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66.xml" ContentType="application/vnd.openxmlformats-officedocument.spreadsheetml.comments+xml"/>
  <Override PartName="/xl/comments65.xml" ContentType="application/vnd.openxmlformats-officedocument.spreadsheetml.comments+xml"/>
  <Override PartName="/xl/comments64.xml" ContentType="application/vnd.openxmlformats-officedocument.spreadsheetml.comments+xml"/>
  <Override PartName="/xl/comments63.xml" ContentType="application/vnd.openxmlformats-officedocument.spreadsheetml.comments+xml"/>
  <Override PartName="/xl/comments62.xml" ContentType="application/vnd.openxmlformats-officedocument.spreadsheetml.comments+xml"/>
  <Override PartName="/xl/comments61.xml" ContentType="application/vnd.openxmlformats-officedocument.spreadsheetml.comments+xml"/>
  <Override PartName="/xl/comments60.xml" ContentType="application/vnd.openxmlformats-officedocument.spreadsheetml.comments+xml"/>
  <Override PartName="/xl/comments59.xml" ContentType="application/vnd.openxmlformats-officedocument.spreadsheetml.comments+xml"/>
  <Override PartName="/xl/comments58.xml" ContentType="application/vnd.openxmlformats-officedocument.spreadsheetml.comments+xml"/>
  <Override PartName="/xl/comments57.xml" ContentType="application/vnd.openxmlformats-officedocument.spreadsheetml.comments+xml"/>
  <Override PartName="/xl/comments56.xml" ContentType="application/vnd.openxmlformats-officedocument.spreadsheetml.comments+xml"/>
  <Override PartName="/xl/comments55.xml" ContentType="application/vnd.openxmlformats-officedocument.spreadsheetml.comments+xml"/>
  <Override PartName="/xl/comments54.xml" ContentType="application/vnd.openxmlformats-officedocument.spreadsheetml.comments+xml"/>
  <Override PartName="/xl/comments53.xml" ContentType="application/vnd.openxmlformats-officedocument.spreadsheetml.comments+xml"/>
  <Override PartName="/xl/comments52.xml" ContentType="application/vnd.openxmlformats-officedocument.spreadsheetml.comments+xml"/>
  <Override PartName="/xl/comments51.xml" ContentType="application/vnd.openxmlformats-officedocument.spreadsheetml.comments+xml"/>
  <Override PartName="/xl/comments50.xml" ContentType="application/vnd.openxmlformats-officedocument.spreadsheetml.comments+xml"/>
  <Override PartName="/xl/comments49.xml" ContentType="application/vnd.openxmlformats-officedocument.spreadsheetml.comments+xml"/>
  <Override PartName="/xl/comments48.xml" ContentType="application/vnd.openxmlformats-officedocument.spreadsheetml.comments+xml"/>
  <Override PartName="/xl/comments47.xml" ContentType="application/vnd.openxmlformats-officedocument.spreadsheetml.comments+xml"/>
  <Override PartName="/xl/comments46.xml" ContentType="application/vnd.openxmlformats-officedocument.spreadsheetml.comments+xml"/>
  <Override PartName="/xl/comments45.xml" ContentType="application/vnd.openxmlformats-officedocument.spreadsheetml.comments+xml"/>
  <Override PartName="/xl/comments44.xml" ContentType="application/vnd.openxmlformats-officedocument.spreadsheetml.comments+xml"/>
  <Override PartName="/xl/comments43.xml" ContentType="application/vnd.openxmlformats-officedocument.spreadsheetml.comments+xml"/>
  <Override PartName="/xl/comments42.xml" ContentType="application/vnd.openxmlformats-officedocument.spreadsheetml.comments+xml"/>
  <Override PartName="/xl/comments41.xml" ContentType="application/vnd.openxmlformats-officedocument.spreadsheetml.comments+xml"/>
  <Override PartName="/xl/comments40.xml" ContentType="application/vnd.openxmlformats-officedocument.spreadsheetml.comments+xml"/>
  <Override PartName="/xl/comments39.xml" ContentType="application/vnd.openxmlformats-officedocument.spreadsheetml.comments+xml"/>
  <Override PartName="/xl/comments38.xml" ContentType="application/vnd.openxmlformats-officedocument.spreadsheetml.comments+xml"/>
  <Override PartName="/xl/comments37.xml" ContentType="application/vnd.openxmlformats-officedocument.spreadsheetml.comments+xml"/>
  <Override PartName="/xl/comments36.xml" ContentType="application/vnd.openxmlformats-officedocument.spreadsheetml.comments+xml"/>
  <Override PartName="/xl/comments35.xml" ContentType="application/vnd.openxmlformats-officedocument.spreadsheetml.comments+xml"/>
  <Override PartName="/xl/comments34.xml" ContentType="application/vnd.openxmlformats-officedocument.spreadsheetml.comments+xml"/>
  <Override PartName="/xl/comments33.xml" ContentType="application/vnd.openxmlformats-officedocument.spreadsheetml.comments+xml"/>
  <Override PartName="/xl/comments32.xml" ContentType="application/vnd.openxmlformats-officedocument.spreadsheetml.comments+xml"/>
  <Override PartName="/xl/comments31.xml" ContentType="application/vnd.openxmlformats-officedocument.spreadsheetml.comments+xml"/>
  <Override PartName="/xl/comments30.xml" ContentType="application/vnd.openxmlformats-officedocument.spreadsheetml.comments+xml"/>
  <Override PartName="/xl/comments29.xml" ContentType="application/vnd.openxmlformats-officedocument.spreadsheetml.comments+xml"/>
  <Override PartName="/xl/comments28.xml" ContentType="application/vnd.openxmlformats-officedocument.spreadsheetml.comments+xml"/>
  <Override PartName="/xl/comments27.xml" ContentType="application/vnd.openxmlformats-officedocument.spreadsheetml.comments+xml"/>
  <Override PartName="/xl/comments26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VIC/VIC workbooks/Locked workbooks/"/>
    </mc:Choice>
  </mc:AlternateContent>
  <xr:revisionPtr revIDLastSave="0" documentId="13_ncr:1_{ED359E7F-5332-794C-8230-89D5697A244E}" xr6:coauthVersionLast="47" xr6:coauthVersionMax="47" xr10:uidLastSave="{00000000-0000-0000-0000-000000000000}"/>
  <workbookProtection workbookAlgorithmName="SHA-512" workbookHashValue="wh32deSUXw1moAAnhG3CHYxvTRoRAQxPoyzIYaipYIeWlN1iVnL1Vj/GvGcDZlrRo5ls+kO0ZyqG00Ms4rFrIA==" workbookSaltValue="8wRizUUyGOL2sVJKooa4Qg==" workbookSpinCount="100000" lockStructure="1"/>
  <bookViews>
    <workbookView xWindow="6400" yWindow="500" windowWidth="38400" windowHeight="19400" activeTab="1" xr2:uid="{00000000-000D-0000-FFFF-FFFF00000000}"/>
  </bookViews>
  <sheets>
    <sheet name="Summary" sheetId="83" r:id="rId1"/>
    <sheet name="Bills Jul'23" sheetId="93" r:id="rId2"/>
    <sheet name="Bills Jan'23" sheetId="91" r:id="rId3"/>
    <sheet name="Bills Jul'22" sheetId="89" r:id="rId4"/>
    <sheet name="Bills Jan'22" sheetId="87" r:id="rId5"/>
    <sheet name="Bills Jul'21" sheetId="85" r:id="rId6"/>
    <sheet name="Bills Jan'21" sheetId="80" r:id="rId7"/>
    <sheet name="Bills Jul'20" sheetId="81" r:id="rId8"/>
    <sheet name="Bills Jan'20" sheetId="76" r:id="rId9"/>
    <sheet name="Bills Jul'19" sheetId="65" r:id="rId10"/>
    <sheet name="Bills Jan'19" sheetId="63" r:id="rId11"/>
    <sheet name="Bills Jul'18" sheetId="61" r:id="rId12"/>
    <sheet name="Bills Jan'18" sheetId="58" r:id="rId13"/>
    <sheet name="Bills Jul'17" sheetId="57" r:id="rId14"/>
    <sheet name="Bills Jan'17" sheetId="55" r:id="rId15"/>
    <sheet name="Bills Jul'16" sheetId="50" r:id="rId16"/>
    <sheet name="Bills Jan'16" sheetId="46" r:id="rId17"/>
    <sheet name="Bills Jul'15" sheetId="42" r:id="rId18"/>
    <sheet name="Bills Jan'15" sheetId="38" r:id="rId19"/>
    <sheet name="Bills Jul'14" sheetId="34" r:id="rId20"/>
    <sheet name="Bills Jan'14" sheetId="30" r:id="rId21"/>
    <sheet name="Bills Jul'13" sheetId="26" r:id="rId22"/>
    <sheet name="Bills Jan'13" sheetId="22" r:id="rId23"/>
    <sheet name="Bills Jul'12" sheetId="18" r:id="rId24"/>
    <sheet name="Bills Jan'12" sheetId="14" r:id="rId25"/>
    <sheet name="Bills Jul'11" sheetId="10" r:id="rId26"/>
    <sheet name="Bills Jan'11" sheetId="6" r:id="rId27"/>
    <sheet name="Bills Jul'10" sheetId="4" r:id="rId28"/>
    <sheet name="Tariffs Jul2023" sheetId="92" state="hidden" r:id="rId29"/>
    <sheet name="Tariffs Jan2023" sheetId="90" state="hidden" r:id="rId30"/>
    <sheet name="Tariffs Jul2022" sheetId="88" state="hidden" r:id="rId31"/>
    <sheet name="Tariffs Jan2022" sheetId="86" state="hidden" r:id="rId32"/>
    <sheet name="Tariffs Jul2021" sheetId="84" state="hidden" r:id="rId33"/>
    <sheet name="Tariffs Jan2021" sheetId="78" state="hidden" r:id="rId34"/>
    <sheet name="Tariffs Jul2020" sheetId="75" state="hidden" r:id="rId35"/>
    <sheet name="Tariffs Jan2020" sheetId="74" state="hidden" r:id="rId36"/>
    <sheet name="Tariffs Jul2019" sheetId="64" state="hidden" r:id="rId37"/>
    <sheet name="Tariffs Jan2019" sheetId="62" state="hidden" r:id="rId38"/>
    <sheet name="Tariffs Jul2018" sheetId="60" state="hidden" r:id="rId39"/>
    <sheet name="Tariffs Jan2018" sheetId="59" state="hidden" r:id="rId40"/>
    <sheet name="Tariffs Jul2017" sheetId="56" state="hidden" r:id="rId41"/>
    <sheet name="Tariffs Jan2017" sheetId="52" state="hidden" r:id="rId42"/>
    <sheet name="Tariffs July2016" sheetId="51" state="hidden" r:id="rId43"/>
    <sheet name="Jan'16 Multi" sheetId="47" state="hidden" r:id="rId44"/>
    <sheet name="Jan'16 Envestra" sheetId="48" state="hidden" r:id="rId45"/>
    <sheet name="Jan'16 SP" sheetId="49" state="hidden" r:id="rId46"/>
    <sheet name="Jul'15 Multi" sheetId="43" state="hidden" r:id="rId47"/>
    <sheet name="Jul'15 Envestra" sheetId="44" state="hidden" r:id="rId48"/>
    <sheet name="Jul'15 SP" sheetId="45" state="hidden" r:id="rId49"/>
    <sheet name="Jan'15 Multi" sheetId="39" state="hidden" r:id="rId50"/>
    <sheet name="Jan'15 Envestra" sheetId="40" state="hidden" r:id="rId51"/>
    <sheet name="Jan'15 SP" sheetId="41" state="hidden" r:id="rId52"/>
    <sheet name="Jul'14 Multi" sheetId="35" state="hidden" r:id="rId53"/>
    <sheet name="Jul'14 Envestra" sheetId="36" state="hidden" r:id="rId54"/>
    <sheet name="Jul'14 SP" sheetId="37" state="hidden" r:id="rId55"/>
    <sheet name="Jan'14 Multi" sheetId="31" state="hidden" r:id="rId56"/>
    <sheet name="Jan'14 Envestra" sheetId="32" state="hidden" r:id="rId57"/>
    <sheet name="Jan'14 SP" sheetId="33" state="hidden" r:id="rId58"/>
    <sheet name="Jul'13 Multi" sheetId="27" state="hidden" r:id="rId59"/>
    <sheet name="Jul'13 Envestra" sheetId="28" state="hidden" r:id="rId60"/>
    <sheet name="Jul'13 SP" sheetId="29" state="hidden" r:id="rId61"/>
    <sheet name="Jan'13 Multi" sheetId="23" state="hidden" r:id="rId62"/>
    <sheet name="Jan'13 Envestra" sheetId="24" state="hidden" r:id="rId63"/>
    <sheet name="Jan'13 SP" sheetId="25" state="hidden" r:id="rId64"/>
    <sheet name="Jul'12 Multi" sheetId="19" state="hidden" r:id="rId65"/>
    <sheet name="Jul'12 Envestra" sheetId="20" state="hidden" r:id="rId66"/>
    <sheet name="Jul'12 SP" sheetId="21" state="hidden" r:id="rId67"/>
    <sheet name="Jan'12 Multi" sheetId="15" state="hidden" r:id="rId68"/>
    <sheet name="Jan'12 Envestra" sheetId="16" state="hidden" r:id="rId69"/>
    <sheet name="Jan'12 SP" sheetId="17" state="hidden" r:id="rId70"/>
    <sheet name="Jul'11 Multi" sheetId="11" state="hidden" r:id="rId71"/>
    <sheet name="Jul'11 Envestra" sheetId="12" state="hidden" r:id="rId72"/>
    <sheet name="Jul'11 SP" sheetId="13" state="hidden" r:id="rId73"/>
    <sheet name="Jan'11 Multi" sheetId="9" state="hidden" r:id="rId74"/>
    <sheet name="Jan'11 Envestra" sheetId="8" state="hidden" r:id="rId75"/>
    <sheet name="Jan'11 SP" sheetId="7" state="hidden" r:id="rId76"/>
    <sheet name="Jul'10 Multinet" sheetId="1" state="hidden" r:id="rId77"/>
    <sheet name="Jul'10 Envestra" sheetId="2" state="hidden" r:id="rId78"/>
    <sheet name="Jul'10 SP" sheetId="3" state="hidden" r:id="rId79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5" i="93" l="1"/>
  <c r="I69" i="93"/>
  <c r="L82" i="93"/>
  <c r="M82" i="93"/>
  <c r="L83" i="93"/>
  <c r="M83" i="93"/>
  <c r="L84" i="93"/>
  <c r="M84" i="93"/>
  <c r="L85" i="93"/>
  <c r="M85" i="93"/>
  <c r="Z17" i="93" l="1"/>
  <c r="Y17" i="93"/>
  <c r="S133" i="93"/>
  <c r="T133" i="93"/>
  <c r="U133" i="93"/>
  <c r="V133" i="93"/>
  <c r="S134" i="93"/>
  <c r="T134" i="93"/>
  <c r="U134" i="93"/>
  <c r="V134" i="93"/>
  <c r="B133" i="93"/>
  <c r="C133" i="93"/>
  <c r="B134" i="93"/>
  <c r="C134" i="93"/>
  <c r="A132" i="93"/>
  <c r="A133" i="93"/>
  <c r="X133" i="93" s="1"/>
  <c r="A134" i="93"/>
  <c r="X134" i="93" s="1"/>
  <c r="J134" i="93"/>
  <c r="E134" i="93"/>
  <c r="D134" i="93"/>
  <c r="J133" i="93"/>
  <c r="E133" i="93"/>
  <c r="O133" i="93" s="1"/>
  <c r="P133" i="93" s="1"/>
  <c r="D133" i="93"/>
  <c r="S117" i="93"/>
  <c r="T117" i="93"/>
  <c r="U117" i="93"/>
  <c r="V117" i="93"/>
  <c r="S118" i="93"/>
  <c r="T118" i="93"/>
  <c r="U118" i="93"/>
  <c r="V118" i="93"/>
  <c r="B117" i="93"/>
  <c r="C117" i="93"/>
  <c r="B118" i="93"/>
  <c r="C118" i="93"/>
  <c r="A116" i="93"/>
  <c r="A117" i="93"/>
  <c r="X117" i="93" s="1"/>
  <c r="A118" i="93"/>
  <c r="X118" i="93" s="1"/>
  <c r="J118" i="93"/>
  <c r="E118" i="93"/>
  <c r="O118" i="93" s="1"/>
  <c r="P118" i="93" s="1"/>
  <c r="D118" i="93"/>
  <c r="J117" i="93"/>
  <c r="E117" i="93"/>
  <c r="D117" i="93"/>
  <c r="S101" i="93"/>
  <c r="T101" i="93"/>
  <c r="U101" i="93"/>
  <c r="V101" i="93"/>
  <c r="W101" i="93" s="1"/>
  <c r="S102" i="93"/>
  <c r="T102" i="93"/>
  <c r="U102" i="93"/>
  <c r="V102" i="93"/>
  <c r="B101" i="93"/>
  <c r="C101" i="93"/>
  <c r="B102" i="93"/>
  <c r="C102" i="93"/>
  <c r="A100" i="93"/>
  <c r="X100" i="93" s="1"/>
  <c r="A101" i="93"/>
  <c r="X101" i="93" s="1"/>
  <c r="A102" i="93"/>
  <c r="X102" i="93" s="1"/>
  <c r="J102" i="93"/>
  <c r="E102" i="93"/>
  <c r="D102" i="93"/>
  <c r="J101" i="93"/>
  <c r="E101" i="93"/>
  <c r="D101" i="93"/>
  <c r="S86" i="93"/>
  <c r="T86" i="93"/>
  <c r="U86" i="93"/>
  <c r="V86" i="93"/>
  <c r="S87" i="93"/>
  <c r="T87" i="93"/>
  <c r="U87" i="93"/>
  <c r="V87" i="93"/>
  <c r="B86" i="93"/>
  <c r="C86" i="93"/>
  <c r="B87" i="93"/>
  <c r="C87" i="93"/>
  <c r="A85" i="93"/>
  <c r="X85" i="93" s="1"/>
  <c r="A86" i="93"/>
  <c r="X86" i="93" s="1"/>
  <c r="A87" i="93"/>
  <c r="X87" i="93" s="1"/>
  <c r="J87" i="93"/>
  <c r="E87" i="93"/>
  <c r="D87" i="93"/>
  <c r="J86" i="93"/>
  <c r="E86" i="93"/>
  <c r="D86" i="93"/>
  <c r="S70" i="93"/>
  <c r="T70" i="93"/>
  <c r="U70" i="93"/>
  <c r="V70" i="93"/>
  <c r="S71" i="93"/>
  <c r="T71" i="93"/>
  <c r="U71" i="93"/>
  <c r="V71" i="93"/>
  <c r="B70" i="93"/>
  <c r="C70" i="93"/>
  <c r="B71" i="93"/>
  <c r="C71" i="93"/>
  <c r="A69" i="93"/>
  <c r="X69" i="93" s="1"/>
  <c r="A70" i="93"/>
  <c r="X70" i="93" s="1"/>
  <c r="A71" i="93"/>
  <c r="X71" i="93" s="1"/>
  <c r="J71" i="93"/>
  <c r="E71" i="93"/>
  <c r="D71" i="93"/>
  <c r="J70" i="93"/>
  <c r="E70" i="93"/>
  <c r="D70" i="93"/>
  <c r="S54" i="93"/>
  <c r="T54" i="93"/>
  <c r="U54" i="93"/>
  <c r="V54" i="93"/>
  <c r="S55" i="93"/>
  <c r="T55" i="93"/>
  <c r="U55" i="93"/>
  <c r="V55" i="93"/>
  <c r="B54" i="93"/>
  <c r="C54" i="93"/>
  <c r="B55" i="93"/>
  <c r="C55" i="93"/>
  <c r="A53" i="93"/>
  <c r="X53" i="93" s="1"/>
  <c r="A54" i="93"/>
  <c r="X54" i="93" s="1"/>
  <c r="A55" i="93"/>
  <c r="X55" i="93" s="1"/>
  <c r="J55" i="93"/>
  <c r="E55" i="93"/>
  <c r="D55" i="93"/>
  <c r="J54" i="93"/>
  <c r="E54" i="93"/>
  <c r="O54" i="93" s="1"/>
  <c r="P54" i="93" s="1"/>
  <c r="D54" i="93"/>
  <c r="S38" i="93"/>
  <c r="T38" i="93"/>
  <c r="U38" i="93"/>
  <c r="V38" i="93"/>
  <c r="S39" i="93"/>
  <c r="T39" i="93"/>
  <c r="U39" i="93"/>
  <c r="V39" i="93"/>
  <c r="J39" i="93"/>
  <c r="E39" i="93"/>
  <c r="D39" i="93"/>
  <c r="J38" i="93"/>
  <c r="E38" i="93"/>
  <c r="D38" i="93"/>
  <c r="B38" i="93"/>
  <c r="C38" i="93"/>
  <c r="B39" i="93"/>
  <c r="C39" i="93"/>
  <c r="A37" i="93"/>
  <c r="X37" i="93" s="1"/>
  <c r="A38" i="93"/>
  <c r="X38" i="93" s="1"/>
  <c r="A39" i="93"/>
  <c r="X39" i="93" s="1"/>
  <c r="S22" i="93"/>
  <c r="T22" i="93"/>
  <c r="U22" i="93"/>
  <c r="V22" i="93"/>
  <c r="S23" i="93"/>
  <c r="T23" i="93"/>
  <c r="U23" i="93"/>
  <c r="V23" i="93"/>
  <c r="D23" i="93"/>
  <c r="E23" i="93"/>
  <c r="J23" i="93"/>
  <c r="A22" i="93"/>
  <c r="X22" i="93" s="1"/>
  <c r="B22" i="93"/>
  <c r="C22" i="93"/>
  <c r="A23" i="93"/>
  <c r="X23" i="93" s="1"/>
  <c r="B23" i="93"/>
  <c r="C23" i="93"/>
  <c r="J22" i="93"/>
  <c r="E22" i="93"/>
  <c r="D22" i="93"/>
  <c r="B132" i="93"/>
  <c r="C132" i="93"/>
  <c r="D132" i="93"/>
  <c r="E132" i="93"/>
  <c r="F132" i="93"/>
  <c r="G132" i="93"/>
  <c r="H132" i="93"/>
  <c r="I132" i="93"/>
  <c r="J132" i="93"/>
  <c r="K132" i="93"/>
  <c r="L132" i="93"/>
  <c r="M132" i="93"/>
  <c r="N132" i="93"/>
  <c r="S132" i="93"/>
  <c r="T132" i="93"/>
  <c r="U132" i="93"/>
  <c r="V132" i="93"/>
  <c r="X132" i="93"/>
  <c r="B116" i="93"/>
  <c r="C116" i="93"/>
  <c r="D116" i="93"/>
  <c r="E116" i="93"/>
  <c r="F116" i="93"/>
  <c r="G116" i="93"/>
  <c r="H116" i="93"/>
  <c r="I116" i="93"/>
  <c r="J116" i="93"/>
  <c r="K116" i="93"/>
  <c r="L116" i="93"/>
  <c r="M116" i="93"/>
  <c r="N116" i="93"/>
  <c r="S116" i="93"/>
  <c r="T116" i="93"/>
  <c r="U116" i="93"/>
  <c r="V116" i="93"/>
  <c r="X116" i="93"/>
  <c r="B100" i="93"/>
  <c r="C100" i="93"/>
  <c r="D100" i="93"/>
  <c r="E100" i="93"/>
  <c r="F100" i="93"/>
  <c r="G100" i="93"/>
  <c r="H100" i="93"/>
  <c r="I100" i="93"/>
  <c r="J100" i="93"/>
  <c r="K100" i="93"/>
  <c r="L100" i="93"/>
  <c r="M100" i="93"/>
  <c r="N100" i="93"/>
  <c r="S100" i="93"/>
  <c r="T100" i="93"/>
  <c r="U100" i="93"/>
  <c r="V100" i="93"/>
  <c r="B85" i="93"/>
  <c r="C85" i="93"/>
  <c r="D85" i="93"/>
  <c r="E85" i="93"/>
  <c r="F85" i="93"/>
  <c r="G85" i="93"/>
  <c r="H85" i="93"/>
  <c r="J85" i="93"/>
  <c r="K85" i="93"/>
  <c r="N85" i="93"/>
  <c r="S85" i="93"/>
  <c r="T85" i="93"/>
  <c r="U85" i="93"/>
  <c r="V85" i="93"/>
  <c r="B69" i="93"/>
  <c r="C69" i="93"/>
  <c r="D69" i="93"/>
  <c r="E69" i="93"/>
  <c r="F69" i="93"/>
  <c r="G69" i="93"/>
  <c r="H69" i="93"/>
  <c r="J69" i="93"/>
  <c r="K69" i="93"/>
  <c r="L69" i="93"/>
  <c r="M69" i="93"/>
  <c r="N69" i="93"/>
  <c r="S69" i="93"/>
  <c r="T69" i="93"/>
  <c r="U69" i="93"/>
  <c r="V69" i="93"/>
  <c r="B53" i="93"/>
  <c r="C53" i="93"/>
  <c r="D53" i="93"/>
  <c r="E53" i="93"/>
  <c r="F53" i="93"/>
  <c r="G53" i="93"/>
  <c r="H53" i="93"/>
  <c r="I53" i="93"/>
  <c r="J53" i="93"/>
  <c r="K53" i="93"/>
  <c r="L53" i="93"/>
  <c r="M53" i="93"/>
  <c r="N53" i="93"/>
  <c r="S53" i="93"/>
  <c r="T53" i="93"/>
  <c r="U53" i="93"/>
  <c r="V53" i="93"/>
  <c r="B37" i="93"/>
  <c r="C37" i="93"/>
  <c r="D37" i="93"/>
  <c r="E37" i="93"/>
  <c r="F37" i="93"/>
  <c r="G37" i="93"/>
  <c r="H37" i="93"/>
  <c r="I37" i="93"/>
  <c r="J37" i="93"/>
  <c r="K37" i="93"/>
  <c r="L37" i="93"/>
  <c r="M37" i="93"/>
  <c r="N37" i="93"/>
  <c r="S37" i="93"/>
  <c r="T37" i="93"/>
  <c r="U37" i="93"/>
  <c r="V37" i="93"/>
  <c r="A21" i="93"/>
  <c r="X21" i="93" s="1"/>
  <c r="B21" i="93"/>
  <c r="C21" i="93"/>
  <c r="D21" i="93"/>
  <c r="E21" i="93"/>
  <c r="F21" i="93"/>
  <c r="G21" i="93"/>
  <c r="H21" i="93"/>
  <c r="I21" i="93"/>
  <c r="J21" i="93"/>
  <c r="K21" i="93"/>
  <c r="L21" i="93"/>
  <c r="M21" i="93"/>
  <c r="N21" i="93"/>
  <c r="S21" i="93"/>
  <c r="T21" i="93"/>
  <c r="U21" i="93"/>
  <c r="V21" i="93"/>
  <c r="W70" i="93" l="1"/>
  <c r="W55" i="93"/>
  <c r="W86" i="93"/>
  <c r="W87" i="93"/>
  <c r="Q133" i="93"/>
  <c r="R133" i="93" s="1"/>
  <c r="O70" i="93"/>
  <c r="P70" i="93" s="1"/>
  <c r="O71" i="93"/>
  <c r="P71" i="93" s="1"/>
  <c r="W117" i="93"/>
  <c r="W134" i="93"/>
  <c r="W23" i="93"/>
  <c r="W116" i="93"/>
  <c r="W38" i="93"/>
  <c r="W37" i="93"/>
  <c r="O23" i="93"/>
  <c r="P23" i="93" s="1"/>
  <c r="W22" i="93"/>
  <c r="Q54" i="93"/>
  <c r="R54" i="93" s="1"/>
  <c r="O87" i="93"/>
  <c r="P87" i="93" s="1"/>
  <c r="O38" i="93"/>
  <c r="O55" i="93"/>
  <c r="P55" i="93" s="1"/>
  <c r="O39" i="93"/>
  <c r="P39" i="93" s="1"/>
  <c r="Q118" i="93"/>
  <c r="R118" i="93" s="1"/>
  <c r="W132" i="93"/>
  <c r="W53" i="93"/>
  <c r="W71" i="93"/>
  <c r="W69" i="93"/>
  <c r="W100" i="93"/>
  <c r="W39" i="93"/>
  <c r="O86" i="93"/>
  <c r="P86" i="93" s="1"/>
  <c r="O53" i="93"/>
  <c r="P53" i="93" s="1"/>
  <c r="O85" i="93"/>
  <c r="Q85" i="93" s="1"/>
  <c r="R85" i="93" s="1"/>
  <c r="W102" i="93"/>
  <c r="O117" i="93"/>
  <c r="P117" i="93" s="1"/>
  <c r="O134" i="93"/>
  <c r="P134" i="93" s="1"/>
  <c r="W133" i="93"/>
  <c r="Y133" i="93" s="1"/>
  <c r="AA133" i="93" s="1"/>
  <c r="O21" i="93"/>
  <c r="P21" i="93" s="1"/>
  <c r="O69" i="93"/>
  <c r="P69" i="93" s="1"/>
  <c r="Q70" i="93"/>
  <c r="R70" i="93" s="1"/>
  <c r="O37" i="93"/>
  <c r="P37" i="93" s="1"/>
  <c r="O132" i="93"/>
  <c r="Q132" i="93" s="1"/>
  <c r="O22" i="93"/>
  <c r="P22" i="93" s="1"/>
  <c r="W118" i="93"/>
  <c r="W85" i="93"/>
  <c r="O100" i="93"/>
  <c r="Q100" i="93" s="1"/>
  <c r="W21" i="93"/>
  <c r="O101" i="93"/>
  <c r="P101" i="93" s="1"/>
  <c r="O116" i="93"/>
  <c r="P116" i="93" s="1"/>
  <c r="W54" i="93"/>
  <c r="Y54" i="93" s="1"/>
  <c r="O102" i="93"/>
  <c r="P102" i="93" s="1"/>
  <c r="Q21" i="93"/>
  <c r="R21" i="93" s="1"/>
  <c r="P85" i="93" l="1"/>
  <c r="Q53" i="93"/>
  <c r="R53" i="93" s="1"/>
  <c r="Y118" i="93"/>
  <c r="AA118" i="93" s="1"/>
  <c r="Q71" i="93"/>
  <c r="R71" i="93" s="1"/>
  <c r="P38" i="93"/>
  <c r="Q38" i="93"/>
  <c r="R38" i="93" s="1"/>
  <c r="Q23" i="93"/>
  <c r="R23" i="93" s="1"/>
  <c r="Q87" i="93"/>
  <c r="Q117" i="93"/>
  <c r="R117" i="93" s="1"/>
  <c r="Q69" i="93"/>
  <c r="R69" i="93" s="1"/>
  <c r="Q55" i="93"/>
  <c r="R55" i="93" s="1"/>
  <c r="Q116" i="93"/>
  <c r="R116" i="93" s="1"/>
  <c r="P132" i="93"/>
  <c r="Z133" i="93"/>
  <c r="AB133" i="93" s="1"/>
  <c r="Z118" i="93"/>
  <c r="AB118" i="93" s="1"/>
  <c r="Q86" i="93"/>
  <c r="Y117" i="93"/>
  <c r="Q134" i="93"/>
  <c r="Q39" i="93"/>
  <c r="R39" i="93" s="1"/>
  <c r="AA54" i="93"/>
  <c r="Z54" i="93"/>
  <c r="AB54" i="93" s="1"/>
  <c r="Q37" i="93"/>
  <c r="R37" i="93" s="1"/>
  <c r="P100" i="93"/>
  <c r="Y100" i="93" s="1"/>
  <c r="Q101" i="93"/>
  <c r="Q102" i="93"/>
  <c r="Q22" i="93"/>
  <c r="Y70" i="93"/>
  <c r="R132" i="93"/>
  <c r="Y132" i="93"/>
  <c r="R100" i="93"/>
  <c r="Y85" i="93"/>
  <c r="Y69" i="93"/>
  <c r="Y53" i="93"/>
  <c r="Y21" i="93"/>
  <c r="Y37" i="93" l="1"/>
  <c r="Y55" i="93"/>
  <c r="AA55" i="93" s="1"/>
  <c r="Y71" i="93"/>
  <c r="R87" i="93"/>
  <c r="Y87" i="93"/>
  <c r="Y116" i="93"/>
  <c r="AA116" i="93" s="1"/>
  <c r="Y23" i="93"/>
  <c r="Y38" i="93"/>
  <c r="AA117" i="93"/>
  <c r="Z117" i="93"/>
  <c r="AB117" i="93" s="1"/>
  <c r="R86" i="93"/>
  <c r="Y86" i="93"/>
  <c r="R134" i="93"/>
  <c r="Y134" i="93"/>
  <c r="Z55" i="93"/>
  <c r="AB55" i="93" s="1"/>
  <c r="Y39" i="93"/>
  <c r="R22" i="93"/>
  <c r="Y22" i="93"/>
  <c r="Y102" i="93"/>
  <c r="R102" i="93"/>
  <c r="R101" i="93"/>
  <c r="Y101" i="93"/>
  <c r="AA70" i="93"/>
  <c r="Z70" i="93"/>
  <c r="AB70" i="93" s="1"/>
  <c r="AA132" i="93"/>
  <c r="Z132" i="93"/>
  <c r="AB132" i="93" s="1"/>
  <c r="Z100" i="93"/>
  <c r="AB100" i="93" s="1"/>
  <c r="AA100" i="93"/>
  <c r="AA85" i="93"/>
  <c r="Z85" i="93"/>
  <c r="AB85" i="93" s="1"/>
  <c r="AA69" i="93"/>
  <c r="Z69" i="93"/>
  <c r="AB69" i="93" s="1"/>
  <c r="AA53" i="93"/>
  <c r="Z53" i="93"/>
  <c r="AB53" i="93" s="1"/>
  <c r="AA37" i="93"/>
  <c r="Z37" i="93"/>
  <c r="AB37" i="93" s="1"/>
  <c r="AA21" i="93"/>
  <c r="Z21" i="93"/>
  <c r="AB21" i="93" s="1"/>
  <c r="V131" i="93"/>
  <c r="U131" i="93"/>
  <c r="T131" i="93"/>
  <c r="S131" i="93"/>
  <c r="N131" i="93"/>
  <c r="M131" i="93"/>
  <c r="L131" i="93"/>
  <c r="K131" i="93"/>
  <c r="J131" i="93"/>
  <c r="I131" i="93"/>
  <c r="H131" i="93"/>
  <c r="G131" i="93"/>
  <c r="F131" i="93"/>
  <c r="E131" i="93"/>
  <c r="D131" i="93"/>
  <c r="C131" i="93"/>
  <c r="B131" i="93"/>
  <c r="A131" i="93"/>
  <c r="X131" i="93" s="1"/>
  <c r="V130" i="93"/>
  <c r="U130" i="93"/>
  <c r="T130" i="93"/>
  <c r="S130" i="93"/>
  <c r="N130" i="93"/>
  <c r="M130" i="93"/>
  <c r="L130" i="93"/>
  <c r="K130" i="93"/>
  <c r="J130" i="93"/>
  <c r="I130" i="93"/>
  <c r="H130" i="93"/>
  <c r="G130" i="93"/>
  <c r="F130" i="93"/>
  <c r="E130" i="93"/>
  <c r="D130" i="93"/>
  <c r="C130" i="93"/>
  <c r="B130" i="93"/>
  <c r="A130" i="93"/>
  <c r="X130" i="93" s="1"/>
  <c r="V129" i="93"/>
  <c r="U129" i="93"/>
  <c r="T129" i="93"/>
  <c r="S129" i="93"/>
  <c r="N129" i="93"/>
  <c r="M129" i="93"/>
  <c r="L129" i="93"/>
  <c r="K129" i="93"/>
  <c r="J129" i="93"/>
  <c r="I129" i="93"/>
  <c r="H129" i="93"/>
  <c r="G129" i="93"/>
  <c r="F129" i="93"/>
  <c r="E129" i="93"/>
  <c r="D129" i="93"/>
  <c r="C129" i="93"/>
  <c r="B129" i="93"/>
  <c r="A129" i="93"/>
  <c r="X129" i="93" s="1"/>
  <c r="V128" i="93"/>
  <c r="U128" i="93"/>
  <c r="T128" i="93"/>
  <c r="S128" i="93"/>
  <c r="N128" i="93"/>
  <c r="M128" i="93"/>
  <c r="L128" i="93"/>
  <c r="K128" i="93"/>
  <c r="J128" i="93"/>
  <c r="I128" i="93"/>
  <c r="H128" i="93"/>
  <c r="G128" i="93"/>
  <c r="F128" i="93"/>
  <c r="E128" i="93"/>
  <c r="D128" i="93"/>
  <c r="C128" i="93"/>
  <c r="B128" i="93"/>
  <c r="A128" i="93"/>
  <c r="X128" i="93" s="1"/>
  <c r="V127" i="93"/>
  <c r="U127" i="93"/>
  <c r="T127" i="93"/>
  <c r="S127" i="93"/>
  <c r="N127" i="93"/>
  <c r="M127" i="93"/>
  <c r="L127" i="93"/>
  <c r="K127" i="93"/>
  <c r="J127" i="93"/>
  <c r="I127" i="93"/>
  <c r="H127" i="93"/>
  <c r="G127" i="93"/>
  <c r="F127" i="93"/>
  <c r="E127" i="93"/>
  <c r="D127" i="93"/>
  <c r="C127" i="93"/>
  <c r="B127" i="93"/>
  <c r="A127" i="93"/>
  <c r="X127" i="93" s="1"/>
  <c r="V126" i="93"/>
  <c r="U126" i="93"/>
  <c r="T126" i="93"/>
  <c r="S126" i="93"/>
  <c r="N126" i="93"/>
  <c r="M126" i="93"/>
  <c r="L126" i="93"/>
  <c r="K126" i="93"/>
  <c r="J126" i="93"/>
  <c r="I126" i="93"/>
  <c r="H126" i="93"/>
  <c r="G126" i="93"/>
  <c r="F126" i="93"/>
  <c r="E126" i="93"/>
  <c r="D126" i="93"/>
  <c r="C126" i="93"/>
  <c r="B126" i="93"/>
  <c r="A126" i="93"/>
  <c r="X126" i="93" s="1"/>
  <c r="V125" i="93"/>
  <c r="U125" i="93"/>
  <c r="T125" i="93"/>
  <c r="S125" i="93"/>
  <c r="N125" i="93"/>
  <c r="M125" i="93"/>
  <c r="L125" i="93"/>
  <c r="K125" i="93"/>
  <c r="J125" i="93"/>
  <c r="I125" i="93"/>
  <c r="H125" i="93"/>
  <c r="G125" i="93"/>
  <c r="F125" i="93"/>
  <c r="E125" i="93"/>
  <c r="D125" i="93"/>
  <c r="C125" i="93"/>
  <c r="B125" i="93"/>
  <c r="A125" i="93"/>
  <c r="X125" i="93" s="1"/>
  <c r="V124" i="93"/>
  <c r="U124" i="93"/>
  <c r="T124" i="93"/>
  <c r="S124" i="93"/>
  <c r="J124" i="93"/>
  <c r="E124" i="93"/>
  <c r="D124" i="93"/>
  <c r="C124" i="93"/>
  <c r="B124" i="93"/>
  <c r="A124" i="93"/>
  <c r="X124" i="93" s="1"/>
  <c r="V123" i="93"/>
  <c r="U123" i="93"/>
  <c r="T123" i="93"/>
  <c r="S123" i="93"/>
  <c r="N123" i="93"/>
  <c r="M123" i="93"/>
  <c r="L123" i="93"/>
  <c r="K123" i="93"/>
  <c r="J123" i="93"/>
  <c r="I123" i="93"/>
  <c r="H123" i="93"/>
  <c r="G123" i="93"/>
  <c r="F123" i="93"/>
  <c r="E123" i="93"/>
  <c r="D123" i="93"/>
  <c r="C123" i="93"/>
  <c r="B123" i="93"/>
  <c r="A123" i="93"/>
  <c r="X123" i="93" s="1"/>
  <c r="V122" i="93"/>
  <c r="U122" i="93"/>
  <c r="T122" i="93"/>
  <c r="S122" i="93"/>
  <c r="N122" i="93"/>
  <c r="M122" i="93"/>
  <c r="L122" i="93"/>
  <c r="K122" i="93"/>
  <c r="J122" i="93"/>
  <c r="I122" i="93"/>
  <c r="H122" i="93"/>
  <c r="G122" i="93"/>
  <c r="F122" i="93"/>
  <c r="E122" i="93"/>
  <c r="D122" i="93"/>
  <c r="C122" i="93"/>
  <c r="B122" i="93"/>
  <c r="A122" i="93"/>
  <c r="X122" i="93" s="1"/>
  <c r="V121" i="93"/>
  <c r="U121" i="93"/>
  <c r="T121" i="93"/>
  <c r="S121" i="93"/>
  <c r="N121" i="93"/>
  <c r="M121" i="93"/>
  <c r="L121" i="93"/>
  <c r="K121" i="93"/>
  <c r="J121" i="93"/>
  <c r="I121" i="93"/>
  <c r="H121" i="93"/>
  <c r="G121" i="93"/>
  <c r="F121" i="93"/>
  <c r="E121" i="93"/>
  <c r="D121" i="93"/>
  <c r="C121" i="93"/>
  <c r="B121" i="93"/>
  <c r="A121" i="93"/>
  <c r="X121" i="93" s="1"/>
  <c r="V120" i="93"/>
  <c r="U120" i="93"/>
  <c r="T120" i="93"/>
  <c r="S120" i="93"/>
  <c r="N120" i="93"/>
  <c r="M120" i="93"/>
  <c r="L120" i="93"/>
  <c r="K120" i="93"/>
  <c r="J120" i="93"/>
  <c r="I120" i="93"/>
  <c r="H120" i="93"/>
  <c r="G120" i="93"/>
  <c r="F120" i="93"/>
  <c r="E120" i="93"/>
  <c r="D120" i="93"/>
  <c r="C120" i="93"/>
  <c r="B120" i="93"/>
  <c r="A120" i="93"/>
  <c r="X120" i="93" s="1"/>
  <c r="V119" i="93"/>
  <c r="U119" i="93"/>
  <c r="T119" i="93"/>
  <c r="S119" i="93"/>
  <c r="N119" i="93"/>
  <c r="M119" i="93"/>
  <c r="L119" i="93"/>
  <c r="K119" i="93"/>
  <c r="J119" i="93"/>
  <c r="I119" i="93"/>
  <c r="H119" i="93"/>
  <c r="G119" i="93"/>
  <c r="F119" i="93"/>
  <c r="E119" i="93"/>
  <c r="D119" i="93"/>
  <c r="C119" i="93"/>
  <c r="B119" i="93"/>
  <c r="A119" i="93"/>
  <c r="X119" i="93" s="1"/>
  <c r="V115" i="93"/>
  <c r="U115" i="93"/>
  <c r="T115" i="93"/>
  <c r="S115" i="93"/>
  <c r="N115" i="93"/>
  <c r="M115" i="93"/>
  <c r="L115" i="93"/>
  <c r="K115" i="93"/>
  <c r="J115" i="93"/>
  <c r="I115" i="93"/>
  <c r="H115" i="93"/>
  <c r="G115" i="93"/>
  <c r="F115" i="93"/>
  <c r="E115" i="93"/>
  <c r="D115" i="93"/>
  <c r="C115" i="93"/>
  <c r="B115" i="93"/>
  <c r="A115" i="93"/>
  <c r="X115" i="93" s="1"/>
  <c r="V114" i="93"/>
  <c r="U114" i="93"/>
  <c r="T114" i="93"/>
  <c r="S114" i="93"/>
  <c r="N114" i="93"/>
  <c r="M114" i="93"/>
  <c r="L114" i="93"/>
  <c r="K114" i="93"/>
  <c r="J114" i="93"/>
  <c r="I114" i="93"/>
  <c r="H114" i="93"/>
  <c r="G114" i="93"/>
  <c r="F114" i="93"/>
  <c r="E114" i="93"/>
  <c r="D114" i="93"/>
  <c r="C114" i="93"/>
  <c r="B114" i="93"/>
  <c r="A114" i="93"/>
  <c r="X114" i="93" s="1"/>
  <c r="V113" i="93"/>
  <c r="U113" i="93"/>
  <c r="T113" i="93"/>
  <c r="S113" i="93"/>
  <c r="N113" i="93"/>
  <c r="M113" i="93"/>
  <c r="L113" i="93"/>
  <c r="K113" i="93"/>
  <c r="J113" i="93"/>
  <c r="I113" i="93"/>
  <c r="H113" i="93"/>
  <c r="G113" i="93"/>
  <c r="F113" i="93"/>
  <c r="E113" i="93"/>
  <c r="D113" i="93"/>
  <c r="C113" i="93"/>
  <c r="B113" i="93"/>
  <c r="A113" i="93"/>
  <c r="X113" i="93" s="1"/>
  <c r="V112" i="93"/>
  <c r="U112" i="93"/>
  <c r="T112" i="93"/>
  <c r="S112" i="93"/>
  <c r="N112" i="93"/>
  <c r="M112" i="93"/>
  <c r="L112" i="93"/>
  <c r="K112" i="93"/>
  <c r="J112" i="93"/>
  <c r="I112" i="93"/>
  <c r="H112" i="93"/>
  <c r="G112" i="93"/>
  <c r="F112" i="93"/>
  <c r="E112" i="93"/>
  <c r="D112" i="93"/>
  <c r="C112" i="93"/>
  <c r="B112" i="93"/>
  <c r="A112" i="93"/>
  <c r="X112" i="93" s="1"/>
  <c r="V111" i="93"/>
  <c r="U111" i="93"/>
  <c r="T111" i="93"/>
  <c r="S111" i="93"/>
  <c r="N111" i="93"/>
  <c r="M111" i="93"/>
  <c r="L111" i="93"/>
  <c r="K111" i="93"/>
  <c r="J111" i="93"/>
  <c r="I111" i="93"/>
  <c r="H111" i="93"/>
  <c r="G111" i="93"/>
  <c r="F111" i="93"/>
  <c r="E111" i="93"/>
  <c r="D111" i="93"/>
  <c r="C111" i="93"/>
  <c r="B111" i="93"/>
  <c r="A111" i="93"/>
  <c r="X111" i="93" s="1"/>
  <c r="V110" i="93"/>
  <c r="U110" i="93"/>
  <c r="T110" i="93"/>
  <c r="S110" i="93"/>
  <c r="N110" i="93"/>
  <c r="M110" i="93"/>
  <c r="L110" i="93"/>
  <c r="K110" i="93"/>
  <c r="J110" i="93"/>
  <c r="I110" i="93"/>
  <c r="H110" i="93"/>
  <c r="G110" i="93"/>
  <c r="F110" i="93"/>
  <c r="E110" i="93"/>
  <c r="D110" i="93"/>
  <c r="C110" i="93"/>
  <c r="B110" i="93"/>
  <c r="A110" i="93"/>
  <c r="X110" i="93" s="1"/>
  <c r="V109" i="93"/>
  <c r="U109" i="93"/>
  <c r="T109" i="93"/>
  <c r="S109" i="93"/>
  <c r="N109" i="93"/>
  <c r="M109" i="93"/>
  <c r="L109" i="93"/>
  <c r="K109" i="93"/>
  <c r="J109" i="93"/>
  <c r="I109" i="93"/>
  <c r="H109" i="93"/>
  <c r="G109" i="93"/>
  <c r="F109" i="93"/>
  <c r="E109" i="93"/>
  <c r="D109" i="93"/>
  <c r="C109" i="93"/>
  <c r="B109" i="93"/>
  <c r="A109" i="93"/>
  <c r="X109" i="93" s="1"/>
  <c r="V108" i="93"/>
  <c r="U108" i="93"/>
  <c r="T108" i="93"/>
  <c r="S108" i="93"/>
  <c r="J108" i="93"/>
  <c r="E108" i="93"/>
  <c r="D108" i="93"/>
  <c r="C108" i="93"/>
  <c r="B108" i="93"/>
  <c r="A108" i="93"/>
  <c r="X108" i="93" s="1"/>
  <c r="V107" i="93"/>
  <c r="U107" i="93"/>
  <c r="T107" i="93"/>
  <c r="S107" i="93"/>
  <c r="N107" i="93"/>
  <c r="M107" i="93"/>
  <c r="L107" i="93"/>
  <c r="K107" i="93"/>
  <c r="J107" i="93"/>
  <c r="I107" i="93"/>
  <c r="H107" i="93"/>
  <c r="G107" i="93"/>
  <c r="F107" i="93"/>
  <c r="E107" i="93"/>
  <c r="D107" i="93"/>
  <c r="C107" i="93"/>
  <c r="B107" i="93"/>
  <c r="A107" i="93"/>
  <c r="X107" i="93" s="1"/>
  <c r="V106" i="93"/>
  <c r="U106" i="93"/>
  <c r="T106" i="93"/>
  <c r="S106" i="93"/>
  <c r="N106" i="93"/>
  <c r="M106" i="93"/>
  <c r="L106" i="93"/>
  <c r="K106" i="93"/>
  <c r="J106" i="93"/>
  <c r="I106" i="93"/>
  <c r="H106" i="93"/>
  <c r="G106" i="93"/>
  <c r="F106" i="93"/>
  <c r="E106" i="93"/>
  <c r="D106" i="93"/>
  <c r="C106" i="93"/>
  <c r="B106" i="93"/>
  <c r="A106" i="93"/>
  <c r="X106" i="93" s="1"/>
  <c r="V105" i="93"/>
  <c r="U105" i="93"/>
  <c r="T105" i="93"/>
  <c r="S105" i="93"/>
  <c r="N105" i="93"/>
  <c r="M105" i="93"/>
  <c r="L105" i="93"/>
  <c r="K105" i="93"/>
  <c r="J105" i="93"/>
  <c r="I105" i="93"/>
  <c r="H105" i="93"/>
  <c r="G105" i="93"/>
  <c r="F105" i="93"/>
  <c r="E105" i="93"/>
  <c r="D105" i="93"/>
  <c r="C105" i="93"/>
  <c r="B105" i="93"/>
  <c r="A105" i="93"/>
  <c r="X105" i="93" s="1"/>
  <c r="V104" i="93"/>
  <c r="U104" i="93"/>
  <c r="T104" i="93"/>
  <c r="S104" i="93"/>
  <c r="N104" i="93"/>
  <c r="M104" i="93"/>
  <c r="L104" i="93"/>
  <c r="K104" i="93"/>
  <c r="J104" i="93"/>
  <c r="I104" i="93"/>
  <c r="H104" i="93"/>
  <c r="G104" i="93"/>
  <c r="F104" i="93"/>
  <c r="E104" i="93"/>
  <c r="D104" i="93"/>
  <c r="C104" i="93"/>
  <c r="B104" i="93"/>
  <c r="A104" i="93"/>
  <c r="X104" i="93" s="1"/>
  <c r="V103" i="93"/>
  <c r="U103" i="93"/>
  <c r="T103" i="93"/>
  <c r="S103" i="93"/>
  <c r="N103" i="93"/>
  <c r="M103" i="93"/>
  <c r="L103" i="93"/>
  <c r="K103" i="93"/>
  <c r="J103" i="93"/>
  <c r="I103" i="93"/>
  <c r="H103" i="93"/>
  <c r="G103" i="93"/>
  <c r="F103" i="93"/>
  <c r="E103" i="93"/>
  <c r="D103" i="93"/>
  <c r="C103" i="93"/>
  <c r="B103" i="93"/>
  <c r="A103" i="93"/>
  <c r="X103" i="93" s="1"/>
  <c r="V99" i="93"/>
  <c r="U99" i="93"/>
  <c r="T99" i="93"/>
  <c r="S99" i="93"/>
  <c r="N99" i="93"/>
  <c r="M99" i="93"/>
  <c r="L99" i="93"/>
  <c r="K99" i="93"/>
  <c r="J99" i="93"/>
  <c r="I99" i="93"/>
  <c r="H99" i="93"/>
  <c r="G99" i="93"/>
  <c r="F99" i="93"/>
  <c r="E99" i="93"/>
  <c r="D99" i="93"/>
  <c r="C99" i="93"/>
  <c r="B99" i="93"/>
  <c r="A99" i="93"/>
  <c r="X99" i="93" s="1"/>
  <c r="V98" i="93"/>
  <c r="U98" i="93"/>
  <c r="T98" i="93"/>
  <c r="S98" i="93"/>
  <c r="N98" i="93"/>
  <c r="M98" i="93"/>
  <c r="L98" i="93"/>
  <c r="K98" i="93"/>
  <c r="J98" i="93"/>
  <c r="I98" i="93"/>
  <c r="H98" i="93"/>
  <c r="G98" i="93"/>
  <c r="F98" i="93"/>
  <c r="E98" i="93"/>
  <c r="D98" i="93"/>
  <c r="C98" i="93"/>
  <c r="B98" i="93"/>
  <c r="A98" i="93"/>
  <c r="X98" i="93" s="1"/>
  <c r="V97" i="93"/>
  <c r="U97" i="93"/>
  <c r="T97" i="93"/>
  <c r="S97" i="93"/>
  <c r="N97" i="93"/>
  <c r="M97" i="93"/>
  <c r="L97" i="93"/>
  <c r="K97" i="93"/>
  <c r="J97" i="93"/>
  <c r="I97" i="93"/>
  <c r="H97" i="93"/>
  <c r="G97" i="93"/>
  <c r="F97" i="93"/>
  <c r="E97" i="93"/>
  <c r="D97" i="93"/>
  <c r="C97" i="93"/>
  <c r="B97" i="93"/>
  <c r="A97" i="93"/>
  <c r="X97" i="93" s="1"/>
  <c r="V96" i="93"/>
  <c r="U96" i="93"/>
  <c r="T96" i="93"/>
  <c r="S96" i="93"/>
  <c r="N96" i="93"/>
  <c r="M96" i="93"/>
  <c r="L96" i="93"/>
  <c r="K96" i="93"/>
  <c r="J96" i="93"/>
  <c r="I96" i="93"/>
  <c r="H96" i="93"/>
  <c r="G96" i="93"/>
  <c r="F96" i="93"/>
  <c r="E96" i="93"/>
  <c r="D96" i="93"/>
  <c r="C96" i="93"/>
  <c r="B96" i="93"/>
  <c r="A96" i="93"/>
  <c r="X96" i="93" s="1"/>
  <c r="V95" i="93"/>
  <c r="U95" i="93"/>
  <c r="T95" i="93"/>
  <c r="S95" i="93"/>
  <c r="N95" i="93"/>
  <c r="M95" i="93"/>
  <c r="L95" i="93"/>
  <c r="K95" i="93"/>
  <c r="J95" i="93"/>
  <c r="I95" i="93"/>
  <c r="H95" i="93"/>
  <c r="G95" i="93"/>
  <c r="F95" i="93"/>
  <c r="E95" i="93"/>
  <c r="D95" i="93"/>
  <c r="C95" i="93"/>
  <c r="B95" i="93"/>
  <c r="A95" i="93"/>
  <c r="X95" i="93" s="1"/>
  <c r="V94" i="93"/>
  <c r="U94" i="93"/>
  <c r="T94" i="93"/>
  <c r="S94" i="93"/>
  <c r="N94" i="93"/>
  <c r="M94" i="93"/>
  <c r="L94" i="93"/>
  <c r="K94" i="93"/>
  <c r="J94" i="93"/>
  <c r="I94" i="93"/>
  <c r="H94" i="93"/>
  <c r="G94" i="93"/>
  <c r="F94" i="93"/>
  <c r="E94" i="93"/>
  <c r="D94" i="93"/>
  <c r="C94" i="93"/>
  <c r="B94" i="93"/>
  <c r="A94" i="93"/>
  <c r="X94" i="93" s="1"/>
  <c r="V93" i="93"/>
  <c r="U93" i="93"/>
  <c r="T93" i="93"/>
  <c r="S93" i="93"/>
  <c r="N93" i="93"/>
  <c r="M93" i="93"/>
  <c r="L93" i="93"/>
  <c r="K93" i="93"/>
  <c r="J93" i="93"/>
  <c r="I93" i="93"/>
  <c r="H93" i="93"/>
  <c r="G93" i="93"/>
  <c r="F93" i="93"/>
  <c r="E93" i="93"/>
  <c r="D93" i="93"/>
  <c r="C93" i="93"/>
  <c r="B93" i="93"/>
  <c r="A93" i="93"/>
  <c r="X93" i="93" s="1"/>
  <c r="V92" i="93"/>
  <c r="U92" i="93"/>
  <c r="T92" i="93"/>
  <c r="S92" i="93"/>
  <c r="J92" i="93"/>
  <c r="E92" i="93"/>
  <c r="D92" i="93"/>
  <c r="C92" i="93"/>
  <c r="B92" i="93"/>
  <c r="A92" i="93"/>
  <c r="X92" i="93" s="1"/>
  <c r="V91" i="93"/>
  <c r="U91" i="93"/>
  <c r="T91" i="93"/>
  <c r="S91" i="93"/>
  <c r="N91" i="93"/>
  <c r="M91" i="93"/>
  <c r="L91" i="93"/>
  <c r="K91" i="93"/>
  <c r="J91" i="93"/>
  <c r="I91" i="93"/>
  <c r="H91" i="93"/>
  <c r="G91" i="93"/>
  <c r="F91" i="93"/>
  <c r="E91" i="93"/>
  <c r="D91" i="93"/>
  <c r="C91" i="93"/>
  <c r="B91" i="93"/>
  <c r="A91" i="93"/>
  <c r="X91" i="93" s="1"/>
  <c r="V90" i="93"/>
  <c r="U90" i="93"/>
  <c r="T90" i="93"/>
  <c r="S90" i="93"/>
  <c r="N90" i="93"/>
  <c r="M90" i="93"/>
  <c r="L90" i="93"/>
  <c r="K90" i="93"/>
  <c r="J90" i="93"/>
  <c r="I90" i="93"/>
  <c r="H90" i="93"/>
  <c r="G90" i="93"/>
  <c r="F90" i="93"/>
  <c r="E90" i="93"/>
  <c r="D90" i="93"/>
  <c r="C90" i="93"/>
  <c r="B90" i="93"/>
  <c r="A90" i="93"/>
  <c r="X90" i="93" s="1"/>
  <c r="V89" i="93"/>
  <c r="U89" i="93"/>
  <c r="T89" i="93"/>
  <c r="S89" i="93"/>
  <c r="N89" i="93"/>
  <c r="M89" i="93"/>
  <c r="L89" i="93"/>
  <c r="K89" i="93"/>
  <c r="J89" i="93"/>
  <c r="I89" i="93"/>
  <c r="H89" i="93"/>
  <c r="G89" i="93"/>
  <c r="F89" i="93"/>
  <c r="E89" i="93"/>
  <c r="D89" i="93"/>
  <c r="C89" i="93"/>
  <c r="B89" i="93"/>
  <c r="A89" i="93"/>
  <c r="X89" i="93" s="1"/>
  <c r="V88" i="93"/>
  <c r="U88" i="93"/>
  <c r="T88" i="93"/>
  <c r="S88" i="93"/>
  <c r="N88" i="93"/>
  <c r="M88" i="93"/>
  <c r="L88" i="93"/>
  <c r="K88" i="93"/>
  <c r="J88" i="93"/>
  <c r="I88" i="93"/>
  <c r="H88" i="93"/>
  <c r="G88" i="93"/>
  <c r="F88" i="93"/>
  <c r="E88" i="93"/>
  <c r="D88" i="93"/>
  <c r="C88" i="93"/>
  <c r="B88" i="93"/>
  <c r="A88" i="93"/>
  <c r="X88" i="93" s="1"/>
  <c r="V84" i="93"/>
  <c r="U84" i="93"/>
  <c r="T84" i="93"/>
  <c r="S84" i="93"/>
  <c r="N84" i="93"/>
  <c r="K84" i="93"/>
  <c r="J84" i="93"/>
  <c r="I84" i="93"/>
  <c r="H84" i="93"/>
  <c r="G84" i="93"/>
  <c r="F84" i="93"/>
  <c r="E84" i="93"/>
  <c r="D84" i="93"/>
  <c r="C84" i="93"/>
  <c r="B84" i="93"/>
  <c r="A84" i="93"/>
  <c r="X84" i="93" s="1"/>
  <c r="V83" i="93"/>
  <c r="U83" i="93"/>
  <c r="T83" i="93"/>
  <c r="S83" i="93"/>
  <c r="N83" i="93"/>
  <c r="K83" i="93"/>
  <c r="J83" i="93"/>
  <c r="I83" i="93"/>
  <c r="H83" i="93"/>
  <c r="G83" i="93"/>
  <c r="F83" i="93"/>
  <c r="E83" i="93"/>
  <c r="D83" i="93"/>
  <c r="C83" i="93"/>
  <c r="B83" i="93"/>
  <c r="A83" i="93"/>
  <c r="X83" i="93" s="1"/>
  <c r="V82" i="93"/>
  <c r="U82" i="93"/>
  <c r="T82" i="93"/>
  <c r="S82" i="93"/>
  <c r="N82" i="93"/>
  <c r="K82" i="93"/>
  <c r="J82" i="93"/>
  <c r="I82" i="93"/>
  <c r="H82" i="93"/>
  <c r="G82" i="93"/>
  <c r="F82" i="93"/>
  <c r="E82" i="93"/>
  <c r="D82" i="93"/>
  <c r="C82" i="93"/>
  <c r="B82" i="93"/>
  <c r="A82" i="93"/>
  <c r="X82" i="93" s="1"/>
  <c r="V81" i="93"/>
  <c r="U81" i="93"/>
  <c r="T81" i="93"/>
  <c r="S81" i="93"/>
  <c r="N81" i="93"/>
  <c r="M81" i="93"/>
  <c r="L81" i="93"/>
  <c r="K81" i="93"/>
  <c r="J81" i="93"/>
  <c r="I81" i="93"/>
  <c r="H81" i="93"/>
  <c r="G81" i="93"/>
  <c r="F81" i="93"/>
  <c r="E81" i="93"/>
  <c r="D81" i="93"/>
  <c r="C81" i="93"/>
  <c r="B81" i="93"/>
  <c r="A81" i="93"/>
  <c r="X81" i="93" s="1"/>
  <c r="V80" i="93"/>
  <c r="U80" i="93"/>
  <c r="T80" i="93"/>
  <c r="S80" i="93"/>
  <c r="N80" i="93"/>
  <c r="M80" i="93"/>
  <c r="L80" i="93"/>
  <c r="K80" i="93"/>
  <c r="J80" i="93"/>
  <c r="I80" i="93"/>
  <c r="H80" i="93"/>
  <c r="G80" i="93"/>
  <c r="F80" i="93"/>
  <c r="E80" i="93"/>
  <c r="D80" i="93"/>
  <c r="C80" i="93"/>
  <c r="B80" i="93"/>
  <c r="A80" i="93"/>
  <c r="X80" i="93" s="1"/>
  <c r="V79" i="93"/>
  <c r="U79" i="93"/>
  <c r="T79" i="93"/>
  <c r="S79" i="93"/>
  <c r="N79" i="93"/>
  <c r="M79" i="93"/>
  <c r="L79" i="93"/>
  <c r="K79" i="93"/>
  <c r="J79" i="93"/>
  <c r="I79" i="93"/>
  <c r="H79" i="93"/>
  <c r="G79" i="93"/>
  <c r="F79" i="93"/>
  <c r="E79" i="93"/>
  <c r="D79" i="93"/>
  <c r="C79" i="93"/>
  <c r="B79" i="93"/>
  <c r="A79" i="93"/>
  <c r="X79" i="93" s="1"/>
  <c r="V78" i="93"/>
  <c r="U78" i="93"/>
  <c r="T78" i="93"/>
  <c r="S78" i="93"/>
  <c r="N78" i="93"/>
  <c r="M78" i="93"/>
  <c r="L78" i="93"/>
  <c r="K78" i="93"/>
  <c r="J78" i="93"/>
  <c r="I78" i="93"/>
  <c r="H78" i="93"/>
  <c r="G78" i="93"/>
  <c r="F78" i="93"/>
  <c r="E78" i="93"/>
  <c r="D78" i="93"/>
  <c r="C78" i="93"/>
  <c r="B78" i="93"/>
  <c r="A78" i="93"/>
  <c r="X78" i="93" s="1"/>
  <c r="V77" i="93"/>
  <c r="U77" i="93"/>
  <c r="T77" i="93"/>
  <c r="S77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A77" i="93"/>
  <c r="X77" i="93" s="1"/>
  <c r="V76" i="93"/>
  <c r="U76" i="93"/>
  <c r="T76" i="93"/>
  <c r="S76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A76" i="93"/>
  <c r="X76" i="93" s="1"/>
  <c r="V75" i="93"/>
  <c r="U75" i="93"/>
  <c r="T75" i="93"/>
  <c r="S75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A75" i="93"/>
  <c r="X75" i="93" s="1"/>
  <c r="V74" i="93"/>
  <c r="U74" i="93"/>
  <c r="T74" i="93"/>
  <c r="S74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A74" i="93"/>
  <c r="X74" i="93" s="1"/>
  <c r="V73" i="93"/>
  <c r="U73" i="93"/>
  <c r="T73" i="93"/>
  <c r="S73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A73" i="93"/>
  <c r="X73" i="93" s="1"/>
  <c r="V72" i="93"/>
  <c r="U72" i="93"/>
  <c r="T72" i="93"/>
  <c r="S72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A72" i="93"/>
  <c r="X72" i="93" s="1"/>
  <c r="V68" i="93"/>
  <c r="U68" i="93"/>
  <c r="T68" i="93"/>
  <c r="S68" i="93"/>
  <c r="N68" i="93"/>
  <c r="M68" i="93"/>
  <c r="L68" i="93"/>
  <c r="K68" i="93"/>
  <c r="J68" i="93"/>
  <c r="I68" i="93"/>
  <c r="H68" i="93"/>
  <c r="G68" i="93"/>
  <c r="F68" i="93"/>
  <c r="E68" i="93"/>
  <c r="D68" i="93"/>
  <c r="C68" i="93"/>
  <c r="B68" i="93"/>
  <c r="A68" i="93"/>
  <c r="X68" i="93" s="1"/>
  <c r="V67" i="93"/>
  <c r="U67" i="93"/>
  <c r="T67" i="93"/>
  <c r="S67" i="93"/>
  <c r="N67" i="93"/>
  <c r="M67" i="93"/>
  <c r="L67" i="93"/>
  <c r="K67" i="93"/>
  <c r="J67" i="93"/>
  <c r="I67" i="93"/>
  <c r="H67" i="93"/>
  <c r="G67" i="93"/>
  <c r="F67" i="93"/>
  <c r="E67" i="93"/>
  <c r="D67" i="93"/>
  <c r="C67" i="93"/>
  <c r="B67" i="93"/>
  <c r="A67" i="93"/>
  <c r="X67" i="93" s="1"/>
  <c r="V66" i="93"/>
  <c r="U66" i="93"/>
  <c r="T66" i="93"/>
  <c r="S66" i="93"/>
  <c r="N66" i="93"/>
  <c r="M66" i="93"/>
  <c r="L66" i="93"/>
  <c r="K66" i="93"/>
  <c r="J66" i="93"/>
  <c r="I66" i="93"/>
  <c r="H66" i="93"/>
  <c r="G66" i="93"/>
  <c r="F66" i="93"/>
  <c r="E66" i="93"/>
  <c r="D66" i="93"/>
  <c r="C66" i="93"/>
  <c r="B66" i="93"/>
  <c r="A66" i="93"/>
  <c r="X66" i="93" s="1"/>
  <c r="V65" i="93"/>
  <c r="U65" i="93"/>
  <c r="T65" i="93"/>
  <c r="S65" i="93"/>
  <c r="N65" i="93"/>
  <c r="M65" i="93"/>
  <c r="L65" i="93"/>
  <c r="K65" i="93"/>
  <c r="J65" i="93"/>
  <c r="I65" i="93"/>
  <c r="H65" i="93"/>
  <c r="G65" i="93"/>
  <c r="F65" i="93"/>
  <c r="E65" i="93"/>
  <c r="D65" i="93"/>
  <c r="C65" i="93"/>
  <c r="B65" i="93"/>
  <c r="A65" i="93"/>
  <c r="X65" i="93" s="1"/>
  <c r="V64" i="93"/>
  <c r="U64" i="93"/>
  <c r="T64" i="93"/>
  <c r="S64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X64" i="93" s="1"/>
  <c r="V63" i="93"/>
  <c r="U63" i="93"/>
  <c r="T63" i="93"/>
  <c r="S63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X63" i="93" s="1"/>
  <c r="V62" i="93"/>
  <c r="U62" i="93"/>
  <c r="T62" i="93"/>
  <c r="S62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X62" i="93" s="1"/>
  <c r="V61" i="93"/>
  <c r="U61" i="93"/>
  <c r="T61" i="93"/>
  <c r="S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X61" i="93" s="1"/>
  <c r="V60" i="93"/>
  <c r="U60" i="93"/>
  <c r="T60" i="93"/>
  <c r="S60" i="93"/>
  <c r="N60" i="93"/>
  <c r="M60" i="93"/>
  <c r="L60" i="93"/>
  <c r="K60" i="93"/>
  <c r="J60" i="93"/>
  <c r="I60" i="93"/>
  <c r="H60" i="93"/>
  <c r="G60" i="93"/>
  <c r="F60" i="93"/>
  <c r="E60" i="93"/>
  <c r="D60" i="93"/>
  <c r="C60" i="93"/>
  <c r="B60" i="93"/>
  <c r="A60" i="93"/>
  <c r="X60" i="93" s="1"/>
  <c r="V59" i="93"/>
  <c r="U59" i="93"/>
  <c r="T59" i="93"/>
  <c r="S59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X59" i="93" s="1"/>
  <c r="V58" i="93"/>
  <c r="U58" i="93"/>
  <c r="T58" i="93"/>
  <c r="S58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X58" i="93" s="1"/>
  <c r="V57" i="93"/>
  <c r="U57" i="93"/>
  <c r="T57" i="93"/>
  <c r="S57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X57" i="93" s="1"/>
  <c r="V56" i="93"/>
  <c r="U56" i="93"/>
  <c r="T56" i="93"/>
  <c r="S56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X56" i="93" s="1"/>
  <c r="V52" i="93"/>
  <c r="U52" i="93"/>
  <c r="T52" i="93"/>
  <c r="S52" i="93"/>
  <c r="N52" i="93"/>
  <c r="M52" i="93"/>
  <c r="L52" i="93"/>
  <c r="K52" i="93"/>
  <c r="J52" i="93"/>
  <c r="I52" i="93"/>
  <c r="H52" i="93"/>
  <c r="G52" i="93"/>
  <c r="F52" i="93"/>
  <c r="E52" i="93"/>
  <c r="D52" i="93"/>
  <c r="C52" i="93"/>
  <c r="B52" i="93"/>
  <c r="A52" i="93"/>
  <c r="X52" i="93" s="1"/>
  <c r="V51" i="93"/>
  <c r="U51" i="93"/>
  <c r="T51" i="93"/>
  <c r="S51" i="93"/>
  <c r="N51" i="93"/>
  <c r="M51" i="93"/>
  <c r="L51" i="93"/>
  <c r="K51" i="93"/>
  <c r="J51" i="93"/>
  <c r="I51" i="93"/>
  <c r="H51" i="93"/>
  <c r="G51" i="93"/>
  <c r="F51" i="93"/>
  <c r="E51" i="93"/>
  <c r="D51" i="93"/>
  <c r="C51" i="93"/>
  <c r="B51" i="93"/>
  <c r="A51" i="93"/>
  <c r="X51" i="93" s="1"/>
  <c r="V50" i="93"/>
  <c r="U50" i="93"/>
  <c r="T50" i="93"/>
  <c r="S50" i="93"/>
  <c r="N50" i="93"/>
  <c r="M50" i="93"/>
  <c r="L50" i="93"/>
  <c r="K50" i="93"/>
  <c r="J50" i="93"/>
  <c r="I50" i="93"/>
  <c r="H50" i="93"/>
  <c r="G50" i="93"/>
  <c r="F50" i="93"/>
  <c r="E50" i="93"/>
  <c r="D50" i="93"/>
  <c r="C50" i="93"/>
  <c r="B50" i="93"/>
  <c r="A50" i="93"/>
  <c r="X50" i="93" s="1"/>
  <c r="V49" i="93"/>
  <c r="U49" i="93"/>
  <c r="T49" i="93"/>
  <c r="S49" i="93"/>
  <c r="N49" i="93"/>
  <c r="M49" i="93"/>
  <c r="L49" i="93"/>
  <c r="K49" i="93"/>
  <c r="J49" i="93"/>
  <c r="I49" i="93"/>
  <c r="H49" i="93"/>
  <c r="G49" i="93"/>
  <c r="F49" i="93"/>
  <c r="E49" i="93"/>
  <c r="D49" i="93"/>
  <c r="C49" i="93"/>
  <c r="B49" i="93"/>
  <c r="A49" i="93"/>
  <c r="X49" i="93" s="1"/>
  <c r="V48" i="93"/>
  <c r="U48" i="93"/>
  <c r="T48" i="93"/>
  <c r="S48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X48" i="93" s="1"/>
  <c r="V47" i="93"/>
  <c r="U47" i="93"/>
  <c r="T47" i="93"/>
  <c r="S47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X47" i="93" s="1"/>
  <c r="V46" i="93"/>
  <c r="U46" i="93"/>
  <c r="T46" i="93"/>
  <c r="S46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X46" i="93" s="1"/>
  <c r="V45" i="93"/>
  <c r="U45" i="93"/>
  <c r="T45" i="93"/>
  <c r="S45" i="93"/>
  <c r="N45" i="93"/>
  <c r="M45" i="93"/>
  <c r="L45" i="93"/>
  <c r="K45" i="93"/>
  <c r="J45" i="93"/>
  <c r="I45" i="93"/>
  <c r="H45" i="93"/>
  <c r="G45" i="93"/>
  <c r="F45" i="93"/>
  <c r="E45" i="93"/>
  <c r="D45" i="93"/>
  <c r="C45" i="93"/>
  <c r="B45" i="93"/>
  <c r="A45" i="93"/>
  <c r="X45" i="93" s="1"/>
  <c r="V44" i="93"/>
  <c r="U44" i="93"/>
  <c r="T44" i="93"/>
  <c r="S44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X44" i="93" s="1"/>
  <c r="V43" i="93"/>
  <c r="U43" i="93"/>
  <c r="T43" i="93"/>
  <c r="S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X43" i="93" s="1"/>
  <c r="V42" i="93"/>
  <c r="U42" i="93"/>
  <c r="T42" i="93"/>
  <c r="S42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X42" i="93" s="1"/>
  <c r="V41" i="93"/>
  <c r="U41" i="93"/>
  <c r="T41" i="93"/>
  <c r="S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X41" i="93" s="1"/>
  <c r="V40" i="93"/>
  <c r="U40" i="93"/>
  <c r="T40" i="93"/>
  <c r="S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X40" i="93" s="1"/>
  <c r="V36" i="93"/>
  <c r="U36" i="93"/>
  <c r="T36" i="93"/>
  <c r="S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X36" i="93" s="1"/>
  <c r="V35" i="93"/>
  <c r="U35" i="93"/>
  <c r="T35" i="93"/>
  <c r="S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B35" i="93"/>
  <c r="A35" i="93"/>
  <c r="X35" i="93" s="1"/>
  <c r="V34" i="93"/>
  <c r="U34" i="93"/>
  <c r="T34" i="93"/>
  <c r="S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X34" i="93" s="1"/>
  <c r="V33" i="93"/>
  <c r="U33" i="93"/>
  <c r="T33" i="93"/>
  <c r="S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X33" i="93" s="1"/>
  <c r="V32" i="93"/>
  <c r="U32" i="93"/>
  <c r="T32" i="93"/>
  <c r="S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X32" i="93" s="1"/>
  <c r="V31" i="93"/>
  <c r="U31" i="93"/>
  <c r="T31" i="93"/>
  <c r="S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X31" i="93" s="1"/>
  <c r="V30" i="93"/>
  <c r="U30" i="93"/>
  <c r="T30" i="93"/>
  <c r="S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X30" i="93" s="1"/>
  <c r="V29" i="93"/>
  <c r="U29" i="93"/>
  <c r="T29" i="93"/>
  <c r="S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X29" i="93" s="1"/>
  <c r="V28" i="93"/>
  <c r="U28" i="93"/>
  <c r="T28" i="93"/>
  <c r="S28" i="93"/>
  <c r="N28" i="93"/>
  <c r="M28" i="93"/>
  <c r="L28" i="93"/>
  <c r="K28" i="93"/>
  <c r="J28" i="93"/>
  <c r="I28" i="93"/>
  <c r="H28" i="93"/>
  <c r="G28" i="93"/>
  <c r="F28" i="93"/>
  <c r="E28" i="93"/>
  <c r="D28" i="93"/>
  <c r="C28" i="93"/>
  <c r="B28" i="93"/>
  <c r="A28" i="93"/>
  <c r="X28" i="93" s="1"/>
  <c r="V27" i="93"/>
  <c r="U27" i="93"/>
  <c r="T27" i="93"/>
  <c r="S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X27" i="93" s="1"/>
  <c r="V26" i="93"/>
  <c r="U26" i="93"/>
  <c r="T26" i="93"/>
  <c r="S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X26" i="93" s="1"/>
  <c r="V25" i="93"/>
  <c r="U25" i="93"/>
  <c r="T25" i="93"/>
  <c r="S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X25" i="93" s="1"/>
  <c r="V24" i="93"/>
  <c r="U24" i="93"/>
  <c r="T24" i="93"/>
  <c r="S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X24" i="93" s="1"/>
  <c r="V20" i="93"/>
  <c r="U20" i="93"/>
  <c r="T20" i="93"/>
  <c r="S20" i="93"/>
  <c r="N20" i="93"/>
  <c r="M20" i="93"/>
  <c r="L20" i="93"/>
  <c r="K20" i="93"/>
  <c r="J20" i="93"/>
  <c r="I20" i="93"/>
  <c r="H20" i="93"/>
  <c r="G20" i="93"/>
  <c r="F20" i="93"/>
  <c r="E20" i="93"/>
  <c r="D20" i="93"/>
  <c r="C20" i="93"/>
  <c r="B20" i="93"/>
  <c r="A20" i="93"/>
  <c r="X20" i="93" s="1"/>
  <c r="V19" i="93"/>
  <c r="U19" i="93"/>
  <c r="T19" i="93"/>
  <c r="S19" i="93"/>
  <c r="N19" i="93"/>
  <c r="M19" i="93"/>
  <c r="L19" i="93"/>
  <c r="K19" i="93"/>
  <c r="J19" i="93"/>
  <c r="I19" i="93"/>
  <c r="H19" i="93"/>
  <c r="G19" i="93"/>
  <c r="F19" i="93"/>
  <c r="E19" i="93"/>
  <c r="D19" i="93"/>
  <c r="C19" i="93"/>
  <c r="B19" i="93"/>
  <c r="A19" i="93"/>
  <c r="X19" i="93" s="1"/>
  <c r="V18" i="93"/>
  <c r="U18" i="93"/>
  <c r="T18" i="93"/>
  <c r="S18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X18" i="93" s="1"/>
  <c r="V17" i="93"/>
  <c r="U17" i="93"/>
  <c r="T17" i="93"/>
  <c r="S17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X17" i="93" s="1"/>
  <c r="V16" i="93"/>
  <c r="U16" i="93"/>
  <c r="T16" i="93"/>
  <c r="S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X16" i="93" s="1"/>
  <c r="V15" i="93"/>
  <c r="U15" i="93"/>
  <c r="T15" i="93"/>
  <c r="S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X15" i="93" s="1"/>
  <c r="V14" i="93"/>
  <c r="U14" i="93"/>
  <c r="T14" i="93"/>
  <c r="S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X14" i="93" s="1"/>
  <c r="V13" i="93"/>
  <c r="U13" i="93"/>
  <c r="T13" i="93"/>
  <c r="S13" i="93"/>
  <c r="N13" i="93"/>
  <c r="M13" i="93"/>
  <c r="L13" i="93"/>
  <c r="K13" i="93"/>
  <c r="J13" i="93"/>
  <c r="I13" i="93"/>
  <c r="H13" i="93"/>
  <c r="G13" i="93"/>
  <c r="F13" i="93"/>
  <c r="E13" i="93"/>
  <c r="D13" i="93"/>
  <c r="C13" i="93"/>
  <c r="B13" i="93"/>
  <c r="A13" i="93"/>
  <c r="X13" i="93" s="1"/>
  <c r="V12" i="93"/>
  <c r="U12" i="93"/>
  <c r="T12" i="93"/>
  <c r="S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12" i="93"/>
  <c r="A12" i="93"/>
  <c r="X12" i="93" s="1"/>
  <c r="V11" i="93"/>
  <c r="U11" i="93"/>
  <c r="T11" i="93"/>
  <c r="S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B11" i="93"/>
  <c r="A11" i="93"/>
  <c r="X11" i="93" s="1"/>
  <c r="V10" i="93"/>
  <c r="U10" i="93"/>
  <c r="T10" i="93"/>
  <c r="S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X10" i="93" s="1"/>
  <c r="V9" i="93"/>
  <c r="U9" i="93"/>
  <c r="T9" i="93"/>
  <c r="S9" i="93"/>
  <c r="N9" i="93"/>
  <c r="M9" i="93"/>
  <c r="L9" i="93"/>
  <c r="K9" i="93"/>
  <c r="J9" i="93"/>
  <c r="I9" i="93"/>
  <c r="H9" i="93"/>
  <c r="G9" i="93"/>
  <c r="F9" i="93"/>
  <c r="E9" i="93"/>
  <c r="D9" i="93"/>
  <c r="C9" i="93"/>
  <c r="B9" i="93"/>
  <c r="A9" i="93"/>
  <c r="X9" i="93" s="1"/>
  <c r="V8" i="93"/>
  <c r="U8" i="93"/>
  <c r="T8" i="93"/>
  <c r="S8" i="93"/>
  <c r="N8" i="93"/>
  <c r="M8" i="93"/>
  <c r="L8" i="93"/>
  <c r="K8" i="93"/>
  <c r="J8" i="93"/>
  <c r="I8" i="93"/>
  <c r="H8" i="93"/>
  <c r="G8" i="93"/>
  <c r="F8" i="93"/>
  <c r="E8" i="93"/>
  <c r="D8" i="93"/>
  <c r="C8" i="93"/>
  <c r="B8" i="93"/>
  <c r="A8" i="93"/>
  <c r="X8" i="93" s="1"/>
  <c r="A109" i="91"/>
  <c r="B109" i="91"/>
  <c r="C109" i="91"/>
  <c r="D109" i="91"/>
  <c r="Q109" i="91" s="1"/>
  <c r="R109" i="91" s="1"/>
  <c r="E109" i="91"/>
  <c r="F109" i="91"/>
  <c r="G109" i="91"/>
  <c r="H109" i="91"/>
  <c r="I109" i="91"/>
  <c r="J109" i="91"/>
  <c r="K109" i="91"/>
  <c r="L109" i="91"/>
  <c r="M109" i="91"/>
  <c r="N109" i="91"/>
  <c r="O109" i="91"/>
  <c r="P109" i="91" s="1"/>
  <c r="S109" i="91"/>
  <c r="T109" i="91"/>
  <c r="U109" i="91"/>
  <c r="V109" i="91"/>
  <c r="W109" i="91"/>
  <c r="Y109" i="91" s="1"/>
  <c r="AA109" i="91" s="1"/>
  <c r="X109" i="91"/>
  <c r="A96" i="91"/>
  <c r="B96" i="91"/>
  <c r="C96" i="91"/>
  <c r="D96" i="91"/>
  <c r="E96" i="91"/>
  <c r="O96" i="91" s="1"/>
  <c r="P96" i="91" s="1"/>
  <c r="F96" i="91"/>
  <c r="G96" i="91"/>
  <c r="H96" i="91"/>
  <c r="I96" i="91"/>
  <c r="J96" i="91"/>
  <c r="K96" i="91"/>
  <c r="L96" i="91"/>
  <c r="M96" i="91"/>
  <c r="N96" i="91"/>
  <c r="S96" i="91"/>
  <c r="T96" i="91"/>
  <c r="W96" i="91" s="1"/>
  <c r="U96" i="91"/>
  <c r="V96" i="91"/>
  <c r="X96" i="91"/>
  <c r="A83" i="91"/>
  <c r="B83" i="91"/>
  <c r="C83" i="91"/>
  <c r="D83" i="91"/>
  <c r="E83" i="91"/>
  <c r="O83" i="91" s="1"/>
  <c r="P83" i="91" s="1"/>
  <c r="F83" i="91"/>
  <c r="G83" i="91"/>
  <c r="H83" i="91"/>
  <c r="I83" i="91"/>
  <c r="J83" i="91"/>
  <c r="K83" i="91"/>
  <c r="L83" i="91"/>
  <c r="M83" i="91"/>
  <c r="N83" i="91"/>
  <c r="S83" i="91"/>
  <c r="T83" i="91"/>
  <c r="W83" i="91" s="1"/>
  <c r="U83" i="91"/>
  <c r="V83" i="91"/>
  <c r="X83" i="91"/>
  <c r="A84" i="91"/>
  <c r="X84" i="91" s="1"/>
  <c r="B84" i="91"/>
  <c r="C84" i="91"/>
  <c r="D84" i="91"/>
  <c r="E84" i="91"/>
  <c r="F84" i="91"/>
  <c r="G84" i="91"/>
  <c r="H84" i="91"/>
  <c r="O84" i="91" s="1"/>
  <c r="P84" i="91" s="1"/>
  <c r="I84" i="91"/>
  <c r="J84" i="91"/>
  <c r="K84" i="91"/>
  <c r="L84" i="91"/>
  <c r="M84" i="91"/>
  <c r="N84" i="91"/>
  <c r="S84" i="91"/>
  <c r="W84" i="91" s="1"/>
  <c r="T84" i="91"/>
  <c r="U84" i="91"/>
  <c r="V84" i="91"/>
  <c r="A82" i="91"/>
  <c r="B82" i="91"/>
  <c r="C82" i="91"/>
  <c r="D82" i="91"/>
  <c r="E82" i="91"/>
  <c r="F82" i="91"/>
  <c r="G82" i="91"/>
  <c r="H82" i="91"/>
  <c r="I82" i="91"/>
  <c r="J82" i="91"/>
  <c r="K82" i="91"/>
  <c r="L82" i="91"/>
  <c r="M82" i="91"/>
  <c r="N82" i="91"/>
  <c r="S82" i="91"/>
  <c r="W82" i="91" s="1"/>
  <c r="T82" i="91"/>
  <c r="U82" i="91"/>
  <c r="V82" i="91"/>
  <c r="X82" i="91"/>
  <c r="A71" i="91"/>
  <c r="B71" i="91"/>
  <c r="C71" i="91"/>
  <c r="D71" i="91"/>
  <c r="E71" i="91"/>
  <c r="F71" i="91"/>
  <c r="G71" i="91"/>
  <c r="H71" i="91"/>
  <c r="I71" i="91"/>
  <c r="J71" i="91"/>
  <c r="K71" i="91"/>
  <c r="N71" i="91"/>
  <c r="S71" i="91"/>
  <c r="T71" i="91"/>
  <c r="U71" i="91"/>
  <c r="V71" i="91"/>
  <c r="W71" i="91"/>
  <c r="X71" i="91"/>
  <c r="A58" i="91"/>
  <c r="X58" i="91" s="1"/>
  <c r="B58" i="91"/>
  <c r="C58" i="91"/>
  <c r="D58" i="91"/>
  <c r="E58" i="91"/>
  <c r="F58" i="91"/>
  <c r="G58" i="91"/>
  <c r="H58" i="91"/>
  <c r="I58" i="91"/>
  <c r="J58" i="91"/>
  <c r="K58" i="91"/>
  <c r="L58" i="91"/>
  <c r="M58" i="91"/>
  <c r="N58" i="91"/>
  <c r="S58" i="91"/>
  <c r="W58" i="91" s="1"/>
  <c r="T58" i="91"/>
  <c r="U58" i="91"/>
  <c r="V58" i="91"/>
  <c r="A45" i="91"/>
  <c r="B45" i="91"/>
  <c r="C45" i="91"/>
  <c r="D45" i="91"/>
  <c r="E45" i="91"/>
  <c r="F45" i="91"/>
  <c r="G45" i="91"/>
  <c r="H45" i="91"/>
  <c r="I45" i="91"/>
  <c r="J45" i="91"/>
  <c r="K45" i="91"/>
  <c r="L45" i="91"/>
  <c r="M45" i="91"/>
  <c r="N45" i="91"/>
  <c r="S45" i="91"/>
  <c r="T45" i="91"/>
  <c r="U45" i="91"/>
  <c r="V45" i="91"/>
  <c r="W45" i="91"/>
  <c r="X45" i="91"/>
  <c r="A32" i="91"/>
  <c r="X32" i="91" s="1"/>
  <c r="B32" i="91"/>
  <c r="C32" i="91"/>
  <c r="D32" i="91"/>
  <c r="E32" i="91"/>
  <c r="F32" i="91"/>
  <c r="G32" i="91"/>
  <c r="H32" i="91"/>
  <c r="I32" i="91"/>
  <c r="J32" i="91"/>
  <c r="K32" i="91"/>
  <c r="L32" i="91"/>
  <c r="M32" i="91"/>
  <c r="N32" i="91"/>
  <c r="S32" i="91"/>
  <c r="W32" i="91" s="1"/>
  <c r="T32" i="91"/>
  <c r="U32" i="91"/>
  <c r="V32" i="91"/>
  <c r="A19" i="91"/>
  <c r="B19" i="91"/>
  <c r="C19" i="91"/>
  <c r="D19" i="91"/>
  <c r="E19" i="91"/>
  <c r="F19" i="91"/>
  <c r="G19" i="91"/>
  <c r="H19" i="91"/>
  <c r="I19" i="91"/>
  <c r="J19" i="91"/>
  <c r="K19" i="91"/>
  <c r="L19" i="91"/>
  <c r="M19" i="91"/>
  <c r="N19" i="91"/>
  <c r="S19" i="91"/>
  <c r="T19" i="91"/>
  <c r="U19" i="91"/>
  <c r="V19" i="91"/>
  <c r="W19" i="91"/>
  <c r="X19" i="91"/>
  <c r="Z116" i="93" l="1"/>
  <c r="AB116" i="93" s="1"/>
  <c r="Z71" i="93"/>
  <c r="AB71" i="93" s="1"/>
  <c r="AA71" i="93"/>
  <c r="AA38" i="93"/>
  <c r="Z38" i="93"/>
  <c r="AB38" i="93" s="1"/>
  <c r="AA23" i="93"/>
  <c r="Z23" i="93"/>
  <c r="AB23" i="93" s="1"/>
  <c r="AA87" i="93"/>
  <c r="Z87" i="93"/>
  <c r="AB87" i="93" s="1"/>
  <c r="AA134" i="93"/>
  <c r="Z134" i="93"/>
  <c r="AB134" i="93" s="1"/>
  <c r="AA86" i="93"/>
  <c r="Z86" i="93"/>
  <c r="AB86" i="93" s="1"/>
  <c r="AA39" i="93"/>
  <c r="Z39" i="93"/>
  <c r="AB39" i="93" s="1"/>
  <c r="AA101" i="93"/>
  <c r="Z101" i="93"/>
  <c r="AB101" i="93" s="1"/>
  <c r="AA102" i="93"/>
  <c r="Z102" i="93"/>
  <c r="AB102" i="93" s="1"/>
  <c r="AA22" i="93"/>
  <c r="Z22" i="93"/>
  <c r="AB22" i="93" s="1"/>
  <c r="O127" i="93"/>
  <c r="P127" i="93" s="1"/>
  <c r="W112" i="93"/>
  <c r="O124" i="93"/>
  <c r="P124" i="93" s="1"/>
  <c r="W10" i="93"/>
  <c r="W77" i="93"/>
  <c r="W11" i="93"/>
  <c r="W15" i="93"/>
  <c r="W49" i="93"/>
  <c r="W60" i="93"/>
  <c r="W64" i="93"/>
  <c r="W68" i="93"/>
  <c r="W75" i="93"/>
  <c r="W79" i="93"/>
  <c r="W89" i="93"/>
  <c r="W93" i="93"/>
  <c r="W29" i="93"/>
  <c r="W52" i="93"/>
  <c r="O72" i="93"/>
  <c r="P72" i="93" s="1"/>
  <c r="O75" i="93"/>
  <c r="P75" i="93" s="1"/>
  <c r="O78" i="93"/>
  <c r="Q78" i="93" s="1"/>
  <c r="R78" i="93" s="1"/>
  <c r="W78" i="93"/>
  <c r="W14" i="93"/>
  <c r="W18" i="93"/>
  <c r="W25" i="93"/>
  <c r="W40" i="93"/>
  <c r="W48" i="93"/>
  <c r="O52" i="93"/>
  <c r="Q52" i="93" s="1"/>
  <c r="R52" i="93" s="1"/>
  <c r="W58" i="93"/>
  <c r="O60" i="93"/>
  <c r="Q60" i="93" s="1"/>
  <c r="R60" i="93" s="1"/>
  <c r="W63" i="93"/>
  <c r="W67" i="93"/>
  <c r="O68" i="93"/>
  <c r="P68" i="93" s="1"/>
  <c r="W74" i="93"/>
  <c r="W97" i="93"/>
  <c r="W104" i="93"/>
  <c r="W108" i="93"/>
  <c r="O114" i="93"/>
  <c r="P114" i="93" s="1"/>
  <c r="W119" i="93"/>
  <c r="W123" i="93"/>
  <c r="W127" i="93"/>
  <c r="W131" i="93"/>
  <c r="W24" i="93"/>
  <c r="O44" i="93"/>
  <c r="Q44" i="93" s="1"/>
  <c r="R44" i="93" s="1"/>
  <c r="W8" i="93"/>
  <c r="W72" i="93"/>
  <c r="W90" i="93"/>
  <c r="O92" i="93"/>
  <c r="P92" i="93" s="1"/>
  <c r="W109" i="93"/>
  <c r="W121" i="93"/>
  <c r="W43" i="93"/>
  <c r="O20" i="93"/>
  <c r="Q20" i="93" s="1"/>
  <c r="R20" i="93" s="1"/>
  <c r="O28" i="93"/>
  <c r="P28" i="93" s="1"/>
  <c r="W36" i="93"/>
  <c r="W47" i="93"/>
  <c r="W61" i="93"/>
  <c r="W65" i="93"/>
  <c r="W80" i="93"/>
  <c r="W95" i="93"/>
  <c r="O89" i="93"/>
  <c r="Q89" i="93" s="1"/>
  <c r="R89" i="93" s="1"/>
  <c r="W115" i="93"/>
  <c r="O120" i="93"/>
  <c r="P120" i="93" s="1"/>
  <c r="O121" i="93"/>
  <c r="P121" i="93" s="1"/>
  <c r="O123" i="93"/>
  <c r="P123" i="93" s="1"/>
  <c r="W125" i="93"/>
  <c r="O126" i="93"/>
  <c r="P126" i="93" s="1"/>
  <c r="W129" i="93"/>
  <c r="W130" i="93"/>
  <c r="W12" i="93"/>
  <c r="W16" i="93"/>
  <c r="W20" i="93"/>
  <c r="W27" i="93"/>
  <c r="W31" i="93"/>
  <c r="W35" i="93"/>
  <c r="W42" i="93"/>
  <c r="W46" i="93"/>
  <c r="W50" i="93"/>
  <c r="W57" i="93"/>
  <c r="W76" i="93"/>
  <c r="W128" i="93"/>
  <c r="O15" i="93"/>
  <c r="Q15" i="93" s="1"/>
  <c r="R15" i="93" s="1"/>
  <c r="O79" i="93"/>
  <c r="P79" i="93" s="1"/>
  <c r="O81" i="93"/>
  <c r="P81" i="93" s="1"/>
  <c r="W81" i="93"/>
  <c r="O84" i="93"/>
  <c r="Q84" i="93" s="1"/>
  <c r="R84" i="93" s="1"/>
  <c r="W84" i="93"/>
  <c r="W92" i="93"/>
  <c r="O93" i="93"/>
  <c r="P93" i="93" s="1"/>
  <c r="W96" i="93"/>
  <c r="W99" i="93"/>
  <c r="O103" i="93"/>
  <c r="P103" i="93" s="1"/>
  <c r="W103" i="93"/>
  <c r="O104" i="93"/>
  <c r="P104" i="93" s="1"/>
  <c r="O108" i="93"/>
  <c r="P108" i="93" s="1"/>
  <c r="W111" i="93"/>
  <c r="O112" i="93"/>
  <c r="Q112" i="93" s="1"/>
  <c r="O119" i="93"/>
  <c r="P119" i="93" s="1"/>
  <c r="W122" i="93"/>
  <c r="O131" i="93"/>
  <c r="Q131" i="93" s="1"/>
  <c r="O9" i="93"/>
  <c r="P9" i="93" s="1"/>
  <c r="O12" i="93"/>
  <c r="Q12" i="93" s="1"/>
  <c r="R12" i="93" s="1"/>
  <c r="O50" i="93"/>
  <c r="P50" i="93" s="1"/>
  <c r="W9" i="93"/>
  <c r="O13" i="93"/>
  <c r="P13" i="93" s="1"/>
  <c r="W17" i="93"/>
  <c r="O27" i="93"/>
  <c r="P27" i="93" s="1"/>
  <c r="O65" i="93"/>
  <c r="P65" i="93" s="1"/>
  <c r="O76" i="93"/>
  <c r="P76" i="93" s="1"/>
  <c r="O80" i="93"/>
  <c r="P80" i="93" s="1"/>
  <c r="O94" i="93"/>
  <c r="P94" i="93" s="1"/>
  <c r="O113" i="93"/>
  <c r="P113" i="93" s="1"/>
  <c r="O57" i="93"/>
  <c r="P57" i="93" s="1"/>
  <c r="O31" i="93"/>
  <c r="P31" i="93" s="1"/>
  <c r="O61" i="93"/>
  <c r="P61" i="93" s="1"/>
  <c r="O10" i="93"/>
  <c r="Q10" i="93" s="1"/>
  <c r="O24" i="93"/>
  <c r="P24" i="93" s="1"/>
  <c r="W28" i="93"/>
  <c r="W32" i="93"/>
  <c r="O35" i="93"/>
  <c r="Q35" i="93" s="1"/>
  <c r="R35" i="93" s="1"/>
  <c r="O42" i="93"/>
  <c r="Q42" i="93" s="1"/>
  <c r="R42" i="93" s="1"/>
  <c r="O46" i="93"/>
  <c r="P46" i="93" s="1"/>
  <c r="O58" i="93"/>
  <c r="P58" i="93" s="1"/>
  <c r="O59" i="93"/>
  <c r="P59" i="93" s="1"/>
  <c r="W66" i="93"/>
  <c r="O73" i="93"/>
  <c r="P73" i="93" s="1"/>
  <c r="W82" i="93"/>
  <c r="W83" i="93"/>
  <c r="O91" i="93"/>
  <c r="Q91" i="93" s="1"/>
  <c r="R91" i="93" s="1"/>
  <c r="W91" i="93"/>
  <c r="O95" i="93"/>
  <c r="P95" i="93" s="1"/>
  <c r="O99" i="93"/>
  <c r="P99" i="93" s="1"/>
  <c r="W106" i="93"/>
  <c r="O107" i="93"/>
  <c r="Q107" i="93" s="1"/>
  <c r="R107" i="93" s="1"/>
  <c r="O110" i="93"/>
  <c r="P110" i="93" s="1"/>
  <c r="W110" i="93"/>
  <c r="W114" i="93"/>
  <c r="O122" i="93"/>
  <c r="P122" i="93" s="1"/>
  <c r="O125" i="93"/>
  <c r="Q125" i="93" s="1"/>
  <c r="R125" i="93" s="1"/>
  <c r="O129" i="93"/>
  <c r="P129" i="93" s="1"/>
  <c r="Q124" i="93"/>
  <c r="R124" i="93" s="1"/>
  <c r="O17" i="93"/>
  <c r="O33" i="93"/>
  <c r="O8" i="93"/>
  <c r="Q8" i="93" s="1"/>
  <c r="O14" i="93"/>
  <c r="W19" i="93"/>
  <c r="O43" i="93"/>
  <c r="W44" i="93"/>
  <c r="W51" i="93"/>
  <c r="O64" i="93"/>
  <c r="P64" i="93" s="1"/>
  <c r="O11" i="93"/>
  <c r="P11" i="93" s="1"/>
  <c r="O29" i="93"/>
  <c r="O18" i="93"/>
  <c r="O40" i="93"/>
  <c r="O48" i="93"/>
  <c r="O25" i="93"/>
  <c r="W13" i="93"/>
  <c r="O16" i="93"/>
  <c r="O32" i="93"/>
  <c r="W33" i="93"/>
  <c r="W56" i="93"/>
  <c r="O49" i="93"/>
  <c r="O51" i="93"/>
  <c r="W62" i="93"/>
  <c r="O66" i="93"/>
  <c r="P66" i="93" s="1"/>
  <c r="O83" i="93"/>
  <c r="O98" i="93"/>
  <c r="O45" i="93"/>
  <c r="P45" i="93" s="1"/>
  <c r="O26" i="93"/>
  <c r="W30" i="93"/>
  <c r="O34" i="93"/>
  <c r="P34" i="93" s="1"/>
  <c r="W41" i="93"/>
  <c r="W59" i="93"/>
  <c r="O63" i="93"/>
  <c r="W73" i="93"/>
  <c r="O77" i="93"/>
  <c r="P77" i="93" s="1"/>
  <c r="O82" i="93"/>
  <c r="O88" i="93"/>
  <c r="O62" i="93"/>
  <c r="O67" i="93"/>
  <c r="O47" i="93"/>
  <c r="O56" i="93"/>
  <c r="P56" i="93" s="1"/>
  <c r="O36" i="93"/>
  <c r="O19" i="93"/>
  <c r="W26" i="93"/>
  <c r="O30" i="93"/>
  <c r="W34" i="93"/>
  <c r="O41" i="93"/>
  <c r="W45" i="93"/>
  <c r="O74" i="93"/>
  <c r="O97" i="93"/>
  <c r="W105" i="93"/>
  <c r="O106" i="93"/>
  <c r="O90" i="93"/>
  <c r="W98" i="93"/>
  <c r="O109" i="93"/>
  <c r="W120" i="93"/>
  <c r="O128" i="93"/>
  <c r="W124" i="93"/>
  <c r="O111" i="93"/>
  <c r="W94" i="93"/>
  <c r="O105" i="93"/>
  <c r="W113" i="93"/>
  <c r="O130" i="93"/>
  <c r="W88" i="93"/>
  <c r="O96" i="93"/>
  <c r="W107" i="93"/>
  <c r="O115" i="93"/>
  <c r="W126" i="93"/>
  <c r="Z109" i="91"/>
  <c r="AB109" i="91" s="1"/>
  <c r="Y96" i="91"/>
  <c r="AA96" i="91" s="1"/>
  <c r="Z96" i="91"/>
  <c r="AB96" i="91" s="1"/>
  <c r="Q96" i="91"/>
  <c r="R96" i="91" s="1"/>
  <c r="Q84" i="91"/>
  <c r="Q83" i="91"/>
  <c r="O58" i="91"/>
  <c r="P58" i="91" s="1"/>
  <c r="O82" i="91"/>
  <c r="O19" i="91"/>
  <c r="P19" i="91" s="1"/>
  <c r="O71" i="91"/>
  <c r="P71" i="91" s="1"/>
  <c r="O32" i="91"/>
  <c r="P32" i="91" s="1"/>
  <c r="O45" i="91"/>
  <c r="P45" i="91" s="1"/>
  <c r="Q82" i="91"/>
  <c r="P82" i="91"/>
  <c r="Y58" i="91"/>
  <c r="AA58" i="91" s="1"/>
  <c r="Q58" i="91"/>
  <c r="R58" i="91" s="1"/>
  <c r="Y19" i="91"/>
  <c r="AA19" i="91" s="1"/>
  <c r="Q19" i="91"/>
  <c r="R19" i="91" s="1"/>
  <c r="P44" i="93" l="1"/>
  <c r="Q72" i="93"/>
  <c r="R72" i="93" s="1"/>
  <c r="P89" i="93"/>
  <c r="P84" i="93"/>
  <c r="Y78" i="93"/>
  <c r="AA78" i="93" s="1"/>
  <c r="Q127" i="93"/>
  <c r="R127" i="93" s="1"/>
  <c r="P78" i="93"/>
  <c r="P52" i="93"/>
  <c r="Q28" i="93"/>
  <c r="R28" i="93" s="1"/>
  <c r="Q68" i="93"/>
  <c r="R68" i="93" s="1"/>
  <c r="Y35" i="93"/>
  <c r="AA35" i="93" s="1"/>
  <c r="Q95" i="93"/>
  <c r="R95" i="93" s="1"/>
  <c r="Q75" i="93"/>
  <c r="R75" i="93" s="1"/>
  <c r="Q9" i="93"/>
  <c r="Y9" i="93" s="1"/>
  <c r="Q121" i="93"/>
  <c r="R121" i="93" s="1"/>
  <c r="P20" i="93"/>
  <c r="Q103" i="93"/>
  <c r="Y103" i="93" s="1"/>
  <c r="Y72" i="93"/>
  <c r="AA72" i="93" s="1"/>
  <c r="P60" i="93"/>
  <c r="Q65" i="93"/>
  <c r="R65" i="93" s="1"/>
  <c r="P112" i="93"/>
  <c r="Y112" i="93" s="1"/>
  <c r="Q114" i="93"/>
  <c r="R114" i="93" s="1"/>
  <c r="P12" i="93"/>
  <c r="Q93" i="93"/>
  <c r="R93" i="93" s="1"/>
  <c r="Y60" i="93"/>
  <c r="AA60" i="93" s="1"/>
  <c r="P35" i="93"/>
  <c r="Q80" i="93"/>
  <c r="R80" i="93" s="1"/>
  <c r="P42" i="93"/>
  <c r="Q76" i="93"/>
  <c r="R76" i="93" s="1"/>
  <c r="Q57" i="93"/>
  <c r="R57" i="93" s="1"/>
  <c r="Y20" i="93"/>
  <c r="AA20" i="93" s="1"/>
  <c r="Q123" i="93"/>
  <c r="P15" i="93"/>
  <c r="P91" i="93"/>
  <c r="Q126" i="93"/>
  <c r="R126" i="93" s="1"/>
  <c r="Q13" i="93"/>
  <c r="R13" i="93" s="1"/>
  <c r="Q92" i="93"/>
  <c r="R92" i="93" s="1"/>
  <c r="Q113" i="93"/>
  <c r="R113" i="93" s="1"/>
  <c r="Q79" i="93"/>
  <c r="R79" i="93" s="1"/>
  <c r="Q119" i="93"/>
  <c r="R119" i="93" s="1"/>
  <c r="R10" i="93"/>
  <c r="Y10" i="93"/>
  <c r="AA10" i="93" s="1"/>
  <c r="Q129" i="93"/>
  <c r="R129" i="93" s="1"/>
  <c r="Q120" i="93"/>
  <c r="R120" i="93" s="1"/>
  <c r="Q24" i="93"/>
  <c r="R24" i="93" s="1"/>
  <c r="P10" i="93"/>
  <c r="P107" i="93"/>
  <c r="Q59" i="93"/>
  <c r="R59" i="93" s="1"/>
  <c r="Y89" i="93"/>
  <c r="AA89" i="93" s="1"/>
  <c r="Q99" i="93"/>
  <c r="R99" i="93" s="1"/>
  <c r="Q104" i="93"/>
  <c r="R104" i="93" s="1"/>
  <c r="Q108" i="93"/>
  <c r="R108" i="93" s="1"/>
  <c r="R131" i="93"/>
  <c r="Y131" i="93"/>
  <c r="AA131" i="93" s="1"/>
  <c r="Q77" i="93"/>
  <c r="R77" i="93" s="1"/>
  <c r="Y84" i="93"/>
  <c r="AA84" i="93" s="1"/>
  <c r="Q110" i="93"/>
  <c r="R110" i="93" s="1"/>
  <c r="P125" i="93"/>
  <c r="Q73" i="93"/>
  <c r="R73" i="93" s="1"/>
  <c r="Q81" i="93"/>
  <c r="Y81" i="93" s="1"/>
  <c r="Q31" i="93"/>
  <c r="R31" i="93" s="1"/>
  <c r="P131" i="93"/>
  <c r="Q50" i="93"/>
  <c r="Q46" i="93"/>
  <c r="R46" i="93" s="1"/>
  <c r="Q27" i="93"/>
  <c r="R27" i="93" s="1"/>
  <c r="Y12" i="93"/>
  <c r="Q94" i="93"/>
  <c r="R94" i="93" s="1"/>
  <c r="Q122" i="93"/>
  <c r="Y122" i="93" s="1"/>
  <c r="Q58" i="93"/>
  <c r="Q61" i="93"/>
  <c r="R61" i="93" s="1"/>
  <c r="Y127" i="93"/>
  <c r="AA127" i="93" s="1"/>
  <c r="Y52" i="93"/>
  <c r="AA52" i="93" s="1"/>
  <c r="Q56" i="93"/>
  <c r="R56" i="93" s="1"/>
  <c r="P90" i="93"/>
  <c r="Q90" i="93"/>
  <c r="Y107" i="93"/>
  <c r="AA107" i="93" s="1"/>
  <c r="Q66" i="93"/>
  <c r="Y124" i="93"/>
  <c r="AA124" i="93" s="1"/>
  <c r="P109" i="93"/>
  <c r="Q109" i="93"/>
  <c r="P74" i="93"/>
  <c r="Q74" i="93"/>
  <c r="P36" i="93"/>
  <c r="Q36" i="93"/>
  <c r="P49" i="93"/>
  <c r="Q49" i="93"/>
  <c r="P25" i="93"/>
  <c r="Q25" i="93"/>
  <c r="P18" i="93"/>
  <c r="Q18" i="93"/>
  <c r="Q64" i="93"/>
  <c r="Y42" i="93"/>
  <c r="P8" i="93"/>
  <c r="P47" i="93"/>
  <c r="Q47" i="93"/>
  <c r="P96" i="93"/>
  <c r="Q96" i="93"/>
  <c r="P40" i="93"/>
  <c r="Q40" i="93"/>
  <c r="P29" i="93"/>
  <c r="Q29" i="93"/>
  <c r="P41" i="93"/>
  <c r="Q41" i="93"/>
  <c r="R41" i="93" s="1"/>
  <c r="P128" i="93"/>
  <c r="Q128" i="93"/>
  <c r="P62" i="93"/>
  <c r="Q62" i="93"/>
  <c r="R62" i="93" s="1"/>
  <c r="P33" i="93"/>
  <c r="Q33" i="93"/>
  <c r="P48" i="93"/>
  <c r="Q48" i="93"/>
  <c r="Q11" i="93"/>
  <c r="P105" i="93"/>
  <c r="Q105" i="93"/>
  <c r="R105" i="93" s="1"/>
  <c r="Q67" i="93"/>
  <c r="P67" i="93"/>
  <c r="P26" i="93"/>
  <c r="Q26" i="93"/>
  <c r="R26" i="93" s="1"/>
  <c r="P43" i="93"/>
  <c r="Q43" i="93"/>
  <c r="P30" i="93"/>
  <c r="Q30" i="93"/>
  <c r="R30" i="93" s="1"/>
  <c r="P88" i="93"/>
  <c r="Q88" i="93"/>
  <c r="R88" i="93" s="1"/>
  <c r="P82" i="93"/>
  <c r="Q82" i="93"/>
  <c r="Y125" i="93"/>
  <c r="Q34" i="93"/>
  <c r="R34" i="93" s="1"/>
  <c r="Y44" i="93"/>
  <c r="AA44" i="93" s="1"/>
  <c r="P106" i="93"/>
  <c r="Q106" i="93"/>
  <c r="R112" i="93"/>
  <c r="P32" i="93"/>
  <c r="Q32" i="93"/>
  <c r="P111" i="93"/>
  <c r="Q111" i="93"/>
  <c r="Q63" i="93"/>
  <c r="P63" i="93"/>
  <c r="Q16" i="93"/>
  <c r="P16" i="93"/>
  <c r="P97" i="93"/>
  <c r="Q97" i="93"/>
  <c r="Y91" i="93"/>
  <c r="P98" i="93"/>
  <c r="Q98" i="93"/>
  <c r="Q45" i="93"/>
  <c r="R45" i="93" s="1"/>
  <c r="P115" i="93"/>
  <c r="Q115" i="93"/>
  <c r="P130" i="93"/>
  <c r="Q130" i="93"/>
  <c r="P19" i="93"/>
  <c r="Q19" i="93"/>
  <c r="R19" i="93" s="1"/>
  <c r="P83" i="93"/>
  <c r="Q83" i="93"/>
  <c r="P51" i="93"/>
  <c r="Q51" i="93"/>
  <c r="R51" i="93" s="1"/>
  <c r="P14" i="93"/>
  <c r="Q14" i="93"/>
  <c r="P17" i="93"/>
  <c r="Q17" i="93"/>
  <c r="Y15" i="93"/>
  <c r="Y83" i="91"/>
  <c r="R83" i="91"/>
  <c r="R84" i="91"/>
  <c r="Y84" i="91"/>
  <c r="Q45" i="91"/>
  <c r="Z58" i="91"/>
  <c r="AB58" i="91" s="1"/>
  <c r="Q32" i="91"/>
  <c r="Q71" i="91"/>
  <c r="Y82" i="91"/>
  <c r="R82" i="91"/>
  <c r="Z19" i="91"/>
  <c r="AB19" i="91" s="1"/>
  <c r="Z78" i="93" l="1"/>
  <c r="AB78" i="93" s="1"/>
  <c r="Y28" i="93"/>
  <c r="AA28" i="93" s="1"/>
  <c r="Y68" i="93"/>
  <c r="Z10" i="93"/>
  <c r="AB10" i="93" s="1"/>
  <c r="Y65" i="93"/>
  <c r="Z65" i="93" s="1"/>
  <c r="AB65" i="93" s="1"/>
  <c r="Y75" i="93"/>
  <c r="AA75" i="93" s="1"/>
  <c r="Z35" i="93"/>
  <c r="AB35" i="93" s="1"/>
  <c r="Y95" i="93"/>
  <c r="AA95" i="93" s="1"/>
  <c r="Y99" i="93"/>
  <c r="Z99" i="93" s="1"/>
  <c r="AB99" i="93" s="1"/>
  <c r="Y80" i="93"/>
  <c r="Z80" i="93" s="1"/>
  <c r="AB80" i="93" s="1"/>
  <c r="Z127" i="93"/>
  <c r="AB127" i="93" s="1"/>
  <c r="R9" i="93"/>
  <c r="Y121" i="93"/>
  <c r="AA121" i="93" s="1"/>
  <c r="Y57" i="93"/>
  <c r="AA57" i="93" s="1"/>
  <c r="R103" i="93"/>
  <c r="Y114" i="93"/>
  <c r="Z114" i="93" s="1"/>
  <c r="AB114" i="93" s="1"/>
  <c r="Y129" i="93"/>
  <c r="AA129" i="93" s="1"/>
  <c r="Y110" i="93"/>
  <c r="AA110" i="93" s="1"/>
  <c r="Z72" i="93"/>
  <c r="AB72" i="93" s="1"/>
  <c r="Y93" i="93"/>
  <c r="AA93" i="93" s="1"/>
  <c r="Z89" i="93"/>
  <c r="AB89" i="93" s="1"/>
  <c r="Y119" i="93"/>
  <c r="AA119" i="93" s="1"/>
  <c r="Z28" i="93"/>
  <c r="AB28" i="93" s="1"/>
  <c r="Z60" i="93"/>
  <c r="AB60" i="93" s="1"/>
  <c r="Y113" i="93"/>
  <c r="AA113" i="93" s="1"/>
  <c r="Y79" i="93"/>
  <c r="Z79" i="93" s="1"/>
  <c r="AB79" i="93" s="1"/>
  <c r="Y24" i="93"/>
  <c r="Z24" i="93" s="1"/>
  <c r="AB24" i="93" s="1"/>
  <c r="Z20" i="93"/>
  <c r="AB20" i="93" s="1"/>
  <c r="R122" i="93"/>
  <c r="Y76" i="93"/>
  <c r="AA76" i="93" s="1"/>
  <c r="Y126" i="93"/>
  <c r="AA126" i="93" s="1"/>
  <c r="R123" i="93"/>
  <c r="Y123" i="93"/>
  <c r="Y104" i="93"/>
  <c r="AA104" i="93" s="1"/>
  <c r="Y13" i="93"/>
  <c r="AA13" i="93" s="1"/>
  <c r="Y120" i="93"/>
  <c r="AA120" i="93" s="1"/>
  <c r="Y92" i="93"/>
  <c r="AA92" i="93" s="1"/>
  <c r="Y108" i="93"/>
  <c r="R81" i="93"/>
  <c r="Y73" i="93"/>
  <c r="AA73" i="93" s="1"/>
  <c r="Y59" i="93"/>
  <c r="Z131" i="93"/>
  <c r="AB131" i="93" s="1"/>
  <c r="Y31" i="93"/>
  <c r="AA31" i="93" s="1"/>
  <c r="Y77" i="93"/>
  <c r="AA77" i="93" s="1"/>
  <c r="Y56" i="93"/>
  <c r="AA56" i="93" s="1"/>
  <c r="Y94" i="93"/>
  <c r="AA94" i="93" s="1"/>
  <c r="Z84" i="93"/>
  <c r="AB84" i="93" s="1"/>
  <c r="Y46" i="93"/>
  <c r="Z46" i="93" s="1"/>
  <c r="AB46" i="93" s="1"/>
  <c r="Y27" i="93"/>
  <c r="AA27" i="93" s="1"/>
  <c r="R50" i="93"/>
  <c r="Y50" i="93"/>
  <c r="Y61" i="93"/>
  <c r="Z61" i="93" s="1"/>
  <c r="AB61" i="93" s="1"/>
  <c r="R58" i="93"/>
  <c r="Y58" i="93"/>
  <c r="Z124" i="93"/>
  <c r="AB124" i="93" s="1"/>
  <c r="AA12" i="93"/>
  <c r="Z12" i="93"/>
  <c r="AB12" i="93" s="1"/>
  <c r="Z103" i="93"/>
  <c r="AB103" i="93" s="1"/>
  <c r="AA103" i="93"/>
  <c r="Y19" i="93"/>
  <c r="AA19" i="93" s="1"/>
  <c r="Y26" i="93"/>
  <c r="AA26" i="93" s="1"/>
  <c r="Y62" i="93"/>
  <c r="AA62" i="93" s="1"/>
  <c r="Z52" i="93"/>
  <c r="AB52" i="93" s="1"/>
  <c r="Z81" i="93"/>
  <c r="AB81" i="93" s="1"/>
  <c r="AA81" i="93"/>
  <c r="AA122" i="93"/>
  <c r="Z122" i="93"/>
  <c r="AB122" i="93" s="1"/>
  <c r="Y45" i="93"/>
  <c r="R128" i="93"/>
  <c r="Y128" i="93"/>
  <c r="Y30" i="93"/>
  <c r="R18" i="93"/>
  <c r="Y18" i="93"/>
  <c r="R49" i="93"/>
  <c r="Y49" i="93"/>
  <c r="R109" i="93"/>
  <c r="Y109" i="93"/>
  <c r="R111" i="93"/>
  <c r="Y111" i="93"/>
  <c r="R106" i="93"/>
  <c r="Y106" i="93"/>
  <c r="R40" i="93"/>
  <c r="Y40" i="93"/>
  <c r="Y96" i="93"/>
  <c r="R96" i="93"/>
  <c r="R47" i="93"/>
  <c r="Y47" i="93"/>
  <c r="R90" i="93"/>
  <c r="Y90" i="93"/>
  <c r="R8" i="93"/>
  <c r="Y8" i="93"/>
  <c r="AA68" i="93"/>
  <c r="Z68" i="93"/>
  <c r="AB68" i="93" s="1"/>
  <c r="Y41" i="93"/>
  <c r="R17" i="93"/>
  <c r="R11" i="93"/>
  <c r="Y11" i="93"/>
  <c r="R25" i="93"/>
  <c r="Y25" i="93"/>
  <c r="R36" i="93"/>
  <c r="Y36" i="93"/>
  <c r="R66" i="93"/>
  <c r="Y66" i="93"/>
  <c r="R83" i="93"/>
  <c r="Y83" i="93"/>
  <c r="R14" i="93"/>
  <c r="Y14" i="93"/>
  <c r="R16" i="93"/>
  <c r="Y16" i="93"/>
  <c r="AA112" i="93"/>
  <c r="Z112" i="93"/>
  <c r="AB112" i="93" s="1"/>
  <c r="Y33" i="93"/>
  <c r="R33" i="93"/>
  <c r="R115" i="93"/>
  <c r="Y115" i="93"/>
  <c r="R130" i="93"/>
  <c r="Y130" i="93"/>
  <c r="R32" i="93"/>
  <c r="Y32" i="93"/>
  <c r="R98" i="93"/>
  <c r="Y98" i="93"/>
  <c r="Z44" i="93"/>
  <c r="AB44" i="93" s="1"/>
  <c r="AA125" i="93"/>
  <c r="Z125" i="93"/>
  <c r="AB125" i="93" s="1"/>
  <c r="R43" i="93"/>
  <c r="Y43" i="93"/>
  <c r="Y51" i="93"/>
  <c r="AA42" i="93"/>
  <c r="Z42" i="93"/>
  <c r="AB42" i="93" s="1"/>
  <c r="AA91" i="93"/>
  <c r="Z91" i="93"/>
  <c r="AB91" i="93" s="1"/>
  <c r="R63" i="93"/>
  <c r="Y63" i="93"/>
  <c r="Y88" i="93"/>
  <c r="R82" i="93"/>
  <c r="Y82" i="93"/>
  <c r="R67" i="93"/>
  <c r="Y67" i="93"/>
  <c r="R64" i="93"/>
  <c r="Y64" i="93"/>
  <c r="R74" i="93"/>
  <c r="Y74" i="93"/>
  <c r="AA15" i="93"/>
  <c r="Z15" i="93"/>
  <c r="AB15" i="93" s="1"/>
  <c r="AA9" i="93"/>
  <c r="Z9" i="93"/>
  <c r="AB9" i="93" s="1"/>
  <c r="R97" i="93"/>
  <c r="Y97" i="93"/>
  <c r="Y105" i="93"/>
  <c r="Y34" i="93"/>
  <c r="R48" i="93"/>
  <c r="Y48" i="93"/>
  <c r="R29" i="93"/>
  <c r="Y29" i="93"/>
  <c r="AA65" i="93"/>
  <c r="Z107" i="93"/>
  <c r="AB107" i="93" s="1"/>
  <c r="Z84" i="91"/>
  <c r="AB84" i="91" s="1"/>
  <c r="AA84" i="91"/>
  <c r="Z83" i="91"/>
  <c r="AB83" i="91" s="1"/>
  <c r="AA83" i="91"/>
  <c r="R71" i="91"/>
  <c r="Y71" i="91"/>
  <c r="R32" i="91"/>
  <c r="Y32" i="91"/>
  <c r="R45" i="91"/>
  <c r="Y45" i="91"/>
  <c r="Z82" i="91"/>
  <c r="AB82" i="91" s="1"/>
  <c r="AA82" i="91"/>
  <c r="AA99" i="93" l="1"/>
  <c r="Z95" i="93"/>
  <c r="AB95" i="93" s="1"/>
  <c r="AA80" i="93"/>
  <c r="Z75" i="93"/>
  <c r="AB75" i="93" s="1"/>
  <c r="AA114" i="93"/>
  <c r="Z121" i="93"/>
  <c r="AB121" i="93" s="1"/>
  <c r="Z119" i="93"/>
  <c r="AB119" i="93" s="1"/>
  <c r="Z57" i="93"/>
  <c r="AB57" i="93" s="1"/>
  <c r="Z113" i="93"/>
  <c r="AB113" i="93" s="1"/>
  <c r="Z73" i="93"/>
  <c r="AB73" i="93" s="1"/>
  <c r="Z93" i="93"/>
  <c r="AB93" i="93" s="1"/>
  <c r="AA46" i="93"/>
  <c r="AA79" i="93"/>
  <c r="Z110" i="93"/>
  <c r="AB110" i="93" s="1"/>
  <c r="Z104" i="93"/>
  <c r="AB104" i="93" s="1"/>
  <c r="Z120" i="93"/>
  <c r="AB120" i="93" s="1"/>
  <c r="AA24" i="93"/>
  <c r="Z129" i="93"/>
  <c r="AB129" i="93" s="1"/>
  <c r="Z126" i="93"/>
  <c r="AB126" i="93" s="1"/>
  <c r="Z56" i="93"/>
  <c r="AB56" i="93" s="1"/>
  <c r="Z76" i="93"/>
  <c r="AB76" i="93" s="1"/>
  <c r="Z94" i="93"/>
  <c r="AB94" i="93" s="1"/>
  <c r="AA108" i="93"/>
  <c r="Z108" i="93"/>
  <c r="AB108" i="93" s="1"/>
  <c r="Z26" i="93"/>
  <c r="AB26" i="93" s="1"/>
  <c r="AA61" i="93"/>
  <c r="Z13" i="93"/>
  <c r="AB13" i="93" s="1"/>
  <c r="Z62" i="93"/>
  <c r="AB62" i="93" s="1"/>
  <c r="AA123" i="93"/>
  <c r="Z123" i="93"/>
  <c r="AB123" i="93" s="1"/>
  <c r="Z92" i="93"/>
  <c r="AB92" i="93" s="1"/>
  <c r="Z77" i="93"/>
  <c r="AB77" i="93" s="1"/>
  <c r="Z27" i="93"/>
  <c r="AB27" i="93" s="1"/>
  <c r="AA59" i="93"/>
  <c r="Z59" i="93"/>
  <c r="AB59" i="93" s="1"/>
  <c r="Z19" i="93"/>
  <c r="AB19" i="93" s="1"/>
  <c r="Z31" i="93"/>
  <c r="AB31" i="93" s="1"/>
  <c r="AA50" i="93"/>
  <c r="Z50" i="93"/>
  <c r="AB50" i="93" s="1"/>
  <c r="AA58" i="93"/>
  <c r="Z58" i="93"/>
  <c r="AB58" i="93" s="1"/>
  <c r="AA111" i="93"/>
  <c r="Z111" i="93"/>
  <c r="AB111" i="93" s="1"/>
  <c r="AA30" i="93"/>
  <c r="Z30" i="93"/>
  <c r="AB30" i="93" s="1"/>
  <c r="AA16" i="93"/>
  <c r="Z16" i="93"/>
  <c r="AB16" i="93" s="1"/>
  <c r="AA43" i="93"/>
  <c r="Z43" i="93"/>
  <c r="AB43" i="93" s="1"/>
  <c r="AA17" i="93"/>
  <c r="AB17" i="93"/>
  <c r="Z14" i="93"/>
  <c r="AB14" i="93" s="1"/>
  <c r="AA14" i="93"/>
  <c r="AA40" i="93"/>
  <c r="Z40" i="93"/>
  <c r="AB40" i="93" s="1"/>
  <c r="AA109" i="93"/>
  <c r="Z109" i="93"/>
  <c r="AB109" i="93" s="1"/>
  <c r="AA115" i="93"/>
  <c r="Z115" i="93"/>
  <c r="AB115" i="93" s="1"/>
  <c r="Z96" i="93"/>
  <c r="AB96" i="93" s="1"/>
  <c r="AA96" i="93"/>
  <c r="AA25" i="93"/>
  <c r="Z25" i="93"/>
  <c r="AB25" i="93" s="1"/>
  <c r="AA41" i="93"/>
  <c r="Z41" i="93"/>
  <c r="AB41" i="93" s="1"/>
  <c r="AA45" i="93"/>
  <c r="Z45" i="93"/>
  <c r="AB45" i="93" s="1"/>
  <c r="AA74" i="93"/>
  <c r="Z74" i="93"/>
  <c r="AB74" i="93" s="1"/>
  <c r="AA36" i="93"/>
  <c r="Z36" i="93"/>
  <c r="AB36" i="93" s="1"/>
  <c r="AA128" i="93"/>
  <c r="Z128" i="93"/>
  <c r="AB128" i="93" s="1"/>
  <c r="AA49" i="93"/>
  <c r="Z49" i="93"/>
  <c r="AB49" i="93" s="1"/>
  <c r="AA105" i="93"/>
  <c r="Z105" i="93"/>
  <c r="AB105" i="93" s="1"/>
  <c r="AA48" i="93"/>
  <c r="Z48" i="93"/>
  <c r="AB48" i="93" s="1"/>
  <c r="AA97" i="93"/>
  <c r="Z97" i="93"/>
  <c r="AB97" i="93" s="1"/>
  <c r="AA82" i="93"/>
  <c r="Z82" i="93"/>
  <c r="AB82" i="93" s="1"/>
  <c r="AA98" i="93"/>
  <c r="Z98" i="93"/>
  <c r="AB98" i="93" s="1"/>
  <c r="AA88" i="93"/>
  <c r="Z88" i="93"/>
  <c r="AB88" i="93" s="1"/>
  <c r="AA63" i="93"/>
  <c r="Z63" i="93"/>
  <c r="AB63" i="93" s="1"/>
  <c r="AA51" i="93"/>
  <c r="Z51" i="93"/>
  <c r="AB51" i="93" s="1"/>
  <c r="AA32" i="93"/>
  <c r="Z32" i="93"/>
  <c r="AB32" i="93" s="1"/>
  <c r="AA33" i="93"/>
  <c r="Z33" i="93"/>
  <c r="AB33" i="93" s="1"/>
  <c r="AA83" i="93"/>
  <c r="Z83" i="93"/>
  <c r="AB83" i="93" s="1"/>
  <c r="AA90" i="93"/>
  <c r="Z90" i="93"/>
  <c r="AB90" i="93" s="1"/>
  <c r="AA64" i="93"/>
  <c r="Z64" i="93"/>
  <c r="AB64" i="93" s="1"/>
  <c r="AA11" i="93"/>
  <c r="Z11" i="93"/>
  <c r="AB11" i="93" s="1"/>
  <c r="AA8" i="93"/>
  <c r="Z8" i="93"/>
  <c r="AB8" i="93" s="1"/>
  <c r="AA47" i="93"/>
  <c r="Z47" i="93"/>
  <c r="AB47" i="93" s="1"/>
  <c r="AA106" i="93"/>
  <c r="Z106" i="93"/>
  <c r="AB106" i="93" s="1"/>
  <c r="AA18" i="93"/>
  <c r="Z18" i="93"/>
  <c r="AB18" i="93" s="1"/>
  <c r="AA29" i="93"/>
  <c r="Z29" i="93"/>
  <c r="AB29" i="93" s="1"/>
  <c r="AA34" i="93"/>
  <c r="Z34" i="93"/>
  <c r="AB34" i="93" s="1"/>
  <c r="AA67" i="93"/>
  <c r="Z67" i="93"/>
  <c r="AB67" i="93" s="1"/>
  <c r="AA130" i="93"/>
  <c r="Z130" i="93"/>
  <c r="AB130" i="93" s="1"/>
  <c r="AA66" i="93"/>
  <c r="Z66" i="93"/>
  <c r="AB66" i="93" s="1"/>
  <c r="AA45" i="91"/>
  <c r="Z45" i="91"/>
  <c r="AB45" i="91" s="1"/>
  <c r="AA32" i="91"/>
  <c r="Z32" i="91"/>
  <c r="AB32" i="91" s="1"/>
  <c r="AA71" i="91"/>
  <c r="Z71" i="91"/>
  <c r="AB71" i="91" s="1"/>
  <c r="V110" i="91" l="1"/>
  <c r="U110" i="91"/>
  <c r="T110" i="91"/>
  <c r="S110" i="91"/>
  <c r="N110" i="91"/>
  <c r="M110" i="91"/>
  <c r="L110" i="91"/>
  <c r="K110" i="91"/>
  <c r="J110" i="91"/>
  <c r="I110" i="91"/>
  <c r="H110" i="91"/>
  <c r="G110" i="91"/>
  <c r="F110" i="91"/>
  <c r="E110" i="91"/>
  <c r="D110" i="91"/>
  <c r="C110" i="91"/>
  <c r="B110" i="91"/>
  <c r="A110" i="91"/>
  <c r="X110" i="91" s="1"/>
  <c r="V108" i="91"/>
  <c r="U108" i="91"/>
  <c r="T108" i="91"/>
  <c r="S108" i="91"/>
  <c r="N108" i="91"/>
  <c r="M108" i="91"/>
  <c r="L108" i="91"/>
  <c r="K108" i="91"/>
  <c r="J108" i="91"/>
  <c r="I108" i="91"/>
  <c r="H108" i="91"/>
  <c r="G108" i="91"/>
  <c r="F108" i="91"/>
  <c r="E108" i="91"/>
  <c r="D108" i="91"/>
  <c r="C108" i="91"/>
  <c r="B108" i="91"/>
  <c r="A108" i="91"/>
  <c r="V107" i="91"/>
  <c r="U107" i="91"/>
  <c r="T107" i="91"/>
  <c r="S107" i="91"/>
  <c r="N107" i="91"/>
  <c r="M107" i="91"/>
  <c r="L107" i="91"/>
  <c r="K107" i="91"/>
  <c r="J107" i="91"/>
  <c r="I107" i="91"/>
  <c r="H107" i="91"/>
  <c r="G107" i="91"/>
  <c r="F107" i="91"/>
  <c r="E107" i="91"/>
  <c r="D107" i="91"/>
  <c r="C107" i="91"/>
  <c r="B107" i="91"/>
  <c r="A107" i="91"/>
  <c r="X107" i="91" s="1"/>
  <c r="V106" i="91"/>
  <c r="U106" i="91"/>
  <c r="T106" i="91"/>
  <c r="S106" i="91"/>
  <c r="N106" i="91"/>
  <c r="M106" i="91"/>
  <c r="L106" i="91"/>
  <c r="K106" i="91"/>
  <c r="J106" i="91"/>
  <c r="I106" i="91"/>
  <c r="H106" i="91"/>
  <c r="G106" i="91"/>
  <c r="F106" i="91"/>
  <c r="E106" i="91"/>
  <c r="D106" i="91"/>
  <c r="C106" i="91"/>
  <c r="B106" i="91"/>
  <c r="A106" i="91"/>
  <c r="X106" i="91" s="1"/>
  <c r="V105" i="91"/>
  <c r="U105" i="91"/>
  <c r="T105" i="91"/>
  <c r="S105" i="91"/>
  <c r="N105" i="91"/>
  <c r="M105" i="91"/>
  <c r="L105" i="91"/>
  <c r="K105" i="91"/>
  <c r="J105" i="91"/>
  <c r="I105" i="91"/>
  <c r="H105" i="91"/>
  <c r="G105" i="91"/>
  <c r="F105" i="91"/>
  <c r="E105" i="91"/>
  <c r="D105" i="91"/>
  <c r="C105" i="91"/>
  <c r="B105" i="91"/>
  <c r="A105" i="91"/>
  <c r="X105" i="91" s="1"/>
  <c r="V104" i="91"/>
  <c r="U104" i="91"/>
  <c r="T104" i="91"/>
  <c r="S104" i="91"/>
  <c r="N104" i="91"/>
  <c r="M104" i="91"/>
  <c r="L104" i="91"/>
  <c r="K104" i="91"/>
  <c r="J104" i="91"/>
  <c r="I104" i="91"/>
  <c r="H104" i="91"/>
  <c r="G104" i="91"/>
  <c r="F104" i="91"/>
  <c r="E104" i="91"/>
  <c r="D104" i="91"/>
  <c r="C104" i="91"/>
  <c r="B104" i="91"/>
  <c r="A104" i="91"/>
  <c r="X104" i="91" s="1"/>
  <c r="V103" i="91"/>
  <c r="U103" i="91"/>
  <c r="T103" i="91"/>
  <c r="S103" i="91"/>
  <c r="J103" i="91"/>
  <c r="E103" i="91"/>
  <c r="D103" i="91"/>
  <c r="C103" i="91"/>
  <c r="B103" i="91"/>
  <c r="A103" i="91"/>
  <c r="X103" i="91" s="1"/>
  <c r="V102" i="91"/>
  <c r="U102" i="91"/>
  <c r="T102" i="91"/>
  <c r="S102" i="91"/>
  <c r="N102" i="91"/>
  <c r="M102" i="91"/>
  <c r="L102" i="91"/>
  <c r="K102" i="91"/>
  <c r="J102" i="91"/>
  <c r="I102" i="91"/>
  <c r="H102" i="91"/>
  <c r="G102" i="91"/>
  <c r="F102" i="91"/>
  <c r="E102" i="91"/>
  <c r="D102" i="91"/>
  <c r="C102" i="91"/>
  <c r="B102" i="91"/>
  <c r="A102" i="91"/>
  <c r="X102" i="91" s="1"/>
  <c r="V101" i="91"/>
  <c r="U101" i="91"/>
  <c r="T101" i="91"/>
  <c r="S101" i="91"/>
  <c r="N101" i="91"/>
  <c r="M101" i="91"/>
  <c r="L101" i="91"/>
  <c r="K101" i="91"/>
  <c r="J101" i="91"/>
  <c r="I101" i="91"/>
  <c r="H101" i="91"/>
  <c r="G101" i="91"/>
  <c r="F101" i="91"/>
  <c r="E101" i="91"/>
  <c r="D101" i="91"/>
  <c r="C101" i="91"/>
  <c r="B101" i="91"/>
  <c r="A101" i="91"/>
  <c r="X101" i="91" s="1"/>
  <c r="V100" i="91"/>
  <c r="U100" i="91"/>
  <c r="T100" i="91"/>
  <c r="S100" i="91"/>
  <c r="N100" i="91"/>
  <c r="M100" i="91"/>
  <c r="L100" i="91"/>
  <c r="K100" i="91"/>
  <c r="J100" i="91"/>
  <c r="I100" i="91"/>
  <c r="H100" i="91"/>
  <c r="G100" i="91"/>
  <c r="F100" i="91"/>
  <c r="E100" i="91"/>
  <c r="D100" i="91"/>
  <c r="C100" i="91"/>
  <c r="B100" i="91"/>
  <c r="A100" i="91"/>
  <c r="X100" i="91" s="1"/>
  <c r="V99" i="91"/>
  <c r="U99" i="91"/>
  <c r="T99" i="91"/>
  <c r="S99" i="91"/>
  <c r="N99" i="91"/>
  <c r="M99" i="91"/>
  <c r="L99" i="91"/>
  <c r="K99" i="91"/>
  <c r="J99" i="91"/>
  <c r="I99" i="91"/>
  <c r="H99" i="91"/>
  <c r="G99" i="91"/>
  <c r="F99" i="91"/>
  <c r="E99" i="91"/>
  <c r="D99" i="91"/>
  <c r="C99" i="91"/>
  <c r="B99" i="91"/>
  <c r="A99" i="91"/>
  <c r="X99" i="91" s="1"/>
  <c r="V98" i="91"/>
  <c r="U98" i="91"/>
  <c r="T98" i="91"/>
  <c r="S98" i="91"/>
  <c r="N98" i="91"/>
  <c r="M98" i="91"/>
  <c r="L98" i="91"/>
  <c r="K98" i="91"/>
  <c r="J98" i="91"/>
  <c r="I98" i="91"/>
  <c r="H98" i="91"/>
  <c r="G98" i="91"/>
  <c r="F98" i="91"/>
  <c r="E98" i="91"/>
  <c r="D98" i="91"/>
  <c r="C98" i="91"/>
  <c r="B98" i="91"/>
  <c r="A98" i="91"/>
  <c r="X98" i="91" s="1"/>
  <c r="V97" i="91"/>
  <c r="U97" i="91"/>
  <c r="T97" i="91"/>
  <c r="S97" i="91"/>
  <c r="N97" i="91"/>
  <c r="M97" i="91"/>
  <c r="L97" i="91"/>
  <c r="K97" i="91"/>
  <c r="J97" i="91"/>
  <c r="I97" i="91"/>
  <c r="H97" i="91"/>
  <c r="G97" i="91"/>
  <c r="F97" i="91"/>
  <c r="E97" i="91"/>
  <c r="D97" i="91"/>
  <c r="C97" i="91"/>
  <c r="B97" i="91"/>
  <c r="A97" i="91"/>
  <c r="X97" i="91" s="1"/>
  <c r="V95" i="91"/>
  <c r="U95" i="91"/>
  <c r="T95" i="91"/>
  <c r="S95" i="91"/>
  <c r="N95" i="91"/>
  <c r="M95" i="91"/>
  <c r="L95" i="91"/>
  <c r="K95" i="91"/>
  <c r="J95" i="91"/>
  <c r="I95" i="91"/>
  <c r="H95" i="91"/>
  <c r="G95" i="91"/>
  <c r="F95" i="91"/>
  <c r="E95" i="91"/>
  <c r="D95" i="91"/>
  <c r="C95" i="91"/>
  <c r="B95" i="91"/>
  <c r="A95" i="91"/>
  <c r="X95" i="91" s="1"/>
  <c r="V94" i="91"/>
  <c r="U94" i="91"/>
  <c r="T94" i="91"/>
  <c r="S94" i="91"/>
  <c r="N94" i="91"/>
  <c r="M94" i="91"/>
  <c r="L94" i="91"/>
  <c r="K94" i="91"/>
  <c r="J94" i="91"/>
  <c r="I94" i="91"/>
  <c r="H94" i="91"/>
  <c r="G94" i="91"/>
  <c r="F94" i="91"/>
  <c r="E94" i="91"/>
  <c r="D94" i="91"/>
  <c r="C94" i="91"/>
  <c r="B94" i="91"/>
  <c r="A94" i="91"/>
  <c r="X94" i="91" s="1"/>
  <c r="V93" i="91"/>
  <c r="U93" i="91"/>
  <c r="T93" i="91"/>
  <c r="S93" i="91"/>
  <c r="N93" i="91"/>
  <c r="M93" i="91"/>
  <c r="L93" i="91"/>
  <c r="K93" i="91"/>
  <c r="J93" i="91"/>
  <c r="I93" i="91"/>
  <c r="H93" i="91"/>
  <c r="G93" i="91"/>
  <c r="F93" i="91"/>
  <c r="E93" i="91"/>
  <c r="D93" i="91"/>
  <c r="C93" i="91"/>
  <c r="B93" i="91"/>
  <c r="A93" i="91"/>
  <c r="X93" i="91" s="1"/>
  <c r="V92" i="91"/>
  <c r="U92" i="91"/>
  <c r="T92" i="91"/>
  <c r="S92" i="91"/>
  <c r="N92" i="91"/>
  <c r="M92" i="91"/>
  <c r="L92" i="91"/>
  <c r="K92" i="91"/>
  <c r="J92" i="91"/>
  <c r="I92" i="91"/>
  <c r="H92" i="91"/>
  <c r="G92" i="91"/>
  <c r="F92" i="91"/>
  <c r="E92" i="91"/>
  <c r="D92" i="91"/>
  <c r="C92" i="91"/>
  <c r="B92" i="91"/>
  <c r="A92" i="91"/>
  <c r="V91" i="91"/>
  <c r="U91" i="91"/>
  <c r="T91" i="91"/>
  <c r="S91" i="91"/>
  <c r="N91" i="91"/>
  <c r="M91" i="91"/>
  <c r="L91" i="91"/>
  <c r="K91" i="91"/>
  <c r="J91" i="91"/>
  <c r="I91" i="91"/>
  <c r="H91" i="91"/>
  <c r="G91" i="91"/>
  <c r="F91" i="91"/>
  <c r="E91" i="91"/>
  <c r="D91" i="91"/>
  <c r="C91" i="91"/>
  <c r="B91" i="91"/>
  <c r="A91" i="91"/>
  <c r="X91" i="91" s="1"/>
  <c r="V90" i="91"/>
  <c r="U90" i="91"/>
  <c r="T90" i="91"/>
  <c r="S90" i="91"/>
  <c r="J90" i="91"/>
  <c r="E90" i="91"/>
  <c r="D90" i="91"/>
  <c r="C90" i="91"/>
  <c r="B90" i="91"/>
  <c r="A90" i="91"/>
  <c r="X90" i="91" s="1"/>
  <c r="V89" i="91"/>
  <c r="U89" i="91"/>
  <c r="T89" i="91"/>
  <c r="S89" i="91"/>
  <c r="N89" i="91"/>
  <c r="M89" i="91"/>
  <c r="L89" i="91"/>
  <c r="K89" i="91"/>
  <c r="J89" i="91"/>
  <c r="I89" i="91"/>
  <c r="H89" i="91"/>
  <c r="G89" i="91"/>
  <c r="F89" i="91"/>
  <c r="E89" i="91"/>
  <c r="D89" i="91"/>
  <c r="C89" i="91"/>
  <c r="B89" i="91"/>
  <c r="A89" i="91"/>
  <c r="X89" i="91" s="1"/>
  <c r="V88" i="91"/>
  <c r="U88" i="91"/>
  <c r="T88" i="91"/>
  <c r="S88" i="91"/>
  <c r="N88" i="91"/>
  <c r="M88" i="91"/>
  <c r="L88" i="91"/>
  <c r="K88" i="91"/>
  <c r="J88" i="91"/>
  <c r="I88" i="91"/>
  <c r="H88" i="91"/>
  <c r="G88" i="91"/>
  <c r="F88" i="91"/>
  <c r="E88" i="91"/>
  <c r="D88" i="91"/>
  <c r="C88" i="91"/>
  <c r="B88" i="91"/>
  <c r="A88" i="91"/>
  <c r="X88" i="91" s="1"/>
  <c r="V87" i="91"/>
  <c r="U87" i="91"/>
  <c r="T87" i="91"/>
  <c r="S87" i="91"/>
  <c r="N87" i="91"/>
  <c r="M87" i="91"/>
  <c r="L87" i="91"/>
  <c r="K87" i="91"/>
  <c r="J87" i="91"/>
  <c r="I87" i="91"/>
  <c r="H87" i="91"/>
  <c r="G87" i="91"/>
  <c r="F87" i="91"/>
  <c r="E87" i="91"/>
  <c r="D87" i="91"/>
  <c r="C87" i="91"/>
  <c r="B87" i="91"/>
  <c r="A87" i="91"/>
  <c r="X87" i="91" s="1"/>
  <c r="V86" i="91"/>
  <c r="U86" i="91"/>
  <c r="T86" i="91"/>
  <c r="S86" i="91"/>
  <c r="N86" i="91"/>
  <c r="M86" i="91"/>
  <c r="L86" i="91"/>
  <c r="K86" i="91"/>
  <c r="J86" i="91"/>
  <c r="I86" i="91"/>
  <c r="H86" i="91"/>
  <c r="G86" i="91"/>
  <c r="F86" i="91"/>
  <c r="E86" i="91"/>
  <c r="D86" i="91"/>
  <c r="C86" i="91"/>
  <c r="B86" i="91"/>
  <c r="A86" i="91"/>
  <c r="X86" i="91" s="1"/>
  <c r="V85" i="91"/>
  <c r="U85" i="91"/>
  <c r="T85" i="91"/>
  <c r="S85" i="91"/>
  <c r="N85" i="91"/>
  <c r="M85" i="91"/>
  <c r="L85" i="91"/>
  <c r="K85" i="91"/>
  <c r="J85" i="91"/>
  <c r="I85" i="91"/>
  <c r="H85" i="91"/>
  <c r="G85" i="91"/>
  <c r="F85" i="91"/>
  <c r="E85" i="91"/>
  <c r="D85" i="91"/>
  <c r="C85" i="91"/>
  <c r="B85" i="91"/>
  <c r="A85" i="91"/>
  <c r="X85" i="91" s="1"/>
  <c r="V81" i="91"/>
  <c r="U81" i="91"/>
  <c r="T81" i="91"/>
  <c r="S81" i="91"/>
  <c r="N81" i="91"/>
  <c r="M81" i="91"/>
  <c r="L81" i="91"/>
  <c r="K81" i="91"/>
  <c r="J81" i="91"/>
  <c r="I81" i="91"/>
  <c r="H81" i="91"/>
  <c r="G81" i="91"/>
  <c r="F81" i="91"/>
  <c r="E81" i="91"/>
  <c r="D81" i="91"/>
  <c r="C81" i="91"/>
  <c r="B81" i="91"/>
  <c r="A81" i="91"/>
  <c r="V80" i="91"/>
  <c r="U80" i="91"/>
  <c r="T80" i="91"/>
  <c r="S80" i="91"/>
  <c r="N80" i="91"/>
  <c r="M80" i="91"/>
  <c r="L80" i="91"/>
  <c r="K80" i="91"/>
  <c r="J80" i="91"/>
  <c r="I80" i="91"/>
  <c r="H80" i="91"/>
  <c r="G80" i="91"/>
  <c r="F80" i="91"/>
  <c r="E80" i="91"/>
  <c r="D80" i="91"/>
  <c r="C80" i="91"/>
  <c r="B80" i="91"/>
  <c r="A80" i="91"/>
  <c r="X80" i="91" s="1"/>
  <c r="V79" i="91"/>
  <c r="U79" i="91"/>
  <c r="T79" i="91"/>
  <c r="S79" i="91"/>
  <c r="N79" i="91"/>
  <c r="M79" i="91"/>
  <c r="L79" i="91"/>
  <c r="K79" i="91"/>
  <c r="J79" i="91"/>
  <c r="I79" i="91"/>
  <c r="H79" i="91"/>
  <c r="G79" i="91"/>
  <c r="F79" i="91"/>
  <c r="E79" i="91"/>
  <c r="D79" i="91"/>
  <c r="C79" i="91"/>
  <c r="B79" i="91"/>
  <c r="A79" i="91"/>
  <c r="X79" i="91" s="1"/>
  <c r="V78" i="91"/>
  <c r="U78" i="91"/>
  <c r="T78" i="91"/>
  <c r="S78" i="91"/>
  <c r="N78" i="91"/>
  <c r="M78" i="91"/>
  <c r="L78" i="91"/>
  <c r="K78" i="91"/>
  <c r="J78" i="91"/>
  <c r="I78" i="91"/>
  <c r="H78" i="91"/>
  <c r="G78" i="91"/>
  <c r="F78" i="91"/>
  <c r="E78" i="91"/>
  <c r="D78" i="91"/>
  <c r="C78" i="91"/>
  <c r="B78" i="91"/>
  <c r="A78" i="91"/>
  <c r="X78" i="91" s="1"/>
  <c r="V77" i="91"/>
  <c r="U77" i="91"/>
  <c r="T77" i="91"/>
  <c r="S77" i="91"/>
  <c r="J77" i="91"/>
  <c r="E77" i="91"/>
  <c r="D77" i="91"/>
  <c r="C77" i="91"/>
  <c r="B77" i="91"/>
  <c r="A77" i="91"/>
  <c r="X77" i="91" s="1"/>
  <c r="V76" i="91"/>
  <c r="U76" i="91"/>
  <c r="T76" i="91"/>
  <c r="S76" i="91"/>
  <c r="N76" i="91"/>
  <c r="M76" i="91"/>
  <c r="L76" i="91"/>
  <c r="K76" i="91"/>
  <c r="J76" i="91"/>
  <c r="I76" i="91"/>
  <c r="H76" i="91"/>
  <c r="G76" i="91"/>
  <c r="F76" i="91"/>
  <c r="E76" i="91"/>
  <c r="D76" i="91"/>
  <c r="C76" i="91"/>
  <c r="B76" i="91"/>
  <c r="A76" i="91"/>
  <c r="X76" i="91" s="1"/>
  <c r="V75" i="91"/>
  <c r="U75" i="91"/>
  <c r="T75" i="91"/>
  <c r="S75" i="91"/>
  <c r="N75" i="91"/>
  <c r="M75" i="91"/>
  <c r="L75" i="91"/>
  <c r="K75" i="91"/>
  <c r="J75" i="91"/>
  <c r="I75" i="91"/>
  <c r="H75" i="91"/>
  <c r="G75" i="91"/>
  <c r="F75" i="91"/>
  <c r="E75" i="91"/>
  <c r="D75" i="91"/>
  <c r="C75" i="91"/>
  <c r="B75" i="91"/>
  <c r="A75" i="91"/>
  <c r="X75" i="91" s="1"/>
  <c r="V74" i="91"/>
  <c r="U74" i="91"/>
  <c r="T74" i="91"/>
  <c r="S74" i="91"/>
  <c r="N74" i="91"/>
  <c r="M74" i="91"/>
  <c r="L74" i="91"/>
  <c r="K74" i="91"/>
  <c r="J74" i="91"/>
  <c r="I74" i="91"/>
  <c r="H74" i="91"/>
  <c r="G74" i="91"/>
  <c r="F74" i="91"/>
  <c r="E74" i="91"/>
  <c r="D74" i="91"/>
  <c r="C74" i="91"/>
  <c r="B74" i="91"/>
  <c r="A74" i="91"/>
  <c r="X74" i="91" s="1"/>
  <c r="V73" i="91"/>
  <c r="U73" i="91"/>
  <c r="T73" i="91"/>
  <c r="S73" i="91"/>
  <c r="N73" i="91"/>
  <c r="M73" i="91"/>
  <c r="L73" i="91"/>
  <c r="K73" i="91"/>
  <c r="J73" i="91"/>
  <c r="I73" i="91"/>
  <c r="H73" i="91"/>
  <c r="G73" i="91"/>
  <c r="F73" i="91"/>
  <c r="E73" i="91"/>
  <c r="D73" i="91"/>
  <c r="C73" i="91"/>
  <c r="B73" i="91"/>
  <c r="A73" i="91"/>
  <c r="X73" i="91" s="1"/>
  <c r="V72" i="91"/>
  <c r="U72" i="91"/>
  <c r="T72" i="91"/>
  <c r="S72" i="91"/>
  <c r="N72" i="91"/>
  <c r="K72" i="91"/>
  <c r="J72" i="91"/>
  <c r="I72" i="91"/>
  <c r="H72" i="91"/>
  <c r="G72" i="91"/>
  <c r="F72" i="91"/>
  <c r="E72" i="91"/>
  <c r="D72" i="91"/>
  <c r="C72" i="91"/>
  <c r="B72" i="91"/>
  <c r="A72" i="91"/>
  <c r="X72" i="91" s="1"/>
  <c r="V70" i="91"/>
  <c r="U70" i="91"/>
  <c r="T70" i="91"/>
  <c r="S70" i="91"/>
  <c r="N70" i="91"/>
  <c r="K70" i="91"/>
  <c r="J70" i="91"/>
  <c r="I70" i="91"/>
  <c r="H70" i="91"/>
  <c r="G70" i="91"/>
  <c r="F70" i="91"/>
  <c r="E70" i="91"/>
  <c r="D70" i="91"/>
  <c r="C70" i="91"/>
  <c r="B70" i="91"/>
  <c r="A70" i="91"/>
  <c r="X70" i="91" s="1"/>
  <c r="V69" i="91"/>
  <c r="U69" i="91"/>
  <c r="T69" i="91"/>
  <c r="S69" i="91"/>
  <c r="N69" i="91"/>
  <c r="M69" i="91"/>
  <c r="L69" i="91"/>
  <c r="K69" i="91"/>
  <c r="J69" i="91"/>
  <c r="I69" i="91"/>
  <c r="H69" i="91"/>
  <c r="G69" i="91"/>
  <c r="F69" i="91"/>
  <c r="E69" i="91"/>
  <c r="D69" i="91"/>
  <c r="C69" i="91"/>
  <c r="B69" i="91"/>
  <c r="A69" i="91"/>
  <c r="X69" i="91" s="1"/>
  <c r="V68" i="91"/>
  <c r="U68" i="91"/>
  <c r="T68" i="91"/>
  <c r="S68" i="91"/>
  <c r="N68" i="91"/>
  <c r="M68" i="91"/>
  <c r="L68" i="91"/>
  <c r="K68" i="91"/>
  <c r="J68" i="91"/>
  <c r="I68" i="91"/>
  <c r="H68" i="91"/>
  <c r="G68" i="91"/>
  <c r="F68" i="91"/>
  <c r="E68" i="91"/>
  <c r="D68" i="91"/>
  <c r="C68" i="91"/>
  <c r="B68" i="91"/>
  <c r="A68" i="91"/>
  <c r="X68" i="91" s="1"/>
  <c r="V67" i="91"/>
  <c r="U67" i="91"/>
  <c r="T67" i="91"/>
  <c r="S67" i="91"/>
  <c r="N67" i="91"/>
  <c r="M67" i="91"/>
  <c r="L67" i="91"/>
  <c r="K67" i="91"/>
  <c r="J67" i="91"/>
  <c r="I67" i="91"/>
  <c r="H67" i="91"/>
  <c r="G67" i="91"/>
  <c r="F67" i="91"/>
  <c r="E67" i="91"/>
  <c r="D67" i="91"/>
  <c r="C67" i="91"/>
  <c r="B67" i="91"/>
  <c r="A67" i="91"/>
  <c r="X67" i="91" s="1"/>
  <c r="V66" i="91"/>
  <c r="U66" i="91"/>
  <c r="T66" i="91"/>
  <c r="S66" i="91"/>
  <c r="N66" i="91"/>
  <c r="M66" i="91"/>
  <c r="L66" i="91"/>
  <c r="K66" i="91"/>
  <c r="J66" i="91"/>
  <c r="I66" i="91"/>
  <c r="H66" i="91"/>
  <c r="G66" i="91"/>
  <c r="F66" i="91"/>
  <c r="E66" i="91"/>
  <c r="D66" i="91"/>
  <c r="C66" i="91"/>
  <c r="B66" i="91"/>
  <c r="A66" i="91"/>
  <c r="X66" i="91" s="1"/>
  <c r="V65" i="91"/>
  <c r="U65" i="91"/>
  <c r="T65" i="91"/>
  <c r="S65" i="91"/>
  <c r="N65" i="91"/>
  <c r="M65" i="91"/>
  <c r="L65" i="91"/>
  <c r="K65" i="91"/>
  <c r="J65" i="91"/>
  <c r="I65" i="91"/>
  <c r="H65" i="91"/>
  <c r="G65" i="91"/>
  <c r="F65" i="91"/>
  <c r="E65" i="91"/>
  <c r="D65" i="91"/>
  <c r="C65" i="91"/>
  <c r="B65" i="91"/>
  <c r="A65" i="91"/>
  <c r="X65" i="91" s="1"/>
  <c r="V64" i="91"/>
  <c r="U64" i="91"/>
  <c r="T64" i="91"/>
  <c r="S64" i="91"/>
  <c r="N64" i="91"/>
  <c r="M64" i="91"/>
  <c r="L64" i="91"/>
  <c r="K64" i="91"/>
  <c r="J64" i="91"/>
  <c r="I64" i="91"/>
  <c r="H64" i="91"/>
  <c r="G64" i="91"/>
  <c r="F64" i="91"/>
  <c r="E64" i="91"/>
  <c r="D64" i="91"/>
  <c r="C64" i="91"/>
  <c r="B64" i="91"/>
  <c r="A64" i="91"/>
  <c r="X64" i="91" s="1"/>
  <c r="V63" i="91"/>
  <c r="U63" i="91"/>
  <c r="T63" i="91"/>
  <c r="S63" i="91"/>
  <c r="N63" i="91"/>
  <c r="M63" i="91"/>
  <c r="L63" i="91"/>
  <c r="K63" i="91"/>
  <c r="J63" i="91"/>
  <c r="I63" i="91"/>
  <c r="H63" i="91"/>
  <c r="G63" i="91"/>
  <c r="F63" i="91"/>
  <c r="E63" i="91"/>
  <c r="D63" i="91"/>
  <c r="C63" i="91"/>
  <c r="B63" i="91"/>
  <c r="A63" i="91"/>
  <c r="X63" i="91" s="1"/>
  <c r="V62" i="91"/>
  <c r="U62" i="91"/>
  <c r="T62" i="91"/>
  <c r="S62" i="91"/>
  <c r="N62" i="91"/>
  <c r="M62" i="91"/>
  <c r="L62" i="91"/>
  <c r="K62" i="91"/>
  <c r="J62" i="91"/>
  <c r="I62" i="91"/>
  <c r="H62" i="91"/>
  <c r="G62" i="91"/>
  <c r="F62" i="91"/>
  <c r="E62" i="91"/>
  <c r="D62" i="91"/>
  <c r="C62" i="91"/>
  <c r="B62" i="91"/>
  <c r="A62" i="91"/>
  <c r="X62" i="91" s="1"/>
  <c r="V61" i="91"/>
  <c r="U61" i="91"/>
  <c r="T61" i="91"/>
  <c r="S61" i="91"/>
  <c r="N61" i="91"/>
  <c r="M61" i="91"/>
  <c r="L61" i="91"/>
  <c r="K61" i="91"/>
  <c r="J61" i="91"/>
  <c r="I61" i="91"/>
  <c r="H61" i="91"/>
  <c r="G61" i="91"/>
  <c r="F61" i="91"/>
  <c r="E61" i="91"/>
  <c r="D61" i="91"/>
  <c r="C61" i="91"/>
  <c r="B61" i="91"/>
  <c r="A61" i="91"/>
  <c r="X61" i="91" s="1"/>
  <c r="V60" i="91"/>
  <c r="U60" i="91"/>
  <c r="T60" i="91"/>
  <c r="S60" i="91"/>
  <c r="N60" i="91"/>
  <c r="M60" i="91"/>
  <c r="L60" i="91"/>
  <c r="K60" i="91"/>
  <c r="J60" i="91"/>
  <c r="I60" i="91"/>
  <c r="H60" i="91"/>
  <c r="G60" i="91"/>
  <c r="F60" i="91"/>
  <c r="E60" i="91"/>
  <c r="D60" i="91"/>
  <c r="C60" i="91"/>
  <c r="B60" i="91"/>
  <c r="A60" i="91"/>
  <c r="X60" i="91" s="1"/>
  <c r="V59" i="91"/>
  <c r="U59" i="91"/>
  <c r="T59" i="91"/>
  <c r="S59" i="91"/>
  <c r="N59" i="91"/>
  <c r="M59" i="91"/>
  <c r="L59" i="91"/>
  <c r="K59" i="91"/>
  <c r="J59" i="91"/>
  <c r="I59" i="91"/>
  <c r="H59" i="91"/>
  <c r="G59" i="91"/>
  <c r="F59" i="91"/>
  <c r="E59" i="91"/>
  <c r="D59" i="91"/>
  <c r="C59" i="91"/>
  <c r="B59" i="91"/>
  <c r="A59" i="91"/>
  <c r="X59" i="91" s="1"/>
  <c r="V57" i="91"/>
  <c r="U57" i="91"/>
  <c r="T57" i="91"/>
  <c r="S57" i="91"/>
  <c r="N57" i="91"/>
  <c r="M57" i="91"/>
  <c r="L57" i="91"/>
  <c r="K57" i="91"/>
  <c r="J57" i="91"/>
  <c r="I57" i="91"/>
  <c r="H57" i="91"/>
  <c r="G57" i="91"/>
  <c r="F57" i="91"/>
  <c r="E57" i="91"/>
  <c r="D57" i="91"/>
  <c r="C57" i="91"/>
  <c r="B57" i="91"/>
  <c r="A57" i="91"/>
  <c r="X57" i="91" s="1"/>
  <c r="V56" i="91"/>
  <c r="U56" i="91"/>
  <c r="T56" i="91"/>
  <c r="S56" i="91"/>
  <c r="N56" i="91"/>
  <c r="M56" i="91"/>
  <c r="L56" i="91"/>
  <c r="K56" i="91"/>
  <c r="J56" i="91"/>
  <c r="I56" i="91"/>
  <c r="H56" i="91"/>
  <c r="G56" i="91"/>
  <c r="F56" i="91"/>
  <c r="E56" i="91"/>
  <c r="D56" i="91"/>
  <c r="C56" i="91"/>
  <c r="B56" i="91"/>
  <c r="A56" i="91"/>
  <c r="X56" i="91" s="1"/>
  <c r="V55" i="91"/>
  <c r="U55" i="91"/>
  <c r="T55" i="91"/>
  <c r="S55" i="91"/>
  <c r="N55" i="91"/>
  <c r="M55" i="91"/>
  <c r="L55" i="91"/>
  <c r="K55" i="91"/>
  <c r="J55" i="91"/>
  <c r="I55" i="91"/>
  <c r="H55" i="91"/>
  <c r="G55" i="91"/>
  <c r="F55" i="91"/>
  <c r="E55" i="91"/>
  <c r="D55" i="91"/>
  <c r="C55" i="91"/>
  <c r="B55" i="91"/>
  <c r="A55" i="91"/>
  <c r="X55" i="91" s="1"/>
  <c r="V54" i="91"/>
  <c r="U54" i="91"/>
  <c r="T54" i="91"/>
  <c r="S54" i="91"/>
  <c r="N54" i="91"/>
  <c r="M54" i="91"/>
  <c r="L54" i="91"/>
  <c r="K54" i="91"/>
  <c r="J54" i="91"/>
  <c r="I54" i="91"/>
  <c r="H54" i="91"/>
  <c r="G54" i="91"/>
  <c r="F54" i="91"/>
  <c r="E54" i="91"/>
  <c r="D54" i="91"/>
  <c r="C54" i="91"/>
  <c r="B54" i="91"/>
  <c r="A54" i="91"/>
  <c r="X54" i="91" s="1"/>
  <c r="V53" i="91"/>
  <c r="U53" i="91"/>
  <c r="T53" i="91"/>
  <c r="S53" i="91"/>
  <c r="N53" i="91"/>
  <c r="M53" i="91"/>
  <c r="L53" i="91"/>
  <c r="K53" i="91"/>
  <c r="J53" i="91"/>
  <c r="I53" i="91"/>
  <c r="H53" i="91"/>
  <c r="G53" i="91"/>
  <c r="F53" i="91"/>
  <c r="E53" i="91"/>
  <c r="D53" i="91"/>
  <c r="C53" i="91"/>
  <c r="B53" i="91"/>
  <c r="A53" i="91"/>
  <c r="X53" i="91" s="1"/>
  <c r="V52" i="91"/>
  <c r="U52" i="91"/>
  <c r="T52" i="91"/>
  <c r="S52" i="91"/>
  <c r="N52" i="91"/>
  <c r="M52" i="91"/>
  <c r="L52" i="91"/>
  <c r="K52" i="91"/>
  <c r="J52" i="91"/>
  <c r="I52" i="91"/>
  <c r="H52" i="91"/>
  <c r="G52" i="91"/>
  <c r="F52" i="91"/>
  <c r="E52" i="91"/>
  <c r="D52" i="91"/>
  <c r="C52" i="91"/>
  <c r="B52" i="91"/>
  <c r="A52" i="91"/>
  <c r="X52" i="91" s="1"/>
  <c r="V51" i="91"/>
  <c r="U51" i="91"/>
  <c r="T51" i="91"/>
  <c r="S51" i="91"/>
  <c r="N51" i="91"/>
  <c r="M51" i="91"/>
  <c r="L51" i="91"/>
  <c r="K51" i="91"/>
  <c r="J51" i="91"/>
  <c r="I51" i="91"/>
  <c r="H51" i="91"/>
  <c r="G51" i="91"/>
  <c r="F51" i="91"/>
  <c r="E51" i="91"/>
  <c r="D51" i="91"/>
  <c r="C51" i="91"/>
  <c r="B51" i="91"/>
  <c r="A51" i="91"/>
  <c r="X51" i="91" s="1"/>
  <c r="V50" i="91"/>
  <c r="U50" i="91"/>
  <c r="T50" i="91"/>
  <c r="S50" i="91"/>
  <c r="N50" i="91"/>
  <c r="M50" i="91"/>
  <c r="L50" i="91"/>
  <c r="K50" i="91"/>
  <c r="J50" i="91"/>
  <c r="I50" i="91"/>
  <c r="H50" i="91"/>
  <c r="G50" i="91"/>
  <c r="F50" i="91"/>
  <c r="E50" i="91"/>
  <c r="D50" i="91"/>
  <c r="C50" i="91"/>
  <c r="B50" i="91"/>
  <c r="A50" i="91"/>
  <c r="X50" i="91" s="1"/>
  <c r="V49" i="91"/>
  <c r="U49" i="91"/>
  <c r="T49" i="91"/>
  <c r="S49" i="91"/>
  <c r="N49" i="91"/>
  <c r="M49" i="91"/>
  <c r="L49" i="91"/>
  <c r="K49" i="91"/>
  <c r="J49" i="91"/>
  <c r="I49" i="91"/>
  <c r="H49" i="91"/>
  <c r="G49" i="91"/>
  <c r="F49" i="91"/>
  <c r="E49" i="91"/>
  <c r="D49" i="91"/>
  <c r="C49" i="91"/>
  <c r="B49" i="91"/>
  <c r="A49" i="91"/>
  <c r="X49" i="91" s="1"/>
  <c r="V48" i="91"/>
  <c r="U48" i="91"/>
  <c r="T48" i="91"/>
  <c r="S48" i="91"/>
  <c r="N48" i="91"/>
  <c r="M48" i="91"/>
  <c r="L48" i="91"/>
  <c r="K48" i="91"/>
  <c r="J48" i="91"/>
  <c r="I48" i="91"/>
  <c r="H48" i="91"/>
  <c r="G48" i="91"/>
  <c r="F48" i="91"/>
  <c r="E48" i="91"/>
  <c r="D48" i="91"/>
  <c r="C48" i="91"/>
  <c r="B48" i="91"/>
  <c r="A48" i="91"/>
  <c r="X48" i="91" s="1"/>
  <c r="V47" i="91"/>
  <c r="U47" i="91"/>
  <c r="T47" i="91"/>
  <c r="S47" i="91"/>
  <c r="N47" i="91"/>
  <c r="M47" i="91"/>
  <c r="L47" i="91"/>
  <c r="K47" i="91"/>
  <c r="J47" i="91"/>
  <c r="I47" i="91"/>
  <c r="H47" i="91"/>
  <c r="G47" i="91"/>
  <c r="F47" i="91"/>
  <c r="E47" i="91"/>
  <c r="D47" i="91"/>
  <c r="C47" i="91"/>
  <c r="B47" i="91"/>
  <c r="A47" i="91"/>
  <c r="X47" i="91" s="1"/>
  <c r="V46" i="91"/>
  <c r="U46" i="91"/>
  <c r="T46" i="91"/>
  <c r="S46" i="91"/>
  <c r="N46" i="91"/>
  <c r="M46" i="91"/>
  <c r="L46" i="91"/>
  <c r="K46" i="91"/>
  <c r="J46" i="91"/>
  <c r="I46" i="91"/>
  <c r="H46" i="91"/>
  <c r="G46" i="91"/>
  <c r="F46" i="91"/>
  <c r="E46" i="91"/>
  <c r="D46" i="91"/>
  <c r="C46" i="91"/>
  <c r="B46" i="91"/>
  <c r="A46" i="91"/>
  <c r="X46" i="91" s="1"/>
  <c r="V44" i="91"/>
  <c r="U44" i="91"/>
  <c r="T44" i="91"/>
  <c r="S44" i="91"/>
  <c r="N44" i="91"/>
  <c r="M44" i="91"/>
  <c r="L44" i="91"/>
  <c r="K44" i="91"/>
  <c r="J44" i="91"/>
  <c r="I44" i="91"/>
  <c r="H44" i="91"/>
  <c r="G44" i="91"/>
  <c r="F44" i="91"/>
  <c r="E44" i="91"/>
  <c r="D44" i="91"/>
  <c r="C44" i="91"/>
  <c r="B44" i="91"/>
  <c r="A44" i="91"/>
  <c r="X44" i="91" s="1"/>
  <c r="V43" i="91"/>
  <c r="U43" i="91"/>
  <c r="T43" i="91"/>
  <c r="S43" i="91"/>
  <c r="N43" i="91"/>
  <c r="M43" i="91"/>
  <c r="L43" i="91"/>
  <c r="K43" i="91"/>
  <c r="J43" i="91"/>
  <c r="I43" i="91"/>
  <c r="H43" i="91"/>
  <c r="G43" i="91"/>
  <c r="F43" i="91"/>
  <c r="E43" i="91"/>
  <c r="D43" i="91"/>
  <c r="C43" i="91"/>
  <c r="B43" i="91"/>
  <c r="A43" i="91"/>
  <c r="X43" i="91" s="1"/>
  <c r="V42" i="91"/>
  <c r="U42" i="91"/>
  <c r="T42" i="91"/>
  <c r="S42" i="91"/>
  <c r="N42" i="91"/>
  <c r="M42" i="91"/>
  <c r="L42" i="91"/>
  <c r="K42" i="91"/>
  <c r="J42" i="91"/>
  <c r="I42" i="91"/>
  <c r="H42" i="91"/>
  <c r="G42" i="91"/>
  <c r="F42" i="91"/>
  <c r="E42" i="91"/>
  <c r="D42" i="91"/>
  <c r="C42" i="91"/>
  <c r="B42" i="91"/>
  <c r="A42" i="91"/>
  <c r="X42" i="91" s="1"/>
  <c r="V41" i="91"/>
  <c r="U41" i="91"/>
  <c r="T41" i="91"/>
  <c r="S41" i="91"/>
  <c r="N41" i="91"/>
  <c r="M41" i="91"/>
  <c r="L41" i="91"/>
  <c r="K41" i="91"/>
  <c r="J41" i="91"/>
  <c r="I41" i="91"/>
  <c r="H41" i="91"/>
  <c r="G41" i="91"/>
  <c r="F41" i="91"/>
  <c r="E41" i="91"/>
  <c r="D41" i="91"/>
  <c r="C41" i="91"/>
  <c r="B41" i="91"/>
  <c r="A41" i="91"/>
  <c r="X41" i="91" s="1"/>
  <c r="V40" i="91"/>
  <c r="U40" i="91"/>
  <c r="T40" i="91"/>
  <c r="S40" i="91"/>
  <c r="N40" i="91"/>
  <c r="M40" i="91"/>
  <c r="L40" i="91"/>
  <c r="K40" i="91"/>
  <c r="J40" i="91"/>
  <c r="I40" i="91"/>
  <c r="H40" i="91"/>
  <c r="G40" i="91"/>
  <c r="F40" i="91"/>
  <c r="E40" i="91"/>
  <c r="D40" i="91"/>
  <c r="C40" i="91"/>
  <c r="B40" i="91"/>
  <c r="A40" i="91"/>
  <c r="X40" i="91" s="1"/>
  <c r="V39" i="91"/>
  <c r="U39" i="91"/>
  <c r="T39" i="91"/>
  <c r="S39" i="91"/>
  <c r="N39" i="91"/>
  <c r="M39" i="91"/>
  <c r="L39" i="91"/>
  <c r="K39" i="91"/>
  <c r="J39" i="91"/>
  <c r="I39" i="91"/>
  <c r="H39" i="91"/>
  <c r="G39" i="91"/>
  <c r="F39" i="91"/>
  <c r="E39" i="91"/>
  <c r="D39" i="91"/>
  <c r="C39" i="91"/>
  <c r="B39" i="91"/>
  <c r="A39" i="91"/>
  <c r="X39" i="91" s="1"/>
  <c r="V38" i="91"/>
  <c r="U38" i="91"/>
  <c r="T38" i="91"/>
  <c r="S38" i="91"/>
  <c r="N38" i="91"/>
  <c r="M38" i="91"/>
  <c r="L38" i="91"/>
  <c r="K38" i="91"/>
  <c r="J38" i="91"/>
  <c r="I38" i="91"/>
  <c r="H38" i="91"/>
  <c r="G38" i="91"/>
  <c r="F38" i="91"/>
  <c r="E38" i="91"/>
  <c r="D38" i="91"/>
  <c r="C38" i="91"/>
  <c r="B38" i="91"/>
  <c r="A38" i="91"/>
  <c r="X38" i="91" s="1"/>
  <c r="V37" i="91"/>
  <c r="U37" i="91"/>
  <c r="T37" i="91"/>
  <c r="S37" i="91"/>
  <c r="N37" i="91"/>
  <c r="M37" i="91"/>
  <c r="L37" i="91"/>
  <c r="K37" i="91"/>
  <c r="J37" i="91"/>
  <c r="I37" i="91"/>
  <c r="H37" i="91"/>
  <c r="G37" i="91"/>
  <c r="F37" i="91"/>
  <c r="E37" i="91"/>
  <c r="D37" i="91"/>
  <c r="C37" i="91"/>
  <c r="B37" i="91"/>
  <c r="A37" i="91"/>
  <c r="X37" i="91" s="1"/>
  <c r="V36" i="91"/>
  <c r="U36" i="91"/>
  <c r="T36" i="91"/>
  <c r="S36" i="91"/>
  <c r="N36" i="91"/>
  <c r="M36" i="91"/>
  <c r="L36" i="91"/>
  <c r="K36" i="91"/>
  <c r="J36" i="91"/>
  <c r="I36" i="91"/>
  <c r="H36" i="91"/>
  <c r="G36" i="91"/>
  <c r="F36" i="91"/>
  <c r="E36" i="91"/>
  <c r="D36" i="91"/>
  <c r="C36" i="91"/>
  <c r="B36" i="91"/>
  <c r="A36" i="91"/>
  <c r="X36" i="91" s="1"/>
  <c r="V35" i="91"/>
  <c r="U35" i="91"/>
  <c r="T35" i="91"/>
  <c r="S35" i="91"/>
  <c r="N35" i="91"/>
  <c r="M35" i="91"/>
  <c r="L35" i="91"/>
  <c r="K35" i="91"/>
  <c r="J35" i="91"/>
  <c r="I35" i="91"/>
  <c r="H35" i="91"/>
  <c r="G35" i="91"/>
  <c r="F35" i="91"/>
  <c r="E35" i="91"/>
  <c r="D35" i="91"/>
  <c r="C35" i="91"/>
  <c r="B35" i="91"/>
  <c r="A35" i="91"/>
  <c r="X35" i="91" s="1"/>
  <c r="V34" i="91"/>
  <c r="U34" i="91"/>
  <c r="T34" i="91"/>
  <c r="S34" i="91"/>
  <c r="N34" i="91"/>
  <c r="M34" i="91"/>
  <c r="L34" i="91"/>
  <c r="K34" i="91"/>
  <c r="J34" i="91"/>
  <c r="I34" i="91"/>
  <c r="H34" i="91"/>
  <c r="G34" i="91"/>
  <c r="F34" i="91"/>
  <c r="E34" i="91"/>
  <c r="D34" i="91"/>
  <c r="C34" i="91"/>
  <c r="B34" i="91"/>
  <c r="A34" i="91"/>
  <c r="X34" i="91" s="1"/>
  <c r="V33" i="91"/>
  <c r="U33" i="91"/>
  <c r="T33" i="91"/>
  <c r="S33" i="91"/>
  <c r="N33" i="91"/>
  <c r="M33" i="91"/>
  <c r="L33" i="91"/>
  <c r="K33" i="91"/>
  <c r="J33" i="91"/>
  <c r="I33" i="91"/>
  <c r="H33" i="91"/>
  <c r="G33" i="91"/>
  <c r="F33" i="91"/>
  <c r="E33" i="91"/>
  <c r="D33" i="91"/>
  <c r="C33" i="91"/>
  <c r="B33" i="91"/>
  <c r="A33" i="91"/>
  <c r="X33" i="91" s="1"/>
  <c r="V31" i="91"/>
  <c r="U31" i="91"/>
  <c r="T31" i="91"/>
  <c r="S31" i="91"/>
  <c r="N31" i="91"/>
  <c r="M31" i="91"/>
  <c r="L31" i="91"/>
  <c r="K31" i="91"/>
  <c r="J31" i="91"/>
  <c r="I31" i="91"/>
  <c r="H31" i="91"/>
  <c r="G31" i="91"/>
  <c r="F31" i="91"/>
  <c r="E31" i="91"/>
  <c r="D31" i="91"/>
  <c r="C31" i="91"/>
  <c r="B31" i="91"/>
  <c r="A31" i="91"/>
  <c r="X31" i="91" s="1"/>
  <c r="V30" i="91"/>
  <c r="U30" i="91"/>
  <c r="T30" i="91"/>
  <c r="S30" i="91"/>
  <c r="N30" i="91"/>
  <c r="M30" i="91"/>
  <c r="L30" i="91"/>
  <c r="K30" i="91"/>
  <c r="J30" i="91"/>
  <c r="I30" i="91"/>
  <c r="H30" i="91"/>
  <c r="G30" i="91"/>
  <c r="F30" i="91"/>
  <c r="E30" i="91"/>
  <c r="D30" i="91"/>
  <c r="C30" i="91"/>
  <c r="B30" i="91"/>
  <c r="A30" i="91"/>
  <c r="X30" i="91" s="1"/>
  <c r="V29" i="91"/>
  <c r="U29" i="91"/>
  <c r="T29" i="91"/>
  <c r="S29" i="91"/>
  <c r="N29" i="91"/>
  <c r="M29" i="91"/>
  <c r="L29" i="91"/>
  <c r="K29" i="91"/>
  <c r="J29" i="91"/>
  <c r="I29" i="91"/>
  <c r="H29" i="91"/>
  <c r="G29" i="91"/>
  <c r="F29" i="91"/>
  <c r="E29" i="91"/>
  <c r="D29" i="91"/>
  <c r="C29" i="91"/>
  <c r="B29" i="91"/>
  <c r="A29" i="91"/>
  <c r="X29" i="91" s="1"/>
  <c r="V28" i="91"/>
  <c r="U28" i="91"/>
  <c r="T28" i="91"/>
  <c r="S28" i="91"/>
  <c r="N28" i="91"/>
  <c r="M28" i="91"/>
  <c r="L28" i="91"/>
  <c r="K28" i="91"/>
  <c r="J28" i="91"/>
  <c r="I28" i="91"/>
  <c r="H28" i="91"/>
  <c r="G28" i="91"/>
  <c r="F28" i="91"/>
  <c r="E28" i="91"/>
  <c r="D28" i="91"/>
  <c r="C28" i="91"/>
  <c r="B28" i="91"/>
  <c r="A28" i="91"/>
  <c r="X28" i="91" s="1"/>
  <c r="V27" i="91"/>
  <c r="U27" i="91"/>
  <c r="T27" i="91"/>
  <c r="S27" i="91"/>
  <c r="N27" i="91"/>
  <c r="M27" i="91"/>
  <c r="L27" i="91"/>
  <c r="K27" i="91"/>
  <c r="J27" i="91"/>
  <c r="I27" i="91"/>
  <c r="H27" i="91"/>
  <c r="G27" i="91"/>
  <c r="F27" i="91"/>
  <c r="E27" i="91"/>
  <c r="D27" i="91"/>
  <c r="C27" i="91"/>
  <c r="B27" i="91"/>
  <c r="A27" i="91"/>
  <c r="X27" i="91" s="1"/>
  <c r="V26" i="91"/>
  <c r="U26" i="91"/>
  <c r="T26" i="91"/>
  <c r="S26" i="91"/>
  <c r="N26" i="91"/>
  <c r="M26" i="91"/>
  <c r="L26" i="91"/>
  <c r="K26" i="91"/>
  <c r="J26" i="91"/>
  <c r="I26" i="91"/>
  <c r="H26" i="91"/>
  <c r="G26" i="91"/>
  <c r="F26" i="91"/>
  <c r="E26" i="91"/>
  <c r="D26" i="91"/>
  <c r="C26" i="91"/>
  <c r="B26" i="91"/>
  <c r="A26" i="91"/>
  <c r="X26" i="91" s="1"/>
  <c r="V25" i="91"/>
  <c r="U25" i="91"/>
  <c r="T25" i="91"/>
  <c r="S25" i="91"/>
  <c r="N25" i="91"/>
  <c r="M25" i="91"/>
  <c r="L25" i="91"/>
  <c r="K25" i="91"/>
  <c r="J25" i="91"/>
  <c r="I25" i="91"/>
  <c r="H25" i="91"/>
  <c r="G25" i="91"/>
  <c r="F25" i="91"/>
  <c r="E25" i="91"/>
  <c r="D25" i="91"/>
  <c r="C25" i="91"/>
  <c r="B25" i="91"/>
  <c r="A25" i="91"/>
  <c r="X25" i="91" s="1"/>
  <c r="V24" i="91"/>
  <c r="U24" i="91"/>
  <c r="T24" i="91"/>
  <c r="S24" i="91"/>
  <c r="N24" i="91"/>
  <c r="M24" i="91"/>
  <c r="L24" i="91"/>
  <c r="K24" i="91"/>
  <c r="J24" i="91"/>
  <c r="I24" i="91"/>
  <c r="H24" i="91"/>
  <c r="G24" i="91"/>
  <c r="F24" i="91"/>
  <c r="E24" i="91"/>
  <c r="D24" i="91"/>
  <c r="C24" i="91"/>
  <c r="B24" i="91"/>
  <c r="A24" i="91"/>
  <c r="X24" i="91" s="1"/>
  <c r="V23" i="91"/>
  <c r="U23" i="91"/>
  <c r="T23" i="91"/>
  <c r="S23" i="91"/>
  <c r="N23" i="91"/>
  <c r="M23" i="91"/>
  <c r="L23" i="91"/>
  <c r="K23" i="91"/>
  <c r="J23" i="91"/>
  <c r="I23" i="91"/>
  <c r="H23" i="91"/>
  <c r="G23" i="91"/>
  <c r="F23" i="91"/>
  <c r="E23" i="91"/>
  <c r="D23" i="91"/>
  <c r="C23" i="91"/>
  <c r="B23" i="91"/>
  <c r="A23" i="91"/>
  <c r="X23" i="91" s="1"/>
  <c r="V22" i="91"/>
  <c r="U22" i="91"/>
  <c r="T22" i="91"/>
  <c r="S22" i="91"/>
  <c r="N22" i="91"/>
  <c r="M22" i="91"/>
  <c r="L22" i="91"/>
  <c r="K22" i="91"/>
  <c r="J22" i="91"/>
  <c r="I22" i="91"/>
  <c r="H22" i="91"/>
  <c r="G22" i="91"/>
  <c r="F22" i="91"/>
  <c r="E22" i="91"/>
  <c r="D22" i="91"/>
  <c r="C22" i="91"/>
  <c r="B22" i="91"/>
  <c r="A22" i="91"/>
  <c r="X22" i="91" s="1"/>
  <c r="V21" i="91"/>
  <c r="U21" i="91"/>
  <c r="T21" i="91"/>
  <c r="S21" i="91"/>
  <c r="N21" i="91"/>
  <c r="M21" i="91"/>
  <c r="L21" i="91"/>
  <c r="K21" i="91"/>
  <c r="J21" i="91"/>
  <c r="I21" i="91"/>
  <c r="H21" i="91"/>
  <c r="G21" i="91"/>
  <c r="F21" i="91"/>
  <c r="E21" i="91"/>
  <c r="D21" i="91"/>
  <c r="C21" i="91"/>
  <c r="B21" i="91"/>
  <c r="A21" i="91"/>
  <c r="X21" i="91" s="1"/>
  <c r="V20" i="91"/>
  <c r="U20" i="91"/>
  <c r="T20" i="91"/>
  <c r="S20" i="91"/>
  <c r="N20" i="91"/>
  <c r="M20" i="91"/>
  <c r="L20" i="91"/>
  <c r="K20" i="91"/>
  <c r="J20" i="91"/>
  <c r="I20" i="91"/>
  <c r="H20" i="91"/>
  <c r="G20" i="91"/>
  <c r="F20" i="91"/>
  <c r="E20" i="91"/>
  <c r="D20" i="91"/>
  <c r="C20" i="91"/>
  <c r="B20" i="91"/>
  <c r="A20" i="91"/>
  <c r="X20" i="91" s="1"/>
  <c r="V18" i="91"/>
  <c r="U18" i="91"/>
  <c r="T18" i="91"/>
  <c r="S18" i="91"/>
  <c r="N18" i="91"/>
  <c r="M18" i="91"/>
  <c r="L18" i="91"/>
  <c r="K18" i="91"/>
  <c r="J18" i="91"/>
  <c r="I18" i="91"/>
  <c r="H18" i="91"/>
  <c r="G18" i="91"/>
  <c r="F18" i="91"/>
  <c r="E18" i="91"/>
  <c r="D18" i="91"/>
  <c r="C18" i="91"/>
  <c r="B18" i="91"/>
  <c r="A18" i="91"/>
  <c r="X18" i="91" s="1"/>
  <c r="V17" i="91"/>
  <c r="U17" i="91"/>
  <c r="T17" i="91"/>
  <c r="S17" i="91"/>
  <c r="N17" i="91"/>
  <c r="M17" i="91"/>
  <c r="L17" i="91"/>
  <c r="K17" i="91"/>
  <c r="J17" i="91"/>
  <c r="I17" i="91"/>
  <c r="H17" i="91"/>
  <c r="G17" i="91"/>
  <c r="F17" i="91"/>
  <c r="E17" i="91"/>
  <c r="D17" i="91"/>
  <c r="C17" i="91"/>
  <c r="B17" i="91"/>
  <c r="A17" i="91"/>
  <c r="X17" i="91" s="1"/>
  <c r="V16" i="91"/>
  <c r="U16" i="91"/>
  <c r="T16" i="91"/>
  <c r="S16" i="91"/>
  <c r="N16" i="91"/>
  <c r="M16" i="91"/>
  <c r="L16" i="91"/>
  <c r="K16" i="91"/>
  <c r="J16" i="91"/>
  <c r="I16" i="91"/>
  <c r="H16" i="91"/>
  <c r="G16" i="91"/>
  <c r="F16" i="91"/>
  <c r="E16" i="91"/>
  <c r="D16" i="91"/>
  <c r="C16" i="91"/>
  <c r="B16" i="91"/>
  <c r="A16" i="91"/>
  <c r="X16" i="91" s="1"/>
  <c r="V15" i="91"/>
  <c r="U15" i="91"/>
  <c r="T15" i="91"/>
  <c r="S15" i="91"/>
  <c r="N15" i="91"/>
  <c r="M15" i="91"/>
  <c r="L15" i="91"/>
  <c r="K15" i="91"/>
  <c r="J15" i="91"/>
  <c r="I15" i="91"/>
  <c r="H15" i="91"/>
  <c r="G15" i="91"/>
  <c r="F15" i="91"/>
  <c r="E15" i="91"/>
  <c r="D15" i="91"/>
  <c r="C15" i="91"/>
  <c r="B15" i="91"/>
  <c r="A15" i="91"/>
  <c r="X15" i="91" s="1"/>
  <c r="V14" i="91"/>
  <c r="U14" i="91"/>
  <c r="T14" i="91"/>
  <c r="S14" i="91"/>
  <c r="N14" i="91"/>
  <c r="M14" i="91"/>
  <c r="L14" i="91"/>
  <c r="K14" i="91"/>
  <c r="J14" i="91"/>
  <c r="I14" i="91"/>
  <c r="H14" i="91"/>
  <c r="G14" i="91"/>
  <c r="F14" i="91"/>
  <c r="E14" i="91"/>
  <c r="D14" i="91"/>
  <c r="C14" i="91"/>
  <c r="B14" i="91"/>
  <c r="A14" i="91"/>
  <c r="X14" i="91" s="1"/>
  <c r="V13" i="91"/>
  <c r="U13" i="91"/>
  <c r="T13" i="91"/>
  <c r="S13" i="91"/>
  <c r="N13" i="91"/>
  <c r="M13" i="91"/>
  <c r="L13" i="91"/>
  <c r="K13" i="91"/>
  <c r="J13" i="91"/>
  <c r="I13" i="91"/>
  <c r="H13" i="91"/>
  <c r="G13" i="91"/>
  <c r="F13" i="91"/>
  <c r="E13" i="91"/>
  <c r="D13" i="91"/>
  <c r="C13" i="91"/>
  <c r="B13" i="91"/>
  <c r="A13" i="91"/>
  <c r="X13" i="91" s="1"/>
  <c r="V12" i="91"/>
  <c r="U12" i="91"/>
  <c r="T12" i="91"/>
  <c r="S12" i="91"/>
  <c r="N12" i="91"/>
  <c r="M12" i="91"/>
  <c r="L12" i="91"/>
  <c r="K12" i="91"/>
  <c r="J12" i="91"/>
  <c r="I12" i="91"/>
  <c r="H12" i="91"/>
  <c r="G12" i="91"/>
  <c r="F12" i="91"/>
  <c r="E12" i="91"/>
  <c r="D12" i="91"/>
  <c r="C12" i="91"/>
  <c r="B12" i="91"/>
  <c r="A12" i="91"/>
  <c r="X12" i="91" s="1"/>
  <c r="V11" i="91"/>
  <c r="U11" i="91"/>
  <c r="T11" i="91"/>
  <c r="S11" i="91"/>
  <c r="N11" i="91"/>
  <c r="M11" i="91"/>
  <c r="L11" i="91"/>
  <c r="K11" i="91"/>
  <c r="J11" i="91"/>
  <c r="I11" i="91"/>
  <c r="H11" i="91"/>
  <c r="G11" i="91"/>
  <c r="F11" i="91"/>
  <c r="E11" i="91"/>
  <c r="D11" i="91"/>
  <c r="C11" i="91"/>
  <c r="B11" i="91"/>
  <c r="A11" i="91"/>
  <c r="X11" i="91" s="1"/>
  <c r="V10" i="91"/>
  <c r="U10" i="91"/>
  <c r="T10" i="91"/>
  <c r="S10" i="91"/>
  <c r="N10" i="91"/>
  <c r="M10" i="91"/>
  <c r="L10" i="91"/>
  <c r="K10" i="91"/>
  <c r="J10" i="91"/>
  <c r="I10" i="91"/>
  <c r="H10" i="91"/>
  <c r="G10" i="91"/>
  <c r="F10" i="91"/>
  <c r="E10" i="91"/>
  <c r="D10" i="91"/>
  <c r="C10" i="91"/>
  <c r="B10" i="91"/>
  <c r="A10" i="91"/>
  <c r="X10" i="91" s="1"/>
  <c r="V9" i="91"/>
  <c r="U9" i="91"/>
  <c r="T9" i="91"/>
  <c r="S9" i="91"/>
  <c r="N9" i="91"/>
  <c r="M9" i="91"/>
  <c r="L9" i="91"/>
  <c r="K9" i="91"/>
  <c r="J9" i="91"/>
  <c r="I9" i="91"/>
  <c r="H9" i="91"/>
  <c r="G9" i="91"/>
  <c r="F9" i="91"/>
  <c r="E9" i="91"/>
  <c r="D9" i="91"/>
  <c r="C9" i="91"/>
  <c r="B9" i="91"/>
  <c r="A9" i="91"/>
  <c r="X9" i="91" s="1"/>
  <c r="V8" i="91"/>
  <c r="U8" i="91"/>
  <c r="T8" i="91"/>
  <c r="S8" i="91"/>
  <c r="N8" i="91"/>
  <c r="M8" i="91"/>
  <c r="L8" i="91"/>
  <c r="K8" i="91"/>
  <c r="J8" i="91"/>
  <c r="I8" i="91"/>
  <c r="H8" i="91"/>
  <c r="G8" i="91"/>
  <c r="F8" i="91"/>
  <c r="E8" i="91"/>
  <c r="D8" i="91"/>
  <c r="C8" i="91"/>
  <c r="B8" i="91"/>
  <c r="A8" i="91"/>
  <c r="X8" i="91" s="1"/>
  <c r="X108" i="91"/>
  <c r="X92" i="91"/>
  <c r="X81" i="91"/>
  <c r="AE117" i="89"/>
  <c r="AD117" i="89"/>
  <c r="AC117" i="89"/>
  <c r="V117" i="89"/>
  <c r="U117" i="89"/>
  <c r="T117" i="89"/>
  <c r="S117" i="89"/>
  <c r="N117" i="89"/>
  <c r="M117" i="89"/>
  <c r="L117" i="89"/>
  <c r="K117" i="89"/>
  <c r="J117" i="89"/>
  <c r="I117" i="89"/>
  <c r="H117" i="89"/>
  <c r="G117" i="89"/>
  <c r="F117" i="89"/>
  <c r="E117" i="89"/>
  <c r="D117" i="89"/>
  <c r="C117" i="89"/>
  <c r="B117" i="89"/>
  <c r="A117" i="89"/>
  <c r="X117" i="89" s="1"/>
  <c r="AE116" i="89"/>
  <c r="AD116" i="89"/>
  <c r="AC116" i="89"/>
  <c r="V116" i="89"/>
  <c r="U116" i="89"/>
  <c r="T116" i="89"/>
  <c r="S116" i="89"/>
  <c r="N116" i="89"/>
  <c r="M116" i="89"/>
  <c r="L116" i="89"/>
  <c r="K116" i="89"/>
  <c r="J116" i="89"/>
  <c r="I116" i="89"/>
  <c r="H116" i="89"/>
  <c r="G116" i="89"/>
  <c r="F116" i="89"/>
  <c r="E116" i="89"/>
  <c r="D116" i="89"/>
  <c r="C116" i="89"/>
  <c r="B116" i="89"/>
  <c r="A116" i="89"/>
  <c r="AE115" i="89"/>
  <c r="AD115" i="89"/>
  <c r="AC115" i="89"/>
  <c r="V115" i="89"/>
  <c r="U115" i="89"/>
  <c r="T115" i="89"/>
  <c r="S115" i="89"/>
  <c r="J115" i="89"/>
  <c r="E115" i="89"/>
  <c r="D115" i="89"/>
  <c r="C115" i="89"/>
  <c r="B115" i="89"/>
  <c r="A115" i="89"/>
  <c r="X115" i="89" s="1"/>
  <c r="AE114" i="89"/>
  <c r="AD114" i="89"/>
  <c r="AC114" i="89"/>
  <c r="V114" i="89"/>
  <c r="U114" i="89"/>
  <c r="T114" i="89"/>
  <c r="S114" i="89"/>
  <c r="N114" i="89"/>
  <c r="M114" i="89"/>
  <c r="L114" i="89"/>
  <c r="K114" i="89"/>
  <c r="J114" i="89"/>
  <c r="I114" i="89"/>
  <c r="H114" i="89"/>
  <c r="G114" i="89"/>
  <c r="F114" i="89"/>
  <c r="E114" i="89"/>
  <c r="D114" i="89"/>
  <c r="C114" i="89"/>
  <c r="B114" i="89"/>
  <c r="A114" i="89"/>
  <c r="X114" i="89" s="1"/>
  <c r="AE113" i="89"/>
  <c r="AD113" i="89"/>
  <c r="AC113" i="89"/>
  <c r="V113" i="89"/>
  <c r="U113" i="89"/>
  <c r="T113" i="89"/>
  <c r="S113" i="89"/>
  <c r="J113" i="89"/>
  <c r="E113" i="89"/>
  <c r="D113" i="89"/>
  <c r="C113" i="89"/>
  <c r="B113" i="89"/>
  <c r="A113" i="89"/>
  <c r="AE112" i="89"/>
  <c r="AD112" i="89"/>
  <c r="AC112" i="89"/>
  <c r="V112" i="89"/>
  <c r="U112" i="89"/>
  <c r="T112" i="89"/>
  <c r="S112" i="89"/>
  <c r="N112" i="89"/>
  <c r="M112" i="89"/>
  <c r="L112" i="89"/>
  <c r="K112" i="89"/>
  <c r="J112" i="89"/>
  <c r="I112" i="89"/>
  <c r="H112" i="89"/>
  <c r="G112" i="89"/>
  <c r="F112" i="89"/>
  <c r="E112" i="89"/>
  <c r="D112" i="89"/>
  <c r="C112" i="89"/>
  <c r="B112" i="89"/>
  <c r="A112" i="89"/>
  <c r="X112" i="89" s="1"/>
  <c r="AE111" i="89"/>
  <c r="AD111" i="89"/>
  <c r="AC111" i="89"/>
  <c r="V111" i="89"/>
  <c r="U111" i="89"/>
  <c r="T111" i="89"/>
  <c r="S111" i="89"/>
  <c r="N111" i="89"/>
  <c r="M111" i="89"/>
  <c r="L111" i="89"/>
  <c r="K111" i="89"/>
  <c r="J111" i="89"/>
  <c r="I111" i="89"/>
  <c r="H111" i="89"/>
  <c r="G111" i="89"/>
  <c r="F111" i="89"/>
  <c r="E111" i="89"/>
  <c r="D111" i="89"/>
  <c r="C111" i="89"/>
  <c r="B111" i="89"/>
  <c r="A111" i="89"/>
  <c r="X111" i="89" s="1"/>
  <c r="AE110" i="89"/>
  <c r="AD110" i="89"/>
  <c r="AC110" i="89"/>
  <c r="V110" i="89"/>
  <c r="U110" i="89"/>
  <c r="T110" i="89"/>
  <c r="S110" i="89"/>
  <c r="N110" i="89"/>
  <c r="M110" i="89"/>
  <c r="L110" i="89"/>
  <c r="K110" i="89"/>
  <c r="J110" i="89"/>
  <c r="I110" i="89"/>
  <c r="H110" i="89"/>
  <c r="G110" i="89"/>
  <c r="F110" i="89"/>
  <c r="E110" i="89"/>
  <c r="D110" i="89"/>
  <c r="C110" i="89"/>
  <c r="B110" i="89"/>
  <c r="A110" i="89"/>
  <c r="X110" i="89" s="1"/>
  <c r="AE109" i="89"/>
  <c r="AD109" i="89"/>
  <c r="AC109" i="89"/>
  <c r="V109" i="89"/>
  <c r="U109" i="89"/>
  <c r="T109" i="89"/>
  <c r="S109" i="89"/>
  <c r="J109" i="89"/>
  <c r="E109" i="89"/>
  <c r="D109" i="89"/>
  <c r="C109" i="89"/>
  <c r="B109" i="89"/>
  <c r="A109" i="89"/>
  <c r="X109" i="89" s="1"/>
  <c r="AE108" i="89"/>
  <c r="AD108" i="89"/>
  <c r="AC108" i="89"/>
  <c r="V108" i="89"/>
  <c r="U108" i="89"/>
  <c r="T108" i="89"/>
  <c r="S108" i="89"/>
  <c r="N108" i="89"/>
  <c r="M108" i="89"/>
  <c r="L108" i="89"/>
  <c r="K108" i="89"/>
  <c r="J108" i="89"/>
  <c r="I108" i="89"/>
  <c r="H108" i="89"/>
  <c r="G108" i="89"/>
  <c r="F108" i="89"/>
  <c r="E108" i="89"/>
  <c r="D108" i="89"/>
  <c r="C108" i="89"/>
  <c r="B108" i="89"/>
  <c r="A108" i="89"/>
  <c r="X108" i="89" s="1"/>
  <c r="AE107" i="89"/>
  <c r="AD107" i="89"/>
  <c r="AC107" i="89"/>
  <c r="V107" i="89"/>
  <c r="U107" i="89"/>
  <c r="T107" i="89"/>
  <c r="S107" i="89"/>
  <c r="N107" i="89"/>
  <c r="M107" i="89"/>
  <c r="L107" i="89"/>
  <c r="K107" i="89"/>
  <c r="J107" i="89"/>
  <c r="I107" i="89"/>
  <c r="H107" i="89"/>
  <c r="G107" i="89"/>
  <c r="F107" i="89"/>
  <c r="E107" i="89"/>
  <c r="D107" i="89"/>
  <c r="C107" i="89"/>
  <c r="B107" i="89"/>
  <c r="A107" i="89"/>
  <c r="X107" i="89" s="1"/>
  <c r="AE106" i="89"/>
  <c r="AD106" i="89"/>
  <c r="AC106" i="89"/>
  <c r="V106" i="89"/>
  <c r="U106" i="89"/>
  <c r="T106" i="89"/>
  <c r="S106" i="89"/>
  <c r="N106" i="89"/>
  <c r="M106" i="89"/>
  <c r="L106" i="89"/>
  <c r="K106" i="89"/>
  <c r="J106" i="89"/>
  <c r="I106" i="89"/>
  <c r="H106" i="89"/>
  <c r="G106" i="89"/>
  <c r="F106" i="89"/>
  <c r="E106" i="89"/>
  <c r="D106" i="89"/>
  <c r="C106" i="89"/>
  <c r="B106" i="89"/>
  <c r="A106" i="89"/>
  <c r="AE105" i="89"/>
  <c r="AD105" i="89"/>
  <c r="AC105" i="89"/>
  <c r="V105" i="89"/>
  <c r="U105" i="89"/>
  <c r="T105" i="89"/>
  <c r="S105" i="89"/>
  <c r="N105" i="89"/>
  <c r="M105" i="89"/>
  <c r="L105" i="89"/>
  <c r="K105" i="89"/>
  <c r="J105" i="89"/>
  <c r="I105" i="89"/>
  <c r="H105" i="89"/>
  <c r="G105" i="89"/>
  <c r="F105" i="89"/>
  <c r="E105" i="89"/>
  <c r="D105" i="89"/>
  <c r="C105" i="89"/>
  <c r="B105" i="89"/>
  <c r="A105" i="89"/>
  <c r="AE104" i="89"/>
  <c r="AD104" i="89"/>
  <c r="AC104" i="89"/>
  <c r="V104" i="89"/>
  <c r="U104" i="89"/>
  <c r="T104" i="89"/>
  <c r="S104" i="89"/>
  <c r="N104" i="89"/>
  <c r="M104" i="89"/>
  <c r="L104" i="89"/>
  <c r="K104" i="89"/>
  <c r="J104" i="89"/>
  <c r="I104" i="89"/>
  <c r="H104" i="89"/>
  <c r="G104" i="89"/>
  <c r="F104" i="89"/>
  <c r="E104" i="89"/>
  <c r="D104" i="89"/>
  <c r="C104" i="89"/>
  <c r="B104" i="89"/>
  <c r="A104" i="89"/>
  <c r="X104" i="89" s="1"/>
  <c r="AE103" i="89"/>
  <c r="AD103" i="89"/>
  <c r="AC103" i="89"/>
  <c r="V103" i="89"/>
  <c r="U103" i="89"/>
  <c r="T103" i="89"/>
  <c r="S103" i="89"/>
  <c r="N103" i="89"/>
  <c r="M103" i="89"/>
  <c r="L103" i="89"/>
  <c r="K103" i="89"/>
  <c r="J103" i="89"/>
  <c r="I103" i="89"/>
  <c r="H103" i="89"/>
  <c r="G103" i="89"/>
  <c r="F103" i="89"/>
  <c r="E103" i="89"/>
  <c r="D103" i="89"/>
  <c r="C103" i="89"/>
  <c r="B103" i="89"/>
  <c r="A103" i="89"/>
  <c r="AE102" i="89"/>
  <c r="AD102" i="89"/>
  <c r="AC102" i="89"/>
  <c r="V102" i="89"/>
  <c r="U102" i="89"/>
  <c r="T102" i="89"/>
  <c r="S102" i="89"/>
  <c r="N102" i="89"/>
  <c r="M102" i="89"/>
  <c r="L102" i="89"/>
  <c r="K102" i="89"/>
  <c r="J102" i="89"/>
  <c r="I102" i="89"/>
  <c r="H102" i="89"/>
  <c r="G102" i="89"/>
  <c r="F102" i="89"/>
  <c r="E102" i="89"/>
  <c r="D102" i="89"/>
  <c r="C102" i="89"/>
  <c r="B102" i="89"/>
  <c r="A102" i="89"/>
  <c r="X102" i="89" s="1"/>
  <c r="AE101" i="89"/>
  <c r="AD101" i="89"/>
  <c r="AC101" i="89"/>
  <c r="V101" i="89"/>
  <c r="U101" i="89"/>
  <c r="T101" i="89"/>
  <c r="S101" i="89"/>
  <c r="J101" i="89"/>
  <c r="E101" i="89"/>
  <c r="D101" i="89"/>
  <c r="C101" i="89"/>
  <c r="B101" i="89"/>
  <c r="A101" i="89"/>
  <c r="X101" i="89" s="1"/>
  <c r="AE100" i="89"/>
  <c r="AD100" i="89"/>
  <c r="AC100" i="89"/>
  <c r="V100" i="89"/>
  <c r="U100" i="89"/>
  <c r="T100" i="89"/>
  <c r="S100" i="89"/>
  <c r="N100" i="89"/>
  <c r="M100" i="89"/>
  <c r="L100" i="89"/>
  <c r="K100" i="89"/>
  <c r="J100" i="89"/>
  <c r="I100" i="89"/>
  <c r="H100" i="89"/>
  <c r="G100" i="89"/>
  <c r="F100" i="89"/>
  <c r="E100" i="89"/>
  <c r="D100" i="89"/>
  <c r="C100" i="89"/>
  <c r="B100" i="89"/>
  <c r="A100" i="89"/>
  <c r="X100" i="89" s="1"/>
  <c r="AE99" i="89"/>
  <c r="AD99" i="89"/>
  <c r="AC99" i="89"/>
  <c r="V99" i="89"/>
  <c r="U99" i="89"/>
  <c r="T99" i="89"/>
  <c r="S99" i="89"/>
  <c r="J99" i="89"/>
  <c r="E99" i="89"/>
  <c r="D99" i="89"/>
  <c r="C99" i="89"/>
  <c r="B99" i="89"/>
  <c r="A99" i="89"/>
  <c r="X99" i="89" s="1"/>
  <c r="AE98" i="89"/>
  <c r="AD98" i="89"/>
  <c r="AC98" i="89"/>
  <c r="V98" i="89"/>
  <c r="U98" i="89"/>
  <c r="T98" i="89"/>
  <c r="S98" i="89"/>
  <c r="N98" i="89"/>
  <c r="M98" i="89"/>
  <c r="L98" i="89"/>
  <c r="K98" i="89"/>
  <c r="J98" i="89"/>
  <c r="I98" i="89"/>
  <c r="H98" i="89"/>
  <c r="G98" i="89"/>
  <c r="F98" i="89"/>
  <c r="E98" i="89"/>
  <c r="D98" i="89"/>
  <c r="C98" i="89"/>
  <c r="B98" i="89"/>
  <c r="A98" i="89"/>
  <c r="X98" i="89" s="1"/>
  <c r="AE97" i="89"/>
  <c r="AD97" i="89"/>
  <c r="AC97" i="89"/>
  <c r="V97" i="89"/>
  <c r="U97" i="89"/>
  <c r="T97" i="89"/>
  <c r="S97" i="89"/>
  <c r="N97" i="89"/>
  <c r="M97" i="89"/>
  <c r="L97" i="89"/>
  <c r="K97" i="89"/>
  <c r="J97" i="89"/>
  <c r="I97" i="89"/>
  <c r="H97" i="89"/>
  <c r="G97" i="89"/>
  <c r="F97" i="89"/>
  <c r="E97" i="89"/>
  <c r="D97" i="89"/>
  <c r="C97" i="89"/>
  <c r="B97" i="89"/>
  <c r="A97" i="89"/>
  <c r="X97" i="89" s="1"/>
  <c r="AE96" i="89"/>
  <c r="AD96" i="89"/>
  <c r="AC96" i="89"/>
  <c r="V96" i="89"/>
  <c r="U96" i="89"/>
  <c r="T96" i="89"/>
  <c r="S96" i="89"/>
  <c r="N96" i="89"/>
  <c r="M96" i="89"/>
  <c r="L96" i="89"/>
  <c r="K96" i="89"/>
  <c r="J96" i="89"/>
  <c r="I96" i="89"/>
  <c r="H96" i="89"/>
  <c r="G96" i="89"/>
  <c r="F96" i="89"/>
  <c r="E96" i="89"/>
  <c r="D96" i="89"/>
  <c r="C96" i="89"/>
  <c r="B96" i="89"/>
  <c r="A96" i="89"/>
  <c r="X96" i="89" s="1"/>
  <c r="AE95" i="89"/>
  <c r="AD95" i="89"/>
  <c r="AC95" i="89"/>
  <c r="V95" i="89"/>
  <c r="U95" i="89"/>
  <c r="T95" i="89"/>
  <c r="S95" i="89"/>
  <c r="J95" i="89"/>
  <c r="E95" i="89"/>
  <c r="D95" i="89"/>
  <c r="C95" i="89"/>
  <c r="B95" i="89"/>
  <c r="A95" i="89"/>
  <c r="X95" i="89" s="1"/>
  <c r="AE94" i="89"/>
  <c r="AD94" i="89"/>
  <c r="AC94" i="89"/>
  <c r="V94" i="89"/>
  <c r="U94" i="89"/>
  <c r="T94" i="89"/>
  <c r="S94" i="89"/>
  <c r="N94" i="89"/>
  <c r="M94" i="89"/>
  <c r="L94" i="89"/>
  <c r="K94" i="89"/>
  <c r="J94" i="89"/>
  <c r="I94" i="89"/>
  <c r="H94" i="89"/>
  <c r="G94" i="89"/>
  <c r="F94" i="89"/>
  <c r="E94" i="89"/>
  <c r="D94" i="89"/>
  <c r="C94" i="89"/>
  <c r="B94" i="89"/>
  <c r="A94" i="89"/>
  <c r="X94" i="89" s="1"/>
  <c r="AE93" i="89"/>
  <c r="AD93" i="89"/>
  <c r="AC93" i="89"/>
  <c r="V93" i="89"/>
  <c r="U93" i="89"/>
  <c r="T93" i="89"/>
  <c r="S93" i="89"/>
  <c r="N93" i="89"/>
  <c r="M93" i="89"/>
  <c r="L93" i="89"/>
  <c r="K93" i="89"/>
  <c r="J93" i="89"/>
  <c r="I93" i="89"/>
  <c r="H93" i="89"/>
  <c r="G93" i="89"/>
  <c r="F93" i="89"/>
  <c r="E93" i="89"/>
  <c r="D93" i="89"/>
  <c r="C93" i="89"/>
  <c r="B93" i="89"/>
  <c r="A93" i="89"/>
  <c r="X93" i="89" s="1"/>
  <c r="AE92" i="89"/>
  <c r="AD92" i="89"/>
  <c r="AC92" i="89"/>
  <c r="V92" i="89"/>
  <c r="U92" i="89"/>
  <c r="T92" i="89"/>
  <c r="S92" i="89"/>
  <c r="N92" i="89"/>
  <c r="M92" i="89"/>
  <c r="L92" i="89"/>
  <c r="K92" i="89"/>
  <c r="J92" i="89"/>
  <c r="I92" i="89"/>
  <c r="H92" i="89"/>
  <c r="G92" i="89"/>
  <c r="F92" i="89"/>
  <c r="E92" i="89"/>
  <c r="D92" i="89"/>
  <c r="C92" i="89"/>
  <c r="B92" i="89"/>
  <c r="A92" i="89"/>
  <c r="AE91" i="89"/>
  <c r="AD91" i="89"/>
  <c r="AC91" i="89"/>
  <c r="V91" i="89"/>
  <c r="U91" i="89"/>
  <c r="T91" i="89"/>
  <c r="S91" i="89"/>
  <c r="N91" i="89"/>
  <c r="M91" i="89"/>
  <c r="L91" i="89"/>
  <c r="K91" i="89"/>
  <c r="J91" i="89"/>
  <c r="I91" i="89"/>
  <c r="H91" i="89"/>
  <c r="G91" i="89"/>
  <c r="F91" i="89"/>
  <c r="E91" i="89"/>
  <c r="D91" i="89"/>
  <c r="C91" i="89"/>
  <c r="B91" i="89"/>
  <c r="A91" i="89"/>
  <c r="X91" i="89" s="1"/>
  <c r="AE90" i="89"/>
  <c r="AD90" i="89"/>
  <c r="AC90" i="89"/>
  <c r="V90" i="89"/>
  <c r="U90" i="89"/>
  <c r="T90" i="89"/>
  <c r="S90" i="89"/>
  <c r="N90" i="89"/>
  <c r="M90" i="89"/>
  <c r="L90" i="89"/>
  <c r="K90" i="89"/>
  <c r="J90" i="89"/>
  <c r="I90" i="89"/>
  <c r="H90" i="89"/>
  <c r="G90" i="89"/>
  <c r="F90" i="89"/>
  <c r="E90" i="89"/>
  <c r="D90" i="89"/>
  <c r="C90" i="89"/>
  <c r="B90" i="89"/>
  <c r="A90" i="89"/>
  <c r="X90" i="89" s="1"/>
  <c r="AE89" i="89"/>
  <c r="AD89" i="89"/>
  <c r="AC89" i="89"/>
  <c r="V89" i="89"/>
  <c r="U89" i="89"/>
  <c r="T89" i="89"/>
  <c r="S89" i="89"/>
  <c r="N89" i="89"/>
  <c r="M89" i="89"/>
  <c r="L89" i="89"/>
  <c r="K89" i="89"/>
  <c r="J89" i="89"/>
  <c r="I89" i="89"/>
  <c r="H89" i="89"/>
  <c r="G89" i="89"/>
  <c r="F89" i="89"/>
  <c r="E89" i="89"/>
  <c r="D89" i="89"/>
  <c r="C89" i="89"/>
  <c r="B89" i="89"/>
  <c r="A89" i="89"/>
  <c r="X89" i="89" s="1"/>
  <c r="AE88" i="89"/>
  <c r="AD88" i="89"/>
  <c r="AC88" i="89"/>
  <c r="V88" i="89"/>
  <c r="U88" i="89"/>
  <c r="T88" i="89"/>
  <c r="S88" i="89"/>
  <c r="J88" i="89"/>
  <c r="E88" i="89"/>
  <c r="D88" i="89"/>
  <c r="C88" i="89"/>
  <c r="B88" i="89"/>
  <c r="A88" i="89"/>
  <c r="X88" i="89" s="1"/>
  <c r="AE87" i="89"/>
  <c r="AD87" i="89"/>
  <c r="AC87" i="89"/>
  <c r="V87" i="89"/>
  <c r="U87" i="89"/>
  <c r="T87" i="89"/>
  <c r="S87" i="89"/>
  <c r="N87" i="89"/>
  <c r="M87" i="89"/>
  <c r="L87" i="89"/>
  <c r="K87" i="89"/>
  <c r="J87" i="89"/>
  <c r="I87" i="89"/>
  <c r="H87" i="89"/>
  <c r="G87" i="89"/>
  <c r="F87" i="89"/>
  <c r="E87" i="89"/>
  <c r="D87" i="89"/>
  <c r="C87" i="89"/>
  <c r="B87" i="89"/>
  <c r="A87" i="89"/>
  <c r="X87" i="89" s="1"/>
  <c r="AE86" i="89"/>
  <c r="AD86" i="89"/>
  <c r="AC86" i="89"/>
  <c r="V86" i="89"/>
  <c r="U86" i="89"/>
  <c r="T86" i="89"/>
  <c r="S86" i="89"/>
  <c r="J86" i="89"/>
  <c r="E86" i="89"/>
  <c r="D86" i="89"/>
  <c r="C86" i="89"/>
  <c r="B86" i="89"/>
  <c r="A86" i="89"/>
  <c r="X86" i="89" s="1"/>
  <c r="AE85" i="89"/>
  <c r="AD85" i="89"/>
  <c r="AC85" i="89"/>
  <c r="V85" i="89"/>
  <c r="U85" i="89"/>
  <c r="T85" i="89"/>
  <c r="S85" i="89"/>
  <c r="N85" i="89"/>
  <c r="M85" i="89"/>
  <c r="L85" i="89"/>
  <c r="K85" i="89"/>
  <c r="J85" i="89"/>
  <c r="I85" i="89"/>
  <c r="H85" i="89"/>
  <c r="G85" i="89"/>
  <c r="F85" i="89"/>
  <c r="E85" i="89"/>
  <c r="D85" i="89"/>
  <c r="C85" i="89"/>
  <c r="B85" i="89"/>
  <c r="A85" i="89"/>
  <c r="X85" i="89" s="1"/>
  <c r="AE84" i="89"/>
  <c r="AD84" i="89"/>
  <c r="AC84" i="89"/>
  <c r="V84" i="89"/>
  <c r="U84" i="89"/>
  <c r="T84" i="89"/>
  <c r="S84" i="89"/>
  <c r="N84" i="89"/>
  <c r="M84" i="89"/>
  <c r="L84" i="89"/>
  <c r="K84" i="89"/>
  <c r="J84" i="89"/>
  <c r="I84" i="89"/>
  <c r="H84" i="89"/>
  <c r="G84" i="89"/>
  <c r="F84" i="89"/>
  <c r="E84" i="89"/>
  <c r="D84" i="89"/>
  <c r="C84" i="89"/>
  <c r="B84" i="89"/>
  <c r="A84" i="89"/>
  <c r="X84" i="89" s="1"/>
  <c r="AE83" i="89"/>
  <c r="AD83" i="89"/>
  <c r="AC83" i="89"/>
  <c r="V83" i="89"/>
  <c r="U83" i="89"/>
  <c r="T83" i="89"/>
  <c r="S83" i="89"/>
  <c r="N83" i="89"/>
  <c r="M83" i="89"/>
  <c r="L83" i="89"/>
  <c r="K83" i="89"/>
  <c r="J83" i="89"/>
  <c r="I83" i="89"/>
  <c r="H83" i="89"/>
  <c r="G83" i="89"/>
  <c r="F83" i="89"/>
  <c r="E83" i="89"/>
  <c r="D83" i="89"/>
  <c r="C83" i="89"/>
  <c r="B83" i="89"/>
  <c r="A83" i="89"/>
  <c r="X83" i="89" s="1"/>
  <c r="AE82" i="89"/>
  <c r="AD82" i="89"/>
  <c r="AC82" i="89"/>
  <c r="V82" i="89"/>
  <c r="U82" i="89"/>
  <c r="T82" i="89"/>
  <c r="S82" i="89"/>
  <c r="J82" i="89"/>
  <c r="E82" i="89"/>
  <c r="D82" i="89"/>
  <c r="C82" i="89"/>
  <c r="B82" i="89"/>
  <c r="A82" i="89"/>
  <c r="X82" i="89" s="1"/>
  <c r="AE81" i="89"/>
  <c r="AD81" i="89"/>
  <c r="AC81" i="89"/>
  <c r="V81" i="89"/>
  <c r="U81" i="89"/>
  <c r="T81" i="89"/>
  <c r="S81" i="89"/>
  <c r="N81" i="89"/>
  <c r="M81" i="89"/>
  <c r="L81" i="89"/>
  <c r="K81" i="89"/>
  <c r="J81" i="89"/>
  <c r="I81" i="89"/>
  <c r="H81" i="89"/>
  <c r="G81" i="89"/>
  <c r="F81" i="89"/>
  <c r="E81" i="89"/>
  <c r="D81" i="89"/>
  <c r="C81" i="89"/>
  <c r="B81" i="89"/>
  <c r="A81" i="89"/>
  <c r="AE80" i="89"/>
  <c r="AD80" i="89"/>
  <c r="AC80" i="89"/>
  <c r="V80" i="89"/>
  <c r="U80" i="89"/>
  <c r="T80" i="89"/>
  <c r="S80" i="89"/>
  <c r="N80" i="89"/>
  <c r="M80" i="89"/>
  <c r="L80" i="89"/>
  <c r="K80" i="89"/>
  <c r="J80" i="89"/>
  <c r="I80" i="89"/>
  <c r="H80" i="89"/>
  <c r="G80" i="89"/>
  <c r="F80" i="89"/>
  <c r="E80" i="89"/>
  <c r="D80" i="89"/>
  <c r="C80" i="89"/>
  <c r="B80" i="89"/>
  <c r="A80" i="89"/>
  <c r="X80" i="89" s="1"/>
  <c r="AE79" i="89"/>
  <c r="AD79" i="89"/>
  <c r="AC79" i="89"/>
  <c r="V79" i="89"/>
  <c r="U79" i="89"/>
  <c r="T79" i="89"/>
  <c r="S79" i="89"/>
  <c r="N79" i="89"/>
  <c r="M79" i="89"/>
  <c r="L79" i="89"/>
  <c r="K79" i="89"/>
  <c r="J79" i="89"/>
  <c r="I79" i="89"/>
  <c r="H79" i="89"/>
  <c r="G79" i="89"/>
  <c r="F79" i="89"/>
  <c r="E79" i="89"/>
  <c r="D79" i="89"/>
  <c r="C79" i="89"/>
  <c r="B79" i="89"/>
  <c r="A79" i="89"/>
  <c r="AE78" i="89"/>
  <c r="AD78" i="89"/>
  <c r="AC78" i="89"/>
  <c r="V78" i="89"/>
  <c r="U78" i="89"/>
  <c r="T78" i="89"/>
  <c r="S78" i="89"/>
  <c r="N78" i="89"/>
  <c r="M78" i="89"/>
  <c r="L78" i="89"/>
  <c r="K78" i="89"/>
  <c r="J78" i="89"/>
  <c r="I78" i="89"/>
  <c r="H78" i="89"/>
  <c r="G78" i="89"/>
  <c r="F78" i="89"/>
  <c r="E78" i="89"/>
  <c r="D78" i="89"/>
  <c r="C78" i="89"/>
  <c r="B78" i="89"/>
  <c r="A78" i="89"/>
  <c r="X78" i="89" s="1"/>
  <c r="AE77" i="89"/>
  <c r="AD77" i="89"/>
  <c r="AC77" i="89"/>
  <c r="V77" i="89"/>
  <c r="U77" i="89"/>
  <c r="T77" i="89"/>
  <c r="S77" i="89"/>
  <c r="N77" i="89"/>
  <c r="K77" i="89"/>
  <c r="J77" i="89"/>
  <c r="I77" i="89"/>
  <c r="H77" i="89"/>
  <c r="G77" i="89"/>
  <c r="F77" i="89"/>
  <c r="E77" i="89"/>
  <c r="D77" i="89"/>
  <c r="C77" i="89"/>
  <c r="B77" i="89"/>
  <c r="A77" i="89"/>
  <c r="X77" i="89" s="1"/>
  <c r="AE76" i="89"/>
  <c r="AD76" i="89"/>
  <c r="AC76" i="89"/>
  <c r="V76" i="89"/>
  <c r="U76" i="89"/>
  <c r="T76" i="89"/>
  <c r="S76" i="89"/>
  <c r="N76" i="89"/>
  <c r="K76" i="89"/>
  <c r="J76" i="89"/>
  <c r="I76" i="89"/>
  <c r="H76" i="89"/>
  <c r="G76" i="89"/>
  <c r="F76" i="89"/>
  <c r="E76" i="89"/>
  <c r="D76" i="89"/>
  <c r="C76" i="89"/>
  <c r="B76" i="89"/>
  <c r="A76" i="89"/>
  <c r="X76" i="89" s="1"/>
  <c r="AE75" i="89"/>
  <c r="AD75" i="89"/>
  <c r="AC75" i="89"/>
  <c r="V75" i="89"/>
  <c r="U75" i="89"/>
  <c r="T75" i="89"/>
  <c r="S75" i="89"/>
  <c r="J75" i="89"/>
  <c r="E75" i="89"/>
  <c r="D75" i="89"/>
  <c r="C75" i="89"/>
  <c r="B75" i="89"/>
  <c r="A75" i="89"/>
  <c r="X75" i="89" s="1"/>
  <c r="AE74" i="89"/>
  <c r="AD74" i="89"/>
  <c r="AC74" i="89"/>
  <c r="V74" i="89"/>
  <c r="U74" i="89"/>
  <c r="T74" i="89"/>
  <c r="S74" i="89"/>
  <c r="N74" i="89"/>
  <c r="M74" i="89"/>
  <c r="L74" i="89"/>
  <c r="K74" i="89"/>
  <c r="J74" i="89"/>
  <c r="I74" i="89"/>
  <c r="H74" i="89"/>
  <c r="G74" i="89"/>
  <c r="F74" i="89"/>
  <c r="E74" i="89"/>
  <c r="D74" i="89"/>
  <c r="C74" i="89"/>
  <c r="B74" i="89"/>
  <c r="A74" i="89"/>
  <c r="X74" i="89" s="1"/>
  <c r="AE73" i="89"/>
  <c r="AD73" i="89"/>
  <c r="AC73" i="89"/>
  <c r="V73" i="89"/>
  <c r="U73" i="89"/>
  <c r="T73" i="89"/>
  <c r="S73" i="89"/>
  <c r="J73" i="89"/>
  <c r="E73" i="89"/>
  <c r="D73" i="89"/>
  <c r="C73" i="89"/>
  <c r="B73" i="89"/>
  <c r="A73" i="89"/>
  <c r="X73" i="89" s="1"/>
  <c r="AE72" i="89"/>
  <c r="AD72" i="89"/>
  <c r="AC72" i="89"/>
  <c r="V72" i="89"/>
  <c r="U72" i="89"/>
  <c r="T72" i="89"/>
  <c r="S72" i="89"/>
  <c r="N72" i="89"/>
  <c r="M72" i="89"/>
  <c r="L72" i="89"/>
  <c r="K72" i="89"/>
  <c r="J72" i="89"/>
  <c r="I72" i="89"/>
  <c r="H72" i="89"/>
  <c r="G72" i="89"/>
  <c r="F72" i="89"/>
  <c r="E72" i="89"/>
  <c r="D72" i="89"/>
  <c r="C72" i="89"/>
  <c r="B72" i="89"/>
  <c r="A72" i="89"/>
  <c r="X72" i="89" s="1"/>
  <c r="AE71" i="89"/>
  <c r="AD71" i="89"/>
  <c r="AC71" i="89"/>
  <c r="V71" i="89"/>
  <c r="U71" i="89"/>
  <c r="T71" i="89"/>
  <c r="S71" i="89"/>
  <c r="N71" i="89"/>
  <c r="M71" i="89"/>
  <c r="L71" i="89"/>
  <c r="K71" i="89"/>
  <c r="J71" i="89"/>
  <c r="I71" i="89"/>
  <c r="H71" i="89"/>
  <c r="G71" i="89"/>
  <c r="F71" i="89"/>
  <c r="E71" i="89"/>
  <c r="D71" i="89"/>
  <c r="C71" i="89"/>
  <c r="B71" i="89"/>
  <c r="A71" i="89"/>
  <c r="X71" i="89" s="1"/>
  <c r="AE70" i="89"/>
  <c r="AD70" i="89"/>
  <c r="AC70" i="89"/>
  <c r="V70" i="89"/>
  <c r="U70" i="89"/>
  <c r="T70" i="89"/>
  <c r="S70" i="89"/>
  <c r="N70" i="89"/>
  <c r="M70" i="89"/>
  <c r="L70" i="89"/>
  <c r="K70" i="89"/>
  <c r="J70" i="89"/>
  <c r="I70" i="89"/>
  <c r="H70" i="89"/>
  <c r="G70" i="89"/>
  <c r="F70" i="89"/>
  <c r="E70" i="89"/>
  <c r="D70" i="89"/>
  <c r="C70" i="89"/>
  <c r="B70" i="89"/>
  <c r="A70" i="89"/>
  <c r="AE69" i="89"/>
  <c r="AD69" i="89"/>
  <c r="AC69" i="89"/>
  <c r="V69" i="89"/>
  <c r="U69" i="89"/>
  <c r="T69" i="89"/>
  <c r="S69" i="89"/>
  <c r="N69" i="89"/>
  <c r="M69" i="89"/>
  <c r="L69" i="89"/>
  <c r="K69" i="89"/>
  <c r="J69" i="89"/>
  <c r="I69" i="89"/>
  <c r="H69" i="89"/>
  <c r="G69" i="89"/>
  <c r="F69" i="89"/>
  <c r="E69" i="89"/>
  <c r="D69" i="89"/>
  <c r="C69" i="89"/>
  <c r="B69" i="89"/>
  <c r="A69" i="89"/>
  <c r="X69" i="89" s="1"/>
  <c r="AE68" i="89"/>
  <c r="AD68" i="89"/>
  <c r="AC68" i="89"/>
  <c r="V68" i="89"/>
  <c r="U68" i="89"/>
  <c r="T68" i="89"/>
  <c r="S68" i="89"/>
  <c r="N68" i="89"/>
  <c r="M68" i="89"/>
  <c r="L68" i="89"/>
  <c r="K68" i="89"/>
  <c r="J68" i="89"/>
  <c r="I68" i="89"/>
  <c r="H68" i="89"/>
  <c r="G68" i="89"/>
  <c r="F68" i="89"/>
  <c r="E68" i="89"/>
  <c r="D68" i="89"/>
  <c r="C68" i="89"/>
  <c r="B68" i="89"/>
  <c r="A68" i="89"/>
  <c r="X68" i="89" s="1"/>
  <c r="AE67" i="89"/>
  <c r="AD67" i="89"/>
  <c r="AC67" i="89"/>
  <c r="V67" i="89"/>
  <c r="U67" i="89"/>
  <c r="T67" i="89"/>
  <c r="S67" i="89"/>
  <c r="N67" i="89"/>
  <c r="M67" i="89"/>
  <c r="L67" i="89"/>
  <c r="K67" i="89"/>
  <c r="J67" i="89"/>
  <c r="I67" i="89"/>
  <c r="H67" i="89"/>
  <c r="G67" i="89"/>
  <c r="F67" i="89"/>
  <c r="E67" i="89"/>
  <c r="D67" i="89"/>
  <c r="C67" i="89"/>
  <c r="B67" i="89"/>
  <c r="A67" i="89"/>
  <c r="X67" i="89" s="1"/>
  <c r="AE66" i="89"/>
  <c r="AD66" i="89"/>
  <c r="AC66" i="89"/>
  <c r="V66" i="89"/>
  <c r="U66" i="89"/>
  <c r="T66" i="89"/>
  <c r="S66" i="89"/>
  <c r="N66" i="89"/>
  <c r="M66" i="89"/>
  <c r="L66" i="89"/>
  <c r="K66" i="89"/>
  <c r="J66" i="89"/>
  <c r="I66" i="89"/>
  <c r="H66" i="89"/>
  <c r="G66" i="89"/>
  <c r="F66" i="89"/>
  <c r="E66" i="89"/>
  <c r="D66" i="89"/>
  <c r="C66" i="89"/>
  <c r="B66" i="89"/>
  <c r="A66" i="89"/>
  <c r="X66" i="89" s="1"/>
  <c r="AE65" i="89"/>
  <c r="AD65" i="89"/>
  <c r="AC65" i="89"/>
  <c r="V65" i="89"/>
  <c r="U65" i="89"/>
  <c r="T65" i="89"/>
  <c r="S65" i="89"/>
  <c r="N65" i="89"/>
  <c r="M65" i="89"/>
  <c r="L65" i="89"/>
  <c r="K65" i="89"/>
  <c r="J65" i="89"/>
  <c r="I65" i="89"/>
  <c r="H65" i="89"/>
  <c r="G65" i="89"/>
  <c r="F65" i="89"/>
  <c r="E65" i="89"/>
  <c r="D65" i="89"/>
  <c r="C65" i="89"/>
  <c r="B65" i="89"/>
  <c r="A65" i="89"/>
  <c r="X65" i="89" s="1"/>
  <c r="AE64" i="89"/>
  <c r="AD64" i="89"/>
  <c r="AC64" i="89"/>
  <c r="V64" i="89"/>
  <c r="U64" i="89"/>
  <c r="T64" i="89"/>
  <c r="S64" i="89"/>
  <c r="N64" i="89"/>
  <c r="M64" i="89"/>
  <c r="L64" i="89"/>
  <c r="K64" i="89"/>
  <c r="J64" i="89"/>
  <c r="I64" i="89"/>
  <c r="H64" i="89"/>
  <c r="G64" i="89"/>
  <c r="F64" i="89"/>
  <c r="E64" i="89"/>
  <c r="D64" i="89"/>
  <c r="C64" i="89"/>
  <c r="B64" i="89"/>
  <c r="A64" i="89"/>
  <c r="X64" i="89" s="1"/>
  <c r="AE63" i="89"/>
  <c r="AD63" i="89"/>
  <c r="AC63" i="89"/>
  <c r="V63" i="89"/>
  <c r="U63" i="89"/>
  <c r="T63" i="89"/>
  <c r="S63" i="89"/>
  <c r="N63" i="89"/>
  <c r="M63" i="89"/>
  <c r="L63" i="89"/>
  <c r="K63" i="89"/>
  <c r="J63" i="89"/>
  <c r="I63" i="89"/>
  <c r="H63" i="89"/>
  <c r="G63" i="89"/>
  <c r="F63" i="89"/>
  <c r="E63" i="89"/>
  <c r="D63" i="89"/>
  <c r="C63" i="89"/>
  <c r="B63" i="89"/>
  <c r="A63" i="89"/>
  <c r="X63" i="89" s="1"/>
  <c r="AE62" i="89"/>
  <c r="AD62" i="89"/>
  <c r="AC62" i="89"/>
  <c r="V62" i="89"/>
  <c r="U62" i="89"/>
  <c r="T62" i="89"/>
  <c r="S62" i="89"/>
  <c r="N62" i="89"/>
  <c r="M62" i="89"/>
  <c r="L62" i="89"/>
  <c r="K62" i="89"/>
  <c r="J62" i="89"/>
  <c r="I62" i="89"/>
  <c r="H62" i="89"/>
  <c r="G62" i="89"/>
  <c r="F62" i="89"/>
  <c r="E62" i="89"/>
  <c r="D62" i="89"/>
  <c r="C62" i="89"/>
  <c r="B62" i="89"/>
  <c r="A62" i="89"/>
  <c r="X62" i="89" s="1"/>
  <c r="AE61" i="89"/>
  <c r="AD61" i="89"/>
  <c r="AC61" i="89"/>
  <c r="V61" i="89"/>
  <c r="U61" i="89"/>
  <c r="T61" i="89"/>
  <c r="S61" i="89"/>
  <c r="J61" i="89"/>
  <c r="E61" i="89"/>
  <c r="D61" i="89"/>
  <c r="C61" i="89"/>
  <c r="B61" i="89"/>
  <c r="A61" i="89"/>
  <c r="AE60" i="89"/>
  <c r="AD60" i="89"/>
  <c r="AC60" i="89"/>
  <c r="V60" i="89"/>
  <c r="U60" i="89"/>
  <c r="T60" i="89"/>
  <c r="S60" i="89"/>
  <c r="N60" i="89"/>
  <c r="M60" i="89"/>
  <c r="L60" i="89"/>
  <c r="K60" i="89"/>
  <c r="J60" i="89"/>
  <c r="I60" i="89"/>
  <c r="H60" i="89"/>
  <c r="G60" i="89"/>
  <c r="F60" i="89"/>
  <c r="E60" i="89"/>
  <c r="D60" i="89"/>
  <c r="C60" i="89"/>
  <c r="B60" i="89"/>
  <c r="A60" i="89"/>
  <c r="X60" i="89" s="1"/>
  <c r="AE59" i="89"/>
  <c r="AD59" i="89"/>
  <c r="AC59" i="89"/>
  <c r="V59" i="89"/>
  <c r="U59" i="89"/>
  <c r="T59" i="89"/>
  <c r="S59" i="89"/>
  <c r="J59" i="89"/>
  <c r="E59" i="89"/>
  <c r="D59" i="89"/>
  <c r="C59" i="89"/>
  <c r="B59" i="89"/>
  <c r="A59" i="89"/>
  <c r="AE58" i="89"/>
  <c r="AD58" i="89"/>
  <c r="AC58" i="89"/>
  <c r="V58" i="89"/>
  <c r="U58" i="89"/>
  <c r="T58" i="89"/>
  <c r="S58" i="89"/>
  <c r="N58" i="89"/>
  <c r="M58" i="89"/>
  <c r="L58" i="89"/>
  <c r="K58" i="89"/>
  <c r="J58" i="89"/>
  <c r="I58" i="89"/>
  <c r="H58" i="89"/>
  <c r="G58" i="89"/>
  <c r="F58" i="89"/>
  <c r="E58" i="89"/>
  <c r="D58" i="89"/>
  <c r="C58" i="89"/>
  <c r="B58" i="89"/>
  <c r="A58" i="89"/>
  <c r="X58" i="89" s="1"/>
  <c r="AE57" i="89"/>
  <c r="AD57" i="89"/>
  <c r="AC57" i="89"/>
  <c r="V57" i="89"/>
  <c r="U57" i="89"/>
  <c r="T57" i="89"/>
  <c r="S57" i="89"/>
  <c r="N57" i="89"/>
  <c r="M57" i="89"/>
  <c r="L57" i="89"/>
  <c r="K57" i="89"/>
  <c r="J57" i="89"/>
  <c r="I57" i="89"/>
  <c r="H57" i="89"/>
  <c r="G57" i="89"/>
  <c r="F57" i="89"/>
  <c r="E57" i="89"/>
  <c r="D57" i="89"/>
  <c r="C57" i="89"/>
  <c r="B57" i="89"/>
  <c r="A57" i="89"/>
  <c r="X57" i="89" s="1"/>
  <c r="AE56" i="89"/>
  <c r="AD56" i="89"/>
  <c r="AC56" i="89"/>
  <c r="V56" i="89"/>
  <c r="U56" i="89"/>
  <c r="T56" i="89"/>
  <c r="S56" i="89"/>
  <c r="N56" i="89"/>
  <c r="M56" i="89"/>
  <c r="L56" i="89"/>
  <c r="K56" i="89"/>
  <c r="J56" i="89"/>
  <c r="I56" i="89"/>
  <c r="H56" i="89"/>
  <c r="G56" i="89"/>
  <c r="F56" i="89"/>
  <c r="E56" i="89"/>
  <c r="D56" i="89"/>
  <c r="C56" i="89"/>
  <c r="B56" i="89"/>
  <c r="A56" i="89"/>
  <c r="X56" i="89" s="1"/>
  <c r="AE55" i="89"/>
  <c r="AD55" i="89"/>
  <c r="AC55" i="89"/>
  <c r="V55" i="89"/>
  <c r="U55" i="89"/>
  <c r="T55" i="89"/>
  <c r="S55" i="89"/>
  <c r="N55" i="89"/>
  <c r="M55" i="89"/>
  <c r="L55" i="89"/>
  <c r="K55" i="89"/>
  <c r="J55" i="89"/>
  <c r="I55" i="89"/>
  <c r="H55" i="89"/>
  <c r="G55" i="89"/>
  <c r="F55" i="89"/>
  <c r="E55" i="89"/>
  <c r="D55" i="89"/>
  <c r="C55" i="89"/>
  <c r="B55" i="89"/>
  <c r="A55" i="89"/>
  <c r="X55" i="89" s="1"/>
  <c r="AE54" i="89"/>
  <c r="AD54" i="89"/>
  <c r="AC54" i="89"/>
  <c r="V54" i="89"/>
  <c r="U54" i="89"/>
  <c r="T54" i="89"/>
  <c r="S54" i="89"/>
  <c r="N54" i="89"/>
  <c r="M54" i="89"/>
  <c r="L54" i="89"/>
  <c r="K54" i="89"/>
  <c r="J54" i="89"/>
  <c r="I54" i="89"/>
  <c r="H54" i="89"/>
  <c r="G54" i="89"/>
  <c r="F54" i="89"/>
  <c r="E54" i="89"/>
  <c r="D54" i="89"/>
  <c r="C54" i="89"/>
  <c r="B54" i="89"/>
  <c r="A54" i="89"/>
  <c r="X54" i="89" s="1"/>
  <c r="AE53" i="89"/>
  <c r="AD53" i="89"/>
  <c r="AC53" i="89"/>
  <c r="V53" i="89"/>
  <c r="U53" i="89"/>
  <c r="T53" i="89"/>
  <c r="S53" i="89"/>
  <c r="N53" i="89"/>
  <c r="M53" i="89"/>
  <c r="L53" i="89"/>
  <c r="K53" i="89"/>
  <c r="J53" i="89"/>
  <c r="I53" i="89"/>
  <c r="H53" i="89"/>
  <c r="G53" i="89"/>
  <c r="F53" i="89"/>
  <c r="E53" i="89"/>
  <c r="D53" i="89"/>
  <c r="C53" i="89"/>
  <c r="B53" i="89"/>
  <c r="A53" i="89"/>
  <c r="X53" i="89" s="1"/>
  <c r="AE52" i="89"/>
  <c r="AD52" i="89"/>
  <c r="AC52" i="89"/>
  <c r="V52" i="89"/>
  <c r="U52" i="89"/>
  <c r="T52" i="89"/>
  <c r="S52" i="89"/>
  <c r="N52" i="89"/>
  <c r="M52" i="89"/>
  <c r="L52" i="89"/>
  <c r="K52" i="89"/>
  <c r="J52" i="89"/>
  <c r="I52" i="89"/>
  <c r="H52" i="89"/>
  <c r="G52" i="89"/>
  <c r="F52" i="89"/>
  <c r="E52" i="89"/>
  <c r="D52" i="89"/>
  <c r="C52" i="89"/>
  <c r="B52" i="89"/>
  <c r="A52" i="89"/>
  <c r="X52" i="89" s="1"/>
  <c r="AE51" i="89"/>
  <c r="AD51" i="89"/>
  <c r="AC51" i="89"/>
  <c r="V51" i="89"/>
  <c r="U51" i="89"/>
  <c r="T51" i="89"/>
  <c r="S51" i="89"/>
  <c r="N51" i="89"/>
  <c r="M51" i="89"/>
  <c r="L51" i="89"/>
  <c r="K51" i="89"/>
  <c r="J51" i="89"/>
  <c r="I51" i="89"/>
  <c r="H51" i="89"/>
  <c r="G51" i="89"/>
  <c r="F51" i="89"/>
  <c r="E51" i="89"/>
  <c r="D51" i="89"/>
  <c r="C51" i="89"/>
  <c r="B51" i="89"/>
  <c r="A51" i="89"/>
  <c r="X51" i="89" s="1"/>
  <c r="AE50" i="89"/>
  <c r="AD50" i="89"/>
  <c r="AC50" i="89"/>
  <c r="V50" i="89"/>
  <c r="U50" i="89"/>
  <c r="T50" i="89"/>
  <c r="S50" i="89"/>
  <c r="N50" i="89"/>
  <c r="M50" i="89"/>
  <c r="L50" i="89"/>
  <c r="K50" i="89"/>
  <c r="J50" i="89"/>
  <c r="I50" i="89"/>
  <c r="H50" i="89"/>
  <c r="G50" i="89"/>
  <c r="F50" i="89"/>
  <c r="E50" i="89"/>
  <c r="D50" i="89"/>
  <c r="C50" i="89"/>
  <c r="B50" i="89"/>
  <c r="A50" i="89"/>
  <c r="X50" i="89" s="1"/>
  <c r="AE49" i="89"/>
  <c r="AD49" i="89"/>
  <c r="AC49" i="89"/>
  <c r="V49" i="89"/>
  <c r="U49" i="89"/>
  <c r="T49" i="89"/>
  <c r="S49" i="89"/>
  <c r="N49" i="89"/>
  <c r="M49" i="89"/>
  <c r="L49" i="89"/>
  <c r="K49" i="89"/>
  <c r="J49" i="89"/>
  <c r="I49" i="89"/>
  <c r="H49" i="89"/>
  <c r="G49" i="89"/>
  <c r="F49" i="89"/>
  <c r="E49" i="89"/>
  <c r="D49" i="89"/>
  <c r="C49" i="89"/>
  <c r="B49" i="89"/>
  <c r="A49" i="89"/>
  <c r="X49" i="89" s="1"/>
  <c r="AE48" i="89"/>
  <c r="AD48" i="89"/>
  <c r="AC48" i="89"/>
  <c r="V48" i="89"/>
  <c r="U48" i="89"/>
  <c r="T48" i="89"/>
  <c r="S48" i="89"/>
  <c r="N48" i="89"/>
  <c r="M48" i="89"/>
  <c r="L48" i="89"/>
  <c r="K48" i="89"/>
  <c r="J48" i="89"/>
  <c r="I48" i="89"/>
  <c r="H48" i="89"/>
  <c r="G48" i="89"/>
  <c r="F48" i="89"/>
  <c r="E48" i="89"/>
  <c r="D48" i="89"/>
  <c r="C48" i="89"/>
  <c r="B48" i="89"/>
  <c r="A48" i="89"/>
  <c r="X48" i="89" s="1"/>
  <c r="AE47" i="89"/>
  <c r="AD47" i="89"/>
  <c r="AC47" i="89"/>
  <c r="V47" i="89"/>
  <c r="U47" i="89"/>
  <c r="T47" i="89"/>
  <c r="S47" i="89"/>
  <c r="J47" i="89"/>
  <c r="E47" i="89"/>
  <c r="D47" i="89"/>
  <c r="C47" i="89"/>
  <c r="B47" i="89"/>
  <c r="A47" i="89"/>
  <c r="X47" i="89" s="1"/>
  <c r="AE46" i="89"/>
  <c r="AD46" i="89"/>
  <c r="AC46" i="89"/>
  <c r="V46" i="89"/>
  <c r="U46" i="89"/>
  <c r="T46" i="89"/>
  <c r="S46" i="89"/>
  <c r="N46" i="89"/>
  <c r="M46" i="89"/>
  <c r="L46" i="89"/>
  <c r="K46" i="89"/>
  <c r="J46" i="89"/>
  <c r="I46" i="89"/>
  <c r="H46" i="89"/>
  <c r="G46" i="89"/>
  <c r="F46" i="89"/>
  <c r="E46" i="89"/>
  <c r="D46" i="89"/>
  <c r="C46" i="89"/>
  <c r="B46" i="89"/>
  <c r="A46" i="89"/>
  <c r="X46" i="89" s="1"/>
  <c r="AE45" i="89"/>
  <c r="AD45" i="89"/>
  <c r="AC45" i="89"/>
  <c r="V45" i="89"/>
  <c r="U45" i="89"/>
  <c r="T45" i="89"/>
  <c r="S45" i="89"/>
  <c r="J45" i="89"/>
  <c r="E45" i="89"/>
  <c r="D45" i="89"/>
  <c r="C45" i="89"/>
  <c r="B45" i="89"/>
  <c r="A45" i="89"/>
  <c r="X45" i="89" s="1"/>
  <c r="AE44" i="89"/>
  <c r="AD44" i="89"/>
  <c r="AC44" i="89"/>
  <c r="V44" i="89"/>
  <c r="U44" i="89"/>
  <c r="T44" i="89"/>
  <c r="S44" i="89"/>
  <c r="N44" i="89"/>
  <c r="M44" i="89"/>
  <c r="L44" i="89"/>
  <c r="K44" i="89"/>
  <c r="J44" i="89"/>
  <c r="I44" i="89"/>
  <c r="H44" i="89"/>
  <c r="G44" i="89"/>
  <c r="F44" i="89"/>
  <c r="E44" i="89"/>
  <c r="D44" i="89"/>
  <c r="C44" i="89"/>
  <c r="B44" i="89"/>
  <c r="A44" i="89"/>
  <c r="X44" i="89" s="1"/>
  <c r="AE43" i="89"/>
  <c r="AD43" i="89"/>
  <c r="AC43" i="89"/>
  <c r="V43" i="89"/>
  <c r="U43" i="89"/>
  <c r="T43" i="89"/>
  <c r="S43" i="89"/>
  <c r="N43" i="89"/>
  <c r="M43" i="89"/>
  <c r="L43" i="89"/>
  <c r="K43" i="89"/>
  <c r="J43" i="89"/>
  <c r="I43" i="89"/>
  <c r="H43" i="89"/>
  <c r="G43" i="89"/>
  <c r="F43" i="89"/>
  <c r="E43" i="89"/>
  <c r="D43" i="89"/>
  <c r="C43" i="89"/>
  <c r="B43" i="89"/>
  <c r="A43" i="89"/>
  <c r="X43" i="89" s="1"/>
  <c r="AE42" i="89"/>
  <c r="AD42" i="89"/>
  <c r="AC42" i="89"/>
  <c r="V42" i="89"/>
  <c r="U42" i="89"/>
  <c r="T42" i="89"/>
  <c r="S42" i="89"/>
  <c r="N42" i="89"/>
  <c r="M42" i="89"/>
  <c r="L42" i="89"/>
  <c r="K42" i="89"/>
  <c r="J42" i="89"/>
  <c r="I42" i="89"/>
  <c r="H42" i="89"/>
  <c r="G42" i="89"/>
  <c r="F42" i="89"/>
  <c r="E42" i="89"/>
  <c r="D42" i="89"/>
  <c r="C42" i="89"/>
  <c r="B42" i="89"/>
  <c r="A42" i="89"/>
  <c r="X42" i="89" s="1"/>
  <c r="AE41" i="89"/>
  <c r="AD41" i="89"/>
  <c r="AC41" i="89"/>
  <c r="V41" i="89"/>
  <c r="U41" i="89"/>
  <c r="T41" i="89"/>
  <c r="S41" i="89"/>
  <c r="N41" i="89"/>
  <c r="M41" i="89"/>
  <c r="L41" i="89"/>
  <c r="K41" i="89"/>
  <c r="J41" i="89"/>
  <c r="I41" i="89"/>
  <c r="H41" i="89"/>
  <c r="G41" i="89"/>
  <c r="F41" i="89"/>
  <c r="E41" i="89"/>
  <c r="D41" i="89"/>
  <c r="C41" i="89"/>
  <c r="B41" i="89"/>
  <c r="A41" i="89"/>
  <c r="X41" i="89" s="1"/>
  <c r="AE40" i="89"/>
  <c r="AD40" i="89"/>
  <c r="AC40" i="89"/>
  <c r="V40" i="89"/>
  <c r="U40" i="89"/>
  <c r="T40" i="89"/>
  <c r="S40" i="89"/>
  <c r="N40" i="89"/>
  <c r="M40" i="89"/>
  <c r="L40" i="89"/>
  <c r="K40" i="89"/>
  <c r="J40" i="89"/>
  <c r="I40" i="89"/>
  <c r="H40" i="89"/>
  <c r="G40" i="89"/>
  <c r="F40" i="89"/>
  <c r="E40" i="89"/>
  <c r="D40" i="89"/>
  <c r="C40" i="89"/>
  <c r="B40" i="89"/>
  <c r="A40" i="89"/>
  <c r="X40" i="89" s="1"/>
  <c r="AE39" i="89"/>
  <c r="AD39" i="89"/>
  <c r="AC39" i="89"/>
  <c r="V39" i="89"/>
  <c r="U39" i="89"/>
  <c r="T39" i="89"/>
  <c r="S39" i="89"/>
  <c r="N39" i="89"/>
  <c r="M39" i="89"/>
  <c r="L39" i="89"/>
  <c r="K39" i="89"/>
  <c r="J39" i="89"/>
  <c r="I39" i="89"/>
  <c r="H39" i="89"/>
  <c r="G39" i="89"/>
  <c r="F39" i="89"/>
  <c r="E39" i="89"/>
  <c r="D39" i="89"/>
  <c r="C39" i="89"/>
  <c r="B39" i="89"/>
  <c r="A39" i="89"/>
  <c r="X39" i="89" s="1"/>
  <c r="AE38" i="89"/>
  <c r="AD38" i="89"/>
  <c r="AC38" i="89"/>
  <c r="V38" i="89"/>
  <c r="U38" i="89"/>
  <c r="T38" i="89"/>
  <c r="S38" i="89"/>
  <c r="N38" i="89"/>
  <c r="M38" i="89"/>
  <c r="L38" i="89"/>
  <c r="K38" i="89"/>
  <c r="J38" i="89"/>
  <c r="I38" i="89"/>
  <c r="H38" i="89"/>
  <c r="G38" i="89"/>
  <c r="F38" i="89"/>
  <c r="E38" i="89"/>
  <c r="D38" i="89"/>
  <c r="C38" i="89"/>
  <c r="B38" i="89"/>
  <c r="A38" i="89"/>
  <c r="X38" i="89" s="1"/>
  <c r="AE37" i="89"/>
  <c r="AD37" i="89"/>
  <c r="AC37" i="89"/>
  <c r="V37" i="89"/>
  <c r="U37" i="89"/>
  <c r="T37" i="89"/>
  <c r="S37" i="89"/>
  <c r="N37" i="89"/>
  <c r="M37" i="89"/>
  <c r="L37" i="89"/>
  <c r="K37" i="89"/>
  <c r="J37" i="89"/>
  <c r="I37" i="89"/>
  <c r="H37" i="89"/>
  <c r="G37" i="89"/>
  <c r="F37" i="89"/>
  <c r="E37" i="89"/>
  <c r="D37" i="89"/>
  <c r="C37" i="89"/>
  <c r="B37" i="89"/>
  <c r="A37" i="89"/>
  <c r="X37" i="89" s="1"/>
  <c r="AE36" i="89"/>
  <c r="AD36" i="89"/>
  <c r="AC36" i="89"/>
  <c r="V36" i="89"/>
  <c r="U36" i="89"/>
  <c r="T36" i="89"/>
  <c r="S36" i="89"/>
  <c r="N36" i="89"/>
  <c r="M36" i="89"/>
  <c r="L36" i="89"/>
  <c r="K36" i="89"/>
  <c r="J36" i="89"/>
  <c r="I36" i="89"/>
  <c r="H36" i="89"/>
  <c r="G36" i="89"/>
  <c r="F36" i="89"/>
  <c r="E36" i="89"/>
  <c r="D36" i="89"/>
  <c r="C36" i="89"/>
  <c r="B36" i="89"/>
  <c r="A36" i="89"/>
  <c r="X36" i="89" s="1"/>
  <c r="AE35" i="89"/>
  <c r="AD35" i="89"/>
  <c r="AC35" i="89"/>
  <c r="V35" i="89"/>
  <c r="U35" i="89"/>
  <c r="T35" i="89"/>
  <c r="S35" i="89"/>
  <c r="N35" i="89"/>
  <c r="M35" i="89"/>
  <c r="L35" i="89"/>
  <c r="K35" i="89"/>
  <c r="J35" i="89"/>
  <c r="I35" i="89"/>
  <c r="H35" i="89"/>
  <c r="G35" i="89"/>
  <c r="F35" i="89"/>
  <c r="E35" i="89"/>
  <c r="D35" i="89"/>
  <c r="C35" i="89"/>
  <c r="B35" i="89"/>
  <c r="A35" i="89"/>
  <c r="X35" i="89" s="1"/>
  <c r="AE34" i="89"/>
  <c r="AD34" i="89"/>
  <c r="AC34" i="89"/>
  <c r="V34" i="89"/>
  <c r="U34" i="89"/>
  <c r="T34" i="89"/>
  <c r="S34" i="89"/>
  <c r="N34" i="89"/>
  <c r="M34" i="89"/>
  <c r="L34" i="89"/>
  <c r="K34" i="89"/>
  <c r="J34" i="89"/>
  <c r="I34" i="89"/>
  <c r="H34" i="89"/>
  <c r="G34" i="89"/>
  <c r="F34" i="89"/>
  <c r="E34" i="89"/>
  <c r="D34" i="89"/>
  <c r="C34" i="89"/>
  <c r="B34" i="89"/>
  <c r="A34" i="89"/>
  <c r="X34" i="89" s="1"/>
  <c r="AE33" i="89"/>
  <c r="AD33" i="89"/>
  <c r="AC33" i="89"/>
  <c r="V33" i="89"/>
  <c r="U33" i="89"/>
  <c r="T33" i="89"/>
  <c r="S33" i="89"/>
  <c r="J33" i="89"/>
  <c r="E33" i="89"/>
  <c r="D33" i="89"/>
  <c r="C33" i="89"/>
  <c r="B33" i="89"/>
  <c r="A33" i="89"/>
  <c r="X33" i="89" s="1"/>
  <c r="AE32" i="89"/>
  <c r="AD32" i="89"/>
  <c r="AC32" i="89"/>
  <c r="V32" i="89"/>
  <c r="U32" i="89"/>
  <c r="T32" i="89"/>
  <c r="S32" i="89"/>
  <c r="N32" i="89"/>
  <c r="M32" i="89"/>
  <c r="L32" i="89"/>
  <c r="K32" i="89"/>
  <c r="J32" i="89"/>
  <c r="I32" i="89"/>
  <c r="H32" i="89"/>
  <c r="G32" i="89"/>
  <c r="F32" i="89"/>
  <c r="E32" i="89"/>
  <c r="D32" i="89"/>
  <c r="C32" i="89"/>
  <c r="B32" i="89"/>
  <c r="A32" i="89"/>
  <c r="X32" i="89" s="1"/>
  <c r="AE31" i="89"/>
  <c r="AD31" i="89"/>
  <c r="AC31" i="89"/>
  <c r="V31" i="89"/>
  <c r="U31" i="89"/>
  <c r="T31" i="89"/>
  <c r="S31" i="89"/>
  <c r="J31" i="89"/>
  <c r="E31" i="89"/>
  <c r="D31" i="89"/>
  <c r="C31" i="89"/>
  <c r="B31" i="89"/>
  <c r="A31" i="89"/>
  <c r="X31" i="89" s="1"/>
  <c r="AE30" i="89"/>
  <c r="AD30" i="89"/>
  <c r="AC30" i="89"/>
  <c r="V30" i="89"/>
  <c r="U30" i="89"/>
  <c r="T30" i="89"/>
  <c r="S30" i="89"/>
  <c r="N30" i="89"/>
  <c r="M30" i="89"/>
  <c r="L30" i="89"/>
  <c r="K30" i="89"/>
  <c r="J30" i="89"/>
  <c r="I30" i="89"/>
  <c r="H30" i="89"/>
  <c r="G30" i="89"/>
  <c r="F30" i="89"/>
  <c r="E30" i="89"/>
  <c r="D30" i="89"/>
  <c r="C30" i="89"/>
  <c r="B30" i="89"/>
  <c r="A30" i="89"/>
  <c r="X30" i="89" s="1"/>
  <c r="AE29" i="89"/>
  <c r="AD29" i="89"/>
  <c r="AC29" i="89"/>
  <c r="V29" i="89"/>
  <c r="U29" i="89"/>
  <c r="T29" i="89"/>
  <c r="S29" i="89"/>
  <c r="N29" i="89"/>
  <c r="M29" i="89"/>
  <c r="L29" i="89"/>
  <c r="K29" i="89"/>
  <c r="J29" i="89"/>
  <c r="I29" i="89"/>
  <c r="H29" i="89"/>
  <c r="G29" i="89"/>
  <c r="F29" i="89"/>
  <c r="E29" i="89"/>
  <c r="D29" i="89"/>
  <c r="C29" i="89"/>
  <c r="B29" i="89"/>
  <c r="A29" i="89"/>
  <c r="X29" i="89" s="1"/>
  <c r="AE28" i="89"/>
  <c r="AD28" i="89"/>
  <c r="AC28" i="89"/>
  <c r="V28" i="89"/>
  <c r="U28" i="89"/>
  <c r="T28" i="89"/>
  <c r="S28" i="89"/>
  <c r="N28" i="89"/>
  <c r="M28" i="89"/>
  <c r="L28" i="89"/>
  <c r="K28" i="89"/>
  <c r="J28" i="89"/>
  <c r="I28" i="89"/>
  <c r="H28" i="89"/>
  <c r="G28" i="89"/>
  <c r="F28" i="89"/>
  <c r="E28" i="89"/>
  <c r="D28" i="89"/>
  <c r="C28" i="89"/>
  <c r="B28" i="89"/>
  <c r="A28" i="89"/>
  <c r="X28" i="89" s="1"/>
  <c r="AE27" i="89"/>
  <c r="AD27" i="89"/>
  <c r="AC27" i="89"/>
  <c r="V27" i="89"/>
  <c r="U27" i="89"/>
  <c r="T27" i="89"/>
  <c r="S27" i="89"/>
  <c r="N27" i="89"/>
  <c r="M27" i="89"/>
  <c r="L27" i="89"/>
  <c r="K27" i="89"/>
  <c r="J27" i="89"/>
  <c r="I27" i="89"/>
  <c r="H27" i="89"/>
  <c r="G27" i="89"/>
  <c r="F27" i="89"/>
  <c r="E27" i="89"/>
  <c r="D27" i="89"/>
  <c r="C27" i="89"/>
  <c r="B27" i="89"/>
  <c r="A27" i="89"/>
  <c r="X27" i="89" s="1"/>
  <c r="AE26" i="89"/>
  <c r="AD26" i="89"/>
  <c r="AC26" i="89"/>
  <c r="V26" i="89"/>
  <c r="U26" i="89"/>
  <c r="T26" i="89"/>
  <c r="S26" i="89"/>
  <c r="N26" i="89"/>
  <c r="M26" i="89"/>
  <c r="L26" i="89"/>
  <c r="K26" i="89"/>
  <c r="J26" i="89"/>
  <c r="I26" i="89"/>
  <c r="H26" i="89"/>
  <c r="G26" i="89"/>
  <c r="F26" i="89"/>
  <c r="E26" i="89"/>
  <c r="D26" i="89"/>
  <c r="C26" i="89"/>
  <c r="B26" i="89"/>
  <c r="A26" i="89"/>
  <c r="X26" i="89" s="1"/>
  <c r="AE25" i="89"/>
  <c r="AD25" i="89"/>
  <c r="AC25" i="89"/>
  <c r="V25" i="89"/>
  <c r="U25" i="89"/>
  <c r="T25" i="89"/>
  <c r="S25" i="89"/>
  <c r="N25" i="89"/>
  <c r="M25" i="89"/>
  <c r="L25" i="89"/>
  <c r="K25" i="89"/>
  <c r="J25" i="89"/>
  <c r="I25" i="89"/>
  <c r="H25" i="89"/>
  <c r="G25" i="89"/>
  <c r="F25" i="89"/>
  <c r="E25" i="89"/>
  <c r="D25" i="89"/>
  <c r="C25" i="89"/>
  <c r="B25" i="89"/>
  <c r="A25" i="89"/>
  <c r="X25" i="89" s="1"/>
  <c r="AE24" i="89"/>
  <c r="AD24" i="89"/>
  <c r="AC24" i="89"/>
  <c r="V24" i="89"/>
  <c r="U24" i="89"/>
  <c r="T24" i="89"/>
  <c r="S24" i="89"/>
  <c r="N24" i="89"/>
  <c r="M24" i="89"/>
  <c r="L24" i="89"/>
  <c r="K24" i="89"/>
  <c r="J24" i="89"/>
  <c r="I24" i="89"/>
  <c r="H24" i="89"/>
  <c r="G24" i="89"/>
  <c r="F24" i="89"/>
  <c r="E24" i="89"/>
  <c r="D24" i="89"/>
  <c r="C24" i="89"/>
  <c r="B24" i="89"/>
  <c r="A24" i="89"/>
  <c r="X24" i="89" s="1"/>
  <c r="AE23" i="89"/>
  <c r="AD23" i="89"/>
  <c r="AC23" i="89"/>
  <c r="V23" i="89"/>
  <c r="U23" i="89"/>
  <c r="T23" i="89"/>
  <c r="S23" i="89"/>
  <c r="N23" i="89"/>
  <c r="M23" i="89"/>
  <c r="L23" i="89"/>
  <c r="K23" i="89"/>
  <c r="J23" i="89"/>
  <c r="I23" i="89"/>
  <c r="H23" i="89"/>
  <c r="G23" i="89"/>
  <c r="F23" i="89"/>
  <c r="E23" i="89"/>
  <c r="D23" i="89"/>
  <c r="C23" i="89"/>
  <c r="B23" i="89"/>
  <c r="A23" i="89"/>
  <c r="X23" i="89" s="1"/>
  <c r="AE22" i="89"/>
  <c r="AD22" i="89"/>
  <c r="AC22" i="89"/>
  <c r="V22" i="89"/>
  <c r="U22" i="89"/>
  <c r="T22" i="89"/>
  <c r="S22" i="89"/>
  <c r="N22" i="89"/>
  <c r="M22" i="89"/>
  <c r="L22" i="89"/>
  <c r="K22" i="89"/>
  <c r="J22" i="89"/>
  <c r="I22" i="89"/>
  <c r="H22" i="89"/>
  <c r="G22" i="89"/>
  <c r="F22" i="89"/>
  <c r="E22" i="89"/>
  <c r="D22" i="89"/>
  <c r="C22" i="89"/>
  <c r="B22" i="89"/>
  <c r="A22" i="89"/>
  <c r="X22" i="89" s="1"/>
  <c r="AE21" i="89"/>
  <c r="AD21" i="89"/>
  <c r="AC21" i="89"/>
  <c r="V21" i="89"/>
  <c r="U21" i="89"/>
  <c r="T21" i="89"/>
  <c r="S21" i="89"/>
  <c r="N21" i="89"/>
  <c r="M21" i="89"/>
  <c r="L21" i="89"/>
  <c r="K21" i="89"/>
  <c r="J21" i="89"/>
  <c r="I21" i="89"/>
  <c r="H21" i="89"/>
  <c r="G21" i="89"/>
  <c r="F21" i="89"/>
  <c r="E21" i="89"/>
  <c r="D21" i="89"/>
  <c r="C21" i="89"/>
  <c r="B21" i="89"/>
  <c r="A21" i="89"/>
  <c r="X21" i="89" s="1"/>
  <c r="AE20" i="89"/>
  <c r="AD20" i="89"/>
  <c r="AC20" i="89"/>
  <c r="V20" i="89"/>
  <c r="U20" i="89"/>
  <c r="T20" i="89"/>
  <c r="S20" i="89"/>
  <c r="N20" i="89"/>
  <c r="M20" i="89"/>
  <c r="L20" i="89"/>
  <c r="K20" i="89"/>
  <c r="J20" i="89"/>
  <c r="I20" i="89"/>
  <c r="H20" i="89"/>
  <c r="G20" i="89"/>
  <c r="F20" i="89"/>
  <c r="E20" i="89"/>
  <c r="D20" i="89"/>
  <c r="C20" i="89"/>
  <c r="B20" i="89"/>
  <c r="A20" i="89"/>
  <c r="X20" i="89" s="1"/>
  <c r="AE19" i="89"/>
  <c r="AD19" i="89"/>
  <c r="AC19" i="89"/>
  <c r="V19" i="89"/>
  <c r="U19" i="89"/>
  <c r="T19" i="89"/>
  <c r="S19" i="89"/>
  <c r="J19" i="89"/>
  <c r="E19" i="89"/>
  <c r="D19" i="89"/>
  <c r="C19" i="89"/>
  <c r="B19" i="89"/>
  <c r="A19" i="89"/>
  <c r="X19" i="89" s="1"/>
  <c r="AE18" i="89"/>
  <c r="AD18" i="89"/>
  <c r="AC18" i="89"/>
  <c r="V18" i="89"/>
  <c r="U18" i="89"/>
  <c r="T18" i="89"/>
  <c r="S18" i="89"/>
  <c r="N18" i="89"/>
  <c r="M18" i="89"/>
  <c r="L18" i="89"/>
  <c r="K18" i="89"/>
  <c r="J18" i="89"/>
  <c r="I18" i="89"/>
  <c r="H18" i="89"/>
  <c r="G18" i="89"/>
  <c r="F18" i="89"/>
  <c r="E18" i="89"/>
  <c r="D18" i="89"/>
  <c r="C18" i="89"/>
  <c r="B18" i="89"/>
  <c r="A18" i="89"/>
  <c r="X18" i="89" s="1"/>
  <c r="AE17" i="89"/>
  <c r="AD17" i="89"/>
  <c r="AC17" i="89"/>
  <c r="V17" i="89"/>
  <c r="U17" i="89"/>
  <c r="T17" i="89"/>
  <c r="S17" i="89"/>
  <c r="J17" i="89"/>
  <c r="E17" i="89"/>
  <c r="D17" i="89"/>
  <c r="C17" i="89"/>
  <c r="B17" i="89"/>
  <c r="A17" i="89"/>
  <c r="X17" i="89" s="1"/>
  <c r="AE16" i="89"/>
  <c r="AD16" i="89"/>
  <c r="AC16" i="89"/>
  <c r="V16" i="89"/>
  <c r="U16" i="89"/>
  <c r="T16" i="89"/>
  <c r="S16" i="89"/>
  <c r="N16" i="89"/>
  <c r="M16" i="89"/>
  <c r="L16" i="89"/>
  <c r="K16" i="89"/>
  <c r="J16" i="89"/>
  <c r="I16" i="89"/>
  <c r="H16" i="89"/>
  <c r="G16" i="89"/>
  <c r="F16" i="89"/>
  <c r="E16" i="89"/>
  <c r="D16" i="89"/>
  <c r="C16" i="89"/>
  <c r="B16" i="89"/>
  <c r="A16" i="89"/>
  <c r="X16" i="89" s="1"/>
  <c r="AE15" i="89"/>
  <c r="AD15" i="89"/>
  <c r="AC15" i="89"/>
  <c r="V15" i="89"/>
  <c r="U15" i="89"/>
  <c r="T15" i="89"/>
  <c r="S15" i="89"/>
  <c r="N15" i="89"/>
  <c r="M15" i="89"/>
  <c r="L15" i="89"/>
  <c r="K15" i="89"/>
  <c r="J15" i="89"/>
  <c r="I15" i="89"/>
  <c r="H15" i="89"/>
  <c r="G15" i="89"/>
  <c r="F15" i="89"/>
  <c r="E15" i="89"/>
  <c r="D15" i="89"/>
  <c r="C15" i="89"/>
  <c r="B15" i="89"/>
  <c r="A15" i="89"/>
  <c r="X15" i="89" s="1"/>
  <c r="AE14" i="89"/>
  <c r="AD14" i="89"/>
  <c r="AC14" i="89"/>
  <c r="V14" i="89"/>
  <c r="U14" i="89"/>
  <c r="T14" i="89"/>
  <c r="S14" i="89"/>
  <c r="N14" i="89"/>
  <c r="M14" i="89"/>
  <c r="L14" i="89"/>
  <c r="K14" i="89"/>
  <c r="J14" i="89"/>
  <c r="I14" i="89"/>
  <c r="H14" i="89"/>
  <c r="G14" i="89"/>
  <c r="F14" i="89"/>
  <c r="E14" i="89"/>
  <c r="D14" i="89"/>
  <c r="C14" i="89"/>
  <c r="B14" i="89"/>
  <c r="A14" i="89"/>
  <c r="X14" i="89" s="1"/>
  <c r="AE13" i="89"/>
  <c r="AD13" i="89"/>
  <c r="AC13" i="89"/>
  <c r="V13" i="89"/>
  <c r="U13" i="89"/>
  <c r="T13" i="89"/>
  <c r="S13" i="89"/>
  <c r="N13" i="89"/>
  <c r="M13" i="89"/>
  <c r="L13" i="89"/>
  <c r="K13" i="89"/>
  <c r="J13" i="89"/>
  <c r="I13" i="89"/>
  <c r="H13" i="89"/>
  <c r="G13" i="89"/>
  <c r="F13" i="89"/>
  <c r="E13" i="89"/>
  <c r="D13" i="89"/>
  <c r="C13" i="89"/>
  <c r="B13" i="89"/>
  <c r="A13" i="89"/>
  <c r="X13" i="89" s="1"/>
  <c r="AE12" i="89"/>
  <c r="AD12" i="89"/>
  <c r="AC12" i="89"/>
  <c r="V12" i="89"/>
  <c r="U12" i="89"/>
  <c r="T12" i="89"/>
  <c r="S12" i="89"/>
  <c r="N12" i="89"/>
  <c r="M12" i="89"/>
  <c r="L12" i="89"/>
  <c r="K12" i="89"/>
  <c r="J12" i="89"/>
  <c r="I12" i="89"/>
  <c r="H12" i="89"/>
  <c r="G12" i="89"/>
  <c r="F12" i="89"/>
  <c r="E12" i="89"/>
  <c r="D12" i="89"/>
  <c r="C12" i="89"/>
  <c r="B12" i="89"/>
  <c r="A12" i="89"/>
  <c r="X12" i="89" s="1"/>
  <c r="AE11" i="89"/>
  <c r="AD11" i="89"/>
  <c r="AC11" i="89"/>
  <c r="V11" i="89"/>
  <c r="U11" i="89"/>
  <c r="T11" i="89"/>
  <c r="S11" i="89"/>
  <c r="N11" i="89"/>
  <c r="M11" i="89"/>
  <c r="L11" i="89"/>
  <c r="K11" i="89"/>
  <c r="J11" i="89"/>
  <c r="I11" i="89"/>
  <c r="H11" i="89"/>
  <c r="G11" i="89"/>
  <c r="F11" i="89"/>
  <c r="E11" i="89"/>
  <c r="D11" i="89"/>
  <c r="C11" i="89"/>
  <c r="B11" i="89"/>
  <c r="A11" i="89"/>
  <c r="X11" i="89" s="1"/>
  <c r="AE10" i="89"/>
  <c r="AD10" i="89"/>
  <c r="AC10" i="89"/>
  <c r="V10" i="89"/>
  <c r="U10" i="89"/>
  <c r="T10" i="89"/>
  <c r="S10" i="89"/>
  <c r="N10" i="89"/>
  <c r="M10" i="89"/>
  <c r="L10" i="89"/>
  <c r="K10" i="89"/>
  <c r="J10" i="89"/>
  <c r="I10" i="89"/>
  <c r="H10" i="89"/>
  <c r="G10" i="89"/>
  <c r="F10" i="89"/>
  <c r="E10" i="89"/>
  <c r="D10" i="89"/>
  <c r="C10" i="89"/>
  <c r="B10" i="89"/>
  <c r="A10" i="89"/>
  <c r="X10" i="89" s="1"/>
  <c r="AE9" i="89"/>
  <c r="AD9" i="89"/>
  <c r="AC9" i="89"/>
  <c r="V9" i="89"/>
  <c r="U9" i="89"/>
  <c r="T9" i="89"/>
  <c r="S9" i="89"/>
  <c r="N9" i="89"/>
  <c r="M9" i="89"/>
  <c r="L9" i="89"/>
  <c r="K9" i="89"/>
  <c r="J9" i="89"/>
  <c r="I9" i="89"/>
  <c r="H9" i="89"/>
  <c r="G9" i="89"/>
  <c r="F9" i="89"/>
  <c r="E9" i="89"/>
  <c r="D9" i="89"/>
  <c r="C9" i="89"/>
  <c r="B9" i="89"/>
  <c r="A9" i="89"/>
  <c r="X9" i="89" s="1"/>
  <c r="AE8" i="89"/>
  <c r="AD8" i="89"/>
  <c r="AC8" i="89"/>
  <c r="V8" i="89"/>
  <c r="U8" i="89"/>
  <c r="T8" i="89"/>
  <c r="S8" i="89"/>
  <c r="N8" i="89"/>
  <c r="M8" i="89"/>
  <c r="L8" i="89"/>
  <c r="K8" i="89"/>
  <c r="J8" i="89"/>
  <c r="I8" i="89"/>
  <c r="H8" i="89"/>
  <c r="G8" i="89"/>
  <c r="F8" i="89"/>
  <c r="E8" i="89"/>
  <c r="D8" i="89"/>
  <c r="C8" i="89"/>
  <c r="B8" i="89"/>
  <c r="A8" i="89"/>
  <c r="X8" i="89" s="1"/>
  <c r="X116" i="89"/>
  <c r="W116" i="89"/>
  <c r="O115" i="89"/>
  <c r="P115" i="89" s="1"/>
  <c r="X113" i="89"/>
  <c r="X106" i="89"/>
  <c r="X105" i="89"/>
  <c r="X103" i="89"/>
  <c r="X92" i="89"/>
  <c r="X81" i="89"/>
  <c r="X79" i="89"/>
  <c r="X70" i="89"/>
  <c r="X61" i="89"/>
  <c r="X59" i="89"/>
  <c r="AC133" i="87"/>
  <c r="AD133" i="87"/>
  <c r="AE133" i="87"/>
  <c r="A133" i="87"/>
  <c r="X133" i="87" s="1"/>
  <c r="B133" i="87"/>
  <c r="C133" i="87"/>
  <c r="D133" i="87"/>
  <c r="E133" i="87"/>
  <c r="F133" i="87"/>
  <c r="G133" i="87"/>
  <c r="H133" i="87"/>
  <c r="I133" i="87"/>
  <c r="J133" i="87"/>
  <c r="K133" i="87"/>
  <c r="L133" i="87"/>
  <c r="M133" i="87"/>
  <c r="N133" i="87"/>
  <c r="S133" i="87"/>
  <c r="T133" i="87"/>
  <c r="U133" i="87"/>
  <c r="V133" i="87"/>
  <c r="AC117" i="87"/>
  <c r="AD117" i="87"/>
  <c r="AE117" i="87"/>
  <c r="A117" i="87"/>
  <c r="X117" i="87" s="1"/>
  <c r="B117" i="87"/>
  <c r="C117" i="87"/>
  <c r="D117" i="87"/>
  <c r="E117" i="87"/>
  <c r="F117" i="87"/>
  <c r="G117" i="87"/>
  <c r="H117" i="87"/>
  <c r="I117" i="87"/>
  <c r="J117" i="87"/>
  <c r="K117" i="87"/>
  <c r="L117" i="87"/>
  <c r="M117" i="87"/>
  <c r="N117" i="87"/>
  <c r="S117" i="87"/>
  <c r="T117" i="87"/>
  <c r="U117" i="87"/>
  <c r="V117" i="87"/>
  <c r="AC87" i="87"/>
  <c r="AD87" i="87"/>
  <c r="AE87" i="87"/>
  <c r="A87" i="87"/>
  <c r="X87" i="87" s="1"/>
  <c r="B87" i="87"/>
  <c r="C87" i="87"/>
  <c r="D87" i="87"/>
  <c r="E87" i="87"/>
  <c r="F87" i="87"/>
  <c r="G87" i="87"/>
  <c r="H87" i="87"/>
  <c r="I87" i="87"/>
  <c r="J87" i="87"/>
  <c r="K87" i="87"/>
  <c r="N87" i="87"/>
  <c r="S87" i="87"/>
  <c r="T87" i="87"/>
  <c r="U87" i="87"/>
  <c r="V87" i="87"/>
  <c r="X71" i="87"/>
  <c r="AC71" i="87"/>
  <c r="AD71" i="87"/>
  <c r="AE71" i="87"/>
  <c r="A71" i="87"/>
  <c r="B71" i="87"/>
  <c r="C71" i="87"/>
  <c r="D71" i="87"/>
  <c r="E71" i="87"/>
  <c r="F71" i="87"/>
  <c r="G71" i="87"/>
  <c r="H71" i="87"/>
  <c r="I71" i="87"/>
  <c r="J71" i="87"/>
  <c r="K71" i="87"/>
  <c r="L71" i="87"/>
  <c r="M71" i="87"/>
  <c r="N71" i="87"/>
  <c r="S71" i="87"/>
  <c r="T71" i="87"/>
  <c r="U71" i="87"/>
  <c r="V71" i="87"/>
  <c r="AC55" i="87"/>
  <c r="AD55" i="87"/>
  <c r="AE55" i="87"/>
  <c r="A55" i="87"/>
  <c r="X55" i="87" s="1"/>
  <c r="B55" i="87"/>
  <c r="C55" i="87"/>
  <c r="D55" i="87"/>
  <c r="E55" i="87"/>
  <c r="F55" i="87"/>
  <c r="G55" i="87"/>
  <c r="H55" i="87"/>
  <c r="I55" i="87"/>
  <c r="J55" i="87"/>
  <c r="K55" i="87"/>
  <c r="L55" i="87"/>
  <c r="M55" i="87"/>
  <c r="N55" i="87"/>
  <c r="S55" i="87"/>
  <c r="T55" i="87"/>
  <c r="U55" i="87"/>
  <c r="V55" i="87"/>
  <c r="S39" i="87"/>
  <c r="T39" i="87"/>
  <c r="U39" i="87"/>
  <c r="V39" i="87"/>
  <c r="AC39" i="87"/>
  <c r="AD39" i="87"/>
  <c r="AE39" i="87"/>
  <c r="A39" i="87"/>
  <c r="X39" i="87" s="1"/>
  <c r="B39" i="87"/>
  <c r="C39" i="87"/>
  <c r="D39" i="87"/>
  <c r="E39" i="87"/>
  <c r="F39" i="87"/>
  <c r="G39" i="87"/>
  <c r="H39" i="87"/>
  <c r="I39" i="87"/>
  <c r="J39" i="87"/>
  <c r="K39" i="87"/>
  <c r="L39" i="87"/>
  <c r="M39" i="87"/>
  <c r="N39" i="87"/>
  <c r="AC23" i="87"/>
  <c r="AD23" i="87"/>
  <c r="AE23" i="87"/>
  <c r="A23" i="87"/>
  <c r="X23" i="87" s="1"/>
  <c r="B23" i="87"/>
  <c r="C23" i="87"/>
  <c r="D23" i="87"/>
  <c r="E23" i="87"/>
  <c r="F23" i="87"/>
  <c r="G23" i="87"/>
  <c r="H23" i="87"/>
  <c r="I23" i="87"/>
  <c r="J23" i="87"/>
  <c r="K23" i="87"/>
  <c r="L23" i="87"/>
  <c r="M23" i="87"/>
  <c r="N23" i="87"/>
  <c r="S23" i="87"/>
  <c r="T23" i="87"/>
  <c r="U23" i="87"/>
  <c r="V23" i="87"/>
  <c r="AE132" i="87"/>
  <c r="AD132" i="87"/>
  <c r="AC132" i="87"/>
  <c r="V132" i="87"/>
  <c r="U132" i="87"/>
  <c r="T132" i="87"/>
  <c r="S132" i="87"/>
  <c r="N132" i="87"/>
  <c r="M132" i="87"/>
  <c r="L132" i="87"/>
  <c r="K132" i="87"/>
  <c r="J132" i="87"/>
  <c r="I132" i="87"/>
  <c r="H132" i="87"/>
  <c r="G132" i="87"/>
  <c r="F132" i="87"/>
  <c r="E132" i="87"/>
  <c r="D132" i="87"/>
  <c r="C132" i="87"/>
  <c r="B132" i="87"/>
  <c r="A132" i="87"/>
  <c r="X132" i="87" s="1"/>
  <c r="AE131" i="87"/>
  <c r="AD131" i="87"/>
  <c r="AC131" i="87"/>
  <c r="V131" i="87"/>
  <c r="U131" i="87"/>
  <c r="T131" i="87"/>
  <c r="S131" i="87"/>
  <c r="J131" i="87"/>
  <c r="E131" i="87"/>
  <c r="D131" i="87"/>
  <c r="C131" i="87"/>
  <c r="B131" i="87"/>
  <c r="A131" i="87"/>
  <c r="X131" i="87" s="1"/>
  <c r="AE130" i="87"/>
  <c r="AD130" i="87"/>
  <c r="AC130" i="87"/>
  <c r="V130" i="87"/>
  <c r="U130" i="87"/>
  <c r="T130" i="87"/>
  <c r="S130" i="87"/>
  <c r="N130" i="87"/>
  <c r="M130" i="87"/>
  <c r="L130" i="87"/>
  <c r="K130" i="87"/>
  <c r="J130" i="87"/>
  <c r="I130" i="87"/>
  <c r="H130" i="87"/>
  <c r="G130" i="87"/>
  <c r="F130" i="87"/>
  <c r="E130" i="87"/>
  <c r="D130" i="87"/>
  <c r="C130" i="87"/>
  <c r="B130" i="87"/>
  <c r="A130" i="87"/>
  <c r="X130" i="87" s="1"/>
  <c r="AE129" i="87"/>
  <c r="AD129" i="87"/>
  <c r="AC129" i="87"/>
  <c r="V129" i="87"/>
  <c r="U129" i="87"/>
  <c r="T129" i="87"/>
  <c r="S129" i="87"/>
  <c r="J129" i="87"/>
  <c r="E129" i="87"/>
  <c r="D129" i="87"/>
  <c r="C129" i="87"/>
  <c r="B129" i="87"/>
  <c r="A129" i="87"/>
  <c r="X129" i="87" s="1"/>
  <c r="AE128" i="87"/>
  <c r="AD128" i="87"/>
  <c r="AC128" i="87"/>
  <c r="V128" i="87"/>
  <c r="U128" i="87"/>
  <c r="T128" i="87"/>
  <c r="S128" i="87"/>
  <c r="N128" i="87"/>
  <c r="M128" i="87"/>
  <c r="L128" i="87"/>
  <c r="K128" i="87"/>
  <c r="J128" i="87"/>
  <c r="I128" i="87"/>
  <c r="H128" i="87"/>
  <c r="G128" i="87"/>
  <c r="F128" i="87"/>
  <c r="E128" i="87"/>
  <c r="D128" i="87"/>
  <c r="C128" i="87"/>
  <c r="B128" i="87"/>
  <c r="A128" i="87"/>
  <c r="X128" i="87" s="1"/>
  <c r="AE127" i="87"/>
  <c r="AD127" i="87"/>
  <c r="AC127" i="87"/>
  <c r="V127" i="87"/>
  <c r="U127" i="87"/>
  <c r="T127" i="87"/>
  <c r="S127" i="87"/>
  <c r="N127" i="87"/>
  <c r="M127" i="87"/>
  <c r="L127" i="87"/>
  <c r="K127" i="87"/>
  <c r="J127" i="87"/>
  <c r="I127" i="87"/>
  <c r="H127" i="87"/>
  <c r="G127" i="87"/>
  <c r="F127" i="87"/>
  <c r="E127" i="87"/>
  <c r="D127" i="87"/>
  <c r="C127" i="87"/>
  <c r="B127" i="87"/>
  <c r="A127" i="87"/>
  <c r="X127" i="87" s="1"/>
  <c r="AE126" i="87"/>
  <c r="AD126" i="87"/>
  <c r="AC126" i="87"/>
  <c r="V126" i="87"/>
  <c r="U126" i="87"/>
  <c r="T126" i="87"/>
  <c r="S126" i="87"/>
  <c r="N126" i="87"/>
  <c r="M126" i="87"/>
  <c r="L126" i="87"/>
  <c r="K126" i="87"/>
  <c r="J126" i="87"/>
  <c r="I126" i="87"/>
  <c r="H126" i="87"/>
  <c r="G126" i="87"/>
  <c r="F126" i="87"/>
  <c r="E126" i="87"/>
  <c r="D126" i="87"/>
  <c r="C126" i="87"/>
  <c r="B126" i="87"/>
  <c r="A126" i="87"/>
  <c r="X126" i="87" s="1"/>
  <c r="AE125" i="87"/>
  <c r="AD125" i="87"/>
  <c r="AC125" i="87"/>
  <c r="V125" i="87"/>
  <c r="U125" i="87"/>
  <c r="T125" i="87"/>
  <c r="S125" i="87"/>
  <c r="J125" i="87"/>
  <c r="E125" i="87"/>
  <c r="D125" i="87"/>
  <c r="C125" i="87"/>
  <c r="B125" i="87"/>
  <c r="A125" i="87"/>
  <c r="X125" i="87" s="1"/>
  <c r="AE124" i="87"/>
  <c r="AD124" i="87"/>
  <c r="AC124" i="87"/>
  <c r="V124" i="87"/>
  <c r="U124" i="87"/>
  <c r="T124" i="87"/>
  <c r="S124" i="87"/>
  <c r="N124" i="87"/>
  <c r="M124" i="87"/>
  <c r="L124" i="87"/>
  <c r="K124" i="87"/>
  <c r="J124" i="87"/>
  <c r="I124" i="87"/>
  <c r="H124" i="87"/>
  <c r="G124" i="87"/>
  <c r="F124" i="87"/>
  <c r="E124" i="87"/>
  <c r="D124" i="87"/>
  <c r="C124" i="87"/>
  <c r="B124" i="87"/>
  <c r="A124" i="87"/>
  <c r="X124" i="87" s="1"/>
  <c r="AE123" i="87"/>
  <c r="AD123" i="87"/>
  <c r="AC123" i="87"/>
  <c r="V123" i="87"/>
  <c r="U123" i="87"/>
  <c r="T123" i="87"/>
  <c r="S123" i="87"/>
  <c r="N123" i="87"/>
  <c r="M123" i="87"/>
  <c r="L123" i="87"/>
  <c r="K123" i="87"/>
  <c r="J123" i="87"/>
  <c r="I123" i="87"/>
  <c r="H123" i="87"/>
  <c r="G123" i="87"/>
  <c r="F123" i="87"/>
  <c r="E123" i="87"/>
  <c r="D123" i="87"/>
  <c r="C123" i="87"/>
  <c r="B123" i="87"/>
  <c r="A123" i="87"/>
  <c r="X123" i="87" s="1"/>
  <c r="AE122" i="87"/>
  <c r="AD122" i="87"/>
  <c r="AC122" i="87"/>
  <c r="V122" i="87"/>
  <c r="U122" i="87"/>
  <c r="T122" i="87"/>
  <c r="S122" i="87"/>
  <c r="N122" i="87"/>
  <c r="M122" i="87"/>
  <c r="L122" i="87"/>
  <c r="K122" i="87"/>
  <c r="J122" i="87"/>
  <c r="I122" i="87"/>
  <c r="H122" i="87"/>
  <c r="G122" i="87"/>
  <c r="F122" i="87"/>
  <c r="E122" i="87"/>
  <c r="D122" i="87"/>
  <c r="C122" i="87"/>
  <c r="B122" i="87"/>
  <c r="A122" i="87"/>
  <c r="X122" i="87" s="1"/>
  <c r="AE121" i="87"/>
  <c r="AD121" i="87"/>
  <c r="AC121" i="87"/>
  <c r="V121" i="87"/>
  <c r="U121" i="87"/>
  <c r="T121" i="87"/>
  <c r="S121" i="87"/>
  <c r="N121" i="87"/>
  <c r="M121" i="87"/>
  <c r="L121" i="87"/>
  <c r="K121" i="87"/>
  <c r="J121" i="87"/>
  <c r="I121" i="87"/>
  <c r="H121" i="87"/>
  <c r="G121" i="87"/>
  <c r="F121" i="87"/>
  <c r="E121" i="87"/>
  <c r="D121" i="87"/>
  <c r="C121" i="87"/>
  <c r="B121" i="87"/>
  <c r="A121" i="87"/>
  <c r="AE120" i="87"/>
  <c r="AD120" i="87"/>
  <c r="AC120" i="87"/>
  <c r="V120" i="87"/>
  <c r="U120" i="87"/>
  <c r="T120" i="87"/>
  <c r="S120" i="87"/>
  <c r="N120" i="87"/>
  <c r="M120" i="87"/>
  <c r="L120" i="87"/>
  <c r="K120" i="87"/>
  <c r="J120" i="87"/>
  <c r="I120" i="87"/>
  <c r="H120" i="87"/>
  <c r="G120" i="87"/>
  <c r="F120" i="87"/>
  <c r="E120" i="87"/>
  <c r="D120" i="87"/>
  <c r="C120" i="87"/>
  <c r="B120" i="87"/>
  <c r="A120" i="87"/>
  <c r="X120" i="87" s="1"/>
  <c r="AE119" i="87"/>
  <c r="AD119" i="87"/>
  <c r="AC119" i="87"/>
  <c r="V119" i="87"/>
  <c r="U119" i="87"/>
  <c r="T119" i="87"/>
  <c r="S119" i="87"/>
  <c r="N119" i="87"/>
  <c r="M119" i="87"/>
  <c r="L119" i="87"/>
  <c r="K119" i="87"/>
  <c r="J119" i="87"/>
  <c r="I119" i="87"/>
  <c r="H119" i="87"/>
  <c r="G119" i="87"/>
  <c r="F119" i="87"/>
  <c r="E119" i="87"/>
  <c r="D119" i="87"/>
  <c r="C119" i="87"/>
  <c r="B119" i="87"/>
  <c r="A119" i="87"/>
  <c r="X119" i="87" s="1"/>
  <c r="AE118" i="87"/>
  <c r="AD118" i="87"/>
  <c r="AC118" i="87"/>
  <c r="V118" i="87"/>
  <c r="U118" i="87"/>
  <c r="T118" i="87"/>
  <c r="S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B118" i="87"/>
  <c r="A118" i="87"/>
  <c r="X118" i="87" s="1"/>
  <c r="AE116" i="87"/>
  <c r="AD116" i="87"/>
  <c r="AC116" i="87"/>
  <c r="V116" i="87"/>
  <c r="U116" i="87"/>
  <c r="T116" i="87"/>
  <c r="S116" i="87"/>
  <c r="N116" i="87"/>
  <c r="M116" i="87"/>
  <c r="L116" i="87"/>
  <c r="K116" i="87"/>
  <c r="J116" i="87"/>
  <c r="I116" i="87"/>
  <c r="H116" i="87"/>
  <c r="G116" i="87"/>
  <c r="F116" i="87"/>
  <c r="E116" i="87"/>
  <c r="D116" i="87"/>
  <c r="C116" i="87"/>
  <c r="B116" i="87"/>
  <c r="A116" i="87"/>
  <c r="X116" i="87" s="1"/>
  <c r="AE115" i="87"/>
  <c r="AD115" i="87"/>
  <c r="AC115" i="87"/>
  <c r="V115" i="87"/>
  <c r="U115" i="87"/>
  <c r="T115" i="87"/>
  <c r="S115" i="87"/>
  <c r="J115" i="87"/>
  <c r="E115" i="87"/>
  <c r="D115" i="87"/>
  <c r="C115" i="87"/>
  <c r="B115" i="87"/>
  <c r="A115" i="87"/>
  <c r="X115" i="87" s="1"/>
  <c r="AE114" i="87"/>
  <c r="AD114" i="87"/>
  <c r="AC114" i="87"/>
  <c r="V114" i="87"/>
  <c r="U114" i="87"/>
  <c r="T114" i="87"/>
  <c r="S114" i="87"/>
  <c r="N114" i="87"/>
  <c r="M114" i="87"/>
  <c r="L114" i="87"/>
  <c r="K114" i="87"/>
  <c r="J114" i="87"/>
  <c r="I114" i="87"/>
  <c r="H114" i="87"/>
  <c r="G114" i="87"/>
  <c r="F114" i="87"/>
  <c r="E114" i="87"/>
  <c r="D114" i="87"/>
  <c r="C114" i="87"/>
  <c r="B114" i="87"/>
  <c r="A114" i="87"/>
  <c r="X114" i="87" s="1"/>
  <c r="AE113" i="87"/>
  <c r="AD113" i="87"/>
  <c r="AC113" i="87"/>
  <c r="V113" i="87"/>
  <c r="U113" i="87"/>
  <c r="T113" i="87"/>
  <c r="S113" i="87"/>
  <c r="J113" i="87"/>
  <c r="E113" i="87"/>
  <c r="D113" i="87"/>
  <c r="C113" i="87"/>
  <c r="B113" i="87"/>
  <c r="A113" i="87"/>
  <c r="X113" i="87" s="1"/>
  <c r="AE112" i="87"/>
  <c r="AD112" i="87"/>
  <c r="AC112" i="87"/>
  <c r="V112" i="87"/>
  <c r="U112" i="87"/>
  <c r="T112" i="87"/>
  <c r="S112" i="87"/>
  <c r="N112" i="87"/>
  <c r="M112" i="87"/>
  <c r="L112" i="87"/>
  <c r="K112" i="87"/>
  <c r="J112" i="87"/>
  <c r="I112" i="87"/>
  <c r="H112" i="87"/>
  <c r="G112" i="87"/>
  <c r="F112" i="87"/>
  <c r="E112" i="87"/>
  <c r="D112" i="87"/>
  <c r="C112" i="87"/>
  <c r="B112" i="87"/>
  <c r="A112" i="87"/>
  <c r="AE111" i="87"/>
  <c r="AD111" i="87"/>
  <c r="AC111" i="87"/>
  <c r="V111" i="87"/>
  <c r="U111" i="87"/>
  <c r="T111" i="87"/>
  <c r="S111" i="87"/>
  <c r="N111" i="87"/>
  <c r="M111" i="87"/>
  <c r="L111" i="87"/>
  <c r="K111" i="87"/>
  <c r="J111" i="87"/>
  <c r="I111" i="87"/>
  <c r="H111" i="87"/>
  <c r="G111" i="87"/>
  <c r="F111" i="87"/>
  <c r="E111" i="87"/>
  <c r="D111" i="87"/>
  <c r="C111" i="87"/>
  <c r="B111" i="87"/>
  <c r="A111" i="87"/>
  <c r="X111" i="87" s="1"/>
  <c r="AE110" i="87"/>
  <c r="AD110" i="87"/>
  <c r="AC110" i="87"/>
  <c r="V110" i="87"/>
  <c r="U110" i="87"/>
  <c r="T110" i="87"/>
  <c r="S110" i="87"/>
  <c r="N110" i="87"/>
  <c r="M110" i="87"/>
  <c r="L110" i="87"/>
  <c r="K110" i="87"/>
  <c r="J110" i="87"/>
  <c r="I110" i="87"/>
  <c r="H110" i="87"/>
  <c r="G110" i="87"/>
  <c r="F110" i="87"/>
  <c r="E110" i="87"/>
  <c r="D110" i="87"/>
  <c r="C110" i="87"/>
  <c r="B110" i="87"/>
  <c r="A110" i="87"/>
  <c r="X110" i="87" s="1"/>
  <c r="AE109" i="87"/>
  <c r="AD109" i="87"/>
  <c r="AC109" i="87"/>
  <c r="V109" i="87"/>
  <c r="U109" i="87"/>
  <c r="T109" i="87"/>
  <c r="S109" i="87"/>
  <c r="J109" i="87"/>
  <c r="E109" i="87"/>
  <c r="D109" i="87"/>
  <c r="C109" i="87"/>
  <c r="B109" i="87"/>
  <c r="A109" i="87"/>
  <c r="X109" i="87" s="1"/>
  <c r="AE108" i="87"/>
  <c r="AD108" i="87"/>
  <c r="AC108" i="87"/>
  <c r="V108" i="87"/>
  <c r="U108" i="87"/>
  <c r="T108" i="87"/>
  <c r="S108" i="87"/>
  <c r="N108" i="87"/>
  <c r="M108" i="87"/>
  <c r="L108" i="87"/>
  <c r="K108" i="87"/>
  <c r="J108" i="87"/>
  <c r="I108" i="87"/>
  <c r="H108" i="87"/>
  <c r="G108" i="87"/>
  <c r="F108" i="87"/>
  <c r="E108" i="87"/>
  <c r="D108" i="87"/>
  <c r="C108" i="87"/>
  <c r="B108" i="87"/>
  <c r="A108" i="87"/>
  <c r="X108" i="87" s="1"/>
  <c r="AE107" i="87"/>
  <c r="AD107" i="87"/>
  <c r="AC107" i="87"/>
  <c r="V107" i="87"/>
  <c r="U107" i="87"/>
  <c r="T107" i="87"/>
  <c r="S107" i="87"/>
  <c r="N107" i="87"/>
  <c r="M107" i="87"/>
  <c r="L107" i="87"/>
  <c r="K107" i="87"/>
  <c r="J107" i="87"/>
  <c r="I107" i="87"/>
  <c r="H107" i="87"/>
  <c r="G107" i="87"/>
  <c r="F107" i="87"/>
  <c r="E107" i="87"/>
  <c r="D107" i="87"/>
  <c r="C107" i="87"/>
  <c r="B107" i="87"/>
  <c r="A107" i="87"/>
  <c r="X107" i="87" s="1"/>
  <c r="AE106" i="87"/>
  <c r="AD106" i="87"/>
  <c r="AC106" i="87"/>
  <c r="V106" i="87"/>
  <c r="U106" i="87"/>
  <c r="T106" i="87"/>
  <c r="S106" i="87"/>
  <c r="N106" i="87"/>
  <c r="M106" i="87"/>
  <c r="L106" i="87"/>
  <c r="K106" i="87"/>
  <c r="J106" i="87"/>
  <c r="I106" i="87"/>
  <c r="H106" i="87"/>
  <c r="G106" i="87"/>
  <c r="F106" i="87"/>
  <c r="E106" i="87"/>
  <c r="D106" i="87"/>
  <c r="C106" i="87"/>
  <c r="B106" i="87"/>
  <c r="A106" i="87"/>
  <c r="X106" i="87" s="1"/>
  <c r="AE105" i="87"/>
  <c r="AD105" i="87"/>
  <c r="AC105" i="87"/>
  <c r="V105" i="87"/>
  <c r="U105" i="87"/>
  <c r="T105" i="87"/>
  <c r="S105" i="87"/>
  <c r="N105" i="87"/>
  <c r="M105" i="87"/>
  <c r="L105" i="87"/>
  <c r="K105" i="87"/>
  <c r="J105" i="87"/>
  <c r="I105" i="87"/>
  <c r="H105" i="87"/>
  <c r="G105" i="87"/>
  <c r="F105" i="87"/>
  <c r="E105" i="87"/>
  <c r="D105" i="87"/>
  <c r="C105" i="87"/>
  <c r="B105" i="87"/>
  <c r="A105" i="87"/>
  <c r="X105" i="87" s="1"/>
  <c r="AE104" i="87"/>
  <c r="AD104" i="87"/>
  <c r="AC104" i="87"/>
  <c r="V104" i="87"/>
  <c r="U104" i="87"/>
  <c r="T104" i="87"/>
  <c r="S104" i="87"/>
  <c r="N104" i="87"/>
  <c r="M104" i="87"/>
  <c r="L104" i="87"/>
  <c r="K104" i="87"/>
  <c r="J104" i="87"/>
  <c r="I104" i="87"/>
  <c r="H104" i="87"/>
  <c r="G104" i="87"/>
  <c r="F104" i="87"/>
  <c r="E104" i="87"/>
  <c r="D104" i="87"/>
  <c r="C104" i="87"/>
  <c r="B104" i="87"/>
  <c r="A104" i="87"/>
  <c r="X104" i="87" s="1"/>
  <c r="AE103" i="87"/>
  <c r="AD103" i="87"/>
  <c r="AC103" i="87"/>
  <c r="V103" i="87"/>
  <c r="U103" i="87"/>
  <c r="T103" i="87"/>
  <c r="S103" i="87"/>
  <c r="N103" i="87"/>
  <c r="M103" i="87"/>
  <c r="L103" i="87"/>
  <c r="K103" i="87"/>
  <c r="J103" i="87"/>
  <c r="I103" i="87"/>
  <c r="H103" i="87"/>
  <c r="G103" i="87"/>
  <c r="F103" i="87"/>
  <c r="E103" i="87"/>
  <c r="D103" i="87"/>
  <c r="C103" i="87"/>
  <c r="B103" i="87"/>
  <c r="A103" i="87"/>
  <c r="X103" i="87" s="1"/>
  <c r="AE102" i="87"/>
  <c r="AD102" i="87"/>
  <c r="AC102" i="87"/>
  <c r="V102" i="87"/>
  <c r="U102" i="87"/>
  <c r="T102" i="87"/>
  <c r="S102" i="87"/>
  <c r="N102" i="87"/>
  <c r="M102" i="87"/>
  <c r="L102" i="87"/>
  <c r="K102" i="87"/>
  <c r="J102" i="87"/>
  <c r="I102" i="87"/>
  <c r="H102" i="87"/>
  <c r="G102" i="87"/>
  <c r="F102" i="87"/>
  <c r="E102" i="87"/>
  <c r="D102" i="87"/>
  <c r="C102" i="87"/>
  <c r="B102" i="87"/>
  <c r="A102" i="87"/>
  <c r="X102" i="87" s="1"/>
  <c r="AE101" i="87"/>
  <c r="AD101" i="87"/>
  <c r="AC101" i="87"/>
  <c r="V101" i="87"/>
  <c r="U101" i="87"/>
  <c r="T101" i="87"/>
  <c r="S101" i="87"/>
  <c r="N101" i="87"/>
  <c r="M101" i="87"/>
  <c r="L101" i="87"/>
  <c r="K101" i="87"/>
  <c r="J101" i="87"/>
  <c r="I101" i="87"/>
  <c r="H101" i="87"/>
  <c r="G101" i="87"/>
  <c r="F101" i="87"/>
  <c r="E101" i="87"/>
  <c r="D101" i="87"/>
  <c r="C101" i="87"/>
  <c r="B101" i="87"/>
  <c r="A101" i="87"/>
  <c r="X101" i="87" s="1"/>
  <c r="AE100" i="87"/>
  <c r="AD100" i="87"/>
  <c r="AC100" i="87"/>
  <c r="V100" i="87"/>
  <c r="U100" i="87"/>
  <c r="T100" i="87"/>
  <c r="S100" i="87"/>
  <c r="J100" i="87"/>
  <c r="E100" i="87"/>
  <c r="D100" i="87"/>
  <c r="C100" i="87"/>
  <c r="B100" i="87"/>
  <c r="A100" i="87"/>
  <c r="X100" i="87" s="1"/>
  <c r="AE99" i="87"/>
  <c r="AD99" i="87"/>
  <c r="AC99" i="87"/>
  <c r="V99" i="87"/>
  <c r="U99" i="87"/>
  <c r="T99" i="87"/>
  <c r="S99" i="87"/>
  <c r="N99" i="87"/>
  <c r="M99" i="87"/>
  <c r="L99" i="87"/>
  <c r="K99" i="87"/>
  <c r="J99" i="87"/>
  <c r="I99" i="87"/>
  <c r="H99" i="87"/>
  <c r="G99" i="87"/>
  <c r="F99" i="87"/>
  <c r="E99" i="87"/>
  <c r="D99" i="87"/>
  <c r="C99" i="87"/>
  <c r="B99" i="87"/>
  <c r="A99" i="87"/>
  <c r="X99" i="87" s="1"/>
  <c r="AE98" i="87"/>
  <c r="AD98" i="87"/>
  <c r="AC98" i="87"/>
  <c r="V98" i="87"/>
  <c r="U98" i="87"/>
  <c r="T98" i="87"/>
  <c r="S98" i="87"/>
  <c r="J98" i="87"/>
  <c r="E98" i="87"/>
  <c r="D98" i="87"/>
  <c r="C98" i="87"/>
  <c r="B98" i="87"/>
  <c r="A98" i="87"/>
  <c r="X98" i="87" s="1"/>
  <c r="AE97" i="87"/>
  <c r="AD97" i="87"/>
  <c r="AC97" i="87"/>
  <c r="V97" i="87"/>
  <c r="U97" i="87"/>
  <c r="T97" i="87"/>
  <c r="S97" i="87"/>
  <c r="N97" i="87"/>
  <c r="M97" i="87"/>
  <c r="L97" i="87"/>
  <c r="K97" i="87"/>
  <c r="J97" i="87"/>
  <c r="I97" i="87"/>
  <c r="H97" i="87"/>
  <c r="G97" i="87"/>
  <c r="F97" i="87"/>
  <c r="E97" i="87"/>
  <c r="D97" i="87"/>
  <c r="C97" i="87"/>
  <c r="B97" i="87"/>
  <c r="A97" i="87"/>
  <c r="AE96" i="87"/>
  <c r="AD96" i="87"/>
  <c r="AC96" i="87"/>
  <c r="V96" i="87"/>
  <c r="U96" i="87"/>
  <c r="T96" i="87"/>
  <c r="S96" i="87"/>
  <c r="N96" i="87"/>
  <c r="M96" i="87"/>
  <c r="L96" i="87"/>
  <c r="K96" i="87"/>
  <c r="J96" i="87"/>
  <c r="I96" i="87"/>
  <c r="H96" i="87"/>
  <c r="G96" i="87"/>
  <c r="F96" i="87"/>
  <c r="E96" i="87"/>
  <c r="D96" i="87"/>
  <c r="C96" i="87"/>
  <c r="B96" i="87"/>
  <c r="A96" i="87"/>
  <c r="X96" i="87" s="1"/>
  <c r="AE95" i="87"/>
  <c r="AD95" i="87"/>
  <c r="AC95" i="87"/>
  <c r="V95" i="87"/>
  <c r="U95" i="87"/>
  <c r="T95" i="87"/>
  <c r="S95" i="87"/>
  <c r="N95" i="87"/>
  <c r="M95" i="87"/>
  <c r="L95" i="87"/>
  <c r="K95" i="87"/>
  <c r="J95" i="87"/>
  <c r="I95" i="87"/>
  <c r="H95" i="87"/>
  <c r="G95" i="87"/>
  <c r="F95" i="87"/>
  <c r="E95" i="87"/>
  <c r="D95" i="87"/>
  <c r="C95" i="87"/>
  <c r="B95" i="87"/>
  <c r="A95" i="87"/>
  <c r="X95" i="87" s="1"/>
  <c r="AE94" i="87"/>
  <c r="AD94" i="87"/>
  <c r="AC94" i="87"/>
  <c r="V94" i="87"/>
  <c r="U94" i="87"/>
  <c r="T94" i="87"/>
  <c r="S94" i="87"/>
  <c r="J94" i="87"/>
  <c r="E94" i="87"/>
  <c r="D94" i="87"/>
  <c r="C94" i="87"/>
  <c r="B94" i="87"/>
  <c r="A94" i="87"/>
  <c r="X94" i="87" s="1"/>
  <c r="AE93" i="87"/>
  <c r="AD93" i="87"/>
  <c r="AC93" i="87"/>
  <c r="V93" i="87"/>
  <c r="U93" i="87"/>
  <c r="T93" i="87"/>
  <c r="S93" i="87"/>
  <c r="N93" i="87"/>
  <c r="M93" i="87"/>
  <c r="L93" i="87"/>
  <c r="K93" i="87"/>
  <c r="J93" i="87"/>
  <c r="I93" i="87"/>
  <c r="H93" i="87"/>
  <c r="G93" i="87"/>
  <c r="F93" i="87"/>
  <c r="E93" i="87"/>
  <c r="D93" i="87"/>
  <c r="C93" i="87"/>
  <c r="B93" i="87"/>
  <c r="A93" i="87"/>
  <c r="X93" i="87" s="1"/>
  <c r="AE92" i="87"/>
  <c r="AD92" i="87"/>
  <c r="AC92" i="87"/>
  <c r="V92" i="87"/>
  <c r="U92" i="87"/>
  <c r="T92" i="87"/>
  <c r="S92" i="87"/>
  <c r="N92" i="87"/>
  <c r="M92" i="87"/>
  <c r="L92" i="87"/>
  <c r="K92" i="87"/>
  <c r="J92" i="87"/>
  <c r="I92" i="87"/>
  <c r="H92" i="87"/>
  <c r="G92" i="87"/>
  <c r="F92" i="87"/>
  <c r="E92" i="87"/>
  <c r="D92" i="87"/>
  <c r="C92" i="87"/>
  <c r="B92" i="87"/>
  <c r="A92" i="87"/>
  <c r="X92" i="87" s="1"/>
  <c r="AE91" i="87"/>
  <c r="AD91" i="87"/>
  <c r="AC91" i="87"/>
  <c r="V91" i="87"/>
  <c r="U91" i="87"/>
  <c r="T91" i="87"/>
  <c r="S91" i="87"/>
  <c r="N91" i="87"/>
  <c r="M91" i="87"/>
  <c r="L91" i="87"/>
  <c r="K91" i="87"/>
  <c r="J91" i="87"/>
  <c r="I91" i="87"/>
  <c r="H91" i="87"/>
  <c r="G91" i="87"/>
  <c r="F91" i="87"/>
  <c r="E91" i="87"/>
  <c r="D91" i="87"/>
  <c r="C91" i="87"/>
  <c r="B91" i="87"/>
  <c r="A91" i="87"/>
  <c r="X91" i="87" s="1"/>
  <c r="AE90" i="87"/>
  <c r="AD90" i="87"/>
  <c r="AC90" i="87"/>
  <c r="V90" i="87"/>
  <c r="U90" i="87"/>
  <c r="T90" i="87"/>
  <c r="S90" i="87"/>
  <c r="N90" i="87"/>
  <c r="M90" i="87"/>
  <c r="L90" i="87"/>
  <c r="K90" i="87"/>
  <c r="J90" i="87"/>
  <c r="I90" i="87"/>
  <c r="H90" i="87"/>
  <c r="G90" i="87"/>
  <c r="F90" i="87"/>
  <c r="E90" i="87"/>
  <c r="D90" i="87"/>
  <c r="C90" i="87"/>
  <c r="B90" i="87"/>
  <c r="A90" i="87"/>
  <c r="X90" i="87" s="1"/>
  <c r="AE89" i="87"/>
  <c r="AD89" i="87"/>
  <c r="AC89" i="87"/>
  <c r="V89" i="87"/>
  <c r="U89" i="87"/>
  <c r="T89" i="87"/>
  <c r="S89" i="87"/>
  <c r="N89" i="87"/>
  <c r="M89" i="87"/>
  <c r="L89" i="87"/>
  <c r="K89" i="87"/>
  <c r="J89" i="87"/>
  <c r="I89" i="87"/>
  <c r="H89" i="87"/>
  <c r="G89" i="87"/>
  <c r="F89" i="87"/>
  <c r="E89" i="87"/>
  <c r="D89" i="87"/>
  <c r="C89" i="87"/>
  <c r="B89" i="87"/>
  <c r="A89" i="87"/>
  <c r="X89" i="87" s="1"/>
  <c r="AE88" i="87"/>
  <c r="AD88" i="87"/>
  <c r="AC88" i="87"/>
  <c r="V88" i="87"/>
  <c r="U88" i="87"/>
  <c r="T88" i="87"/>
  <c r="S88" i="87"/>
  <c r="N88" i="87"/>
  <c r="M88" i="87"/>
  <c r="L88" i="87"/>
  <c r="K88" i="87"/>
  <c r="J88" i="87"/>
  <c r="I88" i="87"/>
  <c r="H88" i="87"/>
  <c r="G88" i="87"/>
  <c r="F88" i="87"/>
  <c r="E88" i="87"/>
  <c r="D88" i="87"/>
  <c r="C88" i="87"/>
  <c r="B88" i="87"/>
  <c r="A88" i="87"/>
  <c r="X88" i="87" s="1"/>
  <c r="AE86" i="87"/>
  <c r="AD86" i="87"/>
  <c r="AC86" i="87"/>
  <c r="V86" i="87"/>
  <c r="U86" i="87"/>
  <c r="T86" i="87"/>
  <c r="S86" i="87"/>
  <c r="N86" i="87"/>
  <c r="K86" i="87"/>
  <c r="J86" i="87"/>
  <c r="I86" i="87"/>
  <c r="H86" i="87"/>
  <c r="G86" i="87"/>
  <c r="F86" i="87"/>
  <c r="E86" i="87"/>
  <c r="D86" i="87"/>
  <c r="C86" i="87"/>
  <c r="B86" i="87"/>
  <c r="A86" i="87"/>
  <c r="X86" i="87" s="1"/>
  <c r="AE85" i="87"/>
  <c r="AD85" i="87"/>
  <c r="AC85" i="87"/>
  <c r="V85" i="87"/>
  <c r="U85" i="87"/>
  <c r="T85" i="87"/>
  <c r="S85" i="87"/>
  <c r="J85" i="87"/>
  <c r="E85" i="87"/>
  <c r="D85" i="87"/>
  <c r="C85" i="87"/>
  <c r="B85" i="87"/>
  <c r="A85" i="87"/>
  <c r="X85" i="87" s="1"/>
  <c r="AE84" i="87"/>
  <c r="AD84" i="87"/>
  <c r="AC84" i="87"/>
  <c r="V84" i="87"/>
  <c r="U84" i="87"/>
  <c r="T84" i="87"/>
  <c r="S84" i="87"/>
  <c r="N84" i="87"/>
  <c r="M84" i="87"/>
  <c r="L84" i="87"/>
  <c r="K84" i="87"/>
  <c r="J84" i="87"/>
  <c r="I84" i="87"/>
  <c r="H84" i="87"/>
  <c r="G84" i="87"/>
  <c r="F84" i="87"/>
  <c r="E84" i="87"/>
  <c r="D84" i="87"/>
  <c r="C84" i="87"/>
  <c r="B84" i="87"/>
  <c r="A84" i="87"/>
  <c r="X84" i="87" s="1"/>
  <c r="AE83" i="87"/>
  <c r="AD83" i="87"/>
  <c r="AC83" i="87"/>
  <c r="V83" i="87"/>
  <c r="U83" i="87"/>
  <c r="T83" i="87"/>
  <c r="S83" i="87"/>
  <c r="J83" i="87"/>
  <c r="E83" i="87"/>
  <c r="D83" i="87"/>
  <c r="C83" i="87"/>
  <c r="B83" i="87"/>
  <c r="A83" i="87"/>
  <c r="X83" i="87" s="1"/>
  <c r="AE82" i="87"/>
  <c r="AD82" i="87"/>
  <c r="AC82" i="87"/>
  <c r="V82" i="87"/>
  <c r="U82" i="87"/>
  <c r="T82" i="87"/>
  <c r="S82" i="87"/>
  <c r="N82" i="87"/>
  <c r="M82" i="87"/>
  <c r="L82" i="87"/>
  <c r="K82" i="87"/>
  <c r="J82" i="87"/>
  <c r="I82" i="87"/>
  <c r="H82" i="87"/>
  <c r="G82" i="87"/>
  <c r="F82" i="87"/>
  <c r="E82" i="87"/>
  <c r="D82" i="87"/>
  <c r="C82" i="87"/>
  <c r="B82" i="87"/>
  <c r="A82" i="87"/>
  <c r="X82" i="87" s="1"/>
  <c r="AE81" i="87"/>
  <c r="AD81" i="87"/>
  <c r="AC81" i="87"/>
  <c r="V81" i="87"/>
  <c r="U81" i="87"/>
  <c r="T81" i="87"/>
  <c r="S81" i="87"/>
  <c r="N81" i="87"/>
  <c r="M81" i="87"/>
  <c r="L81" i="87"/>
  <c r="K81" i="87"/>
  <c r="J81" i="87"/>
  <c r="I81" i="87"/>
  <c r="H81" i="87"/>
  <c r="G81" i="87"/>
  <c r="F81" i="87"/>
  <c r="E81" i="87"/>
  <c r="D81" i="87"/>
  <c r="C81" i="87"/>
  <c r="B81" i="87"/>
  <c r="A81" i="87"/>
  <c r="X81" i="87" s="1"/>
  <c r="AE80" i="87"/>
  <c r="AD80" i="87"/>
  <c r="AC80" i="87"/>
  <c r="V80" i="87"/>
  <c r="U80" i="87"/>
  <c r="T80" i="87"/>
  <c r="S80" i="87"/>
  <c r="N80" i="87"/>
  <c r="M80" i="87"/>
  <c r="L80" i="87"/>
  <c r="K80" i="87"/>
  <c r="J80" i="87"/>
  <c r="I80" i="87"/>
  <c r="H80" i="87"/>
  <c r="G80" i="87"/>
  <c r="F80" i="87"/>
  <c r="E80" i="87"/>
  <c r="D80" i="87"/>
  <c r="C80" i="87"/>
  <c r="B80" i="87"/>
  <c r="A80" i="87"/>
  <c r="X80" i="87" s="1"/>
  <c r="AE79" i="87"/>
  <c r="AD79" i="87"/>
  <c r="AC79" i="87"/>
  <c r="V79" i="87"/>
  <c r="U79" i="87"/>
  <c r="T79" i="87"/>
  <c r="S79" i="87"/>
  <c r="N79" i="87"/>
  <c r="M79" i="87"/>
  <c r="L79" i="87"/>
  <c r="K79" i="87"/>
  <c r="J79" i="87"/>
  <c r="I79" i="87"/>
  <c r="H79" i="87"/>
  <c r="G79" i="87"/>
  <c r="F79" i="87"/>
  <c r="E79" i="87"/>
  <c r="D79" i="87"/>
  <c r="C79" i="87"/>
  <c r="B79" i="87"/>
  <c r="A79" i="87"/>
  <c r="X79" i="87" s="1"/>
  <c r="AE78" i="87"/>
  <c r="AD78" i="87"/>
  <c r="AC78" i="87"/>
  <c r="V78" i="87"/>
  <c r="U78" i="87"/>
  <c r="T78" i="87"/>
  <c r="S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A78" i="87"/>
  <c r="X78" i="87" s="1"/>
  <c r="AE77" i="87"/>
  <c r="AD77" i="87"/>
  <c r="AC77" i="87"/>
  <c r="V77" i="87"/>
  <c r="U77" i="87"/>
  <c r="T77" i="87"/>
  <c r="S77" i="87"/>
  <c r="N77" i="87"/>
  <c r="M77" i="87"/>
  <c r="L77" i="87"/>
  <c r="K77" i="87"/>
  <c r="J77" i="87"/>
  <c r="I77" i="87"/>
  <c r="H77" i="87"/>
  <c r="G77" i="87"/>
  <c r="F77" i="87"/>
  <c r="E77" i="87"/>
  <c r="D77" i="87"/>
  <c r="C77" i="87"/>
  <c r="B77" i="87"/>
  <c r="A77" i="87"/>
  <c r="X77" i="87" s="1"/>
  <c r="AE76" i="87"/>
  <c r="AD76" i="87"/>
  <c r="AC76" i="87"/>
  <c r="V76" i="87"/>
  <c r="U76" i="87"/>
  <c r="T76" i="87"/>
  <c r="S76" i="87"/>
  <c r="N76" i="87"/>
  <c r="M76" i="87"/>
  <c r="L76" i="87"/>
  <c r="K76" i="87"/>
  <c r="J76" i="87"/>
  <c r="I76" i="87"/>
  <c r="H76" i="87"/>
  <c r="G76" i="87"/>
  <c r="F76" i="87"/>
  <c r="E76" i="87"/>
  <c r="D76" i="87"/>
  <c r="C76" i="87"/>
  <c r="B76" i="87"/>
  <c r="A76" i="87"/>
  <c r="X76" i="87" s="1"/>
  <c r="AE75" i="87"/>
  <c r="AD75" i="87"/>
  <c r="AC75" i="87"/>
  <c r="V75" i="87"/>
  <c r="U75" i="87"/>
  <c r="T75" i="87"/>
  <c r="S75" i="87"/>
  <c r="N75" i="87"/>
  <c r="M75" i="87"/>
  <c r="L75" i="87"/>
  <c r="K75" i="87"/>
  <c r="J75" i="87"/>
  <c r="I75" i="87"/>
  <c r="H75" i="87"/>
  <c r="G75" i="87"/>
  <c r="F75" i="87"/>
  <c r="E75" i="87"/>
  <c r="D75" i="87"/>
  <c r="C75" i="87"/>
  <c r="B75" i="87"/>
  <c r="A75" i="87"/>
  <c r="X75" i="87" s="1"/>
  <c r="AE74" i="87"/>
  <c r="AD74" i="87"/>
  <c r="AC74" i="87"/>
  <c r="V74" i="87"/>
  <c r="U74" i="87"/>
  <c r="T74" i="87"/>
  <c r="S74" i="87"/>
  <c r="N74" i="87"/>
  <c r="M74" i="87"/>
  <c r="L74" i="87"/>
  <c r="K74" i="87"/>
  <c r="J74" i="87"/>
  <c r="I74" i="87"/>
  <c r="H74" i="87"/>
  <c r="G74" i="87"/>
  <c r="F74" i="87"/>
  <c r="E74" i="87"/>
  <c r="D74" i="87"/>
  <c r="C74" i="87"/>
  <c r="B74" i="87"/>
  <c r="A74" i="87"/>
  <c r="X74" i="87" s="1"/>
  <c r="AE73" i="87"/>
  <c r="AD73" i="87"/>
  <c r="AC73" i="87"/>
  <c r="V73" i="87"/>
  <c r="U73" i="87"/>
  <c r="T73" i="87"/>
  <c r="S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A73" i="87"/>
  <c r="X73" i="87" s="1"/>
  <c r="AE72" i="87"/>
  <c r="AD72" i="87"/>
  <c r="AC72" i="87"/>
  <c r="V72" i="87"/>
  <c r="U72" i="87"/>
  <c r="T72" i="87"/>
  <c r="S72" i="87"/>
  <c r="N72" i="87"/>
  <c r="M72" i="87"/>
  <c r="L72" i="87"/>
  <c r="K72" i="87"/>
  <c r="J72" i="87"/>
  <c r="I72" i="87"/>
  <c r="H72" i="87"/>
  <c r="G72" i="87"/>
  <c r="F72" i="87"/>
  <c r="E72" i="87"/>
  <c r="D72" i="87"/>
  <c r="C72" i="87"/>
  <c r="B72" i="87"/>
  <c r="A72" i="87"/>
  <c r="X72" i="87" s="1"/>
  <c r="AE70" i="87"/>
  <c r="AD70" i="87"/>
  <c r="AC70" i="87"/>
  <c r="V70" i="87"/>
  <c r="U70" i="87"/>
  <c r="T70" i="87"/>
  <c r="S70" i="87"/>
  <c r="N70" i="87"/>
  <c r="M70" i="87"/>
  <c r="L70" i="87"/>
  <c r="K70" i="87"/>
  <c r="J70" i="87"/>
  <c r="I70" i="87"/>
  <c r="H70" i="87"/>
  <c r="G70" i="87"/>
  <c r="F70" i="87"/>
  <c r="E70" i="87"/>
  <c r="D70" i="87"/>
  <c r="C70" i="87"/>
  <c r="B70" i="87"/>
  <c r="A70" i="87"/>
  <c r="X70" i="87" s="1"/>
  <c r="AE69" i="87"/>
  <c r="AD69" i="87"/>
  <c r="AC69" i="87"/>
  <c r="V69" i="87"/>
  <c r="U69" i="87"/>
  <c r="T69" i="87"/>
  <c r="S69" i="87"/>
  <c r="J69" i="87"/>
  <c r="E69" i="87"/>
  <c r="D69" i="87"/>
  <c r="C69" i="87"/>
  <c r="B69" i="87"/>
  <c r="A69" i="87"/>
  <c r="X69" i="87" s="1"/>
  <c r="AE68" i="87"/>
  <c r="AD68" i="87"/>
  <c r="AC68" i="87"/>
  <c r="V68" i="87"/>
  <c r="U68" i="87"/>
  <c r="T68" i="87"/>
  <c r="S68" i="87"/>
  <c r="N68" i="87"/>
  <c r="M68" i="87"/>
  <c r="L68" i="87"/>
  <c r="K68" i="87"/>
  <c r="J68" i="87"/>
  <c r="I68" i="87"/>
  <c r="H68" i="87"/>
  <c r="G68" i="87"/>
  <c r="F68" i="87"/>
  <c r="E68" i="87"/>
  <c r="D68" i="87"/>
  <c r="C68" i="87"/>
  <c r="B68" i="87"/>
  <c r="A68" i="87"/>
  <c r="X68" i="87" s="1"/>
  <c r="AE67" i="87"/>
  <c r="AD67" i="87"/>
  <c r="AC67" i="87"/>
  <c r="V67" i="87"/>
  <c r="U67" i="87"/>
  <c r="T67" i="87"/>
  <c r="S67" i="87"/>
  <c r="J67" i="87"/>
  <c r="E67" i="87"/>
  <c r="D67" i="87"/>
  <c r="C67" i="87"/>
  <c r="B67" i="87"/>
  <c r="A67" i="87"/>
  <c r="X67" i="87" s="1"/>
  <c r="AE66" i="87"/>
  <c r="AD66" i="87"/>
  <c r="AC66" i="87"/>
  <c r="V66" i="87"/>
  <c r="U66" i="87"/>
  <c r="T66" i="87"/>
  <c r="S66" i="87"/>
  <c r="N66" i="87"/>
  <c r="M66" i="87"/>
  <c r="L66" i="87"/>
  <c r="K66" i="87"/>
  <c r="J66" i="87"/>
  <c r="I66" i="87"/>
  <c r="H66" i="87"/>
  <c r="G66" i="87"/>
  <c r="F66" i="87"/>
  <c r="E66" i="87"/>
  <c r="D66" i="87"/>
  <c r="C66" i="87"/>
  <c r="B66" i="87"/>
  <c r="A66" i="87"/>
  <c r="X66" i="87" s="1"/>
  <c r="AE65" i="87"/>
  <c r="AD65" i="87"/>
  <c r="AC65" i="87"/>
  <c r="V65" i="87"/>
  <c r="U65" i="87"/>
  <c r="T65" i="87"/>
  <c r="S65" i="87"/>
  <c r="N65" i="87"/>
  <c r="M65" i="87"/>
  <c r="L65" i="87"/>
  <c r="K65" i="87"/>
  <c r="J65" i="87"/>
  <c r="I65" i="87"/>
  <c r="H65" i="87"/>
  <c r="G65" i="87"/>
  <c r="F65" i="87"/>
  <c r="E65" i="87"/>
  <c r="D65" i="87"/>
  <c r="C65" i="87"/>
  <c r="B65" i="87"/>
  <c r="A65" i="87"/>
  <c r="X65" i="87" s="1"/>
  <c r="AE64" i="87"/>
  <c r="AD64" i="87"/>
  <c r="AC64" i="87"/>
  <c r="V64" i="87"/>
  <c r="U64" i="87"/>
  <c r="T64" i="87"/>
  <c r="S64" i="87"/>
  <c r="N64" i="87"/>
  <c r="M64" i="87"/>
  <c r="L64" i="87"/>
  <c r="K64" i="87"/>
  <c r="J64" i="87"/>
  <c r="I64" i="87"/>
  <c r="H64" i="87"/>
  <c r="G64" i="87"/>
  <c r="F64" i="87"/>
  <c r="E64" i="87"/>
  <c r="D64" i="87"/>
  <c r="C64" i="87"/>
  <c r="B64" i="87"/>
  <c r="A64" i="87"/>
  <c r="X64" i="87" s="1"/>
  <c r="AE63" i="87"/>
  <c r="AD63" i="87"/>
  <c r="AC63" i="87"/>
  <c r="V63" i="87"/>
  <c r="U63" i="87"/>
  <c r="T63" i="87"/>
  <c r="S63" i="87"/>
  <c r="N63" i="87"/>
  <c r="M63" i="87"/>
  <c r="L63" i="87"/>
  <c r="K63" i="87"/>
  <c r="J63" i="87"/>
  <c r="I63" i="87"/>
  <c r="H63" i="87"/>
  <c r="G63" i="87"/>
  <c r="F63" i="87"/>
  <c r="E63" i="87"/>
  <c r="D63" i="87"/>
  <c r="C63" i="87"/>
  <c r="B63" i="87"/>
  <c r="A63" i="87"/>
  <c r="X63" i="87" s="1"/>
  <c r="AE62" i="87"/>
  <c r="AD62" i="87"/>
  <c r="AC62" i="87"/>
  <c r="V62" i="87"/>
  <c r="U62" i="87"/>
  <c r="T62" i="87"/>
  <c r="S62" i="87"/>
  <c r="N62" i="87"/>
  <c r="M62" i="87"/>
  <c r="L62" i="87"/>
  <c r="K62" i="87"/>
  <c r="J62" i="87"/>
  <c r="I62" i="87"/>
  <c r="H62" i="87"/>
  <c r="G62" i="87"/>
  <c r="F62" i="87"/>
  <c r="E62" i="87"/>
  <c r="D62" i="87"/>
  <c r="C62" i="87"/>
  <c r="B62" i="87"/>
  <c r="A62" i="87"/>
  <c r="X62" i="87" s="1"/>
  <c r="AE61" i="87"/>
  <c r="AD61" i="87"/>
  <c r="AC61" i="87"/>
  <c r="V61" i="87"/>
  <c r="U61" i="87"/>
  <c r="T61" i="87"/>
  <c r="S61" i="87"/>
  <c r="N61" i="87"/>
  <c r="M61" i="87"/>
  <c r="L61" i="87"/>
  <c r="K61" i="87"/>
  <c r="J61" i="87"/>
  <c r="I61" i="87"/>
  <c r="H61" i="87"/>
  <c r="G61" i="87"/>
  <c r="F61" i="87"/>
  <c r="E61" i="87"/>
  <c r="D61" i="87"/>
  <c r="C61" i="87"/>
  <c r="B61" i="87"/>
  <c r="A61" i="87"/>
  <c r="X61" i="87" s="1"/>
  <c r="AE60" i="87"/>
  <c r="AD60" i="87"/>
  <c r="AC60" i="87"/>
  <c r="V60" i="87"/>
  <c r="U60" i="87"/>
  <c r="T60" i="87"/>
  <c r="S60" i="87"/>
  <c r="N60" i="87"/>
  <c r="M60" i="87"/>
  <c r="L60" i="87"/>
  <c r="K60" i="87"/>
  <c r="J60" i="87"/>
  <c r="I60" i="87"/>
  <c r="H60" i="87"/>
  <c r="G60" i="87"/>
  <c r="F60" i="87"/>
  <c r="E60" i="87"/>
  <c r="D60" i="87"/>
  <c r="C60" i="87"/>
  <c r="B60" i="87"/>
  <c r="A60" i="87"/>
  <c r="X60" i="87" s="1"/>
  <c r="AE59" i="87"/>
  <c r="AD59" i="87"/>
  <c r="AC59" i="87"/>
  <c r="V59" i="87"/>
  <c r="U59" i="87"/>
  <c r="T59" i="87"/>
  <c r="S59" i="87"/>
  <c r="N59" i="87"/>
  <c r="M59" i="87"/>
  <c r="L59" i="87"/>
  <c r="K59" i="87"/>
  <c r="J59" i="87"/>
  <c r="I59" i="87"/>
  <c r="H59" i="87"/>
  <c r="G59" i="87"/>
  <c r="F59" i="87"/>
  <c r="E59" i="87"/>
  <c r="D59" i="87"/>
  <c r="C59" i="87"/>
  <c r="B59" i="87"/>
  <c r="A59" i="87"/>
  <c r="X59" i="87" s="1"/>
  <c r="AE58" i="87"/>
  <c r="AD58" i="87"/>
  <c r="AC58" i="87"/>
  <c r="V58" i="87"/>
  <c r="U58" i="87"/>
  <c r="T58" i="87"/>
  <c r="S58" i="87"/>
  <c r="N58" i="87"/>
  <c r="M58" i="87"/>
  <c r="L58" i="87"/>
  <c r="K58" i="87"/>
  <c r="J58" i="87"/>
  <c r="I58" i="87"/>
  <c r="H58" i="87"/>
  <c r="G58" i="87"/>
  <c r="F58" i="87"/>
  <c r="E58" i="87"/>
  <c r="D58" i="87"/>
  <c r="C58" i="87"/>
  <c r="B58" i="87"/>
  <c r="A58" i="87"/>
  <c r="X58" i="87" s="1"/>
  <c r="AE57" i="87"/>
  <c r="AD57" i="87"/>
  <c r="AC57" i="87"/>
  <c r="V57" i="87"/>
  <c r="U57" i="87"/>
  <c r="T57" i="87"/>
  <c r="S57" i="87"/>
  <c r="N57" i="87"/>
  <c r="M57" i="87"/>
  <c r="L57" i="87"/>
  <c r="K57" i="87"/>
  <c r="J57" i="87"/>
  <c r="I57" i="87"/>
  <c r="H57" i="87"/>
  <c r="G57" i="87"/>
  <c r="F57" i="87"/>
  <c r="E57" i="87"/>
  <c r="D57" i="87"/>
  <c r="C57" i="87"/>
  <c r="B57" i="87"/>
  <c r="A57" i="87"/>
  <c r="X57" i="87" s="1"/>
  <c r="AE56" i="87"/>
  <c r="AD56" i="87"/>
  <c r="AC56" i="87"/>
  <c r="V56" i="87"/>
  <c r="U56" i="87"/>
  <c r="T56" i="87"/>
  <c r="S56" i="87"/>
  <c r="N56" i="87"/>
  <c r="M56" i="87"/>
  <c r="L56" i="87"/>
  <c r="K56" i="87"/>
  <c r="J56" i="87"/>
  <c r="I56" i="87"/>
  <c r="H56" i="87"/>
  <c r="G56" i="87"/>
  <c r="F56" i="87"/>
  <c r="E56" i="87"/>
  <c r="D56" i="87"/>
  <c r="C56" i="87"/>
  <c r="B56" i="87"/>
  <c r="A56" i="87"/>
  <c r="X56" i="87" s="1"/>
  <c r="AE54" i="87"/>
  <c r="AD54" i="87"/>
  <c r="AC54" i="87"/>
  <c r="V54" i="87"/>
  <c r="U54" i="87"/>
  <c r="T54" i="87"/>
  <c r="S54" i="87"/>
  <c r="N54" i="87"/>
  <c r="M54" i="87"/>
  <c r="L54" i="87"/>
  <c r="K54" i="87"/>
  <c r="J54" i="87"/>
  <c r="I54" i="87"/>
  <c r="H54" i="87"/>
  <c r="G54" i="87"/>
  <c r="F54" i="87"/>
  <c r="E54" i="87"/>
  <c r="D54" i="87"/>
  <c r="C54" i="87"/>
  <c r="B54" i="87"/>
  <c r="A54" i="87"/>
  <c r="X54" i="87" s="1"/>
  <c r="AE53" i="87"/>
  <c r="AD53" i="87"/>
  <c r="AC53" i="87"/>
  <c r="V53" i="87"/>
  <c r="U53" i="87"/>
  <c r="T53" i="87"/>
  <c r="S53" i="87"/>
  <c r="J53" i="87"/>
  <c r="E53" i="87"/>
  <c r="D53" i="87"/>
  <c r="C53" i="87"/>
  <c r="B53" i="87"/>
  <c r="A53" i="87"/>
  <c r="X53" i="87" s="1"/>
  <c r="AE52" i="87"/>
  <c r="AD52" i="87"/>
  <c r="AC52" i="87"/>
  <c r="V52" i="87"/>
  <c r="U52" i="87"/>
  <c r="T52" i="87"/>
  <c r="S52" i="87"/>
  <c r="N52" i="87"/>
  <c r="M52" i="87"/>
  <c r="L52" i="87"/>
  <c r="K52" i="87"/>
  <c r="J52" i="87"/>
  <c r="I52" i="87"/>
  <c r="H52" i="87"/>
  <c r="G52" i="87"/>
  <c r="F52" i="87"/>
  <c r="E52" i="87"/>
  <c r="D52" i="87"/>
  <c r="C52" i="87"/>
  <c r="B52" i="87"/>
  <c r="A52" i="87"/>
  <c r="X52" i="87" s="1"/>
  <c r="AE51" i="87"/>
  <c r="AD51" i="87"/>
  <c r="AC51" i="87"/>
  <c r="V51" i="87"/>
  <c r="U51" i="87"/>
  <c r="T51" i="87"/>
  <c r="S51" i="87"/>
  <c r="J51" i="87"/>
  <c r="E51" i="87"/>
  <c r="D51" i="87"/>
  <c r="C51" i="87"/>
  <c r="B51" i="87"/>
  <c r="A51" i="87"/>
  <c r="X51" i="87" s="1"/>
  <c r="AE50" i="87"/>
  <c r="AD50" i="87"/>
  <c r="AC50" i="87"/>
  <c r="V50" i="87"/>
  <c r="U50" i="87"/>
  <c r="T50" i="87"/>
  <c r="S50" i="87"/>
  <c r="N50" i="87"/>
  <c r="M50" i="87"/>
  <c r="L50" i="87"/>
  <c r="K50" i="87"/>
  <c r="J50" i="87"/>
  <c r="I50" i="87"/>
  <c r="H50" i="87"/>
  <c r="G50" i="87"/>
  <c r="F50" i="87"/>
  <c r="E50" i="87"/>
  <c r="D50" i="87"/>
  <c r="C50" i="87"/>
  <c r="B50" i="87"/>
  <c r="A50" i="87"/>
  <c r="X50" i="87" s="1"/>
  <c r="AE49" i="87"/>
  <c r="AD49" i="87"/>
  <c r="AC49" i="87"/>
  <c r="V49" i="87"/>
  <c r="U49" i="87"/>
  <c r="T49" i="87"/>
  <c r="S49" i="87"/>
  <c r="N49" i="87"/>
  <c r="M49" i="87"/>
  <c r="L49" i="87"/>
  <c r="K49" i="87"/>
  <c r="J49" i="87"/>
  <c r="I49" i="87"/>
  <c r="H49" i="87"/>
  <c r="G49" i="87"/>
  <c r="F49" i="87"/>
  <c r="E49" i="87"/>
  <c r="D49" i="87"/>
  <c r="C49" i="87"/>
  <c r="B49" i="87"/>
  <c r="A49" i="87"/>
  <c r="X49" i="87" s="1"/>
  <c r="AE48" i="87"/>
  <c r="AD48" i="87"/>
  <c r="AC48" i="87"/>
  <c r="V48" i="87"/>
  <c r="U48" i="87"/>
  <c r="T48" i="87"/>
  <c r="S48" i="87"/>
  <c r="N48" i="87"/>
  <c r="M48" i="87"/>
  <c r="L48" i="87"/>
  <c r="K48" i="87"/>
  <c r="J48" i="87"/>
  <c r="I48" i="87"/>
  <c r="H48" i="87"/>
  <c r="G48" i="87"/>
  <c r="F48" i="87"/>
  <c r="E48" i="87"/>
  <c r="D48" i="87"/>
  <c r="C48" i="87"/>
  <c r="B48" i="87"/>
  <c r="A48" i="87"/>
  <c r="X48" i="87" s="1"/>
  <c r="AE47" i="87"/>
  <c r="AD47" i="87"/>
  <c r="AC47" i="87"/>
  <c r="V47" i="87"/>
  <c r="U47" i="87"/>
  <c r="T47" i="87"/>
  <c r="S47" i="87"/>
  <c r="N47" i="87"/>
  <c r="M47" i="87"/>
  <c r="L47" i="87"/>
  <c r="K47" i="87"/>
  <c r="J47" i="87"/>
  <c r="I47" i="87"/>
  <c r="H47" i="87"/>
  <c r="G47" i="87"/>
  <c r="F47" i="87"/>
  <c r="E47" i="87"/>
  <c r="D47" i="87"/>
  <c r="C47" i="87"/>
  <c r="B47" i="87"/>
  <c r="A47" i="87"/>
  <c r="X47" i="87" s="1"/>
  <c r="AE46" i="87"/>
  <c r="AD46" i="87"/>
  <c r="AC46" i="87"/>
  <c r="V46" i="87"/>
  <c r="U46" i="87"/>
  <c r="T46" i="87"/>
  <c r="S46" i="87"/>
  <c r="N46" i="87"/>
  <c r="M46" i="87"/>
  <c r="L46" i="87"/>
  <c r="K46" i="87"/>
  <c r="J46" i="87"/>
  <c r="I46" i="87"/>
  <c r="H46" i="87"/>
  <c r="G46" i="87"/>
  <c r="F46" i="87"/>
  <c r="E46" i="87"/>
  <c r="D46" i="87"/>
  <c r="C46" i="87"/>
  <c r="B46" i="87"/>
  <c r="A46" i="87"/>
  <c r="X46" i="87" s="1"/>
  <c r="AE45" i="87"/>
  <c r="AD45" i="87"/>
  <c r="AC45" i="87"/>
  <c r="V45" i="87"/>
  <c r="U45" i="87"/>
  <c r="T45" i="87"/>
  <c r="S45" i="87"/>
  <c r="N45" i="87"/>
  <c r="M45" i="87"/>
  <c r="L45" i="87"/>
  <c r="K45" i="87"/>
  <c r="J45" i="87"/>
  <c r="I45" i="87"/>
  <c r="H45" i="87"/>
  <c r="G45" i="87"/>
  <c r="F45" i="87"/>
  <c r="E45" i="87"/>
  <c r="D45" i="87"/>
  <c r="C45" i="87"/>
  <c r="B45" i="87"/>
  <c r="A45" i="87"/>
  <c r="X45" i="87" s="1"/>
  <c r="AE44" i="87"/>
  <c r="AD44" i="87"/>
  <c r="AC44" i="87"/>
  <c r="V44" i="87"/>
  <c r="U44" i="87"/>
  <c r="T44" i="87"/>
  <c r="S44" i="87"/>
  <c r="N44" i="87"/>
  <c r="M44" i="87"/>
  <c r="L44" i="87"/>
  <c r="K44" i="87"/>
  <c r="J44" i="87"/>
  <c r="I44" i="87"/>
  <c r="H44" i="87"/>
  <c r="G44" i="87"/>
  <c r="F44" i="87"/>
  <c r="E44" i="87"/>
  <c r="D44" i="87"/>
  <c r="C44" i="87"/>
  <c r="B44" i="87"/>
  <c r="A44" i="87"/>
  <c r="X44" i="87" s="1"/>
  <c r="AE43" i="87"/>
  <c r="AD43" i="87"/>
  <c r="AC43" i="87"/>
  <c r="V43" i="87"/>
  <c r="U43" i="87"/>
  <c r="T43" i="87"/>
  <c r="S43" i="87"/>
  <c r="N43" i="87"/>
  <c r="M43" i="87"/>
  <c r="L43" i="87"/>
  <c r="K43" i="87"/>
  <c r="J43" i="87"/>
  <c r="I43" i="87"/>
  <c r="H43" i="87"/>
  <c r="G43" i="87"/>
  <c r="F43" i="87"/>
  <c r="E43" i="87"/>
  <c r="D43" i="87"/>
  <c r="C43" i="87"/>
  <c r="B43" i="87"/>
  <c r="A43" i="87"/>
  <c r="X43" i="87" s="1"/>
  <c r="AE42" i="87"/>
  <c r="AD42" i="87"/>
  <c r="AC42" i="87"/>
  <c r="V42" i="87"/>
  <c r="U42" i="87"/>
  <c r="T42" i="87"/>
  <c r="S42" i="87"/>
  <c r="N42" i="87"/>
  <c r="M42" i="87"/>
  <c r="L42" i="87"/>
  <c r="K42" i="87"/>
  <c r="J42" i="87"/>
  <c r="I42" i="87"/>
  <c r="H42" i="87"/>
  <c r="G42" i="87"/>
  <c r="F42" i="87"/>
  <c r="E42" i="87"/>
  <c r="D42" i="87"/>
  <c r="C42" i="87"/>
  <c r="B42" i="87"/>
  <c r="A42" i="87"/>
  <c r="X42" i="87" s="1"/>
  <c r="AE41" i="87"/>
  <c r="AD41" i="87"/>
  <c r="AC41" i="87"/>
  <c r="V41" i="87"/>
  <c r="U41" i="87"/>
  <c r="T41" i="87"/>
  <c r="S41" i="87"/>
  <c r="N41" i="87"/>
  <c r="M41" i="87"/>
  <c r="L41" i="87"/>
  <c r="K41" i="87"/>
  <c r="J41" i="87"/>
  <c r="I41" i="87"/>
  <c r="H41" i="87"/>
  <c r="G41" i="87"/>
  <c r="F41" i="87"/>
  <c r="E41" i="87"/>
  <c r="D41" i="87"/>
  <c r="C41" i="87"/>
  <c r="B41" i="87"/>
  <c r="A41" i="87"/>
  <c r="X41" i="87" s="1"/>
  <c r="AE40" i="87"/>
  <c r="AD40" i="87"/>
  <c r="AC40" i="87"/>
  <c r="V40" i="87"/>
  <c r="U40" i="87"/>
  <c r="T40" i="87"/>
  <c r="S40" i="87"/>
  <c r="N40" i="87"/>
  <c r="M40" i="87"/>
  <c r="L40" i="87"/>
  <c r="K40" i="87"/>
  <c r="J40" i="87"/>
  <c r="I40" i="87"/>
  <c r="H40" i="87"/>
  <c r="G40" i="87"/>
  <c r="F40" i="87"/>
  <c r="E40" i="87"/>
  <c r="D40" i="87"/>
  <c r="C40" i="87"/>
  <c r="B40" i="87"/>
  <c r="A40" i="87"/>
  <c r="X40" i="87" s="1"/>
  <c r="AE38" i="87"/>
  <c r="AD38" i="87"/>
  <c r="AC38" i="87"/>
  <c r="V38" i="87"/>
  <c r="U38" i="87"/>
  <c r="T38" i="87"/>
  <c r="S38" i="87"/>
  <c r="N38" i="87"/>
  <c r="M38" i="87"/>
  <c r="L38" i="87"/>
  <c r="K38" i="87"/>
  <c r="J38" i="87"/>
  <c r="I38" i="87"/>
  <c r="H38" i="87"/>
  <c r="G38" i="87"/>
  <c r="F38" i="87"/>
  <c r="E38" i="87"/>
  <c r="D38" i="87"/>
  <c r="C38" i="87"/>
  <c r="B38" i="87"/>
  <c r="A38" i="87"/>
  <c r="X38" i="87" s="1"/>
  <c r="AE37" i="87"/>
  <c r="AD37" i="87"/>
  <c r="AC37" i="87"/>
  <c r="V37" i="87"/>
  <c r="U37" i="87"/>
  <c r="T37" i="87"/>
  <c r="S37" i="87"/>
  <c r="J37" i="87"/>
  <c r="E37" i="87"/>
  <c r="D37" i="87"/>
  <c r="C37" i="87"/>
  <c r="B37" i="87"/>
  <c r="A37" i="87"/>
  <c r="X37" i="87" s="1"/>
  <c r="AE36" i="87"/>
  <c r="AD36" i="87"/>
  <c r="AC36" i="87"/>
  <c r="V36" i="87"/>
  <c r="U36" i="87"/>
  <c r="T36" i="87"/>
  <c r="S36" i="87"/>
  <c r="N36" i="87"/>
  <c r="M36" i="87"/>
  <c r="L36" i="87"/>
  <c r="K36" i="87"/>
  <c r="J36" i="87"/>
  <c r="I36" i="87"/>
  <c r="H36" i="87"/>
  <c r="G36" i="87"/>
  <c r="F36" i="87"/>
  <c r="E36" i="87"/>
  <c r="D36" i="87"/>
  <c r="C36" i="87"/>
  <c r="B36" i="87"/>
  <c r="A36" i="87"/>
  <c r="X36" i="87" s="1"/>
  <c r="AE35" i="87"/>
  <c r="AD35" i="87"/>
  <c r="AC35" i="87"/>
  <c r="V35" i="87"/>
  <c r="U35" i="87"/>
  <c r="T35" i="87"/>
  <c r="S35" i="87"/>
  <c r="J35" i="87"/>
  <c r="E35" i="87"/>
  <c r="D35" i="87"/>
  <c r="C35" i="87"/>
  <c r="B35" i="87"/>
  <c r="A35" i="87"/>
  <c r="X35" i="87" s="1"/>
  <c r="AE34" i="87"/>
  <c r="AD34" i="87"/>
  <c r="AC34" i="87"/>
  <c r="V34" i="87"/>
  <c r="U34" i="87"/>
  <c r="T34" i="87"/>
  <c r="S34" i="87"/>
  <c r="N34" i="87"/>
  <c r="M34" i="87"/>
  <c r="L34" i="87"/>
  <c r="K34" i="87"/>
  <c r="J34" i="87"/>
  <c r="I34" i="87"/>
  <c r="H34" i="87"/>
  <c r="G34" i="87"/>
  <c r="F34" i="87"/>
  <c r="E34" i="87"/>
  <c r="D34" i="87"/>
  <c r="C34" i="87"/>
  <c r="B34" i="87"/>
  <c r="A34" i="87"/>
  <c r="X34" i="87" s="1"/>
  <c r="AE33" i="87"/>
  <c r="AD33" i="87"/>
  <c r="AC33" i="87"/>
  <c r="V33" i="87"/>
  <c r="U33" i="87"/>
  <c r="T33" i="87"/>
  <c r="S33" i="87"/>
  <c r="N33" i="87"/>
  <c r="M33" i="87"/>
  <c r="L33" i="87"/>
  <c r="K33" i="87"/>
  <c r="J33" i="87"/>
  <c r="I33" i="87"/>
  <c r="H33" i="87"/>
  <c r="G33" i="87"/>
  <c r="F33" i="87"/>
  <c r="E33" i="87"/>
  <c r="D33" i="87"/>
  <c r="C33" i="87"/>
  <c r="B33" i="87"/>
  <c r="A33" i="87"/>
  <c r="X33" i="87" s="1"/>
  <c r="AE32" i="87"/>
  <c r="AD32" i="87"/>
  <c r="AC32" i="87"/>
  <c r="V32" i="87"/>
  <c r="U32" i="87"/>
  <c r="T32" i="87"/>
  <c r="S32" i="87"/>
  <c r="N32" i="87"/>
  <c r="M32" i="87"/>
  <c r="L32" i="87"/>
  <c r="K32" i="87"/>
  <c r="J32" i="87"/>
  <c r="I32" i="87"/>
  <c r="H32" i="87"/>
  <c r="G32" i="87"/>
  <c r="F32" i="87"/>
  <c r="E32" i="87"/>
  <c r="D32" i="87"/>
  <c r="C32" i="87"/>
  <c r="B32" i="87"/>
  <c r="A32" i="87"/>
  <c r="X32" i="87" s="1"/>
  <c r="AE31" i="87"/>
  <c r="AD31" i="87"/>
  <c r="AC31" i="87"/>
  <c r="V31" i="87"/>
  <c r="U31" i="87"/>
  <c r="T31" i="87"/>
  <c r="S31" i="87"/>
  <c r="N31" i="87"/>
  <c r="M31" i="87"/>
  <c r="L31" i="87"/>
  <c r="K31" i="87"/>
  <c r="J31" i="87"/>
  <c r="I31" i="87"/>
  <c r="H31" i="87"/>
  <c r="G31" i="87"/>
  <c r="F31" i="87"/>
  <c r="E31" i="87"/>
  <c r="D31" i="87"/>
  <c r="C31" i="87"/>
  <c r="B31" i="87"/>
  <c r="A31" i="87"/>
  <c r="X31" i="87" s="1"/>
  <c r="AE30" i="87"/>
  <c r="AD30" i="87"/>
  <c r="AC30" i="87"/>
  <c r="V30" i="87"/>
  <c r="U30" i="87"/>
  <c r="T30" i="87"/>
  <c r="S30" i="87"/>
  <c r="N30" i="87"/>
  <c r="M30" i="87"/>
  <c r="L30" i="87"/>
  <c r="K30" i="87"/>
  <c r="J30" i="87"/>
  <c r="I30" i="87"/>
  <c r="H30" i="87"/>
  <c r="G30" i="87"/>
  <c r="F30" i="87"/>
  <c r="E30" i="87"/>
  <c r="D30" i="87"/>
  <c r="C30" i="87"/>
  <c r="B30" i="87"/>
  <c r="A30" i="87"/>
  <c r="X30" i="87" s="1"/>
  <c r="AE29" i="87"/>
  <c r="AD29" i="87"/>
  <c r="AC29" i="87"/>
  <c r="V29" i="87"/>
  <c r="U29" i="87"/>
  <c r="T29" i="87"/>
  <c r="S29" i="87"/>
  <c r="N29" i="87"/>
  <c r="M29" i="87"/>
  <c r="L29" i="87"/>
  <c r="K29" i="87"/>
  <c r="J29" i="87"/>
  <c r="I29" i="87"/>
  <c r="H29" i="87"/>
  <c r="G29" i="87"/>
  <c r="F29" i="87"/>
  <c r="E29" i="87"/>
  <c r="D29" i="87"/>
  <c r="C29" i="87"/>
  <c r="B29" i="87"/>
  <c r="A29" i="87"/>
  <c r="X29" i="87" s="1"/>
  <c r="AE28" i="87"/>
  <c r="AD28" i="87"/>
  <c r="AC28" i="87"/>
  <c r="V28" i="87"/>
  <c r="U28" i="87"/>
  <c r="T28" i="87"/>
  <c r="S28" i="87"/>
  <c r="N28" i="87"/>
  <c r="M28" i="87"/>
  <c r="L28" i="87"/>
  <c r="K28" i="87"/>
  <c r="J28" i="87"/>
  <c r="I28" i="87"/>
  <c r="H28" i="87"/>
  <c r="G28" i="87"/>
  <c r="F28" i="87"/>
  <c r="E28" i="87"/>
  <c r="D28" i="87"/>
  <c r="C28" i="87"/>
  <c r="B28" i="87"/>
  <c r="A28" i="87"/>
  <c r="X28" i="87" s="1"/>
  <c r="AE27" i="87"/>
  <c r="AD27" i="87"/>
  <c r="AC27" i="87"/>
  <c r="V27" i="87"/>
  <c r="U27" i="87"/>
  <c r="T27" i="87"/>
  <c r="S27" i="87"/>
  <c r="N27" i="87"/>
  <c r="M27" i="87"/>
  <c r="L27" i="87"/>
  <c r="K27" i="87"/>
  <c r="J27" i="87"/>
  <c r="I27" i="87"/>
  <c r="H27" i="87"/>
  <c r="G27" i="87"/>
  <c r="F27" i="87"/>
  <c r="E27" i="87"/>
  <c r="D27" i="87"/>
  <c r="C27" i="87"/>
  <c r="B27" i="87"/>
  <c r="A27" i="87"/>
  <c r="X27" i="87" s="1"/>
  <c r="AE26" i="87"/>
  <c r="AD26" i="87"/>
  <c r="AC26" i="87"/>
  <c r="V26" i="87"/>
  <c r="U26" i="87"/>
  <c r="T26" i="87"/>
  <c r="S26" i="87"/>
  <c r="N26" i="87"/>
  <c r="M26" i="87"/>
  <c r="L26" i="87"/>
  <c r="K26" i="87"/>
  <c r="J26" i="87"/>
  <c r="I26" i="87"/>
  <c r="H26" i="87"/>
  <c r="G26" i="87"/>
  <c r="F26" i="87"/>
  <c r="E26" i="87"/>
  <c r="D26" i="87"/>
  <c r="C26" i="87"/>
  <c r="B26" i="87"/>
  <c r="A26" i="87"/>
  <c r="X26" i="87" s="1"/>
  <c r="AE25" i="87"/>
  <c r="AD25" i="87"/>
  <c r="AC25" i="87"/>
  <c r="V25" i="87"/>
  <c r="U25" i="87"/>
  <c r="T25" i="87"/>
  <c r="S25" i="87"/>
  <c r="N25" i="87"/>
  <c r="M25" i="87"/>
  <c r="L25" i="87"/>
  <c r="K25" i="87"/>
  <c r="J25" i="87"/>
  <c r="I25" i="87"/>
  <c r="H25" i="87"/>
  <c r="G25" i="87"/>
  <c r="F25" i="87"/>
  <c r="E25" i="87"/>
  <c r="D25" i="87"/>
  <c r="C25" i="87"/>
  <c r="B25" i="87"/>
  <c r="A25" i="87"/>
  <c r="X25" i="87" s="1"/>
  <c r="AE24" i="87"/>
  <c r="AD24" i="87"/>
  <c r="AC24" i="87"/>
  <c r="V24" i="87"/>
  <c r="U24" i="87"/>
  <c r="T24" i="87"/>
  <c r="S24" i="87"/>
  <c r="N24" i="87"/>
  <c r="M24" i="87"/>
  <c r="L24" i="87"/>
  <c r="K24" i="87"/>
  <c r="J24" i="87"/>
  <c r="I24" i="87"/>
  <c r="H24" i="87"/>
  <c r="G24" i="87"/>
  <c r="F24" i="87"/>
  <c r="E24" i="87"/>
  <c r="D24" i="87"/>
  <c r="C24" i="87"/>
  <c r="B24" i="87"/>
  <c r="A24" i="87"/>
  <c r="X24" i="87" s="1"/>
  <c r="AE22" i="87"/>
  <c r="AD22" i="87"/>
  <c r="AC22" i="87"/>
  <c r="V22" i="87"/>
  <c r="U22" i="87"/>
  <c r="T22" i="87"/>
  <c r="S22" i="87"/>
  <c r="N22" i="87"/>
  <c r="M22" i="87"/>
  <c r="L22" i="87"/>
  <c r="K22" i="87"/>
  <c r="J22" i="87"/>
  <c r="I22" i="87"/>
  <c r="H22" i="87"/>
  <c r="G22" i="87"/>
  <c r="F22" i="87"/>
  <c r="E22" i="87"/>
  <c r="D22" i="87"/>
  <c r="C22" i="87"/>
  <c r="B22" i="87"/>
  <c r="A22" i="87"/>
  <c r="X22" i="87" s="1"/>
  <c r="AE21" i="87"/>
  <c r="AD21" i="87"/>
  <c r="AC21" i="87"/>
  <c r="V21" i="87"/>
  <c r="U21" i="87"/>
  <c r="T21" i="87"/>
  <c r="S21" i="87"/>
  <c r="J21" i="87"/>
  <c r="E21" i="87"/>
  <c r="D21" i="87"/>
  <c r="C21" i="87"/>
  <c r="B21" i="87"/>
  <c r="A21" i="87"/>
  <c r="X21" i="87" s="1"/>
  <c r="AE20" i="87"/>
  <c r="AD20" i="87"/>
  <c r="AC20" i="87"/>
  <c r="V20" i="87"/>
  <c r="U20" i="87"/>
  <c r="T20" i="87"/>
  <c r="S20" i="87"/>
  <c r="N20" i="87"/>
  <c r="M20" i="87"/>
  <c r="L20" i="87"/>
  <c r="K20" i="87"/>
  <c r="J20" i="87"/>
  <c r="I20" i="87"/>
  <c r="H20" i="87"/>
  <c r="G20" i="87"/>
  <c r="F20" i="87"/>
  <c r="E20" i="87"/>
  <c r="D20" i="87"/>
  <c r="C20" i="87"/>
  <c r="B20" i="87"/>
  <c r="A20" i="87"/>
  <c r="X20" i="87" s="1"/>
  <c r="AE19" i="87"/>
  <c r="AD19" i="87"/>
  <c r="AC19" i="87"/>
  <c r="V19" i="87"/>
  <c r="U19" i="87"/>
  <c r="T19" i="87"/>
  <c r="S19" i="87"/>
  <c r="J19" i="87"/>
  <c r="E19" i="87"/>
  <c r="D19" i="87"/>
  <c r="C19" i="87"/>
  <c r="B19" i="87"/>
  <c r="A19" i="87"/>
  <c r="X19" i="87" s="1"/>
  <c r="AE18" i="87"/>
  <c r="AD18" i="87"/>
  <c r="AC18" i="87"/>
  <c r="V18" i="87"/>
  <c r="U18" i="87"/>
  <c r="T18" i="87"/>
  <c r="S18" i="87"/>
  <c r="N18" i="87"/>
  <c r="M18" i="87"/>
  <c r="L18" i="87"/>
  <c r="K18" i="87"/>
  <c r="J18" i="87"/>
  <c r="I18" i="87"/>
  <c r="H18" i="87"/>
  <c r="G18" i="87"/>
  <c r="F18" i="87"/>
  <c r="E18" i="87"/>
  <c r="D18" i="87"/>
  <c r="C18" i="87"/>
  <c r="B18" i="87"/>
  <c r="A18" i="87"/>
  <c r="X18" i="87" s="1"/>
  <c r="AE17" i="87"/>
  <c r="AD17" i="87"/>
  <c r="AC17" i="87"/>
  <c r="V17" i="87"/>
  <c r="U17" i="87"/>
  <c r="T17" i="87"/>
  <c r="S17" i="87"/>
  <c r="N17" i="87"/>
  <c r="M17" i="87"/>
  <c r="L17" i="87"/>
  <c r="K17" i="87"/>
  <c r="J17" i="87"/>
  <c r="I17" i="87"/>
  <c r="H17" i="87"/>
  <c r="G17" i="87"/>
  <c r="F17" i="87"/>
  <c r="E17" i="87"/>
  <c r="D17" i="87"/>
  <c r="C17" i="87"/>
  <c r="B17" i="87"/>
  <c r="A17" i="87"/>
  <c r="X17" i="87" s="1"/>
  <c r="AE16" i="87"/>
  <c r="AD16" i="87"/>
  <c r="AC16" i="87"/>
  <c r="V16" i="87"/>
  <c r="U16" i="87"/>
  <c r="T16" i="87"/>
  <c r="S16" i="87"/>
  <c r="N16" i="87"/>
  <c r="M16" i="87"/>
  <c r="L16" i="87"/>
  <c r="K16" i="87"/>
  <c r="J16" i="87"/>
  <c r="I16" i="87"/>
  <c r="H16" i="87"/>
  <c r="G16" i="87"/>
  <c r="F16" i="87"/>
  <c r="E16" i="87"/>
  <c r="D16" i="87"/>
  <c r="C16" i="87"/>
  <c r="B16" i="87"/>
  <c r="A16" i="87"/>
  <c r="X16" i="87" s="1"/>
  <c r="AE15" i="87"/>
  <c r="AD15" i="87"/>
  <c r="AC15" i="87"/>
  <c r="V15" i="87"/>
  <c r="U15" i="87"/>
  <c r="T15" i="87"/>
  <c r="S15" i="87"/>
  <c r="N15" i="87"/>
  <c r="M15" i="87"/>
  <c r="L15" i="87"/>
  <c r="K15" i="87"/>
  <c r="J15" i="87"/>
  <c r="I15" i="87"/>
  <c r="H15" i="87"/>
  <c r="G15" i="87"/>
  <c r="F15" i="87"/>
  <c r="E15" i="87"/>
  <c r="D15" i="87"/>
  <c r="C15" i="87"/>
  <c r="B15" i="87"/>
  <c r="A15" i="87"/>
  <c r="X15" i="87" s="1"/>
  <c r="AE14" i="87"/>
  <c r="AD14" i="87"/>
  <c r="AC14" i="87"/>
  <c r="V14" i="87"/>
  <c r="U14" i="87"/>
  <c r="T14" i="87"/>
  <c r="S14" i="87"/>
  <c r="N14" i="87"/>
  <c r="M14" i="87"/>
  <c r="L14" i="87"/>
  <c r="K14" i="87"/>
  <c r="J14" i="87"/>
  <c r="I14" i="87"/>
  <c r="H14" i="87"/>
  <c r="G14" i="87"/>
  <c r="F14" i="87"/>
  <c r="E14" i="87"/>
  <c r="D14" i="87"/>
  <c r="C14" i="87"/>
  <c r="B14" i="87"/>
  <c r="A14" i="87"/>
  <c r="X14" i="87" s="1"/>
  <c r="AE13" i="87"/>
  <c r="AD13" i="87"/>
  <c r="AC13" i="87"/>
  <c r="V13" i="87"/>
  <c r="U13" i="87"/>
  <c r="T13" i="87"/>
  <c r="S13" i="87"/>
  <c r="N13" i="87"/>
  <c r="M13" i="87"/>
  <c r="L13" i="87"/>
  <c r="K13" i="87"/>
  <c r="J13" i="87"/>
  <c r="I13" i="87"/>
  <c r="H13" i="87"/>
  <c r="G13" i="87"/>
  <c r="F13" i="87"/>
  <c r="E13" i="87"/>
  <c r="D13" i="87"/>
  <c r="C13" i="87"/>
  <c r="B13" i="87"/>
  <c r="A13" i="87"/>
  <c r="X13" i="87" s="1"/>
  <c r="AE12" i="87"/>
  <c r="AD12" i="87"/>
  <c r="AC12" i="87"/>
  <c r="V12" i="87"/>
  <c r="U12" i="87"/>
  <c r="T12" i="87"/>
  <c r="S12" i="87"/>
  <c r="N12" i="87"/>
  <c r="M12" i="87"/>
  <c r="L12" i="87"/>
  <c r="K12" i="87"/>
  <c r="J12" i="87"/>
  <c r="I12" i="87"/>
  <c r="H12" i="87"/>
  <c r="G12" i="87"/>
  <c r="F12" i="87"/>
  <c r="E12" i="87"/>
  <c r="D12" i="87"/>
  <c r="C12" i="87"/>
  <c r="B12" i="87"/>
  <c r="A12" i="87"/>
  <c r="X12" i="87" s="1"/>
  <c r="AE11" i="87"/>
  <c r="AD11" i="87"/>
  <c r="AC11" i="87"/>
  <c r="V11" i="87"/>
  <c r="U11" i="87"/>
  <c r="T11" i="87"/>
  <c r="S11" i="87"/>
  <c r="N11" i="87"/>
  <c r="M11" i="87"/>
  <c r="L11" i="87"/>
  <c r="K11" i="87"/>
  <c r="J11" i="87"/>
  <c r="I11" i="87"/>
  <c r="H11" i="87"/>
  <c r="G11" i="87"/>
  <c r="F11" i="87"/>
  <c r="E11" i="87"/>
  <c r="D11" i="87"/>
  <c r="C11" i="87"/>
  <c r="B11" i="87"/>
  <c r="A11" i="87"/>
  <c r="X11" i="87" s="1"/>
  <c r="AE10" i="87"/>
  <c r="AD10" i="87"/>
  <c r="AC10" i="87"/>
  <c r="V10" i="87"/>
  <c r="U10" i="87"/>
  <c r="T10" i="87"/>
  <c r="S10" i="87"/>
  <c r="N10" i="87"/>
  <c r="M10" i="87"/>
  <c r="L10" i="87"/>
  <c r="K10" i="87"/>
  <c r="J10" i="87"/>
  <c r="I10" i="87"/>
  <c r="H10" i="87"/>
  <c r="G10" i="87"/>
  <c r="F10" i="87"/>
  <c r="E10" i="87"/>
  <c r="D10" i="87"/>
  <c r="C10" i="87"/>
  <c r="B10" i="87"/>
  <c r="A10" i="87"/>
  <c r="X10" i="87" s="1"/>
  <c r="AE9" i="87"/>
  <c r="AD9" i="87"/>
  <c r="AC9" i="87"/>
  <c r="V9" i="87"/>
  <c r="U9" i="87"/>
  <c r="T9" i="87"/>
  <c r="S9" i="87"/>
  <c r="N9" i="87"/>
  <c r="M9" i="87"/>
  <c r="L9" i="87"/>
  <c r="K9" i="87"/>
  <c r="J9" i="87"/>
  <c r="I9" i="87"/>
  <c r="H9" i="87"/>
  <c r="G9" i="87"/>
  <c r="F9" i="87"/>
  <c r="E9" i="87"/>
  <c r="D9" i="87"/>
  <c r="C9" i="87"/>
  <c r="B9" i="87"/>
  <c r="A9" i="87"/>
  <c r="X9" i="87" s="1"/>
  <c r="AE8" i="87"/>
  <c r="AD8" i="87"/>
  <c r="AC8" i="87"/>
  <c r="V8" i="87"/>
  <c r="U8" i="87"/>
  <c r="T8" i="87"/>
  <c r="S8" i="87"/>
  <c r="N8" i="87"/>
  <c r="M8" i="87"/>
  <c r="L8" i="87"/>
  <c r="K8" i="87"/>
  <c r="J8" i="87"/>
  <c r="I8" i="87"/>
  <c r="H8" i="87"/>
  <c r="G8" i="87"/>
  <c r="F8" i="87"/>
  <c r="E8" i="87"/>
  <c r="D8" i="87"/>
  <c r="C8" i="87"/>
  <c r="B8" i="87"/>
  <c r="A8" i="87"/>
  <c r="X8" i="87" s="1"/>
  <c r="X121" i="87"/>
  <c r="X112" i="87"/>
  <c r="X97" i="87"/>
  <c r="J126" i="85"/>
  <c r="E126" i="85"/>
  <c r="O126" i="85" s="1"/>
  <c r="J110" i="85"/>
  <c r="E110" i="85"/>
  <c r="J94" i="85"/>
  <c r="E94" i="85"/>
  <c r="W99" i="91" l="1"/>
  <c r="O103" i="91"/>
  <c r="W92" i="91"/>
  <c r="W76" i="91"/>
  <c r="W65" i="91"/>
  <c r="W50" i="91"/>
  <c r="W53" i="91"/>
  <c r="W60" i="91"/>
  <c r="W68" i="91"/>
  <c r="W79" i="91"/>
  <c r="W87" i="91"/>
  <c r="W94" i="91"/>
  <c r="W102" i="91"/>
  <c r="W20" i="91"/>
  <c r="W28" i="91"/>
  <c r="W13" i="91"/>
  <c r="W108" i="91"/>
  <c r="W86" i="91"/>
  <c r="W8" i="91"/>
  <c r="W16" i="91"/>
  <c r="W23" i="91"/>
  <c r="W30" i="91"/>
  <c r="W38" i="91"/>
  <c r="W67" i="91"/>
  <c r="O87" i="91"/>
  <c r="P87" i="91" s="1"/>
  <c r="W91" i="91"/>
  <c r="W101" i="91"/>
  <c r="W104" i="91"/>
  <c r="O110" i="91"/>
  <c r="P110" i="91" s="1"/>
  <c r="W110" i="91"/>
  <c r="W57" i="91"/>
  <c r="O56" i="91"/>
  <c r="P56" i="91" s="1"/>
  <c r="O73" i="91"/>
  <c r="P73" i="91" s="1"/>
  <c r="O97" i="91"/>
  <c r="P97" i="91" s="1"/>
  <c r="W107" i="91"/>
  <c r="O10" i="91"/>
  <c r="P10" i="91" s="1"/>
  <c r="O18" i="91"/>
  <c r="P18" i="91" s="1"/>
  <c r="O21" i="91"/>
  <c r="Q21" i="91" s="1"/>
  <c r="R21" i="91" s="1"/>
  <c r="O28" i="91"/>
  <c r="P28" i="91" s="1"/>
  <c r="O31" i="91"/>
  <c r="P31" i="91" s="1"/>
  <c r="W31" i="91"/>
  <c r="O42" i="91"/>
  <c r="Q42" i="91" s="1"/>
  <c r="W42" i="91"/>
  <c r="W47" i="91"/>
  <c r="W52" i="91"/>
  <c r="O59" i="91"/>
  <c r="P59" i="91" s="1"/>
  <c r="O63" i="91"/>
  <c r="P63" i="91" s="1"/>
  <c r="W73" i="91"/>
  <c r="O76" i="91"/>
  <c r="P76" i="91" s="1"/>
  <c r="O99" i="91"/>
  <c r="P99" i="91" s="1"/>
  <c r="O107" i="91"/>
  <c r="Q107" i="91" s="1"/>
  <c r="R107" i="91" s="1"/>
  <c r="W21" i="91"/>
  <c r="W33" i="91"/>
  <c r="W41" i="91"/>
  <c r="W97" i="91"/>
  <c r="P103" i="91"/>
  <c r="Q103" i="91"/>
  <c r="R103" i="91" s="1"/>
  <c r="W24" i="91"/>
  <c r="O38" i="91"/>
  <c r="P38" i="91" s="1"/>
  <c r="W43" i="91"/>
  <c r="O79" i="91"/>
  <c r="P79" i="91" s="1"/>
  <c r="O92" i="91"/>
  <c r="P92" i="91" s="1"/>
  <c r="O106" i="91"/>
  <c r="P106" i="91" s="1"/>
  <c r="W106" i="91"/>
  <c r="O47" i="91"/>
  <c r="P47" i="91" s="1"/>
  <c r="W9" i="91"/>
  <c r="W10" i="91"/>
  <c r="W12" i="91"/>
  <c r="W15" i="91"/>
  <c r="W18" i="91"/>
  <c r="O22" i="91"/>
  <c r="Q22" i="91" s="1"/>
  <c r="W22" i="91"/>
  <c r="W25" i="91"/>
  <c r="O27" i="91"/>
  <c r="P27" i="91" s="1"/>
  <c r="W27" i="91"/>
  <c r="O29" i="91"/>
  <c r="Q29" i="91" s="1"/>
  <c r="R29" i="91" s="1"/>
  <c r="W34" i="91"/>
  <c r="W39" i="91"/>
  <c r="W40" i="91"/>
  <c r="O46" i="91"/>
  <c r="P46" i="91" s="1"/>
  <c r="W46" i="91"/>
  <c r="O49" i="91"/>
  <c r="P49" i="91" s="1"/>
  <c r="W56" i="91"/>
  <c r="W59" i="91"/>
  <c r="O64" i="91"/>
  <c r="P64" i="91" s="1"/>
  <c r="W64" i="91"/>
  <c r="O70" i="91"/>
  <c r="Q70" i="91" s="1"/>
  <c r="R70" i="91" s="1"/>
  <c r="W72" i="91"/>
  <c r="O75" i="91"/>
  <c r="P75" i="91" s="1"/>
  <c r="W75" i="91"/>
  <c r="O78" i="91"/>
  <c r="P78" i="91" s="1"/>
  <c r="W78" i="91"/>
  <c r="O98" i="91"/>
  <c r="P98" i="91" s="1"/>
  <c r="W98" i="91"/>
  <c r="O12" i="91"/>
  <c r="P12" i="91" s="1"/>
  <c r="O15" i="91"/>
  <c r="P15" i="91" s="1"/>
  <c r="O8" i="91"/>
  <c r="P8" i="91" s="1"/>
  <c r="W14" i="91"/>
  <c r="O16" i="91"/>
  <c r="P16" i="91" s="1"/>
  <c r="O23" i="91"/>
  <c r="P23" i="91" s="1"/>
  <c r="W29" i="91"/>
  <c r="O44" i="91"/>
  <c r="P44" i="91" s="1"/>
  <c r="O60" i="91"/>
  <c r="P60" i="91" s="1"/>
  <c r="O68" i="91"/>
  <c r="P68" i="91" s="1"/>
  <c r="W77" i="91"/>
  <c r="W85" i="91"/>
  <c r="W93" i="91"/>
  <c r="O13" i="91"/>
  <c r="P13" i="91" s="1"/>
  <c r="O20" i="91"/>
  <c r="P20" i="91" s="1"/>
  <c r="O91" i="91"/>
  <c r="P91" i="91" s="1"/>
  <c r="O94" i="91"/>
  <c r="P94" i="91" s="1"/>
  <c r="O101" i="91"/>
  <c r="P101" i="91" s="1"/>
  <c r="O102" i="91"/>
  <c r="P102" i="91" s="1"/>
  <c r="W103" i="91"/>
  <c r="O108" i="91"/>
  <c r="P108" i="91" s="1"/>
  <c r="O11" i="91"/>
  <c r="O17" i="91"/>
  <c r="P17" i="91" s="1"/>
  <c r="W26" i="91"/>
  <c r="O30" i="91"/>
  <c r="P30" i="91" s="1"/>
  <c r="O33" i="91"/>
  <c r="W44" i="91"/>
  <c r="O36" i="91"/>
  <c r="P36" i="91" s="1"/>
  <c r="W11" i="91"/>
  <c r="O24" i="91"/>
  <c r="O25" i="91"/>
  <c r="P25" i="91" s="1"/>
  <c r="O34" i="91"/>
  <c r="O39" i="91"/>
  <c r="P39" i="91" s="1"/>
  <c r="O40" i="91"/>
  <c r="O41" i="91"/>
  <c r="O14" i="91"/>
  <c r="W17" i="91"/>
  <c r="O35" i="91"/>
  <c r="P35" i="91" s="1"/>
  <c r="W35" i="91"/>
  <c r="O53" i="91"/>
  <c r="P53" i="91" s="1"/>
  <c r="O9" i="91"/>
  <c r="O26" i="91"/>
  <c r="W37" i="91"/>
  <c r="W74" i="91"/>
  <c r="O93" i="91"/>
  <c r="O50" i="91"/>
  <c r="P50" i="91" s="1"/>
  <c r="O52" i="91"/>
  <c r="O86" i="91"/>
  <c r="W36" i="91"/>
  <c r="O37" i="91"/>
  <c r="O43" i="91"/>
  <c r="O65" i="91"/>
  <c r="P65" i="91" s="1"/>
  <c r="O48" i="91"/>
  <c r="P48" i="91" s="1"/>
  <c r="W49" i="91"/>
  <c r="O67" i="91"/>
  <c r="W100" i="91"/>
  <c r="W62" i="91"/>
  <c r="W70" i="91"/>
  <c r="O74" i="91"/>
  <c r="P74" i="91" s="1"/>
  <c r="W80" i="91"/>
  <c r="O89" i="91"/>
  <c r="P89" i="91" s="1"/>
  <c r="O100" i="91"/>
  <c r="W105" i="91"/>
  <c r="W48" i="91"/>
  <c r="O51" i="91"/>
  <c r="O54" i="91"/>
  <c r="P54" i="91" s="1"/>
  <c r="W55" i="91"/>
  <c r="O57" i="91"/>
  <c r="O61" i="91"/>
  <c r="P61" i="91" s="1"/>
  <c r="W63" i="91"/>
  <c r="O66" i="91"/>
  <c r="W69" i="91"/>
  <c r="O81" i="91"/>
  <c r="P81" i="91" s="1"/>
  <c r="W88" i="91"/>
  <c r="O95" i="91"/>
  <c r="O90" i="91"/>
  <c r="P90" i="91" s="1"/>
  <c r="O104" i="91"/>
  <c r="P104" i="91" s="1"/>
  <c r="O55" i="91"/>
  <c r="P55" i="91" s="1"/>
  <c r="O62" i="91"/>
  <c r="O69" i="91"/>
  <c r="O77" i="91"/>
  <c r="O80" i="91"/>
  <c r="W81" i="91"/>
  <c r="W89" i="91"/>
  <c r="W51" i="91"/>
  <c r="W54" i="91"/>
  <c r="W61" i="91"/>
  <c r="W66" i="91"/>
  <c r="O72" i="91"/>
  <c r="O85" i="91"/>
  <c r="O88" i="91"/>
  <c r="W90" i="91"/>
  <c r="W95" i="91"/>
  <c r="O105" i="91"/>
  <c r="P105" i="91" s="1"/>
  <c r="O109" i="89"/>
  <c r="P109" i="89" s="1"/>
  <c r="O95" i="89"/>
  <c r="P95" i="89" s="1"/>
  <c r="W85" i="89"/>
  <c r="W42" i="89"/>
  <c r="O101" i="89"/>
  <c r="Q101" i="89" s="1"/>
  <c r="R101" i="89" s="1"/>
  <c r="O88" i="89"/>
  <c r="Q88" i="89" s="1"/>
  <c r="R88" i="89" s="1"/>
  <c r="O73" i="89"/>
  <c r="P73" i="89" s="1"/>
  <c r="W67" i="89"/>
  <c r="W94" i="89"/>
  <c r="W22" i="89"/>
  <c r="O59" i="89"/>
  <c r="P59" i="89" s="1"/>
  <c r="W89" i="89"/>
  <c r="W100" i="89"/>
  <c r="W109" i="89"/>
  <c r="O111" i="89"/>
  <c r="P111" i="89" s="1"/>
  <c r="O112" i="89"/>
  <c r="P112" i="89" s="1"/>
  <c r="O58" i="89"/>
  <c r="Q58" i="89" s="1"/>
  <c r="R58" i="89" s="1"/>
  <c r="W68" i="89"/>
  <c r="W15" i="89"/>
  <c r="W46" i="89"/>
  <c r="W34" i="89"/>
  <c r="W10" i="89"/>
  <c r="W17" i="89"/>
  <c r="W53" i="89"/>
  <c r="W58" i="89"/>
  <c r="W69" i="89"/>
  <c r="W76" i="89"/>
  <c r="W84" i="89"/>
  <c r="W98" i="89"/>
  <c r="W104" i="89"/>
  <c r="W112" i="89"/>
  <c r="O85" i="89"/>
  <c r="P85" i="89" s="1"/>
  <c r="O90" i="89"/>
  <c r="P90" i="89" s="1"/>
  <c r="O99" i="89"/>
  <c r="P99" i="89" s="1"/>
  <c r="O10" i="89"/>
  <c r="Q10" i="89" s="1"/>
  <c r="R10" i="89" s="1"/>
  <c r="O24" i="89"/>
  <c r="P24" i="89" s="1"/>
  <c r="W29" i="89"/>
  <c r="W30" i="89"/>
  <c r="O34" i="89"/>
  <c r="P34" i="89" s="1"/>
  <c r="O51" i="89"/>
  <c r="P51" i="89" s="1"/>
  <c r="W51" i="89"/>
  <c r="W55" i="89"/>
  <c r="W57" i="89"/>
  <c r="O50" i="89"/>
  <c r="P50" i="89" s="1"/>
  <c r="W45" i="89"/>
  <c r="O47" i="89"/>
  <c r="P47" i="89" s="1"/>
  <c r="W61" i="89"/>
  <c r="O44" i="89"/>
  <c r="Q44" i="89" s="1"/>
  <c r="R44" i="89" s="1"/>
  <c r="O30" i="89"/>
  <c r="Q30" i="89" s="1"/>
  <c r="R30" i="89" s="1"/>
  <c r="W16" i="89"/>
  <c r="W44" i="89"/>
  <c r="O86" i="89"/>
  <c r="Q86" i="89" s="1"/>
  <c r="R86" i="89" s="1"/>
  <c r="W9" i="89"/>
  <c r="O15" i="89"/>
  <c r="Q15" i="89" s="1"/>
  <c r="R15" i="89" s="1"/>
  <c r="O17" i="89"/>
  <c r="P17" i="89" s="1"/>
  <c r="W18" i="89"/>
  <c r="O31" i="89"/>
  <c r="P31" i="89" s="1"/>
  <c r="O32" i="89"/>
  <c r="P32" i="89" s="1"/>
  <c r="W32" i="89"/>
  <c r="O37" i="89"/>
  <c r="P37" i="89" s="1"/>
  <c r="O45" i="89"/>
  <c r="P45" i="89" s="1"/>
  <c r="O113" i="89"/>
  <c r="P113" i="89" s="1"/>
  <c r="W117" i="89"/>
  <c r="W52" i="89"/>
  <c r="O53" i="89"/>
  <c r="Q53" i="89" s="1"/>
  <c r="O55" i="89"/>
  <c r="P55" i="89" s="1"/>
  <c r="O68" i="89"/>
  <c r="P68" i="89" s="1"/>
  <c r="O74" i="89"/>
  <c r="P74" i="89" s="1"/>
  <c r="O77" i="89"/>
  <c r="P77" i="89" s="1"/>
  <c r="W79" i="89"/>
  <c r="O82" i="89"/>
  <c r="P82" i="89" s="1"/>
  <c r="O83" i="89"/>
  <c r="P83" i="89" s="1"/>
  <c r="O87" i="89"/>
  <c r="Q87" i="89" s="1"/>
  <c r="R87" i="89" s="1"/>
  <c r="O92" i="89"/>
  <c r="P92" i="89" s="1"/>
  <c r="W92" i="89"/>
  <c r="W106" i="89"/>
  <c r="O107" i="89"/>
  <c r="Q107" i="89" s="1"/>
  <c r="R107" i="89" s="1"/>
  <c r="W107" i="89"/>
  <c r="O114" i="89"/>
  <c r="Q114" i="89" s="1"/>
  <c r="O8" i="89"/>
  <c r="O9" i="89"/>
  <c r="P9" i="89" s="1"/>
  <c r="O13" i="89"/>
  <c r="P13" i="89" s="1"/>
  <c r="O14" i="89"/>
  <c r="P14" i="89" s="1"/>
  <c r="O22" i="89"/>
  <c r="P22" i="89" s="1"/>
  <c r="W23" i="89"/>
  <c r="O28" i="89"/>
  <c r="P28" i="89" s="1"/>
  <c r="O36" i="89"/>
  <c r="P36" i="89" s="1"/>
  <c r="W37" i="89"/>
  <c r="O38" i="89"/>
  <c r="Q38" i="89" s="1"/>
  <c r="R38" i="89" s="1"/>
  <c r="O42" i="89"/>
  <c r="P42" i="89" s="1"/>
  <c r="W43" i="89"/>
  <c r="O56" i="89"/>
  <c r="P56" i="89" s="1"/>
  <c r="W71" i="89"/>
  <c r="W86" i="89"/>
  <c r="O91" i="89"/>
  <c r="P91" i="89" s="1"/>
  <c r="W93" i="89"/>
  <c r="O19" i="89"/>
  <c r="P19" i="89" s="1"/>
  <c r="W24" i="89"/>
  <c r="W31" i="89"/>
  <c r="O33" i="89"/>
  <c r="P33" i="89" s="1"/>
  <c r="W38" i="89"/>
  <c r="O61" i="89"/>
  <c r="Q61" i="89" s="1"/>
  <c r="R61" i="89" s="1"/>
  <c r="W66" i="89"/>
  <c r="W73" i="89"/>
  <c r="O75" i="89"/>
  <c r="P75" i="89" s="1"/>
  <c r="O79" i="89"/>
  <c r="P79" i="89" s="1"/>
  <c r="W83" i="89"/>
  <c r="W8" i="89"/>
  <c r="W14" i="89"/>
  <c r="O16" i="89"/>
  <c r="P16" i="89" s="1"/>
  <c r="W28" i="89"/>
  <c r="W36" i="89"/>
  <c r="W56" i="89"/>
  <c r="W64" i="89"/>
  <c r="O72" i="89"/>
  <c r="P72" i="89" s="1"/>
  <c r="W81" i="89"/>
  <c r="W88" i="89"/>
  <c r="W102" i="89"/>
  <c r="O106" i="89"/>
  <c r="P106" i="89" s="1"/>
  <c r="O110" i="89"/>
  <c r="P110" i="89" s="1"/>
  <c r="W111" i="89"/>
  <c r="W114" i="89"/>
  <c r="Q115" i="89"/>
  <c r="R115" i="89" s="1"/>
  <c r="O116" i="89"/>
  <c r="Q116" i="89" s="1"/>
  <c r="R116" i="89" s="1"/>
  <c r="O11" i="89"/>
  <c r="P11" i="89" s="1"/>
  <c r="W11" i="89"/>
  <c r="W13" i="89"/>
  <c r="O23" i="89"/>
  <c r="Q23" i="89" s="1"/>
  <c r="R23" i="89" s="1"/>
  <c r="O25" i="89"/>
  <c r="P25" i="89" s="1"/>
  <c r="W25" i="89"/>
  <c r="O29" i="89"/>
  <c r="Q29" i="89" s="1"/>
  <c r="R29" i="89" s="1"/>
  <c r="W39" i="89"/>
  <c r="W41" i="89"/>
  <c r="O46" i="89"/>
  <c r="Q46" i="89" s="1"/>
  <c r="W47" i="89"/>
  <c r="W54" i="89"/>
  <c r="O57" i="89"/>
  <c r="P57" i="89" s="1"/>
  <c r="O62" i="89"/>
  <c r="Q62" i="89" s="1"/>
  <c r="R62" i="89" s="1"/>
  <c r="O63" i="89"/>
  <c r="Q63" i="89" s="1"/>
  <c r="R63" i="89" s="1"/>
  <c r="W63" i="89"/>
  <c r="O67" i="89"/>
  <c r="P67" i="89" s="1"/>
  <c r="O69" i="89"/>
  <c r="P69" i="89" s="1"/>
  <c r="W75" i="89"/>
  <c r="O78" i="89"/>
  <c r="P78" i="89" s="1"/>
  <c r="W80" i="89"/>
  <c r="O84" i="89"/>
  <c r="P84" i="89" s="1"/>
  <c r="W87" i="89"/>
  <c r="O94" i="89"/>
  <c r="P94" i="89" s="1"/>
  <c r="O98" i="89"/>
  <c r="P98" i="89" s="1"/>
  <c r="W99" i="89"/>
  <c r="O100" i="89"/>
  <c r="P100" i="89" s="1"/>
  <c r="W101" i="89"/>
  <c r="O103" i="89"/>
  <c r="P103" i="89" s="1"/>
  <c r="W108" i="89"/>
  <c r="W113" i="89"/>
  <c r="W115" i="89"/>
  <c r="O18" i="89"/>
  <c r="W20" i="89"/>
  <c r="W21" i="89"/>
  <c r="W26" i="89"/>
  <c r="O27" i="89"/>
  <c r="P27" i="89" s="1"/>
  <c r="O49" i="89"/>
  <c r="P49" i="89" s="1"/>
  <c r="O102" i="89"/>
  <c r="W27" i="89"/>
  <c r="W33" i="89"/>
  <c r="O35" i="89"/>
  <c r="P35" i="89" s="1"/>
  <c r="W48" i="89"/>
  <c r="W50" i="89"/>
  <c r="O52" i="89"/>
  <c r="O54" i="89"/>
  <c r="O12" i="89"/>
  <c r="O20" i="89"/>
  <c r="P20" i="89" s="1"/>
  <c r="O26" i="89"/>
  <c r="P26" i="89" s="1"/>
  <c r="O39" i="89"/>
  <c r="W12" i="89"/>
  <c r="W19" i="89"/>
  <c r="O21" i="89"/>
  <c r="P21" i="89" s="1"/>
  <c r="W60" i="89"/>
  <c r="W65" i="89"/>
  <c r="O40" i="89"/>
  <c r="P40" i="89" s="1"/>
  <c r="W40" i="89"/>
  <c r="O43" i="89"/>
  <c r="P43" i="89" s="1"/>
  <c r="W59" i="89"/>
  <c r="O93" i="89"/>
  <c r="W105" i="89"/>
  <c r="O60" i="89"/>
  <c r="P60" i="89" s="1"/>
  <c r="O66" i="89"/>
  <c r="P66" i="89" s="1"/>
  <c r="W77" i="89"/>
  <c r="O108" i="89"/>
  <c r="W110" i="89"/>
  <c r="O64" i="89"/>
  <c r="O48" i="89"/>
  <c r="W74" i="89"/>
  <c r="W35" i="89"/>
  <c r="O41" i="89"/>
  <c r="W49" i="89"/>
  <c r="W62" i="89"/>
  <c r="W78" i="89"/>
  <c r="O80" i="89"/>
  <c r="O81" i="89"/>
  <c r="W82" i="89"/>
  <c r="W70" i="89"/>
  <c r="O71" i="89"/>
  <c r="O76" i="89"/>
  <c r="O89" i="89"/>
  <c r="W96" i="89"/>
  <c r="W97" i="89"/>
  <c r="W103" i="89"/>
  <c r="O105" i="89"/>
  <c r="P105" i="89" s="1"/>
  <c r="O65" i="89"/>
  <c r="P65" i="89" s="1"/>
  <c r="O70" i="89"/>
  <c r="P70" i="89" s="1"/>
  <c r="O96" i="89"/>
  <c r="P96" i="89" s="1"/>
  <c r="W72" i="89"/>
  <c r="W90" i="89"/>
  <c r="W91" i="89"/>
  <c r="W95" i="89"/>
  <c r="O97" i="89"/>
  <c r="P97" i="89" s="1"/>
  <c r="O117" i="89"/>
  <c r="P117" i="89" s="1"/>
  <c r="O104" i="89"/>
  <c r="P104" i="89" s="1"/>
  <c r="O94" i="85"/>
  <c r="O110" i="85"/>
  <c r="O117" i="87"/>
  <c r="P117" i="87" s="1"/>
  <c r="W87" i="87"/>
  <c r="W23" i="87"/>
  <c r="W55" i="87"/>
  <c r="W82" i="87"/>
  <c r="W117" i="87"/>
  <c r="W39" i="87"/>
  <c r="W71" i="87"/>
  <c r="W133" i="87"/>
  <c r="O23" i="87"/>
  <c r="P23" i="87" s="1"/>
  <c r="Q117" i="87"/>
  <c r="R117" i="87" s="1"/>
  <c r="O71" i="87"/>
  <c r="P71" i="87" s="1"/>
  <c r="O55" i="87"/>
  <c r="P55" i="87" s="1"/>
  <c r="W108" i="87"/>
  <c r="O87" i="87"/>
  <c r="P87" i="87" s="1"/>
  <c r="O39" i="87"/>
  <c r="O133" i="87"/>
  <c r="P133" i="87" s="1"/>
  <c r="O125" i="87"/>
  <c r="P125" i="87" s="1"/>
  <c r="O109" i="87"/>
  <c r="P109" i="87" s="1"/>
  <c r="O94" i="87"/>
  <c r="P94" i="87" s="1"/>
  <c r="O115" i="87"/>
  <c r="P115" i="87" s="1"/>
  <c r="O83" i="87"/>
  <c r="P83" i="87" s="1"/>
  <c r="O67" i="87"/>
  <c r="P67" i="87" s="1"/>
  <c r="O51" i="87"/>
  <c r="P51" i="87" s="1"/>
  <c r="W124" i="87"/>
  <c r="W14" i="87"/>
  <c r="W21" i="87"/>
  <c r="W30" i="87"/>
  <c r="O131" i="87"/>
  <c r="P131" i="87" s="1"/>
  <c r="W114" i="87"/>
  <c r="W126" i="87"/>
  <c r="W130" i="87"/>
  <c r="O85" i="87"/>
  <c r="P85" i="87" s="1"/>
  <c r="W125" i="87"/>
  <c r="O69" i="87"/>
  <c r="P69" i="87" s="1"/>
  <c r="W11" i="87"/>
  <c r="W62" i="87"/>
  <c r="W85" i="87"/>
  <c r="W121" i="87"/>
  <c r="W131" i="87"/>
  <c r="W17" i="87"/>
  <c r="O21" i="87"/>
  <c r="P21" i="87" s="1"/>
  <c r="W25" i="87"/>
  <c r="W41" i="87"/>
  <c r="O46" i="87"/>
  <c r="P46" i="87" s="1"/>
  <c r="W37" i="87"/>
  <c r="W46" i="87"/>
  <c r="W53" i="87"/>
  <c r="O32" i="87"/>
  <c r="P32" i="87" s="1"/>
  <c r="O8" i="87"/>
  <c r="P8" i="87" s="1"/>
  <c r="W8" i="87"/>
  <c r="O9" i="87"/>
  <c r="Q9" i="87" s="1"/>
  <c r="R9" i="87" s="1"/>
  <c r="W10" i="87"/>
  <c r="O11" i="87"/>
  <c r="P11" i="87" s="1"/>
  <c r="O12" i="87"/>
  <c r="P12" i="87" s="1"/>
  <c r="W13" i="87"/>
  <c r="O15" i="87"/>
  <c r="P15" i="87" s="1"/>
  <c r="W15" i="87"/>
  <c r="W16" i="87"/>
  <c r="O17" i="87"/>
  <c r="Q17" i="87" s="1"/>
  <c r="R17" i="87" s="1"/>
  <c r="W20" i="87"/>
  <c r="O22" i="87"/>
  <c r="Q22" i="87" s="1"/>
  <c r="R22" i="87" s="1"/>
  <c r="W22" i="87"/>
  <c r="O25" i="87"/>
  <c r="Q25" i="87" s="1"/>
  <c r="R25" i="87" s="1"/>
  <c r="O29" i="87"/>
  <c r="P29" i="87" s="1"/>
  <c r="W29" i="87"/>
  <c r="O31" i="87"/>
  <c r="Q31" i="87" s="1"/>
  <c r="R31" i="87" s="1"/>
  <c r="W31" i="87"/>
  <c r="W32" i="87"/>
  <c r="O33" i="87"/>
  <c r="P33" i="87" s="1"/>
  <c r="W36" i="87"/>
  <c r="O38" i="87"/>
  <c r="P38" i="87" s="1"/>
  <c r="W38" i="87"/>
  <c r="W40" i="87"/>
  <c r="O41" i="87"/>
  <c r="P41" i="87" s="1"/>
  <c r="W45" i="87"/>
  <c r="O47" i="87"/>
  <c r="Q47" i="87" s="1"/>
  <c r="R47" i="87" s="1"/>
  <c r="W47" i="87"/>
  <c r="W48" i="87"/>
  <c r="W52" i="87"/>
  <c r="O54" i="87"/>
  <c r="P54" i="87" s="1"/>
  <c r="W54" i="87"/>
  <c r="W56" i="87"/>
  <c r="O58" i="87"/>
  <c r="P58" i="87" s="1"/>
  <c r="W58" i="87"/>
  <c r="O60" i="87"/>
  <c r="Q60" i="87" s="1"/>
  <c r="R60" i="87" s="1"/>
  <c r="O63" i="87"/>
  <c r="P63" i="87" s="1"/>
  <c r="W63" i="87"/>
  <c r="W64" i="87"/>
  <c r="O70" i="87"/>
  <c r="P70" i="87" s="1"/>
  <c r="W70" i="87"/>
  <c r="O73" i="87"/>
  <c r="P73" i="87" s="1"/>
  <c r="O74" i="87"/>
  <c r="P74" i="87" s="1"/>
  <c r="W74" i="87"/>
  <c r="O78" i="87"/>
  <c r="P78" i="87" s="1"/>
  <c r="O79" i="87"/>
  <c r="P79" i="87" s="1"/>
  <c r="W79" i="87"/>
  <c r="O81" i="87"/>
  <c r="P81" i="87" s="1"/>
  <c r="O82" i="87"/>
  <c r="Q82" i="87" s="1"/>
  <c r="O86" i="87"/>
  <c r="P86" i="87" s="1"/>
  <c r="W86" i="87"/>
  <c r="W89" i="87"/>
  <c r="W92" i="87"/>
  <c r="W95" i="87"/>
  <c r="O99" i="87"/>
  <c r="P99" i="87" s="1"/>
  <c r="W99" i="87"/>
  <c r="O102" i="87"/>
  <c r="P102" i="87" s="1"/>
  <c r="W102" i="87"/>
  <c r="W104" i="87"/>
  <c r="O107" i="87"/>
  <c r="P107" i="87" s="1"/>
  <c r="W107" i="87"/>
  <c r="W110" i="87"/>
  <c r="O114" i="87"/>
  <c r="P114" i="87" s="1"/>
  <c r="W118" i="87"/>
  <c r="W120" i="87"/>
  <c r="O123" i="87"/>
  <c r="P123" i="87" s="1"/>
  <c r="W123" i="87"/>
  <c r="O126" i="87"/>
  <c r="P126" i="87" s="1"/>
  <c r="O128" i="87"/>
  <c r="P128" i="87" s="1"/>
  <c r="W128" i="87"/>
  <c r="O130" i="87"/>
  <c r="P130" i="87" s="1"/>
  <c r="O132" i="87"/>
  <c r="P132" i="87" s="1"/>
  <c r="W73" i="87"/>
  <c r="W69" i="87"/>
  <c r="W78" i="87"/>
  <c r="W81" i="87"/>
  <c r="W113" i="87"/>
  <c r="W122" i="87"/>
  <c r="W127" i="87"/>
  <c r="W57" i="87"/>
  <c r="W66" i="87"/>
  <c r="W75" i="87"/>
  <c r="W93" i="87"/>
  <c r="W100" i="87"/>
  <c r="W115" i="87"/>
  <c r="W12" i="87"/>
  <c r="O14" i="87"/>
  <c r="P14" i="87" s="1"/>
  <c r="O30" i="87"/>
  <c r="P30" i="87" s="1"/>
  <c r="O37" i="87"/>
  <c r="P37" i="87" s="1"/>
  <c r="W51" i="87"/>
  <c r="O53" i="87"/>
  <c r="P53" i="87" s="1"/>
  <c r="W60" i="87"/>
  <c r="O62" i="87"/>
  <c r="P62" i="87" s="1"/>
  <c r="W132" i="87"/>
  <c r="O24" i="87"/>
  <c r="P24" i="87" s="1"/>
  <c r="O56" i="87"/>
  <c r="Q56" i="87" s="1"/>
  <c r="R56" i="87" s="1"/>
  <c r="O64" i="87"/>
  <c r="Q64" i="87" s="1"/>
  <c r="R64" i="87" s="1"/>
  <c r="O75" i="87"/>
  <c r="Q75" i="87" s="1"/>
  <c r="W91" i="87"/>
  <c r="O93" i="87"/>
  <c r="P93" i="87" s="1"/>
  <c r="W98" i="87"/>
  <c r="O100" i="87"/>
  <c r="P100" i="87" s="1"/>
  <c r="W106" i="87"/>
  <c r="O108" i="87"/>
  <c r="P108" i="87" s="1"/>
  <c r="O124" i="87"/>
  <c r="P124" i="87" s="1"/>
  <c r="W129" i="87"/>
  <c r="O16" i="87"/>
  <c r="P16" i="87" s="1"/>
  <c r="O13" i="87"/>
  <c r="P13" i="87" s="1"/>
  <c r="O118" i="87"/>
  <c r="P118" i="87" s="1"/>
  <c r="O42" i="87"/>
  <c r="P42" i="87" s="1"/>
  <c r="O10" i="87"/>
  <c r="P10" i="87" s="1"/>
  <c r="W9" i="87"/>
  <c r="O36" i="87"/>
  <c r="P36" i="87" s="1"/>
  <c r="W33" i="87"/>
  <c r="O48" i="87"/>
  <c r="P48" i="87" s="1"/>
  <c r="O20" i="87"/>
  <c r="P20" i="87" s="1"/>
  <c r="O45" i="87"/>
  <c r="P45" i="87" s="1"/>
  <c r="W19" i="87"/>
  <c r="W28" i="87"/>
  <c r="W35" i="87"/>
  <c r="W44" i="87"/>
  <c r="O49" i="87"/>
  <c r="W84" i="87"/>
  <c r="O26" i="87"/>
  <c r="P26" i="87" s="1"/>
  <c r="W49" i="87"/>
  <c r="O52" i="87"/>
  <c r="P52" i="87" s="1"/>
  <c r="O95" i="87"/>
  <c r="O34" i="87"/>
  <c r="P34" i="87" s="1"/>
  <c r="O92" i="87"/>
  <c r="P92" i="87" s="1"/>
  <c r="O19" i="87"/>
  <c r="P19" i="87" s="1"/>
  <c r="W26" i="87"/>
  <c r="O28" i="87"/>
  <c r="P28" i="87" s="1"/>
  <c r="O35" i="87"/>
  <c r="P35" i="87" s="1"/>
  <c r="W42" i="87"/>
  <c r="O44" i="87"/>
  <c r="P44" i="87" s="1"/>
  <c r="O40" i="87"/>
  <c r="W68" i="87"/>
  <c r="O18" i="87"/>
  <c r="P18" i="87" s="1"/>
  <c r="O27" i="87"/>
  <c r="P27" i="87" s="1"/>
  <c r="O43" i="87"/>
  <c r="P43" i="87" s="1"/>
  <c r="W18" i="87"/>
  <c r="W24" i="87"/>
  <c r="W27" i="87"/>
  <c r="W34" i="87"/>
  <c r="W43" i="87"/>
  <c r="O50" i="87"/>
  <c r="P50" i="87" s="1"/>
  <c r="O88" i="87"/>
  <c r="P88" i="87" s="1"/>
  <c r="W59" i="87"/>
  <c r="O61" i="87"/>
  <c r="P61" i="87" s="1"/>
  <c r="O65" i="87"/>
  <c r="O80" i="87"/>
  <c r="P80" i="87" s="1"/>
  <c r="O96" i="87"/>
  <c r="P96" i="87" s="1"/>
  <c r="W105" i="87"/>
  <c r="W109" i="87"/>
  <c r="O104" i="87"/>
  <c r="P104" i="87" s="1"/>
  <c r="O119" i="87"/>
  <c r="W97" i="87"/>
  <c r="O59" i="87"/>
  <c r="P59" i="87" s="1"/>
  <c r="W61" i="87"/>
  <c r="W65" i="87"/>
  <c r="O72" i="87"/>
  <c r="P72" i="87" s="1"/>
  <c r="W90" i="87"/>
  <c r="O111" i="87"/>
  <c r="O120" i="87"/>
  <c r="P120" i="87" s="1"/>
  <c r="O129" i="87"/>
  <c r="P129" i="87" s="1"/>
  <c r="W67" i="87"/>
  <c r="W77" i="87"/>
  <c r="O89" i="87"/>
  <c r="P89" i="87" s="1"/>
  <c r="O110" i="87"/>
  <c r="W50" i="87"/>
  <c r="O57" i="87"/>
  <c r="O66" i="87"/>
  <c r="P66" i="87" s="1"/>
  <c r="O103" i="87"/>
  <c r="P103" i="87" s="1"/>
  <c r="W112" i="87"/>
  <c r="W116" i="87"/>
  <c r="W76" i="87"/>
  <c r="W83" i="87"/>
  <c r="O91" i="87"/>
  <c r="W94" i="87"/>
  <c r="O98" i="87"/>
  <c r="W101" i="87"/>
  <c r="O106" i="87"/>
  <c r="O113" i="87"/>
  <c r="O122" i="87"/>
  <c r="O127" i="87"/>
  <c r="O76" i="87"/>
  <c r="P76" i="87" s="1"/>
  <c r="O101" i="87"/>
  <c r="W88" i="87"/>
  <c r="W96" i="87"/>
  <c r="W103" i="87"/>
  <c r="W111" i="87"/>
  <c r="O116" i="87"/>
  <c r="P116" i="87" s="1"/>
  <c r="W119" i="87"/>
  <c r="O68" i="87"/>
  <c r="W72" i="87"/>
  <c r="O77" i="87"/>
  <c r="W80" i="87"/>
  <c r="O84" i="87"/>
  <c r="O90" i="87"/>
  <c r="P90" i="87" s="1"/>
  <c r="O97" i="87"/>
  <c r="P97" i="87" s="1"/>
  <c r="O105" i="87"/>
  <c r="P105" i="87" s="1"/>
  <c r="O112" i="87"/>
  <c r="P112" i="87" s="1"/>
  <c r="O121" i="87"/>
  <c r="P121" i="87" s="1"/>
  <c r="AE89" i="85"/>
  <c r="AE88" i="85"/>
  <c r="AE134" i="85"/>
  <c r="AD134" i="85"/>
  <c r="AC134" i="85"/>
  <c r="V134" i="85"/>
  <c r="U134" i="85"/>
  <c r="T134" i="85"/>
  <c r="S134" i="85"/>
  <c r="N134" i="85"/>
  <c r="M134" i="85"/>
  <c r="L134" i="85"/>
  <c r="K134" i="85"/>
  <c r="J134" i="85"/>
  <c r="I134" i="85"/>
  <c r="H134" i="85"/>
  <c r="G134" i="85"/>
  <c r="F134" i="85"/>
  <c r="E134" i="85"/>
  <c r="D134" i="85"/>
  <c r="C134" i="85"/>
  <c r="B134" i="85"/>
  <c r="A134" i="85"/>
  <c r="X134" i="85" s="1"/>
  <c r="AE133" i="85"/>
  <c r="AD133" i="85"/>
  <c r="AC133" i="85"/>
  <c r="V133" i="85"/>
  <c r="U133" i="85"/>
  <c r="T133" i="85"/>
  <c r="S133" i="85"/>
  <c r="J133" i="85"/>
  <c r="E133" i="85"/>
  <c r="D133" i="85"/>
  <c r="C133" i="85"/>
  <c r="B133" i="85"/>
  <c r="A133" i="85"/>
  <c r="AE132" i="85"/>
  <c r="AD132" i="85"/>
  <c r="AC132" i="85"/>
  <c r="V132" i="85"/>
  <c r="U132" i="85"/>
  <c r="T132" i="85"/>
  <c r="S132" i="85"/>
  <c r="N132" i="85"/>
  <c r="M132" i="85"/>
  <c r="L132" i="85"/>
  <c r="K132" i="85"/>
  <c r="J132" i="85"/>
  <c r="I132" i="85"/>
  <c r="H132" i="85"/>
  <c r="G132" i="85"/>
  <c r="F132" i="85"/>
  <c r="E132" i="85"/>
  <c r="D132" i="85"/>
  <c r="C132" i="85"/>
  <c r="B132" i="85"/>
  <c r="A132" i="85"/>
  <c r="AE131" i="85"/>
  <c r="AD131" i="85"/>
  <c r="AC131" i="85"/>
  <c r="V131" i="85"/>
  <c r="U131" i="85"/>
  <c r="T131" i="85"/>
  <c r="S131" i="85"/>
  <c r="J131" i="85"/>
  <c r="E131" i="85"/>
  <c r="D131" i="85"/>
  <c r="C131" i="85"/>
  <c r="B131" i="85"/>
  <c r="A131" i="85"/>
  <c r="X131" i="85" s="1"/>
  <c r="AE130" i="85"/>
  <c r="AD130" i="85"/>
  <c r="AC130" i="85"/>
  <c r="V130" i="85"/>
  <c r="U130" i="85"/>
  <c r="T130" i="85"/>
  <c r="S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A130" i="85"/>
  <c r="AE129" i="85"/>
  <c r="AD129" i="85"/>
  <c r="AC129" i="85"/>
  <c r="V129" i="85"/>
  <c r="U129" i="85"/>
  <c r="T129" i="85"/>
  <c r="S129" i="85"/>
  <c r="N129" i="85"/>
  <c r="M129" i="85"/>
  <c r="L129" i="85"/>
  <c r="K129" i="85"/>
  <c r="J129" i="85"/>
  <c r="I129" i="85"/>
  <c r="H129" i="85"/>
  <c r="G129" i="85"/>
  <c r="F129" i="85"/>
  <c r="E129" i="85"/>
  <c r="D129" i="85"/>
  <c r="C129" i="85"/>
  <c r="B129" i="85"/>
  <c r="A129" i="85"/>
  <c r="X129" i="85" s="1"/>
  <c r="AE128" i="85"/>
  <c r="AD128" i="85"/>
  <c r="AC128" i="85"/>
  <c r="V128" i="85"/>
  <c r="U128" i="85"/>
  <c r="T128" i="85"/>
  <c r="S128" i="85"/>
  <c r="N128" i="85"/>
  <c r="M128" i="85"/>
  <c r="L128" i="85"/>
  <c r="K128" i="85"/>
  <c r="J128" i="85"/>
  <c r="I128" i="85"/>
  <c r="H128" i="85"/>
  <c r="G128" i="85"/>
  <c r="F128" i="85"/>
  <c r="E128" i="85"/>
  <c r="D128" i="85"/>
  <c r="C128" i="85"/>
  <c r="B128" i="85"/>
  <c r="A128" i="85"/>
  <c r="AE127" i="85"/>
  <c r="AD127" i="85"/>
  <c r="AC127" i="85"/>
  <c r="V127" i="85"/>
  <c r="U127" i="85"/>
  <c r="T127" i="85"/>
  <c r="S127" i="85"/>
  <c r="N127" i="85"/>
  <c r="M127" i="85"/>
  <c r="L127" i="85"/>
  <c r="K127" i="85"/>
  <c r="J127" i="85"/>
  <c r="I127" i="85"/>
  <c r="H127" i="85"/>
  <c r="G127" i="85"/>
  <c r="F127" i="85"/>
  <c r="E127" i="85"/>
  <c r="D127" i="85"/>
  <c r="C127" i="85"/>
  <c r="B127" i="85"/>
  <c r="A127" i="85"/>
  <c r="X127" i="85" s="1"/>
  <c r="AE126" i="85"/>
  <c r="AD126" i="85"/>
  <c r="AC126" i="85"/>
  <c r="V126" i="85"/>
  <c r="U126" i="85"/>
  <c r="T126" i="85"/>
  <c r="S126" i="85"/>
  <c r="D126" i="85"/>
  <c r="C126" i="85"/>
  <c r="B126" i="85"/>
  <c r="A126" i="85"/>
  <c r="X126" i="85" s="1"/>
  <c r="AE125" i="85"/>
  <c r="AD125" i="85"/>
  <c r="AC125" i="85"/>
  <c r="V125" i="85"/>
  <c r="U125" i="85"/>
  <c r="T125" i="85"/>
  <c r="S125" i="85"/>
  <c r="N125" i="85"/>
  <c r="M125" i="85"/>
  <c r="L125" i="85"/>
  <c r="K125" i="85"/>
  <c r="J125" i="85"/>
  <c r="I125" i="85"/>
  <c r="H125" i="85"/>
  <c r="G125" i="85"/>
  <c r="F125" i="85"/>
  <c r="E125" i="85"/>
  <c r="D125" i="85"/>
  <c r="C125" i="85"/>
  <c r="B125" i="85"/>
  <c r="A125" i="85"/>
  <c r="AE124" i="85"/>
  <c r="AD124" i="85"/>
  <c r="AC124" i="85"/>
  <c r="V124" i="85"/>
  <c r="U124" i="85"/>
  <c r="T124" i="85"/>
  <c r="S124" i="85"/>
  <c r="N124" i="85"/>
  <c r="M124" i="85"/>
  <c r="L124" i="85"/>
  <c r="K124" i="85"/>
  <c r="J124" i="85"/>
  <c r="I124" i="85"/>
  <c r="H124" i="85"/>
  <c r="G124" i="85"/>
  <c r="F124" i="85"/>
  <c r="E124" i="85"/>
  <c r="D124" i="85"/>
  <c r="C124" i="85"/>
  <c r="B124" i="85"/>
  <c r="A124" i="85"/>
  <c r="X124" i="85" s="1"/>
  <c r="AE123" i="85"/>
  <c r="AD123" i="85"/>
  <c r="AC123" i="85"/>
  <c r="V123" i="85"/>
  <c r="U123" i="85"/>
  <c r="T123" i="85"/>
  <c r="S123" i="85"/>
  <c r="N123" i="85"/>
  <c r="M123" i="85"/>
  <c r="L123" i="85"/>
  <c r="K123" i="85"/>
  <c r="J123" i="85"/>
  <c r="I123" i="85"/>
  <c r="H123" i="85"/>
  <c r="G123" i="85"/>
  <c r="F123" i="85"/>
  <c r="E123" i="85"/>
  <c r="D123" i="85"/>
  <c r="C123" i="85"/>
  <c r="B123" i="85"/>
  <c r="A123" i="85"/>
  <c r="X123" i="85" s="1"/>
  <c r="AE122" i="85"/>
  <c r="AD122" i="85"/>
  <c r="AC122" i="85"/>
  <c r="V122" i="85"/>
  <c r="U122" i="85"/>
  <c r="T122" i="85"/>
  <c r="S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A122" i="85"/>
  <c r="AE121" i="85"/>
  <c r="AD121" i="85"/>
  <c r="AC121" i="85"/>
  <c r="V121" i="85"/>
  <c r="U121" i="85"/>
  <c r="T121" i="85"/>
  <c r="S121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X121" i="85" s="1"/>
  <c r="AE120" i="85"/>
  <c r="AD120" i="85"/>
  <c r="AC120" i="85"/>
  <c r="V120" i="85"/>
  <c r="U120" i="85"/>
  <c r="T120" i="85"/>
  <c r="S120" i="85"/>
  <c r="N120" i="85"/>
  <c r="M120" i="85"/>
  <c r="L120" i="85"/>
  <c r="K120" i="85"/>
  <c r="J120" i="85"/>
  <c r="I120" i="85"/>
  <c r="H120" i="85"/>
  <c r="G120" i="85"/>
  <c r="F120" i="85"/>
  <c r="E120" i="85"/>
  <c r="D120" i="85"/>
  <c r="C120" i="85"/>
  <c r="B120" i="85"/>
  <c r="A120" i="85"/>
  <c r="X120" i="85" s="1"/>
  <c r="AE119" i="85"/>
  <c r="AD119" i="85"/>
  <c r="AC119" i="85"/>
  <c r="V119" i="85"/>
  <c r="U119" i="85"/>
  <c r="T119" i="85"/>
  <c r="S119" i="85"/>
  <c r="N119" i="85"/>
  <c r="M119" i="85"/>
  <c r="L119" i="85"/>
  <c r="K119" i="85"/>
  <c r="J119" i="85"/>
  <c r="I119" i="85"/>
  <c r="H119" i="85"/>
  <c r="G119" i="85"/>
  <c r="F119" i="85"/>
  <c r="E119" i="85"/>
  <c r="D119" i="85"/>
  <c r="C119" i="85"/>
  <c r="B119" i="85"/>
  <c r="A119" i="85"/>
  <c r="X119" i="85" s="1"/>
  <c r="AE118" i="85"/>
  <c r="AD118" i="85"/>
  <c r="AC118" i="85"/>
  <c r="V118" i="85"/>
  <c r="U118" i="85"/>
  <c r="T118" i="85"/>
  <c r="S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A118" i="85"/>
  <c r="AE117" i="85"/>
  <c r="AD117" i="85"/>
  <c r="AC117" i="85"/>
  <c r="V117" i="85"/>
  <c r="U117" i="85"/>
  <c r="T117" i="85"/>
  <c r="S117" i="85"/>
  <c r="J117" i="85"/>
  <c r="E117" i="85"/>
  <c r="D117" i="85"/>
  <c r="C117" i="85"/>
  <c r="B117" i="85"/>
  <c r="A117" i="85"/>
  <c r="X117" i="85" s="1"/>
  <c r="AE116" i="85"/>
  <c r="AD116" i="85"/>
  <c r="AC116" i="85"/>
  <c r="V116" i="85"/>
  <c r="U116" i="85"/>
  <c r="T116" i="85"/>
  <c r="S116" i="85"/>
  <c r="N116" i="85"/>
  <c r="M116" i="85"/>
  <c r="L116" i="85"/>
  <c r="K116" i="85"/>
  <c r="J116" i="85"/>
  <c r="I116" i="85"/>
  <c r="H116" i="85"/>
  <c r="G116" i="85"/>
  <c r="F116" i="85"/>
  <c r="E116" i="85"/>
  <c r="D116" i="85"/>
  <c r="C116" i="85"/>
  <c r="B116" i="85"/>
  <c r="A116" i="85"/>
  <c r="X116" i="85" s="1"/>
  <c r="AE115" i="85"/>
  <c r="AD115" i="85"/>
  <c r="AC115" i="85"/>
  <c r="V115" i="85"/>
  <c r="U115" i="85"/>
  <c r="T115" i="85"/>
  <c r="S115" i="85"/>
  <c r="J115" i="85"/>
  <c r="E115" i="85"/>
  <c r="D115" i="85"/>
  <c r="C115" i="85"/>
  <c r="B115" i="85"/>
  <c r="A115" i="85"/>
  <c r="X115" i="85" s="1"/>
  <c r="AE114" i="85"/>
  <c r="AD114" i="85"/>
  <c r="AC114" i="85"/>
  <c r="V114" i="85"/>
  <c r="U114" i="85"/>
  <c r="T114" i="85"/>
  <c r="S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A114" i="85"/>
  <c r="X114" i="85" s="1"/>
  <c r="AE113" i="85"/>
  <c r="AD113" i="85"/>
  <c r="AC113" i="85"/>
  <c r="V113" i="85"/>
  <c r="U113" i="85"/>
  <c r="T113" i="85"/>
  <c r="S113" i="85"/>
  <c r="N113" i="85"/>
  <c r="M113" i="85"/>
  <c r="L113" i="85"/>
  <c r="K113" i="85"/>
  <c r="J113" i="85"/>
  <c r="I113" i="85"/>
  <c r="H113" i="85"/>
  <c r="G113" i="85"/>
  <c r="F113" i="85"/>
  <c r="E113" i="85"/>
  <c r="D113" i="85"/>
  <c r="C113" i="85"/>
  <c r="B113" i="85"/>
  <c r="A113" i="85"/>
  <c r="AE112" i="85"/>
  <c r="AD112" i="85"/>
  <c r="AC112" i="85"/>
  <c r="V112" i="85"/>
  <c r="U112" i="85"/>
  <c r="T112" i="85"/>
  <c r="S112" i="85"/>
  <c r="N112" i="85"/>
  <c r="M112" i="85"/>
  <c r="L112" i="85"/>
  <c r="K112" i="85"/>
  <c r="J112" i="85"/>
  <c r="I112" i="85"/>
  <c r="H112" i="85"/>
  <c r="G112" i="85"/>
  <c r="F112" i="85"/>
  <c r="E112" i="85"/>
  <c r="D112" i="85"/>
  <c r="C112" i="85"/>
  <c r="B112" i="85"/>
  <c r="A112" i="85"/>
  <c r="X112" i="85" s="1"/>
  <c r="AE111" i="85"/>
  <c r="AD111" i="85"/>
  <c r="AC111" i="85"/>
  <c r="V111" i="85"/>
  <c r="U111" i="85"/>
  <c r="T111" i="85"/>
  <c r="S111" i="85"/>
  <c r="N111" i="85"/>
  <c r="M111" i="85"/>
  <c r="L111" i="85"/>
  <c r="K111" i="85"/>
  <c r="J111" i="85"/>
  <c r="I111" i="85"/>
  <c r="H111" i="85"/>
  <c r="G111" i="85"/>
  <c r="F111" i="85"/>
  <c r="E111" i="85"/>
  <c r="D111" i="85"/>
  <c r="C111" i="85"/>
  <c r="B111" i="85"/>
  <c r="A111" i="85"/>
  <c r="X111" i="85" s="1"/>
  <c r="AE110" i="85"/>
  <c r="AD110" i="85"/>
  <c r="AC110" i="85"/>
  <c r="V110" i="85"/>
  <c r="U110" i="85"/>
  <c r="T110" i="85"/>
  <c r="S110" i="85"/>
  <c r="D110" i="85"/>
  <c r="C110" i="85"/>
  <c r="B110" i="85"/>
  <c r="A110" i="85"/>
  <c r="AE109" i="85"/>
  <c r="AD109" i="85"/>
  <c r="AC109" i="85"/>
  <c r="V109" i="85"/>
  <c r="U109" i="85"/>
  <c r="T109" i="85"/>
  <c r="S109" i="85"/>
  <c r="N109" i="85"/>
  <c r="M109" i="85"/>
  <c r="L109" i="85"/>
  <c r="K109" i="85"/>
  <c r="J109" i="85"/>
  <c r="I109" i="85"/>
  <c r="H109" i="85"/>
  <c r="G109" i="85"/>
  <c r="F109" i="85"/>
  <c r="E109" i="85"/>
  <c r="D109" i="85"/>
  <c r="C109" i="85"/>
  <c r="B109" i="85"/>
  <c r="A109" i="85"/>
  <c r="X109" i="85" s="1"/>
  <c r="AE108" i="85"/>
  <c r="AD108" i="85"/>
  <c r="AC108" i="85"/>
  <c r="V108" i="85"/>
  <c r="U108" i="85"/>
  <c r="T108" i="85"/>
  <c r="S108" i="85"/>
  <c r="N108" i="85"/>
  <c r="M108" i="85"/>
  <c r="L108" i="85"/>
  <c r="K108" i="85"/>
  <c r="J108" i="85"/>
  <c r="I108" i="85"/>
  <c r="H108" i="85"/>
  <c r="G108" i="85"/>
  <c r="F108" i="85"/>
  <c r="E108" i="85"/>
  <c r="D108" i="85"/>
  <c r="C108" i="85"/>
  <c r="B108" i="85"/>
  <c r="A108" i="85"/>
  <c r="X108" i="85" s="1"/>
  <c r="AE107" i="85"/>
  <c r="AD107" i="85"/>
  <c r="AC107" i="85"/>
  <c r="V107" i="85"/>
  <c r="U107" i="85"/>
  <c r="T107" i="85"/>
  <c r="S107" i="85"/>
  <c r="N107" i="85"/>
  <c r="M107" i="85"/>
  <c r="L107" i="85"/>
  <c r="K107" i="85"/>
  <c r="J107" i="85"/>
  <c r="I107" i="85"/>
  <c r="H107" i="85"/>
  <c r="G107" i="85"/>
  <c r="F107" i="85"/>
  <c r="E107" i="85"/>
  <c r="D107" i="85"/>
  <c r="C107" i="85"/>
  <c r="B107" i="85"/>
  <c r="A107" i="85"/>
  <c r="X107" i="85" s="1"/>
  <c r="AE106" i="85"/>
  <c r="AD106" i="85"/>
  <c r="AC106" i="85"/>
  <c r="V106" i="85"/>
  <c r="U106" i="85"/>
  <c r="T106" i="85"/>
  <c r="S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A106" i="85"/>
  <c r="X106" i="85" s="1"/>
  <c r="AE105" i="85"/>
  <c r="AD105" i="85"/>
  <c r="AC105" i="85"/>
  <c r="V105" i="85"/>
  <c r="U105" i="85"/>
  <c r="T105" i="85"/>
  <c r="S105" i="85"/>
  <c r="N105" i="85"/>
  <c r="M105" i="85"/>
  <c r="L105" i="85"/>
  <c r="K105" i="85"/>
  <c r="J105" i="85"/>
  <c r="I105" i="85"/>
  <c r="H105" i="85"/>
  <c r="G105" i="85"/>
  <c r="F105" i="85"/>
  <c r="E105" i="85"/>
  <c r="D105" i="85"/>
  <c r="C105" i="85"/>
  <c r="B105" i="85"/>
  <c r="A105" i="85"/>
  <c r="X105" i="85" s="1"/>
  <c r="AE104" i="85"/>
  <c r="AD104" i="85"/>
  <c r="AC104" i="85"/>
  <c r="V104" i="85"/>
  <c r="U104" i="85"/>
  <c r="T104" i="85"/>
  <c r="S104" i="85"/>
  <c r="N104" i="85"/>
  <c r="M104" i="85"/>
  <c r="L104" i="85"/>
  <c r="K104" i="85"/>
  <c r="J104" i="85"/>
  <c r="I104" i="85"/>
  <c r="H104" i="85"/>
  <c r="G104" i="85"/>
  <c r="F104" i="85"/>
  <c r="E104" i="85"/>
  <c r="D104" i="85"/>
  <c r="C104" i="85"/>
  <c r="B104" i="85"/>
  <c r="A104" i="85"/>
  <c r="X104" i="85" s="1"/>
  <c r="AE103" i="85"/>
  <c r="AD103" i="85"/>
  <c r="AC103" i="85"/>
  <c r="V103" i="85"/>
  <c r="U103" i="85"/>
  <c r="T103" i="85"/>
  <c r="S103" i="85"/>
  <c r="N103" i="85"/>
  <c r="M103" i="85"/>
  <c r="L103" i="85"/>
  <c r="K103" i="85"/>
  <c r="J103" i="85"/>
  <c r="I103" i="85"/>
  <c r="H103" i="85"/>
  <c r="G103" i="85"/>
  <c r="F103" i="85"/>
  <c r="E103" i="85"/>
  <c r="D103" i="85"/>
  <c r="C103" i="85"/>
  <c r="B103" i="85"/>
  <c r="A103" i="85"/>
  <c r="AE102" i="85"/>
  <c r="AD102" i="85"/>
  <c r="AC102" i="85"/>
  <c r="V102" i="85"/>
  <c r="U102" i="85"/>
  <c r="T102" i="85"/>
  <c r="S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A102" i="85"/>
  <c r="X102" i="85" s="1"/>
  <c r="AE101" i="85"/>
  <c r="AD101" i="85"/>
  <c r="AC101" i="85"/>
  <c r="V101" i="85"/>
  <c r="U101" i="85"/>
  <c r="T101" i="85"/>
  <c r="S101" i="85"/>
  <c r="J101" i="85"/>
  <c r="E101" i="85"/>
  <c r="D101" i="85"/>
  <c r="C101" i="85"/>
  <c r="B101" i="85"/>
  <c r="A101" i="85"/>
  <c r="X101" i="85" s="1"/>
  <c r="AE100" i="85"/>
  <c r="AD100" i="85"/>
  <c r="AC100" i="85"/>
  <c r="V100" i="85"/>
  <c r="U100" i="85"/>
  <c r="T100" i="85"/>
  <c r="S100" i="85"/>
  <c r="N100" i="85"/>
  <c r="M100" i="85"/>
  <c r="L100" i="85"/>
  <c r="K100" i="85"/>
  <c r="J100" i="85"/>
  <c r="I100" i="85"/>
  <c r="H100" i="85"/>
  <c r="G100" i="85"/>
  <c r="F100" i="85"/>
  <c r="E100" i="85"/>
  <c r="D100" i="85"/>
  <c r="C100" i="85"/>
  <c r="B100" i="85"/>
  <c r="A100" i="85"/>
  <c r="AE99" i="85"/>
  <c r="AD99" i="85"/>
  <c r="AC99" i="85"/>
  <c r="V99" i="85"/>
  <c r="U99" i="85"/>
  <c r="T99" i="85"/>
  <c r="S99" i="85"/>
  <c r="J99" i="85"/>
  <c r="E99" i="85"/>
  <c r="D99" i="85"/>
  <c r="C99" i="85"/>
  <c r="B99" i="85"/>
  <c r="A99" i="85"/>
  <c r="X99" i="85" s="1"/>
  <c r="AE98" i="85"/>
  <c r="AD98" i="85"/>
  <c r="AC98" i="85"/>
  <c r="V98" i="85"/>
  <c r="U98" i="85"/>
  <c r="T98" i="85"/>
  <c r="S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A98" i="85"/>
  <c r="X98" i="85" s="1"/>
  <c r="AE97" i="85"/>
  <c r="AD97" i="85"/>
  <c r="AC97" i="85"/>
  <c r="V97" i="85"/>
  <c r="U97" i="85"/>
  <c r="T97" i="85"/>
  <c r="S97" i="85"/>
  <c r="N97" i="85"/>
  <c r="M97" i="85"/>
  <c r="L97" i="85"/>
  <c r="K97" i="85"/>
  <c r="J97" i="85"/>
  <c r="I97" i="85"/>
  <c r="H97" i="85"/>
  <c r="G97" i="85"/>
  <c r="F97" i="85"/>
  <c r="E97" i="85"/>
  <c r="D97" i="85"/>
  <c r="C97" i="85"/>
  <c r="B97" i="85"/>
  <c r="A97" i="85"/>
  <c r="X97" i="85" s="1"/>
  <c r="AE96" i="85"/>
  <c r="AD96" i="85"/>
  <c r="AC96" i="85"/>
  <c r="V96" i="85"/>
  <c r="U96" i="85"/>
  <c r="T96" i="85"/>
  <c r="S96" i="85"/>
  <c r="N96" i="85"/>
  <c r="M96" i="85"/>
  <c r="L96" i="85"/>
  <c r="K96" i="85"/>
  <c r="J96" i="85"/>
  <c r="I96" i="85"/>
  <c r="H96" i="85"/>
  <c r="G96" i="85"/>
  <c r="F96" i="85"/>
  <c r="E96" i="85"/>
  <c r="D96" i="85"/>
  <c r="C96" i="85"/>
  <c r="B96" i="85"/>
  <c r="A96" i="85"/>
  <c r="X96" i="85" s="1"/>
  <c r="AE95" i="85"/>
  <c r="AD95" i="85"/>
  <c r="AC95" i="85"/>
  <c r="V95" i="85"/>
  <c r="U95" i="85"/>
  <c r="T95" i="85"/>
  <c r="S95" i="85"/>
  <c r="N95" i="85"/>
  <c r="M95" i="85"/>
  <c r="L95" i="85"/>
  <c r="K95" i="85"/>
  <c r="J95" i="85"/>
  <c r="I95" i="85"/>
  <c r="H95" i="85"/>
  <c r="G95" i="85"/>
  <c r="F95" i="85"/>
  <c r="E95" i="85"/>
  <c r="D95" i="85"/>
  <c r="C95" i="85"/>
  <c r="B95" i="85"/>
  <c r="A95" i="85"/>
  <c r="AE94" i="85"/>
  <c r="AD94" i="85"/>
  <c r="AC94" i="85"/>
  <c r="V94" i="85"/>
  <c r="U94" i="85"/>
  <c r="T94" i="85"/>
  <c r="S94" i="85"/>
  <c r="D94" i="85"/>
  <c r="C94" i="85"/>
  <c r="B94" i="85"/>
  <c r="A94" i="85"/>
  <c r="X94" i="85" s="1"/>
  <c r="AE93" i="85"/>
  <c r="AD93" i="85"/>
  <c r="AC93" i="85"/>
  <c r="V93" i="85"/>
  <c r="U93" i="85"/>
  <c r="T93" i="85"/>
  <c r="S93" i="85"/>
  <c r="N93" i="85"/>
  <c r="M93" i="85"/>
  <c r="L93" i="85"/>
  <c r="K93" i="85"/>
  <c r="J93" i="85"/>
  <c r="I93" i="85"/>
  <c r="H93" i="85"/>
  <c r="G93" i="85"/>
  <c r="F93" i="85"/>
  <c r="E93" i="85"/>
  <c r="D93" i="85"/>
  <c r="C93" i="85"/>
  <c r="B93" i="85"/>
  <c r="A93" i="85"/>
  <c r="X93" i="85" s="1"/>
  <c r="AE92" i="85"/>
  <c r="AD92" i="85"/>
  <c r="AC92" i="85"/>
  <c r="V92" i="85"/>
  <c r="U92" i="85"/>
  <c r="T92" i="85"/>
  <c r="S92" i="85"/>
  <c r="N92" i="85"/>
  <c r="M92" i="85"/>
  <c r="L92" i="85"/>
  <c r="K92" i="85"/>
  <c r="J92" i="85"/>
  <c r="I92" i="85"/>
  <c r="H92" i="85"/>
  <c r="G92" i="85"/>
  <c r="F92" i="85"/>
  <c r="E92" i="85"/>
  <c r="D92" i="85"/>
  <c r="C92" i="85"/>
  <c r="B92" i="85"/>
  <c r="A92" i="85"/>
  <c r="AE91" i="85"/>
  <c r="AD91" i="85"/>
  <c r="AC91" i="85"/>
  <c r="V91" i="85"/>
  <c r="U91" i="85"/>
  <c r="T91" i="85"/>
  <c r="S91" i="85"/>
  <c r="N91" i="85"/>
  <c r="M91" i="85"/>
  <c r="L91" i="85"/>
  <c r="K91" i="85"/>
  <c r="J91" i="85"/>
  <c r="I91" i="85"/>
  <c r="H91" i="85"/>
  <c r="G91" i="85"/>
  <c r="F91" i="85"/>
  <c r="E91" i="85"/>
  <c r="D91" i="85"/>
  <c r="C91" i="85"/>
  <c r="B91" i="85"/>
  <c r="A91" i="85"/>
  <c r="X91" i="85" s="1"/>
  <c r="AE90" i="85"/>
  <c r="AD90" i="85"/>
  <c r="AC90" i="85"/>
  <c r="V90" i="85"/>
  <c r="U90" i="85"/>
  <c r="T90" i="85"/>
  <c r="S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A90" i="85"/>
  <c r="X90" i="85" s="1"/>
  <c r="AD89" i="85"/>
  <c r="AC89" i="85"/>
  <c r="V89" i="85"/>
  <c r="U89" i="85"/>
  <c r="T89" i="85"/>
  <c r="S89" i="85"/>
  <c r="N89" i="85"/>
  <c r="M89" i="85"/>
  <c r="L89" i="85"/>
  <c r="K89" i="85"/>
  <c r="J89" i="85"/>
  <c r="I89" i="85"/>
  <c r="H89" i="85"/>
  <c r="G89" i="85"/>
  <c r="F89" i="85"/>
  <c r="E89" i="85"/>
  <c r="D89" i="85"/>
  <c r="C89" i="85"/>
  <c r="B89" i="85"/>
  <c r="A89" i="85"/>
  <c r="X89" i="85" s="1"/>
  <c r="AD88" i="85"/>
  <c r="AC88" i="85"/>
  <c r="V88" i="85"/>
  <c r="U88" i="85"/>
  <c r="T88" i="85"/>
  <c r="S88" i="85"/>
  <c r="N88" i="85"/>
  <c r="M88" i="85"/>
  <c r="L88" i="85"/>
  <c r="K88" i="85"/>
  <c r="J88" i="85"/>
  <c r="I88" i="85"/>
  <c r="H88" i="85"/>
  <c r="G88" i="85"/>
  <c r="F88" i="85"/>
  <c r="E88" i="85"/>
  <c r="D88" i="85"/>
  <c r="C88" i="85"/>
  <c r="B88" i="85"/>
  <c r="A88" i="85"/>
  <c r="X88" i="85" s="1"/>
  <c r="AE87" i="85"/>
  <c r="AD87" i="85"/>
  <c r="AC87" i="85"/>
  <c r="V87" i="85"/>
  <c r="U87" i="85"/>
  <c r="T87" i="85"/>
  <c r="S87" i="85"/>
  <c r="N87" i="85"/>
  <c r="K87" i="85"/>
  <c r="J87" i="85"/>
  <c r="I87" i="85"/>
  <c r="H87" i="85"/>
  <c r="G87" i="85"/>
  <c r="F87" i="85"/>
  <c r="E87" i="85"/>
  <c r="D87" i="85"/>
  <c r="C87" i="85"/>
  <c r="B87" i="85"/>
  <c r="A87" i="85"/>
  <c r="X87" i="85" s="1"/>
  <c r="AE86" i="85"/>
  <c r="AD86" i="85"/>
  <c r="AC86" i="85"/>
  <c r="V86" i="85"/>
  <c r="U86" i="85"/>
  <c r="T86" i="85"/>
  <c r="S86" i="85"/>
  <c r="J86" i="85"/>
  <c r="E86" i="85"/>
  <c r="D86" i="85"/>
  <c r="C86" i="85"/>
  <c r="B86" i="85"/>
  <c r="A86" i="85"/>
  <c r="X86" i="85" s="1"/>
  <c r="AE85" i="85"/>
  <c r="AD85" i="85"/>
  <c r="AC85" i="85"/>
  <c r="V85" i="85"/>
  <c r="U85" i="85"/>
  <c r="T85" i="85"/>
  <c r="S85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X85" i="85" s="1"/>
  <c r="AE84" i="85"/>
  <c r="AD84" i="85"/>
  <c r="AC84" i="85"/>
  <c r="V84" i="85"/>
  <c r="U84" i="85"/>
  <c r="T84" i="85"/>
  <c r="S84" i="85"/>
  <c r="J84" i="85"/>
  <c r="E84" i="85"/>
  <c r="D84" i="85"/>
  <c r="C84" i="85"/>
  <c r="B84" i="85"/>
  <c r="A84" i="85"/>
  <c r="X84" i="85" s="1"/>
  <c r="AE83" i="85"/>
  <c r="AD83" i="85"/>
  <c r="AC83" i="85"/>
  <c r="V83" i="85"/>
  <c r="U83" i="85"/>
  <c r="T83" i="85"/>
  <c r="S83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AE82" i="85"/>
  <c r="AD82" i="85"/>
  <c r="AC82" i="85"/>
  <c r="V82" i="85"/>
  <c r="U82" i="85"/>
  <c r="T82" i="85"/>
  <c r="S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A82" i="85"/>
  <c r="X82" i="85" s="1"/>
  <c r="AE81" i="85"/>
  <c r="AD81" i="85"/>
  <c r="AC81" i="85"/>
  <c r="V81" i="85"/>
  <c r="U81" i="85"/>
  <c r="T81" i="85"/>
  <c r="S81" i="85"/>
  <c r="N81" i="85"/>
  <c r="M81" i="85"/>
  <c r="L81" i="85"/>
  <c r="K81" i="85"/>
  <c r="J81" i="85"/>
  <c r="I81" i="85"/>
  <c r="H81" i="85"/>
  <c r="G81" i="85"/>
  <c r="F81" i="85"/>
  <c r="E81" i="85"/>
  <c r="D81" i="85"/>
  <c r="C81" i="85"/>
  <c r="B81" i="85"/>
  <c r="A81" i="85"/>
  <c r="X81" i="85" s="1"/>
  <c r="AE80" i="85"/>
  <c r="AD80" i="85"/>
  <c r="AC80" i="85"/>
  <c r="V80" i="85"/>
  <c r="U80" i="85"/>
  <c r="T80" i="85"/>
  <c r="S80" i="85"/>
  <c r="N80" i="85"/>
  <c r="M80" i="85"/>
  <c r="L80" i="85"/>
  <c r="K80" i="85"/>
  <c r="J80" i="85"/>
  <c r="I80" i="85"/>
  <c r="H80" i="85"/>
  <c r="G80" i="85"/>
  <c r="F80" i="85"/>
  <c r="E80" i="85"/>
  <c r="D80" i="85"/>
  <c r="C80" i="85"/>
  <c r="B80" i="85"/>
  <c r="A80" i="85"/>
  <c r="X80" i="85" s="1"/>
  <c r="AE79" i="85"/>
  <c r="AD79" i="85"/>
  <c r="AC79" i="85"/>
  <c r="V79" i="85"/>
  <c r="U79" i="85"/>
  <c r="T79" i="85"/>
  <c r="S79" i="85"/>
  <c r="N79" i="85"/>
  <c r="M79" i="85"/>
  <c r="L79" i="85"/>
  <c r="K79" i="85"/>
  <c r="J79" i="85"/>
  <c r="I79" i="85"/>
  <c r="H79" i="85"/>
  <c r="G79" i="85"/>
  <c r="F79" i="85"/>
  <c r="E79" i="85"/>
  <c r="D79" i="85"/>
  <c r="C79" i="85"/>
  <c r="B79" i="85"/>
  <c r="A79" i="85"/>
  <c r="X79" i="85" s="1"/>
  <c r="AE78" i="85"/>
  <c r="AD78" i="85"/>
  <c r="AC78" i="85"/>
  <c r="V78" i="85"/>
  <c r="U78" i="85"/>
  <c r="T78" i="85"/>
  <c r="S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A78" i="85"/>
  <c r="X78" i="85" s="1"/>
  <c r="AE77" i="85"/>
  <c r="AD77" i="85"/>
  <c r="AC77" i="85"/>
  <c r="V77" i="85"/>
  <c r="U77" i="85"/>
  <c r="T77" i="85"/>
  <c r="S77" i="85"/>
  <c r="N77" i="85"/>
  <c r="M77" i="85"/>
  <c r="L77" i="85"/>
  <c r="K77" i="85"/>
  <c r="J77" i="85"/>
  <c r="I77" i="85"/>
  <c r="H77" i="85"/>
  <c r="G77" i="85"/>
  <c r="F77" i="85"/>
  <c r="E77" i="85"/>
  <c r="D77" i="85"/>
  <c r="C77" i="85"/>
  <c r="B77" i="85"/>
  <c r="A77" i="85"/>
  <c r="X77" i="85" s="1"/>
  <c r="AE76" i="85"/>
  <c r="AD76" i="85"/>
  <c r="AC76" i="85"/>
  <c r="V76" i="85"/>
  <c r="U76" i="85"/>
  <c r="T76" i="85"/>
  <c r="S76" i="85"/>
  <c r="N76" i="85"/>
  <c r="M76" i="85"/>
  <c r="L76" i="85"/>
  <c r="K76" i="85"/>
  <c r="J76" i="85"/>
  <c r="I76" i="85"/>
  <c r="H76" i="85"/>
  <c r="G76" i="85"/>
  <c r="F76" i="85"/>
  <c r="E76" i="85"/>
  <c r="D76" i="85"/>
  <c r="C76" i="85"/>
  <c r="B76" i="85"/>
  <c r="A76" i="85"/>
  <c r="X76" i="85" s="1"/>
  <c r="AE75" i="85"/>
  <c r="AD75" i="85"/>
  <c r="AC75" i="85"/>
  <c r="V75" i="85"/>
  <c r="U75" i="85"/>
  <c r="T75" i="85"/>
  <c r="S75" i="85"/>
  <c r="N75" i="85"/>
  <c r="M75" i="85"/>
  <c r="L75" i="85"/>
  <c r="K75" i="85"/>
  <c r="J75" i="85"/>
  <c r="I75" i="85"/>
  <c r="H75" i="85"/>
  <c r="G75" i="85"/>
  <c r="F75" i="85"/>
  <c r="E75" i="85"/>
  <c r="D75" i="85"/>
  <c r="C75" i="85"/>
  <c r="B75" i="85"/>
  <c r="A75" i="85"/>
  <c r="AE74" i="85"/>
  <c r="AD74" i="85"/>
  <c r="AC74" i="85"/>
  <c r="V74" i="85"/>
  <c r="U74" i="85"/>
  <c r="T74" i="85"/>
  <c r="S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A74" i="85"/>
  <c r="X74" i="85" s="1"/>
  <c r="AE73" i="85"/>
  <c r="AD73" i="85"/>
  <c r="AC73" i="85"/>
  <c r="V73" i="85"/>
  <c r="U73" i="85"/>
  <c r="T73" i="85"/>
  <c r="S73" i="85"/>
  <c r="N73" i="85"/>
  <c r="M73" i="85"/>
  <c r="L73" i="85"/>
  <c r="K73" i="85"/>
  <c r="J73" i="85"/>
  <c r="I73" i="85"/>
  <c r="H73" i="85"/>
  <c r="G73" i="85"/>
  <c r="F73" i="85"/>
  <c r="E73" i="85"/>
  <c r="D73" i="85"/>
  <c r="C73" i="85"/>
  <c r="B73" i="85"/>
  <c r="A73" i="85"/>
  <c r="X73" i="85" s="1"/>
  <c r="AE72" i="85"/>
  <c r="AD72" i="85"/>
  <c r="AC72" i="85"/>
  <c r="V72" i="85"/>
  <c r="U72" i="85"/>
  <c r="T72" i="85"/>
  <c r="S72" i="85"/>
  <c r="N72" i="85"/>
  <c r="M72" i="85"/>
  <c r="L72" i="85"/>
  <c r="K72" i="85"/>
  <c r="J72" i="85"/>
  <c r="I72" i="85"/>
  <c r="H72" i="85"/>
  <c r="G72" i="85"/>
  <c r="F72" i="85"/>
  <c r="E72" i="85"/>
  <c r="D72" i="85"/>
  <c r="C72" i="85"/>
  <c r="B72" i="85"/>
  <c r="A72" i="85"/>
  <c r="X72" i="85" s="1"/>
  <c r="AE71" i="85"/>
  <c r="AD71" i="85"/>
  <c r="AC71" i="85"/>
  <c r="V71" i="85"/>
  <c r="U71" i="85"/>
  <c r="T71" i="85"/>
  <c r="S71" i="85"/>
  <c r="N71" i="85"/>
  <c r="M71" i="85"/>
  <c r="L71" i="85"/>
  <c r="K71" i="85"/>
  <c r="J71" i="85"/>
  <c r="I71" i="85"/>
  <c r="H71" i="85"/>
  <c r="G71" i="85"/>
  <c r="F71" i="85"/>
  <c r="E71" i="85"/>
  <c r="D71" i="85"/>
  <c r="C71" i="85"/>
  <c r="B71" i="85"/>
  <c r="A71" i="85"/>
  <c r="X71" i="85" s="1"/>
  <c r="AE70" i="85"/>
  <c r="AD70" i="85"/>
  <c r="AC70" i="85"/>
  <c r="V70" i="85"/>
  <c r="U70" i="85"/>
  <c r="T70" i="85"/>
  <c r="S70" i="85"/>
  <c r="J70" i="85"/>
  <c r="E70" i="85"/>
  <c r="D70" i="85"/>
  <c r="C70" i="85"/>
  <c r="B70" i="85"/>
  <c r="A70" i="85"/>
  <c r="X70" i="85" s="1"/>
  <c r="AE69" i="85"/>
  <c r="AD69" i="85"/>
  <c r="AC69" i="85"/>
  <c r="V69" i="85"/>
  <c r="U69" i="85"/>
  <c r="T69" i="85"/>
  <c r="S69" i="85"/>
  <c r="N69" i="85"/>
  <c r="M69" i="85"/>
  <c r="L69" i="85"/>
  <c r="K69" i="85"/>
  <c r="J69" i="85"/>
  <c r="I69" i="85"/>
  <c r="H69" i="85"/>
  <c r="G69" i="85"/>
  <c r="F69" i="85"/>
  <c r="E69" i="85"/>
  <c r="D69" i="85"/>
  <c r="C69" i="85"/>
  <c r="B69" i="85"/>
  <c r="A69" i="85"/>
  <c r="X69" i="85" s="1"/>
  <c r="AE68" i="85"/>
  <c r="AD68" i="85"/>
  <c r="AC68" i="85"/>
  <c r="V68" i="85"/>
  <c r="U68" i="85"/>
  <c r="T68" i="85"/>
  <c r="S68" i="85"/>
  <c r="J68" i="85"/>
  <c r="E68" i="85"/>
  <c r="D68" i="85"/>
  <c r="C68" i="85"/>
  <c r="B68" i="85"/>
  <c r="A68" i="85"/>
  <c r="X68" i="85" s="1"/>
  <c r="AE67" i="85"/>
  <c r="AD67" i="85"/>
  <c r="AC67" i="85"/>
  <c r="V67" i="85"/>
  <c r="U67" i="85"/>
  <c r="T67" i="85"/>
  <c r="S67" i="85"/>
  <c r="N67" i="85"/>
  <c r="M67" i="85"/>
  <c r="L67" i="85"/>
  <c r="K67" i="85"/>
  <c r="J67" i="85"/>
  <c r="I67" i="85"/>
  <c r="H67" i="85"/>
  <c r="G67" i="85"/>
  <c r="F67" i="85"/>
  <c r="E67" i="85"/>
  <c r="D67" i="85"/>
  <c r="C67" i="85"/>
  <c r="B67" i="85"/>
  <c r="A67" i="85"/>
  <c r="X67" i="85" s="1"/>
  <c r="AE66" i="85"/>
  <c r="AD66" i="85"/>
  <c r="AC66" i="85"/>
  <c r="V66" i="85"/>
  <c r="U66" i="85"/>
  <c r="T66" i="85"/>
  <c r="S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A66" i="85"/>
  <c r="X66" i="85" s="1"/>
  <c r="AE65" i="85"/>
  <c r="AD65" i="85"/>
  <c r="AC65" i="85"/>
  <c r="V65" i="85"/>
  <c r="U65" i="85"/>
  <c r="T65" i="85"/>
  <c r="S65" i="85"/>
  <c r="N65" i="85"/>
  <c r="M65" i="85"/>
  <c r="L65" i="85"/>
  <c r="K65" i="85"/>
  <c r="J65" i="85"/>
  <c r="I65" i="85"/>
  <c r="H65" i="85"/>
  <c r="G65" i="85"/>
  <c r="F65" i="85"/>
  <c r="E65" i="85"/>
  <c r="D65" i="85"/>
  <c r="C65" i="85"/>
  <c r="B65" i="85"/>
  <c r="A65" i="85"/>
  <c r="X65" i="85" s="1"/>
  <c r="AE64" i="85"/>
  <c r="AD64" i="85"/>
  <c r="AC64" i="85"/>
  <c r="V64" i="85"/>
  <c r="U64" i="85"/>
  <c r="T64" i="85"/>
  <c r="S64" i="85"/>
  <c r="N64" i="85"/>
  <c r="M64" i="85"/>
  <c r="L64" i="85"/>
  <c r="K64" i="85"/>
  <c r="J64" i="85"/>
  <c r="I64" i="85"/>
  <c r="H64" i="85"/>
  <c r="G64" i="85"/>
  <c r="F64" i="85"/>
  <c r="E64" i="85"/>
  <c r="D64" i="85"/>
  <c r="C64" i="85"/>
  <c r="B64" i="85"/>
  <c r="A64" i="85"/>
  <c r="X64" i="85" s="1"/>
  <c r="AE63" i="85"/>
  <c r="AD63" i="85"/>
  <c r="AC63" i="85"/>
  <c r="V63" i="85"/>
  <c r="U63" i="85"/>
  <c r="T63" i="85"/>
  <c r="S63" i="85"/>
  <c r="N63" i="85"/>
  <c r="M63" i="85"/>
  <c r="L63" i="85"/>
  <c r="K63" i="85"/>
  <c r="J63" i="85"/>
  <c r="I63" i="85"/>
  <c r="H63" i="85"/>
  <c r="G63" i="85"/>
  <c r="F63" i="85"/>
  <c r="E63" i="85"/>
  <c r="D63" i="85"/>
  <c r="C63" i="85"/>
  <c r="B63" i="85"/>
  <c r="A63" i="85"/>
  <c r="X63" i="85" s="1"/>
  <c r="AE62" i="85"/>
  <c r="AD62" i="85"/>
  <c r="AC62" i="85"/>
  <c r="V62" i="85"/>
  <c r="U62" i="85"/>
  <c r="T62" i="85"/>
  <c r="S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A62" i="85"/>
  <c r="X62" i="85" s="1"/>
  <c r="AE61" i="85"/>
  <c r="AD61" i="85"/>
  <c r="AC61" i="85"/>
  <c r="V61" i="85"/>
  <c r="U61" i="85"/>
  <c r="T61" i="85"/>
  <c r="S61" i="85"/>
  <c r="N61" i="85"/>
  <c r="M61" i="85"/>
  <c r="L61" i="85"/>
  <c r="K61" i="85"/>
  <c r="J61" i="85"/>
  <c r="I61" i="85"/>
  <c r="H61" i="85"/>
  <c r="G61" i="85"/>
  <c r="F61" i="85"/>
  <c r="E61" i="85"/>
  <c r="D61" i="85"/>
  <c r="C61" i="85"/>
  <c r="B61" i="85"/>
  <c r="A61" i="85"/>
  <c r="X61" i="85" s="1"/>
  <c r="AE60" i="85"/>
  <c r="AD60" i="85"/>
  <c r="AC60" i="85"/>
  <c r="V60" i="85"/>
  <c r="U60" i="85"/>
  <c r="T60" i="85"/>
  <c r="S60" i="85"/>
  <c r="N60" i="85"/>
  <c r="M60" i="85"/>
  <c r="L60" i="85"/>
  <c r="K60" i="85"/>
  <c r="J60" i="85"/>
  <c r="I60" i="85"/>
  <c r="H60" i="85"/>
  <c r="G60" i="85"/>
  <c r="F60" i="85"/>
  <c r="E60" i="85"/>
  <c r="D60" i="85"/>
  <c r="C60" i="85"/>
  <c r="B60" i="85"/>
  <c r="A60" i="85"/>
  <c r="X60" i="85" s="1"/>
  <c r="AE59" i="85"/>
  <c r="AD59" i="85"/>
  <c r="AC59" i="85"/>
  <c r="V59" i="85"/>
  <c r="U59" i="85"/>
  <c r="T59" i="85"/>
  <c r="S59" i="85"/>
  <c r="N59" i="85"/>
  <c r="M59" i="85"/>
  <c r="L59" i="85"/>
  <c r="K59" i="85"/>
  <c r="J59" i="85"/>
  <c r="I59" i="85"/>
  <c r="H59" i="85"/>
  <c r="G59" i="85"/>
  <c r="F59" i="85"/>
  <c r="E59" i="85"/>
  <c r="D59" i="85"/>
  <c r="C59" i="85"/>
  <c r="B59" i="85"/>
  <c r="A59" i="85"/>
  <c r="X59" i="85" s="1"/>
  <c r="AE58" i="85"/>
  <c r="AD58" i="85"/>
  <c r="AC58" i="85"/>
  <c r="V58" i="85"/>
  <c r="U58" i="85"/>
  <c r="T58" i="85"/>
  <c r="S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A58" i="85"/>
  <c r="X58" i="85" s="1"/>
  <c r="AE57" i="85"/>
  <c r="AD57" i="85"/>
  <c r="AC57" i="85"/>
  <c r="V57" i="85"/>
  <c r="U57" i="85"/>
  <c r="T57" i="85"/>
  <c r="S57" i="85"/>
  <c r="N57" i="85"/>
  <c r="M57" i="85"/>
  <c r="L57" i="85"/>
  <c r="K57" i="85"/>
  <c r="J57" i="85"/>
  <c r="I57" i="85"/>
  <c r="H57" i="85"/>
  <c r="G57" i="85"/>
  <c r="F57" i="85"/>
  <c r="E57" i="85"/>
  <c r="D57" i="85"/>
  <c r="C57" i="85"/>
  <c r="B57" i="85"/>
  <c r="A57" i="85"/>
  <c r="X57" i="85" s="1"/>
  <c r="AE56" i="85"/>
  <c r="AD56" i="85"/>
  <c r="AC56" i="85"/>
  <c r="V56" i="85"/>
  <c r="U56" i="85"/>
  <c r="T56" i="85"/>
  <c r="S56" i="85"/>
  <c r="N56" i="85"/>
  <c r="M56" i="85"/>
  <c r="L56" i="85"/>
  <c r="K56" i="85"/>
  <c r="J56" i="85"/>
  <c r="I56" i="85"/>
  <c r="H56" i="85"/>
  <c r="G56" i="85"/>
  <c r="F56" i="85"/>
  <c r="E56" i="85"/>
  <c r="D56" i="85"/>
  <c r="C56" i="85"/>
  <c r="B56" i="85"/>
  <c r="A56" i="85"/>
  <c r="X56" i="85" s="1"/>
  <c r="AE55" i="85"/>
  <c r="AD55" i="85"/>
  <c r="AC55" i="85"/>
  <c r="V55" i="85"/>
  <c r="U55" i="85"/>
  <c r="T55" i="85"/>
  <c r="S55" i="85"/>
  <c r="N55" i="85"/>
  <c r="M55" i="85"/>
  <c r="L55" i="85"/>
  <c r="K55" i="85"/>
  <c r="J55" i="85"/>
  <c r="I55" i="85"/>
  <c r="H55" i="85"/>
  <c r="G55" i="85"/>
  <c r="F55" i="85"/>
  <c r="E55" i="85"/>
  <c r="D55" i="85"/>
  <c r="C55" i="85"/>
  <c r="B55" i="85"/>
  <c r="A55" i="85"/>
  <c r="X55" i="85" s="1"/>
  <c r="AE54" i="85"/>
  <c r="AD54" i="85"/>
  <c r="AC54" i="85"/>
  <c r="V54" i="85"/>
  <c r="U54" i="85"/>
  <c r="T54" i="85"/>
  <c r="S54" i="85"/>
  <c r="J54" i="85"/>
  <c r="E54" i="85"/>
  <c r="D54" i="85"/>
  <c r="C54" i="85"/>
  <c r="B54" i="85"/>
  <c r="A54" i="85"/>
  <c r="X54" i="85" s="1"/>
  <c r="AE53" i="85"/>
  <c r="AD53" i="85"/>
  <c r="AC53" i="85"/>
  <c r="V53" i="85"/>
  <c r="U53" i="85"/>
  <c r="T53" i="85"/>
  <c r="S53" i="85"/>
  <c r="N53" i="85"/>
  <c r="M53" i="85"/>
  <c r="L53" i="85"/>
  <c r="K53" i="85"/>
  <c r="J53" i="85"/>
  <c r="I53" i="85"/>
  <c r="H53" i="85"/>
  <c r="G53" i="85"/>
  <c r="F53" i="85"/>
  <c r="E53" i="85"/>
  <c r="D53" i="85"/>
  <c r="C53" i="85"/>
  <c r="B53" i="85"/>
  <c r="A53" i="85"/>
  <c r="X53" i="85" s="1"/>
  <c r="AE52" i="85"/>
  <c r="AD52" i="85"/>
  <c r="AC52" i="85"/>
  <c r="V52" i="85"/>
  <c r="U52" i="85"/>
  <c r="T52" i="85"/>
  <c r="S52" i="85"/>
  <c r="J52" i="85"/>
  <c r="E52" i="85"/>
  <c r="D52" i="85"/>
  <c r="C52" i="85"/>
  <c r="B52" i="85"/>
  <c r="A52" i="85"/>
  <c r="X52" i="85" s="1"/>
  <c r="AE51" i="85"/>
  <c r="AD51" i="85"/>
  <c r="AC51" i="85"/>
  <c r="V51" i="85"/>
  <c r="U51" i="85"/>
  <c r="T51" i="85"/>
  <c r="S51" i="85"/>
  <c r="N51" i="85"/>
  <c r="M51" i="85"/>
  <c r="L51" i="85"/>
  <c r="K51" i="85"/>
  <c r="J51" i="85"/>
  <c r="I51" i="85"/>
  <c r="H51" i="85"/>
  <c r="G51" i="85"/>
  <c r="F51" i="85"/>
  <c r="E51" i="85"/>
  <c r="D51" i="85"/>
  <c r="C51" i="85"/>
  <c r="B51" i="85"/>
  <c r="A51" i="85"/>
  <c r="X51" i="85" s="1"/>
  <c r="AE50" i="85"/>
  <c r="AD50" i="85"/>
  <c r="AC50" i="85"/>
  <c r="V50" i="85"/>
  <c r="U50" i="85"/>
  <c r="T50" i="85"/>
  <c r="S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A50" i="85"/>
  <c r="X50" i="85" s="1"/>
  <c r="AE49" i="85"/>
  <c r="AD49" i="85"/>
  <c r="AC49" i="85"/>
  <c r="V49" i="85"/>
  <c r="U49" i="85"/>
  <c r="T49" i="85"/>
  <c r="S49" i="85"/>
  <c r="N49" i="85"/>
  <c r="M49" i="85"/>
  <c r="L49" i="85"/>
  <c r="K49" i="85"/>
  <c r="J49" i="85"/>
  <c r="I49" i="85"/>
  <c r="H49" i="85"/>
  <c r="G49" i="85"/>
  <c r="F49" i="85"/>
  <c r="E49" i="85"/>
  <c r="D49" i="85"/>
  <c r="C49" i="85"/>
  <c r="B49" i="85"/>
  <c r="A49" i="85"/>
  <c r="X49" i="85" s="1"/>
  <c r="AE48" i="85"/>
  <c r="AD48" i="85"/>
  <c r="AC48" i="85"/>
  <c r="V48" i="85"/>
  <c r="U48" i="85"/>
  <c r="T48" i="85"/>
  <c r="S48" i="85"/>
  <c r="N48" i="85"/>
  <c r="M48" i="85"/>
  <c r="L48" i="85"/>
  <c r="K48" i="85"/>
  <c r="J48" i="85"/>
  <c r="I48" i="85"/>
  <c r="H48" i="85"/>
  <c r="G48" i="85"/>
  <c r="F48" i="85"/>
  <c r="E48" i="85"/>
  <c r="D48" i="85"/>
  <c r="C48" i="85"/>
  <c r="B48" i="85"/>
  <c r="A48" i="85"/>
  <c r="X48" i="85" s="1"/>
  <c r="AE47" i="85"/>
  <c r="AD47" i="85"/>
  <c r="AC47" i="85"/>
  <c r="V47" i="85"/>
  <c r="U47" i="85"/>
  <c r="T47" i="85"/>
  <c r="S47" i="85"/>
  <c r="N47" i="85"/>
  <c r="M47" i="85"/>
  <c r="L47" i="85"/>
  <c r="K47" i="85"/>
  <c r="J47" i="85"/>
  <c r="I47" i="85"/>
  <c r="H47" i="85"/>
  <c r="G47" i="85"/>
  <c r="F47" i="85"/>
  <c r="E47" i="85"/>
  <c r="D47" i="85"/>
  <c r="C47" i="85"/>
  <c r="B47" i="85"/>
  <c r="A47" i="85"/>
  <c r="X47" i="85" s="1"/>
  <c r="AE46" i="85"/>
  <c r="AD46" i="85"/>
  <c r="AC46" i="85"/>
  <c r="V46" i="85"/>
  <c r="U46" i="85"/>
  <c r="T46" i="85"/>
  <c r="S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A46" i="85"/>
  <c r="X46" i="85" s="1"/>
  <c r="AE45" i="85"/>
  <c r="AD45" i="85"/>
  <c r="AC45" i="85"/>
  <c r="V45" i="85"/>
  <c r="U45" i="85"/>
  <c r="T45" i="85"/>
  <c r="S45" i="85"/>
  <c r="N45" i="85"/>
  <c r="M45" i="85"/>
  <c r="L45" i="85"/>
  <c r="K45" i="85"/>
  <c r="J45" i="85"/>
  <c r="I45" i="85"/>
  <c r="H45" i="85"/>
  <c r="G45" i="85"/>
  <c r="F45" i="85"/>
  <c r="E45" i="85"/>
  <c r="D45" i="85"/>
  <c r="C45" i="85"/>
  <c r="B45" i="85"/>
  <c r="A45" i="85"/>
  <c r="X45" i="85" s="1"/>
  <c r="AE44" i="85"/>
  <c r="AD44" i="85"/>
  <c r="AC44" i="85"/>
  <c r="V44" i="85"/>
  <c r="U44" i="85"/>
  <c r="T44" i="85"/>
  <c r="S44" i="85"/>
  <c r="N44" i="85"/>
  <c r="M44" i="85"/>
  <c r="L44" i="85"/>
  <c r="K44" i="85"/>
  <c r="J44" i="85"/>
  <c r="I44" i="85"/>
  <c r="H44" i="85"/>
  <c r="G44" i="85"/>
  <c r="F44" i="85"/>
  <c r="E44" i="85"/>
  <c r="D44" i="85"/>
  <c r="C44" i="85"/>
  <c r="B44" i="85"/>
  <c r="A44" i="85"/>
  <c r="X44" i="85" s="1"/>
  <c r="AE43" i="85"/>
  <c r="AD43" i="85"/>
  <c r="AC43" i="85"/>
  <c r="V43" i="85"/>
  <c r="U43" i="85"/>
  <c r="T43" i="85"/>
  <c r="S43" i="85"/>
  <c r="N43" i="85"/>
  <c r="M43" i="85"/>
  <c r="L43" i="85"/>
  <c r="K43" i="85"/>
  <c r="J43" i="85"/>
  <c r="I43" i="85"/>
  <c r="H43" i="85"/>
  <c r="G43" i="85"/>
  <c r="F43" i="85"/>
  <c r="E43" i="85"/>
  <c r="D43" i="85"/>
  <c r="C43" i="85"/>
  <c r="B43" i="85"/>
  <c r="A43" i="85"/>
  <c r="X43" i="85" s="1"/>
  <c r="AE42" i="85"/>
  <c r="AD42" i="85"/>
  <c r="AC42" i="85"/>
  <c r="V42" i="85"/>
  <c r="U42" i="85"/>
  <c r="T42" i="85"/>
  <c r="S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A42" i="85"/>
  <c r="X42" i="85" s="1"/>
  <c r="AE41" i="85"/>
  <c r="AD41" i="85"/>
  <c r="AC41" i="85"/>
  <c r="V41" i="85"/>
  <c r="U41" i="85"/>
  <c r="T41" i="85"/>
  <c r="S41" i="85"/>
  <c r="N41" i="85"/>
  <c r="M41" i="85"/>
  <c r="L41" i="85"/>
  <c r="K41" i="85"/>
  <c r="J41" i="85"/>
  <c r="I41" i="85"/>
  <c r="H41" i="85"/>
  <c r="G41" i="85"/>
  <c r="F41" i="85"/>
  <c r="E41" i="85"/>
  <c r="D41" i="85"/>
  <c r="C41" i="85"/>
  <c r="B41" i="85"/>
  <c r="A41" i="85"/>
  <c r="X41" i="85" s="1"/>
  <c r="AE40" i="85"/>
  <c r="AD40" i="85"/>
  <c r="AC40" i="85"/>
  <c r="V40" i="85"/>
  <c r="U40" i="85"/>
  <c r="T40" i="85"/>
  <c r="S40" i="85"/>
  <c r="N40" i="85"/>
  <c r="M40" i="85"/>
  <c r="L40" i="85"/>
  <c r="K40" i="85"/>
  <c r="J40" i="85"/>
  <c r="I40" i="85"/>
  <c r="H40" i="85"/>
  <c r="G40" i="85"/>
  <c r="F40" i="85"/>
  <c r="E40" i="85"/>
  <c r="D40" i="85"/>
  <c r="C40" i="85"/>
  <c r="B40" i="85"/>
  <c r="A40" i="85"/>
  <c r="X40" i="85" s="1"/>
  <c r="AE39" i="85"/>
  <c r="AD39" i="85"/>
  <c r="AC39" i="85"/>
  <c r="V39" i="85"/>
  <c r="U39" i="85"/>
  <c r="T39" i="85"/>
  <c r="S39" i="85"/>
  <c r="N39" i="85"/>
  <c r="M39" i="85"/>
  <c r="L39" i="85"/>
  <c r="K39" i="85"/>
  <c r="J39" i="85"/>
  <c r="I39" i="85"/>
  <c r="H39" i="85"/>
  <c r="G39" i="85"/>
  <c r="F39" i="85"/>
  <c r="E39" i="85"/>
  <c r="D39" i="85"/>
  <c r="C39" i="85"/>
  <c r="B39" i="85"/>
  <c r="A39" i="85"/>
  <c r="X39" i="85" s="1"/>
  <c r="AE38" i="85"/>
  <c r="AD38" i="85"/>
  <c r="AC38" i="85"/>
  <c r="V38" i="85"/>
  <c r="U38" i="85"/>
  <c r="T38" i="85"/>
  <c r="S38" i="85"/>
  <c r="J38" i="85"/>
  <c r="E38" i="85"/>
  <c r="D38" i="85"/>
  <c r="C38" i="85"/>
  <c r="B38" i="85"/>
  <c r="A38" i="85"/>
  <c r="X38" i="85" s="1"/>
  <c r="AE37" i="85"/>
  <c r="AD37" i="85"/>
  <c r="AC37" i="85"/>
  <c r="V37" i="85"/>
  <c r="U37" i="85"/>
  <c r="T37" i="85"/>
  <c r="S37" i="85"/>
  <c r="N37" i="85"/>
  <c r="M37" i="85"/>
  <c r="L37" i="85"/>
  <c r="K37" i="85"/>
  <c r="J37" i="85"/>
  <c r="I37" i="85"/>
  <c r="H37" i="85"/>
  <c r="G37" i="85"/>
  <c r="F37" i="85"/>
  <c r="E37" i="85"/>
  <c r="D37" i="85"/>
  <c r="C37" i="85"/>
  <c r="B37" i="85"/>
  <c r="A37" i="85"/>
  <c r="X37" i="85" s="1"/>
  <c r="AE36" i="85"/>
  <c r="AD36" i="85"/>
  <c r="AC36" i="85"/>
  <c r="V36" i="85"/>
  <c r="U36" i="85"/>
  <c r="T36" i="85"/>
  <c r="S36" i="85"/>
  <c r="J36" i="85"/>
  <c r="E36" i="85"/>
  <c r="D36" i="85"/>
  <c r="C36" i="85"/>
  <c r="B36" i="85"/>
  <c r="A36" i="85"/>
  <c r="X36" i="85" s="1"/>
  <c r="AE35" i="85"/>
  <c r="AD35" i="85"/>
  <c r="AC35" i="85"/>
  <c r="V35" i="85"/>
  <c r="U35" i="85"/>
  <c r="T35" i="85"/>
  <c r="S35" i="85"/>
  <c r="N35" i="85"/>
  <c r="M35" i="85"/>
  <c r="L35" i="85"/>
  <c r="K35" i="85"/>
  <c r="J35" i="85"/>
  <c r="I35" i="85"/>
  <c r="H35" i="85"/>
  <c r="G35" i="85"/>
  <c r="F35" i="85"/>
  <c r="E35" i="85"/>
  <c r="D35" i="85"/>
  <c r="C35" i="85"/>
  <c r="B35" i="85"/>
  <c r="A35" i="85"/>
  <c r="X35" i="85" s="1"/>
  <c r="AE34" i="85"/>
  <c r="AD34" i="85"/>
  <c r="AC34" i="85"/>
  <c r="V34" i="85"/>
  <c r="U34" i="85"/>
  <c r="T34" i="85"/>
  <c r="S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A34" i="85"/>
  <c r="X34" i="85" s="1"/>
  <c r="AE33" i="85"/>
  <c r="AD33" i="85"/>
  <c r="AC33" i="85"/>
  <c r="V33" i="85"/>
  <c r="U33" i="85"/>
  <c r="T33" i="85"/>
  <c r="S33" i="85"/>
  <c r="N33" i="85"/>
  <c r="M33" i="85"/>
  <c r="L33" i="85"/>
  <c r="K33" i="85"/>
  <c r="J33" i="85"/>
  <c r="I33" i="85"/>
  <c r="H33" i="85"/>
  <c r="G33" i="85"/>
  <c r="F33" i="85"/>
  <c r="E33" i="85"/>
  <c r="D33" i="85"/>
  <c r="C33" i="85"/>
  <c r="B33" i="85"/>
  <c r="A33" i="85"/>
  <c r="X33" i="85" s="1"/>
  <c r="AE32" i="85"/>
  <c r="AD32" i="85"/>
  <c r="AC32" i="85"/>
  <c r="V32" i="85"/>
  <c r="U32" i="85"/>
  <c r="T32" i="85"/>
  <c r="S32" i="85"/>
  <c r="N32" i="85"/>
  <c r="M32" i="85"/>
  <c r="L32" i="85"/>
  <c r="K32" i="85"/>
  <c r="J32" i="85"/>
  <c r="I32" i="85"/>
  <c r="H32" i="85"/>
  <c r="G32" i="85"/>
  <c r="F32" i="85"/>
  <c r="E32" i="85"/>
  <c r="D32" i="85"/>
  <c r="C32" i="85"/>
  <c r="B32" i="85"/>
  <c r="A32" i="85"/>
  <c r="X32" i="85" s="1"/>
  <c r="AE31" i="85"/>
  <c r="AD31" i="85"/>
  <c r="AC31" i="85"/>
  <c r="V31" i="85"/>
  <c r="U31" i="85"/>
  <c r="T31" i="85"/>
  <c r="S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B31" i="85"/>
  <c r="A31" i="85"/>
  <c r="X31" i="85" s="1"/>
  <c r="AE30" i="85"/>
  <c r="AD30" i="85"/>
  <c r="AC30" i="85"/>
  <c r="V30" i="85"/>
  <c r="U30" i="85"/>
  <c r="T30" i="85"/>
  <c r="S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A30" i="85"/>
  <c r="X30" i="85" s="1"/>
  <c r="AE29" i="85"/>
  <c r="AD29" i="85"/>
  <c r="AC29" i="85"/>
  <c r="V29" i="85"/>
  <c r="U29" i="85"/>
  <c r="T29" i="85"/>
  <c r="S29" i="85"/>
  <c r="N29" i="85"/>
  <c r="M29" i="85"/>
  <c r="L29" i="85"/>
  <c r="K29" i="85"/>
  <c r="J29" i="85"/>
  <c r="I29" i="85"/>
  <c r="H29" i="85"/>
  <c r="G29" i="85"/>
  <c r="F29" i="85"/>
  <c r="E29" i="85"/>
  <c r="D29" i="85"/>
  <c r="C29" i="85"/>
  <c r="B29" i="85"/>
  <c r="A29" i="85"/>
  <c r="X29" i="85" s="1"/>
  <c r="AE28" i="85"/>
  <c r="AD28" i="85"/>
  <c r="AC28" i="85"/>
  <c r="V28" i="85"/>
  <c r="U28" i="85"/>
  <c r="T28" i="85"/>
  <c r="S28" i="85"/>
  <c r="N28" i="85"/>
  <c r="M28" i="85"/>
  <c r="L28" i="85"/>
  <c r="K28" i="85"/>
  <c r="J28" i="85"/>
  <c r="I28" i="85"/>
  <c r="H28" i="85"/>
  <c r="G28" i="85"/>
  <c r="F28" i="85"/>
  <c r="E28" i="85"/>
  <c r="D28" i="85"/>
  <c r="C28" i="85"/>
  <c r="B28" i="85"/>
  <c r="A28" i="85"/>
  <c r="X28" i="85" s="1"/>
  <c r="AE27" i="85"/>
  <c r="AD27" i="85"/>
  <c r="AC27" i="85"/>
  <c r="V27" i="85"/>
  <c r="U27" i="85"/>
  <c r="T27" i="85"/>
  <c r="S27" i="85"/>
  <c r="N27" i="85"/>
  <c r="M27" i="85"/>
  <c r="L27" i="85"/>
  <c r="K27" i="85"/>
  <c r="J27" i="85"/>
  <c r="I27" i="85"/>
  <c r="H27" i="85"/>
  <c r="G27" i="85"/>
  <c r="F27" i="85"/>
  <c r="E27" i="85"/>
  <c r="D27" i="85"/>
  <c r="C27" i="85"/>
  <c r="B27" i="85"/>
  <c r="A27" i="85"/>
  <c r="X27" i="85" s="1"/>
  <c r="AE26" i="85"/>
  <c r="AD26" i="85"/>
  <c r="AC26" i="85"/>
  <c r="V26" i="85"/>
  <c r="U26" i="85"/>
  <c r="T26" i="85"/>
  <c r="S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A26" i="85"/>
  <c r="X26" i="85" s="1"/>
  <c r="AE25" i="85"/>
  <c r="AD25" i="85"/>
  <c r="AC25" i="85"/>
  <c r="V25" i="85"/>
  <c r="U25" i="85"/>
  <c r="T25" i="85"/>
  <c r="S25" i="85"/>
  <c r="N25" i="85"/>
  <c r="M25" i="85"/>
  <c r="L25" i="85"/>
  <c r="K25" i="85"/>
  <c r="J25" i="85"/>
  <c r="I25" i="85"/>
  <c r="H25" i="85"/>
  <c r="G25" i="85"/>
  <c r="F25" i="85"/>
  <c r="E25" i="85"/>
  <c r="D25" i="85"/>
  <c r="C25" i="85"/>
  <c r="B25" i="85"/>
  <c r="A25" i="85"/>
  <c r="X25" i="85" s="1"/>
  <c r="AE24" i="85"/>
  <c r="AD24" i="85"/>
  <c r="AC24" i="85"/>
  <c r="V24" i="85"/>
  <c r="U24" i="85"/>
  <c r="T24" i="85"/>
  <c r="S24" i="85"/>
  <c r="N24" i="85"/>
  <c r="M24" i="85"/>
  <c r="L24" i="85"/>
  <c r="K24" i="85"/>
  <c r="J24" i="85"/>
  <c r="I24" i="85"/>
  <c r="H24" i="85"/>
  <c r="G24" i="85"/>
  <c r="F24" i="85"/>
  <c r="E24" i="85"/>
  <c r="D24" i="85"/>
  <c r="C24" i="85"/>
  <c r="B24" i="85"/>
  <c r="A24" i="85"/>
  <c r="X24" i="85" s="1"/>
  <c r="AE23" i="85"/>
  <c r="AD23" i="85"/>
  <c r="AC23" i="85"/>
  <c r="V23" i="85"/>
  <c r="U23" i="85"/>
  <c r="T23" i="85"/>
  <c r="S23" i="85"/>
  <c r="N23" i="85"/>
  <c r="M23" i="85"/>
  <c r="L23" i="85"/>
  <c r="K23" i="85"/>
  <c r="J23" i="85"/>
  <c r="I23" i="85"/>
  <c r="H23" i="85"/>
  <c r="G23" i="85"/>
  <c r="F23" i="85"/>
  <c r="E23" i="85"/>
  <c r="D23" i="85"/>
  <c r="C23" i="85"/>
  <c r="B23" i="85"/>
  <c r="A23" i="85"/>
  <c r="X23" i="85" s="1"/>
  <c r="AE22" i="85"/>
  <c r="AD22" i="85"/>
  <c r="AC22" i="85"/>
  <c r="V22" i="85"/>
  <c r="U22" i="85"/>
  <c r="T22" i="85"/>
  <c r="S22" i="85"/>
  <c r="J22" i="85"/>
  <c r="E22" i="85"/>
  <c r="D22" i="85"/>
  <c r="C22" i="85"/>
  <c r="B22" i="85"/>
  <c r="A22" i="85"/>
  <c r="X22" i="85" s="1"/>
  <c r="AE21" i="85"/>
  <c r="AD21" i="85"/>
  <c r="AC21" i="85"/>
  <c r="V21" i="85"/>
  <c r="U21" i="85"/>
  <c r="T21" i="85"/>
  <c r="S21" i="85"/>
  <c r="N21" i="85"/>
  <c r="M21" i="85"/>
  <c r="L21" i="85"/>
  <c r="K21" i="85"/>
  <c r="J21" i="85"/>
  <c r="I21" i="85"/>
  <c r="H21" i="85"/>
  <c r="G21" i="85"/>
  <c r="F21" i="85"/>
  <c r="E21" i="85"/>
  <c r="D21" i="85"/>
  <c r="C21" i="85"/>
  <c r="B21" i="85"/>
  <c r="A21" i="85"/>
  <c r="X21" i="85" s="1"/>
  <c r="AE20" i="85"/>
  <c r="AD20" i="85"/>
  <c r="AC20" i="85"/>
  <c r="V20" i="85"/>
  <c r="U20" i="85"/>
  <c r="T20" i="85"/>
  <c r="S20" i="85"/>
  <c r="J20" i="85"/>
  <c r="E20" i="85"/>
  <c r="D20" i="85"/>
  <c r="C20" i="85"/>
  <c r="B20" i="85"/>
  <c r="A20" i="85"/>
  <c r="X20" i="85" s="1"/>
  <c r="AE19" i="85"/>
  <c r="AD19" i="85"/>
  <c r="AC19" i="85"/>
  <c r="V19" i="85"/>
  <c r="U19" i="85"/>
  <c r="T19" i="85"/>
  <c r="S19" i="85"/>
  <c r="N19" i="85"/>
  <c r="M19" i="85"/>
  <c r="L19" i="85"/>
  <c r="K19" i="85"/>
  <c r="J19" i="85"/>
  <c r="I19" i="85"/>
  <c r="H19" i="85"/>
  <c r="G19" i="85"/>
  <c r="F19" i="85"/>
  <c r="E19" i="85"/>
  <c r="D19" i="85"/>
  <c r="C19" i="85"/>
  <c r="B19" i="85"/>
  <c r="A19" i="85"/>
  <c r="X19" i="85" s="1"/>
  <c r="AE18" i="85"/>
  <c r="AD18" i="85"/>
  <c r="AC18" i="85"/>
  <c r="V18" i="85"/>
  <c r="U18" i="85"/>
  <c r="T18" i="85"/>
  <c r="S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A18" i="85"/>
  <c r="X18" i="85" s="1"/>
  <c r="AE17" i="85"/>
  <c r="AD17" i="85"/>
  <c r="AC17" i="85"/>
  <c r="V17" i="85"/>
  <c r="U17" i="85"/>
  <c r="T17" i="85"/>
  <c r="S17" i="85"/>
  <c r="N17" i="85"/>
  <c r="M17" i="85"/>
  <c r="L17" i="85"/>
  <c r="K17" i="85"/>
  <c r="J17" i="85"/>
  <c r="I17" i="85"/>
  <c r="H17" i="85"/>
  <c r="G17" i="85"/>
  <c r="F17" i="85"/>
  <c r="E17" i="85"/>
  <c r="D17" i="85"/>
  <c r="C17" i="85"/>
  <c r="B17" i="85"/>
  <c r="A17" i="85"/>
  <c r="X17" i="85" s="1"/>
  <c r="AE16" i="85"/>
  <c r="AD16" i="85"/>
  <c r="AC16" i="85"/>
  <c r="V16" i="85"/>
  <c r="U16" i="85"/>
  <c r="T16" i="85"/>
  <c r="S16" i="85"/>
  <c r="N16" i="85"/>
  <c r="M16" i="85"/>
  <c r="L16" i="85"/>
  <c r="K16" i="85"/>
  <c r="J16" i="85"/>
  <c r="I16" i="85"/>
  <c r="H16" i="85"/>
  <c r="G16" i="85"/>
  <c r="F16" i="85"/>
  <c r="E16" i="85"/>
  <c r="D16" i="85"/>
  <c r="C16" i="85"/>
  <c r="B16" i="85"/>
  <c r="A16" i="85"/>
  <c r="X16" i="85" s="1"/>
  <c r="AE15" i="85"/>
  <c r="AD15" i="85"/>
  <c r="AC15" i="85"/>
  <c r="V15" i="85"/>
  <c r="U15" i="85"/>
  <c r="T15" i="85"/>
  <c r="S15" i="85"/>
  <c r="N15" i="85"/>
  <c r="M15" i="85"/>
  <c r="L15" i="85"/>
  <c r="K15" i="85"/>
  <c r="J15" i="85"/>
  <c r="I15" i="85"/>
  <c r="H15" i="85"/>
  <c r="G15" i="85"/>
  <c r="F15" i="85"/>
  <c r="E15" i="85"/>
  <c r="D15" i="85"/>
  <c r="C15" i="85"/>
  <c r="B15" i="85"/>
  <c r="A15" i="85"/>
  <c r="X15" i="85" s="1"/>
  <c r="AE14" i="85"/>
  <c r="AD14" i="85"/>
  <c r="AC14" i="85"/>
  <c r="V14" i="85"/>
  <c r="U14" i="85"/>
  <c r="T14" i="85"/>
  <c r="S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A14" i="85"/>
  <c r="X14" i="85" s="1"/>
  <c r="AE13" i="85"/>
  <c r="AD13" i="85"/>
  <c r="AC13" i="85"/>
  <c r="V13" i="85"/>
  <c r="U13" i="85"/>
  <c r="T13" i="85"/>
  <c r="S13" i="85"/>
  <c r="N13" i="85"/>
  <c r="M13" i="85"/>
  <c r="L13" i="85"/>
  <c r="K13" i="85"/>
  <c r="J13" i="85"/>
  <c r="I13" i="85"/>
  <c r="H13" i="85"/>
  <c r="G13" i="85"/>
  <c r="F13" i="85"/>
  <c r="E13" i="85"/>
  <c r="D13" i="85"/>
  <c r="C13" i="85"/>
  <c r="B13" i="85"/>
  <c r="A13" i="85"/>
  <c r="X13" i="85" s="1"/>
  <c r="AE12" i="85"/>
  <c r="AD12" i="85"/>
  <c r="AC12" i="85"/>
  <c r="V12" i="85"/>
  <c r="U12" i="85"/>
  <c r="T12" i="85"/>
  <c r="S12" i="85"/>
  <c r="N12" i="85"/>
  <c r="M12" i="85"/>
  <c r="L12" i="85"/>
  <c r="K12" i="85"/>
  <c r="J12" i="85"/>
  <c r="I12" i="85"/>
  <c r="H12" i="85"/>
  <c r="G12" i="85"/>
  <c r="F12" i="85"/>
  <c r="E12" i="85"/>
  <c r="D12" i="85"/>
  <c r="C12" i="85"/>
  <c r="B12" i="85"/>
  <c r="A12" i="85"/>
  <c r="X12" i="85" s="1"/>
  <c r="AE11" i="85"/>
  <c r="AD11" i="85"/>
  <c r="AC11" i="85"/>
  <c r="V11" i="85"/>
  <c r="U11" i="85"/>
  <c r="T11" i="85"/>
  <c r="S11" i="85"/>
  <c r="N11" i="85"/>
  <c r="M11" i="85"/>
  <c r="L11" i="85"/>
  <c r="K11" i="85"/>
  <c r="J11" i="85"/>
  <c r="I11" i="85"/>
  <c r="H11" i="85"/>
  <c r="G11" i="85"/>
  <c r="F11" i="85"/>
  <c r="E11" i="85"/>
  <c r="D11" i="85"/>
  <c r="C11" i="85"/>
  <c r="B11" i="85"/>
  <c r="A11" i="85"/>
  <c r="X11" i="85" s="1"/>
  <c r="AE10" i="85"/>
  <c r="AD10" i="85"/>
  <c r="AC10" i="85"/>
  <c r="V10" i="85"/>
  <c r="U10" i="85"/>
  <c r="T10" i="85"/>
  <c r="S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A10" i="85"/>
  <c r="X10" i="85" s="1"/>
  <c r="AE9" i="85"/>
  <c r="AD9" i="85"/>
  <c r="AC9" i="85"/>
  <c r="V9" i="85"/>
  <c r="U9" i="85"/>
  <c r="T9" i="85"/>
  <c r="S9" i="85"/>
  <c r="N9" i="85"/>
  <c r="M9" i="85"/>
  <c r="L9" i="85"/>
  <c r="K9" i="85"/>
  <c r="J9" i="85"/>
  <c r="I9" i="85"/>
  <c r="H9" i="85"/>
  <c r="G9" i="85"/>
  <c r="F9" i="85"/>
  <c r="E9" i="85"/>
  <c r="D9" i="85"/>
  <c r="C9" i="85"/>
  <c r="B9" i="85"/>
  <c r="A9" i="85"/>
  <c r="X9" i="85" s="1"/>
  <c r="AE8" i="85"/>
  <c r="AD8" i="85"/>
  <c r="AC8" i="85"/>
  <c r="V8" i="85"/>
  <c r="U8" i="85"/>
  <c r="T8" i="85"/>
  <c r="S8" i="85"/>
  <c r="N8" i="85"/>
  <c r="M8" i="85"/>
  <c r="L8" i="85"/>
  <c r="K8" i="85"/>
  <c r="J8" i="85"/>
  <c r="I8" i="85"/>
  <c r="H8" i="85"/>
  <c r="G8" i="85"/>
  <c r="F8" i="85"/>
  <c r="E8" i="85"/>
  <c r="D8" i="85"/>
  <c r="C8" i="85"/>
  <c r="B8" i="85"/>
  <c r="A8" i="85"/>
  <c r="X8" i="85" s="1"/>
  <c r="X133" i="85"/>
  <c r="X132" i="85"/>
  <c r="X130" i="85"/>
  <c r="X128" i="85"/>
  <c r="X125" i="85"/>
  <c r="X122" i="85"/>
  <c r="X118" i="85"/>
  <c r="O117" i="85"/>
  <c r="Q117" i="85" s="1"/>
  <c r="R117" i="85" s="1"/>
  <c r="X113" i="85"/>
  <c r="X110" i="85"/>
  <c r="X103" i="85"/>
  <c r="X100" i="85"/>
  <c r="X95" i="85"/>
  <c r="X92" i="85"/>
  <c r="X83" i="85"/>
  <c r="X75" i="85"/>
  <c r="AC142" i="81"/>
  <c r="AB142" i="81"/>
  <c r="AA142" i="81"/>
  <c r="V142" i="81"/>
  <c r="U142" i="81"/>
  <c r="T142" i="81"/>
  <c r="S142" i="81"/>
  <c r="J142" i="81"/>
  <c r="E142" i="81"/>
  <c r="D142" i="81"/>
  <c r="C142" i="81"/>
  <c r="B142" i="81"/>
  <c r="A142" i="81"/>
  <c r="AC141" i="81"/>
  <c r="AB141" i="81"/>
  <c r="AA141" i="81"/>
  <c r="V141" i="81"/>
  <c r="U141" i="81"/>
  <c r="T141" i="81"/>
  <c r="S141" i="81"/>
  <c r="N141" i="81"/>
  <c r="M141" i="81"/>
  <c r="L141" i="81"/>
  <c r="K141" i="81"/>
  <c r="J141" i="81"/>
  <c r="I141" i="81"/>
  <c r="H141" i="81"/>
  <c r="G141" i="81"/>
  <c r="F141" i="81"/>
  <c r="E141" i="81"/>
  <c r="D141" i="81"/>
  <c r="C141" i="81"/>
  <c r="B141" i="81"/>
  <c r="A141" i="81"/>
  <c r="AC140" i="81"/>
  <c r="AB140" i="81"/>
  <c r="AA140" i="81"/>
  <c r="V140" i="81"/>
  <c r="U140" i="81"/>
  <c r="T140" i="81"/>
  <c r="S140" i="81"/>
  <c r="J140" i="81"/>
  <c r="E140" i="81"/>
  <c r="D140" i="81"/>
  <c r="C140" i="81"/>
  <c r="B140" i="81"/>
  <c r="A140" i="81"/>
  <c r="AC139" i="81"/>
  <c r="AB139" i="81"/>
  <c r="AA139" i="81"/>
  <c r="V139" i="81"/>
  <c r="U139" i="81"/>
  <c r="T139" i="81"/>
  <c r="S139" i="81"/>
  <c r="N139" i="81"/>
  <c r="M139" i="81"/>
  <c r="L139" i="81"/>
  <c r="K139" i="81"/>
  <c r="J139" i="81"/>
  <c r="I139" i="81"/>
  <c r="H139" i="81"/>
  <c r="G139" i="81"/>
  <c r="F139" i="81"/>
  <c r="E139" i="81"/>
  <c r="D139" i="81"/>
  <c r="C139" i="81"/>
  <c r="B139" i="81"/>
  <c r="A139" i="81"/>
  <c r="AC138" i="81"/>
  <c r="AB138" i="81"/>
  <c r="AA138" i="81"/>
  <c r="V138" i="81"/>
  <c r="U138" i="81"/>
  <c r="T138" i="81"/>
  <c r="S138" i="81"/>
  <c r="N138" i="81"/>
  <c r="M138" i="81"/>
  <c r="L138" i="81"/>
  <c r="K138" i="81"/>
  <c r="J138" i="81"/>
  <c r="I138" i="81"/>
  <c r="H138" i="81"/>
  <c r="G138" i="81"/>
  <c r="F138" i="81"/>
  <c r="E138" i="81"/>
  <c r="D138" i="81"/>
  <c r="C138" i="81"/>
  <c r="B138" i="81"/>
  <c r="A138" i="81"/>
  <c r="AC137" i="81"/>
  <c r="AB137" i="81"/>
  <c r="AA137" i="81"/>
  <c r="V137" i="81"/>
  <c r="U137" i="81"/>
  <c r="T137" i="81"/>
  <c r="S137" i="81"/>
  <c r="N137" i="81"/>
  <c r="M137" i="81"/>
  <c r="L137" i="81"/>
  <c r="K137" i="81"/>
  <c r="J137" i="81"/>
  <c r="I137" i="81"/>
  <c r="H137" i="81"/>
  <c r="G137" i="81"/>
  <c r="F137" i="81"/>
  <c r="E137" i="81"/>
  <c r="D137" i="81"/>
  <c r="C137" i="81"/>
  <c r="B137" i="81"/>
  <c r="A137" i="81"/>
  <c r="AC136" i="81"/>
  <c r="AB136" i="81"/>
  <c r="AA136" i="81"/>
  <c r="V136" i="81"/>
  <c r="U136" i="81"/>
  <c r="T136" i="81"/>
  <c r="S136" i="81"/>
  <c r="N136" i="81"/>
  <c r="M136" i="81"/>
  <c r="L136" i="81"/>
  <c r="K136" i="81"/>
  <c r="J136" i="81"/>
  <c r="I136" i="81"/>
  <c r="H136" i="81"/>
  <c r="G136" i="81"/>
  <c r="F136" i="81"/>
  <c r="E136" i="81"/>
  <c r="D136" i="81"/>
  <c r="C136" i="81"/>
  <c r="B136" i="81"/>
  <c r="A136" i="81"/>
  <c r="AC135" i="81"/>
  <c r="AB135" i="81"/>
  <c r="AA135" i="81"/>
  <c r="V135" i="81"/>
  <c r="U135" i="81"/>
  <c r="T135" i="81"/>
  <c r="S135" i="81"/>
  <c r="N135" i="81"/>
  <c r="M135" i="81"/>
  <c r="L135" i="81"/>
  <c r="K135" i="81"/>
  <c r="J135" i="81"/>
  <c r="I135" i="81"/>
  <c r="H135" i="81"/>
  <c r="G135" i="81"/>
  <c r="F135" i="81"/>
  <c r="E135" i="81"/>
  <c r="D135" i="81"/>
  <c r="C135" i="81"/>
  <c r="B135" i="81"/>
  <c r="A135" i="81"/>
  <c r="AC134" i="81"/>
  <c r="AB134" i="81"/>
  <c r="AA134" i="81"/>
  <c r="V134" i="81"/>
  <c r="U134" i="81"/>
  <c r="T134" i="81"/>
  <c r="S134" i="81"/>
  <c r="N134" i="81"/>
  <c r="M134" i="81"/>
  <c r="L134" i="81"/>
  <c r="K134" i="81"/>
  <c r="J134" i="81"/>
  <c r="I134" i="81"/>
  <c r="H134" i="81"/>
  <c r="G134" i="81"/>
  <c r="F134" i="81"/>
  <c r="E134" i="81"/>
  <c r="D134" i="81"/>
  <c r="C134" i="81"/>
  <c r="B134" i="81"/>
  <c r="A134" i="81"/>
  <c r="AC133" i="81"/>
  <c r="AB133" i="81"/>
  <c r="AA133" i="81"/>
  <c r="V133" i="81"/>
  <c r="U133" i="81"/>
  <c r="T133" i="81"/>
  <c r="S133" i="81"/>
  <c r="N133" i="81"/>
  <c r="M133" i="81"/>
  <c r="L133" i="81"/>
  <c r="K133" i="81"/>
  <c r="J133" i="81"/>
  <c r="I133" i="81"/>
  <c r="H133" i="81"/>
  <c r="G133" i="81"/>
  <c r="F133" i="81"/>
  <c r="E133" i="81"/>
  <c r="D133" i="81"/>
  <c r="C133" i="81"/>
  <c r="B133" i="81"/>
  <c r="A133" i="81"/>
  <c r="AC132" i="81"/>
  <c r="AB132" i="81"/>
  <c r="AA132" i="81"/>
  <c r="V132" i="81"/>
  <c r="U132" i="81"/>
  <c r="T132" i="81"/>
  <c r="S132" i="81"/>
  <c r="N132" i="81"/>
  <c r="M132" i="81"/>
  <c r="L132" i="81"/>
  <c r="K132" i="81"/>
  <c r="J132" i="81"/>
  <c r="I132" i="81"/>
  <c r="H132" i="81"/>
  <c r="G132" i="81"/>
  <c r="F132" i="81"/>
  <c r="E132" i="81"/>
  <c r="D132" i="81"/>
  <c r="C132" i="81"/>
  <c r="B132" i="81"/>
  <c r="A132" i="81"/>
  <c r="AC131" i="81"/>
  <c r="AB131" i="81"/>
  <c r="AA131" i="81"/>
  <c r="V131" i="81"/>
  <c r="U131" i="81"/>
  <c r="T131" i="81"/>
  <c r="S131" i="81"/>
  <c r="J131" i="81"/>
  <c r="I131" i="81"/>
  <c r="H131" i="81"/>
  <c r="G131" i="81"/>
  <c r="F131" i="81"/>
  <c r="E131" i="81"/>
  <c r="D131" i="81"/>
  <c r="C131" i="81"/>
  <c r="B131" i="81"/>
  <c r="A131" i="81"/>
  <c r="AC130" i="81"/>
  <c r="AB130" i="81"/>
  <c r="AA130" i="81"/>
  <c r="V130" i="81"/>
  <c r="U130" i="81"/>
  <c r="T130" i="81"/>
  <c r="S130" i="81"/>
  <c r="N130" i="81"/>
  <c r="M130" i="81"/>
  <c r="L130" i="81"/>
  <c r="K130" i="81"/>
  <c r="J130" i="81"/>
  <c r="I130" i="81"/>
  <c r="H130" i="81"/>
  <c r="G130" i="81"/>
  <c r="F130" i="81"/>
  <c r="E130" i="81"/>
  <c r="D130" i="81"/>
  <c r="C130" i="81"/>
  <c r="B130" i="81"/>
  <c r="A130" i="81"/>
  <c r="AC129" i="81"/>
  <c r="AB129" i="81"/>
  <c r="AA129" i="81"/>
  <c r="V129" i="81"/>
  <c r="U129" i="81"/>
  <c r="T129" i="81"/>
  <c r="S129" i="81"/>
  <c r="N129" i="81"/>
  <c r="M129" i="81"/>
  <c r="L129" i="81"/>
  <c r="K129" i="81"/>
  <c r="J129" i="81"/>
  <c r="I129" i="81"/>
  <c r="H129" i="81"/>
  <c r="G129" i="81"/>
  <c r="F129" i="81"/>
  <c r="E129" i="81"/>
  <c r="D129" i="81"/>
  <c r="C129" i="81"/>
  <c r="B129" i="81"/>
  <c r="A129" i="81"/>
  <c r="AC128" i="81"/>
  <c r="AB128" i="81"/>
  <c r="AA128" i="81"/>
  <c r="V128" i="81"/>
  <c r="U128" i="81"/>
  <c r="T128" i="81"/>
  <c r="S128" i="81"/>
  <c r="N128" i="81"/>
  <c r="M128" i="81"/>
  <c r="L128" i="81"/>
  <c r="K128" i="81"/>
  <c r="J128" i="81"/>
  <c r="I128" i="81"/>
  <c r="H128" i="81"/>
  <c r="G128" i="81"/>
  <c r="F128" i="81"/>
  <c r="E128" i="81"/>
  <c r="D128" i="81"/>
  <c r="C128" i="81"/>
  <c r="B128" i="81"/>
  <c r="A128" i="81"/>
  <c r="AC127" i="81"/>
  <c r="AB127" i="81"/>
  <c r="AA127" i="81"/>
  <c r="V127" i="81"/>
  <c r="U127" i="81"/>
  <c r="T127" i="81"/>
  <c r="S127" i="81"/>
  <c r="N127" i="81"/>
  <c r="M127" i="81"/>
  <c r="L127" i="81"/>
  <c r="K127" i="81"/>
  <c r="J127" i="81"/>
  <c r="I127" i="81"/>
  <c r="H127" i="81"/>
  <c r="G127" i="81"/>
  <c r="F127" i="81"/>
  <c r="E127" i="81"/>
  <c r="D127" i="81"/>
  <c r="C127" i="81"/>
  <c r="B127" i="81"/>
  <c r="A127" i="81"/>
  <c r="AC126" i="81"/>
  <c r="AB126" i="81"/>
  <c r="AA126" i="81"/>
  <c r="V126" i="81"/>
  <c r="U126" i="81"/>
  <c r="T126" i="81"/>
  <c r="S126" i="81"/>
  <c r="N126" i="81"/>
  <c r="M126" i="81"/>
  <c r="L126" i="81"/>
  <c r="K126" i="81"/>
  <c r="J126" i="81"/>
  <c r="I126" i="81"/>
  <c r="H126" i="81"/>
  <c r="G126" i="81"/>
  <c r="F126" i="81"/>
  <c r="E126" i="81"/>
  <c r="D126" i="81"/>
  <c r="C126" i="81"/>
  <c r="B126" i="81"/>
  <c r="A126" i="81"/>
  <c r="AC125" i="81"/>
  <c r="AB125" i="81"/>
  <c r="AA125" i="81"/>
  <c r="V125" i="81"/>
  <c r="U125" i="81"/>
  <c r="T125" i="81"/>
  <c r="S125" i="81"/>
  <c r="J125" i="81"/>
  <c r="E125" i="81"/>
  <c r="D125" i="81"/>
  <c r="C125" i="81"/>
  <c r="B125" i="81"/>
  <c r="A125" i="81"/>
  <c r="AC124" i="81"/>
  <c r="AB124" i="81"/>
  <c r="AA124" i="81"/>
  <c r="V124" i="81"/>
  <c r="U124" i="81"/>
  <c r="T124" i="81"/>
  <c r="S124" i="81"/>
  <c r="N124" i="81"/>
  <c r="M124" i="81"/>
  <c r="L124" i="81"/>
  <c r="K124" i="81"/>
  <c r="J124" i="81"/>
  <c r="I124" i="81"/>
  <c r="H124" i="81"/>
  <c r="G124" i="81"/>
  <c r="F124" i="81"/>
  <c r="E124" i="81"/>
  <c r="D124" i="81"/>
  <c r="C124" i="81"/>
  <c r="B124" i="81"/>
  <c r="A124" i="81"/>
  <c r="AC123" i="81"/>
  <c r="AB123" i="81"/>
  <c r="AA123" i="81"/>
  <c r="V123" i="81"/>
  <c r="U123" i="81"/>
  <c r="T123" i="81"/>
  <c r="S123" i="81"/>
  <c r="J123" i="81"/>
  <c r="E123" i="81"/>
  <c r="D123" i="81"/>
  <c r="C123" i="81"/>
  <c r="B123" i="81"/>
  <c r="A123" i="81"/>
  <c r="AC122" i="81"/>
  <c r="AB122" i="81"/>
  <c r="AA122" i="81"/>
  <c r="V122" i="81"/>
  <c r="U122" i="81"/>
  <c r="T122" i="81"/>
  <c r="S122" i="81"/>
  <c r="N122" i="81"/>
  <c r="M122" i="81"/>
  <c r="L122" i="81"/>
  <c r="K122" i="81"/>
  <c r="J122" i="81"/>
  <c r="I122" i="81"/>
  <c r="H122" i="81"/>
  <c r="G122" i="81"/>
  <c r="F122" i="81"/>
  <c r="E122" i="81"/>
  <c r="D122" i="81"/>
  <c r="C122" i="81"/>
  <c r="B122" i="81"/>
  <c r="A122" i="81"/>
  <c r="AC121" i="81"/>
  <c r="AB121" i="81"/>
  <c r="AA121" i="81"/>
  <c r="V121" i="81"/>
  <c r="U121" i="81"/>
  <c r="T121" i="81"/>
  <c r="S121" i="81"/>
  <c r="N121" i="81"/>
  <c r="M121" i="81"/>
  <c r="L121" i="81"/>
  <c r="K121" i="81"/>
  <c r="J121" i="81"/>
  <c r="I121" i="81"/>
  <c r="H121" i="81"/>
  <c r="G121" i="81"/>
  <c r="F121" i="81"/>
  <c r="E121" i="81"/>
  <c r="D121" i="81"/>
  <c r="C121" i="81"/>
  <c r="B121" i="81"/>
  <c r="A121" i="81"/>
  <c r="AC120" i="81"/>
  <c r="AB120" i="81"/>
  <c r="AA120" i="81"/>
  <c r="V120" i="81"/>
  <c r="U120" i="81"/>
  <c r="T120" i="81"/>
  <c r="S120" i="81"/>
  <c r="N120" i="81"/>
  <c r="M120" i="81"/>
  <c r="L120" i="81"/>
  <c r="K120" i="81"/>
  <c r="J120" i="81"/>
  <c r="I120" i="81"/>
  <c r="H120" i="81"/>
  <c r="G120" i="81"/>
  <c r="F120" i="81"/>
  <c r="E120" i="81"/>
  <c r="D120" i="81"/>
  <c r="C120" i="81"/>
  <c r="B120" i="81"/>
  <c r="A120" i="81"/>
  <c r="AC119" i="81"/>
  <c r="AB119" i="81"/>
  <c r="AA119" i="81"/>
  <c r="V119" i="81"/>
  <c r="U119" i="81"/>
  <c r="T119" i="81"/>
  <c r="S119" i="81"/>
  <c r="N119" i="81"/>
  <c r="M119" i="81"/>
  <c r="L119" i="81"/>
  <c r="K119" i="81"/>
  <c r="J119" i="81"/>
  <c r="I119" i="81"/>
  <c r="H119" i="81"/>
  <c r="G119" i="81"/>
  <c r="F119" i="81"/>
  <c r="E119" i="81"/>
  <c r="D119" i="81"/>
  <c r="C119" i="81"/>
  <c r="B119" i="81"/>
  <c r="A119" i="81"/>
  <c r="AC118" i="81"/>
  <c r="AB118" i="81"/>
  <c r="AA118" i="81"/>
  <c r="V118" i="81"/>
  <c r="U118" i="81"/>
  <c r="T118" i="81"/>
  <c r="S118" i="81"/>
  <c r="N118" i="81"/>
  <c r="M118" i="81"/>
  <c r="L118" i="81"/>
  <c r="K118" i="81"/>
  <c r="J118" i="81"/>
  <c r="I118" i="81"/>
  <c r="H118" i="81"/>
  <c r="G118" i="81"/>
  <c r="F118" i="81"/>
  <c r="E118" i="81"/>
  <c r="D118" i="81"/>
  <c r="C118" i="81"/>
  <c r="B118" i="81"/>
  <c r="A118" i="81"/>
  <c r="AC117" i="81"/>
  <c r="AB117" i="81"/>
  <c r="AA117" i="81"/>
  <c r="V117" i="81"/>
  <c r="U117" i="81"/>
  <c r="T117" i="81"/>
  <c r="S117" i="81"/>
  <c r="N117" i="81"/>
  <c r="M117" i="81"/>
  <c r="L117" i="81"/>
  <c r="K117" i="81"/>
  <c r="J117" i="81"/>
  <c r="I117" i="81"/>
  <c r="H117" i="81"/>
  <c r="G117" i="81"/>
  <c r="F117" i="81"/>
  <c r="E117" i="81"/>
  <c r="D117" i="81"/>
  <c r="C117" i="81"/>
  <c r="B117" i="81"/>
  <c r="A117" i="81"/>
  <c r="AC116" i="81"/>
  <c r="AB116" i="81"/>
  <c r="AA116" i="81"/>
  <c r="V116" i="81"/>
  <c r="U116" i="81"/>
  <c r="T116" i="81"/>
  <c r="S116" i="81"/>
  <c r="N116" i="81"/>
  <c r="M116" i="81"/>
  <c r="L116" i="81"/>
  <c r="K116" i="81"/>
  <c r="J116" i="81"/>
  <c r="I116" i="81"/>
  <c r="H116" i="81"/>
  <c r="G116" i="81"/>
  <c r="F116" i="81"/>
  <c r="E116" i="81"/>
  <c r="D116" i="81"/>
  <c r="C116" i="81"/>
  <c r="B116" i="81"/>
  <c r="A116" i="81"/>
  <c r="AC115" i="81"/>
  <c r="AB115" i="81"/>
  <c r="AA115" i="81"/>
  <c r="V115" i="81"/>
  <c r="U115" i="81"/>
  <c r="T115" i="81"/>
  <c r="S115" i="81"/>
  <c r="N115" i="81"/>
  <c r="M115" i="81"/>
  <c r="L115" i="81"/>
  <c r="K115" i="81"/>
  <c r="J115" i="81"/>
  <c r="I115" i="81"/>
  <c r="H115" i="81"/>
  <c r="G115" i="81"/>
  <c r="F115" i="81"/>
  <c r="E115" i="81"/>
  <c r="D115" i="81"/>
  <c r="C115" i="81"/>
  <c r="B115" i="81"/>
  <c r="A115" i="81"/>
  <c r="AC114" i="81"/>
  <c r="AB114" i="81"/>
  <c r="AA114" i="81"/>
  <c r="V114" i="81"/>
  <c r="U114" i="81"/>
  <c r="T114" i="81"/>
  <c r="S114" i="81"/>
  <c r="J114" i="81"/>
  <c r="I114" i="81"/>
  <c r="H114" i="81"/>
  <c r="G114" i="81"/>
  <c r="F114" i="81"/>
  <c r="E114" i="81"/>
  <c r="D114" i="81"/>
  <c r="C114" i="81"/>
  <c r="B114" i="81"/>
  <c r="A114" i="81"/>
  <c r="AC113" i="81"/>
  <c r="AB113" i="81"/>
  <c r="AA113" i="81"/>
  <c r="V113" i="81"/>
  <c r="U113" i="81"/>
  <c r="T113" i="81"/>
  <c r="S113" i="81"/>
  <c r="N113" i="81"/>
  <c r="M113" i="81"/>
  <c r="L113" i="81"/>
  <c r="K113" i="81"/>
  <c r="J113" i="81"/>
  <c r="I113" i="81"/>
  <c r="H113" i="81"/>
  <c r="G113" i="81"/>
  <c r="F113" i="81"/>
  <c r="E113" i="81"/>
  <c r="D113" i="81"/>
  <c r="C113" i="81"/>
  <c r="B113" i="81"/>
  <c r="A113" i="81"/>
  <c r="AC112" i="81"/>
  <c r="AB112" i="81"/>
  <c r="AA112" i="81"/>
  <c r="V112" i="81"/>
  <c r="U112" i="81"/>
  <c r="T112" i="81"/>
  <c r="S112" i="81"/>
  <c r="N112" i="81"/>
  <c r="M112" i="81"/>
  <c r="L112" i="81"/>
  <c r="K112" i="81"/>
  <c r="J112" i="81"/>
  <c r="I112" i="81"/>
  <c r="H112" i="81"/>
  <c r="G112" i="81"/>
  <c r="F112" i="81"/>
  <c r="E112" i="81"/>
  <c r="D112" i="81"/>
  <c r="C112" i="81"/>
  <c r="B112" i="81"/>
  <c r="A112" i="81"/>
  <c r="AC111" i="81"/>
  <c r="AB111" i="81"/>
  <c r="AA111" i="81"/>
  <c r="V111" i="81"/>
  <c r="U111" i="81"/>
  <c r="T111" i="81"/>
  <c r="S111" i="81"/>
  <c r="N111" i="81"/>
  <c r="M111" i="81"/>
  <c r="L111" i="81"/>
  <c r="K111" i="81"/>
  <c r="J111" i="81"/>
  <c r="I111" i="81"/>
  <c r="H111" i="81"/>
  <c r="G111" i="81"/>
  <c r="F111" i="81"/>
  <c r="E111" i="81"/>
  <c r="D111" i="81"/>
  <c r="C111" i="81"/>
  <c r="B111" i="81"/>
  <c r="A111" i="81"/>
  <c r="AC110" i="81"/>
  <c r="AB110" i="81"/>
  <c r="AA110" i="81"/>
  <c r="V110" i="81"/>
  <c r="U110" i="81"/>
  <c r="T110" i="81"/>
  <c r="S110" i="81"/>
  <c r="N110" i="81"/>
  <c r="M110" i="81"/>
  <c r="L110" i="81"/>
  <c r="K110" i="81"/>
  <c r="J110" i="81"/>
  <c r="I110" i="81"/>
  <c r="H110" i="81"/>
  <c r="G110" i="81"/>
  <c r="F110" i="81"/>
  <c r="E110" i="81"/>
  <c r="D110" i="81"/>
  <c r="C110" i="81"/>
  <c r="B110" i="81"/>
  <c r="A110" i="81"/>
  <c r="AC109" i="81"/>
  <c r="AB109" i="81"/>
  <c r="AA109" i="81"/>
  <c r="V109" i="81"/>
  <c r="U109" i="81"/>
  <c r="T109" i="81"/>
  <c r="S109" i="81"/>
  <c r="N109" i="81"/>
  <c r="M109" i="81"/>
  <c r="L109" i="81"/>
  <c r="K109" i="81"/>
  <c r="J109" i="81"/>
  <c r="I109" i="81"/>
  <c r="H109" i="81"/>
  <c r="G109" i="81"/>
  <c r="F109" i="81"/>
  <c r="E109" i="81"/>
  <c r="D109" i="81"/>
  <c r="C109" i="81"/>
  <c r="B109" i="81"/>
  <c r="A109" i="81"/>
  <c r="AC108" i="81"/>
  <c r="AB108" i="81"/>
  <c r="AA108" i="81"/>
  <c r="V108" i="81"/>
  <c r="U108" i="81"/>
  <c r="T108" i="81"/>
  <c r="S108" i="81"/>
  <c r="J108" i="81"/>
  <c r="E108" i="81"/>
  <c r="D108" i="81"/>
  <c r="C108" i="81"/>
  <c r="B108" i="81"/>
  <c r="A108" i="81"/>
  <c r="AC107" i="81"/>
  <c r="AB107" i="81"/>
  <c r="AA107" i="81"/>
  <c r="V107" i="81"/>
  <c r="U107" i="81"/>
  <c r="T107" i="81"/>
  <c r="S107" i="81"/>
  <c r="N107" i="81"/>
  <c r="M107" i="81"/>
  <c r="L107" i="81"/>
  <c r="K107" i="81"/>
  <c r="J107" i="81"/>
  <c r="I107" i="81"/>
  <c r="H107" i="81"/>
  <c r="G107" i="81"/>
  <c r="F107" i="81"/>
  <c r="E107" i="81"/>
  <c r="D107" i="81"/>
  <c r="C107" i="81"/>
  <c r="B107" i="81"/>
  <c r="A107" i="81"/>
  <c r="AC106" i="81"/>
  <c r="AB106" i="81"/>
  <c r="AA106" i="81"/>
  <c r="V106" i="81"/>
  <c r="U106" i="81"/>
  <c r="T106" i="81"/>
  <c r="S106" i="81"/>
  <c r="J106" i="81"/>
  <c r="E106" i="81"/>
  <c r="D106" i="81"/>
  <c r="C106" i="81"/>
  <c r="B106" i="81"/>
  <c r="A106" i="81"/>
  <c r="AC105" i="81"/>
  <c r="AB105" i="81"/>
  <c r="AA105" i="81"/>
  <c r="V105" i="81"/>
  <c r="U105" i="81"/>
  <c r="T105" i="81"/>
  <c r="S105" i="81"/>
  <c r="N105" i="81"/>
  <c r="M105" i="81"/>
  <c r="L105" i="81"/>
  <c r="K105" i="81"/>
  <c r="J105" i="81"/>
  <c r="I105" i="81"/>
  <c r="H105" i="81"/>
  <c r="G105" i="81"/>
  <c r="F105" i="81"/>
  <c r="E105" i="81"/>
  <c r="D105" i="81"/>
  <c r="C105" i="81"/>
  <c r="B105" i="81"/>
  <c r="A105" i="81"/>
  <c r="AC104" i="81"/>
  <c r="AB104" i="81"/>
  <c r="AA104" i="81"/>
  <c r="V104" i="81"/>
  <c r="U104" i="81"/>
  <c r="T104" i="81"/>
  <c r="S104" i="81"/>
  <c r="N104" i="81"/>
  <c r="M104" i="81"/>
  <c r="L104" i="81"/>
  <c r="K104" i="81"/>
  <c r="J104" i="81"/>
  <c r="I104" i="81"/>
  <c r="H104" i="81"/>
  <c r="G104" i="81"/>
  <c r="F104" i="81"/>
  <c r="E104" i="81"/>
  <c r="D104" i="81"/>
  <c r="C104" i="81"/>
  <c r="B104" i="81"/>
  <c r="A104" i="81"/>
  <c r="AC103" i="81"/>
  <c r="AB103" i="81"/>
  <c r="AA103" i="81"/>
  <c r="V103" i="81"/>
  <c r="U103" i="81"/>
  <c r="T103" i="81"/>
  <c r="S103" i="81"/>
  <c r="N103" i="81"/>
  <c r="M103" i="81"/>
  <c r="L103" i="81"/>
  <c r="K103" i="81"/>
  <c r="J103" i="81"/>
  <c r="I103" i="81"/>
  <c r="H103" i="81"/>
  <c r="G103" i="81"/>
  <c r="F103" i="81"/>
  <c r="E103" i="81"/>
  <c r="D103" i="81"/>
  <c r="C103" i="81"/>
  <c r="B103" i="81"/>
  <c r="A103" i="81"/>
  <c r="AC102" i="81"/>
  <c r="AB102" i="81"/>
  <c r="AA102" i="81"/>
  <c r="V102" i="81"/>
  <c r="U102" i="81"/>
  <c r="T102" i="81"/>
  <c r="S102" i="81"/>
  <c r="N102" i="81"/>
  <c r="M102" i="81"/>
  <c r="L102" i="81"/>
  <c r="K102" i="81"/>
  <c r="J102" i="81"/>
  <c r="I102" i="81"/>
  <c r="H102" i="81"/>
  <c r="G102" i="81"/>
  <c r="F102" i="81"/>
  <c r="E102" i="81"/>
  <c r="D102" i="81"/>
  <c r="C102" i="81"/>
  <c r="B102" i="81"/>
  <c r="A102" i="81"/>
  <c r="AC101" i="81"/>
  <c r="AB101" i="81"/>
  <c r="AA101" i="81"/>
  <c r="V101" i="81"/>
  <c r="U101" i="81"/>
  <c r="T101" i="81"/>
  <c r="S101" i="81"/>
  <c r="N101" i="81"/>
  <c r="M101" i="81"/>
  <c r="L101" i="81"/>
  <c r="K101" i="81"/>
  <c r="J101" i="81"/>
  <c r="I101" i="81"/>
  <c r="H101" i="81"/>
  <c r="G101" i="81"/>
  <c r="F101" i="81"/>
  <c r="E101" i="81"/>
  <c r="D101" i="81"/>
  <c r="C101" i="81"/>
  <c r="B101" i="81"/>
  <c r="A101" i="81"/>
  <c r="AC100" i="81"/>
  <c r="AB100" i="81"/>
  <c r="AA100" i="81"/>
  <c r="V100" i="81"/>
  <c r="U100" i="81"/>
  <c r="T100" i="81"/>
  <c r="S100" i="81"/>
  <c r="N100" i="81"/>
  <c r="M100" i="81"/>
  <c r="L100" i="81"/>
  <c r="K100" i="81"/>
  <c r="J100" i="81"/>
  <c r="I100" i="81"/>
  <c r="H100" i="81"/>
  <c r="G100" i="81"/>
  <c r="F100" i="81"/>
  <c r="E100" i="81"/>
  <c r="D100" i="81"/>
  <c r="C100" i="81"/>
  <c r="B100" i="81"/>
  <c r="A100" i="81"/>
  <c r="AC99" i="81"/>
  <c r="AB99" i="81"/>
  <c r="AA99" i="81"/>
  <c r="V99" i="81"/>
  <c r="U99" i="81"/>
  <c r="T99" i="81"/>
  <c r="S99" i="81"/>
  <c r="N99" i="81"/>
  <c r="M99" i="81"/>
  <c r="L99" i="81"/>
  <c r="K99" i="81"/>
  <c r="J99" i="81"/>
  <c r="I99" i="81"/>
  <c r="H99" i="81"/>
  <c r="G99" i="81"/>
  <c r="F99" i="81"/>
  <c r="E99" i="81"/>
  <c r="D99" i="81"/>
  <c r="C99" i="81"/>
  <c r="B99" i="81"/>
  <c r="A99" i="81"/>
  <c r="AC98" i="81"/>
  <c r="AB98" i="81"/>
  <c r="AA98" i="81"/>
  <c r="V98" i="81"/>
  <c r="U98" i="81"/>
  <c r="T98" i="81"/>
  <c r="S98" i="81"/>
  <c r="N98" i="81"/>
  <c r="M98" i="81"/>
  <c r="L98" i="81"/>
  <c r="K98" i="81"/>
  <c r="J98" i="81"/>
  <c r="I98" i="81"/>
  <c r="H98" i="81"/>
  <c r="G98" i="81"/>
  <c r="F98" i="81"/>
  <c r="E98" i="81"/>
  <c r="D98" i="81"/>
  <c r="C98" i="81"/>
  <c r="B98" i="81"/>
  <c r="A98" i="81"/>
  <c r="AC97" i="81"/>
  <c r="AB97" i="81"/>
  <c r="AA97" i="81"/>
  <c r="V97" i="81"/>
  <c r="U97" i="81"/>
  <c r="T97" i="81"/>
  <c r="S97" i="81"/>
  <c r="N97" i="81"/>
  <c r="M97" i="81"/>
  <c r="L97" i="81"/>
  <c r="K97" i="81"/>
  <c r="J97" i="81"/>
  <c r="I97" i="81"/>
  <c r="H97" i="81"/>
  <c r="G97" i="81"/>
  <c r="F97" i="81"/>
  <c r="E97" i="81"/>
  <c r="D97" i="81"/>
  <c r="C97" i="81"/>
  <c r="B97" i="81"/>
  <c r="A97" i="81"/>
  <c r="AC96" i="81"/>
  <c r="AB96" i="81"/>
  <c r="AA96" i="81"/>
  <c r="V96" i="81"/>
  <c r="U96" i="81"/>
  <c r="T96" i="81"/>
  <c r="S96" i="81"/>
  <c r="N96" i="81"/>
  <c r="M96" i="81"/>
  <c r="L96" i="81"/>
  <c r="K96" i="81"/>
  <c r="J96" i="81"/>
  <c r="I96" i="81"/>
  <c r="H96" i="81"/>
  <c r="G96" i="81"/>
  <c r="F96" i="81"/>
  <c r="E96" i="81"/>
  <c r="D96" i="81"/>
  <c r="C96" i="81"/>
  <c r="B96" i="81"/>
  <c r="A96" i="81"/>
  <c r="AC95" i="81"/>
  <c r="AB95" i="81"/>
  <c r="AA95" i="81"/>
  <c r="V95" i="81"/>
  <c r="U95" i="81"/>
  <c r="T95" i="81"/>
  <c r="S95" i="81"/>
  <c r="N95" i="81"/>
  <c r="M95" i="81"/>
  <c r="L95" i="81"/>
  <c r="K95" i="81"/>
  <c r="J95" i="81"/>
  <c r="I95" i="81"/>
  <c r="H95" i="81"/>
  <c r="G95" i="81"/>
  <c r="F95" i="81"/>
  <c r="E95" i="81"/>
  <c r="D95" i="81"/>
  <c r="C95" i="81"/>
  <c r="B95" i="81"/>
  <c r="A95" i="81"/>
  <c r="AC94" i="81"/>
  <c r="AB94" i="81"/>
  <c r="AA94" i="81"/>
  <c r="V94" i="81"/>
  <c r="U94" i="81"/>
  <c r="T94" i="81"/>
  <c r="S94" i="81"/>
  <c r="N94" i="81"/>
  <c r="M94" i="81"/>
  <c r="L94" i="81"/>
  <c r="K94" i="81"/>
  <c r="J94" i="81"/>
  <c r="I94" i="81"/>
  <c r="H94" i="81"/>
  <c r="G94" i="81"/>
  <c r="F94" i="81"/>
  <c r="E94" i="81"/>
  <c r="D94" i="81"/>
  <c r="C94" i="81"/>
  <c r="B94" i="81"/>
  <c r="A94" i="81"/>
  <c r="AC93" i="81"/>
  <c r="AB93" i="81"/>
  <c r="AA93" i="81"/>
  <c r="V93" i="81"/>
  <c r="U93" i="81"/>
  <c r="T93" i="81"/>
  <c r="S93" i="81"/>
  <c r="N93" i="81"/>
  <c r="M93" i="81"/>
  <c r="L93" i="81"/>
  <c r="K93" i="81"/>
  <c r="J93" i="81"/>
  <c r="I93" i="81"/>
  <c r="H93" i="81"/>
  <c r="G93" i="81"/>
  <c r="F93" i="81"/>
  <c r="E93" i="81"/>
  <c r="D93" i="81"/>
  <c r="C93" i="81"/>
  <c r="B93" i="81"/>
  <c r="A93" i="81"/>
  <c r="AC92" i="81"/>
  <c r="AB92" i="81"/>
  <c r="AA92" i="81"/>
  <c r="V92" i="81"/>
  <c r="U92" i="81"/>
  <c r="T92" i="81"/>
  <c r="S92" i="81"/>
  <c r="J92" i="81"/>
  <c r="E92" i="81"/>
  <c r="D92" i="81"/>
  <c r="C92" i="81"/>
  <c r="B92" i="81"/>
  <c r="A92" i="81"/>
  <c r="AC91" i="81"/>
  <c r="AB91" i="81"/>
  <c r="AA91" i="81"/>
  <c r="V91" i="81"/>
  <c r="U91" i="81"/>
  <c r="T91" i="81"/>
  <c r="S91" i="81"/>
  <c r="N91" i="81"/>
  <c r="M91" i="81"/>
  <c r="L91" i="81"/>
  <c r="K91" i="81"/>
  <c r="J91" i="81"/>
  <c r="I91" i="81"/>
  <c r="H91" i="81"/>
  <c r="G91" i="81"/>
  <c r="F91" i="81"/>
  <c r="E91" i="81"/>
  <c r="D91" i="81"/>
  <c r="C91" i="81"/>
  <c r="B91" i="81"/>
  <c r="A91" i="81"/>
  <c r="AC90" i="81"/>
  <c r="AB90" i="81"/>
  <c r="AA90" i="81"/>
  <c r="V90" i="81"/>
  <c r="U90" i="81"/>
  <c r="T90" i="81"/>
  <c r="S90" i="81"/>
  <c r="J90" i="81"/>
  <c r="E90" i="81"/>
  <c r="D90" i="81"/>
  <c r="C90" i="81"/>
  <c r="B90" i="81"/>
  <c r="A90" i="81"/>
  <c r="AC89" i="81"/>
  <c r="AB89" i="81"/>
  <c r="AA89" i="81"/>
  <c r="V89" i="81"/>
  <c r="U89" i="81"/>
  <c r="T89" i="81"/>
  <c r="S89" i="81"/>
  <c r="N89" i="81"/>
  <c r="M89" i="81"/>
  <c r="L89" i="81"/>
  <c r="K89" i="81"/>
  <c r="J89" i="81"/>
  <c r="I89" i="81"/>
  <c r="H89" i="81"/>
  <c r="G89" i="81"/>
  <c r="F89" i="81"/>
  <c r="E89" i="81"/>
  <c r="D89" i="81"/>
  <c r="C89" i="81"/>
  <c r="B89" i="81"/>
  <c r="A89" i="81"/>
  <c r="AC88" i="81"/>
  <c r="AB88" i="81"/>
  <c r="AA88" i="81"/>
  <c r="V88" i="81"/>
  <c r="U88" i="81"/>
  <c r="T88" i="81"/>
  <c r="S88" i="81"/>
  <c r="N88" i="81"/>
  <c r="M88" i="81"/>
  <c r="L88" i="81"/>
  <c r="K88" i="81"/>
  <c r="J88" i="81"/>
  <c r="I88" i="81"/>
  <c r="H88" i="81"/>
  <c r="G88" i="81"/>
  <c r="F88" i="81"/>
  <c r="E88" i="81"/>
  <c r="D88" i="81"/>
  <c r="C88" i="81"/>
  <c r="B88" i="81"/>
  <c r="A88" i="81"/>
  <c r="AC87" i="81"/>
  <c r="AB87" i="81"/>
  <c r="AA87" i="81"/>
  <c r="V87" i="81"/>
  <c r="U87" i="81"/>
  <c r="T87" i="81"/>
  <c r="S87" i="81"/>
  <c r="N87" i="81"/>
  <c r="M87" i="81"/>
  <c r="L87" i="81"/>
  <c r="K87" i="81"/>
  <c r="J87" i="81"/>
  <c r="I87" i="81"/>
  <c r="H87" i="81"/>
  <c r="G87" i="81"/>
  <c r="F87" i="81"/>
  <c r="E87" i="81"/>
  <c r="D87" i="81"/>
  <c r="C87" i="81"/>
  <c r="B87" i="81"/>
  <c r="A87" i="81"/>
  <c r="AC86" i="81"/>
  <c r="AB86" i="81"/>
  <c r="AA86" i="81"/>
  <c r="V86" i="81"/>
  <c r="U86" i="81"/>
  <c r="T86" i="81"/>
  <c r="S86" i="81"/>
  <c r="N86" i="81"/>
  <c r="M86" i="81"/>
  <c r="L86" i="81"/>
  <c r="K86" i="81"/>
  <c r="J86" i="81"/>
  <c r="I86" i="81"/>
  <c r="H86" i="81"/>
  <c r="G86" i="81"/>
  <c r="F86" i="81"/>
  <c r="E86" i="81"/>
  <c r="D86" i="81"/>
  <c r="C86" i="81"/>
  <c r="B86" i="81"/>
  <c r="A86" i="81"/>
  <c r="AC85" i="81"/>
  <c r="AB85" i="81"/>
  <c r="AA85" i="81"/>
  <c r="V85" i="81"/>
  <c r="U85" i="81"/>
  <c r="T85" i="81"/>
  <c r="S85" i="81"/>
  <c r="N85" i="81"/>
  <c r="M85" i="81"/>
  <c r="L85" i="81"/>
  <c r="K85" i="81"/>
  <c r="J85" i="81"/>
  <c r="I85" i="81"/>
  <c r="H85" i="81"/>
  <c r="G85" i="81"/>
  <c r="F85" i="81"/>
  <c r="E85" i="81"/>
  <c r="D85" i="81"/>
  <c r="C85" i="81"/>
  <c r="B85" i="81"/>
  <c r="A85" i="81"/>
  <c r="AC84" i="81"/>
  <c r="AB84" i="81"/>
  <c r="AA84" i="81"/>
  <c r="V84" i="81"/>
  <c r="U84" i="81"/>
  <c r="T84" i="81"/>
  <c r="S84" i="81"/>
  <c r="N84" i="81"/>
  <c r="M84" i="81"/>
  <c r="L84" i="81"/>
  <c r="K84" i="81"/>
  <c r="J84" i="81"/>
  <c r="I84" i="81"/>
  <c r="H84" i="81"/>
  <c r="G84" i="81"/>
  <c r="F84" i="81"/>
  <c r="E84" i="81"/>
  <c r="D84" i="81"/>
  <c r="C84" i="81"/>
  <c r="B84" i="81"/>
  <c r="A84" i="81"/>
  <c r="AC83" i="81"/>
  <c r="AB83" i="81"/>
  <c r="AA83" i="81"/>
  <c r="V83" i="81"/>
  <c r="U83" i="81"/>
  <c r="T83" i="81"/>
  <c r="S83" i="81"/>
  <c r="N83" i="81"/>
  <c r="M83" i="81"/>
  <c r="L83" i="81"/>
  <c r="K83" i="81"/>
  <c r="J83" i="81"/>
  <c r="I83" i="81"/>
  <c r="H83" i="81"/>
  <c r="G83" i="81"/>
  <c r="F83" i="81"/>
  <c r="E83" i="81"/>
  <c r="D83" i="81"/>
  <c r="C83" i="81"/>
  <c r="B83" i="81"/>
  <c r="A83" i="81"/>
  <c r="AC82" i="81"/>
  <c r="AB82" i="81"/>
  <c r="AA82" i="81"/>
  <c r="V82" i="81"/>
  <c r="U82" i="81"/>
  <c r="T82" i="81"/>
  <c r="S82" i="81"/>
  <c r="N82" i="81"/>
  <c r="M82" i="81"/>
  <c r="L82" i="81"/>
  <c r="K82" i="81"/>
  <c r="J82" i="81"/>
  <c r="I82" i="81"/>
  <c r="H82" i="81"/>
  <c r="G82" i="81"/>
  <c r="F82" i="81"/>
  <c r="E82" i="81"/>
  <c r="D82" i="81"/>
  <c r="C82" i="81"/>
  <c r="B82" i="81"/>
  <c r="A82" i="81"/>
  <c r="AC81" i="81"/>
  <c r="AB81" i="81"/>
  <c r="AA81" i="81"/>
  <c r="V81" i="81"/>
  <c r="U81" i="81"/>
  <c r="T81" i="81"/>
  <c r="S81" i="81"/>
  <c r="N81" i="81"/>
  <c r="M81" i="81"/>
  <c r="L81" i="81"/>
  <c r="K81" i="81"/>
  <c r="J81" i="81"/>
  <c r="I81" i="81"/>
  <c r="H81" i="81"/>
  <c r="G81" i="81"/>
  <c r="F81" i="81"/>
  <c r="E81" i="81"/>
  <c r="D81" i="81"/>
  <c r="C81" i="81"/>
  <c r="B81" i="81"/>
  <c r="A81" i="81"/>
  <c r="AC80" i="81"/>
  <c r="AB80" i="81"/>
  <c r="AA80" i="81"/>
  <c r="V80" i="81"/>
  <c r="U80" i="81"/>
  <c r="T80" i="81"/>
  <c r="S80" i="81"/>
  <c r="N80" i="81"/>
  <c r="M80" i="81"/>
  <c r="L80" i="81"/>
  <c r="K80" i="81"/>
  <c r="J80" i="81"/>
  <c r="I80" i="81"/>
  <c r="H80" i="81"/>
  <c r="G80" i="81"/>
  <c r="F80" i="81"/>
  <c r="E80" i="81"/>
  <c r="D80" i="81"/>
  <c r="C80" i="81"/>
  <c r="B80" i="81"/>
  <c r="A80" i="81"/>
  <c r="AC79" i="81"/>
  <c r="AB79" i="81"/>
  <c r="AA79" i="81"/>
  <c r="V79" i="81"/>
  <c r="U79" i="81"/>
  <c r="T79" i="81"/>
  <c r="S79" i="81"/>
  <c r="N79" i="81"/>
  <c r="M79" i="81"/>
  <c r="L79" i="81"/>
  <c r="K79" i="81"/>
  <c r="J79" i="81"/>
  <c r="I79" i="81"/>
  <c r="H79" i="81"/>
  <c r="G79" i="81"/>
  <c r="F79" i="81"/>
  <c r="E79" i="81"/>
  <c r="D79" i="81"/>
  <c r="C79" i="81"/>
  <c r="B79" i="81"/>
  <c r="A79" i="81"/>
  <c r="AC78" i="81"/>
  <c r="AB78" i="81"/>
  <c r="AA78" i="81"/>
  <c r="V78" i="81"/>
  <c r="U78" i="81"/>
  <c r="T78" i="81"/>
  <c r="S78" i="81"/>
  <c r="N78" i="81"/>
  <c r="M78" i="81"/>
  <c r="L78" i="81"/>
  <c r="K78" i="81"/>
  <c r="J78" i="81"/>
  <c r="I78" i="81"/>
  <c r="H78" i="81"/>
  <c r="G78" i="81"/>
  <c r="F78" i="81"/>
  <c r="E78" i="81"/>
  <c r="D78" i="81"/>
  <c r="C78" i="81"/>
  <c r="B78" i="81"/>
  <c r="A78" i="81"/>
  <c r="AC77" i="81"/>
  <c r="AB77" i="81"/>
  <c r="AA77" i="81"/>
  <c r="V77" i="81"/>
  <c r="U77" i="81"/>
  <c r="T77" i="81"/>
  <c r="S77" i="81"/>
  <c r="N77" i="81"/>
  <c r="M77" i="81"/>
  <c r="L77" i="81"/>
  <c r="K77" i="81"/>
  <c r="J77" i="81"/>
  <c r="I77" i="81"/>
  <c r="H77" i="81"/>
  <c r="G77" i="81"/>
  <c r="F77" i="81"/>
  <c r="E77" i="81"/>
  <c r="D77" i="81"/>
  <c r="C77" i="81"/>
  <c r="B77" i="81"/>
  <c r="A77" i="81"/>
  <c r="AC76" i="81"/>
  <c r="AB76" i="81"/>
  <c r="AA76" i="81"/>
  <c r="V76" i="81"/>
  <c r="U76" i="81"/>
  <c r="T76" i="81"/>
  <c r="S76" i="81"/>
  <c r="N76" i="81"/>
  <c r="M76" i="81"/>
  <c r="L76" i="81"/>
  <c r="K76" i="81"/>
  <c r="J76" i="81"/>
  <c r="I76" i="81"/>
  <c r="H76" i="81"/>
  <c r="G76" i="81"/>
  <c r="F76" i="81"/>
  <c r="E76" i="81"/>
  <c r="D76" i="81"/>
  <c r="C76" i="81"/>
  <c r="B76" i="81"/>
  <c r="A76" i="81"/>
  <c r="AC75" i="81"/>
  <c r="AB75" i="81"/>
  <c r="AA75" i="81"/>
  <c r="V75" i="81"/>
  <c r="U75" i="81"/>
  <c r="T75" i="81"/>
  <c r="S75" i="81"/>
  <c r="J75" i="81"/>
  <c r="E75" i="81"/>
  <c r="D75" i="81"/>
  <c r="C75" i="81"/>
  <c r="B75" i="81"/>
  <c r="A75" i="81"/>
  <c r="AC74" i="81"/>
  <c r="AB74" i="81"/>
  <c r="AA74" i="81"/>
  <c r="V74" i="81"/>
  <c r="U74" i="81"/>
  <c r="T74" i="81"/>
  <c r="S74" i="81"/>
  <c r="N74" i="81"/>
  <c r="M74" i="81"/>
  <c r="L74" i="81"/>
  <c r="K74" i="81"/>
  <c r="J74" i="81"/>
  <c r="I74" i="81"/>
  <c r="H74" i="81"/>
  <c r="G74" i="81"/>
  <c r="F74" i="81"/>
  <c r="E74" i="81"/>
  <c r="D74" i="81"/>
  <c r="C74" i="81"/>
  <c r="B74" i="81"/>
  <c r="A74" i="81"/>
  <c r="AC73" i="81"/>
  <c r="AB73" i="81"/>
  <c r="AA73" i="81"/>
  <c r="V73" i="81"/>
  <c r="U73" i="81"/>
  <c r="T73" i="81"/>
  <c r="S73" i="81"/>
  <c r="J73" i="81"/>
  <c r="E73" i="81"/>
  <c r="D73" i="81"/>
  <c r="C73" i="81"/>
  <c r="B73" i="81"/>
  <c r="A73" i="81"/>
  <c r="AC72" i="81"/>
  <c r="AB72" i="81"/>
  <c r="AA72" i="81"/>
  <c r="V72" i="81"/>
  <c r="U72" i="81"/>
  <c r="T72" i="81"/>
  <c r="S72" i="81"/>
  <c r="N72" i="81"/>
  <c r="M72" i="81"/>
  <c r="L72" i="81"/>
  <c r="K72" i="81"/>
  <c r="J72" i="81"/>
  <c r="I72" i="81"/>
  <c r="H72" i="81"/>
  <c r="G72" i="81"/>
  <c r="F72" i="81"/>
  <c r="E72" i="81"/>
  <c r="D72" i="81"/>
  <c r="C72" i="81"/>
  <c r="B72" i="81"/>
  <c r="A72" i="81"/>
  <c r="AC71" i="81"/>
  <c r="AB71" i="81"/>
  <c r="AA71" i="81"/>
  <c r="V71" i="81"/>
  <c r="U71" i="81"/>
  <c r="T71" i="81"/>
  <c r="S71" i="81"/>
  <c r="N71" i="81"/>
  <c r="M71" i="81"/>
  <c r="L71" i="81"/>
  <c r="K71" i="81"/>
  <c r="J71" i="81"/>
  <c r="I71" i="81"/>
  <c r="H71" i="81"/>
  <c r="G71" i="81"/>
  <c r="F71" i="81"/>
  <c r="E71" i="81"/>
  <c r="D71" i="81"/>
  <c r="C71" i="81"/>
  <c r="B71" i="81"/>
  <c r="A71" i="81"/>
  <c r="AC70" i="81"/>
  <c r="AB70" i="81"/>
  <c r="AA70" i="81"/>
  <c r="V70" i="81"/>
  <c r="U70" i="81"/>
  <c r="T70" i="81"/>
  <c r="S70" i="81"/>
  <c r="N70" i="81"/>
  <c r="M70" i="81"/>
  <c r="L70" i="81"/>
  <c r="K70" i="81"/>
  <c r="J70" i="81"/>
  <c r="I70" i="81"/>
  <c r="H70" i="81"/>
  <c r="G70" i="81"/>
  <c r="F70" i="81"/>
  <c r="E70" i="81"/>
  <c r="D70" i="81"/>
  <c r="C70" i="81"/>
  <c r="B70" i="81"/>
  <c r="A70" i="81"/>
  <c r="AC69" i="81"/>
  <c r="AB69" i="81"/>
  <c r="AA69" i="81"/>
  <c r="V69" i="81"/>
  <c r="U69" i="81"/>
  <c r="T69" i="81"/>
  <c r="S69" i="81"/>
  <c r="N69" i="81"/>
  <c r="M69" i="81"/>
  <c r="L69" i="81"/>
  <c r="K69" i="81"/>
  <c r="J69" i="81"/>
  <c r="I69" i="81"/>
  <c r="H69" i="81"/>
  <c r="G69" i="81"/>
  <c r="F69" i="81"/>
  <c r="E69" i="81"/>
  <c r="D69" i="81"/>
  <c r="C69" i="81"/>
  <c r="B69" i="81"/>
  <c r="A69" i="81"/>
  <c r="AC68" i="81"/>
  <c r="AB68" i="81"/>
  <c r="AA68" i="81"/>
  <c r="V68" i="81"/>
  <c r="U68" i="81"/>
  <c r="T68" i="81"/>
  <c r="S68" i="81"/>
  <c r="N68" i="81"/>
  <c r="M68" i="81"/>
  <c r="L68" i="81"/>
  <c r="K68" i="81"/>
  <c r="J68" i="81"/>
  <c r="I68" i="81"/>
  <c r="H68" i="81"/>
  <c r="G68" i="81"/>
  <c r="F68" i="81"/>
  <c r="E68" i="81"/>
  <c r="D68" i="81"/>
  <c r="C68" i="81"/>
  <c r="B68" i="81"/>
  <c r="A68" i="81"/>
  <c r="AC67" i="81"/>
  <c r="AB67" i="81"/>
  <c r="AA67" i="81"/>
  <c r="V67" i="81"/>
  <c r="U67" i="81"/>
  <c r="T67" i="81"/>
  <c r="S67" i="81"/>
  <c r="N67" i="81"/>
  <c r="M67" i="81"/>
  <c r="L67" i="81"/>
  <c r="K67" i="81"/>
  <c r="J67" i="81"/>
  <c r="I67" i="81"/>
  <c r="H67" i="81"/>
  <c r="G67" i="81"/>
  <c r="F67" i="81"/>
  <c r="E67" i="81"/>
  <c r="D67" i="81"/>
  <c r="C67" i="81"/>
  <c r="B67" i="81"/>
  <c r="A67" i="81"/>
  <c r="AC66" i="81"/>
  <c r="AB66" i="81"/>
  <c r="AA66" i="81"/>
  <c r="V66" i="81"/>
  <c r="U66" i="81"/>
  <c r="T66" i="81"/>
  <c r="S66" i="81"/>
  <c r="N66" i="81"/>
  <c r="M66" i="81"/>
  <c r="L66" i="81"/>
  <c r="K66" i="81"/>
  <c r="J66" i="81"/>
  <c r="I66" i="81"/>
  <c r="H66" i="81"/>
  <c r="G66" i="81"/>
  <c r="F66" i="81"/>
  <c r="E66" i="81"/>
  <c r="D66" i="81"/>
  <c r="C66" i="81"/>
  <c r="B66" i="81"/>
  <c r="A66" i="81"/>
  <c r="AC65" i="81"/>
  <c r="AB65" i="81"/>
  <c r="AA65" i="81"/>
  <c r="V65" i="81"/>
  <c r="U65" i="81"/>
  <c r="T65" i="81"/>
  <c r="S65" i="81"/>
  <c r="N65" i="81"/>
  <c r="M65" i="81"/>
  <c r="L65" i="81"/>
  <c r="K65" i="81"/>
  <c r="J65" i="81"/>
  <c r="I65" i="81"/>
  <c r="H65" i="81"/>
  <c r="G65" i="81"/>
  <c r="F65" i="81"/>
  <c r="E65" i="81"/>
  <c r="D65" i="81"/>
  <c r="C65" i="81"/>
  <c r="B65" i="81"/>
  <c r="A65" i="81"/>
  <c r="AC64" i="81"/>
  <c r="AB64" i="81"/>
  <c r="AA64" i="81"/>
  <c r="V64" i="81"/>
  <c r="U64" i="81"/>
  <c r="T64" i="81"/>
  <c r="S64" i="81"/>
  <c r="N64" i="81"/>
  <c r="M64" i="81"/>
  <c r="L64" i="81"/>
  <c r="K64" i="81"/>
  <c r="J64" i="81"/>
  <c r="I64" i="81"/>
  <c r="H64" i="81"/>
  <c r="G64" i="81"/>
  <c r="F64" i="81"/>
  <c r="E64" i="81"/>
  <c r="D64" i="81"/>
  <c r="C64" i="81"/>
  <c r="B64" i="81"/>
  <c r="A64" i="81"/>
  <c r="AC63" i="81"/>
  <c r="AB63" i="81"/>
  <c r="AA63" i="81"/>
  <c r="V63" i="81"/>
  <c r="U63" i="81"/>
  <c r="T63" i="81"/>
  <c r="S63" i="81"/>
  <c r="N63" i="81"/>
  <c r="M63" i="81"/>
  <c r="L63" i="81"/>
  <c r="K63" i="81"/>
  <c r="J63" i="81"/>
  <c r="I63" i="81"/>
  <c r="H63" i="81"/>
  <c r="G63" i="81"/>
  <c r="F63" i="81"/>
  <c r="E63" i="81"/>
  <c r="D63" i="81"/>
  <c r="C63" i="81"/>
  <c r="B63" i="81"/>
  <c r="A63" i="81"/>
  <c r="AC62" i="81"/>
  <c r="AB62" i="81"/>
  <c r="AA62" i="81"/>
  <c r="V62" i="81"/>
  <c r="U62" i="81"/>
  <c r="T62" i="81"/>
  <c r="S62" i="81"/>
  <c r="N62" i="81"/>
  <c r="M62" i="81"/>
  <c r="L62" i="81"/>
  <c r="K62" i="81"/>
  <c r="J62" i="81"/>
  <c r="I62" i="81"/>
  <c r="H62" i="81"/>
  <c r="G62" i="81"/>
  <c r="F62" i="81"/>
  <c r="E62" i="81"/>
  <c r="D62" i="81"/>
  <c r="C62" i="81"/>
  <c r="B62" i="81"/>
  <c r="A62" i="81"/>
  <c r="AC61" i="81"/>
  <c r="AB61" i="81"/>
  <c r="AA61" i="81"/>
  <c r="V61" i="81"/>
  <c r="U61" i="81"/>
  <c r="T61" i="81"/>
  <c r="S61" i="81"/>
  <c r="N61" i="81"/>
  <c r="M61" i="81"/>
  <c r="L61" i="81"/>
  <c r="K61" i="81"/>
  <c r="J61" i="81"/>
  <c r="I61" i="81"/>
  <c r="H61" i="81"/>
  <c r="G61" i="81"/>
  <c r="F61" i="81"/>
  <c r="E61" i="81"/>
  <c r="D61" i="81"/>
  <c r="C61" i="81"/>
  <c r="B61" i="81"/>
  <c r="A61" i="81"/>
  <c r="AC60" i="81"/>
  <c r="AB60" i="81"/>
  <c r="AA60" i="81"/>
  <c r="V60" i="81"/>
  <c r="U60" i="81"/>
  <c r="T60" i="81"/>
  <c r="S60" i="81"/>
  <c r="N60" i="81"/>
  <c r="M60" i="81"/>
  <c r="L60" i="81"/>
  <c r="K60" i="81"/>
  <c r="J60" i="81"/>
  <c r="I60" i="81"/>
  <c r="H60" i="81"/>
  <c r="G60" i="81"/>
  <c r="F60" i="81"/>
  <c r="E60" i="81"/>
  <c r="D60" i="81"/>
  <c r="C60" i="81"/>
  <c r="B60" i="81"/>
  <c r="A60" i="81"/>
  <c r="AC59" i="81"/>
  <c r="AB59" i="81"/>
  <c r="AA59" i="81"/>
  <c r="V59" i="81"/>
  <c r="U59" i="81"/>
  <c r="T59" i="81"/>
  <c r="S59" i="81"/>
  <c r="N59" i="81"/>
  <c r="M59" i="81"/>
  <c r="L59" i="81"/>
  <c r="K59" i="81"/>
  <c r="J59" i="81"/>
  <c r="I59" i="81"/>
  <c r="H59" i="81"/>
  <c r="G59" i="81"/>
  <c r="F59" i="81"/>
  <c r="E59" i="81"/>
  <c r="D59" i="81"/>
  <c r="C59" i="81"/>
  <c r="B59" i="81"/>
  <c r="A59" i="81"/>
  <c r="AC58" i="81"/>
  <c r="AB58" i="81"/>
  <c r="AA58" i="81"/>
  <c r="V58" i="81"/>
  <c r="U58" i="81"/>
  <c r="T58" i="81"/>
  <c r="S58" i="81"/>
  <c r="J58" i="81"/>
  <c r="E58" i="81"/>
  <c r="D58" i="81"/>
  <c r="C58" i="81"/>
  <c r="B58" i="81"/>
  <c r="A58" i="81"/>
  <c r="AC57" i="81"/>
  <c r="AB57" i="81"/>
  <c r="AA57" i="81"/>
  <c r="V57" i="81"/>
  <c r="U57" i="81"/>
  <c r="T57" i="81"/>
  <c r="S57" i="81"/>
  <c r="N57" i="81"/>
  <c r="M57" i="81"/>
  <c r="L57" i="81"/>
  <c r="K57" i="81"/>
  <c r="J57" i="81"/>
  <c r="I57" i="81"/>
  <c r="H57" i="81"/>
  <c r="G57" i="81"/>
  <c r="F57" i="81"/>
  <c r="E57" i="81"/>
  <c r="D57" i="81"/>
  <c r="C57" i="81"/>
  <c r="B57" i="81"/>
  <c r="A57" i="81"/>
  <c r="AC56" i="81"/>
  <c r="AB56" i="81"/>
  <c r="AA56" i="81"/>
  <c r="V56" i="81"/>
  <c r="U56" i="81"/>
  <c r="T56" i="81"/>
  <c r="S56" i="81"/>
  <c r="J56" i="81"/>
  <c r="E56" i="81"/>
  <c r="D56" i="81"/>
  <c r="C56" i="81"/>
  <c r="B56" i="81"/>
  <c r="A56" i="81"/>
  <c r="AC55" i="81"/>
  <c r="AB55" i="81"/>
  <c r="AA55" i="81"/>
  <c r="V55" i="81"/>
  <c r="U55" i="81"/>
  <c r="T55" i="81"/>
  <c r="S55" i="81"/>
  <c r="N55" i="81"/>
  <c r="M55" i="81"/>
  <c r="L55" i="81"/>
  <c r="K55" i="81"/>
  <c r="J55" i="81"/>
  <c r="I55" i="81"/>
  <c r="H55" i="81"/>
  <c r="G55" i="81"/>
  <c r="F55" i="81"/>
  <c r="E55" i="81"/>
  <c r="D55" i="81"/>
  <c r="C55" i="81"/>
  <c r="B55" i="81"/>
  <c r="A55" i="81"/>
  <c r="AC54" i="81"/>
  <c r="AB54" i="81"/>
  <c r="AA54" i="81"/>
  <c r="V54" i="81"/>
  <c r="U54" i="81"/>
  <c r="T54" i="81"/>
  <c r="S54" i="81"/>
  <c r="N54" i="81"/>
  <c r="M54" i="81"/>
  <c r="L54" i="81"/>
  <c r="K54" i="81"/>
  <c r="J54" i="81"/>
  <c r="I54" i="81"/>
  <c r="H54" i="81"/>
  <c r="G54" i="81"/>
  <c r="F54" i="81"/>
  <c r="E54" i="81"/>
  <c r="D54" i="81"/>
  <c r="C54" i="81"/>
  <c r="B54" i="81"/>
  <c r="A54" i="81"/>
  <c r="AC53" i="81"/>
  <c r="AB53" i="81"/>
  <c r="AA53" i="81"/>
  <c r="V53" i="81"/>
  <c r="U53" i="81"/>
  <c r="T53" i="81"/>
  <c r="S53" i="81"/>
  <c r="N53" i="81"/>
  <c r="M53" i="81"/>
  <c r="L53" i="81"/>
  <c r="K53" i="81"/>
  <c r="J53" i="81"/>
  <c r="I53" i="81"/>
  <c r="H53" i="81"/>
  <c r="G53" i="81"/>
  <c r="F53" i="81"/>
  <c r="E53" i="81"/>
  <c r="D53" i="81"/>
  <c r="C53" i="81"/>
  <c r="B53" i="81"/>
  <c r="A53" i="81"/>
  <c r="AC52" i="81"/>
  <c r="AB52" i="81"/>
  <c r="AA52" i="81"/>
  <c r="V52" i="81"/>
  <c r="U52" i="81"/>
  <c r="T52" i="81"/>
  <c r="S52" i="81"/>
  <c r="N52" i="81"/>
  <c r="M52" i="81"/>
  <c r="L52" i="81"/>
  <c r="K52" i="81"/>
  <c r="J52" i="81"/>
  <c r="I52" i="81"/>
  <c r="H52" i="81"/>
  <c r="G52" i="81"/>
  <c r="F52" i="81"/>
  <c r="E52" i="81"/>
  <c r="D52" i="81"/>
  <c r="C52" i="81"/>
  <c r="B52" i="81"/>
  <c r="A52" i="81"/>
  <c r="AC51" i="81"/>
  <c r="AB51" i="81"/>
  <c r="AA51" i="81"/>
  <c r="V51" i="81"/>
  <c r="U51" i="81"/>
  <c r="T51" i="81"/>
  <c r="S51" i="81"/>
  <c r="N51" i="81"/>
  <c r="M51" i="81"/>
  <c r="L51" i="81"/>
  <c r="K51" i="81"/>
  <c r="J51" i="81"/>
  <c r="I51" i="81"/>
  <c r="H51" i="81"/>
  <c r="G51" i="81"/>
  <c r="F51" i="81"/>
  <c r="E51" i="81"/>
  <c r="D51" i="81"/>
  <c r="C51" i="81"/>
  <c r="B51" i="81"/>
  <c r="A51" i="81"/>
  <c r="AC50" i="81"/>
  <c r="AB50" i="81"/>
  <c r="AA50" i="81"/>
  <c r="V50" i="81"/>
  <c r="U50" i="81"/>
  <c r="T50" i="81"/>
  <c r="S50" i="81"/>
  <c r="N50" i="81"/>
  <c r="M50" i="81"/>
  <c r="L50" i="81"/>
  <c r="K50" i="81"/>
  <c r="J50" i="81"/>
  <c r="I50" i="81"/>
  <c r="H50" i="81"/>
  <c r="G50" i="81"/>
  <c r="F50" i="81"/>
  <c r="E50" i="81"/>
  <c r="D50" i="81"/>
  <c r="C50" i="81"/>
  <c r="B50" i="81"/>
  <c r="A50" i="81"/>
  <c r="AC49" i="81"/>
  <c r="AB49" i="81"/>
  <c r="AA49" i="81"/>
  <c r="V49" i="81"/>
  <c r="U49" i="81"/>
  <c r="T49" i="81"/>
  <c r="S49" i="81"/>
  <c r="N49" i="81"/>
  <c r="M49" i="81"/>
  <c r="L49" i="81"/>
  <c r="K49" i="81"/>
  <c r="J49" i="81"/>
  <c r="I49" i="81"/>
  <c r="H49" i="81"/>
  <c r="G49" i="81"/>
  <c r="F49" i="81"/>
  <c r="E49" i="81"/>
  <c r="D49" i="81"/>
  <c r="C49" i="81"/>
  <c r="B49" i="81"/>
  <c r="A49" i="81"/>
  <c r="AC48" i="81"/>
  <c r="AB48" i="81"/>
  <c r="AA48" i="81"/>
  <c r="V48" i="81"/>
  <c r="U48" i="81"/>
  <c r="T48" i="81"/>
  <c r="S48" i="81"/>
  <c r="N48" i="81"/>
  <c r="M48" i="81"/>
  <c r="L48" i="81"/>
  <c r="K48" i="81"/>
  <c r="J48" i="81"/>
  <c r="I48" i="81"/>
  <c r="H48" i="81"/>
  <c r="G48" i="81"/>
  <c r="F48" i="81"/>
  <c r="E48" i="81"/>
  <c r="D48" i="81"/>
  <c r="C48" i="81"/>
  <c r="B48" i="81"/>
  <c r="A48" i="81"/>
  <c r="AC47" i="81"/>
  <c r="AB47" i="81"/>
  <c r="AA47" i="81"/>
  <c r="V47" i="81"/>
  <c r="U47" i="81"/>
  <c r="T47" i="81"/>
  <c r="S47" i="81"/>
  <c r="N47" i="81"/>
  <c r="M47" i="81"/>
  <c r="L47" i="81"/>
  <c r="K47" i="81"/>
  <c r="J47" i="81"/>
  <c r="I47" i="81"/>
  <c r="H47" i="81"/>
  <c r="G47" i="81"/>
  <c r="F47" i="81"/>
  <c r="E47" i="81"/>
  <c r="D47" i="81"/>
  <c r="C47" i="81"/>
  <c r="B47" i="81"/>
  <c r="A47" i="81"/>
  <c r="AC46" i="81"/>
  <c r="AB46" i="81"/>
  <c r="AA46" i="81"/>
  <c r="V46" i="81"/>
  <c r="U46" i="81"/>
  <c r="T46" i="81"/>
  <c r="S46" i="81"/>
  <c r="N46" i="81"/>
  <c r="M46" i="81"/>
  <c r="L46" i="81"/>
  <c r="K46" i="81"/>
  <c r="J46" i="81"/>
  <c r="I46" i="81"/>
  <c r="H46" i="81"/>
  <c r="G46" i="81"/>
  <c r="F46" i="81"/>
  <c r="E46" i="81"/>
  <c r="D46" i="81"/>
  <c r="C46" i="81"/>
  <c r="B46" i="81"/>
  <c r="A46" i="81"/>
  <c r="AC45" i="81"/>
  <c r="AB45" i="81"/>
  <c r="AA45" i="81"/>
  <c r="V45" i="81"/>
  <c r="U45" i="81"/>
  <c r="T45" i="81"/>
  <c r="S45" i="81"/>
  <c r="N45" i="81"/>
  <c r="M45" i="81"/>
  <c r="L45" i="81"/>
  <c r="K45" i="81"/>
  <c r="J45" i="81"/>
  <c r="I45" i="81"/>
  <c r="H45" i="81"/>
  <c r="G45" i="81"/>
  <c r="F45" i="81"/>
  <c r="E45" i="81"/>
  <c r="D45" i="81"/>
  <c r="C45" i="81"/>
  <c r="B45" i="81"/>
  <c r="A45" i="81"/>
  <c r="AC44" i="81"/>
  <c r="AB44" i="81"/>
  <c r="AA44" i="81"/>
  <c r="V44" i="81"/>
  <c r="U44" i="81"/>
  <c r="T44" i="81"/>
  <c r="S44" i="81"/>
  <c r="N44" i="81"/>
  <c r="M44" i="81"/>
  <c r="L44" i="81"/>
  <c r="K44" i="81"/>
  <c r="J44" i="81"/>
  <c r="I44" i="81"/>
  <c r="H44" i="81"/>
  <c r="G44" i="81"/>
  <c r="F44" i="81"/>
  <c r="E44" i="81"/>
  <c r="D44" i="81"/>
  <c r="C44" i="81"/>
  <c r="B44" i="81"/>
  <c r="A44" i="81"/>
  <c r="AC43" i="81"/>
  <c r="AB43" i="81"/>
  <c r="AA43" i="81"/>
  <c r="V43" i="81"/>
  <c r="U43" i="81"/>
  <c r="T43" i="81"/>
  <c r="S43" i="81"/>
  <c r="N43" i="81"/>
  <c r="M43" i="81"/>
  <c r="L43" i="81"/>
  <c r="K43" i="81"/>
  <c r="J43" i="81"/>
  <c r="I43" i="81"/>
  <c r="H43" i="81"/>
  <c r="G43" i="81"/>
  <c r="F43" i="81"/>
  <c r="E43" i="81"/>
  <c r="D43" i="81"/>
  <c r="C43" i="81"/>
  <c r="B43" i="81"/>
  <c r="A43" i="81"/>
  <c r="AC42" i="81"/>
  <c r="AB42" i="81"/>
  <c r="AA42" i="81"/>
  <c r="V42" i="81"/>
  <c r="U42" i="81"/>
  <c r="T42" i="81"/>
  <c r="S42" i="81"/>
  <c r="N42" i="81"/>
  <c r="M42" i="81"/>
  <c r="L42" i="81"/>
  <c r="K42" i="81"/>
  <c r="J42" i="81"/>
  <c r="I42" i="81"/>
  <c r="H42" i="81"/>
  <c r="G42" i="81"/>
  <c r="F42" i="81"/>
  <c r="E42" i="81"/>
  <c r="D42" i="81"/>
  <c r="C42" i="81"/>
  <c r="B42" i="81"/>
  <c r="A42" i="81"/>
  <c r="AC41" i="81"/>
  <c r="AB41" i="81"/>
  <c r="AA41" i="81"/>
  <c r="V41" i="81"/>
  <c r="U41" i="81"/>
  <c r="T41" i="81"/>
  <c r="S41" i="81"/>
  <c r="J41" i="81"/>
  <c r="E41" i="81"/>
  <c r="D41" i="81"/>
  <c r="C41" i="81"/>
  <c r="B41" i="81"/>
  <c r="A41" i="81"/>
  <c r="AC40" i="81"/>
  <c r="AB40" i="81"/>
  <c r="AA40" i="81"/>
  <c r="V40" i="81"/>
  <c r="U40" i="81"/>
  <c r="T40" i="81"/>
  <c r="S40" i="81"/>
  <c r="N40" i="81"/>
  <c r="M40" i="81"/>
  <c r="L40" i="81"/>
  <c r="K40" i="81"/>
  <c r="J40" i="81"/>
  <c r="I40" i="81"/>
  <c r="H40" i="81"/>
  <c r="G40" i="81"/>
  <c r="F40" i="81"/>
  <c r="E40" i="81"/>
  <c r="D40" i="81"/>
  <c r="C40" i="81"/>
  <c r="B40" i="81"/>
  <c r="A40" i="81"/>
  <c r="AC39" i="81"/>
  <c r="AB39" i="81"/>
  <c r="AA39" i="81"/>
  <c r="V39" i="81"/>
  <c r="U39" i="81"/>
  <c r="T39" i="81"/>
  <c r="S39" i="81"/>
  <c r="J39" i="81"/>
  <c r="E39" i="81"/>
  <c r="D39" i="81"/>
  <c r="C39" i="81"/>
  <c r="B39" i="81"/>
  <c r="A39" i="81"/>
  <c r="AC38" i="81"/>
  <c r="AB38" i="81"/>
  <c r="AA38" i="81"/>
  <c r="V38" i="81"/>
  <c r="U38" i="81"/>
  <c r="T38" i="81"/>
  <c r="S38" i="81"/>
  <c r="N38" i="81"/>
  <c r="M38" i="81"/>
  <c r="L38" i="81"/>
  <c r="K38" i="81"/>
  <c r="J38" i="81"/>
  <c r="I38" i="81"/>
  <c r="H38" i="81"/>
  <c r="G38" i="81"/>
  <c r="F38" i="81"/>
  <c r="E38" i="81"/>
  <c r="D38" i="81"/>
  <c r="C38" i="81"/>
  <c r="B38" i="81"/>
  <c r="A38" i="81"/>
  <c r="AC37" i="81"/>
  <c r="AB37" i="81"/>
  <c r="AA37" i="81"/>
  <c r="V37" i="81"/>
  <c r="U37" i="81"/>
  <c r="T37" i="81"/>
  <c r="S37" i="81"/>
  <c r="N37" i="81"/>
  <c r="M37" i="81"/>
  <c r="L37" i="81"/>
  <c r="K37" i="81"/>
  <c r="J37" i="81"/>
  <c r="I37" i="81"/>
  <c r="H37" i="81"/>
  <c r="G37" i="81"/>
  <c r="F37" i="81"/>
  <c r="E37" i="81"/>
  <c r="D37" i="81"/>
  <c r="C37" i="81"/>
  <c r="B37" i="81"/>
  <c r="A37" i="81"/>
  <c r="AC36" i="81"/>
  <c r="AB36" i="81"/>
  <c r="AA36" i="81"/>
  <c r="V36" i="81"/>
  <c r="U36" i="81"/>
  <c r="T36" i="81"/>
  <c r="S36" i="81"/>
  <c r="N36" i="81"/>
  <c r="M36" i="81"/>
  <c r="L36" i="81"/>
  <c r="K36" i="81"/>
  <c r="J36" i="81"/>
  <c r="I36" i="81"/>
  <c r="H36" i="81"/>
  <c r="G36" i="81"/>
  <c r="F36" i="81"/>
  <c r="E36" i="81"/>
  <c r="D36" i="81"/>
  <c r="C36" i="81"/>
  <c r="B36" i="81"/>
  <c r="A36" i="81"/>
  <c r="AC35" i="81"/>
  <c r="AB35" i="81"/>
  <c r="AA35" i="81"/>
  <c r="V35" i="81"/>
  <c r="U35" i="81"/>
  <c r="T35" i="81"/>
  <c r="S35" i="81"/>
  <c r="N35" i="81"/>
  <c r="M35" i="81"/>
  <c r="L35" i="81"/>
  <c r="K35" i="81"/>
  <c r="J35" i="81"/>
  <c r="I35" i="81"/>
  <c r="H35" i="81"/>
  <c r="G35" i="81"/>
  <c r="F35" i="81"/>
  <c r="E35" i="81"/>
  <c r="D35" i="81"/>
  <c r="C35" i="81"/>
  <c r="B35" i="81"/>
  <c r="A35" i="81"/>
  <c r="AC34" i="81"/>
  <c r="AB34" i="81"/>
  <c r="AA34" i="81"/>
  <c r="V34" i="81"/>
  <c r="U34" i="81"/>
  <c r="T34" i="81"/>
  <c r="S34" i="81"/>
  <c r="N34" i="81"/>
  <c r="M34" i="81"/>
  <c r="L34" i="81"/>
  <c r="K34" i="81"/>
  <c r="J34" i="81"/>
  <c r="I34" i="81"/>
  <c r="H34" i="81"/>
  <c r="G34" i="81"/>
  <c r="F34" i="81"/>
  <c r="E34" i="81"/>
  <c r="D34" i="81"/>
  <c r="C34" i="81"/>
  <c r="B34" i="81"/>
  <c r="A34" i="81"/>
  <c r="AC33" i="81"/>
  <c r="AB33" i="81"/>
  <c r="AA33" i="81"/>
  <c r="V33" i="81"/>
  <c r="U33" i="81"/>
  <c r="T33" i="81"/>
  <c r="S33" i="81"/>
  <c r="N33" i="81"/>
  <c r="M33" i="81"/>
  <c r="L33" i="81"/>
  <c r="K33" i="81"/>
  <c r="J33" i="81"/>
  <c r="I33" i="81"/>
  <c r="H33" i="81"/>
  <c r="G33" i="81"/>
  <c r="F33" i="81"/>
  <c r="E33" i="81"/>
  <c r="D33" i="81"/>
  <c r="C33" i="81"/>
  <c r="B33" i="81"/>
  <c r="A33" i="81"/>
  <c r="AC32" i="81"/>
  <c r="AB32" i="81"/>
  <c r="AA32" i="81"/>
  <c r="V32" i="81"/>
  <c r="U32" i="81"/>
  <c r="T32" i="81"/>
  <c r="S32" i="81"/>
  <c r="N32" i="81"/>
  <c r="M32" i="81"/>
  <c r="L32" i="81"/>
  <c r="K32" i="81"/>
  <c r="J32" i="81"/>
  <c r="I32" i="81"/>
  <c r="H32" i="81"/>
  <c r="G32" i="81"/>
  <c r="F32" i="81"/>
  <c r="E32" i="81"/>
  <c r="D32" i="81"/>
  <c r="C32" i="81"/>
  <c r="B32" i="81"/>
  <c r="A32" i="81"/>
  <c r="AC31" i="81"/>
  <c r="AB31" i="81"/>
  <c r="AA31" i="81"/>
  <c r="V31" i="81"/>
  <c r="U31" i="81"/>
  <c r="T31" i="81"/>
  <c r="S31" i="81"/>
  <c r="N31" i="81"/>
  <c r="M31" i="81"/>
  <c r="L31" i="81"/>
  <c r="K31" i="81"/>
  <c r="J31" i="81"/>
  <c r="I31" i="81"/>
  <c r="H31" i="81"/>
  <c r="G31" i="81"/>
  <c r="F31" i="81"/>
  <c r="E31" i="81"/>
  <c r="D31" i="81"/>
  <c r="C31" i="81"/>
  <c r="B31" i="81"/>
  <c r="A31" i="81"/>
  <c r="AC30" i="81"/>
  <c r="AB30" i="81"/>
  <c r="AA30" i="81"/>
  <c r="V30" i="81"/>
  <c r="U30" i="81"/>
  <c r="T30" i="81"/>
  <c r="S30" i="81"/>
  <c r="N30" i="81"/>
  <c r="M30" i="81"/>
  <c r="L30" i="81"/>
  <c r="K30" i="81"/>
  <c r="J30" i="81"/>
  <c r="I30" i="81"/>
  <c r="H30" i="81"/>
  <c r="G30" i="81"/>
  <c r="F30" i="81"/>
  <c r="E30" i="81"/>
  <c r="D30" i="81"/>
  <c r="C30" i="81"/>
  <c r="B30" i="81"/>
  <c r="A30" i="81"/>
  <c r="AC29" i="81"/>
  <c r="AB29" i="81"/>
  <c r="AA29" i="81"/>
  <c r="V29" i="81"/>
  <c r="U29" i="81"/>
  <c r="T29" i="81"/>
  <c r="S29" i="81"/>
  <c r="N29" i="81"/>
  <c r="M29" i="81"/>
  <c r="L29" i="81"/>
  <c r="K29" i="81"/>
  <c r="J29" i="81"/>
  <c r="I29" i="81"/>
  <c r="H29" i="81"/>
  <c r="G29" i="81"/>
  <c r="F29" i="81"/>
  <c r="E29" i="81"/>
  <c r="D29" i="81"/>
  <c r="C29" i="81"/>
  <c r="B29" i="81"/>
  <c r="A29" i="81"/>
  <c r="AC28" i="81"/>
  <c r="AB28" i="81"/>
  <c r="AA28" i="81"/>
  <c r="V28" i="81"/>
  <c r="U28" i="81"/>
  <c r="T28" i="81"/>
  <c r="S28" i="81"/>
  <c r="N28" i="81"/>
  <c r="M28" i="81"/>
  <c r="L28" i="81"/>
  <c r="K28" i="81"/>
  <c r="J28" i="81"/>
  <c r="I28" i="81"/>
  <c r="H28" i="81"/>
  <c r="G28" i="81"/>
  <c r="F28" i="81"/>
  <c r="E28" i="81"/>
  <c r="D28" i="81"/>
  <c r="C28" i="81"/>
  <c r="B28" i="81"/>
  <c r="A28" i="81"/>
  <c r="AC27" i="81"/>
  <c r="AB27" i="81"/>
  <c r="AA27" i="81"/>
  <c r="V27" i="81"/>
  <c r="U27" i="81"/>
  <c r="T27" i="81"/>
  <c r="S27" i="81"/>
  <c r="N27" i="81"/>
  <c r="M27" i="81"/>
  <c r="L27" i="81"/>
  <c r="K27" i="81"/>
  <c r="J27" i="81"/>
  <c r="I27" i="81"/>
  <c r="H27" i="81"/>
  <c r="G27" i="81"/>
  <c r="F27" i="81"/>
  <c r="E27" i="81"/>
  <c r="D27" i="81"/>
  <c r="C27" i="81"/>
  <c r="B27" i="81"/>
  <c r="A27" i="81"/>
  <c r="AC26" i="81"/>
  <c r="AB26" i="81"/>
  <c r="AA26" i="81"/>
  <c r="V26" i="81"/>
  <c r="U26" i="81"/>
  <c r="T26" i="81"/>
  <c r="S26" i="81"/>
  <c r="N26" i="81"/>
  <c r="M26" i="81"/>
  <c r="L26" i="81"/>
  <c r="K26" i="81"/>
  <c r="J26" i="81"/>
  <c r="I26" i="81"/>
  <c r="H26" i="81"/>
  <c r="G26" i="81"/>
  <c r="F26" i="81"/>
  <c r="E26" i="81"/>
  <c r="D26" i="81"/>
  <c r="C26" i="81"/>
  <c r="B26" i="81"/>
  <c r="A26" i="81"/>
  <c r="AC25" i="81"/>
  <c r="AB25" i="81"/>
  <c r="AA25" i="81"/>
  <c r="V25" i="81"/>
  <c r="U25" i="81"/>
  <c r="T25" i="81"/>
  <c r="S25" i="81"/>
  <c r="N25" i="81"/>
  <c r="M25" i="81"/>
  <c r="L25" i="81"/>
  <c r="K25" i="81"/>
  <c r="J25" i="81"/>
  <c r="I25" i="81"/>
  <c r="H25" i="81"/>
  <c r="G25" i="81"/>
  <c r="F25" i="81"/>
  <c r="E25" i="81"/>
  <c r="D25" i="81"/>
  <c r="C25" i="81"/>
  <c r="B25" i="81"/>
  <c r="A25" i="81"/>
  <c r="AC24" i="81"/>
  <c r="AB24" i="81"/>
  <c r="AA24" i="81"/>
  <c r="V24" i="81"/>
  <c r="U24" i="81"/>
  <c r="T24" i="81"/>
  <c r="S24" i="81"/>
  <c r="J24" i="81"/>
  <c r="E24" i="81"/>
  <c r="D24" i="81"/>
  <c r="C24" i="81"/>
  <c r="B24" i="81"/>
  <c r="A24" i="81"/>
  <c r="AC23" i="81"/>
  <c r="AB23" i="81"/>
  <c r="AA23" i="81"/>
  <c r="V23" i="81"/>
  <c r="U23" i="81"/>
  <c r="T23" i="81"/>
  <c r="S23" i="81"/>
  <c r="N23" i="81"/>
  <c r="M23" i="81"/>
  <c r="L23" i="81"/>
  <c r="K23" i="81"/>
  <c r="J23" i="81"/>
  <c r="I23" i="81"/>
  <c r="H23" i="81"/>
  <c r="G23" i="81"/>
  <c r="F23" i="81"/>
  <c r="E23" i="81"/>
  <c r="D23" i="81"/>
  <c r="C23" i="81"/>
  <c r="B23" i="81"/>
  <c r="A23" i="81"/>
  <c r="AC22" i="81"/>
  <c r="AB22" i="81"/>
  <c r="AA22" i="81"/>
  <c r="V22" i="81"/>
  <c r="U22" i="81"/>
  <c r="T22" i="81"/>
  <c r="S22" i="81"/>
  <c r="J22" i="81"/>
  <c r="E22" i="81"/>
  <c r="D22" i="81"/>
  <c r="C22" i="81"/>
  <c r="B22" i="81"/>
  <c r="A22" i="81"/>
  <c r="AC21" i="81"/>
  <c r="AB21" i="81"/>
  <c r="AA21" i="81"/>
  <c r="V21" i="81"/>
  <c r="U21" i="81"/>
  <c r="T21" i="81"/>
  <c r="S21" i="81"/>
  <c r="N21" i="81"/>
  <c r="M21" i="81"/>
  <c r="L21" i="81"/>
  <c r="K21" i="81"/>
  <c r="J21" i="81"/>
  <c r="I21" i="81"/>
  <c r="H21" i="81"/>
  <c r="G21" i="81"/>
  <c r="F21" i="81"/>
  <c r="E21" i="81"/>
  <c r="D21" i="81"/>
  <c r="C21" i="81"/>
  <c r="B21" i="81"/>
  <c r="A21" i="81"/>
  <c r="AC20" i="81"/>
  <c r="AB20" i="81"/>
  <c r="AA20" i="81"/>
  <c r="V20" i="81"/>
  <c r="U20" i="81"/>
  <c r="T20" i="81"/>
  <c r="S20" i="81"/>
  <c r="N20" i="81"/>
  <c r="M20" i="81"/>
  <c r="L20" i="81"/>
  <c r="K20" i="81"/>
  <c r="J20" i="81"/>
  <c r="I20" i="81"/>
  <c r="H20" i="81"/>
  <c r="G20" i="81"/>
  <c r="F20" i="81"/>
  <c r="E20" i="81"/>
  <c r="D20" i="81"/>
  <c r="C20" i="81"/>
  <c r="B20" i="81"/>
  <c r="A20" i="81"/>
  <c r="AC19" i="81"/>
  <c r="AB19" i="81"/>
  <c r="AA19" i="81"/>
  <c r="V19" i="81"/>
  <c r="U19" i="81"/>
  <c r="T19" i="81"/>
  <c r="S19" i="81"/>
  <c r="N19" i="81"/>
  <c r="M19" i="81"/>
  <c r="L19" i="81"/>
  <c r="K19" i="81"/>
  <c r="J19" i="81"/>
  <c r="I19" i="81"/>
  <c r="H19" i="81"/>
  <c r="G19" i="81"/>
  <c r="F19" i="81"/>
  <c r="E19" i="81"/>
  <c r="D19" i="81"/>
  <c r="C19" i="81"/>
  <c r="B19" i="81"/>
  <c r="A19" i="81"/>
  <c r="AC18" i="81"/>
  <c r="AB18" i="81"/>
  <c r="AA18" i="81"/>
  <c r="V18" i="81"/>
  <c r="U18" i="81"/>
  <c r="T18" i="81"/>
  <c r="S18" i="81"/>
  <c r="N18" i="81"/>
  <c r="M18" i="81"/>
  <c r="L18" i="81"/>
  <c r="K18" i="81"/>
  <c r="J18" i="81"/>
  <c r="I18" i="81"/>
  <c r="H18" i="81"/>
  <c r="G18" i="81"/>
  <c r="F18" i="81"/>
  <c r="E18" i="81"/>
  <c r="D18" i="81"/>
  <c r="C18" i="81"/>
  <c r="B18" i="81"/>
  <c r="A18" i="81"/>
  <c r="AC17" i="81"/>
  <c r="AB17" i="81"/>
  <c r="AA17" i="81"/>
  <c r="V17" i="81"/>
  <c r="U17" i="81"/>
  <c r="T17" i="81"/>
  <c r="S17" i="81"/>
  <c r="N17" i="81"/>
  <c r="M17" i="81"/>
  <c r="L17" i="81"/>
  <c r="K17" i="81"/>
  <c r="J17" i="81"/>
  <c r="I17" i="81"/>
  <c r="H17" i="81"/>
  <c r="G17" i="81"/>
  <c r="F17" i="81"/>
  <c r="E17" i="81"/>
  <c r="D17" i="81"/>
  <c r="C17" i="81"/>
  <c r="B17" i="81"/>
  <c r="A17" i="81"/>
  <c r="AC16" i="81"/>
  <c r="AB16" i="81"/>
  <c r="AA16" i="81"/>
  <c r="V16" i="81"/>
  <c r="U16" i="81"/>
  <c r="T16" i="81"/>
  <c r="S16" i="81"/>
  <c r="N16" i="81"/>
  <c r="M16" i="81"/>
  <c r="L16" i="81"/>
  <c r="K16" i="81"/>
  <c r="J16" i="81"/>
  <c r="I16" i="81"/>
  <c r="H16" i="81"/>
  <c r="G16" i="81"/>
  <c r="F16" i="81"/>
  <c r="E16" i="81"/>
  <c r="D16" i="81"/>
  <c r="C16" i="81"/>
  <c r="B16" i="81"/>
  <c r="A16" i="81"/>
  <c r="AC15" i="81"/>
  <c r="AB15" i="81"/>
  <c r="AA15" i="81"/>
  <c r="V15" i="81"/>
  <c r="U15" i="81"/>
  <c r="T15" i="81"/>
  <c r="S15" i="81"/>
  <c r="N15" i="81"/>
  <c r="M15" i="81"/>
  <c r="L15" i="81"/>
  <c r="K15" i="81"/>
  <c r="J15" i="81"/>
  <c r="I15" i="81"/>
  <c r="H15" i="81"/>
  <c r="G15" i="81"/>
  <c r="F15" i="81"/>
  <c r="E15" i="81"/>
  <c r="D15" i="81"/>
  <c r="C15" i="81"/>
  <c r="B15" i="81"/>
  <c r="A15" i="81"/>
  <c r="AC14" i="81"/>
  <c r="AB14" i="81"/>
  <c r="AA14" i="81"/>
  <c r="V14" i="81"/>
  <c r="U14" i="81"/>
  <c r="T14" i="81"/>
  <c r="S14" i="81"/>
  <c r="N14" i="81"/>
  <c r="M14" i="81"/>
  <c r="L14" i="81"/>
  <c r="K14" i="81"/>
  <c r="J14" i="81"/>
  <c r="I14" i="81"/>
  <c r="H14" i="81"/>
  <c r="G14" i="81"/>
  <c r="F14" i="81"/>
  <c r="E14" i="81"/>
  <c r="D14" i="81"/>
  <c r="C14" i="81"/>
  <c r="B14" i="81"/>
  <c r="A14" i="81"/>
  <c r="AC13" i="81"/>
  <c r="AB13" i="81"/>
  <c r="AA13" i="81"/>
  <c r="V13" i="81"/>
  <c r="U13" i="81"/>
  <c r="T13" i="81"/>
  <c r="S13" i="81"/>
  <c r="N13" i="81"/>
  <c r="M13" i="81"/>
  <c r="L13" i="81"/>
  <c r="K13" i="81"/>
  <c r="J13" i="81"/>
  <c r="I13" i="81"/>
  <c r="H13" i="81"/>
  <c r="G13" i="81"/>
  <c r="F13" i="81"/>
  <c r="E13" i="81"/>
  <c r="D13" i="81"/>
  <c r="C13" i="81"/>
  <c r="B13" i="81"/>
  <c r="A13" i="81"/>
  <c r="AC12" i="81"/>
  <c r="AB12" i="81"/>
  <c r="AA12" i="81"/>
  <c r="V12" i="81"/>
  <c r="U12" i="81"/>
  <c r="T12" i="81"/>
  <c r="S12" i="81"/>
  <c r="N12" i="81"/>
  <c r="M12" i="81"/>
  <c r="L12" i="81"/>
  <c r="K12" i="81"/>
  <c r="J12" i="81"/>
  <c r="I12" i="81"/>
  <c r="H12" i="81"/>
  <c r="G12" i="81"/>
  <c r="F12" i="81"/>
  <c r="E12" i="81"/>
  <c r="D12" i="81"/>
  <c r="C12" i="81"/>
  <c r="B12" i="81"/>
  <c r="A12" i="81"/>
  <c r="AC11" i="81"/>
  <c r="AB11" i="81"/>
  <c r="AA11" i="81"/>
  <c r="V11" i="81"/>
  <c r="U11" i="81"/>
  <c r="T11" i="81"/>
  <c r="S11" i="81"/>
  <c r="N11" i="81"/>
  <c r="M11" i="81"/>
  <c r="L11" i="81"/>
  <c r="K11" i="81"/>
  <c r="J11" i="81"/>
  <c r="I11" i="81"/>
  <c r="H11" i="81"/>
  <c r="G11" i="81"/>
  <c r="F11" i="81"/>
  <c r="E11" i="81"/>
  <c r="D11" i="81"/>
  <c r="C11" i="81"/>
  <c r="B11" i="81"/>
  <c r="A11" i="81"/>
  <c r="AC10" i="81"/>
  <c r="AB10" i="81"/>
  <c r="AA10" i="81"/>
  <c r="V10" i="81"/>
  <c r="U10" i="81"/>
  <c r="T10" i="81"/>
  <c r="S10" i="81"/>
  <c r="N10" i="81"/>
  <c r="M10" i="81"/>
  <c r="L10" i="81"/>
  <c r="K10" i="81"/>
  <c r="J10" i="81"/>
  <c r="I10" i="81"/>
  <c r="H10" i="81"/>
  <c r="G10" i="81"/>
  <c r="F10" i="81"/>
  <c r="E10" i="81"/>
  <c r="D10" i="81"/>
  <c r="C10" i="81"/>
  <c r="B10" i="81"/>
  <c r="A10" i="81"/>
  <c r="AC9" i="81"/>
  <c r="AB9" i="81"/>
  <c r="AA9" i="81"/>
  <c r="V9" i="81"/>
  <c r="U9" i="81"/>
  <c r="T9" i="81"/>
  <c r="S9" i="81"/>
  <c r="N9" i="81"/>
  <c r="M9" i="81"/>
  <c r="L9" i="81"/>
  <c r="K9" i="81"/>
  <c r="J9" i="81"/>
  <c r="I9" i="81"/>
  <c r="H9" i="81"/>
  <c r="G9" i="81"/>
  <c r="F9" i="81"/>
  <c r="E9" i="81"/>
  <c r="D9" i="81"/>
  <c r="C9" i="81"/>
  <c r="B9" i="81"/>
  <c r="A9" i="81"/>
  <c r="AC8" i="81"/>
  <c r="AB8" i="81"/>
  <c r="AA8" i="81"/>
  <c r="V8" i="81"/>
  <c r="U8" i="81"/>
  <c r="T8" i="81"/>
  <c r="S8" i="81"/>
  <c r="N8" i="81"/>
  <c r="M8" i="81"/>
  <c r="L8" i="81"/>
  <c r="K8" i="81"/>
  <c r="J8" i="81"/>
  <c r="I8" i="81"/>
  <c r="H8" i="81"/>
  <c r="G8" i="81"/>
  <c r="F8" i="81"/>
  <c r="E8" i="81"/>
  <c r="D8" i="81"/>
  <c r="C8" i="81"/>
  <c r="B8" i="81"/>
  <c r="A8" i="81"/>
  <c r="AE142" i="80"/>
  <c r="AD142" i="80"/>
  <c r="AC142" i="80"/>
  <c r="V142" i="80"/>
  <c r="U142" i="80"/>
  <c r="T142" i="80"/>
  <c r="S142" i="80"/>
  <c r="N142" i="80"/>
  <c r="M142" i="80"/>
  <c r="L142" i="80"/>
  <c r="K142" i="80"/>
  <c r="J142" i="80"/>
  <c r="I142" i="80"/>
  <c r="H142" i="80"/>
  <c r="G142" i="80"/>
  <c r="F142" i="80"/>
  <c r="E142" i="80"/>
  <c r="D142" i="80"/>
  <c r="C142" i="80"/>
  <c r="B142" i="80"/>
  <c r="A142" i="80"/>
  <c r="X142" i="80" s="1"/>
  <c r="AE141" i="80"/>
  <c r="AD141" i="80"/>
  <c r="AC141" i="80"/>
  <c r="V141" i="80"/>
  <c r="U141" i="80"/>
  <c r="T141" i="80"/>
  <c r="S141" i="80"/>
  <c r="J141" i="80"/>
  <c r="E141" i="80"/>
  <c r="D141" i="80"/>
  <c r="C141" i="80"/>
  <c r="B141" i="80"/>
  <c r="A141" i="80"/>
  <c r="X141" i="80" s="1"/>
  <c r="AE140" i="80"/>
  <c r="AD140" i="80"/>
  <c r="AC140" i="80"/>
  <c r="V140" i="80"/>
  <c r="U140" i="80"/>
  <c r="T140" i="80"/>
  <c r="S140" i="80"/>
  <c r="N140" i="80"/>
  <c r="M140" i="80"/>
  <c r="L140" i="80"/>
  <c r="K140" i="80"/>
  <c r="J140" i="80"/>
  <c r="I140" i="80"/>
  <c r="H140" i="80"/>
  <c r="G140" i="80"/>
  <c r="F140" i="80"/>
  <c r="E140" i="80"/>
  <c r="D140" i="80"/>
  <c r="C140" i="80"/>
  <c r="B140" i="80"/>
  <c r="A140" i="80"/>
  <c r="X140" i="80" s="1"/>
  <c r="AE139" i="80"/>
  <c r="AD139" i="80"/>
  <c r="AC139" i="80"/>
  <c r="V139" i="80"/>
  <c r="U139" i="80"/>
  <c r="T139" i="80"/>
  <c r="S139" i="80"/>
  <c r="J139" i="80"/>
  <c r="E139" i="80"/>
  <c r="D139" i="80"/>
  <c r="C139" i="80"/>
  <c r="B139" i="80"/>
  <c r="A139" i="80"/>
  <c r="X139" i="80" s="1"/>
  <c r="AE138" i="80"/>
  <c r="AD138" i="80"/>
  <c r="AC138" i="80"/>
  <c r="V138" i="80"/>
  <c r="U138" i="80"/>
  <c r="T138" i="80"/>
  <c r="S138" i="80"/>
  <c r="N138" i="80"/>
  <c r="M138" i="80"/>
  <c r="L138" i="80"/>
  <c r="K138" i="80"/>
  <c r="J138" i="80"/>
  <c r="I138" i="80"/>
  <c r="H138" i="80"/>
  <c r="G138" i="80"/>
  <c r="F138" i="80"/>
  <c r="E138" i="80"/>
  <c r="D138" i="80"/>
  <c r="C138" i="80"/>
  <c r="B138" i="80"/>
  <c r="A138" i="80"/>
  <c r="X138" i="80" s="1"/>
  <c r="AE137" i="80"/>
  <c r="AD137" i="80"/>
  <c r="AC137" i="80"/>
  <c r="V137" i="80"/>
  <c r="U137" i="80"/>
  <c r="T137" i="80"/>
  <c r="S137" i="80"/>
  <c r="N137" i="80"/>
  <c r="M137" i="80"/>
  <c r="L137" i="80"/>
  <c r="K137" i="80"/>
  <c r="J137" i="80"/>
  <c r="I137" i="80"/>
  <c r="H137" i="80"/>
  <c r="G137" i="80"/>
  <c r="F137" i="80"/>
  <c r="E137" i="80"/>
  <c r="D137" i="80"/>
  <c r="C137" i="80"/>
  <c r="B137" i="80"/>
  <c r="A137" i="80"/>
  <c r="X137" i="80" s="1"/>
  <c r="AE136" i="80"/>
  <c r="AD136" i="80"/>
  <c r="AC136" i="80"/>
  <c r="V136" i="80"/>
  <c r="U136" i="80"/>
  <c r="T136" i="80"/>
  <c r="S136" i="80"/>
  <c r="N136" i="80"/>
  <c r="M136" i="80"/>
  <c r="L136" i="80"/>
  <c r="K136" i="80"/>
  <c r="J136" i="80"/>
  <c r="I136" i="80"/>
  <c r="H136" i="80"/>
  <c r="G136" i="80"/>
  <c r="F136" i="80"/>
  <c r="E136" i="80"/>
  <c r="D136" i="80"/>
  <c r="C136" i="80"/>
  <c r="B136" i="80"/>
  <c r="A136" i="80"/>
  <c r="X136" i="80" s="1"/>
  <c r="AE135" i="80"/>
  <c r="AD135" i="80"/>
  <c r="AC135" i="80"/>
  <c r="V135" i="80"/>
  <c r="U135" i="80"/>
  <c r="T135" i="80"/>
  <c r="S135" i="80"/>
  <c r="N135" i="80"/>
  <c r="M135" i="80"/>
  <c r="L135" i="80"/>
  <c r="K135" i="80"/>
  <c r="J135" i="80"/>
  <c r="I135" i="80"/>
  <c r="H135" i="80"/>
  <c r="G135" i="80"/>
  <c r="F135" i="80"/>
  <c r="E135" i="80"/>
  <c r="D135" i="80"/>
  <c r="C135" i="80"/>
  <c r="B135" i="80"/>
  <c r="A135" i="80"/>
  <c r="X135" i="80" s="1"/>
  <c r="AE134" i="80"/>
  <c r="AD134" i="80"/>
  <c r="AC134" i="80"/>
  <c r="V134" i="80"/>
  <c r="U134" i="80"/>
  <c r="T134" i="80"/>
  <c r="S134" i="80"/>
  <c r="N134" i="80"/>
  <c r="M134" i="80"/>
  <c r="L134" i="80"/>
  <c r="K134" i="80"/>
  <c r="J134" i="80"/>
  <c r="I134" i="80"/>
  <c r="H134" i="80"/>
  <c r="G134" i="80"/>
  <c r="F134" i="80"/>
  <c r="E134" i="80"/>
  <c r="D134" i="80"/>
  <c r="C134" i="80"/>
  <c r="B134" i="80"/>
  <c r="A134" i="80"/>
  <c r="X134" i="80" s="1"/>
  <c r="AE133" i="80"/>
  <c r="AD133" i="80"/>
  <c r="AC133" i="80"/>
  <c r="V133" i="80"/>
  <c r="U133" i="80"/>
  <c r="T133" i="80"/>
  <c r="S133" i="80"/>
  <c r="N133" i="80"/>
  <c r="M133" i="80"/>
  <c r="L133" i="80"/>
  <c r="K133" i="80"/>
  <c r="J133" i="80"/>
  <c r="I133" i="80"/>
  <c r="H133" i="80"/>
  <c r="G133" i="80"/>
  <c r="F133" i="80"/>
  <c r="E133" i="80"/>
  <c r="D133" i="80"/>
  <c r="C133" i="80"/>
  <c r="B133" i="80"/>
  <c r="A133" i="80"/>
  <c r="X133" i="80" s="1"/>
  <c r="AE132" i="80"/>
  <c r="AD132" i="80"/>
  <c r="AC132" i="80"/>
  <c r="V132" i="80"/>
  <c r="U132" i="80"/>
  <c r="T132" i="80"/>
  <c r="S132" i="80"/>
  <c r="N132" i="80"/>
  <c r="M132" i="80"/>
  <c r="L132" i="80"/>
  <c r="K132" i="80"/>
  <c r="J132" i="80"/>
  <c r="I132" i="80"/>
  <c r="H132" i="80"/>
  <c r="G132" i="80"/>
  <c r="F132" i="80"/>
  <c r="E132" i="80"/>
  <c r="D132" i="80"/>
  <c r="C132" i="80"/>
  <c r="B132" i="80"/>
  <c r="A132" i="80"/>
  <c r="X132" i="80" s="1"/>
  <c r="AE131" i="80"/>
  <c r="AD131" i="80"/>
  <c r="AC131" i="80"/>
  <c r="V131" i="80"/>
  <c r="U131" i="80"/>
  <c r="T131" i="80"/>
  <c r="S131" i="80"/>
  <c r="N131" i="80"/>
  <c r="M131" i="80"/>
  <c r="L131" i="80"/>
  <c r="K131" i="80"/>
  <c r="J131" i="80"/>
  <c r="I131" i="80"/>
  <c r="H131" i="80"/>
  <c r="G131" i="80"/>
  <c r="F131" i="80"/>
  <c r="E131" i="80"/>
  <c r="D131" i="80"/>
  <c r="C131" i="80"/>
  <c r="B131" i="80"/>
  <c r="A131" i="80"/>
  <c r="X131" i="80" s="1"/>
  <c r="AE130" i="80"/>
  <c r="AD130" i="80"/>
  <c r="AC130" i="80"/>
  <c r="V130" i="80"/>
  <c r="U130" i="80"/>
  <c r="T130" i="80"/>
  <c r="S130" i="80"/>
  <c r="N130" i="80"/>
  <c r="M130" i="80"/>
  <c r="L130" i="80"/>
  <c r="K130" i="80"/>
  <c r="J130" i="80"/>
  <c r="I130" i="80"/>
  <c r="H130" i="80"/>
  <c r="G130" i="80"/>
  <c r="F130" i="80"/>
  <c r="E130" i="80"/>
  <c r="D130" i="80"/>
  <c r="C130" i="80"/>
  <c r="B130" i="80"/>
  <c r="A130" i="80"/>
  <c r="X130" i="80" s="1"/>
  <c r="AE129" i="80"/>
  <c r="AD129" i="80"/>
  <c r="AC129" i="80"/>
  <c r="V129" i="80"/>
  <c r="U129" i="80"/>
  <c r="T129" i="80"/>
  <c r="S129" i="80"/>
  <c r="N129" i="80"/>
  <c r="M129" i="80"/>
  <c r="L129" i="80"/>
  <c r="K129" i="80"/>
  <c r="J129" i="80"/>
  <c r="I129" i="80"/>
  <c r="H129" i="80"/>
  <c r="G129" i="80"/>
  <c r="F129" i="80"/>
  <c r="E129" i="80"/>
  <c r="D129" i="80"/>
  <c r="C129" i="80"/>
  <c r="B129" i="80"/>
  <c r="A129" i="80"/>
  <c r="X129" i="80" s="1"/>
  <c r="AE128" i="80"/>
  <c r="AD128" i="80"/>
  <c r="AC128" i="80"/>
  <c r="V128" i="80"/>
  <c r="U128" i="80"/>
  <c r="T128" i="80"/>
  <c r="S128" i="80"/>
  <c r="N128" i="80"/>
  <c r="M128" i="80"/>
  <c r="L128" i="80"/>
  <c r="K128" i="80"/>
  <c r="J128" i="80"/>
  <c r="I128" i="80"/>
  <c r="H128" i="80"/>
  <c r="G128" i="80"/>
  <c r="F128" i="80"/>
  <c r="E128" i="80"/>
  <c r="D128" i="80"/>
  <c r="C128" i="80"/>
  <c r="B128" i="80"/>
  <c r="A128" i="80"/>
  <c r="X128" i="80" s="1"/>
  <c r="AE127" i="80"/>
  <c r="AD127" i="80"/>
  <c r="AC127" i="80"/>
  <c r="V127" i="80"/>
  <c r="U127" i="80"/>
  <c r="T127" i="80"/>
  <c r="S127" i="80"/>
  <c r="N127" i="80"/>
  <c r="M127" i="80"/>
  <c r="L127" i="80"/>
  <c r="K127" i="80"/>
  <c r="J127" i="80"/>
  <c r="I127" i="80"/>
  <c r="H127" i="80"/>
  <c r="G127" i="80"/>
  <c r="F127" i="80"/>
  <c r="E127" i="80"/>
  <c r="D127" i="80"/>
  <c r="C127" i="80"/>
  <c r="B127" i="80"/>
  <c r="A127" i="80"/>
  <c r="X127" i="80" s="1"/>
  <c r="AE126" i="80"/>
  <c r="AD126" i="80"/>
  <c r="AC126" i="80"/>
  <c r="V126" i="80"/>
  <c r="U126" i="80"/>
  <c r="T126" i="80"/>
  <c r="S126" i="80"/>
  <c r="N126" i="80"/>
  <c r="M126" i="80"/>
  <c r="L126" i="80"/>
  <c r="K126" i="80"/>
  <c r="J126" i="80"/>
  <c r="I126" i="80"/>
  <c r="H126" i="80"/>
  <c r="G126" i="80"/>
  <c r="F126" i="80"/>
  <c r="E126" i="80"/>
  <c r="D126" i="80"/>
  <c r="C126" i="80"/>
  <c r="B126" i="80"/>
  <c r="A126" i="80"/>
  <c r="X126" i="80" s="1"/>
  <c r="AE125" i="80"/>
  <c r="AD125" i="80"/>
  <c r="AC125" i="80"/>
  <c r="V125" i="80"/>
  <c r="U125" i="80"/>
  <c r="T125" i="80"/>
  <c r="S125" i="80"/>
  <c r="N125" i="80"/>
  <c r="M125" i="80"/>
  <c r="L125" i="80"/>
  <c r="K125" i="80"/>
  <c r="J125" i="80"/>
  <c r="I125" i="80"/>
  <c r="H125" i="80"/>
  <c r="G125" i="80"/>
  <c r="F125" i="80"/>
  <c r="E125" i="80"/>
  <c r="D125" i="80"/>
  <c r="C125" i="80"/>
  <c r="B125" i="80"/>
  <c r="A125" i="80"/>
  <c r="X125" i="80" s="1"/>
  <c r="AE124" i="80"/>
  <c r="AD124" i="80"/>
  <c r="AC124" i="80"/>
  <c r="V124" i="80"/>
  <c r="U124" i="80"/>
  <c r="T124" i="80"/>
  <c r="S124" i="80"/>
  <c r="J124" i="80"/>
  <c r="E124" i="80"/>
  <c r="O124" i="80" s="1"/>
  <c r="D124" i="80"/>
  <c r="C124" i="80"/>
  <c r="B124" i="80"/>
  <c r="A124" i="80"/>
  <c r="X124" i="80" s="1"/>
  <c r="AE123" i="80"/>
  <c r="AD123" i="80"/>
  <c r="AC123" i="80"/>
  <c r="V123" i="80"/>
  <c r="U123" i="80"/>
  <c r="T123" i="80"/>
  <c r="S123" i="80"/>
  <c r="N123" i="80"/>
  <c r="M123" i="80"/>
  <c r="L123" i="80"/>
  <c r="K123" i="80"/>
  <c r="J123" i="80"/>
  <c r="I123" i="80"/>
  <c r="H123" i="80"/>
  <c r="G123" i="80"/>
  <c r="F123" i="80"/>
  <c r="E123" i="80"/>
  <c r="D123" i="80"/>
  <c r="C123" i="80"/>
  <c r="B123" i="80"/>
  <c r="A123" i="80"/>
  <c r="X123" i="80" s="1"/>
  <c r="AE122" i="80"/>
  <c r="AD122" i="80"/>
  <c r="AC122" i="80"/>
  <c r="V122" i="80"/>
  <c r="U122" i="80"/>
  <c r="T122" i="80"/>
  <c r="S122" i="80"/>
  <c r="J122" i="80"/>
  <c r="E122" i="80"/>
  <c r="D122" i="80"/>
  <c r="C122" i="80"/>
  <c r="B122" i="80"/>
  <c r="A122" i="80"/>
  <c r="X122" i="80" s="1"/>
  <c r="AE121" i="80"/>
  <c r="AD121" i="80"/>
  <c r="AC121" i="80"/>
  <c r="V121" i="80"/>
  <c r="U121" i="80"/>
  <c r="T121" i="80"/>
  <c r="S121" i="80"/>
  <c r="N121" i="80"/>
  <c r="M121" i="80"/>
  <c r="L121" i="80"/>
  <c r="K121" i="80"/>
  <c r="J121" i="80"/>
  <c r="I121" i="80"/>
  <c r="H121" i="80"/>
  <c r="G121" i="80"/>
  <c r="F121" i="80"/>
  <c r="E121" i="80"/>
  <c r="D121" i="80"/>
  <c r="C121" i="80"/>
  <c r="B121" i="80"/>
  <c r="A121" i="80"/>
  <c r="X121" i="80" s="1"/>
  <c r="AE120" i="80"/>
  <c r="AD120" i="80"/>
  <c r="AC120" i="80"/>
  <c r="V120" i="80"/>
  <c r="U120" i="80"/>
  <c r="T120" i="80"/>
  <c r="S120" i="80"/>
  <c r="N120" i="80"/>
  <c r="M120" i="80"/>
  <c r="L120" i="80"/>
  <c r="K120" i="80"/>
  <c r="J120" i="80"/>
  <c r="I120" i="80"/>
  <c r="H120" i="80"/>
  <c r="G120" i="80"/>
  <c r="F120" i="80"/>
  <c r="E120" i="80"/>
  <c r="D120" i="80"/>
  <c r="C120" i="80"/>
  <c r="B120" i="80"/>
  <c r="A120" i="80"/>
  <c r="X120" i="80" s="1"/>
  <c r="AE119" i="80"/>
  <c r="AD119" i="80"/>
  <c r="AC119" i="80"/>
  <c r="V119" i="80"/>
  <c r="U119" i="80"/>
  <c r="T119" i="80"/>
  <c r="S119" i="80"/>
  <c r="N119" i="80"/>
  <c r="M119" i="80"/>
  <c r="L119" i="80"/>
  <c r="K119" i="80"/>
  <c r="J119" i="80"/>
  <c r="I119" i="80"/>
  <c r="H119" i="80"/>
  <c r="G119" i="80"/>
  <c r="F119" i="80"/>
  <c r="E119" i="80"/>
  <c r="D119" i="80"/>
  <c r="C119" i="80"/>
  <c r="B119" i="80"/>
  <c r="A119" i="80"/>
  <c r="X119" i="80" s="1"/>
  <c r="AE118" i="80"/>
  <c r="AD118" i="80"/>
  <c r="AC118" i="80"/>
  <c r="V118" i="80"/>
  <c r="U118" i="80"/>
  <c r="T118" i="80"/>
  <c r="S118" i="80"/>
  <c r="N118" i="80"/>
  <c r="M118" i="80"/>
  <c r="L118" i="80"/>
  <c r="K118" i="80"/>
  <c r="J118" i="80"/>
  <c r="I118" i="80"/>
  <c r="H118" i="80"/>
  <c r="G118" i="80"/>
  <c r="F118" i="80"/>
  <c r="E118" i="80"/>
  <c r="D118" i="80"/>
  <c r="C118" i="80"/>
  <c r="B118" i="80"/>
  <c r="A118" i="80"/>
  <c r="X118" i="80" s="1"/>
  <c r="AE117" i="80"/>
  <c r="AD117" i="80"/>
  <c r="AC117" i="80"/>
  <c r="V117" i="80"/>
  <c r="U117" i="80"/>
  <c r="T117" i="80"/>
  <c r="S117" i="80"/>
  <c r="N117" i="80"/>
  <c r="M117" i="80"/>
  <c r="L117" i="80"/>
  <c r="K117" i="80"/>
  <c r="J117" i="80"/>
  <c r="I117" i="80"/>
  <c r="H117" i="80"/>
  <c r="G117" i="80"/>
  <c r="F117" i="80"/>
  <c r="E117" i="80"/>
  <c r="D117" i="80"/>
  <c r="C117" i="80"/>
  <c r="B117" i="80"/>
  <c r="A117" i="80"/>
  <c r="X117" i="80" s="1"/>
  <c r="AE116" i="80"/>
  <c r="AD116" i="80"/>
  <c r="AC116" i="80"/>
  <c r="V116" i="80"/>
  <c r="U116" i="80"/>
  <c r="T116" i="80"/>
  <c r="S116" i="80"/>
  <c r="N116" i="80"/>
  <c r="M116" i="80"/>
  <c r="L116" i="80"/>
  <c r="K116" i="80"/>
  <c r="J116" i="80"/>
  <c r="I116" i="80"/>
  <c r="H116" i="80"/>
  <c r="G116" i="80"/>
  <c r="F116" i="80"/>
  <c r="E116" i="80"/>
  <c r="D116" i="80"/>
  <c r="C116" i="80"/>
  <c r="B116" i="80"/>
  <c r="A116" i="80"/>
  <c r="X116" i="80" s="1"/>
  <c r="AE115" i="80"/>
  <c r="AD115" i="80"/>
  <c r="AC115" i="80"/>
  <c r="V115" i="80"/>
  <c r="U115" i="80"/>
  <c r="T115" i="80"/>
  <c r="S115" i="80"/>
  <c r="N115" i="80"/>
  <c r="M115" i="80"/>
  <c r="L115" i="80"/>
  <c r="K115" i="80"/>
  <c r="J115" i="80"/>
  <c r="I115" i="80"/>
  <c r="H115" i="80"/>
  <c r="G115" i="80"/>
  <c r="F115" i="80"/>
  <c r="E115" i="80"/>
  <c r="D115" i="80"/>
  <c r="C115" i="80"/>
  <c r="B115" i="80"/>
  <c r="A115" i="80"/>
  <c r="X115" i="80" s="1"/>
  <c r="AE114" i="80"/>
  <c r="AD114" i="80"/>
  <c r="AC114" i="80"/>
  <c r="X114" i="80"/>
  <c r="V114" i="80"/>
  <c r="U114" i="80"/>
  <c r="T114" i="80"/>
  <c r="S114" i="80"/>
  <c r="N114" i="80"/>
  <c r="M114" i="80"/>
  <c r="L114" i="80"/>
  <c r="K114" i="80"/>
  <c r="J114" i="80"/>
  <c r="I114" i="80"/>
  <c r="H114" i="80"/>
  <c r="G114" i="80"/>
  <c r="F114" i="80"/>
  <c r="E114" i="80"/>
  <c r="D114" i="80"/>
  <c r="C114" i="80"/>
  <c r="B114" i="80"/>
  <c r="A114" i="80"/>
  <c r="AE113" i="80"/>
  <c r="AD113" i="80"/>
  <c r="AC113" i="80"/>
  <c r="V113" i="80"/>
  <c r="U113" i="80"/>
  <c r="T113" i="80"/>
  <c r="S113" i="80"/>
  <c r="N113" i="80"/>
  <c r="M113" i="80"/>
  <c r="L113" i="80"/>
  <c r="K113" i="80"/>
  <c r="J113" i="80"/>
  <c r="I113" i="80"/>
  <c r="H113" i="80"/>
  <c r="G113" i="80"/>
  <c r="F113" i="80"/>
  <c r="E113" i="80"/>
  <c r="D113" i="80"/>
  <c r="C113" i="80"/>
  <c r="B113" i="80"/>
  <c r="A113" i="80"/>
  <c r="X113" i="80" s="1"/>
  <c r="AE112" i="80"/>
  <c r="AD112" i="80"/>
  <c r="AC112" i="80"/>
  <c r="V112" i="80"/>
  <c r="U112" i="80"/>
  <c r="T112" i="80"/>
  <c r="S112" i="80"/>
  <c r="N112" i="80"/>
  <c r="M112" i="80"/>
  <c r="L112" i="80"/>
  <c r="K112" i="80"/>
  <c r="J112" i="80"/>
  <c r="I112" i="80"/>
  <c r="H112" i="80"/>
  <c r="G112" i="80"/>
  <c r="F112" i="80"/>
  <c r="E112" i="80"/>
  <c r="D112" i="80"/>
  <c r="C112" i="80"/>
  <c r="B112" i="80"/>
  <c r="A112" i="80"/>
  <c r="X112" i="80" s="1"/>
  <c r="AE111" i="80"/>
  <c r="AD111" i="80"/>
  <c r="AC111" i="80"/>
  <c r="V111" i="80"/>
  <c r="U111" i="80"/>
  <c r="T111" i="80"/>
  <c r="S111" i="80"/>
  <c r="N111" i="80"/>
  <c r="M111" i="80"/>
  <c r="L111" i="80"/>
  <c r="K111" i="80"/>
  <c r="J111" i="80"/>
  <c r="I111" i="80"/>
  <c r="H111" i="80"/>
  <c r="G111" i="80"/>
  <c r="F111" i="80"/>
  <c r="E111" i="80"/>
  <c r="D111" i="80"/>
  <c r="C111" i="80"/>
  <c r="B111" i="80"/>
  <c r="A111" i="80"/>
  <c r="X111" i="80" s="1"/>
  <c r="AE110" i="80"/>
  <c r="AD110" i="80"/>
  <c r="AC110" i="80"/>
  <c r="V110" i="80"/>
  <c r="U110" i="80"/>
  <c r="T110" i="80"/>
  <c r="S110" i="80"/>
  <c r="N110" i="80"/>
  <c r="M110" i="80"/>
  <c r="L110" i="80"/>
  <c r="K110" i="80"/>
  <c r="J110" i="80"/>
  <c r="I110" i="80"/>
  <c r="H110" i="80"/>
  <c r="G110" i="80"/>
  <c r="F110" i="80"/>
  <c r="E110" i="80"/>
  <c r="D110" i="80"/>
  <c r="C110" i="80"/>
  <c r="B110" i="80"/>
  <c r="A110" i="80"/>
  <c r="X110" i="80" s="1"/>
  <c r="AE109" i="80"/>
  <c r="AD109" i="80"/>
  <c r="AC109" i="80"/>
  <c r="V109" i="80"/>
  <c r="U109" i="80"/>
  <c r="T109" i="80"/>
  <c r="S109" i="80"/>
  <c r="N109" i="80"/>
  <c r="M109" i="80"/>
  <c r="L109" i="80"/>
  <c r="K109" i="80"/>
  <c r="J109" i="80"/>
  <c r="I109" i="80"/>
  <c r="H109" i="80"/>
  <c r="G109" i="80"/>
  <c r="F109" i="80"/>
  <c r="E109" i="80"/>
  <c r="D109" i="80"/>
  <c r="C109" i="80"/>
  <c r="B109" i="80"/>
  <c r="A109" i="80"/>
  <c r="X109" i="80" s="1"/>
  <c r="AE108" i="80"/>
  <c r="AD108" i="80"/>
  <c r="AC108" i="80"/>
  <c r="X108" i="80"/>
  <c r="V108" i="80"/>
  <c r="U108" i="80"/>
  <c r="T108" i="80"/>
  <c r="S108" i="80"/>
  <c r="N108" i="80"/>
  <c r="M108" i="80"/>
  <c r="L108" i="80"/>
  <c r="K108" i="80"/>
  <c r="J108" i="80"/>
  <c r="I108" i="80"/>
  <c r="H108" i="80"/>
  <c r="G108" i="80"/>
  <c r="F108" i="80"/>
  <c r="E108" i="80"/>
  <c r="D108" i="80"/>
  <c r="C108" i="80"/>
  <c r="B108" i="80"/>
  <c r="A108" i="80"/>
  <c r="AE107" i="80"/>
  <c r="AD107" i="80"/>
  <c r="AC107" i="80"/>
  <c r="V107" i="80"/>
  <c r="U107" i="80"/>
  <c r="T107" i="80"/>
  <c r="S107" i="80"/>
  <c r="J107" i="80"/>
  <c r="E107" i="80"/>
  <c r="D107" i="80"/>
  <c r="C107" i="80"/>
  <c r="B107" i="80"/>
  <c r="A107" i="80"/>
  <c r="X107" i="80" s="1"/>
  <c r="AE106" i="80"/>
  <c r="AD106" i="80"/>
  <c r="AC106" i="80"/>
  <c r="V106" i="80"/>
  <c r="U106" i="80"/>
  <c r="T106" i="80"/>
  <c r="S106" i="80"/>
  <c r="N106" i="80"/>
  <c r="M106" i="80"/>
  <c r="L106" i="80"/>
  <c r="K106" i="80"/>
  <c r="J106" i="80"/>
  <c r="I106" i="80"/>
  <c r="H106" i="80"/>
  <c r="G106" i="80"/>
  <c r="F106" i="80"/>
  <c r="E106" i="80"/>
  <c r="D106" i="80"/>
  <c r="C106" i="80"/>
  <c r="B106" i="80"/>
  <c r="A106" i="80"/>
  <c r="X106" i="80" s="1"/>
  <c r="AE105" i="80"/>
  <c r="AD105" i="80"/>
  <c r="AC105" i="80"/>
  <c r="V105" i="80"/>
  <c r="U105" i="80"/>
  <c r="T105" i="80"/>
  <c r="S105" i="80"/>
  <c r="J105" i="80"/>
  <c r="E105" i="80"/>
  <c r="D105" i="80"/>
  <c r="C105" i="80"/>
  <c r="B105" i="80"/>
  <c r="A105" i="80"/>
  <c r="X105" i="80" s="1"/>
  <c r="AE104" i="80"/>
  <c r="AD104" i="80"/>
  <c r="AC104" i="80"/>
  <c r="V104" i="80"/>
  <c r="U104" i="80"/>
  <c r="T104" i="80"/>
  <c r="S104" i="80"/>
  <c r="N104" i="80"/>
  <c r="M104" i="80"/>
  <c r="L104" i="80"/>
  <c r="K104" i="80"/>
  <c r="J104" i="80"/>
  <c r="I104" i="80"/>
  <c r="H104" i="80"/>
  <c r="G104" i="80"/>
  <c r="F104" i="80"/>
  <c r="E104" i="80"/>
  <c r="D104" i="80"/>
  <c r="C104" i="80"/>
  <c r="B104" i="80"/>
  <c r="A104" i="80"/>
  <c r="X104" i="80" s="1"/>
  <c r="AE103" i="80"/>
  <c r="AD103" i="80"/>
  <c r="AC103" i="80"/>
  <c r="V103" i="80"/>
  <c r="U103" i="80"/>
  <c r="T103" i="80"/>
  <c r="S103" i="80"/>
  <c r="N103" i="80"/>
  <c r="M103" i="80"/>
  <c r="L103" i="80"/>
  <c r="K103" i="80"/>
  <c r="J103" i="80"/>
  <c r="I103" i="80"/>
  <c r="H103" i="80"/>
  <c r="G103" i="80"/>
  <c r="F103" i="80"/>
  <c r="E103" i="80"/>
  <c r="D103" i="80"/>
  <c r="C103" i="80"/>
  <c r="B103" i="80"/>
  <c r="A103" i="80"/>
  <c r="X103" i="80" s="1"/>
  <c r="AE102" i="80"/>
  <c r="AD102" i="80"/>
  <c r="AC102" i="80"/>
  <c r="V102" i="80"/>
  <c r="U102" i="80"/>
  <c r="T102" i="80"/>
  <c r="S102" i="80"/>
  <c r="N102" i="80"/>
  <c r="M102" i="80"/>
  <c r="L102" i="80"/>
  <c r="K102" i="80"/>
  <c r="J102" i="80"/>
  <c r="I102" i="80"/>
  <c r="H102" i="80"/>
  <c r="G102" i="80"/>
  <c r="F102" i="80"/>
  <c r="E102" i="80"/>
  <c r="D102" i="80"/>
  <c r="C102" i="80"/>
  <c r="B102" i="80"/>
  <c r="A102" i="80"/>
  <c r="X102" i="80" s="1"/>
  <c r="AE101" i="80"/>
  <c r="AD101" i="80"/>
  <c r="AC101" i="80"/>
  <c r="V101" i="80"/>
  <c r="U101" i="80"/>
  <c r="T101" i="80"/>
  <c r="S101" i="80"/>
  <c r="N101" i="80"/>
  <c r="M101" i="80"/>
  <c r="L101" i="80"/>
  <c r="K101" i="80"/>
  <c r="J101" i="80"/>
  <c r="I101" i="80"/>
  <c r="H101" i="80"/>
  <c r="G101" i="80"/>
  <c r="F101" i="80"/>
  <c r="E101" i="80"/>
  <c r="D101" i="80"/>
  <c r="C101" i="80"/>
  <c r="B101" i="80"/>
  <c r="A101" i="80"/>
  <c r="X101" i="80" s="1"/>
  <c r="AE100" i="80"/>
  <c r="AD100" i="80"/>
  <c r="AC100" i="80"/>
  <c r="V100" i="80"/>
  <c r="U100" i="80"/>
  <c r="T100" i="80"/>
  <c r="S100" i="80"/>
  <c r="N100" i="80"/>
  <c r="M100" i="80"/>
  <c r="L100" i="80"/>
  <c r="K100" i="80"/>
  <c r="J100" i="80"/>
  <c r="I100" i="80"/>
  <c r="H100" i="80"/>
  <c r="G100" i="80"/>
  <c r="F100" i="80"/>
  <c r="E100" i="80"/>
  <c r="D100" i="80"/>
  <c r="C100" i="80"/>
  <c r="B100" i="80"/>
  <c r="A100" i="80"/>
  <c r="X100" i="80" s="1"/>
  <c r="AE99" i="80"/>
  <c r="AD99" i="80"/>
  <c r="AC99" i="80"/>
  <c r="V99" i="80"/>
  <c r="U99" i="80"/>
  <c r="T99" i="80"/>
  <c r="S99" i="80"/>
  <c r="N99" i="80"/>
  <c r="M99" i="80"/>
  <c r="L99" i="80"/>
  <c r="K99" i="80"/>
  <c r="J99" i="80"/>
  <c r="I99" i="80"/>
  <c r="H99" i="80"/>
  <c r="G99" i="80"/>
  <c r="F99" i="80"/>
  <c r="E99" i="80"/>
  <c r="D99" i="80"/>
  <c r="C99" i="80"/>
  <c r="B99" i="80"/>
  <c r="A99" i="80"/>
  <c r="X99" i="80" s="1"/>
  <c r="AE98" i="80"/>
  <c r="AD98" i="80"/>
  <c r="AC98" i="80"/>
  <c r="V98" i="80"/>
  <c r="U98" i="80"/>
  <c r="T98" i="80"/>
  <c r="S98" i="80"/>
  <c r="N98" i="80"/>
  <c r="M98" i="80"/>
  <c r="L98" i="80"/>
  <c r="K98" i="80"/>
  <c r="J98" i="80"/>
  <c r="I98" i="80"/>
  <c r="H98" i="80"/>
  <c r="G98" i="80"/>
  <c r="F98" i="80"/>
  <c r="E98" i="80"/>
  <c r="D98" i="80"/>
  <c r="C98" i="80"/>
  <c r="B98" i="80"/>
  <c r="A98" i="80"/>
  <c r="X98" i="80" s="1"/>
  <c r="AE97" i="80"/>
  <c r="AD97" i="80"/>
  <c r="AC97" i="80"/>
  <c r="V97" i="80"/>
  <c r="U97" i="80"/>
  <c r="T97" i="80"/>
  <c r="S97" i="80"/>
  <c r="N97" i="80"/>
  <c r="M97" i="80"/>
  <c r="L97" i="80"/>
  <c r="K97" i="80"/>
  <c r="J97" i="80"/>
  <c r="I97" i="80"/>
  <c r="H97" i="80"/>
  <c r="G97" i="80"/>
  <c r="F97" i="80"/>
  <c r="E97" i="80"/>
  <c r="D97" i="80"/>
  <c r="C97" i="80"/>
  <c r="B97" i="80"/>
  <c r="A97" i="80"/>
  <c r="X97" i="80" s="1"/>
  <c r="AE96" i="80"/>
  <c r="AD96" i="80"/>
  <c r="AC96" i="80"/>
  <c r="V96" i="80"/>
  <c r="U96" i="80"/>
  <c r="T96" i="80"/>
  <c r="S96" i="80"/>
  <c r="N96" i="80"/>
  <c r="M96" i="80"/>
  <c r="L96" i="80"/>
  <c r="K96" i="80"/>
  <c r="J96" i="80"/>
  <c r="I96" i="80"/>
  <c r="H96" i="80"/>
  <c r="G96" i="80"/>
  <c r="F96" i="80"/>
  <c r="E96" i="80"/>
  <c r="D96" i="80"/>
  <c r="C96" i="80"/>
  <c r="B96" i="80"/>
  <c r="A96" i="80"/>
  <c r="X96" i="80" s="1"/>
  <c r="AE95" i="80"/>
  <c r="AD95" i="80"/>
  <c r="AC95" i="80"/>
  <c r="V95" i="80"/>
  <c r="U95" i="80"/>
  <c r="T95" i="80"/>
  <c r="S95" i="80"/>
  <c r="N95" i="80"/>
  <c r="M95" i="80"/>
  <c r="L95" i="80"/>
  <c r="K95" i="80"/>
  <c r="J95" i="80"/>
  <c r="I95" i="80"/>
  <c r="H95" i="80"/>
  <c r="G95" i="80"/>
  <c r="F95" i="80"/>
  <c r="E95" i="80"/>
  <c r="D95" i="80"/>
  <c r="C95" i="80"/>
  <c r="B95" i="80"/>
  <c r="A95" i="80"/>
  <c r="X95" i="80" s="1"/>
  <c r="AE94" i="80"/>
  <c r="AD94" i="80"/>
  <c r="AC94" i="80"/>
  <c r="V94" i="80"/>
  <c r="U94" i="80"/>
  <c r="T94" i="80"/>
  <c r="S94" i="80"/>
  <c r="N94" i="80"/>
  <c r="M94" i="80"/>
  <c r="L94" i="80"/>
  <c r="K94" i="80"/>
  <c r="J94" i="80"/>
  <c r="I94" i="80"/>
  <c r="H94" i="80"/>
  <c r="G94" i="80"/>
  <c r="F94" i="80"/>
  <c r="E94" i="80"/>
  <c r="D94" i="80"/>
  <c r="C94" i="80"/>
  <c r="B94" i="80"/>
  <c r="A94" i="80"/>
  <c r="X94" i="80" s="1"/>
  <c r="AE93" i="80"/>
  <c r="AD93" i="80"/>
  <c r="AC93" i="80"/>
  <c r="V93" i="80"/>
  <c r="U93" i="80"/>
  <c r="T93" i="80"/>
  <c r="S93" i="80"/>
  <c r="N93" i="80"/>
  <c r="M93" i="80"/>
  <c r="L93" i="80"/>
  <c r="K93" i="80"/>
  <c r="J93" i="80"/>
  <c r="I93" i="80"/>
  <c r="H93" i="80"/>
  <c r="G93" i="80"/>
  <c r="F93" i="80"/>
  <c r="E93" i="80"/>
  <c r="D93" i="80"/>
  <c r="C93" i="80"/>
  <c r="B93" i="80"/>
  <c r="A93" i="80"/>
  <c r="X93" i="80" s="1"/>
  <c r="AE92" i="80"/>
  <c r="AD92" i="80"/>
  <c r="AC92" i="80"/>
  <c r="V92" i="80"/>
  <c r="U92" i="80"/>
  <c r="T92" i="80"/>
  <c r="S92" i="80"/>
  <c r="N92" i="80"/>
  <c r="K92" i="80"/>
  <c r="J92" i="80"/>
  <c r="I92" i="80"/>
  <c r="H92" i="80"/>
  <c r="G92" i="80"/>
  <c r="F92" i="80"/>
  <c r="E92" i="80"/>
  <c r="D92" i="80"/>
  <c r="C92" i="80"/>
  <c r="B92" i="80"/>
  <c r="A92" i="80"/>
  <c r="X92" i="80" s="1"/>
  <c r="AE91" i="80"/>
  <c r="AD91" i="80"/>
  <c r="AC91" i="80"/>
  <c r="V91" i="80"/>
  <c r="U91" i="80"/>
  <c r="T91" i="80"/>
  <c r="S91" i="80"/>
  <c r="J91" i="80"/>
  <c r="E91" i="80"/>
  <c r="D91" i="80"/>
  <c r="C91" i="80"/>
  <c r="B91" i="80"/>
  <c r="A91" i="80"/>
  <c r="X91" i="80" s="1"/>
  <c r="AE90" i="80"/>
  <c r="AD90" i="80"/>
  <c r="AC90" i="80"/>
  <c r="X90" i="80"/>
  <c r="V90" i="80"/>
  <c r="U90" i="80"/>
  <c r="T90" i="80"/>
  <c r="S90" i="80"/>
  <c r="N90" i="80"/>
  <c r="M90" i="80"/>
  <c r="L90" i="80"/>
  <c r="K90" i="80"/>
  <c r="J90" i="80"/>
  <c r="I90" i="80"/>
  <c r="H90" i="80"/>
  <c r="G90" i="80"/>
  <c r="F90" i="80"/>
  <c r="E90" i="80"/>
  <c r="D90" i="80"/>
  <c r="C90" i="80"/>
  <c r="B90" i="80"/>
  <c r="A90" i="80"/>
  <c r="AE89" i="80"/>
  <c r="AD89" i="80"/>
  <c r="AC89" i="80"/>
  <c r="V89" i="80"/>
  <c r="U89" i="80"/>
  <c r="T89" i="80"/>
  <c r="S89" i="80"/>
  <c r="J89" i="80"/>
  <c r="E89" i="80"/>
  <c r="D89" i="80"/>
  <c r="C89" i="80"/>
  <c r="B89" i="80"/>
  <c r="A89" i="80"/>
  <c r="X89" i="80" s="1"/>
  <c r="AE88" i="80"/>
  <c r="AD88" i="80"/>
  <c r="AC88" i="80"/>
  <c r="V88" i="80"/>
  <c r="U88" i="80"/>
  <c r="T88" i="80"/>
  <c r="S88" i="80"/>
  <c r="N88" i="80"/>
  <c r="M88" i="80"/>
  <c r="L88" i="80"/>
  <c r="K88" i="80"/>
  <c r="J88" i="80"/>
  <c r="I88" i="80"/>
  <c r="H88" i="80"/>
  <c r="G88" i="80"/>
  <c r="F88" i="80"/>
  <c r="E88" i="80"/>
  <c r="D88" i="80"/>
  <c r="C88" i="80"/>
  <c r="B88" i="80"/>
  <c r="A88" i="80"/>
  <c r="X88" i="80" s="1"/>
  <c r="AE87" i="80"/>
  <c r="AD87" i="80"/>
  <c r="AC87" i="80"/>
  <c r="V87" i="80"/>
  <c r="U87" i="80"/>
  <c r="T87" i="80"/>
  <c r="S87" i="80"/>
  <c r="N87" i="80"/>
  <c r="M87" i="80"/>
  <c r="L87" i="80"/>
  <c r="K87" i="80"/>
  <c r="J87" i="80"/>
  <c r="I87" i="80"/>
  <c r="H87" i="80"/>
  <c r="G87" i="80"/>
  <c r="F87" i="80"/>
  <c r="E87" i="80"/>
  <c r="D87" i="80"/>
  <c r="C87" i="80"/>
  <c r="B87" i="80"/>
  <c r="A87" i="80"/>
  <c r="X87" i="80" s="1"/>
  <c r="AE86" i="80"/>
  <c r="AD86" i="80"/>
  <c r="AC86" i="80"/>
  <c r="V86" i="80"/>
  <c r="U86" i="80"/>
  <c r="T86" i="80"/>
  <c r="S86" i="80"/>
  <c r="N86" i="80"/>
  <c r="M86" i="80"/>
  <c r="L86" i="80"/>
  <c r="K86" i="80"/>
  <c r="J86" i="80"/>
  <c r="I86" i="80"/>
  <c r="H86" i="80"/>
  <c r="G86" i="80"/>
  <c r="F86" i="80"/>
  <c r="E86" i="80"/>
  <c r="D86" i="80"/>
  <c r="C86" i="80"/>
  <c r="B86" i="80"/>
  <c r="A86" i="80"/>
  <c r="X86" i="80" s="1"/>
  <c r="AE85" i="80"/>
  <c r="AD85" i="80"/>
  <c r="AC85" i="80"/>
  <c r="V85" i="80"/>
  <c r="U85" i="80"/>
  <c r="T85" i="80"/>
  <c r="S85" i="80"/>
  <c r="N85" i="80"/>
  <c r="M85" i="80"/>
  <c r="L85" i="80"/>
  <c r="K85" i="80"/>
  <c r="J85" i="80"/>
  <c r="I85" i="80"/>
  <c r="H85" i="80"/>
  <c r="G85" i="80"/>
  <c r="F85" i="80"/>
  <c r="E85" i="80"/>
  <c r="D85" i="80"/>
  <c r="C85" i="80"/>
  <c r="B85" i="80"/>
  <c r="A85" i="80"/>
  <c r="X85" i="80" s="1"/>
  <c r="AE84" i="80"/>
  <c r="AD84" i="80"/>
  <c r="AC84" i="80"/>
  <c r="V84" i="80"/>
  <c r="U84" i="80"/>
  <c r="T84" i="80"/>
  <c r="S84" i="80"/>
  <c r="N84" i="80"/>
  <c r="M84" i="80"/>
  <c r="L84" i="80"/>
  <c r="K84" i="80"/>
  <c r="J84" i="80"/>
  <c r="I84" i="80"/>
  <c r="H84" i="80"/>
  <c r="G84" i="80"/>
  <c r="F84" i="80"/>
  <c r="E84" i="80"/>
  <c r="D84" i="80"/>
  <c r="C84" i="80"/>
  <c r="B84" i="80"/>
  <c r="A84" i="80"/>
  <c r="X84" i="80" s="1"/>
  <c r="AE83" i="80"/>
  <c r="AD83" i="80"/>
  <c r="AC83" i="80"/>
  <c r="V83" i="80"/>
  <c r="U83" i="80"/>
  <c r="T83" i="80"/>
  <c r="S83" i="80"/>
  <c r="N83" i="80"/>
  <c r="M83" i="80"/>
  <c r="L83" i="80"/>
  <c r="K83" i="80"/>
  <c r="J83" i="80"/>
  <c r="I83" i="80"/>
  <c r="H83" i="80"/>
  <c r="G83" i="80"/>
  <c r="F83" i="80"/>
  <c r="E83" i="80"/>
  <c r="D83" i="80"/>
  <c r="C83" i="80"/>
  <c r="B83" i="80"/>
  <c r="A83" i="80"/>
  <c r="X83" i="80" s="1"/>
  <c r="AE82" i="80"/>
  <c r="AD82" i="80"/>
  <c r="AC82" i="80"/>
  <c r="V82" i="80"/>
  <c r="U82" i="80"/>
  <c r="T82" i="80"/>
  <c r="S82" i="80"/>
  <c r="N82" i="80"/>
  <c r="M82" i="80"/>
  <c r="L82" i="80"/>
  <c r="K82" i="80"/>
  <c r="J82" i="80"/>
  <c r="I82" i="80"/>
  <c r="H82" i="80"/>
  <c r="G82" i="80"/>
  <c r="F82" i="80"/>
  <c r="E82" i="80"/>
  <c r="D82" i="80"/>
  <c r="C82" i="80"/>
  <c r="B82" i="80"/>
  <c r="A82" i="80"/>
  <c r="X82" i="80" s="1"/>
  <c r="AE81" i="80"/>
  <c r="AD81" i="80"/>
  <c r="AC81" i="80"/>
  <c r="V81" i="80"/>
  <c r="U81" i="80"/>
  <c r="T81" i="80"/>
  <c r="S81" i="80"/>
  <c r="N81" i="80"/>
  <c r="M81" i="80"/>
  <c r="L81" i="80"/>
  <c r="K81" i="80"/>
  <c r="J81" i="80"/>
  <c r="I81" i="80"/>
  <c r="H81" i="80"/>
  <c r="G81" i="80"/>
  <c r="F81" i="80"/>
  <c r="E81" i="80"/>
  <c r="D81" i="80"/>
  <c r="C81" i="80"/>
  <c r="B81" i="80"/>
  <c r="A81" i="80"/>
  <c r="X81" i="80" s="1"/>
  <c r="AE80" i="80"/>
  <c r="AD80" i="80"/>
  <c r="AC80" i="80"/>
  <c r="V80" i="80"/>
  <c r="U80" i="80"/>
  <c r="T80" i="80"/>
  <c r="S80" i="80"/>
  <c r="N80" i="80"/>
  <c r="M80" i="80"/>
  <c r="L80" i="80"/>
  <c r="K80" i="80"/>
  <c r="J80" i="80"/>
  <c r="I80" i="80"/>
  <c r="H80" i="80"/>
  <c r="G80" i="80"/>
  <c r="F80" i="80"/>
  <c r="E80" i="80"/>
  <c r="D80" i="80"/>
  <c r="C80" i="80"/>
  <c r="B80" i="80"/>
  <c r="A80" i="80"/>
  <c r="X80" i="80" s="1"/>
  <c r="AE79" i="80"/>
  <c r="AD79" i="80"/>
  <c r="AC79" i="80"/>
  <c r="V79" i="80"/>
  <c r="U79" i="80"/>
  <c r="T79" i="80"/>
  <c r="S79" i="80"/>
  <c r="N79" i="80"/>
  <c r="M79" i="80"/>
  <c r="L79" i="80"/>
  <c r="K79" i="80"/>
  <c r="J79" i="80"/>
  <c r="I79" i="80"/>
  <c r="H79" i="80"/>
  <c r="G79" i="80"/>
  <c r="F79" i="80"/>
  <c r="E79" i="80"/>
  <c r="D79" i="80"/>
  <c r="C79" i="80"/>
  <c r="B79" i="80"/>
  <c r="A79" i="80"/>
  <c r="X79" i="80" s="1"/>
  <c r="AE78" i="80"/>
  <c r="AD78" i="80"/>
  <c r="AC78" i="80"/>
  <c r="V78" i="80"/>
  <c r="U78" i="80"/>
  <c r="T78" i="80"/>
  <c r="S78" i="80"/>
  <c r="N78" i="80"/>
  <c r="M78" i="80"/>
  <c r="L78" i="80"/>
  <c r="K78" i="80"/>
  <c r="J78" i="80"/>
  <c r="I78" i="80"/>
  <c r="H78" i="80"/>
  <c r="G78" i="80"/>
  <c r="F78" i="80"/>
  <c r="E78" i="80"/>
  <c r="D78" i="80"/>
  <c r="C78" i="80"/>
  <c r="B78" i="80"/>
  <c r="A78" i="80"/>
  <c r="X78" i="80" s="1"/>
  <c r="AE77" i="80"/>
  <c r="AD77" i="80"/>
  <c r="AC77" i="80"/>
  <c r="V77" i="80"/>
  <c r="U77" i="80"/>
  <c r="T77" i="80"/>
  <c r="S77" i="80"/>
  <c r="N77" i="80"/>
  <c r="M77" i="80"/>
  <c r="L77" i="80"/>
  <c r="K77" i="80"/>
  <c r="J77" i="80"/>
  <c r="I77" i="80"/>
  <c r="H77" i="80"/>
  <c r="G77" i="80"/>
  <c r="F77" i="80"/>
  <c r="E77" i="80"/>
  <c r="D77" i="80"/>
  <c r="C77" i="80"/>
  <c r="B77" i="80"/>
  <c r="A77" i="80"/>
  <c r="X77" i="80" s="1"/>
  <c r="AE76" i="80"/>
  <c r="AD76" i="80"/>
  <c r="AC76" i="80"/>
  <c r="V76" i="80"/>
  <c r="U76" i="80"/>
  <c r="T76" i="80"/>
  <c r="S76" i="80"/>
  <c r="N76" i="80"/>
  <c r="M76" i="80"/>
  <c r="L76" i="80"/>
  <c r="K76" i="80"/>
  <c r="J76" i="80"/>
  <c r="I76" i="80"/>
  <c r="H76" i="80"/>
  <c r="G76" i="80"/>
  <c r="F76" i="80"/>
  <c r="E76" i="80"/>
  <c r="D76" i="80"/>
  <c r="C76" i="80"/>
  <c r="B76" i="80"/>
  <c r="A76" i="80"/>
  <c r="X76" i="80" s="1"/>
  <c r="AE75" i="80"/>
  <c r="AD75" i="80"/>
  <c r="AC75" i="80"/>
  <c r="V75" i="80"/>
  <c r="U75" i="80"/>
  <c r="T75" i="80"/>
  <c r="S75" i="80"/>
  <c r="N75" i="80"/>
  <c r="M75" i="80"/>
  <c r="L75" i="80"/>
  <c r="K75" i="80"/>
  <c r="J75" i="80"/>
  <c r="I75" i="80"/>
  <c r="H75" i="80"/>
  <c r="G75" i="80"/>
  <c r="F75" i="80"/>
  <c r="E75" i="80"/>
  <c r="D75" i="80"/>
  <c r="C75" i="80"/>
  <c r="B75" i="80"/>
  <c r="A75" i="80"/>
  <c r="X75" i="80" s="1"/>
  <c r="AE74" i="80"/>
  <c r="AD74" i="80"/>
  <c r="AC74" i="80"/>
  <c r="V74" i="80"/>
  <c r="U74" i="80"/>
  <c r="T74" i="80"/>
  <c r="S74" i="80"/>
  <c r="J74" i="80"/>
  <c r="E74" i="80"/>
  <c r="D74" i="80"/>
  <c r="C74" i="80"/>
  <c r="B74" i="80"/>
  <c r="A74" i="80"/>
  <c r="X74" i="80" s="1"/>
  <c r="AE73" i="80"/>
  <c r="AD73" i="80"/>
  <c r="AC73" i="80"/>
  <c r="V73" i="80"/>
  <c r="U73" i="80"/>
  <c r="T73" i="80"/>
  <c r="S73" i="80"/>
  <c r="N73" i="80"/>
  <c r="M73" i="80"/>
  <c r="L73" i="80"/>
  <c r="K73" i="80"/>
  <c r="J73" i="80"/>
  <c r="I73" i="80"/>
  <c r="H73" i="80"/>
  <c r="G73" i="80"/>
  <c r="F73" i="80"/>
  <c r="E73" i="80"/>
  <c r="D73" i="80"/>
  <c r="C73" i="80"/>
  <c r="B73" i="80"/>
  <c r="A73" i="80"/>
  <c r="X73" i="80" s="1"/>
  <c r="AE72" i="80"/>
  <c r="AD72" i="80"/>
  <c r="AC72" i="80"/>
  <c r="V72" i="80"/>
  <c r="U72" i="80"/>
  <c r="T72" i="80"/>
  <c r="S72" i="80"/>
  <c r="J72" i="80"/>
  <c r="E72" i="80"/>
  <c r="D72" i="80"/>
  <c r="C72" i="80"/>
  <c r="B72" i="80"/>
  <c r="A72" i="80"/>
  <c r="X72" i="80" s="1"/>
  <c r="AE71" i="80"/>
  <c r="AD71" i="80"/>
  <c r="AC71" i="80"/>
  <c r="V71" i="80"/>
  <c r="U71" i="80"/>
  <c r="T71" i="80"/>
  <c r="S71" i="80"/>
  <c r="N71" i="80"/>
  <c r="M71" i="80"/>
  <c r="L71" i="80"/>
  <c r="K71" i="80"/>
  <c r="J71" i="80"/>
  <c r="I71" i="80"/>
  <c r="H71" i="80"/>
  <c r="G71" i="80"/>
  <c r="F71" i="80"/>
  <c r="E71" i="80"/>
  <c r="D71" i="80"/>
  <c r="C71" i="80"/>
  <c r="B71" i="80"/>
  <c r="A71" i="80"/>
  <c r="X71" i="80" s="1"/>
  <c r="AE70" i="80"/>
  <c r="AD70" i="80"/>
  <c r="AC70" i="80"/>
  <c r="V70" i="80"/>
  <c r="U70" i="80"/>
  <c r="T70" i="80"/>
  <c r="S70" i="80"/>
  <c r="N70" i="80"/>
  <c r="M70" i="80"/>
  <c r="L70" i="80"/>
  <c r="K70" i="80"/>
  <c r="J70" i="80"/>
  <c r="I70" i="80"/>
  <c r="H70" i="80"/>
  <c r="G70" i="80"/>
  <c r="F70" i="80"/>
  <c r="E70" i="80"/>
  <c r="D70" i="80"/>
  <c r="C70" i="80"/>
  <c r="B70" i="80"/>
  <c r="A70" i="80"/>
  <c r="X70" i="80" s="1"/>
  <c r="AE69" i="80"/>
  <c r="AD69" i="80"/>
  <c r="AC69" i="80"/>
  <c r="V69" i="80"/>
  <c r="U69" i="80"/>
  <c r="T69" i="80"/>
  <c r="S69" i="80"/>
  <c r="N69" i="80"/>
  <c r="M69" i="80"/>
  <c r="L69" i="80"/>
  <c r="K69" i="80"/>
  <c r="J69" i="80"/>
  <c r="I69" i="80"/>
  <c r="H69" i="80"/>
  <c r="G69" i="80"/>
  <c r="F69" i="80"/>
  <c r="E69" i="80"/>
  <c r="D69" i="80"/>
  <c r="C69" i="80"/>
  <c r="B69" i="80"/>
  <c r="A69" i="80"/>
  <c r="X69" i="80" s="1"/>
  <c r="AE68" i="80"/>
  <c r="AD68" i="80"/>
  <c r="AC68" i="80"/>
  <c r="V68" i="80"/>
  <c r="U68" i="80"/>
  <c r="T68" i="80"/>
  <c r="S68" i="80"/>
  <c r="N68" i="80"/>
  <c r="M68" i="80"/>
  <c r="L68" i="80"/>
  <c r="K68" i="80"/>
  <c r="J68" i="80"/>
  <c r="I68" i="80"/>
  <c r="H68" i="80"/>
  <c r="G68" i="80"/>
  <c r="F68" i="80"/>
  <c r="E68" i="80"/>
  <c r="D68" i="80"/>
  <c r="C68" i="80"/>
  <c r="B68" i="80"/>
  <c r="A68" i="80"/>
  <c r="X68" i="80" s="1"/>
  <c r="AE67" i="80"/>
  <c r="AD67" i="80"/>
  <c r="AC67" i="80"/>
  <c r="V67" i="80"/>
  <c r="U67" i="80"/>
  <c r="T67" i="80"/>
  <c r="S67" i="80"/>
  <c r="N67" i="80"/>
  <c r="M67" i="80"/>
  <c r="L67" i="80"/>
  <c r="K67" i="80"/>
  <c r="J67" i="80"/>
  <c r="I67" i="80"/>
  <c r="H67" i="80"/>
  <c r="G67" i="80"/>
  <c r="F67" i="80"/>
  <c r="E67" i="80"/>
  <c r="D67" i="80"/>
  <c r="C67" i="80"/>
  <c r="B67" i="80"/>
  <c r="A67" i="80"/>
  <c r="X67" i="80" s="1"/>
  <c r="AE66" i="80"/>
  <c r="AD66" i="80"/>
  <c r="AC66" i="80"/>
  <c r="V66" i="80"/>
  <c r="U66" i="80"/>
  <c r="T66" i="80"/>
  <c r="S66" i="80"/>
  <c r="N66" i="80"/>
  <c r="M66" i="80"/>
  <c r="L66" i="80"/>
  <c r="K66" i="80"/>
  <c r="J66" i="80"/>
  <c r="I66" i="80"/>
  <c r="H66" i="80"/>
  <c r="G66" i="80"/>
  <c r="F66" i="80"/>
  <c r="E66" i="80"/>
  <c r="D66" i="80"/>
  <c r="C66" i="80"/>
  <c r="B66" i="80"/>
  <c r="A66" i="80"/>
  <c r="X66" i="80" s="1"/>
  <c r="AE65" i="80"/>
  <c r="AD65" i="80"/>
  <c r="AC65" i="80"/>
  <c r="V65" i="80"/>
  <c r="U65" i="80"/>
  <c r="T65" i="80"/>
  <c r="S65" i="80"/>
  <c r="N65" i="80"/>
  <c r="M65" i="80"/>
  <c r="L65" i="80"/>
  <c r="K65" i="80"/>
  <c r="J65" i="80"/>
  <c r="I65" i="80"/>
  <c r="H65" i="80"/>
  <c r="G65" i="80"/>
  <c r="F65" i="80"/>
  <c r="E65" i="80"/>
  <c r="D65" i="80"/>
  <c r="C65" i="80"/>
  <c r="B65" i="80"/>
  <c r="A65" i="80"/>
  <c r="X65" i="80" s="1"/>
  <c r="AE64" i="80"/>
  <c r="AD64" i="80"/>
  <c r="AC64" i="80"/>
  <c r="V64" i="80"/>
  <c r="U64" i="80"/>
  <c r="T64" i="80"/>
  <c r="S64" i="80"/>
  <c r="N64" i="80"/>
  <c r="M64" i="80"/>
  <c r="L64" i="80"/>
  <c r="K64" i="80"/>
  <c r="J64" i="80"/>
  <c r="I64" i="80"/>
  <c r="H64" i="80"/>
  <c r="G64" i="80"/>
  <c r="F64" i="80"/>
  <c r="E64" i="80"/>
  <c r="D64" i="80"/>
  <c r="C64" i="80"/>
  <c r="B64" i="80"/>
  <c r="A64" i="80"/>
  <c r="X64" i="80" s="1"/>
  <c r="AE63" i="80"/>
  <c r="AD63" i="80"/>
  <c r="AC63" i="80"/>
  <c r="V63" i="80"/>
  <c r="U63" i="80"/>
  <c r="T63" i="80"/>
  <c r="S63" i="80"/>
  <c r="N63" i="80"/>
  <c r="M63" i="80"/>
  <c r="L63" i="80"/>
  <c r="K63" i="80"/>
  <c r="J63" i="80"/>
  <c r="I63" i="80"/>
  <c r="H63" i="80"/>
  <c r="G63" i="80"/>
  <c r="F63" i="80"/>
  <c r="E63" i="80"/>
  <c r="D63" i="80"/>
  <c r="C63" i="80"/>
  <c r="B63" i="80"/>
  <c r="A63" i="80"/>
  <c r="X63" i="80" s="1"/>
  <c r="AE62" i="80"/>
  <c r="AD62" i="80"/>
  <c r="AC62" i="80"/>
  <c r="V62" i="80"/>
  <c r="U62" i="80"/>
  <c r="T62" i="80"/>
  <c r="S62" i="80"/>
  <c r="N62" i="80"/>
  <c r="M62" i="80"/>
  <c r="L62" i="80"/>
  <c r="K62" i="80"/>
  <c r="J62" i="80"/>
  <c r="I62" i="80"/>
  <c r="H62" i="80"/>
  <c r="G62" i="80"/>
  <c r="F62" i="80"/>
  <c r="E62" i="80"/>
  <c r="D62" i="80"/>
  <c r="C62" i="80"/>
  <c r="B62" i="80"/>
  <c r="A62" i="80"/>
  <c r="X62" i="80" s="1"/>
  <c r="AE61" i="80"/>
  <c r="AD61" i="80"/>
  <c r="AC61" i="80"/>
  <c r="V61" i="80"/>
  <c r="U61" i="80"/>
  <c r="T61" i="80"/>
  <c r="S61" i="80"/>
  <c r="N61" i="80"/>
  <c r="M61" i="80"/>
  <c r="L61" i="80"/>
  <c r="K61" i="80"/>
  <c r="J61" i="80"/>
  <c r="I61" i="80"/>
  <c r="H61" i="80"/>
  <c r="G61" i="80"/>
  <c r="F61" i="80"/>
  <c r="E61" i="80"/>
  <c r="D61" i="80"/>
  <c r="C61" i="80"/>
  <c r="B61" i="80"/>
  <c r="A61" i="80"/>
  <c r="X61" i="80" s="1"/>
  <c r="AE60" i="80"/>
  <c r="AD60" i="80"/>
  <c r="AC60" i="80"/>
  <c r="V60" i="80"/>
  <c r="U60" i="80"/>
  <c r="T60" i="80"/>
  <c r="S60" i="80"/>
  <c r="N60" i="80"/>
  <c r="M60" i="80"/>
  <c r="L60" i="80"/>
  <c r="K60" i="80"/>
  <c r="J60" i="80"/>
  <c r="I60" i="80"/>
  <c r="H60" i="80"/>
  <c r="G60" i="80"/>
  <c r="F60" i="80"/>
  <c r="E60" i="80"/>
  <c r="D60" i="80"/>
  <c r="C60" i="80"/>
  <c r="B60" i="80"/>
  <c r="A60" i="80"/>
  <c r="X60" i="80" s="1"/>
  <c r="AE59" i="80"/>
  <c r="AD59" i="80"/>
  <c r="AC59" i="80"/>
  <c r="V59" i="80"/>
  <c r="U59" i="80"/>
  <c r="T59" i="80"/>
  <c r="S59" i="80"/>
  <c r="N59" i="80"/>
  <c r="M59" i="80"/>
  <c r="L59" i="80"/>
  <c r="K59" i="80"/>
  <c r="J59" i="80"/>
  <c r="I59" i="80"/>
  <c r="H59" i="80"/>
  <c r="G59" i="80"/>
  <c r="F59" i="80"/>
  <c r="E59" i="80"/>
  <c r="D59" i="80"/>
  <c r="C59" i="80"/>
  <c r="B59" i="80"/>
  <c r="A59" i="80"/>
  <c r="X59" i="80" s="1"/>
  <c r="AE58" i="80"/>
  <c r="AD58" i="80"/>
  <c r="AC58" i="80"/>
  <c r="V58" i="80"/>
  <c r="U58" i="80"/>
  <c r="T58" i="80"/>
  <c r="S58" i="80"/>
  <c r="N58" i="80"/>
  <c r="M58" i="80"/>
  <c r="L58" i="80"/>
  <c r="K58" i="80"/>
  <c r="J58" i="80"/>
  <c r="I58" i="80"/>
  <c r="H58" i="80"/>
  <c r="G58" i="80"/>
  <c r="F58" i="80"/>
  <c r="E58" i="80"/>
  <c r="D58" i="80"/>
  <c r="C58" i="80"/>
  <c r="B58" i="80"/>
  <c r="A58" i="80"/>
  <c r="X58" i="80" s="1"/>
  <c r="AE57" i="80"/>
  <c r="AD57" i="80"/>
  <c r="AC57" i="80"/>
  <c r="V57" i="80"/>
  <c r="U57" i="80"/>
  <c r="T57" i="80"/>
  <c r="S57" i="80"/>
  <c r="J57" i="80"/>
  <c r="E57" i="80"/>
  <c r="D57" i="80"/>
  <c r="C57" i="80"/>
  <c r="B57" i="80"/>
  <c r="A57" i="80"/>
  <c r="X57" i="80" s="1"/>
  <c r="AE56" i="80"/>
  <c r="AD56" i="80"/>
  <c r="AC56" i="80"/>
  <c r="V56" i="80"/>
  <c r="U56" i="80"/>
  <c r="T56" i="80"/>
  <c r="S56" i="80"/>
  <c r="N56" i="80"/>
  <c r="M56" i="80"/>
  <c r="L56" i="80"/>
  <c r="K56" i="80"/>
  <c r="J56" i="80"/>
  <c r="I56" i="80"/>
  <c r="H56" i="80"/>
  <c r="G56" i="80"/>
  <c r="F56" i="80"/>
  <c r="E56" i="80"/>
  <c r="D56" i="80"/>
  <c r="C56" i="80"/>
  <c r="B56" i="80"/>
  <c r="A56" i="80"/>
  <c r="X56" i="80" s="1"/>
  <c r="AE55" i="80"/>
  <c r="AD55" i="80"/>
  <c r="AC55" i="80"/>
  <c r="V55" i="80"/>
  <c r="U55" i="80"/>
  <c r="T55" i="80"/>
  <c r="S55" i="80"/>
  <c r="J55" i="80"/>
  <c r="E55" i="80"/>
  <c r="D55" i="80"/>
  <c r="C55" i="80"/>
  <c r="B55" i="80"/>
  <c r="A55" i="80"/>
  <c r="X55" i="80" s="1"/>
  <c r="AE54" i="80"/>
  <c r="AD54" i="80"/>
  <c r="AC54" i="80"/>
  <c r="V54" i="80"/>
  <c r="U54" i="80"/>
  <c r="T54" i="80"/>
  <c r="S54" i="80"/>
  <c r="N54" i="80"/>
  <c r="M54" i="80"/>
  <c r="L54" i="80"/>
  <c r="K54" i="80"/>
  <c r="J54" i="80"/>
  <c r="I54" i="80"/>
  <c r="H54" i="80"/>
  <c r="G54" i="80"/>
  <c r="F54" i="80"/>
  <c r="E54" i="80"/>
  <c r="D54" i="80"/>
  <c r="C54" i="80"/>
  <c r="B54" i="80"/>
  <c r="A54" i="80"/>
  <c r="X54" i="80" s="1"/>
  <c r="AE53" i="80"/>
  <c r="AD53" i="80"/>
  <c r="AC53" i="80"/>
  <c r="V53" i="80"/>
  <c r="U53" i="80"/>
  <c r="T53" i="80"/>
  <c r="S53" i="80"/>
  <c r="N53" i="80"/>
  <c r="M53" i="80"/>
  <c r="L53" i="80"/>
  <c r="K53" i="80"/>
  <c r="J53" i="80"/>
  <c r="I53" i="80"/>
  <c r="H53" i="80"/>
  <c r="G53" i="80"/>
  <c r="F53" i="80"/>
  <c r="E53" i="80"/>
  <c r="D53" i="80"/>
  <c r="C53" i="80"/>
  <c r="B53" i="80"/>
  <c r="A53" i="80"/>
  <c r="X53" i="80" s="1"/>
  <c r="AE52" i="80"/>
  <c r="AD52" i="80"/>
  <c r="AC52" i="80"/>
  <c r="V52" i="80"/>
  <c r="U52" i="80"/>
  <c r="T52" i="80"/>
  <c r="S52" i="80"/>
  <c r="N52" i="80"/>
  <c r="M52" i="80"/>
  <c r="L52" i="80"/>
  <c r="K52" i="80"/>
  <c r="J52" i="80"/>
  <c r="I52" i="80"/>
  <c r="H52" i="80"/>
  <c r="G52" i="80"/>
  <c r="F52" i="80"/>
  <c r="E52" i="80"/>
  <c r="D52" i="80"/>
  <c r="C52" i="80"/>
  <c r="B52" i="80"/>
  <c r="A52" i="80"/>
  <c r="X52" i="80" s="1"/>
  <c r="AE51" i="80"/>
  <c r="AD51" i="80"/>
  <c r="AC51" i="80"/>
  <c r="V51" i="80"/>
  <c r="U51" i="80"/>
  <c r="T51" i="80"/>
  <c r="S51" i="80"/>
  <c r="N51" i="80"/>
  <c r="M51" i="80"/>
  <c r="L51" i="80"/>
  <c r="K51" i="80"/>
  <c r="J51" i="80"/>
  <c r="I51" i="80"/>
  <c r="H51" i="80"/>
  <c r="G51" i="80"/>
  <c r="F51" i="80"/>
  <c r="E51" i="80"/>
  <c r="D51" i="80"/>
  <c r="C51" i="80"/>
  <c r="B51" i="80"/>
  <c r="A51" i="80"/>
  <c r="X51" i="80" s="1"/>
  <c r="AE50" i="80"/>
  <c r="AD50" i="80"/>
  <c r="AC50" i="80"/>
  <c r="V50" i="80"/>
  <c r="U50" i="80"/>
  <c r="T50" i="80"/>
  <c r="S50" i="80"/>
  <c r="N50" i="80"/>
  <c r="M50" i="80"/>
  <c r="L50" i="80"/>
  <c r="K50" i="80"/>
  <c r="J50" i="80"/>
  <c r="I50" i="80"/>
  <c r="H50" i="80"/>
  <c r="G50" i="80"/>
  <c r="F50" i="80"/>
  <c r="E50" i="80"/>
  <c r="D50" i="80"/>
  <c r="C50" i="80"/>
  <c r="B50" i="80"/>
  <c r="A50" i="80"/>
  <c r="X50" i="80" s="1"/>
  <c r="AE49" i="80"/>
  <c r="AD49" i="80"/>
  <c r="AC49" i="80"/>
  <c r="V49" i="80"/>
  <c r="U49" i="80"/>
  <c r="T49" i="80"/>
  <c r="S49" i="80"/>
  <c r="N49" i="80"/>
  <c r="M49" i="80"/>
  <c r="L49" i="80"/>
  <c r="K49" i="80"/>
  <c r="J49" i="80"/>
  <c r="I49" i="80"/>
  <c r="H49" i="80"/>
  <c r="G49" i="80"/>
  <c r="F49" i="80"/>
  <c r="E49" i="80"/>
  <c r="D49" i="80"/>
  <c r="C49" i="80"/>
  <c r="B49" i="80"/>
  <c r="A49" i="80"/>
  <c r="X49" i="80" s="1"/>
  <c r="AE48" i="80"/>
  <c r="AD48" i="80"/>
  <c r="AC48" i="80"/>
  <c r="V48" i="80"/>
  <c r="U48" i="80"/>
  <c r="T48" i="80"/>
  <c r="S48" i="80"/>
  <c r="N48" i="80"/>
  <c r="M48" i="80"/>
  <c r="L48" i="80"/>
  <c r="K48" i="80"/>
  <c r="J48" i="80"/>
  <c r="I48" i="80"/>
  <c r="H48" i="80"/>
  <c r="G48" i="80"/>
  <c r="F48" i="80"/>
  <c r="E48" i="80"/>
  <c r="D48" i="80"/>
  <c r="C48" i="80"/>
  <c r="B48" i="80"/>
  <c r="A48" i="80"/>
  <c r="X48" i="80" s="1"/>
  <c r="AE47" i="80"/>
  <c r="AD47" i="80"/>
  <c r="AC47" i="80"/>
  <c r="V47" i="80"/>
  <c r="U47" i="80"/>
  <c r="T47" i="80"/>
  <c r="S47" i="80"/>
  <c r="N47" i="80"/>
  <c r="M47" i="80"/>
  <c r="L47" i="80"/>
  <c r="K47" i="80"/>
  <c r="J47" i="80"/>
  <c r="I47" i="80"/>
  <c r="H47" i="80"/>
  <c r="G47" i="80"/>
  <c r="F47" i="80"/>
  <c r="E47" i="80"/>
  <c r="D47" i="80"/>
  <c r="C47" i="80"/>
  <c r="B47" i="80"/>
  <c r="A47" i="80"/>
  <c r="X47" i="80" s="1"/>
  <c r="AE46" i="80"/>
  <c r="AD46" i="80"/>
  <c r="AC46" i="80"/>
  <c r="V46" i="80"/>
  <c r="U46" i="80"/>
  <c r="T46" i="80"/>
  <c r="S46" i="80"/>
  <c r="N46" i="80"/>
  <c r="M46" i="80"/>
  <c r="L46" i="80"/>
  <c r="K46" i="80"/>
  <c r="J46" i="80"/>
  <c r="I46" i="80"/>
  <c r="H46" i="80"/>
  <c r="G46" i="80"/>
  <c r="F46" i="80"/>
  <c r="E46" i="80"/>
  <c r="D46" i="80"/>
  <c r="C46" i="80"/>
  <c r="B46" i="80"/>
  <c r="A46" i="80"/>
  <c r="X46" i="80" s="1"/>
  <c r="AE45" i="80"/>
  <c r="AD45" i="80"/>
  <c r="AC45" i="80"/>
  <c r="V45" i="80"/>
  <c r="U45" i="80"/>
  <c r="T45" i="80"/>
  <c r="S45" i="80"/>
  <c r="N45" i="80"/>
  <c r="M45" i="80"/>
  <c r="L45" i="80"/>
  <c r="K45" i="80"/>
  <c r="J45" i="80"/>
  <c r="I45" i="80"/>
  <c r="H45" i="80"/>
  <c r="G45" i="80"/>
  <c r="F45" i="80"/>
  <c r="E45" i="80"/>
  <c r="D45" i="80"/>
  <c r="C45" i="80"/>
  <c r="B45" i="80"/>
  <c r="A45" i="80"/>
  <c r="X45" i="80" s="1"/>
  <c r="AE44" i="80"/>
  <c r="AD44" i="80"/>
  <c r="AC44" i="80"/>
  <c r="V44" i="80"/>
  <c r="U44" i="80"/>
  <c r="T44" i="80"/>
  <c r="S44" i="80"/>
  <c r="N44" i="80"/>
  <c r="M44" i="80"/>
  <c r="L44" i="80"/>
  <c r="K44" i="80"/>
  <c r="J44" i="80"/>
  <c r="I44" i="80"/>
  <c r="H44" i="80"/>
  <c r="G44" i="80"/>
  <c r="F44" i="80"/>
  <c r="E44" i="80"/>
  <c r="D44" i="80"/>
  <c r="C44" i="80"/>
  <c r="B44" i="80"/>
  <c r="A44" i="80"/>
  <c r="X44" i="80" s="1"/>
  <c r="AE43" i="80"/>
  <c r="AD43" i="80"/>
  <c r="AC43" i="80"/>
  <c r="V43" i="80"/>
  <c r="U43" i="80"/>
  <c r="T43" i="80"/>
  <c r="S43" i="80"/>
  <c r="N43" i="80"/>
  <c r="M43" i="80"/>
  <c r="L43" i="80"/>
  <c r="K43" i="80"/>
  <c r="J43" i="80"/>
  <c r="I43" i="80"/>
  <c r="H43" i="80"/>
  <c r="G43" i="80"/>
  <c r="F43" i="80"/>
  <c r="E43" i="80"/>
  <c r="D43" i="80"/>
  <c r="C43" i="80"/>
  <c r="B43" i="80"/>
  <c r="A43" i="80"/>
  <c r="X43" i="80" s="1"/>
  <c r="AE42" i="80"/>
  <c r="AD42" i="80"/>
  <c r="AC42" i="80"/>
  <c r="V42" i="80"/>
  <c r="U42" i="80"/>
  <c r="T42" i="80"/>
  <c r="S42" i="80"/>
  <c r="N42" i="80"/>
  <c r="M42" i="80"/>
  <c r="L42" i="80"/>
  <c r="K42" i="80"/>
  <c r="J42" i="80"/>
  <c r="I42" i="80"/>
  <c r="H42" i="80"/>
  <c r="G42" i="80"/>
  <c r="F42" i="80"/>
  <c r="E42" i="80"/>
  <c r="D42" i="80"/>
  <c r="C42" i="80"/>
  <c r="B42" i="80"/>
  <c r="A42" i="80"/>
  <c r="X42" i="80" s="1"/>
  <c r="AE41" i="80"/>
  <c r="AD41" i="80"/>
  <c r="AC41" i="80"/>
  <c r="V41" i="80"/>
  <c r="U41" i="80"/>
  <c r="T41" i="80"/>
  <c r="S41" i="80"/>
  <c r="N41" i="80"/>
  <c r="M41" i="80"/>
  <c r="L41" i="80"/>
  <c r="K41" i="80"/>
  <c r="J41" i="80"/>
  <c r="I41" i="80"/>
  <c r="H41" i="80"/>
  <c r="G41" i="80"/>
  <c r="F41" i="80"/>
  <c r="E41" i="80"/>
  <c r="D41" i="80"/>
  <c r="C41" i="80"/>
  <c r="B41" i="80"/>
  <c r="A41" i="80"/>
  <c r="X41" i="80" s="1"/>
  <c r="AE40" i="80"/>
  <c r="AD40" i="80"/>
  <c r="AC40" i="80"/>
  <c r="V40" i="80"/>
  <c r="U40" i="80"/>
  <c r="T40" i="80"/>
  <c r="S40" i="80"/>
  <c r="J40" i="80"/>
  <c r="E40" i="80"/>
  <c r="O40" i="80" s="1"/>
  <c r="P40" i="80" s="1"/>
  <c r="D40" i="80"/>
  <c r="C40" i="80"/>
  <c r="B40" i="80"/>
  <c r="A40" i="80"/>
  <c r="X40" i="80" s="1"/>
  <c r="AE39" i="80"/>
  <c r="AD39" i="80"/>
  <c r="AC39" i="80"/>
  <c r="V39" i="80"/>
  <c r="U39" i="80"/>
  <c r="T39" i="80"/>
  <c r="S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A39" i="80"/>
  <c r="X39" i="80" s="1"/>
  <c r="AE38" i="80"/>
  <c r="AD38" i="80"/>
  <c r="AC38" i="80"/>
  <c r="V38" i="80"/>
  <c r="U38" i="80"/>
  <c r="T38" i="80"/>
  <c r="S38" i="80"/>
  <c r="J38" i="80"/>
  <c r="E38" i="80"/>
  <c r="D38" i="80"/>
  <c r="C38" i="80"/>
  <c r="B38" i="80"/>
  <c r="A38" i="80"/>
  <c r="X38" i="80" s="1"/>
  <c r="AE37" i="80"/>
  <c r="AD37" i="80"/>
  <c r="AC37" i="80"/>
  <c r="V37" i="80"/>
  <c r="U37" i="80"/>
  <c r="T37" i="80"/>
  <c r="S37" i="80"/>
  <c r="N37" i="80"/>
  <c r="M37" i="80"/>
  <c r="L37" i="80"/>
  <c r="K37" i="80"/>
  <c r="J37" i="80"/>
  <c r="I37" i="80"/>
  <c r="H37" i="80"/>
  <c r="G37" i="80"/>
  <c r="F37" i="80"/>
  <c r="E37" i="80"/>
  <c r="D37" i="80"/>
  <c r="C37" i="80"/>
  <c r="B37" i="80"/>
  <c r="A37" i="80"/>
  <c r="X37" i="80" s="1"/>
  <c r="AE36" i="80"/>
  <c r="AD36" i="80"/>
  <c r="AC36" i="80"/>
  <c r="V36" i="80"/>
  <c r="U36" i="80"/>
  <c r="T36" i="80"/>
  <c r="S36" i="80"/>
  <c r="N36" i="80"/>
  <c r="M36" i="80"/>
  <c r="L36" i="80"/>
  <c r="K36" i="80"/>
  <c r="J36" i="80"/>
  <c r="I36" i="80"/>
  <c r="H36" i="80"/>
  <c r="G36" i="80"/>
  <c r="F36" i="80"/>
  <c r="E36" i="80"/>
  <c r="D36" i="80"/>
  <c r="C36" i="80"/>
  <c r="B36" i="80"/>
  <c r="A36" i="80"/>
  <c r="X36" i="80" s="1"/>
  <c r="AE35" i="80"/>
  <c r="AD35" i="80"/>
  <c r="AC35" i="80"/>
  <c r="V35" i="80"/>
  <c r="U35" i="80"/>
  <c r="T35" i="80"/>
  <c r="S35" i="80"/>
  <c r="N35" i="80"/>
  <c r="M35" i="80"/>
  <c r="L35" i="80"/>
  <c r="K35" i="80"/>
  <c r="J35" i="80"/>
  <c r="I35" i="80"/>
  <c r="H35" i="80"/>
  <c r="G35" i="80"/>
  <c r="F35" i="80"/>
  <c r="E35" i="80"/>
  <c r="D35" i="80"/>
  <c r="C35" i="80"/>
  <c r="B35" i="80"/>
  <c r="A35" i="80"/>
  <c r="X35" i="80" s="1"/>
  <c r="AE34" i="80"/>
  <c r="AD34" i="80"/>
  <c r="AC34" i="80"/>
  <c r="V34" i="80"/>
  <c r="U34" i="80"/>
  <c r="T34" i="80"/>
  <c r="S34" i="80"/>
  <c r="N34" i="80"/>
  <c r="M34" i="80"/>
  <c r="L34" i="80"/>
  <c r="K34" i="80"/>
  <c r="J34" i="80"/>
  <c r="I34" i="80"/>
  <c r="H34" i="80"/>
  <c r="G34" i="80"/>
  <c r="F34" i="80"/>
  <c r="E34" i="80"/>
  <c r="D34" i="80"/>
  <c r="C34" i="80"/>
  <c r="B34" i="80"/>
  <c r="A34" i="80"/>
  <c r="X34" i="80" s="1"/>
  <c r="AE33" i="80"/>
  <c r="AD33" i="80"/>
  <c r="AC33" i="80"/>
  <c r="V33" i="80"/>
  <c r="U33" i="80"/>
  <c r="T33" i="80"/>
  <c r="S33" i="80"/>
  <c r="N33" i="80"/>
  <c r="M33" i="80"/>
  <c r="L33" i="80"/>
  <c r="K33" i="80"/>
  <c r="J33" i="80"/>
  <c r="I33" i="80"/>
  <c r="H33" i="80"/>
  <c r="G33" i="80"/>
  <c r="F33" i="80"/>
  <c r="E33" i="80"/>
  <c r="D33" i="80"/>
  <c r="C33" i="80"/>
  <c r="B33" i="80"/>
  <c r="A33" i="80"/>
  <c r="X33" i="80" s="1"/>
  <c r="AE32" i="80"/>
  <c r="AD32" i="80"/>
  <c r="AC32" i="80"/>
  <c r="V32" i="80"/>
  <c r="U32" i="80"/>
  <c r="T32" i="80"/>
  <c r="S32" i="80"/>
  <c r="N32" i="80"/>
  <c r="M32" i="80"/>
  <c r="L32" i="80"/>
  <c r="K32" i="80"/>
  <c r="J32" i="80"/>
  <c r="I32" i="80"/>
  <c r="H32" i="80"/>
  <c r="G32" i="80"/>
  <c r="F32" i="80"/>
  <c r="E32" i="80"/>
  <c r="D32" i="80"/>
  <c r="C32" i="80"/>
  <c r="B32" i="80"/>
  <c r="A32" i="80"/>
  <c r="X32" i="80" s="1"/>
  <c r="AE31" i="80"/>
  <c r="AD31" i="80"/>
  <c r="AC31" i="80"/>
  <c r="V31" i="80"/>
  <c r="U31" i="80"/>
  <c r="T31" i="80"/>
  <c r="S31" i="80"/>
  <c r="N31" i="80"/>
  <c r="M31" i="80"/>
  <c r="L31" i="80"/>
  <c r="K31" i="80"/>
  <c r="J31" i="80"/>
  <c r="I31" i="80"/>
  <c r="H31" i="80"/>
  <c r="G31" i="80"/>
  <c r="F31" i="80"/>
  <c r="E31" i="80"/>
  <c r="D31" i="80"/>
  <c r="C31" i="80"/>
  <c r="B31" i="80"/>
  <c r="A31" i="80"/>
  <c r="X31" i="80" s="1"/>
  <c r="AE30" i="80"/>
  <c r="AD30" i="80"/>
  <c r="AC30" i="80"/>
  <c r="V30" i="80"/>
  <c r="U30" i="80"/>
  <c r="T30" i="80"/>
  <c r="S30" i="80"/>
  <c r="N30" i="80"/>
  <c r="M30" i="80"/>
  <c r="L30" i="80"/>
  <c r="K30" i="80"/>
  <c r="J30" i="80"/>
  <c r="I30" i="80"/>
  <c r="H30" i="80"/>
  <c r="G30" i="80"/>
  <c r="F30" i="80"/>
  <c r="E30" i="80"/>
  <c r="D30" i="80"/>
  <c r="C30" i="80"/>
  <c r="B30" i="80"/>
  <c r="A30" i="80"/>
  <c r="X30" i="80" s="1"/>
  <c r="AE29" i="80"/>
  <c r="AD29" i="80"/>
  <c r="AC29" i="80"/>
  <c r="V29" i="80"/>
  <c r="U29" i="80"/>
  <c r="T29" i="80"/>
  <c r="S29" i="80"/>
  <c r="N29" i="80"/>
  <c r="M29" i="80"/>
  <c r="L29" i="80"/>
  <c r="K29" i="80"/>
  <c r="J29" i="80"/>
  <c r="I29" i="80"/>
  <c r="H29" i="80"/>
  <c r="G29" i="80"/>
  <c r="F29" i="80"/>
  <c r="E29" i="80"/>
  <c r="D29" i="80"/>
  <c r="C29" i="80"/>
  <c r="B29" i="80"/>
  <c r="A29" i="80"/>
  <c r="X29" i="80" s="1"/>
  <c r="AE28" i="80"/>
  <c r="AD28" i="80"/>
  <c r="AC28" i="80"/>
  <c r="V28" i="80"/>
  <c r="U28" i="80"/>
  <c r="T28" i="80"/>
  <c r="S28" i="80"/>
  <c r="N28" i="80"/>
  <c r="M28" i="80"/>
  <c r="L28" i="80"/>
  <c r="K28" i="80"/>
  <c r="J28" i="80"/>
  <c r="I28" i="80"/>
  <c r="H28" i="80"/>
  <c r="G28" i="80"/>
  <c r="F28" i="80"/>
  <c r="E28" i="80"/>
  <c r="D28" i="80"/>
  <c r="C28" i="80"/>
  <c r="B28" i="80"/>
  <c r="A28" i="80"/>
  <c r="X28" i="80" s="1"/>
  <c r="AE27" i="80"/>
  <c r="AD27" i="80"/>
  <c r="AC27" i="80"/>
  <c r="V27" i="80"/>
  <c r="U27" i="80"/>
  <c r="T27" i="80"/>
  <c r="S27" i="80"/>
  <c r="N27" i="80"/>
  <c r="M27" i="80"/>
  <c r="L27" i="80"/>
  <c r="K27" i="80"/>
  <c r="J27" i="80"/>
  <c r="I27" i="80"/>
  <c r="H27" i="80"/>
  <c r="G27" i="80"/>
  <c r="F27" i="80"/>
  <c r="E27" i="80"/>
  <c r="D27" i="80"/>
  <c r="C27" i="80"/>
  <c r="B27" i="80"/>
  <c r="A27" i="80"/>
  <c r="X27" i="80" s="1"/>
  <c r="AE26" i="80"/>
  <c r="AD26" i="80"/>
  <c r="AC26" i="80"/>
  <c r="V26" i="80"/>
  <c r="U26" i="80"/>
  <c r="T26" i="80"/>
  <c r="S26" i="80"/>
  <c r="N26" i="80"/>
  <c r="M26" i="80"/>
  <c r="L26" i="80"/>
  <c r="K26" i="80"/>
  <c r="J26" i="80"/>
  <c r="I26" i="80"/>
  <c r="H26" i="80"/>
  <c r="G26" i="80"/>
  <c r="F26" i="80"/>
  <c r="E26" i="80"/>
  <c r="D26" i="80"/>
  <c r="C26" i="80"/>
  <c r="B26" i="80"/>
  <c r="A26" i="80"/>
  <c r="X26" i="80" s="1"/>
  <c r="AE25" i="80"/>
  <c r="AD25" i="80"/>
  <c r="AC25" i="80"/>
  <c r="V25" i="80"/>
  <c r="U25" i="80"/>
  <c r="T25" i="80"/>
  <c r="S25" i="80"/>
  <c r="N25" i="80"/>
  <c r="M25" i="80"/>
  <c r="L25" i="80"/>
  <c r="K25" i="80"/>
  <c r="J25" i="80"/>
  <c r="I25" i="80"/>
  <c r="H25" i="80"/>
  <c r="G25" i="80"/>
  <c r="F25" i="80"/>
  <c r="E25" i="80"/>
  <c r="D25" i="80"/>
  <c r="C25" i="80"/>
  <c r="B25" i="80"/>
  <c r="A25" i="80"/>
  <c r="X25" i="80" s="1"/>
  <c r="AE24" i="80"/>
  <c r="AD24" i="80"/>
  <c r="AC24" i="80"/>
  <c r="V24" i="80"/>
  <c r="U24" i="80"/>
  <c r="T24" i="80"/>
  <c r="S24" i="80"/>
  <c r="N24" i="80"/>
  <c r="M24" i="80"/>
  <c r="L24" i="80"/>
  <c r="K24" i="80"/>
  <c r="J24" i="80"/>
  <c r="I24" i="80"/>
  <c r="H24" i="80"/>
  <c r="G24" i="80"/>
  <c r="F24" i="80"/>
  <c r="E24" i="80"/>
  <c r="D24" i="80"/>
  <c r="C24" i="80"/>
  <c r="B24" i="80"/>
  <c r="A24" i="80"/>
  <c r="X24" i="80" s="1"/>
  <c r="AE23" i="80"/>
  <c r="AD23" i="80"/>
  <c r="AC23" i="80"/>
  <c r="V23" i="80"/>
  <c r="U23" i="80"/>
  <c r="T23" i="80"/>
  <c r="S23" i="80"/>
  <c r="J23" i="80"/>
  <c r="E23" i="80"/>
  <c r="D23" i="80"/>
  <c r="C23" i="80"/>
  <c r="B23" i="80"/>
  <c r="A23" i="80"/>
  <c r="X23" i="80" s="1"/>
  <c r="AE22" i="80"/>
  <c r="AD22" i="80"/>
  <c r="AC22" i="80"/>
  <c r="V22" i="80"/>
  <c r="U22" i="80"/>
  <c r="T22" i="80"/>
  <c r="S22" i="80"/>
  <c r="N22" i="80"/>
  <c r="M22" i="80"/>
  <c r="L22" i="80"/>
  <c r="K22" i="80"/>
  <c r="J22" i="80"/>
  <c r="I22" i="80"/>
  <c r="H22" i="80"/>
  <c r="G22" i="80"/>
  <c r="F22" i="80"/>
  <c r="E22" i="80"/>
  <c r="D22" i="80"/>
  <c r="C22" i="80"/>
  <c r="B22" i="80"/>
  <c r="A22" i="80"/>
  <c r="X22" i="80" s="1"/>
  <c r="AE21" i="80"/>
  <c r="AD21" i="80"/>
  <c r="AC21" i="80"/>
  <c r="V21" i="80"/>
  <c r="U21" i="80"/>
  <c r="T21" i="80"/>
  <c r="S21" i="80"/>
  <c r="J21" i="80"/>
  <c r="E21" i="80"/>
  <c r="D21" i="80"/>
  <c r="C21" i="80"/>
  <c r="B21" i="80"/>
  <c r="A21" i="80"/>
  <c r="X21" i="80" s="1"/>
  <c r="AE20" i="80"/>
  <c r="AD20" i="80"/>
  <c r="AC20" i="80"/>
  <c r="V20" i="80"/>
  <c r="U20" i="80"/>
  <c r="T20" i="80"/>
  <c r="S20" i="80"/>
  <c r="N20" i="80"/>
  <c r="M20" i="80"/>
  <c r="L20" i="80"/>
  <c r="K20" i="80"/>
  <c r="J20" i="80"/>
  <c r="I20" i="80"/>
  <c r="H20" i="80"/>
  <c r="G20" i="80"/>
  <c r="F20" i="80"/>
  <c r="E20" i="80"/>
  <c r="D20" i="80"/>
  <c r="C20" i="80"/>
  <c r="B20" i="80"/>
  <c r="A20" i="80"/>
  <c r="X20" i="80" s="1"/>
  <c r="AE19" i="80"/>
  <c r="AD19" i="80"/>
  <c r="AC19" i="80"/>
  <c r="V19" i="80"/>
  <c r="U19" i="80"/>
  <c r="T19" i="80"/>
  <c r="S19" i="80"/>
  <c r="N19" i="80"/>
  <c r="M19" i="80"/>
  <c r="L19" i="80"/>
  <c r="K19" i="80"/>
  <c r="J19" i="80"/>
  <c r="I19" i="80"/>
  <c r="H19" i="80"/>
  <c r="G19" i="80"/>
  <c r="F19" i="80"/>
  <c r="E19" i="80"/>
  <c r="D19" i="80"/>
  <c r="C19" i="80"/>
  <c r="B19" i="80"/>
  <c r="A19" i="80"/>
  <c r="X19" i="80" s="1"/>
  <c r="AE18" i="80"/>
  <c r="AD18" i="80"/>
  <c r="AC18" i="80"/>
  <c r="V18" i="80"/>
  <c r="U18" i="80"/>
  <c r="T18" i="80"/>
  <c r="S18" i="80"/>
  <c r="N18" i="80"/>
  <c r="M18" i="80"/>
  <c r="L18" i="80"/>
  <c r="K18" i="80"/>
  <c r="J18" i="80"/>
  <c r="I18" i="80"/>
  <c r="H18" i="80"/>
  <c r="G18" i="80"/>
  <c r="F18" i="80"/>
  <c r="E18" i="80"/>
  <c r="D18" i="80"/>
  <c r="C18" i="80"/>
  <c r="B18" i="80"/>
  <c r="A18" i="80"/>
  <c r="X18" i="80" s="1"/>
  <c r="AE17" i="80"/>
  <c r="AD17" i="80"/>
  <c r="AC17" i="80"/>
  <c r="V17" i="80"/>
  <c r="U17" i="80"/>
  <c r="T17" i="80"/>
  <c r="S17" i="80"/>
  <c r="N17" i="80"/>
  <c r="M17" i="80"/>
  <c r="L17" i="80"/>
  <c r="K17" i="80"/>
  <c r="J17" i="80"/>
  <c r="I17" i="80"/>
  <c r="H17" i="80"/>
  <c r="G17" i="80"/>
  <c r="F17" i="80"/>
  <c r="E17" i="80"/>
  <c r="D17" i="80"/>
  <c r="C17" i="80"/>
  <c r="B17" i="80"/>
  <c r="A17" i="80"/>
  <c r="X17" i="80" s="1"/>
  <c r="AE16" i="80"/>
  <c r="AD16" i="80"/>
  <c r="AC16" i="80"/>
  <c r="V16" i="80"/>
  <c r="U16" i="80"/>
  <c r="T16" i="80"/>
  <c r="S16" i="80"/>
  <c r="N16" i="80"/>
  <c r="M16" i="80"/>
  <c r="L16" i="80"/>
  <c r="K16" i="80"/>
  <c r="J16" i="80"/>
  <c r="I16" i="80"/>
  <c r="H16" i="80"/>
  <c r="G16" i="80"/>
  <c r="F16" i="80"/>
  <c r="E16" i="80"/>
  <c r="D16" i="80"/>
  <c r="C16" i="80"/>
  <c r="B16" i="80"/>
  <c r="A16" i="80"/>
  <c r="X16" i="80" s="1"/>
  <c r="AE15" i="80"/>
  <c r="AD15" i="80"/>
  <c r="AC15" i="80"/>
  <c r="V15" i="80"/>
  <c r="U15" i="80"/>
  <c r="T15" i="80"/>
  <c r="S15" i="80"/>
  <c r="N15" i="80"/>
  <c r="M15" i="80"/>
  <c r="L15" i="80"/>
  <c r="K15" i="80"/>
  <c r="J15" i="80"/>
  <c r="I15" i="80"/>
  <c r="H15" i="80"/>
  <c r="G15" i="80"/>
  <c r="F15" i="80"/>
  <c r="E15" i="80"/>
  <c r="D15" i="80"/>
  <c r="C15" i="80"/>
  <c r="B15" i="80"/>
  <c r="A15" i="80"/>
  <c r="X15" i="80" s="1"/>
  <c r="AE14" i="80"/>
  <c r="AD14" i="80"/>
  <c r="AC14" i="80"/>
  <c r="V14" i="80"/>
  <c r="U14" i="80"/>
  <c r="T14" i="80"/>
  <c r="S14" i="80"/>
  <c r="N14" i="80"/>
  <c r="M14" i="80"/>
  <c r="L14" i="80"/>
  <c r="K14" i="80"/>
  <c r="J14" i="80"/>
  <c r="I14" i="80"/>
  <c r="H14" i="80"/>
  <c r="G14" i="80"/>
  <c r="F14" i="80"/>
  <c r="E14" i="80"/>
  <c r="D14" i="80"/>
  <c r="C14" i="80"/>
  <c r="B14" i="80"/>
  <c r="A14" i="80"/>
  <c r="X14" i="80" s="1"/>
  <c r="AE13" i="80"/>
  <c r="AD13" i="80"/>
  <c r="AC13" i="80"/>
  <c r="V13" i="80"/>
  <c r="U13" i="80"/>
  <c r="T13" i="80"/>
  <c r="S13" i="80"/>
  <c r="N13" i="80"/>
  <c r="M13" i="80"/>
  <c r="L13" i="80"/>
  <c r="K13" i="80"/>
  <c r="J13" i="80"/>
  <c r="I13" i="80"/>
  <c r="H13" i="80"/>
  <c r="G13" i="80"/>
  <c r="F13" i="80"/>
  <c r="E13" i="80"/>
  <c r="D13" i="80"/>
  <c r="C13" i="80"/>
  <c r="B13" i="80"/>
  <c r="A13" i="80"/>
  <c r="X13" i="80" s="1"/>
  <c r="AE12" i="80"/>
  <c r="AD12" i="80"/>
  <c r="AC12" i="80"/>
  <c r="V12" i="80"/>
  <c r="U12" i="80"/>
  <c r="T12" i="80"/>
  <c r="S12" i="80"/>
  <c r="N12" i="80"/>
  <c r="M12" i="80"/>
  <c r="L12" i="80"/>
  <c r="K12" i="80"/>
  <c r="J12" i="80"/>
  <c r="I12" i="80"/>
  <c r="H12" i="80"/>
  <c r="G12" i="80"/>
  <c r="F12" i="80"/>
  <c r="E12" i="80"/>
  <c r="D12" i="80"/>
  <c r="C12" i="80"/>
  <c r="B12" i="80"/>
  <c r="A12" i="80"/>
  <c r="X12" i="80" s="1"/>
  <c r="AE11" i="80"/>
  <c r="AD11" i="80"/>
  <c r="AC11" i="80"/>
  <c r="V11" i="80"/>
  <c r="U11" i="80"/>
  <c r="T11" i="80"/>
  <c r="S11" i="80"/>
  <c r="N11" i="80"/>
  <c r="M11" i="80"/>
  <c r="L11" i="80"/>
  <c r="K11" i="80"/>
  <c r="J11" i="80"/>
  <c r="I11" i="80"/>
  <c r="H11" i="80"/>
  <c r="G11" i="80"/>
  <c r="F11" i="80"/>
  <c r="E11" i="80"/>
  <c r="D11" i="80"/>
  <c r="C11" i="80"/>
  <c r="B11" i="80"/>
  <c r="A11" i="80"/>
  <c r="X11" i="80" s="1"/>
  <c r="AE10" i="80"/>
  <c r="AD10" i="80"/>
  <c r="AC10" i="80"/>
  <c r="V10" i="80"/>
  <c r="U10" i="80"/>
  <c r="T10" i="80"/>
  <c r="S10" i="80"/>
  <c r="N10" i="80"/>
  <c r="M10" i="80"/>
  <c r="L10" i="80"/>
  <c r="K10" i="80"/>
  <c r="J10" i="80"/>
  <c r="I10" i="80"/>
  <c r="H10" i="80"/>
  <c r="G10" i="80"/>
  <c r="F10" i="80"/>
  <c r="E10" i="80"/>
  <c r="D10" i="80"/>
  <c r="C10" i="80"/>
  <c r="B10" i="80"/>
  <c r="A10" i="80"/>
  <c r="X10" i="80" s="1"/>
  <c r="AE9" i="80"/>
  <c r="AD9" i="80"/>
  <c r="AC9" i="80"/>
  <c r="V9" i="80"/>
  <c r="U9" i="80"/>
  <c r="T9" i="80"/>
  <c r="S9" i="80"/>
  <c r="N9" i="80"/>
  <c r="M9" i="80"/>
  <c r="L9" i="80"/>
  <c r="K9" i="80"/>
  <c r="J9" i="80"/>
  <c r="I9" i="80"/>
  <c r="H9" i="80"/>
  <c r="G9" i="80"/>
  <c r="F9" i="80"/>
  <c r="E9" i="80"/>
  <c r="D9" i="80"/>
  <c r="C9" i="80"/>
  <c r="B9" i="80"/>
  <c r="A9" i="80"/>
  <c r="X9" i="80" s="1"/>
  <c r="AE8" i="80"/>
  <c r="AD8" i="80"/>
  <c r="AC8" i="80"/>
  <c r="V8" i="80"/>
  <c r="U8" i="80"/>
  <c r="T8" i="80"/>
  <c r="S8" i="80"/>
  <c r="N8" i="80"/>
  <c r="M8" i="80"/>
  <c r="L8" i="80"/>
  <c r="K8" i="80"/>
  <c r="J8" i="80"/>
  <c r="I8" i="80"/>
  <c r="H8" i="80"/>
  <c r="G8" i="80"/>
  <c r="F8" i="80"/>
  <c r="E8" i="80"/>
  <c r="D8" i="80"/>
  <c r="C8" i="80"/>
  <c r="B8" i="80"/>
  <c r="A8" i="80"/>
  <c r="X8" i="80" s="1"/>
  <c r="Q60" i="91" l="1"/>
  <c r="Q95" i="89"/>
  <c r="R95" i="89" s="1"/>
  <c r="Q99" i="89"/>
  <c r="R99" i="89" s="1"/>
  <c r="Q109" i="89"/>
  <c r="R109" i="89" s="1"/>
  <c r="Q31" i="91"/>
  <c r="R31" i="91" s="1"/>
  <c r="Q97" i="91"/>
  <c r="R97" i="91" s="1"/>
  <c r="Q101" i="91"/>
  <c r="R101" i="91" s="1"/>
  <c r="Q87" i="91"/>
  <c r="R87" i="91" s="1"/>
  <c r="Q56" i="91"/>
  <c r="R56" i="91" s="1"/>
  <c r="Q73" i="91"/>
  <c r="R73" i="91" s="1"/>
  <c r="Q8" i="91"/>
  <c r="R8" i="91" s="1"/>
  <c r="Q23" i="91"/>
  <c r="R23" i="91" s="1"/>
  <c r="Y21" i="91"/>
  <c r="AA21" i="91" s="1"/>
  <c r="P107" i="91"/>
  <c r="Y107" i="91" s="1"/>
  <c r="Z107" i="91" s="1"/>
  <c r="AB107" i="91" s="1"/>
  <c r="Q98" i="91"/>
  <c r="R98" i="91" s="1"/>
  <c r="Q110" i="91"/>
  <c r="R110" i="91" s="1"/>
  <c r="Q99" i="91"/>
  <c r="R99" i="91" s="1"/>
  <c r="Q64" i="91"/>
  <c r="R64" i="91" s="1"/>
  <c r="Q92" i="91"/>
  <c r="R92" i="91" s="1"/>
  <c r="Q47" i="91"/>
  <c r="R47" i="91" s="1"/>
  <c r="Q28" i="91"/>
  <c r="R28" i="91" s="1"/>
  <c r="P21" i="91"/>
  <c r="Q75" i="91"/>
  <c r="R75" i="91" s="1"/>
  <c r="Q20" i="91"/>
  <c r="R20" i="91" s="1"/>
  <c r="Q108" i="91"/>
  <c r="R108" i="91" s="1"/>
  <c r="Q59" i="91"/>
  <c r="R59" i="91" s="1"/>
  <c r="Q13" i="91"/>
  <c r="R13" i="91" s="1"/>
  <c r="Q10" i="91"/>
  <c r="R10" i="91" s="1"/>
  <c r="Y103" i="91"/>
  <c r="AA103" i="91" s="1"/>
  <c r="R60" i="91"/>
  <c r="Q18" i="91"/>
  <c r="R18" i="91" s="1"/>
  <c r="P22" i="91"/>
  <c r="Q63" i="91"/>
  <c r="R63" i="91" s="1"/>
  <c r="Q106" i="91"/>
  <c r="R106" i="91" s="1"/>
  <c r="P70" i="91"/>
  <c r="R42" i="91"/>
  <c r="Y42" i="91"/>
  <c r="AA42" i="91" s="1"/>
  <c r="Q76" i="91"/>
  <c r="R76" i="91" s="1"/>
  <c r="P42" i="91"/>
  <c r="Q78" i="91"/>
  <c r="R78" i="91" s="1"/>
  <c r="P29" i="91"/>
  <c r="Q94" i="91"/>
  <c r="Y94" i="91" s="1"/>
  <c r="Q102" i="91"/>
  <c r="R102" i="91" s="1"/>
  <c r="Q27" i="91"/>
  <c r="R27" i="91" s="1"/>
  <c r="Y29" i="91"/>
  <c r="AA29" i="91" s="1"/>
  <c r="Q38" i="91"/>
  <c r="R38" i="91" s="1"/>
  <c r="Q15" i="91"/>
  <c r="R15" i="91" s="1"/>
  <c r="Q49" i="91"/>
  <c r="R49" i="91" s="1"/>
  <c r="Q79" i="91"/>
  <c r="R79" i="91" s="1"/>
  <c r="Q68" i="91"/>
  <c r="R68" i="91" s="1"/>
  <c r="Q46" i="91"/>
  <c r="R46" i="91" s="1"/>
  <c r="Q91" i="91"/>
  <c r="R91" i="91" s="1"/>
  <c r="Q39" i="91"/>
  <c r="R39" i="91" s="1"/>
  <c r="Y97" i="91"/>
  <c r="AA97" i="91" s="1"/>
  <c r="Q44" i="91"/>
  <c r="R44" i="91" s="1"/>
  <c r="Q16" i="91"/>
  <c r="R16" i="91" s="1"/>
  <c r="Q81" i="91"/>
  <c r="Y81" i="91" s="1"/>
  <c r="Q61" i="91"/>
  <c r="R61" i="91" s="1"/>
  <c r="Q12" i="91"/>
  <c r="Q25" i="91"/>
  <c r="R25" i="91" s="1"/>
  <c r="Q90" i="91"/>
  <c r="R90" i="91" s="1"/>
  <c r="Q54" i="91"/>
  <c r="R54" i="91" s="1"/>
  <c r="Q35" i="91"/>
  <c r="R35" i="91" s="1"/>
  <c r="Q105" i="91"/>
  <c r="R105" i="91" s="1"/>
  <c r="Q36" i="91"/>
  <c r="R36" i="91" s="1"/>
  <c r="Q30" i="91"/>
  <c r="Y30" i="91" s="1"/>
  <c r="Q55" i="91"/>
  <c r="R55" i="91" s="1"/>
  <c r="Q80" i="91"/>
  <c r="R80" i="91" s="1"/>
  <c r="P80" i="91"/>
  <c r="P67" i="91"/>
  <c r="Q67" i="91"/>
  <c r="P41" i="91"/>
  <c r="Q41" i="91"/>
  <c r="Q11" i="91"/>
  <c r="R11" i="91" s="1"/>
  <c r="P11" i="91"/>
  <c r="Q88" i="91"/>
  <c r="R88" i="91" s="1"/>
  <c r="P88" i="91"/>
  <c r="Q77" i="91"/>
  <c r="P77" i="91"/>
  <c r="P95" i="91"/>
  <c r="Q95" i="91"/>
  <c r="R95" i="91" s="1"/>
  <c r="Q65" i="91"/>
  <c r="Q26" i="91"/>
  <c r="R26" i="91" s="1"/>
  <c r="P26" i="91"/>
  <c r="Q40" i="91"/>
  <c r="P40" i="91"/>
  <c r="Q85" i="91"/>
  <c r="P85" i="91"/>
  <c r="P69" i="91"/>
  <c r="Q69" i="91"/>
  <c r="Q51" i="91"/>
  <c r="R51" i="91" s="1"/>
  <c r="P51" i="91"/>
  <c r="P52" i="91"/>
  <c r="Q52" i="91"/>
  <c r="Q33" i="91"/>
  <c r="P33" i="91"/>
  <c r="Q50" i="91"/>
  <c r="Q17" i="91"/>
  <c r="Y17" i="91" s="1"/>
  <c r="Z17" i="91" s="1"/>
  <c r="P72" i="91"/>
  <c r="Q72" i="91"/>
  <c r="Q66" i="91"/>
  <c r="R66" i="91" s="1"/>
  <c r="P66" i="91"/>
  <c r="Q43" i="91"/>
  <c r="P43" i="91"/>
  <c r="P86" i="91"/>
  <c r="Q86" i="91"/>
  <c r="Y70" i="91"/>
  <c r="AA70" i="91" s="1"/>
  <c r="P37" i="91"/>
  <c r="Q37" i="91"/>
  <c r="R37" i="91" s="1"/>
  <c r="Q34" i="91"/>
  <c r="P34" i="91"/>
  <c r="R22" i="91"/>
  <c r="Y22" i="91"/>
  <c r="Q100" i="91"/>
  <c r="R100" i="91" s="1"/>
  <c r="P100" i="91"/>
  <c r="Q14" i="91"/>
  <c r="P14" i="91"/>
  <c r="Q89" i="91"/>
  <c r="R89" i="91" s="1"/>
  <c r="Q57" i="91"/>
  <c r="P57" i="91"/>
  <c r="Q74" i="91"/>
  <c r="R74" i="91" s="1"/>
  <c r="P62" i="91"/>
  <c r="Q62" i="91"/>
  <c r="R62" i="91" s="1"/>
  <c r="Q48" i="91"/>
  <c r="R48" i="91" s="1"/>
  <c r="Q53" i="91"/>
  <c r="Q104" i="91"/>
  <c r="Q93" i="91"/>
  <c r="P93" i="91"/>
  <c r="P9" i="91"/>
  <c r="Q9" i="91"/>
  <c r="Q24" i="91"/>
  <c r="P24" i="91"/>
  <c r="P101" i="89"/>
  <c r="P8" i="89"/>
  <c r="Q8" i="89"/>
  <c r="R8" i="89" s="1"/>
  <c r="Q73" i="89"/>
  <c r="R73" i="89" s="1"/>
  <c r="P88" i="89"/>
  <c r="Q55" i="89"/>
  <c r="R55" i="89" s="1"/>
  <c r="P114" i="89"/>
  <c r="Y114" i="89" s="1"/>
  <c r="Q9" i="89"/>
  <c r="R9" i="89" s="1"/>
  <c r="Q59" i="89"/>
  <c r="R59" i="89" s="1"/>
  <c r="Y88" i="89"/>
  <c r="AA88" i="89" s="1"/>
  <c r="Q24" i="89"/>
  <c r="R24" i="89" s="1"/>
  <c r="Q50" i="89"/>
  <c r="R50" i="89" s="1"/>
  <c r="P86" i="89"/>
  <c r="Q37" i="89"/>
  <c r="R37" i="89" s="1"/>
  <c r="Q74" i="89"/>
  <c r="R74" i="89" s="1"/>
  <c r="Q112" i="89"/>
  <c r="R112" i="89" s="1"/>
  <c r="Q45" i="89"/>
  <c r="R45" i="89" s="1"/>
  <c r="Q47" i="89"/>
  <c r="R47" i="89" s="1"/>
  <c r="Y116" i="89"/>
  <c r="AA116" i="89" s="1"/>
  <c r="P10" i="89"/>
  <c r="Q111" i="89"/>
  <c r="R111" i="89" s="1"/>
  <c r="P30" i="89"/>
  <c r="Q32" i="89"/>
  <c r="R32" i="89" s="1"/>
  <c r="Q42" i="89"/>
  <c r="R42" i="89" s="1"/>
  <c r="Q13" i="89"/>
  <c r="R13" i="89" s="1"/>
  <c r="P58" i="89"/>
  <c r="Q75" i="89"/>
  <c r="R75" i="89" s="1"/>
  <c r="Q92" i="89"/>
  <c r="R92" i="89" s="1"/>
  <c r="P87" i="89"/>
  <c r="Y87" i="89" s="1"/>
  <c r="Z87" i="89" s="1"/>
  <c r="AB87" i="89" s="1"/>
  <c r="Q68" i="89"/>
  <c r="R68" i="89" s="1"/>
  <c r="Q51" i="89"/>
  <c r="R51" i="89" s="1"/>
  <c r="P44" i="89"/>
  <c r="P62" i="89"/>
  <c r="P116" i="89"/>
  <c r="Q100" i="89"/>
  <c r="R100" i="89" s="1"/>
  <c r="Q27" i="89"/>
  <c r="R27" i="89" s="1"/>
  <c r="P53" i="89"/>
  <c r="Q90" i="89"/>
  <c r="R90" i="89" s="1"/>
  <c r="Q82" i="89"/>
  <c r="R82" i="89" s="1"/>
  <c r="Q77" i="89"/>
  <c r="R77" i="89" s="1"/>
  <c r="Q85" i="89"/>
  <c r="R85" i="89" s="1"/>
  <c r="Q34" i="89"/>
  <c r="P15" i="89"/>
  <c r="Q22" i="89"/>
  <c r="R22" i="89" s="1"/>
  <c r="Q113" i="89"/>
  <c r="R113" i="89" s="1"/>
  <c r="P38" i="89"/>
  <c r="Q56" i="89"/>
  <c r="R56" i="89" s="1"/>
  <c r="R53" i="89"/>
  <c r="Y53" i="89"/>
  <c r="AA53" i="89" s="1"/>
  <c r="Q78" i="89"/>
  <c r="R78" i="89" s="1"/>
  <c r="Q36" i="89"/>
  <c r="R36" i="89" s="1"/>
  <c r="Y61" i="89"/>
  <c r="Q25" i="89"/>
  <c r="R25" i="89" s="1"/>
  <c r="Q83" i="89"/>
  <c r="R83" i="89" s="1"/>
  <c r="Q16" i="89"/>
  <c r="R16" i="89" s="1"/>
  <c r="Q98" i="89"/>
  <c r="R98" i="89" s="1"/>
  <c r="Q28" i="89"/>
  <c r="R28" i="89" s="1"/>
  <c r="P61" i="89"/>
  <c r="P107" i="89"/>
  <c r="Q72" i="89"/>
  <c r="R72" i="89" s="1"/>
  <c r="Q31" i="89"/>
  <c r="R31" i="89" s="1"/>
  <c r="Q57" i="89"/>
  <c r="R57" i="89" s="1"/>
  <c r="Y101" i="89"/>
  <c r="AA101" i="89" s="1"/>
  <c r="Y23" i="89"/>
  <c r="AA23" i="89" s="1"/>
  <c r="P46" i="89"/>
  <c r="Y46" i="89" s="1"/>
  <c r="Q94" i="89"/>
  <c r="R94" i="89" s="1"/>
  <c r="P23" i="89"/>
  <c r="Q17" i="89"/>
  <c r="R17" i="89" s="1"/>
  <c r="Q69" i="89"/>
  <c r="Y69" i="89" s="1"/>
  <c r="Q33" i="89"/>
  <c r="R33" i="89" s="1"/>
  <c r="Q79" i="89"/>
  <c r="R79" i="89" s="1"/>
  <c r="Q19" i="89"/>
  <c r="R19" i="89" s="1"/>
  <c r="Q67" i="89"/>
  <c r="R67" i="89" s="1"/>
  <c r="Y38" i="89"/>
  <c r="AA38" i="89" s="1"/>
  <c r="Q20" i="89"/>
  <c r="R20" i="89" s="1"/>
  <c r="Q91" i="89"/>
  <c r="R91" i="89" s="1"/>
  <c r="Y109" i="89"/>
  <c r="AA109" i="89" s="1"/>
  <c r="P29" i="89"/>
  <c r="P63" i="89"/>
  <c r="Y63" i="89" s="1"/>
  <c r="Q11" i="89"/>
  <c r="R11" i="89" s="1"/>
  <c r="Q110" i="89"/>
  <c r="R110" i="89" s="1"/>
  <c r="Q84" i="89"/>
  <c r="R84" i="89" s="1"/>
  <c r="Q14" i="89"/>
  <c r="R14" i="89" s="1"/>
  <c r="Q103" i="89"/>
  <c r="R103" i="89" s="1"/>
  <c r="Q106" i="89"/>
  <c r="R106" i="89" s="1"/>
  <c r="Y30" i="89"/>
  <c r="AA30" i="89" s="1"/>
  <c r="Y9" i="89"/>
  <c r="AA9" i="89" s="1"/>
  <c r="Y115" i="89"/>
  <c r="Q43" i="89"/>
  <c r="R43" i="89" s="1"/>
  <c r="Y99" i="89"/>
  <c r="AA99" i="89" s="1"/>
  <c r="Q117" i="89"/>
  <c r="Q66" i="89"/>
  <c r="R66" i="89" s="1"/>
  <c r="Q26" i="89"/>
  <c r="R26" i="89" s="1"/>
  <c r="Q65" i="89"/>
  <c r="R65" i="89" s="1"/>
  <c r="Q60" i="89"/>
  <c r="R60" i="89" s="1"/>
  <c r="Q70" i="89"/>
  <c r="R70" i="89" s="1"/>
  <c r="P41" i="89"/>
  <c r="Q41" i="89"/>
  <c r="Q54" i="89"/>
  <c r="P54" i="89"/>
  <c r="Q52" i="89"/>
  <c r="P52" i="89"/>
  <c r="Y44" i="89"/>
  <c r="Y95" i="89"/>
  <c r="AA95" i="89" s="1"/>
  <c r="Q96" i="89"/>
  <c r="R96" i="89" s="1"/>
  <c r="Q97" i="89"/>
  <c r="R97" i="89" s="1"/>
  <c r="P81" i="89"/>
  <c r="Q81" i="89"/>
  <c r="P48" i="89"/>
  <c r="Q48" i="89"/>
  <c r="R48" i="89" s="1"/>
  <c r="R114" i="89"/>
  <c r="Y86" i="89"/>
  <c r="P12" i="89"/>
  <c r="Q12" i="89"/>
  <c r="R12" i="89" s="1"/>
  <c r="Q35" i="89"/>
  <c r="R35" i="89" s="1"/>
  <c r="Q102" i="89"/>
  <c r="P102" i="89"/>
  <c r="Q18" i="89"/>
  <c r="P18" i="89"/>
  <c r="Y73" i="89"/>
  <c r="P76" i="89"/>
  <c r="Q76" i="89"/>
  <c r="P89" i="89"/>
  <c r="Q89" i="89"/>
  <c r="P71" i="89"/>
  <c r="Q71" i="89"/>
  <c r="Y62" i="89"/>
  <c r="AA62" i="89" s="1"/>
  <c r="P108" i="89"/>
  <c r="Q108" i="89"/>
  <c r="Q40" i="89"/>
  <c r="R40" i="89" s="1"/>
  <c r="Y29" i="89"/>
  <c r="Y10" i="89"/>
  <c r="Q104" i="89"/>
  <c r="Q64" i="89"/>
  <c r="P64" i="89"/>
  <c r="Q49" i="89"/>
  <c r="R49" i="89" s="1"/>
  <c r="P39" i="89"/>
  <c r="Q39" i="89"/>
  <c r="Q21" i="89"/>
  <c r="R21" i="89" s="1"/>
  <c r="P80" i="89"/>
  <c r="Q80" i="89"/>
  <c r="Q105" i="89"/>
  <c r="R105" i="89" s="1"/>
  <c r="P93" i="89"/>
  <c r="Q93" i="89"/>
  <c r="Y107" i="89"/>
  <c r="Y58" i="89"/>
  <c r="Y15" i="89"/>
  <c r="R46" i="89"/>
  <c r="Q79" i="87"/>
  <c r="R79" i="87" s="1"/>
  <c r="Q107" i="87"/>
  <c r="R107" i="87" s="1"/>
  <c r="Q109" i="87"/>
  <c r="R109" i="87" s="1"/>
  <c r="Q69" i="87"/>
  <c r="R69" i="87" s="1"/>
  <c r="Q67" i="87"/>
  <c r="R67" i="87" s="1"/>
  <c r="Q94" i="87"/>
  <c r="R94" i="87" s="1"/>
  <c r="Q125" i="87"/>
  <c r="R125" i="87" s="1"/>
  <c r="Q8" i="87"/>
  <c r="R8" i="87" s="1"/>
  <c r="Q83" i="87"/>
  <c r="R83" i="87" s="1"/>
  <c r="Q55" i="87"/>
  <c r="R55" i="87" s="1"/>
  <c r="Q23" i="87"/>
  <c r="Q85" i="87"/>
  <c r="R85" i="87" s="1"/>
  <c r="Q87" i="87"/>
  <c r="P39" i="87"/>
  <c r="Q39" i="87"/>
  <c r="Q38" i="87"/>
  <c r="R38" i="87" s="1"/>
  <c r="Q51" i="87"/>
  <c r="R51" i="87" s="1"/>
  <c r="Q133" i="87"/>
  <c r="Q115" i="87"/>
  <c r="R115" i="87" s="1"/>
  <c r="Q71" i="87"/>
  <c r="Y117" i="87"/>
  <c r="Q62" i="87"/>
  <c r="R62" i="87" s="1"/>
  <c r="Q63" i="87"/>
  <c r="R63" i="87" s="1"/>
  <c r="Q29" i="87"/>
  <c r="R29" i="87" s="1"/>
  <c r="Q21" i="87"/>
  <c r="R21" i="87" s="1"/>
  <c r="P9" i="87"/>
  <c r="Q131" i="87"/>
  <c r="R131" i="87" s="1"/>
  <c r="Q81" i="87"/>
  <c r="R81" i="87" s="1"/>
  <c r="Q11" i="87"/>
  <c r="R11" i="87" s="1"/>
  <c r="Q100" i="87"/>
  <c r="R100" i="87" s="1"/>
  <c r="Q46" i="87"/>
  <c r="R46" i="87" s="1"/>
  <c r="Q20" i="87"/>
  <c r="Y20" i="87" s="1"/>
  <c r="Q93" i="87"/>
  <c r="R93" i="87" s="1"/>
  <c r="Q118" i="87"/>
  <c r="R118" i="87" s="1"/>
  <c r="Q130" i="87"/>
  <c r="R130" i="87" s="1"/>
  <c r="Q78" i="87"/>
  <c r="R78" i="87" s="1"/>
  <c r="Q48" i="87"/>
  <c r="R48" i="87" s="1"/>
  <c r="Q126" i="87"/>
  <c r="R126" i="87" s="1"/>
  <c r="P25" i="87"/>
  <c r="Q96" i="87"/>
  <c r="R96" i="87" s="1"/>
  <c r="Q30" i="87"/>
  <c r="R30" i="87" s="1"/>
  <c r="Q44" i="87"/>
  <c r="R44" i="87" s="1"/>
  <c r="Q132" i="87"/>
  <c r="R132" i="87" s="1"/>
  <c r="Q24" i="87"/>
  <c r="R24" i="87" s="1"/>
  <c r="Q45" i="87"/>
  <c r="R45" i="87" s="1"/>
  <c r="Q123" i="87"/>
  <c r="R123" i="87" s="1"/>
  <c r="Q54" i="87"/>
  <c r="R54" i="87" s="1"/>
  <c r="P47" i="87"/>
  <c r="Q128" i="87"/>
  <c r="R128" i="87" s="1"/>
  <c r="Q58" i="87"/>
  <c r="Y58" i="87" s="1"/>
  <c r="Q74" i="87"/>
  <c r="R74" i="87" s="1"/>
  <c r="P17" i="87"/>
  <c r="P75" i="87"/>
  <c r="P64" i="87"/>
  <c r="Q70" i="87"/>
  <c r="R70" i="87" s="1"/>
  <c r="P56" i="87"/>
  <c r="P31" i="87"/>
  <c r="P82" i="87"/>
  <c r="Q124" i="87"/>
  <c r="R124" i="87" s="1"/>
  <c r="Q53" i="87"/>
  <c r="R53" i="87" s="1"/>
  <c r="Q73" i="87"/>
  <c r="R73" i="87" s="1"/>
  <c r="Q15" i="87"/>
  <c r="R15" i="87" s="1"/>
  <c r="Q32" i="87"/>
  <c r="R32" i="87" s="1"/>
  <c r="Q33" i="87"/>
  <c r="R33" i="87" s="1"/>
  <c r="Q12" i="87"/>
  <c r="R12" i="87" s="1"/>
  <c r="Q13" i="87"/>
  <c r="R13" i="87" s="1"/>
  <c r="P60" i="87"/>
  <c r="Q129" i="87"/>
  <c r="R129" i="87" s="1"/>
  <c r="Q114" i="87"/>
  <c r="Y114" i="87" s="1"/>
  <c r="Q102" i="87"/>
  <c r="Q99" i="87"/>
  <c r="Y99" i="87" s="1"/>
  <c r="Q86" i="87"/>
  <c r="R86" i="87" s="1"/>
  <c r="Q41" i="87"/>
  <c r="R41" i="87" s="1"/>
  <c r="Q16" i="87"/>
  <c r="R16" i="87" s="1"/>
  <c r="P22" i="87"/>
  <c r="Q36" i="87"/>
  <c r="R36" i="87" s="1"/>
  <c r="Q104" i="87"/>
  <c r="R104" i="87" s="1"/>
  <c r="Q108" i="87"/>
  <c r="Q88" i="87"/>
  <c r="R88" i="87" s="1"/>
  <c r="Q42" i="87"/>
  <c r="R42" i="87" s="1"/>
  <c r="Y22" i="87"/>
  <c r="Q10" i="87"/>
  <c r="Y64" i="87"/>
  <c r="Q19" i="87"/>
  <c r="R19" i="87" s="1"/>
  <c r="Q61" i="87"/>
  <c r="R61" i="87" s="1"/>
  <c r="Q14" i="87"/>
  <c r="Q37" i="87"/>
  <c r="Q103" i="87"/>
  <c r="R103" i="87" s="1"/>
  <c r="Y47" i="87"/>
  <c r="AA47" i="87" s="1"/>
  <c r="Q26" i="87"/>
  <c r="R26" i="87" s="1"/>
  <c r="Q76" i="87"/>
  <c r="R76" i="87" s="1"/>
  <c r="Q89" i="87"/>
  <c r="R89" i="87" s="1"/>
  <c r="Q72" i="87"/>
  <c r="R72" i="87" s="1"/>
  <c r="Y31" i="87"/>
  <c r="AA31" i="87" s="1"/>
  <c r="Y60" i="87"/>
  <c r="AA60" i="87" s="1"/>
  <c r="Y9" i="87"/>
  <c r="AA9" i="87" s="1"/>
  <c r="Q34" i="87"/>
  <c r="R34" i="87" s="1"/>
  <c r="P101" i="87"/>
  <c r="Q101" i="87"/>
  <c r="R101" i="87" s="1"/>
  <c r="Q40" i="87"/>
  <c r="P40" i="87"/>
  <c r="P77" i="87"/>
  <c r="Q77" i="87"/>
  <c r="R77" i="87" s="1"/>
  <c r="Q112" i="87"/>
  <c r="R112" i="87" s="1"/>
  <c r="Q120" i="87"/>
  <c r="Q52" i="87"/>
  <c r="Y56" i="87"/>
  <c r="P98" i="87"/>
  <c r="Q98" i="87"/>
  <c r="Q119" i="87"/>
  <c r="R119" i="87" s="1"/>
  <c r="P119" i="87"/>
  <c r="P65" i="87"/>
  <c r="Q65" i="87"/>
  <c r="R65" i="87" s="1"/>
  <c r="P95" i="87"/>
  <c r="Q95" i="87"/>
  <c r="P49" i="87"/>
  <c r="Q49" i="87"/>
  <c r="R49" i="87" s="1"/>
  <c r="Q105" i="87"/>
  <c r="R105" i="87" s="1"/>
  <c r="Y17" i="87"/>
  <c r="R82" i="87"/>
  <c r="Y82" i="87"/>
  <c r="Q18" i="87"/>
  <c r="R18" i="87" s="1"/>
  <c r="P68" i="87"/>
  <c r="Q68" i="87"/>
  <c r="Q127" i="87"/>
  <c r="P127" i="87"/>
  <c r="Q57" i="87"/>
  <c r="P57" i="87"/>
  <c r="Q59" i="87"/>
  <c r="R59" i="87" s="1"/>
  <c r="R75" i="87"/>
  <c r="Y75" i="87"/>
  <c r="Q28" i="87"/>
  <c r="R28" i="87" s="1"/>
  <c r="Q97" i="87"/>
  <c r="R97" i="87" s="1"/>
  <c r="P122" i="87"/>
  <c r="Q122" i="87"/>
  <c r="P91" i="87"/>
  <c r="Q91" i="87"/>
  <c r="Q111" i="87"/>
  <c r="R111" i="87" s="1"/>
  <c r="P111" i="87"/>
  <c r="Q27" i="87"/>
  <c r="R27" i="87" s="1"/>
  <c r="Q43" i="87"/>
  <c r="R43" i="87" s="1"/>
  <c r="P84" i="87"/>
  <c r="Q84" i="87"/>
  <c r="Q121" i="87"/>
  <c r="P113" i="87"/>
  <c r="Q113" i="87"/>
  <c r="Y67" i="87"/>
  <c r="AA67" i="87" s="1"/>
  <c r="Q116" i="87"/>
  <c r="R116" i="87" s="1"/>
  <c r="Q80" i="87"/>
  <c r="R80" i="87" s="1"/>
  <c r="Q90" i="87"/>
  <c r="R90" i="87" s="1"/>
  <c r="P106" i="87"/>
  <c r="Q106" i="87"/>
  <c r="P110" i="87"/>
  <c r="Q110" i="87"/>
  <c r="Q66" i="87"/>
  <c r="Y109" i="87"/>
  <c r="AA109" i="87" s="1"/>
  <c r="Q35" i="87"/>
  <c r="R35" i="87" s="1"/>
  <c r="Q50" i="87"/>
  <c r="R50" i="87" s="1"/>
  <c r="Q92" i="87"/>
  <c r="Y25" i="87"/>
  <c r="W133" i="85"/>
  <c r="O99" i="85"/>
  <c r="P99" i="85" s="1"/>
  <c r="O141" i="80"/>
  <c r="P141" i="80" s="1"/>
  <c r="W110" i="85"/>
  <c r="O52" i="85"/>
  <c r="P52" i="85" s="1"/>
  <c r="O131" i="85"/>
  <c r="O70" i="85"/>
  <c r="P70" i="85" s="1"/>
  <c r="O22" i="85"/>
  <c r="Q22" i="85" s="1"/>
  <c r="R22" i="85" s="1"/>
  <c r="W125" i="85"/>
  <c r="W8" i="85"/>
  <c r="W15" i="85"/>
  <c r="W23" i="85"/>
  <c r="W30" i="85"/>
  <c r="W38" i="85"/>
  <c r="W45" i="85"/>
  <c r="W92" i="85"/>
  <c r="W100" i="85"/>
  <c r="W107" i="85"/>
  <c r="W115" i="85"/>
  <c r="W122" i="85"/>
  <c r="W130" i="85"/>
  <c r="W21" i="85"/>
  <c r="W36" i="85"/>
  <c r="W43" i="85"/>
  <c r="W51" i="85"/>
  <c r="O20" i="85"/>
  <c r="P20" i="85" s="1"/>
  <c r="W33" i="85"/>
  <c r="W41" i="85"/>
  <c r="W48" i="85"/>
  <c r="W56" i="85"/>
  <c r="W63" i="85"/>
  <c r="W71" i="85"/>
  <c r="W78" i="85"/>
  <c r="W88" i="85"/>
  <c r="W95" i="85"/>
  <c r="W103" i="85"/>
  <c r="W118" i="85"/>
  <c r="W80" i="85"/>
  <c r="W62" i="85"/>
  <c r="W87" i="85"/>
  <c r="W102" i="85"/>
  <c r="W89" i="85"/>
  <c r="W132" i="85"/>
  <c r="O14" i="85"/>
  <c r="P14" i="85" s="1"/>
  <c r="W27" i="85"/>
  <c r="W74" i="85"/>
  <c r="O84" i="85"/>
  <c r="P84" i="85" s="1"/>
  <c r="W94" i="85"/>
  <c r="W97" i="85"/>
  <c r="O101" i="85"/>
  <c r="Q101" i="85" s="1"/>
  <c r="R101" i="85" s="1"/>
  <c r="W109" i="85"/>
  <c r="W117" i="85"/>
  <c r="Y117" i="85" s="1"/>
  <c r="AA117" i="85" s="1"/>
  <c r="W121" i="85"/>
  <c r="W124" i="85"/>
  <c r="W79" i="85"/>
  <c r="W81" i="85"/>
  <c r="O86" i="85"/>
  <c r="P86" i="85" s="1"/>
  <c r="W98" i="85"/>
  <c r="W12" i="85"/>
  <c r="W20" i="85"/>
  <c r="W25" i="85"/>
  <c r="W32" i="85"/>
  <c r="W35" i="85"/>
  <c r="O47" i="85"/>
  <c r="P47" i="85" s="1"/>
  <c r="W47" i="85"/>
  <c r="W50" i="85"/>
  <c r="W52" i="85"/>
  <c r="O54" i="85"/>
  <c r="P54" i="85" s="1"/>
  <c r="O62" i="85"/>
  <c r="P62" i="85" s="1"/>
  <c r="W65" i="85"/>
  <c r="W73" i="85"/>
  <c r="W14" i="85"/>
  <c r="O15" i="85"/>
  <c r="Q15" i="85" s="1"/>
  <c r="R15" i="85" s="1"/>
  <c r="O19" i="85"/>
  <c r="P19" i="85" s="1"/>
  <c r="O23" i="85"/>
  <c r="Q23" i="85" s="1"/>
  <c r="R23" i="85" s="1"/>
  <c r="O27" i="85"/>
  <c r="P27" i="85" s="1"/>
  <c r="O30" i="85"/>
  <c r="Q30" i="85" s="1"/>
  <c r="R30" i="85" s="1"/>
  <c r="O43" i="85"/>
  <c r="P43" i="85" s="1"/>
  <c r="O48" i="85"/>
  <c r="P48" i="85" s="1"/>
  <c r="O53" i="85"/>
  <c r="P53" i="85" s="1"/>
  <c r="W58" i="85"/>
  <c r="O72" i="85"/>
  <c r="P72" i="85" s="1"/>
  <c r="O75" i="85"/>
  <c r="P75" i="85" s="1"/>
  <c r="O87" i="85"/>
  <c r="Q87" i="85" s="1"/>
  <c r="O90" i="85"/>
  <c r="P90" i="85" s="1"/>
  <c r="W91" i="85"/>
  <c r="O92" i="85"/>
  <c r="P92" i="85" s="1"/>
  <c r="O93" i="85"/>
  <c r="Q93" i="85" s="1"/>
  <c r="R93" i="85" s="1"/>
  <c r="O95" i="85"/>
  <c r="Q95" i="85" s="1"/>
  <c r="R95" i="85" s="1"/>
  <c r="W99" i="85"/>
  <c r="W101" i="85"/>
  <c r="W106" i="85"/>
  <c r="O113" i="85"/>
  <c r="P113" i="85" s="1"/>
  <c r="W114" i="85"/>
  <c r="W119" i="85"/>
  <c r="O120" i="85"/>
  <c r="P120" i="85" s="1"/>
  <c r="O123" i="85"/>
  <c r="P123" i="85" s="1"/>
  <c r="W123" i="85"/>
  <c r="O124" i="85"/>
  <c r="Q124" i="85" s="1"/>
  <c r="R124" i="85" s="1"/>
  <c r="P126" i="85"/>
  <c r="W126" i="85"/>
  <c r="O127" i="85"/>
  <c r="P127" i="85" s="1"/>
  <c r="O129" i="85"/>
  <c r="P129" i="85" s="1"/>
  <c r="W129" i="85"/>
  <c r="O130" i="85"/>
  <c r="P130" i="85" s="1"/>
  <c r="W131" i="85"/>
  <c r="O132" i="85"/>
  <c r="Q132" i="85" s="1"/>
  <c r="O133" i="85"/>
  <c r="Q133" i="85" s="1"/>
  <c r="W134" i="85"/>
  <c r="O65" i="85"/>
  <c r="Q65" i="85" s="1"/>
  <c r="O73" i="85"/>
  <c r="P73" i="85" s="1"/>
  <c r="O8" i="85"/>
  <c r="P8" i="85" s="1"/>
  <c r="W11" i="85"/>
  <c r="O21" i="85"/>
  <c r="Q21" i="85" s="1"/>
  <c r="W22" i="85"/>
  <c r="O26" i="85"/>
  <c r="P26" i="85" s="1"/>
  <c r="W26" i="85"/>
  <c r="O29" i="85"/>
  <c r="Q29" i="85" s="1"/>
  <c r="R29" i="85" s="1"/>
  <c r="W29" i="85"/>
  <c r="O36" i="85"/>
  <c r="Q36" i="85" s="1"/>
  <c r="R36" i="85" s="1"/>
  <c r="W37" i="85"/>
  <c r="W40" i="85"/>
  <c r="W49" i="85"/>
  <c r="W55" i="85"/>
  <c r="W9" i="85"/>
  <c r="O41" i="85"/>
  <c r="Q41" i="85" s="1"/>
  <c r="R41" i="85" s="1"/>
  <c r="O56" i="85"/>
  <c r="P56" i="85" s="1"/>
  <c r="O35" i="85"/>
  <c r="P35" i="85" s="1"/>
  <c r="O63" i="85"/>
  <c r="P63" i="85" s="1"/>
  <c r="O68" i="85"/>
  <c r="P68" i="85" s="1"/>
  <c r="W69" i="85"/>
  <c r="O76" i="85"/>
  <c r="P76" i="85" s="1"/>
  <c r="W76" i="85"/>
  <c r="O80" i="85"/>
  <c r="P80" i="85" s="1"/>
  <c r="W84" i="85"/>
  <c r="O91" i="85"/>
  <c r="P91" i="85" s="1"/>
  <c r="W93" i="85"/>
  <c r="W96" i="85"/>
  <c r="O97" i="85"/>
  <c r="P97" i="85" s="1"/>
  <c r="O100" i="85"/>
  <c r="P100" i="85" s="1"/>
  <c r="O103" i="85"/>
  <c r="Q103" i="85" s="1"/>
  <c r="R103" i="85" s="1"/>
  <c r="W105" i="85"/>
  <c r="O108" i="85"/>
  <c r="Q108" i="85" s="1"/>
  <c r="R108" i="85" s="1"/>
  <c r="W108" i="85"/>
  <c r="O109" i="85"/>
  <c r="P109" i="85" s="1"/>
  <c r="W111" i="85"/>
  <c r="O112" i="85"/>
  <c r="P112" i="85" s="1"/>
  <c r="O116" i="85"/>
  <c r="P116" i="85" s="1"/>
  <c r="W116" i="85"/>
  <c r="O121" i="85"/>
  <c r="P121" i="85" s="1"/>
  <c r="O122" i="85"/>
  <c r="P122" i="85" s="1"/>
  <c r="O12" i="85"/>
  <c r="P12" i="85" s="1"/>
  <c r="O9" i="85"/>
  <c r="Q9" i="85" s="1"/>
  <c r="R9" i="85" s="1"/>
  <c r="O11" i="85"/>
  <c r="Q11" i="85" s="1"/>
  <c r="R11" i="85" s="1"/>
  <c r="O13" i="85"/>
  <c r="Q13" i="85" s="1"/>
  <c r="R13" i="85" s="1"/>
  <c r="W19" i="85"/>
  <c r="O28" i="85"/>
  <c r="P28" i="85" s="1"/>
  <c r="O34" i="85"/>
  <c r="P34" i="85" s="1"/>
  <c r="W34" i="85"/>
  <c r="O37" i="85"/>
  <c r="Q37" i="85" s="1"/>
  <c r="O40" i="85"/>
  <c r="P40" i="85" s="1"/>
  <c r="O49" i="85"/>
  <c r="Q49" i="85" s="1"/>
  <c r="R49" i="85" s="1"/>
  <c r="O55" i="85"/>
  <c r="P55" i="85" s="1"/>
  <c r="O57" i="85"/>
  <c r="P57" i="85" s="1"/>
  <c r="W57" i="85"/>
  <c r="O59" i="85"/>
  <c r="P59" i="85" s="1"/>
  <c r="O64" i="85"/>
  <c r="Q64" i="85" s="1"/>
  <c r="R64" i="85" s="1"/>
  <c r="W64" i="85"/>
  <c r="O66" i="85"/>
  <c r="Q66" i="85" s="1"/>
  <c r="R66" i="85" s="1"/>
  <c r="O10" i="85"/>
  <c r="Q10" i="85" s="1"/>
  <c r="R10" i="85" s="1"/>
  <c r="W16" i="85"/>
  <c r="W39" i="85"/>
  <c r="W46" i="85"/>
  <c r="W13" i="85"/>
  <c r="W28" i="85"/>
  <c r="O38" i="85"/>
  <c r="Q38" i="85" s="1"/>
  <c r="W66" i="85"/>
  <c r="Q52" i="85"/>
  <c r="R52" i="85" s="1"/>
  <c r="P117" i="85"/>
  <c r="O16" i="85"/>
  <c r="W17" i="85"/>
  <c r="W18" i="85"/>
  <c r="W31" i="85"/>
  <c r="O33" i="85"/>
  <c r="P33" i="85" s="1"/>
  <c r="O71" i="85"/>
  <c r="O17" i="85"/>
  <c r="P17" i="85" s="1"/>
  <c r="O24" i="85"/>
  <c r="P24" i="85" s="1"/>
  <c r="O60" i="85"/>
  <c r="P60" i="85" s="1"/>
  <c r="O31" i="85"/>
  <c r="P31" i="85" s="1"/>
  <c r="O67" i="85"/>
  <c r="P67" i="85" s="1"/>
  <c r="W10" i="85"/>
  <c r="O18" i="85"/>
  <c r="P18" i="85" s="1"/>
  <c r="O25" i="85"/>
  <c r="P25" i="85" s="1"/>
  <c r="O42" i="85"/>
  <c r="P42" i="85" s="1"/>
  <c r="W68" i="85"/>
  <c r="W24" i="85"/>
  <c r="O32" i="85"/>
  <c r="P32" i="85" s="1"/>
  <c r="O39" i="85"/>
  <c r="P39" i="85" s="1"/>
  <c r="W42" i="85"/>
  <c r="O50" i="85"/>
  <c r="O77" i="85"/>
  <c r="P77" i="85" s="1"/>
  <c r="O78" i="85"/>
  <c r="P78" i="85" s="1"/>
  <c r="O79" i="85"/>
  <c r="P79" i="85" s="1"/>
  <c r="O44" i="85"/>
  <c r="O46" i="85"/>
  <c r="P46" i="85" s="1"/>
  <c r="O74" i="85"/>
  <c r="O88" i="85"/>
  <c r="W90" i="85"/>
  <c r="O107" i="85"/>
  <c r="P107" i="85" s="1"/>
  <c r="O111" i="85"/>
  <c r="O114" i="85"/>
  <c r="P114" i="85" s="1"/>
  <c r="O119" i="85"/>
  <c r="O105" i="85"/>
  <c r="P105" i="85" s="1"/>
  <c r="O106" i="85"/>
  <c r="P106" i="85" s="1"/>
  <c r="Q84" i="85"/>
  <c r="R84" i="85" s="1"/>
  <c r="W104" i="85"/>
  <c r="P131" i="85"/>
  <c r="Q131" i="85"/>
  <c r="R131" i="85" s="1"/>
  <c r="W44" i="85"/>
  <c r="O45" i="85"/>
  <c r="P45" i="85" s="1"/>
  <c r="O51" i="85"/>
  <c r="W53" i="85"/>
  <c r="W54" i="85"/>
  <c r="W59" i="85"/>
  <c r="O61" i="85"/>
  <c r="P61" i="85" s="1"/>
  <c r="W72" i="85"/>
  <c r="O81" i="85"/>
  <c r="P81" i="85" s="1"/>
  <c r="O82" i="85"/>
  <c r="Q99" i="85"/>
  <c r="R99" i="85" s="1"/>
  <c r="O98" i="85"/>
  <c r="P98" i="85" s="1"/>
  <c r="O58" i="85"/>
  <c r="W60" i="85"/>
  <c r="W61" i="85"/>
  <c r="W67" i="85"/>
  <c r="O69" i="85"/>
  <c r="P69" i="85" s="1"/>
  <c r="W83" i="85"/>
  <c r="W86" i="85"/>
  <c r="O102" i="85"/>
  <c r="O115" i="85"/>
  <c r="P115" i="85" s="1"/>
  <c r="W70" i="85"/>
  <c r="W75" i="85"/>
  <c r="W82" i="85"/>
  <c r="O83" i="85"/>
  <c r="W85" i="85"/>
  <c r="O104" i="85"/>
  <c r="O134" i="85"/>
  <c r="P134" i="85" s="1"/>
  <c r="O128" i="85"/>
  <c r="P128" i="85" s="1"/>
  <c r="O85" i="85"/>
  <c r="P85" i="85" s="1"/>
  <c r="W77" i="85"/>
  <c r="O89" i="85"/>
  <c r="P89" i="85" s="1"/>
  <c r="W112" i="85"/>
  <c r="W113" i="85"/>
  <c r="O118" i="85"/>
  <c r="W120" i="85"/>
  <c r="O125" i="85"/>
  <c r="W127" i="85"/>
  <c r="W128" i="85"/>
  <c r="O96" i="85"/>
  <c r="P96" i="85" s="1"/>
  <c r="O88" i="80"/>
  <c r="O74" i="80"/>
  <c r="P74" i="80" s="1"/>
  <c r="W68" i="80"/>
  <c r="O69" i="80"/>
  <c r="O108" i="80"/>
  <c r="P108" i="80" s="1"/>
  <c r="W108" i="80"/>
  <c r="O109" i="80"/>
  <c r="P109" i="80" s="1"/>
  <c r="W141" i="80"/>
  <c r="O16" i="80"/>
  <c r="P16" i="80" s="1"/>
  <c r="W16" i="80"/>
  <c r="O62" i="80"/>
  <c r="P62" i="80" s="1"/>
  <c r="W62" i="80"/>
  <c r="O63" i="80"/>
  <c r="P63" i="80" s="1"/>
  <c r="W65" i="80"/>
  <c r="W9" i="80"/>
  <c r="O10" i="80"/>
  <c r="W19" i="80"/>
  <c r="O23" i="80"/>
  <c r="P23" i="80" s="1"/>
  <c r="W37" i="80"/>
  <c r="Q40" i="80"/>
  <c r="R40" i="80" s="1"/>
  <c r="W135" i="80"/>
  <c r="O125" i="80"/>
  <c r="P125" i="80" s="1"/>
  <c r="W128" i="80"/>
  <c r="W132" i="80"/>
  <c r="O133" i="80"/>
  <c r="P133" i="80" s="1"/>
  <c r="W136" i="80"/>
  <c r="O137" i="80"/>
  <c r="P137" i="80" s="1"/>
  <c r="O8" i="80"/>
  <c r="P8" i="80" s="1"/>
  <c r="W34" i="80"/>
  <c r="W55" i="80"/>
  <c r="W83" i="80"/>
  <c r="O89" i="80"/>
  <c r="P89" i="80" s="1"/>
  <c r="O98" i="80"/>
  <c r="Q98" i="80" s="1"/>
  <c r="R98" i="80" s="1"/>
  <c r="O100" i="80"/>
  <c r="P100" i="80" s="1"/>
  <c r="W100" i="80"/>
  <c r="O101" i="80"/>
  <c r="O103" i="80"/>
  <c r="P103" i="80" s="1"/>
  <c r="W103" i="80"/>
  <c r="W106" i="80"/>
  <c r="O107" i="80"/>
  <c r="P107" i="80" s="1"/>
  <c r="W122" i="80"/>
  <c r="Q125" i="80"/>
  <c r="R125" i="80" s="1"/>
  <c r="O126" i="80"/>
  <c r="P126" i="80" s="1"/>
  <c r="W126" i="80"/>
  <c r="W31" i="80"/>
  <c r="W45" i="80"/>
  <c r="O50" i="80"/>
  <c r="O53" i="80"/>
  <c r="P53" i="80" s="1"/>
  <c r="W74" i="80"/>
  <c r="O75" i="80"/>
  <c r="P75" i="80" s="1"/>
  <c r="W77" i="80"/>
  <c r="O81" i="80"/>
  <c r="P81" i="80" s="1"/>
  <c r="W93" i="80"/>
  <c r="O26" i="80"/>
  <c r="Q26" i="80" s="1"/>
  <c r="R26" i="80" s="1"/>
  <c r="O28" i="80"/>
  <c r="P28" i="80" s="1"/>
  <c r="W28" i="80"/>
  <c r="O29" i="80"/>
  <c r="P29" i="80" s="1"/>
  <c r="W42" i="80"/>
  <c r="W71" i="80"/>
  <c r="W89" i="80"/>
  <c r="O112" i="80"/>
  <c r="O114" i="80"/>
  <c r="P114" i="80" s="1"/>
  <c r="W114" i="80"/>
  <c r="O115" i="80"/>
  <c r="P115" i="80" s="1"/>
  <c r="O117" i="80"/>
  <c r="P117" i="80" s="1"/>
  <c r="W117" i="80"/>
  <c r="W120" i="80"/>
  <c r="O122" i="80"/>
  <c r="P122" i="80" s="1"/>
  <c r="W139" i="80"/>
  <c r="O123" i="80"/>
  <c r="P123" i="80" s="1"/>
  <c r="W125" i="80"/>
  <c r="W131" i="80"/>
  <c r="O136" i="80"/>
  <c r="Q136" i="80" s="1"/>
  <c r="R136" i="80" s="1"/>
  <c r="Q137" i="80"/>
  <c r="R137" i="80" s="1"/>
  <c r="O138" i="80"/>
  <c r="P138" i="80" s="1"/>
  <c r="W138" i="80"/>
  <c r="O139" i="80"/>
  <c r="P139" i="80" s="1"/>
  <c r="W10" i="80"/>
  <c r="W13" i="80"/>
  <c r="O20" i="80"/>
  <c r="P20" i="80" s="1"/>
  <c r="W20" i="80"/>
  <c r="O21" i="80"/>
  <c r="P21" i="80" s="1"/>
  <c r="W25" i="80"/>
  <c r="O30" i="80"/>
  <c r="Q30" i="80" s="1"/>
  <c r="O32" i="80"/>
  <c r="P32" i="80" s="1"/>
  <c r="W32" i="80"/>
  <c r="O33" i="80"/>
  <c r="P33" i="80" s="1"/>
  <c r="O35" i="80"/>
  <c r="P35" i="80" s="1"/>
  <c r="W35" i="80"/>
  <c r="W38" i="80"/>
  <c r="W40" i="80"/>
  <c r="Y40" i="80" s="1"/>
  <c r="AA40" i="80" s="1"/>
  <c r="O41" i="80"/>
  <c r="P41" i="80" s="1"/>
  <c r="O43" i="80"/>
  <c r="P43" i="80" s="1"/>
  <c r="W43" i="80"/>
  <c r="W46" i="80"/>
  <c r="O47" i="80"/>
  <c r="P47" i="80" s="1"/>
  <c r="W49" i="80"/>
  <c r="W53" i="80"/>
  <c r="O57" i="80"/>
  <c r="P57" i="80" s="1"/>
  <c r="W59" i="80"/>
  <c r="O64" i="80"/>
  <c r="P64" i="80" s="1"/>
  <c r="O66" i="80"/>
  <c r="P66" i="80" s="1"/>
  <c r="W66" i="80"/>
  <c r="O67" i="80"/>
  <c r="P67" i="80" s="1"/>
  <c r="W69" i="80"/>
  <c r="W72" i="80"/>
  <c r="O73" i="80"/>
  <c r="Q73" i="80" s="1"/>
  <c r="O76" i="80"/>
  <c r="P76" i="80" s="1"/>
  <c r="O78" i="80"/>
  <c r="P78" i="80" s="1"/>
  <c r="W78" i="80"/>
  <c r="W81" i="80"/>
  <c r="O85" i="80"/>
  <c r="P85" i="80" s="1"/>
  <c r="O90" i="80"/>
  <c r="P90" i="80" s="1"/>
  <c r="W90" i="80"/>
  <c r="O91" i="80"/>
  <c r="P91" i="80" s="1"/>
  <c r="W94" i="80"/>
  <c r="W97" i="80"/>
  <c r="O102" i="80"/>
  <c r="Q102" i="80" s="1"/>
  <c r="R102" i="80" s="1"/>
  <c r="O104" i="80"/>
  <c r="P104" i="80" s="1"/>
  <c r="W104" i="80"/>
  <c r="O105" i="80"/>
  <c r="P105" i="80" s="1"/>
  <c r="W111" i="80"/>
  <c r="O116" i="80"/>
  <c r="Q116" i="80" s="1"/>
  <c r="R116" i="80" s="1"/>
  <c r="O118" i="80"/>
  <c r="P118" i="80" s="1"/>
  <c r="W118" i="80"/>
  <c r="O119" i="80"/>
  <c r="O121" i="80"/>
  <c r="P121" i="80" s="1"/>
  <c r="W121" i="80"/>
  <c r="O127" i="80"/>
  <c r="P127" i="80" s="1"/>
  <c r="O129" i="80"/>
  <c r="P129" i="80" s="1"/>
  <c r="W129" i="80"/>
  <c r="O140" i="80"/>
  <c r="Q140" i="80" s="1"/>
  <c r="Q141" i="80"/>
  <c r="R141" i="80" s="1"/>
  <c r="O142" i="80"/>
  <c r="P142" i="80" s="1"/>
  <c r="W142" i="80"/>
  <c r="W8" i="80"/>
  <c r="O9" i="80"/>
  <c r="Q9" i="80" s="1"/>
  <c r="O11" i="80"/>
  <c r="P11" i="80" s="1"/>
  <c r="W11" i="80"/>
  <c r="O15" i="80"/>
  <c r="P15" i="80" s="1"/>
  <c r="W17" i="80"/>
  <c r="W23" i="80"/>
  <c r="W26" i="80"/>
  <c r="O27" i="80"/>
  <c r="P27" i="80" s="1"/>
  <c r="W29" i="80"/>
  <c r="O34" i="80"/>
  <c r="Q34" i="80" s="1"/>
  <c r="O36" i="80"/>
  <c r="P36" i="80" s="1"/>
  <c r="W36" i="80"/>
  <c r="O37" i="80"/>
  <c r="P37" i="80" s="1"/>
  <c r="O39" i="80"/>
  <c r="P39" i="80" s="1"/>
  <c r="W39" i="80"/>
  <c r="O42" i="80"/>
  <c r="Q42" i="80" s="1"/>
  <c r="O44" i="80"/>
  <c r="P44" i="80" s="1"/>
  <c r="W44" i="80"/>
  <c r="O45" i="80"/>
  <c r="P45" i="80" s="1"/>
  <c r="W47" i="80"/>
  <c r="W50" i="80"/>
  <c r="O51" i="80"/>
  <c r="P51" i="80" s="1"/>
  <c r="O54" i="80"/>
  <c r="P54" i="80" s="1"/>
  <c r="W54" i="80"/>
  <c r="O55" i="80"/>
  <c r="P55" i="80" s="1"/>
  <c r="W57" i="80"/>
  <c r="O61" i="80"/>
  <c r="Q61" i="80" s="1"/>
  <c r="R61" i="80" s="1"/>
  <c r="W63" i="80"/>
  <c r="O68" i="80"/>
  <c r="O70" i="80"/>
  <c r="P70" i="80" s="1"/>
  <c r="W70" i="80"/>
  <c r="O71" i="80"/>
  <c r="P71" i="80" s="1"/>
  <c r="W73" i="80"/>
  <c r="W75" i="80"/>
  <c r="O82" i="80"/>
  <c r="P82" i="80" s="1"/>
  <c r="W82" i="80"/>
  <c r="W85" i="80"/>
  <c r="W88" i="80"/>
  <c r="O92" i="80"/>
  <c r="P92" i="80" s="1"/>
  <c r="W92" i="80"/>
  <c r="O93" i="80"/>
  <c r="P93" i="80" s="1"/>
  <c r="O95" i="80"/>
  <c r="P95" i="80" s="1"/>
  <c r="W95" i="80"/>
  <c r="W98" i="80"/>
  <c r="W101" i="80"/>
  <c r="O106" i="80"/>
  <c r="Q106" i="80" s="1"/>
  <c r="W107" i="80"/>
  <c r="W109" i="80"/>
  <c r="W112" i="80"/>
  <c r="W115" i="80"/>
  <c r="O120" i="80"/>
  <c r="Q120" i="80" s="1"/>
  <c r="R120" i="80" s="1"/>
  <c r="W123" i="80"/>
  <c r="O128" i="80"/>
  <c r="P128" i="80" s="1"/>
  <c r="O130" i="80"/>
  <c r="P130" i="80" s="1"/>
  <c r="W130" i="80"/>
  <c r="O131" i="80"/>
  <c r="Q131" i="80" s="1"/>
  <c r="W133" i="80"/>
  <c r="O12" i="80"/>
  <c r="P12" i="80" s="1"/>
  <c r="W12" i="80"/>
  <c r="W15" i="80"/>
  <c r="O19" i="80"/>
  <c r="P19" i="80" s="1"/>
  <c r="W21" i="80"/>
  <c r="O24" i="80"/>
  <c r="P24" i="80" s="1"/>
  <c r="W24" i="80"/>
  <c r="O25" i="80"/>
  <c r="P25" i="80" s="1"/>
  <c r="W27" i="80"/>
  <c r="W30" i="80"/>
  <c r="O31" i="80"/>
  <c r="P31" i="80" s="1"/>
  <c r="W33" i="80"/>
  <c r="O38" i="80"/>
  <c r="W41" i="80"/>
  <c r="O46" i="80"/>
  <c r="Q46" i="80" s="1"/>
  <c r="R46" i="80" s="1"/>
  <c r="O48" i="80"/>
  <c r="P48" i="80" s="1"/>
  <c r="W48" i="80"/>
  <c r="O49" i="80"/>
  <c r="P49" i="80" s="1"/>
  <c r="W51" i="80"/>
  <c r="O58" i="80"/>
  <c r="P58" i="80" s="1"/>
  <c r="W58" i="80"/>
  <c r="O59" i="80"/>
  <c r="P59" i="80" s="1"/>
  <c r="W61" i="80"/>
  <c r="W64" i="80"/>
  <c r="O65" i="80"/>
  <c r="P65" i="80" s="1"/>
  <c r="W67" i="80"/>
  <c r="O72" i="80"/>
  <c r="Q72" i="80" s="1"/>
  <c r="R72" i="80" s="1"/>
  <c r="W76" i="80"/>
  <c r="O77" i="80"/>
  <c r="W79" i="80"/>
  <c r="O87" i="80"/>
  <c r="P87" i="80" s="1"/>
  <c r="W91" i="80"/>
  <c r="O94" i="80"/>
  <c r="Q94" i="80" s="1"/>
  <c r="R94" i="80" s="1"/>
  <c r="O96" i="80"/>
  <c r="P96" i="80" s="1"/>
  <c r="W96" i="80"/>
  <c r="O97" i="80"/>
  <c r="P97" i="80" s="1"/>
  <c r="O99" i="80"/>
  <c r="P99" i="80" s="1"/>
  <c r="W99" i="80"/>
  <c r="W102" i="80"/>
  <c r="W105" i="80"/>
  <c r="O110" i="80"/>
  <c r="P110" i="80" s="1"/>
  <c r="W110" i="80"/>
  <c r="O111" i="80"/>
  <c r="P111" i="80" s="1"/>
  <c r="O113" i="80"/>
  <c r="P113" i="80" s="1"/>
  <c r="W113" i="80"/>
  <c r="W116" i="80"/>
  <c r="W119" i="80"/>
  <c r="W124" i="80"/>
  <c r="W127" i="80"/>
  <c r="O132" i="80"/>
  <c r="Q132" i="80" s="1"/>
  <c r="R132" i="80" s="1"/>
  <c r="O134" i="80"/>
  <c r="P134" i="80" s="1"/>
  <c r="W134" i="80"/>
  <c r="O135" i="80"/>
  <c r="Q135" i="80" s="1"/>
  <c r="W137" i="80"/>
  <c r="Y137" i="80" s="1"/>
  <c r="AA137" i="80" s="1"/>
  <c r="W140" i="80"/>
  <c r="O140" i="81"/>
  <c r="P140" i="81" s="1"/>
  <c r="O124" i="81"/>
  <c r="P124" i="81" s="1"/>
  <c r="O125" i="81"/>
  <c r="P125" i="81" s="1"/>
  <c r="O75" i="81"/>
  <c r="Q75" i="81" s="1"/>
  <c r="O139" i="81"/>
  <c r="P139" i="81" s="1"/>
  <c r="O56" i="81"/>
  <c r="P56" i="81" s="1"/>
  <c r="O92" i="81"/>
  <c r="P92" i="81" s="1"/>
  <c r="O73" i="81"/>
  <c r="P73" i="81" s="1"/>
  <c r="O100" i="81"/>
  <c r="P100" i="81" s="1"/>
  <c r="O126" i="81"/>
  <c r="P126" i="81" s="1"/>
  <c r="O128" i="81"/>
  <c r="P128" i="81" s="1"/>
  <c r="O141" i="81"/>
  <c r="P141" i="81" s="1"/>
  <c r="O24" i="81"/>
  <c r="Q24" i="81" s="1"/>
  <c r="O129" i="81"/>
  <c r="P129" i="81" s="1"/>
  <c r="O130" i="81"/>
  <c r="P130" i="81" s="1"/>
  <c r="O132" i="81"/>
  <c r="P132" i="81" s="1"/>
  <c r="O109" i="81"/>
  <c r="P109" i="81" s="1"/>
  <c r="O111" i="81"/>
  <c r="P111" i="81" s="1"/>
  <c r="O113" i="81"/>
  <c r="P113" i="81" s="1"/>
  <c r="O115" i="81"/>
  <c r="P115" i="81" s="1"/>
  <c r="O117" i="81"/>
  <c r="P117" i="81" s="1"/>
  <c r="O123" i="81"/>
  <c r="P123" i="81" s="1"/>
  <c r="O11" i="81"/>
  <c r="P11" i="81" s="1"/>
  <c r="O8" i="81"/>
  <c r="Q8" i="81" s="1"/>
  <c r="O10" i="81"/>
  <c r="Q10" i="81" s="1"/>
  <c r="O12" i="81"/>
  <c r="O14" i="81"/>
  <c r="Q14" i="81" s="1"/>
  <c r="O22" i="81"/>
  <c r="Q22" i="81" s="1"/>
  <c r="R22" i="81" s="1"/>
  <c r="W22" i="81" s="1"/>
  <c r="O40" i="81"/>
  <c r="P40" i="81" s="1"/>
  <c r="O41" i="81"/>
  <c r="Q41" i="81" s="1"/>
  <c r="O39" i="81"/>
  <c r="Q39" i="81" s="1"/>
  <c r="R39" i="81" s="1"/>
  <c r="W39" i="81" s="1"/>
  <c r="X39" i="81" s="1"/>
  <c r="Z39" i="81" s="1"/>
  <c r="O57" i="81"/>
  <c r="Q57" i="81" s="1"/>
  <c r="O59" i="81"/>
  <c r="Q59" i="81" s="1"/>
  <c r="O61" i="81"/>
  <c r="P61" i="81" s="1"/>
  <c r="O63" i="81"/>
  <c r="Q63" i="81" s="1"/>
  <c r="O65" i="81"/>
  <c r="P65" i="81" s="1"/>
  <c r="O67" i="81"/>
  <c r="P67" i="81" s="1"/>
  <c r="O69" i="81"/>
  <c r="P69" i="81" s="1"/>
  <c r="O71" i="81"/>
  <c r="Q71" i="81" s="1"/>
  <c r="O78" i="81"/>
  <c r="P78" i="81" s="1"/>
  <c r="O80" i="81"/>
  <c r="P80" i="81" s="1"/>
  <c r="O82" i="81"/>
  <c r="P82" i="81" s="1"/>
  <c r="O84" i="81"/>
  <c r="P84" i="81" s="1"/>
  <c r="O86" i="81"/>
  <c r="P86" i="81" s="1"/>
  <c r="O88" i="81"/>
  <c r="P88" i="81" s="1"/>
  <c r="O90" i="81"/>
  <c r="P90" i="81" s="1"/>
  <c r="O93" i="81"/>
  <c r="P93" i="81" s="1"/>
  <c r="O95" i="81"/>
  <c r="P95" i="81" s="1"/>
  <c r="O97" i="81"/>
  <c r="Q97" i="81" s="1"/>
  <c r="O99" i="81"/>
  <c r="P99" i="81" s="1"/>
  <c r="O108" i="81"/>
  <c r="P108" i="81" s="1"/>
  <c r="O133" i="81"/>
  <c r="P133" i="81" s="1"/>
  <c r="O16" i="81"/>
  <c r="Q16" i="81" s="1"/>
  <c r="R16" i="81" s="1"/>
  <c r="W16" i="81" s="1"/>
  <c r="O18" i="81"/>
  <c r="O20" i="81"/>
  <c r="P20" i="81" s="1"/>
  <c r="O25" i="81"/>
  <c r="Q25" i="81" s="1"/>
  <c r="O27" i="81"/>
  <c r="P27" i="81" s="1"/>
  <c r="O29" i="81"/>
  <c r="P29" i="81" s="1"/>
  <c r="O31" i="81"/>
  <c r="P31" i="81" s="1"/>
  <c r="O33" i="81"/>
  <c r="Q33" i="81" s="1"/>
  <c r="R33" i="81" s="1"/>
  <c r="W33" i="81" s="1"/>
  <c r="O35" i="81"/>
  <c r="P35" i="81" s="1"/>
  <c r="O37" i="81"/>
  <c r="Q37" i="81" s="1"/>
  <c r="O43" i="81"/>
  <c r="P43" i="81" s="1"/>
  <c r="O45" i="81"/>
  <c r="P45" i="81" s="1"/>
  <c r="O47" i="81"/>
  <c r="P47" i="81" s="1"/>
  <c r="O49" i="81"/>
  <c r="Q49" i="81" s="1"/>
  <c r="O51" i="81"/>
  <c r="P51" i="81" s="1"/>
  <c r="O94" i="81"/>
  <c r="P94" i="81" s="1"/>
  <c r="O96" i="81"/>
  <c r="P96" i="81" s="1"/>
  <c r="O98" i="81"/>
  <c r="P98" i="81" s="1"/>
  <c r="O104" i="81"/>
  <c r="P104" i="81" s="1"/>
  <c r="O142" i="81"/>
  <c r="P142" i="81" s="1"/>
  <c r="O26" i="81"/>
  <c r="P26" i="81" s="1"/>
  <c r="O28" i="81"/>
  <c r="O30" i="81"/>
  <c r="P30" i="81" s="1"/>
  <c r="O32" i="81"/>
  <c r="Q32" i="81" s="1"/>
  <c r="O34" i="81"/>
  <c r="Q34" i="81" s="1"/>
  <c r="O36" i="81"/>
  <c r="P36" i="81" s="1"/>
  <c r="O53" i="81"/>
  <c r="Q53" i="81" s="1"/>
  <c r="O55" i="81"/>
  <c r="P55" i="81" s="1"/>
  <c r="O101" i="81"/>
  <c r="P101" i="81" s="1"/>
  <c r="O103" i="81"/>
  <c r="P103" i="81" s="1"/>
  <c r="O105" i="81"/>
  <c r="P105" i="81" s="1"/>
  <c r="O107" i="81"/>
  <c r="P107" i="81" s="1"/>
  <c r="Q125" i="81"/>
  <c r="W125" i="81" s="1"/>
  <c r="Y125" i="81" s="1"/>
  <c r="Q129" i="81"/>
  <c r="W129" i="81" s="1"/>
  <c r="Y129" i="81" s="1"/>
  <c r="O58" i="81"/>
  <c r="Q58" i="81" s="1"/>
  <c r="O60" i="81"/>
  <c r="P60" i="81" s="1"/>
  <c r="O62" i="81"/>
  <c r="Q62" i="81" s="1"/>
  <c r="O64" i="81"/>
  <c r="P64" i="81" s="1"/>
  <c r="O66" i="81"/>
  <c r="P66" i="81" s="1"/>
  <c r="O68" i="81"/>
  <c r="P68" i="81" s="1"/>
  <c r="O70" i="81"/>
  <c r="Q70" i="81" s="1"/>
  <c r="O72" i="81"/>
  <c r="P72" i="81" s="1"/>
  <c r="O76" i="81"/>
  <c r="P76" i="81" s="1"/>
  <c r="O79" i="81"/>
  <c r="P79" i="81" s="1"/>
  <c r="Q82" i="81"/>
  <c r="W82" i="81" s="1"/>
  <c r="O83" i="81"/>
  <c r="P83" i="81" s="1"/>
  <c r="O87" i="81"/>
  <c r="P87" i="81" s="1"/>
  <c r="O118" i="81"/>
  <c r="P118" i="81" s="1"/>
  <c r="O120" i="81"/>
  <c r="P120" i="81" s="1"/>
  <c r="O121" i="81"/>
  <c r="O122" i="81"/>
  <c r="P122" i="81" s="1"/>
  <c r="O9" i="81"/>
  <c r="Q9" i="81" s="1"/>
  <c r="O13" i="81"/>
  <c r="Q13" i="81" s="1"/>
  <c r="O15" i="81"/>
  <c r="P15" i="81" s="1"/>
  <c r="O17" i="81"/>
  <c r="Q17" i="81" s="1"/>
  <c r="O19" i="81"/>
  <c r="P19" i="81" s="1"/>
  <c r="O21" i="81"/>
  <c r="Q21" i="81" s="1"/>
  <c r="O23" i="81"/>
  <c r="P23" i="81" s="1"/>
  <c r="O44" i="81"/>
  <c r="P44" i="81" s="1"/>
  <c r="O48" i="81"/>
  <c r="P48" i="81" s="1"/>
  <c r="Q64" i="81"/>
  <c r="W64" i="81" s="1"/>
  <c r="O134" i="81"/>
  <c r="P134" i="81" s="1"/>
  <c r="O136" i="81"/>
  <c r="P136" i="81" s="1"/>
  <c r="O137" i="81"/>
  <c r="P137" i="81" s="1"/>
  <c r="O138" i="81"/>
  <c r="P138" i="81" s="1"/>
  <c r="Q12" i="81"/>
  <c r="P12" i="81"/>
  <c r="Q18" i="81"/>
  <c r="P18" i="81"/>
  <c r="W24" i="81"/>
  <c r="R24" i="81"/>
  <c r="Q29" i="81"/>
  <c r="P49" i="81"/>
  <c r="Q28" i="81"/>
  <c r="P28" i="81"/>
  <c r="Q30" i="81"/>
  <c r="P34" i="81"/>
  <c r="Q36" i="81"/>
  <c r="P21" i="81"/>
  <c r="P24" i="81"/>
  <c r="O38" i="81"/>
  <c r="P38" i="81" s="1"/>
  <c r="O42" i="81"/>
  <c r="O46" i="81"/>
  <c r="O50" i="81"/>
  <c r="O52" i="81"/>
  <c r="P52" i="81" s="1"/>
  <c r="O54" i="81"/>
  <c r="R82" i="81"/>
  <c r="P41" i="81"/>
  <c r="Q61" i="81"/>
  <c r="P63" i="81"/>
  <c r="Q67" i="81"/>
  <c r="R67" i="81" s="1"/>
  <c r="W67" i="81" s="1"/>
  <c r="Q69" i="81"/>
  <c r="P71" i="81"/>
  <c r="Q84" i="81"/>
  <c r="R84" i="81" s="1"/>
  <c r="W84" i="81" s="1"/>
  <c r="O74" i="81"/>
  <c r="P74" i="81" s="1"/>
  <c r="Q124" i="81"/>
  <c r="O77" i="81"/>
  <c r="O81" i="81"/>
  <c r="O85" i="81"/>
  <c r="O89" i="81"/>
  <c r="O91" i="81"/>
  <c r="P91" i="81" s="1"/>
  <c r="O112" i="81"/>
  <c r="P112" i="81" s="1"/>
  <c r="O116" i="81"/>
  <c r="P116" i="81" s="1"/>
  <c r="Q128" i="81"/>
  <c r="Q136" i="81"/>
  <c r="Q109" i="81"/>
  <c r="Q118" i="81"/>
  <c r="Q121" i="81"/>
  <c r="P121" i="81"/>
  <c r="Q126" i="81"/>
  <c r="Q130" i="81"/>
  <c r="O119" i="81"/>
  <c r="P119" i="81" s="1"/>
  <c r="O127" i="81"/>
  <c r="P127" i="81" s="1"/>
  <c r="O131" i="81"/>
  <c r="P131" i="81" s="1"/>
  <c r="O135" i="81"/>
  <c r="P135" i="81" s="1"/>
  <c r="O102" i="81"/>
  <c r="O106" i="81"/>
  <c r="O110" i="81"/>
  <c r="O114" i="81"/>
  <c r="Q10" i="80"/>
  <c r="R10" i="80" s="1"/>
  <c r="P10" i="80"/>
  <c r="Q8" i="80"/>
  <c r="R8" i="80" s="1"/>
  <c r="Q16" i="80"/>
  <c r="R16" i="80" s="1"/>
  <c r="Q57" i="80"/>
  <c r="R57" i="80" s="1"/>
  <c r="O17" i="80"/>
  <c r="P17" i="80" s="1"/>
  <c r="W22" i="80"/>
  <c r="P42" i="80"/>
  <c r="Q43" i="80"/>
  <c r="R43" i="80" s="1"/>
  <c r="O13" i="80"/>
  <c r="P13" i="80" s="1"/>
  <c r="O14" i="80"/>
  <c r="W14" i="80"/>
  <c r="O18" i="80"/>
  <c r="W18" i="80"/>
  <c r="O22" i="80"/>
  <c r="Q29" i="80"/>
  <c r="R29" i="80" s="1"/>
  <c r="Q38" i="80"/>
  <c r="R38" i="80" s="1"/>
  <c r="P38" i="80"/>
  <c r="Q50" i="80"/>
  <c r="R50" i="80" s="1"/>
  <c r="P50" i="80"/>
  <c r="Q64" i="80"/>
  <c r="R64" i="80" s="1"/>
  <c r="Q76" i="80"/>
  <c r="R76" i="80" s="1"/>
  <c r="O52" i="80"/>
  <c r="P52" i="80" s="1"/>
  <c r="P68" i="80"/>
  <c r="Q68" i="80"/>
  <c r="R68" i="80" s="1"/>
  <c r="W52" i="80"/>
  <c r="O56" i="80"/>
  <c r="W56" i="80"/>
  <c r="O60" i="80"/>
  <c r="W60" i="80"/>
  <c r="Q65" i="80"/>
  <c r="R65" i="80" s="1"/>
  <c r="P72" i="80"/>
  <c r="Q77" i="80"/>
  <c r="R77" i="80" s="1"/>
  <c r="P77" i="80"/>
  <c r="Q69" i="80"/>
  <c r="R69" i="80" s="1"/>
  <c r="P69" i="80"/>
  <c r="Q91" i="80"/>
  <c r="R91" i="80" s="1"/>
  <c r="O79" i="80"/>
  <c r="P79" i="80" s="1"/>
  <c r="O83" i="80"/>
  <c r="P83" i="80" s="1"/>
  <c r="O86" i="80"/>
  <c r="P86" i="80" s="1"/>
  <c r="P94" i="80"/>
  <c r="Q97" i="80"/>
  <c r="R97" i="80" s="1"/>
  <c r="O80" i="80"/>
  <c r="W80" i="80"/>
  <c r="O84" i="80"/>
  <c r="W84" i="80"/>
  <c r="W86" i="80"/>
  <c r="W87" i="80"/>
  <c r="Q88" i="80"/>
  <c r="R88" i="80" s="1"/>
  <c r="P88" i="80"/>
  <c r="P98" i="80"/>
  <c r="P101" i="80"/>
  <c r="Q101" i="80"/>
  <c r="R101" i="80" s="1"/>
  <c r="P119" i="80"/>
  <c r="Q119" i="80"/>
  <c r="R119" i="80" s="1"/>
  <c r="Q124" i="80"/>
  <c r="R124" i="80" s="1"/>
  <c r="P124" i="80"/>
  <c r="P120" i="80"/>
  <c r="Q142" i="80"/>
  <c r="R142" i="80" s="1"/>
  <c r="Q109" i="80"/>
  <c r="R109" i="80" s="1"/>
  <c r="Q112" i="80"/>
  <c r="R112" i="80" s="1"/>
  <c r="P112" i="80"/>
  <c r="Q123" i="80"/>
  <c r="Y141" i="80"/>
  <c r="AA141" i="80" s="1"/>
  <c r="Y31" i="91" l="1"/>
  <c r="Y13" i="89"/>
  <c r="AA13" i="89" s="1"/>
  <c r="Y20" i="91"/>
  <c r="AA20" i="91" s="1"/>
  <c r="AA107" i="91"/>
  <c r="Y101" i="91"/>
  <c r="AA101" i="91" s="1"/>
  <c r="Y28" i="91"/>
  <c r="AA28" i="91" s="1"/>
  <c r="Z42" i="91"/>
  <c r="AB42" i="91" s="1"/>
  <c r="Y87" i="91"/>
  <c r="AA87" i="91" s="1"/>
  <c r="Y18" i="91"/>
  <c r="Z18" i="91" s="1"/>
  <c r="AB18" i="91" s="1"/>
  <c r="Y8" i="91"/>
  <c r="Z8" i="91" s="1"/>
  <c r="AB8" i="91" s="1"/>
  <c r="Y56" i="91"/>
  <c r="Z56" i="91" s="1"/>
  <c r="AB56" i="91" s="1"/>
  <c r="Y47" i="91"/>
  <c r="Z47" i="91" s="1"/>
  <c r="AB47" i="91" s="1"/>
  <c r="Y110" i="91"/>
  <c r="AA110" i="91" s="1"/>
  <c r="Z97" i="91"/>
  <c r="AB97" i="91" s="1"/>
  <c r="Y49" i="91"/>
  <c r="AA49" i="91" s="1"/>
  <c r="Y92" i="91"/>
  <c r="Z92" i="91" s="1"/>
  <c r="AB92" i="91" s="1"/>
  <c r="Y73" i="91"/>
  <c r="Z73" i="91" s="1"/>
  <c r="AB73" i="91" s="1"/>
  <c r="Z21" i="91"/>
  <c r="AB21" i="91" s="1"/>
  <c r="R94" i="91"/>
  <c r="Y13" i="91"/>
  <c r="AA13" i="91" s="1"/>
  <c r="Y23" i="91"/>
  <c r="AA23" i="91" s="1"/>
  <c r="Y10" i="91"/>
  <c r="AA10" i="91" s="1"/>
  <c r="Y79" i="91"/>
  <c r="AA79" i="91" s="1"/>
  <c r="Y26" i="91"/>
  <c r="AA26" i="91" s="1"/>
  <c r="Y64" i="91"/>
  <c r="Z64" i="91" s="1"/>
  <c r="AB64" i="91" s="1"/>
  <c r="Y36" i="91"/>
  <c r="AA36" i="91" s="1"/>
  <c r="Z103" i="91"/>
  <c r="AB103" i="91" s="1"/>
  <c r="Y68" i="91"/>
  <c r="AA68" i="91" s="1"/>
  <c r="Y108" i="91"/>
  <c r="AA108" i="91" s="1"/>
  <c r="Y91" i="91"/>
  <c r="AA91" i="91" s="1"/>
  <c r="Y99" i="91"/>
  <c r="AA99" i="91" s="1"/>
  <c r="Y63" i="91"/>
  <c r="AA63" i="91" s="1"/>
  <c r="Y98" i="91"/>
  <c r="AA98" i="91" s="1"/>
  <c r="Y38" i="91"/>
  <c r="AA38" i="91" s="1"/>
  <c r="Y88" i="91"/>
  <c r="AA88" i="91" s="1"/>
  <c r="Y46" i="91"/>
  <c r="AA46" i="91" s="1"/>
  <c r="Y90" i="91"/>
  <c r="AA90" i="91" s="1"/>
  <c r="Y60" i="91"/>
  <c r="Z60" i="91" s="1"/>
  <c r="AB60" i="91" s="1"/>
  <c r="Y102" i="91"/>
  <c r="Z102" i="91" s="1"/>
  <c r="AB102" i="91" s="1"/>
  <c r="Y59" i="91"/>
  <c r="AA59" i="91" s="1"/>
  <c r="Y75" i="91"/>
  <c r="AA75" i="91" s="1"/>
  <c r="Y95" i="91"/>
  <c r="AA95" i="91" s="1"/>
  <c r="Y106" i="91"/>
  <c r="AA106" i="91" s="1"/>
  <c r="Y76" i="91"/>
  <c r="Z29" i="91"/>
  <c r="AB29" i="91" s="1"/>
  <c r="Y78" i="91"/>
  <c r="AA78" i="91" s="1"/>
  <c r="Y61" i="91"/>
  <c r="AA61" i="91" s="1"/>
  <c r="Y27" i="91"/>
  <c r="AA27" i="91" s="1"/>
  <c r="R81" i="91"/>
  <c r="Y25" i="91"/>
  <c r="AA25" i="91" s="1"/>
  <c r="Y11" i="91"/>
  <c r="AA11" i="91" s="1"/>
  <c r="Y15" i="91"/>
  <c r="Y39" i="91"/>
  <c r="AA39" i="91" s="1"/>
  <c r="R12" i="91"/>
  <c r="Y12" i="91"/>
  <c r="Y44" i="91"/>
  <c r="AA44" i="91" s="1"/>
  <c r="Y105" i="91"/>
  <c r="Y62" i="91"/>
  <c r="AA62" i="91" s="1"/>
  <c r="R30" i="91"/>
  <c r="Y35" i="91"/>
  <c r="AA35" i="91" s="1"/>
  <c r="Y74" i="91"/>
  <c r="AA74" i="91" s="1"/>
  <c r="Y16" i="91"/>
  <c r="AA16" i="91" s="1"/>
  <c r="Y100" i="91"/>
  <c r="AA100" i="91" s="1"/>
  <c r="Y89" i="91"/>
  <c r="AA89" i="91" s="1"/>
  <c r="Y55" i="91"/>
  <c r="AA55" i="91" s="1"/>
  <c r="Y54" i="91"/>
  <c r="AA54" i="91" s="1"/>
  <c r="AA47" i="91"/>
  <c r="R86" i="91"/>
  <c r="Y86" i="91"/>
  <c r="R72" i="91"/>
  <c r="Y72" i="91"/>
  <c r="R85" i="91"/>
  <c r="Y85" i="91"/>
  <c r="Y66" i="91"/>
  <c r="AA81" i="91"/>
  <c r="Z81" i="91"/>
  <c r="AB81" i="91" s="1"/>
  <c r="R24" i="91"/>
  <c r="Y24" i="91"/>
  <c r="R52" i="91"/>
  <c r="Y52" i="91"/>
  <c r="R9" i="91"/>
  <c r="Y9" i="91"/>
  <c r="AA22" i="91"/>
  <c r="Z22" i="91"/>
  <c r="AB22" i="91" s="1"/>
  <c r="R33" i="91"/>
  <c r="Y33" i="91"/>
  <c r="Z94" i="91"/>
  <c r="AB94" i="91" s="1"/>
  <c r="AA94" i="91"/>
  <c r="R14" i="91"/>
  <c r="Y14" i="91"/>
  <c r="R43" i="91"/>
  <c r="Y43" i="91"/>
  <c r="Y69" i="91"/>
  <c r="R69" i="91"/>
  <c r="AA31" i="91"/>
  <c r="Z31" i="91"/>
  <c r="AB31" i="91" s="1"/>
  <c r="R57" i="91"/>
  <c r="Y57" i="91"/>
  <c r="Z70" i="91"/>
  <c r="AB70" i="91" s="1"/>
  <c r="Z20" i="91"/>
  <c r="AB20" i="91" s="1"/>
  <c r="AA30" i="91"/>
  <c r="Z30" i="91"/>
  <c r="AB30" i="91" s="1"/>
  <c r="R93" i="91"/>
  <c r="Y93" i="91"/>
  <c r="R53" i="91"/>
  <c r="Y53" i="91"/>
  <c r="Y51" i="91"/>
  <c r="Y48" i="91"/>
  <c r="R50" i="91"/>
  <c r="Y50" i="91"/>
  <c r="Y80" i="91"/>
  <c r="R65" i="91"/>
  <c r="Y65" i="91"/>
  <c r="R67" i="91"/>
  <c r="Y67" i="91"/>
  <c r="R77" i="91"/>
  <c r="Y77" i="91"/>
  <c r="R17" i="91"/>
  <c r="R40" i="91"/>
  <c r="Y40" i="91"/>
  <c r="R104" i="91"/>
  <c r="Y104" i="91"/>
  <c r="R34" i="91"/>
  <c r="Y34" i="91"/>
  <c r="Y37" i="91"/>
  <c r="R41" i="91"/>
  <c r="Y41" i="91"/>
  <c r="Y79" i="87"/>
  <c r="Y107" i="87"/>
  <c r="AA107" i="87" s="1"/>
  <c r="Y37" i="89"/>
  <c r="Y55" i="89"/>
  <c r="Y18" i="89"/>
  <c r="Z18" i="89" s="1"/>
  <c r="Y50" i="89"/>
  <c r="AA50" i="89" s="1"/>
  <c r="Y77" i="89"/>
  <c r="AA77" i="89" s="1"/>
  <c r="Y24" i="89"/>
  <c r="AA24" i="89" s="1"/>
  <c r="Y59" i="89"/>
  <c r="AA59" i="89" s="1"/>
  <c r="Y94" i="89"/>
  <c r="Y75" i="89"/>
  <c r="Z88" i="89"/>
  <c r="AB88" i="89" s="1"/>
  <c r="Y100" i="89"/>
  <c r="AA100" i="89" s="1"/>
  <c r="Y47" i="89"/>
  <c r="AA47" i="89" s="1"/>
  <c r="Y74" i="89"/>
  <c r="Y112" i="89"/>
  <c r="Y111" i="89"/>
  <c r="AA111" i="89" s="1"/>
  <c r="AA87" i="89"/>
  <c r="Y42" i="89"/>
  <c r="Z42" i="89" s="1"/>
  <c r="AB42" i="89" s="1"/>
  <c r="Y82" i="89"/>
  <c r="AA82" i="89" s="1"/>
  <c r="Y45" i="89"/>
  <c r="AA45" i="89" s="1"/>
  <c r="R69" i="89"/>
  <c r="Y90" i="89"/>
  <c r="AA90" i="89" s="1"/>
  <c r="Z116" i="89"/>
  <c r="AB116" i="89" s="1"/>
  <c r="Y32" i="89"/>
  <c r="AA32" i="89" s="1"/>
  <c r="Y79" i="89"/>
  <c r="Z79" i="89" s="1"/>
  <c r="AB79" i="89" s="1"/>
  <c r="Y78" i="89"/>
  <c r="AA78" i="89" s="1"/>
  <c r="Y51" i="89"/>
  <c r="Y85" i="89"/>
  <c r="AA85" i="89" s="1"/>
  <c r="Y92" i="89"/>
  <c r="AA92" i="89" s="1"/>
  <c r="Y27" i="89"/>
  <c r="AA27" i="89" s="1"/>
  <c r="Y68" i="89"/>
  <c r="AA68" i="89" s="1"/>
  <c r="Z53" i="89"/>
  <c r="AB53" i="89" s="1"/>
  <c r="Y106" i="89"/>
  <c r="AA106" i="89" s="1"/>
  <c r="Y57" i="89"/>
  <c r="AA57" i="89" s="1"/>
  <c r="Y91" i="89"/>
  <c r="AA91" i="89" s="1"/>
  <c r="Y103" i="89"/>
  <c r="AA103" i="89" s="1"/>
  <c r="Y22" i="89"/>
  <c r="Z23" i="89"/>
  <c r="AB23" i="89" s="1"/>
  <c r="Y28" i="89"/>
  <c r="Z28" i="89" s="1"/>
  <c r="AB28" i="89" s="1"/>
  <c r="Y16" i="89"/>
  <c r="AA16" i="89" s="1"/>
  <c r="Z101" i="89"/>
  <c r="AB101" i="89" s="1"/>
  <c r="Z9" i="89"/>
  <c r="AB9" i="89" s="1"/>
  <c r="Y113" i="89"/>
  <c r="AA113" i="89" s="1"/>
  <c r="Y83" i="89"/>
  <c r="AA83" i="89" s="1"/>
  <c r="Y31" i="89"/>
  <c r="Y33" i="89"/>
  <c r="AA33" i="89" s="1"/>
  <c r="Y8" i="89"/>
  <c r="AA8" i="89" s="1"/>
  <c r="Y56" i="89"/>
  <c r="Z56" i="89" s="1"/>
  <c r="AB56" i="89" s="1"/>
  <c r="R34" i="89"/>
  <c r="Y34" i="89"/>
  <c r="AA61" i="89"/>
  <c r="Z61" i="89"/>
  <c r="AB61" i="89" s="1"/>
  <c r="Y72" i="89"/>
  <c r="AA72" i="89" s="1"/>
  <c r="Z109" i="89"/>
  <c r="AB109" i="89" s="1"/>
  <c r="Y36" i="89"/>
  <c r="Y25" i="89"/>
  <c r="Y60" i="89"/>
  <c r="Z60" i="89" s="1"/>
  <c r="AB60" i="89" s="1"/>
  <c r="Y19" i="89"/>
  <c r="AA19" i="89" s="1"/>
  <c r="Y14" i="89"/>
  <c r="AA14" i="89" s="1"/>
  <c r="Y65" i="89"/>
  <c r="AA65" i="89" s="1"/>
  <c r="Y98" i="89"/>
  <c r="AA98" i="89" s="1"/>
  <c r="Z30" i="89"/>
  <c r="AB30" i="89" s="1"/>
  <c r="Y20" i="89"/>
  <c r="AA20" i="89" s="1"/>
  <c r="Z99" i="89"/>
  <c r="AB99" i="89" s="1"/>
  <c r="Y67" i="89"/>
  <c r="Z67" i="89" s="1"/>
  <c r="AB67" i="89" s="1"/>
  <c r="Y70" i="89"/>
  <c r="AA70" i="89" s="1"/>
  <c r="Y66" i="89"/>
  <c r="AA66" i="89" s="1"/>
  <c r="Z38" i="89"/>
  <c r="AB38" i="89" s="1"/>
  <c r="Y84" i="89"/>
  <c r="AA84" i="89" s="1"/>
  <c r="Y110" i="89"/>
  <c r="AA110" i="89" s="1"/>
  <c r="Y17" i="89"/>
  <c r="AA17" i="89" s="1"/>
  <c r="AA63" i="89"/>
  <c r="Z63" i="89"/>
  <c r="AB63" i="89" s="1"/>
  <c r="Y43" i="89"/>
  <c r="AA43" i="89" s="1"/>
  <c r="Z95" i="89"/>
  <c r="AB95" i="89" s="1"/>
  <c r="Y26" i="89"/>
  <c r="AA115" i="89"/>
  <c r="Z115" i="89"/>
  <c r="AB115" i="89" s="1"/>
  <c r="Y11" i="89"/>
  <c r="Y105" i="89"/>
  <c r="Y21" i="89"/>
  <c r="AA21" i="89" s="1"/>
  <c r="R117" i="89"/>
  <c r="Y117" i="89"/>
  <c r="R54" i="89"/>
  <c r="Y54" i="89"/>
  <c r="AA15" i="89"/>
  <c r="Z15" i="89"/>
  <c r="AB15" i="89" s="1"/>
  <c r="AA107" i="89"/>
  <c r="Z107" i="89"/>
  <c r="AB107" i="89" s="1"/>
  <c r="R39" i="89"/>
  <c r="Y39" i="89"/>
  <c r="AA112" i="89"/>
  <c r="Z112" i="89"/>
  <c r="AB112" i="89" s="1"/>
  <c r="R89" i="89"/>
  <c r="Y89" i="89"/>
  <c r="R18" i="89"/>
  <c r="R81" i="89"/>
  <c r="Y81" i="89"/>
  <c r="R41" i="89"/>
  <c r="Y41" i="89"/>
  <c r="AA114" i="89"/>
  <c r="Z114" i="89"/>
  <c r="AB114" i="89" s="1"/>
  <c r="AA37" i="89"/>
  <c r="Z37" i="89"/>
  <c r="AB37" i="89" s="1"/>
  <c r="Z62" i="89"/>
  <c r="AB62" i="89" s="1"/>
  <c r="R76" i="89"/>
  <c r="Y76" i="89"/>
  <c r="R102" i="89"/>
  <c r="Y102" i="89"/>
  <c r="AA86" i="89"/>
  <c r="Z86" i="89"/>
  <c r="AB86" i="89" s="1"/>
  <c r="AA69" i="89"/>
  <c r="Z69" i="89"/>
  <c r="AB69" i="89" s="1"/>
  <c r="R104" i="89"/>
  <c r="Y104" i="89"/>
  <c r="AA29" i="89"/>
  <c r="Z29" i="89"/>
  <c r="AB29" i="89" s="1"/>
  <c r="AA55" i="89"/>
  <c r="Z55" i="89"/>
  <c r="AB55" i="89" s="1"/>
  <c r="Y96" i="89"/>
  <c r="Z59" i="89"/>
  <c r="AB59" i="89" s="1"/>
  <c r="Y97" i="89"/>
  <c r="R93" i="89"/>
  <c r="Y93" i="89"/>
  <c r="AA73" i="89"/>
  <c r="Z73" i="89"/>
  <c r="AB73" i="89" s="1"/>
  <c r="AA44" i="89"/>
  <c r="Z44" i="89"/>
  <c r="AB44" i="89" s="1"/>
  <c r="AA51" i="89"/>
  <c r="Z51" i="89"/>
  <c r="AB51" i="89" s="1"/>
  <c r="AA75" i="89"/>
  <c r="Z75" i="89"/>
  <c r="AB75" i="89" s="1"/>
  <c r="R64" i="89"/>
  <c r="Y64" i="89"/>
  <c r="Y35" i="89"/>
  <c r="AA46" i="89"/>
  <c r="Z46" i="89"/>
  <c r="AB46" i="89" s="1"/>
  <c r="Z74" i="89"/>
  <c r="AB74" i="89" s="1"/>
  <c r="AA74" i="89"/>
  <c r="R80" i="89"/>
  <c r="Y80" i="89"/>
  <c r="R108" i="89"/>
  <c r="Y108" i="89"/>
  <c r="AA94" i="89"/>
  <c r="Z94" i="89"/>
  <c r="AB94" i="89" s="1"/>
  <c r="AA10" i="89"/>
  <c r="Z10" i="89"/>
  <c r="AB10" i="89" s="1"/>
  <c r="R71" i="89"/>
  <c r="Y71" i="89"/>
  <c r="Y48" i="89"/>
  <c r="Y40" i="89"/>
  <c r="AA58" i="89"/>
  <c r="Z58" i="89"/>
  <c r="AB58" i="89" s="1"/>
  <c r="Y49" i="89"/>
  <c r="Y12" i="89"/>
  <c r="Z82" i="89"/>
  <c r="AB82" i="89" s="1"/>
  <c r="R52" i="89"/>
  <c r="Y52" i="89"/>
  <c r="Y69" i="87"/>
  <c r="AA69" i="87" s="1"/>
  <c r="Y62" i="87"/>
  <c r="Y94" i="87"/>
  <c r="AA94" i="87" s="1"/>
  <c r="Y125" i="87"/>
  <c r="AA125" i="87" s="1"/>
  <c r="Y38" i="87"/>
  <c r="Z38" i="87" s="1"/>
  <c r="AB38" i="87" s="1"/>
  <c r="Y83" i="87"/>
  <c r="AA83" i="87" s="1"/>
  <c r="Y74" i="87"/>
  <c r="Y78" i="87"/>
  <c r="AA78" i="87" s="1"/>
  <c r="Y8" i="87"/>
  <c r="AA8" i="87" s="1"/>
  <c r="Y55" i="87"/>
  <c r="AA55" i="87" s="1"/>
  <c r="Y21" i="87"/>
  <c r="AA21" i="87" s="1"/>
  <c r="Y115" i="87"/>
  <c r="AA115" i="87" s="1"/>
  <c r="Y85" i="87"/>
  <c r="AA85" i="87" s="1"/>
  <c r="Y63" i="87"/>
  <c r="AA63" i="87" s="1"/>
  <c r="Y12" i="87"/>
  <c r="AA12" i="87" s="1"/>
  <c r="Y46" i="87"/>
  <c r="Z46" i="87" s="1"/>
  <c r="AB46" i="87" s="1"/>
  <c r="R20" i="87"/>
  <c r="R23" i="87"/>
  <c r="Y23" i="87"/>
  <c r="Y29" i="87"/>
  <c r="AA29" i="87" s="1"/>
  <c r="R71" i="87"/>
  <c r="Y71" i="87"/>
  <c r="R133" i="87"/>
  <c r="Y133" i="87"/>
  <c r="R58" i="87"/>
  <c r="Y73" i="87"/>
  <c r="AA73" i="87" s="1"/>
  <c r="R39" i="87"/>
  <c r="Y39" i="87"/>
  <c r="Z117" i="87"/>
  <c r="AB117" i="87" s="1"/>
  <c r="AA117" i="87"/>
  <c r="Y51" i="87"/>
  <c r="AA51" i="87" s="1"/>
  <c r="R87" i="87"/>
  <c r="Y87" i="87"/>
  <c r="Y130" i="87"/>
  <c r="AA130" i="87" s="1"/>
  <c r="Y11" i="87"/>
  <c r="Z11" i="87" s="1"/>
  <c r="AB11" i="87" s="1"/>
  <c r="Y118" i="87"/>
  <c r="Z118" i="87" s="1"/>
  <c r="AB118" i="87" s="1"/>
  <c r="Y100" i="87"/>
  <c r="AA100" i="87" s="1"/>
  <c r="Y131" i="87"/>
  <c r="AA131" i="87" s="1"/>
  <c r="Y81" i="87"/>
  <c r="AA81" i="87" s="1"/>
  <c r="Y48" i="87"/>
  <c r="AA48" i="87" s="1"/>
  <c r="Y30" i="87"/>
  <c r="AA30" i="87" s="1"/>
  <c r="Y128" i="87"/>
  <c r="AA128" i="87" s="1"/>
  <c r="Y70" i="87"/>
  <c r="AA70" i="87" s="1"/>
  <c r="Y96" i="87"/>
  <c r="AA96" i="87" s="1"/>
  <c r="Y93" i="87"/>
  <c r="AA93" i="87" s="1"/>
  <c r="Y44" i="87"/>
  <c r="AA44" i="87" s="1"/>
  <c r="Y88" i="87"/>
  <c r="AA88" i="87" s="1"/>
  <c r="Y132" i="87"/>
  <c r="AA132" i="87" s="1"/>
  <c r="Y24" i="87"/>
  <c r="AA24" i="87" s="1"/>
  <c r="Y104" i="87"/>
  <c r="AA104" i="87" s="1"/>
  <c r="Y86" i="87"/>
  <c r="AA86" i="87" s="1"/>
  <c r="R114" i="87"/>
  <c r="Y32" i="87"/>
  <c r="AA32" i="87" s="1"/>
  <c r="Y126" i="87"/>
  <c r="AA126" i="87" s="1"/>
  <c r="Y45" i="87"/>
  <c r="AA45" i="87" s="1"/>
  <c r="Y123" i="87"/>
  <c r="AA123" i="87" s="1"/>
  <c r="Y15" i="87"/>
  <c r="Y19" i="87"/>
  <c r="AA19" i="87" s="1"/>
  <c r="Y54" i="87"/>
  <c r="AA54" i="87" s="1"/>
  <c r="Y35" i="87"/>
  <c r="AA35" i="87" s="1"/>
  <c r="Y33" i="87"/>
  <c r="Z33" i="87" s="1"/>
  <c r="AB33" i="87" s="1"/>
  <c r="Y124" i="87"/>
  <c r="AA124" i="87" s="1"/>
  <c r="Y13" i="87"/>
  <c r="AA13" i="87" s="1"/>
  <c r="Y36" i="87"/>
  <c r="AA36" i="87" s="1"/>
  <c r="Y103" i="87"/>
  <c r="Y97" i="87"/>
  <c r="Y119" i="87"/>
  <c r="AA119" i="87" s="1"/>
  <c r="Y59" i="87"/>
  <c r="AA59" i="87" s="1"/>
  <c r="Y72" i="87"/>
  <c r="AA72" i="87" s="1"/>
  <c r="Y129" i="87"/>
  <c r="AA129" i="87" s="1"/>
  <c r="Z60" i="87"/>
  <c r="AB60" i="87" s="1"/>
  <c r="Y89" i="87"/>
  <c r="AA89" i="87" s="1"/>
  <c r="Z31" i="87"/>
  <c r="AB31" i="87" s="1"/>
  <c r="Y65" i="87"/>
  <c r="AA65" i="87" s="1"/>
  <c r="Y53" i="87"/>
  <c r="AA53" i="87" s="1"/>
  <c r="Y41" i="87"/>
  <c r="AA41" i="87" s="1"/>
  <c r="Y61" i="87"/>
  <c r="R99" i="87"/>
  <c r="Z107" i="87"/>
  <c r="AB107" i="87" s="1"/>
  <c r="Z67" i="87"/>
  <c r="AB67" i="87" s="1"/>
  <c r="R102" i="87"/>
  <c r="Y102" i="87"/>
  <c r="Y26" i="87"/>
  <c r="AA26" i="87" s="1"/>
  <c r="Z47" i="87"/>
  <c r="AB47" i="87" s="1"/>
  <c r="Y16" i="87"/>
  <c r="Z16" i="87" s="1"/>
  <c r="AB16" i="87" s="1"/>
  <c r="R10" i="87"/>
  <c r="Y10" i="87"/>
  <c r="R37" i="87"/>
  <c r="Y37" i="87"/>
  <c r="AA22" i="87"/>
  <c r="Z22" i="87"/>
  <c r="AB22" i="87" s="1"/>
  <c r="R14" i="87"/>
  <c r="Y14" i="87"/>
  <c r="Y34" i="87"/>
  <c r="AA34" i="87" s="1"/>
  <c r="R108" i="87"/>
  <c r="Y108" i="87"/>
  <c r="Z69" i="87"/>
  <c r="AB69" i="87" s="1"/>
  <c r="Z9" i="87"/>
  <c r="AB9" i="87" s="1"/>
  <c r="Y42" i="87"/>
  <c r="AA42" i="87" s="1"/>
  <c r="AA64" i="87"/>
  <c r="Z64" i="87"/>
  <c r="AB64" i="87" s="1"/>
  <c r="Y27" i="87"/>
  <c r="AA27" i="87" s="1"/>
  <c r="Y76" i="87"/>
  <c r="Y112" i="87"/>
  <c r="Y43" i="87"/>
  <c r="Z94" i="87"/>
  <c r="AB94" i="87" s="1"/>
  <c r="R127" i="87"/>
  <c r="Y127" i="87"/>
  <c r="AA58" i="87"/>
  <c r="Z58" i="87"/>
  <c r="AB58" i="87" s="1"/>
  <c r="Z20" i="87"/>
  <c r="AB20" i="87" s="1"/>
  <c r="AA20" i="87"/>
  <c r="AA114" i="87"/>
  <c r="Z114" i="87"/>
  <c r="AB114" i="87" s="1"/>
  <c r="R91" i="87"/>
  <c r="Y91" i="87"/>
  <c r="Z78" i="87"/>
  <c r="AB78" i="87" s="1"/>
  <c r="AA17" i="87"/>
  <c r="Z17" i="87"/>
  <c r="AB17" i="87" s="1"/>
  <c r="Y28" i="87"/>
  <c r="Y90" i="87"/>
  <c r="R106" i="87"/>
  <c r="Y106" i="87"/>
  <c r="AA74" i="87"/>
  <c r="Z74" i="87"/>
  <c r="AB74" i="87" s="1"/>
  <c r="R121" i="87"/>
  <c r="Y121" i="87"/>
  <c r="R57" i="87"/>
  <c r="Y57" i="87"/>
  <c r="R98" i="87"/>
  <c r="Y98" i="87"/>
  <c r="Y52" i="87"/>
  <c r="R52" i="87"/>
  <c r="AA62" i="87"/>
  <c r="Z62" i="87"/>
  <c r="AB62" i="87" s="1"/>
  <c r="R84" i="87"/>
  <c r="Y84" i="87"/>
  <c r="Y77" i="87"/>
  <c r="R68" i="87"/>
  <c r="Y68" i="87"/>
  <c r="Z109" i="87"/>
  <c r="AB109" i="87" s="1"/>
  <c r="Y18" i="87"/>
  <c r="Y105" i="87"/>
  <c r="Y101" i="87"/>
  <c r="AA99" i="87"/>
  <c r="Z99" i="87"/>
  <c r="AB99" i="87" s="1"/>
  <c r="R66" i="87"/>
  <c r="Y66" i="87"/>
  <c r="R122" i="87"/>
  <c r="Y122" i="87"/>
  <c r="R110" i="87"/>
  <c r="Y110" i="87"/>
  <c r="AA75" i="87"/>
  <c r="Z75" i="87"/>
  <c r="AB75" i="87" s="1"/>
  <c r="R95" i="87"/>
  <c r="Y95" i="87"/>
  <c r="AA25" i="87"/>
  <c r="Z25" i="87"/>
  <c r="AB25" i="87" s="1"/>
  <c r="Y116" i="87"/>
  <c r="R113" i="87"/>
  <c r="Y113" i="87"/>
  <c r="Y50" i="87"/>
  <c r="Y111" i="87"/>
  <c r="R120" i="87"/>
  <c r="Y120" i="87"/>
  <c r="Y80" i="87"/>
  <c r="R92" i="87"/>
  <c r="Y92" i="87"/>
  <c r="R40" i="87"/>
  <c r="Y40" i="87"/>
  <c r="Z12" i="87"/>
  <c r="AB12" i="87" s="1"/>
  <c r="AA79" i="87"/>
  <c r="Z79" i="87"/>
  <c r="AB79" i="87" s="1"/>
  <c r="Y49" i="87"/>
  <c r="AA82" i="87"/>
  <c r="Z82" i="87"/>
  <c r="AB82" i="87" s="1"/>
  <c r="AA38" i="87"/>
  <c r="AA56" i="87"/>
  <c r="Z56" i="87"/>
  <c r="AB56" i="87" s="1"/>
  <c r="Q80" i="81"/>
  <c r="P10" i="81"/>
  <c r="Q62" i="80"/>
  <c r="R62" i="80" s="1"/>
  <c r="P34" i="80"/>
  <c r="Q96" i="81"/>
  <c r="P59" i="81"/>
  <c r="Q35" i="81"/>
  <c r="Q26" i="81"/>
  <c r="Q20" i="81"/>
  <c r="Q90" i="80"/>
  <c r="R90" i="80" s="1"/>
  <c r="P22" i="85"/>
  <c r="P97" i="81"/>
  <c r="Q74" i="80"/>
  <c r="R74" i="80" s="1"/>
  <c r="Y22" i="85"/>
  <c r="AA22" i="85" s="1"/>
  <c r="Q101" i="81"/>
  <c r="Q27" i="81"/>
  <c r="P136" i="80"/>
  <c r="Q92" i="81"/>
  <c r="Q45" i="81"/>
  <c r="P102" i="80"/>
  <c r="R64" i="81"/>
  <c r="P16" i="81"/>
  <c r="Q100" i="81"/>
  <c r="R100" i="81" s="1"/>
  <c r="W100" i="81" s="1"/>
  <c r="P9" i="80"/>
  <c r="Q93" i="81"/>
  <c r="Q44" i="81"/>
  <c r="R44" i="81" s="1"/>
  <c r="Q126" i="80"/>
  <c r="R126" i="80" s="1"/>
  <c r="Q105" i="80"/>
  <c r="R105" i="80" s="1"/>
  <c r="Q138" i="81"/>
  <c r="Q139" i="81"/>
  <c r="Q47" i="80"/>
  <c r="R47" i="80" s="1"/>
  <c r="X125" i="81"/>
  <c r="Z125" i="81" s="1"/>
  <c r="Q117" i="81"/>
  <c r="R117" i="81" s="1"/>
  <c r="W117" i="81" s="1"/>
  <c r="Q98" i="81"/>
  <c r="P37" i="81"/>
  <c r="Q63" i="80"/>
  <c r="R63" i="80" s="1"/>
  <c r="Q66" i="80"/>
  <c r="R66" i="80" s="1"/>
  <c r="Q39" i="80"/>
  <c r="Q28" i="80"/>
  <c r="R28" i="80" s="1"/>
  <c r="R125" i="81"/>
  <c r="Q113" i="81"/>
  <c r="Q90" i="81"/>
  <c r="R90" i="81" s="1"/>
  <c r="W90" i="81" s="1"/>
  <c r="X90" i="81" s="1"/>
  <c r="Z90" i="81" s="1"/>
  <c r="Q88" i="81"/>
  <c r="Q40" i="81"/>
  <c r="Q70" i="85"/>
  <c r="R70" i="85" s="1"/>
  <c r="Q126" i="85"/>
  <c r="R126" i="85" s="1"/>
  <c r="P29" i="85"/>
  <c r="P93" i="85"/>
  <c r="P87" i="85"/>
  <c r="P101" i="85"/>
  <c r="Q80" i="85"/>
  <c r="R80" i="85" s="1"/>
  <c r="Q14" i="85"/>
  <c r="R14" i="85" s="1"/>
  <c r="P124" i="85"/>
  <c r="Q27" i="85"/>
  <c r="R27" i="85" s="1"/>
  <c r="Q100" i="85"/>
  <c r="R100" i="85" s="1"/>
  <c r="P132" i="85"/>
  <c r="Y132" i="85" s="1"/>
  <c r="P9" i="85"/>
  <c r="Q127" i="85"/>
  <c r="R127" i="85" s="1"/>
  <c r="P13" i="85"/>
  <c r="Q76" i="85"/>
  <c r="R76" i="85" s="1"/>
  <c r="Q47" i="85"/>
  <c r="R47" i="85" s="1"/>
  <c r="Y30" i="85"/>
  <c r="AA30" i="85" s="1"/>
  <c r="P41" i="85"/>
  <c r="Q20" i="85"/>
  <c r="R20" i="85" s="1"/>
  <c r="Q116" i="85"/>
  <c r="Y116" i="85" s="1"/>
  <c r="Q92" i="85"/>
  <c r="R92" i="85" s="1"/>
  <c r="Q113" i="85"/>
  <c r="R113" i="85" s="1"/>
  <c r="P49" i="85"/>
  <c r="P11" i="85"/>
  <c r="Y66" i="85"/>
  <c r="Z66" i="85" s="1"/>
  <c r="AB66" i="85" s="1"/>
  <c r="P66" i="85"/>
  <c r="Q112" i="85"/>
  <c r="R112" i="85" s="1"/>
  <c r="Q129" i="85"/>
  <c r="R129" i="85" s="1"/>
  <c r="P15" i="85"/>
  <c r="Y36" i="85"/>
  <c r="AA36" i="85" s="1"/>
  <c r="Y95" i="85"/>
  <c r="AA95" i="85" s="1"/>
  <c r="Q72" i="85"/>
  <c r="R72" i="85" s="1"/>
  <c r="Q97" i="85"/>
  <c r="R97" i="85" s="1"/>
  <c r="Q19" i="85"/>
  <c r="R19" i="85" s="1"/>
  <c r="Q106" i="85"/>
  <c r="R106" i="85" s="1"/>
  <c r="Q123" i="85"/>
  <c r="R123" i="85" s="1"/>
  <c r="Y23" i="85"/>
  <c r="AA23" i="85" s="1"/>
  <c r="Q75" i="85"/>
  <c r="R75" i="85" s="1"/>
  <c r="Q54" i="85"/>
  <c r="R54" i="85" s="1"/>
  <c r="Q130" i="85"/>
  <c r="R130" i="85" s="1"/>
  <c r="Q91" i="85"/>
  <c r="R91" i="85" s="1"/>
  <c r="P23" i="85"/>
  <c r="Q73" i="85"/>
  <c r="R73" i="85" s="1"/>
  <c r="P30" i="85"/>
  <c r="P37" i="85"/>
  <c r="Y37" i="85" s="1"/>
  <c r="Q62" i="85"/>
  <c r="R62" i="85" s="1"/>
  <c r="P133" i="85"/>
  <c r="Q90" i="85"/>
  <c r="R90" i="85" s="1"/>
  <c r="Q105" i="85"/>
  <c r="R105" i="85" s="1"/>
  <c r="Q35" i="85"/>
  <c r="R35" i="85" s="1"/>
  <c r="Q43" i="85"/>
  <c r="R43" i="85" s="1"/>
  <c r="Q56" i="85"/>
  <c r="R56" i="85" s="1"/>
  <c r="Q8" i="85"/>
  <c r="R8" i="85" s="1"/>
  <c r="Q57" i="85"/>
  <c r="R57" i="85" s="1"/>
  <c r="Y52" i="85"/>
  <c r="AA52" i="85" s="1"/>
  <c r="Q86" i="85"/>
  <c r="R86" i="85" s="1"/>
  <c r="P108" i="85"/>
  <c r="Q53" i="85"/>
  <c r="Y53" i="85" s="1"/>
  <c r="Q40" i="85"/>
  <c r="R40" i="85" s="1"/>
  <c r="Y129" i="85"/>
  <c r="AA129" i="85" s="1"/>
  <c r="Q48" i="85"/>
  <c r="R48" i="85" s="1"/>
  <c r="R65" i="85"/>
  <c r="Y65" i="85"/>
  <c r="AA65" i="85" s="1"/>
  <c r="R133" i="85"/>
  <c r="Y133" i="85"/>
  <c r="Q109" i="85"/>
  <c r="R109" i="85" s="1"/>
  <c r="Y29" i="85"/>
  <c r="AA29" i="85" s="1"/>
  <c r="Q122" i="85"/>
  <c r="R122" i="85" s="1"/>
  <c r="Q68" i="85"/>
  <c r="R68" i="85" s="1"/>
  <c r="Q33" i="85"/>
  <c r="R33" i="85" s="1"/>
  <c r="Q26" i="85"/>
  <c r="R26" i="85" s="1"/>
  <c r="P36" i="85"/>
  <c r="Q121" i="85"/>
  <c r="R121" i="85" s="1"/>
  <c r="Q63" i="85"/>
  <c r="R63" i="85" s="1"/>
  <c r="P103" i="85"/>
  <c r="P65" i="85"/>
  <c r="Q120" i="85"/>
  <c r="R120" i="85" s="1"/>
  <c r="P95" i="85"/>
  <c r="Y15" i="85"/>
  <c r="AA15" i="85" s="1"/>
  <c r="Q12" i="85"/>
  <c r="R12" i="85" s="1"/>
  <c r="Q55" i="85"/>
  <c r="R55" i="85" s="1"/>
  <c r="P21" i="85"/>
  <c r="Y21" i="85" s="1"/>
  <c r="Z21" i="85" s="1"/>
  <c r="Q34" i="85"/>
  <c r="R34" i="85" s="1"/>
  <c r="P10" i="85"/>
  <c r="Y10" i="85" s="1"/>
  <c r="AA10" i="85" s="1"/>
  <c r="Q28" i="85"/>
  <c r="R28" i="85" s="1"/>
  <c r="R38" i="85"/>
  <c r="Y38" i="85"/>
  <c r="AA38" i="85" s="1"/>
  <c r="Q114" i="85"/>
  <c r="R114" i="85" s="1"/>
  <c r="Q115" i="85"/>
  <c r="R115" i="85" s="1"/>
  <c r="Z117" i="85"/>
  <c r="AB117" i="85" s="1"/>
  <c r="P64" i="85"/>
  <c r="Y9" i="85"/>
  <c r="Q134" i="85"/>
  <c r="P38" i="85"/>
  <c r="Y84" i="85"/>
  <c r="AA84" i="85" s="1"/>
  <c r="Q59" i="85"/>
  <c r="R59" i="85" s="1"/>
  <c r="Q60" i="85"/>
  <c r="R60" i="85" s="1"/>
  <c r="Q79" i="85"/>
  <c r="R79" i="85" s="1"/>
  <c r="Q31" i="85"/>
  <c r="R31" i="85" s="1"/>
  <c r="Z22" i="85"/>
  <c r="AB22" i="85" s="1"/>
  <c r="Q98" i="85"/>
  <c r="R98" i="85" s="1"/>
  <c r="Q85" i="85"/>
  <c r="Y85" i="85" s="1"/>
  <c r="Q61" i="85"/>
  <c r="R61" i="85" s="1"/>
  <c r="Q45" i="85"/>
  <c r="R45" i="85" s="1"/>
  <c r="Y41" i="85"/>
  <c r="Q67" i="85"/>
  <c r="R67" i="85" s="1"/>
  <c r="P44" i="85"/>
  <c r="Q44" i="85"/>
  <c r="R44" i="85" s="1"/>
  <c r="Y127" i="85"/>
  <c r="AA127" i="85" s="1"/>
  <c r="P104" i="85"/>
  <c r="Q104" i="85"/>
  <c r="R104" i="85" s="1"/>
  <c r="Q107" i="85"/>
  <c r="P50" i="85"/>
  <c r="Q50" i="85"/>
  <c r="Q25" i="85"/>
  <c r="Y93" i="85"/>
  <c r="Z30" i="85"/>
  <c r="AB30" i="85" s="1"/>
  <c r="Y13" i="85"/>
  <c r="P102" i="85"/>
  <c r="Q102" i="85"/>
  <c r="P71" i="85"/>
  <c r="Q71" i="85"/>
  <c r="Q16" i="85"/>
  <c r="P16" i="85"/>
  <c r="Y64" i="85"/>
  <c r="Q24" i="85"/>
  <c r="R24" i="85" s="1"/>
  <c r="R37" i="85"/>
  <c r="Q125" i="85"/>
  <c r="P125" i="85"/>
  <c r="Y103" i="85"/>
  <c r="Q69" i="85"/>
  <c r="Y108" i="85"/>
  <c r="Q18" i="85"/>
  <c r="R18" i="85" s="1"/>
  <c r="R132" i="85"/>
  <c r="P119" i="85"/>
  <c r="Q119" i="85"/>
  <c r="P74" i="85"/>
  <c r="Q74" i="85"/>
  <c r="Q39" i="85"/>
  <c r="Y124" i="85"/>
  <c r="Y49" i="85"/>
  <c r="Q118" i="85"/>
  <c r="P118" i="85"/>
  <c r="P58" i="85"/>
  <c r="Q58" i="85"/>
  <c r="Q96" i="85"/>
  <c r="Y99" i="85"/>
  <c r="Y101" i="85"/>
  <c r="Q89" i="85"/>
  <c r="Q81" i="85"/>
  <c r="Q78" i="85"/>
  <c r="Q32" i="85"/>
  <c r="Y87" i="85"/>
  <c r="R87" i="85"/>
  <c r="Y11" i="85"/>
  <c r="Q17" i="85"/>
  <c r="R17" i="85" s="1"/>
  <c r="Q110" i="85"/>
  <c r="P110" i="85"/>
  <c r="P111" i="85"/>
  <c r="Q111" i="85"/>
  <c r="AA66" i="85"/>
  <c r="Y70" i="85"/>
  <c r="AA70" i="85" s="1"/>
  <c r="Q82" i="85"/>
  <c r="R82" i="85" s="1"/>
  <c r="P82" i="85"/>
  <c r="Q88" i="85"/>
  <c r="P88" i="85"/>
  <c r="Q51" i="85"/>
  <c r="P51" i="85"/>
  <c r="Q128" i="85"/>
  <c r="R128" i="85" s="1"/>
  <c r="P83" i="85"/>
  <c r="Q83" i="85"/>
  <c r="R83" i="85" s="1"/>
  <c r="P94" i="85"/>
  <c r="Q94" i="85"/>
  <c r="Q46" i="85"/>
  <c r="Y131" i="85"/>
  <c r="Q77" i="85"/>
  <c r="R77" i="85" s="1"/>
  <c r="Q42" i="85"/>
  <c r="R42" i="85" s="1"/>
  <c r="R21" i="85"/>
  <c r="P116" i="80"/>
  <c r="Q81" i="80"/>
  <c r="R81" i="80" s="1"/>
  <c r="P73" i="80"/>
  <c r="Q93" i="80"/>
  <c r="R93" i="80" s="1"/>
  <c r="Q115" i="80"/>
  <c r="R115" i="80" s="1"/>
  <c r="Q121" i="80"/>
  <c r="R121" i="80" s="1"/>
  <c r="Q53" i="80"/>
  <c r="R53" i="80" s="1"/>
  <c r="Q33" i="80"/>
  <c r="R33" i="80" s="1"/>
  <c r="Q122" i="80"/>
  <c r="Q11" i="80"/>
  <c r="R11" i="80" s="1"/>
  <c r="Q107" i="80"/>
  <c r="Q70" i="80"/>
  <c r="R70" i="80" s="1"/>
  <c r="Q138" i="80"/>
  <c r="R138" i="80" s="1"/>
  <c r="Q111" i="80"/>
  <c r="R111" i="80" s="1"/>
  <c r="P46" i="80"/>
  <c r="Q87" i="80"/>
  <c r="R87" i="80" s="1"/>
  <c r="Q32" i="80"/>
  <c r="R32" i="80" s="1"/>
  <c r="P132" i="80"/>
  <c r="Q87" i="81"/>
  <c r="Q66" i="81"/>
  <c r="P53" i="81"/>
  <c r="Q122" i="81"/>
  <c r="R122" i="81" s="1"/>
  <c r="Q99" i="81"/>
  <c r="W99" i="81" s="1"/>
  <c r="Q111" i="81"/>
  <c r="Q65" i="81"/>
  <c r="W65" i="81" s="1"/>
  <c r="P57" i="81"/>
  <c r="P75" i="81"/>
  <c r="Q123" i="81"/>
  <c r="R123" i="81" s="1"/>
  <c r="W123" i="81" s="1"/>
  <c r="Q56" i="81"/>
  <c r="R56" i="81" s="1"/>
  <c r="W56" i="81" s="1"/>
  <c r="R34" i="80"/>
  <c r="Y34" i="80"/>
  <c r="AA34" i="80" s="1"/>
  <c r="R9" i="80"/>
  <c r="Y9" i="80"/>
  <c r="AA9" i="80" s="1"/>
  <c r="Q23" i="80"/>
  <c r="R23" i="80" s="1"/>
  <c r="Q139" i="80"/>
  <c r="Q128" i="80"/>
  <c r="R128" i="80" s="1"/>
  <c r="Q82" i="80"/>
  <c r="R82" i="80" s="1"/>
  <c r="Y105" i="80"/>
  <c r="AA105" i="80" s="1"/>
  <c r="Q118" i="80"/>
  <c r="R118" i="80" s="1"/>
  <c r="P61" i="80"/>
  <c r="Q110" i="80"/>
  <c r="R110" i="80" s="1"/>
  <c r="Y90" i="80"/>
  <c r="Z90" i="80" s="1"/>
  <c r="AB90" i="80" s="1"/>
  <c r="Q78" i="80"/>
  <c r="R78" i="80" s="1"/>
  <c r="Q54" i="80"/>
  <c r="R54" i="80" s="1"/>
  <c r="Y28" i="80"/>
  <c r="AA28" i="80" s="1"/>
  <c r="Q44" i="80"/>
  <c r="R44" i="80" s="1"/>
  <c r="Q129" i="80"/>
  <c r="Q108" i="80"/>
  <c r="R108" i="80" s="1"/>
  <c r="R30" i="80"/>
  <c r="Y30" i="80"/>
  <c r="AA30" i="80" s="1"/>
  <c r="P131" i="80"/>
  <c r="Q127" i="80"/>
  <c r="R127" i="80" s="1"/>
  <c r="P26" i="80"/>
  <c r="P30" i="80"/>
  <c r="Q20" i="80"/>
  <c r="R20" i="80" s="1"/>
  <c r="Q104" i="80"/>
  <c r="Y74" i="80"/>
  <c r="AA74" i="80" s="1"/>
  <c r="Q35" i="80"/>
  <c r="R35" i="80" s="1"/>
  <c r="Y76" i="80"/>
  <c r="AA76" i="80" s="1"/>
  <c r="Q100" i="80"/>
  <c r="P135" i="80"/>
  <c r="P106" i="80"/>
  <c r="Y106" i="80" s="1"/>
  <c r="Y125" i="80"/>
  <c r="AA125" i="80" s="1"/>
  <c r="Q85" i="80"/>
  <c r="R85" i="80" s="1"/>
  <c r="Q92" i="80"/>
  <c r="P140" i="80"/>
  <c r="Y140" i="80" s="1"/>
  <c r="Q95" i="80"/>
  <c r="R95" i="80" s="1"/>
  <c r="Q75" i="80"/>
  <c r="R75" i="80" s="1"/>
  <c r="Q58" i="80"/>
  <c r="R58" i="80" s="1"/>
  <c r="Y61" i="80"/>
  <c r="AA61" i="80" s="1"/>
  <c r="Q36" i="80"/>
  <c r="R36" i="80" s="1"/>
  <c r="Q19" i="80"/>
  <c r="R19" i="80" s="1"/>
  <c r="Q12" i="80"/>
  <c r="R12" i="80" s="1"/>
  <c r="Q114" i="80"/>
  <c r="Q89" i="80"/>
  <c r="R42" i="80"/>
  <c r="Y42" i="80"/>
  <c r="AA42" i="80" s="1"/>
  <c r="Q86" i="80"/>
  <c r="R86" i="80" s="1"/>
  <c r="Y64" i="80"/>
  <c r="Y66" i="80"/>
  <c r="AA66" i="80" s="1"/>
  <c r="Q15" i="80"/>
  <c r="Q133" i="80"/>
  <c r="Y102" i="80"/>
  <c r="Y65" i="80"/>
  <c r="AA65" i="80" s="1"/>
  <c r="Q117" i="80"/>
  <c r="Q103" i="80"/>
  <c r="Q130" i="80"/>
  <c r="Y131" i="80"/>
  <c r="AA131" i="80" s="1"/>
  <c r="R131" i="80"/>
  <c r="Y135" i="80"/>
  <c r="AA135" i="80" s="1"/>
  <c r="R135" i="80"/>
  <c r="Y119" i="80"/>
  <c r="Y112" i="80"/>
  <c r="AA112" i="80" s="1"/>
  <c r="Q45" i="80"/>
  <c r="Q31" i="80"/>
  <c r="Q113" i="80"/>
  <c r="Q41" i="80"/>
  <c r="Y101" i="80"/>
  <c r="AA101" i="80" s="1"/>
  <c r="Q79" i="80"/>
  <c r="Y8" i="80"/>
  <c r="AA8" i="80" s="1"/>
  <c r="Q25" i="80"/>
  <c r="Q99" i="80"/>
  <c r="Q67" i="80"/>
  <c r="Q27" i="80"/>
  <c r="Y142" i="80"/>
  <c r="AA142" i="80" s="1"/>
  <c r="Y121" i="80"/>
  <c r="AA121" i="80" s="1"/>
  <c r="Y91" i="80"/>
  <c r="AA91" i="80" s="1"/>
  <c r="Y95" i="80"/>
  <c r="AA95" i="80" s="1"/>
  <c r="Y77" i="80"/>
  <c r="AA77" i="80" s="1"/>
  <c r="Y69" i="80"/>
  <c r="AA69" i="80" s="1"/>
  <c r="Z28" i="80"/>
  <c r="AB28" i="80" s="1"/>
  <c r="Y44" i="80"/>
  <c r="AA44" i="80" s="1"/>
  <c r="Y29" i="80"/>
  <c r="Y20" i="80"/>
  <c r="Q49" i="80"/>
  <c r="Q37" i="80"/>
  <c r="Q96" i="80"/>
  <c r="Q51" i="80"/>
  <c r="Q24" i="80"/>
  <c r="Y43" i="80"/>
  <c r="AA43" i="80" s="1"/>
  <c r="Q59" i="80"/>
  <c r="Q71" i="80"/>
  <c r="Q55" i="80"/>
  <c r="Q134" i="80"/>
  <c r="Q48" i="80"/>
  <c r="Q21" i="80"/>
  <c r="Q83" i="81"/>
  <c r="W83" i="81" s="1"/>
  <c r="P58" i="81"/>
  <c r="P32" i="81"/>
  <c r="P8" i="81"/>
  <c r="Q76" i="81"/>
  <c r="Q132" i="81"/>
  <c r="W132" i="81" s="1"/>
  <c r="Q86" i="81"/>
  <c r="Q78" i="81"/>
  <c r="P9" i="81"/>
  <c r="Q140" i="81"/>
  <c r="R140" i="81" s="1"/>
  <c r="W140" i="81" s="1"/>
  <c r="X129" i="81"/>
  <c r="Z129" i="81" s="1"/>
  <c r="Q142" i="81"/>
  <c r="W142" i="81" s="1"/>
  <c r="R129" i="81"/>
  <c r="Q141" i="81"/>
  <c r="R141" i="81" s="1"/>
  <c r="Q105" i="81"/>
  <c r="W105" i="81" s="1"/>
  <c r="Q120" i="81"/>
  <c r="W120" i="81" s="1"/>
  <c r="Q95" i="81"/>
  <c r="W95" i="81" s="1"/>
  <c r="P70" i="81"/>
  <c r="P62" i="81"/>
  <c r="Q55" i="81"/>
  <c r="W55" i="81" s="1"/>
  <c r="P39" i="81"/>
  <c r="P13" i="81"/>
  <c r="Q31" i="81"/>
  <c r="W31" i="81" s="1"/>
  <c r="Y39" i="81"/>
  <c r="P33" i="81"/>
  <c r="P25" i="81"/>
  <c r="P22" i="81"/>
  <c r="P14" i="81"/>
  <c r="Q68" i="81"/>
  <c r="Q43" i="81"/>
  <c r="W43" i="81" s="1"/>
  <c r="X43" i="81" s="1"/>
  <c r="Z43" i="81" s="1"/>
  <c r="Q108" i="81"/>
  <c r="Q134" i="81"/>
  <c r="R134" i="81" s="1"/>
  <c r="W134" i="81" s="1"/>
  <c r="Y134" i="81" s="1"/>
  <c r="Q104" i="81"/>
  <c r="R104" i="81" s="1"/>
  <c r="Q94" i="81"/>
  <c r="W94" i="81" s="1"/>
  <c r="Q79" i="81"/>
  <c r="R79" i="81" s="1"/>
  <c r="Q73" i="81"/>
  <c r="R73" i="81" s="1"/>
  <c r="W73" i="81" s="1"/>
  <c r="Y73" i="81" s="1"/>
  <c r="Q48" i="81"/>
  <c r="R48" i="81" s="1"/>
  <c r="Q115" i="81"/>
  <c r="Q133" i="81"/>
  <c r="Q72" i="81"/>
  <c r="Q47" i="81"/>
  <c r="R43" i="81"/>
  <c r="P17" i="81"/>
  <c r="Q11" i="81"/>
  <c r="Q137" i="81"/>
  <c r="Q103" i="81"/>
  <c r="Q23" i="81"/>
  <c r="Q15" i="81"/>
  <c r="Q112" i="81"/>
  <c r="R112" i="81" s="1"/>
  <c r="Q52" i="81"/>
  <c r="W52" i="81" s="1"/>
  <c r="Q60" i="81"/>
  <c r="Q107" i="81"/>
  <c r="Q19" i="81"/>
  <c r="Q51" i="81"/>
  <c r="R87" i="81"/>
  <c r="W87" i="81"/>
  <c r="R92" i="81"/>
  <c r="W92" i="81"/>
  <c r="P114" i="81"/>
  <c r="Q114" i="81"/>
  <c r="Q131" i="81"/>
  <c r="Q119" i="81"/>
  <c r="W109" i="81"/>
  <c r="R109" i="81"/>
  <c r="R128" i="81"/>
  <c r="W128" i="81"/>
  <c r="W98" i="81"/>
  <c r="R98" i="81"/>
  <c r="W93" i="81"/>
  <c r="R93" i="81"/>
  <c r="P85" i="81"/>
  <c r="Q85" i="81"/>
  <c r="R132" i="81"/>
  <c r="Q116" i="81"/>
  <c r="W80" i="81"/>
  <c r="R80" i="81"/>
  <c r="R65" i="81"/>
  <c r="R57" i="81"/>
  <c r="W57" i="81"/>
  <c r="W48" i="81"/>
  <c r="R40" i="81"/>
  <c r="W40" i="81"/>
  <c r="X82" i="81"/>
  <c r="Z82" i="81" s="1"/>
  <c r="Y82" i="81"/>
  <c r="Q54" i="81"/>
  <c r="P54" i="81"/>
  <c r="P42" i="81"/>
  <c r="Q42" i="81"/>
  <c r="R55" i="81"/>
  <c r="W34" i="81"/>
  <c r="R34" i="81"/>
  <c r="W27" i="81"/>
  <c r="R27" i="81"/>
  <c r="W49" i="81"/>
  <c r="R49" i="81"/>
  <c r="W130" i="81"/>
  <c r="R130" i="81"/>
  <c r="R120" i="81"/>
  <c r="P81" i="81"/>
  <c r="Q81" i="81"/>
  <c r="R124" i="81"/>
  <c r="W124" i="81"/>
  <c r="X67" i="81"/>
  <c r="Z67" i="81" s="1"/>
  <c r="Y67" i="81"/>
  <c r="W59" i="81"/>
  <c r="R59" i="81"/>
  <c r="W44" i="81"/>
  <c r="W70" i="81"/>
  <c r="R70" i="81"/>
  <c r="W62" i="81"/>
  <c r="R62" i="81"/>
  <c r="R17" i="81"/>
  <c r="W17" i="81"/>
  <c r="R9" i="81"/>
  <c r="W9" i="81"/>
  <c r="W36" i="81"/>
  <c r="R36" i="81"/>
  <c r="W30" i="81"/>
  <c r="R30" i="81"/>
  <c r="Q38" i="81"/>
  <c r="Y33" i="81"/>
  <c r="X33" i="81"/>
  <c r="Z33" i="81" s="1"/>
  <c r="R25" i="81"/>
  <c r="W25" i="81"/>
  <c r="W20" i="81"/>
  <c r="R20" i="81"/>
  <c r="W18" i="81"/>
  <c r="R18" i="81"/>
  <c r="W12" i="81"/>
  <c r="R12" i="81"/>
  <c r="W10" i="81"/>
  <c r="R10" i="81"/>
  <c r="W118" i="81"/>
  <c r="R118" i="81"/>
  <c r="R95" i="81"/>
  <c r="W97" i="81"/>
  <c r="R97" i="81"/>
  <c r="P106" i="81"/>
  <c r="Q106" i="81"/>
  <c r="R106" i="81" s="1"/>
  <c r="W106" i="81" s="1"/>
  <c r="Q135" i="81"/>
  <c r="Q127" i="81"/>
  <c r="Y117" i="81"/>
  <c r="X117" i="81"/>
  <c r="Z117" i="81" s="1"/>
  <c r="W101" i="81"/>
  <c r="R101" i="81"/>
  <c r="W111" i="81"/>
  <c r="R111" i="81"/>
  <c r="R96" i="81"/>
  <c r="W96" i="81"/>
  <c r="P77" i="81"/>
  <c r="Q77" i="81"/>
  <c r="W139" i="81"/>
  <c r="R139" i="81"/>
  <c r="W88" i="81"/>
  <c r="R88" i="81"/>
  <c r="R69" i="81"/>
  <c r="W69" i="81"/>
  <c r="Y64" i="81"/>
  <c r="X64" i="81"/>
  <c r="Z64" i="81" s="1"/>
  <c r="R61" i="81"/>
  <c r="W61" i="81"/>
  <c r="Q50" i="81"/>
  <c r="R50" i="81" s="1"/>
  <c r="W50" i="81" s="1"/>
  <c r="P50" i="81"/>
  <c r="R75" i="81"/>
  <c r="W75" i="81"/>
  <c r="W35" i="81"/>
  <c r="R35" i="81"/>
  <c r="W32" i="81"/>
  <c r="R32" i="81"/>
  <c r="W26" i="81"/>
  <c r="R26" i="81"/>
  <c r="W45" i="81"/>
  <c r="R45" i="81"/>
  <c r="P110" i="81"/>
  <c r="Q110" i="81"/>
  <c r="W122" i="81"/>
  <c r="W138" i="81"/>
  <c r="R138" i="81"/>
  <c r="P102" i="81"/>
  <c r="Q102" i="81"/>
  <c r="X134" i="81"/>
  <c r="Z134" i="81" s="1"/>
  <c r="W126" i="81"/>
  <c r="R126" i="81"/>
  <c r="W121" i="81"/>
  <c r="R121" i="81"/>
  <c r="W113" i="81"/>
  <c r="R113" i="81"/>
  <c r="R136" i="81"/>
  <c r="W136" i="81"/>
  <c r="Q91" i="81"/>
  <c r="Y100" i="81"/>
  <c r="X100" i="81"/>
  <c r="Z100" i="81" s="1"/>
  <c r="Q89" i="81"/>
  <c r="P89" i="81"/>
  <c r="R76" i="81"/>
  <c r="W76" i="81"/>
  <c r="Y84" i="81"/>
  <c r="X84" i="81"/>
  <c r="Z84" i="81" s="1"/>
  <c r="W71" i="81"/>
  <c r="R71" i="81"/>
  <c r="W63" i="81"/>
  <c r="R63" i="81"/>
  <c r="W41" i="81"/>
  <c r="R41" i="81"/>
  <c r="Q74" i="81"/>
  <c r="W66" i="81"/>
  <c r="R66" i="81"/>
  <c r="W58" i="81"/>
  <c r="R58" i="81"/>
  <c r="P46" i="81"/>
  <c r="Q46" i="81"/>
  <c r="R21" i="81"/>
  <c r="W21" i="81"/>
  <c r="R13" i="81"/>
  <c r="W13" i="81"/>
  <c r="R53" i="81"/>
  <c r="W53" i="81"/>
  <c r="W28" i="81"/>
  <c r="R28" i="81"/>
  <c r="R37" i="81"/>
  <c r="W37" i="81"/>
  <c r="R29" i="81"/>
  <c r="W29" i="81"/>
  <c r="Y24" i="81"/>
  <c r="X24" i="81"/>
  <c r="Z24" i="81" s="1"/>
  <c r="Y22" i="81"/>
  <c r="X22" i="81"/>
  <c r="Z22" i="81" s="1"/>
  <c r="Y16" i="81"/>
  <c r="X16" i="81"/>
  <c r="Z16" i="81" s="1"/>
  <c r="W14" i="81"/>
  <c r="R14" i="81"/>
  <c r="W8" i="81"/>
  <c r="R8" i="81"/>
  <c r="Z125" i="80"/>
  <c r="AB125" i="80" s="1"/>
  <c r="P56" i="80"/>
  <c r="Q56" i="80"/>
  <c r="Y72" i="80"/>
  <c r="P14" i="80"/>
  <c r="Q14" i="80"/>
  <c r="R14" i="80" s="1"/>
  <c r="Y38" i="80"/>
  <c r="Y16" i="80"/>
  <c r="Z141" i="80"/>
  <c r="AB141" i="80" s="1"/>
  <c r="Y116" i="80"/>
  <c r="Y110" i="80"/>
  <c r="Z121" i="80"/>
  <c r="AB121" i="80" s="1"/>
  <c r="Z91" i="80"/>
  <c r="AB91" i="80" s="1"/>
  <c r="Z101" i="80"/>
  <c r="AB101" i="80" s="1"/>
  <c r="Y88" i="80"/>
  <c r="Y94" i="80"/>
  <c r="Z76" i="80"/>
  <c r="AB76" i="80" s="1"/>
  <c r="Y82" i="80"/>
  <c r="Y81" i="80"/>
  <c r="Y62" i="80"/>
  <c r="Y58" i="80"/>
  <c r="R39" i="80"/>
  <c r="Y39" i="80"/>
  <c r="P18" i="80"/>
  <c r="Q18" i="80"/>
  <c r="R18" i="80" s="1"/>
  <c r="Y57" i="80"/>
  <c r="Y50" i="80"/>
  <c r="Y36" i="80"/>
  <c r="Y53" i="80"/>
  <c r="Q17" i="80"/>
  <c r="Y10" i="80"/>
  <c r="Y23" i="80"/>
  <c r="R123" i="80"/>
  <c r="Y123" i="80"/>
  <c r="Z137" i="80"/>
  <c r="AB137" i="80" s="1"/>
  <c r="Y124" i="80"/>
  <c r="Y120" i="80"/>
  <c r="Y136" i="80"/>
  <c r="Y87" i="80"/>
  <c r="AA87" i="80" s="1"/>
  <c r="P80" i="80"/>
  <c r="Q80" i="80"/>
  <c r="R80" i="80" s="1"/>
  <c r="AA90" i="80"/>
  <c r="Y97" i="80"/>
  <c r="Y68" i="80"/>
  <c r="P60" i="80"/>
  <c r="Q60" i="80"/>
  <c r="R60" i="80" s="1"/>
  <c r="Y63" i="80"/>
  <c r="Y78" i="80"/>
  <c r="Q22" i="80"/>
  <c r="P22" i="80"/>
  <c r="Y54" i="80"/>
  <c r="Y47" i="80"/>
  <c r="Y26" i="80"/>
  <c r="Q52" i="80"/>
  <c r="R52" i="80" s="1"/>
  <c r="Y46" i="80"/>
  <c r="Z40" i="80"/>
  <c r="AB40" i="80" s="1"/>
  <c r="R140" i="80"/>
  <c r="Y132" i="80"/>
  <c r="P84" i="80"/>
  <c r="Q84" i="80"/>
  <c r="R84" i="80" s="1"/>
  <c r="Y109" i="80"/>
  <c r="R106" i="80"/>
  <c r="Y98" i="80"/>
  <c r="Q83" i="80"/>
  <c r="Y73" i="80"/>
  <c r="R73" i="80"/>
  <c r="Z42" i="80"/>
  <c r="AB42" i="80" s="1"/>
  <c r="Q13" i="80"/>
  <c r="Z101" i="91" l="1"/>
  <c r="AB101" i="91" s="1"/>
  <c r="Z92" i="89"/>
  <c r="AB92" i="89" s="1"/>
  <c r="Z13" i="89"/>
  <c r="AB13" i="89" s="1"/>
  <c r="AA79" i="89"/>
  <c r="Z110" i="91"/>
  <c r="AB110" i="91" s="1"/>
  <c r="Z28" i="91"/>
  <c r="AB28" i="91" s="1"/>
  <c r="AA64" i="91"/>
  <c r="AA8" i="91"/>
  <c r="Z87" i="91"/>
  <c r="AB87" i="91" s="1"/>
  <c r="AA73" i="91"/>
  <c r="AA18" i="91"/>
  <c r="Z10" i="91"/>
  <c r="AB10" i="91" s="1"/>
  <c r="Z49" i="91"/>
  <c r="AB49" i="91" s="1"/>
  <c r="AA56" i="91"/>
  <c r="Z26" i="91"/>
  <c r="AB26" i="91" s="1"/>
  <c r="AA92" i="91"/>
  <c r="Z36" i="91"/>
  <c r="AB36" i="91" s="1"/>
  <c r="Z59" i="91"/>
  <c r="AB59" i="91" s="1"/>
  <c r="AA102" i="91"/>
  <c r="AA60" i="91"/>
  <c r="Z23" i="91"/>
  <c r="AB23" i="91" s="1"/>
  <c r="Z16" i="91"/>
  <c r="AB16" i="91" s="1"/>
  <c r="Z68" i="91"/>
  <c r="AB68" i="91" s="1"/>
  <c r="Z13" i="91"/>
  <c r="AB13" i="91" s="1"/>
  <c r="Z98" i="91"/>
  <c r="AB98" i="91" s="1"/>
  <c r="Z108" i="91"/>
  <c r="AB108" i="91" s="1"/>
  <c r="Z38" i="91"/>
  <c r="AB38" i="91" s="1"/>
  <c r="Z75" i="91"/>
  <c r="AB75" i="91" s="1"/>
  <c r="Z44" i="91"/>
  <c r="AB44" i="91" s="1"/>
  <c r="Z25" i="91"/>
  <c r="AB25" i="91" s="1"/>
  <c r="Z79" i="91"/>
  <c r="AB79" i="91" s="1"/>
  <c r="Z88" i="91"/>
  <c r="AB88" i="91" s="1"/>
  <c r="Z99" i="91"/>
  <c r="AB99" i="91" s="1"/>
  <c r="Z106" i="91"/>
  <c r="AB106" i="91" s="1"/>
  <c r="Z91" i="91"/>
  <c r="AB91" i="91" s="1"/>
  <c r="Z95" i="91"/>
  <c r="AB95" i="91" s="1"/>
  <c r="Z63" i="91"/>
  <c r="AB63" i="91" s="1"/>
  <c r="Z100" i="91"/>
  <c r="AB100" i="91" s="1"/>
  <c r="Z61" i="91"/>
  <c r="AB61" i="91" s="1"/>
  <c r="Z46" i="91"/>
  <c r="AB46" i="91" s="1"/>
  <c r="Z78" i="91"/>
  <c r="AB78" i="91" s="1"/>
  <c r="AA76" i="91"/>
  <c r="Z76" i="91"/>
  <c r="AB76" i="91" s="1"/>
  <c r="Z39" i="91"/>
  <c r="AB39" i="91" s="1"/>
  <c r="Z90" i="91"/>
  <c r="AB90" i="91" s="1"/>
  <c r="Z62" i="91"/>
  <c r="AB62" i="91" s="1"/>
  <c r="Z27" i="91"/>
  <c r="AB27" i="91" s="1"/>
  <c r="Z89" i="91"/>
  <c r="AB89" i="91" s="1"/>
  <c r="AA15" i="91"/>
  <c r="Z15" i="91"/>
  <c r="AB15" i="91" s="1"/>
  <c r="Z11" i="91"/>
  <c r="AB11" i="91" s="1"/>
  <c r="Z35" i="91"/>
  <c r="AB35" i="91" s="1"/>
  <c r="Z74" i="91"/>
  <c r="AB74" i="91" s="1"/>
  <c r="AA105" i="91"/>
  <c r="Z105" i="91"/>
  <c r="AB105" i="91" s="1"/>
  <c r="AA12" i="91"/>
  <c r="Z12" i="91"/>
  <c r="AB12" i="91" s="1"/>
  <c r="Z54" i="91"/>
  <c r="AB54" i="91" s="1"/>
  <c r="Z55" i="91"/>
  <c r="AB55" i="91" s="1"/>
  <c r="AA34" i="91"/>
  <c r="Z34" i="91"/>
  <c r="AB34" i="91" s="1"/>
  <c r="AA80" i="91"/>
  <c r="Z80" i="91"/>
  <c r="AB80" i="91" s="1"/>
  <c r="AA53" i="91"/>
  <c r="Z53" i="91"/>
  <c r="AB53" i="91" s="1"/>
  <c r="AA17" i="91"/>
  <c r="AB17" i="91"/>
  <c r="AA67" i="91"/>
  <c r="Z67" i="91"/>
  <c r="AB67" i="91" s="1"/>
  <c r="AA50" i="91"/>
  <c r="Z50" i="91"/>
  <c r="AB50" i="91" s="1"/>
  <c r="AA69" i="91"/>
  <c r="Z69" i="91"/>
  <c r="AB69" i="91" s="1"/>
  <c r="AA24" i="91"/>
  <c r="Z24" i="91"/>
  <c r="AB24" i="91" s="1"/>
  <c r="AA72" i="91"/>
  <c r="Z72" i="91"/>
  <c r="AB72" i="91" s="1"/>
  <c r="AA40" i="91"/>
  <c r="Z40" i="91"/>
  <c r="AB40" i="91" s="1"/>
  <c r="AA57" i="91"/>
  <c r="Z57" i="91"/>
  <c r="AB57" i="91" s="1"/>
  <c r="AA93" i="91"/>
  <c r="Z93" i="91"/>
  <c r="AB93" i="91" s="1"/>
  <c r="AA77" i="91"/>
  <c r="Z77" i="91"/>
  <c r="AB77" i="91" s="1"/>
  <c r="AA9" i="91"/>
  <c r="Z9" i="91"/>
  <c r="AB9" i="91" s="1"/>
  <c r="AA104" i="91"/>
  <c r="Z104" i="91"/>
  <c r="AB104" i="91" s="1"/>
  <c r="AA66" i="91"/>
  <c r="Z66" i="91"/>
  <c r="AB66" i="91" s="1"/>
  <c r="AA41" i="91"/>
  <c r="Z41" i="91"/>
  <c r="AB41" i="91" s="1"/>
  <c r="AA65" i="91"/>
  <c r="Z65" i="91"/>
  <c r="AB65" i="91" s="1"/>
  <c r="AA14" i="91"/>
  <c r="Z14" i="91"/>
  <c r="AB14" i="91" s="1"/>
  <c r="AA33" i="91"/>
  <c r="Z33" i="91"/>
  <c r="AB33" i="91" s="1"/>
  <c r="AA52" i="91"/>
  <c r="Z52" i="91"/>
  <c r="AB52" i="91" s="1"/>
  <c r="AA85" i="91"/>
  <c r="Z85" i="91"/>
  <c r="AB85" i="91" s="1"/>
  <c r="AA48" i="91"/>
  <c r="Z48" i="91"/>
  <c r="AB48" i="91" s="1"/>
  <c r="AA43" i="91"/>
  <c r="Z43" i="91"/>
  <c r="AB43" i="91" s="1"/>
  <c r="AA86" i="91"/>
  <c r="Z86" i="91"/>
  <c r="AB86" i="91" s="1"/>
  <c r="AA37" i="91"/>
  <c r="Z37" i="91"/>
  <c r="AB37" i="91" s="1"/>
  <c r="AA51" i="91"/>
  <c r="Z51" i="91"/>
  <c r="AB51" i="91" s="1"/>
  <c r="Z125" i="87"/>
  <c r="AB125" i="87" s="1"/>
  <c r="Z8" i="87"/>
  <c r="AB8" i="87" s="1"/>
  <c r="Z33" i="89"/>
  <c r="AB33" i="89" s="1"/>
  <c r="Z77" i="89"/>
  <c r="AB77" i="89" s="1"/>
  <c r="Z24" i="89"/>
  <c r="AB24" i="89" s="1"/>
  <c r="Z111" i="89"/>
  <c r="AB111" i="89" s="1"/>
  <c r="Z50" i="89"/>
  <c r="AB50" i="89" s="1"/>
  <c r="Z100" i="89"/>
  <c r="AB100" i="89" s="1"/>
  <c r="Z47" i="89"/>
  <c r="AB47" i="89" s="1"/>
  <c r="Z78" i="89"/>
  <c r="AB78" i="89" s="1"/>
  <c r="Z8" i="89"/>
  <c r="AB8" i="89" s="1"/>
  <c r="Z57" i="89"/>
  <c r="AB57" i="89" s="1"/>
  <c r="Z32" i="89"/>
  <c r="AB32" i="89" s="1"/>
  <c r="Z72" i="89"/>
  <c r="AB72" i="89" s="1"/>
  <c r="AA42" i="89"/>
  <c r="Z45" i="89"/>
  <c r="AB45" i="89" s="1"/>
  <c r="Z16" i="89"/>
  <c r="AB16" i="89" s="1"/>
  <c r="Z113" i="89"/>
  <c r="AB113" i="89" s="1"/>
  <c r="Z83" i="89"/>
  <c r="AB83" i="89" s="1"/>
  <c r="Z103" i="89"/>
  <c r="AB103" i="89" s="1"/>
  <c r="Z98" i="89"/>
  <c r="AB98" i="89" s="1"/>
  <c r="Z90" i="89"/>
  <c r="AB90" i="89" s="1"/>
  <c r="Z106" i="89"/>
  <c r="AB106" i="89" s="1"/>
  <c r="Z91" i="89"/>
  <c r="AB91" i="89" s="1"/>
  <c r="AA56" i="89"/>
  <c r="Z66" i="89"/>
  <c r="AB66" i="89" s="1"/>
  <c r="Z20" i="89"/>
  <c r="AB20" i="89" s="1"/>
  <c r="Z68" i="89"/>
  <c r="AB68" i="89" s="1"/>
  <c r="Z85" i="89"/>
  <c r="AB85" i="89" s="1"/>
  <c r="AA28" i="89"/>
  <c r="AA67" i="89"/>
  <c r="Z43" i="89"/>
  <c r="AB43" i="89" s="1"/>
  <c r="Z27" i="89"/>
  <c r="AB27" i="89" s="1"/>
  <c r="AA22" i="89"/>
  <c r="Z22" i="89"/>
  <c r="AB22" i="89" s="1"/>
  <c r="Z19" i="89"/>
  <c r="AB19" i="89" s="1"/>
  <c r="Z14" i="89"/>
  <c r="AB14" i="89" s="1"/>
  <c r="Z70" i="89"/>
  <c r="AB70" i="89" s="1"/>
  <c r="AA34" i="89"/>
  <c r="Z34" i="89"/>
  <c r="AB34" i="89" s="1"/>
  <c r="Z65" i="89"/>
  <c r="AB65" i="89" s="1"/>
  <c r="AA31" i="89"/>
  <c r="Z31" i="89"/>
  <c r="AB31" i="89" s="1"/>
  <c r="AA25" i="89"/>
  <c r="Z25" i="89"/>
  <c r="AB25" i="89" s="1"/>
  <c r="AA36" i="89"/>
  <c r="Z36" i="89"/>
  <c r="AB36" i="89" s="1"/>
  <c r="Z17" i="89"/>
  <c r="AB17" i="89" s="1"/>
  <c r="Z84" i="89"/>
  <c r="AB84" i="89" s="1"/>
  <c r="Z110" i="89"/>
  <c r="AB110" i="89" s="1"/>
  <c r="AA60" i="89"/>
  <c r="Z21" i="89"/>
  <c r="AB21" i="89" s="1"/>
  <c r="AA11" i="89"/>
  <c r="Z11" i="89"/>
  <c r="AB11" i="89" s="1"/>
  <c r="AA26" i="89"/>
  <c r="Z26" i="89"/>
  <c r="AB26" i="89" s="1"/>
  <c r="AA117" i="89"/>
  <c r="Z117" i="89"/>
  <c r="AB117" i="89" s="1"/>
  <c r="AA105" i="89"/>
  <c r="Z105" i="89"/>
  <c r="AB105" i="89" s="1"/>
  <c r="AA12" i="89"/>
  <c r="Z12" i="89"/>
  <c r="AB12" i="89" s="1"/>
  <c r="AA96" i="89"/>
  <c r="Z96" i="89"/>
  <c r="AB96" i="89" s="1"/>
  <c r="AA76" i="89"/>
  <c r="Z76" i="89"/>
  <c r="AB76" i="89" s="1"/>
  <c r="AA39" i="89"/>
  <c r="Z39" i="89"/>
  <c r="AB39" i="89" s="1"/>
  <c r="AA48" i="89"/>
  <c r="Z48" i="89"/>
  <c r="AB48" i="89" s="1"/>
  <c r="AA93" i="89"/>
  <c r="Z93" i="89"/>
  <c r="AB93" i="89" s="1"/>
  <c r="AA41" i="89"/>
  <c r="Z41" i="89"/>
  <c r="AB41" i="89" s="1"/>
  <c r="AA18" i="89"/>
  <c r="AB18" i="89"/>
  <c r="AA71" i="89"/>
  <c r="Z71" i="89"/>
  <c r="AB71" i="89" s="1"/>
  <c r="AA108" i="89"/>
  <c r="Z108" i="89"/>
  <c r="AB108" i="89" s="1"/>
  <c r="AA35" i="89"/>
  <c r="Z35" i="89"/>
  <c r="AB35" i="89" s="1"/>
  <c r="AA64" i="89"/>
  <c r="Z64" i="89"/>
  <c r="AB64" i="89" s="1"/>
  <c r="AA89" i="89"/>
  <c r="Z89" i="89"/>
  <c r="AB89" i="89" s="1"/>
  <c r="AA49" i="89"/>
  <c r="Z49" i="89"/>
  <c r="AB49" i="89" s="1"/>
  <c r="AA40" i="89"/>
  <c r="Z40" i="89"/>
  <c r="AB40" i="89" s="1"/>
  <c r="AA97" i="89"/>
  <c r="Z97" i="89"/>
  <c r="AB97" i="89" s="1"/>
  <c r="AA102" i="89"/>
  <c r="Z102" i="89"/>
  <c r="AB102" i="89" s="1"/>
  <c r="AA81" i="89"/>
  <c r="Z81" i="89"/>
  <c r="AB81" i="89" s="1"/>
  <c r="AA54" i="89"/>
  <c r="Z54" i="89"/>
  <c r="AB54" i="89" s="1"/>
  <c r="AA80" i="89"/>
  <c r="Z80" i="89"/>
  <c r="AB80" i="89" s="1"/>
  <c r="AA52" i="89"/>
  <c r="Z52" i="89"/>
  <c r="AB52" i="89" s="1"/>
  <c r="AA104" i="89"/>
  <c r="Z104" i="89"/>
  <c r="AB104" i="89" s="1"/>
  <c r="Z83" i="87"/>
  <c r="AB83" i="87" s="1"/>
  <c r="Z36" i="87"/>
  <c r="AB36" i="87" s="1"/>
  <c r="Z115" i="87"/>
  <c r="AB115" i="87" s="1"/>
  <c r="Z73" i="87"/>
  <c r="AB73" i="87" s="1"/>
  <c r="Z55" i="87"/>
  <c r="AB55" i="87" s="1"/>
  <c r="Z85" i="87"/>
  <c r="AB85" i="87" s="1"/>
  <c r="Z63" i="87"/>
  <c r="AB63" i="87" s="1"/>
  <c r="Z130" i="87"/>
  <c r="AB130" i="87" s="1"/>
  <c r="Z29" i="87"/>
  <c r="AB29" i="87" s="1"/>
  <c r="Z21" i="87"/>
  <c r="AB21" i="87" s="1"/>
  <c r="AA11" i="87"/>
  <c r="Z93" i="87"/>
  <c r="AB93" i="87" s="1"/>
  <c r="AA16" i="87"/>
  <c r="AA46" i="87"/>
  <c r="Z30" i="87"/>
  <c r="AB30" i="87" s="1"/>
  <c r="Z129" i="87"/>
  <c r="AB129" i="87" s="1"/>
  <c r="Z51" i="87"/>
  <c r="AB51" i="87" s="1"/>
  <c r="Z53" i="87"/>
  <c r="AB53" i="87" s="1"/>
  <c r="AA23" i="87"/>
  <c r="Z23" i="87"/>
  <c r="AB23" i="87" s="1"/>
  <c r="Z128" i="87"/>
  <c r="AB128" i="87" s="1"/>
  <c r="AA118" i="87"/>
  <c r="AA39" i="87"/>
  <c r="Z39" i="87"/>
  <c r="AB39" i="87" s="1"/>
  <c r="AA87" i="87"/>
  <c r="Z87" i="87"/>
  <c r="AB87" i="87" s="1"/>
  <c r="Z133" i="87"/>
  <c r="AB133" i="87" s="1"/>
  <c r="AA133" i="87"/>
  <c r="AA71" i="87"/>
  <c r="Z71" i="87"/>
  <c r="AB71" i="87" s="1"/>
  <c r="Z131" i="87"/>
  <c r="AB131" i="87" s="1"/>
  <c r="Z96" i="87"/>
  <c r="AB96" i="87" s="1"/>
  <c r="Z100" i="87"/>
  <c r="AB100" i="87" s="1"/>
  <c r="Z48" i="87"/>
  <c r="AB48" i="87" s="1"/>
  <c r="Z88" i="87"/>
  <c r="AB88" i="87" s="1"/>
  <c r="Z81" i="87"/>
  <c r="AB81" i="87" s="1"/>
  <c r="Z72" i="87"/>
  <c r="AB72" i="87" s="1"/>
  <c r="Z70" i="87"/>
  <c r="AB70" i="87" s="1"/>
  <c r="Z44" i="87"/>
  <c r="AB44" i="87" s="1"/>
  <c r="Z24" i="87"/>
  <c r="AB24" i="87" s="1"/>
  <c r="Z35" i="87"/>
  <c r="AB35" i="87" s="1"/>
  <c r="Z41" i="87"/>
  <c r="AB41" i="87" s="1"/>
  <c r="Z32" i="87"/>
  <c r="AB32" i="87" s="1"/>
  <c r="Z132" i="87"/>
  <c r="AB132" i="87" s="1"/>
  <c r="Z104" i="87"/>
  <c r="AB104" i="87" s="1"/>
  <c r="Z13" i="87"/>
  <c r="AB13" i="87" s="1"/>
  <c r="AA33" i="87"/>
  <c r="Z86" i="87"/>
  <c r="AB86" i="87" s="1"/>
  <c r="Z126" i="87"/>
  <c r="AB126" i="87" s="1"/>
  <c r="Z45" i="87"/>
  <c r="AB45" i="87" s="1"/>
  <c r="Z123" i="87"/>
  <c r="AB123" i="87" s="1"/>
  <c r="Z124" i="87"/>
  <c r="AB124" i="87" s="1"/>
  <c r="Z19" i="87"/>
  <c r="AB19" i="87" s="1"/>
  <c r="Z54" i="87"/>
  <c r="AB54" i="87" s="1"/>
  <c r="AA15" i="87"/>
  <c r="Z15" i="87"/>
  <c r="AB15" i="87" s="1"/>
  <c r="Z59" i="87"/>
  <c r="AB59" i="87" s="1"/>
  <c r="AA97" i="87"/>
  <c r="Z97" i="87"/>
  <c r="AB97" i="87" s="1"/>
  <c r="Z65" i="87"/>
  <c r="AB65" i="87" s="1"/>
  <c r="Z89" i="87"/>
  <c r="AB89" i="87" s="1"/>
  <c r="Z119" i="87"/>
  <c r="AB119" i="87" s="1"/>
  <c r="AA103" i="87"/>
  <c r="Z103" i="87"/>
  <c r="AB103" i="87" s="1"/>
  <c r="Z26" i="87"/>
  <c r="AB26" i="87" s="1"/>
  <c r="Z27" i="87"/>
  <c r="AB27" i="87" s="1"/>
  <c r="Z34" i="87"/>
  <c r="AB34" i="87" s="1"/>
  <c r="AA61" i="87"/>
  <c r="Z61" i="87"/>
  <c r="AB61" i="87" s="1"/>
  <c r="AA102" i="87"/>
  <c r="Z102" i="87"/>
  <c r="AB102" i="87" s="1"/>
  <c r="AA14" i="87"/>
  <c r="Z14" i="87"/>
  <c r="AB14" i="87" s="1"/>
  <c r="Z42" i="87"/>
  <c r="AB42" i="87" s="1"/>
  <c r="AA37" i="87"/>
  <c r="Z37" i="87"/>
  <c r="AB37" i="87" s="1"/>
  <c r="AA108" i="87"/>
  <c r="Z108" i="87"/>
  <c r="AB108" i="87" s="1"/>
  <c r="AA10" i="87"/>
  <c r="Z10" i="87"/>
  <c r="AB10" i="87" s="1"/>
  <c r="AA43" i="87"/>
  <c r="Z43" i="87"/>
  <c r="AB43" i="87" s="1"/>
  <c r="AA112" i="87"/>
  <c r="Z112" i="87"/>
  <c r="AB112" i="87" s="1"/>
  <c r="AA76" i="87"/>
  <c r="Z76" i="87"/>
  <c r="AB76" i="87" s="1"/>
  <c r="AA111" i="87"/>
  <c r="Z111" i="87"/>
  <c r="AB111" i="87" s="1"/>
  <c r="Z68" i="87"/>
  <c r="AB68" i="87" s="1"/>
  <c r="AA68" i="87"/>
  <c r="AA52" i="87"/>
  <c r="Z52" i="87"/>
  <c r="AB52" i="87" s="1"/>
  <c r="AA18" i="87"/>
  <c r="Z18" i="87"/>
  <c r="AB18" i="87" s="1"/>
  <c r="AA49" i="87"/>
  <c r="Z49" i="87"/>
  <c r="AB49" i="87" s="1"/>
  <c r="AA77" i="87"/>
  <c r="Z77" i="87"/>
  <c r="AB77" i="87" s="1"/>
  <c r="AA95" i="87"/>
  <c r="Z95" i="87"/>
  <c r="AB95" i="87" s="1"/>
  <c r="Z84" i="87"/>
  <c r="AB84" i="87" s="1"/>
  <c r="AA84" i="87"/>
  <c r="AA90" i="87"/>
  <c r="Z90" i="87"/>
  <c r="AB90" i="87" s="1"/>
  <c r="AA101" i="87"/>
  <c r="Z101" i="87"/>
  <c r="AB101" i="87" s="1"/>
  <c r="AA40" i="87"/>
  <c r="Z40" i="87"/>
  <c r="AB40" i="87" s="1"/>
  <c r="AA110" i="87"/>
  <c r="Z110" i="87"/>
  <c r="AB110" i="87" s="1"/>
  <c r="AA92" i="87"/>
  <c r="Z92" i="87"/>
  <c r="AB92" i="87" s="1"/>
  <c r="AA80" i="87"/>
  <c r="Z80" i="87"/>
  <c r="AB80" i="87" s="1"/>
  <c r="AA50" i="87"/>
  <c r="Z50" i="87"/>
  <c r="AB50" i="87" s="1"/>
  <c r="AA66" i="87"/>
  <c r="Z66" i="87"/>
  <c r="AB66" i="87" s="1"/>
  <c r="AA105" i="87"/>
  <c r="Z105" i="87"/>
  <c r="AB105" i="87" s="1"/>
  <c r="AA121" i="87"/>
  <c r="Z121" i="87"/>
  <c r="AB121" i="87" s="1"/>
  <c r="AA28" i="87"/>
  <c r="Z28" i="87"/>
  <c r="AB28" i="87" s="1"/>
  <c r="AA127" i="87"/>
  <c r="Z127" i="87"/>
  <c r="AB127" i="87" s="1"/>
  <c r="AA98" i="87"/>
  <c r="Z98" i="87"/>
  <c r="AB98" i="87" s="1"/>
  <c r="AA113" i="87"/>
  <c r="Z113" i="87"/>
  <c r="AB113" i="87" s="1"/>
  <c r="AA122" i="87"/>
  <c r="Z122" i="87"/>
  <c r="AB122" i="87" s="1"/>
  <c r="AA57" i="87"/>
  <c r="Z57" i="87"/>
  <c r="AB57" i="87" s="1"/>
  <c r="AA106" i="87"/>
  <c r="Z106" i="87"/>
  <c r="AB106" i="87" s="1"/>
  <c r="AA120" i="87"/>
  <c r="Z120" i="87"/>
  <c r="AB120" i="87" s="1"/>
  <c r="AA116" i="87"/>
  <c r="Z116" i="87"/>
  <c r="AB116" i="87" s="1"/>
  <c r="AA91" i="87"/>
  <c r="Z91" i="87"/>
  <c r="AB91" i="87" s="1"/>
  <c r="Y100" i="85"/>
  <c r="Y126" i="85"/>
  <c r="Z84" i="85"/>
  <c r="AB84" i="85" s="1"/>
  <c r="R83" i="81"/>
  <c r="W104" i="81"/>
  <c r="Y33" i="80"/>
  <c r="Y111" i="80"/>
  <c r="R99" i="81"/>
  <c r="Y90" i="81"/>
  <c r="Z74" i="80"/>
  <c r="AB74" i="80" s="1"/>
  <c r="X73" i="81"/>
  <c r="Z73" i="81" s="1"/>
  <c r="Y14" i="80"/>
  <c r="AA14" i="80" s="1"/>
  <c r="Y115" i="80"/>
  <c r="Y35" i="80"/>
  <c r="Y126" i="80"/>
  <c r="R116" i="85"/>
  <c r="Y14" i="85"/>
  <c r="AA14" i="85" s="1"/>
  <c r="Z36" i="85"/>
  <c r="AB36" i="85" s="1"/>
  <c r="Y80" i="85"/>
  <c r="Y76" i="85"/>
  <c r="AA76" i="85" s="1"/>
  <c r="Y130" i="85"/>
  <c r="AA130" i="85" s="1"/>
  <c r="Y27" i="85"/>
  <c r="AA27" i="85" s="1"/>
  <c r="Y40" i="85"/>
  <c r="Y115" i="85"/>
  <c r="Y8" i="85"/>
  <c r="AA8" i="85" s="1"/>
  <c r="Z23" i="85"/>
  <c r="AB23" i="85" s="1"/>
  <c r="Z95" i="85"/>
  <c r="AB95" i="85" s="1"/>
  <c r="Y113" i="85"/>
  <c r="AA113" i="85" s="1"/>
  <c r="Y68" i="85"/>
  <c r="AA68" i="85" s="1"/>
  <c r="Y92" i="85"/>
  <c r="AA92" i="85" s="1"/>
  <c r="Y122" i="85"/>
  <c r="AA122" i="85" s="1"/>
  <c r="Y26" i="85"/>
  <c r="AA26" i="85" s="1"/>
  <c r="Y75" i="85"/>
  <c r="AA75" i="85" s="1"/>
  <c r="Y72" i="85"/>
  <c r="AA72" i="85" s="1"/>
  <c r="Y33" i="85"/>
  <c r="AA33" i="85" s="1"/>
  <c r="Y120" i="85"/>
  <c r="AA120" i="85" s="1"/>
  <c r="Y62" i="85"/>
  <c r="Z62" i="85" s="1"/>
  <c r="AB62" i="85" s="1"/>
  <c r="Y35" i="85"/>
  <c r="Z35" i="85" s="1"/>
  <c r="AB35" i="85" s="1"/>
  <c r="R53" i="85"/>
  <c r="Y19" i="85"/>
  <c r="Z19" i="85" s="1"/>
  <c r="AB19" i="85" s="1"/>
  <c r="Y28" i="85"/>
  <c r="AA28" i="85" s="1"/>
  <c r="Y47" i="85"/>
  <c r="Z47" i="85" s="1"/>
  <c r="AB47" i="85" s="1"/>
  <c r="Y20" i="85"/>
  <c r="Z20" i="85" s="1"/>
  <c r="AB20" i="85" s="1"/>
  <c r="Y97" i="85"/>
  <c r="Z97" i="85" s="1"/>
  <c r="AB97" i="85" s="1"/>
  <c r="Z65" i="85"/>
  <c r="AB65" i="85" s="1"/>
  <c r="Y112" i="85"/>
  <c r="AA112" i="85" s="1"/>
  <c r="Y48" i="85"/>
  <c r="Y34" i="85"/>
  <c r="AA34" i="85" s="1"/>
  <c r="Y90" i="85"/>
  <c r="AA90" i="85" s="1"/>
  <c r="Z52" i="85"/>
  <c r="AB52" i="85" s="1"/>
  <c r="Y57" i="85"/>
  <c r="AA57" i="85" s="1"/>
  <c r="Y114" i="85"/>
  <c r="AA114" i="85" s="1"/>
  <c r="Y106" i="85"/>
  <c r="AA106" i="85" s="1"/>
  <c r="Y73" i="85"/>
  <c r="Z73" i="85" s="1"/>
  <c r="AB73" i="85" s="1"/>
  <c r="Y60" i="85"/>
  <c r="AA60" i="85" s="1"/>
  <c r="R85" i="85"/>
  <c r="Z8" i="85"/>
  <c r="AB8" i="85" s="1"/>
  <c r="Y91" i="85"/>
  <c r="Z91" i="85" s="1"/>
  <c r="AB91" i="85" s="1"/>
  <c r="Z57" i="85"/>
  <c r="AB57" i="85" s="1"/>
  <c r="Z15" i="85"/>
  <c r="AB15" i="85" s="1"/>
  <c r="Y54" i="85"/>
  <c r="AA54" i="85" s="1"/>
  <c r="Y123" i="85"/>
  <c r="AA123" i="85" s="1"/>
  <c r="Y43" i="85"/>
  <c r="AA43" i="85" s="1"/>
  <c r="Y105" i="85"/>
  <c r="Z105" i="85" s="1"/>
  <c r="AB105" i="85" s="1"/>
  <c r="Y56" i="85"/>
  <c r="AA56" i="85" s="1"/>
  <c r="Y45" i="85"/>
  <c r="Z45" i="85" s="1"/>
  <c r="AB45" i="85" s="1"/>
  <c r="Y121" i="85"/>
  <c r="AA121" i="85" s="1"/>
  <c r="Z38" i="85"/>
  <c r="AB38" i="85" s="1"/>
  <c r="Y86" i="85"/>
  <c r="AA86" i="85" s="1"/>
  <c r="Y109" i="85"/>
  <c r="AA109" i="85" s="1"/>
  <c r="Y55" i="85"/>
  <c r="AA55" i="85" s="1"/>
  <c r="Z28" i="85"/>
  <c r="AB28" i="85" s="1"/>
  <c r="Y12" i="85"/>
  <c r="Z12" i="85" s="1"/>
  <c r="AB12" i="85" s="1"/>
  <c r="Y67" i="85"/>
  <c r="AA67" i="85" s="1"/>
  <c r="Z129" i="85"/>
  <c r="AB129" i="85" s="1"/>
  <c r="Y79" i="85"/>
  <c r="AA79" i="85" s="1"/>
  <c r="Y63" i="85"/>
  <c r="AA63" i="85" s="1"/>
  <c r="AA133" i="85"/>
  <c r="Z133" i="85"/>
  <c r="AB133" i="85" s="1"/>
  <c r="Z29" i="85"/>
  <c r="AB29" i="85" s="1"/>
  <c r="Y24" i="85"/>
  <c r="AA24" i="85" s="1"/>
  <c r="Y59" i="85"/>
  <c r="AA59" i="85" s="1"/>
  <c r="R134" i="85"/>
  <c r="Y134" i="85"/>
  <c r="Y31" i="85"/>
  <c r="AA31" i="85" s="1"/>
  <c r="AA9" i="85"/>
  <c r="Z9" i="85"/>
  <c r="AB9" i="85" s="1"/>
  <c r="Y98" i="85"/>
  <c r="Z98" i="85" s="1"/>
  <c r="AB98" i="85" s="1"/>
  <c r="Y82" i="85"/>
  <c r="AA82" i="85" s="1"/>
  <c r="AA41" i="85"/>
  <c r="Z41" i="85"/>
  <c r="AB41" i="85" s="1"/>
  <c r="Y44" i="85"/>
  <c r="Z70" i="85"/>
  <c r="AB70" i="85" s="1"/>
  <c r="Y77" i="85"/>
  <c r="Y104" i="85"/>
  <c r="Y61" i="85"/>
  <c r="AA61" i="85" s="1"/>
  <c r="Z90" i="85"/>
  <c r="AB90" i="85" s="1"/>
  <c r="Z26" i="85"/>
  <c r="AB26" i="85" s="1"/>
  <c r="AA101" i="85"/>
  <c r="Z101" i="85"/>
  <c r="AB101" i="85" s="1"/>
  <c r="Z53" i="85"/>
  <c r="AB53" i="85" s="1"/>
  <c r="AA53" i="85"/>
  <c r="R111" i="85"/>
  <c r="Y111" i="85"/>
  <c r="AA11" i="85"/>
  <c r="Z11" i="85"/>
  <c r="AB11" i="85" s="1"/>
  <c r="R81" i="85"/>
  <c r="Y81" i="85"/>
  <c r="R119" i="85"/>
  <c r="Y119" i="85"/>
  <c r="AA103" i="85"/>
  <c r="Z103" i="85"/>
  <c r="AB103" i="85" s="1"/>
  <c r="R102" i="85"/>
  <c r="Y102" i="85"/>
  <c r="AA93" i="85"/>
  <c r="Z93" i="85"/>
  <c r="AB93" i="85" s="1"/>
  <c r="R107" i="85"/>
  <c r="Y107" i="85"/>
  <c r="Z127" i="85"/>
  <c r="AB127" i="85" s="1"/>
  <c r="R89" i="85"/>
  <c r="Y89" i="85"/>
  <c r="AA124" i="85"/>
  <c r="Z124" i="85"/>
  <c r="AB124" i="85" s="1"/>
  <c r="AA80" i="85"/>
  <c r="Z80" i="85"/>
  <c r="AB80" i="85" s="1"/>
  <c r="AA115" i="85"/>
  <c r="Z115" i="85"/>
  <c r="AB115" i="85" s="1"/>
  <c r="AA132" i="85"/>
  <c r="Z132" i="85"/>
  <c r="AB132" i="85" s="1"/>
  <c r="AA108" i="85"/>
  <c r="Z108" i="85"/>
  <c r="AB108" i="85" s="1"/>
  <c r="R125" i="85"/>
  <c r="Y125" i="85"/>
  <c r="AA64" i="85"/>
  <c r="Z64" i="85"/>
  <c r="AB64" i="85" s="1"/>
  <c r="AA13" i="85"/>
  <c r="Z13" i="85"/>
  <c r="AB13" i="85" s="1"/>
  <c r="AA47" i="85"/>
  <c r="R39" i="85"/>
  <c r="Y39" i="85"/>
  <c r="Y69" i="85"/>
  <c r="R69" i="85"/>
  <c r="R25" i="85"/>
  <c r="Y25" i="85"/>
  <c r="AA40" i="85"/>
  <c r="Z40" i="85"/>
  <c r="AB40" i="85" s="1"/>
  <c r="AA100" i="85"/>
  <c r="Z100" i="85"/>
  <c r="AB100" i="85" s="1"/>
  <c r="R16" i="85"/>
  <c r="Y16" i="85"/>
  <c r="R51" i="85"/>
  <c r="Y51" i="85"/>
  <c r="Z10" i="85"/>
  <c r="AB10" i="85" s="1"/>
  <c r="R71" i="85"/>
  <c r="Y71" i="85"/>
  <c r="AA126" i="85"/>
  <c r="Z126" i="85"/>
  <c r="AB126" i="85" s="1"/>
  <c r="AA131" i="85"/>
  <c r="Z131" i="85"/>
  <c r="AB131" i="85" s="1"/>
  <c r="R88" i="85"/>
  <c r="Y88" i="85"/>
  <c r="R46" i="85"/>
  <c r="Y46" i="85"/>
  <c r="R110" i="85"/>
  <c r="Y110" i="85"/>
  <c r="R94" i="85"/>
  <c r="Y94" i="85"/>
  <c r="R96" i="85"/>
  <c r="Y96" i="85"/>
  <c r="AA21" i="85"/>
  <c r="AB21" i="85"/>
  <c r="Z85" i="85"/>
  <c r="AB85" i="85" s="1"/>
  <c r="AA85" i="85"/>
  <c r="R118" i="85"/>
  <c r="Y118" i="85"/>
  <c r="AA49" i="85"/>
  <c r="Z49" i="85"/>
  <c r="AB49" i="85" s="1"/>
  <c r="AA87" i="85"/>
  <c r="Z87" i="85"/>
  <c r="AB87" i="85" s="1"/>
  <c r="AA116" i="85"/>
  <c r="Z116" i="85"/>
  <c r="AB116" i="85" s="1"/>
  <c r="AA48" i="85"/>
  <c r="Z48" i="85"/>
  <c r="AB48" i="85" s="1"/>
  <c r="AA99" i="85"/>
  <c r="Z99" i="85"/>
  <c r="AB99" i="85" s="1"/>
  <c r="R32" i="85"/>
  <c r="Y32" i="85"/>
  <c r="R74" i="85"/>
  <c r="Y74" i="85"/>
  <c r="AA37" i="85"/>
  <c r="Z37" i="85"/>
  <c r="AB37" i="85" s="1"/>
  <c r="R50" i="85"/>
  <c r="Y50" i="85"/>
  <c r="Y128" i="85"/>
  <c r="Y42" i="85"/>
  <c r="R78" i="85"/>
  <c r="Y78" i="85"/>
  <c r="R58" i="85"/>
  <c r="Y58" i="85"/>
  <c r="Y18" i="85"/>
  <c r="Y17" i="85"/>
  <c r="Y83" i="85"/>
  <c r="Z95" i="80"/>
  <c r="AB95" i="80" s="1"/>
  <c r="R107" i="80"/>
  <c r="Y107" i="80"/>
  <c r="Z34" i="80"/>
  <c r="AB34" i="80" s="1"/>
  <c r="Z131" i="80"/>
  <c r="AB131" i="80" s="1"/>
  <c r="Z66" i="80"/>
  <c r="AB66" i="80" s="1"/>
  <c r="Y19" i="80"/>
  <c r="Z19" i="80" s="1"/>
  <c r="AB19" i="80" s="1"/>
  <c r="Y85" i="80"/>
  <c r="AA85" i="80" s="1"/>
  <c r="Z69" i="80"/>
  <c r="AB69" i="80" s="1"/>
  <c r="Y70" i="80"/>
  <c r="Z135" i="80"/>
  <c r="AB135" i="80" s="1"/>
  <c r="Y93" i="80"/>
  <c r="Y138" i="80"/>
  <c r="Y11" i="80"/>
  <c r="R122" i="80"/>
  <c r="Y122" i="80"/>
  <c r="Z61" i="80"/>
  <c r="AB61" i="80" s="1"/>
  <c r="Z30" i="80"/>
  <c r="AB30" i="80" s="1"/>
  <c r="Y118" i="80"/>
  <c r="Z118" i="80" s="1"/>
  <c r="AB118" i="80" s="1"/>
  <c r="Y128" i="80"/>
  <c r="Z128" i="80" s="1"/>
  <c r="AB128" i="80" s="1"/>
  <c r="Z9" i="80"/>
  <c r="AB9" i="80" s="1"/>
  <c r="Y86" i="80"/>
  <c r="AA86" i="80" s="1"/>
  <c r="Z112" i="80"/>
  <c r="AB112" i="80" s="1"/>
  <c r="Z142" i="80"/>
  <c r="AB142" i="80" s="1"/>
  <c r="Z8" i="80"/>
  <c r="AB8" i="80" s="1"/>
  <c r="Y32" i="80"/>
  <c r="Z44" i="80"/>
  <c r="AB44" i="80" s="1"/>
  <c r="Y75" i="80"/>
  <c r="AA75" i="80" s="1"/>
  <c r="Z105" i="80"/>
  <c r="AB105" i="80" s="1"/>
  <c r="X56" i="81"/>
  <c r="Z56" i="81" s="1"/>
  <c r="Y56" i="81"/>
  <c r="Y123" i="81"/>
  <c r="X123" i="81"/>
  <c r="Z123" i="81" s="1"/>
  <c r="W112" i="81"/>
  <c r="Y12" i="80"/>
  <c r="Y108" i="80"/>
  <c r="Y129" i="80"/>
  <c r="R129" i="80"/>
  <c r="Y139" i="80"/>
  <c r="R139" i="80"/>
  <c r="R89" i="80"/>
  <c r="Y89" i="80"/>
  <c r="R114" i="80"/>
  <c r="Y114" i="80"/>
  <c r="R92" i="80"/>
  <c r="Y92" i="80"/>
  <c r="R100" i="80"/>
  <c r="Y100" i="80"/>
  <c r="R104" i="80"/>
  <c r="Y104" i="80"/>
  <c r="Y127" i="80"/>
  <c r="R103" i="80"/>
  <c r="Y103" i="80"/>
  <c r="R133" i="80"/>
  <c r="Y133" i="80"/>
  <c r="R117" i="80"/>
  <c r="Y117" i="80"/>
  <c r="R15" i="80"/>
  <c r="Y15" i="80"/>
  <c r="Z14" i="80"/>
  <c r="AB14" i="80" s="1"/>
  <c r="Z77" i="80"/>
  <c r="AB77" i="80" s="1"/>
  <c r="Z43" i="80"/>
  <c r="AB43" i="80" s="1"/>
  <c r="Z65" i="80"/>
  <c r="AB65" i="80" s="1"/>
  <c r="Y130" i="80"/>
  <c r="R130" i="80"/>
  <c r="AA102" i="80"/>
  <c r="Z102" i="80"/>
  <c r="AB102" i="80" s="1"/>
  <c r="AA64" i="80"/>
  <c r="Z64" i="80"/>
  <c r="AB64" i="80" s="1"/>
  <c r="R55" i="80"/>
  <c r="Y55" i="80"/>
  <c r="R24" i="80"/>
  <c r="Y24" i="80"/>
  <c r="R49" i="80"/>
  <c r="Y49" i="80"/>
  <c r="R27" i="80"/>
  <c r="Y27" i="80"/>
  <c r="R113" i="80"/>
  <c r="Y113" i="80"/>
  <c r="R21" i="80"/>
  <c r="Y21" i="80"/>
  <c r="R71" i="80"/>
  <c r="Y71" i="80"/>
  <c r="R51" i="80"/>
  <c r="Y51" i="80"/>
  <c r="AA20" i="80"/>
  <c r="Z20" i="80"/>
  <c r="AB20" i="80" s="1"/>
  <c r="R67" i="80"/>
  <c r="Y67" i="80"/>
  <c r="R79" i="80"/>
  <c r="Y79" i="80"/>
  <c r="R31" i="80"/>
  <c r="Y31" i="80"/>
  <c r="R48" i="80"/>
  <c r="Y48" i="80"/>
  <c r="R59" i="80"/>
  <c r="Y59" i="80"/>
  <c r="R96" i="80"/>
  <c r="Y96" i="80"/>
  <c r="AA29" i="80"/>
  <c r="Z29" i="80"/>
  <c r="AB29" i="80" s="1"/>
  <c r="R99" i="80"/>
  <c r="Y99" i="80"/>
  <c r="R45" i="80"/>
  <c r="Y45" i="80"/>
  <c r="Y134" i="80"/>
  <c r="R134" i="80"/>
  <c r="R37" i="80"/>
  <c r="Y37" i="80"/>
  <c r="R25" i="80"/>
  <c r="Y25" i="80"/>
  <c r="R41" i="80"/>
  <c r="Y41" i="80"/>
  <c r="AA119" i="80"/>
  <c r="Z119" i="80"/>
  <c r="AB119" i="80" s="1"/>
  <c r="W78" i="81"/>
  <c r="R78" i="81"/>
  <c r="W86" i="81"/>
  <c r="R86" i="81"/>
  <c r="W79" i="81"/>
  <c r="X79" i="81" s="1"/>
  <c r="Z79" i="81" s="1"/>
  <c r="R94" i="81"/>
  <c r="R142" i="81"/>
  <c r="R105" i="81"/>
  <c r="Y140" i="81"/>
  <c r="X140" i="81"/>
  <c r="Z140" i="81" s="1"/>
  <c r="R31" i="81"/>
  <c r="Y43" i="81"/>
  <c r="R52" i="81"/>
  <c r="W141" i="81"/>
  <c r="X141" i="81" s="1"/>
  <c r="Z141" i="81" s="1"/>
  <c r="W115" i="81"/>
  <c r="R115" i="81"/>
  <c r="W68" i="81"/>
  <c r="R68" i="81"/>
  <c r="W133" i="81"/>
  <c r="R133" i="81"/>
  <c r="W108" i="81"/>
  <c r="R108" i="81"/>
  <c r="R47" i="81"/>
  <c r="W47" i="81"/>
  <c r="W72" i="81"/>
  <c r="R72" i="81"/>
  <c r="W11" i="81"/>
  <c r="R11" i="81"/>
  <c r="W107" i="81"/>
  <c r="R107" i="81"/>
  <c r="W15" i="81"/>
  <c r="R15" i="81"/>
  <c r="W60" i="81"/>
  <c r="R60" i="81"/>
  <c r="W23" i="81"/>
  <c r="R23" i="81"/>
  <c r="W51" i="81"/>
  <c r="R51" i="81"/>
  <c r="R103" i="81"/>
  <c r="W103" i="81"/>
  <c r="W19" i="81"/>
  <c r="R19" i="81"/>
  <c r="W137" i="81"/>
  <c r="R137" i="81"/>
  <c r="X31" i="81"/>
  <c r="Z31" i="81" s="1"/>
  <c r="Y31" i="81"/>
  <c r="Y8" i="81"/>
  <c r="X8" i="81"/>
  <c r="Z8" i="81" s="1"/>
  <c r="Y14" i="81"/>
  <c r="X14" i="81"/>
  <c r="Z14" i="81" s="1"/>
  <c r="Y58" i="81"/>
  <c r="X58" i="81"/>
  <c r="Z58" i="81" s="1"/>
  <c r="Y79" i="81"/>
  <c r="Y113" i="81"/>
  <c r="X113" i="81"/>
  <c r="Z113" i="81" s="1"/>
  <c r="Y32" i="81"/>
  <c r="X32" i="81"/>
  <c r="Z32" i="81" s="1"/>
  <c r="W135" i="81"/>
  <c r="R135" i="81"/>
  <c r="Y95" i="81"/>
  <c r="X95" i="81"/>
  <c r="Z95" i="81" s="1"/>
  <c r="Y20" i="81"/>
  <c r="X20" i="81"/>
  <c r="Z20" i="81" s="1"/>
  <c r="Y57" i="81"/>
  <c r="X57" i="81"/>
  <c r="Z57" i="81" s="1"/>
  <c r="Y21" i="81"/>
  <c r="X21" i="81"/>
  <c r="Z21" i="81" s="1"/>
  <c r="X63" i="81"/>
  <c r="Z63" i="81" s="1"/>
  <c r="Y63" i="81"/>
  <c r="Y136" i="81"/>
  <c r="X136" i="81"/>
  <c r="Z136" i="81" s="1"/>
  <c r="Y83" i="81"/>
  <c r="X83" i="81"/>
  <c r="Z83" i="81" s="1"/>
  <c r="X106" i="81"/>
  <c r="Z106" i="81" s="1"/>
  <c r="Y106" i="81"/>
  <c r="Y52" i="81"/>
  <c r="X52" i="81"/>
  <c r="Z52" i="81" s="1"/>
  <c r="X130" i="81"/>
  <c r="Z130" i="81" s="1"/>
  <c r="Y130" i="81"/>
  <c r="X55" i="81"/>
  <c r="Z55" i="81" s="1"/>
  <c r="Y55" i="81"/>
  <c r="W85" i="81"/>
  <c r="R85" i="81"/>
  <c r="Y28" i="81"/>
  <c r="X28" i="81"/>
  <c r="Z28" i="81" s="1"/>
  <c r="Y66" i="81"/>
  <c r="X66" i="81"/>
  <c r="Z66" i="81" s="1"/>
  <c r="Y76" i="81"/>
  <c r="X76" i="81"/>
  <c r="Z76" i="81" s="1"/>
  <c r="W91" i="81"/>
  <c r="R91" i="81"/>
  <c r="Y121" i="81"/>
  <c r="X121" i="81"/>
  <c r="Z121" i="81" s="1"/>
  <c r="Y138" i="81"/>
  <c r="X138" i="81"/>
  <c r="Z138" i="81" s="1"/>
  <c r="Y26" i="81"/>
  <c r="X26" i="81"/>
  <c r="Z26" i="81" s="1"/>
  <c r="X35" i="81"/>
  <c r="Z35" i="81" s="1"/>
  <c r="Y35" i="81"/>
  <c r="Y50" i="81"/>
  <c r="X50" i="81"/>
  <c r="Z50" i="81" s="1"/>
  <c r="X139" i="81"/>
  <c r="Z139" i="81" s="1"/>
  <c r="Y139" i="81"/>
  <c r="Y97" i="81"/>
  <c r="X97" i="81"/>
  <c r="Z97" i="81" s="1"/>
  <c r="X118" i="81"/>
  <c r="Z118" i="81" s="1"/>
  <c r="Y118" i="81"/>
  <c r="Y12" i="81"/>
  <c r="X12" i="81"/>
  <c r="Z12" i="81" s="1"/>
  <c r="Y18" i="81"/>
  <c r="X18" i="81"/>
  <c r="Z18" i="81" s="1"/>
  <c r="Y17" i="81"/>
  <c r="X17" i="81"/>
  <c r="Z17" i="81" s="1"/>
  <c r="Y44" i="81"/>
  <c r="X44" i="81"/>
  <c r="Z44" i="81" s="1"/>
  <c r="W81" i="81"/>
  <c r="R81" i="81"/>
  <c r="Y120" i="81"/>
  <c r="X120" i="81"/>
  <c r="Z120" i="81" s="1"/>
  <c r="W42" i="81"/>
  <c r="R42" i="81"/>
  <c r="Y48" i="81"/>
  <c r="X48" i="81"/>
  <c r="Z48" i="81" s="1"/>
  <c r="R116" i="81"/>
  <c r="W116" i="81"/>
  <c r="Y109" i="81"/>
  <c r="X109" i="81"/>
  <c r="Z109" i="81" s="1"/>
  <c r="Y142" i="81"/>
  <c r="X142" i="81"/>
  <c r="Z142" i="81" s="1"/>
  <c r="Y105" i="81"/>
  <c r="X105" i="81"/>
  <c r="Z105" i="81" s="1"/>
  <c r="Y99" i="81"/>
  <c r="X99" i="81"/>
  <c r="Z99" i="81" s="1"/>
  <c r="X126" i="81"/>
  <c r="Z126" i="81" s="1"/>
  <c r="Y126" i="81"/>
  <c r="X122" i="81"/>
  <c r="Z122" i="81" s="1"/>
  <c r="Y122" i="81"/>
  <c r="Y88" i="81"/>
  <c r="X88" i="81"/>
  <c r="Z88" i="81" s="1"/>
  <c r="Y111" i="81"/>
  <c r="X111" i="81"/>
  <c r="Z111" i="81" s="1"/>
  <c r="Y101" i="81"/>
  <c r="X101" i="81"/>
  <c r="Z101" i="81" s="1"/>
  <c r="Y10" i="81"/>
  <c r="X10" i="81"/>
  <c r="Z10" i="81" s="1"/>
  <c r="Y65" i="81"/>
  <c r="X65" i="81"/>
  <c r="Z65" i="81" s="1"/>
  <c r="Y29" i="81"/>
  <c r="X29" i="81"/>
  <c r="Z29" i="81" s="1"/>
  <c r="Y53" i="81"/>
  <c r="X53" i="81"/>
  <c r="Z53" i="81" s="1"/>
  <c r="W46" i="81"/>
  <c r="R46" i="81"/>
  <c r="Y41" i="81"/>
  <c r="X41" i="81"/>
  <c r="Z41" i="81" s="1"/>
  <c r="W89" i="81"/>
  <c r="R89" i="81"/>
  <c r="W110" i="81"/>
  <c r="R110" i="81"/>
  <c r="Y96" i="81"/>
  <c r="X96" i="81"/>
  <c r="Z96" i="81" s="1"/>
  <c r="Y104" i="81"/>
  <c r="X104" i="81"/>
  <c r="Z104" i="81" s="1"/>
  <c r="Y30" i="81"/>
  <c r="X30" i="81"/>
  <c r="Z30" i="81" s="1"/>
  <c r="Y70" i="81"/>
  <c r="X70" i="81"/>
  <c r="Z70" i="81" s="1"/>
  <c r="X27" i="81"/>
  <c r="Z27" i="81" s="1"/>
  <c r="Y27" i="81"/>
  <c r="W54" i="81"/>
  <c r="R54" i="81"/>
  <c r="Y80" i="81"/>
  <c r="X80" i="81"/>
  <c r="Z80" i="81" s="1"/>
  <c r="Y92" i="81"/>
  <c r="X92" i="81"/>
  <c r="Z92" i="81" s="1"/>
  <c r="X37" i="81"/>
  <c r="Z37" i="81" s="1"/>
  <c r="Y37" i="81"/>
  <c r="Y13" i="81"/>
  <c r="X13" i="81"/>
  <c r="Z13" i="81" s="1"/>
  <c r="W74" i="81"/>
  <c r="R74" i="81"/>
  <c r="X71" i="81"/>
  <c r="Z71" i="81" s="1"/>
  <c r="Y71" i="81"/>
  <c r="W102" i="81"/>
  <c r="R102" i="81"/>
  <c r="Y75" i="81"/>
  <c r="X75" i="81"/>
  <c r="Z75" i="81" s="1"/>
  <c r="Y61" i="81"/>
  <c r="X61" i="81"/>
  <c r="Z61" i="81" s="1"/>
  <c r="Y69" i="81"/>
  <c r="X69" i="81"/>
  <c r="Z69" i="81" s="1"/>
  <c r="W77" i="81"/>
  <c r="R77" i="81"/>
  <c r="W127" i="81"/>
  <c r="R127" i="81"/>
  <c r="Y112" i="81"/>
  <c r="X112" i="81"/>
  <c r="Z112" i="81" s="1"/>
  <c r="Y25" i="81"/>
  <c r="X25" i="81"/>
  <c r="Z25" i="81" s="1"/>
  <c r="W38" i="81"/>
  <c r="R38" i="81"/>
  <c r="Y36" i="81"/>
  <c r="X36" i="81"/>
  <c r="Z36" i="81" s="1"/>
  <c r="Y62" i="81"/>
  <c r="X62" i="81"/>
  <c r="Z62" i="81" s="1"/>
  <c r="X59" i="81"/>
  <c r="Z59" i="81" s="1"/>
  <c r="Y59" i="81"/>
  <c r="Y49" i="81"/>
  <c r="X49" i="81"/>
  <c r="Z49" i="81" s="1"/>
  <c r="Y34" i="81"/>
  <c r="X34" i="81"/>
  <c r="Z34" i="81" s="1"/>
  <c r="Y132" i="81"/>
  <c r="X132" i="81"/>
  <c r="Z132" i="81" s="1"/>
  <c r="Y128" i="81"/>
  <c r="X128" i="81"/>
  <c r="Z128" i="81" s="1"/>
  <c r="W119" i="81"/>
  <c r="R119" i="81"/>
  <c r="W114" i="81"/>
  <c r="R114" i="81"/>
  <c r="Y87" i="81"/>
  <c r="X87" i="81"/>
  <c r="Z87" i="81" s="1"/>
  <c r="Y141" i="81"/>
  <c r="Y45" i="81"/>
  <c r="X45" i="81"/>
  <c r="Z45" i="81" s="1"/>
  <c r="X94" i="81"/>
  <c r="Z94" i="81" s="1"/>
  <c r="Y94" i="81"/>
  <c r="Y9" i="81"/>
  <c r="X9" i="81"/>
  <c r="Z9" i="81" s="1"/>
  <c r="Y124" i="81"/>
  <c r="X124" i="81"/>
  <c r="Z124" i="81" s="1"/>
  <c r="Y40" i="81"/>
  <c r="X40" i="81"/>
  <c r="Z40" i="81" s="1"/>
  <c r="Y93" i="81"/>
  <c r="X93" i="81"/>
  <c r="Z93" i="81" s="1"/>
  <c r="X98" i="81"/>
  <c r="Z98" i="81" s="1"/>
  <c r="Y98" i="81"/>
  <c r="W131" i="81"/>
  <c r="R131" i="81"/>
  <c r="AA98" i="80"/>
  <c r="Z98" i="80"/>
  <c r="AB98" i="80" s="1"/>
  <c r="AA132" i="80"/>
  <c r="Z132" i="80"/>
  <c r="AB132" i="80" s="1"/>
  <c r="AA26" i="80"/>
  <c r="Z26" i="80"/>
  <c r="AB26" i="80" s="1"/>
  <c r="Y22" i="80"/>
  <c r="R22" i="80"/>
  <c r="Y52" i="80"/>
  <c r="AA68" i="80"/>
  <c r="Z68" i="80"/>
  <c r="AB68" i="80" s="1"/>
  <c r="Y84" i="80"/>
  <c r="AA120" i="80"/>
  <c r="Z120" i="80"/>
  <c r="AB120" i="80" s="1"/>
  <c r="AA124" i="80"/>
  <c r="Z124" i="80"/>
  <c r="AB124" i="80" s="1"/>
  <c r="AA118" i="80"/>
  <c r="R17" i="80"/>
  <c r="Y17" i="80"/>
  <c r="AA53" i="80"/>
  <c r="Z53" i="80"/>
  <c r="AB53" i="80" s="1"/>
  <c r="AA57" i="80"/>
  <c r="Z57" i="80"/>
  <c r="AB57" i="80" s="1"/>
  <c r="AA33" i="80"/>
  <c r="Z33" i="80"/>
  <c r="AB33" i="80" s="1"/>
  <c r="AA62" i="80"/>
  <c r="Z62" i="80"/>
  <c r="AB62" i="80" s="1"/>
  <c r="AA70" i="80"/>
  <c r="Z70" i="80"/>
  <c r="AB70" i="80" s="1"/>
  <c r="AA88" i="80"/>
  <c r="Z88" i="80"/>
  <c r="AB88" i="80" s="1"/>
  <c r="AA38" i="80"/>
  <c r="Z38" i="80"/>
  <c r="AB38" i="80" s="1"/>
  <c r="Y56" i="80"/>
  <c r="R56" i="80"/>
  <c r="R13" i="80"/>
  <c r="Y13" i="80"/>
  <c r="AA73" i="80"/>
  <c r="Z73" i="80"/>
  <c r="AB73" i="80" s="1"/>
  <c r="AA47" i="80"/>
  <c r="Z47" i="80"/>
  <c r="AB47" i="80" s="1"/>
  <c r="AA23" i="80"/>
  <c r="Z23" i="80"/>
  <c r="AB23" i="80" s="1"/>
  <c r="AA36" i="80"/>
  <c r="Z36" i="80"/>
  <c r="AB36" i="80" s="1"/>
  <c r="Z39" i="80"/>
  <c r="AB39" i="80" s="1"/>
  <c r="AA39" i="80"/>
  <c r="AA82" i="80"/>
  <c r="Z82" i="80"/>
  <c r="AB82" i="80" s="1"/>
  <c r="Y18" i="80"/>
  <c r="R83" i="80"/>
  <c r="Y83" i="80"/>
  <c r="AA106" i="80"/>
  <c r="Z106" i="80"/>
  <c r="AB106" i="80" s="1"/>
  <c r="AA140" i="80"/>
  <c r="Z140" i="80"/>
  <c r="AB140" i="80" s="1"/>
  <c r="AA46" i="80"/>
  <c r="Z46" i="80"/>
  <c r="AB46" i="80" s="1"/>
  <c r="AA54" i="80"/>
  <c r="Z54" i="80"/>
  <c r="AB54" i="80" s="1"/>
  <c r="AA78" i="80"/>
  <c r="Z78" i="80"/>
  <c r="AB78" i="80" s="1"/>
  <c r="AA97" i="80"/>
  <c r="Z97" i="80"/>
  <c r="AB97" i="80" s="1"/>
  <c r="Z87" i="80"/>
  <c r="AB87" i="80" s="1"/>
  <c r="AA123" i="80"/>
  <c r="Z123" i="80"/>
  <c r="AB123" i="80" s="1"/>
  <c r="AA10" i="80"/>
  <c r="Z10" i="80"/>
  <c r="AB10" i="80" s="1"/>
  <c r="AA32" i="80"/>
  <c r="Z32" i="80"/>
  <c r="AB32" i="80" s="1"/>
  <c r="Y60" i="80"/>
  <c r="AA94" i="80"/>
  <c r="Z94" i="80"/>
  <c r="AB94" i="80" s="1"/>
  <c r="AA110" i="80"/>
  <c r="Z110" i="80"/>
  <c r="AB110" i="80" s="1"/>
  <c r="AA111" i="80"/>
  <c r="Z111" i="80"/>
  <c r="AB111" i="80" s="1"/>
  <c r="AA109" i="80"/>
  <c r="Z109" i="80"/>
  <c r="AB109" i="80" s="1"/>
  <c r="AA63" i="80"/>
  <c r="Z63" i="80"/>
  <c r="AB63" i="80" s="1"/>
  <c r="AA136" i="80"/>
  <c r="Z136" i="80"/>
  <c r="AB136" i="80" s="1"/>
  <c r="AA115" i="80"/>
  <c r="Z115" i="80"/>
  <c r="AB115" i="80" s="1"/>
  <c r="AA35" i="80"/>
  <c r="Z35" i="80"/>
  <c r="AB35" i="80" s="1"/>
  <c r="AA50" i="80"/>
  <c r="Z50" i="80"/>
  <c r="AB50" i="80" s="1"/>
  <c r="AA58" i="80"/>
  <c r="Z58" i="80"/>
  <c r="AB58" i="80" s="1"/>
  <c r="AA81" i="80"/>
  <c r="Z81" i="80"/>
  <c r="AB81" i="80" s="1"/>
  <c r="Y80" i="80"/>
  <c r="AA116" i="80"/>
  <c r="Z116" i="80"/>
  <c r="AB116" i="80" s="1"/>
  <c r="AA16" i="80"/>
  <c r="Z16" i="80"/>
  <c r="AB16" i="80" s="1"/>
  <c r="AA72" i="80"/>
  <c r="Z72" i="80"/>
  <c r="AB72" i="80" s="1"/>
  <c r="AA126" i="80"/>
  <c r="Z126" i="80"/>
  <c r="AB126" i="80" s="1"/>
  <c r="Z75" i="85" l="1"/>
  <c r="AB75" i="85" s="1"/>
  <c r="AA73" i="85"/>
  <c r="AA19" i="80"/>
  <c r="Z130" i="85"/>
  <c r="AB130" i="85" s="1"/>
  <c r="Z27" i="85"/>
  <c r="AB27" i="85" s="1"/>
  <c r="Z122" i="85"/>
  <c r="AB122" i="85" s="1"/>
  <c r="Z14" i="85"/>
  <c r="AB14" i="85" s="1"/>
  <c r="Z76" i="85"/>
  <c r="AB76" i="85" s="1"/>
  <c r="AA19" i="85"/>
  <c r="Z113" i="85"/>
  <c r="AB113" i="85" s="1"/>
  <c r="AA91" i="85"/>
  <c r="AA97" i="85"/>
  <c r="Z72" i="85"/>
  <c r="AB72" i="85" s="1"/>
  <c r="AA35" i="85"/>
  <c r="AA20" i="85"/>
  <c r="AA62" i="85"/>
  <c r="Z112" i="85"/>
  <c r="AB112" i="85" s="1"/>
  <c r="Z92" i="85"/>
  <c r="AB92" i="85" s="1"/>
  <c r="Z86" i="85"/>
  <c r="AB86" i="85" s="1"/>
  <c r="Z33" i="85"/>
  <c r="AB33" i="85" s="1"/>
  <c r="Z24" i="85"/>
  <c r="AB24" i="85" s="1"/>
  <c r="AA45" i="85"/>
  <c r="Z60" i="85"/>
  <c r="AB60" i="85" s="1"/>
  <c r="Z68" i="85"/>
  <c r="AB68" i="85" s="1"/>
  <c r="Z120" i="85"/>
  <c r="AB120" i="85" s="1"/>
  <c r="AA105" i="85"/>
  <c r="Z123" i="85"/>
  <c r="AB123" i="85" s="1"/>
  <c r="Z109" i="85"/>
  <c r="AB109" i="85" s="1"/>
  <c r="Z106" i="85"/>
  <c r="AB106" i="85" s="1"/>
  <c r="Z34" i="85"/>
  <c r="AB34" i="85" s="1"/>
  <c r="Z121" i="85"/>
  <c r="AB121" i="85" s="1"/>
  <c r="AA98" i="85"/>
  <c r="Z114" i="85"/>
  <c r="AB114" i="85" s="1"/>
  <c r="Z56" i="85"/>
  <c r="AB56" i="85" s="1"/>
  <c r="Z31" i="85"/>
  <c r="AB31" i="85" s="1"/>
  <c r="AA12" i="85"/>
  <c r="Z43" i="85"/>
  <c r="AB43" i="85" s="1"/>
  <c r="Z79" i="85"/>
  <c r="AB79" i="85" s="1"/>
  <c r="Z55" i="85"/>
  <c r="AB55" i="85" s="1"/>
  <c r="Z54" i="85"/>
  <c r="AB54" i="85" s="1"/>
  <c r="Z67" i="85"/>
  <c r="AB67" i="85" s="1"/>
  <c r="Z63" i="85"/>
  <c r="AB63" i="85" s="1"/>
  <c r="Z59" i="85"/>
  <c r="AB59" i="85" s="1"/>
  <c r="Z61" i="85"/>
  <c r="AB61" i="85" s="1"/>
  <c r="AA134" i="85"/>
  <c r="Z134" i="85"/>
  <c r="AB134" i="85" s="1"/>
  <c r="AA104" i="85"/>
  <c r="Z104" i="85"/>
  <c r="AB104" i="85" s="1"/>
  <c r="Z82" i="85"/>
  <c r="AB82" i="85" s="1"/>
  <c r="AA77" i="85"/>
  <c r="Z77" i="85"/>
  <c r="AB77" i="85" s="1"/>
  <c r="AA44" i="85"/>
  <c r="Z44" i="85"/>
  <c r="AB44" i="85" s="1"/>
  <c r="AA50" i="85"/>
  <c r="Z50" i="85"/>
  <c r="AB50" i="85" s="1"/>
  <c r="AA128" i="85"/>
  <c r="Z128" i="85"/>
  <c r="AB128" i="85" s="1"/>
  <c r="AA16" i="85"/>
  <c r="Z16" i="85"/>
  <c r="AB16" i="85" s="1"/>
  <c r="AA107" i="85"/>
  <c r="Z107" i="85"/>
  <c r="AB107" i="85" s="1"/>
  <c r="AA81" i="85"/>
  <c r="Z81" i="85"/>
  <c r="AB81" i="85" s="1"/>
  <c r="AA89" i="85"/>
  <c r="Z89" i="85"/>
  <c r="AB89" i="85" s="1"/>
  <c r="AA18" i="85"/>
  <c r="Z18" i="85"/>
  <c r="AB18" i="85" s="1"/>
  <c r="AA39" i="85"/>
  <c r="Z39" i="85"/>
  <c r="AB39" i="85" s="1"/>
  <c r="AA58" i="85"/>
  <c r="Z58" i="85"/>
  <c r="AB58" i="85" s="1"/>
  <c r="AA78" i="85"/>
  <c r="Z78" i="85"/>
  <c r="AB78" i="85" s="1"/>
  <c r="AA118" i="85"/>
  <c r="Z118" i="85"/>
  <c r="AB118" i="85" s="1"/>
  <c r="AA96" i="85"/>
  <c r="Z96" i="85"/>
  <c r="AB96" i="85" s="1"/>
  <c r="AA125" i="85"/>
  <c r="Z125" i="85"/>
  <c r="AB125" i="85" s="1"/>
  <c r="AA74" i="85"/>
  <c r="Z74" i="85"/>
  <c r="AB74" i="85" s="1"/>
  <c r="AA17" i="85"/>
  <c r="Z17" i="85"/>
  <c r="AB17" i="85" s="1"/>
  <c r="AA71" i="85"/>
  <c r="Z71" i="85"/>
  <c r="AB71" i="85" s="1"/>
  <c r="AA51" i="85"/>
  <c r="Z51" i="85"/>
  <c r="AB51" i="85" s="1"/>
  <c r="AA102" i="85"/>
  <c r="Z102" i="85"/>
  <c r="AB102" i="85" s="1"/>
  <c r="AA46" i="85"/>
  <c r="Z46" i="85"/>
  <c r="AB46" i="85" s="1"/>
  <c r="Z69" i="85"/>
  <c r="AB69" i="85" s="1"/>
  <c r="AA69" i="85"/>
  <c r="AA88" i="85"/>
  <c r="Z88" i="85"/>
  <c r="AB88" i="85" s="1"/>
  <c r="AA25" i="85"/>
  <c r="Z25" i="85"/>
  <c r="AB25" i="85" s="1"/>
  <c r="AA119" i="85"/>
  <c r="Z119" i="85"/>
  <c r="AB119" i="85" s="1"/>
  <c r="AA111" i="85"/>
  <c r="Z111" i="85"/>
  <c r="AB111" i="85" s="1"/>
  <c r="AA83" i="85"/>
  <c r="Z83" i="85"/>
  <c r="AB83" i="85" s="1"/>
  <c r="AA94" i="85"/>
  <c r="Z94" i="85"/>
  <c r="AB94" i="85" s="1"/>
  <c r="AA42" i="85"/>
  <c r="Z42" i="85"/>
  <c r="AB42" i="85" s="1"/>
  <c r="AA32" i="85"/>
  <c r="Z32" i="85"/>
  <c r="AB32" i="85" s="1"/>
  <c r="AA110" i="85"/>
  <c r="Z110" i="85"/>
  <c r="AB110" i="85" s="1"/>
  <c r="Z85" i="80"/>
  <c r="AB85" i="80" s="1"/>
  <c r="AA107" i="80"/>
  <c r="Z107" i="80"/>
  <c r="AB107" i="80" s="1"/>
  <c r="AA128" i="80"/>
  <c r="Z75" i="80"/>
  <c r="AB75" i="80" s="1"/>
  <c r="AA11" i="80"/>
  <c r="Z11" i="80"/>
  <c r="AB11" i="80" s="1"/>
  <c r="AA122" i="80"/>
  <c r="Z122" i="80"/>
  <c r="AB122" i="80" s="1"/>
  <c r="AA93" i="80"/>
  <c r="Z93" i="80"/>
  <c r="AB93" i="80" s="1"/>
  <c r="AA138" i="80"/>
  <c r="Z138" i="80"/>
  <c r="AB138" i="80" s="1"/>
  <c r="Z86" i="80"/>
  <c r="AB86" i="80" s="1"/>
  <c r="AA129" i="80"/>
  <c r="Z129" i="80"/>
  <c r="AB129" i="80" s="1"/>
  <c r="AA108" i="80"/>
  <c r="Z108" i="80"/>
  <c r="AB108" i="80" s="1"/>
  <c r="AA139" i="80"/>
  <c r="Z139" i="80"/>
  <c r="AB139" i="80" s="1"/>
  <c r="AA12" i="80"/>
  <c r="Z12" i="80"/>
  <c r="AB12" i="80" s="1"/>
  <c r="AA100" i="80"/>
  <c r="Z100" i="80"/>
  <c r="AB100" i="80" s="1"/>
  <c r="AA114" i="80"/>
  <c r="Z114" i="80"/>
  <c r="AB114" i="80" s="1"/>
  <c r="AA127" i="80"/>
  <c r="Z127" i="80"/>
  <c r="AB127" i="80" s="1"/>
  <c r="AA104" i="80"/>
  <c r="Z104" i="80"/>
  <c r="AB104" i="80" s="1"/>
  <c r="AA92" i="80"/>
  <c r="Z92" i="80"/>
  <c r="AB92" i="80" s="1"/>
  <c r="AA89" i="80"/>
  <c r="Z89" i="80"/>
  <c r="AB89" i="80" s="1"/>
  <c r="AA133" i="80"/>
  <c r="Z133" i="80"/>
  <c r="AB133" i="80" s="1"/>
  <c r="AA130" i="80"/>
  <c r="Z130" i="80"/>
  <c r="AB130" i="80" s="1"/>
  <c r="AA117" i="80"/>
  <c r="Z117" i="80"/>
  <c r="AB117" i="80" s="1"/>
  <c r="AA103" i="80"/>
  <c r="Z103" i="80"/>
  <c r="AB103" i="80" s="1"/>
  <c r="AA15" i="80"/>
  <c r="Z15" i="80"/>
  <c r="AB15" i="80" s="1"/>
  <c r="AA25" i="80"/>
  <c r="Z25" i="80"/>
  <c r="AB25" i="80" s="1"/>
  <c r="AA99" i="80"/>
  <c r="Z99" i="80"/>
  <c r="AB99" i="80" s="1"/>
  <c r="AA59" i="80"/>
  <c r="Z59" i="80"/>
  <c r="AB59" i="80" s="1"/>
  <c r="AA31" i="80"/>
  <c r="Z31" i="80"/>
  <c r="AB31" i="80" s="1"/>
  <c r="AA67" i="80"/>
  <c r="Z67" i="80"/>
  <c r="AB67" i="80" s="1"/>
  <c r="AA51" i="80"/>
  <c r="Z51" i="80"/>
  <c r="AB51" i="80" s="1"/>
  <c r="AA21" i="80"/>
  <c r="Z21" i="80"/>
  <c r="AB21" i="80" s="1"/>
  <c r="AA27" i="80"/>
  <c r="Z27" i="80"/>
  <c r="AB27" i="80" s="1"/>
  <c r="AA24" i="80"/>
  <c r="Z24" i="80"/>
  <c r="AB24" i="80" s="1"/>
  <c r="AA134" i="80"/>
  <c r="Z134" i="80"/>
  <c r="AB134" i="80" s="1"/>
  <c r="AA41" i="80"/>
  <c r="Z41" i="80"/>
  <c r="AB41" i="80" s="1"/>
  <c r="AA37" i="80"/>
  <c r="Z37" i="80"/>
  <c r="AB37" i="80" s="1"/>
  <c r="AA45" i="80"/>
  <c r="Z45" i="80"/>
  <c r="AB45" i="80" s="1"/>
  <c r="AA96" i="80"/>
  <c r="Z96" i="80"/>
  <c r="AB96" i="80" s="1"/>
  <c r="AA48" i="80"/>
  <c r="Z48" i="80"/>
  <c r="AB48" i="80" s="1"/>
  <c r="AA79" i="80"/>
  <c r="Z79" i="80"/>
  <c r="AB79" i="80" s="1"/>
  <c r="AA71" i="80"/>
  <c r="Z71" i="80"/>
  <c r="AB71" i="80" s="1"/>
  <c r="AA113" i="80"/>
  <c r="Z113" i="80"/>
  <c r="AB113" i="80" s="1"/>
  <c r="AA49" i="80"/>
  <c r="Z49" i="80"/>
  <c r="AB49" i="80" s="1"/>
  <c r="AA55" i="80"/>
  <c r="Z55" i="80"/>
  <c r="AB55" i="80" s="1"/>
  <c r="Y86" i="81"/>
  <c r="X86" i="81"/>
  <c r="Z86" i="81" s="1"/>
  <c r="X78" i="81"/>
  <c r="Z78" i="81" s="1"/>
  <c r="Y78" i="81"/>
  <c r="X108" i="81"/>
  <c r="Z108" i="81" s="1"/>
  <c r="Y108" i="81"/>
  <c r="Y68" i="81"/>
  <c r="X68" i="81"/>
  <c r="Z68" i="81" s="1"/>
  <c r="X133" i="81"/>
  <c r="Z133" i="81" s="1"/>
  <c r="Y133" i="81"/>
  <c r="Y115" i="81"/>
  <c r="X115" i="81"/>
  <c r="Z115" i="81" s="1"/>
  <c r="Y72" i="81"/>
  <c r="X72" i="81"/>
  <c r="Z72" i="81" s="1"/>
  <c r="X47" i="81"/>
  <c r="Z47" i="81" s="1"/>
  <c r="Y47" i="81"/>
  <c r="Y11" i="81"/>
  <c r="X11" i="81"/>
  <c r="Z11" i="81" s="1"/>
  <c r="X103" i="81"/>
  <c r="Z103" i="81" s="1"/>
  <c r="Y103" i="81"/>
  <c r="Y137" i="81"/>
  <c r="X137" i="81"/>
  <c r="Z137" i="81" s="1"/>
  <c r="X23" i="81"/>
  <c r="Z23" i="81" s="1"/>
  <c r="Y23" i="81"/>
  <c r="X15" i="81"/>
  <c r="Z15" i="81" s="1"/>
  <c r="Y15" i="81"/>
  <c r="X19" i="81"/>
  <c r="Z19" i="81" s="1"/>
  <c r="Y19" i="81"/>
  <c r="X51" i="81"/>
  <c r="Z51" i="81" s="1"/>
  <c r="Y51" i="81"/>
  <c r="X60" i="81"/>
  <c r="Z60" i="81" s="1"/>
  <c r="Y60" i="81"/>
  <c r="Y107" i="81"/>
  <c r="X107" i="81"/>
  <c r="Z107" i="81" s="1"/>
  <c r="X114" i="81"/>
  <c r="Z114" i="81" s="1"/>
  <c r="Y114" i="81"/>
  <c r="Y54" i="81"/>
  <c r="X54" i="81"/>
  <c r="Z54" i="81" s="1"/>
  <c r="Y135" i="81"/>
  <c r="X135" i="81"/>
  <c r="Z135" i="81" s="1"/>
  <c r="Y116" i="81"/>
  <c r="X116" i="81"/>
  <c r="Z116" i="81" s="1"/>
  <c r="Y131" i="81"/>
  <c r="X131" i="81"/>
  <c r="Z131" i="81" s="1"/>
  <c r="Y127" i="81"/>
  <c r="X127" i="81"/>
  <c r="Z127" i="81" s="1"/>
  <c r="X110" i="81"/>
  <c r="Z110" i="81" s="1"/>
  <c r="Y110" i="81"/>
  <c r="Y91" i="81"/>
  <c r="X91" i="81"/>
  <c r="Z91" i="81" s="1"/>
  <c r="X85" i="81"/>
  <c r="Z85" i="81" s="1"/>
  <c r="Y85" i="81"/>
  <c r="Y119" i="81"/>
  <c r="X119" i="81"/>
  <c r="Z119" i="81" s="1"/>
  <c r="X38" i="81"/>
  <c r="Z38" i="81" s="1"/>
  <c r="Y38" i="81"/>
  <c r="X77" i="81"/>
  <c r="Z77" i="81" s="1"/>
  <c r="Y77" i="81"/>
  <c r="X102" i="81"/>
  <c r="Z102" i="81" s="1"/>
  <c r="Y102" i="81"/>
  <c r="Y74" i="81"/>
  <c r="X74" i="81"/>
  <c r="Z74" i="81" s="1"/>
  <c r="Y89" i="81"/>
  <c r="X89" i="81"/>
  <c r="Z89" i="81" s="1"/>
  <c r="X46" i="81"/>
  <c r="Z46" i="81" s="1"/>
  <c r="Y46" i="81"/>
  <c r="X42" i="81"/>
  <c r="Z42" i="81" s="1"/>
  <c r="Y42" i="81"/>
  <c r="X81" i="81"/>
  <c r="Z81" i="81" s="1"/>
  <c r="Y81" i="81"/>
  <c r="AA17" i="80"/>
  <c r="Z17" i="80"/>
  <c r="AB17" i="80" s="1"/>
  <c r="AA84" i="80"/>
  <c r="Z84" i="80"/>
  <c r="AB84" i="80" s="1"/>
  <c r="AA60" i="80"/>
  <c r="Z60" i="80"/>
  <c r="AB60" i="80" s="1"/>
  <c r="AA83" i="80"/>
  <c r="Z83" i="80"/>
  <c r="AB83" i="80" s="1"/>
  <c r="AA56" i="80"/>
  <c r="Z56" i="80"/>
  <c r="AB56" i="80" s="1"/>
  <c r="AA22" i="80"/>
  <c r="Z22" i="80"/>
  <c r="AB22" i="80" s="1"/>
  <c r="AA80" i="80"/>
  <c r="Z80" i="80"/>
  <c r="AB80" i="80" s="1"/>
  <c r="AA13" i="80"/>
  <c r="Z13" i="80"/>
  <c r="AB13" i="80" s="1"/>
  <c r="AA18" i="80"/>
  <c r="Z18" i="80"/>
  <c r="AB18" i="80" s="1"/>
  <c r="AA52" i="80"/>
  <c r="Z52" i="80"/>
  <c r="AB52" i="80" s="1"/>
  <c r="AC150" i="76" l="1"/>
  <c r="AB150" i="76"/>
  <c r="AA150" i="76"/>
  <c r="AC149" i="76"/>
  <c r="AB149" i="76"/>
  <c r="AA149" i="76"/>
  <c r="AC148" i="76"/>
  <c r="AB148" i="76"/>
  <c r="AA148" i="76"/>
  <c r="AC147" i="76"/>
  <c r="AB147" i="76"/>
  <c r="AA147" i="76"/>
  <c r="AC146" i="76"/>
  <c r="AB146" i="76"/>
  <c r="AA146" i="76"/>
  <c r="AC145" i="76"/>
  <c r="AB145" i="76"/>
  <c r="AA145" i="76"/>
  <c r="AC144" i="76"/>
  <c r="AB144" i="76"/>
  <c r="AA144" i="76"/>
  <c r="AC143" i="76"/>
  <c r="AB143" i="76"/>
  <c r="AA143" i="76"/>
  <c r="AC142" i="76"/>
  <c r="AB142" i="76"/>
  <c r="AA142" i="76"/>
  <c r="AC141" i="76"/>
  <c r="AB141" i="76"/>
  <c r="AA141" i="76"/>
  <c r="AC140" i="76"/>
  <c r="AB140" i="76"/>
  <c r="AA140" i="76"/>
  <c r="AC139" i="76"/>
  <c r="AB139" i="76"/>
  <c r="AA139" i="76"/>
  <c r="AC138" i="76"/>
  <c r="AB138" i="76"/>
  <c r="AA138" i="76"/>
  <c r="AC137" i="76"/>
  <c r="AB137" i="76"/>
  <c r="AA137" i="76"/>
  <c r="AC136" i="76"/>
  <c r="AB136" i="76"/>
  <c r="AA136" i="76"/>
  <c r="AC135" i="76"/>
  <c r="AB135" i="76"/>
  <c r="AA135" i="76"/>
  <c r="AC134" i="76"/>
  <c r="AB134" i="76"/>
  <c r="AA134" i="76"/>
  <c r="AC133" i="76"/>
  <c r="AB133" i="76"/>
  <c r="AA133" i="76"/>
  <c r="J150" i="76"/>
  <c r="E150" i="76"/>
  <c r="D150" i="76"/>
  <c r="J148" i="76"/>
  <c r="E148" i="76"/>
  <c r="D148" i="76"/>
  <c r="J147" i="76"/>
  <c r="E147" i="76"/>
  <c r="D147" i="76"/>
  <c r="J132" i="76"/>
  <c r="O132" i="76" s="1"/>
  <c r="P132" i="76" s="1"/>
  <c r="E132" i="76"/>
  <c r="D132" i="76"/>
  <c r="J130" i="76"/>
  <c r="E130" i="76"/>
  <c r="D130" i="76"/>
  <c r="J129" i="76"/>
  <c r="E129" i="76"/>
  <c r="D129" i="76"/>
  <c r="J114" i="76"/>
  <c r="E114" i="76"/>
  <c r="D114" i="76"/>
  <c r="D112" i="76"/>
  <c r="E112" i="76"/>
  <c r="J112" i="76"/>
  <c r="J111" i="76"/>
  <c r="E111" i="76"/>
  <c r="D111" i="76"/>
  <c r="J97" i="76"/>
  <c r="E97" i="76"/>
  <c r="D97" i="76"/>
  <c r="D95" i="76"/>
  <c r="E95" i="76"/>
  <c r="J95" i="76"/>
  <c r="J94" i="76"/>
  <c r="E94" i="76"/>
  <c r="D94" i="76"/>
  <c r="J79" i="76"/>
  <c r="E79" i="76"/>
  <c r="D79" i="76"/>
  <c r="D77" i="76"/>
  <c r="E77" i="76"/>
  <c r="J77" i="76"/>
  <c r="J76" i="76"/>
  <c r="E76" i="76"/>
  <c r="D76" i="76"/>
  <c r="J61" i="76"/>
  <c r="O61" i="76" s="1"/>
  <c r="E61" i="76"/>
  <c r="D61" i="76"/>
  <c r="D59" i="76"/>
  <c r="E59" i="76"/>
  <c r="J59" i="76"/>
  <c r="J58" i="76"/>
  <c r="E58" i="76"/>
  <c r="D58" i="76"/>
  <c r="J43" i="76"/>
  <c r="E43" i="76"/>
  <c r="D43" i="76"/>
  <c r="J25" i="76"/>
  <c r="E25" i="76"/>
  <c r="D25" i="76"/>
  <c r="J41" i="76"/>
  <c r="E41" i="76"/>
  <c r="D41" i="76"/>
  <c r="J40" i="76"/>
  <c r="E40" i="76"/>
  <c r="D40" i="76"/>
  <c r="J23" i="76"/>
  <c r="J22" i="76"/>
  <c r="J22" i="65"/>
  <c r="E23" i="76"/>
  <c r="O23" i="76" s="1"/>
  <c r="E22" i="76"/>
  <c r="E22" i="65"/>
  <c r="S135" i="76"/>
  <c r="T135" i="76"/>
  <c r="U135" i="76"/>
  <c r="V135" i="76"/>
  <c r="S136" i="76"/>
  <c r="T136" i="76"/>
  <c r="U136" i="76"/>
  <c r="V136" i="76"/>
  <c r="S137" i="76"/>
  <c r="T137" i="76"/>
  <c r="U137" i="76"/>
  <c r="V137" i="76"/>
  <c r="S138" i="76"/>
  <c r="T138" i="76"/>
  <c r="U138" i="76"/>
  <c r="V138" i="76"/>
  <c r="S139" i="76"/>
  <c r="T139" i="76"/>
  <c r="U139" i="76"/>
  <c r="V139" i="76"/>
  <c r="S140" i="76"/>
  <c r="T140" i="76"/>
  <c r="U140" i="76"/>
  <c r="V140" i="76"/>
  <c r="S141" i="76"/>
  <c r="T141" i="76"/>
  <c r="U141" i="76"/>
  <c r="V141" i="76"/>
  <c r="S142" i="76"/>
  <c r="T142" i="76"/>
  <c r="U142" i="76"/>
  <c r="V142" i="76"/>
  <c r="S143" i="76"/>
  <c r="T143" i="76"/>
  <c r="U143" i="76"/>
  <c r="V143" i="76"/>
  <c r="S144" i="76"/>
  <c r="T144" i="76"/>
  <c r="U144" i="76"/>
  <c r="V144" i="76"/>
  <c r="S145" i="76"/>
  <c r="T145" i="76"/>
  <c r="U145" i="76"/>
  <c r="V145" i="76"/>
  <c r="S146" i="76"/>
  <c r="T146" i="76"/>
  <c r="U146" i="76"/>
  <c r="V146" i="76"/>
  <c r="S147" i="76"/>
  <c r="T147" i="76"/>
  <c r="U147" i="76"/>
  <c r="V147" i="76"/>
  <c r="S148" i="76"/>
  <c r="T148" i="76"/>
  <c r="U148" i="76"/>
  <c r="V148" i="76"/>
  <c r="S149" i="76"/>
  <c r="T149" i="76"/>
  <c r="U149" i="76"/>
  <c r="V149" i="76"/>
  <c r="S150" i="76"/>
  <c r="T150" i="76"/>
  <c r="U150" i="76"/>
  <c r="V150" i="76"/>
  <c r="D9" i="76"/>
  <c r="E9" i="76"/>
  <c r="F9" i="76"/>
  <c r="G9" i="76"/>
  <c r="H9" i="76"/>
  <c r="I9" i="76"/>
  <c r="J9" i="76"/>
  <c r="K9" i="76"/>
  <c r="L9" i="76"/>
  <c r="M9" i="76"/>
  <c r="N9" i="76"/>
  <c r="D10" i="76"/>
  <c r="E10" i="76"/>
  <c r="F10" i="76"/>
  <c r="G10" i="76"/>
  <c r="H10" i="76"/>
  <c r="I10" i="76"/>
  <c r="J10" i="76"/>
  <c r="K10" i="76"/>
  <c r="L10" i="76"/>
  <c r="M10" i="76"/>
  <c r="N10" i="76"/>
  <c r="D11" i="76"/>
  <c r="E11" i="76"/>
  <c r="F11" i="76"/>
  <c r="G11" i="76"/>
  <c r="H11" i="76"/>
  <c r="I11" i="76"/>
  <c r="J11" i="76"/>
  <c r="K11" i="76"/>
  <c r="L11" i="76"/>
  <c r="M11" i="76"/>
  <c r="N11" i="76"/>
  <c r="D12" i="76"/>
  <c r="E12" i="76"/>
  <c r="F12" i="76"/>
  <c r="G12" i="76"/>
  <c r="H12" i="76"/>
  <c r="I12" i="76"/>
  <c r="J12" i="76"/>
  <c r="K12" i="76"/>
  <c r="L12" i="76"/>
  <c r="M12" i="76"/>
  <c r="N12" i="76"/>
  <c r="D13" i="76"/>
  <c r="E13" i="76"/>
  <c r="F13" i="76"/>
  <c r="G13" i="76"/>
  <c r="H13" i="76"/>
  <c r="I13" i="76"/>
  <c r="J13" i="76"/>
  <c r="K13" i="76"/>
  <c r="L13" i="76"/>
  <c r="M13" i="76"/>
  <c r="N13" i="76"/>
  <c r="D14" i="76"/>
  <c r="E14" i="76"/>
  <c r="F14" i="76"/>
  <c r="G14" i="76"/>
  <c r="H14" i="76"/>
  <c r="I14" i="76"/>
  <c r="J14" i="76"/>
  <c r="K14" i="76"/>
  <c r="L14" i="76"/>
  <c r="M14" i="76"/>
  <c r="N14" i="76"/>
  <c r="D15" i="76"/>
  <c r="E15" i="76"/>
  <c r="F15" i="76"/>
  <c r="G15" i="76"/>
  <c r="H15" i="76"/>
  <c r="I15" i="76"/>
  <c r="J15" i="76"/>
  <c r="K15" i="76"/>
  <c r="L15" i="76"/>
  <c r="M15" i="76"/>
  <c r="N15" i="76"/>
  <c r="D16" i="76"/>
  <c r="E16" i="76"/>
  <c r="F16" i="76"/>
  <c r="G16" i="76"/>
  <c r="H16" i="76"/>
  <c r="I16" i="76"/>
  <c r="J16" i="76"/>
  <c r="K16" i="76"/>
  <c r="L16" i="76"/>
  <c r="M16" i="76"/>
  <c r="N16" i="76"/>
  <c r="D17" i="76"/>
  <c r="E17" i="76"/>
  <c r="F17" i="76"/>
  <c r="G17" i="76"/>
  <c r="H17" i="76"/>
  <c r="I17" i="76"/>
  <c r="J17" i="76"/>
  <c r="K17" i="76"/>
  <c r="L17" i="76"/>
  <c r="M17" i="76"/>
  <c r="N17" i="76"/>
  <c r="D18" i="76"/>
  <c r="E18" i="76"/>
  <c r="F18" i="76"/>
  <c r="G18" i="76"/>
  <c r="H18" i="76"/>
  <c r="I18" i="76"/>
  <c r="J18" i="76"/>
  <c r="K18" i="76"/>
  <c r="L18" i="76"/>
  <c r="M18" i="76"/>
  <c r="N18" i="76"/>
  <c r="D19" i="76"/>
  <c r="E19" i="76"/>
  <c r="F19" i="76"/>
  <c r="G19" i="76"/>
  <c r="H19" i="76"/>
  <c r="I19" i="76"/>
  <c r="J19" i="76"/>
  <c r="K19" i="76"/>
  <c r="L19" i="76"/>
  <c r="M19" i="76"/>
  <c r="N19" i="76"/>
  <c r="D20" i="76"/>
  <c r="E20" i="76"/>
  <c r="F20" i="76"/>
  <c r="G20" i="76"/>
  <c r="H20" i="76"/>
  <c r="I20" i="76"/>
  <c r="J20" i="76"/>
  <c r="K20" i="76"/>
  <c r="L20" i="76"/>
  <c r="M20" i="76"/>
  <c r="N20" i="76"/>
  <c r="D21" i="76"/>
  <c r="E21" i="76"/>
  <c r="F21" i="76"/>
  <c r="G21" i="76"/>
  <c r="H21" i="76"/>
  <c r="I21" i="76"/>
  <c r="J21" i="76"/>
  <c r="K21" i="76"/>
  <c r="L21" i="76"/>
  <c r="M21" i="76"/>
  <c r="N21" i="76"/>
  <c r="D22" i="76"/>
  <c r="D23" i="76"/>
  <c r="D24" i="76"/>
  <c r="E24" i="76"/>
  <c r="F24" i="76"/>
  <c r="G24" i="76"/>
  <c r="H24" i="76"/>
  <c r="I24" i="76"/>
  <c r="J24" i="76"/>
  <c r="K24" i="76"/>
  <c r="L24" i="76"/>
  <c r="M24" i="76"/>
  <c r="N24" i="76"/>
  <c r="D26" i="76"/>
  <c r="E26" i="76"/>
  <c r="F26" i="76"/>
  <c r="G26" i="76"/>
  <c r="H26" i="76"/>
  <c r="I26" i="76"/>
  <c r="J26" i="76"/>
  <c r="K26" i="76"/>
  <c r="L26" i="76"/>
  <c r="M26" i="76"/>
  <c r="N26" i="76"/>
  <c r="D27" i="76"/>
  <c r="E27" i="76"/>
  <c r="F27" i="76"/>
  <c r="G27" i="76"/>
  <c r="H27" i="76"/>
  <c r="I27" i="76"/>
  <c r="J27" i="76"/>
  <c r="K27" i="76"/>
  <c r="L27" i="76"/>
  <c r="M27" i="76"/>
  <c r="N27" i="76"/>
  <c r="D28" i="76"/>
  <c r="E28" i="76"/>
  <c r="F28" i="76"/>
  <c r="G28" i="76"/>
  <c r="H28" i="76"/>
  <c r="I28" i="76"/>
  <c r="J28" i="76"/>
  <c r="K28" i="76"/>
  <c r="L28" i="76"/>
  <c r="M28" i="76"/>
  <c r="N28" i="76"/>
  <c r="D29" i="76"/>
  <c r="E29" i="76"/>
  <c r="F29" i="76"/>
  <c r="G29" i="76"/>
  <c r="H29" i="76"/>
  <c r="I29" i="76"/>
  <c r="J29" i="76"/>
  <c r="K29" i="76"/>
  <c r="L29" i="76"/>
  <c r="M29" i="76"/>
  <c r="N29" i="76"/>
  <c r="D30" i="76"/>
  <c r="E30" i="76"/>
  <c r="F30" i="76"/>
  <c r="G30" i="76"/>
  <c r="H30" i="76"/>
  <c r="I30" i="76"/>
  <c r="J30" i="76"/>
  <c r="K30" i="76"/>
  <c r="L30" i="76"/>
  <c r="M30" i="76"/>
  <c r="N30" i="76"/>
  <c r="D31" i="76"/>
  <c r="E31" i="76"/>
  <c r="F31" i="76"/>
  <c r="G31" i="76"/>
  <c r="H31" i="76"/>
  <c r="I31" i="76"/>
  <c r="J31" i="76"/>
  <c r="K31" i="76"/>
  <c r="L31" i="76"/>
  <c r="M31" i="76"/>
  <c r="N31" i="76"/>
  <c r="D32" i="76"/>
  <c r="E32" i="76"/>
  <c r="F32" i="76"/>
  <c r="G32" i="76"/>
  <c r="H32" i="76"/>
  <c r="I32" i="76"/>
  <c r="J32" i="76"/>
  <c r="K32" i="76"/>
  <c r="L32" i="76"/>
  <c r="M32" i="76"/>
  <c r="N32" i="76"/>
  <c r="D33" i="76"/>
  <c r="E33" i="76"/>
  <c r="F33" i="76"/>
  <c r="G33" i="76"/>
  <c r="H33" i="76"/>
  <c r="I33" i="76"/>
  <c r="J33" i="76"/>
  <c r="K33" i="76"/>
  <c r="L33" i="76"/>
  <c r="M33" i="76"/>
  <c r="N33" i="76"/>
  <c r="D34" i="76"/>
  <c r="E34" i="76"/>
  <c r="F34" i="76"/>
  <c r="G34" i="76"/>
  <c r="H34" i="76"/>
  <c r="I34" i="76"/>
  <c r="J34" i="76"/>
  <c r="K34" i="76"/>
  <c r="L34" i="76"/>
  <c r="M34" i="76"/>
  <c r="N34" i="76"/>
  <c r="D35" i="76"/>
  <c r="E35" i="76"/>
  <c r="F35" i="76"/>
  <c r="G35" i="76"/>
  <c r="H35" i="76"/>
  <c r="I35" i="76"/>
  <c r="J35" i="76"/>
  <c r="K35" i="76"/>
  <c r="L35" i="76"/>
  <c r="M35" i="76"/>
  <c r="N35" i="76"/>
  <c r="D36" i="76"/>
  <c r="E36" i="76"/>
  <c r="F36" i="76"/>
  <c r="G36" i="76"/>
  <c r="H36" i="76"/>
  <c r="I36" i="76"/>
  <c r="J36" i="76"/>
  <c r="K36" i="76"/>
  <c r="L36" i="76"/>
  <c r="M36" i="76"/>
  <c r="N36" i="76"/>
  <c r="D37" i="76"/>
  <c r="E37" i="76"/>
  <c r="F37" i="76"/>
  <c r="G37" i="76"/>
  <c r="H37" i="76"/>
  <c r="I37" i="76"/>
  <c r="J37" i="76"/>
  <c r="K37" i="76"/>
  <c r="L37" i="76"/>
  <c r="M37" i="76"/>
  <c r="N37" i="76"/>
  <c r="D38" i="76"/>
  <c r="E38" i="76"/>
  <c r="F38" i="76"/>
  <c r="G38" i="76"/>
  <c r="H38" i="76"/>
  <c r="I38" i="76"/>
  <c r="J38" i="76"/>
  <c r="K38" i="76"/>
  <c r="L38" i="76"/>
  <c r="M38" i="76"/>
  <c r="N38" i="76"/>
  <c r="D39" i="76"/>
  <c r="E39" i="76"/>
  <c r="F39" i="76"/>
  <c r="G39" i="76"/>
  <c r="H39" i="76"/>
  <c r="I39" i="76"/>
  <c r="J39" i="76"/>
  <c r="K39" i="76"/>
  <c r="L39" i="76"/>
  <c r="M39" i="76"/>
  <c r="N39" i="76"/>
  <c r="D42" i="76"/>
  <c r="E42" i="76"/>
  <c r="F42" i="76"/>
  <c r="G42" i="76"/>
  <c r="H42" i="76"/>
  <c r="I42" i="76"/>
  <c r="J42" i="76"/>
  <c r="K42" i="76"/>
  <c r="L42" i="76"/>
  <c r="M42" i="76"/>
  <c r="N42" i="76"/>
  <c r="D44" i="76"/>
  <c r="E44" i="76"/>
  <c r="F44" i="76"/>
  <c r="G44" i="76"/>
  <c r="H44" i="76"/>
  <c r="I44" i="76"/>
  <c r="J44" i="76"/>
  <c r="K44" i="76"/>
  <c r="L44" i="76"/>
  <c r="M44" i="76"/>
  <c r="N44" i="76"/>
  <c r="D45" i="76"/>
  <c r="E45" i="76"/>
  <c r="F45" i="76"/>
  <c r="G45" i="76"/>
  <c r="H45" i="76"/>
  <c r="I45" i="76"/>
  <c r="J45" i="76"/>
  <c r="K45" i="76"/>
  <c r="L45" i="76"/>
  <c r="M45" i="76"/>
  <c r="N45" i="76"/>
  <c r="D46" i="76"/>
  <c r="E46" i="76"/>
  <c r="F46" i="76"/>
  <c r="G46" i="76"/>
  <c r="H46" i="76"/>
  <c r="I46" i="76"/>
  <c r="J46" i="76"/>
  <c r="K46" i="76"/>
  <c r="L46" i="76"/>
  <c r="M46" i="76"/>
  <c r="N46" i="76"/>
  <c r="D47" i="76"/>
  <c r="E47" i="76"/>
  <c r="F47" i="76"/>
  <c r="G47" i="76"/>
  <c r="H47" i="76"/>
  <c r="I47" i="76"/>
  <c r="J47" i="76"/>
  <c r="K47" i="76"/>
  <c r="L47" i="76"/>
  <c r="M47" i="76"/>
  <c r="N47" i="76"/>
  <c r="D48" i="76"/>
  <c r="E48" i="76"/>
  <c r="F48" i="76"/>
  <c r="G48" i="76"/>
  <c r="H48" i="76"/>
  <c r="I48" i="76"/>
  <c r="J48" i="76"/>
  <c r="K48" i="76"/>
  <c r="L48" i="76"/>
  <c r="M48" i="76"/>
  <c r="N48" i="76"/>
  <c r="D49" i="76"/>
  <c r="E49" i="76"/>
  <c r="F49" i="76"/>
  <c r="G49" i="76"/>
  <c r="H49" i="76"/>
  <c r="I49" i="76"/>
  <c r="J49" i="76"/>
  <c r="K49" i="76"/>
  <c r="L49" i="76"/>
  <c r="M49" i="76"/>
  <c r="N49" i="76"/>
  <c r="D50" i="76"/>
  <c r="E50" i="76"/>
  <c r="F50" i="76"/>
  <c r="G50" i="76"/>
  <c r="H50" i="76"/>
  <c r="I50" i="76"/>
  <c r="J50" i="76"/>
  <c r="K50" i="76"/>
  <c r="L50" i="76"/>
  <c r="M50" i="76"/>
  <c r="N50" i="76"/>
  <c r="D51" i="76"/>
  <c r="E51" i="76"/>
  <c r="F51" i="76"/>
  <c r="G51" i="76"/>
  <c r="H51" i="76"/>
  <c r="I51" i="76"/>
  <c r="J51" i="76"/>
  <c r="K51" i="76"/>
  <c r="L51" i="76"/>
  <c r="M51" i="76"/>
  <c r="N51" i="76"/>
  <c r="D52" i="76"/>
  <c r="E52" i="76"/>
  <c r="F52" i="76"/>
  <c r="G52" i="76"/>
  <c r="H52" i="76"/>
  <c r="I52" i="76"/>
  <c r="J52" i="76"/>
  <c r="K52" i="76"/>
  <c r="L52" i="76"/>
  <c r="M52" i="76"/>
  <c r="N52" i="76"/>
  <c r="D53" i="76"/>
  <c r="E53" i="76"/>
  <c r="F53" i="76"/>
  <c r="G53" i="76"/>
  <c r="H53" i="76"/>
  <c r="I53" i="76"/>
  <c r="J53" i="76"/>
  <c r="K53" i="76"/>
  <c r="L53" i="76"/>
  <c r="M53" i="76"/>
  <c r="N53" i="76"/>
  <c r="D54" i="76"/>
  <c r="E54" i="76"/>
  <c r="F54" i="76"/>
  <c r="G54" i="76"/>
  <c r="H54" i="76"/>
  <c r="I54" i="76"/>
  <c r="J54" i="76"/>
  <c r="K54" i="76"/>
  <c r="L54" i="76"/>
  <c r="M54" i="76"/>
  <c r="N54" i="76"/>
  <c r="D55" i="76"/>
  <c r="E55" i="76"/>
  <c r="F55" i="76"/>
  <c r="G55" i="76"/>
  <c r="H55" i="76"/>
  <c r="I55" i="76"/>
  <c r="J55" i="76"/>
  <c r="K55" i="76"/>
  <c r="L55" i="76"/>
  <c r="M55" i="76"/>
  <c r="N55" i="76"/>
  <c r="D56" i="76"/>
  <c r="E56" i="76"/>
  <c r="F56" i="76"/>
  <c r="G56" i="76"/>
  <c r="H56" i="76"/>
  <c r="I56" i="76"/>
  <c r="J56" i="76"/>
  <c r="K56" i="76"/>
  <c r="L56" i="76"/>
  <c r="M56" i="76"/>
  <c r="N56" i="76"/>
  <c r="D57" i="76"/>
  <c r="E57" i="76"/>
  <c r="F57" i="76"/>
  <c r="G57" i="76"/>
  <c r="H57" i="76"/>
  <c r="I57" i="76"/>
  <c r="J57" i="76"/>
  <c r="K57" i="76"/>
  <c r="L57" i="76"/>
  <c r="M57" i="76"/>
  <c r="N57" i="76"/>
  <c r="D60" i="76"/>
  <c r="E60" i="76"/>
  <c r="F60" i="76"/>
  <c r="G60" i="76"/>
  <c r="H60" i="76"/>
  <c r="I60" i="76"/>
  <c r="J60" i="76"/>
  <c r="K60" i="76"/>
  <c r="L60" i="76"/>
  <c r="M60" i="76"/>
  <c r="N60" i="76"/>
  <c r="D62" i="76"/>
  <c r="E62" i="76"/>
  <c r="F62" i="76"/>
  <c r="G62" i="76"/>
  <c r="H62" i="76"/>
  <c r="I62" i="76"/>
  <c r="J62" i="76"/>
  <c r="K62" i="76"/>
  <c r="L62" i="76"/>
  <c r="M62" i="76"/>
  <c r="N62" i="76"/>
  <c r="D63" i="76"/>
  <c r="E63" i="76"/>
  <c r="F63" i="76"/>
  <c r="G63" i="76"/>
  <c r="H63" i="76"/>
  <c r="I63" i="76"/>
  <c r="J63" i="76"/>
  <c r="K63" i="76"/>
  <c r="L63" i="76"/>
  <c r="M63" i="76"/>
  <c r="N63" i="76"/>
  <c r="D64" i="76"/>
  <c r="E64" i="76"/>
  <c r="F64" i="76"/>
  <c r="G64" i="76"/>
  <c r="H64" i="76"/>
  <c r="I64" i="76"/>
  <c r="J64" i="76"/>
  <c r="K64" i="76"/>
  <c r="L64" i="76"/>
  <c r="M64" i="76"/>
  <c r="N64" i="76"/>
  <c r="D65" i="76"/>
  <c r="E65" i="76"/>
  <c r="F65" i="76"/>
  <c r="G65" i="76"/>
  <c r="H65" i="76"/>
  <c r="I65" i="76"/>
  <c r="J65" i="76"/>
  <c r="K65" i="76"/>
  <c r="L65" i="76"/>
  <c r="M65" i="76"/>
  <c r="N65" i="76"/>
  <c r="D66" i="76"/>
  <c r="E66" i="76"/>
  <c r="F66" i="76"/>
  <c r="G66" i="76"/>
  <c r="H66" i="76"/>
  <c r="I66" i="76"/>
  <c r="J66" i="76"/>
  <c r="K66" i="76"/>
  <c r="L66" i="76"/>
  <c r="M66" i="76"/>
  <c r="N66" i="76"/>
  <c r="D67" i="76"/>
  <c r="E67" i="76"/>
  <c r="F67" i="76"/>
  <c r="G67" i="76"/>
  <c r="H67" i="76"/>
  <c r="I67" i="76"/>
  <c r="J67" i="76"/>
  <c r="K67" i="76"/>
  <c r="L67" i="76"/>
  <c r="M67" i="76"/>
  <c r="N67" i="76"/>
  <c r="D68" i="76"/>
  <c r="E68" i="76"/>
  <c r="F68" i="76"/>
  <c r="G68" i="76"/>
  <c r="H68" i="76"/>
  <c r="I68" i="76"/>
  <c r="J68" i="76"/>
  <c r="K68" i="76"/>
  <c r="L68" i="76"/>
  <c r="M68" i="76"/>
  <c r="N68" i="76"/>
  <c r="D69" i="76"/>
  <c r="E69" i="76"/>
  <c r="F69" i="76"/>
  <c r="G69" i="76"/>
  <c r="H69" i="76"/>
  <c r="I69" i="76"/>
  <c r="J69" i="76"/>
  <c r="K69" i="76"/>
  <c r="L69" i="76"/>
  <c r="M69" i="76"/>
  <c r="N69" i="76"/>
  <c r="D70" i="76"/>
  <c r="E70" i="76"/>
  <c r="F70" i="76"/>
  <c r="G70" i="76"/>
  <c r="H70" i="76"/>
  <c r="I70" i="76"/>
  <c r="J70" i="76"/>
  <c r="K70" i="76"/>
  <c r="L70" i="76"/>
  <c r="M70" i="76"/>
  <c r="N70" i="76"/>
  <c r="D71" i="76"/>
  <c r="E71" i="76"/>
  <c r="F71" i="76"/>
  <c r="G71" i="76"/>
  <c r="H71" i="76"/>
  <c r="I71" i="76"/>
  <c r="J71" i="76"/>
  <c r="K71" i="76"/>
  <c r="L71" i="76"/>
  <c r="M71" i="76"/>
  <c r="N71" i="76"/>
  <c r="D72" i="76"/>
  <c r="E72" i="76"/>
  <c r="F72" i="76"/>
  <c r="G72" i="76"/>
  <c r="H72" i="76"/>
  <c r="I72" i="76"/>
  <c r="J72" i="76"/>
  <c r="K72" i="76"/>
  <c r="L72" i="76"/>
  <c r="M72" i="76"/>
  <c r="N72" i="76"/>
  <c r="D73" i="76"/>
  <c r="E73" i="76"/>
  <c r="F73" i="76"/>
  <c r="G73" i="76"/>
  <c r="H73" i="76"/>
  <c r="I73" i="76"/>
  <c r="J73" i="76"/>
  <c r="K73" i="76"/>
  <c r="L73" i="76"/>
  <c r="M73" i="76"/>
  <c r="N73" i="76"/>
  <c r="D74" i="76"/>
  <c r="E74" i="76"/>
  <c r="F74" i="76"/>
  <c r="G74" i="76"/>
  <c r="H74" i="76"/>
  <c r="I74" i="76"/>
  <c r="J74" i="76"/>
  <c r="K74" i="76"/>
  <c r="L74" i="76"/>
  <c r="M74" i="76"/>
  <c r="N74" i="76"/>
  <c r="D75" i="76"/>
  <c r="E75" i="76"/>
  <c r="F75" i="76"/>
  <c r="G75" i="76"/>
  <c r="H75" i="76"/>
  <c r="I75" i="76"/>
  <c r="J75" i="76"/>
  <c r="K75" i="76"/>
  <c r="L75" i="76"/>
  <c r="M75" i="76"/>
  <c r="N75" i="76"/>
  <c r="D78" i="76"/>
  <c r="E78" i="76"/>
  <c r="F78" i="76"/>
  <c r="G78" i="76"/>
  <c r="H78" i="76"/>
  <c r="I78" i="76"/>
  <c r="J78" i="76"/>
  <c r="K78" i="76"/>
  <c r="L78" i="76"/>
  <c r="M78" i="76"/>
  <c r="N78" i="76"/>
  <c r="D80" i="76"/>
  <c r="E80" i="76"/>
  <c r="F80" i="76"/>
  <c r="G80" i="76"/>
  <c r="H80" i="76"/>
  <c r="I80" i="76"/>
  <c r="J80" i="76"/>
  <c r="K80" i="76"/>
  <c r="L80" i="76"/>
  <c r="M80" i="76"/>
  <c r="N80" i="76"/>
  <c r="D81" i="76"/>
  <c r="E81" i="76"/>
  <c r="F81" i="76"/>
  <c r="G81" i="76"/>
  <c r="H81" i="76"/>
  <c r="I81" i="76"/>
  <c r="J81" i="76"/>
  <c r="K81" i="76"/>
  <c r="L81" i="76"/>
  <c r="M81" i="76"/>
  <c r="N81" i="76"/>
  <c r="D82" i="76"/>
  <c r="E82" i="76"/>
  <c r="F82" i="76"/>
  <c r="G82" i="76"/>
  <c r="H82" i="76"/>
  <c r="I82" i="76"/>
  <c r="J82" i="76"/>
  <c r="K82" i="76"/>
  <c r="L82" i="76"/>
  <c r="M82" i="76"/>
  <c r="N82" i="76"/>
  <c r="D83" i="76"/>
  <c r="E83" i="76"/>
  <c r="F83" i="76"/>
  <c r="G83" i="76"/>
  <c r="H83" i="76"/>
  <c r="I83" i="76"/>
  <c r="J83" i="76"/>
  <c r="K83" i="76"/>
  <c r="L83" i="76"/>
  <c r="M83" i="76"/>
  <c r="N83" i="76"/>
  <c r="D84" i="76"/>
  <c r="E84" i="76"/>
  <c r="F84" i="76"/>
  <c r="G84" i="76"/>
  <c r="H84" i="76"/>
  <c r="I84" i="76"/>
  <c r="J84" i="76"/>
  <c r="K84" i="76"/>
  <c r="L84" i="76"/>
  <c r="M84" i="76"/>
  <c r="N84" i="76"/>
  <c r="D85" i="76"/>
  <c r="E85" i="76"/>
  <c r="F85" i="76"/>
  <c r="G85" i="76"/>
  <c r="H85" i="76"/>
  <c r="I85" i="76"/>
  <c r="J85" i="76"/>
  <c r="K85" i="76"/>
  <c r="L85" i="76"/>
  <c r="M85" i="76"/>
  <c r="N85" i="76"/>
  <c r="D86" i="76"/>
  <c r="E86" i="76"/>
  <c r="F86" i="76"/>
  <c r="G86" i="76"/>
  <c r="H86" i="76"/>
  <c r="I86" i="76"/>
  <c r="J86" i="76"/>
  <c r="K86" i="76"/>
  <c r="L86" i="76"/>
  <c r="M86" i="76"/>
  <c r="N86" i="76"/>
  <c r="D87" i="76"/>
  <c r="E87" i="76"/>
  <c r="F87" i="76"/>
  <c r="G87" i="76"/>
  <c r="H87" i="76"/>
  <c r="I87" i="76"/>
  <c r="J87" i="76"/>
  <c r="K87" i="76"/>
  <c r="L87" i="76"/>
  <c r="M87" i="76"/>
  <c r="N87" i="76"/>
  <c r="D88" i="76"/>
  <c r="E88" i="76"/>
  <c r="F88" i="76"/>
  <c r="G88" i="76"/>
  <c r="H88" i="76"/>
  <c r="I88" i="76"/>
  <c r="J88" i="76"/>
  <c r="K88" i="76"/>
  <c r="L88" i="76"/>
  <c r="M88" i="76"/>
  <c r="N88" i="76"/>
  <c r="D89" i="76"/>
  <c r="E89" i="76"/>
  <c r="F89" i="76"/>
  <c r="G89" i="76"/>
  <c r="H89" i="76"/>
  <c r="I89" i="76"/>
  <c r="J89" i="76"/>
  <c r="K89" i="76"/>
  <c r="L89" i="76"/>
  <c r="M89" i="76"/>
  <c r="N89" i="76"/>
  <c r="D90" i="76"/>
  <c r="E90" i="76"/>
  <c r="F90" i="76"/>
  <c r="G90" i="76"/>
  <c r="H90" i="76"/>
  <c r="I90" i="76"/>
  <c r="J90" i="76"/>
  <c r="K90" i="76"/>
  <c r="L90" i="76"/>
  <c r="M90" i="76"/>
  <c r="N90" i="76"/>
  <c r="D91" i="76"/>
  <c r="E91" i="76"/>
  <c r="F91" i="76"/>
  <c r="G91" i="76"/>
  <c r="H91" i="76"/>
  <c r="I91" i="76"/>
  <c r="J91" i="76"/>
  <c r="K91" i="76"/>
  <c r="L91" i="76"/>
  <c r="M91" i="76"/>
  <c r="N91" i="76"/>
  <c r="D92" i="76"/>
  <c r="E92" i="76"/>
  <c r="F92" i="76"/>
  <c r="G92" i="76"/>
  <c r="H92" i="76"/>
  <c r="I92" i="76"/>
  <c r="J92" i="76"/>
  <c r="K92" i="76"/>
  <c r="L92" i="76"/>
  <c r="M92" i="76"/>
  <c r="N92" i="76"/>
  <c r="D93" i="76"/>
  <c r="E93" i="76"/>
  <c r="F93" i="76"/>
  <c r="G93" i="76"/>
  <c r="H93" i="76"/>
  <c r="I93" i="76"/>
  <c r="J93" i="76"/>
  <c r="K93" i="76"/>
  <c r="L93" i="76"/>
  <c r="M93" i="76"/>
  <c r="N93" i="76"/>
  <c r="D96" i="76"/>
  <c r="E96" i="76"/>
  <c r="F96" i="76"/>
  <c r="G96" i="76"/>
  <c r="H96" i="76"/>
  <c r="I96" i="76"/>
  <c r="J96" i="76"/>
  <c r="K96" i="76"/>
  <c r="L96" i="76"/>
  <c r="M96" i="76"/>
  <c r="N96" i="76"/>
  <c r="D98" i="76"/>
  <c r="E98" i="76"/>
  <c r="F98" i="76"/>
  <c r="G98" i="76"/>
  <c r="H98" i="76"/>
  <c r="I98" i="76"/>
  <c r="J98" i="76"/>
  <c r="K98" i="76"/>
  <c r="L98" i="76"/>
  <c r="M98" i="76"/>
  <c r="N98" i="76"/>
  <c r="D99" i="76"/>
  <c r="E99" i="76"/>
  <c r="F99" i="76"/>
  <c r="G99" i="76"/>
  <c r="H99" i="76"/>
  <c r="I99" i="76"/>
  <c r="J99" i="76"/>
  <c r="K99" i="76"/>
  <c r="L99" i="76"/>
  <c r="M99" i="76"/>
  <c r="N99" i="76"/>
  <c r="D100" i="76"/>
  <c r="E100" i="76"/>
  <c r="F100" i="76"/>
  <c r="G100" i="76"/>
  <c r="H100" i="76"/>
  <c r="I100" i="76"/>
  <c r="J100" i="76"/>
  <c r="K100" i="76"/>
  <c r="L100" i="76"/>
  <c r="M100" i="76"/>
  <c r="N100" i="76"/>
  <c r="D101" i="76"/>
  <c r="E101" i="76"/>
  <c r="F101" i="76"/>
  <c r="G101" i="76"/>
  <c r="H101" i="76"/>
  <c r="I101" i="76"/>
  <c r="J101" i="76"/>
  <c r="K101" i="76"/>
  <c r="L101" i="76"/>
  <c r="M101" i="76"/>
  <c r="N101" i="76"/>
  <c r="D102" i="76"/>
  <c r="E102" i="76"/>
  <c r="F102" i="76"/>
  <c r="G102" i="76"/>
  <c r="H102" i="76"/>
  <c r="I102" i="76"/>
  <c r="J102" i="76"/>
  <c r="K102" i="76"/>
  <c r="L102" i="76"/>
  <c r="M102" i="76"/>
  <c r="N102" i="76"/>
  <c r="D103" i="76"/>
  <c r="E103" i="76"/>
  <c r="F103" i="76"/>
  <c r="G103" i="76"/>
  <c r="H103" i="76"/>
  <c r="I103" i="76"/>
  <c r="J103" i="76"/>
  <c r="K103" i="76"/>
  <c r="L103" i="76"/>
  <c r="M103" i="76"/>
  <c r="N103" i="76"/>
  <c r="D104" i="76"/>
  <c r="E104" i="76"/>
  <c r="F104" i="76"/>
  <c r="G104" i="76"/>
  <c r="H104" i="76"/>
  <c r="I104" i="76"/>
  <c r="J104" i="76"/>
  <c r="K104" i="76"/>
  <c r="L104" i="76"/>
  <c r="M104" i="76"/>
  <c r="N104" i="76"/>
  <c r="D105" i="76"/>
  <c r="E105" i="76"/>
  <c r="F105" i="76"/>
  <c r="G105" i="76"/>
  <c r="H105" i="76"/>
  <c r="I105" i="76"/>
  <c r="J105" i="76"/>
  <c r="K105" i="76"/>
  <c r="L105" i="76"/>
  <c r="M105" i="76"/>
  <c r="N105" i="76"/>
  <c r="D106" i="76"/>
  <c r="E106" i="76"/>
  <c r="F106" i="76"/>
  <c r="G106" i="76"/>
  <c r="H106" i="76"/>
  <c r="I106" i="76"/>
  <c r="J106" i="76"/>
  <c r="K106" i="76"/>
  <c r="L106" i="76"/>
  <c r="M106" i="76"/>
  <c r="N106" i="76"/>
  <c r="D107" i="76"/>
  <c r="E107" i="76"/>
  <c r="F107" i="76"/>
  <c r="G107" i="76"/>
  <c r="H107" i="76"/>
  <c r="I107" i="76"/>
  <c r="J107" i="76"/>
  <c r="K107" i="76"/>
  <c r="L107" i="76"/>
  <c r="M107" i="76"/>
  <c r="N107" i="76"/>
  <c r="D108" i="76"/>
  <c r="E108" i="76"/>
  <c r="F108" i="76"/>
  <c r="G108" i="76"/>
  <c r="H108" i="76"/>
  <c r="I108" i="76"/>
  <c r="J108" i="76"/>
  <c r="K108" i="76"/>
  <c r="L108" i="76"/>
  <c r="M108" i="76"/>
  <c r="N108" i="76"/>
  <c r="D109" i="76"/>
  <c r="E109" i="76"/>
  <c r="F109" i="76"/>
  <c r="G109" i="76"/>
  <c r="H109" i="76"/>
  <c r="I109" i="76"/>
  <c r="J109" i="76"/>
  <c r="K109" i="76"/>
  <c r="L109" i="76"/>
  <c r="M109" i="76"/>
  <c r="N109" i="76"/>
  <c r="D110" i="76"/>
  <c r="E110" i="76"/>
  <c r="F110" i="76"/>
  <c r="G110" i="76"/>
  <c r="H110" i="76"/>
  <c r="I110" i="76"/>
  <c r="J110" i="76"/>
  <c r="K110" i="76"/>
  <c r="L110" i="76"/>
  <c r="M110" i="76"/>
  <c r="N110" i="76"/>
  <c r="D113" i="76"/>
  <c r="E113" i="76"/>
  <c r="F113" i="76"/>
  <c r="G113" i="76"/>
  <c r="H113" i="76"/>
  <c r="I113" i="76"/>
  <c r="J113" i="76"/>
  <c r="K113" i="76"/>
  <c r="L113" i="76"/>
  <c r="M113" i="76"/>
  <c r="N113" i="76"/>
  <c r="D115" i="76"/>
  <c r="E115" i="76"/>
  <c r="F115" i="76"/>
  <c r="G115" i="76"/>
  <c r="H115" i="76"/>
  <c r="I115" i="76"/>
  <c r="J115" i="76"/>
  <c r="K115" i="76"/>
  <c r="L115" i="76"/>
  <c r="M115" i="76"/>
  <c r="N115" i="76"/>
  <c r="D116" i="76"/>
  <c r="E116" i="76"/>
  <c r="F116" i="76"/>
  <c r="G116" i="76"/>
  <c r="H116" i="76"/>
  <c r="I116" i="76"/>
  <c r="J116" i="76"/>
  <c r="K116" i="76"/>
  <c r="L116" i="76"/>
  <c r="M116" i="76"/>
  <c r="N116" i="76"/>
  <c r="D117" i="76"/>
  <c r="E117" i="76"/>
  <c r="F117" i="76"/>
  <c r="G117" i="76"/>
  <c r="H117" i="76"/>
  <c r="I117" i="76"/>
  <c r="J117" i="76"/>
  <c r="K117" i="76"/>
  <c r="L117" i="76"/>
  <c r="M117" i="76"/>
  <c r="N117" i="76"/>
  <c r="D118" i="76"/>
  <c r="E118" i="76"/>
  <c r="F118" i="76"/>
  <c r="G118" i="76"/>
  <c r="H118" i="76"/>
  <c r="I118" i="76"/>
  <c r="J118" i="76"/>
  <c r="K118" i="76"/>
  <c r="L118" i="76"/>
  <c r="M118" i="76"/>
  <c r="N118" i="76"/>
  <c r="D119" i="76"/>
  <c r="E119" i="76"/>
  <c r="F119" i="76"/>
  <c r="G119" i="76"/>
  <c r="H119" i="76"/>
  <c r="I119" i="76"/>
  <c r="J119" i="76"/>
  <c r="K119" i="76"/>
  <c r="L119" i="76"/>
  <c r="M119" i="76"/>
  <c r="N119" i="76"/>
  <c r="D120" i="76"/>
  <c r="E120" i="76"/>
  <c r="F120" i="76"/>
  <c r="G120" i="76"/>
  <c r="H120" i="76"/>
  <c r="I120" i="76"/>
  <c r="J120" i="76"/>
  <c r="K120" i="76"/>
  <c r="L120" i="76"/>
  <c r="M120" i="76"/>
  <c r="N120" i="76"/>
  <c r="D121" i="76"/>
  <c r="E121" i="76"/>
  <c r="F121" i="76"/>
  <c r="G121" i="76"/>
  <c r="H121" i="76"/>
  <c r="I121" i="76"/>
  <c r="J121" i="76"/>
  <c r="K121" i="76"/>
  <c r="L121" i="76"/>
  <c r="M121" i="76"/>
  <c r="N121" i="76"/>
  <c r="D122" i="76"/>
  <c r="E122" i="76"/>
  <c r="F122" i="76"/>
  <c r="G122" i="76"/>
  <c r="H122" i="76"/>
  <c r="I122" i="76"/>
  <c r="J122" i="76"/>
  <c r="K122" i="76"/>
  <c r="L122" i="76"/>
  <c r="M122" i="76"/>
  <c r="N122" i="76"/>
  <c r="D123" i="76"/>
  <c r="E123" i="76"/>
  <c r="F123" i="76"/>
  <c r="G123" i="76"/>
  <c r="H123" i="76"/>
  <c r="I123" i="76"/>
  <c r="J123" i="76"/>
  <c r="K123" i="76"/>
  <c r="L123" i="76"/>
  <c r="M123" i="76"/>
  <c r="N123" i="76"/>
  <c r="D124" i="76"/>
  <c r="E124" i="76"/>
  <c r="F124" i="76"/>
  <c r="G124" i="76"/>
  <c r="H124" i="76"/>
  <c r="I124" i="76"/>
  <c r="J124" i="76"/>
  <c r="K124" i="76"/>
  <c r="L124" i="76"/>
  <c r="M124" i="76"/>
  <c r="N124" i="76"/>
  <c r="D125" i="76"/>
  <c r="E125" i="76"/>
  <c r="F125" i="76"/>
  <c r="G125" i="76"/>
  <c r="H125" i="76"/>
  <c r="I125" i="76"/>
  <c r="J125" i="76"/>
  <c r="K125" i="76"/>
  <c r="L125" i="76"/>
  <c r="M125" i="76"/>
  <c r="N125" i="76"/>
  <c r="D126" i="76"/>
  <c r="E126" i="76"/>
  <c r="F126" i="76"/>
  <c r="G126" i="76"/>
  <c r="H126" i="76"/>
  <c r="I126" i="76"/>
  <c r="J126" i="76"/>
  <c r="K126" i="76"/>
  <c r="L126" i="76"/>
  <c r="M126" i="76"/>
  <c r="N126" i="76"/>
  <c r="D127" i="76"/>
  <c r="E127" i="76"/>
  <c r="F127" i="76"/>
  <c r="G127" i="76"/>
  <c r="H127" i="76"/>
  <c r="I127" i="76"/>
  <c r="J127" i="76"/>
  <c r="K127" i="76"/>
  <c r="L127" i="76"/>
  <c r="M127" i="76"/>
  <c r="N127" i="76"/>
  <c r="D128" i="76"/>
  <c r="E128" i="76"/>
  <c r="F128" i="76"/>
  <c r="G128" i="76"/>
  <c r="H128" i="76"/>
  <c r="I128" i="76"/>
  <c r="J128" i="76"/>
  <c r="K128" i="76"/>
  <c r="L128" i="76"/>
  <c r="M128" i="76"/>
  <c r="N128" i="76"/>
  <c r="D131" i="76"/>
  <c r="E131" i="76"/>
  <c r="F131" i="76"/>
  <c r="G131" i="76"/>
  <c r="H131" i="76"/>
  <c r="I131" i="76"/>
  <c r="J131" i="76"/>
  <c r="K131" i="76"/>
  <c r="L131" i="76"/>
  <c r="M131" i="76"/>
  <c r="N131" i="76"/>
  <c r="D133" i="76"/>
  <c r="E133" i="76"/>
  <c r="F133" i="76"/>
  <c r="G133" i="76"/>
  <c r="H133" i="76"/>
  <c r="I133" i="76"/>
  <c r="J133" i="76"/>
  <c r="K133" i="76"/>
  <c r="L133" i="76"/>
  <c r="M133" i="76"/>
  <c r="N133" i="76"/>
  <c r="D134" i="76"/>
  <c r="E134" i="76"/>
  <c r="F134" i="76"/>
  <c r="G134" i="76"/>
  <c r="H134" i="76"/>
  <c r="I134" i="76"/>
  <c r="J134" i="76"/>
  <c r="K134" i="76"/>
  <c r="L134" i="76"/>
  <c r="M134" i="76"/>
  <c r="N134" i="76"/>
  <c r="D135" i="76"/>
  <c r="E135" i="76"/>
  <c r="F135" i="76"/>
  <c r="G135" i="76"/>
  <c r="H135" i="76"/>
  <c r="I135" i="76"/>
  <c r="J135" i="76"/>
  <c r="K135" i="76"/>
  <c r="L135" i="76"/>
  <c r="M135" i="76"/>
  <c r="N135" i="76"/>
  <c r="D136" i="76"/>
  <c r="E136" i="76"/>
  <c r="F136" i="76"/>
  <c r="G136" i="76"/>
  <c r="H136" i="76"/>
  <c r="I136" i="76"/>
  <c r="J136" i="76"/>
  <c r="K136" i="76"/>
  <c r="L136" i="76"/>
  <c r="M136" i="76"/>
  <c r="N136" i="76"/>
  <c r="D137" i="76"/>
  <c r="E137" i="76"/>
  <c r="F137" i="76"/>
  <c r="G137" i="76"/>
  <c r="H137" i="76"/>
  <c r="I137" i="76"/>
  <c r="J137" i="76"/>
  <c r="K137" i="76"/>
  <c r="L137" i="76"/>
  <c r="M137" i="76"/>
  <c r="N137" i="76"/>
  <c r="D138" i="76"/>
  <c r="E138" i="76"/>
  <c r="F138" i="76"/>
  <c r="G138" i="76"/>
  <c r="H138" i="76"/>
  <c r="I138" i="76"/>
  <c r="J138" i="76"/>
  <c r="K138" i="76"/>
  <c r="L138" i="76"/>
  <c r="M138" i="76"/>
  <c r="N138" i="76"/>
  <c r="D139" i="76"/>
  <c r="E139" i="76"/>
  <c r="F139" i="76"/>
  <c r="G139" i="76"/>
  <c r="H139" i="76"/>
  <c r="I139" i="76"/>
  <c r="J139" i="76"/>
  <c r="K139" i="76"/>
  <c r="L139" i="76"/>
  <c r="M139" i="76"/>
  <c r="N139" i="76"/>
  <c r="D140" i="76"/>
  <c r="E140" i="76"/>
  <c r="F140" i="76"/>
  <c r="G140" i="76"/>
  <c r="H140" i="76"/>
  <c r="I140" i="76"/>
  <c r="J140" i="76"/>
  <c r="K140" i="76"/>
  <c r="L140" i="76"/>
  <c r="M140" i="76"/>
  <c r="N140" i="76"/>
  <c r="D141" i="76"/>
  <c r="E141" i="76"/>
  <c r="F141" i="76"/>
  <c r="G141" i="76"/>
  <c r="H141" i="76"/>
  <c r="I141" i="76"/>
  <c r="J141" i="76"/>
  <c r="K141" i="76"/>
  <c r="L141" i="76"/>
  <c r="M141" i="76"/>
  <c r="N141" i="76"/>
  <c r="D142" i="76"/>
  <c r="E142" i="76"/>
  <c r="F142" i="76"/>
  <c r="G142" i="76"/>
  <c r="H142" i="76"/>
  <c r="I142" i="76"/>
  <c r="J142" i="76"/>
  <c r="K142" i="76"/>
  <c r="L142" i="76"/>
  <c r="M142" i="76"/>
  <c r="N142" i="76"/>
  <c r="D143" i="76"/>
  <c r="E143" i="76"/>
  <c r="F143" i="76"/>
  <c r="G143" i="76"/>
  <c r="H143" i="76"/>
  <c r="I143" i="76"/>
  <c r="J143" i="76"/>
  <c r="K143" i="76"/>
  <c r="L143" i="76"/>
  <c r="M143" i="76"/>
  <c r="N143" i="76"/>
  <c r="D144" i="76"/>
  <c r="E144" i="76"/>
  <c r="F144" i="76"/>
  <c r="G144" i="76"/>
  <c r="H144" i="76"/>
  <c r="I144" i="76"/>
  <c r="J144" i="76"/>
  <c r="K144" i="76"/>
  <c r="L144" i="76"/>
  <c r="M144" i="76"/>
  <c r="N144" i="76"/>
  <c r="D145" i="76"/>
  <c r="E145" i="76"/>
  <c r="F145" i="76"/>
  <c r="G145" i="76"/>
  <c r="H145" i="76"/>
  <c r="I145" i="76"/>
  <c r="J145" i="76"/>
  <c r="K145" i="76"/>
  <c r="L145" i="76"/>
  <c r="M145" i="76"/>
  <c r="N145" i="76"/>
  <c r="D146" i="76"/>
  <c r="E146" i="76"/>
  <c r="F146" i="76"/>
  <c r="G146" i="76"/>
  <c r="H146" i="76"/>
  <c r="I146" i="76"/>
  <c r="J146" i="76"/>
  <c r="K146" i="76"/>
  <c r="L146" i="76"/>
  <c r="M146" i="76"/>
  <c r="N146" i="76"/>
  <c r="D149" i="76"/>
  <c r="E149" i="76"/>
  <c r="F149" i="76"/>
  <c r="G149" i="76"/>
  <c r="H149" i="76"/>
  <c r="I149" i="76"/>
  <c r="J149" i="76"/>
  <c r="K149" i="76"/>
  <c r="L149" i="76"/>
  <c r="M149" i="76"/>
  <c r="N149" i="76"/>
  <c r="A135" i="76"/>
  <c r="B135" i="76"/>
  <c r="C135" i="76"/>
  <c r="A136" i="76"/>
  <c r="B136" i="76"/>
  <c r="C136" i="76"/>
  <c r="A137" i="76"/>
  <c r="B137" i="76"/>
  <c r="C137" i="76"/>
  <c r="A138" i="76"/>
  <c r="B138" i="76"/>
  <c r="C138" i="76"/>
  <c r="A139" i="76"/>
  <c r="B139" i="76"/>
  <c r="C139" i="76"/>
  <c r="A140" i="76"/>
  <c r="B140" i="76"/>
  <c r="C140" i="76"/>
  <c r="A141" i="76"/>
  <c r="B141" i="76"/>
  <c r="C141" i="76"/>
  <c r="A142" i="76"/>
  <c r="B142" i="76"/>
  <c r="C142" i="76"/>
  <c r="A143" i="76"/>
  <c r="B143" i="76"/>
  <c r="C143" i="76"/>
  <c r="A144" i="76"/>
  <c r="B144" i="76"/>
  <c r="C144" i="76"/>
  <c r="A145" i="76"/>
  <c r="B145" i="76"/>
  <c r="C145" i="76"/>
  <c r="A146" i="76"/>
  <c r="B146" i="76"/>
  <c r="C146" i="76"/>
  <c r="A147" i="76"/>
  <c r="B147" i="76"/>
  <c r="C147" i="76"/>
  <c r="A148" i="76"/>
  <c r="B148" i="76"/>
  <c r="C148" i="76"/>
  <c r="A149" i="76"/>
  <c r="B149" i="76"/>
  <c r="C149" i="76"/>
  <c r="A150" i="76"/>
  <c r="B150" i="76"/>
  <c r="C150" i="76"/>
  <c r="V134" i="76"/>
  <c r="U134" i="76"/>
  <c r="T134" i="76"/>
  <c r="S134" i="76"/>
  <c r="C134" i="76"/>
  <c r="B134" i="76"/>
  <c r="A134" i="76"/>
  <c r="V133" i="76"/>
  <c r="U133" i="76"/>
  <c r="T133" i="76"/>
  <c r="S133" i="76"/>
  <c r="C133" i="76"/>
  <c r="B133" i="76"/>
  <c r="A133" i="76"/>
  <c r="AC132" i="76"/>
  <c r="AB132" i="76"/>
  <c r="AA132" i="76"/>
  <c r="V132" i="76"/>
  <c r="U132" i="76"/>
  <c r="T132" i="76"/>
  <c r="S132" i="76"/>
  <c r="C132" i="76"/>
  <c r="B132" i="76"/>
  <c r="A132" i="76"/>
  <c r="AC131" i="76"/>
  <c r="AB131" i="76"/>
  <c r="AA131" i="76"/>
  <c r="V131" i="76"/>
  <c r="U131" i="76"/>
  <c r="T131" i="76"/>
  <c r="S131" i="76"/>
  <c r="C131" i="76"/>
  <c r="B131" i="76"/>
  <c r="A131" i="76"/>
  <c r="AC130" i="76"/>
  <c r="AB130" i="76"/>
  <c r="AA130" i="76"/>
  <c r="V130" i="76"/>
  <c r="U130" i="76"/>
  <c r="T130" i="76"/>
  <c r="S130" i="76"/>
  <c r="C130" i="76"/>
  <c r="B130" i="76"/>
  <c r="A130" i="76"/>
  <c r="AC129" i="76"/>
  <c r="AB129" i="76"/>
  <c r="AA129" i="76"/>
  <c r="V129" i="76"/>
  <c r="U129" i="76"/>
  <c r="T129" i="76"/>
  <c r="S129" i="76"/>
  <c r="C129" i="76"/>
  <c r="B129" i="76"/>
  <c r="A129" i="76"/>
  <c r="AC128" i="76"/>
  <c r="AB128" i="76"/>
  <c r="AA128" i="76"/>
  <c r="V128" i="76"/>
  <c r="U128" i="76"/>
  <c r="T128" i="76"/>
  <c r="S128" i="76"/>
  <c r="C128" i="76"/>
  <c r="B128" i="76"/>
  <c r="A128" i="76"/>
  <c r="AC127" i="76"/>
  <c r="AB127" i="76"/>
  <c r="AA127" i="76"/>
  <c r="V127" i="76"/>
  <c r="U127" i="76"/>
  <c r="T127" i="76"/>
  <c r="S127" i="76"/>
  <c r="C127" i="76"/>
  <c r="B127" i="76"/>
  <c r="A127" i="76"/>
  <c r="AC126" i="76"/>
  <c r="AB126" i="76"/>
  <c r="AA126" i="76"/>
  <c r="V126" i="76"/>
  <c r="U126" i="76"/>
  <c r="T126" i="76"/>
  <c r="S126" i="76"/>
  <c r="C126" i="76"/>
  <c r="B126" i="76"/>
  <c r="A126" i="76"/>
  <c r="AC125" i="76"/>
  <c r="AB125" i="76"/>
  <c r="AA125" i="76"/>
  <c r="V125" i="76"/>
  <c r="U125" i="76"/>
  <c r="T125" i="76"/>
  <c r="S125" i="76"/>
  <c r="C125" i="76"/>
  <c r="B125" i="76"/>
  <c r="A125" i="76"/>
  <c r="AC124" i="76"/>
  <c r="AB124" i="76"/>
  <c r="AA124" i="76"/>
  <c r="V124" i="76"/>
  <c r="U124" i="76"/>
  <c r="T124" i="76"/>
  <c r="S124" i="76"/>
  <c r="C124" i="76"/>
  <c r="B124" i="76"/>
  <c r="A124" i="76"/>
  <c r="AC123" i="76"/>
  <c r="AB123" i="76"/>
  <c r="AA123" i="76"/>
  <c r="V123" i="76"/>
  <c r="U123" i="76"/>
  <c r="T123" i="76"/>
  <c r="S123" i="76"/>
  <c r="C123" i="76"/>
  <c r="B123" i="76"/>
  <c r="A123" i="76"/>
  <c r="AC122" i="76"/>
  <c r="AB122" i="76"/>
  <c r="AA122" i="76"/>
  <c r="V122" i="76"/>
  <c r="U122" i="76"/>
  <c r="T122" i="76"/>
  <c r="S122" i="76"/>
  <c r="C122" i="76"/>
  <c r="B122" i="76"/>
  <c r="A122" i="76"/>
  <c r="AC121" i="76"/>
  <c r="AB121" i="76"/>
  <c r="AA121" i="76"/>
  <c r="V121" i="76"/>
  <c r="U121" i="76"/>
  <c r="T121" i="76"/>
  <c r="S121" i="76"/>
  <c r="C121" i="76"/>
  <c r="B121" i="76"/>
  <c r="A121" i="76"/>
  <c r="AC120" i="76"/>
  <c r="AB120" i="76"/>
  <c r="AA120" i="76"/>
  <c r="V120" i="76"/>
  <c r="U120" i="76"/>
  <c r="T120" i="76"/>
  <c r="S120" i="76"/>
  <c r="C120" i="76"/>
  <c r="B120" i="76"/>
  <c r="A120" i="76"/>
  <c r="AC119" i="76"/>
  <c r="AB119" i="76"/>
  <c r="AA119" i="76"/>
  <c r="V119" i="76"/>
  <c r="U119" i="76"/>
  <c r="T119" i="76"/>
  <c r="S119" i="76"/>
  <c r="C119" i="76"/>
  <c r="B119" i="76"/>
  <c r="A119" i="76"/>
  <c r="AC118" i="76"/>
  <c r="AB118" i="76"/>
  <c r="AA118" i="76"/>
  <c r="V118" i="76"/>
  <c r="U118" i="76"/>
  <c r="T118" i="76"/>
  <c r="S118" i="76"/>
  <c r="C118" i="76"/>
  <c r="B118" i="76"/>
  <c r="A118" i="76"/>
  <c r="AC117" i="76"/>
  <c r="AB117" i="76"/>
  <c r="AA117" i="76"/>
  <c r="V117" i="76"/>
  <c r="U117" i="76"/>
  <c r="T117" i="76"/>
  <c r="S117" i="76"/>
  <c r="C117" i="76"/>
  <c r="B117" i="76"/>
  <c r="A117" i="76"/>
  <c r="AC116" i="76"/>
  <c r="AB116" i="76"/>
  <c r="AA116" i="76"/>
  <c r="V116" i="76"/>
  <c r="U116" i="76"/>
  <c r="T116" i="76"/>
  <c r="S116" i="76"/>
  <c r="C116" i="76"/>
  <c r="B116" i="76"/>
  <c r="A116" i="76"/>
  <c r="AC115" i="76"/>
  <c r="AB115" i="76"/>
  <c r="AA115" i="76"/>
  <c r="V115" i="76"/>
  <c r="U115" i="76"/>
  <c r="T115" i="76"/>
  <c r="S115" i="76"/>
  <c r="C115" i="76"/>
  <c r="B115" i="76"/>
  <c r="A115" i="76"/>
  <c r="AC114" i="76"/>
  <c r="AB114" i="76"/>
  <c r="AA114" i="76"/>
  <c r="V114" i="76"/>
  <c r="U114" i="76"/>
  <c r="T114" i="76"/>
  <c r="S114" i="76"/>
  <c r="C114" i="76"/>
  <c r="B114" i="76"/>
  <c r="A114" i="76"/>
  <c r="AC113" i="76"/>
  <c r="AB113" i="76"/>
  <c r="AA113" i="76"/>
  <c r="V113" i="76"/>
  <c r="U113" i="76"/>
  <c r="T113" i="76"/>
  <c r="S113" i="76"/>
  <c r="C113" i="76"/>
  <c r="B113" i="76"/>
  <c r="A113" i="76"/>
  <c r="AC112" i="76"/>
  <c r="AB112" i="76"/>
  <c r="AA112" i="76"/>
  <c r="V112" i="76"/>
  <c r="U112" i="76"/>
  <c r="T112" i="76"/>
  <c r="S112" i="76"/>
  <c r="C112" i="76"/>
  <c r="B112" i="76"/>
  <c r="A112" i="76"/>
  <c r="AC111" i="76"/>
  <c r="AB111" i="76"/>
  <c r="AA111" i="76"/>
  <c r="V111" i="76"/>
  <c r="U111" i="76"/>
  <c r="T111" i="76"/>
  <c r="S111" i="76"/>
  <c r="C111" i="76"/>
  <c r="B111" i="76"/>
  <c r="A111" i="76"/>
  <c r="AC110" i="76"/>
  <c r="AB110" i="76"/>
  <c r="AA110" i="76"/>
  <c r="V110" i="76"/>
  <c r="U110" i="76"/>
  <c r="T110" i="76"/>
  <c r="S110" i="76"/>
  <c r="C110" i="76"/>
  <c r="B110" i="76"/>
  <c r="A110" i="76"/>
  <c r="AC109" i="76"/>
  <c r="AB109" i="76"/>
  <c r="AA109" i="76"/>
  <c r="V109" i="76"/>
  <c r="U109" i="76"/>
  <c r="T109" i="76"/>
  <c r="S109" i="76"/>
  <c r="C109" i="76"/>
  <c r="B109" i="76"/>
  <c r="A109" i="76"/>
  <c r="AC108" i="76"/>
  <c r="AB108" i="76"/>
  <c r="AA108" i="76"/>
  <c r="V108" i="76"/>
  <c r="U108" i="76"/>
  <c r="T108" i="76"/>
  <c r="S108" i="76"/>
  <c r="C108" i="76"/>
  <c r="B108" i="76"/>
  <c r="A108" i="76"/>
  <c r="AC107" i="76"/>
  <c r="AB107" i="76"/>
  <c r="AA107" i="76"/>
  <c r="V107" i="76"/>
  <c r="U107" i="76"/>
  <c r="T107" i="76"/>
  <c r="S107" i="76"/>
  <c r="C107" i="76"/>
  <c r="B107" i="76"/>
  <c r="A107" i="76"/>
  <c r="AC106" i="76"/>
  <c r="AB106" i="76"/>
  <c r="AA106" i="76"/>
  <c r="V106" i="76"/>
  <c r="U106" i="76"/>
  <c r="T106" i="76"/>
  <c r="S106" i="76"/>
  <c r="C106" i="76"/>
  <c r="B106" i="76"/>
  <c r="A106" i="76"/>
  <c r="AC105" i="76"/>
  <c r="AB105" i="76"/>
  <c r="AA105" i="76"/>
  <c r="V105" i="76"/>
  <c r="U105" i="76"/>
  <c r="T105" i="76"/>
  <c r="S105" i="76"/>
  <c r="C105" i="76"/>
  <c r="B105" i="76"/>
  <c r="A105" i="76"/>
  <c r="AC104" i="76"/>
  <c r="AB104" i="76"/>
  <c r="AA104" i="76"/>
  <c r="V104" i="76"/>
  <c r="U104" i="76"/>
  <c r="T104" i="76"/>
  <c r="S104" i="76"/>
  <c r="C104" i="76"/>
  <c r="B104" i="76"/>
  <c r="A104" i="76"/>
  <c r="AC103" i="76"/>
  <c r="AB103" i="76"/>
  <c r="AA103" i="76"/>
  <c r="V103" i="76"/>
  <c r="U103" i="76"/>
  <c r="T103" i="76"/>
  <c r="S103" i="76"/>
  <c r="C103" i="76"/>
  <c r="B103" i="76"/>
  <c r="A103" i="76"/>
  <c r="AC102" i="76"/>
  <c r="AB102" i="76"/>
  <c r="AA102" i="76"/>
  <c r="V102" i="76"/>
  <c r="U102" i="76"/>
  <c r="T102" i="76"/>
  <c r="S102" i="76"/>
  <c r="C102" i="76"/>
  <c r="B102" i="76"/>
  <c r="A102" i="76"/>
  <c r="AC101" i="76"/>
  <c r="AB101" i="76"/>
  <c r="AA101" i="76"/>
  <c r="V101" i="76"/>
  <c r="U101" i="76"/>
  <c r="T101" i="76"/>
  <c r="S101" i="76"/>
  <c r="C101" i="76"/>
  <c r="B101" i="76"/>
  <c r="A101" i="76"/>
  <c r="AC100" i="76"/>
  <c r="AB100" i="76"/>
  <c r="AA100" i="76"/>
  <c r="V100" i="76"/>
  <c r="U100" i="76"/>
  <c r="T100" i="76"/>
  <c r="S100" i="76"/>
  <c r="C100" i="76"/>
  <c r="B100" i="76"/>
  <c r="A100" i="76"/>
  <c r="AC99" i="76"/>
  <c r="AB99" i="76"/>
  <c r="AA99" i="76"/>
  <c r="V99" i="76"/>
  <c r="U99" i="76"/>
  <c r="T99" i="76"/>
  <c r="S99" i="76"/>
  <c r="C99" i="76"/>
  <c r="B99" i="76"/>
  <c r="A99" i="76"/>
  <c r="AC98" i="76"/>
  <c r="AB98" i="76"/>
  <c r="AA98" i="76"/>
  <c r="V98" i="76"/>
  <c r="U98" i="76"/>
  <c r="T98" i="76"/>
  <c r="S98" i="76"/>
  <c r="C98" i="76"/>
  <c r="B98" i="76"/>
  <c r="A98" i="76"/>
  <c r="AC97" i="76"/>
  <c r="AB97" i="76"/>
  <c r="AA97" i="76"/>
  <c r="V97" i="76"/>
  <c r="U97" i="76"/>
  <c r="T97" i="76"/>
  <c r="S97" i="76"/>
  <c r="C97" i="76"/>
  <c r="B97" i="76"/>
  <c r="A97" i="76"/>
  <c r="AC96" i="76"/>
  <c r="AB96" i="76"/>
  <c r="AA96" i="76"/>
  <c r="V96" i="76"/>
  <c r="U96" i="76"/>
  <c r="T96" i="76"/>
  <c r="S96" i="76"/>
  <c r="C96" i="76"/>
  <c r="B96" i="76"/>
  <c r="A96" i="76"/>
  <c r="AC95" i="76"/>
  <c r="AB95" i="76"/>
  <c r="AA95" i="76"/>
  <c r="V95" i="76"/>
  <c r="U95" i="76"/>
  <c r="T95" i="76"/>
  <c r="S95" i="76"/>
  <c r="C95" i="76"/>
  <c r="B95" i="76"/>
  <c r="A95" i="76"/>
  <c r="AC94" i="76"/>
  <c r="AB94" i="76"/>
  <c r="AA94" i="76"/>
  <c r="V94" i="76"/>
  <c r="U94" i="76"/>
  <c r="T94" i="76"/>
  <c r="S94" i="76"/>
  <c r="C94" i="76"/>
  <c r="B94" i="76"/>
  <c r="A94" i="76"/>
  <c r="AC93" i="76"/>
  <c r="AB93" i="76"/>
  <c r="AA93" i="76"/>
  <c r="V93" i="76"/>
  <c r="U93" i="76"/>
  <c r="T93" i="76"/>
  <c r="S93" i="76"/>
  <c r="C93" i="76"/>
  <c r="B93" i="76"/>
  <c r="A93" i="76"/>
  <c r="AC92" i="76"/>
  <c r="AB92" i="76"/>
  <c r="AA92" i="76"/>
  <c r="V92" i="76"/>
  <c r="U92" i="76"/>
  <c r="T92" i="76"/>
  <c r="S92" i="76"/>
  <c r="C92" i="76"/>
  <c r="B92" i="76"/>
  <c r="A92" i="76"/>
  <c r="AC91" i="76"/>
  <c r="AB91" i="76"/>
  <c r="AA91" i="76"/>
  <c r="V91" i="76"/>
  <c r="U91" i="76"/>
  <c r="T91" i="76"/>
  <c r="S91" i="76"/>
  <c r="C91" i="76"/>
  <c r="B91" i="76"/>
  <c r="A91" i="76"/>
  <c r="AC90" i="76"/>
  <c r="AB90" i="76"/>
  <c r="AA90" i="76"/>
  <c r="V90" i="76"/>
  <c r="U90" i="76"/>
  <c r="T90" i="76"/>
  <c r="S90" i="76"/>
  <c r="C90" i="76"/>
  <c r="B90" i="76"/>
  <c r="A90" i="76"/>
  <c r="AC89" i="76"/>
  <c r="AB89" i="76"/>
  <c r="AA89" i="76"/>
  <c r="V89" i="76"/>
  <c r="U89" i="76"/>
  <c r="T89" i="76"/>
  <c r="S89" i="76"/>
  <c r="C89" i="76"/>
  <c r="B89" i="76"/>
  <c r="A89" i="76"/>
  <c r="AC88" i="76"/>
  <c r="AB88" i="76"/>
  <c r="AA88" i="76"/>
  <c r="V88" i="76"/>
  <c r="U88" i="76"/>
  <c r="T88" i="76"/>
  <c r="S88" i="76"/>
  <c r="C88" i="76"/>
  <c r="B88" i="76"/>
  <c r="A88" i="76"/>
  <c r="AC87" i="76"/>
  <c r="AB87" i="76"/>
  <c r="AA87" i="76"/>
  <c r="V87" i="76"/>
  <c r="U87" i="76"/>
  <c r="T87" i="76"/>
  <c r="S87" i="76"/>
  <c r="C87" i="76"/>
  <c r="B87" i="76"/>
  <c r="A87" i="76"/>
  <c r="AC86" i="76"/>
  <c r="AB86" i="76"/>
  <c r="AA86" i="76"/>
  <c r="V86" i="76"/>
  <c r="U86" i="76"/>
  <c r="T86" i="76"/>
  <c r="S86" i="76"/>
  <c r="C86" i="76"/>
  <c r="B86" i="76"/>
  <c r="A86" i="76"/>
  <c r="AC85" i="76"/>
  <c r="AB85" i="76"/>
  <c r="AA85" i="76"/>
  <c r="V85" i="76"/>
  <c r="U85" i="76"/>
  <c r="T85" i="76"/>
  <c r="S85" i="76"/>
  <c r="C85" i="76"/>
  <c r="B85" i="76"/>
  <c r="A85" i="76"/>
  <c r="AC84" i="76"/>
  <c r="AB84" i="76"/>
  <c r="AA84" i="76"/>
  <c r="V84" i="76"/>
  <c r="U84" i="76"/>
  <c r="T84" i="76"/>
  <c r="S84" i="76"/>
  <c r="C84" i="76"/>
  <c r="B84" i="76"/>
  <c r="A84" i="76"/>
  <c r="AC83" i="76"/>
  <c r="AB83" i="76"/>
  <c r="AA83" i="76"/>
  <c r="V83" i="76"/>
  <c r="U83" i="76"/>
  <c r="T83" i="76"/>
  <c r="S83" i="76"/>
  <c r="C83" i="76"/>
  <c r="B83" i="76"/>
  <c r="A83" i="76"/>
  <c r="AC82" i="76"/>
  <c r="AB82" i="76"/>
  <c r="AA82" i="76"/>
  <c r="V82" i="76"/>
  <c r="U82" i="76"/>
  <c r="T82" i="76"/>
  <c r="S82" i="76"/>
  <c r="C82" i="76"/>
  <c r="B82" i="76"/>
  <c r="A82" i="76"/>
  <c r="AC81" i="76"/>
  <c r="AB81" i="76"/>
  <c r="AA81" i="76"/>
  <c r="V81" i="76"/>
  <c r="U81" i="76"/>
  <c r="T81" i="76"/>
  <c r="S81" i="76"/>
  <c r="C81" i="76"/>
  <c r="B81" i="76"/>
  <c r="A81" i="76"/>
  <c r="AC80" i="76"/>
  <c r="AB80" i="76"/>
  <c r="AA80" i="76"/>
  <c r="V80" i="76"/>
  <c r="U80" i="76"/>
  <c r="T80" i="76"/>
  <c r="S80" i="76"/>
  <c r="C80" i="76"/>
  <c r="B80" i="76"/>
  <c r="A80" i="76"/>
  <c r="AC79" i="76"/>
  <c r="AB79" i="76"/>
  <c r="AA79" i="76"/>
  <c r="V79" i="76"/>
  <c r="U79" i="76"/>
  <c r="T79" i="76"/>
  <c r="S79" i="76"/>
  <c r="C79" i="76"/>
  <c r="B79" i="76"/>
  <c r="A79" i="76"/>
  <c r="AC78" i="76"/>
  <c r="AB78" i="76"/>
  <c r="AA78" i="76"/>
  <c r="V78" i="76"/>
  <c r="U78" i="76"/>
  <c r="T78" i="76"/>
  <c r="S78" i="76"/>
  <c r="C78" i="76"/>
  <c r="B78" i="76"/>
  <c r="A78" i="76"/>
  <c r="AC77" i="76"/>
  <c r="AB77" i="76"/>
  <c r="AA77" i="76"/>
  <c r="V77" i="76"/>
  <c r="U77" i="76"/>
  <c r="T77" i="76"/>
  <c r="S77" i="76"/>
  <c r="C77" i="76"/>
  <c r="B77" i="76"/>
  <c r="A77" i="76"/>
  <c r="AC76" i="76"/>
  <c r="AB76" i="76"/>
  <c r="AA76" i="76"/>
  <c r="V76" i="76"/>
  <c r="U76" i="76"/>
  <c r="T76" i="76"/>
  <c r="S76" i="76"/>
  <c r="C76" i="76"/>
  <c r="B76" i="76"/>
  <c r="A76" i="76"/>
  <c r="AC75" i="76"/>
  <c r="AB75" i="76"/>
  <c r="AA75" i="76"/>
  <c r="V75" i="76"/>
  <c r="U75" i="76"/>
  <c r="T75" i="76"/>
  <c r="S75" i="76"/>
  <c r="C75" i="76"/>
  <c r="B75" i="76"/>
  <c r="A75" i="76"/>
  <c r="AC74" i="76"/>
  <c r="AB74" i="76"/>
  <c r="AA74" i="76"/>
  <c r="V74" i="76"/>
  <c r="U74" i="76"/>
  <c r="T74" i="76"/>
  <c r="S74" i="76"/>
  <c r="C74" i="76"/>
  <c r="B74" i="76"/>
  <c r="A74" i="76"/>
  <c r="AC73" i="76"/>
  <c r="AB73" i="76"/>
  <c r="AA73" i="76"/>
  <c r="V73" i="76"/>
  <c r="U73" i="76"/>
  <c r="T73" i="76"/>
  <c r="S73" i="76"/>
  <c r="C73" i="76"/>
  <c r="B73" i="76"/>
  <c r="A73" i="76"/>
  <c r="AC72" i="76"/>
  <c r="AB72" i="76"/>
  <c r="AA72" i="76"/>
  <c r="V72" i="76"/>
  <c r="U72" i="76"/>
  <c r="T72" i="76"/>
  <c r="S72" i="76"/>
  <c r="C72" i="76"/>
  <c r="B72" i="76"/>
  <c r="A72" i="76"/>
  <c r="AC71" i="76"/>
  <c r="AB71" i="76"/>
  <c r="AA71" i="76"/>
  <c r="V71" i="76"/>
  <c r="U71" i="76"/>
  <c r="T71" i="76"/>
  <c r="S71" i="76"/>
  <c r="C71" i="76"/>
  <c r="B71" i="76"/>
  <c r="A71" i="76"/>
  <c r="AC70" i="76"/>
  <c r="AB70" i="76"/>
  <c r="AA70" i="76"/>
  <c r="V70" i="76"/>
  <c r="U70" i="76"/>
  <c r="T70" i="76"/>
  <c r="S70" i="76"/>
  <c r="C70" i="76"/>
  <c r="B70" i="76"/>
  <c r="A70" i="76"/>
  <c r="AC69" i="76"/>
  <c r="AB69" i="76"/>
  <c r="AA69" i="76"/>
  <c r="V69" i="76"/>
  <c r="U69" i="76"/>
  <c r="T69" i="76"/>
  <c r="S69" i="76"/>
  <c r="C69" i="76"/>
  <c r="B69" i="76"/>
  <c r="A69" i="76"/>
  <c r="AC68" i="76"/>
  <c r="AB68" i="76"/>
  <c r="AA68" i="76"/>
  <c r="V68" i="76"/>
  <c r="U68" i="76"/>
  <c r="T68" i="76"/>
  <c r="S68" i="76"/>
  <c r="C68" i="76"/>
  <c r="B68" i="76"/>
  <c r="A68" i="76"/>
  <c r="AC67" i="76"/>
  <c r="AB67" i="76"/>
  <c r="AA67" i="76"/>
  <c r="V67" i="76"/>
  <c r="U67" i="76"/>
  <c r="T67" i="76"/>
  <c r="S67" i="76"/>
  <c r="C67" i="76"/>
  <c r="B67" i="76"/>
  <c r="A67" i="76"/>
  <c r="AC66" i="76"/>
  <c r="AB66" i="76"/>
  <c r="AA66" i="76"/>
  <c r="V66" i="76"/>
  <c r="U66" i="76"/>
  <c r="T66" i="76"/>
  <c r="S66" i="76"/>
  <c r="C66" i="76"/>
  <c r="B66" i="76"/>
  <c r="A66" i="76"/>
  <c r="AC65" i="76"/>
  <c r="AB65" i="76"/>
  <c r="AA65" i="76"/>
  <c r="V65" i="76"/>
  <c r="U65" i="76"/>
  <c r="T65" i="76"/>
  <c r="S65" i="76"/>
  <c r="C65" i="76"/>
  <c r="B65" i="76"/>
  <c r="A65" i="76"/>
  <c r="AC64" i="76"/>
  <c r="AB64" i="76"/>
  <c r="AA64" i="76"/>
  <c r="V64" i="76"/>
  <c r="U64" i="76"/>
  <c r="T64" i="76"/>
  <c r="S64" i="76"/>
  <c r="C64" i="76"/>
  <c r="B64" i="76"/>
  <c r="A64" i="76"/>
  <c r="AC63" i="76"/>
  <c r="AB63" i="76"/>
  <c r="AA63" i="76"/>
  <c r="V63" i="76"/>
  <c r="U63" i="76"/>
  <c r="T63" i="76"/>
  <c r="S63" i="76"/>
  <c r="C63" i="76"/>
  <c r="B63" i="76"/>
  <c r="A63" i="76"/>
  <c r="AC62" i="76"/>
  <c r="AB62" i="76"/>
  <c r="AA62" i="76"/>
  <c r="V62" i="76"/>
  <c r="U62" i="76"/>
  <c r="T62" i="76"/>
  <c r="S62" i="76"/>
  <c r="C62" i="76"/>
  <c r="B62" i="76"/>
  <c r="A62" i="76"/>
  <c r="AC61" i="76"/>
  <c r="AB61" i="76"/>
  <c r="AA61" i="76"/>
  <c r="V61" i="76"/>
  <c r="U61" i="76"/>
  <c r="T61" i="76"/>
  <c r="S61" i="76"/>
  <c r="C61" i="76"/>
  <c r="B61" i="76"/>
  <c r="A61" i="76"/>
  <c r="AC60" i="76"/>
  <c r="AB60" i="76"/>
  <c r="AA60" i="76"/>
  <c r="V60" i="76"/>
  <c r="U60" i="76"/>
  <c r="T60" i="76"/>
  <c r="S60" i="76"/>
  <c r="C60" i="76"/>
  <c r="B60" i="76"/>
  <c r="A60" i="76"/>
  <c r="AC59" i="76"/>
  <c r="AB59" i="76"/>
  <c r="AA59" i="76"/>
  <c r="V59" i="76"/>
  <c r="U59" i="76"/>
  <c r="T59" i="76"/>
  <c r="S59" i="76"/>
  <c r="C59" i="76"/>
  <c r="B59" i="76"/>
  <c r="A59" i="76"/>
  <c r="AC58" i="76"/>
  <c r="AB58" i="76"/>
  <c r="AA58" i="76"/>
  <c r="V58" i="76"/>
  <c r="U58" i="76"/>
  <c r="T58" i="76"/>
  <c r="S58" i="76"/>
  <c r="C58" i="76"/>
  <c r="B58" i="76"/>
  <c r="A58" i="76"/>
  <c r="AC57" i="76"/>
  <c r="AB57" i="76"/>
  <c r="AA57" i="76"/>
  <c r="V57" i="76"/>
  <c r="U57" i="76"/>
  <c r="T57" i="76"/>
  <c r="S57" i="76"/>
  <c r="C57" i="76"/>
  <c r="B57" i="76"/>
  <c r="A57" i="76"/>
  <c r="AC56" i="76"/>
  <c r="AB56" i="76"/>
  <c r="AA56" i="76"/>
  <c r="V56" i="76"/>
  <c r="U56" i="76"/>
  <c r="T56" i="76"/>
  <c r="S56" i="76"/>
  <c r="C56" i="76"/>
  <c r="B56" i="76"/>
  <c r="A56" i="76"/>
  <c r="AC55" i="76"/>
  <c r="AB55" i="76"/>
  <c r="AA55" i="76"/>
  <c r="V55" i="76"/>
  <c r="U55" i="76"/>
  <c r="T55" i="76"/>
  <c r="S55" i="76"/>
  <c r="C55" i="76"/>
  <c r="B55" i="76"/>
  <c r="A55" i="76"/>
  <c r="AC54" i="76"/>
  <c r="AB54" i="76"/>
  <c r="AA54" i="76"/>
  <c r="V54" i="76"/>
  <c r="U54" i="76"/>
  <c r="T54" i="76"/>
  <c r="S54" i="76"/>
  <c r="C54" i="76"/>
  <c r="B54" i="76"/>
  <c r="A54" i="76"/>
  <c r="AC53" i="76"/>
  <c r="AB53" i="76"/>
  <c r="AA53" i="76"/>
  <c r="V53" i="76"/>
  <c r="U53" i="76"/>
  <c r="T53" i="76"/>
  <c r="S53" i="76"/>
  <c r="C53" i="76"/>
  <c r="B53" i="76"/>
  <c r="A53" i="76"/>
  <c r="AC52" i="76"/>
  <c r="AB52" i="76"/>
  <c r="AA52" i="76"/>
  <c r="V52" i="76"/>
  <c r="U52" i="76"/>
  <c r="T52" i="76"/>
  <c r="S52" i="76"/>
  <c r="C52" i="76"/>
  <c r="B52" i="76"/>
  <c r="A52" i="76"/>
  <c r="AC51" i="76"/>
  <c r="AB51" i="76"/>
  <c r="AA51" i="76"/>
  <c r="V51" i="76"/>
  <c r="U51" i="76"/>
  <c r="T51" i="76"/>
  <c r="S51" i="76"/>
  <c r="C51" i="76"/>
  <c r="B51" i="76"/>
  <c r="A51" i="76"/>
  <c r="AC50" i="76"/>
  <c r="AB50" i="76"/>
  <c r="AA50" i="76"/>
  <c r="V50" i="76"/>
  <c r="U50" i="76"/>
  <c r="T50" i="76"/>
  <c r="S50" i="76"/>
  <c r="C50" i="76"/>
  <c r="B50" i="76"/>
  <c r="A50" i="76"/>
  <c r="AC49" i="76"/>
  <c r="AB49" i="76"/>
  <c r="AA49" i="76"/>
  <c r="V49" i="76"/>
  <c r="U49" i="76"/>
  <c r="T49" i="76"/>
  <c r="S49" i="76"/>
  <c r="C49" i="76"/>
  <c r="B49" i="76"/>
  <c r="A49" i="76"/>
  <c r="AC48" i="76"/>
  <c r="AB48" i="76"/>
  <c r="AA48" i="76"/>
  <c r="V48" i="76"/>
  <c r="U48" i="76"/>
  <c r="T48" i="76"/>
  <c r="S48" i="76"/>
  <c r="C48" i="76"/>
  <c r="B48" i="76"/>
  <c r="A48" i="76"/>
  <c r="AC47" i="76"/>
  <c r="AB47" i="76"/>
  <c r="AA47" i="76"/>
  <c r="V47" i="76"/>
  <c r="U47" i="76"/>
  <c r="T47" i="76"/>
  <c r="S47" i="76"/>
  <c r="C47" i="76"/>
  <c r="B47" i="76"/>
  <c r="A47" i="76"/>
  <c r="AC46" i="76"/>
  <c r="AB46" i="76"/>
  <c r="AA46" i="76"/>
  <c r="V46" i="76"/>
  <c r="U46" i="76"/>
  <c r="T46" i="76"/>
  <c r="S46" i="76"/>
  <c r="C46" i="76"/>
  <c r="B46" i="76"/>
  <c r="A46" i="76"/>
  <c r="AC45" i="76"/>
  <c r="AB45" i="76"/>
  <c r="AA45" i="76"/>
  <c r="V45" i="76"/>
  <c r="U45" i="76"/>
  <c r="T45" i="76"/>
  <c r="S45" i="76"/>
  <c r="C45" i="76"/>
  <c r="B45" i="76"/>
  <c r="A45" i="76"/>
  <c r="AC44" i="76"/>
  <c r="AB44" i="76"/>
  <c r="AA44" i="76"/>
  <c r="V44" i="76"/>
  <c r="U44" i="76"/>
  <c r="T44" i="76"/>
  <c r="S44" i="76"/>
  <c r="C44" i="76"/>
  <c r="B44" i="76"/>
  <c r="A44" i="76"/>
  <c r="AC43" i="76"/>
  <c r="AB43" i="76"/>
  <c r="AA43" i="76"/>
  <c r="V43" i="76"/>
  <c r="U43" i="76"/>
  <c r="T43" i="76"/>
  <c r="S43" i="76"/>
  <c r="C43" i="76"/>
  <c r="B43" i="76"/>
  <c r="A43" i="76"/>
  <c r="AC42" i="76"/>
  <c r="AB42" i="76"/>
  <c r="AA42" i="76"/>
  <c r="V42" i="76"/>
  <c r="U42" i="76"/>
  <c r="T42" i="76"/>
  <c r="S42" i="76"/>
  <c r="C42" i="76"/>
  <c r="B42" i="76"/>
  <c r="A42" i="76"/>
  <c r="AC41" i="76"/>
  <c r="AB41" i="76"/>
  <c r="AA41" i="76"/>
  <c r="V41" i="76"/>
  <c r="U41" i="76"/>
  <c r="T41" i="76"/>
  <c r="S41" i="76"/>
  <c r="C41" i="76"/>
  <c r="B41" i="76"/>
  <c r="A41" i="76"/>
  <c r="AC40" i="76"/>
  <c r="AB40" i="76"/>
  <c r="AA40" i="76"/>
  <c r="V40" i="76"/>
  <c r="U40" i="76"/>
  <c r="T40" i="76"/>
  <c r="S40" i="76"/>
  <c r="C40" i="76"/>
  <c r="B40" i="76"/>
  <c r="A40" i="76"/>
  <c r="AC39" i="76"/>
  <c r="AB39" i="76"/>
  <c r="AA39" i="76"/>
  <c r="V39" i="76"/>
  <c r="U39" i="76"/>
  <c r="T39" i="76"/>
  <c r="S39" i="76"/>
  <c r="C39" i="76"/>
  <c r="B39" i="76"/>
  <c r="A39" i="76"/>
  <c r="AC38" i="76"/>
  <c r="AB38" i="76"/>
  <c r="AA38" i="76"/>
  <c r="V38" i="76"/>
  <c r="U38" i="76"/>
  <c r="T38" i="76"/>
  <c r="S38" i="76"/>
  <c r="C38" i="76"/>
  <c r="B38" i="76"/>
  <c r="A38" i="76"/>
  <c r="AC37" i="76"/>
  <c r="AB37" i="76"/>
  <c r="AA37" i="76"/>
  <c r="V37" i="76"/>
  <c r="U37" i="76"/>
  <c r="T37" i="76"/>
  <c r="S37" i="76"/>
  <c r="C37" i="76"/>
  <c r="B37" i="76"/>
  <c r="A37" i="76"/>
  <c r="AC36" i="76"/>
  <c r="AB36" i="76"/>
  <c r="AA36" i="76"/>
  <c r="V36" i="76"/>
  <c r="U36" i="76"/>
  <c r="T36" i="76"/>
  <c r="S36" i="76"/>
  <c r="C36" i="76"/>
  <c r="B36" i="76"/>
  <c r="A36" i="76"/>
  <c r="AC35" i="76"/>
  <c r="AB35" i="76"/>
  <c r="AA35" i="76"/>
  <c r="V35" i="76"/>
  <c r="U35" i="76"/>
  <c r="T35" i="76"/>
  <c r="S35" i="76"/>
  <c r="C35" i="76"/>
  <c r="B35" i="76"/>
  <c r="A35" i="76"/>
  <c r="AC34" i="76"/>
  <c r="AB34" i="76"/>
  <c r="AA34" i="76"/>
  <c r="V34" i="76"/>
  <c r="U34" i="76"/>
  <c r="T34" i="76"/>
  <c r="S34" i="76"/>
  <c r="C34" i="76"/>
  <c r="B34" i="76"/>
  <c r="A34" i="76"/>
  <c r="AC33" i="76"/>
  <c r="AB33" i="76"/>
  <c r="AA33" i="76"/>
  <c r="V33" i="76"/>
  <c r="U33" i="76"/>
  <c r="T33" i="76"/>
  <c r="S33" i="76"/>
  <c r="C33" i="76"/>
  <c r="B33" i="76"/>
  <c r="A33" i="76"/>
  <c r="AC32" i="76"/>
  <c r="AB32" i="76"/>
  <c r="AA32" i="76"/>
  <c r="V32" i="76"/>
  <c r="U32" i="76"/>
  <c r="T32" i="76"/>
  <c r="S32" i="76"/>
  <c r="C32" i="76"/>
  <c r="B32" i="76"/>
  <c r="A32" i="76"/>
  <c r="AC31" i="76"/>
  <c r="AB31" i="76"/>
  <c r="AA31" i="76"/>
  <c r="V31" i="76"/>
  <c r="U31" i="76"/>
  <c r="T31" i="76"/>
  <c r="S31" i="76"/>
  <c r="C31" i="76"/>
  <c r="B31" i="76"/>
  <c r="A31" i="76"/>
  <c r="AC30" i="76"/>
  <c r="AB30" i="76"/>
  <c r="AA30" i="76"/>
  <c r="V30" i="76"/>
  <c r="U30" i="76"/>
  <c r="T30" i="76"/>
  <c r="S30" i="76"/>
  <c r="C30" i="76"/>
  <c r="B30" i="76"/>
  <c r="A30" i="76"/>
  <c r="AC29" i="76"/>
  <c r="AB29" i="76"/>
  <c r="AA29" i="76"/>
  <c r="V29" i="76"/>
  <c r="U29" i="76"/>
  <c r="T29" i="76"/>
  <c r="S29" i="76"/>
  <c r="C29" i="76"/>
  <c r="B29" i="76"/>
  <c r="A29" i="76"/>
  <c r="AC28" i="76"/>
  <c r="AB28" i="76"/>
  <c r="AA28" i="76"/>
  <c r="V28" i="76"/>
  <c r="U28" i="76"/>
  <c r="T28" i="76"/>
  <c r="S28" i="76"/>
  <c r="C28" i="76"/>
  <c r="B28" i="76"/>
  <c r="A28" i="76"/>
  <c r="AC27" i="76"/>
  <c r="AB27" i="76"/>
  <c r="AA27" i="76"/>
  <c r="V27" i="76"/>
  <c r="U27" i="76"/>
  <c r="T27" i="76"/>
  <c r="S27" i="76"/>
  <c r="C27" i="76"/>
  <c r="B27" i="76"/>
  <c r="A27" i="76"/>
  <c r="AC26" i="76"/>
  <c r="AB26" i="76"/>
  <c r="AA26" i="76"/>
  <c r="V26" i="76"/>
  <c r="U26" i="76"/>
  <c r="T26" i="76"/>
  <c r="S26" i="76"/>
  <c r="C26" i="76"/>
  <c r="B26" i="76"/>
  <c r="A26" i="76"/>
  <c r="AC25" i="76"/>
  <c r="AB25" i="76"/>
  <c r="AA25" i="76"/>
  <c r="V25" i="76"/>
  <c r="U25" i="76"/>
  <c r="T25" i="76"/>
  <c r="S25" i="76"/>
  <c r="C25" i="76"/>
  <c r="B25" i="76"/>
  <c r="A25" i="76"/>
  <c r="AC24" i="76"/>
  <c r="AB24" i="76"/>
  <c r="AA24" i="76"/>
  <c r="V24" i="76"/>
  <c r="U24" i="76"/>
  <c r="T24" i="76"/>
  <c r="S24" i="76"/>
  <c r="C24" i="76"/>
  <c r="B24" i="76"/>
  <c r="A24" i="76"/>
  <c r="AC23" i="76"/>
  <c r="AB23" i="76"/>
  <c r="AA23" i="76"/>
  <c r="V23" i="76"/>
  <c r="U23" i="76"/>
  <c r="T23" i="76"/>
  <c r="S23" i="76"/>
  <c r="C23" i="76"/>
  <c r="B23" i="76"/>
  <c r="A23" i="76"/>
  <c r="AC22" i="76"/>
  <c r="AB22" i="76"/>
  <c r="AA22" i="76"/>
  <c r="V22" i="76"/>
  <c r="U22" i="76"/>
  <c r="T22" i="76"/>
  <c r="S22" i="76"/>
  <c r="C22" i="76"/>
  <c r="B22" i="76"/>
  <c r="A22" i="76"/>
  <c r="AC21" i="76"/>
  <c r="AB21" i="76"/>
  <c r="AA21" i="76"/>
  <c r="V21" i="76"/>
  <c r="U21" i="76"/>
  <c r="T21" i="76"/>
  <c r="S21" i="76"/>
  <c r="C21" i="76"/>
  <c r="B21" i="76"/>
  <c r="A21" i="76"/>
  <c r="AC20" i="76"/>
  <c r="AB20" i="76"/>
  <c r="AA20" i="76"/>
  <c r="V20" i="76"/>
  <c r="U20" i="76"/>
  <c r="T20" i="76"/>
  <c r="S20" i="76"/>
  <c r="C20" i="76"/>
  <c r="B20" i="76"/>
  <c r="A20" i="76"/>
  <c r="AC19" i="76"/>
  <c r="AB19" i="76"/>
  <c r="AA19" i="76"/>
  <c r="V19" i="76"/>
  <c r="U19" i="76"/>
  <c r="T19" i="76"/>
  <c r="S19" i="76"/>
  <c r="C19" i="76"/>
  <c r="B19" i="76"/>
  <c r="A19" i="76"/>
  <c r="AC18" i="76"/>
  <c r="AB18" i="76"/>
  <c r="AA18" i="76"/>
  <c r="V18" i="76"/>
  <c r="U18" i="76"/>
  <c r="T18" i="76"/>
  <c r="S18" i="76"/>
  <c r="C18" i="76"/>
  <c r="B18" i="76"/>
  <c r="A18" i="76"/>
  <c r="AC17" i="76"/>
  <c r="AB17" i="76"/>
  <c r="AA17" i="76"/>
  <c r="V17" i="76"/>
  <c r="U17" i="76"/>
  <c r="T17" i="76"/>
  <c r="S17" i="76"/>
  <c r="C17" i="76"/>
  <c r="B17" i="76"/>
  <c r="A17" i="76"/>
  <c r="AC16" i="76"/>
  <c r="AB16" i="76"/>
  <c r="AA16" i="76"/>
  <c r="V16" i="76"/>
  <c r="U16" i="76"/>
  <c r="T16" i="76"/>
  <c r="S16" i="76"/>
  <c r="C16" i="76"/>
  <c r="B16" i="76"/>
  <c r="A16" i="76"/>
  <c r="AC15" i="76"/>
  <c r="AB15" i="76"/>
  <c r="AA15" i="76"/>
  <c r="V15" i="76"/>
  <c r="U15" i="76"/>
  <c r="T15" i="76"/>
  <c r="S15" i="76"/>
  <c r="C15" i="76"/>
  <c r="B15" i="76"/>
  <c r="A15" i="76"/>
  <c r="AC14" i="76"/>
  <c r="AB14" i="76"/>
  <c r="AA14" i="76"/>
  <c r="V14" i="76"/>
  <c r="U14" i="76"/>
  <c r="T14" i="76"/>
  <c r="S14" i="76"/>
  <c r="C14" i="76"/>
  <c r="B14" i="76"/>
  <c r="A14" i="76"/>
  <c r="AC13" i="76"/>
  <c r="AB13" i="76"/>
  <c r="AA13" i="76"/>
  <c r="V13" i="76"/>
  <c r="U13" i="76"/>
  <c r="T13" i="76"/>
  <c r="S13" i="76"/>
  <c r="C13" i="76"/>
  <c r="B13" i="76"/>
  <c r="A13" i="76"/>
  <c r="AC12" i="76"/>
  <c r="AB12" i="76"/>
  <c r="AA12" i="76"/>
  <c r="V12" i="76"/>
  <c r="U12" i="76"/>
  <c r="T12" i="76"/>
  <c r="S12" i="76"/>
  <c r="C12" i="76"/>
  <c r="B12" i="76"/>
  <c r="A12" i="76"/>
  <c r="AC11" i="76"/>
  <c r="AB11" i="76"/>
  <c r="AA11" i="76"/>
  <c r="V11" i="76"/>
  <c r="U11" i="76"/>
  <c r="T11" i="76"/>
  <c r="S11" i="76"/>
  <c r="C11" i="76"/>
  <c r="B11" i="76"/>
  <c r="A11" i="76"/>
  <c r="AC10" i="76"/>
  <c r="AB10" i="76"/>
  <c r="AA10" i="76"/>
  <c r="V10" i="76"/>
  <c r="U10" i="76"/>
  <c r="T10" i="76"/>
  <c r="S10" i="76"/>
  <c r="C10" i="76"/>
  <c r="B10" i="76"/>
  <c r="A10" i="76"/>
  <c r="AC9" i="76"/>
  <c r="AB9" i="76"/>
  <c r="AA9" i="76"/>
  <c r="V9" i="76"/>
  <c r="U9" i="76"/>
  <c r="T9" i="76"/>
  <c r="S9" i="76"/>
  <c r="C9" i="76"/>
  <c r="B9" i="76"/>
  <c r="A9" i="76"/>
  <c r="AC8" i="76"/>
  <c r="AB8" i="76"/>
  <c r="AA8" i="76"/>
  <c r="V8" i="76"/>
  <c r="U8" i="76"/>
  <c r="T8" i="76"/>
  <c r="S8" i="76"/>
  <c r="N8" i="76"/>
  <c r="M8" i="76"/>
  <c r="L8" i="76"/>
  <c r="K8" i="76"/>
  <c r="J8" i="76"/>
  <c r="I8" i="76"/>
  <c r="H8" i="76"/>
  <c r="G8" i="76"/>
  <c r="F8" i="76"/>
  <c r="E8" i="76"/>
  <c r="D8" i="76"/>
  <c r="C8" i="76"/>
  <c r="B8" i="76"/>
  <c r="A8" i="76"/>
  <c r="O130" i="76"/>
  <c r="P130" i="76" s="1"/>
  <c r="O94" i="76"/>
  <c r="O79" i="76"/>
  <c r="Q79" i="76" s="1"/>
  <c r="O59" i="76"/>
  <c r="O47" i="76"/>
  <c r="Q47" i="76" s="1"/>
  <c r="O25" i="76"/>
  <c r="E8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S127" i="65"/>
  <c r="E127" i="65"/>
  <c r="F127" i="65"/>
  <c r="G127" i="65"/>
  <c r="H127" i="65"/>
  <c r="I127" i="65"/>
  <c r="J127" i="65"/>
  <c r="K127" i="65"/>
  <c r="L127" i="65"/>
  <c r="M127" i="65"/>
  <c r="N127" i="65"/>
  <c r="S111" i="65"/>
  <c r="E111" i="65"/>
  <c r="F111" i="65"/>
  <c r="G111" i="65"/>
  <c r="H111" i="65"/>
  <c r="I111" i="65"/>
  <c r="J111" i="65"/>
  <c r="K111" i="65"/>
  <c r="L111" i="65"/>
  <c r="M111" i="65"/>
  <c r="N111" i="65"/>
  <c r="S95" i="65"/>
  <c r="E95" i="65"/>
  <c r="F95" i="65"/>
  <c r="J95" i="65"/>
  <c r="K95" i="65"/>
  <c r="G95" i="65"/>
  <c r="L95" i="65"/>
  <c r="H95" i="65"/>
  <c r="M95" i="65"/>
  <c r="I95" i="65"/>
  <c r="N95" i="65"/>
  <c r="S80" i="65"/>
  <c r="E80" i="65"/>
  <c r="F80" i="65"/>
  <c r="J80" i="65"/>
  <c r="K80" i="65"/>
  <c r="S64" i="65"/>
  <c r="E64" i="65"/>
  <c r="F64" i="65"/>
  <c r="J64" i="65"/>
  <c r="K64" i="65"/>
  <c r="S48" i="65"/>
  <c r="E48" i="65"/>
  <c r="F48" i="65"/>
  <c r="G48" i="65"/>
  <c r="H48" i="65"/>
  <c r="I48" i="65"/>
  <c r="J48" i="65"/>
  <c r="K48" i="65"/>
  <c r="L48" i="65"/>
  <c r="M48" i="65"/>
  <c r="N48" i="65"/>
  <c r="S32" i="65"/>
  <c r="S16" i="65"/>
  <c r="E18" i="65"/>
  <c r="G18" i="65"/>
  <c r="H18" i="65"/>
  <c r="I18" i="65"/>
  <c r="E34" i="65"/>
  <c r="F34" i="65"/>
  <c r="G34" i="65"/>
  <c r="H34" i="65"/>
  <c r="I34" i="65"/>
  <c r="D12" i="65"/>
  <c r="E12" i="65"/>
  <c r="G12" i="65"/>
  <c r="H12" i="65"/>
  <c r="I12" i="65"/>
  <c r="J12" i="65"/>
  <c r="K12" i="65"/>
  <c r="L12" i="65"/>
  <c r="M12" i="65"/>
  <c r="N12" i="65"/>
  <c r="V12" i="65"/>
  <c r="D134" i="65"/>
  <c r="E134" i="65"/>
  <c r="O134" i="65" s="1"/>
  <c r="J134" i="65"/>
  <c r="D133" i="65"/>
  <c r="E133" i="65"/>
  <c r="J133" i="65"/>
  <c r="U133" i="65"/>
  <c r="D132" i="65"/>
  <c r="E132" i="65"/>
  <c r="F132" i="65"/>
  <c r="G132" i="65"/>
  <c r="H132" i="65"/>
  <c r="I132" i="65"/>
  <c r="J132" i="65"/>
  <c r="K132" i="65"/>
  <c r="L132" i="65"/>
  <c r="M132" i="65"/>
  <c r="N132" i="65"/>
  <c r="U132" i="65"/>
  <c r="D131" i="65"/>
  <c r="E131" i="65"/>
  <c r="F131" i="65"/>
  <c r="G131" i="65"/>
  <c r="H131" i="65"/>
  <c r="I131" i="65"/>
  <c r="J131" i="65"/>
  <c r="K131" i="65"/>
  <c r="L131" i="65"/>
  <c r="M131" i="65"/>
  <c r="N131" i="65"/>
  <c r="D130" i="65"/>
  <c r="E130" i="65"/>
  <c r="F130" i="65"/>
  <c r="G130" i="65"/>
  <c r="H130" i="65"/>
  <c r="I130" i="65"/>
  <c r="J130" i="65"/>
  <c r="K130" i="65"/>
  <c r="L130" i="65"/>
  <c r="M130" i="65"/>
  <c r="N130" i="65"/>
  <c r="U130" i="65"/>
  <c r="D129" i="65"/>
  <c r="E129" i="65"/>
  <c r="F129" i="65"/>
  <c r="G129" i="65"/>
  <c r="H129" i="65"/>
  <c r="I129" i="65"/>
  <c r="J129" i="65"/>
  <c r="K129" i="65"/>
  <c r="L129" i="65"/>
  <c r="M129" i="65"/>
  <c r="N129" i="65"/>
  <c r="D128" i="65"/>
  <c r="E128" i="65"/>
  <c r="F128" i="65"/>
  <c r="G128" i="65"/>
  <c r="H128" i="65"/>
  <c r="I128" i="65"/>
  <c r="J128" i="65"/>
  <c r="K128" i="65"/>
  <c r="L128" i="65"/>
  <c r="M128" i="65"/>
  <c r="N128" i="65"/>
  <c r="U128" i="65"/>
  <c r="D127" i="65"/>
  <c r="D126" i="65"/>
  <c r="E126" i="65"/>
  <c r="F126" i="65"/>
  <c r="G126" i="65"/>
  <c r="H126" i="65"/>
  <c r="I126" i="65"/>
  <c r="J126" i="65"/>
  <c r="K126" i="65"/>
  <c r="L126" i="65"/>
  <c r="M126" i="65"/>
  <c r="N126" i="65"/>
  <c r="D125" i="65"/>
  <c r="E125" i="65"/>
  <c r="F125" i="65"/>
  <c r="G125" i="65"/>
  <c r="H125" i="65"/>
  <c r="I125" i="65"/>
  <c r="J125" i="65"/>
  <c r="K125" i="65"/>
  <c r="L125" i="65"/>
  <c r="M125" i="65"/>
  <c r="N125" i="65"/>
  <c r="U125" i="65"/>
  <c r="D124" i="65"/>
  <c r="E124" i="65"/>
  <c r="F124" i="65"/>
  <c r="G124" i="65"/>
  <c r="H124" i="65"/>
  <c r="I124" i="65"/>
  <c r="J124" i="65"/>
  <c r="K124" i="65"/>
  <c r="L124" i="65"/>
  <c r="M124" i="65"/>
  <c r="N124" i="65"/>
  <c r="S124" i="65"/>
  <c r="D123" i="65"/>
  <c r="E123" i="65"/>
  <c r="F123" i="65"/>
  <c r="G123" i="65"/>
  <c r="H123" i="65"/>
  <c r="I123" i="65"/>
  <c r="J123" i="65"/>
  <c r="K123" i="65"/>
  <c r="L123" i="65"/>
  <c r="M123" i="65"/>
  <c r="N123" i="65"/>
  <c r="V123" i="65"/>
  <c r="D122" i="65"/>
  <c r="E122" i="65"/>
  <c r="F122" i="65"/>
  <c r="G122" i="65"/>
  <c r="H122" i="65"/>
  <c r="I122" i="65"/>
  <c r="J122" i="65"/>
  <c r="K122" i="65"/>
  <c r="L122" i="65"/>
  <c r="M122" i="65"/>
  <c r="N122" i="65"/>
  <c r="V122" i="65"/>
  <c r="D121" i="65"/>
  <c r="E121" i="65"/>
  <c r="F121" i="65"/>
  <c r="G121" i="65"/>
  <c r="H121" i="65"/>
  <c r="I121" i="65"/>
  <c r="J121" i="65"/>
  <c r="K121" i="65"/>
  <c r="L121" i="65"/>
  <c r="M121" i="65"/>
  <c r="N121" i="65"/>
  <c r="D120" i="65"/>
  <c r="E120" i="65"/>
  <c r="F120" i="65"/>
  <c r="G120" i="65"/>
  <c r="H120" i="65"/>
  <c r="I120" i="65"/>
  <c r="J120" i="65"/>
  <c r="K120" i="65"/>
  <c r="L120" i="65"/>
  <c r="M120" i="65"/>
  <c r="N120" i="65"/>
  <c r="D119" i="65"/>
  <c r="E119" i="65"/>
  <c r="F119" i="65"/>
  <c r="G119" i="65"/>
  <c r="H119" i="65"/>
  <c r="I119" i="65"/>
  <c r="J119" i="65"/>
  <c r="K119" i="65"/>
  <c r="L119" i="65"/>
  <c r="M119" i="65"/>
  <c r="N119" i="65"/>
  <c r="D118" i="65"/>
  <c r="E118" i="65"/>
  <c r="J118" i="65"/>
  <c r="O118" i="65" s="1"/>
  <c r="D117" i="65"/>
  <c r="E117" i="65"/>
  <c r="J117" i="65"/>
  <c r="U117" i="65"/>
  <c r="D116" i="65"/>
  <c r="E116" i="65"/>
  <c r="F116" i="65"/>
  <c r="G116" i="65"/>
  <c r="H116" i="65"/>
  <c r="I116" i="65"/>
  <c r="J116" i="65"/>
  <c r="K116" i="65"/>
  <c r="L116" i="65"/>
  <c r="M116" i="65"/>
  <c r="N116" i="65"/>
  <c r="U116" i="65"/>
  <c r="D115" i="65"/>
  <c r="E115" i="65"/>
  <c r="F115" i="65"/>
  <c r="G115" i="65"/>
  <c r="H115" i="65"/>
  <c r="I115" i="65"/>
  <c r="J115" i="65"/>
  <c r="K115" i="65"/>
  <c r="L115" i="65"/>
  <c r="M115" i="65"/>
  <c r="N115" i="65"/>
  <c r="D114" i="65"/>
  <c r="E114" i="65"/>
  <c r="F114" i="65"/>
  <c r="G114" i="65"/>
  <c r="H114" i="65"/>
  <c r="I114" i="65"/>
  <c r="J114" i="65"/>
  <c r="K114" i="65"/>
  <c r="L114" i="65"/>
  <c r="M114" i="65"/>
  <c r="N114" i="65"/>
  <c r="U114" i="65"/>
  <c r="D113" i="65"/>
  <c r="E113" i="65"/>
  <c r="F113" i="65"/>
  <c r="G113" i="65"/>
  <c r="H113" i="65"/>
  <c r="I113" i="65"/>
  <c r="J113" i="65"/>
  <c r="K113" i="65"/>
  <c r="L113" i="65"/>
  <c r="M113" i="65"/>
  <c r="N113" i="65"/>
  <c r="D112" i="65"/>
  <c r="E112" i="65"/>
  <c r="F112" i="65"/>
  <c r="G112" i="65"/>
  <c r="H112" i="65"/>
  <c r="I112" i="65"/>
  <c r="J112" i="65"/>
  <c r="K112" i="65"/>
  <c r="L112" i="65"/>
  <c r="M112" i="65"/>
  <c r="N112" i="65"/>
  <c r="U112" i="65"/>
  <c r="D111" i="65"/>
  <c r="D110" i="65"/>
  <c r="E110" i="65"/>
  <c r="F110" i="65"/>
  <c r="G110" i="65"/>
  <c r="H110" i="65"/>
  <c r="I110" i="65"/>
  <c r="J110" i="65"/>
  <c r="K110" i="65"/>
  <c r="L110" i="65"/>
  <c r="M110" i="65"/>
  <c r="N110" i="65"/>
  <c r="D109" i="65"/>
  <c r="E109" i="65"/>
  <c r="F109" i="65"/>
  <c r="G109" i="65"/>
  <c r="H109" i="65"/>
  <c r="I109" i="65"/>
  <c r="J109" i="65"/>
  <c r="K109" i="65"/>
  <c r="L109" i="65"/>
  <c r="M109" i="65"/>
  <c r="N109" i="65"/>
  <c r="U109" i="65"/>
  <c r="D108" i="65"/>
  <c r="E108" i="65"/>
  <c r="F108" i="65"/>
  <c r="G108" i="65"/>
  <c r="H108" i="65"/>
  <c r="I108" i="65"/>
  <c r="J108" i="65"/>
  <c r="K108" i="65"/>
  <c r="L108" i="65"/>
  <c r="M108" i="65"/>
  <c r="N108" i="65"/>
  <c r="S108" i="65"/>
  <c r="D107" i="65"/>
  <c r="E107" i="65"/>
  <c r="F107" i="65"/>
  <c r="G107" i="65"/>
  <c r="H107" i="65"/>
  <c r="I107" i="65"/>
  <c r="J107" i="65"/>
  <c r="K107" i="65"/>
  <c r="L107" i="65"/>
  <c r="M107" i="65"/>
  <c r="N107" i="65"/>
  <c r="V107" i="65"/>
  <c r="D106" i="65"/>
  <c r="E106" i="65"/>
  <c r="F106" i="65"/>
  <c r="G106" i="65"/>
  <c r="H106" i="65"/>
  <c r="I106" i="65"/>
  <c r="J106" i="65"/>
  <c r="K106" i="65"/>
  <c r="L106" i="65"/>
  <c r="M106" i="65"/>
  <c r="N106" i="65"/>
  <c r="V106" i="65"/>
  <c r="D105" i="65"/>
  <c r="E105" i="65"/>
  <c r="F105" i="65"/>
  <c r="G105" i="65"/>
  <c r="H105" i="65"/>
  <c r="I105" i="65"/>
  <c r="J105" i="65"/>
  <c r="K105" i="65"/>
  <c r="L105" i="65"/>
  <c r="M105" i="65"/>
  <c r="N105" i="65"/>
  <c r="D104" i="65"/>
  <c r="E104" i="65"/>
  <c r="F104" i="65"/>
  <c r="G104" i="65"/>
  <c r="H104" i="65"/>
  <c r="I104" i="65"/>
  <c r="J104" i="65"/>
  <c r="K104" i="65"/>
  <c r="L104" i="65"/>
  <c r="M104" i="65"/>
  <c r="N104" i="65"/>
  <c r="D103" i="65"/>
  <c r="E103" i="65"/>
  <c r="F103" i="65"/>
  <c r="G103" i="65"/>
  <c r="H103" i="65"/>
  <c r="I103" i="65"/>
  <c r="J103" i="65"/>
  <c r="K103" i="65"/>
  <c r="L103" i="65"/>
  <c r="M103" i="65"/>
  <c r="N103" i="65"/>
  <c r="D102" i="65"/>
  <c r="E102" i="65"/>
  <c r="O102" i="65" s="1"/>
  <c r="J102" i="65"/>
  <c r="D101" i="65"/>
  <c r="E101" i="65"/>
  <c r="J101" i="65"/>
  <c r="U101" i="65"/>
  <c r="D100" i="65"/>
  <c r="E100" i="65"/>
  <c r="F100" i="65"/>
  <c r="G100" i="65"/>
  <c r="H100" i="65"/>
  <c r="I100" i="65"/>
  <c r="J100" i="65"/>
  <c r="K100" i="65"/>
  <c r="L100" i="65"/>
  <c r="M100" i="65"/>
  <c r="N100" i="65"/>
  <c r="U100" i="65"/>
  <c r="D99" i="65"/>
  <c r="E99" i="65"/>
  <c r="F99" i="65"/>
  <c r="G99" i="65"/>
  <c r="H99" i="65"/>
  <c r="I99" i="65"/>
  <c r="J99" i="65"/>
  <c r="K99" i="65"/>
  <c r="L99" i="65"/>
  <c r="M99" i="65"/>
  <c r="N99" i="65"/>
  <c r="D98" i="65"/>
  <c r="E98" i="65"/>
  <c r="F98" i="65"/>
  <c r="G98" i="65"/>
  <c r="H98" i="65"/>
  <c r="I98" i="65"/>
  <c r="J98" i="65"/>
  <c r="K98" i="65"/>
  <c r="L98" i="65"/>
  <c r="M98" i="65"/>
  <c r="N98" i="65"/>
  <c r="U98" i="65"/>
  <c r="D97" i="65"/>
  <c r="E97" i="65"/>
  <c r="F97" i="65"/>
  <c r="G97" i="65"/>
  <c r="H97" i="65"/>
  <c r="I97" i="65"/>
  <c r="J97" i="65"/>
  <c r="K97" i="65"/>
  <c r="L97" i="65"/>
  <c r="M97" i="65"/>
  <c r="N97" i="65"/>
  <c r="D96" i="65"/>
  <c r="E96" i="65"/>
  <c r="F96" i="65"/>
  <c r="G96" i="65"/>
  <c r="H96" i="65"/>
  <c r="I96" i="65"/>
  <c r="J96" i="65"/>
  <c r="K96" i="65"/>
  <c r="L96" i="65"/>
  <c r="M96" i="65"/>
  <c r="N96" i="65"/>
  <c r="U96" i="65"/>
  <c r="D95" i="65"/>
  <c r="D94" i="65"/>
  <c r="E94" i="65"/>
  <c r="F94" i="65"/>
  <c r="G94" i="65"/>
  <c r="H94" i="65"/>
  <c r="I94" i="65"/>
  <c r="J94" i="65"/>
  <c r="K94" i="65"/>
  <c r="L94" i="65"/>
  <c r="M94" i="65"/>
  <c r="N94" i="65"/>
  <c r="D93" i="65"/>
  <c r="E93" i="65"/>
  <c r="F93" i="65"/>
  <c r="G93" i="65"/>
  <c r="H93" i="65"/>
  <c r="I93" i="65"/>
  <c r="J93" i="65"/>
  <c r="K93" i="65"/>
  <c r="L93" i="65"/>
  <c r="M93" i="65"/>
  <c r="N93" i="65"/>
  <c r="U93" i="65"/>
  <c r="D92" i="65"/>
  <c r="E92" i="65"/>
  <c r="F92" i="65"/>
  <c r="G92" i="65"/>
  <c r="H92" i="65"/>
  <c r="I92" i="65"/>
  <c r="J92" i="65"/>
  <c r="K92" i="65"/>
  <c r="L92" i="65"/>
  <c r="M92" i="65"/>
  <c r="N92" i="65"/>
  <c r="S92" i="65"/>
  <c r="D91" i="65"/>
  <c r="E91" i="65"/>
  <c r="F91" i="65"/>
  <c r="G91" i="65"/>
  <c r="H91" i="65"/>
  <c r="I91" i="65"/>
  <c r="J91" i="65"/>
  <c r="K91" i="65"/>
  <c r="L91" i="65"/>
  <c r="M91" i="65"/>
  <c r="N91" i="65"/>
  <c r="V91" i="65"/>
  <c r="D90" i="65"/>
  <c r="E90" i="65"/>
  <c r="F90" i="65"/>
  <c r="G90" i="65"/>
  <c r="H90" i="65"/>
  <c r="I90" i="65"/>
  <c r="J90" i="65"/>
  <c r="K90" i="65"/>
  <c r="L90" i="65"/>
  <c r="M90" i="65"/>
  <c r="N90" i="65"/>
  <c r="D89" i="65"/>
  <c r="E89" i="65"/>
  <c r="F89" i="65"/>
  <c r="G89" i="65"/>
  <c r="H89" i="65"/>
  <c r="I89" i="65"/>
  <c r="J89" i="65"/>
  <c r="K89" i="65"/>
  <c r="L89" i="65"/>
  <c r="M89" i="65"/>
  <c r="N89" i="65"/>
  <c r="D88" i="65"/>
  <c r="E88" i="65"/>
  <c r="F88" i="65"/>
  <c r="G88" i="65"/>
  <c r="H88" i="65"/>
  <c r="I88" i="65"/>
  <c r="J88" i="65"/>
  <c r="K88" i="65"/>
  <c r="L88" i="65"/>
  <c r="M88" i="65"/>
  <c r="N88" i="65"/>
  <c r="D87" i="65"/>
  <c r="E87" i="65"/>
  <c r="J87" i="65"/>
  <c r="D86" i="65"/>
  <c r="E86" i="65"/>
  <c r="J86" i="65"/>
  <c r="U86" i="65"/>
  <c r="D85" i="65"/>
  <c r="E85" i="65"/>
  <c r="F85" i="65"/>
  <c r="G85" i="65"/>
  <c r="H85" i="65"/>
  <c r="I85" i="65"/>
  <c r="J85" i="65"/>
  <c r="K85" i="65"/>
  <c r="L85" i="65"/>
  <c r="M85" i="65"/>
  <c r="N85" i="65"/>
  <c r="U85" i="65"/>
  <c r="D84" i="65"/>
  <c r="E84" i="65"/>
  <c r="F84" i="65"/>
  <c r="G84" i="65"/>
  <c r="H84" i="65"/>
  <c r="I84" i="65"/>
  <c r="J84" i="65"/>
  <c r="K84" i="65"/>
  <c r="L84" i="65"/>
  <c r="M84" i="65"/>
  <c r="N84" i="65"/>
  <c r="D83" i="65"/>
  <c r="E83" i="65"/>
  <c r="F83" i="65"/>
  <c r="G83" i="65"/>
  <c r="H83" i="65"/>
  <c r="I83" i="65"/>
  <c r="J83" i="65"/>
  <c r="K83" i="65"/>
  <c r="L83" i="65"/>
  <c r="M83" i="65"/>
  <c r="N83" i="65"/>
  <c r="U83" i="65"/>
  <c r="D82" i="65"/>
  <c r="E82" i="65"/>
  <c r="F82" i="65"/>
  <c r="G82" i="65"/>
  <c r="H82" i="65"/>
  <c r="I82" i="65"/>
  <c r="J82" i="65"/>
  <c r="K82" i="65"/>
  <c r="L82" i="65"/>
  <c r="M82" i="65"/>
  <c r="N82" i="65"/>
  <c r="D81" i="65"/>
  <c r="E81" i="65"/>
  <c r="F81" i="65"/>
  <c r="G81" i="65"/>
  <c r="H81" i="65"/>
  <c r="I81" i="65"/>
  <c r="J81" i="65"/>
  <c r="K81" i="65"/>
  <c r="L81" i="65"/>
  <c r="M81" i="65"/>
  <c r="N81" i="65"/>
  <c r="U81" i="65"/>
  <c r="D80" i="65"/>
  <c r="G80" i="65"/>
  <c r="H80" i="65"/>
  <c r="I80" i="65"/>
  <c r="L80" i="65"/>
  <c r="M80" i="65"/>
  <c r="N80" i="65"/>
  <c r="D79" i="65"/>
  <c r="E79" i="65"/>
  <c r="F79" i="65"/>
  <c r="G79" i="65"/>
  <c r="H79" i="65"/>
  <c r="I79" i="65"/>
  <c r="J79" i="65"/>
  <c r="K79" i="65"/>
  <c r="L79" i="65"/>
  <c r="M79" i="65"/>
  <c r="N79" i="65"/>
  <c r="D78" i="65"/>
  <c r="E78" i="65"/>
  <c r="F78" i="65"/>
  <c r="G78" i="65"/>
  <c r="H78" i="65"/>
  <c r="I78" i="65"/>
  <c r="J78" i="65"/>
  <c r="K78" i="65"/>
  <c r="L78" i="65"/>
  <c r="M78" i="65"/>
  <c r="N78" i="65"/>
  <c r="U78" i="65"/>
  <c r="D77" i="65"/>
  <c r="E77" i="65"/>
  <c r="F77" i="65"/>
  <c r="G77" i="65"/>
  <c r="H77" i="65"/>
  <c r="I77" i="65"/>
  <c r="J77" i="65"/>
  <c r="K77" i="65"/>
  <c r="L77" i="65"/>
  <c r="M77" i="65"/>
  <c r="N77" i="65"/>
  <c r="S77" i="65"/>
  <c r="D76" i="65"/>
  <c r="E76" i="65"/>
  <c r="F76" i="65"/>
  <c r="G76" i="65"/>
  <c r="H76" i="65"/>
  <c r="I76" i="65"/>
  <c r="J76" i="65"/>
  <c r="K76" i="65"/>
  <c r="L76" i="65"/>
  <c r="M76" i="65"/>
  <c r="N76" i="65"/>
  <c r="V76" i="65"/>
  <c r="D75" i="65"/>
  <c r="E75" i="65"/>
  <c r="F75" i="65"/>
  <c r="G75" i="65"/>
  <c r="H75" i="65"/>
  <c r="I75" i="65"/>
  <c r="J75" i="65"/>
  <c r="K75" i="65"/>
  <c r="L75" i="65"/>
  <c r="M75" i="65"/>
  <c r="N75" i="65"/>
  <c r="V75" i="65"/>
  <c r="D74" i="65"/>
  <c r="E74" i="65"/>
  <c r="F74" i="65"/>
  <c r="G74" i="65"/>
  <c r="H74" i="65"/>
  <c r="I74" i="65"/>
  <c r="J74" i="65"/>
  <c r="K74" i="65"/>
  <c r="L74" i="65"/>
  <c r="M74" i="65"/>
  <c r="N74" i="65"/>
  <c r="D73" i="65"/>
  <c r="E73" i="65"/>
  <c r="F73" i="65"/>
  <c r="G73" i="65"/>
  <c r="H73" i="65"/>
  <c r="I73" i="65"/>
  <c r="J73" i="65"/>
  <c r="K73" i="65"/>
  <c r="L73" i="65"/>
  <c r="M73" i="65"/>
  <c r="N73" i="65"/>
  <c r="D72" i="65"/>
  <c r="E72" i="65"/>
  <c r="F72" i="65"/>
  <c r="G72" i="65"/>
  <c r="H72" i="65"/>
  <c r="I72" i="65"/>
  <c r="J72" i="65"/>
  <c r="K72" i="65"/>
  <c r="L72" i="65"/>
  <c r="M72" i="65"/>
  <c r="N72" i="65"/>
  <c r="D71" i="65"/>
  <c r="E71" i="65"/>
  <c r="J71" i="65"/>
  <c r="D70" i="65"/>
  <c r="E70" i="65"/>
  <c r="J70" i="65"/>
  <c r="U70" i="65"/>
  <c r="D69" i="65"/>
  <c r="E69" i="65"/>
  <c r="F69" i="65"/>
  <c r="G69" i="65"/>
  <c r="H69" i="65"/>
  <c r="I69" i="65"/>
  <c r="J69" i="65"/>
  <c r="K69" i="65"/>
  <c r="L69" i="65"/>
  <c r="M69" i="65"/>
  <c r="N69" i="65"/>
  <c r="U69" i="65"/>
  <c r="D68" i="65"/>
  <c r="E68" i="65"/>
  <c r="F68" i="65"/>
  <c r="G68" i="65"/>
  <c r="H68" i="65"/>
  <c r="I68" i="65"/>
  <c r="J68" i="65"/>
  <c r="K68" i="65"/>
  <c r="L68" i="65"/>
  <c r="M68" i="65"/>
  <c r="N68" i="65"/>
  <c r="D67" i="65"/>
  <c r="E67" i="65"/>
  <c r="F67" i="65"/>
  <c r="G67" i="65"/>
  <c r="H67" i="65"/>
  <c r="I67" i="65"/>
  <c r="J67" i="65"/>
  <c r="K67" i="65"/>
  <c r="L67" i="65"/>
  <c r="M67" i="65"/>
  <c r="N67" i="65"/>
  <c r="U67" i="65"/>
  <c r="D66" i="65"/>
  <c r="E66" i="65"/>
  <c r="F66" i="65"/>
  <c r="G66" i="65"/>
  <c r="H66" i="65"/>
  <c r="I66" i="65"/>
  <c r="J66" i="65"/>
  <c r="K66" i="65"/>
  <c r="L66" i="65"/>
  <c r="M66" i="65"/>
  <c r="N66" i="65"/>
  <c r="D65" i="65"/>
  <c r="E65" i="65"/>
  <c r="F65" i="65"/>
  <c r="G65" i="65"/>
  <c r="H65" i="65"/>
  <c r="I65" i="65"/>
  <c r="J65" i="65"/>
  <c r="K65" i="65"/>
  <c r="L65" i="65"/>
  <c r="M65" i="65"/>
  <c r="N65" i="65"/>
  <c r="U65" i="65"/>
  <c r="D64" i="65"/>
  <c r="G64" i="65"/>
  <c r="H64" i="65"/>
  <c r="I64" i="65"/>
  <c r="L64" i="65"/>
  <c r="M64" i="65"/>
  <c r="N64" i="65"/>
  <c r="D63" i="65"/>
  <c r="E63" i="65"/>
  <c r="F63" i="65"/>
  <c r="G63" i="65"/>
  <c r="H63" i="65"/>
  <c r="I63" i="65"/>
  <c r="J63" i="65"/>
  <c r="K63" i="65"/>
  <c r="L63" i="65"/>
  <c r="M63" i="65"/>
  <c r="N63" i="65"/>
  <c r="D62" i="65"/>
  <c r="E62" i="65"/>
  <c r="F62" i="65"/>
  <c r="G62" i="65"/>
  <c r="H62" i="65"/>
  <c r="I62" i="65"/>
  <c r="J62" i="65"/>
  <c r="K62" i="65"/>
  <c r="L62" i="65"/>
  <c r="M62" i="65"/>
  <c r="N62" i="65"/>
  <c r="U62" i="65"/>
  <c r="D61" i="65"/>
  <c r="E61" i="65"/>
  <c r="F61" i="65"/>
  <c r="G61" i="65"/>
  <c r="H61" i="65"/>
  <c r="I61" i="65"/>
  <c r="J61" i="65"/>
  <c r="K61" i="65"/>
  <c r="L61" i="65"/>
  <c r="M61" i="65"/>
  <c r="N61" i="65"/>
  <c r="S61" i="65"/>
  <c r="D60" i="65"/>
  <c r="E60" i="65"/>
  <c r="F60" i="65"/>
  <c r="G60" i="65"/>
  <c r="H60" i="65"/>
  <c r="I60" i="65"/>
  <c r="J60" i="65"/>
  <c r="K60" i="65"/>
  <c r="L60" i="65"/>
  <c r="M60" i="65"/>
  <c r="N60" i="65"/>
  <c r="V60" i="65"/>
  <c r="D59" i="65"/>
  <c r="E59" i="65"/>
  <c r="F59" i="65"/>
  <c r="G59" i="65"/>
  <c r="H59" i="65"/>
  <c r="I59" i="65"/>
  <c r="J59" i="65"/>
  <c r="K59" i="65"/>
  <c r="L59" i="65"/>
  <c r="M59" i="65"/>
  <c r="N59" i="65"/>
  <c r="V59" i="65"/>
  <c r="D58" i="65"/>
  <c r="E58" i="65"/>
  <c r="F58" i="65"/>
  <c r="G58" i="65"/>
  <c r="H58" i="65"/>
  <c r="I58" i="65"/>
  <c r="J58" i="65"/>
  <c r="K58" i="65"/>
  <c r="L58" i="65"/>
  <c r="M58" i="65"/>
  <c r="N58" i="65"/>
  <c r="D57" i="65"/>
  <c r="E57" i="65"/>
  <c r="F57" i="65"/>
  <c r="G57" i="65"/>
  <c r="H57" i="65"/>
  <c r="I57" i="65"/>
  <c r="J57" i="65"/>
  <c r="K57" i="65"/>
  <c r="L57" i="65"/>
  <c r="M57" i="65"/>
  <c r="N57" i="65"/>
  <c r="D56" i="65"/>
  <c r="E56" i="65"/>
  <c r="F56" i="65"/>
  <c r="G56" i="65"/>
  <c r="H56" i="65"/>
  <c r="I56" i="65"/>
  <c r="J56" i="65"/>
  <c r="K56" i="65"/>
  <c r="L56" i="65"/>
  <c r="M56" i="65"/>
  <c r="N56" i="65"/>
  <c r="D55" i="65"/>
  <c r="E55" i="65"/>
  <c r="J55" i="65"/>
  <c r="D54" i="65"/>
  <c r="E54" i="65"/>
  <c r="J54" i="65"/>
  <c r="U54" i="65"/>
  <c r="D53" i="65"/>
  <c r="E53" i="65"/>
  <c r="F53" i="65"/>
  <c r="G53" i="65"/>
  <c r="H53" i="65"/>
  <c r="I53" i="65"/>
  <c r="J53" i="65"/>
  <c r="K53" i="65"/>
  <c r="L53" i="65"/>
  <c r="M53" i="65"/>
  <c r="N53" i="65"/>
  <c r="U53" i="65"/>
  <c r="D52" i="65"/>
  <c r="E52" i="65"/>
  <c r="F52" i="65"/>
  <c r="G52" i="65"/>
  <c r="H52" i="65"/>
  <c r="I52" i="65"/>
  <c r="J52" i="65"/>
  <c r="K52" i="65"/>
  <c r="L52" i="65"/>
  <c r="M52" i="65"/>
  <c r="N52" i="65"/>
  <c r="D51" i="65"/>
  <c r="E51" i="65"/>
  <c r="F51" i="65"/>
  <c r="G51" i="65"/>
  <c r="H51" i="65"/>
  <c r="I51" i="65"/>
  <c r="J51" i="65"/>
  <c r="K51" i="65"/>
  <c r="L51" i="65"/>
  <c r="M51" i="65"/>
  <c r="N51" i="65"/>
  <c r="U51" i="65"/>
  <c r="D50" i="65"/>
  <c r="E50" i="65"/>
  <c r="F50" i="65"/>
  <c r="G50" i="65"/>
  <c r="H50" i="65"/>
  <c r="I50" i="65"/>
  <c r="J50" i="65"/>
  <c r="K50" i="65"/>
  <c r="L50" i="65"/>
  <c r="M50" i="65"/>
  <c r="N50" i="65"/>
  <c r="D49" i="65"/>
  <c r="E49" i="65"/>
  <c r="F49" i="65"/>
  <c r="G49" i="65"/>
  <c r="H49" i="65"/>
  <c r="I49" i="65"/>
  <c r="J49" i="65"/>
  <c r="K49" i="65"/>
  <c r="L49" i="65"/>
  <c r="M49" i="65"/>
  <c r="N49" i="65"/>
  <c r="U49" i="65"/>
  <c r="D48" i="65"/>
  <c r="D47" i="65"/>
  <c r="E47" i="65"/>
  <c r="F47" i="65"/>
  <c r="G47" i="65"/>
  <c r="H47" i="65"/>
  <c r="I47" i="65"/>
  <c r="J47" i="65"/>
  <c r="K47" i="65"/>
  <c r="L47" i="65"/>
  <c r="M47" i="65"/>
  <c r="N47" i="65"/>
  <c r="D46" i="65"/>
  <c r="E46" i="65"/>
  <c r="F46" i="65"/>
  <c r="G46" i="65"/>
  <c r="H46" i="65"/>
  <c r="I46" i="65"/>
  <c r="J46" i="65"/>
  <c r="K46" i="65"/>
  <c r="L46" i="65"/>
  <c r="M46" i="65"/>
  <c r="N46" i="65"/>
  <c r="U46" i="65"/>
  <c r="D45" i="65"/>
  <c r="E45" i="65"/>
  <c r="F45" i="65"/>
  <c r="G45" i="65"/>
  <c r="H45" i="65"/>
  <c r="I45" i="65"/>
  <c r="J45" i="65"/>
  <c r="K45" i="65"/>
  <c r="L45" i="65"/>
  <c r="M45" i="65"/>
  <c r="N45" i="65"/>
  <c r="S45" i="65"/>
  <c r="D44" i="65"/>
  <c r="E44" i="65"/>
  <c r="F44" i="65"/>
  <c r="G44" i="65"/>
  <c r="H44" i="65"/>
  <c r="I44" i="65"/>
  <c r="J44" i="65"/>
  <c r="K44" i="65"/>
  <c r="L44" i="65"/>
  <c r="M44" i="65"/>
  <c r="N44" i="65"/>
  <c r="V44" i="65"/>
  <c r="D43" i="65"/>
  <c r="E43" i="65"/>
  <c r="F43" i="65"/>
  <c r="G43" i="65"/>
  <c r="H43" i="65"/>
  <c r="I43" i="65"/>
  <c r="J43" i="65"/>
  <c r="K43" i="65"/>
  <c r="L43" i="65"/>
  <c r="M43" i="65"/>
  <c r="N43" i="65"/>
  <c r="V43" i="65"/>
  <c r="D42" i="65"/>
  <c r="E42" i="65"/>
  <c r="F42" i="65"/>
  <c r="G42" i="65"/>
  <c r="H42" i="65"/>
  <c r="I42" i="65"/>
  <c r="J42" i="65"/>
  <c r="K42" i="65"/>
  <c r="L42" i="65"/>
  <c r="M42" i="65"/>
  <c r="N42" i="65"/>
  <c r="D41" i="65"/>
  <c r="E41" i="65"/>
  <c r="F41" i="65"/>
  <c r="G41" i="65"/>
  <c r="H41" i="65"/>
  <c r="I41" i="65"/>
  <c r="J41" i="65"/>
  <c r="K41" i="65"/>
  <c r="L41" i="65"/>
  <c r="M41" i="65"/>
  <c r="N41" i="65"/>
  <c r="D40" i="65"/>
  <c r="E40" i="65"/>
  <c r="F40" i="65"/>
  <c r="G40" i="65"/>
  <c r="H40" i="65"/>
  <c r="I40" i="65"/>
  <c r="J40" i="65"/>
  <c r="K40" i="65"/>
  <c r="L40" i="65"/>
  <c r="M40" i="65"/>
  <c r="N40" i="65"/>
  <c r="D39" i="65"/>
  <c r="E39" i="65"/>
  <c r="J39" i="65"/>
  <c r="D38" i="65"/>
  <c r="E38" i="65"/>
  <c r="J38" i="65"/>
  <c r="U38" i="65"/>
  <c r="D37" i="65"/>
  <c r="E37" i="65"/>
  <c r="F37" i="65"/>
  <c r="G37" i="65"/>
  <c r="H37" i="65"/>
  <c r="I37" i="65"/>
  <c r="J37" i="65"/>
  <c r="K37" i="65"/>
  <c r="L37" i="65"/>
  <c r="M37" i="65"/>
  <c r="N37" i="65"/>
  <c r="U37" i="65"/>
  <c r="D36" i="65"/>
  <c r="E36" i="65"/>
  <c r="F36" i="65"/>
  <c r="G36" i="65"/>
  <c r="H36" i="65"/>
  <c r="I36" i="65"/>
  <c r="J36" i="65"/>
  <c r="K36" i="65"/>
  <c r="L36" i="65"/>
  <c r="M36" i="65"/>
  <c r="N36" i="65"/>
  <c r="D35" i="65"/>
  <c r="E35" i="65"/>
  <c r="F35" i="65"/>
  <c r="G35" i="65"/>
  <c r="H35" i="65"/>
  <c r="I35" i="65"/>
  <c r="J35" i="65"/>
  <c r="K35" i="65"/>
  <c r="L35" i="65"/>
  <c r="M35" i="65"/>
  <c r="N35" i="65"/>
  <c r="U35" i="65"/>
  <c r="D34" i="65"/>
  <c r="J34" i="65"/>
  <c r="K34" i="65"/>
  <c r="L34" i="65"/>
  <c r="M34" i="65"/>
  <c r="N34" i="65"/>
  <c r="D33" i="65"/>
  <c r="E33" i="65"/>
  <c r="F33" i="65"/>
  <c r="G33" i="65"/>
  <c r="H33" i="65"/>
  <c r="I33" i="65"/>
  <c r="J33" i="65"/>
  <c r="K33" i="65"/>
  <c r="L33" i="65"/>
  <c r="M33" i="65"/>
  <c r="N33" i="65"/>
  <c r="U33" i="65"/>
  <c r="D32" i="65"/>
  <c r="E32" i="65"/>
  <c r="F32" i="65"/>
  <c r="G32" i="65"/>
  <c r="H32" i="65"/>
  <c r="I32" i="65"/>
  <c r="J32" i="65"/>
  <c r="K32" i="65"/>
  <c r="L32" i="65"/>
  <c r="M32" i="65"/>
  <c r="N32" i="65"/>
  <c r="D31" i="65"/>
  <c r="E31" i="65"/>
  <c r="F31" i="65"/>
  <c r="G31" i="65"/>
  <c r="H31" i="65"/>
  <c r="I31" i="65"/>
  <c r="J31" i="65"/>
  <c r="K31" i="65"/>
  <c r="L31" i="65"/>
  <c r="M31" i="65"/>
  <c r="N31" i="65"/>
  <c r="D30" i="65"/>
  <c r="E30" i="65"/>
  <c r="F30" i="65"/>
  <c r="G30" i="65"/>
  <c r="H30" i="65"/>
  <c r="I30" i="65"/>
  <c r="J30" i="65"/>
  <c r="K30" i="65"/>
  <c r="L30" i="65"/>
  <c r="M30" i="65"/>
  <c r="N30" i="65"/>
  <c r="U30" i="65"/>
  <c r="D29" i="65"/>
  <c r="E29" i="65"/>
  <c r="F29" i="65"/>
  <c r="G29" i="65"/>
  <c r="H29" i="65"/>
  <c r="I29" i="65"/>
  <c r="J29" i="65"/>
  <c r="K29" i="65"/>
  <c r="L29" i="65"/>
  <c r="M29" i="65"/>
  <c r="N29" i="65"/>
  <c r="S29" i="65"/>
  <c r="D28" i="65"/>
  <c r="E28" i="65"/>
  <c r="F28" i="65"/>
  <c r="G28" i="65"/>
  <c r="H28" i="65"/>
  <c r="I28" i="65"/>
  <c r="J28" i="65"/>
  <c r="K28" i="65"/>
  <c r="L28" i="65"/>
  <c r="M28" i="65"/>
  <c r="N28" i="65"/>
  <c r="V28" i="65"/>
  <c r="D27" i="65"/>
  <c r="E27" i="65"/>
  <c r="F27" i="65"/>
  <c r="G27" i="65"/>
  <c r="H27" i="65"/>
  <c r="I27" i="65"/>
  <c r="J27" i="65"/>
  <c r="K27" i="65"/>
  <c r="L27" i="65"/>
  <c r="M27" i="65"/>
  <c r="N27" i="65"/>
  <c r="V27" i="65"/>
  <c r="D26" i="65"/>
  <c r="E26" i="65"/>
  <c r="F26" i="65"/>
  <c r="G26" i="65"/>
  <c r="H26" i="65"/>
  <c r="I26" i="65"/>
  <c r="J26" i="65"/>
  <c r="K26" i="65"/>
  <c r="L26" i="65"/>
  <c r="M26" i="65"/>
  <c r="N26" i="65"/>
  <c r="D25" i="65"/>
  <c r="E25" i="65"/>
  <c r="F25" i="65"/>
  <c r="G25" i="65"/>
  <c r="H25" i="65"/>
  <c r="I25" i="65"/>
  <c r="J25" i="65"/>
  <c r="K25" i="65"/>
  <c r="L25" i="65"/>
  <c r="M25" i="65"/>
  <c r="N25" i="65"/>
  <c r="D24" i="65"/>
  <c r="E24" i="65"/>
  <c r="F24" i="65"/>
  <c r="G24" i="65"/>
  <c r="H24" i="65"/>
  <c r="I24" i="65"/>
  <c r="J24" i="65"/>
  <c r="K24" i="65"/>
  <c r="L24" i="65"/>
  <c r="M24" i="65"/>
  <c r="N24" i="65"/>
  <c r="D23" i="65"/>
  <c r="E23" i="65"/>
  <c r="J23" i="65"/>
  <c r="D22" i="65"/>
  <c r="U22" i="65"/>
  <c r="D21" i="65"/>
  <c r="E21" i="65"/>
  <c r="G21" i="65"/>
  <c r="H21" i="65"/>
  <c r="I21" i="65"/>
  <c r="J21" i="65"/>
  <c r="K21" i="65"/>
  <c r="L21" i="65"/>
  <c r="M21" i="65"/>
  <c r="N21" i="65"/>
  <c r="U21" i="65"/>
  <c r="D20" i="65"/>
  <c r="E20" i="65"/>
  <c r="G20" i="65"/>
  <c r="H20" i="65"/>
  <c r="I20" i="65"/>
  <c r="J20" i="65"/>
  <c r="K20" i="65"/>
  <c r="L20" i="65"/>
  <c r="M20" i="65"/>
  <c r="N20" i="65"/>
  <c r="D19" i="65"/>
  <c r="E19" i="65"/>
  <c r="G19" i="65"/>
  <c r="H19" i="65"/>
  <c r="I19" i="65"/>
  <c r="J19" i="65"/>
  <c r="K19" i="65"/>
  <c r="L19" i="65"/>
  <c r="M19" i="65"/>
  <c r="N19" i="65"/>
  <c r="U19" i="65"/>
  <c r="D18" i="65"/>
  <c r="J18" i="65"/>
  <c r="K18" i="65"/>
  <c r="L18" i="65"/>
  <c r="M18" i="65"/>
  <c r="N18" i="65"/>
  <c r="D17" i="65"/>
  <c r="E17" i="65"/>
  <c r="G17" i="65"/>
  <c r="H17" i="65"/>
  <c r="I17" i="65"/>
  <c r="J17" i="65"/>
  <c r="K17" i="65"/>
  <c r="L17" i="65"/>
  <c r="M17" i="65"/>
  <c r="N17" i="65"/>
  <c r="U17" i="65"/>
  <c r="D16" i="65"/>
  <c r="E16" i="65"/>
  <c r="G16" i="65"/>
  <c r="H16" i="65"/>
  <c r="I16" i="65"/>
  <c r="J16" i="65"/>
  <c r="K16" i="65"/>
  <c r="L16" i="65"/>
  <c r="M16" i="65"/>
  <c r="N16" i="65"/>
  <c r="D14" i="65"/>
  <c r="E14" i="65"/>
  <c r="G14" i="65"/>
  <c r="H14" i="65"/>
  <c r="I14" i="65"/>
  <c r="J14" i="65"/>
  <c r="K14" i="65"/>
  <c r="L14" i="65"/>
  <c r="M14" i="65"/>
  <c r="N14" i="65"/>
  <c r="U14" i="65"/>
  <c r="D13" i="65"/>
  <c r="E13" i="65"/>
  <c r="G13" i="65"/>
  <c r="H13" i="65"/>
  <c r="I13" i="65"/>
  <c r="J13" i="65"/>
  <c r="K13" i="65"/>
  <c r="L13" i="65"/>
  <c r="M13" i="65"/>
  <c r="N13" i="65"/>
  <c r="S13" i="65"/>
  <c r="D11" i="65"/>
  <c r="E11" i="65"/>
  <c r="G11" i="65"/>
  <c r="H11" i="65"/>
  <c r="I11" i="65"/>
  <c r="J11" i="65"/>
  <c r="K11" i="65"/>
  <c r="L11" i="65"/>
  <c r="M11" i="65"/>
  <c r="N11" i="65"/>
  <c r="V11" i="65"/>
  <c r="D9" i="65"/>
  <c r="E9" i="65"/>
  <c r="G9" i="65"/>
  <c r="H9" i="65"/>
  <c r="I9" i="65"/>
  <c r="J9" i="65"/>
  <c r="K9" i="65"/>
  <c r="L9" i="65"/>
  <c r="M9" i="65"/>
  <c r="N9" i="65"/>
  <c r="D10" i="65"/>
  <c r="E10" i="65"/>
  <c r="G10" i="65"/>
  <c r="H10" i="65"/>
  <c r="I10" i="65"/>
  <c r="J10" i="65"/>
  <c r="K10" i="65"/>
  <c r="L10" i="65"/>
  <c r="M10" i="65"/>
  <c r="N10" i="65"/>
  <c r="D8" i="65"/>
  <c r="G8" i="65"/>
  <c r="H8" i="65"/>
  <c r="I8" i="65"/>
  <c r="J8" i="65"/>
  <c r="K8" i="65"/>
  <c r="L8" i="65"/>
  <c r="M8" i="65"/>
  <c r="N8" i="65"/>
  <c r="A134" i="65"/>
  <c r="B134" i="65"/>
  <c r="C134" i="65"/>
  <c r="S134" i="65"/>
  <c r="T134" i="65"/>
  <c r="U134" i="65"/>
  <c r="V134" i="65"/>
  <c r="AA134" i="65"/>
  <c r="AB134" i="65"/>
  <c r="AC134" i="65"/>
  <c r="A118" i="65"/>
  <c r="B118" i="65"/>
  <c r="C118" i="65"/>
  <c r="S118" i="65"/>
  <c r="T118" i="65"/>
  <c r="U118" i="65"/>
  <c r="V118" i="65"/>
  <c r="AA118" i="65"/>
  <c r="AB118" i="65"/>
  <c r="AC118" i="65"/>
  <c r="A102" i="65"/>
  <c r="B102" i="65"/>
  <c r="C102" i="65"/>
  <c r="S102" i="65"/>
  <c r="T102" i="65"/>
  <c r="U102" i="65"/>
  <c r="V102" i="65"/>
  <c r="AA102" i="65"/>
  <c r="AB102" i="65"/>
  <c r="AC102" i="65"/>
  <c r="A87" i="65"/>
  <c r="B87" i="65"/>
  <c r="C87" i="65"/>
  <c r="S87" i="65"/>
  <c r="T87" i="65"/>
  <c r="U87" i="65"/>
  <c r="V87" i="65"/>
  <c r="AA87" i="65"/>
  <c r="AB87" i="65"/>
  <c r="AC87" i="65"/>
  <c r="A71" i="65"/>
  <c r="B71" i="65"/>
  <c r="C71" i="65"/>
  <c r="S71" i="65"/>
  <c r="T71" i="65"/>
  <c r="U71" i="65"/>
  <c r="V71" i="65"/>
  <c r="AA71" i="65"/>
  <c r="AB71" i="65"/>
  <c r="AC71" i="65"/>
  <c r="A55" i="65"/>
  <c r="B55" i="65"/>
  <c r="C55" i="65"/>
  <c r="S55" i="65"/>
  <c r="T55" i="65"/>
  <c r="U55" i="65"/>
  <c r="V55" i="65"/>
  <c r="AA55" i="65"/>
  <c r="AB55" i="65"/>
  <c r="AC55" i="65"/>
  <c r="A39" i="65"/>
  <c r="B39" i="65"/>
  <c r="C39" i="65"/>
  <c r="S39" i="65"/>
  <c r="T39" i="65"/>
  <c r="U39" i="65"/>
  <c r="V39" i="65"/>
  <c r="AA39" i="65"/>
  <c r="AB39" i="65"/>
  <c r="AC39" i="65"/>
  <c r="S23" i="65"/>
  <c r="T23" i="65"/>
  <c r="U23" i="65"/>
  <c r="V23" i="65"/>
  <c r="AA23" i="65"/>
  <c r="AB23" i="65"/>
  <c r="AC23" i="65"/>
  <c r="A23" i="65"/>
  <c r="B23" i="65"/>
  <c r="C23" i="65"/>
  <c r="AC133" i="65"/>
  <c r="AB133" i="65"/>
  <c r="AA133" i="65"/>
  <c r="V133" i="65"/>
  <c r="T133" i="65"/>
  <c r="S133" i="65"/>
  <c r="C133" i="65"/>
  <c r="B133" i="65"/>
  <c r="A133" i="65"/>
  <c r="AC132" i="65"/>
  <c r="AB132" i="65"/>
  <c r="AA132" i="65"/>
  <c r="V132" i="65"/>
  <c r="T132" i="65"/>
  <c r="S132" i="65"/>
  <c r="C132" i="65"/>
  <c r="B132" i="65"/>
  <c r="A132" i="65"/>
  <c r="AC131" i="65"/>
  <c r="AB131" i="65"/>
  <c r="AA131" i="65"/>
  <c r="V131" i="65"/>
  <c r="U131" i="65"/>
  <c r="T131" i="65"/>
  <c r="S131" i="65"/>
  <c r="C131" i="65"/>
  <c r="B131" i="65"/>
  <c r="A131" i="65"/>
  <c r="AC130" i="65"/>
  <c r="AB130" i="65"/>
  <c r="AA130" i="65"/>
  <c r="V130" i="65"/>
  <c r="T130" i="65"/>
  <c r="S130" i="65"/>
  <c r="C130" i="65"/>
  <c r="B130" i="65"/>
  <c r="A130" i="65"/>
  <c r="AC129" i="65"/>
  <c r="AB129" i="65"/>
  <c r="AA129" i="65"/>
  <c r="V129" i="65"/>
  <c r="U129" i="65"/>
  <c r="T129" i="65"/>
  <c r="S129" i="65"/>
  <c r="C129" i="65"/>
  <c r="B129" i="65"/>
  <c r="A129" i="65"/>
  <c r="AC128" i="65"/>
  <c r="AB128" i="65"/>
  <c r="AA128" i="65"/>
  <c r="V128" i="65"/>
  <c r="T128" i="65"/>
  <c r="S128" i="65"/>
  <c r="C128" i="65"/>
  <c r="B128" i="65"/>
  <c r="A128" i="65"/>
  <c r="AC127" i="65"/>
  <c r="AB127" i="65"/>
  <c r="AA127" i="65"/>
  <c r="V127" i="65"/>
  <c r="U127" i="65"/>
  <c r="T127" i="65"/>
  <c r="C127" i="65"/>
  <c r="B127" i="65"/>
  <c r="A127" i="65"/>
  <c r="AC126" i="65"/>
  <c r="AB126" i="65"/>
  <c r="AA126" i="65"/>
  <c r="V126" i="65"/>
  <c r="U126" i="65"/>
  <c r="T126" i="65"/>
  <c r="S126" i="65"/>
  <c r="C126" i="65"/>
  <c r="B126" i="65"/>
  <c r="A126" i="65"/>
  <c r="AC125" i="65"/>
  <c r="AB125" i="65"/>
  <c r="AA125" i="65"/>
  <c r="V125" i="65"/>
  <c r="T125" i="65"/>
  <c r="S125" i="65"/>
  <c r="C125" i="65"/>
  <c r="B125" i="65"/>
  <c r="A125" i="65"/>
  <c r="AC124" i="65"/>
  <c r="AB124" i="65"/>
  <c r="AA124" i="65"/>
  <c r="V124" i="65"/>
  <c r="U124" i="65"/>
  <c r="T124" i="65"/>
  <c r="C124" i="65"/>
  <c r="B124" i="65"/>
  <c r="A124" i="65"/>
  <c r="AC123" i="65"/>
  <c r="AB123" i="65"/>
  <c r="AA123" i="65"/>
  <c r="U123" i="65"/>
  <c r="T123" i="65"/>
  <c r="S123" i="65"/>
  <c r="C123" i="65"/>
  <c r="B123" i="65"/>
  <c r="A123" i="65"/>
  <c r="AC122" i="65"/>
  <c r="AB122" i="65"/>
  <c r="AA122" i="65"/>
  <c r="U122" i="65"/>
  <c r="T122" i="65"/>
  <c r="S122" i="65"/>
  <c r="C122" i="65"/>
  <c r="B122" i="65"/>
  <c r="A122" i="65"/>
  <c r="AC121" i="65"/>
  <c r="AB121" i="65"/>
  <c r="AA121" i="65"/>
  <c r="V121" i="65"/>
  <c r="U121" i="65"/>
  <c r="T121" i="65"/>
  <c r="S121" i="65"/>
  <c r="C121" i="65"/>
  <c r="B121" i="65"/>
  <c r="A121" i="65"/>
  <c r="AC120" i="65"/>
  <c r="AB120" i="65"/>
  <c r="AA120" i="65"/>
  <c r="V120" i="65"/>
  <c r="U120" i="65"/>
  <c r="T120" i="65"/>
  <c r="S120" i="65"/>
  <c r="C120" i="65"/>
  <c r="B120" i="65"/>
  <c r="A120" i="65"/>
  <c r="AC119" i="65"/>
  <c r="AB119" i="65"/>
  <c r="AA119" i="65"/>
  <c r="V119" i="65"/>
  <c r="U119" i="65"/>
  <c r="T119" i="65"/>
  <c r="S119" i="65"/>
  <c r="C119" i="65"/>
  <c r="B119" i="65"/>
  <c r="A119" i="65"/>
  <c r="AC117" i="65"/>
  <c r="AB117" i="65"/>
  <c r="AA117" i="65"/>
  <c r="V117" i="65"/>
  <c r="T117" i="65"/>
  <c r="S117" i="65"/>
  <c r="C117" i="65"/>
  <c r="B117" i="65"/>
  <c r="A117" i="65"/>
  <c r="AC116" i="65"/>
  <c r="AB116" i="65"/>
  <c r="AA116" i="65"/>
  <c r="V116" i="65"/>
  <c r="T116" i="65"/>
  <c r="S116" i="65"/>
  <c r="C116" i="65"/>
  <c r="B116" i="65"/>
  <c r="A116" i="65"/>
  <c r="AC115" i="65"/>
  <c r="AB115" i="65"/>
  <c r="AA115" i="65"/>
  <c r="V115" i="65"/>
  <c r="U115" i="65"/>
  <c r="T115" i="65"/>
  <c r="S115" i="65"/>
  <c r="C115" i="65"/>
  <c r="B115" i="65"/>
  <c r="A115" i="65"/>
  <c r="AC114" i="65"/>
  <c r="AB114" i="65"/>
  <c r="AA114" i="65"/>
  <c r="V114" i="65"/>
  <c r="T114" i="65"/>
  <c r="S114" i="65"/>
  <c r="C114" i="65"/>
  <c r="B114" i="65"/>
  <c r="A114" i="65"/>
  <c r="AC113" i="65"/>
  <c r="AB113" i="65"/>
  <c r="AA113" i="65"/>
  <c r="V113" i="65"/>
  <c r="U113" i="65"/>
  <c r="T113" i="65"/>
  <c r="S113" i="65"/>
  <c r="C113" i="65"/>
  <c r="B113" i="65"/>
  <c r="A113" i="65"/>
  <c r="AC112" i="65"/>
  <c r="AB112" i="65"/>
  <c r="AA112" i="65"/>
  <c r="V112" i="65"/>
  <c r="T112" i="65"/>
  <c r="S112" i="65"/>
  <c r="C112" i="65"/>
  <c r="B112" i="65"/>
  <c r="A112" i="65"/>
  <c r="AC111" i="65"/>
  <c r="AB111" i="65"/>
  <c r="AA111" i="65"/>
  <c r="V111" i="65"/>
  <c r="U111" i="65"/>
  <c r="T111" i="65"/>
  <c r="C111" i="65"/>
  <c r="B111" i="65"/>
  <c r="A111" i="65"/>
  <c r="AC110" i="65"/>
  <c r="AB110" i="65"/>
  <c r="AA110" i="65"/>
  <c r="V110" i="65"/>
  <c r="U110" i="65"/>
  <c r="T110" i="65"/>
  <c r="S110" i="65"/>
  <c r="C110" i="65"/>
  <c r="B110" i="65"/>
  <c r="A110" i="65"/>
  <c r="AC109" i="65"/>
  <c r="AB109" i="65"/>
  <c r="AA109" i="65"/>
  <c r="V109" i="65"/>
  <c r="T109" i="65"/>
  <c r="S109" i="65"/>
  <c r="C109" i="65"/>
  <c r="B109" i="65"/>
  <c r="A109" i="65"/>
  <c r="AC108" i="65"/>
  <c r="AB108" i="65"/>
  <c r="AA108" i="65"/>
  <c r="V108" i="65"/>
  <c r="U108" i="65"/>
  <c r="T108" i="65"/>
  <c r="C108" i="65"/>
  <c r="B108" i="65"/>
  <c r="A108" i="65"/>
  <c r="AC107" i="65"/>
  <c r="AB107" i="65"/>
  <c r="AA107" i="65"/>
  <c r="U107" i="65"/>
  <c r="T107" i="65"/>
  <c r="S107" i="65"/>
  <c r="C107" i="65"/>
  <c r="B107" i="65"/>
  <c r="A107" i="65"/>
  <c r="AC106" i="65"/>
  <c r="AB106" i="65"/>
  <c r="AA106" i="65"/>
  <c r="U106" i="65"/>
  <c r="T106" i="65"/>
  <c r="S106" i="65"/>
  <c r="C106" i="65"/>
  <c r="B106" i="65"/>
  <c r="A106" i="65"/>
  <c r="AC105" i="65"/>
  <c r="AB105" i="65"/>
  <c r="AA105" i="65"/>
  <c r="V105" i="65"/>
  <c r="U105" i="65"/>
  <c r="T105" i="65"/>
  <c r="S105" i="65"/>
  <c r="C105" i="65"/>
  <c r="B105" i="65"/>
  <c r="A105" i="65"/>
  <c r="AC104" i="65"/>
  <c r="AB104" i="65"/>
  <c r="AA104" i="65"/>
  <c r="V104" i="65"/>
  <c r="U104" i="65"/>
  <c r="T104" i="65"/>
  <c r="S104" i="65"/>
  <c r="C104" i="65"/>
  <c r="B104" i="65"/>
  <c r="A104" i="65"/>
  <c r="AC103" i="65"/>
  <c r="AB103" i="65"/>
  <c r="AA103" i="65"/>
  <c r="V103" i="65"/>
  <c r="U103" i="65"/>
  <c r="T103" i="65"/>
  <c r="S103" i="65"/>
  <c r="C103" i="65"/>
  <c r="B103" i="65"/>
  <c r="A103" i="65"/>
  <c r="AC101" i="65"/>
  <c r="AB101" i="65"/>
  <c r="AA101" i="65"/>
  <c r="V101" i="65"/>
  <c r="T101" i="65"/>
  <c r="S101" i="65"/>
  <c r="C101" i="65"/>
  <c r="B101" i="65"/>
  <c r="A101" i="65"/>
  <c r="AC100" i="65"/>
  <c r="AB100" i="65"/>
  <c r="AA100" i="65"/>
  <c r="V100" i="65"/>
  <c r="T100" i="65"/>
  <c r="S100" i="65"/>
  <c r="C100" i="65"/>
  <c r="B100" i="65"/>
  <c r="A100" i="65"/>
  <c r="AC99" i="65"/>
  <c r="AB99" i="65"/>
  <c r="AA99" i="65"/>
  <c r="V99" i="65"/>
  <c r="U99" i="65"/>
  <c r="T99" i="65"/>
  <c r="S99" i="65"/>
  <c r="C99" i="65"/>
  <c r="B99" i="65"/>
  <c r="A99" i="65"/>
  <c r="AC98" i="65"/>
  <c r="AB98" i="65"/>
  <c r="AA98" i="65"/>
  <c r="V98" i="65"/>
  <c r="T98" i="65"/>
  <c r="S98" i="65"/>
  <c r="C98" i="65"/>
  <c r="B98" i="65"/>
  <c r="A98" i="65"/>
  <c r="AC97" i="65"/>
  <c r="AB97" i="65"/>
  <c r="AA97" i="65"/>
  <c r="V97" i="65"/>
  <c r="U97" i="65"/>
  <c r="T97" i="65"/>
  <c r="S97" i="65"/>
  <c r="C97" i="65"/>
  <c r="B97" i="65"/>
  <c r="A97" i="65"/>
  <c r="AC96" i="65"/>
  <c r="AB96" i="65"/>
  <c r="AA96" i="65"/>
  <c r="V96" i="65"/>
  <c r="T96" i="65"/>
  <c r="S96" i="65"/>
  <c r="C96" i="65"/>
  <c r="B96" i="65"/>
  <c r="A96" i="65"/>
  <c r="AC95" i="65"/>
  <c r="AB95" i="65"/>
  <c r="AA95" i="65"/>
  <c r="V95" i="65"/>
  <c r="U95" i="65"/>
  <c r="T95" i="65"/>
  <c r="C95" i="65"/>
  <c r="B95" i="65"/>
  <c r="A95" i="65"/>
  <c r="AC94" i="65"/>
  <c r="AB94" i="65"/>
  <c r="AA94" i="65"/>
  <c r="V94" i="65"/>
  <c r="U94" i="65"/>
  <c r="T94" i="65"/>
  <c r="S94" i="65"/>
  <c r="C94" i="65"/>
  <c r="B94" i="65"/>
  <c r="A94" i="65"/>
  <c r="AC93" i="65"/>
  <c r="AB93" i="65"/>
  <c r="AA93" i="65"/>
  <c r="V93" i="65"/>
  <c r="T93" i="65"/>
  <c r="S93" i="65"/>
  <c r="C93" i="65"/>
  <c r="B93" i="65"/>
  <c r="A93" i="65"/>
  <c r="AC92" i="65"/>
  <c r="AB92" i="65"/>
  <c r="AA92" i="65"/>
  <c r="V92" i="65"/>
  <c r="U92" i="65"/>
  <c r="T92" i="65"/>
  <c r="C92" i="65"/>
  <c r="B92" i="65"/>
  <c r="A92" i="65"/>
  <c r="AC91" i="65"/>
  <c r="AB91" i="65"/>
  <c r="AA91" i="65"/>
  <c r="U91" i="65"/>
  <c r="T91" i="65"/>
  <c r="S91" i="65"/>
  <c r="C91" i="65"/>
  <c r="B91" i="65"/>
  <c r="A91" i="65"/>
  <c r="AC90" i="65"/>
  <c r="AB90" i="65"/>
  <c r="AA90" i="65"/>
  <c r="V90" i="65"/>
  <c r="U90" i="65"/>
  <c r="T90" i="65"/>
  <c r="S90" i="65"/>
  <c r="C90" i="65"/>
  <c r="B90" i="65"/>
  <c r="A90" i="65"/>
  <c r="AC89" i="65"/>
  <c r="AB89" i="65"/>
  <c r="AA89" i="65"/>
  <c r="V89" i="65"/>
  <c r="U89" i="65"/>
  <c r="T89" i="65"/>
  <c r="S89" i="65"/>
  <c r="C89" i="65"/>
  <c r="B89" i="65"/>
  <c r="A89" i="65"/>
  <c r="AC88" i="65"/>
  <c r="AB88" i="65"/>
  <c r="AA88" i="65"/>
  <c r="V88" i="65"/>
  <c r="U88" i="65"/>
  <c r="T88" i="65"/>
  <c r="S88" i="65"/>
  <c r="C88" i="65"/>
  <c r="B88" i="65"/>
  <c r="A88" i="65"/>
  <c r="AC86" i="65"/>
  <c r="AB86" i="65"/>
  <c r="AA86" i="65"/>
  <c r="V86" i="65"/>
  <c r="T86" i="65"/>
  <c r="S86" i="65"/>
  <c r="C86" i="65"/>
  <c r="B86" i="65"/>
  <c r="A86" i="65"/>
  <c r="AC85" i="65"/>
  <c r="AB85" i="65"/>
  <c r="AA85" i="65"/>
  <c r="V85" i="65"/>
  <c r="T85" i="65"/>
  <c r="S85" i="65"/>
  <c r="C85" i="65"/>
  <c r="B85" i="65"/>
  <c r="A85" i="65"/>
  <c r="AC84" i="65"/>
  <c r="AB84" i="65"/>
  <c r="AA84" i="65"/>
  <c r="V84" i="65"/>
  <c r="U84" i="65"/>
  <c r="T84" i="65"/>
  <c r="S84" i="65"/>
  <c r="C84" i="65"/>
  <c r="B84" i="65"/>
  <c r="A84" i="65"/>
  <c r="AC83" i="65"/>
  <c r="AB83" i="65"/>
  <c r="AA83" i="65"/>
  <c r="V83" i="65"/>
  <c r="T83" i="65"/>
  <c r="S83" i="65"/>
  <c r="C83" i="65"/>
  <c r="B83" i="65"/>
  <c r="A83" i="65"/>
  <c r="AC82" i="65"/>
  <c r="AB82" i="65"/>
  <c r="AA82" i="65"/>
  <c r="V82" i="65"/>
  <c r="U82" i="65"/>
  <c r="T82" i="65"/>
  <c r="S82" i="65"/>
  <c r="C82" i="65"/>
  <c r="B82" i="65"/>
  <c r="A82" i="65"/>
  <c r="AC81" i="65"/>
  <c r="AB81" i="65"/>
  <c r="AA81" i="65"/>
  <c r="V81" i="65"/>
  <c r="T81" i="65"/>
  <c r="S81" i="65"/>
  <c r="C81" i="65"/>
  <c r="B81" i="65"/>
  <c r="A81" i="65"/>
  <c r="AC80" i="65"/>
  <c r="AB80" i="65"/>
  <c r="AA80" i="65"/>
  <c r="V80" i="65"/>
  <c r="U80" i="65"/>
  <c r="T80" i="65"/>
  <c r="C80" i="65"/>
  <c r="B80" i="65"/>
  <c r="A80" i="65"/>
  <c r="AC79" i="65"/>
  <c r="AB79" i="65"/>
  <c r="AA79" i="65"/>
  <c r="V79" i="65"/>
  <c r="U79" i="65"/>
  <c r="T79" i="65"/>
  <c r="S79" i="65"/>
  <c r="C79" i="65"/>
  <c r="B79" i="65"/>
  <c r="A79" i="65"/>
  <c r="AC78" i="65"/>
  <c r="AB78" i="65"/>
  <c r="AA78" i="65"/>
  <c r="V78" i="65"/>
  <c r="T78" i="65"/>
  <c r="S78" i="65"/>
  <c r="C78" i="65"/>
  <c r="B78" i="65"/>
  <c r="A78" i="65"/>
  <c r="AC77" i="65"/>
  <c r="AB77" i="65"/>
  <c r="AA77" i="65"/>
  <c r="V77" i="65"/>
  <c r="U77" i="65"/>
  <c r="T77" i="65"/>
  <c r="C77" i="65"/>
  <c r="B77" i="65"/>
  <c r="A77" i="65"/>
  <c r="AC76" i="65"/>
  <c r="AB76" i="65"/>
  <c r="AA76" i="65"/>
  <c r="U76" i="65"/>
  <c r="T76" i="65"/>
  <c r="S76" i="65"/>
  <c r="C76" i="65"/>
  <c r="B76" i="65"/>
  <c r="A76" i="65"/>
  <c r="AC75" i="65"/>
  <c r="AB75" i="65"/>
  <c r="AA75" i="65"/>
  <c r="U75" i="65"/>
  <c r="T75" i="65"/>
  <c r="S75" i="65"/>
  <c r="C75" i="65"/>
  <c r="B75" i="65"/>
  <c r="A75" i="65"/>
  <c r="AC74" i="65"/>
  <c r="AB74" i="65"/>
  <c r="AA74" i="65"/>
  <c r="V74" i="65"/>
  <c r="U74" i="65"/>
  <c r="T74" i="65"/>
  <c r="S74" i="65"/>
  <c r="C74" i="65"/>
  <c r="B74" i="65"/>
  <c r="A74" i="65"/>
  <c r="AC73" i="65"/>
  <c r="AB73" i="65"/>
  <c r="AA73" i="65"/>
  <c r="V73" i="65"/>
  <c r="U73" i="65"/>
  <c r="T73" i="65"/>
  <c r="S73" i="65"/>
  <c r="C73" i="65"/>
  <c r="B73" i="65"/>
  <c r="A73" i="65"/>
  <c r="AC72" i="65"/>
  <c r="AB72" i="65"/>
  <c r="AA72" i="65"/>
  <c r="V72" i="65"/>
  <c r="U72" i="65"/>
  <c r="T72" i="65"/>
  <c r="S72" i="65"/>
  <c r="C72" i="65"/>
  <c r="B72" i="65"/>
  <c r="A72" i="65"/>
  <c r="AC70" i="65"/>
  <c r="AB70" i="65"/>
  <c r="AA70" i="65"/>
  <c r="V70" i="65"/>
  <c r="T70" i="65"/>
  <c r="S70" i="65"/>
  <c r="C70" i="65"/>
  <c r="B70" i="65"/>
  <c r="A70" i="65"/>
  <c r="AC69" i="65"/>
  <c r="AB69" i="65"/>
  <c r="AA69" i="65"/>
  <c r="V69" i="65"/>
  <c r="T69" i="65"/>
  <c r="S69" i="65"/>
  <c r="C69" i="65"/>
  <c r="B69" i="65"/>
  <c r="A69" i="65"/>
  <c r="AC68" i="65"/>
  <c r="AB68" i="65"/>
  <c r="AA68" i="65"/>
  <c r="V68" i="65"/>
  <c r="U68" i="65"/>
  <c r="T68" i="65"/>
  <c r="S68" i="65"/>
  <c r="C68" i="65"/>
  <c r="B68" i="65"/>
  <c r="A68" i="65"/>
  <c r="AC67" i="65"/>
  <c r="AB67" i="65"/>
  <c r="AA67" i="65"/>
  <c r="V67" i="65"/>
  <c r="T67" i="65"/>
  <c r="S67" i="65"/>
  <c r="C67" i="65"/>
  <c r="B67" i="65"/>
  <c r="A67" i="65"/>
  <c r="AC66" i="65"/>
  <c r="AB66" i="65"/>
  <c r="AA66" i="65"/>
  <c r="V66" i="65"/>
  <c r="U66" i="65"/>
  <c r="T66" i="65"/>
  <c r="S66" i="65"/>
  <c r="C66" i="65"/>
  <c r="B66" i="65"/>
  <c r="A66" i="65"/>
  <c r="AC65" i="65"/>
  <c r="AB65" i="65"/>
  <c r="AA65" i="65"/>
  <c r="V65" i="65"/>
  <c r="T65" i="65"/>
  <c r="S65" i="65"/>
  <c r="C65" i="65"/>
  <c r="B65" i="65"/>
  <c r="A65" i="65"/>
  <c r="AC64" i="65"/>
  <c r="AB64" i="65"/>
  <c r="AA64" i="65"/>
  <c r="V64" i="65"/>
  <c r="U64" i="65"/>
  <c r="T64" i="65"/>
  <c r="C64" i="65"/>
  <c r="B64" i="65"/>
  <c r="A64" i="65"/>
  <c r="AC63" i="65"/>
  <c r="AB63" i="65"/>
  <c r="AA63" i="65"/>
  <c r="V63" i="65"/>
  <c r="U63" i="65"/>
  <c r="T63" i="65"/>
  <c r="S63" i="65"/>
  <c r="C63" i="65"/>
  <c r="B63" i="65"/>
  <c r="A63" i="65"/>
  <c r="AC62" i="65"/>
  <c r="AB62" i="65"/>
  <c r="AA62" i="65"/>
  <c r="V62" i="65"/>
  <c r="T62" i="65"/>
  <c r="S62" i="65"/>
  <c r="C62" i="65"/>
  <c r="B62" i="65"/>
  <c r="A62" i="65"/>
  <c r="AC61" i="65"/>
  <c r="AB61" i="65"/>
  <c r="AA61" i="65"/>
  <c r="V61" i="65"/>
  <c r="U61" i="65"/>
  <c r="T61" i="65"/>
  <c r="C61" i="65"/>
  <c r="B61" i="65"/>
  <c r="A61" i="65"/>
  <c r="AC60" i="65"/>
  <c r="AB60" i="65"/>
  <c r="AA60" i="65"/>
  <c r="U60" i="65"/>
  <c r="T60" i="65"/>
  <c r="S60" i="65"/>
  <c r="C60" i="65"/>
  <c r="B60" i="65"/>
  <c r="A60" i="65"/>
  <c r="AC59" i="65"/>
  <c r="AB59" i="65"/>
  <c r="AA59" i="65"/>
  <c r="U59" i="65"/>
  <c r="T59" i="65"/>
  <c r="S59" i="65"/>
  <c r="C59" i="65"/>
  <c r="B59" i="65"/>
  <c r="A59" i="65"/>
  <c r="AC58" i="65"/>
  <c r="AB58" i="65"/>
  <c r="AA58" i="65"/>
  <c r="V58" i="65"/>
  <c r="U58" i="65"/>
  <c r="T58" i="65"/>
  <c r="S58" i="65"/>
  <c r="C58" i="65"/>
  <c r="B58" i="65"/>
  <c r="A58" i="65"/>
  <c r="AC57" i="65"/>
  <c r="AB57" i="65"/>
  <c r="AA57" i="65"/>
  <c r="V57" i="65"/>
  <c r="U57" i="65"/>
  <c r="T57" i="65"/>
  <c r="S57" i="65"/>
  <c r="C57" i="65"/>
  <c r="B57" i="65"/>
  <c r="A57" i="65"/>
  <c r="AC56" i="65"/>
  <c r="AB56" i="65"/>
  <c r="AA56" i="65"/>
  <c r="V56" i="65"/>
  <c r="U56" i="65"/>
  <c r="T56" i="65"/>
  <c r="S56" i="65"/>
  <c r="C56" i="65"/>
  <c r="B56" i="65"/>
  <c r="A56" i="65"/>
  <c r="AC54" i="65"/>
  <c r="AB54" i="65"/>
  <c r="AA54" i="65"/>
  <c r="V54" i="65"/>
  <c r="T54" i="65"/>
  <c r="S54" i="65"/>
  <c r="C54" i="65"/>
  <c r="B54" i="65"/>
  <c r="A54" i="65"/>
  <c r="AC53" i="65"/>
  <c r="AB53" i="65"/>
  <c r="AA53" i="65"/>
  <c r="V53" i="65"/>
  <c r="T53" i="65"/>
  <c r="S53" i="65"/>
  <c r="C53" i="65"/>
  <c r="B53" i="65"/>
  <c r="A53" i="65"/>
  <c r="AC52" i="65"/>
  <c r="AB52" i="65"/>
  <c r="AA52" i="65"/>
  <c r="V52" i="65"/>
  <c r="U52" i="65"/>
  <c r="T52" i="65"/>
  <c r="S52" i="65"/>
  <c r="C52" i="65"/>
  <c r="B52" i="65"/>
  <c r="A52" i="65"/>
  <c r="AC51" i="65"/>
  <c r="AB51" i="65"/>
  <c r="AA51" i="65"/>
  <c r="V51" i="65"/>
  <c r="T51" i="65"/>
  <c r="S51" i="65"/>
  <c r="C51" i="65"/>
  <c r="B51" i="65"/>
  <c r="A51" i="65"/>
  <c r="AC50" i="65"/>
  <c r="AB50" i="65"/>
  <c r="AA50" i="65"/>
  <c r="V50" i="65"/>
  <c r="U50" i="65"/>
  <c r="T50" i="65"/>
  <c r="S50" i="65"/>
  <c r="C50" i="65"/>
  <c r="B50" i="65"/>
  <c r="A50" i="65"/>
  <c r="AC49" i="65"/>
  <c r="AB49" i="65"/>
  <c r="AA49" i="65"/>
  <c r="V49" i="65"/>
  <c r="T49" i="65"/>
  <c r="S49" i="65"/>
  <c r="C49" i="65"/>
  <c r="B49" i="65"/>
  <c r="A49" i="65"/>
  <c r="AC48" i="65"/>
  <c r="AB48" i="65"/>
  <c r="AA48" i="65"/>
  <c r="V48" i="65"/>
  <c r="U48" i="65"/>
  <c r="T48" i="65"/>
  <c r="C48" i="65"/>
  <c r="B48" i="65"/>
  <c r="A48" i="65"/>
  <c r="AC47" i="65"/>
  <c r="AB47" i="65"/>
  <c r="AA47" i="65"/>
  <c r="V47" i="65"/>
  <c r="U47" i="65"/>
  <c r="T47" i="65"/>
  <c r="S47" i="65"/>
  <c r="C47" i="65"/>
  <c r="B47" i="65"/>
  <c r="A47" i="65"/>
  <c r="AC46" i="65"/>
  <c r="AB46" i="65"/>
  <c r="AA46" i="65"/>
  <c r="V46" i="65"/>
  <c r="T46" i="65"/>
  <c r="S46" i="65"/>
  <c r="C46" i="65"/>
  <c r="B46" i="65"/>
  <c r="A46" i="65"/>
  <c r="AC45" i="65"/>
  <c r="AB45" i="65"/>
  <c r="AA45" i="65"/>
  <c r="V45" i="65"/>
  <c r="U45" i="65"/>
  <c r="T45" i="65"/>
  <c r="C45" i="65"/>
  <c r="B45" i="65"/>
  <c r="A45" i="65"/>
  <c r="AC44" i="65"/>
  <c r="AB44" i="65"/>
  <c r="AA44" i="65"/>
  <c r="U44" i="65"/>
  <c r="T44" i="65"/>
  <c r="S44" i="65"/>
  <c r="C44" i="65"/>
  <c r="B44" i="65"/>
  <c r="A44" i="65"/>
  <c r="AC43" i="65"/>
  <c r="AB43" i="65"/>
  <c r="AA43" i="65"/>
  <c r="U43" i="65"/>
  <c r="T43" i="65"/>
  <c r="S43" i="65"/>
  <c r="C43" i="65"/>
  <c r="B43" i="65"/>
  <c r="A43" i="65"/>
  <c r="AC42" i="65"/>
  <c r="AB42" i="65"/>
  <c r="AA42" i="65"/>
  <c r="V42" i="65"/>
  <c r="U42" i="65"/>
  <c r="T42" i="65"/>
  <c r="S42" i="65"/>
  <c r="C42" i="65"/>
  <c r="B42" i="65"/>
  <c r="A42" i="65"/>
  <c r="AC41" i="65"/>
  <c r="AB41" i="65"/>
  <c r="AA41" i="65"/>
  <c r="V41" i="65"/>
  <c r="U41" i="65"/>
  <c r="T41" i="65"/>
  <c r="S41" i="65"/>
  <c r="C41" i="65"/>
  <c r="B41" i="65"/>
  <c r="A41" i="65"/>
  <c r="AC40" i="65"/>
  <c r="AB40" i="65"/>
  <c r="AA40" i="65"/>
  <c r="V40" i="65"/>
  <c r="U40" i="65"/>
  <c r="T40" i="65"/>
  <c r="S40" i="65"/>
  <c r="C40" i="65"/>
  <c r="B40" i="65"/>
  <c r="A40" i="65"/>
  <c r="AC38" i="65"/>
  <c r="AB38" i="65"/>
  <c r="AA38" i="65"/>
  <c r="V38" i="65"/>
  <c r="T38" i="65"/>
  <c r="S38" i="65"/>
  <c r="C38" i="65"/>
  <c r="B38" i="65"/>
  <c r="A38" i="65"/>
  <c r="AC37" i="65"/>
  <c r="AB37" i="65"/>
  <c r="AA37" i="65"/>
  <c r="V37" i="65"/>
  <c r="T37" i="65"/>
  <c r="S37" i="65"/>
  <c r="C37" i="65"/>
  <c r="B37" i="65"/>
  <c r="A37" i="65"/>
  <c r="AC36" i="65"/>
  <c r="AB36" i="65"/>
  <c r="AA36" i="65"/>
  <c r="V36" i="65"/>
  <c r="U36" i="65"/>
  <c r="T36" i="65"/>
  <c r="S36" i="65"/>
  <c r="C36" i="65"/>
  <c r="B36" i="65"/>
  <c r="A36" i="65"/>
  <c r="AC35" i="65"/>
  <c r="AB35" i="65"/>
  <c r="AA35" i="65"/>
  <c r="V35" i="65"/>
  <c r="T35" i="65"/>
  <c r="S35" i="65"/>
  <c r="C35" i="65"/>
  <c r="B35" i="65"/>
  <c r="A35" i="65"/>
  <c r="AC34" i="65"/>
  <c r="AB34" i="65"/>
  <c r="AA34" i="65"/>
  <c r="V34" i="65"/>
  <c r="U34" i="65"/>
  <c r="T34" i="65"/>
  <c r="S34" i="65"/>
  <c r="C34" i="65"/>
  <c r="B34" i="65"/>
  <c r="A34" i="65"/>
  <c r="AC33" i="65"/>
  <c r="AB33" i="65"/>
  <c r="AA33" i="65"/>
  <c r="V33" i="65"/>
  <c r="T33" i="65"/>
  <c r="S33" i="65"/>
  <c r="C33" i="65"/>
  <c r="B33" i="65"/>
  <c r="A33" i="65"/>
  <c r="AC32" i="65"/>
  <c r="AB32" i="65"/>
  <c r="AA32" i="65"/>
  <c r="V32" i="65"/>
  <c r="U32" i="65"/>
  <c r="T32" i="65"/>
  <c r="C32" i="65"/>
  <c r="B32" i="65"/>
  <c r="A32" i="65"/>
  <c r="AC31" i="65"/>
  <c r="AB31" i="65"/>
  <c r="AA31" i="65"/>
  <c r="V31" i="65"/>
  <c r="U31" i="65"/>
  <c r="T31" i="65"/>
  <c r="S31" i="65"/>
  <c r="C31" i="65"/>
  <c r="B31" i="65"/>
  <c r="A31" i="65"/>
  <c r="AC30" i="65"/>
  <c r="AB30" i="65"/>
  <c r="AA30" i="65"/>
  <c r="V30" i="65"/>
  <c r="T30" i="65"/>
  <c r="S30" i="65"/>
  <c r="C30" i="65"/>
  <c r="B30" i="65"/>
  <c r="A30" i="65"/>
  <c r="AC29" i="65"/>
  <c r="AB29" i="65"/>
  <c r="AA29" i="65"/>
  <c r="V29" i="65"/>
  <c r="U29" i="65"/>
  <c r="T29" i="65"/>
  <c r="C29" i="65"/>
  <c r="B29" i="65"/>
  <c r="A29" i="65"/>
  <c r="AC28" i="65"/>
  <c r="AB28" i="65"/>
  <c r="AA28" i="65"/>
  <c r="U28" i="65"/>
  <c r="T28" i="65"/>
  <c r="S28" i="65"/>
  <c r="C28" i="65"/>
  <c r="B28" i="65"/>
  <c r="A28" i="65"/>
  <c r="AC27" i="65"/>
  <c r="AB27" i="65"/>
  <c r="AA27" i="65"/>
  <c r="U27" i="65"/>
  <c r="T27" i="65"/>
  <c r="S27" i="65"/>
  <c r="C27" i="65"/>
  <c r="B27" i="65"/>
  <c r="A27" i="65"/>
  <c r="AC26" i="65"/>
  <c r="AB26" i="65"/>
  <c r="AA26" i="65"/>
  <c r="V26" i="65"/>
  <c r="U26" i="65"/>
  <c r="T26" i="65"/>
  <c r="S26" i="65"/>
  <c r="C26" i="65"/>
  <c r="B26" i="65"/>
  <c r="A26" i="65"/>
  <c r="AC25" i="65"/>
  <c r="AB25" i="65"/>
  <c r="AA25" i="65"/>
  <c r="V25" i="65"/>
  <c r="U25" i="65"/>
  <c r="T25" i="65"/>
  <c r="S25" i="65"/>
  <c r="C25" i="65"/>
  <c r="B25" i="65"/>
  <c r="A25" i="65"/>
  <c r="AC24" i="65"/>
  <c r="AB24" i="65"/>
  <c r="AA24" i="65"/>
  <c r="V24" i="65"/>
  <c r="U24" i="65"/>
  <c r="T24" i="65"/>
  <c r="S24" i="65"/>
  <c r="C24" i="65"/>
  <c r="B24" i="65"/>
  <c r="A24" i="65"/>
  <c r="AC22" i="65"/>
  <c r="AB22" i="65"/>
  <c r="AA22" i="65"/>
  <c r="V22" i="65"/>
  <c r="T22" i="65"/>
  <c r="S22" i="65"/>
  <c r="C22" i="65"/>
  <c r="B22" i="65"/>
  <c r="A22" i="65"/>
  <c r="AC21" i="65"/>
  <c r="AB21" i="65"/>
  <c r="AA21" i="65"/>
  <c r="V21" i="65"/>
  <c r="T21" i="65"/>
  <c r="S21" i="65"/>
  <c r="C21" i="65"/>
  <c r="B21" i="65"/>
  <c r="A21" i="65"/>
  <c r="AC20" i="65"/>
  <c r="AB20" i="65"/>
  <c r="AA20" i="65"/>
  <c r="V20" i="65"/>
  <c r="U20" i="65"/>
  <c r="T20" i="65"/>
  <c r="S20" i="65"/>
  <c r="C20" i="65"/>
  <c r="B20" i="65"/>
  <c r="A20" i="65"/>
  <c r="AC19" i="65"/>
  <c r="AB19" i="65"/>
  <c r="AA19" i="65"/>
  <c r="V19" i="65"/>
  <c r="T19" i="65"/>
  <c r="S19" i="65"/>
  <c r="C19" i="65"/>
  <c r="B19" i="65"/>
  <c r="A19" i="65"/>
  <c r="AC18" i="65"/>
  <c r="AB18" i="65"/>
  <c r="AA18" i="65"/>
  <c r="V18" i="65"/>
  <c r="U18" i="65"/>
  <c r="T18" i="65"/>
  <c r="S18" i="65"/>
  <c r="C18" i="65"/>
  <c r="B18" i="65"/>
  <c r="A18" i="65"/>
  <c r="AC17" i="65"/>
  <c r="AB17" i="65"/>
  <c r="AA17" i="65"/>
  <c r="V17" i="65"/>
  <c r="T17" i="65"/>
  <c r="S17" i="65"/>
  <c r="C17" i="65"/>
  <c r="B17" i="65"/>
  <c r="A17" i="65"/>
  <c r="AC16" i="65"/>
  <c r="AB16" i="65"/>
  <c r="AA16" i="65"/>
  <c r="V16" i="65"/>
  <c r="U16" i="65"/>
  <c r="T16" i="65"/>
  <c r="C16" i="65"/>
  <c r="B16" i="65"/>
  <c r="A16" i="65"/>
  <c r="AC15" i="65"/>
  <c r="AB15" i="65"/>
  <c r="AA15" i="65"/>
  <c r="V15" i="65"/>
  <c r="U15" i="65"/>
  <c r="T15" i="65"/>
  <c r="S15" i="65"/>
  <c r="N15" i="65"/>
  <c r="M15" i="65"/>
  <c r="L15" i="65"/>
  <c r="K15" i="65"/>
  <c r="J15" i="65"/>
  <c r="I15" i="65"/>
  <c r="H15" i="65"/>
  <c r="G15" i="65"/>
  <c r="E15" i="65"/>
  <c r="D15" i="65"/>
  <c r="C15" i="65"/>
  <c r="B15" i="65"/>
  <c r="A15" i="65"/>
  <c r="AC14" i="65"/>
  <c r="AB14" i="65"/>
  <c r="AA14" i="65"/>
  <c r="V14" i="65"/>
  <c r="T14" i="65"/>
  <c r="S14" i="65"/>
  <c r="C14" i="65"/>
  <c r="B14" i="65"/>
  <c r="A14" i="65"/>
  <c r="AC13" i="65"/>
  <c r="AB13" i="65"/>
  <c r="AA13" i="65"/>
  <c r="V13" i="65"/>
  <c r="U13" i="65"/>
  <c r="T13" i="65"/>
  <c r="C13" i="65"/>
  <c r="B13" i="65"/>
  <c r="A13" i="65"/>
  <c r="AC12" i="65"/>
  <c r="AB12" i="65"/>
  <c r="AA12" i="65"/>
  <c r="U12" i="65"/>
  <c r="T12" i="65"/>
  <c r="S12" i="65"/>
  <c r="C12" i="65"/>
  <c r="B12" i="65"/>
  <c r="A12" i="65"/>
  <c r="AC11" i="65"/>
  <c r="AB11" i="65"/>
  <c r="AA11" i="65"/>
  <c r="U11" i="65"/>
  <c r="T11" i="65"/>
  <c r="S11" i="65"/>
  <c r="C11" i="65"/>
  <c r="B11" i="65"/>
  <c r="A11" i="65"/>
  <c r="AC10" i="65"/>
  <c r="AB10" i="65"/>
  <c r="AA10" i="65"/>
  <c r="V10" i="65"/>
  <c r="U10" i="65"/>
  <c r="T10" i="65"/>
  <c r="S10" i="65"/>
  <c r="C10" i="65"/>
  <c r="B10" i="65"/>
  <c r="A10" i="65"/>
  <c r="AC9" i="65"/>
  <c r="AB9" i="65"/>
  <c r="AA9" i="65"/>
  <c r="V9" i="65"/>
  <c r="U9" i="65"/>
  <c r="T9" i="65"/>
  <c r="S9" i="65"/>
  <c r="C9" i="65"/>
  <c r="B9" i="65"/>
  <c r="A9" i="65"/>
  <c r="AC8" i="65"/>
  <c r="AB8" i="65"/>
  <c r="AA8" i="65"/>
  <c r="V8" i="65"/>
  <c r="U8" i="65"/>
  <c r="T8" i="65"/>
  <c r="S8" i="65"/>
  <c r="C8" i="65"/>
  <c r="B8" i="65"/>
  <c r="A8" i="65"/>
  <c r="E126" i="63"/>
  <c r="O126" i="63" s="1"/>
  <c r="P126" i="63" s="1"/>
  <c r="J126" i="63"/>
  <c r="D126" i="63"/>
  <c r="T126" i="63"/>
  <c r="E125" i="63"/>
  <c r="F125" i="63"/>
  <c r="G125" i="63"/>
  <c r="H125" i="63"/>
  <c r="I125" i="63"/>
  <c r="J125" i="63"/>
  <c r="K125" i="63"/>
  <c r="L125" i="63"/>
  <c r="M125" i="63"/>
  <c r="N125" i="63"/>
  <c r="D125" i="63"/>
  <c r="T125" i="63"/>
  <c r="E124" i="63"/>
  <c r="O124" i="63" s="1"/>
  <c r="P124" i="63" s="1"/>
  <c r="V124" i="63" s="1"/>
  <c r="W124" i="63" s="1"/>
  <c r="F124" i="63"/>
  <c r="G124" i="63"/>
  <c r="H124" i="63"/>
  <c r="I124" i="63"/>
  <c r="J124" i="63"/>
  <c r="K124" i="63"/>
  <c r="L124" i="63"/>
  <c r="M124" i="63"/>
  <c r="N124" i="63"/>
  <c r="D124" i="63"/>
  <c r="T124" i="63"/>
  <c r="E123" i="63"/>
  <c r="F123" i="63"/>
  <c r="G123" i="63"/>
  <c r="H123" i="63"/>
  <c r="I123" i="63"/>
  <c r="J123" i="63"/>
  <c r="K123" i="63"/>
  <c r="L123" i="63"/>
  <c r="M123" i="63"/>
  <c r="N123" i="63"/>
  <c r="D123" i="63"/>
  <c r="U123" i="63"/>
  <c r="E122" i="63"/>
  <c r="O122" i="63" s="1"/>
  <c r="P122" i="63" s="1"/>
  <c r="V122" i="63" s="1"/>
  <c r="W122" i="63" s="1"/>
  <c r="F122" i="63"/>
  <c r="G122" i="63"/>
  <c r="H122" i="63"/>
  <c r="I122" i="63"/>
  <c r="J122" i="63"/>
  <c r="K122" i="63"/>
  <c r="L122" i="63"/>
  <c r="M122" i="63"/>
  <c r="N122" i="63"/>
  <c r="D122" i="63"/>
  <c r="U122" i="63"/>
  <c r="E121" i="63"/>
  <c r="F121" i="63"/>
  <c r="G121" i="63"/>
  <c r="H121" i="63"/>
  <c r="I121" i="63"/>
  <c r="J121" i="63"/>
  <c r="K121" i="63"/>
  <c r="L121" i="63"/>
  <c r="M121" i="63"/>
  <c r="N121" i="63"/>
  <c r="D121" i="63"/>
  <c r="T121" i="63"/>
  <c r="E120" i="63"/>
  <c r="O120" i="63" s="1"/>
  <c r="P120" i="63" s="1"/>
  <c r="V120" i="63" s="1"/>
  <c r="W120" i="63" s="1"/>
  <c r="F120" i="63"/>
  <c r="G120" i="63"/>
  <c r="H120" i="63"/>
  <c r="I120" i="63"/>
  <c r="J120" i="63"/>
  <c r="K120" i="63"/>
  <c r="L120" i="63"/>
  <c r="M120" i="63"/>
  <c r="N120" i="63"/>
  <c r="D120" i="63"/>
  <c r="U120" i="63"/>
  <c r="E119" i="63"/>
  <c r="F119" i="63"/>
  <c r="G119" i="63"/>
  <c r="H119" i="63"/>
  <c r="I119" i="63"/>
  <c r="J119" i="63"/>
  <c r="K119" i="63"/>
  <c r="L119" i="63"/>
  <c r="M119" i="63"/>
  <c r="N119" i="63"/>
  <c r="D119" i="63"/>
  <c r="E118" i="63"/>
  <c r="O118" i="63"/>
  <c r="P118" i="63" s="1"/>
  <c r="V118" i="63" s="1"/>
  <c r="W118" i="63" s="1"/>
  <c r="F118" i="63"/>
  <c r="G118" i="63"/>
  <c r="H118" i="63"/>
  <c r="I118" i="63"/>
  <c r="J118" i="63"/>
  <c r="K118" i="63"/>
  <c r="L118" i="63"/>
  <c r="M118" i="63"/>
  <c r="N118" i="63"/>
  <c r="D118" i="63"/>
  <c r="T118" i="63"/>
  <c r="E117" i="63"/>
  <c r="F117" i="63"/>
  <c r="G117" i="63"/>
  <c r="H117" i="63"/>
  <c r="I117" i="63"/>
  <c r="J117" i="63"/>
  <c r="O117" i="63" s="1"/>
  <c r="P117" i="63" s="1"/>
  <c r="V117" i="63" s="1"/>
  <c r="W117" i="63" s="1"/>
  <c r="K117" i="63"/>
  <c r="L117" i="63"/>
  <c r="M117" i="63"/>
  <c r="N117" i="63"/>
  <c r="D117" i="63"/>
  <c r="S117" i="63"/>
  <c r="U117" i="63"/>
  <c r="E116" i="63"/>
  <c r="O116" i="63" s="1"/>
  <c r="P116" i="63" s="1"/>
  <c r="V116" i="63" s="1"/>
  <c r="W116" i="63" s="1"/>
  <c r="F116" i="63"/>
  <c r="G116" i="63"/>
  <c r="H116" i="63"/>
  <c r="I116" i="63"/>
  <c r="J116" i="63"/>
  <c r="K116" i="63"/>
  <c r="L116" i="63"/>
  <c r="M116" i="63"/>
  <c r="N116" i="63"/>
  <c r="D116" i="63"/>
  <c r="E115" i="63"/>
  <c r="O115" i="63"/>
  <c r="P115" i="63" s="1"/>
  <c r="V115" i="63" s="1"/>
  <c r="W115" i="63" s="1"/>
  <c r="F115" i="63"/>
  <c r="G115" i="63"/>
  <c r="H115" i="63"/>
  <c r="I115" i="63"/>
  <c r="J115" i="63"/>
  <c r="K115" i="63"/>
  <c r="L115" i="63"/>
  <c r="M115" i="63"/>
  <c r="N115" i="63"/>
  <c r="D115" i="63"/>
  <c r="U115" i="63"/>
  <c r="E114" i="63"/>
  <c r="F114" i="63"/>
  <c r="G114" i="63"/>
  <c r="H114" i="63"/>
  <c r="I114" i="63"/>
  <c r="J114" i="63"/>
  <c r="O114" i="63" s="1"/>
  <c r="P114" i="63" s="1"/>
  <c r="K114" i="63"/>
  <c r="L114" i="63"/>
  <c r="M114" i="63"/>
  <c r="N114" i="63"/>
  <c r="D114" i="63"/>
  <c r="T114" i="63"/>
  <c r="E113" i="63"/>
  <c r="O113" i="63"/>
  <c r="P113" i="63" s="1"/>
  <c r="V113" i="63" s="1"/>
  <c r="W113" i="63" s="1"/>
  <c r="F113" i="63"/>
  <c r="G113" i="63"/>
  <c r="H113" i="63"/>
  <c r="I113" i="63"/>
  <c r="J113" i="63"/>
  <c r="K113" i="63"/>
  <c r="L113" i="63"/>
  <c r="M113" i="63"/>
  <c r="N113" i="63"/>
  <c r="D113" i="63"/>
  <c r="S113" i="63"/>
  <c r="U113" i="63"/>
  <c r="E112" i="63"/>
  <c r="F112" i="63"/>
  <c r="G112" i="63"/>
  <c r="H112" i="63"/>
  <c r="I112" i="63"/>
  <c r="J112" i="63"/>
  <c r="K112" i="63"/>
  <c r="L112" i="63"/>
  <c r="M112" i="63"/>
  <c r="N112" i="63"/>
  <c r="D112" i="63"/>
  <c r="U112" i="63"/>
  <c r="E111" i="63"/>
  <c r="O111" i="63" s="1"/>
  <c r="P111" i="63" s="1"/>
  <c r="V111" i="63" s="1"/>
  <c r="W111" i="63" s="1"/>
  <c r="J111" i="63"/>
  <c r="D111" i="63"/>
  <c r="T111" i="63"/>
  <c r="E110" i="63"/>
  <c r="F110" i="63"/>
  <c r="G110" i="63"/>
  <c r="H110" i="63"/>
  <c r="I110" i="63"/>
  <c r="J110" i="63"/>
  <c r="K110" i="63"/>
  <c r="L110" i="63"/>
  <c r="M110" i="63"/>
  <c r="N110" i="63"/>
  <c r="D110" i="63"/>
  <c r="T110" i="63"/>
  <c r="E109" i="63"/>
  <c r="O109" i="63" s="1"/>
  <c r="P109" i="63" s="1"/>
  <c r="V109" i="63" s="1"/>
  <c r="W109" i="63" s="1"/>
  <c r="F109" i="63"/>
  <c r="G109" i="63"/>
  <c r="H109" i="63"/>
  <c r="I109" i="63"/>
  <c r="J109" i="63"/>
  <c r="K109" i="63"/>
  <c r="L109" i="63"/>
  <c r="M109" i="63"/>
  <c r="N109" i="63"/>
  <c r="D109" i="63"/>
  <c r="T109" i="63"/>
  <c r="E108" i="63"/>
  <c r="F108" i="63"/>
  <c r="G108" i="63"/>
  <c r="H108" i="63"/>
  <c r="I108" i="63"/>
  <c r="J108" i="63"/>
  <c r="K108" i="63"/>
  <c r="L108" i="63"/>
  <c r="M108" i="63"/>
  <c r="N108" i="63"/>
  <c r="D108" i="63"/>
  <c r="U108" i="63"/>
  <c r="E107" i="63"/>
  <c r="O107" i="63" s="1"/>
  <c r="P107" i="63" s="1"/>
  <c r="V107" i="63" s="1"/>
  <c r="W107" i="63" s="1"/>
  <c r="F107" i="63"/>
  <c r="G107" i="63"/>
  <c r="H107" i="63"/>
  <c r="I107" i="63"/>
  <c r="J107" i="63"/>
  <c r="K107" i="63"/>
  <c r="L107" i="63"/>
  <c r="M107" i="63"/>
  <c r="N107" i="63"/>
  <c r="D107" i="63"/>
  <c r="U107" i="63"/>
  <c r="E106" i="63"/>
  <c r="F106" i="63"/>
  <c r="G106" i="63"/>
  <c r="H106" i="63"/>
  <c r="I106" i="63"/>
  <c r="J106" i="63"/>
  <c r="K106" i="63"/>
  <c r="L106" i="63"/>
  <c r="M106" i="63"/>
  <c r="N106" i="63"/>
  <c r="D106" i="63"/>
  <c r="T106" i="63"/>
  <c r="E105" i="63"/>
  <c r="O105" i="63" s="1"/>
  <c r="P105" i="63" s="1"/>
  <c r="V105" i="63" s="1"/>
  <c r="W105" i="63" s="1"/>
  <c r="F105" i="63"/>
  <c r="G105" i="63"/>
  <c r="H105" i="63"/>
  <c r="I105" i="63"/>
  <c r="J105" i="63"/>
  <c r="K105" i="63"/>
  <c r="L105" i="63"/>
  <c r="M105" i="63"/>
  <c r="N105" i="63"/>
  <c r="D105" i="63"/>
  <c r="U105" i="63"/>
  <c r="E104" i="63"/>
  <c r="F104" i="63"/>
  <c r="G104" i="63"/>
  <c r="H104" i="63"/>
  <c r="I104" i="63"/>
  <c r="J104" i="63"/>
  <c r="K104" i="63"/>
  <c r="L104" i="63"/>
  <c r="M104" i="63"/>
  <c r="N104" i="63"/>
  <c r="D104" i="63"/>
  <c r="E103" i="63"/>
  <c r="O103" i="63"/>
  <c r="P103" i="63" s="1"/>
  <c r="V103" i="63" s="1"/>
  <c r="W103" i="63" s="1"/>
  <c r="F103" i="63"/>
  <c r="G103" i="63"/>
  <c r="H103" i="63"/>
  <c r="I103" i="63"/>
  <c r="J103" i="63"/>
  <c r="K103" i="63"/>
  <c r="L103" i="63"/>
  <c r="M103" i="63"/>
  <c r="N103" i="63"/>
  <c r="D103" i="63"/>
  <c r="T103" i="63"/>
  <c r="E102" i="63"/>
  <c r="F102" i="63"/>
  <c r="G102" i="63"/>
  <c r="H102" i="63"/>
  <c r="I102" i="63"/>
  <c r="J102" i="63"/>
  <c r="O102" i="63" s="1"/>
  <c r="P102" i="63" s="1"/>
  <c r="K102" i="63"/>
  <c r="L102" i="63"/>
  <c r="M102" i="63"/>
  <c r="N102" i="63"/>
  <c r="D102" i="63"/>
  <c r="S102" i="63"/>
  <c r="U102" i="63"/>
  <c r="E101" i="63"/>
  <c r="F101" i="63"/>
  <c r="G101" i="63"/>
  <c r="H101" i="63"/>
  <c r="I101" i="63"/>
  <c r="J101" i="63"/>
  <c r="K101" i="63"/>
  <c r="L101" i="63"/>
  <c r="M101" i="63"/>
  <c r="N101" i="63"/>
  <c r="D101" i="63"/>
  <c r="E100" i="63"/>
  <c r="O100" i="63"/>
  <c r="P100" i="63" s="1"/>
  <c r="V100" i="63" s="1"/>
  <c r="W100" i="63" s="1"/>
  <c r="F100" i="63"/>
  <c r="G100" i="63"/>
  <c r="H100" i="63"/>
  <c r="I100" i="63"/>
  <c r="J100" i="63"/>
  <c r="K100" i="63"/>
  <c r="L100" i="63"/>
  <c r="M100" i="63"/>
  <c r="N100" i="63"/>
  <c r="D100" i="63"/>
  <c r="U100" i="63"/>
  <c r="E99" i="63"/>
  <c r="F99" i="63"/>
  <c r="G99" i="63"/>
  <c r="H99" i="63"/>
  <c r="I99" i="63"/>
  <c r="J99" i="63"/>
  <c r="O99" i="63" s="1"/>
  <c r="P99" i="63" s="1"/>
  <c r="K99" i="63"/>
  <c r="L99" i="63"/>
  <c r="M99" i="63"/>
  <c r="N99" i="63"/>
  <c r="D99" i="63"/>
  <c r="T99" i="63"/>
  <c r="E98" i="63"/>
  <c r="O98" i="63"/>
  <c r="P98" i="63" s="1"/>
  <c r="V98" i="63" s="1"/>
  <c r="W98" i="63" s="1"/>
  <c r="F98" i="63"/>
  <c r="G98" i="63"/>
  <c r="H98" i="63"/>
  <c r="I98" i="63"/>
  <c r="J98" i="63"/>
  <c r="K98" i="63"/>
  <c r="L98" i="63"/>
  <c r="M98" i="63"/>
  <c r="N98" i="63"/>
  <c r="D98" i="63"/>
  <c r="S98" i="63"/>
  <c r="U98" i="63"/>
  <c r="E97" i="63"/>
  <c r="F97" i="63"/>
  <c r="G97" i="63"/>
  <c r="H97" i="63"/>
  <c r="I97" i="63"/>
  <c r="J97" i="63"/>
  <c r="K97" i="63"/>
  <c r="L97" i="63"/>
  <c r="M97" i="63"/>
  <c r="N97" i="63"/>
  <c r="D97" i="63"/>
  <c r="U97" i="63"/>
  <c r="E96" i="63"/>
  <c r="O96" i="63" s="1"/>
  <c r="P96" i="63" s="1"/>
  <c r="V96" i="63" s="1"/>
  <c r="W96" i="63" s="1"/>
  <c r="J96" i="63"/>
  <c r="D96" i="63"/>
  <c r="T96" i="63"/>
  <c r="E95" i="63"/>
  <c r="F95" i="63"/>
  <c r="G95" i="63"/>
  <c r="H95" i="63"/>
  <c r="I95" i="63"/>
  <c r="J95" i="63"/>
  <c r="K95" i="63"/>
  <c r="L95" i="63"/>
  <c r="M95" i="63"/>
  <c r="N95" i="63"/>
  <c r="D95" i="63"/>
  <c r="T95" i="63"/>
  <c r="E94" i="63"/>
  <c r="O94" i="63" s="1"/>
  <c r="P94" i="63" s="1"/>
  <c r="V94" i="63" s="1"/>
  <c r="W94" i="63" s="1"/>
  <c r="F94" i="63"/>
  <c r="G94" i="63"/>
  <c r="H94" i="63"/>
  <c r="I94" i="63"/>
  <c r="J94" i="63"/>
  <c r="K94" i="63"/>
  <c r="L94" i="63"/>
  <c r="M94" i="63"/>
  <c r="N94" i="63"/>
  <c r="D94" i="63"/>
  <c r="T94" i="63"/>
  <c r="E93" i="63"/>
  <c r="F93" i="63"/>
  <c r="G93" i="63"/>
  <c r="H93" i="63"/>
  <c r="I93" i="63"/>
  <c r="J93" i="63"/>
  <c r="K93" i="63"/>
  <c r="L93" i="63"/>
  <c r="M93" i="63"/>
  <c r="N93" i="63"/>
  <c r="D93" i="63"/>
  <c r="U93" i="63"/>
  <c r="E92" i="63"/>
  <c r="O92" i="63" s="1"/>
  <c r="P92" i="63" s="1"/>
  <c r="V92" i="63" s="1"/>
  <c r="W92" i="63" s="1"/>
  <c r="F92" i="63"/>
  <c r="G92" i="63"/>
  <c r="H92" i="63"/>
  <c r="I92" i="63"/>
  <c r="J92" i="63"/>
  <c r="K92" i="63"/>
  <c r="L92" i="63"/>
  <c r="M92" i="63"/>
  <c r="N92" i="63"/>
  <c r="D92" i="63"/>
  <c r="U92" i="63"/>
  <c r="E91" i="63"/>
  <c r="F91" i="63"/>
  <c r="G91" i="63"/>
  <c r="H91" i="63"/>
  <c r="I91" i="63"/>
  <c r="J91" i="63"/>
  <c r="K91" i="63"/>
  <c r="L91" i="63"/>
  <c r="M91" i="63"/>
  <c r="N91" i="63"/>
  <c r="D91" i="63"/>
  <c r="T91" i="63"/>
  <c r="E90" i="63"/>
  <c r="O90" i="63" s="1"/>
  <c r="P90" i="63" s="1"/>
  <c r="V90" i="63" s="1"/>
  <c r="W90" i="63" s="1"/>
  <c r="F90" i="63"/>
  <c r="G90" i="63"/>
  <c r="H90" i="63"/>
  <c r="I90" i="63"/>
  <c r="J90" i="63"/>
  <c r="K90" i="63"/>
  <c r="L90" i="63"/>
  <c r="M90" i="63"/>
  <c r="N90" i="63"/>
  <c r="D90" i="63"/>
  <c r="U90" i="63"/>
  <c r="E89" i="63"/>
  <c r="F89" i="63"/>
  <c r="G89" i="63"/>
  <c r="H89" i="63"/>
  <c r="I89" i="63"/>
  <c r="J89" i="63"/>
  <c r="K89" i="63"/>
  <c r="L89" i="63"/>
  <c r="M89" i="63"/>
  <c r="N89" i="63"/>
  <c r="D89" i="63"/>
  <c r="E88" i="63"/>
  <c r="O88" i="63"/>
  <c r="P88" i="63" s="1"/>
  <c r="V88" i="63" s="1"/>
  <c r="W88" i="63" s="1"/>
  <c r="F88" i="63"/>
  <c r="G88" i="63"/>
  <c r="H88" i="63"/>
  <c r="I88" i="63"/>
  <c r="J88" i="63"/>
  <c r="K88" i="63"/>
  <c r="L88" i="63"/>
  <c r="M88" i="63"/>
  <c r="N88" i="63"/>
  <c r="D88" i="63"/>
  <c r="T88" i="63"/>
  <c r="E87" i="63"/>
  <c r="O87" i="63"/>
  <c r="P87" i="63" s="1"/>
  <c r="V87" i="63" s="1"/>
  <c r="W87" i="63" s="1"/>
  <c r="F87" i="63"/>
  <c r="G87" i="63"/>
  <c r="H87" i="63"/>
  <c r="I87" i="63"/>
  <c r="J87" i="63"/>
  <c r="K87" i="63"/>
  <c r="L87" i="63"/>
  <c r="M87" i="63"/>
  <c r="N87" i="63"/>
  <c r="D87" i="63"/>
  <c r="S87" i="63"/>
  <c r="U87" i="63"/>
  <c r="E86" i="63"/>
  <c r="F86" i="63"/>
  <c r="G86" i="63"/>
  <c r="H86" i="63"/>
  <c r="I86" i="63"/>
  <c r="J86" i="63"/>
  <c r="K86" i="63"/>
  <c r="L86" i="63"/>
  <c r="M86" i="63"/>
  <c r="N86" i="63"/>
  <c r="D86" i="63"/>
  <c r="U86" i="63"/>
  <c r="E85" i="63"/>
  <c r="O85" i="63" s="1"/>
  <c r="P85" i="63" s="1"/>
  <c r="V85" i="63" s="1"/>
  <c r="W85" i="63" s="1"/>
  <c r="F85" i="63"/>
  <c r="G85" i="63"/>
  <c r="H85" i="63"/>
  <c r="I85" i="63"/>
  <c r="J85" i="63"/>
  <c r="K85" i="63"/>
  <c r="L85" i="63"/>
  <c r="M85" i="63"/>
  <c r="N85" i="63"/>
  <c r="D85" i="63"/>
  <c r="T85" i="63"/>
  <c r="E84" i="63"/>
  <c r="F84" i="63"/>
  <c r="G84" i="63"/>
  <c r="H84" i="63"/>
  <c r="I84" i="63"/>
  <c r="J84" i="63"/>
  <c r="K84" i="63"/>
  <c r="L84" i="63"/>
  <c r="M84" i="63"/>
  <c r="N84" i="63"/>
  <c r="D84" i="63"/>
  <c r="S84" i="63"/>
  <c r="U84" i="63"/>
  <c r="E83" i="63"/>
  <c r="O83" i="63" s="1"/>
  <c r="F83" i="63"/>
  <c r="G83" i="63"/>
  <c r="H83" i="63"/>
  <c r="I83" i="63"/>
  <c r="J83" i="63"/>
  <c r="K83" i="63"/>
  <c r="L83" i="63"/>
  <c r="M83" i="63"/>
  <c r="N83" i="63"/>
  <c r="D83" i="63"/>
  <c r="U83" i="63"/>
  <c r="E82" i="63"/>
  <c r="J82" i="63"/>
  <c r="O82" i="63"/>
  <c r="P82" i="63" s="1"/>
  <c r="D82" i="63"/>
  <c r="T82" i="63"/>
  <c r="E81" i="63"/>
  <c r="F81" i="63"/>
  <c r="G81" i="63"/>
  <c r="H81" i="63"/>
  <c r="I81" i="63"/>
  <c r="J81" i="63"/>
  <c r="K81" i="63"/>
  <c r="L81" i="63"/>
  <c r="M81" i="63"/>
  <c r="N81" i="63"/>
  <c r="D81" i="63"/>
  <c r="T81" i="63"/>
  <c r="E80" i="63"/>
  <c r="F80" i="63"/>
  <c r="G80" i="63"/>
  <c r="O80" i="63" s="1"/>
  <c r="P80" i="63" s="1"/>
  <c r="V80" i="63" s="1"/>
  <c r="W80" i="63" s="1"/>
  <c r="H80" i="63"/>
  <c r="I80" i="63"/>
  <c r="J80" i="63"/>
  <c r="K80" i="63"/>
  <c r="L80" i="63"/>
  <c r="M80" i="63"/>
  <c r="N80" i="63"/>
  <c r="D80" i="63"/>
  <c r="T80" i="63"/>
  <c r="E79" i="63"/>
  <c r="F79" i="63"/>
  <c r="G79" i="63"/>
  <c r="H79" i="63"/>
  <c r="I79" i="63"/>
  <c r="J79" i="63"/>
  <c r="K79" i="63"/>
  <c r="L79" i="63"/>
  <c r="M79" i="63"/>
  <c r="N79" i="63"/>
  <c r="D79" i="63"/>
  <c r="U79" i="63"/>
  <c r="E78" i="63"/>
  <c r="F78" i="63"/>
  <c r="G78" i="63"/>
  <c r="O78" i="63" s="1"/>
  <c r="P78" i="63" s="1"/>
  <c r="V78" i="63" s="1"/>
  <c r="W78" i="63" s="1"/>
  <c r="H78" i="63"/>
  <c r="I78" i="63"/>
  <c r="J78" i="63"/>
  <c r="K78" i="63"/>
  <c r="L78" i="63"/>
  <c r="M78" i="63"/>
  <c r="N78" i="63"/>
  <c r="D78" i="63"/>
  <c r="U78" i="63"/>
  <c r="E77" i="63"/>
  <c r="F77" i="63"/>
  <c r="G77" i="63"/>
  <c r="H77" i="63"/>
  <c r="I77" i="63"/>
  <c r="J77" i="63"/>
  <c r="K77" i="63"/>
  <c r="L77" i="63"/>
  <c r="M77" i="63"/>
  <c r="N77" i="63"/>
  <c r="D77" i="63"/>
  <c r="T77" i="63"/>
  <c r="E76" i="63"/>
  <c r="F76" i="63"/>
  <c r="G76" i="63"/>
  <c r="H76" i="63"/>
  <c r="I76" i="63"/>
  <c r="J76" i="63"/>
  <c r="K76" i="63"/>
  <c r="L76" i="63"/>
  <c r="M76" i="63"/>
  <c r="N76" i="63"/>
  <c r="D76" i="63"/>
  <c r="U76" i="63"/>
  <c r="E75" i="63"/>
  <c r="F75" i="63"/>
  <c r="G75" i="63"/>
  <c r="H75" i="63"/>
  <c r="I75" i="63"/>
  <c r="J75" i="63"/>
  <c r="K75" i="63"/>
  <c r="L75" i="63"/>
  <c r="M75" i="63"/>
  <c r="N75" i="63"/>
  <c r="D75" i="63"/>
  <c r="E74" i="63"/>
  <c r="F74" i="63"/>
  <c r="G74" i="63"/>
  <c r="H74" i="63"/>
  <c r="I74" i="63"/>
  <c r="J74" i="63"/>
  <c r="K74" i="63"/>
  <c r="L74" i="63"/>
  <c r="M74" i="63"/>
  <c r="N74" i="63"/>
  <c r="D74" i="63"/>
  <c r="T74" i="63"/>
  <c r="E73" i="63"/>
  <c r="F73" i="63"/>
  <c r="G73" i="63"/>
  <c r="H73" i="63"/>
  <c r="I73" i="63"/>
  <c r="J73" i="63"/>
  <c r="K73" i="63"/>
  <c r="L73" i="63"/>
  <c r="M73" i="63"/>
  <c r="N73" i="63"/>
  <c r="D73" i="63"/>
  <c r="S73" i="63"/>
  <c r="U73" i="63"/>
  <c r="E72" i="63"/>
  <c r="F72" i="63"/>
  <c r="G72" i="63"/>
  <c r="H72" i="63"/>
  <c r="I72" i="63"/>
  <c r="J72" i="63"/>
  <c r="K72" i="63"/>
  <c r="L72" i="63"/>
  <c r="M72" i="63"/>
  <c r="N72" i="63"/>
  <c r="D72" i="63"/>
  <c r="E71" i="63"/>
  <c r="F71" i="63"/>
  <c r="G71" i="63"/>
  <c r="H71" i="63"/>
  <c r="I71" i="63"/>
  <c r="J71" i="63"/>
  <c r="K71" i="63"/>
  <c r="L71" i="63"/>
  <c r="M71" i="63"/>
  <c r="N71" i="63"/>
  <c r="D71" i="63"/>
  <c r="U71" i="63"/>
  <c r="E70" i="63"/>
  <c r="F70" i="63"/>
  <c r="G70" i="63"/>
  <c r="H70" i="63"/>
  <c r="I70" i="63"/>
  <c r="J70" i="63"/>
  <c r="K70" i="63"/>
  <c r="L70" i="63"/>
  <c r="M70" i="63"/>
  <c r="N70" i="63"/>
  <c r="D70" i="63"/>
  <c r="T70" i="63"/>
  <c r="E69" i="63"/>
  <c r="F69" i="63"/>
  <c r="G69" i="63"/>
  <c r="H69" i="63"/>
  <c r="I69" i="63"/>
  <c r="J69" i="63"/>
  <c r="K69" i="63"/>
  <c r="L69" i="63"/>
  <c r="M69" i="63"/>
  <c r="N69" i="63"/>
  <c r="D69" i="63"/>
  <c r="S69" i="63"/>
  <c r="U69" i="63"/>
  <c r="E68" i="63"/>
  <c r="F68" i="63"/>
  <c r="G68" i="63"/>
  <c r="H68" i="63"/>
  <c r="I68" i="63"/>
  <c r="J68" i="63"/>
  <c r="K68" i="63"/>
  <c r="L68" i="63"/>
  <c r="M68" i="63"/>
  <c r="N68" i="63"/>
  <c r="D68" i="63"/>
  <c r="U68" i="63"/>
  <c r="E67" i="63"/>
  <c r="J67" i="63"/>
  <c r="O67" i="63" s="1"/>
  <c r="P67" i="63" s="1"/>
  <c r="D67" i="63"/>
  <c r="T67" i="63"/>
  <c r="E66" i="63"/>
  <c r="F66" i="63"/>
  <c r="G66" i="63"/>
  <c r="H66" i="63"/>
  <c r="I66" i="63"/>
  <c r="J66" i="63"/>
  <c r="K66" i="63"/>
  <c r="L66" i="63"/>
  <c r="M66" i="63"/>
  <c r="N66" i="63"/>
  <c r="D66" i="63"/>
  <c r="T66" i="63"/>
  <c r="E65" i="63"/>
  <c r="F65" i="63"/>
  <c r="G65" i="63"/>
  <c r="H65" i="63"/>
  <c r="I65" i="63"/>
  <c r="J65" i="63"/>
  <c r="K65" i="63"/>
  <c r="L65" i="63"/>
  <c r="M65" i="63"/>
  <c r="N65" i="63"/>
  <c r="D65" i="63"/>
  <c r="T65" i="63"/>
  <c r="E64" i="63"/>
  <c r="F64" i="63"/>
  <c r="G64" i="63"/>
  <c r="H64" i="63"/>
  <c r="I64" i="63"/>
  <c r="J64" i="63"/>
  <c r="K64" i="63"/>
  <c r="L64" i="63"/>
  <c r="M64" i="63"/>
  <c r="N64" i="63"/>
  <c r="D64" i="63"/>
  <c r="U64" i="63"/>
  <c r="E63" i="63"/>
  <c r="F63" i="63"/>
  <c r="G63" i="63"/>
  <c r="H63" i="63"/>
  <c r="I63" i="63"/>
  <c r="J63" i="63"/>
  <c r="K63" i="63"/>
  <c r="L63" i="63"/>
  <c r="M63" i="63"/>
  <c r="N63" i="63"/>
  <c r="D63" i="63"/>
  <c r="U63" i="63"/>
  <c r="E62" i="63"/>
  <c r="F62" i="63"/>
  <c r="G62" i="63"/>
  <c r="H62" i="63"/>
  <c r="I62" i="63"/>
  <c r="J62" i="63"/>
  <c r="K62" i="63"/>
  <c r="L62" i="63"/>
  <c r="M62" i="63"/>
  <c r="N62" i="63"/>
  <c r="D62" i="63"/>
  <c r="T62" i="63"/>
  <c r="E61" i="63"/>
  <c r="F61" i="63"/>
  <c r="G61" i="63"/>
  <c r="H61" i="63"/>
  <c r="I61" i="63"/>
  <c r="J61" i="63"/>
  <c r="K61" i="63"/>
  <c r="L61" i="63"/>
  <c r="M61" i="63"/>
  <c r="N61" i="63"/>
  <c r="D61" i="63"/>
  <c r="U61" i="63"/>
  <c r="E60" i="63"/>
  <c r="F60" i="63"/>
  <c r="G60" i="63"/>
  <c r="H60" i="63"/>
  <c r="I60" i="63"/>
  <c r="J60" i="63"/>
  <c r="K60" i="63"/>
  <c r="L60" i="63"/>
  <c r="M60" i="63"/>
  <c r="N60" i="63"/>
  <c r="D60" i="63"/>
  <c r="E59" i="63"/>
  <c r="F59" i="63"/>
  <c r="G59" i="63"/>
  <c r="H59" i="63"/>
  <c r="I59" i="63"/>
  <c r="J59" i="63"/>
  <c r="K59" i="63"/>
  <c r="L59" i="63"/>
  <c r="M59" i="63"/>
  <c r="N59" i="63"/>
  <c r="D59" i="63"/>
  <c r="T59" i="63"/>
  <c r="E58" i="63"/>
  <c r="F58" i="63"/>
  <c r="G58" i="63"/>
  <c r="H58" i="63"/>
  <c r="I58" i="63"/>
  <c r="J58" i="63"/>
  <c r="K58" i="63"/>
  <c r="L58" i="63"/>
  <c r="M58" i="63"/>
  <c r="N58" i="63"/>
  <c r="D58" i="63"/>
  <c r="S58" i="63"/>
  <c r="U58" i="63"/>
  <c r="E57" i="63"/>
  <c r="F57" i="63"/>
  <c r="G57" i="63"/>
  <c r="H57" i="63"/>
  <c r="I57" i="63"/>
  <c r="J57" i="63"/>
  <c r="K57" i="63"/>
  <c r="L57" i="63"/>
  <c r="M57" i="63"/>
  <c r="N57" i="63"/>
  <c r="D57" i="63"/>
  <c r="E56" i="63"/>
  <c r="F56" i="63"/>
  <c r="G56" i="63"/>
  <c r="H56" i="63"/>
  <c r="I56" i="63"/>
  <c r="J56" i="63"/>
  <c r="K56" i="63"/>
  <c r="L56" i="63"/>
  <c r="M56" i="63"/>
  <c r="N56" i="63"/>
  <c r="D56" i="63"/>
  <c r="U56" i="63"/>
  <c r="E55" i="63"/>
  <c r="F55" i="63"/>
  <c r="G55" i="63"/>
  <c r="H55" i="63"/>
  <c r="I55" i="63"/>
  <c r="J55" i="63"/>
  <c r="K55" i="63"/>
  <c r="L55" i="63"/>
  <c r="M55" i="63"/>
  <c r="N55" i="63"/>
  <c r="D55" i="63"/>
  <c r="T55" i="63"/>
  <c r="E54" i="63"/>
  <c r="F54" i="63"/>
  <c r="G54" i="63"/>
  <c r="H54" i="63"/>
  <c r="I54" i="63"/>
  <c r="J54" i="63"/>
  <c r="K54" i="63"/>
  <c r="L54" i="63"/>
  <c r="M54" i="63"/>
  <c r="N54" i="63"/>
  <c r="D54" i="63"/>
  <c r="S54" i="63"/>
  <c r="U54" i="63"/>
  <c r="E53" i="63"/>
  <c r="F53" i="63"/>
  <c r="G53" i="63"/>
  <c r="H53" i="63"/>
  <c r="I53" i="63"/>
  <c r="J53" i="63"/>
  <c r="K53" i="63"/>
  <c r="L53" i="63"/>
  <c r="M53" i="63"/>
  <c r="N53" i="63"/>
  <c r="D53" i="63"/>
  <c r="U53" i="63"/>
  <c r="E52" i="63"/>
  <c r="J52" i="63"/>
  <c r="D52" i="63"/>
  <c r="T52" i="63"/>
  <c r="E51" i="63"/>
  <c r="F51" i="63"/>
  <c r="G51" i="63"/>
  <c r="H51" i="63"/>
  <c r="I51" i="63"/>
  <c r="J51" i="63"/>
  <c r="K51" i="63"/>
  <c r="L51" i="63"/>
  <c r="M51" i="63"/>
  <c r="N51" i="63"/>
  <c r="D51" i="63"/>
  <c r="T51" i="63"/>
  <c r="E50" i="63"/>
  <c r="F50" i="63"/>
  <c r="G50" i="63"/>
  <c r="H50" i="63"/>
  <c r="I50" i="63"/>
  <c r="J50" i="63"/>
  <c r="K50" i="63"/>
  <c r="L50" i="63"/>
  <c r="M50" i="63"/>
  <c r="N50" i="63"/>
  <c r="D50" i="63"/>
  <c r="T50" i="63"/>
  <c r="E49" i="63"/>
  <c r="F49" i="63"/>
  <c r="G49" i="63"/>
  <c r="H49" i="63"/>
  <c r="I49" i="63"/>
  <c r="J49" i="63"/>
  <c r="K49" i="63"/>
  <c r="L49" i="63"/>
  <c r="M49" i="63"/>
  <c r="N49" i="63"/>
  <c r="D49" i="63"/>
  <c r="U49" i="63"/>
  <c r="E48" i="63"/>
  <c r="F48" i="63"/>
  <c r="G48" i="63"/>
  <c r="H48" i="63"/>
  <c r="I48" i="63"/>
  <c r="J48" i="63"/>
  <c r="K48" i="63"/>
  <c r="L48" i="63"/>
  <c r="M48" i="63"/>
  <c r="N48" i="63"/>
  <c r="D48" i="63"/>
  <c r="U48" i="63"/>
  <c r="E47" i="63"/>
  <c r="F47" i="63"/>
  <c r="G47" i="63"/>
  <c r="H47" i="63"/>
  <c r="I47" i="63"/>
  <c r="J47" i="63"/>
  <c r="K47" i="63"/>
  <c r="L47" i="63"/>
  <c r="M47" i="63"/>
  <c r="N47" i="63"/>
  <c r="D47" i="63"/>
  <c r="T47" i="63"/>
  <c r="E46" i="63"/>
  <c r="F46" i="63"/>
  <c r="G46" i="63"/>
  <c r="H46" i="63"/>
  <c r="O46" i="63" s="1"/>
  <c r="I46" i="63"/>
  <c r="J46" i="63"/>
  <c r="K46" i="63"/>
  <c r="L46" i="63"/>
  <c r="M46" i="63"/>
  <c r="N46" i="63"/>
  <c r="D46" i="63"/>
  <c r="U46" i="63"/>
  <c r="E45" i="63"/>
  <c r="F45" i="63"/>
  <c r="G45" i="63"/>
  <c r="H45" i="63"/>
  <c r="I45" i="63"/>
  <c r="O45" i="63" s="1"/>
  <c r="P45" i="63" s="1"/>
  <c r="V45" i="63" s="1"/>
  <c r="W45" i="63" s="1"/>
  <c r="J45" i="63"/>
  <c r="K45" i="63"/>
  <c r="L45" i="63"/>
  <c r="M45" i="63"/>
  <c r="N45" i="63"/>
  <c r="D45" i="63"/>
  <c r="E44" i="63"/>
  <c r="F44" i="63"/>
  <c r="G44" i="63"/>
  <c r="H44" i="63"/>
  <c r="I44" i="63"/>
  <c r="J44" i="63"/>
  <c r="O44" i="63" s="1"/>
  <c r="K44" i="63"/>
  <c r="L44" i="63"/>
  <c r="M44" i="63"/>
  <c r="N44" i="63"/>
  <c r="D44" i="63"/>
  <c r="T44" i="63"/>
  <c r="E43" i="63"/>
  <c r="F43" i="63"/>
  <c r="G43" i="63"/>
  <c r="H43" i="63"/>
  <c r="I43" i="63"/>
  <c r="J43" i="63"/>
  <c r="K43" i="63"/>
  <c r="L43" i="63"/>
  <c r="M43" i="63"/>
  <c r="N43" i="63"/>
  <c r="D43" i="63"/>
  <c r="S43" i="63"/>
  <c r="U43" i="63"/>
  <c r="E42" i="63"/>
  <c r="F42" i="63"/>
  <c r="G42" i="63"/>
  <c r="H42" i="63"/>
  <c r="I42" i="63"/>
  <c r="J42" i="63"/>
  <c r="K42" i="63"/>
  <c r="L42" i="63"/>
  <c r="M42" i="63"/>
  <c r="N42" i="63"/>
  <c r="O42" i="63"/>
  <c r="D42" i="63"/>
  <c r="E41" i="63"/>
  <c r="F41" i="63"/>
  <c r="G41" i="63"/>
  <c r="H41" i="63"/>
  <c r="O41" i="63" s="1"/>
  <c r="I41" i="63"/>
  <c r="J41" i="63"/>
  <c r="K41" i="63"/>
  <c r="L41" i="63"/>
  <c r="M41" i="63"/>
  <c r="N41" i="63"/>
  <c r="D41" i="63"/>
  <c r="U41" i="63"/>
  <c r="E40" i="63"/>
  <c r="F40" i="63"/>
  <c r="G40" i="63"/>
  <c r="H40" i="63"/>
  <c r="O40" i="63" s="1"/>
  <c r="I40" i="63"/>
  <c r="J40" i="63"/>
  <c r="K40" i="63"/>
  <c r="L40" i="63"/>
  <c r="M40" i="63"/>
  <c r="N40" i="63"/>
  <c r="D40" i="63"/>
  <c r="T40" i="63"/>
  <c r="E39" i="63"/>
  <c r="F39" i="63"/>
  <c r="G39" i="63"/>
  <c r="H39" i="63"/>
  <c r="O39" i="63"/>
  <c r="I39" i="63"/>
  <c r="J39" i="63"/>
  <c r="K39" i="63"/>
  <c r="L39" i="63"/>
  <c r="M39" i="63"/>
  <c r="N39" i="63"/>
  <c r="D39" i="63"/>
  <c r="P39" i="63"/>
  <c r="V39" i="63" s="1"/>
  <c r="W39" i="63" s="1"/>
  <c r="S39" i="63"/>
  <c r="U39" i="63"/>
  <c r="E38" i="63"/>
  <c r="F38" i="63"/>
  <c r="O38" i="63" s="1"/>
  <c r="P38" i="63" s="1"/>
  <c r="V38" i="63" s="1"/>
  <c r="W38" i="63" s="1"/>
  <c r="G38" i="63"/>
  <c r="H38" i="63"/>
  <c r="I38" i="63"/>
  <c r="J38" i="63"/>
  <c r="K38" i="63"/>
  <c r="L38" i="63"/>
  <c r="M38" i="63"/>
  <c r="N38" i="63"/>
  <c r="D38" i="63"/>
  <c r="U38" i="63"/>
  <c r="E37" i="63"/>
  <c r="J37" i="63"/>
  <c r="O37" i="63" s="1"/>
  <c r="D37" i="63"/>
  <c r="P37" i="63" s="1"/>
  <c r="T37" i="63"/>
  <c r="E36" i="63"/>
  <c r="F36" i="63"/>
  <c r="G36" i="63"/>
  <c r="H36" i="63"/>
  <c r="I36" i="63"/>
  <c r="J36" i="63"/>
  <c r="K36" i="63"/>
  <c r="L36" i="63"/>
  <c r="M36" i="63"/>
  <c r="N36" i="63"/>
  <c r="D36" i="63"/>
  <c r="T36" i="63"/>
  <c r="E35" i="63"/>
  <c r="F35" i="63"/>
  <c r="G35" i="63"/>
  <c r="H35" i="63"/>
  <c r="I35" i="63"/>
  <c r="J35" i="63"/>
  <c r="K35" i="63"/>
  <c r="L35" i="63"/>
  <c r="M35" i="63"/>
  <c r="N35" i="63"/>
  <c r="D35" i="63"/>
  <c r="T35" i="63"/>
  <c r="E34" i="63"/>
  <c r="F34" i="63"/>
  <c r="G34" i="63"/>
  <c r="H34" i="63"/>
  <c r="I34" i="63"/>
  <c r="J34" i="63"/>
  <c r="K34" i="63"/>
  <c r="L34" i="63"/>
  <c r="M34" i="63"/>
  <c r="N34" i="63"/>
  <c r="D34" i="63"/>
  <c r="U34" i="63"/>
  <c r="E33" i="63"/>
  <c r="F33" i="63"/>
  <c r="G33" i="63"/>
  <c r="H33" i="63"/>
  <c r="I33" i="63"/>
  <c r="J33" i="63"/>
  <c r="K33" i="63"/>
  <c r="L33" i="63"/>
  <c r="M33" i="63"/>
  <c r="N33" i="63"/>
  <c r="D33" i="63"/>
  <c r="U33" i="63"/>
  <c r="E32" i="63"/>
  <c r="F32" i="63"/>
  <c r="G32" i="63"/>
  <c r="H32" i="63"/>
  <c r="I32" i="63"/>
  <c r="J32" i="63"/>
  <c r="K32" i="63"/>
  <c r="L32" i="63"/>
  <c r="M32" i="63"/>
  <c r="N32" i="63"/>
  <c r="D32" i="63"/>
  <c r="T32" i="63"/>
  <c r="E31" i="63"/>
  <c r="O31" i="63" s="1"/>
  <c r="F31" i="63"/>
  <c r="G31" i="63"/>
  <c r="H31" i="63"/>
  <c r="I31" i="63"/>
  <c r="J31" i="63"/>
  <c r="K31" i="63"/>
  <c r="L31" i="63"/>
  <c r="M31" i="63"/>
  <c r="N31" i="63"/>
  <c r="D31" i="63"/>
  <c r="U31" i="63"/>
  <c r="E30" i="63"/>
  <c r="F30" i="63"/>
  <c r="G30" i="63"/>
  <c r="H30" i="63"/>
  <c r="I30" i="63"/>
  <c r="J30" i="63"/>
  <c r="K30" i="63"/>
  <c r="L30" i="63"/>
  <c r="M30" i="63"/>
  <c r="N30" i="63"/>
  <c r="O30" i="63"/>
  <c r="D30" i="63"/>
  <c r="P30" i="63" s="1"/>
  <c r="E29" i="63"/>
  <c r="F29" i="63"/>
  <c r="G29" i="63"/>
  <c r="H29" i="63"/>
  <c r="O29" i="63"/>
  <c r="I29" i="63"/>
  <c r="J29" i="63"/>
  <c r="K29" i="63"/>
  <c r="L29" i="63"/>
  <c r="M29" i="63"/>
  <c r="N29" i="63"/>
  <c r="D29" i="63"/>
  <c r="P29" i="63"/>
  <c r="V29" i="63" s="1"/>
  <c r="W29" i="63" s="1"/>
  <c r="T29" i="63"/>
  <c r="E28" i="63"/>
  <c r="F28" i="63"/>
  <c r="G28" i="63"/>
  <c r="O28" i="63" s="1"/>
  <c r="H28" i="63"/>
  <c r="I28" i="63"/>
  <c r="J28" i="63"/>
  <c r="K28" i="63"/>
  <c r="L28" i="63"/>
  <c r="M28" i="63"/>
  <c r="N28" i="63"/>
  <c r="D28" i="63"/>
  <c r="P28" i="63" s="1"/>
  <c r="S28" i="63"/>
  <c r="U28" i="63"/>
  <c r="E27" i="63"/>
  <c r="F27" i="63"/>
  <c r="G27" i="63"/>
  <c r="H27" i="63"/>
  <c r="O27" i="63" s="1"/>
  <c r="I27" i="63"/>
  <c r="J27" i="63"/>
  <c r="K27" i="63"/>
  <c r="L27" i="63"/>
  <c r="M27" i="63"/>
  <c r="N27" i="63"/>
  <c r="D27" i="63"/>
  <c r="P27" i="63"/>
  <c r="V27" i="63" s="1"/>
  <c r="W27" i="63" s="1"/>
  <c r="E26" i="63"/>
  <c r="F26" i="63"/>
  <c r="G26" i="63"/>
  <c r="H26" i="63"/>
  <c r="I26" i="63"/>
  <c r="O26" i="63" s="1"/>
  <c r="J26" i="63"/>
  <c r="K26" i="63"/>
  <c r="L26" i="63"/>
  <c r="M26" i="63"/>
  <c r="N26" i="63"/>
  <c r="D26" i="63"/>
  <c r="U26" i="63"/>
  <c r="E25" i="63"/>
  <c r="F25" i="63"/>
  <c r="G25" i="63"/>
  <c r="H25" i="63"/>
  <c r="I25" i="63"/>
  <c r="J25" i="63"/>
  <c r="K25" i="63"/>
  <c r="L25" i="63"/>
  <c r="M25" i="63"/>
  <c r="N25" i="63"/>
  <c r="D25" i="63"/>
  <c r="T25" i="63"/>
  <c r="E24" i="63"/>
  <c r="F24" i="63"/>
  <c r="G24" i="63"/>
  <c r="H24" i="63"/>
  <c r="I24" i="63"/>
  <c r="J24" i="63"/>
  <c r="K24" i="63"/>
  <c r="L24" i="63"/>
  <c r="M24" i="63"/>
  <c r="N24" i="63"/>
  <c r="O24" i="63" s="1"/>
  <c r="D24" i="63"/>
  <c r="S24" i="63"/>
  <c r="U24" i="63"/>
  <c r="E23" i="63"/>
  <c r="F23" i="63"/>
  <c r="G23" i="63"/>
  <c r="H23" i="63"/>
  <c r="I23" i="63"/>
  <c r="J23" i="63"/>
  <c r="K23" i="63"/>
  <c r="L23" i="63"/>
  <c r="M23" i="63"/>
  <c r="N23" i="63"/>
  <c r="D23" i="63"/>
  <c r="U23" i="63"/>
  <c r="E22" i="63"/>
  <c r="J22" i="63"/>
  <c r="O22" i="63"/>
  <c r="D22" i="63"/>
  <c r="P22" i="63" s="1"/>
  <c r="T22" i="63"/>
  <c r="E21" i="63"/>
  <c r="F21" i="63"/>
  <c r="G21" i="63"/>
  <c r="H21" i="63"/>
  <c r="I21" i="63"/>
  <c r="J21" i="63"/>
  <c r="K21" i="63"/>
  <c r="L21" i="63"/>
  <c r="M21" i="63"/>
  <c r="N21" i="63"/>
  <c r="D21" i="63"/>
  <c r="T21" i="63"/>
  <c r="E20" i="63"/>
  <c r="F20" i="63"/>
  <c r="O20" i="63" s="1"/>
  <c r="P20" i="63" s="1"/>
  <c r="G20" i="63"/>
  <c r="H20" i="63"/>
  <c r="I20" i="63"/>
  <c r="J20" i="63"/>
  <c r="K20" i="63"/>
  <c r="L20" i="63"/>
  <c r="M20" i="63"/>
  <c r="N20" i="63"/>
  <c r="D20" i="63"/>
  <c r="T20" i="63"/>
  <c r="E19" i="63"/>
  <c r="O19" i="63" s="1"/>
  <c r="P19" i="63" s="1"/>
  <c r="F19" i="63"/>
  <c r="G19" i="63"/>
  <c r="H19" i="63"/>
  <c r="I19" i="63"/>
  <c r="J19" i="63"/>
  <c r="K19" i="63"/>
  <c r="L19" i="63"/>
  <c r="M19" i="63"/>
  <c r="N19" i="63"/>
  <c r="D19" i="63"/>
  <c r="U19" i="63"/>
  <c r="E18" i="63"/>
  <c r="F18" i="63"/>
  <c r="G18" i="63"/>
  <c r="H18" i="63"/>
  <c r="I18" i="63"/>
  <c r="J18" i="63"/>
  <c r="K18" i="63"/>
  <c r="L18" i="63"/>
  <c r="M18" i="63"/>
  <c r="N18" i="63"/>
  <c r="O18" i="63"/>
  <c r="P18" i="63" s="1"/>
  <c r="V18" i="63" s="1"/>
  <c r="W18" i="63" s="1"/>
  <c r="D18" i="63"/>
  <c r="U18" i="63"/>
  <c r="E17" i="63"/>
  <c r="F17" i="63"/>
  <c r="G17" i="63"/>
  <c r="H17" i="63"/>
  <c r="I17" i="63"/>
  <c r="J17" i="63"/>
  <c r="K17" i="63"/>
  <c r="L17" i="63"/>
  <c r="M17" i="63"/>
  <c r="N17" i="63"/>
  <c r="O17" i="63"/>
  <c r="P17" i="63" s="1"/>
  <c r="D17" i="63"/>
  <c r="T17" i="63"/>
  <c r="E16" i="63"/>
  <c r="F16" i="63"/>
  <c r="G16" i="63"/>
  <c r="H16" i="63"/>
  <c r="I16" i="63"/>
  <c r="O16" i="63" s="1"/>
  <c r="J16" i="63"/>
  <c r="K16" i="63"/>
  <c r="L16" i="63"/>
  <c r="M16" i="63"/>
  <c r="N16" i="63"/>
  <c r="D16" i="63"/>
  <c r="P16" i="63" s="1"/>
  <c r="V16" i="63" s="1"/>
  <c r="W16" i="63" s="1"/>
  <c r="U16" i="63"/>
  <c r="E15" i="63"/>
  <c r="F15" i="63"/>
  <c r="G15" i="63"/>
  <c r="H15" i="63"/>
  <c r="I15" i="63"/>
  <c r="J15" i="63"/>
  <c r="K15" i="63"/>
  <c r="L15" i="63"/>
  <c r="M15" i="63"/>
  <c r="N15" i="63"/>
  <c r="D15" i="63"/>
  <c r="E14" i="63"/>
  <c r="F14" i="63"/>
  <c r="G14" i="63"/>
  <c r="H14" i="63"/>
  <c r="I14" i="63"/>
  <c r="J14" i="63"/>
  <c r="K14" i="63"/>
  <c r="L14" i="63"/>
  <c r="M14" i="63"/>
  <c r="N14" i="63"/>
  <c r="D14" i="63"/>
  <c r="T14" i="63"/>
  <c r="E13" i="63"/>
  <c r="F13" i="63"/>
  <c r="G13" i="63"/>
  <c r="H13" i="63"/>
  <c r="I13" i="63"/>
  <c r="O13" i="63" s="1"/>
  <c r="J13" i="63"/>
  <c r="K13" i="63"/>
  <c r="L13" i="63"/>
  <c r="M13" i="63"/>
  <c r="N13" i="63"/>
  <c r="D13" i="63"/>
  <c r="S13" i="63"/>
  <c r="U13" i="63"/>
  <c r="E10" i="63"/>
  <c r="F10" i="63"/>
  <c r="G10" i="63"/>
  <c r="H10" i="63"/>
  <c r="I10" i="63"/>
  <c r="J10" i="63"/>
  <c r="K10" i="63"/>
  <c r="L10" i="63"/>
  <c r="M10" i="63"/>
  <c r="N10" i="63"/>
  <c r="D10" i="63"/>
  <c r="T10" i="63"/>
  <c r="E11" i="63"/>
  <c r="F11" i="63"/>
  <c r="G11" i="63"/>
  <c r="H11" i="63"/>
  <c r="I11" i="63"/>
  <c r="J11" i="63"/>
  <c r="K11" i="63"/>
  <c r="L11" i="63"/>
  <c r="M11" i="63"/>
  <c r="N11" i="63"/>
  <c r="D11" i="63"/>
  <c r="U11" i="63"/>
  <c r="E9" i="63"/>
  <c r="F9" i="63"/>
  <c r="G9" i="63"/>
  <c r="H9" i="63"/>
  <c r="I9" i="63"/>
  <c r="J9" i="63"/>
  <c r="K9" i="63"/>
  <c r="L9" i="63"/>
  <c r="M9" i="63"/>
  <c r="N9" i="63"/>
  <c r="D9" i="63"/>
  <c r="S9" i="63"/>
  <c r="U9" i="63"/>
  <c r="E8" i="63"/>
  <c r="O8" i="63" s="1"/>
  <c r="P8" i="63" s="1"/>
  <c r="V8" i="63" s="1"/>
  <c r="W8" i="63" s="1"/>
  <c r="F8" i="63"/>
  <c r="G8" i="63"/>
  <c r="H8" i="63"/>
  <c r="I8" i="63"/>
  <c r="J8" i="63"/>
  <c r="K8" i="63"/>
  <c r="L8" i="63"/>
  <c r="M8" i="63"/>
  <c r="N8" i="63"/>
  <c r="D8" i="63"/>
  <c r="U8" i="63"/>
  <c r="AB126" i="63"/>
  <c r="AA126" i="63"/>
  <c r="Z126" i="63"/>
  <c r="U126" i="63"/>
  <c r="S126" i="63"/>
  <c r="R126" i="63"/>
  <c r="C126" i="63"/>
  <c r="B126" i="63"/>
  <c r="A126" i="63"/>
  <c r="AB125" i="63"/>
  <c r="AA125" i="63"/>
  <c r="Z125" i="63"/>
  <c r="U125" i="63"/>
  <c r="S125" i="63"/>
  <c r="R125" i="63"/>
  <c r="C125" i="63"/>
  <c r="B125" i="63"/>
  <c r="A125" i="63"/>
  <c r="AB124" i="63"/>
  <c r="AA124" i="63"/>
  <c r="Z124" i="63"/>
  <c r="U124" i="63"/>
  <c r="S124" i="63"/>
  <c r="R124" i="63"/>
  <c r="C124" i="63"/>
  <c r="B124" i="63"/>
  <c r="A124" i="63"/>
  <c r="AB123" i="63"/>
  <c r="AA123" i="63"/>
  <c r="Z123" i="63"/>
  <c r="T123" i="63"/>
  <c r="S123" i="63"/>
  <c r="R123" i="63"/>
  <c r="C123" i="63"/>
  <c r="B123" i="63"/>
  <c r="A123" i="63"/>
  <c r="AB122" i="63"/>
  <c r="AA122" i="63"/>
  <c r="Z122" i="63"/>
  <c r="T122" i="63"/>
  <c r="S122" i="63"/>
  <c r="R122" i="63"/>
  <c r="C122" i="63"/>
  <c r="B122" i="63"/>
  <c r="A122" i="63"/>
  <c r="AB121" i="63"/>
  <c r="AA121" i="63"/>
  <c r="Z121" i="63"/>
  <c r="U121" i="63"/>
  <c r="S121" i="63"/>
  <c r="R121" i="63"/>
  <c r="C121" i="63"/>
  <c r="B121" i="63"/>
  <c r="A121" i="63"/>
  <c r="AB120" i="63"/>
  <c r="AA120" i="63"/>
  <c r="Z120" i="63"/>
  <c r="T120" i="63"/>
  <c r="S120" i="63"/>
  <c r="R120" i="63"/>
  <c r="C120" i="63"/>
  <c r="B120" i="63"/>
  <c r="A120" i="63"/>
  <c r="AB119" i="63"/>
  <c r="AA119" i="63"/>
  <c r="Z119" i="63"/>
  <c r="U119" i="63"/>
  <c r="T119" i="63"/>
  <c r="S119" i="63"/>
  <c r="R119" i="63"/>
  <c r="C119" i="63"/>
  <c r="B119" i="63"/>
  <c r="A119" i="63"/>
  <c r="AB118" i="63"/>
  <c r="AA118" i="63"/>
  <c r="Z118" i="63"/>
  <c r="U118" i="63"/>
  <c r="S118" i="63"/>
  <c r="R118" i="63"/>
  <c r="C118" i="63"/>
  <c r="B118" i="63"/>
  <c r="A118" i="63"/>
  <c r="AB117" i="63"/>
  <c r="AA117" i="63"/>
  <c r="Z117" i="63"/>
  <c r="T117" i="63"/>
  <c r="R117" i="63"/>
  <c r="C117" i="63"/>
  <c r="B117" i="63"/>
  <c r="A117" i="63"/>
  <c r="AB116" i="63"/>
  <c r="AA116" i="63"/>
  <c r="Z116" i="63"/>
  <c r="U116" i="63"/>
  <c r="T116" i="63"/>
  <c r="S116" i="63"/>
  <c r="R116" i="63"/>
  <c r="C116" i="63"/>
  <c r="B116" i="63"/>
  <c r="A116" i="63"/>
  <c r="AB115" i="63"/>
  <c r="AA115" i="63"/>
  <c r="Z115" i="63"/>
  <c r="T115" i="63"/>
  <c r="S115" i="63"/>
  <c r="R115" i="63"/>
  <c r="C115" i="63"/>
  <c r="B115" i="63"/>
  <c r="A115" i="63"/>
  <c r="AB114" i="63"/>
  <c r="AA114" i="63"/>
  <c r="Z114" i="63"/>
  <c r="U114" i="63"/>
  <c r="S114" i="63"/>
  <c r="R114" i="63"/>
  <c r="C114" i="63"/>
  <c r="B114" i="63"/>
  <c r="A114" i="63"/>
  <c r="AB113" i="63"/>
  <c r="AA113" i="63"/>
  <c r="Z113" i="63"/>
  <c r="T113" i="63"/>
  <c r="R113" i="63"/>
  <c r="C113" i="63"/>
  <c r="B113" i="63"/>
  <c r="A113" i="63"/>
  <c r="AB112" i="63"/>
  <c r="AA112" i="63"/>
  <c r="Z112" i="63"/>
  <c r="T112" i="63"/>
  <c r="S112" i="63"/>
  <c r="R112" i="63"/>
  <c r="C112" i="63"/>
  <c r="B112" i="63"/>
  <c r="A112" i="63"/>
  <c r="AB111" i="63"/>
  <c r="AA111" i="63"/>
  <c r="Z111" i="63"/>
  <c r="U111" i="63"/>
  <c r="S111" i="63"/>
  <c r="R111" i="63"/>
  <c r="C111" i="63"/>
  <c r="B111" i="63"/>
  <c r="A111" i="63"/>
  <c r="AB110" i="63"/>
  <c r="AA110" i="63"/>
  <c r="Z110" i="63"/>
  <c r="U110" i="63"/>
  <c r="S110" i="63"/>
  <c r="R110" i="63"/>
  <c r="C110" i="63"/>
  <c r="B110" i="63"/>
  <c r="A110" i="63"/>
  <c r="AB109" i="63"/>
  <c r="AA109" i="63"/>
  <c r="Z109" i="63"/>
  <c r="U109" i="63"/>
  <c r="S109" i="63"/>
  <c r="R109" i="63"/>
  <c r="C109" i="63"/>
  <c r="B109" i="63"/>
  <c r="A109" i="63"/>
  <c r="AB108" i="63"/>
  <c r="AA108" i="63"/>
  <c r="Z108" i="63"/>
  <c r="T108" i="63"/>
  <c r="S108" i="63"/>
  <c r="R108" i="63"/>
  <c r="C108" i="63"/>
  <c r="B108" i="63"/>
  <c r="A108" i="63"/>
  <c r="AB107" i="63"/>
  <c r="AA107" i="63"/>
  <c r="Z107" i="63"/>
  <c r="T107" i="63"/>
  <c r="S107" i="63"/>
  <c r="R107" i="63"/>
  <c r="C107" i="63"/>
  <c r="B107" i="63"/>
  <c r="A107" i="63"/>
  <c r="AB106" i="63"/>
  <c r="AA106" i="63"/>
  <c r="Z106" i="63"/>
  <c r="U106" i="63"/>
  <c r="S106" i="63"/>
  <c r="R106" i="63"/>
  <c r="C106" i="63"/>
  <c r="B106" i="63"/>
  <c r="A106" i="63"/>
  <c r="AB105" i="63"/>
  <c r="AA105" i="63"/>
  <c r="Z105" i="63"/>
  <c r="T105" i="63"/>
  <c r="S105" i="63"/>
  <c r="R105" i="63"/>
  <c r="C105" i="63"/>
  <c r="B105" i="63"/>
  <c r="A105" i="63"/>
  <c r="AB104" i="63"/>
  <c r="AA104" i="63"/>
  <c r="Z104" i="63"/>
  <c r="U104" i="63"/>
  <c r="T104" i="63"/>
  <c r="S104" i="63"/>
  <c r="R104" i="63"/>
  <c r="C104" i="63"/>
  <c r="B104" i="63"/>
  <c r="A104" i="63"/>
  <c r="AB103" i="63"/>
  <c r="AA103" i="63"/>
  <c r="Z103" i="63"/>
  <c r="U103" i="63"/>
  <c r="S103" i="63"/>
  <c r="R103" i="63"/>
  <c r="C103" i="63"/>
  <c r="B103" i="63"/>
  <c r="A103" i="63"/>
  <c r="AB102" i="63"/>
  <c r="AA102" i="63"/>
  <c r="Z102" i="63"/>
  <c r="T102" i="63"/>
  <c r="R102" i="63"/>
  <c r="C102" i="63"/>
  <c r="B102" i="63"/>
  <c r="A102" i="63"/>
  <c r="AB101" i="63"/>
  <c r="AA101" i="63"/>
  <c r="Z101" i="63"/>
  <c r="U101" i="63"/>
  <c r="T101" i="63"/>
  <c r="S101" i="63"/>
  <c r="R101" i="63"/>
  <c r="C101" i="63"/>
  <c r="B101" i="63"/>
  <c r="A101" i="63"/>
  <c r="AB100" i="63"/>
  <c r="AA100" i="63"/>
  <c r="Z100" i="63"/>
  <c r="T100" i="63"/>
  <c r="S100" i="63"/>
  <c r="R100" i="63"/>
  <c r="C100" i="63"/>
  <c r="B100" i="63"/>
  <c r="A100" i="63"/>
  <c r="AB99" i="63"/>
  <c r="AA99" i="63"/>
  <c r="Z99" i="63"/>
  <c r="U99" i="63"/>
  <c r="S99" i="63"/>
  <c r="R99" i="63"/>
  <c r="C99" i="63"/>
  <c r="B99" i="63"/>
  <c r="A99" i="63"/>
  <c r="AB98" i="63"/>
  <c r="AA98" i="63"/>
  <c r="Z98" i="63"/>
  <c r="T98" i="63"/>
  <c r="R98" i="63"/>
  <c r="C98" i="63"/>
  <c r="B98" i="63"/>
  <c r="A98" i="63"/>
  <c r="AB97" i="63"/>
  <c r="AA97" i="63"/>
  <c r="Z97" i="63"/>
  <c r="T97" i="63"/>
  <c r="S97" i="63"/>
  <c r="R97" i="63"/>
  <c r="C97" i="63"/>
  <c r="B97" i="63"/>
  <c r="A97" i="63"/>
  <c r="AB96" i="63"/>
  <c r="AA96" i="63"/>
  <c r="Z96" i="63"/>
  <c r="U96" i="63"/>
  <c r="S96" i="63"/>
  <c r="R96" i="63"/>
  <c r="C96" i="63"/>
  <c r="B96" i="63"/>
  <c r="A96" i="63"/>
  <c r="AB95" i="63"/>
  <c r="AA95" i="63"/>
  <c r="Z95" i="63"/>
  <c r="U95" i="63"/>
  <c r="S95" i="63"/>
  <c r="R95" i="63"/>
  <c r="C95" i="63"/>
  <c r="B95" i="63"/>
  <c r="A95" i="63"/>
  <c r="AB94" i="63"/>
  <c r="AA94" i="63"/>
  <c r="Z94" i="63"/>
  <c r="U94" i="63"/>
  <c r="S94" i="63"/>
  <c r="R94" i="63"/>
  <c r="C94" i="63"/>
  <c r="B94" i="63"/>
  <c r="A94" i="63"/>
  <c r="AB93" i="63"/>
  <c r="AA93" i="63"/>
  <c r="Z93" i="63"/>
  <c r="T93" i="63"/>
  <c r="S93" i="63"/>
  <c r="R93" i="63"/>
  <c r="C93" i="63"/>
  <c r="B93" i="63"/>
  <c r="A93" i="63"/>
  <c r="AB92" i="63"/>
  <c r="AA92" i="63"/>
  <c r="Z92" i="63"/>
  <c r="T92" i="63"/>
  <c r="S92" i="63"/>
  <c r="R92" i="63"/>
  <c r="C92" i="63"/>
  <c r="B92" i="63"/>
  <c r="A92" i="63"/>
  <c r="AB91" i="63"/>
  <c r="AA91" i="63"/>
  <c r="Z91" i="63"/>
  <c r="U91" i="63"/>
  <c r="S91" i="63"/>
  <c r="R91" i="63"/>
  <c r="C91" i="63"/>
  <c r="B91" i="63"/>
  <c r="A91" i="63"/>
  <c r="AB90" i="63"/>
  <c r="AA90" i="63"/>
  <c r="Z90" i="63"/>
  <c r="T90" i="63"/>
  <c r="S90" i="63"/>
  <c r="R90" i="63"/>
  <c r="C90" i="63"/>
  <c r="B90" i="63"/>
  <c r="A90" i="63"/>
  <c r="AB89" i="63"/>
  <c r="AA89" i="63"/>
  <c r="Z89" i="63"/>
  <c r="U89" i="63"/>
  <c r="T89" i="63"/>
  <c r="S89" i="63"/>
  <c r="R89" i="63"/>
  <c r="C89" i="63"/>
  <c r="B89" i="63"/>
  <c r="A89" i="63"/>
  <c r="AB88" i="63"/>
  <c r="AA88" i="63"/>
  <c r="Z88" i="63"/>
  <c r="U88" i="63"/>
  <c r="S88" i="63"/>
  <c r="R88" i="63"/>
  <c r="C88" i="63"/>
  <c r="B88" i="63"/>
  <c r="A88" i="63"/>
  <c r="AB87" i="63"/>
  <c r="AA87" i="63"/>
  <c r="Z87" i="63"/>
  <c r="T87" i="63"/>
  <c r="R87" i="63"/>
  <c r="C87" i="63"/>
  <c r="B87" i="63"/>
  <c r="A87" i="63"/>
  <c r="AB86" i="63"/>
  <c r="AA86" i="63"/>
  <c r="Z86" i="63"/>
  <c r="T86" i="63"/>
  <c r="S86" i="63"/>
  <c r="R86" i="63"/>
  <c r="C86" i="63"/>
  <c r="B86" i="63"/>
  <c r="A86" i="63"/>
  <c r="AB85" i="63"/>
  <c r="AA85" i="63"/>
  <c r="Z85" i="63"/>
  <c r="U85" i="63"/>
  <c r="S85" i="63"/>
  <c r="R85" i="63"/>
  <c r="C85" i="63"/>
  <c r="B85" i="63"/>
  <c r="A85" i="63"/>
  <c r="AB84" i="63"/>
  <c r="AA84" i="63"/>
  <c r="Z84" i="63"/>
  <c r="T84" i="63"/>
  <c r="R84" i="63"/>
  <c r="C84" i="63"/>
  <c r="B84" i="63"/>
  <c r="A84" i="63"/>
  <c r="AB83" i="63"/>
  <c r="AA83" i="63"/>
  <c r="Z83" i="63"/>
  <c r="T83" i="63"/>
  <c r="S83" i="63"/>
  <c r="R83" i="63"/>
  <c r="C83" i="63"/>
  <c r="B83" i="63"/>
  <c r="A83" i="63"/>
  <c r="AB82" i="63"/>
  <c r="AA82" i="63"/>
  <c r="Z82" i="63"/>
  <c r="U82" i="63"/>
  <c r="S82" i="63"/>
  <c r="R82" i="63"/>
  <c r="C82" i="63"/>
  <c r="B82" i="63"/>
  <c r="A82" i="63"/>
  <c r="AB81" i="63"/>
  <c r="AA81" i="63"/>
  <c r="Z81" i="63"/>
  <c r="U81" i="63"/>
  <c r="S81" i="63"/>
  <c r="R81" i="63"/>
  <c r="C81" i="63"/>
  <c r="B81" i="63"/>
  <c r="A81" i="63"/>
  <c r="AB80" i="63"/>
  <c r="AA80" i="63"/>
  <c r="Z80" i="63"/>
  <c r="U80" i="63"/>
  <c r="S80" i="63"/>
  <c r="R80" i="63"/>
  <c r="C80" i="63"/>
  <c r="B80" i="63"/>
  <c r="A80" i="63"/>
  <c r="AB79" i="63"/>
  <c r="AA79" i="63"/>
  <c r="Z79" i="63"/>
  <c r="T79" i="63"/>
  <c r="S79" i="63"/>
  <c r="R79" i="63"/>
  <c r="C79" i="63"/>
  <c r="B79" i="63"/>
  <c r="A79" i="63"/>
  <c r="AB78" i="63"/>
  <c r="AA78" i="63"/>
  <c r="Z78" i="63"/>
  <c r="T78" i="63"/>
  <c r="S78" i="63"/>
  <c r="R78" i="63"/>
  <c r="C78" i="63"/>
  <c r="B78" i="63"/>
  <c r="A78" i="63"/>
  <c r="AB77" i="63"/>
  <c r="AA77" i="63"/>
  <c r="Z77" i="63"/>
  <c r="U77" i="63"/>
  <c r="S77" i="63"/>
  <c r="R77" i="63"/>
  <c r="C77" i="63"/>
  <c r="B77" i="63"/>
  <c r="A77" i="63"/>
  <c r="AB76" i="63"/>
  <c r="AA76" i="63"/>
  <c r="Z76" i="63"/>
  <c r="T76" i="63"/>
  <c r="S76" i="63"/>
  <c r="R76" i="63"/>
  <c r="C76" i="63"/>
  <c r="B76" i="63"/>
  <c r="A76" i="63"/>
  <c r="AB75" i="63"/>
  <c r="AA75" i="63"/>
  <c r="Z75" i="63"/>
  <c r="U75" i="63"/>
  <c r="T75" i="63"/>
  <c r="S75" i="63"/>
  <c r="R75" i="63"/>
  <c r="C75" i="63"/>
  <c r="B75" i="63"/>
  <c r="A75" i="63"/>
  <c r="AB74" i="63"/>
  <c r="AA74" i="63"/>
  <c r="Z74" i="63"/>
  <c r="U74" i="63"/>
  <c r="S74" i="63"/>
  <c r="R74" i="63"/>
  <c r="C74" i="63"/>
  <c r="B74" i="63"/>
  <c r="A74" i="63"/>
  <c r="AB73" i="63"/>
  <c r="AA73" i="63"/>
  <c r="Z73" i="63"/>
  <c r="T73" i="63"/>
  <c r="R73" i="63"/>
  <c r="C73" i="63"/>
  <c r="B73" i="63"/>
  <c r="A73" i="63"/>
  <c r="AB72" i="63"/>
  <c r="AA72" i="63"/>
  <c r="Z72" i="63"/>
  <c r="U72" i="63"/>
  <c r="T72" i="63"/>
  <c r="S72" i="63"/>
  <c r="R72" i="63"/>
  <c r="C72" i="63"/>
  <c r="B72" i="63"/>
  <c r="A72" i="63"/>
  <c r="AB71" i="63"/>
  <c r="AA71" i="63"/>
  <c r="Z71" i="63"/>
  <c r="T71" i="63"/>
  <c r="S71" i="63"/>
  <c r="R71" i="63"/>
  <c r="C71" i="63"/>
  <c r="B71" i="63"/>
  <c r="A71" i="63"/>
  <c r="AB70" i="63"/>
  <c r="AA70" i="63"/>
  <c r="Z70" i="63"/>
  <c r="U70" i="63"/>
  <c r="S70" i="63"/>
  <c r="R70" i="63"/>
  <c r="C70" i="63"/>
  <c r="B70" i="63"/>
  <c r="A70" i="63"/>
  <c r="AB69" i="63"/>
  <c r="AA69" i="63"/>
  <c r="Z69" i="63"/>
  <c r="T69" i="63"/>
  <c r="R69" i="63"/>
  <c r="C69" i="63"/>
  <c r="B69" i="63"/>
  <c r="A69" i="63"/>
  <c r="AB68" i="63"/>
  <c r="AA68" i="63"/>
  <c r="Z68" i="63"/>
  <c r="T68" i="63"/>
  <c r="S68" i="63"/>
  <c r="R68" i="63"/>
  <c r="C68" i="63"/>
  <c r="B68" i="63"/>
  <c r="A68" i="63"/>
  <c r="AB67" i="63"/>
  <c r="AA67" i="63"/>
  <c r="Z67" i="63"/>
  <c r="U67" i="63"/>
  <c r="S67" i="63"/>
  <c r="R67" i="63"/>
  <c r="C67" i="63"/>
  <c r="B67" i="63"/>
  <c r="A67" i="63"/>
  <c r="AB66" i="63"/>
  <c r="AA66" i="63"/>
  <c r="Z66" i="63"/>
  <c r="U66" i="63"/>
  <c r="S66" i="63"/>
  <c r="R66" i="63"/>
  <c r="C66" i="63"/>
  <c r="B66" i="63"/>
  <c r="A66" i="63"/>
  <c r="AB65" i="63"/>
  <c r="AA65" i="63"/>
  <c r="Z65" i="63"/>
  <c r="U65" i="63"/>
  <c r="S65" i="63"/>
  <c r="R65" i="63"/>
  <c r="C65" i="63"/>
  <c r="B65" i="63"/>
  <c r="A65" i="63"/>
  <c r="AB64" i="63"/>
  <c r="AA64" i="63"/>
  <c r="Z64" i="63"/>
  <c r="T64" i="63"/>
  <c r="S64" i="63"/>
  <c r="R64" i="63"/>
  <c r="C64" i="63"/>
  <c r="B64" i="63"/>
  <c r="A64" i="63"/>
  <c r="AB63" i="63"/>
  <c r="AA63" i="63"/>
  <c r="Z63" i="63"/>
  <c r="T63" i="63"/>
  <c r="S63" i="63"/>
  <c r="R63" i="63"/>
  <c r="C63" i="63"/>
  <c r="B63" i="63"/>
  <c r="A63" i="63"/>
  <c r="AB62" i="63"/>
  <c r="AA62" i="63"/>
  <c r="Z62" i="63"/>
  <c r="U62" i="63"/>
  <c r="S62" i="63"/>
  <c r="R62" i="63"/>
  <c r="C62" i="63"/>
  <c r="B62" i="63"/>
  <c r="A62" i="63"/>
  <c r="AB61" i="63"/>
  <c r="AA61" i="63"/>
  <c r="Z61" i="63"/>
  <c r="T61" i="63"/>
  <c r="S61" i="63"/>
  <c r="R61" i="63"/>
  <c r="C61" i="63"/>
  <c r="B61" i="63"/>
  <c r="A61" i="63"/>
  <c r="AB60" i="63"/>
  <c r="AA60" i="63"/>
  <c r="Z60" i="63"/>
  <c r="U60" i="63"/>
  <c r="T60" i="63"/>
  <c r="S60" i="63"/>
  <c r="R60" i="63"/>
  <c r="C60" i="63"/>
  <c r="B60" i="63"/>
  <c r="A60" i="63"/>
  <c r="AB59" i="63"/>
  <c r="AA59" i="63"/>
  <c r="Z59" i="63"/>
  <c r="U59" i="63"/>
  <c r="S59" i="63"/>
  <c r="R59" i="63"/>
  <c r="C59" i="63"/>
  <c r="B59" i="63"/>
  <c r="A59" i="63"/>
  <c r="AB58" i="63"/>
  <c r="AA58" i="63"/>
  <c r="Z58" i="63"/>
  <c r="T58" i="63"/>
  <c r="R58" i="63"/>
  <c r="C58" i="63"/>
  <c r="B58" i="63"/>
  <c r="A58" i="63"/>
  <c r="AB57" i="63"/>
  <c r="AA57" i="63"/>
  <c r="Z57" i="63"/>
  <c r="U57" i="63"/>
  <c r="T57" i="63"/>
  <c r="S57" i="63"/>
  <c r="R57" i="63"/>
  <c r="C57" i="63"/>
  <c r="B57" i="63"/>
  <c r="A57" i="63"/>
  <c r="AB56" i="63"/>
  <c r="AA56" i="63"/>
  <c r="Z56" i="63"/>
  <c r="T56" i="63"/>
  <c r="S56" i="63"/>
  <c r="R56" i="63"/>
  <c r="C56" i="63"/>
  <c r="B56" i="63"/>
  <c r="A56" i="63"/>
  <c r="AB55" i="63"/>
  <c r="AA55" i="63"/>
  <c r="Z55" i="63"/>
  <c r="U55" i="63"/>
  <c r="S55" i="63"/>
  <c r="R55" i="63"/>
  <c r="C55" i="63"/>
  <c r="B55" i="63"/>
  <c r="A55" i="63"/>
  <c r="AB54" i="63"/>
  <c r="AA54" i="63"/>
  <c r="Z54" i="63"/>
  <c r="T54" i="63"/>
  <c r="R54" i="63"/>
  <c r="C54" i="63"/>
  <c r="B54" i="63"/>
  <c r="A54" i="63"/>
  <c r="AB53" i="63"/>
  <c r="AA53" i="63"/>
  <c r="Z53" i="63"/>
  <c r="T53" i="63"/>
  <c r="S53" i="63"/>
  <c r="R53" i="63"/>
  <c r="C53" i="63"/>
  <c r="B53" i="63"/>
  <c r="A53" i="63"/>
  <c r="AB52" i="63"/>
  <c r="AA52" i="63"/>
  <c r="Z52" i="63"/>
  <c r="U52" i="63"/>
  <c r="S52" i="63"/>
  <c r="R52" i="63"/>
  <c r="C52" i="63"/>
  <c r="B52" i="63"/>
  <c r="A52" i="63"/>
  <c r="AB51" i="63"/>
  <c r="AA51" i="63"/>
  <c r="Z51" i="63"/>
  <c r="U51" i="63"/>
  <c r="S51" i="63"/>
  <c r="R51" i="63"/>
  <c r="C51" i="63"/>
  <c r="B51" i="63"/>
  <c r="A51" i="63"/>
  <c r="AB50" i="63"/>
  <c r="AA50" i="63"/>
  <c r="Z50" i="63"/>
  <c r="U50" i="63"/>
  <c r="S50" i="63"/>
  <c r="R50" i="63"/>
  <c r="C50" i="63"/>
  <c r="B50" i="63"/>
  <c r="A50" i="63"/>
  <c r="AB49" i="63"/>
  <c r="AA49" i="63"/>
  <c r="Z49" i="63"/>
  <c r="T49" i="63"/>
  <c r="S49" i="63"/>
  <c r="R49" i="63"/>
  <c r="C49" i="63"/>
  <c r="B49" i="63"/>
  <c r="A49" i="63"/>
  <c r="AB48" i="63"/>
  <c r="AA48" i="63"/>
  <c r="Z48" i="63"/>
  <c r="T48" i="63"/>
  <c r="S48" i="63"/>
  <c r="R48" i="63"/>
  <c r="C48" i="63"/>
  <c r="B48" i="63"/>
  <c r="A48" i="63"/>
  <c r="AB47" i="63"/>
  <c r="AA47" i="63"/>
  <c r="Z47" i="63"/>
  <c r="U47" i="63"/>
  <c r="S47" i="63"/>
  <c r="R47" i="63"/>
  <c r="C47" i="63"/>
  <c r="B47" i="63"/>
  <c r="A47" i="63"/>
  <c r="AB46" i="63"/>
  <c r="AA46" i="63"/>
  <c r="Z46" i="63"/>
  <c r="T46" i="63"/>
  <c r="S46" i="63"/>
  <c r="R46" i="63"/>
  <c r="C46" i="63"/>
  <c r="B46" i="63"/>
  <c r="A46" i="63"/>
  <c r="AB45" i="63"/>
  <c r="AA45" i="63"/>
  <c r="Z45" i="63"/>
  <c r="U45" i="63"/>
  <c r="T45" i="63"/>
  <c r="S45" i="63"/>
  <c r="R45" i="63"/>
  <c r="C45" i="63"/>
  <c r="B45" i="63"/>
  <c r="A45" i="63"/>
  <c r="AB44" i="63"/>
  <c r="AA44" i="63"/>
  <c r="Z44" i="63"/>
  <c r="U44" i="63"/>
  <c r="S44" i="63"/>
  <c r="R44" i="63"/>
  <c r="C44" i="63"/>
  <c r="B44" i="63"/>
  <c r="A44" i="63"/>
  <c r="AB43" i="63"/>
  <c r="AA43" i="63"/>
  <c r="Z43" i="63"/>
  <c r="T43" i="63"/>
  <c r="R43" i="63"/>
  <c r="C43" i="63"/>
  <c r="B43" i="63"/>
  <c r="A43" i="63"/>
  <c r="AB42" i="63"/>
  <c r="AA42" i="63"/>
  <c r="Z42" i="63"/>
  <c r="U42" i="63"/>
  <c r="T42" i="63"/>
  <c r="S42" i="63"/>
  <c r="R42" i="63"/>
  <c r="C42" i="63"/>
  <c r="B42" i="63"/>
  <c r="A42" i="63"/>
  <c r="AB41" i="63"/>
  <c r="AA41" i="63"/>
  <c r="Z41" i="63"/>
  <c r="T41" i="63"/>
  <c r="S41" i="63"/>
  <c r="R41" i="63"/>
  <c r="C41" i="63"/>
  <c r="B41" i="63"/>
  <c r="A41" i="63"/>
  <c r="AB40" i="63"/>
  <c r="AA40" i="63"/>
  <c r="Z40" i="63"/>
  <c r="U40" i="63"/>
  <c r="S40" i="63"/>
  <c r="R40" i="63"/>
  <c r="C40" i="63"/>
  <c r="B40" i="63"/>
  <c r="A40" i="63"/>
  <c r="AB39" i="63"/>
  <c r="AA39" i="63"/>
  <c r="Z39" i="63"/>
  <c r="T39" i="63"/>
  <c r="R39" i="63"/>
  <c r="C39" i="63"/>
  <c r="B39" i="63"/>
  <c r="A39" i="63"/>
  <c r="AB38" i="63"/>
  <c r="AA38" i="63"/>
  <c r="Z38" i="63"/>
  <c r="T38" i="63"/>
  <c r="S38" i="63"/>
  <c r="R38" i="63"/>
  <c r="C38" i="63"/>
  <c r="B38" i="63"/>
  <c r="A38" i="63"/>
  <c r="AB37" i="63"/>
  <c r="AA37" i="63"/>
  <c r="Z37" i="63"/>
  <c r="U37" i="63"/>
  <c r="S37" i="63"/>
  <c r="R37" i="63"/>
  <c r="C37" i="63"/>
  <c r="B37" i="63"/>
  <c r="A37" i="63"/>
  <c r="AB36" i="63"/>
  <c r="AA36" i="63"/>
  <c r="Z36" i="63"/>
  <c r="U36" i="63"/>
  <c r="S36" i="63"/>
  <c r="R36" i="63"/>
  <c r="C36" i="63"/>
  <c r="B36" i="63"/>
  <c r="A36" i="63"/>
  <c r="AB35" i="63"/>
  <c r="AA35" i="63"/>
  <c r="Z35" i="63"/>
  <c r="U35" i="63"/>
  <c r="S35" i="63"/>
  <c r="R35" i="63"/>
  <c r="C35" i="63"/>
  <c r="B35" i="63"/>
  <c r="A35" i="63"/>
  <c r="AB34" i="63"/>
  <c r="AA34" i="63"/>
  <c r="Z34" i="63"/>
  <c r="T34" i="63"/>
  <c r="S34" i="63"/>
  <c r="R34" i="63"/>
  <c r="C34" i="63"/>
  <c r="B34" i="63"/>
  <c r="A34" i="63"/>
  <c r="AB33" i="63"/>
  <c r="AA33" i="63"/>
  <c r="Z33" i="63"/>
  <c r="T33" i="63"/>
  <c r="S33" i="63"/>
  <c r="R33" i="63"/>
  <c r="C33" i="63"/>
  <c r="B33" i="63"/>
  <c r="A33" i="63"/>
  <c r="AB32" i="63"/>
  <c r="AA32" i="63"/>
  <c r="Z32" i="63"/>
  <c r="U32" i="63"/>
  <c r="S32" i="63"/>
  <c r="R32" i="63"/>
  <c r="C32" i="63"/>
  <c r="B32" i="63"/>
  <c r="A32" i="63"/>
  <c r="AB31" i="63"/>
  <c r="AA31" i="63"/>
  <c r="Z31" i="63"/>
  <c r="T31" i="63"/>
  <c r="S31" i="63"/>
  <c r="R31" i="63"/>
  <c r="C31" i="63"/>
  <c r="B31" i="63"/>
  <c r="A31" i="63"/>
  <c r="AB30" i="63"/>
  <c r="AA30" i="63"/>
  <c r="Z30" i="63"/>
  <c r="U30" i="63"/>
  <c r="T30" i="63"/>
  <c r="S30" i="63"/>
  <c r="R30" i="63"/>
  <c r="C30" i="63"/>
  <c r="B30" i="63"/>
  <c r="A30" i="63"/>
  <c r="AB29" i="63"/>
  <c r="AA29" i="63"/>
  <c r="Z29" i="63"/>
  <c r="U29" i="63"/>
  <c r="S29" i="63"/>
  <c r="R29" i="63"/>
  <c r="C29" i="63"/>
  <c r="B29" i="63"/>
  <c r="A29" i="63"/>
  <c r="AB28" i="63"/>
  <c r="AA28" i="63"/>
  <c r="Z28" i="63"/>
  <c r="T28" i="63"/>
  <c r="R28" i="63"/>
  <c r="C28" i="63"/>
  <c r="B28" i="63"/>
  <c r="A28" i="63"/>
  <c r="AB27" i="63"/>
  <c r="AA27" i="63"/>
  <c r="Z27" i="63"/>
  <c r="U27" i="63"/>
  <c r="T27" i="63"/>
  <c r="S27" i="63"/>
  <c r="R27" i="63"/>
  <c r="C27" i="63"/>
  <c r="B27" i="63"/>
  <c r="A27" i="63"/>
  <c r="AB26" i="63"/>
  <c r="AA26" i="63"/>
  <c r="Z26" i="63"/>
  <c r="T26" i="63"/>
  <c r="S26" i="63"/>
  <c r="R26" i="63"/>
  <c r="C26" i="63"/>
  <c r="B26" i="63"/>
  <c r="A26" i="63"/>
  <c r="AB25" i="63"/>
  <c r="AA25" i="63"/>
  <c r="Z25" i="63"/>
  <c r="U25" i="63"/>
  <c r="S25" i="63"/>
  <c r="R25" i="63"/>
  <c r="C25" i="63"/>
  <c r="B25" i="63"/>
  <c r="A25" i="63"/>
  <c r="AB24" i="63"/>
  <c r="AA24" i="63"/>
  <c r="Z24" i="63"/>
  <c r="T24" i="63"/>
  <c r="R24" i="63"/>
  <c r="C24" i="63"/>
  <c r="B24" i="63"/>
  <c r="A24" i="63"/>
  <c r="AB23" i="63"/>
  <c r="AA23" i="63"/>
  <c r="Z23" i="63"/>
  <c r="T23" i="63"/>
  <c r="S23" i="63"/>
  <c r="R23" i="63"/>
  <c r="C23" i="63"/>
  <c r="B23" i="63"/>
  <c r="A23" i="63"/>
  <c r="AB22" i="63"/>
  <c r="AA22" i="63"/>
  <c r="Z22" i="63"/>
  <c r="U22" i="63"/>
  <c r="S22" i="63"/>
  <c r="R22" i="63"/>
  <c r="C22" i="63"/>
  <c r="B22" i="63"/>
  <c r="A22" i="63"/>
  <c r="AB21" i="63"/>
  <c r="AA21" i="63"/>
  <c r="Z21" i="63"/>
  <c r="U21" i="63"/>
  <c r="S21" i="63"/>
  <c r="R21" i="63"/>
  <c r="C21" i="63"/>
  <c r="B21" i="63"/>
  <c r="A21" i="63"/>
  <c r="AB20" i="63"/>
  <c r="AA20" i="63"/>
  <c r="Z20" i="63"/>
  <c r="U20" i="63"/>
  <c r="S20" i="63"/>
  <c r="R20" i="63"/>
  <c r="C20" i="63"/>
  <c r="B20" i="63"/>
  <c r="A20" i="63"/>
  <c r="AB19" i="63"/>
  <c r="AA19" i="63"/>
  <c r="Z19" i="63"/>
  <c r="T19" i="63"/>
  <c r="S19" i="63"/>
  <c r="R19" i="63"/>
  <c r="C19" i="63"/>
  <c r="B19" i="63"/>
  <c r="A19" i="63"/>
  <c r="AB18" i="63"/>
  <c r="AA18" i="63"/>
  <c r="Z18" i="63"/>
  <c r="T18" i="63"/>
  <c r="S18" i="63"/>
  <c r="R18" i="63"/>
  <c r="C18" i="63"/>
  <c r="B18" i="63"/>
  <c r="A18" i="63"/>
  <c r="AB17" i="63"/>
  <c r="AA17" i="63"/>
  <c r="Z17" i="63"/>
  <c r="U17" i="63"/>
  <c r="S17" i="63"/>
  <c r="R17" i="63"/>
  <c r="C17" i="63"/>
  <c r="B17" i="63"/>
  <c r="A17" i="63"/>
  <c r="AB16" i="63"/>
  <c r="AA16" i="63"/>
  <c r="Z16" i="63"/>
  <c r="T16" i="63"/>
  <c r="S16" i="63"/>
  <c r="R16" i="63"/>
  <c r="C16" i="63"/>
  <c r="B16" i="63"/>
  <c r="A16" i="63"/>
  <c r="AB15" i="63"/>
  <c r="AA15" i="63"/>
  <c r="Z15" i="63"/>
  <c r="U15" i="63"/>
  <c r="T15" i="63"/>
  <c r="S15" i="63"/>
  <c r="R15" i="63"/>
  <c r="C15" i="63"/>
  <c r="B15" i="63"/>
  <c r="A15" i="63"/>
  <c r="AB14" i="63"/>
  <c r="AA14" i="63"/>
  <c r="Z14" i="63"/>
  <c r="U14" i="63"/>
  <c r="S14" i="63"/>
  <c r="R14" i="63"/>
  <c r="C14" i="63"/>
  <c r="B14" i="63"/>
  <c r="A14" i="63"/>
  <c r="AB13" i="63"/>
  <c r="AA13" i="63"/>
  <c r="Z13" i="63"/>
  <c r="T13" i="63"/>
  <c r="R13" i="63"/>
  <c r="C13" i="63"/>
  <c r="B13" i="63"/>
  <c r="A13" i="63"/>
  <c r="AB12" i="63"/>
  <c r="AA12" i="63"/>
  <c r="Z12" i="63"/>
  <c r="U12" i="63"/>
  <c r="T12" i="63"/>
  <c r="S12" i="63"/>
  <c r="R12" i="63"/>
  <c r="N12" i="63"/>
  <c r="M12" i="63"/>
  <c r="L12" i="63"/>
  <c r="K12" i="63"/>
  <c r="J12" i="63"/>
  <c r="I12" i="63"/>
  <c r="H12" i="63"/>
  <c r="G12" i="63"/>
  <c r="F12" i="63"/>
  <c r="O12" i="63" s="1"/>
  <c r="P12" i="63" s="1"/>
  <c r="V12" i="63" s="1"/>
  <c r="E12" i="63"/>
  <c r="D12" i="63"/>
  <c r="C12" i="63"/>
  <c r="B12" i="63"/>
  <c r="A12" i="63"/>
  <c r="AB11" i="63"/>
  <c r="AA11" i="63"/>
  <c r="Z11" i="63"/>
  <c r="T11" i="63"/>
  <c r="S11" i="63"/>
  <c r="R11" i="63"/>
  <c r="C11" i="63"/>
  <c r="B11" i="63"/>
  <c r="A11" i="63"/>
  <c r="AB10" i="63"/>
  <c r="AA10" i="63"/>
  <c r="Z10" i="63"/>
  <c r="U10" i="63"/>
  <c r="S10" i="63"/>
  <c r="R10" i="63"/>
  <c r="C10" i="63"/>
  <c r="B10" i="63"/>
  <c r="A10" i="63"/>
  <c r="AB9" i="63"/>
  <c r="AA9" i="63"/>
  <c r="Z9" i="63"/>
  <c r="T9" i="63"/>
  <c r="R9" i="63"/>
  <c r="C9" i="63"/>
  <c r="B9" i="63"/>
  <c r="A9" i="63"/>
  <c r="AB8" i="63"/>
  <c r="AA8" i="63"/>
  <c r="Z8" i="63"/>
  <c r="T8" i="63"/>
  <c r="S8" i="63"/>
  <c r="R8" i="63"/>
  <c r="C8" i="63"/>
  <c r="B8" i="63"/>
  <c r="A8" i="63"/>
  <c r="X78" i="63"/>
  <c r="Q78" i="63"/>
  <c r="C92" i="6"/>
  <c r="C93" i="6"/>
  <c r="C94" i="6"/>
  <c r="C95" i="6"/>
  <c r="C96" i="6"/>
  <c r="C97" i="6"/>
  <c r="C98" i="6"/>
  <c r="D98" i="6"/>
  <c r="E98" i="6"/>
  <c r="F98" i="6"/>
  <c r="G98" i="6"/>
  <c r="H98" i="6"/>
  <c r="I98" i="6"/>
  <c r="D92" i="6"/>
  <c r="D93" i="6"/>
  <c r="D94" i="6"/>
  <c r="D95" i="6"/>
  <c r="D96" i="6"/>
  <c r="D97" i="6"/>
  <c r="E92" i="6"/>
  <c r="E93" i="6"/>
  <c r="E94" i="6"/>
  <c r="E95" i="6"/>
  <c r="E96" i="6"/>
  <c r="E97" i="6"/>
  <c r="F92" i="6"/>
  <c r="F93" i="6"/>
  <c r="F94" i="6"/>
  <c r="F95" i="6"/>
  <c r="F96" i="6"/>
  <c r="F97" i="6"/>
  <c r="G92" i="6"/>
  <c r="G93" i="6"/>
  <c r="G94" i="6"/>
  <c r="G95" i="6"/>
  <c r="G96" i="6"/>
  <c r="G97" i="6"/>
  <c r="H92" i="6"/>
  <c r="H93" i="6"/>
  <c r="H94" i="6"/>
  <c r="H95" i="6"/>
  <c r="H96" i="6"/>
  <c r="H97" i="6"/>
  <c r="I92" i="6"/>
  <c r="I93" i="6"/>
  <c r="I94" i="6"/>
  <c r="I95" i="6"/>
  <c r="I96" i="6"/>
  <c r="I97" i="6"/>
  <c r="C82" i="6"/>
  <c r="C83" i="6"/>
  <c r="C84" i="6"/>
  <c r="C85" i="6"/>
  <c r="C86" i="6"/>
  <c r="C87" i="6"/>
  <c r="C88" i="6"/>
  <c r="D82" i="6"/>
  <c r="D83" i="6"/>
  <c r="D84" i="6"/>
  <c r="D85" i="6"/>
  <c r="D86" i="6"/>
  <c r="D87" i="6"/>
  <c r="D88" i="6"/>
  <c r="E82" i="6"/>
  <c r="E83" i="6"/>
  <c r="E84" i="6"/>
  <c r="E85" i="6"/>
  <c r="E86" i="6"/>
  <c r="E87" i="6"/>
  <c r="E88" i="6"/>
  <c r="F82" i="6"/>
  <c r="F83" i="6"/>
  <c r="F84" i="6"/>
  <c r="F85" i="6"/>
  <c r="F86" i="6"/>
  <c r="F87" i="6"/>
  <c r="F88" i="6"/>
  <c r="G82" i="6"/>
  <c r="G83" i="6"/>
  <c r="G84" i="6"/>
  <c r="G85" i="6"/>
  <c r="G86" i="6"/>
  <c r="G87" i="6"/>
  <c r="G88" i="6"/>
  <c r="H82" i="6"/>
  <c r="H83" i="6"/>
  <c r="H84" i="6"/>
  <c r="H85" i="6"/>
  <c r="H86" i="6"/>
  <c r="H87" i="6"/>
  <c r="H88" i="6"/>
  <c r="I82" i="6"/>
  <c r="I83" i="6"/>
  <c r="I84" i="6"/>
  <c r="I85" i="6"/>
  <c r="I86" i="6"/>
  <c r="I87" i="6"/>
  <c r="I88" i="6"/>
  <c r="C72" i="6"/>
  <c r="C73" i="6"/>
  <c r="C74" i="6"/>
  <c r="C75" i="6"/>
  <c r="C76" i="6"/>
  <c r="C77" i="6"/>
  <c r="C78" i="6"/>
  <c r="D78" i="6"/>
  <c r="E78" i="6"/>
  <c r="F78" i="6"/>
  <c r="G78" i="6"/>
  <c r="H78" i="6"/>
  <c r="I78" i="6"/>
  <c r="D72" i="6"/>
  <c r="D73" i="6"/>
  <c r="D74" i="6"/>
  <c r="D75" i="6"/>
  <c r="D76" i="6"/>
  <c r="D77" i="6"/>
  <c r="E72" i="6"/>
  <c r="E73" i="6"/>
  <c r="E74" i="6"/>
  <c r="E75" i="6"/>
  <c r="E76" i="6"/>
  <c r="E77" i="6"/>
  <c r="F72" i="6"/>
  <c r="F73" i="6"/>
  <c r="F74" i="6"/>
  <c r="F75" i="6"/>
  <c r="F76" i="6"/>
  <c r="F77" i="6"/>
  <c r="G72" i="6"/>
  <c r="G73" i="6"/>
  <c r="G74" i="6"/>
  <c r="G75" i="6"/>
  <c r="G76" i="6"/>
  <c r="G77" i="6"/>
  <c r="H72" i="6"/>
  <c r="H73" i="6"/>
  <c r="H74" i="6"/>
  <c r="H75" i="6"/>
  <c r="H79" i="6" s="1"/>
  <c r="H76" i="6"/>
  <c r="H77" i="6"/>
  <c r="I72" i="6"/>
  <c r="I73" i="6"/>
  <c r="I74" i="6"/>
  <c r="I75" i="6"/>
  <c r="I76" i="6"/>
  <c r="I77" i="6"/>
  <c r="C60" i="6"/>
  <c r="C67" i="6" s="1"/>
  <c r="C61" i="6"/>
  <c r="C62" i="6"/>
  <c r="C63" i="6"/>
  <c r="C64" i="6"/>
  <c r="C65" i="6"/>
  <c r="C66" i="6"/>
  <c r="D60" i="6"/>
  <c r="D61" i="6"/>
  <c r="D62" i="6"/>
  <c r="D63" i="6"/>
  <c r="D64" i="6"/>
  <c r="D65" i="6"/>
  <c r="D66" i="6"/>
  <c r="E60" i="6"/>
  <c r="E61" i="6"/>
  <c r="E62" i="6"/>
  <c r="E63" i="6"/>
  <c r="E64" i="6"/>
  <c r="E65" i="6"/>
  <c r="E66" i="6"/>
  <c r="F60" i="6"/>
  <c r="F61" i="6"/>
  <c r="F62" i="6"/>
  <c r="F63" i="6"/>
  <c r="F64" i="6"/>
  <c r="F65" i="6"/>
  <c r="F66" i="6"/>
  <c r="G60" i="6"/>
  <c r="G61" i="6"/>
  <c r="G62" i="6"/>
  <c r="G63" i="6"/>
  <c r="G64" i="6"/>
  <c r="G65" i="6"/>
  <c r="G66" i="6"/>
  <c r="H60" i="6"/>
  <c r="H61" i="6"/>
  <c r="H62" i="6"/>
  <c r="H63" i="6"/>
  <c r="H64" i="6"/>
  <c r="H65" i="6"/>
  <c r="H66" i="6"/>
  <c r="I60" i="6"/>
  <c r="I61" i="6"/>
  <c r="I62" i="6"/>
  <c r="I63" i="6"/>
  <c r="I64" i="6"/>
  <c r="I65" i="6"/>
  <c r="I66" i="6"/>
  <c r="C50" i="6"/>
  <c r="C51" i="6"/>
  <c r="C52" i="6"/>
  <c r="C53" i="6"/>
  <c r="C54" i="6"/>
  <c r="C55" i="6"/>
  <c r="C56" i="6"/>
  <c r="D56" i="6"/>
  <c r="E56" i="6"/>
  <c r="F56" i="6"/>
  <c r="G56" i="6"/>
  <c r="H56" i="6"/>
  <c r="I56" i="6"/>
  <c r="D50" i="6"/>
  <c r="D51" i="6"/>
  <c r="D52" i="6"/>
  <c r="D53" i="6"/>
  <c r="D54" i="6"/>
  <c r="D55" i="6"/>
  <c r="E50" i="6"/>
  <c r="E51" i="6"/>
  <c r="E52" i="6"/>
  <c r="E53" i="6"/>
  <c r="E54" i="6"/>
  <c r="E55" i="6"/>
  <c r="F50" i="6"/>
  <c r="F51" i="6"/>
  <c r="F52" i="6"/>
  <c r="F53" i="6"/>
  <c r="F54" i="6"/>
  <c r="F55" i="6"/>
  <c r="G50" i="6"/>
  <c r="G51" i="6"/>
  <c r="G52" i="6"/>
  <c r="G53" i="6"/>
  <c r="G54" i="6"/>
  <c r="G55" i="6"/>
  <c r="H50" i="6"/>
  <c r="H51" i="6"/>
  <c r="H52" i="6"/>
  <c r="H53" i="6"/>
  <c r="H54" i="6"/>
  <c r="H55" i="6"/>
  <c r="I50" i="6"/>
  <c r="I51" i="6"/>
  <c r="I52" i="6"/>
  <c r="I53" i="6"/>
  <c r="I54" i="6"/>
  <c r="I55" i="6"/>
  <c r="C40" i="6"/>
  <c r="C41" i="6"/>
  <c r="C42" i="6"/>
  <c r="C43" i="6"/>
  <c r="C44" i="6"/>
  <c r="C45" i="6"/>
  <c r="C46" i="6"/>
  <c r="D40" i="6"/>
  <c r="D41" i="6"/>
  <c r="D42" i="6"/>
  <c r="D43" i="6"/>
  <c r="D44" i="6"/>
  <c r="D45" i="6"/>
  <c r="D46" i="6"/>
  <c r="E40" i="6"/>
  <c r="E41" i="6"/>
  <c r="E42" i="6"/>
  <c r="E43" i="6"/>
  <c r="E44" i="6"/>
  <c r="E45" i="6"/>
  <c r="E46" i="6"/>
  <c r="F40" i="6"/>
  <c r="F41" i="6"/>
  <c r="F42" i="6"/>
  <c r="F43" i="6"/>
  <c r="F44" i="6"/>
  <c r="F45" i="6"/>
  <c r="F46" i="6"/>
  <c r="G40" i="6"/>
  <c r="G41" i="6"/>
  <c r="G42" i="6"/>
  <c r="G43" i="6"/>
  <c r="G44" i="6"/>
  <c r="G45" i="6"/>
  <c r="G46" i="6"/>
  <c r="H40" i="6"/>
  <c r="H41" i="6"/>
  <c r="H42" i="6"/>
  <c r="H43" i="6"/>
  <c r="H44" i="6"/>
  <c r="H45" i="6"/>
  <c r="H46" i="6"/>
  <c r="I40" i="6"/>
  <c r="I41" i="6"/>
  <c r="I42" i="6"/>
  <c r="I43" i="6"/>
  <c r="I44" i="6"/>
  <c r="I45" i="6"/>
  <c r="I46" i="6"/>
  <c r="C24" i="6"/>
  <c r="C25" i="6"/>
  <c r="C26" i="6"/>
  <c r="C27" i="6"/>
  <c r="C28" i="6"/>
  <c r="C29" i="6"/>
  <c r="C30" i="6"/>
  <c r="C31" i="6"/>
  <c r="C32" i="6"/>
  <c r="C33" i="6"/>
  <c r="C34" i="6"/>
  <c r="D34" i="6"/>
  <c r="E34" i="6"/>
  <c r="F34" i="6"/>
  <c r="G34" i="6"/>
  <c r="H34" i="6"/>
  <c r="I34" i="6"/>
  <c r="D24" i="6"/>
  <c r="D28" i="6"/>
  <c r="D29" i="6"/>
  <c r="D33" i="6"/>
  <c r="E24" i="6"/>
  <c r="E28" i="6"/>
  <c r="E29" i="6"/>
  <c r="E33" i="6"/>
  <c r="F24" i="6"/>
  <c r="F28" i="6"/>
  <c r="F29" i="6"/>
  <c r="F33" i="6"/>
  <c r="G24" i="6"/>
  <c r="G28" i="6"/>
  <c r="G29" i="6"/>
  <c r="G33" i="6"/>
  <c r="H24" i="6"/>
  <c r="H28" i="6"/>
  <c r="H29" i="6"/>
  <c r="H33" i="6"/>
  <c r="I24" i="6"/>
  <c r="I28" i="6"/>
  <c r="I29" i="6"/>
  <c r="I33" i="6"/>
  <c r="C10" i="6"/>
  <c r="C11" i="6"/>
  <c r="C12" i="6"/>
  <c r="C13" i="6"/>
  <c r="C14" i="6"/>
  <c r="C15" i="6"/>
  <c r="C16" i="6"/>
  <c r="C17" i="6"/>
  <c r="C18" i="6"/>
  <c r="C19" i="6"/>
  <c r="C20" i="6"/>
  <c r="D10" i="6"/>
  <c r="D11" i="6"/>
  <c r="D12" i="6"/>
  <c r="D13" i="6"/>
  <c r="D14" i="6"/>
  <c r="D15" i="6"/>
  <c r="D16" i="6"/>
  <c r="D17" i="6"/>
  <c r="D18" i="6"/>
  <c r="D19" i="6"/>
  <c r="D20" i="6"/>
  <c r="E10" i="6"/>
  <c r="E11" i="6"/>
  <c r="E12" i="6"/>
  <c r="E13" i="6"/>
  <c r="E14" i="6"/>
  <c r="E15" i="6"/>
  <c r="E16" i="6"/>
  <c r="E17" i="6"/>
  <c r="E18" i="6"/>
  <c r="E19" i="6"/>
  <c r="E20" i="6"/>
  <c r="F10" i="6"/>
  <c r="F11" i="6"/>
  <c r="F12" i="6"/>
  <c r="F13" i="6"/>
  <c r="F14" i="6"/>
  <c r="F15" i="6"/>
  <c r="F16" i="6"/>
  <c r="F17" i="6"/>
  <c r="F18" i="6"/>
  <c r="F19" i="6"/>
  <c r="F20" i="6"/>
  <c r="G10" i="6"/>
  <c r="G11" i="6"/>
  <c r="G12" i="6"/>
  <c r="G13" i="6"/>
  <c r="G14" i="6"/>
  <c r="G15" i="6"/>
  <c r="G16" i="6"/>
  <c r="G17" i="6"/>
  <c r="G18" i="6"/>
  <c r="G19" i="6"/>
  <c r="G20" i="6"/>
  <c r="H10" i="6"/>
  <c r="H11" i="6"/>
  <c r="H12" i="6"/>
  <c r="H13" i="6"/>
  <c r="H14" i="6"/>
  <c r="H15" i="6"/>
  <c r="H16" i="6"/>
  <c r="H17" i="6"/>
  <c r="H18" i="6"/>
  <c r="H19" i="6"/>
  <c r="H20" i="6"/>
  <c r="I10" i="6"/>
  <c r="I11" i="6"/>
  <c r="I12" i="6"/>
  <c r="I13" i="6"/>
  <c r="I14" i="6"/>
  <c r="I15" i="6"/>
  <c r="I16" i="6"/>
  <c r="I17" i="6"/>
  <c r="I18" i="6"/>
  <c r="I19" i="6"/>
  <c r="I20" i="6"/>
  <c r="D92" i="14"/>
  <c r="E92" i="14"/>
  <c r="F92" i="14"/>
  <c r="G92" i="14"/>
  <c r="H92" i="14"/>
  <c r="D94" i="14"/>
  <c r="E94" i="14"/>
  <c r="F94" i="14"/>
  <c r="G94" i="14"/>
  <c r="H94" i="14"/>
  <c r="D95" i="14"/>
  <c r="D97" i="14"/>
  <c r="D98" i="14"/>
  <c r="E95" i="14"/>
  <c r="E97" i="14"/>
  <c r="E98" i="14"/>
  <c r="F95" i="14"/>
  <c r="G95" i="14"/>
  <c r="H95" i="14"/>
  <c r="H97" i="14"/>
  <c r="H98" i="14"/>
  <c r="F97" i="14"/>
  <c r="G97" i="14"/>
  <c r="F98" i="14"/>
  <c r="G98" i="14"/>
  <c r="C92" i="14"/>
  <c r="C93" i="14"/>
  <c r="C94" i="14"/>
  <c r="C95" i="14"/>
  <c r="C96" i="14"/>
  <c r="C97" i="14"/>
  <c r="C98" i="14"/>
  <c r="D82" i="14"/>
  <c r="E82" i="14"/>
  <c r="F82" i="14"/>
  <c r="G82" i="14"/>
  <c r="G89" i="14" s="1"/>
  <c r="H82" i="14"/>
  <c r="D84" i="14"/>
  <c r="E84" i="14"/>
  <c r="F84" i="14"/>
  <c r="F85" i="14"/>
  <c r="F87" i="14"/>
  <c r="F88" i="14"/>
  <c r="G84" i="14"/>
  <c r="H84" i="14"/>
  <c r="D85" i="14"/>
  <c r="E85" i="14"/>
  <c r="E87" i="14"/>
  <c r="E88" i="14"/>
  <c r="G85" i="14"/>
  <c r="G87" i="14"/>
  <c r="G88" i="14"/>
  <c r="H85" i="14"/>
  <c r="D87" i="14"/>
  <c r="H87" i="14"/>
  <c r="D88" i="14"/>
  <c r="C88" i="14"/>
  <c r="H88" i="14"/>
  <c r="C82" i="14"/>
  <c r="C83" i="14"/>
  <c r="C84" i="14"/>
  <c r="C85" i="14"/>
  <c r="C86" i="14"/>
  <c r="C87" i="14"/>
  <c r="D72" i="14"/>
  <c r="E72" i="14"/>
  <c r="F72" i="14"/>
  <c r="F73" i="14"/>
  <c r="F74" i="14"/>
  <c r="F75" i="14"/>
  <c r="F76" i="14"/>
  <c r="F77" i="14"/>
  <c r="F78" i="14"/>
  <c r="G72" i="14"/>
  <c r="H72" i="14"/>
  <c r="D73" i="14"/>
  <c r="E73" i="14"/>
  <c r="E74" i="14"/>
  <c r="E75" i="14"/>
  <c r="E76" i="14"/>
  <c r="E77" i="14"/>
  <c r="E78" i="14"/>
  <c r="G73" i="14"/>
  <c r="H73" i="14"/>
  <c r="D74" i="14"/>
  <c r="G74" i="14"/>
  <c r="H74" i="14"/>
  <c r="D75" i="14"/>
  <c r="G75" i="14"/>
  <c r="H75" i="14"/>
  <c r="D76" i="14"/>
  <c r="G76" i="14"/>
  <c r="H76" i="14"/>
  <c r="D77" i="14"/>
  <c r="G77" i="14"/>
  <c r="H77" i="14"/>
  <c r="D78" i="14"/>
  <c r="G78" i="14"/>
  <c r="H78" i="14"/>
  <c r="C72" i="14"/>
  <c r="C73" i="14"/>
  <c r="C74" i="14"/>
  <c r="C75" i="14"/>
  <c r="C76" i="14"/>
  <c r="C77" i="14"/>
  <c r="C78" i="14"/>
  <c r="D60" i="14"/>
  <c r="E60" i="14"/>
  <c r="F60" i="14"/>
  <c r="G60" i="14"/>
  <c r="H60" i="14"/>
  <c r="D61" i="14"/>
  <c r="E61" i="14"/>
  <c r="F61" i="14"/>
  <c r="G61" i="14"/>
  <c r="H61" i="14"/>
  <c r="D62" i="14"/>
  <c r="E62" i="14"/>
  <c r="F62" i="14"/>
  <c r="G62" i="14"/>
  <c r="H62" i="14"/>
  <c r="D63" i="14"/>
  <c r="E63" i="14"/>
  <c r="F63" i="14"/>
  <c r="F64" i="14"/>
  <c r="F65" i="14"/>
  <c r="F66" i="14"/>
  <c r="G63" i="14"/>
  <c r="H63" i="14"/>
  <c r="D64" i="14"/>
  <c r="E64" i="14"/>
  <c r="G64" i="14"/>
  <c r="H64" i="14"/>
  <c r="D65" i="14"/>
  <c r="E65" i="14"/>
  <c r="G65" i="14"/>
  <c r="H65" i="14"/>
  <c r="D66" i="14"/>
  <c r="E66" i="14"/>
  <c r="G66" i="14"/>
  <c r="C66" i="14"/>
  <c r="H66" i="14"/>
  <c r="C60" i="14"/>
  <c r="C61" i="14"/>
  <c r="C62" i="14"/>
  <c r="C63" i="14"/>
  <c r="C64" i="14"/>
  <c r="C65" i="14"/>
  <c r="D50" i="14"/>
  <c r="E50" i="14"/>
  <c r="F50" i="14"/>
  <c r="G50" i="14"/>
  <c r="H50" i="14"/>
  <c r="D52" i="14"/>
  <c r="E52" i="14"/>
  <c r="F52" i="14"/>
  <c r="G52" i="14"/>
  <c r="H52" i="14"/>
  <c r="H53" i="14"/>
  <c r="H55" i="14"/>
  <c r="H56" i="14"/>
  <c r="D53" i="14"/>
  <c r="E53" i="14"/>
  <c r="E55" i="14"/>
  <c r="E56" i="14"/>
  <c r="F53" i="14"/>
  <c r="G53" i="14"/>
  <c r="D55" i="14"/>
  <c r="F55" i="14"/>
  <c r="G55" i="14"/>
  <c r="D56" i="14"/>
  <c r="F56" i="14"/>
  <c r="G56" i="14"/>
  <c r="C50" i="14"/>
  <c r="C51" i="14"/>
  <c r="C52" i="14"/>
  <c r="C53" i="14"/>
  <c r="C54" i="14"/>
  <c r="C55" i="14"/>
  <c r="C56" i="14"/>
  <c r="D40" i="14"/>
  <c r="E40" i="14"/>
  <c r="F40" i="14"/>
  <c r="G40" i="14"/>
  <c r="H40" i="14"/>
  <c r="D41" i="14"/>
  <c r="E41" i="14"/>
  <c r="F41" i="14"/>
  <c r="G41" i="14"/>
  <c r="H41" i="14"/>
  <c r="D42" i="14"/>
  <c r="E42" i="14"/>
  <c r="F42" i="14"/>
  <c r="G42" i="14"/>
  <c r="H42" i="14"/>
  <c r="D43" i="14"/>
  <c r="E43" i="14"/>
  <c r="F43" i="14"/>
  <c r="G43" i="14"/>
  <c r="H43" i="14"/>
  <c r="H44" i="14"/>
  <c r="H45" i="14"/>
  <c r="H46" i="14"/>
  <c r="D44" i="14"/>
  <c r="E44" i="14"/>
  <c r="F44" i="14"/>
  <c r="G44" i="14"/>
  <c r="D45" i="14"/>
  <c r="E45" i="14"/>
  <c r="F45" i="14"/>
  <c r="G45" i="14"/>
  <c r="D46" i="14"/>
  <c r="E46" i="14"/>
  <c r="F46" i="14"/>
  <c r="G46" i="14"/>
  <c r="C40" i="14"/>
  <c r="C41" i="14"/>
  <c r="C42" i="14"/>
  <c r="C43" i="14"/>
  <c r="C44" i="14"/>
  <c r="C45" i="14"/>
  <c r="C46" i="14"/>
  <c r="D24" i="14"/>
  <c r="E24" i="14"/>
  <c r="F24" i="14"/>
  <c r="G24" i="14"/>
  <c r="H24" i="14"/>
  <c r="D28" i="14"/>
  <c r="E28" i="14"/>
  <c r="F28" i="14"/>
  <c r="G28" i="14"/>
  <c r="H28" i="14"/>
  <c r="D29" i="14"/>
  <c r="E29" i="14"/>
  <c r="F29" i="14"/>
  <c r="G29" i="14"/>
  <c r="G33" i="14"/>
  <c r="G34" i="14"/>
  <c r="H29" i="14"/>
  <c r="D33" i="14"/>
  <c r="E33" i="14"/>
  <c r="F33" i="14"/>
  <c r="H33" i="14"/>
  <c r="D34" i="14"/>
  <c r="E34" i="14"/>
  <c r="F34" i="14"/>
  <c r="H34" i="14"/>
  <c r="C24" i="14"/>
  <c r="C25" i="14"/>
  <c r="C26" i="14"/>
  <c r="C27" i="14"/>
  <c r="C28" i="14"/>
  <c r="C29" i="14"/>
  <c r="C30" i="14"/>
  <c r="C31" i="14"/>
  <c r="C32" i="14"/>
  <c r="C33" i="14"/>
  <c r="C34" i="14"/>
  <c r="D10" i="14"/>
  <c r="E10" i="14"/>
  <c r="F10" i="14"/>
  <c r="G10" i="14"/>
  <c r="H10" i="14"/>
  <c r="D11" i="14"/>
  <c r="E11" i="14"/>
  <c r="F11" i="14"/>
  <c r="G11" i="14"/>
  <c r="H11" i="14"/>
  <c r="D14" i="14"/>
  <c r="E14" i="14"/>
  <c r="F14" i="14"/>
  <c r="G14" i="14"/>
  <c r="H14" i="14"/>
  <c r="D15" i="14"/>
  <c r="E15" i="14"/>
  <c r="F15" i="14"/>
  <c r="F16" i="14"/>
  <c r="F19" i="14"/>
  <c r="F20" i="14"/>
  <c r="G15" i="14"/>
  <c r="H15" i="14"/>
  <c r="D16" i="14"/>
  <c r="E16" i="14"/>
  <c r="G16" i="14"/>
  <c r="H16" i="14"/>
  <c r="D19" i="14"/>
  <c r="E19" i="14"/>
  <c r="G19" i="14"/>
  <c r="H19" i="14"/>
  <c r="D20" i="14"/>
  <c r="E20" i="14"/>
  <c r="G20" i="14"/>
  <c r="H20" i="14"/>
  <c r="C10" i="14"/>
  <c r="C11" i="14"/>
  <c r="C12" i="14"/>
  <c r="C13" i="14"/>
  <c r="C14" i="14"/>
  <c r="C15" i="14"/>
  <c r="C16" i="14"/>
  <c r="C17" i="14"/>
  <c r="C18" i="14"/>
  <c r="C19" i="14"/>
  <c r="C20" i="14"/>
  <c r="D60" i="22"/>
  <c r="E60" i="22"/>
  <c r="F60" i="22"/>
  <c r="F61" i="22"/>
  <c r="F62" i="22"/>
  <c r="F63" i="22"/>
  <c r="F64" i="22"/>
  <c r="F65" i="22"/>
  <c r="F66" i="22"/>
  <c r="G60" i="22"/>
  <c r="H60" i="22"/>
  <c r="I60" i="22"/>
  <c r="D61" i="22"/>
  <c r="E61" i="22"/>
  <c r="E62" i="22"/>
  <c r="E63" i="22"/>
  <c r="E64" i="22"/>
  <c r="E65" i="22"/>
  <c r="E66" i="22"/>
  <c r="G61" i="22"/>
  <c r="H61" i="22"/>
  <c r="I61" i="22"/>
  <c r="D62" i="22"/>
  <c r="G62" i="22"/>
  <c r="H62" i="22"/>
  <c r="I62" i="22"/>
  <c r="D63" i="22"/>
  <c r="G63" i="22"/>
  <c r="H63" i="22"/>
  <c r="I63" i="22"/>
  <c r="D64" i="22"/>
  <c r="G64" i="22"/>
  <c r="H64" i="22"/>
  <c r="I64" i="22"/>
  <c r="D65" i="22"/>
  <c r="G65" i="22"/>
  <c r="H65" i="22"/>
  <c r="I65" i="22"/>
  <c r="C65" i="22"/>
  <c r="C64" i="22"/>
  <c r="C63" i="22"/>
  <c r="C62" i="22"/>
  <c r="C60" i="22"/>
  <c r="C61" i="22"/>
  <c r="C66" i="22"/>
  <c r="D66" i="22"/>
  <c r="G66" i="22"/>
  <c r="H66" i="22"/>
  <c r="I66" i="22"/>
  <c r="D56" i="22"/>
  <c r="E56" i="22"/>
  <c r="F56" i="22"/>
  <c r="G56" i="22"/>
  <c r="H56" i="22"/>
  <c r="I56" i="22"/>
  <c r="C56" i="22"/>
  <c r="G92" i="22"/>
  <c r="H92" i="22"/>
  <c r="I92" i="22"/>
  <c r="G94" i="22"/>
  <c r="G95" i="22"/>
  <c r="G97" i="22"/>
  <c r="G98" i="22"/>
  <c r="H94" i="22"/>
  <c r="I94" i="22"/>
  <c r="H95" i="22"/>
  <c r="H97" i="22"/>
  <c r="H98" i="22"/>
  <c r="I95" i="22"/>
  <c r="I97" i="22"/>
  <c r="F97" i="22"/>
  <c r="F95" i="22"/>
  <c r="F94" i="22"/>
  <c r="F92" i="22"/>
  <c r="F98" i="22"/>
  <c r="D97" i="22"/>
  <c r="D95" i="22"/>
  <c r="D94" i="22"/>
  <c r="D92" i="22"/>
  <c r="I98" i="22"/>
  <c r="E92" i="22"/>
  <c r="E93" i="22"/>
  <c r="E94" i="22"/>
  <c r="E95" i="22"/>
  <c r="E96" i="22"/>
  <c r="E97" i="22"/>
  <c r="D98" i="22"/>
  <c r="E98" i="22"/>
  <c r="C98" i="22"/>
  <c r="C97" i="22"/>
  <c r="C96" i="22"/>
  <c r="C95" i="22"/>
  <c r="C92" i="22"/>
  <c r="C93" i="22"/>
  <c r="C94" i="22"/>
  <c r="G82" i="22"/>
  <c r="G84" i="22"/>
  <c r="G85" i="22"/>
  <c r="G87" i="22"/>
  <c r="G88" i="22"/>
  <c r="H82" i="22"/>
  <c r="I82" i="22"/>
  <c r="H84" i="22"/>
  <c r="H85" i="22"/>
  <c r="H87" i="22"/>
  <c r="H88" i="22"/>
  <c r="I84" i="22"/>
  <c r="I85" i="22"/>
  <c r="I87" i="22"/>
  <c r="I88" i="22"/>
  <c r="F87" i="22"/>
  <c r="F82" i="22"/>
  <c r="F84" i="22"/>
  <c r="F85" i="22"/>
  <c r="F88" i="22"/>
  <c r="D87" i="22"/>
  <c r="D85" i="22"/>
  <c r="D84" i="22"/>
  <c r="D82" i="22"/>
  <c r="E82" i="22"/>
  <c r="E83" i="22"/>
  <c r="E84" i="22"/>
  <c r="E85" i="22"/>
  <c r="E86" i="22"/>
  <c r="E87" i="22"/>
  <c r="D88" i="22"/>
  <c r="E88" i="22"/>
  <c r="C88" i="22"/>
  <c r="C87" i="22"/>
  <c r="C86" i="22"/>
  <c r="C85" i="22"/>
  <c r="C84" i="22"/>
  <c r="C83" i="22"/>
  <c r="C82" i="22"/>
  <c r="G72" i="22"/>
  <c r="H72" i="22"/>
  <c r="H74" i="22"/>
  <c r="H75" i="22"/>
  <c r="H77" i="22"/>
  <c r="H78" i="22"/>
  <c r="I72" i="22"/>
  <c r="G74" i="22"/>
  <c r="I74" i="22"/>
  <c r="I75" i="22"/>
  <c r="I77" i="22"/>
  <c r="I78" i="22"/>
  <c r="G75" i="22"/>
  <c r="G77" i="22"/>
  <c r="F77" i="22"/>
  <c r="F75" i="22"/>
  <c r="F72" i="22"/>
  <c r="F74" i="22"/>
  <c r="F78" i="22"/>
  <c r="D77" i="22"/>
  <c r="D75" i="22"/>
  <c r="D72" i="22"/>
  <c r="D74" i="22"/>
  <c r="D78" i="22"/>
  <c r="G78" i="22"/>
  <c r="E72" i="22"/>
  <c r="E73" i="22"/>
  <c r="E74" i="22"/>
  <c r="E75" i="22"/>
  <c r="E76" i="22"/>
  <c r="E77" i="22"/>
  <c r="E78" i="22"/>
  <c r="C78" i="22"/>
  <c r="C77" i="22"/>
  <c r="C76" i="22"/>
  <c r="C75" i="22"/>
  <c r="C74" i="22"/>
  <c r="C73" i="22"/>
  <c r="C72" i="22"/>
  <c r="G50" i="22"/>
  <c r="G52" i="22"/>
  <c r="G53" i="22"/>
  <c r="G55" i="22"/>
  <c r="G57" i="22"/>
  <c r="H50" i="22"/>
  <c r="I50" i="22"/>
  <c r="I52" i="22"/>
  <c r="I53" i="22"/>
  <c r="I55" i="22"/>
  <c r="H52" i="22"/>
  <c r="H53" i="22"/>
  <c r="H55" i="22"/>
  <c r="F55" i="22"/>
  <c r="F53" i="22"/>
  <c r="F52" i="22"/>
  <c r="F50" i="22"/>
  <c r="D55" i="22"/>
  <c r="D53" i="22"/>
  <c r="D52" i="22"/>
  <c r="D50" i="22"/>
  <c r="E50" i="22"/>
  <c r="E51" i="22"/>
  <c r="E52" i="22"/>
  <c r="E53" i="22"/>
  <c r="E54" i="22"/>
  <c r="E55" i="22"/>
  <c r="C55" i="22"/>
  <c r="C54" i="22"/>
  <c r="C53" i="22"/>
  <c r="C52" i="22"/>
  <c r="C51" i="22"/>
  <c r="C50" i="22"/>
  <c r="F45" i="22"/>
  <c r="F43" i="22"/>
  <c r="F42" i="22"/>
  <c r="F40" i="22"/>
  <c r="F46" i="22"/>
  <c r="D40" i="22"/>
  <c r="E40" i="22"/>
  <c r="G40" i="22"/>
  <c r="H40" i="22"/>
  <c r="I40" i="22"/>
  <c r="D41" i="22"/>
  <c r="E41" i="22"/>
  <c r="G41" i="22"/>
  <c r="H41" i="22"/>
  <c r="I41" i="22"/>
  <c r="D42" i="22"/>
  <c r="E42" i="22"/>
  <c r="G42" i="22"/>
  <c r="H42" i="22"/>
  <c r="I42" i="22"/>
  <c r="D43" i="22"/>
  <c r="E43" i="22"/>
  <c r="G43" i="22"/>
  <c r="H43" i="22"/>
  <c r="I43" i="22"/>
  <c r="D44" i="22"/>
  <c r="E44" i="22"/>
  <c r="G44" i="22"/>
  <c r="H44" i="22"/>
  <c r="I44" i="22"/>
  <c r="D45" i="22"/>
  <c r="E45" i="22"/>
  <c r="G45" i="22"/>
  <c r="H45" i="22"/>
  <c r="I45" i="22"/>
  <c r="D46" i="22"/>
  <c r="J46" i="22" s="1"/>
  <c r="C46" i="22"/>
  <c r="E46" i="22"/>
  <c r="G46" i="22"/>
  <c r="H46" i="22"/>
  <c r="I46" i="22"/>
  <c r="C45" i="22"/>
  <c r="C44" i="22"/>
  <c r="C43" i="22"/>
  <c r="C42" i="22"/>
  <c r="C41" i="22"/>
  <c r="C40" i="22"/>
  <c r="G24" i="22"/>
  <c r="H24" i="22"/>
  <c r="I24" i="22"/>
  <c r="I28" i="22"/>
  <c r="I29" i="22"/>
  <c r="I33" i="22"/>
  <c r="I34" i="22"/>
  <c r="G28" i="22"/>
  <c r="G29" i="22"/>
  <c r="G33" i="22"/>
  <c r="G34" i="22"/>
  <c r="H28" i="22"/>
  <c r="H29" i="22"/>
  <c r="H33" i="22"/>
  <c r="H34" i="22"/>
  <c r="F33" i="22"/>
  <c r="F29" i="22"/>
  <c r="F28" i="22"/>
  <c r="F24" i="22"/>
  <c r="F34" i="22"/>
  <c r="D34" i="22"/>
  <c r="D33" i="22"/>
  <c r="D29" i="22"/>
  <c r="D28" i="22"/>
  <c r="D24" i="22"/>
  <c r="D35" i="22" s="1"/>
  <c r="E27" i="22"/>
  <c r="C27" i="22"/>
  <c r="E24" i="22"/>
  <c r="E25" i="22"/>
  <c r="E26" i="22"/>
  <c r="E28" i="22"/>
  <c r="E29" i="22"/>
  <c r="E30" i="22"/>
  <c r="E31" i="22"/>
  <c r="E32" i="22"/>
  <c r="E33" i="22"/>
  <c r="E34" i="22"/>
  <c r="C34" i="22"/>
  <c r="C33" i="22"/>
  <c r="C32" i="22"/>
  <c r="C31" i="22"/>
  <c r="C30" i="22"/>
  <c r="C29" i="22"/>
  <c r="C28" i="22"/>
  <c r="C26" i="22"/>
  <c r="C25" i="22"/>
  <c r="C24" i="22"/>
  <c r="H10" i="22"/>
  <c r="H11" i="22"/>
  <c r="H14" i="22"/>
  <c r="H15" i="22"/>
  <c r="H16" i="22"/>
  <c r="H19" i="22"/>
  <c r="H20" i="22"/>
  <c r="I10" i="22"/>
  <c r="I11" i="22"/>
  <c r="I14" i="22"/>
  <c r="I15" i="22"/>
  <c r="I16" i="22"/>
  <c r="I19" i="22"/>
  <c r="I20" i="22"/>
  <c r="G20" i="22"/>
  <c r="G19" i="22"/>
  <c r="G16" i="22"/>
  <c r="G15" i="22"/>
  <c r="G14" i="22"/>
  <c r="G11" i="22"/>
  <c r="G10" i="22"/>
  <c r="F20" i="22"/>
  <c r="F19" i="22"/>
  <c r="F15" i="22"/>
  <c r="F14" i="22"/>
  <c r="F10" i="22"/>
  <c r="D20" i="22"/>
  <c r="D19" i="22"/>
  <c r="D16" i="22"/>
  <c r="D15" i="22"/>
  <c r="D14" i="22"/>
  <c r="D11" i="22"/>
  <c r="D10" i="22"/>
  <c r="E10" i="22"/>
  <c r="E11" i="22"/>
  <c r="E12" i="22"/>
  <c r="E13" i="22"/>
  <c r="E14" i="22"/>
  <c r="E15" i="22"/>
  <c r="E16" i="22"/>
  <c r="E17" i="22"/>
  <c r="E18" i="22"/>
  <c r="E19" i="22"/>
  <c r="E20" i="22"/>
  <c r="C20" i="22"/>
  <c r="C19" i="22"/>
  <c r="C18" i="22"/>
  <c r="C17" i="22"/>
  <c r="C16" i="22"/>
  <c r="C15" i="22"/>
  <c r="C14" i="22"/>
  <c r="C13" i="22"/>
  <c r="C12" i="22"/>
  <c r="C10" i="22"/>
  <c r="C11" i="22"/>
  <c r="F50" i="30"/>
  <c r="F51" i="30"/>
  <c r="F52" i="30"/>
  <c r="F53" i="30"/>
  <c r="F54" i="30"/>
  <c r="F55" i="30"/>
  <c r="F56" i="30"/>
  <c r="C92" i="30"/>
  <c r="C93" i="30"/>
  <c r="C94" i="30"/>
  <c r="C95" i="30"/>
  <c r="C96" i="30"/>
  <c r="C97" i="30"/>
  <c r="C98" i="30"/>
  <c r="D92" i="30"/>
  <c r="D94" i="30"/>
  <c r="D95" i="30"/>
  <c r="D97" i="30"/>
  <c r="D98" i="30"/>
  <c r="E92" i="30"/>
  <c r="E93" i="30"/>
  <c r="E94" i="30"/>
  <c r="E95" i="30"/>
  <c r="E96" i="30"/>
  <c r="E97" i="30"/>
  <c r="E98" i="30"/>
  <c r="F92" i="30"/>
  <c r="F94" i="30"/>
  <c r="F95" i="30"/>
  <c r="F97" i="30"/>
  <c r="F98" i="30"/>
  <c r="G92" i="30"/>
  <c r="G94" i="30"/>
  <c r="G95" i="30"/>
  <c r="G97" i="30"/>
  <c r="G98" i="30"/>
  <c r="H98" i="30"/>
  <c r="H99" i="30" s="1"/>
  <c r="I98" i="30"/>
  <c r="J98" i="30"/>
  <c r="H92" i="30"/>
  <c r="H94" i="30"/>
  <c r="H95" i="30"/>
  <c r="H97" i="30"/>
  <c r="I92" i="30"/>
  <c r="I94" i="30"/>
  <c r="I95" i="30"/>
  <c r="I97" i="30"/>
  <c r="J92" i="30"/>
  <c r="J94" i="30"/>
  <c r="J95" i="30"/>
  <c r="J97" i="30"/>
  <c r="C82" i="30"/>
  <c r="C83" i="30"/>
  <c r="C84" i="30"/>
  <c r="C85" i="30"/>
  <c r="C86" i="30"/>
  <c r="C87" i="30"/>
  <c r="C88" i="30"/>
  <c r="D82" i="30"/>
  <c r="D89" i="30"/>
  <c r="D84" i="30"/>
  <c r="D85" i="30"/>
  <c r="D87" i="30"/>
  <c r="D88" i="30"/>
  <c r="E82" i="30"/>
  <c r="E83" i="30"/>
  <c r="E84" i="30"/>
  <c r="E85" i="30"/>
  <c r="E86" i="30"/>
  <c r="E87" i="30"/>
  <c r="E88" i="30"/>
  <c r="F82" i="30"/>
  <c r="F84" i="30"/>
  <c r="F85" i="30"/>
  <c r="F87" i="30"/>
  <c r="F88" i="30"/>
  <c r="G82" i="30"/>
  <c r="G84" i="30"/>
  <c r="G85" i="30"/>
  <c r="G87" i="30"/>
  <c r="G88" i="30"/>
  <c r="H82" i="30"/>
  <c r="H84" i="30"/>
  <c r="H85" i="30"/>
  <c r="H87" i="30"/>
  <c r="H88" i="30"/>
  <c r="I82" i="30"/>
  <c r="I84" i="30"/>
  <c r="I85" i="30"/>
  <c r="I87" i="30"/>
  <c r="I88" i="30"/>
  <c r="J82" i="30"/>
  <c r="J89" i="30" s="1"/>
  <c r="J84" i="30"/>
  <c r="J85" i="30"/>
  <c r="J87" i="30"/>
  <c r="J88" i="30"/>
  <c r="C72" i="30"/>
  <c r="C73" i="30"/>
  <c r="C74" i="30"/>
  <c r="C75" i="30"/>
  <c r="C76" i="30"/>
  <c r="C77" i="30"/>
  <c r="C78" i="30"/>
  <c r="D72" i="30"/>
  <c r="D74" i="30"/>
  <c r="D75" i="30"/>
  <c r="D77" i="30"/>
  <c r="D78" i="30"/>
  <c r="E78" i="30"/>
  <c r="F78" i="30"/>
  <c r="G78" i="30"/>
  <c r="H78" i="30"/>
  <c r="I78" i="30"/>
  <c r="J78" i="30"/>
  <c r="E72" i="30"/>
  <c r="E73" i="30"/>
  <c r="E74" i="30"/>
  <c r="E75" i="30"/>
  <c r="E76" i="30"/>
  <c r="E77" i="30"/>
  <c r="F72" i="30"/>
  <c r="F74" i="30"/>
  <c r="F75" i="30"/>
  <c r="F77" i="30"/>
  <c r="G72" i="30"/>
  <c r="G74" i="30"/>
  <c r="G75" i="30"/>
  <c r="G77" i="30"/>
  <c r="G79" i="30" s="1"/>
  <c r="H72" i="30"/>
  <c r="H74" i="30"/>
  <c r="H75" i="30"/>
  <c r="H77" i="30"/>
  <c r="I72" i="30"/>
  <c r="I74" i="30"/>
  <c r="I75" i="30"/>
  <c r="I77" i="30"/>
  <c r="J72" i="30"/>
  <c r="J74" i="30"/>
  <c r="J75" i="30"/>
  <c r="J77" i="30"/>
  <c r="C60" i="30"/>
  <c r="C61" i="30"/>
  <c r="C62" i="30"/>
  <c r="C63" i="30"/>
  <c r="C64" i="30"/>
  <c r="C65" i="30"/>
  <c r="C66" i="30"/>
  <c r="D60" i="30"/>
  <c r="D61" i="30"/>
  <c r="D62" i="30"/>
  <c r="D63" i="30"/>
  <c r="D64" i="30"/>
  <c r="D65" i="30"/>
  <c r="D66" i="30"/>
  <c r="E60" i="30"/>
  <c r="E61" i="30"/>
  <c r="E62" i="30"/>
  <c r="E63" i="30"/>
  <c r="E64" i="30"/>
  <c r="E65" i="30"/>
  <c r="E66" i="30"/>
  <c r="F60" i="30"/>
  <c r="F61" i="30"/>
  <c r="F62" i="30"/>
  <c r="F63" i="30"/>
  <c r="F64" i="30"/>
  <c r="F65" i="30"/>
  <c r="F66" i="30"/>
  <c r="G60" i="30"/>
  <c r="G61" i="30"/>
  <c r="G62" i="30"/>
  <c r="G63" i="30"/>
  <c r="G64" i="30"/>
  <c r="G65" i="30"/>
  <c r="G66" i="30"/>
  <c r="H60" i="30"/>
  <c r="H61" i="30"/>
  <c r="H62" i="30"/>
  <c r="H63" i="30"/>
  <c r="H64" i="30"/>
  <c r="H65" i="30"/>
  <c r="H66" i="30"/>
  <c r="I60" i="30"/>
  <c r="I61" i="30"/>
  <c r="I62" i="30"/>
  <c r="I63" i="30"/>
  <c r="I64" i="30"/>
  <c r="I65" i="30"/>
  <c r="I66" i="30"/>
  <c r="J60" i="30"/>
  <c r="J61" i="30"/>
  <c r="J62" i="30"/>
  <c r="J63" i="30"/>
  <c r="J64" i="30"/>
  <c r="J65" i="30"/>
  <c r="J66" i="30"/>
  <c r="C50" i="30"/>
  <c r="C51" i="30"/>
  <c r="C52" i="30"/>
  <c r="C53" i="30"/>
  <c r="C54" i="30"/>
  <c r="C55" i="30"/>
  <c r="C56" i="30"/>
  <c r="D50" i="30"/>
  <c r="D52" i="30"/>
  <c r="D53" i="30"/>
  <c r="D55" i="30"/>
  <c r="D56" i="30"/>
  <c r="E50" i="30"/>
  <c r="E51" i="30"/>
  <c r="E52" i="30"/>
  <c r="E53" i="30"/>
  <c r="E54" i="30"/>
  <c r="E55" i="30"/>
  <c r="E56" i="30"/>
  <c r="G50" i="30"/>
  <c r="G52" i="30"/>
  <c r="G53" i="30"/>
  <c r="G55" i="30"/>
  <c r="G56" i="30"/>
  <c r="H50" i="30"/>
  <c r="H52" i="30"/>
  <c r="H53" i="30"/>
  <c r="H55" i="30"/>
  <c r="H56" i="30"/>
  <c r="I50" i="30"/>
  <c r="I52" i="30"/>
  <c r="I53" i="30"/>
  <c r="I55" i="30"/>
  <c r="I56" i="30"/>
  <c r="J50" i="30"/>
  <c r="J52" i="30"/>
  <c r="J53" i="30"/>
  <c r="J55" i="30"/>
  <c r="J56" i="30"/>
  <c r="C40" i="30"/>
  <c r="C41" i="30"/>
  <c r="C42" i="30"/>
  <c r="C43" i="30"/>
  <c r="C44" i="30"/>
  <c r="C45" i="30"/>
  <c r="C46" i="30"/>
  <c r="D40" i="30"/>
  <c r="D41" i="30"/>
  <c r="D42" i="30"/>
  <c r="D43" i="30"/>
  <c r="D44" i="30"/>
  <c r="D45" i="30"/>
  <c r="D46" i="30"/>
  <c r="E40" i="30"/>
  <c r="E41" i="30"/>
  <c r="E42" i="30"/>
  <c r="E43" i="30"/>
  <c r="E44" i="30"/>
  <c r="E45" i="30"/>
  <c r="E46" i="30"/>
  <c r="F40" i="30"/>
  <c r="F41" i="30"/>
  <c r="F42" i="30"/>
  <c r="F43" i="30"/>
  <c r="F44" i="30"/>
  <c r="F45" i="30"/>
  <c r="F46" i="30"/>
  <c r="G40" i="30"/>
  <c r="G41" i="30"/>
  <c r="G42" i="30"/>
  <c r="G43" i="30"/>
  <c r="G44" i="30"/>
  <c r="G45" i="30"/>
  <c r="G46" i="30"/>
  <c r="H40" i="30"/>
  <c r="H41" i="30"/>
  <c r="H42" i="30"/>
  <c r="H43" i="30"/>
  <c r="H44" i="30"/>
  <c r="H45" i="30"/>
  <c r="H46" i="30"/>
  <c r="I40" i="30"/>
  <c r="I41" i="30"/>
  <c r="I42" i="30"/>
  <c r="I43" i="30"/>
  <c r="I44" i="30"/>
  <c r="I45" i="30"/>
  <c r="I46" i="30"/>
  <c r="J40" i="30"/>
  <c r="J41" i="30"/>
  <c r="J42" i="30"/>
  <c r="J43" i="30"/>
  <c r="J44" i="30"/>
  <c r="J45" i="30"/>
  <c r="J46" i="30"/>
  <c r="C24" i="30"/>
  <c r="C25" i="30"/>
  <c r="C26" i="30"/>
  <c r="C27" i="30"/>
  <c r="C28" i="30"/>
  <c r="C29" i="30"/>
  <c r="C30" i="30"/>
  <c r="C31" i="30"/>
  <c r="C32" i="30"/>
  <c r="C33" i="30"/>
  <c r="C34" i="30"/>
  <c r="D24" i="30"/>
  <c r="D28" i="30"/>
  <c r="D29" i="30"/>
  <c r="D33" i="30"/>
  <c r="D34" i="30"/>
  <c r="E24" i="30"/>
  <c r="E25" i="30"/>
  <c r="E26" i="30"/>
  <c r="E27" i="30"/>
  <c r="E28" i="30"/>
  <c r="E29" i="30"/>
  <c r="E30" i="30"/>
  <c r="E31" i="30"/>
  <c r="E32" i="30"/>
  <c r="E33" i="30"/>
  <c r="E34" i="30"/>
  <c r="F24" i="30"/>
  <c r="F28" i="30"/>
  <c r="F29" i="30"/>
  <c r="F33" i="30"/>
  <c r="F34" i="30"/>
  <c r="G24" i="30"/>
  <c r="G28" i="30"/>
  <c r="G29" i="30"/>
  <c r="G33" i="30"/>
  <c r="G34" i="30"/>
  <c r="H24" i="30"/>
  <c r="H28" i="30"/>
  <c r="H29" i="30"/>
  <c r="H33" i="30"/>
  <c r="H34" i="30"/>
  <c r="I24" i="30"/>
  <c r="I28" i="30"/>
  <c r="I29" i="30"/>
  <c r="I33" i="30"/>
  <c r="I34" i="30"/>
  <c r="J24" i="30"/>
  <c r="J28" i="30"/>
  <c r="J29" i="30"/>
  <c r="J33" i="30"/>
  <c r="J34" i="30"/>
  <c r="C10" i="30"/>
  <c r="C11" i="30"/>
  <c r="C12" i="30"/>
  <c r="C13" i="30"/>
  <c r="C14" i="30"/>
  <c r="C15" i="30"/>
  <c r="C16" i="30"/>
  <c r="C17" i="30"/>
  <c r="C18" i="30"/>
  <c r="C19" i="30"/>
  <c r="C20" i="30"/>
  <c r="D10" i="30"/>
  <c r="D11" i="30"/>
  <c r="D14" i="30"/>
  <c r="D15" i="30"/>
  <c r="D16" i="30"/>
  <c r="D19" i="30"/>
  <c r="D20" i="30"/>
  <c r="E10" i="30"/>
  <c r="E11" i="30"/>
  <c r="E12" i="30"/>
  <c r="E13" i="30"/>
  <c r="E14" i="30"/>
  <c r="E15" i="30"/>
  <c r="E16" i="30"/>
  <c r="E17" i="30"/>
  <c r="E18" i="30"/>
  <c r="E19" i="30"/>
  <c r="E20" i="30"/>
  <c r="F10" i="30"/>
  <c r="F11" i="30"/>
  <c r="F14" i="30"/>
  <c r="F15" i="30"/>
  <c r="F16" i="30"/>
  <c r="F19" i="30"/>
  <c r="F20" i="30"/>
  <c r="G10" i="30"/>
  <c r="G11" i="30"/>
  <c r="G14" i="30"/>
  <c r="G15" i="30"/>
  <c r="G16" i="30"/>
  <c r="G19" i="30"/>
  <c r="G20" i="30"/>
  <c r="H10" i="30"/>
  <c r="H11" i="30"/>
  <c r="H14" i="30"/>
  <c r="H15" i="30"/>
  <c r="H16" i="30"/>
  <c r="H19" i="30"/>
  <c r="H20" i="30"/>
  <c r="I10" i="30"/>
  <c r="I11" i="30"/>
  <c r="I14" i="30"/>
  <c r="I15" i="30"/>
  <c r="I16" i="30"/>
  <c r="I19" i="30"/>
  <c r="I20" i="30"/>
  <c r="J10" i="30"/>
  <c r="J11" i="30"/>
  <c r="J14" i="30"/>
  <c r="J15" i="30"/>
  <c r="J16" i="30"/>
  <c r="J19" i="30"/>
  <c r="J20" i="30"/>
  <c r="C11" i="38"/>
  <c r="C10" i="38"/>
  <c r="C92" i="38"/>
  <c r="C93" i="38"/>
  <c r="C94" i="38"/>
  <c r="C95" i="38"/>
  <c r="C96" i="38"/>
  <c r="C97" i="38"/>
  <c r="C98" i="38"/>
  <c r="D92" i="38"/>
  <c r="D94" i="38"/>
  <c r="D95" i="38"/>
  <c r="D97" i="38"/>
  <c r="D98" i="38"/>
  <c r="E92" i="38"/>
  <c r="E93" i="38"/>
  <c r="E94" i="38"/>
  <c r="E95" i="38"/>
  <c r="E96" i="38"/>
  <c r="E97" i="38"/>
  <c r="E98" i="38"/>
  <c r="F92" i="38"/>
  <c r="F94" i="38"/>
  <c r="F95" i="38"/>
  <c r="F97" i="38"/>
  <c r="F98" i="38"/>
  <c r="G92" i="38"/>
  <c r="G94" i="38"/>
  <c r="G95" i="38"/>
  <c r="G97" i="38"/>
  <c r="G98" i="38"/>
  <c r="H92" i="38"/>
  <c r="H94" i="38"/>
  <c r="H95" i="38"/>
  <c r="H97" i="38"/>
  <c r="H98" i="38"/>
  <c r="I92" i="38"/>
  <c r="I94" i="38"/>
  <c r="I95" i="38"/>
  <c r="I97" i="38"/>
  <c r="I98" i="38"/>
  <c r="C82" i="38"/>
  <c r="C83" i="38"/>
  <c r="C84" i="38"/>
  <c r="C85" i="38"/>
  <c r="C86" i="38"/>
  <c r="C87" i="38"/>
  <c r="C88" i="38"/>
  <c r="D82" i="38"/>
  <c r="D84" i="38"/>
  <c r="D85" i="38"/>
  <c r="D87" i="38"/>
  <c r="D88" i="38"/>
  <c r="E82" i="38"/>
  <c r="E83" i="38"/>
  <c r="E84" i="38"/>
  <c r="E85" i="38"/>
  <c r="E86" i="38"/>
  <c r="E87" i="38"/>
  <c r="E88" i="38"/>
  <c r="F82" i="38"/>
  <c r="F84" i="38"/>
  <c r="F85" i="38"/>
  <c r="F87" i="38"/>
  <c r="F88" i="38"/>
  <c r="G82" i="38"/>
  <c r="G84" i="38"/>
  <c r="G85" i="38"/>
  <c r="G87" i="38"/>
  <c r="G88" i="38"/>
  <c r="H82" i="38"/>
  <c r="H84" i="38"/>
  <c r="H85" i="38"/>
  <c r="H87" i="38"/>
  <c r="H88" i="38"/>
  <c r="I82" i="38"/>
  <c r="I84" i="38"/>
  <c r="I85" i="38"/>
  <c r="I87" i="38"/>
  <c r="I88" i="38"/>
  <c r="C72" i="38"/>
  <c r="C73" i="38"/>
  <c r="C74" i="38"/>
  <c r="C75" i="38"/>
  <c r="C76" i="38"/>
  <c r="C77" i="38"/>
  <c r="C78" i="38"/>
  <c r="D72" i="38"/>
  <c r="D73" i="38"/>
  <c r="D74" i="38"/>
  <c r="D75" i="38"/>
  <c r="D77" i="38"/>
  <c r="D78" i="38"/>
  <c r="E72" i="38"/>
  <c r="E73" i="38"/>
  <c r="E74" i="38"/>
  <c r="E75" i="38"/>
  <c r="E76" i="38"/>
  <c r="E77" i="38"/>
  <c r="E78" i="38"/>
  <c r="F78" i="38"/>
  <c r="G78" i="38"/>
  <c r="H78" i="38"/>
  <c r="I78" i="38"/>
  <c r="F72" i="38"/>
  <c r="F73" i="38"/>
  <c r="F74" i="38"/>
  <c r="F75" i="38"/>
  <c r="F77" i="38"/>
  <c r="G72" i="38"/>
  <c r="G73" i="38"/>
  <c r="G74" i="38"/>
  <c r="G75" i="38"/>
  <c r="G77" i="38"/>
  <c r="H72" i="38"/>
  <c r="H73" i="38"/>
  <c r="H74" i="38"/>
  <c r="H75" i="38"/>
  <c r="H77" i="38"/>
  <c r="I72" i="38"/>
  <c r="I73" i="38"/>
  <c r="I74" i="38"/>
  <c r="I75" i="38"/>
  <c r="I77" i="38"/>
  <c r="C60" i="38"/>
  <c r="C61" i="38"/>
  <c r="C62" i="38"/>
  <c r="C63" i="38"/>
  <c r="C64" i="38"/>
  <c r="C65" i="38"/>
  <c r="C66" i="38"/>
  <c r="D60" i="38"/>
  <c r="D61" i="38"/>
  <c r="D62" i="38"/>
  <c r="D63" i="38"/>
  <c r="D64" i="38"/>
  <c r="D65" i="38"/>
  <c r="D66" i="38"/>
  <c r="E60" i="38"/>
  <c r="E61" i="38"/>
  <c r="E62" i="38"/>
  <c r="E63" i="38"/>
  <c r="E64" i="38"/>
  <c r="E65" i="38"/>
  <c r="E66" i="38"/>
  <c r="F60" i="38"/>
  <c r="F61" i="38"/>
  <c r="F62" i="38"/>
  <c r="F63" i="38"/>
  <c r="F64" i="38"/>
  <c r="F65" i="38"/>
  <c r="F66" i="38"/>
  <c r="G60" i="38"/>
  <c r="G61" i="38"/>
  <c r="G62" i="38"/>
  <c r="G63" i="38"/>
  <c r="G64" i="38"/>
  <c r="G65" i="38"/>
  <c r="G66" i="38"/>
  <c r="H60" i="38"/>
  <c r="H61" i="38"/>
  <c r="H62" i="38"/>
  <c r="H63" i="38"/>
  <c r="H64" i="38"/>
  <c r="H65" i="38"/>
  <c r="H66" i="38"/>
  <c r="I60" i="38"/>
  <c r="I61" i="38"/>
  <c r="I62" i="38"/>
  <c r="I63" i="38"/>
  <c r="I64" i="38"/>
  <c r="I65" i="38"/>
  <c r="I66" i="38"/>
  <c r="C50" i="38"/>
  <c r="C51" i="38"/>
  <c r="C52" i="38"/>
  <c r="C53" i="38"/>
  <c r="C54" i="38"/>
  <c r="C55" i="38"/>
  <c r="C56" i="38"/>
  <c r="D56" i="38"/>
  <c r="E56" i="38"/>
  <c r="F56" i="38"/>
  <c r="G56" i="38"/>
  <c r="H56" i="38"/>
  <c r="I56" i="38"/>
  <c r="D50" i="38"/>
  <c r="D52" i="38"/>
  <c r="D53" i="38"/>
  <c r="D55" i="38"/>
  <c r="E50" i="38"/>
  <c r="E51" i="38"/>
  <c r="E52" i="38"/>
  <c r="E53" i="38"/>
  <c r="E54" i="38"/>
  <c r="E55" i="38"/>
  <c r="F50" i="38"/>
  <c r="F52" i="38"/>
  <c r="F53" i="38"/>
  <c r="F55" i="38"/>
  <c r="G50" i="38"/>
  <c r="G52" i="38"/>
  <c r="G53" i="38"/>
  <c r="G55" i="38"/>
  <c r="H50" i="38"/>
  <c r="H52" i="38"/>
  <c r="H53" i="38"/>
  <c r="H55" i="38"/>
  <c r="I50" i="38"/>
  <c r="I52" i="38"/>
  <c r="I53" i="38"/>
  <c r="I55" i="38"/>
  <c r="C40" i="38"/>
  <c r="C41" i="38"/>
  <c r="C42" i="38"/>
  <c r="C43" i="38"/>
  <c r="C44" i="38"/>
  <c r="C45" i="38"/>
  <c r="C46" i="38"/>
  <c r="D46" i="38"/>
  <c r="E46" i="38"/>
  <c r="F46" i="38"/>
  <c r="G46" i="38"/>
  <c r="H46" i="38"/>
  <c r="I46" i="38"/>
  <c r="D40" i="38"/>
  <c r="D41" i="38"/>
  <c r="D42" i="38"/>
  <c r="D43" i="38"/>
  <c r="D44" i="38"/>
  <c r="D45" i="38"/>
  <c r="E40" i="38"/>
  <c r="E41" i="38"/>
  <c r="E42" i="38"/>
  <c r="E43" i="38"/>
  <c r="E44" i="38"/>
  <c r="E45" i="38"/>
  <c r="F40" i="38"/>
  <c r="F41" i="38"/>
  <c r="F42" i="38"/>
  <c r="F43" i="38"/>
  <c r="F44" i="38"/>
  <c r="F45" i="38"/>
  <c r="G40" i="38"/>
  <c r="G41" i="38"/>
  <c r="G42" i="38"/>
  <c r="G43" i="38"/>
  <c r="G44" i="38"/>
  <c r="G45" i="38"/>
  <c r="H40" i="38"/>
  <c r="H41" i="38"/>
  <c r="H42" i="38"/>
  <c r="H43" i="38"/>
  <c r="H44" i="38"/>
  <c r="H45" i="38"/>
  <c r="I40" i="38"/>
  <c r="I41" i="38"/>
  <c r="I42" i="38"/>
  <c r="I43" i="38"/>
  <c r="I44" i="38"/>
  <c r="I45" i="38"/>
  <c r="C24" i="38"/>
  <c r="C25" i="38"/>
  <c r="C26" i="38"/>
  <c r="C27" i="38"/>
  <c r="C28" i="38"/>
  <c r="C29" i="38"/>
  <c r="C30" i="38"/>
  <c r="C31" i="38"/>
  <c r="C32" i="38"/>
  <c r="C33" i="38"/>
  <c r="C34" i="38"/>
  <c r="D24" i="38"/>
  <c r="D28" i="38"/>
  <c r="D29" i="38"/>
  <c r="D33" i="38"/>
  <c r="D34" i="38"/>
  <c r="E34" i="38"/>
  <c r="F34" i="38"/>
  <c r="G34" i="38"/>
  <c r="H34" i="38"/>
  <c r="I34" i="38"/>
  <c r="E24" i="38"/>
  <c r="E25" i="38"/>
  <c r="E26" i="38"/>
  <c r="E27" i="38"/>
  <c r="E28" i="38"/>
  <c r="E29" i="38"/>
  <c r="E30" i="38"/>
  <c r="E31" i="38"/>
  <c r="E32" i="38"/>
  <c r="E33" i="38"/>
  <c r="F24" i="38"/>
  <c r="F28" i="38"/>
  <c r="F29" i="38"/>
  <c r="F33" i="38"/>
  <c r="G24" i="38"/>
  <c r="G28" i="38"/>
  <c r="G29" i="38"/>
  <c r="G33" i="38"/>
  <c r="H24" i="38"/>
  <c r="H28" i="38"/>
  <c r="H29" i="38"/>
  <c r="H33" i="38"/>
  <c r="I24" i="38"/>
  <c r="I28" i="38"/>
  <c r="I29" i="38"/>
  <c r="I33" i="38"/>
  <c r="C12" i="38"/>
  <c r="C13" i="38"/>
  <c r="C14" i="38"/>
  <c r="C15" i="38"/>
  <c r="C16" i="38"/>
  <c r="C17" i="38"/>
  <c r="C18" i="38"/>
  <c r="C19" i="38"/>
  <c r="C20" i="38"/>
  <c r="D20" i="38"/>
  <c r="E20" i="38"/>
  <c r="F20" i="38"/>
  <c r="G20" i="38"/>
  <c r="H20" i="38"/>
  <c r="I20" i="38"/>
  <c r="D10" i="38"/>
  <c r="D11" i="38"/>
  <c r="D14" i="38"/>
  <c r="D15" i="38"/>
  <c r="D16" i="38"/>
  <c r="D19" i="38"/>
  <c r="E10" i="38"/>
  <c r="E11" i="38"/>
  <c r="E12" i="38"/>
  <c r="E13" i="38"/>
  <c r="E14" i="38"/>
  <c r="E15" i="38"/>
  <c r="E16" i="38"/>
  <c r="E17" i="38"/>
  <c r="E18" i="38"/>
  <c r="E19" i="38"/>
  <c r="F10" i="38"/>
  <c r="F11" i="38"/>
  <c r="F14" i="38"/>
  <c r="F15" i="38"/>
  <c r="F16" i="38"/>
  <c r="F19" i="38"/>
  <c r="G10" i="38"/>
  <c r="G11" i="38"/>
  <c r="G14" i="38"/>
  <c r="G15" i="38"/>
  <c r="G16" i="38"/>
  <c r="G19" i="38"/>
  <c r="H10" i="38"/>
  <c r="H11" i="38"/>
  <c r="H14" i="38"/>
  <c r="H15" i="38"/>
  <c r="H16" i="38"/>
  <c r="H19" i="38"/>
  <c r="I10" i="38"/>
  <c r="I11" i="38"/>
  <c r="I14" i="38"/>
  <c r="I15" i="38"/>
  <c r="I16" i="38"/>
  <c r="I19" i="38"/>
  <c r="L50" i="46"/>
  <c r="M50" i="46"/>
  <c r="L51" i="46"/>
  <c r="M51" i="46"/>
  <c r="L52" i="46"/>
  <c r="M52" i="46"/>
  <c r="L53" i="46"/>
  <c r="M53" i="46"/>
  <c r="L54" i="46"/>
  <c r="M54" i="46"/>
  <c r="L55" i="46"/>
  <c r="M55" i="46"/>
  <c r="L56" i="46"/>
  <c r="M56" i="46"/>
  <c r="K50" i="46"/>
  <c r="K51" i="46"/>
  <c r="K52" i="46"/>
  <c r="K53" i="46"/>
  <c r="K54" i="46"/>
  <c r="K55" i="46"/>
  <c r="K56" i="46"/>
  <c r="J50" i="46"/>
  <c r="J51" i="46"/>
  <c r="J52" i="46"/>
  <c r="J53" i="46"/>
  <c r="J54" i="46"/>
  <c r="J55" i="46"/>
  <c r="J56" i="46"/>
  <c r="H50" i="46"/>
  <c r="I50" i="46"/>
  <c r="H51" i="46"/>
  <c r="I51" i="46"/>
  <c r="H52" i="46"/>
  <c r="I52" i="46"/>
  <c r="H53" i="46"/>
  <c r="I53" i="46"/>
  <c r="H54" i="46"/>
  <c r="I54" i="46"/>
  <c r="H55" i="46"/>
  <c r="I55" i="46"/>
  <c r="H56" i="46"/>
  <c r="I56" i="46"/>
  <c r="F50" i="46"/>
  <c r="G50" i="46"/>
  <c r="F51" i="46"/>
  <c r="G51" i="46"/>
  <c r="G52" i="46"/>
  <c r="G53" i="46"/>
  <c r="G54" i="46"/>
  <c r="G55" i="46"/>
  <c r="G56" i="46"/>
  <c r="F52" i="46"/>
  <c r="F53" i="46"/>
  <c r="F54" i="46"/>
  <c r="F55" i="46"/>
  <c r="F56" i="46"/>
  <c r="E50" i="46"/>
  <c r="E51" i="46"/>
  <c r="E52" i="46"/>
  <c r="E53" i="46"/>
  <c r="E54" i="46"/>
  <c r="E55" i="46"/>
  <c r="E56" i="46"/>
  <c r="D50" i="46"/>
  <c r="D51" i="46"/>
  <c r="D52" i="46"/>
  <c r="D53" i="46"/>
  <c r="D54" i="46"/>
  <c r="D55" i="46"/>
  <c r="D56" i="46"/>
  <c r="C55" i="46"/>
  <c r="C54" i="46"/>
  <c r="C53" i="46"/>
  <c r="C52" i="46"/>
  <c r="C50" i="46"/>
  <c r="C51" i="46"/>
  <c r="C56" i="46"/>
  <c r="C14" i="46"/>
  <c r="C13" i="46"/>
  <c r="C12" i="46"/>
  <c r="C11" i="46"/>
  <c r="C10" i="46"/>
  <c r="K40" i="46"/>
  <c r="K41" i="46"/>
  <c r="K42" i="46"/>
  <c r="K43" i="46"/>
  <c r="K44" i="46"/>
  <c r="K45" i="46"/>
  <c r="K46" i="46"/>
  <c r="E40" i="46"/>
  <c r="F40" i="46"/>
  <c r="F41" i="46"/>
  <c r="F42" i="46"/>
  <c r="F43" i="46"/>
  <c r="F44" i="46"/>
  <c r="F45" i="46"/>
  <c r="F46" i="46"/>
  <c r="G40" i="46"/>
  <c r="H40" i="46"/>
  <c r="E41" i="46"/>
  <c r="G41" i="46"/>
  <c r="H41" i="46"/>
  <c r="E42" i="46"/>
  <c r="G42" i="46"/>
  <c r="H42" i="46"/>
  <c r="E43" i="46"/>
  <c r="G43" i="46"/>
  <c r="H43" i="46"/>
  <c r="E44" i="46"/>
  <c r="G44" i="46"/>
  <c r="H44" i="46"/>
  <c r="E45" i="46"/>
  <c r="G45" i="46"/>
  <c r="H45" i="46"/>
  <c r="E46" i="46"/>
  <c r="G46" i="46"/>
  <c r="H46" i="46"/>
  <c r="D40" i="46"/>
  <c r="D41" i="46"/>
  <c r="D42" i="46"/>
  <c r="D43" i="46"/>
  <c r="D44" i="46"/>
  <c r="D45" i="46"/>
  <c r="D46" i="46"/>
  <c r="G34" i="46"/>
  <c r="G33" i="46"/>
  <c r="G29" i="46"/>
  <c r="G28" i="46"/>
  <c r="G24" i="46"/>
  <c r="G20" i="46"/>
  <c r="G19" i="46"/>
  <c r="G16" i="46"/>
  <c r="G15" i="46"/>
  <c r="G14" i="46"/>
  <c r="G11" i="46"/>
  <c r="G10" i="46"/>
  <c r="H34" i="46"/>
  <c r="H33" i="46"/>
  <c r="H32" i="46"/>
  <c r="H31" i="46"/>
  <c r="H30" i="46"/>
  <c r="H29" i="46"/>
  <c r="H28" i="46"/>
  <c r="H27" i="46"/>
  <c r="H26" i="46"/>
  <c r="H25" i="46"/>
  <c r="H24" i="46"/>
  <c r="H20" i="46"/>
  <c r="H19" i="46"/>
  <c r="H18" i="46"/>
  <c r="H17" i="46"/>
  <c r="H16" i="46"/>
  <c r="H15" i="46"/>
  <c r="H14" i="46"/>
  <c r="H13" i="46"/>
  <c r="H10" i="46"/>
  <c r="H11" i="46"/>
  <c r="H12" i="46"/>
  <c r="D33" i="46"/>
  <c r="D28" i="46"/>
  <c r="D14" i="46"/>
  <c r="D24" i="46"/>
  <c r="D35" i="46" s="1"/>
  <c r="D25" i="46"/>
  <c r="D29" i="46"/>
  <c r="D30" i="46"/>
  <c r="D34" i="46"/>
  <c r="D74" i="46"/>
  <c r="E74" i="46"/>
  <c r="F74" i="46"/>
  <c r="G74" i="46"/>
  <c r="H74" i="46"/>
  <c r="I74" i="46"/>
  <c r="J74" i="46"/>
  <c r="K74" i="46"/>
  <c r="L74" i="46"/>
  <c r="M74" i="46"/>
  <c r="C74" i="46"/>
  <c r="I42" i="46"/>
  <c r="J42" i="46"/>
  <c r="L42" i="46"/>
  <c r="M42" i="46"/>
  <c r="C42" i="46"/>
  <c r="D10" i="46"/>
  <c r="D11" i="46"/>
  <c r="D15" i="46"/>
  <c r="D16" i="46"/>
  <c r="D19" i="46"/>
  <c r="D20" i="46"/>
  <c r="E10" i="46"/>
  <c r="F10" i="46"/>
  <c r="I10" i="46"/>
  <c r="J10" i="46"/>
  <c r="J11" i="46"/>
  <c r="J14" i="46"/>
  <c r="J15" i="46"/>
  <c r="J16" i="46"/>
  <c r="J19" i="46"/>
  <c r="J20" i="46"/>
  <c r="K10" i="46"/>
  <c r="L10" i="46"/>
  <c r="M10" i="46"/>
  <c r="M98" i="46"/>
  <c r="M92" i="46"/>
  <c r="M93" i="46"/>
  <c r="M94" i="46"/>
  <c r="M95" i="46"/>
  <c r="M96" i="46"/>
  <c r="M97" i="46"/>
  <c r="L98" i="46"/>
  <c r="K98" i="46"/>
  <c r="J98" i="46"/>
  <c r="I98" i="46"/>
  <c r="I92" i="46"/>
  <c r="I99" i="46" s="1"/>
  <c r="I94" i="46"/>
  <c r="I95" i="46"/>
  <c r="I97" i="46"/>
  <c r="H98" i="46"/>
  <c r="G98" i="46"/>
  <c r="F98" i="46"/>
  <c r="E98" i="46"/>
  <c r="C98" i="46"/>
  <c r="D98" i="46"/>
  <c r="L97" i="46"/>
  <c r="K97" i="46"/>
  <c r="J97" i="46"/>
  <c r="H97" i="46"/>
  <c r="G97" i="46"/>
  <c r="F97" i="46"/>
  <c r="E97" i="46"/>
  <c r="D97" i="46"/>
  <c r="C97" i="46"/>
  <c r="L96" i="46"/>
  <c r="F96" i="46"/>
  <c r="E96" i="46"/>
  <c r="C96" i="46"/>
  <c r="L95" i="46"/>
  <c r="L92" i="46"/>
  <c r="L93" i="46"/>
  <c r="L94" i="46"/>
  <c r="K95" i="46"/>
  <c r="J95" i="46"/>
  <c r="H95" i="46"/>
  <c r="H92" i="46"/>
  <c r="H94" i="46"/>
  <c r="G95" i="46"/>
  <c r="F95" i="46"/>
  <c r="E95" i="46"/>
  <c r="D95" i="46"/>
  <c r="D92" i="46"/>
  <c r="D94" i="46"/>
  <c r="C95" i="46"/>
  <c r="K94" i="46"/>
  <c r="J94" i="46"/>
  <c r="G94" i="46"/>
  <c r="F94" i="46"/>
  <c r="E94" i="46"/>
  <c r="C94" i="46"/>
  <c r="F93" i="46"/>
  <c r="E93" i="46"/>
  <c r="E92" i="46"/>
  <c r="C93" i="46"/>
  <c r="K92" i="46"/>
  <c r="J92" i="46"/>
  <c r="G92" i="46"/>
  <c r="F92" i="46"/>
  <c r="C92" i="46"/>
  <c r="M88" i="46"/>
  <c r="L88" i="46"/>
  <c r="K88" i="46"/>
  <c r="J88" i="46"/>
  <c r="I88" i="46"/>
  <c r="H88" i="46"/>
  <c r="G88" i="46"/>
  <c r="F88" i="46"/>
  <c r="C88" i="46"/>
  <c r="D88" i="46"/>
  <c r="E88" i="46"/>
  <c r="M87" i="46"/>
  <c r="L87" i="46"/>
  <c r="K87" i="46"/>
  <c r="J87" i="46"/>
  <c r="I87" i="46"/>
  <c r="H87" i="46"/>
  <c r="G87" i="46"/>
  <c r="F87" i="46"/>
  <c r="E87" i="46"/>
  <c r="D87" i="46"/>
  <c r="C87" i="46"/>
  <c r="M86" i="46"/>
  <c r="L86" i="46"/>
  <c r="F86" i="46"/>
  <c r="E86" i="46"/>
  <c r="C86" i="46"/>
  <c r="M85" i="46"/>
  <c r="L85" i="46"/>
  <c r="K85" i="46"/>
  <c r="J85" i="46"/>
  <c r="I85" i="46"/>
  <c r="I89" i="46" s="1"/>
  <c r="H85" i="46"/>
  <c r="G85" i="46"/>
  <c r="F85" i="46"/>
  <c r="E85" i="46"/>
  <c r="D85" i="46"/>
  <c r="C85" i="46"/>
  <c r="M84" i="46"/>
  <c r="L84" i="46"/>
  <c r="K84" i="46"/>
  <c r="J84" i="46"/>
  <c r="I84" i="46"/>
  <c r="H84" i="46"/>
  <c r="G84" i="46"/>
  <c r="F84" i="46"/>
  <c r="E84" i="46"/>
  <c r="D84" i="46"/>
  <c r="D89" i="46" s="1"/>
  <c r="C84" i="46"/>
  <c r="C82" i="46"/>
  <c r="C83" i="46"/>
  <c r="M83" i="46"/>
  <c r="L83" i="46"/>
  <c r="F83" i="46"/>
  <c r="E83" i="46"/>
  <c r="M82" i="46"/>
  <c r="L82" i="46"/>
  <c r="K82" i="46"/>
  <c r="J82" i="46"/>
  <c r="I82" i="46"/>
  <c r="H82" i="46"/>
  <c r="G82" i="46"/>
  <c r="G89" i="46" s="1"/>
  <c r="F82" i="46"/>
  <c r="E82" i="46"/>
  <c r="D82" i="46"/>
  <c r="M78" i="46"/>
  <c r="L78" i="46"/>
  <c r="K78" i="46"/>
  <c r="K72" i="46"/>
  <c r="K73" i="46"/>
  <c r="K75" i="46"/>
  <c r="K77" i="46"/>
  <c r="J78" i="46"/>
  <c r="I78" i="46"/>
  <c r="H78" i="46"/>
  <c r="G78" i="46"/>
  <c r="G72" i="46"/>
  <c r="G73" i="46"/>
  <c r="G75" i="46"/>
  <c r="G77" i="46"/>
  <c r="F78" i="46"/>
  <c r="E78" i="46"/>
  <c r="D78" i="46"/>
  <c r="C78" i="46"/>
  <c r="M77" i="46"/>
  <c r="L77" i="46"/>
  <c r="J77" i="46"/>
  <c r="I77" i="46"/>
  <c r="H77" i="46"/>
  <c r="F77" i="46"/>
  <c r="E77" i="46"/>
  <c r="D77" i="46"/>
  <c r="C77" i="46"/>
  <c r="M76" i="46"/>
  <c r="L76" i="46"/>
  <c r="F76" i="46"/>
  <c r="E76" i="46"/>
  <c r="C76" i="46"/>
  <c r="C72" i="46"/>
  <c r="C73" i="46"/>
  <c r="C75" i="46"/>
  <c r="M75" i="46"/>
  <c r="L75" i="46"/>
  <c r="J75" i="46"/>
  <c r="J72" i="46"/>
  <c r="J73" i="46"/>
  <c r="I75" i="46"/>
  <c r="H75" i="46"/>
  <c r="F75" i="46"/>
  <c r="F72" i="46"/>
  <c r="F73" i="46"/>
  <c r="E75" i="46"/>
  <c r="D75" i="46"/>
  <c r="M73" i="46"/>
  <c r="L73" i="46"/>
  <c r="I73" i="46"/>
  <c r="H73" i="46"/>
  <c r="E73" i="46"/>
  <c r="D73" i="46"/>
  <c r="M72" i="46"/>
  <c r="L72" i="46"/>
  <c r="I72" i="46"/>
  <c r="H72" i="46"/>
  <c r="E72" i="46"/>
  <c r="E79" i="46" s="1"/>
  <c r="D72" i="46"/>
  <c r="M66" i="46"/>
  <c r="L66" i="46"/>
  <c r="K66" i="46"/>
  <c r="J66" i="46"/>
  <c r="I66" i="46"/>
  <c r="H66" i="46"/>
  <c r="G66" i="46"/>
  <c r="F66" i="46"/>
  <c r="E66" i="46"/>
  <c r="D66" i="46"/>
  <c r="C66" i="46"/>
  <c r="M65" i="46"/>
  <c r="L65" i="46"/>
  <c r="K65" i="46"/>
  <c r="J65" i="46"/>
  <c r="I65" i="46"/>
  <c r="H65" i="46"/>
  <c r="G65" i="46"/>
  <c r="F65" i="46"/>
  <c r="E65" i="46"/>
  <c r="D65" i="46"/>
  <c r="C65" i="46"/>
  <c r="M64" i="46"/>
  <c r="L64" i="46"/>
  <c r="K64" i="46"/>
  <c r="J64" i="46"/>
  <c r="I64" i="46"/>
  <c r="H64" i="46"/>
  <c r="G64" i="46"/>
  <c r="F64" i="46"/>
  <c r="F67" i="46" s="1"/>
  <c r="E64" i="46"/>
  <c r="D64" i="46"/>
  <c r="C64" i="46"/>
  <c r="M63" i="46"/>
  <c r="L63" i="46"/>
  <c r="K63" i="46"/>
  <c r="J63" i="46"/>
  <c r="I63" i="46"/>
  <c r="H63" i="46"/>
  <c r="G63" i="46"/>
  <c r="F63" i="46"/>
  <c r="E63" i="46"/>
  <c r="D63" i="46"/>
  <c r="C63" i="46"/>
  <c r="M62" i="46"/>
  <c r="L62" i="46"/>
  <c r="K62" i="46"/>
  <c r="J62" i="46"/>
  <c r="I62" i="46"/>
  <c r="H62" i="46"/>
  <c r="G62" i="46"/>
  <c r="F62" i="46"/>
  <c r="E62" i="46"/>
  <c r="D62" i="46"/>
  <c r="C62" i="46"/>
  <c r="M61" i="46"/>
  <c r="L61" i="46"/>
  <c r="L60" i="46"/>
  <c r="K61" i="46"/>
  <c r="J61" i="46"/>
  <c r="J60" i="46"/>
  <c r="I61" i="46"/>
  <c r="H61" i="46"/>
  <c r="H60" i="46"/>
  <c r="G61" i="46"/>
  <c r="F61" i="46"/>
  <c r="F60" i="46"/>
  <c r="E61" i="46"/>
  <c r="D61" i="46"/>
  <c r="D60" i="46"/>
  <c r="C61" i="46"/>
  <c r="M60" i="46"/>
  <c r="K60" i="46"/>
  <c r="I60" i="46"/>
  <c r="G60" i="46"/>
  <c r="E60" i="46"/>
  <c r="C60" i="46"/>
  <c r="M46" i="46"/>
  <c r="L46" i="46"/>
  <c r="J46" i="46"/>
  <c r="I46" i="46"/>
  <c r="C46" i="46"/>
  <c r="M45" i="46"/>
  <c r="L45" i="46"/>
  <c r="J45" i="46"/>
  <c r="I45" i="46"/>
  <c r="C45" i="46"/>
  <c r="M44" i="46"/>
  <c r="L44" i="46"/>
  <c r="J44" i="46"/>
  <c r="I44" i="46"/>
  <c r="C44" i="46"/>
  <c r="M43" i="46"/>
  <c r="L43" i="46"/>
  <c r="L40" i="46"/>
  <c r="L41" i="46"/>
  <c r="J43" i="46"/>
  <c r="I43" i="46"/>
  <c r="C43" i="46"/>
  <c r="M41" i="46"/>
  <c r="J41" i="46"/>
  <c r="I41" i="46"/>
  <c r="C41" i="46"/>
  <c r="C40" i="46"/>
  <c r="M40" i="46"/>
  <c r="J40" i="46"/>
  <c r="I40" i="46"/>
  <c r="M34" i="46"/>
  <c r="L34" i="46"/>
  <c r="K34" i="46"/>
  <c r="J34" i="46"/>
  <c r="I34" i="46"/>
  <c r="F34" i="46"/>
  <c r="E34" i="46"/>
  <c r="C34" i="46"/>
  <c r="M33" i="46"/>
  <c r="L33" i="46"/>
  <c r="K33" i="46"/>
  <c r="K24" i="46"/>
  <c r="K28" i="46"/>
  <c r="K29" i="46"/>
  <c r="J33" i="46"/>
  <c r="I33" i="46"/>
  <c r="F33" i="46"/>
  <c r="E33" i="46"/>
  <c r="C33" i="46"/>
  <c r="M32" i="46"/>
  <c r="L32" i="46"/>
  <c r="F32" i="46"/>
  <c r="E32" i="46"/>
  <c r="C32" i="46"/>
  <c r="M31" i="46"/>
  <c r="L31" i="46"/>
  <c r="F31" i="46"/>
  <c r="E31" i="46"/>
  <c r="C31" i="46"/>
  <c r="M30" i="46"/>
  <c r="L30" i="46"/>
  <c r="F30" i="46"/>
  <c r="E30" i="46"/>
  <c r="C30" i="46"/>
  <c r="M29" i="46"/>
  <c r="L29" i="46"/>
  <c r="J29" i="46"/>
  <c r="I29" i="46"/>
  <c r="F29" i="46"/>
  <c r="E29" i="46"/>
  <c r="C29" i="46"/>
  <c r="M28" i="46"/>
  <c r="L28" i="46"/>
  <c r="J28" i="46"/>
  <c r="J24" i="46"/>
  <c r="I28" i="46"/>
  <c r="F28" i="46"/>
  <c r="E28" i="46"/>
  <c r="C28" i="46"/>
  <c r="C24" i="46"/>
  <c r="C25" i="46"/>
  <c r="C26" i="46"/>
  <c r="C27" i="46"/>
  <c r="M27" i="46"/>
  <c r="L27" i="46"/>
  <c r="F27" i="46"/>
  <c r="E27" i="46"/>
  <c r="M26" i="46"/>
  <c r="L26" i="46"/>
  <c r="F26" i="46"/>
  <c r="F24" i="46"/>
  <c r="F25" i="46"/>
  <c r="E26" i="46"/>
  <c r="M25" i="46"/>
  <c r="L25" i="46"/>
  <c r="E25" i="46"/>
  <c r="M24" i="46"/>
  <c r="L24" i="46"/>
  <c r="I24" i="46"/>
  <c r="E24" i="46"/>
  <c r="M20" i="46"/>
  <c r="L20" i="46"/>
  <c r="K20" i="46"/>
  <c r="I20" i="46"/>
  <c r="F20" i="46"/>
  <c r="E20" i="46"/>
  <c r="C20" i="46"/>
  <c r="M19" i="46"/>
  <c r="L19" i="46"/>
  <c r="K19" i="46"/>
  <c r="I19" i="46"/>
  <c r="F19" i="46"/>
  <c r="E19" i="46"/>
  <c r="C19" i="46"/>
  <c r="M18" i="46"/>
  <c r="L18" i="46"/>
  <c r="F18" i="46"/>
  <c r="F11" i="46"/>
  <c r="F12" i="46"/>
  <c r="F13" i="46"/>
  <c r="F14" i="46"/>
  <c r="F15" i="46"/>
  <c r="F16" i="46"/>
  <c r="F17" i="46"/>
  <c r="E18" i="46"/>
  <c r="C18" i="46"/>
  <c r="M17" i="46"/>
  <c r="L17" i="46"/>
  <c r="E17" i="46"/>
  <c r="C17" i="46"/>
  <c r="M16" i="46"/>
  <c r="M11" i="46"/>
  <c r="M12" i="46"/>
  <c r="M13" i="46"/>
  <c r="M14" i="46"/>
  <c r="M15" i="46"/>
  <c r="L16" i="46"/>
  <c r="K16" i="46"/>
  <c r="I16" i="46"/>
  <c r="I11" i="46"/>
  <c r="I14" i="46"/>
  <c r="I15" i="46"/>
  <c r="E16" i="46"/>
  <c r="C16" i="46"/>
  <c r="L15" i="46"/>
  <c r="K15" i="46"/>
  <c r="E15" i="46"/>
  <c r="C15" i="46"/>
  <c r="L14" i="46"/>
  <c r="K14" i="46"/>
  <c r="E14" i="46"/>
  <c r="L13" i="46"/>
  <c r="E13" i="46"/>
  <c r="L12" i="46"/>
  <c r="E12" i="46"/>
  <c r="L11" i="46"/>
  <c r="K11" i="46"/>
  <c r="E11" i="46"/>
  <c r="G21" i="46"/>
  <c r="D9" i="55"/>
  <c r="E9" i="55"/>
  <c r="F9" i="55"/>
  <c r="G9" i="55"/>
  <c r="H9" i="55"/>
  <c r="I9" i="55"/>
  <c r="J9" i="55"/>
  <c r="K9" i="55"/>
  <c r="L9" i="55"/>
  <c r="M9" i="55"/>
  <c r="N9" i="55"/>
  <c r="U9" i="55"/>
  <c r="D8" i="55"/>
  <c r="E8" i="55"/>
  <c r="F8" i="55"/>
  <c r="G8" i="55"/>
  <c r="H8" i="55"/>
  <c r="I8" i="55"/>
  <c r="J8" i="55"/>
  <c r="K8" i="55"/>
  <c r="L8" i="55"/>
  <c r="M8" i="55"/>
  <c r="N8" i="55"/>
  <c r="U8" i="55"/>
  <c r="D18" i="55"/>
  <c r="E18" i="55"/>
  <c r="F18" i="55"/>
  <c r="G18" i="55"/>
  <c r="H18" i="55"/>
  <c r="I18" i="55"/>
  <c r="J18" i="55"/>
  <c r="K18" i="55"/>
  <c r="L18" i="55"/>
  <c r="M18" i="55"/>
  <c r="N18" i="55"/>
  <c r="U18" i="55"/>
  <c r="D17" i="55"/>
  <c r="E17" i="55"/>
  <c r="F17" i="55"/>
  <c r="G17" i="55"/>
  <c r="H17" i="55"/>
  <c r="I17" i="55"/>
  <c r="J17" i="55"/>
  <c r="K17" i="55"/>
  <c r="L17" i="55"/>
  <c r="M17" i="55"/>
  <c r="N17" i="55"/>
  <c r="T17" i="55"/>
  <c r="D16" i="55"/>
  <c r="E16" i="55"/>
  <c r="F16" i="55"/>
  <c r="G16" i="55"/>
  <c r="H16" i="55"/>
  <c r="I16" i="55"/>
  <c r="J16" i="55"/>
  <c r="K16" i="55"/>
  <c r="L16" i="55"/>
  <c r="M16" i="55"/>
  <c r="N16" i="55"/>
  <c r="U16" i="55"/>
  <c r="D12" i="55"/>
  <c r="E12" i="55"/>
  <c r="F12" i="55"/>
  <c r="G12" i="55"/>
  <c r="H12" i="55"/>
  <c r="I12" i="55"/>
  <c r="J12" i="55"/>
  <c r="K12" i="55"/>
  <c r="L12" i="55"/>
  <c r="M12" i="55"/>
  <c r="N12" i="55"/>
  <c r="D15" i="55"/>
  <c r="E15" i="55"/>
  <c r="F15" i="55"/>
  <c r="G15" i="55"/>
  <c r="H15" i="55"/>
  <c r="I15" i="55"/>
  <c r="J15" i="55"/>
  <c r="K15" i="55"/>
  <c r="L15" i="55"/>
  <c r="M15" i="55"/>
  <c r="N15" i="55"/>
  <c r="D14" i="55"/>
  <c r="E14" i="55"/>
  <c r="F14" i="55"/>
  <c r="G14" i="55"/>
  <c r="H14" i="55"/>
  <c r="I14" i="55"/>
  <c r="J14" i="55"/>
  <c r="K14" i="55"/>
  <c r="L14" i="55"/>
  <c r="M14" i="55"/>
  <c r="N14" i="55"/>
  <c r="T14" i="55"/>
  <c r="D13" i="55"/>
  <c r="E13" i="55"/>
  <c r="F13" i="55"/>
  <c r="G13" i="55"/>
  <c r="H13" i="55"/>
  <c r="I13" i="55"/>
  <c r="J13" i="55"/>
  <c r="K13" i="55"/>
  <c r="L13" i="55"/>
  <c r="M13" i="55"/>
  <c r="N13" i="55"/>
  <c r="U13" i="55"/>
  <c r="D11" i="55"/>
  <c r="E11" i="55"/>
  <c r="F11" i="55"/>
  <c r="G11" i="55"/>
  <c r="H11" i="55"/>
  <c r="I11" i="55"/>
  <c r="J11" i="55"/>
  <c r="K11" i="55"/>
  <c r="L11" i="55"/>
  <c r="M11" i="55"/>
  <c r="N11" i="55"/>
  <c r="U11" i="55"/>
  <c r="D10" i="55"/>
  <c r="E10" i="55"/>
  <c r="F10" i="55"/>
  <c r="G10" i="55"/>
  <c r="H10" i="55"/>
  <c r="I10" i="55"/>
  <c r="J10" i="55"/>
  <c r="K10" i="55"/>
  <c r="L10" i="55"/>
  <c r="M10" i="55"/>
  <c r="N10" i="55"/>
  <c r="T10" i="55"/>
  <c r="D63" i="55"/>
  <c r="E63" i="55"/>
  <c r="F63" i="55"/>
  <c r="G63" i="55"/>
  <c r="H63" i="55"/>
  <c r="I63" i="55"/>
  <c r="J63" i="55"/>
  <c r="K63" i="55"/>
  <c r="L63" i="55"/>
  <c r="M63" i="55"/>
  <c r="N63" i="55"/>
  <c r="D64" i="55"/>
  <c r="E64" i="55"/>
  <c r="F64" i="55"/>
  <c r="G64" i="55"/>
  <c r="H64" i="55"/>
  <c r="I64" i="55"/>
  <c r="J64" i="55"/>
  <c r="K64" i="55"/>
  <c r="L64" i="55"/>
  <c r="M64" i="55"/>
  <c r="N64" i="55"/>
  <c r="D65" i="55"/>
  <c r="E65" i="55"/>
  <c r="F65" i="55"/>
  <c r="G65" i="55"/>
  <c r="H65" i="55"/>
  <c r="I65" i="55"/>
  <c r="J65" i="55"/>
  <c r="K65" i="55"/>
  <c r="L65" i="55"/>
  <c r="M65" i="55"/>
  <c r="N65" i="55"/>
  <c r="D66" i="55"/>
  <c r="E66" i="55"/>
  <c r="F66" i="55"/>
  <c r="G66" i="55"/>
  <c r="H66" i="55"/>
  <c r="I66" i="55"/>
  <c r="J66" i="55"/>
  <c r="K66" i="55"/>
  <c r="L66" i="55"/>
  <c r="M66" i="55"/>
  <c r="N66" i="55"/>
  <c r="D67" i="55"/>
  <c r="E67" i="55"/>
  <c r="F67" i="55"/>
  <c r="G67" i="55"/>
  <c r="H67" i="55"/>
  <c r="I67" i="55"/>
  <c r="J67" i="55"/>
  <c r="K67" i="55"/>
  <c r="L67" i="55"/>
  <c r="M67" i="55"/>
  <c r="N67" i="55"/>
  <c r="D68" i="55"/>
  <c r="E68" i="55"/>
  <c r="F68" i="55"/>
  <c r="G68" i="55"/>
  <c r="H68" i="55"/>
  <c r="I68" i="55"/>
  <c r="J68" i="55"/>
  <c r="K68" i="55"/>
  <c r="L68" i="55"/>
  <c r="M68" i="55"/>
  <c r="N68" i="55"/>
  <c r="D69" i="55"/>
  <c r="E69" i="55"/>
  <c r="F69" i="55"/>
  <c r="G69" i="55"/>
  <c r="H69" i="55"/>
  <c r="I69" i="55"/>
  <c r="J69" i="55"/>
  <c r="K69" i="55"/>
  <c r="L69" i="55"/>
  <c r="M69" i="55"/>
  <c r="N69" i="55"/>
  <c r="D70" i="55"/>
  <c r="E70" i="55"/>
  <c r="F70" i="55"/>
  <c r="G70" i="55"/>
  <c r="H70" i="55"/>
  <c r="I70" i="55"/>
  <c r="J70" i="55"/>
  <c r="K70" i="55"/>
  <c r="L70" i="55"/>
  <c r="M70" i="55"/>
  <c r="N70" i="55"/>
  <c r="D71" i="55"/>
  <c r="E71" i="55"/>
  <c r="F71" i="55"/>
  <c r="G71" i="55"/>
  <c r="H71" i="55"/>
  <c r="I71" i="55"/>
  <c r="J71" i="55"/>
  <c r="K71" i="55"/>
  <c r="L71" i="55"/>
  <c r="M71" i="55"/>
  <c r="N71" i="55"/>
  <c r="D72" i="55"/>
  <c r="E72" i="55"/>
  <c r="F72" i="55"/>
  <c r="G72" i="55"/>
  <c r="H72" i="55"/>
  <c r="I72" i="55"/>
  <c r="J72" i="55"/>
  <c r="K72" i="55"/>
  <c r="L72" i="55"/>
  <c r="M72" i="55"/>
  <c r="N72" i="55"/>
  <c r="D73" i="55"/>
  <c r="E73" i="55"/>
  <c r="F73" i="55"/>
  <c r="G73" i="55"/>
  <c r="H73" i="55"/>
  <c r="I73" i="55"/>
  <c r="J73" i="55"/>
  <c r="K73" i="55"/>
  <c r="L73" i="55"/>
  <c r="M73" i="55"/>
  <c r="N73" i="55"/>
  <c r="D74" i="55"/>
  <c r="E74" i="55"/>
  <c r="F74" i="55"/>
  <c r="G74" i="55"/>
  <c r="H74" i="55"/>
  <c r="I74" i="55"/>
  <c r="J74" i="55"/>
  <c r="K74" i="55"/>
  <c r="L74" i="55"/>
  <c r="M74" i="55"/>
  <c r="N74" i="55"/>
  <c r="D75" i="55"/>
  <c r="E75" i="55"/>
  <c r="F75" i="55"/>
  <c r="G75" i="55"/>
  <c r="H75" i="55"/>
  <c r="I75" i="55"/>
  <c r="J75" i="55"/>
  <c r="K75" i="55"/>
  <c r="L75" i="55"/>
  <c r="M75" i="55"/>
  <c r="N75" i="55"/>
  <c r="D76" i="55"/>
  <c r="E76" i="55"/>
  <c r="F76" i="55"/>
  <c r="G76" i="55"/>
  <c r="H76" i="55"/>
  <c r="I76" i="55"/>
  <c r="J76" i="55"/>
  <c r="K76" i="55"/>
  <c r="L76" i="55"/>
  <c r="M76" i="55"/>
  <c r="N76" i="55"/>
  <c r="D77" i="55"/>
  <c r="E77" i="55"/>
  <c r="F77" i="55"/>
  <c r="G77" i="55"/>
  <c r="H77" i="55"/>
  <c r="I77" i="55"/>
  <c r="J77" i="55"/>
  <c r="K77" i="55"/>
  <c r="L77" i="55"/>
  <c r="M77" i="55"/>
  <c r="N77" i="55"/>
  <c r="D78" i="55"/>
  <c r="E78" i="55"/>
  <c r="F78" i="55"/>
  <c r="G78" i="55"/>
  <c r="H78" i="55"/>
  <c r="I78" i="55"/>
  <c r="J78" i="55"/>
  <c r="K78" i="55"/>
  <c r="L78" i="55"/>
  <c r="M78" i="55"/>
  <c r="N78" i="55"/>
  <c r="D79" i="55"/>
  <c r="E79" i="55"/>
  <c r="F79" i="55"/>
  <c r="G79" i="55"/>
  <c r="H79" i="55"/>
  <c r="I79" i="55"/>
  <c r="J79" i="55"/>
  <c r="K79" i="55"/>
  <c r="L79" i="55"/>
  <c r="M79" i="55"/>
  <c r="N79" i="55"/>
  <c r="D80" i="55"/>
  <c r="E80" i="55"/>
  <c r="F80" i="55"/>
  <c r="G80" i="55"/>
  <c r="H80" i="55"/>
  <c r="I80" i="55"/>
  <c r="J80" i="55"/>
  <c r="K80" i="55"/>
  <c r="L80" i="55"/>
  <c r="M80" i="55"/>
  <c r="N80" i="55"/>
  <c r="D81" i="55"/>
  <c r="E81" i="55"/>
  <c r="F81" i="55"/>
  <c r="G81" i="55"/>
  <c r="H81" i="55"/>
  <c r="I81" i="55"/>
  <c r="J81" i="55"/>
  <c r="K81" i="55"/>
  <c r="L81" i="55"/>
  <c r="M81" i="55"/>
  <c r="N81" i="55"/>
  <c r="D82" i="55"/>
  <c r="E82" i="55"/>
  <c r="F82" i="55"/>
  <c r="G82" i="55"/>
  <c r="H82" i="55"/>
  <c r="I82" i="55"/>
  <c r="J82" i="55"/>
  <c r="K82" i="55"/>
  <c r="L82" i="55"/>
  <c r="M82" i="55"/>
  <c r="N82" i="55"/>
  <c r="D83" i="55"/>
  <c r="E83" i="55"/>
  <c r="F83" i="55"/>
  <c r="G83" i="55"/>
  <c r="H83" i="55"/>
  <c r="I83" i="55"/>
  <c r="J83" i="55"/>
  <c r="K83" i="55"/>
  <c r="L83" i="55"/>
  <c r="M83" i="55"/>
  <c r="N83" i="55"/>
  <c r="D84" i="55"/>
  <c r="E84" i="55"/>
  <c r="F84" i="55"/>
  <c r="G84" i="55"/>
  <c r="H84" i="55"/>
  <c r="I84" i="55"/>
  <c r="J84" i="55"/>
  <c r="K84" i="55"/>
  <c r="L84" i="55"/>
  <c r="M84" i="55"/>
  <c r="N84" i="55"/>
  <c r="D85" i="55"/>
  <c r="E85" i="55"/>
  <c r="F85" i="55"/>
  <c r="G85" i="55"/>
  <c r="H85" i="55"/>
  <c r="I85" i="55"/>
  <c r="J85" i="55"/>
  <c r="K85" i="55"/>
  <c r="L85" i="55"/>
  <c r="M85" i="55"/>
  <c r="N85" i="55"/>
  <c r="D86" i="55"/>
  <c r="E86" i="55"/>
  <c r="F86" i="55"/>
  <c r="G86" i="55"/>
  <c r="H86" i="55"/>
  <c r="I86" i="55"/>
  <c r="J86" i="55"/>
  <c r="K86" i="55"/>
  <c r="L86" i="55"/>
  <c r="M86" i="55"/>
  <c r="N86" i="55"/>
  <c r="D87" i="55"/>
  <c r="E87" i="55"/>
  <c r="F87" i="55"/>
  <c r="G87" i="55"/>
  <c r="H87" i="55"/>
  <c r="I87" i="55"/>
  <c r="J87" i="55"/>
  <c r="K87" i="55"/>
  <c r="L87" i="55"/>
  <c r="M87" i="55"/>
  <c r="N87" i="55"/>
  <c r="D88" i="55"/>
  <c r="E88" i="55"/>
  <c r="F88" i="55"/>
  <c r="G88" i="55"/>
  <c r="H88" i="55"/>
  <c r="I88" i="55"/>
  <c r="J88" i="55"/>
  <c r="K88" i="55"/>
  <c r="L88" i="55"/>
  <c r="M88" i="55"/>
  <c r="N88" i="55"/>
  <c r="D89" i="55"/>
  <c r="E89" i="55"/>
  <c r="F89" i="55"/>
  <c r="G89" i="55"/>
  <c r="H89" i="55"/>
  <c r="I89" i="55"/>
  <c r="J89" i="55"/>
  <c r="K89" i="55"/>
  <c r="L89" i="55"/>
  <c r="M89" i="55"/>
  <c r="N89" i="55"/>
  <c r="D90" i="55"/>
  <c r="E90" i="55"/>
  <c r="F90" i="55"/>
  <c r="G90" i="55"/>
  <c r="H90" i="55"/>
  <c r="I90" i="55"/>
  <c r="J90" i="55"/>
  <c r="K90" i="55"/>
  <c r="L90" i="55"/>
  <c r="M90" i="55"/>
  <c r="N90" i="55"/>
  <c r="D91" i="55"/>
  <c r="E91" i="55"/>
  <c r="F91" i="55"/>
  <c r="G91" i="55"/>
  <c r="H91" i="55"/>
  <c r="I91" i="55"/>
  <c r="J91" i="55"/>
  <c r="K91" i="55"/>
  <c r="L91" i="55"/>
  <c r="M91" i="55"/>
  <c r="N91" i="55"/>
  <c r="D92" i="55"/>
  <c r="E92" i="55"/>
  <c r="F92" i="55"/>
  <c r="G92" i="55"/>
  <c r="H92" i="55"/>
  <c r="I92" i="55"/>
  <c r="J92" i="55"/>
  <c r="K92" i="55"/>
  <c r="L92" i="55"/>
  <c r="M92" i="55"/>
  <c r="N92" i="55"/>
  <c r="D93" i="55"/>
  <c r="E93" i="55"/>
  <c r="F93" i="55"/>
  <c r="G93" i="55"/>
  <c r="H93" i="55"/>
  <c r="I93" i="55"/>
  <c r="J93" i="55"/>
  <c r="K93" i="55"/>
  <c r="L93" i="55"/>
  <c r="M93" i="55"/>
  <c r="N93" i="55"/>
  <c r="D94" i="55"/>
  <c r="E94" i="55"/>
  <c r="F94" i="55"/>
  <c r="G94" i="55"/>
  <c r="H94" i="55"/>
  <c r="I94" i="55"/>
  <c r="J94" i="55"/>
  <c r="K94" i="55"/>
  <c r="L94" i="55"/>
  <c r="M94" i="55"/>
  <c r="N94" i="55"/>
  <c r="D19" i="55"/>
  <c r="E19" i="55"/>
  <c r="F19" i="55"/>
  <c r="G19" i="55"/>
  <c r="H19" i="55"/>
  <c r="I19" i="55"/>
  <c r="J19" i="55"/>
  <c r="K19" i="55"/>
  <c r="L19" i="55"/>
  <c r="M19" i="55"/>
  <c r="N19" i="55"/>
  <c r="D20" i="55"/>
  <c r="E20" i="55"/>
  <c r="F20" i="55"/>
  <c r="G20" i="55"/>
  <c r="H20" i="55"/>
  <c r="I20" i="55"/>
  <c r="J20" i="55"/>
  <c r="K20" i="55"/>
  <c r="L20" i="55"/>
  <c r="M20" i="55"/>
  <c r="N20" i="55"/>
  <c r="D21" i="55"/>
  <c r="E21" i="55"/>
  <c r="F21" i="55"/>
  <c r="G21" i="55"/>
  <c r="H21" i="55"/>
  <c r="I21" i="55"/>
  <c r="J21" i="55"/>
  <c r="K21" i="55"/>
  <c r="L21" i="55"/>
  <c r="M21" i="55"/>
  <c r="N21" i="55"/>
  <c r="D22" i="55"/>
  <c r="E22" i="55"/>
  <c r="F22" i="55"/>
  <c r="G22" i="55"/>
  <c r="H22" i="55"/>
  <c r="I22" i="55"/>
  <c r="J22" i="55"/>
  <c r="K22" i="55"/>
  <c r="L22" i="55"/>
  <c r="M22" i="55"/>
  <c r="N22" i="55"/>
  <c r="D23" i="55"/>
  <c r="E23" i="55"/>
  <c r="F23" i="55"/>
  <c r="G23" i="55"/>
  <c r="H23" i="55"/>
  <c r="I23" i="55"/>
  <c r="J23" i="55"/>
  <c r="K23" i="55"/>
  <c r="L23" i="55"/>
  <c r="M23" i="55"/>
  <c r="N23" i="55"/>
  <c r="D24" i="55"/>
  <c r="E24" i="55"/>
  <c r="F24" i="55"/>
  <c r="G24" i="55"/>
  <c r="H24" i="55"/>
  <c r="I24" i="55"/>
  <c r="J24" i="55"/>
  <c r="K24" i="55"/>
  <c r="L24" i="55"/>
  <c r="M24" i="55"/>
  <c r="N24" i="55"/>
  <c r="D25" i="55"/>
  <c r="E25" i="55"/>
  <c r="F25" i="55"/>
  <c r="G25" i="55"/>
  <c r="H25" i="55"/>
  <c r="I25" i="55"/>
  <c r="J25" i="55"/>
  <c r="K25" i="55"/>
  <c r="L25" i="55"/>
  <c r="M25" i="55"/>
  <c r="N25" i="55"/>
  <c r="D26" i="55"/>
  <c r="E26" i="55"/>
  <c r="F26" i="55"/>
  <c r="G26" i="55"/>
  <c r="H26" i="55"/>
  <c r="I26" i="55"/>
  <c r="J26" i="55"/>
  <c r="K26" i="55"/>
  <c r="L26" i="55"/>
  <c r="M26" i="55"/>
  <c r="N26" i="55"/>
  <c r="D27" i="55"/>
  <c r="E27" i="55"/>
  <c r="F27" i="55"/>
  <c r="G27" i="55"/>
  <c r="H27" i="55"/>
  <c r="I27" i="55"/>
  <c r="J27" i="55"/>
  <c r="K27" i="55"/>
  <c r="L27" i="55"/>
  <c r="M27" i="55"/>
  <c r="N27" i="55"/>
  <c r="D28" i="55"/>
  <c r="E28" i="55"/>
  <c r="F28" i="55"/>
  <c r="G28" i="55"/>
  <c r="H28" i="55"/>
  <c r="I28" i="55"/>
  <c r="J28" i="55"/>
  <c r="K28" i="55"/>
  <c r="L28" i="55"/>
  <c r="M28" i="55"/>
  <c r="N28" i="55"/>
  <c r="D29" i="55"/>
  <c r="E29" i="55"/>
  <c r="F29" i="55"/>
  <c r="G29" i="55"/>
  <c r="H29" i="55"/>
  <c r="I29" i="55"/>
  <c r="J29" i="55"/>
  <c r="K29" i="55"/>
  <c r="L29" i="55"/>
  <c r="M29" i="55"/>
  <c r="N29" i="55"/>
  <c r="D30" i="55"/>
  <c r="E30" i="55"/>
  <c r="F30" i="55"/>
  <c r="G30" i="55"/>
  <c r="H30" i="55"/>
  <c r="I30" i="55"/>
  <c r="J30" i="55"/>
  <c r="K30" i="55"/>
  <c r="L30" i="55"/>
  <c r="M30" i="55"/>
  <c r="N30" i="55"/>
  <c r="D31" i="55"/>
  <c r="E31" i="55"/>
  <c r="F31" i="55"/>
  <c r="G31" i="55"/>
  <c r="H31" i="55"/>
  <c r="I31" i="55"/>
  <c r="J31" i="55"/>
  <c r="K31" i="55"/>
  <c r="L31" i="55"/>
  <c r="M31" i="55"/>
  <c r="N31" i="55"/>
  <c r="D32" i="55"/>
  <c r="E32" i="55"/>
  <c r="F32" i="55"/>
  <c r="G32" i="55"/>
  <c r="H32" i="55"/>
  <c r="I32" i="55"/>
  <c r="J32" i="55"/>
  <c r="K32" i="55"/>
  <c r="L32" i="55"/>
  <c r="M32" i="55"/>
  <c r="N32" i="55"/>
  <c r="D33" i="55"/>
  <c r="E33" i="55"/>
  <c r="F33" i="55"/>
  <c r="G33" i="55"/>
  <c r="H33" i="55"/>
  <c r="I33" i="55"/>
  <c r="J33" i="55"/>
  <c r="K33" i="55"/>
  <c r="L33" i="55"/>
  <c r="M33" i="55"/>
  <c r="N33" i="55"/>
  <c r="D34" i="55"/>
  <c r="E34" i="55"/>
  <c r="F34" i="55"/>
  <c r="G34" i="55"/>
  <c r="H34" i="55"/>
  <c r="I34" i="55"/>
  <c r="J34" i="55"/>
  <c r="K34" i="55"/>
  <c r="L34" i="55"/>
  <c r="M34" i="55"/>
  <c r="N34" i="55"/>
  <c r="D35" i="55"/>
  <c r="E35" i="55"/>
  <c r="F35" i="55"/>
  <c r="G35" i="55"/>
  <c r="H35" i="55"/>
  <c r="I35" i="55"/>
  <c r="J35" i="55"/>
  <c r="K35" i="55"/>
  <c r="L35" i="55"/>
  <c r="M35" i="55"/>
  <c r="N35" i="55"/>
  <c r="D36" i="55"/>
  <c r="E36" i="55"/>
  <c r="F36" i="55"/>
  <c r="G36" i="55"/>
  <c r="H36" i="55"/>
  <c r="I36" i="55"/>
  <c r="J36" i="55"/>
  <c r="K36" i="55"/>
  <c r="L36" i="55"/>
  <c r="M36" i="55"/>
  <c r="N36" i="55"/>
  <c r="D37" i="55"/>
  <c r="E37" i="55"/>
  <c r="F37" i="55"/>
  <c r="G37" i="55"/>
  <c r="H37" i="55"/>
  <c r="I37" i="55"/>
  <c r="J37" i="55"/>
  <c r="K37" i="55"/>
  <c r="L37" i="55"/>
  <c r="M37" i="55"/>
  <c r="N37" i="55"/>
  <c r="D38" i="55"/>
  <c r="E38" i="55"/>
  <c r="F38" i="55"/>
  <c r="G38" i="55"/>
  <c r="H38" i="55"/>
  <c r="I38" i="55"/>
  <c r="J38" i="55"/>
  <c r="K38" i="55"/>
  <c r="L38" i="55"/>
  <c r="M38" i="55"/>
  <c r="N38" i="55"/>
  <c r="D39" i="55"/>
  <c r="E39" i="55"/>
  <c r="F39" i="55"/>
  <c r="G39" i="55"/>
  <c r="H39" i="55"/>
  <c r="I39" i="55"/>
  <c r="J39" i="55"/>
  <c r="K39" i="55"/>
  <c r="L39" i="55"/>
  <c r="M39" i="55"/>
  <c r="N39" i="55"/>
  <c r="D40" i="55"/>
  <c r="E40" i="55"/>
  <c r="F40" i="55"/>
  <c r="G40" i="55"/>
  <c r="H40" i="55"/>
  <c r="I40" i="55"/>
  <c r="J40" i="55"/>
  <c r="K40" i="55"/>
  <c r="L40" i="55"/>
  <c r="M40" i="55"/>
  <c r="N40" i="55"/>
  <c r="D41" i="55"/>
  <c r="E41" i="55"/>
  <c r="F41" i="55"/>
  <c r="G41" i="55"/>
  <c r="H41" i="55"/>
  <c r="I41" i="55"/>
  <c r="J41" i="55"/>
  <c r="K41" i="55"/>
  <c r="L41" i="55"/>
  <c r="M41" i="55"/>
  <c r="N41" i="55"/>
  <c r="D42" i="55"/>
  <c r="E42" i="55"/>
  <c r="F42" i="55"/>
  <c r="G42" i="55"/>
  <c r="H42" i="55"/>
  <c r="I42" i="55"/>
  <c r="J42" i="55"/>
  <c r="K42" i="55"/>
  <c r="L42" i="55"/>
  <c r="M42" i="55"/>
  <c r="N42" i="55"/>
  <c r="D43" i="55"/>
  <c r="E43" i="55"/>
  <c r="F43" i="55"/>
  <c r="G43" i="55"/>
  <c r="H43" i="55"/>
  <c r="I43" i="55"/>
  <c r="J43" i="55"/>
  <c r="K43" i="55"/>
  <c r="L43" i="55"/>
  <c r="M43" i="55"/>
  <c r="N43" i="55"/>
  <c r="D44" i="55"/>
  <c r="E44" i="55"/>
  <c r="F44" i="55"/>
  <c r="G44" i="55"/>
  <c r="H44" i="55"/>
  <c r="I44" i="55"/>
  <c r="J44" i="55"/>
  <c r="K44" i="55"/>
  <c r="L44" i="55"/>
  <c r="M44" i="55"/>
  <c r="N44" i="55"/>
  <c r="D45" i="55"/>
  <c r="E45" i="55"/>
  <c r="F45" i="55"/>
  <c r="G45" i="55"/>
  <c r="H45" i="55"/>
  <c r="I45" i="55"/>
  <c r="J45" i="55"/>
  <c r="K45" i="55"/>
  <c r="L45" i="55"/>
  <c r="M45" i="55"/>
  <c r="N45" i="55"/>
  <c r="D46" i="55"/>
  <c r="E46" i="55"/>
  <c r="F46" i="55"/>
  <c r="G46" i="55"/>
  <c r="H46" i="55"/>
  <c r="I46" i="55"/>
  <c r="J46" i="55"/>
  <c r="K46" i="55"/>
  <c r="L46" i="55"/>
  <c r="M46" i="55"/>
  <c r="N46" i="55"/>
  <c r="D47" i="55"/>
  <c r="E47" i="55"/>
  <c r="F47" i="55"/>
  <c r="G47" i="55"/>
  <c r="H47" i="55"/>
  <c r="I47" i="55"/>
  <c r="J47" i="55"/>
  <c r="K47" i="55"/>
  <c r="L47" i="55"/>
  <c r="M47" i="55"/>
  <c r="N47" i="55"/>
  <c r="D48" i="55"/>
  <c r="E48" i="55"/>
  <c r="F48" i="55"/>
  <c r="G48" i="55"/>
  <c r="H48" i="55"/>
  <c r="I48" i="55"/>
  <c r="J48" i="55"/>
  <c r="K48" i="55"/>
  <c r="L48" i="55"/>
  <c r="M48" i="55"/>
  <c r="N48" i="55"/>
  <c r="D49" i="55"/>
  <c r="E49" i="55"/>
  <c r="F49" i="55"/>
  <c r="G49" i="55"/>
  <c r="H49" i="55"/>
  <c r="I49" i="55"/>
  <c r="J49" i="55"/>
  <c r="K49" i="55"/>
  <c r="L49" i="55"/>
  <c r="M49" i="55"/>
  <c r="N49" i="55"/>
  <c r="D50" i="55"/>
  <c r="E50" i="55"/>
  <c r="F50" i="55"/>
  <c r="G50" i="55"/>
  <c r="H50" i="55"/>
  <c r="I50" i="55"/>
  <c r="J50" i="55"/>
  <c r="K50" i="55"/>
  <c r="L50" i="55"/>
  <c r="M50" i="55"/>
  <c r="N50" i="55"/>
  <c r="D51" i="55"/>
  <c r="E51" i="55"/>
  <c r="F51" i="55"/>
  <c r="G51" i="55"/>
  <c r="H51" i="55"/>
  <c r="I51" i="55"/>
  <c r="J51" i="55"/>
  <c r="K51" i="55"/>
  <c r="L51" i="55"/>
  <c r="M51" i="55"/>
  <c r="N51" i="55"/>
  <c r="D52" i="55"/>
  <c r="E52" i="55"/>
  <c r="F52" i="55"/>
  <c r="G52" i="55"/>
  <c r="H52" i="55"/>
  <c r="I52" i="55"/>
  <c r="J52" i="55"/>
  <c r="K52" i="55"/>
  <c r="L52" i="55"/>
  <c r="M52" i="55"/>
  <c r="N52" i="55"/>
  <c r="D53" i="55"/>
  <c r="E53" i="55"/>
  <c r="F53" i="55"/>
  <c r="G53" i="55"/>
  <c r="H53" i="55"/>
  <c r="I53" i="55"/>
  <c r="J53" i="55"/>
  <c r="K53" i="55"/>
  <c r="L53" i="55"/>
  <c r="M53" i="55"/>
  <c r="N53" i="55"/>
  <c r="D54" i="55"/>
  <c r="E54" i="55"/>
  <c r="F54" i="55"/>
  <c r="G54" i="55"/>
  <c r="H54" i="55"/>
  <c r="I54" i="55"/>
  <c r="J54" i="55"/>
  <c r="K54" i="55"/>
  <c r="L54" i="55"/>
  <c r="M54" i="55"/>
  <c r="N54" i="55"/>
  <c r="D55" i="55"/>
  <c r="E55" i="55"/>
  <c r="F55" i="55"/>
  <c r="G55" i="55"/>
  <c r="H55" i="55"/>
  <c r="I55" i="55"/>
  <c r="J55" i="55"/>
  <c r="K55" i="55"/>
  <c r="L55" i="55"/>
  <c r="M55" i="55"/>
  <c r="N55" i="55"/>
  <c r="D56" i="55"/>
  <c r="E56" i="55"/>
  <c r="F56" i="55"/>
  <c r="G56" i="55"/>
  <c r="H56" i="55"/>
  <c r="I56" i="55"/>
  <c r="J56" i="55"/>
  <c r="K56" i="55"/>
  <c r="L56" i="55"/>
  <c r="M56" i="55"/>
  <c r="N56" i="55"/>
  <c r="D57" i="55"/>
  <c r="E57" i="55"/>
  <c r="F57" i="55"/>
  <c r="G57" i="55"/>
  <c r="H57" i="55"/>
  <c r="I57" i="55"/>
  <c r="J57" i="55"/>
  <c r="K57" i="55"/>
  <c r="L57" i="55"/>
  <c r="M57" i="55"/>
  <c r="N57" i="55"/>
  <c r="D58" i="55"/>
  <c r="E58" i="55"/>
  <c r="F58" i="55"/>
  <c r="G58" i="55"/>
  <c r="H58" i="55"/>
  <c r="I58" i="55"/>
  <c r="J58" i="55"/>
  <c r="K58" i="55"/>
  <c r="L58" i="55"/>
  <c r="M58" i="55"/>
  <c r="N58" i="55"/>
  <c r="D59" i="55"/>
  <c r="E59" i="55"/>
  <c r="F59" i="55"/>
  <c r="G59" i="55"/>
  <c r="H59" i="55"/>
  <c r="I59" i="55"/>
  <c r="J59" i="55"/>
  <c r="K59" i="55"/>
  <c r="L59" i="55"/>
  <c r="M59" i="55"/>
  <c r="N59" i="55"/>
  <c r="D60" i="55"/>
  <c r="E60" i="55"/>
  <c r="F60" i="55"/>
  <c r="G60" i="55"/>
  <c r="H60" i="55"/>
  <c r="I60" i="55"/>
  <c r="J60" i="55"/>
  <c r="K60" i="55"/>
  <c r="L60" i="55"/>
  <c r="M60" i="55"/>
  <c r="N60" i="55"/>
  <c r="D61" i="55"/>
  <c r="E61" i="55"/>
  <c r="F61" i="55"/>
  <c r="G61" i="55"/>
  <c r="H61" i="55"/>
  <c r="I61" i="55"/>
  <c r="J61" i="55"/>
  <c r="K61" i="55"/>
  <c r="L61" i="55"/>
  <c r="M61" i="55"/>
  <c r="N61" i="55"/>
  <c r="D62" i="55"/>
  <c r="E62" i="55"/>
  <c r="F62" i="55"/>
  <c r="G62" i="55"/>
  <c r="H62" i="55"/>
  <c r="I62" i="55"/>
  <c r="J62" i="55"/>
  <c r="K62" i="55"/>
  <c r="L62" i="55"/>
  <c r="M62" i="55"/>
  <c r="N62" i="55"/>
  <c r="A8" i="55"/>
  <c r="AB94" i="55"/>
  <c r="AA94" i="55"/>
  <c r="Z94" i="55"/>
  <c r="U94" i="55"/>
  <c r="T94" i="55"/>
  <c r="S94" i="55"/>
  <c r="R94" i="55"/>
  <c r="C94" i="55"/>
  <c r="B94" i="55"/>
  <c r="A94" i="55"/>
  <c r="AB93" i="55"/>
  <c r="AA93" i="55"/>
  <c r="Z93" i="55"/>
  <c r="U93" i="55"/>
  <c r="T93" i="55"/>
  <c r="S93" i="55"/>
  <c r="R93" i="55"/>
  <c r="C93" i="55"/>
  <c r="B93" i="55"/>
  <c r="A93" i="55"/>
  <c r="AB92" i="55"/>
  <c r="AA92" i="55"/>
  <c r="Z92" i="55"/>
  <c r="U92" i="55"/>
  <c r="T92" i="55"/>
  <c r="S92" i="55"/>
  <c r="R92" i="55"/>
  <c r="C92" i="55"/>
  <c r="B92" i="55"/>
  <c r="A92" i="55"/>
  <c r="AB91" i="55"/>
  <c r="AA91" i="55"/>
  <c r="Z91" i="55"/>
  <c r="U91" i="55"/>
  <c r="T91" i="55"/>
  <c r="S91" i="55"/>
  <c r="R91" i="55"/>
  <c r="C91" i="55"/>
  <c r="B91" i="55"/>
  <c r="A91" i="55"/>
  <c r="AB90" i="55"/>
  <c r="AA90" i="55"/>
  <c r="Z90" i="55"/>
  <c r="U90" i="55"/>
  <c r="T90" i="55"/>
  <c r="S90" i="55"/>
  <c r="R90" i="55"/>
  <c r="C90" i="55"/>
  <c r="B90" i="55"/>
  <c r="A90" i="55"/>
  <c r="AB89" i="55"/>
  <c r="AA89" i="55"/>
  <c r="Z89" i="55"/>
  <c r="U89" i="55"/>
  <c r="T89" i="55"/>
  <c r="S89" i="55"/>
  <c r="R89" i="55"/>
  <c r="C89" i="55"/>
  <c r="B89" i="55"/>
  <c r="A89" i="55"/>
  <c r="AB88" i="55"/>
  <c r="AA88" i="55"/>
  <c r="Z88" i="55"/>
  <c r="U88" i="55"/>
  <c r="T88" i="55"/>
  <c r="S88" i="55"/>
  <c r="R88" i="55"/>
  <c r="C88" i="55"/>
  <c r="B88" i="55"/>
  <c r="A88" i="55"/>
  <c r="AB87" i="55"/>
  <c r="AA87" i="55"/>
  <c r="Z87" i="55"/>
  <c r="U87" i="55"/>
  <c r="T87" i="55"/>
  <c r="S87" i="55"/>
  <c r="R87" i="55"/>
  <c r="C87" i="55"/>
  <c r="B87" i="55"/>
  <c r="A87" i="55"/>
  <c r="AB86" i="55"/>
  <c r="AA86" i="55"/>
  <c r="Z86" i="55"/>
  <c r="U86" i="55"/>
  <c r="T86" i="55"/>
  <c r="S86" i="55"/>
  <c r="R86" i="55"/>
  <c r="C86" i="55"/>
  <c r="B86" i="55"/>
  <c r="A86" i="55"/>
  <c r="AB85" i="55"/>
  <c r="AA85" i="55"/>
  <c r="Z85" i="55"/>
  <c r="U85" i="55"/>
  <c r="T85" i="55"/>
  <c r="S85" i="55"/>
  <c r="R85" i="55"/>
  <c r="C85" i="55"/>
  <c r="B85" i="55"/>
  <c r="A85" i="55"/>
  <c r="AB84" i="55"/>
  <c r="AA84" i="55"/>
  <c r="Z84" i="55"/>
  <c r="U84" i="55"/>
  <c r="T84" i="55"/>
  <c r="S84" i="55"/>
  <c r="R84" i="55"/>
  <c r="C84" i="55"/>
  <c r="B84" i="55"/>
  <c r="A84" i="55"/>
  <c r="AB83" i="55"/>
  <c r="AA83" i="55"/>
  <c r="Z83" i="55"/>
  <c r="U83" i="55"/>
  <c r="T83" i="55"/>
  <c r="S83" i="55"/>
  <c r="R83" i="55"/>
  <c r="C83" i="55"/>
  <c r="B83" i="55"/>
  <c r="A83" i="55"/>
  <c r="AB82" i="55"/>
  <c r="AA82" i="55"/>
  <c r="Z82" i="55"/>
  <c r="U82" i="55"/>
  <c r="T82" i="55"/>
  <c r="S82" i="55"/>
  <c r="R82" i="55"/>
  <c r="C82" i="55"/>
  <c r="B82" i="55"/>
  <c r="A82" i="55"/>
  <c r="AB81" i="55"/>
  <c r="AA81" i="55"/>
  <c r="Z81" i="55"/>
  <c r="U81" i="55"/>
  <c r="T81" i="55"/>
  <c r="S81" i="55"/>
  <c r="R81" i="55"/>
  <c r="C81" i="55"/>
  <c r="B81" i="55"/>
  <c r="A81" i="55"/>
  <c r="AB80" i="55"/>
  <c r="AA80" i="55"/>
  <c r="Z80" i="55"/>
  <c r="U80" i="55"/>
  <c r="T80" i="55"/>
  <c r="S80" i="55"/>
  <c r="R80" i="55"/>
  <c r="C80" i="55"/>
  <c r="B80" i="55"/>
  <c r="A80" i="55"/>
  <c r="AB79" i="55"/>
  <c r="AA79" i="55"/>
  <c r="Z79" i="55"/>
  <c r="U79" i="55"/>
  <c r="T79" i="55"/>
  <c r="S79" i="55"/>
  <c r="R79" i="55"/>
  <c r="C79" i="55"/>
  <c r="B79" i="55"/>
  <c r="A79" i="55"/>
  <c r="AB78" i="55"/>
  <c r="AA78" i="55"/>
  <c r="Z78" i="55"/>
  <c r="U78" i="55"/>
  <c r="T78" i="55"/>
  <c r="S78" i="55"/>
  <c r="R78" i="55"/>
  <c r="C78" i="55"/>
  <c r="B78" i="55"/>
  <c r="A78" i="55"/>
  <c r="AB77" i="55"/>
  <c r="AA77" i="55"/>
  <c r="Z77" i="55"/>
  <c r="U77" i="55"/>
  <c r="T77" i="55"/>
  <c r="S77" i="55"/>
  <c r="R77" i="55"/>
  <c r="C77" i="55"/>
  <c r="B77" i="55"/>
  <c r="A77" i="55"/>
  <c r="AB76" i="55"/>
  <c r="AA76" i="55"/>
  <c r="Z76" i="55"/>
  <c r="U76" i="55"/>
  <c r="T76" i="55"/>
  <c r="S76" i="55"/>
  <c r="R76" i="55"/>
  <c r="C76" i="55"/>
  <c r="B76" i="55"/>
  <c r="A76" i="55"/>
  <c r="AB75" i="55"/>
  <c r="AA75" i="55"/>
  <c r="Z75" i="55"/>
  <c r="U75" i="55"/>
  <c r="T75" i="55"/>
  <c r="S75" i="55"/>
  <c r="R75" i="55"/>
  <c r="C75" i="55"/>
  <c r="B75" i="55"/>
  <c r="A75" i="55"/>
  <c r="AB74" i="55"/>
  <c r="AA74" i="55"/>
  <c r="Z74" i="55"/>
  <c r="U74" i="55"/>
  <c r="T74" i="55"/>
  <c r="S74" i="55"/>
  <c r="R74" i="55"/>
  <c r="C74" i="55"/>
  <c r="B74" i="55"/>
  <c r="A74" i="55"/>
  <c r="AB73" i="55"/>
  <c r="AA73" i="55"/>
  <c r="Z73" i="55"/>
  <c r="U73" i="55"/>
  <c r="T73" i="55"/>
  <c r="S73" i="55"/>
  <c r="R73" i="55"/>
  <c r="C73" i="55"/>
  <c r="B73" i="55"/>
  <c r="A73" i="55"/>
  <c r="AB72" i="55"/>
  <c r="AA72" i="55"/>
  <c r="Z72" i="55"/>
  <c r="U72" i="55"/>
  <c r="T72" i="55"/>
  <c r="S72" i="55"/>
  <c r="R72" i="55"/>
  <c r="C72" i="55"/>
  <c r="B72" i="55"/>
  <c r="A72" i="55"/>
  <c r="AB71" i="55"/>
  <c r="AA71" i="55"/>
  <c r="Z71" i="55"/>
  <c r="U71" i="55"/>
  <c r="T71" i="55"/>
  <c r="S71" i="55"/>
  <c r="R71" i="55"/>
  <c r="C71" i="55"/>
  <c r="B71" i="55"/>
  <c r="A71" i="55"/>
  <c r="AB70" i="55"/>
  <c r="AA70" i="55"/>
  <c r="Z70" i="55"/>
  <c r="U70" i="55"/>
  <c r="T70" i="55"/>
  <c r="S70" i="55"/>
  <c r="R70" i="55"/>
  <c r="C70" i="55"/>
  <c r="B70" i="55"/>
  <c r="A70" i="55"/>
  <c r="AB69" i="55"/>
  <c r="AA69" i="55"/>
  <c r="Z69" i="55"/>
  <c r="U69" i="55"/>
  <c r="T69" i="55"/>
  <c r="S69" i="55"/>
  <c r="R69" i="55"/>
  <c r="C69" i="55"/>
  <c r="B69" i="55"/>
  <c r="A69" i="55"/>
  <c r="AB68" i="55"/>
  <c r="AA68" i="55"/>
  <c r="Z68" i="55"/>
  <c r="U68" i="55"/>
  <c r="T68" i="55"/>
  <c r="S68" i="55"/>
  <c r="R68" i="55"/>
  <c r="C68" i="55"/>
  <c r="B68" i="55"/>
  <c r="A68" i="55"/>
  <c r="AB67" i="55"/>
  <c r="AA67" i="55"/>
  <c r="Z67" i="55"/>
  <c r="U67" i="55"/>
  <c r="T67" i="55"/>
  <c r="S67" i="55"/>
  <c r="R67" i="55"/>
  <c r="C67" i="55"/>
  <c r="B67" i="55"/>
  <c r="A67" i="55"/>
  <c r="AB66" i="55"/>
  <c r="AA66" i="55"/>
  <c r="Z66" i="55"/>
  <c r="U66" i="55"/>
  <c r="T66" i="55"/>
  <c r="S66" i="55"/>
  <c r="R66" i="55"/>
  <c r="C66" i="55"/>
  <c r="B66" i="55"/>
  <c r="A66" i="55"/>
  <c r="AB65" i="55"/>
  <c r="AA65" i="55"/>
  <c r="Z65" i="55"/>
  <c r="U65" i="55"/>
  <c r="T65" i="55"/>
  <c r="S65" i="55"/>
  <c r="R65" i="55"/>
  <c r="C65" i="55"/>
  <c r="B65" i="55"/>
  <c r="A65" i="55"/>
  <c r="AB64" i="55"/>
  <c r="AA64" i="55"/>
  <c r="Z64" i="55"/>
  <c r="U64" i="55"/>
  <c r="T64" i="55"/>
  <c r="S64" i="55"/>
  <c r="R64" i="55"/>
  <c r="C64" i="55"/>
  <c r="B64" i="55"/>
  <c r="A64" i="55"/>
  <c r="AB63" i="55"/>
  <c r="AA63" i="55"/>
  <c r="Z63" i="55"/>
  <c r="U63" i="55"/>
  <c r="T63" i="55"/>
  <c r="S63" i="55"/>
  <c r="R63" i="55"/>
  <c r="C63" i="55"/>
  <c r="B63" i="55"/>
  <c r="A63" i="55"/>
  <c r="AB62" i="55"/>
  <c r="AA62" i="55"/>
  <c r="Z62" i="55"/>
  <c r="U62" i="55"/>
  <c r="T62" i="55"/>
  <c r="S62" i="55"/>
  <c r="R62" i="55"/>
  <c r="C62" i="55"/>
  <c r="B62" i="55"/>
  <c r="A62" i="55"/>
  <c r="AB61" i="55"/>
  <c r="AA61" i="55"/>
  <c r="Z61" i="55"/>
  <c r="U61" i="55"/>
  <c r="T61" i="55"/>
  <c r="S61" i="55"/>
  <c r="R61" i="55"/>
  <c r="C61" i="55"/>
  <c r="B61" i="55"/>
  <c r="A61" i="55"/>
  <c r="AB60" i="55"/>
  <c r="AA60" i="55"/>
  <c r="Z60" i="55"/>
  <c r="U60" i="55"/>
  <c r="T60" i="55"/>
  <c r="S60" i="55"/>
  <c r="R60" i="55"/>
  <c r="C60" i="55"/>
  <c r="B60" i="55"/>
  <c r="A60" i="55"/>
  <c r="AB59" i="55"/>
  <c r="AA59" i="55"/>
  <c r="Z59" i="55"/>
  <c r="U59" i="55"/>
  <c r="T59" i="55"/>
  <c r="S59" i="55"/>
  <c r="R59" i="55"/>
  <c r="C59" i="55"/>
  <c r="B59" i="55"/>
  <c r="A59" i="55"/>
  <c r="AB58" i="55"/>
  <c r="AA58" i="55"/>
  <c r="Z58" i="55"/>
  <c r="U58" i="55"/>
  <c r="T58" i="55"/>
  <c r="S58" i="55"/>
  <c r="R58" i="55"/>
  <c r="C58" i="55"/>
  <c r="B58" i="55"/>
  <c r="A58" i="55"/>
  <c r="AB57" i="55"/>
  <c r="AA57" i="55"/>
  <c r="Z57" i="55"/>
  <c r="U57" i="55"/>
  <c r="T57" i="55"/>
  <c r="S57" i="55"/>
  <c r="R57" i="55"/>
  <c r="C57" i="55"/>
  <c r="B57" i="55"/>
  <c r="A57" i="55"/>
  <c r="AB56" i="55"/>
  <c r="AA56" i="55"/>
  <c r="Z56" i="55"/>
  <c r="U56" i="55"/>
  <c r="T56" i="55"/>
  <c r="S56" i="55"/>
  <c r="R56" i="55"/>
  <c r="C56" i="55"/>
  <c r="B56" i="55"/>
  <c r="A56" i="55"/>
  <c r="AB55" i="55"/>
  <c r="AA55" i="55"/>
  <c r="Z55" i="55"/>
  <c r="U55" i="55"/>
  <c r="T55" i="55"/>
  <c r="S55" i="55"/>
  <c r="R55" i="55"/>
  <c r="C55" i="55"/>
  <c r="B55" i="55"/>
  <c r="A55" i="55"/>
  <c r="AB54" i="55"/>
  <c r="AA54" i="55"/>
  <c r="Z54" i="55"/>
  <c r="U54" i="55"/>
  <c r="T54" i="55"/>
  <c r="S54" i="55"/>
  <c r="R54" i="55"/>
  <c r="C54" i="55"/>
  <c r="B54" i="55"/>
  <c r="A54" i="55"/>
  <c r="AB53" i="55"/>
  <c r="AA53" i="55"/>
  <c r="Z53" i="55"/>
  <c r="U53" i="55"/>
  <c r="T53" i="55"/>
  <c r="S53" i="55"/>
  <c r="R53" i="55"/>
  <c r="C53" i="55"/>
  <c r="B53" i="55"/>
  <c r="A53" i="55"/>
  <c r="AB52" i="55"/>
  <c r="AA52" i="55"/>
  <c r="Z52" i="55"/>
  <c r="U52" i="55"/>
  <c r="T52" i="55"/>
  <c r="S52" i="55"/>
  <c r="R52" i="55"/>
  <c r="C52" i="55"/>
  <c r="B52" i="55"/>
  <c r="A52" i="55"/>
  <c r="AB51" i="55"/>
  <c r="AA51" i="55"/>
  <c r="Z51" i="55"/>
  <c r="U51" i="55"/>
  <c r="T51" i="55"/>
  <c r="S51" i="55"/>
  <c r="R51" i="55"/>
  <c r="C51" i="55"/>
  <c r="B51" i="55"/>
  <c r="A51" i="55"/>
  <c r="AB50" i="55"/>
  <c r="AA50" i="55"/>
  <c r="Z50" i="55"/>
  <c r="U50" i="55"/>
  <c r="T50" i="55"/>
  <c r="S50" i="55"/>
  <c r="R50" i="55"/>
  <c r="C50" i="55"/>
  <c r="B50" i="55"/>
  <c r="A50" i="55"/>
  <c r="AB49" i="55"/>
  <c r="AA49" i="55"/>
  <c r="Z49" i="55"/>
  <c r="U49" i="55"/>
  <c r="T49" i="55"/>
  <c r="S49" i="55"/>
  <c r="R49" i="55"/>
  <c r="C49" i="55"/>
  <c r="B49" i="55"/>
  <c r="A49" i="55"/>
  <c r="AB48" i="55"/>
  <c r="AA48" i="55"/>
  <c r="Z48" i="55"/>
  <c r="U48" i="55"/>
  <c r="T48" i="55"/>
  <c r="S48" i="55"/>
  <c r="R48" i="55"/>
  <c r="C48" i="55"/>
  <c r="B48" i="55"/>
  <c r="A48" i="55"/>
  <c r="AB47" i="55"/>
  <c r="AA47" i="55"/>
  <c r="Z47" i="55"/>
  <c r="U47" i="55"/>
  <c r="T47" i="55"/>
  <c r="S47" i="55"/>
  <c r="R47" i="55"/>
  <c r="C47" i="55"/>
  <c r="B47" i="55"/>
  <c r="A47" i="55"/>
  <c r="AB46" i="55"/>
  <c r="AA46" i="55"/>
  <c r="Z46" i="55"/>
  <c r="U46" i="55"/>
  <c r="T46" i="55"/>
  <c r="S46" i="55"/>
  <c r="R46" i="55"/>
  <c r="C46" i="55"/>
  <c r="B46" i="55"/>
  <c r="A46" i="55"/>
  <c r="AB45" i="55"/>
  <c r="AA45" i="55"/>
  <c r="Z45" i="55"/>
  <c r="U45" i="55"/>
  <c r="T45" i="55"/>
  <c r="S45" i="55"/>
  <c r="R45" i="55"/>
  <c r="C45" i="55"/>
  <c r="B45" i="55"/>
  <c r="A45" i="55"/>
  <c r="AB44" i="55"/>
  <c r="AA44" i="55"/>
  <c r="Z44" i="55"/>
  <c r="U44" i="55"/>
  <c r="T44" i="55"/>
  <c r="S44" i="55"/>
  <c r="R44" i="55"/>
  <c r="C44" i="55"/>
  <c r="B44" i="55"/>
  <c r="A44" i="55"/>
  <c r="AB43" i="55"/>
  <c r="AA43" i="55"/>
  <c r="Z43" i="55"/>
  <c r="U43" i="55"/>
  <c r="T43" i="55"/>
  <c r="S43" i="55"/>
  <c r="R43" i="55"/>
  <c r="C43" i="55"/>
  <c r="B43" i="55"/>
  <c r="A43" i="55"/>
  <c r="AB42" i="55"/>
  <c r="AA42" i="55"/>
  <c r="Z42" i="55"/>
  <c r="U42" i="55"/>
  <c r="T42" i="55"/>
  <c r="S42" i="55"/>
  <c r="R42" i="55"/>
  <c r="C42" i="55"/>
  <c r="B42" i="55"/>
  <c r="A42" i="55"/>
  <c r="AB41" i="55"/>
  <c r="AA41" i="55"/>
  <c r="Z41" i="55"/>
  <c r="U41" i="55"/>
  <c r="T41" i="55"/>
  <c r="S41" i="55"/>
  <c r="R41" i="55"/>
  <c r="C41" i="55"/>
  <c r="B41" i="55"/>
  <c r="A41" i="55"/>
  <c r="AB40" i="55"/>
  <c r="AA40" i="55"/>
  <c r="Z40" i="55"/>
  <c r="U40" i="55"/>
  <c r="T40" i="55"/>
  <c r="S40" i="55"/>
  <c r="R40" i="55"/>
  <c r="C40" i="55"/>
  <c r="B40" i="55"/>
  <c r="A40" i="55"/>
  <c r="AB39" i="55"/>
  <c r="AA39" i="55"/>
  <c r="Z39" i="55"/>
  <c r="U39" i="55"/>
  <c r="T39" i="55"/>
  <c r="S39" i="55"/>
  <c r="R39" i="55"/>
  <c r="C39" i="55"/>
  <c r="B39" i="55"/>
  <c r="A39" i="55"/>
  <c r="AB38" i="55"/>
  <c r="AA38" i="55"/>
  <c r="Z38" i="55"/>
  <c r="U38" i="55"/>
  <c r="T38" i="55"/>
  <c r="S38" i="55"/>
  <c r="R38" i="55"/>
  <c r="C38" i="55"/>
  <c r="B38" i="55"/>
  <c r="A38" i="55"/>
  <c r="AB37" i="55"/>
  <c r="AA37" i="55"/>
  <c r="Z37" i="55"/>
  <c r="U37" i="55"/>
  <c r="T37" i="55"/>
  <c r="S37" i="55"/>
  <c r="R37" i="55"/>
  <c r="C37" i="55"/>
  <c r="B37" i="55"/>
  <c r="A37" i="55"/>
  <c r="AB36" i="55"/>
  <c r="AA36" i="55"/>
  <c r="Z36" i="55"/>
  <c r="U36" i="55"/>
  <c r="T36" i="55"/>
  <c r="S36" i="55"/>
  <c r="R36" i="55"/>
  <c r="C36" i="55"/>
  <c r="B36" i="55"/>
  <c r="A36" i="55"/>
  <c r="AB35" i="55"/>
  <c r="AA35" i="55"/>
  <c r="Z35" i="55"/>
  <c r="U35" i="55"/>
  <c r="T35" i="55"/>
  <c r="S35" i="55"/>
  <c r="R35" i="55"/>
  <c r="C35" i="55"/>
  <c r="B35" i="55"/>
  <c r="A35" i="55"/>
  <c r="AB34" i="55"/>
  <c r="AA34" i="55"/>
  <c r="Z34" i="55"/>
  <c r="U34" i="55"/>
  <c r="T34" i="55"/>
  <c r="S34" i="55"/>
  <c r="R34" i="55"/>
  <c r="C34" i="55"/>
  <c r="B34" i="55"/>
  <c r="A34" i="55"/>
  <c r="AB33" i="55"/>
  <c r="AA33" i="55"/>
  <c r="Z33" i="55"/>
  <c r="U33" i="55"/>
  <c r="T33" i="55"/>
  <c r="S33" i="55"/>
  <c r="R33" i="55"/>
  <c r="C33" i="55"/>
  <c r="B33" i="55"/>
  <c r="A33" i="55"/>
  <c r="AB32" i="55"/>
  <c r="AA32" i="55"/>
  <c r="Z32" i="55"/>
  <c r="U32" i="55"/>
  <c r="T32" i="55"/>
  <c r="S32" i="55"/>
  <c r="R32" i="55"/>
  <c r="C32" i="55"/>
  <c r="B32" i="55"/>
  <c r="A32" i="55"/>
  <c r="AB31" i="55"/>
  <c r="AA31" i="55"/>
  <c r="Z31" i="55"/>
  <c r="U31" i="55"/>
  <c r="T31" i="55"/>
  <c r="S31" i="55"/>
  <c r="R31" i="55"/>
  <c r="C31" i="55"/>
  <c r="B31" i="55"/>
  <c r="A31" i="55"/>
  <c r="AB30" i="55"/>
  <c r="AA30" i="55"/>
  <c r="Z30" i="55"/>
  <c r="U30" i="55"/>
  <c r="T30" i="55"/>
  <c r="S30" i="55"/>
  <c r="R30" i="55"/>
  <c r="C30" i="55"/>
  <c r="B30" i="55"/>
  <c r="A30" i="55"/>
  <c r="AB29" i="55"/>
  <c r="AA29" i="55"/>
  <c r="Z29" i="55"/>
  <c r="U29" i="55"/>
  <c r="T29" i="55"/>
  <c r="S29" i="55"/>
  <c r="R29" i="55"/>
  <c r="C29" i="55"/>
  <c r="B29" i="55"/>
  <c r="A29" i="55"/>
  <c r="AB28" i="55"/>
  <c r="AA28" i="55"/>
  <c r="Z28" i="55"/>
  <c r="U28" i="55"/>
  <c r="T28" i="55"/>
  <c r="S28" i="55"/>
  <c r="R28" i="55"/>
  <c r="C28" i="55"/>
  <c r="B28" i="55"/>
  <c r="A28" i="55"/>
  <c r="AB27" i="55"/>
  <c r="AA27" i="55"/>
  <c r="Z27" i="55"/>
  <c r="U27" i="55"/>
  <c r="T27" i="55"/>
  <c r="S27" i="55"/>
  <c r="R27" i="55"/>
  <c r="C27" i="55"/>
  <c r="B27" i="55"/>
  <c r="A27" i="55"/>
  <c r="AB26" i="55"/>
  <c r="AA26" i="55"/>
  <c r="Z26" i="55"/>
  <c r="U26" i="55"/>
  <c r="T26" i="55"/>
  <c r="S26" i="55"/>
  <c r="R26" i="55"/>
  <c r="C26" i="55"/>
  <c r="B26" i="55"/>
  <c r="A26" i="55"/>
  <c r="AB25" i="55"/>
  <c r="AA25" i="55"/>
  <c r="Z25" i="55"/>
  <c r="U25" i="55"/>
  <c r="T25" i="55"/>
  <c r="S25" i="55"/>
  <c r="R25" i="55"/>
  <c r="C25" i="55"/>
  <c r="B25" i="55"/>
  <c r="A25" i="55"/>
  <c r="AB24" i="55"/>
  <c r="AA24" i="55"/>
  <c r="Z24" i="55"/>
  <c r="U24" i="55"/>
  <c r="T24" i="55"/>
  <c r="S24" i="55"/>
  <c r="R24" i="55"/>
  <c r="C24" i="55"/>
  <c r="B24" i="55"/>
  <c r="A24" i="55"/>
  <c r="AB23" i="55"/>
  <c r="AA23" i="55"/>
  <c r="Z23" i="55"/>
  <c r="U23" i="55"/>
  <c r="T23" i="55"/>
  <c r="S23" i="55"/>
  <c r="R23" i="55"/>
  <c r="C23" i="55"/>
  <c r="B23" i="55"/>
  <c r="A23" i="55"/>
  <c r="AB22" i="55"/>
  <c r="AA22" i="55"/>
  <c r="Z22" i="55"/>
  <c r="U22" i="55"/>
  <c r="T22" i="55"/>
  <c r="S22" i="55"/>
  <c r="R22" i="55"/>
  <c r="C22" i="55"/>
  <c r="B22" i="55"/>
  <c r="A22" i="55"/>
  <c r="AB21" i="55"/>
  <c r="AA21" i="55"/>
  <c r="Z21" i="55"/>
  <c r="U21" i="55"/>
  <c r="T21" i="55"/>
  <c r="S21" i="55"/>
  <c r="R21" i="55"/>
  <c r="C21" i="55"/>
  <c r="B21" i="55"/>
  <c r="A21" i="55"/>
  <c r="AB20" i="55"/>
  <c r="AA20" i="55"/>
  <c r="Z20" i="55"/>
  <c r="U20" i="55"/>
  <c r="T20" i="55"/>
  <c r="S20" i="55"/>
  <c r="R20" i="55"/>
  <c r="C20" i="55"/>
  <c r="B20" i="55"/>
  <c r="A20" i="55"/>
  <c r="AB19" i="55"/>
  <c r="AA19" i="55"/>
  <c r="Z19" i="55"/>
  <c r="U19" i="55"/>
  <c r="T19" i="55"/>
  <c r="S19" i="55"/>
  <c r="R19" i="55"/>
  <c r="C19" i="55"/>
  <c r="B19" i="55"/>
  <c r="A19" i="55"/>
  <c r="AB18" i="55"/>
  <c r="AA18" i="55"/>
  <c r="Z18" i="55"/>
  <c r="T18" i="55"/>
  <c r="S18" i="55"/>
  <c r="R18" i="55"/>
  <c r="C18" i="55"/>
  <c r="B18" i="55"/>
  <c r="A18" i="55"/>
  <c r="AB17" i="55"/>
  <c r="AA17" i="55"/>
  <c r="Z17" i="55"/>
  <c r="U17" i="55"/>
  <c r="S17" i="55"/>
  <c r="R17" i="55"/>
  <c r="C17" i="55"/>
  <c r="B17" i="55"/>
  <c r="A17" i="55"/>
  <c r="AB16" i="55"/>
  <c r="AA16" i="55"/>
  <c r="Z16" i="55"/>
  <c r="T16" i="55"/>
  <c r="S16" i="55"/>
  <c r="R16" i="55"/>
  <c r="C16" i="55"/>
  <c r="B16" i="55"/>
  <c r="A16" i="55"/>
  <c r="AB15" i="55"/>
  <c r="AA15" i="55"/>
  <c r="Z15" i="55"/>
  <c r="U15" i="55"/>
  <c r="T15" i="55"/>
  <c r="S15" i="55"/>
  <c r="R15" i="55"/>
  <c r="C15" i="55"/>
  <c r="B15" i="55"/>
  <c r="A15" i="55"/>
  <c r="AB14" i="55"/>
  <c r="AA14" i="55"/>
  <c r="Z14" i="55"/>
  <c r="U14" i="55"/>
  <c r="S14" i="55"/>
  <c r="R14" i="55"/>
  <c r="C14" i="55"/>
  <c r="B14" i="55"/>
  <c r="A14" i="55"/>
  <c r="AB13" i="55"/>
  <c r="AA13" i="55"/>
  <c r="Z13" i="55"/>
  <c r="T13" i="55"/>
  <c r="S13" i="55"/>
  <c r="R13" i="55"/>
  <c r="C13" i="55"/>
  <c r="B13" i="55"/>
  <c r="A13" i="55"/>
  <c r="AB12" i="55"/>
  <c r="AA12" i="55"/>
  <c r="Z12" i="55"/>
  <c r="U12" i="55"/>
  <c r="T12" i="55"/>
  <c r="S12" i="55"/>
  <c r="R12" i="55"/>
  <c r="C12" i="55"/>
  <c r="B12" i="55"/>
  <c r="A12" i="55"/>
  <c r="AB11" i="55"/>
  <c r="AA11" i="55"/>
  <c r="Z11" i="55"/>
  <c r="T11" i="55"/>
  <c r="S11" i="55"/>
  <c r="R11" i="55"/>
  <c r="C11" i="55"/>
  <c r="B11" i="55"/>
  <c r="A11" i="55"/>
  <c r="AB10" i="55"/>
  <c r="AA10" i="55"/>
  <c r="Z10" i="55"/>
  <c r="U10" i="55"/>
  <c r="S10" i="55"/>
  <c r="R10" i="55"/>
  <c r="C10" i="55"/>
  <c r="B10" i="55"/>
  <c r="A10" i="55"/>
  <c r="AB9" i="55"/>
  <c r="AA9" i="55"/>
  <c r="Z9" i="55"/>
  <c r="T9" i="55"/>
  <c r="S9" i="55"/>
  <c r="R9" i="55"/>
  <c r="C9" i="55"/>
  <c r="B9" i="55"/>
  <c r="A9" i="55"/>
  <c r="AB8" i="55"/>
  <c r="AA8" i="55"/>
  <c r="Z8" i="55"/>
  <c r="T8" i="55"/>
  <c r="S8" i="55"/>
  <c r="R8" i="55"/>
  <c r="C8" i="55"/>
  <c r="B8" i="55"/>
  <c r="E109" i="58"/>
  <c r="F109" i="58"/>
  <c r="G109" i="58"/>
  <c r="H109" i="58"/>
  <c r="I109" i="58"/>
  <c r="J109" i="58"/>
  <c r="K109" i="58"/>
  <c r="L109" i="58"/>
  <c r="M109" i="58"/>
  <c r="N109" i="58"/>
  <c r="Z109" i="58"/>
  <c r="AA109" i="58"/>
  <c r="E110" i="58"/>
  <c r="F110" i="58"/>
  <c r="G110" i="58"/>
  <c r="H110" i="58"/>
  <c r="I110" i="58"/>
  <c r="J110" i="58"/>
  <c r="K110" i="58"/>
  <c r="L110" i="58"/>
  <c r="M110" i="58"/>
  <c r="N110" i="58"/>
  <c r="Z110" i="58"/>
  <c r="AA110" i="58"/>
  <c r="E96" i="58"/>
  <c r="F96" i="58"/>
  <c r="G96" i="58"/>
  <c r="H96" i="58"/>
  <c r="I96" i="58"/>
  <c r="J96" i="58"/>
  <c r="K96" i="58"/>
  <c r="L96" i="58"/>
  <c r="M96" i="58"/>
  <c r="N96" i="58"/>
  <c r="Z96" i="58"/>
  <c r="AA96" i="58"/>
  <c r="E97" i="58"/>
  <c r="F97" i="58"/>
  <c r="G97" i="58"/>
  <c r="H97" i="58"/>
  <c r="I97" i="58"/>
  <c r="J97" i="58"/>
  <c r="K97" i="58"/>
  <c r="L97" i="58"/>
  <c r="M97" i="58"/>
  <c r="N97" i="58"/>
  <c r="Z97" i="58"/>
  <c r="AA97" i="58"/>
  <c r="E83" i="58"/>
  <c r="F83" i="58"/>
  <c r="G83" i="58"/>
  <c r="H83" i="58"/>
  <c r="I83" i="58"/>
  <c r="J83" i="58"/>
  <c r="K83" i="58"/>
  <c r="L83" i="58"/>
  <c r="M83" i="58"/>
  <c r="N83" i="58"/>
  <c r="Z83" i="58"/>
  <c r="AA83" i="58"/>
  <c r="E84" i="58"/>
  <c r="F84" i="58"/>
  <c r="G84" i="58"/>
  <c r="H84" i="58"/>
  <c r="I84" i="58"/>
  <c r="J84" i="58"/>
  <c r="K84" i="58"/>
  <c r="L84" i="58"/>
  <c r="M84" i="58"/>
  <c r="N84" i="58"/>
  <c r="Z84" i="58"/>
  <c r="AA84" i="58"/>
  <c r="E71" i="58"/>
  <c r="F71" i="58"/>
  <c r="G71" i="58"/>
  <c r="H71" i="58"/>
  <c r="I71" i="58"/>
  <c r="J71" i="58"/>
  <c r="K71" i="58"/>
  <c r="L71" i="58"/>
  <c r="M71" i="58"/>
  <c r="N71" i="58"/>
  <c r="Z71" i="58"/>
  <c r="AA71" i="58"/>
  <c r="E72" i="58"/>
  <c r="F72" i="58"/>
  <c r="G72" i="58"/>
  <c r="H72" i="58"/>
  <c r="I72" i="58"/>
  <c r="J72" i="58"/>
  <c r="K72" i="58"/>
  <c r="L72" i="58"/>
  <c r="M72" i="58"/>
  <c r="N72" i="58"/>
  <c r="Z72" i="58"/>
  <c r="AA72" i="58"/>
  <c r="E58" i="58"/>
  <c r="F58" i="58"/>
  <c r="G58" i="58"/>
  <c r="H58" i="58"/>
  <c r="I58" i="58"/>
  <c r="J58" i="58"/>
  <c r="K58" i="58"/>
  <c r="L58" i="58"/>
  <c r="M58" i="58"/>
  <c r="N58" i="58"/>
  <c r="Z58" i="58"/>
  <c r="AA58" i="58"/>
  <c r="E59" i="58"/>
  <c r="F59" i="58"/>
  <c r="G59" i="58"/>
  <c r="H59" i="58"/>
  <c r="I59" i="58"/>
  <c r="J59" i="58"/>
  <c r="K59" i="58"/>
  <c r="L59" i="58"/>
  <c r="M59" i="58"/>
  <c r="N59" i="58"/>
  <c r="Z59" i="58"/>
  <c r="AA59" i="58"/>
  <c r="E45" i="58"/>
  <c r="F45" i="58"/>
  <c r="G45" i="58"/>
  <c r="H45" i="58"/>
  <c r="I45" i="58"/>
  <c r="J45" i="58"/>
  <c r="K45" i="58"/>
  <c r="L45" i="58"/>
  <c r="M45" i="58"/>
  <c r="N45" i="58"/>
  <c r="Z45" i="58"/>
  <c r="AA45" i="58"/>
  <c r="E46" i="58"/>
  <c r="F46" i="58"/>
  <c r="G46" i="58"/>
  <c r="H46" i="58"/>
  <c r="I46" i="58"/>
  <c r="J46" i="58"/>
  <c r="K46" i="58"/>
  <c r="L46" i="58"/>
  <c r="M46" i="58"/>
  <c r="N46" i="58"/>
  <c r="Z46" i="58"/>
  <c r="AA46" i="58"/>
  <c r="E32" i="58"/>
  <c r="F32" i="58"/>
  <c r="G32" i="58"/>
  <c r="H32" i="58"/>
  <c r="I32" i="58"/>
  <c r="J32" i="58"/>
  <c r="K32" i="58"/>
  <c r="L32" i="58"/>
  <c r="M32" i="58"/>
  <c r="N32" i="58"/>
  <c r="Z32" i="58"/>
  <c r="AA32" i="58"/>
  <c r="E33" i="58"/>
  <c r="F33" i="58"/>
  <c r="G33" i="58"/>
  <c r="H33" i="58"/>
  <c r="I33" i="58"/>
  <c r="J33" i="58"/>
  <c r="K33" i="58"/>
  <c r="L33" i="58"/>
  <c r="M33" i="58"/>
  <c r="N33" i="58"/>
  <c r="Z33" i="58"/>
  <c r="AA33" i="58"/>
  <c r="E108" i="58"/>
  <c r="F108" i="58"/>
  <c r="G108" i="58"/>
  <c r="H108" i="58"/>
  <c r="I108" i="58"/>
  <c r="J108" i="58"/>
  <c r="K108" i="58"/>
  <c r="L108" i="58"/>
  <c r="M108" i="58"/>
  <c r="N108" i="58"/>
  <c r="E107" i="58"/>
  <c r="F107" i="58"/>
  <c r="G107" i="58"/>
  <c r="H107" i="58"/>
  <c r="I107" i="58"/>
  <c r="J107" i="58"/>
  <c r="K107" i="58"/>
  <c r="L107" i="58"/>
  <c r="M107" i="58"/>
  <c r="N107" i="58"/>
  <c r="E106" i="58"/>
  <c r="F106" i="58"/>
  <c r="G106" i="58"/>
  <c r="H106" i="58"/>
  <c r="I106" i="58"/>
  <c r="J106" i="58"/>
  <c r="K106" i="58"/>
  <c r="L106" i="58"/>
  <c r="M106" i="58"/>
  <c r="N106" i="58"/>
  <c r="E105" i="58"/>
  <c r="F105" i="58"/>
  <c r="G105" i="58"/>
  <c r="H105" i="58"/>
  <c r="I105" i="58"/>
  <c r="J105" i="58"/>
  <c r="K105" i="58"/>
  <c r="L105" i="58"/>
  <c r="M105" i="58"/>
  <c r="N105" i="58"/>
  <c r="E104" i="58"/>
  <c r="F104" i="58"/>
  <c r="G104" i="58"/>
  <c r="H104" i="58"/>
  <c r="I104" i="58"/>
  <c r="J104" i="58"/>
  <c r="K104" i="58"/>
  <c r="L104" i="58"/>
  <c r="M104" i="58"/>
  <c r="N104" i="58"/>
  <c r="E103" i="58"/>
  <c r="F103" i="58"/>
  <c r="G103" i="58"/>
  <c r="H103" i="58"/>
  <c r="I103" i="58"/>
  <c r="J103" i="58"/>
  <c r="K103" i="58"/>
  <c r="L103" i="58"/>
  <c r="M103" i="58"/>
  <c r="N103" i="58"/>
  <c r="E102" i="58"/>
  <c r="F102" i="58"/>
  <c r="G102" i="58"/>
  <c r="H102" i="58"/>
  <c r="I102" i="58"/>
  <c r="J102" i="58"/>
  <c r="K102" i="58"/>
  <c r="L102" i="58"/>
  <c r="M102" i="58"/>
  <c r="N102" i="58"/>
  <c r="E101" i="58"/>
  <c r="F101" i="58"/>
  <c r="G101" i="58"/>
  <c r="H101" i="58"/>
  <c r="I101" i="58"/>
  <c r="J101" i="58"/>
  <c r="K101" i="58"/>
  <c r="L101" i="58"/>
  <c r="M101" i="58"/>
  <c r="N101" i="58"/>
  <c r="E100" i="58"/>
  <c r="F100" i="58"/>
  <c r="G100" i="58"/>
  <c r="H100" i="58"/>
  <c r="I100" i="58"/>
  <c r="J100" i="58"/>
  <c r="K100" i="58"/>
  <c r="L100" i="58"/>
  <c r="M100" i="58"/>
  <c r="N100" i="58"/>
  <c r="E99" i="58"/>
  <c r="F99" i="58"/>
  <c r="G99" i="58"/>
  <c r="H99" i="58"/>
  <c r="I99" i="58"/>
  <c r="J99" i="58"/>
  <c r="K99" i="58"/>
  <c r="L99" i="58"/>
  <c r="M99" i="58"/>
  <c r="N99" i="58"/>
  <c r="E98" i="58"/>
  <c r="F98" i="58"/>
  <c r="G98" i="58"/>
  <c r="H98" i="58"/>
  <c r="I98" i="58"/>
  <c r="J98" i="58"/>
  <c r="K98" i="58"/>
  <c r="L98" i="58"/>
  <c r="M98" i="58"/>
  <c r="N98" i="58"/>
  <c r="E95" i="58"/>
  <c r="F95" i="58"/>
  <c r="G95" i="58"/>
  <c r="H95" i="58"/>
  <c r="I95" i="58"/>
  <c r="J95" i="58"/>
  <c r="K95" i="58"/>
  <c r="L95" i="58"/>
  <c r="M95" i="58"/>
  <c r="N95" i="58"/>
  <c r="E94" i="58"/>
  <c r="F94" i="58"/>
  <c r="G94" i="58"/>
  <c r="H94" i="58"/>
  <c r="I94" i="58"/>
  <c r="J94" i="58"/>
  <c r="K94" i="58"/>
  <c r="L94" i="58"/>
  <c r="M94" i="58"/>
  <c r="N94" i="58"/>
  <c r="E93" i="58"/>
  <c r="F93" i="58"/>
  <c r="G93" i="58"/>
  <c r="H93" i="58"/>
  <c r="I93" i="58"/>
  <c r="J93" i="58"/>
  <c r="K93" i="58"/>
  <c r="L93" i="58"/>
  <c r="M93" i="58"/>
  <c r="N93" i="58"/>
  <c r="E92" i="58"/>
  <c r="F92" i="58"/>
  <c r="G92" i="58"/>
  <c r="H92" i="58"/>
  <c r="I92" i="58"/>
  <c r="J92" i="58"/>
  <c r="K92" i="58"/>
  <c r="L92" i="58"/>
  <c r="M92" i="58"/>
  <c r="N92" i="58"/>
  <c r="E91" i="58"/>
  <c r="F91" i="58"/>
  <c r="G91" i="58"/>
  <c r="H91" i="58"/>
  <c r="I91" i="58"/>
  <c r="J91" i="58"/>
  <c r="K91" i="58"/>
  <c r="L91" i="58"/>
  <c r="M91" i="58"/>
  <c r="N91" i="58"/>
  <c r="E90" i="58"/>
  <c r="F90" i="58"/>
  <c r="G90" i="58"/>
  <c r="H90" i="58"/>
  <c r="I90" i="58"/>
  <c r="J90" i="58"/>
  <c r="K90" i="58"/>
  <c r="L90" i="58"/>
  <c r="M90" i="58"/>
  <c r="N90" i="58"/>
  <c r="E89" i="58"/>
  <c r="F89" i="58"/>
  <c r="G89" i="58"/>
  <c r="H89" i="58"/>
  <c r="I89" i="58"/>
  <c r="J89" i="58"/>
  <c r="K89" i="58"/>
  <c r="L89" i="58"/>
  <c r="M89" i="58"/>
  <c r="N89" i="58"/>
  <c r="E88" i="58"/>
  <c r="F88" i="58"/>
  <c r="G88" i="58"/>
  <c r="H88" i="58"/>
  <c r="I88" i="58"/>
  <c r="J88" i="58"/>
  <c r="K88" i="58"/>
  <c r="L88" i="58"/>
  <c r="M88" i="58"/>
  <c r="N88" i="58"/>
  <c r="E87" i="58"/>
  <c r="F87" i="58"/>
  <c r="G87" i="58"/>
  <c r="H87" i="58"/>
  <c r="I87" i="58"/>
  <c r="J87" i="58"/>
  <c r="K87" i="58"/>
  <c r="L87" i="58"/>
  <c r="M87" i="58"/>
  <c r="N87" i="58"/>
  <c r="E86" i="58"/>
  <c r="F86" i="58"/>
  <c r="G86" i="58"/>
  <c r="H86" i="58"/>
  <c r="I86" i="58"/>
  <c r="J86" i="58"/>
  <c r="K86" i="58"/>
  <c r="L86" i="58"/>
  <c r="M86" i="58"/>
  <c r="N86" i="58"/>
  <c r="E85" i="58"/>
  <c r="F85" i="58"/>
  <c r="G85" i="58"/>
  <c r="H85" i="58"/>
  <c r="I85" i="58"/>
  <c r="J85" i="58"/>
  <c r="K85" i="58"/>
  <c r="L85" i="58"/>
  <c r="M85" i="58"/>
  <c r="N85" i="58"/>
  <c r="E70" i="58"/>
  <c r="F70" i="58"/>
  <c r="G70" i="58"/>
  <c r="H70" i="58"/>
  <c r="I70" i="58"/>
  <c r="J70" i="58"/>
  <c r="K70" i="58"/>
  <c r="L70" i="58"/>
  <c r="M70" i="58"/>
  <c r="N70" i="58"/>
  <c r="E69" i="58"/>
  <c r="F69" i="58"/>
  <c r="G69" i="58"/>
  <c r="H69" i="58"/>
  <c r="I69" i="58"/>
  <c r="J69" i="58"/>
  <c r="K69" i="58"/>
  <c r="L69" i="58"/>
  <c r="M69" i="58"/>
  <c r="N69" i="58"/>
  <c r="E68" i="58"/>
  <c r="F68" i="58"/>
  <c r="G68" i="58"/>
  <c r="H68" i="58"/>
  <c r="I68" i="58"/>
  <c r="J68" i="58"/>
  <c r="K68" i="58"/>
  <c r="L68" i="58"/>
  <c r="M68" i="58"/>
  <c r="N68" i="58"/>
  <c r="E67" i="58"/>
  <c r="F67" i="58"/>
  <c r="G67" i="58"/>
  <c r="H67" i="58"/>
  <c r="I67" i="58"/>
  <c r="J67" i="58"/>
  <c r="K67" i="58"/>
  <c r="L67" i="58"/>
  <c r="M67" i="58"/>
  <c r="N67" i="58"/>
  <c r="E66" i="58"/>
  <c r="F66" i="58"/>
  <c r="G66" i="58"/>
  <c r="H66" i="58"/>
  <c r="I66" i="58"/>
  <c r="J66" i="58"/>
  <c r="K66" i="58"/>
  <c r="L66" i="58"/>
  <c r="M66" i="58"/>
  <c r="N66" i="58"/>
  <c r="E65" i="58"/>
  <c r="F65" i="58"/>
  <c r="G65" i="58"/>
  <c r="H65" i="58"/>
  <c r="I65" i="58"/>
  <c r="J65" i="58"/>
  <c r="K65" i="58"/>
  <c r="L65" i="58"/>
  <c r="M65" i="58"/>
  <c r="N65" i="58"/>
  <c r="E64" i="58"/>
  <c r="F64" i="58"/>
  <c r="G64" i="58"/>
  <c r="H64" i="58"/>
  <c r="I64" i="58"/>
  <c r="J64" i="58"/>
  <c r="K64" i="58"/>
  <c r="L64" i="58"/>
  <c r="M64" i="58"/>
  <c r="N64" i="58"/>
  <c r="E63" i="58"/>
  <c r="F63" i="58"/>
  <c r="G63" i="58"/>
  <c r="H63" i="58"/>
  <c r="I63" i="58"/>
  <c r="J63" i="58"/>
  <c r="K63" i="58"/>
  <c r="L63" i="58"/>
  <c r="M63" i="58"/>
  <c r="N63" i="58"/>
  <c r="E62" i="58"/>
  <c r="F62" i="58"/>
  <c r="G62" i="58"/>
  <c r="H62" i="58"/>
  <c r="I62" i="58"/>
  <c r="J62" i="58"/>
  <c r="K62" i="58"/>
  <c r="L62" i="58"/>
  <c r="M62" i="58"/>
  <c r="N62" i="58"/>
  <c r="E61" i="58"/>
  <c r="F61" i="58"/>
  <c r="O61" i="58" s="1"/>
  <c r="G61" i="58"/>
  <c r="H61" i="58"/>
  <c r="I61" i="58"/>
  <c r="J61" i="58"/>
  <c r="K61" i="58"/>
  <c r="L61" i="58"/>
  <c r="M61" i="58"/>
  <c r="N61" i="58"/>
  <c r="E60" i="58"/>
  <c r="F60" i="58"/>
  <c r="G60" i="58"/>
  <c r="H60" i="58"/>
  <c r="I60" i="58"/>
  <c r="J60" i="58"/>
  <c r="K60" i="58"/>
  <c r="L60" i="58"/>
  <c r="M60" i="58"/>
  <c r="N60" i="58"/>
  <c r="E57" i="58"/>
  <c r="F57" i="58"/>
  <c r="G57" i="58"/>
  <c r="H57" i="58"/>
  <c r="I57" i="58"/>
  <c r="J57" i="58"/>
  <c r="K57" i="58"/>
  <c r="L57" i="58"/>
  <c r="M57" i="58"/>
  <c r="N57" i="58"/>
  <c r="E56" i="58"/>
  <c r="F56" i="58"/>
  <c r="G56" i="58"/>
  <c r="H56" i="58"/>
  <c r="I56" i="58"/>
  <c r="J56" i="58"/>
  <c r="K56" i="58"/>
  <c r="L56" i="58"/>
  <c r="M56" i="58"/>
  <c r="N56" i="58"/>
  <c r="E55" i="58"/>
  <c r="F55" i="58"/>
  <c r="G55" i="58"/>
  <c r="H55" i="58"/>
  <c r="I55" i="58"/>
  <c r="J55" i="58"/>
  <c r="K55" i="58"/>
  <c r="L55" i="58"/>
  <c r="M55" i="58"/>
  <c r="N55" i="58"/>
  <c r="E54" i="58"/>
  <c r="F54" i="58"/>
  <c r="G54" i="58"/>
  <c r="H54" i="58"/>
  <c r="I54" i="58"/>
  <c r="J54" i="58"/>
  <c r="K54" i="58"/>
  <c r="L54" i="58"/>
  <c r="M54" i="58"/>
  <c r="N54" i="58"/>
  <c r="E53" i="58"/>
  <c r="F53" i="58"/>
  <c r="G53" i="58"/>
  <c r="H53" i="58"/>
  <c r="I53" i="58"/>
  <c r="J53" i="58"/>
  <c r="K53" i="58"/>
  <c r="L53" i="58"/>
  <c r="M53" i="58"/>
  <c r="N53" i="58"/>
  <c r="E52" i="58"/>
  <c r="F52" i="58"/>
  <c r="G52" i="58"/>
  <c r="H52" i="58"/>
  <c r="I52" i="58"/>
  <c r="J52" i="58"/>
  <c r="K52" i="58"/>
  <c r="L52" i="58"/>
  <c r="M52" i="58"/>
  <c r="N52" i="58"/>
  <c r="E51" i="58"/>
  <c r="F51" i="58"/>
  <c r="G51" i="58"/>
  <c r="H51" i="58"/>
  <c r="I51" i="58"/>
  <c r="J51" i="58"/>
  <c r="K51" i="58"/>
  <c r="L51" i="58"/>
  <c r="M51" i="58"/>
  <c r="N51" i="58"/>
  <c r="E50" i="58"/>
  <c r="F50" i="58"/>
  <c r="G50" i="58"/>
  <c r="H50" i="58"/>
  <c r="I50" i="58"/>
  <c r="J50" i="58"/>
  <c r="K50" i="58"/>
  <c r="L50" i="58"/>
  <c r="M50" i="58"/>
  <c r="N50" i="58"/>
  <c r="E49" i="58"/>
  <c r="F49" i="58"/>
  <c r="G49" i="58"/>
  <c r="H49" i="58"/>
  <c r="I49" i="58"/>
  <c r="J49" i="58"/>
  <c r="K49" i="58"/>
  <c r="L49" i="58"/>
  <c r="M49" i="58"/>
  <c r="N49" i="58"/>
  <c r="E48" i="58"/>
  <c r="F48" i="58"/>
  <c r="G48" i="58"/>
  <c r="H48" i="58"/>
  <c r="I48" i="58"/>
  <c r="J48" i="58"/>
  <c r="K48" i="58"/>
  <c r="L48" i="58"/>
  <c r="M48" i="58"/>
  <c r="N48" i="58"/>
  <c r="E47" i="58"/>
  <c r="F47" i="58"/>
  <c r="G47" i="58"/>
  <c r="H47" i="58"/>
  <c r="I47" i="58"/>
  <c r="J47" i="58"/>
  <c r="K47" i="58"/>
  <c r="L47" i="58"/>
  <c r="M47" i="58"/>
  <c r="N47" i="58"/>
  <c r="E44" i="58"/>
  <c r="F44" i="58"/>
  <c r="G44" i="58"/>
  <c r="H44" i="58"/>
  <c r="I44" i="58"/>
  <c r="J44" i="58"/>
  <c r="K44" i="58"/>
  <c r="L44" i="58"/>
  <c r="M44" i="58"/>
  <c r="N44" i="58"/>
  <c r="E43" i="58"/>
  <c r="F43" i="58"/>
  <c r="G43" i="58"/>
  <c r="H43" i="58"/>
  <c r="I43" i="58"/>
  <c r="J43" i="58"/>
  <c r="K43" i="58"/>
  <c r="L43" i="58"/>
  <c r="M43" i="58"/>
  <c r="N43" i="58"/>
  <c r="D43" i="58"/>
  <c r="E42" i="58"/>
  <c r="O42" i="58" s="1"/>
  <c r="F42" i="58"/>
  <c r="G42" i="58"/>
  <c r="H42" i="58"/>
  <c r="I42" i="58"/>
  <c r="J42" i="58"/>
  <c r="K42" i="58"/>
  <c r="L42" i="58"/>
  <c r="M42" i="58"/>
  <c r="N42" i="58"/>
  <c r="E41" i="58"/>
  <c r="F41" i="58"/>
  <c r="G41" i="58"/>
  <c r="H41" i="58"/>
  <c r="I41" i="58"/>
  <c r="J41" i="58"/>
  <c r="K41" i="58"/>
  <c r="L41" i="58"/>
  <c r="M41" i="58"/>
  <c r="N41" i="58"/>
  <c r="E40" i="58"/>
  <c r="F40" i="58"/>
  <c r="G40" i="58"/>
  <c r="H40" i="58"/>
  <c r="I40" i="58"/>
  <c r="J40" i="58"/>
  <c r="K40" i="58"/>
  <c r="L40" i="58"/>
  <c r="M40" i="58"/>
  <c r="N40" i="58"/>
  <c r="E39" i="58"/>
  <c r="F39" i="58"/>
  <c r="G39" i="58"/>
  <c r="H39" i="58"/>
  <c r="O39" i="58" s="1"/>
  <c r="I39" i="58"/>
  <c r="J39" i="58"/>
  <c r="K39" i="58"/>
  <c r="L39" i="58"/>
  <c r="M39" i="58"/>
  <c r="N39" i="58"/>
  <c r="E38" i="58"/>
  <c r="F38" i="58"/>
  <c r="G38" i="58"/>
  <c r="H38" i="58"/>
  <c r="I38" i="58"/>
  <c r="J38" i="58"/>
  <c r="K38" i="58"/>
  <c r="L38" i="58"/>
  <c r="M38" i="58"/>
  <c r="N38" i="58"/>
  <c r="E37" i="58"/>
  <c r="F37" i="58"/>
  <c r="G37" i="58"/>
  <c r="H37" i="58"/>
  <c r="I37" i="58"/>
  <c r="J37" i="58"/>
  <c r="K37" i="58"/>
  <c r="L37" i="58"/>
  <c r="M37" i="58"/>
  <c r="N37" i="58"/>
  <c r="D37" i="58"/>
  <c r="E36" i="58"/>
  <c r="F36" i="58"/>
  <c r="G36" i="58"/>
  <c r="H36" i="58"/>
  <c r="I36" i="58"/>
  <c r="J36" i="58"/>
  <c r="K36" i="58"/>
  <c r="L36" i="58"/>
  <c r="M36" i="58"/>
  <c r="O36" i="58" s="1"/>
  <c r="N36" i="58"/>
  <c r="E35" i="58"/>
  <c r="F35" i="58"/>
  <c r="G35" i="58"/>
  <c r="H35" i="58"/>
  <c r="I35" i="58"/>
  <c r="J35" i="58"/>
  <c r="K35" i="58"/>
  <c r="L35" i="58"/>
  <c r="M35" i="58"/>
  <c r="N35" i="58"/>
  <c r="D35" i="58"/>
  <c r="E34" i="58"/>
  <c r="F34" i="58"/>
  <c r="G34" i="58"/>
  <c r="H34" i="58"/>
  <c r="I34" i="58"/>
  <c r="J34" i="58"/>
  <c r="K34" i="58"/>
  <c r="L34" i="58"/>
  <c r="M34" i="58"/>
  <c r="N34" i="58"/>
  <c r="E31" i="58"/>
  <c r="F31" i="58"/>
  <c r="G31" i="58"/>
  <c r="H31" i="58"/>
  <c r="I31" i="58"/>
  <c r="J31" i="58"/>
  <c r="K31" i="58"/>
  <c r="L31" i="58"/>
  <c r="M31" i="58"/>
  <c r="N31" i="58"/>
  <c r="E30" i="58"/>
  <c r="F30" i="58"/>
  <c r="G30" i="58"/>
  <c r="H30" i="58"/>
  <c r="I30" i="58"/>
  <c r="J30" i="58"/>
  <c r="K30" i="58"/>
  <c r="L30" i="58"/>
  <c r="M30" i="58"/>
  <c r="N30" i="58"/>
  <c r="E29" i="58"/>
  <c r="F29" i="58"/>
  <c r="G29" i="58"/>
  <c r="H29" i="58"/>
  <c r="I29" i="58"/>
  <c r="J29" i="58"/>
  <c r="K29" i="58"/>
  <c r="L29" i="58"/>
  <c r="M29" i="58"/>
  <c r="N29" i="58"/>
  <c r="E28" i="58"/>
  <c r="F28" i="58"/>
  <c r="G28" i="58"/>
  <c r="H28" i="58"/>
  <c r="I28" i="58"/>
  <c r="J28" i="58"/>
  <c r="K28" i="58"/>
  <c r="L28" i="58"/>
  <c r="M28" i="58"/>
  <c r="N28" i="58"/>
  <c r="E27" i="58"/>
  <c r="F27" i="58"/>
  <c r="G27" i="58"/>
  <c r="H27" i="58"/>
  <c r="I27" i="58"/>
  <c r="J27" i="58"/>
  <c r="K27" i="58"/>
  <c r="L27" i="58"/>
  <c r="M27" i="58"/>
  <c r="N27" i="58"/>
  <c r="E26" i="58"/>
  <c r="F26" i="58"/>
  <c r="G26" i="58"/>
  <c r="H26" i="58"/>
  <c r="I26" i="58"/>
  <c r="J26" i="58"/>
  <c r="K26" i="58"/>
  <c r="L26" i="58"/>
  <c r="M26" i="58"/>
  <c r="N26" i="58"/>
  <c r="E25" i="58"/>
  <c r="F25" i="58"/>
  <c r="G25" i="58"/>
  <c r="H25" i="58"/>
  <c r="I25" i="58"/>
  <c r="J25" i="58"/>
  <c r="K25" i="58"/>
  <c r="L25" i="58"/>
  <c r="M25" i="58"/>
  <c r="N25" i="58"/>
  <c r="E24" i="58"/>
  <c r="F24" i="58"/>
  <c r="G24" i="58"/>
  <c r="H24" i="58"/>
  <c r="I24" i="58"/>
  <c r="J24" i="58"/>
  <c r="K24" i="58"/>
  <c r="L24" i="58"/>
  <c r="M24" i="58"/>
  <c r="N24" i="58"/>
  <c r="E23" i="58"/>
  <c r="F23" i="58"/>
  <c r="G23" i="58"/>
  <c r="H23" i="58"/>
  <c r="I23" i="58"/>
  <c r="J23" i="58"/>
  <c r="K23" i="58"/>
  <c r="L23" i="58"/>
  <c r="M23" i="58"/>
  <c r="N23" i="58"/>
  <c r="D23" i="58"/>
  <c r="E22" i="58"/>
  <c r="F22" i="58"/>
  <c r="G22" i="58"/>
  <c r="H22" i="58"/>
  <c r="I22" i="58"/>
  <c r="J22" i="58"/>
  <c r="K22" i="58"/>
  <c r="L22" i="58"/>
  <c r="M22" i="58"/>
  <c r="N22" i="58"/>
  <c r="E21" i="58"/>
  <c r="F21" i="58"/>
  <c r="G21" i="58"/>
  <c r="H21" i="58"/>
  <c r="I21" i="58"/>
  <c r="J21" i="58"/>
  <c r="K21" i="58"/>
  <c r="L21" i="58"/>
  <c r="M21" i="58"/>
  <c r="N21" i="58"/>
  <c r="R109" i="58"/>
  <c r="S109" i="58"/>
  <c r="T109" i="58"/>
  <c r="U109" i="58"/>
  <c r="R110" i="58"/>
  <c r="S110" i="58"/>
  <c r="T110" i="58"/>
  <c r="U110" i="58"/>
  <c r="R96" i="58"/>
  <c r="S96" i="58"/>
  <c r="T96" i="58"/>
  <c r="U96" i="58"/>
  <c r="R97" i="58"/>
  <c r="S97" i="58"/>
  <c r="T97" i="58"/>
  <c r="U97" i="58"/>
  <c r="R83" i="58"/>
  <c r="S83" i="58"/>
  <c r="T83" i="58"/>
  <c r="U83" i="58"/>
  <c r="R84" i="58"/>
  <c r="S84" i="58"/>
  <c r="T84" i="58"/>
  <c r="U84" i="58"/>
  <c r="R71" i="58"/>
  <c r="S71" i="58"/>
  <c r="T71" i="58"/>
  <c r="U71" i="58"/>
  <c r="R72" i="58"/>
  <c r="S72" i="58"/>
  <c r="T72" i="58"/>
  <c r="U72" i="58"/>
  <c r="R58" i="58"/>
  <c r="S58" i="58"/>
  <c r="T58" i="58"/>
  <c r="U58" i="58"/>
  <c r="R59" i="58"/>
  <c r="S59" i="58"/>
  <c r="T59" i="58"/>
  <c r="U59" i="58"/>
  <c r="R45" i="58"/>
  <c r="S45" i="58"/>
  <c r="T45" i="58"/>
  <c r="U45" i="58"/>
  <c r="R46" i="58"/>
  <c r="S46" i="58"/>
  <c r="T46" i="58"/>
  <c r="U46" i="58"/>
  <c r="R32" i="58"/>
  <c r="S32" i="58"/>
  <c r="T32" i="58"/>
  <c r="U32" i="58"/>
  <c r="R33" i="58"/>
  <c r="S33" i="58"/>
  <c r="T33" i="58"/>
  <c r="U33" i="58"/>
  <c r="E9" i="58"/>
  <c r="F9" i="58"/>
  <c r="G9" i="58"/>
  <c r="H9" i="58"/>
  <c r="I9" i="58"/>
  <c r="J9" i="58"/>
  <c r="K9" i="58"/>
  <c r="L9" i="58"/>
  <c r="M9" i="58"/>
  <c r="N9" i="58"/>
  <c r="O9" i="58"/>
  <c r="E10" i="58"/>
  <c r="F10" i="58"/>
  <c r="G10" i="58"/>
  <c r="H10" i="58"/>
  <c r="I10" i="58"/>
  <c r="J10" i="58"/>
  <c r="K10" i="58"/>
  <c r="L10" i="58"/>
  <c r="M10" i="58"/>
  <c r="N10" i="58"/>
  <c r="AB94" i="58"/>
  <c r="AB95" i="58"/>
  <c r="AB96" i="58"/>
  <c r="AB97" i="58"/>
  <c r="AB98" i="58"/>
  <c r="AB99" i="58"/>
  <c r="AB100" i="58"/>
  <c r="AB101" i="58"/>
  <c r="AB102" i="58"/>
  <c r="AB103" i="58"/>
  <c r="AB104" i="58"/>
  <c r="AB105" i="58"/>
  <c r="AB106" i="58"/>
  <c r="AB107" i="58"/>
  <c r="AB108" i="58"/>
  <c r="AB109" i="58"/>
  <c r="AB110" i="58"/>
  <c r="AB55" i="58"/>
  <c r="AB56" i="58"/>
  <c r="AB57" i="58"/>
  <c r="AB58" i="58"/>
  <c r="AB59" i="58"/>
  <c r="AB60" i="58"/>
  <c r="AB61" i="58"/>
  <c r="AB62" i="58"/>
  <c r="AB63" i="58"/>
  <c r="AB64" i="58"/>
  <c r="AB65" i="58"/>
  <c r="AB66" i="58"/>
  <c r="AB67" i="58"/>
  <c r="AB68" i="58"/>
  <c r="AB69" i="58"/>
  <c r="AB70" i="58"/>
  <c r="AB71" i="58"/>
  <c r="AB72" i="58"/>
  <c r="AB73" i="58"/>
  <c r="AB74" i="58"/>
  <c r="AB75" i="58"/>
  <c r="AB76" i="58"/>
  <c r="AB77" i="58"/>
  <c r="AB78" i="58"/>
  <c r="AB79" i="58"/>
  <c r="AB80" i="58"/>
  <c r="AB81" i="58"/>
  <c r="AB82" i="58"/>
  <c r="AB83" i="58"/>
  <c r="AB84" i="58"/>
  <c r="AB85" i="58"/>
  <c r="AB86" i="58"/>
  <c r="AB87" i="58"/>
  <c r="AB88" i="58"/>
  <c r="AB89" i="58"/>
  <c r="AB90" i="58"/>
  <c r="AB91" i="58"/>
  <c r="AB92" i="58"/>
  <c r="AB93" i="58"/>
  <c r="AB9" i="58"/>
  <c r="AB10" i="58"/>
  <c r="AB11" i="58"/>
  <c r="AB12" i="58"/>
  <c r="AB13" i="58"/>
  <c r="AB14" i="58"/>
  <c r="AB15" i="58"/>
  <c r="AB16" i="58"/>
  <c r="AB17" i="58"/>
  <c r="AB18" i="58"/>
  <c r="AB19" i="58"/>
  <c r="AB20" i="58"/>
  <c r="AB21" i="58"/>
  <c r="AB22" i="58"/>
  <c r="AB23" i="58"/>
  <c r="AB24" i="58"/>
  <c r="AB25" i="58"/>
  <c r="AB26" i="58"/>
  <c r="AB27" i="58"/>
  <c r="AB28" i="58"/>
  <c r="AB29" i="58"/>
  <c r="AB30" i="58"/>
  <c r="AB31" i="58"/>
  <c r="AB32" i="58"/>
  <c r="AB33" i="58"/>
  <c r="AB34" i="58"/>
  <c r="AB35" i="58"/>
  <c r="AB36" i="58"/>
  <c r="AB37" i="58"/>
  <c r="AB38" i="58"/>
  <c r="AB39" i="58"/>
  <c r="AB40" i="58"/>
  <c r="AB41" i="58"/>
  <c r="AB42" i="58"/>
  <c r="AB43" i="58"/>
  <c r="AB44" i="58"/>
  <c r="AB45" i="58"/>
  <c r="AB46" i="58"/>
  <c r="AB47" i="58"/>
  <c r="AB48" i="58"/>
  <c r="AB49" i="58"/>
  <c r="AB50" i="58"/>
  <c r="AB51" i="58"/>
  <c r="AB52" i="58"/>
  <c r="AB53" i="58"/>
  <c r="AB54" i="58"/>
  <c r="AB8" i="58"/>
  <c r="E19" i="58"/>
  <c r="F19" i="58"/>
  <c r="G19" i="58"/>
  <c r="H19" i="58"/>
  <c r="I19" i="58"/>
  <c r="J19" i="58"/>
  <c r="K19" i="58"/>
  <c r="L19" i="58"/>
  <c r="M19" i="58"/>
  <c r="N19" i="58"/>
  <c r="Z19" i="58"/>
  <c r="AA19" i="58"/>
  <c r="E20" i="58"/>
  <c r="F20" i="58"/>
  <c r="G20" i="58"/>
  <c r="H20" i="58"/>
  <c r="I20" i="58"/>
  <c r="J20" i="58"/>
  <c r="K20" i="58"/>
  <c r="L20" i="58"/>
  <c r="M20" i="58"/>
  <c r="N20" i="58"/>
  <c r="Z20" i="58"/>
  <c r="AA20" i="58"/>
  <c r="R19" i="58"/>
  <c r="S19" i="58"/>
  <c r="T19" i="58"/>
  <c r="U19" i="58"/>
  <c r="R20" i="58"/>
  <c r="S20" i="58"/>
  <c r="T20" i="58"/>
  <c r="U20" i="58"/>
  <c r="A109" i="58"/>
  <c r="B109" i="58"/>
  <c r="C109" i="58"/>
  <c r="D109" i="58"/>
  <c r="A110" i="58"/>
  <c r="B110" i="58"/>
  <c r="C110" i="58"/>
  <c r="D110" i="58"/>
  <c r="A96" i="58"/>
  <c r="B96" i="58"/>
  <c r="C96" i="58"/>
  <c r="D96" i="58"/>
  <c r="A97" i="58"/>
  <c r="B97" i="58"/>
  <c r="C97" i="58"/>
  <c r="D97" i="58"/>
  <c r="A83" i="58"/>
  <c r="B83" i="58"/>
  <c r="C83" i="58"/>
  <c r="D83" i="58"/>
  <c r="A84" i="58"/>
  <c r="B84" i="58"/>
  <c r="C84" i="58"/>
  <c r="D84" i="58"/>
  <c r="A71" i="58"/>
  <c r="B71" i="58"/>
  <c r="C71" i="58"/>
  <c r="D71" i="58"/>
  <c r="A72" i="58"/>
  <c r="B72" i="58"/>
  <c r="C72" i="58"/>
  <c r="D72" i="58"/>
  <c r="A58" i="58"/>
  <c r="B58" i="58"/>
  <c r="C58" i="58"/>
  <c r="D58" i="58"/>
  <c r="A59" i="58"/>
  <c r="B59" i="58"/>
  <c r="C59" i="58"/>
  <c r="D59" i="58"/>
  <c r="A45" i="58"/>
  <c r="B45" i="58"/>
  <c r="C45" i="58"/>
  <c r="D45" i="58"/>
  <c r="A46" i="58"/>
  <c r="B46" i="58"/>
  <c r="C46" i="58"/>
  <c r="D46" i="58"/>
  <c r="A32" i="58"/>
  <c r="B32" i="58"/>
  <c r="C32" i="58"/>
  <c r="D32" i="58"/>
  <c r="A33" i="58"/>
  <c r="B33" i="58"/>
  <c r="C33" i="58"/>
  <c r="D33" i="58"/>
  <c r="D19" i="58"/>
  <c r="D20" i="58"/>
  <c r="A19" i="58"/>
  <c r="B19" i="58"/>
  <c r="C19" i="58"/>
  <c r="A20" i="58"/>
  <c r="B20" i="58"/>
  <c r="C20" i="58"/>
  <c r="AA108" i="58"/>
  <c r="Z108" i="58"/>
  <c r="U108" i="58"/>
  <c r="T108" i="58"/>
  <c r="S108" i="58"/>
  <c r="R108" i="58"/>
  <c r="D108" i="58"/>
  <c r="C108" i="58"/>
  <c r="B108" i="58"/>
  <c r="A108" i="58"/>
  <c r="AA107" i="58"/>
  <c r="Z107" i="58"/>
  <c r="U107" i="58"/>
  <c r="T107" i="58"/>
  <c r="S107" i="58"/>
  <c r="R107" i="58"/>
  <c r="D107" i="58"/>
  <c r="C107" i="58"/>
  <c r="B107" i="58"/>
  <c r="A107" i="58"/>
  <c r="AA106" i="58"/>
  <c r="Z106" i="58"/>
  <c r="U106" i="58"/>
  <c r="T106" i="58"/>
  <c r="S106" i="58"/>
  <c r="R106" i="58"/>
  <c r="D106" i="58"/>
  <c r="C106" i="58"/>
  <c r="B106" i="58"/>
  <c r="A106" i="58"/>
  <c r="AA105" i="58"/>
  <c r="Z105" i="58"/>
  <c r="U105" i="58"/>
  <c r="T105" i="58"/>
  <c r="S105" i="58"/>
  <c r="R105" i="58"/>
  <c r="D105" i="58"/>
  <c r="C105" i="58"/>
  <c r="B105" i="58"/>
  <c r="A105" i="58"/>
  <c r="AA104" i="58"/>
  <c r="Z104" i="58"/>
  <c r="U104" i="58"/>
  <c r="T104" i="58"/>
  <c r="S104" i="58"/>
  <c r="R104" i="58"/>
  <c r="D104" i="58"/>
  <c r="C104" i="58"/>
  <c r="B104" i="58"/>
  <c r="A104" i="58"/>
  <c r="AA103" i="58"/>
  <c r="Z103" i="58"/>
  <c r="U103" i="58"/>
  <c r="T103" i="58"/>
  <c r="S103" i="58"/>
  <c r="R103" i="58"/>
  <c r="D103" i="58"/>
  <c r="C103" i="58"/>
  <c r="B103" i="58"/>
  <c r="A103" i="58"/>
  <c r="AA102" i="58"/>
  <c r="Z102" i="58"/>
  <c r="U102" i="58"/>
  <c r="T102" i="58"/>
  <c r="S102" i="58"/>
  <c r="R102" i="58"/>
  <c r="D102" i="58"/>
  <c r="C102" i="58"/>
  <c r="B102" i="58"/>
  <c r="A102" i="58"/>
  <c r="AA101" i="58"/>
  <c r="Z101" i="58"/>
  <c r="U101" i="58"/>
  <c r="T101" i="58"/>
  <c r="S101" i="58"/>
  <c r="R101" i="58"/>
  <c r="D101" i="58"/>
  <c r="C101" i="58"/>
  <c r="B101" i="58"/>
  <c r="A101" i="58"/>
  <c r="AA100" i="58"/>
  <c r="Z100" i="58"/>
  <c r="U100" i="58"/>
  <c r="T100" i="58"/>
  <c r="S100" i="58"/>
  <c r="R100" i="58"/>
  <c r="D100" i="58"/>
  <c r="C100" i="58"/>
  <c r="B100" i="58"/>
  <c r="A100" i="58"/>
  <c r="AA99" i="58"/>
  <c r="Z99" i="58"/>
  <c r="U99" i="58"/>
  <c r="T99" i="58"/>
  <c r="S99" i="58"/>
  <c r="R99" i="58"/>
  <c r="D99" i="58"/>
  <c r="C99" i="58"/>
  <c r="B99" i="58"/>
  <c r="A99" i="58"/>
  <c r="AA98" i="58"/>
  <c r="Z98" i="58"/>
  <c r="U98" i="58"/>
  <c r="T98" i="58"/>
  <c r="S98" i="58"/>
  <c r="R98" i="58"/>
  <c r="D98" i="58"/>
  <c r="C98" i="58"/>
  <c r="B98" i="58"/>
  <c r="A98" i="58"/>
  <c r="AA95" i="58"/>
  <c r="Z95" i="58"/>
  <c r="U95" i="58"/>
  <c r="T95" i="58"/>
  <c r="S95" i="58"/>
  <c r="R95" i="58"/>
  <c r="D95" i="58"/>
  <c r="C95" i="58"/>
  <c r="B95" i="58"/>
  <c r="A95" i="58"/>
  <c r="AA94" i="58"/>
  <c r="Z94" i="58"/>
  <c r="U94" i="58"/>
  <c r="T94" i="58"/>
  <c r="S94" i="58"/>
  <c r="R94" i="58"/>
  <c r="D94" i="58"/>
  <c r="C94" i="58"/>
  <c r="B94" i="58"/>
  <c r="A94" i="58"/>
  <c r="AA93" i="58"/>
  <c r="Z93" i="58"/>
  <c r="U93" i="58"/>
  <c r="T93" i="58"/>
  <c r="S93" i="58"/>
  <c r="R93" i="58"/>
  <c r="D93" i="58"/>
  <c r="C93" i="58"/>
  <c r="B93" i="58"/>
  <c r="A93" i="58"/>
  <c r="AA92" i="58"/>
  <c r="Z92" i="58"/>
  <c r="U92" i="58"/>
  <c r="T92" i="58"/>
  <c r="S92" i="58"/>
  <c r="R92" i="58"/>
  <c r="D92" i="58"/>
  <c r="C92" i="58"/>
  <c r="B92" i="58"/>
  <c r="A92" i="58"/>
  <c r="AA91" i="58"/>
  <c r="Z91" i="58"/>
  <c r="U91" i="58"/>
  <c r="T91" i="58"/>
  <c r="S91" i="58"/>
  <c r="R91" i="58"/>
  <c r="D91" i="58"/>
  <c r="C91" i="58"/>
  <c r="B91" i="58"/>
  <c r="A91" i="58"/>
  <c r="AA90" i="58"/>
  <c r="Z90" i="58"/>
  <c r="U90" i="58"/>
  <c r="T90" i="58"/>
  <c r="S90" i="58"/>
  <c r="R90" i="58"/>
  <c r="D90" i="58"/>
  <c r="C90" i="58"/>
  <c r="B90" i="58"/>
  <c r="A90" i="58"/>
  <c r="AA89" i="58"/>
  <c r="Z89" i="58"/>
  <c r="U89" i="58"/>
  <c r="T89" i="58"/>
  <c r="S89" i="58"/>
  <c r="R89" i="58"/>
  <c r="D89" i="58"/>
  <c r="C89" i="58"/>
  <c r="B89" i="58"/>
  <c r="A89" i="58"/>
  <c r="AA88" i="58"/>
  <c r="Z88" i="58"/>
  <c r="U88" i="58"/>
  <c r="T88" i="58"/>
  <c r="S88" i="58"/>
  <c r="R88" i="58"/>
  <c r="D88" i="58"/>
  <c r="C88" i="58"/>
  <c r="B88" i="58"/>
  <c r="A88" i="58"/>
  <c r="AA87" i="58"/>
  <c r="Z87" i="58"/>
  <c r="U87" i="58"/>
  <c r="T87" i="58"/>
  <c r="S87" i="58"/>
  <c r="R87" i="58"/>
  <c r="D87" i="58"/>
  <c r="C87" i="58"/>
  <c r="B87" i="58"/>
  <c r="A87" i="58"/>
  <c r="AA86" i="58"/>
  <c r="Z86" i="58"/>
  <c r="U86" i="58"/>
  <c r="T86" i="58"/>
  <c r="S86" i="58"/>
  <c r="R86" i="58"/>
  <c r="D86" i="58"/>
  <c r="C86" i="58"/>
  <c r="B86" i="58"/>
  <c r="A86" i="58"/>
  <c r="AA85" i="58"/>
  <c r="Z85" i="58"/>
  <c r="U85" i="58"/>
  <c r="T85" i="58"/>
  <c r="S85" i="58"/>
  <c r="R85" i="58"/>
  <c r="D85" i="58"/>
  <c r="C85" i="58"/>
  <c r="B85" i="58"/>
  <c r="A85" i="58"/>
  <c r="AA82" i="58"/>
  <c r="Z82" i="58"/>
  <c r="U82" i="58"/>
  <c r="T82" i="58"/>
  <c r="S82" i="58"/>
  <c r="R82" i="58"/>
  <c r="N82" i="58"/>
  <c r="M82" i="58"/>
  <c r="L82" i="58"/>
  <c r="K82" i="58"/>
  <c r="J82" i="58"/>
  <c r="I82" i="58"/>
  <c r="H82" i="58"/>
  <c r="G82" i="58"/>
  <c r="F82" i="58"/>
  <c r="E82" i="58"/>
  <c r="D82" i="58"/>
  <c r="C82" i="58"/>
  <c r="B82" i="58"/>
  <c r="A82" i="58"/>
  <c r="AA81" i="58"/>
  <c r="Z81" i="58"/>
  <c r="U81" i="58"/>
  <c r="T81" i="58"/>
  <c r="S81" i="58"/>
  <c r="R81" i="58"/>
  <c r="N81" i="58"/>
  <c r="M81" i="58"/>
  <c r="L81" i="58"/>
  <c r="K81" i="58"/>
  <c r="J81" i="58"/>
  <c r="I81" i="58"/>
  <c r="H81" i="58"/>
  <c r="G81" i="58"/>
  <c r="F81" i="58"/>
  <c r="E81" i="58"/>
  <c r="D81" i="58"/>
  <c r="C81" i="58"/>
  <c r="B81" i="58"/>
  <c r="A81" i="58"/>
  <c r="AA80" i="58"/>
  <c r="Z80" i="58"/>
  <c r="U80" i="58"/>
  <c r="T80" i="58"/>
  <c r="S80" i="58"/>
  <c r="R80" i="58"/>
  <c r="N80" i="58"/>
  <c r="M80" i="58"/>
  <c r="L80" i="58"/>
  <c r="K80" i="58"/>
  <c r="J80" i="58"/>
  <c r="I80" i="58"/>
  <c r="H80" i="58"/>
  <c r="G80" i="58"/>
  <c r="F80" i="58"/>
  <c r="E80" i="58"/>
  <c r="D80" i="58"/>
  <c r="C80" i="58"/>
  <c r="B80" i="58"/>
  <c r="A80" i="58"/>
  <c r="AA79" i="58"/>
  <c r="Z79" i="58"/>
  <c r="U79" i="58"/>
  <c r="T79" i="58"/>
  <c r="S79" i="58"/>
  <c r="R79" i="58"/>
  <c r="N79" i="58"/>
  <c r="M79" i="58"/>
  <c r="L79" i="58"/>
  <c r="K79" i="58"/>
  <c r="J79" i="58"/>
  <c r="I79" i="58"/>
  <c r="H79" i="58"/>
  <c r="G79" i="58"/>
  <c r="F79" i="58"/>
  <c r="E79" i="58"/>
  <c r="D79" i="58"/>
  <c r="C79" i="58"/>
  <c r="B79" i="58"/>
  <c r="A79" i="58"/>
  <c r="AA78" i="58"/>
  <c r="Z78" i="58"/>
  <c r="U78" i="58"/>
  <c r="T78" i="58"/>
  <c r="S78" i="58"/>
  <c r="R78" i="58"/>
  <c r="N78" i="58"/>
  <c r="M78" i="58"/>
  <c r="L78" i="58"/>
  <c r="K78" i="58"/>
  <c r="J78" i="58"/>
  <c r="I78" i="58"/>
  <c r="H78" i="58"/>
  <c r="G78" i="58"/>
  <c r="F78" i="58"/>
  <c r="E78" i="58"/>
  <c r="D78" i="58"/>
  <c r="C78" i="58"/>
  <c r="B78" i="58"/>
  <c r="A78" i="58"/>
  <c r="AA77" i="58"/>
  <c r="Z77" i="58"/>
  <c r="U77" i="58"/>
  <c r="T77" i="58"/>
  <c r="S77" i="58"/>
  <c r="R77" i="58"/>
  <c r="N77" i="58"/>
  <c r="M77" i="58"/>
  <c r="L77" i="58"/>
  <c r="K77" i="58"/>
  <c r="J77" i="58"/>
  <c r="I77" i="58"/>
  <c r="H77" i="58"/>
  <c r="G77" i="58"/>
  <c r="F77" i="58"/>
  <c r="E77" i="58"/>
  <c r="D77" i="58"/>
  <c r="C77" i="58"/>
  <c r="B77" i="58"/>
  <c r="A77" i="58"/>
  <c r="AA76" i="58"/>
  <c r="Z76" i="58"/>
  <c r="U76" i="58"/>
  <c r="T76" i="58"/>
  <c r="S76" i="58"/>
  <c r="R76" i="58"/>
  <c r="N76" i="58"/>
  <c r="M76" i="58"/>
  <c r="L76" i="58"/>
  <c r="K76" i="58"/>
  <c r="J76" i="58"/>
  <c r="I76" i="58"/>
  <c r="H76" i="58"/>
  <c r="G76" i="58"/>
  <c r="F76" i="58"/>
  <c r="E76" i="58"/>
  <c r="D76" i="58"/>
  <c r="C76" i="58"/>
  <c r="B76" i="58"/>
  <c r="A76" i="58"/>
  <c r="AA75" i="58"/>
  <c r="Z75" i="58"/>
  <c r="U75" i="58"/>
  <c r="T75" i="58"/>
  <c r="S75" i="58"/>
  <c r="R75" i="58"/>
  <c r="N75" i="58"/>
  <c r="M75" i="58"/>
  <c r="L75" i="58"/>
  <c r="K75" i="58"/>
  <c r="J75" i="58"/>
  <c r="I75" i="58"/>
  <c r="H75" i="58"/>
  <c r="G75" i="58"/>
  <c r="O75" i="58"/>
  <c r="F75" i="58"/>
  <c r="E75" i="58"/>
  <c r="D75" i="58"/>
  <c r="C75" i="58"/>
  <c r="B75" i="58"/>
  <c r="A75" i="58"/>
  <c r="AA74" i="58"/>
  <c r="Z74" i="58"/>
  <c r="U74" i="58"/>
  <c r="T74" i="58"/>
  <c r="S74" i="58"/>
  <c r="R74" i="58"/>
  <c r="N74" i="58"/>
  <c r="M74" i="58"/>
  <c r="L74" i="58"/>
  <c r="K74" i="58"/>
  <c r="J74" i="58"/>
  <c r="I74" i="58"/>
  <c r="H74" i="58"/>
  <c r="G74" i="58"/>
  <c r="F74" i="58"/>
  <c r="E74" i="58"/>
  <c r="D74" i="58"/>
  <c r="C74" i="58"/>
  <c r="B74" i="58"/>
  <c r="A74" i="58"/>
  <c r="AA73" i="58"/>
  <c r="Z73" i="58"/>
  <c r="U73" i="58"/>
  <c r="T73" i="58"/>
  <c r="S73" i="58"/>
  <c r="R73" i="58"/>
  <c r="N73" i="58"/>
  <c r="M73" i="58"/>
  <c r="L73" i="58"/>
  <c r="K73" i="58"/>
  <c r="J73" i="58"/>
  <c r="I73" i="58"/>
  <c r="H73" i="58"/>
  <c r="G73" i="58"/>
  <c r="F73" i="58"/>
  <c r="E73" i="58"/>
  <c r="D73" i="58"/>
  <c r="C73" i="58"/>
  <c r="B73" i="58"/>
  <c r="A73" i="58"/>
  <c r="AA70" i="58"/>
  <c r="Z70" i="58"/>
  <c r="U70" i="58"/>
  <c r="T70" i="58"/>
  <c r="S70" i="58"/>
  <c r="R70" i="58"/>
  <c r="D70" i="58"/>
  <c r="C70" i="58"/>
  <c r="B70" i="58"/>
  <c r="A70" i="58"/>
  <c r="AA69" i="58"/>
  <c r="Z69" i="58"/>
  <c r="U69" i="58"/>
  <c r="T69" i="58"/>
  <c r="S69" i="58"/>
  <c r="R69" i="58"/>
  <c r="D69" i="58"/>
  <c r="C69" i="58"/>
  <c r="B69" i="58"/>
  <c r="A69" i="58"/>
  <c r="AA68" i="58"/>
  <c r="Z68" i="58"/>
  <c r="U68" i="58"/>
  <c r="T68" i="58"/>
  <c r="S68" i="58"/>
  <c r="R68" i="58"/>
  <c r="D68" i="58"/>
  <c r="C68" i="58"/>
  <c r="B68" i="58"/>
  <c r="A68" i="58"/>
  <c r="AA67" i="58"/>
  <c r="Z67" i="58"/>
  <c r="U67" i="58"/>
  <c r="T67" i="58"/>
  <c r="S67" i="58"/>
  <c r="R67" i="58"/>
  <c r="D67" i="58"/>
  <c r="C67" i="58"/>
  <c r="B67" i="58"/>
  <c r="A67" i="58"/>
  <c r="AA66" i="58"/>
  <c r="Z66" i="58"/>
  <c r="U66" i="58"/>
  <c r="T66" i="58"/>
  <c r="S66" i="58"/>
  <c r="R66" i="58"/>
  <c r="D66" i="58"/>
  <c r="C66" i="58"/>
  <c r="B66" i="58"/>
  <c r="A66" i="58"/>
  <c r="AA65" i="58"/>
  <c r="Z65" i="58"/>
  <c r="U65" i="58"/>
  <c r="T65" i="58"/>
  <c r="S65" i="58"/>
  <c r="R65" i="58"/>
  <c r="D65" i="58"/>
  <c r="C65" i="58"/>
  <c r="B65" i="58"/>
  <c r="A65" i="58"/>
  <c r="AA64" i="58"/>
  <c r="Z64" i="58"/>
  <c r="U64" i="58"/>
  <c r="T64" i="58"/>
  <c r="S64" i="58"/>
  <c r="R64" i="58"/>
  <c r="D64" i="58"/>
  <c r="C64" i="58"/>
  <c r="B64" i="58"/>
  <c r="A64" i="58"/>
  <c r="AA63" i="58"/>
  <c r="Z63" i="58"/>
  <c r="U63" i="58"/>
  <c r="T63" i="58"/>
  <c r="S63" i="58"/>
  <c r="R63" i="58"/>
  <c r="D63" i="58"/>
  <c r="C63" i="58"/>
  <c r="B63" i="58"/>
  <c r="A63" i="58"/>
  <c r="AA62" i="58"/>
  <c r="Z62" i="58"/>
  <c r="U62" i="58"/>
  <c r="T62" i="58"/>
  <c r="S62" i="58"/>
  <c r="R62" i="58"/>
  <c r="D62" i="58"/>
  <c r="C62" i="58"/>
  <c r="B62" i="58"/>
  <c r="A62" i="58"/>
  <c r="AA61" i="58"/>
  <c r="Z61" i="58"/>
  <c r="U61" i="58"/>
  <c r="T61" i="58"/>
  <c r="S61" i="58"/>
  <c r="R61" i="58"/>
  <c r="D61" i="58"/>
  <c r="C61" i="58"/>
  <c r="B61" i="58"/>
  <c r="A61" i="58"/>
  <c r="AA60" i="58"/>
  <c r="Z60" i="58"/>
  <c r="U60" i="58"/>
  <c r="T60" i="58"/>
  <c r="S60" i="58"/>
  <c r="R60" i="58"/>
  <c r="D60" i="58"/>
  <c r="C60" i="58"/>
  <c r="B60" i="58"/>
  <c r="A60" i="58"/>
  <c r="AA57" i="58"/>
  <c r="Z57" i="58"/>
  <c r="U57" i="58"/>
  <c r="T57" i="58"/>
  <c r="S57" i="58"/>
  <c r="R57" i="58"/>
  <c r="D57" i="58"/>
  <c r="C57" i="58"/>
  <c r="B57" i="58"/>
  <c r="A57" i="58"/>
  <c r="AA56" i="58"/>
  <c r="Z56" i="58"/>
  <c r="U56" i="58"/>
  <c r="T56" i="58"/>
  <c r="S56" i="58"/>
  <c r="R56" i="58"/>
  <c r="D56" i="58"/>
  <c r="C56" i="58"/>
  <c r="B56" i="58"/>
  <c r="A56" i="58"/>
  <c r="AA55" i="58"/>
  <c r="Z55" i="58"/>
  <c r="U55" i="58"/>
  <c r="T55" i="58"/>
  <c r="S55" i="58"/>
  <c r="R55" i="58"/>
  <c r="D55" i="58"/>
  <c r="C55" i="58"/>
  <c r="B55" i="58"/>
  <c r="A55" i="58"/>
  <c r="AA54" i="58"/>
  <c r="Z54" i="58"/>
  <c r="U54" i="58"/>
  <c r="T54" i="58"/>
  <c r="S54" i="58"/>
  <c r="R54" i="58"/>
  <c r="D54" i="58"/>
  <c r="C54" i="58"/>
  <c r="B54" i="58"/>
  <c r="A54" i="58"/>
  <c r="AA53" i="58"/>
  <c r="Z53" i="58"/>
  <c r="U53" i="58"/>
  <c r="T53" i="58"/>
  <c r="S53" i="58"/>
  <c r="R53" i="58"/>
  <c r="D53" i="58"/>
  <c r="C53" i="58"/>
  <c r="B53" i="58"/>
  <c r="A53" i="58"/>
  <c r="AA52" i="58"/>
  <c r="Z52" i="58"/>
  <c r="U52" i="58"/>
  <c r="T52" i="58"/>
  <c r="S52" i="58"/>
  <c r="R52" i="58"/>
  <c r="D52" i="58"/>
  <c r="C52" i="58"/>
  <c r="B52" i="58"/>
  <c r="A52" i="58"/>
  <c r="AA51" i="58"/>
  <c r="Z51" i="58"/>
  <c r="U51" i="58"/>
  <c r="T51" i="58"/>
  <c r="S51" i="58"/>
  <c r="R51" i="58"/>
  <c r="D51" i="58"/>
  <c r="C51" i="58"/>
  <c r="B51" i="58"/>
  <c r="A51" i="58"/>
  <c r="AA50" i="58"/>
  <c r="Z50" i="58"/>
  <c r="U50" i="58"/>
  <c r="T50" i="58"/>
  <c r="S50" i="58"/>
  <c r="R50" i="58"/>
  <c r="D50" i="58"/>
  <c r="C50" i="58"/>
  <c r="B50" i="58"/>
  <c r="A50" i="58"/>
  <c r="AA49" i="58"/>
  <c r="Z49" i="58"/>
  <c r="U49" i="58"/>
  <c r="T49" i="58"/>
  <c r="S49" i="58"/>
  <c r="R49" i="58"/>
  <c r="D49" i="58"/>
  <c r="C49" i="58"/>
  <c r="B49" i="58"/>
  <c r="A49" i="58"/>
  <c r="AA48" i="58"/>
  <c r="Z48" i="58"/>
  <c r="U48" i="58"/>
  <c r="T48" i="58"/>
  <c r="S48" i="58"/>
  <c r="R48" i="58"/>
  <c r="D48" i="58"/>
  <c r="C48" i="58"/>
  <c r="B48" i="58"/>
  <c r="A48" i="58"/>
  <c r="AA47" i="58"/>
  <c r="Z47" i="58"/>
  <c r="U47" i="58"/>
  <c r="T47" i="58"/>
  <c r="S47" i="58"/>
  <c r="R47" i="58"/>
  <c r="D47" i="58"/>
  <c r="C47" i="58"/>
  <c r="B47" i="58"/>
  <c r="A47" i="58"/>
  <c r="AA44" i="58"/>
  <c r="Z44" i="58"/>
  <c r="U44" i="58"/>
  <c r="T44" i="58"/>
  <c r="S44" i="58"/>
  <c r="R44" i="58"/>
  <c r="D44" i="58"/>
  <c r="C44" i="58"/>
  <c r="B44" i="58"/>
  <c r="A44" i="58"/>
  <c r="AA43" i="58"/>
  <c r="Z43" i="58"/>
  <c r="U43" i="58"/>
  <c r="T43" i="58"/>
  <c r="S43" i="58"/>
  <c r="R43" i="58"/>
  <c r="C43" i="58"/>
  <c r="B43" i="58"/>
  <c r="A43" i="58"/>
  <c r="AA42" i="58"/>
  <c r="Z42" i="58"/>
  <c r="U42" i="58"/>
  <c r="T42" i="58"/>
  <c r="S42" i="58"/>
  <c r="R42" i="58"/>
  <c r="D42" i="58"/>
  <c r="C42" i="58"/>
  <c r="B42" i="58"/>
  <c r="A42" i="58"/>
  <c r="AA41" i="58"/>
  <c r="Z41" i="58"/>
  <c r="U41" i="58"/>
  <c r="T41" i="58"/>
  <c r="S41" i="58"/>
  <c r="R41" i="58"/>
  <c r="D41" i="58"/>
  <c r="C41" i="58"/>
  <c r="B41" i="58"/>
  <c r="A41" i="58"/>
  <c r="AA40" i="58"/>
  <c r="Z40" i="58"/>
  <c r="U40" i="58"/>
  <c r="T40" i="58"/>
  <c r="S40" i="58"/>
  <c r="R40" i="58"/>
  <c r="D40" i="58"/>
  <c r="C40" i="58"/>
  <c r="B40" i="58"/>
  <c r="A40" i="58"/>
  <c r="AA39" i="58"/>
  <c r="Z39" i="58"/>
  <c r="U39" i="58"/>
  <c r="T39" i="58"/>
  <c r="S39" i="58"/>
  <c r="R39" i="58"/>
  <c r="D39" i="58"/>
  <c r="C39" i="58"/>
  <c r="B39" i="58"/>
  <c r="A39" i="58"/>
  <c r="AA38" i="58"/>
  <c r="Z38" i="58"/>
  <c r="U38" i="58"/>
  <c r="T38" i="58"/>
  <c r="S38" i="58"/>
  <c r="R38" i="58"/>
  <c r="D38" i="58"/>
  <c r="C38" i="58"/>
  <c r="B38" i="58"/>
  <c r="A38" i="58"/>
  <c r="AA37" i="58"/>
  <c r="Z37" i="58"/>
  <c r="U37" i="58"/>
  <c r="T37" i="58"/>
  <c r="S37" i="58"/>
  <c r="R37" i="58"/>
  <c r="C37" i="58"/>
  <c r="B37" i="58"/>
  <c r="A37" i="58"/>
  <c r="AA36" i="58"/>
  <c r="Z36" i="58"/>
  <c r="U36" i="58"/>
  <c r="T36" i="58"/>
  <c r="S36" i="58"/>
  <c r="R36" i="58"/>
  <c r="D36" i="58"/>
  <c r="C36" i="58"/>
  <c r="B36" i="58"/>
  <c r="A36" i="58"/>
  <c r="AA35" i="58"/>
  <c r="Z35" i="58"/>
  <c r="U35" i="58"/>
  <c r="T35" i="58"/>
  <c r="S35" i="58"/>
  <c r="R35" i="58"/>
  <c r="C35" i="58"/>
  <c r="B35" i="58"/>
  <c r="A35" i="58"/>
  <c r="AA34" i="58"/>
  <c r="Z34" i="58"/>
  <c r="U34" i="58"/>
  <c r="T34" i="58"/>
  <c r="S34" i="58"/>
  <c r="R34" i="58"/>
  <c r="D34" i="58"/>
  <c r="C34" i="58"/>
  <c r="B34" i="58"/>
  <c r="A34" i="58"/>
  <c r="AA31" i="58"/>
  <c r="Z31" i="58"/>
  <c r="U31" i="58"/>
  <c r="T31" i="58"/>
  <c r="S31" i="58"/>
  <c r="R31" i="58"/>
  <c r="D31" i="58"/>
  <c r="C31" i="58"/>
  <c r="B31" i="58"/>
  <c r="A31" i="58"/>
  <c r="AA30" i="58"/>
  <c r="Z30" i="58"/>
  <c r="U30" i="58"/>
  <c r="T30" i="58"/>
  <c r="S30" i="58"/>
  <c r="R30" i="58"/>
  <c r="D30" i="58"/>
  <c r="C30" i="58"/>
  <c r="B30" i="58"/>
  <c r="A30" i="58"/>
  <c r="AA29" i="58"/>
  <c r="Z29" i="58"/>
  <c r="U29" i="58"/>
  <c r="T29" i="58"/>
  <c r="S29" i="58"/>
  <c r="R29" i="58"/>
  <c r="D29" i="58"/>
  <c r="C29" i="58"/>
  <c r="B29" i="58"/>
  <c r="A29" i="58"/>
  <c r="AA28" i="58"/>
  <c r="Z28" i="58"/>
  <c r="U28" i="58"/>
  <c r="T28" i="58"/>
  <c r="S28" i="58"/>
  <c r="R28" i="58"/>
  <c r="D28" i="58"/>
  <c r="C28" i="58"/>
  <c r="B28" i="58"/>
  <c r="A28" i="58"/>
  <c r="AA27" i="58"/>
  <c r="Z27" i="58"/>
  <c r="U27" i="58"/>
  <c r="T27" i="58"/>
  <c r="S27" i="58"/>
  <c r="R27" i="58"/>
  <c r="D27" i="58"/>
  <c r="C27" i="58"/>
  <c r="B27" i="58"/>
  <c r="A27" i="58"/>
  <c r="AA26" i="58"/>
  <c r="Z26" i="58"/>
  <c r="U26" i="58"/>
  <c r="T26" i="58"/>
  <c r="S26" i="58"/>
  <c r="R26" i="58"/>
  <c r="D26" i="58"/>
  <c r="C26" i="58"/>
  <c r="B26" i="58"/>
  <c r="A26" i="58"/>
  <c r="AA25" i="58"/>
  <c r="Z25" i="58"/>
  <c r="U25" i="58"/>
  <c r="T25" i="58"/>
  <c r="S25" i="58"/>
  <c r="R25" i="58"/>
  <c r="D25" i="58"/>
  <c r="C25" i="58"/>
  <c r="B25" i="58"/>
  <c r="A25" i="58"/>
  <c r="AA24" i="58"/>
  <c r="Z24" i="58"/>
  <c r="U24" i="58"/>
  <c r="T24" i="58"/>
  <c r="S24" i="58"/>
  <c r="R24" i="58"/>
  <c r="D24" i="58"/>
  <c r="C24" i="58"/>
  <c r="B24" i="58"/>
  <c r="A24" i="58"/>
  <c r="AA23" i="58"/>
  <c r="Z23" i="58"/>
  <c r="U23" i="58"/>
  <c r="T23" i="58"/>
  <c r="S23" i="58"/>
  <c r="R23" i="58"/>
  <c r="C23" i="58"/>
  <c r="B23" i="58"/>
  <c r="A23" i="58"/>
  <c r="AA22" i="58"/>
  <c r="Z22" i="58"/>
  <c r="U22" i="58"/>
  <c r="T22" i="58"/>
  <c r="S22" i="58"/>
  <c r="R22" i="58"/>
  <c r="D22" i="58"/>
  <c r="C22" i="58"/>
  <c r="B22" i="58"/>
  <c r="A22" i="58"/>
  <c r="AA21" i="58"/>
  <c r="Z21" i="58"/>
  <c r="U21" i="58"/>
  <c r="T21" i="58"/>
  <c r="S21" i="58"/>
  <c r="R21" i="58"/>
  <c r="D21" i="58"/>
  <c r="P21" i="58" s="1"/>
  <c r="C21" i="58"/>
  <c r="B21" i="58"/>
  <c r="A21" i="58"/>
  <c r="AA18" i="58"/>
  <c r="Z18" i="58"/>
  <c r="U18" i="58"/>
  <c r="T18" i="58"/>
  <c r="S18" i="58"/>
  <c r="R18" i="58"/>
  <c r="N18" i="58"/>
  <c r="M18" i="58"/>
  <c r="L18" i="58"/>
  <c r="K18" i="58"/>
  <c r="J18" i="58"/>
  <c r="I18" i="58"/>
  <c r="H18" i="58"/>
  <c r="G18" i="58"/>
  <c r="O18" i="58" s="1"/>
  <c r="P18" i="58" s="1"/>
  <c r="Q18" i="58" s="1"/>
  <c r="F18" i="58"/>
  <c r="E18" i="58"/>
  <c r="D18" i="58"/>
  <c r="C18" i="58"/>
  <c r="B18" i="58"/>
  <c r="A18" i="58"/>
  <c r="AA17" i="58"/>
  <c r="Z17" i="58"/>
  <c r="U17" i="58"/>
  <c r="T17" i="58"/>
  <c r="S17" i="58"/>
  <c r="R17" i="58"/>
  <c r="N17" i="58"/>
  <c r="M17" i="58"/>
  <c r="L17" i="58"/>
  <c r="K17" i="58"/>
  <c r="J17" i="58"/>
  <c r="I17" i="58"/>
  <c r="H17" i="58"/>
  <c r="G17" i="58"/>
  <c r="F17" i="58"/>
  <c r="E17" i="58"/>
  <c r="D17" i="58"/>
  <c r="C17" i="58"/>
  <c r="B17" i="58"/>
  <c r="A17" i="58"/>
  <c r="AA16" i="58"/>
  <c r="Z16" i="58"/>
  <c r="U16" i="58"/>
  <c r="T16" i="58"/>
  <c r="S16" i="58"/>
  <c r="R16" i="58"/>
  <c r="N16" i="58"/>
  <c r="M16" i="58"/>
  <c r="L16" i="58"/>
  <c r="K16" i="58"/>
  <c r="J16" i="58"/>
  <c r="I16" i="58"/>
  <c r="H16" i="58"/>
  <c r="G16" i="58"/>
  <c r="F16" i="58"/>
  <c r="E16" i="58"/>
  <c r="D16" i="58"/>
  <c r="C16" i="58"/>
  <c r="B16" i="58"/>
  <c r="A16" i="58"/>
  <c r="AA15" i="58"/>
  <c r="Z15" i="58"/>
  <c r="U15" i="58"/>
  <c r="T15" i="58"/>
  <c r="S15" i="58"/>
  <c r="R15" i="58"/>
  <c r="N15" i="58"/>
  <c r="M15" i="58"/>
  <c r="L15" i="58"/>
  <c r="K15" i="58"/>
  <c r="J15" i="58"/>
  <c r="I15" i="58"/>
  <c r="H15" i="58"/>
  <c r="G15" i="58"/>
  <c r="F15" i="58"/>
  <c r="E15" i="58"/>
  <c r="D15" i="58"/>
  <c r="C15" i="58"/>
  <c r="B15" i="58"/>
  <c r="A15" i="58"/>
  <c r="AA14" i="58"/>
  <c r="Z14" i="58"/>
  <c r="U14" i="58"/>
  <c r="T14" i="58"/>
  <c r="S14" i="58"/>
  <c r="R14" i="58"/>
  <c r="N14" i="58"/>
  <c r="M14" i="58"/>
  <c r="L14" i="58"/>
  <c r="K14" i="58"/>
  <c r="J14" i="58"/>
  <c r="I14" i="58"/>
  <c r="H14" i="58"/>
  <c r="G14" i="58"/>
  <c r="F14" i="58"/>
  <c r="E14" i="58"/>
  <c r="D14" i="58"/>
  <c r="C14" i="58"/>
  <c r="B14" i="58"/>
  <c r="A14" i="58"/>
  <c r="AA13" i="58"/>
  <c r="Z13" i="58"/>
  <c r="U13" i="58"/>
  <c r="T13" i="58"/>
  <c r="S13" i="58"/>
  <c r="R13" i="58"/>
  <c r="N13" i="58"/>
  <c r="M13" i="58"/>
  <c r="L13" i="58"/>
  <c r="K13" i="58"/>
  <c r="J13" i="58"/>
  <c r="I13" i="58"/>
  <c r="H13" i="58"/>
  <c r="G13" i="58"/>
  <c r="F13" i="58"/>
  <c r="E13" i="58"/>
  <c r="D13" i="58"/>
  <c r="C13" i="58"/>
  <c r="B13" i="58"/>
  <c r="A13" i="58"/>
  <c r="AA12" i="58"/>
  <c r="Z12" i="58"/>
  <c r="U12" i="58"/>
  <c r="T12" i="58"/>
  <c r="S12" i="58"/>
  <c r="R12" i="58"/>
  <c r="N12" i="58"/>
  <c r="M12" i="58"/>
  <c r="L12" i="58"/>
  <c r="K12" i="58"/>
  <c r="J12" i="58"/>
  <c r="I12" i="58"/>
  <c r="H12" i="58"/>
  <c r="G12" i="58"/>
  <c r="F12" i="58"/>
  <c r="E12" i="58"/>
  <c r="D12" i="58"/>
  <c r="C12" i="58"/>
  <c r="B12" i="58"/>
  <c r="A12" i="58"/>
  <c r="AA11" i="58"/>
  <c r="Z11" i="58"/>
  <c r="U11" i="58"/>
  <c r="T11" i="58"/>
  <c r="S11" i="58"/>
  <c r="R11" i="58"/>
  <c r="N11" i="58"/>
  <c r="M11" i="58"/>
  <c r="L11" i="58"/>
  <c r="K11" i="58"/>
  <c r="J11" i="58"/>
  <c r="I11" i="58"/>
  <c r="H11" i="58"/>
  <c r="G11" i="58"/>
  <c r="F11" i="58"/>
  <c r="E11" i="58"/>
  <c r="D11" i="58"/>
  <c r="C11" i="58"/>
  <c r="B11" i="58"/>
  <c r="A11" i="58"/>
  <c r="AA10" i="58"/>
  <c r="Z10" i="58"/>
  <c r="U10" i="58"/>
  <c r="T10" i="58"/>
  <c r="S10" i="58"/>
  <c r="R10" i="58"/>
  <c r="D10" i="58"/>
  <c r="C10" i="58"/>
  <c r="B10" i="58"/>
  <c r="A10" i="58"/>
  <c r="AA9" i="58"/>
  <c r="Z9" i="58"/>
  <c r="U9" i="58"/>
  <c r="T9" i="58"/>
  <c r="S9" i="58"/>
  <c r="R9" i="58"/>
  <c r="D9" i="58"/>
  <c r="C9" i="58"/>
  <c r="B9" i="58"/>
  <c r="A9" i="58"/>
  <c r="AA8" i="58"/>
  <c r="Z8" i="58"/>
  <c r="U8" i="58"/>
  <c r="T8" i="58"/>
  <c r="S8" i="58"/>
  <c r="R8" i="58"/>
  <c r="N8" i="58"/>
  <c r="M8" i="58"/>
  <c r="L8" i="58"/>
  <c r="K8" i="58"/>
  <c r="J8" i="58"/>
  <c r="I8" i="58"/>
  <c r="H8" i="58"/>
  <c r="G8" i="58"/>
  <c r="F8" i="58"/>
  <c r="E8" i="58"/>
  <c r="D8" i="58"/>
  <c r="C8" i="58"/>
  <c r="B8" i="58"/>
  <c r="A8" i="58"/>
  <c r="D31" i="4"/>
  <c r="E31" i="4"/>
  <c r="F31" i="4"/>
  <c r="G31" i="4"/>
  <c r="H31" i="4"/>
  <c r="I31" i="4"/>
  <c r="C31" i="4"/>
  <c r="C34" i="4"/>
  <c r="D30" i="4"/>
  <c r="E30" i="4"/>
  <c r="F30" i="4"/>
  <c r="G30" i="4"/>
  <c r="H30" i="4"/>
  <c r="I30" i="4"/>
  <c r="I32" i="4"/>
  <c r="I33" i="4"/>
  <c r="I34" i="4"/>
  <c r="I37" i="4"/>
  <c r="I35" i="4"/>
  <c r="I36" i="4"/>
  <c r="D32" i="4"/>
  <c r="E32" i="4"/>
  <c r="F32" i="4"/>
  <c r="F33" i="4"/>
  <c r="F34" i="4"/>
  <c r="F35" i="4"/>
  <c r="F36" i="4"/>
  <c r="G32" i="4"/>
  <c r="G33" i="4"/>
  <c r="G34" i="4"/>
  <c r="G35" i="4"/>
  <c r="G36" i="4"/>
  <c r="H32" i="4"/>
  <c r="D33" i="4"/>
  <c r="E33" i="4"/>
  <c r="H33" i="4"/>
  <c r="D34" i="4"/>
  <c r="E34" i="4"/>
  <c r="H34" i="4"/>
  <c r="D35" i="4"/>
  <c r="E35" i="4"/>
  <c r="H35" i="4"/>
  <c r="D36" i="4"/>
  <c r="E36" i="4"/>
  <c r="H36" i="4"/>
  <c r="C35" i="4"/>
  <c r="C15" i="4"/>
  <c r="C14" i="4"/>
  <c r="C33" i="4"/>
  <c r="C30" i="4"/>
  <c r="C32" i="4"/>
  <c r="C36" i="4"/>
  <c r="C13" i="4"/>
  <c r="C12" i="4"/>
  <c r="C11" i="4"/>
  <c r="C10" i="4"/>
  <c r="C16" i="4"/>
  <c r="C76" i="4"/>
  <c r="C77" i="4"/>
  <c r="C78" i="4"/>
  <c r="C79" i="4"/>
  <c r="C80" i="4"/>
  <c r="D76" i="4"/>
  <c r="D77" i="4"/>
  <c r="D78" i="4"/>
  <c r="D79" i="4"/>
  <c r="D80" i="4"/>
  <c r="E76" i="4"/>
  <c r="E77" i="4"/>
  <c r="E78" i="4"/>
  <c r="E79" i="4"/>
  <c r="E80" i="4"/>
  <c r="F76" i="4"/>
  <c r="F77" i="4"/>
  <c r="F78" i="4"/>
  <c r="F79" i="4"/>
  <c r="F80" i="4"/>
  <c r="G76" i="4"/>
  <c r="G77" i="4"/>
  <c r="G78" i="4"/>
  <c r="G79" i="4"/>
  <c r="G80" i="4"/>
  <c r="H76" i="4"/>
  <c r="H77" i="4"/>
  <c r="H78" i="4"/>
  <c r="H79" i="4"/>
  <c r="H80" i="4"/>
  <c r="I76" i="4"/>
  <c r="I77" i="4"/>
  <c r="I78" i="4"/>
  <c r="I79" i="4"/>
  <c r="I80" i="4"/>
  <c r="C68" i="4"/>
  <c r="C69" i="4"/>
  <c r="C70" i="4"/>
  <c r="C71" i="4"/>
  <c r="C72" i="4"/>
  <c r="D68" i="4"/>
  <c r="D69" i="4"/>
  <c r="D70" i="4"/>
  <c r="D71" i="4"/>
  <c r="D72" i="4"/>
  <c r="E68" i="4"/>
  <c r="E69" i="4"/>
  <c r="E70" i="4"/>
  <c r="E71" i="4"/>
  <c r="E72" i="4"/>
  <c r="F68" i="4"/>
  <c r="F69" i="4"/>
  <c r="F70" i="4"/>
  <c r="F71" i="4"/>
  <c r="F72" i="4"/>
  <c r="G68" i="4"/>
  <c r="G69" i="4"/>
  <c r="G70" i="4"/>
  <c r="G71" i="4"/>
  <c r="G72" i="4"/>
  <c r="H68" i="4"/>
  <c r="H69" i="4"/>
  <c r="H70" i="4"/>
  <c r="H71" i="4"/>
  <c r="H72" i="4"/>
  <c r="I68" i="4"/>
  <c r="I69" i="4"/>
  <c r="I70" i="4"/>
  <c r="I71" i="4"/>
  <c r="I72" i="4"/>
  <c r="C60" i="4"/>
  <c r="C61" i="4"/>
  <c r="C62" i="4"/>
  <c r="C63" i="4"/>
  <c r="C64" i="4"/>
  <c r="D60" i="4"/>
  <c r="D61" i="4"/>
  <c r="D62" i="4"/>
  <c r="D63" i="4"/>
  <c r="D64" i="4"/>
  <c r="E60" i="4"/>
  <c r="E61" i="4"/>
  <c r="E62" i="4"/>
  <c r="E63" i="4"/>
  <c r="E64" i="4"/>
  <c r="F60" i="4"/>
  <c r="F61" i="4"/>
  <c r="F62" i="4"/>
  <c r="F63" i="4"/>
  <c r="F64" i="4"/>
  <c r="G60" i="4"/>
  <c r="G61" i="4"/>
  <c r="G62" i="4"/>
  <c r="G63" i="4"/>
  <c r="G64" i="4"/>
  <c r="H60" i="4"/>
  <c r="H61" i="4"/>
  <c r="H62" i="4"/>
  <c r="H63" i="4"/>
  <c r="H64" i="4"/>
  <c r="I60" i="4"/>
  <c r="I61" i="4"/>
  <c r="I62" i="4"/>
  <c r="I63" i="4"/>
  <c r="I64" i="4"/>
  <c r="C48" i="4"/>
  <c r="C49" i="4"/>
  <c r="C50" i="4"/>
  <c r="C51" i="4"/>
  <c r="C52" i="4"/>
  <c r="C53" i="4"/>
  <c r="C54" i="4"/>
  <c r="D48" i="4"/>
  <c r="D49" i="4"/>
  <c r="D50" i="4"/>
  <c r="D51" i="4"/>
  <c r="D52" i="4"/>
  <c r="D53" i="4"/>
  <c r="D54" i="4"/>
  <c r="E48" i="4"/>
  <c r="E49" i="4"/>
  <c r="E50" i="4"/>
  <c r="E51" i="4"/>
  <c r="E52" i="4"/>
  <c r="E53" i="4"/>
  <c r="E54" i="4"/>
  <c r="F48" i="4"/>
  <c r="F49" i="4"/>
  <c r="F50" i="4"/>
  <c r="F51" i="4"/>
  <c r="F52" i="4"/>
  <c r="F53" i="4"/>
  <c r="F54" i="4"/>
  <c r="G48" i="4"/>
  <c r="G49" i="4"/>
  <c r="G50" i="4"/>
  <c r="G51" i="4"/>
  <c r="G52" i="4"/>
  <c r="G53" i="4"/>
  <c r="G54" i="4"/>
  <c r="H48" i="4"/>
  <c r="H49" i="4"/>
  <c r="H50" i="4"/>
  <c r="H51" i="4"/>
  <c r="H52" i="4"/>
  <c r="H53" i="4"/>
  <c r="H54" i="4"/>
  <c r="I48" i="4"/>
  <c r="I49" i="4"/>
  <c r="I50" i="4"/>
  <c r="I51" i="4"/>
  <c r="I52" i="4"/>
  <c r="I53" i="4"/>
  <c r="I54" i="4"/>
  <c r="C40" i="4"/>
  <c r="C41" i="4"/>
  <c r="C42" i="4"/>
  <c r="C43" i="4"/>
  <c r="C44" i="4"/>
  <c r="D40" i="4"/>
  <c r="D41" i="4"/>
  <c r="D42" i="4"/>
  <c r="D43" i="4"/>
  <c r="D44" i="4"/>
  <c r="E40" i="4"/>
  <c r="E41" i="4"/>
  <c r="E42" i="4"/>
  <c r="E43" i="4"/>
  <c r="E44" i="4"/>
  <c r="F40" i="4"/>
  <c r="F41" i="4"/>
  <c r="F42" i="4"/>
  <c r="F43" i="4"/>
  <c r="F44" i="4"/>
  <c r="G40" i="4"/>
  <c r="G41" i="4"/>
  <c r="G42" i="4"/>
  <c r="G43" i="4"/>
  <c r="G44" i="4"/>
  <c r="H40" i="4"/>
  <c r="H41" i="4"/>
  <c r="H42" i="4"/>
  <c r="H43" i="4"/>
  <c r="H44" i="4"/>
  <c r="I40" i="4"/>
  <c r="I41" i="4"/>
  <c r="I42" i="4"/>
  <c r="I43" i="4"/>
  <c r="I44" i="4"/>
  <c r="C20" i="4"/>
  <c r="C21" i="4"/>
  <c r="C22" i="4"/>
  <c r="C23" i="4"/>
  <c r="C24" i="4"/>
  <c r="D20" i="4"/>
  <c r="D21" i="4"/>
  <c r="D22" i="4"/>
  <c r="D23" i="4"/>
  <c r="D24" i="4"/>
  <c r="E20" i="4"/>
  <c r="E21" i="4"/>
  <c r="E22" i="4"/>
  <c r="E23" i="4"/>
  <c r="E24" i="4"/>
  <c r="F20" i="4"/>
  <c r="F21" i="4"/>
  <c r="F22" i="4"/>
  <c r="F23" i="4"/>
  <c r="F24" i="4"/>
  <c r="G20" i="4"/>
  <c r="G21" i="4"/>
  <c r="G22" i="4"/>
  <c r="G23" i="4"/>
  <c r="G24" i="4"/>
  <c r="H20" i="4"/>
  <c r="H21" i="4"/>
  <c r="H22" i="4"/>
  <c r="H23" i="4"/>
  <c r="H24" i="4"/>
  <c r="I20" i="4"/>
  <c r="I21" i="4"/>
  <c r="I22" i="4"/>
  <c r="I23" i="4"/>
  <c r="I24" i="4"/>
  <c r="D10" i="4"/>
  <c r="D11" i="4"/>
  <c r="D12" i="4"/>
  <c r="D13" i="4"/>
  <c r="D14" i="4"/>
  <c r="D15" i="4"/>
  <c r="D16" i="4"/>
  <c r="E10" i="4"/>
  <c r="E11" i="4"/>
  <c r="E12" i="4"/>
  <c r="E13" i="4"/>
  <c r="E14" i="4"/>
  <c r="E15" i="4"/>
  <c r="E16" i="4"/>
  <c r="F10" i="4"/>
  <c r="F11" i="4"/>
  <c r="F12" i="4"/>
  <c r="F13" i="4"/>
  <c r="F14" i="4"/>
  <c r="F15" i="4"/>
  <c r="F16" i="4"/>
  <c r="G10" i="4"/>
  <c r="G11" i="4"/>
  <c r="G12" i="4"/>
  <c r="G13" i="4"/>
  <c r="G14" i="4"/>
  <c r="G15" i="4"/>
  <c r="G16" i="4"/>
  <c r="H10" i="4"/>
  <c r="H11" i="4"/>
  <c r="H12" i="4"/>
  <c r="H13" i="4"/>
  <c r="H14" i="4"/>
  <c r="H15" i="4"/>
  <c r="H16" i="4"/>
  <c r="I10" i="4"/>
  <c r="I11" i="4"/>
  <c r="I12" i="4"/>
  <c r="I13" i="4"/>
  <c r="I14" i="4"/>
  <c r="I15" i="4"/>
  <c r="I16" i="4"/>
  <c r="C10" i="10"/>
  <c r="I98" i="10"/>
  <c r="H98" i="10"/>
  <c r="G98" i="10"/>
  <c r="F98" i="10"/>
  <c r="E98" i="10"/>
  <c r="D98" i="10"/>
  <c r="C98" i="10"/>
  <c r="I97" i="10"/>
  <c r="H97" i="10"/>
  <c r="G97" i="10"/>
  <c r="F97" i="10"/>
  <c r="E97" i="10"/>
  <c r="D97" i="10"/>
  <c r="C97" i="10"/>
  <c r="I96" i="10"/>
  <c r="H96" i="10"/>
  <c r="G96" i="10"/>
  <c r="F96" i="10"/>
  <c r="E96" i="10"/>
  <c r="D96" i="10"/>
  <c r="C96" i="10"/>
  <c r="I95" i="10"/>
  <c r="H95" i="10"/>
  <c r="H92" i="10"/>
  <c r="H93" i="10"/>
  <c r="H94" i="10"/>
  <c r="G95" i="10"/>
  <c r="F95" i="10"/>
  <c r="E95" i="10"/>
  <c r="D95" i="10"/>
  <c r="D92" i="10"/>
  <c r="D93" i="10"/>
  <c r="D94" i="10"/>
  <c r="C95" i="10"/>
  <c r="I94" i="10"/>
  <c r="G94" i="10"/>
  <c r="F94" i="10"/>
  <c r="E94" i="10"/>
  <c r="C94" i="10"/>
  <c r="I93" i="10"/>
  <c r="G93" i="10"/>
  <c r="F93" i="10"/>
  <c r="E93" i="10"/>
  <c r="C93" i="10"/>
  <c r="I92" i="10"/>
  <c r="G92" i="10"/>
  <c r="F92" i="10"/>
  <c r="E92" i="10"/>
  <c r="C92" i="10"/>
  <c r="I88" i="10"/>
  <c r="H88" i="10"/>
  <c r="G88" i="10"/>
  <c r="F88" i="10"/>
  <c r="E88" i="10"/>
  <c r="E89" i="10" s="1"/>
  <c r="D88" i="10"/>
  <c r="C88" i="10"/>
  <c r="I87" i="10"/>
  <c r="H87" i="10"/>
  <c r="G87" i="10"/>
  <c r="F87" i="10"/>
  <c r="E87" i="10"/>
  <c r="D87" i="10"/>
  <c r="C87" i="10"/>
  <c r="I86" i="10"/>
  <c r="H86" i="10"/>
  <c r="G86" i="10"/>
  <c r="F86" i="10"/>
  <c r="E86" i="10"/>
  <c r="D86" i="10"/>
  <c r="C86" i="10"/>
  <c r="I85" i="10"/>
  <c r="H85" i="10"/>
  <c r="G85" i="10"/>
  <c r="F85" i="10"/>
  <c r="E85" i="10"/>
  <c r="D85" i="10"/>
  <c r="C85" i="10"/>
  <c r="I84" i="10"/>
  <c r="H84" i="10"/>
  <c r="H82" i="10"/>
  <c r="H83" i="10"/>
  <c r="G84" i="10"/>
  <c r="F84" i="10"/>
  <c r="E84" i="10"/>
  <c r="D84" i="10"/>
  <c r="D82" i="10"/>
  <c r="D83" i="10"/>
  <c r="C84" i="10"/>
  <c r="I83" i="10"/>
  <c r="G83" i="10"/>
  <c r="G82" i="10"/>
  <c r="F83" i="10"/>
  <c r="E83" i="10"/>
  <c r="C83" i="10"/>
  <c r="C82" i="10"/>
  <c r="I82" i="10"/>
  <c r="F82" i="10"/>
  <c r="E82" i="10"/>
  <c r="I78" i="10"/>
  <c r="H78" i="10"/>
  <c r="G78" i="10"/>
  <c r="F78" i="10"/>
  <c r="E78" i="10"/>
  <c r="C78" i="10"/>
  <c r="D78" i="10"/>
  <c r="I77" i="10"/>
  <c r="H77" i="10"/>
  <c r="G77" i="10"/>
  <c r="F77" i="10"/>
  <c r="E77" i="10"/>
  <c r="E79" i="10" s="1"/>
  <c r="D77" i="10"/>
  <c r="C77" i="10"/>
  <c r="I76" i="10"/>
  <c r="H76" i="10"/>
  <c r="G76" i="10"/>
  <c r="F76" i="10"/>
  <c r="E76" i="10"/>
  <c r="D76" i="10"/>
  <c r="C76" i="10"/>
  <c r="I75" i="10"/>
  <c r="H75" i="10"/>
  <c r="G75" i="10"/>
  <c r="F75" i="10"/>
  <c r="F72" i="10"/>
  <c r="F73" i="10"/>
  <c r="F74" i="10"/>
  <c r="E75" i="10"/>
  <c r="D75" i="10"/>
  <c r="C75" i="10"/>
  <c r="I74" i="10"/>
  <c r="H74" i="10"/>
  <c r="G74" i="10"/>
  <c r="E74" i="10"/>
  <c r="D74" i="10"/>
  <c r="C74" i="10"/>
  <c r="I73" i="10"/>
  <c r="H73" i="10"/>
  <c r="G73" i="10"/>
  <c r="E73" i="10"/>
  <c r="D73" i="10"/>
  <c r="C73" i="10"/>
  <c r="I72" i="10"/>
  <c r="H72" i="10"/>
  <c r="G72" i="10"/>
  <c r="E72" i="10"/>
  <c r="D72" i="10"/>
  <c r="C72" i="10"/>
  <c r="I66" i="10"/>
  <c r="H66" i="10"/>
  <c r="G66" i="10"/>
  <c r="F66" i="10"/>
  <c r="E66" i="10"/>
  <c r="D66" i="10"/>
  <c r="C66" i="10"/>
  <c r="I65" i="10"/>
  <c r="H65" i="10"/>
  <c r="G65" i="10"/>
  <c r="F65" i="10"/>
  <c r="E65" i="10"/>
  <c r="D65" i="10"/>
  <c r="C65" i="10"/>
  <c r="I64" i="10"/>
  <c r="H64" i="10"/>
  <c r="G64" i="10"/>
  <c r="F64" i="10"/>
  <c r="E64" i="10"/>
  <c r="D64" i="10"/>
  <c r="C64" i="10"/>
  <c r="I63" i="10"/>
  <c r="H63" i="10"/>
  <c r="G63" i="10"/>
  <c r="F63" i="10"/>
  <c r="E63" i="10"/>
  <c r="D63" i="10"/>
  <c r="C63" i="10"/>
  <c r="I62" i="10"/>
  <c r="I60" i="10"/>
  <c r="I61" i="10"/>
  <c r="I67" i="10" s="1"/>
  <c r="H62" i="10"/>
  <c r="G62" i="10"/>
  <c r="F62" i="10"/>
  <c r="F60" i="10"/>
  <c r="F61" i="10"/>
  <c r="E62" i="10"/>
  <c r="D62" i="10"/>
  <c r="C62" i="10"/>
  <c r="H61" i="10"/>
  <c r="G61" i="10"/>
  <c r="E61" i="10"/>
  <c r="E60" i="10"/>
  <c r="D61" i="10"/>
  <c r="C61" i="10"/>
  <c r="H60" i="10"/>
  <c r="G60" i="10"/>
  <c r="D60" i="10"/>
  <c r="C60" i="10"/>
  <c r="I56" i="10"/>
  <c r="H56" i="10"/>
  <c r="G56" i="10"/>
  <c r="F56" i="10"/>
  <c r="E56" i="10"/>
  <c r="D56" i="10"/>
  <c r="C56" i="10"/>
  <c r="I55" i="10"/>
  <c r="H55" i="10"/>
  <c r="G55" i="10"/>
  <c r="F55" i="10"/>
  <c r="E55" i="10"/>
  <c r="D55" i="10"/>
  <c r="C55" i="10"/>
  <c r="I54" i="10"/>
  <c r="H54" i="10"/>
  <c r="G54" i="10"/>
  <c r="F54" i="10"/>
  <c r="E54" i="10"/>
  <c r="D54" i="10"/>
  <c r="C54" i="10"/>
  <c r="I53" i="10"/>
  <c r="H53" i="10"/>
  <c r="H50" i="10"/>
  <c r="H51" i="10"/>
  <c r="H52" i="10"/>
  <c r="G53" i="10"/>
  <c r="F53" i="10"/>
  <c r="E53" i="10"/>
  <c r="D53" i="10"/>
  <c r="D50" i="10"/>
  <c r="D51" i="10"/>
  <c r="D52" i="10"/>
  <c r="C53" i="10"/>
  <c r="I52" i="10"/>
  <c r="G52" i="10"/>
  <c r="F52" i="10"/>
  <c r="E52" i="10"/>
  <c r="C52" i="10"/>
  <c r="I51" i="10"/>
  <c r="G51" i="10"/>
  <c r="F51" i="10"/>
  <c r="E51" i="10"/>
  <c r="C51" i="10"/>
  <c r="I50" i="10"/>
  <c r="G50" i="10"/>
  <c r="F50" i="10"/>
  <c r="E50" i="10"/>
  <c r="C50" i="10"/>
  <c r="I46" i="10"/>
  <c r="H46" i="10"/>
  <c r="G46" i="10"/>
  <c r="F46" i="10"/>
  <c r="E46" i="10"/>
  <c r="D46" i="10"/>
  <c r="C46" i="10"/>
  <c r="I45" i="10"/>
  <c r="H45" i="10"/>
  <c r="G45" i="10"/>
  <c r="F45" i="10"/>
  <c r="E45" i="10"/>
  <c r="D45" i="10"/>
  <c r="C45" i="10"/>
  <c r="I44" i="10"/>
  <c r="H44" i="10"/>
  <c r="G44" i="10"/>
  <c r="F44" i="10"/>
  <c r="E44" i="10"/>
  <c r="D44" i="10"/>
  <c r="C44" i="10"/>
  <c r="I43" i="10"/>
  <c r="H43" i="10"/>
  <c r="G43" i="10"/>
  <c r="F43" i="10"/>
  <c r="E43" i="10"/>
  <c r="D43" i="10"/>
  <c r="C43" i="10"/>
  <c r="I42" i="10"/>
  <c r="I47" i="10" s="1"/>
  <c r="H42" i="10"/>
  <c r="H40" i="10"/>
  <c r="H41" i="10"/>
  <c r="G42" i="10"/>
  <c r="F42" i="10"/>
  <c r="E42" i="10"/>
  <c r="D42" i="10"/>
  <c r="D40" i="10"/>
  <c r="D41" i="10"/>
  <c r="C42" i="10"/>
  <c r="I41" i="10"/>
  <c r="G41" i="10"/>
  <c r="G40" i="10"/>
  <c r="F41" i="10"/>
  <c r="E41" i="10"/>
  <c r="C41" i="10"/>
  <c r="C40" i="10"/>
  <c r="I40" i="10"/>
  <c r="F40" i="10"/>
  <c r="E40" i="10"/>
  <c r="I34" i="10"/>
  <c r="H34" i="10"/>
  <c r="G34" i="10"/>
  <c r="F34" i="10"/>
  <c r="E34" i="10"/>
  <c r="C34" i="10"/>
  <c r="D34" i="10"/>
  <c r="I33" i="10"/>
  <c r="H33" i="10"/>
  <c r="G33" i="10"/>
  <c r="F33" i="10"/>
  <c r="E33" i="10"/>
  <c r="D33" i="10"/>
  <c r="C33" i="10"/>
  <c r="C32" i="10"/>
  <c r="C31" i="10"/>
  <c r="C30" i="10"/>
  <c r="I29" i="10"/>
  <c r="H29" i="10"/>
  <c r="G29" i="10"/>
  <c r="F29" i="10"/>
  <c r="F24" i="10"/>
  <c r="F28" i="10"/>
  <c r="E29" i="10"/>
  <c r="D29" i="10"/>
  <c r="C29" i="10"/>
  <c r="I28" i="10"/>
  <c r="H28" i="10"/>
  <c r="G28" i="10"/>
  <c r="E28" i="10"/>
  <c r="D28" i="10"/>
  <c r="C28" i="10"/>
  <c r="C27" i="10"/>
  <c r="C26" i="10"/>
  <c r="C25" i="10"/>
  <c r="I24" i="10"/>
  <c r="H24" i="10"/>
  <c r="G24" i="10"/>
  <c r="E24" i="10"/>
  <c r="D24" i="10"/>
  <c r="D35" i="10" s="1"/>
  <c r="C24" i="10"/>
  <c r="I20" i="10"/>
  <c r="H20" i="10"/>
  <c r="G20" i="10"/>
  <c r="F20" i="10"/>
  <c r="E20" i="10"/>
  <c r="D20" i="10"/>
  <c r="C20" i="10"/>
  <c r="I19" i="10"/>
  <c r="H19" i="10"/>
  <c r="G19" i="10"/>
  <c r="F19" i="10"/>
  <c r="E19" i="10"/>
  <c r="D19" i="10"/>
  <c r="C19" i="10"/>
  <c r="I18" i="10"/>
  <c r="H18" i="10"/>
  <c r="G18" i="10"/>
  <c r="F18" i="10"/>
  <c r="E18" i="10"/>
  <c r="D18" i="10"/>
  <c r="C18" i="10"/>
  <c r="I17" i="10"/>
  <c r="H17" i="10"/>
  <c r="G17" i="10"/>
  <c r="F17" i="10"/>
  <c r="E17" i="10"/>
  <c r="D17" i="10"/>
  <c r="C17" i="10"/>
  <c r="I16" i="10"/>
  <c r="H16" i="10"/>
  <c r="G16" i="10"/>
  <c r="F16" i="10"/>
  <c r="E16" i="10"/>
  <c r="D16" i="10"/>
  <c r="C16" i="10"/>
  <c r="I15" i="10"/>
  <c r="H15" i="10"/>
  <c r="G15" i="10"/>
  <c r="F15" i="10"/>
  <c r="E15" i="10"/>
  <c r="D15" i="10"/>
  <c r="C15" i="10"/>
  <c r="I14" i="10"/>
  <c r="H14" i="10"/>
  <c r="G14" i="10"/>
  <c r="F14" i="10"/>
  <c r="E14" i="10"/>
  <c r="D14" i="10"/>
  <c r="C14" i="10"/>
  <c r="I13" i="10"/>
  <c r="H13" i="10"/>
  <c r="G13" i="10"/>
  <c r="F13" i="10"/>
  <c r="E13" i="10"/>
  <c r="D13" i="10"/>
  <c r="C13" i="10"/>
  <c r="I12" i="10"/>
  <c r="H12" i="10"/>
  <c r="G12" i="10"/>
  <c r="F12" i="10"/>
  <c r="F10" i="10"/>
  <c r="F11" i="10"/>
  <c r="E12" i="10"/>
  <c r="D12" i="10"/>
  <c r="C12" i="10"/>
  <c r="I11" i="10"/>
  <c r="I10" i="10"/>
  <c r="H11" i="10"/>
  <c r="G11" i="10"/>
  <c r="E11" i="10"/>
  <c r="E10" i="10"/>
  <c r="D11" i="10"/>
  <c r="C11" i="10"/>
  <c r="H10" i="10"/>
  <c r="G10" i="10"/>
  <c r="D10" i="10"/>
  <c r="C92" i="18"/>
  <c r="C93" i="18"/>
  <c r="C94" i="18"/>
  <c r="C95" i="18"/>
  <c r="C96" i="18"/>
  <c r="C97" i="18"/>
  <c r="C98" i="18"/>
  <c r="D92" i="18"/>
  <c r="D94" i="18"/>
  <c r="D95" i="18"/>
  <c r="D97" i="18"/>
  <c r="D98" i="18"/>
  <c r="E92" i="18"/>
  <c r="E94" i="18"/>
  <c r="E95" i="18"/>
  <c r="E97" i="18"/>
  <c r="E98" i="18"/>
  <c r="F92" i="18"/>
  <c r="F94" i="18"/>
  <c r="F95" i="18"/>
  <c r="F97" i="18"/>
  <c r="F98" i="18"/>
  <c r="G92" i="18"/>
  <c r="G94" i="18"/>
  <c r="G95" i="18"/>
  <c r="G97" i="18"/>
  <c r="G98" i="18"/>
  <c r="H92" i="18"/>
  <c r="H94" i="18"/>
  <c r="H95" i="18"/>
  <c r="H97" i="18"/>
  <c r="H98" i="18"/>
  <c r="I92" i="18"/>
  <c r="I94" i="18"/>
  <c r="I95" i="18"/>
  <c r="I97" i="18"/>
  <c r="I98" i="18"/>
  <c r="C82" i="18"/>
  <c r="C83" i="18"/>
  <c r="C84" i="18"/>
  <c r="C85" i="18"/>
  <c r="C86" i="18"/>
  <c r="C87" i="18"/>
  <c r="C88" i="18"/>
  <c r="D88" i="18"/>
  <c r="E88" i="18"/>
  <c r="F88" i="18"/>
  <c r="G88" i="18"/>
  <c r="H88" i="18"/>
  <c r="I88" i="18"/>
  <c r="J88" i="18"/>
  <c r="D82" i="18"/>
  <c r="D84" i="18"/>
  <c r="D85" i="18"/>
  <c r="D87" i="18"/>
  <c r="E82" i="18"/>
  <c r="E84" i="18"/>
  <c r="E85" i="18"/>
  <c r="E87" i="18"/>
  <c r="F82" i="18"/>
  <c r="F84" i="18"/>
  <c r="F85" i="18"/>
  <c r="F87" i="18"/>
  <c r="G82" i="18"/>
  <c r="G84" i="18"/>
  <c r="G85" i="18"/>
  <c r="G87" i="18"/>
  <c r="H82" i="18"/>
  <c r="H84" i="18"/>
  <c r="H85" i="18"/>
  <c r="H87" i="18"/>
  <c r="I82" i="18"/>
  <c r="I84" i="18"/>
  <c r="I85" i="18"/>
  <c r="I87" i="18"/>
  <c r="C72" i="18"/>
  <c r="C73" i="18"/>
  <c r="C74" i="18"/>
  <c r="C75" i="18"/>
  <c r="C76" i="18"/>
  <c r="C77" i="18"/>
  <c r="C78" i="18"/>
  <c r="C79" i="18"/>
  <c r="D72" i="18"/>
  <c r="D73" i="18"/>
  <c r="D74" i="18"/>
  <c r="D75" i="18"/>
  <c r="D76" i="18"/>
  <c r="D77" i="18"/>
  <c r="D78" i="18"/>
  <c r="D79" i="18"/>
  <c r="E72" i="18"/>
  <c r="E73" i="18"/>
  <c r="E74" i="18"/>
  <c r="E75" i="18"/>
  <c r="E76" i="18"/>
  <c r="E77" i="18"/>
  <c r="E78" i="18"/>
  <c r="E79" i="18"/>
  <c r="F72" i="18"/>
  <c r="F73" i="18"/>
  <c r="F74" i="18"/>
  <c r="F75" i="18"/>
  <c r="F76" i="18"/>
  <c r="F77" i="18"/>
  <c r="F78" i="18"/>
  <c r="F79" i="18"/>
  <c r="G72" i="18"/>
  <c r="G79" i="18" s="1"/>
  <c r="G73" i="18"/>
  <c r="G74" i="18"/>
  <c r="G75" i="18"/>
  <c r="G76" i="18"/>
  <c r="G77" i="18"/>
  <c r="G78" i="18"/>
  <c r="H72" i="18"/>
  <c r="H73" i="18"/>
  <c r="H74" i="18"/>
  <c r="H75" i="18"/>
  <c r="H76" i="18"/>
  <c r="H77" i="18"/>
  <c r="H78" i="18"/>
  <c r="I72" i="18"/>
  <c r="I73" i="18"/>
  <c r="I74" i="18"/>
  <c r="I75" i="18"/>
  <c r="I76" i="18"/>
  <c r="I77" i="18"/>
  <c r="I78" i="18"/>
  <c r="C60" i="18"/>
  <c r="C61" i="18"/>
  <c r="C62" i="18"/>
  <c r="C63" i="18"/>
  <c r="C64" i="18"/>
  <c r="C65" i="18"/>
  <c r="C66" i="18"/>
  <c r="D60" i="18"/>
  <c r="D61" i="18"/>
  <c r="D62" i="18"/>
  <c r="D63" i="18"/>
  <c r="D64" i="18"/>
  <c r="D65" i="18"/>
  <c r="D66" i="18"/>
  <c r="E60" i="18"/>
  <c r="E61" i="18"/>
  <c r="E62" i="18"/>
  <c r="E63" i="18"/>
  <c r="E64" i="18"/>
  <c r="E65" i="18"/>
  <c r="E66" i="18"/>
  <c r="F60" i="18"/>
  <c r="F61" i="18"/>
  <c r="F62" i="18"/>
  <c r="F63" i="18"/>
  <c r="F64" i="18"/>
  <c r="F65" i="18"/>
  <c r="F66" i="18"/>
  <c r="G60" i="18"/>
  <c r="G61" i="18"/>
  <c r="G62" i="18"/>
  <c r="G63" i="18"/>
  <c r="G64" i="18"/>
  <c r="G65" i="18"/>
  <c r="G66" i="18"/>
  <c r="H60" i="18"/>
  <c r="H61" i="18"/>
  <c r="H62" i="18"/>
  <c r="H63" i="18"/>
  <c r="H64" i="18"/>
  <c r="H65" i="18"/>
  <c r="H66" i="18"/>
  <c r="I60" i="18"/>
  <c r="I61" i="18"/>
  <c r="I62" i="18"/>
  <c r="I63" i="18"/>
  <c r="I64" i="18"/>
  <c r="I65" i="18"/>
  <c r="I66" i="18"/>
  <c r="C50" i="18"/>
  <c r="C51" i="18"/>
  <c r="C52" i="18"/>
  <c r="C53" i="18"/>
  <c r="C54" i="18"/>
  <c r="C55" i="18"/>
  <c r="C56" i="18"/>
  <c r="D50" i="18"/>
  <c r="D52" i="18"/>
  <c r="D53" i="18"/>
  <c r="D55" i="18"/>
  <c r="D56" i="18"/>
  <c r="E50" i="18"/>
  <c r="E52" i="18"/>
  <c r="E53" i="18"/>
  <c r="E55" i="18"/>
  <c r="E56" i="18"/>
  <c r="F50" i="18"/>
  <c r="F52" i="18"/>
  <c r="F53" i="18"/>
  <c r="F55" i="18"/>
  <c r="F56" i="18"/>
  <c r="G50" i="18"/>
  <c r="G52" i="18"/>
  <c r="G53" i="18"/>
  <c r="G55" i="18"/>
  <c r="G56" i="18"/>
  <c r="H50" i="18"/>
  <c r="H52" i="18"/>
  <c r="H53" i="18"/>
  <c r="H55" i="18"/>
  <c r="H56" i="18"/>
  <c r="I50" i="18"/>
  <c r="I52" i="18"/>
  <c r="I53" i="18"/>
  <c r="I55" i="18"/>
  <c r="I56" i="18"/>
  <c r="C40" i="18"/>
  <c r="C41" i="18"/>
  <c r="C42" i="18"/>
  <c r="C43" i="18"/>
  <c r="C44" i="18"/>
  <c r="C45" i="18"/>
  <c r="C46" i="18"/>
  <c r="D40" i="18"/>
  <c r="D41" i="18"/>
  <c r="D42" i="18"/>
  <c r="D43" i="18"/>
  <c r="D44" i="18"/>
  <c r="D45" i="18"/>
  <c r="D46" i="18"/>
  <c r="E40" i="18"/>
  <c r="E41" i="18"/>
  <c r="E42" i="18"/>
  <c r="E43" i="18"/>
  <c r="E44" i="18"/>
  <c r="E45" i="18"/>
  <c r="E46" i="18"/>
  <c r="F40" i="18"/>
  <c r="F41" i="18"/>
  <c r="F42" i="18"/>
  <c r="F43" i="18"/>
  <c r="F44" i="18"/>
  <c r="F45" i="18"/>
  <c r="F46" i="18"/>
  <c r="G40" i="18"/>
  <c r="G41" i="18"/>
  <c r="G42" i="18"/>
  <c r="G43" i="18"/>
  <c r="G44" i="18"/>
  <c r="G45" i="18"/>
  <c r="G46" i="18"/>
  <c r="H40" i="18"/>
  <c r="H41" i="18"/>
  <c r="H42" i="18"/>
  <c r="H43" i="18"/>
  <c r="H44" i="18"/>
  <c r="H45" i="18"/>
  <c r="H46" i="18"/>
  <c r="I40" i="18"/>
  <c r="I41" i="18"/>
  <c r="I42" i="18"/>
  <c r="I43" i="18"/>
  <c r="I44" i="18"/>
  <c r="I45" i="18"/>
  <c r="I46" i="18"/>
  <c r="C24" i="18"/>
  <c r="C25" i="18"/>
  <c r="C26" i="18"/>
  <c r="C27" i="18"/>
  <c r="C28" i="18"/>
  <c r="C29" i="18"/>
  <c r="C30" i="18"/>
  <c r="C31" i="18"/>
  <c r="C32" i="18"/>
  <c r="C33" i="18"/>
  <c r="C34" i="18"/>
  <c r="D24" i="18"/>
  <c r="D35" i="18" s="1"/>
  <c r="D28" i="18"/>
  <c r="D29" i="18"/>
  <c r="D33" i="18"/>
  <c r="D34" i="18"/>
  <c r="E24" i="18"/>
  <c r="E35" i="18" s="1"/>
  <c r="E28" i="18"/>
  <c r="E29" i="18"/>
  <c r="E33" i="18"/>
  <c r="E34" i="18"/>
  <c r="F24" i="18"/>
  <c r="F28" i="18"/>
  <c r="F29" i="18"/>
  <c r="F33" i="18"/>
  <c r="F34" i="18"/>
  <c r="G24" i="18"/>
  <c r="G28" i="18"/>
  <c r="G29" i="18"/>
  <c r="G33" i="18"/>
  <c r="G34" i="18"/>
  <c r="H24" i="18"/>
  <c r="H28" i="18"/>
  <c r="H29" i="18"/>
  <c r="H33" i="18"/>
  <c r="H34" i="18"/>
  <c r="I24" i="18"/>
  <c r="I28" i="18"/>
  <c r="I29" i="18"/>
  <c r="I33" i="18"/>
  <c r="I35" i="18" s="1"/>
  <c r="I34" i="18"/>
  <c r="C10" i="18"/>
  <c r="C11" i="18"/>
  <c r="C12" i="18"/>
  <c r="C13" i="18"/>
  <c r="C14" i="18"/>
  <c r="C15" i="18"/>
  <c r="C16" i="18"/>
  <c r="C17" i="18"/>
  <c r="C18" i="18"/>
  <c r="C19" i="18"/>
  <c r="C20" i="18"/>
  <c r="D10" i="18"/>
  <c r="D11" i="18"/>
  <c r="D14" i="18"/>
  <c r="D15" i="18"/>
  <c r="D16" i="18"/>
  <c r="D19" i="18"/>
  <c r="D20" i="18"/>
  <c r="E10" i="18"/>
  <c r="E11" i="18"/>
  <c r="E14" i="18"/>
  <c r="E15" i="18"/>
  <c r="E16" i="18"/>
  <c r="E19" i="18"/>
  <c r="E20" i="18"/>
  <c r="F10" i="18"/>
  <c r="F11" i="18"/>
  <c r="F14" i="18"/>
  <c r="F15" i="18"/>
  <c r="F16" i="18"/>
  <c r="F19" i="18"/>
  <c r="F20" i="18"/>
  <c r="G10" i="18"/>
  <c r="G11" i="18"/>
  <c r="G14" i="18"/>
  <c r="G15" i="18"/>
  <c r="G16" i="18"/>
  <c r="G19" i="18"/>
  <c r="G20" i="18"/>
  <c r="H10" i="18"/>
  <c r="H11" i="18"/>
  <c r="H14" i="18"/>
  <c r="H15" i="18"/>
  <c r="H16" i="18"/>
  <c r="H19" i="18"/>
  <c r="H20" i="18"/>
  <c r="I10" i="18"/>
  <c r="I11" i="18"/>
  <c r="I14" i="18"/>
  <c r="I15" i="18"/>
  <c r="I16" i="18"/>
  <c r="I19" i="18"/>
  <c r="I20" i="18"/>
  <c r="D60" i="26"/>
  <c r="E60" i="26"/>
  <c r="E67" i="26" s="1"/>
  <c r="F60" i="26"/>
  <c r="G60" i="26"/>
  <c r="G61" i="26"/>
  <c r="G62" i="26"/>
  <c r="G63" i="26"/>
  <c r="G64" i="26"/>
  <c r="G65" i="26"/>
  <c r="G66" i="26"/>
  <c r="H60" i="26"/>
  <c r="I60" i="26"/>
  <c r="J60" i="26"/>
  <c r="K60" i="26"/>
  <c r="D61" i="26"/>
  <c r="E61" i="26"/>
  <c r="F61" i="26"/>
  <c r="H61" i="26"/>
  <c r="I61" i="26"/>
  <c r="J61" i="26"/>
  <c r="K61" i="26"/>
  <c r="D62" i="26"/>
  <c r="E62" i="26"/>
  <c r="F62" i="26"/>
  <c r="H62" i="26"/>
  <c r="I62" i="26"/>
  <c r="J62" i="26"/>
  <c r="K62" i="26"/>
  <c r="D63" i="26"/>
  <c r="E63" i="26"/>
  <c r="F63" i="26"/>
  <c r="H63" i="26"/>
  <c r="I63" i="26"/>
  <c r="J63" i="26"/>
  <c r="K63" i="26"/>
  <c r="D64" i="26"/>
  <c r="E64" i="26"/>
  <c r="F64" i="26"/>
  <c r="H64" i="26"/>
  <c r="I64" i="26"/>
  <c r="J64" i="26"/>
  <c r="K64" i="26"/>
  <c r="D65" i="26"/>
  <c r="E65" i="26"/>
  <c r="F65" i="26"/>
  <c r="H65" i="26"/>
  <c r="I65" i="26"/>
  <c r="J65" i="26"/>
  <c r="K65" i="26"/>
  <c r="C65" i="26"/>
  <c r="C64" i="26"/>
  <c r="C63" i="26"/>
  <c r="C62" i="26"/>
  <c r="C61" i="26"/>
  <c r="C60" i="26"/>
  <c r="C13" i="26"/>
  <c r="C92" i="26"/>
  <c r="C93" i="26"/>
  <c r="C94" i="26"/>
  <c r="C95" i="26"/>
  <c r="C96" i="26"/>
  <c r="C97" i="26"/>
  <c r="C98" i="26"/>
  <c r="D92" i="26"/>
  <c r="D94" i="26"/>
  <c r="D95" i="26"/>
  <c r="D97" i="26"/>
  <c r="D98" i="26"/>
  <c r="E92" i="26"/>
  <c r="E93" i="26"/>
  <c r="E94" i="26"/>
  <c r="E95" i="26"/>
  <c r="E96" i="26"/>
  <c r="E97" i="26"/>
  <c r="E98" i="26"/>
  <c r="F92" i="26"/>
  <c r="F94" i="26"/>
  <c r="F95" i="26"/>
  <c r="F97" i="26"/>
  <c r="F98" i="26"/>
  <c r="G92" i="26"/>
  <c r="G94" i="26"/>
  <c r="G95" i="26"/>
  <c r="G97" i="26"/>
  <c r="G98" i="26"/>
  <c r="H92" i="26"/>
  <c r="H94" i="26"/>
  <c r="H95" i="26"/>
  <c r="H97" i="26"/>
  <c r="H98" i="26"/>
  <c r="I92" i="26"/>
  <c r="I94" i="26"/>
  <c r="I95" i="26"/>
  <c r="I97" i="26"/>
  <c r="I98" i="26"/>
  <c r="J92" i="26"/>
  <c r="J94" i="26"/>
  <c r="J95" i="26"/>
  <c r="J97" i="26"/>
  <c r="J98" i="26"/>
  <c r="K92" i="26"/>
  <c r="K94" i="26"/>
  <c r="K95" i="26"/>
  <c r="K97" i="26"/>
  <c r="K98" i="26"/>
  <c r="C82" i="26"/>
  <c r="C83" i="26"/>
  <c r="C84" i="26"/>
  <c r="C85" i="26"/>
  <c r="C86" i="26"/>
  <c r="C87" i="26"/>
  <c r="C88" i="26"/>
  <c r="D82" i="26"/>
  <c r="D84" i="26"/>
  <c r="D85" i="26"/>
  <c r="D87" i="26"/>
  <c r="D88" i="26"/>
  <c r="E88" i="26"/>
  <c r="F88" i="26"/>
  <c r="G88" i="26"/>
  <c r="H88" i="26"/>
  <c r="I88" i="26"/>
  <c r="J88" i="26"/>
  <c r="K88" i="26"/>
  <c r="E82" i="26"/>
  <c r="E83" i="26"/>
  <c r="E84" i="26"/>
  <c r="E85" i="26"/>
  <c r="E86" i="26"/>
  <c r="E87" i="26"/>
  <c r="F82" i="26"/>
  <c r="F84" i="26"/>
  <c r="F85" i="26"/>
  <c r="F87" i="26"/>
  <c r="G82" i="26"/>
  <c r="G84" i="26"/>
  <c r="G85" i="26"/>
  <c r="G87" i="26"/>
  <c r="H82" i="26"/>
  <c r="H84" i="26"/>
  <c r="H85" i="26"/>
  <c r="H87" i="26"/>
  <c r="I82" i="26"/>
  <c r="I84" i="26"/>
  <c r="I85" i="26"/>
  <c r="I87" i="26"/>
  <c r="I89" i="26" s="1"/>
  <c r="J82" i="26"/>
  <c r="J84" i="26"/>
  <c r="J85" i="26"/>
  <c r="J87" i="26"/>
  <c r="K82" i="26"/>
  <c r="K84" i="26"/>
  <c r="K85" i="26"/>
  <c r="K87" i="26"/>
  <c r="C72" i="26"/>
  <c r="C73" i="26"/>
  <c r="C74" i="26"/>
  <c r="C75" i="26"/>
  <c r="C76" i="26"/>
  <c r="C77" i="26"/>
  <c r="C78" i="26"/>
  <c r="D72" i="26"/>
  <c r="D74" i="26"/>
  <c r="D75" i="26"/>
  <c r="D77" i="26"/>
  <c r="D78" i="26"/>
  <c r="E72" i="26"/>
  <c r="E73" i="26"/>
  <c r="E74" i="26"/>
  <c r="E75" i="26"/>
  <c r="E76" i="26"/>
  <c r="E77" i="26"/>
  <c r="E78" i="26"/>
  <c r="F72" i="26"/>
  <c r="F74" i="26"/>
  <c r="F75" i="26"/>
  <c r="F77" i="26"/>
  <c r="F78" i="26"/>
  <c r="G72" i="26"/>
  <c r="G74" i="26"/>
  <c r="G75" i="26"/>
  <c r="G77" i="26"/>
  <c r="G78" i="26"/>
  <c r="H72" i="26"/>
  <c r="H74" i="26"/>
  <c r="H75" i="26"/>
  <c r="H77" i="26"/>
  <c r="H78" i="26"/>
  <c r="I72" i="26"/>
  <c r="I74" i="26"/>
  <c r="I75" i="26"/>
  <c r="I77" i="26"/>
  <c r="I78" i="26"/>
  <c r="J72" i="26"/>
  <c r="J74" i="26"/>
  <c r="J75" i="26"/>
  <c r="J77" i="26"/>
  <c r="J78" i="26"/>
  <c r="K72" i="26"/>
  <c r="K74" i="26"/>
  <c r="K75" i="26"/>
  <c r="K77" i="26"/>
  <c r="K78" i="26"/>
  <c r="C66" i="26"/>
  <c r="D66" i="26"/>
  <c r="E66" i="26"/>
  <c r="F66" i="26"/>
  <c r="H66" i="26"/>
  <c r="H67" i="26"/>
  <c r="I66" i="26"/>
  <c r="J66" i="26"/>
  <c r="K66" i="26"/>
  <c r="C50" i="26"/>
  <c r="C51" i="26"/>
  <c r="C52" i="26"/>
  <c r="C53" i="26"/>
  <c r="C54" i="26"/>
  <c r="C55" i="26"/>
  <c r="C56" i="26"/>
  <c r="D50" i="26"/>
  <c r="D52" i="26"/>
  <c r="D53" i="26"/>
  <c r="D55" i="26"/>
  <c r="D56" i="26"/>
  <c r="E50" i="26"/>
  <c r="E51" i="26"/>
  <c r="E52" i="26"/>
  <c r="E53" i="26"/>
  <c r="E54" i="26"/>
  <c r="E55" i="26"/>
  <c r="E56" i="26"/>
  <c r="F50" i="26"/>
  <c r="F52" i="26"/>
  <c r="F53" i="26"/>
  <c r="F55" i="26"/>
  <c r="F56" i="26"/>
  <c r="G50" i="26"/>
  <c r="G52" i="26"/>
  <c r="G53" i="26"/>
  <c r="G55" i="26"/>
  <c r="G56" i="26"/>
  <c r="H50" i="26"/>
  <c r="H52" i="26"/>
  <c r="H53" i="26"/>
  <c r="H55" i="26"/>
  <c r="H56" i="26"/>
  <c r="I50" i="26"/>
  <c r="I52" i="26"/>
  <c r="I53" i="26"/>
  <c r="I55" i="26"/>
  <c r="I56" i="26"/>
  <c r="J50" i="26"/>
  <c r="J52" i="26"/>
  <c r="J53" i="26"/>
  <c r="J55" i="26"/>
  <c r="J56" i="26"/>
  <c r="K50" i="26"/>
  <c r="K52" i="26"/>
  <c r="K53" i="26"/>
  <c r="K55" i="26"/>
  <c r="K56" i="26"/>
  <c r="C40" i="26"/>
  <c r="C41" i="26"/>
  <c r="C42" i="26"/>
  <c r="C43" i="26"/>
  <c r="C44" i="26"/>
  <c r="C45" i="26"/>
  <c r="C46" i="26"/>
  <c r="D40" i="26"/>
  <c r="D41" i="26"/>
  <c r="D42" i="26"/>
  <c r="D43" i="26"/>
  <c r="D44" i="26"/>
  <c r="D45" i="26"/>
  <c r="D46" i="26"/>
  <c r="E40" i="26"/>
  <c r="E41" i="26"/>
  <c r="E42" i="26"/>
  <c r="E43" i="26"/>
  <c r="E44" i="26"/>
  <c r="E45" i="26"/>
  <c r="E46" i="26"/>
  <c r="F40" i="26"/>
  <c r="F42" i="26"/>
  <c r="F43" i="26"/>
  <c r="F45" i="26"/>
  <c r="F46" i="26"/>
  <c r="G40" i="26"/>
  <c r="G41" i="26"/>
  <c r="G42" i="26"/>
  <c r="G43" i="26"/>
  <c r="G44" i="26"/>
  <c r="G45" i="26"/>
  <c r="G46" i="26"/>
  <c r="H40" i="26"/>
  <c r="H41" i="26"/>
  <c r="H42" i="26"/>
  <c r="H43" i="26"/>
  <c r="H44" i="26"/>
  <c r="H45" i="26"/>
  <c r="H46" i="26"/>
  <c r="I40" i="26"/>
  <c r="I41" i="26"/>
  <c r="I42" i="26"/>
  <c r="I43" i="26"/>
  <c r="I44" i="26"/>
  <c r="I45" i="26"/>
  <c r="I46" i="26"/>
  <c r="J40" i="26"/>
  <c r="J41" i="26"/>
  <c r="J42" i="26"/>
  <c r="J43" i="26"/>
  <c r="J44" i="26"/>
  <c r="J45" i="26"/>
  <c r="J46" i="26"/>
  <c r="K40" i="26"/>
  <c r="K41" i="26"/>
  <c r="K42" i="26"/>
  <c r="K43" i="26"/>
  <c r="K44" i="26"/>
  <c r="K45" i="26"/>
  <c r="K46" i="26"/>
  <c r="K24" i="26"/>
  <c r="K35" i="26" s="1"/>
  <c r="K28" i="26"/>
  <c r="K29" i="26"/>
  <c r="K33" i="26"/>
  <c r="K34" i="26"/>
  <c r="C24" i="26"/>
  <c r="C25" i="26"/>
  <c r="C26" i="26"/>
  <c r="C27" i="26"/>
  <c r="C28" i="26"/>
  <c r="C29" i="26"/>
  <c r="C30" i="26"/>
  <c r="C31" i="26"/>
  <c r="C32" i="26"/>
  <c r="C33" i="26"/>
  <c r="C34" i="26"/>
  <c r="D24" i="26"/>
  <c r="D28" i="26"/>
  <c r="D29" i="26"/>
  <c r="D33" i="26"/>
  <c r="D34" i="26"/>
  <c r="E24" i="26"/>
  <c r="E25" i="26"/>
  <c r="E26" i="26"/>
  <c r="E27" i="26"/>
  <c r="E28" i="26"/>
  <c r="E29" i="26"/>
  <c r="E30" i="26"/>
  <c r="E31" i="26"/>
  <c r="E32" i="26"/>
  <c r="E33" i="26"/>
  <c r="E34" i="26"/>
  <c r="F24" i="26"/>
  <c r="F28" i="26"/>
  <c r="F29" i="26"/>
  <c r="F33" i="26"/>
  <c r="F34" i="26"/>
  <c r="G24" i="26"/>
  <c r="G28" i="26"/>
  <c r="G29" i="26"/>
  <c r="G33" i="26"/>
  <c r="G34" i="26"/>
  <c r="H24" i="26"/>
  <c r="H28" i="26"/>
  <c r="H29" i="26"/>
  <c r="H33" i="26"/>
  <c r="H34" i="26"/>
  <c r="I24" i="26"/>
  <c r="I28" i="26"/>
  <c r="I29" i="26"/>
  <c r="I33" i="26"/>
  <c r="I34" i="26"/>
  <c r="J24" i="26"/>
  <c r="J28" i="26"/>
  <c r="J29" i="26"/>
  <c r="J33" i="26"/>
  <c r="J34" i="26"/>
  <c r="C10" i="26"/>
  <c r="C11" i="26"/>
  <c r="C12" i="26"/>
  <c r="C14" i="26"/>
  <c r="C15" i="26"/>
  <c r="C16" i="26"/>
  <c r="C17" i="26"/>
  <c r="C18" i="26"/>
  <c r="C19" i="26"/>
  <c r="C20" i="26"/>
  <c r="D10" i="26"/>
  <c r="D11" i="26"/>
  <c r="D14" i="26"/>
  <c r="D15" i="26"/>
  <c r="D16" i="26"/>
  <c r="D19" i="26"/>
  <c r="D20" i="26"/>
  <c r="E10" i="26"/>
  <c r="E11" i="26"/>
  <c r="E12" i="26"/>
  <c r="E13" i="26"/>
  <c r="E14" i="26"/>
  <c r="E15" i="26"/>
  <c r="E16" i="26"/>
  <c r="E17" i="26"/>
  <c r="E18" i="26"/>
  <c r="E19" i="26"/>
  <c r="E20" i="26"/>
  <c r="F10" i="26"/>
  <c r="F14" i="26"/>
  <c r="F15" i="26"/>
  <c r="F19" i="26"/>
  <c r="F20" i="26"/>
  <c r="G10" i="26"/>
  <c r="G11" i="26"/>
  <c r="G14" i="26"/>
  <c r="G15" i="26"/>
  <c r="G16" i="26"/>
  <c r="G19" i="26"/>
  <c r="G20" i="26"/>
  <c r="H10" i="26"/>
  <c r="H11" i="26"/>
  <c r="H14" i="26"/>
  <c r="H15" i="26"/>
  <c r="H16" i="26"/>
  <c r="H19" i="26"/>
  <c r="H20" i="26"/>
  <c r="I10" i="26"/>
  <c r="I11" i="26"/>
  <c r="I14" i="26"/>
  <c r="I15" i="26"/>
  <c r="I16" i="26"/>
  <c r="I19" i="26"/>
  <c r="I20" i="26"/>
  <c r="J10" i="26"/>
  <c r="J11" i="26"/>
  <c r="J14" i="26"/>
  <c r="J15" i="26"/>
  <c r="J16" i="26"/>
  <c r="J19" i="26"/>
  <c r="J20" i="26"/>
  <c r="K10" i="26"/>
  <c r="K11" i="26"/>
  <c r="K14" i="26"/>
  <c r="K15" i="26"/>
  <c r="K16" i="26"/>
  <c r="K19" i="26"/>
  <c r="K20" i="26"/>
  <c r="K67" i="26"/>
  <c r="C10" i="34"/>
  <c r="J98" i="34"/>
  <c r="I98" i="34"/>
  <c r="H98" i="34"/>
  <c r="G98" i="34"/>
  <c r="F98" i="34"/>
  <c r="E98" i="34"/>
  <c r="D98" i="34"/>
  <c r="C98" i="34"/>
  <c r="J97" i="34"/>
  <c r="I97" i="34"/>
  <c r="H97" i="34"/>
  <c r="G97" i="34"/>
  <c r="F97" i="34"/>
  <c r="E97" i="34"/>
  <c r="D97" i="34"/>
  <c r="D99" i="34" s="1"/>
  <c r="C97" i="34"/>
  <c r="C99" i="34" s="1"/>
  <c r="E96" i="34"/>
  <c r="C96" i="34"/>
  <c r="J95" i="34"/>
  <c r="I95" i="34"/>
  <c r="H95" i="34"/>
  <c r="G95" i="34"/>
  <c r="F95" i="34"/>
  <c r="E95" i="34"/>
  <c r="D95" i="34"/>
  <c r="C95" i="34"/>
  <c r="J94" i="34"/>
  <c r="I94" i="34"/>
  <c r="H94" i="34"/>
  <c r="G94" i="34"/>
  <c r="F94" i="34"/>
  <c r="E94" i="34"/>
  <c r="E99" i="34" s="1"/>
  <c r="D94" i="34"/>
  <c r="C94" i="34"/>
  <c r="E93" i="34"/>
  <c r="E92" i="34"/>
  <c r="C93" i="34"/>
  <c r="J92" i="34"/>
  <c r="J99" i="34"/>
  <c r="I92" i="34"/>
  <c r="H92" i="34"/>
  <c r="G92" i="34"/>
  <c r="G99" i="34" s="1"/>
  <c r="F92" i="34"/>
  <c r="D92" i="34"/>
  <c r="C92" i="34"/>
  <c r="J88" i="34"/>
  <c r="I88" i="34"/>
  <c r="H88" i="34"/>
  <c r="K88" i="34" s="1"/>
  <c r="G88" i="34"/>
  <c r="F88" i="34"/>
  <c r="E88" i="34"/>
  <c r="D88" i="34"/>
  <c r="C88" i="34"/>
  <c r="J87" i="34"/>
  <c r="I87" i="34"/>
  <c r="H87" i="34"/>
  <c r="G87" i="34"/>
  <c r="F87" i="34"/>
  <c r="E87" i="34"/>
  <c r="D87" i="34"/>
  <c r="C87" i="34"/>
  <c r="E86" i="34"/>
  <c r="C86" i="34"/>
  <c r="J85" i="34"/>
  <c r="I85" i="34"/>
  <c r="H85" i="34"/>
  <c r="G85" i="34"/>
  <c r="F85" i="34"/>
  <c r="E85" i="34"/>
  <c r="D85" i="34"/>
  <c r="C85" i="34"/>
  <c r="C89" i="34" s="1"/>
  <c r="J84" i="34"/>
  <c r="I84" i="34"/>
  <c r="H84" i="34"/>
  <c r="G84" i="34"/>
  <c r="F84" i="34"/>
  <c r="E84" i="34"/>
  <c r="D84" i="34"/>
  <c r="D82" i="34"/>
  <c r="D89" i="34" s="1"/>
  <c r="C84" i="34"/>
  <c r="E83" i="34"/>
  <c r="E82" i="34"/>
  <c r="C83" i="34"/>
  <c r="J82" i="34"/>
  <c r="I82" i="34"/>
  <c r="H82" i="34"/>
  <c r="G82" i="34"/>
  <c r="F82" i="34"/>
  <c r="C82" i="34"/>
  <c r="J78" i="34"/>
  <c r="I78" i="34"/>
  <c r="H78" i="34"/>
  <c r="G78" i="34"/>
  <c r="F78" i="34"/>
  <c r="E78" i="34"/>
  <c r="D78" i="34"/>
  <c r="C78" i="34"/>
  <c r="J77" i="34"/>
  <c r="I77" i="34"/>
  <c r="H77" i="34"/>
  <c r="G77" i="34"/>
  <c r="F77" i="34"/>
  <c r="E77" i="34"/>
  <c r="D77" i="34"/>
  <c r="C77" i="34"/>
  <c r="E76" i="34"/>
  <c r="C76" i="34"/>
  <c r="J75" i="34"/>
  <c r="I75" i="34"/>
  <c r="H75" i="34"/>
  <c r="G75" i="34"/>
  <c r="F75" i="34"/>
  <c r="E75" i="34"/>
  <c r="D75" i="34"/>
  <c r="C75" i="34"/>
  <c r="J74" i="34"/>
  <c r="J79" i="34" s="1"/>
  <c r="I74" i="34"/>
  <c r="H74" i="34"/>
  <c r="H79" i="34" s="1"/>
  <c r="G74" i="34"/>
  <c r="F74" i="34"/>
  <c r="F72" i="34"/>
  <c r="E74" i="34"/>
  <c r="D74" i="34"/>
  <c r="D72" i="34"/>
  <c r="D79" i="34"/>
  <c r="C74" i="34"/>
  <c r="E73" i="34"/>
  <c r="E72" i="34"/>
  <c r="C73" i="34"/>
  <c r="J72" i="34"/>
  <c r="I72" i="34"/>
  <c r="H72" i="34"/>
  <c r="G72" i="34"/>
  <c r="C72" i="34"/>
  <c r="J66" i="34"/>
  <c r="I66" i="34"/>
  <c r="H66" i="34"/>
  <c r="G66" i="34"/>
  <c r="F66" i="34"/>
  <c r="E66" i="34"/>
  <c r="D66" i="34"/>
  <c r="C66" i="34"/>
  <c r="J65" i="34"/>
  <c r="I65" i="34"/>
  <c r="H65" i="34"/>
  <c r="G65" i="34"/>
  <c r="F65" i="34"/>
  <c r="E65" i="34"/>
  <c r="D65" i="34"/>
  <c r="C65" i="34"/>
  <c r="J64" i="34"/>
  <c r="I64" i="34"/>
  <c r="H64" i="34"/>
  <c r="G64" i="34"/>
  <c r="F64" i="34"/>
  <c r="E64" i="34"/>
  <c r="D64" i="34"/>
  <c r="C64" i="34"/>
  <c r="J63" i="34"/>
  <c r="I63" i="34"/>
  <c r="H63" i="34"/>
  <c r="G63" i="34"/>
  <c r="F63" i="34"/>
  <c r="E63" i="34"/>
  <c r="D63" i="34"/>
  <c r="C63" i="34"/>
  <c r="J62" i="34"/>
  <c r="I62" i="34"/>
  <c r="H62" i="34"/>
  <c r="G62" i="34"/>
  <c r="F62" i="34"/>
  <c r="E62" i="34"/>
  <c r="D62" i="34"/>
  <c r="C62" i="34"/>
  <c r="J61" i="34"/>
  <c r="I61" i="34"/>
  <c r="H61" i="34"/>
  <c r="G61" i="34"/>
  <c r="F61" i="34"/>
  <c r="E61" i="34"/>
  <c r="D61" i="34"/>
  <c r="C61" i="34"/>
  <c r="J60" i="34"/>
  <c r="J67" i="34" s="1"/>
  <c r="I60" i="34"/>
  <c r="I67" i="34" s="1"/>
  <c r="H60" i="34"/>
  <c r="H67" i="34"/>
  <c r="G60" i="34"/>
  <c r="G67" i="34"/>
  <c r="F60" i="34"/>
  <c r="F67" i="34" s="1"/>
  <c r="E60" i="34"/>
  <c r="D60" i="34"/>
  <c r="C60" i="34"/>
  <c r="C67" i="34" s="1"/>
  <c r="J56" i="34"/>
  <c r="I56" i="34"/>
  <c r="H56" i="34"/>
  <c r="G56" i="34"/>
  <c r="F56" i="34"/>
  <c r="E56" i="34"/>
  <c r="D56" i="34"/>
  <c r="C56" i="34"/>
  <c r="J55" i="34"/>
  <c r="I55" i="34"/>
  <c r="H55" i="34"/>
  <c r="G55" i="34"/>
  <c r="F55" i="34"/>
  <c r="E55" i="34"/>
  <c r="D55" i="34"/>
  <c r="C55" i="34"/>
  <c r="F54" i="34"/>
  <c r="E54" i="34"/>
  <c r="C54" i="34"/>
  <c r="J53" i="34"/>
  <c r="I53" i="34"/>
  <c r="H53" i="34"/>
  <c r="G53" i="34"/>
  <c r="F53" i="34"/>
  <c r="E53" i="34"/>
  <c r="E57" i="34" s="1"/>
  <c r="D53" i="34"/>
  <c r="C53" i="34"/>
  <c r="J52" i="34"/>
  <c r="I52" i="34"/>
  <c r="H52" i="34"/>
  <c r="G52" i="34"/>
  <c r="G50" i="34"/>
  <c r="F52" i="34"/>
  <c r="E52" i="34"/>
  <c r="D52" i="34"/>
  <c r="C52" i="34"/>
  <c r="C50" i="34"/>
  <c r="C51" i="34"/>
  <c r="F51" i="34"/>
  <c r="E51" i="34"/>
  <c r="J50" i="34"/>
  <c r="I50" i="34"/>
  <c r="H50" i="34"/>
  <c r="F50" i="34"/>
  <c r="E50" i="34"/>
  <c r="D50" i="34"/>
  <c r="J46" i="34"/>
  <c r="I46" i="34"/>
  <c r="H46" i="34"/>
  <c r="G46" i="34"/>
  <c r="F46" i="34"/>
  <c r="C46" i="34"/>
  <c r="D46" i="34"/>
  <c r="E46" i="34"/>
  <c r="J45" i="34"/>
  <c r="I45" i="34"/>
  <c r="H45" i="34"/>
  <c r="G45" i="34"/>
  <c r="F45" i="34"/>
  <c r="E45" i="34"/>
  <c r="D45" i="34"/>
  <c r="C45" i="34"/>
  <c r="J44" i="34"/>
  <c r="I44" i="34"/>
  <c r="H44" i="34"/>
  <c r="G44" i="34"/>
  <c r="F44" i="34"/>
  <c r="E44" i="34"/>
  <c r="D44" i="34"/>
  <c r="C44" i="34"/>
  <c r="J43" i="34"/>
  <c r="I43" i="34"/>
  <c r="H43" i="34"/>
  <c r="G43" i="34"/>
  <c r="F43" i="34"/>
  <c r="E43" i="34"/>
  <c r="D43" i="34"/>
  <c r="C43" i="34"/>
  <c r="J42" i="34"/>
  <c r="I42" i="34"/>
  <c r="H42" i="34"/>
  <c r="G42" i="34"/>
  <c r="F42" i="34"/>
  <c r="E42" i="34"/>
  <c r="D42" i="34"/>
  <c r="C42" i="34"/>
  <c r="J41" i="34"/>
  <c r="I41" i="34"/>
  <c r="H41" i="34"/>
  <c r="G41" i="34"/>
  <c r="F41" i="34"/>
  <c r="E41" i="34"/>
  <c r="D41" i="34"/>
  <c r="C41" i="34"/>
  <c r="J40" i="34"/>
  <c r="J47" i="34" s="1"/>
  <c r="I40" i="34"/>
  <c r="I47" i="34" s="1"/>
  <c r="H40" i="34"/>
  <c r="H47" i="34" s="1"/>
  <c r="G40" i="34"/>
  <c r="G47" i="34"/>
  <c r="F40" i="34"/>
  <c r="F47" i="34"/>
  <c r="E40" i="34"/>
  <c r="D40" i="34"/>
  <c r="C40" i="34"/>
  <c r="J34" i="34"/>
  <c r="I34" i="34"/>
  <c r="H34" i="34"/>
  <c r="G34" i="34"/>
  <c r="F34" i="34"/>
  <c r="E34" i="34"/>
  <c r="D34" i="34"/>
  <c r="C34" i="34"/>
  <c r="J33" i="34"/>
  <c r="I33" i="34"/>
  <c r="H33" i="34"/>
  <c r="H35" i="34" s="1"/>
  <c r="G33" i="34"/>
  <c r="G35" i="34" s="1"/>
  <c r="F33" i="34"/>
  <c r="E33" i="34"/>
  <c r="D33" i="34"/>
  <c r="C33" i="34"/>
  <c r="E32" i="34"/>
  <c r="C32" i="34"/>
  <c r="E31" i="34"/>
  <c r="C31" i="34"/>
  <c r="E30" i="34"/>
  <c r="C30" i="34"/>
  <c r="J29" i="34"/>
  <c r="I29" i="34"/>
  <c r="H29" i="34"/>
  <c r="G29" i="34"/>
  <c r="F29" i="34"/>
  <c r="E29" i="34"/>
  <c r="D29" i="34"/>
  <c r="C29" i="34"/>
  <c r="J28" i="34"/>
  <c r="I28" i="34"/>
  <c r="H28" i="34"/>
  <c r="G28" i="34"/>
  <c r="F28" i="34"/>
  <c r="E28" i="34"/>
  <c r="D28" i="34"/>
  <c r="C28" i="34"/>
  <c r="E27" i="34"/>
  <c r="C27" i="34"/>
  <c r="E26" i="34"/>
  <c r="C26" i="34"/>
  <c r="E25" i="34"/>
  <c r="E24" i="34"/>
  <c r="C25" i="34"/>
  <c r="J24" i="34"/>
  <c r="I24" i="34"/>
  <c r="H24" i="34"/>
  <c r="G24" i="34"/>
  <c r="F24" i="34"/>
  <c r="D24" i="34"/>
  <c r="D35" i="34" s="1"/>
  <c r="C24" i="34"/>
  <c r="J20" i="34"/>
  <c r="I20" i="34"/>
  <c r="H20" i="34"/>
  <c r="G20" i="34"/>
  <c r="F20" i="34"/>
  <c r="C20" i="34"/>
  <c r="D20" i="34"/>
  <c r="E20" i="34"/>
  <c r="J19" i="34"/>
  <c r="I19" i="34"/>
  <c r="H19" i="34"/>
  <c r="G19" i="34"/>
  <c r="F19" i="34"/>
  <c r="E19" i="34"/>
  <c r="D19" i="34"/>
  <c r="C19" i="34"/>
  <c r="E18" i="34"/>
  <c r="C18" i="34"/>
  <c r="E17" i="34"/>
  <c r="C17" i="34"/>
  <c r="J16" i="34"/>
  <c r="I16" i="34"/>
  <c r="H16" i="34"/>
  <c r="G16" i="34"/>
  <c r="F16" i="34"/>
  <c r="E16" i="34"/>
  <c r="D16" i="34"/>
  <c r="C16" i="34"/>
  <c r="J15" i="34"/>
  <c r="I15" i="34"/>
  <c r="H15" i="34"/>
  <c r="G15" i="34"/>
  <c r="F15" i="34"/>
  <c r="E15" i="34"/>
  <c r="D15" i="34"/>
  <c r="C15" i="34"/>
  <c r="J14" i="34"/>
  <c r="I14" i="34"/>
  <c r="H14" i="34"/>
  <c r="H21" i="34" s="1"/>
  <c r="G14" i="34"/>
  <c r="F14" i="34"/>
  <c r="E14" i="34"/>
  <c r="D14" i="34"/>
  <c r="C14" i="34"/>
  <c r="E13" i="34"/>
  <c r="C13" i="34"/>
  <c r="E12" i="34"/>
  <c r="E10" i="34"/>
  <c r="E11" i="34"/>
  <c r="C12" i="34"/>
  <c r="J11" i="34"/>
  <c r="I11" i="34"/>
  <c r="H11" i="34"/>
  <c r="G11" i="34"/>
  <c r="F11" i="34"/>
  <c r="D11" i="34"/>
  <c r="C11" i="34"/>
  <c r="J10" i="34"/>
  <c r="I10" i="34"/>
  <c r="H10" i="34"/>
  <c r="G10" i="34"/>
  <c r="F10" i="34"/>
  <c r="D10" i="34"/>
  <c r="F89" i="34"/>
  <c r="D47" i="34"/>
  <c r="C92" i="42"/>
  <c r="C93" i="42"/>
  <c r="C94" i="42"/>
  <c r="C95" i="42"/>
  <c r="C96" i="42"/>
  <c r="C97" i="42"/>
  <c r="C98" i="42"/>
  <c r="D92" i="42"/>
  <c r="D94" i="42"/>
  <c r="D95" i="42"/>
  <c r="D97" i="42"/>
  <c r="D98" i="42"/>
  <c r="E92" i="42"/>
  <c r="E93" i="42"/>
  <c r="E94" i="42"/>
  <c r="E95" i="42"/>
  <c r="E96" i="42"/>
  <c r="E97" i="42"/>
  <c r="E98" i="42"/>
  <c r="F92" i="42"/>
  <c r="F93" i="42"/>
  <c r="F94" i="42"/>
  <c r="F95" i="42"/>
  <c r="F96" i="42"/>
  <c r="F97" i="42"/>
  <c r="F98" i="42"/>
  <c r="G92" i="42"/>
  <c r="G94" i="42"/>
  <c r="G95" i="42"/>
  <c r="G97" i="42"/>
  <c r="G98" i="42"/>
  <c r="H92" i="42"/>
  <c r="H94" i="42"/>
  <c r="H95" i="42"/>
  <c r="H97" i="42"/>
  <c r="H98" i="42"/>
  <c r="I92" i="42"/>
  <c r="I94" i="42"/>
  <c r="I95" i="42"/>
  <c r="I97" i="42"/>
  <c r="I98" i="42"/>
  <c r="J92" i="42"/>
  <c r="J94" i="42"/>
  <c r="J95" i="42"/>
  <c r="J97" i="42"/>
  <c r="J98" i="42"/>
  <c r="K92" i="42"/>
  <c r="K94" i="42"/>
  <c r="K95" i="42"/>
  <c r="K97" i="42"/>
  <c r="K98" i="42"/>
  <c r="L92" i="42"/>
  <c r="L93" i="42"/>
  <c r="L94" i="42"/>
  <c r="L95" i="42"/>
  <c r="L96" i="42"/>
  <c r="L97" i="42"/>
  <c r="L98" i="42"/>
  <c r="M92" i="42"/>
  <c r="M93" i="42"/>
  <c r="M94" i="42"/>
  <c r="M95" i="42"/>
  <c r="M96" i="42"/>
  <c r="M97" i="42"/>
  <c r="M98" i="42"/>
  <c r="C82" i="42"/>
  <c r="C83" i="42"/>
  <c r="C84" i="42"/>
  <c r="C85" i="42"/>
  <c r="C86" i="42"/>
  <c r="C87" i="42"/>
  <c r="C88" i="42"/>
  <c r="D82" i="42"/>
  <c r="D84" i="42"/>
  <c r="D85" i="42"/>
  <c r="D87" i="42"/>
  <c r="D88" i="42"/>
  <c r="E82" i="42"/>
  <c r="E83" i="42"/>
  <c r="E84" i="42"/>
  <c r="E85" i="42"/>
  <c r="E86" i="42"/>
  <c r="E87" i="42"/>
  <c r="E88" i="42"/>
  <c r="H82" i="42"/>
  <c r="H84" i="42"/>
  <c r="H85" i="42"/>
  <c r="H87" i="42"/>
  <c r="H88" i="42"/>
  <c r="I82" i="42"/>
  <c r="I84" i="42"/>
  <c r="I85" i="42"/>
  <c r="I87" i="42"/>
  <c r="I88" i="42"/>
  <c r="J82" i="42"/>
  <c r="J84" i="42"/>
  <c r="J85" i="42"/>
  <c r="J87" i="42"/>
  <c r="J88" i="42"/>
  <c r="K82" i="42"/>
  <c r="K89" i="42" s="1"/>
  <c r="K84" i="42"/>
  <c r="K85" i="42"/>
  <c r="K87" i="42"/>
  <c r="K88" i="42"/>
  <c r="F82" i="42"/>
  <c r="F83" i="42"/>
  <c r="F84" i="42"/>
  <c r="F85" i="42"/>
  <c r="F86" i="42"/>
  <c r="F87" i="42"/>
  <c r="F88" i="42"/>
  <c r="G88" i="42"/>
  <c r="G82" i="42"/>
  <c r="G84" i="42"/>
  <c r="G85" i="42"/>
  <c r="G87" i="42"/>
  <c r="L82" i="42"/>
  <c r="L83" i="42"/>
  <c r="L84" i="42"/>
  <c r="L85" i="42"/>
  <c r="L86" i="42"/>
  <c r="L87" i="42"/>
  <c r="L88" i="42"/>
  <c r="M82" i="42"/>
  <c r="M83" i="42"/>
  <c r="M84" i="42"/>
  <c r="M85" i="42"/>
  <c r="M86" i="42"/>
  <c r="M87" i="42"/>
  <c r="M88" i="42"/>
  <c r="C72" i="42"/>
  <c r="C73" i="42"/>
  <c r="C74" i="42"/>
  <c r="C75" i="42"/>
  <c r="C76" i="42"/>
  <c r="C77" i="42"/>
  <c r="C78" i="42"/>
  <c r="D72" i="42"/>
  <c r="D73" i="42"/>
  <c r="D74" i="42"/>
  <c r="D75" i="42"/>
  <c r="D77" i="42"/>
  <c r="D78" i="42"/>
  <c r="E78" i="42"/>
  <c r="F78" i="42"/>
  <c r="G78" i="42"/>
  <c r="H78" i="42"/>
  <c r="I78" i="42"/>
  <c r="J78" i="42"/>
  <c r="K78" i="42"/>
  <c r="L78" i="42"/>
  <c r="M78" i="42"/>
  <c r="E72" i="42"/>
  <c r="E73" i="42"/>
  <c r="E74" i="42"/>
  <c r="E75" i="42"/>
  <c r="E76" i="42"/>
  <c r="E77" i="42"/>
  <c r="H72" i="42"/>
  <c r="H73" i="42"/>
  <c r="H74" i="42"/>
  <c r="H75" i="42"/>
  <c r="H77" i="42"/>
  <c r="I72" i="42"/>
  <c r="I73" i="42"/>
  <c r="I74" i="42"/>
  <c r="I75" i="42"/>
  <c r="I77" i="42"/>
  <c r="J72" i="42"/>
  <c r="J73" i="42"/>
  <c r="J74" i="42"/>
  <c r="J75" i="42"/>
  <c r="J77" i="42"/>
  <c r="K72" i="42"/>
  <c r="K73" i="42"/>
  <c r="K74" i="42"/>
  <c r="K75" i="42"/>
  <c r="K77" i="42"/>
  <c r="F72" i="42"/>
  <c r="F73" i="42"/>
  <c r="F74" i="42"/>
  <c r="F75" i="42"/>
  <c r="F76" i="42"/>
  <c r="F77" i="42"/>
  <c r="G72" i="42"/>
  <c r="G74" i="42"/>
  <c r="G75" i="42"/>
  <c r="G77" i="42"/>
  <c r="G73" i="42"/>
  <c r="L72" i="42"/>
  <c r="L73" i="42"/>
  <c r="L74" i="42"/>
  <c r="L75" i="42"/>
  <c r="L76" i="42"/>
  <c r="L77" i="42"/>
  <c r="M72" i="42"/>
  <c r="M73" i="42"/>
  <c r="M74" i="42"/>
  <c r="M75" i="42"/>
  <c r="M76" i="42"/>
  <c r="M77" i="42"/>
  <c r="C60" i="42"/>
  <c r="C61" i="42"/>
  <c r="C62" i="42"/>
  <c r="C63" i="42"/>
  <c r="C64" i="42"/>
  <c r="C65" i="42"/>
  <c r="C66" i="42"/>
  <c r="D60" i="42"/>
  <c r="D61" i="42"/>
  <c r="D62" i="42"/>
  <c r="D63" i="42"/>
  <c r="D64" i="42"/>
  <c r="D65" i="42"/>
  <c r="D66" i="42"/>
  <c r="E60" i="42"/>
  <c r="E61" i="42"/>
  <c r="E62" i="42"/>
  <c r="E63" i="42"/>
  <c r="E64" i="42"/>
  <c r="E65" i="42"/>
  <c r="E66" i="42"/>
  <c r="I60" i="42"/>
  <c r="I61" i="42"/>
  <c r="I62" i="42"/>
  <c r="I63" i="42"/>
  <c r="I64" i="42"/>
  <c r="I65" i="42"/>
  <c r="I66" i="42"/>
  <c r="J60" i="42"/>
  <c r="J61" i="42"/>
  <c r="J62" i="42"/>
  <c r="J63" i="42"/>
  <c r="J64" i="42"/>
  <c r="J65" i="42"/>
  <c r="J66" i="42"/>
  <c r="K60" i="42"/>
  <c r="K61" i="42"/>
  <c r="K62" i="42"/>
  <c r="K63" i="42"/>
  <c r="K64" i="42"/>
  <c r="K65" i="42"/>
  <c r="K66" i="42"/>
  <c r="L60" i="42"/>
  <c r="L61" i="42"/>
  <c r="L62" i="42"/>
  <c r="L63" i="42"/>
  <c r="L64" i="42"/>
  <c r="L65" i="42"/>
  <c r="L66" i="42"/>
  <c r="H60" i="42"/>
  <c r="H61" i="42"/>
  <c r="H62" i="42"/>
  <c r="H63" i="42"/>
  <c r="H64" i="42"/>
  <c r="H65" i="42"/>
  <c r="H66" i="42"/>
  <c r="F60" i="42"/>
  <c r="F61" i="42"/>
  <c r="F62" i="42"/>
  <c r="F63" i="42"/>
  <c r="F64" i="42"/>
  <c r="F65" i="42"/>
  <c r="F66" i="42"/>
  <c r="G66" i="42"/>
  <c r="G60" i="42"/>
  <c r="G61" i="42"/>
  <c r="G62" i="42"/>
  <c r="G63" i="42"/>
  <c r="G64" i="42"/>
  <c r="G65" i="42"/>
  <c r="M60" i="42"/>
  <c r="M61" i="42"/>
  <c r="M62" i="42"/>
  <c r="M63" i="42"/>
  <c r="M64" i="42"/>
  <c r="M65" i="42"/>
  <c r="M66" i="42"/>
  <c r="C56" i="42"/>
  <c r="C50" i="42"/>
  <c r="C51" i="42"/>
  <c r="C52" i="42"/>
  <c r="C53" i="42"/>
  <c r="C54" i="42"/>
  <c r="C55" i="42"/>
  <c r="D50" i="42"/>
  <c r="D52" i="42"/>
  <c r="D53" i="42"/>
  <c r="D55" i="42"/>
  <c r="D56" i="42"/>
  <c r="E56" i="42"/>
  <c r="E50" i="42"/>
  <c r="E51" i="42"/>
  <c r="E52" i="42"/>
  <c r="E53" i="42"/>
  <c r="E54" i="42"/>
  <c r="E55" i="42"/>
  <c r="H50" i="42"/>
  <c r="H52" i="42"/>
  <c r="H53" i="42"/>
  <c r="H55" i="42"/>
  <c r="H56" i="42"/>
  <c r="I50" i="42"/>
  <c r="I52" i="42"/>
  <c r="I53" i="42"/>
  <c r="I55" i="42"/>
  <c r="I56" i="42"/>
  <c r="J50" i="42"/>
  <c r="J52" i="42"/>
  <c r="J53" i="42"/>
  <c r="J55" i="42"/>
  <c r="J56" i="42"/>
  <c r="K50" i="42"/>
  <c r="K52" i="42"/>
  <c r="K53" i="42"/>
  <c r="K55" i="42"/>
  <c r="K56" i="42"/>
  <c r="L50" i="42"/>
  <c r="L51" i="42"/>
  <c r="L52" i="42"/>
  <c r="L53" i="42"/>
  <c r="L54" i="42"/>
  <c r="L55" i="42"/>
  <c r="L56" i="42"/>
  <c r="F50" i="42"/>
  <c r="F51" i="42"/>
  <c r="F52" i="42"/>
  <c r="F53" i="42"/>
  <c r="F54" i="42"/>
  <c r="F55" i="42"/>
  <c r="F56" i="42"/>
  <c r="G56" i="42"/>
  <c r="G50" i="42"/>
  <c r="G52" i="42"/>
  <c r="G53" i="42"/>
  <c r="G55" i="42"/>
  <c r="M50" i="42"/>
  <c r="M51" i="42"/>
  <c r="M52" i="42"/>
  <c r="M53" i="42"/>
  <c r="M54" i="42"/>
  <c r="M55" i="42"/>
  <c r="M56" i="42"/>
  <c r="C40" i="42"/>
  <c r="C41" i="42"/>
  <c r="C42" i="42"/>
  <c r="C43" i="42"/>
  <c r="C44" i="42"/>
  <c r="C45" i="42"/>
  <c r="C46" i="42"/>
  <c r="D40" i="42"/>
  <c r="D41" i="42"/>
  <c r="D42" i="42"/>
  <c r="D43" i="42"/>
  <c r="D44" i="42"/>
  <c r="D45" i="42"/>
  <c r="D46" i="42"/>
  <c r="E40" i="42"/>
  <c r="E41" i="42"/>
  <c r="E42" i="42"/>
  <c r="E43" i="42"/>
  <c r="E44" i="42"/>
  <c r="E45" i="42"/>
  <c r="E46" i="42"/>
  <c r="H40" i="42"/>
  <c r="H41" i="42"/>
  <c r="H42" i="42"/>
  <c r="H43" i="42"/>
  <c r="H44" i="42"/>
  <c r="H45" i="42"/>
  <c r="H46" i="42"/>
  <c r="I40" i="42"/>
  <c r="I41" i="42"/>
  <c r="I42" i="42"/>
  <c r="I43" i="42"/>
  <c r="I44" i="42"/>
  <c r="I45" i="42"/>
  <c r="I46" i="42"/>
  <c r="J40" i="42"/>
  <c r="J41" i="42"/>
  <c r="J42" i="42"/>
  <c r="J43" i="42"/>
  <c r="J44" i="42"/>
  <c r="J45" i="42"/>
  <c r="J46" i="42"/>
  <c r="K40" i="42"/>
  <c r="K41" i="42"/>
  <c r="K42" i="42"/>
  <c r="K43" i="42"/>
  <c r="K44" i="42"/>
  <c r="K45" i="42"/>
  <c r="K46" i="42"/>
  <c r="F40" i="42"/>
  <c r="F41" i="42"/>
  <c r="F42" i="42"/>
  <c r="F43" i="42"/>
  <c r="F44" i="42"/>
  <c r="F45" i="42"/>
  <c r="F46" i="42"/>
  <c r="G46" i="42"/>
  <c r="G40" i="42"/>
  <c r="G41" i="42"/>
  <c r="G42" i="42"/>
  <c r="G43" i="42"/>
  <c r="G44" i="42"/>
  <c r="G45" i="42"/>
  <c r="L40" i="42"/>
  <c r="L41" i="42"/>
  <c r="L42" i="42"/>
  <c r="L43" i="42"/>
  <c r="L44" i="42"/>
  <c r="L45" i="42"/>
  <c r="L47" i="42" s="1"/>
  <c r="L46" i="42"/>
  <c r="M40" i="42"/>
  <c r="M41" i="42"/>
  <c r="M42" i="42"/>
  <c r="M43" i="42"/>
  <c r="M44" i="42"/>
  <c r="M45" i="42"/>
  <c r="M46" i="42"/>
  <c r="C24" i="42"/>
  <c r="C25" i="42"/>
  <c r="C26" i="42"/>
  <c r="C27" i="42"/>
  <c r="C28" i="42"/>
  <c r="C29" i="42"/>
  <c r="C30" i="42"/>
  <c r="C31" i="42"/>
  <c r="C32" i="42"/>
  <c r="C33" i="42"/>
  <c r="C34" i="42"/>
  <c r="D24" i="42"/>
  <c r="D28" i="42"/>
  <c r="D29" i="42"/>
  <c r="D33" i="42"/>
  <c r="D34" i="42"/>
  <c r="E24" i="42"/>
  <c r="E25" i="42"/>
  <c r="E26" i="42"/>
  <c r="E27" i="42"/>
  <c r="E28" i="42"/>
  <c r="E29" i="42"/>
  <c r="E30" i="42"/>
  <c r="E35" i="42" s="1"/>
  <c r="E31" i="42"/>
  <c r="E32" i="42"/>
  <c r="E33" i="42"/>
  <c r="E34" i="42"/>
  <c r="H24" i="42"/>
  <c r="H28" i="42"/>
  <c r="H29" i="42"/>
  <c r="H33" i="42"/>
  <c r="H34" i="42"/>
  <c r="I24" i="42"/>
  <c r="I28" i="42"/>
  <c r="I29" i="42"/>
  <c r="I33" i="42"/>
  <c r="I34" i="42"/>
  <c r="J24" i="42"/>
  <c r="J28" i="42"/>
  <c r="J29" i="42"/>
  <c r="J33" i="42"/>
  <c r="J34" i="42"/>
  <c r="K24" i="42"/>
  <c r="K28" i="42"/>
  <c r="K29" i="42"/>
  <c r="K33" i="42"/>
  <c r="K34" i="42"/>
  <c r="F24" i="42"/>
  <c r="F25" i="42"/>
  <c r="F26" i="42"/>
  <c r="F27" i="42"/>
  <c r="F28" i="42"/>
  <c r="F29" i="42"/>
  <c r="F30" i="42"/>
  <c r="F31" i="42"/>
  <c r="F32" i="42"/>
  <c r="F33" i="42"/>
  <c r="F34" i="42"/>
  <c r="G34" i="42"/>
  <c r="G24" i="42"/>
  <c r="G28" i="42"/>
  <c r="G29" i="42"/>
  <c r="G33" i="42"/>
  <c r="L24" i="42"/>
  <c r="L25" i="42"/>
  <c r="L26" i="42"/>
  <c r="L27" i="42"/>
  <c r="L28" i="42"/>
  <c r="L29" i="42"/>
  <c r="L30" i="42"/>
  <c r="L31" i="42"/>
  <c r="L32" i="42"/>
  <c r="L33" i="42"/>
  <c r="L34" i="42"/>
  <c r="M24" i="42"/>
  <c r="M25" i="42"/>
  <c r="M26" i="42"/>
  <c r="M27" i="42"/>
  <c r="M28" i="42"/>
  <c r="M29" i="42"/>
  <c r="M30" i="42"/>
  <c r="M31" i="42"/>
  <c r="M32" i="42"/>
  <c r="M33" i="42"/>
  <c r="M34" i="42"/>
  <c r="C10" i="42"/>
  <c r="C11" i="42"/>
  <c r="C12" i="42"/>
  <c r="C13" i="42"/>
  <c r="C14" i="42"/>
  <c r="C15" i="42"/>
  <c r="C16" i="42"/>
  <c r="C17" i="42"/>
  <c r="C18" i="42"/>
  <c r="C19" i="42"/>
  <c r="C20" i="42"/>
  <c r="D10" i="42"/>
  <c r="D11" i="42"/>
  <c r="D14" i="42"/>
  <c r="D15" i="42"/>
  <c r="D16" i="42"/>
  <c r="D19" i="42"/>
  <c r="D20" i="42"/>
  <c r="E10" i="42"/>
  <c r="E11" i="42"/>
  <c r="E12" i="42"/>
  <c r="E13" i="42"/>
  <c r="E14" i="42"/>
  <c r="E15" i="42"/>
  <c r="E16" i="42"/>
  <c r="E17" i="42"/>
  <c r="E18" i="42"/>
  <c r="E19" i="42"/>
  <c r="E20" i="42"/>
  <c r="H10" i="42"/>
  <c r="H11" i="42"/>
  <c r="H14" i="42"/>
  <c r="H15" i="42"/>
  <c r="H16" i="42"/>
  <c r="H19" i="42"/>
  <c r="H20" i="42"/>
  <c r="G10" i="42"/>
  <c r="G11" i="42"/>
  <c r="G14" i="42"/>
  <c r="G15" i="42"/>
  <c r="G16" i="42"/>
  <c r="G19" i="42"/>
  <c r="G20" i="42"/>
  <c r="M10" i="42"/>
  <c r="M11" i="42"/>
  <c r="M12" i="42"/>
  <c r="M13" i="42"/>
  <c r="M14" i="42"/>
  <c r="M15" i="42"/>
  <c r="M16" i="42"/>
  <c r="M17" i="42"/>
  <c r="M18" i="42"/>
  <c r="M19" i="42"/>
  <c r="M20" i="42"/>
  <c r="L10" i="42"/>
  <c r="L11" i="42"/>
  <c r="L12" i="42"/>
  <c r="L13" i="42"/>
  <c r="L14" i="42"/>
  <c r="L15" i="42"/>
  <c r="L16" i="42"/>
  <c r="L17" i="42"/>
  <c r="L18" i="42"/>
  <c r="L19" i="42"/>
  <c r="L20" i="42"/>
  <c r="F10" i="42"/>
  <c r="F11" i="42"/>
  <c r="F12" i="42"/>
  <c r="F13" i="42"/>
  <c r="F14" i="42"/>
  <c r="F15" i="42"/>
  <c r="F16" i="42"/>
  <c r="F17" i="42"/>
  <c r="F18" i="42"/>
  <c r="F19" i="42"/>
  <c r="F20" i="42"/>
  <c r="K20" i="42"/>
  <c r="J20" i="42"/>
  <c r="K19" i="42"/>
  <c r="J19" i="42"/>
  <c r="K16" i="42"/>
  <c r="J16" i="42"/>
  <c r="K15" i="42"/>
  <c r="J15" i="42"/>
  <c r="K14" i="42"/>
  <c r="J14" i="42"/>
  <c r="K11" i="42"/>
  <c r="J11" i="42"/>
  <c r="K10" i="42"/>
  <c r="J10" i="42"/>
  <c r="I11" i="42"/>
  <c r="I21" i="42" s="1"/>
  <c r="I14" i="42"/>
  <c r="I15" i="42"/>
  <c r="I16" i="42"/>
  <c r="I19" i="42"/>
  <c r="I20" i="42"/>
  <c r="I10" i="42"/>
  <c r="U78" i="50"/>
  <c r="D78" i="50"/>
  <c r="P78" i="50" s="1"/>
  <c r="E78" i="50"/>
  <c r="F78" i="50"/>
  <c r="G78" i="50"/>
  <c r="H78" i="50"/>
  <c r="I78" i="50"/>
  <c r="J78" i="50"/>
  <c r="K78" i="50"/>
  <c r="L78" i="50"/>
  <c r="M78" i="50"/>
  <c r="N78" i="50"/>
  <c r="S78" i="50"/>
  <c r="T78" i="50"/>
  <c r="N8" i="50"/>
  <c r="M8" i="50"/>
  <c r="L8" i="50"/>
  <c r="K8" i="50"/>
  <c r="O8" i="50" s="1"/>
  <c r="J8" i="50"/>
  <c r="I8" i="50"/>
  <c r="H8" i="50"/>
  <c r="G8" i="50"/>
  <c r="F8" i="50"/>
  <c r="E8" i="50"/>
  <c r="D8" i="50"/>
  <c r="B8" i="50"/>
  <c r="A8" i="50"/>
  <c r="Z9" i="50"/>
  <c r="AA9" i="50"/>
  <c r="AB9" i="50"/>
  <c r="Z10" i="50"/>
  <c r="AA10" i="50"/>
  <c r="AB10" i="50"/>
  <c r="Z11" i="50"/>
  <c r="AA11" i="50"/>
  <c r="AB11" i="50"/>
  <c r="Z12" i="50"/>
  <c r="AA12" i="50"/>
  <c r="AB12" i="50"/>
  <c r="Z13" i="50"/>
  <c r="AA13" i="50"/>
  <c r="AB13" i="50"/>
  <c r="Z14" i="50"/>
  <c r="AA14" i="50"/>
  <c r="AB14" i="50"/>
  <c r="Z15" i="50"/>
  <c r="AA15" i="50"/>
  <c r="AB15" i="50"/>
  <c r="Z16" i="50"/>
  <c r="AA16" i="50"/>
  <c r="AB16" i="50"/>
  <c r="Z17" i="50"/>
  <c r="AA17" i="50"/>
  <c r="AB17" i="50"/>
  <c r="Z18" i="50"/>
  <c r="AA18" i="50"/>
  <c r="AB18" i="50"/>
  <c r="Z19" i="50"/>
  <c r="AA19" i="50"/>
  <c r="AB19" i="50"/>
  <c r="Z20" i="50"/>
  <c r="AA20" i="50"/>
  <c r="AB20" i="50"/>
  <c r="Z21" i="50"/>
  <c r="AA21" i="50"/>
  <c r="AB21" i="50"/>
  <c r="Z22" i="50"/>
  <c r="AA22" i="50"/>
  <c r="AB22" i="50"/>
  <c r="Z23" i="50"/>
  <c r="AA23" i="50"/>
  <c r="AB23" i="50"/>
  <c r="Z24" i="50"/>
  <c r="AA24" i="50"/>
  <c r="AB24" i="50"/>
  <c r="Z25" i="50"/>
  <c r="AA25" i="50"/>
  <c r="AB25" i="50"/>
  <c r="Z26" i="50"/>
  <c r="AA26" i="50"/>
  <c r="AB26" i="50"/>
  <c r="Z27" i="50"/>
  <c r="AA27" i="50"/>
  <c r="AB27" i="50"/>
  <c r="Z28" i="50"/>
  <c r="AA28" i="50"/>
  <c r="AB28" i="50"/>
  <c r="Z29" i="50"/>
  <c r="AA29" i="50"/>
  <c r="AB29" i="50"/>
  <c r="Z30" i="50"/>
  <c r="AA30" i="50"/>
  <c r="AB30" i="50"/>
  <c r="Z31" i="50"/>
  <c r="AA31" i="50"/>
  <c r="AB31" i="50"/>
  <c r="Z32" i="50"/>
  <c r="AA32" i="50"/>
  <c r="AB32" i="50"/>
  <c r="Z33" i="50"/>
  <c r="AA33" i="50"/>
  <c r="AB33" i="50"/>
  <c r="Z34" i="50"/>
  <c r="AA34" i="50"/>
  <c r="AB34" i="50"/>
  <c r="Z35" i="50"/>
  <c r="AA35" i="50"/>
  <c r="AB35" i="50"/>
  <c r="Z36" i="50"/>
  <c r="AA36" i="50"/>
  <c r="AB36" i="50"/>
  <c r="Z37" i="50"/>
  <c r="AA37" i="50"/>
  <c r="AB37" i="50"/>
  <c r="Z38" i="50"/>
  <c r="AA38" i="50"/>
  <c r="AB38" i="50"/>
  <c r="Z39" i="50"/>
  <c r="AA39" i="50"/>
  <c r="AB39" i="50"/>
  <c r="Z40" i="50"/>
  <c r="AA40" i="50"/>
  <c r="AB40" i="50"/>
  <c r="Z41" i="50"/>
  <c r="AA41" i="50"/>
  <c r="AB41" i="50"/>
  <c r="Z42" i="50"/>
  <c r="AA42" i="50"/>
  <c r="AB42" i="50"/>
  <c r="Z43" i="50"/>
  <c r="AA43" i="50"/>
  <c r="AB43" i="50"/>
  <c r="Z44" i="50"/>
  <c r="AA44" i="50"/>
  <c r="AB44" i="50"/>
  <c r="Z45" i="50"/>
  <c r="AA45" i="50"/>
  <c r="AB45" i="50"/>
  <c r="Z46" i="50"/>
  <c r="AA46" i="50"/>
  <c r="AB46" i="50"/>
  <c r="Z47" i="50"/>
  <c r="AA47" i="50"/>
  <c r="AB47" i="50"/>
  <c r="Z48" i="50"/>
  <c r="AA48" i="50"/>
  <c r="AB48" i="50"/>
  <c r="Z49" i="50"/>
  <c r="AA49" i="50"/>
  <c r="AB49" i="50"/>
  <c r="Z50" i="50"/>
  <c r="AA50" i="50"/>
  <c r="AB50" i="50"/>
  <c r="Z51" i="50"/>
  <c r="AA51" i="50"/>
  <c r="AB51" i="50"/>
  <c r="Z52" i="50"/>
  <c r="AA52" i="50"/>
  <c r="AB52" i="50"/>
  <c r="Z53" i="50"/>
  <c r="AA53" i="50"/>
  <c r="AB53" i="50"/>
  <c r="Z54" i="50"/>
  <c r="AA54" i="50"/>
  <c r="AB54" i="50"/>
  <c r="Z55" i="50"/>
  <c r="AA55" i="50"/>
  <c r="AB55" i="50"/>
  <c r="Z56" i="50"/>
  <c r="AA56" i="50"/>
  <c r="AB56" i="50"/>
  <c r="Z57" i="50"/>
  <c r="AA57" i="50"/>
  <c r="AB57" i="50"/>
  <c r="Z58" i="50"/>
  <c r="AA58" i="50"/>
  <c r="AB58" i="50"/>
  <c r="Z59" i="50"/>
  <c r="AA59" i="50"/>
  <c r="AB59" i="50"/>
  <c r="Z60" i="50"/>
  <c r="AA60" i="50"/>
  <c r="AB60" i="50"/>
  <c r="Z61" i="50"/>
  <c r="AA61" i="50"/>
  <c r="AB61" i="50"/>
  <c r="Z62" i="50"/>
  <c r="AA62" i="50"/>
  <c r="AB62" i="50"/>
  <c r="Z63" i="50"/>
  <c r="AA63" i="50"/>
  <c r="AB63" i="50"/>
  <c r="Z64" i="50"/>
  <c r="AA64" i="50"/>
  <c r="AB64" i="50"/>
  <c r="Z65" i="50"/>
  <c r="AA65" i="50"/>
  <c r="AB65" i="50"/>
  <c r="Z66" i="50"/>
  <c r="AA66" i="50"/>
  <c r="AB66" i="50"/>
  <c r="Z67" i="50"/>
  <c r="AA67" i="50"/>
  <c r="AB67" i="50"/>
  <c r="Z68" i="50"/>
  <c r="AA68" i="50"/>
  <c r="AB68" i="50"/>
  <c r="Z69" i="50"/>
  <c r="AA69" i="50"/>
  <c r="AB69" i="50"/>
  <c r="Z70" i="50"/>
  <c r="AA70" i="50"/>
  <c r="AB70" i="50"/>
  <c r="Z71" i="50"/>
  <c r="AA71" i="50"/>
  <c r="AB71" i="50"/>
  <c r="Z72" i="50"/>
  <c r="AA72" i="50"/>
  <c r="AB72" i="50"/>
  <c r="Z73" i="50"/>
  <c r="AA73" i="50"/>
  <c r="AB73" i="50"/>
  <c r="Z74" i="50"/>
  <c r="AA74" i="50"/>
  <c r="AB74" i="50"/>
  <c r="Z75" i="50"/>
  <c r="AA75" i="50"/>
  <c r="AB75" i="50"/>
  <c r="Z76" i="50"/>
  <c r="AA76" i="50"/>
  <c r="AB76" i="50"/>
  <c r="Z77" i="50"/>
  <c r="AA77" i="50"/>
  <c r="AB77" i="50"/>
  <c r="Z78" i="50"/>
  <c r="AA78" i="50"/>
  <c r="AB78" i="50"/>
  <c r="Z79" i="50"/>
  <c r="AA79" i="50"/>
  <c r="AB79" i="50"/>
  <c r="Z80" i="50"/>
  <c r="AA80" i="50"/>
  <c r="AB80" i="50"/>
  <c r="Z81" i="50"/>
  <c r="AA81" i="50"/>
  <c r="AB81" i="50"/>
  <c r="Z82" i="50"/>
  <c r="AA82" i="50"/>
  <c r="AB82" i="50"/>
  <c r="Z83" i="50"/>
  <c r="AA83" i="50"/>
  <c r="AB83" i="50"/>
  <c r="Z84" i="50"/>
  <c r="AA84" i="50"/>
  <c r="AB84" i="50"/>
  <c r="Z85" i="50"/>
  <c r="AA85" i="50"/>
  <c r="AB85" i="50"/>
  <c r="Z86" i="50"/>
  <c r="AA86" i="50"/>
  <c r="AB86" i="50"/>
  <c r="Z87" i="50"/>
  <c r="AA87" i="50"/>
  <c r="AB87" i="50"/>
  <c r="Z88" i="50"/>
  <c r="AA88" i="50"/>
  <c r="AB88" i="50"/>
  <c r="Z89" i="50"/>
  <c r="AA89" i="50"/>
  <c r="AB89" i="50"/>
  <c r="Z90" i="50"/>
  <c r="AA90" i="50"/>
  <c r="AB90" i="50"/>
  <c r="Z91" i="50"/>
  <c r="AA91" i="50"/>
  <c r="AB91" i="50"/>
  <c r="Z92" i="50"/>
  <c r="AA92" i="50"/>
  <c r="AB92" i="50"/>
  <c r="Z93" i="50"/>
  <c r="AA93" i="50"/>
  <c r="AB93" i="50"/>
  <c r="Z94" i="50"/>
  <c r="AA94" i="50"/>
  <c r="AB94" i="50"/>
  <c r="AB8" i="50"/>
  <c r="AA8" i="50"/>
  <c r="Z8" i="50"/>
  <c r="D9" i="50"/>
  <c r="E9" i="50"/>
  <c r="F9" i="50"/>
  <c r="G9" i="50"/>
  <c r="H9" i="50"/>
  <c r="I9" i="50"/>
  <c r="J9" i="50"/>
  <c r="K9" i="50"/>
  <c r="L9" i="50"/>
  <c r="M9" i="50"/>
  <c r="N9" i="50"/>
  <c r="U9" i="50"/>
  <c r="D10" i="50"/>
  <c r="E10" i="50"/>
  <c r="F10" i="50"/>
  <c r="G10" i="50"/>
  <c r="H10" i="50"/>
  <c r="I10" i="50"/>
  <c r="J10" i="50"/>
  <c r="K10" i="50"/>
  <c r="L10" i="50"/>
  <c r="M10" i="50"/>
  <c r="N10" i="50"/>
  <c r="T10" i="50"/>
  <c r="D11" i="50"/>
  <c r="E11" i="50"/>
  <c r="O11" i="50" s="1"/>
  <c r="F11" i="50"/>
  <c r="G11" i="50"/>
  <c r="H11" i="50"/>
  <c r="I11" i="50"/>
  <c r="J11" i="50"/>
  <c r="K11" i="50"/>
  <c r="L11" i="50"/>
  <c r="M11" i="50"/>
  <c r="N11" i="50"/>
  <c r="U11" i="50"/>
  <c r="D12" i="50"/>
  <c r="E12" i="50"/>
  <c r="F12" i="50"/>
  <c r="G12" i="50"/>
  <c r="H12" i="50"/>
  <c r="I12" i="50"/>
  <c r="J12" i="50"/>
  <c r="K12" i="50"/>
  <c r="L12" i="50"/>
  <c r="M12" i="50"/>
  <c r="N12" i="50"/>
  <c r="U12" i="50"/>
  <c r="D13" i="50"/>
  <c r="E13" i="50"/>
  <c r="F13" i="50"/>
  <c r="G13" i="50"/>
  <c r="H13" i="50"/>
  <c r="I13" i="50"/>
  <c r="J13" i="50"/>
  <c r="K13" i="50"/>
  <c r="L13" i="50"/>
  <c r="M13" i="50"/>
  <c r="N13" i="50"/>
  <c r="U13" i="50"/>
  <c r="D14" i="50"/>
  <c r="E14" i="50"/>
  <c r="F14" i="50"/>
  <c r="G14" i="50"/>
  <c r="H14" i="50"/>
  <c r="O14" i="50" s="1"/>
  <c r="P14" i="50" s="1"/>
  <c r="I14" i="50"/>
  <c r="J14" i="50"/>
  <c r="K14" i="50"/>
  <c r="L14" i="50"/>
  <c r="M14" i="50"/>
  <c r="N14" i="50"/>
  <c r="T14" i="50"/>
  <c r="D15" i="50"/>
  <c r="E15" i="50"/>
  <c r="F15" i="50"/>
  <c r="G15" i="50"/>
  <c r="H15" i="50"/>
  <c r="I15" i="50"/>
  <c r="J15" i="50"/>
  <c r="K15" i="50"/>
  <c r="L15" i="50"/>
  <c r="M15" i="50"/>
  <c r="N15" i="50"/>
  <c r="D16" i="50"/>
  <c r="E16" i="50"/>
  <c r="F16" i="50"/>
  <c r="G16" i="50"/>
  <c r="H16" i="50"/>
  <c r="I16" i="50"/>
  <c r="J16" i="50"/>
  <c r="K16" i="50"/>
  <c r="L16" i="50"/>
  <c r="M16" i="50"/>
  <c r="N16" i="50"/>
  <c r="U16" i="50"/>
  <c r="D17" i="50"/>
  <c r="E17" i="50"/>
  <c r="F17" i="50"/>
  <c r="G17" i="50"/>
  <c r="H17" i="50"/>
  <c r="I17" i="50"/>
  <c r="J17" i="50"/>
  <c r="K17" i="50"/>
  <c r="L17" i="50"/>
  <c r="M17" i="50"/>
  <c r="N17" i="50"/>
  <c r="T17" i="50"/>
  <c r="D18" i="50"/>
  <c r="E18" i="50"/>
  <c r="F18" i="50"/>
  <c r="G18" i="50"/>
  <c r="H18" i="50"/>
  <c r="I18" i="50"/>
  <c r="J18" i="50"/>
  <c r="K18" i="50"/>
  <c r="L18" i="50"/>
  <c r="M18" i="50"/>
  <c r="N18" i="50"/>
  <c r="S18" i="50"/>
  <c r="U18" i="50"/>
  <c r="D19" i="50"/>
  <c r="E19" i="50"/>
  <c r="O19" i="50" s="1"/>
  <c r="P19" i="50" s="1"/>
  <c r="Q19" i="50" s="1"/>
  <c r="F19" i="50"/>
  <c r="G19" i="50"/>
  <c r="H19" i="50"/>
  <c r="I19" i="50"/>
  <c r="J19" i="50"/>
  <c r="K19" i="50"/>
  <c r="L19" i="50"/>
  <c r="M19" i="50"/>
  <c r="N19" i="50"/>
  <c r="U19" i="50"/>
  <c r="D20" i="50"/>
  <c r="E20" i="50"/>
  <c r="F20" i="50"/>
  <c r="G20" i="50"/>
  <c r="H20" i="50"/>
  <c r="O20" i="50" s="1"/>
  <c r="P20" i="50" s="1"/>
  <c r="I20" i="50"/>
  <c r="J20" i="50"/>
  <c r="K20" i="50"/>
  <c r="L20" i="50"/>
  <c r="M20" i="50"/>
  <c r="N20" i="50"/>
  <c r="U20" i="50"/>
  <c r="D21" i="50"/>
  <c r="E21" i="50"/>
  <c r="F21" i="50"/>
  <c r="G21" i="50"/>
  <c r="H21" i="50"/>
  <c r="I21" i="50"/>
  <c r="J21" i="50"/>
  <c r="K21" i="50"/>
  <c r="L21" i="50"/>
  <c r="M21" i="50"/>
  <c r="N21" i="50"/>
  <c r="T21" i="50"/>
  <c r="D22" i="50"/>
  <c r="E22" i="50"/>
  <c r="F22" i="50"/>
  <c r="G22" i="50"/>
  <c r="H22" i="50"/>
  <c r="I22" i="50"/>
  <c r="O22" i="50" s="1"/>
  <c r="J22" i="50"/>
  <c r="K22" i="50"/>
  <c r="L22" i="50"/>
  <c r="M22" i="50"/>
  <c r="N22" i="50"/>
  <c r="U22" i="50"/>
  <c r="D23" i="50"/>
  <c r="E23" i="50"/>
  <c r="F23" i="50"/>
  <c r="G23" i="50"/>
  <c r="H23" i="50"/>
  <c r="I23" i="50"/>
  <c r="J23" i="50"/>
  <c r="K23" i="50"/>
  <c r="L23" i="50"/>
  <c r="M23" i="50"/>
  <c r="N23" i="50"/>
  <c r="U23" i="50"/>
  <c r="D24" i="50"/>
  <c r="E24" i="50"/>
  <c r="F24" i="50"/>
  <c r="G24" i="50"/>
  <c r="H24" i="50"/>
  <c r="I24" i="50"/>
  <c r="J24" i="50"/>
  <c r="K24" i="50"/>
  <c r="L24" i="50"/>
  <c r="M24" i="50"/>
  <c r="N24" i="50"/>
  <c r="U24" i="50"/>
  <c r="D25" i="50"/>
  <c r="E25" i="50"/>
  <c r="F25" i="50"/>
  <c r="G25" i="50"/>
  <c r="H25" i="50"/>
  <c r="I25" i="50"/>
  <c r="J25" i="50"/>
  <c r="K25" i="50"/>
  <c r="L25" i="50"/>
  <c r="M25" i="50"/>
  <c r="N25" i="50"/>
  <c r="T25" i="50"/>
  <c r="D26" i="50"/>
  <c r="E26" i="50"/>
  <c r="F26" i="50"/>
  <c r="G26" i="50"/>
  <c r="H26" i="50"/>
  <c r="O26" i="50" s="1"/>
  <c r="I26" i="50"/>
  <c r="J26" i="50"/>
  <c r="K26" i="50"/>
  <c r="L26" i="50"/>
  <c r="M26" i="50"/>
  <c r="N26" i="50"/>
  <c r="D27" i="50"/>
  <c r="E27" i="50"/>
  <c r="F27" i="50"/>
  <c r="O27" i="50" s="1"/>
  <c r="P27" i="50" s="1"/>
  <c r="G27" i="50"/>
  <c r="H27" i="50"/>
  <c r="I27" i="50"/>
  <c r="J27" i="50"/>
  <c r="K27" i="50"/>
  <c r="L27" i="50"/>
  <c r="M27" i="50"/>
  <c r="N27" i="50"/>
  <c r="U27" i="50"/>
  <c r="D28" i="50"/>
  <c r="E28" i="50"/>
  <c r="F28" i="50"/>
  <c r="G28" i="50"/>
  <c r="H28" i="50"/>
  <c r="I28" i="50"/>
  <c r="J28" i="50"/>
  <c r="K28" i="50"/>
  <c r="L28" i="50"/>
  <c r="M28" i="50"/>
  <c r="N28" i="50"/>
  <c r="T28" i="50"/>
  <c r="D29" i="50"/>
  <c r="E29" i="50"/>
  <c r="O29" i="50" s="1"/>
  <c r="P29" i="50" s="1"/>
  <c r="F29" i="50"/>
  <c r="G29" i="50"/>
  <c r="H29" i="50"/>
  <c r="I29" i="50"/>
  <c r="J29" i="50"/>
  <c r="K29" i="50"/>
  <c r="L29" i="50"/>
  <c r="M29" i="50"/>
  <c r="N29" i="50"/>
  <c r="S29" i="50"/>
  <c r="U29" i="50"/>
  <c r="D30" i="50"/>
  <c r="E30" i="50"/>
  <c r="F30" i="50"/>
  <c r="G30" i="50"/>
  <c r="H30" i="50"/>
  <c r="I30" i="50"/>
  <c r="J30" i="50"/>
  <c r="K30" i="50"/>
  <c r="L30" i="50"/>
  <c r="M30" i="50"/>
  <c r="N30" i="50"/>
  <c r="U30" i="50"/>
  <c r="D31" i="50"/>
  <c r="E31" i="50"/>
  <c r="O31" i="50" s="1"/>
  <c r="P31" i="50" s="1"/>
  <c r="F31" i="50"/>
  <c r="G31" i="50"/>
  <c r="H31" i="50"/>
  <c r="I31" i="50"/>
  <c r="J31" i="50"/>
  <c r="K31" i="50"/>
  <c r="L31" i="50"/>
  <c r="M31" i="50"/>
  <c r="N31" i="50"/>
  <c r="U31" i="50"/>
  <c r="D32" i="50"/>
  <c r="E32" i="50"/>
  <c r="F32" i="50"/>
  <c r="G32" i="50"/>
  <c r="H32" i="50"/>
  <c r="O32" i="50" s="1"/>
  <c r="P32" i="50" s="1"/>
  <c r="I32" i="50"/>
  <c r="J32" i="50"/>
  <c r="K32" i="50"/>
  <c r="L32" i="50"/>
  <c r="M32" i="50"/>
  <c r="N32" i="50"/>
  <c r="T32" i="50"/>
  <c r="D33" i="50"/>
  <c r="E33" i="50"/>
  <c r="F33" i="50"/>
  <c r="G33" i="50"/>
  <c r="H33" i="50"/>
  <c r="I33" i="50"/>
  <c r="J33" i="50"/>
  <c r="K33" i="50"/>
  <c r="L33" i="50"/>
  <c r="M33" i="50"/>
  <c r="N33" i="50"/>
  <c r="U33" i="50"/>
  <c r="D34" i="50"/>
  <c r="E34" i="50"/>
  <c r="F34" i="50"/>
  <c r="G34" i="50"/>
  <c r="H34" i="50"/>
  <c r="O34" i="50" s="1"/>
  <c r="P34" i="50" s="1"/>
  <c r="I34" i="50"/>
  <c r="J34" i="50"/>
  <c r="K34" i="50"/>
  <c r="L34" i="50"/>
  <c r="M34" i="50"/>
  <c r="N34" i="50"/>
  <c r="U34" i="50"/>
  <c r="D35" i="50"/>
  <c r="E35" i="50"/>
  <c r="F35" i="50"/>
  <c r="G35" i="50"/>
  <c r="H35" i="50"/>
  <c r="I35" i="50"/>
  <c r="J35" i="50"/>
  <c r="K35" i="50"/>
  <c r="L35" i="50"/>
  <c r="M35" i="50"/>
  <c r="N35" i="50"/>
  <c r="U35" i="50"/>
  <c r="D36" i="50"/>
  <c r="E36" i="50"/>
  <c r="F36" i="50"/>
  <c r="G36" i="50"/>
  <c r="H36" i="50"/>
  <c r="I36" i="50"/>
  <c r="O36" i="50" s="1"/>
  <c r="P36" i="50" s="1"/>
  <c r="J36" i="50"/>
  <c r="K36" i="50"/>
  <c r="L36" i="50"/>
  <c r="M36" i="50"/>
  <c r="N36" i="50"/>
  <c r="T36" i="50"/>
  <c r="D37" i="50"/>
  <c r="E37" i="50"/>
  <c r="F37" i="50"/>
  <c r="G37" i="50"/>
  <c r="H37" i="50"/>
  <c r="I37" i="50"/>
  <c r="J37" i="50"/>
  <c r="K37" i="50"/>
  <c r="L37" i="50"/>
  <c r="M37" i="50"/>
  <c r="N37" i="50"/>
  <c r="D38" i="50"/>
  <c r="E38" i="50"/>
  <c r="F38" i="50"/>
  <c r="G38" i="50"/>
  <c r="H38" i="50"/>
  <c r="I38" i="50"/>
  <c r="J38" i="50"/>
  <c r="K38" i="50"/>
  <c r="L38" i="50"/>
  <c r="M38" i="50"/>
  <c r="N38" i="50"/>
  <c r="U38" i="50"/>
  <c r="D39" i="50"/>
  <c r="E39" i="50"/>
  <c r="F39" i="50"/>
  <c r="G39" i="50"/>
  <c r="H39" i="50"/>
  <c r="I39" i="50"/>
  <c r="J39" i="50"/>
  <c r="K39" i="50"/>
  <c r="L39" i="50"/>
  <c r="M39" i="50"/>
  <c r="N39" i="50"/>
  <c r="T39" i="50"/>
  <c r="D40" i="50"/>
  <c r="E40" i="50"/>
  <c r="F40" i="50"/>
  <c r="G40" i="50"/>
  <c r="H40" i="50"/>
  <c r="I40" i="50"/>
  <c r="O40" i="50" s="1"/>
  <c r="P40" i="50" s="1"/>
  <c r="V40" i="50" s="1"/>
  <c r="X40" i="50" s="1"/>
  <c r="J40" i="50"/>
  <c r="K40" i="50"/>
  <c r="L40" i="50"/>
  <c r="M40" i="50"/>
  <c r="N40" i="50"/>
  <c r="S40" i="50"/>
  <c r="U40" i="50"/>
  <c r="D41" i="50"/>
  <c r="E41" i="50"/>
  <c r="O41" i="50" s="1"/>
  <c r="F41" i="50"/>
  <c r="G41" i="50"/>
  <c r="H41" i="50"/>
  <c r="I41" i="50"/>
  <c r="J41" i="50"/>
  <c r="K41" i="50"/>
  <c r="L41" i="50"/>
  <c r="M41" i="50"/>
  <c r="N41" i="50"/>
  <c r="U41" i="50"/>
  <c r="D42" i="50"/>
  <c r="E42" i="50"/>
  <c r="F42" i="50"/>
  <c r="G42" i="50"/>
  <c r="H42" i="50"/>
  <c r="I42" i="50"/>
  <c r="J42" i="50"/>
  <c r="K42" i="50"/>
  <c r="L42" i="50"/>
  <c r="M42" i="50"/>
  <c r="N42" i="50"/>
  <c r="U42" i="50"/>
  <c r="D43" i="50"/>
  <c r="E43" i="50"/>
  <c r="F43" i="50"/>
  <c r="G43" i="50"/>
  <c r="H43" i="50"/>
  <c r="I43" i="50"/>
  <c r="J43" i="50"/>
  <c r="K43" i="50"/>
  <c r="L43" i="50"/>
  <c r="M43" i="50"/>
  <c r="N43" i="50"/>
  <c r="T43" i="50"/>
  <c r="D44" i="50"/>
  <c r="E44" i="50"/>
  <c r="F44" i="50"/>
  <c r="G44" i="50"/>
  <c r="H44" i="50"/>
  <c r="I44" i="50"/>
  <c r="J44" i="50"/>
  <c r="K44" i="50"/>
  <c r="L44" i="50"/>
  <c r="M44" i="50"/>
  <c r="N44" i="50"/>
  <c r="U44" i="50"/>
  <c r="D45" i="50"/>
  <c r="E45" i="50"/>
  <c r="F45" i="50"/>
  <c r="G45" i="50"/>
  <c r="H45" i="50"/>
  <c r="I45" i="50"/>
  <c r="J45" i="50"/>
  <c r="K45" i="50"/>
  <c r="L45" i="50"/>
  <c r="M45" i="50"/>
  <c r="N45" i="50"/>
  <c r="U45" i="50"/>
  <c r="D46" i="50"/>
  <c r="E46" i="50"/>
  <c r="F46" i="50"/>
  <c r="G46" i="50"/>
  <c r="H46" i="50"/>
  <c r="I46" i="50"/>
  <c r="J46" i="50"/>
  <c r="K46" i="50"/>
  <c r="L46" i="50"/>
  <c r="M46" i="50"/>
  <c r="N46" i="50"/>
  <c r="U46" i="50"/>
  <c r="D47" i="50"/>
  <c r="E47" i="50"/>
  <c r="F47" i="50"/>
  <c r="G47" i="50"/>
  <c r="H47" i="50"/>
  <c r="I47" i="50"/>
  <c r="J47" i="50"/>
  <c r="K47" i="50"/>
  <c r="L47" i="50"/>
  <c r="M47" i="50"/>
  <c r="N47" i="50"/>
  <c r="T47" i="50"/>
  <c r="D48" i="50"/>
  <c r="E48" i="50"/>
  <c r="F48" i="50"/>
  <c r="G48" i="50"/>
  <c r="H48" i="50"/>
  <c r="I48" i="50"/>
  <c r="J48" i="50"/>
  <c r="K48" i="50"/>
  <c r="L48" i="50"/>
  <c r="M48" i="50"/>
  <c r="N48" i="50"/>
  <c r="D49" i="50"/>
  <c r="E49" i="50"/>
  <c r="F49" i="50"/>
  <c r="G49" i="50"/>
  <c r="H49" i="50"/>
  <c r="I49" i="50"/>
  <c r="J49" i="50"/>
  <c r="K49" i="50"/>
  <c r="L49" i="50"/>
  <c r="M49" i="50"/>
  <c r="N49" i="50"/>
  <c r="U49" i="50"/>
  <c r="D50" i="50"/>
  <c r="E50" i="50"/>
  <c r="F50" i="50"/>
  <c r="G50" i="50"/>
  <c r="H50" i="50"/>
  <c r="I50" i="50"/>
  <c r="J50" i="50"/>
  <c r="K50" i="50"/>
  <c r="L50" i="50"/>
  <c r="M50" i="50"/>
  <c r="N50" i="50"/>
  <c r="T50" i="50"/>
  <c r="D51" i="50"/>
  <c r="E51" i="50"/>
  <c r="F51" i="50"/>
  <c r="G51" i="50"/>
  <c r="H51" i="50"/>
  <c r="I51" i="50"/>
  <c r="J51" i="50"/>
  <c r="K51" i="50"/>
  <c r="L51" i="50"/>
  <c r="M51" i="50"/>
  <c r="N51" i="50"/>
  <c r="S51" i="50"/>
  <c r="U51" i="50"/>
  <c r="D52" i="50"/>
  <c r="E52" i="50"/>
  <c r="F52" i="50"/>
  <c r="G52" i="50"/>
  <c r="H52" i="50"/>
  <c r="I52" i="50"/>
  <c r="O52" i="50" s="1"/>
  <c r="P52" i="50" s="1"/>
  <c r="J52" i="50"/>
  <c r="K52" i="50"/>
  <c r="L52" i="50"/>
  <c r="M52" i="50"/>
  <c r="N52" i="50"/>
  <c r="U52" i="50"/>
  <c r="D53" i="50"/>
  <c r="E53" i="50"/>
  <c r="F53" i="50"/>
  <c r="G53" i="50"/>
  <c r="H53" i="50"/>
  <c r="I53" i="50"/>
  <c r="J53" i="50"/>
  <c r="K53" i="50"/>
  <c r="L53" i="50"/>
  <c r="M53" i="50"/>
  <c r="N53" i="50"/>
  <c r="U53" i="50"/>
  <c r="D54" i="50"/>
  <c r="E54" i="50"/>
  <c r="F54" i="50"/>
  <c r="G54" i="50"/>
  <c r="H54" i="50"/>
  <c r="I54" i="50"/>
  <c r="J54" i="50"/>
  <c r="K54" i="50"/>
  <c r="L54" i="50"/>
  <c r="M54" i="50"/>
  <c r="N54" i="50"/>
  <c r="T54" i="50"/>
  <c r="D55" i="50"/>
  <c r="E55" i="50"/>
  <c r="F55" i="50"/>
  <c r="G55" i="50"/>
  <c r="H55" i="50"/>
  <c r="I55" i="50"/>
  <c r="J55" i="50"/>
  <c r="K55" i="50"/>
  <c r="L55" i="50"/>
  <c r="M55" i="50"/>
  <c r="N55" i="50"/>
  <c r="U55" i="50"/>
  <c r="D56" i="50"/>
  <c r="E56" i="50"/>
  <c r="F56" i="50"/>
  <c r="G56" i="50"/>
  <c r="H56" i="50"/>
  <c r="O56" i="50" s="1"/>
  <c r="P56" i="50" s="1"/>
  <c r="I56" i="50"/>
  <c r="J56" i="50"/>
  <c r="K56" i="50"/>
  <c r="L56" i="50"/>
  <c r="M56" i="50"/>
  <c r="N56" i="50"/>
  <c r="U56" i="50"/>
  <c r="D57" i="50"/>
  <c r="E57" i="50"/>
  <c r="F57" i="50"/>
  <c r="G57" i="50"/>
  <c r="H57" i="50"/>
  <c r="I57" i="50"/>
  <c r="J57" i="50"/>
  <c r="K57" i="50"/>
  <c r="L57" i="50"/>
  <c r="M57" i="50"/>
  <c r="N57" i="50"/>
  <c r="U57" i="50"/>
  <c r="D58" i="50"/>
  <c r="E58" i="50"/>
  <c r="F58" i="50"/>
  <c r="G58" i="50"/>
  <c r="H58" i="50"/>
  <c r="O58" i="50" s="1"/>
  <c r="P58" i="50" s="1"/>
  <c r="Q58" i="50" s="1"/>
  <c r="I58" i="50"/>
  <c r="J58" i="50"/>
  <c r="K58" i="50"/>
  <c r="L58" i="50"/>
  <c r="M58" i="50"/>
  <c r="N58" i="50"/>
  <c r="T58" i="50"/>
  <c r="D59" i="50"/>
  <c r="E59" i="50"/>
  <c r="F59" i="50"/>
  <c r="G59" i="50"/>
  <c r="H59" i="50"/>
  <c r="I59" i="50"/>
  <c r="J59" i="50"/>
  <c r="K59" i="50"/>
  <c r="L59" i="50"/>
  <c r="M59" i="50"/>
  <c r="N59" i="50"/>
  <c r="D60" i="50"/>
  <c r="E60" i="50"/>
  <c r="F60" i="50"/>
  <c r="G60" i="50"/>
  <c r="H60" i="50"/>
  <c r="I60" i="50"/>
  <c r="O60" i="50" s="1"/>
  <c r="J60" i="50"/>
  <c r="K60" i="50"/>
  <c r="L60" i="50"/>
  <c r="M60" i="50"/>
  <c r="N60" i="50"/>
  <c r="U60" i="50"/>
  <c r="D61" i="50"/>
  <c r="E61" i="50"/>
  <c r="F61" i="50"/>
  <c r="G61" i="50"/>
  <c r="H61" i="50"/>
  <c r="I61" i="50"/>
  <c r="J61" i="50"/>
  <c r="K61" i="50"/>
  <c r="L61" i="50"/>
  <c r="M61" i="50"/>
  <c r="N61" i="50"/>
  <c r="T61" i="50"/>
  <c r="D62" i="50"/>
  <c r="E62" i="50"/>
  <c r="F62" i="50"/>
  <c r="G62" i="50"/>
  <c r="H62" i="50"/>
  <c r="I62" i="50"/>
  <c r="O62" i="50" s="1"/>
  <c r="P62" i="50" s="1"/>
  <c r="V62" i="50" s="1"/>
  <c r="W62" i="50" s="1"/>
  <c r="Y62" i="50" s="1"/>
  <c r="J62" i="50"/>
  <c r="K62" i="50"/>
  <c r="L62" i="50"/>
  <c r="M62" i="50"/>
  <c r="N62" i="50"/>
  <c r="S62" i="50"/>
  <c r="U62" i="50"/>
  <c r="D63" i="50"/>
  <c r="E63" i="50"/>
  <c r="F63" i="50"/>
  <c r="G63" i="50"/>
  <c r="H63" i="50"/>
  <c r="I63" i="50"/>
  <c r="J63" i="50"/>
  <c r="K63" i="50"/>
  <c r="L63" i="50"/>
  <c r="M63" i="50"/>
  <c r="N63" i="50"/>
  <c r="U63" i="50"/>
  <c r="D64" i="50"/>
  <c r="E64" i="50"/>
  <c r="F64" i="50"/>
  <c r="G64" i="50"/>
  <c r="H64" i="50"/>
  <c r="O64" i="50" s="1"/>
  <c r="P64" i="50" s="1"/>
  <c r="V64" i="50" s="1"/>
  <c r="I64" i="50"/>
  <c r="J64" i="50"/>
  <c r="K64" i="50"/>
  <c r="L64" i="50"/>
  <c r="M64" i="50"/>
  <c r="N64" i="50"/>
  <c r="U64" i="50"/>
  <c r="D65" i="50"/>
  <c r="P65" i="50" s="1"/>
  <c r="E65" i="50"/>
  <c r="O65" i="50" s="1"/>
  <c r="F65" i="50"/>
  <c r="G65" i="50"/>
  <c r="H65" i="50"/>
  <c r="I65" i="50"/>
  <c r="J65" i="50"/>
  <c r="K65" i="50"/>
  <c r="L65" i="50"/>
  <c r="M65" i="50"/>
  <c r="N65" i="50"/>
  <c r="T65" i="50"/>
  <c r="D66" i="50"/>
  <c r="E66" i="50"/>
  <c r="F66" i="50"/>
  <c r="O66" i="50" s="1"/>
  <c r="G66" i="50"/>
  <c r="H66" i="50"/>
  <c r="I66" i="50"/>
  <c r="J66" i="50"/>
  <c r="K66" i="50"/>
  <c r="L66" i="50"/>
  <c r="M66" i="50"/>
  <c r="N66" i="50"/>
  <c r="U66" i="50"/>
  <c r="D67" i="50"/>
  <c r="E67" i="50"/>
  <c r="F67" i="50"/>
  <c r="G67" i="50"/>
  <c r="H67" i="50"/>
  <c r="I67" i="50"/>
  <c r="J67" i="50"/>
  <c r="K67" i="50"/>
  <c r="L67" i="50"/>
  <c r="M67" i="50"/>
  <c r="N67" i="50"/>
  <c r="U67" i="50"/>
  <c r="D68" i="50"/>
  <c r="E68" i="50"/>
  <c r="F68" i="50"/>
  <c r="G68" i="50"/>
  <c r="H68" i="50"/>
  <c r="I68" i="50"/>
  <c r="J68" i="50"/>
  <c r="K68" i="50"/>
  <c r="L68" i="50"/>
  <c r="M68" i="50"/>
  <c r="N68" i="50"/>
  <c r="T68" i="50"/>
  <c r="D69" i="50"/>
  <c r="E69" i="50"/>
  <c r="F69" i="50"/>
  <c r="G69" i="50"/>
  <c r="H69" i="50"/>
  <c r="I69" i="50"/>
  <c r="J69" i="50"/>
  <c r="K69" i="50"/>
  <c r="L69" i="50"/>
  <c r="M69" i="50"/>
  <c r="N69" i="50"/>
  <c r="D70" i="50"/>
  <c r="E70" i="50"/>
  <c r="F70" i="50"/>
  <c r="G70" i="50"/>
  <c r="H70" i="50"/>
  <c r="I70" i="50"/>
  <c r="J70" i="50"/>
  <c r="K70" i="50"/>
  <c r="L70" i="50"/>
  <c r="M70" i="50"/>
  <c r="N70" i="50"/>
  <c r="U70" i="50"/>
  <c r="D71" i="50"/>
  <c r="E71" i="50"/>
  <c r="F71" i="50"/>
  <c r="G71" i="50"/>
  <c r="H71" i="50"/>
  <c r="I71" i="50"/>
  <c r="J71" i="50"/>
  <c r="K71" i="50"/>
  <c r="L71" i="50"/>
  <c r="M71" i="50"/>
  <c r="N71" i="50"/>
  <c r="T71" i="50"/>
  <c r="D72" i="50"/>
  <c r="E72" i="50"/>
  <c r="F72" i="50"/>
  <c r="G72" i="50"/>
  <c r="H72" i="50"/>
  <c r="I72" i="50"/>
  <c r="J72" i="50"/>
  <c r="K72" i="50"/>
  <c r="L72" i="50"/>
  <c r="M72" i="50"/>
  <c r="N72" i="50"/>
  <c r="S72" i="50"/>
  <c r="U72" i="50"/>
  <c r="D73" i="50"/>
  <c r="E73" i="50"/>
  <c r="F73" i="50"/>
  <c r="G73" i="50"/>
  <c r="H73" i="50"/>
  <c r="I73" i="50"/>
  <c r="J73" i="50"/>
  <c r="K73" i="50"/>
  <c r="L73" i="50"/>
  <c r="M73" i="50"/>
  <c r="N73" i="50"/>
  <c r="U73" i="50"/>
  <c r="D74" i="50"/>
  <c r="E74" i="50"/>
  <c r="F74" i="50"/>
  <c r="G74" i="50"/>
  <c r="H74" i="50"/>
  <c r="I74" i="50"/>
  <c r="J74" i="50"/>
  <c r="K74" i="50"/>
  <c r="L74" i="50"/>
  <c r="M74" i="50"/>
  <c r="N74" i="50"/>
  <c r="U74" i="50"/>
  <c r="D75" i="50"/>
  <c r="E75" i="50"/>
  <c r="F75" i="50"/>
  <c r="G75" i="50"/>
  <c r="H75" i="50"/>
  <c r="I75" i="50"/>
  <c r="J75" i="50"/>
  <c r="O75" i="50" s="1"/>
  <c r="K75" i="50"/>
  <c r="L75" i="50"/>
  <c r="M75" i="50"/>
  <c r="N75" i="50"/>
  <c r="T75" i="50"/>
  <c r="D76" i="50"/>
  <c r="E76" i="50"/>
  <c r="F76" i="50"/>
  <c r="G76" i="50"/>
  <c r="H76" i="50"/>
  <c r="I76" i="50"/>
  <c r="J76" i="50"/>
  <c r="K76" i="50"/>
  <c r="L76" i="50"/>
  <c r="M76" i="50"/>
  <c r="N76" i="50"/>
  <c r="U76" i="50"/>
  <c r="D77" i="50"/>
  <c r="E77" i="50"/>
  <c r="F77" i="50"/>
  <c r="G77" i="50"/>
  <c r="H77" i="50"/>
  <c r="I77" i="50"/>
  <c r="J77" i="50"/>
  <c r="K77" i="50"/>
  <c r="L77" i="50"/>
  <c r="M77" i="50"/>
  <c r="N77" i="50"/>
  <c r="U77" i="50"/>
  <c r="D79" i="50"/>
  <c r="E79" i="50"/>
  <c r="F79" i="50"/>
  <c r="O79" i="50" s="1"/>
  <c r="G79" i="50"/>
  <c r="H79" i="50"/>
  <c r="I79" i="50"/>
  <c r="J79" i="50"/>
  <c r="K79" i="50"/>
  <c r="L79" i="50"/>
  <c r="M79" i="50"/>
  <c r="N79" i="50"/>
  <c r="T79" i="50"/>
  <c r="D80" i="50"/>
  <c r="E80" i="50"/>
  <c r="F80" i="50"/>
  <c r="G80" i="50"/>
  <c r="H80" i="50"/>
  <c r="I80" i="50"/>
  <c r="J80" i="50"/>
  <c r="K80" i="50"/>
  <c r="L80" i="50"/>
  <c r="M80" i="50"/>
  <c r="N80" i="50"/>
  <c r="D81" i="50"/>
  <c r="E81" i="50"/>
  <c r="F81" i="50"/>
  <c r="G81" i="50"/>
  <c r="H81" i="50"/>
  <c r="I81" i="50"/>
  <c r="J81" i="50"/>
  <c r="K81" i="50"/>
  <c r="L81" i="50"/>
  <c r="M81" i="50"/>
  <c r="N81" i="50"/>
  <c r="U81" i="50"/>
  <c r="D82" i="50"/>
  <c r="E82" i="50"/>
  <c r="F82" i="50"/>
  <c r="G82" i="50"/>
  <c r="H82" i="50"/>
  <c r="I82" i="50"/>
  <c r="J82" i="50"/>
  <c r="K82" i="50"/>
  <c r="L82" i="50"/>
  <c r="M82" i="50"/>
  <c r="N82" i="50"/>
  <c r="T82" i="50"/>
  <c r="D83" i="50"/>
  <c r="E83" i="50"/>
  <c r="F83" i="50"/>
  <c r="G83" i="50"/>
  <c r="H83" i="50"/>
  <c r="I83" i="50"/>
  <c r="J83" i="50"/>
  <c r="K83" i="50"/>
  <c r="L83" i="50"/>
  <c r="M83" i="50"/>
  <c r="N83" i="50"/>
  <c r="S83" i="50"/>
  <c r="U83" i="50"/>
  <c r="D84" i="50"/>
  <c r="E84" i="50"/>
  <c r="F84" i="50"/>
  <c r="G84" i="50"/>
  <c r="H84" i="50"/>
  <c r="I84" i="50"/>
  <c r="J84" i="50"/>
  <c r="K84" i="50"/>
  <c r="L84" i="50"/>
  <c r="M84" i="50"/>
  <c r="N84" i="50"/>
  <c r="U84" i="50"/>
  <c r="D85" i="50"/>
  <c r="E85" i="50"/>
  <c r="F85" i="50"/>
  <c r="G85" i="50"/>
  <c r="H85" i="50"/>
  <c r="I85" i="50"/>
  <c r="J85" i="50"/>
  <c r="K85" i="50"/>
  <c r="L85" i="50"/>
  <c r="M85" i="50"/>
  <c r="N85" i="50"/>
  <c r="U85" i="50"/>
  <c r="D86" i="50"/>
  <c r="E86" i="50"/>
  <c r="F86" i="50"/>
  <c r="G86" i="50"/>
  <c r="H86" i="50"/>
  <c r="I86" i="50"/>
  <c r="J86" i="50"/>
  <c r="K86" i="50"/>
  <c r="L86" i="50"/>
  <c r="M86" i="50"/>
  <c r="N86" i="50"/>
  <c r="T86" i="50"/>
  <c r="D87" i="50"/>
  <c r="E87" i="50"/>
  <c r="F87" i="50"/>
  <c r="G87" i="50"/>
  <c r="H87" i="50"/>
  <c r="I87" i="50"/>
  <c r="J87" i="50"/>
  <c r="K87" i="50"/>
  <c r="L87" i="50"/>
  <c r="M87" i="50"/>
  <c r="N87" i="50"/>
  <c r="U87" i="50"/>
  <c r="D88" i="50"/>
  <c r="E88" i="50"/>
  <c r="F88" i="50"/>
  <c r="G88" i="50"/>
  <c r="H88" i="50"/>
  <c r="I88" i="50"/>
  <c r="J88" i="50"/>
  <c r="K88" i="50"/>
  <c r="L88" i="50"/>
  <c r="M88" i="50"/>
  <c r="N88" i="50"/>
  <c r="U88" i="50"/>
  <c r="D89" i="50"/>
  <c r="E89" i="50"/>
  <c r="F89" i="50"/>
  <c r="G89" i="50"/>
  <c r="H89" i="50"/>
  <c r="I89" i="50"/>
  <c r="J89" i="50"/>
  <c r="K89" i="50"/>
  <c r="L89" i="50"/>
  <c r="M89" i="50"/>
  <c r="N89" i="50"/>
  <c r="U89" i="50"/>
  <c r="D90" i="50"/>
  <c r="E90" i="50"/>
  <c r="F90" i="50"/>
  <c r="G90" i="50"/>
  <c r="H90" i="50"/>
  <c r="I90" i="50"/>
  <c r="J90" i="50"/>
  <c r="O90" i="50" s="1"/>
  <c r="K90" i="50"/>
  <c r="L90" i="50"/>
  <c r="M90" i="50"/>
  <c r="N90" i="50"/>
  <c r="T90" i="50"/>
  <c r="D91" i="50"/>
  <c r="E91" i="50"/>
  <c r="F91" i="50"/>
  <c r="G91" i="50"/>
  <c r="H91" i="50"/>
  <c r="I91" i="50"/>
  <c r="J91" i="50"/>
  <c r="K91" i="50"/>
  <c r="L91" i="50"/>
  <c r="M91" i="50"/>
  <c r="N91" i="50"/>
  <c r="D92" i="50"/>
  <c r="E92" i="50"/>
  <c r="F92" i="50"/>
  <c r="G92" i="50"/>
  <c r="H92" i="50"/>
  <c r="I92" i="50"/>
  <c r="J92" i="50"/>
  <c r="K92" i="50"/>
  <c r="L92" i="50"/>
  <c r="M92" i="50"/>
  <c r="N92" i="50"/>
  <c r="U92" i="50"/>
  <c r="D93" i="50"/>
  <c r="E93" i="50"/>
  <c r="F93" i="50"/>
  <c r="G93" i="50"/>
  <c r="H93" i="50"/>
  <c r="I93" i="50"/>
  <c r="J93" i="50"/>
  <c r="K93" i="50"/>
  <c r="L93" i="50"/>
  <c r="M93" i="50"/>
  <c r="N93" i="50"/>
  <c r="T93" i="50"/>
  <c r="D94" i="50"/>
  <c r="E94" i="50"/>
  <c r="F94" i="50"/>
  <c r="G94" i="50"/>
  <c r="H94" i="50"/>
  <c r="I94" i="50"/>
  <c r="J94" i="50"/>
  <c r="K94" i="50"/>
  <c r="O94" i="50" s="1"/>
  <c r="L94" i="50"/>
  <c r="M94" i="50"/>
  <c r="N94" i="50"/>
  <c r="S94" i="50"/>
  <c r="U94" i="50"/>
  <c r="U8" i="50"/>
  <c r="R9" i="50"/>
  <c r="S9" i="50"/>
  <c r="T9" i="50"/>
  <c r="R10" i="50"/>
  <c r="S10" i="50"/>
  <c r="U10" i="50"/>
  <c r="R11" i="50"/>
  <c r="S11" i="50"/>
  <c r="T11" i="50"/>
  <c r="R12" i="50"/>
  <c r="S12" i="50"/>
  <c r="T12" i="50"/>
  <c r="R13" i="50"/>
  <c r="S13" i="50"/>
  <c r="T13" i="50"/>
  <c r="R14" i="50"/>
  <c r="S14" i="50"/>
  <c r="U14" i="50"/>
  <c r="R15" i="50"/>
  <c r="S15" i="50"/>
  <c r="T15" i="50"/>
  <c r="U15" i="50"/>
  <c r="R16" i="50"/>
  <c r="S16" i="50"/>
  <c r="T16" i="50"/>
  <c r="R17" i="50"/>
  <c r="S17" i="50"/>
  <c r="U17" i="50"/>
  <c r="R18" i="50"/>
  <c r="T18" i="50"/>
  <c r="R19" i="50"/>
  <c r="S19" i="50"/>
  <c r="T19" i="50"/>
  <c r="R20" i="50"/>
  <c r="S20" i="50"/>
  <c r="T20" i="50"/>
  <c r="R21" i="50"/>
  <c r="S21" i="50"/>
  <c r="U21" i="50"/>
  <c r="R22" i="50"/>
  <c r="S22" i="50"/>
  <c r="T22" i="50"/>
  <c r="R23" i="50"/>
  <c r="S23" i="50"/>
  <c r="T23" i="50"/>
  <c r="R24" i="50"/>
  <c r="S24" i="50"/>
  <c r="T24" i="50"/>
  <c r="R25" i="50"/>
  <c r="S25" i="50"/>
  <c r="U25" i="50"/>
  <c r="R26" i="50"/>
  <c r="S26" i="50"/>
  <c r="T26" i="50"/>
  <c r="U26" i="50"/>
  <c r="R27" i="50"/>
  <c r="S27" i="50"/>
  <c r="T27" i="50"/>
  <c r="R28" i="50"/>
  <c r="S28" i="50"/>
  <c r="U28" i="50"/>
  <c r="R29" i="50"/>
  <c r="T29" i="50"/>
  <c r="R30" i="50"/>
  <c r="S30" i="50"/>
  <c r="T30" i="50"/>
  <c r="R31" i="50"/>
  <c r="S31" i="50"/>
  <c r="T31" i="50"/>
  <c r="R32" i="50"/>
  <c r="S32" i="50"/>
  <c r="U32" i="50"/>
  <c r="R33" i="50"/>
  <c r="S33" i="50"/>
  <c r="T33" i="50"/>
  <c r="R34" i="50"/>
  <c r="S34" i="50"/>
  <c r="T34" i="50"/>
  <c r="R35" i="50"/>
  <c r="S35" i="50"/>
  <c r="T35" i="50"/>
  <c r="R36" i="50"/>
  <c r="S36" i="50"/>
  <c r="U36" i="50"/>
  <c r="R37" i="50"/>
  <c r="S37" i="50"/>
  <c r="T37" i="50"/>
  <c r="U37" i="50"/>
  <c r="R38" i="50"/>
  <c r="S38" i="50"/>
  <c r="T38" i="50"/>
  <c r="R39" i="50"/>
  <c r="S39" i="50"/>
  <c r="U39" i="50"/>
  <c r="R40" i="50"/>
  <c r="T40" i="50"/>
  <c r="R41" i="50"/>
  <c r="S41" i="50"/>
  <c r="T41" i="50"/>
  <c r="R42" i="50"/>
  <c r="S42" i="50"/>
  <c r="T42" i="50"/>
  <c r="R43" i="50"/>
  <c r="S43" i="50"/>
  <c r="U43" i="50"/>
  <c r="R44" i="50"/>
  <c r="S44" i="50"/>
  <c r="T44" i="50"/>
  <c r="R45" i="50"/>
  <c r="S45" i="50"/>
  <c r="T45" i="50"/>
  <c r="R46" i="50"/>
  <c r="S46" i="50"/>
  <c r="T46" i="50"/>
  <c r="R47" i="50"/>
  <c r="S47" i="50"/>
  <c r="U47" i="50"/>
  <c r="R48" i="50"/>
  <c r="S48" i="50"/>
  <c r="T48" i="50"/>
  <c r="U48" i="50"/>
  <c r="R49" i="50"/>
  <c r="S49" i="50"/>
  <c r="T49" i="50"/>
  <c r="R50" i="50"/>
  <c r="S50" i="50"/>
  <c r="U50" i="50"/>
  <c r="R51" i="50"/>
  <c r="T51" i="50"/>
  <c r="R52" i="50"/>
  <c r="S52" i="50"/>
  <c r="T52" i="50"/>
  <c r="R53" i="50"/>
  <c r="S53" i="50"/>
  <c r="T53" i="50"/>
  <c r="R54" i="50"/>
  <c r="S54" i="50"/>
  <c r="U54" i="50"/>
  <c r="R55" i="50"/>
  <c r="S55" i="50"/>
  <c r="T55" i="50"/>
  <c r="R56" i="50"/>
  <c r="S56" i="50"/>
  <c r="T56" i="50"/>
  <c r="R57" i="50"/>
  <c r="S57" i="50"/>
  <c r="T57" i="50"/>
  <c r="R58" i="50"/>
  <c r="S58" i="50"/>
  <c r="U58" i="50"/>
  <c r="R59" i="50"/>
  <c r="S59" i="50"/>
  <c r="T59" i="50"/>
  <c r="U59" i="50"/>
  <c r="R60" i="50"/>
  <c r="S60" i="50"/>
  <c r="T60" i="50"/>
  <c r="R61" i="50"/>
  <c r="S61" i="50"/>
  <c r="U61" i="50"/>
  <c r="R62" i="50"/>
  <c r="T62" i="50"/>
  <c r="R63" i="50"/>
  <c r="S63" i="50"/>
  <c r="T63" i="50"/>
  <c r="R64" i="50"/>
  <c r="S64" i="50"/>
  <c r="T64" i="50"/>
  <c r="R65" i="50"/>
  <c r="S65" i="50"/>
  <c r="U65" i="50"/>
  <c r="R66" i="50"/>
  <c r="S66" i="50"/>
  <c r="T66" i="50"/>
  <c r="R67" i="50"/>
  <c r="S67" i="50"/>
  <c r="T67" i="50"/>
  <c r="R68" i="50"/>
  <c r="S68" i="50"/>
  <c r="U68" i="50"/>
  <c r="R69" i="50"/>
  <c r="S69" i="50"/>
  <c r="T69" i="50"/>
  <c r="U69" i="50"/>
  <c r="R70" i="50"/>
  <c r="S70" i="50"/>
  <c r="T70" i="50"/>
  <c r="R71" i="50"/>
  <c r="S71" i="50"/>
  <c r="U71" i="50"/>
  <c r="R72" i="50"/>
  <c r="T72" i="50"/>
  <c r="R73" i="50"/>
  <c r="S73" i="50"/>
  <c r="T73" i="50"/>
  <c r="R74" i="50"/>
  <c r="S74" i="50"/>
  <c r="T74" i="50"/>
  <c r="R75" i="50"/>
  <c r="S75" i="50"/>
  <c r="U75" i="50"/>
  <c r="R76" i="50"/>
  <c r="S76" i="50"/>
  <c r="T76" i="50"/>
  <c r="R77" i="50"/>
  <c r="S77" i="50"/>
  <c r="T77" i="50"/>
  <c r="R78" i="50"/>
  <c r="R79" i="50"/>
  <c r="S79" i="50"/>
  <c r="U79" i="50"/>
  <c r="R80" i="50"/>
  <c r="S80" i="50"/>
  <c r="T80" i="50"/>
  <c r="U80" i="50"/>
  <c r="R81" i="50"/>
  <c r="S81" i="50"/>
  <c r="T81" i="50"/>
  <c r="R82" i="50"/>
  <c r="S82" i="50"/>
  <c r="U82" i="50"/>
  <c r="R83" i="50"/>
  <c r="T83" i="50"/>
  <c r="R84" i="50"/>
  <c r="S84" i="50"/>
  <c r="T84" i="50"/>
  <c r="R85" i="50"/>
  <c r="S85" i="50"/>
  <c r="T85" i="50"/>
  <c r="R86" i="50"/>
  <c r="S86" i="50"/>
  <c r="U86" i="50"/>
  <c r="R87" i="50"/>
  <c r="S87" i="50"/>
  <c r="T87" i="50"/>
  <c r="R88" i="50"/>
  <c r="S88" i="50"/>
  <c r="T88" i="50"/>
  <c r="R89" i="50"/>
  <c r="S89" i="50"/>
  <c r="T89" i="50"/>
  <c r="R90" i="50"/>
  <c r="S90" i="50"/>
  <c r="U90" i="50"/>
  <c r="R91" i="50"/>
  <c r="S91" i="50"/>
  <c r="T91" i="50"/>
  <c r="U91" i="50"/>
  <c r="R92" i="50"/>
  <c r="S92" i="50"/>
  <c r="T92" i="50"/>
  <c r="R93" i="50"/>
  <c r="S93" i="50"/>
  <c r="U93" i="50"/>
  <c r="R94" i="50"/>
  <c r="T94" i="50"/>
  <c r="S8" i="50"/>
  <c r="T8" i="50"/>
  <c r="R8" i="50"/>
  <c r="A74" i="50"/>
  <c r="B74" i="50"/>
  <c r="C74" i="50"/>
  <c r="A75" i="50"/>
  <c r="B75" i="50"/>
  <c r="C75" i="50"/>
  <c r="A76" i="50"/>
  <c r="B76" i="50"/>
  <c r="C76" i="50"/>
  <c r="A77" i="50"/>
  <c r="B77" i="50"/>
  <c r="C77" i="50"/>
  <c r="A78" i="50"/>
  <c r="B78" i="50"/>
  <c r="C78" i="50"/>
  <c r="A79" i="50"/>
  <c r="B79" i="50"/>
  <c r="C79" i="50"/>
  <c r="A80" i="50"/>
  <c r="B80" i="50"/>
  <c r="C80" i="50"/>
  <c r="A81" i="50"/>
  <c r="B81" i="50"/>
  <c r="C81" i="50"/>
  <c r="A82" i="50"/>
  <c r="B82" i="50"/>
  <c r="C82" i="50"/>
  <c r="A83" i="50"/>
  <c r="B83" i="50"/>
  <c r="C83" i="50"/>
  <c r="A84" i="50"/>
  <c r="B84" i="50"/>
  <c r="C84" i="50"/>
  <c r="A85" i="50"/>
  <c r="B85" i="50"/>
  <c r="C85" i="50"/>
  <c r="A86" i="50"/>
  <c r="B86" i="50"/>
  <c r="C86" i="50"/>
  <c r="A87" i="50"/>
  <c r="B87" i="50"/>
  <c r="C87" i="50"/>
  <c r="A88" i="50"/>
  <c r="B88" i="50"/>
  <c r="C88" i="50"/>
  <c r="A89" i="50"/>
  <c r="B89" i="50"/>
  <c r="C89" i="50"/>
  <c r="A90" i="50"/>
  <c r="B90" i="50"/>
  <c r="C90" i="50"/>
  <c r="A91" i="50"/>
  <c r="B91" i="50"/>
  <c r="C91" i="50"/>
  <c r="A92" i="50"/>
  <c r="B92" i="50"/>
  <c r="C92" i="50"/>
  <c r="A93" i="50"/>
  <c r="B93" i="50"/>
  <c r="C93" i="50"/>
  <c r="A94" i="50"/>
  <c r="B94" i="50"/>
  <c r="C94" i="50"/>
  <c r="A73" i="50"/>
  <c r="B73" i="50"/>
  <c r="C73" i="50"/>
  <c r="A71" i="50"/>
  <c r="B71" i="50"/>
  <c r="C71" i="50"/>
  <c r="A72" i="50"/>
  <c r="B72" i="50"/>
  <c r="C72" i="50"/>
  <c r="A9" i="50"/>
  <c r="B9" i="50"/>
  <c r="C9" i="50"/>
  <c r="A10" i="50"/>
  <c r="B10" i="50"/>
  <c r="C10" i="50"/>
  <c r="A11" i="50"/>
  <c r="B11" i="50"/>
  <c r="C11" i="50"/>
  <c r="A12" i="50"/>
  <c r="B12" i="50"/>
  <c r="C12" i="50"/>
  <c r="A13" i="50"/>
  <c r="B13" i="50"/>
  <c r="C13" i="50"/>
  <c r="A14" i="50"/>
  <c r="B14" i="50"/>
  <c r="C14" i="50"/>
  <c r="A15" i="50"/>
  <c r="B15" i="50"/>
  <c r="C15" i="50"/>
  <c r="A16" i="50"/>
  <c r="B16" i="50"/>
  <c r="C16" i="50"/>
  <c r="A17" i="50"/>
  <c r="B17" i="50"/>
  <c r="C17" i="50"/>
  <c r="A18" i="50"/>
  <c r="B18" i="50"/>
  <c r="C18" i="50"/>
  <c r="A19" i="50"/>
  <c r="B19" i="50"/>
  <c r="C19" i="50"/>
  <c r="A20" i="50"/>
  <c r="B20" i="50"/>
  <c r="C20" i="50"/>
  <c r="A21" i="50"/>
  <c r="B21" i="50"/>
  <c r="C21" i="50"/>
  <c r="A22" i="50"/>
  <c r="B22" i="50"/>
  <c r="C22" i="50"/>
  <c r="A23" i="50"/>
  <c r="B23" i="50"/>
  <c r="C23" i="50"/>
  <c r="A24" i="50"/>
  <c r="B24" i="50"/>
  <c r="C24" i="50"/>
  <c r="A25" i="50"/>
  <c r="B25" i="50"/>
  <c r="C25" i="50"/>
  <c r="A26" i="50"/>
  <c r="B26" i="50"/>
  <c r="C26" i="50"/>
  <c r="A27" i="50"/>
  <c r="B27" i="50"/>
  <c r="C27" i="50"/>
  <c r="A28" i="50"/>
  <c r="B28" i="50"/>
  <c r="C28" i="50"/>
  <c r="A29" i="50"/>
  <c r="B29" i="50"/>
  <c r="C29" i="50"/>
  <c r="A30" i="50"/>
  <c r="B30" i="50"/>
  <c r="C30" i="50"/>
  <c r="A31" i="50"/>
  <c r="B31" i="50"/>
  <c r="C31" i="50"/>
  <c r="A32" i="50"/>
  <c r="B32" i="50"/>
  <c r="C32" i="50"/>
  <c r="A33" i="50"/>
  <c r="B33" i="50"/>
  <c r="C33" i="50"/>
  <c r="A34" i="50"/>
  <c r="B34" i="50"/>
  <c r="C34" i="50"/>
  <c r="A35" i="50"/>
  <c r="B35" i="50"/>
  <c r="C35" i="50"/>
  <c r="A36" i="50"/>
  <c r="B36" i="50"/>
  <c r="C36" i="50"/>
  <c r="A37" i="50"/>
  <c r="B37" i="50"/>
  <c r="C37" i="50"/>
  <c r="A38" i="50"/>
  <c r="B38" i="50"/>
  <c r="C38" i="50"/>
  <c r="A39" i="50"/>
  <c r="B39" i="50"/>
  <c r="C39" i="50"/>
  <c r="A40" i="50"/>
  <c r="B40" i="50"/>
  <c r="C40" i="50"/>
  <c r="A41" i="50"/>
  <c r="B41" i="50"/>
  <c r="C41" i="50"/>
  <c r="A42" i="50"/>
  <c r="B42" i="50"/>
  <c r="C42" i="50"/>
  <c r="A43" i="50"/>
  <c r="B43" i="50"/>
  <c r="C43" i="50"/>
  <c r="A44" i="50"/>
  <c r="B44" i="50"/>
  <c r="C44" i="50"/>
  <c r="A45" i="50"/>
  <c r="B45" i="50"/>
  <c r="C45" i="50"/>
  <c r="A46" i="50"/>
  <c r="B46" i="50"/>
  <c r="C46" i="50"/>
  <c r="A47" i="50"/>
  <c r="B47" i="50"/>
  <c r="C47" i="50"/>
  <c r="A48" i="50"/>
  <c r="B48" i="50"/>
  <c r="C48" i="50"/>
  <c r="A49" i="50"/>
  <c r="B49" i="50"/>
  <c r="C49" i="50"/>
  <c r="A50" i="50"/>
  <c r="B50" i="50"/>
  <c r="C50" i="50"/>
  <c r="A51" i="50"/>
  <c r="B51" i="50"/>
  <c r="C51" i="50"/>
  <c r="A52" i="50"/>
  <c r="B52" i="50"/>
  <c r="C52" i="50"/>
  <c r="A53" i="50"/>
  <c r="B53" i="50"/>
  <c r="C53" i="50"/>
  <c r="A54" i="50"/>
  <c r="B54" i="50"/>
  <c r="C54" i="50"/>
  <c r="A55" i="50"/>
  <c r="B55" i="50"/>
  <c r="C55" i="50"/>
  <c r="A56" i="50"/>
  <c r="B56" i="50"/>
  <c r="C56" i="50"/>
  <c r="A57" i="50"/>
  <c r="B57" i="50"/>
  <c r="C57" i="50"/>
  <c r="A58" i="50"/>
  <c r="B58" i="50"/>
  <c r="C58" i="50"/>
  <c r="A59" i="50"/>
  <c r="B59" i="50"/>
  <c r="C59" i="50"/>
  <c r="A60" i="50"/>
  <c r="B60" i="50"/>
  <c r="C60" i="50"/>
  <c r="A61" i="50"/>
  <c r="B61" i="50"/>
  <c r="C61" i="50"/>
  <c r="A62" i="50"/>
  <c r="B62" i="50"/>
  <c r="C62" i="50"/>
  <c r="A63" i="50"/>
  <c r="B63" i="50"/>
  <c r="C63" i="50"/>
  <c r="A64" i="50"/>
  <c r="B64" i="50"/>
  <c r="C64" i="50"/>
  <c r="A65" i="50"/>
  <c r="B65" i="50"/>
  <c r="C65" i="50"/>
  <c r="A66" i="50"/>
  <c r="B66" i="50"/>
  <c r="C66" i="50"/>
  <c r="A67" i="50"/>
  <c r="B67" i="50"/>
  <c r="C67" i="50"/>
  <c r="A68" i="50"/>
  <c r="B68" i="50"/>
  <c r="C68" i="50"/>
  <c r="A69" i="50"/>
  <c r="B69" i="50"/>
  <c r="C69" i="50"/>
  <c r="A70" i="50"/>
  <c r="B70" i="50"/>
  <c r="C70" i="50"/>
  <c r="C8" i="50"/>
  <c r="E18" i="57"/>
  <c r="F18" i="57"/>
  <c r="G18" i="57"/>
  <c r="H18" i="57"/>
  <c r="I18" i="57"/>
  <c r="J18" i="57"/>
  <c r="K18" i="57"/>
  <c r="L18" i="57"/>
  <c r="M18" i="57"/>
  <c r="N18" i="57"/>
  <c r="E17" i="57"/>
  <c r="F17" i="57"/>
  <c r="G17" i="57"/>
  <c r="H17" i="57"/>
  <c r="I17" i="57"/>
  <c r="J17" i="57"/>
  <c r="K17" i="57"/>
  <c r="L17" i="57"/>
  <c r="M17" i="57"/>
  <c r="N17" i="57"/>
  <c r="E16" i="57"/>
  <c r="F16" i="57"/>
  <c r="G16" i="57"/>
  <c r="H16" i="57"/>
  <c r="I16" i="57"/>
  <c r="J16" i="57"/>
  <c r="K16" i="57"/>
  <c r="L16" i="57"/>
  <c r="M16" i="57"/>
  <c r="N16" i="57"/>
  <c r="E15" i="57"/>
  <c r="F15" i="57"/>
  <c r="G15" i="57"/>
  <c r="H15" i="57"/>
  <c r="I15" i="57"/>
  <c r="J15" i="57"/>
  <c r="O15" i="57" s="1"/>
  <c r="K15" i="57"/>
  <c r="L15" i="57"/>
  <c r="M15" i="57"/>
  <c r="N15" i="57"/>
  <c r="E14" i="57"/>
  <c r="F14" i="57"/>
  <c r="G14" i="57"/>
  <c r="H14" i="57"/>
  <c r="I14" i="57"/>
  <c r="J14" i="57"/>
  <c r="K14" i="57"/>
  <c r="L14" i="57"/>
  <c r="M14" i="57"/>
  <c r="N14" i="57"/>
  <c r="E13" i="57"/>
  <c r="F13" i="57"/>
  <c r="G13" i="57"/>
  <c r="H13" i="57"/>
  <c r="I13" i="57"/>
  <c r="J13" i="57"/>
  <c r="K13" i="57"/>
  <c r="L13" i="57"/>
  <c r="M13" i="57"/>
  <c r="N13" i="57"/>
  <c r="E12" i="57"/>
  <c r="F12" i="57"/>
  <c r="G12" i="57"/>
  <c r="H12" i="57"/>
  <c r="I12" i="57"/>
  <c r="J12" i="57"/>
  <c r="K12" i="57"/>
  <c r="L12" i="57"/>
  <c r="M12" i="57"/>
  <c r="N12" i="57"/>
  <c r="E11" i="57"/>
  <c r="F11" i="57"/>
  <c r="G11" i="57"/>
  <c r="H11" i="57"/>
  <c r="I11" i="57"/>
  <c r="J11" i="57"/>
  <c r="K11" i="57"/>
  <c r="L11" i="57"/>
  <c r="M11" i="57"/>
  <c r="N11" i="57"/>
  <c r="E10" i="57"/>
  <c r="F10" i="57"/>
  <c r="G10" i="57"/>
  <c r="H10" i="57"/>
  <c r="I10" i="57"/>
  <c r="J10" i="57"/>
  <c r="K10" i="57"/>
  <c r="L10" i="57"/>
  <c r="M10" i="57"/>
  <c r="N10" i="57"/>
  <c r="E8" i="57"/>
  <c r="F8" i="57"/>
  <c r="G8" i="57"/>
  <c r="H8" i="57"/>
  <c r="I8" i="57"/>
  <c r="J8" i="57"/>
  <c r="K8" i="57"/>
  <c r="L8" i="57"/>
  <c r="M8" i="57"/>
  <c r="N8" i="57"/>
  <c r="E9" i="57"/>
  <c r="F9" i="57"/>
  <c r="G9" i="57"/>
  <c r="H9" i="57"/>
  <c r="I9" i="57"/>
  <c r="J9" i="57"/>
  <c r="K9" i="57"/>
  <c r="L9" i="57"/>
  <c r="M9" i="57"/>
  <c r="N9" i="57"/>
  <c r="AB94" i="57"/>
  <c r="AA94" i="57"/>
  <c r="Z94" i="57"/>
  <c r="U94" i="57"/>
  <c r="T94" i="57"/>
  <c r="S94" i="57"/>
  <c r="R94" i="57"/>
  <c r="N94" i="57"/>
  <c r="M94" i="57"/>
  <c r="L94" i="57"/>
  <c r="K94" i="57"/>
  <c r="J94" i="57"/>
  <c r="I94" i="57"/>
  <c r="H94" i="57"/>
  <c r="G94" i="57"/>
  <c r="F94" i="57"/>
  <c r="E94" i="57"/>
  <c r="D94" i="57"/>
  <c r="C94" i="57"/>
  <c r="B94" i="57"/>
  <c r="A94" i="57"/>
  <c r="AB93" i="57"/>
  <c r="AA93" i="57"/>
  <c r="Z93" i="57"/>
  <c r="U93" i="57"/>
  <c r="T93" i="57"/>
  <c r="S93" i="57"/>
  <c r="R93" i="57"/>
  <c r="N93" i="57"/>
  <c r="M93" i="57"/>
  <c r="L93" i="57"/>
  <c r="K93" i="57"/>
  <c r="J93" i="57"/>
  <c r="I93" i="57"/>
  <c r="H93" i="57"/>
  <c r="G93" i="57"/>
  <c r="F93" i="57"/>
  <c r="E93" i="57"/>
  <c r="D93" i="57"/>
  <c r="C93" i="57"/>
  <c r="B93" i="57"/>
  <c r="A93" i="57"/>
  <c r="AB92" i="57"/>
  <c r="AA92" i="57"/>
  <c r="Z92" i="57"/>
  <c r="U92" i="57"/>
  <c r="T92" i="57"/>
  <c r="S92" i="57"/>
  <c r="R92" i="57"/>
  <c r="N92" i="57"/>
  <c r="M92" i="57"/>
  <c r="L92" i="57"/>
  <c r="K92" i="57"/>
  <c r="J92" i="57"/>
  <c r="I92" i="57"/>
  <c r="H92" i="57"/>
  <c r="G92" i="57"/>
  <c r="F92" i="57"/>
  <c r="E92" i="57"/>
  <c r="D92" i="57"/>
  <c r="C92" i="57"/>
  <c r="B92" i="57"/>
  <c r="A92" i="57"/>
  <c r="AB91" i="57"/>
  <c r="AA91" i="57"/>
  <c r="Z91" i="57"/>
  <c r="U91" i="57"/>
  <c r="T91" i="57"/>
  <c r="S91" i="57"/>
  <c r="R91" i="57"/>
  <c r="N91" i="57"/>
  <c r="M91" i="57"/>
  <c r="L91" i="57"/>
  <c r="K91" i="57"/>
  <c r="J91" i="57"/>
  <c r="I91" i="57"/>
  <c r="H91" i="57"/>
  <c r="G91" i="57"/>
  <c r="F91" i="57"/>
  <c r="E91" i="57"/>
  <c r="D91" i="57"/>
  <c r="C91" i="57"/>
  <c r="B91" i="57"/>
  <c r="A91" i="57"/>
  <c r="AB90" i="57"/>
  <c r="AA90" i="57"/>
  <c r="Z90" i="57"/>
  <c r="U90" i="57"/>
  <c r="T90" i="57"/>
  <c r="S90" i="57"/>
  <c r="R90" i="57"/>
  <c r="N90" i="57"/>
  <c r="M90" i="57"/>
  <c r="L90" i="57"/>
  <c r="K90" i="57"/>
  <c r="J90" i="57"/>
  <c r="I90" i="57"/>
  <c r="H90" i="57"/>
  <c r="E90" i="57"/>
  <c r="F90" i="57"/>
  <c r="G90" i="57"/>
  <c r="D90" i="57"/>
  <c r="C90" i="57"/>
  <c r="B90" i="57"/>
  <c r="A90" i="57"/>
  <c r="AB89" i="57"/>
  <c r="AA89" i="57"/>
  <c r="Z89" i="57"/>
  <c r="U89" i="57"/>
  <c r="T89" i="57"/>
  <c r="S89" i="57"/>
  <c r="R89" i="57"/>
  <c r="N89" i="57"/>
  <c r="M89" i="57"/>
  <c r="L89" i="57"/>
  <c r="K89" i="57"/>
  <c r="J89" i="57"/>
  <c r="I89" i="57"/>
  <c r="H89" i="57"/>
  <c r="G89" i="57"/>
  <c r="F89" i="57"/>
  <c r="E89" i="57"/>
  <c r="D89" i="57"/>
  <c r="C89" i="57"/>
  <c r="B89" i="57"/>
  <c r="A89" i="57"/>
  <c r="AB88" i="57"/>
  <c r="AA88" i="57"/>
  <c r="Z88" i="57"/>
  <c r="U88" i="57"/>
  <c r="T88" i="57"/>
  <c r="S88" i="57"/>
  <c r="R88" i="57"/>
  <c r="N88" i="57"/>
  <c r="M88" i="57"/>
  <c r="L88" i="57"/>
  <c r="K88" i="57"/>
  <c r="J88" i="57"/>
  <c r="I88" i="57"/>
  <c r="H88" i="57"/>
  <c r="G88" i="57"/>
  <c r="F88" i="57"/>
  <c r="E88" i="57"/>
  <c r="D88" i="57"/>
  <c r="C88" i="57"/>
  <c r="B88" i="57"/>
  <c r="A88" i="57"/>
  <c r="AB87" i="57"/>
  <c r="AA87" i="57"/>
  <c r="Z87" i="57"/>
  <c r="U87" i="57"/>
  <c r="T87" i="57"/>
  <c r="S87" i="57"/>
  <c r="R87" i="57"/>
  <c r="N87" i="57"/>
  <c r="M87" i="57"/>
  <c r="L87" i="57"/>
  <c r="K87" i="57"/>
  <c r="O87" i="57" s="1"/>
  <c r="P87" i="57" s="1"/>
  <c r="Q87" i="57" s="1"/>
  <c r="J87" i="57"/>
  <c r="I87" i="57"/>
  <c r="H87" i="57"/>
  <c r="G87" i="57"/>
  <c r="F87" i="57"/>
  <c r="E87" i="57"/>
  <c r="D87" i="57"/>
  <c r="C87" i="57"/>
  <c r="B87" i="57"/>
  <c r="A87" i="57"/>
  <c r="AB86" i="57"/>
  <c r="AA86" i="57"/>
  <c r="Z86" i="57"/>
  <c r="U86" i="57"/>
  <c r="T86" i="57"/>
  <c r="S86" i="57"/>
  <c r="R86" i="57"/>
  <c r="N86" i="57"/>
  <c r="M86" i="57"/>
  <c r="L86" i="57"/>
  <c r="K86" i="57"/>
  <c r="J86" i="57"/>
  <c r="I86" i="57"/>
  <c r="H86" i="57"/>
  <c r="E86" i="57"/>
  <c r="F86" i="57"/>
  <c r="G86" i="57"/>
  <c r="D86" i="57"/>
  <c r="C86" i="57"/>
  <c r="B86" i="57"/>
  <c r="A86" i="57"/>
  <c r="AB85" i="57"/>
  <c r="AA85" i="57"/>
  <c r="Z85" i="57"/>
  <c r="U85" i="57"/>
  <c r="T85" i="57"/>
  <c r="S85" i="57"/>
  <c r="R85" i="57"/>
  <c r="N85" i="57"/>
  <c r="M85" i="57"/>
  <c r="L85" i="57"/>
  <c r="K85" i="57"/>
  <c r="J85" i="57"/>
  <c r="I85" i="57"/>
  <c r="H85" i="57"/>
  <c r="G85" i="57"/>
  <c r="E85" i="57"/>
  <c r="O85" i="57" s="1"/>
  <c r="P85" i="57" s="1"/>
  <c r="F85" i="57"/>
  <c r="D85" i="57"/>
  <c r="C85" i="57"/>
  <c r="B85" i="57"/>
  <c r="A85" i="57"/>
  <c r="AB84" i="57"/>
  <c r="AA84" i="57"/>
  <c r="Z84" i="57"/>
  <c r="U84" i="57"/>
  <c r="T84" i="57"/>
  <c r="S84" i="57"/>
  <c r="R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A84" i="57"/>
  <c r="AB83" i="57"/>
  <c r="AA83" i="57"/>
  <c r="Z83" i="57"/>
  <c r="U83" i="57"/>
  <c r="T83" i="57"/>
  <c r="S83" i="57"/>
  <c r="R83" i="57"/>
  <c r="N83" i="57"/>
  <c r="M83" i="57"/>
  <c r="L83" i="57"/>
  <c r="K83" i="57"/>
  <c r="J83" i="57"/>
  <c r="I83" i="57"/>
  <c r="H83" i="57"/>
  <c r="G83" i="57"/>
  <c r="E83" i="57"/>
  <c r="F83" i="57"/>
  <c r="D83" i="57"/>
  <c r="C83" i="57"/>
  <c r="B83" i="57"/>
  <c r="A83" i="57"/>
  <c r="AB82" i="57"/>
  <c r="AA82" i="57"/>
  <c r="Z82" i="57"/>
  <c r="U82" i="57"/>
  <c r="T82" i="57"/>
  <c r="S82" i="57"/>
  <c r="R82" i="57"/>
  <c r="N82" i="57"/>
  <c r="M82" i="57"/>
  <c r="L82" i="57"/>
  <c r="K82" i="57"/>
  <c r="J82" i="57"/>
  <c r="I82" i="57"/>
  <c r="H82" i="57"/>
  <c r="E82" i="57"/>
  <c r="F82" i="57"/>
  <c r="G82" i="57"/>
  <c r="D82" i="57"/>
  <c r="C82" i="57"/>
  <c r="B82" i="57"/>
  <c r="A82" i="57"/>
  <c r="AB81" i="57"/>
  <c r="AA81" i="57"/>
  <c r="Z81" i="57"/>
  <c r="U81" i="57"/>
  <c r="T81" i="57"/>
  <c r="S81" i="57"/>
  <c r="R81" i="57"/>
  <c r="N81" i="57"/>
  <c r="M81" i="57"/>
  <c r="L81" i="57"/>
  <c r="K81" i="57"/>
  <c r="J81" i="57"/>
  <c r="I81" i="57"/>
  <c r="H81" i="57"/>
  <c r="G81" i="57"/>
  <c r="F81" i="57"/>
  <c r="E81" i="57"/>
  <c r="D81" i="57"/>
  <c r="C81" i="57"/>
  <c r="B81" i="57"/>
  <c r="A81" i="57"/>
  <c r="AB80" i="57"/>
  <c r="AA80" i="57"/>
  <c r="Z80" i="57"/>
  <c r="U80" i="57"/>
  <c r="T80" i="57"/>
  <c r="S80" i="57"/>
  <c r="R80" i="57"/>
  <c r="N80" i="57"/>
  <c r="M80" i="57"/>
  <c r="L80" i="57"/>
  <c r="K80" i="57"/>
  <c r="J80" i="57"/>
  <c r="I80" i="57"/>
  <c r="H80" i="57"/>
  <c r="G80" i="57"/>
  <c r="F80" i="57"/>
  <c r="E80" i="57"/>
  <c r="D80" i="57"/>
  <c r="C80" i="57"/>
  <c r="B80" i="57"/>
  <c r="A80" i="57"/>
  <c r="AB79" i="57"/>
  <c r="AA79" i="57"/>
  <c r="Z79" i="57"/>
  <c r="U79" i="57"/>
  <c r="T79" i="57"/>
  <c r="S79" i="57"/>
  <c r="R79" i="57"/>
  <c r="N79" i="57"/>
  <c r="M79" i="57"/>
  <c r="L79" i="57"/>
  <c r="K79" i="57"/>
  <c r="J79" i="57"/>
  <c r="I79" i="57"/>
  <c r="H79" i="57"/>
  <c r="G79" i="57"/>
  <c r="F79" i="57"/>
  <c r="E79" i="57"/>
  <c r="D79" i="57"/>
  <c r="C79" i="57"/>
  <c r="B79" i="57"/>
  <c r="A79" i="57"/>
  <c r="AB78" i="57"/>
  <c r="AA78" i="57"/>
  <c r="Z78" i="57"/>
  <c r="U78" i="57"/>
  <c r="T78" i="57"/>
  <c r="S78" i="57"/>
  <c r="R78" i="57"/>
  <c r="N78" i="57"/>
  <c r="M78" i="57"/>
  <c r="L78" i="57"/>
  <c r="K78" i="57"/>
  <c r="J78" i="57"/>
  <c r="I78" i="57"/>
  <c r="H78" i="57"/>
  <c r="E78" i="57"/>
  <c r="F78" i="57"/>
  <c r="G78" i="57"/>
  <c r="D78" i="57"/>
  <c r="C78" i="57"/>
  <c r="B78" i="57"/>
  <c r="A78" i="57"/>
  <c r="AB77" i="57"/>
  <c r="AA77" i="57"/>
  <c r="Z77" i="57"/>
  <c r="U77" i="57"/>
  <c r="T77" i="57"/>
  <c r="S77" i="57"/>
  <c r="R77" i="57"/>
  <c r="N77" i="57"/>
  <c r="M77" i="57"/>
  <c r="L77" i="57"/>
  <c r="K77" i="57"/>
  <c r="J77" i="57"/>
  <c r="I77" i="57"/>
  <c r="H77" i="57"/>
  <c r="G77" i="57"/>
  <c r="F77" i="57"/>
  <c r="E77" i="57"/>
  <c r="D77" i="57"/>
  <c r="C77" i="57"/>
  <c r="B77" i="57"/>
  <c r="A77" i="57"/>
  <c r="AB76" i="57"/>
  <c r="AA76" i="57"/>
  <c r="Z76" i="57"/>
  <c r="U76" i="57"/>
  <c r="T76" i="57"/>
  <c r="S76" i="57"/>
  <c r="R76" i="57"/>
  <c r="N76" i="57"/>
  <c r="M76" i="57"/>
  <c r="L76" i="57"/>
  <c r="K76" i="57"/>
  <c r="J76" i="57"/>
  <c r="I76" i="57"/>
  <c r="H76" i="57"/>
  <c r="E76" i="57"/>
  <c r="F76" i="57"/>
  <c r="G76" i="57"/>
  <c r="D76" i="57"/>
  <c r="C76" i="57"/>
  <c r="B76" i="57"/>
  <c r="A76" i="57"/>
  <c r="AB75" i="57"/>
  <c r="AA75" i="57"/>
  <c r="Z75" i="57"/>
  <c r="U75" i="57"/>
  <c r="T75" i="57"/>
  <c r="S75" i="57"/>
  <c r="R75" i="57"/>
  <c r="N75" i="57"/>
  <c r="M75" i="57"/>
  <c r="L75" i="57"/>
  <c r="K75" i="57"/>
  <c r="J75" i="57"/>
  <c r="I75" i="57"/>
  <c r="H75" i="57"/>
  <c r="G75" i="57"/>
  <c r="E75" i="57"/>
  <c r="F75" i="57"/>
  <c r="D75" i="57"/>
  <c r="C75" i="57"/>
  <c r="B75" i="57"/>
  <c r="A75" i="57"/>
  <c r="AB74" i="57"/>
  <c r="AA74" i="57"/>
  <c r="Z74" i="57"/>
  <c r="U74" i="57"/>
  <c r="T74" i="57"/>
  <c r="S74" i="57"/>
  <c r="R74" i="57"/>
  <c r="N74" i="57"/>
  <c r="M74" i="57"/>
  <c r="L74" i="57"/>
  <c r="K74" i="57"/>
  <c r="J74" i="57"/>
  <c r="I74" i="57"/>
  <c r="H74" i="57"/>
  <c r="E74" i="57"/>
  <c r="F74" i="57"/>
  <c r="G74" i="57"/>
  <c r="D74" i="57"/>
  <c r="C74" i="57"/>
  <c r="B74" i="57"/>
  <c r="A74" i="57"/>
  <c r="AB73" i="57"/>
  <c r="AA73" i="57"/>
  <c r="Z73" i="57"/>
  <c r="U73" i="57"/>
  <c r="T73" i="57"/>
  <c r="S73" i="57"/>
  <c r="R73" i="57"/>
  <c r="N73" i="57"/>
  <c r="M73" i="57"/>
  <c r="L73" i="57"/>
  <c r="K73" i="57"/>
  <c r="J73" i="57"/>
  <c r="I73" i="57"/>
  <c r="H73" i="57"/>
  <c r="G73" i="57"/>
  <c r="F73" i="57"/>
  <c r="E73" i="57"/>
  <c r="D73" i="57"/>
  <c r="C73" i="57"/>
  <c r="B73" i="57"/>
  <c r="A73" i="57"/>
  <c r="AB72" i="57"/>
  <c r="AA72" i="57"/>
  <c r="Z72" i="57"/>
  <c r="U72" i="57"/>
  <c r="T72" i="57"/>
  <c r="S72" i="57"/>
  <c r="R72" i="57"/>
  <c r="N72" i="57"/>
  <c r="M72" i="57"/>
  <c r="L72" i="57"/>
  <c r="K72" i="57"/>
  <c r="J72" i="57"/>
  <c r="I72" i="57"/>
  <c r="H72" i="57"/>
  <c r="G72" i="57"/>
  <c r="F72" i="57"/>
  <c r="E72" i="57"/>
  <c r="D72" i="57"/>
  <c r="C72" i="57"/>
  <c r="B72" i="57"/>
  <c r="A72" i="57"/>
  <c r="AB71" i="57"/>
  <c r="AA71" i="57"/>
  <c r="Z71" i="57"/>
  <c r="U71" i="57"/>
  <c r="T71" i="57"/>
  <c r="S71" i="57"/>
  <c r="R71" i="57"/>
  <c r="N71" i="57"/>
  <c r="M71" i="57"/>
  <c r="L71" i="57"/>
  <c r="K71" i="57"/>
  <c r="J71" i="57"/>
  <c r="I71" i="57"/>
  <c r="H71" i="57"/>
  <c r="G71" i="57"/>
  <c r="F71" i="57"/>
  <c r="E71" i="57"/>
  <c r="O71" i="57" s="1"/>
  <c r="D71" i="57"/>
  <c r="P71" i="57" s="1"/>
  <c r="C71" i="57"/>
  <c r="B71" i="57"/>
  <c r="A71" i="57"/>
  <c r="AB70" i="57"/>
  <c r="AA70" i="57"/>
  <c r="Z70" i="57"/>
  <c r="U70" i="57"/>
  <c r="T70" i="57"/>
  <c r="S70" i="57"/>
  <c r="R70" i="57"/>
  <c r="N70" i="57"/>
  <c r="M70" i="57"/>
  <c r="L70" i="57"/>
  <c r="K70" i="57"/>
  <c r="J70" i="57"/>
  <c r="I70" i="57"/>
  <c r="H70" i="57"/>
  <c r="E70" i="57"/>
  <c r="F70" i="57"/>
  <c r="G70" i="57"/>
  <c r="D70" i="57"/>
  <c r="C70" i="57"/>
  <c r="B70" i="57"/>
  <c r="A70" i="57"/>
  <c r="AB69" i="57"/>
  <c r="AA69" i="57"/>
  <c r="Z69" i="57"/>
  <c r="U69" i="57"/>
  <c r="T69" i="57"/>
  <c r="S69" i="57"/>
  <c r="R69" i="57"/>
  <c r="N69" i="57"/>
  <c r="M69" i="57"/>
  <c r="L69" i="57"/>
  <c r="K69" i="57"/>
  <c r="J69" i="57"/>
  <c r="I69" i="57"/>
  <c r="H69" i="57"/>
  <c r="G69" i="57"/>
  <c r="F69" i="57"/>
  <c r="E69" i="57"/>
  <c r="D69" i="57"/>
  <c r="C69" i="57"/>
  <c r="B69" i="57"/>
  <c r="A69" i="57"/>
  <c r="AB68" i="57"/>
  <c r="AA68" i="57"/>
  <c r="Z68" i="57"/>
  <c r="U68" i="57"/>
  <c r="T68" i="57"/>
  <c r="S68" i="57"/>
  <c r="R68" i="57"/>
  <c r="N68" i="57"/>
  <c r="M68" i="57"/>
  <c r="L68" i="57"/>
  <c r="K68" i="57"/>
  <c r="J68" i="57"/>
  <c r="I68" i="57"/>
  <c r="H68" i="57"/>
  <c r="G68" i="57"/>
  <c r="F68" i="57"/>
  <c r="E68" i="57"/>
  <c r="D68" i="57"/>
  <c r="C68" i="57"/>
  <c r="B68" i="57"/>
  <c r="A68" i="57"/>
  <c r="AB67" i="57"/>
  <c r="AA67" i="57"/>
  <c r="Z67" i="57"/>
  <c r="U67" i="57"/>
  <c r="T67" i="57"/>
  <c r="S67" i="57"/>
  <c r="R67" i="57"/>
  <c r="N67" i="57"/>
  <c r="M67" i="57"/>
  <c r="L67" i="57"/>
  <c r="K67" i="57"/>
  <c r="J67" i="57"/>
  <c r="I67" i="57"/>
  <c r="H67" i="57"/>
  <c r="G67" i="57"/>
  <c r="E67" i="57"/>
  <c r="F67" i="57"/>
  <c r="D67" i="57"/>
  <c r="C67" i="57"/>
  <c r="B67" i="57"/>
  <c r="A67" i="57"/>
  <c r="AB66" i="57"/>
  <c r="AA66" i="57"/>
  <c r="Z66" i="57"/>
  <c r="U66" i="57"/>
  <c r="T66" i="57"/>
  <c r="S66" i="57"/>
  <c r="R66" i="57"/>
  <c r="N66" i="57"/>
  <c r="M66" i="57"/>
  <c r="L66" i="57"/>
  <c r="K66" i="57"/>
  <c r="O66" i="57" s="1"/>
  <c r="P66" i="57" s="1"/>
  <c r="J66" i="57"/>
  <c r="I66" i="57"/>
  <c r="H66" i="57"/>
  <c r="E66" i="57"/>
  <c r="F66" i="57"/>
  <c r="G66" i="57"/>
  <c r="D66" i="57"/>
  <c r="C66" i="57"/>
  <c r="B66" i="57"/>
  <c r="A66" i="57"/>
  <c r="AB65" i="57"/>
  <c r="AA65" i="57"/>
  <c r="Z65" i="57"/>
  <c r="U65" i="57"/>
  <c r="T65" i="57"/>
  <c r="S65" i="57"/>
  <c r="R65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B65" i="57"/>
  <c r="A65" i="57"/>
  <c r="AB64" i="57"/>
  <c r="AA64" i="57"/>
  <c r="Z64" i="57"/>
  <c r="U64" i="57"/>
  <c r="T64" i="57"/>
  <c r="S64" i="57"/>
  <c r="R64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B64" i="57"/>
  <c r="A64" i="57"/>
  <c r="AB63" i="57"/>
  <c r="AA63" i="57"/>
  <c r="Z63" i="57"/>
  <c r="U63" i="57"/>
  <c r="T63" i="57"/>
  <c r="S63" i="57"/>
  <c r="R63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B63" i="57"/>
  <c r="A63" i="57"/>
  <c r="AB62" i="57"/>
  <c r="AA62" i="57"/>
  <c r="Z62" i="57"/>
  <c r="U62" i="57"/>
  <c r="T62" i="57"/>
  <c r="S62" i="57"/>
  <c r="R62" i="57"/>
  <c r="N62" i="57"/>
  <c r="M62" i="57"/>
  <c r="L62" i="57"/>
  <c r="K62" i="57"/>
  <c r="J62" i="57"/>
  <c r="I62" i="57"/>
  <c r="H62" i="57"/>
  <c r="E62" i="57"/>
  <c r="F62" i="57"/>
  <c r="G62" i="57"/>
  <c r="D62" i="57"/>
  <c r="C62" i="57"/>
  <c r="B62" i="57"/>
  <c r="A62" i="57"/>
  <c r="AB61" i="57"/>
  <c r="AA61" i="57"/>
  <c r="Z61" i="57"/>
  <c r="U61" i="57"/>
  <c r="T61" i="57"/>
  <c r="S61" i="57"/>
  <c r="R61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B61" i="57"/>
  <c r="A61" i="57"/>
  <c r="AB60" i="57"/>
  <c r="AA60" i="57"/>
  <c r="Z60" i="57"/>
  <c r="U60" i="57"/>
  <c r="T60" i="57"/>
  <c r="S60" i="57"/>
  <c r="R60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B60" i="57"/>
  <c r="A60" i="57"/>
  <c r="AB59" i="57"/>
  <c r="AA59" i="57"/>
  <c r="Z59" i="57"/>
  <c r="U59" i="57"/>
  <c r="T59" i="57"/>
  <c r="S59" i="57"/>
  <c r="R59" i="57"/>
  <c r="N59" i="57"/>
  <c r="M59" i="57"/>
  <c r="L59" i="57"/>
  <c r="K59" i="57"/>
  <c r="J59" i="57"/>
  <c r="I59" i="57"/>
  <c r="H59" i="57"/>
  <c r="G59" i="57"/>
  <c r="E59" i="57"/>
  <c r="F59" i="57"/>
  <c r="D59" i="57"/>
  <c r="C59" i="57"/>
  <c r="B59" i="57"/>
  <c r="A59" i="57"/>
  <c r="AB58" i="57"/>
  <c r="AA58" i="57"/>
  <c r="Z58" i="57"/>
  <c r="U58" i="57"/>
  <c r="T58" i="57"/>
  <c r="S58" i="57"/>
  <c r="R58" i="57"/>
  <c r="N58" i="57"/>
  <c r="M58" i="57"/>
  <c r="L58" i="57"/>
  <c r="K58" i="57"/>
  <c r="J58" i="57"/>
  <c r="I58" i="57"/>
  <c r="H58" i="57"/>
  <c r="E58" i="57"/>
  <c r="F58" i="57"/>
  <c r="G58" i="57"/>
  <c r="D58" i="57"/>
  <c r="C58" i="57"/>
  <c r="B58" i="57"/>
  <c r="A58" i="57"/>
  <c r="AB57" i="57"/>
  <c r="AA57" i="57"/>
  <c r="Z57" i="57"/>
  <c r="U57" i="57"/>
  <c r="T57" i="57"/>
  <c r="S57" i="57"/>
  <c r="R57" i="57"/>
  <c r="N57" i="57"/>
  <c r="M57" i="57"/>
  <c r="L57" i="57"/>
  <c r="K57" i="57"/>
  <c r="J57" i="57"/>
  <c r="I57" i="57"/>
  <c r="H57" i="57"/>
  <c r="G57" i="57"/>
  <c r="F57" i="57"/>
  <c r="E57" i="57"/>
  <c r="D57" i="57"/>
  <c r="C57" i="57"/>
  <c r="B57" i="57"/>
  <c r="A57" i="57"/>
  <c r="AB56" i="57"/>
  <c r="AA56" i="57"/>
  <c r="Z56" i="57"/>
  <c r="U56" i="57"/>
  <c r="T56" i="57"/>
  <c r="S56" i="57"/>
  <c r="R56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B56" i="57"/>
  <c r="A56" i="57"/>
  <c r="AB55" i="57"/>
  <c r="AA55" i="57"/>
  <c r="Z55" i="57"/>
  <c r="U55" i="57"/>
  <c r="T55" i="57"/>
  <c r="S55" i="57"/>
  <c r="R55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B55" i="57"/>
  <c r="A55" i="57"/>
  <c r="AB54" i="57"/>
  <c r="AA54" i="57"/>
  <c r="Z54" i="57"/>
  <c r="U54" i="57"/>
  <c r="T54" i="57"/>
  <c r="S54" i="57"/>
  <c r="R54" i="57"/>
  <c r="N54" i="57"/>
  <c r="M54" i="57"/>
  <c r="L54" i="57"/>
  <c r="K54" i="57"/>
  <c r="J54" i="57"/>
  <c r="I54" i="57"/>
  <c r="H54" i="57"/>
  <c r="E54" i="57"/>
  <c r="F54" i="57"/>
  <c r="G54" i="57"/>
  <c r="D54" i="57"/>
  <c r="C54" i="57"/>
  <c r="B54" i="57"/>
  <c r="A54" i="57"/>
  <c r="AB53" i="57"/>
  <c r="AA53" i="57"/>
  <c r="Z53" i="57"/>
  <c r="U53" i="57"/>
  <c r="T53" i="57"/>
  <c r="S53" i="57"/>
  <c r="R53" i="57"/>
  <c r="N53" i="57"/>
  <c r="M53" i="57"/>
  <c r="L53" i="57"/>
  <c r="K53" i="57"/>
  <c r="J53" i="57"/>
  <c r="I53" i="57"/>
  <c r="H53" i="57"/>
  <c r="G53" i="57"/>
  <c r="F53" i="57"/>
  <c r="E53" i="57"/>
  <c r="D53" i="57"/>
  <c r="C53" i="57"/>
  <c r="B53" i="57"/>
  <c r="A53" i="57"/>
  <c r="AB52" i="57"/>
  <c r="AA52" i="57"/>
  <c r="Z52" i="57"/>
  <c r="U52" i="57"/>
  <c r="T52" i="57"/>
  <c r="S52" i="57"/>
  <c r="R52" i="57"/>
  <c r="N52" i="57"/>
  <c r="M52" i="57"/>
  <c r="L52" i="57"/>
  <c r="K52" i="57"/>
  <c r="J52" i="57"/>
  <c r="I52" i="57"/>
  <c r="O52" i="57" s="1"/>
  <c r="H52" i="57"/>
  <c r="G52" i="57"/>
  <c r="F52" i="57"/>
  <c r="E52" i="57"/>
  <c r="D52" i="57"/>
  <c r="C52" i="57"/>
  <c r="B52" i="57"/>
  <c r="A52" i="57"/>
  <c r="AB51" i="57"/>
  <c r="AA51" i="57"/>
  <c r="Z51" i="57"/>
  <c r="U51" i="57"/>
  <c r="T51" i="57"/>
  <c r="S51" i="57"/>
  <c r="R51" i="57"/>
  <c r="N51" i="57"/>
  <c r="M51" i="57"/>
  <c r="L51" i="57"/>
  <c r="K51" i="57"/>
  <c r="J51" i="57"/>
  <c r="I51" i="57"/>
  <c r="H51" i="57"/>
  <c r="G51" i="57"/>
  <c r="E51" i="57"/>
  <c r="F51" i="57"/>
  <c r="D51" i="57"/>
  <c r="C51" i="57"/>
  <c r="B51" i="57"/>
  <c r="A51" i="57"/>
  <c r="AB50" i="57"/>
  <c r="AA50" i="57"/>
  <c r="Z50" i="57"/>
  <c r="U50" i="57"/>
  <c r="T50" i="57"/>
  <c r="S50" i="57"/>
  <c r="R50" i="57"/>
  <c r="N50" i="57"/>
  <c r="M50" i="57"/>
  <c r="L50" i="57"/>
  <c r="K50" i="57"/>
  <c r="J50" i="57"/>
  <c r="I50" i="57"/>
  <c r="H50" i="57"/>
  <c r="E50" i="57"/>
  <c r="F50" i="57"/>
  <c r="G50" i="57"/>
  <c r="D50" i="57"/>
  <c r="C50" i="57"/>
  <c r="B50" i="57"/>
  <c r="A50" i="57"/>
  <c r="AB49" i="57"/>
  <c r="AA49" i="57"/>
  <c r="Z49" i="57"/>
  <c r="U49" i="57"/>
  <c r="T49" i="57"/>
  <c r="S49" i="57"/>
  <c r="R49" i="57"/>
  <c r="N49" i="57"/>
  <c r="M49" i="57"/>
  <c r="L49" i="57"/>
  <c r="K49" i="57"/>
  <c r="J49" i="57"/>
  <c r="I49" i="57"/>
  <c r="H49" i="57"/>
  <c r="G49" i="57"/>
  <c r="F49" i="57"/>
  <c r="E49" i="57"/>
  <c r="D49" i="57"/>
  <c r="C49" i="57"/>
  <c r="B49" i="57"/>
  <c r="A49" i="57"/>
  <c r="AB48" i="57"/>
  <c r="AA48" i="57"/>
  <c r="Z48" i="57"/>
  <c r="U48" i="57"/>
  <c r="T48" i="57"/>
  <c r="S48" i="57"/>
  <c r="R48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B48" i="57"/>
  <c r="A48" i="57"/>
  <c r="AB47" i="57"/>
  <c r="AA47" i="57"/>
  <c r="Z47" i="57"/>
  <c r="U47" i="57"/>
  <c r="T47" i="57"/>
  <c r="S47" i="57"/>
  <c r="R47" i="57"/>
  <c r="N47" i="57"/>
  <c r="M47" i="57"/>
  <c r="L47" i="57"/>
  <c r="K47" i="57"/>
  <c r="J47" i="57"/>
  <c r="I47" i="57"/>
  <c r="H47" i="57"/>
  <c r="G47" i="57"/>
  <c r="F47" i="57"/>
  <c r="E47" i="57"/>
  <c r="O47" i="57"/>
  <c r="D47" i="57"/>
  <c r="C47" i="57"/>
  <c r="B47" i="57"/>
  <c r="A47" i="57"/>
  <c r="AB46" i="57"/>
  <c r="AA46" i="57"/>
  <c r="Z46" i="57"/>
  <c r="U46" i="57"/>
  <c r="T46" i="57"/>
  <c r="S46" i="57"/>
  <c r="R46" i="57"/>
  <c r="N46" i="57"/>
  <c r="M46" i="57"/>
  <c r="L46" i="57"/>
  <c r="K46" i="57"/>
  <c r="J46" i="57"/>
  <c r="I46" i="57"/>
  <c r="H46" i="57"/>
  <c r="E46" i="57"/>
  <c r="F46" i="57"/>
  <c r="G46" i="57"/>
  <c r="D46" i="57"/>
  <c r="C46" i="57"/>
  <c r="B46" i="57"/>
  <c r="A46" i="57"/>
  <c r="AB45" i="57"/>
  <c r="AA45" i="57"/>
  <c r="Z45" i="57"/>
  <c r="U45" i="57"/>
  <c r="T45" i="57"/>
  <c r="S45" i="57"/>
  <c r="R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B45" i="57"/>
  <c r="A45" i="57"/>
  <c r="AB44" i="57"/>
  <c r="AA44" i="57"/>
  <c r="Z44" i="57"/>
  <c r="U44" i="57"/>
  <c r="T44" i="57"/>
  <c r="S44" i="57"/>
  <c r="R44" i="57"/>
  <c r="N44" i="57"/>
  <c r="M44" i="57"/>
  <c r="L44" i="57"/>
  <c r="K44" i="57"/>
  <c r="J44" i="57"/>
  <c r="I44" i="57"/>
  <c r="H44" i="57"/>
  <c r="E44" i="57"/>
  <c r="F44" i="57"/>
  <c r="G44" i="57"/>
  <c r="O44" i="57" s="1"/>
  <c r="P44" i="57" s="1"/>
  <c r="D44" i="57"/>
  <c r="C44" i="57"/>
  <c r="B44" i="57"/>
  <c r="A44" i="57"/>
  <c r="AB43" i="57"/>
  <c r="AA43" i="57"/>
  <c r="Z43" i="57"/>
  <c r="U43" i="57"/>
  <c r="T43" i="57"/>
  <c r="S43" i="57"/>
  <c r="R43" i="57"/>
  <c r="N43" i="57"/>
  <c r="M43" i="57"/>
  <c r="L43" i="57"/>
  <c r="K43" i="57"/>
  <c r="J43" i="57"/>
  <c r="O43" i="57" s="1"/>
  <c r="P43" i="57" s="1"/>
  <c r="Q43" i="57" s="1"/>
  <c r="I43" i="57"/>
  <c r="H43" i="57"/>
  <c r="G43" i="57"/>
  <c r="E43" i="57"/>
  <c r="F43" i="57"/>
  <c r="D43" i="57"/>
  <c r="C43" i="57"/>
  <c r="B43" i="57"/>
  <c r="A43" i="57"/>
  <c r="AB42" i="57"/>
  <c r="AA42" i="57"/>
  <c r="Z42" i="57"/>
  <c r="U42" i="57"/>
  <c r="T42" i="57"/>
  <c r="S42" i="57"/>
  <c r="R42" i="57"/>
  <c r="N42" i="57"/>
  <c r="M42" i="57"/>
  <c r="L42" i="57"/>
  <c r="K42" i="57"/>
  <c r="J42" i="57"/>
  <c r="I42" i="57"/>
  <c r="H42" i="57"/>
  <c r="E42" i="57"/>
  <c r="F42" i="57"/>
  <c r="G42" i="57"/>
  <c r="D42" i="57"/>
  <c r="C42" i="57"/>
  <c r="B42" i="57"/>
  <c r="A42" i="57"/>
  <c r="AB41" i="57"/>
  <c r="AA41" i="57"/>
  <c r="Z41" i="57"/>
  <c r="U41" i="57"/>
  <c r="T41" i="57"/>
  <c r="S41" i="57"/>
  <c r="R41" i="57"/>
  <c r="N41" i="57"/>
  <c r="M41" i="57"/>
  <c r="L41" i="57"/>
  <c r="K41" i="57"/>
  <c r="J41" i="57"/>
  <c r="I41" i="57"/>
  <c r="H41" i="57"/>
  <c r="G41" i="57"/>
  <c r="E41" i="57"/>
  <c r="F41" i="57"/>
  <c r="O41" i="57" s="1"/>
  <c r="P41" i="57" s="1"/>
  <c r="Q41" i="57" s="1"/>
  <c r="D41" i="57"/>
  <c r="C41" i="57"/>
  <c r="B41" i="57"/>
  <c r="A41" i="57"/>
  <c r="AB40" i="57"/>
  <c r="AA40" i="57"/>
  <c r="Z40" i="57"/>
  <c r="U40" i="57"/>
  <c r="T40" i="57"/>
  <c r="S40" i="57"/>
  <c r="R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B40" i="57"/>
  <c r="A40" i="57"/>
  <c r="AB39" i="57"/>
  <c r="AA39" i="57"/>
  <c r="Z39" i="57"/>
  <c r="U39" i="57"/>
  <c r="T39" i="57"/>
  <c r="S39" i="57"/>
  <c r="R39" i="57"/>
  <c r="N39" i="57"/>
  <c r="M39" i="57"/>
  <c r="L39" i="57"/>
  <c r="K39" i="57"/>
  <c r="J39" i="57"/>
  <c r="I39" i="57"/>
  <c r="H39" i="57"/>
  <c r="G39" i="57"/>
  <c r="O39" i="57" s="1"/>
  <c r="P39" i="57" s="1"/>
  <c r="F39" i="57"/>
  <c r="E39" i="57"/>
  <c r="D39" i="57"/>
  <c r="C39" i="57"/>
  <c r="B39" i="57"/>
  <c r="A39" i="57"/>
  <c r="AB38" i="57"/>
  <c r="AA38" i="57"/>
  <c r="Z38" i="57"/>
  <c r="U38" i="57"/>
  <c r="T38" i="57"/>
  <c r="S38" i="57"/>
  <c r="R38" i="57"/>
  <c r="N38" i="57"/>
  <c r="M38" i="57"/>
  <c r="L38" i="57"/>
  <c r="K38" i="57"/>
  <c r="J38" i="57"/>
  <c r="I38" i="57"/>
  <c r="H38" i="57"/>
  <c r="E38" i="57"/>
  <c r="F38" i="57"/>
  <c r="G38" i="57"/>
  <c r="D38" i="57"/>
  <c r="C38" i="57"/>
  <c r="B38" i="57"/>
  <c r="A38" i="57"/>
  <c r="AB37" i="57"/>
  <c r="AA37" i="57"/>
  <c r="Z37" i="57"/>
  <c r="U37" i="57"/>
  <c r="T37" i="57"/>
  <c r="S37" i="57"/>
  <c r="R37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B37" i="57"/>
  <c r="A37" i="57"/>
  <c r="AB36" i="57"/>
  <c r="AA36" i="57"/>
  <c r="Z36" i="57"/>
  <c r="U36" i="57"/>
  <c r="T36" i="57"/>
  <c r="S36" i="57"/>
  <c r="R36" i="57"/>
  <c r="N36" i="57"/>
  <c r="M36" i="57"/>
  <c r="L36" i="57"/>
  <c r="K36" i="57"/>
  <c r="J36" i="57"/>
  <c r="I36" i="57"/>
  <c r="H36" i="57"/>
  <c r="O36" i="57" s="1"/>
  <c r="G36" i="57"/>
  <c r="F36" i="57"/>
  <c r="E36" i="57"/>
  <c r="D36" i="57"/>
  <c r="C36" i="57"/>
  <c r="B36" i="57"/>
  <c r="A36" i="57"/>
  <c r="AB35" i="57"/>
  <c r="AA35" i="57"/>
  <c r="Z35" i="57"/>
  <c r="U35" i="57"/>
  <c r="T35" i="57"/>
  <c r="S35" i="57"/>
  <c r="R35" i="57"/>
  <c r="N35" i="57"/>
  <c r="M35" i="57"/>
  <c r="L35" i="57"/>
  <c r="K35" i="57"/>
  <c r="J35" i="57"/>
  <c r="I35" i="57"/>
  <c r="H35" i="57"/>
  <c r="G35" i="57"/>
  <c r="E35" i="57"/>
  <c r="F35" i="57"/>
  <c r="D35" i="57"/>
  <c r="C35" i="57"/>
  <c r="B35" i="57"/>
  <c r="A35" i="57"/>
  <c r="AB34" i="57"/>
  <c r="AA34" i="57"/>
  <c r="Z34" i="57"/>
  <c r="U34" i="57"/>
  <c r="T34" i="57"/>
  <c r="S34" i="57"/>
  <c r="R34" i="57"/>
  <c r="N34" i="57"/>
  <c r="M34" i="57"/>
  <c r="L34" i="57"/>
  <c r="K34" i="57"/>
  <c r="J34" i="57"/>
  <c r="I34" i="57"/>
  <c r="H34" i="57"/>
  <c r="E34" i="57"/>
  <c r="F34" i="57"/>
  <c r="G34" i="57"/>
  <c r="D34" i="57"/>
  <c r="C34" i="57"/>
  <c r="B34" i="57"/>
  <c r="A34" i="57"/>
  <c r="AB33" i="57"/>
  <c r="AA33" i="57"/>
  <c r="Z33" i="57"/>
  <c r="U33" i="57"/>
  <c r="T33" i="57"/>
  <c r="S33" i="57"/>
  <c r="R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B33" i="57"/>
  <c r="A33" i="57"/>
  <c r="AB32" i="57"/>
  <c r="AA32" i="57"/>
  <c r="Z32" i="57"/>
  <c r="U32" i="57"/>
  <c r="T32" i="57"/>
  <c r="S32" i="57"/>
  <c r="R32" i="57"/>
  <c r="N32" i="57"/>
  <c r="M32" i="57"/>
  <c r="L32" i="57"/>
  <c r="K32" i="57"/>
  <c r="J32" i="57"/>
  <c r="I32" i="57"/>
  <c r="H32" i="57"/>
  <c r="G32" i="57"/>
  <c r="F32" i="57"/>
  <c r="E32" i="57"/>
  <c r="D32" i="57"/>
  <c r="C32" i="57"/>
  <c r="B32" i="57"/>
  <c r="A32" i="57"/>
  <c r="AB31" i="57"/>
  <c r="AA31" i="57"/>
  <c r="Z31" i="57"/>
  <c r="U31" i="57"/>
  <c r="T31" i="57"/>
  <c r="S31" i="57"/>
  <c r="R31" i="57"/>
  <c r="N31" i="57"/>
  <c r="M31" i="57"/>
  <c r="L31" i="57"/>
  <c r="K31" i="57"/>
  <c r="J31" i="57"/>
  <c r="I31" i="57"/>
  <c r="O31" i="57" s="1"/>
  <c r="H31" i="57"/>
  <c r="G31" i="57"/>
  <c r="F31" i="57"/>
  <c r="E31" i="57"/>
  <c r="D31" i="57"/>
  <c r="C31" i="57"/>
  <c r="B31" i="57"/>
  <c r="A31" i="57"/>
  <c r="AB30" i="57"/>
  <c r="AA30" i="57"/>
  <c r="Z30" i="57"/>
  <c r="U30" i="57"/>
  <c r="T30" i="57"/>
  <c r="S30" i="57"/>
  <c r="R30" i="57"/>
  <c r="N30" i="57"/>
  <c r="M30" i="57"/>
  <c r="L30" i="57"/>
  <c r="K30" i="57"/>
  <c r="J30" i="57"/>
  <c r="I30" i="57"/>
  <c r="H30" i="57"/>
  <c r="E30" i="57"/>
  <c r="F30" i="57"/>
  <c r="G30" i="57"/>
  <c r="D30" i="57"/>
  <c r="C30" i="57"/>
  <c r="B30" i="57"/>
  <c r="A30" i="57"/>
  <c r="AB29" i="57"/>
  <c r="AA29" i="57"/>
  <c r="Z29" i="57"/>
  <c r="U29" i="57"/>
  <c r="T29" i="57"/>
  <c r="S29" i="57"/>
  <c r="R29" i="57"/>
  <c r="N29" i="57"/>
  <c r="M29" i="57"/>
  <c r="L29" i="57"/>
  <c r="K29" i="57"/>
  <c r="J29" i="57"/>
  <c r="I29" i="57"/>
  <c r="H29" i="57"/>
  <c r="G29" i="57"/>
  <c r="F29" i="57"/>
  <c r="E29" i="57"/>
  <c r="O29" i="57" s="1"/>
  <c r="D29" i="57"/>
  <c r="C29" i="57"/>
  <c r="B29" i="57"/>
  <c r="A29" i="57"/>
  <c r="AB28" i="57"/>
  <c r="AA28" i="57"/>
  <c r="Z28" i="57"/>
  <c r="U28" i="57"/>
  <c r="T28" i="57"/>
  <c r="S28" i="57"/>
  <c r="R28" i="57"/>
  <c r="N28" i="57"/>
  <c r="M28" i="57"/>
  <c r="L28" i="57"/>
  <c r="K28" i="57"/>
  <c r="J28" i="57"/>
  <c r="I28" i="57"/>
  <c r="H28" i="57"/>
  <c r="G28" i="57"/>
  <c r="F28" i="57"/>
  <c r="E28" i="57"/>
  <c r="D28" i="57"/>
  <c r="C28" i="57"/>
  <c r="B28" i="57"/>
  <c r="A28" i="57"/>
  <c r="AB27" i="57"/>
  <c r="AA27" i="57"/>
  <c r="Z27" i="57"/>
  <c r="U27" i="57"/>
  <c r="T27" i="57"/>
  <c r="S27" i="57"/>
  <c r="R27" i="57"/>
  <c r="N27" i="57"/>
  <c r="M27" i="57"/>
  <c r="L27" i="57"/>
  <c r="K27" i="57"/>
  <c r="J27" i="57"/>
  <c r="I27" i="57"/>
  <c r="H27" i="57"/>
  <c r="G27" i="57"/>
  <c r="E27" i="57"/>
  <c r="F27" i="57"/>
  <c r="D27" i="57"/>
  <c r="C27" i="57"/>
  <c r="B27" i="57"/>
  <c r="A27" i="57"/>
  <c r="AB26" i="57"/>
  <c r="AA26" i="57"/>
  <c r="Z26" i="57"/>
  <c r="U26" i="57"/>
  <c r="T26" i="57"/>
  <c r="S26" i="57"/>
  <c r="R26" i="57"/>
  <c r="N26" i="57"/>
  <c r="M26" i="57"/>
  <c r="L26" i="57"/>
  <c r="K26" i="57"/>
  <c r="J26" i="57"/>
  <c r="I26" i="57"/>
  <c r="H26" i="57"/>
  <c r="E26" i="57"/>
  <c r="F26" i="57"/>
  <c r="G26" i="57"/>
  <c r="D26" i="57"/>
  <c r="C26" i="57"/>
  <c r="B26" i="57"/>
  <c r="A26" i="57"/>
  <c r="AB25" i="57"/>
  <c r="AA25" i="57"/>
  <c r="Z25" i="57"/>
  <c r="U25" i="57"/>
  <c r="T25" i="57"/>
  <c r="S25" i="57"/>
  <c r="R25" i="57"/>
  <c r="N25" i="57"/>
  <c r="M25" i="57"/>
  <c r="L25" i="57"/>
  <c r="K25" i="57"/>
  <c r="J25" i="57"/>
  <c r="I25" i="57"/>
  <c r="H25" i="57"/>
  <c r="G25" i="57"/>
  <c r="O25" i="57" s="1"/>
  <c r="F25" i="57"/>
  <c r="E25" i="57"/>
  <c r="D25" i="57"/>
  <c r="C25" i="57"/>
  <c r="B25" i="57"/>
  <c r="A25" i="57"/>
  <c r="AB24" i="57"/>
  <c r="AA24" i="57"/>
  <c r="Z24" i="57"/>
  <c r="U24" i="57"/>
  <c r="T24" i="57"/>
  <c r="S24" i="57"/>
  <c r="R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A24" i="57"/>
  <c r="AB23" i="57"/>
  <c r="AA23" i="57"/>
  <c r="Z23" i="57"/>
  <c r="U23" i="57"/>
  <c r="T23" i="57"/>
  <c r="S23" i="57"/>
  <c r="R23" i="57"/>
  <c r="N23" i="57"/>
  <c r="M23" i="57"/>
  <c r="L23" i="57"/>
  <c r="K23" i="57"/>
  <c r="J23" i="57"/>
  <c r="I23" i="57"/>
  <c r="H23" i="57"/>
  <c r="G23" i="57"/>
  <c r="F23" i="57"/>
  <c r="E23" i="57"/>
  <c r="D23" i="57"/>
  <c r="C23" i="57"/>
  <c r="B23" i="57"/>
  <c r="A23" i="57"/>
  <c r="AB22" i="57"/>
  <c r="AA22" i="57"/>
  <c r="Z22" i="57"/>
  <c r="U22" i="57"/>
  <c r="T22" i="57"/>
  <c r="S22" i="57"/>
  <c r="R22" i="57"/>
  <c r="N22" i="57"/>
  <c r="M22" i="57"/>
  <c r="L22" i="57"/>
  <c r="K22" i="57"/>
  <c r="J22" i="57"/>
  <c r="I22" i="57"/>
  <c r="H22" i="57"/>
  <c r="E22" i="57"/>
  <c r="F22" i="57"/>
  <c r="G22" i="57"/>
  <c r="D22" i="57"/>
  <c r="C22" i="57"/>
  <c r="B22" i="57"/>
  <c r="A22" i="57"/>
  <c r="AB21" i="57"/>
  <c r="AA21" i="57"/>
  <c r="Z21" i="57"/>
  <c r="U21" i="57"/>
  <c r="T21" i="57"/>
  <c r="S21" i="57"/>
  <c r="R21" i="57"/>
  <c r="N21" i="57"/>
  <c r="M21" i="57"/>
  <c r="L21" i="57"/>
  <c r="K21" i="57"/>
  <c r="J21" i="57"/>
  <c r="I21" i="57"/>
  <c r="H21" i="57"/>
  <c r="G21" i="57"/>
  <c r="F21" i="57"/>
  <c r="E21" i="57"/>
  <c r="D21" i="57"/>
  <c r="C21" i="57"/>
  <c r="B21" i="57"/>
  <c r="A21" i="57"/>
  <c r="AB20" i="57"/>
  <c r="AA20" i="57"/>
  <c r="Z20" i="57"/>
  <c r="U20" i="57"/>
  <c r="T20" i="57"/>
  <c r="S20" i="57"/>
  <c r="R20" i="57"/>
  <c r="N20" i="57"/>
  <c r="M20" i="57"/>
  <c r="L20" i="57"/>
  <c r="K20" i="57"/>
  <c r="J20" i="57"/>
  <c r="I20" i="57"/>
  <c r="H20" i="57"/>
  <c r="G20" i="57"/>
  <c r="F20" i="57"/>
  <c r="E20" i="57"/>
  <c r="D20" i="57"/>
  <c r="C20" i="57"/>
  <c r="B20" i="57"/>
  <c r="A20" i="57"/>
  <c r="AB19" i="57"/>
  <c r="AA19" i="57"/>
  <c r="Z19" i="57"/>
  <c r="U19" i="57"/>
  <c r="T19" i="57"/>
  <c r="S19" i="57"/>
  <c r="R19" i="57"/>
  <c r="N19" i="57"/>
  <c r="M19" i="57"/>
  <c r="L19" i="57"/>
  <c r="K19" i="57"/>
  <c r="J19" i="57"/>
  <c r="I19" i="57"/>
  <c r="H19" i="57"/>
  <c r="G19" i="57"/>
  <c r="E19" i="57"/>
  <c r="F19" i="57"/>
  <c r="D19" i="57"/>
  <c r="C19" i="57"/>
  <c r="B19" i="57"/>
  <c r="A19" i="57"/>
  <c r="AB18" i="57"/>
  <c r="AA18" i="57"/>
  <c r="Z18" i="57"/>
  <c r="U18" i="57"/>
  <c r="T18" i="57"/>
  <c r="S18" i="57"/>
  <c r="R18" i="57"/>
  <c r="D18" i="57"/>
  <c r="C18" i="57"/>
  <c r="B18" i="57"/>
  <c r="A18" i="57"/>
  <c r="AB17" i="57"/>
  <c r="AA17" i="57"/>
  <c r="Z17" i="57"/>
  <c r="U17" i="57"/>
  <c r="T17" i="57"/>
  <c r="S17" i="57"/>
  <c r="R17" i="57"/>
  <c r="D17" i="57"/>
  <c r="C17" i="57"/>
  <c r="B17" i="57"/>
  <c r="A17" i="57"/>
  <c r="AB16" i="57"/>
  <c r="AA16" i="57"/>
  <c r="Z16" i="57"/>
  <c r="U16" i="57"/>
  <c r="T16" i="57"/>
  <c r="S16" i="57"/>
  <c r="R16" i="57"/>
  <c r="D16" i="57"/>
  <c r="C16" i="57"/>
  <c r="B16" i="57"/>
  <c r="A16" i="57"/>
  <c r="AB15" i="57"/>
  <c r="AA15" i="57"/>
  <c r="Z15" i="57"/>
  <c r="U15" i="57"/>
  <c r="T15" i="57"/>
  <c r="S15" i="57"/>
  <c r="R15" i="57"/>
  <c r="D15" i="57"/>
  <c r="C15" i="57"/>
  <c r="B15" i="57"/>
  <c r="A15" i="57"/>
  <c r="AB14" i="57"/>
  <c r="AA14" i="57"/>
  <c r="Z14" i="57"/>
  <c r="U14" i="57"/>
  <c r="T14" i="57"/>
  <c r="S14" i="57"/>
  <c r="R14" i="57"/>
  <c r="D14" i="57"/>
  <c r="C14" i="57"/>
  <c r="B14" i="57"/>
  <c r="A14" i="57"/>
  <c r="AB13" i="57"/>
  <c r="AA13" i="57"/>
  <c r="Z13" i="57"/>
  <c r="U13" i="57"/>
  <c r="T13" i="57"/>
  <c r="S13" i="57"/>
  <c r="R13" i="57"/>
  <c r="D13" i="57"/>
  <c r="C13" i="57"/>
  <c r="B13" i="57"/>
  <c r="A13" i="57"/>
  <c r="AB12" i="57"/>
  <c r="AA12" i="57"/>
  <c r="Z12" i="57"/>
  <c r="U12" i="57"/>
  <c r="T12" i="57"/>
  <c r="S12" i="57"/>
  <c r="R12" i="57"/>
  <c r="D12" i="57"/>
  <c r="C12" i="57"/>
  <c r="B12" i="57"/>
  <c r="A12" i="57"/>
  <c r="AB11" i="57"/>
  <c r="AA11" i="57"/>
  <c r="Z11" i="57"/>
  <c r="U11" i="57"/>
  <c r="T11" i="57"/>
  <c r="S11" i="57"/>
  <c r="R11" i="57"/>
  <c r="D11" i="57"/>
  <c r="C11" i="57"/>
  <c r="B11" i="57"/>
  <c r="A11" i="57"/>
  <c r="AB10" i="57"/>
  <c r="AA10" i="57"/>
  <c r="Z10" i="57"/>
  <c r="U10" i="57"/>
  <c r="T10" i="57"/>
  <c r="S10" i="57"/>
  <c r="R10" i="57"/>
  <c r="D10" i="57"/>
  <c r="C10" i="57"/>
  <c r="B10" i="57"/>
  <c r="A10" i="57"/>
  <c r="AB9" i="57"/>
  <c r="AA9" i="57"/>
  <c r="Z9" i="57"/>
  <c r="U9" i="57"/>
  <c r="T9" i="57"/>
  <c r="S9" i="57"/>
  <c r="R9" i="57"/>
  <c r="D9" i="57"/>
  <c r="C9" i="57"/>
  <c r="B9" i="57"/>
  <c r="A9" i="57"/>
  <c r="AB8" i="57"/>
  <c r="AA8" i="57"/>
  <c r="Z8" i="57"/>
  <c r="U8" i="57"/>
  <c r="T8" i="57"/>
  <c r="S8" i="57"/>
  <c r="R8" i="57"/>
  <c r="D8" i="57"/>
  <c r="C8" i="57"/>
  <c r="B8" i="57"/>
  <c r="A8" i="57"/>
  <c r="J22" i="61"/>
  <c r="E22" i="61"/>
  <c r="O22" i="61"/>
  <c r="Z125" i="61"/>
  <c r="AA125" i="61"/>
  <c r="AB125" i="61"/>
  <c r="R125" i="61"/>
  <c r="S125" i="61"/>
  <c r="T125" i="61"/>
  <c r="U125" i="61"/>
  <c r="D125" i="61"/>
  <c r="E125" i="61"/>
  <c r="F125" i="61"/>
  <c r="G125" i="61"/>
  <c r="H125" i="61"/>
  <c r="I125" i="61"/>
  <c r="J125" i="61"/>
  <c r="K125" i="61"/>
  <c r="L125" i="61"/>
  <c r="M125" i="61"/>
  <c r="N125" i="61"/>
  <c r="A125" i="61"/>
  <c r="B125" i="61"/>
  <c r="C125" i="61"/>
  <c r="Z110" i="61"/>
  <c r="AA110" i="61"/>
  <c r="AB110" i="61"/>
  <c r="R110" i="61"/>
  <c r="S110" i="61"/>
  <c r="T110" i="61"/>
  <c r="U110" i="61"/>
  <c r="D110" i="61"/>
  <c r="E110" i="61"/>
  <c r="F110" i="61"/>
  <c r="G110" i="61"/>
  <c r="H110" i="61"/>
  <c r="I110" i="61"/>
  <c r="J110" i="61"/>
  <c r="K110" i="61"/>
  <c r="L110" i="61"/>
  <c r="M110" i="61"/>
  <c r="N110" i="61"/>
  <c r="A110" i="61"/>
  <c r="B110" i="61"/>
  <c r="C110" i="61"/>
  <c r="Z95" i="61"/>
  <c r="AA95" i="61"/>
  <c r="AB95" i="61"/>
  <c r="R95" i="61"/>
  <c r="S95" i="61"/>
  <c r="T95" i="61"/>
  <c r="U95" i="61"/>
  <c r="D95" i="61"/>
  <c r="E95" i="61"/>
  <c r="F95" i="61"/>
  <c r="G95" i="61"/>
  <c r="H95" i="61"/>
  <c r="I95" i="61"/>
  <c r="J95" i="61"/>
  <c r="K95" i="61"/>
  <c r="L95" i="61"/>
  <c r="M95" i="61"/>
  <c r="N95" i="61"/>
  <c r="A95" i="61"/>
  <c r="B95" i="61"/>
  <c r="C95" i="61"/>
  <c r="Z81" i="61"/>
  <c r="AA81" i="61"/>
  <c r="AB81" i="61"/>
  <c r="R81" i="61"/>
  <c r="S81" i="61"/>
  <c r="T81" i="61"/>
  <c r="U81" i="61"/>
  <c r="D81" i="61"/>
  <c r="E81" i="61"/>
  <c r="F81" i="61"/>
  <c r="G81" i="61"/>
  <c r="H81" i="61"/>
  <c r="I81" i="61"/>
  <c r="J81" i="61"/>
  <c r="K81" i="61"/>
  <c r="L81" i="61"/>
  <c r="M81" i="61"/>
  <c r="N81" i="61"/>
  <c r="A81" i="61"/>
  <c r="B81" i="61"/>
  <c r="C81" i="61"/>
  <c r="Z66" i="61"/>
  <c r="AA66" i="61"/>
  <c r="AB66" i="61"/>
  <c r="R66" i="61"/>
  <c r="S66" i="61"/>
  <c r="T66" i="61"/>
  <c r="U66" i="61"/>
  <c r="D66" i="61"/>
  <c r="E66" i="61"/>
  <c r="F66" i="61"/>
  <c r="G66" i="61"/>
  <c r="H66" i="61"/>
  <c r="I66" i="61"/>
  <c r="J66" i="61"/>
  <c r="K66" i="61"/>
  <c r="L66" i="61"/>
  <c r="M66" i="61"/>
  <c r="N66" i="61"/>
  <c r="A66" i="61"/>
  <c r="B66" i="61"/>
  <c r="C66" i="61"/>
  <c r="Z51" i="61"/>
  <c r="AA51" i="61"/>
  <c r="AB51" i="61"/>
  <c r="R51" i="61"/>
  <c r="S51" i="61"/>
  <c r="T51" i="61"/>
  <c r="U51" i="61"/>
  <c r="D51" i="61"/>
  <c r="E51" i="61"/>
  <c r="F51" i="61"/>
  <c r="G51" i="61"/>
  <c r="H51" i="61"/>
  <c r="I51" i="61"/>
  <c r="J51" i="61"/>
  <c r="K51" i="61"/>
  <c r="L51" i="61"/>
  <c r="M51" i="61"/>
  <c r="N51" i="61"/>
  <c r="A51" i="61"/>
  <c r="B51" i="61"/>
  <c r="C51" i="61"/>
  <c r="Z36" i="61"/>
  <c r="AA36" i="61"/>
  <c r="AB36" i="61"/>
  <c r="R36" i="61"/>
  <c r="S36" i="61"/>
  <c r="T36" i="61"/>
  <c r="U36" i="61"/>
  <c r="D36" i="61"/>
  <c r="E36" i="61"/>
  <c r="F36" i="61"/>
  <c r="G36" i="61"/>
  <c r="H36" i="61"/>
  <c r="I36" i="61"/>
  <c r="J36" i="61"/>
  <c r="K36" i="61"/>
  <c r="L36" i="61"/>
  <c r="O36" i="61" s="1"/>
  <c r="M36" i="61"/>
  <c r="N36" i="61"/>
  <c r="A36" i="61"/>
  <c r="B36" i="61"/>
  <c r="C36" i="61"/>
  <c r="Z21" i="61"/>
  <c r="AA21" i="61"/>
  <c r="AB21" i="61"/>
  <c r="R21" i="61"/>
  <c r="S21" i="61"/>
  <c r="T21" i="61"/>
  <c r="U21" i="61"/>
  <c r="D21" i="61"/>
  <c r="E21" i="61"/>
  <c r="F21" i="61"/>
  <c r="G21" i="61"/>
  <c r="H21" i="61"/>
  <c r="I21" i="61"/>
  <c r="J21" i="61"/>
  <c r="K21" i="61"/>
  <c r="L21" i="61"/>
  <c r="M21" i="61"/>
  <c r="N21" i="61"/>
  <c r="A21" i="61"/>
  <c r="B21" i="61"/>
  <c r="C21" i="61"/>
  <c r="Z126" i="61"/>
  <c r="AA126" i="61"/>
  <c r="AB126" i="61"/>
  <c r="Z111" i="61"/>
  <c r="AA111" i="61"/>
  <c r="AB111" i="61"/>
  <c r="Z96" i="61"/>
  <c r="AA96" i="61"/>
  <c r="AB96" i="61"/>
  <c r="Z82" i="61"/>
  <c r="AA82" i="61"/>
  <c r="AB82" i="61"/>
  <c r="Z67" i="61"/>
  <c r="AA67" i="61"/>
  <c r="AB67" i="61"/>
  <c r="Z52" i="61"/>
  <c r="AA52" i="61"/>
  <c r="AB52" i="61"/>
  <c r="Z37" i="61"/>
  <c r="AA37" i="61"/>
  <c r="AB37" i="61"/>
  <c r="R126" i="61"/>
  <c r="S126" i="61"/>
  <c r="T126" i="61"/>
  <c r="U126" i="61"/>
  <c r="R111" i="61"/>
  <c r="S111" i="61"/>
  <c r="T111" i="61"/>
  <c r="U111" i="61"/>
  <c r="R96" i="61"/>
  <c r="S96" i="61"/>
  <c r="T96" i="61"/>
  <c r="U96" i="61"/>
  <c r="R82" i="61"/>
  <c r="S82" i="61"/>
  <c r="T82" i="61"/>
  <c r="U82" i="61"/>
  <c r="R67" i="61"/>
  <c r="S67" i="61"/>
  <c r="T67" i="61"/>
  <c r="U67" i="61"/>
  <c r="R52" i="61"/>
  <c r="S52" i="61"/>
  <c r="T52" i="61"/>
  <c r="U52" i="61"/>
  <c r="R37" i="61"/>
  <c r="S37" i="61"/>
  <c r="T37" i="61"/>
  <c r="U37" i="61"/>
  <c r="J126" i="61"/>
  <c r="E126" i="61"/>
  <c r="O126" i="61"/>
  <c r="J111" i="61"/>
  <c r="E111" i="61"/>
  <c r="O111" i="61" s="1"/>
  <c r="P111" i="61" s="1"/>
  <c r="J96" i="61"/>
  <c r="E96" i="61"/>
  <c r="O96" i="61"/>
  <c r="J82" i="61"/>
  <c r="E82" i="61"/>
  <c r="J67" i="61"/>
  <c r="E67" i="61"/>
  <c r="O67" i="61" s="1"/>
  <c r="D67" i="61"/>
  <c r="J52" i="61"/>
  <c r="E52" i="61"/>
  <c r="J37" i="61"/>
  <c r="E37" i="61"/>
  <c r="Z22" i="61"/>
  <c r="AA22" i="61"/>
  <c r="AB22" i="61"/>
  <c r="R22" i="61"/>
  <c r="S22" i="61"/>
  <c r="T22" i="61"/>
  <c r="U22" i="61"/>
  <c r="E20" i="61"/>
  <c r="D126" i="61"/>
  <c r="D111" i="61"/>
  <c r="D96" i="61"/>
  <c r="D82" i="61"/>
  <c r="D52" i="61"/>
  <c r="D37" i="61"/>
  <c r="D22" i="61"/>
  <c r="A126" i="61"/>
  <c r="B126" i="61"/>
  <c r="C126" i="61"/>
  <c r="A111" i="61"/>
  <c r="B111" i="61"/>
  <c r="C111" i="61"/>
  <c r="A96" i="61"/>
  <c r="B96" i="61"/>
  <c r="C96" i="61"/>
  <c r="A82" i="61"/>
  <c r="B82" i="61"/>
  <c r="C82" i="61"/>
  <c r="A67" i="61"/>
  <c r="B67" i="61"/>
  <c r="C67" i="61"/>
  <c r="A52" i="61"/>
  <c r="B52" i="61"/>
  <c r="C52" i="61"/>
  <c r="A37" i="61"/>
  <c r="B37" i="61"/>
  <c r="C37" i="61"/>
  <c r="A22" i="61"/>
  <c r="B22" i="61"/>
  <c r="C22" i="61"/>
  <c r="AB124" i="61"/>
  <c r="AA124" i="61"/>
  <c r="Z124" i="61"/>
  <c r="U124" i="61"/>
  <c r="T124" i="61"/>
  <c r="S124" i="61"/>
  <c r="R124" i="61"/>
  <c r="N124" i="61"/>
  <c r="M124" i="61"/>
  <c r="L124" i="61"/>
  <c r="K124" i="61"/>
  <c r="J124" i="61"/>
  <c r="I124" i="61"/>
  <c r="H124" i="61"/>
  <c r="G124" i="61"/>
  <c r="O124" i="61" s="1"/>
  <c r="F124" i="61"/>
  <c r="E124" i="61"/>
  <c r="D124" i="61"/>
  <c r="C124" i="61"/>
  <c r="B124" i="61"/>
  <c r="A124" i="61"/>
  <c r="AB123" i="61"/>
  <c r="AA123" i="61"/>
  <c r="Z123" i="61"/>
  <c r="U123" i="61"/>
  <c r="T123" i="61"/>
  <c r="S123" i="61"/>
  <c r="R123" i="61"/>
  <c r="N123" i="61"/>
  <c r="M123" i="61"/>
  <c r="L123" i="61"/>
  <c r="K123" i="61"/>
  <c r="J123" i="61"/>
  <c r="I123" i="61"/>
  <c r="H123" i="61"/>
  <c r="G123" i="61"/>
  <c r="E123" i="61"/>
  <c r="F123" i="61"/>
  <c r="D123" i="61"/>
  <c r="C123" i="61"/>
  <c r="B123" i="61"/>
  <c r="A123" i="61"/>
  <c r="AB122" i="61"/>
  <c r="AA122" i="61"/>
  <c r="Z122" i="61"/>
  <c r="U122" i="61"/>
  <c r="T122" i="61"/>
  <c r="S122" i="61"/>
  <c r="R122" i="61"/>
  <c r="N122" i="61"/>
  <c r="M122" i="61"/>
  <c r="L122" i="61"/>
  <c r="K122" i="61"/>
  <c r="J122" i="61"/>
  <c r="I122" i="61"/>
  <c r="H122" i="61"/>
  <c r="E122" i="61"/>
  <c r="F122" i="61"/>
  <c r="G122" i="61"/>
  <c r="D122" i="61"/>
  <c r="C122" i="61"/>
  <c r="B122" i="61"/>
  <c r="A122" i="61"/>
  <c r="AB121" i="61"/>
  <c r="AA121" i="61"/>
  <c r="Z121" i="61"/>
  <c r="U121" i="61"/>
  <c r="T121" i="61"/>
  <c r="S121" i="61"/>
  <c r="R121" i="61"/>
  <c r="N121" i="61"/>
  <c r="M121" i="61"/>
  <c r="L121" i="61"/>
  <c r="K121" i="61"/>
  <c r="J121" i="61"/>
  <c r="I121" i="61"/>
  <c r="H121" i="61"/>
  <c r="G121" i="61"/>
  <c r="F121" i="61"/>
  <c r="O121" i="61" s="1"/>
  <c r="E121" i="61"/>
  <c r="D121" i="61"/>
  <c r="C121" i="61"/>
  <c r="B121" i="61"/>
  <c r="A121" i="61"/>
  <c r="AB120" i="61"/>
  <c r="AA120" i="61"/>
  <c r="Z120" i="61"/>
  <c r="U120" i="61"/>
  <c r="T120" i="61"/>
  <c r="S120" i="61"/>
  <c r="R120" i="61"/>
  <c r="N120" i="61"/>
  <c r="M120" i="61"/>
  <c r="L120" i="61"/>
  <c r="K120" i="61"/>
  <c r="J120" i="61"/>
  <c r="I120" i="61"/>
  <c r="H120" i="61"/>
  <c r="G120" i="61"/>
  <c r="F120" i="61"/>
  <c r="E120" i="61"/>
  <c r="D120" i="61"/>
  <c r="C120" i="61"/>
  <c r="B120" i="61"/>
  <c r="A120" i="61"/>
  <c r="AB119" i="61"/>
  <c r="AA119" i="61"/>
  <c r="Z119" i="61"/>
  <c r="U119" i="61"/>
  <c r="T119" i="61"/>
  <c r="S119" i="61"/>
  <c r="R119" i="61"/>
  <c r="N119" i="61"/>
  <c r="M119" i="61"/>
  <c r="L119" i="61"/>
  <c r="K119" i="61"/>
  <c r="J119" i="61"/>
  <c r="I119" i="61"/>
  <c r="H119" i="61"/>
  <c r="O119" i="61" s="1"/>
  <c r="P119" i="61" s="1"/>
  <c r="V119" i="61" s="1"/>
  <c r="G119" i="61"/>
  <c r="E119" i="61"/>
  <c r="F119" i="61"/>
  <c r="D119" i="61"/>
  <c r="C119" i="61"/>
  <c r="B119" i="61"/>
  <c r="A119" i="61"/>
  <c r="AB118" i="61"/>
  <c r="AA118" i="61"/>
  <c r="Z118" i="61"/>
  <c r="U118" i="61"/>
  <c r="T118" i="61"/>
  <c r="S118" i="61"/>
  <c r="R118" i="61"/>
  <c r="N118" i="61"/>
  <c r="M118" i="61"/>
  <c r="L118" i="61"/>
  <c r="K118" i="61"/>
  <c r="J118" i="61"/>
  <c r="I118" i="61"/>
  <c r="H118" i="61"/>
  <c r="E118" i="61"/>
  <c r="F118" i="61"/>
  <c r="G118" i="61"/>
  <c r="D118" i="61"/>
  <c r="C118" i="61"/>
  <c r="B118" i="61"/>
  <c r="A118" i="61"/>
  <c r="AB117" i="61"/>
  <c r="AA117" i="61"/>
  <c r="Z117" i="61"/>
  <c r="U117" i="61"/>
  <c r="T117" i="61"/>
  <c r="S117" i="61"/>
  <c r="R117" i="61"/>
  <c r="N117" i="61"/>
  <c r="M117" i="61"/>
  <c r="L117" i="61"/>
  <c r="K117" i="61"/>
  <c r="J117" i="61"/>
  <c r="I117" i="61"/>
  <c r="H117" i="61"/>
  <c r="G117" i="61"/>
  <c r="F117" i="61"/>
  <c r="E117" i="61"/>
  <c r="D117" i="61"/>
  <c r="C117" i="61"/>
  <c r="B117" i="61"/>
  <c r="A117" i="61"/>
  <c r="AB116" i="61"/>
  <c r="AA116" i="61"/>
  <c r="Z116" i="61"/>
  <c r="U116" i="61"/>
  <c r="T116" i="61"/>
  <c r="S116" i="61"/>
  <c r="R116" i="61"/>
  <c r="N116" i="61"/>
  <c r="M116" i="61"/>
  <c r="L116" i="61"/>
  <c r="K116" i="61"/>
  <c r="J116" i="61"/>
  <c r="I116" i="61"/>
  <c r="H116" i="61"/>
  <c r="G116" i="61"/>
  <c r="F116" i="61"/>
  <c r="E116" i="61"/>
  <c r="D116" i="61"/>
  <c r="C116" i="61"/>
  <c r="B116" i="61"/>
  <c r="A116" i="61"/>
  <c r="AB115" i="61"/>
  <c r="AA115" i="61"/>
  <c r="Z115" i="61"/>
  <c r="U115" i="61"/>
  <c r="T115" i="61"/>
  <c r="S115" i="61"/>
  <c r="R115" i="61"/>
  <c r="N115" i="61"/>
  <c r="M115" i="61"/>
  <c r="L115" i="61"/>
  <c r="K115" i="61"/>
  <c r="J115" i="61"/>
  <c r="I115" i="61"/>
  <c r="H115" i="61"/>
  <c r="G115" i="61"/>
  <c r="E115" i="61"/>
  <c r="F115" i="61"/>
  <c r="D115" i="61"/>
  <c r="C115" i="61"/>
  <c r="B115" i="61"/>
  <c r="A115" i="61"/>
  <c r="AB114" i="61"/>
  <c r="AA114" i="61"/>
  <c r="Z114" i="61"/>
  <c r="U114" i="61"/>
  <c r="T114" i="61"/>
  <c r="S114" i="61"/>
  <c r="R114" i="61"/>
  <c r="N114" i="61"/>
  <c r="M114" i="61"/>
  <c r="L114" i="61"/>
  <c r="K114" i="61"/>
  <c r="J114" i="61"/>
  <c r="I114" i="61"/>
  <c r="H114" i="61"/>
  <c r="E114" i="61"/>
  <c r="F114" i="61"/>
  <c r="G114" i="61"/>
  <c r="D114" i="61"/>
  <c r="C114" i="61"/>
  <c r="B114" i="61"/>
  <c r="A114" i="61"/>
  <c r="AB113" i="61"/>
  <c r="AA113" i="61"/>
  <c r="Z113" i="61"/>
  <c r="U113" i="61"/>
  <c r="T113" i="61"/>
  <c r="S113" i="61"/>
  <c r="R113" i="61"/>
  <c r="N113" i="61"/>
  <c r="M113" i="61"/>
  <c r="L113" i="61"/>
  <c r="K113" i="61"/>
  <c r="J113" i="61"/>
  <c r="I113" i="61"/>
  <c r="H113" i="61"/>
  <c r="G113" i="61"/>
  <c r="F113" i="61"/>
  <c r="E113" i="61"/>
  <c r="D113" i="61"/>
  <c r="C113" i="61"/>
  <c r="B113" i="61"/>
  <c r="A113" i="61"/>
  <c r="AB112" i="61"/>
  <c r="AA112" i="61"/>
  <c r="Z112" i="61"/>
  <c r="U112" i="61"/>
  <c r="T112" i="61"/>
  <c r="S112" i="61"/>
  <c r="R112" i="61"/>
  <c r="N112" i="61"/>
  <c r="M112" i="61"/>
  <c r="L112" i="61"/>
  <c r="K112" i="61"/>
  <c r="J112" i="61"/>
  <c r="I112" i="61"/>
  <c r="H112" i="61"/>
  <c r="G112" i="61"/>
  <c r="F112" i="61"/>
  <c r="E112" i="61"/>
  <c r="D112" i="61"/>
  <c r="C112" i="61"/>
  <c r="B112" i="61"/>
  <c r="A112" i="61"/>
  <c r="AB109" i="61"/>
  <c r="AA109" i="61"/>
  <c r="Z109" i="61"/>
  <c r="U109" i="61"/>
  <c r="T109" i="61"/>
  <c r="S109" i="61"/>
  <c r="R109" i="61"/>
  <c r="N109" i="61"/>
  <c r="M109" i="61"/>
  <c r="L109" i="61"/>
  <c r="K109" i="61"/>
  <c r="J109" i="61"/>
  <c r="I109" i="61"/>
  <c r="H109" i="61"/>
  <c r="O109" i="61" s="1"/>
  <c r="P109" i="61" s="1"/>
  <c r="G109" i="61"/>
  <c r="E109" i="61"/>
  <c r="F109" i="61"/>
  <c r="D109" i="61"/>
  <c r="C109" i="61"/>
  <c r="B109" i="61"/>
  <c r="A109" i="61"/>
  <c r="AB108" i="61"/>
  <c r="AA108" i="61"/>
  <c r="Z108" i="61"/>
  <c r="U108" i="61"/>
  <c r="T108" i="61"/>
  <c r="S108" i="61"/>
  <c r="R108" i="61"/>
  <c r="N108" i="61"/>
  <c r="M108" i="61"/>
  <c r="L108" i="61"/>
  <c r="K108" i="61"/>
  <c r="J108" i="61"/>
  <c r="I108" i="61"/>
  <c r="H108" i="61"/>
  <c r="E108" i="61"/>
  <c r="F108" i="61"/>
  <c r="G108" i="61"/>
  <c r="D108" i="61"/>
  <c r="C108" i="61"/>
  <c r="B108" i="61"/>
  <c r="A108" i="61"/>
  <c r="AB107" i="61"/>
  <c r="AA107" i="61"/>
  <c r="Z107" i="61"/>
  <c r="U107" i="61"/>
  <c r="T107" i="61"/>
  <c r="S107" i="61"/>
  <c r="R107" i="61"/>
  <c r="N107" i="61"/>
  <c r="M107" i="61"/>
  <c r="L107" i="61"/>
  <c r="K107" i="61"/>
  <c r="J107" i="61"/>
  <c r="I107" i="61"/>
  <c r="H107" i="61"/>
  <c r="G107" i="61"/>
  <c r="F107" i="61"/>
  <c r="E107" i="61"/>
  <c r="D107" i="61"/>
  <c r="C107" i="61"/>
  <c r="B107" i="61"/>
  <c r="A107" i="61"/>
  <c r="AB106" i="61"/>
  <c r="AA106" i="61"/>
  <c r="Z106" i="61"/>
  <c r="U106" i="61"/>
  <c r="T106" i="61"/>
  <c r="S106" i="61"/>
  <c r="R106" i="61"/>
  <c r="N106" i="61"/>
  <c r="M106" i="61"/>
  <c r="L106" i="61"/>
  <c r="K106" i="61"/>
  <c r="J106" i="61"/>
  <c r="I106" i="61"/>
  <c r="H106" i="61"/>
  <c r="G106" i="61"/>
  <c r="F106" i="61"/>
  <c r="E106" i="61"/>
  <c r="D106" i="61"/>
  <c r="C106" i="61"/>
  <c r="B106" i="61"/>
  <c r="A106" i="61"/>
  <c r="AB105" i="61"/>
  <c r="AA105" i="61"/>
  <c r="Z105" i="61"/>
  <c r="U105" i="61"/>
  <c r="T105" i="61"/>
  <c r="S105" i="61"/>
  <c r="R105" i="61"/>
  <c r="N105" i="61"/>
  <c r="M105" i="61"/>
  <c r="L105" i="61"/>
  <c r="K105" i="61"/>
  <c r="J105" i="61"/>
  <c r="I105" i="61"/>
  <c r="H105" i="61"/>
  <c r="G105" i="61"/>
  <c r="E105" i="61"/>
  <c r="F105" i="61"/>
  <c r="D105" i="61"/>
  <c r="C105" i="61"/>
  <c r="B105" i="61"/>
  <c r="A105" i="61"/>
  <c r="AB104" i="61"/>
  <c r="AA104" i="61"/>
  <c r="Z104" i="61"/>
  <c r="U104" i="61"/>
  <c r="T104" i="61"/>
  <c r="S104" i="61"/>
  <c r="R104" i="61"/>
  <c r="N104" i="61"/>
  <c r="M104" i="61"/>
  <c r="L104" i="61"/>
  <c r="K104" i="61"/>
  <c r="J104" i="61"/>
  <c r="I104" i="61"/>
  <c r="H104" i="61"/>
  <c r="E104" i="61"/>
  <c r="F104" i="61"/>
  <c r="G104" i="61"/>
  <c r="D104" i="61"/>
  <c r="C104" i="61"/>
  <c r="B104" i="61"/>
  <c r="A104" i="61"/>
  <c r="AB103" i="61"/>
  <c r="AA103" i="61"/>
  <c r="Z103" i="61"/>
  <c r="U103" i="61"/>
  <c r="T103" i="61"/>
  <c r="S103" i="61"/>
  <c r="R103" i="61"/>
  <c r="N103" i="61"/>
  <c r="M103" i="61"/>
  <c r="L103" i="61"/>
  <c r="K103" i="61"/>
  <c r="J103" i="61"/>
  <c r="I103" i="61"/>
  <c r="H103" i="61"/>
  <c r="G103" i="61"/>
  <c r="F103" i="61"/>
  <c r="E103" i="61"/>
  <c r="D103" i="61"/>
  <c r="C103" i="61"/>
  <c r="B103" i="61"/>
  <c r="A103" i="61"/>
  <c r="AB102" i="61"/>
  <c r="AA102" i="61"/>
  <c r="Z102" i="61"/>
  <c r="U102" i="61"/>
  <c r="T102" i="61"/>
  <c r="S102" i="61"/>
  <c r="R102" i="61"/>
  <c r="N102" i="61"/>
  <c r="M102" i="61"/>
  <c r="L102" i="61"/>
  <c r="K102" i="61"/>
  <c r="J102" i="61"/>
  <c r="I102" i="61"/>
  <c r="H102" i="61"/>
  <c r="G102" i="61"/>
  <c r="F102" i="61"/>
  <c r="E102" i="61"/>
  <c r="D102" i="61"/>
  <c r="C102" i="61"/>
  <c r="B102" i="61"/>
  <c r="A102" i="61"/>
  <c r="AB101" i="61"/>
  <c r="AA101" i="61"/>
  <c r="Z101" i="61"/>
  <c r="U101" i="61"/>
  <c r="T101" i="61"/>
  <c r="S101" i="61"/>
  <c r="R101" i="61"/>
  <c r="N101" i="61"/>
  <c r="M101" i="61"/>
  <c r="L101" i="61"/>
  <c r="K101" i="61"/>
  <c r="J101" i="61"/>
  <c r="O101" i="61" s="1"/>
  <c r="P101" i="61" s="1"/>
  <c r="V101" i="61" s="1"/>
  <c r="W101" i="61" s="1"/>
  <c r="I101" i="61"/>
  <c r="H101" i="61"/>
  <c r="G101" i="61"/>
  <c r="E101" i="61"/>
  <c r="F101" i="61"/>
  <c r="D101" i="61"/>
  <c r="C101" i="61"/>
  <c r="B101" i="61"/>
  <c r="A101" i="61"/>
  <c r="AB100" i="61"/>
  <c r="AA100" i="61"/>
  <c r="Z100" i="61"/>
  <c r="U100" i="61"/>
  <c r="T100" i="61"/>
  <c r="S100" i="61"/>
  <c r="R100" i="61"/>
  <c r="N100" i="61"/>
  <c r="M100" i="61"/>
  <c r="L100" i="61"/>
  <c r="K100" i="61"/>
  <c r="J100" i="61"/>
  <c r="I100" i="61"/>
  <c r="H100" i="61"/>
  <c r="E100" i="61"/>
  <c r="O100" i="61" s="1"/>
  <c r="P100" i="61" s="1"/>
  <c r="F100" i="61"/>
  <c r="G100" i="61"/>
  <c r="D100" i="61"/>
  <c r="C100" i="61"/>
  <c r="B100" i="61"/>
  <c r="A100" i="61"/>
  <c r="AB99" i="61"/>
  <c r="AA99" i="61"/>
  <c r="Z99" i="61"/>
  <c r="U99" i="61"/>
  <c r="T99" i="61"/>
  <c r="S99" i="61"/>
  <c r="R99" i="61"/>
  <c r="N99" i="61"/>
  <c r="M99" i="61"/>
  <c r="L99" i="61"/>
  <c r="K99" i="61"/>
  <c r="J99" i="61"/>
  <c r="I99" i="61"/>
  <c r="H99" i="61"/>
  <c r="G99" i="61"/>
  <c r="F99" i="61"/>
  <c r="E99" i="61"/>
  <c r="O99" i="61" s="1"/>
  <c r="D99" i="61"/>
  <c r="C99" i="61"/>
  <c r="B99" i="61"/>
  <c r="A99" i="61"/>
  <c r="AB98" i="61"/>
  <c r="AA98" i="61"/>
  <c r="Z98" i="61"/>
  <c r="U98" i="61"/>
  <c r="T98" i="61"/>
  <c r="S98" i="61"/>
  <c r="R98" i="61"/>
  <c r="N98" i="61"/>
  <c r="M98" i="61"/>
  <c r="L98" i="61"/>
  <c r="K98" i="61"/>
  <c r="J98" i="61"/>
  <c r="I98" i="61"/>
  <c r="O98" i="61" s="1"/>
  <c r="H98" i="61"/>
  <c r="G98" i="61"/>
  <c r="F98" i="61"/>
  <c r="E98" i="61"/>
  <c r="D98" i="61"/>
  <c r="C98" i="61"/>
  <c r="B98" i="61"/>
  <c r="A98" i="61"/>
  <c r="AB97" i="61"/>
  <c r="AA97" i="61"/>
  <c r="Z97" i="61"/>
  <c r="U97" i="61"/>
  <c r="T97" i="61"/>
  <c r="S97" i="61"/>
  <c r="R97" i="61"/>
  <c r="N97" i="61"/>
  <c r="M97" i="61"/>
  <c r="L97" i="61"/>
  <c r="K97" i="61"/>
  <c r="J97" i="61"/>
  <c r="I97" i="61"/>
  <c r="H97" i="61"/>
  <c r="G97" i="61"/>
  <c r="E97" i="61"/>
  <c r="O97" i="61" s="1"/>
  <c r="P97" i="61" s="1"/>
  <c r="V97" i="61" s="1"/>
  <c r="F97" i="61"/>
  <c r="D97" i="61"/>
  <c r="C97" i="61"/>
  <c r="B97" i="61"/>
  <c r="A97" i="61"/>
  <c r="AB94" i="61"/>
  <c r="AA94" i="61"/>
  <c r="Z94" i="61"/>
  <c r="U94" i="61"/>
  <c r="T94" i="61"/>
  <c r="S94" i="61"/>
  <c r="R94" i="61"/>
  <c r="N94" i="61"/>
  <c r="M94" i="61"/>
  <c r="L94" i="61"/>
  <c r="K94" i="61"/>
  <c r="O94" i="61" s="1"/>
  <c r="P94" i="61" s="1"/>
  <c r="Q94" i="61" s="1"/>
  <c r="J94" i="61"/>
  <c r="I94" i="61"/>
  <c r="H94" i="61"/>
  <c r="E94" i="61"/>
  <c r="F94" i="61"/>
  <c r="G94" i="61"/>
  <c r="D94" i="61"/>
  <c r="C94" i="61"/>
  <c r="B94" i="61"/>
  <c r="A94" i="61"/>
  <c r="AB93" i="61"/>
  <c r="AA93" i="61"/>
  <c r="Z93" i="61"/>
  <c r="U93" i="61"/>
  <c r="T93" i="61"/>
  <c r="S93" i="61"/>
  <c r="R93" i="61"/>
  <c r="N93" i="61"/>
  <c r="M93" i="61"/>
  <c r="L93" i="61"/>
  <c r="K93" i="61"/>
  <c r="J93" i="61"/>
  <c r="I93" i="61"/>
  <c r="H93" i="61"/>
  <c r="O93" i="61" s="1"/>
  <c r="P93" i="61" s="1"/>
  <c r="G93" i="61"/>
  <c r="F93" i="61"/>
  <c r="E93" i="61"/>
  <c r="D93" i="61"/>
  <c r="C93" i="61"/>
  <c r="B93" i="61"/>
  <c r="A93" i="61"/>
  <c r="AB92" i="61"/>
  <c r="AA92" i="61"/>
  <c r="Z92" i="61"/>
  <c r="U92" i="61"/>
  <c r="T92" i="61"/>
  <c r="S92" i="61"/>
  <c r="R92" i="61"/>
  <c r="N92" i="61"/>
  <c r="M92" i="61"/>
  <c r="L92" i="61"/>
  <c r="K92" i="61"/>
  <c r="J92" i="61"/>
  <c r="I92" i="61"/>
  <c r="H92" i="61"/>
  <c r="G92" i="61"/>
  <c r="F92" i="61"/>
  <c r="E92" i="61"/>
  <c r="O92" i="61" s="1"/>
  <c r="P92" i="61" s="1"/>
  <c r="Q92" i="61" s="1"/>
  <c r="D92" i="61"/>
  <c r="C92" i="61"/>
  <c r="B92" i="61"/>
  <c r="A92" i="61"/>
  <c r="AB91" i="61"/>
  <c r="AA91" i="61"/>
  <c r="Z91" i="61"/>
  <c r="U91" i="61"/>
  <c r="T91" i="61"/>
  <c r="S91" i="61"/>
  <c r="R91" i="61"/>
  <c r="N91" i="61"/>
  <c r="M91" i="61"/>
  <c r="L91" i="61"/>
  <c r="K91" i="61"/>
  <c r="J91" i="61"/>
  <c r="O91" i="61" s="1"/>
  <c r="P91" i="61" s="1"/>
  <c r="I91" i="61"/>
  <c r="H91" i="61"/>
  <c r="G91" i="61"/>
  <c r="E91" i="61"/>
  <c r="F91" i="61"/>
  <c r="D91" i="61"/>
  <c r="C91" i="61"/>
  <c r="B91" i="61"/>
  <c r="A91" i="61"/>
  <c r="AB90" i="61"/>
  <c r="AA90" i="61"/>
  <c r="Z90" i="61"/>
  <c r="U90" i="61"/>
  <c r="T90" i="61"/>
  <c r="S90" i="61"/>
  <c r="R90" i="61"/>
  <c r="N90" i="61"/>
  <c r="M90" i="61"/>
  <c r="L90" i="61"/>
  <c r="K90" i="61"/>
  <c r="J90" i="61"/>
  <c r="I90" i="61"/>
  <c r="O90" i="61" s="1"/>
  <c r="P90" i="61" s="1"/>
  <c r="H90" i="61"/>
  <c r="E90" i="61"/>
  <c r="F90" i="61"/>
  <c r="G90" i="61"/>
  <c r="D90" i="61"/>
  <c r="C90" i="61"/>
  <c r="B90" i="61"/>
  <c r="A90" i="61"/>
  <c r="AB89" i="61"/>
  <c r="AA89" i="61"/>
  <c r="Z89" i="61"/>
  <c r="U89" i="61"/>
  <c r="T89" i="61"/>
  <c r="S89" i="61"/>
  <c r="R89" i="61"/>
  <c r="N89" i="61"/>
  <c r="M89" i="61"/>
  <c r="L89" i="61"/>
  <c r="K89" i="61"/>
  <c r="J89" i="61"/>
  <c r="I89" i="61"/>
  <c r="H89" i="61"/>
  <c r="G89" i="61"/>
  <c r="E89" i="61"/>
  <c r="F89" i="61"/>
  <c r="D89" i="61"/>
  <c r="C89" i="61"/>
  <c r="B89" i="61"/>
  <c r="A89" i="61"/>
  <c r="AB88" i="61"/>
  <c r="AA88" i="61"/>
  <c r="Z88" i="61"/>
  <c r="U88" i="61"/>
  <c r="T88" i="61"/>
  <c r="S88" i="61"/>
  <c r="R88" i="61"/>
  <c r="N88" i="61"/>
  <c r="M88" i="61"/>
  <c r="L88" i="61"/>
  <c r="K88" i="61"/>
  <c r="J88" i="61"/>
  <c r="I88" i="61"/>
  <c r="H88" i="61"/>
  <c r="G88" i="61"/>
  <c r="F88" i="61"/>
  <c r="O88" i="61" s="1"/>
  <c r="E88" i="61"/>
  <c r="D88" i="61"/>
  <c r="C88" i="61"/>
  <c r="B88" i="61"/>
  <c r="A88" i="61"/>
  <c r="AB87" i="61"/>
  <c r="AA87" i="61"/>
  <c r="Z87" i="61"/>
  <c r="U87" i="61"/>
  <c r="T87" i="61"/>
  <c r="S87" i="61"/>
  <c r="R87" i="61"/>
  <c r="N87" i="61"/>
  <c r="M87" i="61"/>
  <c r="L87" i="61"/>
  <c r="K87" i="61"/>
  <c r="J87" i="61"/>
  <c r="I87" i="61"/>
  <c r="H87" i="61"/>
  <c r="G87" i="61"/>
  <c r="E87" i="61"/>
  <c r="F87" i="61"/>
  <c r="D87" i="61"/>
  <c r="C87" i="61"/>
  <c r="B87" i="61"/>
  <c r="A87" i="61"/>
  <c r="AB86" i="61"/>
  <c r="AA86" i="61"/>
  <c r="Z86" i="61"/>
  <c r="U86" i="61"/>
  <c r="T86" i="61"/>
  <c r="S86" i="61"/>
  <c r="R86" i="61"/>
  <c r="N86" i="61"/>
  <c r="M86" i="61"/>
  <c r="L86" i="61"/>
  <c r="K86" i="61"/>
  <c r="J86" i="61"/>
  <c r="I86" i="61"/>
  <c r="H86" i="61"/>
  <c r="O86" i="61" s="1"/>
  <c r="P86" i="61" s="1"/>
  <c r="E86" i="61"/>
  <c r="F86" i="61"/>
  <c r="G86" i="61"/>
  <c r="D86" i="61"/>
  <c r="C86" i="61"/>
  <c r="B86" i="61"/>
  <c r="A86" i="61"/>
  <c r="AB85" i="61"/>
  <c r="AA85" i="61"/>
  <c r="Z85" i="61"/>
  <c r="U85" i="61"/>
  <c r="T85" i="61"/>
  <c r="S85" i="61"/>
  <c r="R85" i="61"/>
  <c r="N85" i="61"/>
  <c r="M85" i="61"/>
  <c r="L85" i="61"/>
  <c r="K85" i="61"/>
  <c r="J85" i="61"/>
  <c r="I85" i="61"/>
  <c r="H85" i="61"/>
  <c r="G85" i="61"/>
  <c r="E85" i="61"/>
  <c r="F85" i="61"/>
  <c r="D85" i="61"/>
  <c r="C85" i="61"/>
  <c r="B85" i="61"/>
  <c r="A85" i="61"/>
  <c r="AB84" i="61"/>
  <c r="AA84" i="61"/>
  <c r="Z84" i="61"/>
  <c r="U84" i="61"/>
  <c r="T84" i="61"/>
  <c r="S84" i="61"/>
  <c r="R84" i="61"/>
  <c r="N84" i="61"/>
  <c r="M84" i="61"/>
  <c r="L84" i="61"/>
  <c r="K84" i="61"/>
  <c r="J84" i="61"/>
  <c r="I84" i="61"/>
  <c r="H84" i="61"/>
  <c r="G84" i="61"/>
  <c r="F84" i="61"/>
  <c r="E84" i="61"/>
  <c r="D84" i="61"/>
  <c r="C84" i="61"/>
  <c r="B84" i="61"/>
  <c r="A84" i="61"/>
  <c r="AB83" i="61"/>
  <c r="AA83" i="61"/>
  <c r="Z83" i="61"/>
  <c r="U83" i="61"/>
  <c r="T83" i="61"/>
  <c r="S83" i="61"/>
  <c r="R83" i="61"/>
  <c r="N83" i="61"/>
  <c r="M83" i="61"/>
  <c r="L83" i="61"/>
  <c r="K83" i="61"/>
  <c r="J83" i="61"/>
  <c r="I83" i="61"/>
  <c r="H83" i="61"/>
  <c r="G83" i="61"/>
  <c r="E83" i="61"/>
  <c r="F83" i="61"/>
  <c r="D83" i="61"/>
  <c r="C83" i="61"/>
  <c r="B83" i="61"/>
  <c r="A83" i="61"/>
  <c r="AB80" i="61"/>
  <c r="AA80" i="61"/>
  <c r="Z80" i="61"/>
  <c r="U80" i="61"/>
  <c r="T80" i="61"/>
  <c r="S80" i="61"/>
  <c r="R80" i="61"/>
  <c r="N80" i="61"/>
  <c r="M80" i="61"/>
  <c r="L80" i="61"/>
  <c r="K80" i="61"/>
  <c r="J80" i="61"/>
  <c r="I80" i="61"/>
  <c r="H80" i="61"/>
  <c r="E80" i="61"/>
  <c r="F80" i="61"/>
  <c r="O80" i="61" s="1"/>
  <c r="G80" i="61"/>
  <c r="D80" i="61"/>
  <c r="C80" i="61"/>
  <c r="B80" i="61"/>
  <c r="A80" i="61"/>
  <c r="AB79" i="61"/>
  <c r="AA79" i="61"/>
  <c r="Z79" i="61"/>
  <c r="U79" i="61"/>
  <c r="T79" i="61"/>
  <c r="S79" i="61"/>
  <c r="R79" i="61"/>
  <c r="N79" i="61"/>
  <c r="M79" i="61"/>
  <c r="L79" i="61"/>
  <c r="K79" i="61"/>
  <c r="J79" i="61"/>
  <c r="I79" i="61"/>
  <c r="H79" i="61"/>
  <c r="G79" i="61"/>
  <c r="F79" i="61"/>
  <c r="E79" i="61"/>
  <c r="D79" i="61"/>
  <c r="C79" i="61"/>
  <c r="B79" i="61"/>
  <c r="A79" i="61"/>
  <c r="AB78" i="61"/>
  <c r="AA78" i="61"/>
  <c r="Z78" i="61"/>
  <c r="U78" i="61"/>
  <c r="T78" i="61"/>
  <c r="S78" i="61"/>
  <c r="R78" i="61"/>
  <c r="N78" i="61"/>
  <c r="M78" i="61"/>
  <c r="L78" i="61"/>
  <c r="K78" i="61"/>
  <c r="J78" i="61"/>
  <c r="I78" i="61"/>
  <c r="H78" i="61"/>
  <c r="G78" i="61"/>
  <c r="F78" i="61"/>
  <c r="E78" i="61"/>
  <c r="D78" i="61"/>
  <c r="C78" i="61"/>
  <c r="B78" i="61"/>
  <c r="A78" i="61"/>
  <c r="AB77" i="61"/>
  <c r="AA77" i="61"/>
  <c r="Z77" i="61"/>
  <c r="U77" i="61"/>
  <c r="T77" i="61"/>
  <c r="S77" i="61"/>
  <c r="R77" i="61"/>
  <c r="N77" i="61"/>
  <c r="M77" i="61"/>
  <c r="L77" i="61"/>
  <c r="K77" i="61"/>
  <c r="J77" i="61"/>
  <c r="I77" i="61"/>
  <c r="H77" i="61"/>
  <c r="G77" i="61"/>
  <c r="E77" i="61"/>
  <c r="F77" i="61"/>
  <c r="D77" i="61"/>
  <c r="C77" i="61"/>
  <c r="B77" i="61"/>
  <c r="A77" i="61"/>
  <c r="AB76" i="61"/>
  <c r="AA76" i="61"/>
  <c r="Z76" i="61"/>
  <c r="U76" i="61"/>
  <c r="T76" i="61"/>
  <c r="S76" i="61"/>
  <c r="R76" i="61"/>
  <c r="N76" i="61"/>
  <c r="M76" i="61"/>
  <c r="L76" i="61"/>
  <c r="K76" i="61"/>
  <c r="J76" i="61"/>
  <c r="I76" i="61"/>
  <c r="O76" i="61" s="1"/>
  <c r="H76" i="61"/>
  <c r="E76" i="61"/>
  <c r="F76" i="61"/>
  <c r="G76" i="61"/>
  <c r="D76" i="61"/>
  <c r="C76" i="61"/>
  <c r="B76" i="61"/>
  <c r="A76" i="61"/>
  <c r="AB75" i="61"/>
  <c r="AA75" i="61"/>
  <c r="Z75" i="61"/>
  <c r="U75" i="61"/>
  <c r="T75" i="61"/>
  <c r="S75" i="61"/>
  <c r="R75" i="61"/>
  <c r="N75" i="61"/>
  <c r="M75" i="61"/>
  <c r="L75" i="61"/>
  <c r="K75" i="61"/>
  <c r="J75" i="61"/>
  <c r="I75" i="61"/>
  <c r="H75" i="61"/>
  <c r="G75" i="61"/>
  <c r="F75" i="61"/>
  <c r="O75" i="61" s="1"/>
  <c r="P75" i="61" s="1"/>
  <c r="E75" i="61"/>
  <c r="D75" i="61"/>
  <c r="C75" i="61"/>
  <c r="B75" i="61"/>
  <c r="A75" i="61"/>
  <c r="AB74" i="61"/>
  <c r="AA74" i="61"/>
  <c r="Z74" i="61"/>
  <c r="U74" i="61"/>
  <c r="T74" i="61"/>
  <c r="S74" i="61"/>
  <c r="R74" i="61"/>
  <c r="N74" i="61"/>
  <c r="M74" i="61"/>
  <c r="L74" i="61"/>
  <c r="K74" i="61"/>
  <c r="J74" i="61"/>
  <c r="I74" i="61"/>
  <c r="H74" i="61"/>
  <c r="G74" i="61"/>
  <c r="F74" i="61"/>
  <c r="E74" i="61"/>
  <c r="D74" i="61"/>
  <c r="C74" i="61"/>
  <c r="B74" i="61"/>
  <c r="A74" i="61"/>
  <c r="AB73" i="61"/>
  <c r="AA73" i="61"/>
  <c r="Z73" i="61"/>
  <c r="U73" i="61"/>
  <c r="T73" i="61"/>
  <c r="S73" i="61"/>
  <c r="R73" i="61"/>
  <c r="N73" i="61"/>
  <c r="M73" i="61"/>
  <c r="L73" i="61"/>
  <c r="K73" i="61"/>
  <c r="J73" i="61"/>
  <c r="I73" i="61"/>
  <c r="H73" i="61"/>
  <c r="G73" i="61"/>
  <c r="F73" i="61"/>
  <c r="E73" i="61"/>
  <c r="D73" i="61"/>
  <c r="C73" i="61"/>
  <c r="B73" i="61"/>
  <c r="A73" i="61"/>
  <c r="AB72" i="61"/>
  <c r="AA72" i="61"/>
  <c r="Z72" i="61"/>
  <c r="U72" i="61"/>
  <c r="T72" i="61"/>
  <c r="S72" i="61"/>
  <c r="R72" i="61"/>
  <c r="N72" i="61"/>
  <c r="M72" i="61"/>
  <c r="L72" i="61"/>
  <c r="K72" i="61"/>
  <c r="J72" i="61"/>
  <c r="I72" i="61"/>
  <c r="H72" i="61"/>
  <c r="G72" i="61"/>
  <c r="F72" i="61"/>
  <c r="E72" i="61"/>
  <c r="O72" i="61" s="1"/>
  <c r="P72" i="61" s="1"/>
  <c r="D72" i="61"/>
  <c r="C72" i="61"/>
  <c r="B72" i="61"/>
  <c r="A72" i="61"/>
  <c r="AB71" i="61"/>
  <c r="AA71" i="61"/>
  <c r="Z71" i="61"/>
  <c r="U71" i="61"/>
  <c r="T71" i="61"/>
  <c r="S71" i="61"/>
  <c r="R71" i="61"/>
  <c r="N71" i="61"/>
  <c r="M71" i="61"/>
  <c r="L71" i="61"/>
  <c r="K71" i="61"/>
  <c r="J71" i="61"/>
  <c r="I71" i="61"/>
  <c r="H71" i="61"/>
  <c r="G71" i="61"/>
  <c r="F71" i="61"/>
  <c r="E71" i="61"/>
  <c r="D71" i="61"/>
  <c r="C71" i="61"/>
  <c r="B71" i="61"/>
  <c r="A71" i="61"/>
  <c r="AB70" i="61"/>
  <c r="AA70" i="61"/>
  <c r="Z70" i="61"/>
  <c r="U70" i="61"/>
  <c r="T70" i="61"/>
  <c r="S70" i="61"/>
  <c r="R70" i="61"/>
  <c r="N70" i="61"/>
  <c r="M70" i="61"/>
  <c r="L70" i="61"/>
  <c r="K70" i="61"/>
  <c r="J70" i="61"/>
  <c r="I70" i="61"/>
  <c r="H70" i="61"/>
  <c r="E70" i="61"/>
  <c r="F70" i="61"/>
  <c r="G70" i="61"/>
  <c r="D70" i="61"/>
  <c r="C70" i="61"/>
  <c r="B70" i="61"/>
  <c r="A70" i="61"/>
  <c r="AB69" i="61"/>
  <c r="AA69" i="61"/>
  <c r="Z69" i="61"/>
  <c r="U69" i="61"/>
  <c r="T69" i="61"/>
  <c r="S69" i="61"/>
  <c r="R69" i="61"/>
  <c r="N69" i="61"/>
  <c r="M69" i="61"/>
  <c r="L69" i="61"/>
  <c r="K69" i="61"/>
  <c r="J69" i="61"/>
  <c r="I69" i="61"/>
  <c r="H69" i="61"/>
  <c r="G69" i="61"/>
  <c r="F69" i="61"/>
  <c r="E69" i="61"/>
  <c r="D69" i="61"/>
  <c r="C69" i="61"/>
  <c r="B69" i="61"/>
  <c r="A69" i="61"/>
  <c r="AB68" i="61"/>
  <c r="AA68" i="61"/>
  <c r="Z68" i="61"/>
  <c r="U68" i="61"/>
  <c r="T68" i="61"/>
  <c r="S68" i="61"/>
  <c r="R68" i="61"/>
  <c r="N68" i="61"/>
  <c r="M68" i="61"/>
  <c r="L68" i="61"/>
  <c r="K68" i="61"/>
  <c r="J68" i="61"/>
  <c r="I68" i="61"/>
  <c r="H68" i="61"/>
  <c r="E68" i="61"/>
  <c r="F68" i="61"/>
  <c r="G68" i="61"/>
  <c r="D68" i="61"/>
  <c r="C68" i="61"/>
  <c r="B68" i="61"/>
  <c r="A68" i="61"/>
  <c r="AB65" i="61"/>
  <c r="AA65" i="61"/>
  <c r="Z65" i="61"/>
  <c r="U65" i="61"/>
  <c r="T65" i="61"/>
  <c r="S65" i="61"/>
  <c r="R65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B65" i="61"/>
  <c r="A65" i="61"/>
  <c r="AB64" i="61"/>
  <c r="AA64" i="61"/>
  <c r="Z64" i="61"/>
  <c r="U64" i="61"/>
  <c r="T64" i="61"/>
  <c r="S64" i="61"/>
  <c r="R64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B64" i="61"/>
  <c r="A64" i="61"/>
  <c r="AB63" i="61"/>
  <c r="AA63" i="61"/>
  <c r="Z63" i="61"/>
  <c r="U63" i="61"/>
  <c r="T63" i="61"/>
  <c r="S63" i="61"/>
  <c r="R63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B63" i="61"/>
  <c r="A63" i="61"/>
  <c r="AB62" i="61"/>
  <c r="AA62" i="61"/>
  <c r="Z62" i="61"/>
  <c r="U62" i="61"/>
  <c r="T62" i="61"/>
  <c r="S62" i="61"/>
  <c r="R62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B62" i="61"/>
  <c r="A62" i="61"/>
  <c r="AB61" i="61"/>
  <c r="AA61" i="61"/>
  <c r="Z61" i="61"/>
  <c r="U61" i="61"/>
  <c r="T61" i="61"/>
  <c r="S61" i="61"/>
  <c r="R61" i="61"/>
  <c r="N61" i="61"/>
  <c r="M61" i="61"/>
  <c r="L61" i="61"/>
  <c r="K61" i="61"/>
  <c r="O61" i="61" s="1"/>
  <c r="P61" i="61" s="1"/>
  <c r="Q61" i="61" s="1"/>
  <c r="J61" i="61"/>
  <c r="I61" i="61"/>
  <c r="H61" i="61"/>
  <c r="G61" i="61"/>
  <c r="F61" i="61"/>
  <c r="E61" i="61"/>
  <c r="D61" i="61"/>
  <c r="C61" i="61"/>
  <c r="B61" i="61"/>
  <c r="A61" i="61"/>
  <c r="AB60" i="61"/>
  <c r="AA60" i="61"/>
  <c r="Z60" i="61"/>
  <c r="U60" i="61"/>
  <c r="T60" i="61"/>
  <c r="S60" i="61"/>
  <c r="R60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B60" i="61"/>
  <c r="A60" i="61"/>
  <c r="AB59" i="61"/>
  <c r="AA59" i="61"/>
  <c r="Z59" i="61"/>
  <c r="U59" i="61"/>
  <c r="T59" i="61"/>
  <c r="S59" i="61"/>
  <c r="R59" i="61"/>
  <c r="N59" i="61"/>
  <c r="M59" i="61"/>
  <c r="L59" i="61"/>
  <c r="K59" i="61"/>
  <c r="J59" i="61"/>
  <c r="I59" i="61"/>
  <c r="H59" i="61"/>
  <c r="G59" i="61"/>
  <c r="E59" i="61"/>
  <c r="F59" i="61"/>
  <c r="D59" i="61"/>
  <c r="C59" i="61"/>
  <c r="B59" i="61"/>
  <c r="A59" i="61"/>
  <c r="AB58" i="61"/>
  <c r="AA58" i="61"/>
  <c r="Z58" i="61"/>
  <c r="U58" i="61"/>
  <c r="T58" i="61"/>
  <c r="S58" i="61"/>
  <c r="R58" i="61"/>
  <c r="N58" i="61"/>
  <c r="M58" i="61"/>
  <c r="L58" i="61"/>
  <c r="K58" i="61"/>
  <c r="J58" i="61"/>
  <c r="I58" i="61"/>
  <c r="H58" i="61"/>
  <c r="G58" i="61"/>
  <c r="F58" i="61"/>
  <c r="E58" i="61"/>
  <c r="D58" i="61"/>
  <c r="C58" i="61"/>
  <c r="B58" i="61"/>
  <c r="A58" i="61"/>
  <c r="AB57" i="61"/>
  <c r="AA57" i="61"/>
  <c r="Z57" i="61"/>
  <c r="U57" i="61"/>
  <c r="T57" i="61"/>
  <c r="S57" i="61"/>
  <c r="R57" i="61"/>
  <c r="N57" i="61"/>
  <c r="M57" i="61"/>
  <c r="L57" i="61"/>
  <c r="K57" i="61"/>
  <c r="J57" i="61"/>
  <c r="I57" i="61"/>
  <c r="H57" i="61"/>
  <c r="G57" i="61"/>
  <c r="F57" i="61"/>
  <c r="E57" i="61"/>
  <c r="D57" i="61"/>
  <c r="C57" i="61"/>
  <c r="B57" i="61"/>
  <c r="A57" i="61"/>
  <c r="AB56" i="61"/>
  <c r="AA56" i="61"/>
  <c r="Z56" i="61"/>
  <c r="U56" i="61"/>
  <c r="T56" i="61"/>
  <c r="S56" i="61"/>
  <c r="R56" i="61"/>
  <c r="N56" i="61"/>
  <c r="M56" i="61"/>
  <c r="L56" i="61"/>
  <c r="K56" i="61"/>
  <c r="J56" i="61"/>
  <c r="I56" i="61"/>
  <c r="H56" i="61"/>
  <c r="G56" i="61"/>
  <c r="F56" i="61"/>
  <c r="E56" i="61"/>
  <c r="D56" i="61"/>
  <c r="C56" i="61"/>
  <c r="B56" i="61"/>
  <c r="A56" i="61"/>
  <c r="AB55" i="61"/>
  <c r="AA55" i="61"/>
  <c r="Z55" i="61"/>
  <c r="U55" i="61"/>
  <c r="T55" i="61"/>
  <c r="S55" i="61"/>
  <c r="R55" i="61"/>
  <c r="N55" i="61"/>
  <c r="M55" i="61"/>
  <c r="L55" i="61"/>
  <c r="K55" i="61"/>
  <c r="J55" i="61"/>
  <c r="I55" i="61"/>
  <c r="H55" i="61"/>
  <c r="G55" i="61"/>
  <c r="F55" i="61"/>
  <c r="E55" i="61"/>
  <c r="D55" i="61"/>
  <c r="C55" i="61"/>
  <c r="B55" i="61"/>
  <c r="A55" i="61"/>
  <c r="AB54" i="61"/>
  <c r="AA54" i="61"/>
  <c r="Z54" i="61"/>
  <c r="U54" i="61"/>
  <c r="T54" i="61"/>
  <c r="S54" i="61"/>
  <c r="R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B54" i="61"/>
  <c r="A54" i="61"/>
  <c r="AB53" i="61"/>
  <c r="AA53" i="61"/>
  <c r="Z53" i="61"/>
  <c r="U53" i="61"/>
  <c r="T53" i="61"/>
  <c r="S53" i="61"/>
  <c r="R53" i="61"/>
  <c r="N53" i="61"/>
  <c r="M53" i="61"/>
  <c r="L53" i="61"/>
  <c r="K53" i="61"/>
  <c r="J53" i="61"/>
  <c r="I53" i="61"/>
  <c r="H53" i="61"/>
  <c r="G53" i="61"/>
  <c r="F53" i="61"/>
  <c r="E53" i="61"/>
  <c r="D53" i="61"/>
  <c r="C53" i="61"/>
  <c r="B53" i="61"/>
  <c r="A53" i="61"/>
  <c r="AB50" i="61"/>
  <c r="AA50" i="61"/>
  <c r="Z50" i="61"/>
  <c r="U50" i="61"/>
  <c r="T50" i="61"/>
  <c r="S50" i="61"/>
  <c r="R50" i="61"/>
  <c r="N50" i="61"/>
  <c r="M50" i="61"/>
  <c r="L50" i="61"/>
  <c r="K50" i="61"/>
  <c r="J50" i="61"/>
  <c r="I50" i="61"/>
  <c r="H50" i="61"/>
  <c r="O50" i="61" s="1"/>
  <c r="G50" i="61"/>
  <c r="F50" i="61"/>
  <c r="E50" i="61"/>
  <c r="D50" i="61"/>
  <c r="C50" i="61"/>
  <c r="B50" i="61"/>
  <c r="A50" i="61"/>
  <c r="AB49" i="61"/>
  <c r="AA49" i="61"/>
  <c r="Z49" i="61"/>
  <c r="U49" i="61"/>
  <c r="T49" i="61"/>
  <c r="S49" i="61"/>
  <c r="R49" i="61"/>
  <c r="N49" i="61"/>
  <c r="M49" i="61"/>
  <c r="L49" i="61"/>
  <c r="K49" i="61"/>
  <c r="J49" i="61"/>
  <c r="I49" i="61"/>
  <c r="H49" i="61"/>
  <c r="G49" i="61"/>
  <c r="F49" i="61"/>
  <c r="E49" i="61"/>
  <c r="D49" i="61"/>
  <c r="C49" i="61"/>
  <c r="B49" i="61"/>
  <c r="A49" i="61"/>
  <c r="AB48" i="61"/>
  <c r="AA48" i="61"/>
  <c r="Z48" i="61"/>
  <c r="U48" i="61"/>
  <c r="T48" i="61"/>
  <c r="S48" i="61"/>
  <c r="R48" i="61"/>
  <c r="N48" i="61"/>
  <c r="M48" i="61"/>
  <c r="L48" i="61"/>
  <c r="K48" i="61"/>
  <c r="J48" i="61"/>
  <c r="I48" i="61"/>
  <c r="H48" i="61"/>
  <c r="G48" i="61"/>
  <c r="F48" i="61"/>
  <c r="E48" i="61"/>
  <c r="D48" i="61"/>
  <c r="C48" i="61"/>
  <c r="B48" i="61"/>
  <c r="A48" i="61"/>
  <c r="AB47" i="61"/>
  <c r="AA47" i="61"/>
  <c r="Z47" i="61"/>
  <c r="U47" i="61"/>
  <c r="T47" i="61"/>
  <c r="S47" i="61"/>
  <c r="R47" i="61"/>
  <c r="N47" i="61"/>
  <c r="M47" i="61"/>
  <c r="L47" i="61"/>
  <c r="K47" i="61"/>
  <c r="J47" i="61"/>
  <c r="I47" i="61"/>
  <c r="H47" i="61"/>
  <c r="G47" i="61"/>
  <c r="F47" i="61"/>
  <c r="E47" i="61"/>
  <c r="D47" i="61"/>
  <c r="C47" i="61"/>
  <c r="B47" i="61"/>
  <c r="A47" i="61"/>
  <c r="AB46" i="61"/>
  <c r="AA46" i="61"/>
  <c r="Z46" i="61"/>
  <c r="U46" i="61"/>
  <c r="T46" i="61"/>
  <c r="S46" i="61"/>
  <c r="R46" i="61"/>
  <c r="N46" i="61"/>
  <c r="M46" i="61"/>
  <c r="L46" i="61"/>
  <c r="K46" i="61"/>
  <c r="J46" i="61"/>
  <c r="I46" i="61"/>
  <c r="H46" i="61"/>
  <c r="G46" i="61"/>
  <c r="F46" i="61"/>
  <c r="E46" i="61"/>
  <c r="D46" i="61"/>
  <c r="C46" i="61"/>
  <c r="B46" i="61"/>
  <c r="A46" i="61"/>
  <c r="AB45" i="61"/>
  <c r="AA45" i="61"/>
  <c r="Z45" i="61"/>
  <c r="U45" i="61"/>
  <c r="T45" i="61"/>
  <c r="S45" i="61"/>
  <c r="R45" i="61"/>
  <c r="N45" i="61"/>
  <c r="M45" i="61"/>
  <c r="L45" i="61"/>
  <c r="K45" i="61"/>
  <c r="J45" i="61"/>
  <c r="I45" i="61"/>
  <c r="H45" i="61"/>
  <c r="G45" i="61"/>
  <c r="F45" i="61"/>
  <c r="E45" i="61"/>
  <c r="D45" i="61"/>
  <c r="C45" i="61"/>
  <c r="B45" i="61"/>
  <c r="A45" i="61"/>
  <c r="AB44" i="61"/>
  <c r="AA44" i="61"/>
  <c r="Z44" i="61"/>
  <c r="U44" i="61"/>
  <c r="T44" i="61"/>
  <c r="S44" i="61"/>
  <c r="R44" i="61"/>
  <c r="N44" i="61"/>
  <c r="M44" i="61"/>
  <c r="L44" i="61"/>
  <c r="K44" i="61"/>
  <c r="J44" i="61"/>
  <c r="I44" i="61"/>
  <c r="H44" i="61"/>
  <c r="G44" i="61"/>
  <c r="F44" i="61"/>
  <c r="E44" i="61"/>
  <c r="D44" i="61"/>
  <c r="C44" i="61"/>
  <c r="B44" i="61"/>
  <c r="A44" i="61"/>
  <c r="AB43" i="61"/>
  <c r="AA43" i="61"/>
  <c r="Z43" i="61"/>
  <c r="U43" i="61"/>
  <c r="T43" i="61"/>
  <c r="S43" i="61"/>
  <c r="R43" i="61"/>
  <c r="N43" i="61"/>
  <c r="M43" i="61"/>
  <c r="L43" i="61"/>
  <c r="K43" i="61"/>
  <c r="J43" i="61"/>
  <c r="I43" i="61"/>
  <c r="H43" i="61"/>
  <c r="G43" i="61"/>
  <c r="F43" i="61"/>
  <c r="E43" i="61"/>
  <c r="D43" i="61"/>
  <c r="C43" i="61"/>
  <c r="B43" i="61"/>
  <c r="A43" i="61"/>
  <c r="AB42" i="61"/>
  <c r="AA42" i="61"/>
  <c r="Z42" i="61"/>
  <c r="U42" i="61"/>
  <c r="T42" i="61"/>
  <c r="S42" i="61"/>
  <c r="R42" i="61"/>
  <c r="N42" i="61"/>
  <c r="M42" i="61"/>
  <c r="L42" i="61"/>
  <c r="K42" i="61"/>
  <c r="J42" i="61"/>
  <c r="I42" i="61"/>
  <c r="H42" i="61"/>
  <c r="O42" i="61" s="1"/>
  <c r="G42" i="61"/>
  <c r="F42" i="61"/>
  <c r="E42" i="61"/>
  <c r="D42" i="61"/>
  <c r="C42" i="61"/>
  <c r="B42" i="61"/>
  <c r="A42" i="61"/>
  <c r="AB41" i="61"/>
  <c r="AA41" i="61"/>
  <c r="Z41" i="61"/>
  <c r="U41" i="61"/>
  <c r="T41" i="61"/>
  <c r="S41" i="61"/>
  <c r="R41" i="61"/>
  <c r="N41" i="61"/>
  <c r="M41" i="61"/>
  <c r="L41" i="61"/>
  <c r="K41" i="61"/>
  <c r="J41" i="61"/>
  <c r="I41" i="61"/>
  <c r="H41" i="61"/>
  <c r="G41" i="61"/>
  <c r="F41" i="61"/>
  <c r="E41" i="61"/>
  <c r="D41" i="61"/>
  <c r="C41" i="61"/>
  <c r="B41" i="61"/>
  <c r="A41" i="61"/>
  <c r="AB40" i="61"/>
  <c r="AA40" i="61"/>
  <c r="Z40" i="61"/>
  <c r="U40" i="61"/>
  <c r="T40" i="61"/>
  <c r="S40" i="61"/>
  <c r="R40" i="61"/>
  <c r="N40" i="61"/>
  <c r="M40" i="61"/>
  <c r="L40" i="61"/>
  <c r="K40" i="61"/>
  <c r="J40" i="61"/>
  <c r="I40" i="61"/>
  <c r="H40" i="61"/>
  <c r="G40" i="61"/>
  <c r="F40" i="61"/>
  <c r="E40" i="61"/>
  <c r="D40" i="61"/>
  <c r="C40" i="61"/>
  <c r="B40" i="61"/>
  <c r="A40" i="61"/>
  <c r="AB39" i="61"/>
  <c r="AA39" i="61"/>
  <c r="Z39" i="61"/>
  <c r="U39" i="61"/>
  <c r="T39" i="61"/>
  <c r="S39" i="61"/>
  <c r="R39" i="61"/>
  <c r="N39" i="61"/>
  <c r="M39" i="61"/>
  <c r="L39" i="61"/>
  <c r="K39" i="61"/>
  <c r="J39" i="61"/>
  <c r="I39" i="61"/>
  <c r="H39" i="61"/>
  <c r="G39" i="61"/>
  <c r="O39" i="61" s="1"/>
  <c r="F39" i="61"/>
  <c r="E39" i="61"/>
  <c r="D39" i="61"/>
  <c r="C39" i="61"/>
  <c r="B39" i="61"/>
  <c r="A39" i="61"/>
  <c r="AB38" i="61"/>
  <c r="AA38" i="61"/>
  <c r="Z38" i="61"/>
  <c r="U38" i="61"/>
  <c r="T38" i="61"/>
  <c r="S38" i="61"/>
  <c r="R38" i="61"/>
  <c r="N38" i="61"/>
  <c r="M38" i="61"/>
  <c r="L38" i="61"/>
  <c r="K38" i="61"/>
  <c r="J38" i="61"/>
  <c r="I38" i="61"/>
  <c r="H38" i="61"/>
  <c r="G38" i="61"/>
  <c r="F38" i="61"/>
  <c r="E38" i="61"/>
  <c r="D38" i="61"/>
  <c r="C38" i="61"/>
  <c r="B38" i="61"/>
  <c r="A38" i="61"/>
  <c r="AB35" i="61"/>
  <c r="AA35" i="61"/>
  <c r="Z35" i="61"/>
  <c r="U35" i="61"/>
  <c r="T35" i="61"/>
  <c r="S35" i="61"/>
  <c r="R35" i="61"/>
  <c r="N35" i="61"/>
  <c r="M35" i="61"/>
  <c r="L35" i="61"/>
  <c r="K35" i="61"/>
  <c r="J35" i="61"/>
  <c r="I35" i="61"/>
  <c r="H35" i="61"/>
  <c r="G35" i="61"/>
  <c r="F35" i="61"/>
  <c r="E35" i="61"/>
  <c r="D35" i="61"/>
  <c r="C35" i="61"/>
  <c r="B35" i="61"/>
  <c r="A35" i="61"/>
  <c r="AB34" i="61"/>
  <c r="AA34" i="61"/>
  <c r="Z34" i="61"/>
  <c r="U34" i="61"/>
  <c r="T34" i="61"/>
  <c r="S34" i="61"/>
  <c r="R34" i="61"/>
  <c r="N34" i="61"/>
  <c r="M34" i="61"/>
  <c r="L34" i="61"/>
  <c r="K34" i="61"/>
  <c r="J34" i="61"/>
  <c r="I34" i="61"/>
  <c r="H34" i="61"/>
  <c r="G34" i="61"/>
  <c r="F34" i="61"/>
  <c r="E34" i="61"/>
  <c r="D34" i="61"/>
  <c r="C34" i="61"/>
  <c r="B34" i="61"/>
  <c r="A34" i="61"/>
  <c r="AB33" i="61"/>
  <c r="AA33" i="61"/>
  <c r="Z33" i="61"/>
  <c r="U33" i="61"/>
  <c r="T33" i="61"/>
  <c r="S33" i="61"/>
  <c r="R33" i="61"/>
  <c r="N33" i="61"/>
  <c r="M33" i="61"/>
  <c r="L33" i="61"/>
  <c r="K33" i="61"/>
  <c r="J33" i="61"/>
  <c r="I33" i="61"/>
  <c r="H33" i="61"/>
  <c r="G33" i="61"/>
  <c r="F33" i="61"/>
  <c r="E33" i="61"/>
  <c r="O33" i="61" s="1"/>
  <c r="D33" i="61"/>
  <c r="C33" i="61"/>
  <c r="B33" i="61"/>
  <c r="A33" i="61"/>
  <c r="AB32" i="61"/>
  <c r="AA32" i="61"/>
  <c r="Z32" i="61"/>
  <c r="U32" i="61"/>
  <c r="T32" i="61"/>
  <c r="S32" i="61"/>
  <c r="R32" i="61"/>
  <c r="N32" i="61"/>
  <c r="M32" i="61"/>
  <c r="L32" i="61"/>
  <c r="K32" i="61"/>
  <c r="J32" i="61"/>
  <c r="I32" i="61"/>
  <c r="H32" i="61"/>
  <c r="G32" i="61"/>
  <c r="F32" i="61"/>
  <c r="E32" i="61"/>
  <c r="D32" i="61"/>
  <c r="C32" i="61"/>
  <c r="B32" i="61"/>
  <c r="A32" i="61"/>
  <c r="AB31" i="61"/>
  <c r="AA31" i="61"/>
  <c r="Z31" i="61"/>
  <c r="U31" i="61"/>
  <c r="T31" i="61"/>
  <c r="S31" i="61"/>
  <c r="R31" i="61"/>
  <c r="N31" i="61"/>
  <c r="M31" i="61"/>
  <c r="L31" i="61"/>
  <c r="K31" i="61"/>
  <c r="J31" i="61"/>
  <c r="I31" i="61"/>
  <c r="H31" i="61"/>
  <c r="G31" i="61"/>
  <c r="E31" i="61"/>
  <c r="F31" i="61"/>
  <c r="D31" i="61"/>
  <c r="C31" i="61"/>
  <c r="B31" i="61"/>
  <c r="A31" i="61"/>
  <c r="AB30" i="61"/>
  <c r="AA30" i="61"/>
  <c r="Z30" i="61"/>
  <c r="U30" i="61"/>
  <c r="T30" i="61"/>
  <c r="S30" i="61"/>
  <c r="R30" i="61"/>
  <c r="N30" i="61"/>
  <c r="M30" i="61"/>
  <c r="L30" i="61"/>
  <c r="K30" i="61"/>
  <c r="J30" i="61"/>
  <c r="O30" i="61" s="1"/>
  <c r="I30" i="61"/>
  <c r="H30" i="61"/>
  <c r="E30" i="61"/>
  <c r="F30" i="61"/>
  <c r="G30" i="61"/>
  <c r="D30" i="61"/>
  <c r="C30" i="61"/>
  <c r="B30" i="61"/>
  <c r="A30" i="61"/>
  <c r="AB29" i="61"/>
  <c r="AA29" i="61"/>
  <c r="Z29" i="61"/>
  <c r="U29" i="61"/>
  <c r="T29" i="61"/>
  <c r="S29" i="61"/>
  <c r="R29" i="61"/>
  <c r="N29" i="61"/>
  <c r="M29" i="61"/>
  <c r="L29" i="61"/>
  <c r="K29" i="61"/>
  <c r="J29" i="61"/>
  <c r="I29" i="61"/>
  <c r="H29" i="61"/>
  <c r="G29" i="61"/>
  <c r="O29" i="61" s="1"/>
  <c r="F29" i="61"/>
  <c r="E29" i="61"/>
  <c r="D29" i="61"/>
  <c r="C29" i="61"/>
  <c r="B29" i="61"/>
  <c r="A29" i="61"/>
  <c r="AB28" i="61"/>
  <c r="AA28" i="61"/>
  <c r="Z28" i="61"/>
  <c r="U28" i="61"/>
  <c r="T28" i="61"/>
  <c r="S28" i="61"/>
  <c r="R28" i="61"/>
  <c r="N28" i="61"/>
  <c r="M28" i="61"/>
  <c r="L28" i="61"/>
  <c r="K28" i="61"/>
  <c r="J28" i="61"/>
  <c r="I28" i="61"/>
  <c r="H28" i="61"/>
  <c r="G28" i="61"/>
  <c r="F28" i="61"/>
  <c r="E28" i="61"/>
  <c r="D28" i="61"/>
  <c r="C28" i="61"/>
  <c r="B28" i="61"/>
  <c r="A28" i="61"/>
  <c r="AB27" i="61"/>
  <c r="AA27" i="61"/>
  <c r="Z27" i="61"/>
  <c r="U27" i="61"/>
  <c r="T27" i="61"/>
  <c r="S27" i="61"/>
  <c r="R27" i="61"/>
  <c r="N27" i="61"/>
  <c r="M27" i="61"/>
  <c r="L27" i="61"/>
  <c r="K27" i="61"/>
  <c r="J27" i="61"/>
  <c r="I27" i="61"/>
  <c r="O27" i="61" s="1"/>
  <c r="H27" i="61"/>
  <c r="G27" i="61"/>
  <c r="E27" i="61"/>
  <c r="F27" i="61"/>
  <c r="D27" i="61"/>
  <c r="C27" i="61"/>
  <c r="B27" i="61"/>
  <c r="A27" i="61"/>
  <c r="AB26" i="61"/>
  <c r="AA26" i="61"/>
  <c r="Z26" i="61"/>
  <c r="U26" i="61"/>
  <c r="T26" i="61"/>
  <c r="S26" i="61"/>
  <c r="R26" i="61"/>
  <c r="N26" i="61"/>
  <c r="M26" i="61"/>
  <c r="L26" i="61"/>
  <c r="K26" i="61"/>
  <c r="J26" i="61"/>
  <c r="I26" i="61"/>
  <c r="H26" i="61"/>
  <c r="G26" i="61"/>
  <c r="F26" i="61"/>
  <c r="O26" i="61" s="1"/>
  <c r="E26" i="61"/>
  <c r="D26" i="61"/>
  <c r="C26" i="61"/>
  <c r="B26" i="61"/>
  <c r="A26" i="61"/>
  <c r="AB25" i="61"/>
  <c r="AA25" i="61"/>
  <c r="Z25" i="61"/>
  <c r="U25" i="61"/>
  <c r="T25" i="61"/>
  <c r="S25" i="61"/>
  <c r="R25" i="61"/>
  <c r="N25" i="61"/>
  <c r="M25" i="61"/>
  <c r="L25" i="61"/>
  <c r="K25" i="61"/>
  <c r="J25" i="61"/>
  <c r="I25" i="61"/>
  <c r="H25" i="61"/>
  <c r="G25" i="61"/>
  <c r="F25" i="61"/>
  <c r="E25" i="61"/>
  <c r="D25" i="61"/>
  <c r="C25" i="61"/>
  <c r="B25" i="61"/>
  <c r="A25" i="61"/>
  <c r="AB24" i="61"/>
  <c r="AA24" i="61"/>
  <c r="Z24" i="61"/>
  <c r="U24" i="61"/>
  <c r="T24" i="61"/>
  <c r="S24" i="61"/>
  <c r="R24" i="61"/>
  <c r="N24" i="61"/>
  <c r="M24" i="61"/>
  <c r="L24" i="61"/>
  <c r="K24" i="61"/>
  <c r="J24" i="61"/>
  <c r="I24" i="61"/>
  <c r="H24" i="61"/>
  <c r="G24" i="61"/>
  <c r="F24" i="61"/>
  <c r="E24" i="61"/>
  <c r="O24" i="61" s="1"/>
  <c r="P24" i="61" s="1"/>
  <c r="Q24" i="61" s="1"/>
  <c r="D24" i="61"/>
  <c r="C24" i="61"/>
  <c r="B24" i="61"/>
  <c r="A24" i="61"/>
  <c r="AB23" i="61"/>
  <c r="AA23" i="61"/>
  <c r="Z23" i="61"/>
  <c r="U23" i="61"/>
  <c r="T23" i="61"/>
  <c r="S23" i="61"/>
  <c r="R23" i="61"/>
  <c r="N23" i="61"/>
  <c r="M23" i="61"/>
  <c r="L23" i="61"/>
  <c r="K23" i="61"/>
  <c r="J23" i="61"/>
  <c r="O23" i="61" s="1"/>
  <c r="P23" i="61" s="1"/>
  <c r="Q23" i="61" s="1"/>
  <c r="I23" i="61"/>
  <c r="H23" i="61"/>
  <c r="G23" i="61"/>
  <c r="F23" i="61"/>
  <c r="E23" i="61"/>
  <c r="D23" i="61"/>
  <c r="C23" i="61"/>
  <c r="B23" i="61"/>
  <c r="A23" i="61"/>
  <c r="AB20" i="61"/>
  <c r="AA20" i="61"/>
  <c r="Z20" i="61"/>
  <c r="U20" i="61"/>
  <c r="T20" i="61"/>
  <c r="S20" i="61"/>
  <c r="R20" i="61"/>
  <c r="N20" i="61"/>
  <c r="M20" i="61"/>
  <c r="L20" i="61"/>
  <c r="K20" i="61"/>
  <c r="J20" i="61"/>
  <c r="I20" i="61"/>
  <c r="H20" i="61"/>
  <c r="G20" i="61"/>
  <c r="O20" i="61" s="1"/>
  <c r="P20" i="61" s="1"/>
  <c r="F20" i="61"/>
  <c r="D20" i="61"/>
  <c r="C20" i="61"/>
  <c r="B20" i="61"/>
  <c r="A20" i="61"/>
  <c r="AB19" i="61"/>
  <c r="AA19" i="61"/>
  <c r="Z19" i="61"/>
  <c r="U19" i="61"/>
  <c r="T19" i="61"/>
  <c r="S19" i="61"/>
  <c r="R19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B19" i="61"/>
  <c r="A19" i="61"/>
  <c r="AB18" i="61"/>
  <c r="AA18" i="61"/>
  <c r="Z18" i="61"/>
  <c r="U18" i="61"/>
  <c r="T18" i="61"/>
  <c r="S18" i="61"/>
  <c r="R18" i="61"/>
  <c r="N18" i="61"/>
  <c r="M18" i="61"/>
  <c r="L18" i="61"/>
  <c r="K18" i="61"/>
  <c r="J18" i="61"/>
  <c r="I18" i="61"/>
  <c r="H18" i="61"/>
  <c r="G18" i="61"/>
  <c r="F18" i="61"/>
  <c r="E18" i="61"/>
  <c r="D18" i="61"/>
  <c r="C18" i="61"/>
  <c r="B18" i="61"/>
  <c r="A18" i="61"/>
  <c r="AB17" i="61"/>
  <c r="AA17" i="61"/>
  <c r="Z17" i="61"/>
  <c r="U17" i="61"/>
  <c r="T17" i="61"/>
  <c r="S17" i="61"/>
  <c r="R17" i="61"/>
  <c r="N17" i="61"/>
  <c r="M17" i="61"/>
  <c r="L17" i="61"/>
  <c r="K17" i="61"/>
  <c r="J17" i="61"/>
  <c r="I17" i="61"/>
  <c r="H17" i="61"/>
  <c r="G17" i="61"/>
  <c r="E17" i="61"/>
  <c r="F17" i="61"/>
  <c r="O17" i="61" s="1"/>
  <c r="P17" i="61" s="1"/>
  <c r="V17" i="61" s="1"/>
  <c r="D17" i="61"/>
  <c r="C17" i="61"/>
  <c r="B17" i="61"/>
  <c r="A17" i="61"/>
  <c r="AB16" i="61"/>
  <c r="AA16" i="61"/>
  <c r="Z16" i="61"/>
  <c r="U16" i="61"/>
  <c r="T16" i="61"/>
  <c r="S16" i="61"/>
  <c r="R16" i="61"/>
  <c r="N16" i="61"/>
  <c r="M16" i="61"/>
  <c r="L16" i="61"/>
  <c r="K16" i="61"/>
  <c r="J16" i="61"/>
  <c r="O16" i="61" s="1"/>
  <c r="P16" i="61" s="1"/>
  <c r="I16" i="61"/>
  <c r="H16" i="61"/>
  <c r="G16" i="61"/>
  <c r="F16" i="61"/>
  <c r="E16" i="61"/>
  <c r="D16" i="61"/>
  <c r="C16" i="61"/>
  <c r="B16" i="61"/>
  <c r="A16" i="61"/>
  <c r="AB15" i="61"/>
  <c r="AA15" i="61"/>
  <c r="Z15" i="61"/>
  <c r="U15" i="61"/>
  <c r="T15" i="61"/>
  <c r="S15" i="61"/>
  <c r="R15" i="61"/>
  <c r="N15" i="61"/>
  <c r="M15" i="61"/>
  <c r="L15" i="61"/>
  <c r="K15" i="61"/>
  <c r="J15" i="61"/>
  <c r="I15" i="61"/>
  <c r="H15" i="61"/>
  <c r="G15" i="61"/>
  <c r="O15" i="61" s="1"/>
  <c r="F15" i="61"/>
  <c r="E15" i="61"/>
  <c r="D15" i="61"/>
  <c r="C15" i="61"/>
  <c r="B15" i="61"/>
  <c r="A15" i="61"/>
  <c r="AB14" i="61"/>
  <c r="AA14" i="61"/>
  <c r="Z14" i="61"/>
  <c r="U14" i="61"/>
  <c r="T14" i="61"/>
  <c r="S14" i="61"/>
  <c r="R14" i="61"/>
  <c r="N14" i="61"/>
  <c r="M14" i="61"/>
  <c r="L14" i="61"/>
  <c r="K14" i="61"/>
  <c r="J14" i="61"/>
  <c r="I14" i="61"/>
  <c r="H14" i="61"/>
  <c r="G14" i="61"/>
  <c r="F14" i="61"/>
  <c r="E14" i="61"/>
  <c r="D14" i="61"/>
  <c r="C14" i="61"/>
  <c r="B14" i="61"/>
  <c r="A14" i="61"/>
  <c r="AB13" i="61"/>
  <c r="AA13" i="61"/>
  <c r="Z13" i="61"/>
  <c r="U13" i="61"/>
  <c r="T13" i="61"/>
  <c r="S13" i="61"/>
  <c r="R13" i="61"/>
  <c r="N13" i="61"/>
  <c r="M13" i="61"/>
  <c r="L13" i="61"/>
  <c r="K13" i="61"/>
  <c r="J13" i="61"/>
  <c r="I13" i="61"/>
  <c r="O13" i="61" s="1"/>
  <c r="P13" i="61" s="1"/>
  <c r="H13" i="61"/>
  <c r="G13" i="61"/>
  <c r="F13" i="61"/>
  <c r="E13" i="61"/>
  <c r="D13" i="61"/>
  <c r="C13" i="61"/>
  <c r="B13" i="61"/>
  <c r="A13" i="61"/>
  <c r="AB12" i="61"/>
  <c r="AA12" i="61"/>
  <c r="Z12" i="61"/>
  <c r="U12" i="61"/>
  <c r="T12" i="61"/>
  <c r="S12" i="61"/>
  <c r="R12" i="61"/>
  <c r="N12" i="61"/>
  <c r="M12" i="61"/>
  <c r="L12" i="61"/>
  <c r="K12" i="61"/>
  <c r="J12" i="61"/>
  <c r="I12" i="61"/>
  <c r="H12" i="61"/>
  <c r="G12" i="61"/>
  <c r="F12" i="61"/>
  <c r="O12" i="61" s="1"/>
  <c r="P12" i="61" s="1"/>
  <c r="E12" i="61"/>
  <c r="D12" i="61"/>
  <c r="C12" i="61"/>
  <c r="B12" i="61"/>
  <c r="A12" i="61"/>
  <c r="AB11" i="61"/>
  <c r="AA11" i="61"/>
  <c r="Z11" i="61"/>
  <c r="U11" i="61"/>
  <c r="T11" i="61"/>
  <c r="S11" i="61"/>
  <c r="R11" i="61"/>
  <c r="N11" i="61"/>
  <c r="M11" i="61"/>
  <c r="L11" i="61"/>
  <c r="K11" i="61"/>
  <c r="O11" i="61" s="1"/>
  <c r="P11" i="61" s="1"/>
  <c r="J11" i="61"/>
  <c r="I11" i="61"/>
  <c r="H11" i="61"/>
  <c r="G11" i="61"/>
  <c r="F11" i="61"/>
  <c r="E11" i="61"/>
  <c r="D11" i="61"/>
  <c r="C11" i="61"/>
  <c r="B11" i="61"/>
  <c r="A11" i="61"/>
  <c r="AB10" i="61"/>
  <c r="AA10" i="61"/>
  <c r="Z10" i="61"/>
  <c r="U10" i="61"/>
  <c r="T10" i="61"/>
  <c r="S10" i="61"/>
  <c r="R10" i="61"/>
  <c r="N10" i="61"/>
  <c r="M10" i="61"/>
  <c r="L10" i="61"/>
  <c r="K10" i="61"/>
  <c r="J10" i="61"/>
  <c r="I10" i="61"/>
  <c r="H10" i="61"/>
  <c r="G10" i="61"/>
  <c r="F10" i="61"/>
  <c r="E10" i="61"/>
  <c r="D10" i="61"/>
  <c r="C10" i="61"/>
  <c r="B10" i="61"/>
  <c r="A10" i="61"/>
  <c r="AB9" i="61"/>
  <c r="AA9" i="61"/>
  <c r="Z9" i="61"/>
  <c r="U9" i="61"/>
  <c r="T9" i="61"/>
  <c r="S9" i="61"/>
  <c r="R9" i="61"/>
  <c r="N9" i="61"/>
  <c r="M9" i="61"/>
  <c r="L9" i="61"/>
  <c r="K9" i="61"/>
  <c r="J9" i="61"/>
  <c r="I9" i="61"/>
  <c r="H9" i="61"/>
  <c r="G9" i="61"/>
  <c r="F9" i="61"/>
  <c r="E9" i="61"/>
  <c r="D9" i="61"/>
  <c r="C9" i="61"/>
  <c r="B9" i="61"/>
  <c r="A9" i="61"/>
  <c r="AB8" i="61"/>
  <c r="AA8" i="61"/>
  <c r="Z8" i="61"/>
  <c r="U8" i="61"/>
  <c r="T8" i="61"/>
  <c r="S8" i="61"/>
  <c r="R8" i="61"/>
  <c r="N8" i="61"/>
  <c r="M8" i="61"/>
  <c r="L8" i="61"/>
  <c r="K8" i="61"/>
  <c r="J8" i="61"/>
  <c r="I8" i="61"/>
  <c r="H8" i="61"/>
  <c r="G8" i="61"/>
  <c r="F8" i="61"/>
  <c r="E8" i="61"/>
  <c r="D8" i="61"/>
  <c r="C8" i="61"/>
  <c r="B8" i="61"/>
  <c r="A8" i="61"/>
  <c r="Y80" i="63"/>
  <c r="Q80" i="63"/>
  <c r="Y78" i="63"/>
  <c r="Q118" i="63"/>
  <c r="Q116" i="63"/>
  <c r="Q100" i="63"/>
  <c r="Q109" i="63"/>
  <c r="Q98" i="63"/>
  <c r="Q90" i="63"/>
  <c r="Q115" i="63"/>
  <c r="Q107" i="63"/>
  <c r="Q120" i="63"/>
  <c r="Q96" i="63"/>
  <c r="Q88" i="63"/>
  <c r="Q113" i="63"/>
  <c r="Q111" i="63"/>
  <c r="Q87" i="63"/>
  <c r="Q117" i="63"/>
  <c r="Q85" i="63"/>
  <c r="Q94" i="63"/>
  <c r="Q103" i="63"/>
  <c r="Q45" i="63"/>
  <c r="Q39" i="63"/>
  <c r="Q8" i="63"/>
  <c r="Q122" i="63"/>
  <c r="Q12" i="63"/>
  <c r="Q105" i="63"/>
  <c r="Q27" i="63"/>
  <c r="Q92" i="63"/>
  <c r="Q124" i="63"/>
  <c r="Q38" i="63"/>
  <c r="Q29" i="63"/>
  <c r="Q18" i="63"/>
  <c r="Q16" i="63"/>
  <c r="J46" i="6"/>
  <c r="J46" i="10"/>
  <c r="J56" i="10"/>
  <c r="E73" i="4"/>
  <c r="D67" i="46"/>
  <c r="L67" i="46"/>
  <c r="D79" i="46"/>
  <c r="E47" i="46"/>
  <c r="N56" i="46"/>
  <c r="G57" i="38"/>
  <c r="D57" i="38"/>
  <c r="C99" i="22"/>
  <c r="D67" i="22"/>
  <c r="G47" i="6"/>
  <c r="C67" i="10"/>
  <c r="O72" i="50"/>
  <c r="P72" i="50" s="1"/>
  <c r="V72" i="50"/>
  <c r="O67" i="50"/>
  <c r="P67" i="50" s="1"/>
  <c r="F57" i="34"/>
  <c r="F79" i="34"/>
  <c r="G79" i="34"/>
  <c r="I89" i="34"/>
  <c r="I79" i="26"/>
  <c r="D79" i="26"/>
  <c r="E37" i="4"/>
  <c r="O42" i="55"/>
  <c r="P42" i="55"/>
  <c r="J67" i="46"/>
  <c r="F21" i="22"/>
  <c r="C35" i="22"/>
  <c r="H35" i="22"/>
  <c r="C47" i="22"/>
  <c r="G47" i="22"/>
  <c r="I47" i="22"/>
  <c r="F57" i="22"/>
  <c r="I35" i="6"/>
  <c r="G35" i="6"/>
  <c r="C35" i="6"/>
  <c r="D35" i="6"/>
  <c r="E35" i="6"/>
  <c r="F35" i="6"/>
  <c r="H35" i="6"/>
  <c r="H47" i="6"/>
  <c r="O26" i="55"/>
  <c r="P26" i="55" s="1"/>
  <c r="V26" i="55" s="1"/>
  <c r="E47" i="42"/>
  <c r="I35" i="34"/>
  <c r="C47" i="34"/>
  <c r="E47" i="34"/>
  <c r="I57" i="34"/>
  <c r="C57" i="26"/>
  <c r="H79" i="10"/>
  <c r="P61" i="58"/>
  <c r="Q61" i="58" s="1"/>
  <c r="O60" i="55"/>
  <c r="P60" i="55" s="1"/>
  <c r="H67" i="46"/>
  <c r="H21" i="38"/>
  <c r="E47" i="38"/>
  <c r="F35" i="14"/>
  <c r="I56" i="14"/>
  <c r="D57" i="14"/>
  <c r="H99" i="14"/>
  <c r="F99" i="14"/>
  <c r="O14" i="58"/>
  <c r="P36" i="58"/>
  <c r="Q36" i="58"/>
  <c r="O79" i="58"/>
  <c r="P79" i="58"/>
  <c r="O21" i="58"/>
  <c r="O25" i="58"/>
  <c r="P25" i="58" s="1"/>
  <c r="O73" i="58"/>
  <c r="P73" i="58" s="1"/>
  <c r="V73" i="58" s="1"/>
  <c r="X73" i="58" s="1"/>
  <c r="O24" i="58"/>
  <c r="O27" i="58"/>
  <c r="P27" i="58"/>
  <c r="V27" i="58" s="1"/>
  <c r="Q27" i="58"/>
  <c r="O28" i="58"/>
  <c r="P28" i="58" s="1"/>
  <c r="Q28" i="58" s="1"/>
  <c r="O29" i="58"/>
  <c r="O30" i="58"/>
  <c r="P30" i="58" s="1"/>
  <c r="O31" i="58"/>
  <c r="P31" i="58"/>
  <c r="V31" i="58" s="1"/>
  <c r="X31" i="58" s="1"/>
  <c r="O38" i="58"/>
  <c r="P38" i="58" s="1"/>
  <c r="O41" i="58"/>
  <c r="P41" i="58"/>
  <c r="O96" i="58"/>
  <c r="P96" i="58" s="1"/>
  <c r="Q96" i="58" s="1"/>
  <c r="O78" i="61"/>
  <c r="P78" i="61" s="1"/>
  <c r="V78" i="61" s="1"/>
  <c r="X78" i="61" s="1"/>
  <c r="O108" i="61"/>
  <c r="F35" i="42"/>
  <c r="K47" i="42"/>
  <c r="I79" i="34"/>
  <c r="O52" i="61"/>
  <c r="P52" i="61" s="1"/>
  <c r="O72" i="57"/>
  <c r="G57" i="42"/>
  <c r="C57" i="42"/>
  <c r="G21" i="34"/>
  <c r="K34" i="34"/>
  <c r="H57" i="34"/>
  <c r="D57" i="34"/>
  <c r="H57" i="26"/>
  <c r="G89" i="34"/>
  <c r="H99" i="34"/>
  <c r="I99" i="34"/>
  <c r="E21" i="26"/>
  <c r="L21" i="26" s="1"/>
  <c r="I35" i="26"/>
  <c r="F35" i="26"/>
  <c r="D35" i="26"/>
  <c r="O58" i="61"/>
  <c r="P58" i="61"/>
  <c r="Q58" i="61" s="1"/>
  <c r="O59" i="61"/>
  <c r="P59" i="61" s="1"/>
  <c r="Q59" i="61" s="1"/>
  <c r="O68" i="61"/>
  <c r="P68" i="61"/>
  <c r="O69" i="61"/>
  <c r="P69" i="61" s="1"/>
  <c r="O73" i="61"/>
  <c r="P73" i="61" s="1"/>
  <c r="V73" i="61"/>
  <c r="O74" i="61"/>
  <c r="V75" i="61"/>
  <c r="O77" i="61"/>
  <c r="P80" i="61"/>
  <c r="O83" i="61"/>
  <c r="P83" i="61"/>
  <c r="P88" i="61"/>
  <c r="O102" i="61"/>
  <c r="P102" i="61"/>
  <c r="O105" i="61"/>
  <c r="O106" i="61"/>
  <c r="P106" i="61" s="1"/>
  <c r="O112" i="61"/>
  <c r="P112" i="61" s="1"/>
  <c r="O113" i="61"/>
  <c r="P113" i="61" s="1"/>
  <c r="V113" i="61" s="1"/>
  <c r="X113" i="61" s="1"/>
  <c r="O115" i="61"/>
  <c r="O117" i="61"/>
  <c r="P117" i="61" s="1"/>
  <c r="V117" i="61"/>
  <c r="O118" i="61"/>
  <c r="P118" i="61"/>
  <c r="Q118" i="61" s="1"/>
  <c r="O120" i="61"/>
  <c r="P120" i="61" s="1"/>
  <c r="P121" i="61"/>
  <c r="O122" i="61"/>
  <c r="P122" i="61" s="1"/>
  <c r="O123" i="61"/>
  <c r="P124" i="61"/>
  <c r="V124" i="61" s="1"/>
  <c r="W124" i="61" s="1"/>
  <c r="Y124" i="61" s="1"/>
  <c r="O40" i="57"/>
  <c r="P40" i="57" s="1"/>
  <c r="Q40" i="57" s="1"/>
  <c r="O64" i="57"/>
  <c r="P64" i="57" s="1"/>
  <c r="V64" i="57" s="1"/>
  <c r="O67" i="57"/>
  <c r="O68" i="57"/>
  <c r="P68" i="57" s="1"/>
  <c r="O82" i="57"/>
  <c r="P82" i="57" s="1"/>
  <c r="O84" i="57"/>
  <c r="P84" i="57" s="1"/>
  <c r="J21" i="42"/>
  <c r="I35" i="42"/>
  <c r="P126" i="61"/>
  <c r="O21" i="57"/>
  <c r="P21" i="57" s="1"/>
  <c r="V21" i="57" s="1"/>
  <c r="O23" i="57"/>
  <c r="O28" i="57"/>
  <c r="P28" i="57" s="1"/>
  <c r="O30" i="57"/>
  <c r="P30" i="57" s="1"/>
  <c r="V30" i="57"/>
  <c r="P31" i="57"/>
  <c r="P36" i="57"/>
  <c r="Q36" i="57" s="1"/>
  <c r="O53" i="57"/>
  <c r="P53" i="57" s="1"/>
  <c r="Q53" i="57" s="1"/>
  <c r="O55" i="57"/>
  <c r="P55" i="57" s="1"/>
  <c r="Q55" i="57" s="1"/>
  <c r="O73" i="57"/>
  <c r="P73" i="57" s="1"/>
  <c r="O77" i="57"/>
  <c r="P77" i="57"/>
  <c r="Q77" i="57" s="1"/>
  <c r="O79" i="57"/>
  <c r="P79" i="57"/>
  <c r="O80" i="57"/>
  <c r="G57" i="34"/>
  <c r="K56" i="34"/>
  <c r="J99" i="26"/>
  <c r="Q73" i="58"/>
  <c r="G73" i="4"/>
  <c r="P24" i="58"/>
  <c r="Q24" i="58"/>
  <c r="P42" i="58"/>
  <c r="O91" i="58"/>
  <c r="O46" i="58"/>
  <c r="P46" i="58"/>
  <c r="Q46" i="58" s="1"/>
  <c r="O58" i="58"/>
  <c r="P58" i="58"/>
  <c r="V58" i="58"/>
  <c r="X58" i="58" s="1"/>
  <c r="O62" i="55"/>
  <c r="P62" i="55" s="1"/>
  <c r="O28" i="55"/>
  <c r="P28" i="55"/>
  <c r="O66" i="55"/>
  <c r="P66" i="55" s="1"/>
  <c r="O64" i="55"/>
  <c r="P64" i="55"/>
  <c r="O12" i="55"/>
  <c r="P12" i="55" s="1"/>
  <c r="Q12" i="55" s="1"/>
  <c r="O16" i="55"/>
  <c r="P16" i="55"/>
  <c r="O17" i="55"/>
  <c r="P17" i="55" s="1"/>
  <c r="O18" i="55"/>
  <c r="P18" i="55" s="1"/>
  <c r="O8" i="55"/>
  <c r="P8" i="55"/>
  <c r="O9" i="55"/>
  <c r="P9" i="55"/>
  <c r="V9" i="55"/>
  <c r="J99" i="46"/>
  <c r="I35" i="10"/>
  <c r="H35" i="10"/>
  <c r="E47" i="10"/>
  <c r="G67" i="10"/>
  <c r="E67" i="10"/>
  <c r="D67" i="10"/>
  <c r="J66" i="10"/>
  <c r="I79" i="10"/>
  <c r="C79" i="10"/>
  <c r="D79" i="10"/>
  <c r="F79" i="10"/>
  <c r="G79" i="10"/>
  <c r="I99" i="10"/>
  <c r="H99" i="10"/>
  <c r="H81" i="4"/>
  <c r="D81" i="4"/>
  <c r="O12" i="58"/>
  <c r="P12" i="58" s="1"/>
  <c r="O65" i="58"/>
  <c r="O90" i="58"/>
  <c r="P90" i="58"/>
  <c r="Q90" i="58" s="1"/>
  <c r="C79" i="46"/>
  <c r="C99" i="46"/>
  <c r="K79" i="46"/>
  <c r="H35" i="46"/>
  <c r="G35" i="46"/>
  <c r="M57" i="46"/>
  <c r="G35" i="38"/>
  <c r="H47" i="38"/>
  <c r="H57" i="38"/>
  <c r="F57" i="38"/>
  <c r="I79" i="38"/>
  <c r="H79" i="38"/>
  <c r="E79" i="38"/>
  <c r="D79" i="38"/>
  <c r="J88" i="38"/>
  <c r="F89" i="38"/>
  <c r="C99" i="38"/>
  <c r="F35" i="30"/>
  <c r="H47" i="30"/>
  <c r="E57" i="22"/>
  <c r="F89" i="22"/>
  <c r="H79" i="14"/>
  <c r="E89" i="14"/>
  <c r="G57" i="26"/>
  <c r="D99" i="26"/>
  <c r="J46" i="18"/>
  <c r="F99" i="18"/>
  <c r="D73" i="4"/>
  <c r="P9" i="58"/>
  <c r="V9" i="58" s="1"/>
  <c r="P14" i="58"/>
  <c r="Q14" i="58" s="1"/>
  <c r="O95" i="58"/>
  <c r="P95" i="58"/>
  <c r="I79" i="46"/>
  <c r="F79" i="46"/>
  <c r="M89" i="46"/>
  <c r="L89" i="46"/>
  <c r="E89" i="46"/>
  <c r="F99" i="46"/>
  <c r="F47" i="46"/>
  <c r="E21" i="38"/>
  <c r="I35" i="38"/>
  <c r="E79" i="22"/>
  <c r="J88" i="22"/>
  <c r="H67" i="22"/>
  <c r="H47" i="14"/>
  <c r="H57" i="6"/>
  <c r="K98" i="34"/>
  <c r="H47" i="26"/>
  <c r="E47" i="26"/>
  <c r="K57" i="26"/>
  <c r="J67" i="26"/>
  <c r="F89" i="26"/>
  <c r="E89" i="26"/>
  <c r="D89" i="26"/>
  <c r="K99" i="26"/>
  <c r="I99" i="26"/>
  <c r="L98" i="26"/>
  <c r="J34" i="18"/>
  <c r="D99" i="18"/>
  <c r="C21" i="10"/>
  <c r="G21" i="10"/>
  <c r="F21" i="10"/>
  <c r="G35" i="10"/>
  <c r="C89" i="10"/>
  <c r="J89" i="10"/>
  <c r="D89" i="10"/>
  <c r="F89" i="10"/>
  <c r="G89" i="10"/>
  <c r="H89" i="10"/>
  <c r="I89" i="10"/>
  <c r="I73" i="4"/>
  <c r="O81" i="58"/>
  <c r="P81" i="58"/>
  <c r="O58" i="55"/>
  <c r="P58" i="55"/>
  <c r="Q58" i="55" s="1"/>
  <c r="O54" i="55"/>
  <c r="P54" i="55" s="1"/>
  <c r="I35" i="46"/>
  <c r="F35" i="46"/>
  <c r="J35" i="46"/>
  <c r="C47" i="46"/>
  <c r="M47" i="46"/>
  <c r="I67" i="46"/>
  <c r="G67" i="46"/>
  <c r="K67" i="46"/>
  <c r="N66" i="46"/>
  <c r="L79" i="46"/>
  <c r="H79" i="46"/>
  <c r="F89" i="46"/>
  <c r="J89" i="46"/>
  <c r="I21" i="38"/>
  <c r="C79" i="22"/>
  <c r="H57" i="22"/>
  <c r="G67" i="22"/>
  <c r="G35" i="14"/>
  <c r="E35" i="14"/>
  <c r="E57" i="14"/>
  <c r="F57" i="14"/>
  <c r="G57" i="14"/>
  <c r="C67" i="14"/>
  <c r="I66" i="14"/>
  <c r="H67" i="14"/>
  <c r="I47" i="6"/>
  <c r="Q91" i="61"/>
  <c r="V91" i="61"/>
  <c r="O44" i="50"/>
  <c r="P44" i="50" s="1"/>
  <c r="V44" i="50" s="1"/>
  <c r="X44" i="50" s="1"/>
  <c r="O53" i="58"/>
  <c r="P53" i="58" s="1"/>
  <c r="V53" i="58" s="1"/>
  <c r="O92" i="58"/>
  <c r="P92" i="58"/>
  <c r="V92" i="58" s="1"/>
  <c r="O9" i="61"/>
  <c r="P9" i="61"/>
  <c r="V13" i="61"/>
  <c r="W13" i="61"/>
  <c r="O14" i="61"/>
  <c r="P14" i="61" s="1"/>
  <c r="Q17" i="61"/>
  <c r="O25" i="61"/>
  <c r="P25" i="61"/>
  <c r="V25" i="61"/>
  <c r="X25" i="61" s="1"/>
  <c r="P27" i="61"/>
  <c r="O28" i="61"/>
  <c r="P28" i="61" s="1"/>
  <c r="P29" i="61"/>
  <c r="V29" i="61" s="1"/>
  <c r="P30" i="61"/>
  <c r="O31" i="61"/>
  <c r="P31" i="61"/>
  <c r="O32" i="61"/>
  <c r="P32" i="61" s="1"/>
  <c r="P33" i="61"/>
  <c r="V33" i="61" s="1"/>
  <c r="O34" i="61"/>
  <c r="P34" i="61"/>
  <c r="O35" i="61"/>
  <c r="P35" i="61"/>
  <c r="O38" i="61"/>
  <c r="P38" i="61" s="1"/>
  <c r="P39" i="61"/>
  <c r="Q39" i="61"/>
  <c r="O40" i="61"/>
  <c r="P40" i="61"/>
  <c r="O41" i="61"/>
  <c r="P41" i="61" s="1"/>
  <c r="O44" i="61"/>
  <c r="P44" i="61" s="1"/>
  <c r="O45" i="61"/>
  <c r="P45" i="61" s="1"/>
  <c r="O46" i="61"/>
  <c r="O47" i="61"/>
  <c r="P47" i="61" s="1"/>
  <c r="Q47" i="61" s="1"/>
  <c r="O48" i="61"/>
  <c r="P48" i="61"/>
  <c r="O49" i="61"/>
  <c r="P49" i="61"/>
  <c r="P50" i="61"/>
  <c r="O54" i="61"/>
  <c r="P54" i="61" s="1"/>
  <c r="O55" i="61"/>
  <c r="P55" i="61" s="1"/>
  <c r="Q55" i="61"/>
  <c r="O57" i="61"/>
  <c r="P57" i="61" s="1"/>
  <c r="V57" i="61" s="1"/>
  <c r="X57" i="61" s="1"/>
  <c r="O60" i="61"/>
  <c r="P60" i="61" s="1"/>
  <c r="O62" i="61"/>
  <c r="P62" i="61" s="1"/>
  <c r="O64" i="61"/>
  <c r="P64" i="61"/>
  <c r="O65" i="61"/>
  <c r="P65" i="61" s="1"/>
  <c r="O110" i="61"/>
  <c r="P110" i="61"/>
  <c r="V110" i="61" s="1"/>
  <c r="W110" i="61" s="1"/>
  <c r="V71" i="57"/>
  <c r="Q71" i="57"/>
  <c r="O50" i="57"/>
  <c r="P50" i="57"/>
  <c r="P72" i="57"/>
  <c r="V87" i="57"/>
  <c r="O11" i="57"/>
  <c r="P11" i="57" s="1"/>
  <c r="V11" i="57" s="1"/>
  <c r="O13" i="57"/>
  <c r="P13" i="57"/>
  <c r="O38" i="50"/>
  <c r="P38" i="50" s="1"/>
  <c r="V38" i="50" s="1"/>
  <c r="W38" i="50" s="1"/>
  <c r="Y38" i="50" s="1"/>
  <c r="O78" i="50"/>
  <c r="L21" i="42"/>
  <c r="E21" i="42"/>
  <c r="M35" i="42"/>
  <c r="N78" i="42"/>
  <c r="D79" i="42"/>
  <c r="O51" i="58"/>
  <c r="O81" i="61"/>
  <c r="P81" i="61" s="1"/>
  <c r="V81" i="61" s="1"/>
  <c r="W81" i="61" s="1"/>
  <c r="Y81" i="61" s="1"/>
  <c r="P90" i="50"/>
  <c r="V90" i="50"/>
  <c r="W90" i="50" s="1"/>
  <c r="O88" i="50"/>
  <c r="P88" i="50" s="1"/>
  <c r="O86" i="50"/>
  <c r="P86" i="50"/>
  <c r="O84" i="50"/>
  <c r="P84" i="50" s="1"/>
  <c r="V84" i="50" s="1"/>
  <c r="O80" i="50"/>
  <c r="P80" i="50"/>
  <c r="I47" i="26"/>
  <c r="F47" i="26"/>
  <c r="L46" i="26"/>
  <c r="D47" i="26"/>
  <c r="C47" i="26"/>
  <c r="I57" i="26"/>
  <c r="L88" i="26"/>
  <c r="C89" i="26"/>
  <c r="G99" i="26"/>
  <c r="E47" i="18"/>
  <c r="H99" i="18"/>
  <c r="I17" i="4"/>
  <c r="E17" i="4"/>
  <c r="I55" i="4"/>
  <c r="E55" i="4"/>
  <c r="O87" i="58"/>
  <c r="P87" i="58"/>
  <c r="O59" i="58"/>
  <c r="P59" i="58" s="1"/>
  <c r="O21" i="61"/>
  <c r="P21" i="61"/>
  <c r="V21" i="61" s="1"/>
  <c r="W21" i="61" s="1"/>
  <c r="Y21" i="61" s="1"/>
  <c r="O93" i="50"/>
  <c r="P93" i="50"/>
  <c r="Q93" i="50" s="1"/>
  <c r="O92" i="50"/>
  <c r="P92" i="50"/>
  <c r="V92" i="50" s="1"/>
  <c r="O76" i="50"/>
  <c r="P76" i="50" s="1"/>
  <c r="O74" i="50"/>
  <c r="P74" i="50" s="1"/>
  <c r="V74" i="50" s="1"/>
  <c r="O71" i="50"/>
  <c r="P71" i="50"/>
  <c r="V71" i="50" s="1"/>
  <c r="W71" i="50" s="1"/>
  <c r="O68" i="50"/>
  <c r="P68" i="50" s="1"/>
  <c r="Q68" i="50" s="1"/>
  <c r="P66" i="50"/>
  <c r="K89" i="26"/>
  <c r="L89" i="26" s="1"/>
  <c r="P36" i="61"/>
  <c r="Q36" i="61" s="1"/>
  <c r="O51" i="61"/>
  <c r="P51" i="61" s="1"/>
  <c r="O125" i="61"/>
  <c r="P125" i="61" s="1"/>
  <c r="V125" i="61" s="1"/>
  <c r="W125" i="61" s="1"/>
  <c r="Y125" i="61" s="1"/>
  <c r="O24" i="57"/>
  <c r="P24" i="57"/>
  <c r="O26" i="57"/>
  <c r="P26" i="57"/>
  <c r="O46" i="57"/>
  <c r="P46" i="57" s="1"/>
  <c r="Q46" i="57" s="1"/>
  <c r="O51" i="57"/>
  <c r="P51" i="57" s="1"/>
  <c r="O65" i="57"/>
  <c r="P65" i="57" s="1"/>
  <c r="O69" i="57"/>
  <c r="O74" i="57"/>
  <c r="P74" i="57"/>
  <c r="Q74" i="57" s="1"/>
  <c r="O81" i="57"/>
  <c r="P81" i="57"/>
  <c r="Q81" i="57" s="1"/>
  <c r="O86" i="57"/>
  <c r="P86" i="57" s="1"/>
  <c r="O88" i="57"/>
  <c r="P88" i="57"/>
  <c r="O90" i="57"/>
  <c r="P90" i="57"/>
  <c r="V90" i="57" s="1"/>
  <c r="O92" i="57"/>
  <c r="P92" i="57" s="1"/>
  <c r="O9" i="57"/>
  <c r="O10" i="57"/>
  <c r="P10" i="57"/>
  <c r="O91" i="50"/>
  <c r="P91" i="50"/>
  <c r="Q91" i="50" s="1"/>
  <c r="O89" i="50"/>
  <c r="P89" i="50" s="1"/>
  <c r="O87" i="50"/>
  <c r="P87" i="50" s="1"/>
  <c r="Q87" i="50" s="1"/>
  <c r="O85" i="50"/>
  <c r="P85" i="50"/>
  <c r="Q85" i="50"/>
  <c r="O82" i="50"/>
  <c r="P82" i="50"/>
  <c r="V82" i="50" s="1"/>
  <c r="O77" i="50"/>
  <c r="P77" i="50" s="1"/>
  <c r="P75" i="50"/>
  <c r="O73" i="50"/>
  <c r="P73" i="50"/>
  <c r="Q73" i="50"/>
  <c r="O33" i="50"/>
  <c r="P33" i="50"/>
  <c r="Q33" i="50" s="1"/>
  <c r="P22" i="50"/>
  <c r="F47" i="42"/>
  <c r="H47" i="42"/>
  <c r="C47" i="42"/>
  <c r="G79" i="42"/>
  <c r="J79" i="42"/>
  <c r="F89" i="42"/>
  <c r="C21" i="34"/>
  <c r="F67" i="26"/>
  <c r="L66" i="26"/>
  <c r="K79" i="26"/>
  <c r="L78" i="26"/>
  <c r="E79" i="26"/>
  <c r="C79" i="26"/>
  <c r="G89" i="26"/>
  <c r="F47" i="18"/>
  <c r="H57" i="18"/>
  <c r="J56" i="18"/>
  <c r="D57" i="18"/>
  <c r="J57" i="18" s="1"/>
  <c r="G67" i="18"/>
  <c r="J66" i="18"/>
  <c r="C67" i="18"/>
  <c r="F89" i="18"/>
  <c r="F57" i="10"/>
  <c r="F17" i="4"/>
  <c r="H45" i="4"/>
  <c r="J44" i="4"/>
  <c r="D45" i="4"/>
  <c r="F55" i="4"/>
  <c r="H65" i="4"/>
  <c r="J64" i="4"/>
  <c r="D65" i="4"/>
  <c r="F37" i="4"/>
  <c r="Q9" i="58"/>
  <c r="P96" i="61"/>
  <c r="O66" i="61"/>
  <c r="P25" i="57"/>
  <c r="V25" i="57" s="1"/>
  <c r="X25" i="57" s="1"/>
  <c r="O32" i="57"/>
  <c r="P32" i="57" s="1"/>
  <c r="Q32" i="57"/>
  <c r="O34" i="57"/>
  <c r="P34" i="57"/>
  <c r="O35" i="57"/>
  <c r="P35" i="57" s="1"/>
  <c r="O45" i="57"/>
  <c r="P45" i="57" s="1"/>
  <c r="V45" i="57" s="1"/>
  <c r="O48" i="57"/>
  <c r="P48" i="57" s="1"/>
  <c r="O61" i="57"/>
  <c r="P61" i="57" s="1"/>
  <c r="O62" i="57"/>
  <c r="P62" i="57" s="1"/>
  <c r="V62" i="57"/>
  <c r="X62" i="57" s="1"/>
  <c r="W62" i="57"/>
  <c r="Y62" i="57"/>
  <c r="O89" i="57"/>
  <c r="P89" i="57" s="1"/>
  <c r="O93" i="57"/>
  <c r="P93" i="57"/>
  <c r="Q93" i="57" s="1"/>
  <c r="O16" i="57"/>
  <c r="P16" i="57" s="1"/>
  <c r="V16" i="57" s="1"/>
  <c r="W16" i="57" s="1"/>
  <c r="O18" i="57"/>
  <c r="P18" i="57"/>
  <c r="Q18" i="57" s="1"/>
  <c r="O83" i="50"/>
  <c r="P83" i="50" s="1"/>
  <c r="O81" i="50"/>
  <c r="P81" i="50"/>
  <c r="O70" i="50"/>
  <c r="P70" i="50"/>
  <c r="Q70" i="50" s="1"/>
  <c r="P26" i="50"/>
  <c r="V26" i="50" s="1"/>
  <c r="O25" i="50"/>
  <c r="P25" i="50"/>
  <c r="J35" i="42"/>
  <c r="I47" i="42"/>
  <c r="M67" i="42"/>
  <c r="L67" i="42"/>
  <c r="E67" i="42"/>
  <c r="N66" i="42"/>
  <c r="M79" i="42"/>
  <c r="M89" i="42"/>
  <c r="N88" i="42"/>
  <c r="D89" i="42"/>
  <c r="I99" i="42"/>
  <c r="E99" i="42"/>
  <c r="C99" i="42"/>
  <c r="K47" i="34"/>
  <c r="D67" i="34"/>
  <c r="C79" i="34"/>
  <c r="E35" i="26"/>
  <c r="J47" i="26"/>
  <c r="C35" i="18"/>
  <c r="F35" i="18"/>
  <c r="G35" i="18"/>
  <c r="H35" i="18"/>
  <c r="G47" i="18"/>
  <c r="C47" i="18"/>
  <c r="D47" i="10"/>
  <c r="G57" i="10"/>
  <c r="J78" i="10"/>
  <c r="G17" i="4"/>
  <c r="H25" i="4"/>
  <c r="J24" i="4"/>
  <c r="D25" i="4"/>
  <c r="G55" i="4"/>
  <c r="C55" i="4"/>
  <c r="J72" i="4"/>
  <c r="C73" i="4"/>
  <c r="V14" i="58"/>
  <c r="O11" i="58"/>
  <c r="P11" i="58"/>
  <c r="V11" i="58"/>
  <c r="O19" i="57"/>
  <c r="P19" i="57"/>
  <c r="O20" i="57"/>
  <c r="P20" i="57"/>
  <c r="O33" i="57"/>
  <c r="P33" i="57" s="1"/>
  <c r="O37" i="57"/>
  <c r="O42" i="57"/>
  <c r="P42" i="57"/>
  <c r="O49" i="57"/>
  <c r="P49" i="57" s="1"/>
  <c r="O54" i="57"/>
  <c r="P54" i="57"/>
  <c r="O56" i="57"/>
  <c r="P56" i="57" s="1"/>
  <c r="O58" i="57"/>
  <c r="P58" i="57"/>
  <c r="Q58" i="57" s="1"/>
  <c r="O75" i="57"/>
  <c r="P75" i="57"/>
  <c r="Q75" i="57" s="1"/>
  <c r="O78" i="57"/>
  <c r="P78" i="57"/>
  <c r="O83" i="57"/>
  <c r="P83" i="57"/>
  <c r="P60" i="50"/>
  <c r="V60" i="50" s="1"/>
  <c r="O51" i="50"/>
  <c r="P51" i="50" s="1"/>
  <c r="V51" i="50" s="1"/>
  <c r="O17" i="50"/>
  <c r="P17" i="50"/>
  <c r="Q17" i="50" s="1"/>
  <c r="V17" i="50"/>
  <c r="W17" i="50" s="1"/>
  <c r="Y17" i="50" s="1"/>
  <c r="K35" i="42"/>
  <c r="J47" i="42"/>
  <c r="D47" i="42"/>
  <c r="L57" i="42"/>
  <c r="I57" i="42"/>
  <c r="N56" i="42"/>
  <c r="C79" i="42"/>
  <c r="E89" i="42"/>
  <c r="H21" i="26"/>
  <c r="L20" i="26"/>
  <c r="D21" i="26"/>
  <c r="C21" i="26"/>
  <c r="K47" i="26"/>
  <c r="F57" i="26"/>
  <c r="L57" i="26" s="1"/>
  <c r="L56" i="26"/>
  <c r="D57" i="26"/>
  <c r="E99" i="26"/>
  <c r="C99" i="26"/>
  <c r="F21" i="18"/>
  <c r="D47" i="18"/>
  <c r="E99" i="18"/>
  <c r="E35" i="10"/>
  <c r="F99" i="10"/>
  <c r="H17" i="4"/>
  <c r="D17" i="4"/>
  <c r="H55" i="4"/>
  <c r="D55" i="4"/>
  <c r="H37" i="4"/>
  <c r="V36" i="58"/>
  <c r="O23" i="50"/>
  <c r="P23" i="50" s="1"/>
  <c r="Q23" i="50" s="1"/>
  <c r="O18" i="50"/>
  <c r="P18" i="50" s="1"/>
  <c r="O16" i="50"/>
  <c r="P16" i="50"/>
  <c r="O13" i="50"/>
  <c r="F21" i="42"/>
  <c r="H21" i="42"/>
  <c r="N34" i="42"/>
  <c r="M47" i="42"/>
  <c r="M57" i="42"/>
  <c r="F57" i="42"/>
  <c r="J57" i="42"/>
  <c r="N57" i="42" s="1"/>
  <c r="D57" i="42"/>
  <c r="H67" i="42"/>
  <c r="I67" i="42"/>
  <c r="K79" i="42"/>
  <c r="E79" i="42"/>
  <c r="J89" i="42"/>
  <c r="L99" i="42"/>
  <c r="J99" i="42"/>
  <c r="F99" i="42"/>
  <c r="E89" i="34"/>
  <c r="I21" i="26"/>
  <c r="G35" i="26"/>
  <c r="C35" i="26"/>
  <c r="J57" i="26"/>
  <c r="J79" i="26"/>
  <c r="H79" i="26"/>
  <c r="G21" i="18"/>
  <c r="C21" i="18"/>
  <c r="H47" i="18"/>
  <c r="I57" i="18"/>
  <c r="E57" i="18"/>
  <c r="H67" i="18"/>
  <c r="D67" i="18"/>
  <c r="J78" i="18"/>
  <c r="G89" i="18"/>
  <c r="C89" i="18"/>
  <c r="G99" i="18"/>
  <c r="C99" i="18"/>
  <c r="J99" i="18" s="1"/>
  <c r="D21" i="10"/>
  <c r="F47" i="10"/>
  <c r="H67" i="10"/>
  <c r="G99" i="10"/>
  <c r="C99" i="10"/>
  <c r="D99" i="10"/>
  <c r="I25" i="4"/>
  <c r="E25" i="4"/>
  <c r="I45" i="4"/>
  <c r="E45" i="4"/>
  <c r="I65" i="4"/>
  <c r="E65" i="4"/>
  <c r="F73" i="4"/>
  <c r="I81" i="4"/>
  <c r="E81" i="4"/>
  <c r="J36" i="4"/>
  <c r="O15" i="58"/>
  <c r="O17" i="58"/>
  <c r="P17" i="58" s="1"/>
  <c r="Q17" i="58" s="1"/>
  <c r="P91" i="58"/>
  <c r="O47" i="58"/>
  <c r="P47" i="58"/>
  <c r="Q47" i="58"/>
  <c r="O69" i="58"/>
  <c r="P69" i="58" s="1"/>
  <c r="O85" i="58"/>
  <c r="P85" i="58" s="1"/>
  <c r="O105" i="58"/>
  <c r="P105" i="58" s="1"/>
  <c r="V105" i="58" s="1"/>
  <c r="W105" i="58" s="1"/>
  <c r="O108" i="58"/>
  <c r="P108" i="58"/>
  <c r="Q108" i="58" s="1"/>
  <c r="O10" i="50"/>
  <c r="P10" i="50"/>
  <c r="K21" i="42"/>
  <c r="G21" i="42"/>
  <c r="C21" i="42"/>
  <c r="G35" i="42"/>
  <c r="K57" i="42"/>
  <c r="G67" i="42"/>
  <c r="F67" i="42"/>
  <c r="J67" i="42"/>
  <c r="C67" i="42"/>
  <c r="F79" i="42"/>
  <c r="H79" i="42"/>
  <c r="G89" i="42"/>
  <c r="M99" i="42"/>
  <c r="K99" i="42"/>
  <c r="N98" i="42"/>
  <c r="G99" i="42"/>
  <c r="E21" i="34"/>
  <c r="D21" i="34"/>
  <c r="E35" i="34"/>
  <c r="F35" i="34"/>
  <c r="C57" i="34"/>
  <c r="E79" i="34"/>
  <c r="J21" i="26"/>
  <c r="F21" i="26"/>
  <c r="L34" i="26"/>
  <c r="D67" i="26"/>
  <c r="H21" i="18"/>
  <c r="D21" i="18"/>
  <c r="I47" i="18"/>
  <c r="F57" i="18"/>
  <c r="I67" i="18"/>
  <c r="E67" i="18"/>
  <c r="H89" i="18"/>
  <c r="D89" i="18"/>
  <c r="I99" i="18"/>
  <c r="I21" i="10"/>
  <c r="C35" i="10"/>
  <c r="F35" i="10"/>
  <c r="J34" i="10"/>
  <c r="H47" i="10"/>
  <c r="C57" i="10"/>
  <c r="H57" i="10"/>
  <c r="J88" i="10"/>
  <c r="J98" i="10"/>
  <c r="F25" i="4"/>
  <c r="F45" i="4"/>
  <c r="F65" i="4"/>
  <c r="H73" i="4"/>
  <c r="J73" i="4" s="1"/>
  <c r="F81" i="4"/>
  <c r="C17" i="4"/>
  <c r="D37" i="4"/>
  <c r="O8" i="58"/>
  <c r="P8" i="58"/>
  <c r="O13" i="58"/>
  <c r="P13" i="58" s="1"/>
  <c r="O80" i="58"/>
  <c r="P80" i="58" s="1"/>
  <c r="O20" i="58"/>
  <c r="P20" i="58"/>
  <c r="O101" i="58"/>
  <c r="P101" i="58"/>
  <c r="V101" i="58" s="1"/>
  <c r="O103" i="58"/>
  <c r="P103" i="58" s="1"/>
  <c r="V103" i="58" s="1"/>
  <c r="Q103" i="58"/>
  <c r="O12" i="50"/>
  <c r="P12" i="50" s="1"/>
  <c r="N20" i="42"/>
  <c r="M21" i="42"/>
  <c r="D21" i="42"/>
  <c r="L35" i="42"/>
  <c r="H35" i="42"/>
  <c r="C35" i="42"/>
  <c r="G47" i="42"/>
  <c r="N46" i="42"/>
  <c r="H57" i="42"/>
  <c r="E57" i="42"/>
  <c r="K67" i="42"/>
  <c r="D67" i="42"/>
  <c r="N67" i="42" s="1"/>
  <c r="L79" i="42"/>
  <c r="I79" i="42"/>
  <c r="L89" i="42"/>
  <c r="C89" i="42"/>
  <c r="H99" i="42"/>
  <c r="D99" i="42"/>
  <c r="F21" i="34"/>
  <c r="J21" i="34"/>
  <c r="I21" i="34"/>
  <c r="K20" i="34"/>
  <c r="J35" i="34"/>
  <c r="K46" i="34"/>
  <c r="J57" i="34"/>
  <c r="K66" i="34"/>
  <c r="K21" i="26"/>
  <c r="G21" i="26"/>
  <c r="J35" i="26"/>
  <c r="H35" i="26"/>
  <c r="G47" i="26"/>
  <c r="E57" i="26"/>
  <c r="F79" i="26"/>
  <c r="J89" i="26"/>
  <c r="H89" i="26"/>
  <c r="H99" i="26"/>
  <c r="F99" i="26"/>
  <c r="I21" i="18"/>
  <c r="E21" i="18"/>
  <c r="J20" i="18"/>
  <c r="G57" i="18"/>
  <c r="C57" i="18"/>
  <c r="F67" i="18"/>
  <c r="I79" i="18"/>
  <c r="I89" i="18"/>
  <c r="E89" i="18"/>
  <c r="J98" i="18"/>
  <c r="E21" i="10"/>
  <c r="H21" i="10"/>
  <c r="J20" i="10"/>
  <c r="C47" i="10"/>
  <c r="J47" i="10" s="1"/>
  <c r="G47" i="10"/>
  <c r="I57" i="10"/>
  <c r="D57" i="10"/>
  <c r="E57" i="10"/>
  <c r="F67" i="10"/>
  <c r="E99" i="10"/>
  <c r="J16" i="4"/>
  <c r="G25" i="4"/>
  <c r="C25" i="4"/>
  <c r="G45" i="4"/>
  <c r="C45" i="4"/>
  <c r="J45" i="4" s="1"/>
  <c r="J54" i="4"/>
  <c r="G65" i="4"/>
  <c r="C65" i="4"/>
  <c r="G81" i="4"/>
  <c r="J80" i="4"/>
  <c r="C81" i="4"/>
  <c r="J81" i="4" s="1"/>
  <c r="C37" i="4"/>
  <c r="G37" i="4"/>
  <c r="J37" i="4" s="1"/>
  <c r="P39" i="58"/>
  <c r="V39" i="58"/>
  <c r="O16" i="58"/>
  <c r="P16" i="58"/>
  <c r="Q16" i="58" s="1"/>
  <c r="P51" i="58"/>
  <c r="O55" i="58"/>
  <c r="P55" i="58"/>
  <c r="O60" i="58"/>
  <c r="P60" i="58" s="1"/>
  <c r="V60" i="58" s="1"/>
  <c r="X60" i="58" s="1"/>
  <c r="O62" i="58"/>
  <c r="P62" i="58"/>
  <c r="Q62" i="58" s="1"/>
  <c r="V62" i="58"/>
  <c r="X62" i="58"/>
  <c r="O72" i="58"/>
  <c r="P72" i="58"/>
  <c r="O46" i="55"/>
  <c r="P46" i="55" s="1"/>
  <c r="V46" i="55" s="1"/>
  <c r="Q46" i="55"/>
  <c r="O24" i="55"/>
  <c r="P24" i="55"/>
  <c r="O92" i="55"/>
  <c r="P92" i="55" s="1"/>
  <c r="O88" i="55"/>
  <c r="P88" i="55"/>
  <c r="O84" i="55"/>
  <c r="P84" i="55" s="1"/>
  <c r="V84" i="55" s="1"/>
  <c r="W84" i="55" s="1"/>
  <c r="O80" i="55"/>
  <c r="P80" i="55"/>
  <c r="V80" i="55" s="1"/>
  <c r="O76" i="55"/>
  <c r="P76" i="55" s="1"/>
  <c r="O72" i="55"/>
  <c r="P72" i="55" s="1"/>
  <c r="O68" i="55"/>
  <c r="P68" i="55"/>
  <c r="O67" i="55"/>
  <c r="P67" i="55"/>
  <c r="Q67" i="55" s="1"/>
  <c r="J47" i="30"/>
  <c r="E99" i="14"/>
  <c r="G21" i="6"/>
  <c r="F21" i="6"/>
  <c r="J56" i="6"/>
  <c r="I67" i="6"/>
  <c r="H67" i="6"/>
  <c r="F79" i="6"/>
  <c r="P65" i="58"/>
  <c r="V65" i="58" s="1"/>
  <c r="O74" i="58"/>
  <c r="P74" i="58" s="1"/>
  <c r="Q74" i="58" s="1"/>
  <c r="O78" i="58"/>
  <c r="P78" i="58"/>
  <c r="O44" i="58"/>
  <c r="P44" i="58" s="1"/>
  <c r="Q44" i="58" s="1"/>
  <c r="O48" i="58"/>
  <c r="P48" i="58" s="1"/>
  <c r="O57" i="58"/>
  <c r="P57" i="58" s="1"/>
  <c r="Q57" i="58" s="1"/>
  <c r="O64" i="58"/>
  <c r="P64" i="58" s="1"/>
  <c r="Q64" i="58" s="1"/>
  <c r="O66" i="58"/>
  <c r="P66" i="58" s="1"/>
  <c r="O89" i="58"/>
  <c r="P89" i="58"/>
  <c r="O94" i="58"/>
  <c r="P94" i="58"/>
  <c r="O98" i="58"/>
  <c r="P98" i="58"/>
  <c r="V98" i="58"/>
  <c r="W98" i="58" s="1"/>
  <c r="Y98" i="58" s="1"/>
  <c r="O107" i="58"/>
  <c r="P107" i="58"/>
  <c r="O45" i="58"/>
  <c r="P45" i="58"/>
  <c r="O84" i="58"/>
  <c r="P84" i="58"/>
  <c r="O97" i="58"/>
  <c r="P97" i="58" s="1"/>
  <c r="Q97" i="58" s="1"/>
  <c r="O48" i="55"/>
  <c r="P48" i="55" s="1"/>
  <c r="Q48" i="55" s="1"/>
  <c r="O47" i="55"/>
  <c r="P47" i="55"/>
  <c r="O38" i="55"/>
  <c r="P38" i="55"/>
  <c r="I21" i="46"/>
  <c r="C21" i="46"/>
  <c r="G35" i="30"/>
  <c r="K35" i="30" s="1"/>
  <c r="G79" i="14"/>
  <c r="E79" i="14"/>
  <c r="D89" i="14"/>
  <c r="O77" i="58"/>
  <c r="P77" i="58" s="1"/>
  <c r="O82" i="58"/>
  <c r="P82" i="58"/>
  <c r="O10" i="58"/>
  <c r="P10" i="58"/>
  <c r="V10" i="58" s="1"/>
  <c r="W10" i="58" s="1"/>
  <c r="Y10" i="58" s="1"/>
  <c r="O50" i="58"/>
  <c r="P50" i="58"/>
  <c r="Q50" i="58" s="1"/>
  <c r="V50" i="58"/>
  <c r="X50" i="58" s="1"/>
  <c r="O52" i="58"/>
  <c r="P52" i="58"/>
  <c r="O63" i="58"/>
  <c r="P63" i="58" s="1"/>
  <c r="O68" i="58"/>
  <c r="P68" i="58"/>
  <c r="O70" i="58"/>
  <c r="P70" i="58"/>
  <c r="O93" i="58"/>
  <c r="P93" i="58"/>
  <c r="O100" i="58"/>
  <c r="P100" i="58" s="1"/>
  <c r="Q100" i="58" s="1"/>
  <c r="O102" i="58"/>
  <c r="P102" i="58" s="1"/>
  <c r="V102" i="58" s="1"/>
  <c r="X102" i="58" s="1"/>
  <c r="O71" i="58"/>
  <c r="P71" i="58" s="1"/>
  <c r="Q71" i="58" s="1"/>
  <c r="O52" i="55"/>
  <c r="P52" i="55"/>
  <c r="O44" i="55"/>
  <c r="P44" i="55" s="1"/>
  <c r="O40" i="55"/>
  <c r="P40" i="55" s="1"/>
  <c r="Q40" i="55" s="1"/>
  <c r="O39" i="55"/>
  <c r="P39" i="55"/>
  <c r="O30" i="55"/>
  <c r="P30" i="55"/>
  <c r="K21" i="46"/>
  <c r="D21" i="46"/>
  <c r="E21" i="46"/>
  <c r="N21" i="46" s="1"/>
  <c r="F21" i="46"/>
  <c r="H21" i="46"/>
  <c r="J21" i="46"/>
  <c r="L21" i="46"/>
  <c r="M21" i="46"/>
  <c r="I47" i="46"/>
  <c r="D47" i="46"/>
  <c r="H47" i="46"/>
  <c r="G47" i="46"/>
  <c r="J56" i="22"/>
  <c r="O76" i="58"/>
  <c r="P76" i="58"/>
  <c r="V76" i="58"/>
  <c r="O49" i="58"/>
  <c r="P49" i="58"/>
  <c r="Q49" i="58" s="1"/>
  <c r="O54" i="58"/>
  <c r="P54" i="58" s="1"/>
  <c r="V54" i="58" s="1"/>
  <c r="X54" i="58" s="1"/>
  <c r="O56" i="58"/>
  <c r="P56" i="58"/>
  <c r="O67" i="58"/>
  <c r="P67" i="58"/>
  <c r="Q67" i="58" s="1"/>
  <c r="O86" i="58"/>
  <c r="P86" i="58"/>
  <c r="O88" i="58"/>
  <c r="P88" i="58" s="1"/>
  <c r="Q88" i="58" s="1"/>
  <c r="O99" i="58"/>
  <c r="P99" i="58" s="1"/>
  <c r="O104" i="58"/>
  <c r="P104" i="58"/>
  <c r="O106" i="58"/>
  <c r="P106" i="58"/>
  <c r="Q106" i="58" s="1"/>
  <c r="O33" i="58"/>
  <c r="P33" i="58"/>
  <c r="Q33" i="58" s="1"/>
  <c r="O32" i="58"/>
  <c r="P32" i="58"/>
  <c r="O110" i="58"/>
  <c r="P110" i="58" s="1"/>
  <c r="O61" i="55"/>
  <c r="P61" i="55"/>
  <c r="V61" i="55"/>
  <c r="W61" i="55" s="1"/>
  <c r="O57" i="55"/>
  <c r="P57" i="55"/>
  <c r="O53" i="55"/>
  <c r="P53" i="55" s="1"/>
  <c r="V53" i="55" s="1"/>
  <c r="O36" i="55"/>
  <c r="P36" i="55" s="1"/>
  <c r="O32" i="55"/>
  <c r="P32" i="55" s="1"/>
  <c r="O31" i="55"/>
  <c r="P31" i="55"/>
  <c r="C67" i="46"/>
  <c r="E57" i="46"/>
  <c r="F57" i="46"/>
  <c r="H57" i="46"/>
  <c r="L57" i="46"/>
  <c r="G67" i="38"/>
  <c r="C67" i="38"/>
  <c r="C79" i="38"/>
  <c r="E89" i="38"/>
  <c r="C89" i="38"/>
  <c r="F99" i="38"/>
  <c r="J98" i="38"/>
  <c r="C99" i="30"/>
  <c r="F57" i="30"/>
  <c r="O50" i="55"/>
  <c r="P50" i="55"/>
  <c r="Q50" i="55" s="1"/>
  <c r="O49" i="55"/>
  <c r="P49" i="55"/>
  <c r="O41" i="55"/>
  <c r="P41" i="55" s="1"/>
  <c r="V41" i="55" s="1"/>
  <c r="X41" i="55" s="1"/>
  <c r="O33" i="55"/>
  <c r="P33" i="55"/>
  <c r="O25" i="55"/>
  <c r="P25" i="55" s="1"/>
  <c r="O91" i="55"/>
  <c r="P91" i="55"/>
  <c r="Q91" i="55"/>
  <c r="O87" i="55"/>
  <c r="P87" i="55"/>
  <c r="O83" i="55"/>
  <c r="P83" i="55"/>
  <c r="O79" i="55"/>
  <c r="P79" i="55"/>
  <c r="V79" i="55"/>
  <c r="X79" i="55" s="1"/>
  <c r="O75" i="55"/>
  <c r="P75" i="55" s="1"/>
  <c r="O71" i="55"/>
  <c r="P71" i="55"/>
  <c r="N34" i="46"/>
  <c r="H89" i="46"/>
  <c r="E99" i="46"/>
  <c r="D47" i="38"/>
  <c r="H67" i="38"/>
  <c r="D67" i="38"/>
  <c r="J67" i="38" s="1"/>
  <c r="H35" i="30"/>
  <c r="D35" i="30"/>
  <c r="I57" i="30"/>
  <c r="G57" i="30"/>
  <c r="I79" i="30"/>
  <c r="F79" i="30"/>
  <c r="D57" i="22"/>
  <c r="I57" i="22"/>
  <c r="G79" i="22"/>
  <c r="C89" i="22"/>
  <c r="J89" i="22" s="1"/>
  <c r="E89" i="22"/>
  <c r="D89" i="22"/>
  <c r="G89" i="22"/>
  <c r="J98" i="22"/>
  <c r="E99" i="22"/>
  <c r="D99" i="22"/>
  <c r="F99" i="22"/>
  <c r="G99" i="22"/>
  <c r="H99" i="22"/>
  <c r="I99" i="22"/>
  <c r="J99" i="22"/>
  <c r="I78" i="14"/>
  <c r="D79" i="14"/>
  <c r="I88" i="14"/>
  <c r="H89" i="14"/>
  <c r="D57" i="6"/>
  <c r="E67" i="6"/>
  <c r="J98" i="6"/>
  <c r="O59" i="55"/>
  <c r="P59" i="55"/>
  <c r="O56" i="55"/>
  <c r="P56" i="55"/>
  <c r="V56" i="55" s="1"/>
  <c r="O55" i="55"/>
  <c r="P55" i="55" s="1"/>
  <c r="Q55" i="55"/>
  <c r="O43" i="55"/>
  <c r="P43" i="55"/>
  <c r="V43" i="55" s="1"/>
  <c r="W43" i="55" s="1"/>
  <c r="Y43" i="55" s="1"/>
  <c r="O35" i="55"/>
  <c r="P35" i="55"/>
  <c r="Q35" i="55" s="1"/>
  <c r="O27" i="55"/>
  <c r="P27" i="55" s="1"/>
  <c r="Q27" i="55"/>
  <c r="O94" i="55"/>
  <c r="P94" i="55" s="1"/>
  <c r="Q94" i="55" s="1"/>
  <c r="O90" i="55"/>
  <c r="P90" i="55" s="1"/>
  <c r="Q90" i="55" s="1"/>
  <c r="O86" i="55"/>
  <c r="P86" i="55"/>
  <c r="O82" i="55"/>
  <c r="P82" i="55"/>
  <c r="Q82" i="55" s="1"/>
  <c r="O78" i="55"/>
  <c r="P78" i="55" s="1"/>
  <c r="O74" i="55"/>
  <c r="P74" i="55"/>
  <c r="O70" i="55"/>
  <c r="P70" i="55" s="1"/>
  <c r="O69" i="55"/>
  <c r="P69" i="55"/>
  <c r="O65" i="55"/>
  <c r="P65" i="55" s="1"/>
  <c r="N20" i="46"/>
  <c r="M35" i="46"/>
  <c r="J47" i="46"/>
  <c r="E67" i="46"/>
  <c r="N78" i="46"/>
  <c r="G79" i="46"/>
  <c r="N88" i="46"/>
  <c r="H99" i="46"/>
  <c r="L99" i="46"/>
  <c r="H35" i="38"/>
  <c r="D35" i="38"/>
  <c r="E57" i="38"/>
  <c r="I67" i="38"/>
  <c r="E67" i="38"/>
  <c r="F67" i="38"/>
  <c r="H99" i="38"/>
  <c r="D35" i="14"/>
  <c r="C57" i="14"/>
  <c r="G67" i="14"/>
  <c r="H21" i="6"/>
  <c r="H99" i="6"/>
  <c r="F99" i="6"/>
  <c r="O51" i="55"/>
  <c r="P51" i="55"/>
  <c r="V51" i="55" s="1"/>
  <c r="O45" i="55"/>
  <c r="P45" i="55" s="1"/>
  <c r="V45" i="55" s="1"/>
  <c r="W45" i="55" s="1"/>
  <c r="Y45" i="55" s="1"/>
  <c r="O37" i="55"/>
  <c r="P37" i="55"/>
  <c r="O29" i="55"/>
  <c r="P29" i="55"/>
  <c r="O93" i="55"/>
  <c r="P93" i="55" s="1"/>
  <c r="O89" i="55"/>
  <c r="P89" i="55"/>
  <c r="Q89" i="55" s="1"/>
  <c r="O85" i="55"/>
  <c r="P85" i="55" s="1"/>
  <c r="Q85" i="55" s="1"/>
  <c r="O81" i="55"/>
  <c r="P81" i="55" s="1"/>
  <c r="Q81" i="55" s="1"/>
  <c r="O77" i="55"/>
  <c r="P77" i="55"/>
  <c r="O73" i="55"/>
  <c r="P73" i="55" s="1"/>
  <c r="O63" i="55"/>
  <c r="P63" i="55"/>
  <c r="Q63" i="55" s="1"/>
  <c r="V63" i="55"/>
  <c r="W63" i="55" s="1"/>
  <c r="Y63" i="55" s="1"/>
  <c r="O10" i="55"/>
  <c r="P10" i="55" s="1"/>
  <c r="O11" i="55"/>
  <c r="P11" i="55" s="1"/>
  <c r="O13" i="55"/>
  <c r="P13" i="55" s="1"/>
  <c r="Q13" i="55" s="1"/>
  <c r="O14" i="55"/>
  <c r="P14" i="55"/>
  <c r="Q14" i="55"/>
  <c r="O15" i="55"/>
  <c r="P15" i="55"/>
  <c r="K35" i="46"/>
  <c r="N46" i="46"/>
  <c r="M67" i="46"/>
  <c r="M99" i="46"/>
  <c r="G57" i="46"/>
  <c r="I57" i="46"/>
  <c r="J57" i="46"/>
  <c r="I47" i="38"/>
  <c r="G47" i="38"/>
  <c r="C57" i="38"/>
  <c r="G89" i="30"/>
  <c r="J20" i="22"/>
  <c r="D21" i="22"/>
  <c r="J34" i="22"/>
  <c r="I35" i="22"/>
  <c r="G35" i="22"/>
  <c r="J35" i="22" s="1"/>
  <c r="C67" i="22"/>
  <c r="J67" i="22" s="1"/>
  <c r="J66" i="22"/>
  <c r="F67" i="22"/>
  <c r="E21" i="14"/>
  <c r="G21" i="14"/>
  <c r="H21" i="14"/>
  <c r="D21" i="14"/>
  <c r="H35" i="14"/>
  <c r="D47" i="14"/>
  <c r="E47" i="14"/>
  <c r="I47" i="14" s="1"/>
  <c r="G47" i="14"/>
  <c r="F47" i="6"/>
  <c r="E47" i="6"/>
  <c r="J78" i="6"/>
  <c r="C79" i="6"/>
  <c r="D89" i="6"/>
  <c r="C89" i="6"/>
  <c r="E89" i="6"/>
  <c r="F89" i="6"/>
  <c r="G89" i="6"/>
  <c r="H89" i="6"/>
  <c r="J89" i="6" s="1"/>
  <c r="I89" i="6"/>
  <c r="C21" i="6"/>
  <c r="J34" i="6"/>
  <c r="I57" i="6"/>
  <c r="G57" i="6"/>
  <c r="J66" i="6"/>
  <c r="I79" i="6"/>
  <c r="D79" i="6"/>
  <c r="D99" i="6"/>
  <c r="E35" i="46"/>
  <c r="L35" i="46"/>
  <c r="C35" i="46"/>
  <c r="M79" i="46"/>
  <c r="J79" i="46"/>
  <c r="D99" i="46"/>
  <c r="G99" i="46"/>
  <c r="N98" i="46"/>
  <c r="D57" i="46"/>
  <c r="J20" i="38"/>
  <c r="C47" i="38"/>
  <c r="H89" i="38"/>
  <c r="D89" i="38"/>
  <c r="K34" i="30"/>
  <c r="J67" i="30"/>
  <c r="J79" i="30"/>
  <c r="D79" i="30"/>
  <c r="C79" i="30"/>
  <c r="I89" i="30"/>
  <c r="J99" i="30"/>
  <c r="F99" i="30"/>
  <c r="E99" i="30"/>
  <c r="G21" i="22"/>
  <c r="C57" i="22"/>
  <c r="J57" i="22" s="1"/>
  <c r="J78" i="22"/>
  <c r="I79" i="22"/>
  <c r="I89" i="22"/>
  <c r="I67" i="22"/>
  <c r="E67" i="22"/>
  <c r="C21" i="14"/>
  <c r="I21" i="14" s="1"/>
  <c r="I20" i="14"/>
  <c r="F21" i="14"/>
  <c r="I34" i="14"/>
  <c r="I46" i="14"/>
  <c r="F47" i="14"/>
  <c r="I98" i="14"/>
  <c r="D99" i="14"/>
  <c r="D21" i="6"/>
  <c r="C47" i="6"/>
  <c r="E57" i="6"/>
  <c r="C57" i="6"/>
  <c r="F67" i="6"/>
  <c r="D67" i="6"/>
  <c r="E79" i="6"/>
  <c r="J88" i="6"/>
  <c r="I99" i="6"/>
  <c r="K47" i="46"/>
  <c r="C57" i="46"/>
  <c r="K57" i="46"/>
  <c r="F21" i="38"/>
  <c r="J21" i="38" s="1"/>
  <c r="D21" i="38"/>
  <c r="J66" i="38"/>
  <c r="D99" i="38"/>
  <c r="G21" i="30"/>
  <c r="E47" i="30"/>
  <c r="D47" i="30"/>
  <c r="E79" i="30"/>
  <c r="E89" i="30"/>
  <c r="D99" i="30"/>
  <c r="C21" i="22"/>
  <c r="F47" i="22"/>
  <c r="D79" i="22"/>
  <c r="J79" i="22" s="1"/>
  <c r="F79" i="22"/>
  <c r="H79" i="22"/>
  <c r="H89" i="22"/>
  <c r="C35" i="14"/>
  <c r="I35" i="14" s="1"/>
  <c r="C47" i="14"/>
  <c r="D67" i="14"/>
  <c r="E67" i="14"/>
  <c r="F67" i="14"/>
  <c r="C79" i="14"/>
  <c r="F79" i="14"/>
  <c r="C89" i="14"/>
  <c r="F89" i="14"/>
  <c r="C99" i="14"/>
  <c r="G99" i="14"/>
  <c r="J20" i="6"/>
  <c r="E21" i="6"/>
  <c r="D47" i="6"/>
  <c r="F57" i="6"/>
  <c r="G67" i="6"/>
  <c r="G99" i="6"/>
  <c r="E99" i="6"/>
  <c r="C99" i="6"/>
  <c r="Q31" i="61"/>
  <c r="V31" i="61"/>
  <c r="W31" i="61" s="1"/>
  <c r="Q119" i="61"/>
  <c r="V16" i="61"/>
  <c r="Q16" i="61"/>
  <c r="O53" i="61"/>
  <c r="P53" i="61"/>
  <c r="Q53" i="61" s="1"/>
  <c r="V50" i="61"/>
  <c r="X50" i="61" s="1"/>
  <c r="Q50" i="61"/>
  <c r="V69" i="61"/>
  <c r="Q69" i="61"/>
  <c r="V59" i="61"/>
  <c r="X59" i="61" s="1"/>
  <c r="Q21" i="61"/>
  <c r="V44" i="57"/>
  <c r="Q44" i="57"/>
  <c r="O10" i="61"/>
  <c r="P10" i="61"/>
  <c r="Q88" i="61"/>
  <c r="V88" i="61"/>
  <c r="W88" i="61" s="1"/>
  <c r="Y88" i="61" s="1"/>
  <c r="Q78" i="61"/>
  <c r="Q117" i="61"/>
  <c r="Q110" i="61"/>
  <c r="V112" i="61"/>
  <c r="Q112" i="61"/>
  <c r="Q13" i="61"/>
  <c r="P26" i="61"/>
  <c r="Q26" i="61" s="1"/>
  <c r="X124" i="61"/>
  <c r="Q124" i="61"/>
  <c r="Q73" i="61"/>
  <c r="V109" i="61"/>
  <c r="Q109" i="61"/>
  <c r="Q75" i="61"/>
  <c r="P66" i="61"/>
  <c r="V66" i="61" s="1"/>
  <c r="V36" i="57"/>
  <c r="Q90" i="50"/>
  <c r="V88" i="50"/>
  <c r="X88" i="50" s="1"/>
  <c r="Q88" i="50"/>
  <c r="Q84" i="50"/>
  <c r="Q72" i="50"/>
  <c r="Q65" i="57"/>
  <c r="V65" i="57"/>
  <c r="X65" i="57" s="1"/>
  <c r="V91" i="50"/>
  <c r="V85" i="50"/>
  <c r="Q82" i="50"/>
  <c r="Q62" i="50"/>
  <c r="V33" i="50"/>
  <c r="Q62" i="57"/>
  <c r="Q30" i="57"/>
  <c r="P29" i="57"/>
  <c r="V29" i="57" s="1"/>
  <c r="P67" i="57"/>
  <c r="P80" i="57"/>
  <c r="Q71" i="50"/>
  <c r="V70" i="50"/>
  <c r="Q33" i="57"/>
  <c r="V33" i="57"/>
  <c r="X33" i="57" s="1"/>
  <c r="Q92" i="50"/>
  <c r="Q51" i="50"/>
  <c r="W31" i="58"/>
  <c r="Y31" i="58" s="1"/>
  <c r="Q53" i="58"/>
  <c r="V59" i="58"/>
  <c r="Q59" i="58"/>
  <c r="Q65" i="58"/>
  <c r="V97" i="58"/>
  <c r="Q31" i="58"/>
  <c r="Q8" i="58"/>
  <c r="V8" i="58"/>
  <c r="W8" i="58" s="1"/>
  <c r="Y8" i="58" s="1"/>
  <c r="P15" i="58"/>
  <c r="V93" i="58"/>
  <c r="Q93" i="58"/>
  <c r="Q92" i="58"/>
  <c r="Q39" i="58"/>
  <c r="V16" i="58"/>
  <c r="W16" i="58" s="1"/>
  <c r="O83" i="58"/>
  <c r="P83" i="58" s="1"/>
  <c r="V58" i="55"/>
  <c r="W58" i="55" s="1"/>
  <c r="Y58" i="55" s="1"/>
  <c r="V54" i="55"/>
  <c r="Q54" i="55"/>
  <c r="Q26" i="55"/>
  <c r="Q28" i="55"/>
  <c r="V28" i="55"/>
  <c r="Q61" i="55"/>
  <c r="V55" i="55"/>
  <c r="W55" i="55" s="1"/>
  <c r="Y55" i="55" s="1"/>
  <c r="V27" i="55"/>
  <c r="O109" i="58"/>
  <c r="P109" i="58"/>
  <c r="O22" i="55"/>
  <c r="P22" i="55"/>
  <c r="O19" i="55"/>
  <c r="P19" i="55" s="1"/>
  <c r="O21" i="55"/>
  <c r="P21" i="55" s="1"/>
  <c r="V21" i="55" s="1"/>
  <c r="X21" i="55" s="1"/>
  <c r="O23" i="55"/>
  <c r="P23" i="55" s="1"/>
  <c r="V23" i="55" s="1"/>
  <c r="X23" i="55" s="1"/>
  <c r="O20" i="55"/>
  <c r="P20" i="55"/>
  <c r="J34" i="38"/>
  <c r="G79" i="38"/>
  <c r="J78" i="38"/>
  <c r="G99" i="38"/>
  <c r="E99" i="38"/>
  <c r="E21" i="30"/>
  <c r="I35" i="30"/>
  <c r="J57" i="30"/>
  <c r="K56" i="30"/>
  <c r="C57" i="30"/>
  <c r="G67" i="30"/>
  <c r="K66" i="30"/>
  <c r="C67" i="30"/>
  <c r="H89" i="30"/>
  <c r="E35" i="22"/>
  <c r="E47" i="22"/>
  <c r="G21" i="38"/>
  <c r="C21" i="38"/>
  <c r="G89" i="38"/>
  <c r="J21" i="30"/>
  <c r="H21" i="30"/>
  <c r="F21" i="30"/>
  <c r="K20" i="30"/>
  <c r="C21" i="30"/>
  <c r="I47" i="30"/>
  <c r="G47" i="30"/>
  <c r="F47" i="30"/>
  <c r="K46" i="30"/>
  <c r="C47" i="30"/>
  <c r="K47" i="30" s="1"/>
  <c r="D67" i="30"/>
  <c r="K78" i="30"/>
  <c r="C89" i="30"/>
  <c r="G99" i="30"/>
  <c r="H21" i="22"/>
  <c r="H47" i="22"/>
  <c r="D47" i="22"/>
  <c r="E35" i="38"/>
  <c r="J35" i="38" s="1"/>
  <c r="J46" i="38"/>
  <c r="I57" i="38"/>
  <c r="I99" i="38"/>
  <c r="I21" i="30"/>
  <c r="D21" i="30"/>
  <c r="H57" i="30"/>
  <c r="E57" i="30"/>
  <c r="H67" i="30"/>
  <c r="E67" i="30"/>
  <c r="F89" i="30"/>
  <c r="K88" i="30"/>
  <c r="E21" i="22"/>
  <c r="I21" i="22"/>
  <c r="F35" i="38"/>
  <c r="C35" i="38"/>
  <c r="J56" i="38"/>
  <c r="I89" i="38"/>
  <c r="J35" i="30"/>
  <c r="E35" i="30"/>
  <c r="C35" i="30"/>
  <c r="D57" i="30"/>
  <c r="I67" i="30"/>
  <c r="F67" i="30"/>
  <c r="H79" i="30"/>
  <c r="K98" i="30"/>
  <c r="F35" i="22"/>
  <c r="X16" i="63"/>
  <c r="Y16" i="63"/>
  <c r="Y18" i="63"/>
  <c r="X18" i="63"/>
  <c r="Y124" i="63"/>
  <c r="X124" i="63"/>
  <c r="Y105" i="63"/>
  <c r="X105" i="63"/>
  <c r="W12" i="63"/>
  <c r="Y12" i="63"/>
  <c r="X12" i="63"/>
  <c r="Y122" i="63"/>
  <c r="X122" i="63"/>
  <c r="Y8" i="63"/>
  <c r="X8" i="63"/>
  <c r="X45" i="63"/>
  <c r="Y45" i="63"/>
  <c r="Y94" i="63"/>
  <c r="X94" i="63"/>
  <c r="Y85" i="63"/>
  <c r="X85" i="63"/>
  <c r="Y117" i="63"/>
  <c r="X117" i="63"/>
  <c r="Y88" i="63"/>
  <c r="X88" i="63"/>
  <c r="Y120" i="63"/>
  <c r="X120" i="63"/>
  <c r="Y107" i="63"/>
  <c r="X107" i="63"/>
  <c r="Y98" i="63"/>
  <c r="X98" i="63"/>
  <c r="Y100" i="63"/>
  <c r="X100" i="63"/>
  <c r="Y29" i="63"/>
  <c r="X29" i="63"/>
  <c r="X38" i="63"/>
  <c r="Y38" i="63"/>
  <c r="Y92" i="63"/>
  <c r="X92" i="63"/>
  <c r="Y27" i="63"/>
  <c r="X27" i="63"/>
  <c r="X39" i="63"/>
  <c r="Y39" i="63"/>
  <c r="Y103" i="63"/>
  <c r="X103" i="63"/>
  <c r="Y87" i="63"/>
  <c r="X87" i="63"/>
  <c r="Y111" i="63"/>
  <c r="X111" i="63"/>
  <c r="Y113" i="63"/>
  <c r="X113" i="63"/>
  <c r="Y96" i="63"/>
  <c r="X96" i="63"/>
  <c r="Y115" i="63"/>
  <c r="X115" i="63"/>
  <c r="Y90" i="63"/>
  <c r="X90" i="63"/>
  <c r="Y109" i="63"/>
  <c r="X109" i="63"/>
  <c r="Y116" i="63"/>
  <c r="X116" i="63"/>
  <c r="Y118" i="63"/>
  <c r="X118" i="63"/>
  <c r="Q52" i="61"/>
  <c r="V52" i="61"/>
  <c r="X52" i="61" s="1"/>
  <c r="V73" i="50"/>
  <c r="W73" i="50" s="1"/>
  <c r="Y73" i="50" s="1"/>
  <c r="X73" i="50"/>
  <c r="Q44" i="50"/>
  <c r="Q97" i="61"/>
  <c r="V46" i="57"/>
  <c r="W46" i="57" s="1"/>
  <c r="V39" i="61"/>
  <c r="W39" i="61"/>
  <c r="Y39" i="61" s="1"/>
  <c r="V24" i="61"/>
  <c r="V55" i="61"/>
  <c r="Q29" i="61"/>
  <c r="V24" i="58"/>
  <c r="V18" i="58"/>
  <c r="X18" i="58" s="1"/>
  <c r="V96" i="58"/>
  <c r="W96" i="58" s="1"/>
  <c r="V106" i="58"/>
  <c r="Q11" i="58"/>
  <c r="N21" i="42"/>
  <c r="J89" i="18"/>
  <c r="J99" i="10"/>
  <c r="J47" i="18"/>
  <c r="V93" i="50"/>
  <c r="W93" i="50" s="1"/>
  <c r="Q38" i="58"/>
  <c r="V38" i="58"/>
  <c r="V28" i="58"/>
  <c r="V30" i="58"/>
  <c r="Q30" i="58"/>
  <c r="Q58" i="58"/>
  <c r="V58" i="61"/>
  <c r="X58" i="61" s="1"/>
  <c r="V61" i="61"/>
  <c r="X61" i="61" s="1"/>
  <c r="V23" i="61"/>
  <c r="Q33" i="61"/>
  <c r="V46" i="58"/>
  <c r="V17" i="55"/>
  <c r="Q17" i="55"/>
  <c r="J21" i="18"/>
  <c r="V18" i="50"/>
  <c r="W18" i="50" s="1"/>
  <c r="Y18" i="50"/>
  <c r="Q18" i="50"/>
  <c r="V80" i="50"/>
  <c r="Q80" i="50"/>
  <c r="V118" i="61"/>
  <c r="W118" i="61" s="1"/>
  <c r="X118" i="61"/>
  <c r="Q101" i="61"/>
  <c r="Q83" i="61"/>
  <c r="V83" i="61"/>
  <c r="W83" i="61"/>
  <c r="Y83" i="61" s="1"/>
  <c r="V72" i="61"/>
  <c r="Q72" i="61"/>
  <c r="Q34" i="50"/>
  <c r="V34" i="50"/>
  <c r="W34" i="50" s="1"/>
  <c r="Y34" i="50" s="1"/>
  <c r="Q74" i="50"/>
  <c r="Q28" i="57"/>
  <c r="V28" i="57"/>
  <c r="Q85" i="57"/>
  <c r="V85" i="57"/>
  <c r="X85" i="57" s="1"/>
  <c r="Q68" i="57"/>
  <c r="V68" i="57"/>
  <c r="V121" i="61"/>
  <c r="X121" i="61" s="1"/>
  <c r="Q121" i="61"/>
  <c r="V107" i="58"/>
  <c r="X107" i="58" s="1"/>
  <c r="Q107" i="58"/>
  <c r="V83" i="50"/>
  <c r="Q83" i="50"/>
  <c r="V94" i="61"/>
  <c r="X94" i="61" s="1"/>
  <c r="Q25" i="61"/>
  <c r="V90" i="58"/>
  <c r="X90" i="58" s="1"/>
  <c r="Q79" i="57"/>
  <c r="V79" i="57"/>
  <c r="Q84" i="57"/>
  <c r="V84" i="57"/>
  <c r="Q56" i="55"/>
  <c r="J65" i="4"/>
  <c r="J17" i="4"/>
  <c r="K57" i="34"/>
  <c r="J67" i="18"/>
  <c r="V77" i="57"/>
  <c r="W77" i="57"/>
  <c r="Y77" i="57"/>
  <c r="Q9" i="55"/>
  <c r="Q28" i="61"/>
  <c r="V28" i="61"/>
  <c r="Q39" i="57"/>
  <c r="V39" i="57"/>
  <c r="W30" i="57"/>
  <c r="Y30" i="57" s="1"/>
  <c r="X30" i="57"/>
  <c r="V41" i="57"/>
  <c r="X41" i="57" s="1"/>
  <c r="I99" i="14"/>
  <c r="I79" i="14"/>
  <c r="J47" i="22"/>
  <c r="J89" i="38"/>
  <c r="J67" i="6"/>
  <c r="N35" i="46"/>
  <c r="J67" i="10"/>
  <c r="J35" i="10"/>
  <c r="Q57" i="61"/>
  <c r="Q40" i="61"/>
  <c r="V40" i="61"/>
  <c r="W40" i="61"/>
  <c r="Y40" i="61"/>
  <c r="V35" i="57"/>
  <c r="Q35" i="57"/>
  <c r="V44" i="61"/>
  <c r="X44" i="61" s="1"/>
  <c r="Q44" i="61"/>
  <c r="Q101" i="58"/>
  <c r="V49" i="57"/>
  <c r="X49" i="57" s="1"/>
  <c r="Q49" i="57"/>
  <c r="Q16" i="57"/>
  <c r="Y16" i="57"/>
  <c r="Q54" i="61"/>
  <c r="V54" i="61"/>
  <c r="X54" i="61" s="1"/>
  <c r="W54" i="61"/>
  <c r="Y54" i="61" s="1"/>
  <c r="Q55" i="58"/>
  <c r="V55" i="58"/>
  <c r="W55" i="58"/>
  <c r="Y55" i="58"/>
  <c r="V58" i="57"/>
  <c r="V93" i="55"/>
  <c r="Q93" i="55"/>
  <c r="Q51" i="55"/>
  <c r="V65" i="55"/>
  <c r="W65" i="55" s="1"/>
  <c r="Q65" i="55"/>
  <c r="V94" i="55"/>
  <c r="X94" i="55" s="1"/>
  <c r="V87" i="55"/>
  <c r="Q87" i="55"/>
  <c r="V71" i="58"/>
  <c r="X71" i="58" s="1"/>
  <c r="Q70" i="58"/>
  <c r="V70" i="58"/>
  <c r="V68" i="55"/>
  <c r="Q68" i="55"/>
  <c r="W36" i="58"/>
  <c r="Y36" i="58"/>
  <c r="X36" i="58"/>
  <c r="V69" i="58"/>
  <c r="X69" i="58" s="1"/>
  <c r="Q69" i="58"/>
  <c r="W14" i="58"/>
  <c r="Y14" i="58" s="1"/>
  <c r="X14" i="58"/>
  <c r="J55" i="4"/>
  <c r="Q34" i="57"/>
  <c r="V34" i="57"/>
  <c r="V96" i="61"/>
  <c r="X96" i="61" s="1"/>
  <c r="Q96" i="61"/>
  <c r="V43" i="57"/>
  <c r="W43" i="57" s="1"/>
  <c r="Y43" i="57" s="1"/>
  <c r="X77" i="57"/>
  <c r="W85" i="57"/>
  <c r="Y85" i="57" s="1"/>
  <c r="Q61" i="57"/>
  <c r="V61" i="57"/>
  <c r="W71" i="57"/>
  <c r="Y71" i="57" s="1"/>
  <c r="X71" i="57"/>
  <c r="V45" i="61"/>
  <c r="X45" i="61" s="1"/>
  <c r="Q45" i="61"/>
  <c r="V32" i="61"/>
  <c r="W32" i="61" s="1"/>
  <c r="Y32" i="61" s="1"/>
  <c r="Q32" i="61"/>
  <c r="Q98" i="58"/>
  <c r="V10" i="55"/>
  <c r="X10" i="55" s="1"/>
  <c r="Q10" i="55"/>
  <c r="V81" i="55"/>
  <c r="V69" i="55"/>
  <c r="W69" i="55" s="1"/>
  <c r="Q69" i="55"/>
  <c r="V82" i="55"/>
  <c r="V91" i="55"/>
  <c r="V49" i="55"/>
  <c r="W49" i="55" s="1"/>
  <c r="Y49" i="55" s="1"/>
  <c r="Q49" i="55"/>
  <c r="Q102" i="58"/>
  <c r="V48" i="55"/>
  <c r="V88" i="55"/>
  <c r="Q88" i="55"/>
  <c r="V10" i="50"/>
  <c r="Q10" i="50"/>
  <c r="V91" i="58"/>
  <c r="Q91" i="58"/>
  <c r="V56" i="57"/>
  <c r="Q56" i="57"/>
  <c r="K79" i="34"/>
  <c r="V93" i="57"/>
  <c r="Q45" i="57"/>
  <c r="V32" i="57"/>
  <c r="Q90" i="57"/>
  <c r="V78" i="50"/>
  <c r="Q78" i="50"/>
  <c r="W87" i="57"/>
  <c r="Y87" i="57"/>
  <c r="X87" i="57"/>
  <c r="V66" i="55"/>
  <c r="Q66" i="55"/>
  <c r="V108" i="58"/>
  <c r="V47" i="58"/>
  <c r="Q54" i="57"/>
  <c r="V54" i="57"/>
  <c r="X54" i="57" s="1"/>
  <c r="V111" i="61"/>
  <c r="Q111" i="61"/>
  <c r="V53" i="57"/>
  <c r="V40" i="57"/>
  <c r="X9" i="58"/>
  <c r="W9" i="58"/>
  <c r="Y9" i="58"/>
  <c r="Q10" i="57"/>
  <c r="V10" i="57"/>
  <c r="Q88" i="57"/>
  <c r="V88" i="57"/>
  <c r="V24" i="57"/>
  <c r="Q24" i="57"/>
  <c r="W28" i="57"/>
  <c r="Y28" i="57"/>
  <c r="X28" i="57"/>
  <c r="X9" i="55"/>
  <c r="W9" i="55"/>
  <c r="Y9" i="55"/>
  <c r="Q38" i="50"/>
  <c r="Q11" i="57"/>
  <c r="V72" i="57"/>
  <c r="Q72" i="57"/>
  <c r="K57" i="30"/>
  <c r="I89" i="14"/>
  <c r="V14" i="55"/>
  <c r="V85" i="55"/>
  <c r="Q79" i="55"/>
  <c r="V25" i="55"/>
  <c r="Q25" i="55"/>
  <c r="Q53" i="55"/>
  <c r="Q76" i="58"/>
  <c r="X98" i="58"/>
  <c r="V76" i="55"/>
  <c r="X76" i="55" s="1"/>
  <c r="Q76" i="55"/>
  <c r="W62" i="58"/>
  <c r="Y62" i="58"/>
  <c r="Q21" i="58"/>
  <c r="V21" i="58"/>
  <c r="V12" i="50"/>
  <c r="W12" i="50" s="1"/>
  <c r="Y12" i="50" s="1"/>
  <c r="Q12" i="50"/>
  <c r="Q105" i="58"/>
  <c r="V89" i="55"/>
  <c r="N67" i="46"/>
  <c r="V74" i="55"/>
  <c r="Q74" i="55"/>
  <c r="V90" i="55"/>
  <c r="V83" i="55"/>
  <c r="Q83" i="55"/>
  <c r="Q56" i="58"/>
  <c r="V56" i="58"/>
  <c r="Q52" i="58"/>
  <c r="V52" i="58"/>
  <c r="V67" i="55"/>
  <c r="X67" i="55" s="1"/>
  <c r="V24" i="55"/>
  <c r="W24" i="55" s="1"/>
  <c r="Y24" i="55" s="1"/>
  <c r="Q24" i="55"/>
  <c r="V80" i="58"/>
  <c r="Q80" i="58"/>
  <c r="V75" i="57"/>
  <c r="X75" i="57" s="1"/>
  <c r="V18" i="57"/>
  <c r="V73" i="57"/>
  <c r="X73" i="57" s="1"/>
  <c r="Q73" i="57"/>
  <c r="Q50" i="57"/>
  <c r="V50" i="57"/>
  <c r="X50" i="57" s="1"/>
  <c r="Q86" i="57"/>
  <c r="V86" i="57"/>
  <c r="X86" i="57" s="1"/>
  <c r="V68" i="50"/>
  <c r="X68" i="50" s="1"/>
  <c r="V87" i="58"/>
  <c r="Q87" i="58"/>
  <c r="X38" i="58"/>
  <c r="W38" i="58"/>
  <c r="Y38" i="58" s="1"/>
  <c r="X33" i="61"/>
  <c r="W33" i="61"/>
  <c r="Y33" i="61"/>
  <c r="X30" i="58"/>
  <c r="W30" i="58"/>
  <c r="Y30" i="58"/>
  <c r="W46" i="55"/>
  <c r="Y46" i="55"/>
  <c r="X46" i="55"/>
  <c r="X55" i="55"/>
  <c r="V89" i="58"/>
  <c r="X89" i="58" s="1"/>
  <c r="Q89" i="58"/>
  <c r="X39" i="58"/>
  <c r="W39" i="58"/>
  <c r="Y39" i="58" s="1"/>
  <c r="V17" i="58"/>
  <c r="W59" i="58"/>
  <c r="Y59" i="58"/>
  <c r="X59" i="58"/>
  <c r="X92" i="50"/>
  <c r="W92" i="50"/>
  <c r="Y92" i="50"/>
  <c r="Q80" i="57"/>
  <c r="V80" i="57"/>
  <c r="W65" i="57"/>
  <c r="Y65" i="57" s="1"/>
  <c r="W88" i="50"/>
  <c r="Y88" i="50"/>
  <c r="X93" i="50"/>
  <c r="Y93" i="50"/>
  <c r="X109" i="61"/>
  <c r="W109" i="61"/>
  <c r="Y109" i="61"/>
  <c r="X110" i="61"/>
  <c r="Y110" i="61"/>
  <c r="W94" i="61"/>
  <c r="Y94" i="61" s="1"/>
  <c r="W69" i="61"/>
  <c r="Y69" i="61"/>
  <c r="X69" i="61"/>
  <c r="W119" i="61"/>
  <c r="Y119" i="61" s="1"/>
  <c r="X119" i="61"/>
  <c r="Y31" i="61"/>
  <c r="X31" i="61"/>
  <c r="X106" i="58"/>
  <c r="W106" i="58"/>
  <c r="Y106" i="58"/>
  <c r="X16" i="58"/>
  <c r="Y16" i="58"/>
  <c r="V15" i="58"/>
  <c r="X15" i="58" s="1"/>
  <c r="Q15" i="58"/>
  <c r="W65" i="58"/>
  <c r="Y65" i="58" s="1"/>
  <c r="X65" i="58"/>
  <c r="X53" i="58"/>
  <c r="W53" i="58"/>
  <c r="Y53" i="58"/>
  <c r="X17" i="50"/>
  <c r="Y71" i="50"/>
  <c r="X71" i="50"/>
  <c r="V67" i="57"/>
  <c r="Q67" i="57"/>
  <c r="X18" i="50"/>
  <c r="W75" i="61"/>
  <c r="Y75" i="61"/>
  <c r="X75" i="61"/>
  <c r="Q62" i="61"/>
  <c r="V62" i="61"/>
  <c r="V11" i="61"/>
  <c r="Q11" i="61"/>
  <c r="W112" i="61"/>
  <c r="Y112" i="61" s="1"/>
  <c r="X112" i="61"/>
  <c r="W78" i="61"/>
  <c r="Y78" i="61"/>
  <c r="X88" i="61"/>
  <c r="V10" i="61"/>
  <c r="X10" i="61" s="1"/>
  <c r="Q10" i="61"/>
  <c r="W72" i="61"/>
  <c r="Y72" i="61" s="1"/>
  <c r="X72" i="61"/>
  <c r="W59" i="61"/>
  <c r="Y59" i="61" s="1"/>
  <c r="X83" i="61"/>
  <c r="W55" i="61"/>
  <c r="Y55" i="61" s="1"/>
  <c r="X55" i="61"/>
  <c r="W29" i="61"/>
  <c r="Y29" i="61"/>
  <c r="X29" i="61"/>
  <c r="V20" i="55"/>
  <c r="Q20" i="55"/>
  <c r="Q109" i="58"/>
  <c r="V109" i="58"/>
  <c r="X109" i="58" s="1"/>
  <c r="X58" i="55"/>
  <c r="W40" i="50"/>
  <c r="Y40" i="50"/>
  <c r="Q29" i="57"/>
  <c r="X82" i="50"/>
  <c r="W82" i="50"/>
  <c r="Y82" i="50" s="1"/>
  <c r="W91" i="50"/>
  <c r="Y91" i="50"/>
  <c r="X91" i="50"/>
  <c r="X90" i="50"/>
  <c r="Y90" i="50"/>
  <c r="Q66" i="61"/>
  <c r="V34" i="61"/>
  <c r="Q34" i="61"/>
  <c r="V26" i="61"/>
  <c r="W97" i="61"/>
  <c r="Y97" i="61" s="1"/>
  <c r="X97" i="61"/>
  <c r="Y101" i="61"/>
  <c r="X101" i="61"/>
  <c r="W50" i="61"/>
  <c r="Y50" i="61"/>
  <c r="W61" i="61"/>
  <c r="Y61" i="61" s="1"/>
  <c r="X40" i="61"/>
  <c r="Q21" i="55"/>
  <c r="W26" i="55"/>
  <c r="Y26" i="55" s="1"/>
  <c r="X26" i="55"/>
  <c r="W27" i="55"/>
  <c r="Y27" i="55"/>
  <c r="X27" i="55"/>
  <c r="X54" i="55"/>
  <c r="W54" i="55"/>
  <c r="Y54" i="55"/>
  <c r="X97" i="58"/>
  <c r="W97" i="58"/>
  <c r="Y97" i="58"/>
  <c r="X56" i="55"/>
  <c r="W56" i="55"/>
  <c r="Y56" i="55" s="1"/>
  <c r="X61" i="55"/>
  <c r="Y61" i="55"/>
  <c r="W28" i="55"/>
  <c r="Y28" i="55"/>
  <c r="X28" i="55"/>
  <c r="Q83" i="58"/>
  <c r="V83" i="58"/>
  <c r="W50" i="58"/>
  <c r="Y50" i="58"/>
  <c r="W11" i="58"/>
  <c r="Y11" i="58"/>
  <c r="X11" i="58"/>
  <c r="Q26" i="57"/>
  <c r="V26" i="57"/>
  <c r="X72" i="50"/>
  <c r="W72" i="50"/>
  <c r="Y72" i="50" s="1"/>
  <c r="X84" i="50"/>
  <c r="W84" i="50"/>
  <c r="Y84" i="50" s="1"/>
  <c r="Q21" i="57"/>
  <c r="W73" i="61"/>
  <c r="Y73" i="61"/>
  <c r="X73" i="61"/>
  <c r="V30" i="61"/>
  <c r="Q30" i="61"/>
  <c r="Y13" i="61"/>
  <c r="X13" i="61"/>
  <c r="X117" i="61"/>
  <c r="W117" i="61"/>
  <c r="Y117" i="61"/>
  <c r="W113" i="61"/>
  <c r="Y113" i="61" s="1"/>
  <c r="X46" i="57"/>
  <c r="Y46" i="57"/>
  <c r="X44" i="57"/>
  <c r="W44" i="57"/>
  <c r="Y44" i="57"/>
  <c r="X125" i="61"/>
  <c r="X16" i="61"/>
  <c r="W16" i="61"/>
  <c r="Y16" i="61"/>
  <c r="W25" i="61"/>
  <c r="Y25" i="61"/>
  <c r="X39" i="61"/>
  <c r="X55" i="58"/>
  <c r="X24" i="58"/>
  <c r="W24" i="58"/>
  <c r="Y24" i="58"/>
  <c r="X81" i="61"/>
  <c r="W52" i="61"/>
  <c r="Y52" i="61" s="1"/>
  <c r="Y96" i="58"/>
  <c r="X96" i="58"/>
  <c r="W107" i="58"/>
  <c r="Y107" i="58" s="1"/>
  <c r="W44" i="61"/>
  <c r="Y44" i="61"/>
  <c r="Y118" i="61"/>
  <c r="W58" i="61"/>
  <c r="Y58" i="61"/>
  <c r="X79" i="57"/>
  <c r="W79" i="57"/>
  <c r="Y79" i="57"/>
  <c r="W41" i="57"/>
  <c r="Y41" i="57"/>
  <c r="W90" i="58"/>
  <c r="Y90" i="58" s="1"/>
  <c r="X84" i="57"/>
  <c r="W84" i="57"/>
  <c r="Y84" i="57" s="1"/>
  <c r="W39" i="57"/>
  <c r="Y39" i="57" s="1"/>
  <c r="X39" i="57"/>
  <c r="X68" i="57"/>
  <c r="W68" i="57"/>
  <c r="Y68" i="57"/>
  <c r="X17" i="55"/>
  <c r="W17" i="55"/>
  <c r="Y17" i="55" s="1"/>
  <c r="X76" i="58"/>
  <c r="W76" i="58"/>
  <c r="Y76" i="58"/>
  <c r="X11" i="57"/>
  <c r="W11" i="57"/>
  <c r="Y11" i="57" s="1"/>
  <c r="X32" i="61"/>
  <c r="W75" i="57"/>
  <c r="Y75" i="57" s="1"/>
  <c r="X80" i="58"/>
  <c r="W80" i="58"/>
  <c r="Y80" i="58" s="1"/>
  <c r="W10" i="50"/>
  <c r="Y10" i="50"/>
  <c r="X10" i="50"/>
  <c r="W82" i="55"/>
  <c r="Y82" i="55" s="1"/>
  <c r="X82" i="55"/>
  <c r="W34" i="57"/>
  <c r="Y34" i="57"/>
  <c r="X34" i="57"/>
  <c r="W69" i="58"/>
  <c r="Y69" i="58" s="1"/>
  <c r="X51" i="55"/>
  <c r="W51" i="55"/>
  <c r="Y51" i="55" s="1"/>
  <c r="X16" i="57"/>
  <c r="W86" i="57"/>
  <c r="Y86" i="57"/>
  <c r="Y105" i="58"/>
  <c r="X25" i="55"/>
  <c r="W25" i="55"/>
  <c r="Y25" i="55" s="1"/>
  <c r="W14" i="55"/>
  <c r="Y14" i="55" s="1"/>
  <c r="X14" i="55"/>
  <c r="W25" i="57"/>
  <c r="Y25" i="57"/>
  <c r="X78" i="50"/>
  <c r="W78" i="50"/>
  <c r="Y78" i="50" s="1"/>
  <c r="X64" i="50"/>
  <c r="W64" i="50"/>
  <c r="Y64" i="50" s="1"/>
  <c r="X93" i="57"/>
  <c r="W93" i="57"/>
  <c r="Y93" i="57"/>
  <c r="W45" i="61"/>
  <c r="Y45" i="61" s="1"/>
  <c r="X70" i="58"/>
  <c r="W70" i="58"/>
  <c r="Y70" i="58"/>
  <c r="W50" i="57"/>
  <c r="Y50" i="57"/>
  <c r="W76" i="55"/>
  <c r="Y76" i="55"/>
  <c r="W53" i="55"/>
  <c r="Y53" i="55" s="1"/>
  <c r="X53" i="55"/>
  <c r="W79" i="55"/>
  <c r="Y79" i="55" s="1"/>
  <c r="X63" i="55"/>
  <c r="W66" i="55"/>
  <c r="Y66" i="55" s="1"/>
  <c r="X66" i="55"/>
  <c r="X43" i="57"/>
  <c r="W96" i="61"/>
  <c r="Y96" i="61"/>
  <c r="W68" i="50"/>
  <c r="Y68" i="50"/>
  <c r="W18" i="57"/>
  <c r="Y18" i="57"/>
  <c r="X18" i="57"/>
  <c r="X24" i="55"/>
  <c r="W83" i="55"/>
  <c r="Y83" i="55"/>
  <c r="X83" i="55"/>
  <c r="W21" i="58"/>
  <c r="Y21" i="58"/>
  <c r="X21" i="58"/>
  <c r="W91" i="55"/>
  <c r="Y91" i="55"/>
  <c r="X91" i="55"/>
  <c r="X87" i="58"/>
  <c r="W87" i="58"/>
  <c r="Y87" i="58"/>
  <c r="W73" i="57"/>
  <c r="Y73" i="57"/>
  <c r="W74" i="55"/>
  <c r="Y74" i="55"/>
  <c r="X74" i="55"/>
  <c r="W72" i="57"/>
  <c r="Y72" i="57" s="1"/>
  <c r="X72" i="57"/>
  <c r="X88" i="57"/>
  <c r="W88" i="57"/>
  <c r="Y88" i="57"/>
  <c r="W54" i="57"/>
  <c r="Y54" i="57" s="1"/>
  <c r="W108" i="58"/>
  <c r="Y108" i="58"/>
  <c r="X108" i="58"/>
  <c r="X90" i="57"/>
  <c r="W90" i="57"/>
  <c r="Y90" i="57"/>
  <c r="X56" i="57"/>
  <c r="W56" i="57"/>
  <c r="Y56" i="57" s="1"/>
  <c r="X91" i="58"/>
  <c r="W91" i="58"/>
  <c r="Y91" i="58" s="1"/>
  <c r="W88" i="55"/>
  <c r="Y88" i="55"/>
  <c r="X88" i="55"/>
  <c r="W102" i="58"/>
  <c r="Y102" i="58"/>
  <c r="X49" i="55"/>
  <c r="X69" i="55"/>
  <c r="Y69" i="55"/>
  <c r="W10" i="55"/>
  <c r="Y10" i="55" s="1"/>
  <c r="W68" i="55"/>
  <c r="Y68" i="55" s="1"/>
  <c r="X68" i="55"/>
  <c r="W87" i="55"/>
  <c r="Y87" i="55"/>
  <c r="X87" i="55"/>
  <c r="X65" i="55"/>
  <c r="Y65" i="55"/>
  <c r="X93" i="55"/>
  <c r="W93" i="55"/>
  <c r="Y93" i="55"/>
  <c r="W49" i="57"/>
  <c r="Y49" i="57" s="1"/>
  <c r="W35" i="57"/>
  <c r="Y35" i="57"/>
  <c r="X35" i="57"/>
  <c r="W57" i="61"/>
  <c r="Y57" i="61" s="1"/>
  <c r="W83" i="58"/>
  <c r="Y83" i="58"/>
  <c r="X83" i="58"/>
  <c r="X29" i="57"/>
  <c r="W29" i="57"/>
  <c r="Y29" i="57"/>
  <c r="W11" i="61"/>
  <c r="Y11" i="61"/>
  <c r="X11" i="61"/>
  <c r="X67" i="57"/>
  <c r="W67" i="57"/>
  <c r="Y67" i="57" s="1"/>
  <c r="W23" i="55"/>
  <c r="Y23" i="55" s="1"/>
  <c r="W21" i="55"/>
  <c r="Y21" i="55"/>
  <c r="W20" i="55"/>
  <c r="Y20" i="55"/>
  <c r="X20" i="55"/>
  <c r="W62" i="61"/>
  <c r="Y62" i="61" s="1"/>
  <c r="X62" i="61"/>
  <c r="X17" i="58"/>
  <c r="W17" i="58"/>
  <c r="Y17" i="58" s="1"/>
  <c r="W89" i="58"/>
  <c r="Y89" i="58" s="1"/>
  <c r="X26" i="57"/>
  <c r="W26" i="57"/>
  <c r="Y26" i="57" s="1"/>
  <c r="X66" i="61"/>
  <c r="W66" i="61"/>
  <c r="Y66" i="61"/>
  <c r="X21" i="57"/>
  <c r="W21" i="57"/>
  <c r="Y21" i="57"/>
  <c r="W109" i="58"/>
  <c r="Y109" i="58" s="1"/>
  <c r="W34" i="61"/>
  <c r="Y34" i="61" s="1"/>
  <c r="X34" i="61"/>
  <c r="W41" i="55"/>
  <c r="Y41" i="55" s="1"/>
  <c r="Q57" i="55"/>
  <c r="V57" i="55"/>
  <c r="V88" i="58"/>
  <c r="V44" i="55"/>
  <c r="W44" i="55" s="1"/>
  <c r="Y44" i="55" s="1"/>
  <c r="Q44" i="55"/>
  <c r="Q82" i="58"/>
  <c r="V82" i="58"/>
  <c r="V74" i="58"/>
  <c r="X74" i="58" s="1"/>
  <c r="V72" i="55"/>
  <c r="Q72" i="55"/>
  <c r="Q16" i="50"/>
  <c r="V16" i="50"/>
  <c r="Q27" i="50"/>
  <c r="V27" i="50"/>
  <c r="X27" i="50" s="1"/>
  <c r="Q60" i="50"/>
  <c r="V14" i="50"/>
  <c r="X14" i="50" s="1"/>
  <c r="Q14" i="50"/>
  <c r="Q26" i="50"/>
  <c r="V78" i="55"/>
  <c r="Q78" i="55"/>
  <c r="V52" i="55"/>
  <c r="Q52" i="55"/>
  <c r="V100" i="58"/>
  <c r="Q77" i="58"/>
  <c r="V77" i="58"/>
  <c r="Q66" i="58"/>
  <c r="V66" i="58"/>
  <c r="V48" i="58"/>
  <c r="W48" i="58" s="1"/>
  <c r="Y48" i="58" s="1"/>
  <c r="Q48" i="58"/>
  <c r="V92" i="55"/>
  <c r="Q92" i="55"/>
  <c r="V83" i="57"/>
  <c r="Q83" i="57"/>
  <c r="V81" i="50"/>
  <c r="Q81" i="50"/>
  <c r="V77" i="55"/>
  <c r="Q77" i="55"/>
  <c r="Q45" i="55"/>
  <c r="V71" i="55"/>
  <c r="Q71" i="55"/>
  <c r="V31" i="55"/>
  <c r="X31" i="55" s="1"/>
  <c r="Q31" i="55"/>
  <c r="Q32" i="58"/>
  <c r="V32" i="58"/>
  <c r="V47" i="55"/>
  <c r="W47" i="55" s="1"/>
  <c r="Y47" i="55" s="1"/>
  <c r="Q47" i="55"/>
  <c r="V84" i="58"/>
  <c r="Q84" i="58"/>
  <c r="Q80" i="55"/>
  <c r="V72" i="58"/>
  <c r="Q72" i="58"/>
  <c r="V13" i="58"/>
  <c r="W13" i="58" s="1"/>
  <c r="Y13" i="58" s="1"/>
  <c r="Q13" i="58"/>
  <c r="V23" i="50"/>
  <c r="V78" i="57"/>
  <c r="Q78" i="57"/>
  <c r="V20" i="57"/>
  <c r="W20" i="57" s="1"/>
  <c r="Y20" i="57" s="1"/>
  <c r="Q20" i="57"/>
  <c r="Q59" i="55"/>
  <c r="V59" i="55"/>
  <c r="Q33" i="55"/>
  <c r="V33" i="55"/>
  <c r="W33" i="55" s="1"/>
  <c r="Y33" i="55" s="1"/>
  <c r="V50" i="55"/>
  <c r="Q32" i="55"/>
  <c r="V32" i="55"/>
  <c r="W32" i="55" s="1"/>
  <c r="Y32" i="55" s="1"/>
  <c r="Q99" i="58"/>
  <c r="V99" i="58"/>
  <c r="V49" i="58"/>
  <c r="X49" i="58" s="1"/>
  <c r="V30" i="55"/>
  <c r="W30" i="55" s="1"/>
  <c r="Y30" i="55" s="1"/>
  <c r="Q30" i="55"/>
  <c r="V40" i="55"/>
  <c r="W40" i="55" s="1"/>
  <c r="Y40" i="55" s="1"/>
  <c r="V63" i="58"/>
  <c r="Q63" i="58"/>
  <c r="Q45" i="58"/>
  <c r="V45" i="58"/>
  <c r="X45" i="58" s="1"/>
  <c r="V94" i="58"/>
  <c r="X94" i="58" s="1"/>
  <c r="Q94" i="58"/>
  <c r="V78" i="58"/>
  <c r="W78" i="58" s="1"/>
  <c r="Q78" i="58"/>
  <c r="V20" i="58"/>
  <c r="Q20" i="58"/>
  <c r="V20" i="50"/>
  <c r="X20" i="50" s="1"/>
  <c r="Q20" i="50"/>
  <c r="Q29" i="50"/>
  <c r="V29" i="50"/>
  <c r="X29" i="50" s="1"/>
  <c r="V25" i="50"/>
  <c r="X25" i="50" s="1"/>
  <c r="Q25" i="50"/>
  <c r="Q16" i="55"/>
  <c r="V16" i="55"/>
  <c r="W58" i="58"/>
  <c r="Y58" i="58"/>
  <c r="Q122" i="61"/>
  <c r="V122" i="61"/>
  <c r="Q8" i="55"/>
  <c r="V8" i="55"/>
  <c r="X8" i="55" s="1"/>
  <c r="V12" i="55"/>
  <c r="V18" i="55"/>
  <c r="Q18" i="55"/>
  <c r="Q64" i="55"/>
  <c r="V64" i="55"/>
  <c r="P67" i="61"/>
  <c r="Q17" i="63"/>
  <c r="V17" i="63"/>
  <c r="Q28" i="63"/>
  <c r="V28" i="63"/>
  <c r="Q22" i="63"/>
  <c r="V22" i="63"/>
  <c r="X22" i="63" s="1"/>
  <c r="P13" i="63"/>
  <c r="V13" i="63" s="1"/>
  <c r="V19" i="63"/>
  <c r="Q19" i="63"/>
  <c r="P44" i="63"/>
  <c r="P75" i="58"/>
  <c r="V75" i="58" s="1"/>
  <c r="X75" i="58" s="1"/>
  <c r="P24" i="63"/>
  <c r="Q24" i="63" s="1"/>
  <c r="P26" i="63"/>
  <c r="Q26" i="63" s="1"/>
  <c r="Q30" i="63"/>
  <c r="V30" i="63"/>
  <c r="O52" i="63"/>
  <c r="P52" i="63"/>
  <c r="Q52" i="63" s="1"/>
  <c r="P83" i="63"/>
  <c r="O27" i="65"/>
  <c r="P27" i="65" s="1"/>
  <c r="O32" i="65"/>
  <c r="P32" i="65" s="1"/>
  <c r="O94" i="65"/>
  <c r="O15" i="65"/>
  <c r="O26" i="65"/>
  <c r="P26" i="65" s="1"/>
  <c r="O38" i="65"/>
  <c r="O84" i="65"/>
  <c r="P84" i="65" s="1"/>
  <c r="O24" i="65"/>
  <c r="P24" i="65" s="1"/>
  <c r="O29" i="65"/>
  <c r="O30" i="65"/>
  <c r="P30" i="65" s="1"/>
  <c r="O117" i="65"/>
  <c r="Q117" i="65" s="1"/>
  <c r="R117" i="65" s="1"/>
  <c r="W117" i="65" s="1"/>
  <c r="O50" i="65"/>
  <c r="P50" i="65" s="1"/>
  <c r="O71" i="65"/>
  <c r="O112" i="65"/>
  <c r="Q112" i="65"/>
  <c r="R112" i="65" s="1"/>
  <c r="W112" i="65" s="1"/>
  <c r="O13" i="65"/>
  <c r="P13" i="65" s="1"/>
  <c r="O35" i="65"/>
  <c r="O36" i="65"/>
  <c r="O42" i="65"/>
  <c r="P42" i="65" s="1"/>
  <c r="O43" i="65"/>
  <c r="O44" i="65"/>
  <c r="Q44" i="65" s="1"/>
  <c r="R44" i="65" s="1"/>
  <c r="O45" i="65"/>
  <c r="O46" i="65"/>
  <c r="P46" i="65" s="1"/>
  <c r="O47" i="65"/>
  <c r="P47" i="65" s="1"/>
  <c r="O52" i="65"/>
  <c r="P52" i="65" s="1"/>
  <c r="O73" i="65"/>
  <c r="P73" i="65" s="1"/>
  <c r="O82" i="65"/>
  <c r="P82" i="65" s="1"/>
  <c r="O83" i="65"/>
  <c r="O85" i="65"/>
  <c r="P85" i="65" s="1"/>
  <c r="O99" i="65"/>
  <c r="P99" i="65" s="1"/>
  <c r="O115" i="65"/>
  <c r="P115" i="65"/>
  <c r="O48" i="65"/>
  <c r="O11" i="65"/>
  <c r="P11" i="65" s="1"/>
  <c r="O23" i="65"/>
  <c r="O49" i="65"/>
  <c r="P49" i="65" s="1"/>
  <c r="O54" i="65"/>
  <c r="O58" i="65"/>
  <c r="O59" i="65"/>
  <c r="Q59" i="65" s="1"/>
  <c r="O60" i="65"/>
  <c r="O61" i="65"/>
  <c r="Q61" i="65" s="1"/>
  <c r="W61" i="65" s="1"/>
  <c r="O63" i="65"/>
  <c r="O72" i="65"/>
  <c r="P72" i="65" s="1"/>
  <c r="O81" i="65"/>
  <c r="Q81" i="65" s="1"/>
  <c r="R81" i="65" s="1"/>
  <c r="W81" i="65" s="1"/>
  <c r="O90" i="65"/>
  <c r="O91" i="65"/>
  <c r="O92" i="65"/>
  <c r="P92" i="65" s="1"/>
  <c r="O93" i="65"/>
  <c r="Q93" i="65" s="1"/>
  <c r="O96" i="65"/>
  <c r="O97" i="65"/>
  <c r="O98" i="65"/>
  <c r="P98" i="65" s="1"/>
  <c r="O105" i="65"/>
  <c r="Q105" i="65" s="1"/>
  <c r="O106" i="65"/>
  <c r="P106" i="65" s="1"/>
  <c r="O110" i="65"/>
  <c r="O113" i="65"/>
  <c r="P113" i="65" s="1"/>
  <c r="O114" i="65"/>
  <c r="Q114" i="65" s="1"/>
  <c r="W114" i="65" s="1"/>
  <c r="O131" i="65"/>
  <c r="O127" i="65"/>
  <c r="O9" i="65"/>
  <c r="P9" i="65" s="1"/>
  <c r="O17" i="65"/>
  <c r="P17" i="65" s="1"/>
  <c r="O22" i="65"/>
  <c r="P22" i="65" s="1"/>
  <c r="O31" i="65"/>
  <c r="O40" i="65"/>
  <c r="Q40" i="65"/>
  <c r="R40" i="65" s="1"/>
  <c r="O41" i="65"/>
  <c r="O68" i="65"/>
  <c r="O69" i="65"/>
  <c r="P69" i="65" s="1"/>
  <c r="O79" i="65"/>
  <c r="P79" i="65" s="1"/>
  <c r="O88" i="65"/>
  <c r="O121" i="65"/>
  <c r="O122" i="65"/>
  <c r="P122" i="65" s="1"/>
  <c r="O123" i="65"/>
  <c r="O124" i="65"/>
  <c r="O125" i="65"/>
  <c r="O128" i="65"/>
  <c r="Q128" i="65" s="1"/>
  <c r="R128" i="65" s="1"/>
  <c r="W128" i="65" s="1"/>
  <c r="O129" i="65"/>
  <c r="P129" i="65" s="1"/>
  <c r="O130" i="65"/>
  <c r="P130" i="65" s="1"/>
  <c r="O95" i="65"/>
  <c r="O14" i="65"/>
  <c r="Q14" i="65" s="1"/>
  <c r="O16" i="65"/>
  <c r="O20" i="65"/>
  <c r="P20" i="65" s="1"/>
  <c r="O25" i="65"/>
  <c r="P25" i="65" s="1"/>
  <c r="O33" i="65"/>
  <c r="O37" i="65"/>
  <c r="P37" i="65" s="1"/>
  <c r="O56" i="65"/>
  <c r="P56" i="65" s="1"/>
  <c r="O57" i="65"/>
  <c r="O65" i="65"/>
  <c r="P65" i="65" s="1"/>
  <c r="O66" i="65"/>
  <c r="Q66" i="65" s="1"/>
  <c r="O67" i="65"/>
  <c r="Q67" i="65" s="1"/>
  <c r="O74" i="65"/>
  <c r="Q74" i="65" s="1"/>
  <c r="W74" i="65" s="1"/>
  <c r="O75" i="65"/>
  <c r="Q75" i="65" s="1"/>
  <c r="O76" i="65"/>
  <c r="Q76" i="65" s="1"/>
  <c r="O77" i="65"/>
  <c r="P77" i="65" s="1"/>
  <c r="O78" i="65"/>
  <c r="O86" i="65"/>
  <c r="P86" i="65" s="1"/>
  <c r="O103" i="65"/>
  <c r="O104" i="65"/>
  <c r="O119" i="65"/>
  <c r="Q119" i="65" s="1"/>
  <c r="P15" i="65"/>
  <c r="Q15" i="65"/>
  <c r="W15" i="65" s="1"/>
  <c r="O10" i="65"/>
  <c r="P10" i="65" s="1"/>
  <c r="P38" i="65"/>
  <c r="Q38" i="65"/>
  <c r="R38" i="65" s="1"/>
  <c r="W38" i="65" s="1"/>
  <c r="P43" i="65"/>
  <c r="Q43" i="65"/>
  <c r="R43" i="65" s="1"/>
  <c r="P44" i="65"/>
  <c r="P45" i="65"/>
  <c r="Q45" i="65"/>
  <c r="P83" i="65"/>
  <c r="Q83" i="65"/>
  <c r="O8" i="65"/>
  <c r="Q8" i="65" s="1"/>
  <c r="P54" i="65"/>
  <c r="Q54" i="65"/>
  <c r="R54" i="65" s="1"/>
  <c r="W54" i="65" s="1"/>
  <c r="P58" i="65"/>
  <c r="Q58" i="65"/>
  <c r="R58" i="65" s="1"/>
  <c r="P59" i="65"/>
  <c r="P71" i="65"/>
  <c r="Q71" i="65"/>
  <c r="Q72" i="65"/>
  <c r="P90" i="65"/>
  <c r="Q90" i="65"/>
  <c r="R90" i="65" s="1"/>
  <c r="P91" i="65"/>
  <c r="Q91" i="65"/>
  <c r="P97" i="65"/>
  <c r="Q97" i="65"/>
  <c r="R97" i="65" s="1"/>
  <c r="P105" i="65"/>
  <c r="P31" i="65"/>
  <c r="Q31" i="65"/>
  <c r="W31" i="65" s="1"/>
  <c r="P40" i="65"/>
  <c r="P68" i="65"/>
  <c r="Q68" i="65"/>
  <c r="Q79" i="65"/>
  <c r="Q25" i="65"/>
  <c r="P57" i="65"/>
  <c r="Q57" i="65"/>
  <c r="Q65" i="65"/>
  <c r="R65" i="65" s="1"/>
  <c r="W65" i="65" s="1"/>
  <c r="P74" i="65"/>
  <c r="R74" i="65"/>
  <c r="P76" i="65"/>
  <c r="P78" i="65"/>
  <c r="Q78" i="65"/>
  <c r="W78" i="65" s="1"/>
  <c r="Q26" i="65"/>
  <c r="W26" i="65" s="1"/>
  <c r="Q30" i="65"/>
  <c r="Q32" i="65"/>
  <c r="R32" i="65" s="1"/>
  <c r="W32" i="65" s="1"/>
  <c r="Q84" i="65"/>
  <c r="O108" i="65"/>
  <c r="O18" i="65"/>
  <c r="Q18" i="65" s="1"/>
  <c r="O109" i="65"/>
  <c r="P109" i="65" s="1"/>
  <c r="P110" i="65"/>
  <c r="Q110" i="65"/>
  <c r="Q113" i="65"/>
  <c r="O34" i="65"/>
  <c r="O64" i="65"/>
  <c r="P64" i="65" s="1"/>
  <c r="Q127" i="65"/>
  <c r="R127" i="65" s="1"/>
  <c r="W127" i="65" s="1"/>
  <c r="P127" i="65"/>
  <c r="P121" i="65"/>
  <c r="Q121" i="65"/>
  <c r="W121" i="65" s="1"/>
  <c r="P128" i="65"/>
  <c r="Q129" i="65"/>
  <c r="W129" i="65" s="1"/>
  <c r="Q130" i="65"/>
  <c r="W130" i="65" s="1"/>
  <c r="Q95" i="65"/>
  <c r="R95" i="65" s="1"/>
  <c r="W95" i="65" s="1"/>
  <c r="P95" i="65"/>
  <c r="O80" i="65"/>
  <c r="O107" i="65"/>
  <c r="Q107" i="65" s="1"/>
  <c r="P119" i="65"/>
  <c r="O12" i="65"/>
  <c r="P117" i="65"/>
  <c r="P112" i="65"/>
  <c r="R15" i="65"/>
  <c r="Q10" i="65"/>
  <c r="Q13" i="65"/>
  <c r="Q11" i="65"/>
  <c r="W11" i="65" s="1"/>
  <c r="Y11" i="65" s="1"/>
  <c r="O132" i="65"/>
  <c r="P132" i="65"/>
  <c r="O53" i="65"/>
  <c r="Q53" i="65" s="1"/>
  <c r="W53" i="65" s="1"/>
  <c r="Y53" i="65" s="1"/>
  <c r="Q37" i="65"/>
  <c r="R37" i="65" s="1"/>
  <c r="O21" i="65"/>
  <c r="P21" i="65" s="1"/>
  <c r="Q132" i="65"/>
  <c r="W132" i="65" s="1"/>
  <c r="Y132" i="65" s="1"/>
  <c r="O116" i="65"/>
  <c r="P116" i="65" s="1"/>
  <c r="O100" i="65"/>
  <c r="O19" i="65"/>
  <c r="P19" i="65" s="1"/>
  <c r="O62" i="65"/>
  <c r="Q62" i="65" s="1"/>
  <c r="V26" i="63"/>
  <c r="X26" i="63" s="1"/>
  <c r="W64" i="55"/>
  <c r="Y64" i="55" s="1"/>
  <c r="X64" i="55"/>
  <c r="W45" i="58"/>
  <c r="Y45" i="58" s="1"/>
  <c r="X99" i="58"/>
  <c r="W99" i="58"/>
  <c r="Y99" i="58" s="1"/>
  <c r="X32" i="55"/>
  <c r="X45" i="55"/>
  <c r="X77" i="58"/>
  <c r="W77" i="58"/>
  <c r="Y77" i="58"/>
  <c r="W27" i="50"/>
  <c r="Y27" i="50"/>
  <c r="X57" i="55"/>
  <c r="W57" i="55"/>
  <c r="Y57" i="55"/>
  <c r="Q13" i="63"/>
  <c r="W28" i="63"/>
  <c r="Y28" i="63"/>
  <c r="X28" i="63"/>
  <c r="W20" i="50"/>
  <c r="Y20" i="50" s="1"/>
  <c r="X20" i="58"/>
  <c r="W20" i="58"/>
  <c r="Y20" i="58"/>
  <c r="X78" i="58"/>
  <c r="Y78" i="58"/>
  <c r="W63" i="58"/>
  <c r="Y63" i="58" s="1"/>
  <c r="X63" i="58"/>
  <c r="X13" i="58"/>
  <c r="W31" i="55"/>
  <c r="Y31" i="55" s="1"/>
  <c r="W81" i="50"/>
  <c r="Y81" i="50" s="1"/>
  <c r="X81" i="50"/>
  <c r="X48" i="58"/>
  <c r="X78" i="55"/>
  <c r="W78" i="55"/>
  <c r="Y78" i="55" s="1"/>
  <c r="W14" i="50"/>
  <c r="Y14" i="50" s="1"/>
  <c r="X44" i="55"/>
  <c r="W30" i="63"/>
  <c r="Y30" i="63" s="1"/>
  <c r="X30" i="63"/>
  <c r="V44" i="63"/>
  <c r="X44" i="63" s="1"/>
  <c r="Q44" i="63"/>
  <c r="X122" i="61"/>
  <c r="W122" i="61"/>
  <c r="Y122" i="61"/>
  <c r="W16" i="55"/>
  <c r="Y16" i="55"/>
  <c r="X16" i="55"/>
  <c r="X59" i="55"/>
  <c r="W59" i="55"/>
  <c r="Y59" i="55"/>
  <c r="X66" i="58"/>
  <c r="W66" i="58"/>
  <c r="Y66" i="58"/>
  <c r="X16" i="50"/>
  <c r="W16" i="50"/>
  <c r="Y16" i="50"/>
  <c r="W74" i="58"/>
  <c r="Y74" i="58" s="1"/>
  <c r="X82" i="58"/>
  <c r="W82" i="58"/>
  <c r="Y82" i="58"/>
  <c r="X88" i="58"/>
  <c r="W88" i="58"/>
  <c r="Y88" i="58"/>
  <c r="Q21" i="65"/>
  <c r="V67" i="61"/>
  <c r="Q67" i="61"/>
  <c r="X18" i="55"/>
  <c r="W18" i="55"/>
  <c r="Y18" i="55"/>
  <c r="Y84" i="55"/>
  <c r="X84" i="55"/>
  <c r="W78" i="57"/>
  <c r="Y78" i="57" s="1"/>
  <c r="X78" i="57"/>
  <c r="X72" i="58"/>
  <c r="W72" i="58"/>
  <c r="Y72" i="58"/>
  <c r="W84" i="58"/>
  <c r="Y84" i="58"/>
  <c r="X84" i="58"/>
  <c r="W71" i="55"/>
  <c r="Y71" i="55"/>
  <c r="X71" i="55"/>
  <c r="W77" i="55"/>
  <c r="Y77" i="55"/>
  <c r="X77" i="55"/>
  <c r="W83" i="57"/>
  <c r="Y83" i="57" s="1"/>
  <c r="X83" i="57"/>
  <c r="X92" i="55"/>
  <c r="W92" i="55"/>
  <c r="Y92" i="55"/>
  <c r="W26" i="50"/>
  <c r="Y26" i="50" s="1"/>
  <c r="X26" i="50"/>
  <c r="Q20" i="65"/>
  <c r="Q115" i="65"/>
  <c r="W115" i="65" s="1"/>
  <c r="Q77" i="65"/>
  <c r="Q9" i="65"/>
  <c r="Q99" i="65"/>
  <c r="W99" i="65" s="1"/>
  <c r="Q82" i="65"/>
  <c r="W82" i="65" s="1"/>
  <c r="W57" i="65"/>
  <c r="R57" i="65"/>
  <c r="W71" i="65"/>
  <c r="X71" i="65" s="1"/>
  <c r="Z71" i="65" s="1"/>
  <c r="R71" i="65"/>
  <c r="Q80" i="65"/>
  <c r="R80" i="65" s="1"/>
  <c r="W80" i="65" s="1"/>
  <c r="P80" i="65"/>
  <c r="W83" i="65"/>
  <c r="X83" i="65" s="1"/>
  <c r="Z83" i="65" s="1"/>
  <c r="R83" i="65"/>
  <c r="W45" i="65"/>
  <c r="Y45" i="65" s="1"/>
  <c r="R45" i="65"/>
  <c r="P53" i="65"/>
  <c r="P62" i="65"/>
  <c r="W77" i="65"/>
  <c r="X77" i="65" s="1"/>
  <c r="Z77" i="65" s="1"/>
  <c r="R77" i="65"/>
  <c r="Q109" i="65"/>
  <c r="W109" i="65" s="1"/>
  <c r="P108" i="65"/>
  <c r="Q108" i="65"/>
  <c r="R78" i="65"/>
  <c r="W91" i="65"/>
  <c r="R91" i="65"/>
  <c r="P8" i="65"/>
  <c r="P34" i="65"/>
  <c r="Q34" i="65"/>
  <c r="W34" i="65" s="1"/>
  <c r="P18" i="65"/>
  <c r="W44" i="65"/>
  <c r="Y44" i="65" s="1"/>
  <c r="R11" i="65"/>
  <c r="R10" i="65"/>
  <c r="W10" i="65"/>
  <c r="W37" i="65"/>
  <c r="R62" i="65"/>
  <c r="W62" i="65"/>
  <c r="X44" i="65"/>
  <c r="Z44" i="65" s="1"/>
  <c r="X57" i="65"/>
  <c r="Z57" i="65" s="1"/>
  <c r="Y57" i="65"/>
  <c r="X45" i="65"/>
  <c r="Z45" i="65" s="1"/>
  <c r="Y71" i="65"/>
  <c r="X10" i="65"/>
  <c r="Z10" i="65" s="1"/>
  <c r="Y10" i="65"/>
  <c r="X11" i="65"/>
  <c r="Z11" i="65" s="1"/>
  <c r="X37" i="65"/>
  <c r="Z37" i="65" s="1"/>
  <c r="Y37" i="65"/>
  <c r="X62" i="65"/>
  <c r="Z62" i="65" s="1"/>
  <c r="Y62" i="65"/>
  <c r="R34" i="65" l="1"/>
  <c r="W20" i="65"/>
  <c r="R20" i="65"/>
  <c r="W108" i="65"/>
  <c r="Y108" i="65" s="1"/>
  <c r="R108" i="65"/>
  <c r="Y61" i="65"/>
  <c r="X61" i="65"/>
  <c r="Z61" i="65" s="1"/>
  <c r="W45" i="57"/>
  <c r="Y45" i="57" s="1"/>
  <c r="X45" i="57"/>
  <c r="X132" i="65"/>
  <c r="Z132" i="65" s="1"/>
  <c r="W21" i="65"/>
  <c r="X21" i="65" s="1"/>
  <c r="Z21" i="65" s="1"/>
  <c r="R21" i="65"/>
  <c r="Y129" i="65"/>
  <c r="X129" i="65"/>
  <c r="Z129" i="65" s="1"/>
  <c r="X34" i="65"/>
  <c r="Z34" i="65" s="1"/>
  <c r="Y34" i="65"/>
  <c r="P48" i="65"/>
  <c r="Q48" i="65"/>
  <c r="R48" i="65" s="1"/>
  <c r="W48" i="65" s="1"/>
  <c r="W58" i="57"/>
  <c r="Y58" i="57" s="1"/>
  <c r="X58" i="57"/>
  <c r="V62" i="55"/>
  <c r="Q62" i="55"/>
  <c r="X85" i="55"/>
  <c r="W85" i="55"/>
  <c r="Y85" i="55" s="1"/>
  <c r="W23" i="61"/>
  <c r="Y23" i="61" s="1"/>
  <c r="X23" i="61"/>
  <c r="V52" i="50"/>
  <c r="Q52" i="50"/>
  <c r="V36" i="50"/>
  <c r="Q36" i="50"/>
  <c r="R79" i="65"/>
  <c r="W79" i="65"/>
  <c r="X79" i="65" s="1"/>
  <c r="Z79" i="65" s="1"/>
  <c r="P41" i="65"/>
  <c r="Q41" i="65"/>
  <c r="W19" i="63"/>
  <c r="Y19" i="63" s="1"/>
  <c r="X19" i="63"/>
  <c r="X20" i="57"/>
  <c r="P61" i="65"/>
  <c r="P103" i="65"/>
  <c r="Q103" i="65"/>
  <c r="Q123" i="65"/>
  <c r="P123" i="65"/>
  <c r="W72" i="55"/>
  <c r="Y72" i="55" s="1"/>
  <c r="X72" i="55"/>
  <c r="X67" i="61"/>
  <c r="W67" i="61"/>
  <c r="Y67" i="61" s="1"/>
  <c r="Q52" i="65"/>
  <c r="X80" i="57"/>
  <c r="W80" i="57"/>
  <c r="Y80" i="57" s="1"/>
  <c r="R132" i="65"/>
  <c r="R61" i="65"/>
  <c r="W97" i="65"/>
  <c r="X40" i="55"/>
  <c r="W25" i="50"/>
  <c r="Y25" i="50" s="1"/>
  <c r="X30" i="55"/>
  <c r="P66" i="65"/>
  <c r="W13" i="63"/>
  <c r="Y13" i="63" s="1"/>
  <c r="X13" i="63"/>
  <c r="W17" i="63"/>
  <c r="Y17" i="63" s="1"/>
  <c r="X17" i="63"/>
  <c r="W23" i="50"/>
  <c r="Y23" i="50" s="1"/>
  <c r="X23" i="50"/>
  <c r="X100" i="58"/>
  <c r="W100" i="58"/>
  <c r="Y100" i="58" s="1"/>
  <c r="X30" i="61"/>
  <c r="W30" i="61"/>
  <c r="Y30" i="61" s="1"/>
  <c r="W121" i="61"/>
  <c r="Y121" i="61" s="1"/>
  <c r="W40" i="57"/>
  <c r="Y40" i="57" s="1"/>
  <c r="X40" i="57"/>
  <c r="X48" i="55"/>
  <c r="W48" i="55"/>
  <c r="Y48" i="55" s="1"/>
  <c r="X34" i="50"/>
  <c r="X80" i="55"/>
  <c r="W80" i="55"/>
  <c r="Y80" i="55" s="1"/>
  <c r="W103" i="58"/>
  <c r="Y103" i="58" s="1"/>
  <c r="X103" i="58"/>
  <c r="Q92" i="57"/>
  <c r="V92" i="57"/>
  <c r="Q14" i="61"/>
  <c r="V14" i="61"/>
  <c r="W113" i="65"/>
  <c r="R113" i="65"/>
  <c r="W18" i="65"/>
  <c r="R18" i="65"/>
  <c r="Q124" i="65"/>
  <c r="P124" i="65"/>
  <c r="P96" i="65"/>
  <c r="Q96" i="65"/>
  <c r="R96" i="65" s="1"/>
  <c r="W96" i="65" s="1"/>
  <c r="P35" i="65"/>
  <c r="Q35" i="65"/>
  <c r="R35" i="65" s="1"/>
  <c r="W68" i="65"/>
  <c r="X68" i="65" s="1"/>
  <c r="Z68" i="65" s="1"/>
  <c r="R68" i="65"/>
  <c r="W84" i="65"/>
  <c r="Y84" i="65" s="1"/>
  <c r="R84" i="65"/>
  <c r="X12" i="55"/>
  <c r="W12" i="55"/>
  <c r="Y12" i="55" s="1"/>
  <c r="X50" i="55"/>
  <c r="W50" i="55"/>
  <c r="Y50" i="55" s="1"/>
  <c r="X90" i="55"/>
  <c r="W90" i="55"/>
  <c r="Y90" i="55" s="1"/>
  <c r="X53" i="57"/>
  <c r="W53" i="57"/>
  <c r="Y53" i="57" s="1"/>
  <c r="X81" i="55"/>
  <c r="W81" i="55"/>
  <c r="Y81" i="55" s="1"/>
  <c r="Y83" i="65"/>
  <c r="W43" i="65"/>
  <c r="X32" i="58"/>
  <c r="W32" i="58"/>
  <c r="Y32" i="58" s="1"/>
  <c r="K67" i="30"/>
  <c r="X36" i="57"/>
  <c r="W36" i="57"/>
  <c r="Y36" i="57" s="1"/>
  <c r="X60" i="50"/>
  <c r="W60" i="50"/>
  <c r="Y60" i="50" s="1"/>
  <c r="V89" i="50"/>
  <c r="Q89" i="50"/>
  <c r="X64" i="57"/>
  <c r="W64" i="57"/>
  <c r="Y64" i="57" s="1"/>
  <c r="P131" i="65"/>
  <c r="Q131" i="65"/>
  <c r="P16" i="65"/>
  <c r="Q16" i="65"/>
  <c r="R16" i="65" s="1"/>
  <c r="W16" i="65" s="1"/>
  <c r="Y16" i="65" s="1"/>
  <c r="P60" i="65"/>
  <c r="Q60" i="65"/>
  <c r="R60" i="65" s="1"/>
  <c r="V83" i="63"/>
  <c r="Q83" i="63"/>
  <c r="W26" i="63"/>
  <c r="Y26" i="63" s="1"/>
  <c r="R99" i="65"/>
  <c r="W9" i="65"/>
  <c r="R9" i="65"/>
  <c r="X47" i="55"/>
  <c r="P12" i="65"/>
  <c r="Q12" i="65"/>
  <c r="W12" i="65" s="1"/>
  <c r="X52" i="55"/>
  <c r="W52" i="55"/>
  <c r="Y52" i="55" s="1"/>
  <c r="X43" i="55"/>
  <c r="P33" i="65"/>
  <c r="Q33" i="65"/>
  <c r="R33" i="65" s="1"/>
  <c r="W33" i="65" s="1"/>
  <c r="Q23" i="65"/>
  <c r="R23" i="65" s="1"/>
  <c r="P23" i="65"/>
  <c r="P94" i="65"/>
  <c r="Q94" i="65"/>
  <c r="W15" i="58"/>
  <c r="Y15" i="58" s="1"/>
  <c r="X52" i="58"/>
  <c r="W52" i="58"/>
  <c r="Y52" i="58" s="1"/>
  <c r="W10" i="57"/>
  <c r="Y10" i="57" s="1"/>
  <c r="X10" i="57"/>
  <c r="X111" i="61"/>
  <c r="W111" i="61"/>
  <c r="Y111" i="61" s="1"/>
  <c r="X32" i="57"/>
  <c r="W32" i="57"/>
  <c r="Y32" i="57" s="1"/>
  <c r="X61" i="57"/>
  <c r="W61" i="57"/>
  <c r="Y61" i="57" s="1"/>
  <c r="Q77" i="50"/>
  <c r="V77" i="50"/>
  <c r="W13" i="65"/>
  <c r="R13" i="65"/>
  <c r="Q104" i="65"/>
  <c r="R104" i="65" s="1"/>
  <c r="P104" i="65"/>
  <c r="P29" i="65"/>
  <c r="Q29" i="65"/>
  <c r="X26" i="61"/>
  <c r="W26" i="61"/>
  <c r="Y26" i="61" s="1"/>
  <c r="W44" i="63"/>
  <c r="Y44" i="63" s="1"/>
  <c r="P67" i="65"/>
  <c r="R30" i="65"/>
  <c r="W30" i="65"/>
  <c r="Q47" i="65"/>
  <c r="W110" i="65"/>
  <c r="X110" i="65" s="1"/>
  <c r="Z110" i="65" s="1"/>
  <c r="R110" i="65"/>
  <c r="W10" i="61"/>
  <c r="Y10" i="61" s="1"/>
  <c r="W75" i="58"/>
  <c r="Y75" i="58" s="1"/>
  <c r="Y91" i="65"/>
  <c r="X91" i="65"/>
  <c r="Z91" i="65" s="1"/>
  <c r="R129" i="65"/>
  <c r="W94" i="58"/>
  <c r="Y94" i="58" s="1"/>
  <c r="W8" i="55"/>
  <c r="Y8" i="55" s="1"/>
  <c r="X78" i="65"/>
  <c r="Z78" i="65" s="1"/>
  <c r="Y78" i="65"/>
  <c r="W72" i="65"/>
  <c r="R72" i="65"/>
  <c r="R82" i="65"/>
  <c r="R114" i="65"/>
  <c r="Q75" i="58"/>
  <c r="W49" i="58"/>
  <c r="Y49" i="58" s="1"/>
  <c r="X33" i="55"/>
  <c r="W22" i="63"/>
  <c r="Y22" i="63" s="1"/>
  <c r="Q100" i="65"/>
  <c r="P100" i="65"/>
  <c r="W25" i="65"/>
  <c r="R25" i="65"/>
  <c r="Q98" i="65"/>
  <c r="R119" i="65"/>
  <c r="W119" i="65"/>
  <c r="X119" i="65" s="1"/>
  <c r="Z119" i="65" s="1"/>
  <c r="P125" i="65"/>
  <c r="Q125" i="65"/>
  <c r="P63" i="65"/>
  <c r="Q63" i="65"/>
  <c r="P36" i="65"/>
  <c r="Q36" i="65"/>
  <c r="R36" i="65" s="1"/>
  <c r="W94" i="55"/>
  <c r="Y94" i="55" s="1"/>
  <c r="W67" i="55"/>
  <c r="Y67" i="55" s="1"/>
  <c r="W18" i="58"/>
  <c r="Y18" i="58" s="1"/>
  <c r="W80" i="50"/>
  <c r="Y80" i="50" s="1"/>
  <c r="X80" i="50"/>
  <c r="W28" i="58"/>
  <c r="Y28" i="58" s="1"/>
  <c r="X28" i="58"/>
  <c r="X46" i="58"/>
  <c r="W46" i="58"/>
  <c r="Y46" i="58" s="1"/>
  <c r="V64" i="58"/>
  <c r="Q36" i="55"/>
  <c r="V36" i="55"/>
  <c r="X51" i="50"/>
  <c r="W51" i="50"/>
  <c r="Y51" i="50" s="1"/>
  <c r="Q48" i="57"/>
  <c r="V48" i="57"/>
  <c r="V20" i="61"/>
  <c r="Q20" i="61"/>
  <c r="W93" i="58"/>
  <c r="Y93" i="58" s="1"/>
  <c r="X93" i="58"/>
  <c r="X70" i="50"/>
  <c r="W70" i="50"/>
  <c r="Y70" i="50" s="1"/>
  <c r="X33" i="50"/>
  <c r="W33" i="50"/>
  <c r="Y33" i="50" s="1"/>
  <c r="I67" i="14"/>
  <c r="K21" i="30"/>
  <c r="V73" i="55"/>
  <c r="Q73" i="55"/>
  <c r="V29" i="55"/>
  <c r="Q29" i="55"/>
  <c r="Q70" i="55"/>
  <c r="V70" i="55"/>
  <c r="W74" i="50"/>
  <c r="Y74" i="50" s="1"/>
  <c r="X74" i="50"/>
  <c r="V49" i="61"/>
  <c r="Q49" i="61"/>
  <c r="V41" i="61"/>
  <c r="Q41" i="61"/>
  <c r="Q42" i="58"/>
  <c r="V42" i="58"/>
  <c r="V55" i="57"/>
  <c r="V68" i="61"/>
  <c r="Q68" i="61"/>
  <c r="V60" i="55"/>
  <c r="Q60" i="55"/>
  <c r="N47" i="42"/>
  <c r="Q86" i="58"/>
  <c r="V86" i="58"/>
  <c r="J25" i="4"/>
  <c r="W101" i="58"/>
  <c r="Y101" i="58" s="1"/>
  <c r="X101" i="58"/>
  <c r="Q85" i="58"/>
  <c r="V85" i="58"/>
  <c r="L35" i="26"/>
  <c r="V89" i="57"/>
  <c r="Q89" i="57"/>
  <c r="V51" i="57"/>
  <c r="Q51" i="57"/>
  <c r="V36" i="61"/>
  <c r="V76" i="50"/>
  <c r="Q76" i="50"/>
  <c r="V27" i="61"/>
  <c r="Q27" i="61"/>
  <c r="Q120" i="61"/>
  <c r="V120" i="61"/>
  <c r="Q106" i="61"/>
  <c r="V106" i="61"/>
  <c r="Q80" i="61"/>
  <c r="V80" i="61"/>
  <c r="O63" i="50"/>
  <c r="O59" i="50"/>
  <c r="P59" i="50" s="1"/>
  <c r="O57" i="50"/>
  <c r="O55" i="50"/>
  <c r="P55" i="50" s="1"/>
  <c r="O53" i="50"/>
  <c r="P53" i="50" s="1"/>
  <c r="V19" i="55"/>
  <c r="Q19" i="55"/>
  <c r="V51" i="58"/>
  <c r="Q51" i="58"/>
  <c r="V75" i="50"/>
  <c r="Q75" i="50"/>
  <c r="Q13" i="57"/>
  <c r="V13" i="57"/>
  <c r="Q60" i="61"/>
  <c r="V60" i="61"/>
  <c r="Q48" i="61"/>
  <c r="V48" i="61"/>
  <c r="W91" i="61"/>
  <c r="Y91" i="61" s="1"/>
  <c r="X91" i="61"/>
  <c r="V81" i="58"/>
  <c r="Q81" i="58"/>
  <c r="L99" i="26"/>
  <c r="J99" i="38"/>
  <c r="N79" i="46"/>
  <c r="Q65" i="50"/>
  <c r="V65" i="50"/>
  <c r="P63" i="50"/>
  <c r="O61" i="50"/>
  <c r="P61" i="50" s="1"/>
  <c r="P57" i="50"/>
  <c r="V56" i="50"/>
  <c r="Q56" i="50"/>
  <c r="O54" i="50"/>
  <c r="P54" i="50" s="1"/>
  <c r="Q10" i="58"/>
  <c r="Q43" i="55"/>
  <c r="X38" i="50"/>
  <c r="W60" i="58"/>
  <c r="Y60" i="58" s="1"/>
  <c r="W44" i="50"/>
  <c r="Y44" i="50" s="1"/>
  <c r="X62" i="50"/>
  <c r="V53" i="61"/>
  <c r="X21" i="61"/>
  <c r="V81" i="57"/>
  <c r="X8" i="58"/>
  <c r="W56" i="58"/>
  <c r="Y56" i="58" s="1"/>
  <c r="X56" i="58"/>
  <c r="X89" i="55"/>
  <c r="W89" i="55"/>
  <c r="Y89" i="55" s="1"/>
  <c r="X83" i="50"/>
  <c r="W83" i="50"/>
  <c r="Y83" i="50" s="1"/>
  <c r="V22" i="55"/>
  <c r="Q22" i="55"/>
  <c r="X85" i="50"/>
  <c r="W85" i="50"/>
  <c r="Y85" i="50" s="1"/>
  <c r="J57" i="38"/>
  <c r="V11" i="55"/>
  <c r="Q11" i="55"/>
  <c r="V75" i="55"/>
  <c r="Q75" i="55"/>
  <c r="K21" i="34"/>
  <c r="N79" i="42"/>
  <c r="V19" i="57"/>
  <c r="Q19" i="57"/>
  <c r="V9" i="61"/>
  <c r="Q9" i="61"/>
  <c r="V102" i="61"/>
  <c r="Q102" i="61"/>
  <c r="Q67" i="50"/>
  <c r="V67" i="50"/>
  <c r="Q93" i="61"/>
  <c r="V93" i="61"/>
  <c r="V100" i="61"/>
  <c r="Q100" i="61"/>
  <c r="Q37" i="55"/>
  <c r="V37" i="55"/>
  <c r="Q84" i="55"/>
  <c r="W54" i="58"/>
  <c r="Y54" i="58" s="1"/>
  <c r="Q23" i="55"/>
  <c r="V13" i="55"/>
  <c r="Q64" i="50"/>
  <c r="Q41" i="55"/>
  <c r="Q64" i="57"/>
  <c r="Q81" i="61"/>
  <c r="Q113" i="61"/>
  <c r="W24" i="61"/>
  <c r="Y24" i="61" s="1"/>
  <c r="X24" i="61"/>
  <c r="V87" i="50"/>
  <c r="K79" i="30"/>
  <c r="V39" i="55"/>
  <c r="Q39" i="55"/>
  <c r="V22" i="50"/>
  <c r="Q22" i="50"/>
  <c r="V31" i="57"/>
  <c r="Q31" i="57"/>
  <c r="V41" i="58"/>
  <c r="Q41" i="58"/>
  <c r="V68" i="58"/>
  <c r="Q68" i="58"/>
  <c r="X10" i="58"/>
  <c r="W29" i="50"/>
  <c r="Y29" i="50" s="1"/>
  <c r="V24" i="63"/>
  <c r="Q88" i="65"/>
  <c r="P88" i="65"/>
  <c r="V33" i="58"/>
  <c r="V57" i="58"/>
  <c r="W71" i="58"/>
  <c r="Y71" i="58" s="1"/>
  <c r="W33" i="57"/>
  <c r="Y33" i="57" s="1"/>
  <c r="Q60" i="58"/>
  <c r="X24" i="57"/>
  <c r="W24" i="57"/>
  <c r="Y24" i="57" s="1"/>
  <c r="Q25" i="57"/>
  <c r="X47" i="58"/>
  <c r="W47" i="58"/>
  <c r="Y47" i="58" s="1"/>
  <c r="V44" i="58"/>
  <c r="W73" i="58"/>
  <c r="Y73" i="58" s="1"/>
  <c r="Q125" i="61"/>
  <c r="J21" i="6"/>
  <c r="Q15" i="55"/>
  <c r="V15" i="55"/>
  <c r="V42" i="57"/>
  <c r="Q42" i="57"/>
  <c r="V92" i="61"/>
  <c r="Q90" i="61"/>
  <c r="V90" i="61"/>
  <c r="V52" i="63"/>
  <c r="Q92" i="65"/>
  <c r="Q46" i="65"/>
  <c r="Q56" i="65"/>
  <c r="Q85" i="65"/>
  <c r="Q22" i="65"/>
  <c r="R22" i="65" s="1"/>
  <c r="W22" i="65" s="1"/>
  <c r="Q106" i="65"/>
  <c r="X105" i="58"/>
  <c r="V58" i="50"/>
  <c r="V74" i="57"/>
  <c r="Q54" i="58"/>
  <c r="X28" i="61"/>
  <c r="W28" i="61"/>
  <c r="Y28" i="61" s="1"/>
  <c r="V35" i="55"/>
  <c r="Q40" i="50"/>
  <c r="N57" i="46"/>
  <c r="J57" i="6"/>
  <c r="J99" i="6"/>
  <c r="Q86" i="55"/>
  <c r="V86" i="55"/>
  <c r="V110" i="58"/>
  <c r="Q110" i="58"/>
  <c r="Q35" i="61"/>
  <c r="V35" i="61"/>
  <c r="X92" i="58"/>
  <c r="W92" i="58"/>
  <c r="Y92" i="58" s="1"/>
  <c r="Q12" i="58"/>
  <c r="V12" i="58"/>
  <c r="V82" i="57"/>
  <c r="Q82" i="57"/>
  <c r="Q51" i="61"/>
  <c r="V51" i="61"/>
  <c r="X27" i="58"/>
  <c r="W27" i="58"/>
  <c r="Y27" i="58" s="1"/>
  <c r="O47" i="50"/>
  <c r="O45" i="50"/>
  <c r="O43" i="50"/>
  <c r="P43" i="50" s="1"/>
  <c r="O37" i="50"/>
  <c r="V31" i="50"/>
  <c r="Q31" i="50"/>
  <c r="O50" i="50"/>
  <c r="P50" i="50" s="1"/>
  <c r="O49" i="50"/>
  <c r="P49" i="50" s="1"/>
  <c r="O48" i="50"/>
  <c r="P48" i="50" s="1"/>
  <c r="P47" i="50"/>
  <c r="O46" i="50"/>
  <c r="P46" i="50" s="1"/>
  <c r="P45" i="50"/>
  <c r="O42" i="50"/>
  <c r="P42" i="50" s="1"/>
  <c r="P41" i="50"/>
  <c r="O39" i="50"/>
  <c r="P39" i="50" s="1"/>
  <c r="P37" i="50"/>
  <c r="V32" i="50"/>
  <c r="Q32" i="50"/>
  <c r="P13" i="50"/>
  <c r="V66" i="57"/>
  <c r="Q66" i="57"/>
  <c r="K89" i="30"/>
  <c r="J21" i="22"/>
  <c r="N99" i="42"/>
  <c r="L47" i="26"/>
  <c r="V86" i="50"/>
  <c r="Q86" i="50"/>
  <c r="Q65" i="61"/>
  <c r="V65" i="61"/>
  <c r="V95" i="58"/>
  <c r="Q95" i="58"/>
  <c r="X12" i="50"/>
  <c r="J35" i="18"/>
  <c r="Q66" i="50"/>
  <c r="V66" i="50"/>
  <c r="V64" i="61"/>
  <c r="Q64" i="61"/>
  <c r="V126" i="61"/>
  <c r="Q126" i="61"/>
  <c r="V12" i="61"/>
  <c r="Q12" i="61"/>
  <c r="W17" i="61"/>
  <c r="Y17" i="61" s="1"/>
  <c r="X17" i="61"/>
  <c r="P63" i="57"/>
  <c r="V19" i="50"/>
  <c r="V67" i="58"/>
  <c r="V104" i="58"/>
  <c r="Q104" i="58"/>
  <c r="J57" i="10"/>
  <c r="V38" i="61"/>
  <c r="Q38" i="61"/>
  <c r="V61" i="58"/>
  <c r="V79" i="58"/>
  <c r="Q79" i="58"/>
  <c r="J47" i="6"/>
  <c r="Q42" i="55"/>
  <c r="V42" i="55"/>
  <c r="Q86" i="61"/>
  <c r="V86" i="61"/>
  <c r="P99" i="61"/>
  <c r="O103" i="61"/>
  <c r="P103" i="61" s="1"/>
  <c r="P104" i="61"/>
  <c r="O35" i="50"/>
  <c r="P35" i="50" s="1"/>
  <c r="O21" i="50"/>
  <c r="P21" i="50" s="1"/>
  <c r="O15" i="50"/>
  <c r="P15" i="50" s="1"/>
  <c r="O9" i="50"/>
  <c r="P9" i="50" s="1"/>
  <c r="O30" i="50"/>
  <c r="P30" i="50" s="1"/>
  <c r="O28" i="50"/>
  <c r="P28" i="50" s="1"/>
  <c r="O24" i="50"/>
  <c r="P24" i="50" s="1"/>
  <c r="P11" i="50"/>
  <c r="V47" i="61"/>
  <c r="O37" i="61"/>
  <c r="P37" i="61" s="1"/>
  <c r="P47" i="57"/>
  <c r="O57" i="57"/>
  <c r="P57" i="57" s="1"/>
  <c r="O59" i="57"/>
  <c r="P59" i="57" s="1"/>
  <c r="O60" i="57"/>
  <c r="P69" i="57"/>
  <c r="O70" i="57"/>
  <c r="P70" i="57" s="1"/>
  <c r="O12" i="57"/>
  <c r="P12" i="57" s="1"/>
  <c r="P94" i="50"/>
  <c r="J21" i="10"/>
  <c r="J79" i="10"/>
  <c r="O87" i="61"/>
  <c r="O8" i="57"/>
  <c r="P8" i="57" s="1"/>
  <c r="V38" i="55"/>
  <c r="Q38" i="55"/>
  <c r="P105" i="61"/>
  <c r="P115" i="61"/>
  <c r="P123" i="61"/>
  <c r="O38" i="57"/>
  <c r="P38" i="57" s="1"/>
  <c r="P52" i="57"/>
  <c r="P60" i="57"/>
  <c r="Q25" i="58"/>
  <c r="V25" i="58"/>
  <c r="O8" i="61"/>
  <c r="P8" i="61" s="1"/>
  <c r="P15" i="61"/>
  <c r="O19" i="61"/>
  <c r="P19" i="61" s="1"/>
  <c r="P9" i="57"/>
  <c r="O22" i="57"/>
  <c r="P22" i="57" s="1"/>
  <c r="O27" i="57"/>
  <c r="P27" i="57" s="1"/>
  <c r="P37" i="57"/>
  <c r="O18" i="61"/>
  <c r="P18" i="61" s="1"/>
  <c r="O43" i="61"/>
  <c r="P43" i="61" s="1"/>
  <c r="O71" i="61"/>
  <c r="P71" i="61" s="1"/>
  <c r="P76" i="61"/>
  <c r="O79" i="61"/>
  <c r="P79" i="61" s="1"/>
  <c r="O89" i="61"/>
  <c r="P89" i="61" s="1"/>
  <c r="O107" i="61"/>
  <c r="P107" i="61" s="1"/>
  <c r="O114" i="61"/>
  <c r="P114" i="61" s="1"/>
  <c r="O63" i="57"/>
  <c r="I67" i="26"/>
  <c r="P8" i="50"/>
  <c r="D35" i="42"/>
  <c r="N35" i="42" s="1"/>
  <c r="I89" i="42"/>
  <c r="K99" i="34"/>
  <c r="O70" i="61"/>
  <c r="P77" i="61"/>
  <c r="O85" i="61"/>
  <c r="P85" i="61" s="1"/>
  <c r="P87" i="61"/>
  <c r="O17" i="57"/>
  <c r="P17" i="57" s="1"/>
  <c r="H89" i="34"/>
  <c r="J35" i="6"/>
  <c r="P46" i="61"/>
  <c r="P74" i="61"/>
  <c r="P98" i="61"/>
  <c r="P15" i="57"/>
  <c r="P23" i="57"/>
  <c r="O14" i="57"/>
  <c r="P14" i="57" s="1"/>
  <c r="P79" i="50"/>
  <c r="O56" i="61"/>
  <c r="P56" i="61" s="1"/>
  <c r="O84" i="61"/>
  <c r="P84" i="61" s="1"/>
  <c r="O76" i="57"/>
  <c r="P76" i="57" s="1"/>
  <c r="J89" i="34"/>
  <c r="V20" i="63"/>
  <c r="Q20" i="63"/>
  <c r="Q37" i="63"/>
  <c r="V37" i="63"/>
  <c r="P29" i="58"/>
  <c r="P41" i="63"/>
  <c r="V102" i="63"/>
  <c r="Q102" i="63"/>
  <c r="P63" i="61"/>
  <c r="O104" i="61"/>
  <c r="O116" i="61"/>
  <c r="P116" i="61" s="1"/>
  <c r="O82" i="61"/>
  <c r="P82" i="61" s="1"/>
  <c r="P42" i="61"/>
  <c r="O63" i="61"/>
  <c r="P70" i="61"/>
  <c r="P108" i="61"/>
  <c r="P22" i="61"/>
  <c r="O95" i="61"/>
  <c r="P95" i="61" s="1"/>
  <c r="O91" i="57"/>
  <c r="P91" i="57" s="1"/>
  <c r="F99" i="34"/>
  <c r="H79" i="18"/>
  <c r="J79" i="18" s="1"/>
  <c r="V114" i="63"/>
  <c r="Q114" i="63"/>
  <c r="O94" i="57"/>
  <c r="P94" i="57" s="1"/>
  <c r="O69" i="50"/>
  <c r="C67" i="26"/>
  <c r="G67" i="26"/>
  <c r="V99" i="63"/>
  <c r="Q99" i="63"/>
  <c r="P69" i="50"/>
  <c r="H89" i="42"/>
  <c r="N89" i="42" s="1"/>
  <c r="C35" i="34"/>
  <c r="K35" i="34" s="1"/>
  <c r="E67" i="34"/>
  <c r="K67" i="34" s="1"/>
  <c r="K78" i="34"/>
  <c r="G79" i="26"/>
  <c r="L79" i="26" s="1"/>
  <c r="P40" i="63"/>
  <c r="P46" i="63"/>
  <c r="O35" i="58"/>
  <c r="P35" i="58" s="1"/>
  <c r="O37" i="58"/>
  <c r="P37" i="58" s="1"/>
  <c r="O34" i="55"/>
  <c r="P34" i="55" s="1"/>
  <c r="P31" i="63"/>
  <c r="P49" i="63"/>
  <c r="P51" i="63"/>
  <c r="P57" i="63"/>
  <c r="O58" i="63"/>
  <c r="P58" i="63" s="1"/>
  <c r="O71" i="63"/>
  <c r="P71" i="63" s="1"/>
  <c r="O75" i="63"/>
  <c r="P75" i="63" s="1"/>
  <c r="O77" i="63"/>
  <c r="P77" i="63" s="1"/>
  <c r="O101" i="63"/>
  <c r="P101" i="63" s="1"/>
  <c r="P21" i="63"/>
  <c r="O25" i="63"/>
  <c r="P25" i="63" s="1"/>
  <c r="O35" i="63"/>
  <c r="P35" i="63" s="1"/>
  <c r="O53" i="63"/>
  <c r="P53" i="63" s="1"/>
  <c r="P55" i="63"/>
  <c r="O55" i="63"/>
  <c r="O57" i="63"/>
  <c r="O73" i="63"/>
  <c r="P73" i="63" s="1"/>
  <c r="O26" i="58"/>
  <c r="P26" i="58" s="1"/>
  <c r="O43" i="58"/>
  <c r="I99" i="30"/>
  <c r="K99" i="30" s="1"/>
  <c r="H57" i="14"/>
  <c r="I57" i="14" s="1"/>
  <c r="O47" i="63"/>
  <c r="P47" i="63" s="1"/>
  <c r="O49" i="63"/>
  <c r="O51" i="63"/>
  <c r="O72" i="63"/>
  <c r="P72" i="63" s="1"/>
  <c r="O19" i="58"/>
  <c r="P19" i="58" s="1"/>
  <c r="O22" i="58"/>
  <c r="P22" i="58" s="1"/>
  <c r="O15" i="63"/>
  <c r="O21" i="63"/>
  <c r="O23" i="63"/>
  <c r="P23" i="63" s="1"/>
  <c r="P33" i="63"/>
  <c r="O34" i="63"/>
  <c r="P34" i="63" s="1"/>
  <c r="O61" i="63"/>
  <c r="P61" i="63" s="1"/>
  <c r="O63" i="63"/>
  <c r="P63" i="63" s="1"/>
  <c r="O65" i="63"/>
  <c r="P65" i="63" s="1"/>
  <c r="Q67" i="63"/>
  <c r="V67" i="63"/>
  <c r="O70" i="63"/>
  <c r="P70" i="63" s="1"/>
  <c r="Q126" i="63"/>
  <c r="V126" i="63"/>
  <c r="O23" i="58"/>
  <c r="P23" i="58" s="1"/>
  <c r="P43" i="58"/>
  <c r="O14" i="63"/>
  <c r="P14" i="63" s="1"/>
  <c r="O76" i="63"/>
  <c r="P76" i="63" s="1"/>
  <c r="V82" i="63"/>
  <c r="Q82" i="63"/>
  <c r="K99" i="46"/>
  <c r="N99" i="46" s="1"/>
  <c r="F79" i="38"/>
  <c r="J79" i="38" s="1"/>
  <c r="P15" i="63"/>
  <c r="O33" i="63"/>
  <c r="O36" i="63"/>
  <c r="P36" i="63" s="1"/>
  <c r="P42" i="63"/>
  <c r="O43" i="63"/>
  <c r="P43" i="63" s="1"/>
  <c r="O54" i="63"/>
  <c r="P54" i="63" s="1"/>
  <c r="P56" i="63"/>
  <c r="O56" i="63"/>
  <c r="O59" i="63"/>
  <c r="P59" i="63" s="1"/>
  <c r="O89" i="63"/>
  <c r="P89" i="63" s="1"/>
  <c r="O91" i="63"/>
  <c r="P91" i="63" s="1"/>
  <c r="O93" i="63"/>
  <c r="P93" i="63" s="1"/>
  <c r="O95" i="63"/>
  <c r="P95" i="63" s="1"/>
  <c r="O97" i="63"/>
  <c r="P97" i="63" s="1"/>
  <c r="O34" i="58"/>
  <c r="P34" i="58" s="1"/>
  <c r="I21" i="6"/>
  <c r="X80" i="63"/>
  <c r="O9" i="63"/>
  <c r="P9" i="63" s="1"/>
  <c r="O48" i="63"/>
  <c r="P48" i="63" s="1"/>
  <c r="O50" i="63"/>
  <c r="P50" i="63" s="1"/>
  <c r="P60" i="63"/>
  <c r="O69" i="63"/>
  <c r="P69" i="63" s="1"/>
  <c r="O74" i="63"/>
  <c r="P74" i="63" s="1"/>
  <c r="O104" i="63"/>
  <c r="P104" i="63" s="1"/>
  <c r="O106" i="63"/>
  <c r="P106" i="63" s="1"/>
  <c r="O108" i="63"/>
  <c r="P108" i="63" s="1"/>
  <c r="O110" i="63"/>
  <c r="P110" i="63" s="1"/>
  <c r="O112" i="63"/>
  <c r="P112" i="63" s="1"/>
  <c r="O40" i="58"/>
  <c r="P40" i="58" s="1"/>
  <c r="K89" i="46"/>
  <c r="C89" i="46"/>
  <c r="N89" i="46" s="1"/>
  <c r="L47" i="46"/>
  <c r="N47" i="46" s="1"/>
  <c r="F47" i="38"/>
  <c r="J47" i="38" s="1"/>
  <c r="G79" i="6"/>
  <c r="J79" i="6" s="1"/>
  <c r="O11" i="63"/>
  <c r="P11" i="63" s="1"/>
  <c r="O10" i="63"/>
  <c r="P10" i="63" s="1"/>
  <c r="O32" i="63"/>
  <c r="P32" i="63" s="1"/>
  <c r="O60" i="63"/>
  <c r="O62" i="63"/>
  <c r="P62" i="63" s="1"/>
  <c r="O64" i="63"/>
  <c r="P64" i="63" s="1"/>
  <c r="O66" i="63"/>
  <c r="P66" i="63" s="1"/>
  <c r="O68" i="63"/>
  <c r="P68" i="63" s="1"/>
  <c r="O79" i="63"/>
  <c r="P79" i="63" s="1"/>
  <c r="O81" i="63"/>
  <c r="P81" i="63" s="1"/>
  <c r="O84" i="63"/>
  <c r="P84" i="63" s="1"/>
  <c r="O86" i="63"/>
  <c r="P86" i="63" s="1"/>
  <c r="O119" i="63"/>
  <c r="P119" i="63" s="1"/>
  <c r="O121" i="63"/>
  <c r="P121" i="63" s="1"/>
  <c r="O123" i="63"/>
  <c r="P123" i="63" s="1"/>
  <c r="O125" i="63"/>
  <c r="P125" i="63" s="1"/>
  <c r="O55" i="65"/>
  <c r="O87" i="65"/>
  <c r="P87" i="65" s="1"/>
  <c r="O111" i="65"/>
  <c r="Q111" i="65" s="1"/>
  <c r="R111" i="65" s="1"/>
  <c r="W111" i="65" s="1"/>
  <c r="O70" i="65"/>
  <c r="O126" i="65"/>
  <c r="P126" i="65" s="1"/>
  <c r="Y80" i="65"/>
  <c r="X80" i="65"/>
  <c r="Z80" i="65" s="1"/>
  <c r="P111" i="65"/>
  <c r="O133" i="65"/>
  <c r="P133" i="65" s="1"/>
  <c r="R12" i="65"/>
  <c r="Y109" i="65"/>
  <c r="X109" i="65"/>
  <c r="Z109" i="65" s="1"/>
  <c r="Y99" i="65"/>
  <c r="X99" i="65"/>
  <c r="Z99" i="65" s="1"/>
  <c r="X84" i="65"/>
  <c r="Z84" i="65" s="1"/>
  <c r="X31" i="65"/>
  <c r="Z31" i="65" s="1"/>
  <c r="Y31" i="65"/>
  <c r="Y115" i="65"/>
  <c r="X115" i="65"/>
  <c r="Z115" i="65" s="1"/>
  <c r="X13" i="65"/>
  <c r="Z13" i="65" s="1"/>
  <c r="Y13" i="65"/>
  <c r="Y9" i="65"/>
  <c r="X9" i="65"/>
  <c r="Z9" i="65" s="1"/>
  <c r="Y20" i="65"/>
  <c r="X20" i="65"/>
  <c r="Z20" i="65" s="1"/>
  <c r="R100" i="65"/>
  <c r="W100" i="65"/>
  <c r="X114" i="65"/>
  <c r="Z114" i="65" s="1"/>
  <c r="Y114" i="65"/>
  <c r="Y82" i="65"/>
  <c r="X82" i="65"/>
  <c r="Z82" i="65" s="1"/>
  <c r="W107" i="65"/>
  <c r="R107" i="65"/>
  <c r="X130" i="65"/>
  <c r="Z130" i="65" s="1"/>
  <c r="Y130" i="65"/>
  <c r="W75" i="65"/>
  <c r="R75" i="65"/>
  <c r="W14" i="65"/>
  <c r="R14" i="65"/>
  <c r="P134" i="65"/>
  <c r="Q134" i="65"/>
  <c r="X108" i="65"/>
  <c r="Z108" i="65" s="1"/>
  <c r="Y21" i="65"/>
  <c r="Y110" i="65"/>
  <c r="Y79" i="65"/>
  <c r="X53" i="65"/>
  <c r="Z53" i="65" s="1"/>
  <c r="X16" i="65"/>
  <c r="Z16" i="65" s="1"/>
  <c r="W36" i="65"/>
  <c r="P107" i="65"/>
  <c r="W40" i="65"/>
  <c r="W35" i="65"/>
  <c r="W60" i="65"/>
  <c r="P114" i="65"/>
  <c r="Q116" i="65"/>
  <c r="Q17" i="65"/>
  <c r="R17" i="65" s="1"/>
  <c r="W17" i="65" s="1"/>
  <c r="R26" i="65"/>
  <c r="P75" i="65"/>
  <c r="P93" i="65"/>
  <c r="P14" i="65"/>
  <c r="R109" i="65"/>
  <c r="Y119" i="65"/>
  <c r="Y68" i="65"/>
  <c r="Y77" i="65"/>
  <c r="Q19" i="65"/>
  <c r="R31" i="65"/>
  <c r="R115" i="65"/>
  <c r="Q64" i="65"/>
  <c r="R64" i="65" s="1"/>
  <c r="W64" i="65" s="1"/>
  <c r="R53" i="65"/>
  <c r="R130" i="65"/>
  <c r="Q49" i="65"/>
  <c r="R49" i="65" s="1"/>
  <c r="W49" i="65" s="1"/>
  <c r="X49" i="65" s="1"/>
  <c r="Z49" i="65" s="1"/>
  <c r="Q122" i="65"/>
  <c r="Q50" i="65"/>
  <c r="Q24" i="65"/>
  <c r="Q86" i="65"/>
  <c r="R86" i="65" s="1"/>
  <c r="W86" i="65" s="1"/>
  <c r="P81" i="65"/>
  <c r="Q73" i="65"/>
  <c r="O39" i="65"/>
  <c r="P39" i="65" s="1"/>
  <c r="O51" i="65"/>
  <c r="Q51" i="65" s="1"/>
  <c r="Q42" i="65"/>
  <c r="Q69" i="65"/>
  <c r="Q27" i="65"/>
  <c r="O28" i="65"/>
  <c r="P28" i="65" s="1"/>
  <c r="O89" i="65"/>
  <c r="Q89" i="65" s="1"/>
  <c r="O101" i="65"/>
  <c r="P101" i="65" s="1"/>
  <c r="O120" i="65"/>
  <c r="P120" i="65" s="1"/>
  <c r="O112" i="76"/>
  <c r="P112" i="76" s="1"/>
  <c r="O68" i="76"/>
  <c r="Q68" i="76" s="1"/>
  <c r="R68" i="76" s="1"/>
  <c r="Q25" i="76"/>
  <c r="O22" i="76"/>
  <c r="Q22" i="76" s="1"/>
  <c r="R22" i="76" s="1"/>
  <c r="W22" i="76" s="1"/>
  <c r="O43" i="76"/>
  <c r="P43" i="76" s="1"/>
  <c r="O76" i="76"/>
  <c r="P76" i="76" s="1"/>
  <c r="O114" i="76"/>
  <c r="P114" i="76" s="1"/>
  <c r="O115" i="76"/>
  <c r="P115" i="76" s="1"/>
  <c r="O55" i="76"/>
  <c r="Q55" i="76" s="1"/>
  <c r="R55" i="76" s="1"/>
  <c r="O37" i="76"/>
  <c r="Q37" i="76" s="1"/>
  <c r="R37" i="76" s="1"/>
  <c r="O29" i="76"/>
  <c r="Q29" i="76" s="1"/>
  <c r="W29" i="76" s="1"/>
  <c r="O14" i="76"/>
  <c r="Q14" i="76" s="1"/>
  <c r="R14" i="76" s="1"/>
  <c r="Q61" i="76"/>
  <c r="R61" i="76" s="1"/>
  <c r="Q94" i="76"/>
  <c r="R94" i="76" s="1"/>
  <c r="W94" i="76" s="1"/>
  <c r="X94" i="76" s="1"/>
  <c r="Z94" i="76" s="1"/>
  <c r="O58" i="76"/>
  <c r="P58" i="76" s="1"/>
  <c r="O95" i="76"/>
  <c r="Q95" i="76" s="1"/>
  <c r="R95" i="76" s="1"/>
  <c r="O97" i="76"/>
  <c r="P97" i="76" s="1"/>
  <c r="O148" i="76"/>
  <c r="P148" i="76" s="1"/>
  <c r="O107" i="76"/>
  <c r="P107" i="76" s="1"/>
  <c r="Y12" i="65"/>
  <c r="X12" i="65"/>
  <c r="Z12" i="65" s="1"/>
  <c r="X128" i="65"/>
  <c r="Z128" i="65" s="1"/>
  <c r="Y128" i="65"/>
  <c r="X127" i="65"/>
  <c r="Z127" i="65" s="1"/>
  <c r="Y127" i="65"/>
  <c r="Y48" i="65"/>
  <c r="X48" i="65"/>
  <c r="Z48" i="65" s="1"/>
  <c r="Y32" i="65"/>
  <c r="X32" i="65"/>
  <c r="Z32" i="65" s="1"/>
  <c r="R8" i="65"/>
  <c r="W8" i="65"/>
  <c r="W104" i="65"/>
  <c r="R67" i="65"/>
  <c r="W67" i="65"/>
  <c r="W124" i="65"/>
  <c r="R124" i="65"/>
  <c r="W88" i="65"/>
  <c r="R88" i="65"/>
  <c r="P89" i="65"/>
  <c r="P118" i="65"/>
  <c r="Q118" i="65"/>
  <c r="Q120" i="65"/>
  <c r="Q126" i="65"/>
  <c r="Q133" i="65"/>
  <c r="R133" i="65" s="1"/>
  <c r="W133" i="65" s="1"/>
  <c r="X22" i="65"/>
  <c r="Z22" i="65" s="1"/>
  <c r="Y22" i="65"/>
  <c r="Y95" i="65"/>
  <c r="X95" i="65"/>
  <c r="Z95" i="65" s="1"/>
  <c r="Y121" i="65"/>
  <c r="X121" i="65"/>
  <c r="Z121" i="65" s="1"/>
  <c r="Y15" i="65"/>
  <c r="X15" i="65"/>
  <c r="Z15" i="65" s="1"/>
  <c r="W76" i="65"/>
  <c r="R76" i="65"/>
  <c r="R66" i="65"/>
  <c r="W66" i="65"/>
  <c r="P55" i="65"/>
  <c r="Q55" i="65"/>
  <c r="Q87" i="65"/>
  <c r="Y26" i="65"/>
  <c r="X26" i="65"/>
  <c r="Z26" i="65" s="1"/>
  <c r="Y86" i="65"/>
  <c r="X86" i="65"/>
  <c r="Z86" i="65" s="1"/>
  <c r="X65" i="65"/>
  <c r="Z65" i="65" s="1"/>
  <c r="Y65" i="65"/>
  <c r="Y33" i="65"/>
  <c r="X33" i="65"/>
  <c r="Z33" i="65" s="1"/>
  <c r="Y96" i="65"/>
  <c r="X96" i="65"/>
  <c r="Z96" i="65" s="1"/>
  <c r="X54" i="65"/>
  <c r="Z54" i="65" s="1"/>
  <c r="Y54" i="65"/>
  <c r="W105" i="65"/>
  <c r="R105" i="65"/>
  <c r="R93" i="65"/>
  <c r="W93" i="65"/>
  <c r="Y81" i="65"/>
  <c r="X81" i="65"/>
  <c r="Z81" i="65" s="1"/>
  <c r="P70" i="65"/>
  <c r="Q70" i="65"/>
  <c r="R70" i="65" s="1"/>
  <c r="W70" i="65" s="1"/>
  <c r="Y74" i="65"/>
  <c r="X74" i="65"/>
  <c r="Z74" i="65" s="1"/>
  <c r="Y38" i="65"/>
  <c r="X38" i="65"/>
  <c r="Z38" i="65" s="1"/>
  <c r="W59" i="65"/>
  <c r="R59" i="65"/>
  <c r="W23" i="65"/>
  <c r="X112" i="65"/>
  <c r="Z112" i="65" s="1"/>
  <c r="Y112" i="65"/>
  <c r="Y117" i="65"/>
  <c r="X117" i="65"/>
  <c r="Z117" i="65" s="1"/>
  <c r="Q39" i="65"/>
  <c r="P102" i="65"/>
  <c r="Q102" i="65"/>
  <c r="R121" i="65"/>
  <c r="W90" i="65"/>
  <c r="W58" i="65"/>
  <c r="O137" i="76"/>
  <c r="P137" i="76" s="1"/>
  <c r="O111" i="76"/>
  <c r="P111" i="76" s="1"/>
  <c r="O150" i="76"/>
  <c r="P150" i="76" s="1"/>
  <c r="O119" i="76"/>
  <c r="P119" i="76" s="1"/>
  <c r="O103" i="76"/>
  <c r="P103" i="76" s="1"/>
  <c r="O99" i="76"/>
  <c r="Q99" i="76" s="1"/>
  <c r="R99" i="76" s="1"/>
  <c r="O83" i="76"/>
  <c r="Q83" i="76" s="1"/>
  <c r="R83" i="76" s="1"/>
  <c r="O71" i="76"/>
  <c r="Q71" i="76" s="1"/>
  <c r="R71" i="76" s="1"/>
  <c r="W71" i="76" s="1"/>
  <c r="X71" i="76" s="1"/>
  <c r="Z71" i="76" s="1"/>
  <c r="O67" i="76"/>
  <c r="Q67" i="76" s="1"/>
  <c r="W67" i="76" s="1"/>
  <c r="Y67" i="76" s="1"/>
  <c r="O64" i="76"/>
  <c r="Q64" i="76" s="1"/>
  <c r="W64" i="76" s="1"/>
  <c r="Y64" i="76" s="1"/>
  <c r="O63" i="76"/>
  <c r="Q63" i="76" s="1"/>
  <c r="R63" i="76" s="1"/>
  <c r="O60" i="76"/>
  <c r="Q60" i="76" s="1"/>
  <c r="R60" i="76" s="1"/>
  <c r="O56" i="76"/>
  <c r="Q56" i="76" s="1"/>
  <c r="W56" i="76" s="1"/>
  <c r="X56" i="76" s="1"/>
  <c r="Z56" i="76" s="1"/>
  <c r="O52" i="76"/>
  <c r="Q52" i="76" s="1"/>
  <c r="R52" i="76" s="1"/>
  <c r="W52" i="76" s="1"/>
  <c r="X52" i="76" s="1"/>
  <c r="Z52" i="76" s="1"/>
  <c r="O51" i="76"/>
  <c r="Q51" i="76" s="1"/>
  <c r="W51" i="76" s="1"/>
  <c r="O48" i="76"/>
  <c r="Q48" i="76" s="1"/>
  <c r="R48" i="76" s="1"/>
  <c r="O44" i="76"/>
  <c r="Q44" i="76" s="1"/>
  <c r="W44" i="76" s="1"/>
  <c r="Y44" i="76" s="1"/>
  <c r="O38" i="76"/>
  <c r="Q38" i="76" s="1"/>
  <c r="W38" i="76" s="1"/>
  <c r="O34" i="76"/>
  <c r="Q34" i="76" s="1"/>
  <c r="R34" i="76" s="1"/>
  <c r="W34" i="76" s="1"/>
  <c r="Y34" i="76" s="1"/>
  <c r="O33" i="76"/>
  <c r="Q33" i="76" s="1"/>
  <c r="W33" i="76" s="1"/>
  <c r="O30" i="76"/>
  <c r="Q30" i="76" s="1"/>
  <c r="W30" i="76" s="1"/>
  <c r="X30" i="76" s="1"/>
  <c r="Z30" i="76" s="1"/>
  <c r="O26" i="76"/>
  <c r="Q26" i="76" s="1"/>
  <c r="W26" i="76" s="1"/>
  <c r="X26" i="76" s="1"/>
  <c r="Z26" i="76" s="1"/>
  <c r="O21" i="76"/>
  <c r="Q21" i="76" s="1"/>
  <c r="R21" i="76" s="1"/>
  <c r="O18" i="76"/>
  <c r="Q18" i="76" s="1"/>
  <c r="W18" i="76" s="1"/>
  <c r="O17" i="76"/>
  <c r="P17" i="76" s="1"/>
  <c r="O13" i="76"/>
  <c r="Q13" i="76" s="1"/>
  <c r="W13" i="76" s="1"/>
  <c r="X13" i="76" s="1"/>
  <c r="Z13" i="76" s="1"/>
  <c r="O10" i="76"/>
  <c r="P10" i="76" s="1"/>
  <c r="O9" i="76"/>
  <c r="P9" i="76" s="1"/>
  <c r="O134" i="76"/>
  <c r="P134" i="76" s="1"/>
  <c r="O127" i="76"/>
  <c r="P127" i="76" s="1"/>
  <c r="O123" i="76"/>
  <c r="P123" i="76" s="1"/>
  <c r="O91" i="76"/>
  <c r="Q91" i="76" s="1"/>
  <c r="R91" i="76" s="1"/>
  <c r="O87" i="76"/>
  <c r="Q87" i="76" s="1"/>
  <c r="W87" i="76" s="1"/>
  <c r="Y87" i="76" s="1"/>
  <c r="O75" i="76"/>
  <c r="Q75" i="76" s="1"/>
  <c r="R75" i="76" s="1"/>
  <c r="Q59" i="76"/>
  <c r="R59" i="76" s="1"/>
  <c r="O133" i="76"/>
  <c r="P133" i="76" s="1"/>
  <c r="O131" i="76"/>
  <c r="P131" i="76" s="1"/>
  <c r="O128" i="76"/>
  <c r="P128" i="76" s="1"/>
  <c r="O126" i="76"/>
  <c r="P126" i="76" s="1"/>
  <c r="O124" i="76"/>
  <c r="P124" i="76" s="1"/>
  <c r="O122" i="76"/>
  <c r="P122" i="76" s="1"/>
  <c r="O120" i="76"/>
  <c r="P120" i="76" s="1"/>
  <c r="O118" i="76"/>
  <c r="P118" i="76" s="1"/>
  <c r="O116" i="76"/>
  <c r="P116" i="76" s="1"/>
  <c r="O113" i="76"/>
  <c r="P113" i="76" s="1"/>
  <c r="O108" i="76"/>
  <c r="P108" i="76" s="1"/>
  <c r="O104" i="76"/>
  <c r="P104" i="76" s="1"/>
  <c r="O100" i="76"/>
  <c r="Q100" i="76" s="1"/>
  <c r="R100" i="76" s="1"/>
  <c r="O96" i="76"/>
  <c r="Q96" i="76" s="1"/>
  <c r="W96" i="76" s="1"/>
  <c r="O92" i="76"/>
  <c r="Q92" i="76" s="1"/>
  <c r="R92" i="76" s="1"/>
  <c r="O88" i="76"/>
  <c r="Q88" i="76" s="1"/>
  <c r="R88" i="76" s="1"/>
  <c r="W88" i="76" s="1"/>
  <c r="X88" i="76" s="1"/>
  <c r="Z88" i="76" s="1"/>
  <c r="O84" i="76"/>
  <c r="Q84" i="76" s="1"/>
  <c r="W84" i="76" s="1"/>
  <c r="O80" i="76"/>
  <c r="Q80" i="76" s="1"/>
  <c r="R80" i="76" s="1"/>
  <c r="O73" i="76"/>
  <c r="Q73" i="76" s="1"/>
  <c r="R73" i="76" s="1"/>
  <c r="O72" i="76"/>
  <c r="Q72" i="76" s="1"/>
  <c r="W72" i="76" s="1"/>
  <c r="X72" i="76" s="1"/>
  <c r="Z72" i="76" s="1"/>
  <c r="O69" i="76"/>
  <c r="Q69" i="76" s="1"/>
  <c r="R69" i="76" s="1"/>
  <c r="O66" i="76"/>
  <c r="Q66" i="76" s="1"/>
  <c r="R66" i="76" s="1"/>
  <c r="O65" i="76"/>
  <c r="Q65" i="76" s="1"/>
  <c r="W65" i="76" s="1"/>
  <c r="X65" i="76" s="1"/>
  <c r="Z65" i="76" s="1"/>
  <c r="O62" i="76"/>
  <c r="Q62" i="76" s="1"/>
  <c r="R62" i="76" s="1"/>
  <c r="O57" i="76"/>
  <c r="Q57" i="76" s="1"/>
  <c r="W57" i="76" s="1"/>
  <c r="O54" i="76"/>
  <c r="Q54" i="76" s="1"/>
  <c r="R54" i="76" s="1"/>
  <c r="O53" i="76"/>
  <c r="Q53" i="76" s="1"/>
  <c r="R53" i="76" s="1"/>
  <c r="W53" i="76" s="1"/>
  <c r="X53" i="76" s="1"/>
  <c r="Z53" i="76" s="1"/>
  <c r="O50" i="76"/>
  <c r="Q50" i="76" s="1"/>
  <c r="W50" i="76" s="1"/>
  <c r="Y50" i="76" s="1"/>
  <c r="O49" i="76"/>
  <c r="Q49" i="76" s="1"/>
  <c r="R49" i="76" s="1"/>
  <c r="O46" i="76"/>
  <c r="Q46" i="76" s="1"/>
  <c r="R46" i="76" s="1"/>
  <c r="O45" i="76"/>
  <c r="Q45" i="76" s="1"/>
  <c r="R45" i="76" s="1"/>
  <c r="O42" i="76"/>
  <c r="Q42" i="76" s="1"/>
  <c r="W42" i="76" s="1"/>
  <c r="O39" i="76"/>
  <c r="Q39" i="76" s="1"/>
  <c r="W39" i="76" s="1"/>
  <c r="Y39" i="76" s="1"/>
  <c r="O36" i="76"/>
  <c r="Q36" i="76" s="1"/>
  <c r="W36" i="76" s="1"/>
  <c r="X36" i="76" s="1"/>
  <c r="Z36" i="76" s="1"/>
  <c r="O35" i="76"/>
  <c r="Q35" i="76" s="1"/>
  <c r="R35" i="76" s="1"/>
  <c r="W35" i="76" s="1"/>
  <c r="Y35" i="76" s="1"/>
  <c r="O32" i="76"/>
  <c r="Q32" i="76" s="1"/>
  <c r="R32" i="76" s="1"/>
  <c r="O31" i="76"/>
  <c r="Q31" i="76" s="1"/>
  <c r="R31" i="76" s="1"/>
  <c r="O28" i="76"/>
  <c r="Q28" i="76" s="1"/>
  <c r="W28" i="76" s="1"/>
  <c r="X28" i="76" s="1"/>
  <c r="Z28" i="76" s="1"/>
  <c r="O27" i="76"/>
  <c r="Q27" i="76" s="1"/>
  <c r="R27" i="76" s="1"/>
  <c r="O24" i="76"/>
  <c r="Q24" i="76" s="1"/>
  <c r="W24" i="76" s="1"/>
  <c r="O20" i="76"/>
  <c r="Q20" i="76" s="1"/>
  <c r="R20" i="76" s="1"/>
  <c r="O19" i="76"/>
  <c r="Q19" i="76" s="1"/>
  <c r="W19" i="76" s="1"/>
  <c r="O16" i="76"/>
  <c r="Q16" i="76" s="1"/>
  <c r="R16" i="76" s="1"/>
  <c r="W16" i="76" s="1"/>
  <c r="Y16" i="76" s="1"/>
  <c r="O15" i="76"/>
  <c r="Q15" i="76" s="1"/>
  <c r="R15" i="76" s="1"/>
  <c r="O12" i="76"/>
  <c r="Q12" i="76" s="1"/>
  <c r="W12" i="76" s="1"/>
  <c r="X12" i="76" s="1"/>
  <c r="Z12" i="76" s="1"/>
  <c r="O11" i="76"/>
  <c r="Q11" i="76" s="1"/>
  <c r="W11" i="76" s="1"/>
  <c r="O77" i="76"/>
  <c r="Q77" i="76" s="1"/>
  <c r="W77" i="76" s="1"/>
  <c r="Y77" i="76" s="1"/>
  <c r="O129" i="76"/>
  <c r="P129" i="76" s="1"/>
  <c r="O140" i="76"/>
  <c r="P140" i="76" s="1"/>
  <c r="O125" i="76"/>
  <c r="P125" i="76" s="1"/>
  <c r="O121" i="76"/>
  <c r="P121" i="76" s="1"/>
  <c r="O117" i="76"/>
  <c r="P117" i="76" s="1"/>
  <c r="O110" i="76"/>
  <c r="P110" i="76" s="1"/>
  <c r="O109" i="76"/>
  <c r="P109" i="76" s="1"/>
  <c r="O106" i="76"/>
  <c r="P106" i="76" s="1"/>
  <c r="O105" i="76"/>
  <c r="P105" i="76" s="1"/>
  <c r="O102" i="76"/>
  <c r="Q102" i="76" s="1"/>
  <c r="W102" i="76" s="1"/>
  <c r="O101" i="76"/>
  <c r="Q101" i="76" s="1"/>
  <c r="R101" i="76" s="1"/>
  <c r="O98" i="76"/>
  <c r="Q98" i="76" s="1"/>
  <c r="R98" i="76" s="1"/>
  <c r="O93" i="76"/>
  <c r="Q93" i="76" s="1"/>
  <c r="W93" i="76" s="1"/>
  <c r="O90" i="76"/>
  <c r="Q90" i="76" s="1"/>
  <c r="W90" i="76" s="1"/>
  <c r="O89" i="76"/>
  <c r="Q89" i="76" s="1"/>
  <c r="R89" i="76" s="1"/>
  <c r="W89" i="76" s="1"/>
  <c r="X89" i="76" s="1"/>
  <c r="Z89" i="76" s="1"/>
  <c r="O86" i="76"/>
  <c r="Q86" i="76" s="1"/>
  <c r="R86" i="76" s="1"/>
  <c r="O85" i="76"/>
  <c r="Q85" i="76" s="1"/>
  <c r="R85" i="76" s="1"/>
  <c r="O82" i="76"/>
  <c r="Q82" i="76" s="1"/>
  <c r="R82" i="76" s="1"/>
  <c r="O81" i="76"/>
  <c r="Q81" i="76" s="1"/>
  <c r="W81" i="76" s="1"/>
  <c r="X81" i="76" s="1"/>
  <c r="Z81" i="76" s="1"/>
  <c r="O78" i="76"/>
  <c r="Q78" i="76" s="1"/>
  <c r="R78" i="76" s="1"/>
  <c r="O74" i="76"/>
  <c r="Q74" i="76" s="1"/>
  <c r="W74" i="76" s="1"/>
  <c r="O70" i="76"/>
  <c r="Q70" i="76" s="1"/>
  <c r="R70" i="76" s="1"/>
  <c r="W70" i="76" s="1"/>
  <c r="Y70" i="76" s="1"/>
  <c r="O147" i="76"/>
  <c r="Q147" i="76" s="1"/>
  <c r="R147" i="76" s="1"/>
  <c r="W147" i="76" s="1"/>
  <c r="X147" i="76" s="1"/>
  <c r="Z147" i="76" s="1"/>
  <c r="O41" i="76"/>
  <c r="P41" i="76" s="1"/>
  <c r="Q23" i="76"/>
  <c r="W23" i="76" s="1"/>
  <c r="X23" i="76" s="1"/>
  <c r="Z23" i="76" s="1"/>
  <c r="O141" i="76"/>
  <c r="P141" i="76" s="1"/>
  <c r="O139" i="76"/>
  <c r="P139" i="76" s="1"/>
  <c r="O138" i="76"/>
  <c r="Q138" i="76" s="1"/>
  <c r="O136" i="76"/>
  <c r="P136" i="76" s="1"/>
  <c r="O135" i="76"/>
  <c r="P135" i="76" s="1"/>
  <c r="O40" i="76"/>
  <c r="O142" i="76"/>
  <c r="Q142" i="76" s="1"/>
  <c r="R142" i="76" s="1"/>
  <c r="W142" i="76" s="1"/>
  <c r="P23" i="76"/>
  <c r="P22" i="76"/>
  <c r="W47" i="76"/>
  <c r="Y47" i="76" s="1"/>
  <c r="R47" i="76"/>
  <c r="W79" i="76"/>
  <c r="Y79" i="76" s="1"/>
  <c r="R79" i="76"/>
  <c r="W61" i="76"/>
  <c r="X61" i="76" s="1"/>
  <c r="Z61" i="76" s="1"/>
  <c r="P47" i="76"/>
  <c r="P59" i="76"/>
  <c r="P61" i="76"/>
  <c r="P79" i="76"/>
  <c r="P94" i="76"/>
  <c r="O8" i="76"/>
  <c r="Q107" i="76"/>
  <c r="W107" i="76" s="1"/>
  <c r="O149" i="76"/>
  <c r="Q149" i="76" s="1"/>
  <c r="O143" i="76"/>
  <c r="Q143" i="76" s="1"/>
  <c r="O146" i="76"/>
  <c r="P146" i="76" s="1"/>
  <c r="O145" i="76"/>
  <c r="Q145" i="76" s="1"/>
  <c r="O144" i="76"/>
  <c r="P144" i="76" s="1"/>
  <c r="W14" i="76"/>
  <c r="W25" i="76"/>
  <c r="R25" i="76"/>
  <c r="R29" i="76"/>
  <c r="Y94" i="76"/>
  <c r="P25" i="76"/>
  <c r="Q114" i="76"/>
  <c r="Q130" i="76"/>
  <c r="Q132" i="76"/>
  <c r="P29" i="76"/>
  <c r="V12" i="57" l="1"/>
  <c r="Q12" i="57"/>
  <c r="V59" i="50"/>
  <c r="Q59" i="50"/>
  <c r="V48" i="63"/>
  <c r="Q48" i="63"/>
  <c r="V14" i="57"/>
  <c r="Q14" i="57"/>
  <c r="V17" i="57"/>
  <c r="Q17" i="57"/>
  <c r="Q71" i="61"/>
  <c r="V71" i="61"/>
  <c r="Q37" i="61"/>
  <c r="V37" i="61"/>
  <c r="Q55" i="50"/>
  <c r="V55" i="50"/>
  <c r="V63" i="63"/>
  <c r="Q63" i="63"/>
  <c r="V61" i="63"/>
  <c r="Q61" i="63"/>
  <c r="V64" i="63"/>
  <c r="Q64" i="63"/>
  <c r="V34" i="63"/>
  <c r="Q34" i="63"/>
  <c r="Q34" i="55"/>
  <c r="V34" i="55"/>
  <c r="V94" i="57"/>
  <c r="Q94" i="57"/>
  <c r="V62" i="63"/>
  <c r="Q62" i="63"/>
  <c r="V37" i="58"/>
  <c r="Q37" i="58"/>
  <c r="V54" i="63"/>
  <c r="Q54" i="63"/>
  <c r="V47" i="63"/>
  <c r="Q47" i="63"/>
  <c r="V35" i="58"/>
  <c r="Q35" i="58"/>
  <c r="V84" i="61"/>
  <c r="Q84" i="61"/>
  <c r="Q89" i="61"/>
  <c r="V89" i="61"/>
  <c r="V43" i="50"/>
  <c r="Q43" i="50"/>
  <c r="Y111" i="65"/>
  <c r="X111" i="65"/>
  <c r="Z111" i="65" s="1"/>
  <c r="V32" i="63"/>
  <c r="Q32" i="63"/>
  <c r="V53" i="63"/>
  <c r="Q53" i="63"/>
  <c r="V56" i="61"/>
  <c r="Q56" i="61"/>
  <c r="Q79" i="61"/>
  <c r="V79" i="61"/>
  <c r="V50" i="63"/>
  <c r="Q50" i="63"/>
  <c r="V35" i="63"/>
  <c r="Q35" i="63"/>
  <c r="Q53" i="50"/>
  <c r="V53" i="50"/>
  <c r="V123" i="63"/>
  <c r="Q123" i="63"/>
  <c r="V125" i="63"/>
  <c r="Q125" i="63"/>
  <c r="V68" i="63"/>
  <c r="Q68" i="63"/>
  <c r="Q11" i="63"/>
  <c r="V11" i="63"/>
  <c r="V112" i="63"/>
  <c r="Q112" i="63"/>
  <c r="V34" i="58"/>
  <c r="Q34" i="58"/>
  <c r="V56" i="63"/>
  <c r="Q56" i="63"/>
  <c r="V15" i="63"/>
  <c r="Q15" i="63"/>
  <c r="V55" i="63"/>
  <c r="Q55" i="63"/>
  <c r="V75" i="63"/>
  <c r="Q75" i="63"/>
  <c r="V31" i="63"/>
  <c r="Q31" i="63"/>
  <c r="V22" i="61"/>
  <c r="Q22" i="61"/>
  <c r="V63" i="61"/>
  <c r="Q63" i="61"/>
  <c r="W20" i="63"/>
  <c r="Y20" i="63" s="1"/>
  <c r="X20" i="63"/>
  <c r="V79" i="50"/>
  <c r="Q79" i="50"/>
  <c r="V46" i="61"/>
  <c r="Q46" i="61"/>
  <c r="Q114" i="61"/>
  <c r="V114" i="61"/>
  <c r="Q37" i="57"/>
  <c r="V37" i="57"/>
  <c r="W25" i="58"/>
  <c r="Y25" i="58" s="1"/>
  <c r="X25" i="58"/>
  <c r="V115" i="61"/>
  <c r="Q115" i="61"/>
  <c r="V94" i="50"/>
  <c r="Q94" i="50"/>
  <c r="V21" i="50"/>
  <c r="Q21" i="50"/>
  <c r="X12" i="61"/>
  <c r="W12" i="61"/>
  <c r="Y12" i="61" s="1"/>
  <c r="Q37" i="50"/>
  <c r="V37" i="50"/>
  <c r="Q49" i="50"/>
  <c r="V49" i="50"/>
  <c r="W74" i="57"/>
  <c r="Y74" i="57" s="1"/>
  <c r="X74" i="57"/>
  <c r="R92" i="65"/>
  <c r="W92" i="65"/>
  <c r="X19" i="57"/>
  <c r="W19" i="57"/>
  <c r="Y19" i="57" s="1"/>
  <c r="X56" i="50"/>
  <c r="W56" i="50"/>
  <c r="Y56" i="50" s="1"/>
  <c r="W60" i="61"/>
  <c r="Y60" i="61" s="1"/>
  <c r="X60" i="61"/>
  <c r="X76" i="50"/>
  <c r="W76" i="50"/>
  <c r="Y76" i="50" s="1"/>
  <c r="W41" i="61"/>
  <c r="Y41" i="61" s="1"/>
  <c r="X41" i="61"/>
  <c r="W48" i="57"/>
  <c r="Y48" i="57" s="1"/>
  <c r="X48" i="57"/>
  <c r="R98" i="65"/>
  <c r="W98" i="65"/>
  <c r="W47" i="65"/>
  <c r="R47" i="65"/>
  <c r="W131" i="65"/>
  <c r="R131" i="65"/>
  <c r="X14" i="61"/>
  <c r="W14" i="61"/>
  <c r="Y14" i="61" s="1"/>
  <c r="W103" i="65"/>
  <c r="R103" i="65"/>
  <c r="V110" i="63"/>
  <c r="Q110" i="63"/>
  <c r="V60" i="63"/>
  <c r="Q60" i="63"/>
  <c r="V97" i="63"/>
  <c r="Q97" i="63"/>
  <c r="V14" i="63"/>
  <c r="Q14" i="63"/>
  <c r="V65" i="63"/>
  <c r="Q65" i="63"/>
  <c r="V22" i="58"/>
  <c r="Q22" i="58"/>
  <c r="Q71" i="63"/>
  <c r="V71" i="63"/>
  <c r="Q108" i="61"/>
  <c r="V108" i="61"/>
  <c r="Q107" i="61"/>
  <c r="V107" i="61"/>
  <c r="Q27" i="57"/>
  <c r="V27" i="57"/>
  <c r="Q105" i="61"/>
  <c r="V105" i="61"/>
  <c r="W47" i="61"/>
  <c r="Y47" i="61" s="1"/>
  <c r="X47" i="61"/>
  <c r="V35" i="50"/>
  <c r="Q35" i="50"/>
  <c r="W104" i="58"/>
  <c r="Y104" i="58" s="1"/>
  <c r="X104" i="58"/>
  <c r="V39" i="50"/>
  <c r="Q39" i="50"/>
  <c r="V50" i="50"/>
  <c r="Q50" i="50"/>
  <c r="X58" i="50"/>
  <c r="W58" i="50"/>
  <c r="Y58" i="50" s="1"/>
  <c r="W52" i="63"/>
  <c r="Y52" i="63" s="1"/>
  <c r="X52" i="63"/>
  <c r="W24" i="63"/>
  <c r="Y24" i="63" s="1"/>
  <c r="X24" i="63"/>
  <c r="W31" i="57"/>
  <c r="Y31" i="57" s="1"/>
  <c r="X31" i="57"/>
  <c r="W67" i="50"/>
  <c r="Y67" i="50" s="1"/>
  <c r="X67" i="50"/>
  <c r="V57" i="50"/>
  <c r="Q57" i="50"/>
  <c r="W19" i="55"/>
  <c r="Y19" i="55" s="1"/>
  <c r="X19" i="55"/>
  <c r="X106" i="61"/>
  <c r="W106" i="61"/>
  <c r="Y106" i="61" s="1"/>
  <c r="X36" i="61"/>
  <c r="W36" i="61"/>
  <c r="Y36" i="61" s="1"/>
  <c r="X60" i="55"/>
  <c r="W60" i="55"/>
  <c r="Y60" i="55" s="1"/>
  <c r="W29" i="55"/>
  <c r="Y29" i="55" s="1"/>
  <c r="X29" i="55"/>
  <c r="Y30" i="65"/>
  <c r="X30" i="65"/>
  <c r="Z30" i="65" s="1"/>
  <c r="W52" i="65"/>
  <c r="R52" i="65"/>
  <c r="V121" i="63"/>
  <c r="Q121" i="63"/>
  <c r="V108" i="63"/>
  <c r="Q108" i="63"/>
  <c r="V95" i="63"/>
  <c r="Q95" i="63"/>
  <c r="V43" i="58"/>
  <c r="Q43" i="58"/>
  <c r="Q19" i="58"/>
  <c r="V19" i="58"/>
  <c r="V58" i="63"/>
  <c r="Q58" i="63"/>
  <c r="Q70" i="61"/>
  <c r="V70" i="61"/>
  <c r="W102" i="63"/>
  <c r="Y102" i="63" s="1"/>
  <c r="X102" i="63"/>
  <c r="V76" i="57"/>
  <c r="Q76" i="57"/>
  <c r="Q23" i="57"/>
  <c r="V23" i="57"/>
  <c r="K89" i="34"/>
  <c r="V22" i="57"/>
  <c r="Q22" i="57"/>
  <c r="Q60" i="57"/>
  <c r="V60" i="57"/>
  <c r="Q70" i="57"/>
  <c r="V70" i="57"/>
  <c r="V11" i="50"/>
  <c r="Q11" i="50"/>
  <c r="V104" i="61"/>
  <c r="Q104" i="61"/>
  <c r="W67" i="58"/>
  <c r="Y67" i="58" s="1"/>
  <c r="X67" i="58"/>
  <c r="X126" i="61"/>
  <c r="W126" i="61"/>
  <c r="Y126" i="61" s="1"/>
  <c r="W95" i="58"/>
  <c r="Y95" i="58" s="1"/>
  <c r="X95" i="58"/>
  <c r="Q41" i="50"/>
  <c r="V41" i="50"/>
  <c r="X51" i="61"/>
  <c r="W51" i="61"/>
  <c r="Y51" i="61" s="1"/>
  <c r="X35" i="61"/>
  <c r="W35" i="61"/>
  <c r="Y35" i="61" s="1"/>
  <c r="W90" i="61"/>
  <c r="Y90" i="61" s="1"/>
  <c r="X90" i="61"/>
  <c r="W13" i="57"/>
  <c r="Y13" i="57" s="1"/>
  <c r="X13" i="57"/>
  <c r="X49" i="61"/>
  <c r="W49" i="61"/>
  <c r="Y49" i="61" s="1"/>
  <c r="W63" i="65"/>
  <c r="R63" i="65"/>
  <c r="X25" i="65"/>
  <c r="Z25" i="65" s="1"/>
  <c r="Y25" i="65"/>
  <c r="R94" i="65"/>
  <c r="W94" i="65"/>
  <c r="X92" i="57"/>
  <c r="W92" i="57"/>
  <c r="Y92" i="57" s="1"/>
  <c r="V106" i="63"/>
  <c r="Q106" i="63"/>
  <c r="V93" i="63"/>
  <c r="Q93" i="63"/>
  <c r="V43" i="63"/>
  <c r="Q43" i="63"/>
  <c r="Q23" i="58"/>
  <c r="V23" i="58"/>
  <c r="Q72" i="63"/>
  <c r="V72" i="63"/>
  <c r="V57" i="63"/>
  <c r="Q57" i="63"/>
  <c r="Q69" i="50"/>
  <c r="V69" i="50"/>
  <c r="W114" i="63"/>
  <c r="Y114" i="63" s="1"/>
  <c r="X114" i="63"/>
  <c r="V41" i="63"/>
  <c r="Q41" i="63"/>
  <c r="V15" i="57"/>
  <c r="Q15" i="57"/>
  <c r="V52" i="57"/>
  <c r="Q52" i="57"/>
  <c r="X38" i="55"/>
  <c r="W38" i="55"/>
  <c r="Y38" i="55" s="1"/>
  <c r="V69" i="57"/>
  <c r="Q69" i="57"/>
  <c r="V24" i="50"/>
  <c r="Q24" i="50"/>
  <c r="Q103" i="61"/>
  <c r="V103" i="61"/>
  <c r="X79" i="58"/>
  <c r="W79" i="58"/>
  <c r="Y79" i="58" s="1"/>
  <c r="X19" i="50"/>
  <c r="W19" i="50"/>
  <c r="Y19" i="50" s="1"/>
  <c r="X65" i="61"/>
  <c r="W65" i="61"/>
  <c r="Y65" i="61" s="1"/>
  <c r="Q42" i="50"/>
  <c r="V42" i="50"/>
  <c r="X31" i="50"/>
  <c r="W31" i="50"/>
  <c r="Y31" i="50" s="1"/>
  <c r="W106" i="65"/>
  <c r="R106" i="65"/>
  <c r="W22" i="50"/>
  <c r="Y22" i="50" s="1"/>
  <c r="X22" i="50"/>
  <c r="X37" i="55"/>
  <c r="W37" i="55"/>
  <c r="Y37" i="55" s="1"/>
  <c r="X22" i="55"/>
  <c r="W22" i="55"/>
  <c r="Y22" i="55" s="1"/>
  <c r="X81" i="57"/>
  <c r="W81" i="57"/>
  <c r="Y81" i="57" s="1"/>
  <c r="V61" i="50"/>
  <c r="Q61" i="50"/>
  <c r="W81" i="58"/>
  <c r="Y81" i="58" s="1"/>
  <c r="X81" i="58"/>
  <c r="W120" i="61"/>
  <c r="Y120" i="61" s="1"/>
  <c r="X120" i="61"/>
  <c r="W51" i="57"/>
  <c r="Y51" i="57" s="1"/>
  <c r="X51" i="57"/>
  <c r="W68" i="61"/>
  <c r="Y68" i="61" s="1"/>
  <c r="X68" i="61"/>
  <c r="W73" i="55"/>
  <c r="Y73" i="55" s="1"/>
  <c r="X73" i="55"/>
  <c r="W83" i="63"/>
  <c r="Y83" i="63" s="1"/>
  <c r="X83" i="63"/>
  <c r="X36" i="50"/>
  <c r="W36" i="50"/>
  <c r="Y36" i="50" s="1"/>
  <c r="W62" i="55"/>
  <c r="Y62" i="55" s="1"/>
  <c r="X62" i="55"/>
  <c r="V86" i="63"/>
  <c r="Q86" i="63"/>
  <c r="V46" i="63"/>
  <c r="Q46" i="63"/>
  <c r="V42" i="61"/>
  <c r="Q42" i="61"/>
  <c r="V29" i="58"/>
  <c r="Q29" i="58"/>
  <c r="V98" i="61"/>
  <c r="Q98" i="61"/>
  <c r="V8" i="50"/>
  <c r="Q8" i="50"/>
  <c r="Q76" i="61"/>
  <c r="V76" i="61"/>
  <c r="Q9" i="57"/>
  <c r="V9" i="57"/>
  <c r="V38" i="57"/>
  <c r="Q38" i="57"/>
  <c r="V8" i="57"/>
  <c r="Q8" i="57"/>
  <c r="Q28" i="50"/>
  <c r="V28" i="50"/>
  <c r="V99" i="61"/>
  <c r="Q99" i="61"/>
  <c r="X61" i="58"/>
  <c r="W61" i="58"/>
  <c r="Y61" i="58" s="1"/>
  <c r="V63" i="57"/>
  <c r="Q63" i="57"/>
  <c r="W64" i="61"/>
  <c r="Y64" i="61" s="1"/>
  <c r="X64" i="61"/>
  <c r="X66" i="57"/>
  <c r="W66" i="57"/>
  <c r="Y66" i="57" s="1"/>
  <c r="V45" i="50"/>
  <c r="Q45" i="50"/>
  <c r="W35" i="55"/>
  <c r="Y35" i="55" s="1"/>
  <c r="X35" i="55"/>
  <c r="X92" i="61"/>
  <c r="W92" i="61"/>
  <c r="Y92" i="61" s="1"/>
  <c r="W44" i="58"/>
  <c r="Y44" i="58" s="1"/>
  <c r="X44" i="58"/>
  <c r="X102" i="61"/>
  <c r="W102" i="61"/>
  <c r="Y102" i="61" s="1"/>
  <c r="X75" i="55"/>
  <c r="W75" i="55"/>
  <c r="Y75" i="55" s="1"/>
  <c r="V63" i="50"/>
  <c r="Q63" i="50"/>
  <c r="X55" i="57"/>
  <c r="W55" i="57"/>
  <c r="Y55" i="57" s="1"/>
  <c r="W36" i="55"/>
  <c r="Y36" i="55" s="1"/>
  <c r="X36" i="55"/>
  <c r="W125" i="65"/>
  <c r="R125" i="65"/>
  <c r="X72" i="65"/>
  <c r="Z72" i="65" s="1"/>
  <c r="Y72" i="65"/>
  <c r="X18" i="65"/>
  <c r="Z18" i="65" s="1"/>
  <c r="Y18" i="65"/>
  <c r="X97" i="65"/>
  <c r="Z97" i="65" s="1"/>
  <c r="Y97" i="65"/>
  <c r="V66" i="63"/>
  <c r="Q66" i="63"/>
  <c r="V119" i="63"/>
  <c r="Q119" i="63"/>
  <c r="Y49" i="65"/>
  <c r="V91" i="63"/>
  <c r="Q91" i="63"/>
  <c r="W126" i="63"/>
  <c r="Y126" i="63" s="1"/>
  <c r="X126" i="63"/>
  <c r="Q74" i="63"/>
  <c r="V74" i="63"/>
  <c r="W82" i="63"/>
  <c r="Y82" i="63" s="1"/>
  <c r="X82" i="63"/>
  <c r="V21" i="63"/>
  <c r="Q21" i="63"/>
  <c r="X86" i="61"/>
  <c r="W86" i="61"/>
  <c r="Y86" i="61" s="1"/>
  <c r="Q13" i="50"/>
  <c r="V13" i="50"/>
  <c r="W68" i="58"/>
  <c r="Y68" i="58" s="1"/>
  <c r="X68" i="58"/>
  <c r="X39" i="55"/>
  <c r="W39" i="55"/>
  <c r="Y39" i="55" s="1"/>
  <c r="X53" i="61"/>
  <c r="W53" i="61"/>
  <c r="Y53" i="61" s="1"/>
  <c r="Q54" i="50"/>
  <c r="V54" i="50"/>
  <c r="X65" i="50"/>
  <c r="W65" i="50"/>
  <c r="Y65" i="50" s="1"/>
  <c r="X89" i="57"/>
  <c r="W89" i="57"/>
  <c r="Y89" i="57" s="1"/>
  <c r="X86" i="58"/>
  <c r="W86" i="58"/>
  <c r="Y86" i="58" s="1"/>
  <c r="W42" i="58"/>
  <c r="Y42" i="58" s="1"/>
  <c r="X42" i="58"/>
  <c r="X77" i="50"/>
  <c r="W77" i="50"/>
  <c r="Y77" i="50" s="1"/>
  <c r="X89" i="50"/>
  <c r="W89" i="50"/>
  <c r="Y89" i="50" s="1"/>
  <c r="X43" i="65"/>
  <c r="Z43" i="65" s="1"/>
  <c r="Y43" i="65"/>
  <c r="X52" i="50"/>
  <c r="W52" i="50"/>
  <c r="Y52" i="50" s="1"/>
  <c r="V104" i="63"/>
  <c r="Q104" i="63"/>
  <c r="V42" i="63"/>
  <c r="Q42" i="63"/>
  <c r="Q25" i="63"/>
  <c r="V25" i="63"/>
  <c r="V89" i="63"/>
  <c r="Q89" i="63"/>
  <c r="V40" i="63"/>
  <c r="Q40" i="63"/>
  <c r="V82" i="61"/>
  <c r="Q82" i="61"/>
  <c r="Q30" i="50"/>
  <c r="V30" i="50"/>
  <c r="W110" i="58"/>
  <c r="Y110" i="58" s="1"/>
  <c r="X110" i="58"/>
  <c r="P95" i="76"/>
  <c r="P51" i="65"/>
  <c r="Q101" i="65"/>
  <c r="R101" i="65" s="1"/>
  <c r="W101" i="65" s="1"/>
  <c r="Y101" i="65" s="1"/>
  <c r="V81" i="63"/>
  <c r="Q81" i="63"/>
  <c r="V40" i="58"/>
  <c r="Q40" i="58"/>
  <c r="V69" i="63"/>
  <c r="Q69" i="63"/>
  <c r="V59" i="63"/>
  <c r="Q59" i="63"/>
  <c r="V76" i="63"/>
  <c r="Q76" i="63"/>
  <c r="Q70" i="63"/>
  <c r="V70" i="63"/>
  <c r="V23" i="63"/>
  <c r="Q23" i="63"/>
  <c r="V101" i="63"/>
  <c r="Q101" i="63"/>
  <c r="V49" i="63"/>
  <c r="Q49" i="63"/>
  <c r="Q91" i="57"/>
  <c r="V91" i="57"/>
  <c r="V116" i="61"/>
  <c r="Q116" i="61"/>
  <c r="Q74" i="61"/>
  <c r="V74" i="61"/>
  <c r="Q85" i="61"/>
  <c r="V85" i="61"/>
  <c r="Q43" i="61"/>
  <c r="V43" i="61"/>
  <c r="V15" i="61"/>
  <c r="Q15" i="61"/>
  <c r="V57" i="57"/>
  <c r="Q57" i="57"/>
  <c r="V9" i="50"/>
  <c r="Q9" i="50"/>
  <c r="W38" i="61"/>
  <c r="Y38" i="61" s="1"/>
  <c r="X38" i="61"/>
  <c r="W86" i="50"/>
  <c r="Y86" i="50" s="1"/>
  <c r="X86" i="50"/>
  <c r="Q47" i="50"/>
  <c r="V47" i="50"/>
  <c r="W12" i="58"/>
  <c r="Y12" i="58" s="1"/>
  <c r="X12" i="58"/>
  <c r="W86" i="55"/>
  <c r="Y86" i="55" s="1"/>
  <c r="X86" i="55"/>
  <c r="R56" i="65"/>
  <c r="W56" i="65"/>
  <c r="X42" i="57"/>
  <c r="W42" i="57"/>
  <c r="Y42" i="57" s="1"/>
  <c r="X33" i="58"/>
  <c r="W33" i="58"/>
  <c r="Y33" i="58" s="1"/>
  <c r="X100" i="61"/>
  <c r="W100" i="61"/>
  <c r="Y100" i="61" s="1"/>
  <c r="X9" i="61"/>
  <c r="W9" i="61"/>
  <c r="Y9" i="61" s="1"/>
  <c r="X11" i="55"/>
  <c r="W11" i="55"/>
  <c r="Y11" i="55" s="1"/>
  <c r="X48" i="61"/>
  <c r="W48" i="61"/>
  <c r="Y48" i="61" s="1"/>
  <c r="X27" i="61"/>
  <c r="W27" i="61"/>
  <c r="Y27" i="61" s="1"/>
  <c r="X70" i="55"/>
  <c r="W70" i="55"/>
  <c r="Y70" i="55" s="1"/>
  <c r="X64" i="58"/>
  <c r="W64" i="58"/>
  <c r="Y64" i="58" s="1"/>
  <c r="X113" i="65"/>
  <c r="Z113" i="65" s="1"/>
  <c r="Y113" i="65"/>
  <c r="W41" i="65"/>
  <c r="R41" i="65"/>
  <c r="V9" i="63"/>
  <c r="Q9" i="63"/>
  <c r="V26" i="58"/>
  <c r="Q26" i="58"/>
  <c r="W68" i="76"/>
  <c r="Y68" i="76" s="1"/>
  <c r="Q58" i="76"/>
  <c r="R58" i="76" s="1"/>
  <c r="W58" i="76" s="1"/>
  <c r="Y58" i="76" s="1"/>
  <c r="Q76" i="76"/>
  <c r="R76" i="76" s="1"/>
  <c r="W76" i="76" s="1"/>
  <c r="Y76" i="76" s="1"/>
  <c r="V84" i="63"/>
  <c r="Q84" i="63"/>
  <c r="V36" i="63"/>
  <c r="Q36" i="63"/>
  <c r="V33" i="63"/>
  <c r="Q33" i="63"/>
  <c r="V73" i="63"/>
  <c r="Q73" i="63"/>
  <c r="Q51" i="63"/>
  <c r="V51" i="63"/>
  <c r="W99" i="63"/>
  <c r="Y99" i="63" s="1"/>
  <c r="X99" i="63"/>
  <c r="W37" i="63"/>
  <c r="Y37" i="63" s="1"/>
  <c r="X37" i="63"/>
  <c r="V87" i="61"/>
  <c r="Q87" i="61"/>
  <c r="Q19" i="61"/>
  <c r="V19" i="61"/>
  <c r="Q59" i="57"/>
  <c r="V59" i="57"/>
  <c r="W66" i="50"/>
  <c r="Y66" i="50" s="1"/>
  <c r="X66" i="50"/>
  <c r="Q46" i="50"/>
  <c r="V46" i="50"/>
  <c r="X82" i="57"/>
  <c r="W82" i="57"/>
  <c r="Y82" i="57" s="1"/>
  <c r="W85" i="65"/>
  <c r="R85" i="65"/>
  <c r="X57" i="58"/>
  <c r="W57" i="58"/>
  <c r="Y57" i="58" s="1"/>
  <c r="X75" i="50"/>
  <c r="W75" i="50"/>
  <c r="Y75" i="50" s="1"/>
  <c r="Q79" i="63"/>
  <c r="V79" i="63"/>
  <c r="V10" i="63"/>
  <c r="Q10" i="63"/>
  <c r="W67" i="63"/>
  <c r="Y67" i="63" s="1"/>
  <c r="X67" i="63"/>
  <c r="V77" i="63"/>
  <c r="Q77" i="63"/>
  <c r="L67" i="26"/>
  <c r="Q95" i="61"/>
  <c r="V95" i="61"/>
  <c r="V77" i="61"/>
  <c r="Q77" i="61"/>
  <c r="V18" i="61"/>
  <c r="Q18" i="61"/>
  <c r="Q8" i="61"/>
  <c r="V8" i="61"/>
  <c r="Q123" i="61"/>
  <c r="V123" i="61"/>
  <c r="V47" i="57"/>
  <c r="Q47" i="57"/>
  <c r="V15" i="50"/>
  <c r="Q15" i="50"/>
  <c r="W42" i="55"/>
  <c r="Y42" i="55" s="1"/>
  <c r="X42" i="55"/>
  <c r="W32" i="50"/>
  <c r="Y32" i="50" s="1"/>
  <c r="X32" i="50"/>
  <c r="Q48" i="50"/>
  <c r="V48" i="50"/>
  <c r="W46" i="65"/>
  <c r="R46" i="65"/>
  <c r="W15" i="55"/>
  <c r="Y15" i="55" s="1"/>
  <c r="X15" i="55"/>
  <c r="X41" i="58"/>
  <c r="W41" i="58"/>
  <c r="Y41" i="58" s="1"/>
  <c r="W87" i="50"/>
  <c r="Y87" i="50" s="1"/>
  <c r="X87" i="50"/>
  <c r="W13" i="55"/>
  <c r="Y13" i="55" s="1"/>
  <c r="X13" i="55"/>
  <c r="X93" i="61"/>
  <c r="W93" i="61"/>
  <c r="Y93" i="61" s="1"/>
  <c r="X51" i="58"/>
  <c r="W51" i="58"/>
  <c r="Y51" i="58" s="1"/>
  <c r="X80" i="61"/>
  <c r="W80" i="61"/>
  <c r="Y80" i="61" s="1"/>
  <c r="X85" i="58"/>
  <c r="W85" i="58"/>
  <c r="Y85" i="58" s="1"/>
  <c r="X20" i="61"/>
  <c r="W20" i="61"/>
  <c r="Y20" i="61" s="1"/>
  <c r="R29" i="65"/>
  <c r="W29" i="65"/>
  <c r="R123" i="65"/>
  <c r="W123" i="65"/>
  <c r="X60" i="65"/>
  <c r="Z60" i="65" s="1"/>
  <c r="Y60" i="65"/>
  <c r="X36" i="65"/>
  <c r="Z36" i="65" s="1"/>
  <c r="Y36" i="65"/>
  <c r="X100" i="65"/>
  <c r="Z100" i="65" s="1"/>
  <c r="Y100" i="65"/>
  <c r="W27" i="65"/>
  <c r="R27" i="65"/>
  <c r="R24" i="65"/>
  <c r="W24" i="65"/>
  <c r="Y17" i="65"/>
  <c r="X17" i="65"/>
  <c r="Z17" i="65" s="1"/>
  <c r="X35" i="65"/>
  <c r="Z35" i="65" s="1"/>
  <c r="Y35" i="65"/>
  <c r="X14" i="65"/>
  <c r="Z14" i="65" s="1"/>
  <c r="Y14" i="65"/>
  <c r="Q28" i="65"/>
  <c r="R28" i="65" s="1"/>
  <c r="W69" i="65"/>
  <c r="R69" i="65"/>
  <c r="W73" i="65"/>
  <c r="R73" i="65"/>
  <c r="R50" i="65"/>
  <c r="W50" i="65"/>
  <c r="W19" i="65"/>
  <c r="R19" i="65"/>
  <c r="W116" i="65"/>
  <c r="R116" i="65"/>
  <c r="Y40" i="65"/>
  <c r="X40" i="65"/>
  <c r="Z40" i="65" s="1"/>
  <c r="W134" i="65"/>
  <c r="R134" i="65"/>
  <c r="W42" i="65"/>
  <c r="R42" i="65"/>
  <c r="R122" i="65"/>
  <c r="W122" i="65"/>
  <c r="X64" i="65"/>
  <c r="Z64" i="65" s="1"/>
  <c r="Y64" i="65"/>
  <c r="X75" i="65"/>
  <c r="Z75" i="65" s="1"/>
  <c r="Y75" i="65"/>
  <c r="Y107" i="65"/>
  <c r="X107" i="65"/>
  <c r="Z107" i="65" s="1"/>
  <c r="P37" i="76"/>
  <c r="W37" i="76"/>
  <c r="Y37" i="76" s="1"/>
  <c r="P68" i="76"/>
  <c r="Q112" i="76"/>
  <c r="Q115" i="76"/>
  <c r="R115" i="76" s="1"/>
  <c r="P14" i="76"/>
  <c r="Q97" i="76"/>
  <c r="R97" i="76" s="1"/>
  <c r="W55" i="76"/>
  <c r="Y55" i="76" s="1"/>
  <c r="Q43" i="76"/>
  <c r="W43" i="76" s="1"/>
  <c r="X43" i="76" s="1"/>
  <c r="Z43" i="76" s="1"/>
  <c r="P55" i="76"/>
  <c r="P18" i="76"/>
  <c r="Y22" i="76"/>
  <c r="X22" i="76"/>
  <c r="Z22" i="76" s="1"/>
  <c r="Q148" i="76"/>
  <c r="W148" i="76" s="1"/>
  <c r="X148" i="76" s="1"/>
  <c r="Z148" i="76" s="1"/>
  <c r="Q137" i="76"/>
  <c r="W137" i="76" s="1"/>
  <c r="X137" i="76" s="1"/>
  <c r="Z137" i="76" s="1"/>
  <c r="W20" i="76"/>
  <c r="Y20" i="76" s="1"/>
  <c r="Q106" i="76"/>
  <c r="R106" i="76" s="1"/>
  <c r="W106" i="76" s="1"/>
  <c r="X106" i="76" s="1"/>
  <c r="Z106" i="76" s="1"/>
  <c r="P12" i="76"/>
  <c r="Q116" i="76"/>
  <c r="W116" i="76" s="1"/>
  <c r="R39" i="76"/>
  <c r="W49" i="76"/>
  <c r="X49" i="76" s="1"/>
  <c r="Z49" i="76" s="1"/>
  <c r="Q111" i="76"/>
  <c r="R111" i="76" s="1"/>
  <c r="W111" i="76" s="1"/>
  <c r="Y111" i="76" s="1"/>
  <c r="W98" i="76"/>
  <c r="Y98" i="76" s="1"/>
  <c r="P32" i="76"/>
  <c r="W32" i="76"/>
  <c r="W95" i="76"/>
  <c r="Y95" i="76" s="1"/>
  <c r="Y88" i="76"/>
  <c r="R50" i="76"/>
  <c r="Y147" i="76"/>
  <c r="P77" i="76"/>
  <c r="P44" i="76"/>
  <c r="R44" i="76"/>
  <c r="W59" i="76"/>
  <c r="X59" i="76" s="1"/>
  <c r="Z59" i="76" s="1"/>
  <c r="Q120" i="76"/>
  <c r="R120" i="76" s="1"/>
  <c r="Q108" i="76"/>
  <c r="R108" i="76" s="1"/>
  <c r="P60" i="76"/>
  <c r="P48" i="76"/>
  <c r="R102" i="65"/>
  <c r="W102" i="65"/>
  <c r="R87" i="65"/>
  <c r="W87" i="65"/>
  <c r="X66" i="65"/>
  <c r="Z66" i="65" s="1"/>
  <c r="Y66" i="65"/>
  <c r="Y133" i="65"/>
  <c r="X133" i="65"/>
  <c r="Z133" i="65" s="1"/>
  <c r="W120" i="65"/>
  <c r="R120" i="65"/>
  <c r="Y58" i="65"/>
  <c r="X58" i="65"/>
  <c r="Z58" i="65" s="1"/>
  <c r="W39" i="65"/>
  <c r="R39" i="65"/>
  <c r="Y59" i="65"/>
  <c r="X59" i="65"/>
  <c r="Z59" i="65" s="1"/>
  <c r="Y105" i="65"/>
  <c r="X105" i="65"/>
  <c r="Z105" i="65" s="1"/>
  <c r="Y124" i="65"/>
  <c r="X124" i="65"/>
  <c r="Z124" i="65" s="1"/>
  <c r="Y104" i="65"/>
  <c r="X104" i="65"/>
  <c r="Z104" i="65" s="1"/>
  <c r="Y90" i="65"/>
  <c r="X90" i="65"/>
  <c r="Z90" i="65" s="1"/>
  <c r="X23" i="65"/>
  <c r="Z23" i="65" s="1"/>
  <c r="Y23" i="65"/>
  <c r="Y70" i="65"/>
  <c r="X70" i="65"/>
  <c r="Z70" i="65" s="1"/>
  <c r="Y93" i="65"/>
  <c r="X93" i="65"/>
  <c r="Z93" i="65" s="1"/>
  <c r="W55" i="65"/>
  <c r="R55" i="65"/>
  <c r="W118" i="65"/>
  <c r="R118" i="65"/>
  <c r="X67" i="65"/>
  <c r="Z67" i="65" s="1"/>
  <c r="Y67" i="65"/>
  <c r="X8" i="65"/>
  <c r="Z8" i="65" s="1"/>
  <c r="Y8" i="65"/>
  <c r="W51" i="65"/>
  <c r="R51" i="65"/>
  <c r="Y76" i="65"/>
  <c r="X76" i="65"/>
  <c r="Z76" i="65" s="1"/>
  <c r="R126" i="65"/>
  <c r="W126" i="65"/>
  <c r="R89" i="65"/>
  <c r="W89" i="65"/>
  <c r="Y88" i="65"/>
  <c r="X88" i="65"/>
  <c r="Z88" i="65" s="1"/>
  <c r="Q109" i="76"/>
  <c r="W109" i="76" s="1"/>
  <c r="X109" i="76" s="1"/>
  <c r="Z109" i="76" s="1"/>
  <c r="P71" i="76"/>
  <c r="W31" i="76"/>
  <c r="X31" i="76" s="1"/>
  <c r="Z31" i="76" s="1"/>
  <c r="P100" i="76"/>
  <c r="X39" i="76"/>
  <c r="Z39" i="76" s="1"/>
  <c r="W99" i="76"/>
  <c r="Y99" i="76" s="1"/>
  <c r="W21" i="76"/>
  <c r="X21" i="76" s="1"/>
  <c r="Z21" i="76" s="1"/>
  <c r="P99" i="76"/>
  <c r="P84" i="76"/>
  <c r="P34" i="76"/>
  <c r="P21" i="76"/>
  <c r="Y71" i="76"/>
  <c r="R33" i="76"/>
  <c r="Q119" i="76"/>
  <c r="W119" i="76" s="1"/>
  <c r="Y119" i="76" s="1"/>
  <c r="Q128" i="76"/>
  <c r="W128" i="76" s="1"/>
  <c r="P33" i="76"/>
  <c r="X70" i="76"/>
  <c r="Z70" i="76" s="1"/>
  <c r="R102" i="76"/>
  <c r="Q150" i="76"/>
  <c r="W150" i="76" s="1"/>
  <c r="X150" i="76" s="1"/>
  <c r="Z150" i="76" s="1"/>
  <c r="P24" i="76"/>
  <c r="Q118" i="76"/>
  <c r="W118" i="76" s="1"/>
  <c r="W15" i="76"/>
  <c r="Y15" i="76" s="1"/>
  <c r="R24" i="76"/>
  <c r="Y30" i="76"/>
  <c r="P87" i="76"/>
  <c r="P67" i="76"/>
  <c r="P50" i="76"/>
  <c r="W101" i="76"/>
  <c r="Y101" i="76" s="1"/>
  <c r="R87" i="76"/>
  <c r="R67" i="76"/>
  <c r="P42" i="76"/>
  <c r="R30" i="76"/>
  <c r="Y89" i="76"/>
  <c r="R42" i="76"/>
  <c r="Q103" i="76"/>
  <c r="W103" i="76" s="1"/>
  <c r="Y103" i="76" s="1"/>
  <c r="P72" i="76"/>
  <c r="P62" i="76"/>
  <c r="R81" i="76"/>
  <c r="R56" i="76"/>
  <c r="Q134" i="76"/>
  <c r="W134" i="76" s="1"/>
  <c r="Q126" i="76"/>
  <c r="W126" i="76" s="1"/>
  <c r="Q104" i="76"/>
  <c r="R104" i="76" s="1"/>
  <c r="P15" i="76"/>
  <c r="P101" i="76"/>
  <c r="P56" i="76"/>
  <c r="W62" i="76"/>
  <c r="Y62" i="76" s="1"/>
  <c r="R72" i="76"/>
  <c r="P30" i="76"/>
  <c r="Q17" i="76"/>
  <c r="R17" i="76" s="1"/>
  <c r="W17" i="76" s="1"/>
  <c r="W27" i="76"/>
  <c r="X27" i="76" s="1"/>
  <c r="Z27" i="76" s="1"/>
  <c r="P88" i="76"/>
  <c r="R77" i="76"/>
  <c r="P147" i="76"/>
  <c r="P89" i="76"/>
  <c r="P81" i="76"/>
  <c r="Q125" i="76"/>
  <c r="W125" i="76" s="1"/>
  <c r="Y125" i="76" s="1"/>
  <c r="Q124" i="76"/>
  <c r="R124" i="76" s="1"/>
  <c r="W124" i="76" s="1"/>
  <c r="Y124" i="76" s="1"/>
  <c r="R26" i="76"/>
  <c r="Y56" i="76"/>
  <c r="Y52" i="76"/>
  <c r="R38" i="76"/>
  <c r="P75" i="76"/>
  <c r="W86" i="76"/>
  <c r="Y86" i="76" s="1"/>
  <c r="R64" i="76"/>
  <c r="R13" i="76"/>
  <c r="P83" i="76"/>
  <c r="Y150" i="76"/>
  <c r="P38" i="76"/>
  <c r="P66" i="76"/>
  <c r="P52" i="76"/>
  <c r="R57" i="76"/>
  <c r="W75" i="76"/>
  <c r="Y75" i="76" s="1"/>
  <c r="X50" i="76"/>
  <c r="Z50" i="76" s="1"/>
  <c r="P70" i="76"/>
  <c r="P65" i="76"/>
  <c r="P53" i="76"/>
  <c r="W54" i="76"/>
  <c r="X54" i="76" s="1"/>
  <c r="Z54" i="76" s="1"/>
  <c r="W48" i="76"/>
  <c r="X48" i="76" s="1"/>
  <c r="Z48" i="76" s="1"/>
  <c r="Y81" i="76"/>
  <c r="X76" i="76"/>
  <c r="Z76" i="76" s="1"/>
  <c r="Q131" i="76"/>
  <c r="W131" i="76" s="1"/>
  <c r="Y131" i="76" s="1"/>
  <c r="W82" i="76"/>
  <c r="Y82" i="76" s="1"/>
  <c r="W45" i="76"/>
  <c r="X45" i="76" s="1"/>
  <c r="Z45" i="76" s="1"/>
  <c r="W60" i="76"/>
  <c r="X60" i="76" s="1"/>
  <c r="Z60" i="76" s="1"/>
  <c r="X90" i="76"/>
  <c r="Z90" i="76" s="1"/>
  <c r="Y90" i="76"/>
  <c r="P27" i="76"/>
  <c r="R36" i="76"/>
  <c r="X58" i="76"/>
  <c r="Z58" i="76" s="1"/>
  <c r="R19" i="76"/>
  <c r="X35" i="76"/>
  <c r="Z35" i="76" s="1"/>
  <c r="R18" i="76"/>
  <c r="X34" i="76"/>
  <c r="Z34" i="76" s="1"/>
  <c r="X16" i="76"/>
  <c r="Z16" i="76" s="1"/>
  <c r="Q141" i="76"/>
  <c r="R141" i="76" s="1"/>
  <c r="W141" i="76" s="1"/>
  <c r="Y141" i="76" s="1"/>
  <c r="P91" i="76"/>
  <c r="P80" i="76"/>
  <c r="R90" i="76"/>
  <c r="R74" i="76"/>
  <c r="W73" i="76"/>
  <c r="W92" i="76"/>
  <c r="Y92" i="76" s="1"/>
  <c r="W91" i="76"/>
  <c r="Y91" i="76" s="1"/>
  <c r="W63" i="76"/>
  <c r="X63" i="76" s="1"/>
  <c r="Z63" i="76" s="1"/>
  <c r="Q122" i="76"/>
  <c r="R122" i="76" s="1"/>
  <c r="Y72" i="76"/>
  <c r="P35" i="76"/>
  <c r="Y53" i="76"/>
  <c r="Q10" i="76"/>
  <c r="W10" i="76" s="1"/>
  <c r="X10" i="76" s="1"/>
  <c r="Z10" i="76" s="1"/>
  <c r="P96" i="76"/>
  <c r="P90" i="76"/>
  <c r="P51" i="76"/>
  <c r="R65" i="76"/>
  <c r="X102" i="76"/>
  <c r="Z102" i="76" s="1"/>
  <c r="Y102" i="76"/>
  <c r="P142" i="76"/>
  <c r="X47" i="76"/>
  <c r="Z47" i="76" s="1"/>
  <c r="P73" i="76"/>
  <c r="W66" i="76"/>
  <c r="Y66" i="76" s="1"/>
  <c r="W85" i="76"/>
  <c r="Y36" i="76"/>
  <c r="R51" i="76"/>
  <c r="Y28" i="76"/>
  <c r="Q9" i="76"/>
  <c r="Q113" i="76"/>
  <c r="W113" i="76" s="1"/>
  <c r="Y113" i="76" s="1"/>
  <c r="P138" i="76"/>
  <c r="Q129" i="76"/>
  <c r="R129" i="76" s="1"/>
  <c r="W129" i="76" s="1"/>
  <c r="Y129" i="76" s="1"/>
  <c r="Q110" i="76"/>
  <c r="W110" i="76" s="1"/>
  <c r="P16" i="76"/>
  <c r="P102" i="76"/>
  <c r="P92" i="76"/>
  <c r="P82" i="76"/>
  <c r="P45" i="76"/>
  <c r="R23" i="76"/>
  <c r="W83" i="76"/>
  <c r="X83" i="76" s="1"/>
  <c r="Z83" i="76" s="1"/>
  <c r="Q105" i="76"/>
  <c r="R105" i="76" s="1"/>
  <c r="W105" i="76" s="1"/>
  <c r="Y105" i="76" s="1"/>
  <c r="Q140" i="76"/>
  <c r="Y51" i="76"/>
  <c r="X51" i="76"/>
  <c r="Z51" i="76" s="1"/>
  <c r="P11" i="76"/>
  <c r="Y65" i="76"/>
  <c r="X44" i="76"/>
  <c r="Z44" i="76" s="1"/>
  <c r="P20" i="76"/>
  <c r="R11" i="76"/>
  <c r="Q123" i="76"/>
  <c r="R123" i="76" s="1"/>
  <c r="W123" i="76" s="1"/>
  <c r="Y123" i="76" s="1"/>
  <c r="P64" i="76"/>
  <c r="W100" i="76"/>
  <c r="Y100" i="76" s="1"/>
  <c r="R84" i="76"/>
  <c r="Q117" i="76"/>
  <c r="W117" i="76" s="1"/>
  <c r="Y117" i="76" s="1"/>
  <c r="P31" i="76"/>
  <c r="R28" i="76"/>
  <c r="X64" i="76"/>
  <c r="Z64" i="76" s="1"/>
  <c r="P19" i="76"/>
  <c r="Y26" i="76"/>
  <c r="Q127" i="76"/>
  <c r="R127" i="76" s="1"/>
  <c r="P63" i="76"/>
  <c r="W78" i="76"/>
  <c r="Y78" i="76" s="1"/>
  <c r="W46" i="76"/>
  <c r="X46" i="76" s="1"/>
  <c r="Z46" i="76" s="1"/>
  <c r="R93" i="76"/>
  <c r="W69" i="76"/>
  <c r="Y69" i="76" s="1"/>
  <c r="R96" i="76"/>
  <c r="W80" i="76"/>
  <c r="Y80" i="76" s="1"/>
  <c r="Q121" i="76"/>
  <c r="W121" i="76" s="1"/>
  <c r="X121" i="76" s="1"/>
  <c r="Z121" i="76" s="1"/>
  <c r="P39" i="76"/>
  <c r="P13" i="76"/>
  <c r="R12" i="76"/>
  <c r="P26" i="76"/>
  <c r="Y57" i="76"/>
  <c r="X57" i="76"/>
  <c r="Z57" i="76" s="1"/>
  <c r="Y84" i="76"/>
  <c r="X84" i="76"/>
  <c r="Z84" i="76" s="1"/>
  <c r="X74" i="76"/>
  <c r="Z74" i="76" s="1"/>
  <c r="Y74" i="76"/>
  <c r="X93" i="76"/>
  <c r="Z93" i="76" s="1"/>
  <c r="Y93" i="76"/>
  <c r="Y96" i="76"/>
  <c r="X96" i="76"/>
  <c r="Z96" i="76" s="1"/>
  <c r="P98" i="76"/>
  <c r="P86" i="76"/>
  <c r="P78" i="76"/>
  <c r="P74" i="76"/>
  <c r="P54" i="76"/>
  <c r="P46" i="76"/>
  <c r="P36" i="76"/>
  <c r="P28" i="76"/>
  <c r="Q139" i="76"/>
  <c r="P93" i="76"/>
  <c r="P85" i="76"/>
  <c r="P69" i="76"/>
  <c r="P57" i="76"/>
  <c r="P49" i="76"/>
  <c r="Q133" i="76"/>
  <c r="Q41" i="76"/>
  <c r="W41" i="76" s="1"/>
  <c r="Q135" i="76"/>
  <c r="W135" i="76" s="1"/>
  <c r="W138" i="76"/>
  <c r="R138" i="76"/>
  <c r="Y12" i="76"/>
  <c r="X77" i="76"/>
  <c r="Z77" i="76" s="1"/>
  <c r="P145" i="76"/>
  <c r="X87" i="76"/>
  <c r="Z87" i="76" s="1"/>
  <c r="X79" i="76"/>
  <c r="Z79" i="76" s="1"/>
  <c r="X68" i="76"/>
  <c r="Z68" i="76" s="1"/>
  <c r="Y13" i="76"/>
  <c r="Q136" i="76"/>
  <c r="Q146" i="76"/>
  <c r="W146" i="76" s="1"/>
  <c r="Q40" i="76"/>
  <c r="R40" i="76" s="1"/>
  <c r="W40" i="76" s="1"/>
  <c r="P40" i="76"/>
  <c r="P143" i="76"/>
  <c r="Q144" i="76"/>
  <c r="W144" i="76" s="1"/>
  <c r="R107" i="76"/>
  <c r="P149" i="76"/>
  <c r="Q8" i="76"/>
  <c r="P8" i="76"/>
  <c r="X67" i="76"/>
  <c r="Z67" i="76" s="1"/>
  <c r="Y61" i="76"/>
  <c r="Y23" i="76"/>
  <c r="W145" i="76"/>
  <c r="R145" i="76"/>
  <c r="W143" i="76"/>
  <c r="R143" i="76"/>
  <c r="W130" i="76"/>
  <c r="R130" i="76"/>
  <c r="W114" i="76"/>
  <c r="R114" i="76"/>
  <c r="X142" i="76"/>
  <c r="Z142" i="76" s="1"/>
  <c r="Y142" i="76"/>
  <c r="W149" i="76"/>
  <c r="R149" i="76"/>
  <c r="W112" i="76"/>
  <c r="R112" i="76"/>
  <c r="X37" i="76"/>
  <c r="Z37" i="76" s="1"/>
  <c r="X29" i="76"/>
  <c r="Z29" i="76" s="1"/>
  <c r="Y29" i="76"/>
  <c r="X42" i="76"/>
  <c r="Z42" i="76" s="1"/>
  <c r="Y42" i="76"/>
  <c r="X24" i="76"/>
  <c r="Z24" i="76" s="1"/>
  <c r="Y24" i="76"/>
  <c r="Y19" i="76"/>
  <c r="X19" i="76"/>
  <c r="Z19" i="76" s="1"/>
  <c r="Y38" i="76"/>
  <c r="X38" i="76"/>
  <c r="Z38" i="76" s="1"/>
  <c r="X11" i="76"/>
  <c r="Z11" i="76" s="1"/>
  <c r="Y11" i="76"/>
  <c r="W132" i="76"/>
  <c r="R132" i="76"/>
  <c r="Y106" i="76"/>
  <c r="X14" i="76"/>
  <c r="Z14" i="76" s="1"/>
  <c r="Y14" i="76"/>
  <c r="Y107" i="76"/>
  <c r="X107" i="76"/>
  <c r="Z107" i="76" s="1"/>
  <c r="X33" i="76"/>
  <c r="Z33" i="76" s="1"/>
  <c r="Y33" i="76"/>
  <c r="Y25" i="76"/>
  <c r="X25" i="76"/>
  <c r="Z25" i="76" s="1"/>
  <c r="X32" i="76"/>
  <c r="Z32" i="76" s="1"/>
  <c r="Y32" i="76"/>
  <c r="X18" i="76"/>
  <c r="Z18" i="76" s="1"/>
  <c r="Y18" i="76"/>
  <c r="W115" i="76" l="1"/>
  <c r="Y115" i="76" s="1"/>
  <c r="X101" i="65"/>
  <c r="Z101" i="65" s="1"/>
  <c r="Y46" i="65"/>
  <c r="X46" i="65"/>
  <c r="Z46" i="65" s="1"/>
  <c r="W15" i="50"/>
  <c r="Y15" i="50" s="1"/>
  <c r="X15" i="50"/>
  <c r="W18" i="61"/>
  <c r="Y18" i="61" s="1"/>
  <c r="X18" i="61"/>
  <c r="W9" i="50"/>
  <c r="Y9" i="50" s="1"/>
  <c r="X9" i="50"/>
  <c r="W49" i="63"/>
  <c r="Y49" i="63" s="1"/>
  <c r="X49" i="63"/>
  <c r="W76" i="63"/>
  <c r="Y76" i="63" s="1"/>
  <c r="X76" i="63"/>
  <c r="W81" i="63"/>
  <c r="Y81" i="63" s="1"/>
  <c r="X81" i="63"/>
  <c r="X45" i="50"/>
  <c r="W45" i="50"/>
  <c r="Y45" i="50" s="1"/>
  <c r="W38" i="57"/>
  <c r="Y38" i="57" s="1"/>
  <c r="X38" i="57"/>
  <c r="W98" i="61"/>
  <c r="Y98" i="61" s="1"/>
  <c r="X98" i="61"/>
  <c r="W86" i="63"/>
  <c r="Y86" i="63" s="1"/>
  <c r="X86" i="63"/>
  <c r="X52" i="57"/>
  <c r="W52" i="57"/>
  <c r="Y52" i="57" s="1"/>
  <c r="W43" i="63"/>
  <c r="Y43" i="63" s="1"/>
  <c r="X43" i="63"/>
  <c r="W104" i="61"/>
  <c r="Y104" i="61" s="1"/>
  <c r="X104" i="61"/>
  <c r="W22" i="57"/>
  <c r="Y22" i="57" s="1"/>
  <c r="X22" i="57"/>
  <c r="W70" i="61"/>
  <c r="Y70" i="61" s="1"/>
  <c r="X70" i="61"/>
  <c r="W108" i="61"/>
  <c r="Y108" i="61" s="1"/>
  <c r="X108" i="61"/>
  <c r="X98" i="65"/>
  <c r="Z98" i="65" s="1"/>
  <c r="Y98" i="65"/>
  <c r="X37" i="57"/>
  <c r="W37" i="57"/>
  <c r="Y37" i="57" s="1"/>
  <c r="W55" i="50"/>
  <c r="Y55" i="50" s="1"/>
  <c r="X55" i="50"/>
  <c r="X48" i="50"/>
  <c r="W48" i="50"/>
  <c r="Y48" i="50" s="1"/>
  <c r="W33" i="63"/>
  <c r="Y33" i="63" s="1"/>
  <c r="X33" i="63"/>
  <c r="X47" i="50"/>
  <c r="W47" i="50"/>
  <c r="Y47" i="50" s="1"/>
  <c r="W74" i="61"/>
  <c r="Y74" i="61" s="1"/>
  <c r="X74" i="61"/>
  <c r="X82" i="61"/>
  <c r="W82" i="61"/>
  <c r="Y82" i="61" s="1"/>
  <c r="W42" i="63"/>
  <c r="Y42" i="63" s="1"/>
  <c r="X42" i="63"/>
  <c r="W21" i="63"/>
  <c r="Y21" i="63" s="1"/>
  <c r="X21" i="63"/>
  <c r="W91" i="63"/>
  <c r="Y91" i="63" s="1"/>
  <c r="X91" i="63"/>
  <c r="W9" i="57"/>
  <c r="Y9" i="57" s="1"/>
  <c r="X9" i="57"/>
  <c r="W95" i="63"/>
  <c r="Y95" i="63" s="1"/>
  <c r="X95" i="63"/>
  <c r="X50" i="50"/>
  <c r="W50" i="50"/>
  <c r="Y50" i="50" s="1"/>
  <c r="X14" i="63"/>
  <c r="W14" i="63"/>
  <c r="Y14" i="63" s="1"/>
  <c r="X103" i="65"/>
  <c r="Z103" i="65" s="1"/>
  <c r="Y103" i="65"/>
  <c r="X21" i="50"/>
  <c r="W21" i="50"/>
  <c r="Y21" i="50" s="1"/>
  <c r="W75" i="63"/>
  <c r="Y75" i="63" s="1"/>
  <c r="X75" i="63"/>
  <c r="W34" i="58"/>
  <c r="Y34" i="58" s="1"/>
  <c r="X34" i="58"/>
  <c r="W125" i="63"/>
  <c r="Y125" i="63" s="1"/>
  <c r="X125" i="63"/>
  <c r="W50" i="63"/>
  <c r="Y50" i="63" s="1"/>
  <c r="X50" i="63"/>
  <c r="W32" i="63"/>
  <c r="Y32" i="63" s="1"/>
  <c r="X32" i="63"/>
  <c r="X84" i="61"/>
  <c r="W84" i="61"/>
  <c r="Y84" i="61" s="1"/>
  <c r="W37" i="58"/>
  <c r="Y37" i="58" s="1"/>
  <c r="X37" i="58"/>
  <c r="W34" i="63"/>
  <c r="Y34" i="63" s="1"/>
  <c r="X34" i="63"/>
  <c r="X14" i="57"/>
  <c r="W14" i="57"/>
  <c r="Y14" i="57" s="1"/>
  <c r="X47" i="57"/>
  <c r="W47" i="57"/>
  <c r="Y47" i="57" s="1"/>
  <c r="W59" i="57"/>
  <c r="Y59" i="57" s="1"/>
  <c r="X59" i="57"/>
  <c r="X26" i="58"/>
  <c r="W26" i="58"/>
  <c r="Y26" i="58" s="1"/>
  <c r="W57" i="57"/>
  <c r="Y57" i="57" s="1"/>
  <c r="X57" i="57"/>
  <c r="W101" i="63"/>
  <c r="Y101" i="63" s="1"/>
  <c r="X101" i="63"/>
  <c r="W59" i="63"/>
  <c r="Y59" i="63" s="1"/>
  <c r="X59" i="63"/>
  <c r="X99" i="61"/>
  <c r="W99" i="61"/>
  <c r="Y99" i="61" s="1"/>
  <c r="X29" i="58"/>
  <c r="W29" i="58"/>
  <c r="Y29" i="58" s="1"/>
  <c r="X61" i="50"/>
  <c r="W61" i="50"/>
  <c r="Y61" i="50" s="1"/>
  <c r="W24" i="50"/>
  <c r="Y24" i="50" s="1"/>
  <c r="X24" i="50"/>
  <c r="X15" i="57"/>
  <c r="W15" i="57"/>
  <c r="Y15" i="57" s="1"/>
  <c r="W57" i="63"/>
  <c r="Y57" i="63" s="1"/>
  <c r="X57" i="63"/>
  <c r="W93" i="63"/>
  <c r="Y93" i="63" s="1"/>
  <c r="X93" i="63"/>
  <c r="W11" i="50"/>
  <c r="Y11" i="50" s="1"/>
  <c r="X11" i="50"/>
  <c r="X23" i="57"/>
  <c r="W23" i="57"/>
  <c r="Y23" i="57" s="1"/>
  <c r="W105" i="61"/>
  <c r="Y105" i="61" s="1"/>
  <c r="X105" i="61"/>
  <c r="X71" i="63"/>
  <c r="W71" i="63"/>
  <c r="Y71" i="63" s="1"/>
  <c r="W49" i="50"/>
  <c r="Y49" i="50" s="1"/>
  <c r="X49" i="50"/>
  <c r="W114" i="61"/>
  <c r="Y114" i="61" s="1"/>
  <c r="X114" i="61"/>
  <c r="W79" i="61"/>
  <c r="Y79" i="61" s="1"/>
  <c r="X79" i="61"/>
  <c r="W37" i="61"/>
  <c r="Y37" i="61" s="1"/>
  <c r="X37" i="61"/>
  <c r="X56" i="65"/>
  <c r="Z56" i="65" s="1"/>
  <c r="Y56" i="65"/>
  <c r="X40" i="63"/>
  <c r="W40" i="63"/>
  <c r="Y40" i="63" s="1"/>
  <c r="W104" i="63"/>
  <c r="Y104" i="63" s="1"/>
  <c r="X104" i="63"/>
  <c r="X28" i="50"/>
  <c r="W28" i="50"/>
  <c r="Y28" i="50" s="1"/>
  <c r="X76" i="61"/>
  <c r="W76" i="61"/>
  <c r="Y76" i="61" s="1"/>
  <c r="W72" i="63"/>
  <c r="Y72" i="63" s="1"/>
  <c r="X72" i="63"/>
  <c r="W70" i="57"/>
  <c r="Y70" i="57" s="1"/>
  <c r="X70" i="57"/>
  <c r="W58" i="63"/>
  <c r="Y58" i="63" s="1"/>
  <c r="X58" i="63"/>
  <c r="W108" i="63"/>
  <c r="Y108" i="63" s="1"/>
  <c r="X108" i="63"/>
  <c r="X39" i="50"/>
  <c r="W39" i="50"/>
  <c r="Y39" i="50" s="1"/>
  <c r="W97" i="63"/>
  <c r="Y97" i="63" s="1"/>
  <c r="X97" i="63"/>
  <c r="X94" i="50"/>
  <c r="W94" i="50"/>
  <c r="Y94" i="50" s="1"/>
  <c r="W63" i="61"/>
  <c r="Y63" i="61" s="1"/>
  <c r="X63" i="61"/>
  <c r="W55" i="63"/>
  <c r="Y55" i="63" s="1"/>
  <c r="X55" i="63"/>
  <c r="W112" i="63"/>
  <c r="Y112" i="63" s="1"/>
  <c r="X112" i="63"/>
  <c r="W123" i="63"/>
  <c r="Y123" i="63" s="1"/>
  <c r="X123" i="63"/>
  <c r="X35" i="58"/>
  <c r="W35" i="58"/>
  <c r="Y35" i="58" s="1"/>
  <c r="W62" i="63"/>
  <c r="Y62" i="63" s="1"/>
  <c r="X62" i="63"/>
  <c r="W64" i="63"/>
  <c r="Y64" i="63" s="1"/>
  <c r="X64" i="63"/>
  <c r="W48" i="63"/>
  <c r="Y48" i="63" s="1"/>
  <c r="X48" i="63"/>
  <c r="X13" i="50"/>
  <c r="W13" i="50"/>
  <c r="Y13" i="50" s="1"/>
  <c r="X63" i="50"/>
  <c r="W63" i="50"/>
  <c r="Y63" i="50" s="1"/>
  <c r="W42" i="61"/>
  <c r="Y42" i="61" s="1"/>
  <c r="X42" i="61"/>
  <c r="Y106" i="65"/>
  <c r="X106" i="65"/>
  <c r="Z106" i="65" s="1"/>
  <c r="W69" i="57"/>
  <c r="Y69" i="57" s="1"/>
  <c r="X69" i="57"/>
  <c r="W41" i="63"/>
  <c r="Y41" i="63" s="1"/>
  <c r="X41" i="63"/>
  <c r="W106" i="63"/>
  <c r="Y106" i="63" s="1"/>
  <c r="X106" i="63"/>
  <c r="X63" i="65"/>
  <c r="Z63" i="65" s="1"/>
  <c r="Y63" i="65"/>
  <c r="X19" i="58"/>
  <c r="W19" i="58"/>
  <c r="Y19" i="58" s="1"/>
  <c r="W27" i="57"/>
  <c r="Y27" i="57" s="1"/>
  <c r="X27" i="57"/>
  <c r="X37" i="50"/>
  <c r="W37" i="50"/>
  <c r="Y37" i="50" s="1"/>
  <c r="W11" i="63"/>
  <c r="Y11" i="63" s="1"/>
  <c r="X11" i="63"/>
  <c r="W53" i="50"/>
  <c r="Y53" i="50" s="1"/>
  <c r="X53" i="50"/>
  <c r="X71" i="61"/>
  <c r="W71" i="61"/>
  <c r="Y71" i="61" s="1"/>
  <c r="X29" i="65"/>
  <c r="Z29" i="65" s="1"/>
  <c r="Y29" i="65"/>
  <c r="W69" i="63"/>
  <c r="Y69" i="63" s="1"/>
  <c r="X69" i="63"/>
  <c r="X54" i="50"/>
  <c r="W54" i="50"/>
  <c r="Y54" i="50" s="1"/>
  <c r="W74" i="63"/>
  <c r="Y74" i="63" s="1"/>
  <c r="X74" i="63"/>
  <c r="W8" i="61"/>
  <c r="Y8" i="61" s="1"/>
  <c r="X8" i="61"/>
  <c r="W84" i="63"/>
  <c r="Y84" i="63" s="1"/>
  <c r="X84" i="63"/>
  <c r="W43" i="61"/>
  <c r="Y43" i="61" s="1"/>
  <c r="X43" i="61"/>
  <c r="W91" i="57"/>
  <c r="Y91" i="57" s="1"/>
  <c r="X91" i="57"/>
  <c r="X70" i="63"/>
  <c r="W70" i="63"/>
  <c r="Y70" i="63" s="1"/>
  <c r="W89" i="63"/>
  <c r="Y89" i="63" s="1"/>
  <c r="X89" i="63"/>
  <c r="X23" i="58"/>
  <c r="W23" i="58"/>
  <c r="Y23" i="58" s="1"/>
  <c r="X60" i="57"/>
  <c r="W60" i="57"/>
  <c r="Y60" i="57" s="1"/>
  <c r="X76" i="57"/>
  <c r="W76" i="57"/>
  <c r="Y76" i="57" s="1"/>
  <c r="W121" i="63"/>
  <c r="Y121" i="63" s="1"/>
  <c r="X121" i="63"/>
  <c r="X57" i="50"/>
  <c r="W57" i="50"/>
  <c r="Y57" i="50" s="1"/>
  <c r="X22" i="58"/>
  <c r="W22" i="58"/>
  <c r="Y22" i="58" s="1"/>
  <c r="W60" i="63"/>
  <c r="Y60" i="63" s="1"/>
  <c r="X60" i="63"/>
  <c r="Y131" i="65"/>
  <c r="X131" i="65"/>
  <c r="Z131" i="65" s="1"/>
  <c r="W115" i="61"/>
  <c r="Y115" i="61" s="1"/>
  <c r="X115" i="61"/>
  <c r="X46" i="61"/>
  <c r="W46" i="61"/>
  <c r="Y46" i="61" s="1"/>
  <c r="W22" i="61"/>
  <c r="Y22" i="61" s="1"/>
  <c r="X22" i="61"/>
  <c r="X15" i="63"/>
  <c r="W15" i="63"/>
  <c r="Y15" i="63" s="1"/>
  <c r="X56" i="61"/>
  <c r="W56" i="61"/>
  <c r="Y56" i="61" s="1"/>
  <c r="W43" i="50"/>
  <c r="Y43" i="50" s="1"/>
  <c r="X43" i="50"/>
  <c r="W47" i="63"/>
  <c r="Y47" i="63" s="1"/>
  <c r="X47" i="63"/>
  <c r="W94" i="57"/>
  <c r="Y94" i="57" s="1"/>
  <c r="X94" i="57"/>
  <c r="W61" i="63"/>
  <c r="Y61" i="63" s="1"/>
  <c r="X61" i="63"/>
  <c r="W59" i="50"/>
  <c r="Y59" i="50" s="1"/>
  <c r="X59" i="50"/>
  <c r="X123" i="65"/>
  <c r="Z123" i="65" s="1"/>
  <c r="Y123" i="65"/>
  <c r="W77" i="61"/>
  <c r="Y77" i="61" s="1"/>
  <c r="X77" i="61"/>
  <c r="X123" i="61"/>
  <c r="W123" i="61"/>
  <c r="Y123" i="61" s="1"/>
  <c r="W10" i="63"/>
  <c r="Y10" i="63" s="1"/>
  <c r="X10" i="63"/>
  <c r="X85" i="65"/>
  <c r="Z85" i="65" s="1"/>
  <c r="Y85" i="65"/>
  <c r="W36" i="63"/>
  <c r="Y36" i="63" s="1"/>
  <c r="X36" i="63"/>
  <c r="X19" i="61"/>
  <c r="W19" i="61"/>
  <c r="Y19" i="61" s="1"/>
  <c r="W23" i="63"/>
  <c r="Y23" i="63" s="1"/>
  <c r="X23" i="63"/>
  <c r="Y49" i="76"/>
  <c r="X46" i="50"/>
  <c r="W46" i="50"/>
  <c r="Y46" i="50" s="1"/>
  <c r="W66" i="63"/>
  <c r="Y66" i="63" s="1"/>
  <c r="X66" i="63"/>
  <c r="W46" i="63"/>
  <c r="Y46" i="63" s="1"/>
  <c r="X46" i="63"/>
  <c r="W89" i="61"/>
  <c r="Y89" i="61" s="1"/>
  <c r="X89" i="61"/>
  <c r="X34" i="55"/>
  <c r="W34" i="55"/>
  <c r="Y34" i="55" s="1"/>
  <c r="X95" i="61"/>
  <c r="W95" i="61"/>
  <c r="Y95" i="61" s="1"/>
  <c r="W79" i="63"/>
  <c r="Y79" i="63" s="1"/>
  <c r="X79" i="63"/>
  <c r="W51" i="63"/>
  <c r="Y51" i="63" s="1"/>
  <c r="X51" i="63"/>
  <c r="W9" i="63"/>
  <c r="Y9" i="63" s="1"/>
  <c r="X9" i="63"/>
  <c r="W15" i="61"/>
  <c r="Y15" i="61" s="1"/>
  <c r="X15" i="61"/>
  <c r="W116" i="61"/>
  <c r="Y116" i="61" s="1"/>
  <c r="X116" i="61"/>
  <c r="W119" i="63"/>
  <c r="Y119" i="63" s="1"/>
  <c r="X119" i="63"/>
  <c r="Y41" i="65"/>
  <c r="X41" i="65"/>
  <c r="Z41" i="65" s="1"/>
  <c r="W40" i="58"/>
  <c r="Y40" i="58" s="1"/>
  <c r="X40" i="58"/>
  <c r="X30" i="50"/>
  <c r="W30" i="50"/>
  <c r="Y30" i="50" s="1"/>
  <c r="X25" i="63"/>
  <c r="W25" i="63"/>
  <c r="Y25" i="63" s="1"/>
  <c r="X125" i="65"/>
  <c r="Z125" i="65" s="1"/>
  <c r="Y125" i="65"/>
  <c r="W63" i="57"/>
  <c r="Y63" i="57" s="1"/>
  <c r="X63" i="57"/>
  <c r="X8" i="57"/>
  <c r="W8" i="57"/>
  <c r="Y8" i="57" s="1"/>
  <c r="X8" i="50"/>
  <c r="W8" i="50"/>
  <c r="Y8" i="50" s="1"/>
  <c r="W107" i="61"/>
  <c r="Y107" i="61" s="1"/>
  <c r="X107" i="61"/>
  <c r="Y92" i="65"/>
  <c r="X92" i="65"/>
  <c r="Z92" i="65" s="1"/>
  <c r="X55" i="76"/>
  <c r="Z55" i="76" s="1"/>
  <c r="W77" i="63"/>
  <c r="Y77" i="63" s="1"/>
  <c r="X77" i="63"/>
  <c r="X87" i="61"/>
  <c r="W87" i="61"/>
  <c r="Y87" i="61" s="1"/>
  <c r="W73" i="63"/>
  <c r="Y73" i="63" s="1"/>
  <c r="X73" i="63"/>
  <c r="X85" i="61"/>
  <c r="W85" i="61"/>
  <c r="Y85" i="61" s="1"/>
  <c r="X42" i="50"/>
  <c r="W42" i="50"/>
  <c r="Y42" i="50" s="1"/>
  <c r="X103" i="61"/>
  <c r="W103" i="61"/>
  <c r="Y103" i="61" s="1"/>
  <c r="X69" i="50"/>
  <c r="W69" i="50"/>
  <c r="Y69" i="50" s="1"/>
  <c r="Y94" i="65"/>
  <c r="X94" i="65"/>
  <c r="Z94" i="65" s="1"/>
  <c r="X41" i="50"/>
  <c r="W41" i="50"/>
  <c r="Y41" i="50" s="1"/>
  <c r="W43" i="58"/>
  <c r="Y43" i="58" s="1"/>
  <c r="X43" i="58"/>
  <c r="X52" i="65"/>
  <c r="Z52" i="65" s="1"/>
  <c r="Y52" i="65"/>
  <c r="X35" i="50"/>
  <c r="W35" i="50"/>
  <c r="Y35" i="50" s="1"/>
  <c r="W65" i="63"/>
  <c r="Y65" i="63" s="1"/>
  <c r="X65" i="63"/>
  <c r="W110" i="63"/>
  <c r="Y110" i="63" s="1"/>
  <c r="X110" i="63"/>
  <c r="X47" i="65"/>
  <c r="Z47" i="65" s="1"/>
  <c r="Y47" i="65"/>
  <c r="W79" i="50"/>
  <c r="Y79" i="50" s="1"/>
  <c r="X79" i="50"/>
  <c r="W31" i="63"/>
  <c r="Y31" i="63" s="1"/>
  <c r="X31" i="63"/>
  <c r="W56" i="63"/>
  <c r="Y56" i="63" s="1"/>
  <c r="X56" i="63"/>
  <c r="W68" i="63"/>
  <c r="Y68" i="63" s="1"/>
  <c r="X68" i="63"/>
  <c r="W35" i="63"/>
  <c r="Y35" i="63" s="1"/>
  <c r="X35" i="63"/>
  <c r="W53" i="63"/>
  <c r="Y53" i="63" s="1"/>
  <c r="X53" i="63"/>
  <c r="W54" i="63"/>
  <c r="Y54" i="63" s="1"/>
  <c r="X54" i="63"/>
  <c r="W63" i="63"/>
  <c r="Y63" i="63" s="1"/>
  <c r="X63" i="63"/>
  <c r="X17" i="57"/>
  <c r="W17" i="57"/>
  <c r="Y17" i="57" s="1"/>
  <c r="X12" i="57"/>
  <c r="W12" i="57"/>
  <c r="Y12" i="57" s="1"/>
  <c r="W28" i="65"/>
  <c r="Y28" i="65" s="1"/>
  <c r="Y42" i="65"/>
  <c r="X42" i="65"/>
  <c r="Z42" i="65" s="1"/>
  <c r="X19" i="65"/>
  <c r="Z19" i="65" s="1"/>
  <c r="Y19" i="65"/>
  <c r="Y73" i="65"/>
  <c r="X73" i="65"/>
  <c r="Z73" i="65" s="1"/>
  <c r="Y116" i="65"/>
  <c r="X116" i="65"/>
  <c r="Z116" i="65" s="1"/>
  <c r="Y122" i="65"/>
  <c r="X122" i="65"/>
  <c r="Z122" i="65" s="1"/>
  <c r="X50" i="65"/>
  <c r="Z50" i="65" s="1"/>
  <c r="Y50" i="65"/>
  <c r="Y27" i="65"/>
  <c r="X27" i="65"/>
  <c r="Z27" i="65" s="1"/>
  <c r="X134" i="65"/>
  <c r="Z134" i="65" s="1"/>
  <c r="Y134" i="65"/>
  <c r="Y69" i="65"/>
  <c r="X69" i="65"/>
  <c r="Z69" i="65" s="1"/>
  <c r="X24" i="65"/>
  <c r="Z24" i="65" s="1"/>
  <c r="Y24" i="65"/>
  <c r="R116" i="76"/>
  <c r="W97" i="76"/>
  <c r="Y97" i="76" s="1"/>
  <c r="X20" i="76"/>
  <c r="Z20" i="76" s="1"/>
  <c r="X125" i="76"/>
  <c r="Z125" i="76" s="1"/>
  <c r="W120" i="76"/>
  <c r="Y120" i="76" s="1"/>
  <c r="Y148" i="76"/>
  <c r="Y43" i="76"/>
  <c r="W104" i="76"/>
  <c r="X104" i="76" s="1"/>
  <c r="Z104" i="76" s="1"/>
  <c r="X82" i="76"/>
  <c r="Z82" i="76" s="1"/>
  <c r="X95" i="76"/>
  <c r="Z95" i="76" s="1"/>
  <c r="R109" i="76"/>
  <c r="R148" i="76"/>
  <c r="Y109" i="76"/>
  <c r="Y59" i="76"/>
  <c r="Y121" i="76"/>
  <c r="X111" i="76"/>
  <c r="Z111" i="76" s="1"/>
  <c r="R43" i="76"/>
  <c r="R137" i="76"/>
  <c r="W108" i="76"/>
  <c r="Y108" i="76" s="1"/>
  <c r="X98" i="76"/>
  <c r="Z98" i="76" s="1"/>
  <c r="Y137" i="76"/>
  <c r="X124" i="76"/>
  <c r="Z124" i="76" s="1"/>
  <c r="X101" i="76"/>
  <c r="Z101" i="76" s="1"/>
  <c r="R126" i="76"/>
  <c r="R125" i="76"/>
  <c r="X75" i="76"/>
  <c r="Z75" i="76" s="1"/>
  <c r="R119" i="76"/>
  <c r="X129" i="76"/>
  <c r="Z129" i="76" s="1"/>
  <c r="R113" i="76"/>
  <c r="Y31" i="76"/>
  <c r="X15" i="76"/>
  <c r="Z15" i="76" s="1"/>
  <c r="X119" i="76"/>
  <c r="Z119" i="76" s="1"/>
  <c r="R118" i="76"/>
  <c r="Y21" i="76"/>
  <c r="W122" i="76"/>
  <c r="X122" i="76" s="1"/>
  <c r="Z122" i="76" s="1"/>
  <c r="Y54" i="76"/>
  <c r="X92" i="76"/>
  <c r="Z92" i="76" s="1"/>
  <c r="Y10" i="76"/>
  <c r="Y83" i="76"/>
  <c r="X62" i="76"/>
  <c r="Z62" i="76" s="1"/>
  <c r="Y87" i="65"/>
  <c r="X87" i="65"/>
  <c r="Z87" i="65" s="1"/>
  <c r="X51" i="65"/>
  <c r="Z51" i="65" s="1"/>
  <c r="Y51" i="65"/>
  <c r="Y55" i="65"/>
  <c r="X55" i="65"/>
  <c r="Z55" i="65" s="1"/>
  <c r="X118" i="65"/>
  <c r="Z118" i="65" s="1"/>
  <c r="Y118" i="65"/>
  <c r="Y39" i="65"/>
  <c r="X39" i="65"/>
  <c r="Z39" i="65" s="1"/>
  <c r="X120" i="65"/>
  <c r="Z120" i="65" s="1"/>
  <c r="Y120" i="65"/>
  <c r="X126" i="65"/>
  <c r="Z126" i="65" s="1"/>
  <c r="Y126" i="65"/>
  <c r="Y89" i="65"/>
  <c r="X89" i="65"/>
  <c r="Z89" i="65" s="1"/>
  <c r="Y102" i="65"/>
  <c r="X102" i="65"/>
  <c r="Z102" i="65" s="1"/>
  <c r="R134" i="76"/>
  <c r="X117" i="76"/>
  <c r="Z117" i="76" s="1"/>
  <c r="Y63" i="76"/>
  <c r="X99" i="76"/>
  <c r="Z99" i="76" s="1"/>
  <c r="X66" i="76"/>
  <c r="Z66" i="76" s="1"/>
  <c r="Y27" i="76"/>
  <c r="X113" i="76"/>
  <c r="Z113" i="76" s="1"/>
  <c r="R128" i="76"/>
  <c r="Y48" i="76"/>
  <c r="R150" i="76"/>
  <c r="X69" i="76"/>
  <c r="Z69" i="76" s="1"/>
  <c r="X86" i="76"/>
  <c r="Z86" i="76" s="1"/>
  <c r="W127" i="76"/>
  <c r="Y127" i="76" s="1"/>
  <c r="X105" i="76"/>
  <c r="Z105" i="76" s="1"/>
  <c r="X103" i="76"/>
  <c r="Z103" i="76" s="1"/>
  <c r="X91" i="76"/>
  <c r="Z91" i="76" s="1"/>
  <c r="Y17" i="76"/>
  <c r="X17" i="76"/>
  <c r="Z17" i="76" s="1"/>
  <c r="R103" i="76"/>
  <c r="X100" i="76"/>
  <c r="Z100" i="76" s="1"/>
  <c r="R121" i="76"/>
  <c r="Y45" i="76"/>
  <c r="X123" i="76"/>
  <c r="Z123" i="76" s="1"/>
  <c r="X115" i="76"/>
  <c r="Z115" i="76" s="1"/>
  <c r="X131" i="76"/>
  <c r="Z131" i="76" s="1"/>
  <c r="R110" i="76"/>
  <c r="X78" i="76"/>
  <c r="Z78" i="76" s="1"/>
  <c r="R117" i="76"/>
  <c r="Y60" i="76"/>
  <c r="X141" i="76"/>
  <c r="Z141" i="76" s="1"/>
  <c r="R131" i="76"/>
  <c r="R10" i="76"/>
  <c r="Y73" i="76"/>
  <c r="X73" i="76"/>
  <c r="Z73" i="76" s="1"/>
  <c r="W140" i="76"/>
  <c r="R140" i="76"/>
  <c r="W9" i="76"/>
  <c r="R9" i="76"/>
  <c r="Y85" i="76"/>
  <c r="X85" i="76"/>
  <c r="Z85" i="76" s="1"/>
  <c r="Y46" i="76"/>
  <c r="X80" i="76"/>
  <c r="Z80" i="76" s="1"/>
  <c r="X97" i="76"/>
  <c r="Z97" i="76" s="1"/>
  <c r="R41" i="76"/>
  <c r="W133" i="76"/>
  <c r="R133" i="76"/>
  <c r="W139" i="76"/>
  <c r="R139" i="76"/>
  <c r="R135" i="76"/>
  <c r="Y135" i="76"/>
  <c r="X135" i="76"/>
  <c r="Z135" i="76" s="1"/>
  <c r="R144" i="76"/>
  <c r="X138" i="76"/>
  <c r="Z138" i="76" s="1"/>
  <c r="Y138" i="76"/>
  <c r="R146" i="76"/>
  <c r="W136" i="76"/>
  <c r="R136" i="76"/>
  <c r="Y40" i="76"/>
  <c r="X40" i="76"/>
  <c r="Z40" i="76" s="1"/>
  <c r="X41" i="76"/>
  <c r="Z41" i="76" s="1"/>
  <c r="Y41" i="76"/>
  <c r="W8" i="76"/>
  <c r="R8" i="76"/>
  <c r="Y116" i="76"/>
  <c r="X116" i="76"/>
  <c r="Z116" i="76" s="1"/>
  <c r="X146" i="76"/>
  <c r="Z146" i="76" s="1"/>
  <c r="Y146" i="76"/>
  <c r="X108" i="76"/>
  <c r="Z108" i="76" s="1"/>
  <c r="Y110" i="76"/>
  <c r="X110" i="76"/>
  <c r="Z110" i="76" s="1"/>
  <c r="Y126" i="76"/>
  <c r="X126" i="76"/>
  <c r="Z126" i="76" s="1"/>
  <c r="Y112" i="76"/>
  <c r="X112" i="76"/>
  <c r="Z112" i="76" s="1"/>
  <c r="Y128" i="76"/>
  <c r="X128" i="76"/>
  <c r="Z128" i="76" s="1"/>
  <c r="Y144" i="76"/>
  <c r="X144" i="76"/>
  <c r="Z144" i="76" s="1"/>
  <c r="Y130" i="76"/>
  <c r="X130" i="76"/>
  <c r="Z130" i="76" s="1"/>
  <c r="X143" i="76"/>
  <c r="Z143" i="76" s="1"/>
  <c r="Y143" i="76"/>
  <c r="Y118" i="76"/>
  <c r="X118" i="76"/>
  <c r="Z118" i="76" s="1"/>
  <c r="X134" i="76"/>
  <c r="Z134" i="76" s="1"/>
  <c r="Y134" i="76"/>
  <c r="Y132" i="76"/>
  <c r="X132" i="76"/>
  <c r="Z132" i="76" s="1"/>
  <c r="Y149" i="76"/>
  <c r="X149" i="76"/>
  <c r="Z149" i="76" s="1"/>
  <c r="Y114" i="76"/>
  <c r="X114" i="76"/>
  <c r="Z114" i="76" s="1"/>
  <c r="Y145" i="76"/>
  <c r="X145" i="76"/>
  <c r="Z145" i="76" s="1"/>
  <c r="Y104" i="76" l="1"/>
  <c r="X28" i="65"/>
  <c r="Z28" i="65" s="1"/>
  <c r="X120" i="76"/>
  <c r="Z120" i="76" s="1"/>
  <c r="Y122" i="76"/>
  <c r="X127" i="76"/>
  <c r="Z127" i="76" s="1"/>
  <c r="Y9" i="76"/>
  <c r="X9" i="76"/>
  <c r="Z9" i="76" s="1"/>
  <c r="Y140" i="76"/>
  <c r="X140" i="76"/>
  <c r="Z140" i="76" s="1"/>
  <c r="Y139" i="76"/>
  <c r="X139" i="76"/>
  <c r="Z139" i="76" s="1"/>
  <c r="X133" i="76"/>
  <c r="Z133" i="76" s="1"/>
  <c r="Y133" i="76"/>
  <c r="X136" i="76"/>
  <c r="Z136" i="76" s="1"/>
  <c r="Y136" i="76"/>
  <c r="Y8" i="76"/>
  <c r="X8" i="76"/>
  <c r="Z8" i="7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X7" authorId="0" shapeId="0" xr:uid="{8E0A322C-DE54-044A-9959-B8327F4B763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Y17" authorId="1" shapeId="0" xr:uid="{70158E03-A3C0-0542-92E8-7F80F8F3656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7" authorId="1" shapeId="0" xr:uid="{9D2B65C7-BFDA-3742-BF16-3E625AE9EFE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33" authorId="1" shapeId="0" xr:uid="{962300C0-04FB-8F42-B10A-8E1B7C68534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33" authorId="1" shapeId="0" xr:uid="{5ACE4441-9E17-7C46-889C-E98B0099EE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49" authorId="1" shapeId="0" xr:uid="{5F89CF9D-AFA5-4743-8597-C2B1F8617FD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49" authorId="1" shapeId="0" xr:uid="{CF14551A-4858-E242-84CE-0A02CBFECB2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65" authorId="1" shapeId="0" xr:uid="{6BA3CE3A-4673-194D-A264-188E89064F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65" authorId="1" shapeId="0" xr:uid="{8AB0F5FC-4063-A143-87A2-0CC94094A37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81" authorId="1" shapeId="0" xr:uid="{3AFC1887-F87B-FD4E-B60D-1CD931245C9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81" authorId="1" shapeId="0" xr:uid="{C1C958E6-1981-A84A-96BB-B42C2BEBF2E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96" authorId="1" shapeId="0" xr:uid="{8E69FE01-9339-A447-B90B-BAA433B1FE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96" authorId="1" shapeId="0" xr:uid="{345615EC-838C-D441-94A5-5BDABB91055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12" authorId="1" shapeId="0" xr:uid="{11166688-FD2D-8346-86C3-D075622DE38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12" authorId="1" shapeId="0" xr:uid="{2BFF5A71-3233-B64B-86F4-BD3551D8771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28" authorId="1" shapeId="0" xr:uid="{6D31E15D-C3BE-EF4B-90F3-6F512E5151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28" authorId="1" shapeId="0" xr:uid="{71F483B1-81FE-E74E-8C35-783809A1C8D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C9" authorId="0" shapeId="0" xr:uid="{00000000-0006-0000-06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D9" authorId="0" shapeId="0" xr:uid="{00000000-0006-0000-06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</t>
        </r>
      </text>
    </comment>
    <comment ref="E9" authorId="0" shapeId="0" xr:uid="{00000000-0006-0000-06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F9" authorId="1" shapeId="0" xr:uid="{00000000-0006-0000-0600-00000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G9" authorId="1" shapeId="0" xr:uid="{00000000-0006-0000-0600-00000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H9" authorId="0" shapeId="0" xr:uid="{00000000-0006-0000-06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9" authorId="0" shapeId="0" xr:uid="{00000000-0006-0000-06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9" authorId="1" shapeId="0" xr:uid="{00000000-0006-0000-06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K9" authorId="1" shapeId="0" xr:uid="{00000000-0006-0000-0600-00000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L9" authorId="1" shapeId="0" xr:uid="{00000000-0006-0000-0600-00000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Amber</t>
        </r>
      </text>
    </comment>
    <comment ref="M9" authorId="1" shapeId="0" xr:uid="{00000000-0006-0000-0600-00000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C102" authorId="0" shapeId="0" xr:uid="{00000000-0006-0000-0600-00000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D102" authorId="0" shapeId="0" xr:uid="{00000000-0006-0000-0600-00000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</t>
        </r>
      </text>
    </comment>
    <comment ref="E102" authorId="0" shapeId="0" xr:uid="{00000000-0006-0000-06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F102" authorId="1" shapeId="0" xr:uid="{00000000-0006-0000-0600-00000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G102" authorId="1" shapeId="0" xr:uid="{00000000-0006-0000-0600-00001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H102" authorId="0" shapeId="0" xr:uid="{00000000-0006-0000-06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102" authorId="0" shapeId="0" xr:uid="{00000000-0006-0000-0600-00001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102" authorId="1" shapeId="0" xr:uid="{00000000-0006-0000-0600-00001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K102" authorId="1" shapeId="0" xr:uid="{00000000-0006-0000-0600-00001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L102" authorId="1" shapeId="0" xr:uid="{00000000-0006-0000-0600-00001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Amber</t>
        </r>
      </text>
    </comment>
    <comment ref="M102" authorId="1" shapeId="0" xr:uid="{00000000-0006-0000-0600-00001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M105" authorId="1" shapeId="0" xr:uid="{00000000-0006-0000-0600-00001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Fact sheet does not state amount</t>
        </r>
      </text>
    </comment>
    <comment ref="C107" authorId="1" shapeId="0" xr:uid="{00000000-0006-0000-0600-00001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fuel discount 2% off usage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C9" authorId="0" shapeId="0" xr:uid="{00000000-0006-0000-07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D9" authorId="0" shapeId="0" xr:uid="{00000000-0006-0000-07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E9" authorId="0" shapeId="0" xr:uid="{00000000-0006-0000-07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F9" authorId="1" shapeId="0" xr:uid="{00000000-0006-0000-0700-00000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G9" authorId="1" shapeId="0" xr:uid="{00000000-0006-0000-0700-00000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H9" authorId="0" shapeId="0" xr:uid="{00000000-0006-0000-07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9" authorId="0" shapeId="0" xr:uid="{00000000-0006-0000-07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9" authorId="1" shapeId="0" xr:uid="{00000000-0006-0000-07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K9" authorId="1" shapeId="0" xr:uid="{00000000-0006-0000-0700-00000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L9" authorId="1" shapeId="0" xr:uid="{00000000-0006-0000-0700-00000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Indigo</t>
        </r>
      </text>
    </comment>
    <comment ref="M9" authorId="1" shapeId="0" xr:uid="{00000000-0006-0000-0700-00000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C102" authorId="0" shapeId="0" xr:uid="{00000000-0006-0000-0700-00000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D102" authorId="0" shapeId="0" xr:uid="{00000000-0006-0000-0700-00000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E102" authorId="0" shapeId="0" xr:uid="{00000000-0006-0000-07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F102" authorId="1" shapeId="0" xr:uid="{00000000-0006-0000-0700-00000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G102" authorId="1" shapeId="0" xr:uid="{00000000-0006-0000-0700-00001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H102" authorId="0" shapeId="0" xr:uid="{00000000-0006-0000-07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102" authorId="0" shapeId="0" xr:uid="{00000000-0006-0000-0700-00001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102" authorId="1" shapeId="0" xr:uid="{00000000-0006-0000-0700-00001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K102" authorId="1" shapeId="0" xr:uid="{00000000-0006-0000-0700-00001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L102" authorId="1" shapeId="0" xr:uid="{00000000-0006-0000-0700-00001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Indigo</t>
        </r>
      </text>
    </comment>
    <comment ref="M102" authorId="1" shapeId="0" xr:uid="{00000000-0006-0000-0700-00001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I105" authorId="1" shapeId="0" xr:uid="{00000000-0006-0000-0700-00001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M105" authorId="1" shapeId="0" xr:uid="{00000000-0006-0000-0700-00001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Fact sheet does not state amount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 M. Johnston</author>
  </authors>
  <commentList>
    <comment ref="C9" authorId="0" shapeId="0" xr:uid="{00000000-0006-0000-08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9" authorId="0" shapeId="0" xr:uid="{00000000-0006-0000-08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E9" authorId="0" shapeId="0" xr:uid="{00000000-0006-0000-08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F9" authorId="0" shapeId="0" xr:uid="{00000000-0006-0000-08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G9" authorId="0" shapeId="0" xr:uid="{00000000-0006-0000-08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H9" authorId="1" shapeId="0" xr:uid="{00000000-0006-0000-0800-00000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I9" authorId="1" shapeId="0" xr:uid="{00000000-0006-0000-08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C23" authorId="2" shapeId="0" xr:uid="{00000000-0006-0000-08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D23" authorId="2" shapeId="0" xr:uid="{00000000-0006-0000-08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E23" authorId="2" shapeId="0" xr:uid="{00000000-0006-0000-08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F23" authorId="2" shapeId="0" xr:uid="{00000000-0006-0000-08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4month peak</t>
        </r>
      </text>
    </comment>
    <comment ref="G23" authorId="2" shapeId="0" xr:uid="{00000000-0006-0000-08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H23" authorId="2" shapeId="0" xr:uid="{00000000-0006-0000-08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C102" authorId="0" shapeId="0" xr:uid="{00000000-0006-0000-08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102" authorId="0" shapeId="0" xr:uid="{00000000-0006-0000-0800-00000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E102" authorId="0" shapeId="0" xr:uid="{00000000-0006-0000-0800-00001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F102" authorId="0" shapeId="0" xr:uid="{00000000-0006-0000-08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G102" authorId="0" shapeId="0" xr:uid="{00000000-0006-0000-0800-00001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H102" authorId="1" shapeId="0" xr:uid="{00000000-0006-0000-0800-00001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I102" authorId="1" shapeId="0" xr:uid="{00000000-0006-0000-0800-00001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G105" authorId="1" shapeId="0" xr:uid="{00000000-0006-0000-0800-00001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C107" authorId="1" shapeId="0" xr:uid="{00000000-0006-0000-0800-00001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 $ 60 AGL shop voucher</t>
        </r>
      </text>
    </comment>
    <comment ref="D107" authorId="0" shapeId="0" xr:uid="{00000000-0006-0000-08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 M. Johnston</author>
  </authors>
  <commentList>
    <comment ref="C9" authorId="0" shapeId="0" xr:uid="{00000000-0006-0000-09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9" authorId="0" shapeId="0" xr:uid="{00000000-0006-0000-09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E9" authorId="0" shapeId="0" xr:uid="{00000000-0006-0000-09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F9" authorId="0" shapeId="0" xr:uid="{00000000-0006-0000-09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G9" authorId="0" shapeId="0" xr:uid="{00000000-0006-0000-09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H9" authorId="0" shapeId="0" xr:uid="{00000000-0006-0000-09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I9" authorId="1" shapeId="0" xr:uid="{00000000-0006-0000-09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J9" authorId="1" shapeId="0" xr:uid="{00000000-0006-0000-09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C23" authorId="2" shapeId="0" xr:uid="{00000000-0006-0000-09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D23" authorId="2" shapeId="0" xr:uid="{00000000-0006-0000-09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E23" authorId="2" shapeId="0" xr:uid="{00000000-0006-0000-09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F23" authorId="2" shapeId="0" xr:uid="{00000000-0006-0000-09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G23" authorId="2" shapeId="0" xr:uid="{00000000-0006-0000-09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4month peak</t>
        </r>
      </text>
    </comment>
    <comment ref="H23" authorId="2" shapeId="0" xr:uid="{00000000-0006-0000-09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I23" authorId="2" shapeId="0" xr:uid="{00000000-0006-0000-09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C102" authorId="0" shapeId="0" xr:uid="{00000000-0006-0000-0900-00001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102" authorId="0" shapeId="0" xr:uid="{00000000-0006-0000-09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E102" authorId="0" shapeId="0" xr:uid="{00000000-0006-0000-0900-00001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F102" authorId="0" shapeId="0" xr:uid="{00000000-0006-0000-0900-00001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G102" authorId="0" shapeId="0" xr:uid="{00000000-0006-0000-09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H102" authorId="0" shapeId="0" xr:uid="{00000000-0006-0000-0900-00001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I102" authorId="1" shapeId="0" xr:uid="{00000000-0006-0000-0900-00001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J102" authorId="1" shapeId="0" xr:uid="{00000000-0006-0000-0900-00001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H105" authorId="1" shapeId="0" xr:uid="{00000000-0006-0000-0900-00001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C107" authorId="1" shapeId="0" xr:uid="{00000000-0006-0000-0900-00001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D107" authorId="0" shapeId="0" xr:uid="{00000000-0006-0000-09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 M. Johnston</author>
  </authors>
  <commentList>
    <comment ref="C9" authorId="0" shapeId="0" xr:uid="{00000000-0006-0000-0A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9" authorId="0" shapeId="0" xr:uid="{00000000-0006-0000-0A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E9" authorId="0" shapeId="0" xr:uid="{00000000-0006-0000-0A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F9" authorId="0" shapeId="0" xr:uid="{00000000-0006-0000-0A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G9" authorId="0" shapeId="0" xr:uid="{00000000-0006-0000-0A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H9" authorId="0" shapeId="0" xr:uid="{00000000-0006-0000-0A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I9" authorId="1" shapeId="0" xr:uid="{00000000-0006-0000-0A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J9" authorId="1" shapeId="0" xr:uid="{00000000-0006-0000-0A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C23" authorId="2" shapeId="0" xr:uid="{00000000-0006-0000-0A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D23" authorId="2" shapeId="0" xr:uid="{00000000-0006-0000-0A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E23" authorId="2" shapeId="0" xr:uid="{00000000-0006-0000-0A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F23" authorId="2" shapeId="0" xr:uid="{00000000-0006-0000-0A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G23" authorId="2" shapeId="0" xr:uid="{00000000-0006-0000-0A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4month peak</t>
        </r>
      </text>
    </comment>
    <comment ref="H23" authorId="2" shapeId="0" xr:uid="{00000000-0006-0000-0A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I23" authorId="2" shapeId="0" xr:uid="{00000000-0006-0000-0A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C102" authorId="0" shapeId="0" xr:uid="{00000000-0006-0000-0A00-00001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102" authorId="0" shapeId="0" xr:uid="{00000000-0006-0000-0A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E102" authorId="0" shapeId="0" xr:uid="{00000000-0006-0000-0A00-00001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F102" authorId="0" shapeId="0" xr:uid="{00000000-0006-0000-0A00-00001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G102" authorId="0" shapeId="0" xr:uid="{00000000-0006-0000-0A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H102" authorId="0" shapeId="0" xr:uid="{00000000-0006-0000-0A00-00001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I102" authorId="1" shapeId="0" xr:uid="{00000000-0006-0000-0A00-00001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J102" authorId="1" shapeId="0" xr:uid="{00000000-0006-0000-0A00-00001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C107" authorId="1" shapeId="0" xr:uid="{00000000-0006-0000-0A00-00001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D107" authorId="0" shapeId="0" xr:uid="{00000000-0006-0000-0A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 M. Johnston</author>
  </authors>
  <commentList>
    <comment ref="C9" authorId="0" shapeId="0" xr:uid="{00000000-0006-0000-0B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9" authorId="0" shapeId="0" xr:uid="{00000000-0006-0000-0B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E9" authorId="0" shapeId="0" xr:uid="{00000000-0006-0000-0B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F9" authorId="0" shapeId="0" xr:uid="{00000000-0006-0000-0B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Smart Saver 16</t>
        </r>
      </text>
    </comment>
    <comment ref="G9" authorId="0" shapeId="0" xr:uid="{00000000-0006-0000-0B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H9" authorId="0" shapeId="0" xr:uid="{00000000-0006-0000-0B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9" authorId="0" shapeId="0" xr:uid="{00000000-0006-0000-0B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9" authorId="1" shapeId="0" xr:uid="{00000000-0006-0000-0B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 15 Dual energy
Note: Gas offer only available in conjunction with electricity offer</t>
        </r>
      </text>
    </comment>
    <comment ref="K9" authorId="1" shapeId="0" xr:uid="{00000000-0006-0000-0B00-00000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C23" authorId="2" shapeId="0" xr:uid="{00000000-0006-0000-0B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D23" authorId="2" shapeId="0" xr:uid="{00000000-0006-0000-0B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E23" authorId="2" shapeId="0" xr:uid="{00000000-0006-0000-0B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F23" authorId="2" shapeId="0" xr:uid="{00000000-0006-0000-0B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G23" authorId="2" shapeId="0" xr:uid="{00000000-0006-0000-0B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4month peak</t>
        </r>
      </text>
    </comment>
    <comment ref="H23" authorId="2" shapeId="0" xr:uid="{00000000-0006-0000-0B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I23" authorId="2" shapeId="0" xr:uid="{00000000-0006-0000-0B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C102" authorId="0" shapeId="0" xr:uid="{00000000-0006-0000-0B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102" authorId="0" shapeId="0" xr:uid="{00000000-0006-0000-0B00-00001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E102" authorId="0" shapeId="0" xr:uid="{00000000-0006-0000-0B00-00001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F102" authorId="0" shapeId="0" xr:uid="{00000000-0006-0000-0B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Smart Saver 16</t>
        </r>
      </text>
    </comment>
    <comment ref="G102" authorId="0" shapeId="0" xr:uid="{00000000-0006-0000-0B00-00001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H102" authorId="0" shapeId="0" xr:uid="{00000000-0006-0000-0B00-00001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102" authorId="0" shapeId="0" xr:uid="{00000000-0006-0000-0B00-00001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102" authorId="1" shapeId="0" xr:uid="{00000000-0006-0000-0B00-00001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 15 Dual energy
Note: Gas offer only available in conjunction with electricity offer</t>
        </r>
      </text>
    </comment>
    <comment ref="K102" authorId="1" shapeId="0" xr:uid="{00000000-0006-0000-0B00-00001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C107" authorId="1" shapeId="0" xr:uid="{00000000-0006-0000-0B00-00001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D107" authorId="0" shapeId="0" xr:uid="{00000000-0006-0000-0B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M. Johnston</author>
    <author>May Mauseth</author>
  </authors>
  <commentList>
    <comment ref="C9" authorId="0" shapeId="0" xr:uid="{00000000-0006-0000-0C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9" authorId="0" shapeId="0" xr:uid="{00000000-0006-0000-0C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E9" authorId="0" shapeId="0" xr:uid="{00000000-0006-0000-0C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F9" authorId="0" shapeId="0" xr:uid="{00000000-0006-0000-0C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Smart Saver 18</t>
        </r>
      </text>
    </comment>
    <comment ref="G9" authorId="0" shapeId="0" xr:uid="{00000000-0006-0000-0C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H9" authorId="0" shapeId="0" xr:uid="{00000000-0006-0000-0C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I9" authorId="0" shapeId="0" xr:uid="{00000000-0006-0000-0C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C23" authorId="1" shapeId="0" xr:uid="{00000000-0006-0000-0C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D23" authorId="1" shapeId="0" xr:uid="{00000000-0006-0000-0C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E23" authorId="1" shapeId="0" xr:uid="{00000000-0006-0000-0C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F23" authorId="1" shapeId="0" xr:uid="{00000000-0006-0000-0C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G23" authorId="1" shapeId="0" xr:uid="{00000000-0006-0000-0C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4month peak</t>
        </r>
      </text>
    </comment>
    <comment ref="H23" authorId="1" shapeId="0" xr:uid="{00000000-0006-0000-0C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I23" authorId="1" shapeId="0" xr:uid="{00000000-0006-0000-0C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C102" authorId="0" shapeId="0" xr:uid="{00000000-0006-0000-0C00-00000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D102" authorId="0" shapeId="0" xr:uid="{00000000-0006-0000-0C00-00001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E102" authorId="0" shapeId="0" xr:uid="{00000000-0006-0000-0C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F102" authorId="0" shapeId="0" xr:uid="{00000000-0006-0000-0C00-00001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Smart Saver 18</t>
        </r>
      </text>
    </comment>
    <comment ref="G102" authorId="0" shapeId="0" xr:uid="{00000000-0006-0000-0C00-00001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H102" authorId="0" shapeId="0" xr:uid="{00000000-0006-0000-0C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I102" authorId="0" shapeId="0" xr:uid="{00000000-0006-0000-0C00-00001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C107" authorId="2" shapeId="0" xr:uid="{00000000-0006-0000-0C00-00001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D107" authorId="0" shapeId="0" xr:uid="{00000000-0006-0000-0C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M. Johnston</author>
  </authors>
  <commentList>
    <comment ref="C9" authorId="0" shapeId="0" xr:uid="{00000000-0006-0000-0D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D9" authorId="0" shapeId="0" xr:uid="{00000000-0006-0000-0D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E9" authorId="0" shapeId="0" xr:uid="{00000000-0006-0000-0D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F9" authorId="0" shapeId="0" xr:uid="{00000000-0006-0000-0D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 </t>
        </r>
      </text>
    </comment>
    <comment ref="G9" authorId="0" shapeId="0" xr:uid="{00000000-0006-0000-0D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H9" authorId="0" shapeId="0" xr:uid="{00000000-0006-0000-0D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I9" authorId="0" shapeId="0" xr:uid="{00000000-0006-0000-0D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C23" authorId="1" shapeId="0" xr:uid="{00000000-0006-0000-0D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D23" authorId="1" shapeId="0" xr:uid="{00000000-0006-0000-0D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E23" authorId="1" shapeId="0" xr:uid="{00000000-0006-0000-0D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F23" authorId="1" shapeId="0" xr:uid="{00000000-0006-0000-0D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G23" authorId="1" shapeId="0" xr:uid="{00000000-0006-0000-0D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4month peak</t>
        </r>
      </text>
    </comment>
    <comment ref="H23" authorId="1" shapeId="0" xr:uid="{00000000-0006-0000-0D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I23" authorId="1" shapeId="0" xr:uid="{00000000-0006-0000-0D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C102" authorId="0" shapeId="0" xr:uid="{00000000-0006-0000-0D00-00000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D102" authorId="0" shapeId="0" xr:uid="{00000000-0006-0000-0D00-00001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E102" authorId="0" shapeId="0" xr:uid="{00000000-0006-0000-0D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F102" authorId="0" shapeId="0" xr:uid="{00000000-0006-0000-0D00-00001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 </t>
        </r>
      </text>
    </comment>
    <comment ref="G102" authorId="0" shapeId="0" xr:uid="{00000000-0006-0000-0D00-00001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H102" authorId="0" shapeId="0" xr:uid="{00000000-0006-0000-0D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I102" authorId="0" shapeId="0" xr:uid="{00000000-0006-0000-0D00-00001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D107" authorId="0" shapeId="0" xr:uid="{00000000-0006-0000-0D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M. Johnston</author>
  </authors>
  <commentList>
    <comment ref="C9" authorId="0" shapeId="0" xr:uid="{00000000-0006-0000-0E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5</t>
        </r>
      </text>
    </comment>
    <comment ref="D9" authorId="0" shapeId="0" xr:uid="{00000000-0006-0000-0E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5% off usage for 12 months</t>
        </r>
      </text>
    </comment>
    <comment ref="E9" authorId="0" shapeId="0" xr:uid="{00000000-0006-0000-0E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F9" authorId="0" shapeId="0" xr:uid="{00000000-0006-0000-0E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</t>
        </r>
      </text>
    </comment>
    <comment ref="G9" authorId="0" shapeId="0" xr:uid="{00000000-0006-0000-0E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H9" authorId="0" shapeId="0" xr:uid="{00000000-0006-0000-0E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 Note: Gas offer only available in conjunction with electricity offer</t>
        </r>
      </text>
    </comment>
    <comment ref="C23" authorId="1" shapeId="0" xr:uid="{00000000-0006-0000-0E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D23" authorId="1" shapeId="0" xr:uid="{00000000-0006-0000-0E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E23" authorId="1" shapeId="0" xr:uid="{00000000-0006-0000-0E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F23" authorId="1" shapeId="0" xr:uid="{00000000-0006-0000-0E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G23" authorId="1" shapeId="0" xr:uid="{00000000-0006-0000-0E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4month peak</t>
        </r>
      </text>
    </comment>
    <comment ref="H23" authorId="1" shapeId="0" xr:uid="{00000000-0006-0000-0E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C102" authorId="0" shapeId="0" xr:uid="{00000000-0006-0000-0E00-00000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5</t>
        </r>
      </text>
    </comment>
    <comment ref="D102" authorId="0" shapeId="0" xr:uid="{00000000-0006-0000-0E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5% off usage for 12 months</t>
        </r>
      </text>
    </comment>
    <comment ref="E102" authorId="0" shapeId="0" xr:uid="{00000000-0006-0000-0E00-00000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F102" authorId="0" shapeId="0" xr:uid="{00000000-0006-0000-0E00-00001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 Note: Gas offer only available in conjunction with electricity offer</t>
        </r>
      </text>
    </comment>
    <comment ref="G102" authorId="0" shapeId="0" xr:uid="{00000000-0006-0000-0E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H102" authorId="0" shapeId="0" xr:uid="{00000000-0006-0000-0E00-00001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 Note: Gas offer only available in conjunction with electricity offer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M. Johnston</author>
    <author>May Johnston</author>
  </authors>
  <commentList>
    <comment ref="C23" authorId="0" shapeId="0" xr:uid="{00000000-0006-0000-0F00-00000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D23" authorId="0" shapeId="0" xr:uid="{00000000-0006-0000-0F00-00000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E23" authorId="0" shapeId="0" xr:uid="{00000000-0006-0000-0F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F23" authorId="0" shapeId="0" xr:uid="{00000000-0006-0000-0F00-00000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G23" authorId="0" shapeId="0" xr:uid="{00000000-0006-0000-0F00-00000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H23" authorId="0" shapeId="0" xr:uid="{00000000-0006-0000-0F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4month peak</t>
        </r>
      </text>
    </comment>
    <comment ref="I23" authorId="0" shapeId="0" xr:uid="{00000000-0006-0000-0F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D102" authorId="1" shapeId="0" xr:uid="{00000000-0006-0000-0F00-000008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F102" authorId="1" shapeId="0" xr:uid="{00000000-0006-0000-0F00-00000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</t>
        </r>
      </text>
    </comment>
    <comment ref="H102" authorId="1" shapeId="0" xr:uid="{00000000-0006-0000-0F00-00000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Note: Gas offer only available in conjunction with electricity offer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X7" authorId="0" shapeId="0" xr:uid="{A161B51D-952B-9449-982E-20CC030502D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Y17" authorId="1" shapeId="0" xr:uid="{492BD44D-506D-FB48-A6A6-C758F2F311C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7" authorId="1" shapeId="0" xr:uid="{CC2119A0-0B93-F745-A52B-B8BA75B955B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30" authorId="1" shapeId="0" xr:uid="{021F38BD-AF7A-434B-ACF5-87306D87510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30" authorId="1" shapeId="0" xr:uid="{762BB8F4-AE46-2743-A81C-263F733E0B5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43" authorId="1" shapeId="0" xr:uid="{91CF7326-59AC-BE4B-BC3D-E0405BD7A36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43" authorId="1" shapeId="0" xr:uid="{B2CAFD13-CD81-FD48-AA40-FA7F8D32E4F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56" authorId="1" shapeId="0" xr:uid="{022A6905-A32A-C941-A279-524416AC30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56" authorId="1" shapeId="0" xr:uid="{03F30A75-E2D9-434E-AEDF-D657626F1C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69" authorId="1" shapeId="0" xr:uid="{24020E84-EC03-EA41-B0C0-1AF0B760B26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69" authorId="1" shapeId="0" xr:uid="{EDD32703-B9E0-ED41-9B19-35A0864FD5C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81" authorId="1" shapeId="0" xr:uid="{9DD098E4-47E4-A040-8064-F79FCFF831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81" authorId="1" shapeId="0" xr:uid="{359B5830-96AD-2C49-AEB1-F5977B0F528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94" authorId="1" shapeId="0" xr:uid="{E4EB3B5B-A48F-1342-B9FE-9DC431750B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94" authorId="1" shapeId="0" xr:uid="{5840B082-754F-FB42-A9C9-25CDE405A46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07" authorId="1" shapeId="0" xr:uid="{E5F23613-39BB-0F47-A406-0D705D8FFEE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07" authorId="1" shapeId="0" xr:uid="{32936FCA-DBF7-9541-9EA6-1E98ED29A60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M. Johnston</author>
  </authors>
  <commentList>
    <comment ref="C23" authorId="0" shapeId="0" xr:uid="{00000000-0006-0000-1000-00000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D23" authorId="0" shapeId="0" xr:uid="{00000000-0006-0000-1000-00000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  <comment ref="E23" authorId="0" shapeId="0" xr:uid="{00000000-0006-0000-10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F23" authorId="0" shapeId="0" xr:uid="{00000000-0006-0000-1000-00000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G23" authorId="0" shapeId="0" xr:uid="{00000000-0006-0000-1000-00000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 month peak</t>
        </r>
      </text>
    </comment>
    <comment ref="H23" authorId="0" shapeId="0" xr:uid="{00000000-0006-0000-10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4month peak</t>
        </r>
      </text>
    </comment>
    <comment ref="I23" authorId="0" shapeId="0" xr:uid="{00000000-0006-0000-10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 month peak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M. Johnston</author>
  </authors>
  <commentList>
    <comment ref="A85" authorId="0" shapeId="0" xr:uid="{00000000-0006-0000-1100-00000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86" authorId="0" shapeId="0" xr:uid="{00000000-0006-0000-1100-00000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87" authorId="0" shapeId="0" xr:uid="{00000000-0006-0000-11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88" authorId="0" shapeId="0" xr:uid="{00000000-0006-0000-1100-00000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H88" authorId="0" shapeId="0" xr:uid="{00000000-0006-0000-1100-00000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Discount on energy consumption only - not the supply charge.</t>
        </r>
      </text>
    </comment>
    <comment ref="A89" authorId="0" shapeId="0" xr:uid="{00000000-0006-0000-11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BF035E4B-C1D7-3346-877A-A9BD7784001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Peak prices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O22" authorId="0" shapeId="0" xr:uid="{084A16D2-7B7F-8F47-A068-0B833719753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Peak prices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E8F30749-446D-854B-B695-0D02C1FEA62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Peak prices based on 4 winter months and 2 shoulder months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O23" authorId="0" shapeId="0" xr:uid="{DEC05BEC-7D1C-7844-B17E-133313DAE0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Peak prices based on 4 winter months and 2 shoulder months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11" authorId="0" shapeId="0" xr:uid="{6B21B096-FBDD-2A40-A5B9-6C56CE3942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P11" authorId="0" shapeId="0" xr:uid="{2D00B88D-8AD9-6344-95C2-71EA1085DA4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Q11" authorId="0" shapeId="0" xr:uid="{7A8E694E-08D3-A54B-9F3B-B02FB94823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R11" authorId="0" shapeId="0" xr:uid="{4297F2C8-4B43-3F49-8EF2-F370EFC6DE0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S11" authorId="0" shapeId="0" xr:uid="{AAEFB3DE-28D3-A749-8353-8F560A4BB5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O27" authorId="0" shapeId="0" xr:uid="{F98DAD8E-4B16-DE44-8F18-E75AB0D801B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P27" authorId="0" shapeId="0" xr:uid="{E34C6756-ABAA-C247-97CD-5A4FCAD496D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Q27" authorId="0" shapeId="0" xr:uid="{448BC898-75C8-1942-864D-F8A0D16536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R27" authorId="0" shapeId="0" xr:uid="{261BE403-5066-2043-A3FD-89B88E7B90D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S27" authorId="0" shapeId="0" xr:uid="{7EB67981-E29B-A940-842E-818200EF84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11" authorId="0" shapeId="0" xr:uid="{E63F5234-DFD7-474D-98C0-17348748F4B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Price based on 4 winter months and 2 shoulder months
</t>
        </r>
      </text>
    </comment>
    <comment ref="P11" authorId="0" shapeId="0" xr:uid="{326CBD92-0391-0B4C-B50B-0ABA0AD5888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Price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Q11" authorId="0" shapeId="0" xr:uid="{69B4241C-D3E6-DB45-A027-4DF6B2F0398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Price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11" authorId="0" shapeId="0" xr:uid="{026F94C0-92CA-A645-9746-9E57782B89A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Price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1" authorId="0" shapeId="0" xr:uid="{1DF610DC-1AC6-3D41-BE23-B02594A20F2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Price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O27" authorId="0" shapeId="0" xr:uid="{FA9C8F78-559E-3844-878F-138EE7ADD83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Price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27" authorId="0" shapeId="0" xr:uid="{6A7DAD2E-E6A9-9244-B86E-A9B08D83FD7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Price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Q27" authorId="0" shapeId="0" xr:uid="{A4BD06F2-B551-A04F-9649-397CD5F28C1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Price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27" authorId="0" shapeId="0" xr:uid="{44368ECF-9C2F-8A42-9915-BA23FBB3D09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Price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27" authorId="0" shapeId="0" xr:uid="{B6F46C64-CAB4-1944-8A8C-C81C6CA62C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Price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O12" authorId="0" shapeId="0" xr:uid="{8E09F8D4-C889-F748-BB40-3263B44AD50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=(2.49*4+2.44*2)/6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P12" authorId="0" shapeId="0" xr:uid="{47FA48E0-CC84-8348-B625-8664FEF93D3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=(2.15*4+2.11*2)/6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Q12" authorId="0" shapeId="0" xr:uid="{B97A2968-EF90-4541-BD1C-03179C3A9E7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=(1.82*4+1.8*2)/6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R12" authorId="0" shapeId="0" xr:uid="{ED932D5C-640B-8A4B-9FBE-7EB299DAFD3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=(1.64*4+1.63*2)/6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S12" authorId="0" shapeId="0" xr:uid="{EB818AEC-4ED6-7A4B-A596-6BE8A481E71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=(1.59*4+1.59*2)/6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O29" authorId="0" shapeId="0" xr:uid="{046CADF7-FC9C-B943-8CDC-3625665A9A2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=(2.49*4+2.44*2)/6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P29" authorId="0" shapeId="0" xr:uid="{B4879529-58DB-9A4A-8330-D0F87A85F9D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=(2.15*4+2.11*2)/6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Q29" authorId="0" shapeId="0" xr:uid="{CD841159-9108-B744-9E45-98F909BC5FA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=(1.82*4+1.8*2)/6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R29" authorId="0" shapeId="0" xr:uid="{D0D2801C-FFFF-9A40-A02B-9BA7BFB8695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=(1.64*4+1.63*2)/6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S29" authorId="0" shapeId="0" xr:uid="{854222BA-D3C7-7A48-B552-7C70CA4DF2C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=(1.59*4+1.59*2)/6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O12" authorId="0" shapeId="0" xr:uid="{A3309498-ACB0-9C43-9B44-7920E17E938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P12" authorId="0" shapeId="0" xr:uid="{2253E975-A4B9-0942-B017-6B1222924FC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Q12" authorId="0" shapeId="0" xr:uid="{93A53C3B-2B43-6F46-B151-43CFFCF2175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R12" authorId="0" shapeId="0" xr:uid="{4B311D31-0705-544A-A80E-8360BB9EB2D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S12" authorId="0" shapeId="0" xr:uid="{7804D70D-CA94-8149-B04E-C42CF36E298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O29" authorId="0" shapeId="0" xr:uid="{3B2B180F-3483-4744-8231-973679636D5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P29" authorId="0" shapeId="0" xr:uid="{A3689868-F5C2-6E40-99DC-14F4DA6F07F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Q29" authorId="0" shapeId="0" xr:uid="{1B74E258-1F0D-E641-9E95-3C5C04FC603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R29" authorId="0" shapeId="0" xr:uid="{9D47B018-5EB3-8346-872E-BC27CDC65FA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S29" authorId="0" shapeId="0" xr:uid="{BB4D1F1B-06FC-A348-8F6B-BDF1BB2D294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I91" authorId="1" shapeId="0" xr:uid="{254575E4-0DA3-904F-9A38-A8DE6A040F0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Seasonal</t>
        </r>
      </text>
    </comment>
    <comment ref="I108" authorId="1" shapeId="0" xr:uid="{34F6BD0A-D71E-BD45-A80C-55F78C5A703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Seasonal</t>
        </r>
      </text>
    </comment>
    <comment ref="I125" authorId="1" shapeId="0" xr:uid="{F3CD9E1E-4F77-3444-BC6D-E7E0360F96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Seasonal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O12" authorId="0" shapeId="0" xr:uid="{6B2BBB13-3D22-704B-A48E-990664D255F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P12" authorId="0" shapeId="0" xr:uid="{4CD849BC-4AAC-624F-B21A-928EAE2D12C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Q12" authorId="0" shapeId="0" xr:uid="{02FE7A78-73B5-934F-8D81-10226067E1B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R12" authorId="0" shapeId="0" xr:uid="{7EA58C26-FCFC-2048-B81A-1067281B684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S12" authorId="0" shapeId="0" xr:uid="{8D7E0D7F-8361-5F4B-822E-27F95D1B13C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H17" authorId="0" shapeId="0" xr:uid="{A3F0DF3B-EEFA-1342-BC1B-EE72AABA147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Average of peak and off-peak supply</t>
        </r>
      </text>
    </comment>
    <comment ref="O30" authorId="0" shapeId="0" xr:uid="{B24F447E-0FE6-6447-BBD1-DA5F0B7E975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P30" authorId="0" shapeId="0" xr:uid="{E63D0CA4-F301-6449-933D-E71445D4CAD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Q30" authorId="0" shapeId="0" xr:uid="{EE5657C9-F112-C241-AF37-295C46B78CB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R30" authorId="0" shapeId="0" xr:uid="{830D282D-BE99-B84F-BC73-3E5E7369B3A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S30" authorId="0" shapeId="0" xr:uid="{277761CC-20B4-EB49-BBC6-BA215BC8FE2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</text>
    </comment>
    <comment ref="H35" authorId="0" shapeId="0" xr:uid="{5614BF64-89F7-3D4C-85DE-340018965B7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Average of peak and off-peak supply</t>
        </r>
      </text>
    </comment>
    <comment ref="I96" authorId="1" shapeId="0" xr:uid="{FD0EF3E2-62E9-5D42-924B-211E7547EA4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Seasonal</t>
        </r>
      </text>
    </comment>
    <comment ref="I114" authorId="1" shapeId="0" xr:uid="{52AD2313-5C7B-9F42-94BB-0D33BFA260B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Seasonal</t>
        </r>
      </text>
    </comment>
    <comment ref="I132" authorId="1" shapeId="0" xr:uid="{A748549C-C229-B141-B288-3A6CFF4F6B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Seasonal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12" authorId="0" shapeId="0" xr:uid="{25C14C48-C874-6848-A3A3-668B04414E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Price based on 4 winter months and 2 shoulder months</t>
        </r>
      </text>
    </comment>
    <comment ref="P12" authorId="0" shapeId="0" xr:uid="{6B437414-E42B-2846-9DE5-4672B4C3B2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Q12" authorId="0" shapeId="0" xr:uid="{A3487C1D-AFAB-0344-9F43-8A0ABAADE47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R12" authorId="0" shapeId="0" xr:uid="{A02F6176-5CFE-7B4E-9603-A749F7160C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S12" authorId="0" shapeId="0" xr:uid="{52428FC5-2C84-0841-9309-038EA724A3F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O28" authorId="0" shapeId="0" xr:uid="{E731AA64-A401-3E4A-B887-B9DFD010CC2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Price based on 4 winter months and 2 shoulder months</t>
        </r>
      </text>
    </comment>
    <comment ref="P28" authorId="0" shapeId="0" xr:uid="{008986A8-ED50-6A4E-AFBA-B56C732D323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Q28" authorId="0" shapeId="0" xr:uid="{83F3D1A7-E0C4-8E4A-AEE6-0C7319BAD3A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Price based on 4 winter months and 2 shoulder months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R28" authorId="0" shapeId="0" xr:uid="{A45CACB7-4C76-B647-812C-CD7BD7111A0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S28" authorId="0" shapeId="0" xr:uid="{E4D29B0F-3C99-064E-B9F3-D3B2463E40D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X7" authorId="0" shapeId="0" xr:uid="{C746D623-DC5D-0246-B388-7D5CA57FF44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Y18" authorId="1" shapeId="0" xr:uid="{D045AE6A-3F72-034B-9AB0-4017E1A783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8" authorId="1" shapeId="0" xr:uid="{5645538E-1484-5F4D-AF88-263A906AB60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32" authorId="1" shapeId="0" xr:uid="{DEDA2C29-2C4F-D64A-9B9E-C5F92FF4558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32" authorId="1" shapeId="0" xr:uid="{5BF66D2B-E18D-3C4A-B514-3ABF5229796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46" authorId="1" shapeId="0" xr:uid="{2DC2F805-7F73-7244-A1AD-95FD76A28D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46" authorId="1" shapeId="0" xr:uid="{06B6ADD8-30F3-094F-95B1-00E7C7F1456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60" authorId="1" shapeId="0" xr:uid="{BED0A222-11FE-4A42-BE9C-364B365330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60" authorId="1" shapeId="0" xr:uid="{9D1B42FA-0D95-9A49-A04E-34039FE0746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74" authorId="1" shapeId="0" xr:uid="{B7D43C97-5375-F046-8D50-1DEA0DB625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74" authorId="1" shapeId="0" xr:uid="{33F3A2EA-3498-F844-96C9-487D4DB690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87" authorId="1" shapeId="0" xr:uid="{C73F7690-56E3-4646-9735-2207BC94499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87" authorId="1" shapeId="0" xr:uid="{B9E0059E-1F7F-B64C-B814-95573CB50A6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00" authorId="1" shapeId="0" xr:uid="{11BCD77F-37FB-0542-993C-0B36166A167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00" authorId="1" shapeId="0" xr:uid="{BAA1D58F-21FC-6745-AC42-BBE1D62AACD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14" authorId="1" shapeId="0" xr:uid="{7D3AECC9-FEF4-AF47-A42D-5F0B583B263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14" authorId="1" shapeId="0" xr:uid="{6FACAD42-1330-C246-8785-98C9DA37517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G12" authorId="0" shapeId="0" xr:uid="{00000000-0006-0000-1600-00000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Shoulder rate proprtionally allocated to peak months (6)</t>
        </r>
      </text>
    </comment>
    <comment ref="G23" authorId="0" shapeId="0" xr:uid="{00000000-0006-0000-1600-00000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Shoulder rate proprtionally allocated to peak months (6)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17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F6" authorId="0" shapeId="0" xr:uid="{00000000-0006-0000-17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</t>
        </r>
      </text>
    </comment>
    <comment ref="G6" authorId="0" shapeId="0" xr:uid="{00000000-0006-0000-17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H6" authorId="1" shapeId="0" xr:uid="{00000000-0006-0000-1700-00000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</t>
        </r>
      </text>
    </comment>
    <comment ref="I6" authorId="1" shapeId="0" xr:uid="{00000000-0006-0000-1700-00000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J6" authorId="0" shapeId="0" xr:uid="{00000000-0006-0000-17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6" authorId="0" shapeId="0" xr:uid="{00000000-0006-0000-17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6" authorId="1" shapeId="0" xr:uid="{00000000-0006-0000-17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6" authorId="1" shapeId="0" xr:uid="{00000000-0006-0000-1700-00000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N6" authorId="1" shapeId="0" xr:uid="{00000000-0006-0000-1700-00000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Amber</t>
        </r>
      </text>
    </comment>
    <comment ref="O6" authorId="1" shapeId="0" xr:uid="{00000000-0006-0000-1700-00000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</t>
        </r>
      </text>
    </comment>
    <comment ref="A7" authorId="2" shapeId="0" xr:uid="{00000000-0006-0000-1700-00000C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F11" authorId="1" shapeId="0" xr:uid="{00000000-0006-0000-1700-00000D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98.6301 Mj/day</t>
        </r>
      </text>
    </comment>
    <comment ref="G11" authorId="3" shapeId="0" xr:uid="{00000000-0006-0000-17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50 MJ/day, next 50Mj, next 50 and next 100Mj/day. Billing is based on average daily consumption.</t>
        </r>
      </text>
    </comment>
    <comment ref="H11" authorId="1" shapeId="0" xr:uid="{00000000-0006-0000-1700-00000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K11" authorId="0" shapeId="0" xr:uid="{00000000-0006-0000-1700-00001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100Mj/day</t>
        </r>
      </text>
    </comment>
    <comment ref="L11" authorId="1" shapeId="0" xr:uid="{00000000-0006-0000-1700-00001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F12" authorId="3" shapeId="0" xr:uid="{00000000-0006-0000-17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next 49.3151 Mj/day
Only 2 blocks</t>
        </r>
      </text>
    </comment>
    <comment ref="H12" authorId="3" shapeId="0" xr:uid="{00000000-0006-0000-17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3000+ 3000</t>
        </r>
      </text>
    </comment>
    <comment ref="I12" authorId="3" shapeId="0" xr:uid="{00000000-0006-0000-17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K12" authorId="3" shapeId="0" xr:uid="{00000000-0006-0000-17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blocks. Note tariff stipulates next 50Mj/day</t>
        </r>
      </text>
    </comment>
    <comment ref="L12" authorId="3" shapeId="0" xr:uid="{00000000-0006-0000-17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3000+ 3000</t>
        </r>
      </text>
    </comment>
    <comment ref="M12" authorId="3" shapeId="0" xr:uid="{00000000-0006-0000-17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H13" authorId="3" shapeId="0" xr:uid="{00000000-0006-0000-17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6000+ 3000</t>
        </r>
      </text>
    </comment>
    <comment ref="A29" authorId="2" shapeId="0" xr:uid="{00000000-0006-0000-1700-00001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33" authorId="1" shapeId="0" xr:uid="{00000000-0006-0000-1700-00001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98.6301 Mj/day</t>
        </r>
      </text>
    </comment>
    <comment ref="G33" authorId="3" shapeId="0" xr:uid="{00000000-0006-0000-17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50 MJ/day, next 50Mj, next 50 and next 100Mj/day. Billing is based on average daily consumption.</t>
        </r>
      </text>
    </comment>
    <comment ref="H33" authorId="1" shapeId="0" xr:uid="{00000000-0006-0000-1700-00001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K33" authorId="0" shapeId="0" xr:uid="{00000000-0006-0000-17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stipilates 58Mj/day</t>
        </r>
      </text>
    </comment>
    <comment ref="L33" authorId="1" shapeId="0" xr:uid="{00000000-0006-0000-1700-00001E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F34" authorId="3" shapeId="0" xr:uid="{00000000-0006-0000-1700-00001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next 49.3151 Mj/day
Only 2 blocks</t>
        </r>
      </text>
    </comment>
    <comment ref="H34" authorId="3" shapeId="0" xr:uid="{00000000-0006-0000-1700-00002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3000+ 3000</t>
        </r>
      </text>
    </comment>
    <comment ref="I34" authorId="3" shapeId="0" xr:uid="{00000000-0006-0000-1700-00002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34" authorId="3" shapeId="0" xr:uid="{00000000-0006-0000-17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M34" authorId="3" shapeId="0" xr:uid="{00000000-0006-0000-17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35" authorId="3" shapeId="0" xr:uid="{00000000-0006-0000-17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6000+ 3000</t>
        </r>
      </text>
    </comment>
    <comment ref="E49" authorId="0" shapeId="0" xr:uid="{00000000-0006-0000-1700-00002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F49" authorId="0" shapeId="0" xr:uid="{00000000-0006-0000-1700-00002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</t>
        </r>
      </text>
    </comment>
    <comment ref="G49" authorId="0" shapeId="0" xr:uid="{00000000-0006-0000-1700-00002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H49" authorId="1" shapeId="0" xr:uid="{00000000-0006-0000-1700-00002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I49" authorId="1" shapeId="0" xr:uid="{00000000-0006-0000-1700-00002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J49" authorId="0" shapeId="0" xr:uid="{00000000-0006-0000-1700-00002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49" authorId="0" shapeId="0" xr:uid="{00000000-0006-0000-1700-00002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49" authorId="1" shapeId="0" xr:uid="{00000000-0006-0000-1700-00002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49" authorId="1" shapeId="0" xr:uid="{00000000-0006-0000-1700-00002D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N49" authorId="1" shapeId="0" xr:uid="{00000000-0006-0000-1700-00002E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Amber</t>
        </r>
      </text>
    </comment>
    <comment ref="O49" authorId="1" shapeId="0" xr:uid="{00000000-0006-0000-1700-00002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A50" authorId="3" shapeId="0" xr:uid="{00000000-0006-0000-1700-00003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1" authorId="3" shapeId="0" xr:uid="{00000000-0006-0000-1700-00003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2" authorId="3" shapeId="0" xr:uid="{00000000-0006-0000-1700-00003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O52" authorId="1" shapeId="0" xr:uid="{00000000-0006-0000-1700-00003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Fact sheet does not state amount</t>
        </r>
      </text>
    </comment>
    <comment ref="A53" authorId="3" shapeId="0" xr:uid="{00000000-0006-0000-1700-00003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4" authorId="3" shapeId="0" xr:uid="{00000000-0006-0000-1700-00003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4" authorId="1" shapeId="0" xr:uid="{00000000-0006-0000-1700-00003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fuel discount 2% off usage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F6" authorId="0" shapeId="0" xr:uid="{00000000-0006-0000-18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</t>
        </r>
      </text>
    </comment>
    <comment ref="I6" authorId="1" shapeId="0" xr:uid="{00000000-0006-0000-1800-00000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J6" authorId="0" shapeId="0" xr:uid="{00000000-0006-0000-18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6" authorId="0" shapeId="0" xr:uid="{00000000-0006-0000-18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6" authorId="1" shapeId="0" xr:uid="{00000000-0006-0000-1800-00000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6" authorId="1" shapeId="0" xr:uid="{00000000-0006-0000-1800-00000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N6" authorId="1" shapeId="0" xr:uid="{00000000-0006-0000-18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Amber</t>
        </r>
      </text>
    </comment>
    <comment ref="A7" authorId="2" shapeId="0" xr:uid="{00000000-0006-0000-1800-00000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1" shapeId="0" xr:uid="{00000000-0006-0000-1800-00000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65.7534Mj/day</t>
        </r>
      </text>
    </comment>
    <comment ref="K11" authorId="0" shapeId="0" xr:uid="{00000000-0006-0000-1800-00000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49.3Mj/day</t>
        </r>
      </text>
    </comment>
    <comment ref="E12" authorId="3" shapeId="0" xr:uid="{00000000-0006-0000-18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F12" authorId="1" shapeId="0" xr:uid="{00000000-0006-0000-1800-00000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next 131.5068 Mj/day</t>
        </r>
      </text>
    </comment>
    <comment ref="G12" authorId="3" shapeId="0" xr:uid="{00000000-0006-0000-18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H12" authorId="3" shapeId="0" xr:uid="{00000000-0006-0000-18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J12" authorId="3" shapeId="0" xr:uid="{00000000-0006-0000-18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K12" authorId="1" shapeId="0" xr:uid="{00000000-0006-0000-1800-00001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L12" authorId="3" shapeId="0" xr:uid="{00000000-0006-0000-18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N12" authorId="3" shapeId="0" xr:uid="{00000000-0006-0000-18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O12" authorId="3" shapeId="0" xr:uid="{00000000-0006-0000-18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A23" authorId="2" shapeId="0" xr:uid="{00000000-0006-0000-1800-000014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1" shapeId="0" xr:uid="{00000000-0006-0000-1800-00001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65.7534Mj/day</t>
        </r>
      </text>
    </comment>
    <comment ref="I27" authorId="3" shapeId="0" xr:uid="{00000000-0006-0000-18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0" shapeId="0" xr:uid="{00000000-0006-0000-1800-00001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49.3Mj/day</t>
        </r>
      </text>
    </comment>
    <comment ref="L27" authorId="1" shapeId="0" xr:uid="{00000000-0006-0000-1800-00001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27.40Mj/day </t>
        </r>
      </text>
    </comment>
    <comment ref="E28" authorId="3" shapeId="0" xr:uid="{00000000-0006-0000-18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F28" authorId="1" shapeId="0" xr:uid="{00000000-0006-0000-1800-00001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next 131.5068 Mj/day</t>
        </r>
      </text>
    </comment>
    <comment ref="G28" authorId="3" shapeId="0" xr:uid="{00000000-0006-0000-18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H28" authorId="3" shapeId="0" xr:uid="{00000000-0006-0000-18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J28" authorId="3" shapeId="0" xr:uid="{00000000-0006-0000-1800-00001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K28" authorId="1" shapeId="0" xr:uid="{00000000-0006-0000-1800-00001E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N28" authorId="3" shapeId="0" xr:uid="{00000000-0006-0000-1800-00001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O28" authorId="3" shapeId="0" xr:uid="{00000000-0006-0000-1800-00002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A39" authorId="2" shapeId="0" xr:uid="{00000000-0006-0000-1800-00002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1" shapeId="0" xr:uid="{00000000-0006-0000-1800-00002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65.7534Mj/day</t>
        </r>
      </text>
    </comment>
    <comment ref="K43" authorId="0" shapeId="0" xr:uid="{00000000-0006-0000-1800-00002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49.3Mj/day</t>
        </r>
      </text>
    </comment>
    <comment ref="E44" authorId="3" shapeId="0" xr:uid="{00000000-0006-0000-18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F44" authorId="1" shapeId="0" xr:uid="{00000000-0006-0000-1800-00002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next 131.5068 Mj/day</t>
        </r>
      </text>
    </comment>
    <comment ref="G44" authorId="3" shapeId="0" xr:uid="{00000000-0006-0000-18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H44" authorId="3" shapeId="0" xr:uid="{00000000-0006-0000-18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J44" authorId="3" shapeId="0" xr:uid="{00000000-0006-0000-18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K44" authorId="1" shapeId="0" xr:uid="{00000000-0006-0000-1800-00002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L44" authorId="3" shapeId="0" xr:uid="{00000000-0006-0000-1800-00002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N44" authorId="3" shapeId="0" xr:uid="{00000000-0006-0000-1800-00002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O44" authorId="3" shapeId="0" xr:uid="{00000000-0006-0000-1800-00002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E53" authorId="0" shapeId="0" xr:uid="{00000000-0006-0000-1800-00002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F53" authorId="0" shapeId="0" xr:uid="{00000000-0006-0000-1800-00002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</t>
        </r>
      </text>
    </comment>
    <comment ref="G53" authorId="0" shapeId="0" xr:uid="{00000000-0006-0000-1800-00002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H53" authorId="1" shapeId="0" xr:uid="{00000000-0006-0000-1800-00003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I53" authorId="1" shapeId="0" xr:uid="{00000000-0006-0000-1800-00003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J53" authorId="0" shapeId="0" xr:uid="{00000000-0006-0000-1800-00003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53" authorId="0" shapeId="0" xr:uid="{00000000-0006-0000-1800-00003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53" authorId="1" shapeId="0" xr:uid="{00000000-0006-0000-1800-00003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53" authorId="1" shapeId="0" xr:uid="{00000000-0006-0000-1800-00003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N53" authorId="1" shapeId="0" xr:uid="{00000000-0006-0000-1800-00003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Amber</t>
        </r>
      </text>
    </comment>
    <comment ref="O53" authorId="1" shapeId="0" xr:uid="{00000000-0006-0000-1800-00003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A54" authorId="3" shapeId="0" xr:uid="{00000000-0006-0000-1800-00003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1800-00003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1800-00003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O56" authorId="1" shapeId="0" xr:uid="{00000000-0006-0000-1800-00003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Fact sheet does not state amount</t>
        </r>
      </text>
    </comment>
    <comment ref="A57" authorId="3" shapeId="0" xr:uid="{00000000-0006-0000-1800-00003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1800-00003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1" shapeId="0" xr:uid="{00000000-0006-0000-1800-00003E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fuel discount 2% off usage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F6" authorId="0" shapeId="0" xr:uid="{00000000-0006-0000-19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</t>
        </r>
      </text>
    </comment>
    <comment ref="I6" authorId="1" shapeId="0" xr:uid="{00000000-0006-0000-1900-00000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J6" authorId="0" shapeId="0" xr:uid="{00000000-0006-0000-19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6" authorId="0" shapeId="0" xr:uid="{00000000-0006-0000-19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6" authorId="1" shapeId="0" xr:uid="{00000000-0006-0000-1900-00000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6" authorId="1" shapeId="0" xr:uid="{00000000-0006-0000-1900-00000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N6" authorId="1" shapeId="0" xr:uid="{00000000-0006-0000-19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Amber</t>
        </r>
      </text>
    </comment>
    <comment ref="A7" authorId="2" shapeId="0" xr:uid="{00000000-0006-0000-1900-00000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3" shapeId="0" xr:uid="{00000000-0006-0000-19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
Just one block</t>
        </r>
      </text>
    </comment>
    <comment ref="G11" authorId="1" shapeId="0" xr:uid="{00000000-0006-0000-1900-00000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11" authorId="1" shapeId="0" xr:uid="{00000000-0006-0000-1900-00000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11" authorId="3" shapeId="0" xr:uid="{00000000-0006-0000-19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11" authorId="3" shapeId="0" xr:uid="{00000000-0006-0000-19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L11" authorId="1" shapeId="0" xr:uid="{00000000-0006-0000-1900-00000E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M11" authorId="3" shapeId="0" xr:uid="{00000000-0006-0000-19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12" authorId="3" shapeId="0" xr:uid="{00000000-0006-0000-19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12" authorId="3" shapeId="0" xr:uid="{00000000-0006-0000-19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H12" authorId="3" shapeId="0" xr:uid="{00000000-0006-0000-19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has a 3rd block rate for consumption over 12000MJ and up to 84,000 MJ every 60 days. Due to the high threshold this rate has been entered as the balance rate.</t>
        </r>
      </text>
    </comment>
    <comment ref="J12" authorId="3" shapeId="0" xr:uid="{00000000-0006-0000-19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84,000 MJ every 60 days. Due to the high threshold this rate has been entered as the balance rate.</t>
        </r>
      </text>
    </comment>
    <comment ref="A23" authorId="2" shapeId="0" xr:uid="{00000000-0006-0000-1900-000014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3" shapeId="0" xr:uid="{00000000-0006-0000-19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
Just one block</t>
        </r>
      </text>
    </comment>
    <comment ref="G27" authorId="1" shapeId="0" xr:uid="{00000000-0006-0000-1900-00001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27" authorId="1" shapeId="0" xr:uid="{00000000-0006-0000-1900-00001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27" authorId="3" shapeId="0" xr:uid="{00000000-0006-0000-19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3" shapeId="0" xr:uid="{00000000-0006-0000-19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58Mj/day</t>
        </r>
      </text>
    </comment>
    <comment ref="L27" authorId="1" shapeId="0" xr:uid="{00000000-0006-0000-1900-00001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E28" authorId="3" shapeId="0" xr:uid="{00000000-0006-0000-19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84,000 MJ every 60 days. Due to the high threshold this rate has been entered as the balance rate.</t>
        </r>
      </text>
    </comment>
    <comment ref="G28" authorId="3" shapeId="0" xr:uid="{00000000-0006-0000-19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H28" authorId="3" shapeId="0" xr:uid="{00000000-0006-0000-1900-00001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has a 3rd block rate for consumption over 12000MJ and up to 84,000 MJ every 60 days. Due to the high threshold this rate has been entered as the balance rate.</t>
        </r>
      </text>
    </comment>
    <comment ref="J28" authorId="3" shapeId="0" xr:uid="{00000000-0006-0000-1900-00001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84,000 MJ every 60 days. Due to the high threshold this rate has been entered as the balance rate.</t>
        </r>
      </text>
    </comment>
    <comment ref="A39" authorId="2" shapeId="0" xr:uid="{00000000-0006-0000-1900-00001F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3" shapeId="0" xr:uid="{00000000-0006-0000-1900-00002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
Just one block</t>
        </r>
      </text>
    </comment>
    <comment ref="G43" authorId="1" shapeId="0" xr:uid="{00000000-0006-0000-1900-00002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43" authorId="1" shapeId="0" xr:uid="{00000000-0006-0000-1900-00002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43" authorId="3" shapeId="0" xr:uid="{00000000-0006-0000-19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43" authorId="3" shapeId="0" xr:uid="{00000000-0006-0000-19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L43" authorId="1" shapeId="0" xr:uid="{00000000-0006-0000-1900-00002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E44" authorId="3" shapeId="0" xr:uid="{00000000-0006-0000-19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3" shapeId="0" xr:uid="{00000000-0006-0000-19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H44" authorId="3" shapeId="0" xr:uid="{00000000-0006-0000-19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has a 3rd block rate for consumption over 12000MJ and up to 84,000 MJ every 60 days. Due to the high threshold this rate has been entered as the balance rate.</t>
        </r>
      </text>
    </comment>
    <comment ref="J44" authorId="3" shapeId="0" xr:uid="{00000000-0006-0000-1900-00002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E53" authorId="0" shapeId="0" xr:uid="{00000000-0006-0000-1900-00002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F53" authorId="0" shapeId="0" xr:uid="{00000000-0006-0000-1900-00002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</t>
        </r>
      </text>
    </comment>
    <comment ref="G53" authorId="0" shapeId="0" xr:uid="{00000000-0006-0000-1900-00002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H53" authorId="1" shapeId="0" xr:uid="{00000000-0006-0000-1900-00002D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I53" authorId="1" shapeId="0" xr:uid="{00000000-0006-0000-1900-00002E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J53" authorId="0" shapeId="0" xr:uid="{00000000-0006-0000-1900-00002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53" authorId="0" shapeId="0" xr:uid="{00000000-0006-0000-1900-00003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53" authorId="1" shapeId="0" xr:uid="{00000000-0006-0000-1900-00003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53" authorId="1" shapeId="0" xr:uid="{00000000-0006-0000-1900-00003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N53" authorId="1" shapeId="0" xr:uid="{00000000-0006-0000-1900-00003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Amber</t>
        </r>
      </text>
    </comment>
    <comment ref="O53" authorId="1" shapeId="0" xr:uid="{00000000-0006-0000-1900-00003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A54" authorId="3" shapeId="0" xr:uid="{00000000-0006-0000-1900-00003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1900-00003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1900-00003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O56" authorId="1" shapeId="0" xr:uid="{00000000-0006-0000-1900-00003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Fact sheet does not state amount</t>
        </r>
      </text>
    </comment>
    <comment ref="A57" authorId="3" shapeId="0" xr:uid="{00000000-0006-0000-1900-00003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1900-00003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1" shapeId="0" xr:uid="{00000000-0006-0000-1900-00003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fuel discount 2% off usage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1A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F6" authorId="0" shapeId="0" xr:uid="{00000000-0006-0000-1A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6" authorId="0" shapeId="0" xr:uid="{00000000-0006-0000-1A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H6" authorId="1" shapeId="0" xr:uid="{00000000-0006-0000-1A00-00000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</t>
        </r>
      </text>
    </comment>
    <comment ref="J6" authorId="0" shapeId="0" xr:uid="{00000000-0006-0000-1A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6" authorId="0" shapeId="0" xr:uid="{00000000-0006-0000-1A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6" authorId="1" shapeId="0" xr:uid="{00000000-0006-0000-1A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6" authorId="1" shapeId="0" xr:uid="{00000000-0006-0000-1A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N6" authorId="1" shapeId="0" xr:uid="{00000000-0006-0000-1A00-00000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Indigo</t>
        </r>
      </text>
    </comment>
    <comment ref="O6" authorId="1" shapeId="0" xr:uid="{00000000-0006-0000-1A00-00000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</t>
        </r>
      </text>
    </comment>
    <comment ref="A7" authorId="2" shapeId="0" xr:uid="{00000000-0006-0000-1A00-00000B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F11" authorId="1" shapeId="0" xr:uid="{00000000-0006-0000-1A00-00000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98.6301 Mj/day</t>
        </r>
      </text>
    </comment>
    <comment ref="G11" authorId="3" shapeId="0" xr:uid="{00000000-0006-0000-1A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50 MJ/day, next 50Mj, next 50 and next 100Mj/day. Billing is based on average daily consumption.</t>
        </r>
      </text>
    </comment>
    <comment ref="H11" authorId="1" shapeId="0" xr:uid="{00000000-0006-0000-1A00-00000E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K11" authorId="0" shapeId="0" xr:uid="{00000000-0006-0000-1A00-00000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100Mj/day</t>
        </r>
      </text>
    </comment>
    <comment ref="L11" authorId="1" shapeId="0" xr:uid="{00000000-0006-0000-1A00-00001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F12" authorId="3" shapeId="0" xr:uid="{00000000-0006-0000-1A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next 49.3151 Mj/day
Only 2 blocks</t>
        </r>
      </text>
    </comment>
    <comment ref="H12" authorId="3" shapeId="0" xr:uid="{00000000-0006-0000-1A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3000+ 3000</t>
        </r>
      </text>
    </comment>
    <comment ref="I12" authorId="3" shapeId="0" xr:uid="{00000000-0006-0000-1A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J12" authorId="3" shapeId="0" xr:uid="{00000000-0006-0000-1A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K12" authorId="3" shapeId="0" xr:uid="{00000000-0006-0000-1A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blocks. Note tariff stipulates next 50Mj/day</t>
        </r>
      </text>
    </comment>
    <comment ref="L12" authorId="3" shapeId="0" xr:uid="{00000000-0006-0000-1A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3000+ 3000</t>
        </r>
      </text>
    </comment>
    <comment ref="M12" authorId="3" shapeId="0" xr:uid="{00000000-0006-0000-1A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H13" authorId="3" shapeId="0" xr:uid="{00000000-0006-0000-1A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6000+ 3000</t>
        </r>
      </text>
    </comment>
    <comment ref="J28" authorId="0" shapeId="0" xr:uid="{00000000-0006-0000-1A00-00001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28" authorId="0" shapeId="0" xr:uid="{00000000-0006-0000-1A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28" authorId="1" shapeId="0" xr:uid="{00000000-0006-0000-1A00-00001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28" authorId="1" shapeId="0" xr:uid="{00000000-0006-0000-1A00-00001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29" authorId="2" shapeId="0" xr:uid="{00000000-0006-0000-1A00-00001D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33" authorId="1" shapeId="0" xr:uid="{00000000-0006-0000-1A00-00001E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57.5342 Mj/day</t>
        </r>
      </text>
    </comment>
    <comment ref="H33" authorId="1" shapeId="0" xr:uid="{00000000-0006-0000-1A00-00001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K33" authorId="0" shapeId="0" xr:uid="{00000000-0006-0000-1A00-00002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stipilates 58Mj/day</t>
        </r>
      </text>
    </comment>
    <comment ref="L33" authorId="1" shapeId="0" xr:uid="{00000000-0006-0000-1A00-00002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F34" authorId="3" shapeId="0" xr:uid="{00000000-0006-0000-1A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34" authorId="3" shapeId="0" xr:uid="{00000000-0006-0000-1A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3000+ 3000</t>
        </r>
      </text>
    </comment>
    <comment ref="I34" authorId="3" shapeId="0" xr:uid="{00000000-0006-0000-1A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34" authorId="3" shapeId="0" xr:uid="{00000000-0006-0000-1A00-00002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34" authorId="3" shapeId="0" xr:uid="{00000000-0006-0000-1A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M34" authorId="3" shapeId="0" xr:uid="{00000000-0006-0000-1A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35" authorId="3" shapeId="0" xr:uid="{00000000-0006-0000-1A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6000+ 3000</t>
        </r>
      </text>
    </comment>
    <comment ref="E49" authorId="0" shapeId="0" xr:uid="{00000000-0006-0000-1A00-00002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F49" authorId="0" shapeId="0" xr:uid="{00000000-0006-0000-1A00-00002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49" authorId="0" shapeId="0" xr:uid="{00000000-0006-0000-1A00-00002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H49" authorId="1" shapeId="0" xr:uid="{00000000-0006-0000-1A00-00002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I49" authorId="1" shapeId="0" xr:uid="{00000000-0006-0000-1A00-00002D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J49" authorId="0" shapeId="0" xr:uid="{00000000-0006-0000-1A00-00002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49" authorId="0" shapeId="0" xr:uid="{00000000-0006-0000-1A00-00002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49" authorId="1" shapeId="0" xr:uid="{00000000-0006-0000-1A00-00003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49" authorId="1" shapeId="0" xr:uid="{00000000-0006-0000-1A00-00003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N49" authorId="1" shapeId="0" xr:uid="{00000000-0006-0000-1A00-00003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Indigo</t>
        </r>
      </text>
    </comment>
    <comment ref="O49" authorId="1" shapeId="0" xr:uid="{00000000-0006-0000-1A00-00003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A50" authorId="3" shapeId="0" xr:uid="{00000000-0006-0000-1A00-00003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1" authorId="3" shapeId="0" xr:uid="{00000000-0006-0000-1A00-00003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2" authorId="3" shapeId="0" xr:uid="{00000000-0006-0000-1A00-00003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K52" authorId="1" shapeId="0" xr:uid="{00000000-0006-0000-1A00-00003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O52" authorId="1" shapeId="0" xr:uid="{00000000-0006-0000-1A00-00003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Fact sheet does not state amount</t>
        </r>
      </text>
    </comment>
    <comment ref="A53" authorId="3" shapeId="0" xr:uid="{00000000-0006-0000-1A00-00003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4" authorId="3" shapeId="0" xr:uid="{00000000-0006-0000-1A00-00003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J6" authorId="0" shapeId="0" xr:uid="{00000000-0006-0000-1B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6" authorId="0" shapeId="0" xr:uid="{00000000-0006-0000-1B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6" authorId="1" shapeId="0" xr:uid="{00000000-0006-0000-1B00-00000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6" authorId="1" shapeId="0" xr:uid="{00000000-0006-0000-1B00-00000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1B00-000005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1" shapeId="0" xr:uid="{00000000-0006-0000-1B00-00000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65.7534Mj/day</t>
        </r>
      </text>
    </comment>
    <comment ref="H11" authorId="1" shapeId="0" xr:uid="{00000000-0006-0000-1B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28 Mj/day </t>
        </r>
      </text>
    </comment>
    <comment ref="L11" authorId="1" shapeId="0" xr:uid="{00000000-0006-0000-1B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27.40Mj/day and next 21.90Mj/day</t>
        </r>
      </text>
    </comment>
    <comment ref="E12" authorId="3" shapeId="0" xr:uid="{00000000-0006-0000-1B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F12" authorId="1" shapeId="0" xr:uid="{00000000-0006-0000-1B00-00000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next 131.5068 Mj/day</t>
        </r>
      </text>
    </comment>
    <comment ref="H12" authorId="3" shapeId="0" xr:uid="{00000000-0006-0000-1B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1680Mj + 1,320Mj</t>
        </r>
      </text>
    </comment>
    <comment ref="L12" authorId="3" shapeId="0" xr:uid="{00000000-0006-0000-1B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J22" authorId="0" shapeId="0" xr:uid="{00000000-0006-0000-1B00-00000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22" authorId="0" shapeId="0" xr:uid="{00000000-0006-0000-1B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22" authorId="1" shapeId="0" xr:uid="{00000000-0006-0000-1B00-00000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22" authorId="1" shapeId="0" xr:uid="{00000000-0006-0000-1B00-00001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23" authorId="2" shapeId="0" xr:uid="{00000000-0006-0000-1B00-00001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3" shapeId="0" xr:uid="{00000000-0006-0000-1B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
Just one block</t>
        </r>
      </text>
    </comment>
    <comment ref="G27" authorId="1" shapeId="0" xr:uid="{00000000-0006-0000-1B00-00001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27" authorId="1" shapeId="0" xr:uid="{00000000-0006-0000-1B00-00001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28 Mj/day </t>
        </r>
      </text>
    </comment>
    <comment ref="I27" authorId="3" shapeId="0" xr:uid="{00000000-0006-0000-1B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3" shapeId="0" xr:uid="{00000000-0006-0000-1B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0" shapeId="0" xr:uid="{00000000-0006-0000-1B00-00001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49.3Mj/day</t>
        </r>
      </text>
    </comment>
    <comment ref="L27" authorId="1" shapeId="0" xr:uid="{00000000-0006-0000-1B00-00001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27.40Mj/day </t>
        </r>
      </text>
    </comment>
    <comment ref="E28" authorId="3" shapeId="0" xr:uid="{00000000-0006-0000-1B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G28" authorId="3" shapeId="0" xr:uid="{00000000-0006-0000-1B00-00001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H28" authorId="3" shapeId="0" xr:uid="{00000000-0006-0000-1B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1680Mj + 1,320Mj</t>
        </r>
      </text>
    </comment>
    <comment ref="K28" authorId="1" shapeId="0" xr:uid="{00000000-0006-0000-1B00-00001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38" authorId="0" shapeId="0" xr:uid="{00000000-0006-0000-1B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38" authorId="0" shapeId="0" xr:uid="{00000000-0006-0000-1B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38" authorId="1" shapeId="0" xr:uid="{00000000-0006-0000-1B00-00001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38" authorId="1" shapeId="0" xr:uid="{00000000-0006-0000-1B00-00002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39" authorId="2" shapeId="0" xr:uid="{00000000-0006-0000-1B00-00002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1" shapeId="0" xr:uid="{00000000-0006-0000-1B00-00002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65.7534Mj/day</t>
        </r>
      </text>
    </comment>
    <comment ref="G43" authorId="1" shapeId="0" xr:uid="{00000000-0006-0000-1B00-00002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43" authorId="1" shapeId="0" xr:uid="{00000000-0006-0000-1B00-00002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28 Mj/day </t>
        </r>
      </text>
    </comment>
    <comment ref="K43" authorId="0" shapeId="0" xr:uid="{00000000-0006-0000-1B00-00002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49.3Mj/day</t>
        </r>
      </text>
    </comment>
    <comment ref="L43" authorId="1" shapeId="0" xr:uid="{00000000-0006-0000-1B00-00002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27.40Mj/day and next 21.90Mj/day</t>
        </r>
      </text>
    </comment>
    <comment ref="E44" authorId="3" shapeId="0" xr:uid="{00000000-0006-0000-1B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F44" authorId="1" shapeId="0" xr:uid="{00000000-0006-0000-1B00-00002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next 131.5068 Mj/day</t>
        </r>
      </text>
    </comment>
    <comment ref="G44" authorId="3" shapeId="0" xr:uid="{00000000-0006-0000-1B00-00002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H44" authorId="3" shapeId="0" xr:uid="{00000000-0006-0000-1B00-00002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1680Mj + 1,320Mj</t>
        </r>
      </text>
    </comment>
    <comment ref="L44" authorId="3" shapeId="0" xr:uid="{00000000-0006-0000-1B00-00002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E53" authorId="0" shapeId="0" xr:uid="{00000000-0006-0000-1B00-00002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F53" authorId="0" shapeId="0" xr:uid="{00000000-0006-0000-1B00-00002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53" authorId="0" shapeId="0" xr:uid="{00000000-0006-0000-1B00-00002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H53" authorId="1" shapeId="0" xr:uid="{00000000-0006-0000-1B00-00002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I53" authorId="1" shapeId="0" xr:uid="{00000000-0006-0000-1B00-00003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J53" authorId="0" shapeId="0" xr:uid="{00000000-0006-0000-1B00-00003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53" authorId="0" shapeId="0" xr:uid="{00000000-0006-0000-1B00-00003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53" authorId="1" shapeId="0" xr:uid="{00000000-0006-0000-1B00-00003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53" authorId="1" shapeId="0" xr:uid="{00000000-0006-0000-1B00-00003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N53" authorId="1" shapeId="0" xr:uid="{00000000-0006-0000-1B00-00003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Indigo</t>
        </r>
      </text>
    </comment>
    <comment ref="O53" authorId="1" shapeId="0" xr:uid="{00000000-0006-0000-1B00-00003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A54" authorId="3" shapeId="0" xr:uid="{00000000-0006-0000-1B00-00003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1B00-00003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1B00-00003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K56" authorId="1" shapeId="0" xr:uid="{00000000-0006-0000-1B00-00003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O56" authorId="1" shapeId="0" xr:uid="{00000000-0006-0000-1B00-00003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Fact sheet does not state amount</t>
        </r>
      </text>
    </comment>
    <comment ref="A57" authorId="3" shapeId="0" xr:uid="{00000000-0006-0000-1B00-00003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1B00-00003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J6" authorId="0" shapeId="0" xr:uid="{00000000-0006-0000-1C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6" authorId="0" shapeId="0" xr:uid="{00000000-0006-0000-1C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6" authorId="1" shapeId="0" xr:uid="{00000000-0006-0000-1C00-00000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6" authorId="1" shapeId="0" xr:uid="{00000000-0006-0000-1C00-00000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1C00-000005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3" shapeId="0" xr:uid="{00000000-0006-0000-1C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
Just one block</t>
        </r>
      </text>
    </comment>
    <comment ref="H11" authorId="1" shapeId="0" xr:uid="{00000000-0006-0000-1C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11" authorId="3" shapeId="0" xr:uid="{00000000-0006-0000-1C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L11" authorId="1" shapeId="0" xr:uid="{00000000-0006-0000-1C00-00000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M11" authorId="3" shapeId="0" xr:uid="{00000000-0006-0000-1C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12" authorId="3" shapeId="0" xr:uid="{00000000-0006-0000-1C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H12" authorId="3" shapeId="0" xr:uid="{00000000-0006-0000-1C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has a 3rd block rate for consumption over 12000MJ and up to 84,000 MJ every 60 days. Due to the high threshold this rate has been entered as the balance rate.</t>
        </r>
      </text>
    </comment>
    <comment ref="J22" authorId="0" shapeId="0" xr:uid="{00000000-0006-0000-1C00-00000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22" authorId="0" shapeId="0" xr:uid="{00000000-0006-0000-1C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22" authorId="1" shapeId="0" xr:uid="{00000000-0006-0000-1C00-00000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22" authorId="1" shapeId="0" xr:uid="{00000000-0006-0000-1C00-00001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23" authorId="2" shapeId="0" xr:uid="{00000000-0006-0000-1C00-00001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3" shapeId="0" xr:uid="{00000000-0006-0000-1C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
Just one block</t>
        </r>
      </text>
    </comment>
    <comment ref="G27" authorId="1" shapeId="0" xr:uid="{00000000-0006-0000-1C00-00001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27" authorId="1" shapeId="0" xr:uid="{00000000-0006-0000-1C00-00001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27" authorId="3" shapeId="0" xr:uid="{00000000-0006-0000-1C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3" shapeId="0" xr:uid="{00000000-0006-0000-1C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3" shapeId="0" xr:uid="{00000000-0006-0000-1C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58Mj/day</t>
        </r>
      </text>
    </comment>
    <comment ref="L27" authorId="1" shapeId="0" xr:uid="{00000000-0006-0000-1C00-00001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E28" authorId="3" shapeId="0" xr:uid="{00000000-0006-0000-1C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84,000 MJ every 60 days. Due to the high threshold this rate has been entered as the balance rate.</t>
        </r>
      </text>
    </comment>
    <comment ref="G28" authorId="3" shapeId="0" xr:uid="{00000000-0006-0000-1C00-00001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H28" authorId="3" shapeId="0" xr:uid="{00000000-0006-0000-1C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has a 3rd block rate for consumption over 12000MJ and up to 84,000 MJ every 60 days. Due to the high threshold this rate has been entered as the balance rate.</t>
        </r>
      </text>
    </comment>
    <comment ref="J38" authorId="0" shapeId="0" xr:uid="{00000000-0006-0000-1C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38" authorId="0" shapeId="0" xr:uid="{00000000-0006-0000-1C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38" authorId="1" shapeId="0" xr:uid="{00000000-0006-0000-1C00-00001E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38" authorId="1" shapeId="0" xr:uid="{00000000-0006-0000-1C00-00001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39" authorId="2" shapeId="0" xr:uid="{00000000-0006-0000-1C00-000020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3" shapeId="0" xr:uid="{00000000-0006-0000-1C00-00002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
Just one block</t>
        </r>
      </text>
    </comment>
    <comment ref="H43" authorId="1" shapeId="0" xr:uid="{00000000-0006-0000-1C00-00002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43" authorId="3" shapeId="0" xr:uid="{00000000-0006-0000-1C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43" authorId="3" shapeId="0" xr:uid="{00000000-0006-0000-1C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43" authorId="3" shapeId="0" xr:uid="{00000000-0006-0000-1C00-00002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L43" authorId="1" shapeId="0" xr:uid="{00000000-0006-0000-1C00-00002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E44" authorId="3" shapeId="0" xr:uid="{00000000-0006-0000-1C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3" shapeId="0" xr:uid="{00000000-0006-0000-1C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H44" authorId="3" shapeId="0" xr:uid="{00000000-0006-0000-1C00-00002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has a 3rd block rate for consumption over 12000MJ and up to 84,000 MJ every 60 days. Due to the high threshold this rate has been entered as the balance rate.</t>
        </r>
      </text>
    </comment>
    <comment ref="E53" authorId="0" shapeId="0" xr:uid="{00000000-0006-0000-1C00-00002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Savers</t>
        </r>
      </text>
    </comment>
    <comment ref="F53" authorId="0" shapeId="0" xr:uid="{00000000-0006-0000-1C00-00002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53" authorId="0" shapeId="0" xr:uid="{00000000-0006-0000-1C00-00002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Flexi Saver</t>
        </r>
      </text>
    </comment>
    <comment ref="H53" authorId="1" shapeId="0" xr:uid="{00000000-0006-0000-1C00-00002D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I53" authorId="1" shapeId="0" xr:uid="{00000000-0006-0000-1C00-00002E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Guaranteed
Note: Gas offer only available in conjunction with electricity offer</t>
        </r>
      </text>
    </comment>
    <comment ref="J53" authorId="0" shapeId="0" xr:uid="{00000000-0006-0000-1C00-00002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53" authorId="0" shapeId="0" xr:uid="{00000000-0006-0000-1C00-00003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53" authorId="1" shapeId="0" xr:uid="{00000000-0006-0000-1C00-00003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M53" authorId="1" shapeId="0" xr:uid="{00000000-0006-0000-1C00-00003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N53" authorId="1" shapeId="0" xr:uid="{00000000-0006-0000-1C00-00003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Indigo</t>
        </r>
      </text>
    </comment>
    <comment ref="O53" authorId="1" shapeId="0" xr:uid="{00000000-0006-0000-1C00-00003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Market offer
Note: Gas offer only available in conjunction with electricity offer</t>
        </r>
      </text>
    </comment>
    <comment ref="A54" authorId="3" shapeId="0" xr:uid="{00000000-0006-0000-1C00-00003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1C00-00003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1C00-00003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K56" authorId="1" shapeId="0" xr:uid="{00000000-0006-0000-1C00-00003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O56" authorId="1" shapeId="0" xr:uid="{00000000-0006-0000-1C00-00003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Fact sheet does not state amount</t>
        </r>
      </text>
    </comment>
    <comment ref="A57" authorId="3" shapeId="0" xr:uid="{00000000-0006-0000-1C00-00003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1C00-00003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1D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1D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6" authorId="0" shapeId="0" xr:uid="{00000000-0006-0000-1D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6" authorId="0" shapeId="0" xr:uid="{00000000-0006-0000-1D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6" authorId="0" shapeId="0" xr:uid="{00000000-0006-0000-1D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6" authorId="1" shapeId="0" xr:uid="{00000000-0006-0000-1D00-00000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K6" authorId="1" shapeId="0" xr:uid="{00000000-0006-0000-1D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1D00-00000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F11" authorId="1" shapeId="0" xr:uid="{00000000-0006-0000-1D00-00000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98.6301 Mj/day</t>
        </r>
      </text>
    </comment>
    <comment ref="G11" authorId="3" shapeId="0" xr:uid="{00000000-0006-0000-1D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50 MJ/day, next 50Mj, next 50 and next 100Mj/day. Billing is based on average daily consumption.</t>
        </r>
      </text>
    </comment>
    <comment ref="I11" authorId="0" shapeId="0" xr:uid="{00000000-0006-0000-1D00-00000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100Mj/day</t>
        </r>
      </text>
    </comment>
    <comment ref="J11" authorId="1" shapeId="0" xr:uid="{00000000-0006-0000-1D00-00000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F12" authorId="3" shapeId="0" xr:uid="{00000000-0006-0000-1D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next 49.3151 Mj/day
Only 2 blocks</t>
        </r>
      </text>
    </comment>
    <comment ref="H12" authorId="3" shapeId="0" xr:uid="{00000000-0006-0000-1D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I12" authorId="3" shapeId="0" xr:uid="{00000000-0006-0000-1D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blocks. Note tariff stipulates next 50Mj/day</t>
        </r>
      </text>
    </comment>
    <comment ref="J12" authorId="3" shapeId="0" xr:uid="{00000000-0006-0000-1D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3000+ 3000</t>
        </r>
      </text>
    </comment>
    <comment ref="K12" authorId="3" shapeId="0" xr:uid="{00000000-0006-0000-1D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A29" authorId="2" shapeId="0" xr:uid="{00000000-0006-0000-1D00-000012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33" authorId="1" shapeId="0" xr:uid="{00000000-0006-0000-1D00-00001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57.5342 Mj/day</t>
        </r>
      </text>
    </comment>
    <comment ref="I33" authorId="0" shapeId="0" xr:uid="{00000000-0006-0000-1D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stipilates 58Mj/day</t>
        </r>
      </text>
    </comment>
    <comment ref="J33" authorId="1" shapeId="0" xr:uid="{00000000-0006-0000-1D00-00001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F34" authorId="3" shapeId="0" xr:uid="{00000000-0006-0000-1D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34" authorId="3" shapeId="0" xr:uid="{00000000-0006-0000-1D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34" authorId="3" shapeId="0" xr:uid="{00000000-0006-0000-1D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34" authorId="3" shapeId="0" xr:uid="{00000000-0006-0000-1D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49" authorId="0" shapeId="0" xr:uid="{00000000-0006-0000-1D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49" authorId="0" shapeId="0" xr:uid="{00000000-0006-0000-1D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49" authorId="0" shapeId="0" xr:uid="{00000000-0006-0000-1D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49" authorId="0" shapeId="0" xr:uid="{00000000-0006-0000-1D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49" authorId="0" shapeId="0" xr:uid="{00000000-0006-0000-1D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49" authorId="1" shapeId="0" xr:uid="{00000000-0006-0000-1D00-00001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K49" authorId="1" shapeId="0" xr:uid="{00000000-0006-0000-1D00-00002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50" authorId="3" shapeId="0" xr:uid="{00000000-0006-0000-1D00-00002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1" authorId="3" shapeId="0" xr:uid="{00000000-0006-0000-1D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2" authorId="3" shapeId="0" xr:uid="{00000000-0006-0000-1D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I52" authorId="1" shapeId="0" xr:uid="{00000000-0006-0000-1D00-00002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A53" authorId="3" shapeId="0" xr:uid="{00000000-0006-0000-1D00-00002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4" authorId="3" shapeId="0" xr:uid="{00000000-0006-0000-1D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4" authorId="1" shapeId="0" xr:uid="{00000000-0006-0000-1D00-00002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 $ 60 AGL shop voucher</t>
        </r>
      </text>
    </comment>
    <comment ref="F54" authorId="0" shapeId="0" xr:uid="{00000000-0006-0000-1D00-00002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1E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1E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6" authorId="0" shapeId="0" xr:uid="{00000000-0006-0000-1E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1E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6" authorId="0" shapeId="0" xr:uid="{00000000-0006-0000-1E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6" authorId="1" shapeId="0" xr:uid="{00000000-0006-0000-1E00-00000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K6" authorId="1" shapeId="0" xr:uid="{00000000-0006-0000-1E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1E00-00000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1" shapeId="0" xr:uid="{00000000-0006-0000-1E00-00000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65.7534Mj/day</t>
        </r>
      </text>
    </comment>
    <comment ref="J11" authorId="1" shapeId="0" xr:uid="{00000000-0006-0000-1E00-00000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27.40Mj/day and next 21.90Mj/day</t>
        </r>
      </text>
    </comment>
    <comment ref="E12" authorId="3" shapeId="0" xr:uid="{00000000-0006-0000-1E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F12" authorId="1" shapeId="0" xr:uid="{00000000-0006-0000-1E00-00000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next 131.5068 Mj/day</t>
        </r>
      </text>
    </comment>
    <comment ref="J12" authorId="3" shapeId="0" xr:uid="{00000000-0006-0000-1E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A23" authorId="2" shapeId="0" xr:uid="{00000000-0006-0000-1E00-00000E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3" shapeId="0" xr:uid="{00000000-0006-0000-1E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
Just one block</t>
        </r>
      </text>
    </comment>
    <comment ref="G27" authorId="1" shapeId="0" xr:uid="{00000000-0006-0000-1E00-00001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27" authorId="3" shapeId="0" xr:uid="{00000000-0006-0000-1E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0" shapeId="0" xr:uid="{00000000-0006-0000-1E00-00001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49.3Mj/day</t>
        </r>
      </text>
    </comment>
    <comment ref="J27" authorId="1" shapeId="0" xr:uid="{00000000-0006-0000-1E00-00001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27.40Mj/day </t>
        </r>
      </text>
    </comment>
    <comment ref="E28" authorId="3" shapeId="0" xr:uid="{00000000-0006-0000-1E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G28" authorId="3" shapeId="0" xr:uid="{00000000-0006-0000-1E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I28" authorId="1" shapeId="0" xr:uid="{00000000-0006-0000-1E00-00001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A39" authorId="2" shapeId="0" xr:uid="{00000000-0006-0000-1E00-000017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1" shapeId="0" xr:uid="{00000000-0006-0000-1E00-00001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first 65.7534Mj/day</t>
        </r>
      </text>
    </comment>
    <comment ref="G43" authorId="1" shapeId="0" xr:uid="{00000000-0006-0000-1E00-00001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43" authorId="0" shapeId="0" xr:uid="{00000000-0006-0000-1E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49.3Mj/day</t>
        </r>
      </text>
    </comment>
    <comment ref="J43" authorId="1" shapeId="0" xr:uid="{00000000-0006-0000-1E00-00001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27.40Mj/day and next 21.90Mj/day</t>
        </r>
      </text>
    </comment>
    <comment ref="E44" authorId="3" shapeId="0" xr:uid="{00000000-0006-0000-1E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F44" authorId="1" shapeId="0" xr:uid="{00000000-0006-0000-1E00-00001D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states next 131.5068 Mj/day</t>
        </r>
      </text>
    </comment>
    <comment ref="G44" authorId="3" shapeId="0" xr:uid="{00000000-0006-0000-1E00-00001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J44" authorId="3" shapeId="0" xr:uid="{00000000-0006-0000-1E00-00001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E53" authorId="0" shapeId="0" xr:uid="{00000000-0006-0000-1E00-00002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53" authorId="0" shapeId="0" xr:uid="{00000000-0006-0000-1E00-00002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53" authorId="0" shapeId="0" xr:uid="{00000000-0006-0000-1E00-00002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53" authorId="0" shapeId="0" xr:uid="{00000000-0006-0000-1E00-00002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53" authorId="0" shapeId="0" xr:uid="{00000000-0006-0000-1E00-00002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53" authorId="1" shapeId="0" xr:uid="{00000000-0006-0000-1E00-00002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K53" authorId="1" shapeId="0" xr:uid="{00000000-0006-0000-1E00-00002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54" authorId="3" shapeId="0" xr:uid="{00000000-0006-0000-1E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1E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1E00-00002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I56" authorId="1" shapeId="0" xr:uid="{00000000-0006-0000-1E00-00002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A57" authorId="3" shapeId="0" xr:uid="{00000000-0006-0000-1E00-00002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1E00-00002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1" shapeId="0" xr:uid="{00000000-0006-0000-1E00-00002D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 $ 60 AGL shop voucher</t>
        </r>
      </text>
    </comment>
    <comment ref="F58" authorId="0" shapeId="0" xr:uid="{00000000-0006-0000-1E00-00002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1F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1F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6" authorId="0" shapeId="0" xr:uid="{00000000-0006-0000-1F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1F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6" authorId="0" shapeId="0" xr:uid="{00000000-0006-0000-1F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6" authorId="1" shapeId="0" xr:uid="{00000000-0006-0000-1F00-00000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K6" authorId="1" shapeId="0" xr:uid="{00000000-0006-0000-1F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1F00-00000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3" shapeId="0" xr:uid="{00000000-0006-0000-1F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
Just one block</t>
        </r>
      </text>
    </comment>
    <comment ref="J11" authorId="1" shapeId="0" xr:uid="{00000000-0006-0000-1F00-00000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K11" authorId="3" shapeId="0" xr:uid="{00000000-0006-0000-1F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12" authorId="3" shapeId="0" xr:uid="{00000000-0006-0000-1F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A23" authorId="2" shapeId="0" xr:uid="{00000000-0006-0000-1F00-00000D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3" shapeId="0" xr:uid="{00000000-0006-0000-1F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
Just one block</t>
        </r>
      </text>
    </comment>
    <comment ref="G27" authorId="1" shapeId="0" xr:uid="{00000000-0006-0000-1F00-00000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27" authorId="3" shapeId="0" xr:uid="{00000000-0006-0000-1F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3" shapeId="0" xr:uid="{00000000-0006-0000-1F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58Mj/day</t>
        </r>
      </text>
    </comment>
    <comment ref="J27" authorId="1" shapeId="0" xr:uid="{00000000-0006-0000-1F00-00001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E28" authorId="3" shapeId="0" xr:uid="{00000000-0006-0000-1F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84,000 MJ every 60 days. Due to the high threshold this rate has been entered as the balance rate.</t>
        </r>
      </text>
    </comment>
    <comment ref="G28" authorId="3" shapeId="0" xr:uid="{00000000-0006-0000-1F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A39" authorId="2" shapeId="0" xr:uid="{00000000-0006-0000-1F00-000015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3" shapeId="0" xr:uid="{00000000-0006-0000-1F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
Just one block</t>
        </r>
      </text>
    </comment>
    <comment ref="H43" authorId="3" shapeId="0" xr:uid="{00000000-0006-0000-1F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43" authorId="3" shapeId="0" xr:uid="{00000000-0006-0000-1F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J43" authorId="1" shapeId="0" xr:uid="{00000000-0006-0000-1F00-00001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E44" authorId="3" shapeId="0" xr:uid="{00000000-0006-0000-1F00-00001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3" shapeId="0" xr:uid="{00000000-0006-0000-1F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E53" authorId="0" shapeId="0" xr:uid="{00000000-0006-0000-1F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53" authorId="0" shapeId="0" xr:uid="{00000000-0006-0000-1F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53" authorId="0" shapeId="0" xr:uid="{00000000-0006-0000-1F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53" authorId="0" shapeId="0" xr:uid="{00000000-0006-0000-1F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I53" authorId="0" shapeId="0" xr:uid="{00000000-0006-0000-1F00-00002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53" authorId="1" shapeId="0" xr:uid="{00000000-0006-0000-1F00-00002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K53" authorId="1" shapeId="0" xr:uid="{00000000-0006-0000-1F00-00002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54" authorId="3" shapeId="0" xr:uid="{00000000-0006-0000-1F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1F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1F00-00002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I56" authorId="1" shapeId="0" xr:uid="{00000000-0006-0000-1F00-00002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A57" authorId="3" shapeId="0" xr:uid="{00000000-0006-0000-1F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1F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1" shapeId="0" xr:uid="{00000000-0006-0000-1F00-00002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 $ 60 AGL shop voucher</t>
        </r>
      </text>
    </comment>
    <comment ref="F58" authorId="0" shapeId="0" xr:uid="{00000000-0006-0000-1F00-00002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X7" authorId="0" shapeId="0" xr:uid="{5F36BA92-F687-9D41-98CE-952F36CBF95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Y20" authorId="1" shapeId="0" xr:uid="{8ED18077-0A0C-4844-96B3-12DB6B8921E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20" authorId="1" shapeId="0" xr:uid="{3E8AEDEC-0C7E-5742-A255-856F0D7FAF4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36" authorId="1" shapeId="0" xr:uid="{16EFD900-06C6-A648-86E7-67576F44077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36" authorId="1" shapeId="0" xr:uid="{32A06621-1D60-194C-B136-E88F1B6FE77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52" authorId="1" shapeId="0" xr:uid="{E8E633D2-30B1-BF44-BA8D-604350CA379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52" authorId="1" shapeId="0" xr:uid="{CD9483E9-157E-C447-B268-6A0504AD69C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68" authorId="1" shapeId="0" xr:uid="{432EF663-8597-DE4A-A5F7-660BB6A130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68" authorId="1" shapeId="0" xr:uid="{7024AB5D-53BB-4640-8928-9A9E4D55C1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84" authorId="1" shapeId="0" xr:uid="{75A94259-555D-BF4D-A0CC-410AECEBF9E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84" authorId="1" shapeId="0" xr:uid="{039F1557-6898-4540-BD86-CC142880624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99" authorId="1" shapeId="0" xr:uid="{B0C27B0E-1C01-9349-A1FF-994803C8F4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99" authorId="1" shapeId="0" xr:uid="{AA834CC9-2FB1-D645-813A-F0264C9B286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14" authorId="1" shapeId="0" xr:uid="{343131A8-89FE-2C49-AE70-20772D9024D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14" authorId="1" shapeId="0" xr:uid="{FD0973FC-3C88-6B48-83A7-8B782F812BD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30" authorId="1" shapeId="0" xr:uid="{AB835E64-E8E6-1345-BB9F-FD27A816CA0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30" authorId="1" shapeId="0" xr:uid="{FC181B91-94B6-2C44-A3B0-BBD487A4C54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20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0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6" authorId="0" shapeId="0" xr:uid="{00000000-0006-0000-20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6" authorId="0" shapeId="0" xr:uid="{00000000-0006-0000-20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6" authorId="0" shapeId="0" xr:uid="{00000000-0006-0000-20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6" authorId="0" shapeId="0" xr:uid="{00000000-0006-0000-20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K6" authorId="1" shapeId="0" xr:uid="{00000000-0006-0000-20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L6" authorId="1" shapeId="0" xr:uid="{00000000-0006-0000-20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2000-00000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G11" authorId="3" shapeId="0" xr:uid="{00000000-0006-0000-20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50 MJ/day, next 50Mj, next 50 and next 100Mj/day. Billing is based on average daily consumption.</t>
        </r>
      </text>
    </comment>
    <comment ref="J11" authorId="0" shapeId="0" xr:uid="{00000000-0006-0000-2000-00000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100Mj/day</t>
        </r>
      </text>
    </comment>
    <comment ref="K11" authorId="1" shapeId="0" xr:uid="{00000000-0006-0000-2000-00000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F12" authorId="3" shapeId="0" xr:uid="{00000000-0006-0000-20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H12" authorId="3" shapeId="0" xr:uid="{00000000-0006-0000-20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I12" authorId="3" shapeId="0" xr:uid="{00000000-0006-0000-20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J12" authorId="3" shapeId="0" xr:uid="{00000000-0006-0000-20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blocks. Note tariff stipulates next 50Mj/day</t>
        </r>
      </text>
    </comment>
    <comment ref="K12" authorId="3" shapeId="0" xr:uid="{00000000-0006-0000-20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3000+ 3000</t>
        </r>
      </text>
    </comment>
    <comment ref="L12" authorId="3" shapeId="0" xr:uid="{00000000-0006-0000-20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A29" authorId="2" shapeId="0" xr:uid="{00000000-0006-0000-2000-000013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J33" authorId="0" shapeId="0" xr:uid="{00000000-0006-0000-20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stipilates 58Mj/day</t>
        </r>
      </text>
    </comment>
    <comment ref="K33" authorId="1" shapeId="0" xr:uid="{00000000-0006-0000-2000-00001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H34" authorId="3" shapeId="0" xr:uid="{00000000-0006-0000-20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34" authorId="3" shapeId="0" xr:uid="{00000000-0006-0000-20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34" authorId="3" shapeId="0" xr:uid="{00000000-0006-0000-20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L34" authorId="3" shapeId="0" xr:uid="{00000000-0006-0000-20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49" authorId="0" shapeId="0" xr:uid="{00000000-0006-0000-20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49" authorId="0" shapeId="0" xr:uid="{00000000-0006-0000-20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49" authorId="0" shapeId="0" xr:uid="{00000000-0006-0000-20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49" authorId="0" shapeId="0" xr:uid="{00000000-0006-0000-20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49" authorId="0" shapeId="0" xr:uid="{00000000-0006-0000-20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49" authorId="0" shapeId="0" xr:uid="{00000000-0006-0000-20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K49" authorId="1" shapeId="0" xr:uid="{00000000-0006-0000-2000-00002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L49" authorId="1" shapeId="0" xr:uid="{00000000-0006-0000-2000-00002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50" authorId="3" shapeId="0" xr:uid="{00000000-0006-0000-20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1" authorId="3" shapeId="0" xr:uid="{00000000-0006-0000-20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2" authorId="3" shapeId="0" xr:uid="{00000000-0006-0000-20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J52" authorId="1" shapeId="0" xr:uid="{00000000-0006-0000-2000-00002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A53" authorId="3" shapeId="0" xr:uid="{00000000-0006-0000-20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4" authorId="3" shapeId="0" xr:uid="{00000000-0006-0000-20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4" authorId="1" shapeId="0" xr:uid="{00000000-0006-0000-2000-00002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4" authorId="0" shapeId="0" xr:uid="{00000000-0006-0000-2000-00002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21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1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6" authorId="0" shapeId="0" xr:uid="{00000000-0006-0000-21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21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6" authorId="0" shapeId="0" xr:uid="{00000000-0006-0000-21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6" authorId="0" shapeId="0" xr:uid="{00000000-0006-0000-21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K6" authorId="1" shapeId="0" xr:uid="{00000000-0006-0000-21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L6" authorId="1" shapeId="0" xr:uid="{00000000-0006-0000-21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2100-00000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A23" authorId="2" shapeId="0" xr:uid="{00000000-0006-0000-2100-00000A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27" authorId="1" shapeId="0" xr:uid="{00000000-0006-0000-2100-00000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27" authorId="3" shapeId="0" xr:uid="{00000000-0006-0000-21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3" shapeId="0" xr:uid="{00000000-0006-0000-21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0" shapeId="0" xr:uid="{00000000-0006-0000-21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49.3Mj/day</t>
        </r>
      </text>
    </comment>
    <comment ref="K27" authorId="1" shapeId="0" xr:uid="{00000000-0006-0000-2100-00000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27.40Mj/day </t>
        </r>
      </text>
    </comment>
    <comment ref="G28" authorId="3" shapeId="0" xr:uid="{00000000-0006-0000-21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J28" authorId="1" shapeId="0" xr:uid="{00000000-0006-0000-2100-00001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A39" authorId="2" shapeId="0" xr:uid="{00000000-0006-0000-2100-000012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43" authorId="1" shapeId="0" xr:uid="{00000000-0006-0000-2100-00001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J43" authorId="0" shapeId="0" xr:uid="{00000000-0006-0000-21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49.3Mj/day</t>
        </r>
      </text>
    </comment>
    <comment ref="K43" authorId="1" shapeId="0" xr:uid="{00000000-0006-0000-2100-00001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27.40Mj/day and next 21.90Mj/day</t>
        </r>
      </text>
    </comment>
    <comment ref="E44" authorId="3" shapeId="0" xr:uid="{00000000-0006-0000-21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G44" authorId="3" shapeId="0" xr:uid="{00000000-0006-0000-21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K44" authorId="3" shapeId="0" xr:uid="{00000000-0006-0000-21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E53" authorId="0" shapeId="0" xr:uid="{00000000-0006-0000-2100-00001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53" authorId="0" shapeId="0" xr:uid="{00000000-0006-0000-21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53" authorId="0" shapeId="0" xr:uid="{00000000-0006-0000-21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53" authorId="0" shapeId="0" xr:uid="{00000000-0006-0000-21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53" authorId="0" shapeId="0" xr:uid="{00000000-0006-0000-21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53" authorId="0" shapeId="0" xr:uid="{00000000-0006-0000-21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K53" authorId="1" shapeId="0" xr:uid="{00000000-0006-0000-2100-00001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L53" authorId="1" shapeId="0" xr:uid="{00000000-0006-0000-2100-00002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54" authorId="3" shapeId="0" xr:uid="{00000000-0006-0000-2100-00002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21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21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J56" authorId="1" shapeId="0" xr:uid="{00000000-0006-0000-2100-00002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A57" authorId="3" shapeId="0" xr:uid="{00000000-0006-0000-2100-00002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21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1" shapeId="0" xr:uid="{00000000-0006-0000-2100-00002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8" authorId="0" shapeId="0" xr:uid="{00000000-0006-0000-2100-00002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22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2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6" authorId="0" shapeId="0" xr:uid="{00000000-0006-0000-22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22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6" authorId="0" shapeId="0" xr:uid="{00000000-0006-0000-22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6" authorId="0" shapeId="0" xr:uid="{00000000-0006-0000-22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K6" authorId="1" shapeId="0" xr:uid="{00000000-0006-0000-22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L6" authorId="1" shapeId="0" xr:uid="{00000000-0006-0000-22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2200-00000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A23" authorId="2" shapeId="0" xr:uid="{00000000-0006-0000-2200-00000A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27" authorId="1" shapeId="0" xr:uid="{00000000-0006-0000-2200-00000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27" authorId="3" shapeId="0" xr:uid="{00000000-0006-0000-22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3" shapeId="0" xr:uid="{00000000-0006-0000-22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3" shapeId="0" xr:uid="{00000000-0006-0000-22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58Mj/day</t>
        </r>
      </text>
    </comment>
    <comment ref="K27" authorId="1" shapeId="0" xr:uid="{00000000-0006-0000-2200-00000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E28" authorId="3" shapeId="0" xr:uid="{00000000-0006-0000-22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84,000 MJ every 60 days. Due to the high threshold this rate has been entered as the balance rate.</t>
        </r>
      </text>
    </comment>
    <comment ref="G28" authorId="3" shapeId="0" xr:uid="{00000000-0006-0000-22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A39" authorId="2" shapeId="0" xr:uid="{00000000-0006-0000-2200-000012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3" shapeId="0" xr:uid="{00000000-0006-0000-22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43" authorId="3" shapeId="0" xr:uid="{00000000-0006-0000-22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43" authorId="3" shapeId="0" xr:uid="{00000000-0006-0000-22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43" authorId="3" shapeId="0" xr:uid="{00000000-0006-0000-22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K43" authorId="1" shapeId="0" xr:uid="{00000000-0006-0000-2200-00001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E44" authorId="3" shapeId="0" xr:uid="{00000000-0006-0000-22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3" shapeId="0" xr:uid="{00000000-0006-0000-22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E53" authorId="0" shapeId="0" xr:uid="{00000000-0006-0000-22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53" authorId="0" shapeId="0" xr:uid="{00000000-0006-0000-22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53" authorId="0" shapeId="0" xr:uid="{00000000-0006-0000-22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53" authorId="0" shapeId="0" xr:uid="{00000000-0006-0000-22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53" authorId="0" shapeId="0" xr:uid="{00000000-0006-0000-22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53" authorId="0" shapeId="0" xr:uid="{00000000-0006-0000-22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K53" authorId="1" shapeId="0" xr:uid="{00000000-0006-0000-2200-00002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L53" authorId="1" shapeId="0" xr:uid="{00000000-0006-0000-2200-00002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54" authorId="3" shapeId="0" xr:uid="{00000000-0006-0000-22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22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22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J56" authorId="1" shapeId="0" xr:uid="{00000000-0006-0000-2200-00002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For gas only (same amount for rlectricity)</t>
        </r>
      </text>
    </comment>
    <comment ref="A57" authorId="3" shapeId="0" xr:uid="{00000000-0006-0000-22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22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1" shapeId="0" xr:uid="{00000000-0006-0000-2200-00002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8" authorId="0" shapeId="0" xr:uid="{00000000-0006-0000-2200-00002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23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3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6" authorId="0" shapeId="0" xr:uid="{00000000-0006-0000-23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6" authorId="0" shapeId="0" xr:uid="{00000000-0006-0000-23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6" authorId="0" shapeId="0" xr:uid="{00000000-0006-0000-23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6" authorId="0" shapeId="0" xr:uid="{00000000-0006-0000-23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K6" authorId="1" shapeId="0" xr:uid="{00000000-0006-0000-23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L6" authorId="1" shapeId="0" xr:uid="{00000000-0006-0000-23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2300-00000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G11" authorId="3" shapeId="0" xr:uid="{00000000-0006-0000-23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50 MJ/day, next 50Mj, next 50 and next 100Mj/day. Billing is based on average daily consumption.</t>
        </r>
      </text>
    </comment>
    <comment ref="J11" authorId="0" shapeId="0" xr:uid="{00000000-0006-0000-2300-00000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100Mj/day</t>
        </r>
      </text>
    </comment>
    <comment ref="K11" authorId="1" shapeId="0" xr:uid="{00000000-0006-0000-2300-00000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F12" authorId="3" shapeId="0" xr:uid="{00000000-0006-0000-23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H12" authorId="3" shapeId="0" xr:uid="{00000000-0006-0000-23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I12" authorId="3" shapeId="0" xr:uid="{00000000-0006-0000-23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J12" authorId="3" shapeId="0" xr:uid="{00000000-0006-0000-23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blocks. Note tariff stipulates next 50Mj/day</t>
        </r>
      </text>
    </comment>
    <comment ref="K12" authorId="3" shapeId="0" xr:uid="{00000000-0006-0000-23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3000+ 3000</t>
        </r>
      </text>
    </comment>
    <comment ref="L12" authorId="3" shapeId="0" xr:uid="{00000000-0006-0000-23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A29" authorId="2" shapeId="0" xr:uid="{00000000-0006-0000-2300-000013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J33" authorId="0" shapeId="0" xr:uid="{00000000-0006-0000-23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stipilates 58Mj/day</t>
        </r>
      </text>
    </comment>
    <comment ref="K33" authorId="1" shapeId="0" xr:uid="{00000000-0006-0000-2300-00001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 50Mj/day</t>
        </r>
      </text>
    </comment>
    <comment ref="H34" authorId="3" shapeId="0" xr:uid="{00000000-0006-0000-23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34" authorId="3" shapeId="0" xr:uid="{00000000-0006-0000-23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34" authorId="3" shapeId="0" xr:uid="{00000000-0006-0000-23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L34" authorId="3" shapeId="0" xr:uid="{00000000-0006-0000-23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49" authorId="0" shapeId="0" xr:uid="{00000000-0006-0000-23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G49" authorId="0" shapeId="0" xr:uid="{00000000-0006-0000-23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49" authorId="0" shapeId="0" xr:uid="{00000000-0006-0000-23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49" authorId="0" shapeId="0" xr:uid="{00000000-0006-0000-23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49" authorId="0" shapeId="0" xr:uid="{00000000-0006-0000-23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K49" authorId="1" shapeId="0" xr:uid="{00000000-0006-0000-2300-00001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L49" authorId="1" shapeId="0" xr:uid="{00000000-0006-0000-2300-00002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50" authorId="3" shapeId="0" xr:uid="{00000000-0006-0000-2300-00002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1" authorId="3" shapeId="0" xr:uid="{00000000-0006-0000-23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2" authorId="3" shapeId="0" xr:uid="{00000000-0006-0000-23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3" authorId="3" shapeId="0" xr:uid="{00000000-0006-0000-23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4" authorId="3" shapeId="0" xr:uid="{00000000-0006-0000-2300-00002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4" authorId="1" shapeId="0" xr:uid="{00000000-0006-0000-2300-00002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4" authorId="0" shapeId="0" xr:uid="{00000000-0006-0000-23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24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4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6" authorId="0" shapeId="0" xr:uid="{00000000-0006-0000-24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24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6" authorId="0" shapeId="0" xr:uid="{00000000-0006-0000-24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6" authorId="0" shapeId="0" xr:uid="{00000000-0006-0000-24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K6" authorId="1" shapeId="0" xr:uid="{00000000-0006-0000-24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L6" authorId="1" shapeId="0" xr:uid="{00000000-0006-0000-24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2400-00000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A23" authorId="2" shapeId="0" xr:uid="{00000000-0006-0000-2400-00000A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27" authorId="1" shapeId="0" xr:uid="{00000000-0006-0000-2400-00000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27" authorId="3" shapeId="0" xr:uid="{00000000-0006-0000-24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3" shapeId="0" xr:uid="{00000000-0006-0000-24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0" shapeId="0" xr:uid="{00000000-0006-0000-24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49.3Mj/day</t>
        </r>
      </text>
    </comment>
    <comment ref="K27" authorId="1" shapeId="0" xr:uid="{00000000-0006-0000-2400-00000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27.40Mj/day </t>
        </r>
      </text>
    </comment>
    <comment ref="G28" authorId="3" shapeId="0" xr:uid="{00000000-0006-0000-24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J28" authorId="1" shapeId="0" xr:uid="{00000000-0006-0000-2400-00001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A39" authorId="2" shapeId="0" xr:uid="{00000000-0006-0000-2400-000012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43" authorId="1" shapeId="0" xr:uid="{00000000-0006-0000-2400-000013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J43" authorId="0" shapeId="0" xr:uid="{00000000-0006-0000-24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49.3Mj/day</t>
        </r>
      </text>
    </comment>
    <comment ref="K43" authorId="1" shapeId="0" xr:uid="{00000000-0006-0000-2400-00001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27.40Mj/day and next 21.90Mj/day</t>
        </r>
      </text>
    </comment>
    <comment ref="E44" authorId="3" shapeId="0" xr:uid="{00000000-0006-0000-24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G44" authorId="3" shapeId="0" xr:uid="{00000000-0006-0000-24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K44" authorId="3" shapeId="0" xr:uid="{00000000-0006-0000-24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1644Mj + 1,314Mj</t>
        </r>
      </text>
    </comment>
    <comment ref="E53" authorId="0" shapeId="0" xr:uid="{00000000-0006-0000-2400-00001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53" authorId="0" shapeId="0" xr:uid="{00000000-0006-0000-24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53" authorId="0" shapeId="0" xr:uid="{00000000-0006-0000-24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53" authorId="0" shapeId="0" xr:uid="{00000000-0006-0000-24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53" authorId="0" shapeId="0" xr:uid="{00000000-0006-0000-24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53" authorId="0" shapeId="0" xr:uid="{00000000-0006-0000-24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53" authorId="1" shapeId="0" xr:uid="{00000000-0006-0000-2400-00001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54" authorId="3" shapeId="0" xr:uid="{00000000-0006-0000-2400-00002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2400-00002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24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3" shapeId="0" xr:uid="{00000000-0006-0000-24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24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1" shapeId="0" xr:uid="{00000000-0006-0000-2400-00002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8" authorId="0" shapeId="0" xr:uid="{00000000-0006-0000-24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25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5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6" authorId="0" shapeId="0" xr:uid="{00000000-0006-0000-25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25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6" authorId="0" shapeId="0" xr:uid="{00000000-0006-0000-25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6" authorId="0" shapeId="0" xr:uid="{00000000-0006-0000-25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K6" authorId="1" shapeId="0" xr:uid="{00000000-0006-0000-25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L6" authorId="1" shapeId="0" xr:uid="{00000000-0006-0000-25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2500-00000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A23" authorId="2" shapeId="0" xr:uid="{00000000-0006-0000-2500-00000A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27" authorId="1" shapeId="0" xr:uid="{00000000-0006-0000-2500-00000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27" authorId="3" shapeId="0" xr:uid="{00000000-0006-0000-25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3" shapeId="0" xr:uid="{00000000-0006-0000-25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3" shapeId="0" xr:uid="{00000000-0006-0000-25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58Mj/day</t>
        </r>
      </text>
    </comment>
    <comment ref="K27" authorId="1" shapeId="0" xr:uid="{00000000-0006-0000-2500-00000F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E28" authorId="3" shapeId="0" xr:uid="{00000000-0006-0000-25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84,000 MJ every 60 days. Due to the high threshold this rate has been entered as the balance rate.</t>
        </r>
      </text>
    </comment>
    <comment ref="G28" authorId="3" shapeId="0" xr:uid="{00000000-0006-0000-25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A39" authorId="2" shapeId="0" xr:uid="{00000000-0006-0000-2500-000012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3" shapeId="0" xr:uid="{00000000-0006-0000-25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43" authorId="3" shapeId="0" xr:uid="{00000000-0006-0000-25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43" authorId="3" shapeId="0" xr:uid="{00000000-0006-0000-25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43" authorId="3" shapeId="0" xr:uid="{00000000-0006-0000-25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K43" authorId="1" shapeId="0" xr:uid="{00000000-0006-0000-2500-00001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</t>
        </r>
      </text>
    </comment>
    <comment ref="E44" authorId="3" shapeId="0" xr:uid="{00000000-0006-0000-25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3" shapeId="0" xr:uid="{00000000-0006-0000-25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E53" authorId="0" shapeId="0" xr:uid="{00000000-0006-0000-25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53" authorId="0" shapeId="0" xr:uid="{00000000-0006-0000-25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Plus</t>
        </r>
      </text>
    </comment>
    <comment ref="G53" authorId="0" shapeId="0" xr:uid="{00000000-0006-0000-25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53" authorId="0" shapeId="0" xr:uid="{00000000-0006-0000-25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offer.
The rates entered are standing offer rates taking effect 1 Feb 2014 as Simply's website states that "current" gas market offer rates are only available until 31 Jan 2014.</t>
        </r>
      </text>
    </comment>
    <comment ref="I53" authorId="0" shapeId="0" xr:uid="{00000000-0006-0000-25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J53" authorId="0" shapeId="0" xr:uid="{00000000-0006-0000-25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K53" authorId="1" shapeId="0" xr:uid="{00000000-0006-0000-2500-00002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
Note: offer only available in conjunction with electricity contract</t>
        </r>
      </text>
    </comment>
    <comment ref="L53" authorId="1" shapeId="0" xr:uid="{00000000-0006-0000-2500-00002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54" authorId="3" shapeId="0" xr:uid="{00000000-0006-0000-25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25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25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3" shapeId="0" xr:uid="{00000000-0006-0000-2500-00002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25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1" shapeId="0" xr:uid="{00000000-0006-0000-2500-00002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8" authorId="0" shapeId="0" xr:uid="{00000000-0006-0000-2500-00002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26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6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6" authorId="0" shapeId="0" xr:uid="{00000000-0006-0000-26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26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26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6" authorId="0" shapeId="0" xr:uid="{00000000-0006-0000-26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6" authorId="1" shapeId="0" xr:uid="{00000000-0006-0000-26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 15 Dual energy
Note: Gas offer only available in conjunction with electricity offer</t>
        </r>
      </text>
    </comment>
    <comment ref="M6" authorId="1" shapeId="0" xr:uid="{00000000-0006-0000-26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2600-00000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G11" authorId="3" shapeId="0" xr:uid="{00000000-0006-0000-26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50 MJ/day, next 50Mj, next 50 and next 100Mj/day. Billing is based on average daily consumption.</t>
        </r>
      </text>
    </comment>
    <comment ref="H11" authorId="3" shapeId="0" xr:uid="{00000000-0006-0000-26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6000 Mj </t>
        </r>
      </text>
    </comment>
    <comment ref="K11" authorId="0" shapeId="0" xr:uid="{00000000-0006-0000-2600-00000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100Mj/day</t>
        </r>
      </text>
    </comment>
    <comment ref="F12" authorId="3" shapeId="0" xr:uid="{00000000-0006-0000-26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I12" authorId="3" shapeId="0" xr:uid="{00000000-0006-0000-26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J12" authorId="3" shapeId="0" xr:uid="{00000000-0006-0000-26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K12" authorId="3" shapeId="0" xr:uid="{00000000-0006-0000-26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blocks. Note tariff stipulates next 50Mj/day</t>
        </r>
      </text>
    </comment>
    <comment ref="L12" authorId="3" shapeId="0" xr:uid="{00000000-0006-0000-26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M12" authorId="3" shapeId="0" xr:uid="{00000000-0006-0000-26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A29" authorId="2" shapeId="0" xr:uid="{00000000-0006-0000-2600-000013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33" authorId="3" shapeId="0" xr:uid="{00000000-0006-0000-26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50 MJ/day, next 50Mj, next 50 and next 100Mj/day. Billing is based on average daily consumption.</t>
        </r>
      </text>
    </comment>
    <comment ref="K33" authorId="0" shapeId="0" xr:uid="{00000000-0006-0000-2600-00001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stipilates 58Mj/day</t>
        </r>
      </text>
    </comment>
    <comment ref="F34" authorId="3" shapeId="0" xr:uid="{00000000-0006-0000-26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34" authorId="3" shapeId="0" xr:uid="{00000000-0006-0000-26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34" authorId="3" shapeId="0" xr:uid="{00000000-0006-0000-26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34" authorId="3" shapeId="0" xr:uid="{00000000-0006-0000-26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34" authorId="3" shapeId="0" xr:uid="{00000000-0006-0000-2600-00001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L34" authorId="3" shapeId="0" xr:uid="{00000000-0006-0000-26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M34" authorId="3" shapeId="0" xr:uid="{00000000-0006-0000-26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49" authorId="0" shapeId="0" xr:uid="{00000000-0006-0000-26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49" authorId="0" shapeId="0" xr:uid="{00000000-0006-0000-26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49" authorId="0" shapeId="0" xr:uid="{00000000-0006-0000-26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49" authorId="0" shapeId="0" xr:uid="{00000000-0006-0000-2600-000020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I49" authorId="0" shapeId="0" xr:uid="{00000000-0006-0000-2600-00002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49" authorId="0" shapeId="0" xr:uid="{00000000-0006-0000-2600-00002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49" authorId="0" shapeId="0" xr:uid="{00000000-0006-0000-2600-00002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49" authorId="1" shapeId="0" xr:uid="{00000000-0006-0000-2600-00002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 15 Dual energy
Note: Gas offer only available in conjunction with electricity offer</t>
        </r>
      </text>
    </comment>
    <comment ref="A50" authorId="3" shapeId="0" xr:uid="{00000000-0006-0000-2600-00002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1" authorId="3" shapeId="0" xr:uid="{00000000-0006-0000-26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2" authorId="3" shapeId="0" xr:uid="{00000000-0006-0000-26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3" authorId="3" shapeId="0" xr:uid="{00000000-0006-0000-26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4" authorId="3" shapeId="0" xr:uid="{00000000-0006-0000-2600-00002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4" authorId="1" shapeId="0" xr:uid="{00000000-0006-0000-2600-00002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4" authorId="0" shapeId="0" xr:uid="{00000000-0006-0000-26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27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7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6" authorId="0" shapeId="0" xr:uid="{00000000-0006-0000-27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27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27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6" authorId="0" shapeId="0" xr:uid="{00000000-0006-0000-27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6" authorId="1" shapeId="0" xr:uid="{00000000-0006-0000-2700-00000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 15 Dual energy
Note: Gas offer only available in conjunction with electricity offer</t>
        </r>
      </text>
    </comment>
    <comment ref="M6" authorId="1" shapeId="0" xr:uid="{00000000-0006-0000-27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2700-00000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11" authorId="1" shapeId="0" xr:uid="{00000000-0006-0000-2700-00000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K11" authorId="0" shapeId="0" xr:uid="{00000000-0006-0000-2700-00000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66Mj/day</t>
        </r>
      </text>
    </comment>
    <comment ref="E12" authorId="3" shapeId="0" xr:uid="{00000000-0006-0000-27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12" authorId="3" shapeId="0" xr:uid="{00000000-0006-0000-27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H12" authorId="3" shapeId="0" xr:uid="{00000000-0006-0000-27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K12" authorId="0" shapeId="0" xr:uid="{00000000-0006-0000-2700-00000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134Mj/day</t>
        </r>
      </text>
    </comment>
    <comment ref="A23" authorId="2" shapeId="0" xr:uid="{00000000-0006-0000-2700-000010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3" shapeId="0" xr:uid="{00000000-0006-0000-27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1" shapeId="0" xr:uid="{00000000-0006-0000-2700-00001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27" authorId="3" shapeId="0" xr:uid="{00000000-0006-0000-27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3" shapeId="0" xr:uid="{00000000-0006-0000-27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3" shapeId="0" xr:uid="{00000000-0006-0000-27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3" shapeId="0" xr:uid="{00000000-0006-0000-27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28" authorId="3" shapeId="0" xr:uid="{00000000-0006-0000-27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28" authorId="3" shapeId="0" xr:uid="{00000000-0006-0000-27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A39" authorId="2" shapeId="0" xr:uid="{00000000-0006-0000-2700-00001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43" authorId="1" shapeId="0" xr:uid="{00000000-0006-0000-2700-00001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K43" authorId="0" shapeId="0" xr:uid="{00000000-0006-0000-27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66Mj/day</t>
        </r>
      </text>
    </comment>
    <comment ref="E44" authorId="3" shapeId="0" xr:uid="{00000000-0006-0000-27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3" shapeId="0" xr:uid="{00000000-0006-0000-2700-00001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H44" authorId="3" shapeId="0" xr:uid="{00000000-0006-0000-2700-00001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K44" authorId="0" shapeId="0" xr:uid="{00000000-0006-0000-27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134Mj/day</t>
        </r>
      </text>
    </comment>
    <comment ref="E53" authorId="0" shapeId="0" xr:uid="{00000000-0006-0000-2700-00002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53" authorId="0" shapeId="0" xr:uid="{00000000-0006-0000-2700-00002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53" authorId="0" shapeId="0" xr:uid="{00000000-0006-0000-2700-00002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53" authorId="0" shapeId="0" xr:uid="{00000000-0006-0000-2700-00002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Smart Saver 16</t>
        </r>
      </text>
    </comment>
    <comment ref="I53" authorId="0" shapeId="0" xr:uid="{00000000-0006-0000-2700-00002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53" authorId="0" shapeId="0" xr:uid="{00000000-0006-0000-2700-00002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53" authorId="0" shapeId="0" xr:uid="{00000000-0006-0000-2700-00002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53" authorId="1" shapeId="0" xr:uid="{00000000-0006-0000-2700-000027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 15 Dual energy
Note: Gas offer only available in conjunction with electricity offer</t>
        </r>
      </text>
    </comment>
    <comment ref="M53" authorId="1" shapeId="0" xr:uid="{00000000-0006-0000-2700-00002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54" authorId="3" shapeId="0" xr:uid="{00000000-0006-0000-2700-00002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2700-00002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2700-00002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3" shapeId="0" xr:uid="{00000000-0006-0000-2700-00002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2700-00002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1" shapeId="0" xr:uid="{00000000-0006-0000-2700-00002E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8" authorId="0" shapeId="0" xr:uid="{00000000-0006-0000-2700-00002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  <author>may.johnston</author>
    <author>May M. Johnston</author>
  </authors>
  <commentList>
    <comment ref="E6" authorId="0" shapeId="0" xr:uid="{00000000-0006-0000-28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8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6" authorId="0" shapeId="0" xr:uid="{00000000-0006-0000-28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2800-000004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 15 Dual energy
Note: Gas offer only available in conjunction with electricity offer</t>
        </r>
      </text>
    </comment>
    <comment ref="I6" authorId="0" shapeId="0" xr:uid="{00000000-0006-0000-28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28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K6" authorId="0" shapeId="0" xr:uid="{00000000-0006-0000-28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L6" authorId="1" shapeId="0" xr:uid="{00000000-0006-0000-2800-000008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Fair Go 15 Dual energy
Note: Gas offer only available in conjunction with electricity offer</t>
        </r>
      </text>
    </comment>
    <comment ref="M6" authorId="1" shapeId="0" xr:uid="{00000000-0006-0000-2800-00000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7" authorId="2" shapeId="0" xr:uid="{00000000-0006-0000-2800-00000A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3" shapeId="0" xr:uid="{00000000-0006-0000-28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11" authorId="1" shapeId="0" xr:uid="{00000000-0006-0000-2800-00000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11" authorId="3" shapeId="0" xr:uid="{00000000-0006-0000-28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11" authorId="3" shapeId="0" xr:uid="{00000000-0006-0000-28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L11" authorId="3" shapeId="0" xr:uid="{00000000-0006-0000-28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M11" authorId="3" shapeId="0" xr:uid="{00000000-0006-0000-28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12" authorId="3" shapeId="0" xr:uid="{00000000-0006-0000-28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12" authorId="3" shapeId="0" xr:uid="{00000000-0006-0000-28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A23" authorId="2" shapeId="0" xr:uid="{00000000-0006-0000-2800-000013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3" shapeId="0" xr:uid="{00000000-0006-0000-28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1" shapeId="0" xr:uid="{00000000-0006-0000-2800-00001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27" authorId="3" shapeId="0" xr:uid="{00000000-0006-0000-28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3" shapeId="0" xr:uid="{00000000-0006-0000-28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58Mj/day</t>
        </r>
      </text>
    </comment>
    <comment ref="E28" authorId="3" shapeId="0" xr:uid="{00000000-0006-0000-28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84,000 MJ every 60 days. Due to the high threshold this rate has been entered as the balance rate.</t>
        </r>
      </text>
    </comment>
    <comment ref="G28" authorId="3" shapeId="0" xr:uid="{00000000-0006-0000-28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A39" authorId="2" shapeId="0" xr:uid="{00000000-0006-0000-2800-00001A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3" shapeId="0" xr:uid="{00000000-0006-0000-28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43" authorId="1" shapeId="0" xr:uid="{00000000-0006-0000-2800-00001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43" authorId="3" shapeId="0" xr:uid="{00000000-0006-0000-2800-00001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43" authorId="3" shapeId="0" xr:uid="{00000000-0006-0000-2800-00001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44" authorId="3" shapeId="0" xr:uid="{00000000-0006-0000-2800-00001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3" shapeId="0" xr:uid="{00000000-0006-0000-2800-00002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E53" authorId="0" shapeId="0" xr:uid="{00000000-0006-0000-2800-00002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53" authorId="0" shapeId="0" xr:uid="{00000000-0006-0000-2800-00002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53" authorId="0" shapeId="0" xr:uid="{00000000-0006-0000-2800-00002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</t>
        </r>
      </text>
    </comment>
    <comment ref="H53" authorId="0" shapeId="0" xr:uid="{00000000-0006-0000-2800-00002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
Note: Gas offer only available in conjunction with electricity offer</t>
        </r>
      </text>
    </comment>
    <comment ref="J53" authorId="0" shapeId="0" xr:uid="{00000000-0006-0000-2800-00002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
Note: Gas offer only available in conjunction with electricity offer</t>
        </r>
      </text>
    </comment>
    <comment ref="M53" authorId="1" shapeId="0" xr:uid="{00000000-0006-0000-2800-000026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Dual Power
Note: Gas offer only available in conjunction with electricity offer</t>
        </r>
      </text>
    </comment>
    <comment ref="A54" authorId="3" shapeId="0" xr:uid="{00000000-0006-0000-28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28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2800-00002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3" shapeId="0" xr:uid="{00000000-0006-0000-2800-00002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2800-00002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1" shapeId="0" xr:uid="{00000000-0006-0000-2800-00002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8" authorId="0" shapeId="0" xr:uid="{00000000-0006-0000-2800-00002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may.johnston</author>
    <author>May M. Johnston</author>
    <author>May Mauseth</author>
  </authors>
  <commentList>
    <comment ref="E6" authorId="0" shapeId="0" xr:uid="{00000000-0006-0000-29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9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6" authorId="0" shapeId="0" xr:uid="{00000000-0006-0000-29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29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Smart Saver 18</t>
        </r>
      </text>
    </comment>
    <comment ref="I6" authorId="0" shapeId="0" xr:uid="{00000000-0006-0000-29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29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6" authorId="0" shapeId="0" xr:uid="{00000000-0006-0000-29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7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G11" authorId="2" shapeId="0" xr:uid="{00000000-0006-0000-29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50 MJ/day, next 50Mj, next 50 and next 100Mj/day. Billing is based on average daily consumption.</t>
        </r>
      </text>
    </comment>
    <comment ref="H11" authorId="2" shapeId="0" xr:uid="{00000000-0006-0000-29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6000 Mj </t>
        </r>
      </text>
    </comment>
    <comment ref="K11" authorId="0" shapeId="0" xr:uid="{00000000-0006-0000-2900-00000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100Mj/day</t>
        </r>
      </text>
    </comment>
    <comment ref="F12" authorId="2" shapeId="0" xr:uid="{00000000-0006-0000-29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I12" authorId="2" shapeId="0" xr:uid="{00000000-0006-0000-29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J12" authorId="2" shapeId="0" xr:uid="{00000000-0006-0000-29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K12" authorId="2" shapeId="0" xr:uid="{00000000-0006-0000-29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blocks. Note tariff stipulates next 50Mj/day</t>
        </r>
      </text>
    </comment>
    <comment ref="I28" authorId="0" shapeId="0" xr:uid="{00000000-0006-0000-2900-00001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Gazetted 20/12/2012</t>
        </r>
      </text>
    </comment>
    <comment ref="A29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33" authorId="2" shapeId="0" xr:uid="{00000000-0006-0000-29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50 MJ/day, next 50Mj, next 50 and next 100Mj/day. Billing is based on average daily consumption.</t>
        </r>
      </text>
    </comment>
    <comment ref="K33" authorId="0" shapeId="0" xr:uid="{00000000-0006-0000-2900-00001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stipilates 58Mj/day</t>
        </r>
      </text>
    </comment>
    <comment ref="F34" authorId="2" shapeId="0" xr:uid="{00000000-0006-0000-29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34" authorId="2" shapeId="0" xr:uid="{00000000-0006-0000-29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34" authorId="2" shapeId="0" xr:uid="{00000000-0006-0000-29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34" authorId="2" shapeId="0" xr:uid="{00000000-0006-0000-29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34" authorId="2" shapeId="0" xr:uid="{00000000-0006-0000-29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49" authorId="0" shapeId="0" xr:uid="{00000000-0006-0000-2900-00001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49" authorId="0" shapeId="0" xr:uid="{00000000-0006-0000-29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49" authorId="0" shapeId="0" xr:uid="{00000000-0006-0000-29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49" authorId="0" shapeId="0" xr:uid="{00000000-0006-0000-29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Smart Saver 18</t>
        </r>
      </text>
    </comment>
    <comment ref="I49" authorId="0" shapeId="0" xr:uid="{00000000-0006-0000-29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49" authorId="0" shapeId="0" xr:uid="{00000000-0006-0000-29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49" authorId="0" shapeId="0" xr:uid="{00000000-0006-0000-29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50" authorId="2" shapeId="0" xr:uid="{00000000-0006-0000-2900-00002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1" authorId="2" shapeId="0" xr:uid="{00000000-0006-0000-2900-00002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2" authorId="2" shapeId="0" xr:uid="{00000000-0006-0000-29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3" authorId="2" shapeId="0" xr:uid="{00000000-0006-0000-29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4" authorId="2" shapeId="0" xr:uid="{00000000-0006-0000-29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4" authorId="3" shapeId="0" xr:uid="{00000000-0006-0000-2900-000025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4" authorId="0" shapeId="0" xr:uid="{00000000-0006-0000-29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X7" authorId="0" shapeId="0" xr:uid="{61B0EAF8-64E7-664D-AB1E-4B3B8FAB4ED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Y21" authorId="1" shapeId="0" xr:uid="{E3A63172-A876-5C48-ABD1-0FD4B9588B1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21" authorId="1" shapeId="0" xr:uid="{1BFA1217-0C95-7846-80D2-87F9B0A7485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37" authorId="1" shapeId="0" xr:uid="{E86D3FE5-D18C-124B-B63E-BA806493550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37" authorId="1" shapeId="0" xr:uid="{CCFBD43A-C984-8349-A97B-F85A03014C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53" authorId="1" shapeId="0" xr:uid="{F612ECBF-D676-EC4E-98DD-FA16A87B264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53" authorId="1" shapeId="0" xr:uid="{90AC7F25-3967-1F4B-A5C9-7CC508CDBE8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69" authorId="1" shapeId="0" xr:uid="{186A1933-157B-F747-AA84-5BF088D1429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69" authorId="1" shapeId="0" xr:uid="{757FCEC0-6CF1-854F-8320-FB80A5B828F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85" authorId="1" shapeId="0" xr:uid="{3BA58C87-AB75-E547-BA68-DBC42733DEE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85" authorId="1" shapeId="0" xr:uid="{5CED78A5-CD23-644F-AEFA-5CDF74B161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00" authorId="1" shapeId="0" xr:uid="{66519B16-9BD0-9246-8E69-A797E7DDC25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00" authorId="1" shapeId="0" xr:uid="{2E196001-735F-B642-8144-BB43F44ED29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16" authorId="1" shapeId="0" xr:uid="{D7BFE396-2FC5-B54F-8B6D-3E4AB38A98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16" authorId="1" shapeId="0" xr:uid="{3D0D745A-65A3-124C-930A-D7F7906A72D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32" authorId="1" shapeId="0" xr:uid="{2031247F-9A20-9A43-B720-C5511B4357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32" authorId="1" shapeId="0" xr:uid="{E13EC421-D1B3-D741-833C-F600956349E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may.johnston</author>
    <author>May Mauseth</author>
    <author>May M. Johnston</author>
  </authors>
  <commentList>
    <comment ref="E6" authorId="0" shapeId="0" xr:uid="{00000000-0006-0000-2A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A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6" authorId="0" shapeId="0" xr:uid="{00000000-0006-0000-2A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2A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Smart Saver 18</t>
        </r>
      </text>
    </comment>
    <comment ref="I6" authorId="0" shapeId="0" xr:uid="{00000000-0006-0000-2A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2A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6" authorId="0" shapeId="0" xr:uid="{00000000-0006-0000-2A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7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11" authorId="2" shapeId="0" xr:uid="{00000000-0006-0000-2A00-00000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K11" authorId="0" shapeId="0" xr:uid="{00000000-0006-0000-2A00-00000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66Mj/day</t>
        </r>
      </text>
    </comment>
    <comment ref="E12" authorId="3" shapeId="0" xr:uid="{00000000-0006-0000-2A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12" authorId="3" shapeId="0" xr:uid="{00000000-0006-0000-2A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H12" authorId="3" shapeId="0" xr:uid="{00000000-0006-0000-2A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K12" authorId="0" shapeId="0" xr:uid="{00000000-0006-0000-2A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134Mj/day</t>
        </r>
      </text>
    </comment>
    <comment ref="A23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3" shapeId="0" xr:uid="{00000000-0006-0000-2A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2" shapeId="0" xr:uid="{00000000-0006-0000-2A00-000011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H27" authorId="3" shapeId="0" xr:uid="{00000000-0006-0000-2A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3" shapeId="0" xr:uid="{00000000-0006-0000-2A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3" shapeId="0" xr:uid="{00000000-0006-0000-2A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3" shapeId="0" xr:uid="{00000000-0006-0000-2A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28" authorId="3" shapeId="0" xr:uid="{00000000-0006-0000-2A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28" authorId="3" shapeId="0" xr:uid="{00000000-0006-0000-2A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A3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43" authorId="2" shapeId="0" xr:uid="{00000000-0006-0000-2A00-000019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K43" authorId="0" shapeId="0" xr:uid="{00000000-0006-0000-2A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66Mj/day</t>
        </r>
      </text>
    </comment>
    <comment ref="E44" authorId="3" shapeId="0" xr:uid="{00000000-0006-0000-2A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3" shapeId="0" xr:uid="{00000000-0006-0000-2A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H44" authorId="3" shapeId="0" xr:uid="{00000000-0006-0000-2A00-00001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K44" authorId="0" shapeId="0" xr:uid="{00000000-0006-0000-2A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134Mj/day</t>
        </r>
      </text>
    </comment>
    <comment ref="E53" authorId="0" shapeId="0" xr:uid="{00000000-0006-0000-2A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53" authorId="0" shapeId="0" xr:uid="{00000000-0006-0000-2A00-00002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53" authorId="0" shapeId="0" xr:uid="{00000000-0006-0000-2A00-00002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53" authorId="0" shapeId="0" xr:uid="{00000000-0006-0000-2A00-00002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Smart Saver 18</t>
        </r>
      </text>
    </comment>
    <comment ref="I53" authorId="0" shapeId="0" xr:uid="{00000000-0006-0000-2A00-00002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53" authorId="0" shapeId="0" xr:uid="{00000000-0006-0000-2A00-00002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53" authorId="0" shapeId="0" xr:uid="{00000000-0006-0000-2A00-00002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54" authorId="3" shapeId="0" xr:uid="{00000000-0006-0000-2A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3" shapeId="0" xr:uid="{00000000-0006-0000-2A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3" shapeId="0" xr:uid="{00000000-0006-0000-2A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3" shapeId="0" xr:uid="{00000000-0006-0000-2A00-00002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3" shapeId="0" xr:uid="{00000000-0006-0000-2A00-00002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2" shapeId="0" xr:uid="{00000000-0006-0000-2A00-00002B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8" authorId="0" shapeId="0" xr:uid="{00000000-0006-0000-2A00-00002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may.johnston</author>
    <author>May M. Johnston</author>
    <author>May Mauseth</author>
  </authors>
  <commentList>
    <comment ref="E6" authorId="0" shapeId="0" xr:uid="{00000000-0006-0000-2B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6" authorId="0" shapeId="0" xr:uid="{00000000-0006-0000-2B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6" authorId="0" shapeId="0" xr:uid="{00000000-0006-0000-2B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6" authorId="0" shapeId="0" xr:uid="{00000000-0006-0000-2B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Smart Saver 18</t>
        </r>
      </text>
    </comment>
    <comment ref="I6" authorId="0" shapeId="0" xr:uid="{00000000-0006-0000-2B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2B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6" authorId="0" shapeId="0" xr:uid="{00000000-0006-0000-2B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7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2" shapeId="0" xr:uid="{00000000-0006-0000-2B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11" authorId="3" shapeId="0" xr:uid="{00000000-0006-0000-2B00-00000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11" authorId="2" shapeId="0" xr:uid="{00000000-0006-0000-2B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11" authorId="2" shapeId="0" xr:uid="{00000000-0006-0000-2B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11" authorId="2" shapeId="0" xr:uid="{00000000-0006-0000-2B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12" authorId="2" shapeId="0" xr:uid="{00000000-0006-0000-2B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12" authorId="2" shapeId="0" xr:uid="{00000000-0006-0000-2B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A23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2" shapeId="0" xr:uid="{00000000-0006-0000-2B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3" shapeId="0" xr:uid="{00000000-0006-0000-2B00-000012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27" authorId="2" shapeId="0" xr:uid="{00000000-0006-0000-2B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2" shapeId="0" xr:uid="{00000000-0006-0000-2B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2" shapeId="0" xr:uid="{00000000-0006-0000-2B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58Mj/day</t>
        </r>
      </text>
    </comment>
    <comment ref="E28" authorId="2" shapeId="0" xr:uid="{00000000-0006-0000-2B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84,000 MJ every 60 days. Due to the high threshold this rate has been entered as the balance rate.</t>
        </r>
      </text>
    </comment>
    <comment ref="G28" authorId="2" shapeId="0" xr:uid="{00000000-0006-0000-2B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A39" authorId="1" shapeId="0" xr:uid="{00000000-0006-0000-2B00-00001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2" shapeId="0" xr:uid="{00000000-0006-0000-2B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43" authorId="3" shapeId="0" xr:uid="{00000000-0006-0000-2B00-00001A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Tariff stipulates first 100Mj/day and next 100Mj/day</t>
        </r>
      </text>
    </comment>
    <comment ref="I43" authorId="2" shapeId="0" xr:uid="{00000000-0006-0000-2B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43" authorId="2" shapeId="0" xr:uid="{00000000-0006-0000-2B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43" authorId="2" shapeId="0" xr:uid="{00000000-0006-0000-2B00-00001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44" authorId="2" shapeId="0" xr:uid="{00000000-0006-0000-2B00-00001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2" shapeId="0" xr:uid="{00000000-0006-0000-2B00-00001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Energy Aus has a 3rd block rate for consumption over 12000MJ and up to 84,000 MJ every 60 days. Due to the high threshold this rate has been entered as the balance rate.</t>
        </r>
      </text>
    </comment>
    <comment ref="E53" authorId="0" shapeId="0" xr:uid="{00000000-0006-0000-2B00-00002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</t>
        </r>
      </text>
    </comment>
    <comment ref="F53" authorId="0" shapeId="0" xr:uid="{00000000-0006-0000-2B00-00002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</t>
        </r>
      </text>
    </comment>
    <comment ref="G53" authorId="0" shapeId="0" xr:uid="{00000000-0006-0000-2B00-00002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Energy Saver</t>
        </r>
      </text>
    </comment>
    <comment ref="H53" authorId="0" shapeId="0" xr:uid="{00000000-0006-0000-2B00-00002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Smart Saver 18</t>
        </r>
      </text>
    </comment>
    <comment ref="I53" authorId="0" shapeId="0" xr:uid="{00000000-0006-0000-2B00-00002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53" authorId="0" shapeId="0" xr:uid="{00000000-0006-0000-2B00-00002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53" authorId="0" shapeId="0" xr:uid="{00000000-0006-0000-2B00-00002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54" authorId="2" shapeId="0" xr:uid="{00000000-0006-0000-2B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2" shapeId="0" xr:uid="{00000000-0006-0000-2B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2" shapeId="0" xr:uid="{00000000-0006-0000-2B00-00002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2" shapeId="0" xr:uid="{00000000-0006-0000-2B00-00002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2" shapeId="0" xr:uid="{00000000-0006-0000-2B00-00002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58" authorId="3" shapeId="0" xr:uid="{00000000-0006-0000-2B00-00002C000000}">
      <text>
        <r>
          <rPr>
            <b/>
            <sz val="9"/>
            <color indexed="81"/>
            <rFont val="Arial"/>
            <family val="2"/>
          </rPr>
          <t>May Mauseth:</t>
        </r>
        <r>
          <rPr>
            <sz val="9"/>
            <color indexed="81"/>
            <rFont val="Arial"/>
            <family val="2"/>
          </rPr>
          <t xml:space="preserve">
Another 2% off usage if direct debit</t>
        </r>
      </text>
    </comment>
    <comment ref="F58" authorId="0" shapeId="0" xr:uid="{00000000-0006-0000-2B00-00002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may.johnston</author>
    <author>May M. Johnston</author>
  </authors>
  <commentList>
    <comment ref="E6" authorId="0" shapeId="0" xr:uid="{00000000-0006-0000-2C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F6" authorId="0" shapeId="0" xr:uid="{00000000-0006-0000-2C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G6" authorId="0" shapeId="0" xr:uid="{00000000-0006-0000-2C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6" authorId="0" shapeId="0" xr:uid="{00000000-0006-0000-2C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 </t>
        </r>
      </text>
    </comment>
    <comment ref="I6" authorId="0" shapeId="0" xr:uid="{00000000-0006-0000-2C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2C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6" authorId="0" shapeId="0" xr:uid="{00000000-0006-0000-2C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7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G11" authorId="2" shapeId="0" xr:uid="{00000000-0006-0000-2C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98.6301 MJ/day and billing is based on average daily consumption.</t>
        </r>
      </text>
    </comment>
    <comment ref="H11" authorId="2" shapeId="0" xr:uid="{00000000-0006-0000-2C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6000 Mj </t>
        </r>
      </text>
    </comment>
    <comment ref="K11" authorId="0" shapeId="0" xr:uid="{00000000-0006-0000-2C00-00000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100Mj/day</t>
        </r>
      </text>
    </comment>
    <comment ref="F12" authorId="2" shapeId="0" xr:uid="{00000000-0006-0000-2C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G12" authorId="2" shapeId="0" xr:uid="{00000000-0006-0000-2C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next 49.3151 MJ/day and billing is based on average daily consumption.</t>
        </r>
      </text>
    </comment>
    <comment ref="I12" authorId="2" shapeId="0" xr:uid="{00000000-0006-0000-2C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J12" authorId="2" shapeId="0" xr:uid="{00000000-0006-0000-2C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K12" authorId="2" shapeId="0" xr:uid="{00000000-0006-0000-2C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blocks. Note tariff stipulates next 50Mj/day</t>
        </r>
      </text>
    </comment>
    <comment ref="G13" authorId="2" shapeId="0" xr:uid="{00000000-0006-0000-2C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A29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33" authorId="2" shapeId="0" xr:uid="{00000000-0006-0000-2C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57.5342 MJ/day and billing is based on average daily consumption.</t>
        </r>
      </text>
    </comment>
    <comment ref="K33" authorId="0" shapeId="0" xr:uid="{00000000-0006-0000-2C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stipilates 58Mj/day</t>
        </r>
      </text>
    </comment>
    <comment ref="F34" authorId="2" shapeId="0" xr:uid="{00000000-0006-0000-2C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34" authorId="2" shapeId="0" xr:uid="{00000000-0006-0000-2C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34" authorId="2" shapeId="0" xr:uid="{00000000-0006-0000-2C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34" authorId="2" shapeId="0" xr:uid="{00000000-0006-0000-2C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34" authorId="2" shapeId="0" xr:uid="{00000000-0006-0000-2C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34" authorId="2" shapeId="0" xr:uid="{00000000-0006-0000-2C00-00001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49" authorId="0" shapeId="0" xr:uid="{00000000-0006-0000-2C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F49" authorId="0" shapeId="0" xr:uid="{00000000-0006-0000-2C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G49" authorId="0" shapeId="0" xr:uid="{00000000-0006-0000-2C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49" authorId="0" shapeId="0" xr:uid="{00000000-0006-0000-2C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 </t>
        </r>
      </text>
    </comment>
    <comment ref="I49" authorId="0" shapeId="0" xr:uid="{00000000-0006-0000-2C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49" authorId="0" shapeId="0" xr:uid="{00000000-0006-0000-2C00-00002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49" authorId="0" shapeId="0" xr:uid="{00000000-0006-0000-2C00-00002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50" authorId="2" shapeId="0" xr:uid="{00000000-0006-0000-2C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1" authorId="2" shapeId="0" xr:uid="{00000000-0006-0000-2C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2" authorId="2" shapeId="0" xr:uid="{00000000-0006-0000-2C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3" authorId="2" shapeId="0" xr:uid="{00000000-0006-0000-2C00-00002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4" authorId="2" shapeId="0" xr:uid="{00000000-0006-0000-2C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F54" authorId="0" shapeId="0" xr:uid="{00000000-0006-0000-2C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may.johnston</author>
    <author>May M. Johnston</author>
  </authors>
  <commentList>
    <comment ref="E6" authorId="0" shapeId="0" xr:uid="{00000000-0006-0000-2D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F6" authorId="0" shapeId="0" xr:uid="{00000000-0006-0000-2D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G6" authorId="0" shapeId="0" xr:uid="{00000000-0006-0000-2D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6" authorId="0" shapeId="0" xr:uid="{00000000-0006-0000-2D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 </t>
        </r>
      </text>
    </comment>
    <comment ref="I6" authorId="0" shapeId="0" xr:uid="{00000000-0006-0000-2D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2D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6" authorId="0" shapeId="0" xr:uid="{00000000-0006-0000-2D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7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11" authorId="2" shapeId="0" xr:uid="{00000000-0006-0000-2D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65.7534 MJ/day and billing is based on average daily consumption.</t>
        </r>
      </text>
    </comment>
    <comment ref="K11" authorId="0" shapeId="0" xr:uid="{00000000-0006-0000-2D00-00000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66Mj/day</t>
        </r>
      </text>
    </comment>
    <comment ref="E12" authorId="2" shapeId="0" xr:uid="{00000000-0006-0000-2D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12" authorId="2" shapeId="0" xr:uid="{00000000-0006-0000-2D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next 131.5069 MJ/day and billing is based on average daily consumption.</t>
        </r>
      </text>
    </comment>
    <comment ref="H12" authorId="2" shapeId="0" xr:uid="{00000000-0006-0000-2D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K12" authorId="0" shapeId="0" xr:uid="{00000000-0006-0000-2D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134Mj/day</t>
        </r>
      </text>
    </comment>
    <comment ref="A23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2" shapeId="0" xr:uid="{00000000-0006-0000-2D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2" shapeId="0" xr:uid="{00000000-0006-0000-2D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 and billing is based on average daily consumption.</t>
        </r>
      </text>
    </comment>
    <comment ref="H27" authorId="2" shapeId="0" xr:uid="{00000000-0006-0000-2D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2" shapeId="0" xr:uid="{00000000-0006-0000-2D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2" shapeId="0" xr:uid="{00000000-0006-0000-2D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2" shapeId="0" xr:uid="{00000000-0006-0000-2D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28" authorId="2" shapeId="0" xr:uid="{00000000-0006-0000-2D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28" authorId="2" shapeId="0" xr:uid="{00000000-0006-0000-2D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A39" authorId="1" shapeId="0" xr:uid="{00000000-0006-0000-2D00-00001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43" authorId="2" shapeId="0" xr:uid="{00000000-0006-0000-2D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65.7534 MJ/day and billing is based on average daily consumption.</t>
        </r>
      </text>
    </comment>
    <comment ref="K43" authorId="0" shapeId="0" xr:uid="{00000000-0006-0000-2D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66Mj/day</t>
        </r>
      </text>
    </comment>
    <comment ref="E44" authorId="2" shapeId="0" xr:uid="{00000000-0006-0000-2D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2" shapeId="0" xr:uid="{00000000-0006-0000-2D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next 131.5069 MJ/day and billing is based on average daily consumption.</t>
        </r>
      </text>
    </comment>
    <comment ref="H44" authorId="2" shapeId="0" xr:uid="{00000000-0006-0000-2D00-00001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K44" authorId="0" shapeId="0" xr:uid="{00000000-0006-0000-2D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Note tariff stipulates 134Mj/day</t>
        </r>
      </text>
    </comment>
    <comment ref="E53" authorId="0" shapeId="0" xr:uid="{00000000-0006-0000-2D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F53" authorId="0" shapeId="0" xr:uid="{00000000-0006-0000-2D00-00002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G53" authorId="0" shapeId="0" xr:uid="{00000000-0006-0000-2D00-00002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53" authorId="0" shapeId="0" xr:uid="{00000000-0006-0000-2D00-00002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 </t>
        </r>
      </text>
    </comment>
    <comment ref="I53" authorId="0" shapeId="0" xr:uid="{00000000-0006-0000-2D00-00002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53" authorId="0" shapeId="0" xr:uid="{00000000-0006-0000-2D00-00002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53" authorId="0" shapeId="0" xr:uid="{00000000-0006-0000-2D00-00002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54" authorId="2" shapeId="0" xr:uid="{00000000-0006-0000-2D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2" shapeId="0" xr:uid="{00000000-0006-0000-2D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2" shapeId="0" xr:uid="{00000000-0006-0000-2D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2" shapeId="0" xr:uid="{00000000-0006-0000-2D00-00002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2" shapeId="0" xr:uid="{00000000-0006-0000-2D00-00002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F58" authorId="0" shapeId="0" xr:uid="{00000000-0006-0000-2D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may.johnston</author>
    <author>May M. Johnston</author>
  </authors>
  <commentList>
    <comment ref="E6" authorId="0" shapeId="0" xr:uid="{00000000-0006-0000-2E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F6" authorId="0" shapeId="0" xr:uid="{00000000-0006-0000-2E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G6" authorId="0" shapeId="0" xr:uid="{00000000-0006-0000-2E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6" authorId="0" shapeId="0" xr:uid="{00000000-0006-0000-2E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 </t>
        </r>
      </text>
    </comment>
    <comment ref="I6" authorId="0" shapeId="0" xr:uid="{00000000-0006-0000-2E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2E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6" authorId="0" shapeId="0" xr:uid="{00000000-0006-0000-2E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7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2" shapeId="0" xr:uid="{00000000-0006-0000-2E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11" authorId="2" shapeId="0" xr:uid="{00000000-0006-0000-2E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 and billing is based on average daily consumption.</t>
        </r>
      </text>
    </comment>
    <comment ref="I11" authorId="2" shapeId="0" xr:uid="{00000000-0006-0000-2E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11" authorId="2" shapeId="0" xr:uid="{00000000-0006-0000-2E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11" authorId="2" shapeId="0" xr:uid="{00000000-0006-0000-2E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12" authorId="2" shapeId="0" xr:uid="{00000000-0006-0000-2E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12" authorId="2" shapeId="0" xr:uid="{00000000-0006-0000-2E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A23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2" shapeId="0" xr:uid="{00000000-0006-0000-2E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2" shapeId="0" xr:uid="{00000000-0006-0000-2E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57.5342 MJ/day and billing is based on average daily consumption.</t>
        </r>
      </text>
    </comment>
    <comment ref="I27" authorId="2" shapeId="0" xr:uid="{00000000-0006-0000-2E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2" shapeId="0" xr:uid="{00000000-0006-0000-2E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2" shapeId="0" xr:uid="{00000000-0006-0000-2E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58Mj/day</t>
        </r>
      </text>
    </comment>
    <comment ref="E28" authorId="2" shapeId="0" xr:uid="{00000000-0006-0000-2E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28" authorId="2" shapeId="0" xr:uid="{00000000-0006-0000-2E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A39" authorId="1" shapeId="0" xr:uid="{00000000-0006-0000-2E00-000018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2" shapeId="0" xr:uid="{00000000-0006-0000-2E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43" authorId="2" shapeId="0" xr:uid="{00000000-0006-0000-2E00-00001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 and billing is based on average daily consumption.</t>
        </r>
      </text>
    </comment>
    <comment ref="I43" authorId="2" shapeId="0" xr:uid="{00000000-0006-0000-2E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43" authorId="2" shapeId="0" xr:uid="{00000000-0006-0000-2E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43" authorId="2" shapeId="0" xr:uid="{00000000-0006-0000-2E00-00001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block. Note tariff stipulates 53Mj/day</t>
        </r>
      </text>
    </comment>
    <comment ref="E44" authorId="2" shapeId="0" xr:uid="{00000000-0006-0000-2E00-00001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2" shapeId="0" xr:uid="{00000000-0006-0000-2E00-00001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53" authorId="0" shapeId="0" xr:uid="{00000000-0006-0000-2E00-00002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F53" authorId="0" shapeId="0" xr:uid="{00000000-0006-0000-2E00-00002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G53" authorId="0" shapeId="0" xr:uid="{00000000-0006-0000-2E00-00002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53" authorId="0" shapeId="0" xr:uid="{00000000-0006-0000-2E00-00002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 </t>
        </r>
      </text>
    </comment>
    <comment ref="I53" authorId="0" shapeId="0" xr:uid="{00000000-0006-0000-2E00-00002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53" authorId="0" shapeId="0" xr:uid="{00000000-0006-0000-2E00-00002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</t>
        </r>
      </text>
    </comment>
    <comment ref="K53" authorId="0" shapeId="0" xr:uid="{00000000-0006-0000-2E00-00002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Living Energy Saver</t>
        </r>
      </text>
    </comment>
    <comment ref="A54" authorId="2" shapeId="0" xr:uid="{00000000-0006-0000-2E00-00002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2" shapeId="0" xr:uid="{00000000-0006-0000-2E00-00002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2" shapeId="0" xr:uid="{00000000-0006-0000-2E00-00002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2" shapeId="0" xr:uid="{00000000-0006-0000-2E00-00002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2" shapeId="0" xr:uid="{00000000-0006-0000-2E00-00002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F58" authorId="0" shapeId="0" xr:uid="{00000000-0006-0000-2E00-00002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may.johnston</author>
    <author>May M. Johnston</author>
  </authors>
  <commentList>
    <comment ref="E6" authorId="0" shapeId="0" xr:uid="{00000000-0006-0000-2F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5</t>
        </r>
      </text>
    </comment>
    <comment ref="F6" authorId="0" shapeId="0" xr:uid="{00000000-0006-0000-2F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5% off usage for 12 months</t>
        </r>
      </text>
    </comment>
    <comment ref="G6" authorId="0" shapeId="0" xr:uid="{00000000-0006-0000-2F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6" authorId="0" shapeId="0" xr:uid="{00000000-0006-0000-2F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</t>
        </r>
      </text>
    </comment>
    <comment ref="I6" authorId="0" shapeId="0" xr:uid="{00000000-0006-0000-2F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2F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 Note: Gas offer only available in conjunction with electricity offer</t>
        </r>
      </text>
    </comment>
    <comment ref="A7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G11" authorId="2" shapeId="0" xr:uid="{00000000-0006-0000-2F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98.6301 MJ/day and billing is based on average daily consumption.</t>
        </r>
      </text>
    </comment>
    <comment ref="H11" authorId="2" shapeId="0" xr:uid="{00000000-0006-0000-2F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6000 Mj </t>
        </r>
      </text>
    </comment>
    <comment ref="F12" authorId="2" shapeId="0" xr:uid="{00000000-0006-0000-2F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G12" authorId="2" shapeId="0" xr:uid="{00000000-0006-0000-2F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next 49.3151 MJ/day and billing is based on average daily consumption.</t>
        </r>
      </text>
    </comment>
    <comment ref="I12" authorId="2" shapeId="0" xr:uid="{00000000-0006-0000-2F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J12" authorId="2" shapeId="0" xr:uid="{00000000-0006-0000-2F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G13" authorId="2" shapeId="0" xr:uid="{00000000-0006-0000-2F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A29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33" authorId="2" shapeId="0" xr:uid="{00000000-0006-0000-2F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57.5342 MJ/day and billing is based on average daily consumption.</t>
        </r>
      </text>
    </comment>
    <comment ref="F34" authorId="2" shapeId="0" xr:uid="{00000000-0006-0000-2F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34" authorId="2" shapeId="0" xr:uid="{00000000-0006-0000-2F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34" authorId="2" shapeId="0" xr:uid="{00000000-0006-0000-2F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34" authorId="2" shapeId="0" xr:uid="{00000000-0006-0000-2F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34" authorId="2" shapeId="0" xr:uid="{00000000-0006-0000-2F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49" authorId="0" shapeId="0" xr:uid="{00000000-0006-0000-2F00-00001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5</t>
        </r>
      </text>
    </comment>
    <comment ref="F49" authorId="0" shapeId="0" xr:uid="{00000000-0006-0000-2F00-00001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5% off usage for 12 months</t>
        </r>
      </text>
    </comment>
    <comment ref="G49" authorId="0" shapeId="0" xr:uid="{00000000-0006-0000-2F00-000018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49" authorId="0" shapeId="0" xr:uid="{00000000-0006-0000-2F00-00001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</t>
        </r>
      </text>
    </comment>
    <comment ref="I49" authorId="0" shapeId="0" xr:uid="{00000000-0006-0000-2F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49" authorId="0" shapeId="0" xr:uid="{00000000-0006-0000-2F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 Note: Gas offer only available in conjunction with electricity offer</t>
        </r>
      </text>
    </comment>
    <comment ref="A50" authorId="2" shapeId="0" xr:uid="{00000000-0006-0000-2F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1" authorId="2" shapeId="0" xr:uid="{00000000-0006-0000-2F00-00001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2" authorId="2" shapeId="0" xr:uid="{00000000-0006-0000-2F00-00001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3" authorId="2" shapeId="0" xr:uid="{00000000-0006-0000-2F00-00001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4" authorId="2" shapeId="0" xr:uid="{00000000-0006-0000-2F00-00002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may.johnston</author>
    <author>May M. Johnston</author>
  </authors>
  <commentList>
    <comment ref="E6" authorId="0" shapeId="0" xr:uid="{00000000-0006-0000-30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5</t>
        </r>
      </text>
    </comment>
    <comment ref="F6" authorId="0" shapeId="0" xr:uid="{00000000-0006-0000-30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5% off usage for 12 months</t>
        </r>
      </text>
    </comment>
    <comment ref="G6" authorId="0" shapeId="0" xr:uid="{00000000-0006-0000-30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6" authorId="0" shapeId="0" xr:uid="{00000000-0006-0000-30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</t>
        </r>
      </text>
    </comment>
    <comment ref="I6" authorId="0" shapeId="0" xr:uid="{00000000-0006-0000-30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30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 Note: Gas offer only available in conjunction with electricity offer</t>
        </r>
      </text>
    </comment>
    <comment ref="A7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11" authorId="2" shapeId="0" xr:uid="{00000000-0006-0000-30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65.7534 MJ/day and billing is based on average daily consumption.</t>
        </r>
      </text>
    </comment>
    <comment ref="E12" authorId="2" shapeId="0" xr:uid="{00000000-0006-0000-30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12" authorId="2" shapeId="0" xr:uid="{00000000-0006-0000-30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next 131.5069 MJ/day and billing is based on average daily consumption.</t>
        </r>
      </text>
    </comment>
    <comment ref="H12" authorId="2" shapeId="0" xr:uid="{00000000-0006-0000-30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A23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2" shapeId="0" xr:uid="{00000000-0006-0000-30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2" shapeId="0" xr:uid="{00000000-0006-0000-30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 and billing is based on average daily consumption.</t>
        </r>
      </text>
    </comment>
    <comment ref="H27" authorId="2" shapeId="0" xr:uid="{00000000-0006-0000-30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2" shapeId="0" xr:uid="{00000000-0006-0000-30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2" shapeId="0" xr:uid="{00000000-0006-0000-30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28" authorId="2" shapeId="0" xr:uid="{00000000-0006-0000-30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28" authorId="2" shapeId="0" xr:uid="{00000000-0006-0000-30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A3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G43" authorId="2" shapeId="0" xr:uid="{00000000-0006-0000-30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65.7534 MJ/day and billing is based on average daily consumption.</t>
        </r>
      </text>
    </comment>
    <comment ref="E44" authorId="2" shapeId="0" xr:uid="{00000000-0006-0000-30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2" shapeId="0" xr:uid="{00000000-0006-0000-30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next 131.5069 MJ/day and billing is based on average daily consumption.</t>
        </r>
      </text>
    </comment>
    <comment ref="H44" authorId="2" shapeId="0" xr:uid="{00000000-0006-0000-30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E53" authorId="0" shapeId="0" xr:uid="{00000000-0006-0000-3000-00001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5</t>
        </r>
      </text>
    </comment>
    <comment ref="F53" authorId="0" shapeId="0" xr:uid="{00000000-0006-0000-30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5% off usage for 12 months</t>
        </r>
      </text>
    </comment>
    <comment ref="G53" authorId="0" shapeId="0" xr:uid="{00000000-0006-0000-30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53" authorId="0" shapeId="0" xr:uid="{00000000-0006-0000-30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</t>
        </r>
      </text>
    </comment>
    <comment ref="I53" authorId="0" shapeId="0" xr:uid="{00000000-0006-0000-30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53" authorId="0" shapeId="0" xr:uid="{00000000-0006-0000-30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 Note: Gas offer only available in conjunction with electricity offer</t>
        </r>
      </text>
    </comment>
    <comment ref="A54" authorId="2" shapeId="0" xr:uid="{00000000-0006-0000-3000-00001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2" shapeId="0" xr:uid="{00000000-0006-0000-3000-00002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2" shapeId="0" xr:uid="{00000000-0006-0000-3000-00002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2" shapeId="0" xr:uid="{00000000-0006-0000-30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2" shapeId="0" xr:uid="{00000000-0006-0000-30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may.johnston</author>
    <author>May M. Johnston</author>
  </authors>
  <commentList>
    <comment ref="E6" authorId="0" shapeId="0" xr:uid="{00000000-0006-0000-3100-00000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5</t>
        </r>
      </text>
    </comment>
    <comment ref="F6" authorId="0" shapeId="0" xr:uid="{00000000-0006-0000-31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5% off usage for 12 months</t>
        </r>
      </text>
    </comment>
    <comment ref="G6" authorId="0" shapeId="0" xr:uid="{00000000-0006-0000-31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6" authorId="0" shapeId="0" xr:uid="{00000000-0006-0000-31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</t>
        </r>
      </text>
    </comment>
    <comment ref="I6" authorId="0" shapeId="0" xr:uid="{00000000-0006-0000-31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6" authorId="0" shapeId="0" xr:uid="{00000000-0006-0000-31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 Note: Gas offer only available in conjunction with electricity offer</t>
        </r>
      </text>
    </comment>
    <comment ref="A7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2" shapeId="0" xr:uid="{00000000-0006-0000-31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11" authorId="2" shapeId="0" xr:uid="{00000000-0006-0000-31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 and billing is based on average daily consumption.</t>
        </r>
      </text>
    </comment>
    <comment ref="I11" authorId="2" shapeId="0" xr:uid="{00000000-0006-0000-31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11" authorId="2" shapeId="0" xr:uid="{00000000-0006-0000-31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12" authorId="2" shapeId="0" xr:uid="{00000000-0006-0000-31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12" authorId="2" shapeId="0" xr:uid="{00000000-0006-0000-31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A23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2" shapeId="0" xr:uid="{00000000-0006-0000-31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2" shapeId="0" xr:uid="{00000000-0006-0000-31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57.5342 MJ/day and billing is based on average daily consumption.</t>
        </r>
      </text>
    </comment>
    <comment ref="I27" authorId="2" shapeId="0" xr:uid="{00000000-0006-0000-31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2" shapeId="0" xr:uid="{00000000-0006-0000-31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28" authorId="2" shapeId="0" xr:uid="{00000000-0006-0000-31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28" authorId="2" shapeId="0" xr:uid="{00000000-0006-0000-31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A3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2" shapeId="0" xr:uid="{00000000-0006-0000-31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43" authorId="2" shapeId="0" xr:uid="{00000000-0006-0000-31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Tariff states first 52.6027 MJ/day and billing is based on average daily consumption.</t>
        </r>
      </text>
    </comment>
    <comment ref="I43" authorId="2" shapeId="0" xr:uid="{00000000-0006-0000-31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43" authorId="2" shapeId="0" xr:uid="{00000000-0006-0000-31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44" authorId="2" shapeId="0" xr:uid="{00000000-0006-0000-3100-00001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G44" authorId="2" shapeId="0" xr:uid="{00000000-0006-0000-31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53" authorId="0" shapeId="0" xr:uid="{00000000-0006-0000-3100-00001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5</t>
        </r>
      </text>
    </comment>
    <comment ref="F53" authorId="0" shapeId="0" xr:uid="{00000000-0006-0000-31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5% off usage for 12 months</t>
        </r>
      </text>
    </comment>
    <comment ref="G53" authorId="0" shapeId="0" xr:uid="{00000000-0006-0000-3100-00001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53" authorId="0" shapeId="0" xr:uid="{00000000-0006-0000-3100-00001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</t>
        </r>
      </text>
    </comment>
    <comment ref="I53" authorId="0" shapeId="0" xr:uid="{00000000-0006-0000-3100-00002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"Simply Save More"
Note: Gas offer only available in conjunction with electricity offer</t>
        </r>
      </text>
    </comment>
    <comment ref="J53" authorId="0" shapeId="0" xr:uid="{00000000-0006-0000-3100-00002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Lumo Advantage Gas. Note: Gas offer only available in conjunction with electricity offer</t>
        </r>
      </text>
    </comment>
    <comment ref="A54" authorId="2" shapeId="0" xr:uid="{00000000-0006-0000-3100-00002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2" shapeId="0" xr:uid="{00000000-0006-0000-3100-00002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2" shapeId="0" xr:uid="{00000000-0006-0000-3100-00002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2" shapeId="0" xr:uid="{00000000-0006-0000-3100-00002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2" shapeId="0" xr:uid="{00000000-0006-0000-3100-00002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may.johnston</author>
    <author>May M. Johnston</author>
    <author>May Johnston</author>
  </authors>
  <commentList>
    <comment ref="A7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H11" authorId="1" shapeId="0" xr:uid="{00000000-0006-0000-3200-00000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6000 Mj </t>
        </r>
      </text>
    </comment>
    <comment ref="F12" authorId="1" shapeId="0" xr:uid="{00000000-0006-0000-32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G12" authorId="1" shapeId="0" xr:uid="{00000000-0006-0000-3200-00000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I12" authorId="1" shapeId="0" xr:uid="{00000000-0006-0000-3200-00000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J12" authorId="1" shapeId="0" xr:uid="{00000000-0006-0000-32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K12" authorId="1" shapeId="0" xr:uid="{00000000-0006-0000-32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G28" authorId="1" shapeId="0" xr:uid="{00000000-0006-0000-32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TRU has a shorter winter peak period. From 1 Jume to 30 Sept.</t>
        </r>
      </text>
    </comment>
    <comment ref="H28" authorId="1" shapeId="0" xr:uid="{00000000-0006-0000-32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Aus P&amp;G has a shorter winter peak period. From 1 Jume to 30 Sept.</t>
        </r>
      </text>
    </comment>
    <comment ref="I28" authorId="1" shapeId="0" xr:uid="{00000000-0006-0000-32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EA has a shorter winter peak period. From 1 Jume to 30 Sept.</t>
        </r>
      </text>
    </comment>
    <comment ref="J28" authorId="1" shapeId="0" xr:uid="{00000000-0006-0000-32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Simplyhas a shorter winter peak period. From 1 Jume to 30 Sept.</t>
        </r>
      </text>
    </comment>
    <comment ref="A29" authorId="0" shapeId="0" xr:uid="{00000000-0006-0000-3200-00000C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34" authorId="1" shapeId="0" xr:uid="{00000000-0006-0000-32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34" authorId="1" shapeId="0" xr:uid="{00000000-0006-0000-32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34" authorId="1" shapeId="0" xr:uid="{00000000-0006-0000-32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34" authorId="1" shapeId="0" xr:uid="{00000000-0006-0000-32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34" authorId="1" shapeId="0" xr:uid="{00000000-0006-0000-32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34" authorId="1" shapeId="0" xr:uid="{00000000-0006-0000-32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F49" authorId="2" shapeId="0" xr:uid="{00000000-0006-0000-3200-00001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H49" authorId="2" shapeId="0" xr:uid="{00000000-0006-0000-3200-00001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</t>
        </r>
      </text>
    </comment>
    <comment ref="J49" authorId="2" shapeId="0" xr:uid="{00000000-0006-0000-3200-00001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Note: Gas offer only available in conjunction with electricity offer</t>
        </r>
      </text>
    </comment>
    <comment ref="A50" authorId="1" shapeId="0" xr:uid="{00000000-0006-0000-32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1" authorId="1" shapeId="0" xr:uid="{00000000-0006-0000-32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2" authorId="1" shapeId="0" xr:uid="{00000000-0006-0000-32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3" authorId="1" shapeId="0" xr:uid="{00000000-0006-0000-32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4" authorId="1" shapeId="0" xr:uid="{00000000-0006-0000-3200-00001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may.johnston</author>
    <author>May M. Johnston</author>
    <author>May Johnston</author>
  </authors>
  <commentList>
    <comment ref="A7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E12" authorId="1" shapeId="0" xr:uid="{00000000-0006-0000-3300-00000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H12" authorId="1" shapeId="0" xr:uid="{00000000-0006-0000-33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A23" authorId="0" shapeId="0" xr:uid="{00000000-0006-0000-3300-000004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1" shapeId="0" xr:uid="{00000000-0006-0000-3300-00000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1" shapeId="0" xr:uid="{00000000-0006-0000-33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27" authorId="1" shapeId="0" xr:uid="{00000000-0006-0000-33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1" shapeId="0" xr:uid="{00000000-0006-0000-33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1" shapeId="0" xr:uid="{00000000-0006-0000-33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1" shapeId="0" xr:uid="{00000000-0006-0000-33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28" authorId="1" shapeId="0" xr:uid="{00000000-0006-0000-33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A39" authorId="0" shapeId="0" xr:uid="{00000000-0006-0000-3300-00000C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E44" authorId="1" shapeId="0" xr:uid="{00000000-0006-0000-33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H44" authorId="1" shapeId="0" xr:uid="{00000000-0006-0000-33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F53" authorId="2" shapeId="0" xr:uid="{00000000-0006-0000-3300-00000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H53" authorId="2" shapeId="0" xr:uid="{00000000-0006-0000-3300-000010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</t>
        </r>
      </text>
    </comment>
    <comment ref="J53" authorId="2" shapeId="0" xr:uid="{00000000-0006-0000-33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Note: Gas offer only available in conjunction with electricity offer</t>
        </r>
      </text>
    </comment>
    <comment ref="A54" authorId="1" shapeId="0" xr:uid="{00000000-0006-0000-33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1" shapeId="0" xr:uid="{00000000-0006-0000-33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1" shapeId="0" xr:uid="{00000000-0006-0000-33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1" shapeId="0" xr:uid="{00000000-0006-0000-33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1" shapeId="0" xr:uid="{00000000-0006-0000-33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X7" authorId="0" shapeId="0" xr:uid="{6FCB2641-EE19-324B-8A6E-39EB9E0963E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Y22" authorId="1" shapeId="0" xr:uid="{5EF83A54-78C3-6142-9220-D224881A835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22" authorId="1" shapeId="0" xr:uid="{3297C686-C7EE-7D46-897E-85CC94CF68F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39" authorId="1" shapeId="0" xr:uid="{363CB679-3FBE-0746-BEC2-5BE937B18DE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39" authorId="1" shapeId="0" xr:uid="{36AA910C-20B9-2148-896A-571D34D136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56" authorId="1" shapeId="0" xr:uid="{ED9BE672-1C72-B24B-A9ED-39945656090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56" authorId="1" shapeId="0" xr:uid="{17D44DCB-6DA1-DB4B-BA15-D89180A1DF4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73" authorId="1" shapeId="0" xr:uid="{7DE95903-4BB1-374C-8563-89DABAB85C6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73" authorId="1" shapeId="0" xr:uid="{99A3B20F-FF5A-1B40-B6D0-9B837EBEA14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90" authorId="1" shapeId="0" xr:uid="{D4446C63-AA08-1D4A-A5D0-42F3AE489C5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90" authorId="1" shapeId="0" xr:uid="{8667A2A1-4763-B745-A976-B365803377F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06" authorId="1" shapeId="0" xr:uid="{65785F12-C677-BC47-859E-C1795B8869D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06" authorId="1" shapeId="0" xr:uid="{0FE9D4AC-B08D-214C-9871-331266DB0D3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23" authorId="1" shapeId="0" xr:uid="{C81E4253-FA5B-5C4D-AB01-85886B15E07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23" authorId="1" shapeId="0" xr:uid="{70FA17CD-86F9-9642-A1C6-E1685687E4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Y140" authorId="1" shapeId="0" xr:uid="{462EE413-C186-BF4A-B332-F12D174373E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  <comment ref="Z140" authorId="1" shapeId="0" xr:uid="{3FE11888-A49F-9645-A85B-09BD75848CD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calculation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may.johnston</author>
    <author>May M. Johnston</author>
    <author>May Johnston</author>
  </authors>
  <commentList>
    <comment ref="A7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1" shapeId="0" xr:uid="{00000000-0006-0000-3400-00000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11" authorId="1" shapeId="0" xr:uid="{00000000-0006-0000-34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11" authorId="1" shapeId="0" xr:uid="{00000000-0006-0000-3400-00000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11" authorId="1" shapeId="0" xr:uid="{00000000-0006-0000-3400-00000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11" authorId="1" shapeId="0" xr:uid="{00000000-0006-0000-34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11" authorId="1" shapeId="0" xr:uid="{00000000-0006-0000-34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12" authorId="1" shapeId="0" xr:uid="{00000000-0006-0000-34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A23" authorId="0" shapeId="0" xr:uid="{00000000-0006-0000-3400-00000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1" shapeId="0" xr:uid="{00000000-0006-0000-34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1" shapeId="0" xr:uid="{00000000-0006-0000-34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27" authorId="1" shapeId="0" xr:uid="{00000000-0006-0000-34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1" shapeId="0" xr:uid="{00000000-0006-0000-34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1" shapeId="0" xr:uid="{00000000-0006-0000-34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1" shapeId="0" xr:uid="{00000000-0006-0000-34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28" authorId="1" shapeId="0" xr:uid="{00000000-0006-0000-34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A39" authorId="0" shapeId="0" xr:uid="{00000000-0006-0000-3400-00001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1" shapeId="0" xr:uid="{00000000-0006-0000-34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43" authorId="1" shapeId="0" xr:uid="{00000000-0006-0000-34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43" authorId="1" shapeId="0" xr:uid="{00000000-0006-0000-34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43" authorId="1" shapeId="0" xr:uid="{00000000-0006-0000-34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43" authorId="1" shapeId="0" xr:uid="{00000000-0006-0000-34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43" authorId="1" shapeId="0" xr:uid="{00000000-0006-0000-34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44" authorId="1" shapeId="0" xr:uid="{00000000-0006-0000-34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F53" authorId="2" shapeId="0" xr:uid="{00000000-0006-0000-3400-00001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H53" authorId="2" shapeId="0" xr:uid="{00000000-0006-0000-3400-00001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Simplicity Plus</t>
        </r>
      </text>
    </comment>
    <comment ref="J53" authorId="2" shapeId="0" xr:uid="{00000000-0006-0000-3400-00001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
Note: Gas offer only available in conjunction with electricity offer</t>
        </r>
      </text>
    </comment>
    <comment ref="A54" authorId="1" shapeId="0" xr:uid="{00000000-0006-0000-34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1" shapeId="0" xr:uid="{00000000-0006-0000-3400-00001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1" shapeId="0" xr:uid="{00000000-0006-0000-3400-00001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1" shapeId="0" xr:uid="{00000000-0006-0000-3400-00001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1" shapeId="0" xr:uid="{00000000-0006-0000-3400-00002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may.johnston</author>
    <author>May M. Johnston</author>
  </authors>
  <commentList>
    <comment ref="A7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H11" authorId="1" shapeId="0" xr:uid="{00000000-0006-0000-3500-00000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6000 Mj </t>
        </r>
      </text>
    </comment>
    <comment ref="F12" authorId="1" shapeId="0" xr:uid="{00000000-0006-0000-35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G12" authorId="1" shapeId="0" xr:uid="{00000000-0006-0000-3500-00000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I12" authorId="1" shapeId="0" xr:uid="{00000000-0006-0000-3500-00000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J12" authorId="1" shapeId="0" xr:uid="{00000000-0006-0000-35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K12" authorId="1" shapeId="0" xr:uid="{00000000-0006-0000-35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Only 2 blocks</t>
        </r>
      </text>
    </comment>
    <comment ref="G28" authorId="1" shapeId="0" xr:uid="{00000000-0006-0000-35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TRU has a shorter winter peak period. From 1 Jume to 30 Sept.</t>
        </r>
      </text>
    </comment>
    <comment ref="H28" authorId="1" shapeId="0" xr:uid="{00000000-0006-0000-35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Aus P&amp;G has a shorter winter peak period. From 1 Jume to 30 Sept.</t>
        </r>
      </text>
    </comment>
    <comment ref="I28" authorId="1" shapeId="0" xr:uid="{00000000-0006-0000-35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EA has a shorter winter peak period. From 1 Jume to 30 Sept.</t>
        </r>
      </text>
    </comment>
    <comment ref="J28" authorId="1" shapeId="0" xr:uid="{00000000-0006-0000-35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Simplyhas a shorter winter peak period. From 1 Jume to 30 Sept.</t>
        </r>
      </text>
    </comment>
    <comment ref="A29" authorId="0" shapeId="0" xr:uid="{00000000-0006-0000-3500-00000C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34" authorId="1" shapeId="0" xr:uid="{00000000-0006-0000-35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34" authorId="1" shapeId="0" xr:uid="{00000000-0006-0000-35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34" authorId="1" shapeId="0" xr:uid="{00000000-0006-0000-35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34" authorId="1" shapeId="0" xr:uid="{00000000-0006-0000-35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34" authorId="1" shapeId="0" xr:uid="{00000000-0006-0000-35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34" authorId="1" shapeId="0" xr:uid="{00000000-0006-0000-35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A50" authorId="1" shapeId="0" xr:uid="{00000000-0006-0000-35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1" authorId="1" shapeId="0" xr:uid="{00000000-0006-0000-35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2" authorId="1" shapeId="0" xr:uid="{00000000-0006-0000-35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3" authorId="1" shapeId="0" xr:uid="{00000000-0006-0000-35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4" authorId="1" shapeId="0" xr:uid="{00000000-0006-0000-35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may.johnston</author>
    <author>May M. Johnston</author>
  </authors>
  <commentList>
    <comment ref="A7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E12" authorId="1" shapeId="0" xr:uid="{00000000-0006-0000-3600-00000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H12" authorId="1" shapeId="0" xr:uid="{00000000-0006-0000-36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A23" authorId="0" shapeId="0" xr:uid="{00000000-0006-0000-3600-000004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1" shapeId="0" xr:uid="{00000000-0006-0000-3600-00000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1" shapeId="0" xr:uid="{00000000-0006-0000-36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27" authorId="1" shapeId="0" xr:uid="{00000000-0006-0000-36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1" shapeId="0" xr:uid="{00000000-0006-0000-36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1" shapeId="0" xr:uid="{00000000-0006-0000-36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1" shapeId="0" xr:uid="{00000000-0006-0000-36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28" authorId="1" shapeId="0" xr:uid="{00000000-0006-0000-36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A39" authorId="0" shapeId="0" xr:uid="{00000000-0006-0000-3600-00000C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E44" authorId="1" shapeId="0" xr:uid="{00000000-0006-0000-36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H44" authorId="1" shapeId="0" xr:uid="{00000000-0006-0000-36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 at 4000 Mj</t>
        </r>
      </text>
    </comment>
    <comment ref="A54" authorId="1" shapeId="0" xr:uid="{00000000-0006-0000-36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1" shapeId="0" xr:uid="{00000000-0006-0000-36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1" shapeId="0" xr:uid="{00000000-0006-0000-3600-000011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1" shapeId="0" xr:uid="{00000000-0006-0000-36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1" shapeId="0" xr:uid="{00000000-0006-0000-36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may.johnston</author>
    <author>May M. Johnston</author>
  </authors>
  <commentList>
    <comment ref="A7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11" authorId="1" shapeId="0" xr:uid="{00000000-0006-0000-3700-00000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11" authorId="1" shapeId="0" xr:uid="{00000000-0006-0000-37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11" authorId="1" shapeId="0" xr:uid="{00000000-0006-0000-3700-00000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11" authorId="1" shapeId="0" xr:uid="{00000000-0006-0000-3700-00000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11" authorId="1" shapeId="0" xr:uid="{00000000-0006-0000-37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11" authorId="1" shapeId="0" xr:uid="{00000000-0006-0000-37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12" authorId="1" shapeId="0" xr:uid="{00000000-0006-0000-37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A23" authorId="0" shapeId="0" xr:uid="{00000000-0006-0000-3700-000009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27" authorId="1" shapeId="0" xr:uid="{00000000-0006-0000-37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27" authorId="1" shapeId="0" xr:uid="{00000000-0006-0000-37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27" authorId="1" shapeId="0" xr:uid="{00000000-0006-0000-3700-00000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27" authorId="1" shapeId="0" xr:uid="{00000000-0006-0000-3700-00000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27" authorId="1" shapeId="0" xr:uid="{00000000-0006-0000-3700-00000E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27" authorId="1" shapeId="0" xr:uid="{00000000-0006-0000-3700-00000F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28" authorId="1" shapeId="0" xr:uid="{00000000-0006-0000-3700-000010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A39" authorId="0" shapeId="0" xr:uid="{00000000-0006-0000-3700-00001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F43" authorId="1" shapeId="0" xr:uid="{00000000-0006-0000-3700-000012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G43" authorId="1" shapeId="0" xr:uid="{00000000-0006-0000-3700-00001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H43" authorId="1" shapeId="0" xr:uid="{00000000-0006-0000-3700-00001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I43" authorId="1" shapeId="0" xr:uid="{00000000-0006-0000-3700-00001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J43" authorId="1" shapeId="0" xr:uid="{00000000-0006-0000-3700-00001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K43" authorId="1" shapeId="0" xr:uid="{00000000-0006-0000-3700-00001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Just one block</t>
        </r>
      </text>
    </comment>
    <comment ref="E44" authorId="1" shapeId="0" xr:uid="{00000000-0006-0000-3700-00001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AGL has a 3rd block rate for consumption over 12000MJ and up to 84000 MJ every 60 days. Due to the high threshold this rate has been entered as the balance rate.</t>
        </r>
      </text>
    </comment>
    <comment ref="A54" authorId="1" shapeId="0" xr:uid="{00000000-0006-0000-3700-00001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5" authorId="1" shapeId="0" xr:uid="{00000000-0006-0000-3700-00001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6" authorId="1" shapeId="0" xr:uid="{00000000-0006-0000-3700-00001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7" authorId="1" shapeId="0" xr:uid="{00000000-0006-0000-3700-00001C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A58" authorId="1" shapeId="0" xr:uid="{00000000-0006-0000-3700-00001D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may.johnston</author>
    <author>May M. Johnston</author>
  </authors>
  <commentList>
    <comment ref="A7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May - 31 Oct</t>
        </r>
      </text>
    </comment>
    <comment ref="A23" authorId="0" shapeId="0" xr:uid="{00000000-0006-0000-3800-000002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A35" authorId="1" shapeId="0" xr:uid="{00000000-0006-0000-3800-000003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36" authorId="1" shapeId="0" xr:uid="{00000000-0006-0000-3800-000004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37" authorId="1" shapeId="0" xr:uid="{00000000-0006-0000-3800-00000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38" authorId="1" shapeId="0" xr:uid="{00000000-0006-0000-38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J38" authorId="1" shapeId="0" xr:uid="{00000000-0006-0000-38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Discount on energy consumption only - not the supply charge.</t>
        </r>
      </text>
    </comment>
    <comment ref="A39" authorId="1" shapeId="0" xr:uid="{00000000-0006-0000-38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may.johnston</author>
    <author>May M. Johnston</author>
  </authors>
  <commentList>
    <comment ref="J6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From Simply's website. Presented as annual blocks. Same as standing offer with pay on time discount.</t>
        </r>
      </text>
    </comment>
    <comment ref="K6" authorId="0" shapeId="0" xr:uid="{00000000-0006-0000-3900-000002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PPIS from Vic Electricity website</t>
        </r>
      </text>
    </comment>
    <comment ref="A7" authorId="0" shapeId="0" xr:uid="{00000000-0006-0000-3900-000003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A23" authorId="0" shapeId="0" xr:uid="{00000000-0006-0000-3900-000004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A36" authorId="0" shapeId="0" xr:uid="{00000000-0006-0000-3900-000005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A51" authorId="1" shapeId="0" xr:uid="{00000000-0006-0000-39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52" authorId="1" shapeId="0" xr:uid="{00000000-0006-0000-39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53" authorId="1" shapeId="0" xr:uid="{00000000-0006-0000-39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54" authorId="1" shapeId="0" xr:uid="{00000000-0006-0000-39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J54" authorId="1" shapeId="0" xr:uid="{00000000-0006-0000-39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Discount on energy consumption only - not the supply charge.</t>
        </r>
      </text>
    </comment>
    <comment ref="A55" authorId="1" shapeId="0" xr:uid="{00000000-0006-0000-3900-00000B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may.johnston</author>
    <author>May M. Johnston</author>
  </authors>
  <commentList>
    <comment ref="A7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H19" authorId="0" shapeId="0" xr:uid="{00000000-0006-0000-3A00-000002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No PPIS available - figures from ESC website</t>
        </r>
      </text>
    </comment>
    <comment ref="A20" authorId="0" shapeId="0" xr:uid="{00000000-0006-0000-3A00-000003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A33" authorId="0" shapeId="0" xr:uid="{00000000-0006-0000-3A00-000004000000}">
      <text>
        <r>
          <rPr>
            <b/>
            <sz val="8"/>
            <color indexed="81"/>
            <rFont val="Tahoma"/>
            <family val="2"/>
          </rPr>
          <t>may.johnston:</t>
        </r>
        <r>
          <rPr>
            <sz val="8"/>
            <color indexed="81"/>
            <rFont val="Tahoma"/>
            <family val="2"/>
          </rPr>
          <t xml:space="preserve">
Peak: 1 June - 30 Sept</t>
        </r>
      </text>
    </comment>
    <comment ref="A45" authorId="1" shapeId="0" xr:uid="{00000000-0006-0000-3A00-000005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These discounts are applied to the energy consumption only and do not reduce the supply charge. Some of the discounts are higher than indicated here if a customer purchases both electricity and gas from the retailer.</t>
        </r>
      </text>
    </comment>
    <comment ref="A46" authorId="1" shapeId="0" xr:uid="{00000000-0006-0000-3A00-000006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Length of contract</t>
        </r>
      </text>
    </comment>
    <comment ref="A47" authorId="1" shapeId="0" xr:uid="{00000000-0006-0000-3A00-000007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Some retailers will waive the ETF if the customer moves but stays with the company.</t>
        </r>
      </text>
    </comment>
    <comment ref="A48" authorId="1" shapeId="0" xr:uid="{00000000-0006-0000-3A00-000008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Most retailers, but not all, applythese discounts to the whole bill (including supply charge).</t>
        </r>
      </text>
    </comment>
    <comment ref="J48" authorId="1" shapeId="0" xr:uid="{00000000-0006-0000-3A00-000009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Discount on energy consumption only - not the supply charge.</t>
        </r>
      </text>
    </comment>
    <comment ref="A49" authorId="1" shapeId="0" xr:uid="{00000000-0006-0000-3A00-00000A000000}">
      <text>
        <r>
          <rPr>
            <b/>
            <sz val="9"/>
            <color indexed="81"/>
            <rFont val="Arial"/>
            <family val="2"/>
          </rPr>
          <t>May M. Johnston:</t>
        </r>
        <r>
          <rPr>
            <sz val="9"/>
            <color indexed="81"/>
            <rFont val="Arial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16" authorId="0" shapeId="0" xr:uid="{7A16CEDA-3F43-9548-AE13-E3F194004C1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6" authorId="0" shapeId="0" xr:uid="{9B81E9CF-9280-2541-9D1F-3FA6A679269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22" authorId="0" shapeId="0" xr:uid="{A5711560-A62B-924F-BC8D-43415D52088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22" authorId="0" shapeId="0" xr:uid="{BD7CAAEF-0D84-5941-9C55-0CFE686D6AD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33" authorId="0" shapeId="0" xr:uid="{6F849349-7692-2C47-A550-5D37D0E6189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33" authorId="0" shapeId="0" xr:uid="{F8940F69-1C62-6645-BF27-7760B95AAF0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39" authorId="0" shapeId="0" xr:uid="{3D6F0D57-A94D-AC40-A948-DE05857E777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39" authorId="0" shapeId="0" xr:uid="{AA523727-2D04-1549-A5A7-A908332788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50" authorId="0" shapeId="0" xr:uid="{66181B92-F1C0-C545-B41E-E86D039F2A0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50" authorId="0" shapeId="0" xr:uid="{DF925E4C-C160-814A-BD40-D261FD9763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56" authorId="0" shapeId="0" xr:uid="{37A8B31C-2EE5-814E-87F8-2CFDB637A3D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56" authorId="0" shapeId="0" xr:uid="{E29A0590-53E9-DE45-BDBC-9C6C4140873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67" authorId="0" shapeId="0" xr:uid="{D0397B18-C152-024A-9C13-0DF467215D6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67" authorId="0" shapeId="0" xr:uid="{0FB98E8D-7C1A-3F46-956F-AB7FE8556FC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73" authorId="0" shapeId="0" xr:uid="{F27A9449-ACA0-4C44-84F0-63CD9D0715E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73" authorId="0" shapeId="0" xr:uid="{C17B448F-5074-9F4C-9413-DC801040833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84" authorId="0" shapeId="0" xr:uid="{81B7B553-7C99-B847-AB3F-89EFAC095D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84" authorId="0" shapeId="0" xr:uid="{D2040E75-4A37-9B47-A075-6E269E03461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90" authorId="0" shapeId="0" xr:uid="{93A508F0-5468-B04C-94F5-5CE7B6C436A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90" authorId="0" shapeId="0" xr:uid="{DE8C410A-BEAE-694A-8D8E-A23BE645AE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00" authorId="0" shapeId="0" xr:uid="{E3F71132-A063-954A-B52B-ABA2CFA3C5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00" authorId="0" shapeId="0" xr:uid="{CB5785A1-8E9C-464B-BF91-656BF54C91B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06" authorId="0" shapeId="0" xr:uid="{41E3F0B0-8BE4-2F41-AD5B-984C52127A1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06" authorId="0" shapeId="0" xr:uid="{6541F73B-83F8-E941-900A-F323E130D35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17" authorId="0" shapeId="0" xr:uid="{E160A066-5A08-CC4A-BB4F-2185D7D6E1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17" authorId="0" shapeId="0" xr:uid="{925D3E5A-64B1-464F-8F24-EE7382C4F1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23" authorId="0" shapeId="0" xr:uid="{09780D6C-48C8-EE4D-8EBB-3975AE1C68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23" authorId="0" shapeId="0" xr:uid="{784F6DF3-A9C3-AF44-96A9-45E247BD1DF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34" authorId="0" shapeId="0" xr:uid="{5E12CE3C-7B88-F843-9216-40E20E39428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34" authorId="0" shapeId="0" xr:uid="{A6086B74-F96A-9D49-B833-FE47E56F47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40" authorId="0" shapeId="0" xr:uid="{C644B902-E3D8-E345-B46D-27CCC691058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40" authorId="0" shapeId="0" xr:uid="{D52F2E37-AD61-F044-BE86-8AB60158CF6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16" authorId="0" shapeId="0" xr:uid="{F6F25067-0B9E-234D-AB95-58B1C36A953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6" authorId="0" shapeId="0" xr:uid="{F7D60F7B-C7E3-D444-8474-6D403B9B629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7" authorId="0" shapeId="0" xr:uid="{B0F9C269-6AC0-2C4A-80FF-4A82E4FCD4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7" authorId="0" shapeId="0" xr:uid="{93647F77-D10D-5141-98BF-8A0E85E3B5E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22" authorId="0" shapeId="0" xr:uid="{FEA449D0-55F1-CE43-834D-C564B43FC44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22" authorId="0" shapeId="0" xr:uid="{C0E801A9-4319-DB4D-BED6-B33D4F516F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34" authorId="0" shapeId="0" xr:uid="{BA6EF48B-96BC-FA41-B150-E7BEC82550B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34" authorId="0" shapeId="0" xr:uid="{64E7ABA4-F037-F64D-AA17-A4A2F736F8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35" authorId="0" shapeId="0" xr:uid="{87F56614-DBFC-C74E-A4F6-747DD07B9A5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35" authorId="0" shapeId="0" xr:uid="{40725E53-90F9-0148-BB72-4F9DE4E267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40" authorId="0" shapeId="0" xr:uid="{357C2336-2BCF-2140-98FF-0B15CABFABC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40" authorId="0" shapeId="0" xr:uid="{8BB0D4E8-EF2E-1145-AD47-FD8384830CC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52" authorId="0" shapeId="0" xr:uid="{19D4CEF9-2633-E449-8DB8-BE73610C65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52" authorId="0" shapeId="0" xr:uid="{FFA4F1DE-E372-2247-A271-29329A8CFAF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53" authorId="0" shapeId="0" xr:uid="{582A118E-618E-8F45-9E74-7442D3581B9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53" authorId="0" shapeId="0" xr:uid="{1AD922D0-90E9-3243-9919-C77770A26FB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58" authorId="0" shapeId="0" xr:uid="{7F58AA79-F990-FB49-9514-B9939FAA760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58" authorId="0" shapeId="0" xr:uid="{A95A2633-89B5-B047-BDA3-78E9BE6456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70" authorId="0" shapeId="0" xr:uid="{FEF8D1F9-012C-7C46-8138-739AD31766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70" authorId="0" shapeId="0" xr:uid="{6BB9921C-D249-8E4E-ABD0-01C8F33F47B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71" authorId="0" shapeId="0" xr:uid="{579BA649-0CD9-8047-B711-E029A1716B1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71" authorId="0" shapeId="0" xr:uid="{E09CC770-CFE8-7740-B5FB-1D3397226F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76" authorId="0" shapeId="0" xr:uid="{D28266D6-EE50-104A-A0BA-B9EB8ECF3A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76" authorId="0" shapeId="0" xr:uid="{E347854B-E09F-4844-A1A6-8C794F39D97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88" authorId="0" shapeId="0" xr:uid="{D383DAFC-9198-1848-BED5-6794C9A8A3A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88" authorId="0" shapeId="0" xr:uid="{37514460-CE44-6F42-8A29-6FC0A420D2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89" authorId="0" shapeId="0" xr:uid="{E701BCD4-6404-5C4A-9340-D06728D208B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89" authorId="0" shapeId="0" xr:uid="{89341FA7-C1C7-EF43-8281-5270C88CCAF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94" authorId="0" shapeId="0" xr:uid="{B3A7CD0E-7EF2-A341-B267-C9026A82E53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94" authorId="0" shapeId="0" xr:uid="{AB1A4A73-2DC1-214A-9D50-8C677D0DF97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05" authorId="0" shapeId="0" xr:uid="{3CE5D383-C641-B14F-A34F-712FFE318C1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05" authorId="0" shapeId="0" xr:uid="{8AC216F7-A890-CF47-9090-E513AE56FC1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06" authorId="0" shapeId="0" xr:uid="{B67008CB-6EAA-F64B-8767-3187946851B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06" authorId="0" shapeId="0" xr:uid="{CA572E92-0C85-B34B-95AB-512E9111452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11" authorId="0" shapeId="0" xr:uid="{5933618A-89EB-4E4D-8203-583631E31D0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11" authorId="0" shapeId="0" xr:uid="{15D1ADC6-4B86-6D42-AD1D-E9F34312982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23" authorId="0" shapeId="0" xr:uid="{79D7B6B6-9D14-544E-822B-8D30E82728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23" authorId="0" shapeId="0" xr:uid="{BCF2245B-3302-AA4A-90A3-7295DC25D00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24" authorId="0" shapeId="0" xr:uid="{07BE3213-AFAC-C84C-A551-C98DCEBFEDE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24" authorId="0" shapeId="0" xr:uid="{0D88413B-3441-D745-A0EC-B6D7F8ECD62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29" authorId="0" shapeId="0" xr:uid="{EB88203E-F13A-6B46-9802-BF1C30AA4F1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29" authorId="0" shapeId="0" xr:uid="{6FCEC8C6-410F-AE46-9814-872DD8F309E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41" authorId="0" shapeId="0" xr:uid="{1D1C53B5-6D4B-2D42-B6AB-A95EAB24C4C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41" authorId="0" shapeId="0" xr:uid="{B1896E73-4CE3-6843-B9E9-2027A384F26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42" authorId="0" shapeId="0" xr:uid="{C4EA23DA-B6E0-C04F-950A-9F7ABF4657F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42" authorId="0" shapeId="0" xr:uid="{075ACA42-56F1-3D4E-B538-540C1867AE7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47" authorId="0" shapeId="0" xr:uid="{BAE70B7A-6EA5-9442-A8D5-72C1A2E8178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47" authorId="0" shapeId="0" xr:uid="{5EB086F4-C207-8346-B9B0-D60F9825466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16" authorId="0" shapeId="0" xr:uid="{6C8731CE-A3D2-6A47-BC23-3B310692690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6" authorId="0" shapeId="0" xr:uid="{96115D9F-7E39-BC40-934E-CEFFD104F93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7" authorId="0" shapeId="0" xr:uid="{5F356B99-3BAD-0644-A675-567CFDD46A6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7" authorId="0" shapeId="0" xr:uid="{530DDFCD-35A3-2742-BD5E-13EF0FDB3B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22" authorId="0" shapeId="0" xr:uid="{27B8CA76-BE2A-F94D-AEAA-74F8361C063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22" authorId="0" shapeId="0" xr:uid="{45D3B060-3593-2A4B-B5A0-9645F06F66F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32" authorId="0" shapeId="0" xr:uid="{89F0361B-D704-434F-9839-61EEDD11E4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32" authorId="0" shapeId="0" xr:uid="{96C3E708-2184-6848-AC8D-049046F6A0E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33" authorId="0" shapeId="0" xr:uid="{66C6C314-8A28-4B4A-ADF6-FB16CBC75B7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33" authorId="0" shapeId="0" xr:uid="{0CF73176-5301-0E41-85D4-1DA4F67DD93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38" authorId="0" shapeId="0" xr:uid="{47DDE12D-5061-A549-B322-D24765AE78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38" authorId="0" shapeId="0" xr:uid="{DE78B84C-7A51-974E-BB5C-2647DBC49E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48" authorId="0" shapeId="0" xr:uid="{14C7E256-B506-B740-A8F6-147CAF9FD99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48" authorId="0" shapeId="0" xr:uid="{395237B8-07DA-D84B-A584-4098E299C6E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49" authorId="0" shapeId="0" xr:uid="{97691D4E-059D-564E-952E-1EB922ED50A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49" authorId="0" shapeId="0" xr:uid="{2064362E-2C73-1A43-A86D-656DAC7E859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54" authorId="0" shapeId="0" xr:uid="{4E10C10D-0612-6343-956F-F07300A2B2D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54" authorId="0" shapeId="0" xr:uid="{61422E59-7285-214A-8954-F8D21BE885D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64" authorId="0" shapeId="0" xr:uid="{0790E2BB-B8D4-B241-A6A1-6FF2EE32BD7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64" authorId="0" shapeId="0" xr:uid="{D64167BC-8583-084A-A145-84F6A05FCE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65" authorId="0" shapeId="0" xr:uid="{45BD059F-3683-AC4F-A3BD-B1583ACBE83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65" authorId="0" shapeId="0" xr:uid="{22B18153-A1CC-F94F-87B9-43B22471540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70" authorId="0" shapeId="0" xr:uid="{4B2AB121-0429-7C49-8ADE-6FDCAF1DAE6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70" authorId="0" shapeId="0" xr:uid="{4970A376-BFBB-0343-A8AF-E7D26B83299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80" authorId="0" shapeId="0" xr:uid="{BE70D2F6-63EC-2B42-B463-B1D886A7AB8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80" authorId="0" shapeId="0" xr:uid="{0E583DB7-C4A7-B745-AAD1-C15885365B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81" authorId="0" shapeId="0" xr:uid="{7BA6C378-A771-1040-A5E2-A487607323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81" authorId="0" shapeId="0" xr:uid="{41061680-798F-8B44-9389-384B515915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86" authorId="0" shapeId="0" xr:uid="{AC9E3E6B-54E6-2A46-9104-B0ECA103F97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86" authorId="0" shapeId="0" xr:uid="{3B241127-22F8-4E40-A40E-16205E3D3F6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95" authorId="0" shapeId="0" xr:uid="{74B7904C-BA99-6345-8720-BE8A484A97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95" authorId="0" shapeId="0" xr:uid="{BA11ABC9-9F2B-A142-A2FC-41E6A901455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96" authorId="0" shapeId="0" xr:uid="{0D755824-096F-A44C-9297-96655AB654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96" authorId="0" shapeId="0" xr:uid="{206D390D-E690-254D-8777-8931AB602BB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01" authorId="0" shapeId="0" xr:uid="{10F57DBE-C3D6-A141-84C5-56E0278790D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01" authorId="0" shapeId="0" xr:uid="{68D09FF2-90B3-B84F-8E1E-6410D0A252C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11" authorId="0" shapeId="0" xr:uid="{35AFB2F5-DFC2-3A4C-AD09-D1188C4C7B7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11" authorId="0" shapeId="0" xr:uid="{B83E714D-EAEE-4243-94D3-506C7D2CE97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12" authorId="0" shapeId="0" xr:uid="{E299C473-9F5F-7248-85A5-ECEA2A8FC17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12" authorId="0" shapeId="0" xr:uid="{5CF53391-90B0-7F4B-9EE4-D8436198511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17" authorId="0" shapeId="0" xr:uid="{429B19E6-D87C-BF4F-8AAD-D59148FAB2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17" authorId="0" shapeId="0" xr:uid="{CE265A73-BF43-6140-BBD5-D59665B62C9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27" authorId="0" shapeId="0" xr:uid="{EA7C531D-7C05-2A42-A9EE-7B86DA1D2BC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27" authorId="0" shapeId="0" xr:uid="{02A3CC90-F4DF-BC47-9F1A-D9C3D3BBA39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28" authorId="0" shapeId="0" xr:uid="{11B49DE0-9A05-2E4B-9321-A5A6267011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28" authorId="0" shapeId="0" xr:uid="{4227DEAD-90F7-1B42-BF05-EAFEBD518D7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W133" authorId="0" shapeId="0" xr:uid="{57D68958-BE6A-5241-9579-75C1E79941E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X133" authorId="0" shapeId="0" xr:uid="{028C1BDF-8DF5-F847-82D6-EC1DA678E28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</commentList>
</comments>
</file>

<file path=xl/sharedStrings.xml><?xml version="1.0" encoding="utf-8"?>
<sst xmlns="http://schemas.openxmlformats.org/spreadsheetml/2006/main" count="31725" uniqueCount="1771">
  <si>
    <t>Multinet 1</t>
  </si>
  <si>
    <t>GloBird</t>
  </si>
  <si>
    <t>GloSave</t>
  </si>
  <si>
    <t>Bi-monthly</t>
  </si>
  <si>
    <t>N</t>
  </si>
  <si>
    <t xml:space="preserve">St Vincent de Paul Society Victoria, Victorian Tariff-Tracking Project, Workbook 4: Gas Standing Offers </t>
  </si>
  <si>
    <t>Multinet network area 2010</t>
  </si>
  <si>
    <t>Market offers 1 June 2010</t>
  </si>
  <si>
    <t>Envestra network area 2010</t>
  </si>
  <si>
    <t>SP Ausnet network area 2010</t>
  </si>
  <si>
    <t>VIC</t>
    <phoneticPr fontId="4" type="noConversion"/>
  </si>
  <si>
    <t>Multinet 1</t>
    <phoneticPr fontId="4" type="noConversion"/>
  </si>
  <si>
    <t>AGL</t>
    <phoneticPr fontId="4" type="noConversion"/>
  </si>
  <si>
    <t>Savers</t>
    <phoneticPr fontId="4" type="noConversion"/>
  </si>
  <si>
    <t>Alinta Energy</t>
    <phoneticPr fontId="4" type="noConversion"/>
  </si>
  <si>
    <t>Fair Deal</t>
    <phoneticPr fontId="4" type="noConversion"/>
  </si>
  <si>
    <t>Click Energy</t>
    <phoneticPr fontId="4" type="noConversion"/>
  </si>
  <si>
    <t>Lilac</t>
  </si>
  <si>
    <t>Covau</t>
    <phoneticPr fontId="4" type="noConversion"/>
  </si>
  <si>
    <t>Dodo Power &amp; Gas</t>
    <phoneticPr fontId="4" type="noConversion"/>
  </si>
  <si>
    <t>Market offer</t>
    <phoneticPr fontId="4" type="noConversion"/>
  </si>
  <si>
    <t>EnergyAustralia</t>
    <phoneticPr fontId="4" type="noConversion"/>
  </si>
  <si>
    <t>Lumo Energy</t>
    <phoneticPr fontId="4" type="noConversion"/>
  </si>
  <si>
    <t>Advantage</t>
    <phoneticPr fontId="4" type="noConversion"/>
  </si>
  <si>
    <t>Momentum Energy</t>
    <phoneticPr fontId="4" type="noConversion"/>
  </si>
  <si>
    <t>Origin Energy</t>
    <phoneticPr fontId="4" type="noConversion"/>
  </si>
  <si>
    <t>Saver</t>
    <phoneticPr fontId="4" type="noConversion"/>
  </si>
  <si>
    <t>Red Energy</t>
    <phoneticPr fontId="4" type="noConversion"/>
  </si>
  <si>
    <t>Easy Saver</t>
  </si>
  <si>
    <t>Simply Energy</t>
    <phoneticPr fontId="4" type="noConversion"/>
  </si>
  <si>
    <t>Plus</t>
    <phoneticPr fontId="4" type="noConversion"/>
  </si>
  <si>
    <t>Sumo Power</t>
    <phoneticPr fontId="7" type="noConversion"/>
  </si>
  <si>
    <t>Pay on time (max discount)</t>
  </si>
  <si>
    <t>Gas 4</t>
  </si>
  <si>
    <t>Powershop</t>
  </si>
  <si>
    <t>Gas Saver</t>
  </si>
  <si>
    <t>Online sign up discount off bill (%)</t>
  </si>
  <si>
    <t>Online sign up discount off usage (%)</t>
  </si>
  <si>
    <t>n</t>
    <phoneticPr fontId="4" type="noConversion"/>
  </si>
  <si>
    <t>$25 credit if signing up online</t>
  </si>
  <si>
    <t>Account credit</t>
    <phoneticPr fontId="4" type="noConversion"/>
  </si>
  <si>
    <t>N</t>
    <phoneticPr fontId="4" type="noConversion"/>
  </si>
  <si>
    <t>E-billing only. Monthly billing</t>
    <phoneticPr fontId="4" type="noConversion"/>
  </si>
  <si>
    <t>Y</t>
    <phoneticPr fontId="4" type="noConversion"/>
  </si>
  <si>
    <t>$50 welcome credit</t>
    <phoneticPr fontId="4" type="noConversion"/>
  </si>
  <si>
    <t>Unchanged</t>
    <phoneticPr fontId="4" type="noConversion"/>
  </si>
  <si>
    <t xml:space="preserve">$50 welcome credit for customers that sign up online </t>
  </si>
  <si>
    <t xml:space="preserve">To qualify for Pay on Time discount you musy log in to Powershop at least once every two months and pay all amounts owing with the Gas Saver pack. </t>
  </si>
  <si>
    <t>https://www.powershop.com.au/gas-prices/files/market-offer/multinet/PMO-Multinet-Metro-0518.pdf</t>
  </si>
  <si>
    <t>Multinet 2</t>
    <phoneticPr fontId="4" type="noConversion"/>
  </si>
  <si>
    <t>Envestra North</t>
    <phoneticPr fontId="4" type="noConversion"/>
  </si>
  <si>
    <t>https://www.powershop.com.au/gas-prices/files/market-offer/agn/PMO-AGN-North-0518.pdf</t>
  </si>
  <si>
    <t>https://www.powershop.com.au/gas-prices/files/market-offer/agn/PMO-AGN-Central-0518.pdf</t>
  </si>
  <si>
    <t>Envestra Central 1</t>
    <phoneticPr fontId="4" type="noConversion"/>
  </si>
  <si>
    <t>Ausnet West</t>
    <phoneticPr fontId="4" type="noConversion"/>
  </si>
  <si>
    <t>https://www.powershop.com.au/gas-prices/files/market-offer/ausnet/PMO-AusNet-West-0518.pdf</t>
  </si>
  <si>
    <t>https://www.powershop.com.au/gas-prices/files/market-offer/ausnet/PMO-AusNet-Central-0518.pdf</t>
  </si>
  <si>
    <t>Ausnet Central 1</t>
    <phoneticPr fontId="4" type="noConversion"/>
  </si>
  <si>
    <t>https://www.clickenergy.com.au/energy-price-fact-sheets/sp-ausnet-central-1/click-amber/214/</t>
  </si>
  <si>
    <t>https://secure.energyaustralia.com.au/EnergyPriceFactSheets/Docs/EPFS/G_R_V_GEASY_T1_18_28-07-2016.pdf</t>
  </si>
  <si>
    <t>https://www.originenergy.com.au/content/dam/origin/residential/docs/energy-price-fact-sheets/vic/VIC_Natural%20Gas_Residential_AusNet%20Services%20Central%201_OriginSaver13.PDF</t>
  </si>
  <si>
    <t xml:space="preserve">Multinet network area </t>
  </si>
  <si>
    <t>Gas market offers January 2016 (exc GST)</t>
    <phoneticPr fontId="20" type="noConversion"/>
  </si>
  <si>
    <t>Annual proportion of peak time</t>
  </si>
  <si>
    <t>Number of peak winter bills</t>
  </si>
  <si>
    <t>Annual proportion of off peak time</t>
  </si>
  <si>
    <t>Number of off peak summer bills</t>
  </si>
  <si>
    <t>1st block (MJ/60 days)</t>
  </si>
  <si>
    <t>2st block (MJ/60 days)</t>
  </si>
  <si>
    <t>3rd block (MJ/60 days)</t>
  </si>
  <si>
    <t>4th block (MJ/60 days)</t>
  </si>
  <si>
    <t>c/MJ 1st block peak</t>
  </si>
  <si>
    <t>c/MJ 2nd block peak</t>
  </si>
  <si>
    <t>c/MJ 3rd block peak</t>
  </si>
  <si>
    <t>c/MJ 4th block peak</t>
  </si>
  <si>
    <t>c/MJ peak balance</t>
  </si>
  <si>
    <t>c/MJ 1st block 0ff-peak</t>
  </si>
  <si>
    <t>c/MJ 2nd block Off-peak</t>
  </si>
  <si>
    <t>c/MJ 3rd block Off-peak</t>
  </si>
  <si>
    <t>c/MJ 4th block Off-peak</t>
  </si>
  <si>
    <t>c/MJ Off-peak balance</t>
  </si>
  <si>
    <t>c/per day fixed charges</t>
  </si>
  <si>
    <t xml:space="preserve">Envestra network area </t>
    <phoneticPr fontId="20" type="noConversion"/>
  </si>
  <si>
    <t>Envestra North</t>
  </si>
  <si>
    <t>2nd block (MJ/60 days)</t>
  </si>
  <si>
    <t>Envestra Central</t>
  </si>
  <si>
    <t>c/MJ 2nd block 0ff-peak</t>
  </si>
  <si>
    <t xml:space="preserve">SP Ausnet network area </t>
    <phoneticPr fontId="20" type="noConversion"/>
  </si>
  <si>
    <t>SP Ausnet West</t>
  </si>
  <si>
    <t>SP Ausnet Central</t>
  </si>
  <si>
    <t>Gas market offers July 2015 (exc GST)</t>
    <phoneticPr fontId="20" type="noConversion"/>
  </si>
  <si>
    <t>18% off usage</t>
    <phoneticPr fontId="20" type="noConversion"/>
  </si>
  <si>
    <t>Gas market offers January 2015</t>
    <phoneticPr fontId="20" type="noConversion"/>
  </si>
  <si>
    <t>Gas market offers July 2014</t>
    <phoneticPr fontId="20" type="noConversion"/>
  </si>
  <si>
    <t>Gas market offers January 2014</t>
    <phoneticPr fontId="20" type="noConversion"/>
  </si>
  <si>
    <t>Gas market offers July 2013</t>
    <phoneticPr fontId="20" type="noConversion"/>
  </si>
  <si>
    <t>Gas market offers January 2013</t>
    <phoneticPr fontId="20" type="noConversion"/>
  </si>
  <si>
    <t>Gas market offers Jul 2012</t>
    <phoneticPr fontId="20" type="noConversion"/>
  </si>
  <si>
    <t>Gas market offers July 2012</t>
    <phoneticPr fontId="20" type="noConversion"/>
  </si>
  <si>
    <t>10% off usage</t>
  </si>
  <si>
    <t>Gas market offers January 2012</t>
    <phoneticPr fontId="20" type="noConversion"/>
  </si>
  <si>
    <t>St Vincent de Paul Society Victoria, Victorian Tariff-Tracking Project, Workbook 4: Gas Market Offers</t>
    <phoneticPr fontId="20" type="noConversion"/>
  </si>
  <si>
    <t>Gas market offers July 2011</t>
    <phoneticPr fontId="20" type="noConversion"/>
  </si>
  <si>
    <t xml:space="preserve">Envestra network area </t>
  </si>
  <si>
    <t xml:space="preserve">SP Ausnet network area </t>
  </si>
  <si>
    <t>Gas market offers January 2011</t>
  </si>
  <si>
    <t>https://www.originenergy.com.au/content/dam/origin/residential/docs/energy-price-fact-sheets/vic/VIC_Natural%20Gas_Residential_Australian%20Gas%20Networks%20Central%202_OriginSaver13.PDF</t>
  </si>
  <si>
    <t>https://www.agl.com.au/-/media/AGLData/DistributorData/PDFs/V_OS_R_G_OSE_1SAVERS_Eff_5Sept16.pdf</t>
  </si>
  <si>
    <t>https://www.clickenergy.com.au/energy-price-fact-sheets/envestra-central-1/click-amber/207/</t>
  </si>
  <si>
    <t>https://secure.energyaustralia.com.au/EnergyPriceFactSheets/Docs/EPFS/G_R_V_GEASY_R5_18_28-07-2016.pdf</t>
  </si>
  <si>
    <t>https://www.originenergy.com.au/content/dam/origin/residential/docs/energy-price-fact-sheets/vic/VIC_Natural%20Gas_Residential_Australian%20Gas%20Networks%20Central%201_OriginSaver13.PDF</t>
  </si>
  <si>
    <t>https://www.agl.com.au/-/media/AGLData/DistributorData/PDFs/V_OS_R_G_TW_1SAVERS_Eff_5Sept16.pdf</t>
  </si>
  <si>
    <t>https://www.clickenergy.com.au/energy-price-fact-sheets/sp-ausnet-west/click-amber/216/</t>
  </si>
  <si>
    <t>https://secure.energyaustralia.com.au/EnergyPriceFactSheets/Docs/EPFS/G_R_V_GEASY_T3_18_28-07-2016.pdf</t>
  </si>
  <si>
    <t>https://www.originenergy.com.au/content/dam/origin/residential/docs/energy-price-fact-sheets/vic/VIC_Natural%20Gas_Residential_AusNet%20Services%20West_OriginSaver13.PDF</t>
  </si>
  <si>
    <t>https://www.agl.com.au/-/media/AGLData/DistributorData/PDFs/V_OS_R_G_NTH_1SAVERS_Eff_5Sept16.pdf</t>
  </si>
  <si>
    <t>https://www.clickenergy.com.au/energy-price-fact-sheets/sp-ausnet-central-2/click-amber/215/</t>
  </si>
  <si>
    <t>https://connectto.dodo.com/EnergySignup2015/pricefactsheet/GetPdfDocument?filepath=PriceFactSheets%5cSP-Ausnet%5cConsumer%5cGas%5cAusNet+Services+Residential+Gas+Market+Offer+01-09-2016.pdf</t>
  </si>
  <si>
    <t>https://secure.energyaustralia.com.au/EnergyPriceFactSheets/Docs/EPFS/G_R_V_GEASY_A1_18_28-07-2016.pdf</t>
  </si>
  <si>
    <t>https://www.originenergy.com.au/content/dam/origin/residential/docs/energy-price-fact-sheets/vic/VIC_Natural%20Gas_Residential_AusNet%20Services%20Central%202_OriginSaver13.PDF</t>
  </si>
  <si>
    <t>https://www.agl.com.au/-/media/AGLData/DistributorData/PDFs/V_OS_R_G_TC_1SAVERS_Eff_5Sept16.pdf</t>
  </si>
  <si>
    <t>https://www.redenergy.com.au/epis/quote/3102/ppis/?supplyType=BOTH&amp;customerType=RESIDENT&amp;jurisdictionProduct=VIC_CONTRACT&amp;pricingGasZone=1001&amp;network=CITIPP&amp;tniPricingZone=ZONE_1&amp;pricingMeterType=SINGLE_RATE</t>
    <phoneticPr fontId="20" type="noConversion"/>
  </si>
  <si>
    <t>https://www.agl.com.au/-/media/AGLData/DistributorData/PDFs/V_OS_R_G_STH_1SAVERS_Eff_5Sept16.pdf</t>
  </si>
  <si>
    <t>https://secure.energyaustralia.com.au/EnergyPriceFactSheets/Docs/EPFS/G_R_V_GEASY_A2_18_28-07-2016.pdf</t>
  </si>
  <si>
    <t>https://www.originenergy.com.au/content/dam/origin/residential/docs/energy-price-fact-sheets/vic/VIC_Natural%20Gas_Residential_Multinet%20Main%202_OriginSaver13.PDF</t>
  </si>
  <si>
    <t>https://www.agl.com.au/-/media/AGLData/DistributorData/PDFs/V_OS_R_G_ON_1SAVERS_Eff_5Sept16.pdf</t>
  </si>
  <si>
    <t>https://www.clickenergy.com.au/energy-price-fact-sheets/envestra-north/click-amber/210/</t>
  </si>
  <si>
    <t>https://connectto.dodo.com/EnergySignup2015/pricefactsheet/GetPdfDocument?filepath=PriceFactSheets%5cEnvestra%5cConsumer%5cGas%5cAGN+Residential+Gas+Market+Offer+01-09-2016.pdf</t>
  </si>
  <si>
    <t>https://secure.energyaustralia.com.au/EnergyPriceFactSheets/Docs/EPFS/G_R_V_GEASY_R4_18_28-07-2016.pdf</t>
  </si>
  <si>
    <t>http://www.momentumenergy.com.au/docs/default-source/price-sheets/vic_gas_resi_agn.pdf?sfvrsn=16</t>
  </si>
  <si>
    <t>https://www.originenergy.com.au/content/dam/origin/residential/docs/energy-price-fact-sheets/vic/VIC_Natural%20Gas_Residential_Australian%20Gas%20Networks%20North_OriginSaver13.PDF</t>
  </si>
  <si>
    <t>W</t>
    <phoneticPr fontId="20" type="noConversion"/>
  </si>
  <si>
    <t>https://www.agl.com.au/-/media/AGLData/DistributorData/PDFs/V_OS_R_G_TE_1SAVERS_Eff_5Sept16.pdf</t>
  </si>
  <si>
    <t>https://www.clickenergy.com.au/energy-price-fact-sheets/envestra-central-2/click-amber/208/</t>
  </si>
  <si>
    <t>https://connectto.dodo.com/EnergySignup2015/pricefactsheet/GetPdfDocument?filepath=PriceFactSheets%5cEnvestra%5cConsumer%5cGas%5cAGN+Residential+Gas+Market+Offer+01-09-2016.pdf</t>
    <phoneticPr fontId="20" type="noConversion"/>
  </si>
  <si>
    <t>https://secure.energyaustralia.com.au/EnergyPriceFactSheets/Docs/EPFS/G_R_V_GEASY_T2_18_28-07-2016.pdf</t>
  </si>
  <si>
    <t>https://secure.energyaustralia.com.au/EnergyPriceFactSheets/Docs/EPFS/G_R_V_GEASY_T3_20_02-01-2017.pdf</t>
  </si>
  <si>
    <t>https://www.simplyenergy.com.au/docs/default-source/pdf/resources/vic/pricefactsheets/marketofferrates(mor)/residential/epfs_simply-plus-35-20-online_160303_m4md.pdf</t>
  </si>
  <si>
    <t>https://www.agl.com.au/-/media/AGLData/DistributorData/PDFs/V_OS_R_G_NTH_1SAVERS_Eff_1Jan17.pdf</t>
  </si>
  <si>
    <t>https://secure.energyaustralia.com.au/EnergyPriceFactSheets/Docs/EPFS/G_R_V_GEASY_A1_20_02-01-2017.pdf</t>
  </si>
  <si>
    <t>https://www.simplyenergy.com.au/docs/default-source/pdf/resources/vic/pricefactsheets/marketofferrates(mor)/residential/epfs_simply-plus-35-20-online_160303_m3ma.pdf</t>
  </si>
  <si>
    <t>https://www.agl.com.au/-/media/AGLData/DistributorData/PDFs/V_OS_R_G_TC_1SAVERS_Eff_1Jan17.pdf</t>
  </si>
  <si>
    <t>https://secure.energyaustralia.com.au/EnergyPriceFactSheets/Docs/EPFS/G_R_V_GEASY_T1_20_02-01-2017.pdf</t>
  </si>
  <si>
    <t>https://www.simplyenergy.com.au/docs/default-source/pdf/resources/vic/pricefactsheets/marketofferrates(mor)/residential/epfs_simply-plus-35-20-online_160303_m4mc.pdf</t>
  </si>
  <si>
    <t>https://www.agl.com.au/-/media/AGLData/DistributorData/PDFs/V_OS_R_G_OM_1SAVERS_Eff_5Sept16.pdf</t>
  </si>
  <si>
    <t>http://signup.alintaenergy.com.au/Content/Documents/VIC/ALN_VIC_FairDeal30_GPPIS_20150514.pdf</t>
  </si>
  <si>
    <t>https://connectto.dodo.com/EnergySignup2015/pricefactsheet/GetPdfDocument?filepath=PriceFactSheets%5cMultinet%5cConsumer%5cGas%5cMultinet+Residential+Gas+Market+Offer+01-09-2016.pdf</t>
  </si>
  <si>
    <t>https://secure.energyaustralia.com.au/EnergyPriceFactSheets/Docs/EPFS/G_R_V_GEASY_R2_18_28-07-2016.pdf</t>
  </si>
  <si>
    <t>https://lumoenergy.com.au/~/media/lumo-energy/pdfs/20160105_ppis_gas_vic_lumo_advantage.ashx</t>
  </si>
  <si>
    <t>http://www.momentumenergy.com.au/docs/default-source/price-sheets/vic_gas_resi_multinet.pdf?sfvrsn=16</t>
  </si>
  <si>
    <t>https://www.originenergy.com.au/content/dam/origin/residential/docs/energy-price-fact-sheets/vic/VIC_Natural%20Gas_Residential_Multinet%20Main%201_OriginSaver13.PDF</t>
  </si>
  <si>
    <t>NA</t>
    <phoneticPr fontId="20" type="noConversion"/>
  </si>
  <si>
    <t>Account credit</t>
    <phoneticPr fontId="19" type="noConversion"/>
  </si>
  <si>
    <t>https://www.simplyenergy.com.au/docs/default-source/pdf/resources/vic/pricefactsheets/marketofferrates(mor)/residential/epfs_simply-plus-35-20-online_160303_m3mf.pdf</t>
  </si>
  <si>
    <t>https://www.agl.com.au/-/media/AGLData/DistributorData/PDFs/V_OS_R_G_STH_1SAVERS_Eff_1Jan17.pdf</t>
  </si>
  <si>
    <t>https://secure.energyaustralia.com.au/EnergyPriceFactSheets/Docs/EPFS/G_R_V_GEASY_A2_20_02-01-2017.pdf</t>
  </si>
  <si>
    <t>https://www.simplyenergy.com.au/docs/default-source/pdf/resources/vic/pricefactsheets/marketofferrates(mor)/residential/epfs_simply-plus-35-20_160303_m2me.pdf</t>
  </si>
  <si>
    <t>https://www.agl.com.au/-/media/AGLData/DistributorData/PDFs/V_OS_R_G_ON_1SAVERS_Eff_1Jan17.pdf</t>
  </si>
  <si>
    <t>https://www.covau.com.au/Portals/29/pdf/AGN%20Residential%20Contract.pdf</t>
  </si>
  <si>
    <t>https://secure.energyaustralia.com.au/EnergyPriceFactSheets/Docs/EPFS/G_R_V_GEASY_R4_20_02-01-2017.pdf</t>
  </si>
  <si>
    <t>https://www.simplyenergy.com.au/docs/default-source/pdf/resources/vic/pricefactsheets/marketofferrates(mor)/residential/epfs_simply-plus-35-20-online_160303_m4mh.pdf</t>
  </si>
  <si>
    <t>https://www.agl.com.au/-/media/AGLData/DistributorData/PDFs/V_OS_R_G_TE_1SAVERS_Eff_1Jan17.pdf</t>
  </si>
  <si>
    <t>https://secure.energyaustralia.com.au/EnergyPriceFactSheets/Docs/EPFS/G_R_V_GEASY_T2_20_02-01-2017.pdf</t>
  </si>
  <si>
    <t>https://www.simplyenergy.com.au/docs/default-source/pdf/resources/vic/pricefactsheets/marketofferrates(mor)/residential/epfs_simply-plus-35-20-online_160303_m3mb.pdf</t>
  </si>
  <si>
    <t>https://www.agl.com.au/-/media/AGLData/DistributorData/PDFs/V_OS_R_G_OSE_1SAVERS_Eff_1Jan17.pdf</t>
  </si>
  <si>
    <t>https://secure.energyaustralia.com.au/EnergyPriceFactSheets/Docs/EPFS/G_R_V_GEASY_R5_20_02-01-2017.pdf</t>
  </si>
  <si>
    <t>https://www.simplyenergy.com.au/docs/default-source/pdf/resources/vic/pricefactsheets/marketofferrates(mor)/residential/epfs_simply-plus-35-20-online_160303_m5mg.pdf</t>
  </si>
  <si>
    <t>https://www.agl.com.au/-/media/AGLData/DistributorData/PDFs/V_OS_R_G_TW_1SAVERS_Eff_1Jan17.pdf</t>
  </si>
  <si>
    <t>http://www.covau.com.au/Portals/29/pdf/Ausnet%20Residential%20Contract.pdf</t>
  </si>
  <si>
    <t>https://connectto.dodo.com/EnergySignup2015/pricefactsheet/GetPdfDocument?filepath=PriceFactSheets%5cSP-Ausnet%5cConsumer%5cGas%5cAusNet+Services+Residential+Gas+Market+Offer+07-12-2016.pdf</t>
  </si>
  <si>
    <t>https://secure.energyaustralia.com.au/EnergyPriceFactSheets/Docs/EPFS/G_R_V_FLS_A1_20_50_13-07-2017.pdf</t>
  </si>
  <si>
    <t>https://www.originenergy.com.au/content/dam/origin/residential/docs/energy-price-fact-sheets/vic/1-jan-2017/VIC_Natural%20Gas_Residential_AusNet%20Services%20Central%202_OriginSaver13.PDF</t>
  </si>
  <si>
    <t>Ausnet Central 1</t>
    <phoneticPr fontId="20" type="noConversion"/>
  </si>
  <si>
    <t>https://www.agl.com.au/-/media/AGLData/DistributorData/PDFs/V_OS_R_G_TC_1SAVERS_Eff_1July17.pdf</t>
  </si>
  <si>
    <t>https://secure.energyaustralia.com.au/EnergyPriceFactSheets/Docs/EPFS/G_R_V_FLS_T1_20_50_13-07-2017.pdf</t>
  </si>
  <si>
    <t>https://www.originenergy.com.au/content/dam/origin/residential/docs/energy-price-fact-sheets/vic/1-jan-2017/VIC_Natural%20Gas_Residential_AusNet%20Services%20Central%201_OriginSaver13.PDF</t>
  </si>
  <si>
    <t>Savers</t>
    <phoneticPr fontId="20" type="noConversion"/>
  </si>
  <si>
    <t>$50 credit if signing up online</t>
    <phoneticPr fontId="20" type="noConversion"/>
  </si>
  <si>
    <t>Account credit</t>
    <phoneticPr fontId="20" type="noConversion"/>
  </si>
  <si>
    <t>N</t>
    <phoneticPr fontId="20" type="noConversion"/>
  </si>
  <si>
    <t>https://www.agl.com.au/-/media/AGLData/DistributorData/PDFs/V_OS_R_G_OM_1SAVERS_Eff_1Jan17.pdf</t>
  </si>
  <si>
    <t>Changed</t>
    <phoneticPr fontId="20" type="noConversion"/>
  </si>
  <si>
    <t>Fair Deal</t>
    <phoneticPr fontId="20" type="noConversion"/>
  </si>
  <si>
    <t>Y</t>
    <phoneticPr fontId="20" type="noConversion"/>
  </si>
  <si>
    <t>https://www.alintaenergy.com.au/Alinta/media/Documents/VIC-GAS-PPIS-FD-Jan2017.pdf</t>
  </si>
  <si>
    <t>Amber</t>
    <phoneticPr fontId="20" type="noConversion"/>
  </si>
  <si>
    <t>E-billing only. Monthly billing</t>
    <phoneticPr fontId="20" type="noConversion"/>
  </si>
  <si>
    <t>Market offer</t>
    <phoneticPr fontId="20" type="noConversion"/>
  </si>
  <si>
    <t>https://www.covau.com.au/Portals/29/pdf/Multinet%20Residential%20Contract.pdf</t>
  </si>
  <si>
    <t>Unchanged</t>
    <phoneticPr fontId="20" type="noConversion"/>
  </si>
  <si>
    <t xml:space="preserve">Flexi Saver </t>
    <phoneticPr fontId="20" type="noConversion"/>
  </si>
  <si>
    <t>Online sign-up required for e-billing discount</t>
    <phoneticPr fontId="20" type="noConversion"/>
  </si>
  <si>
    <t>https://secure.energyaustralia.com.au/EnergyPriceFactSheets/Docs/EPFS/G_R_V_GEASY_R2_20_02-01-2017.pdf</t>
  </si>
  <si>
    <t>Advantage</t>
    <phoneticPr fontId="20" type="noConversion"/>
  </si>
  <si>
    <t>https://lumoenergy.com.au/~/media/lumo-energy/pdfs/20170101%20-%20price%20change/20170101_ppis_gas_vic_lumo_advantage.ashx</t>
  </si>
  <si>
    <t>$50 welcome credit</t>
    <phoneticPr fontId="20" type="noConversion"/>
  </si>
  <si>
    <t>Saver</t>
    <phoneticPr fontId="20" type="noConversion"/>
  </si>
  <si>
    <t>Living Energy Saver</t>
    <phoneticPr fontId="20" type="noConversion"/>
  </si>
  <si>
    <t>Plus</t>
    <phoneticPr fontId="20" type="noConversion"/>
  </si>
  <si>
    <t xml:space="preserve">$25 account credit for customers that sign up online </t>
    <phoneticPr fontId="19" type="noConversion"/>
  </si>
  <si>
    <t>https://www.originenergy.com.au/content/dam/origin/residential/docs/energy-price-fact-sheets/vic/1-jan-2017/VIC_Natural%20Gas_Residential_Australian%20Gas%20Networks%20North_OriginSaver13.PDF</t>
  </si>
  <si>
    <t>https://www.agl.com.au/-/media/AGLData/DistributorData/PDFs/V_OS_R_G_TE_1SAVERS_Eff_1July17.pdf</t>
  </si>
  <si>
    <t>https://secure.energyaustralia.com.au/EnergyPriceFactSheets/Docs/EPFS/G_R_V_FLS_T2_20_50_13-07-2017.pdf</t>
  </si>
  <si>
    <t>https://www.originenergy.com.au/content/dam/origin/residential/docs/energy-price-fact-sheets/vic/1-jan-2017/VIC_Natural%20Gas_Residential_Australian%20Gas%20Networks%20Central%202_OriginSaver13.PDF</t>
  </si>
  <si>
    <t>https://www.simplyenergy.com.au/docs/default-source/epfs_pdf_data/epfs_simply-plus-35-20-online_170606_m3mb_flex-cl.pdf?sfvrsn=2</t>
  </si>
  <si>
    <t>Envestra Central 1</t>
    <phoneticPr fontId="20" type="noConversion"/>
  </si>
  <si>
    <t>https://www.agl.com.au/-/media/AGLData/DistributorData/PDFs/V_OS_R_G_OSE_1SAVERS_Eff_1July17.pdf</t>
  </si>
  <si>
    <t>https://secure.energyaustralia.com.au/EnergyPriceFactSheets/Docs/EPFS/G_R_V_FLS_R5_20_50_13-07-2017.pdf</t>
  </si>
  <si>
    <t>https://www.originenergy.com.au/content/dam/origin/residential/docs/energy-price-fact-sheets/vic/1-jan-2017/VIC_Natural%20Gas_Residential_Australian%20Gas%20Networks%20Central%201_OriginSaver13.PDF</t>
  </si>
  <si>
    <t>Ausnet West</t>
    <phoneticPr fontId="20" type="noConversion"/>
  </si>
  <si>
    <t>https://www.agl.com.au/-/media/AGLData/DistributorData/PDFs/V_OS_R_G_TW_1SAVERS_Eff_1July17.pdf</t>
  </si>
  <si>
    <t>https://www.covau.com.au/Portals/29/pdf/Gas_Smart_17_Saver_Ausnet_Residential.pdf</t>
  </si>
  <si>
    <t>https://secure.energyaustralia.com.au/EnergyPriceFactSheets/Docs/EPFS/G_R_V_FLS_T3_20_50_13-07-2017.pdf</t>
  </si>
  <si>
    <t>http://www.momentumenergy.com.au/docs/default-source/price-sheets/vic_gas_resi_ausnet.pdf?sfvrsn=16</t>
  </si>
  <si>
    <t>https://www.originenergy.com.au/content/dam/origin/residential/docs/energy-price-fact-sheets/vic/1-jan-2017/VIC_Natural%20Gas_Residential_AusNet%20Services%20West_OriginSaver13.PDF</t>
  </si>
  <si>
    <t>https://www.agl.com.au/-/media/AGLData/DistributorData/PDFs/V_OS_R_G_NTH_1SAVERS_Eff_1July17.pdf</t>
  </si>
  <si>
    <t>https://connectto.dodo.com/EnergySignup2015/pricefactsheet/GetPdfDocument?filepath=PriceFactSheets%5cMultinet%5cConsumer%5cGas%5cMultinet+Residential+Gas+Market+Offer+07-12-2016.pdf</t>
  </si>
  <si>
    <t>EnergyAustralia</t>
    <phoneticPr fontId="20" type="noConversion"/>
  </si>
  <si>
    <t>$50 credit if signing up online</t>
  </si>
  <si>
    <t>https://secure.energyaustralia.com.au/EnergyPriceFactSheets/Docs/EPFS/G_R_V_FLS_R2_20_50_13-07-2017.pdf</t>
  </si>
  <si>
    <t>Lumo Energy</t>
    <phoneticPr fontId="20" type="noConversion"/>
  </si>
  <si>
    <t>https://lumoenergy.com.au/~/media/rct/residential/vic/20170404_ppis_gas_vic_lumo_advantage.ashx</t>
  </si>
  <si>
    <t>Momentum Energy</t>
    <phoneticPr fontId="20" type="noConversion"/>
  </si>
  <si>
    <t>http://www.momentumenergy.com.au/docs/default-source/price-sheets/vic_gas_resi_multinet.pdf?sfvrsn=18</t>
  </si>
  <si>
    <t>Origin Energy</t>
    <phoneticPr fontId="20" type="noConversion"/>
  </si>
  <si>
    <t>https://www.originenergy.com.au/content/dam/origin/residential/docs/energy-price-fact-sheets/vic/1-jan-2017/VIC_Natural%20Gas_Residential_Multinet%20Main%201_OriginSaver13.PDF</t>
  </si>
  <si>
    <t>Red Energy</t>
    <phoneticPr fontId="20" type="noConversion"/>
  </si>
  <si>
    <t>Simply Energy</t>
    <phoneticPr fontId="20" type="noConversion"/>
  </si>
  <si>
    <t>Multinet 2</t>
    <phoneticPr fontId="20" type="noConversion"/>
  </si>
  <si>
    <t>https://www.agl.com.au/-/media/AGLData/DistributorData/PDFs/V_OS_R_G_STH_1SAVERS_Eff_1July17.pdf</t>
  </si>
  <si>
    <t>https://secure.energyaustralia.com.au/EnergyPriceFactSheets/Docs/EPFS/G_R_V_FLS_A2_20_50_13-07-2017.pdf</t>
  </si>
  <si>
    <t>https://www.originenergy.com.au/content/dam/origin/residential/docs/energy-price-fact-sheets/vic/1-jan-2017/VIC_Natural%20Gas_Residential_Multinet%20Main%202_OriginSaver13.PDF</t>
  </si>
  <si>
    <t>Envestra North</t>
    <phoneticPr fontId="20" type="noConversion"/>
  </si>
  <si>
    <t>n</t>
    <phoneticPr fontId="20" type="noConversion"/>
  </si>
  <si>
    <t>https://www.agl.com.au/-/media/AGLData/DistributorData/PDFs/V_OS_R_G_ON_1SAVERS_Eff_1July17.pdf</t>
  </si>
  <si>
    <t>https://www.covau.com.au/Portals/29/pdf/Gas_Smart_17_Saver_AGN_Residential.pdf</t>
  </si>
  <si>
    <t>https://connectto.dodo.com/EnergySignup2015/pricefactsheet/GetPdfDocument?filepath=PriceFactSheets%5cEnvestra%5cConsumer%5cGas%5cAGN+Residential+Gas+Market+Offer+07-12-2016.pdf</t>
  </si>
  <si>
    <t>https://secure.energyaustralia.com.au/EnergyPriceFactSheets/Docs/EPFS/G_R_V_FLS_R4_20_50_13-07-2017.pdf</t>
  </si>
  <si>
    <t>http://www.momentumenergy.com.au/docs/default-source/price-sheets/vic_gas_resi_agn.pdf?sfvrsn=18</t>
  </si>
  <si>
    <t>3rd peak rate (c/MJ)</t>
    <phoneticPr fontId="20" type="noConversion"/>
  </si>
  <si>
    <t>4th peak rate (c/MJ)</t>
    <phoneticPr fontId="20" type="noConversion"/>
  </si>
  <si>
    <t>5th peak rate (c/MJ)</t>
    <phoneticPr fontId="20" type="noConversion"/>
  </si>
  <si>
    <t>6th peak rate (c/MJ)</t>
    <phoneticPr fontId="20" type="noConversion"/>
  </si>
  <si>
    <t>1st off-peak rate (c/MJ)</t>
    <phoneticPr fontId="20" type="noConversion"/>
  </si>
  <si>
    <t>2nd off-peak rate (c/MJ)</t>
    <phoneticPr fontId="20" type="noConversion"/>
  </si>
  <si>
    <t>3rd off-peak rate (c/MJ)</t>
    <phoneticPr fontId="20" type="noConversion"/>
  </si>
  <si>
    <t>4th off-peak rate (c/MJ)</t>
    <phoneticPr fontId="20" type="noConversion"/>
  </si>
  <si>
    <t>5th off-peak rate (c/MJ)</t>
    <phoneticPr fontId="20" type="noConversion"/>
  </si>
  <si>
    <t>6th off-peak rate (c/MJ)</t>
    <phoneticPr fontId="20" type="noConversion"/>
  </si>
  <si>
    <t>1st shoulder rate (c/MJ)</t>
    <phoneticPr fontId="20" type="noConversion"/>
  </si>
  <si>
    <t>2nd shoulder rate (c/MJ)</t>
    <phoneticPr fontId="20" type="noConversion"/>
  </si>
  <si>
    <t>3rd shoulder rate (c/MJ)</t>
    <phoneticPr fontId="20" type="noConversion"/>
  </si>
  <si>
    <t>4th shoulder rate (c/MJ)</t>
    <phoneticPr fontId="20" type="noConversion"/>
  </si>
  <si>
    <t>5th shoulder rate (c/MJ)</t>
    <phoneticPr fontId="20" type="noConversion"/>
  </si>
  <si>
    <t>6th shoulder rate (c/MJ)</t>
    <phoneticPr fontId="20" type="noConversion"/>
  </si>
  <si>
    <t>Seasonal? (y/n)</t>
    <phoneticPr fontId="20" type="noConversion"/>
  </si>
  <si>
    <t>Summer or winter peak (s/w)</t>
    <phoneticPr fontId="20" type="noConversion"/>
  </si>
  <si>
    <t>Guaranteed discount off bill (%)</t>
    <phoneticPr fontId="20" type="noConversion"/>
  </si>
  <si>
    <t>Guaranteed discount off usage (%)</t>
    <phoneticPr fontId="20" type="noConversion"/>
  </si>
  <si>
    <t>POT discount off bill (%)</t>
    <phoneticPr fontId="20" type="noConversion"/>
  </si>
  <si>
    <t>POT discount off usage (%)</t>
    <phoneticPr fontId="20" type="noConversion"/>
  </si>
  <si>
    <t>DD discount off bill (%)</t>
    <phoneticPr fontId="20" type="noConversion"/>
  </si>
  <si>
    <t>DD discount off usage (%)</t>
    <phoneticPr fontId="20" type="noConversion"/>
  </si>
  <si>
    <t>E-bill discount off bill (%)</t>
    <phoneticPr fontId="20" type="noConversion"/>
  </si>
  <si>
    <t>E-bill discount off usage (%)</t>
    <phoneticPr fontId="20" type="noConversion"/>
  </si>
  <si>
    <t>Dual Fuel discount off bill (%)</t>
    <phoneticPr fontId="20" type="noConversion"/>
  </si>
  <si>
    <t>Dual Fuel discount off usage (%)</t>
    <phoneticPr fontId="20" type="noConversion"/>
  </si>
  <si>
    <t>Contract length (months)</t>
    <phoneticPr fontId="20" type="noConversion"/>
  </si>
  <si>
    <t>ETF (Y/N)</t>
    <phoneticPr fontId="20" type="noConversion"/>
  </si>
  <si>
    <t>Limited benefit period? (months)</t>
    <phoneticPr fontId="20" type="noConversion"/>
  </si>
  <si>
    <t>Other Direct Debit Incentive (y/n)</t>
    <phoneticPr fontId="20" type="noConversion"/>
  </si>
  <si>
    <t>Other incentives</t>
    <phoneticPr fontId="20" type="noConversion"/>
  </si>
  <si>
    <t>Incentive type</t>
    <phoneticPr fontId="20" type="noConversion"/>
  </si>
  <si>
    <t>Approx. incentive value ($)</t>
    <phoneticPr fontId="20" type="noConversion"/>
  </si>
  <si>
    <t>Dual fuel condition? (Y/N)</t>
    <phoneticPr fontId="20" type="noConversion"/>
  </si>
  <si>
    <t>Comments</t>
    <phoneticPr fontId="20" type="noConversion"/>
  </si>
  <si>
    <t>Source</t>
    <phoneticPr fontId="20" type="noConversion"/>
  </si>
  <si>
    <t>Update status</t>
    <phoneticPr fontId="20" type="noConversion"/>
  </si>
  <si>
    <t>VIC</t>
    <phoneticPr fontId="20" type="noConversion"/>
  </si>
  <si>
    <t>Multinet 1</t>
    <phoneticPr fontId="20" type="noConversion"/>
  </si>
  <si>
    <t>AGL</t>
    <phoneticPr fontId="20" type="noConversion"/>
  </si>
  <si>
    <t>y</t>
    <phoneticPr fontId="20" type="noConversion"/>
  </si>
  <si>
    <t>w</t>
    <phoneticPr fontId="20" type="noConversion"/>
  </si>
  <si>
    <t>$50 credit if signing up online</t>
    <phoneticPr fontId="5" type="noConversion"/>
  </si>
  <si>
    <t>https://www.agl.com.au/-/media/AGLData/DistributorData/PDFs/V_OS_R_G_OM_1SAVERS_Eff_1July17.pdf</t>
  </si>
  <si>
    <t>NA</t>
  </si>
  <si>
    <t>Alinta Energy</t>
    <phoneticPr fontId="20" type="noConversion"/>
  </si>
  <si>
    <t>https://www.alintaenergy.com.au/Alinta/media/Documents/VIC-GAS-PPIS-FDG25-APRIL-2017.pdf</t>
  </si>
  <si>
    <t>Click Energy</t>
    <phoneticPr fontId="20" type="noConversion"/>
  </si>
  <si>
    <t>https://www.covau.com.au/Portals/29/pdf/Gas_Smart_17_Saver_Multinet_Residential.pdf</t>
  </si>
  <si>
    <t>Dodo Power &amp; Gas</t>
    <phoneticPr fontId="20" type="noConversion"/>
  </si>
  <si>
    <t>https://connectto.dodo.com/EnergySignup2015/pricefactsheet/GetPdfDocument?filepath=PriceFactSheets%5cSP-Ausnet%5cConsumer%5cGas%5cAusNet+Services+Residential+Gas+Market+Offer+01-10-2017.pdf</t>
  </si>
  <si>
    <t>https://secure.energyaustralia.com.au/EnergyPriceFactSheets/Docs/EPFS/G_R_V_FLS_A1_02-01-2018.pdf</t>
  </si>
  <si>
    <t>https://www.originenergy.com.au/content/dam/origin/residential/docs/energy-price-fact-sheets/vic/1Jan2018/VIC_Natural%20Gas_Residential_AusNet%20Services%20Central%202_OriginSaver13.PDF</t>
  </si>
  <si>
    <t>https://www.redenergy.com.au/epis/quote/3037/ppis/?supplyType=BOTH&amp;customerType=RESIDENT&amp;jurisdictionProduct=VIC_CONTRACT&amp;pricingGasZone=1017&amp;network=POWCP&amp;tniPricingZone=ZONE_1&amp;pricingMeterType=SINGLE_RATE</t>
  </si>
  <si>
    <t>VIC</t>
  </si>
  <si>
    <t>bi-monthly</t>
  </si>
  <si>
    <t>y</t>
  </si>
  <si>
    <t>w</t>
  </si>
  <si>
    <t>https://www.amaysim.com.au/energy/energy-price-fact-sheets/ausnet-central-2/gas-3/84</t>
  </si>
  <si>
    <t>Ausnet Central 1</t>
    <phoneticPr fontId="5" type="noConversion"/>
  </si>
  <si>
    <t>https://www.agl.com.au/-/media/AGLData/DistributorData/PDFs/AGOMR00214_180110.pdf</t>
  </si>
  <si>
    <t>https://www.clickenergy.com.au/energy-price-fact-sheets/ausnet-central-1/click-amber/214/</t>
  </si>
  <si>
    <t>https://secure.energyaustralia.com.au/EnergyPriceFactSheets/Docs/EPFS/G_R_V_FLS_T1_02-01-2018.pdf</t>
  </si>
  <si>
    <t>https://www.originenergy.com.au/content/dam/origin/residential/docs/energy-price-fact-sheets/vic/1Jan2018/VIC_Natural%20Gas_Residential_AusNet%20Services%20Central%201_OriginSaver13.PDF</t>
  </si>
  <si>
    <t>https://www.redenergy.com.au/epis/quote/3220/ppis/?supplyType=BOTH&amp;customerType=RESIDENT&amp;jurisdictionProduct=VIC_CONTRACT&amp;pricingGasZone=1018&amp;network=POWCP&amp;tniPricingZone=ZONE_1&amp;pricingMeterType=SINGLE_RATE</t>
  </si>
  <si>
    <t>https://www.amaysim.com.au/energy/energy-price-fact-sheets/ausnet-central-1/gas-3/83</t>
  </si>
  <si>
    <t>Timestamp</t>
    <phoneticPr fontId="20" type="noConversion"/>
  </si>
  <si>
    <t>State</t>
    <phoneticPr fontId="20" type="noConversion"/>
  </si>
  <si>
    <t>Pricing zone</t>
    <phoneticPr fontId="20" type="noConversion"/>
  </si>
  <si>
    <t>Effective from</t>
    <phoneticPr fontId="20" type="noConversion"/>
  </si>
  <si>
    <t>Name</t>
    <phoneticPr fontId="20" type="noConversion"/>
  </si>
  <si>
    <t>block type</t>
    <phoneticPr fontId="20" type="noConversion"/>
  </si>
  <si>
    <t>1st step (MJ)</t>
    <phoneticPr fontId="20" type="noConversion"/>
  </si>
  <si>
    <t>2nd step (MJ)</t>
    <phoneticPr fontId="20" type="noConversion"/>
  </si>
  <si>
    <t>3rd step (MJ)</t>
    <phoneticPr fontId="20" type="noConversion"/>
  </si>
  <si>
    <t>4th step (MJ)</t>
    <phoneticPr fontId="20" type="noConversion"/>
  </si>
  <si>
    <t>5th step (MJ)</t>
    <phoneticPr fontId="20" type="noConversion"/>
  </si>
  <si>
    <t>1st peak rate (c/MJ)</t>
    <phoneticPr fontId="20" type="noConversion"/>
  </si>
  <si>
    <t>2nd peak rate (c/MJ)</t>
    <phoneticPr fontId="20" type="noConversion"/>
  </si>
  <si>
    <t>https://www.clickenergy.com.au/energy-price-fact-sheets/australian-gas-networks-central-1/click-amber/207/</t>
  </si>
  <si>
    <t>https://secure.energyaustralia.com.au/EnergyPriceFactSheets/Docs/EPFS/G_R_V_FLS_R5_02-01-2018.pdf</t>
  </si>
  <si>
    <t>https://www.originenergy.com.au/content/dam/origin/residential/docs/energy-price-fact-sheets/vic/1Jan2018/VIC_Natural%20Gas_Residential_Australian%20Gas%20Networks%20Central%201_OriginSaver13.PDF</t>
  </si>
  <si>
    <t>https://www.redenergy.com.au/epis/quote/3620/ppis/?supplyType=BOTH&amp;customerType=RESIDENT&amp;jurisdictionProduct=VIC_CONTRACT&amp;pricingGasZone=1011&amp;network=POWCP&amp;tniPricingZone=ZONE_2&amp;pricingMeterType=SINGLE_RATE</t>
  </si>
  <si>
    <t>https://www.amaysim.com.au/energy/energy-price-fact-sheets/australian-gas-networks-central-1/gas-3/85</t>
  </si>
  <si>
    <t>Ausnet West</t>
    <phoneticPr fontId="5" type="noConversion"/>
  </si>
  <si>
    <t>https://www.agl.com.au/-/media/AGLData/DistributorData/PDFs/AGOMR00241_180110.pdf</t>
  </si>
  <si>
    <t>https://www.clickenergy.com.au/energy-price-fact-sheets/ausnet-west/click-amber/216/</t>
  </si>
  <si>
    <t>https://www.covau.com.au/Portals/29/pdf/Gas_Smart_18_Saver_Ausnet_Residential.pdf</t>
  </si>
  <si>
    <t>https://secure.energyaustralia.com.au/EnergyPriceFactSheets/Docs/EPFS/G_R_V_FLS_T3_02-01-2018.pdf</t>
  </si>
  <si>
    <t>https://www.momentumenergy.com.au/docs/default-source/price-sheets/vic-gas-resi-ausnet.pdf?sfvrsn=26</t>
  </si>
  <si>
    <t>https://www.originenergy.com.au/content/dam/origin/residential/docs/energy-price-fact-sheets/vic/1Jan2018/VIC_Natural%20Gas_Residential_AusNet%20Services%20West_OriginSaver13.PDF</t>
  </si>
  <si>
    <t>https://www.redenergy.com.au/epis/quote/3342/ppis/?supplyType=BOTH&amp;customerType=RESIDENT&amp;jurisdictionProduct=VIC_CONTRACT&amp;pricingGasZone=1019&amp;network=POWCP&amp;tniPricingZone=ZONE_2&amp;pricingMeterType=SINGLE_RATE</t>
  </si>
  <si>
    <t>https://www.amaysim.com.au/energy/energy-price-fact-sheets/ausnet-west/gas-3/88</t>
  </si>
  <si>
    <t>Ausnet Central 2</t>
  </si>
  <si>
    <t>https://www.agl.com.au/-/media/AGLData/DistributorData/PDFs/AGOMR00232_180110.pdf</t>
  </si>
  <si>
    <t>https://www.clickenergy.com.au/energy-price-fact-sheets/ausnet-central-2/click-amber/215/</t>
  </si>
  <si>
    <t>https://www.covau.com.au/Portals/29/pdf/Gas_Smart_18_Saver_AGN_Residential.pdf</t>
  </si>
  <si>
    <t>https://connectto.dodo.com/EnergySignup2015/pricefactsheet/GetPdfDocument?filepath=PriceFactSheets%5cEnvestra%5cConsumer%5cGas%5cAGN+Residential+Gas+Market+Offer+01-10-2017.pdf</t>
  </si>
  <si>
    <t>https://secure.energyaustralia.com.au/EnergyPriceFactSheets/Docs/EPFS/G_R_V_FLS_R4_02-01-2018.pdf</t>
  </si>
  <si>
    <t>https://www.momentumenergy.com.au/docs/default-source/price-sheets/vic-gas-resi-agn.pdf?sfvrsn=30</t>
  </si>
  <si>
    <t>https://www.originenergy.com.au/content/dam/origin/residential/docs/energy-price-fact-sheets/vic/1Jan2018/VIC_Natural%20Gas_Residential_Australian%20Gas%20Networks%20North_OriginSaver13.PDF</t>
  </si>
  <si>
    <t>https://www.redenergy.com.au/epis/quote/3055/ppis/?supplyType=BOTH&amp;customerType=RESIDENT&amp;jurisdictionProduct=VIC_CONTRACT&amp;pricingGasZone=1010&amp;network=CITIPP&amp;tniPricingZone=ZONE_1&amp;pricingMeterType=SINGLE_RATE</t>
  </si>
  <si>
    <t>https://www.amaysim.com.au/energy/energy-price-fact-sheets/australian-gas-networks-north/gas-3/81</t>
  </si>
  <si>
    <t>Envestra Central 2</t>
  </si>
  <si>
    <t>https://www.agl.com.au/-/media/AGLData/DistributorData/PDFs/AGOMR00268_180110.pdf</t>
  </si>
  <si>
    <t>https://www.clickenergy.com.au/energy-price-fact-sheets/australian-gas-networks-central-2/click-amber/208/</t>
  </si>
  <si>
    <t>https://secure.energyaustralia.com.au/EnergyPriceFactSheets/Docs/EPFS/G_R_V_FLS_T2_02-01-2018.pdf</t>
  </si>
  <si>
    <t>https://www.originenergy.com.au/content/dam/origin/residential/docs/energy-price-fact-sheets/vic/1Jan2018/VIC_Natural%20Gas_Residential_Australian%20Gas%20Networks%20Central%202_OriginSaver13.PDF</t>
  </si>
  <si>
    <t>https://www.redenergy.com.au/epis/quote/3818/ppis/?supplyType=BOTH&amp;customerType=RESIDENT&amp;jurisdictionProduct=VIC_CONTRACT&amp;pricingGasZone=1007&amp;network=EASTERN&amp;tniPricingZone=ZONE_1&amp;pricingMeterType=SINGLE_RATE</t>
  </si>
  <si>
    <t>https://www.amaysim.com.au/energy/energy-price-fact-sheets/australian-gas-networks-central-2/gas-3/80</t>
  </si>
  <si>
    <t>Envestra Central 1</t>
    <phoneticPr fontId="5" type="noConversion"/>
  </si>
  <si>
    <t>https://www.agl.com.au/-/media/AGLData/DistributorData/PDFs/AGOMR00259_180110.pdf</t>
  </si>
  <si>
    <t>https://www.momentumenergy.com.au/docs/default-source/price-sheets/vic-gas-resi-multinet.pdf?sfvrsn=26</t>
  </si>
  <si>
    <t>Origin Energy</t>
    <phoneticPr fontId="5" type="noConversion"/>
  </si>
  <si>
    <t>Saver</t>
    <phoneticPr fontId="5" type="noConversion"/>
  </si>
  <si>
    <t>https://www.originenergy.com.au/content/dam/origin/residential/docs/energy-price-fact-sheets/vic/1Jan2018/VIC_Natural%20Gas_Residential_Multinet%20Main%201_OriginSaver13.PDF</t>
  </si>
  <si>
    <t>Unchanged</t>
    <phoneticPr fontId="5" type="noConversion"/>
  </si>
  <si>
    <t>NA</t>
    <phoneticPr fontId="5" type="noConversion"/>
  </si>
  <si>
    <t>Red Energy</t>
    <phoneticPr fontId="5" type="noConversion"/>
  </si>
  <si>
    <t>Living Energy Saver</t>
    <phoneticPr fontId="5" type="noConversion"/>
  </si>
  <si>
    <t>https://www.redenergy.com.au/epis/quote/3102/ppis/?supplyType=BOTH&amp;customerType=RESIDENT&amp;jurisdictionProduct=VIC_CONTRACT&amp;pricingGasZone=1001&amp;network=CITIPP&amp;tniPricingZone=ZONE_1&amp;pricingMeterType=SINGLE_RATE</t>
  </si>
  <si>
    <t>Simply Energy</t>
    <phoneticPr fontId="5" type="noConversion"/>
  </si>
  <si>
    <t>Plus</t>
    <phoneticPr fontId="5" type="noConversion"/>
  </si>
  <si>
    <t xml:space="preserve">$25 welcome credit for customers that sign up online </t>
  </si>
  <si>
    <t>Account credit</t>
  </si>
  <si>
    <t>Sumo Power</t>
    <phoneticPr fontId="8" type="noConversion"/>
  </si>
  <si>
    <t>Pay on time</t>
    <phoneticPr fontId="8" type="noConversion"/>
  </si>
  <si>
    <t>Unchanged</t>
  </si>
  <si>
    <t>Gas 3</t>
  </si>
  <si>
    <t>Monthly billing</t>
  </si>
  <si>
    <t>https://www.amaysim.com.au/energy/energy-price-fact-sheets/multinet-main-1/gas-3/82</t>
  </si>
  <si>
    <t>Multinet 2</t>
    <phoneticPr fontId="5" type="noConversion"/>
  </si>
  <si>
    <t>https://www.agl.com.au/-/media/AGLData/DistributorData/PDFs/AGOMR00304_180110.pdf</t>
  </si>
  <si>
    <t>https://www.clickenergy.com.au/energy-price-fact-sheets/multinet-main-2/click-amber/212/</t>
  </si>
  <si>
    <t>https://secure.energyaustralia.com.au/EnergyPriceFactSheets/Docs/EPFS/G_R_V_FLS_A2_02-01-2018.pdf</t>
  </si>
  <si>
    <t>https://www.originenergy.com.au/content/dam/origin/residential/docs/energy-price-fact-sheets/vic/1Jan2018/VIC_Natural%20Gas_Residential_Multinet%20Main%202_OriginSaver13.PDF</t>
  </si>
  <si>
    <t>https://www.redenergy.com.au/epis/quote/3170/ppis/?supplyType=BOTH&amp;customerType=RESIDENT&amp;jurisdictionProduct=VIC_CONTRACT&amp;pricingGasZone=1000&amp;network=UNITED&amp;tniPricingZone=ZONE_1&amp;pricingMeterType=SINGLE_RATE</t>
  </si>
  <si>
    <t>https://www.amaysim.com.au/energy/energy-price-fact-sheets/multinet-main-2/gas-3/86</t>
  </si>
  <si>
    <t>Envestra North</t>
    <phoneticPr fontId="5" type="noConversion"/>
  </si>
  <si>
    <t>https://www.agl.com.au/-/media/AGLData/DistributorData/PDFs/AGOMR00286_180110.pdf</t>
  </si>
  <si>
    <t>https://www.clickenergy.com.au/energy-price-fact-sheets/australian-gas-networks-north/click-amber/210/</t>
  </si>
  <si>
    <t>E-bill discount off bill (%)</t>
    <phoneticPr fontId="5" type="noConversion"/>
  </si>
  <si>
    <t>E-bill discount off usage (%)</t>
    <phoneticPr fontId="5" type="noConversion"/>
  </si>
  <si>
    <t>Dual Fuel discount off bill (%)</t>
    <phoneticPr fontId="5" type="noConversion"/>
  </si>
  <si>
    <t>Dual Fuel discount off usage (%)</t>
    <phoneticPr fontId="5" type="noConversion"/>
  </si>
  <si>
    <t>Contract length (months)</t>
    <phoneticPr fontId="5" type="noConversion"/>
  </si>
  <si>
    <t>ETF (Y/N)</t>
    <phoneticPr fontId="5" type="noConversion"/>
  </si>
  <si>
    <t>Limited benefit period? (months)</t>
    <phoneticPr fontId="5" type="noConversion"/>
  </si>
  <si>
    <t>Other Direct Debit Incentive (y/n)</t>
    <phoneticPr fontId="5" type="noConversion"/>
  </si>
  <si>
    <t>Home office product? (y/blank)</t>
  </si>
  <si>
    <t>Other incentives</t>
    <phoneticPr fontId="5" type="noConversion"/>
  </si>
  <si>
    <t>Incentive type</t>
    <phoneticPr fontId="5" type="noConversion"/>
  </si>
  <si>
    <t>Approx. incentive value ($)</t>
    <phoneticPr fontId="5" type="noConversion"/>
  </si>
  <si>
    <t>Dual fuel condition? (Y/N)</t>
    <phoneticPr fontId="5" type="noConversion"/>
  </si>
  <si>
    <t>Comments</t>
    <phoneticPr fontId="5" type="noConversion"/>
  </si>
  <si>
    <t>Source</t>
    <phoneticPr fontId="5" type="noConversion"/>
  </si>
  <si>
    <t>Update status</t>
    <phoneticPr fontId="5" type="noConversion"/>
  </si>
  <si>
    <t>VIC</t>
    <phoneticPr fontId="5" type="noConversion"/>
  </si>
  <si>
    <t>Multinet 1</t>
    <phoneticPr fontId="5" type="noConversion"/>
  </si>
  <si>
    <t>AGL</t>
    <phoneticPr fontId="5" type="noConversion"/>
  </si>
  <si>
    <t>Savers</t>
    <phoneticPr fontId="5" type="noConversion"/>
  </si>
  <si>
    <t>bi-monthly</t>
    <phoneticPr fontId="20" type="noConversion"/>
  </si>
  <si>
    <t>y</t>
    <phoneticPr fontId="5" type="noConversion"/>
  </si>
  <si>
    <t>w</t>
    <phoneticPr fontId="5" type="noConversion"/>
  </si>
  <si>
    <t>n</t>
    <phoneticPr fontId="5" type="noConversion"/>
  </si>
  <si>
    <t>N</t>
    <phoneticPr fontId="5" type="noConversion"/>
  </si>
  <si>
    <t>https://www.agl.com.au/-/media/AGLData/DistributorData/PDFs/AGOMR00295_180110.pdf</t>
  </si>
  <si>
    <t>Changed</t>
  </si>
  <si>
    <t>Alinta Energy</t>
    <phoneticPr fontId="5" type="noConversion"/>
  </si>
  <si>
    <t>Fair Deal</t>
    <phoneticPr fontId="5" type="noConversion"/>
  </si>
  <si>
    <t>Y</t>
  </si>
  <si>
    <t>https://www.alintaenergy.com.au/Alinta/media/Documents/VIC-GAS-PPIS-FDG25.pdf</t>
  </si>
  <si>
    <t>Click Energy</t>
    <phoneticPr fontId="5" type="noConversion"/>
  </si>
  <si>
    <t>Amber</t>
    <phoneticPr fontId="5" type="noConversion"/>
  </si>
  <si>
    <t>E-billing only. Monthly billing</t>
    <phoneticPr fontId="5" type="noConversion"/>
  </si>
  <si>
    <t>https://www.clickenergy.com.au/energy-price-fact-sheets/multinet-main-1/click-amber/211/</t>
  </si>
  <si>
    <t>Covau</t>
    <phoneticPr fontId="5" type="noConversion"/>
  </si>
  <si>
    <t>Smart Saver</t>
  </si>
  <si>
    <t>https://www.covau.com.au/Portals/29/pdf/Gas_Smart_18_Saver_Multinet_Residential.pdf</t>
  </si>
  <si>
    <t>Dodo Power &amp; Gas</t>
    <phoneticPr fontId="5" type="noConversion"/>
  </si>
  <si>
    <t>Market offer</t>
    <phoneticPr fontId="5" type="noConversion"/>
  </si>
  <si>
    <t>Y</t>
    <phoneticPr fontId="5" type="noConversion"/>
  </si>
  <si>
    <t>https://connectto.dodo.com/EnergySignup2015/pricefactsheet/GetPdfDocument?filepath=PriceFactSheets%5cMultinet%5cConsumer%5cGas%5cMultinet+Residential+Gas+Market+Offer+01-10-2017.pdf</t>
  </si>
  <si>
    <t>EnergyAustralia</t>
    <phoneticPr fontId="5" type="noConversion"/>
  </si>
  <si>
    <t xml:space="preserve">Flexi Saver </t>
    <phoneticPr fontId="5" type="noConversion"/>
  </si>
  <si>
    <t>https://secure.energyaustralia.com.au/EnergyPriceFactSheets/Docs/EPFS/G_R_V_FLS_R2_02-01-2018.pdf</t>
  </si>
  <si>
    <t>Lumo Energy</t>
    <phoneticPr fontId="5" type="noConversion"/>
  </si>
  <si>
    <t>Advantage</t>
    <phoneticPr fontId="5" type="noConversion"/>
  </si>
  <si>
    <t>Access to Lumo 'Ameego' rewards program</t>
  </si>
  <si>
    <t>Not available</t>
  </si>
  <si>
    <t>Momentum Energy</t>
    <phoneticPr fontId="5" type="noConversion"/>
  </si>
  <si>
    <t>$50 welcome credit</t>
    <phoneticPr fontId="5" type="noConversion"/>
  </si>
  <si>
    <t>Account credit</t>
    <phoneticPr fontId="5" type="noConversion"/>
  </si>
  <si>
    <t xml:space="preserve">St Vincent de Paul Society Victoria, Victorian Tariff-Tracking Project, Workbook 4: Gas Market Offers </t>
    <phoneticPr fontId="20" type="noConversion"/>
  </si>
  <si>
    <t>Bill impacts for all gas zones July  2011</t>
    <phoneticPr fontId="20" type="noConversion"/>
  </si>
  <si>
    <t>5% off bill</t>
    <phoneticPr fontId="20" type="noConversion"/>
  </si>
  <si>
    <t xml:space="preserve">St Vincent de Paul Society Victoria, Victorian Tariff-Tracking Project, Workbook 4: Gas Market Offers </t>
    <phoneticPr fontId="20"/>
  </si>
  <si>
    <t>Bill impacts for all gas zones January 2011</t>
  </si>
  <si>
    <t xml:space="preserve">St Vincent de Paul Society Victoria, Victorian Tariff-Tracking Project, Workbook 4: Gas Market Offers </t>
    <phoneticPr fontId="9" type="noConversion"/>
  </si>
  <si>
    <t>Bill impacts for all gas zones July 2010</t>
  </si>
  <si>
    <t>Victoria El</t>
  </si>
  <si>
    <t xml:space="preserve">Other </t>
  </si>
  <si>
    <t>ID</t>
  </si>
  <si>
    <t>Timestamp</t>
    <phoneticPr fontId="5" type="noConversion"/>
  </si>
  <si>
    <t>State</t>
    <phoneticPr fontId="5" type="noConversion"/>
  </si>
  <si>
    <t>Pricing zone</t>
    <phoneticPr fontId="5" type="noConversion"/>
  </si>
  <si>
    <t>Effective from</t>
    <phoneticPr fontId="5" type="noConversion"/>
  </si>
  <si>
    <t>Name</t>
    <phoneticPr fontId="5" type="noConversion"/>
  </si>
  <si>
    <t>Supply (c/day)</t>
  </si>
  <si>
    <t>block type</t>
    <phoneticPr fontId="5" type="noConversion"/>
  </si>
  <si>
    <t>1st step (MJ)</t>
    <phoneticPr fontId="5" type="noConversion"/>
  </si>
  <si>
    <t>2nd step (MJ)</t>
    <phoneticPr fontId="5" type="noConversion"/>
  </si>
  <si>
    <t>3rd step (MJ)</t>
    <phoneticPr fontId="5" type="noConversion"/>
  </si>
  <si>
    <t>4th step (MJ)</t>
    <phoneticPr fontId="5" type="noConversion"/>
  </si>
  <si>
    <t>5th step (MJ)</t>
    <phoneticPr fontId="5" type="noConversion"/>
  </si>
  <si>
    <t>1st peak rate (c/MJ)</t>
    <phoneticPr fontId="5" type="noConversion"/>
  </si>
  <si>
    <t>2nd peak rate (c/MJ)</t>
    <phoneticPr fontId="5" type="noConversion"/>
  </si>
  <si>
    <t>3rd peak rate (c/MJ)</t>
    <phoneticPr fontId="5" type="noConversion"/>
  </si>
  <si>
    <t>4th peak rate (c/MJ)</t>
    <phoneticPr fontId="5" type="noConversion"/>
  </si>
  <si>
    <t>5th peak rate (c/MJ)</t>
    <phoneticPr fontId="5" type="noConversion"/>
  </si>
  <si>
    <t>6th peak rate (c/MJ)</t>
    <phoneticPr fontId="5" type="noConversion"/>
  </si>
  <si>
    <t>1st off-peak rate (c/MJ)</t>
    <phoneticPr fontId="5" type="noConversion"/>
  </si>
  <si>
    <t>2nd off-peak rate (c/MJ)</t>
    <phoneticPr fontId="5" type="noConversion"/>
  </si>
  <si>
    <t>3rd off-peak rate (c/MJ)</t>
    <phoneticPr fontId="5" type="noConversion"/>
  </si>
  <si>
    <t>4th off-peak rate (c/MJ)</t>
    <phoneticPr fontId="5" type="noConversion"/>
  </si>
  <si>
    <t>5th off-peak rate (c/MJ)</t>
    <phoneticPr fontId="5" type="noConversion"/>
  </si>
  <si>
    <t>6th off-peak rate (c/MJ)</t>
    <phoneticPr fontId="5" type="noConversion"/>
  </si>
  <si>
    <t>1st shoulder rate (c/MJ)</t>
    <phoneticPr fontId="5" type="noConversion"/>
  </si>
  <si>
    <t>2nd shoulder rate (c/MJ)</t>
    <phoneticPr fontId="5" type="noConversion"/>
  </si>
  <si>
    <t>3rd shoulder rate (c/MJ)</t>
    <phoneticPr fontId="5" type="noConversion"/>
  </si>
  <si>
    <t>4th shoulder rate (c/MJ)</t>
    <phoneticPr fontId="5" type="noConversion"/>
  </si>
  <si>
    <t>5th shoulder rate (c/MJ)</t>
    <phoneticPr fontId="5" type="noConversion"/>
  </si>
  <si>
    <t>6th shoulder rate (c/MJ)</t>
    <phoneticPr fontId="5" type="noConversion"/>
  </si>
  <si>
    <t>Seasonal? (y/n)</t>
    <phoneticPr fontId="5" type="noConversion"/>
  </si>
  <si>
    <t>Summer or winter peak (s/w)</t>
    <phoneticPr fontId="5" type="noConversion"/>
  </si>
  <si>
    <t>Number of peak bills</t>
    <phoneticPr fontId="20" type="noConversion"/>
  </si>
  <si>
    <t>Number of off-peak bills</t>
    <phoneticPr fontId="20" type="noConversion"/>
  </si>
  <si>
    <t>Peak proportion %</t>
    <phoneticPr fontId="20" type="noConversion"/>
  </si>
  <si>
    <t>Off-peak proportion %</t>
    <phoneticPr fontId="20" type="noConversion"/>
  </si>
  <si>
    <t>Guaranteed discount off bill (%)</t>
    <phoneticPr fontId="5" type="noConversion"/>
  </si>
  <si>
    <t>Guaranteed discount off usage (%)</t>
    <phoneticPr fontId="5" type="noConversion"/>
  </si>
  <si>
    <t>POT discount off bill (%)</t>
    <phoneticPr fontId="5" type="noConversion"/>
  </si>
  <si>
    <t>POT discount off usage (%)</t>
    <phoneticPr fontId="5" type="noConversion"/>
  </si>
  <si>
    <t>DD discount off bill (%)</t>
    <phoneticPr fontId="5" type="noConversion"/>
  </si>
  <si>
    <t>DD discount off usage (%)</t>
    <phoneticPr fontId="5" type="noConversion"/>
  </si>
  <si>
    <t>Alinta</t>
    <phoneticPr fontId="20" type="noConversion"/>
  </si>
  <si>
    <t>Dodo</t>
    <phoneticPr fontId="20" type="noConversion"/>
  </si>
  <si>
    <t xml:space="preserve">Tru East </t>
  </si>
  <si>
    <t>SP Ausnet</t>
  </si>
  <si>
    <t>Other features</t>
  </si>
  <si>
    <t>Discount on usage</t>
  </si>
  <si>
    <t>no</t>
    <phoneticPr fontId="20"/>
  </si>
  <si>
    <t>no</t>
    <phoneticPr fontId="20" type="noConversion"/>
  </si>
  <si>
    <t>no</t>
  </si>
  <si>
    <t>17% off bill</t>
    <phoneticPr fontId="20" type="noConversion"/>
  </si>
  <si>
    <t>Fixed term</t>
  </si>
  <si>
    <t>1 year</t>
    <phoneticPr fontId="20" type="noConversion"/>
  </si>
  <si>
    <t>2 years</t>
  </si>
  <si>
    <t>Ealy Termination Fee</t>
  </si>
  <si>
    <t>yes</t>
    <phoneticPr fontId="20" type="noConversion"/>
  </si>
  <si>
    <t>Pay on time discount</t>
  </si>
  <si>
    <t>16% off usage</t>
    <phoneticPr fontId="20" type="noConversion"/>
  </si>
  <si>
    <t>13% off usage</t>
    <phoneticPr fontId="20" type="noConversion"/>
  </si>
  <si>
    <t>18% off usage</t>
    <phoneticPr fontId="20"/>
  </si>
  <si>
    <t>15% off bill</t>
    <phoneticPr fontId="20" type="noConversion"/>
  </si>
  <si>
    <t>10% off bill</t>
    <phoneticPr fontId="20" type="noConversion"/>
  </si>
  <si>
    <t>15% off usage</t>
  </si>
  <si>
    <t>20% off usage</t>
  </si>
  <si>
    <t>14% off bill</t>
    <phoneticPr fontId="20" type="noConversion"/>
  </si>
  <si>
    <t>12% off usage</t>
    <phoneticPr fontId="20"/>
  </si>
  <si>
    <t>Other</t>
  </si>
  <si>
    <t>yes</t>
  </si>
  <si>
    <t>Bill impacts for all gas zones July 2015</t>
    <phoneticPr fontId="20" type="noConversion"/>
  </si>
  <si>
    <t>Energy Aus</t>
  </si>
  <si>
    <t>Lumo</t>
  </si>
  <si>
    <t>Red</t>
  </si>
  <si>
    <t>Click</t>
  </si>
  <si>
    <t>17% off bill</t>
  </si>
  <si>
    <t>1 year</t>
  </si>
  <si>
    <t>16% off usage</t>
  </si>
  <si>
    <t>18% off usage</t>
  </si>
  <si>
    <t>12% off bill</t>
  </si>
  <si>
    <t>10% off bill</t>
  </si>
  <si>
    <t>Bill impacts for all gas zones January 2015</t>
    <phoneticPr fontId="20" type="noConversion"/>
  </si>
  <si>
    <t>3% off usage</t>
    <phoneticPr fontId="20"/>
  </si>
  <si>
    <t>3 years</t>
  </si>
  <si>
    <t>2 years</t>
    <phoneticPr fontId="20" type="noConversion"/>
  </si>
  <si>
    <t>$75-50</t>
    <phoneticPr fontId="20" type="noConversion"/>
  </si>
  <si>
    <t>15% off usage</t>
    <phoneticPr fontId="20" type="noConversion"/>
  </si>
  <si>
    <t>12% off bill</t>
    <phoneticPr fontId="20" type="noConversion"/>
  </si>
  <si>
    <t>10% off usage</t>
    <phoneticPr fontId="20" type="noConversion"/>
  </si>
  <si>
    <t>20% off usage</t>
    <phoneticPr fontId="20" type="noConversion"/>
  </si>
  <si>
    <t>Bill impacts for all gas zones July 2014</t>
    <phoneticPr fontId="20" type="noConversion"/>
  </si>
  <si>
    <t>4% off usage</t>
    <phoneticPr fontId="20"/>
  </si>
  <si>
    <t>8% off usage</t>
    <phoneticPr fontId="20" type="noConversion"/>
  </si>
  <si>
    <t>9% off usage</t>
    <phoneticPr fontId="20" type="noConversion"/>
  </si>
  <si>
    <t>15% off usage</t>
    <phoneticPr fontId="20"/>
  </si>
  <si>
    <t>Bill impacts for all gas zones January 2014</t>
    <phoneticPr fontId="20" type="noConversion"/>
  </si>
  <si>
    <t>8% off usage</t>
    <phoneticPr fontId="20"/>
  </si>
  <si>
    <t>3% off bill</t>
    <phoneticPr fontId="20"/>
  </si>
  <si>
    <t>4% off usage</t>
    <phoneticPr fontId="20" type="noConversion"/>
  </si>
  <si>
    <t>13% off bill</t>
    <phoneticPr fontId="20"/>
  </si>
  <si>
    <t>Bill impacts for all gas zones July 2013</t>
    <phoneticPr fontId="20" type="noConversion"/>
  </si>
  <si>
    <t>Aus P&amp;G</t>
  </si>
  <si>
    <t>Red</t>
    <phoneticPr fontId="20" type="noConversion"/>
  </si>
  <si>
    <t>Lumo</t>
    <phoneticPr fontId="20" type="noConversion"/>
  </si>
  <si>
    <t>7% off usage</t>
    <phoneticPr fontId="20"/>
  </si>
  <si>
    <t>3 years</t>
    <phoneticPr fontId="20" type="noConversion"/>
  </si>
  <si>
    <t>3% off usage</t>
    <phoneticPr fontId="20" type="noConversion"/>
  </si>
  <si>
    <t>16% off usage</t>
    <phoneticPr fontId="20"/>
  </si>
  <si>
    <t>Bill impacts for all gas zones January 2013</t>
    <phoneticPr fontId="20" type="noConversion"/>
  </si>
  <si>
    <t>Up to $88</t>
    <phoneticPr fontId="20" type="noConversion"/>
  </si>
  <si>
    <t>14% off usage</t>
    <phoneticPr fontId="20"/>
  </si>
  <si>
    <t>Bill impacts for all gas zones July 2012</t>
    <phoneticPr fontId="20" type="noConversion"/>
  </si>
  <si>
    <t>TRU</t>
  </si>
  <si>
    <t>10% off usage</t>
    <phoneticPr fontId="20"/>
  </si>
  <si>
    <t>$50-75</t>
    <phoneticPr fontId="20" type="noConversion"/>
  </si>
  <si>
    <t>5% off bill</t>
    <phoneticPr fontId="20"/>
  </si>
  <si>
    <t>Bill impacts for all gas zones January 2012</t>
    <phoneticPr fontId="20" type="noConversion"/>
  </si>
  <si>
    <t>5% off usage</t>
    <phoneticPr fontId="20"/>
  </si>
  <si>
    <t>5% off usage</t>
    <phoneticPr fontId="20" type="noConversion"/>
  </si>
  <si>
    <t>2% off usage</t>
    <phoneticPr fontId="20" type="noConversion"/>
  </si>
  <si>
    <t>Annual supply charge</t>
    <phoneticPr fontId="20" type="noConversion"/>
  </si>
  <si>
    <t>Winter bill 1st block</t>
    <phoneticPr fontId="20" type="noConversion"/>
  </si>
  <si>
    <t>Winter bill 2nd block</t>
    <phoneticPr fontId="20" type="noConversion"/>
  </si>
  <si>
    <t>Winter bill 3rd block</t>
    <phoneticPr fontId="20" type="noConversion"/>
  </si>
  <si>
    <t>Winter bill Balance</t>
    <phoneticPr fontId="20" type="noConversion"/>
  </si>
  <si>
    <t>Summer bill 1st block</t>
    <phoneticPr fontId="20" type="noConversion"/>
  </si>
  <si>
    <t>Summer bill 2nd block</t>
    <phoneticPr fontId="20" type="noConversion"/>
  </si>
  <si>
    <t>Summer bill 3rd block</t>
    <phoneticPr fontId="20" type="noConversion"/>
  </si>
  <si>
    <t>Summer bill Balance</t>
    <phoneticPr fontId="20" type="noConversion"/>
  </si>
  <si>
    <t>Annual consumption only</t>
    <phoneticPr fontId="20" type="noConversion"/>
  </si>
  <si>
    <t>Annual bill (excl GST)</t>
  </si>
  <si>
    <t>Annual bill excl discounts (incl GST)</t>
    <phoneticPr fontId="20" type="noConversion"/>
  </si>
  <si>
    <t>Guaranteed discount off bill (%)</t>
  </si>
  <si>
    <t>Guaranteed discount off usage (%)</t>
  </si>
  <si>
    <t>POT discount off bill (%)</t>
  </si>
  <si>
    <t>POT discount off usage (%)</t>
  </si>
  <si>
    <t>Annual bill incl guaranteed discounts (excl GST)</t>
    <phoneticPr fontId="20" type="noConversion"/>
  </si>
  <si>
    <t>Annual bill incl conditional discounts (excl GST)</t>
    <phoneticPr fontId="20" type="noConversion"/>
  </si>
  <si>
    <t>Annual bill incl guaranteed discounts (incl GST)</t>
    <phoneticPr fontId="20" type="noConversion"/>
  </si>
  <si>
    <t>Annual bill incl conditional discounts (incl GST)</t>
    <phoneticPr fontId="20" type="noConversion"/>
  </si>
  <si>
    <t>Contract length (months)</t>
  </si>
  <si>
    <t>Exit fee (yes/no)</t>
  </si>
  <si>
    <t>Dual fuel condition? (yes/no)</t>
    <phoneticPr fontId="20" type="noConversion"/>
  </si>
  <si>
    <t xml:space="preserve">St Vincent de Paul Society, Victorian Tariff-Tracking Project, Workbook 4: Gas Market Offers </t>
    <phoneticPr fontId="20" type="noConversion"/>
  </si>
  <si>
    <t>Bill impacts for all gas zones January 2016</t>
    <phoneticPr fontId="20" type="noConversion"/>
  </si>
  <si>
    <t>Gas market offers</t>
  </si>
  <si>
    <t>Note: Annual consumption will be allocated to winter peak and summer off-peak as per retail offer (e.g a four month winter peak equals 33.33% of the year)</t>
  </si>
  <si>
    <t>Multinet</t>
  </si>
  <si>
    <t>Origin</t>
  </si>
  <si>
    <t>Energy Aus</t>
    <phoneticPr fontId="20" type="noConversion"/>
  </si>
  <si>
    <t>Momentum</t>
  </si>
  <si>
    <t>Simply</t>
    <phoneticPr fontId="20" type="noConversion"/>
  </si>
  <si>
    <t>Lumo</t>
    <phoneticPr fontId="20"/>
  </si>
  <si>
    <t>Red</t>
    <phoneticPr fontId="20"/>
  </si>
  <si>
    <t>Alinta</t>
  </si>
  <si>
    <t>Dodo</t>
  </si>
  <si>
    <t>Click</t>
    <phoneticPr fontId="20" type="noConversion"/>
  </si>
  <si>
    <t>Covau</t>
    <phoneticPr fontId="20" type="noConversion"/>
  </si>
  <si>
    <t>Annual average</t>
  </si>
  <si>
    <t>Winter bill 1st block peak</t>
  </si>
  <si>
    <t>Winter bill 2nd block peak</t>
  </si>
  <si>
    <t>Winter bill 3rd block peak</t>
  </si>
  <si>
    <t>Winter bill 4th block peak</t>
  </si>
  <si>
    <t>Winter bill Peak balance</t>
  </si>
  <si>
    <t>Summer bill 1st block 0ff-peak</t>
  </si>
  <si>
    <t xml:space="preserve">Summer bill 2nd block Off-peak </t>
  </si>
  <si>
    <t>Summer bill 3rd block Off-peak</t>
  </si>
  <si>
    <t>Summer bill 4th block Off-peak</t>
  </si>
  <si>
    <t xml:space="preserve">Summer bill Off-peak balance </t>
  </si>
  <si>
    <t>Fixed charges (per annum)</t>
  </si>
  <si>
    <t>Annual bill</t>
  </si>
  <si>
    <t>Momentum</t>
    <phoneticPr fontId="20" type="noConversion"/>
  </si>
  <si>
    <t>Simply</t>
  </si>
  <si>
    <t>Lower Plenty</t>
  </si>
  <si>
    <t>Langwarrin</t>
  </si>
  <si>
    <t>Carisbrook</t>
  </si>
  <si>
    <t>Somerton</t>
  </si>
  <si>
    <t>Armadale</t>
  </si>
  <si>
    <t>Mentone</t>
  </si>
  <si>
    <t>Barnawartha</t>
  </si>
  <si>
    <t>Montmorency</t>
  </si>
  <si>
    <t>Baxter</t>
  </si>
  <si>
    <t>Maryborough</t>
  </si>
  <si>
    <t>Yuroke</t>
  </si>
  <si>
    <t>Malvern</t>
  </si>
  <si>
    <t>Aspendale</t>
  </si>
  <si>
    <t>Wodonga</t>
  </si>
  <si>
    <t>Eltham</t>
  </si>
  <si>
    <t>Somerville</t>
  </si>
  <si>
    <t>Bendigo</t>
  </si>
  <si>
    <t>Craigieburn</t>
  </si>
  <si>
    <t>Chelsea</t>
  </si>
  <si>
    <t>Allans Flat</t>
  </si>
  <si>
    <t>Wattle Glen</t>
  </si>
  <si>
    <t>Tyabb</t>
  </si>
  <si>
    <t>Arnold</t>
  </si>
  <si>
    <t>Bulla</t>
  </si>
  <si>
    <t>Glen Iris</t>
  </si>
  <si>
    <t>Carrum</t>
  </si>
  <si>
    <t>Port Franklin</t>
  </si>
  <si>
    <t>Watsons Creek</t>
  </si>
  <si>
    <t>Tuerong</t>
  </si>
  <si>
    <t>Golden Square</t>
  </si>
  <si>
    <t>Ashburton</t>
  </si>
  <si>
    <t>Heatherton</t>
  </si>
  <si>
    <t>Yackandandah</t>
  </si>
  <si>
    <t>Hurstbridge</t>
  </si>
  <si>
    <t>Shoreham</t>
  </si>
  <si>
    <t>Sebastian</t>
  </si>
  <si>
    <t>Chadstone</t>
  </si>
  <si>
    <t>Bentleigh</t>
  </si>
  <si>
    <t>Beveridge</t>
  </si>
  <si>
    <t>Richmond</t>
  </si>
  <si>
    <t>Bittern</t>
  </si>
  <si>
    <t>Mount Waverly</t>
  </si>
  <si>
    <t>South Melbourne</t>
  </si>
  <si>
    <t>Wallan</t>
  </si>
  <si>
    <t>Carrum Downs</t>
  </si>
  <si>
    <t>Crib Point</t>
  </si>
  <si>
    <t>Burwood</t>
  </si>
  <si>
    <t>Middle Park</t>
  </si>
  <si>
    <t>Heathcote Junction</t>
  </si>
  <si>
    <t>Wollert</t>
  </si>
  <si>
    <t>Tankerton</t>
  </si>
  <si>
    <t>Bayswater</t>
  </si>
  <si>
    <t>Port Melbourne</t>
  </si>
  <si>
    <t>Kilmore</t>
  </si>
  <si>
    <t>South Morang</t>
  </si>
  <si>
    <t>Balnarring</t>
  </si>
  <si>
    <t>The Basin</t>
  </si>
  <si>
    <t>Steels Creek</t>
  </si>
  <si>
    <t>Mernda</t>
  </si>
  <si>
    <t>Somers</t>
  </si>
  <si>
    <t>Boronia</t>
  </si>
  <si>
    <t>Ferny Creek</t>
  </si>
  <si>
    <t>Panton Hill</t>
  </si>
  <si>
    <t>Main Ridge</t>
  </si>
  <si>
    <t>Menzies Creek</t>
  </si>
  <si>
    <t>Yarra Junction</t>
  </si>
  <si>
    <t>Coldstream</t>
  </si>
  <si>
    <t>Flinders</t>
  </si>
  <si>
    <t>Warburton</t>
  </si>
  <si>
    <t>Mount Eliza</t>
  </si>
  <si>
    <t>Prahran</t>
  </si>
  <si>
    <t>Endeavour Hills</t>
  </si>
  <si>
    <t>Mornington</t>
  </si>
  <si>
    <t>Moorooduc</t>
  </si>
  <si>
    <t>Montrose</t>
  </si>
  <si>
    <t>Mount Martha</t>
  </si>
  <si>
    <t>Kalorama</t>
  </si>
  <si>
    <t>Arthurs Seat</t>
  </si>
  <si>
    <t>Mount Dandenong</t>
  </si>
  <si>
    <t>Red Hill</t>
  </si>
  <si>
    <t>McCrae</t>
  </si>
  <si>
    <t>Cockatoo</t>
  </si>
  <si>
    <t>Rosebud</t>
  </si>
  <si>
    <t>Avonsleigh</t>
  </si>
  <si>
    <t>Rosebud West</t>
  </si>
  <si>
    <t>Gembrook</t>
  </si>
  <si>
    <t>Rye</t>
  </si>
  <si>
    <t>Sassafras</t>
  </si>
  <si>
    <t>Blairgowrie</t>
  </si>
  <si>
    <t>Olinda</t>
  </si>
  <si>
    <t>Sorrento</t>
  </si>
  <si>
    <t>Sherbrooke</t>
  </si>
  <si>
    <t>Portsea</t>
  </si>
  <si>
    <t>Kallista</t>
  </si>
  <si>
    <t>Lyndhurst</t>
  </si>
  <si>
    <t>The Patch</t>
  </si>
  <si>
    <t>Hampton Park</t>
  </si>
  <si>
    <t>Monbulk</t>
  </si>
  <si>
    <t>Cranbourne</t>
  </si>
  <si>
    <t>Silvan</t>
  </si>
  <si>
    <t>Cardinia</t>
  </si>
  <si>
    <t>Mount Evelyn</t>
  </si>
  <si>
    <t>Tooradin</t>
  </si>
  <si>
    <t>Koo Wee Rup</t>
  </si>
  <si>
    <t>Jam Jerrup</t>
  </si>
  <si>
    <t>Nyora</t>
  </si>
  <si>
    <t>St Vincent de Paul Society, Victorian Tariff-Tracking Project, Workbook 4: Gas Market Offers</t>
    <phoneticPr fontId="20" type="noConversion"/>
  </si>
  <si>
    <t>VICTORIA - MULTINET, ENVESTRA (AGN) &amp; AUSNET</t>
    <phoneticPr fontId="20" type="noConversion"/>
  </si>
  <si>
    <t>Gas offers</t>
    <phoneticPr fontId="20" type="noConversion"/>
  </si>
  <si>
    <t>Retailer</t>
  </si>
  <si>
    <t>Gas zone</t>
    <phoneticPr fontId="20" type="noConversion"/>
  </si>
  <si>
    <t>Offer</t>
  </si>
  <si>
    <t>Camberwell</t>
  </si>
  <si>
    <t>Noble Park</t>
  </si>
  <si>
    <t>Arcadia</t>
  </si>
  <si>
    <t>Preston</t>
  </si>
  <si>
    <t>Trafalgar</t>
  </si>
  <si>
    <t>Ararat</t>
  </si>
  <si>
    <t>Sydenham</t>
  </si>
  <si>
    <t>Barwon Heads</t>
  </si>
  <si>
    <t>Bennettswood</t>
  </si>
  <si>
    <t>Dandenong</t>
  </si>
  <si>
    <t>Congupna</t>
  </si>
  <si>
    <t>Reservoir</t>
  </si>
  <si>
    <t>Moe</t>
  </si>
  <si>
    <t>Stawell</t>
  </si>
  <si>
    <t>Taylors Lake</t>
  </si>
  <si>
    <t>Torquay</t>
  </si>
  <si>
    <t>Canterbury</t>
  </si>
  <si>
    <t>Doveton</t>
  </si>
  <si>
    <t>Broadford</t>
  </si>
  <si>
    <t>Thomastown</t>
  </si>
  <si>
    <t>Morwell</t>
  </si>
  <si>
    <t>Horsham</t>
  </si>
  <si>
    <t>Moonee Ponds</t>
  </si>
  <si>
    <t>Rockbank</t>
  </si>
  <si>
    <t>Surrey Hills</t>
  </si>
  <si>
    <t>Rowville</t>
  </si>
  <si>
    <t>Tallarook</t>
  </si>
  <si>
    <t>Lalor</t>
  </si>
  <si>
    <t>Churchill</t>
  </si>
  <si>
    <t>Clarkefield</t>
  </si>
  <si>
    <t>Essendon</t>
  </si>
  <si>
    <t>Melton</t>
  </si>
  <si>
    <t>Box Hill</t>
  </si>
  <si>
    <t>Scoresby</t>
  </si>
  <si>
    <t>Seymour</t>
  </si>
  <si>
    <t>Epping</t>
  </si>
  <si>
    <t>Traralgon</t>
  </si>
  <si>
    <t>Barkers Creek</t>
  </si>
  <si>
    <t>Strathmore</t>
  </si>
  <si>
    <t>Exford</t>
  </si>
  <si>
    <t>Mont Albert</t>
  </si>
  <si>
    <t>Knoxfield</t>
  </si>
  <si>
    <t>Puckapunyal Milo</t>
  </si>
  <si>
    <t>Fairfield</t>
  </si>
  <si>
    <t>Nambrok</t>
  </si>
  <si>
    <t>Romsey</t>
  </si>
  <si>
    <t>Airport West</t>
  </si>
  <si>
    <t>Diggers Rest</t>
  </si>
  <si>
    <t>Blackburn</t>
  </si>
  <si>
    <t>St Kilda</t>
  </si>
  <si>
    <t>Mangalore</t>
  </si>
  <si>
    <t>Ivanhoe</t>
  </si>
  <si>
    <t>Sale</t>
  </si>
  <si>
    <t>Lancefield</t>
  </si>
  <si>
    <t>Tullamarine</t>
  </si>
  <si>
    <t>Sunbury</t>
  </si>
  <si>
    <t>Nunawading</t>
  </si>
  <si>
    <t>Balaclava</t>
  </si>
  <si>
    <t>Avenel</t>
  </si>
  <si>
    <t>Heidelberg</t>
  </si>
  <si>
    <t>Loch Sport</t>
  </si>
  <si>
    <t>Gisborne</t>
  </si>
  <si>
    <t>Pascoe Vail</t>
  </si>
  <si>
    <t>Mitcham</t>
  </si>
  <si>
    <t>Elwood</t>
  </si>
  <si>
    <t>Locksley</t>
  </si>
  <si>
    <t>Mill Park</t>
  </si>
  <si>
    <t>Glengarry</t>
  </si>
  <si>
    <t>New Gisborne</t>
  </si>
  <si>
    <t>Glenroy</t>
  </si>
  <si>
    <t>Vermont</t>
  </si>
  <si>
    <t>Elsternwick</t>
  </si>
  <si>
    <t>Euroa</t>
  </si>
  <si>
    <t>Bundoora</t>
  </si>
  <si>
    <t>Toongabbie</t>
  </si>
  <si>
    <t>Macedon</t>
  </si>
  <si>
    <t>Broadmeadows</t>
  </si>
  <si>
    <t>Ringwood</t>
  </si>
  <si>
    <t>Brighton East</t>
  </si>
  <si>
    <t>Violet Town</t>
  </si>
  <si>
    <t>Banyule</t>
  </si>
  <si>
    <t>Cowwarr</t>
  </si>
  <si>
    <t>Woodend</t>
  </si>
  <si>
    <t>Coolaroo</t>
  </si>
  <si>
    <t>Heathmont</t>
  </si>
  <si>
    <t>Brighton</t>
  </si>
  <si>
    <t>Benalla</t>
  </si>
  <si>
    <t>MacLeod</t>
  </si>
  <si>
    <t>Seaton</t>
  </si>
  <si>
    <t>Kyneton</t>
  </si>
  <si>
    <t>Attwood</t>
  </si>
  <si>
    <t>Croydon</t>
  </si>
  <si>
    <t>Hampton</t>
  </si>
  <si>
    <t>Lima</t>
  </si>
  <si>
    <t>Watsonia</t>
  </si>
  <si>
    <t>Newry</t>
  </si>
  <si>
    <t>Castlemaine</t>
  </si>
  <si>
    <t>Brunswick West</t>
  </si>
  <si>
    <t>Kilsyth</t>
  </si>
  <si>
    <t>Moorabbin</t>
  </si>
  <si>
    <t>Glenrowan</t>
  </si>
  <si>
    <t>Greensborough</t>
  </si>
  <si>
    <t>Maffra</t>
  </si>
  <si>
    <t>Chewton</t>
  </si>
  <si>
    <t>Coburg</t>
  </si>
  <si>
    <t>Mooroolbark</t>
  </si>
  <si>
    <t>Highett</t>
  </si>
  <si>
    <t>Wangaratta</t>
  </si>
  <si>
    <t>Diamond Creek</t>
  </si>
  <si>
    <t>Stratford</t>
  </si>
  <si>
    <t>Daylesford</t>
  </si>
  <si>
    <t>Greenvale</t>
  </si>
  <si>
    <t>Lilydale</t>
  </si>
  <si>
    <t>Sandringham</t>
  </si>
  <si>
    <t>Milawa</t>
  </si>
  <si>
    <t>Plenty</t>
  </si>
  <si>
    <t>Jumbuk</t>
  </si>
  <si>
    <t>Hepburn Springs</t>
  </si>
  <si>
    <t>Fawkner</t>
  </si>
  <si>
    <t>South Yarra</t>
  </si>
  <si>
    <t>Cheltenham</t>
  </si>
  <si>
    <t>Lilliput</t>
  </si>
  <si>
    <t>Yarrambat</t>
  </si>
  <si>
    <t>Gormandale</t>
  </si>
  <si>
    <t>Newstead</t>
  </si>
  <si>
    <t>Campbellfield</t>
  </si>
  <si>
    <t>Toorak</t>
  </si>
  <si>
    <t>Beaumaris</t>
  </si>
  <si>
    <t>Chiltern</t>
  </si>
  <si>
    <t>Jancourt</t>
  </si>
  <si>
    <t>Newport</t>
  </si>
  <si>
    <t>Werribee</t>
  </si>
  <si>
    <t>Kew East</t>
  </si>
  <si>
    <t>Ferntree Gully</t>
  </si>
  <si>
    <t>Rochester</t>
  </si>
  <si>
    <t>West Melbourne</t>
  </si>
  <si>
    <t>Smiths Gully</t>
  </si>
  <si>
    <t>Mepunga</t>
  </si>
  <si>
    <t>Williamstown</t>
  </si>
  <si>
    <t>Little River</t>
  </si>
  <si>
    <t>Balwyn</t>
  </si>
  <si>
    <t>Upwey</t>
  </si>
  <si>
    <t>Echuca</t>
  </si>
  <si>
    <t>Docklands</t>
  </si>
  <si>
    <t>St Andrews</t>
  </si>
  <si>
    <t>Warrnambool</t>
  </si>
  <si>
    <t>Altona</t>
  </si>
  <si>
    <t>Lara</t>
  </si>
  <si>
    <t>Balwyn North</t>
  </si>
  <si>
    <t>Belgrave</t>
  </si>
  <si>
    <t>Tabilk</t>
  </si>
  <si>
    <t>North Melbourne</t>
  </si>
  <si>
    <t>Healesville</t>
  </si>
  <si>
    <t>Koroit</t>
  </si>
  <si>
    <t>Braybrook</t>
  </si>
  <si>
    <t>Corio</t>
  </si>
  <si>
    <t>Bulleen</t>
  </si>
  <si>
    <t>Caulfield</t>
  </si>
  <si>
    <t>Nagambie</t>
  </si>
  <si>
    <t>Parkville</t>
  </si>
  <si>
    <t>Hallam</t>
  </si>
  <si>
    <t>Port Fairy</t>
  </si>
  <si>
    <t>Sunshine</t>
  </si>
  <si>
    <t>North Geelong</t>
  </si>
  <si>
    <t>Templestowe Lower</t>
  </si>
  <si>
    <t>Hopetoun Gardens</t>
  </si>
  <si>
    <t>Toolamba</t>
  </si>
  <si>
    <t>Carlton</t>
  </si>
  <si>
    <t>Narre Warren</t>
  </si>
  <si>
    <t>Hamilton</t>
  </si>
  <si>
    <t>St Albans</t>
  </si>
  <si>
    <t>Grovedale</t>
  </si>
  <si>
    <t>Templestowe</t>
  </si>
  <si>
    <t>Carnegie</t>
  </si>
  <si>
    <t>Tatura</t>
  </si>
  <si>
    <t>Carlton North</t>
  </si>
  <si>
    <t>Berwick</t>
  </si>
  <si>
    <t>Portland</t>
  </si>
  <si>
    <t>Deer Park</t>
  </si>
  <si>
    <t>Herne Hill</t>
  </si>
  <si>
    <t>Doncaster East</t>
  </si>
  <si>
    <t>Bentleigh East</t>
  </si>
  <si>
    <t>Byrneside</t>
  </si>
  <si>
    <t>Brunswick</t>
  </si>
  <si>
    <t>Beaconsfield</t>
  </si>
  <si>
    <t>Bacchus March</t>
  </si>
  <si>
    <t>Caroline Springs</t>
  </si>
  <si>
    <t>Geelong West</t>
  </si>
  <si>
    <t>Doncaster</t>
  </si>
  <si>
    <t>Huntingdale</t>
  </si>
  <si>
    <t>Merrigum</t>
  </si>
  <si>
    <t>Beaconsfield Upper</t>
  </si>
  <si>
    <t>Ballan</t>
  </si>
  <si>
    <t>Altona North</t>
  </si>
  <si>
    <t>East Geelong</t>
  </si>
  <si>
    <t>Donvale</t>
  </si>
  <si>
    <t>Oakleigh</t>
  </si>
  <si>
    <t>Kyabram</t>
  </si>
  <si>
    <t>Brunswick East</t>
  </si>
  <si>
    <t>Officer</t>
  </si>
  <si>
    <t>Ballarat</t>
  </si>
  <si>
    <t>Laverton North</t>
  </si>
  <si>
    <t>Geelong</t>
  </si>
  <si>
    <t>Warrandyte</t>
  </si>
  <si>
    <t>Clayton</t>
  </si>
  <si>
    <t>Tongala</t>
  </si>
  <si>
    <t>Fitzroy</t>
  </si>
  <si>
    <t>Pakenham</t>
  </si>
  <si>
    <t>Wallace</t>
  </si>
  <si>
    <t>Laverton</t>
  </si>
  <si>
    <t>Bellarine</t>
  </si>
  <si>
    <t>Park Orchards</t>
  </si>
  <si>
    <t>Clarinda</t>
  </si>
  <si>
    <t>Koyuga</t>
  </si>
  <si>
    <t>Collingwood</t>
  </si>
  <si>
    <t>Longwarry</t>
  </si>
  <si>
    <t>Wendouree</t>
  </si>
  <si>
    <t>Flemington</t>
  </si>
  <si>
    <t>Drysdale</t>
  </si>
  <si>
    <t>Wonga Park</t>
  </si>
  <si>
    <t>Mulgrave</t>
  </si>
  <si>
    <t>Stanhope</t>
  </si>
  <si>
    <t>Abbotsford</t>
  </si>
  <si>
    <t>Drouin</t>
  </si>
  <si>
    <t>Sebastopol</t>
  </si>
  <si>
    <t>Ascot Vale</t>
  </si>
  <si>
    <t>Portarlington</t>
  </si>
  <si>
    <t>Chirnside Park</t>
  </si>
  <si>
    <t>Springvale</t>
  </si>
  <si>
    <t>Girgarre</t>
  </si>
  <si>
    <t>Clifton Hill</t>
  </si>
  <si>
    <t>Warragul</t>
  </si>
  <si>
    <t>Buninyong</t>
  </si>
  <si>
    <t>Keilor East</t>
  </si>
  <si>
    <t>Leopold</t>
  </si>
  <si>
    <t>Hawthorn East</t>
  </si>
  <si>
    <t>Dingley Village</t>
  </si>
  <si>
    <t>Mooroopna</t>
  </si>
  <si>
    <t>Northcote</t>
  </si>
  <si>
    <t>Darnum</t>
  </si>
  <si>
    <t>Creswick</t>
  </si>
  <si>
    <t>Avondale Heights</t>
  </si>
  <si>
    <t>Queenscliff</t>
  </si>
  <si>
    <t>Hawthorn</t>
  </si>
  <si>
    <t>Keysborough</t>
  </si>
  <si>
    <t>Shepparton</t>
  </si>
  <si>
    <t>Thornbury</t>
  </si>
  <si>
    <t>Yarragon</t>
  </si>
  <si>
    <t>Campbelltown</t>
  </si>
  <si>
    <t>Keilor</t>
  </si>
  <si>
    <t>Ocean Grove</t>
  </si>
  <si>
    <t>Source: Essential Services Commission Victoria</t>
  </si>
  <si>
    <t>to the winter/summer rates according to the retail offer (e.g. 4 month winter peak equals 33.33% of the year)</t>
  </si>
  <si>
    <t>Origin Energy</t>
  </si>
  <si>
    <t>Red Energy</t>
  </si>
  <si>
    <t>*The 'annual bill" cell calculates the annual bill (across both seasons) and includes the supply charge.</t>
  </si>
  <si>
    <t>Simply Energy</t>
  </si>
  <si>
    <t>Sumo Power</t>
  </si>
  <si>
    <t xml:space="preserve">other market offer features such as discounts on consumption, discount for payment on time etc.  </t>
  </si>
  <si>
    <t>Amaysim</t>
  </si>
  <si>
    <t>Additional features are listed in the spreadsheet under each retailer.</t>
  </si>
  <si>
    <t>*All  spreadsheets are locked so that tariff rates cannot accidentally be changed.</t>
    <phoneticPr fontId="9" type="noConversion"/>
  </si>
  <si>
    <t>*All supply charges published as bi-monthly charges have been divided by 60 days.</t>
  </si>
  <si>
    <t>This workbook includes offers from Victoria's eight main gas distribution zones outlined below.</t>
  </si>
  <si>
    <t>Note: smaller rural zones are not included</t>
  </si>
  <si>
    <t>Postcodes</t>
  </si>
  <si>
    <t>Note: These postcodes should only be used as an indication for the geographic area each distribution zone covers.  Some postcode areas also include more than one distribution zone.</t>
  </si>
  <si>
    <t>TRU West (Ausnet West)</t>
    <phoneticPr fontId="9" type="noConversion"/>
  </si>
  <si>
    <t>AGL North (Ausnet Central2)</t>
    <phoneticPr fontId="9" type="noConversion"/>
  </si>
  <si>
    <t>TRU Central (Ausnet Central 1)</t>
    <phoneticPr fontId="9" type="noConversion"/>
  </si>
  <si>
    <t>Origin Metro (Multinet 1)</t>
    <phoneticPr fontId="9" type="noConversion"/>
  </si>
  <si>
    <t>(Multinet 2)</t>
    <phoneticPr fontId="9" type="noConversion"/>
  </si>
  <si>
    <t>Seaford</t>
  </si>
  <si>
    <t>Yeo</t>
  </si>
  <si>
    <t>Footscray</t>
  </si>
  <si>
    <t>Mount Cottrell</t>
  </si>
  <si>
    <t>Launching Place</t>
  </si>
  <si>
    <t>Pyalong</t>
  </si>
  <si>
    <t>Melbourne</t>
  </si>
  <si>
    <t>Frankston</t>
  </si>
  <si>
    <t>Colac</t>
  </si>
  <si>
    <t>Brooklyn</t>
  </si>
  <si>
    <t>Wyndham Vale</t>
  </si>
  <si>
    <t>Southbank</t>
  </si>
  <si>
    <t>Glen Waverly</t>
  </si>
  <si>
    <t>Tooborac</t>
  </si>
  <si>
    <t>Frankston North</t>
  </si>
  <si>
    <t>Camperdown</t>
  </si>
  <si>
    <t>Yarraville</t>
  </si>
  <si>
    <t>Hoppers Crossing</t>
  </si>
  <si>
    <t>Kew</t>
  </si>
  <si>
    <t>Knox City</t>
  </si>
  <si>
    <t>Heathcote</t>
  </si>
  <si>
    <t>East Melbourne</t>
  </si>
  <si>
    <t>Yan Yean</t>
  </si>
  <si>
    <t>January 2014</t>
    <phoneticPr fontId="9" type="noConversion"/>
  </si>
  <si>
    <t>Origin North</t>
  </si>
  <si>
    <t>July 2013</t>
    <phoneticPr fontId="9" type="noConversion"/>
  </si>
  <si>
    <t>TRU East</t>
  </si>
  <si>
    <t>January 2013</t>
    <phoneticPr fontId="9" type="noConversion"/>
  </si>
  <si>
    <t>Origin South East</t>
  </si>
  <si>
    <t>July 2012</t>
    <phoneticPr fontId="9" type="noConversion"/>
  </si>
  <si>
    <t>TRU West</t>
  </si>
  <si>
    <t>January 2012</t>
    <phoneticPr fontId="9" type="noConversion"/>
  </si>
  <si>
    <t>AGL North</t>
  </si>
  <si>
    <t>July 2011</t>
    <phoneticPr fontId="9" type="noConversion"/>
  </si>
  <si>
    <t>TRU Central</t>
  </si>
  <si>
    <t>January 2011</t>
  </si>
  <si>
    <t>Report 14: Victorian Energy Prices January 2017, An update-report (February 2017)</t>
  </si>
  <si>
    <t>July 2010</t>
  </si>
  <si>
    <t>Report 15: Victorian Energy Prices July 2017, An update-report (October 2017)</t>
  </si>
  <si>
    <t>Report 16: Victorian Energy Prices January 2018, An update-report (February 2018)</t>
  </si>
  <si>
    <t>Gas distributors:</t>
  </si>
  <si>
    <t>Gas retailers:</t>
  </si>
  <si>
    <t>Envestra</t>
  </si>
  <si>
    <r>
      <t>The reports and the workbooks are available at</t>
    </r>
    <r>
      <rPr>
        <b/>
        <sz val="10"/>
        <rFont val="Arial"/>
        <family val="2"/>
      </rPr>
      <t xml:space="preserve"> www.vinnies.org.au/energy</t>
    </r>
  </si>
  <si>
    <t>AGL</t>
  </si>
  <si>
    <t>This workbook contains:</t>
  </si>
  <si>
    <t>Alinta Energy</t>
  </si>
  <si>
    <t>Multinet</t>
    <phoneticPr fontId="9" type="noConversion"/>
  </si>
  <si>
    <t>Click Energy</t>
  </si>
  <si>
    <t xml:space="preserve">*Analysis of bills (consumption level variable) across networks and retailers </t>
  </si>
  <si>
    <t>Covau</t>
  </si>
  <si>
    <t>*An outline of the various gas distribution zones and relevant postcodes (see below)</t>
  </si>
  <si>
    <t>Dodo Power &amp; Gas</t>
  </si>
  <si>
    <t xml:space="preserve">*The spreadsheets (bills) are interactive where annual consumption can be adjusted. </t>
    <phoneticPr fontId="9" type="noConversion"/>
  </si>
  <si>
    <t>EnergyAustralia</t>
  </si>
  <si>
    <t>Lumo Energy</t>
  </si>
  <si>
    <t>*As gas prices are seasonal (winter peak and summer off-peak) the annual consumption entered is allocated</t>
  </si>
  <si>
    <t>Momentum Energy</t>
  </si>
  <si>
    <t xml:space="preserve">workbook, it is suitable for use only as a research and advocacy tool. We do not accept any legal responsibility for errors or inaccuracies. </t>
  </si>
  <si>
    <t xml:space="preserve">The St Vincent de Paul Society and Alviss Consulting Pty Ltd do not accept liability for any action taken based on the information provided in  </t>
    <phoneticPr fontId="9" type="noConversion"/>
  </si>
  <si>
    <t>Tab colours:</t>
  </si>
  <si>
    <t xml:space="preserve">this workbook or for any loss, economic or otherwise, suffered as a result of reliance on the information presented in this workbook. If you would like to </t>
    <phoneticPr fontId="9" type="noConversion"/>
  </si>
  <si>
    <t>July 2018</t>
  </si>
  <si>
    <t>obtain information about energy offers available to you as a customer, go to go to the 'My Power Planner' website at www.switchon.vic.gov.au or</t>
    <phoneticPr fontId="9" type="noConversion"/>
  </si>
  <si>
    <t>January 2018</t>
  </si>
  <si>
    <t>contact the energy retailers directly.</t>
    <phoneticPr fontId="9" type="noConversion"/>
  </si>
  <si>
    <t>July 2017</t>
  </si>
  <si>
    <r>
      <t xml:space="preserve">Report 1: </t>
    </r>
    <r>
      <rPr>
        <sz val="10"/>
        <rFont val="Arial"/>
        <family val="2"/>
      </rPr>
      <t>Victorian Energy Prices July 2008- July 2010</t>
    </r>
    <r>
      <rPr>
        <sz val="10"/>
        <rFont val="Arial"/>
        <family val="2"/>
      </rPr>
      <t xml:space="preserve"> (July 2010)   </t>
    </r>
  </si>
  <si>
    <t>January 2017</t>
    <phoneticPr fontId="9" type="noConversion"/>
  </si>
  <si>
    <t>July 2016</t>
    <phoneticPr fontId="9" type="noConversion"/>
  </si>
  <si>
    <t>January 2016</t>
    <phoneticPr fontId="9" type="noConversion"/>
  </si>
  <si>
    <t>July 2015</t>
    <phoneticPr fontId="9" type="noConversion"/>
  </si>
  <si>
    <t>Postcode searches:</t>
  </si>
  <si>
    <t>January 2015</t>
    <phoneticPr fontId="9" type="noConversion"/>
  </si>
  <si>
    <t>Origin Metro</t>
  </si>
  <si>
    <t>July 2014</t>
    <phoneticPr fontId="9" type="noConversion"/>
  </si>
  <si>
    <t>AGL South</t>
  </si>
  <si>
    <t xml:space="preserve">Victorian Tariff-Tracking Project, St Vincent de Paul Society </t>
    <phoneticPr fontId="9" type="noConversion"/>
  </si>
  <si>
    <t>By May Mauseth Johnston, Alviss Consulting Pty Ltd</t>
    <phoneticPr fontId="9" type="noConversion"/>
  </si>
  <si>
    <t>© St Vincent de Paul Society and Alviss Consulting Pty Ltd</t>
  </si>
  <si>
    <t xml:space="preserve">This workbook is copyright. All works contained in it are St Vincent de Paul Society and Alviss Consulting’s  </t>
    <phoneticPr fontId="9" type="noConversion"/>
  </si>
  <si>
    <t>intellectual property and subject to copyright. Apart from any use permitted under the Copyright Act 1968 (Ctw),</t>
    <phoneticPr fontId="9" type="noConversion"/>
  </si>
  <si>
    <t>Purpose of project</t>
  </si>
  <si>
    <t xml:space="preserve">no parts may be adapted, reproduced, copied, stored, distributed, published or put to commercial use </t>
    <phoneticPr fontId="9" type="noConversion"/>
  </si>
  <si>
    <t>The main purpose of this workbook is to provide consumer advocates with a tool to track and analyse</t>
  </si>
  <si>
    <t xml:space="preserve">without prior written permission from the St Vincent de Paul Society. </t>
  </si>
  <si>
    <t>changes to domestic energy offers in Victoria.  If regularly updated, this tariff-tracking tool can be used to:</t>
  </si>
  <si>
    <t xml:space="preserve">1) Inform the community about changes to energy retail prices and increase consumer awareness </t>
  </si>
  <si>
    <t>2) Monitor the impact tariff changes have on household bills and energy affordability</t>
  </si>
  <si>
    <t>DISCLAIMER:</t>
  </si>
  <si>
    <r>
      <t>Acknowledgement:</t>
    </r>
    <r>
      <rPr>
        <sz val="10"/>
        <rFont val="Arial"/>
        <family val="2"/>
      </rPr>
      <t xml:space="preserve"> The St Vincentde Paul Society Victoria has funded the Victorian Tariff-Tracking   </t>
    </r>
    <phoneticPr fontId="9" type="noConversion"/>
  </si>
  <si>
    <t xml:space="preserve">The energy offers, tariffs and bill calculations presented in this workbook should be used as a general guide only and should not be </t>
  </si>
  <si>
    <t xml:space="preserve">project since January 2013. The Consumer Advocacy Panel funded the original project and the  </t>
    <phoneticPr fontId="9" type="noConversion"/>
  </si>
  <si>
    <t xml:space="preserve">relied upon. The workbook is not an appropriate substitute for obtaining an offer from an energy retailer.  The information presented </t>
  </si>
  <si>
    <t>2012 updates and Consumer Utilities Advocacy Centre (CUAC) funded the January 2011 update.</t>
    <phoneticPr fontId="9" type="noConversion"/>
  </si>
  <si>
    <t xml:space="preserve">in the workbook is not provided as financial advice. While we have taken great care to ensure accuracy of the information provided in this </t>
  </si>
  <si>
    <t>Project outputs</t>
  </si>
  <si>
    <t>Anytime Saver</t>
  </si>
  <si>
    <t>January 2019</t>
  </si>
  <si>
    <t>Time structure code</t>
  </si>
  <si>
    <t>Multinet Metro 1</t>
  </si>
  <si>
    <t>bi-monthly</t>
    <phoneticPr fontId="4" type="noConversion"/>
  </si>
  <si>
    <t>Fair Saver</t>
  </si>
  <si>
    <t>Burgundy</t>
  </si>
  <si>
    <t>Anytime Saver</t>
    <phoneticPr fontId="4" type="noConversion"/>
  </si>
  <si>
    <t>Value</t>
  </si>
  <si>
    <t>GloBird Energy</t>
  </si>
  <si>
    <t>Auto Pay with Gas Saver</t>
  </si>
  <si>
    <t>Multinet Metro 2</t>
  </si>
  <si>
    <t>AGN North</t>
  </si>
  <si>
    <t>AGN Central 2</t>
  </si>
  <si>
    <t>AGN Central 1</t>
  </si>
  <si>
    <t>Savers</t>
  </si>
  <si>
    <t>AusNet Services West</t>
  </si>
  <si>
    <t>AusNet Services Central 2</t>
  </si>
  <si>
    <t>AusNet Services Central 1</t>
  </si>
  <si>
    <t>y</t>
    <phoneticPr fontId="4" type="noConversion"/>
  </si>
  <si>
    <t>w</t>
    <phoneticPr fontId="4" type="noConversion"/>
  </si>
  <si>
    <t>Long winter peak</t>
  </si>
  <si>
    <t>https://www.alintaenergy.com.au/Alinta/media/Documents/VIC-GAS-PPIS-FS20-12BP.pdf</t>
  </si>
  <si>
    <t>$50 credit if signing up online.</t>
  </si>
  <si>
    <t>New</t>
  </si>
  <si>
    <t>https://www.redenergy.com.au/docs/vic_price_fact_sheets/Red-Energy-VIC-Market-Offer-Residential-Multinet-Gas-Easy-Saver.pdf</t>
  </si>
  <si>
    <t>Shoulder season</t>
  </si>
  <si>
    <t>Short winter peak</t>
  </si>
  <si>
    <t>https://www.redenergy.com.au/docs/vic_price_fact_sheets/Red-Energy-VIC-Market-Offer-Residential-Australian-Gas-Networks-Gas-Easy-Saver.pdf</t>
  </si>
  <si>
    <t>https://www.redenergy.com.au/docs/vic_price_fact_sheets/Red-Energy-VIC-Market-Offer-Residential-AusNet-Services-Gas-Gas-Easy-Saver.pdf</t>
  </si>
  <si>
    <t>Gas as you go</t>
  </si>
  <si>
    <t>Report 17: Victorian Energy Prices July 2018, An update-report (August 2018)</t>
  </si>
  <si>
    <t>Report 18: Victorian Energy Prices January 2019, An update-report (February 2019)</t>
  </si>
  <si>
    <t>Envestra/AGN</t>
  </si>
  <si>
    <t>Ausnet</t>
  </si>
  <si>
    <t>Origin North (AGN/Env North)</t>
  </si>
  <si>
    <t>TRU East (AGN/Env Central 2)</t>
  </si>
  <si>
    <t>Origin SE (AGN/Env Central 1)</t>
  </si>
  <si>
    <t>July 2019</t>
  </si>
  <si>
    <t>Price fix (months)</t>
  </si>
  <si>
    <t>Price fix (date)</t>
  </si>
  <si>
    <t>VIC</t>
    <phoneticPr fontId="0" type="noConversion"/>
  </si>
  <si>
    <t>AGL</t>
    <phoneticPr fontId="0" type="noConversion"/>
  </si>
  <si>
    <t>Essentials</t>
  </si>
  <si>
    <t>bi-monthly</t>
    <phoneticPr fontId="0" type="noConversion"/>
  </si>
  <si>
    <t/>
  </si>
  <si>
    <t>y</t>
    <phoneticPr fontId="0" type="noConversion"/>
  </si>
  <si>
    <t>w</t>
    <phoneticPr fontId="0" type="noConversion"/>
  </si>
  <si>
    <t>n</t>
    <phoneticPr fontId="0" type="noConversion"/>
  </si>
  <si>
    <t>N</t>
    <phoneticPr fontId="0" type="noConversion"/>
  </si>
  <si>
    <t>https://www.agl.com.au/-/media/agldata/distributordata/pdfs/victorian_energy_fact_sheet_agd107510mr_gas.pdf</t>
  </si>
  <si>
    <t>Alinta Energy</t>
    <phoneticPr fontId="0" type="noConversion"/>
  </si>
  <si>
    <t>Real Deal</t>
  </si>
  <si>
    <t>$100 welcome credit</t>
  </si>
  <si>
    <t>https://www.alintaenergy.com.au/energy-products/electricity-gas/real-deal-gas</t>
  </si>
  <si>
    <t>Click Energy</t>
    <phoneticPr fontId="0" type="noConversion"/>
  </si>
  <si>
    <t>Banksia</t>
  </si>
  <si>
    <t>https://www.clickenergy.com.au/pdf/vefs/CLI111274MR.pdf</t>
  </si>
  <si>
    <t>https://connectto.dodo.com/rapidEnergyQuote/pricefactsheet/GetPdfDocument?filepath=PriceFactSheets%5cMultinet%5cConsumer%5cGas%5cMultinet+Metro+1+-+Residential+Gas+Market.pdf</t>
  </si>
  <si>
    <t>EnergyAustralia</t>
    <phoneticPr fontId="0" type="noConversion"/>
  </si>
  <si>
    <t>Total Plan</t>
  </si>
  <si>
    <t>https://www.energyaustralia.com.au/epfs-documents/VIC_GAS_TOPH_R2_TRU106312MR.pdf</t>
  </si>
  <si>
    <t>Lumo Energy</t>
    <phoneticPr fontId="0" type="noConversion"/>
  </si>
  <si>
    <t>Momentum Energy</t>
    <phoneticPr fontId="0" type="noConversion"/>
  </si>
  <si>
    <t>Market offer</t>
    <phoneticPr fontId="0" type="noConversion"/>
  </si>
  <si>
    <t>$50 welcome credit if signing up online</t>
  </si>
  <si>
    <t>Account credit</t>
    <phoneticPr fontId="0" type="noConversion"/>
  </si>
  <si>
    <t>Y</t>
    <phoneticPr fontId="0" type="noConversion"/>
  </si>
  <si>
    <t>https://www.momentumenergy.com.au/docs/default-source/price-sheets/Gas-RESI-Momentum-Gas-Multinet-Metro-MOM101976MR.pdf</t>
  </si>
  <si>
    <t>Origin Energy</t>
    <phoneticPr fontId="0" type="noConversion"/>
  </si>
  <si>
    <t>Flexi</t>
  </si>
  <si>
    <t>Red Energy</t>
    <phoneticPr fontId="0" type="noConversion"/>
  </si>
  <si>
    <t>Simply Energy</t>
    <phoneticPr fontId="0" type="noConversion"/>
  </si>
  <si>
    <t>Plus</t>
    <phoneticPr fontId="0" type="noConversion"/>
  </si>
  <si>
    <t xml:space="preserve">$50 welcome credit </t>
  </si>
  <si>
    <t>https://www.simplyenergy.com.au/docs/default-source/factsheets/0905_vic-plus-50_multiom(g)_sim104835mr.pdf?sfvrsn=e3c31499_2</t>
  </si>
  <si>
    <t>Sumo Power</t>
    <phoneticPr fontId="0" type="noConversion"/>
  </si>
  <si>
    <t>Select</t>
  </si>
  <si>
    <t>https://sumo-epfs.s3-ap-southeast-2.amazonaws.com/vefs/Victorian_Energy_Fact_Sheet_SUM108026MR_Gas.pdf</t>
  </si>
  <si>
    <t>https://www.amaysim.com.au/energy/epfs/eme/AMA107698MR.pdf?postcode=3102</t>
  </si>
  <si>
    <t>https://www.globirdenergy.com.au/shared-assets/Victorian_Energy_Fact_Sheets/Victorian_Energy_Fact_Sheet_GLO108304MR_Gas.pdf</t>
  </si>
  <si>
    <t>Shopper with Gas Saver</t>
  </si>
  <si>
    <t>https://www.powershop.com.au/app/rates/gas/residential-gas-multinet-metro-market-offer.pdf</t>
  </si>
  <si>
    <t>DC Power Co</t>
  </si>
  <si>
    <t>Market offer</t>
  </si>
  <si>
    <t>Direct debit ony.</t>
  </si>
  <si>
    <t>https://www.dcpowerco.com.au/wp-content/uploads/2019/07/DCP-MN-Metro-90701-DR.pdf</t>
  </si>
  <si>
    <t>https://www.agl.com.au/-/media/agldata/distributordata/pdfs/victorian_energy_fact_sheet_agd107511mr_gas.pdf</t>
  </si>
  <si>
    <t>https://www.clickenergy.com.au/pdf/vefs/CLI111275MR.pdf</t>
  </si>
  <si>
    <t>https://www.energyaustralia.com.au/epfs-documents/VIC_GAS_TOPH_A2_TRU106310MR.pdf</t>
  </si>
  <si>
    <t>https://www.simplyenergy.com.au/docs/default-source/factsheets/0904_vic-plus-50_multinsw(g)_sim104993mr.pdf?sfvrsn=51c11499_2</t>
  </si>
  <si>
    <t>https://sumo-epfs.s3-ap-southeast-2.amazonaws.com/vefs/Victorian_Energy_Fact_Sheet_SUM108027MR_Gas.pdf</t>
  </si>
  <si>
    <t>https://www.amaysim.com.au/energy/epfs/eme/AMA107699MR.pdf?postcode=3170</t>
  </si>
  <si>
    <t>https://www.agl.com.au/-/media/agldata/distributordata/pdfs/victorian_energy_fact_sheet_agd107509mr_gas.pdf</t>
  </si>
  <si>
    <t>https://www.clickenergy.com.au/pdf/vefs/CLI111271MR.pdf</t>
  </si>
  <si>
    <t>https://connectto.dodo.com/rapidEnergyQuote/pricefactsheet/GetPdfDocument?filepath=PriceFactSheets%5cEnvestra%5cConsumer%5cGas%5cAustralian+Gas+Networks+North+-+Residential+Gas+Market.pdf</t>
  </si>
  <si>
    <t>https://www.energyaustralia.com.au/epfs-documents/VIC_GAS_TOPH_R4_TRU106314MR.pdf</t>
  </si>
  <si>
    <t>https://www.momentumenergy.com.au/docs/default-source/price-sheets/Gas-RESI-Momentum-Gas-Australian-Gas-Networks-North-MOM101974MR.pdf</t>
  </si>
  <si>
    <t>https://www.simplyenergy.com.au/docs/default-source/factsheets/0896_vic-plus-50_agnon(g)_sim104435mr.pdf?sfvrsn=72c41499_2</t>
  </si>
  <si>
    <t>https://sumo-epfs.s3-ap-southeast-2.amazonaws.com/vefs/Victorian_Energy_Fact_Sheet_SUM108024MR_Gas.pdf</t>
  </si>
  <si>
    <t>https://www.amaysim.com.au/energy/epfs/eme/AMA107694MR.pdf?postcode=3620</t>
  </si>
  <si>
    <t>https://www.globirdenergy.com.au/shared-assets/Victorian_Energy_Fact_Sheets/Victorian_Energy_Fact_Sheet_GLO108284MR_Gas.pdf</t>
  </si>
  <si>
    <t>https://www.powershop.com.au/app/rates/gas/residential-gas-agn-north-market-offer.pdf</t>
  </si>
  <si>
    <t>https://www.dcpowerco.com.au/wp-content/uploads/2019/07/DCP-AGN-North-90701-DR.pdf</t>
  </si>
  <si>
    <t>https://www.agl.com.au/-/media/agldata/distributordata/pdfs/victorian_energy_fact_sheet_agd107507mr_gas.pdf</t>
  </si>
  <si>
    <t>https://www.clickenergy.com.au/pdf/vefs/CLI111270MR.pdf</t>
  </si>
  <si>
    <t>https://connectto.dodo.com/rapidEnergyQuote/pricefactsheet/GetPdfDocument?filepath=PriceFactSheets%5cEnvestra%5cConsumer%5cGas%5cAustralian+Gas+Networks+Central+2+-+Residential+Gas+Market.pdf</t>
  </si>
  <si>
    <t>https://www.energyaustralia.com.au/epfs-documents/VIC_GAS_TOPH_T2_TRU106321MR.pdf</t>
  </si>
  <si>
    <t>https://www.momentumenergy.com.au/docs/default-source/price-sheets/Gas-RESI-Momentum-Gas-Australian-Gas-Networks-Central-MOM101970MR.pdf</t>
  </si>
  <si>
    <t>https://www.simplyenergy.com.au/docs/default-source/factsheets/0900_vic-plus-50_ausnan(g)_sim104433mr.pdf?sfvrsn=3c11499_2</t>
  </si>
  <si>
    <t>https://sumo-epfs.s3-ap-southeast-2.amazonaws.com/vefs/Victorian_Energy_Fact_Sheet_SUM108023MR_Gas.pdf</t>
  </si>
  <si>
    <t>https://www.amaysim.com.au/energy/epfs/eme/AMA107691MR.pdf?postcode=3818</t>
  </si>
  <si>
    <t>https://www.globirdenergy.com.au/shared-assets/Victorian_Energy_Fact_Sheets/Victorian_Energy_Fact_Sheet_GLO108282MR_Gas.pdf</t>
  </si>
  <si>
    <t>https://www.powershop.com.au/app/rates/gas/residential-gas-agn-central-market-offer.pdf</t>
  </si>
  <si>
    <t>https://www.dcpowerco.com.au/wp-content/uploads/2019/07/DCP-AGN-Central-90701-DR.pdf</t>
  </si>
  <si>
    <t>https://www.agl.com.au/-/media/agldata/distributordata/pdfs/victorian_energy_fact_sheet_agd107506mr_gas.pdf</t>
  </si>
  <si>
    <t>https://www.clickenergy.com.au/pdf/vefs/CLI111269MR.pdf</t>
  </si>
  <si>
    <t>https://connectto.dodo.com/rapidEnergyQuote/pricefactsheet/GetPdfDocument?filepath=PriceFactSheets%5cEnvestra%5cConsumer%5cGas%5cAustralian+Gas+Networks+Central+1+-+Residential+Gas+Market.pdf</t>
  </si>
  <si>
    <t>https://www.energyaustralia.com.au/epfs-documents/VIC_GAS_TOPH_R5_TRU106315MR.pdf</t>
  </si>
  <si>
    <t>https://www.simplyenergy.com.au/docs/default-source/factsheets/0897_vic-plus-50_agnose(g)_sim104436mr.pdf?sfvrsn=1fc41499_2</t>
  </si>
  <si>
    <t>https://sumo-epfs.s3-ap-southeast-2.amazonaws.com/vefs/Victorian_Energy_Fact_Sheet_SUM108025MR_Gas.pdf</t>
  </si>
  <si>
    <t>https://www.agl.com.au/-/media/agldata/distributordata/pdfs/victorian_energy_fact_sheet_agd107504mr_gas.pdf</t>
  </si>
  <si>
    <t>https://www.clickenergy.com.au/pdf/vefs/CLI111278MR.pdf</t>
  </si>
  <si>
    <t>https://www.energyaustralia.com.au/epfs-documents/VIC_GAS_TOPH_T3_TRU106322MR.pdf</t>
  </si>
  <si>
    <t>https://www.momentumenergy.com.au/docs/default-source/price-sheets/Gas-RESI-Momentum-Gas-Ausnet-West-MOM101966MR.pdf</t>
  </si>
  <si>
    <t>https://www.simplyenergy.com.au/docs/default-source/factsheets/0903_vic-plus-50_ausntw(g)_sim104480mr.pdf?sfvrsn=eec31499_2</t>
  </si>
  <si>
    <t>https://sumo-epfs.s3-ap-southeast-2.amazonaws.com/vefs/Victorian_Energy_Fact_Sheet_SUM108022MR_Gas.pdf</t>
  </si>
  <si>
    <t>https://www.amaysim.com.au/energy/epfs/eme/AMA107697MR.pdf?postcode=3342</t>
  </si>
  <si>
    <t>https://www.globirdenergy.com.au/shared-assets/Victorian_Energy_Fact_Sheets/Victorian_Energy_Fact_Sheet_GLO108296MR_Gas.pdf</t>
  </si>
  <si>
    <t>https://www.powershop.com.au/app/rates/gas/residential-gas-ausnet-west-market-offer.pdf</t>
  </si>
  <si>
    <t>https://www.dcpowerco.com.au/wp-content/uploads/2019/07/DCP-AS-West-90701-DR.pdf</t>
  </si>
  <si>
    <t>https://www.agl.com.au/-/media/agldata/distributordata/pdfs/victorian_energy_fact_sheet_agd107503mr_gas.pdf</t>
  </si>
  <si>
    <t>https://www.clickenergy.com.au/pdf/vefs/CLI111272MR.pdf</t>
  </si>
  <si>
    <t>https://connectto.dodo.com/rapidEnergyQuote/pricefactsheet/GetPdfDocument?filepath=PriceFactSheets%5cSP-Ausnet%5cConsumer%5cGas%5cAusNet+Services+Central+1+-+Residential+Gas+Market.pdf</t>
  </si>
  <si>
    <t>https://www.energyaustralia.com.au/epfs-documents/VIC_GAS_TOPH_A1_TRU106309MR.pdf</t>
  </si>
  <si>
    <t>https://www.momentumenergy.com.au/docs/default-source/price-sheets/Gas-RESI-Momentum-Gas-Ausnet-Central-MOM101964MR.pdf</t>
  </si>
  <si>
    <t>https://sumo-epfs.s3-ap-southeast-2.amazonaws.com/vefs/Victorian_Energy_Fact_Sheet_SUM108021MR_Gas.pdf</t>
  </si>
  <si>
    <t>https://www.amaysim.com.au/energy/epfs/eme/AMA107696MR.pdf?postcode=3220</t>
  </si>
  <si>
    <t>https://www.globirdenergy.com.au/shared-assets/Victorian_Energy_Fact_Sheets/Victorian_Energy_Fact_Sheet_GLO108299MR_Gas.pdf</t>
  </si>
  <si>
    <t>https://www.powershop.com.au/app/rates/gas/residential-gas-ausnet-central-market-offer.pdf</t>
  </si>
  <si>
    <t>https://www.dcpowerco.com.au/wp-content/uploads/2019/07/DCP-AS-Central-90701-DR.pdf</t>
  </si>
  <si>
    <t>https://www.agl.com.au/-/media/agldata/distributordata/pdfs/victorian_energy_fact_sheet_agd107502mr_gas.pdf</t>
  </si>
  <si>
    <t>https://www.clickenergy.com.au/pdf/vefs/CLI111266MR.pdf</t>
  </si>
  <si>
    <t>https://www.energyaustralia.com.au/epfs-documents/VIC_GAS_TOPH_T1_TRU106320MR.pdf</t>
  </si>
  <si>
    <t>https://www.simplyenergy.com.au/docs/default-source/factsheets/0902_vic-plus-50_ausntc(g)_sim105304mr.pdf?sfvrsn=e4c31499_2</t>
  </si>
  <si>
    <t>https://sumo-epfs.s3-ap-southeast-2.amazonaws.com/vefs/Victorian_Energy_Fact_Sheet_SUM108020MR_Gas.pdf</t>
  </si>
  <si>
    <t>Annual consumption (incl GST)</t>
  </si>
  <si>
    <t>https://www.redenergy.com.au/docs/vic_energy_fact_sheets/Victorian_Energy_Fact_Sheet_RED94689MR_Gas.pdf</t>
  </si>
  <si>
    <t>Report 19: Victorian Energy Prices July 2019, An update-report (September 2019)</t>
  </si>
  <si>
    <t>January 2020</t>
  </si>
  <si>
    <t>peak or single block type</t>
  </si>
  <si>
    <t>peak or single 1st step (MJ)</t>
  </si>
  <si>
    <t>peak or single 2nd step (MJ)</t>
  </si>
  <si>
    <t>peak or single 3rd step (MJ)</t>
  </si>
  <si>
    <t>peak or single 4th step (MJ)</t>
  </si>
  <si>
    <t>peak or single 5th step (MJ)</t>
  </si>
  <si>
    <t>1st peak rate (c/MJ)</t>
  </si>
  <si>
    <t>2nd peak rate (c/MJ)</t>
  </si>
  <si>
    <t>3rd peak rate (c/MJ)</t>
  </si>
  <si>
    <t>4th peak rate (c/MJ)</t>
  </si>
  <si>
    <t>5th peak rate (c/MJ)</t>
  </si>
  <si>
    <t>6th peak rate (c/MJ)</t>
  </si>
  <si>
    <t>1st off-peak rate (c/MJ)</t>
  </si>
  <si>
    <t>2nd off-peak rate (c/MJ)</t>
  </si>
  <si>
    <t>3rd off-peak rate (c/MJ)</t>
  </si>
  <si>
    <t>4th off-peak rate (c/MJ)</t>
  </si>
  <si>
    <t>5th off-peak rate (c/MJ)</t>
  </si>
  <si>
    <t>6th off-peak rate (c/MJ)</t>
  </si>
  <si>
    <t>1st shoulder rate (c/MJ)</t>
  </si>
  <si>
    <t>2nd shoulder rate (c/MJ)</t>
  </si>
  <si>
    <t>3rd shoulder rate (c/MJ)</t>
  </si>
  <si>
    <t>4th shoulder rate (c/MJ)</t>
  </si>
  <si>
    <t>5th shoulder rate (c/MJ)</t>
  </si>
  <si>
    <t>6th shoulder rate (c/MJ)</t>
  </si>
  <si>
    <t>E-bill discount off bill (%)</t>
  </si>
  <si>
    <t>E-bill discount off usage (%)</t>
  </si>
  <si>
    <t>Mandatory shortened billing cycle (months)</t>
  </si>
  <si>
    <t>1st Energy</t>
  </si>
  <si>
    <t>1st Saver</t>
  </si>
  <si>
    <t>https://1stenergy.com.au/wp-content/uploads/Price_Fact_Sheets/Gas%20PFS/Victorian_Energy_Fact_Sheet_1ST121208MR_Gas.pdf?_t=1568942513</t>
  </si>
  <si>
    <t>Essentials Saver</t>
  </si>
  <si>
    <t>n</t>
  </si>
  <si>
    <t>https://www.agl.com.au/-/media/agldata/distributordata/pdfs/victorian_energy_fact_sheet_agd128308mr_gas.pdf</t>
  </si>
  <si>
    <t>Home Deal</t>
  </si>
  <si>
    <t>https://forms.alintaenergy.com.au//Alinta/media/EnergyPriceFactSheets/Victorian_Energy_Fact_Sheet_ALI154666MR_Gas.pdf?_ga=2.133547657.686482109.1578878026-1533394487.1578878026</t>
  </si>
  <si>
    <t>https://www.amaysim.com.au/energy/epfs/eme/AMA133829MR.pdf?postcode=3102</t>
  </si>
  <si>
    <t>Hibiscus</t>
  </si>
  <si>
    <t>Direct debit only</t>
  </si>
  <si>
    <t>https://www.clickenergy.com.au/pdf/vefs/CLI130564MR.pdf</t>
  </si>
  <si>
    <t>Covau</t>
    <phoneticPr fontId="0" type="noConversion"/>
  </si>
  <si>
    <t>https://www.covau.com.au/EnergyPriceFactSheets/DPFS/CoavU_VIC_Gas_SmartSaver_Residential_MultinetMetropolitan.pdf</t>
  </si>
  <si>
    <t>https://www.dcpowerco.com.au/wp-content/uploads/2019/12/DCP-MN-Metro-200101-DR-1.pdf</t>
  </si>
  <si>
    <t>https://www.energyaustralia.com.au/epfs-documents/VIC_GAS_TOPH_R2_TRU132043MR.pdf</t>
  </si>
  <si>
    <t>https://www.globirdenergy.com.au/shared-assets/Victorian_Energy_Fact_Sheets/Victorian_Energy_Fact_Sheet_GLO131441MR_Gas.pdf</t>
  </si>
  <si>
    <t>Kogan Energy</t>
  </si>
  <si>
    <t>https://assets.kogan.com/files/energy/pdf/KE-MN-Metro-market.pdf</t>
  </si>
  <si>
    <t>bi-monthly</t>
    <phoneticPr fontId="5" type="noConversion"/>
  </si>
  <si>
    <t>https://www.lumoenergy.com.au/docs/vic_energy_fact_sheets/Victorian_Energy_Fact_Sheet_LU2135723MR_Gas.pdf</t>
  </si>
  <si>
    <t>https://www.momentumenergy.com.au/docs/default-source/price-sheets/RESI-Momentum-Gas-Multinet-Metro-MOM133160MR.pdf</t>
  </si>
  <si>
    <t>https://www.powershop.com.au/app/rates/gas/residential-gas-multinet-metro-market-offer.pdf?v=1</t>
  </si>
  <si>
    <t>Living Energy Saver</t>
  </si>
  <si>
    <t>https://www.redenergy.com.au/docs/vic_energy_fact_sheets/Victorian_Energy_Fact_Sheet_RED136205MR_Gas.pdf</t>
  </si>
  <si>
    <t>https://www.simplyenergy.com.au/docs/default-source/factsheets/2694_vic_plus_ppd_12__multiom(g)_sim144048mr.pdf?sfvrsn=79fe399_2</t>
  </si>
  <si>
    <t>https://connectto.dodo.com/EnergySignup2015/pricefactsheet/GetPdfDocument?filepath=PriceFactSheets%5cMultinet%5cConsumer%5cGas%5cMultinet+Metro+1+-+Residential+Gas+Market.pdf</t>
  </si>
  <si>
    <t>https://www.agl.com.au/-/media/agldata/distributordata/pdfs/victorian_energy_fact_sheet_agd128309mr_gas.pdf</t>
  </si>
  <si>
    <t>https://forms.alintaenergy.com.au//Alinta/media/EnergyPriceFactSheets/Victorian_Energy_Fact_Sheet_ALI154667MR_Gas.pdf?_ga=2.95317531.686482109.1578878026-1533394487.1578878026</t>
  </si>
  <si>
    <t>https://www.clickenergy.com.au/pdf/vefs/CLI130565MR.pdf</t>
  </si>
  <si>
    <t>https://www.energyaustralia.com.au/epfs-documents/VIC_GAS_TOPH_A2_TRU132041MR.pdf</t>
  </si>
  <si>
    <t>https://www.lumoenergy.com.au/docs/vic_energy_fact_sheets/Victorian_Energy_Fact_Sheet_LU2135722MR_Gas.pdf</t>
  </si>
  <si>
    <t>https://www.redenergy.com.au/docs/vic_energy_fact_sheets/Victorian_Energy_Fact_Sheet_RED136206MR_Gas.pdf</t>
  </si>
  <si>
    <t>https://www.simplyenergy.com.au/docs/default-source/factsheets/2693_vic_plus_ppd_12__multinsw(g)_sim144047mr.pdf?sfvrsn=29fe399_2</t>
  </si>
  <si>
    <t>Plus</t>
  </si>
  <si>
    <t>https://connectto.dodo.com/EnergySignup2015/pricefactsheet/GetPdfDocument?filepath=PriceFactSheets%5cMultinet%5cConsumer%5cGas%5cMultinet+South+1+-+Residential+Gas+Market.pdf</t>
  </si>
  <si>
    <t>https://1stenergy.com.au/wp-content/uploads/Price_Fact_Sheets/Gas%20PFS/Victorian_Energy_Fact_Sheet_1ST121206MR_Gas.pdf?_t=1568942513</t>
  </si>
  <si>
    <t>https://www.agl.com.au/-/media/agldata/distributordata/pdfs/victorian_energy_fact_sheet_agd129766mr_gas.pdf</t>
  </si>
  <si>
    <t>https://forms.alintaenergy.com.au//Alinta/media/EnergyPriceFactSheets/Victorian_Energy_Fact_Sheet_ALI154676MR_Gas.pdf?_ga=2.100117145.686482109.1578878026-1533394487.1578878026</t>
  </si>
  <si>
    <t>https://www.amaysim.com.au/energy/epfs/eme/AMA133825MR.pdf?postcode=3620</t>
  </si>
  <si>
    <t>https://www.clickenergy.com.au/pdf/vefs/CLI130561MR.pdf</t>
  </si>
  <si>
    <t>https://www.dcpowerco.com.au/wp-content/uploads/2019/12/DCP-AGN-Northl-200101-DR-1.pdf</t>
  </si>
  <si>
    <t>https://www.energyaustralia.com.au/epfs-documents/VIC_GAS_TOPH_R4_TRU132045MR.pdf</t>
  </si>
  <si>
    <t>https://www.globirdenergy.com.au/shared-assets/Victorian_Energy_Fact_Sheets/Victorian_Energy_Fact_Sheet_GLO131436MR_Gas.pdf</t>
  </si>
  <si>
    <t>https://www.lumoenergy.com.au/docs/vic_energy_fact_sheets/Victorian_Energy_Fact_Sheet_LU2135726MR_Gas.pdf</t>
  </si>
  <si>
    <t>https://www.momentumenergy.com.au/docs/default-source/price-sheets/RESI-Momentum-Gas-Australian-Gas-Networks-North-MOM133158MR.pdf</t>
  </si>
  <si>
    <t>https://www.originenergy.com.au/content/dam/origin/residential/docs/energy-price-fact-sheets/vic/1Jan2019/OR2147764MR.pdf</t>
  </si>
  <si>
    <t>https://www.powershop.com.au/app/rates/gas/residential-gas-agn-north-market-offer.pdf?v=1</t>
  </si>
  <si>
    <t>https://www.redenergy.com.au/docs/vic_energy_fact_sheets/Victorian_Energy_Fact_Sheet_RED136199MR_Gas.pdf</t>
  </si>
  <si>
    <t>https://www.simplyenergy.com.au/docs/default-source/factsheets/2685_vic_plus_ppd_12__agnon(g)_sim144046mr.pdf?sfvrsn=2a9fe399_2</t>
  </si>
  <si>
    <t>https://www.covau.com.au/EnergyPriceFactSheets/DPFS/CoavU_VIC_Gas_SmartSaver_Residential_AustralianGasNetworksNorth.pdf</t>
  </si>
  <si>
    <t>https://assets.kogan.com/files/energy/pdf/KE-AGN-North-200101-market.pdf</t>
  </si>
  <si>
    <t>https://connectto.dodo.com/EnergySignup2015/pricefactsheet/GetPdfDocument?filepath=PriceFactSheets%5cEnvestra%5cConsumer%5cGas%5cAustralian+Gas+Networks+North+-+Residential+Gas+Market.pdf</t>
  </si>
  <si>
    <t>https://www.momentumenergy.com.au/docs/default-source/price-sheets/RESI-Momentum-Gas-Australian-Gas-Networks-Central-MOM133154MR.pdf</t>
  </si>
  <si>
    <t>https://www.agl.com.au/-/media/agldata/distributordata/pdfs/victorian_energy_fact_sheet_agd129764mr_gas.pdf</t>
  </si>
  <si>
    <t>https://forms.alintaenergy.com.au//Alinta/media/EnergyPriceFactSheets/Victorian_Energy_Fact_Sheet_ALI154675MR_Gas.pdf?_ga=2.174425637.686482109.1578878026-1533394487.1578878026</t>
  </si>
  <si>
    <t>https://www.amaysim.com.au/energy/epfs/eme/AMA133823MR.pdf?postcode=3000</t>
  </si>
  <si>
    <t>https://www.clickenergy.com.au/pdf/vefs/CLI130560MR.pdf</t>
  </si>
  <si>
    <t>https://www.dcpowerco.com.au/wp-content/uploads/2019/12/DCP-AGN-Central-200101-DR-1.pdf</t>
  </si>
  <si>
    <t>https://www.energyaustralia.com.au/epfs-documents/VIC_GAS_TOPH_T2_TRU132051MR.pdf</t>
  </si>
  <si>
    <t>https://www.globirdenergy.com.au/shared-assets/Victorian_Energy_Fact_Sheets/Victorian_Energy_Fact_Sheet_GLO131434MR_Gas.pdf</t>
  </si>
  <si>
    <t>https://www.lumoenergy.com.au/docs/vic_energy_fact_sheets/Victorian_Energy_Fact_Sheet_LU2135729MR_Gas.pdf</t>
  </si>
  <si>
    <t>https://www.powershop.com.au/app/rates/gas/residential-gas-agn-central-market-offer.pdf?v=1</t>
  </si>
  <si>
    <t>https://www.redenergy.com.au/docs/vic_energy_fact_sheets/Victorian_Energy_Fact_Sheet_RED136210MR_Gas.pdf</t>
  </si>
  <si>
    <t>https://www.simplyenergy.com.au/docs/default-source/factsheets/2687_vic_plus_ppd_12__agnte(g)_sim144044mr.pdf?sfvrsn=209fe399_2</t>
  </si>
  <si>
    <t>https://1stenergy.com.au/wp-content/uploads/Price_Fact_Sheets/Gas%20PFS/Victorian_Energy_Fact_Sheet_1ST121205MR_Gas.pdf?_t=1568942513</t>
  </si>
  <si>
    <t>https://assets.kogan.com/files/energy/pdf/KE-AGN-Central-200101-market.pdf</t>
  </si>
  <si>
    <t>https://www.covau.com.au/EnergyPriceFactSheets/DPFS/CoavU_VIC_Gas_SmartSaver_Residential_AustralianGasNetworksCentral.pdf</t>
  </si>
  <si>
    <t>https://connectto.dodo.com/EnergySignup2015/pricefactsheet/GetPdfDocument?filepath=PriceFactSheets%5cEnvestra%5cConsumer%5cGas%5cAustralian+Gas+Networks+Central+2+-+Residential+Gas+Market.pdf</t>
  </si>
  <si>
    <t>https://www.agl.com.au/-/media/agldata/distributordata/pdfs/victorian_energy_fact_sheet_agd128304mr_gas.pdf</t>
  </si>
  <si>
    <t>https://forms.alintaenergy.com.au//Alinta/media/EnergyPriceFactSheets/Victorian_Energy_Fact_Sheet_ALI154674MR_Gas.pdf?_ga=2.200232489.686482109.1578878026-1533394487.1578878026</t>
  </si>
  <si>
    <t>https://www.amaysim.com.au/energy/epfs/eme/AMA133822MR.pdf?postcode=3978</t>
  </si>
  <si>
    <t>https://www.clickenergy.com.au/pdf/vefs/CLI130559MR.pdf</t>
  </si>
  <si>
    <t>https://www.energyaustralia.com.au/epfs-documents/VIC_GAS_TOPH_R5_TRU132046MR.pdf</t>
  </si>
  <si>
    <t>https://www.lumoenergy.com.au/docs/vic_energy_fact_sheets/Victorian_Energy_Fact_Sheet_LU2135727MR_Gas.pdf</t>
  </si>
  <si>
    <t>https://www.redenergy.com.au/docs/vic_energy_fact_sheets/Victorian_Energy_Fact_Sheet_RED136209MR_Gas.pdf</t>
  </si>
  <si>
    <t>https://www.simplyenergy.com.au/docs/default-source/factsheets/2686_vic_plus_ppd_12__agnose(g)_sim144045mr.pdf?sfvrsn=2f9fe399_2</t>
  </si>
  <si>
    <t>https://connectto.dodo.com/EnergySignup2015/pricefactsheet/GetPdfDocument?filepath=PriceFactSheets%5cEnvestra%5cConsumer%5cGas%5cAustralian+Gas+Networks+Central+1+-+Residential+Gas+Market.pdf</t>
  </si>
  <si>
    <t>https://www.dcpowerco.com.au/wp-content/uploads/2019/12/DCP-AS-West-200101-DR-1.pdf</t>
  </si>
  <si>
    <t>https://www.agl.com.au/-/media/agldata/distributordata/pdfs/victorian_energy_fact_sheet_agd129761mr_gas.pdf</t>
  </si>
  <si>
    <t>https://forms.alintaenergy.com.au//Alinta/media/EnergyPriceFactSheets/Victorian_Energy_Fact_Sheet_ALI154671MR_Gas.pdf?_ga=2.133728521.686482109.1578878026-1533394487.1578878026</t>
  </si>
  <si>
    <t>https://www.amaysim.com.au/energy/epfs/eme/AMA133828MR.pdf?postcode=3342</t>
  </si>
  <si>
    <t>https://www.clickenergy.com.au/pdf/vefs/CLI130568MR.pdf</t>
  </si>
  <si>
    <t>https://www.covau.com.au/EnergyPriceFactSheets/DPFS/CoavU_VIC_Gas_SmartSaver_Residential_AusnetServicesWest.pdf</t>
  </si>
  <si>
    <t>https://www.energyaustralia.com.au/epfs-documents/VIC_GAS_TOPH_T3_TRU132052MR.pdf</t>
  </si>
  <si>
    <t>https://www.globirdenergy.com.au/shared-assets/Victorian_Energy_Fact_Sheets/Victorian_Energy_Fact_Sheet_GLO131440MR_Gas.pdf</t>
  </si>
  <si>
    <t>https://www.lumoenergy.com.au/docs/vic_energy_fact_sheets/Victorian_Energy_Fact_Sheet_LU2135720MR_Gas.pdf</t>
  </si>
  <si>
    <t>https://www.momentumenergy.com.au/docs/default-source/price-sheets/RESI-Momentum-Gas-Ausnet-West-MOM133150MR.pdf</t>
  </si>
  <si>
    <t>https://www.originenergy.com.au/content/dam/origin/residential/docs/energy-price-fact-sheets/vic/1Jan2019/OR2147759MR.pdf</t>
  </si>
  <si>
    <t>https://www.powershop.com.au/app/rates/gas/residential-gas-ausnet-west-market-offer.pdf?v=1</t>
  </si>
  <si>
    <t>https://www.redenergy.com.au/docs/vic_energy_fact_sheets/Victorian_Energy_Fact_Sheet_RED136211MR_Gas.pdf</t>
  </si>
  <si>
    <t>https://www.simplyenergy.com.au/docs/default-source/factsheets/2692_vic_plus_ppd_12__ausntw(g)_sim144041mr.pdf?sfvrsn=99fe399_2</t>
  </si>
  <si>
    <t>https://1stenergy.com.au/wp-content/uploads/Price_Fact_Sheets/Gas%20PFS/Victorian_Energy_Fact_Sheet_1ST121211MR_Gas.pdf?_t=1568942513</t>
  </si>
  <si>
    <t>https://assets.kogan.com/files/energy/pdf/KE-AS-West-200101-market.pdf</t>
  </si>
  <si>
    <t>https://www.agl.com.au/-/media/agldata/distributordata/pdfs/victorian_energy_fact_sheet_agd128301mr_gas.pdf</t>
  </si>
  <si>
    <t>https://forms.alintaenergy.com.au//Alinta/media/EnergyPriceFactSheets/Victorian_Energy_Fact_Sheet_ALI154670MR_Gas.pdf?_ga=2.103205255.686482109.1578878026-1533394487.1578878026</t>
  </si>
  <si>
    <t>https://www.clickenergy.com.au/pdf/vefs/CLI130562MR.pdf</t>
  </si>
  <si>
    <t>https://www.covau.com.au/EnergyPriceFactSheets/DPFS/CoavU_VIC_Gas_SmartSaver_Residential_AusnetServicesCentral.pdf</t>
  </si>
  <si>
    <t>https://www.dcpowerco.com.au/wp-content/uploads/2019/12/DCP-AS-Central-200101-DR-1-1.pdf</t>
  </si>
  <si>
    <t>https://www.energyaustralia.com.au/epfs-documents/VIC_GAS_TOPH_A1_TRU132040MR.pdf</t>
  </si>
  <si>
    <t>https://www.globirdenergy.com.au/shared-assets/Victorian_Energy_Fact_Sheets/Victorian_Energy_Fact_Sheet_GLO131439MR_Gas.pdf</t>
  </si>
  <si>
    <t>https://www.lumoenergy.com.au/docs/vic_energy_fact_sheets/Victorian_Energy_Fact_Sheet_LU2135740MR_Gas.pdf</t>
  </si>
  <si>
    <t>https://www.momentumenergy.com.au/docs/default-source/price-sheets/RESI-Momentum-Gas-Ausnet-Central-MOM133148MR.pdf</t>
  </si>
  <si>
    <t>https://www.powershop.com.au/app/rates/gas/residential-gas-ausnet-central-market-offer.pdf?v=1</t>
  </si>
  <si>
    <t>https://www.redenergy.com.au/docs/vic_energy_fact_sheets/Victorian_Energy_Fact_Sheet_RED136207MR_Gas.pdf</t>
  </si>
  <si>
    <t>https://www.simplyenergy.com.au/docs/default-source/factsheets/2689_vic_plus_ppd_12__ausnan(g)_sim144042mr.pdf?sfvrsn=1e9fe399_2</t>
  </si>
  <si>
    <t>https://www.agl.com.au/-/media/agldata/distributordata/pdfs/victorian_energy_fact_sheet_agd128300mr_gas.pdf</t>
  </si>
  <si>
    <t>https://1stenergy.com.au/wp-content/uploads/Price_Fact_Sheets/Gas%20PFS/Victorian_Energy_Fact_Sheet_1ST121210MR_Gas.pdf?_t=1568942513</t>
  </si>
  <si>
    <t>https://assets.kogan.com/files/energy/pdf/KE-AS-Central-200101-market.pdf</t>
  </si>
  <si>
    <t>https://forms.alintaenergy.com.au//Alinta/media/EnergyPriceFactSheets/Victorian_Energy_Fact_Sheet_ALI154669MR_Gas.pdf?_ga=2.200371497.686482109.1578878026-1533394487.1578878026</t>
  </si>
  <si>
    <t>https://www.amaysim.com.au/energy/epfs/eme/AMA133826MR.pdf?postcode=3011</t>
  </si>
  <si>
    <t>https://www.clickenergy.com.au/pdf/vefs/CLI130556MR.pdf</t>
  </si>
  <si>
    <t>https://www.energyaustralia.com.au/epfs-documents/VIC_GAS_TOPH_T1_TRU132050MR.pdf</t>
  </si>
  <si>
    <t>https://www.lumoenergy.com.au/docs/vic_energy_fact_sheets/Victorian_Energy_Fact_Sheet_LU2135719MR_Gas.pdf</t>
  </si>
  <si>
    <t>https://www.redenergy.com.au/docs/vic_energy_fact_sheets/Victorian_Energy_Fact_Sheet_RED136208MR_Gas.pdf</t>
  </si>
  <si>
    <t>https://www.simplyenergy.com.au/docs/default-source/factsheets/2691_vic_plus_ppd_12__ausntc(g)_sim144040mr.pdf?sfvrsn=7d9fe399_2</t>
  </si>
  <si>
    <t>Report 20: Victorian Energy Prices January 2020, An update-report (February 2020)</t>
  </si>
  <si>
    <t>*All red cells contain variables for the user to insert annual consumption (MJ)</t>
  </si>
  <si>
    <t xml:space="preserve">*The amount shown for each winter/summer block is the cost of the MJ allocated to that block per annum. </t>
  </si>
  <si>
    <t>*All bill calculations are based on the published rates only (cost per MJ and supply charge) and do not include</t>
  </si>
  <si>
    <t>Insert annual consumption (MJ):</t>
  </si>
  <si>
    <t xml:space="preserve"> </t>
  </si>
  <si>
    <t>https://www.agl.com.au/-/media/agldata/distributordata/pdfs/victorian_energy_fact_sheet_agd181725mr_gas.pdf</t>
  </si>
  <si>
    <t>Flora</t>
  </si>
  <si>
    <t>https://www.clickenergy.com.au/pdf/vefs/CLI165318MR.pdf</t>
  </si>
  <si>
    <t>https://www.energyaustralia.com.au/epfs-documents/VIC_GAS_TOPH_R2_TRU160612MR.pdf</t>
  </si>
  <si>
    <t>Basic</t>
  </si>
  <si>
    <t>https://www.lumoenergy.com.au/docs/vic_energy_fact_sheets/Victorian_Energy_Fact_Sheet_LU2192854MR_Gas.pdf</t>
  </si>
  <si>
    <t>https://www.momentumenergy.com.au/docs/default-source/price-sheets/RESI-Momentum-Gas-Multinet-Metro-MOM185696MR.pdf</t>
  </si>
  <si>
    <t>https://www.originenergy.com.au/content/dam/origin/residential/docs/energy-price-fact-sheets/vic/1Jan2020/OR2185506MR.pdf</t>
  </si>
  <si>
    <t>https://www.redenergy.com.au/docs/vic_energy_fact_sheets/Victorian_Energy_Fact_Sheet_RED171975MR_Gas.pdf</t>
  </si>
  <si>
    <t>Saver</t>
  </si>
  <si>
    <t>https://sumo-epfs.s3-ap-southeast-2.amazonaws.com/vefs/Victorian_Energy_Fact_Sheet_SUM169338MR_Gas.pdf</t>
  </si>
  <si>
    <t>https://www.globirdenergy.com.au/shared-assets/Victorian_Energy_Fact_Sheets/Victorian_Energy_Fact_Sheet_GLO186706MR_Gas.pdf</t>
  </si>
  <si>
    <t>https://www.powershop.com.au/app/rates/resi/gas/multinet/residential-gas-multinet-metro-market-offer.pdf?v=2</t>
  </si>
  <si>
    <t>https://1stenergy.com.au/wp-content/uploads/Price_Fact_Sheets/01_07_2020/Victorian_Energy_Fact_Sheet_1ST190681MR_Gas.pdf?_t=1593562250</t>
  </si>
  <si>
    <t>https://assets.kogan.com/files/energy/pdf/rates/2020june/KE-MN-Metro-200701-market.pdf</t>
  </si>
  <si>
    <t>https://www.agl.com.au/-/media/agldata/distributordata/pdfs/victorian_energy_fact_sheet_agd181726mr_gas.pdf</t>
  </si>
  <si>
    <t>https://www.clickenergy.com.au/pdf/vefs/CLI165319MR.pdf</t>
  </si>
  <si>
    <t>https://www.energyaustralia.com.au/epfs-documents/VIC_GAS_TOPH_A2_TRU160611MR.pdf</t>
  </si>
  <si>
    <t>https://www.redenergy.com.au/docs/vic_energy_fact_sheets/Victorian_Energy_Fact_Sheet_RED171979MR_Gas.pdf</t>
  </si>
  <si>
    <t>https://sumo-epfs.s3-ap-southeast-2.amazonaws.com/vefs/Victorian_Energy_Fact_Sheet_SUM169339MR_Gas.pdf</t>
  </si>
  <si>
    <t>https://www.agl.com.au/-/media/agldata/distributordata/pdfs/victorian_energy_fact_sheet_agd181724mr_gas.pdf</t>
  </si>
  <si>
    <t>https://www.clickenergy.com.au/pdf/vefs/CLI165313MR.pdf</t>
  </si>
  <si>
    <t>https://www.energyaustralia.com.au/epfs-documents/VIC_GAS_TOPH_R4_TRU160528MR.pdf</t>
  </si>
  <si>
    <t>https://www.momentumenergy.com.au/docs/default-source/price-sheets/RESI-Momentum-Gas-Australian-Gas-Networks-North-MOM185694MR.pdf</t>
  </si>
  <si>
    <t>https://www.redenergy.com.au/docs/vic_energy_fact_sheets/Victorian_Energy_Fact_Sheet_RED172011MR_Gas.pdf</t>
  </si>
  <si>
    <t>https://sumo-epfs.s3-ap-southeast-2.amazonaws.com/vefs/Victorian_Energy_Fact_Sheet_SUM169336MR_Gas.pdf</t>
  </si>
  <si>
    <t>https://www.globirdenergy.com.au/shared-assets/Victorian_Energy_Fact_Sheets/Victorian_Energy_Fact_Sheet_GLO186704MR_Gas.pdf</t>
  </si>
  <si>
    <t>https://1stenergy.com.au/wp-content/uploads/Price_Fact_Sheets/01_07_2020/Victorian_Energy_Fact_Sheet_1ST190679MR_Gas.pdf?_t=1593562250</t>
  </si>
  <si>
    <t>https://www.agl.com.au/-/media/agldata/distributordata/pdfs/victorian_energy_fact_sheet_agd181722mr_gas.pdf</t>
  </si>
  <si>
    <t>https://www.clickenergy.com.au/pdf/vefs/CLI165312MR.pdf</t>
  </si>
  <si>
    <t>https://www.momentumenergy.com.au/docs/default-source/price-sheets/RESI-Momentum-Gas-Australian-Gas-Networks-Central-MOM185690MR.pdf</t>
  </si>
  <si>
    <t>https://www.redenergy.com.au/docs/vic_energy_fact_sheets/Victorian_Energy_Fact_Sheet_RED172007MR_Gas.pdf</t>
  </si>
  <si>
    <t>https://sumo-epfs.s3-ap-southeast-2.amazonaws.com/vefs/Victorian_Energy_Fact_Sheet_SUM169335MR_Gas.pdf</t>
  </si>
  <si>
    <t>https://www.globirdenergy.com.au/shared-assets/Victorian_Energy_Fact_Sheets/Victorian_Energy_Fact_Sheet_GLO186700MR_Gas.pdf</t>
  </si>
  <si>
    <t>https://1stenergy.com.au/wp-content/uploads/Price_Fact_Sheets/01_07_2020/Victorian_Energy_Fact_Sheet_1ST190678MR_Gas.pdf?_t=1593562250</t>
  </si>
  <si>
    <t>https://www.agl.com.au/-/media/agldata/distributordata/pdfs/victorian_energy_fact_sheet_agd181721mr_gas.pdf</t>
  </si>
  <si>
    <t>https://www.clickenergy.com.au/pdf/vefs/CLI165311MR.pdf</t>
  </si>
  <si>
    <t>https://www.energyaustralia.com.au/epfs-documents/VIC_GAS_TOPH_R5_TRU160529MR.pdf</t>
  </si>
  <si>
    <t>https://www.lumoenergy.com.au/docs/vic_energy_fact_sheets/Victorian_Energy_Fact_Sheet_LU2192858MR_Gas.pdf</t>
  </si>
  <si>
    <t>https://www.redenergy.com.au/docs/vic_energy_fact_sheets/Victorian_Energy_Fact_Sheet_RED172015MR_Gas.pdf</t>
  </si>
  <si>
    <t>https://www.simplyenergy.com.au/docs/default-source/factsheets/4492_vic_energy_saver_15__20__discount_agnose(g)_sim185897mr.pdf</t>
  </si>
  <si>
    <t>https://sumo-epfs.s3-ap-southeast-2.amazonaws.com/vefs/Victorian_Energy_Fact_Sheet_SUM169337MR_Gas.pdf</t>
  </si>
  <si>
    <t>https://www.agl.com.au/-/media/agldata/distributordata/pdfs/victorian_energy_fact_sheet_agd181719mr_gas.pdf</t>
  </si>
  <si>
    <t>https://www.clickenergy.com.au/pdf/vefs/CLI165316MR.pdf</t>
  </si>
  <si>
    <t>https://www.energyaustralia.com.au/epfs-documents/VIC_GAS_TOPH_T3_TRU161978MR.pdf</t>
  </si>
  <si>
    <t>https://www.momentumenergy.com.au/docs/default-source/price-sheets/RESI-Momentum-Gas-Ausnet-West-MOM185686MR.pdf</t>
  </si>
  <si>
    <t>https://www.redenergy.com.au/docs/vic_energy_fact_sheets/Victorian_Energy_Fact_Sheet_RED171995MR_Gas.pdf</t>
  </si>
  <si>
    <t>https://sumo-epfs.s3-ap-southeast-2.amazonaws.com/vefs/Victorian_Energy_Fact_Sheet_SUM169334MR_Gas.pdf</t>
  </si>
  <si>
    <t>https://www.globirdenergy.com.au/shared-assets/Victorian_Energy_Fact_Sheets/Victorian_Energy_Fact_Sheet_GLO186698MR_Gas.pdf</t>
  </si>
  <si>
    <t>https://1stenergy.com.au/wp-content/uploads/Price_Fact_Sheets/01_07_2020/Victorian_Energy_Fact_Sheet_1ST190686MR_Gas.pdf?_t=1593562250</t>
  </si>
  <si>
    <t>https://www.agl.com.au/-/media/agldata/distributordata/pdfs/victorian_energy_fact_sheet_agd181718mr_gas.pdf</t>
  </si>
  <si>
    <t>https://www.clickenergy.com.au/pdf/vefs/CLI165315MR.pdf</t>
  </si>
  <si>
    <t>https://connectto.dodo.com/rapidEnergyQuote/pricefactsheet/GetPdfDocument?filepath=PriceFactSheets%5cSP-Ausnet%5cConsumer%5cGas%5cAusNet+Services+Central+2+-+Residential+Gas+Market.pdf</t>
  </si>
  <si>
    <t>https://www.energyaustralia.com.au/epfs-documents/VIC_GAS_TOPH_A1_TRU160571MR.pdf</t>
  </si>
  <si>
    <t>https://www.momentumenergy.com.au/docs/default-source/price-sheets/RESI-Momentum-Gas-Ausnet-Central-MOM185684MR.pdf</t>
  </si>
  <si>
    <t>https://www.redenergy.com.au/docs/vic_energy_fact_sheets/Victorian_Energy_Fact_Sheet_RED171967MR_Gas.pdf</t>
  </si>
  <si>
    <t>https://sumo-epfs.s3-ap-southeast-2.amazonaws.com/vefs/Victorian_Energy_Fact_Sheet_SUM169333MR_Gas.pdf</t>
  </si>
  <si>
    <t>https://www.globirdenergy.com.au/shared-assets/Victorian_Energy_Fact_Sheets/Victorian_Energy_Fact_Sheet_GLO186696MR_Gas.pdf</t>
  </si>
  <si>
    <t>https://1stenergy.com.au/wp-content/uploads/Price_Fact_Sheets/01_07_2020/Victorian_Energy_Fact_Sheet_1ST190683MR_Gas.pdf?_t=1593562250</t>
  </si>
  <si>
    <t>https://www.agl.com.au/-/media/agldata/distributordata/pdfs/victorian_energy_fact_sheet_agd181717mr_gas.pdf</t>
  </si>
  <si>
    <t>https://www.clickenergy.com.au/pdf/vefs/CLI165314MR.pdf</t>
  </si>
  <si>
    <t>https://www.energyaustralia.com.au/epfs-documents/VIC_GAS_TOPH_T1_TRU160572MR.pdf</t>
  </si>
  <si>
    <t>https://www.lumoenergy.com.au/docs/vic_energy_fact_sheets/Victorian_Energy_Fact_Sheet_LU2192850MR_Gas.pdf</t>
  </si>
  <si>
    <t>https://www.redenergy.com.au/docs/vic_energy_fact_sheets/Victorian_Energy_Fact_Sheet_RED171999MR_Gas.pdf</t>
  </si>
  <si>
    <t>https://sumo-epfs.s3-ap-southeast-2.amazonaws.com/vefs/Victorian_Energy_Fact_Sheet_SUM169332MR_Gas.pdf</t>
  </si>
  <si>
    <t>July 2020</t>
  </si>
  <si>
    <t>Summer bill 4th block</t>
  </si>
  <si>
    <t>Winter bill 4th block</t>
  </si>
  <si>
    <t>Report 21: Victorian Energy Prices July 2020, An update-report (September 2020)</t>
  </si>
  <si>
    <t>January 2021</t>
  </si>
  <si>
    <t>Report 22: Victorian Energy Prices January 2021, An update-report (January 2021)</t>
  </si>
  <si>
    <t>1st Saver Plus</t>
  </si>
  <si>
    <t>https://1stenergy.com.au/wp-content/uploads/Price_Fact_Sheets/01_01_2021/Victorian_Energy_Fact_Sheet_1ST248502MR_Gas.pdf?_t=1593562250</t>
  </si>
  <si>
    <t>https://1stenergy.com.au/wp-content/uploads/Price_Fact_Sheets/01_01_2021/Victorian_Energy_Fact_Sheet_1ST248499MR_Gas.pdf?_t=1593562250</t>
  </si>
  <si>
    <t>https://www.agl.com.au/-/media/agldata/distributordata/pdfs/victorian_energy_fact_sheet_agd240122mr_gas.pdf</t>
  </si>
  <si>
    <t>Lily</t>
  </si>
  <si>
    <t>https://click-website-assets-production.s3-ap-southeast-2.amazonaws.com/pdf/vefs/CLI244786MR.pdf</t>
  </si>
  <si>
    <t>https://www.covau.com.au/EnergyPriceFactSheets/DPFS/CoavU_VIC_Gas_SmartSaver_Residential_Multinet_Metropolitan.pdf</t>
  </si>
  <si>
    <t>https://www.energyaustralia.com.au/epfs-documents/VIC_GAS_TOPH_R2_TRU247023MR.pdf</t>
  </si>
  <si>
    <t>https://www.globirdenergy.com.au/shared-assets/Victorian_Energy_Fact_Sheets/Victorian_Energy_Fact_Sheet_GLO237212MR_Gas.pdf</t>
  </si>
  <si>
    <t>https://www.lumoenergy.com.au/docs/vic_energy_fact_sheets/Victorian_Energy_Fact_Sheet_LU2240762MR_Gas.pdf</t>
  </si>
  <si>
    <t>https://www.momentumenergy.com.au/factsheet?offerId=a440I000001exjzQAA&amp;customerSegment=Residential&amp;postcode=3102</t>
  </si>
  <si>
    <t>Go</t>
  </si>
  <si>
    <t>https://www.originenergy.com.au/content/dam/origin/residential/docs/energy-price-fact-sheets/vic/1Jan2021/OR2244523MR.pdf</t>
  </si>
  <si>
    <t>https://www.redenergy.com.au/docs/vic_energy_fact_sheets/Victorian_Energy_Fact_Sheet_RED251905MR_Gas.pdf</t>
  </si>
  <si>
    <t>Freedom</t>
  </si>
  <si>
    <t>https://sumo-epfs.s3-ap-southeast-2.amazonaws.com/vefs/gas/Victorian_Energy_Fact_Sheet_SUM189294MR_Gas.pdf</t>
  </si>
  <si>
    <t>Tango Energy</t>
  </si>
  <si>
    <t>https://www.agl.com.au/-/media/agldata/distributordata/pdfs/victorian_energy_fact_sheet_agd240123mr_gas.pdf</t>
  </si>
  <si>
    <t>https://click-website-assets-production.s3-ap-southeast-2.amazonaws.com/pdf/vefs/CLI244787MR.pdf</t>
  </si>
  <si>
    <t>https://www.energyaustralia.com.au/epfs-documents/VIC_GAS_TOPH_A2_TRU247022MR.pdf</t>
  </si>
  <si>
    <t>https://www.globirdenergy.com.au/shared-assets/Victorian_Energy_Fact_Sheets/Victorian_Energy_Fact_Sheet_GLO161740MR_Gas.pdf</t>
  </si>
  <si>
    <t>https://www.lumoenergy.com.au/docs/vic_energy_fact_sheets/Victorian_Energy_Fact_Sheet_LU2240761MR_Gas.pdf</t>
  </si>
  <si>
    <t>https://www.momentumenergy.com.au/factsheet?offerId=a440I000001exjzQAA&amp;customerSegment=Residential&amp;postcode=3170</t>
  </si>
  <si>
    <t>https://www.originenergy.com.au/content/dam/origin/residential/docs/energy-price-fact-sheets/vic/1Jan2021/OR2244526MR.pdf</t>
  </si>
  <si>
    <t>https://www.redenergy.com.au/docs/vic_energy_fact_sheets/Victorian_Energy_Fact_Sheet_RED251906MR_Gas.pdf</t>
  </si>
  <si>
    <t>https://sumo-epfs.s3-ap-southeast-2.amazonaws.com/vefs/gas/Victorian_Energy_Fact_Sheet_SUM189295MR_Gas.pdf</t>
  </si>
  <si>
    <t>https://1stenergy.com.au/wp-content/uploads/Price_Fact_Sheets/01_01_2021/Victorian_Energy_Fact_Sheet_1ST248500MR_Gas.pdf?_t=1593562250</t>
  </si>
  <si>
    <t>https://www.agl.com.au/-/media/agldata/distributordata/pdfs/victorian_energy_fact_sheet_agd240121mr_gas.pdf</t>
  </si>
  <si>
    <t>https://click-website-assets-production.s3-ap-southeast-2.amazonaws.com/pdf/vefs/CLI244781MR.pdf</t>
  </si>
  <si>
    <t>https://www.energyaustralia.com.au/epfs-documents/VIC_GAS_TOPH_R4_TRU247013MR.pdf</t>
  </si>
  <si>
    <t>https://www.globirdenergy.com.au/shared-assets/Victorian_Energy_Fact_Sheets/Victorian_Energy_Fact_Sheet_GLO237206MR_Gas.pdf</t>
  </si>
  <si>
    <t>https://www.lumoenergy.com.au/docs/vic_energy_fact_sheets/Victorian_Energy_Fact_Sheet_LU2240765MR_Gas.pdf</t>
  </si>
  <si>
    <t>https://www.momentumenergy.com.au/factsheet?offerId=a440I000001exjwQAA&amp;customerSegment=Residential&amp;postcode=3620</t>
  </si>
  <si>
    <t>https://www.originenergy.com.au/content/dam/origin/residential/docs/energy-price-fact-sheets/vic/1Jan2021/OR2244530MR.pdf</t>
  </si>
  <si>
    <t>https://www.redenergy.com.au/docs/vic_energy_fact_sheets/Victorian_Energy_Fact_Sheet_RED251914MR_Gas.pdf</t>
  </si>
  <si>
    <t>https://sumo-epfs.s3-ap-southeast-2.amazonaws.com/vefs/gas/Victorian_Energy_Fact_Sheet_SUM189292MR_Gas.pdf</t>
  </si>
  <si>
    <t>https://www.agl.com.au/-/media/agldata/distributordata/pdfs/victorian_energy_fact_sheet_agd240119mr_gas.pdf</t>
  </si>
  <si>
    <t>https://click-website-assets-production.s3-ap-southeast-2.amazonaws.com/pdf/vefs/CLI244780MR.pdf</t>
  </si>
  <si>
    <t>https://www.energyaustralia.com.au/epfs-documents/VIC_GAS_TOPH_T2_TRU247015MR.pdf</t>
  </si>
  <si>
    <t>https://www.globirdenergy.com.au/shared-assets/Victorian_Energy_Fact_Sheets/Victorian_Energy_Fact_Sheet_GLO237208MR_Gas.pdf</t>
  </si>
  <si>
    <t>https://www.lumoenergy.com.au/docs/vic_energy_fact_sheets/Victorian_Energy_Fact_Sheet_LU2240768MR_Gas.pdf</t>
  </si>
  <si>
    <t>https://www.momentumenergy.com.au/factsheet?offerId=a440I000001exjqQAA&amp;customerSegment=Residential&amp;postcode=3055</t>
  </si>
  <si>
    <t>https://www.originenergy.com.au/content/dam/origin/residential/docs/energy-price-fact-sheets/vic/1Jan2021/OR2244529MR.pdf</t>
  </si>
  <si>
    <t>https://www.redenergy.com.au/docs/vic_energy_fact_sheets/Victorian_Energy_Fact_Sheet_RED251913MR_Gas.pdf</t>
  </si>
  <si>
    <t>https://sumo-epfs.s3-ap-southeast-2.amazonaws.com/vefs/gas/Victorian_Energy_Fact_Sheet_SUM189291MR_Gas.pdf</t>
  </si>
  <si>
    <t>https://www.agl.com.au/-/media/agldata/distributordata/pdfs/victorian_energy_fact_sheet_agd240118mr_gas.pdf</t>
  </si>
  <si>
    <t>https://click-website-assets-production.s3-ap-southeast-2.amazonaws.com/pdf/vefs/CLI244779MR.pdf</t>
  </si>
  <si>
    <t>https://www.energyaustralia.com.au/epfs-documents/VIC_GAS_TOPH_R5_TRU247014MR.pdf</t>
  </si>
  <si>
    <t>https://www.lumoenergy.com.au/docs/vic_energy_fact_sheets/Victorian_Energy_Fact_Sheet_LU2240766MR_Gas.pdf</t>
  </si>
  <si>
    <t>https://www.momentumenergy.com.au/factsheet?offerId=a440I000001exjqQAA&amp;customerSegment=Residential&amp;postcode=3818</t>
  </si>
  <si>
    <t>https://www.redenergy.com.au/docs/vic_energy_fact_sheets/Victorian_Energy_Fact_Sheet_RED251915MR_Gas.pdf</t>
  </si>
  <si>
    <t>https://sumo-epfs.s3-ap-southeast-2.amazonaws.com/vefs/gas/Victorian_Energy_Fact_Sheet_SUM189293MR_Gas.pdf</t>
  </si>
  <si>
    <t>https://1stenergy.com.au/wp-content/uploads/Price_Fact_Sheets/01_01_2021/Victorian_Energy_Fact_Sheet_1ST248507MR_Gas.pdf?_t=1593562250</t>
  </si>
  <si>
    <t>https://www.agl.com.au/-/media/agldata/distributordata/pdfs/victorian_energy_fact_sheet_agd240116mr_gas.pdf</t>
  </si>
  <si>
    <t>https://click-website-assets-production.s3-ap-southeast-2.amazonaws.com/pdf/vefs/CLI244784MR.pdf</t>
  </si>
  <si>
    <t>https://www.covau.com.au/EnergyPriceFactSheets/DPFS/CoavU_VIC_Gas_SmartSaver_Residential_AusNetServices_West.pdf</t>
  </si>
  <si>
    <t>https://www.energyaustralia.com.au/epfs-documents/VIC_GAS_TOPH_T3_TRU247019MR.pdf</t>
  </si>
  <si>
    <t>https://www.globirdenergy.com.au/shared-assets/Victorian_Energy_Fact_Sheets/Victorian_Energy_Fact_Sheet_GLO237196MR_Gas.pdf</t>
  </si>
  <si>
    <t>https://www.lumoenergy.com.au/docs/vic_energy_fact_sheets/Victorian_Energy_Fact_Sheet_LU2240759MR_Gas.pdf</t>
  </si>
  <si>
    <t>https://www.momentumenergy.com.au/factsheet?offerId=a440I000001exjoQAA&amp;customerSegment=Residential&amp;postcode=3342</t>
  </si>
  <si>
    <t>https://www.originenergy.com.au/content/dam/origin/residential/docs/energy-price-fact-sheets/vic/1Jan2021/OR2244522MR.pdf</t>
  </si>
  <si>
    <t>https://www.redenergy.com.au/docs/vic_energy_fact_sheets/Victorian_Energy_Fact_Sheet_RED251910MR_Gas.pdf</t>
  </si>
  <si>
    <t>https://sumo-epfs.s3-ap-southeast-2.amazonaws.com/vefs/gas/Victorian_Energy_Fact_Sheet_SUM189290MR_Gas.pdf</t>
  </si>
  <si>
    <t>https://1stenergy.com.au/wp-content/uploads/Price_Fact_Sheets/01_01_2021/Victorian_Energy_Fact_Sheet_1ST248504MR_Gas.pdf?_t=1593562250</t>
  </si>
  <si>
    <t>https://www.agl.com.au/-/media/agldata/distributordata/pdfs/victorian_energy_fact_sheet_agd240115mr_gas.pdf</t>
  </si>
  <si>
    <t>https://click-website-assets-production.s3-ap-southeast-2.amazonaws.com/pdf/vefs/CLI244783MR.pdf</t>
  </si>
  <si>
    <t>https://www.covau.com.au/EnergyPriceFactSheets/DPFS/CoavU_VIC_Gas_SmartSaver_Residential_AusNetServices_Central.pdf</t>
  </si>
  <si>
    <t>https://www.energyaustralia.com.au/epfs-documents/VIC_GAS_TOPH_A1_TRU247017MR.pdf</t>
  </si>
  <si>
    <t>https://www.globirdenergy.com.au/shared-assets/Victorian_Energy_Fact_Sheets/Victorian_Energy_Fact_Sheet_GLO237200MR_Gas.pdf</t>
  </si>
  <si>
    <t>https://www.lumoenergy.com.au/docs/vic_energy_fact_sheets/Victorian_Energy_Fact_Sheet_LU2240758MR_Gas.pdf</t>
  </si>
  <si>
    <t>https://www.momentumenergy.com.au/factsheet?offerId=a440I000001exjiQAA&amp;customerSegment=Residential&amp;postcode=3037</t>
  </si>
  <si>
    <t>https://www.originenergy.com.au/content/dam/origin/residential/docs/energy-price-fact-sheets/vic/1Jan2021/OR2244528MR.pdf</t>
  </si>
  <si>
    <t>https://www.redenergy.com.au/docs/vic_energy_fact_sheets/Victorian_Energy_Fact_Sheet_RED251911MR_Gas.pdf</t>
  </si>
  <si>
    <t>https://sumo-epfs.s3-ap-southeast-2.amazonaws.com/vefs/gas/Victorian_Energy_Fact_Sheet_SUM189289MR_Gas.pdf</t>
  </si>
  <si>
    <t>https://www.agl.com.au/-/media/agldata/distributordata/pdfs/victorian_energy_fact_sheet_agd240114mr_gas.pdf</t>
  </si>
  <si>
    <t>https://click-website-assets-production.s3-ap-southeast-2.amazonaws.com/pdf/vefs/CLI244782MR.pdf</t>
  </si>
  <si>
    <t>https://www.energyaustralia.com.au/epfs-documents/VIC_GAS_TOPH_T1_TRU247018MR.pdf</t>
  </si>
  <si>
    <t>https://www.lumoenergy.com.au/docs/vic_energy_fact_sheets/Victorian_Energy_Fact_Sheet_LU2240794MR_Gas.pdf</t>
  </si>
  <si>
    <t>https://www.momentumenergy.com.au/factsheet?offerId=a440I000001exjiQAA&amp;customerSegment=Residential&amp;postcode=3220</t>
  </si>
  <si>
    <t>https://www.redenergy.com.au/docs/vic_energy_fact_sheets/Victorian_Energy_Fact_Sheet_RED251903MR_Gas.pdf</t>
  </si>
  <si>
    <t>https://sumo-epfs.s3-ap-southeast-2.amazonaws.com/vefs/Victorian_Energy_Fact_Sheet_SUM169316MR_Gas.pdf</t>
  </si>
  <si>
    <t>Type of discount</t>
  </si>
  <si>
    <t>Discount is inclusive or exclusive of GST</t>
  </si>
  <si>
    <t>Home Select</t>
  </si>
  <si>
    <t>https://assets.kogan.com/files/energy/pdf/rates/2020december/KE-MN-Metro-market.pdf</t>
  </si>
  <si>
    <t>https://assets.kogan.com/files/energy/pdf/rates/2020december/KE-AGN-North-market.pdf</t>
  </si>
  <si>
    <t>https://assets.kogan.com/files/energy/pdf/rates/2020december/KE-AGN-Central-market.pdf</t>
  </si>
  <si>
    <t>https://assets.kogan.com/files/energy/pdf/rates/2020december/KE-AS-West-market.pdf</t>
  </si>
  <si>
    <t>https://assets.kogan.com/files/energy/pdf/rates/2020december/KE-AS-Central-market.pdf</t>
  </si>
  <si>
    <t>https://www.powershop.com.au/app/rates/victoria/gas/residential/market/multinet/metro.pdf?v=1</t>
  </si>
  <si>
    <t>https://www.powershop.com.au/app/rates/victoria/gas/residential/market/agn/north.pdf?v=1</t>
  </si>
  <si>
    <t>https://www.powershop.com.au/app/rates/victoria/gas/residential/market/agn/central.pdf?v=1</t>
  </si>
  <si>
    <t>https://www.powershop.com.au/app/rates/victoria/gas/residential/market/ausnet/west.pdf?v=1</t>
  </si>
  <si>
    <t>https://www.powershop.com.au/app/rates/victoria/gas/residential/market/ausnet/central.pdf?v=1</t>
  </si>
  <si>
    <t>Blue</t>
  </si>
  <si>
    <t>Flexible Saver</t>
  </si>
  <si>
    <t>https://www.agl.com.au/content/dam/digital/epfs/pdfs/victorian_energy_fact_sheet_agd302136mr_gas.pdf</t>
  </si>
  <si>
    <t>Super Saver Plus</t>
  </si>
  <si>
    <t>https://www.covau.com.au/EnergyPriceFactSheets/DPFS/CoavU_VIC_Gas_SuperSaverPlus_Residential_Multinet_Metropolitan.pdf</t>
  </si>
  <si>
    <t>https://www.energyaustralia.com.au/epfs-documents/VIC_GAS_TOPH_R2_TRU338743MR.pdf</t>
  </si>
  <si>
    <t>https://www.lumoenergy.com.au/docs/vic_energy_fact_sheets/Victorian_Energy_Fact_Sheet_LU2310379MR_Gas.pdf</t>
  </si>
  <si>
    <t>https://www.momentumenergy.com.au/factsheet?offerId=a440I000001s2mvQAA&amp;customerSegment=Residential&amp;postcode=3102</t>
  </si>
  <si>
    <t>https://simply.ziparchive.com.au/Content/Ratesheets//Victorian_Energy_Fact_Sheet_SIM334275MR_Gas.pdf</t>
  </si>
  <si>
    <t>Assure</t>
  </si>
  <si>
    <t>Direct debit only.</t>
  </si>
  <si>
    <t>https://sumo-epfs.s3-ap-southeast-2.amazonaws.com/vefs/gas/Victorian_Energy_Fact_Sheet_SUM198967MR_Gas.pdf</t>
  </si>
  <si>
    <t>https://www.globirdenergy.com.au/shared-assets/Victorian_Energy_Fact_Sheets/Victorian_Energy_Fact_Sheet_GLO341925MR_Gas.pdf</t>
  </si>
  <si>
    <t>https://connectto.dodo.com/rapidEnergyQuote/pricefactsheet/GetPdfDocument?filepath=PriceFactSheets%5cMultinet%5cConsumer%5cGas%5cMultinet+South+1+-+Residential+Gas+Market.pdf</t>
  </si>
  <si>
    <t>https://sumo-epfs.s3-ap-southeast-2.amazonaws.com/vefs/gas/Victorian_Energy_Fact_Sheet_SUM198968MR_Gas.pdf</t>
  </si>
  <si>
    <t>https://www.agl.com.au/content/dam/digital/epfs/pdfs/victorian_energy_fact_sheet_agd302135mr_gas.pdf</t>
  </si>
  <si>
    <t>https://www.energyaustralia.com.au/epfs-documents/VIC_GAS_TOPH_R4_TRU338733MR.pdf</t>
  </si>
  <si>
    <t>https://www.momentumenergy.com.au/factsheet?offerId=a440I000001s2mtQAA&amp;customerSegment=Residential&amp;postcode=3620</t>
  </si>
  <si>
    <t>https://sumo-epfs.s3-ap-southeast-2.amazonaws.com/vefs/gas/Victorian_Energy_Fact_Sheet_SUM198965MR_Gas.pdf</t>
  </si>
  <si>
    <t>https://www.globirdenergy.com.au/shared-assets/Victorian_Energy_Fact_Sheets/Victorian_Energy_Fact_Sheet_GLO341919MR_Gas.pdf</t>
  </si>
  <si>
    <t>https://www.agl.com.au/content/dam/digital/epfs/pdfs/victorian_energy_fact_sheet_agd302133mr_gas.pdf</t>
  </si>
  <si>
    <t>https://www.lumoenergy.com.au/docs/vic_energy_fact_sheets/Victorian_Energy_Fact_Sheet_LU2310375MR_Gas.pdf</t>
  </si>
  <si>
    <t>https://www.momentumenergy.com.au/factsheet?offerId=a440I000001s2mnQAA&amp;customerSegment=Residential&amp;postcode=3818</t>
  </si>
  <si>
    <t>https://simply.ziparchive.com.au/Content/Ratesheets//Victorian_Energy_Fact_Sheet_SIM334269MR_Gas.pdf</t>
  </si>
  <si>
    <t>https://sumo-epfs.s3-ap-southeast-2.amazonaws.com/vefs/gas/Victorian_Energy_Fact_Sheet_SUM198964MR_Gas.pdf</t>
  </si>
  <si>
    <t>https://www.globirdenergy.com.au/shared-assets/Victorian_Energy_Fact_Sheets/Victorian_Energy_Fact_Sheet_GLO341921MR_Gas.pdf</t>
  </si>
  <si>
    <t>https://www.agl.com.au/content/dam/digital/epfs/pdfs/victorian_energy_fact_sheet_agd302132mr_gas.pdf</t>
  </si>
  <si>
    <t>https://sumo-epfs.s3-ap-southeast-2.amazonaws.com/vefs/gas/Victorian_Energy_Fact_Sheet_SUM198966MR_Gas.pdf</t>
  </si>
  <si>
    <t>https://www.agl.com.au/content/dam/digital/epfs/pdfs/victorian_energy_fact_sheet_agd302130mr_gas.pdf</t>
  </si>
  <si>
    <t>https://www.covau.com.au/EnergyPriceFactSheets/DPFS/CoavU_VIC_Gas_SuperSaverPlus_Residential_AusnetServices_West.pdf</t>
  </si>
  <si>
    <t>https://www.momentumenergy.com.au/factsheet?offerId=a440I000001s2nNQAQ&amp;customerSegment=Residential&amp;postcode=3342</t>
  </si>
  <si>
    <t>https://sumo-epfs.s3-ap-southeast-2.amazonaws.com/vefs/gas/Victorian_Energy_Fact_Sheet_SUM198963MR_Gas.pdf</t>
  </si>
  <si>
    <t>https://www.globirdenergy.com.au/shared-assets/Victorian_Energy_Fact_Sheets/Victorian_Energy_Fact_Sheet_GLO341909MR_Gas.pdf</t>
  </si>
  <si>
    <t>https://www.agl.com.au/content/dam/digital/epfs/pdfs/victorian_energy_fact_sheet_agd302129mr_gas.pdf</t>
  </si>
  <si>
    <t>https://www.covau.com.au/EnergyPriceFactSheets/DPFS/CoavU_VIC_Gas_SuperSaverPlus_Residential_AusnetServices_Central.pdf</t>
  </si>
  <si>
    <t>https://www.momentumenergy.com.au/factsheet?offerId=a440I000001s2nHQAQ&amp;customerSegment=Residential&amp;postcode=3220</t>
  </si>
  <si>
    <t>https://simply.ziparchive.com.au/Content/Ratesheets//Victorian_Energy_Fact_Sheet_SIM334268MR_Gas.pdf</t>
  </si>
  <si>
    <t>https://sumo-epfs.s3-ap-southeast-2.amazonaws.com/vefs/gas/Victorian_Energy_Fact_Sheet_SUM198962MR_Gas.pdf</t>
  </si>
  <si>
    <t>https://www.globirdenergy.com.au/shared-assets/Victorian_Energy_Fact_Sheets/Victorian_Energy_Fact_Sheet_GLO341913MR_Gas.pdf</t>
  </si>
  <si>
    <t>https://www.agl.com.au/content/dam/digital/epfs/pdfs/victorian_energy_fact_sheet_agd302128mr_gas.pdf</t>
  </si>
  <si>
    <t>https://www.energyaustralia.com.au/epfs-documents/VIC_GAS_TOPH_T1_TRU338738MR.pdf</t>
  </si>
  <si>
    <t>https://sumo-epfs.s3-ap-southeast-2.amazonaws.com/vefs/gas/Victorian_Energy_Fact_Sheet_SUM198961MR_Gas.pdf</t>
  </si>
  <si>
    <t>July 2021</t>
  </si>
  <si>
    <t>Report 2: Victorian Energy Prices July 2010-January 2011, An update-report (January 2011)</t>
    <phoneticPr fontId="4" type="noConversion"/>
  </si>
  <si>
    <t>Report 3: Victorian Energy Prices January 2011-July 2011, An update-report (August 2011)</t>
    <phoneticPr fontId="4" type="noConversion"/>
  </si>
  <si>
    <t>Report 4: Victorian Energy Prices July 2001-January 2012, An update-report (January 2012)</t>
    <phoneticPr fontId="4" type="noConversion"/>
  </si>
  <si>
    <t>Report 5: Victorian Energy Prices January 2012- July 2012, An update-report (July 2012)</t>
    <phoneticPr fontId="4" type="noConversion"/>
  </si>
  <si>
    <t>Report 6: Victorian Energy Prices July 2012- January 2013, An update-report (January 2013)</t>
    <phoneticPr fontId="4" type="noConversion"/>
  </si>
  <si>
    <t>Report 7: Victorian Energy Prices September 2013, An update-report (November 2013)</t>
    <phoneticPr fontId="4" type="noConversion"/>
  </si>
  <si>
    <t>Report 8: Victorian Energy Prices January 2014, An update-report (January 2014)</t>
    <phoneticPr fontId="4" type="noConversion"/>
  </si>
  <si>
    <t>Report 9: Victorian Energy Prices July 2014, An update-report (July 2014)</t>
    <phoneticPr fontId="4" type="noConversion"/>
  </si>
  <si>
    <t>Report 10: Victorian Energy Prices January 2015, An update-report (January 2015)</t>
    <phoneticPr fontId="4" type="noConversion"/>
  </si>
  <si>
    <t>Report 11: Victorian Energy Prices July 2015, An update-report (July 2015)</t>
    <phoneticPr fontId="4" type="noConversion"/>
  </si>
  <si>
    <t>Report 12: Victorian Energy Prices January 2016, An update-report (February 2016)</t>
    <phoneticPr fontId="4" type="noConversion"/>
  </si>
  <si>
    <t>Report 13: Victorian Energy Prices 2016, An update-report (November 2016)</t>
    <phoneticPr fontId="4" type="noConversion"/>
  </si>
  <si>
    <t>Report 23: Victorian Energy Prices July 2021, An update-report (October 2021)</t>
  </si>
  <si>
    <t>Blue perks</t>
  </si>
  <si>
    <t>Kogan First</t>
  </si>
  <si>
    <t>Discover Energy</t>
  </si>
  <si>
    <t>Budget Offer</t>
  </si>
  <si>
    <t>https://www.agl.com.au/content/dam/digital/epfs/pdfs/victorian_energy_fact_sheet_agd360041mr_gas.pdf</t>
  </si>
  <si>
    <t>$25 sign up credit</t>
  </si>
  <si>
    <t>Account credit available to customers that sign up via Energy Australia`s website only.</t>
  </si>
  <si>
    <t>https://www.energyaustralia.com.au/epfs-documents/VIC_GAS_TOPH_R2_TRU364771MR.pdf</t>
  </si>
  <si>
    <t>https://www.originenergy.com.au/content/dam/pricing/energy-fact-sheets/2021/OR2359444MR.pdf</t>
  </si>
  <si>
    <t>You will receive complimentary access to NRMA's Blue Membership program for 12 months.</t>
  </si>
  <si>
    <t xml:space="preserve">To be eligible, you must be an existing Kogan First member or agree to a Kogan First membership </t>
  </si>
  <si>
    <t>https://assets.kogan.com/files/energy/pdf/rates/2021december/gas/first/multinet/multinet-metro.pdf</t>
  </si>
  <si>
    <t>E-billing and online sign-up only.</t>
  </si>
  <si>
    <t>https://energybrain.s3.amazonaws.com/uploads/market_offer/pdf_file/8378/985d29161b0d49a69b7bc4cdc80e1cb2.pdf</t>
  </si>
  <si>
    <t>https://assets.kogan.com/files/energy/pdf/rates/2021december/gas/first/agn/agn-north.pdf</t>
  </si>
  <si>
    <t>https://energybrain.s3.amazonaws.com/uploads/market_offer/pdf_file/8253/f4b0e098199667bd2f004045f260a778.pdf</t>
  </si>
  <si>
    <t>https://www.originenergy.com.au/content/dam/pricing/energy-fact-sheets/2021/OR2359450MR.pdf</t>
  </si>
  <si>
    <t>https://assets.kogan.com/files/energy/pdf/rates/2021december/gas/first/agn/agn-central.pdf</t>
  </si>
  <si>
    <t>https://energybrain.s3.amazonaws.com/uploads/market_offer/pdf_file/8249/bf8a20f2389694de792b6f13e6686646.pdf</t>
  </si>
  <si>
    <t>https://assets.kogan.com/files/energy/pdf/rates/2021december/gas/first/ausnet/ausnet-west.pdf</t>
  </si>
  <si>
    <t>https://www.energyaustralia.com.au/epfs-documents/VIC_GAS_TOPH_T1_TRU364766MR.pdf</t>
  </si>
  <si>
    <t>https://www.originenergy.com.au/content/dam/pricing/energy-fact-sheets/2021/OR2359449MR.pdf</t>
  </si>
  <si>
    <t>https://assets.kogan.com/files/energy/pdf/rates/2021december/gas/first/ausnet/ausnet-central.pdf</t>
  </si>
  <si>
    <t>https://energybrain.s3.amazonaws.com/uploads/market_offer/pdf_file/8267/748a06f606c4d3e0931441003156f949.pdf</t>
  </si>
  <si>
    <t>January 2022</t>
  </si>
  <si>
    <t>July 2022</t>
  </si>
  <si>
    <t xml:space="preserve">Workbook 4: Gas market offers </t>
  </si>
  <si>
    <t>Report 24: Victorian Energy Prices January 2022, An update-report (January 2022)</t>
  </si>
  <si>
    <t>Report 25: Victorian Energy Prices July 2022, An update-report (October 2022)</t>
  </si>
  <si>
    <t>Value Saver</t>
  </si>
  <si>
    <t>E-billing only.</t>
  </si>
  <si>
    <t>https://www.agl.com.au/content/dam/digital/epfs/pdfs/victorian_energy_fact_sheet_agd388130mr_gas.pdf</t>
  </si>
  <si>
    <t>Flexi Plan</t>
  </si>
  <si>
    <t>https://www.energyaustralia.com.au/epfs-documents/VIC_GAS_BP2H_R2_TRU394977MR.pdf</t>
  </si>
  <si>
    <t>Go Variable</t>
  </si>
  <si>
    <t>https://www.originenergy.com.au/content/dam/pricing/energy-fact-sheets/2022/OR2404711MR.pdf</t>
  </si>
  <si>
    <t>https://www.redenergy.com.au/docs/vic_energy_fact_sheets/Victorian_Energy_Fact_Sheet_RED381950MR_Gas.pdf</t>
  </si>
  <si>
    <t>Basics</t>
  </si>
  <si>
    <t>https://simply.ziparchive.com.au/Content/Ratesheets//Victorian_Energy_Fact_Sheet_SIM401429MR_Gas.pdf</t>
  </si>
  <si>
    <t>Carbon Neutral</t>
  </si>
  <si>
    <t>https://www.powershop.com.au/app/rates/victoria/gas/residential/market/multinet/metro.pdf?v=2.0.0</t>
  </si>
  <si>
    <t>Kogan Basic</t>
  </si>
  <si>
    <t xml:space="preserve">Direct Debit only. </t>
  </si>
  <si>
    <t>https://assets.kogan.com/files/energy/pdf/rates/2021december/gas/current/multinet/multinet-metro.pdf</t>
  </si>
  <si>
    <t>https://www.vefs.net/Victorian_Energy_Fact_Sheet_TAN404853MR_Gas.pdf</t>
  </si>
  <si>
    <t>https://www.energyaustralia.com.au/epfs-documents/VIC_GAS_BP2H_A2_TRU394976MR.pdf</t>
  </si>
  <si>
    <t>https://www.energyaustralia.com.au/epfs-documents/VIC_GAS_BP2H_R4_TRU394967MR.pdf</t>
  </si>
  <si>
    <t>https://www.originenergy.com.au/content/dam/pricing/energy-fact-sheets/2022/OR2404718MR.pdf</t>
  </si>
  <si>
    <t>https://www.redenergy.com.au/docs/vic_energy_fact_sheets/Victorian_Energy_Fact_Sheet_RED381957MR_Gas.pdf</t>
  </si>
  <si>
    <t>https://www.powershop.com.au/app/rates/victoria/gas/residential/market/agn/north.pdf?v=2.0.0</t>
  </si>
  <si>
    <t>https://assets.kogan.com/files/energy/pdf/rates/2021december/gas/current/agn/agn-north.pdf</t>
  </si>
  <si>
    <t>https://www.vefs.net/Victorian_Energy_Fact_Sheet_TAN404848MR_Gas.pdf</t>
  </si>
  <si>
    <t>https://www.agl.com.au/content/dam/digital/epfs/pdfs/victorian_energy_fact_sheet_agd360061mr_gas.pdf</t>
  </si>
  <si>
    <t>https://www.energyaustralia.com.au/epfs-documents/VIC_GAS_BP2H_T2_TRU394969MR.pdf</t>
  </si>
  <si>
    <t>https://www.originenergy.com.au/content/dam/pricing/energy-fact-sheets/2022/OR2404717MR.pdf</t>
  </si>
  <si>
    <t>https://simply.ziparchive.com.au/Content/Ratesheets//Victorian_Energy_Fact_Sheet_SIM401422MR_Gas.pdf</t>
  </si>
  <si>
    <t>https://www.powershop.com.au/app/rates/victoria/gas/residential/market/agn/central.pdf?v=2.0.0</t>
  </si>
  <si>
    <t>https://assets.kogan.com/files/energy/pdf/rates/2021december/gas/current/agn/agn-central.pdf</t>
  </si>
  <si>
    <t>https://www.vefs.net/Victorian_Energy_Fact_Sheet_TAN404846MR_Gas.pdf</t>
  </si>
  <si>
    <t>https://www.energyaustralia.com.au/epfs-documents/VIC_GAS_BP2H_R5_TRU394968MR.pdf</t>
  </si>
  <si>
    <t>https://www.redenergy.com.au/docs/vic_energy_fact_sheets/Victorian_Energy_Fact_Sheet_RED381958MR_Gas.pdf</t>
  </si>
  <si>
    <t>https://www.energyaustralia.com.au/epfs-documents/VIC_GAS_BP2H_T3_TRU394973MR.pdf</t>
  </si>
  <si>
    <t>https://www.originenergy.com.au/content/dam/pricing/energy-fact-sheets/2022/OR2404710MR.pdf</t>
  </si>
  <si>
    <t>https://www.redenergy.com.au/docs/vic_energy_fact_sheets/Victorian_Energy_Fact_Sheet_RED381961MR_Gas.pdf</t>
  </si>
  <si>
    <t>https://www.powershop.com.au/app/rates/victoria/gas/residential/market/ausnet/west.pdf?v=2.0.0</t>
  </si>
  <si>
    <t>https://assets.kogan.com/files/energy/pdf/rates/2021december/gas/current/ausnet/ausnet-west.pdf</t>
  </si>
  <si>
    <t>https://www.vefs.net/Victorian_Energy_Fact_Sheet_TAN404852MR_Gas.pdf</t>
  </si>
  <si>
    <t>https://www.energyaustralia.com.au/epfs-documents/VIC_GAS_BP2H_A1_TRU394971MR.pdf</t>
  </si>
  <si>
    <t>https://www.originenergy.com.au/content/dam/pricing/energy-fact-sheets/2022/OR2404716MR.pdf</t>
  </si>
  <si>
    <t>https://simply.ziparchive.com.au/Content/Ratesheets//Victorian_Energy_Fact_Sheet_SIM401425MR_Gas.pdf</t>
  </si>
  <si>
    <t>https://www.powershop.com.au/app/rates/victoria/gas/residential/market/ausnet/central.pdf?v=2.0.0</t>
  </si>
  <si>
    <t>https://assets.kogan.com/files/energy/pdf/rates/2021december/gas/current/ausnet/ausnet-central.pdf</t>
  </si>
  <si>
    <t>https://www.vefs.net/Victorian_Energy_Fact_Sheet_TAN404851MR_Gas.pdf</t>
  </si>
  <si>
    <t>https://www.energyaustralia.com.au/epfs-documents/VIC_GAS_BP2H_T1_TRU394972MR.pdf</t>
  </si>
  <si>
    <t>https://www.redenergy.com.au/docs/vic_energy_fact_sheets/Victorian_Energy_Fact_Sheet_RED381954MR_Gas.pdf</t>
  </si>
  <si>
    <t>January 2023</t>
  </si>
  <si>
    <t>Report 26: Victorian Energy Prices January 2023, An update-report (January 2023)</t>
  </si>
  <si>
    <t>https://www.energyaustralia.com.au/epfs-documents/VIC_GAS_BP2H_R2_TRU436601MR.pdf</t>
  </si>
  <si>
    <t>https://www.lumoenergy.com.au/docs/vic_energy_fact_sheets/Victorian_Energy_Fact_Sheet_LU2432935MR_Gas.pdf</t>
  </si>
  <si>
    <t>https://www.originenergy.com.au/content/dam/pricing/energy-fact-sheets/2022/OR2437790MR.pdf</t>
  </si>
  <si>
    <t>https://www.redenergy.com.au/docs/vic_energy_fact_sheets/Victorian_Energy_Fact_Sheet_RED432828MR_Gas.pdf</t>
  </si>
  <si>
    <t>Stay Plus</t>
  </si>
  <si>
    <t>https://simply.ziparchive.com.au/Content/Ratesheets//Victorian_Energy_Fact_Sheet_SIM435646MR_Gas_RO.pdf</t>
  </si>
  <si>
    <t>$60 sign up credit</t>
  </si>
  <si>
    <t>$60 account credit applied on 7th month after joining.</t>
  </si>
  <si>
    <t>https://www.globirdenergy.com.au/shared-assets/Victorian_Energy_Fact_Sheets/Victorian_Energy_Fact_Sheet_GLO439859MR_Gas.pdf</t>
  </si>
  <si>
    <t>https://www.vefs.net/1ST438366MR.pdf</t>
  </si>
  <si>
    <t>https://www.vefs.net/Victorian_Energy_Fact_Sheet_TAN426711MR_Gas.pdf</t>
  </si>
  <si>
    <t>Lite</t>
  </si>
  <si>
    <t>https://sumo-epfs.s3.amazonaws.com/Gas/VIC%20Sumo%20Lite/Victorian_Energy_Fact_Sheet_SUM440742MR_Gas.pdf</t>
  </si>
  <si>
    <t>https://www.lumoenergy.com.au/docs/vic_energy_fact_sheets/Victorian_Energy_Fact_Sheet_LU2432934MR_Gas.pdf</t>
  </si>
  <si>
    <t>https://www.redenergy.com.au/docs/vic_energy_fact_sheets/Victorian_Energy_Fact_Sheet_RED432808MR_Gas.pdf</t>
  </si>
  <si>
    <t>https://www.globirdenergy.com.au/shared-assets/Victorian_Energy_Fact_Sheets/Victorian_Energy_Fact_Sheet_GLO439857MR_Gas.pdf</t>
  </si>
  <si>
    <t>https://www.vefs.net/1ST438364MR.pdf</t>
  </si>
  <si>
    <t>https://www.vefs.net/Victorian_Energy_Fact_Sheet_TAN426706MR_Gas.pdf</t>
  </si>
  <si>
    <t>https://sumo-epfs.s3.amazonaws.com/Gas/VIC%20Sumo%20Lite/Victorian_Energy_Fact_Sheet_SUM440744MR_Gas.pdf</t>
  </si>
  <si>
    <t>https://www.agl.com.au/content/dam/digital/epfs/pdfs/victorian_energy_fact_sheet_agd434613mr_gas.pdf</t>
  </si>
  <si>
    <t>https://www.lumoenergy.com.au/docs/vic_energy_fact_sheets/Victorian_Energy_Fact_Sheet_LU2432931MR_Gas.pdf</t>
  </si>
  <si>
    <t>https://www.originenergy.com.au/content/dam/pricing/energy-fact-sheets/2022/OR2437796MR.pdf</t>
  </si>
  <si>
    <t>https://www.globirdenergy.com.au/shared-assets/Victorian_Energy_Fact_Sheets/Victorian_Energy_Fact_Sheet_GLO439853MR_Gas.pdf</t>
  </si>
  <si>
    <t>https://www.vefs.net/1ST438363MR.pdf</t>
  </si>
  <si>
    <t>https://www.vefs.net/Victorian_Energy_Fact_Sheet_TAN426704MR_Gas.pdf</t>
  </si>
  <si>
    <t>https://sumo-epfs.s3.amazonaws.com/Gas/VIC%20Sumo%20Lite/Victorian_Energy_Fact_Sheet_SUM440740MR_Gas.pdf</t>
  </si>
  <si>
    <t>https://www.redenergy.com.au/docs/vic_energy_fact_sheets/Victorian_Energy_Fact_Sheet_RED432816MR_Gas.pdf</t>
  </si>
  <si>
    <t>https://www.lumoenergy.com.au/docs/vic_energy_fact_sheets/Victorian_Energy_Fact_Sheet_LU2432929MR_Gas.pdf</t>
  </si>
  <si>
    <t>https://www.redenergy.com.au/docs/vic_energy_fact_sheets/Victorian_Energy_Fact_Sheet_RED432872MR_Gas.pdf</t>
  </si>
  <si>
    <t>https://www.globirdenergy.com.au/shared-assets/Victorian_Energy_Fact_Sheets/Victorian_Energy_Fact_Sheet_GLO439851MR_Gas.pdf</t>
  </si>
  <si>
    <t>https://www.vefs.net/1ST438371MR.pdf</t>
  </si>
  <si>
    <t>https://www.vefs.net/Victorian_Energy_Fact_Sheet_TAN426710MR_Gas.pdf</t>
  </si>
  <si>
    <t>https://sumo-epfs.s3.amazonaws.com/Gas/VIC%20Sumo%20Lite/Victorian_Energy_Fact_Sheet_SUM440739MR_Gas.pdf</t>
  </si>
  <si>
    <t>https://www.lumoenergy.com.au/docs/vic_energy_fact_sheets/Victorian_Energy_Fact_Sheet_LU2432927MR_Gas.pdf</t>
  </si>
  <si>
    <t>https://www.originenergy.com.au/content/dam/pricing/energy-fact-sheets/2022/OR2437795MR.pdf</t>
  </si>
  <si>
    <t>https://www.globirdenergy.com.au/shared-assets/Victorian_Energy_Fact_Sheets/Victorian_Energy_Fact_Sheet_GLO439849MR_Gas.pdf</t>
  </si>
  <si>
    <t>https://www.vefs.net/1ST438368MR.pdf</t>
  </si>
  <si>
    <t>https://www.vefs.net/Victorian_Energy_Fact_Sheet_TAN426709MR_Gas.pdf</t>
  </si>
  <si>
    <t>https://sumo-epfs.s3.amazonaws.com/Gas/VIC%20Sumo%20Lite/Victorian_Energy_Fact_Sheet_SUM440737MR_Gas.pdf</t>
  </si>
  <si>
    <t>https://www.redenergy.com.au/docs/vic_energy_fact_sheets/Victorian_Energy_Fact_Sheet_RED432880MR_Gas.pdf</t>
  </si>
  <si>
    <t>Nothing Fancy</t>
  </si>
  <si>
    <t>Direct debit and e-billing only</t>
  </si>
  <si>
    <t>https://www.momentumenergy.com.au/factsheet?offerId=a440I000001sSKxQAM&amp;customerSegment=Residential&amp;postcode=3818</t>
  </si>
  <si>
    <t>https://www.momentumenergy.com.au/factsheet?offerId=a440I000001sSL3QAM&amp;customerSegment=Residential&amp;postcode=3620</t>
  </si>
  <si>
    <t>https://www.momentumenergy.com.au/factsheet?offerId=a440I000001sSKpQAM&amp;customerSegment=Residential&amp;postcode=3220</t>
  </si>
  <si>
    <t>https://www.momentumenergy.com.au/factsheet?offerId=a440I000001sSKvQAM&amp;customerSegment=Residential&amp;postcode=3342</t>
  </si>
  <si>
    <t>https://www.momentumenergy.com.au/factsheet?offerId=a440I000001sSL6QAM&amp;customerSegment=Residential&amp;postcode=3102</t>
  </si>
  <si>
    <t>*Published gas market offers from July 2010 to July 2023 (incl GST)</t>
  </si>
  <si>
    <t>Workbook 1: Electricity standing offers July 2008 - July 2023</t>
  </si>
  <si>
    <t>Workbook 2: Gas standing offers July 2008 - July 2023</t>
  </si>
  <si>
    <t>Workbook 3: Published electricity market offers July 2010 - July 2023</t>
  </si>
  <si>
    <t>Workbook 4: Published gas market offers July 2010 - July 2023</t>
  </si>
  <si>
    <t>Workbook 5: Published solar market offers July 2016 - July 2023</t>
  </si>
  <si>
    <t>Report 27: Victorian Energy Prices July 2023, An update-report (September 2023)</t>
  </si>
  <si>
    <t>July 2023</t>
  </si>
  <si>
    <t>NEW</t>
  </si>
  <si>
    <t>CovaU</t>
  </si>
  <si>
    <t>Super Saver</t>
  </si>
  <si>
    <t>https://www.agl.com.au/content/dam/digital/epfs/pdfs/victorian_energy_fact_sheet_agd483736mr_gas.pdf</t>
  </si>
  <si>
    <t>https://www.energyaustralia.com.au/epfs-documents/VIC_GAS_BP2H_R2_TRU462548MR.pdf</t>
  </si>
  <si>
    <t>https://www.lumoenergy.com.au/docs/vic_energy_fact_sheets/Victorian_Energy_Fact_Sheet_LU2467584MR_Gas.pdf</t>
  </si>
  <si>
    <t>https://www.lumoenergy.com.au/docs/vic_energy_fact_sheets/Victorian_Energy_Fact_Sheet_LU2467583MR_Gas.pdf</t>
  </si>
  <si>
    <t>https://www.lumoenergy.com.au/docs/vic_energy_fact_sheets/Victorian_Energy_Fact_Sheet_LU2467578MR_Gas.pdf</t>
  </si>
  <si>
    <t>https://www.redenergy.com.au/docs/vic_energy_fact_sheets/Victorian_Energy_Fact_Sheet_RED456214MR_Gas.pdf</t>
  </si>
  <si>
    <t>Blue Perks</t>
  </si>
  <si>
    <t>https://simply.ziparchive.com.au/Content/Ratesheets//Victorian_Energy_Fact_Sheet_SIM473863MR_Gas.pdf</t>
  </si>
  <si>
    <t>https://www.globirdenergy.com.au/shared-assets/Victorian_Energy_Fact_Sheets/Victorian_Energy_Fact_Sheet_GLO476398MR_Gas.pdf</t>
  </si>
  <si>
    <t>https://www.vefs.net/1ST479466MR.pdf</t>
  </si>
  <si>
    <t>https://www.vefs.net/Victorian_Energy_Fact_Sheet_TAN490792MR_Gas.pdf</t>
  </si>
  <si>
    <t>https://www.momentumenergy.com.au/factsheet?offerId=a440I0000033evrQAA&amp;customerSegment=Residential&amp;postcode=3102</t>
  </si>
  <si>
    <t>https://www.vefs.net/Victorian_Energy_Fact_Sheet_COV483603MR_Gas.pdf</t>
  </si>
  <si>
    <t>Victoarian Energy Compare</t>
  </si>
  <si>
    <t>Kogan</t>
  </si>
  <si>
    <t>First</t>
  </si>
  <si>
    <t>https://assets.kogan.com/files/energy/pdf/rates/2023jan/gas/first/multinet/metro.pdf</t>
  </si>
  <si>
    <t>Direct debit only. Must agree to Kogan First Membership</t>
  </si>
  <si>
    <t>https://www.vefs.net/Victorian_Energy_Fact_Sheet_COV483588MR_Gas.pdf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</si>
</sst>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164" formatCode="0.0000"/>
    <numFmt numFmtId="165" formatCode="0.000"/>
    <numFmt numFmtId="166" formatCode="#,##0.000"/>
    <numFmt numFmtId="167" formatCode="_-* #,##0.00_-;\-* #,##0.00_-;_-* &quot;-&quot;??_-;_-@_-"/>
  </numFmts>
  <fonts count="42" x14ac:knownFonts="1">
    <font>
      <sz val="10"/>
      <name val="Arial"/>
    </font>
    <font>
      <sz val="12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sz val="10"/>
      <color indexed="1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18"/>
      <name val="Arial"/>
      <family val="2"/>
    </font>
    <font>
      <u/>
      <sz val="10"/>
      <color indexed="12"/>
      <name val="Arial"/>
      <family val="2"/>
    </font>
    <font>
      <sz val="10"/>
      <color indexed="17"/>
      <name val="Arial"/>
      <family val="2"/>
    </font>
    <font>
      <b/>
      <sz val="11"/>
      <color indexed="12"/>
      <name val="Arial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b/>
      <sz val="11"/>
      <color indexed="57"/>
      <name val="Arial"/>
      <family val="2"/>
    </font>
    <font>
      <sz val="10"/>
      <color indexed="9"/>
      <name val="Arial"/>
      <family val="2"/>
    </font>
    <font>
      <sz val="8"/>
      <name val="Verdana"/>
      <family val="2"/>
    </font>
    <font>
      <b/>
      <sz val="10"/>
      <color indexed="12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0"/>
      <color indexed="8"/>
      <name val="Verdana"/>
      <family val="2"/>
    </font>
    <font>
      <u/>
      <sz val="10"/>
      <color indexed="20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Arial"/>
      <family val="2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theme="1"/>
      <name val="Verdana"/>
      <family val="2"/>
    </font>
    <font>
      <u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0"/>
      <color rgb="FF000000"/>
      <name val="Verdana"/>
      <family val="2"/>
    </font>
    <font>
      <b/>
      <sz val="10"/>
      <name val="Verdana"/>
      <family val="2"/>
    </font>
    <font>
      <sz val="10"/>
      <color theme="0"/>
      <name val="Arial"/>
      <family val="2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CEF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A7A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FA4DE"/>
        <bgColor indexed="64"/>
      </patternFill>
    </fill>
    <fill>
      <patternFill patternType="solid">
        <fgColor rgb="FFB0E87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8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167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642">
    <xf numFmtId="0" fontId="0" fillId="0" borderId="0" xfId="0"/>
    <xf numFmtId="0" fontId="3" fillId="0" borderId="0" xfId="0" applyFont="1"/>
    <xf numFmtId="0" fontId="3" fillId="14" borderId="0" xfId="0" applyFont="1" applyFill="1"/>
    <xf numFmtId="0" fontId="0" fillId="14" borderId="0" xfId="0" applyFill="1"/>
    <xf numFmtId="0" fontId="4" fillId="0" borderId="15" xfId="0" applyFont="1" applyBorder="1"/>
    <xf numFmtId="0" fontId="0" fillId="0" borderId="15" xfId="0" applyBorder="1"/>
    <xf numFmtId="0" fontId="0" fillId="16" borderId="15" xfId="0" applyFill="1" applyBorder="1"/>
    <xf numFmtId="0" fontId="0" fillId="16" borderId="0" xfId="0" applyFill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11" xfId="0" applyBorder="1"/>
    <xf numFmtId="0" fontId="0" fillId="16" borderId="11" xfId="0" applyFill="1" applyBorder="1"/>
    <xf numFmtId="9" fontId="0" fillId="0" borderId="0" xfId="0" applyNumberFormat="1"/>
    <xf numFmtId="10" fontId="0" fillId="0" borderId="0" xfId="0" applyNumberFormat="1"/>
    <xf numFmtId="1" fontId="0" fillId="0" borderId="0" xfId="0" applyNumberFormat="1"/>
    <xf numFmtId="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3" fillId="13" borderId="0" xfId="0" applyFont="1" applyFill="1"/>
    <xf numFmtId="0" fontId="0" fillId="13" borderId="0" xfId="0" applyFill="1"/>
    <xf numFmtId="0" fontId="3" fillId="13" borderId="11" xfId="0" applyFont="1" applyFill="1" applyBorder="1"/>
    <xf numFmtId="0" fontId="0" fillId="13" borderId="11" xfId="0" applyFill="1" applyBorder="1"/>
    <xf numFmtId="0" fontId="0" fillId="0" borderId="0" xfId="0" applyAlignment="1">
      <alignment horizontal="right"/>
    </xf>
    <xf numFmtId="0" fontId="6" fillId="0" borderId="0" xfId="0" applyFont="1" applyProtection="1">
      <protection hidden="1"/>
    </xf>
    <xf numFmtId="9" fontId="0" fillId="0" borderId="0" xfId="0" applyNumberFormat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3" fillId="12" borderId="0" xfId="0" applyFont="1" applyFill="1"/>
    <xf numFmtId="0" fontId="0" fillId="12" borderId="0" xfId="0" applyFill="1"/>
    <xf numFmtId="0" fontId="0" fillId="12" borderId="11" xfId="0" applyFill="1" applyBorder="1"/>
    <xf numFmtId="0" fontId="3" fillId="12" borderId="11" xfId="0" applyFont="1" applyFill="1" applyBorder="1"/>
    <xf numFmtId="0" fontId="3" fillId="11" borderId="0" xfId="0" applyFont="1" applyFill="1"/>
    <xf numFmtId="0" fontId="0" fillId="11" borderId="0" xfId="0" applyFill="1"/>
    <xf numFmtId="1" fontId="0" fillId="0" borderId="11" xfId="0" applyNumberFormat="1" applyBorder="1"/>
    <xf numFmtId="0" fontId="3" fillId="17" borderId="0" xfId="0" applyFont="1" applyFill="1"/>
    <xf numFmtId="0" fontId="0" fillId="17" borderId="0" xfId="0" applyFill="1"/>
    <xf numFmtId="49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6" fontId="0" fillId="0" borderId="0" xfId="0" applyNumberFormat="1" applyAlignment="1" applyProtection="1">
      <alignment horizontal="left"/>
      <protection hidden="1"/>
    </xf>
    <xf numFmtId="0" fontId="10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3" fillId="9" borderId="11" xfId="0" applyFont="1" applyFill="1" applyBorder="1"/>
    <xf numFmtId="0" fontId="0" fillId="9" borderId="11" xfId="0" applyFill="1" applyBorder="1"/>
    <xf numFmtId="0" fontId="3" fillId="9" borderId="0" xfId="0" applyFont="1" applyFill="1"/>
    <xf numFmtId="0" fontId="0" fillId="9" borderId="0" xfId="0" applyFill="1"/>
    <xf numFmtId="0" fontId="3" fillId="3" borderId="0" xfId="0" applyFont="1" applyFill="1"/>
    <xf numFmtId="0" fontId="0" fillId="3" borderId="0" xfId="0" applyFill="1"/>
    <xf numFmtId="164" fontId="0" fillId="0" borderId="0" xfId="0" applyNumberFormat="1"/>
    <xf numFmtId="0" fontId="3" fillId="0" borderId="0" xfId="0" applyFont="1" applyProtection="1">
      <protection hidden="1"/>
    </xf>
    <xf numFmtId="0" fontId="3" fillId="14" borderId="11" xfId="0" applyFont="1" applyFill="1" applyBorder="1" applyProtection="1">
      <protection hidden="1"/>
    </xf>
    <xf numFmtId="0" fontId="0" fillId="14" borderId="11" xfId="0" applyFill="1" applyBorder="1" applyProtection="1">
      <protection hidden="1"/>
    </xf>
    <xf numFmtId="0" fontId="0" fillId="18" borderId="11" xfId="0" applyFill="1" applyBorder="1" applyProtection="1">
      <protection hidden="1"/>
    </xf>
    <xf numFmtId="0" fontId="10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2" fillId="0" borderId="0" xfId="0" applyFont="1" applyProtection="1">
      <protection hidden="1"/>
    </xf>
    <xf numFmtId="49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3" fontId="0" fillId="16" borderId="0" xfId="0" applyNumberFormat="1" applyFill="1" applyProtection="1">
      <protection hidden="1"/>
    </xf>
    <xf numFmtId="3" fontId="10" fillId="16" borderId="0" xfId="0" applyNumberFormat="1" applyFont="1" applyFill="1" applyProtection="1">
      <protection hidden="1"/>
    </xf>
    <xf numFmtId="0" fontId="10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3" fontId="10" fillId="16" borderId="12" xfId="0" applyNumberFormat="1" applyFont="1" applyFill="1" applyBorder="1" applyProtection="1">
      <protection hidden="1"/>
    </xf>
    <xf numFmtId="3" fontId="3" fillId="16" borderId="0" xfId="0" applyNumberFormat="1" applyFont="1" applyFill="1" applyProtection="1">
      <protection hidden="1"/>
    </xf>
    <xf numFmtId="0" fontId="10" fillId="15" borderId="0" xfId="0" applyFont="1" applyFill="1" applyProtection="1">
      <protection locked="0"/>
    </xf>
    <xf numFmtId="0" fontId="3" fillId="13" borderId="11" xfId="0" applyFont="1" applyFill="1" applyBorder="1" applyProtection="1">
      <protection hidden="1"/>
    </xf>
    <xf numFmtId="0" fontId="0" fillId="13" borderId="11" xfId="0" applyFill="1" applyBorder="1" applyProtection="1">
      <protection hidden="1"/>
    </xf>
    <xf numFmtId="2" fontId="3" fillId="0" borderId="0" xfId="0" applyNumberFormat="1" applyFont="1" applyProtection="1">
      <protection hidden="1"/>
    </xf>
    <xf numFmtId="0" fontId="3" fillId="12" borderId="11" xfId="0" applyFont="1" applyFill="1" applyBorder="1" applyProtection="1">
      <protection hidden="1"/>
    </xf>
    <xf numFmtId="0" fontId="0" fillId="12" borderId="11" xfId="0" applyFill="1" applyBorder="1" applyProtection="1">
      <protection hidden="1"/>
    </xf>
    <xf numFmtId="0" fontId="3" fillId="11" borderId="11" xfId="0" applyFont="1" applyFill="1" applyBorder="1" applyProtection="1">
      <protection hidden="1"/>
    </xf>
    <xf numFmtId="0" fontId="0" fillId="11" borderId="11" xfId="0" applyFill="1" applyBorder="1" applyProtection="1">
      <protection hidden="1"/>
    </xf>
    <xf numFmtId="0" fontId="3" fillId="17" borderId="11" xfId="0" applyFont="1" applyFill="1" applyBorder="1" applyProtection="1">
      <protection hidden="1"/>
    </xf>
    <xf numFmtId="0" fontId="0" fillId="17" borderId="11" xfId="0" applyFill="1" applyBorder="1" applyProtection="1">
      <protection hidden="1"/>
    </xf>
    <xf numFmtId="0" fontId="3" fillId="9" borderId="11" xfId="0" applyFont="1" applyFill="1" applyBorder="1" applyProtection="1">
      <protection hidden="1"/>
    </xf>
    <xf numFmtId="0" fontId="0" fillId="9" borderId="11" xfId="0" applyFill="1" applyBorder="1" applyProtection="1">
      <protection hidden="1"/>
    </xf>
    <xf numFmtId="0" fontId="3" fillId="8" borderId="11" xfId="0" applyFont="1" applyFill="1" applyBorder="1" applyProtection="1">
      <protection hidden="1"/>
    </xf>
    <xf numFmtId="0" fontId="0" fillId="8" borderId="11" xfId="0" applyFill="1" applyBorder="1" applyProtection="1">
      <protection hidden="1"/>
    </xf>
    <xf numFmtId="0" fontId="3" fillId="8" borderId="0" xfId="0" applyFont="1" applyFill="1"/>
    <xf numFmtId="0" fontId="0" fillId="8" borderId="0" xfId="0" applyFill="1"/>
    <xf numFmtId="0" fontId="0" fillId="8" borderId="11" xfId="0" applyFill="1" applyBorder="1"/>
    <xf numFmtId="0" fontId="3" fillId="8" borderId="11" xfId="0" applyFont="1" applyFill="1" applyBorder="1"/>
    <xf numFmtId="0" fontId="3" fillId="7" borderId="11" xfId="0" applyFont="1" applyFill="1" applyBorder="1" applyProtection="1">
      <protection hidden="1"/>
    </xf>
    <xf numFmtId="0" fontId="0" fillId="7" borderId="11" xfId="0" applyFill="1" applyBorder="1" applyProtection="1">
      <protection hidden="1"/>
    </xf>
    <xf numFmtId="0" fontId="3" fillId="7" borderId="0" xfId="0" applyFont="1" applyFill="1"/>
    <xf numFmtId="0" fontId="0" fillId="7" borderId="0" xfId="0" applyFill="1"/>
    <xf numFmtId="0" fontId="0" fillId="7" borderId="11" xfId="0" applyFill="1" applyBorder="1"/>
    <xf numFmtId="0" fontId="3" fillId="7" borderId="11" xfId="0" applyFont="1" applyFill="1" applyBorder="1"/>
    <xf numFmtId="0" fontId="3" fillId="6" borderId="11" xfId="0" applyFont="1" applyFill="1" applyBorder="1" applyProtection="1">
      <protection hidden="1"/>
    </xf>
    <xf numFmtId="0" fontId="0" fillId="6" borderId="11" xfId="0" applyFill="1" applyBorder="1" applyProtection="1">
      <protection hidden="1"/>
    </xf>
    <xf numFmtId="0" fontId="3" fillId="6" borderId="0" xfId="0" applyFont="1" applyFill="1"/>
    <xf numFmtId="0" fontId="0" fillId="6" borderId="0" xfId="0" applyFill="1"/>
    <xf numFmtId="0" fontId="0" fillId="6" borderId="11" xfId="0" applyFill="1" applyBorder="1"/>
    <xf numFmtId="0" fontId="3" fillId="6" borderId="11" xfId="0" applyFont="1" applyFill="1" applyBorder="1"/>
    <xf numFmtId="0" fontId="3" fillId="5" borderId="0" xfId="0" applyFont="1" applyFill="1"/>
    <xf numFmtId="0" fontId="0" fillId="5" borderId="0" xfId="0" applyFill="1"/>
    <xf numFmtId="0" fontId="0" fillId="5" borderId="11" xfId="0" applyFill="1" applyBorder="1"/>
    <xf numFmtId="0" fontId="3" fillId="5" borderId="11" xfId="0" applyFont="1" applyFill="1" applyBorder="1"/>
    <xf numFmtId="0" fontId="3" fillId="5" borderId="11" xfId="0" applyFont="1" applyFill="1" applyBorder="1" applyProtection="1">
      <protection hidden="1"/>
    </xf>
    <xf numFmtId="0" fontId="0" fillId="5" borderId="11" xfId="0" applyFill="1" applyBorder="1" applyProtection="1">
      <protection hidden="1"/>
    </xf>
    <xf numFmtId="0" fontId="15" fillId="2" borderId="0" xfId="0" applyFont="1" applyFill="1" applyProtection="1">
      <protection hidden="1"/>
    </xf>
    <xf numFmtId="0" fontId="21" fillId="2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18" fillId="2" borderId="0" xfId="0" applyFont="1" applyFill="1" applyProtection="1">
      <protection hidden="1"/>
    </xf>
    <xf numFmtId="0" fontId="0" fillId="0" borderId="1" xfId="0" applyBorder="1" applyProtection="1">
      <protection hidden="1"/>
    </xf>
    <xf numFmtId="0" fontId="0" fillId="0" borderId="3" xfId="0" applyBorder="1" applyProtection="1">
      <protection hidden="1"/>
    </xf>
    <xf numFmtId="49" fontId="0" fillId="5" borderId="4" xfId="0" applyNumberFormat="1" applyFill="1" applyBorder="1" applyProtection="1">
      <protection hidden="1"/>
    </xf>
    <xf numFmtId="49" fontId="0" fillId="5" borderId="5" xfId="0" applyNumberFormat="1" applyFill="1" applyBorder="1" applyProtection="1">
      <protection hidden="1"/>
    </xf>
    <xf numFmtId="49" fontId="0" fillId="6" borderId="4" xfId="0" applyNumberFormat="1" applyFill="1" applyBorder="1" applyProtection="1">
      <protection hidden="1"/>
    </xf>
    <xf numFmtId="49" fontId="0" fillId="6" borderId="5" xfId="0" applyNumberFormat="1" applyFill="1" applyBorder="1" applyProtection="1">
      <protection hidden="1"/>
    </xf>
    <xf numFmtId="49" fontId="3" fillId="7" borderId="4" xfId="0" applyNumberFormat="1" applyFont="1" applyFill="1" applyBorder="1" applyProtection="1">
      <protection hidden="1"/>
    </xf>
    <xf numFmtId="49" fontId="3" fillId="7" borderId="5" xfId="0" applyNumberFormat="1" applyFont="1" applyFill="1" applyBorder="1" applyProtection="1">
      <protection hidden="1"/>
    </xf>
    <xf numFmtId="49" fontId="19" fillId="8" borderId="4" xfId="0" applyNumberFormat="1" applyFont="1" applyFill="1" applyBorder="1" applyProtection="1">
      <protection hidden="1"/>
    </xf>
    <xf numFmtId="49" fontId="0" fillId="8" borderId="5" xfId="0" applyNumberFormat="1" applyFill="1" applyBorder="1" applyProtection="1">
      <protection hidden="1"/>
    </xf>
    <xf numFmtId="49" fontId="0" fillId="9" borderId="4" xfId="0" applyNumberFormat="1" applyFill="1" applyBorder="1" applyProtection="1">
      <protection hidden="1"/>
    </xf>
    <xf numFmtId="49" fontId="0" fillId="9" borderId="5" xfId="0" applyNumberFormat="1" applyFill="1" applyBorder="1" applyProtection="1">
      <protection hidden="1"/>
    </xf>
    <xf numFmtId="49" fontId="19" fillId="10" borderId="4" xfId="0" applyNumberFormat="1" applyFont="1" applyFill="1" applyBorder="1" applyProtection="1">
      <protection hidden="1"/>
    </xf>
    <xf numFmtId="0" fontId="19" fillId="10" borderId="5" xfId="0" applyFont="1" applyFill="1" applyBorder="1" applyProtection="1">
      <protection hidden="1"/>
    </xf>
    <xf numFmtId="49" fontId="0" fillId="11" borderId="4" xfId="0" applyNumberFormat="1" applyFill="1" applyBorder="1" applyProtection="1">
      <protection hidden="1"/>
    </xf>
    <xf numFmtId="0" fontId="0" fillId="11" borderId="5" xfId="0" applyFill="1" applyBorder="1" applyProtection="1">
      <protection hidden="1"/>
    </xf>
    <xf numFmtId="49" fontId="0" fillId="12" borderId="4" xfId="0" applyNumberFormat="1" applyFill="1" applyBorder="1" applyProtection="1">
      <protection hidden="1"/>
    </xf>
    <xf numFmtId="49" fontId="0" fillId="12" borderId="5" xfId="0" applyNumberFormat="1" applyFill="1" applyBorder="1" applyProtection="1">
      <protection hidden="1"/>
    </xf>
    <xf numFmtId="49" fontId="19" fillId="13" borderId="4" xfId="0" applyNumberFormat="1" applyFont="1" applyFill="1" applyBorder="1" applyProtection="1">
      <protection hidden="1"/>
    </xf>
    <xf numFmtId="0" fontId="0" fillId="13" borderId="5" xfId="0" applyFill="1" applyBorder="1" applyProtection="1">
      <protection hidden="1"/>
    </xf>
    <xf numFmtId="49" fontId="3" fillId="14" borderId="6" xfId="0" applyNumberFormat="1" applyFont="1" applyFill="1" applyBorder="1" applyProtection="1">
      <protection hidden="1"/>
    </xf>
    <xf numFmtId="49" fontId="0" fillId="14" borderId="8" xfId="0" applyNumberFormat="1" applyFill="1" applyBorder="1" applyProtection="1">
      <protection hidden="1"/>
    </xf>
    <xf numFmtId="0" fontId="3" fillId="2" borderId="0" xfId="0" applyFont="1" applyFill="1" applyProtection="1">
      <protection hidden="1"/>
    </xf>
    <xf numFmtId="49" fontId="19" fillId="4" borderId="4" xfId="0" applyNumberFormat="1" applyFont="1" applyFill="1" applyBorder="1" applyProtection="1">
      <protection hidden="1"/>
    </xf>
    <xf numFmtId="49" fontId="19" fillId="4" borderId="5" xfId="0" applyNumberFormat="1" applyFont="1" applyFill="1" applyBorder="1" applyProtection="1">
      <protection hidden="1"/>
    </xf>
    <xf numFmtId="0" fontId="3" fillId="4" borderId="0" xfId="0" applyFont="1" applyFill="1"/>
    <xf numFmtId="0" fontId="0" fillId="4" borderId="0" xfId="0" applyFill="1"/>
    <xf numFmtId="0" fontId="0" fillId="4" borderId="11" xfId="0" applyFill="1" applyBorder="1"/>
    <xf numFmtId="0" fontId="3" fillId="4" borderId="11" xfId="0" applyFont="1" applyFill="1" applyBorder="1"/>
    <xf numFmtId="0" fontId="3" fillId="4" borderId="11" xfId="0" applyFont="1" applyFill="1" applyBorder="1" applyProtection="1">
      <protection hidden="1"/>
    </xf>
    <xf numFmtId="0" fontId="0" fillId="4" borderId="11" xfId="0" applyFill="1" applyBorder="1" applyProtection="1">
      <protection hidden="1"/>
    </xf>
    <xf numFmtId="0" fontId="19" fillId="0" borderId="0" xfId="0" applyFont="1" applyProtection="1">
      <protection hidden="1"/>
    </xf>
    <xf numFmtId="2" fontId="0" fillId="0" borderId="0" xfId="0" applyNumberFormat="1"/>
    <xf numFmtId="166" fontId="0" fillId="0" borderId="0" xfId="0" applyNumberFormat="1"/>
    <xf numFmtId="49" fontId="3" fillId="3" borderId="4" xfId="0" applyNumberFormat="1" applyFont="1" applyFill="1" applyBorder="1" applyProtection="1">
      <protection hidden="1"/>
    </xf>
    <xf numFmtId="49" fontId="3" fillId="3" borderId="5" xfId="0" applyNumberFormat="1" applyFont="1" applyFill="1" applyBorder="1" applyProtection="1">
      <protection hidden="1"/>
    </xf>
    <xf numFmtId="0" fontId="3" fillId="3" borderId="11" xfId="0" applyFont="1" applyFill="1" applyBorder="1" applyProtection="1">
      <protection hidden="1"/>
    </xf>
    <xf numFmtId="0" fontId="0" fillId="3" borderId="11" xfId="0" applyFill="1" applyBorder="1" applyProtection="1">
      <protection hidden="1"/>
    </xf>
    <xf numFmtId="0" fontId="0" fillId="3" borderId="11" xfId="0" applyFill="1" applyBorder="1"/>
    <xf numFmtId="0" fontId="3" fillId="3" borderId="11" xfId="0" applyFont="1" applyFill="1" applyBorder="1"/>
    <xf numFmtId="165" fontId="0" fillId="0" borderId="0" xfId="0" applyNumberFormat="1"/>
    <xf numFmtId="2" fontId="0" fillId="0" borderId="0" xfId="0" applyNumberFormat="1" applyAlignment="1">
      <alignment horizontal="right"/>
    </xf>
    <xf numFmtId="0" fontId="0" fillId="19" borderId="14" xfId="0" applyFill="1" applyBorder="1"/>
    <xf numFmtId="0" fontId="0" fillId="19" borderId="0" xfId="0" applyFill="1" applyAlignment="1">
      <alignment horizontal="right" wrapText="1"/>
    </xf>
    <xf numFmtId="0" fontId="0" fillId="19" borderId="0" xfId="0" applyFill="1" applyAlignment="1">
      <alignment horizontal="left" wrapText="1"/>
    </xf>
    <xf numFmtId="0" fontId="0" fillId="19" borderId="0" xfId="0" applyFill="1" applyAlignment="1">
      <alignment wrapText="1"/>
    </xf>
    <xf numFmtId="0" fontId="0" fillId="16" borderId="9" xfId="0" applyFill="1" applyBorder="1" applyAlignment="1">
      <alignment horizontal="right" wrapText="1"/>
    </xf>
    <xf numFmtId="0" fontId="0" fillId="3" borderId="0" xfId="0" applyFill="1" applyAlignment="1">
      <alignment horizontal="right" wrapText="1"/>
    </xf>
    <xf numFmtId="0" fontId="0" fillId="3" borderId="10" xfId="0" applyFill="1" applyBorder="1" applyAlignment="1">
      <alignment horizontal="right" wrapText="1"/>
    </xf>
    <xf numFmtId="0" fontId="0" fillId="20" borderId="0" xfId="0" applyFill="1" applyAlignment="1">
      <alignment horizontal="right" wrapText="1"/>
    </xf>
    <xf numFmtId="0" fontId="0" fillId="20" borderId="10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10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10" xfId="0" applyFill="1" applyBorder="1" applyAlignment="1">
      <alignment horizontal="right" wrapText="1"/>
    </xf>
    <xf numFmtId="0" fontId="0" fillId="21" borderId="0" xfId="0" applyFill="1" applyAlignment="1">
      <alignment horizontal="center" wrapText="1"/>
    </xf>
    <xf numFmtId="0" fontId="0" fillId="21" borderId="13" xfId="0" applyFill="1" applyBorder="1" applyAlignment="1">
      <alignment horizontal="center" wrapText="1"/>
    </xf>
    <xf numFmtId="0" fontId="0" fillId="22" borderId="0" xfId="0" applyFill="1" applyAlignment="1">
      <alignment horizontal="center" wrapText="1"/>
    </xf>
    <xf numFmtId="0" fontId="0" fillId="20" borderId="0" xfId="0" applyFill="1" applyAlignment="1">
      <alignment horizontal="center" wrapText="1"/>
    </xf>
    <xf numFmtId="0" fontId="0" fillId="22" borderId="0" xfId="0" applyFill="1" applyAlignment="1">
      <alignment horizontal="right" wrapText="1"/>
    </xf>
    <xf numFmtId="0" fontId="0" fillId="19" borderId="0" xfId="0" applyFill="1" applyAlignment="1">
      <alignment horizontal="center" wrapText="1"/>
    </xf>
    <xf numFmtId="0" fontId="0" fillId="19" borderId="10" xfId="0" applyFill="1" applyBorder="1" applyAlignment="1">
      <alignment horizontal="right" wrapText="1"/>
    </xf>
    <xf numFmtId="14" fontId="0" fillId="19" borderId="0" xfId="0" applyNumberFormat="1" applyFill="1" applyAlignment="1">
      <alignment horizontal="right" wrapText="1"/>
    </xf>
    <xf numFmtId="14" fontId="0" fillId="0" borderId="0" xfId="0" applyNumberFormat="1"/>
    <xf numFmtId="0" fontId="0" fillId="5" borderId="14" xfId="0" applyFill="1" applyBorder="1"/>
    <xf numFmtId="14" fontId="0" fillId="5" borderId="14" xfId="0" applyNumberFormat="1" applyFill="1" applyBorder="1" applyAlignment="1">
      <alignment horizontal="left"/>
    </xf>
    <xf numFmtId="14" fontId="0" fillId="5" borderId="14" xfId="0" applyNumberFormat="1" applyFill="1" applyBorder="1"/>
    <xf numFmtId="0" fontId="0" fillId="5" borderId="14" xfId="0" applyFill="1" applyBorder="1" applyAlignment="1">
      <alignment horizontal="left"/>
    </xf>
    <xf numFmtId="0" fontId="0" fillId="5" borderId="14" xfId="0" applyFill="1" applyBorder="1" applyAlignment="1">
      <alignment horizontal="right"/>
    </xf>
    <xf numFmtId="0" fontId="0" fillId="5" borderId="14" xfId="0" applyFill="1" applyBorder="1" applyAlignment="1">
      <alignment horizontal="center"/>
    </xf>
    <xf numFmtId="1" fontId="0" fillId="5" borderId="14" xfId="0" applyNumberFormat="1" applyFill="1" applyBorder="1"/>
    <xf numFmtId="1" fontId="0" fillId="5" borderId="14" xfId="0" applyNumberFormat="1" applyFill="1" applyBorder="1" applyAlignment="1">
      <alignment horizontal="center"/>
    </xf>
    <xf numFmtId="0" fontId="0" fillId="22" borderId="14" xfId="0" applyFill="1" applyBorder="1"/>
    <xf numFmtId="14" fontId="0" fillId="22" borderId="14" xfId="0" applyNumberFormat="1" applyFill="1" applyBorder="1" applyAlignment="1">
      <alignment horizontal="left"/>
    </xf>
    <xf numFmtId="14" fontId="0" fillId="22" borderId="14" xfId="0" applyNumberFormat="1" applyFill="1" applyBorder="1"/>
    <xf numFmtId="0" fontId="0" fillId="22" borderId="14" xfId="0" applyFill="1" applyBorder="1" applyAlignment="1">
      <alignment horizontal="left"/>
    </xf>
    <xf numFmtId="0" fontId="0" fillId="22" borderId="14" xfId="0" applyFill="1" applyBorder="1" applyAlignment="1">
      <alignment horizontal="right"/>
    </xf>
    <xf numFmtId="0" fontId="0" fillId="22" borderId="14" xfId="0" applyFill="1" applyBorder="1" applyAlignment="1">
      <alignment horizontal="center"/>
    </xf>
    <xf numFmtId="0" fontId="0" fillId="22" borderId="0" xfId="0" applyFill="1"/>
    <xf numFmtId="1" fontId="0" fillId="22" borderId="14" xfId="0" applyNumberFormat="1" applyFill="1" applyBorder="1"/>
    <xf numFmtId="1" fontId="0" fillId="22" borderId="14" xfId="0" applyNumberFormat="1" applyFill="1" applyBorder="1" applyAlignment="1">
      <alignment horizontal="center"/>
    </xf>
    <xf numFmtId="0" fontId="0" fillId="12" borderId="14" xfId="0" applyFill="1" applyBorder="1"/>
    <xf numFmtId="14" fontId="0" fillId="12" borderId="14" xfId="0" applyNumberFormat="1" applyFill="1" applyBorder="1" applyAlignment="1">
      <alignment horizontal="left"/>
    </xf>
    <xf numFmtId="14" fontId="0" fillId="12" borderId="14" xfId="0" applyNumberFormat="1" applyFill="1" applyBorder="1"/>
    <xf numFmtId="0" fontId="0" fillId="12" borderId="14" xfId="0" applyFill="1" applyBorder="1" applyAlignment="1">
      <alignment horizontal="left"/>
    </xf>
    <xf numFmtId="0" fontId="0" fillId="12" borderId="14" xfId="0" applyFill="1" applyBorder="1" applyAlignment="1">
      <alignment horizontal="right"/>
    </xf>
    <xf numFmtId="0" fontId="0" fillId="12" borderId="14" xfId="0" applyFill="1" applyBorder="1" applyAlignment="1">
      <alignment horizontal="center"/>
    </xf>
    <xf numFmtId="1" fontId="0" fillId="12" borderId="14" xfId="0" applyNumberFormat="1" applyFill="1" applyBorder="1"/>
    <xf numFmtId="1" fontId="0" fillId="12" borderId="14" xfId="0" applyNumberFormat="1" applyFill="1" applyBorder="1" applyAlignment="1">
      <alignment horizontal="center"/>
    </xf>
    <xf numFmtId="0" fontId="0" fillId="21" borderId="14" xfId="0" applyFill="1" applyBorder="1"/>
    <xf numFmtId="14" fontId="0" fillId="21" borderId="14" xfId="0" applyNumberFormat="1" applyFill="1" applyBorder="1" applyAlignment="1">
      <alignment horizontal="left"/>
    </xf>
    <xf numFmtId="14" fontId="0" fillId="21" borderId="14" xfId="0" applyNumberFormat="1" applyFill="1" applyBorder="1"/>
    <xf numFmtId="0" fontId="0" fillId="21" borderId="14" xfId="0" applyFill="1" applyBorder="1" applyAlignment="1">
      <alignment horizontal="left"/>
    </xf>
    <xf numFmtId="0" fontId="0" fillId="21" borderId="14" xfId="0" applyFill="1" applyBorder="1" applyAlignment="1">
      <alignment horizontal="right"/>
    </xf>
    <xf numFmtId="0" fontId="0" fillId="21" borderId="14" xfId="0" applyFill="1" applyBorder="1" applyAlignment="1">
      <alignment horizontal="center"/>
    </xf>
    <xf numFmtId="0" fontId="0" fillId="21" borderId="0" xfId="0" applyFill="1"/>
    <xf numFmtId="1" fontId="0" fillId="21" borderId="14" xfId="0" applyNumberFormat="1" applyFill="1" applyBorder="1"/>
    <xf numFmtId="1" fontId="0" fillId="21" borderId="14" xfId="0" applyNumberFormat="1" applyFill="1" applyBorder="1" applyAlignment="1">
      <alignment horizontal="center"/>
    </xf>
    <xf numFmtId="0" fontId="0" fillId="16" borderId="14" xfId="0" applyFill="1" applyBorder="1"/>
    <xf numFmtId="14" fontId="0" fillId="16" borderId="14" xfId="0" applyNumberFormat="1" applyFill="1" applyBorder="1" applyAlignment="1">
      <alignment horizontal="left"/>
    </xf>
    <xf numFmtId="14" fontId="0" fillId="16" borderId="14" xfId="0" applyNumberFormat="1" applyFill="1" applyBorder="1"/>
    <xf numFmtId="0" fontId="0" fillId="16" borderId="14" xfId="0" applyFill="1" applyBorder="1" applyAlignment="1">
      <alignment horizontal="left"/>
    </xf>
    <xf numFmtId="0" fontId="0" fillId="16" borderId="14" xfId="0" applyFill="1" applyBorder="1" applyAlignment="1">
      <alignment horizontal="right"/>
    </xf>
    <xf numFmtId="0" fontId="0" fillId="16" borderId="14" xfId="0" applyFill="1" applyBorder="1" applyAlignment="1">
      <alignment horizontal="center"/>
    </xf>
    <xf numFmtId="1" fontId="0" fillId="16" borderId="14" xfId="0" applyNumberFormat="1" applyFill="1" applyBorder="1"/>
    <xf numFmtId="1" fontId="0" fillId="16" borderId="14" xfId="0" applyNumberFormat="1" applyFill="1" applyBorder="1" applyAlignment="1">
      <alignment horizontal="center"/>
    </xf>
    <xf numFmtId="14" fontId="0" fillId="16" borderId="14" xfId="0" applyNumberFormat="1" applyFill="1" applyBorder="1" applyAlignment="1">
      <alignment horizontal="right"/>
    </xf>
    <xf numFmtId="0" fontId="0" fillId="23" borderId="14" xfId="0" applyFill="1" applyBorder="1"/>
    <xf numFmtId="14" fontId="0" fillId="23" borderId="14" xfId="0" applyNumberFormat="1" applyFill="1" applyBorder="1" applyAlignment="1">
      <alignment horizontal="left"/>
    </xf>
    <xf numFmtId="14" fontId="0" fillId="23" borderId="14" xfId="0" applyNumberFormat="1" applyFill="1" applyBorder="1"/>
    <xf numFmtId="0" fontId="0" fillId="23" borderId="14" xfId="0" applyFill="1" applyBorder="1" applyAlignment="1">
      <alignment horizontal="left"/>
    </xf>
    <xf numFmtId="0" fontId="0" fillId="23" borderId="14" xfId="0" applyFill="1" applyBorder="1" applyAlignment="1">
      <alignment horizontal="right"/>
    </xf>
    <xf numFmtId="0" fontId="0" fillId="23" borderId="14" xfId="0" applyFill="1" applyBorder="1" applyAlignment="1">
      <alignment horizontal="center"/>
    </xf>
    <xf numFmtId="0" fontId="0" fillId="23" borderId="0" xfId="0" applyFill="1"/>
    <xf numFmtId="1" fontId="0" fillId="23" borderId="14" xfId="0" applyNumberFormat="1" applyFill="1" applyBorder="1"/>
    <xf numFmtId="1" fontId="0" fillId="23" borderId="14" xfId="0" applyNumberFormat="1" applyFill="1" applyBorder="1" applyAlignment="1">
      <alignment horizontal="center"/>
    </xf>
    <xf numFmtId="14" fontId="0" fillId="23" borderId="14" xfId="0" applyNumberFormat="1" applyFill="1" applyBorder="1" applyAlignment="1">
      <alignment horizontal="right"/>
    </xf>
    <xf numFmtId="0" fontId="0" fillId="11" borderId="14" xfId="0" applyFill="1" applyBorder="1"/>
    <xf numFmtId="14" fontId="0" fillId="11" borderId="14" xfId="0" applyNumberFormat="1" applyFill="1" applyBorder="1" applyAlignment="1">
      <alignment horizontal="left"/>
    </xf>
    <xf numFmtId="14" fontId="0" fillId="11" borderId="14" xfId="0" applyNumberFormat="1" applyFill="1" applyBorder="1"/>
    <xf numFmtId="0" fontId="0" fillId="11" borderId="14" xfId="0" applyFill="1" applyBorder="1" applyAlignment="1">
      <alignment horizontal="left"/>
    </xf>
    <xf numFmtId="0" fontId="0" fillId="11" borderId="14" xfId="0" applyFill="1" applyBorder="1" applyAlignment="1">
      <alignment horizontal="right"/>
    </xf>
    <xf numFmtId="0" fontId="0" fillId="11" borderId="14" xfId="0" applyFill="1" applyBorder="1" applyAlignment="1">
      <alignment horizontal="center"/>
    </xf>
    <xf numFmtId="1" fontId="0" fillId="11" borderId="14" xfId="0" applyNumberFormat="1" applyFill="1" applyBorder="1"/>
    <xf numFmtId="1" fontId="0" fillId="11" borderId="14" xfId="0" applyNumberFormat="1" applyFill="1" applyBorder="1" applyAlignment="1">
      <alignment horizontal="center"/>
    </xf>
    <xf numFmtId="14" fontId="0" fillId="11" borderId="14" xfId="0" applyNumberFormat="1" applyFill="1" applyBorder="1" applyAlignment="1">
      <alignment horizontal="right"/>
    </xf>
    <xf numFmtId="14" fontId="0" fillId="19" borderId="14" xfId="0" applyNumberFormat="1" applyFill="1" applyBorder="1" applyAlignment="1">
      <alignment horizontal="left"/>
    </xf>
    <xf numFmtId="14" fontId="0" fillId="19" borderId="14" xfId="0" applyNumberFormat="1" applyFill="1" applyBorder="1"/>
    <xf numFmtId="0" fontId="0" fillId="19" borderId="14" xfId="0" applyFill="1" applyBorder="1" applyAlignment="1">
      <alignment horizontal="left"/>
    </xf>
    <xf numFmtId="0" fontId="0" fillId="19" borderId="14" xfId="0" applyFill="1" applyBorder="1" applyAlignment="1">
      <alignment horizontal="right"/>
    </xf>
    <xf numFmtId="0" fontId="0" fillId="19" borderId="14" xfId="0" applyFill="1" applyBorder="1" applyAlignment="1">
      <alignment horizontal="center"/>
    </xf>
    <xf numFmtId="0" fontId="0" fillId="19" borderId="0" xfId="0" applyFill="1"/>
    <xf numFmtId="1" fontId="0" fillId="19" borderId="14" xfId="0" applyNumberFormat="1" applyFill="1" applyBorder="1"/>
    <xf numFmtId="1" fontId="0" fillId="19" borderId="14" xfId="0" applyNumberFormat="1" applyFill="1" applyBorder="1" applyAlignment="1">
      <alignment horizontal="center"/>
    </xf>
    <xf numFmtId="9" fontId="0" fillId="5" borderId="14" xfId="0" applyNumberFormat="1" applyFill="1" applyBorder="1" applyAlignment="1">
      <alignment horizontal="center"/>
    </xf>
    <xf numFmtId="9" fontId="0" fillId="22" borderId="14" xfId="0" applyNumberFormat="1" applyFill="1" applyBorder="1" applyAlignment="1">
      <alignment horizontal="center"/>
    </xf>
    <xf numFmtId="10" fontId="0" fillId="12" borderId="14" xfId="0" applyNumberFormat="1" applyFill="1" applyBorder="1" applyAlignment="1">
      <alignment horizontal="center"/>
    </xf>
    <xf numFmtId="10" fontId="0" fillId="21" borderId="14" xfId="0" applyNumberFormat="1" applyFill="1" applyBorder="1" applyAlignment="1">
      <alignment horizontal="center"/>
    </xf>
    <xf numFmtId="10" fontId="0" fillId="19" borderId="14" xfId="0" applyNumberFormat="1" applyFill="1" applyBorder="1" applyAlignment="1">
      <alignment horizontal="center"/>
    </xf>
    <xf numFmtId="10" fontId="0" fillId="16" borderId="14" xfId="0" applyNumberFormat="1" applyFill="1" applyBorder="1" applyAlignment="1">
      <alignment horizontal="center"/>
    </xf>
    <xf numFmtId="10" fontId="0" fillId="23" borderId="14" xfId="0" applyNumberFormat="1" applyFill="1" applyBorder="1" applyAlignment="1">
      <alignment horizontal="center"/>
    </xf>
    <xf numFmtId="10" fontId="0" fillId="11" borderId="14" xfId="0" applyNumberFormat="1" applyFill="1" applyBorder="1" applyAlignment="1">
      <alignment horizontal="center"/>
    </xf>
    <xf numFmtId="14" fontId="0" fillId="5" borderId="14" xfId="0" applyNumberFormat="1" applyFill="1" applyBorder="1" applyAlignment="1">
      <alignment horizontal="right"/>
    </xf>
    <xf numFmtId="0" fontId="0" fillId="22" borderId="9" xfId="0" applyFill="1" applyBorder="1"/>
    <xf numFmtId="14" fontId="0" fillId="22" borderId="14" xfId="0" applyNumberFormat="1" applyFill="1" applyBorder="1" applyAlignment="1">
      <alignment horizontal="right"/>
    </xf>
    <xf numFmtId="0" fontId="0" fillId="12" borderId="9" xfId="0" applyFill="1" applyBorder="1"/>
    <xf numFmtId="14" fontId="0" fillId="12" borderId="14" xfId="0" applyNumberFormat="1" applyFill="1" applyBorder="1" applyAlignment="1">
      <alignment horizontal="right"/>
    </xf>
    <xf numFmtId="0" fontId="0" fillId="21" borderId="9" xfId="0" applyFill="1" applyBorder="1"/>
    <xf numFmtId="14" fontId="0" fillId="21" borderId="14" xfId="0" applyNumberFormat="1" applyFill="1" applyBorder="1" applyAlignment="1">
      <alignment horizontal="right"/>
    </xf>
    <xf numFmtId="0" fontId="0" fillId="19" borderId="9" xfId="0" applyFill="1" applyBorder="1"/>
    <xf numFmtId="14" fontId="0" fillId="19" borderId="14" xfId="0" applyNumberFormat="1" applyFill="1" applyBorder="1" applyAlignment="1">
      <alignment horizontal="right"/>
    </xf>
    <xf numFmtId="49" fontId="3" fillId="5" borderId="4" xfId="0" applyNumberFormat="1" applyFont="1" applyFill="1" applyBorder="1" applyProtection="1">
      <protection hidden="1"/>
    </xf>
    <xf numFmtId="0" fontId="3" fillId="5" borderId="5" xfId="0" applyFont="1" applyFill="1" applyBorder="1" applyProtection="1">
      <protection hidden="1"/>
    </xf>
    <xf numFmtId="0" fontId="24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25" fillId="5" borderId="0" xfId="0" applyFont="1" applyFill="1" applyProtection="1">
      <protection hidden="1"/>
    </xf>
    <xf numFmtId="0" fontId="24" fillId="5" borderId="7" xfId="0" applyFont="1" applyFill="1" applyBorder="1" applyProtection="1">
      <protection hidden="1"/>
    </xf>
    <xf numFmtId="0" fontId="26" fillId="2" borderId="1" xfId="0" applyFont="1" applyFill="1" applyBorder="1" applyProtection="1">
      <protection hidden="1"/>
    </xf>
    <xf numFmtId="0" fontId="26" fillId="2" borderId="2" xfId="0" applyFont="1" applyFill="1" applyBorder="1" applyProtection="1">
      <protection hidden="1"/>
    </xf>
    <xf numFmtId="0" fontId="24" fillId="2" borderId="2" xfId="0" applyFont="1" applyFill="1" applyBorder="1" applyProtection="1">
      <protection hidden="1"/>
    </xf>
    <xf numFmtId="0" fontId="24" fillId="2" borderId="3" xfId="0" applyFont="1" applyFill="1" applyBorder="1" applyProtection="1">
      <protection hidden="1"/>
    </xf>
    <xf numFmtId="0" fontId="24" fillId="2" borderId="4" xfId="0" applyFont="1" applyFill="1" applyBorder="1" applyProtection="1">
      <protection hidden="1"/>
    </xf>
    <xf numFmtId="0" fontId="24" fillId="2" borderId="0" xfId="0" applyFont="1" applyFill="1" applyProtection="1">
      <protection hidden="1"/>
    </xf>
    <xf numFmtId="0" fontId="24" fillId="2" borderId="5" xfId="0" applyFont="1" applyFill="1" applyBorder="1" applyProtection="1">
      <protection hidden="1"/>
    </xf>
    <xf numFmtId="0" fontId="0" fillId="0" borderId="4" xfId="0" applyBorder="1" applyProtection="1">
      <protection hidden="1"/>
    </xf>
    <xf numFmtId="2" fontId="0" fillId="14" borderId="0" xfId="0" applyNumberFormat="1" applyFill="1" applyProtection="1">
      <protection hidden="1"/>
    </xf>
    <xf numFmtId="3" fontId="10" fillId="0" borderId="0" xfId="0" applyNumberFormat="1" applyFont="1" applyProtection="1">
      <protection hidden="1"/>
    </xf>
    <xf numFmtId="3" fontId="0" fillId="14" borderId="0" xfId="0" applyNumberForma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17" xfId="0" applyBorder="1" applyProtection="1">
      <protection hidden="1"/>
    </xf>
    <xf numFmtId="0" fontId="0" fillId="0" borderId="16" xfId="0" applyBorder="1" applyProtection="1">
      <protection hidden="1"/>
    </xf>
    <xf numFmtId="2" fontId="0" fillId="0" borderId="16" xfId="0" applyNumberFormat="1" applyBorder="1" applyProtection="1">
      <protection hidden="1"/>
    </xf>
    <xf numFmtId="2" fontId="0" fillId="14" borderId="16" xfId="0" applyNumberFormat="1" applyFill="1" applyBorder="1" applyProtection="1">
      <protection hidden="1"/>
    </xf>
    <xf numFmtId="3" fontId="10" fillId="0" borderId="16" xfId="0" applyNumberFormat="1" applyFont="1" applyBorder="1" applyProtection="1">
      <protection hidden="1"/>
    </xf>
    <xf numFmtId="3" fontId="0" fillId="14" borderId="16" xfId="0" applyNumberFormat="1" applyFill="1" applyBorder="1" applyProtection="1">
      <protection hidden="1"/>
    </xf>
    <xf numFmtId="0" fontId="0" fillId="0" borderId="16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3" fontId="0" fillId="0" borderId="0" xfId="0" applyNumberFormat="1" applyProtection="1">
      <protection hidden="1"/>
    </xf>
    <xf numFmtId="3" fontId="0" fillId="0" borderId="16" xfId="0" applyNumberFormat="1" applyBorder="1" applyProtection="1">
      <protection hidden="1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2" fontId="0" fillId="0" borderId="7" xfId="0" applyNumberFormat="1" applyBorder="1" applyProtection="1">
      <protection hidden="1"/>
    </xf>
    <xf numFmtId="2" fontId="0" fillId="14" borderId="7" xfId="0" applyNumberFormat="1" applyFill="1" applyBorder="1" applyProtection="1">
      <protection hidden="1"/>
    </xf>
    <xf numFmtId="3" fontId="10" fillId="0" borderId="7" xfId="0" applyNumberFormat="1" applyFont="1" applyBorder="1" applyProtection="1">
      <protection hidden="1"/>
    </xf>
    <xf numFmtId="3" fontId="0" fillId="14" borderId="7" xfId="0" applyNumberFormat="1" applyFill="1" applyBorder="1" applyProtection="1"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3" fontId="25" fillId="15" borderId="0" xfId="0" applyNumberFormat="1" applyFont="1" applyFill="1" applyProtection="1">
      <protection locked="0"/>
    </xf>
    <xf numFmtId="14" fontId="0" fillId="0" borderId="14" xfId="0" applyNumberFormat="1" applyBorder="1"/>
    <xf numFmtId="14" fontId="0" fillId="0" borderId="14" xfId="0" applyNumberFormat="1" applyBorder="1" applyAlignment="1">
      <alignment horizontal="left"/>
    </xf>
    <xf numFmtId="0" fontId="0" fillId="0" borderId="14" xfId="0" applyBorder="1"/>
    <xf numFmtId="0" fontId="0" fillId="0" borderId="14" xfId="0" applyBorder="1" applyAlignment="1">
      <alignment horizontal="left"/>
    </xf>
    <xf numFmtId="0" fontId="0" fillId="0" borderId="14" xfId="0" applyBorder="1" applyAlignment="1">
      <alignment horizontal="center"/>
    </xf>
    <xf numFmtId="1" fontId="0" fillId="0" borderId="14" xfId="0" applyNumberFormat="1" applyBorder="1" applyAlignment="1">
      <alignment horizontal="center"/>
    </xf>
    <xf numFmtId="0" fontId="2" fillId="0" borderId="0" xfId="1" applyFont="1" applyFill="1" applyAlignment="1" applyProtection="1"/>
    <xf numFmtId="49" fontId="3" fillId="24" borderId="4" xfId="0" applyNumberFormat="1" applyFont="1" applyFill="1" applyBorder="1" applyProtection="1">
      <protection hidden="1"/>
    </xf>
    <xf numFmtId="0" fontId="3" fillId="24" borderId="5" xfId="0" applyFont="1" applyFill="1" applyBorder="1" applyProtection="1">
      <protection hidden="1"/>
    </xf>
    <xf numFmtId="0" fontId="2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25" fillId="24" borderId="0" xfId="0" applyFont="1" applyFill="1" applyProtection="1">
      <protection hidden="1"/>
    </xf>
    <xf numFmtId="0" fontId="24" fillId="24" borderId="7" xfId="0" applyFont="1" applyFill="1" applyBorder="1" applyProtection="1">
      <protection hidden="1"/>
    </xf>
    <xf numFmtId="14" fontId="0" fillId="25" borderId="14" xfId="0" applyNumberFormat="1" applyFill="1" applyBorder="1"/>
    <xf numFmtId="14" fontId="0" fillId="0" borderId="14" xfId="0" applyNumberFormat="1" applyBorder="1" applyAlignment="1">
      <alignment horizontal="right"/>
    </xf>
    <xf numFmtId="0" fontId="0" fillId="26" borderId="14" xfId="0" applyFill="1" applyBorder="1"/>
    <xf numFmtId="1" fontId="0" fillId="26" borderId="14" xfId="0" applyNumberFormat="1" applyFill="1" applyBorder="1"/>
    <xf numFmtId="0" fontId="0" fillId="26" borderId="14" xfId="0" applyFill="1" applyBorder="1" applyAlignment="1">
      <alignment horizontal="right"/>
    </xf>
    <xf numFmtId="0" fontId="0" fillId="27" borderId="14" xfId="0" applyFill="1" applyBorder="1" applyAlignment="1">
      <alignment horizontal="right"/>
    </xf>
    <xf numFmtId="0" fontId="0" fillId="27" borderId="14" xfId="0" applyFill="1" applyBorder="1"/>
    <xf numFmtId="1" fontId="0" fillId="27" borderId="14" xfId="0" applyNumberFormat="1" applyFill="1" applyBorder="1"/>
    <xf numFmtId="0" fontId="2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25" fillId="28" borderId="0" xfId="0" applyFont="1" applyFill="1" applyProtection="1">
      <protection hidden="1"/>
    </xf>
    <xf numFmtId="0" fontId="24" fillId="28" borderId="7" xfId="0" applyFont="1" applyFill="1" applyBorder="1" applyProtection="1">
      <protection hidden="1"/>
    </xf>
    <xf numFmtId="0" fontId="24" fillId="29" borderId="0" xfId="0" applyFont="1" applyFill="1" applyProtection="1">
      <protection hidden="1"/>
    </xf>
    <xf numFmtId="0" fontId="0" fillId="29" borderId="0" xfId="0" applyFill="1" applyProtection="1">
      <protection hidden="1"/>
    </xf>
    <xf numFmtId="0" fontId="25" fillId="29" borderId="0" xfId="0" applyFont="1" applyFill="1" applyProtection="1">
      <protection hidden="1"/>
    </xf>
    <xf numFmtId="0" fontId="24" fillId="29" borderId="7" xfId="0" applyFont="1" applyFill="1" applyBorder="1" applyProtection="1">
      <protection hidden="1"/>
    </xf>
    <xf numFmtId="49" fontId="0" fillId="29" borderId="4" xfId="0" applyNumberFormat="1" applyFill="1" applyBorder="1" applyProtection="1">
      <protection hidden="1"/>
    </xf>
    <xf numFmtId="0" fontId="3" fillId="29" borderId="5" xfId="0" applyFont="1" applyFill="1" applyBorder="1" applyProtection="1">
      <protection hidden="1"/>
    </xf>
    <xf numFmtId="49" fontId="0" fillId="28" borderId="4" xfId="0" applyNumberFormat="1" applyFill="1" applyBorder="1" applyProtection="1">
      <protection hidden="1"/>
    </xf>
    <xf numFmtId="0" fontId="3" fillId="28" borderId="5" xfId="0" applyFont="1" applyFill="1" applyBorder="1" applyProtection="1">
      <protection hidden="1"/>
    </xf>
    <xf numFmtId="14" fontId="2" fillId="0" borderId="14" xfId="0" applyNumberFormat="1" applyFont="1" applyBorder="1"/>
    <xf numFmtId="0" fontId="0" fillId="0" borderId="9" xfId="0" applyBorder="1"/>
    <xf numFmtId="14" fontId="0" fillId="0" borderId="19" xfId="0" applyNumberFormat="1" applyBorder="1"/>
    <xf numFmtId="1" fontId="0" fillId="0" borderId="14" xfId="0" applyNumberFormat="1" applyBorder="1"/>
    <xf numFmtId="0" fontId="27" fillId="0" borderId="14" xfId="0" applyFont="1" applyBorder="1"/>
    <xf numFmtId="0" fontId="27" fillId="0" borderId="14" xfId="0" applyFont="1" applyBorder="1" applyAlignment="1">
      <alignment horizontal="center"/>
    </xf>
    <xf numFmtId="14" fontId="2" fillId="0" borderId="19" xfId="0" applyNumberFormat="1" applyFont="1" applyBorder="1"/>
    <xf numFmtId="0" fontId="0" fillId="0" borderId="20" xfId="0" applyBorder="1" applyAlignment="1">
      <alignment horizontal="center"/>
    </xf>
    <xf numFmtId="0" fontId="27" fillId="0" borderId="15" xfId="0" applyFont="1" applyBorder="1"/>
    <xf numFmtId="0" fontId="0" fillId="0" borderId="10" xfId="0" applyBorder="1"/>
    <xf numFmtId="1" fontId="0" fillId="0" borderId="9" xfId="0" applyNumberFormat="1" applyBorder="1"/>
    <xf numFmtId="2" fontId="27" fillId="0" borderId="14" xfId="2" applyNumberFormat="1" applyFont="1" applyFill="1" applyBorder="1" applyAlignment="1">
      <alignment horizontal="right"/>
    </xf>
    <xf numFmtId="2" fontId="27" fillId="0" borderId="14" xfId="0" applyNumberFormat="1" applyFont="1" applyBorder="1"/>
    <xf numFmtId="2" fontId="27" fillId="0" borderId="14" xfId="0" applyNumberFormat="1" applyFont="1" applyBorder="1" applyAlignment="1">
      <alignment horizontal="right"/>
    </xf>
    <xf numFmtId="0" fontId="27" fillId="0" borderId="10" xfId="0" applyFont="1" applyBorder="1"/>
    <xf numFmtId="0" fontId="27" fillId="0" borderId="0" xfId="0" applyFo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10" fillId="30" borderId="1" xfId="0" applyFont="1" applyFill="1" applyBorder="1" applyProtection="1">
      <protection hidden="1"/>
    </xf>
    <xf numFmtId="0" fontId="0" fillId="30" borderId="3" xfId="0" applyFill="1" applyBorder="1" applyProtection="1">
      <protection hidden="1"/>
    </xf>
    <xf numFmtId="0" fontId="0" fillId="30" borderId="4" xfId="0" applyFill="1" applyBorder="1" applyProtection="1">
      <protection hidden="1"/>
    </xf>
    <xf numFmtId="0" fontId="0" fillId="30" borderId="5" xfId="0" applyFill="1" applyBorder="1" applyProtection="1">
      <protection hidden="1"/>
    </xf>
    <xf numFmtId="0" fontId="24" fillId="31" borderId="0" xfId="0" applyFont="1" applyFill="1" applyProtection="1">
      <protection hidden="1"/>
    </xf>
    <xf numFmtId="0" fontId="0" fillId="31" borderId="0" xfId="0" applyFill="1" applyProtection="1">
      <protection hidden="1"/>
    </xf>
    <xf numFmtId="0" fontId="25" fillId="31" borderId="0" xfId="0" applyFont="1" applyFill="1" applyProtection="1">
      <protection hidden="1"/>
    </xf>
    <xf numFmtId="0" fontId="24" fillId="31" borderId="7" xfId="0" applyFont="1" applyFill="1" applyBorder="1" applyProtection="1">
      <protection hidden="1"/>
    </xf>
    <xf numFmtId="49" fontId="0" fillId="31" borderId="4" xfId="0" applyNumberFormat="1" applyFill="1" applyBorder="1" applyProtection="1">
      <protection hidden="1"/>
    </xf>
    <xf numFmtId="0" fontId="3" fillId="31" borderId="5" xfId="0" applyFont="1" applyFill="1" applyBorder="1" applyProtection="1">
      <protection hidden="1"/>
    </xf>
    <xf numFmtId="0" fontId="2" fillId="5" borderId="0" xfId="1" applyFont="1" applyFill="1" applyAlignment="1" applyProtection="1"/>
    <xf numFmtId="0" fontId="2" fillId="22" borderId="0" xfId="1" applyFont="1" applyFill="1" applyAlignment="1" applyProtection="1"/>
    <xf numFmtId="0" fontId="2" fillId="12" borderId="0" xfId="1" applyFont="1" applyFill="1" applyAlignment="1" applyProtection="1"/>
    <xf numFmtId="0" fontId="2" fillId="21" borderId="0" xfId="1" applyFont="1" applyFill="1" applyAlignment="1" applyProtection="1"/>
    <xf numFmtId="0" fontId="2" fillId="19" borderId="0" xfId="1" applyFont="1" applyFill="1" applyAlignment="1" applyProtection="1"/>
    <xf numFmtId="0" fontId="2" fillId="16" borderId="0" xfId="1" applyFont="1" applyFill="1" applyAlignment="1" applyProtection="1"/>
    <xf numFmtId="0" fontId="2" fillId="23" borderId="0" xfId="1" applyFont="1" applyFill="1" applyAlignment="1" applyProtection="1"/>
    <xf numFmtId="0" fontId="2" fillId="11" borderId="0" xfId="1" applyFont="1" applyFill="1" applyAlignment="1" applyProtection="1"/>
    <xf numFmtId="0" fontId="2" fillId="22" borderId="0" xfId="0" applyFont="1" applyFill="1" applyAlignment="1">
      <alignment horizontal="center" wrapText="1"/>
    </xf>
    <xf numFmtId="0" fontId="2" fillId="20" borderId="10" xfId="0" applyFont="1" applyFill="1" applyBorder="1" applyAlignment="1">
      <alignment horizontal="center" wrapText="1"/>
    </xf>
    <xf numFmtId="0" fontId="2" fillId="0" borderId="0" xfId="0" applyFont="1"/>
    <xf numFmtId="2" fontId="0" fillId="32" borderId="0" xfId="0" applyNumberFormat="1" applyFill="1" applyProtection="1">
      <protection hidden="1"/>
    </xf>
    <xf numFmtId="2" fontId="0" fillId="32" borderId="16" xfId="0" applyNumberFormat="1" applyFill="1" applyBorder="1" applyProtection="1">
      <protection hidden="1"/>
    </xf>
    <xf numFmtId="0" fontId="24" fillId="33" borderId="0" xfId="0" applyFont="1" applyFill="1" applyProtection="1">
      <protection hidden="1"/>
    </xf>
    <xf numFmtId="0" fontId="0" fillId="33" borderId="0" xfId="0" applyFill="1" applyProtection="1">
      <protection hidden="1"/>
    </xf>
    <xf numFmtId="0" fontId="25" fillId="33" borderId="0" xfId="0" applyFont="1" applyFill="1" applyProtection="1">
      <protection hidden="1"/>
    </xf>
    <xf numFmtId="0" fontId="24" fillId="33" borderId="7" xfId="0" applyFont="1" applyFill="1" applyBorder="1" applyProtection="1">
      <protection hidden="1"/>
    </xf>
    <xf numFmtId="0" fontId="2" fillId="34" borderId="0" xfId="0" applyFont="1" applyFill="1" applyAlignment="1">
      <alignment horizontal="center" wrapText="1"/>
    </xf>
    <xf numFmtId="0" fontId="0" fillId="30" borderId="0" xfId="0" applyFill="1" applyProtection="1">
      <protection hidden="1"/>
    </xf>
    <xf numFmtId="0" fontId="0" fillId="35" borderId="0" xfId="0" applyFill="1" applyProtection="1">
      <protection hidden="1"/>
    </xf>
    <xf numFmtId="0" fontId="0" fillId="0" borderId="14" xfId="0" applyBorder="1" applyAlignment="1">
      <alignment horizontal="right"/>
    </xf>
    <xf numFmtId="9" fontId="0" fillId="0" borderId="14" xfId="0" applyNumberFormat="1" applyBorder="1" applyAlignment="1">
      <alignment horizontal="center"/>
    </xf>
    <xf numFmtId="0" fontId="2" fillId="0" borderId="14" xfId="0" applyFont="1" applyBorder="1" applyAlignment="1">
      <alignment horizontal="left"/>
    </xf>
    <xf numFmtId="0" fontId="2" fillId="0" borderId="14" xfId="0" applyFont="1" applyBorder="1"/>
    <xf numFmtId="0" fontId="3" fillId="0" borderId="14" xfId="0" applyFont="1" applyBorder="1"/>
    <xf numFmtId="0" fontId="13" fillId="0" borderId="0" xfId="1" applyFill="1" applyAlignment="1" applyProtection="1"/>
    <xf numFmtId="14" fontId="0" fillId="0" borderId="21" xfId="0" applyNumberFormat="1" applyBorder="1" applyAlignment="1">
      <alignment horizontal="left"/>
    </xf>
    <xf numFmtId="0" fontId="0" fillId="0" borderId="21" xfId="0" applyBorder="1"/>
    <xf numFmtId="14" fontId="0" fillId="0" borderId="21" xfId="0" applyNumberFormat="1" applyBorder="1"/>
    <xf numFmtId="0" fontId="0" fillId="0" borderId="21" xfId="0" applyBorder="1" applyAlignment="1">
      <alignment horizontal="left"/>
    </xf>
    <xf numFmtId="14" fontId="0" fillId="0" borderId="21" xfId="0" applyNumberFormat="1" applyBorder="1" applyAlignment="1">
      <alignment horizontal="right"/>
    </xf>
    <xf numFmtId="0" fontId="27" fillId="0" borderId="21" xfId="0" applyFont="1" applyBorder="1"/>
    <xf numFmtId="10" fontId="0" fillId="0" borderId="14" xfId="0" applyNumberFormat="1" applyBorder="1" applyAlignment="1">
      <alignment horizontal="center"/>
    </xf>
    <xf numFmtId="0" fontId="0" fillId="0" borderId="20" xfId="0" applyBorder="1"/>
    <xf numFmtId="14" fontId="0" fillId="0" borderId="20" xfId="0" applyNumberFormat="1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right"/>
    </xf>
    <xf numFmtId="0" fontId="27" fillId="0" borderId="21" xfId="0" applyFont="1" applyBorder="1" applyAlignment="1">
      <alignment horizontal="right"/>
    </xf>
    <xf numFmtId="0" fontId="27" fillId="0" borderId="14" xfId="0" applyFont="1" applyBorder="1" applyAlignment="1">
      <alignment horizontal="right"/>
    </xf>
    <xf numFmtId="1" fontId="27" fillId="0" borderId="14" xfId="0" applyNumberFormat="1" applyFont="1" applyBorder="1" applyAlignment="1">
      <alignment horizontal="right"/>
    </xf>
    <xf numFmtId="0" fontId="0" fillId="0" borderId="22" xfId="0" applyBorder="1" applyAlignment="1">
      <alignment horizontal="left"/>
    </xf>
    <xf numFmtId="0" fontId="24" fillId="36" borderId="0" xfId="0" applyFont="1" applyFill="1" applyProtection="1">
      <protection hidden="1"/>
    </xf>
    <xf numFmtId="0" fontId="0" fillId="36" borderId="0" xfId="0" applyFill="1" applyProtection="1">
      <protection hidden="1"/>
    </xf>
    <xf numFmtId="0" fontId="25" fillId="36" borderId="0" xfId="0" applyFont="1" applyFill="1" applyProtection="1">
      <protection hidden="1"/>
    </xf>
    <xf numFmtId="0" fontId="24" fillId="36" borderId="7" xfId="0" applyFont="1" applyFill="1" applyBorder="1" applyProtection="1">
      <protection hidden="1"/>
    </xf>
    <xf numFmtId="0" fontId="3" fillId="36" borderId="5" xfId="0" applyFont="1" applyFill="1" applyBorder="1" applyProtection="1">
      <protection hidden="1"/>
    </xf>
    <xf numFmtId="49" fontId="3" fillId="36" borderId="4" xfId="0" applyNumberFormat="1" applyFont="1" applyFill="1" applyBorder="1" applyProtection="1">
      <protection hidden="1"/>
    </xf>
    <xf numFmtId="49" fontId="3" fillId="33" borderId="4" xfId="0" applyNumberFormat="1" applyFont="1" applyFill="1" applyBorder="1" applyProtection="1">
      <protection hidden="1"/>
    </xf>
    <xf numFmtId="0" fontId="0" fillId="33" borderId="5" xfId="0" applyFill="1" applyBorder="1" applyProtection="1">
      <protection hidden="1"/>
    </xf>
    <xf numFmtId="14" fontId="2" fillId="37" borderId="14" xfId="0" applyNumberFormat="1" applyFont="1" applyFill="1" applyBorder="1"/>
    <xf numFmtId="2" fontId="2" fillId="0" borderId="14" xfId="0" applyNumberFormat="1" applyFont="1" applyBorder="1"/>
    <xf numFmtId="6" fontId="0" fillId="0" borderId="14" xfId="0" applyNumberFormat="1" applyBorder="1" applyAlignment="1">
      <alignment horizontal="center"/>
    </xf>
    <xf numFmtId="0" fontId="2" fillId="0" borderId="14" xfId="1" applyFont="1" applyBorder="1" applyAlignment="1" applyProtection="1"/>
    <xf numFmtId="1" fontId="27" fillId="0" borderId="14" xfId="0" applyNumberFormat="1" applyFont="1" applyBorder="1"/>
    <xf numFmtId="0" fontId="25" fillId="2" borderId="2" xfId="0" applyFont="1" applyFill="1" applyBorder="1" applyProtection="1">
      <protection hidden="1"/>
    </xf>
    <xf numFmtId="0" fontId="25" fillId="2" borderId="0" xfId="0" applyFont="1" applyFill="1" applyProtection="1">
      <protection hidden="1"/>
    </xf>
    <xf numFmtId="0" fontId="10" fillId="36" borderId="0" xfId="0" applyFont="1" applyFill="1" applyProtection="1">
      <protection hidden="1"/>
    </xf>
    <xf numFmtId="1" fontId="10" fillId="14" borderId="0" xfId="0" applyNumberFormat="1" applyFont="1" applyFill="1" applyProtection="1">
      <protection hidden="1"/>
    </xf>
    <xf numFmtId="14" fontId="0" fillId="38" borderId="14" xfId="0" applyNumberFormat="1" applyFill="1" applyBorder="1"/>
    <xf numFmtId="0" fontId="0" fillId="38" borderId="14" xfId="0" applyFill="1" applyBorder="1" applyAlignment="1">
      <alignment horizontal="left"/>
    </xf>
    <xf numFmtId="2" fontId="0" fillId="0" borderId="14" xfId="0" applyNumberFormat="1" applyBorder="1"/>
    <xf numFmtId="2" fontId="2" fillId="0" borderId="9" xfId="0" applyNumberFormat="1" applyFont="1" applyBorder="1"/>
    <xf numFmtId="14" fontId="0" fillId="38" borderId="14" xfId="0" applyNumberFormat="1" applyFill="1" applyBorder="1" applyAlignment="1">
      <alignment horizontal="right"/>
    </xf>
    <xf numFmtId="2" fontId="2" fillId="35" borderId="14" xfId="0" applyNumberFormat="1" applyFont="1" applyFill="1" applyBorder="1"/>
    <xf numFmtId="0" fontId="2" fillId="38" borderId="14" xfId="0" applyFont="1" applyFill="1" applyBorder="1" applyAlignment="1">
      <alignment horizontal="left"/>
    </xf>
    <xf numFmtId="1" fontId="10" fillId="14" borderId="7" xfId="0" applyNumberFormat="1" applyFont="1" applyFill="1" applyBorder="1" applyProtection="1">
      <protection hidden="1"/>
    </xf>
    <xf numFmtId="49" fontId="3" fillId="39" borderId="4" xfId="0" applyNumberFormat="1" applyFont="1" applyFill="1" applyBorder="1" applyProtection="1">
      <protection hidden="1"/>
    </xf>
    <xf numFmtId="49" fontId="3" fillId="39" borderId="5" xfId="0" applyNumberFormat="1" applyFont="1" applyFill="1" applyBorder="1" applyProtection="1">
      <protection hidden="1"/>
    </xf>
    <xf numFmtId="0" fontId="13" fillId="0" borderId="14" xfId="1" applyBorder="1" applyAlignment="1" applyProtection="1"/>
    <xf numFmtId="0" fontId="24" fillId="39" borderId="0" xfId="4" applyFont="1" applyFill="1" applyProtection="1">
      <protection hidden="1"/>
    </xf>
    <xf numFmtId="9" fontId="24" fillId="39" borderId="0" xfId="5" applyFont="1" applyFill="1" applyProtection="1">
      <protection hidden="1"/>
    </xf>
    <xf numFmtId="0" fontId="3" fillId="39" borderId="0" xfId="4" applyFill="1" applyProtection="1">
      <protection hidden="1"/>
    </xf>
    <xf numFmtId="0" fontId="25" fillId="39" borderId="0" xfId="4" applyFont="1" applyFill="1" applyProtection="1">
      <protection hidden="1"/>
    </xf>
    <xf numFmtId="0" fontId="32" fillId="19" borderId="0" xfId="4" applyFont="1" applyFill="1" applyAlignment="1">
      <alignment horizontal="right" wrapText="1"/>
    </xf>
    <xf numFmtId="0" fontId="32" fillId="19" borderId="0" xfId="4" applyFont="1" applyFill="1" applyAlignment="1">
      <alignment horizontal="left" wrapText="1"/>
    </xf>
    <xf numFmtId="0" fontId="32" fillId="19" borderId="0" xfId="4" applyFont="1" applyFill="1" applyAlignment="1">
      <alignment wrapText="1"/>
    </xf>
    <xf numFmtId="2" fontId="2" fillId="16" borderId="9" xfId="4" applyNumberFormat="1" applyFont="1" applyFill="1" applyBorder="1" applyAlignment="1">
      <alignment horizontal="right" wrapText="1"/>
    </xf>
    <xf numFmtId="0" fontId="2" fillId="3" borderId="0" xfId="4" applyFont="1" applyFill="1" applyAlignment="1">
      <alignment horizontal="right" wrapText="1"/>
    </xf>
    <xf numFmtId="0" fontId="2" fillId="3" borderId="10" xfId="4" applyFont="1" applyFill="1" applyBorder="1" applyAlignment="1">
      <alignment horizontal="right" wrapText="1"/>
    </xf>
    <xf numFmtId="2" fontId="2" fillId="20" borderId="0" xfId="4" applyNumberFormat="1" applyFont="1" applyFill="1" applyAlignment="1">
      <alignment horizontal="right" wrapText="1"/>
    </xf>
    <xf numFmtId="2" fontId="2" fillId="6" borderId="0" xfId="4" applyNumberFormat="1" applyFont="1" applyFill="1" applyAlignment="1">
      <alignment horizontal="right" wrapText="1"/>
    </xf>
    <xf numFmtId="2" fontId="2" fillId="5" borderId="0" xfId="4" applyNumberFormat="1" applyFont="1" applyFill="1" applyAlignment="1">
      <alignment horizontal="right" wrapText="1"/>
    </xf>
    <xf numFmtId="0" fontId="32" fillId="21" borderId="0" xfId="4" applyFont="1" applyFill="1" applyAlignment="1">
      <alignment horizontal="center" wrapText="1"/>
    </xf>
    <xf numFmtId="0" fontId="2" fillId="34" borderId="0" xfId="4" applyFont="1" applyFill="1" applyAlignment="1">
      <alignment horizontal="center" wrapText="1"/>
    </xf>
    <xf numFmtId="0" fontId="32" fillId="22" borderId="0" xfId="4" applyFont="1" applyFill="1" applyAlignment="1">
      <alignment horizontal="center" wrapText="1"/>
    </xf>
    <xf numFmtId="0" fontId="32" fillId="20" borderId="0" xfId="4" applyFont="1" applyFill="1" applyAlignment="1">
      <alignment horizontal="center" wrapText="1"/>
    </xf>
    <xf numFmtId="0" fontId="32" fillId="20" borderId="0" xfId="4" applyFont="1" applyFill="1" applyAlignment="1">
      <alignment horizontal="right" wrapText="1"/>
    </xf>
    <xf numFmtId="0" fontId="32" fillId="22" borderId="0" xfId="4" applyFont="1" applyFill="1" applyAlignment="1">
      <alignment horizontal="right" wrapText="1"/>
    </xf>
    <xf numFmtId="0" fontId="2" fillId="22" borderId="0" xfId="4" applyFont="1" applyFill="1" applyAlignment="1">
      <alignment horizontal="center" wrapText="1"/>
    </xf>
    <xf numFmtId="0" fontId="2" fillId="20" borderId="10" xfId="4" applyFont="1" applyFill="1" applyBorder="1" applyAlignment="1">
      <alignment horizontal="center" wrapText="1"/>
    </xf>
    <xf numFmtId="0" fontId="32" fillId="20" borderId="10" xfId="4" applyFont="1" applyFill="1" applyBorder="1" applyAlignment="1">
      <alignment horizontal="right" wrapText="1"/>
    </xf>
    <xf numFmtId="0" fontId="32" fillId="19" borderId="0" xfId="4" applyFont="1" applyFill="1" applyAlignment="1">
      <alignment horizontal="center" wrapText="1"/>
    </xf>
    <xf numFmtId="0" fontId="32" fillId="19" borderId="10" xfId="4" applyFont="1" applyFill="1" applyBorder="1" applyAlignment="1">
      <alignment horizontal="right" wrapText="1"/>
    </xf>
    <xf numFmtId="0" fontId="2" fillId="19" borderId="0" xfId="4" applyFont="1" applyFill="1" applyAlignment="1">
      <alignment horizontal="center" wrapText="1"/>
    </xf>
    <xf numFmtId="0" fontId="3" fillId="0" borderId="0" xfId="4"/>
    <xf numFmtId="0" fontId="2" fillId="19" borderId="14" xfId="4" applyFont="1" applyFill="1" applyBorder="1"/>
    <xf numFmtId="14" fontId="32" fillId="0" borderId="14" xfId="4" applyNumberFormat="1" applyFont="1" applyBorder="1"/>
    <xf numFmtId="14" fontId="32" fillId="0" borderId="14" xfId="4" applyNumberFormat="1" applyFont="1" applyBorder="1" applyAlignment="1">
      <alignment horizontal="left"/>
    </xf>
    <xf numFmtId="0" fontId="32" fillId="0" borderId="14" xfId="4" applyFont="1" applyBorder="1"/>
    <xf numFmtId="0" fontId="32" fillId="0" borderId="14" xfId="4" applyFont="1" applyBorder="1" applyAlignment="1">
      <alignment horizontal="left"/>
    </xf>
    <xf numFmtId="2" fontId="27" fillId="0" borderId="14" xfId="4" applyNumberFormat="1" applyFont="1" applyBorder="1"/>
    <xf numFmtId="2" fontId="34" fillId="0" borderId="14" xfId="4" applyNumberFormat="1" applyFont="1" applyBorder="1"/>
    <xf numFmtId="0" fontId="32" fillId="0" borderId="14" xfId="4" applyFont="1" applyBorder="1" applyAlignment="1">
      <alignment horizontal="right"/>
    </xf>
    <xf numFmtId="1" fontId="32" fillId="0" borderId="14" xfId="4" applyNumberFormat="1" applyFont="1" applyBorder="1"/>
    <xf numFmtId="0" fontId="32" fillId="0" borderId="14" xfId="4" applyFont="1" applyBorder="1" applyAlignment="1">
      <alignment horizontal="center"/>
    </xf>
    <xf numFmtId="2" fontId="32" fillId="0" borderId="14" xfId="4" applyNumberFormat="1" applyFont="1" applyBorder="1"/>
    <xf numFmtId="2" fontId="2" fillId="0" borderId="14" xfId="4" applyNumberFormat="1" applyFont="1" applyBorder="1"/>
    <xf numFmtId="2" fontId="36" fillId="0" borderId="14" xfId="4" applyNumberFormat="1" applyFont="1" applyBorder="1"/>
    <xf numFmtId="0" fontId="27" fillId="19" borderId="14" xfId="4" applyFont="1" applyFill="1" applyBorder="1"/>
    <xf numFmtId="14" fontId="32" fillId="0" borderId="14" xfId="4" applyNumberFormat="1" applyFont="1" applyBorder="1" applyAlignment="1">
      <alignment horizontal="right"/>
    </xf>
    <xf numFmtId="2" fontId="33" fillId="0" borderId="14" xfId="4" applyNumberFormat="1" applyFont="1" applyBorder="1"/>
    <xf numFmtId="0" fontId="27" fillId="0" borderId="14" xfId="4" applyFont="1" applyBorder="1" applyAlignment="1">
      <alignment horizontal="right"/>
    </xf>
    <xf numFmtId="0" fontId="27" fillId="0" borderId="14" xfId="4" applyFont="1" applyBorder="1"/>
    <xf numFmtId="1" fontId="27" fillId="0" borderId="14" xfId="4" applyNumberFormat="1" applyFont="1" applyBorder="1"/>
    <xf numFmtId="0" fontId="27" fillId="0" borderId="14" xfId="4" applyFont="1" applyBorder="1" applyAlignment="1">
      <alignment horizontal="center"/>
    </xf>
    <xf numFmtId="0" fontId="2" fillId="0" borderId="0" xfId="4" applyFont="1"/>
    <xf numFmtId="0" fontId="32" fillId="0" borderId="14" xfId="4" applyFont="1" applyBorder="1" applyAlignment="1">
      <alignment horizontal="center" vertic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2" fillId="0" borderId="0" xfId="4" applyFont="1" applyAlignment="1">
      <alignment horizontal="left"/>
    </xf>
    <xf numFmtId="14" fontId="2" fillId="0" borderId="14" xfId="4" applyNumberFormat="1" applyFont="1" applyBorder="1" applyAlignment="1">
      <alignment horizontal="left"/>
    </xf>
    <xf numFmtId="0" fontId="2" fillId="0" borderId="14" xfId="4" applyFont="1" applyBorder="1"/>
    <xf numFmtId="0" fontId="3" fillId="19" borderId="0" xfId="4" applyFill="1"/>
    <xf numFmtId="0" fontId="1" fillId="21" borderId="0" xfId="6" applyFill="1" applyAlignment="1">
      <alignment horizontal="center" wrapText="1"/>
    </xf>
    <xf numFmtId="9" fontId="1" fillId="0" borderId="14" xfId="6" applyNumberFormat="1" applyBorder="1" applyAlignment="1">
      <alignment horizontal="center"/>
    </xf>
    <xf numFmtId="0" fontId="13" fillId="0" borderId="14" xfId="7" applyBorder="1" applyAlignment="1" applyProtection="1"/>
    <xf numFmtId="2" fontId="3" fillId="0" borderId="0" xfId="4" applyNumberFormat="1"/>
    <xf numFmtId="10" fontId="1" fillId="0" borderId="14" xfId="6" applyNumberFormat="1" applyBorder="1" applyAlignment="1">
      <alignment horizontal="center"/>
    </xf>
    <xf numFmtId="0" fontId="35" fillId="0" borderId="14" xfId="7" applyFont="1" applyBorder="1" applyAlignment="1" applyProtection="1"/>
    <xf numFmtId="0" fontId="1" fillId="0" borderId="14" xfId="6" applyBorder="1"/>
    <xf numFmtId="0" fontId="13" fillId="0" borderId="0" xfId="7" applyAlignment="1" applyProtection="1"/>
    <xf numFmtId="2" fontId="3" fillId="0" borderId="10" xfId="4" applyNumberFormat="1" applyBorder="1"/>
    <xf numFmtId="1" fontId="27" fillId="0" borderId="14" xfId="4" applyNumberFormat="1" applyFont="1" applyBorder="1" applyAlignment="1">
      <alignment horizontal="right"/>
    </xf>
    <xf numFmtId="0" fontId="26" fillId="16" borderId="23" xfId="0" applyFont="1" applyFill="1" applyBorder="1" applyAlignment="1" applyProtection="1">
      <alignment wrapText="1"/>
      <protection hidden="1"/>
    </xf>
    <xf numFmtId="0" fontId="26" fillId="16" borderId="12" xfId="0" applyFont="1" applyFill="1" applyBorder="1" applyAlignment="1" applyProtection="1">
      <alignment wrapText="1"/>
      <protection hidden="1"/>
    </xf>
    <xf numFmtId="0" fontId="26" fillId="16" borderId="14" xfId="0" applyFont="1" applyFill="1" applyBorder="1" applyAlignment="1" applyProtection="1">
      <alignment wrapText="1"/>
      <protection hidden="1"/>
    </xf>
    <xf numFmtId="0" fontId="26" fillId="16" borderId="21" xfId="0" applyFont="1" applyFill="1" applyBorder="1" applyAlignment="1" applyProtection="1">
      <alignment wrapText="1"/>
      <protection hidden="1"/>
    </xf>
    <xf numFmtId="0" fontId="25" fillId="16" borderId="14" xfId="0" applyFont="1" applyFill="1" applyBorder="1" applyAlignment="1" applyProtection="1">
      <alignment wrapText="1"/>
      <protection hidden="1"/>
    </xf>
    <xf numFmtId="0" fontId="24" fillId="16" borderId="14" xfId="0" applyFont="1" applyFill="1" applyBorder="1" applyAlignment="1" applyProtection="1">
      <alignment wrapText="1"/>
      <protection hidden="1"/>
    </xf>
    <xf numFmtId="0" fontId="24" fillId="16" borderId="21" xfId="0" applyFont="1" applyFill="1" applyBorder="1" applyAlignment="1" applyProtection="1">
      <alignment horizontal="center" wrapText="1"/>
      <protection hidden="1"/>
    </xf>
    <xf numFmtId="0" fontId="24" fillId="16" borderId="14" xfId="0" applyFont="1" applyFill="1" applyBorder="1" applyAlignment="1" applyProtection="1">
      <alignment horizontal="center" wrapText="1"/>
      <protection hidden="1"/>
    </xf>
    <xf numFmtId="0" fontId="25" fillId="16" borderId="14" xfId="0" applyFont="1" applyFill="1" applyBorder="1" applyAlignment="1" applyProtection="1">
      <alignment horizontal="center" wrapText="1"/>
      <protection hidden="1"/>
    </xf>
    <xf numFmtId="0" fontId="24" fillId="16" borderId="22" xfId="0" applyFont="1" applyFill="1" applyBorder="1" applyAlignment="1" applyProtection="1">
      <alignment horizontal="center" wrapText="1"/>
      <protection hidden="1"/>
    </xf>
    <xf numFmtId="0" fontId="24" fillId="16" borderId="12" xfId="0" applyFont="1" applyFill="1" applyBorder="1" applyAlignment="1" applyProtection="1">
      <alignment horizontal="center" wrapText="1"/>
      <protection hidden="1"/>
    </xf>
    <xf numFmtId="0" fontId="24" fillId="16" borderId="24" xfId="0" applyFont="1" applyFill="1" applyBorder="1" applyAlignment="1" applyProtection="1">
      <alignment horizontal="center" wrapText="1"/>
      <protection hidden="1"/>
    </xf>
    <xf numFmtId="0" fontId="25" fillId="40" borderId="14" xfId="0" applyFont="1" applyFill="1" applyBorder="1" applyAlignment="1" applyProtection="1">
      <alignment wrapText="1"/>
      <protection hidden="1"/>
    </xf>
    <xf numFmtId="0" fontId="25" fillId="40" borderId="14" xfId="0" applyFont="1" applyFill="1" applyBorder="1" applyAlignment="1" applyProtection="1">
      <alignment horizontal="center" wrapText="1"/>
      <protection hidden="1"/>
    </xf>
    <xf numFmtId="1" fontId="10" fillId="0" borderId="0" xfId="0" applyNumberFormat="1" applyFont="1" applyProtection="1">
      <protection hidden="1"/>
    </xf>
    <xf numFmtId="1" fontId="10" fillId="0" borderId="16" xfId="0" applyNumberFormat="1" applyFont="1" applyBorder="1" applyProtection="1">
      <protection hidden="1"/>
    </xf>
    <xf numFmtId="1" fontId="10" fillId="0" borderId="7" xfId="0" applyNumberFormat="1" applyFont="1" applyBorder="1" applyProtection="1">
      <protection hidden="1"/>
    </xf>
    <xf numFmtId="3" fontId="0" fillId="0" borderId="7" xfId="0" applyNumberFormat="1" applyBorder="1" applyProtection="1">
      <protection hidden="1"/>
    </xf>
    <xf numFmtId="3" fontId="10" fillId="41" borderId="0" xfId="0" applyNumberFormat="1" applyFont="1" applyFill="1" applyProtection="1">
      <protection hidden="1"/>
    </xf>
    <xf numFmtId="3" fontId="10" fillId="41" borderId="16" xfId="0" applyNumberFormat="1" applyFont="1" applyFill="1" applyBorder="1" applyProtection="1">
      <protection hidden="1"/>
    </xf>
    <xf numFmtId="3" fontId="10" fillId="41" borderId="7" xfId="0" applyNumberFormat="1" applyFont="1" applyFill="1" applyBorder="1" applyProtection="1">
      <protection hidden="1"/>
    </xf>
    <xf numFmtId="0" fontId="24" fillId="40" borderId="14" xfId="0" applyFont="1" applyFill="1" applyBorder="1" applyAlignment="1" applyProtection="1">
      <alignment wrapText="1"/>
      <protection hidden="1"/>
    </xf>
    <xf numFmtId="0" fontId="24" fillId="42" borderId="0" xfId="4" applyFont="1" applyFill="1" applyProtection="1">
      <protection hidden="1"/>
    </xf>
    <xf numFmtId="9" fontId="24" fillId="42" borderId="0" xfId="5" applyFont="1" applyFill="1" applyProtection="1">
      <protection hidden="1"/>
    </xf>
    <xf numFmtId="0" fontId="3" fillId="42" borderId="0" xfId="4" applyFill="1" applyProtection="1">
      <protection hidden="1"/>
    </xf>
    <xf numFmtId="0" fontId="25" fillId="42" borderId="0" xfId="4" applyFont="1" applyFill="1" applyProtection="1">
      <protection hidden="1"/>
    </xf>
    <xf numFmtId="9" fontId="0" fillId="42" borderId="0" xfId="5" applyFont="1" applyFill="1" applyProtection="1">
      <protection hidden="1"/>
    </xf>
    <xf numFmtId="0" fontId="24" fillId="43" borderId="0" xfId="4" applyFont="1" applyFill="1" applyProtection="1">
      <protection hidden="1"/>
    </xf>
    <xf numFmtId="9" fontId="24" fillId="43" borderId="0" xfId="5" applyFont="1" applyFill="1" applyProtection="1">
      <protection hidden="1"/>
    </xf>
    <xf numFmtId="0" fontId="3" fillId="43" borderId="0" xfId="4" applyFill="1" applyProtection="1">
      <protection hidden="1"/>
    </xf>
    <xf numFmtId="0" fontId="25" fillId="43" borderId="0" xfId="4" applyFont="1" applyFill="1" applyProtection="1">
      <protection hidden="1"/>
    </xf>
    <xf numFmtId="9" fontId="0" fillId="43" borderId="0" xfId="5" applyFont="1" applyFill="1" applyProtection="1">
      <protection hidden="1"/>
    </xf>
    <xf numFmtId="49" fontId="3" fillId="43" borderId="4" xfId="0" applyNumberFormat="1" applyFont="1" applyFill="1" applyBorder="1" applyProtection="1">
      <protection hidden="1"/>
    </xf>
    <xf numFmtId="49" fontId="3" fillId="43" borderId="5" xfId="0" applyNumberFormat="1" applyFont="1" applyFill="1" applyBorder="1" applyProtection="1">
      <protection hidden="1"/>
    </xf>
    <xf numFmtId="49" fontId="3" fillId="42" borderId="4" xfId="0" applyNumberFormat="1" applyFont="1" applyFill="1" applyBorder="1" applyProtection="1">
      <protection hidden="1"/>
    </xf>
    <xf numFmtId="49" fontId="3" fillId="42" borderId="5" xfId="0" applyNumberFormat="1" applyFont="1" applyFill="1" applyBorder="1" applyProtection="1">
      <protection hidden="1"/>
    </xf>
    <xf numFmtId="0" fontId="32" fillId="0" borderId="14" xfId="0" applyFont="1" applyBorder="1"/>
    <xf numFmtId="14" fontId="32" fillId="0" borderId="14" xfId="0" applyNumberFormat="1" applyFont="1" applyBorder="1" applyAlignment="1">
      <alignment horizontal="left"/>
    </xf>
    <xf numFmtId="14" fontId="32" fillId="0" borderId="14" xfId="0" applyNumberFormat="1" applyFont="1" applyBorder="1"/>
    <xf numFmtId="0" fontId="32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left"/>
    </xf>
    <xf numFmtId="0" fontId="13" fillId="0" borderId="0" xfId="1" applyBorder="1" applyAlignment="1" applyProtection="1"/>
    <xf numFmtId="0" fontId="32" fillId="0" borderId="14" xfId="0" applyFont="1" applyBorder="1" applyAlignment="1">
      <alignment horizontal="right"/>
    </xf>
    <xf numFmtId="2" fontId="32" fillId="0" borderId="14" xfId="0" applyNumberFormat="1" applyFont="1" applyBorder="1"/>
    <xf numFmtId="2" fontId="34" fillId="0" borderId="14" xfId="0" applyNumberFormat="1" applyFont="1" applyBorder="1"/>
    <xf numFmtId="3" fontId="24" fillId="0" borderId="25" xfId="0" applyNumberFormat="1" applyFont="1" applyBorder="1" applyProtection="1">
      <protection hidden="1"/>
    </xf>
    <xf numFmtId="3" fontId="24" fillId="0" borderId="0" xfId="0" applyNumberFormat="1" applyFont="1" applyProtection="1">
      <protection hidden="1"/>
    </xf>
    <xf numFmtId="0" fontId="24" fillId="40" borderId="14" xfId="0" applyFont="1" applyFill="1" applyBorder="1" applyAlignment="1" applyProtection="1">
      <alignment horizontal="center" wrapText="1"/>
      <protection hidden="1"/>
    </xf>
    <xf numFmtId="0" fontId="24" fillId="0" borderId="25" xfId="0" applyFont="1" applyBorder="1" applyProtection="1">
      <protection hidden="1"/>
    </xf>
    <xf numFmtId="0" fontId="24" fillId="0" borderId="10" xfId="0" applyFont="1" applyBorder="1" applyProtection="1">
      <protection hidden="1"/>
    </xf>
    <xf numFmtId="0" fontId="24" fillId="0" borderId="26" xfId="0" applyFont="1" applyBorder="1" applyProtection="1">
      <protection hidden="1"/>
    </xf>
    <xf numFmtId="0" fontId="24" fillId="0" borderId="27" xfId="0" applyFont="1" applyBorder="1" applyProtection="1">
      <protection hidden="1"/>
    </xf>
    <xf numFmtId="0" fontId="24" fillId="0" borderId="28" xfId="0" applyFont="1" applyBorder="1" applyProtection="1">
      <protection hidden="1"/>
    </xf>
    <xf numFmtId="3" fontId="25" fillId="41" borderId="0" xfId="0" applyNumberFormat="1" applyFont="1" applyFill="1" applyProtection="1">
      <protection hidden="1"/>
    </xf>
    <xf numFmtId="3" fontId="24" fillId="0" borderId="27" xfId="0" applyNumberFormat="1" applyFont="1" applyBorder="1" applyProtection="1">
      <protection hidden="1"/>
    </xf>
    <xf numFmtId="3" fontId="24" fillId="0" borderId="16" xfId="0" applyNumberFormat="1" applyFont="1" applyBorder="1" applyProtection="1">
      <protection hidden="1"/>
    </xf>
    <xf numFmtId="3" fontId="25" fillId="41" borderId="16" xfId="0" applyNumberFormat="1" applyFont="1" applyFill="1" applyBorder="1" applyProtection="1">
      <protection hidden="1"/>
    </xf>
    <xf numFmtId="0" fontId="0" fillId="42" borderId="0" xfId="0" applyFill="1"/>
    <xf numFmtId="2" fontId="3" fillId="0" borderId="16" xfId="0" applyNumberFormat="1" applyFont="1" applyBorder="1" applyProtection="1">
      <protection hidden="1"/>
    </xf>
    <xf numFmtId="2" fontId="3" fillId="0" borderId="7" xfId="0" applyNumberFormat="1" applyFont="1" applyBorder="1" applyProtection="1">
      <protection hidden="1"/>
    </xf>
    <xf numFmtId="0" fontId="0" fillId="30" borderId="0" xfId="0" applyFill="1"/>
    <xf numFmtId="0" fontId="4" fillId="30" borderId="1" xfId="0" applyFont="1" applyFill="1" applyBorder="1" applyProtection="1">
      <protection hidden="1"/>
    </xf>
    <xf numFmtId="0" fontId="3" fillId="30" borderId="2" xfId="0" applyFont="1" applyFill="1" applyBorder="1" applyProtection="1">
      <protection hidden="1"/>
    </xf>
    <xf numFmtId="0" fontId="3" fillId="30" borderId="3" xfId="0" applyFont="1" applyFill="1" applyBorder="1" applyProtection="1">
      <protection hidden="1"/>
    </xf>
    <xf numFmtId="0" fontId="3" fillId="30" borderId="4" xfId="0" applyFont="1" applyFill="1" applyBorder="1" applyProtection="1">
      <protection hidden="1"/>
    </xf>
    <xf numFmtId="0" fontId="3" fillId="30" borderId="0" xfId="0" applyFont="1" applyFill="1" applyProtection="1">
      <protection hidden="1"/>
    </xf>
    <xf numFmtId="0" fontId="3" fillId="30" borderId="5" xfId="0" applyFont="1" applyFill="1" applyBorder="1" applyProtection="1">
      <protection hidden="1"/>
    </xf>
    <xf numFmtId="0" fontId="3" fillId="30" borderId="6" xfId="0" applyFont="1" applyFill="1" applyBorder="1" applyProtection="1">
      <protection hidden="1"/>
    </xf>
    <xf numFmtId="0" fontId="3" fillId="30" borderId="7" xfId="0" applyFont="1" applyFill="1" applyBorder="1" applyProtection="1">
      <protection hidden="1"/>
    </xf>
    <xf numFmtId="0" fontId="3" fillId="30" borderId="8" xfId="0" applyFont="1" applyFill="1" applyBorder="1" applyProtection="1">
      <protection hidden="1"/>
    </xf>
    <xf numFmtId="0" fontId="0" fillId="30" borderId="2" xfId="0" applyFill="1" applyBorder="1" applyProtection="1">
      <protection hidden="1"/>
    </xf>
    <xf numFmtId="0" fontId="0" fillId="30" borderId="7" xfId="0" applyFill="1" applyBorder="1" applyProtection="1">
      <protection hidden="1"/>
    </xf>
    <xf numFmtId="0" fontId="0" fillId="30" borderId="8" xfId="0" applyFill="1" applyBorder="1" applyProtection="1">
      <protection hidden="1"/>
    </xf>
    <xf numFmtId="0" fontId="0" fillId="30" borderId="6" xfId="0" applyFill="1" applyBorder="1" applyProtection="1">
      <protection hidden="1"/>
    </xf>
    <xf numFmtId="14" fontId="32" fillId="19" borderId="0" xfId="4" applyNumberFormat="1" applyFont="1" applyFill="1" applyAlignment="1">
      <alignment horizontal="center" wrapText="1"/>
    </xf>
    <xf numFmtId="14" fontId="32" fillId="0" borderId="14" xfId="0" applyNumberFormat="1" applyFont="1" applyBorder="1" applyAlignment="1">
      <alignment horizontal="center"/>
    </xf>
    <xf numFmtId="14" fontId="32" fillId="0" borderId="14" xfId="0" applyNumberFormat="1" applyFont="1" applyBorder="1" applyAlignment="1">
      <alignment vertical="center"/>
    </xf>
    <xf numFmtId="0" fontId="32" fillId="0" borderId="14" xfId="0" applyFont="1" applyBorder="1" applyAlignment="1">
      <alignment horizontal="center" vertical="center"/>
    </xf>
    <xf numFmtId="0" fontId="32" fillId="0" borderId="0" xfId="0" applyFont="1" applyAlignment="1">
      <alignment horizontal="left"/>
    </xf>
    <xf numFmtId="1" fontId="32" fillId="0" borderId="14" xfId="0" applyNumberFormat="1" applyFont="1" applyBorder="1"/>
    <xf numFmtId="0" fontId="32" fillId="0" borderId="0" xfId="0" applyFont="1"/>
    <xf numFmtId="14" fontId="32" fillId="0" borderId="14" xfId="0" applyNumberFormat="1" applyFont="1" applyBorder="1" applyAlignment="1">
      <alignment horizontal="right"/>
    </xf>
    <xf numFmtId="2" fontId="33" fillId="0" borderId="14" xfId="0" applyNumberFormat="1" applyFont="1" applyBorder="1"/>
    <xf numFmtId="0" fontId="35" fillId="0" borderId="14" xfId="1" applyFont="1" applyBorder="1" applyAlignment="1" applyProtection="1"/>
    <xf numFmtId="0" fontId="35" fillId="0" borderId="0" xfId="1" applyFont="1" applyBorder="1" applyAlignment="1" applyProtection="1"/>
    <xf numFmtId="0" fontId="0" fillId="37" borderId="0" xfId="0" applyFill="1"/>
    <xf numFmtId="49" fontId="3" fillId="37" borderId="4" xfId="0" applyNumberFormat="1" applyFont="1" applyFill="1" applyBorder="1" applyProtection="1">
      <protection hidden="1"/>
    </xf>
    <xf numFmtId="49" fontId="3" fillId="37" borderId="5" xfId="0" applyNumberFormat="1" applyFont="1" applyFill="1" applyBorder="1" applyProtection="1">
      <protection hidden="1"/>
    </xf>
    <xf numFmtId="0" fontId="0" fillId="44" borderId="0" xfId="0" applyFill="1"/>
    <xf numFmtId="0" fontId="24" fillId="0" borderId="0" xfId="0" applyFont="1" applyProtection="1">
      <protection hidden="1"/>
    </xf>
    <xf numFmtId="2" fontId="2" fillId="0" borderId="0" xfId="0" applyNumberFormat="1" applyFont="1"/>
    <xf numFmtId="2" fontId="38" fillId="0" borderId="14" xfId="0" applyNumberFormat="1" applyFont="1" applyBorder="1"/>
    <xf numFmtId="14" fontId="32" fillId="44" borderId="14" xfId="0" applyNumberFormat="1" applyFont="1" applyFill="1" applyBorder="1" applyAlignment="1">
      <alignment vertical="center"/>
    </xf>
    <xf numFmtId="14" fontId="32" fillId="44" borderId="14" xfId="0" applyNumberFormat="1" applyFont="1" applyFill="1" applyBorder="1"/>
    <xf numFmtId="0" fontId="32" fillId="0" borderId="22" xfId="0" applyFont="1" applyBorder="1"/>
    <xf numFmtId="0" fontId="27" fillId="0" borderId="22" xfId="0" applyFont="1" applyBorder="1"/>
    <xf numFmtId="0" fontId="24" fillId="0" borderId="16" xfId="0" applyFont="1" applyBorder="1" applyProtection="1">
      <protection hidden="1"/>
    </xf>
    <xf numFmtId="0" fontId="24" fillId="0" borderId="29" xfId="0" applyFont="1" applyBorder="1" applyProtection="1">
      <protection hidden="1"/>
    </xf>
    <xf numFmtId="0" fontId="24" fillId="0" borderId="30" xfId="0" applyFont="1" applyBorder="1" applyProtection="1">
      <protection hidden="1"/>
    </xf>
    <xf numFmtId="3" fontId="24" fillId="0" borderId="29" xfId="0" applyNumberFormat="1" applyFont="1" applyBorder="1" applyProtection="1">
      <protection hidden="1"/>
    </xf>
    <xf numFmtId="3" fontId="24" fillId="0" borderId="7" xfId="0" applyNumberFormat="1" applyFont="1" applyBorder="1" applyProtection="1">
      <protection hidden="1"/>
    </xf>
    <xf numFmtId="3" fontId="25" fillId="41" borderId="7" xfId="0" applyNumberFormat="1" applyFont="1" applyFill="1" applyBorder="1" applyProtection="1">
      <protection hidden="1"/>
    </xf>
    <xf numFmtId="49" fontId="3" fillId="44" borderId="4" xfId="0" applyNumberFormat="1" applyFont="1" applyFill="1" applyBorder="1" applyProtection="1">
      <protection hidden="1"/>
    </xf>
    <xf numFmtId="49" fontId="3" fillId="44" borderId="5" xfId="0" applyNumberFormat="1" applyFont="1" applyFill="1" applyBorder="1" applyProtection="1">
      <protection hidden="1"/>
    </xf>
    <xf numFmtId="0" fontId="0" fillId="45" borderId="0" xfId="0" applyFill="1"/>
    <xf numFmtId="0" fontId="39" fillId="45" borderId="0" xfId="0" applyFont="1" applyFill="1"/>
    <xf numFmtId="49" fontId="39" fillId="45" borderId="4" xfId="0" applyNumberFormat="1" applyFont="1" applyFill="1" applyBorder="1" applyProtection="1">
      <protection hidden="1"/>
    </xf>
    <xf numFmtId="49" fontId="3" fillId="45" borderId="5" xfId="0" applyNumberFormat="1" applyFont="1" applyFill="1" applyBorder="1" applyProtection="1">
      <protection hidden="1"/>
    </xf>
    <xf numFmtId="0" fontId="32" fillId="0" borderId="14" xfId="0" applyFont="1" applyBorder="1" applyAlignment="1">
      <alignment vertical="center"/>
    </xf>
    <xf numFmtId="0" fontId="32" fillId="0" borderId="14" xfId="0" applyFont="1" applyBorder="1" applyAlignment="1">
      <alignment horizontal="left" vertical="center"/>
    </xf>
    <xf numFmtId="14" fontId="32" fillId="32" borderId="14" xfId="0" applyNumberFormat="1" applyFont="1" applyFill="1" applyBorder="1" applyAlignment="1">
      <alignment vertical="center"/>
    </xf>
    <xf numFmtId="38" fontId="32" fillId="0" borderId="14" xfId="0" applyNumberFormat="1" applyFont="1" applyBorder="1" applyAlignment="1">
      <alignment horizontal="center"/>
    </xf>
    <xf numFmtId="2" fontId="32" fillId="0" borderId="9" xfId="0" applyNumberFormat="1" applyFont="1" applyBorder="1"/>
    <xf numFmtId="0" fontId="13" fillId="0" borderId="14" xfId="1" applyBorder="1" applyAlignment="1" applyProtection="1">
      <alignment horizontal="left"/>
    </xf>
    <xf numFmtId="0" fontId="41" fillId="0" borderId="0" xfId="0" applyFont="1"/>
    <xf numFmtId="0" fontId="0" fillId="28" borderId="0" xfId="0" applyFill="1"/>
    <xf numFmtId="0" fontId="41" fillId="28" borderId="0" xfId="0" applyFont="1" applyFill="1"/>
    <xf numFmtId="49" fontId="41" fillId="28" borderId="4" xfId="0" applyNumberFormat="1" applyFont="1" applyFill="1" applyBorder="1" applyProtection="1">
      <protection hidden="1"/>
    </xf>
    <xf numFmtId="49" fontId="3" fillId="28" borderId="5" xfId="0" applyNumberFormat="1" applyFont="1" applyFill="1" applyBorder="1" applyProtection="1">
      <protection hidden="1"/>
    </xf>
    <xf numFmtId="0" fontId="25" fillId="16" borderId="31" xfId="0" applyFont="1" applyFill="1" applyBorder="1" applyAlignment="1" applyProtection="1">
      <alignment horizontal="center" wrapText="1"/>
      <protection hidden="1"/>
    </xf>
    <xf numFmtId="3" fontId="25" fillId="41" borderId="5" xfId="0" applyNumberFormat="1" applyFont="1" applyFill="1" applyBorder="1" applyProtection="1">
      <protection hidden="1"/>
    </xf>
    <xf numFmtId="3" fontId="25" fillId="41" borderId="18" xfId="0" applyNumberFormat="1" applyFont="1" applyFill="1" applyBorder="1" applyProtection="1">
      <protection hidden="1"/>
    </xf>
    <xf numFmtId="3" fontId="25" fillId="41" borderId="8" xfId="0" applyNumberFormat="1" applyFont="1" applyFill="1" applyBorder="1" applyProtection="1">
      <protection hidden="1"/>
    </xf>
    <xf numFmtId="14" fontId="32" fillId="0" borderId="0" xfId="0" applyNumberFormat="1" applyFont="1" applyAlignment="1">
      <alignment vertical="center"/>
    </xf>
    <xf numFmtId="14" fontId="32" fillId="0" borderId="0" xfId="0" applyNumberFormat="1" applyFont="1" applyAlignment="1">
      <alignment horizontal="left"/>
    </xf>
    <xf numFmtId="14" fontId="32" fillId="0" borderId="0" xfId="0" applyNumberFormat="1" applyFont="1"/>
    <xf numFmtId="2" fontId="27" fillId="0" borderId="0" xfId="0" applyNumberFormat="1" applyFont="1"/>
    <xf numFmtId="0" fontId="32" fillId="0" borderId="0" xfId="0" applyFont="1" applyAlignment="1">
      <alignment horizontal="right"/>
    </xf>
    <xf numFmtId="0" fontId="1" fillId="0" borderId="0" xfId="6"/>
    <xf numFmtId="2" fontId="33" fillId="0" borderId="0" xfId="0" applyNumberFormat="1" applyFont="1"/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9" fontId="1" fillId="0" borderId="0" xfId="6" applyNumberFormat="1" applyAlignment="1">
      <alignment horizontal="center"/>
    </xf>
    <xf numFmtId="1" fontId="32" fillId="0" borderId="0" xfId="4" applyNumberFormat="1" applyFont="1"/>
    <xf numFmtId="10" fontId="1" fillId="0" borderId="0" xfId="6" applyNumberFormat="1" applyAlignment="1">
      <alignment horizontal="center"/>
    </xf>
    <xf numFmtId="0" fontId="39" fillId="46" borderId="0" xfId="0" applyFont="1" applyFill="1"/>
    <xf numFmtId="0" fontId="0" fillId="46" borderId="0" xfId="0" applyFill="1"/>
    <xf numFmtId="0" fontId="10" fillId="30" borderId="0" xfId="0" applyFont="1" applyFill="1" applyProtection="1">
      <protection hidden="1"/>
    </xf>
    <xf numFmtId="49" fontId="39" fillId="46" borderId="4" xfId="0" applyNumberFormat="1" applyFont="1" applyFill="1" applyBorder="1" applyProtection="1">
      <protection hidden="1"/>
    </xf>
    <xf numFmtId="49" fontId="39" fillId="46" borderId="5" xfId="0" applyNumberFormat="1" applyFont="1" applyFill="1" applyBorder="1" applyProtection="1">
      <protection hidden="1"/>
    </xf>
    <xf numFmtId="0" fontId="10" fillId="0" borderId="14" xfId="0" applyFont="1" applyBorder="1"/>
    <xf numFmtId="14" fontId="32" fillId="47" borderId="14" xfId="0" applyNumberFormat="1" applyFont="1" applyFill="1" applyBorder="1" applyAlignment="1">
      <alignment vertical="center"/>
    </xf>
    <xf numFmtId="1" fontId="32" fillId="32" borderId="14" xfId="4" applyNumberFormat="1" applyFont="1" applyFill="1" applyBorder="1"/>
    <xf numFmtId="0" fontId="1" fillId="32" borderId="14" xfId="6" applyFill="1" applyBorder="1"/>
    <xf numFmtId="0" fontId="32" fillId="32" borderId="14" xfId="0" applyFont="1" applyFill="1" applyBorder="1"/>
    <xf numFmtId="0" fontId="24" fillId="0" borderId="32" xfId="0" applyFont="1" applyBorder="1" applyProtection="1">
      <protection hidden="1"/>
    </xf>
    <xf numFmtId="0" fontId="24" fillId="0" borderId="15" xfId="0" applyFont="1" applyBorder="1" applyProtection="1">
      <protection hidden="1"/>
    </xf>
    <xf numFmtId="0" fontId="0" fillId="0" borderId="32" xfId="0" applyBorder="1" applyProtection="1">
      <protection hidden="1"/>
    </xf>
    <xf numFmtId="0" fontId="0" fillId="0" borderId="10" xfId="0" applyBorder="1" applyProtection="1">
      <protection hidden="1"/>
    </xf>
    <xf numFmtId="0" fontId="0" fillId="0" borderId="28" xfId="0" applyBorder="1" applyProtection="1">
      <protection hidden="1"/>
    </xf>
    <xf numFmtId="0" fontId="0" fillId="0" borderId="30" xfId="0" applyBorder="1" applyProtection="1">
      <protection hidden="1"/>
    </xf>
    <xf numFmtId="0" fontId="24" fillId="0" borderId="7" xfId="0" applyFont="1" applyBorder="1" applyProtection="1">
      <protection hidden="1"/>
    </xf>
    <xf numFmtId="0" fontId="10" fillId="0" borderId="0" xfId="0" applyFont="1"/>
  </cellXfs>
  <cellStyles count="8">
    <cellStyle name="Comma 2 2" xfId="2" xr:uid="{00000000-0005-0000-0000-000000000000}"/>
    <cellStyle name="Followed Hyperlink" xfId="3" builtinId="9" hidden="1"/>
    <cellStyle name="Hyperlink" xfId="1" builtinId="8"/>
    <cellStyle name="Hyperlink 2" xfId="7" xr:uid="{23FE5487-AB10-A245-80F1-A3B63FC77D3B}"/>
    <cellStyle name="Normal" xfId="0" builtinId="0"/>
    <cellStyle name="Normal 2" xfId="4" xr:uid="{83EF2FA3-E5DD-B644-AE92-DFC21B5B78C6}"/>
    <cellStyle name="Normal 3" xfId="6" xr:uid="{B9FD71BB-E466-A848-A18F-14567979BA92}"/>
    <cellStyle name="Per cent 2" xfId="5" xr:uid="{30A76122-C401-6543-847E-F961CC0FBC40}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FA4DE"/>
      <color rgb="FFB0E8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101600</xdr:colOff>
      <xdr:row>0</xdr:row>
      <xdr:rowOff>38100</xdr:rowOff>
    </xdr:from>
    <xdr:to>
      <xdr:col>20</xdr:col>
      <xdr:colOff>762000</xdr:colOff>
      <xdr:row>6</xdr:row>
      <xdr:rowOff>12700</xdr:rowOff>
    </xdr:to>
    <xdr:pic>
      <xdr:nvPicPr>
        <xdr:cNvPr id="3" name="Picture 35" descr="Alviss-Consulting-Logo-Inline Resized for web.jpg">
          <a:extLst>
            <a:ext uri="{FF2B5EF4-FFF2-40B4-BE49-F238E27FC236}">
              <a16:creationId xmlns:a16="http://schemas.microsoft.com/office/drawing/2014/main" id="{8FA27523-347E-974F-93D9-CC5352D9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09700" y="38100"/>
          <a:ext cx="2311400" cy="1003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203200</xdr:colOff>
      <xdr:row>1</xdr:row>
      <xdr:rowOff>25401</xdr:rowOff>
    </xdr:from>
    <xdr:to>
      <xdr:col>17</xdr:col>
      <xdr:colOff>166198</xdr:colOff>
      <xdr:row>6</xdr:row>
      <xdr:rowOff>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8BE2BF-4CFE-924F-842A-DB9C483B0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203201"/>
          <a:ext cx="4890598" cy="825500"/>
        </a:xfrm>
        <a:prstGeom prst="rect">
          <a:avLst/>
        </a:prstGeom>
      </xdr:spPr>
    </xdr:pic>
    <xdr:clientData/>
  </xdr:twoCellAnchor>
  <xdr:twoCellAnchor>
    <xdr:from>
      <xdr:col>22</xdr:col>
      <xdr:colOff>393700</xdr:colOff>
      <xdr:row>25</xdr:row>
      <xdr:rowOff>152400</xdr:rowOff>
    </xdr:from>
    <xdr:to>
      <xdr:col>28</xdr:col>
      <xdr:colOff>25400</xdr:colOff>
      <xdr:row>51</xdr:row>
      <xdr:rowOff>114300</xdr:rowOff>
    </xdr:to>
    <xdr:pic>
      <xdr:nvPicPr>
        <xdr:cNvPr id="5" name="Picture 101">
          <a:extLst>
            <a:ext uri="{FF2B5EF4-FFF2-40B4-BE49-F238E27FC236}">
              <a16:creationId xmlns:a16="http://schemas.microsoft.com/office/drawing/2014/main" id="{A832569D-1A1E-F243-9797-17C6E9BD5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703800" y="4368800"/>
          <a:ext cx="3632200" cy="433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0</xdr:colOff>
      <xdr:row>100</xdr:row>
      <xdr:rowOff>0</xdr:rowOff>
    </xdr:from>
    <xdr:to>
      <xdr:col>8</xdr:col>
      <xdr:colOff>685800</xdr:colOff>
      <xdr:row>102</xdr:row>
      <xdr:rowOff>12700</xdr:rowOff>
    </xdr:to>
    <xdr:sp macro="" textlink="">
      <xdr:nvSpPr>
        <xdr:cNvPr id="30780" name="Text Box 60" hidden="1">
          <a:extLst>
            <a:ext uri="{FF2B5EF4-FFF2-40B4-BE49-F238E27FC236}">
              <a16:creationId xmlns:a16="http://schemas.microsoft.com/office/drawing/2014/main" id="{00000000-0008-0000-0A00-00003C780000}"/>
            </a:ext>
          </a:extLst>
        </xdr:cNvPr>
        <xdr:cNvSpPr txBox="1">
          <a:spLocks noChangeArrowheads="1"/>
        </xdr:cNvSpPr>
      </xdr:nvSpPr>
      <xdr:spPr bwMode="auto">
        <a:xfrm>
          <a:off x="6680200" y="16510000"/>
          <a:ext cx="15748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7</xdr:col>
      <xdr:colOff>0</xdr:colOff>
      <xdr:row>7</xdr:row>
      <xdr:rowOff>0</xdr:rowOff>
    </xdr:from>
    <xdr:to>
      <xdr:col>8</xdr:col>
      <xdr:colOff>698500</xdr:colOff>
      <xdr:row>9</xdr:row>
      <xdr:rowOff>12700</xdr:rowOff>
    </xdr:to>
    <xdr:sp macro="" textlink="">
      <xdr:nvSpPr>
        <xdr:cNvPr id="30779" name="Text Box 59" hidden="1">
          <a:extLst>
            <a:ext uri="{FF2B5EF4-FFF2-40B4-BE49-F238E27FC236}">
              <a16:creationId xmlns:a16="http://schemas.microsoft.com/office/drawing/2014/main" id="{00000000-0008-0000-0A00-00003B780000}"/>
            </a:ext>
          </a:extLst>
        </xdr:cNvPr>
        <xdr:cNvSpPr txBox="1">
          <a:spLocks noChangeArrowheads="1"/>
        </xdr:cNvSpPr>
      </xdr:nvSpPr>
      <xdr:spPr bwMode="auto">
        <a:xfrm>
          <a:off x="6680200" y="1155700"/>
          <a:ext cx="15875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0</xdr:colOff>
      <xdr:row>31</xdr:row>
      <xdr:rowOff>0</xdr:rowOff>
    </xdr:from>
    <xdr:to>
      <xdr:col>9</xdr:col>
      <xdr:colOff>444500</xdr:colOff>
      <xdr:row>39</xdr:row>
      <xdr:rowOff>63500</xdr:rowOff>
    </xdr:to>
    <xdr:sp macro="" textlink="">
      <xdr:nvSpPr>
        <xdr:cNvPr id="36996" name="Text Box 132" hidden="1">
          <a:extLst>
            <a:ext uri="{FF2B5EF4-FFF2-40B4-BE49-F238E27FC236}">
              <a16:creationId xmlns:a16="http://schemas.microsoft.com/office/drawing/2014/main" id="{00000000-0008-0000-2100-000084900000}"/>
            </a:ext>
          </a:extLst>
        </xdr:cNvPr>
        <xdr:cNvSpPr txBox="1">
          <a:spLocks noChangeArrowheads="1"/>
        </xdr:cNvSpPr>
      </xdr:nvSpPr>
      <xdr:spPr bwMode="auto">
        <a:xfrm>
          <a:off x="6121400" y="5118100"/>
          <a:ext cx="1333500" cy="13843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7</xdr:col>
      <xdr:colOff>0</xdr:colOff>
      <xdr:row>47</xdr:row>
      <xdr:rowOff>0</xdr:rowOff>
    </xdr:from>
    <xdr:to>
      <xdr:col>8</xdr:col>
      <xdr:colOff>711200</xdr:colOff>
      <xdr:row>49</xdr:row>
      <xdr:rowOff>12700</xdr:rowOff>
    </xdr:to>
    <xdr:sp macro="" textlink="">
      <xdr:nvSpPr>
        <xdr:cNvPr id="36994" name="Text Box 130" hidden="1">
          <a:extLst>
            <a:ext uri="{FF2B5EF4-FFF2-40B4-BE49-F238E27FC236}">
              <a16:creationId xmlns:a16="http://schemas.microsoft.com/office/drawing/2014/main" id="{00000000-0008-0000-2100-000082900000}"/>
            </a:ext>
          </a:extLst>
        </xdr:cNvPr>
        <xdr:cNvSpPr txBox="1">
          <a:spLocks noChangeArrowheads="1"/>
        </xdr:cNvSpPr>
      </xdr:nvSpPr>
      <xdr:spPr bwMode="auto">
        <a:xfrm>
          <a:off x="5232400" y="7759700"/>
          <a:ext cx="16002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8</xdr:col>
      <xdr:colOff>777875</xdr:colOff>
      <xdr:row>47</xdr:row>
      <xdr:rowOff>0</xdr:rowOff>
    </xdr:from>
    <xdr:to>
      <xdr:col>10</xdr:col>
      <xdr:colOff>698500</xdr:colOff>
      <xdr:row>53</xdr:row>
      <xdr:rowOff>101600</xdr:rowOff>
    </xdr:to>
    <xdr:sp macro="" textlink="">
      <xdr:nvSpPr>
        <xdr:cNvPr id="36992" name="Text Box 128" hidden="1">
          <a:extLst>
            <a:ext uri="{FF2B5EF4-FFF2-40B4-BE49-F238E27FC236}">
              <a16:creationId xmlns:a16="http://schemas.microsoft.com/office/drawing/2014/main" id="{00000000-0008-0000-2100-000080900000}"/>
            </a:ext>
          </a:extLst>
        </xdr:cNvPr>
        <xdr:cNvSpPr txBox="1">
          <a:spLocks noChangeArrowheads="1"/>
        </xdr:cNvSpPr>
      </xdr:nvSpPr>
      <xdr:spPr bwMode="auto">
        <a:xfrm>
          <a:off x="7010400" y="7759700"/>
          <a:ext cx="1587500" cy="10922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7</xdr:col>
      <xdr:colOff>777875</xdr:colOff>
      <xdr:row>4</xdr:row>
      <xdr:rowOff>0</xdr:rowOff>
    </xdr:from>
    <xdr:to>
      <xdr:col>9</xdr:col>
      <xdr:colOff>698500</xdr:colOff>
      <xdr:row>6</xdr:row>
      <xdr:rowOff>12700</xdr:rowOff>
    </xdr:to>
    <xdr:sp macro="" textlink="">
      <xdr:nvSpPr>
        <xdr:cNvPr id="36983" name="Text Box 119" hidden="1">
          <a:extLst>
            <a:ext uri="{FF2B5EF4-FFF2-40B4-BE49-F238E27FC236}">
              <a16:creationId xmlns:a16="http://schemas.microsoft.com/office/drawing/2014/main" id="{00000000-0008-0000-2100-000077900000}"/>
            </a:ext>
          </a:extLst>
        </xdr:cNvPr>
        <xdr:cNvSpPr txBox="1">
          <a:spLocks noChangeArrowheads="1"/>
        </xdr:cNvSpPr>
      </xdr:nvSpPr>
      <xdr:spPr bwMode="auto">
        <a:xfrm>
          <a:off x="6121400" y="660400"/>
          <a:ext cx="15875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3175</xdr:colOff>
      <xdr:row>9</xdr:row>
      <xdr:rowOff>0</xdr:rowOff>
    </xdr:from>
    <xdr:to>
      <xdr:col>9</xdr:col>
      <xdr:colOff>685800</xdr:colOff>
      <xdr:row>14</xdr:row>
      <xdr:rowOff>127000</xdr:rowOff>
    </xdr:to>
    <xdr:sp macro="" textlink="">
      <xdr:nvSpPr>
        <xdr:cNvPr id="37932" name="Text Box 44" hidden="1">
          <a:extLst>
            <a:ext uri="{FF2B5EF4-FFF2-40B4-BE49-F238E27FC236}">
              <a16:creationId xmlns:a16="http://schemas.microsoft.com/office/drawing/2014/main" id="{00000000-0008-0000-2200-00002C940000}"/>
            </a:ext>
          </a:extLst>
        </xdr:cNvPr>
        <xdr:cNvSpPr txBox="1">
          <a:spLocks noChangeArrowheads="1"/>
        </xdr:cNvSpPr>
      </xdr:nvSpPr>
      <xdr:spPr bwMode="auto">
        <a:xfrm>
          <a:off x="6121400" y="1485900"/>
          <a:ext cx="1574800" cy="9525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12</xdr:col>
      <xdr:colOff>3175</xdr:colOff>
      <xdr:row>9</xdr:row>
      <xdr:rowOff>0</xdr:rowOff>
    </xdr:from>
    <xdr:to>
      <xdr:col>13</xdr:col>
      <xdr:colOff>749300</xdr:colOff>
      <xdr:row>12</xdr:row>
      <xdr:rowOff>0</xdr:rowOff>
    </xdr:to>
    <xdr:sp macro="" textlink="">
      <xdr:nvSpPr>
        <xdr:cNvPr id="37931" name="Text Box 43" hidden="1">
          <a:extLst>
            <a:ext uri="{FF2B5EF4-FFF2-40B4-BE49-F238E27FC236}">
              <a16:creationId xmlns:a16="http://schemas.microsoft.com/office/drawing/2014/main" id="{00000000-0008-0000-2200-00002B940000}"/>
            </a:ext>
          </a:extLst>
        </xdr:cNvPr>
        <xdr:cNvSpPr txBox="1">
          <a:spLocks noChangeArrowheads="1"/>
        </xdr:cNvSpPr>
      </xdr:nvSpPr>
      <xdr:spPr bwMode="auto">
        <a:xfrm>
          <a:off x="9550400" y="1485900"/>
          <a:ext cx="1574800" cy="4953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13</xdr:col>
      <xdr:colOff>0</xdr:colOff>
      <xdr:row>9</xdr:row>
      <xdr:rowOff>0</xdr:rowOff>
    </xdr:from>
    <xdr:to>
      <xdr:col>14</xdr:col>
      <xdr:colOff>749300</xdr:colOff>
      <xdr:row>14</xdr:row>
      <xdr:rowOff>139700</xdr:rowOff>
    </xdr:to>
    <xdr:sp macro="" textlink="">
      <xdr:nvSpPr>
        <xdr:cNvPr id="37930" name="Text Box 42" hidden="1">
          <a:extLst>
            <a:ext uri="{FF2B5EF4-FFF2-40B4-BE49-F238E27FC236}">
              <a16:creationId xmlns:a16="http://schemas.microsoft.com/office/drawing/2014/main" id="{00000000-0008-0000-2200-00002A940000}"/>
            </a:ext>
          </a:extLst>
        </xdr:cNvPr>
        <xdr:cNvSpPr txBox="1">
          <a:spLocks noChangeArrowheads="1"/>
        </xdr:cNvSpPr>
      </xdr:nvSpPr>
      <xdr:spPr bwMode="auto">
        <a:xfrm>
          <a:off x="10375900" y="1485900"/>
          <a:ext cx="1574800" cy="9652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6</xdr:col>
      <xdr:colOff>0</xdr:colOff>
      <xdr:row>10</xdr:row>
      <xdr:rowOff>0</xdr:rowOff>
    </xdr:from>
    <xdr:to>
      <xdr:col>7</xdr:col>
      <xdr:colOff>444500</xdr:colOff>
      <xdr:row>12</xdr:row>
      <xdr:rowOff>12700</xdr:rowOff>
    </xdr:to>
    <xdr:sp macro="" textlink="">
      <xdr:nvSpPr>
        <xdr:cNvPr id="37929" name="Text Box 41" hidden="1">
          <a:extLst>
            <a:ext uri="{FF2B5EF4-FFF2-40B4-BE49-F238E27FC236}">
              <a16:creationId xmlns:a16="http://schemas.microsoft.com/office/drawing/2014/main" id="{00000000-0008-0000-2200-000029940000}"/>
            </a:ext>
          </a:extLst>
        </xdr:cNvPr>
        <xdr:cNvSpPr txBox="1">
          <a:spLocks noChangeArrowheads="1"/>
        </xdr:cNvSpPr>
      </xdr:nvSpPr>
      <xdr:spPr bwMode="auto">
        <a:xfrm>
          <a:off x="4343400" y="1651000"/>
          <a:ext cx="13335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8</xdr:col>
      <xdr:colOff>0</xdr:colOff>
      <xdr:row>10</xdr:row>
      <xdr:rowOff>0</xdr:rowOff>
    </xdr:from>
    <xdr:to>
      <xdr:col>9</xdr:col>
      <xdr:colOff>444500</xdr:colOff>
      <xdr:row>19</xdr:row>
      <xdr:rowOff>63500</xdr:rowOff>
    </xdr:to>
    <xdr:sp macro="" textlink="">
      <xdr:nvSpPr>
        <xdr:cNvPr id="37928" name="Text Box 40" hidden="1">
          <a:extLst>
            <a:ext uri="{FF2B5EF4-FFF2-40B4-BE49-F238E27FC236}">
              <a16:creationId xmlns:a16="http://schemas.microsoft.com/office/drawing/2014/main" id="{00000000-0008-0000-2200-000028940000}"/>
            </a:ext>
          </a:extLst>
        </xdr:cNvPr>
        <xdr:cNvSpPr txBox="1">
          <a:spLocks noChangeArrowheads="1"/>
        </xdr:cNvSpPr>
      </xdr:nvSpPr>
      <xdr:spPr bwMode="auto">
        <a:xfrm>
          <a:off x="6121400" y="1651000"/>
          <a:ext cx="1333500" cy="15494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9</xdr:col>
      <xdr:colOff>0</xdr:colOff>
      <xdr:row>10</xdr:row>
      <xdr:rowOff>0</xdr:rowOff>
    </xdr:from>
    <xdr:to>
      <xdr:col>10</xdr:col>
      <xdr:colOff>444500</xdr:colOff>
      <xdr:row>13</xdr:row>
      <xdr:rowOff>0</xdr:rowOff>
    </xdr:to>
    <xdr:sp macro="" textlink="">
      <xdr:nvSpPr>
        <xdr:cNvPr id="37927" name="Text Box 39" hidden="1">
          <a:extLst>
            <a:ext uri="{FF2B5EF4-FFF2-40B4-BE49-F238E27FC236}">
              <a16:creationId xmlns:a16="http://schemas.microsoft.com/office/drawing/2014/main" id="{00000000-0008-0000-2200-000027940000}"/>
            </a:ext>
          </a:extLst>
        </xdr:cNvPr>
        <xdr:cNvSpPr txBox="1">
          <a:spLocks noChangeArrowheads="1"/>
        </xdr:cNvSpPr>
      </xdr:nvSpPr>
      <xdr:spPr bwMode="auto">
        <a:xfrm>
          <a:off x="7010400" y="1651000"/>
          <a:ext cx="1333500" cy="4953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12</xdr:col>
      <xdr:colOff>3175</xdr:colOff>
      <xdr:row>10</xdr:row>
      <xdr:rowOff>0</xdr:rowOff>
    </xdr:from>
    <xdr:to>
      <xdr:col>13</xdr:col>
      <xdr:colOff>749300</xdr:colOff>
      <xdr:row>14</xdr:row>
      <xdr:rowOff>50800</xdr:rowOff>
    </xdr:to>
    <xdr:sp macro="" textlink="">
      <xdr:nvSpPr>
        <xdr:cNvPr id="37926" name="Text Box 38" hidden="1">
          <a:extLst>
            <a:ext uri="{FF2B5EF4-FFF2-40B4-BE49-F238E27FC236}">
              <a16:creationId xmlns:a16="http://schemas.microsoft.com/office/drawing/2014/main" id="{00000000-0008-0000-2200-000026940000}"/>
            </a:ext>
          </a:extLst>
        </xdr:cNvPr>
        <xdr:cNvSpPr txBox="1">
          <a:spLocks noChangeArrowheads="1"/>
        </xdr:cNvSpPr>
      </xdr:nvSpPr>
      <xdr:spPr bwMode="auto">
        <a:xfrm>
          <a:off x="9550400" y="1651000"/>
          <a:ext cx="1574800" cy="7112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13</xdr:col>
      <xdr:colOff>0</xdr:colOff>
      <xdr:row>10</xdr:row>
      <xdr:rowOff>0</xdr:rowOff>
    </xdr:from>
    <xdr:to>
      <xdr:col>14</xdr:col>
      <xdr:colOff>508000</xdr:colOff>
      <xdr:row>12</xdr:row>
      <xdr:rowOff>12700</xdr:rowOff>
    </xdr:to>
    <xdr:sp macro="" textlink="">
      <xdr:nvSpPr>
        <xdr:cNvPr id="37925" name="Text Box 37" hidden="1">
          <a:extLst>
            <a:ext uri="{FF2B5EF4-FFF2-40B4-BE49-F238E27FC236}">
              <a16:creationId xmlns:a16="http://schemas.microsoft.com/office/drawing/2014/main" id="{00000000-0008-0000-2200-000025940000}"/>
            </a:ext>
          </a:extLst>
        </xdr:cNvPr>
        <xdr:cNvSpPr txBox="1">
          <a:spLocks noChangeArrowheads="1"/>
        </xdr:cNvSpPr>
      </xdr:nvSpPr>
      <xdr:spPr bwMode="auto">
        <a:xfrm>
          <a:off x="10375900" y="1651000"/>
          <a:ext cx="13335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7</xdr:col>
      <xdr:colOff>0</xdr:colOff>
      <xdr:row>25</xdr:row>
      <xdr:rowOff>0</xdr:rowOff>
    </xdr:from>
    <xdr:to>
      <xdr:col>8</xdr:col>
      <xdr:colOff>444500</xdr:colOff>
      <xdr:row>27</xdr:row>
      <xdr:rowOff>12700</xdr:rowOff>
    </xdr:to>
    <xdr:sp macro="" textlink="">
      <xdr:nvSpPr>
        <xdr:cNvPr id="37924" name="Text Box 36" hidden="1">
          <a:extLst>
            <a:ext uri="{FF2B5EF4-FFF2-40B4-BE49-F238E27FC236}">
              <a16:creationId xmlns:a16="http://schemas.microsoft.com/office/drawing/2014/main" id="{00000000-0008-0000-2200-000024940000}"/>
            </a:ext>
          </a:extLst>
        </xdr:cNvPr>
        <xdr:cNvSpPr txBox="1">
          <a:spLocks noChangeArrowheads="1"/>
        </xdr:cNvSpPr>
      </xdr:nvSpPr>
      <xdr:spPr bwMode="auto">
        <a:xfrm>
          <a:off x="5232400" y="4127500"/>
          <a:ext cx="13335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6</xdr:col>
      <xdr:colOff>0</xdr:colOff>
      <xdr:row>26</xdr:row>
      <xdr:rowOff>0</xdr:rowOff>
    </xdr:from>
    <xdr:to>
      <xdr:col>7</xdr:col>
      <xdr:colOff>444500</xdr:colOff>
      <xdr:row>28</xdr:row>
      <xdr:rowOff>12700</xdr:rowOff>
    </xdr:to>
    <xdr:sp macro="" textlink="">
      <xdr:nvSpPr>
        <xdr:cNvPr id="37922" name="Text Box 34" hidden="1">
          <a:extLst>
            <a:ext uri="{FF2B5EF4-FFF2-40B4-BE49-F238E27FC236}">
              <a16:creationId xmlns:a16="http://schemas.microsoft.com/office/drawing/2014/main" id="{00000000-0008-0000-2200-000022940000}"/>
            </a:ext>
          </a:extLst>
        </xdr:cNvPr>
        <xdr:cNvSpPr txBox="1">
          <a:spLocks noChangeArrowheads="1"/>
        </xdr:cNvSpPr>
      </xdr:nvSpPr>
      <xdr:spPr bwMode="auto">
        <a:xfrm>
          <a:off x="4343400" y="4292600"/>
          <a:ext cx="13335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12</xdr:col>
      <xdr:colOff>3175</xdr:colOff>
      <xdr:row>42</xdr:row>
      <xdr:rowOff>0</xdr:rowOff>
    </xdr:from>
    <xdr:to>
      <xdr:col>13</xdr:col>
      <xdr:colOff>749300</xdr:colOff>
      <xdr:row>46</xdr:row>
      <xdr:rowOff>50800</xdr:rowOff>
    </xdr:to>
    <xdr:sp macro="" textlink="">
      <xdr:nvSpPr>
        <xdr:cNvPr id="37917" name="Text Box 29" hidden="1">
          <a:extLst>
            <a:ext uri="{FF2B5EF4-FFF2-40B4-BE49-F238E27FC236}">
              <a16:creationId xmlns:a16="http://schemas.microsoft.com/office/drawing/2014/main" id="{00000000-0008-0000-2200-00001D940000}"/>
            </a:ext>
          </a:extLst>
        </xdr:cNvPr>
        <xdr:cNvSpPr txBox="1">
          <a:spLocks noChangeArrowheads="1"/>
        </xdr:cNvSpPr>
      </xdr:nvSpPr>
      <xdr:spPr bwMode="auto">
        <a:xfrm>
          <a:off x="9550400" y="6934200"/>
          <a:ext cx="1574800" cy="7112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12</xdr:col>
      <xdr:colOff>0</xdr:colOff>
      <xdr:row>4</xdr:row>
      <xdr:rowOff>0</xdr:rowOff>
    </xdr:from>
    <xdr:to>
      <xdr:col>13</xdr:col>
      <xdr:colOff>749300</xdr:colOff>
      <xdr:row>9</xdr:row>
      <xdr:rowOff>25400</xdr:rowOff>
    </xdr:to>
    <xdr:sp macro="" textlink="">
      <xdr:nvSpPr>
        <xdr:cNvPr id="37896" name="Text Box 8" hidden="1">
          <a:extLst>
            <a:ext uri="{FF2B5EF4-FFF2-40B4-BE49-F238E27FC236}">
              <a16:creationId xmlns:a16="http://schemas.microsoft.com/office/drawing/2014/main" id="{00000000-0008-0000-2200-000008940000}"/>
            </a:ext>
          </a:extLst>
        </xdr:cNvPr>
        <xdr:cNvSpPr txBox="1">
          <a:spLocks noChangeArrowheads="1"/>
        </xdr:cNvSpPr>
      </xdr:nvSpPr>
      <xdr:spPr bwMode="auto">
        <a:xfrm>
          <a:off x="9550400" y="660400"/>
          <a:ext cx="1574800" cy="850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0</xdr:colOff>
      <xdr:row>9</xdr:row>
      <xdr:rowOff>0</xdr:rowOff>
    </xdr:from>
    <xdr:to>
      <xdr:col>8</xdr:col>
      <xdr:colOff>444500</xdr:colOff>
      <xdr:row>11</xdr:row>
      <xdr:rowOff>12700</xdr:rowOff>
    </xdr:to>
    <xdr:sp macro="" textlink="">
      <xdr:nvSpPr>
        <xdr:cNvPr id="38952" name="Text Box 40" hidden="1">
          <a:extLst>
            <a:ext uri="{FF2B5EF4-FFF2-40B4-BE49-F238E27FC236}">
              <a16:creationId xmlns:a16="http://schemas.microsoft.com/office/drawing/2014/main" id="{00000000-0008-0000-2300-000028980000}"/>
            </a:ext>
          </a:extLst>
        </xdr:cNvPr>
        <xdr:cNvSpPr txBox="1">
          <a:spLocks noChangeArrowheads="1"/>
        </xdr:cNvSpPr>
      </xdr:nvSpPr>
      <xdr:spPr bwMode="auto">
        <a:xfrm>
          <a:off x="5232400" y="1485900"/>
          <a:ext cx="13335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8</xdr:col>
      <xdr:colOff>3175</xdr:colOff>
      <xdr:row>9</xdr:row>
      <xdr:rowOff>0</xdr:rowOff>
    </xdr:from>
    <xdr:to>
      <xdr:col>9</xdr:col>
      <xdr:colOff>685800</xdr:colOff>
      <xdr:row>14</xdr:row>
      <xdr:rowOff>127000</xdr:rowOff>
    </xdr:to>
    <xdr:sp macro="" textlink="">
      <xdr:nvSpPr>
        <xdr:cNvPr id="38951" name="Text Box 39" hidden="1">
          <a:extLst>
            <a:ext uri="{FF2B5EF4-FFF2-40B4-BE49-F238E27FC236}">
              <a16:creationId xmlns:a16="http://schemas.microsoft.com/office/drawing/2014/main" id="{00000000-0008-0000-2300-000027980000}"/>
            </a:ext>
          </a:extLst>
        </xdr:cNvPr>
        <xdr:cNvSpPr txBox="1">
          <a:spLocks noChangeArrowheads="1"/>
        </xdr:cNvSpPr>
      </xdr:nvSpPr>
      <xdr:spPr bwMode="auto">
        <a:xfrm>
          <a:off x="6121400" y="1485900"/>
          <a:ext cx="1574800" cy="9525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9</xdr:col>
      <xdr:colOff>777875</xdr:colOff>
      <xdr:row>9</xdr:row>
      <xdr:rowOff>0</xdr:rowOff>
    </xdr:from>
    <xdr:to>
      <xdr:col>11</xdr:col>
      <xdr:colOff>495300</xdr:colOff>
      <xdr:row>11</xdr:row>
      <xdr:rowOff>12700</xdr:rowOff>
    </xdr:to>
    <xdr:sp macro="" textlink="">
      <xdr:nvSpPr>
        <xdr:cNvPr id="38950" name="Text Box 38" hidden="1">
          <a:extLst>
            <a:ext uri="{FF2B5EF4-FFF2-40B4-BE49-F238E27FC236}">
              <a16:creationId xmlns:a16="http://schemas.microsoft.com/office/drawing/2014/main" id="{00000000-0008-0000-2300-000026980000}"/>
            </a:ext>
          </a:extLst>
        </xdr:cNvPr>
        <xdr:cNvSpPr txBox="1">
          <a:spLocks noChangeArrowheads="1"/>
        </xdr:cNvSpPr>
      </xdr:nvSpPr>
      <xdr:spPr bwMode="auto">
        <a:xfrm>
          <a:off x="7899400" y="1485900"/>
          <a:ext cx="13208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10</xdr:col>
      <xdr:colOff>758825</xdr:colOff>
      <xdr:row>9</xdr:row>
      <xdr:rowOff>0</xdr:rowOff>
    </xdr:from>
    <xdr:to>
      <xdr:col>12</xdr:col>
      <xdr:colOff>457200</xdr:colOff>
      <xdr:row>11</xdr:row>
      <xdr:rowOff>12700</xdr:rowOff>
    </xdr:to>
    <xdr:sp macro="" textlink="">
      <xdr:nvSpPr>
        <xdr:cNvPr id="38949" name="Text Box 37" hidden="1">
          <a:extLst>
            <a:ext uri="{FF2B5EF4-FFF2-40B4-BE49-F238E27FC236}">
              <a16:creationId xmlns:a16="http://schemas.microsoft.com/office/drawing/2014/main" id="{00000000-0008-0000-2300-000025980000}"/>
            </a:ext>
          </a:extLst>
        </xdr:cNvPr>
        <xdr:cNvSpPr txBox="1">
          <a:spLocks noChangeArrowheads="1"/>
        </xdr:cNvSpPr>
      </xdr:nvSpPr>
      <xdr:spPr bwMode="auto">
        <a:xfrm>
          <a:off x="8724900" y="1485900"/>
          <a:ext cx="13208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11</xdr:col>
      <xdr:colOff>749300</xdr:colOff>
      <xdr:row>9</xdr:row>
      <xdr:rowOff>0</xdr:rowOff>
    </xdr:from>
    <xdr:to>
      <xdr:col>13</xdr:col>
      <xdr:colOff>495300</xdr:colOff>
      <xdr:row>12</xdr:row>
      <xdr:rowOff>0</xdr:rowOff>
    </xdr:to>
    <xdr:sp macro="" textlink="">
      <xdr:nvSpPr>
        <xdr:cNvPr id="38948" name="Text Box 36" hidden="1">
          <a:extLst>
            <a:ext uri="{FF2B5EF4-FFF2-40B4-BE49-F238E27FC236}">
              <a16:creationId xmlns:a16="http://schemas.microsoft.com/office/drawing/2014/main" id="{00000000-0008-0000-2300-000024980000}"/>
            </a:ext>
          </a:extLst>
        </xdr:cNvPr>
        <xdr:cNvSpPr txBox="1">
          <a:spLocks noChangeArrowheads="1"/>
        </xdr:cNvSpPr>
      </xdr:nvSpPr>
      <xdr:spPr bwMode="auto">
        <a:xfrm>
          <a:off x="9588500" y="1485900"/>
          <a:ext cx="1320800" cy="4953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13</xdr:col>
      <xdr:colOff>63500</xdr:colOff>
      <xdr:row>9</xdr:row>
      <xdr:rowOff>0</xdr:rowOff>
    </xdr:from>
    <xdr:to>
      <xdr:col>15</xdr:col>
      <xdr:colOff>3175</xdr:colOff>
      <xdr:row>12</xdr:row>
      <xdr:rowOff>0</xdr:rowOff>
    </xdr:to>
    <xdr:sp macro="" textlink="">
      <xdr:nvSpPr>
        <xdr:cNvPr id="38947" name="Text Box 35" hidden="1">
          <a:extLst>
            <a:ext uri="{FF2B5EF4-FFF2-40B4-BE49-F238E27FC236}">
              <a16:creationId xmlns:a16="http://schemas.microsoft.com/office/drawing/2014/main" id="{00000000-0008-0000-2300-000023980000}"/>
            </a:ext>
          </a:extLst>
        </xdr:cNvPr>
        <xdr:cNvSpPr txBox="1">
          <a:spLocks noChangeArrowheads="1"/>
        </xdr:cNvSpPr>
      </xdr:nvSpPr>
      <xdr:spPr bwMode="auto">
        <a:xfrm>
          <a:off x="10477500" y="1485900"/>
          <a:ext cx="1574800" cy="4953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14</xdr:col>
      <xdr:colOff>63500</xdr:colOff>
      <xdr:row>9</xdr:row>
      <xdr:rowOff>0</xdr:rowOff>
    </xdr:from>
    <xdr:to>
      <xdr:col>15</xdr:col>
      <xdr:colOff>558800</xdr:colOff>
      <xdr:row>12</xdr:row>
      <xdr:rowOff>0</xdr:rowOff>
    </xdr:to>
    <xdr:sp macro="" textlink="">
      <xdr:nvSpPr>
        <xdr:cNvPr id="38946" name="Text Box 34" hidden="1">
          <a:extLst>
            <a:ext uri="{FF2B5EF4-FFF2-40B4-BE49-F238E27FC236}">
              <a16:creationId xmlns:a16="http://schemas.microsoft.com/office/drawing/2014/main" id="{00000000-0008-0000-2300-000022980000}"/>
            </a:ext>
          </a:extLst>
        </xdr:cNvPr>
        <xdr:cNvSpPr txBox="1">
          <a:spLocks noChangeArrowheads="1"/>
        </xdr:cNvSpPr>
      </xdr:nvSpPr>
      <xdr:spPr bwMode="auto">
        <a:xfrm>
          <a:off x="11303000" y="1485900"/>
          <a:ext cx="1320800" cy="4953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6</xdr:col>
      <xdr:colOff>0</xdr:colOff>
      <xdr:row>10</xdr:row>
      <xdr:rowOff>0</xdr:rowOff>
    </xdr:from>
    <xdr:to>
      <xdr:col>7</xdr:col>
      <xdr:colOff>444500</xdr:colOff>
      <xdr:row>18</xdr:row>
      <xdr:rowOff>76200</xdr:rowOff>
    </xdr:to>
    <xdr:sp macro="" textlink="">
      <xdr:nvSpPr>
        <xdr:cNvPr id="38945" name="Text Box 33" hidden="1">
          <a:extLst>
            <a:ext uri="{FF2B5EF4-FFF2-40B4-BE49-F238E27FC236}">
              <a16:creationId xmlns:a16="http://schemas.microsoft.com/office/drawing/2014/main" id="{00000000-0008-0000-2300-000021980000}"/>
            </a:ext>
          </a:extLst>
        </xdr:cNvPr>
        <xdr:cNvSpPr txBox="1">
          <a:spLocks noChangeArrowheads="1"/>
        </xdr:cNvSpPr>
      </xdr:nvSpPr>
      <xdr:spPr bwMode="auto">
        <a:xfrm>
          <a:off x="4343400" y="1651000"/>
          <a:ext cx="1333500" cy="13970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8</xdr:col>
      <xdr:colOff>0</xdr:colOff>
      <xdr:row>10</xdr:row>
      <xdr:rowOff>0</xdr:rowOff>
    </xdr:from>
    <xdr:to>
      <xdr:col>9</xdr:col>
      <xdr:colOff>444500</xdr:colOff>
      <xdr:row>19</xdr:row>
      <xdr:rowOff>63500</xdr:rowOff>
    </xdr:to>
    <xdr:sp macro="" textlink="">
      <xdr:nvSpPr>
        <xdr:cNvPr id="38944" name="Text Box 32" hidden="1">
          <a:extLst>
            <a:ext uri="{FF2B5EF4-FFF2-40B4-BE49-F238E27FC236}">
              <a16:creationId xmlns:a16="http://schemas.microsoft.com/office/drawing/2014/main" id="{00000000-0008-0000-2300-000020980000}"/>
            </a:ext>
          </a:extLst>
        </xdr:cNvPr>
        <xdr:cNvSpPr txBox="1">
          <a:spLocks noChangeArrowheads="1"/>
        </xdr:cNvSpPr>
      </xdr:nvSpPr>
      <xdr:spPr bwMode="auto">
        <a:xfrm>
          <a:off x="6121400" y="1651000"/>
          <a:ext cx="1333500" cy="15494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7</xdr:col>
      <xdr:colOff>0</xdr:colOff>
      <xdr:row>25</xdr:row>
      <xdr:rowOff>0</xdr:rowOff>
    </xdr:from>
    <xdr:to>
      <xdr:col>8</xdr:col>
      <xdr:colOff>444500</xdr:colOff>
      <xdr:row>27</xdr:row>
      <xdr:rowOff>12700</xdr:rowOff>
    </xdr:to>
    <xdr:sp macro="" textlink="">
      <xdr:nvSpPr>
        <xdr:cNvPr id="38943" name="Text Box 31" hidden="1">
          <a:extLst>
            <a:ext uri="{FF2B5EF4-FFF2-40B4-BE49-F238E27FC236}">
              <a16:creationId xmlns:a16="http://schemas.microsoft.com/office/drawing/2014/main" id="{00000000-0008-0000-2300-00001F980000}"/>
            </a:ext>
          </a:extLst>
        </xdr:cNvPr>
        <xdr:cNvSpPr txBox="1">
          <a:spLocks noChangeArrowheads="1"/>
        </xdr:cNvSpPr>
      </xdr:nvSpPr>
      <xdr:spPr bwMode="auto">
        <a:xfrm>
          <a:off x="5232400" y="4127500"/>
          <a:ext cx="13335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8</xdr:col>
      <xdr:colOff>3175</xdr:colOff>
      <xdr:row>41</xdr:row>
      <xdr:rowOff>0</xdr:rowOff>
    </xdr:from>
    <xdr:to>
      <xdr:col>9</xdr:col>
      <xdr:colOff>685800</xdr:colOff>
      <xdr:row>46</xdr:row>
      <xdr:rowOff>127000</xdr:rowOff>
    </xdr:to>
    <xdr:sp macro="" textlink="">
      <xdr:nvSpPr>
        <xdr:cNvPr id="38938" name="Text Box 26" hidden="1">
          <a:extLst>
            <a:ext uri="{FF2B5EF4-FFF2-40B4-BE49-F238E27FC236}">
              <a16:creationId xmlns:a16="http://schemas.microsoft.com/office/drawing/2014/main" id="{00000000-0008-0000-2300-00001A980000}"/>
            </a:ext>
          </a:extLst>
        </xdr:cNvPr>
        <xdr:cNvSpPr txBox="1">
          <a:spLocks noChangeArrowheads="1"/>
        </xdr:cNvSpPr>
      </xdr:nvSpPr>
      <xdr:spPr bwMode="auto">
        <a:xfrm>
          <a:off x="6121400" y="6769100"/>
          <a:ext cx="1574800" cy="9525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3175</xdr:colOff>
      <xdr:row>47</xdr:row>
      <xdr:rowOff>0</xdr:rowOff>
    </xdr:from>
    <xdr:to>
      <xdr:col>10</xdr:col>
      <xdr:colOff>685800</xdr:colOff>
      <xdr:row>49</xdr:row>
      <xdr:rowOff>12700</xdr:rowOff>
    </xdr:to>
    <xdr:sp macro="" textlink="">
      <xdr:nvSpPr>
        <xdr:cNvPr id="31827" name="Text Box 83" hidden="1">
          <a:extLst>
            <a:ext uri="{FF2B5EF4-FFF2-40B4-BE49-F238E27FC236}">
              <a16:creationId xmlns:a16="http://schemas.microsoft.com/office/drawing/2014/main" id="{00000000-0008-0000-2400-0000537C0000}"/>
            </a:ext>
          </a:extLst>
        </xdr:cNvPr>
        <xdr:cNvSpPr txBox="1">
          <a:spLocks noChangeArrowheads="1"/>
        </xdr:cNvSpPr>
      </xdr:nvSpPr>
      <xdr:spPr bwMode="auto">
        <a:xfrm>
          <a:off x="7010400" y="7759700"/>
          <a:ext cx="15748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9</xdr:col>
      <xdr:colOff>3175</xdr:colOff>
      <xdr:row>4</xdr:row>
      <xdr:rowOff>0</xdr:rowOff>
    </xdr:from>
    <xdr:to>
      <xdr:col>10</xdr:col>
      <xdr:colOff>685800</xdr:colOff>
      <xdr:row>6</xdr:row>
      <xdr:rowOff>12700</xdr:rowOff>
    </xdr:to>
    <xdr:sp macro="" textlink="">
      <xdr:nvSpPr>
        <xdr:cNvPr id="31826" name="Text Box 82" hidden="1">
          <a:extLst>
            <a:ext uri="{FF2B5EF4-FFF2-40B4-BE49-F238E27FC236}">
              <a16:creationId xmlns:a16="http://schemas.microsoft.com/office/drawing/2014/main" id="{00000000-0008-0000-2400-0000527C0000}"/>
            </a:ext>
          </a:extLst>
        </xdr:cNvPr>
        <xdr:cNvSpPr txBox="1">
          <a:spLocks noChangeArrowheads="1"/>
        </xdr:cNvSpPr>
      </xdr:nvSpPr>
      <xdr:spPr bwMode="auto">
        <a:xfrm>
          <a:off x="7010400" y="660400"/>
          <a:ext cx="15748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3175</xdr:colOff>
      <xdr:row>4</xdr:row>
      <xdr:rowOff>0</xdr:rowOff>
    </xdr:from>
    <xdr:to>
      <xdr:col>10</xdr:col>
      <xdr:colOff>685800</xdr:colOff>
      <xdr:row>6</xdr:row>
      <xdr:rowOff>12700</xdr:rowOff>
    </xdr:to>
    <xdr:sp macro="" textlink="">
      <xdr:nvSpPr>
        <xdr:cNvPr id="32857" name="Text Box 89" hidden="1">
          <a:extLst>
            <a:ext uri="{FF2B5EF4-FFF2-40B4-BE49-F238E27FC236}">
              <a16:creationId xmlns:a16="http://schemas.microsoft.com/office/drawing/2014/main" id="{00000000-0008-0000-2500-000059800000}"/>
            </a:ext>
          </a:extLst>
        </xdr:cNvPr>
        <xdr:cNvSpPr txBox="1">
          <a:spLocks noChangeArrowheads="1"/>
        </xdr:cNvSpPr>
      </xdr:nvSpPr>
      <xdr:spPr bwMode="auto">
        <a:xfrm>
          <a:off x="7010400" y="660400"/>
          <a:ext cx="15748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0</xdr:colOff>
      <xdr:row>51</xdr:row>
      <xdr:rowOff>0</xdr:rowOff>
    </xdr:from>
    <xdr:to>
      <xdr:col>12</xdr:col>
      <xdr:colOff>0</xdr:colOff>
      <xdr:row>57</xdr:row>
      <xdr:rowOff>101600</xdr:rowOff>
    </xdr:to>
    <xdr:sp macro="" textlink="">
      <xdr:nvSpPr>
        <xdr:cNvPr id="33894" name="Text Box 102" hidden="1">
          <a:extLst>
            <a:ext uri="{FF2B5EF4-FFF2-40B4-BE49-F238E27FC236}">
              <a16:creationId xmlns:a16="http://schemas.microsoft.com/office/drawing/2014/main" id="{00000000-0008-0000-2600-000066840000}"/>
            </a:ext>
          </a:extLst>
        </xdr:cNvPr>
        <xdr:cNvSpPr txBox="1">
          <a:spLocks noChangeArrowheads="1"/>
        </xdr:cNvSpPr>
      </xdr:nvSpPr>
      <xdr:spPr bwMode="auto">
        <a:xfrm>
          <a:off x="7899400" y="8420100"/>
          <a:ext cx="1587500" cy="10922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9</xdr:col>
      <xdr:colOff>3175</xdr:colOff>
      <xdr:row>51</xdr:row>
      <xdr:rowOff>0</xdr:rowOff>
    </xdr:from>
    <xdr:to>
      <xdr:col>10</xdr:col>
      <xdr:colOff>685800</xdr:colOff>
      <xdr:row>53</xdr:row>
      <xdr:rowOff>12700</xdr:rowOff>
    </xdr:to>
    <xdr:sp macro="" textlink="">
      <xdr:nvSpPr>
        <xdr:cNvPr id="33889" name="Text Box 97" hidden="1">
          <a:extLst>
            <a:ext uri="{FF2B5EF4-FFF2-40B4-BE49-F238E27FC236}">
              <a16:creationId xmlns:a16="http://schemas.microsoft.com/office/drawing/2014/main" id="{00000000-0008-0000-2600-000061840000}"/>
            </a:ext>
          </a:extLst>
        </xdr:cNvPr>
        <xdr:cNvSpPr txBox="1">
          <a:spLocks noChangeArrowheads="1"/>
        </xdr:cNvSpPr>
      </xdr:nvSpPr>
      <xdr:spPr bwMode="auto">
        <a:xfrm>
          <a:off x="7010400" y="8420100"/>
          <a:ext cx="15748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9</xdr:col>
      <xdr:colOff>3175</xdr:colOff>
      <xdr:row>4</xdr:row>
      <xdr:rowOff>0</xdr:rowOff>
    </xdr:from>
    <xdr:to>
      <xdr:col>10</xdr:col>
      <xdr:colOff>685800</xdr:colOff>
      <xdr:row>6</xdr:row>
      <xdr:rowOff>12700</xdr:rowOff>
    </xdr:to>
    <xdr:sp macro="" textlink="">
      <xdr:nvSpPr>
        <xdr:cNvPr id="33888" name="Text Box 96" hidden="1">
          <a:extLst>
            <a:ext uri="{FF2B5EF4-FFF2-40B4-BE49-F238E27FC236}">
              <a16:creationId xmlns:a16="http://schemas.microsoft.com/office/drawing/2014/main" id="{00000000-0008-0000-2600-000060840000}"/>
            </a:ext>
          </a:extLst>
        </xdr:cNvPr>
        <xdr:cNvSpPr txBox="1">
          <a:spLocks noChangeArrowheads="1"/>
        </xdr:cNvSpPr>
      </xdr:nvSpPr>
      <xdr:spPr bwMode="auto">
        <a:xfrm>
          <a:off x="7010400" y="660400"/>
          <a:ext cx="1574800" cy="342900"/>
        </a:xfrm>
        <a:prstGeom prst="rect">
          <a:avLst/>
        </a:prstGeom>
        <a:solidFill>
          <a:srgbClr val="FFFFA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hyperlink" Target="https://simply.ziparchive.com.au/Content/Ratesheets/Victorian_Energy_Fact_Sheet_SIM435646MR_Gas_RO.pdf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hyperlink" Target="https://www.agl.com.au/content/dam/digital/epfs/pdfs/victorian_energy_fact_sheet_agd388130mr_gas.pdf" TargetMode="External"/><Relationship Id="rId1" Type="http://schemas.openxmlformats.org/officeDocument/2006/relationships/hyperlink" Target="https://www.powershop.com.au/app/rates/victoria/gas/residential/market/multinet/metro.pdf?v=2.0.0" TargetMode="External"/><Relationship Id="rId4" Type="http://schemas.openxmlformats.org/officeDocument/2006/relationships/comments" Target="../comments2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riginenergy.com.au/content/dam/origin/residential/docs/energy-price-fact-sheets/vic/1Jan2021/OR2244529MR.pdf" TargetMode="External"/><Relationship Id="rId13" Type="http://schemas.openxmlformats.org/officeDocument/2006/relationships/hyperlink" Target="https://www.momentumenergy.com.au/factsheet?offerId=a440I000001exjoQAA&amp;customerSegment=Residential&amp;postcode=3342" TargetMode="External"/><Relationship Id="rId18" Type="http://schemas.openxmlformats.org/officeDocument/2006/relationships/hyperlink" Target="https://www.originenergy.com.au/content/dam/origin/residential/docs/energy-price-fact-sheets/vic/1Jan2021/OR2244528MR.pdf" TargetMode="External"/><Relationship Id="rId3" Type="http://schemas.openxmlformats.org/officeDocument/2006/relationships/hyperlink" Target="https://www.covau.com.au/EnergyPriceFactSheets/DPFS/CoavU_VIC_Gas_SmartSaver_Residential_Multinet_Metropolitan.pdf" TargetMode="External"/><Relationship Id="rId21" Type="http://schemas.openxmlformats.org/officeDocument/2006/relationships/vmlDrawing" Target="../drawings/vmlDrawing26.vml"/><Relationship Id="rId7" Type="http://schemas.openxmlformats.org/officeDocument/2006/relationships/hyperlink" Target="https://www.momentumenergy.com.au/factsheet?offerId=a440I000001exjwQAA&amp;customerSegment=Residential&amp;postcode=3620" TargetMode="External"/><Relationship Id="rId12" Type="http://schemas.openxmlformats.org/officeDocument/2006/relationships/hyperlink" Target="https://www.originenergy.com.au/content/dam/origin/residential/docs/energy-price-fact-sheets/vic/1Jan2021/OR2244522MR.pdf" TargetMode="External"/><Relationship Id="rId17" Type="http://schemas.openxmlformats.org/officeDocument/2006/relationships/hyperlink" Target="https://www.covau.com.au/EnergyPriceFactSheets/DPFS/CoavU_VIC_Gas_SmartSaver_Residential_AusNetServices_Central.pdf" TargetMode="External"/><Relationship Id="rId2" Type="http://schemas.openxmlformats.org/officeDocument/2006/relationships/hyperlink" Target="https://www.momentumenergy.com.au/factsheet?offerId=a440I000001exjzQAA&amp;customerSegment=Residential&amp;postcode=3102" TargetMode="External"/><Relationship Id="rId16" Type="http://schemas.openxmlformats.org/officeDocument/2006/relationships/hyperlink" Target="https://www.momentumenergy.com.au/factsheet?offerId=a440I000001exjiQAA&amp;customerSegment=Residential&amp;postcode=3037" TargetMode="External"/><Relationship Id="rId20" Type="http://schemas.openxmlformats.org/officeDocument/2006/relationships/hyperlink" Target="https://www.powershop.com.au/app/rates/victoria/gas/residential/market/multinet/metro.pdf?v=1" TargetMode="External"/><Relationship Id="rId1" Type="http://schemas.openxmlformats.org/officeDocument/2006/relationships/hyperlink" Target="https://www.covau.com.au/EnergyPriceFactSheets/DPFS/CoavU_VIC_Gas_SmartSaver_Residential_Multinet_Metropolitan.pdf" TargetMode="External"/><Relationship Id="rId6" Type="http://schemas.openxmlformats.org/officeDocument/2006/relationships/hyperlink" Target="https://www.originenergy.com.au/content/dam/origin/residential/docs/energy-price-fact-sheets/vic/1Jan2021/OR2244530MR.pdf" TargetMode="External"/><Relationship Id="rId11" Type="http://schemas.openxmlformats.org/officeDocument/2006/relationships/hyperlink" Target="https://www.covau.com.au/EnergyPriceFactSheets/DPFS/CoavU_VIC_Gas_SmartSaver_Residential_AusNetServices_West.pdf" TargetMode="External"/><Relationship Id="rId5" Type="http://schemas.openxmlformats.org/officeDocument/2006/relationships/hyperlink" Target="https://www.momentumenergy.com.au/factsheet?offerId=a440I000001exjzQAA&amp;customerSegment=Residential&amp;postcode=3170" TargetMode="External"/><Relationship Id="rId15" Type="http://schemas.openxmlformats.org/officeDocument/2006/relationships/hyperlink" Target="https://www.originenergy.com.au/content/dam/origin/residential/docs/energy-price-fact-sheets/vic/1Jan2021/OR2244528MR.pdf" TargetMode="External"/><Relationship Id="rId10" Type="http://schemas.openxmlformats.org/officeDocument/2006/relationships/hyperlink" Target="https://www.momentumenergy.com.au/factsheet?offerId=a440I000001exjqQAA&amp;customerSegment=Residential&amp;postcode=3818" TargetMode="External"/><Relationship Id="rId19" Type="http://schemas.openxmlformats.org/officeDocument/2006/relationships/hyperlink" Target="https://www.momentumenergy.com.au/factsheet?offerId=a440I000001exjiQAA&amp;customerSegment=Residential&amp;postcode=3220" TargetMode="External"/><Relationship Id="rId4" Type="http://schemas.openxmlformats.org/officeDocument/2006/relationships/hyperlink" Target="https://www.originenergy.com.au/content/dam/origin/residential/docs/energy-price-fact-sheets/vic/1Jan2021/OR2244526MR.pdf" TargetMode="External"/><Relationship Id="rId9" Type="http://schemas.openxmlformats.org/officeDocument/2006/relationships/hyperlink" Target="https://www.originenergy.com.au/content/dam/origin/residential/docs/energy-price-fact-sheets/vic/1Jan2021/OR2244529MR.pdf" TargetMode="External"/><Relationship Id="rId14" Type="http://schemas.openxmlformats.org/officeDocument/2006/relationships/hyperlink" Target="https://www.covau.com.au/EnergyPriceFactSheets/DPFS/CoavU_VIC_Gas_SmartSaver_Residential_AusNetServices_Central.pdf" TargetMode="External"/><Relationship Id="rId22" Type="http://schemas.openxmlformats.org/officeDocument/2006/relationships/comments" Target="../comments26.xml"/></Relationships>
</file>

<file path=xl/worksheets/_rels/sheet3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energyaustralia.com.au/epfs-documents/VIC_GAS_TOPH_R4_TRU132045MR.pdf" TargetMode="External"/><Relationship Id="rId21" Type="http://schemas.openxmlformats.org/officeDocument/2006/relationships/hyperlink" Target="https://www.momentumenergy.com.au/docs/default-source/price-sheets/RESI-Momentum-Gas-Multinet-Metro-MOM133160MR.pdf" TargetMode="External"/><Relationship Id="rId42" Type="http://schemas.openxmlformats.org/officeDocument/2006/relationships/hyperlink" Target="https://www.energyaustralia.com.au/epfs-documents/VIC_GAS_TOPH_R5_TRU132046MR.pdf" TargetMode="External"/><Relationship Id="rId47" Type="http://schemas.openxmlformats.org/officeDocument/2006/relationships/hyperlink" Target="https://www.simplyenergy.com.au/docs/default-source/factsheets/2686_vic_plus_ppd_12__agnose(g)_sim144045mr.pdf?sfvrsn=2f9fe399_2" TargetMode="External"/><Relationship Id="rId63" Type="http://schemas.openxmlformats.org/officeDocument/2006/relationships/hyperlink" Target="https://www.powershop.com.au/app/rates/gas/residential-gas-ausnet-central-market-offer.pdf?v=1" TargetMode="External"/><Relationship Id="rId68" Type="http://schemas.openxmlformats.org/officeDocument/2006/relationships/hyperlink" Target="https://www.lumoenergy.com.au/docs/vic_energy_fact_sheets/Victorian_Energy_Fact_Sheet_LU2135719MR_Gas.pdf" TargetMode="External"/><Relationship Id="rId16" Type="http://schemas.openxmlformats.org/officeDocument/2006/relationships/hyperlink" Target="https://connectto.dodo.com/EnergySignup2015/pricefactsheet/GetPdfDocument?filepath=PriceFactSheets%5cMultinet%5cConsumer%5cGas%5cMultinet+Metro+1+-+Residential+Gas+Market.pdf" TargetMode="External"/><Relationship Id="rId11" Type="http://schemas.openxmlformats.org/officeDocument/2006/relationships/hyperlink" Target="https://www.momentumenergy.com.au/docs/default-source/price-sheets/RESI-Momentum-Gas-Multinet-Metro-MOM133160MR.pdf" TargetMode="External"/><Relationship Id="rId24" Type="http://schemas.openxmlformats.org/officeDocument/2006/relationships/hyperlink" Target="https://www.agl.com.au/-/media/agldata/distributordata/pdfs/victorian_energy_fact_sheet_agd128308mr_gas.pdf" TargetMode="External"/><Relationship Id="rId32" Type="http://schemas.openxmlformats.org/officeDocument/2006/relationships/hyperlink" Target="https://www.simplyenergy.com.au/docs/default-source/factsheets/2685_vic_plus_ppd_12__agnon(g)_sim144046mr.pdf?sfvrsn=2a9fe399_2" TargetMode="External"/><Relationship Id="rId37" Type="http://schemas.openxmlformats.org/officeDocument/2006/relationships/hyperlink" Target="https://www.powershop.com.au/app/rates/gas/residential-gas-agn-central-market-offer.pdf?v=1" TargetMode="External"/><Relationship Id="rId40" Type="http://schemas.openxmlformats.org/officeDocument/2006/relationships/hyperlink" Target="https://assets.kogan.com/files/energy/pdf/KE-AGN-Central-200101-market.pdf" TargetMode="External"/><Relationship Id="rId45" Type="http://schemas.openxmlformats.org/officeDocument/2006/relationships/hyperlink" Target="https://www.powershop.com.au/app/rates/gas/residential-gas-agn-central-market-offer.pdf?v=1" TargetMode="External"/><Relationship Id="rId53" Type="http://schemas.openxmlformats.org/officeDocument/2006/relationships/hyperlink" Target="https://www.lumoenergy.com.au/docs/vic_energy_fact_sheets/Victorian_Energy_Fact_Sheet_LU2135720MR_Gas.pdf" TargetMode="External"/><Relationship Id="rId58" Type="http://schemas.openxmlformats.org/officeDocument/2006/relationships/hyperlink" Target="https://www.simplyenergy.com.au/docs/default-source/factsheets/2692_vic_plus_ppd_12__ausntw(g)_sim144041mr.pdf?sfvrsn=99fe399_2" TargetMode="External"/><Relationship Id="rId66" Type="http://schemas.openxmlformats.org/officeDocument/2006/relationships/hyperlink" Target="https://assets.kogan.com/files/energy/pdf/KE-AS-Central-200101-market.pdf" TargetMode="External"/><Relationship Id="rId74" Type="http://schemas.openxmlformats.org/officeDocument/2006/relationships/hyperlink" Target="https://assets.kogan.com/files/energy/pdf/KE-AS-Central-200101-market.pdf" TargetMode="External"/><Relationship Id="rId79" Type="http://schemas.openxmlformats.org/officeDocument/2006/relationships/comments" Target="../comments27.xml"/><Relationship Id="rId5" Type="http://schemas.openxmlformats.org/officeDocument/2006/relationships/hyperlink" Target="https://www.powershop.com.au/app/rates/gas/residential-gas-multinet-metro-market-offer.pdf?v=1" TargetMode="External"/><Relationship Id="rId61" Type="http://schemas.openxmlformats.org/officeDocument/2006/relationships/hyperlink" Target="https://www.lumoenergy.com.au/docs/vic_energy_fact_sheets/Victorian_Energy_Fact_Sheet_LU2135740MR_Gas.pdf" TargetMode="External"/><Relationship Id="rId19" Type="http://schemas.openxmlformats.org/officeDocument/2006/relationships/hyperlink" Target="https://www.amaysim.com.au/energy/epfs/eme/AMA133829MR.pdf?postcode=3102" TargetMode="External"/><Relationship Id="rId14" Type="http://schemas.openxmlformats.org/officeDocument/2006/relationships/hyperlink" Target="https://www.simplyenergy.com.au/docs/default-source/factsheets/2693_vic_plus_ppd_12__multinsw(g)_sim144047mr.pdf?sfvrsn=29fe399_2" TargetMode="External"/><Relationship Id="rId22" Type="http://schemas.openxmlformats.org/officeDocument/2006/relationships/hyperlink" Target="https://www.covau.com.au/EnergyPriceFactSheets/DPFS/CoavU_VIC_Gas_SmartSaver_Residential_MultinetMetropolitan.pdf" TargetMode="External"/><Relationship Id="rId27" Type="http://schemas.openxmlformats.org/officeDocument/2006/relationships/hyperlink" Target="https://www.lumoenergy.com.au/docs/vic_energy_fact_sheets/Victorian_Energy_Fact_Sheet_LU2135726MR_Gas.pdf" TargetMode="External"/><Relationship Id="rId30" Type="http://schemas.openxmlformats.org/officeDocument/2006/relationships/hyperlink" Target="https://www.powershop.com.au/app/rates/gas/residential-gas-agn-north-market-offer.pdf?v=1" TargetMode="External"/><Relationship Id="rId35" Type="http://schemas.openxmlformats.org/officeDocument/2006/relationships/hyperlink" Target="https://www.lumoenergy.com.au/docs/vic_energy_fact_sheets/Victorian_Energy_Fact_Sheet_LU2135729MR_Gas.pdf" TargetMode="External"/><Relationship Id="rId43" Type="http://schemas.openxmlformats.org/officeDocument/2006/relationships/hyperlink" Target="https://www.lumoenergy.com.au/docs/vic_energy_fact_sheets/Victorian_Energy_Fact_Sheet_LU2135727MR_Gas.pdf" TargetMode="External"/><Relationship Id="rId48" Type="http://schemas.openxmlformats.org/officeDocument/2006/relationships/hyperlink" Target="https://www.covau.com.au/EnergyPriceFactSheets/DPFS/CoavU_VIC_Gas_SmartSaver_Residential_AustralianGasNetworksCentral.pdf" TargetMode="External"/><Relationship Id="rId56" Type="http://schemas.openxmlformats.org/officeDocument/2006/relationships/hyperlink" Target="https://www.powershop.com.au/app/rates/gas/residential-gas-ausnet-west-market-offer.pdf?v=1" TargetMode="External"/><Relationship Id="rId64" Type="http://schemas.openxmlformats.org/officeDocument/2006/relationships/hyperlink" Target="https://www.redenergy.com.au/docs/vic_energy_fact_sheets/Victorian_Energy_Fact_Sheet_RED136207MR_Gas.pdf" TargetMode="External"/><Relationship Id="rId69" Type="http://schemas.openxmlformats.org/officeDocument/2006/relationships/hyperlink" Target="https://www.momentumenergy.com.au/docs/default-source/price-sheets/RESI-Momentum-Gas-Ausnet-Central-MOM133148MR.pdf" TargetMode="External"/><Relationship Id="rId77" Type="http://schemas.openxmlformats.org/officeDocument/2006/relationships/hyperlink" Target="https://sumo-epfs.s3-ap-southeast-2.amazonaws.com/vefs/Victorian_Energy_Fact_Sheet_SUM108027MR_Gas.pdf" TargetMode="External"/><Relationship Id="rId8" Type="http://schemas.openxmlformats.org/officeDocument/2006/relationships/hyperlink" Target="https://www.energyaustralia.com.au/epfs-documents/VIC_GAS_TOPH_A2_TRU132041MR.pdf" TargetMode="External"/><Relationship Id="rId51" Type="http://schemas.openxmlformats.org/officeDocument/2006/relationships/hyperlink" Target="https://www.energyaustralia.com.au/epfs-documents/VIC_GAS_TOPH_T3_TRU132052MR.pdf" TargetMode="External"/><Relationship Id="rId72" Type="http://schemas.openxmlformats.org/officeDocument/2006/relationships/hyperlink" Target="https://www.simplyenergy.com.au/docs/default-source/factsheets/2691_vic_plus_ppd_12__ausntc(g)_sim144040mr.pdf?sfvrsn=7d9fe399_2" TargetMode="External"/><Relationship Id="rId3" Type="http://schemas.openxmlformats.org/officeDocument/2006/relationships/hyperlink" Target="https://assets.kogan.com/files/energy/pdf/KE-MN-Metro-market.pdf" TargetMode="External"/><Relationship Id="rId12" Type="http://schemas.openxmlformats.org/officeDocument/2006/relationships/hyperlink" Target="https://www.powershop.com.au/app/rates/gas/residential-gas-multinet-metro-market-offer.pdf?v=1" TargetMode="External"/><Relationship Id="rId17" Type="http://schemas.openxmlformats.org/officeDocument/2006/relationships/hyperlink" Target="https://1stenergy.com.au/wp-content/uploads/Price_Fact_Sheets/Gas%20PFS/Victorian_Energy_Fact_Sheet_1ST121208MR_Gas.pdf?_t=1568942513" TargetMode="External"/><Relationship Id="rId25" Type="http://schemas.openxmlformats.org/officeDocument/2006/relationships/hyperlink" Target="https://www.agl.com.au/-/media/agldata/distributordata/pdfs/victorian_energy_fact_sheet_agd129766mr_gas.pdf" TargetMode="External"/><Relationship Id="rId33" Type="http://schemas.openxmlformats.org/officeDocument/2006/relationships/hyperlink" Target="https://forms.alintaenergy.com.au/Alinta/media/EnergyPriceFactSheets/Victorian_Energy_Fact_Sheet_ALI154675MR_Gas.pdf?_ga=2.174425637.686482109.1578878026-1533394487.1578878026" TargetMode="External"/><Relationship Id="rId38" Type="http://schemas.openxmlformats.org/officeDocument/2006/relationships/hyperlink" Target="https://www.redenergy.com.au/docs/vic_energy_fact_sheets/Victorian_Energy_Fact_Sheet_RED136210MR_Gas.pdf" TargetMode="External"/><Relationship Id="rId46" Type="http://schemas.openxmlformats.org/officeDocument/2006/relationships/hyperlink" Target="https://www.redenergy.com.au/docs/vic_energy_fact_sheets/Victorian_Energy_Fact_Sheet_RED136209MR_Gas.pdf" TargetMode="External"/><Relationship Id="rId59" Type="http://schemas.openxmlformats.org/officeDocument/2006/relationships/hyperlink" Target="https://assets.kogan.com/files/energy/pdf/KE-AS-West-200101-market.pdf" TargetMode="External"/><Relationship Id="rId67" Type="http://schemas.openxmlformats.org/officeDocument/2006/relationships/hyperlink" Target="https://www.energyaustralia.com.au/epfs-documents/VIC_GAS_TOPH_T1_TRU132050MR.pdf" TargetMode="External"/><Relationship Id="rId20" Type="http://schemas.openxmlformats.org/officeDocument/2006/relationships/hyperlink" Target="https://sumo-epfs.s3-ap-southeast-2.amazonaws.com/vefs/Victorian_Energy_Fact_Sheet_SUM108026MR_Gas.pdf" TargetMode="External"/><Relationship Id="rId41" Type="http://schemas.openxmlformats.org/officeDocument/2006/relationships/hyperlink" Target="https://www.agl.com.au/-/media/agldata/distributordata/pdfs/victorian_energy_fact_sheet_agd128304mr_gas.pdf" TargetMode="External"/><Relationship Id="rId54" Type="http://schemas.openxmlformats.org/officeDocument/2006/relationships/hyperlink" Target="https://www.momentumenergy.com.au/docs/default-source/price-sheets/RESI-Momentum-Gas-Ausnet-West-MOM133150MR.pdf" TargetMode="External"/><Relationship Id="rId62" Type="http://schemas.openxmlformats.org/officeDocument/2006/relationships/hyperlink" Target="https://www.momentumenergy.com.au/docs/default-source/price-sheets/RESI-Momentum-Gas-Ausnet-Central-MOM133148MR.pdf" TargetMode="External"/><Relationship Id="rId70" Type="http://schemas.openxmlformats.org/officeDocument/2006/relationships/hyperlink" Target="https://www.powershop.com.au/app/rates/gas/residential-gas-ausnet-central-market-offer.pdf?v=1" TargetMode="External"/><Relationship Id="rId75" Type="http://schemas.openxmlformats.org/officeDocument/2006/relationships/hyperlink" Target="https://connectto.dodo.com/rapidEnergyQuote/pricefactsheet/GetPdfDocument?filepath=PriceFactSheets%5cSP-Ausnet%5cConsumer%5cGas%5cAusNet+Services+Central+1+-+Residential+Gas+Market.pdf" TargetMode="External"/><Relationship Id="rId1" Type="http://schemas.openxmlformats.org/officeDocument/2006/relationships/hyperlink" Target="https://www.clickenergy.com.au/pdf/vefs/CLI130564MR.pdf" TargetMode="External"/><Relationship Id="rId6" Type="http://schemas.openxmlformats.org/officeDocument/2006/relationships/hyperlink" Target="https://www.redenergy.com.au/docs/vic_energy_fact_sheets/Victorian_Energy_Fact_Sheet_RED136205MR_Gas.pdf" TargetMode="External"/><Relationship Id="rId15" Type="http://schemas.openxmlformats.org/officeDocument/2006/relationships/hyperlink" Target="https://www.globirdenergy.com.au/shared-assets/Victorian_Energy_Fact_Sheets/Victorian_Energy_Fact_Sheet_GLO131441MR_Gas.pdf" TargetMode="External"/><Relationship Id="rId23" Type="http://schemas.openxmlformats.org/officeDocument/2006/relationships/hyperlink" Target="https://forms.alintaenergy.com.au/Alinta/media/EnergyPriceFactSheets/Victorian_Energy_Fact_Sheet_ALI154666MR_Gas.pdf?_ga=2.133547657.686482109.1578878026-1533394487.1578878026" TargetMode="External"/><Relationship Id="rId28" Type="http://schemas.openxmlformats.org/officeDocument/2006/relationships/hyperlink" Target="https://www.momentumenergy.com.au/docs/default-source/price-sheets/RESI-Momentum-Gas-Australian-Gas-Networks-North-MOM133158MR.pdf" TargetMode="External"/><Relationship Id="rId36" Type="http://schemas.openxmlformats.org/officeDocument/2006/relationships/hyperlink" Target="https://www.momentumenergy.com.au/docs/default-source/price-sheets/RESI-Momentum-Gas-Australian-Gas-Networks-Central-MOM133154MR.pdf" TargetMode="External"/><Relationship Id="rId49" Type="http://schemas.openxmlformats.org/officeDocument/2006/relationships/hyperlink" Target="https://connectto.dodo.com/EnergySignup2015/pricefactsheet/GetPdfDocument?filepath=PriceFactSheets%5cEnvestra%5cConsumer%5cGas%5cAustralian+Gas+Networks+Central+1+-+Residential+Gas+Market.pdf" TargetMode="External"/><Relationship Id="rId57" Type="http://schemas.openxmlformats.org/officeDocument/2006/relationships/hyperlink" Target="https://www.redenergy.com.au/docs/vic_energy_fact_sheets/Victorian_Energy_Fact_Sheet_RED136211MR_Gas.pdf" TargetMode="External"/><Relationship Id="rId10" Type="http://schemas.openxmlformats.org/officeDocument/2006/relationships/hyperlink" Target="https://www.lumoenergy.com.au/docs/vic_energy_fact_sheets/Victorian_Energy_Fact_Sheet_LU2135722MR_Gas.pdf" TargetMode="External"/><Relationship Id="rId31" Type="http://schemas.openxmlformats.org/officeDocument/2006/relationships/hyperlink" Target="https://www.redenergy.com.au/docs/vic_energy_fact_sheets/Victorian_Energy_Fact_Sheet_RED136199MR_Gas.pdf" TargetMode="External"/><Relationship Id="rId44" Type="http://schemas.openxmlformats.org/officeDocument/2006/relationships/hyperlink" Target="https://www.momentumenergy.com.au/docs/default-source/price-sheets/RESI-Momentum-Gas-Australian-Gas-Networks-Central-MOM133154MR.pdf" TargetMode="External"/><Relationship Id="rId52" Type="http://schemas.openxmlformats.org/officeDocument/2006/relationships/hyperlink" Target="https://www.globirdenergy.com.au/shared-assets/Victorian_Energy_Fact_Sheets/Victorian_Energy_Fact_Sheet_GLO131440MR_Gas.pdf" TargetMode="External"/><Relationship Id="rId60" Type="http://schemas.openxmlformats.org/officeDocument/2006/relationships/hyperlink" Target="https://www.energyaustralia.com.au/epfs-documents/VIC_GAS_TOPH_A1_TRU132040MR.pdf" TargetMode="External"/><Relationship Id="rId65" Type="http://schemas.openxmlformats.org/officeDocument/2006/relationships/hyperlink" Target="https://www.simplyenergy.com.au/docs/default-source/factsheets/2689_vic_plus_ppd_12__ausnan(g)_sim144042mr.pdf?sfvrsn=1e9fe399_2" TargetMode="External"/><Relationship Id="rId73" Type="http://schemas.openxmlformats.org/officeDocument/2006/relationships/hyperlink" Target="https://connectto.dodo.com/rapidEnergyQuote/pricefactsheet/GetPdfDocument?filepath=PriceFactSheets%5cSP-Ausnet%5cConsumer%5cGas%5cAusNet+Services+Central+1+-+Residential+Gas+Market.pdf" TargetMode="External"/><Relationship Id="rId78" Type="http://schemas.openxmlformats.org/officeDocument/2006/relationships/vmlDrawing" Target="../drawings/vmlDrawing27.vml"/><Relationship Id="rId4" Type="http://schemas.openxmlformats.org/officeDocument/2006/relationships/hyperlink" Target="https://www.lumoenergy.com.au/docs/vic_energy_fact_sheets/Victorian_Energy_Fact_Sheet_LU2135723MR_Gas.pdf" TargetMode="External"/><Relationship Id="rId9" Type="http://schemas.openxmlformats.org/officeDocument/2006/relationships/hyperlink" Target="https://assets.kogan.com/files/energy/pdf/KE-MN-Metro-market.pdf" TargetMode="External"/><Relationship Id="rId13" Type="http://schemas.openxmlformats.org/officeDocument/2006/relationships/hyperlink" Target="https://www.redenergy.com.au/docs/vic_energy_fact_sheets/Victorian_Energy_Fact_Sheet_RED136206MR_Gas.pdf" TargetMode="External"/><Relationship Id="rId18" Type="http://schemas.openxmlformats.org/officeDocument/2006/relationships/hyperlink" Target="https://www.globirdenergy.com.au/shared-assets/Victorian_Energy_Fact_Sheets/Victorian_Energy_Fact_Sheet_GLO131441MR_Gas.pdf" TargetMode="External"/><Relationship Id="rId39" Type="http://schemas.openxmlformats.org/officeDocument/2006/relationships/hyperlink" Target="https://www.simplyenergy.com.au/docs/default-source/factsheets/2687_vic_plus_ppd_12__agnte(g)_sim144044mr.pdf?sfvrsn=209fe399_2" TargetMode="External"/><Relationship Id="rId34" Type="http://schemas.openxmlformats.org/officeDocument/2006/relationships/hyperlink" Target="https://www.energyaustralia.com.au/epfs-documents/VIC_GAS_TOPH_T2_TRU132051MR.pdf" TargetMode="External"/><Relationship Id="rId50" Type="http://schemas.openxmlformats.org/officeDocument/2006/relationships/hyperlink" Target="https://assets.kogan.com/files/energy/pdf/KE-AGN-Central-200101-market.pdf" TargetMode="External"/><Relationship Id="rId55" Type="http://schemas.openxmlformats.org/officeDocument/2006/relationships/hyperlink" Target="https://www.originenergy.com.au/content/dam/origin/residential/docs/energy-price-fact-sheets/vic/1Jan2019/OR2147759MR.pdf" TargetMode="External"/><Relationship Id="rId76" Type="http://schemas.openxmlformats.org/officeDocument/2006/relationships/hyperlink" Target="https://connectto.dodo.com/EnergySignup2015/pricefactsheet/GetPdfDocument?filepath=PriceFactSheets%5cMultinet%5cConsumer%5cGas%5cMultinet+South+1+-+Residential+Gas+Market.pdf" TargetMode="External"/><Relationship Id="rId7" Type="http://schemas.openxmlformats.org/officeDocument/2006/relationships/hyperlink" Target="https://www.simplyenergy.com.au/docs/default-source/factsheets/2694_vic_plus_ppd_12__multiom(g)_sim144048mr.pdf?sfvrsn=79fe399_2" TargetMode="External"/><Relationship Id="rId71" Type="http://schemas.openxmlformats.org/officeDocument/2006/relationships/hyperlink" Target="https://www.redenergy.com.au/docs/vic_energy_fact_sheets/Victorian_Energy_Fact_Sheet_RED136208MR_Gas.pdf" TargetMode="External"/><Relationship Id="rId2" Type="http://schemas.openxmlformats.org/officeDocument/2006/relationships/hyperlink" Target="https://www.energyaustralia.com.au/epfs-documents/VIC_GAS_TOPH_R2_TRU132043MR.pdf" TargetMode="External"/><Relationship Id="rId29" Type="http://schemas.openxmlformats.org/officeDocument/2006/relationships/hyperlink" Target="https://www.originenergy.com.au/content/dam/origin/residential/docs/energy-price-fact-sheets/vic/1Jan2019/OR2147764MR.pdf" TargetMode="External"/></Relationships>
</file>

<file path=xl/worksheets/_rels/sheet3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gl.com.au/-/media/agldata/distributordata/pdfs/victorian_energy_fact_sheet_agd129766mr_gas.pdf" TargetMode="External"/><Relationship Id="rId21" Type="http://schemas.openxmlformats.org/officeDocument/2006/relationships/hyperlink" Target="https://www.momentumenergy.com.au/docs/default-source/price-sheets/RESI-Momentum-Gas-Multinet-Metro-MOM133160MR.pdf" TargetMode="External"/><Relationship Id="rId42" Type="http://schemas.openxmlformats.org/officeDocument/2006/relationships/hyperlink" Target="https://www.agl.com.au/-/media/agldata/distributordata/pdfs/victorian_energy_fact_sheet_agd128304mr_gas.pdf" TargetMode="External"/><Relationship Id="rId47" Type="http://schemas.openxmlformats.org/officeDocument/2006/relationships/hyperlink" Target="https://www.redenergy.com.au/docs/vic_energy_fact_sheets/Victorian_Energy_Fact_Sheet_RED136209MR_Gas.pdf" TargetMode="External"/><Relationship Id="rId63" Type="http://schemas.openxmlformats.org/officeDocument/2006/relationships/hyperlink" Target="https://www.momentumenergy.com.au/docs/default-source/price-sheets/RESI-Momentum-Gas-Ausnet-Central-MOM133148MR.pdf" TargetMode="External"/><Relationship Id="rId68" Type="http://schemas.openxmlformats.org/officeDocument/2006/relationships/hyperlink" Target="https://www.energyaustralia.com.au/epfs-documents/VIC_GAS_TOPH_T1_TRU132050MR.pdf" TargetMode="External"/><Relationship Id="rId16" Type="http://schemas.openxmlformats.org/officeDocument/2006/relationships/hyperlink" Target="https://connectto.dodo.com/EnergySignup2015/pricefactsheet/GetPdfDocument?filepath=PriceFactSheets%5cMultinet%5cConsumer%5cGas%5cMultinet+Metro+1+-+Residential+Gas+Market.pdf" TargetMode="External"/><Relationship Id="rId11" Type="http://schemas.openxmlformats.org/officeDocument/2006/relationships/hyperlink" Target="https://www.momentumenergy.com.au/docs/default-source/price-sheets/RESI-Momentum-Gas-Multinet-Metro-MOM133160MR.pdf" TargetMode="External"/><Relationship Id="rId32" Type="http://schemas.openxmlformats.org/officeDocument/2006/relationships/hyperlink" Target="https://www.redenergy.com.au/docs/vic_energy_fact_sheets/Victorian_Energy_Fact_Sheet_RED136199MR_Gas.pdf" TargetMode="External"/><Relationship Id="rId37" Type="http://schemas.openxmlformats.org/officeDocument/2006/relationships/hyperlink" Target="https://www.momentumenergy.com.au/docs/default-source/price-sheets/RESI-Momentum-Gas-Australian-Gas-Networks-Central-MOM133154MR.pdf" TargetMode="External"/><Relationship Id="rId53" Type="http://schemas.openxmlformats.org/officeDocument/2006/relationships/hyperlink" Target="https://www.globirdenergy.com.au/shared-assets/Victorian_Energy_Fact_Sheets/Victorian_Energy_Fact_Sheet_GLO131440MR_Gas.pdf" TargetMode="External"/><Relationship Id="rId58" Type="http://schemas.openxmlformats.org/officeDocument/2006/relationships/hyperlink" Target="https://www.redenergy.com.au/docs/vic_energy_fact_sheets/Victorian_Energy_Fact_Sheet_RED136211MR_Gas.pdf" TargetMode="External"/><Relationship Id="rId74" Type="http://schemas.openxmlformats.org/officeDocument/2006/relationships/hyperlink" Target="https://connectto.dodo.com/rapidEnergyQuote/pricefactsheet/GetPdfDocument?filepath=PriceFactSheets%5cSP-Ausnet%5cConsumer%5cGas%5cAusNet+Services+Central+1+-+Residential+Gas+Market.pdf" TargetMode="External"/><Relationship Id="rId79" Type="http://schemas.openxmlformats.org/officeDocument/2006/relationships/hyperlink" Target="https://www.dcpowerco.com.au/wp-content/uploads/2019/07/DCP-AS-Central-90701-DR.pdf" TargetMode="External"/><Relationship Id="rId5" Type="http://schemas.openxmlformats.org/officeDocument/2006/relationships/hyperlink" Target="https://www.powershop.com.au/app/rates/gas/residential-gas-multinet-metro-market-offer.pdf?v=1" TargetMode="External"/><Relationship Id="rId61" Type="http://schemas.openxmlformats.org/officeDocument/2006/relationships/hyperlink" Target="https://www.energyaustralia.com.au/epfs-documents/VIC_GAS_TOPH_A1_TRU132040MR.pdf" TargetMode="External"/><Relationship Id="rId82" Type="http://schemas.openxmlformats.org/officeDocument/2006/relationships/comments" Target="../comments28.xml"/><Relationship Id="rId19" Type="http://schemas.openxmlformats.org/officeDocument/2006/relationships/hyperlink" Target="https://www.amaysim.com.au/energy/epfs/eme/AMA133829MR.pdf?postcode=3102" TargetMode="External"/><Relationship Id="rId14" Type="http://schemas.openxmlformats.org/officeDocument/2006/relationships/hyperlink" Target="https://www.simplyenergy.com.au/docs/default-source/factsheets/2693_vic_plus_ppd_12__multinsw(g)_sim144047mr.pdf?sfvrsn=29fe399_2" TargetMode="External"/><Relationship Id="rId22" Type="http://schemas.openxmlformats.org/officeDocument/2006/relationships/hyperlink" Target="https://www.covau.com.au/EnergyPriceFactSheets/DPFS/CoavU_VIC_Gas_SmartSaver_Residential_MultinetMetropolitan.pdf" TargetMode="External"/><Relationship Id="rId27" Type="http://schemas.openxmlformats.org/officeDocument/2006/relationships/hyperlink" Target="https://www.energyaustralia.com.au/epfs-documents/VIC_GAS_TOPH_R4_TRU132045MR.pdf" TargetMode="External"/><Relationship Id="rId30" Type="http://schemas.openxmlformats.org/officeDocument/2006/relationships/hyperlink" Target="https://www.originenergy.com.au/content/dam/origin/residential/docs/energy-price-fact-sheets/vic/1Jan2019/OR2147764MR.pdf" TargetMode="External"/><Relationship Id="rId35" Type="http://schemas.openxmlformats.org/officeDocument/2006/relationships/hyperlink" Target="https://www.energyaustralia.com.au/epfs-documents/VIC_GAS_TOPH_T2_TRU132051MR.pdf" TargetMode="External"/><Relationship Id="rId43" Type="http://schemas.openxmlformats.org/officeDocument/2006/relationships/hyperlink" Target="https://www.energyaustralia.com.au/epfs-documents/VIC_GAS_TOPH_R5_TRU132046MR.pdf" TargetMode="External"/><Relationship Id="rId48" Type="http://schemas.openxmlformats.org/officeDocument/2006/relationships/hyperlink" Target="https://www.simplyenergy.com.au/docs/default-source/factsheets/2686_vic_plus_ppd_12__agnose(g)_sim144045mr.pdf?sfvrsn=2f9fe399_2" TargetMode="External"/><Relationship Id="rId56" Type="http://schemas.openxmlformats.org/officeDocument/2006/relationships/hyperlink" Target="https://www.originenergy.com.au/content/dam/origin/residential/docs/energy-price-fact-sheets/vic/1Jan2019/OR2147759MR.pdf" TargetMode="External"/><Relationship Id="rId64" Type="http://schemas.openxmlformats.org/officeDocument/2006/relationships/hyperlink" Target="https://www.powershop.com.au/app/rates/gas/residential-gas-ausnet-central-market-offer.pdf?v=1" TargetMode="External"/><Relationship Id="rId69" Type="http://schemas.openxmlformats.org/officeDocument/2006/relationships/hyperlink" Target="https://www.lumoenergy.com.au/docs/vic_energy_fact_sheets/Victorian_Energy_Fact_Sheet_LU2135719MR_Gas.pdf" TargetMode="External"/><Relationship Id="rId77" Type="http://schemas.openxmlformats.org/officeDocument/2006/relationships/hyperlink" Target="https://connectto.dodo.com/EnergySignup2015/pricefactsheet/GetPdfDocument?filepath=PriceFactSheets%5cMultinet%5cConsumer%5cGas%5cMultinet+South+1+-+Residential+Gas+Market.pdf" TargetMode="External"/><Relationship Id="rId8" Type="http://schemas.openxmlformats.org/officeDocument/2006/relationships/hyperlink" Target="https://www.energyaustralia.com.au/epfs-documents/VIC_GAS_TOPH_A2_TRU132041MR.pdf" TargetMode="External"/><Relationship Id="rId51" Type="http://schemas.openxmlformats.org/officeDocument/2006/relationships/hyperlink" Target="https://assets.kogan.com/files/energy/pdf/KE-AGN-Central-200101-market.pdf" TargetMode="External"/><Relationship Id="rId72" Type="http://schemas.openxmlformats.org/officeDocument/2006/relationships/hyperlink" Target="https://www.redenergy.com.au/docs/vic_energy_fact_sheets/Victorian_Energy_Fact_Sheet_RED136208MR_Gas.pdf" TargetMode="External"/><Relationship Id="rId80" Type="http://schemas.openxmlformats.org/officeDocument/2006/relationships/hyperlink" Target="https://sumo-epfs.s3-ap-southeast-2.amazonaws.com/vefs/Victorian_Energy_Fact_Sheet_SUM108027MR_Gas.pdf" TargetMode="External"/><Relationship Id="rId3" Type="http://schemas.openxmlformats.org/officeDocument/2006/relationships/hyperlink" Target="https://assets.kogan.com/files/energy/pdf/KE-MN-Metro-market.pdf" TargetMode="External"/><Relationship Id="rId12" Type="http://schemas.openxmlformats.org/officeDocument/2006/relationships/hyperlink" Target="https://www.powershop.com.au/app/rates/gas/residential-gas-multinet-metro-market-offer.pdf?v=1" TargetMode="External"/><Relationship Id="rId17" Type="http://schemas.openxmlformats.org/officeDocument/2006/relationships/hyperlink" Target="https://1stenergy.com.au/wp-content/uploads/Price_Fact_Sheets/Gas%20PFS/Victorian_Energy_Fact_Sheet_1ST121208MR_Gas.pdf?_t=1568942513" TargetMode="External"/><Relationship Id="rId25" Type="http://schemas.openxmlformats.org/officeDocument/2006/relationships/hyperlink" Target="https://www.dcpowerco.com.au/wp-content/uploads/2019/12/DCP-MN-Metro-200101-DR-1.pdf" TargetMode="External"/><Relationship Id="rId33" Type="http://schemas.openxmlformats.org/officeDocument/2006/relationships/hyperlink" Target="https://www.simplyenergy.com.au/docs/default-source/factsheets/2685_vic_plus_ppd_12__agnon(g)_sim144046mr.pdf?sfvrsn=2a9fe399_2" TargetMode="External"/><Relationship Id="rId38" Type="http://schemas.openxmlformats.org/officeDocument/2006/relationships/hyperlink" Target="https://www.powershop.com.au/app/rates/gas/residential-gas-agn-central-market-offer.pdf?v=1" TargetMode="External"/><Relationship Id="rId46" Type="http://schemas.openxmlformats.org/officeDocument/2006/relationships/hyperlink" Target="https://www.powershop.com.au/app/rates/gas/residential-gas-agn-central-market-offer.pdf?v=1" TargetMode="External"/><Relationship Id="rId59" Type="http://schemas.openxmlformats.org/officeDocument/2006/relationships/hyperlink" Target="https://www.simplyenergy.com.au/docs/default-source/factsheets/2692_vic_plus_ppd_12__ausntw(g)_sim144041mr.pdf?sfvrsn=99fe399_2" TargetMode="External"/><Relationship Id="rId67" Type="http://schemas.openxmlformats.org/officeDocument/2006/relationships/hyperlink" Target="https://assets.kogan.com/files/energy/pdf/KE-AS-Central-200101-market.pdf" TargetMode="External"/><Relationship Id="rId20" Type="http://schemas.openxmlformats.org/officeDocument/2006/relationships/hyperlink" Target="https://sumo-epfs.s3-ap-southeast-2.amazonaws.com/vefs/Victorian_Energy_Fact_Sheet_SUM108026MR_Gas.pdf" TargetMode="External"/><Relationship Id="rId41" Type="http://schemas.openxmlformats.org/officeDocument/2006/relationships/hyperlink" Target="https://assets.kogan.com/files/energy/pdf/KE-AGN-Central-200101-market.pdf" TargetMode="External"/><Relationship Id="rId54" Type="http://schemas.openxmlformats.org/officeDocument/2006/relationships/hyperlink" Target="https://www.lumoenergy.com.au/docs/vic_energy_fact_sheets/Victorian_Energy_Fact_Sheet_LU2135720MR_Gas.pdf" TargetMode="External"/><Relationship Id="rId62" Type="http://schemas.openxmlformats.org/officeDocument/2006/relationships/hyperlink" Target="https://www.lumoenergy.com.au/docs/vic_energy_fact_sheets/Victorian_Energy_Fact_Sheet_LU2135740MR_Gas.pdf" TargetMode="External"/><Relationship Id="rId70" Type="http://schemas.openxmlformats.org/officeDocument/2006/relationships/hyperlink" Target="https://www.momentumenergy.com.au/docs/default-source/price-sheets/RESI-Momentum-Gas-Ausnet-Central-MOM133148MR.pdf" TargetMode="External"/><Relationship Id="rId75" Type="http://schemas.openxmlformats.org/officeDocument/2006/relationships/hyperlink" Target="https://assets.kogan.com/files/energy/pdf/KE-AS-Central-200101-market.pdf" TargetMode="External"/><Relationship Id="rId1" Type="http://schemas.openxmlformats.org/officeDocument/2006/relationships/hyperlink" Target="https://www.clickenergy.com.au/pdf/vefs/CLI130564MR.pdf" TargetMode="External"/><Relationship Id="rId6" Type="http://schemas.openxmlformats.org/officeDocument/2006/relationships/hyperlink" Target="https://www.redenergy.com.au/docs/vic_energy_fact_sheets/Victorian_Energy_Fact_Sheet_RED136205MR_Gas.pdf" TargetMode="External"/><Relationship Id="rId15" Type="http://schemas.openxmlformats.org/officeDocument/2006/relationships/hyperlink" Target="https://www.globirdenergy.com.au/shared-assets/Victorian_Energy_Fact_Sheets/Victorian_Energy_Fact_Sheet_GLO131441MR_Gas.pdf" TargetMode="External"/><Relationship Id="rId23" Type="http://schemas.openxmlformats.org/officeDocument/2006/relationships/hyperlink" Target="https://forms.alintaenergy.com.au/Alinta/media/EnergyPriceFactSheets/Victorian_Energy_Fact_Sheet_ALI154666MR_Gas.pdf?_ga=2.133547657.686482109.1578878026-1533394487.1578878026" TargetMode="External"/><Relationship Id="rId28" Type="http://schemas.openxmlformats.org/officeDocument/2006/relationships/hyperlink" Target="https://www.lumoenergy.com.au/docs/vic_energy_fact_sheets/Victorian_Energy_Fact_Sheet_LU2135726MR_Gas.pdf" TargetMode="External"/><Relationship Id="rId36" Type="http://schemas.openxmlformats.org/officeDocument/2006/relationships/hyperlink" Target="https://www.lumoenergy.com.au/docs/vic_energy_fact_sheets/Victorian_Energy_Fact_Sheet_LU2135729MR_Gas.pdf" TargetMode="External"/><Relationship Id="rId49" Type="http://schemas.openxmlformats.org/officeDocument/2006/relationships/hyperlink" Target="https://www.covau.com.au/EnergyPriceFactSheets/DPFS/CoavU_VIC_Gas_SmartSaver_Residential_AustralianGasNetworksCentral.pdf" TargetMode="External"/><Relationship Id="rId57" Type="http://schemas.openxmlformats.org/officeDocument/2006/relationships/hyperlink" Target="https://www.powershop.com.au/app/rates/gas/residential-gas-ausnet-west-market-offer.pdf?v=1" TargetMode="External"/><Relationship Id="rId10" Type="http://schemas.openxmlformats.org/officeDocument/2006/relationships/hyperlink" Target="https://www.lumoenergy.com.au/docs/vic_energy_fact_sheets/Victorian_Energy_Fact_Sheet_LU2135722MR_Gas.pdf" TargetMode="External"/><Relationship Id="rId31" Type="http://schemas.openxmlformats.org/officeDocument/2006/relationships/hyperlink" Target="https://www.powershop.com.au/app/rates/gas/residential-gas-agn-north-market-offer.pdf?v=1" TargetMode="External"/><Relationship Id="rId44" Type="http://schemas.openxmlformats.org/officeDocument/2006/relationships/hyperlink" Target="https://www.lumoenergy.com.au/docs/vic_energy_fact_sheets/Victorian_Energy_Fact_Sheet_LU2135727MR_Gas.pdf" TargetMode="External"/><Relationship Id="rId52" Type="http://schemas.openxmlformats.org/officeDocument/2006/relationships/hyperlink" Target="https://www.energyaustralia.com.au/epfs-documents/VIC_GAS_TOPH_T3_TRU132052MR.pdf" TargetMode="External"/><Relationship Id="rId60" Type="http://schemas.openxmlformats.org/officeDocument/2006/relationships/hyperlink" Target="https://assets.kogan.com/files/energy/pdf/KE-AS-West-200101-market.pdf" TargetMode="External"/><Relationship Id="rId65" Type="http://schemas.openxmlformats.org/officeDocument/2006/relationships/hyperlink" Target="https://www.redenergy.com.au/docs/vic_energy_fact_sheets/Victorian_Energy_Fact_Sheet_RED136207MR_Gas.pdf" TargetMode="External"/><Relationship Id="rId73" Type="http://schemas.openxmlformats.org/officeDocument/2006/relationships/hyperlink" Target="https://www.simplyenergy.com.au/docs/default-source/factsheets/2691_vic_plus_ppd_12__ausntc(g)_sim144040mr.pdf?sfvrsn=7d9fe399_2" TargetMode="External"/><Relationship Id="rId78" Type="http://schemas.openxmlformats.org/officeDocument/2006/relationships/hyperlink" Target="https://www.dcpowerco.com.au/wp-content/uploads/2019/12/DCP-AS-Central-200101-DR-1-1.pdf" TargetMode="External"/><Relationship Id="rId81" Type="http://schemas.openxmlformats.org/officeDocument/2006/relationships/vmlDrawing" Target="../drawings/vmlDrawing28.vml"/><Relationship Id="rId4" Type="http://schemas.openxmlformats.org/officeDocument/2006/relationships/hyperlink" Target="https://www.lumoenergy.com.au/docs/vic_energy_fact_sheets/Victorian_Energy_Fact_Sheet_LU2135723MR_Gas.pdf" TargetMode="External"/><Relationship Id="rId9" Type="http://schemas.openxmlformats.org/officeDocument/2006/relationships/hyperlink" Target="https://assets.kogan.com/files/energy/pdf/KE-MN-Metro-market.pdf" TargetMode="External"/><Relationship Id="rId13" Type="http://schemas.openxmlformats.org/officeDocument/2006/relationships/hyperlink" Target="https://www.redenergy.com.au/docs/vic_energy_fact_sheets/Victorian_Energy_Fact_Sheet_RED136206MR_Gas.pdf" TargetMode="External"/><Relationship Id="rId18" Type="http://schemas.openxmlformats.org/officeDocument/2006/relationships/hyperlink" Target="https://www.globirdenergy.com.au/shared-assets/Victorian_Energy_Fact_Sheets/Victorian_Energy_Fact_Sheet_GLO131441MR_Gas.pdf" TargetMode="External"/><Relationship Id="rId39" Type="http://schemas.openxmlformats.org/officeDocument/2006/relationships/hyperlink" Target="https://www.redenergy.com.au/docs/vic_energy_fact_sheets/Victorian_Energy_Fact_Sheet_RED136210MR_Gas.pdf" TargetMode="External"/><Relationship Id="rId34" Type="http://schemas.openxmlformats.org/officeDocument/2006/relationships/hyperlink" Target="https://forms.alintaenergy.com.au/Alinta/media/EnergyPriceFactSheets/Victorian_Energy_Fact_Sheet_ALI154675MR_Gas.pdf?_ga=2.174425637.686482109.1578878026-1533394487.1578878026" TargetMode="External"/><Relationship Id="rId50" Type="http://schemas.openxmlformats.org/officeDocument/2006/relationships/hyperlink" Target="https://connectto.dodo.com/EnergySignup2015/pricefactsheet/GetPdfDocument?filepath=PriceFactSheets%5cEnvestra%5cConsumer%5cGas%5cAustralian+Gas+Networks+Central+1+-+Residential+Gas+Market.pdf" TargetMode="External"/><Relationship Id="rId55" Type="http://schemas.openxmlformats.org/officeDocument/2006/relationships/hyperlink" Target="https://www.momentumenergy.com.au/docs/default-source/price-sheets/RESI-Momentum-Gas-Ausnet-West-MOM133150MR.pdf" TargetMode="External"/><Relationship Id="rId76" Type="http://schemas.openxmlformats.org/officeDocument/2006/relationships/hyperlink" Target="https://connectto.dodo.com/rapidEnergyQuote/pricefactsheet/GetPdfDocument?filepath=PriceFactSheets%5cSP-Ausnet%5cConsumer%5cGas%5cAusNet+Services+Central+1+-+Residential+Gas+Market.pdf" TargetMode="External"/><Relationship Id="rId7" Type="http://schemas.openxmlformats.org/officeDocument/2006/relationships/hyperlink" Target="https://www.simplyenergy.com.au/docs/default-source/factsheets/2694_vic_plus_ppd_12__multiom(g)_sim144048mr.pdf?sfvrsn=79fe399_2" TargetMode="External"/><Relationship Id="rId71" Type="http://schemas.openxmlformats.org/officeDocument/2006/relationships/hyperlink" Target="https://www.powershop.com.au/app/rates/gas/residential-gas-ausnet-central-market-offer.pdf?v=1" TargetMode="External"/><Relationship Id="rId2" Type="http://schemas.openxmlformats.org/officeDocument/2006/relationships/hyperlink" Target="https://www.energyaustralia.com.au/epfs-documents/VIC_GAS_TOPH_R2_TRU132043MR.pdf" TargetMode="External"/><Relationship Id="rId29" Type="http://schemas.openxmlformats.org/officeDocument/2006/relationships/hyperlink" Target="https://www.momentumenergy.com.au/docs/default-source/price-sheets/RESI-Momentum-Gas-Australian-Gas-Networks-North-MOM133158MR.pdf" TargetMode="External"/><Relationship Id="rId24" Type="http://schemas.openxmlformats.org/officeDocument/2006/relationships/hyperlink" Target="https://www.agl.com.au/-/media/agldata/distributordata/pdfs/victorian_energy_fact_sheet_agd128308mr_gas.pdf" TargetMode="External"/><Relationship Id="rId40" Type="http://schemas.openxmlformats.org/officeDocument/2006/relationships/hyperlink" Target="https://www.simplyenergy.com.au/docs/default-source/factsheets/2687_vic_plus_ppd_12__agnte(g)_sim144044mr.pdf?sfvrsn=209fe399_2" TargetMode="External"/><Relationship Id="rId45" Type="http://schemas.openxmlformats.org/officeDocument/2006/relationships/hyperlink" Target="https://www.momentumenergy.com.au/docs/default-source/price-sheets/RESI-Momentum-Gas-Australian-Gas-Networks-Central-MOM133154MR.pdf" TargetMode="External"/><Relationship Id="rId66" Type="http://schemas.openxmlformats.org/officeDocument/2006/relationships/hyperlink" Target="https://www.simplyenergy.com.au/docs/default-source/factsheets/2689_vic_plus_ppd_12__ausnan(g)_sim144042mr.pdf?sfvrsn=1e9fe399_2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lintaenergy.com.au/energy-products/electricity-gas/real-deal-gas" TargetMode="External"/><Relationship Id="rId2" Type="http://schemas.openxmlformats.org/officeDocument/2006/relationships/hyperlink" Target="https://www.simplyenergy.com.au/docs/default-source/factsheets/0904_vic-plus-50_multinsw(g)_sim104993mr.pdf?sfvrsn=51c11499_2" TargetMode="External"/><Relationship Id="rId1" Type="http://schemas.openxmlformats.org/officeDocument/2006/relationships/hyperlink" Target="https://www.simplyenergy.com.au/docs/default-source/factsheets/0900_vic-plus-50_ausnan(g)_sim104433mr.pdf?sfvrsn=3c11499_2" TargetMode="External"/><Relationship Id="rId5" Type="http://schemas.openxmlformats.org/officeDocument/2006/relationships/comments" Target="../comments29.xml"/><Relationship Id="rId4" Type="http://schemas.openxmlformats.org/officeDocument/2006/relationships/vmlDrawing" Target="../drawings/vmlDrawing29.v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owershop.com.au/gas-prices/files/market-offer/multinet/PMO-Multinet-Metro-0518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2.xml"/><Relationship Id="rId1" Type="http://schemas.openxmlformats.org/officeDocument/2006/relationships/vmlDrawing" Target="../drawings/vmlDrawing42.v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drawing" Target="../drawings/drawing3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drawing" Target="../drawings/drawing4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drawing" Target="../drawings/drawing5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drawing" Target="../drawings/drawing7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drawing" Target="../drawings/drawing8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9.xml"/><Relationship Id="rId1" Type="http://schemas.openxmlformats.org/officeDocument/2006/relationships/vmlDrawing" Target="../drawings/vmlDrawing49.v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0.xml"/><Relationship Id="rId1" Type="http://schemas.openxmlformats.org/officeDocument/2006/relationships/vmlDrawing" Target="../drawings/vmlDrawing50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1.xml"/><Relationship Id="rId1" Type="http://schemas.openxmlformats.org/officeDocument/2006/relationships/vmlDrawing" Target="../drawings/vmlDrawing51.v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2.xml"/><Relationship Id="rId1" Type="http://schemas.openxmlformats.org/officeDocument/2006/relationships/vmlDrawing" Target="../drawings/vmlDrawing52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3.xml"/><Relationship Id="rId1" Type="http://schemas.openxmlformats.org/officeDocument/2006/relationships/vmlDrawing" Target="../drawings/vmlDrawing53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4.xml"/><Relationship Id="rId1" Type="http://schemas.openxmlformats.org/officeDocument/2006/relationships/vmlDrawing" Target="../drawings/vmlDrawing54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5.xml"/><Relationship Id="rId1" Type="http://schemas.openxmlformats.org/officeDocument/2006/relationships/vmlDrawing" Target="../drawings/vmlDrawing55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6.xml"/><Relationship Id="rId1" Type="http://schemas.openxmlformats.org/officeDocument/2006/relationships/vmlDrawing" Target="../drawings/vmlDrawing5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7.xml"/><Relationship Id="rId1" Type="http://schemas.openxmlformats.org/officeDocument/2006/relationships/vmlDrawing" Target="../drawings/vmlDrawing57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8.xml"/><Relationship Id="rId1" Type="http://schemas.openxmlformats.org/officeDocument/2006/relationships/vmlDrawing" Target="../drawings/vmlDrawing58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0.xml"/><Relationship Id="rId1" Type="http://schemas.openxmlformats.org/officeDocument/2006/relationships/vmlDrawing" Target="../drawings/vmlDrawing60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1.xml"/><Relationship Id="rId1" Type="http://schemas.openxmlformats.org/officeDocument/2006/relationships/vmlDrawing" Target="../drawings/vmlDrawing61.v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2.xml"/><Relationship Id="rId1" Type="http://schemas.openxmlformats.org/officeDocument/2006/relationships/vmlDrawing" Target="../drawings/vmlDrawing62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3.xml"/><Relationship Id="rId1" Type="http://schemas.openxmlformats.org/officeDocument/2006/relationships/vmlDrawing" Target="../drawings/vmlDrawing63.v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4.xml"/><Relationship Id="rId1" Type="http://schemas.openxmlformats.org/officeDocument/2006/relationships/vmlDrawing" Target="../drawings/vmlDrawing64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5.xml"/><Relationship Id="rId1" Type="http://schemas.openxmlformats.org/officeDocument/2006/relationships/vmlDrawing" Target="../drawings/vmlDrawing65.v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6.xml"/><Relationship Id="rId1" Type="http://schemas.openxmlformats.org/officeDocument/2006/relationships/vmlDrawing" Target="../drawings/vmlDrawing6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B7611-E46D-EF4B-8D1F-67F2D312760E}">
  <sheetPr codeName="Sheet1"/>
  <dimension ref="A1:AF170"/>
  <sheetViews>
    <sheetView topLeftCell="A65" workbookViewId="0">
      <selection activeCell="G13" sqref="G13"/>
    </sheetView>
  </sheetViews>
  <sheetFormatPr baseColWidth="10" defaultRowHeight="13" x14ac:dyDescent="0.15"/>
  <cols>
    <col min="11" max="11" width="8.5" customWidth="1"/>
    <col min="12" max="12" width="7.6640625" customWidth="1"/>
    <col min="13" max="13" width="5.1640625" customWidth="1"/>
    <col min="26" max="26" width="5.6640625" customWidth="1"/>
    <col min="27" max="27" width="7" customWidth="1"/>
    <col min="28" max="28" width="7.33203125" customWidth="1"/>
    <col min="29" max="29" width="6.6640625" customWidth="1"/>
  </cols>
  <sheetData>
    <row r="1" spans="1:32" ht="14" x14ac:dyDescent="0.15">
      <c r="A1" s="102" t="s">
        <v>1077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549"/>
      <c r="AF1" s="549"/>
    </row>
    <row r="2" spans="1:32" x14ac:dyDescent="0.15">
      <c r="A2" s="103" t="s">
        <v>1078</v>
      </c>
      <c r="B2" s="104"/>
      <c r="C2" s="104"/>
      <c r="D2" s="104"/>
      <c r="E2" s="104"/>
      <c r="F2" s="39"/>
      <c r="G2" s="39"/>
      <c r="H2" s="39"/>
      <c r="I2" s="39"/>
      <c r="J2" s="39"/>
      <c r="K2" s="39"/>
      <c r="L2" s="39"/>
      <c r="M2" s="39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549"/>
      <c r="AF2" s="549"/>
    </row>
    <row r="3" spans="1:32" ht="14" x14ac:dyDescent="0.15">
      <c r="A3" s="105" t="s">
        <v>1643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549"/>
      <c r="AF3" s="549"/>
    </row>
    <row r="4" spans="1:32" ht="14" x14ac:dyDescent="0.15">
      <c r="A4" s="105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549"/>
      <c r="AF4" s="549"/>
    </row>
    <row r="5" spans="1:32" x14ac:dyDescent="0.15">
      <c r="A5" s="38" t="s">
        <v>1082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74"/>
      <c r="O5" s="374"/>
      <c r="P5" s="374"/>
      <c r="Q5" s="374"/>
      <c r="R5" s="374"/>
      <c r="S5" s="374"/>
      <c r="T5" s="374"/>
      <c r="U5" s="374"/>
      <c r="V5" s="374"/>
      <c r="W5" s="374"/>
      <c r="X5" s="374"/>
      <c r="Y5" s="374"/>
      <c r="Z5" s="374"/>
      <c r="AA5" s="374"/>
      <c r="AB5" s="374"/>
      <c r="AC5" s="374"/>
      <c r="AD5" s="374"/>
      <c r="AE5" s="549"/>
      <c r="AF5" s="549"/>
    </row>
    <row r="6" spans="1:32" x14ac:dyDescent="0.15">
      <c r="A6" s="39" t="s">
        <v>1084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74"/>
      <c r="O6" s="374"/>
      <c r="P6" s="374"/>
      <c r="Q6" s="374"/>
      <c r="R6" s="374"/>
      <c r="S6" s="374"/>
      <c r="T6" s="374"/>
      <c r="U6" s="374"/>
      <c r="V6" s="374"/>
      <c r="W6" s="374"/>
      <c r="X6" s="374"/>
      <c r="Y6" s="374"/>
      <c r="Z6" s="374"/>
      <c r="AA6" s="374"/>
      <c r="AB6" s="374"/>
      <c r="AC6" s="374"/>
      <c r="AD6" s="374"/>
      <c r="AE6" s="549"/>
      <c r="AF6" s="549"/>
    </row>
    <row r="7" spans="1:32" x14ac:dyDescent="0.15">
      <c r="A7" s="39" t="s">
        <v>1086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  <c r="AE7" s="549"/>
      <c r="AF7" s="549"/>
    </row>
    <row r="8" spans="1:32" ht="14" thickBot="1" x14ac:dyDescent="0.2">
      <c r="A8" s="39" t="s">
        <v>1087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74"/>
      <c r="O8" s="374"/>
      <c r="P8" s="374"/>
      <c r="Q8" s="374"/>
      <c r="R8" s="374"/>
      <c r="S8" s="374"/>
      <c r="T8" s="374"/>
      <c r="U8" s="374"/>
      <c r="V8" s="374"/>
      <c r="W8" s="374"/>
      <c r="X8" s="374"/>
      <c r="Y8" s="374"/>
      <c r="Z8" s="374"/>
      <c r="AA8" s="374"/>
      <c r="AB8" s="374"/>
      <c r="AC8" s="374"/>
      <c r="AD8" s="374"/>
      <c r="AE8" s="549"/>
      <c r="AF8" s="549"/>
    </row>
    <row r="9" spans="1:32" x14ac:dyDescent="0.15">
      <c r="A9" s="39" t="s">
        <v>1088</v>
      </c>
      <c r="B9" s="39"/>
      <c r="C9" s="39"/>
      <c r="D9" s="39"/>
      <c r="E9" s="39"/>
      <c r="F9" s="39"/>
      <c r="G9" s="39"/>
      <c r="H9" s="39"/>
      <c r="I9" s="39"/>
      <c r="J9" s="39"/>
      <c r="K9" s="106" t="s">
        <v>1060</v>
      </c>
      <c r="L9" s="107"/>
      <c r="M9" s="39"/>
      <c r="N9" s="346" t="s">
        <v>1041</v>
      </c>
      <c r="O9" s="347"/>
      <c r="P9" s="374"/>
      <c r="Q9" s="550" t="s">
        <v>1079</v>
      </c>
      <c r="R9" s="551"/>
      <c r="S9" s="551"/>
      <c r="T9" s="551"/>
      <c r="U9" s="551"/>
      <c r="V9" s="551"/>
      <c r="W9" s="551"/>
      <c r="X9" s="551"/>
      <c r="Y9" s="551"/>
      <c r="Z9" s="551"/>
      <c r="AA9" s="552"/>
      <c r="AB9" s="374"/>
      <c r="AC9" s="374"/>
      <c r="AD9" s="374"/>
      <c r="AE9" s="549"/>
      <c r="AF9" s="549"/>
    </row>
    <row r="10" spans="1:32" x14ac:dyDescent="0.15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627" t="s">
        <v>1748</v>
      </c>
      <c r="L10" s="628"/>
      <c r="M10" s="39"/>
      <c r="N10" s="348" t="s">
        <v>1044</v>
      </c>
      <c r="O10" s="349"/>
      <c r="P10" s="374"/>
      <c r="Q10" s="553" t="s">
        <v>1080</v>
      </c>
      <c r="R10" s="554"/>
      <c r="S10" s="554"/>
      <c r="T10" s="554"/>
      <c r="U10" s="554"/>
      <c r="V10" s="554"/>
      <c r="W10" s="554"/>
      <c r="X10" s="554"/>
      <c r="Y10" s="554"/>
      <c r="Z10" s="554"/>
      <c r="AA10" s="555"/>
      <c r="AB10" s="374"/>
      <c r="AC10" s="374"/>
      <c r="AD10" s="374"/>
      <c r="AE10" s="549"/>
      <c r="AF10" s="549"/>
    </row>
    <row r="11" spans="1:32" x14ac:dyDescent="0.15">
      <c r="A11" s="38" t="s">
        <v>1090</v>
      </c>
      <c r="B11" s="39"/>
      <c r="C11" s="39"/>
      <c r="D11" s="39"/>
      <c r="E11" s="39"/>
      <c r="F11" s="39"/>
      <c r="G11" s="39"/>
      <c r="H11" s="39"/>
      <c r="I11" s="39"/>
      <c r="J11" s="39"/>
      <c r="K11" s="606" t="s">
        <v>1692</v>
      </c>
      <c r="L11" s="607"/>
      <c r="M11" s="39"/>
      <c r="N11" s="348" t="s">
        <v>1046</v>
      </c>
      <c r="O11" s="349"/>
      <c r="P11" s="374"/>
      <c r="Q11" s="553" t="s">
        <v>1081</v>
      </c>
      <c r="R11" s="554"/>
      <c r="S11" s="554"/>
      <c r="T11" s="554"/>
      <c r="U11" s="554"/>
      <c r="V11" s="554"/>
      <c r="W11" s="554"/>
      <c r="X11" s="554"/>
      <c r="Y11" s="554"/>
      <c r="Z11" s="554"/>
      <c r="AA11" s="555"/>
      <c r="AB11" s="374"/>
      <c r="AC11" s="374"/>
      <c r="AD11" s="374"/>
      <c r="AE11" s="549"/>
      <c r="AF11" s="549"/>
    </row>
    <row r="12" spans="1:32" x14ac:dyDescent="0.15">
      <c r="A12" s="39" t="s">
        <v>1092</v>
      </c>
      <c r="B12" s="39"/>
      <c r="C12" s="39"/>
      <c r="D12" s="39"/>
      <c r="E12" s="39"/>
      <c r="F12" s="39"/>
      <c r="G12" s="39"/>
      <c r="H12" s="39"/>
      <c r="I12" s="39"/>
      <c r="J12" s="39"/>
      <c r="K12" s="595" t="s">
        <v>1642</v>
      </c>
      <c r="L12" s="596"/>
      <c r="M12" s="39"/>
      <c r="N12" s="348" t="s">
        <v>1050</v>
      </c>
      <c r="O12" s="349"/>
      <c r="P12" s="374"/>
      <c r="Q12" s="553" t="s">
        <v>1083</v>
      </c>
      <c r="R12" s="554"/>
      <c r="S12" s="554"/>
      <c r="T12" s="554"/>
      <c r="U12" s="554"/>
      <c r="V12" s="554"/>
      <c r="W12" s="554"/>
      <c r="X12" s="554"/>
      <c r="Y12" s="554"/>
      <c r="Z12" s="554"/>
      <c r="AA12" s="555"/>
      <c r="AB12" s="374"/>
      <c r="AC12" s="374"/>
      <c r="AD12" s="374"/>
      <c r="AE12" s="549"/>
      <c r="AF12" s="549"/>
    </row>
    <row r="13" spans="1:32" ht="14" thickBot="1" x14ac:dyDescent="0.2">
      <c r="A13" s="39" t="s">
        <v>1094</v>
      </c>
      <c r="B13" s="39"/>
      <c r="C13" s="39"/>
      <c r="D13" s="39"/>
      <c r="E13" s="39"/>
      <c r="F13" s="39"/>
      <c r="G13" s="39"/>
      <c r="H13" s="39"/>
      <c r="I13" s="39"/>
      <c r="J13" s="39"/>
      <c r="K13" s="591" t="s">
        <v>1641</v>
      </c>
      <c r="L13" s="592"/>
      <c r="M13" s="39"/>
      <c r="N13" s="348" t="s">
        <v>1052</v>
      </c>
      <c r="O13" s="349"/>
      <c r="P13" s="374"/>
      <c r="Q13" s="556" t="s">
        <v>1085</v>
      </c>
      <c r="R13" s="557"/>
      <c r="S13" s="557"/>
      <c r="T13" s="557"/>
      <c r="U13" s="557"/>
      <c r="V13" s="557"/>
      <c r="W13" s="557"/>
      <c r="X13" s="557"/>
      <c r="Y13" s="557"/>
      <c r="Z13" s="557"/>
      <c r="AA13" s="558"/>
      <c r="AB13" s="374"/>
      <c r="AC13" s="374"/>
      <c r="AD13" s="374"/>
      <c r="AE13" s="549"/>
      <c r="AF13" s="549"/>
    </row>
    <row r="14" spans="1:32" x14ac:dyDescent="0.15">
      <c r="A14" s="38"/>
      <c r="B14" s="39"/>
      <c r="C14" s="39"/>
      <c r="D14" s="39"/>
      <c r="E14" s="39"/>
      <c r="F14" s="39"/>
      <c r="G14" s="39"/>
      <c r="H14" s="39"/>
      <c r="I14" s="39"/>
      <c r="J14" s="39"/>
      <c r="K14" s="575" t="s">
        <v>1603</v>
      </c>
      <c r="L14" s="576"/>
      <c r="M14" s="39"/>
      <c r="N14" s="348" t="s">
        <v>1054</v>
      </c>
      <c r="O14" s="349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4"/>
      <c r="AA14" s="374"/>
      <c r="AB14" s="374"/>
      <c r="AC14" s="374"/>
      <c r="AD14" s="374"/>
      <c r="AE14" s="549"/>
      <c r="AF14" s="549"/>
    </row>
    <row r="15" spans="1:32" x14ac:dyDescent="0.15">
      <c r="A15" s="626" t="s">
        <v>1096</v>
      </c>
      <c r="B15" s="374"/>
      <c r="C15" s="39"/>
      <c r="D15" s="39"/>
      <c r="E15" s="39"/>
      <c r="F15" s="39"/>
      <c r="G15" s="39"/>
      <c r="H15" s="39"/>
      <c r="I15" s="39"/>
      <c r="J15" s="39"/>
      <c r="K15" s="521" t="s">
        <v>1465</v>
      </c>
      <c r="L15" s="522"/>
      <c r="M15" s="39"/>
      <c r="N15" s="348" t="s">
        <v>1055</v>
      </c>
      <c r="O15" s="349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  <c r="AC15" s="374"/>
      <c r="AD15" s="374"/>
      <c r="AE15" s="549"/>
      <c r="AF15" s="549"/>
    </row>
    <row r="16" spans="1:32" ht="14" thickBot="1" x14ac:dyDescent="0.2">
      <c r="A16" s="554" t="s">
        <v>1742</v>
      </c>
      <c r="B16" s="374"/>
      <c r="C16" s="39"/>
      <c r="D16" s="39"/>
      <c r="E16" s="39"/>
      <c r="F16" s="39"/>
      <c r="G16" s="39"/>
      <c r="H16" s="39"/>
      <c r="I16" s="39"/>
      <c r="J16" s="39"/>
      <c r="K16" s="523" t="s">
        <v>1461</v>
      </c>
      <c r="L16" s="524"/>
      <c r="M16" s="39"/>
      <c r="N16" s="348" t="s">
        <v>1057</v>
      </c>
      <c r="O16" s="349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549"/>
      <c r="AF16" s="549"/>
    </row>
    <row r="17" spans="1:32" x14ac:dyDescent="0.15">
      <c r="A17" s="554" t="s">
        <v>1743</v>
      </c>
      <c r="B17" s="374"/>
      <c r="C17" s="39"/>
      <c r="D17" s="39"/>
      <c r="E17" s="39"/>
      <c r="F17" s="39"/>
      <c r="G17" s="39"/>
      <c r="H17" s="39"/>
      <c r="I17" s="39"/>
      <c r="J17" s="39"/>
      <c r="K17" s="422" t="s">
        <v>1246</v>
      </c>
      <c r="L17" s="423"/>
      <c r="M17" s="39"/>
      <c r="N17" s="348" t="s">
        <v>981</v>
      </c>
      <c r="O17" s="349"/>
      <c r="P17" s="374"/>
      <c r="Q17" s="550" t="s">
        <v>1089</v>
      </c>
      <c r="R17" s="559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347"/>
      <c r="AD17" s="374"/>
      <c r="AE17" s="549"/>
      <c r="AF17" s="549"/>
    </row>
    <row r="18" spans="1:32" x14ac:dyDescent="0.15">
      <c r="A18" s="554" t="s">
        <v>1744</v>
      </c>
      <c r="B18" s="374"/>
      <c r="C18" s="39"/>
      <c r="D18" s="39"/>
      <c r="E18" s="39"/>
      <c r="F18" s="39"/>
      <c r="G18" s="39"/>
      <c r="H18" s="39"/>
      <c r="I18" s="39"/>
      <c r="J18" s="39"/>
      <c r="K18" s="402" t="s">
        <v>1135</v>
      </c>
      <c r="L18" s="401"/>
      <c r="M18" s="39"/>
      <c r="N18" s="348" t="s">
        <v>982</v>
      </c>
      <c r="O18" s="349"/>
      <c r="P18" s="374"/>
      <c r="Q18" s="553" t="s">
        <v>1091</v>
      </c>
      <c r="R18" s="554"/>
      <c r="S18" s="554"/>
      <c r="T18" s="554"/>
      <c r="U18" s="554"/>
      <c r="V18" s="554"/>
      <c r="W18" s="554"/>
      <c r="X18" s="554"/>
      <c r="Y18" s="554"/>
      <c r="Z18" s="554"/>
      <c r="AA18" s="554"/>
      <c r="AB18" s="374"/>
      <c r="AC18" s="349"/>
      <c r="AD18" s="374"/>
      <c r="AE18" s="549"/>
      <c r="AF18" s="549"/>
    </row>
    <row r="19" spans="1:32" x14ac:dyDescent="0.15">
      <c r="A19" s="554" t="s">
        <v>1745</v>
      </c>
      <c r="B19" s="374"/>
      <c r="C19" s="39"/>
      <c r="D19" s="39"/>
      <c r="E19" s="39"/>
      <c r="F19" s="39"/>
      <c r="G19" s="39"/>
      <c r="H19" s="39"/>
      <c r="I19" s="39"/>
      <c r="J19" s="39"/>
      <c r="K19" s="403" t="s">
        <v>1098</v>
      </c>
      <c r="L19" s="404"/>
      <c r="M19" s="39"/>
      <c r="N19" s="348" t="s">
        <v>984</v>
      </c>
      <c r="O19" s="349"/>
      <c r="P19" s="374"/>
      <c r="Q19" s="553" t="s">
        <v>1093</v>
      </c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374"/>
      <c r="AC19" s="349"/>
      <c r="AD19" s="374"/>
      <c r="AE19" s="549"/>
      <c r="AF19" s="549"/>
    </row>
    <row r="20" spans="1:32" x14ac:dyDescent="0.15">
      <c r="A20" s="554" t="s">
        <v>1746</v>
      </c>
      <c r="B20" s="374"/>
      <c r="C20" s="39"/>
      <c r="D20" s="39"/>
      <c r="E20" s="39"/>
      <c r="F20" s="39"/>
      <c r="G20" s="39"/>
      <c r="H20" s="39"/>
      <c r="I20" s="39"/>
      <c r="J20" s="39"/>
      <c r="K20" s="354" t="s">
        <v>1062</v>
      </c>
      <c r="L20" s="355"/>
      <c r="M20" s="39"/>
      <c r="N20" s="348" t="s">
        <v>985</v>
      </c>
      <c r="O20" s="349"/>
      <c r="P20" s="374"/>
      <c r="Q20" s="553" t="s">
        <v>1095</v>
      </c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374"/>
      <c r="AC20" s="349"/>
      <c r="AD20" s="374"/>
      <c r="AE20" s="549"/>
      <c r="AF20" s="549"/>
    </row>
    <row r="21" spans="1:32" x14ac:dyDescent="0.15">
      <c r="A21" s="374" t="s">
        <v>1067</v>
      </c>
      <c r="B21" s="374"/>
      <c r="C21" s="39"/>
      <c r="D21" s="39"/>
      <c r="E21" s="39"/>
      <c r="F21" s="39"/>
      <c r="G21" s="39"/>
      <c r="H21" s="39"/>
      <c r="I21" s="39"/>
      <c r="J21" s="39"/>
      <c r="K21" s="324" t="s">
        <v>1064</v>
      </c>
      <c r="L21" s="325"/>
      <c r="M21" s="39"/>
      <c r="N21" s="348" t="s">
        <v>1106</v>
      </c>
      <c r="O21" s="349"/>
      <c r="P21" s="374"/>
      <c r="Q21" s="348" t="s">
        <v>1058</v>
      </c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49"/>
      <c r="AD21" s="374"/>
      <c r="AE21" s="549"/>
      <c r="AF21" s="549"/>
    </row>
    <row r="22" spans="1:32" x14ac:dyDescent="0.15">
      <c r="A22" s="374" t="s">
        <v>1604</v>
      </c>
      <c r="B22" s="374"/>
      <c r="C22" s="39"/>
      <c r="D22" s="39"/>
      <c r="E22" s="39"/>
      <c r="F22" s="39"/>
      <c r="G22" s="39"/>
      <c r="H22" s="39"/>
      <c r="I22" s="39"/>
      <c r="J22" s="39"/>
      <c r="K22" s="326" t="s">
        <v>1066</v>
      </c>
      <c r="L22" s="327"/>
      <c r="M22" s="39"/>
      <c r="N22" s="348" t="s">
        <v>34</v>
      </c>
      <c r="O22" s="349"/>
      <c r="P22" s="374"/>
      <c r="Q22" s="348" t="s">
        <v>1059</v>
      </c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B22" s="374"/>
      <c r="AC22" s="349"/>
      <c r="AD22" s="374"/>
      <c r="AE22" s="549"/>
      <c r="AF22" s="549"/>
    </row>
    <row r="23" spans="1:32" x14ac:dyDescent="0.15">
      <c r="A23" s="374" t="s">
        <v>1605</v>
      </c>
      <c r="B23" s="374"/>
      <c r="C23" s="39"/>
      <c r="D23" s="39"/>
      <c r="E23" s="39"/>
      <c r="F23" s="39"/>
      <c r="G23" s="39"/>
      <c r="H23" s="39"/>
      <c r="I23" s="39"/>
      <c r="J23" s="39"/>
      <c r="K23" s="302" t="s">
        <v>1068</v>
      </c>
      <c r="L23" s="303"/>
      <c r="M23" s="39"/>
      <c r="N23" s="348" t="s">
        <v>1274</v>
      </c>
      <c r="O23" s="349"/>
      <c r="P23" s="374"/>
      <c r="Q23" s="348" t="s">
        <v>1061</v>
      </c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49"/>
      <c r="AD23" s="374"/>
      <c r="AE23" s="549"/>
      <c r="AF23" s="549"/>
    </row>
    <row r="24" spans="1:32" x14ac:dyDescent="0.15">
      <c r="A24" s="374" t="s">
        <v>1606</v>
      </c>
      <c r="B24" s="374"/>
      <c r="C24" s="39"/>
      <c r="D24" s="39"/>
      <c r="E24" s="39"/>
      <c r="F24" s="39"/>
      <c r="G24" s="39"/>
      <c r="H24" s="39"/>
      <c r="I24" s="39"/>
      <c r="J24" s="39"/>
      <c r="K24" s="257" t="s">
        <v>1069</v>
      </c>
      <c r="L24" s="258"/>
      <c r="M24" s="39"/>
      <c r="N24" s="348" t="s">
        <v>1291</v>
      </c>
      <c r="O24" s="349"/>
      <c r="P24" s="374"/>
      <c r="Q24" s="348" t="s">
        <v>1063</v>
      </c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  <c r="AC24" s="349"/>
      <c r="AD24" s="374"/>
      <c r="AE24" s="549"/>
      <c r="AF24" s="549"/>
    </row>
    <row r="25" spans="1:32" ht="14" thickBot="1" x14ac:dyDescent="0.2">
      <c r="A25" s="374" t="s">
        <v>1607</v>
      </c>
      <c r="B25" s="374"/>
      <c r="C25" s="39"/>
      <c r="D25" s="39"/>
      <c r="E25" s="39"/>
      <c r="F25" s="39"/>
      <c r="G25" s="39"/>
      <c r="H25" s="39"/>
      <c r="I25" s="39"/>
      <c r="J25" s="39"/>
      <c r="K25" s="140" t="s">
        <v>1070</v>
      </c>
      <c r="L25" s="141"/>
      <c r="M25" s="39"/>
      <c r="N25" s="562" t="s">
        <v>1483</v>
      </c>
      <c r="O25" s="561"/>
      <c r="P25" s="374"/>
      <c r="Q25" s="556" t="s">
        <v>1065</v>
      </c>
      <c r="R25" s="560"/>
      <c r="S25" s="560"/>
      <c r="T25" s="560"/>
      <c r="U25" s="560"/>
      <c r="V25" s="560"/>
      <c r="W25" s="560"/>
      <c r="X25" s="560"/>
      <c r="Y25" s="560"/>
      <c r="Z25" s="560"/>
      <c r="AA25" s="560"/>
      <c r="AB25" s="560"/>
      <c r="AC25" s="561"/>
      <c r="AD25" s="374"/>
      <c r="AE25" s="549"/>
      <c r="AF25" s="549"/>
    </row>
    <row r="26" spans="1:32" x14ac:dyDescent="0.15">
      <c r="A26" s="374" t="s">
        <v>1608</v>
      </c>
      <c r="B26" s="374"/>
      <c r="C26" s="39"/>
      <c r="D26" s="39"/>
      <c r="E26" s="39"/>
      <c r="F26" s="39"/>
      <c r="G26" s="39"/>
      <c r="H26" s="39"/>
      <c r="I26" s="39"/>
      <c r="J26" s="39"/>
      <c r="K26" s="129" t="s">
        <v>1071</v>
      </c>
      <c r="L26" s="130"/>
      <c r="M26" s="39"/>
      <c r="N26" s="39"/>
      <c r="O26" s="39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  <c r="AA26" s="374"/>
      <c r="AB26" s="374"/>
      <c r="AC26" s="374"/>
      <c r="AD26" s="374"/>
      <c r="AE26" s="549"/>
      <c r="AF26" s="549"/>
    </row>
    <row r="27" spans="1:32" x14ac:dyDescent="0.15">
      <c r="A27" s="374" t="s">
        <v>1609</v>
      </c>
      <c r="B27" s="374"/>
      <c r="C27" s="39"/>
      <c r="D27" s="39"/>
      <c r="E27" s="39"/>
      <c r="F27" s="39"/>
      <c r="G27" s="39"/>
      <c r="H27" s="39"/>
      <c r="I27" s="39"/>
      <c r="J27" s="39"/>
      <c r="K27" s="108" t="s">
        <v>1073</v>
      </c>
      <c r="L27" s="109"/>
      <c r="M27" s="39"/>
      <c r="N27" s="374"/>
      <c r="O27" s="374"/>
      <c r="P27" s="374"/>
      <c r="Q27" s="374"/>
      <c r="R27" s="374"/>
      <c r="S27" s="374"/>
      <c r="T27" s="374"/>
      <c r="U27" s="374"/>
      <c r="V27" s="374"/>
      <c r="W27" s="374"/>
      <c r="X27" s="374"/>
      <c r="Y27" s="374"/>
      <c r="Z27" s="374"/>
      <c r="AA27" s="374"/>
      <c r="AB27" s="374"/>
      <c r="AC27" s="374"/>
      <c r="AD27" s="374"/>
      <c r="AE27" s="549"/>
      <c r="AF27" s="549"/>
    </row>
    <row r="28" spans="1:32" ht="14" thickBot="1" x14ac:dyDescent="0.2">
      <c r="A28" s="374" t="s">
        <v>1610</v>
      </c>
      <c r="B28" s="374"/>
      <c r="C28" s="39"/>
      <c r="D28" s="39"/>
      <c r="E28" s="40"/>
      <c r="F28" s="40"/>
      <c r="G28" s="40"/>
      <c r="H28" s="39"/>
      <c r="I28" s="38"/>
      <c r="J28" s="39"/>
      <c r="K28" s="110" t="s">
        <v>1075</v>
      </c>
      <c r="L28" s="111"/>
      <c r="M28" s="39"/>
      <c r="N28" s="374"/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  <c r="AE28" s="549"/>
      <c r="AF28" s="549"/>
    </row>
    <row r="29" spans="1:32" x14ac:dyDescent="0.15">
      <c r="A29" s="374" t="s">
        <v>1611</v>
      </c>
      <c r="B29" s="374"/>
      <c r="C29" s="39"/>
      <c r="D29" s="39"/>
      <c r="E29" s="39"/>
      <c r="F29" s="39"/>
      <c r="G29" s="39"/>
      <c r="H29" s="39"/>
      <c r="I29" s="39"/>
      <c r="J29" s="39"/>
      <c r="K29" s="112" t="s">
        <v>1023</v>
      </c>
      <c r="L29" s="113"/>
      <c r="M29" s="39"/>
      <c r="N29" s="374"/>
      <c r="O29" s="374"/>
      <c r="P29" s="374"/>
      <c r="Q29" s="346" t="s">
        <v>1072</v>
      </c>
      <c r="R29" s="559"/>
      <c r="S29" s="347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  <c r="AE29" s="549"/>
      <c r="AF29" s="549"/>
    </row>
    <row r="30" spans="1:32" x14ac:dyDescent="0.15">
      <c r="A30" s="374" t="s">
        <v>1612</v>
      </c>
      <c r="B30" s="374"/>
      <c r="C30" s="39"/>
      <c r="D30" s="39"/>
      <c r="E30" s="39"/>
      <c r="F30" s="39"/>
      <c r="G30" s="39"/>
      <c r="H30" s="39"/>
      <c r="I30" s="39"/>
      <c r="J30" s="39"/>
      <c r="K30" s="114" t="s">
        <v>1025</v>
      </c>
      <c r="L30" s="115"/>
      <c r="M30" s="39"/>
      <c r="N30" s="374"/>
      <c r="O30" s="374"/>
      <c r="P30" s="374"/>
      <c r="Q30" s="348" t="s">
        <v>1074</v>
      </c>
      <c r="R30" s="374"/>
      <c r="S30" s="349">
        <v>3101</v>
      </c>
      <c r="T30" s="374"/>
      <c r="U30" s="374"/>
      <c r="V30" s="374"/>
      <c r="W30" s="374"/>
      <c r="X30" s="374"/>
      <c r="Y30" s="374"/>
      <c r="Z30" s="374"/>
      <c r="AA30" s="374"/>
      <c r="AB30" s="374"/>
      <c r="AC30" s="374"/>
      <c r="AD30" s="374"/>
      <c r="AE30" s="549"/>
      <c r="AF30" s="549"/>
    </row>
    <row r="31" spans="1:32" x14ac:dyDescent="0.15">
      <c r="A31" s="374" t="s">
        <v>1613</v>
      </c>
      <c r="B31" s="374"/>
      <c r="C31" s="39"/>
      <c r="D31" s="39"/>
      <c r="E31" s="39"/>
      <c r="F31" s="39"/>
      <c r="G31" s="39"/>
      <c r="H31" s="40"/>
      <c r="I31" s="39"/>
      <c r="J31" s="39"/>
      <c r="K31" s="116" t="s">
        <v>1027</v>
      </c>
      <c r="L31" s="117"/>
      <c r="M31" s="39"/>
      <c r="N31" s="374"/>
      <c r="O31" s="374"/>
      <c r="P31" s="374"/>
      <c r="Q31" s="348" t="s">
        <v>1076</v>
      </c>
      <c r="R31" s="374"/>
      <c r="S31" s="349">
        <v>3171</v>
      </c>
      <c r="T31" s="374"/>
      <c r="U31" s="374"/>
      <c r="V31" s="374"/>
      <c r="W31" s="374"/>
      <c r="X31" s="374"/>
      <c r="Y31" s="374"/>
      <c r="Z31" s="374"/>
      <c r="AA31" s="374"/>
      <c r="AB31" s="374"/>
      <c r="AC31" s="374"/>
      <c r="AD31" s="374"/>
      <c r="AE31" s="549"/>
      <c r="AF31" s="549"/>
    </row>
    <row r="32" spans="1:32" x14ac:dyDescent="0.15">
      <c r="A32" s="374" t="s">
        <v>1614</v>
      </c>
      <c r="B32" s="374"/>
      <c r="C32" s="39"/>
      <c r="D32" s="39"/>
      <c r="E32" s="39"/>
      <c r="F32" s="39"/>
      <c r="G32" s="39"/>
      <c r="H32" s="39"/>
      <c r="I32" s="39"/>
      <c r="J32" s="374"/>
      <c r="K32" s="118" t="s">
        <v>1029</v>
      </c>
      <c r="L32" s="119"/>
      <c r="M32" s="374"/>
      <c r="N32" s="374"/>
      <c r="O32" s="374"/>
      <c r="P32" s="374"/>
      <c r="Q32" s="348" t="s">
        <v>1024</v>
      </c>
      <c r="R32" s="374"/>
      <c r="S32" s="349">
        <v>3621</v>
      </c>
      <c r="T32" s="374"/>
      <c r="U32" s="374"/>
      <c r="V32" s="374"/>
      <c r="W32" s="374"/>
      <c r="X32" s="374"/>
      <c r="Y32" s="374"/>
      <c r="Z32" s="374"/>
      <c r="AA32" s="374"/>
      <c r="AB32" s="374"/>
      <c r="AC32" s="374"/>
      <c r="AD32" s="374"/>
      <c r="AE32" s="549"/>
      <c r="AF32" s="549"/>
    </row>
    <row r="33" spans="1:32" x14ac:dyDescent="0.15">
      <c r="A33" s="374" t="s">
        <v>1615</v>
      </c>
      <c r="B33" s="374"/>
      <c r="C33" s="39"/>
      <c r="D33" s="39"/>
      <c r="E33" s="39"/>
      <c r="F33" s="39"/>
      <c r="G33" s="39"/>
      <c r="H33" s="39"/>
      <c r="I33" s="39"/>
      <c r="J33" s="374"/>
      <c r="K33" s="120" t="s">
        <v>1031</v>
      </c>
      <c r="L33" s="121"/>
      <c r="M33" s="374"/>
      <c r="N33" s="374"/>
      <c r="O33" s="374"/>
      <c r="P33" s="374"/>
      <c r="Q33" s="348" t="s">
        <v>1026</v>
      </c>
      <c r="R33" s="374"/>
      <c r="S33" s="349">
        <v>3054</v>
      </c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549"/>
      <c r="AF33" s="549"/>
    </row>
    <row r="34" spans="1:32" x14ac:dyDescent="0.15">
      <c r="A34" s="374" t="s">
        <v>1036</v>
      </c>
      <c r="B34" s="374"/>
      <c r="C34" s="39"/>
      <c r="D34" s="39"/>
      <c r="E34" s="39"/>
      <c r="F34" s="39"/>
      <c r="G34" s="39"/>
      <c r="H34" s="39"/>
      <c r="I34" s="40"/>
      <c r="J34" s="374"/>
      <c r="K34" s="122" t="s">
        <v>1033</v>
      </c>
      <c r="L34" s="123"/>
      <c r="M34" s="374"/>
      <c r="N34" s="374"/>
      <c r="O34" s="374"/>
      <c r="P34" s="374"/>
      <c r="Q34" s="348" t="s">
        <v>1028</v>
      </c>
      <c r="R34" s="374"/>
      <c r="S34" s="349">
        <v>3805</v>
      </c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  <c r="AE34" s="549"/>
      <c r="AF34" s="549"/>
    </row>
    <row r="35" spans="1:32" x14ac:dyDescent="0.15">
      <c r="A35" s="374" t="s">
        <v>1038</v>
      </c>
      <c r="B35" s="374"/>
      <c r="C35" s="39"/>
      <c r="D35" s="39"/>
      <c r="E35" s="39"/>
      <c r="F35" s="39"/>
      <c r="G35" s="39"/>
      <c r="H35" s="39"/>
      <c r="I35" s="39"/>
      <c r="J35" s="374"/>
      <c r="K35" s="124" t="s">
        <v>1035</v>
      </c>
      <c r="L35" s="125"/>
      <c r="M35" s="374"/>
      <c r="N35" s="374"/>
      <c r="O35" s="374"/>
      <c r="P35" s="374"/>
      <c r="Q35" s="348" t="s">
        <v>1030</v>
      </c>
      <c r="R35" s="374"/>
      <c r="S35" s="349">
        <v>3550</v>
      </c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  <c r="AE35" s="549"/>
      <c r="AF35" s="549"/>
    </row>
    <row r="36" spans="1:32" ht="14" thickBot="1" x14ac:dyDescent="0.2">
      <c r="A36" s="374" t="s">
        <v>1039</v>
      </c>
      <c r="B36" s="374"/>
      <c r="C36" s="39"/>
      <c r="D36" s="39"/>
      <c r="E36" s="374"/>
      <c r="F36" s="374"/>
      <c r="G36" s="374"/>
      <c r="H36" s="374"/>
      <c r="I36" s="374"/>
      <c r="J36" s="374"/>
      <c r="K36" s="126" t="s">
        <v>1037</v>
      </c>
      <c r="L36" s="127"/>
      <c r="M36" s="374"/>
      <c r="N36" s="374"/>
      <c r="O36" s="374"/>
      <c r="P36" s="374"/>
      <c r="Q36" s="348" t="s">
        <v>1032</v>
      </c>
      <c r="R36" s="374"/>
      <c r="S36" s="349">
        <v>3042</v>
      </c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549"/>
      <c r="AF36" s="549"/>
    </row>
    <row r="37" spans="1:32" ht="14" thickBot="1" x14ac:dyDescent="0.2">
      <c r="A37" s="554" t="s">
        <v>1128</v>
      </c>
      <c r="B37" s="374"/>
      <c r="C37" s="39"/>
      <c r="D37" s="39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562" t="s">
        <v>1034</v>
      </c>
      <c r="R37" s="560"/>
      <c r="S37" s="561">
        <v>3223</v>
      </c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  <c r="AE37" s="549"/>
      <c r="AF37" s="549"/>
    </row>
    <row r="38" spans="1:32" x14ac:dyDescent="0.15">
      <c r="A38" s="554" t="s">
        <v>1129</v>
      </c>
      <c r="B38" s="374"/>
      <c r="C38" s="39"/>
      <c r="D38" s="39"/>
      <c r="E38" s="374"/>
      <c r="F38" s="374"/>
      <c r="G38" s="374"/>
      <c r="H38" s="374"/>
      <c r="I38" s="374"/>
      <c r="J38" s="549"/>
      <c r="K38" s="374"/>
      <c r="L38" s="374"/>
      <c r="M38" s="374"/>
      <c r="N38" s="374"/>
      <c r="O38" s="374"/>
      <c r="P38" s="374"/>
      <c r="Q38" s="374"/>
      <c r="R38" s="374"/>
      <c r="S38" s="374"/>
      <c r="T38" s="374"/>
      <c r="U38" s="374"/>
      <c r="V38" s="374"/>
      <c r="W38" s="374"/>
      <c r="X38" s="374"/>
      <c r="Y38" s="374"/>
      <c r="Z38" s="374"/>
      <c r="AA38" s="374"/>
      <c r="AB38" s="374"/>
      <c r="AC38" s="374"/>
      <c r="AD38" s="374"/>
      <c r="AE38" s="549"/>
      <c r="AF38" s="549"/>
    </row>
    <row r="39" spans="1:32" ht="14" thickBot="1" x14ac:dyDescent="0.2">
      <c r="A39" s="554" t="s">
        <v>1245</v>
      </c>
      <c r="B39" s="374"/>
      <c r="C39" s="374"/>
      <c r="D39" s="374"/>
      <c r="E39" s="374"/>
      <c r="F39" s="374"/>
      <c r="G39" s="374"/>
      <c r="H39" s="374"/>
      <c r="I39" s="374"/>
      <c r="J39" s="549"/>
      <c r="K39" s="374"/>
      <c r="L39" s="374"/>
      <c r="M39" s="374"/>
      <c r="N39" s="374"/>
      <c r="O39" s="374"/>
      <c r="P39" s="374"/>
      <c r="Q39" s="374"/>
      <c r="R39" s="374"/>
      <c r="S39" s="374"/>
      <c r="T39" s="374"/>
      <c r="U39" s="374"/>
      <c r="V39" s="374"/>
      <c r="W39" s="374"/>
      <c r="X39" s="374"/>
      <c r="Y39" s="374"/>
      <c r="Z39" s="374"/>
      <c r="AA39" s="374"/>
      <c r="AB39" s="374"/>
      <c r="AC39" s="374"/>
      <c r="AD39" s="374"/>
      <c r="AE39" s="549"/>
      <c r="AF39" s="549"/>
    </row>
    <row r="40" spans="1:32" x14ac:dyDescent="0.15">
      <c r="A40" s="554" t="s">
        <v>1390</v>
      </c>
      <c r="B40" s="374"/>
      <c r="C40" s="374"/>
      <c r="D40" s="374"/>
      <c r="E40" s="374"/>
      <c r="F40" s="374"/>
      <c r="G40" s="374"/>
      <c r="H40" s="374"/>
      <c r="I40" s="374"/>
      <c r="J40" s="549"/>
      <c r="K40" s="374"/>
      <c r="L40" s="374"/>
      <c r="M40" s="374"/>
      <c r="N40" s="374"/>
      <c r="O40" s="374"/>
      <c r="P40" s="374"/>
      <c r="Q40" s="346" t="s">
        <v>1040</v>
      </c>
      <c r="R40" s="347"/>
      <c r="S40" s="374"/>
      <c r="T40" s="374"/>
      <c r="U40" s="374"/>
      <c r="V40" s="374"/>
      <c r="W40" s="374"/>
      <c r="X40" s="374"/>
      <c r="Y40" s="374"/>
      <c r="Z40" s="374"/>
      <c r="AA40" s="374"/>
      <c r="AB40" s="374"/>
      <c r="AC40" s="374"/>
      <c r="AD40" s="374"/>
      <c r="AE40" s="549"/>
      <c r="AF40" s="549"/>
    </row>
    <row r="41" spans="1:32" x14ac:dyDescent="0.15">
      <c r="A41" s="554" t="s">
        <v>1464</v>
      </c>
      <c r="B41" s="374"/>
      <c r="C41" s="374"/>
      <c r="D41" s="374"/>
      <c r="E41" s="374"/>
      <c r="F41" s="374"/>
      <c r="G41" s="374"/>
      <c r="H41" s="374"/>
      <c r="I41" s="374"/>
      <c r="J41" s="549"/>
      <c r="K41" s="374"/>
      <c r="L41" s="374"/>
      <c r="M41" s="374"/>
      <c r="N41" s="374"/>
      <c r="O41" s="374"/>
      <c r="P41" s="374"/>
      <c r="Q41" s="553" t="s">
        <v>1130</v>
      </c>
      <c r="R41" s="349"/>
      <c r="S41" s="374"/>
      <c r="T41" s="374"/>
      <c r="U41" s="374"/>
      <c r="V41" s="374"/>
      <c r="W41" s="374"/>
      <c r="X41" s="374"/>
      <c r="Y41" s="374"/>
      <c r="Z41" s="374"/>
      <c r="AA41" s="374"/>
      <c r="AB41" s="374"/>
      <c r="AC41" s="374"/>
      <c r="AD41" s="374"/>
      <c r="AE41" s="549"/>
      <c r="AF41" s="549"/>
    </row>
    <row r="42" spans="1:32" x14ac:dyDescent="0.15">
      <c r="A42" s="554" t="s">
        <v>1466</v>
      </c>
      <c r="B42" s="374"/>
      <c r="C42" s="374"/>
      <c r="D42" s="374"/>
      <c r="E42" s="374"/>
      <c r="F42" s="374"/>
      <c r="G42" s="374"/>
      <c r="H42" s="374"/>
      <c r="I42" s="374"/>
      <c r="J42" s="549"/>
      <c r="K42" s="374"/>
      <c r="L42" s="374"/>
      <c r="M42" s="374"/>
      <c r="N42" s="374"/>
      <c r="O42" s="374"/>
      <c r="P42" s="374"/>
      <c r="Q42" s="553" t="s">
        <v>1131</v>
      </c>
      <c r="R42" s="349"/>
      <c r="S42" s="374"/>
      <c r="T42" s="374"/>
      <c r="U42" s="374"/>
      <c r="V42" s="374"/>
      <c r="W42" s="374"/>
      <c r="X42" s="374"/>
      <c r="Y42" s="374"/>
      <c r="Z42" s="374"/>
      <c r="AA42" s="374"/>
      <c r="AB42" s="374"/>
      <c r="AC42" s="374"/>
      <c r="AD42" s="374"/>
      <c r="AE42" s="549"/>
      <c r="AF42" s="549"/>
    </row>
    <row r="43" spans="1:32" ht="14" thickBot="1" x14ac:dyDescent="0.2">
      <c r="A43" s="554" t="s">
        <v>1616</v>
      </c>
      <c r="B43" s="374"/>
      <c r="C43" s="374"/>
      <c r="D43" s="374"/>
      <c r="E43" s="374"/>
      <c r="F43" s="374"/>
      <c r="G43" s="374"/>
      <c r="H43" s="374"/>
      <c r="I43" s="374"/>
      <c r="J43" s="549"/>
      <c r="K43" s="374"/>
      <c r="L43" s="374"/>
      <c r="M43" s="374"/>
      <c r="N43" s="374"/>
      <c r="O43" s="374"/>
      <c r="P43" s="374"/>
      <c r="Q43" s="562" t="s">
        <v>1047</v>
      </c>
      <c r="R43" s="561"/>
      <c r="S43" s="374"/>
      <c r="T43" s="374"/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549"/>
      <c r="AF43" s="549"/>
    </row>
    <row r="44" spans="1:32" x14ac:dyDescent="0.15">
      <c r="A44" s="554" t="s">
        <v>1644</v>
      </c>
      <c r="B44" s="374"/>
      <c r="C44" s="374"/>
      <c r="D44" s="374"/>
      <c r="E44" s="374"/>
      <c r="F44" s="374"/>
      <c r="G44" s="374"/>
      <c r="H44" s="374"/>
      <c r="I44" s="374"/>
      <c r="J44" s="549"/>
      <c r="K44" s="374"/>
      <c r="L44" s="374"/>
      <c r="M44" s="374"/>
      <c r="N44" s="374"/>
      <c r="O44" s="374"/>
      <c r="P44" s="374"/>
      <c r="Q44" s="374"/>
      <c r="R44" s="374"/>
      <c r="S44" s="374"/>
      <c r="T44" s="374"/>
      <c r="U44" s="374"/>
      <c r="V44" s="374"/>
      <c r="W44" s="374"/>
      <c r="X44" s="374"/>
      <c r="Y44" s="374"/>
      <c r="Z44" s="374"/>
      <c r="AA44" s="374"/>
      <c r="AB44" s="374"/>
      <c r="AC44" s="374"/>
      <c r="AD44" s="374"/>
      <c r="AE44" s="549"/>
      <c r="AF44" s="549"/>
    </row>
    <row r="45" spans="1:32" x14ac:dyDescent="0.15">
      <c r="A45" s="554" t="s">
        <v>1645</v>
      </c>
      <c r="B45" s="374"/>
      <c r="C45" s="374"/>
      <c r="D45" s="374"/>
      <c r="E45" s="374"/>
      <c r="F45" s="374"/>
      <c r="H45" s="39"/>
      <c r="I45" s="39"/>
      <c r="J45" s="549"/>
      <c r="K45" s="374"/>
      <c r="L45" s="374"/>
      <c r="M45" s="374"/>
      <c r="N45" s="374"/>
      <c r="O45" s="374"/>
      <c r="P45" s="374"/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549"/>
      <c r="AF45" s="549"/>
    </row>
    <row r="46" spans="1:32" x14ac:dyDescent="0.15">
      <c r="A46" s="554" t="s">
        <v>1693</v>
      </c>
      <c r="B46" s="374"/>
      <c r="C46" s="549"/>
      <c r="D46" s="549"/>
      <c r="E46" s="549"/>
      <c r="F46" s="549"/>
      <c r="G46" s="549"/>
      <c r="H46" s="549"/>
      <c r="I46" s="549"/>
      <c r="J46" s="549"/>
      <c r="K46" s="549"/>
      <c r="L46" s="549"/>
      <c r="M46" s="549"/>
      <c r="N46" s="549"/>
      <c r="O46" s="549"/>
      <c r="P46" s="549"/>
      <c r="Q46" s="549"/>
      <c r="R46" s="549"/>
      <c r="S46" s="549"/>
      <c r="T46" s="549"/>
      <c r="U46" s="549"/>
      <c r="V46" s="549"/>
      <c r="W46" s="549"/>
      <c r="X46" s="374"/>
      <c r="Y46" s="374"/>
      <c r="Z46" s="374"/>
      <c r="AA46" s="374"/>
      <c r="AB46" s="374"/>
      <c r="AC46" s="374"/>
      <c r="AD46" s="374"/>
      <c r="AE46" s="549"/>
      <c r="AF46" s="549"/>
    </row>
    <row r="47" spans="1:32" x14ac:dyDescent="0.15">
      <c r="A47" s="554" t="s">
        <v>1747</v>
      </c>
      <c r="B47" s="374"/>
      <c r="C47" s="549"/>
      <c r="D47" s="549"/>
      <c r="E47" s="549"/>
      <c r="F47" s="549"/>
      <c r="G47" s="549"/>
      <c r="H47" s="549"/>
      <c r="I47" s="549"/>
      <c r="J47" s="549"/>
      <c r="K47" s="549"/>
      <c r="L47" s="549"/>
      <c r="M47" s="549"/>
      <c r="N47" s="549"/>
      <c r="O47" s="549"/>
      <c r="P47" s="549"/>
      <c r="Q47" s="549"/>
      <c r="R47" s="549"/>
      <c r="S47" s="549"/>
      <c r="T47" s="549"/>
      <c r="U47" s="549"/>
      <c r="V47" s="549"/>
      <c r="W47" s="549"/>
      <c r="X47" s="374"/>
      <c r="Y47" s="374"/>
      <c r="Z47" s="374"/>
      <c r="AA47" s="374"/>
      <c r="AB47" s="374"/>
      <c r="AC47" s="374"/>
      <c r="AD47" s="374"/>
      <c r="AE47" s="549"/>
      <c r="AF47" s="549"/>
    </row>
    <row r="48" spans="1:32" x14ac:dyDescent="0.15">
      <c r="A48" s="374" t="s">
        <v>1043</v>
      </c>
      <c r="B48" s="374"/>
      <c r="C48" s="549"/>
      <c r="D48" s="549"/>
      <c r="E48" s="549"/>
      <c r="F48" s="549"/>
      <c r="G48" s="549"/>
      <c r="H48" s="549"/>
      <c r="I48" s="549"/>
      <c r="J48" s="549"/>
      <c r="K48" s="549"/>
      <c r="L48" s="549"/>
      <c r="M48" s="549"/>
      <c r="N48" s="549"/>
      <c r="O48" s="549"/>
      <c r="P48" s="549"/>
      <c r="Q48" s="549"/>
      <c r="R48" s="549"/>
      <c r="S48" s="549"/>
      <c r="T48" s="549"/>
      <c r="U48" s="549"/>
      <c r="V48" s="549"/>
      <c r="W48" s="549"/>
      <c r="X48" s="374"/>
      <c r="Y48" s="374"/>
      <c r="Z48" s="374"/>
      <c r="AA48" s="374"/>
      <c r="AB48" s="374"/>
      <c r="AC48" s="374"/>
      <c r="AD48" s="374"/>
      <c r="AE48" s="549"/>
      <c r="AF48" s="549"/>
    </row>
    <row r="49" spans="1:32" x14ac:dyDescent="0.15">
      <c r="A49" s="549"/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9"/>
      <c r="M49" s="549"/>
      <c r="N49" s="549"/>
      <c r="O49" s="549"/>
      <c r="P49" s="549"/>
      <c r="Q49" s="549"/>
      <c r="R49" s="549"/>
      <c r="S49" s="549"/>
      <c r="T49" s="549"/>
      <c r="U49" s="549"/>
      <c r="V49" s="549"/>
      <c r="W49" s="549"/>
      <c r="X49" s="374"/>
      <c r="Y49" s="374"/>
      <c r="Z49" s="374"/>
      <c r="AA49" s="374"/>
      <c r="AB49" s="374"/>
      <c r="AC49" s="374"/>
      <c r="AD49" s="374"/>
      <c r="AE49" s="549"/>
      <c r="AF49" s="549"/>
    </row>
    <row r="50" spans="1:32" x14ac:dyDescent="0.15">
      <c r="A50" s="549"/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9"/>
      <c r="M50" s="549"/>
      <c r="N50" s="549"/>
      <c r="O50" s="549"/>
      <c r="P50" s="549"/>
      <c r="Q50" s="549"/>
      <c r="R50" s="549"/>
      <c r="S50" s="549"/>
      <c r="T50" s="549"/>
      <c r="U50" s="549"/>
      <c r="V50" s="549"/>
      <c r="W50" s="549"/>
      <c r="X50" s="374"/>
      <c r="Y50" s="374"/>
      <c r="Z50" s="374"/>
      <c r="AA50" s="374"/>
      <c r="AB50" s="374"/>
      <c r="AC50" s="374"/>
      <c r="AD50" s="374"/>
      <c r="AE50" s="549"/>
      <c r="AF50" s="549"/>
    </row>
    <row r="51" spans="1:32" x14ac:dyDescent="0.15">
      <c r="A51" s="38" t="s">
        <v>1045</v>
      </c>
      <c r="B51" s="39"/>
      <c r="C51" s="39"/>
      <c r="D51" s="39"/>
      <c r="E51" s="39"/>
      <c r="F51" s="39"/>
      <c r="G51" s="39"/>
      <c r="H51" s="39"/>
      <c r="I51" s="39"/>
      <c r="J51" s="549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549"/>
      <c r="AF51" s="549"/>
    </row>
    <row r="52" spans="1:32" x14ac:dyDescent="0.15">
      <c r="A52" s="128" t="s">
        <v>1741</v>
      </c>
      <c r="B52" s="39"/>
      <c r="C52" s="39"/>
      <c r="D52" s="39"/>
      <c r="E52" s="39"/>
      <c r="F52" s="39"/>
      <c r="G52" s="39"/>
      <c r="H52" s="39"/>
      <c r="I52" s="39"/>
      <c r="J52" s="549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549"/>
      <c r="AF52" s="549"/>
    </row>
    <row r="53" spans="1:32" x14ac:dyDescent="0.15">
      <c r="A53" s="39" t="s">
        <v>1049</v>
      </c>
      <c r="B53" s="39"/>
      <c r="C53" s="39"/>
      <c r="D53" s="39"/>
      <c r="E53" s="39"/>
      <c r="F53" s="39"/>
      <c r="G53" s="39"/>
      <c r="H53" s="39"/>
      <c r="I53" s="39"/>
      <c r="J53" s="549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549"/>
      <c r="AF53" s="549"/>
    </row>
    <row r="54" spans="1:32" x14ac:dyDescent="0.15">
      <c r="A54" s="39" t="s">
        <v>1051</v>
      </c>
      <c r="B54" s="39"/>
      <c r="C54" s="39"/>
      <c r="D54" s="39"/>
      <c r="E54" s="39"/>
      <c r="F54" s="39"/>
      <c r="G54" s="39"/>
      <c r="H54" s="39"/>
      <c r="I54" s="39"/>
      <c r="J54" s="549"/>
      <c r="K54" s="374"/>
      <c r="L54" s="374"/>
      <c r="M54" s="374"/>
      <c r="N54" s="374"/>
      <c r="O54" s="374"/>
      <c r="P54" s="374"/>
      <c r="Q54" s="374"/>
      <c r="R54" s="374"/>
      <c r="S54" s="374"/>
      <c r="T54" s="374"/>
      <c r="U54" s="374"/>
      <c r="V54" s="374"/>
      <c r="W54" s="374"/>
      <c r="X54" s="374" t="s">
        <v>979</v>
      </c>
      <c r="Y54" s="374"/>
      <c r="Z54" s="374"/>
      <c r="AA54" s="374"/>
      <c r="AB54" s="374"/>
      <c r="AC54" s="374"/>
      <c r="AD54" s="374"/>
      <c r="AE54" s="549"/>
      <c r="AF54" s="549"/>
    </row>
    <row r="55" spans="1:32" x14ac:dyDescent="0.15">
      <c r="A55" s="39" t="s">
        <v>1053</v>
      </c>
      <c r="B55" s="39"/>
      <c r="C55" s="39"/>
      <c r="D55" s="39"/>
      <c r="E55" s="39"/>
      <c r="F55" s="39"/>
      <c r="G55" s="39"/>
      <c r="H55" s="39"/>
      <c r="I55" s="39"/>
      <c r="J55" s="549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549"/>
      <c r="AF55" s="549"/>
    </row>
    <row r="56" spans="1:32" x14ac:dyDescent="0.15">
      <c r="A56" s="39" t="s">
        <v>1391</v>
      </c>
      <c r="B56" s="39"/>
      <c r="C56" s="39"/>
      <c r="D56" s="39"/>
      <c r="E56" s="39"/>
      <c r="F56" s="39"/>
      <c r="G56" s="375"/>
      <c r="H56" s="39"/>
      <c r="I56" s="39"/>
      <c r="J56" s="549"/>
      <c r="K56" s="374"/>
      <c r="L56" s="374"/>
      <c r="M56" s="374"/>
      <c r="N56" s="374"/>
      <c r="O56" s="374"/>
      <c r="P56" s="374"/>
      <c r="Q56" s="374"/>
      <c r="R56" s="374"/>
      <c r="S56" s="374"/>
      <c r="T56" s="374"/>
      <c r="U56" s="374"/>
      <c r="V56" s="374"/>
      <c r="W56" s="374"/>
      <c r="X56" s="374"/>
      <c r="Y56" s="374"/>
      <c r="Z56" s="374"/>
      <c r="AA56" s="374"/>
      <c r="AB56" s="374"/>
      <c r="AC56" s="374"/>
      <c r="AD56" s="374"/>
      <c r="AE56" s="549"/>
      <c r="AF56" s="549"/>
    </row>
    <row r="57" spans="1:32" x14ac:dyDescent="0.15">
      <c r="A57" s="39" t="s">
        <v>1056</v>
      </c>
      <c r="B57" s="39"/>
      <c r="C57" s="39"/>
      <c r="D57" s="39"/>
      <c r="E57" s="39"/>
      <c r="F57" s="39"/>
      <c r="G57" s="39"/>
      <c r="H57" s="39"/>
      <c r="I57" s="39"/>
      <c r="J57" s="549"/>
      <c r="K57" s="374"/>
      <c r="L57" s="374"/>
      <c r="M57" s="374"/>
      <c r="N57" s="374"/>
      <c r="O57" s="374"/>
      <c r="P57" s="374"/>
      <c r="Q57" s="374"/>
      <c r="R57" s="374"/>
      <c r="S57" s="374"/>
      <c r="T57" s="374"/>
      <c r="U57" s="374"/>
      <c r="V57" s="374"/>
      <c r="W57" s="374"/>
      <c r="X57" s="374"/>
      <c r="Y57" s="374"/>
      <c r="Z57" s="374"/>
      <c r="AA57" s="374"/>
      <c r="AB57" s="374"/>
      <c r="AC57" s="374"/>
      <c r="AD57" s="374"/>
      <c r="AE57" s="549"/>
      <c r="AF57" s="549"/>
    </row>
    <row r="58" spans="1:32" x14ac:dyDescent="0.15">
      <c r="A58" s="39" t="s">
        <v>980</v>
      </c>
      <c r="B58" s="39"/>
      <c r="C58" s="39"/>
      <c r="D58" s="39"/>
      <c r="E58" s="39"/>
      <c r="F58" s="39"/>
      <c r="G58" s="39"/>
      <c r="H58" s="39"/>
      <c r="I58" s="39"/>
      <c r="J58" s="549"/>
      <c r="K58" s="374"/>
      <c r="L58" s="374"/>
      <c r="M58" s="374"/>
      <c r="N58" s="374"/>
      <c r="O58" s="374"/>
      <c r="P58" s="374"/>
      <c r="Q58" s="374"/>
      <c r="R58" s="374"/>
      <c r="S58" s="374"/>
      <c r="T58" s="374"/>
      <c r="U58" s="374"/>
      <c r="V58" s="374"/>
      <c r="W58" s="374"/>
      <c r="X58" s="374"/>
      <c r="Y58" s="374"/>
      <c r="Z58" s="374"/>
      <c r="AA58" s="374"/>
      <c r="AB58" s="374"/>
      <c r="AC58" s="374"/>
      <c r="AD58" s="374"/>
      <c r="AE58" s="549"/>
      <c r="AF58" s="549"/>
    </row>
    <row r="59" spans="1:32" x14ac:dyDescent="0.15">
      <c r="A59" s="39" t="s">
        <v>1392</v>
      </c>
      <c r="B59" s="39"/>
      <c r="C59" s="39"/>
      <c r="D59" s="39"/>
      <c r="E59" s="39"/>
      <c r="F59" s="39"/>
      <c r="G59" s="39"/>
      <c r="H59" s="39"/>
      <c r="I59" s="39"/>
      <c r="J59" s="549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374"/>
      <c r="V59" s="374"/>
      <c r="W59" s="374"/>
      <c r="X59" s="39"/>
      <c r="Y59" s="39"/>
      <c r="Z59" s="39"/>
      <c r="AA59" s="39"/>
      <c r="AB59" s="39"/>
      <c r="AC59" s="39"/>
      <c r="AD59" s="39"/>
      <c r="AE59" s="549"/>
      <c r="AF59" s="549"/>
    </row>
    <row r="60" spans="1:32" x14ac:dyDescent="0.15">
      <c r="A60" s="39" t="s">
        <v>983</v>
      </c>
      <c r="B60" s="39"/>
      <c r="C60" s="39"/>
      <c r="D60" s="39"/>
      <c r="E60" s="39"/>
      <c r="F60" s="39"/>
      <c r="G60" s="39"/>
      <c r="H60" s="39"/>
      <c r="I60" s="39"/>
      <c r="J60" s="549"/>
      <c r="K60" s="374"/>
      <c r="L60" s="374"/>
      <c r="M60" s="374"/>
      <c r="N60" s="374"/>
      <c r="O60" s="374"/>
      <c r="P60" s="374"/>
      <c r="Q60" s="374"/>
      <c r="R60" s="374"/>
      <c r="S60" s="374"/>
      <c r="T60" s="374"/>
      <c r="U60" s="374"/>
      <c r="V60" s="374"/>
      <c r="W60" s="374"/>
      <c r="X60" s="39"/>
      <c r="Y60" s="39"/>
      <c r="Z60" s="39"/>
      <c r="AA60" s="39"/>
      <c r="AB60" s="39"/>
      <c r="AC60" s="39"/>
      <c r="AD60" s="39"/>
      <c r="AE60" s="549"/>
      <c r="AF60" s="549"/>
    </row>
    <row r="61" spans="1:32" x14ac:dyDescent="0.15">
      <c r="A61" s="39" t="s">
        <v>1393</v>
      </c>
      <c r="B61" s="39"/>
      <c r="C61" s="39"/>
      <c r="D61" s="39"/>
      <c r="E61" s="39"/>
      <c r="F61" s="39"/>
      <c r="G61" s="39"/>
      <c r="H61" s="39"/>
      <c r="I61" s="39"/>
      <c r="J61" s="374"/>
      <c r="K61" s="374"/>
      <c r="L61" s="374"/>
      <c r="M61" s="374"/>
      <c r="N61" s="374"/>
      <c r="O61" s="374"/>
      <c r="P61" s="374"/>
      <c r="Q61" s="374"/>
      <c r="R61" s="374"/>
      <c r="S61" s="374"/>
      <c r="T61" s="374"/>
      <c r="U61" s="374"/>
      <c r="V61" s="374"/>
      <c r="W61" s="374"/>
      <c r="X61" s="39"/>
      <c r="Y61" s="39"/>
      <c r="Z61" s="39"/>
      <c r="AA61" s="39"/>
      <c r="AB61" s="39"/>
      <c r="AC61" s="39"/>
      <c r="AD61" s="39"/>
      <c r="AE61" s="549"/>
      <c r="AF61" s="549"/>
    </row>
    <row r="62" spans="1:32" x14ac:dyDescent="0.15">
      <c r="A62" s="39" t="s">
        <v>986</v>
      </c>
      <c r="B62" s="39"/>
      <c r="C62" s="39"/>
      <c r="D62" s="39"/>
      <c r="E62" s="39"/>
      <c r="F62" s="39"/>
      <c r="G62" s="39"/>
      <c r="H62" s="39"/>
      <c r="I62" s="39"/>
      <c r="J62" s="374"/>
      <c r="K62" s="374"/>
      <c r="L62" s="374"/>
      <c r="M62" s="374"/>
      <c r="N62" s="374"/>
      <c r="O62" s="374"/>
      <c r="P62" s="374"/>
      <c r="Q62" s="374"/>
      <c r="R62" s="374"/>
      <c r="S62" s="374"/>
      <c r="T62" s="374"/>
      <c r="U62" s="374"/>
      <c r="V62" s="374"/>
      <c r="W62" s="374"/>
      <c r="X62" s="39"/>
      <c r="Y62" s="39"/>
      <c r="Z62" s="39"/>
      <c r="AA62" s="39"/>
      <c r="AB62" s="39"/>
      <c r="AC62" s="39"/>
      <c r="AD62" s="39"/>
      <c r="AE62" s="549"/>
      <c r="AF62" s="549"/>
    </row>
    <row r="63" spans="1:32" x14ac:dyDescent="0.15">
      <c r="A63" s="39" t="s">
        <v>988</v>
      </c>
      <c r="B63" s="39"/>
      <c r="C63" s="39"/>
      <c r="D63" s="39"/>
      <c r="E63" s="39"/>
      <c r="F63" s="39"/>
      <c r="G63" s="39"/>
      <c r="H63" s="39"/>
      <c r="I63" s="39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4"/>
      <c r="U63" s="374"/>
      <c r="V63" s="374"/>
      <c r="W63" s="374"/>
      <c r="X63" s="39"/>
      <c r="Y63" s="39"/>
      <c r="Z63" s="39"/>
      <c r="AA63" s="39"/>
      <c r="AB63" s="39"/>
      <c r="AC63" s="39"/>
      <c r="AD63" s="39"/>
      <c r="AE63" s="549"/>
      <c r="AF63" s="549"/>
    </row>
    <row r="64" spans="1:32" x14ac:dyDescent="0.15">
      <c r="A64" s="39" t="s">
        <v>989</v>
      </c>
      <c r="B64" s="39"/>
      <c r="C64" s="39"/>
      <c r="D64" s="39"/>
      <c r="E64" s="39"/>
      <c r="F64" s="39"/>
      <c r="G64" s="39"/>
      <c r="H64" s="39"/>
      <c r="I64" s="39"/>
      <c r="J64" s="374"/>
      <c r="K64" s="374"/>
      <c r="L64" s="374"/>
      <c r="M64" s="374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549"/>
      <c r="AF64" s="549"/>
    </row>
    <row r="65" spans="1:32" x14ac:dyDescent="0.15">
      <c r="A65" s="39" t="s">
        <v>990</v>
      </c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549"/>
      <c r="AF65" s="549"/>
    </row>
    <row r="66" spans="1:32" x14ac:dyDescent="0.15">
      <c r="A66" s="39" t="s">
        <v>991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549"/>
      <c r="AF66" s="549"/>
    </row>
    <row r="67" spans="1:32" x14ac:dyDescent="0.15">
      <c r="A67" s="39" t="s">
        <v>992</v>
      </c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128"/>
      <c r="Y67" s="39"/>
      <c r="Z67" s="39"/>
      <c r="AA67" s="39"/>
      <c r="AB67" s="39"/>
      <c r="AC67" s="39"/>
      <c r="AD67" s="39"/>
      <c r="AE67" s="549"/>
      <c r="AF67" s="549"/>
    </row>
    <row r="68" spans="1:32" x14ac:dyDescent="0.1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128"/>
      <c r="Y68" s="39"/>
      <c r="Z68" s="39"/>
      <c r="AA68" s="39"/>
      <c r="AB68" s="39"/>
      <c r="AC68" s="39"/>
      <c r="AD68" s="39"/>
      <c r="AE68" s="549"/>
      <c r="AF68" s="549"/>
    </row>
    <row r="69" spans="1:32" x14ac:dyDescent="0.15">
      <c r="A69" s="38" t="s">
        <v>993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128"/>
      <c r="Y69" s="39"/>
      <c r="Z69" s="39"/>
      <c r="AA69" s="39"/>
      <c r="AB69" s="39"/>
      <c r="AC69" s="39"/>
      <c r="AD69" s="39"/>
      <c r="AE69" s="549"/>
      <c r="AF69" s="549"/>
    </row>
    <row r="70" spans="1:32" x14ac:dyDescent="0.15">
      <c r="A70" s="39" t="s">
        <v>994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128"/>
      <c r="Y70" s="39"/>
      <c r="Z70" s="39"/>
      <c r="AA70" s="39"/>
      <c r="AB70" s="39"/>
      <c r="AC70" s="39"/>
      <c r="AD70" s="39"/>
      <c r="AE70" s="549"/>
      <c r="AF70" s="549"/>
    </row>
    <row r="71" spans="1:32" x14ac:dyDescent="0.15">
      <c r="A71" s="128" t="s">
        <v>1132</v>
      </c>
      <c r="B71" s="39"/>
      <c r="C71" s="39"/>
      <c r="D71" s="128" t="s">
        <v>1133</v>
      </c>
      <c r="E71" s="39"/>
      <c r="F71" s="39"/>
      <c r="G71" s="128" t="s">
        <v>1134</v>
      </c>
      <c r="H71" s="39"/>
      <c r="I71" s="39"/>
      <c r="J71" s="39" t="s">
        <v>995</v>
      </c>
      <c r="K71" s="39"/>
      <c r="L71" s="39"/>
      <c r="M71" s="39" t="s">
        <v>996</v>
      </c>
      <c r="N71" s="39"/>
      <c r="O71" s="39"/>
      <c r="P71" s="39" t="s">
        <v>997</v>
      </c>
      <c r="Q71" s="39"/>
      <c r="R71" s="39"/>
      <c r="S71" s="39" t="s">
        <v>998</v>
      </c>
      <c r="T71" s="39"/>
      <c r="U71" s="39"/>
      <c r="V71" s="39" t="s">
        <v>1076</v>
      </c>
      <c r="W71" s="39" t="s">
        <v>999</v>
      </c>
      <c r="X71" s="128"/>
      <c r="Y71" s="39"/>
      <c r="Z71" s="39"/>
      <c r="AA71" s="39"/>
      <c r="AB71" s="39"/>
      <c r="AC71" s="39"/>
      <c r="AD71" s="39"/>
      <c r="AE71" s="549"/>
      <c r="AF71" s="549"/>
    </row>
    <row r="72" spans="1:32" x14ac:dyDescent="0.15">
      <c r="A72" s="128">
        <v>3521</v>
      </c>
      <c r="B72" s="128" t="s">
        <v>1005</v>
      </c>
      <c r="C72" s="128"/>
      <c r="D72" s="128">
        <v>3000</v>
      </c>
      <c r="E72" s="128" t="s">
        <v>1006</v>
      </c>
      <c r="F72" s="128"/>
      <c r="G72" s="128">
        <v>3198</v>
      </c>
      <c r="H72" s="128" t="s">
        <v>1000</v>
      </c>
      <c r="I72" s="128"/>
      <c r="J72" s="128">
        <v>3249</v>
      </c>
      <c r="K72" s="128" t="s">
        <v>1001</v>
      </c>
      <c r="L72" s="128"/>
      <c r="M72" s="128">
        <v>3011</v>
      </c>
      <c r="N72" s="128" t="s">
        <v>1002</v>
      </c>
      <c r="O72" s="128"/>
      <c r="P72" s="128">
        <v>3024</v>
      </c>
      <c r="Q72" s="39" t="s">
        <v>1003</v>
      </c>
      <c r="R72" s="39"/>
      <c r="S72" s="128">
        <v>3006</v>
      </c>
      <c r="T72" s="39"/>
      <c r="U72" s="39"/>
      <c r="V72" s="128">
        <v>3139</v>
      </c>
      <c r="W72" s="128" t="s">
        <v>1004</v>
      </c>
      <c r="X72" s="128"/>
      <c r="Y72" s="39"/>
      <c r="Z72" s="39"/>
      <c r="AA72" s="39"/>
      <c r="AB72" s="39"/>
      <c r="AC72" s="39"/>
      <c r="AD72" s="39"/>
      <c r="AE72" s="549"/>
      <c r="AF72" s="549"/>
    </row>
    <row r="73" spans="1:32" x14ac:dyDescent="0.15">
      <c r="A73" s="128">
        <v>3522</v>
      </c>
      <c r="B73" s="128" t="s">
        <v>1013</v>
      </c>
      <c r="C73" s="128"/>
      <c r="D73" s="128">
        <v>3001</v>
      </c>
      <c r="E73" s="128" t="s">
        <v>1006</v>
      </c>
      <c r="F73" s="128"/>
      <c r="G73" s="128">
        <v>3199</v>
      </c>
      <c r="H73" s="128" t="s">
        <v>1007</v>
      </c>
      <c r="I73" s="128"/>
      <c r="J73" s="128">
        <v>3250</v>
      </c>
      <c r="K73" s="128" t="s">
        <v>1008</v>
      </c>
      <c r="L73" s="128"/>
      <c r="M73" s="128">
        <v>3012</v>
      </c>
      <c r="N73" s="128" t="s">
        <v>1009</v>
      </c>
      <c r="O73" s="128"/>
      <c r="P73" s="128">
        <v>3029</v>
      </c>
      <c r="Q73" s="128" t="s">
        <v>1010</v>
      </c>
      <c r="R73" s="128"/>
      <c r="S73" s="128">
        <v>3101</v>
      </c>
      <c r="T73" s="128" t="s">
        <v>1011</v>
      </c>
      <c r="U73" s="128"/>
      <c r="V73" s="128">
        <v>3150</v>
      </c>
      <c r="W73" s="128" t="s">
        <v>1012</v>
      </c>
      <c r="X73" s="128"/>
      <c r="Y73" s="39"/>
      <c r="Z73" s="39"/>
      <c r="AA73" s="39"/>
      <c r="AB73" s="39"/>
      <c r="AC73" s="39"/>
      <c r="AD73" s="39"/>
      <c r="AE73" s="549"/>
      <c r="AF73" s="549"/>
    </row>
    <row r="74" spans="1:32" x14ac:dyDescent="0.15">
      <c r="A74" s="128">
        <v>3523</v>
      </c>
      <c r="B74" s="128" t="s">
        <v>1020</v>
      </c>
      <c r="C74" s="128"/>
      <c r="D74" s="128">
        <v>3002</v>
      </c>
      <c r="E74" s="128" t="s">
        <v>1021</v>
      </c>
      <c r="F74" s="128"/>
      <c r="G74" s="128">
        <v>3200</v>
      </c>
      <c r="H74" s="128" t="s">
        <v>1014</v>
      </c>
      <c r="I74" s="128"/>
      <c r="J74" s="128">
        <v>3260</v>
      </c>
      <c r="K74" s="128" t="s">
        <v>1015</v>
      </c>
      <c r="L74" s="128"/>
      <c r="M74" s="128">
        <v>3013</v>
      </c>
      <c r="N74" s="128" t="s">
        <v>1016</v>
      </c>
      <c r="O74" s="128"/>
      <c r="P74" s="128">
        <v>3030</v>
      </c>
      <c r="Q74" s="128" t="s">
        <v>1017</v>
      </c>
      <c r="R74" s="128"/>
      <c r="S74" s="128">
        <v>3102</v>
      </c>
      <c r="T74" s="128" t="s">
        <v>1018</v>
      </c>
      <c r="U74" s="128"/>
      <c r="V74" s="128">
        <v>3152</v>
      </c>
      <c r="W74" s="128" t="s">
        <v>1019</v>
      </c>
      <c r="X74" s="128"/>
      <c r="Y74" s="39"/>
      <c r="Z74" s="39"/>
      <c r="AA74" s="39"/>
      <c r="AB74" s="39"/>
      <c r="AC74" s="39"/>
      <c r="AD74" s="39"/>
      <c r="AE74" s="549"/>
      <c r="AF74" s="549"/>
    </row>
    <row r="75" spans="1:32" x14ac:dyDescent="0.15">
      <c r="A75" s="128">
        <v>3561</v>
      </c>
      <c r="B75" s="128" t="s">
        <v>862</v>
      </c>
      <c r="C75" s="128"/>
      <c r="D75" s="128">
        <v>3003</v>
      </c>
      <c r="E75" s="128" t="s">
        <v>863</v>
      </c>
      <c r="F75" s="128"/>
      <c r="G75" s="128">
        <v>3755</v>
      </c>
      <c r="H75" s="128" t="s">
        <v>1022</v>
      </c>
      <c r="I75" s="128"/>
      <c r="J75" s="128">
        <v>3266</v>
      </c>
      <c r="K75" s="128" t="s">
        <v>857</v>
      </c>
      <c r="L75" s="128"/>
      <c r="M75" s="128">
        <v>3015</v>
      </c>
      <c r="N75" s="128" t="s">
        <v>858</v>
      </c>
      <c r="O75" s="128"/>
      <c r="P75" s="128">
        <v>3211</v>
      </c>
      <c r="Q75" s="128" t="s">
        <v>859</v>
      </c>
      <c r="R75" s="128"/>
      <c r="S75" s="128">
        <v>3103</v>
      </c>
      <c r="T75" s="128" t="s">
        <v>860</v>
      </c>
      <c r="U75" s="128"/>
      <c r="V75" s="128">
        <v>3156</v>
      </c>
      <c r="W75" s="128" t="s">
        <v>861</v>
      </c>
      <c r="X75" s="128"/>
      <c r="Y75" s="39"/>
      <c r="Z75" s="39"/>
      <c r="AA75" s="39"/>
      <c r="AB75" s="39"/>
      <c r="AC75" s="39"/>
      <c r="AD75" s="39"/>
      <c r="AE75" s="549"/>
      <c r="AF75" s="549"/>
    </row>
    <row r="76" spans="1:32" x14ac:dyDescent="0.15">
      <c r="A76" s="128">
        <v>3564</v>
      </c>
      <c r="B76" s="128" t="s">
        <v>870</v>
      </c>
      <c r="C76" s="128"/>
      <c r="D76" s="128">
        <v>3008</v>
      </c>
      <c r="E76" s="128" t="s">
        <v>871</v>
      </c>
      <c r="F76" s="128"/>
      <c r="G76" s="128">
        <v>3760</v>
      </c>
      <c r="H76" s="128" t="s">
        <v>864</v>
      </c>
      <c r="I76" s="128"/>
      <c r="J76" s="128">
        <v>3277</v>
      </c>
      <c r="K76" s="128" t="s">
        <v>865</v>
      </c>
      <c r="L76" s="128"/>
      <c r="M76" s="128">
        <v>3016</v>
      </c>
      <c r="N76" s="128" t="s">
        <v>866</v>
      </c>
      <c r="O76" s="128"/>
      <c r="P76" s="128">
        <v>3212</v>
      </c>
      <c r="Q76" s="128" t="s">
        <v>867</v>
      </c>
      <c r="R76" s="128"/>
      <c r="S76" s="128">
        <v>3104</v>
      </c>
      <c r="T76" s="128" t="s">
        <v>868</v>
      </c>
      <c r="U76" s="128"/>
      <c r="V76" s="128">
        <v>3158</v>
      </c>
      <c r="W76" s="128" t="s">
        <v>869</v>
      </c>
      <c r="X76" s="128"/>
      <c r="Y76" s="39"/>
      <c r="Z76" s="39"/>
      <c r="AA76" s="39"/>
      <c r="AB76" s="39"/>
      <c r="AC76" s="39"/>
      <c r="AD76" s="39"/>
      <c r="AE76" s="549"/>
      <c r="AF76" s="549"/>
    </row>
    <row r="77" spans="1:32" x14ac:dyDescent="0.15">
      <c r="A77" s="128">
        <v>3607</v>
      </c>
      <c r="B77" s="128" t="s">
        <v>878</v>
      </c>
      <c r="C77" s="128"/>
      <c r="D77" s="128">
        <v>3051</v>
      </c>
      <c r="E77" s="128" t="s">
        <v>879</v>
      </c>
      <c r="F77" s="128"/>
      <c r="G77" s="128">
        <v>3761</v>
      </c>
      <c r="H77" s="128" t="s">
        <v>872</v>
      </c>
      <c r="I77" s="128"/>
      <c r="J77" s="128">
        <v>3280</v>
      </c>
      <c r="K77" s="128" t="s">
        <v>873</v>
      </c>
      <c r="L77" s="128"/>
      <c r="M77" s="128">
        <v>3018</v>
      </c>
      <c r="N77" s="128" t="s">
        <v>874</v>
      </c>
      <c r="O77" s="128"/>
      <c r="P77" s="128">
        <v>3214</v>
      </c>
      <c r="Q77" s="128" t="s">
        <v>875</v>
      </c>
      <c r="R77" s="128"/>
      <c r="S77" s="128">
        <v>3105</v>
      </c>
      <c r="T77" s="128" t="s">
        <v>876</v>
      </c>
      <c r="U77" s="128"/>
      <c r="V77" s="128">
        <v>3160</v>
      </c>
      <c r="W77" s="128" t="s">
        <v>877</v>
      </c>
      <c r="X77" s="128"/>
      <c r="Y77" s="39"/>
      <c r="Z77" s="39"/>
      <c r="AA77" s="39"/>
      <c r="AB77" s="39"/>
      <c r="AC77" s="39"/>
      <c r="AD77" s="39"/>
      <c r="AE77" s="549"/>
      <c r="AF77" s="549"/>
    </row>
    <row r="78" spans="1:32" x14ac:dyDescent="0.15">
      <c r="A78" s="128">
        <v>3608</v>
      </c>
      <c r="B78" s="128" t="s">
        <v>886</v>
      </c>
      <c r="C78" s="128"/>
      <c r="D78" s="128">
        <v>3052</v>
      </c>
      <c r="E78" s="128" t="s">
        <v>887</v>
      </c>
      <c r="F78" s="128"/>
      <c r="G78" s="128">
        <v>3777</v>
      </c>
      <c r="H78" s="128" t="s">
        <v>880</v>
      </c>
      <c r="I78" s="128"/>
      <c r="J78" s="128">
        <v>3282</v>
      </c>
      <c r="K78" s="128" t="s">
        <v>881</v>
      </c>
      <c r="L78" s="128"/>
      <c r="M78" s="128">
        <v>3019</v>
      </c>
      <c r="N78" s="128" t="s">
        <v>882</v>
      </c>
      <c r="O78" s="128"/>
      <c r="P78" s="128">
        <v>3215</v>
      </c>
      <c r="Q78" s="128" t="s">
        <v>883</v>
      </c>
      <c r="R78" s="128"/>
      <c r="S78" s="128">
        <v>3106</v>
      </c>
      <c r="T78" s="128" t="s">
        <v>884</v>
      </c>
      <c r="U78" s="128"/>
      <c r="V78" s="128">
        <v>3161</v>
      </c>
      <c r="W78" s="128" t="s">
        <v>885</v>
      </c>
      <c r="X78" s="128"/>
      <c r="Y78" s="39"/>
      <c r="Z78" s="39"/>
      <c r="AA78" s="39"/>
      <c r="AB78" s="39"/>
      <c r="AC78" s="39"/>
      <c r="AD78" s="39"/>
      <c r="AE78" s="549"/>
      <c r="AF78" s="549"/>
    </row>
    <row r="79" spans="1:32" x14ac:dyDescent="0.15">
      <c r="A79" s="128">
        <v>3614</v>
      </c>
      <c r="B79" s="128" t="s">
        <v>894</v>
      </c>
      <c r="C79" s="128"/>
      <c r="D79" s="128">
        <v>3053</v>
      </c>
      <c r="E79" s="128" t="s">
        <v>895</v>
      </c>
      <c r="F79" s="128"/>
      <c r="G79" s="128">
        <v>3803</v>
      </c>
      <c r="H79" s="128" t="s">
        <v>888</v>
      </c>
      <c r="I79" s="128"/>
      <c r="J79" s="128">
        <v>3284</v>
      </c>
      <c r="K79" s="128" t="s">
        <v>889</v>
      </c>
      <c r="L79" s="128"/>
      <c r="M79" s="128">
        <v>3020</v>
      </c>
      <c r="N79" s="128" t="s">
        <v>890</v>
      </c>
      <c r="O79" s="128"/>
      <c r="P79" s="128">
        <v>3216</v>
      </c>
      <c r="Q79" s="128" t="s">
        <v>891</v>
      </c>
      <c r="R79" s="128"/>
      <c r="S79" s="128">
        <v>3107</v>
      </c>
      <c r="T79" s="128" t="s">
        <v>892</v>
      </c>
      <c r="U79" s="128"/>
      <c r="V79" s="128">
        <v>3162</v>
      </c>
      <c r="W79" s="128" t="s">
        <v>893</v>
      </c>
      <c r="X79" s="128"/>
      <c r="Y79" s="39"/>
      <c r="Z79" s="39"/>
      <c r="AA79" s="39"/>
      <c r="AB79" s="39"/>
      <c r="AC79" s="39"/>
      <c r="AD79" s="39"/>
      <c r="AE79" s="549"/>
      <c r="AF79" s="549"/>
    </row>
    <row r="80" spans="1:32" x14ac:dyDescent="0.15">
      <c r="A80" s="128">
        <v>3616</v>
      </c>
      <c r="B80" s="128" t="s">
        <v>902</v>
      </c>
      <c r="C80" s="128"/>
      <c r="D80" s="128">
        <v>3054</v>
      </c>
      <c r="E80" s="128" t="s">
        <v>903</v>
      </c>
      <c r="F80" s="128"/>
      <c r="G80" s="128">
        <v>3805</v>
      </c>
      <c r="H80" s="128" t="s">
        <v>896</v>
      </c>
      <c r="I80" s="128"/>
      <c r="J80" s="128">
        <v>3300</v>
      </c>
      <c r="K80" s="128" t="s">
        <v>897</v>
      </c>
      <c r="L80" s="128"/>
      <c r="M80" s="128">
        <v>3021</v>
      </c>
      <c r="N80" s="128" t="s">
        <v>898</v>
      </c>
      <c r="O80" s="128"/>
      <c r="P80" s="128">
        <v>3217</v>
      </c>
      <c r="Q80" s="128" t="s">
        <v>899</v>
      </c>
      <c r="R80" s="128"/>
      <c r="S80" s="128">
        <v>3108</v>
      </c>
      <c r="T80" s="128" t="s">
        <v>900</v>
      </c>
      <c r="U80" s="128"/>
      <c r="V80" s="128">
        <v>3163</v>
      </c>
      <c r="W80" s="128" t="s">
        <v>901</v>
      </c>
      <c r="X80" s="128"/>
      <c r="Y80" s="39"/>
      <c r="Z80" s="39"/>
      <c r="AA80" s="39"/>
      <c r="AB80" s="39"/>
      <c r="AC80" s="39"/>
      <c r="AD80" s="39"/>
      <c r="AE80" s="549"/>
      <c r="AF80" s="549"/>
    </row>
    <row r="81" spans="1:32" x14ac:dyDescent="0.15">
      <c r="A81" s="128">
        <v>3617</v>
      </c>
      <c r="B81" s="128" t="s">
        <v>910</v>
      </c>
      <c r="C81" s="128"/>
      <c r="D81" s="128">
        <v>3055</v>
      </c>
      <c r="E81" s="128" t="s">
        <v>911</v>
      </c>
      <c r="F81" s="128"/>
      <c r="G81" s="128">
        <v>3806</v>
      </c>
      <c r="H81" s="128" t="s">
        <v>904</v>
      </c>
      <c r="I81" s="128"/>
      <c r="J81" s="128">
        <v>3305</v>
      </c>
      <c r="K81" s="128" t="s">
        <v>905</v>
      </c>
      <c r="L81" s="128"/>
      <c r="M81" s="128">
        <v>3022</v>
      </c>
      <c r="N81" s="128" t="s">
        <v>906</v>
      </c>
      <c r="O81" s="128"/>
      <c r="P81" s="128">
        <v>3218</v>
      </c>
      <c r="Q81" s="128" t="s">
        <v>907</v>
      </c>
      <c r="R81" s="128"/>
      <c r="S81" s="128">
        <v>3109</v>
      </c>
      <c r="T81" s="128" t="s">
        <v>908</v>
      </c>
      <c r="U81" s="128"/>
      <c r="V81" s="128">
        <v>3165</v>
      </c>
      <c r="W81" s="128" t="s">
        <v>909</v>
      </c>
      <c r="X81" s="128"/>
      <c r="Y81" s="39"/>
      <c r="Z81" s="39"/>
      <c r="AA81" s="39"/>
      <c r="AB81" s="39"/>
      <c r="AC81" s="39"/>
      <c r="AD81" s="39"/>
      <c r="AE81" s="549"/>
      <c r="AF81" s="549"/>
    </row>
    <row r="82" spans="1:32" x14ac:dyDescent="0.15">
      <c r="A82" s="128">
        <v>3618</v>
      </c>
      <c r="B82" s="128" t="s">
        <v>918</v>
      </c>
      <c r="C82" s="128"/>
      <c r="D82" s="128">
        <v>3056</v>
      </c>
      <c r="E82" s="128" t="s">
        <v>911</v>
      </c>
      <c r="F82" s="128"/>
      <c r="G82" s="128">
        <v>3807</v>
      </c>
      <c r="H82" s="128" t="s">
        <v>912</v>
      </c>
      <c r="I82" s="128"/>
      <c r="J82" s="128">
        <v>3340</v>
      </c>
      <c r="K82" s="128" t="s">
        <v>913</v>
      </c>
      <c r="L82" s="128"/>
      <c r="M82" s="128">
        <v>3023</v>
      </c>
      <c r="N82" s="128" t="s">
        <v>914</v>
      </c>
      <c r="O82" s="128"/>
      <c r="P82" s="128">
        <v>3219</v>
      </c>
      <c r="Q82" s="128" t="s">
        <v>915</v>
      </c>
      <c r="R82" s="128"/>
      <c r="S82" s="128">
        <v>3111</v>
      </c>
      <c r="T82" s="128" t="s">
        <v>916</v>
      </c>
      <c r="U82" s="128"/>
      <c r="V82" s="128">
        <v>3166</v>
      </c>
      <c r="W82" s="128" t="s">
        <v>917</v>
      </c>
      <c r="X82" s="128"/>
      <c r="Y82" s="39"/>
      <c r="Z82" s="39"/>
      <c r="AA82" s="39"/>
      <c r="AB82" s="39"/>
      <c r="AC82" s="39"/>
      <c r="AD82" s="39"/>
      <c r="AE82" s="549"/>
      <c r="AF82" s="549"/>
    </row>
    <row r="83" spans="1:32" x14ac:dyDescent="0.15">
      <c r="A83" s="128">
        <v>3620</v>
      </c>
      <c r="B83" s="128" t="s">
        <v>925</v>
      </c>
      <c r="C83" s="128"/>
      <c r="D83" s="128">
        <v>3057</v>
      </c>
      <c r="E83" s="128" t="s">
        <v>926</v>
      </c>
      <c r="F83" s="128"/>
      <c r="G83" s="128">
        <v>3808</v>
      </c>
      <c r="H83" s="128" t="s">
        <v>919</v>
      </c>
      <c r="I83" s="128"/>
      <c r="J83" s="128">
        <v>3342</v>
      </c>
      <c r="K83" s="128" t="s">
        <v>920</v>
      </c>
      <c r="L83" s="128"/>
      <c r="M83" s="128">
        <v>3025</v>
      </c>
      <c r="N83" s="128" t="s">
        <v>921</v>
      </c>
      <c r="O83" s="128"/>
      <c r="P83" s="128">
        <v>3220</v>
      </c>
      <c r="Q83" s="128" t="s">
        <v>922</v>
      </c>
      <c r="R83" s="128"/>
      <c r="S83" s="128">
        <v>3113</v>
      </c>
      <c r="T83" s="128" t="s">
        <v>923</v>
      </c>
      <c r="U83" s="128"/>
      <c r="V83" s="128">
        <v>3167</v>
      </c>
      <c r="W83" s="128" t="s">
        <v>924</v>
      </c>
      <c r="X83" s="128"/>
      <c r="Y83" s="39"/>
      <c r="Z83" s="39"/>
      <c r="AA83" s="39"/>
      <c r="AB83" s="39"/>
      <c r="AC83" s="39"/>
      <c r="AD83" s="39"/>
      <c r="AE83" s="549"/>
      <c r="AF83" s="549"/>
    </row>
    <row r="84" spans="1:32" x14ac:dyDescent="0.15">
      <c r="A84" s="128">
        <v>3621</v>
      </c>
      <c r="B84" s="128" t="s">
        <v>933</v>
      </c>
      <c r="C84" s="128"/>
      <c r="D84" s="128">
        <v>3065</v>
      </c>
      <c r="E84" s="128" t="s">
        <v>934</v>
      </c>
      <c r="F84" s="128"/>
      <c r="G84" s="128">
        <v>3809</v>
      </c>
      <c r="H84" s="128" t="s">
        <v>927</v>
      </c>
      <c r="I84" s="128"/>
      <c r="J84" s="128">
        <v>3350</v>
      </c>
      <c r="K84" s="128" t="s">
        <v>928</v>
      </c>
      <c r="L84" s="128"/>
      <c r="M84" s="128">
        <v>3026</v>
      </c>
      <c r="N84" s="128" t="s">
        <v>929</v>
      </c>
      <c r="O84" s="128"/>
      <c r="P84" s="128">
        <v>3221</v>
      </c>
      <c r="Q84" s="128" t="s">
        <v>930</v>
      </c>
      <c r="R84" s="128"/>
      <c r="S84" s="128">
        <v>3114</v>
      </c>
      <c r="T84" s="128" t="s">
        <v>931</v>
      </c>
      <c r="U84" s="128"/>
      <c r="V84" s="128">
        <v>3168</v>
      </c>
      <c r="W84" s="128" t="s">
        <v>932</v>
      </c>
      <c r="X84" s="128"/>
      <c r="Y84" s="39"/>
      <c r="Z84" s="39"/>
      <c r="AA84" s="39"/>
      <c r="AB84" s="39"/>
      <c r="AC84" s="39"/>
      <c r="AD84" s="39"/>
      <c r="AE84" s="549"/>
      <c r="AF84" s="549"/>
    </row>
    <row r="85" spans="1:32" x14ac:dyDescent="0.15">
      <c r="A85" s="128">
        <v>3622</v>
      </c>
      <c r="B85" s="128" t="s">
        <v>941</v>
      </c>
      <c r="C85" s="128"/>
      <c r="D85" s="128">
        <v>3066</v>
      </c>
      <c r="E85" s="128" t="s">
        <v>942</v>
      </c>
      <c r="F85" s="128"/>
      <c r="G85" s="128">
        <v>3810</v>
      </c>
      <c r="H85" s="128" t="s">
        <v>935</v>
      </c>
      <c r="I85" s="128"/>
      <c r="J85" s="128">
        <v>3352</v>
      </c>
      <c r="K85" s="128" t="s">
        <v>936</v>
      </c>
      <c r="L85" s="128"/>
      <c r="M85" s="128">
        <v>3028</v>
      </c>
      <c r="N85" s="128" t="s">
        <v>937</v>
      </c>
      <c r="O85" s="128"/>
      <c r="P85" s="128">
        <v>3222</v>
      </c>
      <c r="Q85" s="128" t="s">
        <v>938</v>
      </c>
      <c r="R85" s="128"/>
      <c r="S85" s="128">
        <v>3115</v>
      </c>
      <c r="T85" s="128" t="s">
        <v>939</v>
      </c>
      <c r="U85" s="128"/>
      <c r="V85" s="128">
        <v>3169</v>
      </c>
      <c r="W85" s="128" t="s">
        <v>940</v>
      </c>
      <c r="X85" s="128"/>
      <c r="Y85" s="39"/>
      <c r="Z85" s="39"/>
      <c r="AA85" s="39"/>
      <c r="AB85" s="39"/>
      <c r="AC85" s="39"/>
      <c r="AD85" s="39"/>
      <c r="AE85" s="549"/>
      <c r="AF85" s="549"/>
    </row>
    <row r="86" spans="1:32" x14ac:dyDescent="0.15">
      <c r="A86" s="128">
        <v>3623</v>
      </c>
      <c r="B86" s="128" t="s">
        <v>949</v>
      </c>
      <c r="C86" s="128"/>
      <c r="D86" s="128">
        <v>3067</v>
      </c>
      <c r="E86" s="128" t="s">
        <v>950</v>
      </c>
      <c r="F86" s="128"/>
      <c r="G86" s="128">
        <v>3816</v>
      </c>
      <c r="H86" s="128" t="s">
        <v>943</v>
      </c>
      <c r="I86" s="128"/>
      <c r="J86" s="128">
        <v>3355</v>
      </c>
      <c r="K86" s="128" t="s">
        <v>944</v>
      </c>
      <c r="L86" s="128"/>
      <c r="M86" s="128">
        <v>3031</v>
      </c>
      <c r="N86" s="128" t="s">
        <v>945</v>
      </c>
      <c r="O86" s="128"/>
      <c r="P86" s="128">
        <v>3223</v>
      </c>
      <c r="Q86" s="128" t="s">
        <v>946</v>
      </c>
      <c r="R86" s="128"/>
      <c r="S86" s="128">
        <v>3116</v>
      </c>
      <c r="T86" s="128" t="s">
        <v>947</v>
      </c>
      <c r="U86" s="128"/>
      <c r="V86" s="128">
        <v>3170</v>
      </c>
      <c r="W86" s="128" t="s">
        <v>948</v>
      </c>
      <c r="X86" s="128"/>
      <c r="Y86" s="39"/>
      <c r="Z86" s="39"/>
      <c r="AA86" s="39"/>
      <c r="AB86" s="39"/>
      <c r="AC86" s="39"/>
      <c r="AD86" s="39"/>
      <c r="AE86" s="549"/>
      <c r="AF86" s="549"/>
    </row>
    <row r="87" spans="1:32" x14ac:dyDescent="0.15">
      <c r="A87" s="128">
        <v>3624</v>
      </c>
      <c r="B87" s="128" t="s">
        <v>957</v>
      </c>
      <c r="C87" s="128"/>
      <c r="D87" s="128">
        <v>3068</v>
      </c>
      <c r="E87" s="128" t="s">
        <v>958</v>
      </c>
      <c r="F87" s="128"/>
      <c r="G87" s="128">
        <v>3818</v>
      </c>
      <c r="H87" s="128" t="s">
        <v>951</v>
      </c>
      <c r="I87" s="128"/>
      <c r="J87" s="128">
        <v>3356</v>
      </c>
      <c r="K87" s="128" t="s">
        <v>952</v>
      </c>
      <c r="L87" s="128"/>
      <c r="M87" s="128">
        <v>3032</v>
      </c>
      <c r="N87" s="128" t="s">
        <v>953</v>
      </c>
      <c r="O87" s="128"/>
      <c r="P87" s="128">
        <v>3224</v>
      </c>
      <c r="Q87" s="128" t="s">
        <v>954</v>
      </c>
      <c r="R87" s="128"/>
      <c r="S87" s="128">
        <v>3122</v>
      </c>
      <c r="T87" s="128" t="s">
        <v>955</v>
      </c>
      <c r="U87" s="128"/>
      <c r="V87" s="128">
        <v>3171</v>
      </c>
      <c r="W87" s="128" t="s">
        <v>956</v>
      </c>
      <c r="X87" s="128"/>
      <c r="Y87" s="39"/>
      <c r="Z87" s="39"/>
      <c r="AA87" s="39"/>
      <c r="AB87" s="39"/>
      <c r="AC87" s="39"/>
      <c r="AD87" s="39"/>
      <c r="AE87" s="549"/>
      <c r="AF87" s="549"/>
    </row>
    <row r="88" spans="1:32" x14ac:dyDescent="0.15">
      <c r="A88" s="128">
        <v>3629</v>
      </c>
      <c r="B88" s="128" t="s">
        <v>965</v>
      </c>
      <c r="C88" s="128"/>
      <c r="D88" s="128">
        <v>3070</v>
      </c>
      <c r="E88" s="128" t="s">
        <v>966</v>
      </c>
      <c r="F88" s="128"/>
      <c r="G88" s="128">
        <v>3820</v>
      </c>
      <c r="H88" s="128" t="s">
        <v>959</v>
      </c>
      <c r="I88" s="128"/>
      <c r="J88" s="128">
        <v>3357</v>
      </c>
      <c r="K88" s="128" t="s">
        <v>960</v>
      </c>
      <c r="L88" s="128"/>
      <c r="M88" s="128">
        <v>3033</v>
      </c>
      <c r="N88" s="128" t="s">
        <v>961</v>
      </c>
      <c r="O88" s="128"/>
      <c r="P88" s="128">
        <v>3225</v>
      </c>
      <c r="Q88" s="128" t="s">
        <v>962</v>
      </c>
      <c r="R88" s="128"/>
      <c r="S88" s="128">
        <v>3123</v>
      </c>
      <c r="T88" s="128" t="s">
        <v>963</v>
      </c>
      <c r="U88" s="128"/>
      <c r="V88" s="128">
        <v>3172</v>
      </c>
      <c r="W88" s="128" t="s">
        <v>964</v>
      </c>
      <c r="X88" s="128"/>
      <c r="Y88" s="39"/>
      <c r="Z88" s="39"/>
      <c r="AA88" s="39"/>
      <c r="AB88" s="39"/>
      <c r="AC88" s="39"/>
      <c r="AD88" s="39"/>
      <c r="AE88" s="549"/>
      <c r="AF88" s="549"/>
    </row>
    <row r="89" spans="1:32" x14ac:dyDescent="0.15">
      <c r="A89" s="128">
        <v>3630</v>
      </c>
      <c r="B89" s="128" t="s">
        <v>973</v>
      </c>
      <c r="C89" s="128"/>
      <c r="D89" s="128">
        <v>3071</v>
      </c>
      <c r="E89" s="128" t="s">
        <v>974</v>
      </c>
      <c r="F89" s="128"/>
      <c r="G89" s="128">
        <v>3822</v>
      </c>
      <c r="H89" s="128" t="s">
        <v>967</v>
      </c>
      <c r="I89" s="128"/>
      <c r="J89" s="128">
        <v>3363</v>
      </c>
      <c r="K89" s="128" t="s">
        <v>968</v>
      </c>
      <c r="L89" s="128"/>
      <c r="M89" s="128">
        <v>3034</v>
      </c>
      <c r="N89" s="128" t="s">
        <v>969</v>
      </c>
      <c r="O89" s="128"/>
      <c r="P89" s="128">
        <v>3226</v>
      </c>
      <c r="Q89" s="128" t="s">
        <v>970</v>
      </c>
      <c r="R89" s="128"/>
      <c r="S89" s="128">
        <v>3124</v>
      </c>
      <c r="T89" s="128" t="s">
        <v>971</v>
      </c>
      <c r="U89" s="128"/>
      <c r="V89" s="128">
        <v>3173</v>
      </c>
      <c r="W89" s="128" t="s">
        <v>972</v>
      </c>
      <c r="X89" s="128"/>
      <c r="Y89" s="39"/>
      <c r="Z89" s="39"/>
      <c r="AA89" s="39"/>
      <c r="AB89" s="39"/>
      <c r="AC89" s="39"/>
      <c r="AD89" s="39"/>
      <c r="AE89" s="549"/>
      <c r="AF89" s="549"/>
    </row>
    <row r="90" spans="1:32" x14ac:dyDescent="0.15">
      <c r="A90" s="128">
        <v>3631</v>
      </c>
      <c r="B90" s="128" t="s">
        <v>730</v>
      </c>
      <c r="C90" s="128"/>
      <c r="D90" s="128">
        <v>3072</v>
      </c>
      <c r="E90" s="128" t="s">
        <v>731</v>
      </c>
      <c r="F90" s="128"/>
      <c r="G90" s="128">
        <v>3823</v>
      </c>
      <c r="H90" s="128" t="s">
        <v>975</v>
      </c>
      <c r="I90" s="128"/>
      <c r="J90" s="128">
        <v>3364</v>
      </c>
      <c r="K90" s="128" t="s">
        <v>976</v>
      </c>
      <c r="L90" s="128"/>
      <c r="M90" s="128">
        <v>3036</v>
      </c>
      <c r="N90" s="128" t="s">
        <v>977</v>
      </c>
      <c r="O90" s="128"/>
      <c r="P90" s="128">
        <v>3227</v>
      </c>
      <c r="Q90" s="128" t="s">
        <v>978</v>
      </c>
      <c r="R90" s="128"/>
      <c r="S90" s="128">
        <v>3125</v>
      </c>
      <c r="T90" s="128" t="s">
        <v>728</v>
      </c>
      <c r="U90" s="128"/>
      <c r="V90" s="128">
        <v>3174</v>
      </c>
      <c r="W90" s="128" t="s">
        <v>729</v>
      </c>
      <c r="X90" s="128"/>
      <c r="Y90" s="39"/>
      <c r="Z90" s="39"/>
      <c r="AA90" s="39"/>
      <c r="AB90" s="39"/>
      <c r="AC90" s="39"/>
      <c r="AD90" s="39"/>
      <c r="AE90" s="549"/>
      <c r="AF90" s="549"/>
    </row>
    <row r="91" spans="1:32" x14ac:dyDescent="0.15">
      <c r="A91" s="128">
        <v>3633</v>
      </c>
      <c r="B91" s="128" t="s">
        <v>738</v>
      </c>
      <c r="C91" s="128"/>
      <c r="D91" s="128">
        <v>3073</v>
      </c>
      <c r="E91" s="128" t="s">
        <v>739</v>
      </c>
      <c r="F91" s="128"/>
      <c r="G91" s="128">
        <v>3824</v>
      </c>
      <c r="H91" s="128" t="s">
        <v>732</v>
      </c>
      <c r="I91" s="128"/>
      <c r="J91" s="128">
        <v>3377</v>
      </c>
      <c r="K91" s="128" t="s">
        <v>733</v>
      </c>
      <c r="L91" s="128"/>
      <c r="M91" s="128">
        <v>3037</v>
      </c>
      <c r="N91" s="128" t="s">
        <v>734</v>
      </c>
      <c r="O91" s="128"/>
      <c r="P91" s="128">
        <v>3228</v>
      </c>
      <c r="Q91" s="128" t="s">
        <v>735</v>
      </c>
      <c r="R91" s="128"/>
      <c r="S91" s="128">
        <v>3126</v>
      </c>
      <c r="T91" s="128" t="s">
        <v>736</v>
      </c>
      <c r="U91" s="128"/>
      <c r="V91" s="128">
        <v>3175</v>
      </c>
      <c r="W91" s="128" t="s">
        <v>737</v>
      </c>
      <c r="X91" s="128"/>
      <c r="Y91" s="39"/>
      <c r="Z91" s="39"/>
      <c r="AA91" s="39"/>
      <c r="AB91" s="39"/>
      <c r="AC91" s="39"/>
      <c r="AD91" s="39"/>
      <c r="AE91" s="549"/>
      <c r="AF91" s="549"/>
    </row>
    <row r="92" spans="1:32" x14ac:dyDescent="0.15">
      <c r="A92" s="128">
        <v>3658</v>
      </c>
      <c r="B92" s="128" t="s">
        <v>746</v>
      </c>
      <c r="C92" s="128"/>
      <c r="D92" s="128">
        <v>3074</v>
      </c>
      <c r="E92" s="128" t="s">
        <v>747</v>
      </c>
      <c r="F92" s="128"/>
      <c r="G92" s="128">
        <v>3825</v>
      </c>
      <c r="H92" s="128" t="s">
        <v>740</v>
      </c>
      <c r="I92" s="128"/>
      <c r="J92" s="128">
        <v>3380</v>
      </c>
      <c r="K92" s="128" t="s">
        <v>741</v>
      </c>
      <c r="L92" s="128"/>
      <c r="M92" s="128">
        <v>3038</v>
      </c>
      <c r="N92" s="128" t="s">
        <v>742</v>
      </c>
      <c r="O92" s="128"/>
      <c r="P92" s="128">
        <v>3335</v>
      </c>
      <c r="Q92" s="128" t="s">
        <v>743</v>
      </c>
      <c r="R92" s="128"/>
      <c r="S92" s="128">
        <v>3127</v>
      </c>
      <c r="T92" s="128" t="s">
        <v>744</v>
      </c>
      <c r="U92" s="128"/>
      <c r="V92" s="128">
        <v>3177</v>
      </c>
      <c r="W92" s="128" t="s">
        <v>745</v>
      </c>
      <c r="X92" s="128"/>
      <c r="Y92" s="39"/>
      <c r="Z92" s="39"/>
      <c r="AA92" s="39"/>
      <c r="AB92" s="39"/>
      <c r="AC92" s="39"/>
      <c r="AD92" s="39"/>
      <c r="AE92" s="549"/>
      <c r="AF92" s="549"/>
    </row>
    <row r="93" spans="1:32" x14ac:dyDescent="0.15">
      <c r="A93" s="128">
        <v>3659</v>
      </c>
      <c r="B93" s="128" t="s">
        <v>754</v>
      </c>
      <c r="C93" s="128"/>
      <c r="D93" s="128">
        <v>3075</v>
      </c>
      <c r="E93" s="128" t="s">
        <v>755</v>
      </c>
      <c r="F93" s="128"/>
      <c r="G93" s="128">
        <v>3840</v>
      </c>
      <c r="H93" s="128" t="s">
        <v>748</v>
      </c>
      <c r="I93" s="128"/>
      <c r="J93" s="128">
        <v>3400</v>
      </c>
      <c r="K93" s="128" t="s">
        <v>749</v>
      </c>
      <c r="L93" s="128"/>
      <c r="M93" s="128">
        <v>3039</v>
      </c>
      <c r="N93" s="128" t="s">
        <v>750</v>
      </c>
      <c r="O93" s="128"/>
      <c r="P93" s="128">
        <v>3337</v>
      </c>
      <c r="Q93" s="128" t="s">
        <v>751</v>
      </c>
      <c r="R93" s="128"/>
      <c r="S93" s="128">
        <v>3128</v>
      </c>
      <c r="T93" s="128" t="s">
        <v>752</v>
      </c>
      <c r="U93" s="128"/>
      <c r="V93" s="128">
        <v>3178</v>
      </c>
      <c r="W93" s="128" t="s">
        <v>753</v>
      </c>
      <c r="X93" s="128"/>
      <c r="Y93" s="39"/>
      <c r="Z93" s="39"/>
      <c r="AA93" s="39"/>
      <c r="AB93" s="39"/>
      <c r="AC93" s="39"/>
      <c r="AD93" s="39"/>
      <c r="AE93" s="549"/>
      <c r="AF93" s="549"/>
    </row>
    <row r="94" spans="1:32" x14ac:dyDescent="0.15">
      <c r="A94" s="128">
        <v>3660</v>
      </c>
      <c r="B94" s="128" t="s">
        <v>762</v>
      </c>
      <c r="C94" s="128"/>
      <c r="D94" s="128">
        <v>3076</v>
      </c>
      <c r="E94" s="128" t="s">
        <v>763</v>
      </c>
      <c r="F94" s="128"/>
      <c r="G94" s="128">
        <v>3842</v>
      </c>
      <c r="H94" s="128" t="s">
        <v>756</v>
      </c>
      <c r="I94" s="128"/>
      <c r="J94" s="128">
        <v>3430</v>
      </c>
      <c r="K94" s="128" t="s">
        <v>757</v>
      </c>
      <c r="L94" s="128"/>
      <c r="M94" s="128">
        <v>3040</v>
      </c>
      <c r="N94" s="128" t="s">
        <v>758</v>
      </c>
      <c r="O94" s="128"/>
      <c r="P94" s="128">
        <v>3338</v>
      </c>
      <c r="Q94" s="128" t="s">
        <v>759</v>
      </c>
      <c r="R94" s="128"/>
      <c r="S94" s="128">
        <v>3129</v>
      </c>
      <c r="T94" s="128" t="s">
        <v>760</v>
      </c>
      <c r="U94" s="128"/>
      <c r="V94" s="128">
        <v>3179</v>
      </c>
      <c r="W94" s="128" t="s">
        <v>761</v>
      </c>
      <c r="X94" s="128"/>
      <c r="Y94" s="39"/>
      <c r="Z94" s="39"/>
      <c r="AA94" s="39"/>
      <c r="AB94" s="39"/>
      <c r="AC94" s="39"/>
      <c r="AD94" s="39"/>
      <c r="AE94" s="549"/>
      <c r="AF94" s="549"/>
    </row>
    <row r="95" spans="1:32" x14ac:dyDescent="0.15">
      <c r="A95" s="128">
        <v>3662</v>
      </c>
      <c r="B95" s="128" t="s">
        <v>770</v>
      </c>
      <c r="C95" s="128"/>
      <c r="D95" s="128">
        <v>3078</v>
      </c>
      <c r="E95" s="128" t="s">
        <v>771</v>
      </c>
      <c r="F95" s="128"/>
      <c r="G95" s="128">
        <v>3844</v>
      </c>
      <c r="H95" s="128" t="s">
        <v>764</v>
      </c>
      <c r="I95" s="128"/>
      <c r="J95" s="128">
        <v>3431</v>
      </c>
      <c r="K95" s="128" t="s">
        <v>765</v>
      </c>
      <c r="L95" s="128"/>
      <c r="M95" s="128">
        <v>3041</v>
      </c>
      <c r="N95" s="128" t="s">
        <v>766</v>
      </c>
      <c r="O95" s="128"/>
      <c r="P95" s="128">
        <v>3427</v>
      </c>
      <c r="Q95" s="128" t="s">
        <v>767</v>
      </c>
      <c r="R95" s="128"/>
      <c r="S95" s="128">
        <v>3130</v>
      </c>
      <c r="T95" s="128" t="s">
        <v>768</v>
      </c>
      <c r="U95" s="128"/>
      <c r="V95" s="128">
        <v>3180</v>
      </c>
      <c r="W95" s="128" t="s">
        <v>769</v>
      </c>
      <c r="X95" s="128"/>
      <c r="Y95" s="39"/>
      <c r="Z95" s="39"/>
      <c r="AA95" s="39"/>
      <c r="AB95" s="39"/>
      <c r="AC95" s="39"/>
      <c r="AD95" s="39"/>
      <c r="AE95" s="549"/>
      <c r="AF95" s="549"/>
    </row>
    <row r="96" spans="1:32" x14ac:dyDescent="0.15">
      <c r="A96" s="128">
        <v>3663</v>
      </c>
      <c r="B96" s="128" t="s">
        <v>778</v>
      </c>
      <c r="C96" s="128"/>
      <c r="D96" s="128">
        <v>3079</v>
      </c>
      <c r="E96" s="128" t="s">
        <v>779</v>
      </c>
      <c r="F96" s="128"/>
      <c r="G96" s="128">
        <v>3847</v>
      </c>
      <c r="H96" s="128" t="s">
        <v>772</v>
      </c>
      <c r="I96" s="128"/>
      <c r="J96" s="128">
        <v>3434</v>
      </c>
      <c r="K96" s="128" t="s">
        <v>773</v>
      </c>
      <c r="L96" s="128"/>
      <c r="M96" s="128">
        <v>3042</v>
      </c>
      <c r="N96" s="128" t="s">
        <v>774</v>
      </c>
      <c r="O96" s="128"/>
      <c r="P96" s="128">
        <v>3429</v>
      </c>
      <c r="Q96" s="128" t="s">
        <v>775</v>
      </c>
      <c r="R96" s="128"/>
      <c r="S96" s="128">
        <v>3131</v>
      </c>
      <c r="T96" s="128" t="s">
        <v>776</v>
      </c>
      <c r="U96" s="128"/>
      <c r="V96" s="128">
        <v>3182</v>
      </c>
      <c r="W96" s="128" t="s">
        <v>777</v>
      </c>
      <c r="X96" s="128"/>
      <c r="Y96" s="39"/>
      <c r="Z96" s="39"/>
      <c r="AA96" s="39"/>
      <c r="AB96" s="39"/>
      <c r="AC96" s="39"/>
      <c r="AD96" s="39"/>
      <c r="AE96" s="549"/>
      <c r="AF96" s="549"/>
    </row>
    <row r="97" spans="1:32" x14ac:dyDescent="0.15">
      <c r="A97" s="128">
        <v>3664</v>
      </c>
      <c r="B97" s="128" t="s">
        <v>786</v>
      </c>
      <c r="C97" s="128"/>
      <c r="D97" s="128">
        <v>3081</v>
      </c>
      <c r="E97" s="128" t="s">
        <v>787</v>
      </c>
      <c r="F97" s="128"/>
      <c r="G97" s="128">
        <v>3850</v>
      </c>
      <c r="H97" s="128" t="s">
        <v>780</v>
      </c>
      <c r="I97" s="128"/>
      <c r="J97" s="128">
        <v>3435</v>
      </c>
      <c r="K97" s="128" t="s">
        <v>781</v>
      </c>
      <c r="L97" s="128"/>
      <c r="M97" s="128">
        <v>3043</v>
      </c>
      <c r="N97" s="128" t="s">
        <v>782</v>
      </c>
      <c r="O97" s="128"/>
      <c r="P97" s="128">
        <v>3429</v>
      </c>
      <c r="Q97" s="128" t="s">
        <v>783</v>
      </c>
      <c r="R97" s="128"/>
      <c r="S97" s="128">
        <v>3132</v>
      </c>
      <c r="T97" s="128" t="s">
        <v>784</v>
      </c>
      <c r="U97" s="128"/>
      <c r="V97" s="128">
        <v>3183</v>
      </c>
      <c r="W97" s="128" t="s">
        <v>785</v>
      </c>
      <c r="X97" s="128"/>
      <c r="Y97" s="39"/>
      <c r="Z97" s="39"/>
      <c r="AA97" s="39"/>
      <c r="AB97" s="39"/>
      <c r="AC97" s="39"/>
      <c r="AD97" s="39"/>
      <c r="AE97" s="549"/>
      <c r="AF97" s="549"/>
    </row>
    <row r="98" spans="1:32" x14ac:dyDescent="0.15">
      <c r="A98" s="128">
        <v>3665</v>
      </c>
      <c r="B98" s="128" t="s">
        <v>793</v>
      </c>
      <c r="C98" s="128"/>
      <c r="D98" s="128">
        <v>3082</v>
      </c>
      <c r="E98" s="128" t="s">
        <v>794</v>
      </c>
      <c r="F98" s="128"/>
      <c r="G98" s="128">
        <v>3851</v>
      </c>
      <c r="H98" s="128" t="s">
        <v>788</v>
      </c>
      <c r="I98" s="128"/>
      <c r="J98" s="128">
        <v>3437</v>
      </c>
      <c r="K98" s="128" t="s">
        <v>789</v>
      </c>
      <c r="L98" s="128"/>
      <c r="M98" s="128">
        <v>3044</v>
      </c>
      <c r="N98" s="128" t="s">
        <v>790</v>
      </c>
      <c r="O98" s="128"/>
      <c r="P98" s="128"/>
      <c r="Q98" s="128"/>
      <c r="R98" s="128"/>
      <c r="S98" s="128">
        <v>3133</v>
      </c>
      <c r="T98" s="128" t="s">
        <v>791</v>
      </c>
      <c r="U98" s="128"/>
      <c r="V98" s="128">
        <v>3184</v>
      </c>
      <c r="W98" s="128" t="s">
        <v>792</v>
      </c>
      <c r="X98" s="128"/>
      <c r="Y98" s="39"/>
      <c r="Z98" s="39"/>
      <c r="AA98" s="39"/>
      <c r="AB98" s="39"/>
      <c r="AC98" s="39"/>
      <c r="AD98" s="39"/>
      <c r="AE98" s="549"/>
      <c r="AF98" s="549"/>
    </row>
    <row r="99" spans="1:32" x14ac:dyDescent="0.15">
      <c r="A99" s="128">
        <v>3666</v>
      </c>
      <c r="B99" s="128" t="s">
        <v>800</v>
      </c>
      <c r="C99" s="128"/>
      <c r="D99" s="128">
        <v>3083</v>
      </c>
      <c r="E99" s="128" t="s">
        <v>801</v>
      </c>
      <c r="F99" s="128"/>
      <c r="G99" s="128">
        <v>3854</v>
      </c>
      <c r="H99" s="128" t="s">
        <v>795</v>
      </c>
      <c r="I99" s="128"/>
      <c r="J99" s="128">
        <v>3438</v>
      </c>
      <c r="K99" s="128" t="s">
        <v>796</v>
      </c>
      <c r="L99" s="128"/>
      <c r="M99" s="128">
        <v>3046</v>
      </c>
      <c r="N99" s="128" t="s">
        <v>797</v>
      </c>
      <c r="O99" s="128"/>
      <c r="P99" s="128"/>
      <c r="Q99" s="128"/>
      <c r="R99" s="128"/>
      <c r="S99" s="128">
        <v>3134</v>
      </c>
      <c r="T99" s="128" t="s">
        <v>798</v>
      </c>
      <c r="U99" s="128"/>
      <c r="V99" s="128">
        <v>3185</v>
      </c>
      <c r="W99" s="128" t="s">
        <v>799</v>
      </c>
      <c r="X99" s="128"/>
      <c r="Y99" s="39"/>
      <c r="Z99" s="39"/>
      <c r="AA99" s="39"/>
      <c r="AB99" s="39"/>
      <c r="AC99" s="39"/>
      <c r="AD99" s="39"/>
      <c r="AE99" s="549"/>
      <c r="AF99" s="549"/>
    </row>
    <row r="100" spans="1:32" x14ac:dyDescent="0.15">
      <c r="A100" s="128">
        <v>3669</v>
      </c>
      <c r="B100" s="128" t="s">
        <v>807</v>
      </c>
      <c r="C100" s="128"/>
      <c r="D100" s="128">
        <v>3084</v>
      </c>
      <c r="E100" s="128" t="s">
        <v>808</v>
      </c>
      <c r="F100" s="128"/>
      <c r="G100" s="128">
        <v>3856</v>
      </c>
      <c r="H100" s="128" t="s">
        <v>802</v>
      </c>
      <c r="I100" s="128"/>
      <c r="J100" s="128">
        <v>3440</v>
      </c>
      <c r="K100" s="128" t="s">
        <v>803</v>
      </c>
      <c r="L100" s="128"/>
      <c r="M100" s="128">
        <v>3047</v>
      </c>
      <c r="N100" s="128" t="s">
        <v>804</v>
      </c>
      <c r="O100" s="128"/>
      <c r="P100" s="128"/>
      <c r="Q100" s="128"/>
      <c r="R100" s="128"/>
      <c r="S100" s="128">
        <v>3135</v>
      </c>
      <c r="T100" s="128" t="s">
        <v>805</v>
      </c>
      <c r="U100" s="128"/>
      <c r="V100" s="128">
        <v>3186</v>
      </c>
      <c r="W100" s="128" t="s">
        <v>806</v>
      </c>
      <c r="X100" s="128"/>
      <c r="Y100" s="39"/>
      <c r="Z100" s="39"/>
      <c r="AA100" s="39"/>
      <c r="AB100" s="39"/>
      <c r="AC100" s="39"/>
      <c r="AD100" s="39"/>
      <c r="AE100" s="549"/>
      <c r="AF100" s="549"/>
    </row>
    <row r="101" spans="1:32" x14ac:dyDescent="0.15">
      <c r="A101" s="128">
        <v>3672</v>
      </c>
      <c r="B101" s="128" t="s">
        <v>814</v>
      </c>
      <c r="C101" s="128"/>
      <c r="D101" s="128">
        <v>3085</v>
      </c>
      <c r="E101" s="128" t="s">
        <v>815</v>
      </c>
      <c r="F101" s="128"/>
      <c r="G101" s="128">
        <v>3857</v>
      </c>
      <c r="H101" s="128" t="s">
        <v>809</v>
      </c>
      <c r="I101" s="128"/>
      <c r="J101" s="128">
        <v>3442</v>
      </c>
      <c r="K101" s="128" t="s">
        <v>810</v>
      </c>
      <c r="L101" s="128"/>
      <c r="M101" s="128">
        <v>3048</v>
      </c>
      <c r="N101" s="128" t="s">
        <v>811</v>
      </c>
      <c r="O101" s="128"/>
      <c r="P101" s="128"/>
      <c r="Q101" s="128"/>
      <c r="R101" s="128"/>
      <c r="S101" s="128">
        <v>3136</v>
      </c>
      <c r="T101" s="128" t="s">
        <v>812</v>
      </c>
      <c r="U101" s="128"/>
      <c r="V101" s="128">
        <v>3187</v>
      </c>
      <c r="W101" s="128" t="s">
        <v>813</v>
      </c>
      <c r="X101" s="128"/>
      <c r="Y101" s="39"/>
      <c r="Z101" s="39"/>
      <c r="AA101" s="39"/>
      <c r="AB101" s="39"/>
      <c r="AC101" s="39"/>
      <c r="AD101" s="39"/>
      <c r="AE101" s="549"/>
      <c r="AF101" s="549"/>
    </row>
    <row r="102" spans="1:32" x14ac:dyDescent="0.15">
      <c r="A102" s="128">
        <v>3673</v>
      </c>
      <c r="B102" s="128" t="s">
        <v>821</v>
      </c>
      <c r="C102" s="128"/>
      <c r="D102" s="128">
        <v>3087</v>
      </c>
      <c r="E102" s="128" t="s">
        <v>822</v>
      </c>
      <c r="F102" s="128"/>
      <c r="G102" s="128">
        <v>3858</v>
      </c>
      <c r="H102" s="128" t="s">
        <v>816</v>
      </c>
      <c r="I102" s="128"/>
      <c r="J102" s="128">
        <v>3444</v>
      </c>
      <c r="K102" s="128" t="s">
        <v>817</v>
      </c>
      <c r="L102" s="128"/>
      <c r="M102" s="128">
        <v>3049</v>
      </c>
      <c r="N102" s="128" t="s">
        <v>818</v>
      </c>
      <c r="O102" s="128"/>
      <c r="P102" s="128"/>
      <c r="Q102" s="128"/>
      <c r="R102" s="128"/>
      <c r="S102" s="128">
        <v>3137</v>
      </c>
      <c r="T102" s="128" t="s">
        <v>819</v>
      </c>
      <c r="U102" s="128"/>
      <c r="V102" s="128">
        <v>3188</v>
      </c>
      <c r="W102" s="128" t="s">
        <v>820</v>
      </c>
      <c r="X102" s="128"/>
      <c r="Y102" s="39"/>
      <c r="Z102" s="39"/>
      <c r="AA102" s="39"/>
      <c r="AB102" s="39"/>
      <c r="AC102" s="39"/>
      <c r="AD102" s="39"/>
      <c r="AE102" s="549"/>
      <c r="AF102" s="549"/>
    </row>
    <row r="103" spans="1:32" x14ac:dyDescent="0.15">
      <c r="A103" s="128">
        <v>3675</v>
      </c>
      <c r="B103" s="128" t="s">
        <v>828</v>
      </c>
      <c r="C103" s="128"/>
      <c r="D103" s="128">
        <v>3088</v>
      </c>
      <c r="E103" s="128" t="s">
        <v>829</v>
      </c>
      <c r="F103" s="128"/>
      <c r="G103" s="128">
        <v>3859</v>
      </c>
      <c r="H103" s="128" t="s">
        <v>823</v>
      </c>
      <c r="I103" s="128"/>
      <c r="J103" s="128">
        <v>3450</v>
      </c>
      <c r="K103" s="128" t="s">
        <v>824</v>
      </c>
      <c r="L103" s="128"/>
      <c r="M103" s="128">
        <v>3055</v>
      </c>
      <c r="N103" s="128" t="s">
        <v>825</v>
      </c>
      <c r="O103" s="128"/>
      <c r="P103" s="128"/>
      <c r="Q103" s="128"/>
      <c r="R103" s="128"/>
      <c r="S103" s="128">
        <v>3138</v>
      </c>
      <c r="T103" s="128" t="s">
        <v>826</v>
      </c>
      <c r="U103" s="128"/>
      <c r="V103" s="128">
        <v>3189</v>
      </c>
      <c r="W103" s="128" t="s">
        <v>827</v>
      </c>
      <c r="X103" s="128"/>
      <c r="Y103" s="39"/>
      <c r="Z103" s="39"/>
      <c r="AA103" s="39"/>
      <c r="AB103" s="39"/>
      <c r="AC103" s="39"/>
      <c r="AD103" s="39"/>
      <c r="AE103" s="549"/>
      <c r="AF103" s="549"/>
    </row>
    <row r="104" spans="1:32" x14ac:dyDescent="0.15">
      <c r="A104" s="128">
        <v>3677</v>
      </c>
      <c r="B104" s="128" t="s">
        <v>835</v>
      </c>
      <c r="C104" s="128"/>
      <c r="D104" s="128">
        <v>3089</v>
      </c>
      <c r="E104" s="128" t="s">
        <v>836</v>
      </c>
      <c r="F104" s="128"/>
      <c r="G104" s="128">
        <v>3860</v>
      </c>
      <c r="H104" s="128" t="s">
        <v>830</v>
      </c>
      <c r="I104" s="128"/>
      <c r="J104" s="128">
        <v>3451</v>
      </c>
      <c r="K104" s="128" t="s">
        <v>831</v>
      </c>
      <c r="L104" s="128"/>
      <c r="M104" s="128">
        <v>3058</v>
      </c>
      <c r="N104" s="128" t="s">
        <v>832</v>
      </c>
      <c r="O104" s="128"/>
      <c r="P104" s="128"/>
      <c r="Q104" s="128"/>
      <c r="R104" s="128"/>
      <c r="S104" s="128">
        <v>3140</v>
      </c>
      <c r="T104" s="128" t="s">
        <v>833</v>
      </c>
      <c r="U104" s="128"/>
      <c r="V104" s="128">
        <v>3190</v>
      </c>
      <c r="W104" s="128" t="s">
        <v>834</v>
      </c>
      <c r="X104" s="128"/>
      <c r="Y104" s="39"/>
      <c r="Z104" s="39"/>
      <c r="AA104" s="39"/>
      <c r="AB104" s="39"/>
      <c r="AC104" s="39"/>
      <c r="AD104" s="39"/>
      <c r="AE104" s="549"/>
      <c r="AF104" s="549"/>
    </row>
    <row r="105" spans="1:32" x14ac:dyDescent="0.15">
      <c r="A105" s="128">
        <v>3678</v>
      </c>
      <c r="B105" s="128" t="s">
        <v>842</v>
      </c>
      <c r="C105" s="128"/>
      <c r="D105" s="128">
        <v>3090</v>
      </c>
      <c r="E105" s="128" t="s">
        <v>843</v>
      </c>
      <c r="F105" s="128"/>
      <c r="G105" s="128">
        <v>3862</v>
      </c>
      <c r="H105" s="128" t="s">
        <v>837</v>
      </c>
      <c r="I105" s="128"/>
      <c r="J105" s="128">
        <v>3460</v>
      </c>
      <c r="K105" s="128" t="s">
        <v>838</v>
      </c>
      <c r="L105" s="128"/>
      <c r="M105" s="128">
        <v>3059</v>
      </c>
      <c r="N105" s="128" t="s">
        <v>839</v>
      </c>
      <c r="O105" s="128"/>
      <c r="P105" s="128"/>
      <c r="Q105" s="128"/>
      <c r="R105" s="128"/>
      <c r="S105" s="128">
        <v>3141</v>
      </c>
      <c r="T105" s="128" t="s">
        <v>840</v>
      </c>
      <c r="U105" s="128"/>
      <c r="V105" s="128">
        <v>3191</v>
      </c>
      <c r="W105" s="128" t="s">
        <v>841</v>
      </c>
      <c r="X105" s="128"/>
      <c r="Y105" s="39"/>
      <c r="Z105" s="39"/>
      <c r="AA105" s="39"/>
      <c r="AB105" s="39"/>
      <c r="AC105" s="39"/>
      <c r="AD105" s="39"/>
      <c r="AE105" s="549"/>
      <c r="AF105" s="549"/>
    </row>
    <row r="106" spans="1:32" x14ac:dyDescent="0.15">
      <c r="A106" s="128">
        <v>3682</v>
      </c>
      <c r="B106" s="128" t="s">
        <v>849</v>
      </c>
      <c r="C106" s="128"/>
      <c r="D106" s="128">
        <v>3091</v>
      </c>
      <c r="E106" s="128" t="s">
        <v>850</v>
      </c>
      <c r="F106" s="128"/>
      <c r="G106" s="128">
        <v>3869</v>
      </c>
      <c r="H106" s="128" t="s">
        <v>844</v>
      </c>
      <c r="I106" s="128"/>
      <c r="J106" s="128">
        <v>3461</v>
      </c>
      <c r="K106" s="128" t="s">
        <v>845</v>
      </c>
      <c r="L106" s="128"/>
      <c r="M106" s="128">
        <v>3060</v>
      </c>
      <c r="N106" s="128" t="s">
        <v>846</v>
      </c>
      <c r="O106" s="128"/>
      <c r="P106" s="128"/>
      <c r="Q106" s="128"/>
      <c r="R106" s="128"/>
      <c r="S106" s="128">
        <v>3142</v>
      </c>
      <c r="T106" s="128" t="s">
        <v>847</v>
      </c>
      <c r="U106" s="128"/>
      <c r="V106" s="128">
        <v>3192</v>
      </c>
      <c r="W106" s="128" t="s">
        <v>848</v>
      </c>
      <c r="X106" s="128"/>
      <c r="Y106" s="39"/>
      <c r="Z106" s="39"/>
      <c r="AA106" s="39"/>
      <c r="AB106" s="39"/>
      <c r="AC106" s="39"/>
      <c r="AD106" s="39"/>
      <c r="AE106" s="549"/>
      <c r="AF106" s="549"/>
    </row>
    <row r="107" spans="1:32" x14ac:dyDescent="0.15">
      <c r="A107" s="128">
        <v>3683</v>
      </c>
      <c r="B107" s="128" t="s">
        <v>856</v>
      </c>
      <c r="C107" s="128"/>
      <c r="D107" s="128">
        <v>3093</v>
      </c>
      <c r="E107" s="128" t="s">
        <v>616</v>
      </c>
      <c r="F107" s="128"/>
      <c r="G107" s="128">
        <v>3873</v>
      </c>
      <c r="H107" s="128" t="s">
        <v>851</v>
      </c>
      <c r="I107" s="128"/>
      <c r="J107" s="128">
        <v>3462</v>
      </c>
      <c r="K107" s="128" t="s">
        <v>852</v>
      </c>
      <c r="L107" s="128"/>
      <c r="M107" s="128">
        <v>3061</v>
      </c>
      <c r="N107" s="128" t="s">
        <v>853</v>
      </c>
      <c r="O107" s="128"/>
      <c r="P107" s="128"/>
      <c r="Q107" s="128"/>
      <c r="R107" s="128"/>
      <c r="S107" s="128">
        <v>3143</v>
      </c>
      <c r="T107" s="128" t="s">
        <v>854</v>
      </c>
      <c r="U107" s="128"/>
      <c r="V107" s="128">
        <v>3193</v>
      </c>
      <c r="W107" s="128" t="s">
        <v>855</v>
      </c>
      <c r="X107" s="128"/>
      <c r="Y107" s="39"/>
      <c r="Z107" s="39"/>
      <c r="AA107" s="39"/>
      <c r="AB107" s="39"/>
      <c r="AC107" s="39"/>
      <c r="AD107" s="39"/>
      <c r="AE107" s="549"/>
      <c r="AF107" s="549"/>
    </row>
    <row r="108" spans="1:32" x14ac:dyDescent="0.15">
      <c r="A108" s="128">
        <v>3688</v>
      </c>
      <c r="B108" s="128" t="s">
        <v>622</v>
      </c>
      <c r="C108" s="128"/>
      <c r="D108" s="128">
        <v>3094</v>
      </c>
      <c r="E108" s="128" t="s">
        <v>623</v>
      </c>
      <c r="F108" s="128"/>
      <c r="G108" s="128">
        <v>3910</v>
      </c>
      <c r="H108" s="128" t="s">
        <v>617</v>
      </c>
      <c r="I108" s="128"/>
      <c r="J108" s="128">
        <v>3464</v>
      </c>
      <c r="K108" s="128" t="s">
        <v>618</v>
      </c>
      <c r="L108" s="128"/>
      <c r="M108" s="128">
        <v>3062</v>
      </c>
      <c r="N108" s="128" t="s">
        <v>619</v>
      </c>
      <c r="O108" s="128"/>
      <c r="P108" s="128"/>
      <c r="Q108" s="128"/>
      <c r="R108" s="128"/>
      <c r="S108" s="128">
        <v>3144</v>
      </c>
      <c r="T108" s="128" t="s">
        <v>620</v>
      </c>
      <c r="U108" s="128"/>
      <c r="V108" s="128">
        <v>3194</v>
      </c>
      <c r="W108" s="128" t="s">
        <v>621</v>
      </c>
      <c r="X108" s="128"/>
      <c r="Y108" s="39"/>
      <c r="Z108" s="39"/>
      <c r="AA108" s="39"/>
      <c r="AB108" s="39"/>
      <c r="AC108" s="39"/>
      <c r="AD108" s="39"/>
      <c r="AE108" s="549"/>
      <c r="AF108" s="549"/>
    </row>
    <row r="109" spans="1:32" x14ac:dyDescent="0.15">
      <c r="A109" s="128">
        <v>3690</v>
      </c>
      <c r="B109" s="128" t="s">
        <v>629</v>
      </c>
      <c r="C109" s="128"/>
      <c r="D109" s="128">
        <v>3095</v>
      </c>
      <c r="E109" s="128" t="s">
        <v>630</v>
      </c>
      <c r="F109" s="128"/>
      <c r="G109" s="128">
        <v>3911</v>
      </c>
      <c r="H109" s="128" t="s">
        <v>624</v>
      </c>
      <c r="I109" s="128"/>
      <c r="J109" s="128">
        <v>3465</v>
      </c>
      <c r="K109" s="128" t="s">
        <v>625</v>
      </c>
      <c r="L109" s="128"/>
      <c r="M109" s="128">
        <v>3063</v>
      </c>
      <c r="N109" s="128" t="s">
        <v>626</v>
      </c>
      <c r="O109" s="128"/>
      <c r="P109" s="128"/>
      <c r="Q109" s="128"/>
      <c r="R109" s="128"/>
      <c r="S109" s="128">
        <v>3145</v>
      </c>
      <c r="T109" s="128" t="s">
        <v>627</v>
      </c>
      <c r="U109" s="128"/>
      <c r="V109" s="128">
        <v>3195</v>
      </c>
      <c r="W109" s="128" t="s">
        <v>628</v>
      </c>
      <c r="X109" s="128"/>
      <c r="Y109" s="39"/>
      <c r="Z109" s="39"/>
      <c r="AA109" s="39"/>
      <c r="AB109" s="39"/>
      <c r="AC109" s="39"/>
      <c r="AD109" s="39"/>
      <c r="AE109" s="549"/>
      <c r="AF109" s="549"/>
    </row>
    <row r="110" spans="1:32" x14ac:dyDescent="0.15">
      <c r="A110" s="128">
        <v>3691</v>
      </c>
      <c r="B110" s="128" t="s">
        <v>635</v>
      </c>
      <c r="C110" s="128"/>
      <c r="D110" s="128">
        <v>3096</v>
      </c>
      <c r="E110" s="128" t="s">
        <v>636</v>
      </c>
      <c r="F110" s="128"/>
      <c r="G110" s="128">
        <v>3912</v>
      </c>
      <c r="H110" s="128" t="s">
        <v>631</v>
      </c>
      <c r="I110" s="128"/>
      <c r="J110" s="128">
        <v>3550</v>
      </c>
      <c r="K110" s="128" t="s">
        <v>632</v>
      </c>
      <c r="L110" s="128"/>
      <c r="M110" s="128">
        <v>3064</v>
      </c>
      <c r="N110" s="128" t="s">
        <v>633</v>
      </c>
      <c r="O110" s="128"/>
      <c r="P110" s="128"/>
      <c r="Q110" s="128"/>
      <c r="R110" s="128"/>
      <c r="S110" s="128">
        <v>3146</v>
      </c>
      <c r="T110" s="128" t="s">
        <v>885</v>
      </c>
      <c r="U110" s="128"/>
      <c r="V110" s="128">
        <v>3196</v>
      </c>
      <c r="W110" s="128" t="s">
        <v>634</v>
      </c>
      <c r="X110" s="128"/>
      <c r="Y110" s="39"/>
      <c r="Z110" s="39"/>
      <c r="AA110" s="39"/>
      <c r="AB110" s="39"/>
      <c r="AC110" s="39"/>
      <c r="AD110" s="39"/>
      <c r="AE110" s="549"/>
      <c r="AF110" s="549"/>
    </row>
    <row r="111" spans="1:32" x14ac:dyDescent="0.15">
      <c r="A111" s="128">
        <v>3694</v>
      </c>
      <c r="B111" s="128" t="s">
        <v>642</v>
      </c>
      <c r="C111" s="128"/>
      <c r="D111" s="128">
        <v>3097</v>
      </c>
      <c r="E111" s="128" t="s">
        <v>643</v>
      </c>
      <c r="F111" s="128"/>
      <c r="G111" s="128">
        <v>3913</v>
      </c>
      <c r="H111" s="128" t="s">
        <v>637</v>
      </c>
      <c r="I111" s="128"/>
      <c r="J111" s="128">
        <v>3551</v>
      </c>
      <c r="K111" s="128" t="s">
        <v>638</v>
      </c>
      <c r="L111" s="128"/>
      <c r="M111" s="128">
        <v>3428</v>
      </c>
      <c r="N111" s="128" t="s">
        <v>639</v>
      </c>
      <c r="O111" s="128"/>
      <c r="P111" s="128"/>
      <c r="Q111" s="128"/>
      <c r="R111" s="128"/>
      <c r="S111" s="128">
        <v>3147</v>
      </c>
      <c r="T111" s="128" t="s">
        <v>640</v>
      </c>
      <c r="U111" s="128"/>
      <c r="V111" s="128">
        <v>3197</v>
      </c>
      <c r="W111" s="128" t="s">
        <v>641</v>
      </c>
      <c r="X111" s="128"/>
      <c r="Y111" s="39"/>
      <c r="Z111" s="39"/>
      <c r="AA111" s="39"/>
      <c r="AB111" s="39"/>
      <c r="AC111" s="39"/>
      <c r="AD111" s="39"/>
      <c r="AE111" s="549"/>
      <c r="AF111" s="549"/>
    </row>
    <row r="112" spans="1:32" x14ac:dyDescent="0.15">
      <c r="A112" s="128">
        <v>3749</v>
      </c>
      <c r="B112" s="128" t="s">
        <v>648</v>
      </c>
      <c r="C112" s="128"/>
      <c r="D112" s="128">
        <v>3099</v>
      </c>
      <c r="E112" s="128" t="s">
        <v>649</v>
      </c>
      <c r="F112" s="128"/>
      <c r="G112" s="128">
        <v>3915</v>
      </c>
      <c r="H112" s="128" t="s">
        <v>644</v>
      </c>
      <c r="I112" s="128"/>
      <c r="J112" s="128">
        <v>3555</v>
      </c>
      <c r="K112" s="128" t="s">
        <v>645</v>
      </c>
      <c r="L112" s="128"/>
      <c r="M112" s="39"/>
      <c r="N112" s="39"/>
      <c r="O112" s="128"/>
      <c r="P112" s="128"/>
      <c r="Q112" s="128"/>
      <c r="R112" s="128"/>
      <c r="S112" s="128">
        <v>3148</v>
      </c>
      <c r="T112" s="128" t="s">
        <v>646</v>
      </c>
      <c r="U112" s="128"/>
      <c r="V112" s="128">
        <v>3202</v>
      </c>
      <c r="W112" s="128" t="s">
        <v>647</v>
      </c>
      <c r="X112" s="128"/>
      <c r="Y112" s="39"/>
      <c r="Z112" s="39"/>
      <c r="AA112" s="39"/>
      <c r="AB112" s="39"/>
      <c r="AC112" s="39"/>
      <c r="AD112" s="39"/>
      <c r="AE112" s="549"/>
      <c r="AF112" s="549"/>
    </row>
    <row r="113" spans="1:32" x14ac:dyDescent="0.15">
      <c r="A113" s="128">
        <v>3753</v>
      </c>
      <c r="B113" s="128" t="s">
        <v>654</v>
      </c>
      <c r="C113" s="128"/>
      <c r="D113" s="128">
        <v>3121</v>
      </c>
      <c r="E113" s="128" t="s">
        <v>655</v>
      </c>
      <c r="F113" s="128"/>
      <c r="G113" s="128">
        <v>3916</v>
      </c>
      <c r="H113" s="128" t="s">
        <v>650</v>
      </c>
      <c r="I113" s="128"/>
      <c r="J113" s="128">
        <v>3556</v>
      </c>
      <c r="K113" s="128" t="s">
        <v>651</v>
      </c>
      <c r="L113" s="128"/>
      <c r="M113" s="39"/>
      <c r="N113" s="39"/>
      <c r="O113" s="128"/>
      <c r="P113" s="128"/>
      <c r="Q113" s="128"/>
      <c r="R113" s="128"/>
      <c r="S113" s="128">
        <v>3149</v>
      </c>
      <c r="T113" s="128" t="s">
        <v>652</v>
      </c>
      <c r="U113" s="128"/>
      <c r="V113" s="128">
        <v>3204</v>
      </c>
      <c r="W113" s="128" t="s">
        <v>653</v>
      </c>
      <c r="X113" s="128"/>
      <c r="Y113" s="39"/>
      <c r="Z113" s="39"/>
      <c r="AA113" s="39"/>
      <c r="AB113" s="39"/>
      <c r="AC113" s="39"/>
      <c r="AD113" s="39"/>
      <c r="AE113" s="549"/>
      <c r="AF113" s="549"/>
    </row>
    <row r="114" spans="1:32" x14ac:dyDescent="0.15">
      <c r="A114" s="128">
        <v>3756</v>
      </c>
      <c r="B114" s="128" t="s">
        <v>659</v>
      </c>
      <c r="C114" s="128"/>
      <c r="D114" s="128">
        <v>3201</v>
      </c>
      <c r="E114" s="128" t="s">
        <v>660</v>
      </c>
      <c r="F114" s="128"/>
      <c r="G114" s="128">
        <v>3918</v>
      </c>
      <c r="H114" s="128" t="s">
        <v>656</v>
      </c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>
        <v>3151</v>
      </c>
      <c r="T114" s="128" t="s">
        <v>657</v>
      </c>
      <c r="U114" s="128"/>
      <c r="V114" s="128">
        <v>3205</v>
      </c>
      <c r="W114" s="128" t="s">
        <v>658</v>
      </c>
      <c r="X114" s="128"/>
      <c r="Y114" s="39"/>
      <c r="Z114" s="39"/>
      <c r="AA114" s="39"/>
      <c r="AB114" s="39"/>
      <c r="AC114" s="39"/>
      <c r="AD114" s="39"/>
      <c r="AE114" s="549"/>
      <c r="AF114" s="549"/>
    </row>
    <row r="115" spans="1:32" x14ac:dyDescent="0.15">
      <c r="A115" s="128">
        <v>3758</v>
      </c>
      <c r="B115" s="128" t="s">
        <v>664</v>
      </c>
      <c r="C115" s="128"/>
      <c r="D115" s="128">
        <v>3750</v>
      </c>
      <c r="E115" s="128" t="s">
        <v>665</v>
      </c>
      <c r="F115" s="128"/>
      <c r="G115" s="128">
        <v>3919</v>
      </c>
      <c r="H115" s="128" t="s">
        <v>661</v>
      </c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>
        <v>3153</v>
      </c>
      <c r="T115" s="128" t="s">
        <v>662</v>
      </c>
      <c r="U115" s="128"/>
      <c r="V115" s="128">
        <v>3206</v>
      </c>
      <c r="W115" s="128" t="s">
        <v>663</v>
      </c>
      <c r="X115" s="128"/>
      <c r="Y115" s="39"/>
      <c r="Z115" s="39"/>
      <c r="AA115" s="39"/>
      <c r="AB115" s="39"/>
      <c r="AC115" s="39"/>
      <c r="AD115" s="39"/>
      <c r="AE115" s="549"/>
      <c r="AF115" s="549"/>
    </row>
    <row r="116" spans="1:32" x14ac:dyDescent="0.15">
      <c r="A116" s="128">
        <v>3764</v>
      </c>
      <c r="B116" s="128" t="s">
        <v>669</v>
      </c>
      <c r="C116" s="128"/>
      <c r="D116" s="128">
        <v>3752</v>
      </c>
      <c r="E116" s="128" t="s">
        <v>670</v>
      </c>
      <c r="F116" s="128"/>
      <c r="G116" s="128">
        <v>3921</v>
      </c>
      <c r="H116" s="128" t="s">
        <v>666</v>
      </c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>
        <v>3154</v>
      </c>
      <c r="T116" s="128" t="s">
        <v>667</v>
      </c>
      <c r="U116" s="128"/>
      <c r="V116" s="128">
        <v>3207</v>
      </c>
      <c r="W116" s="128" t="s">
        <v>668</v>
      </c>
      <c r="X116" s="128"/>
      <c r="Y116" s="39"/>
      <c r="Z116" s="39"/>
      <c r="AA116" s="39"/>
      <c r="AB116" s="39"/>
      <c r="AC116" s="39"/>
      <c r="AD116" s="39"/>
      <c r="AE116" s="549"/>
      <c r="AF116" s="549"/>
    </row>
    <row r="117" spans="1:32" x14ac:dyDescent="0.15">
      <c r="A117" s="128"/>
      <c r="B117" s="128"/>
      <c r="C117" s="128"/>
      <c r="D117" s="128">
        <v>3754</v>
      </c>
      <c r="E117" s="128" t="s">
        <v>674</v>
      </c>
      <c r="F117" s="128"/>
      <c r="G117" s="128">
        <v>3926</v>
      </c>
      <c r="H117" s="128" t="s">
        <v>671</v>
      </c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>
        <v>3155</v>
      </c>
      <c r="T117" s="128" t="s">
        <v>672</v>
      </c>
      <c r="U117" s="128"/>
      <c r="V117" s="128">
        <v>3775</v>
      </c>
      <c r="W117" s="128" t="s">
        <v>673</v>
      </c>
      <c r="X117" s="128"/>
      <c r="Y117" s="39"/>
      <c r="Z117" s="39"/>
      <c r="AA117" s="39"/>
      <c r="AB117" s="39"/>
      <c r="AC117" s="39"/>
      <c r="AD117" s="39"/>
      <c r="AE117" s="549"/>
      <c r="AF117" s="549"/>
    </row>
    <row r="118" spans="1:32" x14ac:dyDescent="0.15">
      <c r="A118" s="128"/>
      <c r="B118" s="128"/>
      <c r="C118" s="128"/>
      <c r="D118" s="128">
        <v>3759</v>
      </c>
      <c r="E118" s="128" t="s">
        <v>678</v>
      </c>
      <c r="F118" s="128"/>
      <c r="G118" s="128">
        <v>3927</v>
      </c>
      <c r="H118" s="128" t="s">
        <v>675</v>
      </c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>
        <v>3159</v>
      </c>
      <c r="T118" s="128" t="s">
        <v>676</v>
      </c>
      <c r="U118" s="128"/>
      <c r="V118" s="128">
        <v>3786</v>
      </c>
      <c r="W118" s="128" t="s">
        <v>677</v>
      </c>
      <c r="X118" s="128"/>
      <c r="Y118" s="39"/>
      <c r="Z118" s="39"/>
      <c r="AA118" s="39"/>
      <c r="AB118" s="39"/>
      <c r="AC118" s="39"/>
      <c r="AD118" s="39"/>
      <c r="AE118" s="549"/>
      <c r="AF118" s="549"/>
    </row>
    <row r="119" spans="1:32" x14ac:dyDescent="0.15">
      <c r="A119" s="128"/>
      <c r="B119" s="128"/>
      <c r="C119" s="128"/>
      <c r="D119" s="128">
        <v>3770</v>
      </c>
      <c r="E119" s="128" t="s">
        <v>682</v>
      </c>
      <c r="F119" s="128"/>
      <c r="G119" s="128">
        <v>3928</v>
      </c>
      <c r="H119" s="128" t="s">
        <v>679</v>
      </c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>
        <v>3175</v>
      </c>
      <c r="T119" s="128" t="s">
        <v>680</v>
      </c>
      <c r="U119" s="128"/>
      <c r="V119" s="128">
        <v>3797</v>
      </c>
      <c r="W119" s="128" t="s">
        <v>681</v>
      </c>
      <c r="X119" s="128"/>
      <c r="Y119" s="39"/>
      <c r="Z119" s="39"/>
      <c r="AA119" s="39"/>
      <c r="AB119" s="39"/>
      <c r="AC119" s="39"/>
      <c r="AD119" s="39"/>
      <c r="AE119" s="549"/>
      <c r="AF119" s="549"/>
    </row>
    <row r="120" spans="1:32" x14ac:dyDescent="0.15">
      <c r="A120" s="128"/>
      <c r="B120" s="128"/>
      <c r="C120" s="128"/>
      <c r="D120" s="128"/>
      <c r="E120" s="128"/>
      <c r="F120" s="128"/>
      <c r="G120" s="128">
        <v>3929</v>
      </c>
      <c r="H120" s="128" t="s">
        <v>683</v>
      </c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>
        <v>3181</v>
      </c>
      <c r="T120" s="128" t="s">
        <v>737</v>
      </c>
      <c r="U120" s="128"/>
      <c r="V120" s="128">
        <v>3799</v>
      </c>
      <c r="W120" s="128" t="s">
        <v>684</v>
      </c>
      <c r="X120" s="128"/>
      <c r="Y120" s="39"/>
      <c r="Z120" s="39"/>
      <c r="AA120" s="39"/>
      <c r="AB120" s="39"/>
      <c r="AC120" s="39"/>
      <c r="AD120" s="39"/>
      <c r="AE120" s="549"/>
      <c r="AF120" s="549"/>
    </row>
    <row r="121" spans="1:32" x14ac:dyDescent="0.15">
      <c r="A121" s="128"/>
      <c r="B121" s="128"/>
      <c r="C121" s="128"/>
      <c r="D121" s="39"/>
      <c r="E121" s="39"/>
      <c r="F121" s="128"/>
      <c r="G121" s="128">
        <v>3930</v>
      </c>
      <c r="H121" s="128" t="s">
        <v>685</v>
      </c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>
        <v>3201</v>
      </c>
      <c r="T121" s="128" t="s">
        <v>686</v>
      </c>
      <c r="U121" s="128"/>
      <c r="V121" s="128">
        <v>3802</v>
      </c>
      <c r="W121" s="128" t="s">
        <v>687</v>
      </c>
      <c r="X121" s="128"/>
      <c r="Y121" s="39"/>
      <c r="Z121" s="39"/>
      <c r="AA121" s="39"/>
      <c r="AB121" s="39"/>
      <c r="AC121" s="39"/>
      <c r="AD121" s="39"/>
      <c r="AE121" s="549"/>
      <c r="AF121" s="549"/>
    </row>
    <row r="122" spans="1:32" x14ac:dyDescent="0.15">
      <c r="A122" s="128"/>
      <c r="B122" s="128"/>
      <c r="C122" s="128"/>
      <c r="D122" s="39"/>
      <c r="E122" s="39"/>
      <c r="F122" s="128"/>
      <c r="G122" s="128">
        <v>3931</v>
      </c>
      <c r="H122" s="128" t="s">
        <v>688</v>
      </c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>
        <v>3765</v>
      </c>
      <c r="T122" s="128" t="s">
        <v>660</v>
      </c>
      <c r="U122" s="128"/>
      <c r="V122" s="39"/>
      <c r="W122" s="39"/>
      <c r="X122" s="128"/>
      <c r="Y122" s="39"/>
      <c r="Z122" s="39"/>
      <c r="AA122" s="39"/>
      <c r="AB122" s="39"/>
      <c r="AC122" s="39"/>
      <c r="AD122" s="39"/>
      <c r="AE122" s="549"/>
      <c r="AF122" s="549"/>
    </row>
    <row r="123" spans="1:32" x14ac:dyDescent="0.15">
      <c r="A123" s="128"/>
      <c r="B123" s="128"/>
      <c r="C123" s="128"/>
      <c r="D123" s="128"/>
      <c r="E123" s="128"/>
      <c r="F123" s="128"/>
      <c r="G123" s="128">
        <v>3933</v>
      </c>
      <c r="H123" s="128" t="s">
        <v>689</v>
      </c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>
        <v>3766</v>
      </c>
      <c r="T123" s="128" t="s">
        <v>690</v>
      </c>
      <c r="U123" s="128"/>
      <c r="V123" s="39"/>
      <c r="W123" s="39"/>
      <c r="X123" s="128"/>
      <c r="Y123" s="39"/>
      <c r="Z123" s="39"/>
      <c r="AA123" s="39"/>
      <c r="AB123" s="39"/>
      <c r="AC123" s="39"/>
      <c r="AD123" s="39"/>
      <c r="AE123" s="549"/>
      <c r="AF123" s="549"/>
    </row>
    <row r="124" spans="1:32" x14ac:dyDescent="0.15">
      <c r="A124" s="128"/>
      <c r="B124" s="128"/>
      <c r="C124" s="128"/>
      <c r="D124" s="128"/>
      <c r="E124" s="128"/>
      <c r="F124" s="128"/>
      <c r="G124" s="128">
        <v>3934</v>
      </c>
      <c r="H124" s="128" t="s">
        <v>691</v>
      </c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>
        <v>3767</v>
      </c>
      <c r="T124" s="128" t="s">
        <v>692</v>
      </c>
      <c r="U124" s="128"/>
      <c r="V124" s="128"/>
      <c r="W124" s="128"/>
      <c r="X124" s="128"/>
      <c r="Y124" s="39"/>
      <c r="Z124" s="39"/>
      <c r="AA124" s="39"/>
      <c r="AB124" s="39"/>
      <c r="AC124" s="39"/>
      <c r="AD124" s="39"/>
      <c r="AE124" s="549"/>
      <c r="AF124" s="549"/>
    </row>
    <row r="125" spans="1:32" x14ac:dyDescent="0.15">
      <c r="A125" s="128"/>
      <c r="B125" s="128"/>
      <c r="C125" s="128"/>
      <c r="D125" s="128"/>
      <c r="E125" s="128"/>
      <c r="F125" s="128"/>
      <c r="G125" s="128">
        <v>3936</v>
      </c>
      <c r="H125" s="128" t="s">
        <v>693</v>
      </c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>
        <v>3770</v>
      </c>
      <c r="T125" s="128" t="s">
        <v>694</v>
      </c>
      <c r="U125" s="128"/>
      <c r="V125" s="128"/>
      <c r="W125" s="128"/>
      <c r="X125" s="128"/>
      <c r="Y125" s="39"/>
      <c r="Z125" s="39"/>
      <c r="AA125" s="39"/>
      <c r="AB125" s="39"/>
      <c r="AC125" s="39"/>
      <c r="AD125" s="39"/>
      <c r="AE125" s="549"/>
      <c r="AF125" s="549"/>
    </row>
    <row r="126" spans="1:32" x14ac:dyDescent="0.15">
      <c r="A126" s="128"/>
      <c r="B126" s="128"/>
      <c r="C126" s="128"/>
      <c r="D126" s="128"/>
      <c r="E126" s="128"/>
      <c r="F126" s="128"/>
      <c r="G126" s="128">
        <v>3937</v>
      </c>
      <c r="H126" s="128" t="s">
        <v>695</v>
      </c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>
        <v>3781</v>
      </c>
      <c r="T126" s="128" t="s">
        <v>682</v>
      </c>
      <c r="U126" s="128"/>
      <c r="V126" s="128"/>
      <c r="W126" s="128"/>
      <c r="X126" s="128"/>
      <c r="Y126" s="39"/>
      <c r="Z126" s="39"/>
      <c r="AA126" s="39"/>
      <c r="AB126" s="39"/>
      <c r="AC126" s="39"/>
      <c r="AD126" s="39"/>
      <c r="AE126" s="549"/>
      <c r="AF126" s="549"/>
    </row>
    <row r="127" spans="1:32" x14ac:dyDescent="0.15">
      <c r="A127" s="128"/>
      <c r="B127" s="128"/>
      <c r="C127" s="128"/>
      <c r="D127" s="128"/>
      <c r="E127" s="128"/>
      <c r="F127" s="128"/>
      <c r="G127" s="128">
        <v>3938</v>
      </c>
      <c r="H127" s="128" t="s">
        <v>696</v>
      </c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>
        <v>3782</v>
      </c>
      <c r="T127" s="128" t="s">
        <v>697</v>
      </c>
      <c r="U127" s="128"/>
      <c r="V127" s="128"/>
      <c r="W127" s="128"/>
      <c r="X127" s="128"/>
      <c r="Y127" s="39"/>
      <c r="Z127" s="39"/>
      <c r="AA127" s="39"/>
      <c r="AB127" s="39"/>
      <c r="AC127" s="39"/>
      <c r="AD127" s="39"/>
      <c r="AE127" s="549"/>
      <c r="AF127" s="549"/>
    </row>
    <row r="128" spans="1:32" x14ac:dyDescent="0.15">
      <c r="A128" s="128"/>
      <c r="B128" s="128"/>
      <c r="C128" s="128"/>
      <c r="D128" s="128"/>
      <c r="E128" s="128"/>
      <c r="F128" s="128"/>
      <c r="G128" s="128">
        <v>3939</v>
      </c>
      <c r="H128" s="128" t="s">
        <v>698</v>
      </c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>
        <v>3783</v>
      </c>
      <c r="T128" s="128" t="s">
        <v>699</v>
      </c>
      <c r="U128" s="128"/>
      <c r="V128" s="128"/>
      <c r="W128" s="128"/>
      <c r="X128" s="128"/>
      <c r="Y128" s="39"/>
      <c r="Z128" s="39"/>
      <c r="AA128" s="39"/>
      <c r="AB128" s="39"/>
      <c r="AC128" s="39"/>
      <c r="AD128" s="39"/>
      <c r="AE128" s="549"/>
      <c r="AF128" s="549"/>
    </row>
    <row r="129" spans="1:32" x14ac:dyDescent="0.15">
      <c r="A129" s="128"/>
      <c r="B129" s="128"/>
      <c r="C129" s="128"/>
      <c r="D129" s="128"/>
      <c r="E129" s="128"/>
      <c r="F129" s="128"/>
      <c r="G129" s="128">
        <v>3940</v>
      </c>
      <c r="H129" s="128" t="s">
        <v>700</v>
      </c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>
        <v>3787</v>
      </c>
      <c r="T129" s="128" t="s">
        <v>701</v>
      </c>
      <c r="U129" s="128"/>
      <c r="V129" s="128"/>
      <c r="W129" s="128"/>
      <c r="X129" s="128"/>
      <c r="Y129" s="39"/>
      <c r="Z129" s="39"/>
      <c r="AA129" s="39"/>
      <c r="AB129" s="39"/>
      <c r="AC129" s="39"/>
      <c r="AD129" s="39"/>
      <c r="AE129" s="549"/>
      <c r="AF129" s="549"/>
    </row>
    <row r="130" spans="1:32" x14ac:dyDescent="0.15">
      <c r="A130" s="128"/>
      <c r="B130" s="128"/>
      <c r="C130" s="128"/>
      <c r="D130" s="128"/>
      <c r="E130" s="128"/>
      <c r="F130" s="128"/>
      <c r="G130" s="128">
        <v>3941</v>
      </c>
      <c r="H130" s="128" t="s">
        <v>702</v>
      </c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>
        <v>3788</v>
      </c>
      <c r="T130" s="128" t="s">
        <v>703</v>
      </c>
      <c r="U130" s="128"/>
      <c r="V130" s="128"/>
      <c r="W130" s="128"/>
      <c r="X130" s="128"/>
      <c r="Y130" s="39"/>
      <c r="Z130" s="39"/>
      <c r="AA130" s="39"/>
      <c r="AB130" s="39"/>
      <c r="AC130" s="39"/>
      <c r="AD130" s="39"/>
      <c r="AE130" s="549"/>
      <c r="AF130" s="549"/>
    </row>
    <row r="131" spans="1:32" x14ac:dyDescent="0.15">
      <c r="A131" s="128"/>
      <c r="B131" s="128"/>
      <c r="C131" s="128"/>
      <c r="D131" s="128"/>
      <c r="E131" s="128"/>
      <c r="F131" s="128"/>
      <c r="G131" s="128">
        <v>3942</v>
      </c>
      <c r="H131" s="128" t="s">
        <v>704</v>
      </c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>
        <v>3789</v>
      </c>
      <c r="T131" s="128" t="s">
        <v>705</v>
      </c>
      <c r="U131" s="128"/>
      <c r="V131" s="128"/>
      <c r="W131" s="128"/>
      <c r="X131" s="128"/>
      <c r="Y131" s="39"/>
      <c r="Z131" s="39"/>
      <c r="AA131" s="39"/>
      <c r="AB131" s="39"/>
      <c r="AC131" s="39"/>
      <c r="AD131" s="39"/>
      <c r="AE131" s="549"/>
      <c r="AF131" s="549"/>
    </row>
    <row r="132" spans="1:32" x14ac:dyDescent="0.15">
      <c r="A132" s="128"/>
      <c r="B132" s="128"/>
      <c r="C132" s="128"/>
      <c r="D132" s="128"/>
      <c r="E132" s="128"/>
      <c r="F132" s="128"/>
      <c r="G132" s="128">
        <v>3943</v>
      </c>
      <c r="H132" s="128" t="s">
        <v>706</v>
      </c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>
        <v>3791</v>
      </c>
      <c r="T132" s="128" t="s">
        <v>707</v>
      </c>
      <c r="U132" s="128"/>
      <c r="V132" s="128"/>
      <c r="W132" s="128"/>
      <c r="X132" s="128"/>
      <c r="Y132" s="39"/>
      <c r="Z132" s="39"/>
      <c r="AA132" s="39"/>
      <c r="AB132" s="39"/>
      <c r="AC132" s="39"/>
      <c r="AD132" s="39"/>
      <c r="AE132" s="549"/>
      <c r="AF132" s="549"/>
    </row>
    <row r="133" spans="1:32" x14ac:dyDescent="0.15">
      <c r="A133" s="128"/>
      <c r="B133" s="128"/>
      <c r="C133" s="128"/>
      <c r="D133" s="128"/>
      <c r="E133" s="128"/>
      <c r="F133" s="128"/>
      <c r="G133" s="128">
        <v>3944</v>
      </c>
      <c r="H133" s="128" t="s">
        <v>708</v>
      </c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>
        <v>3792</v>
      </c>
      <c r="T133" s="128" t="s">
        <v>709</v>
      </c>
      <c r="U133" s="128"/>
      <c r="V133" s="128"/>
      <c r="W133" s="128"/>
      <c r="X133" s="128"/>
      <c r="Y133" s="39"/>
      <c r="Z133" s="39"/>
      <c r="AA133" s="39"/>
      <c r="AB133" s="39"/>
      <c r="AC133" s="39"/>
      <c r="AD133" s="39"/>
      <c r="AE133" s="549"/>
      <c r="AF133" s="549"/>
    </row>
    <row r="134" spans="1:32" x14ac:dyDescent="0.15">
      <c r="A134" s="128"/>
      <c r="B134" s="128"/>
      <c r="C134" s="128"/>
      <c r="D134" s="128"/>
      <c r="E134" s="128"/>
      <c r="F134" s="128"/>
      <c r="G134" s="128">
        <v>3975</v>
      </c>
      <c r="H134" s="128" t="s">
        <v>710</v>
      </c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>
        <v>3793</v>
      </c>
      <c r="T134" s="128" t="s">
        <v>711</v>
      </c>
      <c r="U134" s="128"/>
      <c r="V134" s="128"/>
      <c r="W134" s="128"/>
      <c r="X134" s="128"/>
      <c r="Y134" s="39"/>
      <c r="Z134" s="39"/>
      <c r="AA134" s="39"/>
      <c r="AB134" s="39"/>
      <c r="AC134" s="39"/>
      <c r="AD134" s="39"/>
      <c r="AE134" s="549"/>
      <c r="AF134" s="549"/>
    </row>
    <row r="135" spans="1:32" x14ac:dyDescent="0.15">
      <c r="A135" s="128"/>
      <c r="B135" s="128"/>
      <c r="C135" s="128"/>
      <c r="D135" s="128"/>
      <c r="E135" s="128"/>
      <c r="F135" s="128"/>
      <c r="G135" s="128">
        <v>3976</v>
      </c>
      <c r="H135" s="128" t="s">
        <v>712</v>
      </c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>
        <v>3795</v>
      </c>
      <c r="T135" s="128" t="s">
        <v>713</v>
      </c>
      <c r="U135" s="128"/>
      <c r="V135" s="128"/>
      <c r="W135" s="128"/>
      <c r="X135" s="128"/>
      <c r="Y135" s="39"/>
      <c r="Z135" s="39"/>
      <c r="AA135" s="39"/>
      <c r="AB135" s="39"/>
      <c r="AC135" s="39"/>
      <c r="AD135" s="39"/>
      <c r="AE135" s="549"/>
      <c r="AF135" s="549"/>
    </row>
    <row r="136" spans="1:32" x14ac:dyDescent="0.15">
      <c r="A136" s="128"/>
      <c r="B136" s="128"/>
      <c r="C136" s="128"/>
      <c r="D136" s="128"/>
      <c r="E136" s="128"/>
      <c r="F136" s="128"/>
      <c r="G136" s="128">
        <v>3977</v>
      </c>
      <c r="H136" s="128" t="s">
        <v>714</v>
      </c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>
        <v>3796</v>
      </c>
      <c r="T136" s="128" t="s">
        <v>715</v>
      </c>
      <c r="U136" s="128"/>
      <c r="V136" s="128"/>
      <c r="W136" s="128"/>
      <c r="X136" s="128"/>
      <c r="Y136" s="39"/>
      <c r="Z136" s="39"/>
      <c r="AA136" s="39"/>
      <c r="AB136" s="39"/>
      <c r="AC136" s="39"/>
      <c r="AD136" s="39"/>
      <c r="AE136" s="549"/>
      <c r="AF136" s="549"/>
    </row>
    <row r="137" spans="1:32" x14ac:dyDescent="0.15">
      <c r="A137" s="128"/>
      <c r="B137" s="128"/>
      <c r="C137" s="128"/>
      <c r="D137" s="128"/>
      <c r="E137" s="128"/>
      <c r="F137" s="128"/>
      <c r="G137" s="128">
        <v>3978</v>
      </c>
      <c r="H137" s="128" t="s">
        <v>716</v>
      </c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>
        <v>3804</v>
      </c>
      <c r="T137" s="128" t="s">
        <v>717</v>
      </c>
      <c r="U137" s="128"/>
      <c r="V137" s="128"/>
      <c r="W137" s="128"/>
      <c r="X137" s="128"/>
      <c r="Y137" s="39"/>
      <c r="Z137" s="39"/>
      <c r="AA137" s="39"/>
      <c r="AB137" s="39"/>
      <c r="AC137" s="39"/>
      <c r="AD137" s="39"/>
      <c r="AE137" s="549"/>
      <c r="AF137" s="549"/>
    </row>
    <row r="138" spans="1:32" x14ac:dyDescent="0.15">
      <c r="A138" s="128"/>
      <c r="B138" s="128"/>
      <c r="C138" s="128"/>
      <c r="D138" s="128"/>
      <c r="E138" s="128"/>
      <c r="F138" s="128"/>
      <c r="G138" s="128">
        <v>3980</v>
      </c>
      <c r="H138" s="128" t="s">
        <v>718</v>
      </c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39"/>
      <c r="T138" s="128" t="s">
        <v>896</v>
      </c>
      <c r="U138" s="128"/>
      <c r="V138" s="128"/>
      <c r="W138" s="128"/>
      <c r="X138" s="128"/>
      <c r="Y138" s="39"/>
      <c r="Z138" s="39"/>
      <c r="AA138" s="39"/>
      <c r="AB138" s="39"/>
      <c r="AC138" s="39"/>
      <c r="AD138" s="39"/>
      <c r="AE138" s="549"/>
      <c r="AF138" s="549"/>
    </row>
    <row r="139" spans="1:32" x14ac:dyDescent="0.15">
      <c r="A139" s="128"/>
      <c r="B139" s="128"/>
      <c r="C139" s="128"/>
      <c r="D139" s="128"/>
      <c r="E139" s="128"/>
      <c r="F139" s="128"/>
      <c r="G139" s="128">
        <v>3981</v>
      </c>
      <c r="H139" s="128" t="s">
        <v>719</v>
      </c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39"/>
      <c r="T139" s="39"/>
      <c r="U139" s="128"/>
      <c r="V139" s="128"/>
      <c r="W139" s="128"/>
      <c r="X139" s="128"/>
      <c r="Y139" s="39"/>
      <c r="Z139" s="39"/>
      <c r="AA139" s="39"/>
      <c r="AB139" s="39"/>
      <c r="AC139" s="39"/>
      <c r="AD139" s="39"/>
      <c r="AE139" s="549"/>
      <c r="AF139" s="549"/>
    </row>
    <row r="140" spans="1:32" x14ac:dyDescent="0.15">
      <c r="A140" s="128"/>
      <c r="B140" s="128"/>
      <c r="C140" s="128"/>
      <c r="D140" s="128"/>
      <c r="E140" s="128"/>
      <c r="F140" s="128"/>
      <c r="G140" s="128">
        <v>3984</v>
      </c>
      <c r="H140" s="128" t="s">
        <v>720</v>
      </c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39"/>
      <c r="U140" s="128"/>
      <c r="V140" s="128"/>
      <c r="W140" s="128"/>
      <c r="X140" s="128"/>
      <c r="Y140" s="39"/>
      <c r="Z140" s="39"/>
      <c r="AA140" s="39"/>
      <c r="AB140" s="39"/>
      <c r="AC140" s="39"/>
      <c r="AD140" s="39"/>
      <c r="AE140" s="549"/>
      <c r="AF140" s="549"/>
    </row>
    <row r="141" spans="1:32" x14ac:dyDescent="0.15">
      <c r="A141" s="128"/>
      <c r="B141" s="128"/>
      <c r="C141" s="128"/>
      <c r="D141" s="128"/>
      <c r="E141" s="128"/>
      <c r="F141" s="128"/>
      <c r="G141" s="128">
        <v>3987</v>
      </c>
      <c r="H141" s="128" t="s">
        <v>721</v>
      </c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39"/>
      <c r="Z141" s="39"/>
      <c r="AA141" s="39"/>
      <c r="AB141" s="39"/>
      <c r="AC141" s="39"/>
      <c r="AD141" s="39"/>
      <c r="AE141" s="549"/>
      <c r="AF141" s="549"/>
    </row>
    <row r="142" spans="1:32" x14ac:dyDescent="0.15">
      <c r="A142" s="128"/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39"/>
      <c r="Z142" s="39"/>
      <c r="AA142" s="39"/>
      <c r="AB142" s="39"/>
      <c r="AC142" s="39"/>
      <c r="AD142" s="39"/>
      <c r="AE142" s="549"/>
      <c r="AF142" s="549"/>
    </row>
    <row r="143" spans="1:32" x14ac:dyDescent="0.15">
      <c r="A143" s="128"/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39"/>
      <c r="Y143" s="39"/>
      <c r="Z143" s="39"/>
      <c r="AA143" s="39"/>
      <c r="AB143" s="39"/>
      <c r="AC143" s="39"/>
      <c r="AD143" s="39"/>
      <c r="AE143" s="549"/>
      <c r="AF143" s="549"/>
    </row>
    <row r="144" spans="1:32" x14ac:dyDescent="0.15">
      <c r="A144" s="128"/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39"/>
      <c r="Y144" s="39"/>
      <c r="Z144" s="39"/>
      <c r="AA144" s="39"/>
      <c r="AB144" s="39"/>
      <c r="AC144" s="39"/>
      <c r="AD144" s="39"/>
      <c r="AE144" s="549"/>
      <c r="AF144" s="549"/>
    </row>
    <row r="145" spans="1:32" x14ac:dyDescent="0.15">
      <c r="A145" s="128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39"/>
      <c r="Y145" s="39"/>
      <c r="Z145" s="39"/>
      <c r="AA145" s="39"/>
      <c r="AB145" s="39"/>
      <c r="AC145" s="39"/>
      <c r="AD145" s="39"/>
      <c r="AE145" s="549"/>
      <c r="AF145" s="549"/>
    </row>
    <row r="146" spans="1:32" x14ac:dyDescent="0.1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549"/>
      <c r="AF146" s="549"/>
    </row>
    <row r="147" spans="1:32" x14ac:dyDescent="0.1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549"/>
      <c r="AF147" s="549"/>
    </row>
    <row r="148" spans="1:32" x14ac:dyDescent="0.1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549"/>
      <c r="AF148" s="549"/>
    </row>
    <row r="149" spans="1:32" x14ac:dyDescent="0.1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549"/>
      <c r="AF149" s="549"/>
    </row>
    <row r="150" spans="1:32" x14ac:dyDescent="0.1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549"/>
      <c r="AF150" s="549"/>
    </row>
    <row r="151" spans="1:32" x14ac:dyDescent="0.1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549"/>
      <c r="AF151" s="549"/>
    </row>
    <row r="152" spans="1:32" x14ac:dyDescent="0.1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549"/>
      <c r="AF152" s="549"/>
    </row>
    <row r="153" spans="1:32" x14ac:dyDescent="0.1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549"/>
      <c r="AF153" s="549"/>
    </row>
    <row r="154" spans="1:32" x14ac:dyDescent="0.1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549"/>
      <c r="AF154" s="549"/>
    </row>
    <row r="155" spans="1:32" x14ac:dyDescent="0.1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549"/>
      <c r="AF155" s="549"/>
    </row>
    <row r="156" spans="1:32" x14ac:dyDescent="0.1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549"/>
      <c r="AF156" s="549"/>
    </row>
    <row r="157" spans="1:32" x14ac:dyDescent="0.1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549"/>
      <c r="AF157" s="549"/>
    </row>
    <row r="158" spans="1:32" x14ac:dyDescent="0.1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549"/>
      <c r="AF158" s="549"/>
    </row>
    <row r="159" spans="1:32" x14ac:dyDescent="0.1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549"/>
      <c r="AF159" s="549"/>
    </row>
    <row r="160" spans="1:32" x14ac:dyDescent="0.1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549"/>
      <c r="AF160" s="549"/>
    </row>
    <row r="161" spans="1:32" x14ac:dyDescent="0.1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549"/>
      <c r="AF161" s="549"/>
    </row>
    <row r="162" spans="1:32" x14ac:dyDescent="0.1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549"/>
      <c r="AF162" s="549"/>
    </row>
    <row r="163" spans="1:32" x14ac:dyDescent="0.1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549"/>
      <c r="AF163" s="549"/>
    </row>
    <row r="164" spans="1:32" x14ac:dyDescent="0.1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549"/>
      <c r="AF164" s="549"/>
    </row>
    <row r="165" spans="1:32" x14ac:dyDescent="0.1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</row>
    <row r="166" spans="1:32" x14ac:dyDescent="0.1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</row>
    <row r="167" spans="1:32" x14ac:dyDescent="0.1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</row>
    <row r="168" spans="1:32" x14ac:dyDescent="0.1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</row>
    <row r="169" spans="1:32" x14ac:dyDescent="0.1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</row>
    <row r="170" spans="1:32" x14ac:dyDescent="0.1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</row>
  </sheetData>
  <sheetProtection algorithmName="SHA-512" hashValue="iPWIvJwex2/VPEzNMIR3Tnb+xIJNBw6SrsAsF13Z6A5SZBh4/Ccf+1WfkZOJeFRNzRh7FRamsZXrDRcHcthFTg==" saltValue="l+QZMCZh9APmq08FmRZ5LQ==" spinCount="100000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7DACC-9F11-2E44-BA6C-9F605A9CADB2}">
  <sheetPr codeName="Sheet3"/>
  <dimension ref="A1:AN154"/>
  <sheetViews>
    <sheetView zoomScale="90" zoomScaleNormal="90" workbookViewId="0"/>
  </sheetViews>
  <sheetFormatPr baseColWidth="10" defaultColWidth="10.83203125" defaultRowHeight="13" x14ac:dyDescent="0.15"/>
  <cols>
    <col min="1" max="1" width="17.33203125" customWidth="1"/>
    <col min="2" max="2" width="21.6640625" bestFit="1" customWidth="1"/>
    <col min="3" max="3" width="22.1640625" customWidth="1"/>
    <col min="4" max="14" width="14.1640625" customWidth="1"/>
    <col min="15" max="16" width="12.33203125" hidden="1" customWidth="1"/>
    <col min="17" max="17" width="14.1640625" hidden="1" customWidth="1"/>
    <col min="18" max="22" width="14.1640625" customWidth="1"/>
    <col min="23" max="24" width="12.33203125" hidden="1" customWidth="1"/>
    <col min="25" max="28" width="14.1640625" customWidth="1"/>
    <col min="29" max="39" width="12.33203125" customWidth="1"/>
  </cols>
  <sheetData>
    <row r="1" spans="1:40" ht="14" x14ac:dyDescent="0.15">
      <c r="A1" s="397" t="s">
        <v>722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9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8"/>
      <c r="AD1" s="398"/>
      <c r="AE1" s="398"/>
      <c r="AF1" s="398"/>
      <c r="AG1" s="398"/>
      <c r="AH1" s="398"/>
      <c r="AI1" s="398"/>
      <c r="AJ1" s="398"/>
      <c r="AK1" s="398"/>
      <c r="AL1" s="398"/>
      <c r="AM1" s="398"/>
      <c r="AN1" s="398"/>
    </row>
    <row r="2" spans="1:40" ht="14" x14ac:dyDescent="0.15">
      <c r="A2" s="399" t="s">
        <v>723</v>
      </c>
      <c r="B2" s="399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9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8"/>
      <c r="AD2" s="398"/>
      <c r="AE2" s="398"/>
      <c r="AF2" s="398"/>
      <c r="AG2" s="398"/>
      <c r="AH2" s="398"/>
      <c r="AI2" s="398"/>
      <c r="AJ2" s="398"/>
      <c r="AK2" s="398"/>
      <c r="AL2" s="398"/>
      <c r="AM2" s="398"/>
      <c r="AN2" s="398"/>
    </row>
    <row r="3" spans="1:40" ht="15" thickBot="1" x14ac:dyDescent="0.2">
      <c r="A3" s="397"/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9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400"/>
      <c r="AC3" s="398"/>
      <c r="AD3" s="398"/>
      <c r="AE3" s="398"/>
      <c r="AF3" s="398"/>
      <c r="AG3" s="398"/>
      <c r="AH3" s="398"/>
      <c r="AI3" s="398"/>
      <c r="AJ3" s="398"/>
      <c r="AK3" s="398"/>
      <c r="AL3" s="398"/>
      <c r="AM3" s="398"/>
      <c r="AN3" s="398"/>
    </row>
    <row r="4" spans="1:40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410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6"/>
      <c r="AD4" s="398"/>
      <c r="AE4" s="398"/>
      <c r="AF4" s="398"/>
      <c r="AG4" s="398"/>
      <c r="AH4" s="398"/>
      <c r="AI4" s="398"/>
      <c r="AJ4" s="398"/>
      <c r="AK4" s="398"/>
      <c r="AL4" s="398"/>
      <c r="AM4" s="398"/>
      <c r="AN4" s="398"/>
    </row>
    <row r="5" spans="1:40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411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9"/>
      <c r="AD5" s="398"/>
      <c r="AE5" s="398"/>
      <c r="AF5" s="398"/>
      <c r="AG5" s="398"/>
      <c r="AH5" s="398"/>
      <c r="AI5" s="398"/>
      <c r="AJ5" s="398"/>
      <c r="AK5" s="398"/>
      <c r="AL5" s="398"/>
      <c r="AM5" s="398"/>
      <c r="AN5" s="398"/>
    </row>
    <row r="6" spans="1:40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411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9"/>
      <c r="AD6" s="398"/>
      <c r="AE6" s="398"/>
      <c r="AF6" s="398"/>
      <c r="AG6" s="398"/>
      <c r="AH6" s="398"/>
      <c r="AI6" s="398"/>
      <c r="AJ6" s="398"/>
      <c r="AK6" s="398"/>
      <c r="AL6" s="398"/>
      <c r="AM6" s="398"/>
      <c r="AN6" s="398"/>
    </row>
    <row r="7" spans="1:40" ht="75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493" t="s">
        <v>572</v>
      </c>
      <c r="P7" s="493" t="s">
        <v>1243</v>
      </c>
      <c r="Q7" s="494" t="s">
        <v>573</v>
      </c>
      <c r="R7" s="493" t="s">
        <v>574</v>
      </c>
      <c r="S7" s="495" t="s">
        <v>575</v>
      </c>
      <c r="T7" s="496" t="s">
        <v>576</v>
      </c>
      <c r="U7" s="496" t="s">
        <v>577</v>
      </c>
      <c r="V7" s="496" t="s">
        <v>578</v>
      </c>
      <c r="W7" s="497" t="s">
        <v>579</v>
      </c>
      <c r="X7" s="497" t="s">
        <v>580</v>
      </c>
      <c r="Y7" s="497" t="s">
        <v>581</v>
      </c>
      <c r="Z7" s="497" t="s">
        <v>582</v>
      </c>
      <c r="AA7" s="498" t="s">
        <v>583</v>
      </c>
      <c r="AB7" s="499" t="s">
        <v>584</v>
      </c>
      <c r="AC7" s="500" t="s">
        <v>585</v>
      </c>
      <c r="AD7" s="398"/>
      <c r="AE7" s="398"/>
      <c r="AF7" s="398"/>
      <c r="AG7" s="398"/>
      <c r="AH7" s="398"/>
      <c r="AI7" s="398"/>
      <c r="AJ7" s="398"/>
      <c r="AK7" s="398"/>
      <c r="AL7" s="398"/>
      <c r="AM7" s="398"/>
      <c r="AN7" s="398"/>
    </row>
    <row r="8" spans="1:40" x14ac:dyDescent="0.15">
      <c r="A8" s="270" t="str">
        <f>'Tariffs Jul2019'!F2</f>
        <v>AGL</v>
      </c>
      <c r="B8" s="40" t="str">
        <f>'Tariffs Jul2019'!D2</f>
        <v>Multinet Metro 1</v>
      </c>
      <c r="C8" s="40" t="str">
        <f>'Tariffs Jul2019'!G2</f>
        <v>Essentials</v>
      </c>
      <c r="D8" s="59">
        <f>365*'Tariffs Jul2019'!H2/100</f>
        <v>277.76499999999999</v>
      </c>
      <c r="E8" s="59">
        <f>IF($C$5*'Tariffs Jul2019'!AK2/'Tariffs Jul2019'!AI2&gt;='Tariffs Jul2019'!J2,( 'Tariffs Jul2019'!J2*'Tariffs Jul2019'!O2/100)* 'Tariffs Jul2019'!AI2,($C$5*'Tariffs Jul2019'!AK2/'Tariffs Jul2019'!AI2*'Tariffs Jul2019'!O2/100)* 'Tariffs Jul2019'!AI2)</f>
        <v>191.45454545454544</v>
      </c>
      <c r="F8" s="59">
        <f>IF($C$5*'Tariffs Jul2019'!AK2/'Tariffs Jul2019'!AI2&lt;'Tariffs Jul2019'!J2,0,IF($C$5*'Tariffs Jul2019'!AK2/'Tariffs Jul2019'!AI2&lt;='Tariffs Jul2019'!K2,($C$5*'Tariffs Jul2019'!AK2/'Tariffs Jul2019'!AI2-'Tariffs Jul2019'!J2)*('Tariffs Jul2019'!P2/100)*'Tariffs Jul2019'!AI2,('Tariffs Jul2019'!K2-'Tariffs Jul2019'!J2)*('Tariffs Jul2019'!P2/100)*'Tariffs Jul2019'!AI2))</f>
        <v>170.99999999999994</v>
      </c>
      <c r="G8" s="59">
        <f>IF($C$5*'Tariffs Jul2019'!AK2/'Tariffs Jul2019'!AI2&lt;'Tariffs Jul2019'!K2,0,IF($C$5*'Tariffs Jul2019'!AK2/'Tariffs Jul2019'!AI2&lt;='Tariffs Jul2019'!L2,($C$5*'Tariffs Jul2019'!AK2/'Tariffs Jul2019'!AI2-'Tariffs Jul2019'!K2)*('Tariffs Jul2019'!Q2/100)*'Tariffs Jul2019'!AI2,('Tariffs Jul2019'!L2-'Tariffs Jul2019'!K2)*('Tariffs Jul2019'!Q2/100)*'Tariffs Jul2019'!AI2))</f>
        <v>135.81818181818181</v>
      </c>
      <c r="H8" s="59">
        <f>IF($C$5*'Tariffs Jul2019'!AK2/'Tariffs Jul2019'!AI2&lt;'Tariffs Jul2019'!L2,0,IF($C$5*'Tariffs Jul2019'!AK2/'Tariffs Jul2019'!AI2&lt;='Tariffs Jul2019'!M2,($C$5*'Tariffs Jul2019'!AK2/'Tariffs Jul2019'!AI2-'Tariffs Jul2019'!L2)*('Tariffs Jul2019'!R2/100)*'Tariffs Jul2019'!AI2,('Tariffs Jul2019'!M2-'Tariffs Jul2019'!L2)*('Tariffs Jul2019'!R2/100)*'Tariffs Jul2019'!AI2))</f>
        <v>58.909090909090899</v>
      </c>
      <c r="I8" s="59">
        <f>IF(($C$5*'Tariffs Jul2019'!AK2/'Tariffs Jul2019'!AI2&gt;'Tariffs Jul2019'!M2),($C$5*'Tariffs Jul2019'!AK2/'Tariffs Jul2019'!AI2-'Tariffs Jul2019'!M2)*'Tariffs Jul2019'!S2/100*'Tariffs Jul2019'!AI2,0)</f>
        <v>0</v>
      </c>
      <c r="J8" s="59">
        <f>IF($C$5*'Tariffs Jul2019'!AL2/'Tariffs Jul2019'!AJ2&gt;='Tariffs Jul2019'!J2,('Tariffs Jul2019'!J2*'Tariffs Jul2019'!U2/100)* 'Tariffs Jul2019'!AJ2,($C$5*'Tariffs Jul2019'!AL2/'Tariffs Jul2019'!AJ2*'Tariffs Jul2019'!U2/100)* 'Tariffs Jul2019'!AJ2)</f>
        <v>180.81818181818178</v>
      </c>
      <c r="K8" s="59">
        <f>IF($C$5*'Tariffs Jul2019'!AL2/'Tariffs Jul2019'!AJ2&lt;'Tariffs Jul2019'!J2,0,IF($C$5*'Tariffs Jul2019'!AL2/'Tariffs Jul2019'!AJ2&lt;='Tariffs Jul2019'!K2,($C$5*'Tariffs Jul2019'!AL2/'Tariffs Jul2019'!AJ2-'Tariffs Jul2019'!J2)*('Tariffs Jul2019'!V2/100)*'Tariffs Jul2019'!AJ2,('Tariffs Jul2019'!K2-'Tariffs Jul2019'!J2)*('Tariffs Jul2019'!V2/100)*'Tariffs Jul2019'!AJ2))</f>
        <v>161.18181818181819</v>
      </c>
      <c r="L8" s="59">
        <f>IF($C$5*'Tariffs Jul2019'!AL2/'Tariffs Jul2019'!AJ2&lt;'Tariffs Jul2019'!K2,0,IF($C$5*'Tariffs Jul2019'!AL2/'Tariffs Jul2019'!AJ2&lt;='Tariffs Jul2019'!L2,($C$5*'Tariffs Jul2019'!AL2/'Tariffs Jul2019'!AJ2-'Tariffs Jul2019'!K2)*('Tariffs Jul2019'!W2/100)*'Tariffs Jul2019'!AJ2,('Tariffs Jul2019'!L2-'Tariffs Jul2019'!K2)*('Tariffs Jul2019'!W2/100)*'Tariffs Jul2019'!AJ2))</f>
        <v>132.54545454545453</v>
      </c>
      <c r="M8" s="59">
        <f>IF($C$5*'Tariffs Jul2019'!AL2/'Tariffs Jul2019'!AJ2&lt;'Tariffs Jul2019'!L2,0,IF($C$5*'Tariffs Jul2019'!AL2/'Tariffs Jul2019'!AJ2&lt;='Tariffs Jul2019'!M2,($C$5*'Tariffs Jul2019'!AL2/'Tariffs Jul2019'!AJ2-'Tariffs Jul2019'!L2)*('Tariffs Jul2019'!X2/100)*'Tariffs Jul2019'!AJ2,('Tariffs Jul2019'!M2-'Tariffs Jul2019'!L2)*('Tariffs Jul2019'!X2/100)*'Tariffs Jul2019'!AJ2))</f>
        <v>58.090909090909093</v>
      </c>
      <c r="N8" s="59">
        <f>IF(($C$5*'Tariffs Jul2019'!AL2/'Tariffs Jul2019'!AJ2&gt;'Tariffs Jul2019'!M2),($C$5*'Tariffs Jul2019'!AL2/'Tariffs Jul2019'!AJ2-'Tariffs Jul2019'!M2)*'Tariffs Jul2019'!Y2/100*'Tariffs Jul2019'!AJ2,0)</f>
        <v>0</v>
      </c>
      <c r="O8" s="271">
        <f>SUM(E8:N8)</f>
        <v>1089.8181818181815</v>
      </c>
      <c r="P8" s="413">
        <f>O8*1.1</f>
        <v>1198.7999999999997</v>
      </c>
      <c r="Q8" s="59">
        <f>D8+O8</f>
        <v>1367.5831818181814</v>
      </c>
      <c r="R8" s="272">
        <f>Q8*1.1</f>
        <v>1504.3414999999998</v>
      </c>
      <c r="S8" s="40">
        <f>'Tariffs Jul2019'!AN2</f>
        <v>0</v>
      </c>
      <c r="T8" s="40">
        <f>'Tariffs Jul2019'!AO2</f>
        <v>0</v>
      </c>
      <c r="U8" s="40">
        <f>'Tariffs Jul2019'!AP2</f>
        <v>0</v>
      </c>
      <c r="V8" s="40">
        <f>'Tariffs Jul2019'!AQ2</f>
        <v>0</v>
      </c>
      <c r="W8" s="273">
        <f>Q8</f>
        <v>1367.5831818181814</v>
      </c>
      <c r="X8" s="273">
        <f>W8</f>
        <v>1367.5831818181814</v>
      </c>
      <c r="Y8" s="272">
        <f>W8*1.1</f>
        <v>1504.3414999999998</v>
      </c>
      <c r="Z8" s="272">
        <f>X8*1.1</f>
        <v>1504.3414999999998</v>
      </c>
      <c r="AA8" s="274">
        <f>'Tariffs Jul2019'!AZ2</f>
        <v>0</v>
      </c>
      <c r="AB8" s="274" t="str">
        <f>'Tariffs Jul2019'!BA2</f>
        <v>n</v>
      </c>
      <c r="AC8" s="275" t="str">
        <f>'Tariffs Jul2019'!BJ2</f>
        <v>N</v>
      </c>
      <c r="AD8" s="398"/>
      <c r="AE8" s="398"/>
      <c r="AF8" s="398"/>
      <c r="AG8" s="398"/>
      <c r="AH8" s="398"/>
      <c r="AI8" s="398"/>
      <c r="AJ8" s="398"/>
      <c r="AK8" s="398"/>
      <c r="AL8" s="398"/>
      <c r="AM8" s="398"/>
      <c r="AN8" s="398"/>
    </row>
    <row r="9" spans="1:40" x14ac:dyDescent="0.15">
      <c r="A9" s="270" t="str">
        <f>'Tariffs Jul2019'!F3</f>
        <v>Alinta Energy</v>
      </c>
      <c r="B9" s="40" t="str">
        <f>'Tariffs Jul2019'!D3</f>
        <v>Multinet Metro 1</v>
      </c>
      <c r="C9" s="40" t="str">
        <f>'Tariffs Jul2019'!G3</f>
        <v>Real Deal</v>
      </c>
      <c r="D9" s="59">
        <f>365*'Tariffs Jul2019'!H3/100</f>
        <v>277.39999999999998</v>
      </c>
      <c r="E9" s="59">
        <f>IF($C$5*'Tariffs Jul2019'!AK3/'Tariffs Jul2019'!AI3&gt;='Tariffs Jul2019'!J3,( 'Tariffs Jul2019'!J3*'Tariffs Jul2019'!O3/100)* 'Tariffs Jul2019'!AI3,($C$5*'Tariffs Jul2019'!AK3/'Tariffs Jul2019'!AI3*'Tariffs Jul2019'!O3/100)* 'Tariffs Jul2019'!AI3)</f>
        <v>204.5454545454545</v>
      </c>
      <c r="F9" s="59">
        <f>IF($C$5*'Tariffs Jul2019'!AK3/'Tariffs Jul2019'!AI3&lt;'Tariffs Jul2019'!J3,0,IF($C$5*'Tariffs Jul2019'!AK3/'Tariffs Jul2019'!AI3&lt;='Tariffs Jul2019'!K3,($C$5*'Tariffs Jul2019'!AK3/'Tariffs Jul2019'!AI3-'Tariffs Jul2019'!J3)*('Tariffs Jul2019'!P3/100)*'Tariffs Jul2019'!AI3,('Tariffs Jul2019'!K3-'Tariffs Jul2019'!J3)*('Tariffs Jul2019'!P3/100)*'Tariffs Jul2019'!AI3))</f>
        <v>180</v>
      </c>
      <c r="G9" s="59">
        <f>IF($C$5*'Tariffs Jul2019'!AK3/'Tariffs Jul2019'!AI3&lt;'Tariffs Jul2019'!K3,0,IF($C$5*'Tariffs Jul2019'!AK3/'Tariffs Jul2019'!AI3&lt;='Tariffs Jul2019'!L3,($C$5*'Tariffs Jul2019'!AK3/'Tariffs Jul2019'!AI3-'Tariffs Jul2019'!K3)*('Tariffs Jul2019'!Q3/100)*'Tariffs Jul2019'!AI3,('Tariffs Jul2019'!L3-'Tariffs Jul2019'!K3)*('Tariffs Jul2019'!Q3/100)*'Tariffs Jul2019'!AI3))</f>
        <v>0</v>
      </c>
      <c r="H9" s="59">
        <f>IF($C$5*'Tariffs Jul2019'!AK3/'Tariffs Jul2019'!AI3&lt;'Tariffs Jul2019'!L3,0,IF($C$5*'Tariffs Jul2019'!AK3/'Tariffs Jul2019'!AI3&lt;='Tariffs Jul2019'!M3,($C$5*'Tariffs Jul2019'!AK3/'Tariffs Jul2019'!AI3-'Tariffs Jul2019'!L3)*('Tariffs Jul2019'!R3/100)*'Tariffs Jul2019'!AI3,('Tariffs Jul2019'!M3-'Tariffs Jul2019'!L3)*('Tariffs Jul2019'!R3/100)*'Tariffs Jul2019'!AI3))</f>
        <v>0</v>
      </c>
      <c r="I9" s="59">
        <f>IF(($C$5*'Tariffs Jul2019'!AK3/'Tariffs Jul2019'!AI3&gt;'Tariffs Jul2019'!M3),($C$5*'Tariffs Jul2019'!AK3/'Tariffs Jul2019'!AI3-'Tariffs Jul2019'!M3)*'Tariffs Jul2019'!S3/100*'Tariffs Jul2019'!AI3,0)</f>
        <v>208.6363636363636</v>
      </c>
      <c r="J9" s="59">
        <f>IF($C$5*'Tariffs Jul2019'!AL3/'Tariffs Jul2019'!AJ3&gt;='Tariffs Jul2019'!J3,('Tariffs Jul2019'!J3*'Tariffs Jul2019'!U3/100)* 'Tariffs Jul2019'!AJ3,($C$5*'Tariffs Jul2019'!AL3/'Tariffs Jul2019'!AJ3*'Tariffs Jul2019'!U3/100)* 'Tariffs Jul2019'!AJ3)</f>
        <v>196.36363636363637</v>
      </c>
      <c r="K9" s="59">
        <f>IF($C$5*'Tariffs Jul2019'!AL3/'Tariffs Jul2019'!AJ3&lt;'Tariffs Jul2019'!J3,0,IF($C$5*'Tariffs Jul2019'!AL3/'Tariffs Jul2019'!AJ3&lt;='Tariffs Jul2019'!K3,($C$5*'Tariffs Jul2019'!AL3/'Tariffs Jul2019'!AJ3-'Tariffs Jul2019'!J3)*('Tariffs Jul2019'!V3/100)*'Tariffs Jul2019'!AJ3,('Tariffs Jul2019'!K3-'Tariffs Jul2019'!J3)*('Tariffs Jul2019'!V3/100)*'Tariffs Jul2019'!AJ3))</f>
        <v>171.81818181818181</v>
      </c>
      <c r="L9" s="59">
        <f>IF($C$5*'Tariffs Jul2019'!AL3/'Tariffs Jul2019'!AJ3&lt;'Tariffs Jul2019'!K3,0,IF($C$5*'Tariffs Jul2019'!AL3/'Tariffs Jul2019'!AJ3&lt;='Tariffs Jul2019'!L3,($C$5*'Tariffs Jul2019'!AL3/'Tariffs Jul2019'!AJ3-'Tariffs Jul2019'!K3)*('Tariffs Jul2019'!W3/100)*'Tariffs Jul2019'!AJ3,('Tariffs Jul2019'!L3-'Tariffs Jul2019'!K3)*('Tariffs Jul2019'!W3/100)*'Tariffs Jul2019'!AJ3))</f>
        <v>0</v>
      </c>
      <c r="M9" s="59">
        <f>IF($C$5*'Tariffs Jul2019'!AL3/'Tariffs Jul2019'!AJ3&lt;'Tariffs Jul2019'!L3,0,IF($C$5*'Tariffs Jul2019'!AL3/'Tariffs Jul2019'!AJ3&lt;='Tariffs Jul2019'!M3,($C$5*'Tariffs Jul2019'!AL3/'Tariffs Jul2019'!AJ3-'Tariffs Jul2019'!L3)*('Tariffs Jul2019'!X3/100)*'Tariffs Jul2019'!AJ3,('Tariffs Jul2019'!M3-'Tariffs Jul2019'!L3)*('Tariffs Jul2019'!X3/100)*'Tariffs Jul2019'!AJ3))</f>
        <v>0</v>
      </c>
      <c r="N9" s="59">
        <f>IF(($C$5*'Tariffs Jul2019'!AL3/'Tariffs Jul2019'!AJ3&gt;'Tariffs Jul2019'!M3),($C$5*'Tariffs Jul2019'!AL3/'Tariffs Jul2019'!AJ3-'Tariffs Jul2019'!M3)*'Tariffs Jul2019'!Y3/100*'Tariffs Jul2019'!AJ3,0)</f>
        <v>331.36363636363637</v>
      </c>
      <c r="O9" s="271">
        <f t="shared" ref="O9:O97" si="0">SUM(E9:N9)</f>
        <v>1292.7272727272725</v>
      </c>
      <c r="P9" s="413">
        <f t="shared" ref="P9:P72" si="1">O9*1.1</f>
        <v>1422</v>
      </c>
      <c r="Q9" s="59">
        <f t="shared" ref="Q9:Q97" si="2">D9+O9</f>
        <v>1570.1272727272726</v>
      </c>
      <c r="R9" s="272">
        <f t="shared" ref="R9:R97" si="3">Q9*1.1</f>
        <v>1727.14</v>
      </c>
      <c r="S9" s="40">
        <f>'Tariffs Jul2019'!AN3</f>
        <v>0</v>
      </c>
      <c r="T9" s="40">
        <f>'Tariffs Jul2019'!AO3</f>
        <v>0</v>
      </c>
      <c r="U9" s="40">
        <f>'Tariffs Jul2019'!AP3</f>
        <v>0</v>
      </c>
      <c r="V9" s="40">
        <f>'Tariffs Jul2019'!AQ3</f>
        <v>0</v>
      </c>
      <c r="W9" s="273">
        <f>Q9</f>
        <v>1570.1272727272726</v>
      </c>
      <c r="X9" s="273">
        <f>W9</f>
        <v>1570.1272727272726</v>
      </c>
      <c r="Y9" s="272">
        <f>W9*1.1</f>
        <v>1727.14</v>
      </c>
      <c r="Z9" s="272">
        <f t="shared" ref="Y9:Z97" si="4">X9*1.1</f>
        <v>1727.14</v>
      </c>
      <c r="AA9" s="274">
        <f>'Tariffs Jul2019'!AZ3</f>
        <v>0</v>
      </c>
      <c r="AB9" s="274" t="str">
        <f>'Tariffs Jul2019'!BA3</f>
        <v>n</v>
      </c>
      <c r="AC9" s="275" t="str">
        <f>'Tariffs Jul2019'!BJ3</f>
        <v>Y</v>
      </c>
      <c r="AD9" s="398"/>
      <c r="AE9" s="398"/>
      <c r="AF9" s="398"/>
      <c r="AG9" s="398"/>
      <c r="AH9" s="398"/>
      <c r="AI9" s="398"/>
      <c r="AJ9" s="398"/>
      <c r="AK9" s="398"/>
      <c r="AL9" s="398"/>
      <c r="AM9" s="398"/>
      <c r="AN9" s="398"/>
    </row>
    <row r="10" spans="1:40" x14ac:dyDescent="0.15">
      <c r="A10" s="270" t="str">
        <f>'Tariffs Jul2019'!F4</f>
        <v>Click Energy</v>
      </c>
      <c r="B10" s="40" t="str">
        <f>'Tariffs Jul2019'!D4</f>
        <v>Multinet Metro 1</v>
      </c>
      <c r="C10" s="40" t="str">
        <f>'Tariffs Jul2019'!G4</f>
        <v>Banksia</v>
      </c>
      <c r="D10" s="59">
        <f>365*'Tariffs Jul2019'!H4/100</f>
        <v>210.93681818181815</v>
      </c>
      <c r="E10" s="59">
        <f>IF($C$5*'Tariffs Jul2019'!AK4/'Tariffs Jul2019'!AI4&gt;='Tariffs Jul2019'!J4,( 'Tariffs Jul2019'!J4*'Tariffs Jul2019'!O4/100)* 'Tariffs Jul2019'!AI4,($C$5*'Tariffs Jul2019'!AK4/'Tariffs Jul2019'!AI4*'Tariffs Jul2019'!O4/100)* 'Tariffs Jul2019'!AI4)</f>
        <v>223.36363636363632</v>
      </c>
      <c r="F10" s="59">
        <f>IF($C$5*'Tariffs Jul2019'!AK4/'Tariffs Jul2019'!AI4&lt;'Tariffs Jul2019'!J4,0,IF($C$5*'Tariffs Jul2019'!AK4/'Tariffs Jul2019'!AI4&lt;='Tariffs Jul2019'!K4,($C$5*'Tariffs Jul2019'!AK4/'Tariffs Jul2019'!AI4-'Tariffs Jul2019'!J4)*('Tariffs Jul2019'!P4/100)*'Tariffs Jul2019'!AI4,('Tariffs Jul2019'!K4-'Tariffs Jul2019'!J4)*('Tariffs Jul2019'!P4/100)*'Tariffs Jul2019'!AI4))</f>
        <v>196.36363636363637</v>
      </c>
      <c r="G10" s="59">
        <f>IF($C$5*'Tariffs Jul2019'!AK4/'Tariffs Jul2019'!AI4&lt;'Tariffs Jul2019'!K4,0,IF($C$5*'Tariffs Jul2019'!AK4/'Tariffs Jul2019'!AI4&lt;='Tariffs Jul2019'!L4,($C$5*'Tariffs Jul2019'!AK4/'Tariffs Jul2019'!AI4-'Tariffs Jul2019'!K4)*('Tariffs Jul2019'!Q4/100)*'Tariffs Jul2019'!AI4,('Tariffs Jul2019'!L4-'Tariffs Jul2019'!K4)*('Tariffs Jul2019'!Q4/100)*'Tariffs Jul2019'!AI4))</f>
        <v>170.18181818181819</v>
      </c>
      <c r="H10" s="59">
        <f>IF($C$5*'Tariffs Jul2019'!AK4/'Tariffs Jul2019'!AI4&lt;'Tariffs Jul2019'!L4,0,IF($C$5*'Tariffs Jul2019'!AK4/'Tariffs Jul2019'!AI4&lt;='Tariffs Jul2019'!M4,($C$5*'Tariffs Jul2019'!AK4/'Tariffs Jul2019'!AI4-'Tariffs Jul2019'!L4)*('Tariffs Jul2019'!R4/100)*'Tariffs Jul2019'!AI4,('Tariffs Jul2019'!M4-'Tariffs Jul2019'!L4)*('Tariffs Jul2019'!R4/100)*'Tariffs Jul2019'!AI4))</f>
        <v>78.136363636363626</v>
      </c>
      <c r="I10" s="59">
        <f>IF(($C$5*'Tariffs Jul2019'!AK4/'Tariffs Jul2019'!AI4&gt;'Tariffs Jul2019'!M4),($C$5*'Tariffs Jul2019'!AK4/'Tariffs Jul2019'!AI4-'Tariffs Jul2019'!M4)*'Tariffs Jul2019'!S4/100*'Tariffs Jul2019'!AI4,0)</f>
        <v>0</v>
      </c>
      <c r="J10" s="59">
        <f>IF($C$5*'Tariffs Jul2019'!AL4/'Tariffs Jul2019'!AJ4&gt;='Tariffs Jul2019'!J4,('Tariffs Jul2019'!J4*'Tariffs Jul2019'!U4/100)* 'Tariffs Jul2019'!AJ4,($C$5*'Tariffs Jul2019'!AL4/'Tariffs Jul2019'!AJ4*'Tariffs Jul2019'!U4/100)* 'Tariffs Jul2019'!AJ4)</f>
        <v>216.81818181818181</v>
      </c>
      <c r="K10" s="59">
        <f>IF($C$5*'Tariffs Jul2019'!AL4/'Tariffs Jul2019'!AJ4&lt;'Tariffs Jul2019'!J4,0,IF($C$5*'Tariffs Jul2019'!AL4/'Tariffs Jul2019'!AJ4&lt;='Tariffs Jul2019'!K4,($C$5*'Tariffs Jul2019'!AL4/'Tariffs Jul2019'!AJ4-'Tariffs Jul2019'!J4)*('Tariffs Jul2019'!V4/100)*'Tariffs Jul2019'!AJ4,('Tariffs Jul2019'!K4-'Tariffs Jul2019'!J4)*('Tariffs Jul2019'!V4/100)*'Tariffs Jul2019'!AJ4))</f>
        <v>193.09090909090907</v>
      </c>
      <c r="L10" s="59">
        <f>IF($C$5*'Tariffs Jul2019'!AL4/'Tariffs Jul2019'!AJ4&lt;'Tariffs Jul2019'!K4,0,IF($C$5*'Tariffs Jul2019'!AL4/'Tariffs Jul2019'!AJ4&lt;='Tariffs Jul2019'!L4,($C$5*'Tariffs Jul2019'!AL4/'Tariffs Jul2019'!AJ4-'Tariffs Jul2019'!K4)*('Tariffs Jul2019'!W4/100)*'Tariffs Jul2019'!AJ4,('Tariffs Jul2019'!L4-'Tariffs Jul2019'!K4)*('Tariffs Jul2019'!W4/100)*'Tariffs Jul2019'!AJ4))</f>
        <v>166.90909090909091</v>
      </c>
      <c r="M10" s="59">
        <f>IF($C$5*'Tariffs Jul2019'!AL4/'Tariffs Jul2019'!AJ4&lt;'Tariffs Jul2019'!L4,0,IF($C$5*'Tariffs Jul2019'!AL4/'Tariffs Jul2019'!AJ4&lt;='Tariffs Jul2019'!M4,($C$5*'Tariffs Jul2019'!AL4/'Tariffs Jul2019'!AJ4-'Tariffs Jul2019'!L4)*('Tariffs Jul2019'!X4/100)*'Tariffs Jul2019'!AJ4,('Tariffs Jul2019'!M4-'Tariffs Jul2019'!L4)*('Tariffs Jul2019'!X4/100)*'Tariffs Jul2019'!AJ4))</f>
        <v>78.136363636363626</v>
      </c>
      <c r="N10" s="59">
        <f>IF(($C$5*'Tariffs Jul2019'!AL4/'Tariffs Jul2019'!AJ4&gt;'Tariffs Jul2019'!M4),($C$5*'Tariffs Jul2019'!AL4/'Tariffs Jul2019'!AJ4-'Tariffs Jul2019'!M4)*'Tariffs Jul2019'!Y4/100*'Tariffs Jul2019'!AJ4,0)</f>
        <v>0</v>
      </c>
      <c r="O10" s="271">
        <f t="shared" si="0"/>
        <v>1323</v>
      </c>
      <c r="P10" s="413">
        <f t="shared" si="1"/>
        <v>1455.3000000000002</v>
      </c>
      <c r="Q10" s="59">
        <f t="shared" si="2"/>
        <v>1533.9368181818181</v>
      </c>
      <c r="R10" s="272">
        <f t="shared" si="3"/>
        <v>1687.3305</v>
      </c>
      <c r="S10" s="40">
        <f>'Tariffs Jul2019'!AN4</f>
        <v>0</v>
      </c>
      <c r="T10" s="40">
        <f>'Tariffs Jul2019'!AO4</f>
        <v>0</v>
      </c>
      <c r="U10" s="40">
        <f>'Tariffs Jul2019'!AP4</f>
        <v>0</v>
      </c>
      <c r="V10" s="40">
        <f>'Tariffs Jul2019'!AQ4</f>
        <v>0</v>
      </c>
      <c r="W10" s="273">
        <f>Q10</f>
        <v>1533.9368181818181</v>
      </c>
      <c r="X10" s="273">
        <f>W10</f>
        <v>1533.9368181818181</v>
      </c>
      <c r="Y10" s="272">
        <f t="shared" si="4"/>
        <v>1687.3305</v>
      </c>
      <c r="Z10" s="272">
        <f t="shared" si="4"/>
        <v>1687.3305</v>
      </c>
      <c r="AA10" s="274">
        <f>'Tariffs Jul2019'!AZ4</f>
        <v>0</v>
      </c>
      <c r="AB10" s="274" t="str">
        <f>'Tariffs Jul2019'!BA4</f>
        <v>n</v>
      </c>
      <c r="AC10" s="275" t="str">
        <f>'Tariffs Jul2019'!BJ4</f>
        <v>N</v>
      </c>
      <c r="AD10" s="398"/>
      <c r="AE10" s="398"/>
      <c r="AF10" s="398"/>
      <c r="AG10" s="398"/>
      <c r="AH10" s="398"/>
      <c r="AI10" s="398"/>
      <c r="AJ10" s="398"/>
      <c r="AK10" s="398"/>
      <c r="AL10" s="398"/>
      <c r="AM10" s="398"/>
      <c r="AN10" s="398"/>
    </row>
    <row r="11" spans="1:40" x14ac:dyDescent="0.15">
      <c r="A11" s="270" t="str">
        <f>'Tariffs Jul2019'!F5</f>
        <v>Covau</v>
      </c>
      <c r="B11" s="40" t="str">
        <f>'Tariffs Jul2019'!D5</f>
        <v>Multinet Metro 1</v>
      </c>
      <c r="C11" s="40" t="str">
        <f>'Tariffs Jul2019'!G5</f>
        <v>Smart Saver</v>
      </c>
      <c r="D11" s="59">
        <f>365*'Tariffs Jul2019'!H5/100</f>
        <v>284.7</v>
      </c>
      <c r="E11" s="59">
        <f>IF($C$5*'Tariffs Jul2019'!AK5/'Tariffs Jul2019'!AI5&gt;='Tariffs Jul2019'!J5,( 'Tariffs Jul2019'!J5*'Tariffs Jul2019'!O5/100)* 'Tariffs Jul2019'!AI5,($C$5*'Tariffs Jul2019'!AK5/'Tariffs Jul2019'!AI5*'Tariffs Jul2019'!O5/100)* 'Tariffs Jul2019'!AI5)</f>
        <v>261</v>
      </c>
      <c r="F11" s="59">
        <f>IF($C$5*'Tariffs Jul2019'!AK5/'Tariffs Jul2019'!AI5&lt;'Tariffs Jul2019'!J5,0,IF($C$5*'Tariffs Jul2019'!AK5/'Tariffs Jul2019'!AI5&lt;='Tariffs Jul2019'!K5,($C$5*'Tariffs Jul2019'!AK5/'Tariffs Jul2019'!AI5-'Tariffs Jul2019'!J5)*('Tariffs Jul2019'!P5/100)*'Tariffs Jul2019'!AI5,('Tariffs Jul2019'!K5-'Tariffs Jul2019'!J5)*('Tariffs Jul2019'!P5/100)*'Tariffs Jul2019'!AI5))</f>
        <v>469.79999999999995</v>
      </c>
      <c r="G11" s="59">
        <f>IF($C$5*'Tariffs Jul2019'!AK5/'Tariffs Jul2019'!AI5&lt;'Tariffs Jul2019'!K5,0,IF($C$5*'Tariffs Jul2019'!AK5/'Tariffs Jul2019'!AI5&lt;='Tariffs Jul2019'!L5,($C$5*'Tariffs Jul2019'!AK5/'Tariffs Jul2019'!AI5-'Tariffs Jul2019'!K5)*('Tariffs Jul2019'!Q5/100)*'Tariffs Jul2019'!AI5,('Tariffs Jul2019'!L5-'Tariffs Jul2019'!K5)*('Tariffs Jul2019'!Q5/100)*'Tariffs Jul2019'!AI5))</f>
        <v>108</v>
      </c>
      <c r="H11" s="59">
        <f>IF($C$5*'Tariffs Jul2019'!AK5/'Tariffs Jul2019'!AI5&lt;'Tariffs Jul2019'!L5,0,IF($C$5*'Tariffs Jul2019'!AK5/'Tariffs Jul2019'!AI5&lt;='Tariffs Jul2019'!M5,($C$5*'Tariffs Jul2019'!AK5/'Tariffs Jul2019'!AI5-'Tariffs Jul2019'!L5)*('Tariffs Jul2019'!R5/100)*'Tariffs Jul2019'!AI5,('Tariffs Jul2019'!M5-'Tariffs Jul2019'!L5)*('Tariffs Jul2019'!R5/100)*'Tariffs Jul2019'!AI5))</f>
        <v>0</v>
      </c>
      <c r="I11" s="59">
        <f>IF(($C$5*'Tariffs Jul2019'!AK5/'Tariffs Jul2019'!AI5&gt;'Tariffs Jul2019'!M5),($C$5*'Tariffs Jul2019'!AK5/'Tariffs Jul2019'!AI5-'Tariffs Jul2019'!M5)*'Tariffs Jul2019'!S5/100*'Tariffs Jul2019'!AI5,0)</f>
        <v>0</v>
      </c>
      <c r="J11" s="59">
        <f>IF($C$5*'Tariffs Jul2019'!AL5/'Tariffs Jul2019'!AJ5&gt;='Tariffs Jul2019'!J5,('Tariffs Jul2019'!J5*'Tariffs Jul2019'!U5/100)* 'Tariffs Jul2019'!AJ5,($C$5*'Tariffs Jul2019'!AL5/'Tariffs Jul2019'!AJ5*'Tariffs Jul2019'!U5/100)* 'Tariffs Jul2019'!AJ5)</f>
        <v>243.00000000000006</v>
      </c>
      <c r="K11" s="59">
        <f>IF($C$5*'Tariffs Jul2019'!AL5/'Tariffs Jul2019'!AJ5&lt;'Tariffs Jul2019'!J5,0,IF($C$5*'Tariffs Jul2019'!AL5/'Tariffs Jul2019'!AJ5&lt;='Tariffs Jul2019'!K5,($C$5*'Tariffs Jul2019'!AL5/'Tariffs Jul2019'!AJ5-'Tariffs Jul2019'!J5)*('Tariffs Jul2019'!V5/100)*'Tariffs Jul2019'!AJ5,('Tariffs Jul2019'!K5-'Tariffs Jul2019'!J5)*('Tariffs Jul2019'!V5/100)*'Tariffs Jul2019'!AJ5))</f>
        <v>457.20000000000005</v>
      </c>
      <c r="L11" s="59">
        <f>IF($C$5*'Tariffs Jul2019'!AL5/'Tariffs Jul2019'!AJ5&lt;'Tariffs Jul2019'!K5,0,IF($C$5*'Tariffs Jul2019'!AL5/'Tariffs Jul2019'!AJ5&lt;='Tariffs Jul2019'!L5,($C$5*'Tariffs Jul2019'!AL5/'Tariffs Jul2019'!AJ5-'Tariffs Jul2019'!K5)*('Tariffs Jul2019'!W5/100)*'Tariffs Jul2019'!AJ5,('Tariffs Jul2019'!L5-'Tariffs Jul2019'!K5)*('Tariffs Jul2019'!W5/100)*'Tariffs Jul2019'!AJ5))</f>
        <v>94.500000000000014</v>
      </c>
      <c r="M11" s="59">
        <f>IF($C$5*'Tariffs Jul2019'!AL5/'Tariffs Jul2019'!AJ5&lt;'Tariffs Jul2019'!L5,0,IF($C$5*'Tariffs Jul2019'!AL5/'Tariffs Jul2019'!AJ5&lt;='Tariffs Jul2019'!M5,($C$5*'Tariffs Jul2019'!AL5/'Tariffs Jul2019'!AJ5-'Tariffs Jul2019'!L5)*('Tariffs Jul2019'!X5/100)*'Tariffs Jul2019'!AJ5,('Tariffs Jul2019'!M5-'Tariffs Jul2019'!L5)*('Tariffs Jul2019'!X5/100)*'Tariffs Jul2019'!AJ5))</f>
        <v>0</v>
      </c>
      <c r="N11" s="59">
        <f>IF(($C$5*'Tariffs Jul2019'!AL5/'Tariffs Jul2019'!AJ5&gt;'Tariffs Jul2019'!M5),($C$5*'Tariffs Jul2019'!AL5/'Tariffs Jul2019'!AJ5-'Tariffs Jul2019'!M5)*'Tariffs Jul2019'!Y5/100*'Tariffs Jul2019'!AJ5,0)</f>
        <v>0</v>
      </c>
      <c r="O11" s="271">
        <f t="shared" si="0"/>
        <v>1633.5</v>
      </c>
      <c r="P11" s="413">
        <f t="shared" si="1"/>
        <v>1796.8500000000001</v>
      </c>
      <c r="Q11" s="59">
        <f t="shared" si="2"/>
        <v>1918.2</v>
      </c>
      <c r="R11" s="272">
        <f t="shared" si="3"/>
        <v>2110.0200000000004</v>
      </c>
      <c r="S11" s="40">
        <f>'Tariffs Jul2019'!AN5</f>
        <v>0</v>
      </c>
      <c r="T11" s="40">
        <f>'Tariffs Jul2019'!AO5</f>
        <v>0</v>
      </c>
      <c r="U11" s="40">
        <f>'Tariffs Jul2019'!AP5</f>
        <v>0</v>
      </c>
      <c r="V11" s="40">
        <f>'Tariffs Jul2019'!AQ5</f>
        <v>16</v>
      </c>
      <c r="W11" s="273">
        <f t="shared" ref="W11:W19" si="5">Q11</f>
        <v>1918.2</v>
      </c>
      <c r="X11" s="273">
        <f>W11-(O11*V11/100)</f>
        <v>1656.8400000000001</v>
      </c>
      <c r="Y11" s="272">
        <f t="shared" si="4"/>
        <v>2110.0200000000004</v>
      </c>
      <c r="Z11" s="272">
        <f t="shared" si="4"/>
        <v>1822.5240000000003</v>
      </c>
      <c r="AA11" s="274">
        <f>'Tariffs Jul2019'!AZ5</f>
        <v>0</v>
      </c>
      <c r="AB11" s="274" t="str">
        <f>'Tariffs Jul2019'!BA5</f>
        <v>n</v>
      </c>
      <c r="AC11" s="275" t="str">
        <f>'Tariffs Jul2019'!BJ5</f>
        <v>N</v>
      </c>
      <c r="AD11" s="398"/>
      <c r="AE11" s="398"/>
      <c r="AF11" s="398"/>
      <c r="AG11" s="398"/>
      <c r="AH11" s="398"/>
      <c r="AI11" s="398"/>
      <c r="AJ11" s="398"/>
      <c r="AK11" s="398"/>
      <c r="AL11" s="398"/>
      <c r="AM11" s="398"/>
      <c r="AN11" s="398"/>
    </row>
    <row r="12" spans="1:40" x14ac:dyDescent="0.15">
      <c r="A12" s="270" t="str">
        <f>'Tariffs Jul2019'!F6</f>
        <v>Dodo Power &amp; Gas</v>
      </c>
      <c r="B12" s="40" t="str">
        <f>'Tariffs Jul2019'!D6</f>
        <v>Multinet Metro 1</v>
      </c>
      <c r="C12" s="40" t="str">
        <f>'Tariffs Jul2019'!G6</f>
        <v>Market offer</v>
      </c>
      <c r="D12" s="59">
        <f>365*'Tariffs Jul2019'!H6/100</f>
        <v>220.2775</v>
      </c>
      <c r="E12" s="59">
        <f>IF($C$5*'Tariffs Jul2019'!AK6/'Tariffs Jul2019'!AI6&gt;='Tariffs Jul2019'!J6,( 'Tariffs Jul2019'!J6*'Tariffs Jul2019'!O6/100)* 'Tariffs Jul2019'!AI6,($C$5*'Tariffs Jul2019'!AK6/'Tariffs Jul2019'!AI6*'Tariffs Jul2019'!O6/100)* 'Tariffs Jul2019'!AI6)</f>
        <v>225</v>
      </c>
      <c r="F12" s="59">
        <f>IF($C$5*'Tariffs Jul2019'!AK6/'Tariffs Jul2019'!AI6&lt;'Tariffs Jul2019'!J6,0,IF($C$5*'Tariffs Jul2019'!AK6/'Tariffs Jul2019'!AI6&lt;='Tariffs Jul2019'!K6,($C$5*'Tariffs Jul2019'!AK6/'Tariffs Jul2019'!AI6-'Tariffs Jul2019'!J6)*('Tariffs Jul2019'!P6/100)*'Tariffs Jul2019'!AI6,('Tariffs Jul2019'!K6-'Tariffs Jul2019'!J6)*('Tariffs Jul2019'!P6/100)*'Tariffs Jul2019'!AI6))</f>
        <v>198</v>
      </c>
      <c r="G12" s="59">
        <f>IF($C$5*'Tariffs Jul2019'!AK6/'Tariffs Jul2019'!AI6&lt;'Tariffs Jul2019'!K6,0,IF($C$5*'Tariffs Jul2019'!AK6/'Tariffs Jul2019'!AI6&lt;='Tariffs Jul2019'!L6,($C$5*'Tariffs Jul2019'!AK6/'Tariffs Jul2019'!AI6-'Tariffs Jul2019'!K6)*('Tariffs Jul2019'!Q6/100)*'Tariffs Jul2019'!AI6,('Tariffs Jul2019'!L6-'Tariffs Jul2019'!K6)*('Tariffs Jul2019'!Q6/100)*'Tariffs Jul2019'!AI6))</f>
        <v>166.90909090909091</v>
      </c>
      <c r="H12" s="59">
        <f>IF($C$5*'Tariffs Jul2019'!AK6/'Tariffs Jul2019'!AI6&lt;'Tariffs Jul2019'!L6,0,IF($C$5*'Tariffs Jul2019'!AK6/'Tariffs Jul2019'!AI6&lt;='Tariffs Jul2019'!M6,($C$5*'Tariffs Jul2019'!AK6/'Tariffs Jul2019'!AI6-'Tariffs Jul2019'!L6)*('Tariffs Jul2019'!R6/100)*'Tariffs Jul2019'!AI6,('Tariffs Jul2019'!M6-'Tariffs Jul2019'!L6)*('Tariffs Jul2019'!R6/100)*'Tariffs Jul2019'!AI6))</f>
        <v>80.999999999999986</v>
      </c>
      <c r="I12" s="59">
        <f>IF(($C$5*'Tariffs Jul2019'!AK6/'Tariffs Jul2019'!AI6&gt;'Tariffs Jul2019'!M6),($C$5*'Tariffs Jul2019'!AK6/'Tariffs Jul2019'!AI6-'Tariffs Jul2019'!M6)*'Tariffs Jul2019'!S6/100*'Tariffs Jul2019'!AI6,0)</f>
        <v>0</v>
      </c>
      <c r="J12" s="59">
        <f>IF($C$5*'Tariffs Jul2019'!AL6/'Tariffs Jul2019'!AJ6&gt;='Tariffs Jul2019'!J6,('Tariffs Jul2019'!J6*'Tariffs Jul2019'!U6/100)* 'Tariffs Jul2019'!AJ6,($C$5*'Tariffs Jul2019'!AL6/'Tariffs Jul2019'!AJ6*'Tariffs Jul2019'!U6/100)* 'Tariffs Jul2019'!AJ6)</f>
        <v>211.5</v>
      </c>
      <c r="K12" s="59">
        <f>IF($C$5*'Tariffs Jul2019'!AL6/'Tariffs Jul2019'!AJ6&lt;'Tariffs Jul2019'!J6,0,IF($C$5*'Tariffs Jul2019'!AL6/'Tariffs Jul2019'!AJ6&lt;='Tariffs Jul2019'!K6,($C$5*'Tariffs Jul2019'!AL6/'Tariffs Jul2019'!AJ6-'Tariffs Jul2019'!J6)*('Tariffs Jul2019'!V6/100)*'Tariffs Jul2019'!AJ6,('Tariffs Jul2019'!K6-'Tariffs Jul2019'!J6)*('Tariffs Jul2019'!V6/100)*'Tariffs Jul2019'!AJ6))</f>
        <v>189.00000000000003</v>
      </c>
      <c r="L12" s="59">
        <f>IF($C$5*'Tariffs Jul2019'!AL6/'Tariffs Jul2019'!AJ6&lt;'Tariffs Jul2019'!K6,0,IF($C$5*'Tariffs Jul2019'!AL6/'Tariffs Jul2019'!AJ6&lt;='Tariffs Jul2019'!L6,($C$5*'Tariffs Jul2019'!AL6/'Tariffs Jul2019'!AJ6-'Tariffs Jul2019'!K6)*('Tariffs Jul2019'!W6/100)*'Tariffs Jul2019'!AJ6,('Tariffs Jul2019'!L6-'Tariffs Jul2019'!K6)*('Tariffs Jul2019'!W6/100)*'Tariffs Jul2019'!AJ6))</f>
        <v>161.99999999999997</v>
      </c>
      <c r="M12" s="59">
        <f>IF($C$5*'Tariffs Jul2019'!AL6/'Tariffs Jul2019'!AJ6&lt;'Tariffs Jul2019'!L6,0,IF($C$5*'Tariffs Jul2019'!AL6/'Tariffs Jul2019'!AJ6&lt;='Tariffs Jul2019'!M6,($C$5*'Tariffs Jul2019'!AL6/'Tariffs Jul2019'!AJ6-'Tariffs Jul2019'!L6)*('Tariffs Jul2019'!X6/100)*'Tariffs Jul2019'!AJ6,('Tariffs Jul2019'!M6-'Tariffs Jul2019'!L6)*('Tariffs Jul2019'!X6/100)*'Tariffs Jul2019'!AJ6))</f>
        <v>78.954545454545453</v>
      </c>
      <c r="N12" s="59">
        <f>IF(($C$5*'Tariffs Jul2019'!AL6/'Tariffs Jul2019'!AJ6&gt;'Tariffs Jul2019'!M6),($C$5*'Tariffs Jul2019'!AL6/'Tariffs Jul2019'!AJ6-'Tariffs Jul2019'!M6)*'Tariffs Jul2019'!Y6/100*'Tariffs Jul2019'!AJ6,0)</f>
        <v>0</v>
      </c>
      <c r="O12" s="271">
        <f t="shared" si="0"/>
        <v>1312.3636363636365</v>
      </c>
      <c r="P12" s="413">
        <f t="shared" si="1"/>
        <v>1443.6000000000004</v>
      </c>
      <c r="Q12" s="59">
        <f t="shared" si="2"/>
        <v>1532.6411363636364</v>
      </c>
      <c r="R12" s="272">
        <f t="shared" si="3"/>
        <v>1685.9052500000003</v>
      </c>
      <c r="S12" s="40">
        <f>'Tariffs Jul2019'!AN6</f>
        <v>0</v>
      </c>
      <c r="T12" s="40">
        <f>'Tariffs Jul2019'!AO6</f>
        <v>0</v>
      </c>
      <c r="U12" s="40">
        <f>'Tariffs Jul2019'!AP6</f>
        <v>0</v>
      </c>
      <c r="V12" s="40">
        <f>'Tariffs Jul2019'!AQ6</f>
        <v>20</v>
      </c>
      <c r="W12" s="273">
        <f>Q12</f>
        <v>1532.6411363636364</v>
      </c>
      <c r="X12" s="273">
        <f>W12-(O12*V12/100)</f>
        <v>1270.1684090909091</v>
      </c>
      <c r="Y12" s="272">
        <f t="shared" si="4"/>
        <v>1685.9052500000003</v>
      </c>
      <c r="Z12" s="272">
        <f t="shared" si="4"/>
        <v>1397.1852500000002</v>
      </c>
      <c r="AA12" s="274">
        <f>'Tariffs Jul2019'!AZ6</f>
        <v>0</v>
      </c>
      <c r="AB12" s="274" t="str">
        <f>'Tariffs Jul2019'!BA6</f>
        <v>n</v>
      </c>
      <c r="AC12" s="275" t="str">
        <f>'Tariffs Jul2019'!BJ6</f>
        <v>Y</v>
      </c>
      <c r="AD12" s="398"/>
      <c r="AE12" s="398"/>
      <c r="AF12" s="398"/>
      <c r="AG12" s="398"/>
      <c r="AH12" s="398"/>
      <c r="AI12" s="398"/>
      <c r="AJ12" s="398"/>
      <c r="AK12" s="398"/>
      <c r="AL12" s="398"/>
      <c r="AM12" s="398"/>
      <c r="AN12" s="398"/>
    </row>
    <row r="13" spans="1:40" x14ac:dyDescent="0.15">
      <c r="A13" s="270" t="str">
        <f>'Tariffs Jul2019'!F7</f>
        <v>EnergyAustralia</v>
      </c>
      <c r="B13" s="40" t="str">
        <f>'Tariffs Jul2019'!D7</f>
        <v>Multinet Metro 1</v>
      </c>
      <c r="C13" s="40" t="str">
        <f>'Tariffs Jul2019'!G7</f>
        <v>Total Plan</v>
      </c>
      <c r="D13" s="59">
        <f>365*'Tariffs Jul2019'!H7/100</f>
        <v>286.52499999999998</v>
      </c>
      <c r="E13" s="59">
        <f>IF($C$5*'Tariffs Jul2019'!AK7/'Tariffs Jul2019'!AI7&gt;='Tariffs Jul2019'!J7,( 'Tariffs Jul2019'!J7*'Tariffs Jul2019'!O7/100)* 'Tariffs Jul2019'!AI7,($C$5*'Tariffs Jul2019'!AK7/'Tariffs Jul2019'!AI7*'Tariffs Jul2019'!O7/100)* 'Tariffs Jul2019'!AI7)</f>
        <v>460.79999999999995</v>
      </c>
      <c r="F13" s="59">
        <f>IF($C$5*'Tariffs Jul2019'!AK7/'Tariffs Jul2019'!AI7&lt;'Tariffs Jul2019'!J7,0,IF($C$5*'Tariffs Jul2019'!AK7/'Tariffs Jul2019'!AI7&lt;='Tariffs Jul2019'!K7,($C$5*'Tariffs Jul2019'!AK7/'Tariffs Jul2019'!AI7-'Tariffs Jul2019'!J7)*('Tariffs Jul2019'!P7/100)*'Tariffs Jul2019'!AI7,('Tariffs Jul2019'!K7-'Tariffs Jul2019'!J7)*('Tariffs Jul2019'!P7/100)*'Tariffs Jul2019'!AI7))</f>
        <v>0</v>
      </c>
      <c r="G13" s="59">
        <f>IF($C$5*'Tariffs Jul2019'!AK7/'Tariffs Jul2019'!AI7&lt;'Tariffs Jul2019'!K7,0,IF($C$5*'Tariffs Jul2019'!AK7/'Tariffs Jul2019'!AI7&lt;='Tariffs Jul2019'!L7,($C$5*'Tariffs Jul2019'!AK7/'Tariffs Jul2019'!AI7-'Tariffs Jul2019'!K7)*('Tariffs Jul2019'!Q7/100)*'Tariffs Jul2019'!AI7,('Tariffs Jul2019'!L7-'Tariffs Jul2019'!K7)*('Tariffs Jul2019'!Q7/100)*'Tariffs Jul2019'!AI7))</f>
        <v>0</v>
      </c>
      <c r="H13" s="59">
        <f>IF($C$5*'Tariffs Jul2019'!AK7/'Tariffs Jul2019'!AI7&lt;'Tariffs Jul2019'!L7,0,IF($C$5*'Tariffs Jul2019'!AK7/'Tariffs Jul2019'!AI7&lt;='Tariffs Jul2019'!M7,($C$5*'Tariffs Jul2019'!AK7/'Tariffs Jul2019'!AI7-'Tariffs Jul2019'!L7)*('Tariffs Jul2019'!R7/100)*'Tariffs Jul2019'!AI7,('Tariffs Jul2019'!M7-'Tariffs Jul2019'!L7)*('Tariffs Jul2019'!R7/100)*'Tariffs Jul2019'!AI7))</f>
        <v>0</v>
      </c>
      <c r="I13" s="59">
        <f>IF(($C$5*'Tariffs Jul2019'!AK7/'Tariffs Jul2019'!AI7&gt;'Tariffs Jul2019'!M7),($C$5*'Tariffs Jul2019'!AK7/'Tariffs Jul2019'!AI7-'Tariffs Jul2019'!M7)*'Tariffs Jul2019'!S7/100*'Tariffs Jul2019'!AI7,0)</f>
        <v>251.10000000000002</v>
      </c>
      <c r="J13" s="59">
        <f>IF($C$5*'Tariffs Jul2019'!AL7/'Tariffs Jul2019'!AJ7&gt;='Tariffs Jul2019'!J7,('Tariffs Jul2019'!J7*'Tariffs Jul2019'!U7/100)* 'Tariffs Jul2019'!AJ7,($C$5*'Tariffs Jul2019'!AL7/'Tariffs Jul2019'!AJ7*'Tariffs Jul2019'!U7/100)* 'Tariffs Jul2019'!AJ7)</f>
        <v>460.79999999999995</v>
      </c>
      <c r="K13" s="59">
        <f>IF($C$5*'Tariffs Jul2019'!AL7/'Tariffs Jul2019'!AJ7&lt;'Tariffs Jul2019'!J7,0,IF($C$5*'Tariffs Jul2019'!AL7/'Tariffs Jul2019'!AJ7&lt;='Tariffs Jul2019'!K7,($C$5*'Tariffs Jul2019'!AL7/'Tariffs Jul2019'!AJ7-'Tariffs Jul2019'!J7)*('Tariffs Jul2019'!V7/100)*'Tariffs Jul2019'!AJ7,('Tariffs Jul2019'!K7-'Tariffs Jul2019'!J7)*('Tariffs Jul2019'!V7/100)*'Tariffs Jul2019'!AJ7))</f>
        <v>0</v>
      </c>
      <c r="L13" s="59">
        <f>IF($C$5*'Tariffs Jul2019'!AL7/'Tariffs Jul2019'!AJ7&lt;'Tariffs Jul2019'!K7,0,IF($C$5*'Tariffs Jul2019'!AL7/'Tariffs Jul2019'!AJ7&lt;='Tariffs Jul2019'!L7,($C$5*'Tariffs Jul2019'!AL7/'Tariffs Jul2019'!AJ7-'Tariffs Jul2019'!K7)*('Tariffs Jul2019'!W7/100)*'Tariffs Jul2019'!AJ7,('Tariffs Jul2019'!L7-'Tariffs Jul2019'!K7)*('Tariffs Jul2019'!W7/100)*'Tariffs Jul2019'!AJ7))</f>
        <v>0</v>
      </c>
      <c r="M13" s="59">
        <f>IF($C$5*'Tariffs Jul2019'!AL7/'Tariffs Jul2019'!AJ7&lt;'Tariffs Jul2019'!L7,0,IF($C$5*'Tariffs Jul2019'!AL7/'Tariffs Jul2019'!AJ7&lt;='Tariffs Jul2019'!M7,($C$5*'Tariffs Jul2019'!AL7/'Tariffs Jul2019'!AJ7-'Tariffs Jul2019'!L7)*('Tariffs Jul2019'!X7/100)*'Tariffs Jul2019'!AJ7,('Tariffs Jul2019'!M7-'Tariffs Jul2019'!L7)*('Tariffs Jul2019'!X7/100)*'Tariffs Jul2019'!AJ7))</f>
        <v>0</v>
      </c>
      <c r="N13" s="59">
        <f>IF(($C$5*'Tariffs Jul2019'!AL7/'Tariffs Jul2019'!AJ7&gt;'Tariffs Jul2019'!M7),($C$5*'Tariffs Jul2019'!AL7/'Tariffs Jul2019'!AJ7-'Tariffs Jul2019'!M7)*'Tariffs Jul2019'!Y7/100*'Tariffs Jul2019'!AJ7,0)</f>
        <v>251.10000000000002</v>
      </c>
      <c r="O13" s="271">
        <f>SUM(E13:N13)</f>
        <v>1423.7999999999997</v>
      </c>
      <c r="P13" s="413">
        <f t="shared" si="1"/>
        <v>1566.1799999999998</v>
      </c>
      <c r="Q13" s="59">
        <f>D13+O13</f>
        <v>1710.3249999999998</v>
      </c>
      <c r="R13" s="272">
        <f t="shared" si="3"/>
        <v>1881.3574999999998</v>
      </c>
      <c r="S13" s="40">
        <f>'Tariffs Jul2019'!AN7</f>
        <v>24</v>
      </c>
      <c r="T13" s="40">
        <f>'Tariffs Jul2019'!AO7</f>
        <v>0</v>
      </c>
      <c r="U13" s="40">
        <f>'Tariffs Jul2019'!AP7</f>
        <v>0</v>
      </c>
      <c r="V13" s="40">
        <f>'Tariffs Jul2019'!AQ7</f>
        <v>0</v>
      </c>
      <c r="W13" s="273">
        <f>Q13-(Q13*S13/100)</f>
        <v>1299.8469999999998</v>
      </c>
      <c r="X13" s="273">
        <f>W13</f>
        <v>1299.8469999999998</v>
      </c>
      <c r="Y13" s="272">
        <f t="shared" si="4"/>
        <v>1429.8317</v>
      </c>
      <c r="Z13" s="272">
        <f t="shared" si="4"/>
        <v>1429.8317</v>
      </c>
      <c r="AA13" s="274">
        <f>'Tariffs Jul2019'!AZ7</f>
        <v>0</v>
      </c>
      <c r="AB13" s="274" t="str">
        <f>'Tariffs Jul2019'!BA7</f>
        <v>n</v>
      </c>
      <c r="AC13" s="275" t="str">
        <f>'Tariffs Jul2019'!BJ7</f>
        <v>N</v>
      </c>
      <c r="AD13" s="398"/>
      <c r="AE13" s="398"/>
      <c r="AF13" s="398"/>
      <c r="AG13" s="398"/>
      <c r="AH13" s="398"/>
      <c r="AI13" s="398"/>
      <c r="AJ13" s="398"/>
      <c r="AK13" s="398"/>
      <c r="AL13" s="398"/>
      <c r="AM13" s="398"/>
      <c r="AN13" s="398"/>
    </row>
    <row r="14" spans="1:40" x14ac:dyDescent="0.15">
      <c r="A14" s="270" t="str">
        <f>'Tariffs Jul2019'!F8</f>
        <v>Lumo Energy</v>
      </c>
      <c r="B14" s="40" t="str">
        <f>'Tariffs Jul2019'!D8</f>
        <v>Multinet Metro 1</v>
      </c>
      <c r="C14" s="40" t="str">
        <f>'Tariffs Jul2019'!G8</f>
        <v>Value</v>
      </c>
      <c r="D14" s="59">
        <f>365*'Tariffs Jul2019'!H8/100</f>
        <v>237.25</v>
      </c>
      <c r="E14" s="59">
        <f>IF($C$5*'Tariffs Jul2019'!AK8/'Tariffs Jul2019'!AI8&gt;='Tariffs Jul2019'!J8,( 'Tariffs Jul2019'!J8*'Tariffs Jul2019'!O8/100)* 'Tariffs Jul2019'!AI8,($C$5*'Tariffs Jul2019'!AK8/'Tariffs Jul2019'!AI8*'Tariffs Jul2019'!O8/100)* 'Tariffs Jul2019'!AI8)</f>
        <v>189</v>
      </c>
      <c r="F14" s="59">
        <f>IF($C$5*'Tariffs Jul2019'!AK8/'Tariffs Jul2019'!AI8&lt;'Tariffs Jul2019'!J8,0,IF($C$5*'Tariffs Jul2019'!AK8/'Tariffs Jul2019'!AI8&lt;='Tariffs Jul2019'!K8,($C$5*'Tariffs Jul2019'!AK8/'Tariffs Jul2019'!AI8-'Tariffs Jul2019'!J8)*('Tariffs Jul2019'!P8/100)*'Tariffs Jul2019'!AI8,('Tariffs Jul2019'!K8-'Tariffs Jul2019'!J8)*('Tariffs Jul2019'!P8/100)*'Tariffs Jul2019'!AI8))</f>
        <v>175.5</v>
      </c>
      <c r="G14" s="59">
        <f>IF($C$5*'Tariffs Jul2019'!AK8/'Tariffs Jul2019'!AI8&lt;'Tariffs Jul2019'!K8,0,IF($C$5*'Tariffs Jul2019'!AK8/'Tariffs Jul2019'!AI8&lt;='Tariffs Jul2019'!L8,($C$5*'Tariffs Jul2019'!AK8/'Tariffs Jul2019'!AI8-'Tariffs Jul2019'!K8)*('Tariffs Jul2019'!Q8/100)*'Tariffs Jul2019'!AI8,('Tariffs Jul2019'!L8-'Tariffs Jul2019'!K8)*('Tariffs Jul2019'!Q8/100)*'Tariffs Jul2019'!AI8))</f>
        <v>152.1</v>
      </c>
      <c r="H14" s="59">
        <f>IF($C$5*'Tariffs Jul2019'!AK8/'Tariffs Jul2019'!AI8&lt;'Tariffs Jul2019'!L8,0,IF($C$5*'Tariffs Jul2019'!AK8/'Tariffs Jul2019'!AI8&lt;='Tariffs Jul2019'!M8,($C$5*'Tariffs Jul2019'!AK8/'Tariffs Jul2019'!AI8-'Tariffs Jul2019'!L8)*('Tariffs Jul2019'!R8/100)*'Tariffs Jul2019'!AI8,('Tariffs Jul2019'!M8-'Tariffs Jul2019'!L8)*('Tariffs Jul2019'!R8/100)*'Tariffs Jul2019'!AI8))</f>
        <v>69.75</v>
      </c>
      <c r="I14" s="59">
        <f>IF(($C$5*'Tariffs Jul2019'!AK8/'Tariffs Jul2019'!AI8&gt;'Tariffs Jul2019'!M8),($C$5*'Tariffs Jul2019'!AK8/'Tariffs Jul2019'!AI8-'Tariffs Jul2019'!M8)*'Tariffs Jul2019'!S8/100*'Tariffs Jul2019'!AI8,0)</f>
        <v>0</v>
      </c>
      <c r="J14" s="59">
        <f>IF($C$5*'Tariffs Jul2019'!AL8/'Tariffs Jul2019'!AJ8&gt;='Tariffs Jul2019'!J8,('Tariffs Jul2019'!J8*'Tariffs Jul2019'!U8/100)* 'Tariffs Jul2019'!AJ8,($C$5*'Tariffs Jul2019'!AL8/'Tariffs Jul2019'!AJ8*'Tariffs Jul2019'!U8/100)* 'Tariffs Jul2019'!AJ8)</f>
        <v>180</v>
      </c>
      <c r="K14" s="59">
        <f>IF($C$5*'Tariffs Jul2019'!AL8/'Tariffs Jul2019'!AJ8&lt;'Tariffs Jul2019'!J8,0,IF($C$5*'Tariffs Jul2019'!AL8/'Tariffs Jul2019'!AJ8&lt;='Tariffs Jul2019'!K8,($C$5*'Tariffs Jul2019'!AL8/'Tariffs Jul2019'!AJ8-'Tariffs Jul2019'!J8)*('Tariffs Jul2019'!V8/100)*'Tariffs Jul2019'!AJ8,('Tariffs Jul2019'!K8-'Tariffs Jul2019'!J8)*('Tariffs Jul2019'!V8/100)*'Tariffs Jul2019'!AJ8))</f>
        <v>165.60000000000002</v>
      </c>
      <c r="L14" s="59">
        <f>IF($C$5*'Tariffs Jul2019'!AL8/'Tariffs Jul2019'!AJ8&lt;'Tariffs Jul2019'!K8,0,IF($C$5*'Tariffs Jul2019'!AL8/'Tariffs Jul2019'!AJ8&lt;='Tariffs Jul2019'!L8,($C$5*'Tariffs Jul2019'!AL8/'Tariffs Jul2019'!AJ8-'Tariffs Jul2019'!K8)*('Tariffs Jul2019'!W8/100)*'Tariffs Jul2019'!AJ8,('Tariffs Jul2019'!L8-'Tariffs Jul2019'!K8)*('Tariffs Jul2019'!W8/100)*'Tariffs Jul2019'!AJ8))</f>
        <v>145.80000000000001</v>
      </c>
      <c r="M14" s="59">
        <f>IF($C$5*'Tariffs Jul2019'!AL8/'Tariffs Jul2019'!AJ8&lt;'Tariffs Jul2019'!L8,0,IF($C$5*'Tariffs Jul2019'!AL8/'Tariffs Jul2019'!AJ8&lt;='Tariffs Jul2019'!M8,($C$5*'Tariffs Jul2019'!AL8/'Tariffs Jul2019'!AJ8-'Tariffs Jul2019'!L8)*('Tariffs Jul2019'!X8/100)*'Tariffs Jul2019'!AJ8,('Tariffs Jul2019'!M8-'Tariffs Jul2019'!L8)*('Tariffs Jul2019'!X8/100)*'Tariffs Jul2019'!AJ8))</f>
        <v>69.300000000000011</v>
      </c>
      <c r="N14" s="59">
        <f>IF(($C$5*'Tariffs Jul2019'!AL8/'Tariffs Jul2019'!AJ8&gt;'Tariffs Jul2019'!M8),($C$5*'Tariffs Jul2019'!AL8/'Tariffs Jul2019'!AJ8-'Tariffs Jul2019'!M8)*'Tariffs Jul2019'!Y8/100*'Tariffs Jul2019'!AJ8,0)</f>
        <v>0</v>
      </c>
      <c r="O14" s="271">
        <f t="shared" si="0"/>
        <v>1147.05</v>
      </c>
      <c r="P14" s="413">
        <f t="shared" si="1"/>
        <v>1261.7550000000001</v>
      </c>
      <c r="Q14" s="59">
        <f t="shared" si="2"/>
        <v>1384.3</v>
      </c>
      <c r="R14" s="272">
        <f t="shared" si="3"/>
        <v>1522.73</v>
      </c>
      <c r="S14" s="40">
        <f>'Tariffs Jul2019'!AN8</f>
        <v>0</v>
      </c>
      <c r="T14" s="40">
        <f>'Tariffs Jul2019'!AO8</f>
        <v>0</v>
      </c>
      <c r="U14" s="40">
        <f>'Tariffs Jul2019'!AP8</f>
        <v>3</v>
      </c>
      <c r="V14" s="40">
        <f>'Tariffs Jul2019'!AQ8</f>
        <v>0</v>
      </c>
      <c r="W14" s="273">
        <f t="shared" si="5"/>
        <v>1384.3</v>
      </c>
      <c r="X14" s="273">
        <f>W14-(Q14*U14/100)</f>
        <v>1342.771</v>
      </c>
      <c r="Y14" s="272">
        <f t="shared" si="4"/>
        <v>1522.73</v>
      </c>
      <c r="Z14" s="272">
        <f t="shared" si="4"/>
        <v>1477.0481</v>
      </c>
      <c r="AA14" s="274">
        <f>'Tariffs Jul2019'!AZ8</f>
        <v>0</v>
      </c>
      <c r="AB14" s="274" t="str">
        <f>'Tariffs Jul2019'!BA8</f>
        <v>n</v>
      </c>
      <c r="AC14" s="275" t="str">
        <f>'Tariffs Jul2019'!BJ8</f>
        <v>N</v>
      </c>
      <c r="AD14" s="398"/>
      <c r="AE14" s="398"/>
      <c r="AF14" s="398"/>
      <c r="AG14" s="398"/>
      <c r="AH14" s="398"/>
      <c r="AI14" s="398"/>
      <c r="AJ14" s="398"/>
      <c r="AK14" s="398"/>
      <c r="AL14" s="398"/>
      <c r="AM14" s="398"/>
      <c r="AN14" s="398"/>
    </row>
    <row r="15" spans="1:40" x14ac:dyDescent="0.15">
      <c r="A15" s="270" t="str">
        <f>'Tariffs Jul2019'!F9</f>
        <v>Momentum Energy</v>
      </c>
      <c r="B15" s="40" t="str">
        <f>'Tariffs Jul2019'!D9</f>
        <v>Multinet Metro 1</v>
      </c>
      <c r="C15" s="40" t="str">
        <f>'Tariffs Jul2019'!G9</f>
        <v>Market offer</v>
      </c>
      <c r="D15" s="59">
        <f>365*'Tariffs Jul2019'!H9/100</f>
        <v>297.25599999999997</v>
      </c>
      <c r="E15" s="59">
        <f>IF($C$5*'Tariffs Jul2019'!AK9/'Tariffs Jul2019'!AI9&gt;='Tariffs Jul2019'!J9,( 'Tariffs Jul2019'!J9*'Tariffs Jul2019'!O9/100)* 'Tariffs Jul2019'!AI9,($C$5*'Tariffs Jul2019'!AK9/'Tariffs Jul2019'!AI9*'Tariffs Jul2019'!O9/100)* 'Tariffs Jul2019'!AI9)</f>
        <v>167.22</v>
      </c>
      <c r="F15" s="59">
        <f>IF($C$5*'Tariffs Jul2019'!AK9/'Tariffs Jul2019'!AI9&lt;'Tariffs Jul2019'!J9,0,IF($C$5*'Tariffs Jul2019'!AK9/'Tariffs Jul2019'!AI9&lt;='Tariffs Jul2019'!K9,($C$5*'Tariffs Jul2019'!AK9/'Tariffs Jul2019'!AI9-'Tariffs Jul2019'!J9)*('Tariffs Jul2019'!P9/100)*'Tariffs Jul2019'!AI9,('Tariffs Jul2019'!K9-'Tariffs Jul2019'!J9)*('Tariffs Jul2019'!P9/100)*'Tariffs Jul2019'!AI9))</f>
        <v>152.72999999999999</v>
      </c>
      <c r="G15" s="59">
        <f>IF($C$5*'Tariffs Jul2019'!AK9/'Tariffs Jul2019'!AI9&lt;'Tariffs Jul2019'!K9,0,IF($C$5*'Tariffs Jul2019'!AK9/'Tariffs Jul2019'!AI9&lt;='Tariffs Jul2019'!L9,($C$5*'Tariffs Jul2019'!AK9/'Tariffs Jul2019'!AI9-'Tariffs Jul2019'!K9)*('Tariffs Jul2019'!Q9/100)*'Tariffs Jul2019'!AI9,('Tariffs Jul2019'!L9-'Tariffs Jul2019'!K9)*('Tariffs Jul2019'!Q9/100)*'Tariffs Jul2019'!AI9))</f>
        <v>135.18</v>
      </c>
      <c r="H15" s="59">
        <f>IF($C$5*'Tariffs Jul2019'!AK9/'Tariffs Jul2019'!AI9&lt;'Tariffs Jul2019'!L9,0,IF($C$5*'Tariffs Jul2019'!AK9/'Tariffs Jul2019'!AI9&lt;='Tariffs Jul2019'!M9,($C$5*'Tariffs Jul2019'!AK9/'Tariffs Jul2019'!AI9-'Tariffs Jul2019'!L9)*('Tariffs Jul2019'!R9/100)*'Tariffs Jul2019'!AI9,('Tariffs Jul2019'!M9-'Tariffs Jul2019'!L9)*('Tariffs Jul2019'!R9/100)*'Tariffs Jul2019'!AI9))</f>
        <v>62.91</v>
      </c>
      <c r="I15" s="59">
        <f>IF(($C$5*'Tariffs Jul2019'!AK9/'Tariffs Jul2019'!AI9&gt;'Tariffs Jul2019'!M9),($C$5*'Tariffs Jul2019'!AK9/'Tariffs Jul2019'!AI9-'Tariffs Jul2019'!M9)*'Tariffs Jul2019'!S9/100*'Tariffs Jul2019'!AI9,0)</f>
        <v>0</v>
      </c>
      <c r="J15" s="59">
        <f>IF($C$5*'Tariffs Jul2019'!AL9/'Tariffs Jul2019'!AJ9&gt;='Tariffs Jul2019'!J9,('Tariffs Jul2019'!J9*'Tariffs Jul2019'!U9/100)* 'Tariffs Jul2019'!AJ9,($C$5*'Tariffs Jul2019'!AL9/'Tariffs Jul2019'!AJ9*'Tariffs Jul2019'!U9/100)* 'Tariffs Jul2019'!AJ9)</f>
        <v>154.35000000000002</v>
      </c>
      <c r="K15" s="59">
        <f>IF($C$5*'Tariffs Jul2019'!AL9/'Tariffs Jul2019'!AJ9&lt;'Tariffs Jul2019'!J9,0,IF($C$5*'Tariffs Jul2019'!AL9/'Tariffs Jul2019'!AJ9&lt;='Tariffs Jul2019'!K9,($C$5*'Tariffs Jul2019'!AL9/'Tariffs Jul2019'!AJ9-'Tariffs Jul2019'!J9)*('Tariffs Jul2019'!V9/100)*'Tariffs Jul2019'!AJ9,('Tariffs Jul2019'!K9-'Tariffs Jul2019'!J9)*('Tariffs Jul2019'!V9/100)*'Tariffs Jul2019'!AJ9))</f>
        <v>142.20000000000002</v>
      </c>
      <c r="L15" s="59">
        <f>IF($C$5*'Tariffs Jul2019'!AL9/'Tariffs Jul2019'!AJ9&lt;'Tariffs Jul2019'!K9,0,IF($C$5*'Tariffs Jul2019'!AL9/'Tariffs Jul2019'!AJ9&lt;='Tariffs Jul2019'!L9,($C$5*'Tariffs Jul2019'!AL9/'Tariffs Jul2019'!AJ9-'Tariffs Jul2019'!K9)*('Tariffs Jul2019'!W9/100)*'Tariffs Jul2019'!AJ9,('Tariffs Jul2019'!L9-'Tariffs Jul2019'!K9)*('Tariffs Jul2019'!W9/100)*'Tariffs Jul2019'!AJ9))</f>
        <v>127.26</v>
      </c>
      <c r="M15" s="59">
        <f>IF($C$5*'Tariffs Jul2019'!AL9/'Tariffs Jul2019'!AJ9&lt;'Tariffs Jul2019'!L9,0,IF($C$5*'Tariffs Jul2019'!AL9/'Tariffs Jul2019'!AJ9&lt;='Tariffs Jul2019'!M9,($C$5*'Tariffs Jul2019'!AL9/'Tariffs Jul2019'!AJ9-'Tariffs Jul2019'!L9)*('Tariffs Jul2019'!X9/100)*'Tariffs Jul2019'!AJ9,('Tariffs Jul2019'!M9-'Tariffs Jul2019'!L9)*('Tariffs Jul2019'!X9/100)*'Tariffs Jul2019'!AJ9))</f>
        <v>59.67</v>
      </c>
      <c r="N15" s="59">
        <f>IF(($C$5*'Tariffs Jul2019'!AL9/'Tariffs Jul2019'!AJ9&gt;'Tariffs Jul2019'!M9),($C$5*'Tariffs Jul2019'!AL9/'Tariffs Jul2019'!AJ9-'Tariffs Jul2019'!M9)*'Tariffs Jul2019'!Y9/100*'Tariffs Jul2019'!AJ9,0)</f>
        <v>0</v>
      </c>
      <c r="O15" s="271">
        <f t="shared" si="0"/>
        <v>1001.52</v>
      </c>
      <c r="P15" s="413">
        <f t="shared" si="1"/>
        <v>1101.672</v>
      </c>
      <c r="Q15" s="59">
        <f t="shared" si="2"/>
        <v>1298.7759999999998</v>
      </c>
      <c r="R15" s="272">
        <f t="shared" si="3"/>
        <v>1428.6535999999999</v>
      </c>
      <c r="S15" s="40">
        <f>'Tariffs Jul2019'!AN9</f>
        <v>0</v>
      </c>
      <c r="T15" s="40">
        <f>'Tariffs Jul2019'!AO9</f>
        <v>0</v>
      </c>
      <c r="U15" s="40">
        <f>'Tariffs Jul2019'!AP9</f>
        <v>0</v>
      </c>
      <c r="V15" s="40">
        <f>'Tariffs Jul2019'!AQ9</f>
        <v>0</v>
      </c>
      <c r="W15" s="273">
        <f t="shared" si="5"/>
        <v>1298.7759999999998</v>
      </c>
      <c r="X15" s="273">
        <f>W15</f>
        <v>1298.7759999999998</v>
      </c>
      <c r="Y15" s="272">
        <f t="shared" si="4"/>
        <v>1428.6535999999999</v>
      </c>
      <c r="Z15" s="272">
        <f t="shared" si="4"/>
        <v>1428.6535999999999</v>
      </c>
      <c r="AA15" s="274">
        <f>'Tariffs Jul2019'!AZ9</f>
        <v>0</v>
      </c>
      <c r="AB15" s="274" t="str">
        <f>'Tariffs Jul2019'!BA9</f>
        <v>n</v>
      </c>
      <c r="AC15" s="275" t="str">
        <f>'Tariffs Jul2019'!BJ9</f>
        <v>Y</v>
      </c>
      <c r="AD15" s="398"/>
      <c r="AE15" s="398"/>
      <c r="AF15" s="398"/>
      <c r="AG15" s="398"/>
      <c r="AH15" s="398"/>
      <c r="AI15" s="398"/>
      <c r="AJ15" s="398"/>
      <c r="AK15" s="398"/>
      <c r="AL15" s="398"/>
      <c r="AM15" s="398"/>
      <c r="AN15" s="398"/>
    </row>
    <row r="16" spans="1:40" x14ac:dyDescent="0.15">
      <c r="A16" s="270" t="str">
        <f>'Tariffs Jul2019'!F10</f>
        <v>Origin Energy</v>
      </c>
      <c r="B16" s="40" t="str">
        <f>'Tariffs Jul2019'!D10</f>
        <v>Multinet Metro 1</v>
      </c>
      <c r="C16" s="40" t="str">
        <f>'Tariffs Jul2019'!G10</f>
        <v>Flexi</v>
      </c>
      <c r="D16" s="59">
        <f>365*'Tariffs Jul2019'!H10/100</f>
        <v>255.5</v>
      </c>
      <c r="E16" s="59">
        <f>IF($C$5*'Tariffs Jul2019'!AK10/'Tariffs Jul2019'!AI10&gt;='Tariffs Jul2019'!J10,( 'Tariffs Jul2019'!J10*'Tariffs Jul2019'!O10/100)* 'Tariffs Jul2019'!AI10,($C$5*'Tariffs Jul2019'!AK10/'Tariffs Jul2019'!AI10*'Tariffs Jul2019'!O10/100)* 'Tariffs Jul2019'!AI10)</f>
        <v>432</v>
      </c>
      <c r="F16" s="59">
        <f>IF($C$5*'Tariffs Jul2019'!AK10/'Tariffs Jul2019'!AI10&lt;'Tariffs Jul2019'!J10,0,IF($C$5*'Tariffs Jul2019'!AK10/'Tariffs Jul2019'!AI10&lt;='Tariffs Jul2019'!K10,($C$5*'Tariffs Jul2019'!AK10/'Tariffs Jul2019'!AI10-'Tariffs Jul2019'!J10)*('Tariffs Jul2019'!P10/100)*'Tariffs Jul2019'!AI10,('Tariffs Jul2019'!K10-'Tariffs Jul2019'!J10)*('Tariffs Jul2019'!P10/100)*'Tariffs Jul2019'!AI10))</f>
        <v>175.5</v>
      </c>
      <c r="G16" s="59">
        <f>IF($C$5*'Tariffs Jul2019'!AK10/'Tariffs Jul2019'!AI10&lt;'Tariffs Jul2019'!K10,0,IF($C$5*'Tariffs Jul2019'!AK10/'Tariffs Jul2019'!AI10&lt;='Tariffs Jul2019'!L10,($C$5*'Tariffs Jul2019'!AK10/'Tariffs Jul2019'!AI10-'Tariffs Jul2019'!K10)*('Tariffs Jul2019'!Q10/100)*'Tariffs Jul2019'!AI10,('Tariffs Jul2019'!L10-'Tariffs Jul2019'!K10)*('Tariffs Jul2019'!Q10/100)*'Tariffs Jul2019'!AI10))</f>
        <v>0</v>
      </c>
      <c r="H16" s="59">
        <f>IF($C$5*'Tariffs Jul2019'!AK10/'Tariffs Jul2019'!AI10&lt;'Tariffs Jul2019'!L10,0,IF($C$5*'Tariffs Jul2019'!AK10/'Tariffs Jul2019'!AI10&lt;='Tariffs Jul2019'!M10,($C$5*'Tariffs Jul2019'!AK10/'Tariffs Jul2019'!AI10-'Tariffs Jul2019'!L10)*('Tariffs Jul2019'!R10/100)*'Tariffs Jul2019'!AI10,('Tariffs Jul2019'!M10-'Tariffs Jul2019'!L10)*('Tariffs Jul2019'!R10/100)*'Tariffs Jul2019'!AI10))</f>
        <v>0</v>
      </c>
      <c r="I16" s="59">
        <f>IF(($C$5*'Tariffs Jul2019'!AK10/'Tariffs Jul2019'!AI10&gt;'Tariffs Jul2019'!M10),($C$5*'Tariffs Jul2019'!AK10/'Tariffs Jul2019'!AI10-'Tariffs Jul2019'!M10)*'Tariffs Jul2019'!S10/100*'Tariffs Jul2019'!AI10,0)</f>
        <v>65.25</v>
      </c>
      <c r="J16" s="59">
        <f>IF($C$5*'Tariffs Jul2019'!AL10/'Tariffs Jul2019'!AJ10&gt;='Tariffs Jul2019'!J10,('Tariffs Jul2019'!J10*'Tariffs Jul2019'!U10/100)* 'Tariffs Jul2019'!AJ10,($C$5*'Tariffs Jul2019'!AL10/'Tariffs Jul2019'!AJ10*'Tariffs Jul2019'!U10/100)* 'Tariffs Jul2019'!AJ10)</f>
        <v>396.00000000000011</v>
      </c>
      <c r="K16" s="59">
        <f>IF($C$5*'Tariffs Jul2019'!AL10/'Tariffs Jul2019'!AJ10&lt;'Tariffs Jul2019'!J10,0,IF($C$5*'Tariffs Jul2019'!AL10/'Tariffs Jul2019'!AJ10&lt;='Tariffs Jul2019'!K10,($C$5*'Tariffs Jul2019'!AL10/'Tariffs Jul2019'!AJ10-'Tariffs Jul2019'!J10)*('Tariffs Jul2019'!V10/100)*'Tariffs Jul2019'!AJ10,('Tariffs Jul2019'!K10-'Tariffs Jul2019'!J10)*('Tariffs Jul2019'!V10/100)*'Tariffs Jul2019'!AJ10))</f>
        <v>157.50000000000003</v>
      </c>
      <c r="L16" s="59">
        <f>IF($C$5*'Tariffs Jul2019'!AL10/'Tariffs Jul2019'!AJ10&lt;'Tariffs Jul2019'!K10,0,IF($C$5*'Tariffs Jul2019'!AL10/'Tariffs Jul2019'!AJ10&lt;='Tariffs Jul2019'!L10,($C$5*'Tariffs Jul2019'!AL10/'Tariffs Jul2019'!AJ10-'Tariffs Jul2019'!K10)*('Tariffs Jul2019'!W10/100)*'Tariffs Jul2019'!AJ10,('Tariffs Jul2019'!L10-'Tariffs Jul2019'!K10)*('Tariffs Jul2019'!W10/100)*'Tariffs Jul2019'!AJ10))</f>
        <v>0</v>
      </c>
      <c r="M16" s="59">
        <f>IF($C$5*'Tariffs Jul2019'!AL10/'Tariffs Jul2019'!AJ10&lt;'Tariffs Jul2019'!L10,0,IF($C$5*'Tariffs Jul2019'!AL10/'Tariffs Jul2019'!AJ10&lt;='Tariffs Jul2019'!M10,($C$5*'Tariffs Jul2019'!AL10/'Tariffs Jul2019'!AJ10-'Tariffs Jul2019'!L10)*('Tariffs Jul2019'!X10/100)*'Tariffs Jul2019'!AJ10,('Tariffs Jul2019'!M10-'Tariffs Jul2019'!L10)*('Tariffs Jul2019'!X10/100)*'Tariffs Jul2019'!AJ10))</f>
        <v>0</v>
      </c>
      <c r="N16" s="59">
        <f>IF(($C$5*'Tariffs Jul2019'!AL10/'Tariffs Jul2019'!AJ10&gt;'Tariffs Jul2019'!M10),($C$5*'Tariffs Jul2019'!AL10/'Tariffs Jul2019'!AJ10-'Tariffs Jul2019'!M10)*'Tariffs Jul2019'!Y10/100*'Tariffs Jul2019'!AJ10,0)</f>
        <v>60.750000000000014</v>
      </c>
      <c r="O16" s="271">
        <f t="shared" si="0"/>
        <v>1287</v>
      </c>
      <c r="P16" s="413">
        <f t="shared" si="1"/>
        <v>1415.7</v>
      </c>
      <c r="Q16" s="59">
        <f t="shared" si="2"/>
        <v>1542.5</v>
      </c>
      <c r="R16" s="272">
        <f t="shared" si="3"/>
        <v>1696.7500000000002</v>
      </c>
      <c r="S16" s="40">
        <f>'Tariffs Jul2019'!AN10</f>
        <v>10</v>
      </c>
      <c r="T16" s="40">
        <f>'Tariffs Jul2019'!AO10</f>
        <v>0</v>
      </c>
      <c r="U16" s="40">
        <f>'Tariffs Jul2019'!AP10</f>
        <v>0</v>
      </c>
      <c r="V16" s="40">
        <f>'Tariffs Jul2019'!AQ10</f>
        <v>0</v>
      </c>
      <c r="W16" s="273">
        <f>R16-(R16*S16/100)</f>
        <v>1527.0750000000003</v>
      </c>
      <c r="X16" s="273">
        <f>W16</f>
        <v>1527.0750000000003</v>
      </c>
      <c r="Y16" s="272">
        <f>W16</f>
        <v>1527.0750000000003</v>
      </c>
      <c r="Z16" s="272">
        <f>X16</f>
        <v>1527.0750000000003</v>
      </c>
      <c r="AA16" s="274">
        <f>'Tariffs Jul2019'!AZ10</f>
        <v>0</v>
      </c>
      <c r="AB16" s="274" t="str">
        <f>'Tariffs Jul2019'!BA10</f>
        <v>n</v>
      </c>
      <c r="AC16" s="275" t="str">
        <f>'Tariffs Jul2019'!BJ10</f>
        <v>N</v>
      </c>
      <c r="AD16" s="398"/>
      <c r="AE16" s="398"/>
      <c r="AF16" s="398"/>
      <c r="AG16" s="398"/>
      <c r="AH16" s="398"/>
      <c r="AI16" s="398"/>
      <c r="AJ16" s="398"/>
      <c r="AK16" s="398"/>
      <c r="AL16" s="398"/>
      <c r="AM16" s="398"/>
      <c r="AN16" s="398"/>
    </row>
    <row r="17" spans="1:40" x14ac:dyDescent="0.15">
      <c r="A17" s="270" t="str">
        <f>'Tariffs Jul2019'!F11</f>
        <v>Red Energy</v>
      </c>
      <c r="B17" s="40" t="str">
        <f>'Tariffs Jul2019'!D11</f>
        <v>Multinet Metro 1</v>
      </c>
      <c r="C17" s="40" t="str">
        <f>'Tariffs Jul2019'!G11</f>
        <v>Easy Saver</v>
      </c>
      <c r="D17" s="59">
        <f>365*'Tariffs Jul2019'!H11/100</f>
        <v>256.96000000000004</v>
      </c>
      <c r="E17" s="59">
        <f>IF($C$5*'Tariffs Jul2019'!AK11/'Tariffs Jul2019'!AI11&gt;='Tariffs Jul2019'!J11,( 'Tariffs Jul2019'!J11*'Tariffs Jul2019'!O11/100)* 'Tariffs Jul2019'!AI11,($C$5*'Tariffs Jul2019'!AK11/'Tariffs Jul2019'!AI11*'Tariffs Jul2019'!O11/100)* 'Tariffs Jul2019'!AI11)</f>
        <v>396.00000000000011</v>
      </c>
      <c r="F17" s="59">
        <f>IF($C$5*'Tariffs Jul2019'!AK11/'Tariffs Jul2019'!AI11&lt;'Tariffs Jul2019'!J11,0,IF($C$5*'Tariffs Jul2019'!AK11/'Tariffs Jul2019'!AI11&lt;='Tariffs Jul2019'!K11,($C$5*'Tariffs Jul2019'!AK11/'Tariffs Jul2019'!AI11-'Tariffs Jul2019'!J11)*('Tariffs Jul2019'!P11/100)*'Tariffs Jul2019'!AI11,('Tariffs Jul2019'!K11-'Tariffs Jul2019'!J11)*('Tariffs Jul2019'!P11/100)*'Tariffs Jul2019'!AI11))</f>
        <v>166.50000000000003</v>
      </c>
      <c r="G17" s="59">
        <f>IF($C$5*'Tariffs Jul2019'!AK11/'Tariffs Jul2019'!AI11&lt;'Tariffs Jul2019'!K11,0,IF($C$5*'Tariffs Jul2019'!AK11/'Tariffs Jul2019'!AI11&lt;='Tariffs Jul2019'!L11,($C$5*'Tariffs Jul2019'!AK11/'Tariffs Jul2019'!AI11-'Tariffs Jul2019'!K11)*('Tariffs Jul2019'!S11/100)*'Tariffs Jul2019'!AI11,('Tariffs Jul2019'!L11-'Tariffs Jul2019'!K11)*('Tariffs Jul2019'!S11/100)*'Tariffs Jul2019'!AI11))</f>
        <v>0</v>
      </c>
      <c r="H17" s="59">
        <f>IF($C$5*'Tariffs Jul2019'!AK11/'Tariffs Jul2019'!AI11&lt;'Tariffs Jul2019'!L11,0,IF($C$5*'Tariffs Jul2019'!AK11/'Tariffs Jul2019'!AI11&lt;='Tariffs Jul2019'!M11,($C$5*'Tariffs Jul2019'!AK11/'Tariffs Jul2019'!AI11-'Tariffs Jul2019'!L11)*('Tariffs Jul2019'!R11/100)*'Tariffs Jul2019'!AI11,('Tariffs Jul2019'!M11-'Tariffs Jul2019'!L11)*('Tariffs Jul2019'!R11/100)*'Tariffs Jul2019'!AI11))</f>
        <v>0</v>
      </c>
      <c r="I17" s="59">
        <f>IF(($C$5*'Tariffs Jul2019'!AK11/'Tariffs Jul2019'!AI11&gt;'Tariffs Jul2019'!M11),($C$5*'Tariffs Jul2019'!AK11/'Tariffs Jul2019'!AI11-'Tariffs Jul2019'!M11)*'Tariffs Jul2019'!S11/100*'Tariffs Jul2019'!AI11,0)</f>
        <v>72.900000000000006</v>
      </c>
      <c r="J17" s="59">
        <f>IF($C$5*'Tariffs Jul2019'!AL11/'Tariffs Jul2019'!AJ11&gt;='Tariffs Jul2019'!J11,('Tariffs Jul2019'!J11*'Tariffs Jul2019'!U11/100)* 'Tariffs Jul2019'!AJ11,($C$5*'Tariffs Jul2019'!AL11/'Tariffs Jul2019'!AJ11*'Tariffs Jul2019'!U11/100)* 'Tariffs Jul2019'!AJ11)</f>
        <v>378</v>
      </c>
      <c r="K17" s="59">
        <f>IF($C$5*'Tariffs Jul2019'!AL11/'Tariffs Jul2019'!AJ11&lt;'Tariffs Jul2019'!J11,0,IF($C$5*'Tariffs Jul2019'!AL11/'Tariffs Jul2019'!AJ11&lt;='Tariffs Jul2019'!K11,($C$5*'Tariffs Jul2019'!AL11/'Tariffs Jul2019'!AJ11-'Tariffs Jul2019'!J11)*('Tariffs Jul2019'!V11/100)*'Tariffs Jul2019'!AJ11,('Tariffs Jul2019'!K11-'Tariffs Jul2019'!J11)*('Tariffs Jul2019'!V11/100)*'Tariffs Jul2019'!AJ11))</f>
        <v>151.19999999999999</v>
      </c>
      <c r="L17" s="59">
        <f>IF($C$5*'Tariffs Jul2019'!AL11/'Tariffs Jul2019'!AJ11&lt;'Tariffs Jul2019'!K11,0,IF($C$5*'Tariffs Jul2019'!AL11/'Tariffs Jul2019'!AJ11&lt;='Tariffs Jul2019'!L11,($C$5*'Tariffs Jul2019'!AL11/'Tariffs Jul2019'!AJ11-'Tariffs Jul2019'!K11)*('Tariffs Jul2019'!Y11/100)*'Tariffs Jul2019'!AJ11,('Tariffs Jul2019'!L11-'Tariffs Jul2019'!K11)*('Tariffs Jul2019'!Y11/100)*'Tariffs Jul2019'!AJ11))</f>
        <v>0</v>
      </c>
      <c r="M17" s="59">
        <f>IF($C$5*'Tariffs Jul2019'!AL11/'Tariffs Jul2019'!AJ11&lt;'Tariffs Jul2019'!L11,0,IF($C$5*'Tariffs Jul2019'!AL11/'Tariffs Jul2019'!AJ11&lt;='Tariffs Jul2019'!M11,($C$5*'Tariffs Jul2019'!AL11/'Tariffs Jul2019'!AJ11-'Tariffs Jul2019'!L11)*('Tariffs Jul2019'!X11/100)*'Tariffs Jul2019'!AJ11,('Tariffs Jul2019'!M11-'Tariffs Jul2019'!L11)*('Tariffs Jul2019'!X11/100)*'Tariffs Jul2019'!AJ11))</f>
        <v>0</v>
      </c>
      <c r="N17" s="59">
        <f>IF(($C$5*'Tariffs Jul2019'!AL11/'Tariffs Jul2019'!AJ11&gt;'Tariffs Jul2019'!M11),($C$5*'Tariffs Jul2019'!AL11/'Tariffs Jul2019'!AJ11-'Tariffs Jul2019'!M11)*'Tariffs Jul2019'!Y11/100*'Tariffs Jul2019'!AJ11,0)</f>
        <v>67.949999999999989</v>
      </c>
      <c r="O17" s="271">
        <f t="shared" si="0"/>
        <v>1232.5500000000002</v>
      </c>
      <c r="P17" s="413">
        <f t="shared" si="1"/>
        <v>1355.8050000000003</v>
      </c>
      <c r="Q17" s="59">
        <f t="shared" si="2"/>
        <v>1489.5100000000002</v>
      </c>
      <c r="R17" s="272">
        <f t="shared" si="3"/>
        <v>1638.4610000000005</v>
      </c>
      <c r="S17" s="40">
        <f>'Tariffs Jul2019'!AN11</f>
        <v>0</v>
      </c>
      <c r="T17" s="40">
        <f>'Tariffs Jul2019'!AO11</f>
        <v>0</v>
      </c>
      <c r="U17" s="40">
        <f>'Tariffs Jul2019'!AP11</f>
        <v>10</v>
      </c>
      <c r="V17" s="40">
        <f>'Tariffs Jul2019'!AQ11</f>
        <v>0</v>
      </c>
      <c r="W17" s="273">
        <f>R17</f>
        <v>1638.4610000000005</v>
      </c>
      <c r="X17" s="273">
        <f>W17-(W17*U17/100)</f>
        <v>1474.6149000000005</v>
      </c>
      <c r="Y17" s="272">
        <f>W17</f>
        <v>1638.4610000000005</v>
      </c>
      <c r="Z17" s="272">
        <f>X17</f>
        <v>1474.6149000000005</v>
      </c>
      <c r="AA17" s="274">
        <f>'Tariffs Jul2019'!AZ11</f>
        <v>0</v>
      </c>
      <c r="AB17" s="274" t="str">
        <f>'Tariffs Jul2019'!BA11</f>
        <v>n</v>
      </c>
      <c r="AC17" s="275" t="str">
        <f>'Tariffs Jul2019'!BJ11</f>
        <v>N</v>
      </c>
      <c r="AD17" s="398"/>
      <c r="AE17" s="398"/>
      <c r="AF17" s="398"/>
      <c r="AG17" s="398"/>
      <c r="AH17" s="398"/>
      <c r="AI17" s="398"/>
      <c r="AJ17" s="398"/>
      <c r="AK17" s="398"/>
      <c r="AL17" s="398"/>
      <c r="AM17" s="398"/>
      <c r="AN17" s="398"/>
    </row>
    <row r="18" spans="1:40" x14ac:dyDescent="0.15">
      <c r="A18" s="270" t="str">
        <f>'Tariffs Jul2019'!F12</f>
        <v>Simply Energy</v>
      </c>
      <c r="B18" s="40" t="str">
        <f>'Tariffs Jul2019'!D12</f>
        <v>Multinet Metro 1</v>
      </c>
      <c r="C18" s="40" t="str">
        <f>'Tariffs Jul2019'!G12</f>
        <v>Plus</v>
      </c>
      <c r="D18" s="59">
        <f>365*'Tariffs Jul2019'!H12/100</f>
        <v>283.80409090909086</v>
      </c>
      <c r="E18" s="59">
        <f>IF($C$5*'Tariffs Jul2019'!AK12/'Tariffs Jul2019'!AI12&gt;='Tariffs Jul2019'!J12,( 'Tariffs Jul2019'!J12*'Tariffs Jul2019'!O12/100)* 'Tariffs Jul2019'!AI12,($C$5*'Tariffs Jul2019'!AK12/'Tariffs Jul2019'!AI12*'Tariffs Jul2019'!O12/100)* 'Tariffs Jul2019'!AI12)</f>
        <v>201.54545454545456</v>
      </c>
      <c r="F18" s="59">
        <f>IF($C$5*'Tariffs Jul2019'!AK12/'Tariffs Jul2019'!AI12&lt;'Tariffs Jul2019'!J12,0,IF($C$5*'Tariffs Jul2019'!AK12/'Tariffs Jul2019'!AI12&lt;='Tariffs Jul2019'!K12,($C$5*'Tariffs Jul2019'!AK12/'Tariffs Jul2019'!AI12-'Tariffs Jul2019'!J12)*('Tariffs Jul2019'!P12/100)*'Tariffs Jul2019'!AI12,('Tariffs Jul2019'!K12-'Tariffs Jul2019'!J12)*('Tariffs Jul2019'!P12/100)*'Tariffs Jul2019'!AI12))</f>
        <v>175.63636363636363</v>
      </c>
      <c r="G18" s="59">
        <f>IF($C$5*'Tariffs Jul2019'!AK12/'Tariffs Jul2019'!AI12&lt;'Tariffs Jul2019'!K12,0,IF($C$5*'Tariffs Jul2019'!AK12/'Tariffs Jul2019'!AI12&lt;='Tariffs Jul2019'!L12,($C$5*'Tariffs Jul2019'!AK12/'Tariffs Jul2019'!AI12-'Tariffs Jul2019'!K12)*('Tariffs Jul2019'!Q12/100)*'Tariffs Jul2019'!AI12,('Tariffs Jul2019'!L12-'Tariffs Jul2019'!K12)*('Tariffs Jul2019'!Q12/100)*'Tariffs Jul2019'!AI12))</f>
        <v>148.09090909090907</v>
      </c>
      <c r="H18" s="59">
        <f>IF($C$5*'Tariffs Jul2019'!AK12/'Tariffs Jul2019'!AI12&lt;'Tariffs Jul2019'!L12,0,IF($C$5*'Tariffs Jul2019'!AK12/'Tariffs Jul2019'!AI12&lt;='Tariffs Jul2019'!M12,($C$5*'Tariffs Jul2019'!AK12/'Tariffs Jul2019'!AI12-'Tariffs Jul2019'!L12)*('Tariffs Jul2019'!R12/100)*'Tariffs Jul2019'!AI12,('Tariffs Jul2019'!M12-'Tariffs Jul2019'!L12)*('Tariffs Jul2019'!R12/100)*'Tariffs Jul2019'!AI12))</f>
        <v>66.545454545454533</v>
      </c>
      <c r="I18" s="59">
        <f>IF(($C$5*'Tariffs Jul2019'!AK12/'Tariffs Jul2019'!AI12&gt;'Tariffs Jul2019'!M12),($C$5*'Tariffs Jul2019'!AK12/'Tariffs Jul2019'!AI12-'Tariffs Jul2019'!M12)*'Tariffs Jul2019'!S12/100*'Tariffs Jul2019'!AI12,0)</f>
        <v>0</v>
      </c>
      <c r="J18" s="59">
        <f>IF($C$5*'Tariffs Jul2019'!AL12/'Tariffs Jul2019'!AJ12&gt;='Tariffs Jul2019'!J12,('Tariffs Jul2019'!J12*'Tariffs Jul2019'!U12/100)* 'Tariffs Jul2019'!AJ12,($C$5*'Tariffs Jul2019'!AL12/'Tariffs Jul2019'!AJ12*'Tariffs Jul2019'!U12/100)* 'Tariffs Jul2019'!AJ12)</f>
        <v>190.63636363636363</v>
      </c>
      <c r="K18" s="59">
        <f>IF($C$5*'Tariffs Jul2019'!AL12/'Tariffs Jul2019'!AJ12&lt;'Tariffs Jul2019'!J12,0,IF($C$5*'Tariffs Jul2019'!AL12/'Tariffs Jul2019'!AJ12&lt;='Tariffs Jul2019'!K12,($C$5*'Tariffs Jul2019'!AL12/'Tariffs Jul2019'!AJ12-'Tariffs Jul2019'!J12)*('Tariffs Jul2019'!V12/100)*'Tariffs Jul2019'!AJ12,('Tariffs Jul2019'!K12-'Tariffs Jul2019'!J12)*('Tariffs Jul2019'!V12/100)*'Tariffs Jul2019'!AJ12))</f>
        <v>167.72727272727269</v>
      </c>
      <c r="L18" s="59">
        <f>IF($C$5*'Tariffs Jul2019'!AL12/'Tariffs Jul2019'!AJ12&lt;'Tariffs Jul2019'!K12,0,IF($C$5*'Tariffs Jul2019'!AL12/'Tariffs Jul2019'!AJ12&lt;='Tariffs Jul2019'!L12,($C$5*'Tariffs Jul2019'!AL12/'Tariffs Jul2019'!AJ12-'Tariffs Jul2019'!K12)*('Tariffs Jul2019'!W12/100)*'Tariffs Jul2019'!AJ12,('Tariffs Jul2019'!L12-'Tariffs Jul2019'!K12)*('Tariffs Jul2019'!W12/100)*'Tariffs Jul2019'!AJ12))</f>
        <v>144</v>
      </c>
      <c r="M18" s="59">
        <f>IF($C$5*'Tariffs Jul2019'!AL12/'Tariffs Jul2019'!AJ12&lt;'Tariffs Jul2019'!L12,0,IF($C$5*'Tariffs Jul2019'!AL12/'Tariffs Jul2019'!AJ12&lt;='Tariffs Jul2019'!M12,($C$5*'Tariffs Jul2019'!AL12/'Tariffs Jul2019'!AJ12-'Tariffs Jul2019'!L12)*('Tariffs Jul2019'!X12/100)*'Tariffs Jul2019'!AJ12,('Tariffs Jul2019'!M12-'Tariffs Jul2019'!L12)*('Tariffs Jul2019'!X12/100)*'Tariffs Jul2019'!AJ12))</f>
        <v>65.454545454545453</v>
      </c>
      <c r="N18" s="59">
        <f>IF(($C$5*'Tariffs Jul2019'!AL12/'Tariffs Jul2019'!AJ12&gt;'Tariffs Jul2019'!M12),($C$5*'Tariffs Jul2019'!AL12/'Tariffs Jul2019'!AJ12-'Tariffs Jul2019'!M12)*'Tariffs Jul2019'!Y12/100*'Tariffs Jul2019'!AJ12,0)</f>
        <v>0</v>
      </c>
      <c r="O18" s="271">
        <f t="shared" si="0"/>
        <v>1159.6363636363635</v>
      </c>
      <c r="P18" s="413">
        <f t="shared" si="1"/>
        <v>1275.5999999999999</v>
      </c>
      <c r="Q18" s="59">
        <f t="shared" si="2"/>
        <v>1443.4404545454545</v>
      </c>
      <c r="R18" s="272">
        <f t="shared" si="3"/>
        <v>1587.7845</v>
      </c>
      <c r="S18" s="40">
        <f>'Tariffs Jul2019'!AN12</f>
        <v>0</v>
      </c>
      <c r="T18" s="40">
        <f>'Tariffs Jul2019'!AO12</f>
        <v>0</v>
      </c>
      <c r="U18" s="40">
        <f>'Tariffs Jul2019'!AP12</f>
        <v>0</v>
      </c>
      <c r="V18" s="40">
        <f>'Tariffs Jul2019'!AQ12</f>
        <v>0</v>
      </c>
      <c r="W18" s="273">
        <f t="shared" si="5"/>
        <v>1443.4404545454545</v>
      </c>
      <c r="X18" s="273">
        <f>W18</f>
        <v>1443.4404545454545</v>
      </c>
      <c r="Y18" s="272">
        <f t="shared" si="4"/>
        <v>1587.7845</v>
      </c>
      <c r="Z18" s="272">
        <f t="shared" si="4"/>
        <v>1587.7845</v>
      </c>
      <c r="AA18" s="274">
        <f>'Tariffs Jul2019'!AZ12</f>
        <v>0</v>
      </c>
      <c r="AB18" s="274" t="str">
        <f>'Tariffs Jul2019'!BA12</f>
        <v>n</v>
      </c>
      <c r="AC18" s="275" t="str">
        <f>'Tariffs Jul2019'!BJ12</f>
        <v>Y</v>
      </c>
      <c r="AD18" s="398"/>
      <c r="AE18" s="398"/>
      <c r="AF18" s="398"/>
      <c r="AG18" s="398"/>
      <c r="AH18" s="398"/>
      <c r="AI18" s="398"/>
      <c r="AJ18" s="398"/>
      <c r="AK18" s="398"/>
      <c r="AL18" s="398"/>
      <c r="AM18" s="398"/>
      <c r="AN18" s="398"/>
    </row>
    <row r="19" spans="1:40" x14ac:dyDescent="0.15">
      <c r="A19" s="270" t="str">
        <f>'Tariffs Jul2019'!F13</f>
        <v>Sumo Power</v>
      </c>
      <c r="B19" s="40" t="str">
        <f>'Tariffs Jul2019'!D13</f>
        <v>Multinet Metro 1</v>
      </c>
      <c r="C19" s="40" t="str">
        <f>'Tariffs Jul2019'!G13</f>
        <v>Select</v>
      </c>
      <c r="D19" s="59">
        <f>365*'Tariffs Jul2019'!H13/100</f>
        <v>273.75</v>
      </c>
      <c r="E19" s="59">
        <f>IF($C$5*'Tariffs Jul2019'!AK13/'Tariffs Jul2019'!AI13&gt;='Tariffs Jul2019'!J13,( 'Tariffs Jul2019'!J13*'Tariffs Jul2019'!O13/100)* 'Tariffs Jul2019'!AI13,($C$5*'Tariffs Jul2019'!AK13/'Tariffs Jul2019'!AI13*'Tariffs Jul2019'!O13/100)* 'Tariffs Jul2019'!AI13)</f>
        <v>205.36363636363632</v>
      </c>
      <c r="F19" s="59">
        <f>IF($C$5*'Tariffs Jul2019'!AK13/'Tariffs Jul2019'!AI13&lt;'Tariffs Jul2019'!J13,0,IF($C$5*'Tariffs Jul2019'!AK13/'Tariffs Jul2019'!AI13&lt;='Tariffs Jul2019'!K13,($C$5*'Tariffs Jul2019'!AK13/'Tariffs Jul2019'!AI13-'Tariffs Jul2019'!J13)*('Tariffs Jul2019'!P13/100)*'Tariffs Jul2019'!AI13,('Tariffs Jul2019'!K13-'Tariffs Jul2019'!J13)*('Tariffs Jul2019'!P13/100)*'Tariffs Jul2019'!AI13))</f>
        <v>177.5454545454545</v>
      </c>
      <c r="G19" s="59">
        <f>IF($C$5*'Tariffs Jul2019'!AK13/'Tariffs Jul2019'!AI13&lt;'Tariffs Jul2019'!K13,0,IF($C$5*'Tariffs Jul2019'!AK13/'Tariffs Jul2019'!AI13&lt;='Tariffs Jul2019'!L13,($C$5*'Tariffs Jul2019'!AK13/'Tariffs Jul2019'!AI13-'Tariffs Jul2019'!K13)*('Tariffs Jul2019'!S13/100)*'Tariffs Jul2019'!AI13,('Tariffs Jul2019'!L13-'Tariffs Jul2019'!K13)*('Tariffs Jul2019'!S13/100)*'Tariffs Jul2019'!AI13))</f>
        <v>117.8181818181818</v>
      </c>
      <c r="H19" s="59">
        <f>IF($C$5*'Tariffs Jul2019'!AK13/'Tariffs Jul2019'!AI13&lt;'Tariffs Jul2019'!L13,0,IF($C$5*'Tariffs Jul2019'!AK13/'Tariffs Jul2019'!AI13&lt;='Tariffs Jul2019'!M13,($C$5*'Tariffs Jul2019'!AK13/'Tariffs Jul2019'!AI13-'Tariffs Jul2019'!L13)*('Tariffs Jul2019'!R13/100)*'Tariffs Jul2019'!AI13,('Tariffs Jul2019'!M13-'Tariffs Jul2019'!L13)*('Tariffs Jul2019'!R13/100)*'Tariffs Jul2019'!AI13))</f>
        <v>63.409090909090899</v>
      </c>
      <c r="I19" s="59">
        <f>IF(($C$5*'Tariffs Jul2019'!AK13/'Tariffs Jul2019'!AI13&gt;'Tariffs Jul2019'!M13),($C$5*'Tariffs Jul2019'!AK13/'Tariffs Jul2019'!AI13-'Tariffs Jul2019'!M13)*'Tariffs Jul2019'!S13/100*'Tariffs Jul2019'!AI13,0)</f>
        <v>0</v>
      </c>
      <c r="J19" s="59">
        <f>IF($C$5*'Tariffs Jul2019'!AL13/'Tariffs Jul2019'!AJ13&gt;='Tariffs Jul2019'!J13,('Tariffs Jul2019'!J13*'Tariffs Jul2019'!U13/100)* 'Tariffs Jul2019'!AJ13,($C$5*'Tariffs Jul2019'!AL13/'Tariffs Jul2019'!AJ13*'Tariffs Jul2019'!U13/100)* 'Tariffs Jul2019'!AJ13)</f>
        <v>181.8</v>
      </c>
      <c r="K19" s="59">
        <f>IF($C$5*'Tariffs Jul2019'!AL13/'Tariffs Jul2019'!AJ13&lt;'Tariffs Jul2019'!J13,0,IF($C$5*'Tariffs Jul2019'!AL13/'Tariffs Jul2019'!AJ13&lt;='Tariffs Jul2019'!K13,($C$5*'Tariffs Jul2019'!AL13/'Tariffs Jul2019'!AJ13-'Tariffs Jul2019'!J13)*('Tariffs Jul2019'!V13/100)*'Tariffs Jul2019'!AJ13,('Tariffs Jul2019'!K13-'Tariffs Jul2019'!J13)*('Tariffs Jul2019'!V13/100)*'Tariffs Jul2019'!AJ13))</f>
        <v>159.5454545454545</v>
      </c>
      <c r="L19" s="59">
        <f>IF($C$5*'Tariffs Jul2019'!AL13/'Tariffs Jul2019'!AJ13&lt;'Tariffs Jul2019'!K13,0,IF($C$5*'Tariffs Jul2019'!AL13/'Tariffs Jul2019'!AJ13&lt;='Tariffs Jul2019'!L13,($C$5*'Tariffs Jul2019'!AL13/'Tariffs Jul2019'!AJ13-'Tariffs Jul2019'!K13)*('Tariffs Jul2019'!Y13/100)*'Tariffs Jul2019'!AJ13,('Tariffs Jul2019'!L13-'Tariffs Jul2019'!K13)*('Tariffs Jul2019'!Y13/100)*'Tariffs Jul2019'!AJ13))</f>
        <v>108.8181818181818</v>
      </c>
      <c r="M19" s="59">
        <f>IF($C$5*'Tariffs Jul2019'!AL13/'Tariffs Jul2019'!AJ13&lt;'Tariffs Jul2019'!L13,0,IF($C$5*'Tariffs Jul2019'!AL13/'Tariffs Jul2019'!AJ13&lt;='Tariffs Jul2019'!M13,($C$5*'Tariffs Jul2019'!AL13/'Tariffs Jul2019'!AJ13-'Tariffs Jul2019'!L13)*('Tariffs Jul2019'!X13/100)*'Tariffs Jul2019'!AJ13,('Tariffs Jul2019'!M13-'Tariffs Jul2019'!L13)*('Tariffs Jul2019'!X13/100)*'Tariffs Jul2019'!AJ13))</f>
        <v>58.499999999999986</v>
      </c>
      <c r="N19" s="59">
        <f>IF(($C$5*'Tariffs Jul2019'!AL13/'Tariffs Jul2019'!AJ13&gt;'Tariffs Jul2019'!M13),($C$5*'Tariffs Jul2019'!AL13/'Tariffs Jul2019'!AJ13-'Tariffs Jul2019'!M13)*'Tariffs Jul2019'!Y13/100*'Tariffs Jul2019'!AJ13,0)</f>
        <v>0</v>
      </c>
      <c r="O19" s="271">
        <f t="shared" si="0"/>
        <v>1072.7999999999997</v>
      </c>
      <c r="P19" s="413">
        <f t="shared" si="1"/>
        <v>1180.0799999999997</v>
      </c>
      <c r="Q19" s="59">
        <f t="shared" si="2"/>
        <v>1346.5499999999997</v>
      </c>
      <c r="R19" s="272">
        <f t="shared" si="3"/>
        <v>1481.2049999999999</v>
      </c>
      <c r="S19" s="40">
        <f>'Tariffs Jul2019'!AN13</f>
        <v>0</v>
      </c>
      <c r="T19" s="40">
        <f>'Tariffs Jul2019'!AO13</f>
        <v>0</v>
      </c>
      <c r="U19" s="40">
        <f>'Tariffs Jul2019'!AP13</f>
        <v>5</v>
      </c>
      <c r="V19" s="40">
        <f>'Tariffs Jul2019'!AQ13</f>
        <v>0</v>
      </c>
      <c r="W19" s="273">
        <f t="shared" si="5"/>
        <v>1346.5499999999997</v>
      </c>
      <c r="X19" s="273">
        <f>W19-(Q19*U19/100)</f>
        <v>1279.2224999999999</v>
      </c>
      <c r="Y19" s="272">
        <f t="shared" si="4"/>
        <v>1481.2049999999999</v>
      </c>
      <c r="Z19" s="272">
        <f t="shared" si="4"/>
        <v>1407.1447499999999</v>
      </c>
      <c r="AA19" s="274">
        <f>'Tariffs Jul2019'!AZ13</f>
        <v>0</v>
      </c>
      <c r="AB19" s="274" t="str">
        <f>'Tariffs Jul2019'!BA13</f>
        <v>n</v>
      </c>
      <c r="AC19" s="275" t="str">
        <f>'Tariffs Jul2019'!BJ13</f>
        <v>Y</v>
      </c>
      <c r="AD19" s="398"/>
      <c r="AE19" s="398"/>
      <c r="AF19" s="398"/>
      <c r="AG19" s="398"/>
      <c r="AH19" s="398"/>
      <c r="AI19" s="398"/>
      <c r="AJ19" s="398"/>
      <c r="AK19" s="398"/>
      <c r="AL19" s="398"/>
      <c r="AM19" s="398"/>
      <c r="AN19" s="398"/>
    </row>
    <row r="20" spans="1:40" x14ac:dyDescent="0.15">
      <c r="A20" s="270" t="str">
        <f>'Tariffs Jul2019'!F14</f>
        <v>Amaysim</v>
      </c>
      <c r="B20" s="40" t="str">
        <f>'Tariffs Jul2019'!D14</f>
        <v>Multinet Metro 1</v>
      </c>
      <c r="C20" s="40" t="str">
        <f>'Tariffs Jul2019'!G14</f>
        <v>Gas as you go</v>
      </c>
      <c r="D20" s="59">
        <f>365*'Tariffs Jul2019'!H14/100</f>
        <v>193.84419999999997</v>
      </c>
      <c r="E20" s="59">
        <f>IF($C$5*'Tariffs Jul2019'!AK14/'Tariffs Jul2019'!AI14&gt;='Tariffs Jul2019'!J14,( 'Tariffs Jul2019'!J14*'Tariffs Jul2019'!O14/100)* 'Tariffs Jul2019'!AI14,($C$5*'Tariffs Jul2019'!AK14/'Tariffs Jul2019'!AI14*'Tariffs Jul2019'!O14/100)* 'Tariffs Jul2019'!AI14)</f>
        <v>205.02</v>
      </c>
      <c r="F20" s="59">
        <f>IF($C$5*'Tariffs Jul2019'!AK14/'Tariffs Jul2019'!AI14&lt;'Tariffs Jul2019'!J14,0,IF($C$5*'Tariffs Jul2019'!AK14/'Tariffs Jul2019'!AI14&lt;='Tariffs Jul2019'!K14,($C$5*'Tariffs Jul2019'!AK14/'Tariffs Jul2019'!AI14-'Tariffs Jul2019'!J14)*('Tariffs Jul2019'!P14/100)*'Tariffs Jul2019'!AI14,('Tariffs Jul2019'!K14-'Tariffs Jul2019'!J14)*('Tariffs Jul2019'!P14/100)*'Tariffs Jul2019'!AI14))</f>
        <v>180.53999999999996</v>
      </c>
      <c r="G20" s="59">
        <f>IF($C$5*'Tariffs Jul2019'!AK14/'Tariffs Jul2019'!AI14&lt;'Tariffs Jul2019'!K14,0,IF($C$5*'Tariffs Jul2019'!AK14/'Tariffs Jul2019'!AI14&lt;='Tariffs Jul2019'!L14,($C$5*'Tariffs Jul2019'!AK14/'Tariffs Jul2019'!AI14-'Tariffs Jul2019'!K14)*('Tariffs Jul2019'!Q14/100)*'Tariffs Jul2019'!AI14,('Tariffs Jul2019'!L14-'Tariffs Jul2019'!K14)*('Tariffs Jul2019'!Q14/100)*'Tariffs Jul2019'!AI14))</f>
        <v>156.06</v>
      </c>
      <c r="H20" s="59">
        <f>IF($C$5*'Tariffs Jul2019'!AK14/'Tariffs Jul2019'!AI14&lt;'Tariffs Jul2019'!L14,0,IF($C$5*'Tariffs Jul2019'!AK14/'Tariffs Jul2019'!AI14&lt;='Tariffs Jul2019'!M14,($C$5*'Tariffs Jul2019'!AK14/'Tariffs Jul2019'!AI14-'Tariffs Jul2019'!L14)*('Tariffs Jul2019'!R14/100)*'Tariffs Jul2019'!AI14,('Tariffs Jul2019'!M14-'Tariffs Jul2019'!L14)*('Tariffs Jul2019'!R14/100)*'Tariffs Jul2019'!AI14))</f>
        <v>71.910000000000011</v>
      </c>
      <c r="I20" s="59">
        <f>IF(($C$5*'Tariffs Jul2019'!AK14/'Tariffs Jul2019'!AI14&gt;'Tariffs Jul2019'!M14),($C$5*'Tariffs Jul2019'!AK14/'Tariffs Jul2019'!AI14-'Tariffs Jul2019'!M14)*'Tariffs Jul2019'!S14/100*'Tariffs Jul2019'!AI14,0)</f>
        <v>0</v>
      </c>
      <c r="J20" s="59">
        <f>IF($C$5*'Tariffs Jul2019'!AL14/'Tariffs Jul2019'!AJ14&gt;='Tariffs Jul2019'!J14,('Tariffs Jul2019'!J14*'Tariffs Jul2019'!U14/100)* 'Tariffs Jul2019'!AJ14,($C$5*'Tariffs Jul2019'!AL14/'Tariffs Jul2019'!AJ14*'Tariffs Jul2019'!U14/100)* 'Tariffs Jul2019'!AJ14)</f>
        <v>198.89999999999998</v>
      </c>
      <c r="K20" s="59">
        <f>IF($C$5*'Tariffs Jul2019'!AL14/'Tariffs Jul2019'!AJ14&lt;'Tariffs Jul2019'!J14,0,IF($C$5*'Tariffs Jul2019'!AL14/'Tariffs Jul2019'!AJ14&lt;='Tariffs Jul2019'!K14,($C$5*'Tariffs Jul2019'!AL14/'Tariffs Jul2019'!AJ14-'Tariffs Jul2019'!J14)*('Tariffs Jul2019'!V14/100)*'Tariffs Jul2019'!AJ14,('Tariffs Jul2019'!K14-'Tariffs Jul2019'!J14)*('Tariffs Jul2019'!V14/100)*'Tariffs Jul2019'!AJ14))</f>
        <v>177.48</v>
      </c>
      <c r="L20" s="59">
        <f>IF($C$5*'Tariffs Jul2019'!AL14/'Tariffs Jul2019'!AJ14&lt;'Tariffs Jul2019'!K14,0,IF($C$5*'Tariffs Jul2019'!AL14/'Tariffs Jul2019'!AJ14&lt;='Tariffs Jul2019'!L14,($C$5*'Tariffs Jul2019'!AL14/'Tariffs Jul2019'!AJ14-'Tariffs Jul2019'!K14)*('Tariffs Jul2019'!W14/100)*'Tariffs Jul2019'!AJ14,('Tariffs Jul2019'!L14-'Tariffs Jul2019'!K14)*('Tariffs Jul2019'!W14/100)*'Tariffs Jul2019'!AJ14))</f>
        <v>153.00000000000003</v>
      </c>
      <c r="M20" s="59">
        <f>IF($C$5*'Tariffs Jul2019'!AL14/'Tariffs Jul2019'!AJ14&lt;'Tariffs Jul2019'!L14,0,IF($C$5*'Tariffs Jul2019'!AL14/'Tariffs Jul2019'!AJ14&lt;='Tariffs Jul2019'!M14,($C$5*'Tariffs Jul2019'!AL14/'Tariffs Jul2019'!AJ14-'Tariffs Jul2019'!L14)*('Tariffs Jul2019'!X14/100)*'Tariffs Jul2019'!AJ14,('Tariffs Jul2019'!M14-'Tariffs Jul2019'!L14)*('Tariffs Jul2019'!X14/100)*'Tariffs Jul2019'!AJ14))</f>
        <v>71.910000000000011</v>
      </c>
      <c r="N20" s="59">
        <f>IF(($C$5*'Tariffs Jul2019'!AL14/'Tariffs Jul2019'!AJ14&gt;'Tariffs Jul2019'!M14),($C$5*'Tariffs Jul2019'!AL14/'Tariffs Jul2019'!AJ14-'Tariffs Jul2019'!M14)*'Tariffs Jul2019'!Y14/100*'Tariffs Jul2019'!AJ14,0)</f>
        <v>0</v>
      </c>
      <c r="O20" s="271">
        <f>SUM(E20:N20)</f>
        <v>1214.82</v>
      </c>
      <c r="P20" s="413">
        <f t="shared" si="1"/>
        <v>1336.3020000000001</v>
      </c>
      <c r="Q20" s="59">
        <f>D20+O20</f>
        <v>1408.6641999999999</v>
      </c>
      <c r="R20" s="272">
        <f t="shared" si="3"/>
        <v>1549.53062</v>
      </c>
      <c r="S20" s="40">
        <f>'Tariffs Jul2019'!AN14</f>
        <v>0</v>
      </c>
      <c r="T20" s="40">
        <f>'Tariffs Jul2019'!AO14</f>
        <v>0</v>
      </c>
      <c r="U20" s="40">
        <f>'Tariffs Jul2019'!AP14</f>
        <v>0</v>
      </c>
      <c r="V20" s="40">
        <f>'Tariffs Jul2019'!AQ14</f>
        <v>0</v>
      </c>
      <c r="W20" s="273">
        <f>Q20</f>
        <v>1408.6641999999999</v>
      </c>
      <c r="X20" s="273">
        <f>W20</f>
        <v>1408.6641999999999</v>
      </c>
      <c r="Y20" s="272">
        <f t="shared" si="4"/>
        <v>1549.53062</v>
      </c>
      <c r="Z20" s="272">
        <f t="shared" si="4"/>
        <v>1549.53062</v>
      </c>
      <c r="AA20" s="274">
        <f>'Tariffs Jul2019'!AZ14</f>
        <v>0</v>
      </c>
      <c r="AB20" s="274" t="str">
        <f>'Tariffs Jul2019'!BA14</f>
        <v>n</v>
      </c>
      <c r="AC20" s="275" t="str">
        <f>'Tariffs Jul2019'!BJ14</f>
        <v>N</v>
      </c>
      <c r="AD20" s="398"/>
      <c r="AE20" s="398"/>
      <c r="AF20" s="398"/>
      <c r="AG20" s="398"/>
      <c r="AH20" s="398"/>
      <c r="AI20" s="398"/>
      <c r="AJ20" s="398"/>
      <c r="AK20" s="398"/>
      <c r="AL20" s="398"/>
      <c r="AM20" s="398"/>
      <c r="AN20" s="398"/>
    </row>
    <row r="21" spans="1:40" x14ac:dyDescent="0.15">
      <c r="A21" s="270" t="str">
        <f>'Tariffs Jul2019'!F15</f>
        <v>GloBird Energy</v>
      </c>
      <c r="B21" s="40" t="str">
        <f>'Tariffs Jul2019'!D15</f>
        <v>Multinet Metro 1</v>
      </c>
      <c r="C21" s="40" t="str">
        <f>'Tariffs Jul2019'!G15</f>
        <v>GloSave</v>
      </c>
      <c r="D21" s="59">
        <f>365*'Tariffs Jul2019'!H15/100</f>
        <v>226.3</v>
      </c>
      <c r="E21" s="59">
        <f>IF($C$5*'Tariffs Jul2019'!AK15/'Tariffs Jul2019'!AI15&gt;='Tariffs Jul2019'!J15,( 'Tariffs Jul2019'!J15*'Tariffs Jul2019'!O15/100)* 'Tariffs Jul2019'!AI15,($C$5*'Tariffs Jul2019'!AK15/'Tariffs Jul2019'!AI15*'Tariffs Jul2019'!O15/100)* 'Tariffs Jul2019'!AI15)</f>
        <v>374.4</v>
      </c>
      <c r="F21" s="59">
        <f>IF($C$5*'Tariffs Jul2019'!AK15/'Tariffs Jul2019'!AI15&lt;'Tariffs Jul2019'!J15,0,IF($C$5*'Tariffs Jul2019'!AK15/'Tariffs Jul2019'!AI15&lt;='Tariffs Jul2019'!K15,($C$5*'Tariffs Jul2019'!AK15/'Tariffs Jul2019'!AI15-'Tariffs Jul2019'!J15)*('Tariffs Jul2019'!P15/100)*'Tariffs Jul2019'!AI15,('Tariffs Jul2019'!K15-'Tariffs Jul2019'!J15)*('Tariffs Jul2019'!P15/100)*'Tariffs Jul2019'!AI15))</f>
        <v>0</v>
      </c>
      <c r="G21" s="59">
        <f>IF($C$5*'Tariffs Jul2019'!AK15/'Tariffs Jul2019'!AI15&lt;'Tariffs Jul2019'!K15,0,IF($C$5*'Tariffs Jul2019'!AK15/'Tariffs Jul2019'!AI15&lt;='Tariffs Jul2019'!L15,($C$5*'Tariffs Jul2019'!AK15/'Tariffs Jul2019'!AI15-'Tariffs Jul2019'!K15)*('Tariffs Jul2019'!Q15/100)*'Tariffs Jul2019'!AI15,('Tariffs Jul2019'!L15-'Tariffs Jul2019'!K15)*('Tariffs Jul2019'!Q15/100)*'Tariffs Jul2019'!AI15))</f>
        <v>0</v>
      </c>
      <c r="H21" s="59">
        <f>IF($C$5*'Tariffs Jul2019'!AK15/'Tariffs Jul2019'!AI15&lt;'Tariffs Jul2019'!L15,0,IF($C$5*'Tariffs Jul2019'!AK15/'Tariffs Jul2019'!AI15&lt;='Tariffs Jul2019'!M15,($C$5*'Tariffs Jul2019'!AK15/'Tariffs Jul2019'!AI15-'Tariffs Jul2019'!L15)*('Tariffs Jul2019'!R15/100)*'Tariffs Jul2019'!AI15,('Tariffs Jul2019'!M15-'Tariffs Jul2019'!L15)*('Tariffs Jul2019'!R15/100)*'Tariffs Jul2019'!AI15))</f>
        <v>0</v>
      </c>
      <c r="I21" s="59">
        <f>IF(($C$5*'Tariffs Jul2019'!AK15/'Tariffs Jul2019'!AI15&gt;'Tariffs Jul2019'!M15),($C$5*'Tariffs Jul2019'!AK15/'Tariffs Jul2019'!AI15-'Tariffs Jul2019'!M15)*'Tariffs Jul2019'!S15/100*'Tariffs Jul2019'!AI15,0)</f>
        <v>202.5</v>
      </c>
      <c r="J21" s="59">
        <f>IF($C$5*'Tariffs Jul2019'!AL15/'Tariffs Jul2019'!AJ15&gt;='Tariffs Jul2019'!J15,('Tariffs Jul2019'!J15*'Tariffs Jul2019'!U15/100)* 'Tariffs Jul2019'!AJ15,($C$5*'Tariffs Jul2019'!AL15/'Tariffs Jul2019'!AJ15*'Tariffs Jul2019'!U15/100)* 'Tariffs Jul2019'!AJ15)</f>
        <v>342</v>
      </c>
      <c r="K21" s="59">
        <f>IF($C$5*'Tariffs Jul2019'!AL15/'Tariffs Jul2019'!AJ15&lt;'Tariffs Jul2019'!J15,0,IF($C$5*'Tariffs Jul2019'!AL15/'Tariffs Jul2019'!AJ15&lt;='Tariffs Jul2019'!K15,($C$5*'Tariffs Jul2019'!AL15/'Tariffs Jul2019'!AJ15-'Tariffs Jul2019'!J15)*('Tariffs Jul2019'!V15/100)*'Tariffs Jul2019'!AJ15,('Tariffs Jul2019'!K15-'Tariffs Jul2019'!J15)*('Tariffs Jul2019'!V15/100)*'Tariffs Jul2019'!AJ15))</f>
        <v>0</v>
      </c>
      <c r="L21" s="59">
        <f>IF($C$5*'Tariffs Jul2019'!AL15/'Tariffs Jul2019'!AJ15&lt;'Tariffs Jul2019'!K15,0,IF($C$5*'Tariffs Jul2019'!AL15/'Tariffs Jul2019'!AJ15&lt;='Tariffs Jul2019'!L15,($C$5*'Tariffs Jul2019'!AL15/'Tariffs Jul2019'!AJ15-'Tariffs Jul2019'!K15)*('Tariffs Jul2019'!W15/100)*'Tariffs Jul2019'!AJ15,('Tariffs Jul2019'!L15-'Tariffs Jul2019'!K15)*('Tariffs Jul2019'!W15/100)*'Tariffs Jul2019'!AJ15))</f>
        <v>0</v>
      </c>
      <c r="M21" s="59">
        <f>IF($C$5*'Tariffs Jul2019'!AL15/'Tariffs Jul2019'!AJ15&lt;'Tariffs Jul2019'!L15,0,IF($C$5*'Tariffs Jul2019'!AL15/'Tariffs Jul2019'!AJ15&lt;='Tariffs Jul2019'!M15,($C$5*'Tariffs Jul2019'!AL15/'Tariffs Jul2019'!AJ15-'Tariffs Jul2019'!L15)*('Tariffs Jul2019'!X15/100)*'Tariffs Jul2019'!AJ15,('Tariffs Jul2019'!M15-'Tariffs Jul2019'!L15)*('Tariffs Jul2019'!X15/100)*'Tariffs Jul2019'!AJ15))</f>
        <v>0</v>
      </c>
      <c r="N21" s="59">
        <f>IF(($C$5*'Tariffs Jul2019'!AL15/'Tariffs Jul2019'!AJ15&gt;'Tariffs Jul2019'!M15),($C$5*'Tariffs Jul2019'!AL15/'Tariffs Jul2019'!AJ15-'Tariffs Jul2019'!M15)*'Tariffs Jul2019'!Y15/100*'Tariffs Jul2019'!AJ15,0)</f>
        <v>202.5</v>
      </c>
      <c r="O21" s="271">
        <f>SUM(E21:N21)</f>
        <v>1121.4000000000001</v>
      </c>
      <c r="P21" s="413">
        <f t="shared" si="1"/>
        <v>1233.5400000000002</v>
      </c>
      <c r="Q21" s="59">
        <f>D21+O21</f>
        <v>1347.7</v>
      </c>
      <c r="R21" s="272">
        <f t="shared" si="3"/>
        <v>1482.4700000000003</v>
      </c>
      <c r="S21" s="40">
        <f>'Tariffs Jul2019'!AN15</f>
        <v>0</v>
      </c>
      <c r="T21" s="40">
        <f>'Tariffs Jul2019'!AO15</f>
        <v>0</v>
      </c>
      <c r="U21" s="40">
        <f>'Tariffs Jul2019'!AP15</f>
        <v>5</v>
      </c>
      <c r="V21" s="40">
        <f>'Tariffs Jul2019'!AQ15</f>
        <v>0</v>
      </c>
      <c r="W21" s="273">
        <f>Q21</f>
        <v>1347.7</v>
      </c>
      <c r="X21" s="273">
        <f>W21-(Q21*U21/100)</f>
        <v>1280.3150000000001</v>
      </c>
      <c r="Y21" s="272">
        <f t="shared" si="4"/>
        <v>1482.4700000000003</v>
      </c>
      <c r="Z21" s="272">
        <f t="shared" si="4"/>
        <v>1408.3465000000001</v>
      </c>
      <c r="AA21" s="274">
        <f>'Tariffs Jul2019'!AZ15</f>
        <v>0</v>
      </c>
      <c r="AB21" s="274" t="str">
        <f>'Tariffs Jul2019'!BA15</f>
        <v>n</v>
      </c>
      <c r="AC21" s="275" t="str">
        <f>'Tariffs Jul2019'!BJ15</f>
        <v>N</v>
      </c>
      <c r="AD21" s="398"/>
      <c r="AE21" s="398"/>
      <c r="AF21" s="398"/>
      <c r="AG21" s="398"/>
      <c r="AH21" s="398"/>
      <c r="AI21" s="398"/>
      <c r="AJ21" s="398"/>
      <c r="AK21" s="398"/>
      <c r="AL21" s="398"/>
      <c r="AM21" s="398"/>
      <c r="AN21" s="398"/>
    </row>
    <row r="22" spans="1:40" x14ac:dyDescent="0.15">
      <c r="A22" s="270" t="str">
        <f>'Tariffs Jul2019'!F16</f>
        <v>Powershop</v>
      </c>
      <c r="B22" s="40" t="str">
        <f>'Tariffs Jul2019'!D16</f>
        <v>Multinet Metro 1</v>
      </c>
      <c r="C22" s="40" t="str">
        <f>'Tariffs Jul2019'!G16</f>
        <v>Shopper with Gas Saver</v>
      </c>
      <c r="D22" s="59">
        <f>365*'Tariffs Jul2019'!H16/100</f>
        <v>290.90499999999997</v>
      </c>
      <c r="E22" s="59">
        <f>((C$5*'Tariffs Jul2019'!AK16/'Tariffs Jul2019'!AI16)*('Tariffs Jul2019'!O16/100))*'Tariffs Jul2019'!AI16</f>
        <v>516.59999999999991</v>
      </c>
      <c r="F22" s="59">
        <v>0</v>
      </c>
      <c r="G22" s="59">
        <v>0</v>
      </c>
      <c r="H22" s="59">
        <v>0</v>
      </c>
      <c r="I22" s="59">
        <v>0</v>
      </c>
      <c r="J22" s="59">
        <f>((C$5*'Tariffs Jul2019'!AL16/'Tariffs Jul2019'!AJ16)*('Tariffs Jul2019'!U16/100))*'Tariffs Jul2019'!AJ16</f>
        <v>604.79999999999995</v>
      </c>
      <c r="K22" s="59">
        <v>0</v>
      </c>
      <c r="L22" s="59">
        <v>0</v>
      </c>
      <c r="M22" s="59">
        <v>0</v>
      </c>
      <c r="N22" s="59">
        <v>0</v>
      </c>
      <c r="O22" s="271">
        <f>SUM(E22:N22)</f>
        <v>1121.3999999999999</v>
      </c>
      <c r="P22" s="413">
        <f t="shared" si="1"/>
        <v>1233.54</v>
      </c>
      <c r="Q22" s="59">
        <f>D22+O22</f>
        <v>1412.3049999999998</v>
      </c>
      <c r="R22" s="272">
        <f t="shared" si="3"/>
        <v>1553.5355</v>
      </c>
      <c r="S22" s="40">
        <f>'Tariffs Jul2019'!AN16</f>
        <v>0</v>
      </c>
      <c r="T22" s="40">
        <f>'Tariffs Jul2019'!AO16</f>
        <v>0</v>
      </c>
      <c r="U22" s="40">
        <f>'Tariffs Jul2019'!AP16</f>
        <v>5</v>
      </c>
      <c r="V22" s="40">
        <f>'Tariffs Jul2019'!AQ16</f>
        <v>0</v>
      </c>
      <c r="W22" s="273">
        <f>R22</f>
        <v>1553.5355</v>
      </c>
      <c r="X22" s="273">
        <f>W22-(W22*U22/100)</f>
        <v>1475.858725</v>
      </c>
      <c r="Y22" s="272">
        <f>W22</f>
        <v>1553.5355</v>
      </c>
      <c r="Z22" s="272">
        <f>X22</f>
        <v>1475.858725</v>
      </c>
      <c r="AA22" s="274">
        <f>'Tariffs Jul2019'!AZ16</f>
        <v>0</v>
      </c>
      <c r="AB22" s="274" t="str">
        <f>'Tariffs Jul2019'!BA16</f>
        <v>n</v>
      </c>
      <c r="AC22" s="275" t="str">
        <f>'Tariffs Jul2019'!BJ16</f>
        <v>Y</v>
      </c>
      <c r="AD22" s="398"/>
      <c r="AE22" s="398"/>
      <c r="AF22" s="398"/>
      <c r="AG22" s="398"/>
      <c r="AH22" s="398"/>
      <c r="AI22" s="398"/>
      <c r="AJ22" s="398"/>
      <c r="AK22" s="398"/>
      <c r="AL22" s="398"/>
      <c r="AM22" s="398"/>
      <c r="AN22" s="398"/>
    </row>
    <row r="23" spans="1:40" ht="14" thickBot="1" x14ac:dyDescent="0.2">
      <c r="A23" s="276" t="str">
        <f>'Tariffs Jul2019'!F17</f>
        <v>DC Power Co</v>
      </c>
      <c r="B23" s="277" t="str">
        <f>'Tariffs Jul2019'!D17</f>
        <v>Multinet Metro 1</v>
      </c>
      <c r="C23" s="277" t="str">
        <f>'Tariffs Jul2019'!G17</f>
        <v>Market offer</v>
      </c>
      <c r="D23" s="278">
        <f>365*'Tariffs Jul2019'!H17/100</f>
        <v>297.54136363636366</v>
      </c>
      <c r="E23" s="278">
        <f>((C$5*'Tariffs Jul2019'!AK17/'Tariffs Jul2019'!AI17)*('Tariffs Jul2019'!O17/100))*'Tariffs Jul2019'!AI17</f>
        <v>526.90909090909088</v>
      </c>
      <c r="F23" s="278">
        <v>0</v>
      </c>
      <c r="G23" s="278">
        <v>0</v>
      </c>
      <c r="H23" s="278">
        <v>0</v>
      </c>
      <c r="I23" s="278">
        <v>0</v>
      </c>
      <c r="J23" s="278">
        <f>((C$5*'Tariffs Jul2019'!AL17/'Tariffs Jul2019'!AJ17)*('Tariffs Jul2019'!U17/100))*'Tariffs Jul2019'!AJ17</f>
        <v>538.36363636363626</v>
      </c>
      <c r="K23" s="278">
        <v>0</v>
      </c>
      <c r="L23" s="278">
        <v>0</v>
      </c>
      <c r="M23" s="278">
        <v>0</v>
      </c>
      <c r="N23" s="278">
        <v>0</v>
      </c>
      <c r="O23" s="279">
        <f>SUM(E23:N23)</f>
        <v>1065.272727272727</v>
      </c>
      <c r="P23" s="413">
        <f t="shared" si="1"/>
        <v>1171.7999999999997</v>
      </c>
      <c r="Q23" s="278">
        <f>D23+O23</f>
        <v>1362.8140909090907</v>
      </c>
      <c r="R23" s="280">
        <f>Q23*1.1</f>
        <v>1499.0954999999999</v>
      </c>
      <c r="S23" s="277">
        <f>'Tariffs Jul2019'!AN17</f>
        <v>0</v>
      </c>
      <c r="T23" s="277">
        <f>'Tariffs Jul2019'!AO17</f>
        <v>0</v>
      </c>
      <c r="U23" s="277">
        <f>'Tariffs Jul2019'!AP17</f>
        <v>0</v>
      </c>
      <c r="V23" s="277">
        <f>'Tariffs Jul2019'!AQ17</f>
        <v>0</v>
      </c>
      <c r="W23" s="281">
        <f t="shared" ref="W23:W28" si="6">Q23</f>
        <v>1362.8140909090907</v>
      </c>
      <c r="X23" s="281">
        <f>W23</f>
        <v>1362.8140909090907</v>
      </c>
      <c r="Y23" s="280">
        <f>W23*1.1</f>
        <v>1499.0954999999999</v>
      </c>
      <c r="Z23" s="280">
        <f>X23*1.1</f>
        <v>1499.0954999999999</v>
      </c>
      <c r="AA23" s="282">
        <f>'Tariffs Jul2019'!AZ17</f>
        <v>0</v>
      </c>
      <c r="AB23" s="282" t="str">
        <f>'Tariffs Jul2019'!BA17</f>
        <v>n</v>
      </c>
      <c r="AC23" s="283" t="str">
        <f>'Tariffs Jul2019'!BJ17</f>
        <v>Y</v>
      </c>
      <c r="AD23" s="398"/>
      <c r="AE23" s="398"/>
      <c r="AF23" s="398"/>
      <c r="AG23" s="398"/>
      <c r="AH23" s="398"/>
      <c r="AI23" s="398"/>
      <c r="AJ23" s="398"/>
      <c r="AK23" s="398"/>
      <c r="AL23" s="398"/>
      <c r="AM23" s="398"/>
      <c r="AN23" s="398"/>
    </row>
    <row r="24" spans="1:40" ht="14" thickTop="1" x14ac:dyDescent="0.15">
      <c r="A24" s="270" t="str">
        <f>'Tariffs Jul2019'!F18</f>
        <v>AGL</v>
      </c>
      <c r="B24" s="40" t="str">
        <f>'Tariffs Jul2019'!D18</f>
        <v>Multinet Metro 2</v>
      </c>
      <c r="C24" s="40" t="str">
        <f>'Tariffs Jul2019'!G18</f>
        <v>Essentials</v>
      </c>
      <c r="D24" s="59">
        <f>365*'Tariffs Jul2019'!H18/100</f>
        <v>295.64999999999998</v>
      </c>
      <c r="E24" s="59">
        <f>IF($C$5*'Tariffs Jul2019'!AK18/'Tariffs Jul2019'!AI18&gt;='Tariffs Jul2019'!J18,( 'Tariffs Jul2019'!J18*'Tariffs Jul2019'!O18/100)* 'Tariffs Jul2019'!AI18,($C$5*'Tariffs Jul2019'!AK18/'Tariffs Jul2019'!AI18*'Tariffs Jul2019'!O18/100)* 'Tariffs Jul2019'!AI18)</f>
        <v>187.36363636363637</v>
      </c>
      <c r="F24" s="59">
        <f>IF($C$5*'Tariffs Jul2019'!AK18/'Tariffs Jul2019'!AI18&lt;'Tariffs Jul2019'!J18,0,IF($C$5*'Tariffs Jul2019'!AK18/'Tariffs Jul2019'!AI18&lt;='Tariffs Jul2019'!K18,($C$5*'Tariffs Jul2019'!AK18/'Tariffs Jul2019'!AI18-'Tariffs Jul2019'!J18)*('Tariffs Jul2019'!P18/100)*'Tariffs Jul2019'!AI18,('Tariffs Jul2019'!K18-'Tariffs Jul2019'!J18)*('Tariffs Jul2019'!P18/100)*'Tariffs Jul2019'!AI18))</f>
        <v>169.36363636363637</v>
      </c>
      <c r="G24" s="59">
        <f>IF($C$5*'Tariffs Jul2019'!AK18/'Tariffs Jul2019'!AI18&lt;'Tariffs Jul2019'!K18,0,IF($C$5*'Tariffs Jul2019'!AK18/'Tariffs Jul2019'!AI18&lt;='Tariffs Jul2019'!L18,($C$5*'Tariffs Jul2019'!AK18/'Tariffs Jul2019'!AI18-'Tariffs Jul2019'!K18)*('Tariffs Jul2019'!Q18/100)*'Tariffs Jul2019'!AI18,('Tariffs Jul2019'!L18-'Tariffs Jul2019'!K18)*('Tariffs Jul2019'!Q18/100)*'Tariffs Jul2019'!AI18))</f>
        <v>135.81818181818181</v>
      </c>
      <c r="H24" s="59">
        <f>IF($C$5*'Tariffs Jul2019'!AK18/'Tariffs Jul2019'!AI18&lt;'Tariffs Jul2019'!L18,0,IF($C$5*'Tariffs Jul2019'!AK18/'Tariffs Jul2019'!AI18&lt;='Tariffs Jul2019'!M18,($C$5*'Tariffs Jul2019'!AK18/'Tariffs Jul2019'!AI18-'Tariffs Jul2019'!L18)*('Tariffs Jul2019'!R18/100)*'Tariffs Jul2019'!AI18,('Tariffs Jul2019'!M18-'Tariffs Jul2019'!L18)*('Tariffs Jul2019'!R18/100)*'Tariffs Jul2019'!AI18))</f>
        <v>59.31818181818182</v>
      </c>
      <c r="I24" s="59">
        <f>IF(($C$5*'Tariffs Jul2019'!AK18/'Tariffs Jul2019'!AI18&gt;'Tariffs Jul2019'!M18),($C$5*'Tariffs Jul2019'!AK18/'Tariffs Jul2019'!AI18-'Tariffs Jul2019'!M18)*'Tariffs Jul2019'!S18/100*'Tariffs Jul2019'!AI18,0)</f>
        <v>0</v>
      </c>
      <c r="J24" s="59">
        <f>IF($C$5*'Tariffs Jul2019'!AL18/'Tariffs Jul2019'!AJ18&gt;='Tariffs Jul2019'!J18,('Tariffs Jul2019'!J18*'Tariffs Jul2019'!U18/100)* 'Tariffs Jul2019'!AJ18,($C$5*'Tariffs Jul2019'!AL18/'Tariffs Jul2019'!AJ18*'Tariffs Jul2019'!U18/100)* 'Tariffs Jul2019'!AJ18)</f>
        <v>178.36363636363637</v>
      </c>
      <c r="K24" s="59">
        <f>IF($C$5*'Tariffs Jul2019'!AL18/'Tariffs Jul2019'!AJ18&lt;'Tariffs Jul2019'!J18,0,IF($C$5*'Tariffs Jul2019'!AL18/'Tariffs Jul2019'!AJ18&lt;='Tariffs Jul2019'!K18,($C$5*'Tariffs Jul2019'!AL18/'Tariffs Jul2019'!AJ18-'Tariffs Jul2019'!J18)*('Tariffs Jul2019'!V18/100)*'Tariffs Jul2019'!AJ18,('Tariffs Jul2019'!K18-'Tariffs Jul2019'!J18)*('Tariffs Jul2019'!V18/100)*'Tariffs Jul2019'!AJ18))</f>
        <v>159.5454545454545</v>
      </c>
      <c r="L24" s="59">
        <f>IF($C$5*'Tariffs Jul2019'!AL18/'Tariffs Jul2019'!AJ18&lt;'Tariffs Jul2019'!K18,0,IF($C$5*'Tariffs Jul2019'!AL18/'Tariffs Jul2019'!AJ18&lt;='Tariffs Jul2019'!L18,($C$5*'Tariffs Jul2019'!AL18/'Tariffs Jul2019'!AJ18-'Tariffs Jul2019'!K18)*('Tariffs Jul2019'!W18/100)*'Tariffs Jul2019'!AJ18,('Tariffs Jul2019'!L18-'Tariffs Jul2019'!K18)*('Tariffs Jul2019'!W18/100)*'Tariffs Jul2019'!AJ18))</f>
        <v>131.72727272727272</v>
      </c>
      <c r="M24" s="59">
        <f>IF($C$5*'Tariffs Jul2019'!AL18/'Tariffs Jul2019'!AJ18&lt;'Tariffs Jul2019'!L18,0,IF($C$5*'Tariffs Jul2019'!AL18/'Tariffs Jul2019'!AJ18&lt;='Tariffs Jul2019'!M18,($C$5*'Tariffs Jul2019'!AL18/'Tariffs Jul2019'!AJ18-'Tariffs Jul2019'!L18)*('Tariffs Jul2019'!X18/100)*'Tariffs Jul2019'!AJ18,('Tariffs Jul2019'!M18-'Tariffs Jul2019'!L18)*('Tariffs Jul2019'!X18/100)*'Tariffs Jul2019'!AJ18))</f>
        <v>58.090909090909093</v>
      </c>
      <c r="N24" s="59">
        <f>IF(($C$5*'Tariffs Jul2019'!AL18/'Tariffs Jul2019'!AJ18&gt;'Tariffs Jul2019'!M18),($C$5*'Tariffs Jul2019'!AL18/'Tariffs Jul2019'!AJ18-'Tariffs Jul2019'!M18)*'Tariffs Jul2019'!Y18/100*'Tariffs Jul2019'!AJ18,0)</f>
        <v>0</v>
      </c>
      <c r="O24" s="271">
        <f t="shared" si="0"/>
        <v>1079.590909090909</v>
      </c>
      <c r="P24" s="413">
        <f t="shared" si="1"/>
        <v>1187.55</v>
      </c>
      <c r="Q24" s="59">
        <f t="shared" si="2"/>
        <v>1375.2409090909091</v>
      </c>
      <c r="R24" s="272">
        <f t="shared" si="3"/>
        <v>1512.7650000000001</v>
      </c>
      <c r="S24" s="40">
        <f>'Tariffs Jul2019'!AN18</f>
        <v>0</v>
      </c>
      <c r="T24" s="40">
        <f>'Tariffs Jul2019'!AO18</f>
        <v>0</v>
      </c>
      <c r="U24" s="40">
        <f>'Tariffs Jul2019'!AP18</f>
        <v>0</v>
      </c>
      <c r="V24" s="40">
        <f>'Tariffs Jul2019'!AQ18</f>
        <v>0</v>
      </c>
      <c r="W24" s="273">
        <f t="shared" si="6"/>
        <v>1375.2409090909091</v>
      </c>
      <c r="X24" s="273">
        <f>W24</f>
        <v>1375.2409090909091</v>
      </c>
      <c r="Y24" s="272">
        <f t="shared" si="4"/>
        <v>1512.7650000000001</v>
      </c>
      <c r="Z24" s="272">
        <f t="shared" si="4"/>
        <v>1512.7650000000001</v>
      </c>
      <c r="AA24" s="274">
        <f>'Tariffs Jul2019'!AZ18</f>
        <v>0</v>
      </c>
      <c r="AB24" s="274" t="str">
        <f>'Tariffs Jul2019'!BA18</f>
        <v>n</v>
      </c>
      <c r="AC24" s="275" t="str">
        <f>'Tariffs Jul2019'!BJ18</f>
        <v>N</v>
      </c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</row>
    <row r="25" spans="1:40" x14ac:dyDescent="0.15">
      <c r="A25" s="270" t="str">
        <f>'Tariffs Jul2019'!F19</f>
        <v>Alinta Energy</v>
      </c>
      <c r="B25" s="40" t="str">
        <f>'Tariffs Jul2019'!D19</f>
        <v>Multinet Metro 2</v>
      </c>
      <c r="C25" s="40" t="str">
        <f>'Tariffs Jul2019'!G19</f>
        <v>Real Deal</v>
      </c>
      <c r="D25" s="59">
        <f>365*'Tariffs Jul2019'!H19/100</f>
        <v>292</v>
      </c>
      <c r="E25" s="59">
        <f>IF($C$5*'Tariffs Jul2019'!AK19/'Tariffs Jul2019'!AI19&gt;='Tariffs Jul2019'!J19,( 'Tariffs Jul2019'!J19*'Tariffs Jul2019'!O19/100)* 'Tariffs Jul2019'!AI19,($C$5*'Tariffs Jul2019'!AK19/'Tariffs Jul2019'!AI19*'Tariffs Jul2019'!O19/100)* 'Tariffs Jul2019'!AI19)</f>
        <v>204.5454545454545</v>
      </c>
      <c r="F25" s="59">
        <f>IF($C$5*'Tariffs Jul2019'!AK19/'Tariffs Jul2019'!AI19&lt;'Tariffs Jul2019'!J19,0,IF($C$5*'Tariffs Jul2019'!AK19/'Tariffs Jul2019'!AI19&lt;='Tariffs Jul2019'!K19,($C$5*'Tariffs Jul2019'!AK19/'Tariffs Jul2019'!AI19-'Tariffs Jul2019'!J19)*('Tariffs Jul2019'!P19/100)*'Tariffs Jul2019'!AI19,('Tariffs Jul2019'!K19-'Tariffs Jul2019'!J19)*('Tariffs Jul2019'!P19/100)*'Tariffs Jul2019'!AI19))</f>
        <v>155.45454545454541</v>
      </c>
      <c r="G25" s="59">
        <f>IF($C$5*'Tariffs Jul2019'!AK19/'Tariffs Jul2019'!AI19&lt;'Tariffs Jul2019'!K19,0,IF($C$5*'Tariffs Jul2019'!AK19/'Tariffs Jul2019'!AI19&lt;='Tariffs Jul2019'!L19,($C$5*'Tariffs Jul2019'!AK19/'Tariffs Jul2019'!AI19-'Tariffs Jul2019'!K19)*('Tariffs Jul2019'!Q19/100)*'Tariffs Jul2019'!AI19,('Tariffs Jul2019'!L19-'Tariffs Jul2019'!K19)*('Tariffs Jul2019'!Q19/100)*'Tariffs Jul2019'!AI19))</f>
        <v>0</v>
      </c>
      <c r="H25" s="59">
        <f>IF($C$5*'Tariffs Jul2019'!AK19/'Tariffs Jul2019'!AI19&lt;'Tariffs Jul2019'!L19,0,IF($C$5*'Tariffs Jul2019'!AK19/'Tariffs Jul2019'!AI19&lt;='Tariffs Jul2019'!M19,($C$5*'Tariffs Jul2019'!AK19/'Tariffs Jul2019'!AI19-'Tariffs Jul2019'!L19)*('Tariffs Jul2019'!R19/100)*'Tariffs Jul2019'!AI19,('Tariffs Jul2019'!M19-'Tariffs Jul2019'!L19)*('Tariffs Jul2019'!R19/100)*'Tariffs Jul2019'!AI19))</f>
        <v>0</v>
      </c>
      <c r="I25" s="59">
        <f>IF(($C$5*'Tariffs Jul2019'!AK19/'Tariffs Jul2019'!AI19&gt;'Tariffs Jul2019'!M19),($C$5*'Tariffs Jul2019'!AK19/'Tariffs Jul2019'!AI19-'Tariffs Jul2019'!M19)*'Tariffs Jul2019'!S19/100*'Tariffs Jul2019'!AI19,0)</f>
        <v>233.18181818181816</v>
      </c>
      <c r="J25" s="59">
        <f>IF($C$5*'Tariffs Jul2019'!AL19/'Tariffs Jul2019'!AJ19&gt;='Tariffs Jul2019'!J19,('Tariffs Jul2019'!J19*'Tariffs Jul2019'!U19/100)* 'Tariffs Jul2019'!AJ19,($C$5*'Tariffs Jul2019'!AL19/'Tariffs Jul2019'!AJ19*'Tariffs Jul2019'!U19/100)* 'Tariffs Jul2019'!AJ19)</f>
        <v>196.36363636363637</v>
      </c>
      <c r="K25" s="59">
        <f>IF($C$5*'Tariffs Jul2019'!AL19/'Tariffs Jul2019'!AJ19&lt;'Tariffs Jul2019'!J19,0,IF($C$5*'Tariffs Jul2019'!AL19/'Tariffs Jul2019'!AJ19&lt;='Tariffs Jul2019'!K19,($C$5*'Tariffs Jul2019'!AL19/'Tariffs Jul2019'!AJ19-'Tariffs Jul2019'!J19)*('Tariffs Jul2019'!V19/100)*'Tariffs Jul2019'!AJ19,('Tariffs Jul2019'!K19-'Tariffs Jul2019'!J19)*('Tariffs Jul2019'!V19/100)*'Tariffs Jul2019'!AJ19))</f>
        <v>147.27272727272725</v>
      </c>
      <c r="L25" s="59">
        <f>IF($C$5*'Tariffs Jul2019'!AL19/'Tariffs Jul2019'!AJ19&lt;'Tariffs Jul2019'!K19,0,IF($C$5*'Tariffs Jul2019'!AL19/'Tariffs Jul2019'!AJ19&lt;='Tariffs Jul2019'!L19,($C$5*'Tariffs Jul2019'!AL19/'Tariffs Jul2019'!AJ19-'Tariffs Jul2019'!K19)*('Tariffs Jul2019'!W19/100)*'Tariffs Jul2019'!AJ19,('Tariffs Jul2019'!L19-'Tariffs Jul2019'!K19)*('Tariffs Jul2019'!W19/100)*'Tariffs Jul2019'!AJ19))</f>
        <v>0</v>
      </c>
      <c r="M25" s="59">
        <f>IF($C$5*'Tariffs Jul2019'!AL19/'Tariffs Jul2019'!AJ19&lt;'Tariffs Jul2019'!L19,0,IF($C$5*'Tariffs Jul2019'!AL19/'Tariffs Jul2019'!AJ19&lt;='Tariffs Jul2019'!M19,($C$5*'Tariffs Jul2019'!AL19/'Tariffs Jul2019'!AJ19-'Tariffs Jul2019'!L19)*('Tariffs Jul2019'!X19/100)*'Tariffs Jul2019'!AJ19,('Tariffs Jul2019'!M19-'Tariffs Jul2019'!L19)*('Tariffs Jul2019'!X19/100)*'Tariffs Jul2019'!AJ19))</f>
        <v>0</v>
      </c>
      <c r="N25" s="59">
        <f>IF(($C$5*'Tariffs Jul2019'!AL19/'Tariffs Jul2019'!AJ19&gt;'Tariffs Jul2019'!M19),($C$5*'Tariffs Jul2019'!AL19/'Tariffs Jul2019'!AJ19-'Tariffs Jul2019'!M19)*'Tariffs Jul2019'!Y19/100*'Tariffs Jul2019'!AJ19,0)</f>
        <v>220.90909090909088</v>
      </c>
      <c r="O25" s="271">
        <f t="shared" si="0"/>
        <v>1157.7272727272725</v>
      </c>
      <c r="P25" s="413">
        <f t="shared" si="1"/>
        <v>1273.4999999999998</v>
      </c>
      <c r="Q25" s="59">
        <f t="shared" si="2"/>
        <v>1449.7272727272725</v>
      </c>
      <c r="R25" s="272">
        <f t="shared" si="3"/>
        <v>1594.6999999999998</v>
      </c>
      <c r="S25" s="40">
        <f>'Tariffs Jul2019'!AN19</f>
        <v>0</v>
      </c>
      <c r="T25" s="40">
        <f>'Tariffs Jul2019'!AO19</f>
        <v>0</v>
      </c>
      <c r="U25" s="40">
        <f>'Tariffs Jul2019'!AP19</f>
        <v>0</v>
      </c>
      <c r="V25" s="40">
        <f>'Tariffs Jul2019'!AQ19</f>
        <v>0</v>
      </c>
      <c r="W25" s="273">
        <f t="shared" si="6"/>
        <v>1449.7272727272725</v>
      </c>
      <c r="X25" s="273">
        <f>W25</f>
        <v>1449.7272727272725</v>
      </c>
      <c r="Y25" s="272">
        <f t="shared" si="4"/>
        <v>1594.6999999999998</v>
      </c>
      <c r="Z25" s="272">
        <f t="shared" si="4"/>
        <v>1594.6999999999998</v>
      </c>
      <c r="AA25" s="274">
        <f>'Tariffs Jul2019'!AZ19</f>
        <v>0</v>
      </c>
      <c r="AB25" s="274" t="str">
        <f>'Tariffs Jul2019'!BA19</f>
        <v>n</v>
      </c>
      <c r="AC25" s="275" t="str">
        <f>'Tariffs Jul2019'!BJ19</f>
        <v>Y</v>
      </c>
      <c r="AD25" s="398"/>
      <c r="AE25" s="398"/>
      <c r="AF25" s="398"/>
      <c r="AG25" s="398"/>
      <c r="AH25" s="398"/>
      <c r="AI25" s="398"/>
      <c r="AJ25" s="398"/>
      <c r="AK25" s="398"/>
      <c r="AL25" s="398"/>
      <c r="AM25" s="398"/>
      <c r="AN25" s="398"/>
    </row>
    <row r="26" spans="1:40" x14ac:dyDescent="0.15">
      <c r="A26" s="270" t="str">
        <f>'Tariffs Jul2019'!F20</f>
        <v>Click Energy</v>
      </c>
      <c r="B26" s="40" t="str">
        <f>'Tariffs Jul2019'!D20</f>
        <v>Multinet Metro 2</v>
      </c>
      <c r="C26" s="40" t="str">
        <f>'Tariffs Jul2019'!G20</f>
        <v>Banksia</v>
      </c>
      <c r="D26" s="59">
        <f>365*'Tariffs Jul2019'!H20/100</f>
        <v>210.93681818181815</v>
      </c>
      <c r="E26" s="59">
        <f>IF($C$5*'Tariffs Jul2019'!AK20/'Tariffs Jul2019'!AI20&gt;='Tariffs Jul2019'!J20,( 'Tariffs Jul2019'!J20*'Tariffs Jul2019'!O20/100)* 'Tariffs Jul2019'!AI20,($C$5*'Tariffs Jul2019'!AK20/'Tariffs Jul2019'!AI20*'Tariffs Jul2019'!O20/100)* 'Tariffs Jul2019'!AI20)</f>
        <v>223.36363636363632</v>
      </c>
      <c r="F26" s="59">
        <f>IF($C$5*'Tariffs Jul2019'!AK20/'Tariffs Jul2019'!AI20&lt;'Tariffs Jul2019'!J20,0,IF($C$5*'Tariffs Jul2019'!AK20/'Tariffs Jul2019'!AI20&lt;='Tariffs Jul2019'!K20,($C$5*'Tariffs Jul2019'!AK20/'Tariffs Jul2019'!AI20-'Tariffs Jul2019'!J20)*('Tariffs Jul2019'!P20/100)*'Tariffs Jul2019'!AI20,('Tariffs Jul2019'!K20-'Tariffs Jul2019'!J20)*('Tariffs Jul2019'!P20/100)*'Tariffs Jul2019'!AI20))</f>
        <v>196.36363636363637</v>
      </c>
      <c r="G26" s="59">
        <f>IF($C$5*'Tariffs Jul2019'!AK20/'Tariffs Jul2019'!AI20&lt;'Tariffs Jul2019'!K20,0,IF($C$5*'Tariffs Jul2019'!AK20/'Tariffs Jul2019'!AI20&lt;='Tariffs Jul2019'!L20,($C$5*'Tariffs Jul2019'!AK20/'Tariffs Jul2019'!AI20-'Tariffs Jul2019'!K20)*('Tariffs Jul2019'!Q20/100)*'Tariffs Jul2019'!AI20,('Tariffs Jul2019'!L20-'Tariffs Jul2019'!K20)*('Tariffs Jul2019'!Q20/100)*'Tariffs Jul2019'!AI20))</f>
        <v>170.18181818181819</v>
      </c>
      <c r="H26" s="59">
        <f>IF($C$5*'Tariffs Jul2019'!AK20/'Tariffs Jul2019'!AI20&lt;'Tariffs Jul2019'!L20,0,IF($C$5*'Tariffs Jul2019'!AK20/'Tariffs Jul2019'!AI20&lt;='Tariffs Jul2019'!M20,($C$5*'Tariffs Jul2019'!AK20/'Tariffs Jul2019'!AI20-'Tariffs Jul2019'!L20)*('Tariffs Jul2019'!R20/100)*'Tariffs Jul2019'!AI20,('Tariffs Jul2019'!M20-'Tariffs Jul2019'!L20)*('Tariffs Jul2019'!R20/100)*'Tariffs Jul2019'!AI20))</f>
        <v>78.136363636363626</v>
      </c>
      <c r="I26" s="59">
        <f>IF(($C$5*'Tariffs Jul2019'!AK20/'Tariffs Jul2019'!AI20&gt;'Tariffs Jul2019'!M20),($C$5*'Tariffs Jul2019'!AK20/'Tariffs Jul2019'!AI20-'Tariffs Jul2019'!M20)*'Tariffs Jul2019'!S20/100*'Tariffs Jul2019'!AI20,0)</f>
        <v>0</v>
      </c>
      <c r="J26" s="59">
        <f>IF($C$5*'Tariffs Jul2019'!AL20/'Tariffs Jul2019'!AJ20&gt;='Tariffs Jul2019'!J20,('Tariffs Jul2019'!J20*'Tariffs Jul2019'!U20/100)* 'Tariffs Jul2019'!AJ20,($C$5*'Tariffs Jul2019'!AL20/'Tariffs Jul2019'!AJ20*'Tariffs Jul2019'!U20/100)* 'Tariffs Jul2019'!AJ20)</f>
        <v>216.81818181818181</v>
      </c>
      <c r="K26" s="59">
        <f>IF($C$5*'Tariffs Jul2019'!AL20/'Tariffs Jul2019'!AJ20&lt;'Tariffs Jul2019'!J20,0,IF($C$5*'Tariffs Jul2019'!AL20/'Tariffs Jul2019'!AJ20&lt;='Tariffs Jul2019'!K20,($C$5*'Tariffs Jul2019'!AL20/'Tariffs Jul2019'!AJ20-'Tariffs Jul2019'!J20)*('Tariffs Jul2019'!V20/100)*'Tariffs Jul2019'!AJ20,('Tariffs Jul2019'!K20-'Tariffs Jul2019'!J20)*('Tariffs Jul2019'!V20/100)*'Tariffs Jul2019'!AJ20))</f>
        <v>193.09090909090907</v>
      </c>
      <c r="L26" s="59">
        <f>IF($C$5*'Tariffs Jul2019'!AL20/'Tariffs Jul2019'!AJ20&lt;'Tariffs Jul2019'!K20,0,IF($C$5*'Tariffs Jul2019'!AL20/'Tariffs Jul2019'!AJ20&lt;='Tariffs Jul2019'!L20,($C$5*'Tariffs Jul2019'!AL20/'Tariffs Jul2019'!AJ20-'Tariffs Jul2019'!K20)*('Tariffs Jul2019'!W20/100)*'Tariffs Jul2019'!AJ20,('Tariffs Jul2019'!L20-'Tariffs Jul2019'!K20)*('Tariffs Jul2019'!W20/100)*'Tariffs Jul2019'!AJ20))</f>
        <v>166.90909090909091</v>
      </c>
      <c r="M26" s="59">
        <f>IF($C$5*'Tariffs Jul2019'!AL20/'Tariffs Jul2019'!AJ20&lt;'Tariffs Jul2019'!L20,0,IF($C$5*'Tariffs Jul2019'!AL20/'Tariffs Jul2019'!AJ20&lt;='Tariffs Jul2019'!M20,($C$5*'Tariffs Jul2019'!AL20/'Tariffs Jul2019'!AJ20-'Tariffs Jul2019'!L20)*('Tariffs Jul2019'!X20/100)*'Tariffs Jul2019'!AJ20,('Tariffs Jul2019'!M20-'Tariffs Jul2019'!L20)*('Tariffs Jul2019'!X20/100)*'Tariffs Jul2019'!AJ20))</f>
        <v>78.136363636363626</v>
      </c>
      <c r="N26" s="59">
        <f>IF(($C$5*'Tariffs Jul2019'!AL20/'Tariffs Jul2019'!AJ20&gt;'Tariffs Jul2019'!M20),($C$5*'Tariffs Jul2019'!AL20/'Tariffs Jul2019'!AJ20-'Tariffs Jul2019'!M20)*'Tariffs Jul2019'!Y20/100*'Tariffs Jul2019'!AJ20,0)</f>
        <v>0</v>
      </c>
      <c r="O26" s="271">
        <f t="shared" si="0"/>
        <v>1323</v>
      </c>
      <c r="P26" s="413">
        <f t="shared" si="1"/>
        <v>1455.3000000000002</v>
      </c>
      <c r="Q26" s="59">
        <f t="shared" si="2"/>
        <v>1533.9368181818181</v>
      </c>
      <c r="R26" s="272">
        <f t="shared" si="3"/>
        <v>1687.3305</v>
      </c>
      <c r="S26" s="40">
        <f>'Tariffs Jul2019'!AN20</f>
        <v>0</v>
      </c>
      <c r="T26" s="40">
        <f>'Tariffs Jul2019'!AO20</f>
        <v>0</v>
      </c>
      <c r="U26" s="40">
        <f>'Tariffs Jul2019'!AP20</f>
        <v>0</v>
      </c>
      <c r="V26" s="40">
        <f>'Tariffs Jul2019'!AQ20</f>
        <v>0</v>
      </c>
      <c r="W26" s="273">
        <f t="shared" si="6"/>
        <v>1533.9368181818181</v>
      </c>
      <c r="X26" s="273">
        <f>W26</f>
        <v>1533.9368181818181</v>
      </c>
      <c r="Y26" s="272">
        <f t="shared" si="4"/>
        <v>1687.3305</v>
      </c>
      <c r="Z26" s="272">
        <f t="shared" si="4"/>
        <v>1687.3305</v>
      </c>
      <c r="AA26" s="274">
        <f>'Tariffs Jul2019'!AZ20</f>
        <v>0</v>
      </c>
      <c r="AB26" s="274" t="str">
        <f>'Tariffs Jul2019'!BA20</f>
        <v>n</v>
      </c>
      <c r="AC26" s="275" t="str">
        <f>'Tariffs Jul2019'!BJ20</f>
        <v>N</v>
      </c>
      <c r="AD26" s="398"/>
      <c r="AE26" s="398"/>
      <c r="AF26" s="398"/>
      <c r="AG26" s="398"/>
      <c r="AH26" s="398"/>
      <c r="AI26" s="398"/>
      <c r="AJ26" s="398"/>
      <c r="AK26" s="398"/>
      <c r="AL26" s="398"/>
      <c r="AM26" s="398"/>
      <c r="AN26" s="398"/>
    </row>
    <row r="27" spans="1:40" x14ac:dyDescent="0.15">
      <c r="A27" s="270" t="str">
        <f>'Tariffs Jul2019'!F21</f>
        <v>Covau</v>
      </c>
      <c r="B27" s="40" t="str">
        <f>'Tariffs Jul2019'!D21</f>
        <v>Multinet Metro 2</v>
      </c>
      <c r="C27" s="40" t="str">
        <f>'Tariffs Jul2019'!G21</f>
        <v>Smart Saver</v>
      </c>
      <c r="D27" s="59">
        <f>365*'Tariffs Jul2019'!H21/100</f>
        <v>284.7</v>
      </c>
      <c r="E27" s="59">
        <f>IF($C$5*'Tariffs Jul2019'!AK21/'Tariffs Jul2019'!AI21&gt;='Tariffs Jul2019'!J21,( 'Tariffs Jul2019'!J21*'Tariffs Jul2019'!O21/100)* 'Tariffs Jul2019'!AI21,($C$5*'Tariffs Jul2019'!AK21/'Tariffs Jul2019'!AI21*'Tariffs Jul2019'!O21/100)* 'Tariffs Jul2019'!AI21)</f>
        <v>261</v>
      </c>
      <c r="F27" s="59">
        <f>IF($C$5*'Tariffs Jul2019'!AK21/'Tariffs Jul2019'!AI21&lt;'Tariffs Jul2019'!J21,0,IF($C$5*'Tariffs Jul2019'!AK21/'Tariffs Jul2019'!AI21&lt;='Tariffs Jul2019'!K21,($C$5*'Tariffs Jul2019'!AK21/'Tariffs Jul2019'!AI21-'Tariffs Jul2019'!J21)*('Tariffs Jul2019'!P21/100)*'Tariffs Jul2019'!AI21,('Tariffs Jul2019'!K21-'Tariffs Jul2019'!J21)*('Tariffs Jul2019'!P21/100)*'Tariffs Jul2019'!AI21))</f>
        <v>469.79999999999995</v>
      </c>
      <c r="G27" s="59">
        <f>IF($C$5*'Tariffs Jul2019'!AK21/'Tariffs Jul2019'!AI21&lt;'Tariffs Jul2019'!K21,0,IF($C$5*'Tariffs Jul2019'!AK21/'Tariffs Jul2019'!AI21&lt;='Tariffs Jul2019'!L21,($C$5*'Tariffs Jul2019'!AK21/'Tariffs Jul2019'!AI21-'Tariffs Jul2019'!K21)*('Tariffs Jul2019'!Q21/100)*'Tariffs Jul2019'!AI21,('Tariffs Jul2019'!L21-'Tariffs Jul2019'!K21)*('Tariffs Jul2019'!Q21/100)*'Tariffs Jul2019'!AI21))</f>
        <v>108</v>
      </c>
      <c r="H27" s="59">
        <f>IF($C$5*'Tariffs Jul2019'!AK21/'Tariffs Jul2019'!AI21&lt;'Tariffs Jul2019'!L21,0,IF($C$5*'Tariffs Jul2019'!AK21/'Tariffs Jul2019'!AI21&lt;='Tariffs Jul2019'!M21,($C$5*'Tariffs Jul2019'!AK21/'Tariffs Jul2019'!AI21-'Tariffs Jul2019'!L21)*('Tariffs Jul2019'!R21/100)*'Tariffs Jul2019'!AI21,('Tariffs Jul2019'!M21-'Tariffs Jul2019'!L21)*('Tariffs Jul2019'!R21/100)*'Tariffs Jul2019'!AI21))</f>
        <v>0</v>
      </c>
      <c r="I27" s="59">
        <f>IF(($C$5*'Tariffs Jul2019'!AK21/'Tariffs Jul2019'!AI21&gt;'Tariffs Jul2019'!M21),($C$5*'Tariffs Jul2019'!AK21/'Tariffs Jul2019'!AI21-'Tariffs Jul2019'!M21)*'Tariffs Jul2019'!S21/100*'Tariffs Jul2019'!AI21,0)</f>
        <v>0</v>
      </c>
      <c r="J27" s="59">
        <f>IF($C$5*'Tariffs Jul2019'!AL21/'Tariffs Jul2019'!AJ21&gt;='Tariffs Jul2019'!J21,('Tariffs Jul2019'!J21*'Tariffs Jul2019'!U21/100)* 'Tariffs Jul2019'!AJ21,($C$5*'Tariffs Jul2019'!AL21/'Tariffs Jul2019'!AJ21*'Tariffs Jul2019'!U21/100)* 'Tariffs Jul2019'!AJ21)</f>
        <v>243.00000000000006</v>
      </c>
      <c r="K27" s="59">
        <f>IF($C$5*'Tariffs Jul2019'!AL21/'Tariffs Jul2019'!AJ21&lt;'Tariffs Jul2019'!J21,0,IF($C$5*'Tariffs Jul2019'!AL21/'Tariffs Jul2019'!AJ21&lt;='Tariffs Jul2019'!K21,($C$5*'Tariffs Jul2019'!AL21/'Tariffs Jul2019'!AJ21-'Tariffs Jul2019'!J21)*('Tariffs Jul2019'!V21/100)*'Tariffs Jul2019'!AJ21,('Tariffs Jul2019'!K21-'Tariffs Jul2019'!J21)*('Tariffs Jul2019'!V21/100)*'Tariffs Jul2019'!AJ21))</f>
        <v>457.20000000000005</v>
      </c>
      <c r="L27" s="59">
        <f>IF($C$5*'Tariffs Jul2019'!AL21/'Tariffs Jul2019'!AJ21&lt;'Tariffs Jul2019'!K21,0,IF($C$5*'Tariffs Jul2019'!AL21/'Tariffs Jul2019'!AJ21&lt;='Tariffs Jul2019'!L21,($C$5*'Tariffs Jul2019'!AL21/'Tariffs Jul2019'!AJ21-'Tariffs Jul2019'!K21)*('Tariffs Jul2019'!W21/100)*'Tariffs Jul2019'!AJ21,('Tariffs Jul2019'!L21-'Tariffs Jul2019'!K21)*('Tariffs Jul2019'!W21/100)*'Tariffs Jul2019'!AJ21))</f>
        <v>94.500000000000014</v>
      </c>
      <c r="M27" s="59">
        <f>IF($C$5*'Tariffs Jul2019'!AL21/'Tariffs Jul2019'!AJ21&lt;'Tariffs Jul2019'!L21,0,IF($C$5*'Tariffs Jul2019'!AL21/'Tariffs Jul2019'!AJ21&lt;='Tariffs Jul2019'!M21,($C$5*'Tariffs Jul2019'!AL21/'Tariffs Jul2019'!AJ21-'Tariffs Jul2019'!L21)*('Tariffs Jul2019'!X21/100)*'Tariffs Jul2019'!AJ21,('Tariffs Jul2019'!M21-'Tariffs Jul2019'!L21)*('Tariffs Jul2019'!X21/100)*'Tariffs Jul2019'!AJ21))</f>
        <v>0</v>
      </c>
      <c r="N27" s="59">
        <f>IF(($C$5*'Tariffs Jul2019'!AL21/'Tariffs Jul2019'!AJ21&gt;'Tariffs Jul2019'!M21),($C$5*'Tariffs Jul2019'!AL21/'Tariffs Jul2019'!AJ21-'Tariffs Jul2019'!M21)*'Tariffs Jul2019'!Y21/100*'Tariffs Jul2019'!AJ21,0)</f>
        <v>0</v>
      </c>
      <c r="O27" s="271">
        <f t="shared" si="0"/>
        <v>1633.5</v>
      </c>
      <c r="P27" s="413">
        <f t="shared" si="1"/>
        <v>1796.8500000000001</v>
      </c>
      <c r="Q27" s="59">
        <f t="shared" si="2"/>
        <v>1918.2</v>
      </c>
      <c r="R27" s="272">
        <f t="shared" si="3"/>
        <v>2110.0200000000004</v>
      </c>
      <c r="S27" s="40">
        <f>'Tariffs Jul2019'!AN21</f>
        <v>0</v>
      </c>
      <c r="T27" s="40">
        <f>'Tariffs Jul2019'!AO21</f>
        <v>0</v>
      </c>
      <c r="U27" s="40">
        <f>'Tariffs Jul2019'!AP21</f>
        <v>0</v>
      </c>
      <c r="V27" s="40">
        <f>'Tariffs Jul2019'!AQ21</f>
        <v>16</v>
      </c>
      <c r="W27" s="273">
        <f t="shared" si="6"/>
        <v>1918.2</v>
      </c>
      <c r="X27" s="273">
        <f>W27-(O27*V27/100)</f>
        <v>1656.8400000000001</v>
      </c>
      <c r="Y27" s="272">
        <f t="shared" si="4"/>
        <v>2110.0200000000004</v>
      </c>
      <c r="Z27" s="272">
        <f t="shared" si="4"/>
        <v>1822.5240000000003</v>
      </c>
      <c r="AA27" s="274">
        <f>'Tariffs Jul2019'!AZ21</f>
        <v>0</v>
      </c>
      <c r="AB27" s="274" t="str">
        <f>'Tariffs Jul2019'!BA21</f>
        <v>n</v>
      </c>
      <c r="AC27" s="275" t="str">
        <f>'Tariffs Jul2019'!BJ21</f>
        <v>N</v>
      </c>
      <c r="AD27" s="398"/>
      <c r="AE27" s="398"/>
      <c r="AF27" s="398"/>
      <c r="AG27" s="398"/>
      <c r="AH27" s="398"/>
      <c r="AI27" s="398"/>
      <c r="AJ27" s="398"/>
      <c r="AK27" s="398"/>
      <c r="AL27" s="398"/>
      <c r="AM27" s="398"/>
      <c r="AN27" s="398"/>
    </row>
    <row r="28" spans="1:40" x14ac:dyDescent="0.15">
      <c r="A28" s="270" t="str">
        <f>'Tariffs Jul2019'!F22</f>
        <v>Dodo Power &amp; Gas</v>
      </c>
      <c r="B28" s="40" t="str">
        <f>'Tariffs Jul2019'!D22</f>
        <v>Multinet Metro 2</v>
      </c>
      <c r="C28" s="40" t="str">
        <f>'Tariffs Jul2019'!G22</f>
        <v>Market offer</v>
      </c>
      <c r="D28" s="59">
        <f>365*'Tariffs Jul2019'!H22/100</f>
        <v>220.2775</v>
      </c>
      <c r="E28" s="59">
        <f>IF($C$5*'Tariffs Jul2019'!AK22/'Tariffs Jul2019'!AI22&gt;='Tariffs Jul2019'!J22,( 'Tariffs Jul2019'!J22*'Tariffs Jul2019'!O22/100)* 'Tariffs Jul2019'!AI22,($C$5*'Tariffs Jul2019'!AK22/'Tariffs Jul2019'!AI22*'Tariffs Jul2019'!O22/100)* 'Tariffs Jul2019'!AI22)</f>
        <v>252</v>
      </c>
      <c r="F28" s="59">
        <f>IF($C$5*'Tariffs Jul2019'!AK22/'Tariffs Jul2019'!AI22&lt;'Tariffs Jul2019'!J22,0,IF($C$5*'Tariffs Jul2019'!AK22/'Tariffs Jul2019'!AI22&lt;='Tariffs Jul2019'!K22,($C$5*'Tariffs Jul2019'!AK22/'Tariffs Jul2019'!AI22-'Tariffs Jul2019'!J22)*('Tariffs Jul2019'!P22/100)*'Tariffs Jul2019'!AI22,('Tariffs Jul2019'!K22-'Tariffs Jul2019'!J22)*('Tariffs Jul2019'!P22/100)*'Tariffs Jul2019'!AI22))</f>
        <v>225</v>
      </c>
      <c r="G28" s="59">
        <f>IF($C$5*'Tariffs Jul2019'!AK22/'Tariffs Jul2019'!AI22&lt;'Tariffs Jul2019'!K22,0,IF($C$5*'Tariffs Jul2019'!AK22/'Tariffs Jul2019'!AI22&lt;='Tariffs Jul2019'!L22,($C$5*'Tariffs Jul2019'!AK22/'Tariffs Jul2019'!AI22-'Tariffs Jul2019'!K22)*('Tariffs Jul2019'!Q22/100)*'Tariffs Jul2019'!AI22,('Tariffs Jul2019'!L22-'Tariffs Jul2019'!K22)*('Tariffs Jul2019'!Q22/100)*'Tariffs Jul2019'!AI22))</f>
        <v>202.90909090909093</v>
      </c>
      <c r="H28" s="59">
        <f>IF($C$5*'Tariffs Jul2019'!AK22/'Tariffs Jul2019'!AI22&lt;'Tariffs Jul2019'!L22,0,IF($C$5*'Tariffs Jul2019'!AK22/'Tariffs Jul2019'!AI22&lt;='Tariffs Jul2019'!M22,($C$5*'Tariffs Jul2019'!AK22/'Tariffs Jul2019'!AI22-'Tariffs Jul2019'!L22)*('Tariffs Jul2019'!R22/100)*'Tariffs Jul2019'!AI22,('Tariffs Jul2019'!M22-'Tariffs Jul2019'!L22)*('Tariffs Jul2019'!R22/100)*'Tariffs Jul2019'!AI22))</f>
        <v>99</v>
      </c>
      <c r="I28" s="59">
        <f>IF(($C$5*'Tariffs Jul2019'!AK22/'Tariffs Jul2019'!AI22&gt;'Tariffs Jul2019'!M22),($C$5*'Tariffs Jul2019'!AK22/'Tariffs Jul2019'!AI22-'Tariffs Jul2019'!M22)*'Tariffs Jul2019'!S22/100*'Tariffs Jul2019'!AI22,0)</f>
        <v>0</v>
      </c>
      <c r="J28" s="59">
        <f>IF($C$5*'Tariffs Jul2019'!AL22/'Tariffs Jul2019'!AJ22&gt;='Tariffs Jul2019'!J22,('Tariffs Jul2019'!J22*'Tariffs Jul2019'!U22/100)* 'Tariffs Jul2019'!AJ22,($C$5*'Tariffs Jul2019'!AL22/'Tariffs Jul2019'!AJ22*'Tariffs Jul2019'!U22/100)* 'Tariffs Jul2019'!AJ22)</f>
        <v>238.90909090909088</v>
      </c>
      <c r="K28" s="59">
        <f>IF($C$5*'Tariffs Jul2019'!AL22/'Tariffs Jul2019'!AJ22&lt;'Tariffs Jul2019'!J22,0,IF($C$5*'Tariffs Jul2019'!AL22/'Tariffs Jul2019'!AJ22&lt;='Tariffs Jul2019'!K22,($C$5*'Tariffs Jul2019'!AL22/'Tariffs Jul2019'!AJ22-'Tariffs Jul2019'!J22)*('Tariffs Jul2019'!V22/100)*'Tariffs Jul2019'!AJ22,('Tariffs Jul2019'!K22-'Tariffs Jul2019'!J22)*('Tariffs Jul2019'!V22/100)*'Tariffs Jul2019'!AJ22))</f>
        <v>216</v>
      </c>
      <c r="L28" s="59">
        <f>IF($C$5*'Tariffs Jul2019'!AL22/'Tariffs Jul2019'!AJ22&lt;'Tariffs Jul2019'!K22,0,IF($C$5*'Tariffs Jul2019'!AL22/'Tariffs Jul2019'!AJ22&lt;='Tariffs Jul2019'!L22,($C$5*'Tariffs Jul2019'!AL22/'Tariffs Jul2019'!AJ22-'Tariffs Jul2019'!K22)*('Tariffs Jul2019'!W22/100)*'Tariffs Jul2019'!AJ22,('Tariffs Jul2019'!L22-'Tariffs Jul2019'!K22)*('Tariffs Jul2019'!W22/100)*'Tariffs Jul2019'!AJ22))</f>
        <v>198</v>
      </c>
      <c r="M28" s="59">
        <f>IF($C$5*'Tariffs Jul2019'!AL22/'Tariffs Jul2019'!AJ22&lt;'Tariffs Jul2019'!L22,0,IF($C$5*'Tariffs Jul2019'!AL22/'Tariffs Jul2019'!AJ22&lt;='Tariffs Jul2019'!M22,($C$5*'Tariffs Jul2019'!AL22/'Tariffs Jul2019'!AJ22-'Tariffs Jul2019'!L22)*('Tariffs Jul2019'!X22/100)*'Tariffs Jul2019'!AJ22,('Tariffs Jul2019'!M22-'Tariffs Jul2019'!L22)*('Tariffs Jul2019'!X22/100)*'Tariffs Jul2019'!AJ22))</f>
        <v>96.954545454545467</v>
      </c>
      <c r="N28" s="59">
        <f>IF(($C$5*'Tariffs Jul2019'!AL22/'Tariffs Jul2019'!AJ22&gt;'Tariffs Jul2019'!M22),($C$5*'Tariffs Jul2019'!AL22/'Tariffs Jul2019'!AJ22-'Tariffs Jul2019'!M22)*'Tariffs Jul2019'!Y22/100*'Tariffs Jul2019'!AJ22,0)</f>
        <v>0</v>
      </c>
      <c r="O28" s="271">
        <f t="shared" si="0"/>
        <v>1528.7727272727275</v>
      </c>
      <c r="P28" s="413">
        <f t="shared" si="1"/>
        <v>1681.6500000000003</v>
      </c>
      <c r="Q28" s="59">
        <f t="shared" si="2"/>
        <v>1749.0502272727274</v>
      </c>
      <c r="R28" s="272">
        <f t="shared" si="3"/>
        <v>1923.9552500000002</v>
      </c>
      <c r="S28" s="40">
        <f>'Tariffs Jul2019'!AN22</f>
        <v>0</v>
      </c>
      <c r="T28" s="40">
        <f>'Tariffs Jul2019'!AO22</f>
        <v>0</v>
      </c>
      <c r="U28" s="40">
        <f>'Tariffs Jul2019'!AP22</f>
        <v>0</v>
      </c>
      <c r="V28" s="40">
        <f>'Tariffs Jul2019'!AQ22</f>
        <v>20</v>
      </c>
      <c r="W28" s="273">
        <f t="shared" si="6"/>
        <v>1749.0502272727274</v>
      </c>
      <c r="X28" s="273">
        <f>W28-(O28*V28/100)</f>
        <v>1443.2956818181819</v>
      </c>
      <c r="Y28" s="272">
        <f t="shared" si="4"/>
        <v>1923.9552500000002</v>
      </c>
      <c r="Z28" s="272">
        <f t="shared" si="4"/>
        <v>1587.6252500000003</v>
      </c>
      <c r="AA28" s="274">
        <f>'Tariffs Jul2019'!AZ22</f>
        <v>0</v>
      </c>
      <c r="AB28" s="274" t="str">
        <f>'Tariffs Jul2019'!BA22</f>
        <v>n</v>
      </c>
      <c r="AC28" s="275" t="str">
        <f>'Tariffs Jul2019'!BJ22</f>
        <v>Y</v>
      </c>
      <c r="AD28" s="398"/>
      <c r="AE28" s="398"/>
      <c r="AF28" s="398"/>
      <c r="AG28" s="398"/>
      <c r="AH28" s="398"/>
      <c r="AI28" s="398"/>
      <c r="AJ28" s="398"/>
      <c r="AK28" s="398"/>
      <c r="AL28" s="398"/>
      <c r="AM28" s="398"/>
      <c r="AN28" s="398"/>
    </row>
    <row r="29" spans="1:40" x14ac:dyDescent="0.15">
      <c r="A29" s="270" t="str">
        <f>'Tariffs Jul2019'!F23</f>
        <v>EnergyAustralia</v>
      </c>
      <c r="B29" s="40" t="str">
        <f>'Tariffs Jul2019'!D23</f>
        <v>Multinet Metro 2</v>
      </c>
      <c r="C29" s="40" t="str">
        <f>'Tariffs Jul2019'!G23</f>
        <v>Total Plan</v>
      </c>
      <c r="D29" s="59">
        <f>365*'Tariffs Jul2019'!H23/100</f>
        <v>286.52499999999998</v>
      </c>
      <c r="E29" s="59">
        <f>IF($C$5*'Tariffs Jul2019'!AK23/'Tariffs Jul2019'!AI23&gt;='Tariffs Jul2019'!J23,( 'Tariffs Jul2019'!J23*'Tariffs Jul2019'!O23/100)* 'Tariffs Jul2019'!AI23,($C$5*'Tariffs Jul2019'!AK23/'Tariffs Jul2019'!AI23*'Tariffs Jul2019'!O23/100)* 'Tariffs Jul2019'!AI23)</f>
        <v>460.79999999999995</v>
      </c>
      <c r="F29" s="59">
        <f>IF($C$5*'Tariffs Jul2019'!AK23/'Tariffs Jul2019'!AI23&lt;'Tariffs Jul2019'!J23,0,IF($C$5*'Tariffs Jul2019'!AK23/'Tariffs Jul2019'!AI23&lt;='Tariffs Jul2019'!K23,($C$5*'Tariffs Jul2019'!AK23/'Tariffs Jul2019'!AI23-'Tariffs Jul2019'!J23)*('Tariffs Jul2019'!P23/100)*'Tariffs Jul2019'!AI23,('Tariffs Jul2019'!K23-'Tariffs Jul2019'!J23)*('Tariffs Jul2019'!P23/100)*'Tariffs Jul2019'!AI23))</f>
        <v>0</v>
      </c>
      <c r="G29" s="59">
        <f>IF($C$5*'Tariffs Jul2019'!AK23/'Tariffs Jul2019'!AI23&lt;'Tariffs Jul2019'!K23,0,IF($C$5*'Tariffs Jul2019'!AK23/'Tariffs Jul2019'!AI23&lt;='Tariffs Jul2019'!L23,($C$5*'Tariffs Jul2019'!AK23/'Tariffs Jul2019'!AI23-'Tariffs Jul2019'!K23)*('Tariffs Jul2019'!Q23/100)*'Tariffs Jul2019'!AI23,('Tariffs Jul2019'!L23-'Tariffs Jul2019'!K23)*('Tariffs Jul2019'!Q23/100)*'Tariffs Jul2019'!AI23))</f>
        <v>0</v>
      </c>
      <c r="H29" s="59">
        <f>IF($C$5*'Tariffs Jul2019'!AK23/'Tariffs Jul2019'!AI23&lt;'Tariffs Jul2019'!L23,0,IF($C$5*'Tariffs Jul2019'!AK23/'Tariffs Jul2019'!AI23&lt;='Tariffs Jul2019'!M23,($C$5*'Tariffs Jul2019'!AK23/'Tariffs Jul2019'!AI23-'Tariffs Jul2019'!L23)*('Tariffs Jul2019'!R23/100)*'Tariffs Jul2019'!AI23,('Tariffs Jul2019'!M23-'Tariffs Jul2019'!L23)*('Tariffs Jul2019'!R23/100)*'Tariffs Jul2019'!AI23))</f>
        <v>0</v>
      </c>
      <c r="I29" s="59">
        <f>IF(($C$5*'Tariffs Jul2019'!AK23/'Tariffs Jul2019'!AI23&gt;'Tariffs Jul2019'!M23),($C$5*'Tariffs Jul2019'!AK23/'Tariffs Jul2019'!AI23-'Tariffs Jul2019'!M23)*'Tariffs Jul2019'!S23/100*'Tariffs Jul2019'!AI23,0)</f>
        <v>251.10000000000002</v>
      </c>
      <c r="J29" s="59">
        <f>IF($C$5*'Tariffs Jul2019'!AL23/'Tariffs Jul2019'!AJ23&gt;='Tariffs Jul2019'!J23,('Tariffs Jul2019'!J23*'Tariffs Jul2019'!U23/100)* 'Tariffs Jul2019'!AJ23,($C$5*'Tariffs Jul2019'!AL23/'Tariffs Jul2019'!AJ23*'Tariffs Jul2019'!U23/100)* 'Tariffs Jul2019'!AJ23)</f>
        <v>460.79999999999995</v>
      </c>
      <c r="K29" s="59">
        <f>IF($C$5*'Tariffs Jul2019'!AL23/'Tariffs Jul2019'!AJ23&lt;'Tariffs Jul2019'!J23,0,IF($C$5*'Tariffs Jul2019'!AL23/'Tariffs Jul2019'!AJ23&lt;='Tariffs Jul2019'!K23,($C$5*'Tariffs Jul2019'!AL23/'Tariffs Jul2019'!AJ23-'Tariffs Jul2019'!J23)*('Tariffs Jul2019'!V23/100)*'Tariffs Jul2019'!AJ23,('Tariffs Jul2019'!K23-'Tariffs Jul2019'!J23)*('Tariffs Jul2019'!V23/100)*'Tariffs Jul2019'!AJ23))</f>
        <v>0</v>
      </c>
      <c r="L29" s="59">
        <f>IF($C$5*'Tariffs Jul2019'!AL23/'Tariffs Jul2019'!AJ23&lt;'Tariffs Jul2019'!K23,0,IF($C$5*'Tariffs Jul2019'!AL23/'Tariffs Jul2019'!AJ23&lt;='Tariffs Jul2019'!L23,($C$5*'Tariffs Jul2019'!AL23/'Tariffs Jul2019'!AJ23-'Tariffs Jul2019'!K23)*('Tariffs Jul2019'!W23/100)*'Tariffs Jul2019'!AJ23,('Tariffs Jul2019'!L23-'Tariffs Jul2019'!K23)*('Tariffs Jul2019'!W23/100)*'Tariffs Jul2019'!AJ23))</f>
        <v>0</v>
      </c>
      <c r="M29" s="59">
        <f>IF($C$5*'Tariffs Jul2019'!AL23/'Tariffs Jul2019'!AJ23&lt;'Tariffs Jul2019'!L23,0,IF($C$5*'Tariffs Jul2019'!AL23/'Tariffs Jul2019'!AJ23&lt;='Tariffs Jul2019'!M23,($C$5*'Tariffs Jul2019'!AL23/'Tariffs Jul2019'!AJ23-'Tariffs Jul2019'!L23)*('Tariffs Jul2019'!X23/100)*'Tariffs Jul2019'!AJ23,('Tariffs Jul2019'!M23-'Tariffs Jul2019'!L23)*('Tariffs Jul2019'!X23/100)*'Tariffs Jul2019'!AJ23))</f>
        <v>0</v>
      </c>
      <c r="N29" s="59">
        <f>IF(($C$5*'Tariffs Jul2019'!AL23/'Tariffs Jul2019'!AJ23&gt;'Tariffs Jul2019'!M23),($C$5*'Tariffs Jul2019'!AL23/'Tariffs Jul2019'!AJ23-'Tariffs Jul2019'!M23)*'Tariffs Jul2019'!Y23/100*'Tariffs Jul2019'!AJ23,0)</f>
        <v>251.10000000000002</v>
      </c>
      <c r="O29" s="271">
        <f t="shared" si="0"/>
        <v>1423.7999999999997</v>
      </c>
      <c r="P29" s="413">
        <f t="shared" si="1"/>
        <v>1566.1799999999998</v>
      </c>
      <c r="Q29" s="59">
        <f t="shared" si="2"/>
        <v>1710.3249999999998</v>
      </c>
      <c r="R29" s="272">
        <f t="shared" si="3"/>
        <v>1881.3574999999998</v>
      </c>
      <c r="S29" s="40">
        <f>'Tariffs Jul2019'!AN23</f>
        <v>24</v>
      </c>
      <c r="T29" s="40">
        <f>'Tariffs Jul2019'!AO23</f>
        <v>0</v>
      </c>
      <c r="U29" s="40">
        <f>'Tariffs Jul2019'!AP23</f>
        <v>0</v>
      </c>
      <c r="V29" s="40">
        <f>'Tariffs Jul2019'!AQ23</f>
        <v>0</v>
      </c>
      <c r="W29" s="273">
        <f>Q29-(Q29*S29/100)</f>
        <v>1299.8469999999998</v>
      </c>
      <c r="X29" s="273">
        <f>W29</f>
        <v>1299.8469999999998</v>
      </c>
      <c r="Y29" s="272">
        <f t="shared" si="4"/>
        <v>1429.8317</v>
      </c>
      <c r="Z29" s="272">
        <f t="shared" si="4"/>
        <v>1429.8317</v>
      </c>
      <c r="AA29" s="274">
        <f>'Tariffs Jul2019'!AZ23</f>
        <v>0</v>
      </c>
      <c r="AB29" s="274" t="str">
        <f>'Tariffs Jul2019'!BA23</f>
        <v>n</v>
      </c>
      <c r="AC29" s="275" t="str">
        <f>'Tariffs Jul2019'!BJ23</f>
        <v>N</v>
      </c>
      <c r="AD29" s="398"/>
      <c r="AE29" s="398"/>
      <c r="AF29" s="398"/>
      <c r="AG29" s="398"/>
      <c r="AH29" s="398"/>
      <c r="AI29" s="398"/>
      <c r="AJ29" s="398"/>
      <c r="AK29" s="398"/>
      <c r="AL29" s="398"/>
      <c r="AM29" s="398"/>
      <c r="AN29" s="398"/>
    </row>
    <row r="30" spans="1:40" x14ac:dyDescent="0.15">
      <c r="A30" s="270" t="str">
        <f>'Tariffs Jul2019'!F24</f>
        <v>Lumo Energy</v>
      </c>
      <c r="B30" s="40" t="str">
        <f>'Tariffs Jul2019'!D24</f>
        <v>Multinet Metro 2</v>
      </c>
      <c r="C30" s="40" t="str">
        <f>'Tariffs Jul2019'!G24</f>
        <v>Value</v>
      </c>
      <c r="D30" s="59">
        <f>365*'Tariffs Jul2019'!H24/100</f>
        <v>237.25</v>
      </c>
      <c r="E30" s="59">
        <f>IF($C$5*'Tariffs Jul2019'!AK24/'Tariffs Jul2019'!AI24&gt;='Tariffs Jul2019'!J24,( 'Tariffs Jul2019'!J24*'Tariffs Jul2019'!O24/100)* 'Tariffs Jul2019'!AI24,($C$5*'Tariffs Jul2019'!AK24/'Tariffs Jul2019'!AI24*'Tariffs Jul2019'!O24/100)* 'Tariffs Jul2019'!AI24)</f>
        <v>189</v>
      </c>
      <c r="F30" s="59">
        <f>IF($C$5*'Tariffs Jul2019'!AK24/'Tariffs Jul2019'!AI24&lt;'Tariffs Jul2019'!J24,0,IF($C$5*'Tariffs Jul2019'!AK24/'Tariffs Jul2019'!AI24&lt;='Tariffs Jul2019'!K24,($C$5*'Tariffs Jul2019'!AK24/'Tariffs Jul2019'!AI24-'Tariffs Jul2019'!J24)*('Tariffs Jul2019'!P24/100)*'Tariffs Jul2019'!AI24,('Tariffs Jul2019'!K24-'Tariffs Jul2019'!J24)*('Tariffs Jul2019'!P24/100)*'Tariffs Jul2019'!AI24))</f>
        <v>175.5</v>
      </c>
      <c r="G30" s="59">
        <f>IF($C$5*'Tariffs Jul2019'!AK24/'Tariffs Jul2019'!AI24&lt;'Tariffs Jul2019'!K24,0,IF($C$5*'Tariffs Jul2019'!AK24/'Tariffs Jul2019'!AI24&lt;='Tariffs Jul2019'!L24,($C$5*'Tariffs Jul2019'!AK24/'Tariffs Jul2019'!AI24-'Tariffs Jul2019'!K24)*('Tariffs Jul2019'!Q24/100)*'Tariffs Jul2019'!AI24,('Tariffs Jul2019'!L24-'Tariffs Jul2019'!K24)*('Tariffs Jul2019'!Q24/100)*'Tariffs Jul2019'!AI24))</f>
        <v>162.00000000000003</v>
      </c>
      <c r="H30" s="59">
        <f>IF($C$5*'Tariffs Jul2019'!AK24/'Tariffs Jul2019'!AI24&lt;'Tariffs Jul2019'!L24,0,IF($C$5*'Tariffs Jul2019'!AK24/'Tariffs Jul2019'!AI24&lt;='Tariffs Jul2019'!M24,($C$5*'Tariffs Jul2019'!AK24/'Tariffs Jul2019'!AI24-'Tariffs Jul2019'!L24)*('Tariffs Jul2019'!R24/100)*'Tariffs Jul2019'!AI24,('Tariffs Jul2019'!M24-'Tariffs Jul2019'!L24)*('Tariffs Jul2019'!R24/100)*'Tariffs Jul2019'!AI24))</f>
        <v>72</v>
      </c>
      <c r="I30" s="59">
        <f>IF(($C$5*'Tariffs Jul2019'!AK24/'Tariffs Jul2019'!AI24&gt;'Tariffs Jul2019'!M24),($C$5*'Tariffs Jul2019'!AK24/'Tariffs Jul2019'!AI24-'Tariffs Jul2019'!M24)*'Tariffs Jul2019'!S24/100*'Tariffs Jul2019'!AI24,0)</f>
        <v>0</v>
      </c>
      <c r="J30" s="59">
        <f>IF($C$5*'Tariffs Jul2019'!AL24/'Tariffs Jul2019'!AJ24&gt;='Tariffs Jul2019'!J24,('Tariffs Jul2019'!J24*'Tariffs Jul2019'!U24/100)* 'Tariffs Jul2019'!AJ24,($C$5*'Tariffs Jul2019'!AL24/'Tariffs Jul2019'!AJ24*'Tariffs Jul2019'!U24/100)* 'Tariffs Jul2019'!AJ24)</f>
        <v>180</v>
      </c>
      <c r="K30" s="59">
        <f>IF($C$5*'Tariffs Jul2019'!AL24/'Tariffs Jul2019'!AJ24&lt;'Tariffs Jul2019'!J24,0,IF($C$5*'Tariffs Jul2019'!AL24/'Tariffs Jul2019'!AJ24&lt;='Tariffs Jul2019'!K24,($C$5*'Tariffs Jul2019'!AL24/'Tariffs Jul2019'!AJ24-'Tariffs Jul2019'!J24)*('Tariffs Jul2019'!V24/100)*'Tariffs Jul2019'!AJ24,('Tariffs Jul2019'!K24-'Tariffs Jul2019'!J24)*('Tariffs Jul2019'!V24/100)*'Tariffs Jul2019'!AJ24))</f>
        <v>162.00000000000003</v>
      </c>
      <c r="L30" s="59">
        <f>IF($C$5*'Tariffs Jul2019'!AL24/'Tariffs Jul2019'!AJ24&lt;'Tariffs Jul2019'!K24,0,IF($C$5*'Tariffs Jul2019'!AL24/'Tariffs Jul2019'!AJ24&lt;='Tariffs Jul2019'!L24,($C$5*'Tariffs Jul2019'!AL24/'Tariffs Jul2019'!AJ24-'Tariffs Jul2019'!K24)*('Tariffs Jul2019'!W24/100)*'Tariffs Jul2019'!AJ24,('Tariffs Jul2019'!L24-'Tariffs Jul2019'!K24)*('Tariffs Jul2019'!W24/100)*'Tariffs Jul2019'!AJ24))</f>
        <v>153.00000000000003</v>
      </c>
      <c r="M30" s="59">
        <f>IF($C$5*'Tariffs Jul2019'!AL24/'Tariffs Jul2019'!AJ24&lt;'Tariffs Jul2019'!L24,0,IF($C$5*'Tariffs Jul2019'!AL24/'Tariffs Jul2019'!AJ24&lt;='Tariffs Jul2019'!M24,($C$5*'Tariffs Jul2019'!AL24/'Tariffs Jul2019'!AJ24-'Tariffs Jul2019'!L24)*('Tariffs Jul2019'!X24/100)*'Tariffs Jul2019'!AJ24,('Tariffs Jul2019'!M24-'Tariffs Jul2019'!L24)*('Tariffs Jul2019'!X24/100)*'Tariffs Jul2019'!AJ24))</f>
        <v>67.5</v>
      </c>
      <c r="N30" s="59">
        <f>IF(($C$5*'Tariffs Jul2019'!AL24/'Tariffs Jul2019'!AJ24&gt;'Tariffs Jul2019'!M24),($C$5*'Tariffs Jul2019'!AL24/'Tariffs Jul2019'!AJ24-'Tariffs Jul2019'!M24)*'Tariffs Jul2019'!Y24/100*'Tariffs Jul2019'!AJ24,0)</f>
        <v>0</v>
      </c>
      <c r="O30" s="271">
        <f t="shared" si="0"/>
        <v>1161</v>
      </c>
      <c r="P30" s="413">
        <f t="shared" si="1"/>
        <v>1277.1000000000001</v>
      </c>
      <c r="Q30" s="59">
        <f t="shared" si="2"/>
        <v>1398.25</v>
      </c>
      <c r="R30" s="272">
        <f t="shared" si="3"/>
        <v>1538.075</v>
      </c>
      <c r="S30" s="40">
        <f>'Tariffs Jul2019'!AN24</f>
        <v>0</v>
      </c>
      <c r="T30" s="40">
        <f>'Tariffs Jul2019'!AO24</f>
        <v>0</v>
      </c>
      <c r="U30" s="40">
        <f>'Tariffs Jul2019'!AP24</f>
        <v>3</v>
      </c>
      <c r="V30" s="40">
        <f>'Tariffs Jul2019'!AQ24</f>
        <v>0</v>
      </c>
      <c r="W30" s="273">
        <f>Q30</f>
        <v>1398.25</v>
      </c>
      <c r="X30" s="273">
        <f>W30-(Q30*U30/100)</f>
        <v>1356.3025</v>
      </c>
      <c r="Y30" s="272">
        <f t="shared" si="4"/>
        <v>1538.075</v>
      </c>
      <c r="Z30" s="272">
        <f t="shared" si="4"/>
        <v>1491.9327500000002</v>
      </c>
      <c r="AA30" s="274">
        <f>'Tariffs Jul2019'!AZ24</f>
        <v>0</v>
      </c>
      <c r="AB30" s="274" t="str">
        <f>'Tariffs Jul2019'!BA24</f>
        <v>n</v>
      </c>
      <c r="AC30" s="275" t="str">
        <f>'Tariffs Jul2019'!BJ24</f>
        <v>N</v>
      </c>
      <c r="AD30" s="398"/>
      <c r="AE30" s="398"/>
      <c r="AF30" s="398"/>
      <c r="AG30" s="398"/>
      <c r="AH30" s="398"/>
      <c r="AI30" s="398"/>
      <c r="AJ30" s="398"/>
      <c r="AK30" s="398"/>
      <c r="AL30" s="398"/>
      <c r="AM30" s="398"/>
      <c r="AN30" s="398"/>
    </row>
    <row r="31" spans="1:40" x14ac:dyDescent="0.15">
      <c r="A31" s="270" t="str">
        <f>'Tariffs Jul2019'!F25</f>
        <v>Momentum Energy</v>
      </c>
      <c r="B31" s="40" t="str">
        <f>'Tariffs Jul2019'!D25</f>
        <v>Multinet Metro 2</v>
      </c>
      <c r="C31" s="40" t="str">
        <f>'Tariffs Jul2019'!G25</f>
        <v>Market offer</v>
      </c>
      <c r="D31" s="59">
        <f>365*'Tariffs Jul2019'!H25/100</f>
        <v>297.25599999999997</v>
      </c>
      <c r="E31" s="59">
        <f>IF($C$5*'Tariffs Jul2019'!AK25/'Tariffs Jul2019'!AI25&gt;='Tariffs Jul2019'!J25,( 'Tariffs Jul2019'!J25*'Tariffs Jul2019'!O25/100)* 'Tariffs Jul2019'!AI25,($C$5*'Tariffs Jul2019'!AK25/'Tariffs Jul2019'!AI25*'Tariffs Jul2019'!O25/100)* 'Tariffs Jul2019'!AI25)</f>
        <v>167.22</v>
      </c>
      <c r="F31" s="59">
        <f>IF($C$5*'Tariffs Jul2019'!AK25/'Tariffs Jul2019'!AI25&lt;'Tariffs Jul2019'!J25,0,IF($C$5*'Tariffs Jul2019'!AK25/'Tariffs Jul2019'!AI25&lt;='Tariffs Jul2019'!K25,($C$5*'Tariffs Jul2019'!AK25/'Tariffs Jul2019'!AI25-'Tariffs Jul2019'!J25)*('Tariffs Jul2019'!P25/100)*'Tariffs Jul2019'!AI25,('Tariffs Jul2019'!K25-'Tariffs Jul2019'!J25)*('Tariffs Jul2019'!P25/100)*'Tariffs Jul2019'!AI25))</f>
        <v>152.72999999999999</v>
      </c>
      <c r="G31" s="59">
        <f>IF($C$5*'Tariffs Jul2019'!AK25/'Tariffs Jul2019'!AI25&lt;'Tariffs Jul2019'!K25,0,IF($C$5*'Tariffs Jul2019'!AK25/'Tariffs Jul2019'!AI25&lt;='Tariffs Jul2019'!L25,($C$5*'Tariffs Jul2019'!AK25/'Tariffs Jul2019'!AI25-'Tariffs Jul2019'!K25)*('Tariffs Jul2019'!Q25/100)*'Tariffs Jul2019'!AI25,('Tariffs Jul2019'!L25-'Tariffs Jul2019'!K25)*('Tariffs Jul2019'!Q25/100)*'Tariffs Jul2019'!AI25))</f>
        <v>135.18</v>
      </c>
      <c r="H31" s="59">
        <f>IF($C$5*'Tariffs Jul2019'!AK25/'Tariffs Jul2019'!AI25&lt;'Tariffs Jul2019'!L25,0,IF($C$5*'Tariffs Jul2019'!AK25/'Tariffs Jul2019'!AI25&lt;='Tariffs Jul2019'!M25,($C$5*'Tariffs Jul2019'!AK25/'Tariffs Jul2019'!AI25-'Tariffs Jul2019'!L25)*('Tariffs Jul2019'!R25/100)*'Tariffs Jul2019'!AI25,('Tariffs Jul2019'!M25-'Tariffs Jul2019'!L25)*('Tariffs Jul2019'!R25/100)*'Tariffs Jul2019'!AI25))</f>
        <v>62.91</v>
      </c>
      <c r="I31" s="59">
        <f>IF(($C$5*'Tariffs Jul2019'!AK25/'Tariffs Jul2019'!AI25&gt;'Tariffs Jul2019'!M25),($C$5*'Tariffs Jul2019'!AK25/'Tariffs Jul2019'!AI25-'Tariffs Jul2019'!M25)*'Tariffs Jul2019'!S25/100*'Tariffs Jul2019'!AI25,0)</f>
        <v>0</v>
      </c>
      <c r="J31" s="59">
        <f>IF($C$5*'Tariffs Jul2019'!AL25/'Tariffs Jul2019'!AJ25&gt;='Tariffs Jul2019'!J25,('Tariffs Jul2019'!J25*'Tariffs Jul2019'!U25/100)* 'Tariffs Jul2019'!AJ25,($C$5*'Tariffs Jul2019'!AL25/'Tariffs Jul2019'!AJ25*'Tariffs Jul2019'!U25/100)* 'Tariffs Jul2019'!AJ25)</f>
        <v>154.35000000000002</v>
      </c>
      <c r="K31" s="59">
        <f>IF($C$5*'Tariffs Jul2019'!AL25/'Tariffs Jul2019'!AJ25&lt;'Tariffs Jul2019'!J25,0,IF($C$5*'Tariffs Jul2019'!AL25/'Tariffs Jul2019'!AJ25&lt;='Tariffs Jul2019'!K25,($C$5*'Tariffs Jul2019'!AL25/'Tariffs Jul2019'!AJ25-'Tariffs Jul2019'!J25)*('Tariffs Jul2019'!V25/100)*'Tariffs Jul2019'!AJ25,('Tariffs Jul2019'!K25-'Tariffs Jul2019'!J25)*('Tariffs Jul2019'!V25/100)*'Tariffs Jul2019'!AJ25))</f>
        <v>142.20000000000002</v>
      </c>
      <c r="L31" s="59">
        <f>IF($C$5*'Tariffs Jul2019'!AL25/'Tariffs Jul2019'!AJ25&lt;'Tariffs Jul2019'!K25,0,IF($C$5*'Tariffs Jul2019'!AL25/'Tariffs Jul2019'!AJ25&lt;='Tariffs Jul2019'!L25,($C$5*'Tariffs Jul2019'!AL25/'Tariffs Jul2019'!AJ25-'Tariffs Jul2019'!K25)*('Tariffs Jul2019'!W25/100)*'Tariffs Jul2019'!AJ25,('Tariffs Jul2019'!L25-'Tariffs Jul2019'!K25)*('Tariffs Jul2019'!W25/100)*'Tariffs Jul2019'!AJ25))</f>
        <v>127.26</v>
      </c>
      <c r="M31" s="59">
        <f>IF($C$5*'Tariffs Jul2019'!AL25/'Tariffs Jul2019'!AJ25&lt;'Tariffs Jul2019'!L25,0,IF($C$5*'Tariffs Jul2019'!AL25/'Tariffs Jul2019'!AJ25&lt;='Tariffs Jul2019'!M25,($C$5*'Tariffs Jul2019'!AL25/'Tariffs Jul2019'!AJ25-'Tariffs Jul2019'!L25)*('Tariffs Jul2019'!X25/100)*'Tariffs Jul2019'!AJ25,('Tariffs Jul2019'!M25-'Tariffs Jul2019'!L25)*('Tariffs Jul2019'!X25/100)*'Tariffs Jul2019'!AJ25))</f>
        <v>59.67</v>
      </c>
      <c r="N31" s="59">
        <f>IF(($C$5*'Tariffs Jul2019'!AL25/'Tariffs Jul2019'!AJ25&gt;'Tariffs Jul2019'!M25),($C$5*'Tariffs Jul2019'!AL25/'Tariffs Jul2019'!AJ25-'Tariffs Jul2019'!M25)*'Tariffs Jul2019'!Y25/100*'Tariffs Jul2019'!AJ25,0)</f>
        <v>0</v>
      </c>
      <c r="O31" s="271">
        <f t="shared" si="0"/>
        <v>1001.52</v>
      </c>
      <c r="P31" s="413">
        <f t="shared" si="1"/>
        <v>1101.672</v>
      </c>
      <c r="Q31" s="59">
        <f t="shared" si="2"/>
        <v>1298.7759999999998</v>
      </c>
      <c r="R31" s="272">
        <f t="shared" si="3"/>
        <v>1428.6535999999999</v>
      </c>
      <c r="S31" s="40">
        <f>'Tariffs Jul2019'!AN25</f>
        <v>0</v>
      </c>
      <c r="T31" s="40">
        <f>'Tariffs Jul2019'!AO25</f>
        <v>0</v>
      </c>
      <c r="U31" s="40">
        <f>'Tariffs Jul2019'!AP25</f>
        <v>0</v>
      </c>
      <c r="V31" s="40">
        <f>'Tariffs Jul2019'!AQ25</f>
        <v>0</v>
      </c>
      <c r="W31" s="273">
        <f>Q31</f>
        <v>1298.7759999999998</v>
      </c>
      <c r="X31" s="273">
        <f>W31</f>
        <v>1298.7759999999998</v>
      </c>
      <c r="Y31" s="272">
        <f t="shared" si="4"/>
        <v>1428.6535999999999</v>
      </c>
      <c r="Z31" s="272">
        <f t="shared" si="4"/>
        <v>1428.6535999999999</v>
      </c>
      <c r="AA31" s="274">
        <f>'Tariffs Jul2019'!AZ25</f>
        <v>0</v>
      </c>
      <c r="AB31" s="274" t="str">
        <f>'Tariffs Jul2019'!BA25</f>
        <v>n</v>
      </c>
      <c r="AC31" s="275" t="str">
        <f>'Tariffs Jul2019'!BJ25</f>
        <v>Y</v>
      </c>
      <c r="AD31" s="398"/>
      <c r="AE31" s="398"/>
      <c r="AF31" s="398"/>
      <c r="AG31" s="398"/>
      <c r="AH31" s="398"/>
      <c r="AI31" s="398"/>
      <c r="AJ31" s="398"/>
      <c r="AK31" s="398"/>
      <c r="AL31" s="398"/>
      <c r="AM31" s="398"/>
      <c r="AN31" s="398"/>
    </row>
    <row r="32" spans="1:40" x14ac:dyDescent="0.15">
      <c r="A32" s="270" t="str">
        <f>'Tariffs Jul2019'!F26</f>
        <v>Origin Energy</v>
      </c>
      <c r="B32" s="40" t="str">
        <f>'Tariffs Jul2019'!D26</f>
        <v>Multinet Metro 2</v>
      </c>
      <c r="C32" s="40" t="str">
        <f>'Tariffs Jul2019'!G26</f>
        <v>Flexi</v>
      </c>
      <c r="D32" s="59">
        <f>365*'Tariffs Jul2019'!H26/100</f>
        <v>255.5</v>
      </c>
      <c r="E32" s="59">
        <f>IF($C$5*'Tariffs Jul2019'!AK26/'Tariffs Jul2019'!AI26&gt;='Tariffs Jul2019'!J26,( 'Tariffs Jul2019'!J26*'Tariffs Jul2019'!O26/100)* 'Tariffs Jul2019'!AI26,($C$5*'Tariffs Jul2019'!AK26/'Tariffs Jul2019'!AI26*'Tariffs Jul2019'!O26/100)* 'Tariffs Jul2019'!AI26)</f>
        <v>432</v>
      </c>
      <c r="F32" s="59">
        <f>IF($C$5*'Tariffs Jul2019'!AK26/'Tariffs Jul2019'!AI26&lt;'Tariffs Jul2019'!J26,0,IF($C$5*'Tariffs Jul2019'!AK26/'Tariffs Jul2019'!AI26&lt;='Tariffs Jul2019'!K26,($C$5*'Tariffs Jul2019'!AK26/'Tariffs Jul2019'!AI26-'Tariffs Jul2019'!J26)*('Tariffs Jul2019'!P26/100)*'Tariffs Jul2019'!AI26,('Tariffs Jul2019'!K26-'Tariffs Jul2019'!J26)*('Tariffs Jul2019'!P26/100)*'Tariffs Jul2019'!AI26))</f>
        <v>175.5</v>
      </c>
      <c r="G32" s="59">
        <f>IF($C$5*'Tariffs Jul2019'!AK26/'Tariffs Jul2019'!AI26&lt;'Tariffs Jul2019'!K26,0,IF($C$5*'Tariffs Jul2019'!AK26/'Tariffs Jul2019'!AI26&lt;='Tariffs Jul2019'!L26,($C$5*'Tariffs Jul2019'!AK26/'Tariffs Jul2019'!AI26-'Tariffs Jul2019'!K26)*('Tariffs Jul2019'!Q26/100)*'Tariffs Jul2019'!AI26,('Tariffs Jul2019'!L26-'Tariffs Jul2019'!K26)*('Tariffs Jul2019'!Q26/100)*'Tariffs Jul2019'!AI26))</f>
        <v>0</v>
      </c>
      <c r="H32" s="59">
        <f>IF($C$5*'Tariffs Jul2019'!AK26/'Tariffs Jul2019'!AI26&lt;'Tariffs Jul2019'!L26,0,IF($C$5*'Tariffs Jul2019'!AK26/'Tariffs Jul2019'!AI26&lt;='Tariffs Jul2019'!M26,($C$5*'Tariffs Jul2019'!AK26/'Tariffs Jul2019'!AI26-'Tariffs Jul2019'!L26)*('Tariffs Jul2019'!R26/100)*'Tariffs Jul2019'!AI26,('Tariffs Jul2019'!M26-'Tariffs Jul2019'!L26)*('Tariffs Jul2019'!R26/100)*'Tariffs Jul2019'!AI26))</f>
        <v>0</v>
      </c>
      <c r="I32" s="59">
        <f>IF(($C$5*'Tariffs Jul2019'!AK26/'Tariffs Jul2019'!AI26&gt;'Tariffs Jul2019'!M26),($C$5*'Tariffs Jul2019'!AK26/'Tariffs Jul2019'!AI26-'Tariffs Jul2019'!M26)*'Tariffs Jul2019'!S26/100*'Tariffs Jul2019'!AI26,0)</f>
        <v>65.25</v>
      </c>
      <c r="J32" s="59">
        <f>IF($C$5*'Tariffs Jul2019'!AL26/'Tariffs Jul2019'!AJ26&gt;='Tariffs Jul2019'!J26,('Tariffs Jul2019'!J26*'Tariffs Jul2019'!U26/100)* 'Tariffs Jul2019'!AJ26,($C$5*'Tariffs Jul2019'!AL26/'Tariffs Jul2019'!AJ26*'Tariffs Jul2019'!U26/100)* 'Tariffs Jul2019'!AJ26)</f>
        <v>396.00000000000011</v>
      </c>
      <c r="K32" s="59">
        <f>IF($C$5*'Tariffs Jul2019'!AL26/'Tariffs Jul2019'!AJ26&lt;'Tariffs Jul2019'!J26,0,IF($C$5*'Tariffs Jul2019'!AL26/'Tariffs Jul2019'!AJ26&lt;='Tariffs Jul2019'!K26,($C$5*'Tariffs Jul2019'!AL26/'Tariffs Jul2019'!AJ26-'Tariffs Jul2019'!J26)*('Tariffs Jul2019'!V26/100)*'Tariffs Jul2019'!AJ26,('Tariffs Jul2019'!K26-'Tariffs Jul2019'!J26)*('Tariffs Jul2019'!V26/100)*'Tariffs Jul2019'!AJ26))</f>
        <v>157.50000000000003</v>
      </c>
      <c r="L32" s="59">
        <f>IF($C$5*'Tariffs Jul2019'!AL26/'Tariffs Jul2019'!AJ26&lt;'Tariffs Jul2019'!K26,0,IF($C$5*'Tariffs Jul2019'!AL26/'Tariffs Jul2019'!AJ26&lt;='Tariffs Jul2019'!L26,($C$5*'Tariffs Jul2019'!AL26/'Tariffs Jul2019'!AJ26-'Tariffs Jul2019'!K26)*('Tariffs Jul2019'!W26/100)*'Tariffs Jul2019'!AJ26,('Tariffs Jul2019'!L26-'Tariffs Jul2019'!K26)*('Tariffs Jul2019'!W26/100)*'Tariffs Jul2019'!AJ26))</f>
        <v>0</v>
      </c>
      <c r="M32" s="59">
        <f>IF($C$5*'Tariffs Jul2019'!AL26/'Tariffs Jul2019'!AJ26&lt;'Tariffs Jul2019'!L26,0,IF($C$5*'Tariffs Jul2019'!AL26/'Tariffs Jul2019'!AJ26&lt;='Tariffs Jul2019'!M26,($C$5*'Tariffs Jul2019'!AL26/'Tariffs Jul2019'!AJ26-'Tariffs Jul2019'!L26)*('Tariffs Jul2019'!X26/100)*'Tariffs Jul2019'!AJ26,('Tariffs Jul2019'!M26-'Tariffs Jul2019'!L26)*('Tariffs Jul2019'!X26/100)*'Tariffs Jul2019'!AJ26))</f>
        <v>0</v>
      </c>
      <c r="N32" s="59">
        <f>IF(($C$5*'Tariffs Jul2019'!AL26/'Tariffs Jul2019'!AJ26&gt;'Tariffs Jul2019'!M26),($C$5*'Tariffs Jul2019'!AL26/'Tariffs Jul2019'!AJ26-'Tariffs Jul2019'!M26)*'Tariffs Jul2019'!Y26/100*'Tariffs Jul2019'!AJ26,0)</f>
        <v>60.750000000000014</v>
      </c>
      <c r="O32" s="271">
        <f t="shared" si="0"/>
        <v>1287</v>
      </c>
      <c r="P32" s="413">
        <f t="shared" si="1"/>
        <v>1415.7</v>
      </c>
      <c r="Q32" s="59">
        <f t="shared" si="2"/>
        <v>1542.5</v>
      </c>
      <c r="R32" s="272">
        <f t="shared" si="3"/>
        <v>1696.7500000000002</v>
      </c>
      <c r="S32" s="40">
        <f>'Tariffs Jul2019'!AN26</f>
        <v>10</v>
      </c>
      <c r="T32" s="40">
        <f>'Tariffs Jul2019'!AO26</f>
        <v>0</v>
      </c>
      <c r="U32" s="40">
        <f>'Tariffs Jul2019'!AP26</f>
        <v>0</v>
      </c>
      <c r="V32" s="40">
        <f>'Tariffs Jul2019'!AQ26</f>
        <v>0</v>
      </c>
      <c r="W32" s="273">
        <f>R32-(R32*S32/100)</f>
        <v>1527.0750000000003</v>
      </c>
      <c r="X32" s="273">
        <f>W32</f>
        <v>1527.0750000000003</v>
      </c>
      <c r="Y32" s="272">
        <f>W32</f>
        <v>1527.0750000000003</v>
      </c>
      <c r="Z32" s="272">
        <f>X32</f>
        <v>1527.0750000000003</v>
      </c>
      <c r="AA32" s="274">
        <f>'Tariffs Jul2019'!AZ26</f>
        <v>0</v>
      </c>
      <c r="AB32" s="274" t="str">
        <f>'Tariffs Jul2019'!BA26</f>
        <v>n</v>
      </c>
      <c r="AC32" s="275" t="str">
        <f>'Tariffs Jul2019'!BJ26</f>
        <v>N</v>
      </c>
      <c r="AD32" s="398"/>
      <c r="AE32" s="398"/>
      <c r="AF32" s="398"/>
      <c r="AG32" s="398"/>
      <c r="AH32" s="398"/>
      <c r="AI32" s="398"/>
      <c r="AJ32" s="398"/>
      <c r="AK32" s="398"/>
      <c r="AL32" s="398"/>
      <c r="AM32" s="398"/>
      <c r="AN32" s="398"/>
    </row>
    <row r="33" spans="1:40" x14ac:dyDescent="0.15">
      <c r="A33" s="270" t="str">
        <f>'Tariffs Jul2019'!F27</f>
        <v>Red Energy</v>
      </c>
      <c r="B33" s="40" t="str">
        <f>'Tariffs Jul2019'!D27</f>
        <v>Multinet Metro 2</v>
      </c>
      <c r="C33" s="40" t="str">
        <f>'Tariffs Jul2019'!G27</f>
        <v>Easy Saver</v>
      </c>
      <c r="D33" s="59">
        <f>365*'Tariffs Jul2019'!H27/100</f>
        <v>256.96000000000004</v>
      </c>
      <c r="E33" s="59">
        <f>IF($C$5*'Tariffs Jul2019'!AK27/'Tariffs Jul2019'!AI27&gt;='Tariffs Jul2019'!J27,( 'Tariffs Jul2019'!J27*'Tariffs Jul2019'!O27/100)* 'Tariffs Jul2019'!AI27,($C$5*'Tariffs Jul2019'!AK27/'Tariffs Jul2019'!AI27*'Tariffs Jul2019'!O27/100)* 'Tariffs Jul2019'!AI27)</f>
        <v>226.8</v>
      </c>
      <c r="F33" s="59">
        <f>IF($C$5*'Tariffs Jul2019'!AK27/'Tariffs Jul2019'!AI27&lt;'Tariffs Jul2019'!J27,0,IF($C$5*'Tariffs Jul2019'!AK27/'Tariffs Jul2019'!AI27&lt;='Tariffs Jul2019'!K27,($C$5*'Tariffs Jul2019'!AK27/'Tariffs Jul2019'!AI27-'Tariffs Jul2019'!J27)*('Tariffs Jul2019'!P27/100)*'Tariffs Jul2019'!AI27,('Tariffs Jul2019'!K27-'Tariffs Jul2019'!J27)*('Tariffs Jul2019'!P27/100)*'Tariffs Jul2019'!AI27))</f>
        <v>0</v>
      </c>
      <c r="G33" s="59">
        <f>IF($C$5*'Tariffs Jul2019'!AK27/'Tariffs Jul2019'!AI27&lt;'Tariffs Jul2019'!K27,0,IF($C$5*'Tariffs Jul2019'!AK27/'Tariffs Jul2019'!AI27&lt;='Tariffs Jul2019'!L27,($C$5*'Tariffs Jul2019'!AK27/'Tariffs Jul2019'!AI27-'Tariffs Jul2019'!K27)*('Tariffs Jul2019'!Q27/100)*'Tariffs Jul2019'!AI27,('Tariffs Jul2019'!L27-'Tariffs Jul2019'!K27)*('Tariffs Jul2019'!Q27/100)*'Tariffs Jul2019'!AI27))</f>
        <v>0</v>
      </c>
      <c r="H33" s="59">
        <f>IF($C$5*'Tariffs Jul2019'!AK27/'Tariffs Jul2019'!AI27&lt;'Tariffs Jul2019'!L27,0,IF($C$5*'Tariffs Jul2019'!AK27/'Tariffs Jul2019'!AI27&lt;='Tariffs Jul2019'!M27,($C$5*'Tariffs Jul2019'!AK27/'Tariffs Jul2019'!AI27-'Tariffs Jul2019'!L27)*('Tariffs Jul2019'!R27/100)*'Tariffs Jul2019'!AI27,('Tariffs Jul2019'!M27-'Tariffs Jul2019'!L27)*('Tariffs Jul2019'!R27/100)*'Tariffs Jul2019'!AI27))</f>
        <v>0</v>
      </c>
      <c r="I33" s="59">
        <f>IF(($C$5*'Tariffs Jul2019'!AK27/'Tariffs Jul2019'!AI27&gt;'Tariffs Jul2019'!M27),($C$5*'Tariffs Jul2019'!AK27/'Tariffs Jul2019'!AI27-'Tariffs Jul2019'!M27)*'Tariffs Jul2019'!S27/100*'Tariffs Jul2019'!AI27,0)</f>
        <v>401.09999999999997</v>
      </c>
      <c r="J33" s="59">
        <f>IF($C$5*'Tariffs Jul2019'!AL27/'Tariffs Jul2019'!AJ27&gt;='Tariffs Jul2019'!J27,('Tariffs Jul2019'!J27*'Tariffs Jul2019'!U27/100)* 'Tariffs Jul2019'!AJ27,($C$5*'Tariffs Jul2019'!AL27/'Tariffs Jul2019'!AJ27*'Tariffs Jul2019'!U27/100)* 'Tariffs Jul2019'!AJ27)</f>
        <v>199.49999999999994</v>
      </c>
      <c r="K33" s="59">
        <f>IF($C$5*'Tariffs Jul2019'!AL27/'Tariffs Jul2019'!AJ27&lt;'Tariffs Jul2019'!J27,0,IF($C$5*'Tariffs Jul2019'!AL27/'Tariffs Jul2019'!AJ27&lt;='Tariffs Jul2019'!K27,($C$5*'Tariffs Jul2019'!AL27/'Tariffs Jul2019'!AJ27-'Tariffs Jul2019'!J27)*('Tariffs Jul2019'!V27/100)*'Tariffs Jul2019'!AJ27,('Tariffs Jul2019'!K27-'Tariffs Jul2019'!J27)*('Tariffs Jul2019'!V27/100)*'Tariffs Jul2019'!AJ27))</f>
        <v>0</v>
      </c>
      <c r="L33" s="59">
        <f>IF($C$5*'Tariffs Jul2019'!AL27/'Tariffs Jul2019'!AJ27&lt;'Tariffs Jul2019'!K27,0,IF($C$5*'Tariffs Jul2019'!AL27/'Tariffs Jul2019'!AJ27&lt;='Tariffs Jul2019'!L27,($C$5*'Tariffs Jul2019'!AL27/'Tariffs Jul2019'!AJ27-'Tariffs Jul2019'!K27)*('Tariffs Jul2019'!W27/100)*'Tariffs Jul2019'!AJ27,('Tariffs Jul2019'!L27-'Tariffs Jul2019'!K27)*('Tariffs Jul2019'!W27/100)*'Tariffs Jul2019'!AJ27))</f>
        <v>0</v>
      </c>
      <c r="M33" s="59">
        <f>IF($C$5*'Tariffs Jul2019'!AL27/'Tariffs Jul2019'!AJ27&lt;'Tariffs Jul2019'!L27,0,IF($C$5*'Tariffs Jul2019'!AL27/'Tariffs Jul2019'!AJ27&lt;='Tariffs Jul2019'!M27,($C$5*'Tariffs Jul2019'!AL27/'Tariffs Jul2019'!AJ27-'Tariffs Jul2019'!L27)*('Tariffs Jul2019'!X27/100)*'Tariffs Jul2019'!AJ27,('Tariffs Jul2019'!M27-'Tariffs Jul2019'!L27)*('Tariffs Jul2019'!X27/100)*'Tariffs Jul2019'!AJ27))</f>
        <v>0</v>
      </c>
      <c r="N33" s="59">
        <f>IF(($C$5*'Tariffs Jul2019'!AL27/'Tariffs Jul2019'!AJ27&gt;'Tariffs Jul2019'!M27),($C$5*'Tariffs Jul2019'!AL27/'Tariffs Jul2019'!AJ27-'Tariffs Jul2019'!M27)*'Tariffs Jul2019'!Y27/100*'Tariffs Jul2019'!AJ27,0)</f>
        <v>382.20000000000005</v>
      </c>
      <c r="O33" s="271">
        <f t="shared" si="0"/>
        <v>1209.5999999999999</v>
      </c>
      <c r="P33" s="413">
        <f t="shared" si="1"/>
        <v>1330.56</v>
      </c>
      <c r="Q33" s="59">
        <f t="shared" si="2"/>
        <v>1466.56</v>
      </c>
      <c r="R33" s="272">
        <f t="shared" si="3"/>
        <v>1613.2160000000001</v>
      </c>
      <c r="S33" s="40">
        <f>'Tariffs Jul2019'!AN27</f>
        <v>0</v>
      </c>
      <c r="T33" s="40">
        <f>'Tariffs Jul2019'!AO27</f>
        <v>0</v>
      </c>
      <c r="U33" s="40">
        <f>'Tariffs Jul2019'!AP27</f>
        <v>10</v>
      </c>
      <c r="V33" s="40">
        <f>'Tariffs Jul2019'!AQ27</f>
        <v>0</v>
      </c>
      <c r="W33" s="273">
        <f>R33</f>
        <v>1613.2160000000001</v>
      </c>
      <c r="X33" s="273">
        <f>W33-(W33*U33/100)</f>
        <v>1451.8944000000001</v>
      </c>
      <c r="Y33" s="272">
        <f>W33</f>
        <v>1613.2160000000001</v>
      </c>
      <c r="Z33" s="272">
        <f>X33</f>
        <v>1451.8944000000001</v>
      </c>
      <c r="AA33" s="274">
        <f>'Tariffs Jul2019'!AZ27</f>
        <v>0</v>
      </c>
      <c r="AB33" s="274" t="str">
        <f>'Tariffs Jul2019'!BA27</f>
        <v>n</v>
      </c>
      <c r="AC33" s="275" t="str">
        <f>'Tariffs Jul2019'!BJ27</f>
        <v>N</v>
      </c>
      <c r="AD33" s="398"/>
      <c r="AE33" s="398"/>
      <c r="AF33" s="398"/>
      <c r="AG33" s="398"/>
      <c r="AH33" s="398"/>
      <c r="AI33" s="398"/>
      <c r="AJ33" s="398"/>
      <c r="AK33" s="398"/>
      <c r="AL33" s="398"/>
      <c r="AM33" s="398"/>
      <c r="AN33" s="398"/>
    </row>
    <row r="34" spans="1:40" x14ac:dyDescent="0.15">
      <c r="A34" s="270" t="str">
        <f>'Tariffs Jul2019'!F28</f>
        <v>Simply Energy</v>
      </c>
      <c r="B34" s="40" t="str">
        <f>'Tariffs Jul2019'!D28</f>
        <v>Multinet Metro 2</v>
      </c>
      <c r="C34" s="40" t="str">
        <f>'Tariffs Jul2019'!G28</f>
        <v>Plus</v>
      </c>
      <c r="D34" s="59">
        <f>365*'Tariffs Jul2019'!H28/100</f>
        <v>283.80409090909086</v>
      </c>
      <c r="E34" s="59">
        <f>IF($C$5*'Tariffs Jul2019'!AK28/'Tariffs Jul2019'!AI28&gt;='Tariffs Jul2019'!J28,( 'Tariffs Jul2019'!J28*'Tariffs Jul2019'!O28/100)* 'Tariffs Jul2019'!AI28,($C$5*'Tariffs Jul2019'!AK28/'Tariffs Jul2019'!AI28*'Tariffs Jul2019'!O28/100)* 'Tariffs Jul2019'!AI28)</f>
        <v>201.54545454545456</v>
      </c>
      <c r="F34" s="59">
        <f>IF($C$5*'Tariffs Jul2019'!AK28/'Tariffs Jul2019'!AI28&lt;'Tariffs Jul2019'!J28,0,IF($C$5*'Tariffs Jul2019'!AK28/'Tariffs Jul2019'!AI28&lt;='Tariffs Jul2019'!K28,($C$5*'Tariffs Jul2019'!AK28/'Tariffs Jul2019'!AI28-'Tariffs Jul2019'!J28)*('Tariffs Jul2019'!P28/100)*'Tariffs Jul2019'!AI28,('Tariffs Jul2019'!K28-'Tariffs Jul2019'!J28)*('Tariffs Jul2019'!P28/100)*'Tariffs Jul2019'!AI28))</f>
        <v>175.63636363636363</v>
      </c>
      <c r="G34" s="59">
        <f>IF($C$5*'Tariffs Jul2019'!AK28/'Tariffs Jul2019'!AI28&lt;'Tariffs Jul2019'!K28,0,IF($C$5*'Tariffs Jul2019'!AK28/'Tariffs Jul2019'!AI28&lt;='Tariffs Jul2019'!L28,($C$5*'Tariffs Jul2019'!AK28/'Tariffs Jul2019'!AI28-'Tariffs Jul2019'!K28)*('Tariffs Jul2019'!Q28/100)*'Tariffs Jul2019'!AI28,('Tariffs Jul2019'!L28-'Tariffs Jul2019'!K28)*('Tariffs Jul2019'!Q28/100)*'Tariffs Jul2019'!AI28))</f>
        <v>148.09090909090907</v>
      </c>
      <c r="H34" s="59">
        <f>IF($C$5*'Tariffs Jul2019'!AK28/'Tariffs Jul2019'!AI28&lt;'Tariffs Jul2019'!L28,0,IF($C$5*'Tariffs Jul2019'!AK28/'Tariffs Jul2019'!AI28&lt;='Tariffs Jul2019'!M28,($C$5*'Tariffs Jul2019'!AK28/'Tariffs Jul2019'!AI28-'Tariffs Jul2019'!L28)*('Tariffs Jul2019'!R28/100)*'Tariffs Jul2019'!AI28,('Tariffs Jul2019'!M28-'Tariffs Jul2019'!L28)*('Tariffs Jul2019'!R28/100)*'Tariffs Jul2019'!AI28))</f>
        <v>66.545454545454533</v>
      </c>
      <c r="I34" s="59">
        <f>IF(($C$5*'Tariffs Jul2019'!AK28/'Tariffs Jul2019'!AI28&gt;'Tariffs Jul2019'!M28),($C$5*'Tariffs Jul2019'!AK28/'Tariffs Jul2019'!AI28-'Tariffs Jul2019'!M28)*'Tariffs Jul2019'!S28/100*'Tariffs Jul2019'!AI28,0)</f>
        <v>0</v>
      </c>
      <c r="J34" s="59">
        <f>IF($C$5*'Tariffs Jul2019'!AL28/'Tariffs Jul2019'!AJ28&gt;='Tariffs Jul2019'!J28,('Tariffs Jul2019'!J28*'Tariffs Jul2019'!U28/100)* 'Tariffs Jul2019'!AJ28,($C$5*'Tariffs Jul2019'!AL28/'Tariffs Jul2019'!AJ28*'Tariffs Jul2019'!U28/100)* 'Tariffs Jul2019'!AJ28)</f>
        <v>190.63636363636363</v>
      </c>
      <c r="K34" s="59">
        <f>IF($C$5*'Tariffs Jul2019'!AL28/'Tariffs Jul2019'!AJ28&lt;'Tariffs Jul2019'!J28,0,IF($C$5*'Tariffs Jul2019'!AL28/'Tariffs Jul2019'!AJ28&lt;='Tariffs Jul2019'!K28,($C$5*'Tariffs Jul2019'!AL28/'Tariffs Jul2019'!AJ28-'Tariffs Jul2019'!J28)*('Tariffs Jul2019'!V28/100)*'Tariffs Jul2019'!AJ28,('Tariffs Jul2019'!K28-'Tariffs Jul2019'!J28)*('Tariffs Jul2019'!V28/100)*'Tariffs Jul2019'!AJ28))</f>
        <v>167.72727272727269</v>
      </c>
      <c r="L34" s="59">
        <f>IF($C$5*'Tariffs Jul2019'!AL28/'Tariffs Jul2019'!AJ28&lt;'Tariffs Jul2019'!K28,0,IF($C$5*'Tariffs Jul2019'!AL28/'Tariffs Jul2019'!AJ28&lt;='Tariffs Jul2019'!L28,($C$5*'Tariffs Jul2019'!AL28/'Tariffs Jul2019'!AJ28-'Tariffs Jul2019'!K28)*('Tariffs Jul2019'!W28/100)*'Tariffs Jul2019'!AJ28,('Tariffs Jul2019'!L28-'Tariffs Jul2019'!K28)*('Tariffs Jul2019'!W28/100)*'Tariffs Jul2019'!AJ28))</f>
        <v>144</v>
      </c>
      <c r="M34" s="59">
        <f>IF($C$5*'Tariffs Jul2019'!AL28/'Tariffs Jul2019'!AJ28&lt;'Tariffs Jul2019'!L28,0,IF($C$5*'Tariffs Jul2019'!AL28/'Tariffs Jul2019'!AJ28&lt;='Tariffs Jul2019'!M28,($C$5*'Tariffs Jul2019'!AL28/'Tariffs Jul2019'!AJ28-'Tariffs Jul2019'!L28)*('Tariffs Jul2019'!X28/100)*'Tariffs Jul2019'!AJ28,('Tariffs Jul2019'!M28-'Tariffs Jul2019'!L28)*('Tariffs Jul2019'!X28/100)*'Tariffs Jul2019'!AJ28))</f>
        <v>65.454545454545453</v>
      </c>
      <c r="N34" s="59">
        <f>IF(($C$5*'Tariffs Jul2019'!AL28/'Tariffs Jul2019'!AJ28&gt;'Tariffs Jul2019'!M28),($C$5*'Tariffs Jul2019'!AL28/'Tariffs Jul2019'!AJ28-'Tariffs Jul2019'!M28)*'Tariffs Jul2019'!Y28/100*'Tariffs Jul2019'!AJ28,0)</f>
        <v>0</v>
      </c>
      <c r="O34" s="271">
        <f t="shared" si="0"/>
        <v>1159.6363636363635</v>
      </c>
      <c r="P34" s="413">
        <f t="shared" si="1"/>
        <v>1275.5999999999999</v>
      </c>
      <c r="Q34" s="59">
        <f t="shared" si="2"/>
        <v>1443.4404545454545</v>
      </c>
      <c r="R34" s="272">
        <f t="shared" si="3"/>
        <v>1587.7845</v>
      </c>
      <c r="S34" s="40">
        <f>'Tariffs Jul2019'!AN28</f>
        <v>0</v>
      </c>
      <c r="T34" s="40">
        <f>'Tariffs Jul2019'!AO28</f>
        <v>0</v>
      </c>
      <c r="U34" s="40">
        <f>'Tariffs Jul2019'!AP28</f>
        <v>0</v>
      </c>
      <c r="V34" s="40">
        <f>'Tariffs Jul2019'!AQ28</f>
        <v>0</v>
      </c>
      <c r="W34" s="273">
        <f t="shared" ref="W34:W39" si="7">Q34</f>
        <v>1443.4404545454545</v>
      </c>
      <c r="X34" s="273">
        <f>W34</f>
        <v>1443.4404545454545</v>
      </c>
      <c r="Y34" s="272">
        <f t="shared" si="4"/>
        <v>1587.7845</v>
      </c>
      <c r="Z34" s="272">
        <f t="shared" si="4"/>
        <v>1587.7845</v>
      </c>
      <c r="AA34" s="274">
        <f>'Tariffs Jul2019'!AZ28</f>
        <v>0</v>
      </c>
      <c r="AB34" s="274" t="str">
        <f>'Tariffs Jul2019'!BA28</f>
        <v>n</v>
      </c>
      <c r="AC34" s="275" t="str">
        <f>'Tariffs Jul2019'!BJ28</f>
        <v>Y</v>
      </c>
      <c r="AD34" s="398"/>
      <c r="AE34" s="398"/>
      <c r="AF34" s="398"/>
      <c r="AG34" s="398"/>
      <c r="AH34" s="398"/>
      <c r="AI34" s="398"/>
      <c r="AJ34" s="398"/>
      <c r="AK34" s="398"/>
      <c r="AL34" s="398"/>
      <c r="AM34" s="398"/>
      <c r="AN34" s="398"/>
    </row>
    <row r="35" spans="1:40" x14ac:dyDescent="0.15">
      <c r="A35" s="270" t="str">
        <f>'Tariffs Jul2019'!F29</f>
        <v>Sumo Power</v>
      </c>
      <c r="B35" s="40" t="str">
        <f>'Tariffs Jul2019'!D29</f>
        <v>Multinet Metro 2</v>
      </c>
      <c r="C35" s="40" t="str">
        <f>'Tariffs Jul2019'!G29</f>
        <v>Select</v>
      </c>
      <c r="D35" s="59">
        <f>365*'Tariffs Jul2019'!H29/100</f>
        <v>237.25</v>
      </c>
      <c r="E35" s="59">
        <f>IF($C$5*'Tariffs Jul2019'!AK29/'Tariffs Jul2019'!AI29&gt;='Tariffs Jul2019'!J29,( 'Tariffs Jul2019'!J29*'Tariffs Jul2019'!O29/100)* 'Tariffs Jul2019'!AI29,($C$5*'Tariffs Jul2019'!AK29/'Tariffs Jul2019'!AI29*'Tariffs Jul2019'!O29/100)* 'Tariffs Jul2019'!AI29)</f>
        <v>209.45454545454544</v>
      </c>
      <c r="F35" s="59">
        <f>IF($C$5*'Tariffs Jul2019'!AK29/'Tariffs Jul2019'!AI29&lt;'Tariffs Jul2019'!J29,0,IF($C$5*'Tariffs Jul2019'!AK29/'Tariffs Jul2019'!AI29&lt;='Tariffs Jul2019'!K29,($C$5*'Tariffs Jul2019'!AK29/'Tariffs Jul2019'!AI29-'Tariffs Jul2019'!J29)*('Tariffs Jul2019'!P29/100)*'Tariffs Jul2019'!AI29,('Tariffs Jul2019'!K29-'Tariffs Jul2019'!J29)*('Tariffs Jul2019'!P29/100)*'Tariffs Jul2019'!AI29))</f>
        <v>182.45454545454541</v>
      </c>
      <c r="G35" s="59">
        <f>IF($C$5*'Tariffs Jul2019'!AK29/'Tariffs Jul2019'!AI29&lt;'Tariffs Jul2019'!K29,0,IF($C$5*'Tariffs Jul2019'!AK29/'Tariffs Jul2019'!AI29&lt;='Tariffs Jul2019'!L29,($C$5*'Tariffs Jul2019'!AK29/'Tariffs Jul2019'!AI29-'Tariffs Jul2019'!K29)*('Tariffs Jul2019'!Q29/100)*'Tariffs Jul2019'!AI29,('Tariffs Jul2019'!L29-'Tariffs Jul2019'!K29)*('Tariffs Jul2019'!Q29/100)*'Tariffs Jul2019'!AI29))</f>
        <v>159.5454545454545</v>
      </c>
      <c r="H35" s="59">
        <f>IF($C$5*'Tariffs Jul2019'!AK29/'Tariffs Jul2019'!AI29&lt;'Tariffs Jul2019'!L29,0,IF($C$5*'Tariffs Jul2019'!AK29/'Tariffs Jul2019'!AI29&lt;='Tariffs Jul2019'!M29,($C$5*'Tariffs Jul2019'!AK29/'Tariffs Jul2019'!AI29-'Tariffs Jul2019'!L29)*('Tariffs Jul2019'!R29/100)*'Tariffs Jul2019'!AI29,('Tariffs Jul2019'!M29-'Tariffs Jul2019'!L29)*('Tariffs Jul2019'!R29/100)*'Tariffs Jul2019'!AI29))</f>
        <v>63.409090909090899</v>
      </c>
      <c r="I35" s="59">
        <f>IF(($C$5*'Tariffs Jul2019'!AK29/'Tariffs Jul2019'!AI29&gt;'Tariffs Jul2019'!M29),($C$5*'Tariffs Jul2019'!AK29/'Tariffs Jul2019'!AI29-'Tariffs Jul2019'!M29)*'Tariffs Jul2019'!S29/100*'Tariffs Jul2019'!AI29,0)</f>
        <v>0</v>
      </c>
      <c r="J35" s="59">
        <f>IF($C$5*'Tariffs Jul2019'!AL29/'Tariffs Jul2019'!AJ29&gt;='Tariffs Jul2019'!J29,('Tariffs Jul2019'!J29*'Tariffs Jul2019'!U29/100)* 'Tariffs Jul2019'!AJ29,($C$5*'Tariffs Jul2019'!AL29/'Tariffs Jul2019'!AJ29*'Tariffs Jul2019'!U29/100)* 'Tariffs Jul2019'!AJ29)</f>
        <v>182.45454545454544</v>
      </c>
      <c r="K35" s="59">
        <f>IF($C$5*'Tariffs Jul2019'!AL29/'Tariffs Jul2019'!AJ29&lt;'Tariffs Jul2019'!J29,0,IF($C$5*'Tariffs Jul2019'!AL29/'Tariffs Jul2019'!AJ29&lt;='Tariffs Jul2019'!K29,($C$5*'Tariffs Jul2019'!AL29/'Tariffs Jul2019'!AJ29-'Tariffs Jul2019'!J29)*('Tariffs Jul2019'!V29/100)*'Tariffs Jul2019'!AJ29,('Tariffs Jul2019'!K29-'Tariffs Jul2019'!J29)*('Tariffs Jul2019'!V29/100)*'Tariffs Jul2019'!AJ29))</f>
        <v>154.63636363636363</v>
      </c>
      <c r="L35" s="59">
        <f>IF($C$5*'Tariffs Jul2019'!AL29/'Tariffs Jul2019'!AJ29&lt;'Tariffs Jul2019'!K29,0,IF($C$5*'Tariffs Jul2019'!AL29/'Tariffs Jul2019'!AJ29&lt;='Tariffs Jul2019'!L29,($C$5*'Tariffs Jul2019'!AL29/'Tariffs Jul2019'!AJ29-'Tariffs Jul2019'!K29)*('Tariffs Jul2019'!W29/100)*'Tariffs Jul2019'!AJ29,('Tariffs Jul2019'!L29-'Tariffs Jul2019'!K29)*('Tariffs Jul2019'!W29/100)*'Tariffs Jul2019'!AJ29))</f>
        <v>141.5454545454545</v>
      </c>
      <c r="M35" s="59">
        <f>IF($C$5*'Tariffs Jul2019'!AL29/'Tariffs Jul2019'!AJ29&lt;'Tariffs Jul2019'!L29,0,IF($C$5*'Tariffs Jul2019'!AL29/'Tariffs Jul2019'!AJ29&lt;='Tariffs Jul2019'!M29,($C$5*'Tariffs Jul2019'!AL29/'Tariffs Jul2019'!AJ29-'Tariffs Jul2019'!L29)*('Tariffs Jul2019'!X29/100)*'Tariffs Jul2019'!AJ29,('Tariffs Jul2019'!M29-'Tariffs Jul2019'!L29)*('Tariffs Jul2019'!X29/100)*'Tariffs Jul2019'!AJ29))</f>
        <v>58.909090909090899</v>
      </c>
      <c r="N35" s="59">
        <f>IF(($C$5*'Tariffs Jul2019'!AL29/'Tariffs Jul2019'!AJ29&gt;'Tariffs Jul2019'!M29),($C$5*'Tariffs Jul2019'!AL29/'Tariffs Jul2019'!AJ29-'Tariffs Jul2019'!M29)*'Tariffs Jul2019'!Y29/100*'Tariffs Jul2019'!AJ29,0)</f>
        <v>0</v>
      </c>
      <c r="O35" s="271">
        <f t="shared" si="0"/>
        <v>1152.409090909091</v>
      </c>
      <c r="P35" s="413">
        <f t="shared" si="1"/>
        <v>1267.6500000000001</v>
      </c>
      <c r="Q35" s="59">
        <f t="shared" si="2"/>
        <v>1389.659090909091</v>
      </c>
      <c r="R35" s="272">
        <f t="shared" si="3"/>
        <v>1528.6250000000002</v>
      </c>
      <c r="S35" s="40">
        <f>'Tariffs Jul2019'!AN29</f>
        <v>0</v>
      </c>
      <c r="T35" s="40">
        <f>'Tariffs Jul2019'!AO29</f>
        <v>0</v>
      </c>
      <c r="U35" s="40">
        <f>'Tariffs Jul2019'!AP29</f>
        <v>5</v>
      </c>
      <c r="V35" s="40">
        <f>'Tariffs Jul2019'!AQ29</f>
        <v>0</v>
      </c>
      <c r="W35" s="273">
        <f t="shared" si="7"/>
        <v>1389.659090909091</v>
      </c>
      <c r="X35" s="273">
        <f>W35-(Q35*U35/100)</f>
        <v>1320.1761363636365</v>
      </c>
      <c r="Y35" s="272">
        <f t="shared" si="4"/>
        <v>1528.6250000000002</v>
      </c>
      <c r="Z35" s="272">
        <f t="shared" si="4"/>
        <v>1452.1937500000004</v>
      </c>
      <c r="AA35" s="274">
        <f>'Tariffs Jul2019'!AZ29</f>
        <v>0</v>
      </c>
      <c r="AB35" s="274" t="str">
        <f>'Tariffs Jul2019'!BA29</f>
        <v>n</v>
      </c>
      <c r="AC35" s="275" t="str">
        <f>'Tariffs Jul2019'!BJ29</f>
        <v>Y</v>
      </c>
      <c r="AD35" s="398"/>
      <c r="AE35" s="398"/>
      <c r="AF35" s="398"/>
      <c r="AG35" s="398"/>
      <c r="AH35" s="398"/>
      <c r="AI35" s="398"/>
      <c r="AJ35" s="398"/>
      <c r="AK35" s="398"/>
      <c r="AL35" s="398"/>
      <c r="AM35" s="398"/>
      <c r="AN35" s="398"/>
    </row>
    <row r="36" spans="1:40" x14ac:dyDescent="0.15">
      <c r="A36" s="270" t="str">
        <f>'Tariffs Jul2019'!F30</f>
        <v>Amaysim</v>
      </c>
      <c r="B36" s="40" t="str">
        <f>'Tariffs Jul2019'!D30</f>
        <v>Multinet Metro 2</v>
      </c>
      <c r="C36" s="40" t="str">
        <f>'Tariffs Jul2019'!G30</f>
        <v>Gas as you go</v>
      </c>
      <c r="D36" s="59">
        <f>365*'Tariffs Jul2019'!H30/100</f>
        <v>193.84419999999997</v>
      </c>
      <c r="E36" s="59">
        <f>IF($C$5*'Tariffs Jul2019'!AK30/'Tariffs Jul2019'!AI30&gt;='Tariffs Jul2019'!J30,( 'Tariffs Jul2019'!J30*'Tariffs Jul2019'!O30/100)* 'Tariffs Jul2019'!AI30,($C$5*'Tariffs Jul2019'!AK30/'Tariffs Jul2019'!AI30*'Tariffs Jul2019'!O30/100)* 'Tariffs Jul2019'!AI30)</f>
        <v>205.02</v>
      </c>
      <c r="F36" s="59">
        <f>IF($C$5*'Tariffs Jul2019'!AK30/'Tariffs Jul2019'!AI30&lt;'Tariffs Jul2019'!J30,0,IF($C$5*'Tariffs Jul2019'!AK30/'Tariffs Jul2019'!AI30&lt;='Tariffs Jul2019'!K30,($C$5*'Tariffs Jul2019'!AK30/'Tariffs Jul2019'!AI30-'Tariffs Jul2019'!J30)*('Tariffs Jul2019'!P30/100)*'Tariffs Jul2019'!AI30,('Tariffs Jul2019'!K30-'Tariffs Jul2019'!J30)*('Tariffs Jul2019'!P30/100)*'Tariffs Jul2019'!AI30))</f>
        <v>180.53999999999996</v>
      </c>
      <c r="G36" s="59">
        <f>IF($C$5*'Tariffs Jul2019'!AK30/'Tariffs Jul2019'!AI30&lt;'Tariffs Jul2019'!K30,0,IF($C$5*'Tariffs Jul2019'!AK30/'Tariffs Jul2019'!AI30&lt;='Tariffs Jul2019'!L30,($C$5*'Tariffs Jul2019'!AK30/'Tariffs Jul2019'!AI30-'Tariffs Jul2019'!K30)*('Tariffs Jul2019'!Q30/100)*'Tariffs Jul2019'!AI30,('Tariffs Jul2019'!L30-'Tariffs Jul2019'!K30)*('Tariffs Jul2019'!Q30/100)*'Tariffs Jul2019'!AI30))</f>
        <v>156.06</v>
      </c>
      <c r="H36" s="59">
        <f>IF($C$5*'Tariffs Jul2019'!AK30/'Tariffs Jul2019'!AI30&lt;'Tariffs Jul2019'!L30,0,IF($C$5*'Tariffs Jul2019'!AK30/'Tariffs Jul2019'!AI30&lt;='Tariffs Jul2019'!M30,($C$5*'Tariffs Jul2019'!AK30/'Tariffs Jul2019'!AI30-'Tariffs Jul2019'!L30)*('Tariffs Jul2019'!R30/100)*'Tariffs Jul2019'!AI30,('Tariffs Jul2019'!M30-'Tariffs Jul2019'!L30)*('Tariffs Jul2019'!R30/100)*'Tariffs Jul2019'!AI30))</f>
        <v>71.910000000000011</v>
      </c>
      <c r="I36" s="59">
        <f>IF(($C$5*'Tariffs Jul2019'!AK30/'Tariffs Jul2019'!AI30&gt;'Tariffs Jul2019'!M30),($C$5*'Tariffs Jul2019'!AK30/'Tariffs Jul2019'!AI30-'Tariffs Jul2019'!M30)*'Tariffs Jul2019'!S30/100*'Tariffs Jul2019'!AI30,0)</f>
        <v>0</v>
      </c>
      <c r="J36" s="59">
        <f>IF($C$5*'Tariffs Jul2019'!AL30/'Tariffs Jul2019'!AJ30&gt;='Tariffs Jul2019'!J30,('Tariffs Jul2019'!J30*'Tariffs Jul2019'!U30/100)* 'Tariffs Jul2019'!AJ30,($C$5*'Tariffs Jul2019'!AL30/'Tariffs Jul2019'!AJ30*'Tariffs Jul2019'!U30/100)* 'Tariffs Jul2019'!AJ30)</f>
        <v>198.89999999999998</v>
      </c>
      <c r="K36" s="59">
        <f>IF($C$5*'Tariffs Jul2019'!AL30/'Tariffs Jul2019'!AJ30&lt;'Tariffs Jul2019'!J30,0,IF($C$5*'Tariffs Jul2019'!AL30/'Tariffs Jul2019'!AJ30&lt;='Tariffs Jul2019'!K30,($C$5*'Tariffs Jul2019'!AL30/'Tariffs Jul2019'!AJ30-'Tariffs Jul2019'!J30)*('Tariffs Jul2019'!V30/100)*'Tariffs Jul2019'!AJ30,('Tariffs Jul2019'!K30-'Tariffs Jul2019'!J30)*('Tariffs Jul2019'!V30/100)*'Tariffs Jul2019'!AJ30))</f>
        <v>177.48</v>
      </c>
      <c r="L36" s="59">
        <f>IF($C$5*'Tariffs Jul2019'!AL30/'Tariffs Jul2019'!AJ30&lt;'Tariffs Jul2019'!K30,0,IF($C$5*'Tariffs Jul2019'!AL30/'Tariffs Jul2019'!AJ30&lt;='Tariffs Jul2019'!L30,($C$5*'Tariffs Jul2019'!AL30/'Tariffs Jul2019'!AJ30-'Tariffs Jul2019'!K30)*('Tariffs Jul2019'!W30/100)*'Tariffs Jul2019'!AJ30,('Tariffs Jul2019'!L30-'Tariffs Jul2019'!K30)*('Tariffs Jul2019'!W30/100)*'Tariffs Jul2019'!AJ30))</f>
        <v>153.00000000000003</v>
      </c>
      <c r="M36" s="59">
        <f>IF($C$5*'Tariffs Jul2019'!AL30/'Tariffs Jul2019'!AJ30&lt;'Tariffs Jul2019'!L30,0,IF($C$5*'Tariffs Jul2019'!AL30/'Tariffs Jul2019'!AJ30&lt;='Tariffs Jul2019'!M30,($C$5*'Tariffs Jul2019'!AL30/'Tariffs Jul2019'!AJ30-'Tariffs Jul2019'!L30)*('Tariffs Jul2019'!X30/100)*'Tariffs Jul2019'!AJ30,('Tariffs Jul2019'!M30-'Tariffs Jul2019'!L30)*('Tariffs Jul2019'!X30/100)*'Tariffs Jul2019'!AJ30))</f>
        <v>71.910000000000011</v>
      </c>
      <c r="N36" s="59">
        <f>IF(($C$5*'Tariffs Jul2019'!AL30/'Tariffs Jul2019'!AJ30&gt;'Tariffs Jul2019'!M30),($C$5*'Tariffs Jul2019'!AL30/'Tariffs Jul2019'!AJ30-'Tariffs Jul2019'!M30)*'Tariffs Jul2019'!Y30/100*'Tariffs Jul2019'!AJ30,0)</f>
        <v>0</v>
      </c>
      <c r="O36" s="271">
        <f t="shared" si="0"/>
        <v>1214.82</v>
      </c>
      <c r="P36" s="413">
        <f t="shared" si="1"/>
        <v>1336.3020000000001</v>
      </c>
      <c r="Q36" s="59">
        <f t="shared" si="2"/>
        <v>1408.6641999999999</v>
      </c>
      <c r="R36" s="272">
        <f t="shared" si="3"/>
        <v>1549.53062</v>
      </c>
      <c r="S36" s="40">
        <f>'Tariffs Jul2019'!AN30</f>
        <v>0</v>
      </c>
      <c r="T36" s="40">
        <f>'Tariffs Jul2019'!AO30</f>
        <v>0</v>
      </c>
      <c r="U36" s="40">
        <f>'Tariffs Jul2019'!AP30</f>
        <v>0</v>
      </c>
      <c r="V36" s="40">
        <f>'Tariffs Jul2019'!AQ30</f>
        <v>0</v>
      </c>
      <c r="W36" s="273">
        <f t="shared" si="7"/>
        <v>1408.6641999999999</v>
      </c>
      <c r="X36" s="273">
        <f>W36</f>
        <v>1408.6641999999999</v>
      </c>
      <c r="Y36" s="272">
        <f t="shared" si="4"/>
        <v>1549.53062</v>
      </c>
      <c r="Z36" s="272">
        <f t="shared" si="4"/>
        <v>1549.53062</v>
      </c>
      <c r="AA36" s="274">
        <f>'Tariffs Jul2019'!AZ30</f>
        <v>0</v>
      </c>
      <c r="AB36" s="274" t="str">
        <f>'Tariffs Jul2019'!BA30</f>
        <v>n</v>
      </c>
      <c r="AC36" s="275" t="str">
        <f>'Tariffs Jul2019'!BJ30</f>
        <v>N</v>
      </c>
      <c r="AD36" s="398"/>
      <c r="AE36" s="398"/>
      <c r="AF36" s="398"/>
      <c r="AG36" s="398"/>
      <c r="AH36" s="398"/>
      <c r="AI36" s="398"/>
      <c r="AJ36" s="398"/>
      <c r="AK36" s="398"/>
      <c r="AL36" s="398"/>
      <c r="AM36" s="398"/>
      <c r="AN36" s="398"/>
    </row>
    <row r="37" spans="1:40" x14ac:dyDescent="0.15">
      <c r="A37" s="270" t="str">
        <f>'Tariffs Jul2019'!F31</f>
        <v>GloBird Energy</v>
      </c>
      <c r="B37" s="40" t="str">
        <f>'Tariffs Jul2019'!D31</f>
        <v>Multinet Metro 2</v>
      </c>
      <c r="C37" s="40" t="str">
        <f>'Tariffs Jul2019'!G31</f>
        <v>GloSave</v>
      </c>
      <c r="D37" s="59">
        <f>365*'Tariffs Jul2019'!H31/100</f>
        <v>226.3</v>
      </c>
      <c r="E37" s="59">
        <f>IF($C$5*'Tariffs Jul2019'!AK31/'Tariffs Jul2019'!AI31&gt;='Tariffs Jul2019'!J31,( 'Tariffs Jul2019'!J31*'Tariffs Jul2019'!O31/100)* 'Tariffs Jul2019'!AI31,($C$5*'Tariffs Jul2019'!AK31/'Tariffs Jul2019'!AI31*'Tariffs Jul2019'!O31/100)* 'Tariffs Jul2019'!AI31)</f>
        <v>374.4</v>
      </c>
      <c r="F37" s="59">
        <f>IF($C$5*'Tariffs Jul2019'!AK31/'Tariffs Jul2019'!AI31&lt;'Tariffs Jul2019'!J31,0,IF($C$5*'Tariffs Jul2019'!AK31/'Tariffs Jul2019'!AI31&lt;='Tariffs Jul2019'!K31,($C$5*'Tariffs Jul2019'!AK31/'Tariffs Jul2019'!AI31-'Tariffs Jul2019'!J31)*('Tariffs Jul2019'!P31/100)*'Tariffs Jul2019'!AI31,('Tariffs Jul2019'!K31-'Tariffs Jul2019'!J31)*('Tariffs Jul2019'!P31/100)*'Tariffs Jul2019'!AI31))</f>
        <v>0</v>
      </c>
      <c r="G37" s="59">
        <f>IF($C$5*'Tariffs Jul2019'!AK31/'Tariffs Jul2019'!AI31&lt;'Tariffs Jul2019'!K31,0,IF($C$5*'Tariffs Jul2019'!AK31/'Tariffs Jul2019'!AI31&lt;='Tariffs Jul2019'!L31,($C$5*'Tariffs Jul2019'!AK31/'Tariffs Jul2019'!AI31-'Tariffs Jul2019'!K31)*('Tariffs Jul2019'!Q31/100)*'Tariffs Jul2019'!AI31,('Tariffs Jul2019'!L31-'Tariffs Jul2019'!K31)*('Tariffs Jul2019'!Q31/100)*'Tariffs Jul2019'!AI31))</f>
        <v>0</v>
      </c>
      <c r="H37" s="59">
        <f>IF($C$5*'Tariffs Jul2019'!AK31/'Tariffs Jul2019'!AI31&lt;'Tariffs Jul2019'!L31,0,IF($C$5*'Tariffs Jul2019'!AK31/'Tariffs Jul2019'!AI31&lt;='Tariffs Jul2019'!M31,($C$5*'Tariffs Jul2019'!AK31/'Tariffs Jul2019'!AI31-'Tariffs Jul2019'!L31)*('Tariffs Jul2019'!R31/100)*'Tariffs Jul2019'!AI31,('Tariffs Jul2019'!M31-'Tariffs Jul2019'!L31)*('Tariffs Jul2019'!R31/100)*'Tariffs Jul2019'!AI31))</f>
        <v>0</v>
      </c>
      <c r="I37" s="59">
        <f>IF(($C$5*'Tariffs Jul2019'!AK31/'Tariffs Jul2019'!AI31&gt;'Tariffs Jul2019'!M31),($C$5*'Tariffs Jul2019'!AK31/'Tariffs Jul2019'!AI31-'Tariffs Jul2019'!M31)*'Tariffs Jul2019'!S31/100*'Tariffs Jul2019'!AI31,0)</f>
        <v>202.5</v>
      </c>
      <c r="J37" s="59">
        <f>IF($C$5*'Tariffs Jul2019'!AL31/'Tariffs Jul2019'!AJ31&gt;='Tariffs Jul2019'!J31,('Tariffs Jul2019'!J31*'Tariffs Jul2019'!U31/100)* 'Tariffs Jul2019'!AJ31,($C$5*'Tariffs Jul2019'!AL31/'Tariffs Jul2019'!AJ31*'Tariffs Jul2019'!U31/100)* 'Tariffs Jul2019'!AJ31)</f>
        <v>342</v>
      </c>
      <c r="K37" s="59">
        <f>IF($C$5*'Tariffs Jul2019'!AL31/'Tariffs Jul2019'!AJ31&lt;'Tariffs Jul2019'!J31,0,IF($C$5*'Tariffs Jul2019'!AL31/'Tariffs Jul2019'!AJ31&lt;='Tariffs Jul2019'!K31,($C$5*'Tariffs Jul2019'!AL31/'Tariffs Jul2019'!AJ31-'Tariffs Jul2019'!J31)*('Tariffs Jul2019'!V31/100)*'Tariffs Jul2019'!AJ31,('Tariffs Jul2019'!K31-'Tariffs Jul2019'!J31)*('Tariffs Jul2019'!V31/100)*'Tariffs Jul2019'!AJ31))</f>
        <v>0</v>
      </c>
      <c r="L37" s="59">
        <f>IF($C$5*'Tariffs Jul2019'!AL31/'Tariffs Jul2019'!AJ31&lt;'Tariffs Jul2019'!K31,0,IF($C$5*'Tariffs Jul2019'!AL31/'Tariffs Jul2019'!AJ31&lt;='Tariffs Jul2019'!L31,($C$5*'Tariffs Jul2019'!AL31/'Tariffs Jul2019'!AJ31-'Tariffs Jul2019'!K31)*('Tariffs Jul2019'!W31/100)*'Tariffs Jul2019'!AJ31,('Tariffs Jul2019'!L31-'Tariffs Jul2019'!K31)*('Tariffs Jul2019'!W31/100)*'Tariffs Jul2019'!AJ31))</f>
        <v>0</v>
      </c>
      <c r="M37" s="59">
        <f>IF($C$5*'Tariffs Jul2019'!AL31/'Tariffs Jul2019'!AJ31&lt;'Tariffs Jul2019'!L31,0,IF($C$5*'Tariffs Jul2019'!AL31/'Tariffs Jul2019'!AJ31&lt;='Tariffs Jul2019'!M31,($C$5*'Tariffs Jul2019'!AL31/'Tariffs Jul2019'!AJ31-'Tariffs Jul2019'!L31)*('Tariffs Jul2019'!X31/100)*'Tariffs Jul2019'!AJ31,('Tariffs Jul2019'!M31-'Tariffs Jul2019'!L31)*('Tariffs Jul2019'!X31/100)*'Tariffs Jul2019'!AJ31))</f>
        <v>0</v>
      </c>
      <c r="N37" s="59">
        <f>IF(($C$5*'Tariffs Jul2019'!AL31/'Tariffs Jul2019'!AJ31&gt;'Tariffs Jul2019'!M31),($C$5*'Tariffs Jul2019'!AL31/'Tariffs Jul2019'!AJ31-'Tariffs Jul2019'!M31)*'Tariffs Jul2019'!Y31/100*'Tariffs Jul2019'!AJ31,0)</f>
        <v>202.5</v>
      </c>
      <c r="O37" s="271">
        <f t="shared" si="0"/>
        <v>1121.4000000000001</v>
      </c>
      <c r="P37" s="413">
        <f t="shared" si="1"/>
        <v>1233.5400000000002</v>
      </c>
      <c r="Q37" s="59">
        <f t="shared" si="2"/>
        <v>1347.7</v>
      </c>
      <c r="R37" s="272">
        <f t="shared" si="3"/>
        <v>1482.4700000000003</v>
      </c>
      <c r="S37" s="40">
        <f>'Tariffs Jul2019'!AN31</f>
        <v>0</v>
      </c>
      <c r="T37" s="40">
        <f>'Tariffs Jul2019'!AO31</f>
        <v>0</v>
      </c>
      <c r="U37" s="40">
        <f>'Tariffs Jul2019'!AP31</f>
        <v>5</v>
      </c>
      <c r="V37" s="40">
        <f>'Tariffs Jul2019'!AQ31</f>
        <v>0</v>
      </c>
      <c r="W37" s="273">
        <f t="shared" si="7"/>
        <v>1347.7</v>
      </c>
      <c r="X37" s="273">
        <f>W37-(Q37*U37/100)</f>
        <v>1280.3150000000001</v>
      </c>
      <c r="Y37" s="272">
        <f t="shared" si="4"/>
        <v>1482.4700000000003</v>
      </c>
      <c r="Z37" s="272">
        <f t="shared" si="4"/>
        <v>1408.3465000000001</v>
      </c>
      <c r="AA37" s="274">
        <f>'Tariffs Jul2019'!AZ31</f>
        <v>0</v>
      </c>
      <c r="AB37" s="274" t="str">
        <f>'Tariffs Jul2019'!BA31</f>
        <v>n</v>
      </c>
      <c r="AC37" s="275" t="str">
        <f>'Tariffs Jul2019'!BJ31</f>
        <v>N</v>
      </c>
      <c r="AD37" s="398"/>
      <c r="AE37" s="398"/>
      <c r="AF37" s="398"/>
      <c r="AG37" s="398"/>
      <c r="AH37" s="398"/>
      <c r="AI37" s="398"/>
      <c r="AJ37" s="398"/>
      <c r="AK37" s="398"/>
      <c r="AL37" s="398"/>
      <c r="AM37" s="398"/>
      <c r="AN37" s="398"/>
    </row>
    <row r="38" spans="1:40" x14ac:dyDescent="0.15">
      <c r="A38" s="270" t="str">
        <f>'Tariffs Jul2019'!F32</f>
        <v>Powershop</v>
      </c>
      <c r="B38" s="40" t="str">
        <f>'Tariffs Jul2019'!D32</f>
        <v>Multinet Metro 2</v>
      </c>
      <c r="C38" s="40" t="str">
        <f>'Tariffs Jul2019'!G32</f>
        <v>Shopper with Gas Saver</v>
      </c>
      <c r="D38" s="59">
        <f>365*'Tariffs Jul2019'!H32/100</f>
        <v>290.90499999999997</v>
      </c>
      <c r="E38" s="59">
        <f>((C$5*'Tariffs Jul2019'!AK32/'Tariffs Jul2019'!AI32)*('Tariffs Jul2019'!O32/100))*'Tariffs Jul2019'!AI32</f>
        <v>516.59999999999991</v>
      </c>
      <c r="F38" s="59">
        <v>0</v>
      </c>
      <c r="G38" s="59">
        <v>0</v>
      </c>
      <c r="H38" s="59">
        <v>0</v>
      </c>
      <c r="I38" s="59">
        <v>0</v>
      </c>
      <c r="J38" s="59">
        <f>((C$5*'Tariffs Jul2019'!AL32/'Tariffs Jul2019'!AJ32)*('Tariffs Jul2019'!U32/100))*'Tariffs Jul2019'!AJ32</f>
        <v>604.79999999999995</v>
      </c>
      <c r="K38" s="59">
        <v>0</v>
      </c>
      <c r="L38" s="59">
        <v>0</v>
      </c>
      <c r="M38" s="59">
        <v>0</v>
      </c>
      <c r="N38" s="59">
        <v>0</v>
      </c>
      <c r="O38" s="271">
        <f t="shared" si="0"/>
        <v>1121.3999999999999</v>
      </c>
      <c r="P38" s="413">
        <f t="shared" si="1"/>
        <v>1233.54</v>
      </c>
      <c r="Q38" s="59">
        <f t="shared" si="2"/>
        <v>1412.3049999999998</v>
      </c>
      <c r="R38" s="272">
        <f t="shared" si="3"/>
        <v>1553.5355</v>
      </c>
      <c r="S38" s="40">
        <f>'Tariffs Jul2019'!AN32</f>
        <v>0</v>
      </c>
      <c r="T38" s="40">
        <f>'Tariffs Jul2019'!AO32</f>
        <v>0</v>
      </c>
      <c r="U38" s="40">
        <f>'Tariffs Jul2019'!AP32</f>
        <v>5</v>
      </c>
      <c r="V38" s="40">
        <f>'Tariffs Jul2019'!AQ32</f>
        <v>0</v>
      </c>
      <c r="W38" s="273">
        <f>R38</f>
        <v>1553.5355</v>
      </c>
      <c r="X38" s="273">
        <f>W38-(W38*U38/100)</f>
        <v>1475.858725</v>
      </c>
      <c r="Y38" s="272">
        <f>W38</f>
        <v>1553.5355</v>
      </c>
      <c r="Z38" s="272">
        <f>X38</f>
        <v>1475.858725</v>
      </c>
      <c r="AA38" s="274">
        <f>'Tariffs Jul2019'!AZ32</f>
        <v>0</v>
      </c>
      <c r="AB38" s="274" t="str">
        <f>'Tariffs Jul2019'!BA32</f>
        <v>n</v>
      </c>
      <c r="AC38" s="275" t="str">
        <f>'Tariffs Jul2019'!BJ32</f>
        <v>Y</v>
      </c>
      <c r="AD38" s="398"/>
      <c r="AE38" s="398"/>
      <c r="AF38" s="398"/>
      <c r="AG38" s="398"/>
      <c r="AH38" s="398"/>
      <c r="AI38" s="398"/>
      <c r="AJ38" s="398"/>
      <c r="AK38" s="398"/>
      <c r="AL38" s="398"/>
      <c r="AM38" s="398"/>
      <c r="AN38" s="398"/>
    </row>
    <row r="39" spans="1:40" ht="14" thickBot="1" x14ac:dyDescent="0.2">
      <c r="A39" s="276" t="str">
        <f>'Tariffs Jul2019'!F33</f>
        <v>DC Power Co</v>
      </c>
      <c r="B39" s="277" t="str">
        <f>'Tariffs Jul2019'!D33</f>
        <v>Multinet Metro 2</v>
      </c>
      <c r="C39" s="277" t="str">
        <f>'Tariffs Jul2019'!G33</f>
        <v>Market offer</v>
      </c>
      <c r="D39" s="278">
        <f>365*'Tariffs Jul2019'!H33/100</f>
        <v>297.54136363636366</v>
      </c>
      <c r="E39" s="278">
        <f>((C$5*'Tariffs Jul2019'!AK33/'Tariffs Jul2019'!AI33)*('Tariffs Jul2019'!O33/100))*'Tariffs Jul2019'!AI33</f>
        <v>526.90909090909088</v>
      </c>
      <c r="F39" s="278">
        <v>0</v>
      </c>
      <c r="G39" s="278">
        <v>0</v>
      </c>
      <c r="H39" s="278">
        <v>0</v>
      </c>
      <c r="I39" s="278">
        <v>0</v>
      </c>
      <c r="J39" s="278">
        <f>((C$5*'Tariffs Jul2019'!AL33/'Tariffs Jul2019'!AJ33)*('Tariffs Jul2019'!U33/100))*'Tariffs Jul2019'!AJ33</f>
        <v>538.36363636363626</v>
      </c>
      <c r="K39" s="278">
        <v>0</v>
      </c>
      <c r="L39" s="278">
        <v>0</v>
      </c>
      <c r="M39" s="278">
        <v>0</v>
      </c>
      <c r="N39" s="278">
        <v>0</v>
      </c>
      <c r="O39" s="279">
        <f>SUM(E39:N39)</f>
        <v>1065.272727272727</v>
      </c>
      <c r="P39" s="413">
        <f t="shared" si="1"/>
        <v>1171.7999999999997</v>
      </c>
      <c r="Q39" s="278">
        <f>D39+O39</f>
        <v>1362.8140909090907</v>
      </c>
      <c r="R39" s="280">
        <f>Q39*1.1</f>
        <v>1499.0954999999999</v>
      </c>
      <c r="S39" s="277">
        <f>'Tariffs Jul2019'!AN33</f>
        <v>0</v>
      </c>
      <c r="T39" s="277">
        <f>'Tariffs Jul2019'!AO33</f>
        <v>0</v>
      </c>
      <c r="U39" s="277">
        <f>'Tariffs Jul2019'!AP33</f>
        <v>0</v>
      </c>
      <c r="V39" s="277">
        <f>'Tariffs Jul2019'!AQ33</f>
        <v>0</v>
      </c>
      <c r="W39" s="281">
        <f t="shared" si="7"/>
        <v>1362.8140909090907</v>
      </c>
      <c r="X39" s="281">
        <f>W39</f>
        <v>1362.8140909090907</v>
      </c>
      <c r="Y39" s="280">
        <f>W39*1.1</f>
        <v>1499.0954999999999</v>
      </c>
      <c r="Z39" s="280">
        <f>X39*1.1</f>
        <v>1499.0954999999999</v>
      </c>
      <c r="AA39" s="282">
        <f>'Tariffs Jul2019'!AZ33</f>
        <v>0</v>
      </c>
      <c r="AB39" s="282" t="str">
        <f>'Tariffs Jul2019'!BA33</f>
        <v>n</v>
      </c>
      <c r="AC39" s="283" t="str">
        <f>'Tariffs Jul2019'!BJ33</f>
        <v>Y</v>
      </c>
      <c r="AD39" s="398"/>
      <c r="AE39" s="398"/>
      <c r="AF39" s="398"/>
      <c r="AG39" s="398"/>
      <c r="AH39" s="398"/>
      <c r="AI39" s="398"/>
      <c r="AJ39" s="398"/>
      <c r="AK39" s="398"/>
      <c r="AL39" s="398"/>
      <c r="AM39" s="398"/>
      <c r="AN39" s="398"/>
    </row>
    <row r="40" spans="1:40" ht="14" thickTop="1" x14ac:dyDescent="0.15">
      <c r="A40" s="270" t="str">
        <f>'Tariffs Jul2019'!F34</f>
        <v>AGL</v>
      </c>
      <c r="B40" s="40" t="str">
        <f>'Tariffs Jul2019'!D34</f>
        <v>AGN North</v>
      </c>
      <c r="C40" s="40" t="str">
        <f>'Tariffs Jul2019'!G34</f>
        <v>Essentials</v>
      </c>
      <c r="D40" s="59">
        <f>365*'Tariffs Jul2019'!H34/100</f>
        <v>271.19499999999999</v>
      </c>
      <c r="E40" s="59">
        <f>IF($C$5*'Tariffs Jul2019'!AK34/'Tariffs Jul2019'!AI34&gt;='Tariffs Jul2019'!J34,( 'Tariffs Jul2019'!J34*'Tariffs Jul2019'!O34/100)* 'Tariffs Jul2019'!AI34,($C$5*'Tariffs Jul2019'!AK34/'Tariffs Jul2019'!AI34*'Tariffs Jul2019'!O34/100)* 'Tariffs Jul2019'!AI34)</f>
        <v>70.884545454545446</v>
      </c>
      <c r="F40" s="59">
        <f>IF($C$5*'Tariffs Jul2019'!AK34/'Tariffs Jul2019'!AI34&lt;'Tariffs Jul2019'!J34,0,IF($C$5*'Tariffs Jul2019'!AK34/'Tariffs Jul2019'!AI34&lt;='Tariffs Jul2019'!K34,($C$5*'Tariffs Jul2019'!AK34/'Tariffs Jul2019'!AI34-'Tariffs Jul2019'!J34)*('Tariffs Jul2019'!P34/100)*'Tariffs Jul2019'!AI34,('Tariffs Jul2019'!K34-'Tariffs Jul2019'!J34)*('Tariffs Jul2019'!P34/100)*'Tariffs Jul2019'!AI34))</f>
        <v>54.2</v>
      </c>
      <c r="G40" s="59">
        <f>IF($C$5*'Tariffs Jul2019'!AK34/'Tariffs Jul2019'!AI34&lt;'Tariffs Jul2019'!K34,0,IF($C$5*'Tariffs Jul2019'!AK34/'Tariffs Jul2019'!AI34&lt;='Tariffs Jul2019'!L34,($C$5*'Tariffs Jul2019'!AK34/'Tariffs Jul2019'!AI34-'Tariffs Jul2019'!K34)*('Tariffs Jul2019'!Q34/100)*'Tariffs Jul2019'!AI34,('Tariffs Jul2019'!L34-'Tariffs Jul2019'!K34)*('Tariffs Jul2019'!Q34/100)*'Tariffs Jul2019'!AI34))</f>
        <v>0</v>
      </c>
      <c r="H40" s="59">
        <f>IF($C$5*'Tariffs Jul2019'!AK34/'Tariffs Jul2019'!AI34&lt;'Tariffs Jul2019'!L34,0,IF($C$5*'Tariffs Jul2019'!AK34/'Tariffs Jul2019'!AI34&lt;='Tariffs Jul2019'!M34,($C$5*'Tariffs Jul2019'!AK34/'Tariffs Jul2019'!AI34-'Tariffs Jul2019'!L34)*('Tariffs Jul2019'!R34/100)*'Tariffs Jul2019'!AI34,('Tariffs Jul2019'!M34-'Tariffs Jul2019'!L34)*('Tariffs Jul2019'!R34/100)*'Tariffs Jul2019'!AI34))</f>
        <v>0</v>
      </c>
      <c r="I40" s="59">
        <f>IF(($C$5*'Tariffs Jul2019'!AK34/'Tariffs Jul2019'!AI34&gt;'Tariffs Jul2019'!M34),($C$5*'Tariffs Jul2019'!AK34/'Tariffs Jul2019'!AI34-'Tariffs Jul2019'!M34)*'Tariffs Jul2019'!S34/100*'Tariffs Jul2019'!AI34,0)</f>
        <v>250.87396363636358</v>
      </c>
      <c r="J40" s="59">
        <f>IF($C$5*'Tariffs Jul2019'!AL34/'Tariffs Jul2019'!AJ34&gt;='Tariffs Jul2019'!J34,('Tariffs Jul2019'!J34*'Tariffs Jul2019'!U34/100)* 'Tariffs Jul2019'!AJ34,($C$5*'Tariffs Jul2019'!AL34/'Tariffs Jul2019'!AJ34*'Tariffs Jul2019'!U34/100)* 'Tariffs Jul2019'!AJ34)</f>
        <v>141.76909090909089</v>
      </c>
      <c r="K40" s="59">
        <f>IF($C$5*'Tariffs Jul2019'!AL34/'Tariffs Jul2019'!AJ34&lt;'Tariffs Jul2019'!J34,0,IF($C$5*'Tariffs Jul2019'!AL34/'Tariffs Jul2019'!AJ34&lt;='Tariffs Jul2019'!K34,($C$5*'Tariffs Jul2019'!AL34/'Tariffs Jul2019'!AJ34-'Tariffs Jul2019'!J34)*('Tariffs Jul2019'!V34/100)*'Tariffs Jul2019'!AJ34,('Tariffs Jul2019'!K34-'Tariffs Jul2019'!J34)*('Tariffs Jul2019'!V34/100)*'Tariffs Jul2019'!AJ34))</f>
        <v>108.4</v>
      </c>
      <c r="L40" s="59">
        <f>IF($C$5*'Tariffs Jul2019'!AL34/'Tariffs Jul2019'!AJ34&lt;'Tariffs Jul2019'!K34,0,IF($C$5*'Tariffs Jul2019'!AL34/'Tariffs Jul2019'!AJ34&lt;='Tariffs Jul2019'!L34,($C$5*'Tariffs Jul2019'!AL34/'Tariffs Jul2019'!AJ34-'Tariffs Jul2019'!K34)*('Tariffs Jul2019'!W34/100)*'Tariffs Jul2019'!AJ34,('Tariffs Jul2019'!L34-'Tariffs Jul2019'!K34)*('Tariffs Jul2019'!W34/100)*'Tariffs Jul2019'!AJ34))</f>
        <v>0</v>
      </c>
      <c r="M40" s="59">
        <f>IF($C$5*'Tariffs Jul2019'!AL34/'Tariffs Jul2019'!AJ34&lt;'Tariffs Jul2019'!L34,0,IF($C$5*'Tariffs Jul2019'!AL34/'Tariffs Jul2019'!AJ34&lt;='Tariffs Jul2019'!M34,($C$5*'Tariffs Jul2019'!AL34/'Tariffs Jul2019'!AJ34-'Tariffs Jul2019'!L34)*('Tariffs Jul2019'!X34/100)*'Tariffs Jul2019'!AJ34,('Tariffs Jul2019'!M34-'Tariffs Jul2019'!L34)*('Tariffs Jul2019'!X34/100)*'Tariffs Jul2019'!AJ34))</f>
        <v>0</v>
      </c>
      <c r="N40" s="59">
        <f>IF(($C$5*'Tariffs Jul2019'!AL34/'Tariffs Jul2019'!AJ34&gt;'Tariffs Jul2019'!M34),($C$5*'Tariffs Jul2019'!AL34/'Tariffs Jul2019'!AJ34-'Tariffs Jul2019'!M34)*'Tariffs Jul2019'!Y34/100*'Tariffs Jul2019'!AJ34,0)</f>
        <v>501.74792727272717</v>
      </c>
      <c r="O40" s="271">
        <f t="shared" si="0"/>
        <v>1127.8755272727271</v>
      </c>
      <c r="P40" s="413">
        <f t="shared" si="1"/>
        <v>1240.66308</v>
      </c>
      <c r="Q40" s="59">
        <f t="shared" si="2"/>
        <v>1399.0705272727271</v>
      </c>
      <c r="R40" s="272">
        <f t="shared" si="3"/>
        <v>1538.97758</v>
      </c>
      <c r="S40" s="40">
        <f>'Tariffs Jul2019'!AN34</f>
        <v>0</v>
      </c>
      <c r="T40" s="40">
        <f>'Tariffs Jul2019'!AO34</f>
        <v>0</v>
      </c>
      <c r="U40" s="40">
        <f>'Tariffs Jul2019'!AP34</f>
        <v>0</v>
      </c>
      <c r="V40" s="40">
        <f>'Tariffs Jul2019'!AQ34</f>
        <v>0</v>
      </c>
      <c r="W40" s="273">
        <f>Q40</f>
        <v>1399.0705272727271</v>
      </c>
      <c r="X40" s="273">
        <f>W40</f>
        <v>1399.0705272727271</v>
      </c>
      <c r="Y40" s="272">
        <f t="shared" si="4"/>
        <v>1538.97758</v>
      </c>
      <c r="Z40" s="272">
        <f t="shared" si="4"/>
        <v>1538.97758</v>
      </c>
      <c r="AA40" s="274">
        <f>'Tariffs Jul2019'!AZ34</f>
        <v>0</v>
      </c>
      <c r="AB40" s="274" t="str">
        <f>'Tariffs Jul2019'!BA34</f>
        <v>n</v>
      </c>
      <c r="AC40" s="275" t="str">
        <f>'Tariffs Jul2019'!BJ34</f>
        <v>N</v>
      </c>
      <c r="AD40" s="398"/>
      <c r="AE40" s="398"/>
      <c r="AF40" s="398"/>
      <c r="AG40" s="398"/>
      <c r="AH40" s="398"/>
      <c r="AI40" s="398"/>
      <c r="AJ40" s="398"/>
      <c r="AK40" s="398"/>
      <c r="AL40" s="398"/>
      <c r="AM40" s="398"/>
      <c r="AN40" s="398"/>
    </row>
    <row r="41" spans="1:40" x14ac:dyDescent="0.15">
      <c r="A41" s="270" t="str">
        <f>'Tariffs Jul2019'!F35</f>
        <v>Alinta Energy</v>
      </c>
      <c r="B41" s="40" t="str">
        <f>'Tariffs Jul2019'!D35</f>
        <v>AGN North</v>
      </c>
      <c r="C41" s="40" t="str">
        <f>'Tariffs Jul2019'!G35</f>
        <v>Real Deal</v>
      </c>
      <c r="D41" s="59">
        <f>365*'Tariffs Jul2019'!H35/100</f>
        <v>270.10000000000002</v>
      </c>
      <c r="E41" s="59">
        <f>IF($C$5*'Tariffs Jul2019'!AK35/'Tariffs Jul2019'!AI35&gt;='Tariffs Jul2019'!J35,( 'Tariffs Jul2019'!J35*'Tariffs Jul2019'!O35/100)* 'Tariffs Jul2019'!AI35,($C$5*'Tariffs Jul2019'!AK35/'Tariffs Jul2019'!AI35*'Tariffs Jul2019'!O35/100)* 'Tariffs Jul2019'!AI35)</f>
        <v>71.781818181818181</v>
      </c>
      <c r="F41" s="59">
        <f>IF($C$5*'Tariffs Jul2019'!AK35/'Tariffs Jul2019'!AI35&lt;'Tariffs Jul2019'!J35,0,IF($C$5*'Tariffs Jul2019'!AK35/'Tariffs Jul2019'!AI35&lt;='Tariffs Jul2019'!K35,($C$5*'Tariffs Jul2019'!AK35/'Tariffs Jul2019'!AI35-'Tariffs Jul2019'!J35)*('Tariffs Jul2019'!P35/100)*'Tariffs Jul2019'!AI35,('Tariffs Jul2019'!K35-'Tariffs Jul2019'!J35)*('Tariffs Jul2019'!P35/100)*'Tariffs Jul2019'!AI35))</f>
        <v>59.127272727272725</v>
      </c>
      <c r="G41" s="59">
        <f>IF($C$5*'Tariffs Jul2019'!AK35/'Tariffs Jul2019'!AI35&lt;'Tariffs Jul2019'!K35,0,IF($C$5*'Tariffs Jul2019'!AK35/'Tariffs Jul2019'!AI35&lt;='Tariffs Jul2019'!L35,($C$5*'Tariffs Jul2019'!AK35/'Tariffs Jul2019'!AI35-'Tariffs Jul2019'!K35)*('Tariffs Jul2019'!Q35/100)*'Tariffs Jul2019'!AI35,('Tariffs Jul2019'!L35-'Tariffs Jul2019'!K35)*('Tariffs Jul2019'!Q35/100)*'Tariffs Jul2019'!AI35))</f>
        <v>0</v>
      </c>
      <c r="H41" s="59">
        <f>IF($C$5*'Tariffs Jul2019'!AK35/'Tariffs Jul2019'!AI35&lt;'Tariffs Jul2019'!L35,0,IF($C$5*'Tariffs Jul2019'!AK35/'Tariffs Jul2019'!AI35&lt;='Tariffs Jul2019'!M35,($C$5*'Tariffs Jul2019'!AK35/'Tariffs Jul2019'!AI35-'Tariffs Jul2019'!L35)*('Tariffs Jul2019'!R35/100)*'Tariffs Jul2019'!AI35,('Tariffs Jul2019'!M35-'Tariffs Jul2019'!L35)*('Tariffs Jul2019'!R35/100)*'Tariffs Jul2019'!AI35))</f>
        <v>0</v>
      </c>
      <c r="I41" s="59">
        <f>IF(($C$5*'Tariffs Jul2019'!AK35/'Tariffs Jul2019'!AI35&gt;'Tariffs Jul2019'!M35),($C$5*'Tariffs Jul2019'!AK35/'Tariffs Jul2019'!AI35-'Tariffs Jul2019'!M35)*'Tariffs Jul2019'!S35/100*'Tariffs Jul2019'!AI35,0)</f>
        <v>286.32354545454541</v>
      </c>
      <c r="J41" s="59">
        <f>IF($C$5*'Tariffs Jul2019'!AL35/'Tariffs Jul2019'!AJ35&gt;='Tariffs Jul2019'!J35,('Tariffs Jul2019'!J35*'Tariffs Jul2019'!U35/100)* 'Tariffs Jul2019'!AJ35,($C$5*'Tariffs Jul2019'!AL35/'Tariffs Jul2019'!AJ35*'Tariffs Jul2019'!U35/100)* 'Tariffs Jul2019'!AJ35)</f>
        <v>143.56363636363636</v>
      </c>
      <c r="K41" s="59">
        <f>IF($C$5*'Tariffs Jul2019'!AL35/'Tariffs Jul2019'!AJ35&lt;'Tariffs Jul2019'!J35,0,IF($C$5*'Tariffs Jul2019'!AL35/'Tariffs Jul2019'!AJ35&lt;='Tariffs Jul2019'!K35,($C$5*'Tariffs Jul2019'!AL35/'Tariffs Jul2019'!AJ35-'Tariffs Jul2019'!J35)*('Tariffs Jul2019'!V35/100)*'Tariffs Jul2019'!AJ35,('Tariffs Jul2019'!K35-'Tariffs Jul2019'!J35)*('Tariffs Jul2019'!V35/100)*'Tariffs Jul2019'!AJ35))</f>
        <v>118.25454545454545</v>
      </c>
      <c r="L41" s="59">
        <f>IF($C$5*'Tariffs Jul2019'!AL35/'Tariffs Jul2019'!AJ35&lt;'Tariffs Jul2019'!K35,0,IF($C$5*'Tariffs Jul2019'!AL35/'Tariffs Jul2019'!AJ35&lt;='Tariffs Jul2019'!L35,($C$5*'Tariffs Jul2019'!AL35/'Tariffs Jul2019'!AJ35-'Tariffs Jul2019'!K35)*('Tariffs Jul2019'!W35/100)*'Tariffs Jul2019'!AJ35,('Tariffs Jul2019'!L35-'Tariffs Jul2019'!K35)*('Tariffs Jul2019'!W35/100)*'Tariffs Jul2019'!AJ35))</f>
        <v>0</v>
      </c>
      <c r="M41" s="59">
        <f>IF($C$5*'Tariffs Jul2019'!AL35/'Tariffs Jul2019'!AJ35&lt;'Tariffs Jul2019'!L35,0,IF($C$5*'Tariffs Jul2019'!AL35/'Tariffs Jul2019'!AJ35&lt;='Tariffs Jul2019'!M35,($C$5*'Tariffs Jul2019'!AL35/'Tariffs Jul2019'!AJ35-'Tariffs Jul2019'!L35)*('Tariffs Jul2019'!X35/100)*'Tariffs Jul2019'!AJ35,('Tariffs Jul2019'!M35-'Tariffs Jul2019'!L35)*('Tariffs Jul2019'!X35/100)*'Tariffs Jul2019'!AJ35))</f>
        <v>0</v>
      </c>
      <c r="N41" s="59">
        <f>IF(($C$5*'Tariffs Jul2019'!AL35/'Tariffs Jul2019'!AJ35&gt;'Tariffs Jul2019'!M35),($C$5*'Tariffs Jul2019'!AL35/'Tariffs Jul2019'!AJ35-'Tariffs Jul2019'!M35)*'Tariffs Jul2019'!Y35/100*'Tariffs Jul2019'!AJ35,0)</f>
        <v>572.64709090909082</v>
      </c>
      <c r="O41" s="271">
        <f t="shared" si="0"/>
        <v>1251.697909090909</v>
      </c>
      <c r="P41" s="413">
        <f t="shared" si="1"/>
        <v>1376.8677</v>
      </c>
      <c r="Q41" s="59">
        <f t="shared" si="2"/>
        <v>1521.7979090909089</v>
      </c>
      <c r="R41" s="272">
        <f t="shared" si="3"/>
        <v>1673.9776999999999</v>
      </c>
      <c r="S41" s="40">
        <f>'Tariffs Jul2019'!AN35</f>
        <v>0</v>
      </c>
      <c r="T41" s="40">
        <f>'Tariffs Jul2019'!AO35</f>
        <v>0</v>
      </c>
      <c r="U41" s="40">
        <f>'Tariffs Jul2019'!AP35</f>
        <v>0</v>
      </c>
      <c r="V41" s="40">
        <f>'Tariffs Jul2019'!AQ35</f>
        <v>0</v>
      </c>
      <c r="W41" s="273">
        <f>Q41</f>
        <v>1521.7979090909089</v>
      </c>
      <c r="X41" s="273">
        <f>W41</f>
        <v>1521.7979090909089</v>
      </c>
      <c r="Y41" s="272">
        <f t="shared" si="4"/>
        <v>1673.9776999999999</v>
      </c>
      <c r="Z41" s="272">
        <f t="shared" si="4"/>
        <v>1673.9776999999999</v>
      </c>
      <c r="AA41" s="274">
        <f>'Tariffs Jul2019'!AZ35</f>
        <v>0</v>
      </c>
      <c r="AB41" s="274" t="str">
        <f>'Tariffs Jul2019'!BA35</f>
        <v>n</v>
      </c>
      <c r="AC41" s="275" t="str">
        <f>'Tariffs Jul2019'!BJ35</f>
        <v>Y</v>
      </c>
      <c r="AD41" s="398"/>
      <c r="AE41" s="398"/>
      <c r="AF41" s="398"/>
      <c r="AG41" s="398"/>
      <c r="AH41" s="398"/>
      <c r="AI41" s="398"/>
      <c r="AJ41" s="398"/>
      <c r="AK41" s="398"/>
      <c r="AL41" s="398"/>
      <c r="AM41" s="398"/>
      <c r="AN41" s="398"/>
    </row>
    <row r="42" spans="1:40" x14ac:dyDescent="0.15">
      <c r="A42" s="270" t="str">
        <f>'Tariffs Jul2019'!F36</f>
        <v>Click Energy</v>
      </c>
      <c r="B42" s="40" t="str">
        <f>'Tariffs Jul2019'!D36</f>
        <v>AGN North</v>
      </c>
      <c r="C42" s="40" t="str">
        <f>'Tariffs Jul2019'!G36</f>
        <v>Banksia</v>
      </c>
      <c r="D42" s="59">
        <f>365*'Tariffs Jul2019'!H36/100</f>
        <v>216.61090909090908</v>
      </c>
      <c r="E42" s="59">
        <f>IF($C$5*'Tariffs Jul2019'!AK36/'Tariffs Jul2019'!AI36&gt;='Tariffs Jul2019'!J36,( 'Tariffs Jul2019'!J36*'Tariffs Jul2019'!O36/100)* 'Tariffs Jul2019'!AI36,($C$5*'Tariffs Jul2019'!AK36/'Tariffs Jul2019'!AI36*'Tariffs Jul2019'!O36/100)* 'Tariffs Jul2019'!AI36)</f>
        <v>91.222727272727255</v>
      </c>
      <c r="F42" s="59">
        <f>IF($C$5*'Tariffs Jul2019'!AK36/'Tariffs Jul2019'!AI36&lt;'Tariffs Jul2019'!J36,0,IF($C$5*'Tariffs Jul2019'!AK36/'Tariffs Jul2019'!AI36&lt;='Tariffs Jul2019'!K36,($C$5*'Tariffs Jul2019'!AK36/'Tariffs Jul2019'!AI36-'Tariffs Jul2019'!J36)*('Tariffs Jul2019'!P36/100)*'Tariffs Jul2019'!AI36,('Tariffs Jul2019'!K36-'Tariffs Jul2019'!J36)*('Tariffs Jul2019'!P36/100)*'Tariffs Jul2019'!AI36))</f>
        <v>64.054545454545448</v>
      </c>
      <c r="G42" s="59">
        <f>IF($C$5*'Tariffs Jul2019'!AK36/'Tariffs Jul2019'!AI36&lt;'Tariffs Jul2019'!K36,0,IF($C$5*'Tariffs Jul2019'!AK36/'Tariffs Jul2019'!AI36&lt;='Tariffs Jul2019'!L36,($C$5*'Tariffs Jul2019'!AK36/'Tariffs Jul2019'!AI36-'Tariffs Jul2019'!K36)*('Tariffs Jul2019'!Q36/100)*'Tariffs Jul2019'!AI36,('Tariffs Jul2019'!L36-'Tariffs Jul2019'!K36)*('Tariffs Jul2019'!Q36/100)*'Tariffs Jul2019'!AI36))</f>
        <v>0</v>
      </c>
      <c r="H42" s="59">
        <f>IF($C$5*'Tariffs Jul2019'!AK36/'Tariffs Jul2019'!AI36&lt;'Tariffs Jul2019'!L36,0,IF($C$5*'Tariffs Jul2019'!AK36/'Tariffs Jul2019'!AI36&lt;='Tariffs Jul2019'!M36,($C$5*'Tariffs Jul2019'!AK36/'Tariffs Jul2019'!AI36-'Tariffs Jul2019'!L36)*('Tariffs Jul2019'!R36/100)*'Tariffs Jul2019'!AI36,('Tariffs Jul2019'!M36-'Tariffs Jul2019'!L36)*('Tariffs Jul2019'!R36/100)*'Tariffs Jul2019'!AI36))</f>
        <v>0</v>
      </c>
      <c r="I42" s="59">
        <f>IF(($C$5*'Tariffs Jul2019'!AK36/'Tariffs Jul2019'!AI36&gt;'Tariffs Jul2019'!M36),($C$5*'Tariffs Jul2019'!AK36/'Tariffs Jul2019'!AI36-'Tariffs Jul2019'!M36)*'Tariffs Jul2019'!S36/100*'Tariffs Jul2019'!AI36,0)</f>
        <v>310.8655636363635</v>
      </c>
      <c r="J42" s="59">
        <f>IF($C$5*'Tariffs Jul2019'!AL36/'Tariffs Jul2019'!AJ36&gt;='Tariffs Jul2019'!J36,('Tariffs Jul2019'!J36*'Tariffs Jul2019'!U36/100)* 'Tariffs Jul2019'!AJ36,($C$5*'Tariffs Jul2019'!AL36/'Tariffs Jul2019'!AJ36*'Tariffs Jul2019'!U36/100)* 'Tariffs Jul2019'!AJ36)</f>
        <v>182.44545454545451</v>
      </c>
      <c r="K42" s="59">
        <f>IF($C$5*'Tariffs Jul2019'!AL36/'Tariffs Jul2019'!AJ36&lt;'Tariffs Jul2019'!J36,0,IF($C$5*'Tariffs Jul2019'!AL36/'Tariffs Jul2019'!AJ36&lt;='Tariffs Jul2019'!K36,($C$5*'Tariffs Jul2019'!AL36/'Tariffs Jul2019'!AJ36-'Tariffs Jul2019'!J36)*('Tariffs Jul2019'!V36/100)*'Tariffs Jul2019'!AJ36,('Tariffs Jul2019'!K36-'Tariffs Jul2019'!J36)*('Tariffs Jul2019'!V36/100)*'Tariffs Jul2019'!AJ36))</f>
        <v>128.1090909090909</v>
      </c>
      <c r="L42" s="59">
        <f>IF($C$5*'Tariffs Jul2019'!AL36/'Tariffs Jul2019'!AJ36&lt;'Tariffs Jul2019'!K36,0,IF($C$5*'Tariffs Jul2019'!AL36/'Tariffs Jul2019'!AJ36&lt;='Tariffs Jul2019'!L36,($C$5*'Tariffs Jul2019'!AL36/'Tariffs Jul2019'!AJ36-'Tariffs Jul2019'!K36)*('Tariffs Jul2019'!W36/100)*'Tariffs Jul2019'!AJ36,('Tariffs Jul2019'!L36-'Tariffs Jul2019'!K36)*('Tariffs Jul2019'!W36/100)*'Tariffs Jul2019'!AJ36))</f>
        <v>0</v>
      </c>
      <c r="M42" s="59">
        <f>IF($C$5*'Tariffs Jul2019'!AL36/'Tariffs Jul2019'!AJ36&lt;'Tariffs Jul2019'!L36,0,IF($C$5*'Tariffs Jul2019'!AL36/'Tariffs Jul2019'!AJ36&lt;='Tariffs Jul2019'!M36,($C$5*'Tariffs Jul2019'!AL36/'Tariffs Jul2019'!AJ36-'Tariffs Jul2019'!L36)*('Tariffs Jul2019'!X36/100)*'Tariffs Jul2019'!AJ36,('Tariffs Jul2019'!M36-'Tariffs Jul2019'!L36)*('Tariffs Jul2019'!X36/100)*'Tariffs Jul2019'!AJ36))</f>
        <v>0</v>
      </c>
      <c r="N42" s="59">
        <f>IF(($C$5*'Tariffs Jul2019'!AL36/'Tariffs Jul2019'!AJ36&gt;'Tariffs Jul2019'!M36),($C$5*'Tariffs Jul2019'!AL36/'Tariffs Jul2019'!AJ36-'Tariffs Jul2019'!M36)*'Tariffs Jul2019'!Y36/100*'Tariffs Jul2019'!AJ36,0)</f>
        <v>621.73112727272701</v>
      </c>
      <c r="O42" s="271">
        <f t="shared" si="0"/>
        <v>1398.4285090909086</v>
      </c>
      <c r="P42" s="413">
        <f t="shared" si="1"/>
        <v>1538.2713599999995</v>
      </c>
      <c r="Q42" s="59">
        <f t="shared" si="2"/>
        <v>1615.0394181818176</v>
      </c>
      <c r="R42" s="272">
        <f t="shared" si="3"/>
        <v>1776.5433599999994</v>
      </c>
      <c r="S42" s="40">
        <f>'Tariffs Jul2019'!AN36</f>
        <v>0</v>
      </c>
      <c r="T42" s="40">
        <f>'Tariffs Jul2019'!AO36</f>
        <v>0</v>
      </c>
      <c r="U42" s="40">
        <f>'Tariffs Jul2019'!AP36</f>
        <v>0</v>
      </c>
      <c r="V42" s="40">
        <f>'Tariffs Jul2019'!AQ36</f>
        <v>0</v>
      </c>
      <c r="W42" s="273">
        <f>Q42</f>
        <v>1615.0394181818176</v>
      </c>
      <c r="X42" s="273">
        <f>W42</f>
        <v>1615.0394181818176</v>
      </c>
      <c r="Y42" s="272">
        <f t="shared" si="4"/>
        <v>1776.5433599999994</v>
      </c>
      <c r="Z42" s="272">
        <f t="shared" si="4"/>
        <v>1776.5433599999994</v>
      </c>
      <c r="AA42" s="274">
        <f>'Tariffs Jul2019'!AZ36</f>
        <v>0</v>
      </c>
      <c r="AB42" s="274" t="str">
        <f>'Tariffs Jul2019'!BA36</f>
        <v>n</v>
      </c>
      <c r="AC42" s="275" t="str">
        <f>'Tariffs Jul2019'!BJ36</f>
        <v>N</v>
      </c>
      <c r="AD42" s="398"/>
      <c r="AE42" s="398"/>
      <c r="AF42" s="398"/>
      <c r="AG42" s="398"/>
      <c r="AH42" s="398"/>
      <c r="AI42" s="398"/>
      <c r="AJ42" s="398"/>
      <c r="AK42" s="398"/>
      <c r="AL42" s="398"/>
      <c r="AM42" s="398"/>
      <c r="AN42" s="398"/>
    </row>
    <row r="43" spans="1:40" x14ac:dyDescent="0.15">
      <c r="A43" s="270" t="str">
        <f>'Tariffs Jul2019'!F37</f>
        <v>Covau</v>
      </c>
      <c r="B43" s="40" t="str">
        <f>'Tariffs Jul2019'!D37</f>
        <v>AGN North</v>
      </c>
      <c r="C43" s="40" t="str">
        <f>'Tariffs Jul2019'!G37</f>
        <v>Smart Saver</v>
      </c>
      <c r="D43" s="59">
        <f>365*'Tariffs Jul2019'!H37/100</f>
        <v>273.75</v>
      </c>
      <c r="E43" s="59">
        <f>IF($C$5*'Tariffs Jul2019'!AK37/'Tariffs Jul2019'!AI37&gt;='Tariffs Jul2019'!J37,( 'Tariffs Jul2019'!J37*'Tariffs Jul2019'!O37/100)* 'Tariffs Jul2019'!AI37,($C$5*'Tariffs Jul2019'!AK37/'Tariffs Jul2019'!AI37*'Tariffs Jul2019'!O37/100)* 'Tariffs Jul2019'!AI37)</f>
        <v>98.371000000000009</v>
      </c>
      <c r="F43" s="59">
        <f>IF($C$5*'Tariffs Jul2019'!AK37/'Tariffs Jul2019'!AI37&lt;'Tariffs Jul2019'!J37,0,IF($C$5*'Tariffs Jul2019'!AK37/'Tariffs Jul2019'!AI37&lt;='Tariffs Jul2019'!K37,($C$5*'Tariffs Jul2019'!AK37/'Tariffs Jul2019'!AI37-'Tariffs Jul2019'!J37)*('Tariffs Jul2019'!P37/100)*'Tariffs Jul2019'!AI37,('Tariffs Jul2019'!K37-'Tariffs Jul2019'!J37)*('Tariffs Jul2019'!P37/100)*'Tariffs Jul2019'!AI37))</f>
        <v>71.814999999999998</v>
      </c>
      <c r="G43" s="59">
        <f>IF($C$5*'Tariffs Jul2019'!AK37/'Tariffs Jul2019'!AI37&lt;'Tariffs Jul2019'!K37,0,IF($C$5*'Tariffs Jul2019'!AK37/'Tariffs Jul2019'!AI37&lt;='Tariffs Jul2019'!L37,($C$5*'Tariffs Jul2019'!AK37/'Tariffs Jul2019'!AI37-'Tariffs Jul2019'!K37)*('Tariffs Jul2019'!Q37/100)*'Tariffs Jul2019'!AI37,('Tariffs Jul2019'!L37-'Tariffs Jul2019'!K37)*('Tariffs Jul2019'!Q37/100)*'Tariffs Jul2019'!AI37))</f>
        <v>0</v>
      </c>
      <c r="H43" s="59">
        <f>IF($C$5*'Tariffs Jul2019'!AK37/'Tariffs Jul2019'!AI37&lt;'Tariffs Jul2019'!L37,0,IF($C$5*'Tariffs Jul2019'!AK37/'Tariffs Jul2019'!AI37&lt;='Tariffs Jul2019'!M37,($C$5*'Tariffs Jul2019'!AK37/'Tariffs Jul2019'!AI37-'Tariffs Jul2019'!L37)*('Tariffs Jul2019'!R37/100)*'Tariffs Jul2019'!AI37,('Tariffs Jul2019'!M37-'Tariffs Jul2019'!L37)*('Tariffs Jul2019'!R37/100)*'Tariffs Jul2019'!AI37))</f>
        <v>0</v>
      </c>
      <c r="I43" s="59">
        <f>IF(($C$5*'Tariffs Jul2019'!AK37/'Tariffs Jul2019'!AI37&gt;'Tariffs Jul2019'!M37),($C$5*'Tariffs Jul2019'!AK37/'Tariffs Jul2019'!AI37-'Tariffs Jul2019'!M37)*'Tariffs Jul2019'!S37/100*'Tariffs Jul2019'!AI37,0)</f>
        <v>332.95337999999998</v>
      </c>
      <c r="J43" s="59">
        <f>IF($C$5*'Tariffs Jul2019'!AL37/'Tariffs Jul2019'!AJ37&gt;='Tariffs Jul2019'!J37,('Tariffs Jul2019'!J37*'Tariffs Jul2019'!U37/100)* 'Tariffs Jul2019'!AJ37,($C$5*'Tariffs Jul2019'!AL37/'Tariffs Jul2019'!AJ37*'Tariffs Jul2019'!U37/100)* 'Tariffs Jul2019'!AJ37)</f>
        <v>196.74200000000002</v>
      </c>
      <c r="K43" s="59">
        <f>IF($C$5*'Tariffs Jul2019'!AL37/'Tariffs Jul2019'!AJ37&lt;'Tariffs Jul2019'!J37,0,IF($C$5*'Tariffs Jul2019'!AL37/'Tariffs Jul2019'!AJ37&lt;='Tariffs Jul2019'!K37,($C$5*'Tariffs Jul2019'!AL37/'Tariffs Jul2019'!AJ37-'Tariffs Jul2019'!J37)*('Tariffs Jul2019'!V37/100)*'Tariffs Jul2019'!AJ37,('Tariffs Jul2019'!K37-'Tariffs Jul2019'!J37)*('Tariffs Jul2019'!V37/100)*'Tariffs Jul2019'!AJ37))</f>
        <v>143.63</v>
      </c>
      <c r="L43" s="59">
        <f>IF($C$5*'Tariffs Jul2019'!AL37/'Tariffs Jul2019'!AJ37&lt;'Tariffs Jul2019'!K37,0,IF($C$5*'Tariffs Jul2019'!AL37/'Tariffs Jul2019'!AJ37&lt;='Tariffs Jul2019'!L37,($C$5*'Tariffs Jul2019'!AL37/'Tariffs Jul2019'!AJ37-'Tariffs Jul2019'!K37)*('Tariffs Jul2019'!W37/100)*'Tariffs Jul2019'!AJ37,('Tariffs Jul2019'!L37-'Tariffs Jul2019'!K37)*('Tariffs Jul2019'!W37/100)*'Tariffs Jul2019'!AJ37))</f>
        <v>0</v>
      </c>
      <c r="M43" s="59">
        <f>IF($C$5*'Tariffs Jul2019'!AL37/'Tariffs Jul2019'!AJ37&lt;'Tariffs Jul2019'!L37,0,IF($C$5*'Tariffs Jul2019'!AL37/'Tariffs Jul2019'!AJ37&lt;='Tariffs Jul2019'!M37,($C$5*'Tariffs Jul2019'!AL37/'Tariffs Jul2019'!AJ37-'Tariffs Jul2019'!L37)*('Tariffs Jul2019'!X37/100)*'Tariffs Jul2019'!AJ37,('Tariffs Jul2019'!M37-'Tariffs Jul2019'!L37)*('Tariffs Jul2019'!X37/100)*'Tariffs Jul2019'!AJ37))</f>
        <v>0</v>
      </c>
      <c r="N43" s="59">
        <f>IF(($C$5*'Tariffs Jul2019'!AL37/'Tariffs Jul2019'!AJ37&gt;'Tariffs Jul2019'!M37),($C$5*'Tariffs Jul2019'!AL37/'Tariffs Jul2019'!AJ37-'Tariffs Jul2019'!M37)*'Tariffs Jul2019'!Y37/100*'Tariffs Jul2019'!AJ37,0)</f>
        <v>665.90675999999996</v>
      </c>
      <c r="O43" s="271">
        <f t="shared" si="0"/>
        <v>1509.41814</v>
      </c>
      <c r="P43" s="413">
        <f t="shared" si="1"/>
        <v>1660.359954</v>
      </c>
      <c r="Q43" s="59">
        <f t="shared" si="2"/>
        <v>1783.16814</v>
      </c>
      <c r="R43" s="272">
        <f t="shared" si="3"/>
        <v>1961.4849540000002</v>
      </c>
      <c r="S43" s="40">
        <f>'Tariffs Jul2019'!AN37</f>
        <v>0</v>
      </c>
      <c r="T43" s="40">
        <f>'Tariffs Jul2019'!AO37</f>
        <v>0</v>
      </c>
      <c r="U43" s="40">
        <f>'Tariffs Jul2019'!AP37</f>
        <v>0</v>
      </c>
      <c r="V43" s="40">
        <f>'Tariffs Jul2019'!AQ37</f>
        <v>16</v>
      </c>
      <c r="W43" s="273">
        <f>Q43</f>
        <v>1783.16814</v>
      </c>
      <c r="X43" s="273">
        <f>W43-(O43*V43/100)</f>
        <v>1541.6612376</v>
      </c>
      <c r="Y43" s="272">
        <f t="shared" si="4"/>
        <v>1961.4849540000002</v>
      </c>
      <c r="Z43" s="272">
        <f t="shared" si="4"/>
        <v>1695.8273613600002</v>
      </c>
      <c r="AA43" s="274">
        <f>'Tariffs Jul2019'!AZ37</f>
        <v>0</v>
      </c>
      <c r="AB43" s="274" t="str">
        <f>'Tariffs Jul2019'!BA37</f>
        <v>n</v>
      </c>
      <c r="AC43" s="275" t="str">
        <f>'Tariffs Jul2019'!BJ37</f>
        <v>N</v>
      </c>
      <c r="AD43" s="398"/>
      <c r="AE43" s="398"/>
      <c r="AF43" s="398"/>
      <c r="AG43" s="398"/>
      <c r="AH43" s="398"/>
      <c r="AI43" s="398"/>
      <c r="AJ43" s="398"/>
      <c r="AK43" s="398"/>
      <c r="AL43" s="398"/>
      <c r="AM43" s="398"/>
      <c r="AN43" s="398"/>
    </row>
    <row r="44" spans="1:40" x14ac:dyDescent="0.15">
      <c r="A44" s="270" t="str">
        <f>'Tariffs Jul2019'!F38</f>
        <v>Dodo Power &amp; Gas</v>
      </c>
      <c r="B44" s="40" t="str">
        <f>'Tariffs Jul2019'!D38</f>
        <v>AGN North</v>
      </c>
      <c r="C44" s="40" t="str">
        <f>'Tariffs Jul2019'!G38</f>
        <v>Market offer</v>
      </c>
      <c r="D44" s="59">
        <f>365*'Tariffs Jul2019'!H38/100</f>
        <v>220.64250000000001</v>
      </c>
      <c r="E44" s="59">
        <f>IF($C$5*'Tariffs Jul2019'!AK38/'Tariffs Jul2019'!AI38&gt;='Tariffs Jul2019'!J38,( 'Tariffs Jul2019'!J38*'Tariffs Jul2019'!O38/100)* 'Tariffs Jul2019'!AI38,($C$5*'Tariffs Jul2019'!AK38/'Tariffs Jul2019'!AI38*'Tariffs Jul2019'!O38/100)* 'Tariffs Jul2019'!AI38)</f>
        <v>85.539999999999978</v>
      </c>
      <c r="F44" s="59">
        <f>IF($C$5*'Tariffs Jul2019'!AK38/'Tariffs Jul2019'!AI38&lt;'Tariffs Jul2019'!J38,0,IF($C$5*'Tariffs Jul2019'!AK38/'Tariffs Jul2019'!AI38&lt;='Tariffs Jul2019'!K38,($C$5*'Tariffs Jul2019'!AK38/'Tariffs Jul2019'!AI38-'Tariffs Jul2019'!J38)*('Tariffs Jul2019'!P38/100)*'Tariffs Jul2019'!AI38,('Tariffs Jul2019'!K38-'Tariffs Jul2019'!J38)*('Tariffs Jul2019'!P38/100)*'Tariffs Jul2019'!AI38))</f>
        <v>56.910000000000004</v>
      </c>
      <c r="G44" s="59">
        <f>IF($C$5*'Tariffs Jul2019'!AK38/'Tariffs Jul2019'!AI38&lt;'Tariffs Jul2019'!K38,0,IF($C$5*'Tariffs Jul2019'!AK38/'Tariffs Jul2019'!AI38&lt;='Tariffs Jul2019'!L38,($C$5*'Tariffs Jul2019'!AK38/'Tariffs Jul2019'!AI38-'Tariffs Jul2019'!K38)*('Tariffs Jul2019'!Q38/100)*'Tariffs Jul2019'!AI38,('Tariffs Jul2019'!L38-'Tariffs Jul2019'!K38)*('Tariffs Jul2019'!Q38/100)*'Tariffs Jul2019'!AI38))</f>
        <v>0</v>
      </c>
      <c r="H44" s="59">
        <f>IF($C$5*'Tariffs Jul2019'!AK38/'Tariffs Jul2019'!AI38&lt;'Tariffs Jul2019'!L38,0,IF($C$5*'Tariffs Jul2019'!AK38/'Tariffs Jul2019'!AI38&lt;='Tariffs Jul2019'!M38,($C$5*'Tariffs Jul2019'!AK38/'Tariffs Jul2019'!AI38-'Tariffs Jul2019'!L38)*('Tariffs Jul2019'!R38/100)*'Tariffs Jul2019'!AI38,('Tariffs Jul2019'!M38-'Tariffs Jul2019'!L38)*('Tariffs Jul2019'!R38/100)*'Tariffs Jul2019'!AI38))</f>
        <v>0</v>
      </c>
      <c r="I44" s="59">
        <f>IF(($C$5*'Tariffs Jul2019'!AK38/'Tariffs Jul2019'!AI38&gt;'Tariffs Jul2019'!M38),($C$5*'Tariffs Jul2019'!AK38/'Tariffs Jul2019'!AI38-'Tariffs Jul2019'!M38)*'Tariffs Jul2019'!S38/100*'Tariffs Jul2019'!AI38,0)</f>
        <v>299.95799999999997</v>
      </c>
      <c r="J44" s="59">
        <f>IF($C$5*'Tariffs Jul2019'!AL38/'Tariffs Jul2019'!AJ38&gt;='Tariffs Jul2019'!J38,('Tariffs Jul2019'!J38*'Tariffs Jul2019'!U38/100)* 'Tariffs Jul2019'!AJ38,($C$5*'Tariffs Jul2019'!AL38/'Tariffs Jul2019'!AJ38*'Tariffs Jul2019'!U38/100)* 'Tariffs Jul2019'!AJ38)</f>
        <v>171.07999999999996</v>
      </c>
      <c r="K44" s="59">
        <f>IF($C$5*'Tariffs Jul2019'!AL38/'Tariffs Jul2019'!AJ38&lt;'Tariffs Jul2019'!J38,0,IF($C$5*'Tariffs Jul2019'!AL38/'Tariffs Jul2019'!AJ38&lt;='Tariffs Jul2019'!K38,($C$5*'Tariffs Jul2019'!AL38/'Tariffs Jul2019'!AJ38-'Tariffs Jul2019'!J38)*('Tariffs Jul2019'!V38/100)*'Tariffs Jul2019'!AJ38,('Tariffs Jul2019'!K38-'Tariffs Jul2019'!J38)*('Tariffs Jul2019'!V38/100)*'Tariffs Jul2019'!AJ38))</f>
        <v>113.82000000000001</v>
      </c>
      <c r="L44" s="59">
        <f>IF($C$5*'Tariffs Jul2019'!AL38/'Tariffs Jul2019'!AJ38&lt;'Tariffs Jul2019'!K38,0,IF($C$5*'Tariffs Jul2019'!AL38/'Tariffs Jul2019'!AJ38&lt;='Tariffs Jul2019'!L38,($C$5*'Tariffs Jul2019'!AL38/'Tariffs Jul2019'!AJ38-'Tariffs Jul2019'!K38)*('Tariffs Jul2019'!W38/100)*'Tariffs Jul2019'!AJ38,('Tariffs Jul2019'!L38-'Tariffs Jul2019'!K38)*('Tariffs Jul2019'!W38/100)*'Tariffs Jul2019'!AJ38))</f>
        <v>0</v>
      </c>
      <c r="M44" s="59">
        <f>IF($C$5*'Tariffs Jul2019'!AL38/'Tariffs Jul2019'!AJ38&lt;'Tariffs Jul2019'!L38,0,IF($C$5*'Tariffs Jul2019'!AL38/'Tariffs Jul2019'!AJ38&lt;='Tariffs Jul2019'!M38,($C$5*'Tariffs Jul2019'!AL38/'Tariffs Jul2019'!AJ38-'Tariffs Jul2019'!L38)*('Tariffs Jul2019'!X38/100)*'Tariffs Jul2019'!AJ38,('Tariffs Jul2019'!M38-'Tariffs Jul2019'!L38)*('Tariffs Jul2019'!X38/100)*'Tariffs Jul2019'!AJ38))</f>
        <v>0</v>
      </c>
      <c r="N44" s="59">
        <f>IF(($C$5*'Tariffs Jul2019'!AL38/'Tariffs Jul2019'!AJ38&gt;'Tariffs Jul2019'!M38),($C$5*'Tariffs Jul2019'!AL38/'Tariffs Jul2019'!AJ38-'Tariffs Jul2019'!M38)*'Tariffs Jul2019'!Y38/100*'Tariffs Jul2019'!AJ38,0)</f>
        <v>599.91599999999994</v>
      </c>
      <c r="O44" s="271">
        <f t="shared" si="0"/>
        <v>1327.2239999999999</v>
      </c>
      <c r="P44" s="413">
        <f t="shared" si="1"/>
        <v>1459.9464</v>
      </c>
      <c r="Q44" s="59">
        <f t="shared" si="2"/>
        <v>1547.8664999999999</v>
      </c>
      <c r="R44" s="272">
        <f t="shared" si="3"/>
        <v>1702.6531500000001</v>
      </c>
      <c r="S44" s="40">
        <f>'Tariffs Jul2019'!AN38</f>
        <v>0</v>
      </c>
      <c r="T44" s="40">
        <f>'Tariffs Jul2019'!AO38</f>
        <v>0</v>
      </c>
      <c r="U44" s="40">
        <f>'Tariffs Jul2019'!AP38</f>
        <v>0</v>
      </c>
      <c r="V44" s="40">
        <f>'Tariffs Jul2019'!AQ38</f>
        <v>20</v>
      </c>
      <c r="W44" s="273">
        <f>Q44</f>
        <v>1547.8664999999999</v>
      </c>
      <c r="X44" s="273">
        <f>W44-(O44*V44/100)</f>
        <v>1282.4216999999999</v>
      </c>
      <c r="Y44" s="272">
        <f t="shared" si="4"/>
        <v>1702.6531500000001</v>
      </c>
      <c r="Z44" s="272">
        <f t="shared" si="4"/>
        <v>1410.6638700000001</v>
      </c>
      <c r="AA44" s="274">
        <f>'Tariffs Jul2019'!AZ38</f>
        <v>0</v>
      </c>
      <c r="AB44" s="274" t="str">
        <f>'Tariffs Jul2019'!BA38</f>
        <v>n</v>
      </c>
      <c r="AC44" s="275" t="str">
        <f>'Tariffs Jul2019'!BJ38</f>
        <v>Y</v>
      </c>
      <c r="AD44" s="398"/>
      <c r="AE44" s="398"/>
      <c r="AF44" s="398"/>
      <c r="AG44" s="398"/>
      <c r="AH44" s="398"/>
      <c r="AI44" s="398"/>
      <c r="AJ44" s="398"/>
      <c r="AK44" s="398"/>
      <c r="AL44" s="398"/>
      <c r="AM44" s="398"/>
      <c r="AN44" s="398"/>
    </row>
    <row r="45" spans="1:40" x14ac:dyDescent="0.15">
      <c r="A45" s="270" t="str">
        <f>'Tariffs Jul2019'!F39</f>
        <v>EnergyAustralia</v>
      </c>
      <c r="B45" s="40" t="str">
        <f>'Tariffs Jul2019'!D39</f>
        <v>AGN North</v>
      </c>
      <c r="C45" s="40" t="str">
        <f>'Tariffs Jul2019'!G39</f>
        <v>Total Plan</v>
      </c>
      <c r="D45" s="59">
        <f>365*'Tariffs Jul2019'!H39/100</f>
        <v>295.64999999999998</v>
      </c>
      <c r="E45" s="59">
        <f>IF($C$5*'Tariffs Jul2019'!AK39/'Tariffs Jul2019'!AI39&gt;='Tariffs Jul2019'!J39,( 'Tariffs Jul2019'!J39*'Tariffs Jul2019'!O39/100)* 'Tariffs Jul2019'!AI39,($C$5*'Tariffs Jul2019'!AK39/'Tariffs Jul2019'!AI39*'Tariffs Jul2019'!O39/100)* 'Tariffs Jul2019'!AI39)</f>
        <v>178.2</v>
      </c>
      <c r="F45" s="59">
        <f>IF($C$5*'Tariffs Jul2019'!AK39/'Tariffs Jul2019'!AI39&lt;'Tariffs Jul2019'!J39,0,IF($C$5*'Tariffs Jul2019'!AK39/'Tariffs Jul2019'!AI39&lt;='Tariffs Jul2019'!K39,($C$5*'Tariffs Jul2019'!AK39/'Tariffs Jul2019'!AI39-'Tariffs Jul2019'!J39)*('Tariffs Jul2019'!P39/100)*'Tariffs Jul2019'!AI39,('Tariffs Jul2019'!K39-'Tariffs Jul2019'!J39)*('Tariffs Jul2019'!P39/100)*'Tariffs Jul2019'!AI39))</f>
        <v>0</v>
      </c>
      <c r="G45" s="59">
        <f>IF($C$5*'Tariffs Jul2019'!AK39/'Tariffs Jul2019'!AI39&lt;'Tariffs Jul2019'!K39,0,IF($C$5*'Tariffs Jul2019'!AK39/'Tariffs Jul2019'!AI39&lt;='Tariffs Jul2019'!L39,($C$5*'Tariffs Jul2019'!AK39/'Tariffs Jul2019'!AI39-'Tariffs Jul2019'!K39)*('Tariffs Jul2019'!Q39/100)*'Tariffs Jul2019'!AI39,('Tariffs Jul2019'!L39-'Tariffs Jul2019'!K39)*('Tariffs Jul2019'!Q39/100)*'Tariffs Jul2019'!AI39))</f>
        <v>0</v>
      </c>
      <c r="H45" s="59">
        <f>IF($C$5*'Tariffs Jul2019'!AK39/'Tariffs Jul2019'!AI39&lt;'Tariffs Jul2019'!L39,0,IF($C$5*'Tariffs Jul2019'!AK39/'Tariffs Jul2019'!AI39&lt;='Tariffs Jul2019'!M39,($C$5*'Tariffs Jul2019'!AK39/'Tariffs Jul2019'!AI39-'Tariffs Jul2019'!L39)*('Tariffs Jul2019'!R39/100)*'Tariffs Jul2019'!AI39,('Tariffs Jul2019'!M39-'Tariffs Jul2019'!L39)*('Tariffs Jul2019'!R39/100)*'Tariffs Jul2019'!AI39))</f>
        <v>0</v>
      </c>
      <c r="I45" s="59">
        <f>IF(($C$5*'Tariffs Jul2019'!AK39/'Tariffs Jul2019'!AI39&gt;'Tariffs Jul2019'!M39),($C$5*'Tariffs Jul2019'!AK39/'Tariffs Jul2019'!AI39-'Tariffs Jul2019'!M39)*'Tariffs Jul2019'!S39/100*'Tariffs Jul2019'!AI39,0)</f>
        <v>299.95799999999997</v>
      </c>
      <c r="J45" s="59">
        <f>IF($C$5*'Tariffs Jul2019'!AL39/'Tariffs Jul2019'!AJ39&gt;='Tariffs Jul2019'!J39,('Tariffs Jul2019'!J39*'Tariffs Jul2019'!U39/100)* 'Tariffs Jul2019'!AJ39,($C$5*'Tariffs Jul2019'!AL39/'Tariffs Jul2019'!AJ39*'Tariffs Jul2019'!U39/100)* 'Tariffs Jul2019'!AJ39)</f>
        <v>356.4</v>
      </c>
      <c r="K45" s="59">
        <f>IF($C$5*'Tariffs Jul2019'!AL39/'Tariffs Jul2019'!AJ39&lt;'Tariffs Jul2019'!J39,0,IF($C$5*'Tariffs Jul2019'!AL39/'Tariffs Jul2019'!AJ39&lt;='Tariffs Jul2019'!K39,($C$5*'Tariffs Jul2019'!AL39/'Tariffs Jul2019'!AJ39-'Tariffs Jul2019'!J39)*('Tariffs Jul2019'!V39/100)*'Tariffs Jul2019'!AJ39,('Tariffs Jul2019'!K39-'Tariffs Jul2019'!J39)*('Tariffs Jul2019'!V39/100)*'Tariffs Jul2019'!AJ39))</f>
        <v>0</v>
      </c>
      <c r="L45" s="59">
        <f>IF($C$5*'Tariffs Jul2019'!AL39/'Tariffs Jul2019'!AJ39&lt;'Tariffs Jul2019'!K39,0,IF($C$5*'Tariffs Jul2019'!AL39/'Tariffs Jul2019'!AJ39&lt;='Tariffs Jul2019'!L39,($C$5*'Tariffs Jul2019'!AL39/'Tariffs Jul2019'!AJ39-'Tariffs Jul2019'!K39)*('Tariffs Jul2019'!W39/100)*'Tariffs Jul2019'!AJ39,('Tariffs Jul2019'!L39-'Tariffs Jul2019'!K39)*('Tariffs Jul2019'!W39/100)*'Tariffs Jul2019'!AJ39))</f>
        <v>0</v>
      </c>
      <c r="M45" s="59">
        <f>IF($C$5*'Tariffs Jul2019'!AL39/'Tariffs Jul2019'!AJ39&lt;'Tariffs Jul2019'!L39,0,IF($C$5*'Tariffs Jul2019'!AL39/'Tariffs Jul2019'!AJ39&lt;='Tariffs Jul2019'!M39,($C$5*'Tariffs Jul2019'!AL39/'Tariffs Jul2019'!AJ39-'Tariffs Jul2019'!L39)*('Tariffs Jul2019'!X39/100)*'Tariffs Jul2019'!AJ39,('Tariffs Jul2019'!M39-'Tariffs Jul2019'!L39)*('Tariffs Jul2019'!X39/100)*'Tariffs Jul2019'!AJ39))</f>
        <v>0</v>
      </c>
      <c r="N45" s="59">
        <f>IF(($C$5*'Tariffs Jul2019'!AL39/'Tariffs Jul2019'!AJ39&gt;'Tariffs Jul2019'!M39),($C$5*'Tariffs Jul2019'!AL39/'Tariffs Jul2019'!AJ39-'Tariffs Jul2019'!M39)*'Tariffs Jul2019'!Y39/100*'Tariffs Jul2019'!AJ39,0)</f>
        <v>599.91599999999994</v>
      </c>
      <c r="O45" s="271">
        <f t="shared" si="0"/>
        <v>1434.4739999999999</v>
      </c>
      <c r="P45" s="413">
        <f t="shared" si="1"/>
        <v>1577.9213999999999</v>
      </c>
      <c r="Q45" s="59">
        <f t="shared" si="2"/>
        <v>1730.1239999999998</v>
      </c>
      <c r="R45" s="272">
        <f t="shared" si="3"/>
        <v>1903.1363999999999</v>
      </c>
      <c r="S45" s="40">
        <f>'Tariffs Jul2019'!AN39</f>
        <v>24</v>
      </c>
      <c r="T45" s="40">
        <f>'Tariffs Jul2019'!AO39</f>
        <v>0</v>
      </c>
      <c r="U45" s="40">
        <f>'Tariffs Jul2019'!AP39</f>
        <v>0</v>
      </c>
      <c r="V45" s="40">
        <f>'Tariffs Jul2019'!AQ39</f>
        <v>0</v>
      </c>
      <c r="W45" s="273">
        <f>Q45-(Q45*S45/100)</f>
        <v>1314.8942399999999</v>
      </c>
      <c r="X45" s="273">
        <f>W45</f>
        <v>1314.8942399999999</v>
      </c>
      <c r="Y45" s="272">
        <f t="shared" si="4"/>
        <v>1446.383664</v>
      </c>
      <c r="Z45" s="272">
        <f t="shared" si="4"/>
        <v>1446.383664</v>
      </c>
      <c r="AA45" s="274">
        <f>'Tariffs Jul2019'!AZ39</f>
        <v>0</v>
      </c>
      <c r="AB45" s="274" t="str">
        <f>'Tariffs Jul2019'!BA39</f>
        <v>n</v>
      </c>
      <c r="AC45" s="275" t="str">
        <f>'Tariffs Jul2019'!BJ39</f>
        <v>N</v>
      </c>
      <c r="AD45" s="398"/>
      <c r="AE45" s="398"/>
      <c r="AF45" s="398"/>
      <c r="AG45" s="398"/>
      <c r="AH45" s="398"/>
      <c r="AI45" s="398"/>
      <c r="AJ45" s="398"/>
      <c r="AK45" s="398"/>
      <c r="AL45" s="398"/>
      <c r="AM45" s="398"/>
      <c r="AN45" s="398"/>
    </row>
    <row r="46" spans="1:40" x14ac:dyDescent="0.15">
      <c r="A46" s="270" t="str">
        <f>'Tariffs Jul2019'!F40</f>
        <v>Lumo Energy</v>
      </c>
      <c r="B46" s="40" t="str">
        <f>'Tariffs Jul2019'!D40</f>
        <v>AGN North</v>
      </c>
      <c r="C46" s="40" t="str">
        <f>'Tariffs Jul2019'!G40</f>
        <v>Value</v>
      </c>
      <c r="D46" s="59">
        <f>365*'Tariffs Jul2019'!H40/100</f>
        <v>255.5</v>
      </c>
      <c r="E46" s="59">
        <f>IF($C$5*'Tariffs Jul2019'!AK40/'Tariffs Jul2019'!AI40&gt;='Tariffs Jul2019'!J40,( 'Tariffs Jul2019'!J40*'Tariffs Jul2019'!O40/100)* 'Tariffs Jul2019'!AI40,($C$5*'Tariffs Jul2019'!AK40/'Tariffs Jul2019'!AI40*'Tariffs Jul2019'!O40/100)* 'Tariffs Jul2019'!AI40)</f>
        <v>78.959999999999994</v>
      </c>
      <c r="F46" s="59">
        <f>IF($C$5*'Tariffs Jul2019'!AK40/'Tariffs Jul2019'!AI40&lt;'Tariffs Jul2019'!J40,0,IF($C$5*'Tariffs Jul2019'!AK40/'Tariffs Jul2019'!AI40&lt;='Tariffs Jul2019'!K40,($C$5*'Tariffs Jul2019'!AK40/'Tariffs Jul2019'!AI40-'Tariffs Jul2019'!J40)*('Tariffs Jul2019'!P40/100)*'Tariffs Jul2019'!AI40,('Tariffs Jul2019'!K40-'Tariffs Jul2019'!J40)*('Tariffs Jul2019'!P40/100)*'Tariffs Jul2019'!AI40))</f>
        <v>55.284000000000006</v>
      </c>
      <c r="G46" s="59">
        <f>IF($C$5*'Tariffs Jul2019'!AK40/'Tariffs Jul2019'!AI40&lt;'Tariffs Jul2019'!K40,0,IF($C$5*'Tariffs Jul2019'!AK40/'Tariffs Jul2019'!AI40&lt;='Tariffs Jul2019'!L40,($C$5*'Tariffs Jul2019'!AK40/'Tariffs Jul2019'!AI40-'Tariffs Jul2019'!K40)*('Tariffs Jul2019'!Q40/100)*'Tariffs Jul2019'!AI40,('Tariffs Jul2019'!L40-'Tariffs Jul2019'!K40)*('Tariffs Jul2019'!Q40/100)*'Tariffs Jul2019'!AI40))</f>
        <v>0</v>
      </c>
      <c r="H46" s="59">
        <f>IF($C$5*'Tariffs Jul2019'!AK40/'Tariffs Jul2019'!AI40&lt;'Tariffs Jul2019'!L40,0,IF($C$5*'Tariffs Jul2019'!AK40/'Tariffs Jul2019'!AI40&lt;='Tariffs Jul2019'!M40,($C$5*'Tariffs Jul2019'!AK40/'Tariffs Jul2019'!AI40-'Tariffs Jul2019'!L40)*('Tariffs Jul2019'!R40/100)*'Tariffs Jul2019'!AI40,('Tariffs Jul2019'!M40-'Tariffs Jul2019'!L40)*('Tariffs Jul2019'!R40/100)*'Tariffs Jul2019'!AI40))</f>
        <v>0</v>
      </c>
      <c r="I46" s="59">
        <f>IF(($C$5*'Tariffs Jul2019'!AK40/'Tariffs Jul2019'!AI40&gt;'Tariffs Jul2019'!M40),($C$5*'Tariffs Jul2019'!AK40/'Tariffs Jul2019'!AI40-'Tariffs Jul2019'!M40)*'Tariffs Jul2019'!S40/100*'Tariffs Jul2019'!AI40,0)</f>
        <v>269.9622</v>
      </c>
      <c r="J46" s="59">
        <f>IF($C$5*'Tariffs Jul2019'!AL40/'Tariffs Jul2019'!AJ40&gt;='Tariffs Jul2019'!J40,('Tariffs Jul2019'!J40*'Tariffs Jul2019'!U40/100)* 'Tariffs Jul2019'!AJ40,($C$5*'Tariffs Jul2019'!AL40/'Tariffs Jul2019'!AJ40*'Tariffs Jul2019'!U40/100)* 'Tariffs Jul2019'!AJ40)</f>
        <v>157.91999999999999</v>
      </c>
      <c r="K46" s="59">
        <f>IF($C$5*'Tariffs Jul2019'!AL40/'Tariffs Jul2019'!AJ40&lt;'Tariffs Jul2019'!J40,0,IF($C$5*'Tariffs Jul2019'!AL40/'Tariffs Jul2019'!AJ40&lt;='Tariffs Jul2019'!K40,($C$5*'Tariffs Jul2019'!AL40/'Tariffs Jul2019'!AJ40-'Tariffs Jul2019'!J40)*('Tariffs Jul2019'!V40/100)*'Tariffs Jul2019'!AJ40,('Tariffs Jul2019'!K40-'Tariffs Jul2019'!J40)*('Tariffs Jul2019'!V40/100)*'Tariffs Jul2019'!AJ40))</f>
        <v>110.56800000000001</v>
      </c>
      <c r="L46" s="59">
        <f>IF($C$5*'Tariffs Jul2019'!AL40/'Tariffs Jul2019'!AJ40&lt;'Tariffs Jul2019'!K40,0,IF($C$5*'Tariffs Jul2019'!AL40/'Tariffs Jul2019'!AJ40&lt;='Tariffs Jul2019'!L40,($C$5*'Tariffs Jul2019'!AL40/'Tariffs Jul2019'!AJ40-'Tariffs Jul2019'!K40)*('Tariffs Jul2019'!W40/100)*'Tariffs Jul2019'!AJ40,('Tariffs Jul2019'!L40-'Tariffs Jul2019'!K40)*('Tariffs Jul2019'!W40/100)*'Tariffs Jul2019'!AJ40))</f>
        <v>0</v>
      </c>
      <c r="M46" s="59">
        <f>IF($C$5*'Tariffs Jul2019'!AL40/'Tariffs Jul2019'!AJ40&lt;'Tariffs Jul2019'!L40,0,IF($C$5*'Tariffs Jul2019'!AL40/'Tariffs Jul2019'!AJ40&lt;='Tariffs Jul2019'!M40,($C$5*'Tariffs Jul2019'!AL40/'Tariffs Jul2019'!AJ40-'Tariffs Jul2019'!L40)*('Tariffs Jul2019'!X40/100)*'Tariffs Jul2019'!AJ40,('Tariffs Jul2019'!M40-'Tariffs Jul2019'!L40)*('Tariffs Jul2019'!X40/100)*'Tariffs Jul2019'!AJ40))</f>
        <v>0</v>
      </c>
      <c r="N46" s="59">
        <f>IF(($C$5*'Tariffs Jul2019'!AL40/'Tariffs Jul2019'!AJ40&gt;'Tariffs Jul2019'!M40),($C$5*'Tariffs Jul2019'!AL40/'Tariffs Jul2019'!AJ40-'Tariffs Jul2019'!M40)*'Tariffs Jul2019'!Y40/100*'Tariffs Jul2019'!AJ40,0)</f>
        <v>539.92439999999999</v>
      </c>
      <c r="O46" s="271">
        <f t="shared" si="0"/>
        <v>1212.6185999999998</v>
      </c>
      <c r="P46" s="413">
        <f t="shared" si="1"/>
        <v>1333.8804599999999</v>
      </c>
      <c r="Q46" s="59">
        <f t="shared" si="2"/>
        <v>1468.1185999999998</v>
      </c>
      <c r="R46" s="272">
        <f t="shared" si="3"/>
        <v>1614.9304599999998</v>
      </c>
      <c r="S46" s="40">
        <f>'Tariffs Jul2019'!AN40</f>
        <v>0</v>
      </c>
      <c r="T46" s="40">
        <f>'Tariffs Jul2019'!AO40</f>
        <v>0</v>
      </c>
      <c r="U46" s="40">
        <f>'Tariffs Jul2019'!AP40</f>
        <v>3</v>
      </c>
      <c r="V46" s="40">
        <f>'Tariffs Jul2019'!AQ40</f>
        <v>0</v>
      </c>
      <c r="W46" s="273">
        <f>Q46</f>
        <v>1468.1185999999998</v>
      </c>
      <c r="X46" s="273">
        <f>W46-(Q46*U46/100)</f>
        <v>1424.0750419999997</v>
      </c>
      <c r="Y46" s="272">
        <f t="shared" si="4"/>
        <v>1614.9304599999998</v>
      </c>
      <c r="Z46" s="272">
        <f t="shared" si="4"/>
        <v>1566.4825461999999</v>
      </c>
      <c r="AA46" s="274">
        <f>'Tariffs Jul2019'!AZ40</f>
        <v>0</v>
      </c>
      <c r="AB46" s="274" t="str">
        <f>'Tariffs Jul2019'!BA40</f>
        <v>n</v>
      </c>
      <c r="AC46" s="275" t="str">
        <f>'Tariffs Jul2019'!BJ40</f>
        <v>N</v>
      </c>
      <c r="AD46" s="398"/>
      <c r="AE46" s="398"/>
      <c r="AF46" s="398"/>
      <c r="AG46" s="398"/>
      <c r="AH46" s="398"/>
      <c r="AI46" s="398"/>
      <c r="AJ46" s="398"/>
      <c r="AK46" s="398"/>
      <c r="AL46" s="398"/>
      <c r="AM46" s="398"/>
      <c r="AN46" s="398"/>
    </row>
    <row r="47" spans="1:40" x14ac:dyDescent="0.15">
      <c r="A47" s="270" t="str">
        <f>'Tariffs Jul2019'!F41</f>
        <v>Momentum Energy</v>
      </c>
      <c r="B47" s="40" t="str">
        <f>'Tariffs Jul2019'!D41</f>
        <v>AGN North</v>
      </c>
      <c r="C47" s="40" t="str">
        <f>'Tariffs Jul2019'!G41</f>
        <v>Market offer</v>
      </c>
      <c r="D47" s="59">
        <f>365*'Tariffs Jul2019'!H41/100</f>
        <v>283.20350000000002</v>
      </c>
      <c r="E47" s="59">
        <f>IF($C$5*'Tariffs Jul2019'!AK41/'Tariffs Jul2019'!AI41&gt;='Tariffs Jul2019'!J41,( 'Tariffs Jul2019'!J41*'Tariffs Jul2019'!O41/100)* 'Tariffs Jul2019'!AI41,($C$5*'Tariffs Jul2019'!AK41/'Tariffs Jul2019'!AI41*'Tariffs Jul2019'!O41/100)* 'Tariffs Jul2019'!AI41)</f>
        <v>68.991299999999995</v>
      </c>
      <c r="F47" s="59">
        <f>IF($C$5*'Tariffs Jul2019'!AK41/'Tariffs Jul2019'!AI41&lt;'Tariffs Jul2019'!J41,0,IF($C$5*'Tariffs Jul2019'!AK41/'Tariffs Jul2019'!AI41&lt;='Tariffs Jul2019'!K41,($C$5*'Tariffs Jul2019'!AK41/'Tariffs Jul2019'!AI41-'Tariffs Jul2019'!J41)*('Tariffs Jul2019'!P41/100)*'Tariffs Jul2019'!AI41,('Tariffs Jul2019'!K41-'Tariffs Jul2019'!J41)*('Tariffs Jul2019'!P41/100)*'Tariffs Jul2019'!AI41))</f>
        <v>49.267800000000001</v>
      </c>
      <c r="G47" s="59">
        <f>IF($C$5*'Tariffs Jul2019'!AK41/'Tariffs Jul2019'!AI41&lt;'Tariffs Jul2019'!K41,0,IF($C$5*'Tariffs Jul2019'!AK41/'Tariffs Jul2019'!AI41&lt;='Tariffs Jul2019'!L41,($C$5*'Tariffs Jul2019'!AK41/'Tariffs Jul2019'!AI41-'Tariffs Jul2019'!K41)*('Tariffs Jul2019'!Q41/100)*'Tariffs Jul2019'!AI41,('Tariffs Jul2019'!L41-'Tariffs Jul2019'!K41)*('Tariffs Jul2019'!Q41/100)*'Tariffs Jul2019'!AI41))</f>
        <v>0</v>
      </c>
      <c r="H47" s="59">
        <f>IF($C$5*'Tariffs Jul2019'!AK41/'Tariffs Jul2019'!AI41&lt;'Tariffs Jul2019'!L41,0,IF($C$5*'Tariffs Jul2019'!AK41/'Tariffs Jul2019'!AI41&lt;='Tariffs Jul2019'!M41,($C$5*'Tariffs Jul2019'!AK41/'Tariffs Jul2019'!AI41-'Tariffs Jul2019'!L41)*('Tariffs Jul2019'!R41/100)*'Tariffs Jul2019'!AI41,('Tariffs Jul2019'!M41-'Tariffs Jul2019'!L41)*('Tariffs Jul2019'!R41/100)*'Tariffs Jul2019'!AI41))</f>
        <v>0</v>
      </c>
      <c r="I47" s="59">
        <f>IF(($C$5*'Tariffs Jul2019'!AK41/'Tariffs Jul2019'!AI41&gt;'Tariffs Jul2019'!M41),($C$5*'Tariffs Jul2019'!AK41/'Tariffs Jul2019'!AI41-'Tariffs Jul2019'!M41)*'Tariffs Jul2019'!S41/100*'Tariffs Jul2019'!AI41,0)</f>
        <v>241.01625299999995</v>
      </c>
      <c r="J47" s="59">
        <f>IF($C$5*'Tariffs Jul2019'!AL41/'Tariffs Jul2019'!AJ41&gt;='Tariffs Jul2019'!J41,('Tariffs Jul2019'!J41*'Tariffs Jul2019'!U41/100)* 'Tariffs Jul2019'!AJ41,($C$5*'Tariffs Jul2019'!AL41/'Tariffs Jul2019'!AJ41*'Tariffs Jul2019'!U41/100)* 'Tariffs Jul2019'!AJ41)</f>
        <v>123.63819999999998</v>
      </c>
      <c r="K47" s="59">
        <f>IF($C$5*'Tariffs Jul2019'!AL41/'Tariffs Jul2019'!AJ41&lt;'Tariffs Jul2019'!J41,0,IF($C$5*'Tariffs Jul2019'!AL41/'Tariffs Jul2019'!AJ41&lt;='Tariffs Jul2019'!K41,($C$5*'Tariffs Jul2019'!AL41/'Tariffs Jul2019'!AJ41-'Tariffs Jul2019'!J41)*('Tariffs Jul2019'!V41/100)*'Tariffs Jul2019'!AJ41,('Tariffs Jul2019'!K41-'Tariffs Jul2019'!J41)*('Tariffs Jul2019'!V41/100)*'Tariffs Jul2019'!AJ41))</f>
        <v>87.966600000000014</v>
      </c>
      <c r="L47" s="59">
        <f>IF($C$5*'Tariffs Jul2019'!AL41/'Tariffs Jul2019'!AJ41&lt;'Tariffs Jul2019'!K41,0,IF($C$5*'Tariffs Jul2019'!AL41/'Tariffs Jul2019'!AJ41&lt;='Tariffs Jul2019'!L41,($C$5*'Tariffs Jul2019'!AL41/'Tariffs Jul2019'!AJ41-'Tariffs Jul2019'!K41)*('Tariffs Jul2019'!W41/100)*'Tariffs Jul2019'!AJ41,('Tariffs Jul2019'!L41-'Tariffs Jul2019'!K41)*('Tariffs Jul2019'!W41/100)*'Tariffs Jul2019'!AJ41))</f>
        <v>0</v>
      </c>
      <c r="M47" s="59">
        <f>IF($C$5*'Tariffs Jul2019'!AL41/'Tariffs Jul2019'!AJ41&lt;'Tariffs Jul2019'!L41,0,IF($C$5*'Tariffs Jul2019'!AL41/'Tariffs Jul2019'!AJ41&lt;='Tariffs Jul2019'!M41,($C$5*'Tariffs Jul2019'!AL41/'Tariffs Jul2019'!AJ41-'Tariffs Jul2019'!L41)*('Tariffs Jul2019'!X41/100)*'Tariffs Jul2019'!AJ41,('Tariffs Jul2019'!M41-'Tariffs Jul2019'!L41)*('Tariffs Jul2019'!X41/100)*'Tariffs Jul2019'!AJ41))</f>
        <v>0</v>
      </c>
      <c r="N47" s="59">
        <f>IF(($C$5*'Tariffs Jul2019'!AL41/'Tariffs Jul2019'!AJ41&gt;'Tariffs Jul2019'!M41),($C$5*'Tariffs Jul2019'!AL41/'Tariffs Jul2019'!AJ41-'Tariffs Jul2019'!M41)*'Tariffs Jul2019'!Y41/100*'Tariffs Jul2019'!AJ41,0)</f>
        <v>428.63998199999992</v>
      </c>
      <c r="O47" s="271">
        <f t="shared" si="0"/>
        <v>999.52013499999987</v>
      </c>
      <c r="P47" s="413">
        <f t="shared" si="1"/>
        <v>1099.4721485</v>
      </c>
      <c r="Q47" s="59">
        <f t="shared" si="2"/>
        <v>1282.7236349999998</v>
      </c>
      <c r="R47" s="272">
        <f t="shared" si="3"/>
        <v>1410.9959985</v>
      </c>
      <c r="S47" s="40">
        <f>'Tariffs Jul2019'!AN41</f>
        <v>0</v>
      </c>
      <c r="T47" s="40">
        <f>'Tariffs Jul2019'!AO41</f>
        <v>0</v>
      </c>
      <c r="U47" s="40">
        <f>'Tariffs Jul2019'!AP41</f>
        <v>0</v>
      </c>
      <c r="V47" s="40">
        <f>'Tariffs Jul2019'!AQ41</f>
        <v>0</v>
      </c>
      <c r="W47" s="273">
        <f>Q47</f>
        <v>1282.7236349999998</v>
      </c>
      <c r="X47" s="273">
        <f>W47</f>
        <v>1282.7236349999998</v>
      </c>
      <c r="Y47" s="272">
        <f t="shared" si="4"/>
        <v>1410.9959985</v>
      </c>
      <c r="Z47" s="272">
        <f t="shared" si="4"/>
        <v>1410.9959985</v>
      </c>
      <c r="AA47" s="274">
        <f>'Tariffs Jul2019'!AZ41</f>
        <v>0</v>
      </c>
      <c r="AB47" s="274" t="str">
        <f>'Tariffs Jul2019'!BA41</f>
        <v>n</v>
      </c>
      <c r="AC47" s="275" t="str">
        <f>'Tariffs Jul2019'!BJ41</f>
        <v>Y</v>
      </c>
      <c r="AD47" s="398"/>
      <c r="AE47" s="398"/>
      <c r="AF47" s="398"/>
      <c r="AG47" s="398"/>
      <c r="AH47" s="398"/>
      <c r="AI47" s="398"/>
      <c r="AJ47" s="398"/>
      <c r="AK47" s="398"/>
      <c r="AL47" s="398"/>
      <c r="AM47" s="398"/>
      <c r="AN47" s="398"/>
    </row>
    <row r="48" spans="1:40" x14ac:dyDescent="0.15">
      <c r="A48" s="270" t="str">
        <f>'Tariffs Jul2019'!F42</f>
        <v>Origin Energy</v>
      </c>
      <c r="B48" s="40" t="str">
        <f>'Tariffs Jul2019'!D42</f>
        <v>AGN North</v>
      </c>
      <c r="C48" s="40" t="str">
        <f>'Tariffs Jul2019'!G42</f>
        <v>Flexi</v>
      </c>
      <c r="D48" s="59">
        <f>365*'Tariffs Jul2019'!H42/100</f>
        <v>251.85</v>
      </c>
      <c r="E48" s="59">
        <f>IF($C$5*'Tariffs Jul2019'!AK42/'Tariffs Jul2019'!AI42&gt;='Tariffs Jul2019'!J42,( 'Tariffs Jul2019'!J42*'Tariffs Jul2019'!O42/100)* 'Tariffs Jul2019'!AI42,($C$5*'Tariffs Jul2019'!AK42/'Tariffs Jul2019'!AI42*'Tariffs Jul2019'!O42/100)* 'Tariffs Jul2019'!AI42)</f>
        <v>264.00000000000006</v>
      </c>
      <c r="F48" s="59">
        <f>IF($C$5*'Tariffs Jul2019'!AK42/'Tariffs Jul2019'!AI42&lt;'Tariffs Jul2019'!J42,0,IF($C$5*'Tariffs Jul2019'!AK42/'Tariffs Jul2019'!AI42&lt;='Tariffs Jul2019'!K42,($C$5*'Tariffs Jul2019'!AK42/'Tariffs Jul2019'!AI42-'Tariffs Jul2019'!J42)*('Tariffs Jul2019'!P42/100)*'Tariffs Jul2019'!AI42,('Tariffs Jul2019'!K42-'Tariffs Jul2019'!J42)*('Tariffs Jul2019'!P42/100)*'Tariffs Jul2019'!AI42))</f>
        <v>188.95589999999996</v>
      </c>
      <c r="G48" s="59">
        <f>IF($C$5*'Tariffs Jul2019'!AK42/'Tariffs Jul2019'!AI42&lt;'Tariffs Jul2019'!K42,0,IF($C$5*'Tariffs Jul2019'!AK42/'Tariffs Jul2019'!AI42&lt;='Tariffs Jul2019'!L42,($C$5*'Tariffs Jul2019'!AK42/'Tariffs Jul2019'!AI42-'Tariffs Jul2019'!K42)*('Tariffs Jul2019'!Q42/100)*'Tariffs Jul2019'!AI42,('Tariffs Jul2019'!L42-'Tariffs Jul2019'!K42)*('Tariffs Jul2019'!Q42/100)*'Tariffs Jul2019'!AI42))</f>
        <v>0</v>
      </c>
      <c r="H48" s="59">
        <f>IF($C$5*'Tariffs Jul2019'!AK42/'Tariffs Jul2019'!AI42&lt;'Tariffs Jul2019'!L42,0,IF($C$5*'Tariffs Jul2019'!AK42/'Tariffs Jul2019'!AI42&lt;='Tariffs Jul2019'!M42,($C$5*'Tariffs Jul2019'!AK42/'Tariffs Jul2019'!AI42-'Tariffs Jul2019'!L42)*('Tariffs Jul2019'!R42/100)*'Tariffs Jul2019'!AI42,('Tariffs Jul2019'!M42-'Tariffs Jul2019'!L42)*('Tariffs Jul2019'!R42/100)*'Tariffs Jul2019'!AI42))</f>
        <v>0</v>
      </c>
      <c r="I48" s="59">
        <f>IF(($C$5*'Tariffs Jul2019'!AK42/'Tariffs Jul2019'!AI42&gt;'Tariffs Jul2019'!M42),($C$5*'Tariffs Jul2019'!AK42/'Tariffs Jul2019'!AI42-'Tariffs Jul2019'!M42)*'Tariffs Jul2019'!S42/100*'Tariffs Jul2019'!AI42,0)</f>
        <v>0</v>
      </c>
      <c r="J48" s="59">
        <f>IF($C$5*'Tariffs Jul2019'!AL42/'Tariffs Jul2019'!AJ42&gt;='Tariffs Jul2019'!J42,('Tariffs Jul2019'!J42*'Tariffs Jul2019'!U42/100)* 'Tariffs Jul2019'!AJ42,($C$5*'Tariffs Jul2019'!AL42/'Tariffs Jul2019'!AJ42*'Tariffs Jul2019'!U42/100)* 'Tariffs Jul2019'!AJ42)</f>
        <v>528.00000000000011</v>
      </c>
      <c r="K48" s="59">
        <f>IF($C$5*'Tariffs Jul2019'!AL42/'Tariffs Jul2019'!AJ42&lt;'Tariffs Jul2019'!J42,0,IF($C$5*'Tariffs Jul2019'!AL42/'Tariffs Jul2019'!AJ42&lt;='Tariffs Jul2019'!K42,($C$5*'Tariffs Jul2019'!AL42/'Tariffs Jul2019'!AJ42-'Tariffs Jul2019'!J42)*('Tariffs Jul2019'!V42/100)*'Tariffs Jul2019'!AJ42,('Tariffs Jul2019'!K42-'Tariffs Jul2019'!J42)*('Tariffs Jul2019'!V42/100)*'Tariffs Jul2019'!AJ42))</f>
        <v>377.91179999999991</v>
      </c>
      <c r="L48" s="59">
        <f>IF($C$5*'Tariffs Jul2019'!AL42/'Tariffs Jul2019'!AJ42&lt;'Tariffs Jul2019'!K42,0,IF($C$5*'Tariffs Jul2019'!AL42/'Tariffs Jul2019'!AJ42&lt;='Tariffs Jul2019'!L42,($C$5*'Tariffs Jul2019'!AL42/'Tariffs Jul2019'!AJ42-'Tariffs Jul2019'!K42)*('Tariffs Jul2019'!W42/100)*'Tariffs Jul2019'!AJ42,('Tariffs Jul2019'!L42-'Tariffs Jul2019'!K42)*('Tariffs Jul2019'!W42/100)*'Tariffs Jul2019'!AJ42))</f>
        <v>0</v>
      </c>
      <c r="M48" s="59">
        <f>IF($C$5*'Tariffs Jul2019'!AL42/'Tariffs Jul2019'!AJ42&lt;'Tariffs Jul2019'!L42,0,IF($C$5*'Tariffs Jul2019'!AL42/'Tariffs Jul2019'!AJ42&lt;='Tariffs Jul2019'!M42,($C$5*'Tariffs Jul2019'!AL42/'Tariffs Jul2019'!AJ42-'Tariffs Jul2019'!L42)*('Tariffs Jul2019'!X42/100)*'Tariffs Jul2019'!AJ42,('Tariffs Jul2019'!M42-'Tariffs Jul2019'!L42)*('Tariffs Jul2019'!X42/100)*'Tariffs Jul2019'!AJ42))</f>
        <v>0</v>
      </c>
      <c r="N48" s="59">
        <f>IF(($C$5*'Tariffs Jul2019'!AL42/'Tariffs Jul2019'!AJ42&gt;'Tariffs Jul2019'!M42),($C$5*'Tariffs Jul2019'!AL42/'Tariffs Jul2019'!AJ42-'Tariffs Jul2019'!M42)*'Tariffs Jul2019'!Y42/100*'Tariffs Jul2019'!AJ42,0)</f>
        <v>0</v>
      </c>
      <c r="O48" s="271">
        <f t="shared" si="0"/>
        <v>1358.8677</v>
      </c>
      <c r="P48" s="413">
        <f t="shared" si="1"/>
        <v>1494.7544700000001</v>
      </c>
      <c r="Q48" s="59">
        <f t="shared" si="2"/>
        <v>1610.7176999999999</v>
      </c>
      <c r="R48" s="272">
        <f t="shared" si="3"/>
        <v>1771.7894700000002</v>
      </c>
      <c r="S48" s="40">
        <f>'Tariffs Jul2019'!AN42</f>
        <v>10</v>
      </c>
      <c r="T48" s="40">
        <f>'Tariffs Jul2019'!AO42</f>
        <v>0</v>
      </c>
      <c r="U48" s="40">
        <f>'Tariffs Jul2019'!AP42</f>
        <v>0</v>
      </c>
      <c r="V48" s="40">
        <f>'Tariffs Jul2019'!AQ42</f>
        <v>0</v>
      </c>
      <c r="W48" s="273">
        <f>R48-(R48*S48/100)</f>
        <v>1594.6105230000003</v>
      </c>
      <c r="X48" s="273">
        <f>W48</f>
        <v>1594.6105230000003</v>
      </c>
      <c r="Y48" s="272">
        <f>W48</f>
        <v>1594.6105230000003</v>
      </c>
      <c r="Z48" s="272">
        <f>X48</f>
        <v>1594.6105230000003</v>
      </c>
      <c r="AA48" s="274">
        <f>'Tariffs Jul2019'!AZ42</f>
        <v>0</v>
      </c>
      <c r="AB48" s="274" t="str">
        <f>'Tariffs Jul2019'!BA42</f>
        <v>n</v>
      </c>
      <c r="AC48" s="275" t="str">
        <f>'Tariffs Jul2019'!BJ42</f>
        <v>N</v>
      </c>
      <c r="AD48" s="398"/>
      <c r="AE48" s="398"/>
      <c r="AF48" s="398"/>
      <c r="AG48" s="398"/>
      <c r="AH48" s="398"/>
      <c r="AI48" s="398"/>
      <c r="AJ48" s="398"/>
      <c r="AK48" s="398"/>
      <c r="AL48" s="398"/>
      <c r="AM48" s="398"/>
      <c r="AN48" s="398"/>
    </row>
    <row r="49" spans="1:40" x14ac:dyDescent="0.15">
      <c r="A49" s="270" t="str">
        <f>'Tariffs Jul2019'!F43</f>
        <v>Red Energy</v>
      </c>
      <c r="B49" s="40" t="str">
        <f>'Tariffs Jul2019'!D43</f>
        <v>AGN North</v>
      </c>
      <c r="C49" s="40" t="str">
        <f>'Tariffs Jul2019'!G43</f>
        <v>Easy Saver</v>
      </c>
      <c r="D49" s="59">
        <f>365*'Tariffs Jul2019'!H43/100</f>
        <v>256.96000000000004</v>
      </c>
      <c r="E49" s="59">
        <f>IF($C$5*'Tariffs Jul2019'!AK43/'Tariffs Jul2019'!AI43&gt;='Tariffs Jul2019'!J43,( 'Tariffs Jul2019'!J43*'Tariffs Jul2019'!O43/100)* 'Tariffs Jul2019'!AI43,($C$5*'Tariffs Jul2019'!AK43/'Tariffs Jul2019'!AI43*'Tariffs Jul2019'!O43/100)* 'Tariffs Jul2019'!AI43)</f>
        <v>144</v>
      </c>
      <c r="F49" s="59">
        <f>IF($C$5*'Tariffs Jul2019'!AK43/'Tariffs Jul2019'!AI43&lt;'Tariffs Jul2019'!J43,0,IF($C$5*'Tariffs Jul2019'!AK43/'Tariffs Jul2019'!AI43&lt;='Tariffs Jul2019'!K43,($C$5*'Tariffs Jul2019'!AK43/'Tariffs Jul2019'!AI43-'Tariffs Jul2019'!J43)*('Tariffs Jul2019'!S43/100)*'Tariffs Jul2019'!AI43,('Tariffs Jul2019'!K43-'Tariffs Jul2019'!J43)*('Tariffs Jul2019'!S43/100)*'Tariffs Jul2019'!AI43))</f>
        <v>0</v>
      </c>
      <c r="G49" s="59">
        <f>IF($C$5*'Tariffs Jul2019'!AK43/'Tariffs Jul2019'!AI43&lt;'Tariffs Jul2019'!K43,0,IF($C$5*'Tariffs Jul2019'!AK43/'Tariffs Jul2019'!AI43&lt;='Tariffs Jul2019'!L43,($C$5*'Tariffs Jul2019'!AK43/'Tariffs Jul2019'!AI43-'Tariffs Jul2019'!K43)*('Tariffs Jul2019'!Q43/100)*'Tariffs Jul2019'!AI43,('Tariffs Jul2019'!L43-'Tariffs Jul2019'!K43)*('Tariffs Jul2019'!Q43/100)*'Tariffs Jul2019'!AI43))</f>
        <v>0</v>
      </c>
      <c r="H49" s="59">
        <f>IF($C$5*'Tariffs Jul2019'!AK43/'Tariffs Jul2019'!AI43&lt;'Tariffs Jul2019'!L43,0,IF($C$5*'Tariffs Jul2019'!AK43/'Tariffs Jul2019'!AI43&lt;='Tariffs Jul2019'!M43,($C$5*'Tariffs Jul2019'!AK43/'Tariffs Jul2019'!AI43-'Tariffs Jul2019'!L43)*('Tariffs Jul2019'!R43/100)*'Tariffs Jul2019'!AI43,('Tariffs Jul2019'!M43-'Tariffs Jul2019'!L43)*('Tariffs Jul2019'!R43/100)*'Tariffs Jul2019'!AI43))</f>
        <v>0</v>
      </c>
      <c r="I49" s="59">
        <f>IF(($C$5*'Tariffs Jul2019'!AK43/'Tariffs Jul2019'!AI43&gt;'Tariffs Jul2019'!M43),($C$5*'Tariffs Jul2019'!AK43/'Tariffs Jul2019'!AI43-'Tariffs Jul2019'!M43)*'Tariffs Jul2019'!S43/100*'Tariffs Jul2019'!AI43,0)</f>
        <v>284.9600999999999</v>
      </c>
      <c r="J49" s="59">
        <f>IF($C$5*'Tariffs Jul2019'!AL43/'Tariffs Jul2019'!AJ43&gt;='Tariffs Jul2019'!J43,('Tariffs Jul2019'!J43*'Tariffs Jul2019'!U43/100)* 'Tariffs Jul2019'!AJ43,($C$5*'Tariffs Jul2019'!AL43/'Tariffs Jul2019'!AJ43*'Tariffs Jul2019'!U43/100)* 'Tariffs Jul2019'!AJ43)</f>
        <v>288</v>
      </c>
      <c r="K49" s="59">
        <f>IF($C$5*'Tariffs Jul2019'!AL43/'Tariffs Jul2019'!AJ43&lt;'Tariffs Jul2019'!J43,0,IF($C$5*'Tariffs Jul2019'!AL43/'Tariffs Jul2019'!AJ43&lt;='Tariffs Jul2019'!K43,($C$5*'Tariffs Jul2019'!AL43/'Tariffs Jul2019'!AJ43-'Tariffs Jul2019'!J43)*('Tariffs Jul2019'!V43/100)*'Tariffs Jul2019'!AJ43,('Tariffs Jul2019'!K43-'Tariffs Jul2019'!J43)*('Tariffs Jul2019'!V43/100)*'Tariffs Jul2019'!AJ43))</f>
        <v>0</v>
      </c>
      <c r="L49" s="59">
        <f>IF($C$5*'Tariffs Jul2019'!AL43/'Tariffs Jul2019'!AJ43&lt;'Tariffs Jul2019'!K43,0,IF($C$5*'Tariffs Jul2019'!AL43/'Tariffs Jul2019'!AJ43&lt;='Tariffs Jul2019'!L43,($C$5*'Tariffs Jul2019'!AL43/'Tariffs Jul2019'!AJ43-'Tariffs Jul2019'!K43)*('Tariffs Jul2019'!W43/100)*'Tariffs Jul2019'!AJ43,('Tariffs Jul2019'!L43-'Tariffs Jul2019'!K43)*('Tariffs Jul2019'!W43/100)*'Tariffs Jul2019'!AJ43))</f>
        <v>0</v>
      </c>
      <c r="M49" s="59">
        <f>IF($C$5*'Tariffs Jul2019'!AL43/'Tariffs Jul2019'!AJ43&lt;'Tariffs Jul2019'!L43,0,IF($C$5*'Tariffs Jul2019'!AL43/'Tariffs Jul2019'!AJ43&lt;='Tariffs Jul2019'!M43,($C$5*'Tariffs Jul2019'!AL43/'Tariffs Jul2019'!AJ43-'Tariffs Jul2019'!L43)*('Tariffs Jul2019'!X43/100)*'Tariffs Jul2019'!AJ43,('Tariffs Jul2019'!M43-'Tariffs Jul2019'!L43)*('Tariffs Jul2019'!X43/100)*'Tariffs Jul2019'!AJ43))</f>
        <v>0</v>
      </c>
      <c r="N49" s="59">
        <f>IF(($C$5*'Tariffs Jul2019'!AL43/'Tariffs Jul2019'!AJ43&gt;'Tariffs Jul2019'!M43),($C$5*'Tariffs Jul2019'!AL43/'Tariffs Jul2019'!AJ43-'Tariffs Jul2019'!M43)*'Tariffs Jul2019'!Y43/100*'Tariffs Jul2019'!AJ43,0)</f>
        <v>569.9201999999998</v>
      </c>
      <c r="O49" s="271">
        <f t="shared" si="0"/>
        <v>1286.8802999999998</v>
      </c>
      <c r="P49" s="413">
        <f t="shared" si="1"/>
        <v>1415.5683299999998</v>
      </c>
      <c r="Q49" s="59">
        <f t="shared" si="2"/>
        <v>1543.8402999999998</v>
      </c>
      <c r="R49" s="272">
        <f t="shared" si="3"/>
        <v>1698.22433</v>
      </c>
      <c r="S49" s="40">
        <f>'Tariffs Jul2019'!AN43</f>
        <v>0</v>
      </c>
      <c r="T49" s="40">
        <f>'Tariffs Jul2019'!AO43</f>
        <v>0</v>
      </c>
      <c r="U49" s="40">
        <f>'Tariffs Jul2019'!AP43</f>
        <v>10</v>
      </c>
      <c r="V49" s="40">
        <f>'Tariffs Jul2019'!AQ43</f>
        <v>0</v>
      </c>
      <c r="W49" s="273">
        <f>R49</f>
        <v>1698.22433</v>
      </c>
      <c r="X49" s="273">
        <f>W49-(W49*U49/100)</f>
        <v>1528.401897</v>
      </c>
      <c r="Y49" s="272">
        <f>W49</f>
        <v>1698.22433</v>
      </c>
      <c r="Z49" s="272">
        <f>X49</f>
        <v>1528.401897</v>
      </c>
      <c r="AA49" s="274">
        <f>'Tariffs Jul2019'!AZ43</f>
        <v>0</v>
      </c>
      <c r="AB49" s="274" t="str">
        <f>'Tariffs Jul2019'!BA43</f>
        <v>n</v>
      </c>
      <c r="AC49" s="275" t="str">
        <f>'Tariffs Jul2019'!BJ43</f>
        <v>N</v>
      </c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</row>
    <row r="50" spans="1:40" x14ac:dyDescent="0.15">
      <c r="A50" s="270" t="str">
        <f>'Tariffs Jul2019'!F44</f>
        <v>Simply Energy</v>
      </c>
      <c r="B50" s="40" t="str">
        <f>'Tariffs Jul2019'!D44</f>
        <v>AGN North</v>
      </c>
      <c r="C50" s="40" t="str">
        <f>'Tariffs Jul2019'!G44</f>
        <v>Plus</v>
      </c>
      <c r="D50" s="59">
        <f>365*'Tariffs Jul2019'!H44/100</f>
        <v>274.67909090909086</v>
      </c>
      <c r="E50" s="59">
        <f>IF($C$5*'Tariffs Jul2019'!AK44/'Tariffs Jul2019'!AI44&gt;='Tariffs Jul2019'!J44,( 'Tariffs Jul2019'!J44*'Tariffs Jul2019'!O44/100)* 'Tariffs Jul2019'!AI44,($C$5*'Tariffs Jul2019'!AK44/'Tariffs Jul2019'!AI44*'Tariffs Jul2019'!O44/100)* 'Tariffs Jul2019'!AI44)</f>
        <v>81.053636363636357</v>
      </c>
      <c r="F50" s="59">
        <f>IF($C$5*'Tariffs Jul2019'!AK44/'Tariffs Jul2019'!AI44&lt;'Tariffs Jul2019'!J44,0,IF($C$5*'Tariffs Jul2019'!AK44/'Tariffs Jul2019'!AI44&lt;='Tariffs Jul2019'!K44,($C$5*'Tariffs Jul2019'!AK44/'Tariffs Jul2019'!AI44-'Tariffs Jul2019'!J44)*('Tariffs Jul2019'!P44/100)*'Tariffs Jul2019'!AI44,('Tariffs Jul2019'!K44-'Tariffs Jul2019'!J44)*('Tariffs Jul2019'!P44/100)*'Tariffs Jul2019'!AI44))</f>
        <v>53.953636363636356</v>
      </c>
      <c r="G50" s="59">
        <f>IF($C$5*'Tariffs Jul2019'!AK44/'Tariffs Jul2019'!AI44&lt;'Tariffs Jul2019'!K44,0,IF($C$5*'Tariffs Jul2019'!AK44/'Tariffs Jul2019'!AI44&lt;='Tariffs Jul2019'!L44,($C$5*'Tariffs Jul2019'!AK44/'Tariffs Jul2019'!AI44-'Tariffs Jul2019'!K44)*('Tariffs Jul2019'!Q44/100)*'Tariffs Jul2019'!AI44,('Tariffs Jul2019'!L44-'Tariffs Jul2019'!K44)*('Tariffs Jul2019'!Q44/100)*'Tariffs Jul2019'!AI44))</f>
        <v>0</v>
      </c>
      <c r="H50" s="59">
        <f>IF($C$5*'Tariffs Jul2019'!AK44/'Tariffs Jul2019'!AI44&lt;'Tariffs Jul2019'!L44,0,IF($C$5*'Tariffs Jul2019'!AK44/'Tariffs Jul2019'!AI44&lt;='Tariffs Jul2019'!M44,($C$5*'Tariffs Jul2019'!AK44/'Tariffs Jul2019'!AI44-'Tariffs Jul2019'!L44)*('Tariffs Jul2019'!R44/100)*'Tariffs Jul2019'!AI44,('Tariffs Jul2019'!M44-'Tariffs Jul2019'!L44)*('Tariffs Jul2019'!R44/100)*'Tariffs Jul2019'!AI44))</f>
        <v>0</v>
      </c>
      <c r="I50" s="59">
        <f>IF(($C$5*'Tariffs Jul2019'!AK44/'Tariffs Jul2019'!AI44&gt;'Tariffs Jul2019'!M44),($C$5*'Tariffs Jul2019'!AK44/'Tariffs Jul2019'!AI44-'Tariffs Jul2019'!M44)*'Tariffs Jul2019'!S44/100*'Tariffs Jul2019'!AI44,0)</f>
        <v>252.23740909090901</v>
      </c>
      <c r="J50" s="59">
        <f>IF($C$5*'Tariffs Jul2019'!AL44/'Tariffs Jul2019'!AJ44&gt;='Tariffs Jul2019'!J44,('Tariffs Jul2019'!J44*'Tariffs Jul2019'!U44/100)* 'Tariffs Jul2019'!AJ44,($C$5*'Tariffs Jul2019'!AL44/'Tariffs Jul2019'!AJ44*'Tariffs Jul2019'!U44/100)* 'Tariffs Jul2019'!AJ44)</f>
        <v>162.10727272727271</v>
      </c>
      <c r="K50" s="59">
        <f>IF($C$5*'Tariffs Jul2019'!AL44/'Tariffs Jul2019'!AJ44&lt;'Tariffs Jul2019'!J44,0,IF($C$5*'Tariffs Jul2019'!AL44/'Tariffs Jul2019'!AJ44&lt;='Tariffs Jul2019'!K44,($C$5*'Tariffs Jul2019'!AL44/'Tariffs Jul2019'!AJ44-'Tariffs Jul2019'!J44)*('Tariffs Jul2019'!V44/100)*'Tariffs Jul2019'!AJ44,('Tariffs Jul2019'!K44-'Tariffs Jul2019'!J44)*('Tariffs Jul2019'!V44/100)*'Tariffs Jul2019'!AJ44))</f>
        <v>107.90727272727271</v>
      </c>
      <c r="L50" s="59">
        <f>IF($C$5*'Tariffs Jul2019'!AL44/'Tariffs Jul2019'!AJ44&lt;'Tariffs Jul2019'!K44,0,IF($C$5*'Tariffs Jul2019'!AL44/'Tariffs Jul2019'!AJ44&lt;='Tariffs Jul2019'!L44,($C$5*'Tariffs Jul2019'!AL44/'Tariffs Jul2019'!AJ44-'Tariffs Jul2019'!K44)*('Tariffs Jul2019'!W44/100)*'Tariffs Jul2019'!AJ44,('Tariffs Jul2019'!L44-'Tariffs Jul2019'!K44)*('Tariffs Jul2019'!W44/100)*'Tariffs Jul2019'!AJ44))</f>
        <v>0</v>
      </c>
      <c r="M50" s="59">
        <f>IF($C$5*'Tariffs Jul2019'!AL44/'Tariffs Jul2019'!AJ44&lt;'Tariffs Jul2019'!L44,0,IF($C$5*'Tariffs Jul2019'!AL44/'Tariffs Jul2019'!AJ44&lt;='Tariffs Jul2019'!M44,($C$5*'Tariffs Jul2019'!AL44/'Tariffs Jul2019'!AJ44-'Tariffs Jul2019'!L44)*('Tariffs Jul2019'!X44/100)*'Tariffs Jul2019'!AJ44,('Tariffs Jul2019'!M44-'Tariffs Jul2019'!L44)*('Tariffs Jul2019'!X44/100)*'Tariffs Jul2019'!AJ44))</f>
        <v>0</v>
      </c>
      <c r="N50" s="59">
        <f>IF(($C$5*'Tariffs Jul2019'!AL44/'Tariffs Jul2019'!AJ44&gt;'Tariffs Jul2019'!M44),($C$5*'Tariffs Jul2019'!AL44/'Tariffs Jul2019'!AJ44-'Tariffs Jul2019'!M44)*'Tariffs Jul2019'!Y44/100*'Tariffs Jul2019'!AJ44,0)</f>
        <v>504.47481818181802</v>
      </c>
      <c r="O50" s="271">
        <f t="shared" si="0"/>
        <v>1161.7340454545451</v>
      </c>
      <c r="P50" s="413">
        <f t="shared" si="1"/>
        <v>1277.9074499999997</v>
      </c>
      <c r="Q50" s="59">
        <f t="shared" si="2"/>
        <v>1436.4131363636361</v>
      </c>
      <c r="R50" s="272">
        <f t="shared" si="3"/>
        <v>1580.0544499999999</v>
      </c>
      <c r="S50" s="40">
        <f>'Tariffs Jul2019'!AN44</f>
        <v>0</v>
      </c>
      <c r="T50" s="40">
        <f>'Tariffs Jul2019'!AO44</f>
        <v>0</v>
      </c>
      <c r="U50" s="40">
        <f>'Tariffs Jul2019'!AP44</f>
        <v>0</v>
      </c>
      <c r="V50" s="40">
        <f>'Tariffs Jul2019'!AQ44</f>
        <v>0</v>
      </c>
      <c r="W50" s="273">
        <f t="shared" ref="W50:W55" si="8">Q50</f>
        <v>1436.4131363636361</v>
      </c>
      <c r="X50" s="273">
        <f>W50</f>
        <v>1436.4131363636361</v>
      </c>
      <c r="Y50" s="272">
        <f t="shared" si="4"/>
        <v>1580.0544499999999</v>
      </c>
      <c r="Z50" s="272">
        <f t="shared" si="4"/>
        <v>1580.0544499999999</v>
      </c>
      <c r="AA50" s="274">
        <f>'Tariffs Jul2019'!AZ44</f>
        <v>0</v>
      </c>
      <c r="AB50" s="274" t="str">
        <f>'Tariffs Jul2019'!BA44</f>
        <v>n</v>
      </c>
      <c r="AC50" s="275" t="str">
        <f>'Tariffs Jul2019'!BJ44</f>
        <v>Y</v>
      </c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</row>
    <row r="51" spans="1:40" x14ac:dyDescent="0.15">
      <c r="A51" s="270" t="str">
        <f>'Tariffs Jul2019'!F45</f>
        <v>Sumo Power</v>
      </c>
      <c r="B51" s="40" t="str">
        <f>'Tariffs Jul2019'!D45</f>
        <v>AGN North</v>
      </c>
      <c r="C51" s="40" t="str">
        <f>'Tariffs Jul2019'!G45</f>
        <v>Select</v>
      </c>
      <c r="D51" s="59">
        <f>365*'Tariffs Jul2019'!H45/100</f>
        <v>237.25</v>
      </c>
      <c r="E51" s="59">
        <f>IF($C$5*'Tariffs Jul2019'!AK45/'Tariffs Jul2019'!AI45&gt;='Tariffs Jul2019'!J45,( 'Tariffs Jul2019'!J45*'Tariffs Jul2019'!O45/100)* 'Tariffs Jul2019'!AI45,($C$5*'Tariffs Jul2019'!AK45/'Tariffs Jul2019'!AI45*'Tariffs Jul2019'!O45/100)* 'Tariffs Jul2019'!AI45)</f>
        <v>76.567272727272723</v>
      </c>
      <c r="F51" s="59">
        <f>IF($C$5*'Tariffs Jul2019'!AK45/'Tariffs Jul2019'!AI45&lt;'Tariffs Jul2019'!J45,0,IF($C$5*'Tariffs Jul2019'!AK45/'Tariffs Jul2019'!AI45&lt;='Tariffs Jul2019'!K45,($C$5*'Tariffs Jul2019'!AK45/'Tariffs Jul2019'!AI45-'Tariffs Jul2019'!J45)*('Tariffs Jul2019'!S45/100)*'Tariffs Jul2019'!AI45,('Tariffs Jul2019'!K45-'Tariffs Jul2019'!J45)*('Tariffs Jul2019'!S45/100)*'Tariffs Jul2019'!AI45))</f>
        <v>46.562727272727265</v>
      </c>
      <c r="G51" s="59">
        <f>IF($C$5*'Tariffs Jul2019'!AK45/'Tariffs Jul2019'!AI45&lt;'Tariffs Jul2019'!K45,0,IF($C$5*'Tariffs Jul2019'!AK45/'Tariffs Jul2019'!AI45&lt;='Tariffs Jul2019'!L45,($C$5*'Tariffs Jul2019'!AK45/'Tariffs Jul2019'!AI45-'Tariffs Jul2019'!K45)*('Tariffs Jul2019'!Q45/100)*'Tariffs Jul2019'!AI45,('Tariffs Jul2019'!L45-'Tariffs Jul2019'!K45)*('Tariffs Jul2019'!Q45/100)*'Tariffs Jul2019'!AI45))</f>
        <v>0</v>
      </c>
      <c r="H51" s="59">
        <f>IF($C$5*'Tariffs Jul2019'!AK45/'Tariffs Jul2019'!AI45&lt;'Tariffs Jul2019'!L45,0,IF($C$5*'Tariffs Jul2019'!AK45/'Tariffs Jul2019'!AI45&lt;='Tariffs Jul2019'!M45,($C$5*'Tariffs Jul2019'!AK45/'Tariffs Jul2019'!AI45-'Tariffs Jul2019'!L45)*('Tariffs Jul2019'!R45/100)*'Tariffs Jul2019'!AI45,('Tariffs Jul2019'!M45-'Tariffs Jul2019'!L45)*('Tariffs Jul2019'!R45/100)*'Tariffs Jul2019'!AI45))</f>
        <v>0</v>
      </c>
      <c r="I51" s="59">
        <f>IF(($C$5*'Tariffs Jul2019'!AK45/'Tariffs Jul2019'!AI45&gt;'Tariffs Jul2019'!M45),($C$5*'Tariffs Jul2019'!AK45/'Tariffs Jul2019'!AI45-'Tariffs Jul2019'!M45)*'Tariffs Jul2019'!S45/100*'Tariffs Jul2019'!AI45,0)</f>
        <v>257.69119090909084</v>
      </c>
      <c r="J51" s="59">
        <f>IF($C$5*'Tariffs Jul2019'!AL45/'Tariffs Jul2019'!AJ45&gt;='Tariffs Jul2019'!J45,('Tariffs Jul2019'!J45*'Tariffs Jul2019'!U45/100)* 'Tariffs Jul2019'!AJ45,($C$5*'Tariffs Jul2019'!AL45/'Tariffs Jul2019'!AJ45*'Tariffs Jul2019'!U45/100)* 'Tariffs Jul2019'!AJ45)</f>
        <v>153.13454545454545</v>
      </c>
      <c r="K51" s="59">
        <f>IF($C$5*'Tariffs Jul2019'!AL45/'Tariffs Jul2019'!AJ45&lt;'Tariffs Jul2019'!J45,0,IF($C$5*'Tariffs Jul2019'!AL45/'Tariffs Jul2019'!AJ45&lt;='Tariffs Jul2019'!K45,($C$5*'Tariffs Jul2019'!AL45/'Tariffs Jul2019'!AJ45-'Tariffs Jul2019'!J45)*('Tariffs Jul2019'!V45/100)*'Tariffs Jul2019'!AJ45,('Tariffs Jul2019'!K45-'Tariffs Jul2019'!J45)*('Tariffs Jul2019'!V45/100)*'Tariffs Jul2019'!AJ45))</f>
        <v>109.38545454545454</v>
      </c>
      <c r="L51" s="59">
        <f>IF($C$5*'Tariffs Jul2019'!AL45/'Tariffs Jul2019'!AJ45&lt;'Tariffs Jul2019'!K45,0,IF($C$5*'Tariffs Jul2019'!AL45/'Tariffs Jul2019'!AJ45&lt;='Tariffs Jul2019'!L45,($C$5*'Tariffs Jul2019'!AL45/'Tariffs Jul2019'!AJ45-'Tariffs Jul2019'!K45)*('Tariffs Jul2019'!W45/100)*'Tariffs Jul2019'!AJ45,('Tariffs Jul2019'!L45-'Tariffs Jul2019'!K45)*('Tariffs Jul2019'!W45/100)*'Tariffs Jul2019'!AJ45))</f>
        <v>0</v>
      </c>
      <c r="M51" s="59">
        <f>IF($C$5*'Tariffs Jul2019'!AL45/'Tariffs Jul2019'!AJ45&lt;'Tariffs Jul2019'!L45,0,IF($C$5*'Tariffs Jul2019'!AL45/'Tariffs Jul2019'!AJ45&lt;='Tariffs Jul2019'!M45,($C$5*'Tariffs Jul2019'!AL45/'Tariffs Jul2019'!AJ45-'Tariffs Jul2019'!L45)*('Tariffs Jul2019'!X45/100)*'Tariffs Jul2019'!AJ45,('Tariffs Jul2019'!M45-'Tariffs Jul2019'!L45)*('Tariffs Jul2019'!X45/100)*'Tariffs Jul2019'!AJ45))</f>
        <v>0</v>
      </c>
      <c r="N51" s="59">
        <f>IF(($C$5*'Tariffs Jul2019'!AL45/'Tariffs Jul2019'!AJ45&gt;'Tariffs Jul2019'!M45),($C$5*'Tariffs Jul2019'!AL45/'Tariffs Jul2019'!AJ45-'Tariffs Jul2019'!M45)*'Tariffs Jul2019'!Y45/100*'Tariffs Jul2019'!AJ45,0)</f>
        <v>515.38238181818167</v>
      </c>
      <c r="O51" s="271">
        <f t="shared" si="0"/>
        <v>1158.7235727272725</v>
      </c>
      <c r="P51" s="413">
        <f t="shared" si="1"/>
        <v>1274.59593</v>
      </c>
      <c r="Q51" s="59">
        <f t="shared" si="2"/>
        <v>1395.9735727272725</v>
      </c>
      <c r="R51" s="272">
        <f t="shared" si="3"/>
        <v>1535.5709299999999</v>
      </c>
      <c r="S51" s="40">
        <f>'Tariffs Jul2019'!AN45</f>
        <v>0</v>
      </c>
      <c r="T51" s="40">
        <f>'Tariffs Jul2019'!AO45</f>
        <v>0</v>
      </c>
      <c r="U51" s="40">
        <f>'Tariffs Jul2019'!AP45</f>
        <v>5</v>
      </c>
      <c r="V51" s="40">
        <f>'Tariffs Jul2019'!AQ45</f>
        <v>0</v>
      </c>
      <c r="W51" s="273">
        <f t="shared" si="8"/>
        <v>1395.9735727272725</v>
      </c>
      <c r="X51" s="273">
        <f>W51-(Q51*U51/100)</f>
        <v>1326.174894090909</v>
      </c>
      <c r="Y51" s="272">
        <f t="shared" si="4"/>
        <v>1535.5709299999999</v>
      </c>
      <c r="Z51" s="272">
        <f t="shared" si="4"/>
        <v>1458.7923834999999</v>
      </c>
      <c r="AA51" s="274">
        <f>'Tariffs Jul2019'!AZ45</f>
        <v>0</v>
      </c>
      <c r="AB51" s="274" t="str">
        <f>'Tariffs Jul2019'!BA45</f>
        <v>n</v>
      </c>
      <c r="AC51" s="275" t="str">
        <f>'Tariffs Jul2019'!BJ45</f>
        <v>Y</v>
      </c>
      <c r="AD51" s="398"/>
      <c r="AE51" s="398"/>
      <c r="AF51" s="398"/>
      <c r="AG51" s="398"/>
      <c r="AH51" s="398"/>
      <c r="AI51" s="398"/>
      <c r="AJ51" s="398"/>
      <c r="AK51" s="398"/>
      <c r="AL51" s="398"/>
      <c r="AM51" s="398"/>
      <c r="AN51" s="398"/>
    </row>
    <row r="52" spans="1:40" x14ac:dyDescent="0.15">
      <c r="A52" s="270" t="str">
        <f>'Tariffs Jul2019'!F46</f>
        <v>Amaysim</v>
      </c>
      <c r="B52" s="40" t="str">
        <f>'Tariffs Jul2019'!D46</f>
        <v>AGN North</v>
      </c>
      <c r="C52" s="40" t="str">
        <f>'Tariffs Jul2019'!G46</f>
        <v>Gas as you go</v>
      </c>
      <c r="D52" s="59">
        <f>365*'Tariffs Jul2019'!H46/100</f>
        <v>199.0564</v>
      </c>
      <c r="E52" s="59">
        <f>IF($C$5*'Tariffs Jul2019'!AK46/'Tariffs Jul2019'!AI46&gt;='Tariffs Jul2019'!J46,( 'Tariffs Jul2019'!J46*'Tariffs Jul2019'!O46/100)* 'Tariffs Jul2019'!AI46,($C$5*'Tariffs Jul2019'!AK46/'Tariffs Jul2019'!AI46*'Tariffs Jul2019'!O46/100)* 'Tariffs Jul2019'!AI46)</f>
        <v>83.894999999999996</v>
      </c>
      <c r="F52" s="59">
        <f>IF($C$5*'Tariffs Jul2019'!AK46/'Tariffs Jul2019'!AI46&lt;'Tariffs Jul2019'!J46,0,IF($C$5*'Tariffs Jul2019'!AK46/'Tariffs Jul2019'!AI46&lt;='Tariffs Jul2019'!K46,($C$5*'Tariffs Jul2019'!AK46/'Tariffs Jul2019'!AI46-'Tariffs Jul2019'!J46)*('Tariffs Jul2019'!P46/100)*'Tariffs Jul2019'!AI46,('Tariffs Jul2019'!K46-'Tariffs Jul2019'!J46)*('Tariffs Jul2019'!P46/100)*'Tariffs Jul2019'!AI46))</f>
        <v>58.969600000000007</v>
      </c>
      <c r="G52" s="59">
        <f>IF($C$5*'Tariffs Jul2019'!AK46/'Tariffs Jul2019'!AI46&lt;'Tariffs Jul2019'!K46,0,IF($C$5*'Tariffs Jul2019'!AK46/'Tariffs Jul2019'!AI46&lt;='Tariffs Jul2019'!L46,($C$5*'Tariffs Jul2019'!AK46/'Tariffs Jul2019'!AI46-'Tariffs Jul2019'!K46)*('Tariffs Jul2019'!Q46/100)*'Tariffs Jul2019'!AI46,('Tariffs Jul2019'!L46-'Tariffs Jul2019'!K46)*('Tariffs Jul2019'!Q46/100)*'Tariffs Jul2019'!AI46))</f>
        <v>0</v>
      </c>
      <c r="H52" s="59">
        <f>IF($C$5*'Tariffs Jul2019'!AK46/'Tariffs Jul2019'!AI46&lt;'Tariffs Jul2019'!L46,0,IF($C$5*'Tariffs Jul2019'!AK46/'Tariffs Jul2019'!AI46&lt;='Tariffs Jul2019'!M46,($C$5*'Tariffs Jul2019'!AK46/'Tariffs Jul2019'!AI46-'Tariffs Jul2019'!L46)*('Tariffs Jul2019'!R46/100)*'Tariffs Jul2019'!AI46,('Tariffs Jul2019'!M46-'Tariffs Jul2019'!L46)*('Tariffs Jul2019'!R46/100)*'Tariffs Jul2019'!AI46))</f>
        <v>0</v>
      </c>
      <c r="I52" s="59">
        <f>IF(($C$5*'Tariffs Jul2019'!AK46/'Tariffs Jul2019'!AI46&gt;'Tariffs Jul2019'!M46),($C$5*'Tariffs Jul2019'!AK46/'Tariffs Jul2019'!AI46-'Tariffs Jul2019'!M46)*'Tariffs Jul2019'!S46/100*'Tariffs Jul2019'!AI46,0)</f>
        <v>285.56001600000002</v>
      </c>
      <c r="J52" s="59">
        <f>IF($C$5*'Tariffs Jul2019'!AL46/'Tariffs Jul2019'!AJ46&gt;='Tariffs Jul2019'!J46,('Tariffs Jul2019'!J46*'Tariffs Jul2019'!U46/100)* 'Tariffs Jul2019'!AJ46,($C$5*'Tariffs Jul2019'!AL46/'Tariffs Jul2019'!AJ46*'Tariffs Jul2019'!U46/100)* 'Tariffs Jul2019'!AJ46)</f>
        <v>167.79</v>
      </c>
      <c r="K52" s="59">
        <f>IF($C$5*'Tariffs Jul2019'!AL46/'Tariffs Jul2019'!AJ46&lt;'Tariffs Jul2019'!J46,0,IF($C$5*'Tariffs Jul2019'!AL46/'Tariffs Jul2019'!AJ46&lt;='Tariffs Jul2019'!K46,($C$5*'Tariffs Jul2019'!AL46/'Tariffs Jul2019'!AJ46-'Tariffs Jul2019'!J46)*('Tariffs Jul2019'!V46/100)*'Tariffs Jul2019'!AJ46,('Tariffs Jul2019'!K46-'Tariffs Jul2019'!J46)*('Tariffs Jul2019'!V46/100)*'Tariffs Jul2019'!AJ46))</f>
        <v>117.93920000000001</v>
      </c>
      <c r="L52" s="59">
        <f>IF($C$5*'Tariffs Jul2019'!AL46/'Tariffs Jul2019'!AJ46&lt;'Tariffs Jul2019'!K46,0,IF($C$5*'Tariffs Jul2019'!AL46/'Tariffs Jul2019'!AJ46&lt;='Tariffs Jul2019'!L46,($C$5*'Tariffs Jul2019'!AL46/'Tariffs Jul2019'!AJ46-'Tariffs Jul2019'!K46)*('Tariffs Jul2019'!W46/100)*'Tariffs Jul2019'!AJ46,('Tariffs Jul2019'!L46-'Tariffs Jul2019'!K46)*('Tariffs Jul2019'!W46/100)*'Tariffs Jul2019'!AJ46))</f>
        <v>0</v>
      </c>
      <c r="M52" s="59">
        <f>IF($C$5*'Tariffs Jul2019'!AL46/'Tariffs Jul2019'!AJ46&lt;'Tariffs Jul2019'!L46,0,IF($C$5*'Tariffs Jul2019'!AL46/'Tariffs Jul2019'!AJ46&lt;='Tariffs Jul2019'!M46,($C$5*'Tariffs Jul2019'!AL46/'Tariffs Jul2019'!AJ46-'Tariffs Jul2019'!L46)*('Tariffs Jul2019'!X46/100)*'Tariffs Jul2019'!AJ46,('Tariffs Jul2019'!M46-'Tariffs Jul2019'!L46)*('Tariffs Jul2019'!X46/100)*'Tariffs Jul2019'!AJ46))</f>
        <v>0</v>
      </c>
      <c r="N52" s="59">
        <f>IF(($C$5*'Tariffs Jul2019'!AL46/'Tariffs Jul2019'!AJ46&gt;'Tariffs Jul2019'!M46),($C$5*'Tariffs Jul2019'!AL46/'Tariffs Jul2019'!AJ46-'Tariffs Jul2019'!M46)*'Tariffs Jul2019'!Y46/100*'Tariffs Jul2019'!AJ46,0)</f>
        <v>571.12003200000004</v>
      </c>
      <c r="O52" s="271">
        <f t="shared" si="0"/>
        <v>1285.273848</v>
      </c>
      <c r="P52" s="413">
        <f t="shared" si="1"/>
        <v>1413.8012328000002</v>
      </c>
      <c r="Q52" s="59">
        <f t="shared" si="2"/>
        <v>1484.330248</v>
      </c>
      <c r="R52" s="272">
        <f t="shared" si="3"/>
        <v>1632.7632728000001</v>
      </c>
      <c r="S52" s="40">
        <f>'Tariffs Jul2019'!AN46</f>
        <v>0</v>
      </c>
      <c r="T52" s="40">
        <f>'Tariffs Jul2019'!AO46</f>
        <v>0</v>
      </c>
      <c r="U52" s="40">
        <f>'Tariffs Jul2019'!AP46</f>
        <v>0</v>
      </c>
      <c r="V52" s="40">
        <f>'Tariffs Jul2019'!AQ46</f>
        <v>0</v>
      </c>
      <c r="W52" s="273">
        <f t="shared" si="8"/>
        <v>1484.330248</v>
      </c>
      <c r="X52" s="273">
        <f>W52</f>
        <v>1484.330248</v>
      </c>
      <c r="Y52" s="272">
        <f t="shared" si="4"/>
        <v>1632.7632728000001</v>
      </c>
      <c r="Z52" s="272">
        <f t="shared" si="4"/>
        <v>1632.7632728000001</v>
      </c>
      <c r="AA52" s="274">
        <f>'Tariffs Jul2019'!AZ46</f>
        <v>0</v>
      </c>
      <c r="AB52" s="274" t="str">
        <f>'Tariffs Jul2019'!BA46</f>
        <v>n</v>
      </c>
      <c r="AC52" s="275" t="str">
        <f>'Tariffs Jul2019'!BJ46</f>
        <v>N</v>
      </c>
      <c r="AD52" s="398"/>
      <c r="AE52" s="398"/>
      <c r="AF52" s="398"/>
      <c r="AG52" s="398"/>
      <c r="AH52" s="398"/>
      <c r="AI52" s="398"/>
      <c r="AJ52" s="398"/>
      <c r="AK52" s="398"/>
      <c r="AL52" s="398"/>
      <c r="AM52" s="398"/>
      <c r="AN52" s="398"/>
    </row>
    <row r="53" spans="1:40" x14ac:dyDescent="0.15">
      <c r="A53" s="270" t="str">
        <f>'Tariffs Jul2019'!F47</f>
        <v>GloBird Energy</v>
      </c>
      <c r="B53" s="40" t="str">
        <f>'Tariffs Jul2019'!D47</f>
        <v>AGN North</v>
      </c>
      <c r="C53" s="40" t="str">
        <f>'Tariffs Jul2019'!G47</f>
        <v>GloSave</v>
      </c>
      <c r="D53" s="59">
        <f>365*'Tariffs Jul2019'!H47/100</f>
        <v>219</v>
      </c>
      <c r="E53" s="59">
        <f>IF($C$5*'Tariffs Jul2019'!AK47/'Tariffs Jul2019'!AI47&gt;='Tariffs Jul2019'!J47,( 'Tariffs Jul2019'!J47*'Tariffs Jul2019'!O47/100)* 'Tariffs Jul2019'!AI47,($C$5*'Tariffs Jul2019'!AK47/'Tariffs Jul2019'!AI47*'Tariffs Jul2019'!O47/100)* 'Tariffs Jul2019'!AI47)</f>
        <v>225.6</v>
      </c>
      <c r="F53" s="59">
        <f>IF($C$5*'Tariffs Jul2019'!AK47/'Tariffs Jul2019'!AI47&lt;'Tariffs Jul2019'!J47,0,IF($C$5*'Tariffs Jul2019'!AK47/'Tariffs Jul2019'!AI47&lt;='Tariffs Jul2019'!K47,($C$5*'Tariffs Jul2019'!AK47/'Tariffs Jul2019'!AI47-'Tariffs Jul2019'!J47)*('Tariffs Jul2019'!P47/100)*'Tariffs Jul2019'!AI47,('Tariffs Jul2019'!K47-'Tariffs Jul2019'!J47)*('Tariffs Jul2019'!P47/100)*'Tariffs Jul2019'!AI47))</f>
        <v>0</v>
      </c>
      <c r="G53" s="59">
        <f>IF($C$5*'Tariffs Jul2019'!AK47/'Tariffs Jul2019'!AI47&lt;'Tariffs Jul2019'!K47,0,IF($C$5*'Tariffs Jul2019'!AK47/'Tariffs Jul2019'!AI47&lt;='Tariffs Jul2019'!L47,($C$5*'Tariffs Jul2019'!AK47/'Tariffs Jul2019'!AI47-'Tariffs Jul2019'!K47)*('Tariffs Jul2019'!Q47/100)*'Tariffs Jul2019'!AI47,('Tariffs Jul2019'!L47-'Tariffs Jul2019'!K47)*('Tariffs Jul2019'!Q47/100)*'Tariffs Jul2019'!AI47))</f>
        <v>0</v>
      </c>
      <c r="H53" s="59">
        <f>IF($C$5*'Tariffs Jul2019'!AK47/'Tariffs Jul2019'!AI47&lt;'Tariffs Jul2019'!L47,0,IF($C$5*'Tariffs Jul2019'!AK47/'Tariffs Jul2019'!AI47&lt;='Tariffs Jul2019'!M47,($C$5*'Tariffs Jul2019'!AK47/'Tariffs Jul2019'!AI47-'Tariffs Jul2019'!L47)*('Tariffs Jul2019'!R47/100)*'Tariffs Jul2019'!AI47,('Tariffs Jul2019'!M47-'Tariffs Jul2019'!L47)*('Tariffs Jul2019'!R47/100)*'Tariffs Jul2019'!AI47))</f>
        <v>0</v>
      </c>
      <c r="I53" s="59">
        <f>IF(($C$5*'Tariffs Jul2019'!AK47/'Tariffs Jul2019'!AI47&gt;'Tariffs Jul2019'!M47),($C$5*'Tariffs Jul2019'!AK47/'Tariffs Jul2019'!AI47-'Tariffs Jul2019'!M47)*'Tariffs Jul2019'!S47/100*'Tariffs Jul2019'!AI47,0)</f>
        <v>169.16051999999996</v>
      </c>
      <c r="J53" s="59">
        <f>IF($C$5*'Tariffs Jul2019'!AL47/'Tariffs Jul2019'!AJ47&gt;='Tariffs Jul2019'!J47,('Tariffs Jul2019'!J47*'Tariffs Jul2019'!U47/100)* 'Tariffs Jul2019'!AJ47,($C$5*'Tariffs Jul2019'!AL47/'Tariffs Jul2019'!AJ47*'Tariffs Jul2019'!U47/100)* 'Tariffs Jul2019'!AJ47)</f>
        <v>451.2</v>
      </c>
      <c r="K53" s="59">
        <f>IF($C$5*'Tariffs Jul2019'!AL47/'Tariffs Jul2019'!AJ47&lt;'Tariffs Jul2019'!J47,0,IF($C$5*'Tariffs Jul2019'!AL47/'Tariffs Jul2019'!AJ47&lt;='Tariffs Jul2019'!K47,($C$5*'Tariffs Jul2019'!AL47/'Tariffs Jul2019'!AJ47-'Tariffs Jul2019'!J47)*('Tariffs Jul2019'!V47/100)*'Tariffs Jul2019'!AJ47,('Tariffs Jul2019'!K47-'Tariffs Jul2019'!J47)*('Tariffs Jul2019'!V47/100)*'Tariffs Jul2019'!AJ47))</f>
        <v>0</v>
      </c>
      <c r="L53" s="59">
        <f>IF($C$5*'Tariffs Jul2019'!AL47/'Tariffs Jul2019'!AJ47&lt;'Tariffs Jul2019'!K47,0,IF($C$5*'Tariffs Jul2019'!AL47/'Tariffs Jul2019'!AJ47&lt;='Tariffs Jul2019'!L47,($C$5*'Tariffs Jul2019'!AL47/'Tariffs Jul2019'!AJ47-'Tariffs Jul2019'!K47)*('Tariffs Jul2019'!W47/100)*'Tariffs Jul2019'!AJ47,('Tariffs Jul2019'!L47-'Tariffs Jul2019'!K47)*('Tariffs Jul2019'!W47/100)*'Tariffs Jul2019'!AJ47))</f>
        <v>0</v>
      </c>
      <c r="M53" s="59">
        <f>IF($C$5*'Tariffs Jul2019'!AL47/'Tariffs Jul2019'!AJ47&lt;'Tariffs Jul2019'!L47,0,IF($C$5*'Tariffs Jul2019'!AL47/'Tariffs Jul2019'!AJ47&lt;='Tariffs Jul2019'!M47,($C$5*'Tariffs Jul2019'!AL47/'Tariffs Jul2019'!AJ47-'Tariffs Jul2019'!L47)*('Tariffs Jul2019'!X47/100)*'Tariffs Jul2019'!AJ47,('Tariffs Jul2019'!M47-'Tariffs Jul2019'!L47)*('Tariffs Jul2019'!X47/100)*'Tariffs Jul2019'!AJ47))</f>
        <v>0</v>
      </c>
      <c r="N53" s="59">
        <f>IF(($C$5*'Tariffs Jul2019'!AL47/'Tariffs Jul2019'!AJ47&gt;'Tariffs Jul2019'!M47),($C$5*'Tariffs Jul2019'!AL47/'Tariffs Jul2019'!AJ47-'Tariffs Jul2019'!M47)*'Tariffs Jul2019'!Y47/100*'Tariffs Jul2019'!AJ47,0)</f>
        <v>338.32103999999993</v>
      </c>
      <c r="O53" s="271">
        <f t="shared" si="0"/>
        <v>1184.2815599999999</v>
      </c>
      <c r="P53" s="413">
        <f t="shared" si="1"/>
        <v>1302.7097160000001</v>
      </c>
      <c r="Q53" s="59">
        <f t="shared" si="2"/>
        <v>1403.2815599999999</v>
      </c>
      <c r="R53" s="272">
        <f t="shared" si="3"/>
        <v>1543.6097159999999</v>
      </c>
      <c r="S53" s="40">
        <f>'Tariffs Jul2019'!AN47</f>
        <v>0</v>
      </c>
      <c r="T53" s="40">
        <f>'Tariffs Jul2019'!AO47</f>
        <v>0</v>
      </c>
      <c r="U53" s="40">
        <f>'Tariffs Jul2019'!AP47</f>
        <v>5</v>
      </c>
      <c r="V53" s="40">
        <f>'Tariffs Jul2019'!AQ47</f>
        <v>0</v>
      </c>
      <c r="W53" s="273">
        <f t="shared" si="8"/>
        <v>1403.2815599999999</v>
      </c>
      <c r="X53" s="273">
        <f>W53-(Q53*U53/100)</f>
        <v>1333.1174819999999</v>
      </c>
      <c r="Y53" s="272">
        <f t="shared" si="4"/>
        <v>1543.6097159999999</v>
      </c>
      <c r="Z53" s="272">
        <f t="shared" si="4"/>
        <v>1466.4292301999999</v>
      </c>
      <c r="AA53" s="274">
        <f>'Tariffs Jul2019'!AZ47</f>
        <v>0</v>
      </c>
      <c r="AB53" s="274" t="str">
        <f>'Tariffs Jul2019'!BA47</f>
        <v>n</v>
      </c>
      <c r="AC53" s="275" t="str">
        <f>'Tariffs Jul2019'!BJ47</f>
        <v>N</v>
      </c>
      <c r="AD53" s="398"/>
      <c r="AE53" s="398"/>
      <c r="AF53" s="398"/>
      <c r="AG53" s="398"/>
      <c r="AH53" s="398"/>
      <c r="AI53" s="398"/>
      <c r="AJ53" s="398"/>
      <c r="AK53" s="398"/>
      <c r="AL53" s="398"/>
      <c r="AM53" s="398"/>
      <c r="AN53" s="398"/>
    </row>
    <row r="54" spans="1:40" x14ac:dyDescent="0.15">
      <c r="A54" s="270" t="str">
        <f>'Tariffs Jul2019'!F48</f>
        <v>Powershop</v>
      </c>
      <c r="B54" s="40" t="str">
        <f>'Tariffs Jul2019'!D48</f>
        <v>AGN North</v>
      </c>
      <c r="C54" s="40" t="str">
        <f>'Tariffs Jul2019'!G48</f>
        <v>Shopper with Gas Saver</v>
      </c>
      <c r="D54" s="59">
        <f>365*'Tariffs Jul2019'!H48/100</f>
        <v>298.13200000000001</v>
      </c>
      <c r="E54" s="59">
        <f>((C$5*'Tariffs Jul2019'!AK48/'Tariffs Jul2019'!AI48)*('Tariffs Jul2019'!O48/100))*'Tariffs Jul2019'!AI48</f>
        <v>373.76261999999997</v>
      </c>
      <c r="F54" s="59">
        <v>0</v>
      </c>
      <c r="G54" s="59">
        <v>0</v>
      </c>
      <c r="H54" s="59">
        <v>0</v>
      </c>
      <c r="I54" s="59">
        <v>0</v>
      </c>
      <c r="J54" s="59">
        <f>((C$5*'Tariffs Jul2019'!AL48/'Tariffs Jul2019'!AJ48)*('Tariffs Jul2019'!U48/100))*'Tariffs Jul2019'!AJ48</f>
        <v>747.52523999999994</v>
      </c>
      <c r="K54" s="59">
        <v>0</v>
      </c>
      <c r="L54" s="59">
        <v>0</v>
      </c>
      <c r="M54" s="59">
        <v>0</v>
      </c>
      <c r="N54" s="59">
        <v>0</v>
      </c>
      <c r="O54" s="271">
        <f t="shared" si="0"/>
        <v>1121.2878599999999</v>
      </c>
      <c r="P54" s="413">
        <f t="shared" si="1"/>
        <v>1233.4166459999999</v>
      </c>
      <c r="Q54" s="59">
        <f t="shared" si="2"/>
        <v>1419.41986</v>
      </c>
      <c r="R54" s="272">
        <f t="shared" si="3"/>
        <v>1561.361846</v>
      </c>
      <c r="S54" s="40">
        <f>'Tariffs Jul2019'!AN48</f>
        <v>0</v>
      </c>
      <c r="T54" s="40">
        <f>'Tariffs Jul2019'!AO48</f>
        <v>0</v>
      </c>
      <c r="U54" s="40">
        <f>'Tariffs Jul2019'!AP48</f>
        <v>5</v>
      </c>
      <c r="V54" s="40">
        <f>'Tariffs Jul2019'!AQ48</f>
        <v>0</v>
      </c>
      <c r="W54" s="273">
        <f>R54</f>
        <v>1561.361846</v>
      </c>
      <c r="X54" s="273">
        <f>W54-(W54*U54/100)</f>
        <v>1483.2937537</v>
      </c>
      <c r="Y54" s="272">
        <f>W54</f>
        <v>1561.361846</v>
      </c>
      <c r="Z54" s="272">
        <f>X54</f>
        <v>1483.2937537</v>
      </c>
      <c r="AA54" s="274">
        <f>'Tariffs Jul2019'!AZ48</f>
        <v>0</v>
      </c>
      <c r="AB54" s="274" t="str">
        <f>'Tariffs Jul2019'!BA48</f>
        <v>n</v>
      </c>
      <c r="AC54" s="275" t="str">
        <f>'Tariffs Jul2019'!BJ48</f>
        <v>Y</v>
      </c>
      <c r="AD54" s="398"/>
      <c r="AE54" s="398"/>
      <c r="AF54" s="398"/>
      <c r="AG54" s="398"/>
      <c r="AH54" s="398"/>
      <c r="AI54" s="398"/>
      <c r="AJ54" s="398"/>
      <c r="AK54" s="398"/>
      <c r="AL54" s="398"/>
      <c r="AM54" s="398"/>
      <c r="AN54" s="398"/>
    </row>
    <row r="55" spans="1:40" ht="14" thickBot="1" x14ac:dyDescent="0.2">
      <c r="A55" s="276" t="str">
        <f>'Tariffs Jul2019'!F49</f>
        <v>DC Power Co</v>
      </c>
      <c r="B55" s="277" t="str">
        <f>'Tariffs Jul2019'!D49</f>
        <v>AGN North</v>
      </c>
      <c r="C55" s="277" t="str">
        <f>'Tariffs Jul2019'!G49</f>
        <v>Market offer</v>
      </c>
      <c r="D55" s="278">
        <f>365*'Tariffs Jul2019'!H49/100</f>
        <v>304.97409090909088</v>
      </c>
      <c r="E55" s="278">
        <f>((C$5*'Tariffs Jul2019'!AK49/'Tariffs Jul2019'!AI49)*('Tariffs Jul2019'!O49/100))*'Tariffs Jul2019'!AI49</f>
        <v>381.77999999999992</v>
      </c>
      <c r="F55" s="278">
        <v>0</v>
      </c>
      <c r="G55" s="278">
        <v>0</v>
      </c>
      <c r="H55" s="278">
        <v>0</v>
      </c>
      <c r="I55" s="278">
        <v>0</v>
      </c>
      <c r="J55" s="278">
        <f>((C$5*'Tariffs Jul2019'!AL49/'Tariffs Jul2019'!AJ49)*('Tariffs Jul2019'!U49/100))*'Tariffs Jul2019'!AJ49</f>
        <v>763.55999999999983</v>
      </c>
      <c r="K55" s="278">
        <v>0</v>
      </c>
      <c r="L55" s="278">
        <v>0</v>
      </c>
      <c r="M55" s="278">
        <v>0</v>
      </c>
      <c r="N55" s="278">
        <v>0</v>
      </c>
      <c r="O55" s="279">
        <f>SUM(E55:N55)</f>
        <v>1145.3399999999997</v>
      </c>
      <c r="P55" s="413">
        <f t="shared" si="1"/>
        <v>1259.8739999999998</v>
      </c>
      <c r="Q55" s="278">
        <f>D55+O55</f>
        <v>1450.3140909090905</v>
      </c>
      <c r="R55" s="280">
        <f>Q55*1.1</f>
        <v>1595.3454999999997</v>
      </c>
      <c r="S55" s="277">
        <f>'Tariffs Jul2019'!AN49</f>
        <v>0</v>
      </c>
      <c r="T55" s="277">
        <f>'Tariffs Jul2019'!AO49</f>
        <v>0</v>
      </c>
      <c r="U55" s="277">
        <f>'Tariffs Jul2019'!AP49</f>
        <v>0</v>
      </c>
      <c r="V55" s="277">
        <f>'Tariffs Jul2019'!AQ49</f>
        <v>0</v>
      </c>
      <c r="W55" s="281">
        <f t="shared" si="8"/>
        <v>1450.3140909090905</v>
      </c>
      <c r="X55" s="281">
        <f>W55</f>
        <v>1450.3140909090905</v>
      </c>
      <c r="Y55" s="280">
        <f>W55*1.1</f>
        <v>1595.3454999999997</v>
      </c>
      <c r="Z55" s="280">
        <f>X55*1.1</f>
        <v>1595.3454999999997</v>
      </c>
      <c r="AA55" s="282">
        <f>'Tariffs Jul2019'!AZ49</f>
        <v>0</v>
      </c>
      <c r="AB55" s="282" t="str">
        <f>'Tariffs Jul2019'!BA49</f>
        <v>n</v>
      </c>
      <c r="AC55" s="283" t="str">
        <f>'Tariffs Jul2019'!BJ49</f>
        <v>Y</v>
      </c>
      <c r="AD55" s="398"/>
      <c r="AE55" s="398"/>
      <c r="AF55" s="398"/>
      <c r="AG55" s="398"/>
      <c r="AH55" s="398"/>
      <c r="AI55" s="398"/>
      <c r="AJ55" s="398"/>
      <c r="AK55" s="398"/>
      <c r="AL55" s="398"/>
      <c r="AM55" s="398"/>
      <c r="AN55" s="398"/>
    </row>
    <row r="56" spans="1:40" ht="14" thickTop="1" x14ac:dyDescent="0.15">
      <c r="A56" s="270" t="str">
        <f>'Tariffs Jul2019'!F50</f>
        <v>AGL</v>
      </c>
      <c r="B56" s="40" t="str">
        <f>'Tariffs Jul2019'!D50</f>
        <v>AGN Central 2</v>
      </c>
      <c r="C56" s="40" t="str">
        <f>'Tariffs Jul2019'!G50</f>
        <v>Essentials</v>
      </c>
      <c r="D56" s="59">
        <f>365*'Tariffs Jul2019'!H50/100</f>
        <v>271.19499999999999</v>
      </c>
      <c r="E56" s="59">
        <f>IF($C$5*'Tariffs Jul2019'!AK50/'Tariffs Jul2019'!AI50&gt;='Tariffs Jul2019'!J50,( 'Tariffs Jul2019'!J50*'Tariffs Jul2019'!O50/100)* 'Tariffs Jul2019'!AI50,($C$5*'Tariffs Jul2019'!AK50/'Tariffs Jul2019'!AI50*'Tariffs Jul2019'!O50/100)* 'Tariffs Jul2019'!AI50)</f>
        <v>72.978181818181795</v>
      </c>
      <c r="F56" s="59">
        <f>IF($C$5*'Tariffs Jul2019'!AK50/'Tariffs Jul2019'!AI50&lt;'Tariffs Jul2019'!J50,0,IF($C$5*'Tariffs Jul2019'!AK50/'Tariffs Jul2019'!AI50&lt;='Tariffs Jul2019'!K50,($C$5*'Tariffs Jul2019'!AK50/'Tariffs Jul2019'!AI50-'Tariffs Jul2019'!J50)*('Tariffs Jul2019'!P50/100)*'Tariffs Jul2019'!AI50,('Tariffs Jul2019'!K50-'Tariffs Jul2019'!J50)*('Tariffs Jul2019'!P50/100)*'Tariffs Jul2019'!AI50))</f>
        <v>58.880909090909093</v>
      </c>
      <c r="G56" s="59">
        <f>IF($C$5*'Tariffs Jul2019'!AK50/'Tariffs Jul2019'!AI50&lt;'Tariffs Jul2019'!K50,0,IF($C$5*'Tariffs Jul2019'!AK50/'Tariffs Jul2019'!AI50&lt;='Tariffs Jul2019'!L50,($C$5*'Tariffs Jul2019'!AK50/'Tariffs Jul2019'!AI50-'Tariffs Jul2019'!K50)*('Tariffs Jul2019'!Q50/100)*'Tariffs Jul2019'!AI50,('Tariffs Jul2019'!L50-'Tariffs Jul2019'!K50)*('Tariffs Jul2019'!Q50/100)*'Tariffs Jul2019'!AI50))</f>
        <v>0</v>
      </c>
      <c r="H56" s="59">
        <f>IF($C$5*'Tariffs Jul2019'!AK50/'Tariffs Jul2019'!AI50&lt;'Tariffs Jul2019'!L50,0,IF($C$5*'Tariffs Jul2019'!AK50/'Tariffs Jul2019'!AI50&lt;='Tariffs Jul2019'!M50,($C$5*'Tariffs Jul2019'!AK50/'Tariffs Jul2019'!AI50-'Tariffs Jul2019'!L50)*('Tariffs Jul2019'!R50/100)*'Tariffs Jul2019'!AI50,('Tariffs Jul2019'!M50-'Tariffs Jul2019'!L50)*('Tariffs Jul2019'!R50/100)*'Tariffs Jul2019'!AI50))</f>
        <v>0</v>
      </c>
      <c r="I56" s="59">
        <f>IF(($C$5*'Tariffs Jul2019'!AK50/'Tariffs Jul2019'!AI50&gt;'Tariffs Jul2019'!M50),($C$5*'Tariffs Jul2019'!AK50/'Tariffs Jul2019'!AI50-'Tariffs Jul2019'!M50)*'Tariffs Jul2019'!S50/100*'Tariffs Jul2019'!AI50,0)</f>
        <v>220.87816363636361</v>
      </c>
      <c r="J56" s="59">
        <f>IF($C$5*'Tariffs Jul2019'!AL50/'Tariffs Jul2019'!AJ50&gt;='Tariffs Jul2019'!J50,('Tariffs Jul2019'!J50*'Tariffs Jul2019'!U50/100)* 'Tariffs Jul2019'!AJ50,($C$5*'Tariffs Jul2019'!AL50/'Tariffs Jul2019'!AJ50*'Tariffs Jul2019'!U50/100)* 'Tariffs Jul2019'!AJ50)</f>
        <v>145.95636363636359</v>
      </c>
      <c r="K56" s="59">
        <f>IF($C$5*'Tariffs Jul2019'!AL50/'Tariffs Jul2019'!AJ50&lt;'Tariffs Jul2019'!J50,0,IF($C$5*'Tariffs Jul2019'!AL50/'Tariffs Jul2019'!AJ50&lt;='Tariffs Jul2019'!K50,($C$5*'Tariffs Jul2019'!AL50/'Tariffs Jul2019'!AJ50-'Tariffs Jul2019'!J50)*('Tariffs Jul2019'!V50/100)*'Tariffs Jul2019'!AJ50,('Tariffs Jul2019'!K50-'Tariffs Jul2019'!J50)*('Tariffs Jul2019'!V50/100)*'Tariffs Jul2019'!AJ50))</f>
        <v>117.76181818181819</v>
      </c>
      <c r="L56" s="59">
        <f>IF($C$5*'Tariffs Jul2019'!AL50/'Tariffs Jul2019'!AJ50&lt;'Tariffs Jul2019'!K50,0,IF($C$5*'Tariffs Jul2019'!AL50/'Tariffs Jul2019'!AJ50&lt;='Tariffs Jul2019'!L50,($C$5*'Tariffs Jul2019'!AL50/'Tariffs Jul2019'!AJ50-'Tariffs Jul2019'!K50)*('Tariffs Jul2019'!W50/100)*'Tariffs Jul2019'!AJ50,('Tariffs Jul2019'!L50-'Tariffs Jul2019'!K50)*('Tariffs Jul2019'!W50/100)*'Tariffs Jul2019'!AJ50))</f>
        <v>0</v>
      </c>
      <c r="M56" s="59">
        <f>IF($C$5*'Tariffs Jul2019'!AL50/'Tariffs Jul2019'!AJ50&lt;'Tariffs Jul2019'!L50,0,IF($C$5*'Tariffs Jul2019'!AL50/'Tariffs Jul2019'!AJ50&lt;='Tariffs Jul2019'!M50,($C$5*'Tariffs Jul2019'!AL50/'Tariffs Jul2019'!AJ50-'Tariffs Jul2019'!L50)*('Tariffs Jul2019'!X50/100)*'Tariffs Jul2019'!AJ50,('Tariffs Jul2019'!M50-'Tariffs Jul2019'!L50)*('Tariffs Jul2019'!X50/100)*'Tariffs Jul2019'!AJ50))</f>
        <v>0</v>
      </c>
      <c r="N56" s="59">
        <f>IF(($C$5*'Tariffs Jul2019'!AL50/'Tariffs Jul2019'!AJ50&gt;'Tariffs Jul2019'!M50),($C$5*'Tariffs Jul2019'!AL50/'Tariffs Jul2019'!AJ50-'Tariffs Jul2019'!M50)*'Tariffs Jul2019'!Y50/100*'Tariffs Jul2019'!AJ50,0)</f>
        <v>441.75632727272722</v>
      </c>
      <c r="O56" s="271">
        <f t="shared" si="0"/>
        <v>1058.2117636363635</v>
      </c>
      <c r="P56" s="413">
        <f t="shared" si="1"/>
        <v>1164.0329399999998</v>
      </c>
      <c r="Q56" s="59">
        <f t="shared" si="2"/>
        <v>1329.4067636363634</v>
      </c>
      <c r="R56" s="272">
        <f t="shared" si="3"/>
        <v>1462.3474399999998</v>
      </c>
      <c r="S56" s="40">
        <f>'Tariffs Jul2019'!AN50</f>
        <v>0</v>
      </c>
      <c r="T56" s="40">
        <f>'Tariffs Jul2019'!AO50</f>
        <v>0</v>
      </c>
      <c r="U56" s="40">
        <f>'Tariffs Jul2019'!AP50</f>
        <v>0</v>
      </c>
      <c r="V56" s="40">
        <f>'Tariffs Jul2019'!AQ50</f>
        <v>0</v>
      </c>
      <c r="W56" s="273">
        <f>Q56</f>
        <v>1329.4067636363634</v>
      </c>
      <c r="X56" s="273">
        <f>W56</f>
        <v>1329.4067636363634</v>
      </c>
      <c r="Y56" s="272">
        <f t="shared" si="4"/>
        <v>1462.3474399999998</v>
      </c>
      <c r="Z56" s="272">
        <f t="shared" si="4"/>
        <v>1462.3474399999998</v>
      </c>
      <c r="AA56" s="274">
        <f>'Tariffs Jul2019'!AZ50</f>
        <v>0</v>
      </c>
      <c r="AB56" s="274" t="str">
        <f>'Tariffs Jul2019'!BA50</f>
        <v>n</v>
      </c>
      <c r="AC56" s="275" t="str">
        <f>'Tariffs Jul2019'!BJ50</f>
        <v>N</v>
      </c>
      <c r="AD56" s="398"/>
      <c r="AE56" s="398"/>
      <c r="AF56" s="398"/>
      <c r="AG56" s="398"/>
      <c r="AH56" s="398"/>
      <c r="AI56" s="398"/>
      <c r="AJ56" s="398"/>
      <c r="AK56" s="398"/>
      <c r="AL56" s="398"/>
      <c r="AM56" s="398"/>
      <c r="AN56" s="398"/>
    </row>
    <row r="57" spans="1:40" x14ac:dyDescent="0.15">
      <c r="A57" s="270" t="str">
        <f>'Tariffs Jul2019'!F51</f>
        <v>Alinta Energy</v>
      </c>
      <c r="B57" s="40" t="str">
        <f>'Tariffs Jul2019'!D51</f>
        <v>AGN Central 2</v>
      </c>
      <c r="C57" s="40" t="str">
        <f>'Tariffs Jul2019'!G51</f>
        <v>Real Deal</v>
      </c>
      <c r="D57" s="59">
        <f>365*'Tariffs Jul2019'!H51/100</f>
        <v>273.75</v>
      </c>
      <c r="E57" s="59">
        <f>IF($C$5*'Tariffs Jul2019'!AK51/'Tariffs Jul2019'!AI51&gt;='Tariffs Jul2019'!J51,( 'Tariffs Jul2019'!J51*'Tariffs Jul2019'!O51/100)* 'Tariffs Jul2019'!AI51,($C$5*'Tariffs Jul2019'!AK51/'Tariffs Jul2019'!AI51*'Tariffs Jul2019'!O51/100)* 'Tariffs Jul2019'!AI51)</f>
        <v>77.763636363636351</v>
      </c>
      <c r="F57" s="59">
        <f>IF($C$5*'Tariffs Jul2019'!AK51/'Tariffs Jul2019'!AI51&lt;'Tariffs Jul2019'!J51,0,IF($C$5*'Tariffs Jul2019'!AK51/'Tariffs Jul2019'!AI51&lt;='Tariffs Jul2019'!K51,($C$5*'Tariffs Jul2019'!AK51/'Tariffs Jul2019'!AI51-'Tariffs Jul2019'!J51)*('Tariffs Jul2019'!P51/100)*'Tariffs Jul2019'!AI51,('Tariffs Jul2019'!K51-'Tariffs Jul2019'!J51)*('Tariffs Jul2019'!P51/100)*'Tariffs Jul2019'!AI51))</f>
        <v>64.054545454545448</v>
      </c>
      <c r="G57" s="59">
        <f>IF($C$5*'Tariffs Jul2019'!AK51/'Tariffs Jul2019'!AI51&lt;'Tariffs Jul2019'!K51,0,IF($C$5*'Tariffs Jul2019'!AK51/'Tariffs Jul2019'!AI51&lt;='Tariffs Jul2019'!L51,($C$5*'Tariffs Jul2019'!AK51/'Tariffs Jul2019'!AI51-'Tariffs Jul2019'!K51)*('Tariffs Jul2019'!Q51/100)*'Tariffs Jul2019'!AI51,('Tariffs Jul2019'!L51-'Tariffs Jul2019'!K51)*('Tariffs Jul2019'!Q51/100)*'Tariffs Jul2019'!AI51))</f>
        <v>0</v>
      </c>
      <c r="H57" s="59">
        <f>IF($C$5*'Tariffs Jul2019'!AK51/'Tariffs Jul2019'!AI51&lt;'Tariffs Jul2019'!L51,0,IF($C$5*'Tariffs Jul2019'!AK51/'Tariffs Jul2019'!AI51&lt;='Tariffs Jul2019'!M51,($C$5*'Tariffs Jul2019'!AK51/'Tariffs Jul2019'!AI51-'Tariffs Jul2019'!L51)*('Tariffs Jul2019'!R51/100)*'Tariffs Jul2019'!AI51,('Tariffs Jul2019'!M51-'Tariffs Jul2019'!L51)*('Tariffs Jul2019'!R51/100)*'Tariffs Jul2019'!AI51))</f>
        <v>0</v>
      </c>
      <c r="I57" s="59">
        <f>IF(($C$5*'Tariffs Jul2019'!AK51/'Tariffs Jul2019'!AI51&gt;'Tariffs Jul2019'!M51),($C$5*'Tariffs Jul2019'!AK51/'Tariffs Jul2019'!AI51-'Tariffs Jul2019'!M51)*'Tariffs Jul2019'!S51/100*'Tariffs Jul2019'!AI51,0)</f>
        <v>286.32354545454541</v>
      </c>
      <c r="J57" s="59">
        <f>IF($C$5*'Tariffs Jul2019'!AL51/'Tariffs Jul2019'!AJ51&gt;='Tariffs Jul2019'!J51,('Tariffs Jul2019'!J51*'Tariffs Jul2019'!U51/100)* 'Tariffs Jul2019'!AJ51,($C$5*'Tariffs Jul2019'!AL51/'Tariffs Jul2019'!AJ51*'Tariffs Jul2019'!U51/100)* 'Tariffs Jul2019'!AJ51)</f>
        <v>155.5272727272727</v>
      </c>
      <c r="K57" s="59">
        <f>IF($C$5*'Tariffs Jul2019'!AL51/'Tariffs Jul2019'!AJ51&lt;'Tariffs Jul2019'!J51,0,IF($C$5*'Tariffs Jul2019'!AL51/'Tariffs Jul2019'!AJ51&lt;='Tariffs Jul2019'!K51,($C$5*'Tariffs Jul2019'!AL51/'Tariffs Jul2019'!AJ51-'Tariffs Jul2019'!J51)*('Tariffs Jul2019'!V51/100)*'Tariffs Jul2019'!AJ51,('Tariffs Jul2019'!K51-'Tariffs Jul2019'!J51)*('Tariffs Jul2019'!V51/100)*'Tariffs Jul2019'!AJ51))</f>
        <v>128.1090909090909</v>
      </c>
      <c r="L57" s="59">
        <f>IF($C$5*'Tariffs Jul2019'!AL51/'Tariffs Jul2019'!AJ51&lt;'Tariffs Jul2019'!K51,0,IF($C$5*'Tariffs Jul2019'!AL51/'Tariffs Jul2019'!AJ51&lt;='Tariffs Jul2019'!L51,($C$5*'Tariffs Jul2019'!AL51/'Tariffs Jul2019'!AJ51-'Tariffs Jul2019'!K51)*('Tariffs Jul2019'!W51/100)*'Tariffs Jul2019'!AJ51,('Tariffs Jul2019'!L51-'Tariffs Jul2019'!K51)*('Tariffs Jul2019'!W51/100)*'Tariffs Jul2019'!AJ51))</f>
        <v>0</v>
      </c>
      <c r="M57" s="59">
        <f>IF($C$5*'Tariffs Jul2019'!AL51/'Tariffs Jul2019'!AJ51&lt;'Tariffs Jul2019'!L51,0,IF($C$5*'Tariffs Jul2019'!AL51/'Tariffs Jul2019'!AJ51&lt;='Tariffs Jul2019'!M51,($C$5*'Tariffs Jul2019'!AL51/'Tariffs Jul2019'!AJ51-'Tariffs Jul2019'!L51)*('Tariffs Jul2019'!X51/100)*'Tariffs Jul2019'!AJ51,('Tariffs Jul2019'!M51-'Tariffs Jul2019'!L51)*('Tariffs Jul2019'!X51/100)*'Tariffs Jul2019'!AJ51))</f>
        <v>0</v>
      </c>
      <c r="N57" s="59">
        <f>IF(($C$5*'Tariffs Jul2019'!AL51/'Tariffs Jul2019'!AJ51&gt;'Tariffs Jul2019'!M51),($C$5*'Tariffs Jul2019'!AL51/'Tariffs Jul2019'!AJ51-'Tariffs Jul2019'!M51)*'Tariffs Jul2019'!Y51/100*'Tariffs Jul2019'!AJ51,0)</f>
        <v>572.64709090909082</v>
      </c>
      <c r="O57" s="271">
        <f t="shared" si="0"/>
        <v>1284.4251818181815</v>
      </c>
      <c r="P57" s="413">
        <f t="shared" si="1"/>
        <v>1412.8676999999998</v>
      </c>
      <c r="Q57" s="59">
        <f t="shared" si="2"/>
        <v>1558.1751818181815</v>
      </c>
      <c r="R57" s="272">
        <f t="shared" si="3"/>
        <v>1713.9926999999998</v>
      </c>
      <c r="S57" s="40">
        <f>'Tariffs Jul2019'!AN51</f>
        <v>0</v>
      </c>
      <c r="T57" s="40">
        <f>'Tariffs Jul2019'!AO51</f>
        <v>0</v>
      </c>
      <c r="U57" s="40">
        <f>'Tariffs Jul2019'!AP51</f>
        <v>0</v>
      </c>
      <c r="V57" s="40">
        <f>'Tariffs Jul2019'!AQ51</f>
        <v>0</v>
      </c>
      <c r="W57" s="273">
        <f>Q57</f>
        <v>1558.1751818181815</v>
      </c>
      <c r="X57" s="273">
        <f>W57</f>
        <v>1558.1751818181815</v>
      </c>
      <c r="Y57" s="272">
        <f t="shared" si="4"/>
        <v>1713.9926999999998</v>
      </c>
      <c r="Z57" s="272">
        <f t="shared" si="4"/>
        <v>1713.9926999999998</v>
      </c>
      <c r="AA57" s="274">
        <f>'Tariffs Jul2019'!AZ51</f>
        <v>0</v>
      </c>
      <c r="AB57" s="274" t="str">
        <f>'Tariffs Jul2019'!BA51</f>
        <v>n</v>
      </c>
      <c r="AC57" s="275" t="str">
        <f>'Tariffs Jul2019'!BJ51</f>
        <v>Y</v>
      </c>
      <c r="AD57" s="398"/>
      <c r="AE57" s="398"/>
      <c r="AF57" s="398"/>
      <c r="AG57" s="398"/>
      <c r="AH57" s="398"/>
      <c r="AI57" s="398"/>
      <c r="AJ57" s="398"/>
      <c r="AK57" s="398"/>
      <c r="AL57" s="398"/>
      <c r="AM57" s="398"/>
      <c r="AN57" s="398"/>
    </row>
    <row r="58" spans="1:40" x14ac:dyDescent="0.15">
      <c r="A58" s="270" t="str">
        <f>'Tariffs Jul2019'!F52</f>
        <v>Click Energy</v>
      </c>
      <c r="B58" s="40" t="str">
        <f>'Tariffs Jul2019'!D52</f>
        <v>AGN Central 2</v>
      </c>
      <c r="C58" s="40" t="str">
        <f>'Tariffs Jul2019'!G52</f>
        <v>Banksia</v>
      </c>
      <c r="D58" s="59">
        <f>365*'Tariffs Jul2019'!H52/100</f>
        <v>216.61090909090908</v>
      </c>
      <c r="E58" s="59">
        <f>IF($C$5*'Tariffs Jul2019'!AK52/'Tariffs Jul2019'!AI52&gt;='Tariffs Jul2019'!J52,( 'Tariffs Jul2019'!J52*'Tariffs Jul2019'!O52/100)* 'Tariffs Jul2019'!AI52,($C$5*'Tariffs Jul2019'!AK52/'Tariffs Jul2019'!AI52*'Tariffs Jul2019'!O52/100)* 'Tariffs Jul2019'!AI52)</f>
        <v>91.222727272727255</v>
      </c>
      <c r="F58" s="59">
        <f>IF($C$5*'Tariffs Jul2019'!AK52/'Tariffs Jul2019'!AI52&lt;'Tariffs Jul2019'!J52,0,IF($C$5*'Tariffs Jul2019'!AK52/'Tariffs Jul2019'!AI52&lt;='Tariffs Jul2019'!K52,($C$5*'Tariffs Jul2019'!AK52/'Tariffs Jul2019'!AI52-'Tariffs Jul2019'!J52)*('Tariffs Jul2019'!P52/100)*'Tariffs Jul2019'!AI52,('Tariffs Jul2019'!K52-'Tariffs Jul2019'!J52)*('Tariffs Jul2019'!P52/100)*'Tariffs Jul2019'!AI52))</f>
        <v>64.054545454545448</v>
      </c>
      <c r="G58" s="59">
        <f>IF($C$5*'Tariffs Jul2019'!AK52/'Tariffs Jul2019'!AI52&lt;'Tariffs Jul2019'!K52,0,IF($C$5*'Tariffs Jul2019'!AK52/'Tariffs Jul2019'!AI52&lt;='Tariffs Jul2019'!L52,($C$5*'Tariffs Jul2019'!AK52/'Tariffs Jul2019'!AI52-'Tariffs Jul2019'!K52)*('Tariffs Jul2019'!Q52/100)*'Tariffs Jul2019'!AI52,('Tariffs Jul2019'!L52-'Tariffs Jul2019'!K52)*('Tariffs Jul2019'!Q52/100)*'Tariffs Jul2019'!AI52))</f>
        <v>0</v>
      </c>
      <c r="H58" s="59">
        <f>IF($C$5*'Tariffs Jul2019'!AK52/'Tariffs Jul2019'!AI52&lt;'Tariffs Jul2019'!L52,0,IF($C$5*'Tariffs Jul2019'!AK52/'Tariffs Jul2019'!AI52&lt;='Tariffs Jul2019'!M52,($C$5*'Tariffs Jul2019'!AK52/'Tariffs Jul2019'!AI52-'Tariffs Jul2019'!L52)*('Tariffs Jul2019'!R52/100)*'Tariffs Jul2019'!AI52,('Tariffs Jul2019'!M52-'Tariffs Jul2019'!L52)*('Tariffs Jul2019'!R52/100)*'Tariffs Jul2019'!AI52))</f>
        <v>0</v>
      </c>
      <c r="I58" s="59">
        <f>IF(($C$5*'Tariffs Jul2019'!AK52/'Tariffs Jul2019'!AI52&gt;'Tariffs Jul2019'!M52),($C$5*'Tariffs Jul2019'!AK52/'Tariffs Jul2019'!AI52-'Tariffs Jul2019'!M52)*'Tariffs Jul2019'!S52/100*'Tariffs Jul2019'!AI52,0)</f>
        <v>305.41178181818179</v>
      </c>
      <c r="J58" s="59">
        <f>IF($C$5*'Tariffs Jul2019'!AL52/'Tariffs Jul2019'!AJ52&gt;='Tariffs Jul2019'!J52,('Tariffs Jul2019'!J52*'Tariffs Jul2019'!U52/100)* 'Tariffs Jul2019'!AJ52,($C$5*'Tariffs Jul2019'!AL52/'Tariffs Jul2019'!AJ52*'Tariffs Jul2019'!U52/100)* 'Tariffs Jul2019'!AJ52)</f>
        <v>182.44545454545451</v>
      </c>
      <c r="K58" s="59">
        <f>IF($C$5*'Tariffs Jul2019'!AL52/'Tariffs Jul2019'!AJ52&lt;'Tariffs Jul2019'!J52,0,IF($C$5*'Tariffs Jul2019'!AL52/'Tariffs Jul2019'!AJ52&lt;='Tariffs Jul2019'!K52,($C$5*'Tariffs Jul2019'!AL52/'Tariffs Jul2019'!AJ52-'Tariffs Jul2019'!J52)*('Tariffs Jul2019'!V52/100)*'Tariffs Jul2019'!AJ52,('Tariffs Jul2019'!K52-'Tariffs Jul2019'!J52)*('Tariffs Jul2019'!V52/100)*'Tariffs Jul2019'!AJ52))</f>
        <v>128.1090909090909</v>
      </c>
      <c r="L58" s="59">
        <f>IF($C$5*'Tariffs Jul2019'!AL52/'Tariffs Jul2019'!AJ52&lt;'Tariffs Jul2019'!K52,0,IF($C$5*'Tariffs Jul2019'!AL52/'Tariffs Jul2019'!AJ52&lt;='Tariffs Jul2019'!L52,($C$5*'Tariffs Jul2019'!AL52/'Tariffs Jul2019'!AJ52-'Tariffs Jul2019'!K52)*('Tariffs Jul2019'!W52/100)*'Tariffs Jul2019'!AJ52,('Tariffs Jul2019'!L52-'Tariffs Jul2019'!K52)*('Tariffs Jul2019'!W52/100)*'Tariffs Jul2019'!AJ52))</f>
        <v>0</v>
      </c>
      <c r="M58" s="59">
        <f>IF($C$5*'Tariffs Jul2019'!AL52/'Tariffs Jul2019'!AJ52&lt;'Tariffs Jul2019'!L52,0,IF($C$5*'Tariffs Jul2019'!AL52/'Tariffs Jul2019'!AJ52&lt;='Tariffs Jul2019'!M52,($C$5*'Tariffs Jul2019'!AL52/'Tariffs Jul2019'!AJ52-'Tariffs Jul2019'!L52)*('Tariffs Jul2019'!X52/100)*'Tariffs Jul2019'!AJ52,('Tariffs Jul2019'!M52-'Tariffs Jul2019'!L52)*('Tariffs Jul2019'!X52/100)*'Tariffs Jul2019'!AJ52))</f>
        <v>0</v>
      </c>
      <c r="N58" s="59">
        <f>IF(($C$5*'Tariffs Jul2019'!AL52/'Tariffs Jul2019'!AJ52&gt;'Tariffs Jul2019'!M52),($C$5*'Tariffs Jul2019'!AL52/'Tariffs Jul2019'!AJ52-'Tariffs Jul2019'!M52)*'Tariffs Jul2019'!Y52/100*'Tariffs Jul2019'!AJ52,0)</f>
        <v>610.82356363636359</v>
      </c>
      <c r="O58" s="271">
        <f t="shared" si="0"/>
        <v>1382.0671636363636</v>
      </c>
      <c r="P58" s="413">
        <f t="shared" si="1"/>
        <v>1520.2738800000002</v>
      </c>
      <c r="Q58" s="59">
        <f t="shared" si="2"/>
        <v>1598.6780727272726</v>
      </c>
      <c r="R58" s="272">
        <f t="shared" si="3"/>
        <v>1758.5458799999999</v>
      </c>
      <c r="S58" s="40">
        <f>'Tariffs Jul2019'!AN52</f>
        <v>0</v>
      </c>
      <c r="T58" s="40">
        <f>'Tariffs Jul2019'!AO52</f>
        <v>0</v>
      </c>
      <c r="U58" s="40">
        <f>'Tariffs Jul2019'!AP52</f>
        <v>0</v>
      </c>
      <c r="V58" s="40">
        <f>'Tariffs Jul2019'!AQ52</f>
        <v>0</v>
      </c>
      <c r="W58" s="273">
        <f>Q58</f>
        <v>1598.6780727272726</v>
      </c>
      <c r="X58" s="273">
        <f>W58</f>
        <v>1598.6780727272726</v>
      </c>
      <c r="Y58" s="272">
        <f t="shared" si="4"/>
        <v>1758.5458799999999</v>
      </c>
      <c r="Z58" s="272">
        <f t="shared" si="4"/>
        <v>1758.5458799999999</v>
      </c>
      <c r="AA58" s="274">
        <f>'Tariffs Jul2019'!AZ52</f>
        <v>0</v>
      </c>
      <c r="AB58" s="274" t="str">
        <f>'Tariffs Jul2019'!BA52</f>
        <v>n</v>
      </c>
      <c r="AC58" s="275" t="str">
        <f>'Tariffs Jul2019'!BJ52</f>
        <v>N</v>
      </c>
      <c r="AD58" s="398"/>
      <c r="AE58" s="398"/>
      <c r="AF58" s="398"/>
      <c r="AG58" s="398"/>
      <c r="AH58" s="398"/>
      <c r="AI58" s="398"/>
      <c r="AJ58" s="398"/>
      <c r="AK58" s="398"/>
      <c r="AL58" s="398"/>
      <c r="AM58" s="398"/>
      <c r="AN58" s="398"/>
    </row>
    <row r="59" spans="1:40" x14ac:dyDescent="0.15">
      <c r="A59" s="270" t="str">
        <f>'Tariffs Jul2019'!F53</f>
        <v>Covau</v>
      </c>
      <c r="B59" s="40" t="str">
        <f>'Tariffs Jul2019'!D53</f>
        <v>AGN Central 2</v>
      </c>
      <c r="C59" s="40" t="str">
        <f>'Tariffs Jul2019'!G53</f>
        <v>Smart Saver</v>
      </c>
      <c r="D59" s="59">
        <f>365*'Tariffs Jul2019'!H53/100</f>
        <v>273.75</v>
      </c>
      <c r="E59" s="59">
        <f>IF($C$5*'Tariffs Jul2019'!AK53/'Tariffs Jul2019'!AI53&gt;='Tariffs Jul2019'!J53,( 'Tariffs Jul2019'!J53*'Tariffs Jul2019'!O53/100)* 'Tariffs Jul2019'!AI53,($C$5*'Tariffs Jul2019'!AK53/'Tariffs Jul2019'!AI53*'Tariffs Jul2019'!O53/100)* 'Tariffs Jul2019'!AI53)</f>
        <v>104.29299999999999</v>
      </c>
      <c r="F59" s="59">
        <f>IF($C$5*'Tariffs Jul2019'!AK53/'Tariffs Jul2019'!AI53&lt;'Tariffs Jul2019'!J53,0,IF($C$5*'Tariffs Jul2019'!AK53/'Tariffs Jul2019'!AI53&lt;='Tariffs Jul2019'!K53,($C$5*'Tariffs Jul2019'!AK53/'Tariffs Jul2019'!AI53-'Tariffs Jul2019'!J53)*('Tariffs Jul2019'!P53/100)*'Tariffs Jul2019'!AI53,('Tariffs Jul2019'!K53-'Tariffs Jul2019'!J53)*('Tariffs Jul2019'!P53/100)*'Tariffs Jul2019'!AI53))</f>
        <v>67.75</v>
      </c>
      <c r="G59" s="59">
        <f>IF($C$5*'Tariffs Jul2019'!AK53/'Tariffs Jul2019'!AI53&lt;'Tariffs Jul2019'!K53,0,IF($C$5*'Tariffs Jul2019'!AK53/'Tariffs Jul2019'!AI53&lt;='Tariffs Jul2019'!L53,($C$5*'Tariffs Jul2019'!AK53/'Tariffs Jul2019'!AI53-'Tariffs Jul2019'!K53)*('Tariffs Jul2019'!Q53/100)*'Tariffs Jul2019'!AI53,('Tariffs Jul2019'!L53-'Tariffs Jul2019'!K53)*('Tariffs Jul2019'!Q53/100)*'Tariffs Jul2019'!AI53))</f>
        <v>0</v>
      </c>
      <c r="H59" s="59">
        <f>IF($C$5*'Tariffs Jul2019'!AK53/'Tariffs Jul2019'!AI53&lt;'Tariffs Jul2019'!L53,0,IF($C$5*'Tariffs Jul2019'!AK53/'Tariffs Jul2019'!AI53&lt;='Tariffs Jul2019'!M53,($C$5*'Tariffs Jul2019'!AK53/'Tariffs Jul2019'!AI53-'Tariffs Jul2019'!L53)*('Tariffs Jul2019'!R53/100)*'Tariffs Jul2019'!AI53,('Tariffs Jul2019'!M53-'Tariffs Jul2019'!L53)*('Tariffs Jul2019'!R53/100)*'Tariffs Jul2019'!AI53))</f>
        <v>0</v>
      </c>
      <c r="I59" s="59">
        <f>IF(($C$5*'Tariffs Jul2019'!AK53/'Tariffs Jul2019'!AI53&gt;'Tariffs Jul2019'!M53),($C$5*'Tariffs Jul2019'!AK53/'Tariffs Jul2019'!AI53-'Tariffs Jul2019'!M53)*'Tariffs Jul2019'!S53/100*'Tariffs Jul2019'!AI53,0)</f>
        <v>337.45274999999992</v>
      </c>
      <c r="J59" s="59">
        <f>IF($C$5*'Tariffs Jul2019'!AL53/'Tariffs Jul2019'!AJ53&gt;='Tariffs Jul2019'!J53,('Tariffs Jul2019'!J53*'Tariffs Jul2019'!U53/100)* 'Tariffs Jul2019'!AJ53,($C$5*'Tariffs Jul2019'!AL53/'Tariffs Jul2019'!AJ53*'Tariffs Jul2019'!U53/100)* 'Tariffs Jul2019'!AJ53)</f>
        <v>208.58599999999998</v>
      </c>
      <c r="K59" s="59">
        <f>IF($C$5*'Tariffs Jul2019'!AL53/'Tariffs Jul2019'!AJ53&lt;'Tariffs Jul2019'!J53,0,IF($C$5*'Tariffs Jul2019'!AL53/'Tariffs Jul2019'!AJ53&lt;='Tariffs Jul2019'!K53,($C$5*'Tariffs Jul2019'!AL53/'Tariffs Jul2019'!AJ53-'Tariffs Jul2019'!J53)*('Tariffs Jul2019'!V53/100)*'Tariffs Jul2019'!AJ53,('Tariffs Jul2019'!K53-'Tariffs Jul2019'!J53)*('Tariffs Jul2019'!V53/100)*'Tariffs Jul2019'!AJ53))</f>
        <v>135.5</v>
      </c>
      <c r="L59" s="59">
        <f>IF($C$5*'Tariffs Jul2019'!AL53/'Tariffs Jul2019'!AJ53&lt;'Tariffs Jul2019'!K53,0,IF($C$5*'Tariffs Jul2019'!AL53/'Tariffs Jul2019'!AJ53&lt;='Tariffs Jul2019'!L53,($C$5*'Tariffs Jul2019'!AL53/'Tariffs Jul2019'!AJ53-'Tariffs Jul2019'!K53)*('Tariffs Jul2019'!W53/100)*'Tariffs Jul2019'!AJ53,('Tariffs Jul2019'!L53-'Tariffs Jul2019'!K53)*('Tariffs Jul2019'!W53/100)*'Tariffs Jul2019'!AJ53))</f>
        <v>0</v>
      </c>
      <c r="M59" s="59">
        <f>IF($C$5*'Tariffs Jul2019'!AL53/'Tariffs Jul2019'!AJ53&lt;'Tariffs Jul2019'!L53,0,IF($C$5*'Tariffs Jul2019'!AL53/'Tariffs Jul2019'!AJ53&lt;='Tariffs Jul2019'!M53,($C$5*'Tariffs Jul2019'!AL53/'Tariffs Jul2019'!AJ53-'Tariffs Jul2019'!L53)*('Tariffs Jul2019'!X53/100)*'Tariffs Jul2019'!AJ53,('Tariffs Jul2019'!M53-'Tariffs Jul2019'!L53)*('Tariffs Jul2019'!X53/100)*'Tariffs Jul2019'!AJ53))</f>
        <v>0</v>
      </c>
      <c r="N59" s="59">
        <f>IF(($C$5*'Tariffs Jul2019'!AL53/'Tariffs Jul2019'!AJ53&gt;'Tariffs Jul2019'!M53),($C$5*'Tariffs Jul2019'!AL53/'Tariffs Jul2019'!AJ53-'Tariffs Jul2019'!M53)*'Tariffs Jul2019'!Y53/100*'Tariffs Jul2019'!AJ53,0)</f>
        <v>674.90549999999985</v>
      </c>
      <c r="O59" s="271">
        <f t="shared" si="0"/>
        <v>1528.4872499999997</v>
      </c>
      <c r="P59" s="413">
        <f t="shared" si="1"/>
        <v>1681.3359749999997</v>
      </c>
      <c r="Q59" s="59">
        <f t="shared" si="2"/>
        <v>1802.2372499999997</v>
      </c>
      <c r="R59" s="272">
        <f t="shared" si="3"/>
        <v>1982.4609749999997</v>
      </c>
      <c r="S59" s="40">
        <f>'Tariffs Jul2019'!AN53</f>
        <v>0</v>
      </c>
      <c r="T59" s="40">
        <f>'Tariffs Jul2019'!AO53</f>
        <v>0</v>
      </c>
      <c r="U59" s="40">
        <f>'Tariffs Jul2019'!AP53</f>
        <v>0</v>
      </c>
      <c r="V59" s="40">
        <f>'Tariffs Jul2019'!AQ53</f>
        <v>16</v>
      </c>
      <c r="W59" s="273">
        <f>Q59</f>
        <v>1802.2372499999997</v>
      </c>
      <c r="X59" s="273">
        <f>W59-(O59*V59/100)</f>
        <v>1557.6792899999998</v>
      </c>
      <c r="Y59" s="272">
        <f t="shared" si="4"/>
        <v>1982.4609749999997</v>
      </c>
      <c r="Z59" s="272">
        <f t="shared" si="4"/>
        <v>1713.4472189999999</v>
      </c>
      <c r="AA59" s="274">
        <f>'Tariffs Jul2019'!AZ53</f>
        <v>0</v>
      </c>
      <c r="AB59" s="274" t="str">
        <f>'Tariffs Jul2019'!BA53</f>
        <v>n</v>
      </c>
      <c r="AC59" s="275" t="str">
        <f>'Tariffs Jul2019'!BJ53</f>
        <v>N</v>
      </c>
      <c r="AD59" s="398"/>
      <c r="AE59" s="398"/>
      <c r="AF59" s="398"/>
      <c r="AG59" s="398"/>
      <c r="AH59" s="398"/>
      <c r="AI59" s="398"/>
      <c r="AJ59" s="398"/>
      <c r="AK59" s="398"/>
      <c r="AL59" s="398"/>
      <c r="AM59" s="398"/>
      <c r="AN59" s="398"/>
    </row>
    <row r="60" spans="1:40" x14ac:dyDescent="0.15">
      <c r="A60" s="270" t="str">
        <f>'Tariffs Jul2019'!F54</f>
        <v>Dodo Power &amp; Gas</v>
      </c>
      <c r="B60" s="40" t="str">
        <f>'Tariffs Jul2019'!D54</f>
        <v>AGN Central 2</v>
      </c>
      <c r="C60" s="40" t="str">
        <f>'Tariffs Jul2019'!G54</f>
        <v>Market offer</v>
      </c>
      <c r="D60" s="59">
        <f>365*'Tariffs Jul2019'!H54/100</f>
        <v>220.64250000000001</v>
      </c>
      <c r="E60" s="59">
        <f>IF($C$5*'Tariffs Jul2019'!AK54/'Tariffs Jul2019'!AI54&gt;='Tariffs Jul2019'!J54,( 'Tariffs Jul2019'!J54*'Tariffs Jul2019'!O54/100)* 'Tariffs Jul2019'!AI54,($C$5*'Tariffs Jul2019'!AK54/'Tariffs Jul2019'!AI54*'Tariffs Jul2019'!O54/100)* 'Tariffs Jul2019'!AI54)</f>
        <v>90.624545454545441</v>
      </c>
      <c r="F60" s="59">
        <f>IF($C$5*'Tariffs Jul2019'!AK54/'Tariffs Jul2019'!AI54&lt;'Tariffs Jul2019'!J54,0,IF($C$5*'Tariffs Jul2019'!AK54/'Tariffs Jul2019'!AI54&lt;='Tariffs Jul2019'!K54,($C$5*'Tariffs Jul2019'!AK54/'Tariffs Jul2019'!AI54-'Tariffs Jul2019'!J54)*('Tariffs Jul2019'!P54/100)*'Tariffs Jul2019'!AI54,('Tariffs Jul2019'!K54-'Tariffs Jul2019'!J54)*('Tariffs Jul2019'!P54/100)*'Tariffs Jul2019'!AI54))</f>
        <v>59.62</v>
      </c>
      <c r="G60" s="59">
        <f>IF($C$5*'Tariffs Jul2019'!AK54/'Tariffs Jul2019'!AI54&lt;'Tariffs Jul2019'!K54,0,IF($C$5*'Tariffs Jul2019'!AK54/'Tariffs Jul2019'!AI54&lt;='Tariffs Jul2019'!L54,($C$5*'Tariffs Jul2019'!AK54/'Tariffs Jul2019'!AI54-'Tariffs Jul2019'!K54)*('Tariffs Jul2019'!Q54/100)*'Tariffs Jul2019'!AI54,('Tariffs Jul2019'!L54-'Tariffs Jul2019'!K54)*('Tariffs Jul2019'!Q54/100)*'Tariffs Jul2019'!AI54))</f>
        <v>0</v>
      </c>
      <c r="H60" s="59">
        <f>IF($C$5*'Tariffs Jul2019'!AK54/'Tariffs Jul2019'!AI54&lt;'Tariffs Jul2019'!L54,0,IF($C$5*'Tariffs Jul2019'!AK54/'Tariffs Jul2019'!AI54&lt;='Tariffs Jul2019'!M54,($C$5*'Tariffs Jul2019'!AK54/'Tariffs Jul2019'!AI54-'Tariffs Jul2019'!L54)*('Tariffs Jul2019'!R54/100)*'Tariffs Jul2019'!AI54,('Tariffs Jul2019'!M54-'Tariffs Jul2019'!L54)*('Tariffs Jul2019'!R54/100)*'Tariffs Jul2019'!AI54))</f>
        <v>0</v>
      </c>
      <c r="I60" s="59">
        <f>IF(($C$5*'Tariffs Jul2019'!AK54/'Tariffs Jul2019'!AI54&gt;'Tariffs Jul2019'!M54),($C$5*'Tariffs Jul2019'!AK54/'Tariffs Jul2019'!AI54-'Tariffs Jul2019'!M54)*'Tariffs Jul2019'!S54/100*'Tariffs Jul2019'!AI54,0)</f>
        <v>308.13867272727265</v>
      </c>
      <c r="J60" s="59">
        <f>IF($C$5*'Tariffs Jul2019'!AL54/'Tariffs Jul2019'!AJ54&gt;='Tariffs Jul2019'!J54,('Tariffs Jul2019'!J54*'Tariffs Jul2019'!U54/100)* 'Tariffs Jul2019'!AJ54,($C$5*'Tariffs Jul2019'!AL54/'Tariffs Jul2019'!AJ54*'Tariffs Jul2019'!U54/100)* 'Tariffs Jul2019'!AJ54)</f>
        <v>181.24909090909088</v>
      </c>
      <c r="K60" s="59">
        <f>IF($C$5*'Tariffs Jul2019'!AL54/'Tariffs Jul2019'!AJ54&lt;'Tariffs Jul2019'!J54,0,IF($C$5*'Tariffs Jul2019'!AL54/'Tariffs Jul2019'!AJ54&lt;='Tariffs Jul2019'!K54,($C$5*'Tariffs Jul2019'!AL54/'Tariffs Jul2019'!AJ54-'Tariffs Jul2019'!J54)*('Tariffs Jul2019'!V54/100)*'Tariffs Jul2019'!AJ54,('Tariffs Jul2019'!K54-'Tariffs Jul2019'!J54)*('Tariffs Jul2019'!V54/100)*'Tariffs Jul2019'!AJ54))</f>
        <v>119.24</v>
      </c>
      <c r="L60" s="59">
        <f>IF($C$5*'Tariffs Jul2019'!AL54/'Tariffs Jul2019'!AJ54&lt;'Tariffs Jul2019'!K54,0,IF($C$5*'Tariffs Jul2019'!AL54/'Tariffs Jul2019'!AJ54&lt;='Tariffs Jul2019'!L54,($C$5*'Tariffs Jul2019'!AL54/'Tariffs Jul2019'!AJ54-'Tariffs Jul2019'!K54)*('Tariffs Jul2019'!W54/100)*'Tariffs Jul2019'!AJ54,('Tariffs Jul2019'!L54-'Tariffs Jul2019'!K54)*('Tariffs Jul2019'!W54/100)*'Tariffs Jul2019'!AJ54))</f>
        <v>0</v>
      </c>
      <c r="M60" s="59">
        <f>IF($C$5*'Tariffs Jul2019'!AL54/'Tariffs Jul2019'!AJ54&lt;'Tariffs Jul2019'!L54,0,IF($C$5*'Tariffs Jul2019'!AL54/'Tariffs Jul2019'!AJ54&lt;='Tariffs Jul2019'!M54,($C$5*'Tariffs Jul2019'!AL54/'Tariffs Jul2019'!AJ54-'Tariffs Jul2019'!L54)*('Tariffs Jul2019'!X54/100)*'Tariffs Jul2019'!AJ54,('Tariffs Jul2019'!M54-'Tariffs Jul2019'!L54)*('Tariffs Jul2019'!X54/100)*'Tariffs Jul2019'!AJ54))</f>
        <v>0</v>
      </c>
      <c r="N60" s="59">
        <f>IF(($C$5*'Tariffs Jul2019'!AL54/'Tariffs Jul2019'!AJ54&gt;'Tariffs Jul2019'!M54),($C$5*'Tariffs Jul2019'!AL54/'Tariffs Jul2019'!AJ54-'Tariffs Jul2019'!M54)*'Tariffs Jul2019'!Y54/100*'Tariffs Jul2019'!AJ54,0)</f>
        <v>616.2773454545453</v>
      </c>
      <c r="O60" s="271">
        <f t="shared" si="0"/>
        <v>1375.1496545454543</v>
      </c>
      <c r="P60" s="413">
        <f t="shared" si="1"/>
        <v>1512.6646199999998</v>
      </c>
      <c r="Q60" s="59">
        <f t="shared" si="2"/>
        <v>1595.7921545454542</v>
      </c>
      <c r="R60" s="272">
        <f t="shared" si="3"/>
        <v>1755.3713699999998</v>
      </c>
      <c r="S60" s="40">
        <f>'Tariffs Jul2019'!AN54</f>
        <v>0</v>
      </c>
      <c r="T60" s="40">
        <f>'Tariffs Jul2019'!AO54</f>
        <v>0</v>
      </c>
      <c r="U60" s="40">
        <f>'Tariffs Jul2019'!AP54</f>
        <v>0</v>
      </c>
      <c r="V60" s="40">
        <f>'Tariffs Jul2019'!AQ54</f>
        <v>20</v>
      </c>
      <c r="W60" s="273">
        <f>Q60</f>
        <v>1595.7921545454542</v>
      </c>
      <c r="X60" s="273">
        <f>W60-(O60*V60/100)</f>
        <v>1320.7622236363634</v>
      </c>
      <c r="Y60" s="272">
        <f t="shared" si="4"/>
        <v>1755.3713699999998</v>
      </c>
      <c r="Z60" s="272">
        <f t="shared" si="4"/>
        <v>1452.8384459999997</v>
      </c>
      <c r="AA60" s="274">
        <f>'Tariffs Jul2019'!AZ54</f>
        <v>0</v>
      </c>
      <c r="AB60" s="274" t="str">
        <f>'Tariffs Jul2019'!BA54</f>
        <v>n</v>
      </c>
      <c r="AC60" s="275" t="str">
        <f>'Tariffs Jul2019'!BJ54</f>
        <v>Y</v>
      </c>
      <c r="AD60" s="398"/>
      <c r="AE60" s="398"/>
      <c r="AF60" s="398"/>
      <c r="AG60" s="398"/>
      <c r="AH60" s="398"/>
      <c r="AI60" s="398"/>
      <c r="AJ60" s="398"/>
      <c r="AK60" s="398"/>
      <c r="AL60" s="398"/>
      <c r="AM60" s="398"/>
      <c r="AN60" s="398"/>
    </row>
    <row r="61" spans="1:40" x14ac:dyDescent="0.15">
      <c r="A61" s="270" t="str">
        <f>'Tariffs Jul2019'!F55</f>
        <v>EnergyAustralia</v>
      </c>
      <c r="B61" s="40" t="str">
        <f>'Tariffs Jul2019'!D55</f>
        <v>AGN Central 2</v>
      </c>
      <c r="C61" s="40" t="str">
        <f>'Tariffs Jul2019'!G55</f>
        <v>Total Plan</v>
      </c>
      <c r="D61" s="59">
        <f>365*'Tariffs Jul2019'!H55/100</f>
        <v>295.64999999999998</v>
      </c>
      <c r="E61" s="59">
        <f>IF($C$5*'Tariffs Jul2019'!AK55/'Tariffs Jul2019'!AI55&gt;='Tariffs Jul2019'!J55,( 'Tariffs Jul2019'!J55*'Tariffs Jul2019'!O55/100)* 'Tariffs Jul2019'!AI55,($C$5*'Tariffs Jul2019'!AK55/'Tariffs Jul2019'!AI55*'Tariffs Jul2019'!O55/100)* 'Tariffs Jul2019'!AI55)</f>
        <v>178.2</v>
      </c>
      <c r="F61" s="59">
        <f>IF($C$5*'Tariffs Jul2019'!AK55/'Tariffs Jul2019'!AI55&lt;'Tariffs Jul2019'!J55,0,IF($C$5*'Tariffs Jul2019'!AK55/'Tariffs Jul2019'!AI55&lt;='Tariffs Jul2019'!K55,($C$5*'Tariffs Jul2019'!AK55/'Tariffs Jul2019'!AI55-'Tariffs Jul2019'!J55)*('Tariffs Jul2019'!P55/100)*'Tariffs Jul2019'!AI55,('Tariffs Jul2019'!K55-'Tariffs Jul2019'!J55)*('Tariffs Jul2019'!P55/100)*'Tariffs Jul2019'!AI55))</f>
        <v>0</v>
      </c>
      <c r="G61" s="59">
        <f>IF($C$5*'Tariffs Jul2019'!AK55/'Tariffs Jul2019'!AI55&lt;'Tariffs Jul2019'!K55,0,IF($C$5*'Tariffs Jul2019'!AK55/'Tariffs Jul2019'!AI55&lt;='Tariffs Jul2019'!L55,($C$5*'Tariffs Jul2019'!AK55/'Tariffs Jul2019'!AI55-'Tariffs Jul2019'!K55)*('Tariffs Jul2019'!Q55/100)*'Tariffs Jul2019'!AI55,('Tariffs Jul2019'!L55-'Tariffs Jul2019'!K55)*('Tariffs Jul2019'!Q55/100)*'Tariffs Jul2019'!AI55))</f>
        <v>0</v>
      </c>
      <c r="H61" s="59">
        <f>IF($C$5*'Tariffs Jul2019'!AK55/'Tariffs Jul2019'!AI55&lt;'Tariffs Jul2019'!L55,0,IF($C$5*'Tariffs Jul2019'!AK55/'Tariffs Jul2019'!AI55&lt;='Tariffs Jul2019'!M55,($C$5*'Tariffs Jul2019'!AK55/'Tariffs Jul2019'!AI55-'Tariffs Jul2019'!L55)*('Tariffs Jul2019'!R55/100)*'Tariffs Jul2019'!AI55,('Tariffs Jul2019'!M55-'Tariffs Jul2019'!L55)*('Tariffs Jul2019'!R55/100)*'Tariffs Jul2019'!AI55))</f>
        <v>0</v>
      </c>
      <c r="I61" s="59">
        <f>IF(($C$5*'Tariffs Jul2019'!AK55/'Tariffs Jul2019'!AI55&gt;'Tariffs Jul2019'!M55),($C$5*'Tariffs Jul2019'!AK55/'Tariffs Jul2019'!AI55-'Tariffs Jul2019'!M55)*'Tariffs Jul2019'!S55/100*'Tariffs Jul2019'!AI55,0)</f>
        <v>299.95799999999997</v>
      </c>
      <c r="J61" s="59">
        <f>IF($C$5*'Tariffs Jul2019'!AL55/'Tariffs Jul2019'!AJ55&gt;='Tariffs Jul2019'!J55,('Tariffs Jul2019'!J55*'Tariffs Jul2019'!U55/100)* 'Tariffs Jul2019'!AJ55,($C$5*'Tariffs Jul2019'!AL55/'Tariffs Jul2019'!AJ55*'Tariffs Jul2019'!U55/100)* 'Tariffs Jul2019'!AJ55)</f>
        <v>356.4</v>
      </c>
      <c r="K61" s="59">
        <f>IF($C$5*'Tariffs Jul2019'!AL55/'Tariffs Jul2019'!AJ55&lt;'Tariffs Jul2019'!J55,0,IF($C$5*'Tariffs Jul2019'!AL55/'Tariffs Jul2019'!AJ55&lt;='Tariffs Jul2019'!K55,($C$5*'Tariffs Jul2019'!AL55/'Tariffs Jul2019'!AJ55-'Tariffs Jul2019'!J55)*('Tariffs Jul2019'!V55/100)*'Tariffs Jul2019'!AJ55,('Tariffs Jul2019'!K55-'Tariffs Jul2019'!J55)*('Tariffs Jul2019'!V55/100)*'Tariffs Jul2019'!AJ55))</f>
        <v>0</v>
      </c>
      <c r="L61" s="59">
        <f>IF($C$5*'Tariffs Jul2019'!AL55/'Tariffs Jul2019'!AJ55&lt;'Tariffs Jul2019'!K55,0,IF($C$5*'Tariffs Jul2019'!AL55/'Tariffs Jul2019'!AJ55&lt;='Tariffs Jul2019'!L55,($C$5*'Tariffs Jul2019'!AL55/'Tariffs Jul2019'!AJ55-'Tariffs Jul2019'!K55)*('Tariffs Jul2019'!W55/100)*'Tariffs Jul2019'!AJ55,('Tariffs Jul2019'!L55-'Tariffs Jul2019'!K55)*('Tariffs Jul2019'!W55/100)*'Tariffs Jul2019'!AJ55))</f>
        <v>0</v>
      </c>
      <c r="M61" s="59">
        <f>IF($C$5*'Tariffs Jul2019'!AL55/'Tariffs Jul2019'!AJ55&lt;'Tariffs Jul2019'!L55,0,IF($C$5*'Tariffs Jul2019'!AL55/'Tariffs Jul2019'!AJ55&lt;='Tariffs Jul2019'!M55,($C$5*'Tariffs Jul2019'!AL55/'Tariffs Jul2019'!AJ55-'Tariffs Jul2019'!L55)*('Tariffs Jul2019'!X55/100)*'Tariffs Jul2019'!AJ55,('Tariffs Jul2019'!M55-'Tariffs Jul2019'!L55)*('Tariffs Jul2019'!X55/100)*'Tariffs Jul2019'!AJ55))</f>
        <v>0</v>
      </c>
      <c r="N61" s="59">
        <f>IF(($C$5*'Tariffs Jul2019'!AL55/'Tariffs Jul2019'!AJ55&gt;'Tariffs Jul2019'!M55),($C$5*'Tariffs Jul2019'!AL55/'Tariffs Jul2019'!AJ55-'Tariffs Jul2019'!M55)*'Tariffs Jul2019'!Y55/100*'Tariffs Jul2019'!AJ55,0)</f>
        <v>599.91599999999994</v>
      </c>
      <c r="O61" s="271">
        <f t="shared" si="0"/>
        <v>1434.4739999999999</v>
      </c>
      <c r="P61" s="413">
        <f t="shared" si="1"/>
        <v>1577.9213999999999</v>
      </c>
      <c r="Q61" s="59">
        <f t="shared" si="2"/>
        <v>1730.1239999999998</v>
      </c>
      <c r="R61" s="272">
        <f t="shared" si="3"/>
        <v>1903.1363999999999</v>
      </c>
      <c r="S61" s="40">
        <f>'Tariffs Jul2019'!AN55</f>
        <v>24</v>
      </c>
      <c r="T61" s="40">
        <f>'Tariffs Jul2019'!AO55</f>
        <v>0</v>
      </c>
      <c r="U61" s="40">
        <f>'Tariffs Jul2019'!AP55</f>
        <v>0</v>
      </c>
      <c r="V61" s="40">
        <f>'Tariffs Jul2019'!AQ55</f>
        <v>0</v>
      </c>
      <c r="W61" s="273">
        <f>Q61-(Q61*S61/100)</f>
        <v>1314.8942399999999</v>
      </c>
      <c r="X61" s="273">
        <f>W61</f>
        <v>1314.8942399999999</v>
      </c>
      <c r="Y61" s="272">
        <f t="shared" si="4"/>
        <v>1446.383664</v>
      </c>
      <c r="Z61" s="272">
        <f t="shared" si="4"/>
        <v>1446.383664</v>
      </c>
      <c r="AA61" s="274">
        <f>'Tariffs Jul2019'!AZ55</f>
        <v>0</v>
      </c>
      <c r="AB61" s="274" t="str">
        <f>'Tariffs Jul2019'!BA55</f>
        <v>n</v>
      </c>
      <c r="AC61" s="275" t="str">
        <f>'Tariffs Jul2019'!BJ55</f>
        <v>N</v>
      </c>
      <c r="AD61" s="398"/>
      <c r="AE61" s="398"/>
      <c r="AF61" s="398"/>
      <c r="AG61" s="398"/>
      <c r="AH61" s="398"/>
      <c r="AI61" s="398"/>
      <c r="AJ61" s="398"/>
      <c r="AK61" s="398"/>
      <c r="AL61" s="398"/>
      <c r="AM61" s="398"/>
      <c r="AN61" s="398"/>
    </row>
    <row r="62" spans="1:40" x14ac:dyDescent="0.15">
      <c r="A62" s="270" t="str">
        <f>'Tariffs Jul2019'!F56</f>
        <v>Lumo Energy</v>
      </c>
      <c r="B62" s="40" t="str">
        <f>'Tariffs Jul2019'!D56</f>
        <v>AGN Central 2</v>
      </c>
      <c r="C62" s="40" t="str">
        <f>'Tariffs Jul2019'!G56</f>
        <v>Value</v>
      </c>
      <c r="D62" s="59">
        <f>365*'Tariffs Jul2019'!H56/100</f>
        <v>237.25</v>
      </c>
      <c r="E62" s="59">
        <f>IF($C$5*'Tariffs Jul2019'!AK56/'Tariffs Jul2019'!AI56&gt;='Tariffs Jul2019'!J56,( 'Tariffs Jul2019'!J56*'Tariffs Jul2019'!O56/100)* 'Tariffs Jul2019'!AI56,($C$5*'Tariffs Jul2019'!AK56/'Tariffs Jul2019'!AI56*'Tariffs Jul2019'!O56/100)* 'Tariffs Jul2019'!AI56)</f>
        <v>82.25</v>
      </c>
      <c r="F62" s="59">
        <f>IF($C$5*'Tariffs Jul2019'!AK56/'Tariffs Jul2019'!AI56&lt;'Tariffs Jul2019'!J56,0,IF($C$5*'Tariffs Jul2019'!AK56/'Tariffs Jul2019'!AI56&lt;='Tariffs Jul2019'!K56,($C$5*'Tariffs Jul2019'!AK56/'Tariffs Jul2019'!AI56-'Tariffs Jul2019'!J56)*('Tariffs Jul2019'!P56/100)*'Tariffs Jul2019'!AI56,('Tariffs Jul2019'!K56-'Tariffs Jul2019'!J56)*('Tariffs Jul2019'!P56/100)*'Tariffs Jul2019'!AI56))</f>
        <v>56.910000000000004</v>
      </c>
      <c r="G62" s="59">
        <f>IF($C$5*'Tariffs Jul2019'!AK56/'Tariffs Jul2019'!AI56&lt;'Tariffs Jul2019'!K56,0,IF($C$5*'Tariffs Jul2019'!AK56/'Tariffs Jul2019'!AI56&lt;='Tariffs Jul2019'!L56,($C$5*'Tariffs Jul2019'!AK56/'Tariffs Jul2019'!AI56-'Tariffs Jul2019'!K56)*('Tariffs Jul2019'!Q56/100)*'Tariffs Jul2019'!AI56,('Tariffs Jul2019'!L56-'Tariffs Jul2019'!K56)*('Tariffs Jul2019'!Q56/100)*'Tariffs Jul2019'!AI56))</f>
        <v>0</v>
      </c>
      <c r="H62" s="59">
        <f>IF($C$5*'Tariffs Jul2019'!AK56/'Tariffs Jul2019'!AI56&lt;'Tariffs Jul2019'!L56,0,IF($C$5*'Tariffs Jul2019'!AK56/'Tariffs Jul2019'!AI56&lt;='Tariffs Jul2019'!M56,($C$5*'Tariffs Jul2019'!AK56/'Tariffs Jul2019'!AI56-'Tariffs Jul2019'!L56)*('Tariffs Jul2019'!R56/100)*'Tariffs Jul2019'!AI56,('Tariffs Jul2019'!M56-'Tariffs Jul2019'!L56)*('Tariffs Jul2019'!R56/100)*'Tariffs Jul2019'!AI56))</f>
        <v>0</v>
      </c>
      <c r="I62" s="59">
        <f>IF(($C$5*'Tariffs Jul2019'!AK56/'Tariffs Jul2019'!AI56&gt;'Tariffs Jul2019'!M56),($C$5*'Tariffs Jul2019'!AK56/'Tariffs Jul2019'!AI56-'Tariffs Jul2019'!M56)*'Tariffs Jul2019'!S56/100*'Tariffs Jul2019'!AI56,0)</f>
        <v>269.9622</v>
      </c>
      <c r="J62" s="59">
        <f>IF($C$5*'Tariffs Jul2019'!AL56/'Tariffs Jul2019'!AJ56&gt;='Tariffs Jul2019'!J56,('Tariffs Jul2019'!J56*'Tariffs Jul2019'!U56/100)* 'Tariffs Jul2019'!AJ56,($C$5*'Tariffs Jul2019'!AL56/'Tariffs Jul2019'!AJ56*'Tariffs Jul2019'!U56/100)* 'Tariffs Jul2019'!AJ56)</f>
        <v>164.5</v>
      </c>
      <c r="K62" s="59">
        <f>IF($C$5*'Tariffs Jul2019'!AL56/'Tariffs Jul2019'!AJ56&lt;'Tariffs Jul2019'!J56,0,IF($C$5*'Tariffs Jul2019'!AL56/'Tariffs Jul2019'!AJ56&lt;='Tariffs Jul2019'!K56,($C$5*'Tariffs Jul2019'!AL56/'Tariffs Jul2019'!AJ56-'Tariffs Jul2019'!J56)*('Tariffs Jul2019'!V56/100)*'Tariffs Jul2019'!AJ56,('Tariffs Jul2019'!K56-'Tariffs Jul2019'!J56)*('Tariffs Jul2019'!V56/100)*'Tariffs Jul2019'!AJ56))</f>
        <v>113.82000000000001</v>
      </c>
      <c r="L62" s="59">
        <f>IF($C$5*'Tariffs Jul2019'!AL56/'Tariffs Jul2019'!AJ56&lt;'Tariffs Jul2019'!K56,0,IF($C$5*'Tariffs Jul2019'!AL56/'Tariffs Jul2019'!AJ56&lt;='Tariffs Jul2019'!L56,($C$5*'Tariffs Jul2019'!AL56/'Tariffs Jul2019'!AJ56-'Tariffs Jul2019'!K56)*('Tariffs Jul2019'!W56/100)*'Tariffs Jul2019'!AJ56,('Tariffs Jul2019'!L56-'Tariffs Jul2019'!K56)*('Tariffs Jul2019'!W56/100)*'Tariffs Jul2019'!AJ56))</f>
        <v>0</v>
      </c>
      <c r="M62" s="59">
        <f>IF($C$5*'Tariffs Jul2019'!AL56/'Tariffs Jul2019'!AJ56&lt;'Tariffs Jul2019'!L56,0,IF($C$5*'Tariffs Jul2019'!AL56/'Tariffs Jul2019'!AJ56&lt;='Tariffs Jul2019'!M56,($C$5*'Tariffs Jul2019'!AL56/'Tariffs Jul2019'!AJ56-'Tariffs Jul2019'!L56)*('Tariffs Jul2019'!X56/100)*'Tariffs Jul2019'!AJ56,('Tariffs Jul2019'!M56-'Tariffs Jul2019'!L56)*('Tariffs Jul2019'!X56/100)*'Tariffs Jul2019'!AJ56))</f>
        <v>0</v>
      </c>
      <c r="N62" s="59">
        <f>IF(($C$5*'Tariffs Jul2019'!AL56/'Tariffs Jul2019'!AJ56&gt;'Tariffs Jul2019'!M56),($C$5*'Tariffs Jul2019'!AL56/'Tariffs Jul2019'!AJ56-'Tariffs Jul2019'!M56)*'Tariffs Jul2019'!Y56/100*'Tariffs Jul2019'!AJ56,0)</f>
        <v>539.92439999999999</v>
      </c>
      <c r="O62" s="271">
        <f t="shared" si="0"/>
        <v>1227.3666000000001</v>
      </c>
      <c r="P62" s="413">
        <f t="shared" si="1"/>
        <v>1350.1032600000001</v>
      </c>
      <c r="Q62" s="59">
        <f t="shared" si="2"/>
        <v>1464.6166000000001</v>
      </c>
      <c r="R62" s="272">
        <f t="shared" si="3"/>
        <v>1611.0782600000002</v>
      </c>
      <c r="S62" s="40">
        <f>'Tariffs Jul2019'!AN56</f>
        <v>0</v>
      </c>
      <c r="T62" s="40">
        <f>'Tariffs Jul2019'!AO56</f>
        <v>0</v>
      </c>
      <c r="U62" s="40">
        <f>'Tariffs Jul2019'!AP56</f>
        <v>3</v>
      </c>
      <c r="V62" s="40">
        <f>'Tariffs Jul2019'!AQ56</f>
        <v>0</v>
      </c>
      <c r="W62" s="273">
        <f>Q62</f>
        <v>1464.6166000000001</v>
      </c>
      <c r="X62" s="273">
        <f>W62-(Q62*U62/100)</f>
        <v>1420.6781020000001</v>
      </c>
      <c r="Y62" s="272">
        <f t="shared" si="4"/>
        <v>1611.0782600000002</v>
      </c>
      <c r="Z62" s="272">
        <f t="shared" si="4"/>
        <v>1562.7459122000002</v>
      </c>
      <c r="AA62" s="274">
        <f>'Tariffs Jul2019'!AZ56</f>
        <v>0</v>
      </c>
      <c r="AB62" s="274" t="str">
        <f>'Tariffs Jul2019'!BA56</f>
        <v>n</v>
      </c>
      <c r="AC62" s="275" t="str">
        <f>'Tariffs Jul2019'!BJ56</f>
        <v>N</v>
      </c>
      <c r="AD62" s="398"/>
      <c r="AE62" s="398"/>
      <c r="AF62" s="398"/>
      <c r="AG62" s="398"/>
      <c r="AH62" s="398"/>
      <c r="AI62" s="398"/>
      <c r="AJ62" s="398"/>
      <c r="AK62" s="398"/>
      <c r="AL62" s="398"/>
      <c r="AM62" s="398"/>
      <c r="AN62" s="398"/>
    </row>
    <row r="63" spans="1:40" x14ac:dyDescent="0.15">
      <c r="A63" s="270" t="str">
        <f>'Tariffs Jul2019'!F57</f>
        <v>Momentum Energy</v>
      </c>
      <c r="B63" s="40" t="str">
        <f>'Tariffs Jul2019'!D57</f>
        <v>AGN Central 2</v>
      </c>
      <c r="C63" s="40" t="str">
        <f>'Tariffs Jul2019'!G57</f>
        <v>Market offer</v>
      </c>
      <c r="D63" s="59">
        <f>365*'Tariffs Jul2019'!H57/100</f>
        <v>288.0215</v>
      </c>
      <c r="E63" s="59">
        <f>IF($C$5*'Tariffs Jul2019'!AK57/'Tariffs Jul2019'!AI57&gt;='Tariffs Jul2019'!J57,( 'Tariffs Jul2019'!J57*'Tariffs Jul2019'!O57/100)* 'Tariffs Jul2019'!AI57,($C$5*'Tariffs Jul2019'!AK57/'Tariffs Jul2019'!AI57*'Tariffs Jul2019'!O57/100)* 'Tariffs Jul2019'!AI57)</f>
        <v>70.175699999999992</v>
      </c>
      <c r="F63" s="59">
        <f>IF($C$5*'Tariffs Jul2019'!AK57/'Tariffs Jul2019'!AI57&lt;'Tariffs Jul2019'!J57,0,IF($C$5*'Tariffs Jul2019'!AK57/'Tariffs Jul2019'!AI57&lt;='Tariffs Jul2019'!K57,($C$5*'Tariffs Jul2019'!AK57/'Tariffs Jul2019'!AI57-'Tariffs Jul2019'!J57)*('Tariffs Jul2019'!P57/100)*'Tariffs Jul2019'!AI57,('Tariffs Jul2019'!K57-'Tariffs Jul2019'!J57)*('Tariffs Jul2019'!P57/100)*'Tariffs Jul2019'!AI57))</f>
        <v>48.969699999999996</v>
      </c>
      <c r="G63" s="59">
        <f>IF($C$5*'Tariffs Jul2019'!AK57/'Tariffs Jul2019'!AI57&lt;'Tariffs Jul2019'!K57,0,IF($C$5*'Tariffs Jul2019'!AK57/'Tariffs Jul2019'!AI57&lt;='Tariffs Jul2019'!L57,($C$5*'Tariffs Jul2019'!AK57/'Tariffs Jul2019'!AI57-'Tariffs Jul2019'!K57)*('Tariffs Jul2019'!Q57/100)*'Tariffs Jul2019'!AI57,('Tariffs Jul2019'!L57-'Tariffs Jul2019'!K57)*('Tariffs Jul2019'!Q57/100)*'Tariffs Jul2019'!AI57))</f>
        <v>0</v>
      </c>
      <c r="H63" s="59">
        <f>IF($C$5*'Tariffs Jul2019'!AK57/'Tariffs Jul2019'!AI57&lt;'Tariffs Jul2019'!L57,0,IF($C$5*'Tariffs Jul2019'!AK57/'Tariffs Jul2019'!AI57&lt;='Tariffs Jul2019'!M57,($C$5*'Tariffs Jul2019'!AK57/'Tariffs Jul2019'!AI57-'Tariffs Jul2019'!L57)*('Tariffs Jul2019'!R57/100)*'Tariffs Jul2019'!AI57,('Tariffs Jul2019'!M57-'Tariffs Jul2019'!L57)*('Tariffs Jul2019'!R57/100)*'Tariffs Jul2019'!AI57))</f>
        <v>0</v>
      </c>
      <c r="I63" s="59">
        <f>IF(($C$5*'Tariffs Jul2019'!AK57/'Tariffs Jul2019'!AI57&gt;'Tariffs Jul2019'!M57),($C$5*'Tariffs Jul2019'!AK57/'Tariffs Jul2019'!AI57-'Tariffs Jul2019'!M57)*'Tariffs Jul2019'!S57/100*'Tariffs Jul2019'!AI57,0)</f>
        <v>235.91696699999997</v>
      </c>
      <c r="J63" s="59">
        <f>IF($C$5*'Tariffs Jul2019'!AL57/'Tariffs Jul2019'!AJ57&gt;='Tariffs Jul2019'!J57,('Tariffs Jul2019'!J57*'Tariffs Jul2019'!U57/100)* 'Tariffs Jul2019'!AJ57,($C$5*'Tariffs Jul2019'!AL57/'Tariffs Jul2019'!AJ57*'Tariffs Jul2019'!U57/100)* 'Tariffs Jul2019'!AJ57)</f>
        <v>127.32300000000001</v>
      </c>
      <c r="K63" s="59">
        <f>IF($C$5*'Tariffs Jul2019'!AL57/'Tariffs Jul2019'!AJ57&lt;'Tariffs Jul2019'!J57,0,IF($C$5*'Tariffs Jul2019'!AL57/'Tariffs Jul2019'!AJ57&lt;='Tariffs Jul2019'!K57,($C$5*'Tariffs Jul2019'!AL57/'Tariffs Jul2019'!AJ57-'Tariffs Jul2019'!J57)*('Tariffs Jul2019'!V57/100)*'Tariffs Jul2019'!AJ57,('Tariffs Jul2019'!K57-'Tariffs Jul2019'!J57)*('Tariffs Jul2019'!V57/100)*'Tariffs Jul2019'!AJ57))</f>
        <v>88.562799999999996</v>
      </c>
      <c r="L63" s="59">
        <f>IF($C$5*'Tariffs Jul2019'!AL57/'Tariffs Jul2019'!AJ57&lt;'Tariffs Jul2019'!K57,0,IF($C$5*'Tariffs Jul2019'!AL57/'Tariffs Jul2019'!AJ57&lt;='Tariffs Jul2019'!L57,($C$5*'Tariffs Jul2019'!AL57/'Tariffs Jul2019'!AJ57-'Tariffs Jul2019'!K57)*('Tariffs Jul2019'!W57/100)*'Tariffs Jul2019'!AJ57,('Tariffs Jul2019'!L57-'Tariffs Jul2019'!K57)*('Tariffs Jul2019'!W57/100)*'Tariffs Jul2019'!AJ57))</f>
        <v>0</v>
      </c>
      <c r="M63" s="59">
        <f>IF($C$5*'Tariffs Jul2019'!AL57/'Tariffs Jul2019'!AJ57&lt;'Tariffs Jul2019'!L57,0,IF($C$5*'Tariffs Jul2019'!AL57/'Tariffs Jul2019'!AJ57&lt;='Tariffs Jul2019'!M57,($C$5*'Tariffs Jul2019'!AL57/'Tariffs Jul2019'!AJ57-'Tariffs Jul2019'!L57)*('Tariffs Jul2019'!X57/100)*'Tariffs Jul2019'!AJ57,('Tariffs Jul2019'!M57-'Tariffs Jul2019'!L57)*('Tariffs Jul2019'!X57/100)*'Tariffs Jul2019'!AJ57))</f>
        <v>0</v>
      </c>
      <c r="N63" s="59">
        <f>IF(($C$5*'Tariffs Jul2019'!AL57/'Tariffs Jul2019'!AJ57&gt;'Tariffs Jul2019'!M57),($C$5*'Tariffs Jul2019'!AL57/'Tariffs Jul2019'!AJ57-'Tariffs Jul2019'!M57)*'Tariffs Jul2019'!Y57/100*'Tariffs Jul2019'!AJ57,0)</f>
        <v>424.74052799999993</v>
      </c>
      <c r="O63" s="271">
        <f t="shared" si="0"/>
        <v>995.68869499999994</v>
      </c>
      <c r="P63" s="413">
        <f t="shared" si="1"/>
        <v>1095.2575644999999</v>
      </c>
      <c r="Q63" s="59">
        <f t="shared" si="2"/>
        <v>1283.7101949999999</v>
      </c>
      <c r="R63" s="272">
        <f t="shared" si="3"/>
        <v>1412.0812145</v>
      </c>
      <c r="S63" s="40">
        <f>'Tariffs Jul2019'!AN57</f>
        <v>0</v>
      </c>
      <c r="T63" s="40">
        <f>'Tariffs Jul2019'!AO57</f>
        <v>0</v>
      </c>
      <c r="U63" s="40">
        <f>'Tariffs Jul2019'!AP57</f>
        <v>0</v>
      </c>
      <c r="V63" s="40">
        <f>'Tariffs Jul2019'!AQ57</f>
        <v>0</v>
      </c>
      <c r="W63" s="273">
        <f>Q63</f>
        <v>1283.7101949999999</v>
      </c>
      <c r="X63" s="273">
        <f>W63</f>
        <v>1283.7101949999999</v>
      </c>
      <c r="Y63" s="272">
        <f t="shared" si="4"/>
        <v>1412.0812145</v>
      </c>
      <c r="Z63" s="272">
        <f t="shared" si="4"/>
        <v>1412.0812145</v>
      </c>
      <c r="AA63" s="274">
        <f>'Tariffs Jul2019'!AZ57</f>
        <v>0</v>
      </c>
      <c r="AB63" s="274" t="str">
        <f>'Tariffs Jul2019'!BA57</f>
        <v>n</v>
      </c>
      <c r="AC63" s="275" t="str">
        <f>'Tariffs Jul2019'!BJ57</f>
        <v>Y</v>
      </c>
      <c r="AD63" s="398"/>
      <c r="AE63" s="398"/>
      <c r="AF63" s="398"/>
      <c r="AG63" s="398"/>
      <c r="AH63" s="398"/>
      <c r="AI63" s="398"/>
      <c r="AJ63" s="398"/>
      <c r="AK63" s="398"/>
      <c r="AL63" s="398"/>
      <c r="AM63" s="398"/>
      <c r="AN63" s="398"/>
    </row>
    <row r="64" spans="1:40" x14ac:dyDescent="0.15">
      <c r="A64" s="270" t="str">
        <f>'Tariffs Jul2019'!F58</f>
        <v>Origin Energy</v>
      </c>
      <c r="B64" s="40" t="str">
        <f>'Tariffs Jul2019'!D58</f>
        <v>AGN Central 2</v>
      </c>
      <c r="C64" s="40" t="str">
        <f>'Tariffs Jul2019'!G58</f>
        <v>Flexi</v>
      </c>
      <c r="D64" s="59">
        <f>365*'Tariffs Jul2019'!H58/100</f>
        <v>251.85</v>
      </c>
      <c r="E64" s="59">
        <f>IF($C$5*'Tariffs Jul2019'!AK58/'Tariffs Jul2019'!AI58&gt;='Tariffs Jul2019'!J58,( 'Tariffs Jul2019'!J58*'Tariffs Jul2019'!O58/100)* 'Tariffs Jul2019'!AI58,($C$5*'Tariffs Jul2019'!AK58/'Tariffs Jul2019'!AI58*'Tariffs Jul2019'!O58/100)* 'Tariffs Jul2019'!AI58)</f>
        <v>264.00000000000006</v>
      </c>
      <c r="F64" s="59">
        <f>IF($C$5*'Tariffs Jul2019'!AK58/'Tariffs Jul2019'!AI58&lt;'Tariffs Jul2019'!J58,0,IF($C$5*'Tariffs Jul2019'!AK58/'Tariffs Jul2019'!AI58&lt;='Tariffs Jul2019'!K58,($C$5*'Tariffs Jul2019'!AK58/'Tariffs Jul2019'!AI58-'Tariffs Jul2019'!J58)*('Tariffs Jul2019'!P58/100)*'Tariffs Jul2019'!AI58,('Tariffs Jul2019'!K58-'Tariffs Jul2019'!J58)*('Tariffs Jul2019'!P58/100)*'Tariffs Jul2019'!AI58))</f>
        <v>188.95589999999996</v>
      </c>
      <c r="G64" s="59">
        <f>IF($C$5*'Tariffs Jul2019'!AK58/'Tariffs Jul2019'!AI58&lt;'Tariffs Jul2019'!K58,0,IF($C$5*'Tariffs Jul2019'!AK58/'Tariffs Jul2019'!AI58&lt;='Tariffs Jul2019'!L58,($C$5*'Tariffs Jul2019'!AK58/'Tariffs Jul2019'!AI58-'Tariffs Jul2019'!K58)*('Tariffs Jul2019'!Q58/100)*'Tariffs Jul2019'!AI58,('Tariffs Jul2019'!L58-'Tariffs Jul2019'!K58)*('Tariffs Jul2019'!Q58/100)*'Tariffs Jul2019'!AI58))</f>
        <v>0</v>
      </c>
      <c r="H64" s="59">
        <f>IF($C$5*'Tariffs Jul2019'!AK58/'Tariffs Jul2019'!AI58&lt;'Tariffs Jul2019'!L58,0,IF($C$5*'Tariffs Jul2019'!AK58/'Tariffs Jul2019'!AI58&lt;='Tariffs Jul2019'!M58,($C$5*'Tariffs Jul2019'!AK58/'Tariffs Jul2019'!AI58-'Tariffs Jul2019'!L58)*('Tariffs Jul2019'!R58/100)*'Tariffs Jul2019'!AI58,('Tariffs Jul2019'!M58-'Tariffs Jul2019'!L58)*('Tariffs Jul2019'!R58/100)*'Tariffs Jul2019'!AI58))</f>
        <v>0</v>
      </c>
      <c r="I64" s="59">
        <f>IF(($C$5*'Tariffs Jul2019'!AK58/'Tariffs Jul2019'!AI58&gt;'Tariffs Jul2019'!M58),($C$5*'Tariffs Jul2019'!AK58/'Tariffs Jul2019'!AI58-'Tariffs Jul2019'!M58)*'Tariffs Jul2019'!S58/100*'Tariffs Jul2019'!AI58,0)</f>
        <v>0</v>
      </c>
      <c r="J64" s="59">
        <f>IF($C$5*'Tariffs Jul2019'!AL58/'Tariffs Jul2019'!AJ58&gt;='Tariffs Jul2019'!J58,('Tariffs Jul2019'!J58*'Tariffs Jul2019'!U58/100)* 'Tariffs Jul2019'!AJ58,($C$5*'Tariffs Jul2019'!AL58/'Tariffs Jul2019'!AJ58*'Tariffs Jul2019'!U58/100)* 'Tariffs Jul2019'!AJ58)</f>
        <v>528.00000000000011</v>
      </c>
      <c r="K64" s="59">
        <f>IF($C$5*'Tariffs Jul2019'!AL58/'Tariffs Jul2019'!AJ58&lt;'Tariffs Jul2019'!J58,0,IF($C$5*'Tariffs Jul2019'!AL58/'Tariffs Jul2019'!AJ58&lt;='Tariffs Jul2019'!K58,($C$5*'Tariffs Jul2019'!AL58/'Tariffs Jul2019'!AJ58-'Tariffs Jul2019'!J58)*('Tariffs Jul2019'!V58/100)*'Tariffs Jul2019'!AJ58,('Tariffs Jul2019'!K58-'Tariffs Jul2019'!J58)*('Tariffs Jul2019'!V58/100)*'Tariffs Jul2019'!AJ58))</f>
        <v>377.91179999999991</v>
      </c>
      <c r="L64" s="59">
        <f>IF($C$5*'Tariffs Jul2019'!AL58/'Tariffs Jul2019'!AJ58&lt;'Tariffs Jul2019'!K58,0,IF($C$5*'Tariffs Jul2019'!AL58/'Tariffs Jul2019'!AJ58&lt;='Tariffs Jul2019'!L58,($C$5*'Tariffs Jul2019'!AL58/'Tariffs Jul2019'!AJ58-'Tariffs Jul2019'!K58)*('Tariffs Jul2019'!W58/100)*'Tariffs Jul2019'!AJ58,('Tariffs Jul2019'!L58-'Tariffs Jul2019'!K58)*('Tariffs Jul2019'!W58/100)*'Tariffs Jul2019'!AJ58))</f>
        <v>0</v>
      </c>
      <c r="M64" s="59">
        <f>IF($C$5*'Tariffs Jul2019'!AL58/'Tariffs Jul2019'!AJ58&lt;'Tariffs Jul2019'!L58,0,IF($C$5*'Tariffs Jul2019'!AL58/'Tariffs Jul2019'!AJ58&lt;='Tariffs Jul2019'!M58,($C$5*'Tariffs Jul2019'!AL58/'Tariffs Jul2019'!AJ58-'Tariffs Jul2019'!L58)*('Tariffs Jul2019'!X58/100)*'Tariffs Jul2019'!AJ58,('Tariffs Jul2019'!M58-'Tariffs Jul2019'!L58)*('Tariffs Jul2019'!X58/100)*'Tariffs Jul2019'!AJ58))</f>
        <v>0</v>
      </c>
      <c r="N64" s="59">
        <f>IF(($C$5*'Tariffs Jul2019'!AL58/'Tariffs Jul2019'!AJ58&gt;'Tariffs Jul2019'!M58),($C$5*'Tariffs Jul2019'!AL58/'Tariffs Jul2019'!AJ58-'Tariffs Jul2019'!M58)*'Tariffs Jul2019'!Y58/100*'Tariffs Jul2019'!AJ58,0)</f>
        <v>0</v>
      </c>
      <c r="O64" s="271">
        <f t="shared" si="0"/>
        <v>1358.8677</v>
      </c>
      <c r="P64" s="413">
        <f t="shared" si="1"/>
        <v>1494.7544700000001</v>
      </c>
      <c r="Q64" s="59">
        <f t="shared" si="2"/>
        <v>1610.7176999999999</v>
      </c>
      <c r="R64" s="272">
        <f t="shared" si="3"/>
        <v>1771.7894700000002</v>
      </c>
      <c r="S64" s="40">
        <f>'Tariffs Jul2019'!AN58</f>
        <v>10</v>
      </c>
      <c r="T64" s="40">
        <f>'Tariffs Jul2019'!AO58</f>
        <v>0</v>
      </c>
      <c r="U64" s="40">
        <f>'Tariffs Jul2019'!AP58</f>
        <v>0</v>
      </c>
      <c r="V64" s="40">
        <f>'Tariffs Jul2019'!AQ58</f>
        <v>0</v>
      </c>
      <c r="W64" s="273">
        <f>R64-(R64*S64/100)</f>
        <v>1594.6105230000003</v>
      </c>
      <c r="X64" s="273">
        <f>W64</f>
        <v>1594.6105230000003</v>
      </c>
      <c r="Y64" s="272">
        <f>W64</f>
        <v>1594.6105230000003</v>
      </c>
      <c r="Z64" s="272">
        <f>X64</f>
        <v>1594.6105230000003</v>
      </c>
      <c r="AA64" s="274">
        <f>'Tariffs Jul2019'!AZ58</f>
        <v>0</v>
      </c>
      <c r="AB64" s="274" t="str">
        <f>'Tariffs Jul2019'!BA58</f>
        <v>n</v>
      </c>
      <c r="AC64" s="275" t="str">
        <f>'Tariffs Jul2019'!BJ58</f>
        <v>N</v>
      </c>
      <c r="AD64" s="398"/>
      <c r="AE64" s="398"/>
      <c r="AF64" s="398"/>
      <c r="AG64" s="398"/>
      <c r="AH64" s="398"/>
      <c r="AI64" s="398"/>
      <c r="AJ64" s="398"/>
      <c r="AK64" s="398"/>
      <c r="AL64" s="398"/>
      <c r="AM64" s="398"/>
      <c r="AN64" s="398"/>
    </row>
    <row r="65" spans="1:40" x14ac:dyDescent="0.15">
      <c r="A65" s="270" t="str">
        <f>'Tariffs Jul2019'!F59</f>
        <v>Red Energy</v>
      </c>
      <c r="B65" s="40" t="str">
        <f>'Tariffs Jul2019'!D59</f>
        <v>AGN Central 2</v>
      </c>
      <c r="C65" s="40" t="str">
        <f>'Tariffs Jul2019'!G59</f>
        <v>Easy Saver</v>
      </c>
      <c r="D65" s="59">
        <f>365*'Tariffs Jul2019'!H59/100</f>
        <v>256.96000000000004</v>
      </c>
      <c r="E65" s="59">
        <f>IF($C$5*'Tariffs Jul2019'!AK59/'Tariffs Jul2019'!AI59&gt;='Tariffs Jul2019'!J59,( 'Tariffs Jul2019'!J59*'Tariffs Jul2019'!O59/100)* 'Tariffs Jul2019'!AI59,($C$5*'Tariffs Jul2019'!AK59/'Tariffs Jul2019'!AI59*'Tariffs Jul2019'!O59/100)* 'Tariffs Jul2019'!AI59)</f>
        <v>144</v>
      </c>
      <c r="F65" s="59">
        <f>IF($C$5*'Tariffs Jul2019'!AK59/'Tariffs Jul2019'!AI59&lt;'Tariffs Jul2019'!J59,0,IF($C$5*'Tariffs Jul2019'!AK59/'Tariffs Jul2019'!AI59&lt;='Tariffs Jul2019'!K59,($C$5*'Tariffs Jul2019'!AK59/'Tariffs Jul2019'!AI59-'Tariffs Jul2019'!J59)*('Tariffs Jul2019'!S59/100)*'Tariffs Jul2019'!AI59,('Tariffs Jul2019'!K59-'Tariffs Jul2019'!J59)*('Tariffs Jul2019'!S59/100)*'Tariffs Jul2019'!AI59))</f>
        <v>0</v>
      </c>
      <c r="G65" s="59">
        <f>IF($C$5*'Tariffs Jul2019'!AK59/'Tariffs Jul2019'!AI59&lt;'Tariffs Jul2019'!K59,0,IF($C$5*'Tariffs Jul2019'!AK59/'Tariffs Jul2019'!AI59&lt;='Tariffs Jul2019'!L59,($C$5*'Tariffs Jul2019'!AK59/'Tariffs Jul2019'!AI59-'Tariffs Jul2019'!K59)*('Tariffs Jul2019'!Q59/100)*'Tariffs Jul2019'!AI59,('Tariffs Jul2019'!L59-'Tariffs Jul2019'!K59)*('Tariffs Jul2019'!Q59/100)*'Tariffs Jul2019'!AI59))</f>
        <v>0</v>
      </c>
      <c r="H65" s="59">
        <f>IF($C$5*'Tariffs Jul2019'!AK59/'Tariffs Jul2019'!AI59&lt;'Tariffs Jul2019'!L59,0,IF($C$5*'Tariffs Jul2019'!AK59/'Tariffs Jul2019'!AI59&lt;='Tariffs Jul2019'!M59,($C$5*'Tariffs Jul2019'!AK59/'Tariffs Jul2019'!AI59-'Tariffs Jul2019'!L59)*('Tariffs Jul2019'!R59/100)*'Tariffs Jul2019'!AI59,('Tariffs Jul2019'!M59-'Tariffs Jul2019'!L59)*('Tariffs Jul2019'!R59/100)*'Tariffs Jul2019'!AI59))</f>
        <v>0</v>
      </c>
      <c r="I65" s="59">
        <f>IF(($C$5*'Tariffs Jul2019'!AK59/'Tariffs Jul2019'!AI59&gt;'Tariffs Jul2019'!M59),($C$5*'Tariffs Jul2019'!AK59/'Tariffs Jul2019'!AI59-'Tariffs Jul2019'!M59)*'Tariffs Jul2019'!S59/100*'Tariffs Jul2019'!AI59,0)</f>
        <v>283.46030999999994</v>
      </c>
      <c r="J65" s="59">
        <f>IF($C$5*'Tariffs Jul2019'!AL59/'Tariffs Jul2019'!AJ59&gt;='Tariffs Jul2019'!J59,('Tariffs Jul2019'!J59*'Tariffs Jul2019'!U59/100)* 'Tariffs Jul2019'!AJ59,($C$5*'Tariffs Jul2019'!AL59/'Tariffs Jul2019'!AJ59*'Tariffs Jul2019'!U59/100)* 'Tariffs Jul2019'!AJ59)</f>
        <v>288</v>
      </c>
      <c r="K65" s="59">
        <f>IF($C$5*'Tariffs Jul2019'!AL59/'Tariffs Jul2019'!AJ59&lt;'Tariffs Jul2019'!J59,0,IF($C$5*'Tariffs Jul2019'!AL59/'Tariffs Jul2019'!AJ59&lt;='Tariffs Jul2019'!K59,($C$5*'Tariffs Jul2019'!AL59/'Tariffs Jul2019'!AJ59-'Tariffs Jul2019'!J59)*('Tariffs Jul2019'!V59/100)*'Tariffs Jul2019'!AJ59,('Tariffs Jul2019'!K59-'Tariffs Jul2019'!J59)*('Tariffs Jul2019'!V59/100)*'Tariffs Jul2019'!AJ59))</f>
        <v>0</v>
      </c>
      <c r="L65" s="59">
        <f>IF($C$5*'Tariffs Jul2019'!AL59/'Tariffs Jul2019'!AJ59&lt;'Tariffs Jul2019'!K59,0,IF($C$5*'Tariffs Jul2019'!AL59/'Tariffs Jul2019'!AJ59&lt;='Tariffs Jul2019'!L59,($C$5*'Tariffs Jul2019'!AL59/'Tariffs Jul2019'!AJ59-'Tariffs Jul2019'!K59)*('Tariffs Jul2019'!W59/100)*'Tariffs Jul2019'!AJ59,('Tariffs Jul2019'!L59-'Tariffs Jul2019'!K59)*('Tariffs Jul2019'!W59/100)*'Tariffs Jul2019'!AJ59))</f>
        <v>0</v>
      </c>
      <c r="M65" s="59">
        <f>IF($C$5*'Tariffs Jul2019'!AL59/'Tariffs Jul2019'!AJ59&lt;'Tariffs Jul2019'!L59,0,IF($C$5*'Tariffs Jul2019'!AL59/'Tariffs Jul2019'!AJ59&lt;='Tariffs Jul2019'!M59,($C$5*'Tariffs Jul2019'!AL59/'Tariffs Jul2019'!AJ59-'Tariffs Jul2019'!L59)*('Tariffs Jul2019'!X59/100)*'Tariffs Jul2019'!AJ59,('Tariffs Jul2019'!M59-'Tariffs Jul2019'!L59)*('Tariffs Jul2019'!X59/100)*'Tariffs Jul2019'!AJ59))</f>
        <v>0</v>
      </c>
      <c r="N65" s="59">
        <f>IF(($C$5*'Tariffs Jul2019'!AL59/'Tariffs Jul2019'!AJ59&gt;'Tariffs Jul2019'!M59),($C$5*'Tariffs Jul2019'!AL59/'Tariffs Jul2019'!AJ59-'Tariffs Jul2019'!M59)*'Tariffs Jul2019'!Y59/100*'Tariffs Jul2019'!AJ59,0)</f>
        <v>566.92061999999987</v>
      </c>
      <c r="O65" s="271">
        <f t="shared" si="0"/>
        <v>1282.3809299999998</v>
      </c>
      <c r="P65" s="413">
        <f t="shared" si="1"/>
        <v>1410.619023</v>
      </c>
      <c r="Q65" s="59">
        <f t="shared" si="2"/>
        <v>1539.3409299999998</v>
      </c>
      <c r="R65" s="272">
        <f t="shared" si="3"/>
        <v>1693.2750229999999</v>
      </c>
      <c r="S65" s="40">
        <f>'Tariffs Jul2019'!AN59</f>
        <v>0</v>
      </c>
      <c r="T65" s="40">
        <f>'Tariffs Jul2019'!AO59</f>
        <v>0</v>
      </c>
      <c r="U65" s="40">
        <f>'Tariffs Jul2019'!AP59</f>
        <v>10</v>
      </c>
      <c r="V65" s="40">
        <f>'Tariffs Jul2019'!AQ59</f>
        <v>0</v>
      </c>
      <c r="W65" s="273">
        <f>R65</f>
        <v>1693.2750229999999</v>
      </c>
      <c r="X65" s="273">
        <f>W65-(W65*U65/100)</f>
        <v>1523.9475207</v>
      </c>
      <c r="Y65" s="272">
        <f>W65</f>
        <v>1693.2750229999999</v>
      </c>
      <c r="Z65" s="272">
        <f>X65</f>
        <v>1523.9475207</v>
      </c>
      <c r="AA65" s="274">
        <f>'Tariffs Jul2019'!AZ59</f>
        <v>0</v>
      </c>
      <c r="AB65" s="274" t="str">
        <f>'Tariffs Jul2019'!BA59</f>
        <v>n</v>
      </c>
      <c r="AC65" s="275" t="str">
        <f>'Tariffs Jul2019'!BJ59</f>
        <v>N</v>
      </c>
      <c r="AD65" s="398"/>
      <c r="AE65" s="398"/>
      <c r="AF65" s="398"/>
      <c r="AG65" s="398"/>
      <c r="AH65" s="398"/>
      <c r="AI65" s="398"/>
      <c r="AJ65" s="398"/>
      <c r="AK65" s="398"/>
      <c r="AL65" s="398"/>
      <c r="AM65" s="398"/>
      <c r="AN65" s="398"/>
    </row>
    <row r="66" spans="1:40" x14ac:dyDescent="0.15">
      <c r="A66" s="270" t="str">
        <f>'Tariffs Jul2019'!F60</f>
        <v>Simply Energy</v>
      </c>
      <c r="B66" s="40" t="str">
        <f>'Tariffs Jul2019'!D60</f>
        <v>AGN Central 2</v>
      </c>
      <c r="C66" s="40" t="str">
        <f>'Tariffs Jul2019'!G60</f>
        <v>Plus</v>
      </c>
      <c r="D66" s="59">
        <f>365*'Tariffs Jul2019'!H60/100</f>
        <v>233.50045454545452</v>
      </c>
      <c r="E66" s="59">
        <f>IF($C$5*'Tariffs Jul2019'!AK60/'Tariffs Jul2019'!AI60&gt;='Tariffs Jul2019'!J60,( 'Tariffs Jul2019'!J60*'Tariffs Jul2019'!O60/100)* 'Tariffs Jul2019'!AI60,($C$5*'Tariffs Jul2019'!AK60/'Tariffs Jul2019'!AI60*'Tariffs Jul2019'!O60/100)* 'Tariffs Jul2019'!AI60)</f>
        <v>89.129090909090905</v>
      </c>
      <c r="F66" s="59">
        <f>IF($C$5*'Tariffs Jul2019'!AK60/'Tariffs Jul2019'!AI60&lt;'Tariffs Jul2019'!J60,0,IF($C$5*'Tariffs Jul2019'!AK60/'Tariffs Jul2019'!AI60&lt;='Tariffs Jul2019'!K60,($C$5*'Tariffs Jul2019'!AK60/'Tariffs Jul2019'!AI60-'Tariffs Jul2019'!J60)*('Tariffs Jul2019'!P60/100)*'Tariffs Jul2019'!AI60,('Tariffs Jul2019'!K60-'Tariffs Jul2019'!J60)*('Tariffs Jul2019'!P60/100)*'Tariffs Jul2019'!AI60))</f>
        <v>58.388181818181813</v>
      </c>
      <c r="G66" s="59">
        <f>IF($C$5*'Tariffs Jul2019'!AK60/'Tariffs Jul2019'!AI60&lt;'Tariffs Jul2019'!K60,0,IF($C$5*'Tariffs Jul2019'!AK60/'Tariffs Jul2019'!AI60&lt;='Tariffs Jul2019'!L60,($C$5*'Tariffs Jul2019'!AK60/'Tariffs Jul2019'!AI60-'Tariffs Jul2019'!K60)*('Tariffs Jul2019'!Q60/100)*'Tariffs Jul2019'!AI60,('Tariffs Jul2019'!L60-'Tariffs Jul2019'!K60)*('Tariffs Jul2019'!Q60/100)*'Tariffs Jul2019'!AI60))</f>
        <v>0</v>
      </c>
      <c r="H66" s="59">
        <f>IF($C$5*'Tariffs Jul2019'!AK60/'Tariffs Jul2019'!AI60&lt;'Tariffs Jul2019'!L60,0,IF($C$5*'Tariffs Jul2019'!AK60/'Tariffs Jul2019'!AI60&lt;='Tariffs Jul2019'!M60,($C$5*'Tariffs Jul2019'!AK60/'Tariffs Jul2019'!AI60-'Tariffs Jul2019'!L60)*('Tariffs Jul2019'!R60/100)*'Tariffs Jul2019'!AI60,('Tariffs Jul2019'!M60-'Tariffs Jul2019'!L60)*('Tariffs Jul2019'!R60/100)*'Tariffs Jul2019'!AI60))</f>
        <v>0</v>
      </c>
      <c r="I66" s="59">
        <f>IF(($C$5*'Tariffs Jul2019'!AK60/'Tariffs Jul2019'!AI60&gt;'Tariffs Jul2019'!M60),($C$5*'Tariffs Jul2019'!AK60/'Tariffs Jul2019'!AI60-'Tariffs Jul2019'!M60)*'Tariffs Jul2019'!S60/100*'Tariffs Jul2019'!AI60,0)</f>
        <v>268.59875454545448</v>
      </c>
      <c r="J66" s="59">
        <f>IF($C$5*'Tariffs Jul2019'!AL60/'Tariffs Jul2019'!AJ60&gt;='Tariffs Jul2019'!J60,('Tariffs Jul2019'!J60*'Tariffs Jul2019'!U60/100)* 'Tariffs Jul2019'!AJ60,($C$5*'Tariffs Jul2019'!AL60/'Tariffs Jul2019'!AJ60*'Tariffs Jul2019'!U60/100)* 'Tariffs Jul2019'!AJ60)</f>
        <v>178.25818181818181</v>
      </c>
      <c r="K66" s="59">
        <f>IF($C$5*'Tariffs Jul2019'!AL60/'Tariffs Jul2019'!AJ60&lt;'Tariffs Jul2019'!J60,0,IF($C$5*'Tariffs Jul2019'!AL60/'Tariffs Jul2019'!AJ60&lt;='Tariffs Jul2019'!K60,($C$5*'Tariffs Jul2019'!AL60/'Tariffs Jul2019'!AJ60-'Tariffs Jul2019'!J60)*('Tariffs Jul2019'!V60/100)*'Tariffs Jul2019'!AJ60,('Tariffs Jul2019'!K60-'Tariffs Jul2019'!J60)*('Tariffs Jul2019'!V60/100)*'Tariffs Jul2019'!AJ60))</f>
        <v>116.77636363636363</v>
      </c>
      <c r="L66" s="59">
        <f>IF($C$5*'Tariffs Jul2019'!AL60/'Tariffs Jul2019'!AJ60&lt;'Tariffs Jul2019'!K60,0,IF($C$5*'Tariffs Jul2019'!AL60/'Tariffs Jul2019'!AJ60&lt;='Tariffs Jul2019'!L60,($C$5*'Tariffs Jul2019'!AL60/'Tariffs Jul2019'!AJ60-'Tariffs Jul2019'!K60)*('Tariffs Jul2019'!W60/100)*'Tariffs Jul2019'!AJ60,('Tariffs Jul2019'!L60-'Tariffs Jul2019'!K60)*('Tariffs Jul2019'!W60/100)*'Tariffs Jul2019'!AJ60))</f>
        <v>0</v>
      </c>
      <c r="M66" s="59">
        <f>IF($C$5*'Tariffs Jul2019'!AL60/'Tariffs Jul2019'!AJ60&lt;'Tariffs Jul2019'!L60,0,IF($C$5*'Tariffs Jul2019'!AL60/'Tariffs Jul2019'!AJ60&lt;='Tariffs Jul2019'!M60,($C$5*'Tariffs Jul2019'!AL60/'Tariffs Jul2019'!AJ60-'Tariffs Jul2019'!L60)*('Tariffs Jul2019'!X60/100)*'Tariffs Jul2019'!AJ60,('Tariffs Jul2019'!M60-'Tariffs Jul2019'!L60)*('Tariffs Jul2019'!X60/100)*'Tariffs Jul2019'!AJ60))</f>
        <v>0</v>
      </c>
      <c r="N66" s="59">
        <f>IF(($C$5*'Tariffs Jul2019'!AL60/'Tariffs Jul2019'!AJ60&gt;'Tariffs Jul2019'!M60),($C$5*'Tariffs Jul2019'!AL60/'Tariffs Jul2019'!AJ60-'Tariffs Jul2019'!M60)*'Tariffs Jul2019'!Y60/100*'Tariffs Jul2019'!AJ60,0)</f>
        <v>537.19750909090897</v>
      </c>
      <c r="O66" s="271">
        <f t="shared" si="0"/>
        <v>1248.3480818181815</v>
      </c>
      <c r="P66" s="413">
        <f t="shared" si="1"/>
        <v>1373.1828899999998</v>
      </c>
      <c r="Q66" s="59">
        <f t="shared" si="2"/>
        <v>1481.848536363636</v>
      </c>
      <c r="R66" s="272">
        <f t="shared" si="3"/>
        <v>1630.0333899999996</v>
      </c>
      <c r="S66" s="40">
        <f>'Tariffs Jul2019'!AN60</f>
        <v>0</v>
      </c>
      <c r="T66" s="40">
        <f>'Tariffs Jul2019'!AO60</f>
        <v>0</v>
      </c>
      <c r="U66" s="40">
        <f>'Tariffs Jul2019'!AP60</f>
        <v>0</v>
      </c>
      <c r="V66" s="40">
        <f>'Tariffs Jul2019'!AQ60</f>
        <v>0</v>
      </c>
      <c r="W66" s="273">
        <f t="shared" ref="W66:W71" si="9">Q66</f>
        <v>1481.848536363636</v>
      </c>
      <c r="X66" s="273">
        <f>W66</f>
        <v>1481.848536363636</v>
      </c>
      <c r="Y66" s="272">
        <f t="shared" si="4"/>
        <v>1630.0333899999996</v>
      </c>
      <c r="Z66" s="272">
        <f t="shared" si="4"/>
        <v>1630.0333899999996</v>
      </c>
      <c r="AA66" s="274">
        <f>'Tariffs Jul2019'!AZ60</f>
        <v>0</v>
      </c>
      <c r="AB66" s="274" t="str">
        <f>'Tariffs Jul2019'!BA60</f>
        <v>n</v>
      </c>
      <c r="AC66" s="275" t="str">
        <f>'Tariffs Jul2019'!BJ60</f>
        <v>Y</v>
      </c>
      <c r="AD66" s="398"/>
      <c r="AE66" s="398"/>
      <c r="AF66" s="398"/>
      <c r="AG66" s="398"/>
      <c r="AH66" s="398"/>
      <c r="AI66" s="398"/>
      <c r="AJ66" s="398"/>
      <c r="AK66" s="398"/>
      <c r="AL66" s="398"/>
      <c r="AM66" s="398"/>
      <c r="AN66" s="398"/>
    </row>
    <row r="67" spans="1:40" x14ac:dyDescent="0.15">
      <c r="A67" s="270" t="str">
        <f>'Tariffs Jul2019'!F61</f>
        <v>Sumo Power</v>
      </c>
      <c r="B67" s="40" t="str">
        <f>'Tariffs Jul2019'!D61</f>
        <v>AGN Central 2</v>
      </c>
      <c r="C67" s="40" t="str">
        <f>'Tariffs Jul2019'!G61</f>
        <v>Select</v>
      </c>
      <c r="D67" s="59">
        <f>365*'Tariffs Jul2019'!H61/100</f>
        <v>273.75</v>
      </c>
      <c r="E67" s="59">
        <f>IF($C$5*'Tariffs Jul2019'!AK61/'Tariffs Jul2019'!AI61&gt;='Tariffs Jul2019'!J61,( 'Tariffs Jul2019'!J61*'Tariffs Jul2019'!O61/100)* 'Tariffs Jul2019'!AI61,($C$5*'Tariffs Jul2019'!AK61/'Tariffs Jul2019'!AI61*'Tariffs Jul2019'!O61/100)* 'Tariffs Jul2019'!AI61)</f>
        <v>75.071818181818159</v>
      </c>
      <c r="F67" s="59">
        <f>IF($C$5*'Tariffs Jul2019'!AK61/'Tariffs Jul2019'!AI61&lt;'Tariffs Jul2019'!J61,0,IF($C$5*'Tariffs Jul2019'!AK61/'Tariffs Jul2019'!AI61&lt;='Tariffs Jul2019'!K61,($C$5*'Tariffs Jul2019'!AK61/'Tariffs Jul2019'!AI61-'Tariffs Jul2019'!J61)*('Tariffs Jul2019'!S61/100)*'Tariffs Jul2019'!AI61,('Tariffs Jul2019'!K61-'Tariffs Jul2019'!J61)*('Tariffs Jul2019'!S61/100)*'Tariffs Jul2019'!AI61))</f>
        <v>43.852727272727272</v>
      </c>
      <c r="G67" s="59">
        <f>IF($C$5*'Tariffs Jul2019'!AK61/'Tariffs Jul2019'!AI61&lt;'Tariffs Jul2019'!K61,0,IF($C$5*'Tariffs Jul2019'!AK61/'Tariffs Jul2019'!AI61&lt;='Tariffs Jul2019'!L61,($C$5*'Tariffs Jul2019'!AK61/'Tariffs Jul2019'!AI61-'Tariffs Jul2019'!K61)*('Tariffs Jul2019'!Q61/100)*'Tariffs Jul2019'!AI61,('Tariffs Jul2019'!L61-'Tariffs Jul2019'!K61)*('Tariffs Jul2019'!Q61/100)*'Tariffs Jul2019'!AI61))</f>
        <v>0</v>
      </c>
      <c r="H67" s="59">
        <f>IF($C$5*'Tariffs Jul2019'!AK61/'Tariffs Jul2019'!AI61&lt;'Tariffs Jul2019'!L61,0,IF($C$5*'Tariffs Jul2019'!AK61/'Tariffs Jul2019'!AI61&lt;='Tariffs Jul2019'!M61,($C$5*'Tariffs Jul2019'!AK61/'Tariffs Jul2019'!AI61-'Tariffs Jul2019'!L61)*('Tariffs Jul2019'!R61/100)*'Tariffs Jul2019'!AI61,('Tariffs Jul2019'!M61-'Tariffs Jul2019'!L61)*('Tariffs Jul2019'!R61/100)*'Tariffs Jul2019'!AI61))</f>
        <v>0</v>
      </c>
      <c r="I67" s="59">
        <f>IF(($C$5*'Tariffs Jul2019'!AK61/'Tariffs Jul2019'!AI61&gt;'Tariffs Jul2019'!M61),($C$5*'Tariffs Jul2019'!AK61/'Tariffs Jul2019'!AI61-'Tariffs Jul2019'!M61)*'Tariffs Jul2019'!S61/100*'Tariffs Jul2019'!AI61,0)</f>
        <v>242.69329090909088</v>
      </c>
      <c r="J67" s="59">
        <f>IF($C$5*'Tariffs Jul2019'!AL61/'Tariffs Jul2019'!AJ61&gt;='Tariffs Jul2019'!J61,('Tariffs Jul2019'!J61*'Tariffs Jul2019'!U61/100)* 'Tariffs Jul2019'!AJ61,($C$5*'Tariffs Jul2019'!AL61/'Tariffs Jul2019'!AJ61*'Tariffs Jul2019'!U61/100)* 'Tariffs Jul2019'!AJ61)</f>
        <v>150.14363636363632</v>
      </c>
      <c r="K67" s="59">
        <f>IF($C$5*'Tariffs Jul2019'!AL61/'Tariffs Jul2019'!AJ61&lt;'Tariffs Jul2019'!J61,0,IF($C$5*'Tariffs Jul2019'!AL61/'Tariffs Jul2019'!AJ61&lt;='Tariffs Jul2019'!K61,($C$5*'Tariffs Jul2019'!AL61/'Tariffs Jul2019'!AJ61-'Tariffs Jul2019'!J61)*('Tariffs Jul2019'!V61/100)*'Tariffs Jul2019'!AJ61,('Tariffs Jul2019'!K61-'Tariffs Jul2019'!J61)*('Tariffs Jul2019'!V61/100)*'Tariffs Jul2019'!AJ61))</f>
        <v>120.22545454545453</v>
      </c>
      <c r="L67" s="59">
        <f>IF($C$5*'Tariffs Jul2019'!AL61/'Tariffs Jul2019'!AJ61&lt;'Tariffs Jul2019'!K61,0,IF($C$5*'Tariffs Jul2019'!AL61/'Tariffs Jul2019'!AJ61&lt;='Tariffs Jul2019'!L61,($C$5*'Tariffs Jul2019'!AL61/'Tariffs Jul2019'!AJ61-'Tariffs Jul2019'!K61)*('Tariffs Jul2019'!W61/100)*'Tariffs Jul2019'!AJ61,('Tariffs Jul2019'!L61-'Tariffs Jul2019'!K61)*('Tariffs Jul2019'!W61/100)*'Tariffs Jul2019'!AJ61))</f>
        <v>0</v>
      </c>
      <c r="M67" s="59">
        <f>IF($C$5*'Tariffs Jul2019'!AL61/'Tariffs Jul2019'!AJ61&lt;'Tariffs Jul2019'!L61,0,IF($C$5*'Tariffs Jul2019'!AL61/'Tariffs Jul2019'!AJ61&lt;='Tariffs Jul2019'!M61,($C$5*'Tariffs Jul2019'!AL61/'Tariffs Jul2019'!AJ61-'Tariffs Jul2019'!L61)*('Tariffs Jul2019'!X61/100)*'Tariffs Jul2019'!AJ61,('Tariffs Jul2019'!M61-'Tariffs Jul2019'!L61)*('Tariffs Jul2019'!X61/100)*'Tariffs Jul2019'!AJ61))</f>
        <v>0</v>
      </c>
      <c r="N67" s="59">
        <f>IF(($C$5*'Tariffs Jul2019'!AL61/'Tariffs Jul2019'!AJ61&gt;'Tariffs Jul2019'!M61),($C$5*'Tariffs Jul2019'!AL61/'Tariffs Jul2019'!AJ61-'Tariffs Jul2019'!M61)*'Tariffs Jul2019'!Y61/100*'Tariffs Jul2019'!AJ61,0)</f>
        <v>485.38658181818175</v>
      </c>
      <c r="O67" s="271">
        <f t="shared" si="0"/>
        <v>1117.373509090909</v>
      </c>
      <c r="P67" s="413">
        <f t="shared" si="1"/>
        <v>1229.11086</v>
      </c>
      <c r="Q67" s="59">
        <f t="shared" si="2"/>
        <v>1391.123509090909</v>
      </c>
      <c r="R67" s="272">
        <f t="shared" si="3"/>
        <v>1530.23586</v>
      </c>
      <c r="S67" s="40">
        <f>'Tariffs Jul2019'!AN61</f>
        <v>0</v>
      </c>
      <c r="T67" s="40">
        <f>'Tariffs Jul2019'!AO61</f>
        <v>0</v>
      </c>
      <c r="U67" s="40">
        <f>'Tariffs Jul2019'!AP61</f>
        <v>5</v>
      </c>
      <c r="V67" s="40">
        <f>'Tariffs Jul2019'!AQ61</f>
        <v>0</v>
      </c>
      <c r="W67" s="273">
        <f t="shared" si="9"/>
        <v>1391.123509090909</v>
      </c>
      <c r="X67" s="273">
        <f>W67-(Q67*U67/100)</f>
        <v>1321.5673336363636</v>
      </c>
      <c r="Y67" s="272">
        <f t="shared" si="4"/>
        <v>1530.23586</v>
      </c>
      <c r="Z67" s="272">
        <f t="shared" si="4"/>
        <v>1453.7240670000001</v>
      </c>
      <c r="AA67" s="274">
        <f>'Tariffs Jul2019'!AZ61</f>
        <v>0</v>
      </c>
      <c r="AB67" s="274" t="str">
        <f>'Tariffs Jul2019'!BA61</f>
        <v>n</v>
      </c>
      <c r="AC67" s="275" t="str">
        <f>'Tariffs Jul2019'!BJ61</f>
        <v>Y</v>
      </c>
      <c r="AD67" s="398"/>
      <c r="AE67" s="398"/>
      <c r="AF67" s="398"/>
      <c r="AG67" s="398"/>
      <c r="AH67" s="398"/>
      <c r="AI67" s="398"/>
      <c r="AJ67" s="398"/>
      <c r="AK67" s="398"/>
      <c r="AL67" s="398"/>
      <c r="AM67" s="398"/>
      <c r="AN67" s="398"/>
    </row>
    <row r="68" spans="1:40" x14ac:dyDescent="0.15">
      <c r="A68" s="270" t="str">
        <f>'Tariffs Jul2019'!F62</f>
        <v>Amaysim</v>
      </c>
      <c r="B68" s="40" t="str">
        <f>'Tariffs Jul2019'!D62</f>
        <v>AGN Central 2</v>
      </c>
      <c r="C68" s="40" t="str">
        <f>'Tariffs Jul2019'!G62</f>
        <v>Gas as you go</v>
      </c>
      <c r="D68" s="59">
        <f>365*'Tariffs Jul2019'!H62/100</f>
        <v>199.0564</v>
      </c>
      <c r="E68" s="59">
        <f>IF($C$5*'Tariffs Jul2019'!AK62/'Tariffs Jul2019'!AI62&gt;='Tariffs Jul2019'!J62,( 'Tariffs Jul2019'!J62*'Tariffs Jul2019'!O62/100)* 'Tariffs Jul2019'!AI62,($C$5*'Tariffs Jul2019'!AK62/'Tariffs Jul2019'!AI62*'Tariffs Jul2019'!O62/100)* 'Tariffs Jul2019'!AI62)</f>
        <v>83.894999999999996</v>
      </c>
      <c r="F68" s="59">
        <f>IF($C$5*'Tariffs Jul2019'!AK62/'Tariffs Jul2019'!AI62&lt;'Tariffs Jul2019'!J62,0,IF($C$5*'Tariffs Jul2019'!AK62/'Tariffs Jul2019'!AI62&lt;='Tariffs Jul2019'!K62,($C$5*'Tariffs Jul2019'!AK62/'Tariffs Jul2019'!AI62-'Tariffs Jul2019'!J62)*('Tariffs Jul2019'!P62/100)*'Tariffs Jul2019'!AI62,('Tariffs Jul2019'!K62-'Tariffs Jul2019'!J62)*('Tariffs Jul2019'!P62/100)*'Tariffs Jul2019'!AI62))</f>
        <v>58.969600000000007</v>
      </c>
      <c r="G68" s="59">
        <f>IF($C$5*'Tariffs Jul2019'!AK62/'Tariffs Jul2019'!AI62&lt;'Tariffs Jul2019'!K62,0,IF($C$5*'Tariffs Jul2019'!AK62/'Tariffs Jul2019'!AI62&lt;='Tariffs Jul2019'!L62,($C$5*'Tariffs Jul2019'!AK62/'Tariffs Jul2019'!AI62-'Tariffs Jul2019'!K62)*('Tariffs Jul2019'!Q62/100)*'Tariffs Jul2019'!AI62,('Tariffs Jul2019'!L62-'Tariffs Jul2019'!K62)*('Tariffs Jul2019'!Q62/100)*'Tariffs Jul2019'!AI62))</f>
        <v>0</v>
      </c>
      <c r="H68" s="59">
        <f>IF($C$5*'Tariffs Jul2019'!AK62/'Tariffs Jul2019'!AI62&lt;'Tariffs Jul2019'!L62,0,IF($C$5*'Tariffs Jul2019'!AK62/'Tariffs Jul2019'!AI62&lt;='Tariffs Jul2019'!M62,($C$5*'Tariffs Jul2019'!AK62/'Tariffs Jul2019'!AI62-'Tariffs Jul2019'!L62)*('Tariffs Jul2019'!R62/100)*'Tariffs Jul2019'!AI62,('Tariffs Jul2019'!M62-'Tariffs Jul2019'!L62)*('Tariffs Jul2019'!R62/100)*'Tariffs Jul2019'!AI62))</f>
        <v>0</v>
      </c>
      <c r="I68" s="59">
        <f>IF(($C$5*'Tariffs Jul2019'!AK62/'Tariffs Jul2019'!AI62&gt;'Tariffs Jul2019'!M62),($C$5*'Tariffs Jul2019'!AK62/'Tariffs Jul2019'!AI62-'Tariffs Jul2019'!M62)*'Tariffs Jul2019'!S62/100*'Tariffs Jul2019'!AI62,0)</f>
        <v>280.46072999999996</v>
      </c>
      <c r="J68" s="59">
        <f>IF($C$5*'Tariffs Jul2019'!AL62/'Tariffs Jul2019'!AJ62&gt;='Tariffs Jul2019'!J62,('Tariffs Jul2019'!J62*'Tariffs Jul2019'!U62/100)* 'Tariffs Jul2019'!AJ62,($C$5*'Tariffs Jul2019'!AL62/'Tariffs Jul2019'!AJ62*'Tariffs Jul2019'!U62/100)* 'Tariffs Jul2019'!AJ62)</f>
        <v>167.79</v>
      </c>
      <c r="K68" s="59">
        <f>IF($C$5*'Tariffs Jul2019'!AL62/'Tariffs Jul2019'!AJ62&lt;'Tariffs Jul2019'!J62,0,IF($C$5*'Tariffs Jul2019'!AL62/'Tariffs Jul2019'!AJ62&lt;='Tariffs Jul2019'!K62,($C$5*'Tariffs Jul2019'!AL62/'Tariffs Jul2019'!AJ62-'Tariffs Jul2019'!J62)*('Tariffs Jul2019'!V62/100)*'Tariffs Jul2019'!AJ62,('Tariffs Jul2019'!K62-'Tariffs Jul2019'!J62)*('Tariffs Jul2019'!V62/100)*'Tariffs Jul2019'!AJ62))</f>
        <v>117.93920000000001</v>
      </c>
      <c r="L68" s="59">
        <f>IF($C$5*'Tariffs Jul2019'!AL62/'Tariffs Jul2019'!AJ62&lt;'Tariffs Jul2019'!K62,0,IF($C$5*'Tariffs Jul2019'!AL62/'Tariffs Jul2019'!AJ62&lt;='Tariffs Jul2019'!L62,($C$5*'Tariffs Jul2019'!AL62/'Tariffs Jul2019'!AJ62-'Tariffs Jul2019'!K62)*('Tariffs Jul2019'!W62/100)*'Tariffs Jul2019'!AJ62,('Tariffs Jul2019'!L62-'Tariffs Jul2019'!K62)*('Tariffs Jul2019'!W62/100)*'Tariffs Jul2019'!AJ62))</f>
        <v>0</v>
      </c>
      <c r="M68" s="59">
        <f>IF($C$5*'Tariffs Jul2019'!AL62/'Tariffs Jul2019'!AJ62&lt;'Tariffs Jul2019'!L62,0,IF($C$5*'Tariffs Jul2019'!AL62/'Tariffs Jul2019'!AJ62&lt;='Tariffs Jul2019'!M62,($C$5*'Tariffs Jul2019'!AL62/'Tariffs Jul2019'!AJ62-'Tariffs Jul2019'!L62)*('Tariffs Jul2019'!X62/100)*'Tariffs Jul2019'!AJ62,('Tariffs Jul2019'!M62-'Tariffs Jul2019'!L62)*('Tariffs Jul2019'!X62/100)*'Tariffs Jul2019'!AJ62))</f>
        <v>0</v>
      </c>
      <c r="N68" s="59">
        <f>IF(($C$5*'Tariffs Jul2019'!AL62/'Tariffs Jul2019'!AJ62&gt;'Tariffs Jul2019'!M62),($C$5*'Tariffs Jul2019'!AL62/'Tariffs Jul2019'!AJ62-'Tariffs Jul2019'!M62)*'Tariffs Jul2019'!Y62/100*'Tariffs Jul2019'!AJ62,0)</f>
        <v>560.92145999999991</v>
      </c>
      <c r="O68" s="271">
        <f t="shared" si="0"/>
        <v>1269.9759899999999</v>
      </c>
      <c r="P68" s="413">
        <f t="shared" si="1"/>
        <v>1396.9735889999999</v>
      </c>
      <c r="Q68" s="59">
        <f t="shared" si="2"/>
        <v>1469.0323899999999</v>
      </c>
      <c r="R68" s="272">
        <f t="shared" si="3"/>
        <v>1615.9356290000001</v>
      </c>
      <c r="S68" s="40">
        <f>'Tariffs Jul2019'!AN62</f>
        <v>0</v>
      </c>
      <c r="T68" s="40">
        <f>'Tariffs Jul2019'!AO62</f>
        <v>0</v>
      </c>
      <c r="U68" s="40">
        <f>'Tariffs Jul2019'!AP62</f>
        <v>0</v>
      </c>
      <c r="V68" s="40">
        <f>'Tariffs Jul2019'!AQ62</f>
        <v>0</v>
      </c>
      <c r="W68" s="273">
        <f t="shared" si="9"/>
        <v>1469.0323899999999</v>
      </c>
      <c r="X68" s="273">
        <f>W68</f>
        <v>1469.0323899999999</v>
      </c>
      <c r="Y68" s="272">
        <f t="shared" si="4"/>
        <v>1615.9356290000001</v>
      </c>
      <c r="Z68" s="272">
        <f t="shared" si="4"/>
        <v>1615.9356290000001</v>
      </c>
      <c r="AA68" s="274">
        <f>'Tariffs Jul2019'!AZ62</f>
        <v>0</v>
      </c>
      <c r="AB68" s="274" t="str">
        <f>'Tariffs Jul2019'!BA62</f>
        <v>n</v>
      </c>
      <c r="AC68" s="275" t="str">
        <f>'Tariffs Jul2019'!BJ62</f>
        <v>N</v>
      </c>
      <c r="AD68" s="398"/>
      <c r="AE68" s="398"/>
      <c r="AF68" s="398"/>
      <c r="AG68" s="398"/>
      <c r="AH68" s="398"/>
      <c r="AI68" s="398"/>
      <c r="AJ68" s="398"/>
      <c r="AK68" s="398"/>
      <c r="AL68" s="398"/>
      <c r="AM68" s="398"/>
      <c r="AN68" s="398"/>
    </row>
    <row r="69" spans="1:40" x14ac:dyDescent="0.15">
      <c r="A69" s="270" t="str">
        <f>'Tariffs Jul2019'!F63</f>
        <v>GloBird Energy</v>
      </c>
      <c r="B69" s="40" t="str">
        <f>'Tariffs Jul2019'!D63</f>
        <v>AGN Central 2</v>
      </c>
      <c r="C69" s="40" t="str">
        <f>'Tariffs Jul2019'!G63</f>
        <v>GloSave</v>
      </c>
      <c r="D69" s="59">
        <f>365*'Tariffs Jul2019'!H63/100</f>
        <v>219</v>
      </c>
      <c r="E69" s="59">
        <f>IF($C$5*'Tariffs Jul2019'!AK63/'Tariffs Jul2019'!AI63&gt;='Tariffs Jul2019'!J63,( 'Tariffs Jul2019'!J63*'Tariffs Jul2019'!O63/100)* 'Tariffs Jul2019'!AI63,($C$5*'Tariffs Jul2019'!AK63/'Tariffs Jul2019'!AI63*'Tariffs Jul2019'!O63/100)* 'Tariffs Jul2019'!AI63)</f>
        <v>225.6</v>
      </c>
      <c r="F69" s="59">
        <f>IF($C$5*'Tariffs Jul2019'!AK63/'Tariffs Jul2019'!AI63&lt;'Tariffs Jul2019'!J63,0,IF($C$5*'Tariffs Jul2019'!AK63/'Tariffs Jul2019'!AI63&lt;='Tariffs Jul2019'!K63,($C$5*'Tariffs Jul2019'!AK63/'Tariffs Jul2019'!AI63-'Tariffs Jul2019'!J63)*('Tariffs Jul2019'!P63/100)*'Tariffs Jul2019'!AI63,('Tariffs Jul2019'!K63-'Tariffs Jul2019'!J63)*('Tariffs Jul2019'!P63/100)*'Tariffs Jul2019'!AI63))</f>
        <v>0</v>
      </c>
      <c r="G69" s="59">
        <f>IF($C$5*'Tariffs Jul2019'!AK63/'Tariffs Jul2019'!AI63&lt;'Tariffs Jul2019'!K63,0,IF($C$5*'Tariffs Jul2019'!AK63/'Tariffs Jul2019'!AI63&lt;='Tariffs Jul2019'!L63,($C$5*'Tariffs Jul2019'!AK63/'Tariffs Jul2019'!AI63-'Tariffs Jul2019'!K63)*('Tariffs Jul2019'!Q63/100)*'Tariffs Jul2019'!AI63,('Tariffs Jul2019'!L63-'Tariffs Jul2019'!K63)*('Tariffs Jul2019'!Q63/100)*'Tariffs Jul2019'!AI63))</f>
        <v>0</v>
      </c>
      <c r="H69" s="59">
        <f>IF($C$5*'Tariffs Jul2019'!AK63/'Tariffs Jul2019'!AI63&lt;'Tariffs Jul2019'!L63,0,IF($C$5*'Tariffs Jul2019'!AK63/'Tariffs Jul2019'!AI63&lt;='Tariffs Jul2019'!M63,($C$5*'Tariffs Jul2019'!AK63/'Tariffs Jul2019'!AI63-'Tariffs Jul2019'!L63)*('Tariffs Jul2019'!R63/100)*'Tariffs Jul2019'!AI63,('Tariffs Jul2019'!M63-'Tariffs Jul2019'!L63)*('Tariffs Jul2019'!R63/100)*'Tariffs Jul2019'!AI63))</f>
        <v>0</v>
      </c>
      <c r="I69" s="59">
        <f>IF(($C$5*'Tariffs Jul2019'!AK63/'Tariffs Jul2019'!AI63&gt;'Tariffs Jul2019'!M63),($C$5*'Tariffs Jul2019'!AK63/'Tariffs Jul2019'!AI63-'Tariffs Jul2019'!M63)*'Tariffs Jul2019'!S63/100*'Tariffs Jul2019'!AI63,0)</f>
        <v>169.16051999999996</v>
      </c>
      <c r="J69" s="59">
        <f>IF($C$5*'Tariffs Jul2019'!AL63/'Tariffs Jul2019'!AJ63&gt;='Tariffs Jul2019'!J63,('Tariffs Jul2019'!J63*'Tariffs Jul2019'!U63/100)* 'Tariffs Jul2019'!AJ63,($C$5*'Tariffs Jul2019'!AL63/'Tariffs Jul2019'!AJ63*'Tariffs Jul2019'!U63/100)* 'Tariffs Jul2019'!AJ63)</f>
        <v>451.2</v>
      </c>
      <c r="K69" s="59">
        <f>IF($C$5*'Tariffs Jul2019'!AL63/'Tariffs Jul2019'!AJ63&lt;'Tariffs Jul2019'!J63,0,IF($C$5*'Tariffs Jul2019'!AL63/'Tariffs Jul2019'!AJ63&lt;='Tariffs Jul2019'!K63,($C$5*'Tariffs Jul2019'!AL63/'Tariffs Jul2019'!AJ63-'Tariffs Jul2019'!J63)*('Tariffs Jul2019'!V63/100)*'Tariffs Jul2019'!AJ63,('Tariffs Jul2019'!K63-'Tariffs Jul2019'!J63)*('Tariffs Jul2019'!V63/100)*'Tariffs Jul2019'!AJ63))</f>
        <v>0</v>
      </c>
      <c r="L69" s="59">
        <f>IF($C$5*'Tariffs Jul2019'!AL63/'Tariffs Jul2019'!AJ63&lt;'Tariffs Jul2019'!K63,0,IF($C$5*'Tariffs Jul2019'!AL63/'Tariffs Jul2019'!AJ63&lt;='Tariffs Jul2019'!L63,($C$5*'Tariffs Jul2019'!AL63/'Tariffs Jul2019'!AJ63-'Tariffs Jul2019'!K63)*('Tariffs Jul2019'!W63/100)*'Tariffs Jul2019'!AJ63,('Tariffs Jul2019'!L63-'Tariffs Jul2019'!K63)*('Tariffs Jul2019'!W63/100)*'Tariffs Jul2019'!AJ63))</f>
        <v>0</v>
      </c>
      <c r="M69" s="59">
        <f>IF($C$5*'Tariffs Jul2019'!AL63/'Tariffs Jul2019'!AJ63&lt;'Tariffs Jul2019'!L63,0,IF($C$5*'Tariffs Jul2019'!AL63/'Tariffs Jul2019'!AJ63&lt;='Tariffs Jul2019'!M63,($C$5*'Tariffs Jul2019'!AL63/'Tariffs Jul2019'!AJ63-'Tariffs Jul2019'!L63)*('Tariffs Jul2019'!X63/100)*'Tariffs Jul2019'!AJ63,('Tariffs Jul2019'!M63-'Tariffs Jul2019'!L63)*('Tariffs Jul2019'!X63/100)*'Tariffs Jul2019'!AJ63))</f>
        <v>0</v>
      </c>
      <c r="N69" s="59">
        <f>IF(($C$5*'Tariffs Jul2019'!AL63/'Tariffs Jul2019'!AJ63&gt;'Tariffs Jul2019'!M63),($C$5*'Tariffs Jul2019'!AL63/'Tariffs Jul2019'!AJ63-'Tariffs Jul2019'!M63)*'Tariffs Jul2019'!Y63/100*'Tariffs Jul2019'!AJ63,0)</f>
        <v>338.32103999999993</v>
      </c>
      <c r="O69" s="271">
        <f t="shared" si="0"/>
        <v>1184.2815599999999</v>
      </c>
      <c r="P69" s="413">
        <f t="shared" si="1"/>
        <v>1302.7097160000001</v>
      </c>
      <c r="Q69" s="59">
        <f t="shared" si="2"/>
        <v>1403.2815599999999</v>
      </c>
      <c r="R69" s="272">
        <f t="shared" si="3"/>
        <v>1543.6097159999999</v>
      </c>
      <c r="S69" s="40">
        <f>'Tariffs Jul2019'!AN63</f>
        <v>0</v>
      </c>
      <c r="T69" s="40">
        <f>'Tariffs Jul2019'!AO63</f>
        <v>0</v>
      </c>
      <c r="U69" s="40">
        <f>'Tariffs Jul2019'!AP63</f>
        <v>5</v>
      </c>
      <c r="V69" s="40">
        <f>'Tariffs Jul2019'!AQ63</f>
        <v>0</v>
      </c>
      <c r="W69" s="273">
        <f t="shared" si="9"/>
        <v>1403.2815599999999</v>
      </c>
      <c r="X69" s="273">
        <f>W69-(Q69*U69/100)</f>
        <v>1333.1174819999999</v>
      </c>
      <c r="Y69" s="272">
        <f t="shared" si="4"/>
        <v>1543.6097159999999</v>
      </c>
      <c r="Z69" s="272">
        <f t="shared" si="4"/>
        <v>1466.4292301999999</v>
      </c>
      <c r="AA69" s="274">
        <f>'Tariffs Jul2019'!AZ63</f>
        <v>0</v>
      </c>
      <c r="AB69" s="274" t="str">
        <f>'Tariffs Jul2019'!BA63</f>
        <v>n</v>
      </c>
      <c r="AC69" s="275" t="str">
        <f>'Tariffs Jul2019'!BJ63</f>
        <v>N</v>
      </c>
      <c r="AD69" s="398"/>
      <c r="AE69" s="398"/>
      <c r="AF69" s="398"/>
      <c r="AG69" s="398"/>
      <c r="AH69" s="398"/>
      <c r="AI69" s="398"/>
      <c r="AJ69" s="398"/>
      <c r="AK69" s="398"/>
      <c r="AL69" s="398"/>
      <c r="AM69" s="398"/>
      <c r="AN69" s="398"/>
    </row>
    <row r="70" spans="1:40" x14ac:dyDescent="0.15">
      <c r="A70" s="270" t="str">
        <f>'Tariffs Jul2019'!F64</f>
        <v>Powershop</v>
      </c>
      <c r="B70" s="40" t="str">
        <f>'Tariffs Jul2019'!D64</f>
        <v>AGN Central 2</v>
      </c>
      <c r="C70" s="40" t="str">
        <f>'Tariffs Jul2019'!G64</f>
        <v>Shopper with Gas Saver</v>
      </c>
      <c r="D70" s="59">
        <f>365*'Tariffs Jul2019'!H64/100</f>
        <v>308.97250000000003</v>
      </c>
      <c r="E70" s="59">
        <f>((C$5*'Tariffs Jul2019'!AK64/'Tariffs Jul2019'!AI64)*('Tariffs Jul2019'!O64/100))*'Tariffs Jul2019'!AI64</f>
        <v>363.26366999999993</v>
      </c>
      <c r="F70" s="59">
        <v>0</v>
      </c>
      <c r="G70" s="59">
        <v>0</v>
      </c>
      <c r="H70" s="59">
        <v>0</v>
      </c>
      <c r="I70" s="59">
        <v>0</v>
      </c>
      <c r="J70" s="59">
        <f>((C$5*'Tariffs Jul2019'!AL64/'Tariffs Jul2019'!AJ64)*('Tariffs Jul2019'!U64/100))*'Tariffs Jul2019'!AJ64</f>
        <v>726.52733999999987</v>
      </c>
      <c r="K70" s="59">
        <v>0</v>
      </c>
      <c r="L70" s="59">
        <v>0</v>
      </c>
      <c r="M70" s="59">
        <v>0</v>
      </c>
      <c r="N70" s="59">
        <v>0</v>
      </c>
      <c r="O70" s="271">
        <f t="shared" si="0"/>
        <v>1089.7910099999999</v>
      </c>
      <c r="P70" s="413">
        <f t="shared" si="1"/>
        <v>1198.770111</v>
      </c>
      <c r="Q70" s="59">
        <f t="shared" si="2"/>
        <v>1398.76351</v>
      </c>
      <c r="R70" s="272">
        <f t="shared" si="3"/>
        <v>1538.6398610000001</v>
      </c>
      <c r="S70" s="40">
        <f>'Tariffs Jul2019'!AN64</f>
        <v>0</v>
      </c>
      <c r="T70" s="40">
        <f>'Tariffs Jul2019'!AO64</f>
        <v>0</v>
      </c>
      <c r="U70" s="40">
        <f>'Tariffs Jul2019'!AP64</f>
        <v>5</v>
      </c>
      <c r="V70" s="40">
        <f>'Tariffs Jul2019'!AQ64</f>
        <v>0</v>
      </c>
      <c r="W70" s="273">
        <f>R70</f>
        <v>1538.6398610000001</v>
      </c>
      <c r="X70" s="273">
        <f>W70-(W70*U70/100)</f>
        <v>1461.70786795</v>
      </c>
      <c r="Y70" s="272">
        <f>W70</f>
        <v>1538.6398610000001</v>
      </c>
      <c r="Z70" s="272">
        <f>X70</f>
        <v>1461.70786795</v>
      </c>
      <c r="AA70" s="274">
        <f>'Tariffs Jul2019'!AZ64</f>
        <v>0</v>
      </c>
      <c r="AB70" s="274" t="str">
        <f>'Tariffs Jul2019'!BA64</f>
        <v>n</v>
      </c>
      <c r="AC70" s="275" t="str">
        <f>'Tariffs Jul2019'!BJ64</f>
        <v>Y</v>
      </c>
      <c r="AD70" s="398"/>
      <c r="AE70" s="398"/>
      <c r="AF70" s="398"/>
      <c r="AG70" s="398"/>
      <c r="AH70" s="398"/>
      <c r="AI70" s="398"/>
      <c r="AJ70" s="398"/>
      <c r="AK70" s="398"/>
      <c r="AL70" s="398"/>
      <c r="AM70" s="398"/>
      <c r="AN70" s="398"/>
    </row>
    <row r="71" spans="1:40" ht="14" thickBot="1" x14ac:dyDescent="0.2">
      <c r="A71" s="276" t="str">
        <f>'Tariffs Jul2019'!F65</f>
        <v>DC Power Co</v>
      </c>
      <c r="B71" s="277" t="str">
        <f>'Tariffs Jul2019'!D65</f>
        <v>AGN Central 2</v>
      </c>
      <c r="C71" s="277" t="str">
        <f>'Tariffs Jul2019'!G65</f>
        <v>Market offer</v>
      </c>
      <c r="D71" s="278">
        <f>365*'Tariffs Jul2019'!H65/100</f>
        <v>316.05681818181813</v>
      </c>
      <c r="E71" s="278">
        <f>((C$5*'Tariffs Jul2019'!AK65/'Tariffs Jul2019'!AI65)*('Tariffs Jul2019'!O65/100))*'Tariffs Jul2019'!AI65</f>
        <v>372.23549999999989</v>
      </c>
      <c r="F71" s="278">
        <v>0</v>
      </c>
      <c r="G71" s="278">
        <v>0</v>
      </c>
      <c r="H71" s="278">
        <v>0</v>
      </c>
      <c r="I71" s="278">
        <v>0</v>
      </c>
      <c r="J71" s="278">
        <f>((C$5*'Tariffs Jul2019'!AL65/'Tariffs Jul2019'!AJ65)*('Tariffs Jul2019'!U65/100))*'Tariffs Jul2019'!AJ65</f>
        <v>744.47099999999978</v>
      </c>
      <c r="K71" s="278">
        <v>0</v>
      </c>
      <c r="L71" s="278">
        <v>0</v>
      </c>
      <c r="M71" s="278">
        <v>0</v>
      </c>
      <c r="N71" s="278">
        <v>0</v>
      </c>
      <c r="O71" s="279">
        <f>SUM(E71:N71)</f>
        <v>1116.7064999999998</v>
      </c>
      <c r="P71" s="413">
        <f t="shared" si="1"/>
        <v>1228.3771499999998</v>
      </c>
      <c r="Q71" s="278">
        <f>D71+O71</f>
        <v>1432.7633181818178</v>
      </c>
      <c r="R71" s="280">
        <f>Q71*1.1</f>
        <v>1576.0396499999997</v>
      </c>
      <c r="S71" s="277">
        <f>'Tariffs Jul2019'!AN65</f>
        <v>0</v>
      </c>
      <c r="T71" s="277">
        <f>'Tariffs Jul2019'!AO65</f>
        <v>0</v>
      </c>
      <c r="U71" s="277">
        <f>'Tariffs Jul2019'!AP65</f>
        <v>0</v>
      </c>
      <c r="V71" s="277">
        <f>'Tariffs Jul2019'!AQ65</f>
        <v>0</v>
      </c>
      <c r="W71" s="281">
        <f t="shared" si="9"/>
        <v>1432.7633181818178</v>
      </c>
      <c r="X71" s="281">
        <f>W71</f>
        <v>1432.7633181818178</v>
      </c>
      <c r="Y71" s="280">
        <f>W71*1.1</f>
        <v>1576.0396499999997</v>
      </c>
      <c r="Z71" s="280">
        <f>X71*1.1</f>
        <v>1576.0396499999997</v>
      </c>
      <c r="AA71" s="282">
        <f>'Tariffs Jul2019'!AZ65</f>
        <v>0</v>
      </c>
      <c r="AB71" s="282" t="str">
        <f>'Tariffs Jul2019'!BA65</f>
        <v>n</v>
      </c>
      <c r="AC71" s="283" t="str">
        <f>'Tariffs Jul2019'!BJ65</f>
        <v>Y</v>
      </c>
      <c r="AD71" s="398"/>
      <c r="AE71" s="398"/>
      <c r="AF71" s="398"/>
      <c r="AG71" s="398"/>
      <c r="AH71" s="398"/>
      <c r="AI71" s="398"/>
      <c r="AJ71" s="398"/>
      <c r="AK71" s="398"/>
      <c r="AL71" s="398"/>
      <c r="AM71" s="398"/>
      <c r="AN71" s="398"/>
    </row>
    <row r="72" spans="1:40" ht="14" thickTop="1" x14ac:dyDescent="0.15">
      <c r="A72" s="270" t="str">
        <f>'Tariffs Jul2019'!F66</f>
        <v>AGL</v>
      </c>
      <c r="B72" s="40" t="str">
        <f>'Tariffs Jul2019'!D66</f>
        <v>AGN Central 1</v>
      </c>
      <c r="C72" s="40" t="str">
        <f>'Tariffs Jul2019'!G66</f>
        <v>Essentials</v>
      </c>
      <c r="D72" s="59">
        <f>365*'Tariffs Jul2019'!H66/100</f>
        <v>277.76499999999999</v>
      </c>
      <c r="E72" s="59">
        <f>IF($C$5*'Tariffs Jul2019'!AK66/'Tariffs Jul2019'!AI66&gt;='Tariffs Jul2019'!J66,( 'Tariffs Jul2019'!J66*'Tariffs Jul2019'!O66/100)* 'Tariffs Jul2019'!AI66,($C$5*'Tariffs Jul2019'!AK66/'Tariffs Jul2019'!AI66*'Tariffs Jul2019'!O66/100)* 'Tariffs Jul2019'!AI66)</f>
        <v>74.174545454545452</v>
      </c>
      <c r="F72" s="59">
        <f>IF($C$5*'Tariffs Jul2019'!AK66/'Tariffs Jul2019'!AI66&lt;'Tariffs Jul2019'!J66,0,IF($C$5*'Tariffs Jul2019'!AK66/'Tariffs Jul2019'!AI66&lt;='Tariffs Jul2019'!K66,($C$5*'Tariffs Jul2019'!AK66/'Tariffs Jul2019'!AI66-'Tariffs Jul2019'!J66)*('Tariffs Jul2019'!P66/100)*'Tariffs Jul2019'!AI66,('Tariffs Jul2019'!K66-'Tariffs Jul2019'!J66)*('Tariffs Jul2019'!P66/100)*'Tariffs Jul2019'!AI66))</f>
        <v>53.707272727272731</v>
      </c>
      <c r="G72" s="59">
        <f>IF($C$5*'Tariffs Jul2019'!AK66/'Tariffs Jul2019'!AI66&lt;'Tariffs Jul2019'!K66,0,IF($C$5*'Tariffs Jul2019'!AK66/'Tariffs Jul2019'!AI66&lt;='Tariffs Jul2019'!L66,($C$5*'Tariffs Jul2019'!AK66/'Tariffs Jul2019'!AI66-'Tariffs Jul2019'!K66)*('Tariffs Jul2019'!Q66/100)*'Tariffs Jul2019'!AI66,('Tariffs Jul2019'!L66-'Tariffs Jul2019'!K66)*('Tariffs Jul2019'!Q66/100)*'Tariffs Jul2019'!AI66))</f>
        <v>0</v>
      </c>
      <c r="H72" s="59">
        <f>IF($C$5*'Tariffs Jul2019'!AK66/'Tariffs Jul2019'!AI66&lt;'Tariffs Jul2019'!L66,0,IF($C$5*'Tariffs Jul2019'!AK66/'Tariffs Jul2019'!AI66&lt;='Tariffs Jul2019'!M66,($C$5*'Tariffs Jul2019'!AK66/'Tariffs Jul2019'!AI66-'Tariffs Jul2019'!L66)*('Tariffs Jul2019'!R66/100)*'Tariffs Jul2019'!AI66,('Tariffs Jul2019'!M66-'Tariffs Jul2019'!L66)*('Tariffs Jul2019'!R66/100)*'Tariffs Jul2019'!AI66))</f>
        <v>0</v>
      </c>
      <c r="I72" s="59">
        <f>IF(($C$5*'Tariffs Jul2019'!AK66/'Tariffs Jul2019'!AI66&gt;'Tariffs Jul2019'!M66),($C$5*'Tariffs Jul2019'!AK66/'Tariffs Jul2019'!AI66-'Tariffs Jul2019'!M66)*'Tariffs Jul2019'!S66/100*'Tariffs Jul2019'!AI66,0)</f>
        <v>237.23950909090905</v>
      </c>
      <c r="J72" s="59">
        <f>IF($C$5*'Tariffs Jul2019'!AL66/'Tariffs Jul2019'!AJ66&gt;='Tariffs Jul2019'!J66,('Tariffs Jul2019'!J66*'Tariffs Jul2019'!U66/100)* 'Tariffs Jul2019'!AJ66,($C$5*'Tariffs Jul2019'!AL66/'Tariffs Jul2019'!AJ66*'Tariffs Jul2019'!U66/100)* 'Tariffs Jul2019'!AJ66)</f>
        <v>148.3490909090909</v>
      </c>
      <c r="K72" s="59">
        <f>IF($C$5*'Tariffs Jul2019'!AL66/'Tariffs Jul2019'!AJ66&lt;'Tariffs Jul2019'!J66,0,IF($C$5*'Tariffs Jul2019'!AL66/'Tariffs Jul2019'!AJ66&lt;='Tariffs Jul2019'!K66,($C$5*'Tariffs Jul2019'!AL66/'Tariffs Jul2019'!AJ66-'Tariffs Jul2019'!J66)*('Tariffs Jul2019'!V66/100)*'Tariffs Jul2019'!AJ66,('Tariffs Jul2019'!K66-'Tariffs Jul2019'!J66)*('Tariffs Jul2019'!V66/100)*'Tariffs Jul2019'!AJ66))</f>
        <v>107.41454545454546</v>
      </c>
      <c r="L72" s="59">
        <f>IF($C$5*'Tariffs Jul2019'!AL66/'Tariffs Jul2019'!AJ66&lt;'Tariffs Jul2019'!K66,0,IF($C$5*'Tariffs Jul2019'!AL66/'Tariffs Jul2019'!AJ66&lt;='Tariffs Jul2019'!L66,($C$5*'Tariffs Jul2019'!AL66/'Tariffs Jul2019'!AJ66-'Tariffs Jul2019'!K66)*('Tariffs Jul2019'!W66/100)*'Tariffs Jul2019'!AJ66,('Tariffs Jul2019'!L66-'Tariffs Jul2019'!K66)*('Tariffs Jul2019'!W66/100)*'Tariffs Jul2019'!AJ66))</f>
        <v>0</v>
      </c>
      <c r="M72" s="59">
        <f>IF($C$5*'Tariffs Jul2019'!AL66/'Tariffs Jul2019'!AJ66&lt;'Tariffs Jul2019'!L66,0,IF($C$5*'Tariffs Jul2019'!AL66/'Tariffs Jul2019'!AJ66&lt;='Tariffs Jul2019'!M66,($C$5*'Tariffs Jul2019'!AL66/'Tariffs Jul2019'!AJ66-'Tariffs Jul2019'!L66)*('Tariffs Jul2019'!X66/100)*'Tariffs Jul2019'!AJ66,('Tariffs Jul2019'!M66-'Tariffs Jul2019'!L66)*('Tariffs Jul2019'!X66/100)*'Tariffs Jul2019'!AJ66))</f>
        <v>0</v>
      </c>
      <c r="N72" s="59">
        <f>IF(($C$5*'Tariffs Jul2019'!AL66/'Tariffs Jul2019'!AJ66&gt;'Tariffs Jul2019'!M66),($C$5*'Tariffs Jul2019'!AL66/'Tariffs Jul2019'!AJ66-'Tariffs Jul2019'!M66)*'Tariffs Jul2019'!Y66/100*'Tariffs Jul2019'!AJ66,0)</f>
        <v>474.47901818181811</v>
      </c>
      <c r="O72" s="271">
        <f t="shared" si="0"/>
        <v>1095.3639818181816</v>
      </c>
      <c r="P72" s="413">
        <f t="shared" si="1"/>
        <v>1204.9003799999998</v>
      </c>
      <c r="Q72" s="59">
        <f t="shared" si="2"/>
        <v>1373.1289818181817</v>
      </c>
      <c r="R72" s="272">
        <f t="shared" si="3"/>
        <v>1510.4418800000001</v>
      </c>
      <c r="S72" s="40">
        <f>'Tariffs Jul2019'!AN66</f>
        <v>0</v>
      </c>
      <c r="T72" s="40">
        <f>'Tariffs Jul2019'!AO66</f>
        <v>0</v>
      </c>
      <c r="U72" s="40">
        <f>'Tariffs Jul2019'!AP66</f>
        <v>0</v>
      </c>
      <c r="V72" s="40">
        <f>'Tariffs Jul2019'!AQ66</f>
        <v>0</v>
      </c>
      <c r="W72" s="273">
        <f>Q72</f>
        <v>1373.1289818181817</v>
      </c>
      <c r="X72" s="273">
        <f>W72</f>
        <v>1373.1289818181817</v>
      </c>
      <c r="Y72" s="272">
        <f t="shared" si="4"/>
        <v>1510.4418800000001</v>
      </c>
      <c r="Z72" s="272">
        <f t="shared" si="4"/>
        <v>1510.4418800000001</v>
      </c>
      <c r="AA72" s="274">
        <f>'Tariffs Jul2019'!AZ66</f>
        <v>0</v>
      </c>
      <c r="AB72" s="274" t="str">
        <f>'Tariffs Jul2019'!BA66</f>
        <v>n</v>
      </c>
      <c r="AC72" s="275" t="str">
        <f>'Tariffs Jul2019'!BJ66</f>
        <v>N</v>
      </c>
      <c r="AD72" s="398"/>
      <c r="AE72" s="398"/>
      <c r="AF72" s="398"/>
      <c r="AG72" s="398"/>
      <c r="AH72" s="398"/>
      <c r="AI72" s="398"/>
      <c r="AJ72" s="398"/>
      <c r="AK72" s="398"/>
      <c r="AL72" s="398"/>
      <c r="AM72" s="398"/>
      <c r="AN72" s="398"/>
    </row>
    <row r="73" spans="1:40" x14ac:dyDescent="0.15">
      <c r="A73" s="270" t="str">
        <f>'Tariffs Jul2019'!F67</f>
        <v>Alinta Energy</v>
      </c>
      <c r="B73" s="40" t="str">
        <f>'Tariffs Jul2019'!D67</f>
        <v>AGN Central 1</v>
      </c>
      <c r="C73" s="40" t="str">
        <f>'Tariffs Jul2019'!G67</f>
        <v>Real Deal</v>
      </c>
      <c r="D73" s="59">
        <f>365*'Tariffs Jul2019'!H67/100</f>
        <v>270.10000000000002</v>
      </c>
      <c r="E73" s="59">
        <f>IF($C$5*'Tariffs Jul2019'!AK67/'Tariffs Jul2019'!AI67&gt;='Tariffs Jul2019'!J67,( 'Tariffs Jul2019'!J67*'Tariffs Jul2019'!O67/100)* 'Tariffs Jul2019'!AI67,($C$5*'Tariffs Jul2019'!AK67/'Tariffs Jul2019'!AI67*'Tariffs Jul2019'!O67/100)* 'Tariffs Jul2019'!AI67)</f>
        <v>89.72727272727272</v>
      </c>
      <c r="F73" s="59">
        <f>IF($C$5*'Tariffs Jul2019'!AK67/'Tariffs Jul2019'!AI67&lt;'Tariffs Jul2019'!J67,0,IF($C$5*'Tariffs Jul2019'!AK67/'Tariffs Jul2019'!AI67&lt;='Tariffs Jul2019'!K67,($C$5*'Tariffs Jul2019'!AK67/'Tariffs Jul2019'!AI67-'Tariffs Jul2019'!J67)*('Tariffs Jul2019'!P67/100)*'Tariffs Jul2019'!AI67,('Tariffs Jul2019'!K67-'Tariffs Jul2019'!J67)*('Tariffs Jul2019'!P67/100)*'Tariffs Jul2019'!AI67))</f>
        <v>64.054545454545448</v>
      </c>
      <c r="G73" s="59">
        <f>IF($C$5*'Tariffs Jul2019'!AK67/'Tariffs Jul2019'!AI67&lt;'Tariffs Jul2019'!K67,0,IF($C$5*'Tariffs Jul2019'!AK67/'Tariffs Jul2019'!AI67&lt;='Tariffs Jul2019'!L67,($C$5*'Tariffs Jul2019'!AK67/'Tariffs Jul2019'!AI67-'Tariffs Jul2019'!K67)*('Tariffs Jul2019'!Q67/100)*'Tariffs Jul2019'!AI67,('Tariffs Jul2019'!L67-'Tariffs Jul2019'!K67)*('Tariffs Jul2019'!Q67/100)*'Tariffs Jul2019'!AI67))</f>
        <v>0</v>
      </c>
      <c r="H73" s="59">
        <f>IF($C$5*'Tariffs Jul2019'!AK67/'Tariffs Jul2019'!AI67&lt;'Tariffs Jul2019'!L67,0,IF($C$5*'Tariffs Jul2019'!AK67/'Tariffs Jul2019'!AI67&lt;='Tariffs Jul2019'!M67,($C$5*'Tariffs Jul2019'!AK67/'Tariffs Jul2019'!AI67-'Tariffs Jul2019'!L67)*('Tariffs Jul2019'!R67/100)*'Tariffs Jul2019'!AI67,('Tariffs Jul2019'!M67-'Tariffs Jul2019'!L67)*('Tariffs Jul2019'!R67/100)*'Tariffs Jul2019'!AI67))</f>
        <v>0</v>
      </c>
      <c r="I73" s="59">
        <f>IF(($C$5*'Tariffs Jul2019'!AK67/'Tariffs Jul2019'!AI67&gt;'Tariffs Jul2019'!M67),($C$5*'Tariffs Jul2019'!AK67/'Tariffs Jul2019'!AI67-'Tariffs Jul2019'!M67)*'Tariffs Jul2019'!S67/100*'Tariffs Jul2019'!AI67,0)</f>
        <v>272.68909090909085</v>
      </c>
      <c r="J73" s="59">
        <f>IF($C$5*'Tariffs Jul2019'!AL67/'Tariffs Jul2019'!AJ67&gt;='Tariffs Jul2019'!J67,('Tariffs Jul2019'!J67*'Tariffs Jul2019'!U67/100)* 'Tariffs Jul2019'!AJ67,($C$5*'Tariffs Jul2019'!AL67/'Tariffs Jul2019'!AJ67*'Tariffs Jul2019'!U67/100)* 'Tariffs Jul2019'!AJ67)</f>
        <v>179.45454545454544</v>
      </c>
      <c r="K73" s="59">
        <f>IF($C$5*'Tariffs Jul2019'!AL67/'Tariffs Jul2019'!AJ67&lt;'Tariffs Jul2019'!J67,0,IF($C$5*'Tariffs Jul2019'!AL67/'Tariffs Jul2019'!AJ67&lt;='Tariffs Jul2019'!K67,($C$5*'Tariffs Jul2019'!AL67/'Tariffs Jul2019'!AJ67-'Tariffs Jul2019'!J67)*('Tariffs Jul2019'!V67/100)*'Tariffs Jul2019'!AJ67,('Tariffs Jul2019'!K67-'Tariffs Jul2019'!J67)*('Tariffs Jul2019'!V67/100)*'Tariffs Jul2019'!AJ67))</f>
        <v>128.1090909090909</v>
      </c>
      <c r="L73" s="59">
        <f>IF($C$5*'Tariffs Jul2019'!AL67/'Tariffs Jul2019'!AJ67&lt;'Tariffs Jul2019'!K67,0,IF($C$5*'Tariffs Jul2019'!AL67/'Tariffs Jul2019'!AJ67&lt;='Tariffs Jul2019'!L67,($C$5*'Tariffs Jul2019'!AL67/'Tariffs Jul2019'!AJ67-'Tariffs Jul2019'!K67)*('Tariffs Jul2019'!W67/100)*'Tariffs Jul2019'!AJ67,('Tariffs Jul2019'!L67-'Tariffs Jul2019'!K67)*('Tariffs Jul2019'!W67/100)*'Tariffs Jul2019'!AJ67))</f>
        <v>0</v>
      </c>
      <c r="M73" s="59">
        <f>IF($C$5*'Tariffs Jul2019'!AL67/'Tariffs Jul2019'!AJ67&lt;'Tariffs Jul2019'!L67,0,IF($C$5*'Tariffs Jul2019'!AL67/'Tariffs Jul2019'!AJ67&lt;='Tariffs Jul2019'!M67,($C$5*'Tariffs Jul2019'!AL67/'Tariffs Jul2019'!AJ67-'Tariffs Jul2019'!L67)*('Tariffs Jul2019'!X67/100)*'Tariffs Jul2019'!AJ67,('Tariffs Jul2019'!M67-'Tariffs Jul2019'!L67)*('Tariffs Jul2019'!X67/100)*'Tariffs Jul2019'!AJ67))</f>
        <v>0</v>
      </c>
      <c r="N73" s="59">
        <f>IF(($C$5*'Tariffs Jul2019'!AL67/'Tariffs Jul2019'!AJ67&gt;'Tariffs Jul2019'!M67),($C$5*'Tariffs Jul2019'!AL67/'Tariffs Jul2019'!AJ67-'Tariffs Jul2019'!M67)*'Tariffs Jul2019'!Y67/100*'Tariffs Jul2019'!AJ67,0)</f>
        <v>545.3781818181817</v>
      </c>
      <c r="O73" s="271">
        <f t="shared" si="0"/>
        <v>1279.4127272727269</v>
      </c>
      <c r="P73" s="413">
        <f t="shared" ref="P73:P134" si="10">O73*1.1</f>
        <v>1407.3539999999996</v>
      </c>
      <c r="Q73" s="59">
        <f t="shared" si="2"/>
        <v>1549.5127272727268</v>
      </c>
      <c r="R73" s="272">
        <f t="shared" si="3"/>
        <v>1704.4639999999997</v>
      </c>
      <c r="S73" s="40">
        <f>'Tariffs Jul2019'!AN67</f>
        <v>0</v>
      </c>
      <c r="T73" s="40">
        <f>'Tariffs Jul2019'!AO67</f>
        <v>0</v>
      </c>
      <c r="U73" s="40">
        <f>'Tariffs Jul2019'!AP67</f>
        <v>0</v>
      </c>
      <c r="V73" s="40">
        <f>'Tariffs Jul2019'!AQ67</f>
        <v>0</v>
      </c>
      <c r="W73" s="273">
        <f>Q73</f>
        <v>1549.5127272727268</v>
      </c>
      <c r="X73" s="273">
        <f>W73</f>
        <v>1549.5127272727268</v>
      </c>
      <c r="Y73" s="272">
        <f t="shared" si="4"/>
        <v>1704.4639999999997</v>
      </c>
      <c r="Z73" s="272">
        <f t="shared" si="4"/>
        <v>1704.4639999999997</v>
      </c>
      <c r="AA73" s="274">
        <f>'Tariffs Jul2019'!AZ67</f>
        <v>0</v>
      </c>
      <c r="AB73" s="274" t="str">
        <f>'Tariffs Jul2019'!BA67</f>
        <v>n</v>
      </c>
      <c r="AC73" s="275" t="str">
        <f>'Tariffs Jul2019'!BJ67</f>
        <v>Y</v>
      </c>
      <c r="AD73" s="398"/>
      <c r="AE73" s="398"/>
      <c r="AF73" s="398"/>
      <c r="AG73" s="398"/>
      <c r="AH73" s="398"/>
      <c r="AI73" s="398"/>
      <c r="AJ73" s="398"/>
      <c r="AK73" s="398"/>
      <c r="AL73" s="398"/>
      <c r="AM73" s="398"/>
      <c r="AN73" s="398"/>
    </row>
    <row r="74" spans="1:40" x14ac:dyDescent="0.15">
      <c r="A74" s="270" t="str">
        <f>'Tariffs Jul2019'!F68</f>
        <v>Click Energy</v>
      </c>
      <c r="B74" s="40" t="str">
        <f>'Tariffs Jul2019'!D68</f>
        <v>AGN Central 1</v>
      </c>
      <c r="C74" s="40" t="str">
        <f>'Tariffs Jul2019'!G68</f>
        <v>Banksia</v>
      </c>
      <c r="D74" s="59">
        <f>365*'Tariffs Jul2019'!H68/100</f>
        <v>216.61090909090908</v>
      </c>
      <c r="E74" s="59">
        <f>IF($C$5*'Tariffs Jul2019'!AK68/'Tariffs Jul2019'!AI68&gt;='Tariffs Jul2019'!J68,( 'Tariffs Jul2019'!J68*'Tariffs Jul2019'!O68/100)* 'Tariffs Jul2019'!AI68,($C$5*'Tariffs Jul2019'!AK68/'Tariffs Jul2019'!AI68*'Tariffs Jul2019'!O68/100)* 'Tariffs Jul2019'!AI68)</f>
        <v>91.222727272727255</v>
      </c>
      <c r="F74" s="59">
        <f>IF($C$5*'Tariffs Jul2019'!AK68/'Tariffs Jul2019'!AI68&lt;'Tariffs Jul2019'!J68,0,IF($C$5*'Tariffs Jul2019'!AK68/'Tariffs Jul2019'!AI68&lt;='Tariffs Jul2019'!K68,($C$5*'Tariffs Jul2019'!AK68/'Tariffs Jul2019'!AI68-'Tariffs Jul2019'!J68)*('Tariffs Jul2019'!P68/100)*'Tariffs Jul2019'!AI68,('Tariffs Jul2019'!K68-'Tariffs Jul2019'!J68)*('Tariffs Jul2019'!P68/100)*'Tariffs Jul2019'!AI68))</f>
        <v>64.054545454545448</v>
      </c>
      <c r="G74" s="59">
        <f>IF($C$5*'Tariffs Jul2019'!AK68/'Tariffs Jul2019'!AI68&lt;'Tariffs Jul2019'!K68,0,IF($C$5*'Tariffs Jul2019'!AK68/'Tariffs Jul2019'!AI68&lt;='Tariffs Jul2019'!L68,($C$5*'Tariffs Jul2019'!AK68/'Tariffs Jul2019'!AI68-'Tariffs Jul2019'!K68)*('Tariffs Jul2019'!Q68/100)*'Tariffs Jul2019'!AI68,('Tariffs Jul2019'!L68-'Tariffs Jul2019'!K68)*('Tariffs Jul2019'!Q68/100)*'Tariffs Jul2019'!AI68))</f>
        <v>0</v>
      </c>
      <c r="H74" s="59">
        <f>IF($C$5*'Tariffs Jul2019'!AK68/'Tariffs Jul2019'!AI68&lt;'Tariffs Jul2019'!L68,0,IF($C$5*'Tariffs Jul2019'!AK68/'Tariffs Jul2019'!AI68&lt;='Tariffs Jul2019'!M68,($C$5*'Tariffs Jul2019'!AK68/'Tariffs Jul2019'!AI68-'Tariffs Jul2019'!L68)*('Tariffs Jul2019'!R68/100)*'Tariffs Jul2019'!AI68,('Tariffs Jul2019'!M68-'Tariffs Jul2019'!L68)*('Tariffs Jul2019'!R68/100)*'Tariffs Jul2019'!AI68))</f>
        <v>0</v>
      </c>
      <c r="I74" s="59">
        <f>IF(($C$5*'Tariffs Jul2019'!AK68/'Tariffs Jul2019'!AI68&gt;'Tariffs Jul2019'!M68),($C$5*'Tariffs Jul2019'!AK68/'Tariffs Jul2019'!AI68-'Tariffs Jul2019'!M68)*'Tariffs Jul2019'!S68/100*'Tariffs Jul2019'!AI68,0)</f>
        <v>305.41178181818179</v>
      </c>
      <c r="J74" s="59">
        <f>IF($C$5*'Tariffs Jul2019'!AL68/'Tariffs Jul2019'!AJ68&gt;='Tariffs Jul2019'!J68,('Tariffs Jul2019'!J68*'Tariffs Jul2019'!U68/100)* 'Tariffs Jul2019'!AJ68,($C$5*'Tariffs Jul2019'!AL68/'Tariffs Jul2019'!AJ68*'Tariffs Jul2019'!U68/100)* 'Tariffs Jul2019'!AJ68)</f>
        <v>182.44545454545451</v>
      </c>
      <c r="K74" s="59">
        <f>IF($C$5*'Tariffs Jul2019'!AL68/'Tariffs Jul2019'!AJ68&lt;'Tariffs Jul2019'!J68,0,IF($C$5*'Tariffs Jul2019'!AL68/'Tariffs Jul2019'!AJ68&lt;='Tariffs Jul2019'!K68,($C$5*'Tariffs Jul2019'!AL68/'Tariffs Jul2019'!AJ68-'Tariffs Jul2019'!J68)*('Tariffs Jul2019'!V68/100)*'Tariffs Jul2019'!AJ68,('Tariffs Jul2019'!K68-'Tariffs Jul2019'!J68)*('Tariffs Jul2019'!V68/100)*'Tariffs Jul2019'!AJ68))</f>
        <v>128.1090909090909</v>
      </c>
      <c r="L74" s="59">
        <f>IF($C$5*'Tariffs Jul2019'!AL68/'Tariffs Jul2019'!AJ68&lt;'Tariffs Jul2019'!K68,0,IF($C$5*'Tariffs Jul2019'!AL68/'Tariffs Jul2019'!AJ68&lt;='Tariffs Jul2019'!L68,($C$5*'Tariffs Jul2019'!AL68/'Tariffs Jul2019'!AJ68-'Tariffs Jul2019'!K68)*('Tariffs Jul2019'!W68/100)*'Tariffs Jul2019'!AJ68,('Tariffs Jul2019'!L68-'Tariffs Jul2019'!K68)*('Tariffs Jul2019'!W68/100)*'Tariffs Jul2019'!AJ68))</f>
        <v>0</v>
      </c>
      <c r="M74" s="59">
        <f>IF($C$5*'Tariffs Jul2019'!AL68/'Tariffs Jul2019'!AJ68&lt;'Tariffs Jul2019'!L68,0,IF($C$5*'Tariffs Jul2019'!AL68/'Tariffs Jul2019'!AJ68&lt;='Tariffs Jul2019'!M68,($C$5*'Tariffs Jul2019'!AL68/'Tariffs Jul2019'!AJ68-'Tariffs Jul2019'!L68)*('Tariffs Jul2019'!X68/100)*'Tariffs Jul2019'!AJ68,('Tariffs Jul2019'!M68-'Tariffs Jul2019'!L68)*('Tariffs Jul2019'!X68/100)*'Tariffs Jul2019'!AJ68))</f>
        <v>0</v>
      </c>
      <c r="N74" s="59">
        <f>IF(($C$5*'Tariffs Jul2019'!AL68/'Tariffs Jul2019'!AJ68&gt;'Tariffs Jul2019'!M68),($C$5*'Tariffs Jul2019'!AL68/'Tariffs Jul2019'!AJ68-'Tariffs Jul2019'!M68)*'Tariffs Jul2019'!Y68/100*'Tariffs Jul2019'!AJ68,0)</f>
        <v>610.82356363636359</v>
      </c>
      <c r="O74" s="271">
        <f t="shared" si="0"/>
        <v>1382.0671636363636</v>
      </c>
      <c r="P74" s="413">
        <f t="shared" si="10"/>
        <v>1520.2738800000002</v>
      </c>
      <c r="Q74" s="59">
        <f t="shared" si="2"/>
        <v>1598.6780727272726</v>
      </c>
      <c r="R74" s="272">
        <f t="shared" si="3"/>
        <v>1758.5458799999999</v>
      </c>
      <c r="S74" s="40">
        <f>'Tariffs Jul2019'!AN68</f>
        <v>0</v>
      </c>
      <c r="T74" s="40">
        <f>'Tariffs Jul2019'!AO68</f>
        <v>0</v>
      </c>
      <c r="U74" s="40">
        <f>'Tariffs Jul2019'!AP68</f>
        <v>0</v>
      </c>
      <c r="V74" s="40">
        <f>'Tariffs Jul2019'!AQ68</f>
        <v>0</v>
      </c>
      <c r="W74" s="273">
        <f>Q74</f>
        <v>1598.6780727272726</v>
      </c>
      <c r="X74" s="273">
        <f>W74</f>
        <v>1598.6780727272726</v>
      </c>
      <c r="Y74" s="272">
        <f t="shared" si="4"/>
        <v>1758.5458799999999</v>
      </c>
      <c r="Z74" s="272">
        <f t="shared" si="4"/>
        <v>1758.5458799999999</v>
      </c>
      <c r="AA74" s="274">
        <f>'Tariffs Jul2019'!AZ68</f>
        <v>0</v>
      </c>
      <c r="AB74" s="274" t="str">
        <f>'Tariffs Jul2019'!BA68</f>
        <v>n</v>
      </c>
      <c r="AC74" s="275" t="str">
        <f>'Tariffs Jul2019'!BJ68</f>
        <v>N</v>
      </c>
      <c r="AD74" s="398"/>
      <c r="AE74" s="398"/>
      <c r="AF74" s="398"/>
      <c r="AG74" s="398"/>
      <c r="AH74" s="398"/>
      <c r="AI74" s="398"/>
      <c r="AJ74" s="398"/>
      <c r="AK74" s="398"/>
      <c r="AL74" s="398"/>
      <c r="AM74" s="398"/>
      <c r="AN74" s="398"/>
    </row>
    <row r="75" spans="1:40" x14ac:dyDescent="0.15">
      <c r="A75" s="270" t="str">
        <f>'Tariffs Jul2019'!F69</f>
        <v>Covau</v>
      </c>
      <c r="B75" s="40" t="str">
        <f>'Tariffs Jul2019'!D69</f>
        <v>AGN Central 1</v>
      </c>
      <c r="C75" s="40" t="str">
        <f>'Tariffs Jul2019'!G69</f>
        <v>Smart Saver</v>
      </c>
      <c r="D75" s="59">
        <f>365*'Tariffs Jul2019'!H69/100</f>
        <v>273.75</v>
      </c>
      <c r="E75" s="59">
        <f>IF($C$5*'Tariffs Jul2019'!AK69/'Tariffs Jul2019'!AI69&gt;='Tariffs Jul2019'!J69,( 'Tariffs Jul2019'!J69*'Tariffs Jul2019'!O69/100)* 'Tariffs Jul2019'!AI69,($C$5*'Tariffs Jul2019'!AK69/'Tariffs Jul2019'!AI69*'Tariffs Jul2019'!O69/100)* 'Tariffs Jul2019'!AI69)</f>
        <v>104.29299999999999</v>
      </c>
      <c r="F75" s="59">
        <f>IF($C$5*'Tariffs Jul2019'!AK69/'Tariffs Jul2019'!AI69&lt;'Tariffs Jul2019'!J69,0,IF($C$5*'Tariffs Jul2019'!AK69/'Tariffs Jul2019'!AI69&lt;='Tariffs Jul2019'!K69,($C$5*'Tariffs Jul2019'!AK69/'Tariffs Jul2019'!AI69-'Tariffs Jul2019'!J69)*('Tariffs Jul2019'!P69/100)*'Tariffs Jul2019'!AI69,('Tariffs Jul2019'!K69-'Tariffs Jul2019'!J69)*('Tariffs Jul2019'!P69/100)*'Tariffs Jul2019'!AI69))</f>
        <v>67.75</v>
      </c>
      <c r="G75" s="59">
        <f>IF($C$5*'Tariffs Jul2019'!AK69/'Tariffs Jul2019'!AI69&lt;'Tariffs Jul2019'!K69,0,IF($C$5*'Tariffs Jul2019'!AK69/'Tariffs Jul2019'!AI69&lt;='Tariffs Jul2019'!L69,($C$5*'Tariffs Jul2019'!AK69/'Tariffs Jul2019'!AI69-'Tariffs Jul2019'!K69)*('Tariffs Jul2019'!Q69/100)*'Tariffs Jul2019'!AI69,('Tariffs Jul2019'!L69-'Tariffs Jul2019'!K69)*('Tariffs Jul2019'!Q69/100)*'Tariffs Jul2019'!AI69))</f>
        <v>0</v>
      </c>
      <c r="H75" s="59">
        <f>IF($C$5*'Tariffs Jul2019'!AK69/'Tariffs Jul2019'!AI69&lt;'Tariffs Jul2019'!L69,0,IF($C$5*'Tariffs Jul2019'!AK69/'Tariffs Jul2019'!AI69&lt;='Tariffs Jul2019'!M69,($C$5*'Tariffs Jul2019'!AK69/'Tariffs Jul2019'!AI69-'Tariffs Jul2019'!L69)*('Tariffs Jul2019'!R69/100)*'Tariffs Jul2019'!AI69,('Tariffs Jul2019'!M69-'Tariffs Jul2019'!L69)*('Tariffs Jul2019'!R69/100)*'Tariffs Jul2019'!AI69))</f>
        <v>0</v>
      </c>
      <c r="I75" s="59">
        <f>IF(($C$5*'Tariffs Jul2019'!AK69/'Tariffs Jul2019'!AI69&gt;'Tariffs Jul2019'!M69),($C$5*'Tariffs Jul2019'!AK69/'Tariffs Jul2019'!AI69-'Tariffs Jul2019'!M69)*'Tariffs Jul2019'!S69/100*'Tariffs Jul2019'!AI69,0)</f>
        <v>337.45274999999992</v>
      </c>
      <c r="J75" s="59">
        <f>IF($C$5*'Tariffs Jul2019'!AL69/'Tariffs Jul2019'!AJ69&gt;='Tariffs Jul2019'!J69,('Tariffs Jul2019'!J69*'Tariffs Jul2019'!U69/100)* 'Tariffs Jul2019'!AJ69,($C$5*'Tariffs Jul2019'!AL69/'Tariffs Jul2019'!AJ69*'Tariffs Jul2019'!U69/100)* 'Tariffs Jul2019'!AJ69)</f>
        <v>208.58599999999998</v>
      </c>
      <c r="K75" s="59">
        <f>IF($C$5*'Tariffs Jul2019'!AL69/'Tariffs Jul2019'!AJ69&lt;'Tariffs Jul2019'!J69,0,IF($C$5*'Tariffs Jul2019'!AL69/'Tariffs Jul2019'!AJ69&lt;='Tariffs Jul2019'!K69,($C$5*'Tariffs Jul2019'!AL69/'Tariffs Jul2019'!AJ69-'Tariffs Jul2019'!J69)*('Tariffs Jul2019'!V69/100)*'Tariffs Jul2019'!AJ69,('Tariffs Jul2019'!K69-'Tariffs Jul2019'!J69)*('Tariffs Jul2019'!V69/100)*'Tariffs Jul2019'!AJ69))</f>
        <v>135.5</v>
      </c>
      <c r="L75" s="59">
        <f>IF($C$5*'Tariffs Jul2019'!AL69/'Tariffs Jul2019'!AJ69&lt;'Tariffs Jul2019'!K69,0,IF($C$5*'Tariffs Jul2019'!AL69/'Tariffs Jul2019'!AJ69&lt;='Tariffs Jul2019'!L69,($C$5*'Tariffs Jul2019'!AL69/'Tariffs Jul2019'!AJ69-'Tariffs Jul2019'!K69)*('Tariffs Jul2019'!W69/100)*'Tariffs Jul2019'!AJ69,('Tariffs Jul2019'!L69-'Tariffs Jul2019'!K69)*('Tariffs Jul2019'!W69/100)*'Tariffs Jul2019'!AJ69))</f>
        <v>0</v>
      </c>
      <c r="M75" s="59">
        <f>IF($C$5*'Tariffs Jul2019'!AL69/'Tariffs Jul2019'!AJ69&lt;'Tariffs Jul2019'!L69,0,IF($C$5*'Tariffs Jul2019'!AL69/'Tariffs Jul2019'!AJ69&lt;='Tariffs Jul2019'!M69,($C$5*'Tariffs Jul2019'!AL69/'Tariffs Jul2019'!AJ69-'Tariffs Jul2019'!L69)*('Tariffs Jul2019'!X69/100)*'Tariffs Jul2019'!AJ69,('Tariffs Jul2019'!M69-'Tariffs Jul2019'!L69)*('Tariffs Jul2019'!X69/100)*'Tariffs Jul2019'!AJ69))</f>
        <v>0</v>
      </c>
      <c r="N75" s="59">
        <f>IF(($C$5*'Tariffs Jul2019'!AL69/'Tariffs Jul2019'!AJ69&gt;'Tariffs Jul2019'!M69),($C$5*'Tariffs Jul2019'!AL69/'Tariffs Jul2019'!AJ69-'Tariffs Jul2019'!M69)*'Tariffs Jul2019'!Y69/100*'Tariffs Jul2019'!AJ69,0)</f>
        <v>674.90549999999985</v>
      </c>
      <c r="O75" s="271">
        <f t="shared" si="0"/>
        <v>1528.4872499999997</v>
      </c>
      <c r="P75" s="413">
        <f t="shared" si="10"/>
        <v>1681.3359749999997</v>
      </c>
      <c r="Q75" s="59">
        <f t="shared" si="2"/>
        <v>1802.2372499999997</v>
      </c>
      <c r="R75" s="272">
        <f t="shared" si="3"/>
        <v>1982.4609749999997</v>
      </c>
      <c r="S75" s="40">
        <f>'Tariffs Jul2019'!AN69</f>
        <v>0</v>
      </c>
      <c r="T75" s="40">
        <f>'Tariffs Jul2019'!AO69</f>
        <v>0</v>
      </c>
      <c r="U75" s="40">
        <f>'Tariffs Jul2019'!AP69</f>
        <v>0</v>
      </c>
      <c r="V75" s="40">
        <f>'Tariffs Jul2019'!AQ69</f>
        <v>16</v>
      </c>
      <c r="W75" s="273">
        <f>Q75</f>
        <v>1802.2372499999997</v>
      </c>
      <c r="X75" s="273">
        <f>W75-(O75*V75/100)</f>
        <v>1557.6792899999998</v>
      </c>
      <c r="Y75" s="272">
        <f t="shared" si="4"/>
        <v>1982.4609749999997</v>
      </c>
      <c r="Z75" s="272">
        <f t="shared" si="4"/>
        <v>1713.4472189999999</v>
      </c>
      <c r="AA75" s="274">
        <f>'Tariffs Jul2019'!AZ69</f>
        <v>0</v>
      </c>
      <c r="AB75" s="274" t="str">
        <f>'Tariffs Jul2019'!BA69</f>
        <v>n</v>
      </c>
      <c r="AC75" s="275" t="str">
        <f>'Tariffs Jul2019'!BJ69</f>
        <v>N</v>
      </c>
      <c r="AD75" s="398"/>
      <c r="AE75" s="398"/>
      <c r="AF75" s="398"/>
      <c r="AG75" s="398"/>
      <c r="AH75" s="398"/>
      <c r="AI75" s="398"/>
      <c r="AJ75" s="398"/>
      <c r="AK75" s="398"/>
      <c r="AL75" s="398"/>
      <c r="AM75" s="398"/>
      <c r="AN75" s="398"/>
    </row>
    <row r="76" spans="1:40" x14ac:dyDescent="0.15">
      <c r="A76" s="270" t="str">
        <f>'Tariffs Jul2019'!F70</f>
        <v>Dodo Power &amp; Gas</v>
      </c>
      <c r="B76" s="40" t="str">
        <f>'Tariffs Jul2019'!D70</f>
        <v>AGN Central 1</v>
      </c>
      <c r="C76" s="40" t="str">
        <f>'Tariffs Jul2019'!G70</f>
        <v>Market offer</v>
      </c>
      <c r="D76" s="59">
        <f>365*'Tariffs Jul2019'!H70/100</f>
        <v>220.64250000000001</v>
      </c>
      <c r="E76" s="59">
        <f>IF($C$5*'Tariffs Jul2019'!AK70/'Tariffs Jul2019'!AI70&gt;='Tariffs Jul2019'!J70,( 'Tariffs Jul2019'!J70*'Tariffs Jul2019'!O70/100)* 'Tariffs Jul2019'!AI70,($C$5*'Tariffs Jul2019'!AK70/'Tariffs Jul2019'!AI70*'Tariffs Jul2019'!O70/100)* 'Tariffs Jul2019'!AI70)</f>
        <v>90.624545454545441</v>
      </c>
      <c r="F76" s="59">
        <f>IF($C$5*'Tariffs Jul2019'!AK70/'Tariffs Jul2019'!AI70&lt;'Tariffs Jul2019'!J70,0,IF($C$5*'Tariffs Jul2019'!AK70/'Tariffs Jul2019'!AI70&lt;='Tariffs Jul2019'!K70,($C$5*'Tariffs Jul2019'!AK70/'Tariffs Jul2019'!AI70-'Tariffs Jul2019'!J70)*('Tariffs Jul2019'!P70/100)*'Tariffs Jul2019'!AI70,('Tariffs Jul2019'!K70-'Tariffs Jul2019'!J70)*('Tariffs Jul2019'!P70/100)*'Tariffs Jul2019'!AI70))</f>
        <v>59.62</v>
      </c>
      <c r="G76" s="59">
        <f>IF($C$5*'Tariffs Jul2019'!AK70/'Tariffs Jul2019'!AI70&lt;'Tariffs Jul2019'!K70,0,IF($C$5*'Tariffs Jul2019'!AK70/'Tariffs Jul2019'!AI70&lt;='Tariffs Jul2019'!L70,($C$5*'Tariffs Jul2019'!AK70/'Tariffs Jul2019'!AI70-'Tariffs Jul2019'!K70)*('Tariffs Jul2019'!Q70/100)*'Tariffs Jul2019'!AI70,('Tariffs Jul2019'!L70-'Tariffs Jul2019'!K70)*('Tariffs Jul2019'!Q70/100)*'Tariffs Jul2019'!AI70))</f>
        <v>0</v>
      </c>
      <c r="H76" s="59">
        <f>IF($C$5*'Tariffs Jul2019'!AK70/'Tariffs Jul2019'!AI70&lt;'Tariffs Jul2019'!L70,0,IF($C$5*'Tariffs Jul2019'!AK70/'Tariffs Jul2019'!AI70&lt;='Tariffs Jul2019'!M70,($C$5*'Tariffs Jul2019'!AK70/'Tariffs Jul2019'!AI70-'Tariffs Jul2019'!L70)*('Tariffs Jul2019'!R70/100)*'Tariffs Jul2019'!AI70,('Tariffs Jul2019'!M70-'Tariffs Jul2019'!L70)*('Tariffs Jul2019'!R70/100)*'Tariffs Jul2019'!AI70))</f>
        <v>0</v>
      </c>
      <c r="I76" s="59">
        <f>IF(($C$5*'Tariffs Jul2019'!AK70/'Tariffs Jul2019'!AI70&gt;'Tariffs Jul2019'!M70),($C$5*'Tariffs Jul2019'!AK70/'Tariffs Jul2019'!AI70-'Tariffs Jul2019'!M70)*'Tariffs Jul2019'!S70/100*'Tariffs Jul2019'!AI70,0)</f>
        <v>308.13867272727265</v>
      </c>
      <c r="J76" s="59">
        <f>IF($C$5*'Tariffs Jul2019'!AL70/'Tariffs Jul2019'!AJ70&gt;='Tariffs Jul2019'!J70,('Tariffs Jul2019'!J70*'Tariffs Jul2019'!U70/100)* 'Tariffs Jul2019'!AJ70,($C$5*'Tariffs Jul2019'!AL70/'Tariffs Jul2019'!AJ70*'Tariffs Jul2019'!U70/100)* 'Tariffs Jul2019'!AJ70)</f>
        <v>181.24909090909088</v>
      </c>
      <c r="K76" s="59">
        <f>IF($C$5*'Tariffs Jul2019'!AL70/'Tariffs Jul2019'!AJ70&lt;'Tariffs Jul2019'!J70,0,IF($C$5*'Tariffs Jul2019'!AL70/'Tariffs Jul2019'!AJ70&lt;='Tariffs Jul2019'!K70,($C$5*'Tariffs Jul2019'!AL70/'Tariffs Jul2019'!AJ70-'Tariffs Jul2019'!J70)*('Tariffs Jul2019'!V70/100)*'Tariffs Jul2019'!AJ70,('Tariffs Jul2019'!K70-'Tariffs Jul2019'!J70)*('Tariffs Jul2019'!V70/100)*'Tariffs Jul2019'!AJ70))</f>
        <v>119.24</v>
      </c>
      <c r="L76" s="59">
        <f>IF($C$5*'Tariffs Jul2019'!AL70/'Tariffs Jul2019'!AJ70&lt;'Tariffs Jul2019'!K70,0,IF($C$5*'Tariffs Jul2019'!AL70/'Tariffs Jul2019'!AJ70&lt;='Tariffs Jul2019'!L70,($C$5*'Tariffs Jul2019'!AL70/'Tariffs Jul2019'!AJ70-'Tariffs Jul2019'!K70)*('Tariffs Jul2019'!W70/100)*'Tariffs Jul2019'!AJ70,('Tariffs Jul2019'!L70-'Tariffs Jul2019'!K70)*('Tariffs Jul2019'!W70/100)*'Tariffs Jul2019'!AJ70))</f>
        <v>0</v>
      </c>
      <c r="M76" s="59">
        <f>IF($C$5*'Tariffs Jul2019'!AL70/'Tariffs Jul2019'!AJ70&lt;'Tariffs Jul2019'!L70,0,IF($C$5*'Tariffs Jul2019'!AL70/'Tariffs Jul2019'!AJ70&lt;='Tariffs Jul2019'!M70,($C$5*'Tariffs Jul2019'!AL70/'Tariffs Jul2019'!AJ70-'Tariffs Jul2019'!L70)*('Tariffs Jul2019'!X70/100)*'Tariffs Jul2019'!AJ70,('Tariffs Jul2019'!M70-'Tariffs Jul2019'!L70)*('Tariffs Jul2019'!X70/100)*'Tariffs Jul2019'!AJ70))</f>
        <v>0</v>
      </c>
      <c r="N76" s="59">
        <f>IF(($C$5*'Tariffs Jul2019'!AL70/'Tariffs Jul2019'!AJ70&gt;'Tariffs Jul2019'!M70),($C$5*'Tariffs Jul2019'!AL70/'Tariffs Jul2019'!AJ70-'Tariffs Jul2019'!M70)*'Tariffs Jul2019'!Y70/100*'Tariffs Jul2019'!AJ70,0)</f>
        <v>616.2773454545453</v>
      </c>
      <c r="O76" s="271">
        <f t="shared" si="0"/>
        <v>1375.1496545454543</v>
      </c>
      <c r="P76" s="413">
        <f t="shared" si="10"/>
        <v>1512.6646199999998</v>
      </c>
      <c r="Q76" s="59">
        <f t="shared" si="2"/>
        <v>1595.7921545454542</v>
      </c>
      <c r="R76" s="272">
        <f t="shared" si="3"/>
        <v>1755.3713699999998</v>
      </c>
      <c r="S76" s="40">
        <f>'Tariffs Jul2019'!AN70</f>
        <v>0</v>
      </c>
      <c r="T76" s="40">
        <f>'Tariffs Jul2019'!AO70</f>
        <v>0</v>
      </c>
      <c r="U76" s="40">
        <f>'Tariffs Jul2019'!AP70</f>
        <v>0</v>
      </c>
      <c r="V76" s="40">
        <f>'Tariffs Jul2019'!AQ70</f>
        <v>20</v>
      </c>
      <c r="W76" s="273">
        <f>Q76</f>
        <v>1595.7921545454542</v>
      </c>
      <c r="X76" s="273">
        <f>W76-(O76*V76/100)</f>
        <v>1320.7622236363634</v>
      </c>
      <c r="Y76" s="272">
        <f t="shared" si="4"/>
        <v>1755.3713699999998</v>
      </c>
      <c r="Z76" s="272">
        <f t="shared" si="4"/>
        <v>1452.8384459999997</v>
      </c>
      <c r="AA76" s="274">
        <f>'Tariffs Jul2019'!AZ70</f>
        <v>0</v>
      </c>
      <c r="AB76" s="274" t="str">
        <f>'Tariffs Jul2019'!BA70</f>
        <v>n</v>
      </c>
      <c r="AC76" s="275" t="str">
        <f>'Tariffs Jul2019'!BJ70</f>
        <v>Y</v>
      </c>
      <c r="AD76" s="398"/>
      <c r="AE76" s="398"/>
      <c r="AF76" s="398"/>
      <c r="AG76" s="398"/>
      <c r="AH76" s="398"/>
      <c r="AI76" s="398"/>
      <c r="AJ76" s="398"/>
      <c r="AK76" s="398"/>
      <c r="AL76" s="398"/>
      <c r="AM76" s="398"/>
      <c r="AN76" s="398"/>
    </row>
    <row r="77" spans="1:40" x14ac:dyDescent="0.15">
      <c r="A77" s="270" t="str">
        <f>'Tariffs Jul2019'!F71</f>
        <v>EnergyAustralia</v>
      </c>
      <c r="B77" s="40" t="str">
        <f>'Tariffs Jul2019'!D71</f>
        <v>AGN Central 1</v>
      </c>
      <c r="C77" s="40" t="str">
        <f>'Tariffs Jul2019'!G71</f>
        <v>Total Plan</v>
      </c>
      <c r="D77" s="59">
        <f>365*'Tariffs Jul2019'!H71/100</f>
        <v>295.64999999999998</v>
      </c>
      <c r="E77" s="59">
        <f>IF($C$5*'Tariffs Jul2019'!AK71/'Tariffs Jul2019'!AI71&gt;='Tariffs Jul2019'!J71,( 'Tariffs Jul2019'!J71*'Tariffs Jul2019'!O71/100)* 'Tariffs Jul2019'!AI71,($C$5*'Tariffs Jul2019'!AK71/'Tariffs Jul2019'!AI71*'Tariffs Jul2019'!O71/100)* 'Tariffs Jul2019'!AI71)</f>
        <v>178.2</v>
      </c>
      <c r="F77" s="59">
        <f>IF($C$5*'Tariffs Jul2019'!AK71/'Tariffs Jul2019'!AI71&lt;'Tariffs Jul2019'!J71,0,IF($C$5*'Tariffs Jul2019'!AK71/'Tariffs Jul2019'!AI71&lt;='Tariffs Jul2019'!K71,($C$5*'Tariffs Jul2019'!AK71/'Tariffs Jul2019'!AI71-'Tariffs Jul2019'!J71)*('Tariffs Jul2019'!P71/100)*'Tariffs Jul2019'!AI71,('Tariffs Jul2019'!K71-'Tariffs Jul2019'!J71)*('Tariffs Jul2019'!P71/100)*'Tariffs Jul2019'!AI71))</f>
        <v>0</v>
      </c>
      <c r="G77" s="59">
        <f>IF($C$5*'Tariffs Jul2019'!AK71/'Tariffs Jul2019'!AI71&lt;'Tariffs Jul2019'!K71,0,IF($C$5*'Tariffs Jul2019'!AK71/'Tariffs Jul2019'!AI71&lt;='Tariffs Jul2019'!L71,($C$5*'Tariffs Jul2019'!AK71/'Tariffs Jul2019'!AI71-'Tariffs Jul2019'!K71)*('Tariffs Jul2019'!Q71/100)*'Tariffs Jul2019'!AI71,('Tariffs Jul2019'!L71-'Tariffs Jul2019'!K71)*('Tariffs Jul2019'!Q71/100)*'Tariffs Jul2019'!AI71))</f>
        <v>0</v>
      </c>
      <c r="H77" s="59">
        <f>IF($C$5*'Tariffs Jul2019'!AK71/'Tariffs Jul2019'!AI71&lt;'Tariffs Jul2019'!L71,0,IF($C$5*'Tariffs Jul2019'!AK71/'Tariffs Jul2019'!AI71&lt;='Tariffs Jul2019'!M71,($C$5*'Tariffs Jul2019'!AK71/'Tariffs Jul2019'!AI71-'Tariffs Jul2019'!L71)*('Tariffs Jul2019'!R71/100)*'Tariffs Jul2019'!AI71,('Tariffs Jul2019'!M71-'Tariffs Jul2019'!L71)*('Tariffs Jul2019'!R71/100)*'Tariffs Jul2019'!AI71))</f>
        <v>0</v>
      </c>
      <c r="I77" s="59">
        <f>IF(($C$5*'Tariffs Jul2019'!AK71/'Tariffs Jul2019'!AI71&gt;'Tariffs Jul2019'!M71),($C$5*'Tariffs Jul2019'!AK71/'Tariffs Jul2019'!AI71-'Tariffs Jul2019'!M71)*'Tariffs Jul2019'!S71/100*'Tariffs Jul2019'!AI71,0)</f>
        <v>299.95799999999997</v>
      </c>
      <c r="J77" s="59">
        <f>IF($C$5*'Tariffs Jul2019'!AL71/'Tariffs Jul2019'!AJ71&gt;='Tariffs Jul2019'!J71,('Tariffs Jul2019'!J71*'Tariffs Jul2019'!U71/100)* 'Tariffs Jul2019'!AJ71,($C$5*'Tariffs Jul2019'!AL71/'Tariffs Jul2019'!AJ71*'Tariffs Jul2019'!U71/100)* 'Tariffs Jul2019'!AJ71)</f>
        <v>356.4</v>
      </c>
      <c r="K77" s="59">
        <f>IF($C$5*'Tariffs Jul2019'!AL71/'Tariffs Jul2019'!AJ71&lt;'Tariffs Jul2019'!J71,0,IF($C$5*'Tariffs Jul2019'!AL71/'Tariffs Jul2019'!AJ71&lt;='Tariffs Jul2019'!K71,($C$5*'Tariffs Jul2019'!AL71/'Tariffs Jul2019'!AJ71-'Tariffs Jul2019'!J71)*('Tariffs Jul2019'!V71/100)*'Tariffs Jul2019'!AJ71,('Tariffs Jul2019'!K71-'Tariffs Jul2019'!J71)*('Tariffs Jul2019'!V71/100)*'Tariffs Jul2019'!AJ71))</f>
        <v>0</v>
      </c>
      <c r="L77" s="59">
        <f>IF($C$5*'Tariffs Jul2019'!AL71/'Tariffs Jul2019'!AJ71&lt;'Tariffs Jul2019'!K71,0,IF($C$5*'Tariffs Jul2019'!AL71/'Tariffs Jul2019'!AJ71&lt;='Tariffs Jul2019'!L71,($C$5*'Tariffs Jul2019'!AL71/'Tariffs Jul2019'!AJ71-'Tariffs Jul2019'!K71)*('Tariffs Jul2019'!W71/100)*'Tariffs Jul2019'!AJ71,('Tariffs Jul2019'!L71-'Tariffs Jul2019'!K71)*('Tariffs Jul2019'!W71/100)*'Tariffs Jul2019'!AJ71))</f>
        <v>0</v>
      </c>
      <c r="M77" s="59">
        <f>IF($C$5*'Tariffs Jul2019'!AL71/'Tariffs Jul2019'!AJ71&lt;'Tariffs Jul2019'!L71,0,IF($C$5*'Tariffs Jul2019'!AL71/'Tariffs Jul2019'!AJ71&lt;='Tariffs Jul2019'!M71,($C$5*'Tariffs Jul2019'!AL71/'Tariffs Jul2019'!AJ71-'Tariffs Jul2019'!L71)*('Tariffs Jul2019'!X71/100)*'Tariffs Jul2019'!AJ71,('Tariffs Jul2019'!M71-'Tariffs Jul2019'!L71)*('Tariffs Jul2019'!X71/100)*'Tariffs Jul2019'!AJ71))</f>
        <v>0</v>
      </c>
      <c r="N77" s="59">
        <f>IF(($C$5*'Tariffs Jul2019'!AL71/'Tariffs Jul2019'!AJ71&gt;'Tariffs Jul2019'!M71),($C$5*'Tariffs Jul2019'!AL71/'Tariffs Jul2019'!AJ71-'Tariffs Jul2019'!M71)*'Tariffs Jul2019'!Y71/100*'Tariffs Jul2019'!AJ71,0)</f>
        <v>599.91599999999994</v>
      </c>
      <c r="O77" s="271">
        <f t="shared" si="0"/>
        <v>1434.4739999999999</v>
      </c>
      <c r="P77" s="413">
        <f t="shared" si="10"/>
        <v>1577.9213999999999</v>
      </c>
      <c r="Q77" s="59">
        <f t="shared" si="2"/>
        <v>1730.1239999999998</v>
      </c>
      <c r="R77" s="272">
        <f t="shared" si="3"/>
        <v>1903.1363999999999</v>
      </c>
      <c r="S77" s="40">
        <f>'Tariffs Jul2019'!AN71</f>
        <v>24</v>
      </c>
      <c r="T77" s="40">
        <f>'Tariffs Jul2019'!AO71</f>
        <v>0</v>
      </c>
      <c r="U77" s="40">
        <f>'Tariffs Jul2019'!AP71</f>
        <v>0</v>
      </c>
      <c r="V77" s="40">
        <f>'Tariffs Jul2019'!AQ71</f>
        <v>0</v>
      </c>
      <c r="W77" s="273">
        <f>Q77-(Q77*S77/100)</f>
        <v>1314.8942399999999</v>
      </c>
      <c r="X77" s="273">
        <f>W77</f>
        <v>1314.8942399999999</v>
      </c>
      <c r="Y77" s="272">
        <f t="shared" si="4"/>
        <v>1446.383664</v>
      </c>
      <c r="Z77" s="272">
        <f t="shared" si="4"/>
        <v>1446.383664</v>
      </c>
      <c r="AA77" s="274">
        <f>'Tariffs Jul2019'!AZ71</f>
        <v>0</v>
      </c>
      <c r="AB77" s="274" t="str">
        <f>'Tariffs Jul2019'!BA71</f>
        <v>n</v>
      </c>
      <c r="AC77" s="275" t="str">
        <f>'Tariffs Jul2019'!BJ71</f>
        <v>N</v>
      </c>
      <c r="AD77" s="398"/>
      <c r="AE77" s="398"/>
      <c r="AF77" s="398"/>
      <c r="AG77" s="398"/>
      <c r="AH77" s="398"/>
      <c r="AI77" s="398"/>
      <c r="AJ77" s="398"/>
      <c r="AK77" s="398"/>
      <c r="AL77" s="398"/>
      <c r="AM77" s="398"/>
      <c r="AN77" s="398"/>
    </row>
    <row r="78" spans="1:40" x14ac:dyDescent="0.15">
      <c r="A78" s="270" t="str">
        <f>'Tariffs Jul2019'!F72</f>
        <v>Lumo Energy</v>
      </c>
      <c r="B78" s="40" t="str">
        <f>'Tariffs Jul2019'!D72</f>
        <v>AGN Central 1</v>
      </c>
      <c r="C78" s="40" t="str">
        <f>'Tariffs Jul2019'!G72</f>
        <v>Value</v>
      </c>
      <c r="D78" s="59">
        <f>365*'Tariffs Jul2019'!H72/100</f>
        <v>237.25</v>
      </c>
      <c r="E78" s="59">
        <f>IF($C$5*'Tariffs Jul2019'!AK72/'Tariffs Jul2019'!AI72&gt;='Tariffs Jul2019'!J72,( 'Tariffs Jul2019'!J72*'Tariffs Jul2019'!O72/100)* 'Tariffs Jul2019'!AI72,($C$5*'Tariffs Jul2019'!AK72/'Tariffs Jul2019'!AI72*'Tariffs Jul2019'!O72/100)* 'Tariffs Jul2019'!AI72)</f>
        <v>82.25</v>
      </c>
      <c r="F78" s="59">
        <f>IF($C$5*'Tariffs Jul2019'!AK72/'Tariffs Jul2019'!AI72&lt;'Tariffs Jul2019'!J72,0,IF($C$5*'Tariffs Jul2019'!AK72/'Tariffs Jul2019'!AI72&lt;='Tariffs Jul2019'!K72,($C$5*'Tariffs Jul2019'!AK72/'Tariffs Jul2019'!AI72-'Tariffs Jul2019'!J72)*('Tariffs Jul2019'!P72/100)*'Tariffs Jul2019'!AI72,('Tariffs Jul2019'!K72-'Tariffs Jul2019'!J72)*('Tariffs Jul2019'!P72/100)*'Tariffs Jul2019'!AI72))</f>
        <v>54.2</v>
      </c>
      <c r="G78" s="59">
        <f>IF($C$5*'Tariffs Jul2019'!AK72/'Tariffs Jul2019'!AI72&lt;'Tariffs Jul2019'!K72,0,IF($C$5*'Tariffs Jul2019'!AK72/'Tariffs Jul2019'!AI72&lt;='Tariffs Jul2019'!L72,($C$5*'Tariffs Jul2019'!AK72/'Tariffs Jul2019'!AI72-'Tariffs Jul2019'!K72)*('Tariffs Jul2019'!Q72/100)*'Tariffs Jul2019'!AI72,('Tariffs Jul2019'!L72-'Tariffs Jul2019'!K72)*('Tariffs Jul2019'!Q72/100)*'Tariffs Jul2019'!AI72))</f>
        <v>0</v>
      </c>
      <c r="H78" s="59">
        <f>IF($C$5*'Tariffs Jul2019'!AK72/'Tariffs Jul2019'!AI72&lt;'Tariffs Jul2019'!L72,0,IF($C$5*'Tariffs Jul2019'!AK72/'Tariffs Jul2019'!AI72&lt;='Tariffs Jul2019'!M72,($C$5*'Tariffs Jul2019'!AK72/'Tariffs Jul2019'!AI72-'Tariffs Jul2019'!L72)*('Tariffs Jul2019'!R72/100)*'Tariffs Jul2019'!AI72,('Tariffs Jul2019'!M72-'Tariffs Jul2019'!L72)*('Tariffs Jul2019'!R72/100)*'Tariffs Jul2019'!AI72))</f>
        <v>0</v>
      </c>
      <c r="I78" s="59">
        <f>IF(($C$5*'Tariffs Jul2019'!AK72/'Tariffs Jul2019'!AI72&gt;'Tariffs Jul2019'!M72),($C$5*'Tariffs Jul2019'!AK72/'Tariffs Jul2019'!AI72-'Tariffs Jul2019'!M72)*'Tariffs Jul2019'!S72/100*'Tariffs Jul2019'!AI72,0)</f>
        <v>269.9622</v>
      </c>
      <c r="J78" s="59">
        <f>IF($C$5*'Tariffs Jul2019'!AL72/'Tariffs Jul2019'!AJ72&gt;='Tariffs Jul2019'!J72,('Tariffs Jul2019'!J72*'Tariffs Jul2019'!U72/100)* 'Tariffs Jul2019'!AJ72,($C$5*'Tariffs Jul2019'!AL72/'Tariffs Jul2019'!AJ72*'Tariffs Jul2019'!U72/100)* 'Tariffs Jul2019'!AJ72)</f>
        <v>164.5</v>
      </c>
      <c r="K78" s="59">
        <f>IF($C$5*'Tariffs Jul2019'!AL72/'Tariffs Jul2019'!AJ72&lt;'Tariffs Jul2019'!J72,0,IF($C$5*'Tariffs Jul2019'!AL72/'Tariffs Jul2019'!AJ72&lt;='Tariffs Jul2019'!K72,($C$5*'Tariffs Jul2019'!AL72/'Tariffs Jul2019'!AJ72-'Tariffs Jul2019'!J72)*('Tariffs Jul2019'!V72/100)*'Tariffs Jul2019'!AJ72,('Tariffs Jul2019'!K72-'Tariffs Jul2019'!J72)*('Tariffs Jul2019'!V72/100)*'Tariffs Jul2019'!AJ72))</f>
        <v>108.4</v>
      </c>
      <c r="L78" s="59">
        <f>IF($C$5*'Tariffs Jul2019'!AL72/'Tariffs Jul2019'!AJ72&lt;'Tariffs Jul2019'!K72,0,IF($C$5*'Tariffs Jul2019'!AL72/'Tariffs Jul2019'!AJ72&lt;='Tariffs Jul2019'!L72,($C$5*'Tariffs Jul2019'!AL72/'Tariffs Jul2019'!AJ72-'Tariffs Jul2019'!K72)*('Tariffs Jul2019'!W72/100)*'Tariffs Jul2019'!AJ72,('Tariffs Jul2019'!L72-'Tariffs Jul2019'!K72)*('Tariffs Jul2019'!W72/100)*'Tariffs Jul2019'!AJ72))</f>
        <v>0</v>
      </c>
      <c r="M78" s="59">
        <f>IF($C$5*'Tariffs Jul2019'!AL72/'Tariffs Jul2019'!AJ72&lt;'Tariffs Jul2019'!L72,0,IF($C$5*'Tariffs Jul2019'!AL72/'Tariffs Jul2019'!AJ72&lt;='Tariffs Jul2019'!M72,($C$5*'Tariffs Jul2019'!AL72/'Tariffs Jul2019'!AJ72-'Tariffs Jul2019'!L72)*('Tariffs Jul2019'!X72/100)*'Tariffs Jul2019'!AJ72,('Tariffs Jul2019'!M72-'Tariffs Jul2019'!L72)*('Tariffs Jul2019'!X72/100)*'Tariffs Jul2019'!AJ72))</f>
        <v>0</v>
      </c>
      <c r="N78" s="59">
        <f>IF(($C$5*'Tariffs Jul2019'!AL72/'Tariffs Jul2019'!AJ72&gt;'Tariffs Jul2019'!M72),($C$5*'Tariffs Jul2019'!AL72/'Tariffs Jul2019'!AJ72-'Tariffs Jul2019'!M72)*'Tariffs Jul2019'!Y72/100*'Tariffs Jul2019'!AJ72,0)</f>
        <v>539.92439999999999</v>
      </c>
      <c r="O78" s="271">
        <f t="shared" si="0"/>
        <v>1219.2366</v>
      </c>
      <c r="P78" s="413">
        <f t="shared" si="10"/>
        <v>1341.1602600000001</v>
      </c>
      <c r="Q78" s="59">
        <f t="shared" si="2"/>
        <v>1456.4866</v>
      </c>
      <c r="R78" s="272">
        <f t="shared" si="3"/>
        <v>1602.13526</v>
      </c>
      <c r="S78" s="40">
        <f>'Tariffs Jul2019'!AN72</f>
        <v>0</v>
      </c>
      <c r="T78" s="40">
        <f>'Tariffs Jul2019'!AO72</f>
        <v>0</v>
      </c>
      <c r="U78" s="40">
        <f>'Tariffs Jul2019'!AP72</f>
        <v>3</v>
      </c>
      <c r="V78" s="40">
        <f>'Tariffs Jul2019'!AQ72</f>
        <v>0</v>
      </c>
      <c r="W78" s="273">
        <f>Q78</f>
        <v>1456.4866</v>
      </c>
      <c r="X78" s="273">
        <f>W78-(Q78*U78/100)</f>
        <v>1412.7920019999999</v>
      </c>
      <c r="Y78" s="272">
        <f t="shared" si="4"/>
        <v>1602.13526</v>
      </c>
      <c r="Z78" s="272">
        <f t="shared" si="4"/>
        <v>1554.0712022</v>
      </c>
      <c r="AA78" s="274">
        <f>'Tariffs Jul2019'!AZ72</f>
        <v>0</v>
      </c>
      <c r="AB78" s="274" t="str">
        <f>'Tariffs Jul2019'!BA72</f>
        <v>n</v>
      </c>
      <c r="AC78" s="275" t="str">
        <f>'Tariffs Jul2019'!BJ72</f>
        <v>N</v>
      </c>
      <c r="AD78" s="398"/>
      <c r="AE78" s="398"/>
      <c r="AF78" s="398"/>
      <c r="AG78" s="398"/>
      <c r="AH78" s="398"/>
      <c r="AI78" s="398"/>
      <c r="AJ78" s="398"/>
      <c r="AK78" s="398"/>
      <c r="AL78" s="398"/>
      <c r="AM78" s="398"/>
      <c r="AN78" s="398"/>
    </row>
    <row r="79" spans="1:40" x14ac:dyDescent="0.15">
      <c r="A79" s="270" t="str">
        <f>'Tariffs Jul2019'!F73</f>
        <v>Momentum Energy</v>
      </c>
      <c r="B79" s="40" t="str">
        <f>'Tariffs Jul2019'!D73</f>
        <v>AGN Central 1</v>
      </c>
      <c r="C79" s="40" t="str">
        <f>'Tariffs Jul2019'!G73</f>
        <v>Market offer</v>
      </c>
      <c r="D79" s="59">
        <f>365*'Tariffs Jul2019'!H73/100</f>
        <v>288.0215</v>
      </c>
      <c r="E79" s="59">
        <f>IF($C$5*'Tariffs Jul2019'!AK73/'Tariffs Jul2019'!AI73&gt;='Tariffs Jul2019'!J73,( 'Tariffs Jul2019'!J73*'Tariffs Jul2019'!O73/100)* 'Tariffs Jul2019'!AI73,($C$5*'Tariffs Jul2019'!AK73/'Tariffs Jul2019'!AI73*'Tariffs Jul2019'!O73/100)* 'Tariffs Jul2019'!AI73)</f>
        <v>70.175699999999992</v>
      </c>
      <c r="F79" s="59">
        <f>IF($C$5*'Tariffs Jul2019'!AK73/'Tariffs Jul2019'!AI73&lt;'Tariffs Jul2019'!J73,0,IF($C$5*'Tariffs Jul2019'!AK73/'Tariffs Jul2019'!AI73&lt;='Tariffs Jul2019'!K73,($C$5*'Tariffs Jul2019'!AK73/'Tariffs Jul2019'!AI73-'Tariffs Jul2019'!J73)*('Tariffs Jul2019'!P73/100)*'Tariffs Jul2019'!AI73,('Tariffs Jul2019'!K73-'Tariffs Jul2019'!J73)*('Tariffs Jul2019'!P73/100)*'Tariffs Jul2019'!AI73))</f>
        <v>48.969699999999996</v>
      </c>
      <c r="G79" s="59">
        <f>IF($C$5*'Tariffs Jul2019'!AK73/'Tariffs Jul2019'!AI73&lt;'Tariffs Jul2019'!K73,0,IF($C$5*'Tariffs Jul2019'!AK73/'Tariffs Jul2019'!AI73&lt;='Tariffs Jul2019'!L73,($C$5*'Tariffs Jul2019'!AK73/'Tariffs Jul2019'!AI73-'Tariffs Jul2019'!K73)*('Tariffs Jul2019'!Q73/100)*'Tariffs Jul2019'!AI73,('Tariffs Jul2019'!L73-'Tariffs Jul2019'!K73)*('Tariffs Jul2019'!Q73/100)*'Tariffs Jul2019'!AI73))</f>
        <v>0</v>
      </c>
      <c r="H79" s="59">
        <f>IF($C$5*'Tariffs Jul2019'!AK73/'Tariffs Jul2019'!AI73&lt;'Tariffs Jul2019'!L73,0,IF($C$5*'Tariffs Jul2019'!AK73/'Tariffs Jul2019'!AI73&lt;='Tariffs Jul2019'!M73,($C$5*'Tariffs Jul2019'!AK73/'Tariffs Jul2019'!AI73-'Tariffs Jul2019'!L73)*('Tariffs Jul2019'!R73/100)*'Tariffs Jul2019'!AI73,('Tariffs Jul2019'!M73-'Tariffs Jul2019'!L73)*('Tariffs Jul2019'!R73/100)*'Tariffs Jul2019'!AI73))</f>
        <v>0</v>
      </c>
      <c r="I79" s="59">
        <f>IF(($C$5*'Tariffs Jul2019'!AK73/'Tariffs Jul2019'!AI73&gt;'Tariffs Jul2019'!M73),($C$5*'Tariffs Jul2019'!AK73/'Tariffs Jul2019'!AI73-'Tariffs Jul2019'!M73)*'Tariffs Jul2019'!S73/100*'Tariffs Jul2019'!AI73,0)</f>
        <v>235.91696699999997</v>
      </c>
      <c r="J79" s="59">
        <f>IF($C$5*'Tariffs Jul2019'!AL73/'Tariffs Jul2019'!AJ73&gt;='Tariffs Jul2019'!J73,('Tariffs Jul2019'!J73*'Tariffs Jul2019'!U73/100)* 'Tariffs Jul2019'!AJ73,($C$5*'Tariffs Jul2019'!AL73/'Tariffs Jul2019'!AJ73*'Tariffs Jul2019'!U73/100)* 'Tariffs Jul2019'!AJ73)</f>
        <v>127.32300000000001</v>
      </c>
      <c r="K79" s="59">
        <f>IF($C$5*'Tariffs Jul2019'!AL73/'Tariffs Jul2019'!AJ73&lt;'Tariffs Jul2019'!J73,0,IF($C$5*'Tariffs Jul2019'!AL73/'Tariffs Jul2019'!AJ73&lt;='Tariffs Jul2019'!K73,($C$5*'Tariffs Jul2019'!AL73/'Tariffs Jul2019'!AJ73-'Tariffs Jul2019'!J73)*('Tariffs Jul2019'!V73/100)*'Tariffs Jul2019'!AJ73,('Tariffs Jul2019'!K73-'Tariffs Jul2019'!J73)*('Tariffs Jul2019'!V73/100)*'Tariffs Jul2019'!AJ73))</f>
        <v>88.562799999999996</v>
      </c>
      <c r="L79" s="59">
        <f>IF($C$5*'Tariffs Jul2019'!AL73/'Tariffs Jul2019'!AJ73&lt;'Tariffs Jul2019'!K73,0,IF($C$5*'Tariffs Jul2019'!AL73/'Tariffs Jul2019'!AJ73&lt;='Tariffs Jul2019'!L73,($C$5*'Tariffs Jul2019'!AL73/'Tariffs Jul2019'!AJ73-'Tariffs Jul2019'!K73)*('Tariffs Jul2019'!W73/100)*'Tariffs Jul2019'!AJ73,('Tariffs Jul2019'!L73-'Tariffs Jul2019'!K73)*('Tariffs Jul2019'!W73/100)*'Tariffs Jul2019'!AJ73))</f>
        <v>0</v>
      </c>
      <c r="M79" s="59">
        <f>IF($C$5*'Tariffs Jul2019'!AL73/'Tariffs Jul2019'!AJ73&lt;'Tariffs Jul2019'!L73,0,IF($C$5*'Tariffs Jul2019'!AL73/'Tariffs Jul2019'!AJ73&lt;='Tariffs Jul2019'!M73,($C$5*'Tariffs Jul2019'!AL73/'Tariffs Jul2019'!AJ73-'Tariffs Jul2019'!L73)*('Tariffs Jul2019'!X73/100)*'Tariffs Jul2019'!AJ73,('Tariffs Jul2019'!M73-'Tariffs Jul2019'!L73)*('Tariffs Jul2019'!X73/100)*'Tariffs Jul2019'!AJ73))</f>
        <v>0</v>
      </c>
      <c r="N79" s="59">
        <f>IF(($C$5*'Tariffs Jul2019'!AL73/'Tariffs Jul2019'!AJ73&gt;'Tariffs Jul2019'!M73),($C$5*'Tariffs Jul2019'!AL73/'Tariffs Jul2019'!AJ73-'Tariffs Jul2019'!M73)*'Tariffs Jul2019'!Y73/100*'Tariffs Jul2019'!AJ73,0)</f>
        <v>424.74052799999993</v>
      </c>
      <c r="O79" s="271">
        <f t="shared" si="0"/>
        <v>995.68869499999994</v>
      </c>
      <c r="P79" s="413">
        <f t="shared" si="10"/>
        <v>1095.2575644999999</v>
      </c>
      <c r="Q79" s="59">
        <f t="shared" si="2"/>
        <v>1283.7101949999999</v>
      </c>
      <c r="R79" s="272">
        <f t="shared" si="3"/>
        <v>1412.0812145</v>
      </c>
      <c r="S79" s="40">
        <f>'Tariffs Jul2019'!AN73</f>
        <v>0</v>
      </c>
      <c r="T79" s="40">
        <f>'Tariffs Jul2019'!AO73</f>
        <v>0</v>
      </c>
      <c r="U79" s="40">
        <f>'Tariffs Jul2019'!AP73</f>
        <v>0</v>
      </c>
      <c r="V79" s="40">
        <f>'Tariffs Jul2019'!AQ73</f>
        <v>0</v>
      </c>
      <c r="W79" s="273">
        <f>Q79</f>
        <v>1283.7101949999999</v>
      </c>
      <c r="X79" s="273">
        <f>W79</f>
        <v>1283.7101949999999</v>
      </c>
      <c r="Y79" s="272">
        <f t="shared" si="4"/>
        <v>1412.0812145</v>
      </c>
      <c r="Z79" s="272">
        <f t="shared" si="4"/>
        <v>1412.0812145</v>
      </c>
      <c r="AA79" s="274">
        <f>'Tariffs Jul2019'!AZ73</f>
        <v>0</v>
      </c>
      <c r="AB79" s="274" t="str">
        <f>'Tariffs Jul2019'!BA73</f>
        <v>n</v>
      </c>
      <c r="AC79" s="275" t="str">
        <f>'Tariffs Jul2019'!BJ73</f>
        <v>Y</v>
      </c>
      <c r="AD79" s="398"/>
      <c r="AE79" s="398"/>
      <c r="AF79" s="398"/>
      <c r="AG79" s="398"/>
      <c r="AH79" s="398"/>
      <c r="AI79" s="398"/>
      <c r="AJ79" s="398"/>
      <c r="AK79" s="398"/>
      <c r="AL79" s="398"/>
      <c r="AM79" s="398"/>
      <c r="AN79" s="398"/>
    </row>
    <row r="80" spans="1:40" x14ac:dyDescent="0.15">
      <c r="A80" s="270" t="str">
        <f>'Tariffs Jul2019'!F74</f>
        <v>Origin Energy</v>
      </c>
      <c r="B80" s="40" t="str">
        <f>'Tariffs Jul2019'!D74</f>
        <v>AGN Central 1</v>
      </c>
      <c r="C80" s="40" t="str">
        <f>'Tariffs Jul2019'!G74</f>
        <v>Flexi</v>
      </c>
      <c r="D80" s="59">
        <f>365*'Tariffs Jul2019'!H74/100</f>
        <v>251.85</v>
      </c>
      <c r="E80" s="59">
        <f>IF($C$5*'Tariffs Jul2019'!AK74/'Tariffs Jul2019'!AI74&gt;='Tariffs Jul2019'!J74,( 'Tariffs Jul2019'!J74*'Tariffs Jul2019'!O74/100)* 'Tariffs Jul2019'!AI74,($C$5*'Tariffs Jul2019'!AK74/'Tariffs Jul2019'!AI74*'Tariffs Jul2019'!O74/100)* 'Tariffs Jul2019'!AI74)</f>
        <v>264.00000000000006</v>
      </c>
      <c r="F80" s="59">
        <f>IF($C$5*'Tariffs Jul2019'!AK74/'Tariffs Jul2019'!AI74&lt;'Tariffs Jul2019'!J74,0,IF($C$5*'Tariffs Jul2019'!AK74/'Tariffs Jul2019'!AI74&lt;='Tariffs Jul2019'!K74,($C$5*'Tariffs Jul2019'!AK74/'Tariffs Jul2019'!AI74-'Tariffs Jul2019'!J74)*('Tariffs Jul2019'!P74/100)*'Tariffs Jul2019'!AI74,('Tariffs Jul2019'!K74-'Tariffs Jul2019'!J74)*('Tariffs Jul2019'!P74/100)*'Tariffs Jul2019'!AI74))</f>
        <v>188.95589999999996</v>
      </c>
      <c r="G80" s="59">
        <f>IF($C$5*'Tariffs Jul2019'!AK74/'Tariffs Jul2019'!AI74&lt;'Tariffs Jul2019'!K74,0,IF($C$5*'Tariffs Jul2019'!AK74/'Tariffs Jul2019'!AI74&lt;='Tariffs Jul2019'!L74,($C$5*'Tariffs Jul2019'!AK74/'Tariffs Jul2019'!AI74-'Tariffs Jul2019'!K74)*('Tariffs Jul2019'!Q74/100)*'Tariffs Jul2019'!AI74,('Tariffs Jul2019'!L74-'Tariffs Jul2019'!K74)*('Tariffs Jul2019'!Q74/100)*'Tariffs Jul2019'!AI74))</f>
        <v>0</v>
      </c>
      <c r="H80" s="59">
        <f>IF($C$5*'Tariffs Jul2019'!AK74/'Tariffs Jul2019'!AI74&lt;'Tariffs Jul2019'!L74,0,IF($C$5*'Tariffs Jul2019'!AK74/'Tariffs Jul2019'!AI74&lt;='Tariffs Jul2019'!M74,($C$5*'Tariffs Jul2019'!AK74/'Tariffs Jul2019'!AI74-'Tariffs Jul2019'!L74)*('Tariffs Jul2019'!R74/100)*'Tariffs Jul2019'!AI74,('Tariffs Jul2019'!M74-'Tariffs Jul2019'!L74)*('Tariffs Jul2019'!R74/100)*'Tariffs Jul2019'!AI74))</f>
        <v>0</v>
      </c>
      <c r="I80" s="59">
        <f>IF(($C$5*'Tariffs Jul2019'!AK74/'Tariffs Jul2019'!AI74&gt;'Tariffs Jul2019'!M74),($C$5*'Tariffs Jul2019'!AK74/'Tariffs Jul2019'!AI74-'Tariffs Jul2019'!M74)*'Tariffs Jul2019'!S74/100*'Tariffs Jul2019'!AI74,0)</f>
        <v>0</v>
      </c>
      <c r="J80" s="59">
        <f>IF($C$5*'Tariffs Jul2019'!AL74/'Tariffs Jul2019'!AJ74&gt;='Tariffs Jul2019'!J74,('Tariffs Jul2019'!J74*'Tariffs Jul2019'!U74/100)* 'Tariffs Jul2019'!AJ74,($C$5*'Tariffs Jul2019'!AL74/'Tariffs Jul2019'!AJ74*'Tariffs Jul2019'!U74/100)* 'Tariffs Jul2019'!AJ74)</f>
        <v>528.00000000000011</v>
      </c>
      <c r="K80" s="59">
        <f>IF($C$5*'Tariffs Jul2019'!AL74/'Tariffs Jul2019'!AJ74&lt;'Tariffs Jul2019'!J74,0,IF($C$5*'Tariffs Jul2019'!AL74/'Tariffs Jul2019'!AJ74&lt;='Tariffs Jul2019'!K74,($C$5*'Tariffs Jul2019'!AL74/'Tariffs Jul2019'!AJ74-'Tariffs Jul2019'!J74)*('Tariffs Jul2019'!V74/100)*'Tariffs Jul2019'!AJ74,('Tariffs Jul2019'!K74-'Tariffs Jul2019'!J74)*('Tariffs Jul2019'!V74/100)*'Tariffs Jul2019'!AJ74))</f>
        <v>377.91179999999991</v>
      </c>
      <c r="L80" s="59">
        <f>IF($C$5*'Tariffs Jul2019'!AL74/'Tariffs Jul2019'!AJ74&lt;'Tariffs Jul2019'!K74,0,IF($C$5*'Tariffs Jul2019'!AL74/'Tariffs Jul2019'!AJ74&lt;='Tariffs Jul2019'!L74,($C$5*'Tariffs Jul2019'!AL74/'Tariffs Jul2019'!AJ74-'Tariffs Jul2019'!K74)*('Tariffs Jul2019'!W74/100)*'Tariffs Jul2019'!AJ74,('Tariffs Jul2019'!L74-'Tariffs Jul2019'!K74)*('Tariffs Jul2019'!W74/100)*'Tariffs Jul2019'!AJ74))</f>
        <v>0</v>
      </c>
      <c r="M80" s="59">
        <f>IF($C$5*'Tariffs Jul2019'!AL74/'Tariffs Jul2019'!AJ74&lt;'Tariffs Jul2019'!L74,0,IF($C$5*'Tariffs Jul2019'!AL74/'Tariffs Jul2019'!AJ74&lt;='Tariffs Jul2019'!M74,($C$5*'Tariffs Jul2019'!AL74/'Tariffs Jul2019'!AJ74-'Tariffs Jul2019'!L74)*('Tariffs Jul2019'!X74/100)*'Tariffs Jul2019'!AJ74,('Tariffs Jul2019'!M74-'Tariffs Jul2019'!L74)*('Tariffs Jul2019'!X74/100)*'Tariffs Jul2019'!AJ74))</f>
        <v>0</v>
      </c>
      <c r="N80" s="59">
        <f>IF(($C$5*'Tariffs Jul2019'!AL74/'Tariffs Jul2019'!AJ74&gt;'Tariffs Jul2019'!M74),($C$5*'Tariffs Jul2019'!AL74/'Tariffs Jul2019'!AJ74-'Tariffs Jul2019'!M74)*'Tariffs Jul2019'!Y74/100*'Tariffs Jul2019'!AJ74,0)</f>
        <v>0</v>
      </c>
      <c r="O80" s="271">
        <f t="shared" si="0"/>
        <v>1358.8677</v>
      </c>
      <c r="P80" s="413">
        <f t="shared" si="10"/>
        <v>1494.7544700000001</v>
      </c>
      <c r="Q80" s="59">
        <f t="shared" si="2"/>
        <v>1610.7176999999999</v>
      </c>
      <c r="R80" s="272">
        <f t="shared" si="3"/>
        <v>1771.7894700000002</v>
      </c>
      <c r="S80" s="40">
        <f>'Tariffs Jul2019'!AN74</f>
        <v>10</v>
      </c>
      <c r="T80" s="40">
        <f>'Tariffs Jul2019'!AO74</f>
        <v>0</v>
      </c>
      <c r="U80" s="40">
        <f>'Tariffs Jul2019'!AP74</f>
        <v>0</v>
      </c>
      <c r="V80" s="40">
        <f>'Tariffs Jul2019'!AQ74</f>
        <v>0</v>
      </c>
      <c r="W80" s="273">
        <f>R80-(R80*S80/100)</f>
        <v>1594.6105230000003</v>
      </c>
      <c r="X80" s="273">
        <f>W80</f>
        <v>1594.6105230000003</v>
      </c>
      <c r="Y80" s="272">
        <f>W80</f>
        <v>1594.6105230000003</v>
      </c>
      <c r="Z80" s="272">
        <f>X80</f>
        <v>1594.6105230000003</v>
      </c>
      <c r="AA80" s="274">
        <f>'Tariffs Jul2019'!AZ74</f>
        <v>0</v>
      </c>
      <c r="AB80" s="274" t="str">
        <f>'Tariffs Jul2019'!BA74</f>
        <v>n</v>
      </c>
      <c r="AC80" s="275" t="str">
        <f>'Tariffs Jul2019'!BJ74</f>
        <v>N</v>
      </c>
      <c r="AD80" s="398"/>
      <c r="AE80" s="398"/>
      <c r="AF80" s="398"/>
      <c r="AG80" s="398"/>
      <c r="AH80" s="398"/>
      <c r="AI80" s="398"/>
      <c r="AJ80" s="398"/>
      <c r="AK80" s="398"/>
      <c r="AL80" s="398"/>
      <c r="AM80" s="398"/>
      <c r="AN80" s="398"/>
    </row>
    <row r="81" spans="1:40" x14ac:dyDescent="0.15">
      <c r="A81" s="270" t="str">
        <f>'Tariffs Jul2019'!F75</f>
        <v>Red Energy</v>
      </c>
      <c r="B81" s="40" t="str">
        <f>'Tariffs Jul2019'!D75</f>
        <v>AGN Central 1</v>
      </c>
      <c r="C81" s="40" t="str">
        <f>'Tariffs Jul2019'!G75</f>
        <v>Easy Saver</v>
      </c>
      <c r="D81" s="59">
        <f>365*'Tariffs Jul2019'!H75/100</f>
        <v>256.96000000000004</v>
      </c>
      <c r="E81" s="59">
        <f>IF($C$5*'Tariffs Jul2019'!AK75/'Tariffs Jul2019'!AI75&gt;='Tariffs Jul2019'!J75,( 'Tariffs Jul2019'!J75*'Tariffs Jul2019'!O75/100)* 'Tariffs Jul2019'!AI75,($C$5*'Tariffs Jul2019'!AK75/'Tariffs Jul2019'!AI75*'Tariffs Jul2019'!O75/100)* 'Tariffs Jul2019'!AI75)</f>
        <v>144</v>
      </c>
      <c r="F81" s="59">
        <f>IF($C$5*'Tariffs Jul2019'!AK75/'Tariffs Jul2019'!AI75&lt;'Tariffs Jul2019'!J75,0,IF($C$5*'Tariffs Jul2019'!AK75/'Tariffs Jul2019'!AI75&lt;='Tariffs Jul2019'!K75,($C$5*'Tariffs Jul2019'!AK75/'Tariffs Jul2019'!AI75-'Tariffs Jul2019'!J75)*('Tariffs Jul2019'!S75/100)*'Tariffs Jul2019'!AI75,('Tariffs Jul2019'!K75-'Tariffs Jul2019'!J75)*('Tariffs Jul2019'!S75/100)*'Tariffs Jul2019'!AI75))</f>
        <v>0</v>
      </c>
      <c r="G81" s="59">
        <f>IF($C$5*'Tariffs Jul2019'!AK75/'Tariffs Jul2019'!AI75&lt;'Tariffs Jul2019'!K75,0,IF($C$5*'Tariffs Jul2019'!AK75/'Tariffs Jul2019'!AI75&lt;='Tariffs Jul2019'!L75,($C$5*'Tariffs Jul2019'!AK75/'Tariffs Jul2019'!AI75-'Tariffs Jul2019'!K75)*('Tariffs Jul2019'!Q75/100)*'Tariffs Jul2019'!AI75,('Tariffs Jul2019'!L75-'Tariffs Jul2019'!K75)*('Tariffs Jul2019'!Q75/100)*'Tariffs Jul2019'!AI75))</f>
        <v>0</v>
      </c>
      <c r="H81" s="59">
        <f>IF($C$5*'Tariffs Jul2019'!AK75/'Tariffs Jul2019'!AI75&lt;'Tariffs Jul2019'!L75,0,IF($C$5*'Tariffs Jul2019'!AK75/'Tariffs Jul2019'!AI75&lt;='Tariffs Jul2019'!M75,($C$5*'Tariffs Jul2019'!AK75/'Tariffs Jul2019'!AI75-'Tariffs Jul2019'!L75)*('Tariffs Jul2019'!R75/100)*'Tariffs Jul2019'!AI75,('Tariffs Jul2019'!M75-'Tariffs Jul2019'!L75)*('Tariffs Jul2019'!R75/100)*'Tariffs Jul2019'!AI75))</f>
        <v>0</v>
      </c>
      <c r="I81" s="59">
        <f>IF(($C$5*'Tariffs Jul2019'!AK75/'Tariffs Jul2019'!AI75&gt;'Tariffs Jul2019'!M75),($C$5*'Tariffs Jul2019'!AK75/'Tariffs Jul2019'!AI75-'Tariffs Jul2019'!M75)*'Tariffs Jul2019'!S75/100*'Tariffs Jul2019'!AI75,0)</f>
        <v>281.96051999999997</v>
      </c>
      <c r="J81" s="59">
        <f>IF($C$5*'Tariffs Jul2019'!AL75/'Tariffs Jul2019'!AJ75&gt;='Tariffs Jul2019'!J75,('Tariffs Jul2019'!J75*'Tariffs Jul2019'!U75/100)* 'Tariffs Jul2019'!AJ75,($C$5*'Tariffs Jul2019'!AL75/'Tariffs Jul2019'!AJ75*'Tariffs Jul2019'!U75/100)* 'Tariffs Jul2019'!AJ75)</f>
        <v>288</v>
      </c>
      <c r="K81" s="59">
        <f>IF($C$5*'Tariffs Jul2019'!AL75/'Tariffs Jul2019'!AJ75&lt;'Tariffs Jul2019'!J75,0,IF($C$5*'Tariffs Jul2019'!AL75/'Tariffs Jul2019'!AJ75&lt;='Tariffs Jul2019'!K75,($C$5*'Tariffs Jul2019'!AL75/'Tariffs Jul2019'!AJ75-'Tariffs Jul2019'!J75)*('Tariffs Jul2019'!V75/100)*'Tariffs Jul2019'!AJ75,('Tariffs Jul2019'!K75-'Tariffs Jul2019'!J75)*('Tariffs Jul2019'!V75/100)*'Tariffs Jul2019'!AJ75))</f>
        <v>0</v>
      </c>
      <c r="L81" s="59">
        <f>IF($C$5*'Tariffs Jul2019'!AL75/'Tariffs Jul2019'!AJ75&lt;'Tariffs Jul2019'!K75,0,IF($C$5*'Tariffs Jul2019'!AL75/'Tariffs Jul2019'!AJ75&lt;='Tariffs Jul2019'!L75,($C$5*'Tariffs Jul2019'!AL75/'Tariffs Jul2019'!AJ75-'Tariffs Jul2019'!K75)*('Tariffs Jul2019'!W75/100)*'Tariffs Jul2019'!AJ75,('Tariffs Jul2019'!L75-'Tariffs Jul2019'!K75)*('Tariffs Jul2019'!W75/100)*'Tariffs Jul2019'!AJ75))</f>
        <v>0</v>
      </c>
      <c r="M81" s="59">
        <f>IF($C$5*'Tariffs Jul2019'!AL75/'Tariffs Jul2019'!AJ75&lt;'Tariffs Jul2019'!L75,0,IF($C$5*'Tariffs Jul2019'!AL75/'Tariffs Jul2019'!AJ75&lt;='Tariffs Jul2019'!M75,($C$5*'Tariffs Jul2019'!AL75/'Tariffs Jul2019'!AJ75-'Tariffs Jul2019'!L75)*('Tariffs Jul2019'!X75/100)*'Tariffs Jul2019'!AJ75,('Tariffs Jul2019'!M75-'Tariffs Jul2019'!L75)*('Tariffs Jul2019'!X75/100)*'Tariffs Jul2019'!AJ75))</f>
        <v>0</v>
      </c>
      <c r="N81" s="59">
        <f>IF(($C$5*'Tariffs Jul2019'!AL75/'Tariffs Jul2019'!AJ75&gt;'Tariffs Jul2019'!M75),($C$5*'Tariffs Jul2019'!AL75/'Tariffs Jul2019'!AJ75-'Tariffs Jul2019'!M75)*'Tariffs Jul2019'!Y75/100*'Tariffs Jul2019'!AJ75,0)</f>
        <v>563.92103999999995</v>
      </c>
      <c r="O81" s="271">
        <f t="shared" si="0"/>
        <v>1277.8815599999998</v>
      </c>
      <c r="P81" s="413">
        <f t="shared" si="10"/>
        <v>1405.6697159999999</v>
      </c>
      <c r="Q81" s="59">
        <f t="shared" si="2"/>
        <v>1534.8415599999998</v>
      </c>
      <c r="R81" s="272">
        <f t="shared" si="3"/>
        <v>1688.3257160000001</v>
      </c>
      <c r="S81" s="40">
        <f>'Tariffs Jul2019'!AN75</f>
        <v>0</v>
      </c>
      <c r="T81" s="40">
        <f>'Tariffs Jul2019'!AO75</f>
        <v>0</v>
      </c>
      <c r="U81" s="40">
        <f>'Tariffs Jul2019'!AP75</f>
        <v>10</v>
      </c>
      <c r="V81" s="40">
        <f>'Tariffs Jul2019'!AQ75</f>
        <v>0</v>
      </c>
      <c r="W81" s="273">
        <f>R81</f>
        <v>1688.3257160000001</v>
      </c>
      <c r="X81" s="273">
        <f>W81-(W81*U81/100)</f>
        <v>1519.4931444000001</v>
      </c>
      <c r="Y81" s="272">
        <f>W81</f>
        <v>1688.3257160000001</v>
      </c>
      <c r="Z81" s="272">
        <f>X81</f>
        <v>1519.4931444000001</v>
      </c>
      <c r="AA81" s="274">
        <f>'Tariffs Jul2019'!AZ75</f>
        <v>0</v>
      </c>
      <c r="AB81" s="274" t="str">
        <f>'Tariffs Jul2019'!BA75</f>
        <v>n</v>
      </c>
      <c r="AC81" s="275" t="str">
        <f>'Tariffs Jul2019'!BJ75</f>
        <v>N</v>
      </c>
      <c r="AD81" s="398"/>
      <c r="AE81" s="398"/>
      <c r="AF81" s="398"/>
      <c r="AG81" s="398"/>
      <c r="AH81" s="398"/>
      <c r="AI81" s="398"/>
      <c r="AJ81" s="398"/>
      <c r="AK81" s="398"/>
      <c r="AL81" s="398"/>
      <c r="AM81" s="398"/>
      <c r="AN81" s="398"/>
    </row>
    <row r="82" spans="1:40" x14ac:dyDescent="0.15">
      <c r="A82" s="270" t="str">
        <f>'Tariffs Jul2019'!F76</f>
        <v>Simply Energy</v>
      </c>
      <c r="B82" s="40" t="str">
        <f>'Tariffs Jul2019'!D76</f>
        <v>AGN Central 1</v>
      </c>
      <c r="C82" s="40" t="str">
        <f>'Tariffs Jul2019'!G76</f>
        <v>Plus</v>
      </c>
      <c r="D82" s="59">
        <f>365*'Tariffs Jul2019'!H76/100</f>
        <v>233.50045454545452</v>
      </c>
      <c r="E82" s="59">
        <f>IF($C$5*'Tariffs Jul2019'!AK76/'Tariffs Jul2019'!AI76&gt;='Tariffs Jul2019'!J76,( 'Tariffs Jul2019'!J76*'Tariffs Jul2019'!O76/100)* 'Tariffs Jul2019'!AI76,($C$5*'Tariffs Jul2019'!AK76/'Tariffs Jul2019'!AI76*'Tariffs Jul2019'!O76/100)* 'Tariffs Jul2019'!AI76)</f>
        <v>89.129090909090905</v>
      </c>
      <c r="F82" s="59">
        <f>IF($C$5*'Tariffs Jul2019'!AK76/'Tariffs Jul2019'!AI76&lt;'Tariffs Jul2019'!J76,0,IF($C$5*'Tariffs Jul2019'!AK76/'Tariffs Jul2019'!AI76&lt;='Tariffs Jul2019'!K76,($C$5*'Tariffs Jul2019'!AK76/'Tariffs Jul2019'!AI76-'Tariffs Jul2019'!J76)*('Tariffs Jul2019'!P76/100)*'Tariffs Jul2019'!AI76,('Tariffs Jul2019'!K76-'Tariffs Jul2019'!J76)*('Tariffs Jul2019'!P76/100)*'Tariffs Jul2019'!AI76))</f>
        <v>58.388181818181813</v>
      </c>
      <c r="G82" s="59">
        <f>IF($C$5*'Tariffs Jul2019'!AK76/'Tariffs Jul2019'!AI76&lt;'Tariffs Jul2019'!K76,0,IF($C$5*'Tariffs Jul2019'!AK76/'Tariffs Jul2019'!AI76&lt;='Tariffs Jul2019'!L76,($C$5*'Tariffs Jul2019'!AK76/'Tariffs Jul2019'!AI76-'Tariffs Jul2019'!K76)*('Tariffs Jul2019'!Q76/100)*'Tariffs Jul2019'!AI76,('Tariffs Jul2019'!L76-'Tariffs Jul2019'!K76)*('Tariffs Jul2019'!Q76/100)*'Tariffs Jul2019'!AI76))</f>
        <v>0</v>
      </c>
      <c r="H82" s="59">
        <f>IF($C$5*'Tariffs Jul2019'!AK76/'Tariffs Jul2019'!AI76&lt;'Tariffs Jul2019'!L76,0,IF($C$5*'Tariffs Jul2019'!AK76/'Tariffs Jul2019'!AI76&lt;='Tariffs Jul2019'!M76,($C$5*'Tariffs Jul2019'!AK76/'Tariffs Jul2019'!AI76-'Tariffs Jul2019'!L76)*('Tariffs Jul2019'!R76/100)*'Tariffs Jul2019'!AI76,('Tariffs Jul2019'!M76-'Tariffs Jul2019'!L76)*('Tariffs Jul2019'!R76/100)*'Tariffs Jul2019'!AI76))</f>
        <v>0</v>
      </c>
      <c r="I82" s="59">
        <f>IF(($C$5*'Tariffs Jul2019'!AK76/'Tariffs Jul2019'!AI76&gt;'Tariffs Jul2019'!M76),($C$5*'Tariffs Jul2019'!AK76/'Tariffs Jul2019'!AI76-'Tariffs Jul2019'!M76)*'Tariffs Jul2019'!S76/100*'Tariffs Jul2019'!AI76,0)</f>
        <v>268.59875454545448</v>
      </c>
      <c r="J82" s="59">
        <f>IF($C$5*'Tariffs Jul2019'!AL76/'Tariffs Jul2019'!AJ76&gt;='Tariffs Jul2019'!J76,('Tariffs Jul2019'!J76*'Tariffs Jul2019'!U76/100)* 'Tariffs Jul2019'!AJ76,($C$5*'Tariffs Jul2019'!AL76/'Tariffs Jul2019'!AJ76*'Tariffs Jul2019'!U76/100)* 'Tariffs Jul2019'!AJ76)</f>
        <v>178.25818181818181</v>
      </c>
      <c r="K82" s="59">
        <f>IF($C$5*'Tariffs Jul2019'!AL76/'Tariffs Jul2019'!AJ76&lt;'Tariffs Jul2019'!J76,0,IF($C$5*'Tariffs Jul2019'!AL76/'Tariffs Jul2019'!AJ76&lt;='Tariffs Jul2019'!K76,($C$5*'Tariffs Jul2019'!AL76/'Tariffs Jul2019'!AJ76-'Tariffs Jul2019'!J76)*('Tariffs Jul2019'!V76/100)*'Tariffs Jul2019'!AJ76,('Tariffs Jul2019'!K76-'Tariffs Jul2019'!J76)*('Tariffs Jul2019'!V76/100)*'Tariffs Jul2019'!AJ76))</f>
        <v>116.77636363636363</v>
      </c>
      <c r="L82" s="59">
        <f>IF($C$5*'Tariffs Jul2019'!AL76/'Tariffs Jul2019'!AJ76&lt;'Tariffs Jul2019'!K76,0,IF($C$5*'Tariffs Jul2019'!AL76/'Tariffs Jul2019'!AJ76&lt;='Tariffs Jul2019'!L76,($C$5*'Tariffs Jul2019'!AL76/'Tariffs Jul2019'!AJ76-'Tariffs Jul2019'!K76)*('Tariffs Jul2019'!W76/100)*'Tariffs Jul2019'!AJ76,('Tariffs Jul2019'!L76-'Tariffs Jul2019'!K76)*('Tariffs Jul2019'!W76/100)*'Tariffs Jul2019'!AJ76))</f>
        <v>0</v>
      </c>
      <c r="M82" s="59">
        <f>IF($C$5*'Tariffs Jul2019'!AL76/'Tariffs Jul2019'!AJ76&lt;'Tariffs Jul2019'!L76,0,IF($C$5*'Tariffs Jul2019'!AL76/'Tariffs Jul2019'!AJ76&lt;='Tariffs Jul2019'!M76,($C$5*'Tariffs Jul2019'!AL76/'Tariffs Jul2019'!AJ76-'Tariffs Jul2019'!L76)*('Tariffs Jul2019'!X76/100)*'Tariffs Jul2019'!AJ76,('Tariffs Jul2019'!M76-'Tariffs Jul2019'!L76)*('Tariffs Jul2019'!X76/100)*'Tariffs Jul2019'!AJ76))</f>
        <v>0</v>
      </c>
      <c r="N82" s="59">
        <f>IF(($C$5*'Tariffs Jul2019'!AL76/'Tariffs Jul2019'!AJ76&gt;'Tariffs Jul2019'!M76),($C$5*'Tariffs Jul2019'!AL76/'Tariffs Jul2019'!AJ76-'Tariffs Jul2019'!M76)*'Tariffs Jul2019'!Y76/100*'Tariffs Jul2019'!AJ76,0)</f>
        <v>537.19750909090897</v>
      </c>
      <c r="O82" s="271">
        <f t="shared" si="0"/>
        <v>1248.3480818181815</v>
      </c>
      <c r="P82" s="413">
        <f t="shared" si="10"/>
        <v>1373.1828899999998</v>
      </c>
      <c r="Q82" s="59">
        <f t="shared" si="2"/>
        <v>1481.848536363636</v>
      </c>
      <c r="R82" s="272">
        <f t="shared" si="3"/>
        <v>1630.0333899999996</v>
      </c>
      <c r="S82" s="40">
        <f>'Tariffs Jul2019'!AN76</f>
        <v>0</v>
      </c>
      <c r="T82" s="40">
        <f>'Tariffs Jul2019'!AO76</f>
        <v>0</v>
      </c>
      <c r="U82" s="40">
        <f>'Tariffs Jul2019'!AP76</f>
        <v>0</v>
      </c>
      <c r="V82" s="40">
        <f>'Tariffs Jul2019'!AQ76</f>
        <v>0</v>
      </c>
      <c r="W82" s="273">
        <f t="shared" ref="W82:W87" si="11">Q82</f>
        <v>1481.848536363636</v>
      </c>
      <c r="X82" s="273">
        <f>W82</f>
        <v>1481.848536363636</v>
      </c>
      <c r="Y82" s="272">
        <f t="shared" si="4"/>
        <v>1630.0333899999996</v>
      </c>
      <c r="Z82" s="272">
        <f t="shared" si="4"/>
        <v>1630.0333899999996</v>
      </c>
      <c r="AA82" s="274">
        <f>'Tariffs Jul2019'!AZ76</f>
        <v>0</v>
      </c>
      <c r="AB82" s="274" t="str">
        <f>'Tariffs Jul2019'!BA76</f>
        <v>n</v>
      </c>
      <c r="AC82" s="275" t="str">
        <f>'Tariffs Jul2019'!BJ76</f>
        <v>Y</v>
      </c>
      <c r="AD82" s="398"/>
      <c r="AE82" s="398"/>
      <c r="AF82" s="398"/>
      <c r="AG82" s="398"/>
      <c r="AH82" s="398"/>
      <c r="AI82" s="398"/>
      <c r="AJ82" s="398"/>
      <c r="AK82" s="398"/>
      <c r="AL82" s="398"/>
      <c r="AM82" s="398"/>
      <c r="AN82" s="398"/>
    </row>
    <row r="83" spans="1:40" x14ac:dyDescent="0.15">
      <c r="A83" s="270" t="str">
        <f>'Tariffs Jul2019'!F77</f>
        <v>Sumo Power</v>
      </c>
      <c r="B83" s="40" t="str">
        <f>'Tariffs Jul2019'!D77</f>
        <v>AGN Central 1</v>
      </c>
      <c r="C83" s="40" t="str">
        <f>'Tariffs Jul2019'!G77</f>
        <v>Select</v>
      </c>
      <c r="D83" s="59">
        <f>365*'Tariffs Jul2019'!H77/100</f>
        <v>255.5</v>
      </c>
      <c r="E83" s="59">
        <f>IF($C$5*'Tariffs Jul2019'!AK77/'Tariffs Jul2019'!AI77&gt;='Tariffs Jul2019'!J77,( 'Tariffs Jul2019'!J77*'Tariffs Jul2019'!O77/100)* 'Tariffs Jul2019'!AI77,($C$5*'Tariffs Jul2019'!AK77/'Tariffs Jul2019'!AI77*'Tariffs Jul2019'!O77/100)* 'Tariffs Jul2019'!AI77)</f>
        <v>79.857272727272715</v>
      </c>
      <c r="F83" s="59">
        <f>IF($C$5*'Tariffs Jul2019'!AK77/'Tariffs Jul2019'!AI77&lt;'Tariffs Jul2019'!J77,0,IF($C$5*'Tariffs Jul2019'!AK77/'Tariffs Jul2019'!AI77&lt;='Tariffs Jul2019'!K77,($C$5*'Tariffs Jul2019'!AK77/'Tariffs Jul2019'!AI77-'Tariffs Jul2019'!J77)*('Tariffs Jul2019'!S77/100)*'Tariffs Jul2019'!AI77,('Tariffs Jul2019'!K77-'Tariffs Jul2019'!J77)*('Tariffs Jul2019'!S77/100)*'Tariffs Jul2019'!AI77))</f>
        <v>46.562727272727265</v>
      </c>
      <c r="G83" s="59">
        <f>IF($C$5*'Tariffs Jul2019'!AK77/'Tariffs Jul2019'!AI77&lt;'Tariffs Jul2019'!K77,0,IF($C$5*'Tariffs Jul2019'!AK77/'Tariffs Jul2019'!AI77&lt;='Tariffs Jul2019'!L77,($C$5*'Tariffs Jul2019'!AK77/'Tariffs Jul2019'!AI77-'Tariffs Jul2019'!K77)*('Tariffs Jul2019'!Q77/100)*'Tariffs Jul2019'!AI77,('Tariffs Jul2019'!L77-'Tariffs Jul2019'!K77)*('Tariffs Jul2019'!Q77/100)*'Tariffs Jul2019'!AI77))</f>
        <v>0</v>
      </c>
      <c r="H83" s="59">
        <f>IF($C$5*'Tariffs Jul2019'!AK77/'Tariffs Jul2019'!AI77&lt;'Tariffs Jul2019'!L77,0,IF($C$5*'Tariffs Jul2019'!AK77/'Tariffs Jul2019'!AI77&lt;='Tariffs Jul2019'!M77,($C$5*'Tariffs Jul2019'!AK77/'Tariffs Jul2019'!AI77-'Tariffs Jul2019'!L77)*('Tariffs Jul2019'!R77/100)*'Tariffs Jul2019'!AI77,('Tariffs Jul2019'!M77-'Tariffs Jul2019'!L77)*('Tariffs Jul2019'!R77/100)*'Tariffs Jul2019'!AI77))</f>
        <v>0</v>
      </c>
      <c r="I83" s="59">
        <f>IF(($C$5*'Tariffs Jul2019'!AK77/'Tariffs Jul2019'!AI77&gt;'Tariffs Jul2019'!M77),($C$5*'Tariffs Jul2019'!AK77/'Tariffs Jul2019'!AI77-'Tariffs Jul2019'!M77)*'Tariffs Jul2019'!S77/100*'Tariffs Jul2019'!AI77,0)</f>
        <v>257.69119090909084</v>
      </c>
      <c r="J83" s="59">
        <f>IF($C$5*'Tariffs Jul2019'!AL77/'Tariffs Jul2019'!AJ77&gt;='Tariffs Jul2019'!J77,('Tariffs Jul2019'!J77*'Tariffs Jul2019'!U77/100)* 'Tariffs Jul2019'!AJ77,($C$5*'Tariffs Jul2019'!AL77/'Tariffs Jul2019'!AJ77*'Tariffs Jul2019'!U77/100)* 'Tariffs Jul2019'!AJ77)</f>
        <v>159.71454545454543</v>
      </c>
      <c r="K83" s="59">
        <f>IF($C$5*'Tariffs Jul2019'!AL77/'Tariffs Jul2019'!AJ77&lt;'Tariffs Jul2019'!J77,0,IF($C$5*'Tariffs Jul2019'!AL77/'Tariffs Jul2019'!AJ77&lt;='Tariffs Jul2019'!K77,($C$5*'Tariffs Jul2019'!AL77/'Tariffs Jul2019'!AJ77-'Tariffs Jul2019'!J77)*('Tariffs Jul2019'!V77/100)*'Tariffs Jul2019'!AJ77,('Tariffs Jul2019'!K77-'Tariffs Jul2019'!J77)*('Tariffs Jul2019'!V77/100)*'Tariffs Jul2019'!AJ77))</f>
        <v>106.92181818181817</v>
      </c>
      <c r="L83" s="59">
        <f>IF($C$5*'Tariffs Jul2019'!AL77/'Tariffs Jul2019'!AJ77&lt;'Tariffs Jul2019'!K77,0,IF($C$5*'Tariffs Jul2019'!AL77/'Tariffs Jul2019'!AJ77&lt;='Tariffs Jul2019'!L77,($C$5*'Tariffs Jul2019'!AL77/'Tariffs Jul2019'!AJ77-'Tariffs Jul2019'!K77)*('Tariffs Jul2019'!W77/100)*'Tariffs Jul2019'!AJ77,('Tariffs Jul2019'!L77-'Tariffs Jul2019'!K77)*('Tariffs Jul2019'!W77/100)*'Tariffs Jul2019'!AJ77))</f>
        <v>0</v>
      </c>
      <c r="M83" s="59">
        <f>IF($C$5*'Tariffs Jul2019'!AL77/'Tariffs Jul2019'!AJ77&lt;'Tariffs Jul2019'!L77,0,IF($C$5*'Tariffs Jul2019'!AL77/'Tariffs Jul2019'!AJ77&lt;='Tariffs Jul2019'!M77,($C$5*'Tariffs Jul2019'!AL77/'Tariffs Jul2019'!AJ77-'Tariffs Jul2019'!L77)*('Tariffs Jul2019'!X77/100)*'Tariffs Jul2019'!AJ77,('Tariffs Jul2019'!M77-'Tariffs Jul2019'!L77)*('Tariffs Jul2019'!X77/100)*'Tariffs Jul2019'!AJ77))</f>
        <v>0</v>
      </c>
      <c r="N83" s="59">
        <f>IF(($C$5*'Tariffs Jul2019'!AL77/'Tariffs Jul2019'!AJ77&gt;'Tariffs Jul2019'!M77),($C$5*'Tariffs Jul2019'!AL77/'Tariffs Jul2019'!AJ77-'Tariffs Jul2019'!M77)*'Tariffs Jul2019'!Y77/100*'Tariffs Jul2019'!AJ77,0)</f>
        <v>515.38238181818167</v>
      </c>
      <c r="O83" s="271">
        <f t="shared" si="0"/>
        <v>1166.129936363636</v>
      </c>
      <c r="P83" s="413">
        <f t="shared" si="10"/>
        <v>1282.7429299999997</v>
      </c>
      <c r="Q83" s="59">
        <f t="shared" si="2"/>
        <v>1421.629936363636</v>
      </c>
      <c r="R83" s="272">
        <f t="shared" si="3"/>
        <v>1563.7929299999998</v>
      </c>
      <c r="S83" s="40">
        <f>'Tariffs Jul2019'!AN77</f>
        <v>0</v>
      </c>
      <c r="T83" s="40">
        <f>'Tariffs Jul2019'!AO77</f>
        <v>0</v>
      </c>
      <c r="U83" s="40">
        <f>'Tariffs Jul2019'!AP77</f>
        <v>5</v>
      </c>
      <c r="V83" s="40">
        <f>'Tariffs Jul2019'!AQ77</f>
        <v>0</v>
      </c>
      <c r="W83" s="273">
        <f t="shared" si="11"/>
        <v>1421.629936363636</v>
      </c>
      <c r="X83" s="273">
        <f>W83-(Q83*U83/100)</f>
        <v>1350.5484395454541</v>
      </c>
      <c r="Y83" s="272">
        <f t="shared" si="4"/>
        <v>1563.7929299999998</v>
      </c>
      <c r="Z83" s="272">
        <f t="shared" si="4"/>
        <v>1485.6032834999996</v>
      </c>
      <c r="AA83" s="274">
        <f>'Tariffs Jul2019'!AZ77</f>
        <v>0</v>
      </c>
      <c r="AB83" s="274" t="str">
        <f>'Tariffs Jul2019'!BA77</f>
        <v>n</v>
      </c>
      <c r="AC83" s="275" t="str">
        <f>'Tariffs Jul2019'!BJ77</f>
        <v>Y</v>
      </c>
      <c r="AD83" s="398"/>
      <c r="AE83" s="398"/>
      <c r="AF83" s="398"/>
      <c r="AG83" s="398"/>
      <c r="AH83" s="398"/>
      <c r="AI83" s="398"/>
      <c r="AJ83" s="398"/>
      <c r="AK83" s="398"/>
      <c r="AL83" s="398"/>
      <c r="AM83" s="398"/>
      <c r="AN83" s="398"/>
    </row>
    <row r="84" spans="1:40" x14ac:dyDescent="0.15">
      <c r="A84" s="270" t="str">
        <f>'Tariffs Jul2019'!F78</f>
        <v>Amaysim</v>
      </c>
      <c r="B84" s="40" t="str">
        <f>'Tariffs Jul2019'!D78</f>
        <v>AGN Central 1</v>
      </c>
      <c r="C84" s="40" t="str">
        <f>'Tariffs Jul2019'!G78</f>
        <v>Gas as you go</v>
      </c>
      <c r="D84" s="59">
        <f>365*'Tariffs Jul2019'!H78/100</f>
        <v>199.0564</v>
      </c>
      <c r="E84" s="59">
        <f>IF($C$5*'Tariffs Jul2019'!AK78/'Tariffs Jul2019'!AI78&gt;='Tariffs Jul2019'!J78,( 'Tariffs Jul2019'!J78*'Tariffs Jul2019'!O78/100)* 'Tariffs Jul2019'!AI78,($C$5*'Tariffs Jul2019'!AK78/'Tariffs Jul2019'!AI78*'Tariffs Jul2019'!O78/100)* 'Tariffs Jul2019'!AI78)</f>
        <v>83.894999999999996</v>
      </c>
      <c r="F84" s="59">
        <f>IF($C$5*'Tariffs Jul2019'!AK78/'Tariffs Jul2019'!AI78&lt;'Tariffs Jul2019'!J78,0,IF($C$5*'Tariffs Jul2019'!AK78/'Tariffs Jul2019'!AI78&lt;='Tariffs Jul2019'!K78,($C$5*'Tariffs Jul2019'!AK78/'Tariffs Jul2019'!AI78-'Tariffs Jul2019'!J78)*('Tariffs Jul2019'!P78/100)*'Tariffs Jul2019'!AI78,('Tariffs Jul2019'!K78-'Tariffs Jul2019'!J78)*('Tariffs Jul2019'!P78/100)*'Tariffs Jul2019'!AI78))</f>
        <v>58.969600000000007</v>
      </c>
      <c r="G84" s="59">
        <f>IF($C$5*'Tariffs Jul2019'!AK78/'Tariffs Jul2019'!AI78&lt;'Tariffs Jul2019'!K78,0,IF($C$5*'Tariffs Jul2019'!AK78/'Tariffs Jul2019'!AI78&lt;='Tariffs Jul2019'!L78,($C$5*'Tariffs Jul2019'!AK78/'Tariffs Jul2019'!AI78-'Tariffs Jul2019'!K78)*('Tariffs Jul2019'!Q78/100)*'Tariffs Jul2019'!AI78,('Tariffs Jul2019'!L78-'Tariffs Jul2019'!K78)*('Tariffs Jul2019'!Q78/100)*'Tariffs Jul2019'!AI78))</f>
        <v>0</v>
      </c>
      <c r="H84" s="59">
        <f>IF($C$5*'Tariffs Jul2019'!AK78/'Tariffs Jul2019'!AI78&lt;'Tariffs Jul2019'!L78,0,IF($C$5*'Tariffs Jul2019'!AK78/'Tariffs Jul2019'!AI78&lt;='Tariffs Jul2019'!M78,($C$5*'Tariffs Jul2019'!AK78/'Tariffs Jul2019'!AI78-'Tariffs Jul2019'!L78)*('Tariffs Jul2019'!R78/100)*'Tariffs Jul2019'!AI78,('Tariffs Jul2019'!M78-'Tariffs Jul2019'!L78)*('Tariffs Jul2019'!R78/100)*'Tariffs Jul2019'!AI78))</f>
        <v>0</v>
      </c>
      <c r="I84" s="59">
        <f>IF(($C$5*'Tariffs Jul2019'!AK78/'Tariffs Jul2019'!AI78&gt;'Tariffs Jul2019'!M78),($C$5*'Tariffs Jul2019'!AK78/'Tariffs Jul2019'!AI78-'Tariffs Jul2019'!M78)*'Tariffs Jul2019'!S78/100*'Tariffs Jul2019'!AI78,0)</f>
        <v>280.46072999999996</v>
      </c>
      <c r="J84" s="59">
        <f>IF($C$5*'Tariffs Jul2019'!AL78/'Tariffs Jul2019'!AJ78&gt;='Tariffs Jul2019'!J78,('Tariffs Jul2019'!J78*'Tariffs Jul2019'!U78/100)* 'Tariffs Jul2019'!AJ78,($C$5*'Tariffs Jul2019'!AL78/'Tariffs Jul2019'!AJ78*'Tariffs Jul2019'!U78/100)* 'Tariffs Jul2019'!AJ78)</f>
        <v>167.79</v>
      </c>
      <c r="K84" s="59">
        <f>IF($C$5*'Tariffs Jul2019'!AL78/'Tariffs Jul2019'!AJ78&lt;'Tariffs Jul2019'!J78,0,IF($C$5*'Tariffs Jul2019'!AL78/'Tariffs Jul2019'!AJ78&lt;='Tariffs Jul2019'!K78,($C$5*'Tariffs Jul2019'!AL78/'Tariffs Jul2019'!AJ78-'Tariffs Jul2019'!J78)*('Tariffs Jul2019'!V78/100)*'Tariffs Jul2019'!AJ78,('Tariffs Jul2019'!K78-'Tariffs Jul2019'!J78)*('Tariffs Jul2019'!V78/100)*'Tariffs Jul2019'!AJ78))</f>
        <v>117.93920000000001</v>
      </c>
      <c r="L84" s="59">
        <f>IF($C$5*'Tariffs Jul2019'!AL78/'Tariffs Jul2019'!AJ78&lt;'Tariffs Jul2019'!K78,0,IF($C$5*'Tariffs Jul2019'!AL78/'Tariffs Jul2019'!AJ78&lt;='Tariffs Jul2019'!L78,($C$5*'Tariffs Jul2019'!AL78/'Tariffs Jul2019'!AJ78-'Tariffs Jul2019'!K78)*('Tariffs Jul2019'!W78/100)*'Tariffs Jul2019'!AJ78,('Tariffs Jul2019'!L78-'Tariffs Jul2019'!K78)*('Tariffs Jul2019'!W78/100)*'Tariffs Jul2019'!AJ78))</f>
        <v>0</v>
      </c>
      <c r="M84" s="59">
        <f>IF($C$5*'Tariffs Jul2019'!AL78/'Tariffs Jul2019'!AJ78&lt;'Tariffs Jul2019'!L78,0,IF($C$5*'Tariffs Jul2019'!AL78/'Tariffs Jul2019'!AJ78&lt;='Tariffs Jul2019'!M78,($C$5*'Tariffs Jul2019'!AL78/'Tariffs Jul2019'!AJ78-'Tariffs Jul2019'!L78)*('Tariffs Jul2019'!X78/100)*'Tariffs Jul2019'!AJ78,('Tariffs Jul2019'!M78-'Tariffs Jul2019'!L78)*('Tariffs Jul2019'!X78/100)*'Tariffs Jul2019'!AJ78))</f>
        <v>0</v>
      </c>
      <c r="N84" s="59">
        <f>IF(($C$5*'Tariffs Jul2019'!AL78/'Tariffs Jul2019'!AJ78&gt;'Tariffs Jul2019'!M78),($C$5*'Tariffs Jul2019'!AL78/'Tariffs Jul2019'!AJ78-'Tariffs Jul2019'!M78)*'Tariffs Jul2019'!Y78/100*'Tariffs Jul2019'!AJ78,0)</f>
        <v>560.92145999999991</v>
      </c>
      <c r="O84" s="271">
        <f t="shared" si="0"/>
        <v>1269.9759899999999</v>
      </c>
      <c r="P84" s="413">
        <f t="shared" si="10"/>
        <v>1396.9735889999999</v>
      </c>
      <c r="Q84" s="59">
        <f t="shared" si="2"/>
        <v>1469.0323899999999</v>
      </c>
      <c r="R84" s="272">
        <f t="shared" si="3"/>
        <v>1615.9356290000001</v>
      </c>
      <c r="S84" s="40">
        <f>'Tariffs Jul2019'!AN78</f>
        <v>0</v>
      </c>
      <c r="T84" s="40">
        <f>'Tariffs Jul2019'!AO78</f>
        <v>0</v>
      </c>
      <c r="U84" s="40">
        <f>'Tariffs Jul2019'!AP78</f>
        <v>0</v>
      </c>
      <c r="V84" s="40">
        <f>'Tariffs Jul2019'!AQ78</f>
        <v>0</v>
      </c>
      <c r="W84" s="273">
        <f t="shared" si="11"/>
        <v>1469.0323899999999</v>
      </c>
      <c r="X84" s="273">
        <f>W84</f>
        <v>1469.0323899999999</v>
      </c>
      <c r="Y84" s="272">
        <f t="shared" si="4"/>
        <v>1615.9356290000001</v>
      </c>
      <c r="Z84" s="272">
        <f t="shared" si="4"/>
        <v>1615.9356290000001</v>
      </c>
      <c r="AA84" s="274">
        <f>'Tariffs Jul2019'!AZ78</f>
        <v>0</v>
      </c>
      <c r="AB84" s="274" t="str">
        <f>'Tariffs Jul2019'!BA78</f>
        <v>n</v>
      </c>
      <c r="AC84" s="275" t="str">
        <f>'Tariffs Jul2019'!BJ78</f>
        <v>N</v>
      </c>
      <c r="AD84" s="398"/>
      <c r="AE84" s="398"/>
      <c r="AF84" s="398"/>
      <c r="AG84" s="398"/>
      <c r="AH84" s="398"/>
      <c r="AI84" s="398"/>
      <c r="AJ84" s="398"/>
      <c r="AK84" s="398"/>
      <c r="AL84" s="398"/>
      <c r="AM84" s="398"/>
      <c r="AN84" s="398"/>
    </row>
    <row r="85" spans="1:40" x14ac:dyDescent="0.15">
      <c r="A85" s="270" t="str">
        <f>'Tariffs Jul2019'!F79</f>
        <v>GloBird Energy</v>
      </c>
      <c r="B85" s="40" t="str">
        <f>'Tariffs Jul2019'!D79</f>
        <v>AGN Central 1</v>
      </c>
      <c r="C85" s="40" t="str">
        <f>'Tariffs Jul2019'!G79</f>
        <v>GloSave</v>
      </c>
      <c r="D85" s="59">
        <f>365*'Tariffs Jul2019'!H79/100</f>
        <v>219</v>
      </c>
      <c r="E85" s="59">
        <f>IF($C$5*'Tariffs Jul2019'!AK79/'Tariffs Jul2019'!AI79&gt;='Tariffs Jul2019'!J79,( 'Tariffs Jul2019'!J79*'Tariffs Jul2019'!O79/100)* 'Tariffs Jul2019'!AI79,($C$5*'Tariffs Jul2019'!AK79/'Tariffs Jul2019'!AI79*'Tariffs Jul2019'!O79/100)* 'Tariffs Jul2019'!AI79)</f>
        <v>225.6</v>
      </c>
      <c r="F85" s="59">
        <f>IF($C$5*'Tariffs Jul2019'!AK79/'Tariffs Jul2019'!AI79&lt;'Tariffs Jul2019'!J79,0,IF($C$5*'Tariffs Jul2019'!AK79/'Tariffs Jul2019'!AI79&lt;='Tariffs Jul2019'!K79,($C$5*'Tariffs Jul2019'!AK79/'Tariffs Jul2019'!AI79-'Tariffs Jul2019'!J79)*('Tariffs Jul2019'!P79/100)*'Tariffs Jul2019'!AI79,('Tariffs Jul2019'!K79-'Tariffs Jul2019'!J79)*('Tariffs Jul2019'!P79/100)*'Tariffs Jul2019'!AI79))</f>
        <v>0</v>
      </c>
      <c r="G85" s="59">
        <f>IF($C$5*'Tariffs Jul2019'!AK79/'Tariffs Jul2019'!AI79&lt;'Tariffs Jul2019'!K79,0,IF($C$5*'Tariffs Jul2019'!AK79/'Tariffs Jul2019'!AI79&lt;='Tariffs Jul2019'!L79,($C$5*'Tariffs Jul2019'!AK79/'Tariffs Jul2019'!AI79-'Tariffs Jul2019'!K79)*('Tariffs Jul2019'!Q79/100)*'Tariffs Jul2019'!AI79,('Tariffs Jul2019'!L79-'Tariffs Jul2019'!K79)*('Tariffs Jul2019'!Q79/100)*'Tariffs Jul2019'!AI79))</f>
        <v>0</v>
      </c>
      <c r="H85" s="59">
        <f>IF($C$5*'Tariffs Jul2019'!AK79/'Tariffs Jul2019'!AI79&lt;'Tariffs Jul2019'!L79,0,IF($C$5*'Tariffs Jul2019'!AK79/'Tariffs Jul2019'!AI79&lt;='Tariffs Jul2019'!M79,($C$5*'Tariffs Jul2019'!AK79/'Tariffs Jul2019'!AI79-'Tariffs Jul2019'!L79)*('Tariffs Jul2019'!R79/100)*'Tariffs Jul2019'!AI79,('Tariffs Jul2019'!M79-'Tariffs Jul2019'!L79)*('Tariffs Jul2019'!R79/100)*'Tariffs Jul2019'!AI79))</f>
        <v>0</v>
      </c>
      <c r="I85" s="59">
        <f>IF(($C$5*'Tariffs Jul2019'!AK79/'Tariffs Jul2019'!AI79&gt;'Tariffs Jul2019'!M79),($C$5*'Tariffs Jul2019'!AK79/'Tariffs Jul2019'!AI79-'Tariffs Jul2019'!M79)*'Tariffs Jul2019'!S79/100*'Tariffs Jul2019'!AI79,0)</f>
        <v>169.16051999999996</v>
      </c>
      <c r="J85" s="59">
        <f>IF($C$5*'Tariffs Jul2019'!AL79/'Tariffs Jul2019'!AJ79&gt;='Tariffs Jul2019'!J79,('Tariffs Jul2019'!J79*'Tariffs Jul2019'!U79/100)* 'Tariffs Jul2019'!AJ79,($C$5*'Tariffs Jul2019'!AL79/'Tariffs Jul2019'!AJ79*'Tariffs Jul2019'!U79/100)* 'Tariffs Jul2019'!AJ79)</f>
        <v>451.2</v>
      </c>
      <c r="K85" s="59">
        <f>IF($C$5*'Tariffs Jul2019'!AL79/'Tariffs Jul2019'!AJ79&lt;'Tariffs Jul2019'!J79,0,IF($C$5*'Tariffs Jul2019'!AL79/'Tariffs Jul2019'!AJ79&lt;='Tariffs Jul2019'!K79,($C$5*'Tariffs Jul2019'!AL79/'Tariffs Jul2019'!AJ79-'Tariffs Jul2019'!J79)*('Tariffs Jul2019'!V79/100)*'Tariffs Jul2019'!AJ79,('Tariffs Jul2019'!K79-'Tariffs Jul2019'!J79)*('Tariffs Jul2019'!V79/100)*'Tariffs Jul2019'!AJ79))</f>
        <v>0</v>
      </c>
      <c r="L85" s="59">
        <f>IF($C$5*'Tariffs Jul2019'!AL79/'Tariffs Jul2019'!AJ79&lt;'Tariffs Jul2019'!K79,0,IF($C$5*'Tariffs Jul2019'!AL79/'Tariffs Jul2019'!AJ79&lt;='Tariffs Jul2019'!L79,($C$5*'Tariffs Jul2019'!AL79/'Tariffs Jul2019'!AJ79-'Tariffs Jul2019'!K79)*('Tariffs Jul2019'!W79/100)*'Tariffs Jul2019'!AJ79,('Tariffs Jul2019'!L79-'Tariffs Jul2019'!K79)*('Tariffs Jul2019'!W79/100)*'Tariffs Jul2019'!AJ79))</f>
        <v>0</v>
      </c>
      <c r="M85" s="59">
        <f>IF($C$5*'Tariffs Jul2019'!AL79/'Tariffs Jul2019'!AJ79&lt;'Tariffs Jul2019'!L79,0,IF($C$5*'Tariffs Jul2019'!AL79/'Tariffs Jul2019'!AJ79&lt;='Tariffs Jul2019'!M79,($C$5*'Tariffs Jul2019'!AL79/'Tariffs Jul2019'!AJ79-'Tariffs Jul2019'!L79)*('Tariffs Jul2019'!X79/100)*'Tariffs Jul2019'!AJ79,('Tariffs Jul2019'!M79-'Tariffs Jul2019'!L79)*('Tariffs Jul2019'!X79/100)*'Tariffs Jul2019'!AJ79))</f>
        <v>0</v>
      </c>
      <c r="N85" s="59">
        <f>IF(($C$5*'Tariffs Jul2019'!AL79/'Tariffs Jul2019'!AJ79&gt;'Tariffs Jul2019'!M79),($C$5*'Tariffs Jul2019'!AL79/'Tariffs Jul2019'!AJ79-'Tariffs Jul2019'!M79)*'Tariffs Jul2019'!Y79/100*'Tariffs Jul2019'!AJ79,0)</f>
        <v>338.32103999999993</v>
      </c>
      <c r="O85" s="271">
        <f t="shared" si="0"/>
        <v>1184.2815599999999</v>
      </c>
      <c r="P85" s="413">
        <f t="shared" si="10"/>
        <v>1302.7097160000001</v>
      </c>
      <c r="Q85" s="59">
        <f t="shared" si="2"/>
        <v>1403.2815599999999</v>
      </c>
      <c r="R85" s="272">
        <f t="shared" si="3"/>
        <v>1543.6097159999999</v>
      </c>
      <c r="S85" s="40">
        <f>'Tariffs Jul2019'!AN79</f>
        <v>0</v>
      </c>
      <c r="T85" s="40">
        <f>'Tariffs Jul2019'!AO79</f>
        <v>0</v>
      </c>
      <c r="U85" s="40">
        <f>'Tariffs Jul2019'!AP79</f>
        <v>5</v>
      </c>
      <c r="V85" s="40">
        <f>'Tariffs Jul2019'!AQ79</f>
        <v>0</v>
      </c>
      <c r="W85" s="273">
        <f t="shared" si="11"/>
        <v>1403.2815599999999</v>
      </c>
      <c r="X85" s="273">
        <f>W85-(Q85*U85/100)</f>
        <v>1333.1174819999999</v>
      </c>
      <c r="Y85" s="272">
        <f t="shared" si="4"/>
        <v>1543.6097159999999</v>
      </c>
      <c r="Z85" s="272">
        <f t="shared" si="4"/>
        <v>1466.4292301999999</v>
      </c>
      <c r="AA85" s="274">
        <f>'Tariffs Jul2019'!AZ79</f>
        <v>0</v>
      </c>
      <c r="AB85" s="274" t="str">
        <f>'Tariffs Jul2019'!BA79</f>
        <v>n</v>
      </c>
      <c r="AC85" s="275" t="str">
        <f>'Tariffs Jul2019'!BJ79</f>
        <v>N</v>
      </c>
      <c r="AD85" s="398"/>
      <c r="AE85" s="398"/>
      <c r="AF85" s="398"/>
      <c r="AG85" s="398"/>
      <c r="AH85" s="398"/>
      <c r="AI85" s="398"/>
      <c r="AJ85" s="398"/>
      <c r="AK85" s="398"/>
      <c r="AL85" s="398"/>
      <c r="AM85" s="398"/>
      <c r="AN85" s="398"/>
    </row>
    <row r="86" spans="1:40" x14ac:dyDescent="0.15">
      <c r="A86" s="270" t="str">
        <f>'Tariffs Jul2019'!F80</f>
        <v>Powershop</v>
      </c>
      <c r="B86" s="40" t="str">
        <f>'Tariffs Jul2019'!D80</f>
        <v>AGN Central 1</v>
      </c>
      <c r="C86" s="40" t="str">
        <f>'Tariffs Jul2019'!G80</f>
        <v>Shopper with Gas Saver</v>
      </c>
      <c r="D86" s="59">
        <f>365*'Tariffs Jul2019'!H80/100</f>
        <v>308.97250000000003</v>
      </c>
      <c r="E86" s="59">
        <f>((C$5*'Tariffs Jul2019'!AK80/'Tariffs Jul2019'!AI80)*('Tariffs Jul2019'!O80/100))*'Tariffs Jul2019'!AI80</f>
        <v>363.26366999999993</v>
      </c>
      <c r="F86" s="59">
        <v>0</v>
      </c>
      <c r="G86" s="59">
        <v>0</v>
      </c>
      <c r="H86" s="59">
        <v>0</v>
      </c>
      <c r="I86" s="59">
        <v>0</v>
      </c>
      <c r="J86" s="59">
        <f>((C$5*'Tariffs Jul2019'!AL80/'Tariffs Jul2019'!AJ80)*('Tariffs Jul2019'!U80/100))*'Tariffs Jul2019'!AJ80</f>
        <v>726.52733999999987</v>
      </c>
      <c r="K86" s="59">
        <v>0</v>
      </c>
      <c r="L86" s="59">
        <v>0</v>
      </c>
      <c r="M86" s="59">
        <v>0</v>
      </c>
      <c r="N86" s="59">
        <v>0</v>
      </c>
      <c r="O86" s="271">
        <f t="shared" si="0"/>
        <v>1089.7910099999999</v>
      </c>
      <c r="P86" s="413">
        <f t="shared" si="10"/>
        <v>1198.770111</v>
      </c>
      <c r="Q86" s="59">
        <f t="shared" si="2"/>
        <v>1398.76351</v>
      </c>
      <c r="R86" s="272">
        <f t="shared" si="3"/>
        <v>1538.6398610000001</v>
      </c>
      <c r="S86" s="40">
        <f>'Tariffs Jul2019'!AN80</f>
        <v>0</v>
      </c>
      <c r="T86" s="40">
        <f>'Tariffs Jul2019'!AO80</f>
        <v>0</v>
      </c>
      <c r="U86" s="40">
        <f>'Tariffs Jul2019'!AP80</f>
        <v>5</v>
      </c>
      <c r="V86" s="40">
        <f>'Tariffs Jul2019'!AQ80</f>
        <v>0</v>
      </c>
      <c r="W86" s="273">
        <f>R86</f>
        <v>1538.6398610000001</v>
      </c>
      <c r="X86" s="273">
        <f>W86-(W86*U86/100)</f>
        <v>1461.70786795</v>
      </c>
      <c r="Y86" s="272">
        <f>W86</f>
        <v>1538.6398610000001</v>
      </c>
      <c r="Z86" s="272">
        <f>X86</f>
        <v>1461.70786795</v>
      </c>
      <c r="AA86" s="274">
        <f>'Tariffs Jul2019'!AZ80</f>
        <v>0</v>
      </c>
      <c r="AB86" s="274" t="str">
        <f>'Tariffs Jul2019'!BA80</f>
        <v>n</v>
      </c>
      <c r="AC86" s="275" t="str">
        <f>'Tariffs Jul2019'!BJ80</f>
        <v>Y</v>
      </c>
      <c r="AD86" s="398"/>
      <c r="AE86" s="398"/>
      <c r="AF86" s="398"/>
      <c r="AG86" s="398"/>
      <c r="AH86" s="398"/>
      <c r="AI86" s="398"/>
      <c r="AJ86" s="398"/>
      <c r="AK86" s="398"/>
      <c r="AL86" s="398"/>
      <c r="AM86" s="398"/>
      <c r="AN86" s="398"/>
    </row>
    <row r="87" spans="1:40" ht="14" thickBot="1" x14ac:dyDescent="0.2">
      <c r="A87" s="276" t="str">
        <f>'Tariffs Jul2019'!F81</f>
        <v>DC Power Co</v>
      </c>
      <c r="B87" s="277" t="str">
        <f>'Tariffs Jul2019'!D81</f>
        <v>AGN Central 1</v>
      </c>
      <c r="C87" s="277" t="str">
        <f>'Tariffs Jul2019'!G81</f>
        <v>Market offer</v>
      </c>
      <c r="D87" s="278">
        <f>365*'Tariffs Jul2019'!H81/100</f>
        <v>316.05681818181813</v>
      </c>
      <c r="E87" s="278">
        <f>((C$5*'Tariffs Jul2019'!AK81/'Tariffs Jul2019'!AI81)*('Tariffs Jul2019'!O81/100))*'Tariffs Jul2019'!AI81</f>
        <v>372.23549999999989</v>
      </c>
      <c r="F87" s="278">
        <v>0</v>
      </c>
      <c r="G87" s="278">
        <v>0</v>
      </c>
      <c r="H87" s="278">
        <v>0</v>
      </c>
      <c r="I87" s="278">
        <v>0</v>
      </c>
      <c r="J87" s="278">
        <f>((C$5*'Tariffs Jul2019'!AL81/'Tariffs Jul2019'!AJ81)*('Tariffs Jul2019'!U81/100))*'Tariffs Jul2019'!AJ81</f>
        <v>744.47099999999978</v>
      </c>
      <c r="K87" s="278">
        <v>0</v>
      </c>
      <c r="L87" s="278">
        <v>0</v>
      </c>
      <c r="M87" s="278">
        <v>0</v>
      </c>
      <c r="N87" s="278">
        <v>0</v>
      </c>
      <c r="O87" s="279">
        <f>SUM(E87:N87)</f>
        <v>1116.7064999999998</v>
      </c>
      <c r="P87" s="413">
        <f t="shared" si="10"/>
        <v>1228.3771499999998</v>
      </c>
      <c r="Q87" s="278">
        <f>D87+O87</f>
        <v>1432.7633181818178</v>
      </c>
      <c r="R87" s="280">
        <f>Q87*1.1</f>
        <v>1576.0396499999997</v>
      </c>
      <c r="S87" s="277">
        <f>'Tariffs Jul2019'!AN81</f>
        <v>0</v>
      </c>
      <c r="T87" s="277">
        <f>'Tariffs Jul2019'!AO81</f>
        <v>0</v>
      </c>
      <c r="U87" s="277">
        <f>'Tariffs Jul2019'!AP81</f>
        <v>0</v>
      </c>
      <c r="V87" s="277">
        <f>'Tariffs Jul2019'!AQ81</f>
        <v>0</v>
      </c>
      <c r="W87" s="281">
        <f t="shared" si="11"/>
        <v>1432.7633181818178</v>
      </c>
      <c r="X87" s="281">
        <f>W87</f>
        <v>1432.7633181818178</v>
      </c>
      <c r="Y87" s="280">
        <f>W87*1.1</f>
        <v>1576.0396499999997</v>
      </c>
      <c r="Z87" s="280">
        <f>X87*1.1</f>
        <v>1576.0396499999997</v>
      </c>
      <c r="AA87" s="282">
        <f>'Tariffs Jul2019'!AZ81</f>
        <v>0</v>
      </c>
      <c r="AB87" s="282" t="str">
        <f>'Tariffs Jul2019'!BA81</f>
        <v>n</v>
      </c>
      <c r="AC87" s="283" t="str">
        <f>'Tariffs Jul2019'!BJ81</f>
        <v>Y</v>
      </c>
      <c r="AD87" s="398"/>
      <c r="AE87" s="398"/>
      <c r="AF87" s="398"/>
      <c r="AG87" s="398"/>
      <c r="AH87" s="398"/>
      <c r="AI87" s="398"/>
      <c r="AJ87" s="398"/>
      <c r="AK87" s="398"/>
      <c r="AL87" s="398"/>
      <c r="AM87" s="398"/>
      <c r="AN87" s="398"/>
    </row>
    <row r="88" spans="1:40" ht="14" thickTop="1" x14ac:dyDescent="0.15">
      <c r="A88" s="270" t="str">
        <f>'Tariffs Jul2019'!F82</f>
        <v>AGL</v>
      </c>
      <c r="B88" s="40" t="str">
        <f>'Tariffs Jul2019'!D82</f>
        <v>AusNet Services West</v>
      </c>
      <c r="C88" s="40" t="str">
        <f>'Tariffs Jul2019'!G82</f>
        <v>Essentials</v>
      </c>
      <c r="D88" s="59">
        <f>365*'Tariffs Jul2019'!H82/100</f>
        <v>302.58500000000004</v>
      </c>
      <c r="E88" s="59">
        <f>IF($C$5*'Tariffs Jul2019'!AK82/'Tariffs Jul2019'!AI82&gt;='Tariffs Jul2019'!J82,( 'Tariffs Jul2019'!J82*'Tariffs Jul2019'!O82/100)* 'Tariffs Jul2019'!AI82,($C$5*'Tariffs Jul2019'!AK82/'Tariffs Jul2019'!AI82*'Tariffs Jul2019'!O82/100)* 'Tariffs Jul2019'!AI82)</f>
        <v>213.81818181818181</v>
      </c>
      <c r="F88" s="59">
        <f>IF($C$5*'Tariffs Jul2019'!AK82/'Tariffs Jul2019'!AI82&lt;'Tariffs Jul2019'!J82,0,IF($C$5*'Tariffs Jul2019'!AK82/'Tariffs Jul2019'!AI82&lt;='Tariffs Jul2019'!K82,($C$5*'Tariffs Jul2019'!AK82/'Tariffs Jul2019'!AI82-'Tariffs Jul2019'!J82)*('Tariffs Jul2019'!P82/100)*'Tariffs Jul2019'!AI82,('Tariffs Jul2019'!K82-'Tariffs Jul2019'!J82)*('Tariffs Jul2019'!P82/100)*'Tariffs Jul2019'!AI82))</f>
        <v>157.87224545454541</v>
      </c>
      <c r="G88" s="59">
        <f>IF($C$5*'Tariffs Jul2019'!AK82/'Tariffs Jul2019'!AI82&lt;'Tariffs Jul2019'!K82,0,IF($C$5*'Tariffs Jul2019'!AK82/'Tariffs Jul2019'!AI82&lt;='Tariffs Jul2019'!L82,($C$5*'Tariffs Jul2019'!AK82/'Tariffs Jul2019'!AI82-'Tariffs Jul2019'!K82)*('Tariffs Jul2019'!Q82/100)*'Tariffs Jul2019'!AI82,('Tariffs Jul2019'!L82-'Tariffs Jul2019'!K82)*('Tariffs Jul2019'!Q82/100)*'Tariffs Jul2019'!AI82))</f>
        <v>0</v>
      </c>
      <c r="H88" s="59">
        <f>IF($C$5*'Tariffs Jul2019'!AK82/'Tariffs Jul2019'!AI82&lt;'Tariffs Jul2019'!L82,0,IF($C$5*'Tariffs Jul2019'!AK82/'Tariffs Jul2019'!AI82&lt;='Tariffs Jul2019'!M82,($C$5*'Tariffs Jul2019'!AK82/'Tariffs Jul2019'!AI82-'Tariffs Jul2019'!L82)*('Tariffs Jul2019'!R82/100)*'Tariffs Jul2019'!AI82,('Tariffs Jul2019'!M82-'Tariffs Jul2019'!L82)*('Tariffs Jul2019'!R82/100)*'Tariffs Jul2019'!AI82))</f>
        <v>0</v>
      </c>
      <c r="I88" s="59">
        <f>IF(($C$5*'Tariffs Jul2019'!AK82/'Tariffs Jul2019'!AI82&gt;'Tariffs Jul2019'!M82),($C$5*'Tariffs Jul2019'!AK82/'Tariffs Jul2019'!AI82-'Tariffs Jul2019'!M82)*'Tariffs Jul2019'!S82/100*'Tariffs Jul2019'!AI82,0)</f>
        <v>0</v>
      </c>
      <c r="J88" s="59">
        <f>IF($C$5*'Tariffs Jul2019'!AL82/'Tariffs Jul2019'!AJ82&gt;='Tariffs Jul2019'!J82,('Tariffs Jul2019'!J82*'Tariffs Jul2019'!U82/100)* 'Tariffs Jul2019'!AJ82,($C$5*'Tariffs Jul2019'!AL82/'Tariffs Jul2019'!AJ82*'Tariffs Jul2019'!U82/100)* 'Tariffs Jul2019'!AJ82)</f>
        <v>388.36363636363632</v>
      </c>
      <c r="K88" s="59">
        <f>IF($C$5*'Tariffs Jul2019'!AL82/'Tariffs Jul2019'!AJ82&lt;'Tariffs Jul2019'!J82,0,IF($C$5*'Tariffs Jul2019'!AL82/'Tariffs Jul2019'!AJ82&lt;='Tariffs Jul2019'!K82,($C$5*'Tariffs Jul2019'!AL82/'Tariffs Jul2019'!AJ82-'Tariffs Jul2019'!J82)*('Tariffs Jul2019'!V82/100)*'Tariffs Jul2019'!AJ82,('Tariffs Jul2019'!K82-'Tariffs Jul2019'!J82)*('Tariffs Jul2019'!V82/100)*'Tariffs Jul2019'!AJ82))</f>
        <v>240.48932727272719</v>
      </c>
      <c r="L88" s="59">
        <f>IF($C$5*'Tariffs Jul2019'!AL82/'Tariffs Jul2019'!AJ82&lt;'Tariffs Jul2019'!K82,0,IF($C$5*'Tariffs Jul2019'!AL82/'Tariffs Jul2019'!AJ82&lt;='Tariffs Jul2019'!L82,($C$5*'Tariffs Jul2019'!AL82/'Tariffs Jul2019'!AJ82-'Tariffs Jul2019'!K82)*('Tariffs Jul2019'!W82/100)*'Tariffs Jul2019'!AJ82,('Tariffs Jul2019'!L82-'Tariffs Jul2019'!K82)*('Tariffs Jul2019'!W82/100)*'Tariffs Jul2019'!AJ82))</f>
        <v>0</v>
      </c>
      <c r="M88" s="59">
        <f>IF($C$5*'Tariffs Jul2019'!AL82/'Tariffs Jul2019'!AJ82&lt;'Tariffs Jul2019'!L82,0,IF($C$5*'Tariffs Jul2019'!AL82/'Tariffs Jul2019'!AJ82&lt;='Tariffs Jul2019'!M82,($C$5*'Tariffs Jul2019'!AL82/'Tariffs Jul2019'!AJ82-'Tariffs Jul2019'!L82)*('Tariffs Jul2019'!X82/100)*'Tariffs Jul2019'!AJ82,('Tariffs Jul2019'!M82-'Tariffs Jul2019'!L82)*('Tariffs Jul2019'!X82/100)*'Tariffs Jul2019'!AJ82))</f>
        <v>0</v>
      </c>
      <c r="N88" s="59">
        <f>IF(($C$5*'Tariffs Jul2019'!AL82/'Tariffs Jul2019'!AJ82&gt;'Tariffs Jul2019'!M82),($C$5*'Tariffs Jul2019'!AL82/'Tariffs Jul2019'!AJ82-'Tariffs Jul2019'!M82)*'Tariffs Jul2019'!Y82/100*'Tariffs Jul2019'!AJ82,0)</f>
        <v>0</v>
      </c>
      <c r="O88" s="271">
        <f t="shared" si="0"/>
        <v>1000.5433909090907</v>
      </c>
      <c r="P88" s="413">
        <f t="shared" si="10"/>
        <v>1100.59773</v>
      </c>
      <c r="Q88" s="59">
        <f t="shared" si="2"/>
        <v>1303.1283909090907</v>
      </c>
      <c r="R88" s="272">
        <f t="shared" si="3"/>
        <v>1433.4412299999999</v>
      </c>
      <c r="S88" s="40">
        <f>'Tariffs Jul2019'!AN82</f>
        <v>0</v>
      </c>
      <c r="T88" s="40">
        <f>'Tariffs Jul2019'!AO82</f>
        <v>0</v>
      </c>
      <c r="U88" s="40">
        <f>'Tariffs Jul2019'!AP82</f>
        <v>0</v>
      </c>
      <c r="V88" s="40">
        <f>'Tariffs Jul2019'!AQ82</f>
        <v>0</v>
      </c>
      <c r="W88" s="273">
        <f>Q88</f>
        <v>1303.1283909090907</v>
      </c>
      <c r="X88" s="273">
        <f>W88</f>
        <v>1303.1283909090907</v>
      </c>
      <c r="Y88" s="272">
        <f t="shared" si="4"/>
        <v>1433.4412299999999</v>
      </c>
      <c r="Z88" s="272">
        <f t="shared" si="4"/>
        <v>1433.4412299999999</v>
      </c>
      <c r="AA88" s="274">
        <f>'Tariffs Jul2019'!AZ82</f>
        <v>0</v>
      </c>
      <c r="AB88" s="274" t="str">
        <f>'Tariffs Jul2019'!BA82</f>
        <v>n</v>
      </c>
      <c r="AC88" s="275" t="str">
        <f>'Tariffs Jul2019'!BJ82</f>
        <v>N</v>
      </c>
      <c r="AD88" s="398"/>
      <c r="AE88" s="398"/>
      <c r="AF88" s="398"/>
      <c r="AG88" s="398"/>
      <c r="AH88" s="398"/>
      <c r="AI88" s="398"/>
      <c r="AJ88" s="398"/>
      <c r="AK88" s="398"/>
      <c r="AL88" s="398"/>
      <c r="AM88" s="398"/>
      <c r="AN88" s="398"/>
    </row>
    <row r="89" spans="1:40" x14ac:dyDescent="0.15">
      <c r="A89" s="270" t="str">
        <f>'Tariffs Jul2019'!F83</f>
        <v>Alinta Energy</v>
      </c>
      <c r="B89" s="40" t="str">
        <f>'Tariffs Jul2019'!D83</f>
        <v>AusNet Services West</v>
      </c>
      <c r="C89" s="40" t="str">
        <f>'Tariffs Jul2019'!G83</f>
        <v>Real Deal</v>
      </c>
      <c r="D89" s="59">
        <f>365*'Tariffs Jul2019'!H83/100</f>
        <v>310.25</v>
      </c>
      <c r="E89" s="59">
        <f>IF($C$5*'Tariffs Jul2019'!AK83/'Tariffs Jul2019'!AI83&gt;='Tariffs Jul2019'!J83,( 'Tariffs Jul2019'!J83*'Tariffs Jul2019'!O83/100)* 'Tariffs Jul2019'!AI83,($C$5*'Tariffs Jul2019'!AK83/'Tariffs Jul2019'!AI83*'Tariffs Jul2019'!O83/100)* 'Tariffs Jul2019'!AI83)</f>
        <v>250.90909090909085</v>
      </c>
      <c r="F89" s="59">
        <f>IF($C$5*'Tariffs Jul2019'!AK83/'Tariffs Jul2019'!AI83&lt;'Tariffs Jul2019'!J83,0,IF($C$5*'Tariffs Jul2019'!AK83/'Tariffs Jul2019'!AI83&lt;='Tariffs Jul2019'!K83,($C$5*'Tariffs Jul2019'!AK83/'Tariffs Jul2019'!AI83-'Tariffs Jul2019'!J83)*('Tariffs Jul2019'!P83/100)*'Tariffs Jul2019'!AI83,('Tariffs Jul2019'!K83-'Tariffs Jul2019'!J83)*('Tariffs Jul2019'!P83/100)*'Tariffs Jul2019'!AI83))</f>
        <v>0</v>
      </c>
      <c r="G89" s="59">
        <f>IF($C$5*'Tariffs Jul2019'!AK83/'Tariffs Jul2019'!AI83&lt;'Tariffs Jul2019'!K83,0,IF($C$5*'Tariffs Jul2019'!AK83/'Tariffs Jul2019'!AI83&lt;='Tariffs Jul2019'!L83,($C$5*'Tariffs Jul2019'!AK83/'Tariffs Jul2019'!AI83-'Tariffs Jul2019'!K83)*('Tariffs Jul2019'!Q83/100)*'Tariffs Jul2019'!AI83,('Tariffs Jul2019'!L83-'Tariffs Jul2019'!K83)*('Tariffs Jul2019'!Q83/100)*'Tariffs Jul2019'!AI83))</f>
        <v>0</v>
      </c>
      <c r="H89" s="59">
        <f>IF($C$5*'Tariffs Jul2019'!AK83/'Tariffs Jul2019'!AI83&lt;'Tariffs Jul2019'!L83,0,IF($C$5*'Tariffs Jul2019'!AK83/'Tariffs Jul2019'!AI83&lt;='Tariffs Jul2019'!M83,($C$5*'Tariffs Jul2019'!AK83/'Tariffs Jul2019'!AI83-'Tariffs Jul2019'!L83)*('Tariffs Jul2019'!R83/100)*'Tariffs Jul2019'!AI83,('Tariffs Jul2019'!M83-'Tariffs Jul2019'!L83)*('Tariffs Jul2019'!R83/100)*'Tariffs Jul2019'!AI83))</f>
        <v>0</v>
      </c>
      <c r="I89" s="59">
        <f>IF(($C$5*'Tariffs Jul2019'!AK83/'Tariffs Jul2019'!AI83&gt;'Tariffs Jul2019'!M83),($C$5*'Tariffs Jul2019'!AK83/'Tariffs Jul2019'!AI83-'Tariffs Jul2019'!M83)*'Tariffs Jul2019'!S83/100*'Tariffs Jul2019'!AI83,0)</f>
        <v>171.77809090909085</v>
      </c>
      <c r="J89" s="59">
        <f>IF($C$5*'Tariffs Jul2019'!AL83/'Tariffs Jul2019'!AJ83&gt;='Tariffs Jul2019'!J83,('Tariffs Jul2019'!J83*'Tariffs Jul2019'!U83/100)* 'Tariffs Jul2019'!AJ83,($C$5*'Tariffs Jul2019'!AL83/'Tariffs Jul2019'!AJ83*'Tariffs Jul2019'!U83/100)* 'Tariffs Jul2019'!AJ83)</f>
        <v>436.36363636363632</v>
      </c>
      <c r="K89" s="59">
        <f>IF($C$5*'Tariffs Jul2019'!AL83/'Tariffs Jul2019'!AJ83&lt;'Tariffs Jul2019'!J83,0,IF($C$5*'Tariffs Jul2019'!AL83/'Tariffs Jul2019'!AJ83&lt;='Tariffs Jul2019'!K83,($C$5*'Tariffs Jul2019'!AL83/'Tariffs Jul2019'!AJ83-'Tariffs Jul2019'!J83)*('Tariffs Jul2019'!V83/100)*'Tariffs Jul2019'!AJ83,('Tariffs Jul2019'!K83-'Tariffs Jul2019'!J83)*('Tariffs Jul2019'!V83/100)*'Tariffs Jul2019'!AJ83))</f>
        <v>0</v>
      </c>
      <c r="L89" s="59">
        <f>IF($C$5*'Tariffs Jul2019'!AL83/'Tariffs Jul2019'!AJ83&lt;'Tariffs Jul2019'!K83,0,IF($C$5*'Tariffs Jul2019'!AL83/'Tariffs Jul2019'!AJ83&lt;='Tariffs Jul2019'!L83,($C$5*'Tariffs Jul2019'!AL83/'Tariffs Jul2019'!AJ83-'Tariffs Jul2019'!K83)*('Tariffs Jul2019'!W83/100)*'Tariffs Jul2019'!AJ83,('Tariffs Jul2019'!L83-'Tariffs Jul2019'!K83)*('Tariffs Jul2019'!W83/100)*'Tariffs Jul2019'!AJ83))</f>
        <v>0</v>
      </c>
      <c r="M89" s="59">
        <f>IF($C$5*'Tariffs Jul2019'!AL83/'Tariffs Jul2019'!AJ83&lt;'Tariffs Jul2019'!L83,0,IF($C$5*'Tariffs Jul2019'!AL83/'Tariffs Jul2019'!AJ83&lt;='Tariffs Jul2019'!M83,($C$5*'Tariffs Jul2019'!AL83/'Tariffs Jul2019'!AJ83-'Tariffs Jul2019'!L83)*('Tariffs Jul2019'!X83/100)*'Tariffs Jul2019'!AJ83,('Tariffs Jul2019'!M83-'Tariffs Jul2019'!L83)*('Tariffs Jul2019'!X83/100)*'Tariffs Jul2019'!AJ83))</f>
        <v>0</v>
      </c>
      <c r="N89" s="59">
        <f>IF(($C$5*'Tariffs Jul2019'!AL83/'Tariffs Jul2019'!AJ83&gt;'Tariffs Jul2019'!M83),($C$5*'Tariffs Jul2019'!AL83/'Tariffs Jul2019'!AJ83-'Tariffs Jul2019'!M83)*'Tariffs Jul2019'!Y83/100*'Tariffs Jul2019'!AJ83,0)</f>
        <v>278.11690909090902</v>
      </c>
      <c r="O89" s="271">
        <f t="shared" si="0"/>
        <v>1137.167727272727</v>
      </c>
      <c r="P89" s="413">
        <f t="shared" si="10"/>
        <v>1250.8844999999999</v>
      </c>
      <c r="Q89" s="59">
        <f t="shared" si="2"/>
        <v>1447.417727272727</v>
      </c>
      <c r="R89" s="272">
        <f t="shared" si="3"/>
        <v>1592.1594999999998</v>
      </c>
      <c r="S89" s="40">
        <f>'Tariffs Jul2019'!AN83</f>
        <v>0</v>
      </c>
      <c r="T89" s="40">
        <f>'Tariffs Jul2019'!AO83</f>
        <v>0</v>
      </c>
      <c r="U89" s="40">
        <f>'Tariffs Jul2019'!AP83</f>
        <v>0</v>
      </c>
      <c r="V89" s="40">
        <f>'Tariffs Jul2019'!AQ83</f>
        <v>0</v>
      </c>
      <c r="W89" s="273">
        <f>Q89</f>
        <v>1447.417727272727</v>
      </c>
      <c r="X89" s="273">
        <f>W89</f>
        <v>1447.417727272727</v>
      </c>
      <c r="Y89" s="272">
        <f t="shared" si="4"/>
        <v>1592.1594999999998</v>
      </c>
      <c r="Z89" s="272">
        <f t="shared" si="4"/>
        <v>1592.1594999999998</v>
      </c>
      <c r="AA89" s="274">
        <f>'Tariffs Jul2019'!AZ83</f>
        <v>0</v>
      </c>
      <c r="AB89" s="274" t="str">
        <f>'Tariffs Jul2019'!BA83</f>
        <v>n</v>
      </c>
      <c r="AC89" s="275" t="str">
        <f>'Tariffs Jul2019'!BJ83</f>
        <v>Y</v>
      </c>
      <c r="AD89" s="398"/>
      <c r="AE89" s="398"/>
      <c r="AF89" s="398"/>
      <c r="AG89" s="398"/>
      <c r="AH89" s="398"/>
      <c r="AI89" s="398"/>
      <c r="AJ89" s="398"/>
      <c r="AK89" s="398"/>
      <c r="AL89" s="398"/>
      <c r="AM89" s="398"/>
      <c r="AN89" s="398"/>
    </row>
    <row r="90" spans="1:40" x14ac:dyDescent="0.15">
      <c r="A90" s="270" t="str">
        <f>'Tariffs Jul2019'!F84</f>
        <v>Click Energy</v>
      </c>
      <c r="B90" s="40" t="str">
        <f>'Tariffs Jul2019'!D84</f>
        <v>AusNet Services West</v>
      </c>
      <c r="C90" s="40" t="str">
        <f>'Tariffs Jul2019'!G84</f>
        <v>Banksia</v>
      </c>
      <c r="D90" s="59">
        <f>365*'Tariffs Jul2019'!H84/100</f>
        <v>261.47272727272724</v>
      </c>
      <c r="E90" s="59">
        <f>IF($C$5*'Tariffs Jul2019'!AK84/'Tariffs Jul2019'!AI84&gt;='Tariffs Jul2019'!J84,( 'Tariffs Jul2019'!J84*'Tariffs Jul2019'!O84/100)* 'Tariffs Jul2019'!AI84,($C$5*'Tariffs Jul2019'!AK84/'Tariffs Jul2019'!AI84*'Tariffs Jul2019'!O84/100)* 'Tariffs Jul2019'!AI84)</f>
        <v>270.5454545454545</v>
      </c>
      <c r="F90" s="59">
        <f>IF($C$5*'Tariffs Jul2019'!AK84/'Tariffs Jul2019'!AI84&lt;'Tariffs Jul2019'!J84,0,IF($C$5*'Tariffs Jul2019'!AK84/'Tariffs Jul2019'!AI84&lt;='Tariffs Jul2019'!K84,($C$5*'Tariffs Jul2019'!AK84/'Tariffs Jul2019'!AI84-'Tariffs Jul2019'!J84)*('Tariffs Jul2019'!P84/100)*'Tariffs Jul2019'!AI84,('Tariffs Jul2019'!K84-'Tariffs Jul2019'!J84)*('Tariffs Jul2019'!P84/100)*'Tariffs Jul2019'!AI84))</f>
        <v>193.04585454545446</v>
      </c>
      <c r="G90" s="59">
        <f>IF($C$5*'Tariffs Jul2019'!AK84/'Tariffs Jul2019'!AI84&lt;'Tariffs Jul2019'!K84,0,IF($C$5*'Tariffs Jul2019'!AK84/'Tariffs Jul2019'!AI84&lt;='Tariffs Jul2019'!L84,($C$5*'Tariffs Jul2019'!AK84/'Tariffs Jul2019'!AI84-'Tariffs Jul2019'!K84)*('Tariffs Jul2019'!Q84/100)*'Tariffs Jul2019'!AI84,('Tariffs Jul2019'!L84-'Tariffs Jul2019'!K84)*('Tariffs Jul2019'!Q84/100)*'Tariffs Jul2019'!AI84))</f>
        <v>0</v>
      </c>
      <c r="H90" s="59">
        <f>IF($C$5*'Tariffs Jul2019'!AK84/'Tariffs Jul2019'!AI84&lt;'Tariffs Jul2019'!L84,0,IF($C$5*'Tariffs Jul2019'!AK84/'Tariffs Jul2019'!AI84&lt;='Tariffs Jul2019'!M84,($C$5*'Tariffs Jul2019'!AK84/'Tariffs Jul2019'!AI84-'Tariffs Jul2019'!L84)*('Tariffs Jul2019'!R84/100)*'Tariffs Jul2019'!AI84,('Tariffs Jul2019'!M84-'Tariffs Jul2019'!L84)*('Tariffs Jul2019'!R84/100)*'Tariffs Jul2019'!AI84))</f>
        <v>0</v>
      </c>
      <c r="I90" s="59">
        <f>IF(($C$5*'Tariffs Jul2019'!AK84/'Tariffs Jul2019'!AI84&gt;'Tariffs Jul2019'!M84),($C$5*'Tariffs Jul2019'!AK84/'Tariffs Jul2019'!AI84-'Tariffs Jul2019'!M84)*'Tariffs Jul2019'!S84/100*'Tariffs Jul2019'!AI84,0)</f>
        <v>0</v>
      </c>
      <c r="J90" s="59">
        <f>IF($C$5*'Tariffs Jul2019'!AL84/'Tariffs Jul2019'!AJ84&gt;='Tariffs Jul2019'!J84,('Tariffs Jul2019'!J84*'Tariffs Jul2019'!U84/100)* 'Tariffs Jul2019'!AJ84,($C$5*'Tariffs Jul2019'!AL84/'Tariffs Jul2019'!AJ84*'Tariffs Jul2019'!U84/100)* 'Tariffs Jul2019'!AJ84)</f>
        <v>445.09090909090907</v>
      </c>
      <c r="K90" s="59">
        <f>IF($C$5*'Tariffs Jul2019'!AL84/'Tariffs Jul2019'!AJ84&lt;'Tariffs Jul2019'!J84,0,IF($C$5*'Tariffs Jul2019'!AL84/'Tariffs Jul2019'!AJ84&lt;='Tariffs Jul2019'!K84,($C$5*'Tariffs Jul2019'!AL84/'Tariffs Jul2019'!AJ84-'Tariffs Jul2019'!J84)*('Tariffs Jul2019'!V84/100)*'Tariffs Jul2019'!AJ84,('Tariffs Jul2019'!K84-'Tariffs Jul2019'!J84)*('Tariffs Jul2019'!V84/100)*'Tariffs Jul2019'!AJ84))</f>
        <v>325.56038181818167</v>
      </c>
      <c r="L90" s="59">
        <f>IF($C$5*'Tariffs Jul2019'!AL84/'Tariffs Jul2019'!AJ84&lt;'Tariffs Jul2019'!K84,0,IF($C$5*'Tariffs Jul2019'!AL84/'Tariffs Jul2019'!AJ84&lt;='Tariffs Jul2019'!L84,($C$5*'Tariffs Jul2019'!AL84/'Tariffs Jul2019'!AJ84-'Tariffs Jul2019'!K84)*('Tariffs Jul2019'!W84/100)*'Tariffs Jul2019'!AJ84,('Tariffs Jul2019'!L84-'Tariffs Jul2019'!K84)*('Tariffs Jul2019'!W84/100)*'Tariffs Jul2019'!AJ84))</f>
        <v>0</v>
      </c>
      <c r="M90" s="59">
        <f>IF($C$5*'Tariffs Jul2019'!AL84/'Tariffs Jul2019'!AJ84&lt;'Tariffs Jul2019'!L84,0,IF($C$5*'Tariffs Jul2019'!AL84/'Tariffs Jul2019'!AJ84&lt;='Tariffs Jul2019'!M84,($C$5*'Tariffs Jul2019'!AL84/'Tariffs Jul2019'!AJ84-'Tariffs Jul2019'!L84)*('Tariffs Jul2019'!X84/100)*'Tariffs Jul2019'!AJ84,('Tariffs Jul2019'!M84-'Tariffs Jul2019'!L84)*('Tariffs Jul2019'!X84/100)*'Tariffs Jul2019'!AJ84))</f>
        <v>0</v>
      </c>
      <c r="N90" s="59">
        <f>IF(($C$5*'Tariffs Jul2019'!AL84/'Tariffs Jul2019'!AJ84&gt;'Tariffs Jul2019'!M84),($C$5*'Tariffs Jul2019'!AL84/'Tariffs Jul2019'!AJ84-'Tariffs Jul2019'!M84)*'Tariffs Jul2019'!Y84/100*'Tariffs Jul2019'!AJ84,0)</f>
        <v>0</v>
      </c>
      <c r="O90" s="271">
        <f t="shared" si="0"/>
        <v>1234.2425999999996</v>
      </c>
      <c r="P90" s="413">
        <f t="shared" si="10"/>
        <v>1357.6668599999996</v>
      </c>
      <c r="Q90" s="59">
        <f t="shared" si="2"/>
        <v>1495.7153272727269</v>
      </c>
      <c r="R90" s="272">
        <f t="shared" si="3"/>
        <v>1645.2868599999997</v>
      </c>
      <c r="S90" s="40">
        <f>'Tariffs Jul2019'!AN84</f>
        <v>0</v>
      </c>
      <c r="T90" s="40">
        <f>'Tariffs Jul2019'!AO84</f>
        <v>0</v>
      </c>
      <c r="U90" s="40">
        <f>'Tariffs Jul2019'!AP84</f>
        <v>0</v>
      </c>
      <c r="V90" s="40">
        <f>'Tariffs Jul2019'!AQ84</f>
        <v>0</v>
      </c>
      <c r="W90" s="273">
        <f>Q90</f>
        <v>1495.7153272727269</v>
      </c>
      <c r="X90" s="273">
        <f>W90</f>
        <v>1495.7153272727269</v>
      </c>
      <c r="Y90" s="272">
        <f t="shared" si="4"/>
        <v>1645.2868599999997</v>
      </c>
      <c r="Z90" s="272">
        <f t="shared" si="4"/>
        <v>1645.2868599999997</v>
      </c>
      <c r="AA90" s="274">
        <f>'Tariffs Jul2019'!AZ84</f>
        <v>0</v>
      </c>
      <c r="AB90" s="274" t="str">
        <f>'Tariffs Jul2019'!BA84</f>
        <v>n</v>
      </c>
      <c r="AC90" s="275" t="str">
        <f>'Tariffs Jul2019'!BJ84</f>
        <v>N</v>
      </c>
      <c r="AD90" s="398"/>
      <c r="AE90" s="398"/>
      <c r="AF90" s="398"/>
      <c r="AG90" s="398"/>
      <c r="AH90" s="398"/>
      <c r="AI90" s="398"/>
      <c r="AJ90" s="398"/>
      <c r="AK90" s="398"/>
      <c r="AL90" s="398"/>
      <c r="AM90" s="398"/>
      <c r="AN90" s="398"/>
    </row>
    <row r="91" spans="1:40" x14ac:dyDescent="0.15">
      <c r="A91" s="270" t="str">
        <f>'Tariffs Jul2019'!F85</f>
        <v>Covau</v>
      </c>
      <c r="B91" s="40" t="str">
        <f>'Tariffs Jul2019'!D85</f>
        <v>AusNet Services West</v>
      </c>
      <c r="C91" s="40" t="str">
        <f>'Tariffs Jul2019'!G85</f>
        <v>Smart Saver</v>
      </c>
      <c r="D91" s="59">
        <f>365*'Tariffs Jul2019'!H85/100</f>
        <v>310.25</v>
      </c>
      <c r="E91" s="59">
        <f>IF($C$5*'Tariffs Jul2019'!AK85/'Tariffs Jul2019'!AI85&gt;='Tariffs Jul2019'!J85,( 'Tariffs Jul2019'!J85*'Tariffs Jul2019'!O85/100)* 'Tariffs Jul2019'!AI85,($C$5*'Tariffs Jul2019'!AK85/'Tariffs Jul2019'!AI85*'Tariffs Jul2019'!O85/100)* 'Tariffs Jul2019'!AI85)</f>
        <v>432</v>
      </c>
      <c r="F91" s="59">
        <f>IF($C$5*'Tariffs Jul2019'!AK85/'Tariffs Jul2019'!AI85&lt;'Tariffs Jul2019'!J85,0,IF($C$5*'Tariffs Jul2019'!AK85/'Tariffs Jul2019'!AI85&lt;='Tariffs Jul2019'!K85,($C$5*'Tariffs Jul2019'!AK85/'Tariffs Jul2019'!AI85-'Tariffs Jul2019'!J85)*('Tariffs Jul2019'!P85/100)*'Tariffs Jul2019'!AI85,('Tariffs Jul2019'!K85-'Tariffs Jul2019'!J85)*('Tariffs Jul2019'!P85/100)*'Tariffs Jul2019'!AI85))</f>
        <v>303.75</v>
      </c>
      <c r="G91" s="59">
        <f>IF($C$5*'Tariffs Jul2019'!AK85/'Tariffs Jul2019'!AI85&lt;'Tariffs Jul2019'!K85,0,IF($C$5*'Tariffs Jul2019'!AK85/'Tariffs Jul2019'!AI85&lt;='Tariffs Jul2019'!L85,($C$5*'Tariffs Jul2019'!AK85/'Tariffs Jul2019'!AI85-'Tariffs Jul2019'!K85)*('Tariffs Jul2019'!Q85/100)*'Tariffs Jul2019'!AI85,('Tariffs Jul2019'!L85-'Tariffs Jul2019'!K85)*('Tariffs Jul2019'!Q85/100)*'Tariffs Jul2019'!AI85))</f>
        <v>0</v>
      </c>
      <c r="H91" s="59">
        <f>IF($C$5*'Tariffs Jul2019'!AK85/'Tariffs Jul2019'!AI85&lt;'Tariffs Jul2019'!L85,0,IF($C$5*'Tariffs Jul2019'!AK85/'Tariffs Jul2019'!AI85&lt;='Tariffs Jul2019'!M85,($C$5*'Tariffs Jul2019'!AK85/'Tariffs Jul2019'!AI85-'Tariffs Jul2019'!L85)*('Tariffs Jul2019'!R85/100)*'Tariffs Jul2019'!AI85,('Tariffs Jul2019'!M85-'Tariffs Jul2019'!L85)*('Tariffs Jul2019'!R85/100)*'Tariffs Jul2019'!AI85))</f>
        <v>0</v>
      </c>
      <c r="I91" s="59">
        <f>IF(($C$5*'Tariffs Jul2019'!AK85/'Tariffs Jul2019'!AI85&gt;'Tariffs Jul2019'!M85),($C$5*'Tariffs Jul2019'!AK85/'Tariffs Jul2019'!AI85-'Tariffs Jul2019'!M85)*'Tariffs Jul2019'!S85/100*'Tariffs Jul2019'!AI85,0)</f>
        <v>0</v>
      </c>
      <c r="J91" s="59">
        <f>IF($C$5*'Tariffs Jul2019'!AL85/'Tariffs Jul2019'!AJ85&gt;='Tariffs Jul2019'!J85,('Tariffs Jul2019'!J85*'Tariffs Jul2019'!U85/100)* 'Tariffs Jul2019'!AJ85,($C$5*'Tariffs Jul2019'!AL85/'Tariffs Jul2019'!AJ85*'Tariffs Jul2019'!U85/100)* 'Tariffs Jul2019'!AJ85)</f>
        <v>376.20000000000005</v>
      </c>
      <c r="K91" s="59">
        <f>IF($C$5*'Tariffs Jul2019'!AL85/'Tariffs Jul2019'!AJ85&lt;'Tariffs Jul2019'!J85,0,IF($C$5*'Tariffs Jul2019'!AL85/'Tariffs Jul2019'!AJ85&lt;='Tariffs Jul2019'!K85,($C$5*'Tariffs Jul2019'!AL85/'Tariffs Jul2019'!AJ85-'Tariffs Jul2019'!J85)*('Tariffs Jul2019'!V85/100)*'Tariffs Jul2019'!AJ85,('Tariffs Jul2019'!K85-'Tariffs Jul2019'!J85)*('Tariffs Jul2019'!V85/100)*'Tariffs Jul2019'!AJ85))</f>
        <v>261.89999999999998</v>
      </c>
      <c r="L91" s="59">
        <f>IF($C$5*'Tariffs Jul2019'!AL85/'Tariffs Jul2019'!AJ85&lt;'Tariffs Jul2019'!K85,0,IF($C$5*'Tariffs Jul2019'!AL85/'Tariffs Jul2019'!AJ85&lt;='Tariffs Jul2019'!L85,($C$5*'Tariffs Jul2019'!AL85/'Tariffs Jul2019'!AJ85-'Tariffs Jul2019'!K85)*('Tariffs Jul2019'!W85/100)*'Tariffs Jul2019'!AJ85,('Tariffs Jul2019'!L85-'Tariffs Jul2019'!K85)*('Tariffs Jul2019'!W85/100)*'Tariffs Jul2019'!AJ85))</f>
        <v>0</v>
      </c>
      <c r="M91" s="59">
        <f>IF($C$5*'Tariffs Jul2019'!AL85/'Tariffs Jul2019'!AJ85&lt;'Tariffs Jul2019'!L85,0,IF($C$5*'Tariffs Jul2019'!AL85/'Tariffs Jul2019'!AJ85&lt;='Tariffs Jul2019'!M85,($C$5*'Tariffs Jul2019'!AL85/'Tariffs Jul2019'!AJ85-'Tariffs Jul2019'!L85)*('Tariffs Jul2019'!X85/100)*'Tariffs Jul2019'!AJ85,('Tariffs Jul2019'!M85-'Tariffs Jul2019'!L85)*('Tariffs Jul2019'!X85/100)*'Tariffs Jul2019'!AJ85))</f>
        <v>0</v>
      </c>
      <c r="N91" s="59">
        <f>IF(($C$5*'Tariffs Jul2019'!AL85/'Tariffs Jul2019'!AJ85&gt;'Tariffs Jul2019'!M85),($C$5*'Tariffs Jul2019'!AL85/'Tariffs Jul2019'!AJ85-'Tariffs Jul2019'!M85)*'Tariffs Jul2019'!Y85/100*'Tariffs Jul2019'!AJ85,0)</f>
        <v>0</v>
      </c>
      <c r="O91" s="271">
        <f t="shared" si="0"/>
        <v>1373.85</v>
      </c>
      <c r="P91" s="413">
        <f t="shared" si="10"/>
        <v>1511.2350000000001</v>
      </c>
      <c r="Q91" s="59">
        <f t="shared" si="2"/>
        <v>1684.1</v>
      </c>
      <c r="R91" s="272">
        <f t="shared" si="3"/>
        <v>1852.51</v>
      </c>
      <c r="S91" s="40">
        <f>'Tariffs Jul2019'!AN85</f>
        <v>0</v>
      </c>
      <c r="T91" s="40">
        <f>'Tariffs Jul2019'!AO85</f>
        <v>0</v>
      </c>
      <c r="U91" s="40">
        <f>'Tariffs Jul2019'!AP85</f>
        <v>0</v>
      </c>
      <c r="V91" s="40">
        <f>'Tariffs Jul2019'!AQ85</f>
        <v>16</v>
      </c>
      <c r="W91" s="273">
        <f>Q91</f>
        <v>1684.1</v>
      </c>
      <c r="X91" s="273">
        <f>W91-(O91*V91/100)</f>
        <v>1464.2839999999999</v>
      </c>
      <c r="Y91" s="272">
        <f t="shared" si="4"/>
        <v>1852.51</v>
      </c>
      <c r="Z91" s="272">
        <f t="shared" si="4"/>
        <v>1610.7123999999999</v>
      </c>
      <c r="AA91" s="274">
        <f>'Tariffs Jul2019'!AZ85</f>
        <v>0</v>
      </c>
      <c r="AB91" s="274" t="str">
        <f>'Tariffs Jul2019'!BA85</f>
        <v>n</v>
      </c>
      <c r="AC91" s="275" t="str">
        <f>'Tariffs Jul2019'!BJ85</f>
        <v>N</v>
      </c>
      <c r="AD91" s="398"/>
      <c r="AE91" s="398"/>
      <c r="AF91" s="398"/>
      <c r="AG91" s="398"/>
      <c r="AH91" s="398"/>
      <c r="AI91" s="398"/>
      <c r="AJ91" s="398"/>
      <c r="AK91" s="398"/>
      <c r="AL91" s="398"/>
      <c r="AM91" s="398"/>
      <c r="AN91" s="398"/>
    </row>
    <row r="92" spans="1:40" x14ac:dyDescent="0.15">
      <c r="A92" s="270" t="str">
        <f>'Tariffs Jul2019'!F86</f>
        <v>EnergyAustralia</v>
      </c>
      <c r="B92" s="40" t="str">
        <f>'Tariffs Jul2019'!D86</f>
        <v>AusNet Services West</v>
      </c>
      <c r="C92" s="40" t="str">
        <f>'Tariffs Jul2019'!G86</f>
        <v>Total Plan</v>
      </c>
      <c r="D92" s="59">
        <f>365*'Tariffs Jul2019'!H86/100</f>
        <v>345.65499999999997</v>
      </c>
      <c r="E92" s="59">
        <f>IF($C$5*'Tariffs Jul2019'!AK86/'Tariffs Jul2019'!AI86&gt;='Tariffs Jul2019'!J86,( 'Tariffs Jul2019'!J86*'Tariffs Jul2019'!O86/100)* 'Tariffs Jul2019'!AI86,($C$5*'Tariffs Jul2019'!AK86/'Tariffs Jul2019'!AI86*'Tariffs Jul2019'!O86/100)* 'Tariffs Jul2019'!AI86)</f>
        <v>518.64813000000004</v>
      </c>
      <c r="F92" s="59">
        <f>IF($C$5*'Tariffs Jul2019'!AK86/'Tariffs Jul2019'!AI86&lt;'Tariffs Jul2019'!J86,0,IF($C$5*'Tariffs Jul2019'!AK86/'Tariffs Jul2019'!AI86&lt;='Tariffs Jul2019'!K86,($C$5*'Tariffs Jul2019'!AK86/'Tariffs Jul2019'!AI86-'Tariffs Jul2019'!J86)*('Tariffs Jul2019'!P86/100)*'Tariffs Jul2019'!AI86,('Tariffs Jul2019'!K86-'Tariffs Jul2019'!J86)*('Tariffs Jul2019'!P86/100)*'Tariffs Jul2019'!AI86))</f>
        <v>0</v>
      </c>
      <c r="G92" s="59">
        <f>IF($C$5*'Tariffs Jul2019'!AK86/'Tariffs Jul2019'!AI86&lt;'Tariffs Jul2019'!K86,0,IF($C$5*'Tariffs Jul2019'!AK86/'Tariffs Jul2019'!AI86&lt;='Tariffs Jul2019'!L86,($C$5*'Tariffs Jul2019'!AK86/'Tariffs Jul2019'!AI86-'Tariffs Jul2019'!K86)*('Tariffs Jul2019'!Q86/100)*'Tariffs Jul2019'!AI86,('Tariffs Jul2019'!L86-'Tariffs Jul2019'!K86)*('Tariffs Jul2019'!Q86/100)*'Tariffs Jul2019'!AI86))</f>
        <v>0</v>
      </c>
      <c r="H92" s="59">
        <f>IF($C$5*'Tariffs Jul2019'!AK86/'Tariffs Jul2019'!AI86&lt;'Tariffs Jul2019'!L86,0,IF($C$5*'Tariffs Jul2019'!AK86/'Tariffs Jul2019'!AI86&lt;='Tariffs Jul2019'!M86,($C$5*'Tariffs Jul2019'!AK86/'Tariffs Jul2019'!AI86-'Tariffs Jul2019'!L86)*('Tariffs Jul2019'!R86/100)*'Tariffs Jul2019'!AI86,('Tariffs Jul2019'!M86-'Tariffs Jul2019'!L86)*('Tariffs Jul2019'!R86/100)*'Tariffs Jul2019'!AI86))</f>
        <v>0</v>
      </c>
      <c r="I92" s="59">
        <f>IF(($C$5*'Tariffs Jul2019'!AK86/'Tariffs Jul2019'!AI86&gt;'Tariffs Jul2019'!M86),($C$5*'Tariffs Jul2019'!AK86/'Tariffs Jul2019'!AI86-'Tariffs Jul2019'!M86)*'Tariffs Jul2019'!S86/100*'Tariffs Jul2019'!AI86,0)</f>
        <v>0</v>
      </c>
      <c r="J92" s="59">
        <f>IF($C$5*'Tariffs Jul2019'!AL86/'Tariffs Jul2019'!AJ86&gt;='Tariffs Jul2019'!J86,('Tariffs Jul2019'!J86*'Tariffs Jul2019'!U86/100)* 'Tariffs Jul2019'!AJ86,($C$5*'Tariffs Jul2019'!AL86/'Tariffs Jul2019'!AJ86*'Tariffs Jul2019'!U86/100)* 'Tariffs Jul2019'!AJ86)</f>
        <v>781.12187999999992</v>
      </c>
      <c r="K92" s="59">
        <f>IF($C$5*'Tariffs Jul2019'!AL86/'Tariffs Jul2019'!AJ86&lt;'Tariffs Jul2019'!J86,0,IF($C$5*'Tariffs Jul2019'!AL86/'Tariffs Jul2019'!AJ86&lt;='Tariffs Jul2019'!K86,($C$5*'Tariffs Jul2019'!AL86/'Tariffs Jul2019'!AJ86-'Tariffs Jul2019'!J86)*('Tariffs Jul2019'!V86/100)*'Tariffs Jul2019'!AJ86,('Tariffs Jul2019'!K86-'Tariffs Jul2019'!J86)*('Tariffs Jul2019'!V86/100)*'Tariffs Jul2019'!AJ86))</f>
        <v>0</v>
      </c>
      <c r="L92" s="59">
        <f>IF($C$5*'Tariffs Jul2019'!AL86/'Tariffs Jul2019'!AJ86&lt;'Tariffs Jul2019'!K86,0,IF($C$5*'Tariffs Jul2019'!AL86/'Tariffs Jul2019'!AJ86&lt;='Tariffs Jul2019'!L86,($C$5*'Tariffs Jul2019'!AL86/'Tariffs Jul2019'!AJ86-'Tariffs Jul2019'!K86)*('Tariffs Jul2019'!W86/100)*'Tariffs Jul2019'!AJ86,('Tariffs Jul2019'!L86-'Tariffs Jul2019'!K86)*('Tariffs Jul2019'!W86/100)*'Tariffs Jul2019'!AJ86))</f>
        <v>0</v>
      </c>
      <c r="M92" s="59">
        <f>IF($C$5*'Tariffs Jul2019'!AL86/'Tariffs Jul2019'!AJ86&lt;'Tariffs Jul2019'!L86,0,IF($C$5*'Tariffs Jul2019'!AL86/'Tariffs Jul2019'!AJ86&lt;='Tariffs Jul2019'!M86,($C$5*'Tariffs Jul2019'!AL86/'Tariffs Jul2019'!AJ86-'Tariffs Jul2019'!L86)*('Tariffs Jul2019'!X86/100)*'Tariffs Jul2019'!AJ86,('Tariffs Jul2019'!M86-'Tariffs Jul2019'!L86)*('Tariffs Jul2019'!X86/100)*'Tariffs Jul2019'!AJ86))</f>
        <v>0</v>
      </c>
      <c r="N92" s="59">
        <f>IF(($C$5*'Tariffs Jul2019'!AL86/'Tariffs Jul2019'!AJ86&gt;'Tariffs Jul2019'!M86),($C$5*'Tariffs Jul2019'!AL86/'Tariffs Jul2019'!AJ86-'Tariffs Jul2019'!M86)*'Tariffs Jul2019'!Y86/100*'Tariffs Jul2019'!AJ86,0)</f>
        <v>0</v>
      </c>
      <c r="O92" s="271">
        <f t="shared" si="0"/>
        <v>1299.77001</v>
      </c>
      <c r="P92" s="413">
        <f t="shared" si="10"/>
        <v>1429.7470110000002</v>
      </c>
      <c r="Q92" s="59">
        <f t="shared" si="2"/>
        <v>1645.4250099999999</v>
      </c>
      <c r="R92" s="272">
        <f t="shared" si="3"/>
        <v>1809.9675110000001</v>
      </c>
      <c r="S92" s="40">
        <f>'Tariffs Jul2019'!AN86</f>
        <v>24</v>
      </c>
      <c r="T92" s="40">
        <f>'Tariffs Jul2019'!AO86</f>
        <v>0</v>
      </c>
      <c r="U92" s="40">
        <f>'Tariffs Jul2019'!AP86</f>
        <v>0</v>
      </c>
      <c r="V92" s="40">
        <f>'Tariffs Jul2019'!AQ86</f>
        <v>0</v>
      </c>
      <c r="W92" s="273">
        <f>Q92-(Q92*S92/100)</f>
        <v>1250.5230076</v>
      </c>
      <c r="X92" s="273">
        <f>W92</f>
        <v>1250.5230076</v>
      </c>
      <c r="Y92" s="272">
        <f t="shared" si="4"/>
        <v>1375.5753083600002</v>
      </c>
      <c r="Z92" s="272">
        <f t="shared" si="4"/>
        <v>1375.5753083600002</v>
      </c>
      <c r="AA92" s="274">
        <f>'Tariffs Jul2019'!AZ86</f>
        <v>0</v>
      </c>
      <c r="AB92" s="274" t="str">
        <f>'Tariffs Jul2019'!BA86</f>
        <v>n</v>
      </c>
      <c r="AC92" s="275" t="str">
        <f>'Tariffs Jul2019'!BJ86</f>
        <v>N</v>
      </c>
      <c r="AD92" s="398"/>
      <c r="AE92" s="398"/>
      <c r="AF92" s="398"/>
      <c r="AG92" s="398"/>
      <c r="AH92" s="398"/>
      <c r="AI92" s="398"/>
      <c r="AJ92" s="398"/>
      <c r="AK92" s="398"/>
      <c r="AL92" s="398"/>
      <c r="AM92" s="398"/>
      <c r="AN92" s="398"/>
    </row>
    <row r="93" spans="1:40" x14ac:dyDescent="0.15">
      <c r="A93" s="270" t="str">
        <f>'Tariffs Jul2019'!F87</f>
        <v>Lumo Energy</v>
      </c>
      <c r="B93" s="40" t="str">
        <f>'Tariffs Jul2019'!D87</f>
        <v>AusNet Services West</v>
      </c>
      <c r="C93" s="40" t="str">
        <f>'Tariffs Jul2019'!G87</f>
        <v>Value</v>
      </c>
      <c r="D93" s="59">
        <f>365*'Tariffs Jul2019'!H87/100</f>
        <v>255.5</v>
      </c>
      <c r="E93" s="59">
        <f>IF($C$5*'Tariffs Jul2019'!AK87/'Tariffs Jul2019'!AI87&gt;='Tariffs Jul2019'!J87,( 'Tariffs Jul2019'!J87*'Tariffs Jul2019'!O87/100)* 'Tariffs Jul2019'!AI87,($C$5*'Tariffs Jul2019'!AK87/'Tariffs Jul2019'!AI87*'Tariffs Jul2019'!O87/100)* 'Tariffs Jul2019'!AI87)</f>
        <v>227.99999999999997</v>
      </c>
      <c r="F93" s="59">
        <f>IF($C$5*'Tariffs Jul2019'!AK87/'Tariffs Jul2019'!AI87&lt;'Tariffs Jul2019'!J87,0,IF($C$5*'Tariffs Jul2019'!AK87/'Tariffs Jul2019'!AI87&lt;='Tariffs Jul2019'!K87,($C$5*'Tariffs Jul2019'!AK87/'Tariffs Jul2019'!AI87-'Tariffs Jul2019'!J87)*('Tariffs Jul2019'!P87/100)*'Tariffs Jul2019'!AI87,('Tariffs Jul2019'!K87-'Tariffs Jul2019'!J87)*('Tariffs Jul2019'!P87/100)*'Tariffs Jul2019'!AI87))</f>
        <v>161.96219999999997</v>
      </c>
      <c r="G93" s="59">
        <f>IF($C$5*'Tariffs Jul2019'!AK87/'Tariffs Jul2019'!AI87&lt;'Tariffs Jul2019'!K87,0,IF($C$5*'Tariffs Jul2019'!AK87/'Tariffs Jul2019'!AI87&lt;='Tariffs Jul2019'!L87,($C$5*'Tariffs Jul2019'!AK87/'Tariffs Jul2019'!AI87-'Tariffs Jul2019'!K87)*('Tariffs Jul2019'!Q87/100)*'Tariffs Jul2019'!AI87,('Tariffs Jul2019'!L87-'Tariffs Jul2019'!K87)*('Tariffs Jul2019'!Q87/100)*'Tariffs Jul2019'!AI87))</f>
        <v>0</v>
      </c>
      <c r="H93" s="59">
        <f>IF($C$5*'Tariffs Jul2019'!AK87/'Tariffs Jul2019'!AI87&lt;'Tariffs Jul2019'!L87,0,IF($C$5*'Tariffs Jul2019'!AK87/'Tariffs Jul2019'!AI87&lt;='Tariffs Jul2019'!M87,($C$5*'Tariffs Jul2019'!AK87/'Tariffs Jul2019'!AI87-'Tariffs Jul2019'!L87)*('Tariffs Jul2019'!R87/100)*'Tariffs Jul2019'!AI87,('Tariffs Jul2019'!M87-'Tariffs Jul2019'!L87)*('Tariffs Jul2019'!R87/100)*'Tariffs Jul2019'!AI87))</f>
        <v>0</v>
      </c>
      <c r="I93" s="59">
        <f>IF(($C$5*'Tariffs Jul2019'!AK87/'Tariffs Jul2019'!AI87&gt;'Tariffs Jul2019'!M87),($C$5*'Tariffs Jul2019'!AK87/'Tariffs Jul2019'!AI87-'Tariffs Jul2019'!M87)*'Tariffs Jul2019'!S87/100*'Tariffs Jul2019'!AI87,0)</f>
        <v>0</v>
      </c>
      <c r="J93" s="59">
        <f>IF($C$5*'Tariffs Jul2019'!AL87/'Tariffs Jul2019'!AJ87&gt;='Tariffs Jul2019'!J87,('Tariffs Jul2019'!J87*'Tariffs Jul2019'!U87/100)* 'Tariffs Jul2019'!AJ87,($C$5*'Tariffs Jul2019'!AL87/'Tariffs Jul2019'!AJ87*'Tariffs Jul2019'!U87/100)* 'Tariffs Jul2019'!AJ87)</f>
        <v>408</v>
      </c>
      <c r="K93" s="59">
        <f>IF($C$5*'Tariffs Jul2019'!AL87/'Tariffs Jul2019'!AJ87&lt;'Tariffs Jul2019'!J87,0,IF($C$5*'Tariffs Jul2019'!AL87/'Tariffs Jul2019'!AJ87&lt;='Tariffs Jul2019'!K87,($C$5*'Tariffs Jul2019'!AL87/'Tariffs Jul2019'!AJ87-'Tariffs Jul2019'!J87)*('Tariffs Jul2019'!V87/100)*'Tariffs Jul2019'!AJ87,('Tariffs Jul2019'!K87-'Tariffs Jul2019'!J87)*('Tariffs Jul2019'!V87/100)*'Tariffs Jul2019'!AJ87))</f>
        <v>287.93279999999993</v>
      </c>
      <c r="L93" s="59">
        <f>IF($C$5*'Tariffs Jul2019'!AL87/'Tariffs Jul2019'!AJ87&lt;'Tariffs Jul2019'!K87,0,IF($C$5*'Tariffs Jul2019'!AL87/'Tariffs Jul2019'!AJ87&lt;='Tariffs Jul2019'!L87,($C$5*'Tariffs Jul2019'!AL87/'Tariffs Jul2019'!AJ87-'Tariffs Jul2019'!K87)*('Tariffs Jul2019'!W87/100)*'Tariffs Jul2019'!AJ87,('Tariffs Jul2019'!L87-'Tariffs Jul2019'!K87)*('Tariffs Jul2019'!W87/100)*'Tariffs Jul2019'!AJ87))</f>
        <v>0</v>
      </c>
      <c r="M93" s="59">
        <f>IF($C$5*'Tariffs Jul2019'!AL87/'Tariffs Jul2019'!AJ87&lt;'Tariffs Jul2019'!L87,0,IF($C$5*'Tariffs Jul2019'!AL87/'Tariffs Jul2019'!AJ87&lt;='Tariffs Jul2019'!M87,($C$5*'Tariffs Jul2019'!AL87/'Tariffs Jul2019'!AJ87-'Tariffs Jul2019'!L87)*('Tariffs Jul2019'!X87/100)*'Tariffs Jul2019'!AJ87,('Tariffs Jul2019'!M87-'Tariffs Jul2019'!L87)*('Tariffs Jul2019'!X87/100)*'Tariffs Jul2019'!AJ87))</f>
        <v>0</v>
      </c>
      <c r="N93" s="59">
        <f>IF(($C$5*'Tariffs Jul2019'!AL87/'Tariffs Jul2019'!AJ87&gt;'Tariffs Jul2019'!M87),($C$5*'Tariffs Jul2019'!AL87/'Tariffs Jul2019'!AJ87-'Tariffs Jul2019'!M87)*'Tariffs Jul2019'!Y87/100*'Tariffs Jul2019'!AJ87,0)</f>
        <v>0</v>
      </c>
      <c r="O93" s="271">
        <f t="shared" si="0"/>
        <v>1085.895</v>
      </c>
      <c r="P93" s="413">
        <f t="shared" si="10"/>
        <v>1194.4845</v>
      </c>
      <c r="Q93" s="59">
        <f t="shared" si="2"/>
        <v>1341.395</v>
      </c>
      <c r="R93" s="272">
        <f t="shared" si="3"/>
        <v>1475.5345000000002</v>
      </c>
      <c r="S93" s="40">
        <f>'Tariffs Jul2019'!AN87</f>
        <v>0</v>
      </c>
      <c r="T93" s="40">
        <f>'Tariffs Jul2019'!AO87</f>
        <v>0</v>
      </c>
      <c r="U93" s="40">
        <f>'Tariffs Jul2019'!AP87</f>
        <v>3</v>
      </c>
      <c r="V93" s="40">
        <f>'Tariffs Jul2019'!AQ87</f>
        <v>0</v>
      </c>
      <c r="W93" s="273">
        <f>Q93</f>
        <v>1341.395</v>
      </c>
      <c r="X93" s="273">
        <f>W93-(Q93*U93/100)</f>
        <v>1301.1531500000001</v>
      </c>
      <c r="Y93" s="272">
        <f t="shared" si="4"/>
        <v>1475.5345000000002</v>
      </c>
      <c r="Z93" s="272">
        <f t="shared" si="4"/>
        <v>1431.2684650000003</v>
      </c>
      <c r="AA93" s="274">
        <f>'Tariffs Jul2019'!AZ87</f>
        <v>0</v>
      </c>
      <c r="AB93" s="274" t="str">
        <f>'Tariffs Jul2019'!BA87</f>
        <v>n</v>
      </c>
      <c r="AC93" s="275" t="str">
        <f>'Tariffs Jul2019'!BJ87</f>
        <v>N</v>
      </c>
      <c r="AD93" s="398"/>
      <c r="AE93" s="398"/>
      <c r="AF93" s="398"/>
      <c r="AG93" s="398"/>
      <c r="AH93" s="398"/>
      <c r="AI93" s="398"/>
      <c r="AJ93" s="398"/>
      <c r="AK93" s="398"/>
      <c r="AL93" s="398"/>
      <c r="AM93" s="398"/>
      <c r="AN93" s="398"/>
    </row>
    <row r="94" spans="1:40" x14ac:dyDescent="0.15">
      <c r="A94" s="270" t="str">
        <f>'Tariffs Jul2019'!F88</f>
        <v>Momentum Energy</v>
      </c>
      <c r="B94" s="40" t="str">
        <f>'Tariffs Jul2019'!D88</f>
        <v>AusNet Services West</v>
      </c>
      <c r="C94" s="40" t="str">
        <f>'Tariffs Jul2019'!G88</f>
        <v>Market offer</v>
      </c>
      <c r="D94" s="59">
        <f>365*'Tariffs Jul2019'!H88/100</f>
        <v>342.51599999999996</v>
      </c>
      <c r="E94" s="59">
        <f>IF($C$5*'Tariffs Jul2019'!AK88/'Tariffs Jul2019'!AI88&gt;='Tariffs Jul2019'!J88,( 'Tariffs Jul2019'!J88*'Tariffs Jul2019'!O88/100)* 'Tariffs Jul2019'!AI88,($C$5*'Tariffs Jul2019'!AK88/'Tariffs Jul2019'!AI88*'Tariffs Jul2019'!O88/100)* 'Tariffs Jul2019'!AI88)</f>
        <v>197.28</v>
      </c>
      <c r="F94" s="59">
        <f>IF($C$5*'Tariffs Jul2019'!AK88/'Tariffs Jul2019'!AI88&lt;'Tariffs Jul2019'!J88,0,IF($C$5*'Tariffs Jul2019'!AK88/'Tariffs Jul2019'!AI88&lt;='Tariffs Jul2019'!K88,($C$5*'Tariffs Jul2019'!AK88/'Tariffs Jul2019'!AI88-'Tariffs Jul2019'!J88)*('Tariffs Jul2019'!P88/100)*'Tariffs Jul2019'!AI88,('Tariffs Jul2019'!K88-'Tariffs Jul2019'!J88)*('Tariffs Jul2019'!P88/100)*'Tariffs Jul2019'!AI88))</f>
        <v>139.37747099999996</v>
      </c>
      <c r="G94" s="59">
        <f>IF($C$5*'Tariffs Jul2019'!AK88/'Tariffs Jul2019'!AI88&lt;'Tariffs Jul2019'!K88,0,IF($C$5*'Tariffs Jul2019'!AK88/'Tariffs Jul2019'!AI88&lt;='Tariffs Jul2019'!L88,($C$5*'Tariffs Jul2019'!AK88/'Tariffs Jul2019'!AI88-'Tariffs Jul2019'!K88)*('Tariffs Jul2019'!Q88/100)*'Tariffs Jul2019'!AI88,('Tariffs Jul2019'!L88-'Tariffs Jul2019'!K88)*('Tariffs Jul2019'!Q88/100)*'Tariffs Jul2019'!AI88))</f>
        <v>0</v>
      </c>
      <c r="H94" s="59">
        <f>IF($C$5*'Tariffs Jul2019'!AK88/'Tariffs Jul2019'!AI88&lt;'Tariffs Jul2019'!L88,0,IF($C$5*'Tariffs Jul2019'!AK88/'Tariffs Jul2019'!AI88&lt;='Tariffs Jul2019'!M88,($C$5*'Tariffs Jul2019'!AK88/'Tariffs Jul2019'!AI88-'Tariffs Jul2019'!L88)*('Tariffs Jul2019'!R88/100)*'Tariffs Jul2019'!AI88,('Tariffs Jul2019'!M88-'Tariffs Jul2019'!L88)*('Tariffs Jul2019'!R88/100)*'Tariffs Jul2019'!AI88))</f>
        <v>0</v>
      </c>
      <c r="I94" s="59">
        <f>IF(($C$5*'Tariffs Jul2019'!AK88/'Tariffs Jul2019'!AI88&gt;'Tariffs Jul2019'!M88),($C$5*'Tariffs Jul2019'!AK88/'Tariffs Jul2019'!AI88-'Tariffs Jul2019'!M88)*'Tariffs Jul2019'!S88/100*'Tariffs Jul2019'!AI88,0)</f>
        <v>0</v>
      </c>
      <c r="J94" s="59">
        <f>IF($C$5*'Tariffs Jul2019'!AL88/'Tariffs Jul2019'!AJ88&gt;='Tariffs Jul2019'!J88,('Tariffs Jul2019'!J88*'Tariffs Jul2019'!U88/100)* 'Tariffs Jul2019'!AJ88,($C$5*'Tariffs Jul2019'!AL88/'Tariffs Jul2019'!AJ88*'Tariffs Jul2019'!U88/100)* 'Tariffs Jul2019'!AJ88)</f>
        <v>302.39999999999998</v>
      </c>
      <c r="K94" s="59">
        <f>IF($C$5*'Tariffs Jul2019'!AL88/'Tariffs Jul2019'!AJ88&lt;'Tariffs Jul2019'!J88,0,IF($C$5*'Tariffs Jul2019'!AL88/'Tariffs Jul2019'!AJ88&lt;='Tariffs Jul2019'!K88,($C$5*'Tariffs Jul2019'!AL88/'Tariffs Jul2019'!AJ88-'Tariffs Jul2019'!J88)*('Tariffs Jul2019'!V88/100)*'Tariffs Jul2019'!AJ88,('Tariffs Jul2019'!K88-'Tariffs Jul2019'!J88)*('Tariffs Jul2019'!V88/100)*'Tariffs Jul2019'!AJ88))</f>
        <v>224.76754199999996</v>
      </c>
      <c r="L94" s="59">
        <f>IF($C$5*'Tariffs Jul2019'!AL88/'Tariffs Jul2019'!AJ88&lt;'Tariffs Jul2019'!K88,0,IF($C$5*'Tariffs Jul2019'!AL88/'Tariffs Jul2019'!AJ88&lt;='Tariffs Jul2019'!L88,($C$5*'Tariffs Jul2019'!AL88/'Tariffs Jul2019'!AJ88-'Tariffs Jul2019'!K88)*('Tariffs Jul2019'!W88/100)*'Tariffs Jul2019'!AJ88,('Tariffs Jul2019'!L88-'Tariffs Jul2019'!K88)*('Tariffs Jul2019'!W88/100)*'Tariffs Jul2019'!AJ88))</f>
        <v>0</v>
      </c>
      <c r="M94" s="59">
        <f>IF($C$5*'Tariffs Jul2019'!AL88/'Tariffs Jul2019'!AJ88&lt;'Tariffs Jul2019'!L88,0,IF($C$5*'Tariffs Jul2019'!AL88/'Tariffs Jul2019'!AJ88&lt;='Tariffs Jul2019'!M88,($C$5*'Tariffs Jul2019'!AL88/'Tariffs Jul2019'!AJ88-'Tariffs Jul2019'!L88)*('Tariffs Jul2019'!X88/100)*'Tariffs Jul2019'!AJ88,('Tariffs Jul2019'!M88-'Tariffs Jul2019'!L88)*('Tariffs Jul2019'!X88/100)*'Tariffs Jul2019'!AJ88))</f>
        <v>0</v>
      </c>
      <c r="N94" s="59">
        <f>IF(($C$5*'Tariffs Jul2019'!AL88/'Tariffs Jul2019'!AJ88&gt;'Tariffs Jul2019'!M88),($C$5*'Tariffs Jul2019'!AL88/'Tariffs Jul2019'!AJ88-'Tariffs Jul2019'!M88)*'Tariffs Jul2019'!Y88/100*'Tariffs Jul2019'!AJ88,0)</f>
        <v>0</v>
      </c>
      <c r="O94" s="271">
        <f t="shared" si="0"/>
        <v>863.8250129999999</v>
      </c>
      <c r="P94" s="413">
        <f t="shared" si="10"/>
        <v>950.20751429999996</v>
      </c>
      <c r="Q94" s="59">
        <f t="shared" si="2"/>
        <v>1206.3410129999997</v>
      </c>
      <c r="R94" s="272">
        <f t="shared" si="3"/>
        <v>1326.9751142999999</v>
      </c>
      <c r="S94" s="40">
        <f>'Tariffs Jul2019'!AN88</f>
        <v>0</v>
      </c>
      <c r="T94" s="40">
        <f>'Tariffs Jul2019'!AO88</f>
        <v>0</v>
      </c>
      <c r="U94" s="40">
        <f>'Tariffs Jul2019'!AP88</f>
        <v>0</v>
      </c>
      <c r="V94" s="40">
        <f>'Tariffs Jul2019'!AQ88</f>
        <v>0</v>
      </c>
      <c r="W94" s="273">
        <f>Q94</f>
        <v>1206.3410129999997</v>
      </c>
      <c r="X94" s="273">
        <f>W94</f>
        <v>1206.3410129999997</v>
      </c>
      <c r="Y94" s="272">
        <f t="shared" si="4"/>
        <v>1326.9751142999999</v>
      </c>
      <c r="Z94" s="272">
        <f t="shared" si="4"/>
        <v>1326.9751142999999</v>
      </c>
      <c r="AA94" s="274">
        <f>'Tariffs Jul2019'!AZ88</f>
        <v>0</v>
      </c>
      <c r="AB94" s="274" t="str">
        <f>'Tariffs Jul2019'!BA88</f>
        <v>n</v>
      </c>
      <c r="AC94" s="275" t="str">
        <f>'Tariffs Jul2019'!BJ88</f>
        <v>Y</v>
      </c>
      <c r="AD94" s="398"/>
      <c r="AE94" s="398"/>
      <c r="AF94" s="398"/>
      <c r="AG94" s="398"/>
      <c r="AH94" s="398"/>
      <c r="AI94" s="398"/>
      <c r="AJ94" s="398"/>
      <c r="AK94" s="398"/>
      <c r="AL94" s="398"/>
      <c r="AM94" s="398"/>
      <c r="AN94" s="398"/>
    </row>
    <row r="95" spans="1:40" x14ac:dyDescent="0.15">
      <c r="A95" s="270" t="str">
        <f>'Tariffs Jul2019'!F89</f>
        <v>Origin Energy</v>
      </c>
      <c r="B95" s="40" t="str">
        <f>'Tariffs Jul2019'!D89</f>
        <v>AusNet Services West</v>
      </c>
      <c r="C95" s="40" t="str">
        <f>'Tariffs Jul2019'!G89</f>
        <v>Flexi</v>
      </c>
      <c r="D95" s="59">
        <f>365*'Tariffs Jul2019'!H89/100</f>
        <v>288.35000000000002</v>
      </c>
      <c r="E95" s="59">
        <f>IF($C$5*'Tariffs Jul2019'!AK89/'Tariffs Jul2019'!AI89&gt;='Tariffs Jul2019'!J89,( 'Tariffs Jul2019'!J89*'Tariffs Jul2019'!O89/100)* 'Tariffs Jul2019'!AI89,($C$5*'Tariffs Jul2019'!AK89/'Tariffs Jul2019'!AI89*'Tariffs Jul2019'!O89/100)* 'Tariffs Jul2019'!AI89)</f>
        <v>144</v>
      </c>
      <c r="F95" s="59">
        <f>IF($C$5*'Tariffs Jul2019'!AK89/'Tariffs Jul2019'!AI89&lt;'Tariffs Jul2019'!J89,0,IF($C$5*'Tariffs Jul2019'!AK89/'Tariffs Jul2019'!AI89&lt;='Tariffs Jul2019'!K89,($C$5*'Tariffs Jul2019'!AK89/'Tariffs Jul2019'!AI89-'Tariffs Jul2019'!J89)*('Tariffs Jul2019'!P89/100)*'Tariffs Jul2019'!AI89,('Tariffs Jul2019'!K89-'Tariffs Jul2019'!J89)*('Tariffs Jul2019'!P89/100)*'Tariffs Jul2019'!AI89))</f>
        <v>0</v>
      </c>
      <c r="G95" s="59">
        <f>IF($C$5*'Tariffs Jul2019'!AK89/'Tariffs Jul2019'!AI89&lt;'Tariffs Jul2019'!K89,0,IF($C$5*'Tariffs Jul2019'!AK89/'Tariffs Jul2019'!AI89&lt;='Tariffs Jul2019'!L89,($C$5*'Tariffs Jul2019'!AK89/'Tariffs Jul2019'!AI89-'Tariffs Jul2019'!K89)*('Tariffs Jul2019'!Q89/100)*'Tariffs Jul2019'!AI89,('Tariffs Jul2019'!L89-'Tariffs Jul2019'!K89)*('Tariffs Jul2019'!Q89/100)*'Tariffs Jul2019'!AI89))</f>
        <v>0</v>
      </c>
      <c r="H95" s="59">
        <f>IF($C$5*'Tariffs Jul2019'!AK89/'Tariffs Jul2019'!AI89&lt;'Tariffs Jul2019'!L89,0,IF($C$5*'Tariffs Jul2019'!AK89/'Tariffs Jul2019'!AI89&lt;='Tariffs Jul2019'!M89,($C$5*'Tariffs Jul2019'!AK89/'Tariffs Jul2019'!AI89-'Tariffs Jul2019'!L89)*('Tariffs Jul2019'!R89/100)*'Tariffs Jul2019'!AI89,('Tariffs Jul2019'!M89-'Tariffs Jul2019'!L89)*('Tariffs Jul2019'!R89/100)*'Tariffs Jul2019'!AI89))</f>
        <v>0</v>
      </c>
      <c r="I95" s="59">
        <f>IF(($C$5*'Tariffs Jul2019'!AK89/'Tariffs Jul2019'!AI89&gt;'Tariffs Jul2019'!M89),($C$5*'Tariffs Jul2019'!AK89/'Tariffs Jul2019'!AI89-'Tariffs Jul2019'!M89)*'Tariffs Jul2019'!S89/100*'Tariffs Jul2019'!AI89,0)</f>
        <v>314.95589999999999</v>
      </c>
      <c r="J95" s="59">
        <f>IF($C$5*'Tariffs Jul2019'!AL89/'Tariffs Jul2019'!AJ89&gt;='Tariffs Jul2019'!J89,('Tariffs Jul2019'!J89*'Tariffs Jul2019'!U89/100)* 'Tariffs Jul2019'!AJ89,($C$5*'Tariffs Jul2019'!AL89/'Tariffs Jul2019'!AJ89*'Tariffs Jul2019'!U89/100)* 'Tariffs Jul2019'!AJ89)</f>
        <v>210</v>
      </c>
      <c r="K95" s="59">
        <f>IF($C$5*'Tariffs Jul2019'!AL89/'Tariffs Jul2019'!AJ89&lt;'Tariffs Jul2019'!J89,0,IF($C$5*'Tariffs Jul2019'!AL89/'Tariffs Jul2019'!AJ89&lt;='Tariffs Jul2019'!K89,($C$5*'Tariffs Jul2019'!AL89/'Tariffs Jul2019'!AJ89-'Tariffs Jul2019'!J89)*('Tariffs Jul2019'!V89/100)*'Tariffs Jul2019'!AJ89,('Tariffs Jul2019'!K89-'Tariffs Jul2019'!J89)*('Tariffs Jul2019'!V89/100)*'Tariffs Jul2019'!AJ89))</f>
        <v>0</v>
      </c>
      <c r="L95" s="59">
        <f>IF($C$5*'Tariffs Jul2019'!AL89/'Tariffs Jul2019'!AJ89&lt;'Tariffs Jul2019'!K89,0,IF($C$5*'Tariffs Jul2019'!AL89/'Tariffs Jul2019'!AJ89&lt;='Tariffs Jul2019'!L89,($C$5*'Tariffs Jul2019'!AL89/'Tariffs Jul2019'!AJ89-'Tariffs Jul2019'!K89)*('Tariffs Jul2019'!W89/100)*'Tariffs Jul2019'!AJ89,('Tariffs Jul2019'!L89-'Tariffs Jul2019'!K89)*('Tariffs Jul2019'!W89/100)*'Tariffs Jul2019'!AJ89))</f>
        <v>0</v>
      </c>
      <c r="M95" s="59">
        <f>IF($C$5*'Tariffs Jul2019'!AL89/'Tariffs Jul2019'!AJ89&lt;'Tariffs Jul2019'!L89,0,IF($C$5*'Tariffs Jul2019'!AL89/'Tariffs Jul2019'!AJ89&lt;='Tariffs Jul2019'!M89,($C$5*'Tariffs Jul2019'!AL89/'Tariffs Jul2019'!AJ89-'Tariffs Jul2019'!L89)*('Tariffs Jul2019'!X89/100)*'Tariffs Jul2019'!AJ89,('Tariffs Jul2019'!M89-'Tariffs Jul2019'!L89)*('Tariffs Jul2019'!X89/100)*'Tariffs Jul2019'!AJ89))</f>
        <v>0</v>
      </c>
      <c r="N95" s="59">
        <f>IF(($C$5*'Tariffs Jul2019'!AL89/'Tariffs Jul2019'!AJ89&gt;'Tariffs Jul2019'!M89),($C$5*'Tariffs Jul2019'!AL89/'Tariffs Jul2019'!AJ89-'Tariffs Jul2019'!M89)*'Tariffs Jul2019'!Y89/100*'Tariffs Jul2019'!AJ89,0)</f>
        <v>479.93279999999999</v>
      </c>
      <c r="O95" s="271">
        <f t="shared" si="0"/>
        <v>1148.8887</v>
      </c>
      <c r="P95" s="413">
        <f t="shared" si="10"/>
        <v>1263.77757</v>
      </c>
      <c r="Q95" s="59">
        <f t="shared" si="2"/>
        <v>1437.2386999999999</v>
      </c>
      <c r="R95" s="272">
        <f t="shared" si="3"/>
        <v>1580.9625699999999</v>
      </c>
      <c r="S95" s="40">
        <f>'Tariffs Jul2019'!AN89</f>
        <v>10</v>
      </c>
      <c r="T95" s="40">
        <f>'Tariffs Jul2019'!AO89</f>
        <v>0</v>
      </c>
      <c r="U95" s="40">
        <f>'Tariffs Jul2019'!AP89</f>
        <v>0</v>
      </c>
      <c r="V95" s="40">
        <f>'Tariffs Jul2019'!AQ89</f>
        <v>0</v>
      </c>
      <c r="W95" s="273">
        <f>R95-(R95*S95/100)</f>
        <v>1422.866313</v>
      </c>
      <c r="X95" s="273">
        <f>W95</f>
        <v>1422.866313</v>
      </c>
      <c r="Y95" s="272">
        <f>W95</f>
        <v>1422.866313</v>
      </c>
      <c r="Z95" s="272">
        <f>X95</f>
        <v>1422.866313</v>
      </c>
      <c r="AA95" s="274">
        <f>'Tariffs Jul2019'!AZ89</f>
        <v>0</v>
      </c>
      <c r="AB95" s="274" t="str">
        <f>'Tariffs Jul2019'!BA89</f>
        <v>n</v>
      </c>
      <c r="AC95" s="275" t="str">
        <f>'Tariffs Jul2019'!BJ89</f>
        <v>N</v>
      </c>
      <c r="AD95" s="398"/>
      <c r="AE95" s="398"/>
      <c r="AF95" s="398"/>
      <c r="AG95" s="398"/>
      <c r="AH95" s="398"/>
      <c r="AI95" s="398"/>
      <c r="AJ95" s="398"/>
      <c r="AK95" s="398"/>
      <c r="AL95" s="398"/>
      <c r="AM95" s="398"/>
      <c r="AN95" s="398"/>
    </row>
    <row r="96" spans="1:40" x14ac:dyDescent="0.15">
      <c r="A96" s="270" t="str">
        <f>'Tariffs Jul2019'!F90</f>
        <v>Red Energy</v>
      </c>
      <c r="B96" s="40" t="str">
        <f>'Tariffs Jul2019'!D90</f>
        <v>AusNet Services West</v>
      </c>
      <c r="C96" s="40" t="str">
        <f>'Tariffs Jul2019'!G90</f>
        <v>Easy Saver</v>
      </c>
      <c r="D96" s="59">
        <f>365*'Tariffs Jul2019'!H90/100</f>
        <v>293.46000000000004</v>
      </c>
      <c r="E96" s="59">
        <f>IF($C$5*'Tariffs Jul2019'!AK90/'Tariffs Jul2019'!AI90&gt;='Tariffs Jul2019'!J90,( 'Tariffs Jul2019'!J90*'Tariffs Jul2019'!O90/100)* 'Tariffs Jul2019'!AI90,($C$5*'Tariffs Jul2019'!AK90/'Tariffs Jul2019'!AI90*'Tariffs Jul2019'!O90/100)* 'Tariffs Jul2019'!AI90)</f>
        <v>139.86000000000001</v>
      </c>
      <c r="F96" s="59">
        <f>IF($C$5*'Tariffs Jul2019'!AK90/'Tariffs Jul2019'!AI90&lt;'Tariffs Jul2019'!J90,0,IF($C$5*'Tariffs Jul2019'!AK90/'Tariffs Jul2019'!AI90&lt;='Tariffs Jul2019'!K90,($C$5*'Tariffs Jul2019'!AK90/'Tariffs Jul2019'!AI90-'Tariffs Jul2019'!J90)*('Tariffs Jul2019'!P90/100)*'Tariffs Jul2019'!AI90,('Tariffs Jul2019'!K90-'Tariffs Jul2019'!J90)*('Tariffs Jul2019'!P90/100)*'Tariffs Jul2019'!AI90))</f>
        <v>0</v>
      </c>
      <c r="G96" s="59">
        <f>IF($C$5*'Tariffs Jul2019'!AK90/'Tariffs Jul2019'!AI90&lt;'Tariffs Jul2019'!K90,0,IF($C$5*'Tariffs Jul2019'!AK90/'Tariffs Jul2019'!AI90&lt;='Tariffs Jul2019'!L90,($C$5*'Tariffs Jul2019'!AK90/'Tariffs Jul2019'!AI90-'Tariffs Jul2019'!K90)*('Tariffs Jul2019'!Q90/100)*'Tariffs Jul2019'!AI90,('Tariffs Jul2019'!L90-'Tariffs Jul2019'!K90)*('Tariffs Jul2019'!Q90/100)*'Tariffs Jul2019'!AI90))</f>
        <v>0</v>
      </c>
      <c r="H96" s="59">
        <f>IF($C$5*'Tariffs Jul2019'!AK90/'Tariffs Jul2019'!AI90&lt;'Tariffs Jul2019'!L90,0,IF($C$5*'Tariffs Jul2019'!AK90/'Tariffs Jul2019'!AI90&lt;='Tariffs Jul2019'!M90,($C$5*'Tariffs Jul2019'!AK90/'Tariffs Jul2019'!AI90-'Tariffs Jul2019'!L90)*('Tariffs Jul2019'!R90/100)*'Tariffs Jul2019'!AI90,('Tariffs Jul2019'!M90-'Tariffs Jul2019'!L90)*('Tariffs Jul2019'!R90/100)*'Tariffs Jul2019'!AI90))</f>
        <v>0</v>
      </c>
      <c r="I96" s="59">
        <f>IF(($C$5*'Tariffs Jul2019'!AK90/'Tariffs Jul2019'!AI90&gt;'Tariffs Jul2019'!M90),($C$5*'Tariffs Jul2019'!AK90/'Tariffs Jul2019'!AI90-'Tariffs Jul2019'!M90)*'Tariffs Jul2019'!S90/100*'Tariffs Jul2019'!AI90,0)</f>
        <v>276.32051999999999</v>
      </c>
      <c r="J96" s="59">
        <f>IF($C$5*'Tariffs Jul2019'!AL90/'Tariffs Jul2019'!AJ90&gt;='Tariffs Jul2019'!J90,('Tariffs Jul2019'!J90*'Tariffs Jul2019'!U90/100)* 'Tariffs Jul2019'!AJ90,($C$5*'Tariffs Jul2019'!AL90/'Tariffs Jul2019'!AJ90*'Tariffs Jul2019'!U90/100)* 'Tariffs Jul2019'!AJ90)</f>
        <v>258.29999999999995</v>
      </c>
      <c r="K96" s="59">
        <f>IF($C$5*'Tariffs Jul2019'!AL90/'Tariffs Jul2019'!AJ90&lt;'Tariffs Jul2019'!J90,0,IF($C$5*'Tariffs Jul2019'!AL90/'Tariffs Jul2019'!AJ90&lt;='Tariffs Jul2019'!K90,($C$5*'Tariffs Jul2019'!AL90/'Tariffs Jul2019'!AJ90-'Tariffs Jul2019'!J90)*('Tariffs Jul2019'!V90/100)*'Tariffs Jul2019'!AJ90,('Tariffs Jul2019'!K90-'Tariffs Jul2019'!J90)*('Tariffs Jul2019'!V90/100)*'Tariffs Jul2019'!AJ90))</f>
        <v>0</v>
      </c>
      <c r="L96" s="59">
        <f>IF($C$5*'Tariffs Jul2019'!AL90/'Tariffs Jul2019'!AJ90&lt;'Tariffs Jul2019'!K90,0,IF($C$5*'Tariffs Jul2019'!AL90/'Tariffs Jul2019'!AJ90&lt;='Tariffs Jul2019'!L90,($C$5*'Tariffs Jul2019'!AL90/'Tariffs Jul2019'!AJ90-'Tariffs Jul2019'!K90)*('Tariffs Jul2019'!W90/100)*'Tariffs Jul2019'!AJ90,('Tariffs Jul2019'!L90-'Tariffs Jul2019'!K90)*('Tariffs Jul2019'!W90/100)*'Tariffs Jul2019'!AJ90))</f>
        <v>0</v>
      </c>
      <c r="M96" s="59">
        <f>IF($C$5*'Tariffs Jul2019'!AL90/'Tariffs Jul2019'!AJ90&lt;'Tariffs Jul2019'!L90,0,IF($C$5*'Tariffs Jul2019'!AL90/'Tariffs Jul2019'!AJ90&lt;='Tariffs Jul2019'!M90,($C$5*'Tariffs Jul2019'!AL90/'Tariffs Jul2019'!AJ90-'Tariffs Jul2019'!L90)*('Tariffs Jul2019'!X90/100)*'Tariffs Jul2019'!AJ90,('Tariffs Jul2019'!M90-'Tariffs Jul2019'!L90)*('Tariffs Jul2019'!X90/100)*'Tariffs Jul2019'!AJ90))</f>
        <v>0</v>
      </c>
      <c r="N96" s="59">
        <f>IF(($C$5*'Tariffs Jul2019'!AL90/'Tariffs Jul2019'!AJ90&gt;'Tariffs Jul2019'!M90),($C$5*'Tariffs Jul2019'!AL90/'Tariffs Jul2019'!AJ90-'Tariffs Jul2019'!M90)*'Tariffs Jul2019'!Y90/100*'Tariffs Jul2019'!AJ90,0)</f>
        <v>499.72859999999991</v>
      </c>
      <c r="O96" s="271">
        <f t="shared" si="0"/>
        <v>1174.20912</v>
      </c>
      <c r="P96" s="413">
        <f t="shared" si="10"/>
        <v>1291.630032</v>
      </c>
      <c r="Q96" s="59">
        <f t="shared" si="2"/>
        <v>1467.66912</v>
      </c>
      <c r="R96" s="272">
        <f t="shared" si="3"/>
        <v>1614.4360320000001</v>
      </c>
      <c r="S96" s="40">
        <f>'Tariffs Jul2019'!AN90</f>
        <v>0</v>
      </c>
      <c r="T96" s="40">
        <f>'Tariffs Jul2019'!AO90</f>
        <v>0</v>
      </c>
      <c r="U96" s="40">
        <f>'Tariffs Jul2019'!AP90</f>
        <v>10</v>
      </c>
      <c r="V96" s="40">
        <f>'Tariffs Jul2019'!AQ90</f>
        <v>0</v>
      </c>
      <c r="W96" s="273">
        <f>R96</f>
        <v>1614.4360320000001</v>
      </c>
      <c r="X96" s="273">
        <f>W96-(W96*U96/100)</f>
        <v>1452.9924288000002</v>
      </c>
      <c r="Y96" s="272">
        <f>W96</f>
        <v>1614.4360320000001</v>
      </c>
      <c r="Z96" s="272">
        <f>X96</f>
        <v>1452.9924288000002</v>
      </c>
      <c r="AA96" s="274">
        <f>'Tariffs Jul2019'!AZ90</f>
        <v>0</v>
      </c>
      <c r="AB96" s="274" t="str">
        <f>'Tariffs Jul2019'!BA90</f>
        <v>n</v>
      </c>
      <c r="AC96" s="275" t="str">
        <f>'Tariffs Jul2019'!BJ90</f>
        <v>N</v>
      </c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</row>
    <row r="97" spans="1:40" x14ac:dyDescent="0.15">
      <c r="A97" s="270" t="str">
        <f>'Tariffs Jul2019'!F91</f>
        <v>Simply Energy</v>
      </c>
      <c r="B97" s="40" t="str">
        <f>'Tariffs Jul2019'!D91</f>
        <v>AusNet Services West</v>
      </c>
      <c r="C97" s="40" t="str">
        <f>'Tariffs Jul2019'!G91</f>
        <v>Plus</v>
      </c>
      <c r="D97" s="59">
        <f>365*'Tariffs Jul2019'!H91/100</f>
        <v>311.80954545454546</v>
      </c>
      <c r="E97" s="59">
        <f>IF($C$5*'Tariffs Jul2019'!AK91/'Tariffs Jul2019'!AI91&gt;='Tariffs Jul2019'!J91,( 'Tariffs Jul2019'!J91*'Tariffs Jul2019'!O91/100)* 'Tariffs Jul2019'!AI91,($C$5*'Tariffs Jul2019'!AK91/'Tariffs Jul2019'!AI91*'Tariffs Jul2019'!O91/100)* 'Tariffs Jul2019'!AI91)</f>
        <v>225.81818181818181</v>
      </c>
      <c r="F97" s="59">
        <f>IF($C$5*'Tariffs Jul2019'!AK91/'Tariffs Jul2019'!AI91&lt;'Tariffs Jul2019'!J91,0,IF($C$5*'Tariffs Jul2019'!AK91/'Tariffs Jul2019'!AI91&lt;='Tariffs Jul2019'!K91,($C$5*'Tariffs Jul2019'!AK91/'Tariffs Jul2019'!AI91-'Tariffs Jul2019'!J91)*('Tariffs Jul2019'!P91/100)*'Tariffs Jul2019'!AI91,('Tariffs Jul2019'!K91-'Tariffs Jul2019'!J91)*('Tariffs Jul2019'!P91/100)*'Tariffs Jul2019'!AI91))</f>
        <v>156.23626363636359</v>
      </c>
      <c r="G97" s="59">
        <f>IF($C$5*'Tariffs Jul2019'!AK91/'Tariffs Jul2019'!AI91&lt;'Tariffs Jul2019'!K91,0,IF($C$5*'Tariffs Jul2019'!AK91/'Tariffs Jul2019'!AI91&lt;='Tariffs Jul2019'!L91,($C$5*'Tariffs Jul2019'!AK91/'Tariffs Jul2019'!AI91-'Tariffs Jul2019'!K91)*('Tariffs Jul2019'!Q91/100)*'Tariffs Jul2019'!AI91,('Tariffs Jul2019'!L91-'Tariffs Jul2019'!K91)*('Tariffs Jul2019'!Q91/100)*'Tariffs Jul2019'!AI91))</f>
        <v>0</v>
      </c>
      <c r="H97" s="59">
        <f>IF($C$5*'Tariffs Jul2019'!AK91/'Tariffs Jul2019'!AI91&lt;'Tariffs Jul2019'!L91,0,IF($C$5*'Tariffs Jul2019'!AK91/'Tariffs Jul2019'!AI91&lt;='Tariffs Jul2019'!M91,($C$5*'Tariffs Jul2019'!AK91/'Tariffs Jul2019'!AI91-'Tariffs Jul2019'!L91)*('Tariffs Jul2019'!R91/100)*'Tariffs Jul2019'!AI91,('Tariffs Jul2019'!M91-'Tariffs Jul2019'!L91)*('Tariffs Jul2019'!R91/100)*'Tariffs Jul2019'!AI91))</f>
        <v>0</v>
      </c>
      <c r="I97" s="59">
        <f>IF(($C$5*'Tariffs Jul2019'!AK91/'Tariffs Jul2019'!AI91&gt;'Tariffs Jul2019'!M91),($C$5*'Tariffs Jul2019'!AK91/'Tariffs Jul2019'!AI91-'Tariffs Jul2019'!M91)*'Tariffs Jul2019'!S91/100*'Tariffs Jul2019'!AI91,0)</f>
        <v>0</v>
      </c>
      <c r="J97" s="59">
        <f>IF($C$5*'Tariffs Jul2019'!AL91/'Tariffs Jul2019'!AJ91&gt;='Tariffs Jul2019'!J91,('Tariffs Jul2019'!J91*'Tariffs Jul2019'!U91/100)* 'Tariffs Jul2019'!AJ91,($C$5*'Tariffs Jul2019'!AL91/'Tariffs Jul2019'!AJ91*'Tariffs Jul2019'!U91/100)* 'Tariffs Jul2019'!AJ91)</f>
        <v>368.72727272727263</v>
      </c>
      <c r="K97" s="59">
        <f>IF($C$5*'Tariffs Jul2019'!AL91/'Tariffs Jul2019'!AJ91&lt;'Tariffs Jul2019'!J91,0,IF($C$5*'Tariffs Jul2019'!AL91/'Tariffs Jul2019'!AJ91&lt;='Tariffs Jul2019'!K91,($C$5*'Tariffs Jul2019'!AL91/'Tariffs Jul2019'!AJ91-'Tariffs Jul2019'!J91)*('Tariffs Jul2019'!V91/100)*'Tariffs Jul2019'!AJ91,('Tariffs Jul2019'!K91-'Tariffs Jul2019'!J91)*('Tariffs Jul2019'!V91/100)*'Tariffs Jul2019'!AJ91))</f>
        <v>274.84494545454538</v>
      </c>
      <c r="L97" s="59">
        <f>IF($C$5*'Tariffs Jul2019'!AL91/'Tariffs Jul2019'!AJ91&lt;'Tariffs Jul2019'!K91,0,IF($C$5*'Tariffs Jul2019'!AL91/'Tariffs Jul2019'!AJ91&lt;='Tariffs Jul2019'!L91,($C$5*'Tariffs Jul2019'!AL91/'Tariffs Jul2019'!AJ91-'Tariffs Jul2019'!K91)*('Tariffs Jul2019'!W91/100)*'Tariffs Jul2019'!AJ91,('Tariffs Jul2019'!L91-'Tariffs Jul2019'!K91)*('Tariffs Jul2019'!W91/100)*'Tariffs Jul2019'!AJ91))</f>
        <v>0</v>
      </c>
      <c r="M97" s="59">
        <f>IF($C$5*'Tariffs Jul2019'!AL91/'Tariffs Jul2019'!AJ91&lt;'Tariffs Jul2019'!L91,0,IF($C$5*'Tariffs Jul2019'!AL91/'Tariffs Jul2019'!AJ91&lt;='Tariffs Jul2019'!M91,($C$5*'Tariffs Jul2019'!AL91/'Tariffs Jul2019'!AJ91-'Tariffs Jul2019'!L91)*('Tariffs Jul2019'!X91/100)*'Tariffs Jul2019'!AJ91,('Tariffs Jul2019'!M91-'Tariffs Jul2019'!L91)*('Tariffs Jul2019'!X91/100)*'Tariffs Jul2019'!AJ91))</f>
        <v>0</v>
      </c>
      <c r="N97" s="59">
        <f>IF(($C$5*'Tariffs Jul2019'!AL91/'Tariffs Jul2019'!AJ91&gt;'Tariffs Jul2019'!M91),($C$5*'Tariffs Jul2019'!AL91/'Tariffs Jul2019'!AJ91-'Tariffs Jul2019'!M91)*'Tariffs Jul2019'!Y91/100*'Tariffs Jul2019'!AJ91,0)</f>
        <v>0</v>
      </c>
      <c r="O97" s="271">
        <f t="shared" si="0"/>
        <v>1025.6266636363634</v>
      </c>
      <c r="P97" s="413">
        <f t="shared" si="10"/>
        <v>1128.1893299999999</v>
      </c>
      <c r="Q97" s="59">
        <f t="shared" si="2"/>
        <v>1337.436209090909</v>
      </c>
      <c r="R97" s="272">
        <f t="shared" si="3"/>
        <v>1471.17983</v>
      </c>
      <c r="S97" s="40">
        <f>'Tariffs Jul2019'!AN91</f>
        <v>0</v>
      </c>
      <c r="T97" s="40">
        <f>'Tariffs Jul2019'!AO91</f>
        <v>0</v>
      </c>
      <c r="U97" s="40">
        <f>'Tariffs Jul2019'!AP91</f>
        <v>0</v>
      </c>
      <c r="V97" s="40">
        <f>'Tariffs Jul2019'!AQ91</f>
        <v>0</v>
      </c>
      <c r="W97" s="273">
        <f t="shared" ref="W97:W102" si="12">Q97</f>
        <v>1337.436209090909</v>
      </c>
      <c r="X97" s="273">
        <f>W97</f>
        <v>1337.436209090909</v>
      </c>
      <c r="Y97" s="272">
        <f t="shared" si="4"/>
        <v>1471.17983</v>
      </c>
      <c r="Z97" s="272">
        <f t="shared" si="4"/>
        <v>1471.17983</v>
      </c>
      <c r="AA97" s="274">
        <f>'Tariffs Jul2019'!AZ91</f>
        <v>0</v>
      </c>
      <c r="AB97" s="274" t="str">
        <f>'Tariffs Jul2019'!BA91</f>
        <v>n</v>
      </c>
      <c r="AC97" s="275" t="str">
        <f>'Tariffs Jul2019'!BJ91</f>
        <v>Y</v>
      </c>
      <c r="AD97" s="398"/>
      <c r="AE97" s="398"/>
      <c r="AF97" s="398"/>
      <c r="AG97" s="398"/>
      <c r="AH97" s="398"/>
      <c r="AI97" s="398"/>
      <c r="AJ97" s="398"/>
      <c r="AK97" s="398"/>
      <c r="AL97" s="398"/>
      <c r="AM97" s="398"/>
      <c r="AN97" s="398"/>
    </row>
    <row r="98" spans="1:40" x14ac:dyDescent="0.15">
      <c r="A98" s="270" t="str">
        <f>'Tariffs Jul2019'!F92</f>
        <v>Sumo Power</v>
      </c>
      <c r="B98" s="40" t="str">
        <f>'Tariffs Jul2019'!D92</f>
        <v>AusNet Services West</v>
      </c>
      <c r="C98" s="40" t="str">
        <f>'Tariffs Jul2019'!G92</f>
        <v>Select</v>
      </c>
      <c r="D98" s="59">
        <f>365*'Tariffs Jul2019'!H92/100</f>
        <v>310.25</v>
      </c>
      <c r="E98" s="59">
        <f>IF($C$5*'Tariffs Jul2019'!AK92/'Tariffs Jul2019'!AI92&gt;='Tariffs Jul2019'!J92,( 'Tariffs Jul2019'!J92*'Tariffs Jul2019'!O92/100)* 'Tariffs Jul2019'!AI92,($C$5*'Tariffs Jul2019'!AK92/'Tariffs Jul2019'!AI92*'Tariffs Jul2019'!O92/100)* 'Tariffs Jul2019'!AI92)</f>
        <v>218.18181818181816</v>
      </c>
      <c r="F98" s="59">
        <f>IF($C$5*'Tariffs Jul2019'!AK92/'Tariffs Jul2019'!AI92&lt;'Tariffs Jul2019'!J92,0,IF($C$5*'Tariffs Jul2019'!AK92/'Tariffs Jul2019'!AI92&lt;='Tariffs Jul2019'!K92,($C$5*'Tariffs Jul2019'!AK92/'Tariffs Jul2019'!AI92-'Tariffs Jul2019'!J92)*('Tariffs Jul2019'!P92/100)*'Tariffs Jul2019'!AI92,('Tariffs Jul2019'!K92-'Tariffs Jul2019'!J92)*('Tariffs Jul2019'!P92/100)*'Tariffs Jul2019'!AI92))</f>
        <v>154.60028181818177</v>
      </c>
      <c r="G98" s="59">
        <f>IF($C$5*'Tariffs Jul2019'!AK92/'Tariffs Jul2019'!AI92&lt;'Tariffs Jul2019'!K92,0,IF($C$5*'Tariffs Jul2019'!AK92/'Tariffs Jul2019'!AI92&lt;='Tariffs Jul2019'!L92,($C$5*'Tariffs Jul2019'!AK92/'Tariffs Jul2019'!AI92-'Tariffs Jul2019'!K92)*('Tariffs Jul2019'!Q92/100)*'Tariffs Jul2019'!AI92,('Tariffs Jul2019'!L92-'Tariffs Jul2019'!K92)*('Tariffs Jul2019'!Q92/100)*'Tariffs Jul2019'!AI92))</f>
        <v>0</v>
      </c>
      <c r="H98" s="59">
        <f>IF($C$5*'Tariffs Jul2019'!AK92/'Tariffs Jul2019'!AI92&lt;'Tariffs Jul2019'!L92,0,IF($C$5*'Tariffs Jul2019'!AK92/'Tariffs Jul2019'!AI92&lt;='Tariffs Jul2019'!M92,($C$5*'Tariffs Jul2019'!AK92/'Tariffs Jul2019'!AI92-'Tariffs Jul2019'!L92)*('Tariffs Jul2019'!R92/100)*'Tariffs Jul2019'!AI92,('Tariffs Jul2019'!M92-'Tariffs Jul2019'!L92)*('Tariffs Jul2019'!R92/100)*'Tariffs Jul2019'!AI92))</f>
        <v>0</v>
      </c>
      <c r="I98" s="59">
        <f>IF(($C$5*'Tariffs Jul2019'!AK92/'Tariffs Jul2019'!AI92&gt;'Tariffs Jul2019'!M92),($C$5*'Tariffs Jul2019'!AK92/'Tariffs Jul2019'!AI92-'Tariffs Jul2019'!M92)*'Tariffs Jul2019'!S92/100*'Tariffs Jul2019'!AI92,0)</f>
        <v>0</v>
      </c>
      <c r="J98" s="59">
        <f>IF($C$5*'Tariffs Jul2019'!AL92/'Tariffs Jul2019'!AJ92&gt;='Tariffs Jul2019'!J92,('Tariffs Jul2019'!J92*'Tariffs Jul2019'!U92/100)* 'Tariffs Jul2019'!AJ92,($C$5*'Tariffs Jul2019'!AL92/'Tariffs Jul2019'!AJ92*'Tariffs Jul2019'!U92/100)* 'Tariffs Jul2019'!AJ92)</f>
        <v>401.45454545454544</v>
      </c>
      <c r="K98" s="59">
        <f>IF($C$5*'Tariffs Jul2019'!AL92/'Tariffs Jul2019'!AJ92&lt;'Tariffs Jul2019'!J92,0,IF($C$5*'Tariffs Jul2019'!AL92/'Tariffs Jul2019'!AJ92&lt;='Tariffs Jul2019'!K92,($C$5*'Tariffs Jul2019'!AL92/'Tariffs Jul2019'!AJ92-'Tariffs Jul2019'!J92)*('Tariffs Jul2019'!V92/100)*'Tariffs Jul2019'!AJ92,('Tariffs Jul2019'!K92-'Tariffs Jul2019'!J92)*('Tariffs Jul2019'!V92/100)*'Tariffs Jul2019'!AJ92))</f>
        <v>245.39727272727265</v>
      </c>
      <c r="L98" s="59">
        <f>IF($C$5*'Tariffs Jul2019'!AL92/'Tariffs Jul2019'!AJ92&lt;'Tariffs Jul2019'!K92,0,IF($C$5*'Tariffs Jul2019'!AL92/'Tariffs Jul2019'!AJ92&lt;='Tariffs Jul2019'!L92,($C$5*'Tariffs Jul2019'!AL92/'Tariffs Jul2019'!AJ92-'Tariffs Jul2019'!K92)*('Tariffs Jul2019'!W92/100)*'Tariffs Jul2019'!AJ92,('Tariffs Jul2019'!L92-'Tariffs Jul2019'!K92)*('Tariffs Jul2019'!W92/100)*'Tariffs Jul2019'!AJ92))</f>
        <v>0</v>
      </c>
      <c r="M98" s="59">
        <f>IF($C$5*'Tariffs Jul2019'!AL92/'Tariffs Jul2019'!AJ92&lt;'Tariffs Jul2019'!L92,0,IF($C$5*'Tariffs Jul2019'!AL92/'Tariffs Jul2019'!AJ92&lt;='Tariffs Jul2019'!M92,($C$5*'Tariffs Jul2019'!AL92/'Tariffs Jul2019'!AJ92-'Tariffs Jul2019'!L92)*('Tariffs Jul2019'!X92/100)*'Tariffs Jul2019'!AJ92,('Tariffs Jul2019'!M92-'Tariffs Jul2019'!L92)*('Tariffs Jul2019'!X92/100)*'Tariffs Jul2019'!AJ92))</f>
        <v>0</v>
      </c>
      <c r="N98" s="59">
        <f>IF(($C$5*'Tariffs Jul2019'!AL92/'Tariffs Jul2019'!AJ92&gt;'Tariffs Jul2019'!M92),($C$5*'Tariffs Jul2019'!AL92/'Tariffs Jul2019'!AJ92-'Tariffs Jul2019'!M92)*'Tariffs Jul2019'!Y92/100*'Tariffs Jul2019'!AJ92,0)</f>
        <v>0</v>
      </c>
      <c r="O98" s="271">
        <f t="shared" ref="O98:O133" si="13">SUM(E98:N98)</f>
        <v>1019.633918181818</v>
      </c>
      <c r="P98" s="413">
        <f t="shared" si="10"/>
        <v>1121.5973099999999</v>
      </c>
      <c r="Q98" s="59">
        <f t="shared" ref="Q98:Q133" si="14">D98+O98</f>
        <v>1329.883918181818</v>
      </c>
      <c r="R98" s="272">
        <f t="shared" ref="R98:R133" si="15">Q98*1.1</f>
        <v>1462.87231</v>
      </c>
      <c r="S98" s="40">
        <f>'Tariffs Jul2019'!AN92</f>
        <v>0</v>
      </c>
      <c r="T98" s="40">
        <f>'Tariffs Jul2019'!AO92</f>
        <v>0</v>
      </c>
      <c r="U98" s="40">
        <f>'Tariffs Jul2019'!AP92</f>
        <v>5</v>
      </c>
      <c r="V98" s="40">
        <f>'Tariffs Jul2019'!AQ92</f>
        <v>0</v>
      </c>
      <c r="W98" s="273">
        <f t="shared" si="12"/>
        <v>1329.883918181818</v>
      </c>
      <c r="X98" s="273">
        <f>W98-(Q98*U98/100)</f>
        <v>1263.3897222727271</v>
      </c>
      <c r="Y98" s="272">
        <f t="shared" ref="Y98:Z119" si="16">W98*1.1</f>
        <v>1462.87231</v>
      </c>
      <c r="Z98" s="272">
        <f t="shared" si="16"/>
        <v>1389.7286944999998</v>
      </c>
      <c r="AA98" s="274">
        <f>'Tariffs Jul2019'!AZ92</f>
        <v>0</v>
      </c>
      <c r="AB98" s="274" t="str">
        <f>'Tariffs Jul2019'!BA92</f>
        <v>n</v>
      </c>
      <c r="AC98" s="275" t="str">
        <f>'Tariffs Jul2019'!BJ92</f>
        <v>Y</v>
      </c>
      <c r="AD98" s="398"/>
      <c r="AE98" s="398"/>
      <c r="AF98" s="398"/>
      <c r="AG98" s="398"/>
      <c r="AH98" s="398"/>
      <c r="AI98" s="398"/>
      <c r="AJ98" s="398"/>
      <c r="AK98" s="398"/>
      <c r="AL98" s="398"/>
      <c r="AM98" s="398"/>
      <c r="AN98" s="398"/>
    </row>
    <row r="99" spans="1:40" x14ac:dyDescent="0.15">
      <c r="A99" s="270" t="str">
        <f>'Tariffs Jul2019'!F93</f>
        <v>Amaysim</v>
      </c>
      <c r="B99" s="40" t="str">
        <f>'Tariffs Jul2019'!D93</f>
        <v>AusNet Services West</v>
      </c>
      <c r="C99" s="40" t="str">
        <f>'Tariffs Jul2019'!G93</f>
        <v>Gas as you go</v>
      </c>
      <c r="D99" s="59">
        <f>365*'Tariffs Jul2019'!H93/100</f>
        <v>240.2576</v>
      </c>
      <c r="E99" s="59">
        <f>IF($C$5*'Tariffs Jul2019'!AK93/'Tariffs Jul2019'!AI93&gt;='Tariffs Jul2019'!J93,( 'Tariffs Jul2019'!J93*'Tariffs Jul2019'!O93/100)* 'Tariffs Jul2019'!AI93,($C$5*'Tariffs Jul2019'!AK93/'Tariffs Jul2019'!AI93*'Tariffs Jul2019'!O93/100)* 'Tariffs Jul2019'!AI93)</f>
        <v>248.87999999999997</v>
      </c>
      <c r="F99" s="59">
        <f>IF($C$5*'Tariffs Jul2019'!AK93/'Tariffs Jul2019'!AI93&lt;'Tariffs Jul2019'!J93,0,IF($C$5*'Tariffs Jul2019'!AK93/'Tariffs Jul2019'!AI93&lt;='Tariffs Jul2019'!K93,($C$5*'Tariffs Jul2019'!AK93/'Tariffs Jul2019'!AI93-'Tariffs Jul2019'!J93)*('Tariffs Jul2019'!P93/100)*'Tariffs Jul2019'!AI93,('Tariffs Jul2019'!K93-'Tariffs Jul2019'!J93)*('Tariffs Jul2019'!P93/100)*'Tariffs Jul2019'!AI93))</f>
        <v>177.43858799999992</v>
      </c>
      <c r="G99" s="59">
        <f>IF($C$5*'Tariffs Jul2019'!AK93/'Tariffs Jul2019'!AI93&lt;'Tariffs Jul2019'!K93,0,IF($C$5*'Tariffs Jul2019'!AK93/'Tariffs Jul2019'!AI93&lt;='Tariffs Jul2019'!L93,($C$5*'Tariffs Jul2019'!AK93/'Tariffs Jul2019'!AI93-'Tariffs Jul2019'!K93)*('Tariffs Jul2019'!Q93/100)*'Tariffs Jul2019'!AI93,('Tariffs Jul2019'!L93-'Tariffs Jul2019'!K93)*('Tariffs Jul2019'!Q93/100)*'Tariffs Jul2019'!AI93))</f>
        <v>0</v>
      </c>
      <c r="H99" s="59">
        <f>IF($C$5*'Tariffs Jul2019'!AK93/'Tariffs Jul2019'!AI93&lt;'Tariffs Jul2019'!L93,0,IF($C$5*'Tariffs Jul2019'!AK93/'Tariffs Jul2019'!AI93&lt;='Tariffs Jul2019'!M93,($C$5*'Tariffs Jul2019'!AK93/'Tariffs Jul2019'!AI93-'Tariffs Jul2019'!L93)*('Tariffs Jul2019'!R93/100)*'Tariffs Jul2019'!AI93,('Tariffs Jul2019'!M93-'Tariffs Jul2019'!L93)*('Tariffs Jul2019'!R93/100)*'Tariffs Jul2019'!AI93))</f>
        <v>0</v>
      </c>
      <c r="I99" s="59">
        <f>IF(($C$5*'Tariffs Jul2019'!AK93/'Tariffs Jul2019'!AI93&gt;'Tariffs Jul2019'!M93),($C$5*'Tariffs Jul2019'!AK93/'Tariffs Jul2019'!AI93-'Tariffs Jul2019'!M93)*'Tariffs Jul2019'!S93/100*'Tariffs Jul2019'!AI93,0)</f>
        <v>0</v>
      </c>
      <c r="J99" s="59">
        <f>IF($C$5*'Tariffs Jul2019'!AL93/'Tariffs Jul2019'!AJ93&gt;='Tariffs Jul2019'!J93,('Tariffs Jul2019'!J93*'Tariffs Jul2019'!U93/100)* 'Tariffs Jul2019'!AJ93,($C$5*'Tariffs Jul2019'!AL93/'Tariffs Jul2019'!AJ93*'Tariffs Jul2019'!U93/100)* 'Tariffs Jul2019'!AJ93)</f>
        <v>408</v>
      </c>
      <c r="K99" s="59">
        <f>IF($C$5*'Tariffs Jul2019'!AL93/'Tariffs Jul2019'!AJ93&lt;'Tariffs Jul2019'!J93,0,IF($C$5*'Tariffs Jul2019'!AL93/'Tariffs Jul2019'!AJ93&lt;='Tariffs Jul2019'!K93,($C$5*'Tariffs Jul2019'!AL93/'Tariffs Jul2019'!AJ93-'Tariffs Jul2019'!J93)*('Tariffs Jul2019'!V93/100)*'Tariffs Jul2019'!AJ93,('Tariffs Jul2019'!K93-'Tariffs Jul2019'!J93)*('Tariffs Jul2019'!V93/100)*'Tariffs Jul2019'!AJ93))</f>
        <v>299.81002799999987</v>
      </c>
      <c r="L99" s="59">
        <f>IF($C$5*'Tariffs Jul2019'!AL93/'Tariffs Jul2019'!AJ93&lt;'Tariffs Jul2019'!K93,0,IF($C$5*'Tariffs Jul2019'!AL93/'Tariffs Jul2019'!AJ93&lt;='Tariffs Jul2019'!L93,($C$5*'Tariffs Jul2019'!AL93/'Tariffs Jul2019'!AJ93-'Tariffs Jul2019'!K93)*('Tariffs Jul2019'!W93/100)*'Tariffs Jul2019'!AJ93,('Tariffs Jul2019'!L93-'Tariffs Jul2019'!K93)*('Tariffs Jul2019'!W93/100)*'Tariffs Jul2019'!AJ93))</f>
        <v>0</v>
      </c>
      <c r="M99" s="59">
        <f>IF($C$5*'Tariffs Jul2019'!AL93/'Tariffs Jul2019'!AJ93&lt;'Tariffs Jul2019'!L93,0,IF($C$5*'Tariffs Jul2019'!AL93/'Tariffs Jul2019'!AJ93&lt;='Tariffs Jul2019'!M93,($C$5*'Tariffs Jul2019'!AL93/'Tariffs Jul2019'!AJ93-'Tariffs Jul2019'!L93)*('Tariffs Jul2019'!X93/100)*'Tariffs Jul2019'!AJ93,('Tariffs Jul2019'!M93-'Tariffs Jul2019'!L93)*('Tariffs Jul2019'!X93/100)*'Tariffs Jul2019'!AJ93))</f>
        <v>0</v>
      </c>
      <c r="N99" s="59">
        <f>IF(($C$5*'Tariffs Jul2019'!AL93/'Tariffs Jul2019'!AJ93&gt;'Tariffs Jul2019'!M93),($C$5*'Tariffs Jul2019'!AL93/'Tariffs Jul2019'!AJ93-'Tariffs Jul2019'!M93)*'Tariffs Jul2019'!Y93/100*'Tariffs Jul2019'!AJ93,0)</f>
        <v>0</v>
      </c>
      <c r="O99" s="271">
        <f t="shared" si="13"/>
        <v>1134.1286159999997</v>
      </c>
      <c r="P99" s="413">
        <f t="shared" si="10"/>
        <v>1247.5414775999998</v>
      </c>
      <c r="Q99" s="59">
        <f t="shared" si="14"/>
        <v>1374.3862159999996</v>
      </c>
      <c r="R99" s="272">
        <f t="shared" si="15"/>
        <v>1511.8248375999997</v>
      </c>
      <c r="S99" s="40">
        <f>'Tariffs Jul2019'!AN93</f>
        <v>0</v>
      </c>
      <c r="T99" s="40">
        <f>'Tariffs Jul2019'!AO93</f>
        <v>0</v>
      </c>
      <c r="U99" s="40">
        <f>'Tariffs Jul2019'!AP93</f>
        <v>0</v>
      </c>
      <c r="V99" s="40">
        <f>'Tariffs Jul2019'!AQ93</f>
        <v>0</v>
      </c>
      <c r="W99" s="273">
        <f t="shared" si="12"/>
        <v>1374.3862159999996</v>
      </c>
      <c r="X99" s="273">
        <f>W99</f>
        <v>1374.3862159999996</v>
      </c>
      <c r="Y99" s="272">
        <f t="shared" si="16"/>
        <v>1511.8248375999997</v>
      </c>
      <c r="Z99" s="272">
        <f t="shared" si="16"/>
        <v>1511.8248375999997</v>
      </c>
      <c r="AA99" s="274">
        <f>'Tariffs Jul2019'!AZ93</f>
        <v>0</v>
      </c>
      <c r="AB99" s="274" t="str">
        <f>'Tariffs Jul2019'!BA93</f>
        <v>n</v>
      </c>
      <c r="AC99" s="275" t="str">
        <f>'Tariffs Jul2019'!BJ94</f>
        <v>N</v>
      </c>
      <c r="AD99" s="398"/>
      <c r="AE99" s="398"/>
      <c r="AF99" s="398"/>
      <c r="AG99" s="398"/>
      <c r="AH99" s="398"/>
      <c r="AI99" s="398"/>
      <c r="AJ99" s="398"/>
      <c r="AK99" s="398"/>
      <c r="AL99" s="398"/>
      <c r="AM99" s="398"/>
      <c r="AN99" s="398"/>
    </row>
    <row r="100" spans="1:40" x14ac:dyDescent="0.15">
      <c r="A100" s="270" t="str">
        <f>'Tariffs Jul2019'!F94</f>
        <v>GloBird Energy</v>
      </c>
      <c r="B100" s="40" t="str">
        <f>'Tariffs Jul2019'!D94</f>
        <v>AusNet Services West</v>
      </c>
      <c r="C100" s="40" t="str">
        <f>'Tariffs Jul2019'!G94</f>
        <v>GloSave</v>
      </c>
      <c r="D100" s="59">
        <f>365*'Tariffs Jul2019'!H94/100</f>
        <v>262.8</v>
      </c>
      <c r="E100" s="59">
        <f>IF($C$5*'Tariffs Jul2019'!AK94/'Tariffs Jul2019'!AI94&gt;='Tariffs Jul2019'!J94,( 'Tariffs Jul2019'!J94*'Tariffs Jul2019'!O94/100)* 'Tariffs Jul2019'!AI94,($C$5*'Tariffs Jul2019'!AK94/'Tariffs Jul2019'!AI94*'Tariffs Jul2019'!O94/100)* 'Tariffs Jul2019'!AI94)</f>
        <v>225.6</v>
      </c>
      <c r="F100" s="59">
        <f>IF($C$5*'Tariffs Jul2019'!AK94/'Tariffs Jul2019'!AI94&lt;'Tariffs Jul2019'!J94,0,IF($C$5*'Tariffs Jul2019'!AK94/'Tariffs Jul2019'!AI94&lt;='Tariffs Jul2019'!K94,($C$5*'Tariffs Jul2019'!AK94/'Tariffs Jul2019'!AI94-'Tariffs Jul2019'!J94)*('Tariffs Jul2019'!P94/100)*'Tariffs Jul2019'!AI94,('Tariffs Jul2019'!K94-'Tariffs Jul2019'!J94)*('Tariffs Jul2019'!P94/100)*'Tariffs Jul2019'!AI94))</f>
        <v>0</v>
      </c>
      <c r="G100" s="59">
        <f>IF($C$5*'Tariffs Jul2019'!AK94/'Tariffs Jul2019'!AI94&lt;'Tariffs Jul2019'!K94,0,IF($C$5*'Tariffs Jul2019'!AK94/'Tariffs Jul2019'!AI94&lt;='Tariffs Jul2019'!L94,($C$5*'Tariffs Jul2019'!AK94/'Tariffs Jul2019'!AI94-'Tariffs Jul2019'!K94)*('Tariffs Jul2019'!Q94/100)*'Tariffs Jul2019'!AI94,('Tariffs Jul2019'!L94-'Tariffs Jul2019'!K94)*('Tariffs Jul2019'!Q94/100)*'Tariffs Jul2019'!AI94))</f>
        <v>0</v>
      </c>
      <c r="H100" s="59">
        <f>IF($C$5*'Tariffs Jul2019'!AK94/'Tariffs Jul2019'!AI94&lt;'Tariffs Jul2019'!L94,0,IF($C$5*'Tariffs Jul2019'!AK94/'Tariffs Jul2019'!AI94&lt;='Tariffs Jul2019'!M94,($C$5*'Tariffs Jul2019'!AK94/'Tariffs Jul2019'!AI94-'Tariffs Jul2019'!L94)*('Tariffs Jul2019'!R94/100)*'Tariffs Jul2019'!AI94,('Tariffs Jul2019'!M94-'Tariffs Jul2019'!L94)*('Tariffs Jul2019'!R94/100)*'Tariffs Jul2019'!AI94))</f>
        <v>0</v>
      </c>
      <c r="I100" s="59">
        <f>IF(($C$5*'Tariffs Jul2019'!AK94/'Tariffs Jul2019'!AI94&gt;'Tariffs Jul2019'!M94),($C$5*'Tariffs Jul2019'!AK94/'Tariffs Jul2019'!AI94-'Tariffs Jul2019'!M94)*'Tariffs Jul2019'!S94/100*'Tariffs Jul2019'!AI94,0)</f>
        <v>157.46324999999996</v>
      </c>
      <c r="J100" s="59">
        <f>IF($C$5*'Tariffs Jul2019'!AL94/'Tariffs Jul2019'!AJ94&gt;='Tariffs Jul2019'!J94,('Tariffs Jul2019'!J94*'Tariffs Jul2019'!U94/100)* 'Tariffs Jul2019'!AJ94,($C$5*'Tariffs Jul2019'!AL94/'Tariffs Jul2019'!AJ94*'Tariffs Jul2019'!U94/100)* 'Tariffs Jul2019'!AJ94)</f>
        <v>357.6</v>
      </c>
      <c r="K100" s="59">
        <f>IF($C$5*'Tariffs Jul2019'!AL94/'Tariffs Jul2019'!AJ94&lt;'Tariffs Jul2019'!J94,0,IF($C$5*'Tariffs Jul2019'!AL94/'Tariffs Jul2019'!AJ94&lt;='Tariffs Jul2019'!K94,($C$5*'Tariffs Jul2019'!AL94/'Tariffs Jul2019'!AJ94-'Tariffs Jul2019'!J94)*('Tariffs Jul2019'!V94/100)*'Tariffs Jul2019'!AJ94,('Tariffs Jul2019'!K94-'Tariffs Jul2019'!J94)*('Tariffs Jul2019'!V94/100)*'Tariffs Jul2019'!AJ94))</f>
        <v>0</v>
      </c>
      <c r="L100" s="59">
        <f>IF($C$5*'Tariffs Jul2019'!AL94/'Tariffs Jul2019'!AJ94&lt;'Tariffs Jul2019'!K94,0,IF($C$5*'Tariffs Jul2019'!AL94/'Tariffs Jul2019'!AJ94&lt;='Tariffs Jul2019'!L94,($C$5*'Tariffs Jul2019'!AL94/'Tariffs Jul2019'!AJ94-'Tariffs Jul2019'!K94)*('Tariffs Jul2019'!W94/100)*'Tariffs Jul2019'!AJ94,('Tariffs Jul2019'!L94-'Tariffs Jul2019'!K94)*('Tariffs Jul2019'!W94/100)*'Tariffs Jul2019'!AJ94))</f>
        <v>0</v>
      </c>
      <c r="M100" s="59">
        <f>IF($C$5*'Tariffs Jul2019'!AL94/'Tariffs Jul2019'!AJ94&lt;'Tariffs Jul2019'!L94,0,IF($C$5*'Tariffs Jul2019'!AL94/'Tariffs Jul2019'!AJ94&lt;='Tariffs Jul2019'!M94,($C$5*'Tariffs Jul2019'!AL94/'Tariffs Jul2019'!AJ94-'Tariffs Jul2019'!L94)*('Tariffs Jul2019'!X94/100)*'Tariffs Jul2019'!AJ94,('Tariffs Jul2019'!M94-'Tariffs Jul2019'!L94)*('Tariffs Jul2019'!X94/100)*'Tariffs Jul2019'!AJ94))</f>
        <v>0</v>
      </c>
      <c r="N100" s="59">
        <f>IF(($C$5*'Tariffs Jul2019'!AL94/'Tariffs Jul2019'!AJ94&gt;'Tariffs Jul2019'!M94),($C$5*'Tariffs Jul2019'!AL94/'Tariffs Jul2019'!AJ94-'Tariffs Jul2019'!M94)*'Tariffs Jul2019'!Y94/100*'Tariffs Jul2019'!AJ94,0)</f>
        <v>246.54245999999995</v>
      </c>
      <c r="O100" s="271">
        <f t="shared" si="13"/>
        <v>987.20570999999995</v>
      </c>
      <c r="P100" s="413">
        <f t="shared" si="10"/>
        <v>1085.926281</v>
      </c>
      <c r="Q100" s="59">
        <f t="shared" si="14"/>
        <v>1250.0057099999999</v>
      </c>
      <c r="R100" s="272">
        <f t="shared" si="15"/>
        <v>1375.0062809999999</v>
      </c>
      <c r="S100" s="40">
        <f>'Tariffs Jul2019'!AN94</f>
        <v>0</v>
      </c>
      <c r="T100" s="40">
        <f>'Tariffs Jul2019'!AO94</f>
        <v>0</v>
      </c>
      <c r="U100" s="40">
        <f>'Tariffs Jul2019'!AP94</f>
        <v>5</v>
      </c>
      <c r="V100" s="40">
        <f>'Tariffs Jul2019'!AQ94</f>
        <v>0</v>
      </c>
      <c r="W100" s="273">
        <f t="shared" si="12"/>
        <v>1250.0057099999999</v>
      </c>
      <c r="X100" s="273">
        <f>W100-(Q100*U100/100)</f>
        <v>1187.5054244999999</v>
      </c>
      <c r="Y100" s="272">
        <f t="shared" si="16"/>
        <v>1375.0062809999999</v>
      </c>
      <c r="Z100" s="272">
        <f t="shared" si="16"/>
        <v>1306.2559669499999</v>
      </c>
      <c r="AA100" s="274">
        <f>'Tariffs Jul2019'!AZ94</f>
        <v>0</v>
      </c>
      <c r="AB100" s="274" t="str">
        <f>'Tariffs Jul2019'!BA94</f>
        <v>n</v>
      </c>
      <c r="AC100" s="275" t="str">
        <f>'Tariffs Jul2019'!BJ95</f>
        <v>Y</v>
      </c>
      <c r="AD100" s="398"/>
      <c r="AE100" s="398"/>
      <c r="AF100" s="398"/>
      <c r="AG100" s="398"/>
      <c r="AH100" s="398"/>
      <c r="AI100" s="398"/>
      <c r="AJ100" s="398"/>
      <c r="AK100" s="398"/>
      <c r="AL100" s="398"/>
      <c r="AM100" s="398"/>
      <c r="AN100" s="398"/>
    </row>
    <row r="101" spans="1:40" x14ac:dyDescent="0.15">
      <c r="A101" s="270" t="str">
        <f>'Tariffs Jul2019'!F95</f>
        <v>Powershop</v>
      </c>
      <c r="B101" s="40" t="str">
        <f>'Tariffs Jul2019'!D95</f>
        <v>AusNet Services West</v>
      </c>
      <c r="C101" s="40" t="str">
        <f>'Tariffs Jul2019'!G95</f>
        <v>Shopper with Gas Saver</v>
      </c>
      <c r="D101" s="59">
        <f>365*'Tariffs Jul2019'!H95/100</f>
        <v>327.03999999999996</v>
      </c>
      <c r="E101" s="59">
        <f>((C$5*'Tariffs Jul2019'!AK95/'Tariffs Jul2019'!AI95)*('Tariffs Jul2019'!O95/100))*'Tariffs Jul2019'!AI95</f>
        <v>344.3655599999999</v>
      </c>
      <c r="F101" s="59">
        <v>0</v>
      </c>
      <c r="G101" s="59">
        <v>0</v>
      </c>
      <c r="H101" s="59">
        <v>0</v>
      </c>
      <c r="I101" s="59">
        <v>0</v>
      </c>
      <c r="J101" s="59">
        <f>((C$5*'Tariffs Jul2019'!AL95/'Tariffs Jul2019'!AJ95)*('Tariffs Jul2019'!U95/100))*'Tariffs Jul2019'!AJ95</f>
        <v>604.73951999999997</v>
      </c>
      <c r="K101" s="59">
        <v>0</v>
      </c>
      <c r="L101" s="59">
        <v>0</v>
      </c>
      <c r="M101" s="59">
        <v>0</v>
      </c>
      <c r="N101" s="59">
        <v>0</v>
      </c>
      <c r="O101" s="271">
        <f t="shared" si="13"/>
        <v>949.10507999999982</v>
      </c>
      <c r="P101" s="413">
        <f t="shared" si="10"/>
        <v>1044.015588</v>
      </c>
      <c r="Q101" s="59">
        <f t="shared" si="14"/>
        <v>1276.1450799999998</v>
      </c>
      <c r="R101" s="272">
        <f t="shared" si="15"/>
        <v>1403.7595879999999</v>
      </c>
      <c r="S101" s="40">
        <f>'Tariffs Jul2019'!AN95</f>
        <v>0</v>
      </c>
      <c r="T101" s="40">
        <f>'Tariffs Jul2019'!AO95</f>
        <v>0</v>
      </c>
      <c r="U101" s="40">
        <f>'Tariffs Jul2019'!AP95</f>
        <v>5</v>
      </c>
      <c r="V101" s="40">
        <f>'Tariffs Jul2019'!AQ95</f>
        <v>0</v>
      </c>
      <c r="W101" s="273">
        <f>R101</f>
        <v>1403.7595879999999</v>
      </c>
      <c r="X101" s="273">
        <f>W101-(W101*U101/100)</f>
        <v>1333.5716086</v>
      </c>
      <c r="Y101" s="272">
        <f>W101</f>
        <v>1403.7595879999999</v>
      </c>
      <c r="Z101" s="272">
        <f>X101</f>
        <v>1333.5716086</v>
      </c>
      <c r="AA101" s="274">
        <f>'Tariffs Jul2019'!AZ95</f>
        <v>0</v>
      </c>
      <c r="AB101" s="274" t="str">
        <f>'Tariffs Jul2019'!BA95</f>
        <v>n</v>
      </c>
      <c r="AC101" s="275" t="str">
        <f>'Tariffs Jul2019'!BJ95</f>
        <v>Y</v>
      </c>
      <c r="AD101" s="398"/>
      <c r="AE101" s="398"/>
      <c r="AF101" s="398"/>
      <c r="AG101" s="398"/>
      <c r="AH101" s="398"/>
      <c r="AI101" s="398"/>
      <c r="AJ101" s="398"/>
      <c r="AK101" s="398"/>
      <c r="AL101" s="398"/>
      <c r="AM101" s="398"/>
      <c r="AN101" s="398"/>
    </row>
    <row r="102" spans="1:40" ht="14" thickBot="1" x14ac:dyDescent="0.2">
      <c r="A102" s="276" t="str">
        <f>'Tariffs Jul2019'!F96</f>
        <v>DC Power Co</v>
      </c>
      <c r="B102" s="277" t="str">
        <f>'Tariffs Jul2019'!D96</f>
        <v>AusNet Services West</v>
      </c>
      <c r="C102" s="277" t="str">
        <f>'Tariffs Jul2019'!G96</f>
        <v>Market offer</v>
      </c>
      <c r="D102" s="278">
        <f>365*'Tariffs Jul2019'!H96/100</f>
        <v>334.53909090909087</v>
      </c>
      <c r="E102" s="278">
        <f>((C$5*'Tariffs Jul2019'!AK96/'Tariffs Jul2019'!AI96)*('Tariffs Jul2019'!O96/100))*'Tariffs Jul2019'!AI96</f>
        <v>351.23759999999993</v>
      </c>
      <c r="F102" s="278">
        <v>0</v>
      </c>
      <c r="G102" s="278">
        <v>0</v>
      </c>
      <c r="H102" s="278">
        <v>0</v>
      </c>
      <c r="I102" s="278">
        <v>0</v>
      </c>
      <c r="J102" s="278">
        <f>((C$5*'Tariffs Jul2019'!AL96/'Tariffs Jul2019'!AJ96)*('Tariffs Jul2019'!U96/100))*'Tariffs Jul2019'!AJ96</f>
        <v>618.48359999999991</v>
      </c>
      <c r="K102" s="278">
        <v>0</v>
      </c>
      <c r="L102" s="278">
        <v>0</v>
      </c>
      <c r="M102" s="278">
        <v>0</v>
      </c>
      <c r="N102" s="278">
        <v>0</v>
      </c>
      <c r="O102" s="279">
        <f>SUM(E102:N102)</f>
        <v>969.72119999999984</v>
      </c>
      <c r="P102" s="413">
        <f t="shared" si="10"/>
        <v>1066.6933199999999</v>
      </c>
      <c r="Q102" s="278">
        <f>D102+O102</f>
        <v>1304.2602909090906</v>
      </c>
      <c r="R102" s="280">
        <f>Q102*1.1</f>
        <v>1434.6863199999998</v>
      </c>
      <c r="S102" s="277">
        <f>'Tariffs Jul2019'!AN96</f>
        <v>0</v>
      </c>
      <c r="T102" s="277">
        <f>'Tariffs Jul2019'!AO96</f>
        <v>0</v>
      </c>
      <c r="U102" s="277">
        <f>'Tariffs Jul2019'!AP96</f>
        <v>0</v>
      </c>
      <c r="V102" s="277">
        <f>'Tariffs Jul2019'!AQ96</f>
        <v>0</v>
      </c>
      <c r="W102" s="281">
        <f t="shared" si="12"/>
        <v>1304.2602909090906</v>
      </c>
      <c r="X102" s="281">
        <f>W102</f>
        <v>1304.2602909090906</v>
      </c>
      <c r="Y102" s="280">
        <f>W102*1.1</f>
        <v>1434.6863199999998</v>
      </c>
      <c r="Z102" s="280">
        <f>X102*1.1</f>
        <v>1434.6863199999998</v>
      </c>
      <c r="AA102" s="282">
        <f>'Tariffs Jul2019'!AZ96</f>
        <v>0</v>
      </c>
      <c r="AB102" s="282" t="str">
        <f>'Tariffs Jul2019'!BA96</f>
        <v>n</v>
      </c>
      <c r="AC102" s="283" t="str">
        <f>'Tariffs Jul2019'!BJ96</f>
        <v>Y</v>
      </c>
      <c r="AD102" s="398"/>
      <c r="AE102" s="398"/>
      <c r="AF102" s="398"/>
      <c r="AG102" s="398"/>
      <c r="AH102" s="398"/>
      <c r="AI102" s="398"/>
      <c r="AJ102" s="398"/>
      <c r="AK102" s="398"/>
      <c r="AL102" s="398"/>
      <c r="AM102" s="398"/>
      <c r="AN102" s="398"/>
    </row>
    <row r="103" spans="1:40" ht="14" thickTop="1" x14ac:dyDescent="0.15">
      <c r="A103" s="270" t="str">
        <f>'Tariffs Jul2019'!F97</f>
        <v>AGL</v>
      </c>
      <c r="B103" s="40" t="str">
        <f>'Tariffs Jul2019'!D97</f>
        <v>AusNet Services Central 2</v>
      </c>
      <c r="C103" s="40" t="str">
        <f>'Tariffs Jul2019'!G97</f>
        <v>Essentials</v>
      </c>
      <c r="D103" s="59">
        <f>365*'Tariffs Jul2019'!H97/100</f>
        <v>309.88500000000005</v>
      </c>
      <c r="E103" s="59">
        <f>IF($C$5*'Tariffs Jul2019'!AK97/'Tariffs Jul2019'!AI97&gt;='Tariffs Jul2019'!J97,( 'Tariffs Jul2019'!J97*'Tariffs Jul2019'!O97/100)* 'Tariffs Jul2019'!AI97,($C$5*'Tariffs Jul2019'!AK97/'Tariffs Jul2019'!AI97*'Tariffs Jul2019'!O97/100)* 'Tariffs Jul2019'!AI97)</f>
        <v>237.81818181818181</v>
      </c>
      <c r="F103" s="59">
        <f>IF($C$5*'Tariffs Jul2019'!AK97/'Tariffs Jul2019'!AI97&lt;'Tariffs Jul2019'!J97,0,IF($C$5*'Tariffs Jul2019'!AK97/'Tariffs Jul2019'!AI97&lt;='Tariffs Jul2019'!K97,($C$5*'Tariffs Jul2019'!AK97/'Tariffs Jul2019'!AI97-'Tariffs Jul2019'!J97)*('Tariffs Jul2019'!P97/100)*'Tariffs Jul2019'!AI97,('Tariffs Jul2019'!K97-'Tariffs Jul2019'!J97)*('Tariffs Jul2019'!P97/100)*'Tariffs Jul2019'!AI97))</f>
        <v>173.41407272727267</v>
      </c>
      <c r="G103" s="59">
        <f>IF($C$5*'Tariffs Jul2019'!AK97/'Tariffs Jul2019'!AI97&lt;'Tariffs Jul2019'!K97,0,IF($C$5*'Tariffs Jul2019'!AK97/'Tariffs Jul2019'!AI97&lt;='Tariffs Jul2019'!L97,($C$5*'Tariffs Jul2019'!AK97/'Tariffs Jul2019'!AI97-'Tariffs Jul2019'!K97)*('Tariffs Jul2019'!Q97/100)*'Tariffs Jul2019'!AI97,('Tariffs Jul2019'!L97-'Tariffs Jul2019'!K97)*('Tariffs Jul2019'!Q97/100)*'Tariffs Jul2019'!AI97))</f>
        <v>0</v>
      </c>
      <c r="H103" s="59">
        <f>IF($C$5*'Tariffs Jul2019'!AK97/'Tariffs Jul2019'!AI97&lt;'Tariffs Jul2019'!L97,0,IF($C$5*'Tariffs Jul2019'!AK97/'Tariffs Jul2019'!AI97&lt;='Tariffs Jul2019'!M97,($C$5*'Tariffs Jul2019'!AK97/'Tariffs Jul2019'!AI97-'Tariffs Jul2019'!L97)*('Tariffs Jul2019'!R97/100)*'Tariffs Jul2019'!AI97,('Tariffs Jul2019'!M97-'Tariffs Jul2019'!L97)*('Tariffs Jul2019'!R97/100)*'Tariffs Jul2019'!AI97))</f>
        <v>0</v>
      </c>
      <c r="I103" s="59">
        <f>IF(($C$5*'Tariffs Jul2019'!AK97/'Tariffs Jul2019'!AI97&gt;'Tariffs Jul2019'!M97),($C$5*'Tariffs Jul2019'!AK97/'Tariffs Jul2019'!AI97-'Tariffs Jul2019'!M97)*'Tariffs Jul2019'!S97/100*'Tariffs Jul2019'!AI97,0)</f>
        <v>0</v>
      </c>
      <c r="J103" s="59">
        <f>IF($C$5*'Tariffs Jul2019'!AL97/'Tariffs Jul2019'!AJ97&gt;='Tariffs Jul2019'!J97,('Tariffs Jul2019'!J97*'Tariffs Jul2019'!U97/100)* 'Tariffs Jul2019'!AJ97,($C$5*'Tariffs Jul2019'!AL97/'Tariffs Jul2019'!AJ97*'Tariffs Jul2019'!U97/100)* 'Tariffs Jul2019'!AJ97)</f>
        <v>408</v>
      </c>
      <c r="K103" s="59">
        <f>IF($C$5*'Tariffs Jul2019'!AL97/'Tariffs Jul2019'!AJ97&lt;'Tariffs Jul2019'!J97,0,IF($C$5*'Tariffs Jul2019'!AL97/'Tariffs Jul2019'!AJ97&lt;='Tariffs Jul2019'!K97,($C$5*'Tariffs Jul2019'!AL97/'Tariffs Jul2019'!AJ97-'Tariffs Jul2019'!J97)*('Tariffs Jul2019'!V97/100)*'Tariffs Jul2019'!AJ97,('Tariffs Jul2019'!K97-'Tariffs Jul2019'!J97)*('Tariffs Jul2019'!V97/100)*'Tariffs Jul2019'!AJ97))</f>
        <v>271.57298181818169</v>
      </c>
      <c r="L103" s="59">
        <f>IF($C$5*'Tariffs Jul2019'!AL97/'Tariffs Jul2019'!AJ97&lt;'Tariffs Jul2019'!K97,0,IF($C$5*'Tariffs Jul2019'!AL97/'Tariffs Jul2019'!AJ97&lt;='Tariffs Jul2019'!L97,($C$5*'Tariffs Jul2019'!AL97/'Tariffs Jul2019'!AJ97-'Tariffs Jul2019'!K97)*('Tariffs Jul2019'!W97/100)*'Tariffs Jul2019'!AJ97,('Tariffs Jul2019'!L97-'Tariffs Jul2019'!K97)*('Tariffs Jul2019'!W97/100)*'Tariffs Jul2019'!AJ97))</f>
        <v>0</v>
      </c>
      <c r="M103" s="59">
        <f>IF($C$5*'Tariffs Jul2019'!AL97/'Tariffs Jul2019'!AJ97&lt;'Tariffs Jul2019'!L97,0,IF($C$5*'Tariffs Jul2019'!AL97/'Tariffs Jul2019'!AJ97&lt;='Tariffs Jul2019'!M97,($C$5*'Tariffs Jul2019'!AL97/'Tariffs Jul2019'!AJ97-'Tariffs Jul2019'!L97)*('Tariffs Jul2019'!X97/100)*'Tariffs Jul2019'!AJ97,('Tariffs Jul2019'!M97-'Tariffs Jul2019'!L97)*('Tariffs Jul2019'!X97/100)*'Tariffs Jul2019'!AJ97))</f>
        <v>0</v>
      </c>
      <c r="N103" s="59">
        <f>IF(($C$5*'Tariffs Jul2019'!AL97/'Tariffs Jul2019'!AJ97&gt;'Tariffs Jul2019'!M97),($C$5*'Tariffs Jul2019'!AL97/'Tariffs Jul2019'!AJ97-'Tariffs Jul2019'!M97)*'Tariffs Jul2019'!Y97/100*'Tariffs Jul2019'!AJ97,0)</f>
        <v>0</v>
      </c>
      <c r="O103" s="367">
        <f t="shared" si="13"/>
        <v>1090.8052363636361</v>
      </c>
      <c r="P103" s="413">
        <f t="shared" si="10"/>
        <v>1199.8857599999999</v>
      </c>
      <c r="Q103" s="59">
        <f t="shared" si="14"/>
        <v>1400.6902363636361</v>
      </c>
      <c r="R103" s="272">
        <f t="shared" si="15"/>
        <v>1540.7592599999998</v>
      </c>
      <c r="S103" s="40">
        <f>'Tariffs Jul2019'!AN97</f>
        <v>0</v>
      </c>
      <c r="T103" s="40">
        <f>'Tariffs Jul2019'!AO97</f>
        <v>0</v>
      </c>
      <c r="U103" s="40">
        <f>'Tariffs Jul2019'!AP97</f>
        <v>0</v>
      </c>
      <c r="V103" s="40">
        <f>'Tariffs Jul2019'!AQ97</f>
        <v>0</v>
      </c>
      <c r="W103" s="273">
        <f>Q103</f>
        <v>1400.6902363636361</v>
      </c>
      <c r="X103" s="273">
        <f>W103</f>
        <v>1400.6902363636361</v>
      </c>
      <c r="Y103" s="272">
        <f t="shared" si="16"/>
        <v>1540.7592599999998</v>
      </c>
      <c r="Z103" s="272">
        <f t="shared" si="16"/>
        <v>1540.7592599999998</v>
      </c>
      <c r="AA103" s="274">
        <f>'Tariffs Jul2019'!AZ97</f>
        <v>0</v>
      </c>
      <c r="AB103" s="274" t="str">
        <f>'Tariffs Jul2019'!BA97</f>
        <v>n</v>
      </c>
      <c r="AC103" s="275" t="str">
        <f>'Tariffs Jul2019'!BJ97</f>
        <v>N</v>
      </c>
      <c r="AD103" s="398"/>
      <c r="AE103" s="398"/>
      <c r="AF103" s="398"/>
      <c r="AG103" s="398"/>
      <c r="AH103" s="398"/>
      <c r="AI103" s="398"/>
      <c r="AJ103" s="398"/>
      <c r="AK103" s="398"/>
      <c r="AL103" s="398"/>
      <c r="AM103" s="398"/>
      <c r="AN103" s="398"/>
    </row>
    <row r="104" spans="1:40" x14ac:dyDescent="0.15">
      <c r="A104" s="270" t="str">
        <f>'Tariffs Jul2019'!F98</f>
        <v>Alinta Energy</v>
      </c>
      <c r="B104" s="40" t="str">
        <f>'Tariffs Jul2019'!D98</f>
        <v>AusNet Services Central 2</v>
      </c>
      <c r="C104" s="40" t="str">
        <f>'Tariffs Jul2019'!G98</f>
        <v>Real Deal</v>
      </c>
      <c r="D104" s="59">
        <f>365*'Tariffs Jul2019'!H98/100</f>
        <v>321.2</v>
      </c>
      <c r="E104" s="59">
        <f>IF($C$5*'Tariffs Jul2019'!AK98/'Tariffs Jul2019'!AI98&gt;='Tariffs Jul2019'!J98,( 'Tariffs Jul2019'!J98*'Tariffs Jul2019'!O98/100)* 'Tariffs Jul2019'!AI98,($C$5*'Tariffs Jul2019'!AK98/'Tariffs Jul2019'!AI98*'Tariffs Jul2019'!O98/100)* 'Tariffs Jul2019'!AI98)</f>
        <v>283.63636363636363</v>
      </c>
      <c r="F104" s="59">
        <f>IF($C$5*'Tariffs Jul2019'!AK98/'Tariffs Jul2019'!AI98&lt;'Tariffs Jul2019'!J98,0,IF($C$5*'Tariffs Jul2019'!AK98/'Tariffs Jul2019'!AI98&lt;='Tariffs Jul2019'!K98,($C$5*'Tariffs Jul2019'!AK98/'Tariffs Jul2019'!AI98-'Tariffs Jul2019'!J98)*('Tariffs Jul2019'!P98/100)*'Tariffs Jul2019'!AI98,('Tariffs Jul2019'!K98-'Tariffs Jul2019'!J98)*('Tariffs Jul2019'!P98/100)*'Tariffs Jul2019'!AI98))</f>
        <v>0</v>
      </c>
      <c r="G104" s="59">
        <f>IF($C$5*'Tariffs Jul2019'!AK98/'Tariffs Jul2019'!AI98&lt;'Tariffs Jul2019'!K98,0,IF($C$5*'Tariffs Jul2019'!AK98/'Tariffs Jul2019'!AI98&lt;='Tariffs Jul2019'!L98,($C$5*'Tariffs Jul2019'!AK98/'Tariffs Jul2019'!AI98-'Tariffs Jul2019'!K98)*('Tariffs Jul2019'!Q98/100)*'Tariffs Jul2019'!AI98,('Tariffs Jul2019'!L98-'Tariffs Jul2019'!K98)*('Tariffs Jul2019'!Q98/100)*'Tariffs Jul2019'!AI98))</f>
        <v>0</v>
      </c>
      <c r="H104" s="59">
        <f>IF($C$5*'Tariffs Jul2019'!AK98/'Tariffs Jul2019'!AI98&lt;'Tariffs Jul2019'!L98,0,IF($C$5*'Tariffs Jul2019'!AK98/'Tariffs Jul2019'!AI98&lt;='Tariffs Jul2019'!M98,($C$5*'Tariffs Jul2019'!AK98/'Tariffs Jul2019'!AI98-'Tariffs Jul2019'!L98)*('Tariffs Jul2019'!R98/100)*'Tariffs Jul2019'!AI98,('Tariffs Jul2019'!M98-'Tariffs Jul2019'!L98)*('Tariffs Jul2019'!R98/100)*'Tariffs Jul2019'!AI98))</f>
        <v>0</v>
      </c>
      <c r="I104" s="59">
        <f>IF(($C$5*'Tariffs Jul2019'!AK98/'Tariffs Jul2019'!AI98&gt;'Tariffs Jul2019'!M98),($C$5*'Tariffs Jul2019'!AK98/'Tariffs Jul2019'!AI98-'Tariffs Jul2019'!M98)*'Tariffs Jul2019'!S98/100*'Tariffs Jul2019'!AI98,0)</f>
        <v>163.59818181818176</v>
      </c>
      <c r="J104" s="59">
        <f>IF($C$5*'Tariffs Jul2019'!AL98/'Tariffs Jul2019'!AJ98&gt;='Tariffs Jul2019'!J98,('Tariffs Jul2019'!J98*'Tariffs Jul2019'!U98/100)* 'Tariffs Jul2019'!AJ98,($C$5*'Tariffs Jul2019'!AL98/'Tariffs Jul2019'!AJ98*'Tariffs Jul2019'!U98/100)* 'Tariffs Jul2019'!AJ98)</f>
        <v>501.8181818181817</v>
      </c>
      <c r="K104" s="59">
        <f>IF($C$5*'Tariffs Jul2019'!AL98/'Tariffs Jul2019'!AJ98&lt;'Tariffs Jul2019'!J98,0,IF($C$5*'Tariffs Jul2019'!AL98/'Tariffs Jul2019'!AJ98&lt;='Tariffs Jul2019'!K98,($C$5*'Tariffs Jul2019'!AL98/'Tariffs Jul2019'!AJ98-'Tariffs Jul2019'!J98)*('Tariffs Jul2019'!V98/100)*'Tariffs Jul2019'!AJ98,('Tariffs Jul2019'!K98-'Tariffs Jul2019'!J98)*('Tariffs Jul2019'!V98/100)*'Tariffs Jul2019'!AJ98))</f>
        <v>0</v>
      </c>
      <c r="L104" s="59">
        <f>IF($C$5*'Tariffs Jul2019'!AL98/'Tariffs Jul2019'!AJ98&lt;'Tariffs Jul2019'!K98,0,IF($C$5*'Tariffs Jul2019'!AL98/'Tariffs Jul2019'!AJ98&lt;='Tariffs Jul2019'!L98,($C$5*'Tariffs Jul2019'!AL98/'Tariffs Jul2019'!AJ98-'Tariffs Jul2019'!K98)*('Tariffs Jul2019'!W98/100)*'Tariffs Jul2019'!AJ98,('Tariffs Jul2019'!L98-'Tariffs Jul2019'!K98)*('Tariffs Jul2019'!W98/100)*'Tariffs Jul2019'!AJ98))</f>
        <v>0</v>
      </c>
      <c r="M104" s="59">
        <f>IF($C$5*'Tariffs Jul2019'!AL98/'Tariffs Jul2019'!AJ98&lt;'Tariffs Jul2019'!L98,0,IF($C$5*'Tariffs Jul2019'!AL98/'Tariffs Jul2019'!AJ98&lt;='Tariffs Jul2019'!M98,($C$5*'Tariffs Jul2019'!AL98/'Tariffs Jul2019'!AJ98-'Tariffs Jul2019'!L98)*('Tariffs Jul2019'!X98/100)*'Tariffs Jul2019'!AJ98,('Tariffs Jul2019'!M98-'Tariffs Jul2019'!L98)*('Tariffs Jul2019'!X98/100)*'Tariffs Jul2019'!AJ98))</f>
        <v>0</v>
      </c>
      <c r="N104" s="59">
        <f>IF(($C$5*'Tariffs Jul2019'!AL98/'Tariffs Jul2019'!AJ98&gt;'Tariffs Jul2019'!M98),($C$5*'Tariffs Jul2019'!AL98/'Tariffs Jul2019'!AJ98-'Tariffs Jul2019'!M98)*'Tariffs Jul2019'!Y98/100*'Tariffs Jul2019'!AJ98,0)</f>
        <v>310.83654545454533</v>
      </c>
      <c r="O104" s="367">
        <f t="shared" si="13"/>
        <v>1259.8892727272723</v>
      </c>
      <c r="P104" s="413">
        <f t="shared" si="10"/>
        <v>1385.8781999999997</v>
      </c>
      <c r="Q104" s="59">
        <f t="shared" si="14"/>
        <v>1581.0892727272724</v>
      </c>
      <c r="R104" s="272">
        <f t="shared" si="15"/>
        <v>1739.1981999999998</v>
      </c>
      <c r="S104" s="40">
        <f>'Tariffs Jul2019'!AN98</f>
        <v>0</v>
      </c>
      <c r="T104" s="40">
        <f>'Tariffs Jul2019'!AO98</f>
        <v>0</v>
      </c>
      <c r="U104" s="40">
        <f>'Tariffs Jul2019'!AP98</f>
        <v>0</v>
      </c>
      <c r="V104" s="40">
        <f>'Tariffs Jul2019'!AQ98</f>
        <v>0</v>
      </c>
      <c r="W104" s="273">
        <f>Q104</f>
        <v>1581.0892727272724</v>
      </c>
      <c r="X104" s="273">
        <f>W104</f>
        <v>1581.0892727272724</v>
      </c>
      <c r="Y104" s="272">
        <f t="shared" si="16"/>
        <v>1739.1981999999998</v>
      </c>
      <c r="Z104" s="272">
        <f t="shared" si="16"/>
        <v>1739.1981999999998</v>
      </c>
      <c r="AA104" s="274">
        <f>'Tariffs Jul2019'!AZ98</f>
        <v>0</v>
      </c>
      <c r="AB104" s="274" t="str">
        <f>'Tariffs Jul2019'!BA98</f>
        <v>n</v>
      </c>
      <c r="AC104" s="275" t="str">
        <f>'Tariffs Jul2019'!BJ98</f>
        <v>Y</v>
      </c>
      <c r="AD104" s="398"/>
      <c r="AE104" s="398"/>
      <c r="AF104" s="398"/>
      <c r="AG104" s="398"/>
      <c r="AH104" s="398"/>
      <c r="AI104" s="398"/>
      <c r="AJ104" s="398"/>
      <c r="AK104" s="398"/>
      <c r="AL104" s="398"/>
      <c r="AM104" s="398"/>
      <c r="AN104" s="398"/>
    </row>
    <row r="105" spans="1:40" x14ac:dyDescent="0.15">
      <c r="A105" s="270" t="str">
        <f>'Tariffs Jul2019'!F99</f>
        <v>Click Energy</v>
      </c>
      <c r="B105" s="40" t="str">
        <f>'Tariffs Jul2019'!D99</f>
        <v>AusNet Services Central 2</v>
      </c>
      <c r="C105" s="40" t="str">
        <f>'Tariffs Jul2019'!G99</f>
        <v>Banksia</v>
      </c>
      <c r="D105" s="59">
        <f>365*'Tariffs Jul2019'!H99/100</f>
        <v>261.47272727272724</v>
      </c>
      <c r="E105" s="59">
        <f>IF($C$5*'Tariffs Jul2019'!AK99/'Tariffs Jul2019'!AI99&gt;='Tariffs Jul2019'!J99,( 'Tariffs Jul2019'!J99*'Tariffs Jul2019'!O99/100)* 'Tariffs Jul2019'!AI99,($C$5*'Tariffs Jul2019'!AK99/'Tariffs Jul2019'!AI99*'Tariffs Jul2019'!O99/100)* 'Tariffs Jul2019'!AI99)</f>
        <v>315.27272727272725</v>
      </c>
      <c r="F105" s="59">
        <f>IF($C$5*'Tariffs Jul2019'!AK99/'Tariffs Jul2019'!AI99&lt;'Tariffs Jul2019'!J99,0,IF($C$5*'Tariffs Jul2019'!AK99/'Tariffs Jul2019'!AI99&lt;='Tariffs Jul2019'!K99,($C$5*'Tariffs Jul2019'!AK99/'Tariffs Jul2019'!AI99-'Tariffs Jul2019'!J99)*('Tariffs Jul2019'!P99/100)*'Tariffs Jul2019'!AI99,('Tariffs Jul2019'!K99-'Tariffs Jul2019'!J99)*('Tariffs Jul2019'!P99/100)*'Tariffs Jul2019'!AI99))</f>
        <v>202.8617454545454</v>
      </c>
      <c r="G105" s="59">
        <f>IF($C$5*'Tariffs Jul2019'!AK99/'Tariffs Jul2019'!AI99&lt;'Tariffs Jul2019'!K99,0,IF($C$5*'Tariffs Jul2019'!AK99/'Tariffs Jul2019'!AI99&lt;='Tariffs Jul2019'!L99,($C$5*'Tariffs Jul2019'!AK99/'Tariffs Jul2019'!AI99-'Tariffs Jul2019'!K99)*('Tariffs Jul2019'!Q99/100)*'Tariffs Jul2019'!AI99,('Tariffs Jul2019'!L99-'Tariffs Jul2019'!K99)*('Tariffs Jul2019'!Q99/100)*'Tariffs Jul2019'!AI99))</f>
        <v>0</v>
      </c>
      <c r="H105" s="59">
        <f>IF($C$5*'Tariffs Jul2019'!AK99/'Tariffs Jul2019'!AI99&lt;'Tariffs Jul2019'!L99,0,IF($C$5*'Tariffs Jul2019'!AK99/'Tariffs Jul2019'!AI99&lt;='Tariffs Jul2019'!M99,($C$5*'Tariffs Jul2019'!AK99/'Tariffs Jul2019'!AI99-'Tariffs Jul2019'!L99)*('Tariffs Jul2019'!R99/100)*'Tariffs Jul2019'!AI99,('Tariffs Jul2019'!M99-'Tariffs Jul2019'!L99)*('Tariffs Jul2019'!R99/100)*'Tariffs Jul2019'!AI99))</f>
        <v>0</v>
      </c>
      <c r="I105" s="59">
        <f>IF(($C$5*'Tariffs Jul2019'!AK99/'Tariffs Jul2019'!AI99&gt;'Tariffs Jul2019'!M99),($C$5*'Tariffs Jul2019'!AK99/'Tariffs Jul2019'!AI99-'Tariffs Jul2019'!M99)*'Tariffs Jul2019'!S99/100*'Tariffs Jul2019'!AI99,0)</f>
        <v>0</v>
      </c>
      <c r="J105" s="59">
        <f>IF($C$5*'Tariffs Jul2019'!AL99/'Tariffs Jul2019'!AJ99&gt;='Tariffs Jul2019'!J99,('Tariffs Jul2019'!J99*'Tariffs Jul2019'!U99/100)* 'Tariffs Jul2019'!AJ99,($C$5*'Tariffs Jul2019'!AL99/'Tariffs Jul2019'!AJ99*'Tariffs Jul2019'!U99/100)* 'Tariffs Jul2019'!AJ99)</f>
        <v>445.09090909090907</v>
      </c>
      <c r="K105" s="59">
        <f>IF($C$5*'Tariffs Jul2019'!AL99/'Tariffs Jul2019'!AJ99&lt;'Tariffs Jul2019'!J99,0,IF($C$5*'Tariffs Jul2019'!AL99/'Tariffs Jul2019'!AJ99&lt;='Tariffs Jul2019'!K99,($C$5*'Tariffs Jul2019'!AL99/'Tariffs Jul2019'!AJ99-'Tariffs Jul2019'!J99)*('Tariffs Jul2019'!V99/100)*'Tariffs Jul2019'!AJ99,('Tariffs Jul2019'!K99-'Tariffs Jul2019'!J99)*('Tariffs Jul2019'!V99/100)*'Tariffs Jul2019'!AJ99))</f>
        <v>325.56038181818167</v>
      </c>
      <c r="L105" s="59">
        <f>IF($C$5*'Tariffs Jul2019'!AL99/'Tariffs Jul2019'!AJ99&lt;'Tariffs Jul2019'!K99,0,IF($C$5*'Tariffs Jul2019'!AL99/'Tariffs Jul2019'!AJ99&lt;='Tariffs Jul2019'!L99,($C$5*'Tariffs Jul2019'!AL99/'Tariffs Jul2019'!AJ99-'Tariffs Jul2019'!K99)*('Tariffs Jul2019'!W99/100)*'Tariffs Jul2019'!AJ99,('Tariffs Jul2019'!L99-'Tariffs Jul2019'!K99)*('Tariffs Jul2019'!W99/100)*'Tariffs Jul2019'!AJ99))</f>
        <v>0</v>
      </c>
      <c r="M105" s="59">
        <f>IF($C$5*'Tariffs Jul2019'!AL99/'Tariffs Jul2019'!AJ99&lt;'Tariffs Jul2019'!L99,0,IF($C$5*'Tariffs Jul2019'!AL99/'Tariffs Jul2019'!AJ99&lt;='Tariffs Jul2019'!M99,($C$5*'Tariffs Jul2019'!AL99/'Tariffs Jul2019'!AJ99-'Tariffs Jul2019'!L99)*('Tariffs Jul2019'!X99/100)*'Tariffs Jul2019'!AJ99,('Tariffs Jul2019'!M99-'Tariffs Jul2019'!L99)*('Tariffs Jul2019'!X99/100)*'Tariffs Jul2019'!AJ99))</f>
        <v>0</v>
      </c>
      <c r="N105" s="59">
        <f>IF(($C$5*'Tariffs Jul2019'!AL99/'Tariffs Jul2019'!AJ99&gt;'Tariffs Jul2019'!M99),($C$5*'Tariffs Jul2019'!AL99/'Tariffs Jul2019'!AJ99-'Tariffs Jul2019'!M99)*'Tariffs Jul2019'!Y99/100*'Tariffs Jul2019'!AJ99,0)</f>
        <v>0</v>
      </c>
      <c r="O105" s="367">
        <f t="shared" si="13"/>
        <v>1288.7857636363633</v>
      </c>
      <c r="P105" s="413">
        <f t="shared" si="10"/>
        <v>1417.6643399999998</v>
      </c>
      <c r="Q105" s="59">
        <f t="shared" si="14"/>
        <v>1550.2584909090906</v>
      </c>
      <c r="R105" s="272">
        <f t="shared" si="15"/>
        <v>1705.2843399999997</v>
      </c>
      <c r="S105" s="40">
        <f>'Tariffs Jul2019'!AN99</f>
        <v>0</v>
      </c>
      <c r="T105" s="40">
        <f>'Tariffs Jul2019'!AO99</f>
        <v>0</v>
      </c>
      <c r="U105" s="40">
        <f>'Tariffs Jul2019'!AP99</f>
        <v>0</v>
      </c>
      <c r="V105" s="40">
        <f>'Tariffs Jul2019'!AQ99</f>
        <v>0</v>
      </c>
      <c r="W105" s="273">
        <f>Q105</f>
        <v>1550.2584909090906</v>
      </c>
      <c r="X105" s="273">
        <f>W105</f>
        <v>1550.2584909090906</v>
      </c>
      <c r="Y105" s="272">
        <f t="shared" si="16"/>
        <v>1705.2843399999997</v>
      </c>
      <c r="Z105" s="272">
        <f t="shared" si="16"/>
        <v>1705.2843399999997</v>
      </c>
      <c r="AA105" s="274">
        <f>'Tariffs Jul2019'!AZ99</f>
        <v>0</v>
      </c>
      <c r="AB105" s="274" t="str">
        <f>'Tariffs Jul2019'!BA99</f>
        <v>n</v>
      </c>
      <c r="AC105" s="275" t="str">
        <f>'Tariffs Jul2019'!BJ99</f>
        <v>N</v>
      </c>
      <c r="AD105" s="398"/>
      <c r="AE105" s="398"/>
      <c r="AF105" s="398"/>
      <c r="AG105" s="398"/>
      <c r="AH105" s="398"/>
      <c r="AI105" s="398"/>
      <c r="AJ105" s="398"/>
      <c r="AK105" s="398"/>
      <c r="AL105" s="398"/>
      <c r="AM105" s="398"/>
      <c r="AN105" s="398"/>
    </row>
    <row r="106" spans="1:40" x14ac:dyDescent="0.15">
      <c r="A106" s="270" t="str">
        <f>'Tariffs Jul2019'!F100</f>
        <v>Covau</v>
      </c>
      <c r="B106" s="40" t="str">
        <f>'Tariffs Jul2019'!D100</f>
        <v>AusNet Services Central 2</v>
      </c>
      <c r="C106" s="40" t="str">
        <f>'Tariffs Jul2019'!G100</f>
        <v>Smart Saver</v>
      </c>
      <c r="D106" s="59">
        <f>365*'Tariffs Jul2019'!H100/100</f>
        <v>310.25</v>
      </c>
      <c r="E106" s="59">
        <f>IF($C$5*'Tariffs Jul2019'!AK100/'Tariffs Jul2019'!AI100&gt;='Tariffs Jul2019'!J100,( 'Tariffs Jul2019'!J100*'Tariffs Jul2019'!O100/100)* 'Tariffs Jul2019'!AI100,($C$5*'Tariffs Jul2019'!AK100/'Tariffs Jul2019'!AI100*'Tariffs Jul2019'!O100/100)* 'Tariffs Jul2019'!AI100)</f>
        <v>516.59999999999991</v>
      </c>
      <c r="F106" s="59">
        <f>IF($C$5*'Tariffs Jul2019'!AK100/'Tariffs Jul2019'!AI100&lt;'Tariffs Jul2019'!J100,0,IF($C$5*'Tariffs Jul2019'!AK100/'Tariffs Jul2019'!AI100&lt;='Tariffs Jul2019'!K100,($C$5*'Tariffs Jul2019'!AK100/'Tariffs Jul2019'!AI100-'Tariffs Jul2019'!J100)*('Tariffs Jul2019'!P100/100)*'Tariffs Jul2019'!AI100,('Tariffs Jul2019'!K100-'Tariffs Jul2019'!J100)*('Tariffs Jul2019'!P100/100)*'Tariffs Jul2019'!AI100))</f>
        <v>344.24999999999994</v>
      </c>
      <c r="G106" s="59">
        <f>IF($C$5*'Tariffs Jul2019'!AK100/'Tariffs Jul2019'!AI100&lt;'Tariffs Jul2019'!K100,0,IF($C$5*'Tariffs Jul2019'!AK100/'Tariffs Jul2019'!AI100&lt;='Tariffs Jul2019'!L100,($C$5*'Tariffs Jul2019'!AK100/'Tariffs Jul2019'!AI100-'Tariffs Jul2019'!K100)*('Tariffs Jul2019'!Q100/100)*'Tariffs Jul2019'!AI100,('Tariffs Jul2019'!L100-'Tariffs Jul2019'!K100)*('Tariffs Jul2019'!Q100/100)*'Tariffs Jul2019'!AI100))</f>
        <v>0</v>
      </c>
      <c r="H106" s="59">
        <f>IF($C$5*'Tariffs Jul2019'!AK100/'Tariffs Jul2019'!AI100&lt;'Tariffs Jul2019'!L100,0,IF($C$5*'Tariffs Jul2019'!AK100/'Tariffs Jul2019'!AI100&lt;='Tariffs Jul2019'!M100,($C$5*'Tariffs Jul2019'!AK100/'Tariffs Jul2019'!AI100-'Tariffs Jul2019'!L100)*('Tariffs Jul2019'!R100/100)*'Tariffs Jul2019'!AI100,('Tariffs Jul2019'!M100-'Tariffs Jul2019'!L100)*('Tariffs Jul2019'!R100/100)*'Tariffs Jul2019'!AI100))</f>
        <v>0</v>
      </c>
      <c r="I106" s="59">
        <f>IF(($C$5*'Tariffs Jul2019'!AK100/'Tariffs Jul2019'!AI100&gt;'Tariffs Jul2019'!M100),($C$5*'Tariffs Jul2019'!AK100/'Tariffs Jul2019'!AI100-'Tariffs Jul2019'!M100)*'Tariffs Jul2019'!S100/100*'Tariffs Jul2019'!AI100,0)</f>
        <v>0</v>
      </c>
      <c r="J106" s="59">
        <f>IF($C$5*'Tariffs Jul2019'!AL100/'Tariffs Jul2019'!AJ100&gt;='Tariffs Jul2019'!J100,('Tariffs Jul2019'!J100*'Tariffs Jul2019'!U100/100)* 'Tariffs Jul2019'!AJ100,($C$5*'Tariffs Jul2019'!AL100/'Tariffs Jul2019'!AJ100*'Tariffs Jul2019'!U100/100)* 'Tariffs Jul2019'!AJ100)</f>
        <v>432</v>
      </c>
      <c r="K106" s="59">
        <f>IF($C$5*'Tariffs Jul2019'!AL100/'Tariffs Jul2019'!AJ100&lt;'Tariffs Jul2019'!J100,0,IF($C$5*'Tariffs Jul2019'!AL100/'Tariffs Jul2019'!AJ100&lt;='Tariffs Jul2019'!K100,($C$5*'Tariffs Jul2019'!AL100/'Tariffs Jul2019'!AJ100-'Tariffs Jul2019'!J100)*('Tariffs Jul2019'!V100/100)*'Tariffs Jul2019'!AJ100,('Tariffs Jul2019'!K100-'Tariffs Jul2019'!J100)*('Tariffs Jul2019'!V100/100)*'Tariffs Jul2019'!AJ100))</f>
        <v>297.00000000000006</v>
      </c>
      <c r="L106" s="59">
        <f>IF($C$5*'Tariffs Jul2019'!AL100/'Tariffs Jul2019'!AJ100&lt;'Tariffs Jul2019'!K100,0,IF($C$5*'Tariffs Jul2019'!AL100/'Tariffs Jul2019'!AJ100&lt;='Tariffs Jul2019'!L100,($C$5*'Tariffs Jul2019'!AL100/'Tariffs Jul2019'!AJ100-'Tariffs Jul2019'!K100)*('Tariffs Jul2019'!W100/100)*'Tariffs Jul2019'!AJ100,('Tariffs Jul2019'!L100-'Tariffs Jul2019'!K100)*('Tariffs Jul2019'!W100/100)*'Tariffs Jul2019'!AJ100))</f>
        <v>0</v>
      </c>
      <c r="M106" s="59">
        <f>IF($C$5*'Tariffs Jul2019'!AL100/'Tariffs Jul2019'!AJ100&lt;'Tariffs Jul2019'!L100,0,IF($C$5*'Tariffs Jul2019'!AL100/'Tariffs Jul2019'!AJ100&lt;='Tariffs Jul2019'!M100,($C$5*'Tariffs Jul2019'!AL100/'Tariffs Jul2019'!AJ100-'Tariffs Jul2019'!L100)*('Tariffs Jul2019'!X100/100)*'Tariffs Jul2019'!AJ100,('Tariffs Jul2019'!M100-'Tariffs Jul2019'!L100)*('Tariffs Jul2019'!X100/100)*'Tariffs Jul2019'!AJ100))</f>
        <v>0</v>
      </c>
      <c r="N106" s="59">
        <f>IF(($C$5*'Tariffs Jul2019'!AL100/'Tariffs Jul2019'!AJ100&gt;'Tariffs Jul2019'!M100),($C$5*'Tariffs Jul2019'!AL100/'Tariffs Jul2019'!AJ100-'Tariffs Jul2019'!M100)*'Tariffs Jul2019'!Y100/100*'Tariffs Jul2019'!AJ100,0)</f>
        <v>0</v>
      </c>
      <c r="O106" s="367">
        <f t="shared" si="13"/>
        <v>1589.85</v>
      </c>
      <c r="P106" s="413">
        <f t="shared" si="10"/>
        <v>1748.835</v>
      </c>
      <c r="Q106" s="59">
        <f t="shared" si="14"/>
        <v>1900.1</v>
      </c>
      <c r="R106" s="272">
        <f t="shared" si="15"/>
        <v>2090.11</v>
      </c>
      <c r="S106" s="40">
        <f>'Tariffs Jul2019'!AN100</f>
        <v>0</v>
      </c>
      <c r="T106" s="40">
        <f>'Tariffs Jul2019'!AO100</f>
        <v>0</v>
      </c>
      <c r="U106" s="40">
        <f>'Tariffs Jul2019'!AP100</f>
        <v>0</v>
      </c>
      <c r="V106" s="40">
        <f>'Tariffs Jul2019'!AQ100</f>
        <v>16</v>
      </c>
      <c r="W106" s="273">
        <f>Q106</f>
        <v>1900.1</v>
      </c>
      <c r="X106" s="273">
        <f>W106-(O106*V106/100)</f>
        <v>1645.7239999999999</v>
      </c>
      <c r="Y106" s="272">
        <f t="shared" si="16"/>
        <v>2090.11</v>
      </c>
      <c r="Z106" s="272">
        <f t="shared" si="16"/>
        <v>1810.2964000000002</v>
      </c>
      <c r="AA106" s="274">
        <f>'Tariffs Jul2019'!AZ100</f>
        <v>0</v>
      </c>
      <c r="AB106" s="274" t="str">
        <f>'Tariffs Jul2019'!BA100</f>
        <v>n</v>
      </c>
      <c r="AC106" s="275" t="str">
        <f>'Tariffs Jul2019'!BJ100</f>
        <v>N</v>
      </c>
      <c r="AD106" s="398"/>
      <c r="AE106" s="398"/>
      <c r="AF106" s="398"/>
      <c r="AG106" s="398"/>
      <c r="AH106" s="398"/>
      <c r="AI106" s="398"/>
      <c r="AJ106" s="398"/>
      <c r="AK106" s="398"/>
      <c r="AL106" s="398"/>
      <c r="AM106" s="398"/>
      <c r="AN106" s="398"/>
    </row>
    <row r="107" spans="1:40" x14ac:dyDescent="0.15">
      <c r="A107" s="270" t="str">
        <f>'Tariffs Jul2019'!F101</f>
        <v>Dodo Power &amp; Gas</v>
      </c>
      <c r="B107" s="40" t="str">
        <f>'Tariffs Jul2019'!D101</f>
        <v>AusNet Services Central 2</v>
      </c>
      <c r="C107" s="40" t="str">
        <f>'Tariffs Jul2019'!G101</f>
        <v>Market offer</v>
      </c>
      <c r="D107" s="59">
        <f>365*'Tariffs Jul2019'!H101/100</f>
        <v>264.8075</v>
      </c>
      <c r="E107" s="59">
        <f>IF($C$5*'Tariffs Jul2019'!AK101/'Tariffs Jul2019'!AI101&gt;='Tariffs Jul2019'!J101,( 'Tariffs Jul2019'!J101*'Tariffs Jul2019'!O101/100)* 'Tariffs Jul2019'!AI101,($C$5*'Tariffs Jul2019'!AK101/'Tariffs Jul2019'!AI101*'Tariffs Jul2019'!O101/100)* 'Tariffs Jul2019'!AI101)</f>
        <v>318.5454545454545</v>
      </c>
      <c r="F107" s="59">
        <f>IF($C$5*'Tariffs Jul2019'!AK101/'Tariffs Jul2019'!AI101&lt;'Tariffs Jul2019'!J101,0,IF($C$5*'Tariffs Jul2019'!AK101/'Tariffs Jul2019'!AI101&lt;='Tariffs Jul2019'!K101,($C$5*'Tariffs Jul2019'!AK101/'Tariffs Jul2019'!AI101-'Tariffs Jul2019'!J101)*('Tariffs Jul2019'!P101/100)*'Tariffs Jul2019'!AI101,('Tariffs Jul2019'!K101-'Tariffs Jul2019'!J101)*('Tariffs Jul2019'!P101/100)*'Tariffs Jul2019'!AI101))</f>
        <v>206.95169999999996</v>
      </c>
      <c r="G107" s="59">
        <f>IF($C$5*'Tariffs Jul2019'!AK101/'Tariffs Jul2019'!AI101&lt;'Tariffs Jul2019'!K101,0,IF($C$5*'Tariffs Jul2019'!AK101/'Tariffs Jul2019'!AI101&lt;='Tariffs Jul2019'!L101,($C$5*'Tariffs Jul2019'!AK101/'Tariffs Jul2019'!AI101-'Tariffs Jul2019'!K101)*('Tariffs Jul2019'!Q101/100)*'Tariffs Jul2019'!AI101,('Tariffs Jul2019'!L101-'Tariffs Jul2019'!K101)*('Tariffs Jul2019'!Q101/100)*'Tariffs Jul2019'!AI101))</f>
        <v>0</v>
      </c>
      <c r="H107" s="59">
        <f>IF($C$5*'Tariffs Jul2019'!AK101/'Tariffs Jul2019'!AI101&lt;'Tariffs Jul2019'!L101,0,IF($C$5*'Tariffs Jul2019'!AK101/'Tariffs Jul2019'!AI101&lt;='Tariffs Jul2019'!M101,($C$5*'Tariffs Jul2019'!AK101/'Tariffs Jul2019'!AI101-'Tariffs Jul2019'!L101)*('Tariffs Jul2019'!R101/100)*'Tariffs Jul2019'!AI101,('Tariffs Jul2019'!M101-'Tariffs Jul2019'!L101)*('Tariffs Jul2019'!R101/100)*'Tariffs Jul2019'!AI101))</f>
        <v>0</v>
      </c>
      <c r="I107" s="59">
        <f>IF(($C$5*'Tariffs Jul2019'!AK101/'Tariffs Jul2019'!AI101&gt;'Tariffs Jul2019'!M101),($C$5*'Tariffs Jul2019'!AK101/'Tariffs Jul2019'!AI101-'Tariffs Jul2019'!M101)*'Tariffs Jul2019'!S101/100*'Tariffs Jul2019'!AI101,0)</f>
        <v>0</v>
      </c>
      <c r="J107" s="59">
        <f>IF($C$5*'Tariffs Jul2019'!AL101/'Tariffs Jul2019'!AJ101&gt;='Tariffs Jul2019'!J101,('Tariffs Jul2019'!J101*'Tariffs Jul2019'!U101/100)* 'Tariffs Jul2019'!AJ101,($C$5*'Tariffs Jul2019'!AL101/'Tariffs Jul2019'!AJ101*'Tariffs Jul2019'!U101/100)* 'Tariffs Jul2019'!AJ101)</f>
        <v>480</v>
      </c>
      <c r="K107" s="59">
        <f>IF($C$5*'Tariffs Jul2019'!AL101/'Tariffs Jul2019'!AJ101&lt;'Tariffs Jul2019'!J101,0,IF($C$5*'Tariffs Jul2019'!AL101/'Tariffs Jul2019'!AJ101&lt;='Tariffs Jul2019'!K101,($C$5*'Tariffs Jul2019'!AL101/'Tariffs Jul2019'!AJ101-'Tariffs Jul2019'!J101)*('Tariffs Jul2019'!V101/100)*'Tariffs Jul2019'!AJ101,('Tariffs Jul2019'!K101-'Tariffs Jul2019'!J101)*('Tariffs Jul2019'!V101/100)*'Tariffs Jul2019'!AJ101))</f>
        <v>351.73609090909076</v>
      </c>
      <c r="L107" s="59">
        <f>IF($C$5*'Tariffs Jul2019'!AL101/'Tariffs Jul2019'!AJ101&lt;'Tariffs Jul2019'!K101,0,IF($C$5*'Tariffs Jul2019'!AL101/'Tariffs Jul2019'!AJ101&lt;='Tariffs Jul2019'!L101,($C$5*'Tariffs Jul2019'!AL101/'Tariffs Jul2019'!AJ101-'Tariffs Jul2019'!K101)*('Tariffs Jul2019'!W101/100)*'Tariffs Jul2019'!AJ101,('Tariffs Jul2019'!L101-'Tariffs Jul2019'!K101)*('Tariffs Jul2019'!W101/100)*'Tariffs Jul2019'!AJ101))</f>
        <v>0</v>
      </c>
      <c r="M107" s="59">
        <f>IF($C$5*'Tariffs Jul2019'!AL101/'Tariffs Jul2019'!AJ101&lt;'Tariffs Jul2019'!L101,0,IF($C$5*'Tariffs Jul2019'!AL101/'Tariffs Jul2019'!AJ101&lt;='Tariffs Jul2019'!M101,($C$5*'Tariffs Jul2019'!AL101/'Tariffs Jul2019'!AJ101-'Tariffs Jul2019'!L101)*('Tariffs Jul2019'!X101/100)*'Tariffs Jul2019'!AJ101,('Tariffs Jul2019'!M101-'Tariffs Jul2019'!L101)*('Tariffs Jul2019'!X101/100)*'Tariffs Jul2019'!AJ101))</f>
        <v>0</v>
      </c>
      <c r="N107" s="59">
        <f>IF(($C$5*'Tariffs Jul2019'!AL101/'Tariffs Jul2019'!AJ101&gt;'Tariffs Jul2019'!M101),($C$5*'Tariffs Jul2019'!AL101/'Tariffs Jul2019'!AJ101-'Tariffs Jul2019'!M101)*'Tariffs Jul2019'!Y101/100*'Tariffs Jul2019'!AJ101,0)</f>
        <v>0</v>
      </c>
      <c r="O107" s="367">
        <f t="shared" si="13"/>
        <v>1357.2332454545453</v>
      </c>
      <c r="P107" s="413">
        <f t="shared" si="10"/>
        <v>1492.9565700000001</v>
      </c>
      <c r="Q107" s="59">
        <f t="shared" si="14"/>
        <v>1622.0407454545452</v>
      </c>
      <c r="R107" s="272">
        <f t="shared" si="15"/>
        <v>1784.2448199999999</v>
      </c>
      <c r="S107" s="40">
        <f>'Tariffs Jul2019'!AN101</f>
        <v>0</v>
      </c>
      <c r="T107" s="40">
        <f>'Tariffs Jul2019'!AO101</f>
        <v>0</v>
      </c>
      <c r="U107" s="40">
        <f>'Tariffs Jul2019'!AP101</f>
        <v>0</v>
      </c>
      <c r="V107" s="40">
        <f>'Tariffs Jul2019'!AQ101</f>
        <v>20</v>
      </c>
      <c r="W107" s="273">
        <f>Q107</f>
        <v>1622.0407454545452</v>
      </c>
      <c r="X107" s="273">
        <f>W107-(O107*V107/100)</f>
        <v>1350.5940963636363</v>
      </c>
      <c r="Y107" s="272">
        <f t="shared" si="16"/>
        <v>1784.2448199999999</v>
      </c>
      <c r="Z107" s="272">
        <f t="shared" si="16"/>
        <v>1485.6535060000001</v>
      </c>
      <c r="AA107" s="274">
        <f>'Tariffs Jul2019'!AZ101</f>
        <v>0</v>
      </c>
      <c r="AB107" s="274" t="str">
        <f>'Tariffs Jul2019'!BA101</f>
        <v>n</v>
      </c>
      <c r="AC107" s="275" t="str">
        <f>'Tariffs Jul2019'!BJ101</f>
        <v>Y</v>
      </c>
      <c r="AD107" s="398"/>
      <c r="AE107" s="398"/>
      <c r="AF107" s="398"/>
      <c r="AG107" s="398"/>
      <c r="AH107" s="398"/>
      <c r="AI107" s="398"/>
      <c r="AJ107" s="398"/>
      <c r="AK107" s="398"/>
      <c r="AL107" s="398"/>
      <c r="AM107" s="398"/>
      <c r="AN107" s="398"/>
    </row>
    <row r="108" spans="1:40" x14ac:dyDescent="0.15">
      <c r="A108" s="270" t="str">
        <f>'Tariffs Jul2019'!F102</f>
        <v>EnergyAustralia</v>
      </c>
      <c r="B108" s="40" t="str">
        <f>'Tariffs Jul2019'!D102</f>
        <v>AusNet Services Central 2</v>
      </c>
      <c r="C108" s="40" t="str">
        <f>'Tariffs Jul2019'!G102</f>
        <v>Total Plan</v>
      </c>
      <c r="D108" s="59">
        <f>365*'Tariffs Jul2019'!H102/100</f>
        <v>345.65499999999997</v>
      </c>
      <c r="E108" s="59">
        <f>IF($C$5*'Tariffs Jul2019'!AK102/'Tariffs Jul2019'!AI102&gt;='Tariffs Jul2019'!J102,( 'Tariffs Jul2019'!J102*'Tariffs Jul2019'!O102/100)* 'Tariffs Jul2019'!AI102,($C$5*'Tariffs Jul2019'!AK102/'Tariffs Jul2019'!AI102*'Tariffs Jul2019'!O102/100)* 'Tariffs Jul2019'!AI102)</f>
        <v>575.34245999999996</v>
      </c>
      <c r="F108" s="59">
        <f>IF($C$5*'Tariffs Jul2019'!AK102/'Tariffs Jul2019'!AI102&lt;'Tariffs Jul2019'!J102,0,IF($C$5*'Tariffs Jul2019'!AK102/'Tariffs Jul2019'!AI102&lt;='Tariffs Jul2019'!K102,($C$5*'Tariffs Jul2019'!AK102/'Tariffs Jul2019'!AI102-'Tariffs Jul2019'!J102)*('Tariffs Jul2019'!P102/100)*'Tariffs Jul2019'!AI102,('Tariffs Jul2019'!K102-'Tariffs Jul2019'!J102)*('Tariffs Jul2019'!P102/100)*'Tariffs Jul2019'!AI102))</f>
        <v>0</v>
      </c>
      <c r="G108" s="59">
        <f>IF($C$5*'Tariffs Jul2019'!AK102/'Tariffs Jul2019'!AI102&lt;'Tariffs Jul2019'!K102,0,IF($C$5*'Tariffs Jul2019'!AK102/'Tariffs Jul2019'!AI102&lt;='Tariffs Jul2019'!L102,($C$5*'Tariffs Jul2019'!AK102/'Tariffs Jul2019'!AI102-'Tariffs Jul2019'!K102)*('Tariffs Jul2019'!Q102/100)*'Tariffs Jul2019'!AI102,('Tariffs Jul2019'!L102-'Tariffs Jul2019'!K102)*('Tariffs Jul2019'!Q102/100)*'Tariffs Jul2019'!AI102))</f>
        <v>0</v>
      </c>
      <c r="H108" s="59">
        <f>IF($C$5*'Tariffs Jul2019'!AK102/'Tariffs Jul2019'!AI102&lt;'Tariffs Jul2019'!L102,0,IF($C$5*'Tariffs Jul2019'!AK102/'Tariffs Jul2019'!AI102&lt;='Tariffs Jul2019'!M102,($C$5*'Tariffs Jul2019'!AK102/'Tariffs Jul2019'!AI102-'Tariffs Jul2019'!L102)*('Tariffs Jul2019'!R102/100)*'Tariffs Jul2019'!AI102,('Tariffs Jul2019'!M102-'Tariffs Jul2019'!L102)*('Tariffs Jul2019'!R102/100)*'Tariffs Jul2019'!AI102))</f>
        <v>0</v>
      </c>
      <c r="I108" s="59">
        <f>IF(($C$5*'Tariffs Jul2019'!AK102/'Tariffs Jul2019'!AI102&gt;'Tariffs Jul2019'!M102),($C$5*'Tariffs Jul2019'!AK102/'Tariffs Jul2019'!AI102-'Tariffs Jul2019'!M102)*'Tariffs Jul2019'!S102/100*'Tariffs Jul2019'!AI102,0)</f>
        <v>0</v>
      </c>
      <c r="J108" s="59">
        <f>IF($C$5*'Tariffs Jul2019'!AL102/'Tariffs Jul2019'!AJ102&gt;='Tariffs Jul2019'!J102,('Tariffs Jul2019'!J102*'Tariffs Jul2019'!U102/100)* 'Tariffs Jul2019'!AJ102,($C$5*'Tariffs Jul2019'!AL102/'Tariffs Jul2019'!AJ102*'Tariffs Jul2019'!U102/100)* 'Tariffs Jul2019'!AJ102)</f>
        <v>844.1155799999998</v>
      </c>
      <c r="K108" s="59">
        <f>IF($C$5*'Tariffs Jul2019'!AL102/'Tariffs Jul2019'!AJ102&lt;'Tariffs Jul2019'!J102,0,IF($C$5*'Tariffs Jul2019'!AL102/'Tariffs Jul2019'!AJ102&lt;='Tariffs Jul2019'!K102,($C$5*'Tariffs Jul2019'!AL102/'Tariffs Jul2019'!AJ102-'Tariffs Jul2019'!J102)*('Tariffs Jul2019'!V102/100)*'Tariffs Jul2019'!AJ102,('Tariffs Jul2019'!K102-'Tariffs Jul2019'!J102)*('Tariffs Jul2019'!V102/100)*'Tariffs Jul2019'!AJ102))</f>
        <v>0</v>
      </c>
      <c r="L108" s="59">
        <f>IF($C$5*'Tariffs Jul2019'!AL102/'Tariffs Jul2019'!AJ102&lt;'Tariffs Jul2019'!K102,0,IF($C$5*'Tariffs Jul2019'!AL102/'Tariffs Jul2019'!AJ102&lt;='Tariffs Jul2019'!L102,($C$5*'Tariffs Jul2019'!AL102/'Tariffs Jul2019'!AJ102-'Tariffs Jul2019'!K102)*('Tariffs Jul2019'!W102/100)*'Tariffs Jul2019'!AJ102,('Tariffs Jul2019'!L102-'Tariffs Jul2019'!K102)*('Tariffs Jul2019'!W102/100)*'Tariffs Jul2019'!AJ102))</f>
        <v>0</v>
      </c>
      <c r="M108" s="59">
        <f>IF($C$5*'Tariffs Jul2019'!AL102/'Tariffs Jul2019'!AJ102&lt;'Tariffs Jul2019'!L102,0,IF($C$5*'Tariffs Jul2019'!AL102/'Tariffs Jul2019'!AJ102&lt;='Tariffs Jul2019'!M102,($C$5*'Tariffs Jul2019'!AL102/'Tariffs Jul2019'!AJ102-'Tariffs Jul2019'!L102)*('Tariffs Jul2019'!X102/100)*'Tariffs Jul2019'!AJ102,('Tariffs Jul2019'!M102-'Tariffs Jul2019'!L102)*('Tariffs Jul2019'!X102/100)*'Tariffs Jul2019'!AJ102))</f>
        <v>0</v>
      </c>
      <c r="N108" s="59">
        <f>IF(($C$5*'Tariffs Jul2019'!AL102/'Tariffs Jul2019'!AJ102&gt;'Tariffs Jul2019'!M102),($C$5*'Tariffs Jul2019'!AL102/'Tariffs Jul2019'!AJ102-'Tariffs Jul2019'!M102)*'Tariffs Jul2019'!Y102/100*'Tariffs Jul2019'!AJ102,0)</f>
        <v>0</v>
      </c>
      <c r="O108" s="367">
        <f t="shared" si="13"/>
        <v>1419.4580399999998</v>
      </c>
      <c r="P108" s="413">
        <f t="shared" si="10"/>
        <v>1561.4038439999999</v>
      </c>
      <c r="Q108" s="59">
        <f t="shared" si="14"/>
        <v>1765.1130399999997</v>
      </c>
      <c r="R108" s="272">
        <f t="shared" si="15"/>
        <v>1941.6243439999998</v>
      </c>
      <c r="S108" s="40">
        <f>'Tariffs Jul2019'!AN102</f>
        <v>24</v>
      </c>
      <c r="T108" s="40">
        <f>'Tariffs Jul2019'!AO102</f>
        <v>0</v>
      </c>
      <c r="U108" s="40">
        <f>'Tariffs Jul2019'!AP102</f>
        <v>0</v>
      </c>
      <c r="V108" s="40">
        <f>'Tariffs Jul2019'!AQ102</f>
        <v>0</v>
      </c>
      <c r="W108" s="273">
        <f>Q108-(Q108*S108/100)</f>
        <v>1341.4859103999997</v>
      </c>
      <c r="X108" s="273">
        <f>W108</f>
        <v>1341.4859103999997</v>
      </c>
      <c r="Y108" s="272">
        <f t="shared" si="16"/>
        <v>1475.6345014399999</v>
      </c>
      <c r="Z108" s="272">
        <f t="shared" si="16"/>
        <v>1475.6345014399999</v>
      </c>
      <c r="AA108" s="274">
        <f>'Tariffs Jul2019'!AZ102</f>
        <v>0</v>
      </c>
      <c r="AB108" s="274" t="str">
        <f>'Tariffs Jul2019'!BA102</f>
        <v>n</v>
      </c>
      <c r="AC108" s="275" t="str">
        <f>'Tariffs Jul2019'!BJ102</f>
        <v>N</v>
      </c>
      <c r="AD108" s="398"/>
      <c r="AE108" s="398"/>
      <c r="AF108" s="398"/>
      <c r="AG108" s="398"/>
      <c r="AH108" s="398"/>
      <c r="AI108" s="398"/>
      <c r="AJ108" s="398"/>
      <c r="AK108" s="398"/>
      <c r="AL108" s="398"/>
      <c r="AM108" s="398"/>
      <c r="AN108" s="398"/>
    </row>
    <row r="109" spans="1:40" x14ac:dyDescent="0.15">
      <c r="A109" s="270" t="str">
        <f>'Tariffs Jul2019'!F103</f>
        <v>Lumo Energy</v>
      </c>
      <c r="B109" s="40" t="str">
        <f>'Tariffs Jul2019'!D103</f>
        <v>AusNet Services Central 2</v>
      </c>
      <c r="C109" s="40" t="str">
        <f>'Tariffs Jul2019'!G103</f>
        <v>Value</v>
      </c>
      <c r="D109" s="59">
        <f>365*'Tariffs Jul2019'!H103/100</f>
        <v>255.5</v>
      </c>
      <c r="E109" s="59">
        <f>IF($C$5*'Tariffs Jul2019'!AK103/'Tariffs Jul2019'!AI103&gt;='Tariffs Jul2019'!J103,( 'Tariffs Jul2019'!J103*'Tariffs Jul2019'!O103/100)* 'Tariffs Jul2019'!AI103,($C$5*'Tariffs Jul2019'!AK103/'Tariffs Jul2019'!AI103*'Tariffs Jul2019'!O103/100)* 'Tariffs Jul2019'!AI103)</f>
        <v>264.00000000000006</v>
      </c>
      <c r="F109" s="59">
        <f>IF($C$5*'Tariffs Jul2019'!AK103/'Tariffs Jul2019'!AI103&lt;'Tariffs Jul2019'!J103,0,IF($C$5*'Tariffs Jul2019'!AK103/'Tariffs Jul2019'!AI103&lt;='Tariffs Jul2019'!K103,($C$5*'Tariffs Jul2019'!AK103/'Tariffs Jul2019'!AI103-'Tariffs Jul2019'!J103)*('Tariffs Jul2019'!P103/100)*'Tariffs Jul2019'!AI103,('Tariffs Jul2019'!K103-'Tariffs Jul2019'!J103)*('Tariffs Jul2019'!P103/100)*'Tariffs Jul2019'!AI103))</f>
        <v>179.95799999999997</v>
      </c>
      <c r="G109" s="59">
        <f>IF($C$5*'Tariffs Jul2019'!AK103/'Tariffs Jul2019'!AI103&lt;'Tariffs Jul2019'!K103,0,IF($C$5*'Tariffs Jul2019'!AK103/'Tariffs Jul2019'!AI103&lt;='Tariffs Jul2019'!L103,($C$5*'Tariffs Jul2019'!AK103/'Tariffs Jul2019'!AI103-'Tariffs Jul2019'!K103)*('Tariffs Jul2019'!Q103/100)*'Tariffs Jul2019'!AI103,('Tariffs Jul2019'!L103-'Tariffs Jul2019'!K103)*('Tariffs Jul2019'!Q103/100)*'Tariffs Jul2019'!AI103))</f>
        <v>0</v>
      </c>
      <c r="H109" s="59">
        <f>IF($C$5*'Tariffs Jul2019'!AK103/'Tariffs Jul2019'!AI103&lt;'Tariffs Jul2019'!L103,0,IF($C$5*'Tariffs Jul2019'!AK103/'Tariffs Jul2019'!AI103&lt;='Tariffs Jul2019'!M103,($C$5*'Tariffs Jul2019'!AK103/'Tariffs Jul2019'!AI103-'Tariffs Jul2019'!L103)*('Tariffs Jul2019'!R103/100)*'Tariffs Jul2019'!AI103,('Tariffs Jul2019'!M103-'Tariffs Jul2019'!L103)*('Tariffs Jul2019'!R103/100)*'Tariffs Jul2019'!AI103))</f>
        <v>0</v>
      </c>
      <c r="I109" s="59">
        <f>IF(($C$5*'Tariffs Jul2019'!AK103/'Tariffs Jul2019'!AI103&gt;'Tariffs Jul2019'!M103),($C$5*'Tariffs Jul2019'!AK103/'Tariffs Jul2019'!AI103-'Tariffs Jul2019'!M103)*'Tariffs Jul2019'!S103/100*'Tariffs Jul2019'!AI103,0)</f>
        <v>0</v>
      </c>
      <c r="J109" s="59">
        <f>IF($C$5*'Tariffs Jul2019'!AL103/'Tariffs Jul2019'!AJ103&gt;='Tariffs Jul2019'!J103,('Tariffs Jul2019'!J103*'Tariffs Jul2019'!U103/100)* 'Tariffs Jul2019'!AJ103,($C$5*'Tariffs Jul2019'!AL103/'Tariffs Jul2019'!AJ103*'Tariffs Jul2019'!U103/100)* 'Tariffs Jul2019'!AJ103)</f>
        <v>408</v>
      </c>
      <c r="K109" s="59">
        <f>IF($C$5*'Tariffs Jul2019'!AL103/'Tariffs Jul2019'!AJ103&lt;'Tariffs Jul2019'!J103,0,IF($C$5*'Tariffs Jul2019'!AL103/'Tariffs Jul2019'!AJ103&lt;='Tariffs Jul2019'!K103,($C$5*'Tariffs Jul2019'!AL103/'Tariffs Jul2019'!AJ103-'Tariffs Jul2019'!J103)*('Tariffs Jul2019'!V103/100)*'Tariffs Jul2019'!AJ103,('Tariffs Jul2019'!K103-'Tariffs Jul2019'!J103)*('Tariffs Jul2019'!V103/100)*'Tariffs Jul2019'!AJ103))</f>
        <v>293.3315399999999</v>
      </c>
      <c r="L109" s="59">
        <f>IF($C$5*'Tariffs Jul2019'!AL103/'Tariffs Jul2019'!AJ103&lt;'Tariffs Jul2019'!K103,0,IF($C$5*'Tariffs Jul2019'!AL103/'Tariffs Jul2019'!AJ103&lt;='Tariffs Jul2019'!L103,($C$5*'Tariffs Jul2019'!AL103/'Tariffs Jul2019'!AJ103-'Tariffs Jul2019'!K103)*('Tariffs Jul2019'!W103/100)*'Tariffs Jul2019'!AJ103,('Tariffs Jul2019'!L103-'Tariffs Jul2019'!K103)*('Tariffs Jul2019'!W103/100)*'Tariffs Jul2019'!AJ103))</f>
        <v>0</v>
      </c>
      <c r="M109" s="59">
        <f>IF($C$5*'Tariffs Jul2019'!AL103/'Tariffs Jul2019'!AJ103&lt;'Tariffs Jul2019'!L103,0,IF($C$5*'Tariffs Jul2019'!AL103/'Tariffs Jul2019'!AJ103&lt;='Tariffs Jul2019'!M103,($C$5*'Tariffs Jul2019'!AL103/'Tariffs Jul2019'!AJ103-'Tariffs Jul2019'!L103)*('Tariffs Jul2019'!X103/100)*'Tariffs Jul2019'!AJ103,('Tariffs Jul2019'!M103-'Tariffs Jul2019'!L103)*('Tariffs Jul2019'!X103/100)*'Tariffs Jul2019'!AJ103))</f>
        <v>0</v>
      </c>
      <c r="N109" s="59">
        <f>IF(($C$5*'Tariffs Jul2019'!AL103/'Tariffs Jul2019'!AJ103&gt;'Tariffs Jul2019'!M103),($C$5*'Tariffs Jul2019'!AL103/'Tariffs Jul2019'!AJ103-'Tariffs Jul2019'!M103)*'Tariffs Jul2019'!Y103/100*'Tariffs Jul2019'!AJ103,0)</f>
        <v>0</v>
      </c>
      <c r="O109" s="367">
        <f t="shared" si="13"/>
        <v>1145.28954</v>
      </c>
      <c r="P109" s="413">
        <f t="shared" si="10"/>
        <v>1259.8184940000001</v>
      </c>
      <c r="Q109" s="59">
        <f t="shared" si="14"/>
        <v>1400.78954</v>
      </c>
      <c r="R109" s="272">
        <f t="shared" si="15"/>
        <v>1540.8684940000001</v>
      </c>
      <c r="S109" s="40">
        <f>'Tariffs Jul2019'!AN103</f>
        <v>0</v>
      </c>
      <c r="T109" s="40">
        <f>'Tariffs Jul2019'!AO103</f>
        <v>0</v>
      </c>
      <c r="U109" s="40">
        <f>'Tariffs Jul2019'!AP103</f>
        <v>3</v>
      </c>
      <c r="V109" s="40">
        <f>'Tariffs Jul2019'!AQ103</f>
        <v>0</v>
      </c>
      <c r="W109" s="273">
        <f>Q109</f>
        <v>1400.78954</v>
      </c>
      <c r="X109" s="273">
        <f>W109-(Q109*U109/100)</f>
        <v>1358.7658538000001</v>
      </c>
      <c r="Y109" s="272">
        <f t="shared" si="16"/>
        <v>1540.8684940000001</v>
      </c>
      <c r="Z109" s="272">
        <f t="shared" si="16"/>
        <v>1494.6424391800001</v>
      </c>
      <c r="AA109" s="274">
        <f>'Tariffs Jul2019'!AZ103</f>
        <v>0</v>
      </c>
      <c r="AB109" s="274" t="str">
        <f>'Tariffs Jul2019'!BA103</f>
        <v>n</v>
      </c>
      <c r="AC109" s="275" t="str">
        <f>'Tariffs Jul2019'!BJ103</f>
        <v>N</v>
      </c>
      <c r="AD109" s="398"/>
      <c r="AE109" s="398"/>
      <c r="AF109" s="398"/>
      <c r="AG109" s="398"/>
      <c r="AH109" s="398"/>
      <c r="AI109" s="398"/>
      <c r="AJ109" s="398"/>
      <c r="AK109" s="398"/>
      <c r="AL109" s="398"/>
      <c r="AM109" s="398"/>
      <c r="AN109" s="398"/>
    </row>
    <row r="110" spans="1:40" x14ac:dyDescent="0.15">
      <c r="A110" s="270" t="str">
        <f>'Tariffs Jul2019'!F104</f>
        <v>Momentum Energy</v>
      </c>
      <c r="B110" s="40" t="str">
        <f>'Tariffs Jul2019'!D104</f>
        <v>AusNet Services Central 2</v>
      </c>
      <c r="C110" s="40" t="str">
        <f>'Tariffs Jul2019'!G104</f>
        <v>Market offer</v>
      </c>
      <c r="D110" s="59">
        <f>365*'Tariffs Jul2019'!H104/100</f>
        <v>347.69900000000001</v>
      </c>
      <c r="E110" s="59">
        <f>IF($C$5*'Tariffs Jul2019'!AK104/'Tariffs Jul2019'!AI104&gt;='Tariffs Jul2019'!J104,( 'Tariffs Jul2019'!J104*'Tariffs Jul2019'!O104/100)* 'Tariffs Jul2019'!AI104,($C$5*'Tariffs Jul2019'!AK104/'Tariffs Jul2019'!AI104*'Tariffs Jul2019'!O104/100)* 'Tariffs Jul2019'!AI104)</f>
        <v>214.2</v>
      </c>
      <c r="F110" s="59">
        <f>IF($C$5*'Tariffs Jul2019'!AK104/'Tariffs Jul2019'!AI104&lt;'Tariffs Jul2019'!J104,0,IF($C$5*'Tariffs Jul2019'!AK104/'Tariffs Jul2019'!AI104&lt;='Tariffs Jul2019'!K104,($C$5*'Tariffs Jul2019'!AK104/'Tariffs Jul2019'!AI104-'Tariffs Jul2019'!J104)*('Tariffs Jul2019'!P104/100)*'Tariffs Jul2019'!AI104,('Tariffs Jul2019'!K104-'Tariffs Jul2019'!J104)*('Tariffs Jul2019'!P104/100)*'Tariffs Jul2019'!AI104))</f>
        <v>140.72715599999998</v>
      </c>
      <c r="G110" s="59">
        <f>IF($C$5*'Tariffs Jul2019'!AK104/'Tariffs Jul2019'!AI104&lt;'Tariffs Jul2019'!K104,0,IF($C$5*'Tariffs Jul2019'!AK104/'Tariffs Jul2019'!AI104&lt;='Tariffs Jul2019'!L104,($C$5*'Tariffs Jul2019'!AK104/'Tariffs Jul2019'!AI104-'Tariffs Jul2019'!K104)*('Tariffs Jul2019'!Q104/100)*'Tariffs Jul2019'!AI104,('Tariffs Jul2019'!L104-'Tariffs Jul2019'!K104)*('Tariffs Jul2019'!Q104/100)*'Tariffs Jul2019'!AI104))</f>
        <v>0</v>
      </c>
      <c r="H110" s="59">
        <f>IF($C$5*'Tariffs Jul2019'!AK104/'Tariffs Jul2019'!AI104&lt;'Tariffs Jul2019'!L104,0,IF($C$5*'Tariffs Jul2019'!AK104/'Tariffs Jul2019'!AI104&lt;='Tariffs Jul2019'!M104,($C$5*'Tariffs Jul2019'!AK104/'Tariffs Jul2019'!AI104-'Tariffs Jul2019'!L104)*('Tariffs Jul2019'!R104/100)*'Tariffs Jul2019'!AI104,('Tariffs Jul2019'!M104-'Tariffs Jul2019'!L104)*('Tariffs Jul2019'!R104/100)*'Tariffs Jul2019'!AI104))</f>
        <v>0</v>
      </c>
      <c r="I110" s="59">
        <f>IF(($C$5*'Tariffs Jul2019'!AK104/'Tariffs Jul2019'!AI104&gt;'Tariffs Jul2019'!M104),($C$5*'Tariffs Jul2019'!AK104/'Tariffs Jul2019'!AI104-'Tariffs Jul2019'!M104)*'Tariffs Jul2019'!S104/100*'Tariffs Jul2019'!AI104,0)</f>
        <v>0</v>
      </c>
      <c r="J110" s="59">
        <f>IF($C$5*'Tariffs Jul2019'!AL104/'Tariffs Jul2019'!AJ104&gt;='Tariffs Jul2019'!J104,('Tariffs Jul2019'!J104*'Tariffs Jul2019'!U104/100)* 'Tariffs Jul2019'!AJ104,($C$5*'Tariffs Jul2019'!AL104/'Tariffs Jul2019'!AJ104*'Tariffs Jul2019'!U104/100)* 'Tariffs Jul2019'!AJ104)</f>
        <v>323.76</v>
      </c>
      <c r="K110" s="59">
        <f>IF($C$5*'Tariffs Jul2019'!AL104/'Tariffs Jul2019'!AJ104&lt;'Tariffs Jul2019'!J104,0,IF($C$5*'Tariffs Jul2019'!AL104/'Tariffs Jul2019'!AJ104&lt;='Tariffs Jul2019'!K104,($C$5*'Tariffs Jul2019'!AL104/'Tariffs Jul2019'!AJ104-'Tariffs Jul2019'!J104)*('Tariffs Jul2019'!V104/100)*'Tariffs Jul2019'!AJ104,('Tariffs Jul2019'!K104-'Tariffs Jul2019'!J104)*('Tariffs Jul2019'!V104/100)*'Tariffs Jul2019'!AJ104))</f>
        <v>238.26439199999993</v>
      </c>
      <c r="L110" s="59">
        <f>IF($C$5*'Tariffs Jul2019'!AL104/'Tariffs Jul2019'!AJ104&lt;'Tariffs Jul2019'!K104,0,IF($C$5*'Tariffs Jul2019'!AL104/'Tariffs Jul2019'!AJ104&lt;='Tariffs Jul2019'!L104,($C$5*'Tariffs Jul2019'!AL104/'Tariffs Jul2019'!AJ104-'Tariffs Jul2019'!K104)*('Tariffs Jul2019'!W104/100)*'Tariffs Jul2019'!AJ104,('Tariffs Jul2019'!L104-'Tariffs Jul2019'!K104)*('Tariffs Jul2019'!W104/100)*'Tariffs Jul2019'!AJ104))</f>
        <v>0</v>
      </c>
      <c r="M110" s="59">
        <f>IF($C$5*'Tariffs Jul2019'!AL104/'Tariffs Jul2019'!AJ104&lt;'Tariffs Jul2019'!L104,0,IF($C$5*'Tariffs Jul2019'!AL104/'Tariffs Jul2019'!AJ104&lt;='Tariffs Jul2019'!M104,($C$5*'Tariffs Jul2019'!AL104/'Tariffs Jul2019'!AJ104-'Tariffs Jul2019'!L104)*('Tariffs Jul2019'!X104/100)*'Tariffs Jul2019'!AJ104,('Tariffs Jul2019'!M104-'Tariffs Jul2019'!L104)*('Tariffs Jul2019'!X104/100)*'Tariffs Jul2019'!AJ104))</f>
        <v>0</v>
      </c>
      <c r="N110" s="59">
        <f>IF(($C$5*'Tariffs Jul2019'!AL104/'Tariffs Jul2019'!AJ104&gt;'Tariffs Jul2019'!M104),($C$5*'Tariffs Jul2019'!AL104/'Tariffs Jul2019'!AJ104-'Tariffs Jul2019'!M104)*'Tariffs Jul2019'!Y104/100*'Tariffs Jul2019'!AJ104,0)</f>
        <v>0</v>
      </c>
      <c r="O110" s="367">
        <f t="shared" si="13"/>
        <v>916.95154799999989</v>
      </c>
      <c r="P110" s="413">
        <f t="shared" si="10"/>
        <v>1008.6467028</v>
      </c>
      <c r="Q110" s="59">
        <f t="shared" si="14"/>
        <v>1264.6505479999998</v>
      </c>
      <c r="R110" s="272">
        <f t="shared" si="15"/>
        <v>1391.1156028</v>
      </c>
      <c r="S110" s="40">
        <f>'Tariffs Jul2019'!AN104</f>
        <v>0</v>
      </c>
      <c r="T110" s="40">
        <f>'Tariffs Jul2019'!AO104</f>
        <v>0</v>
      </c>
      <c r="U110" s="40">
        <f>'Tariffs Jul2019'!AP104</f>
        <v>0</v>
      </c>
      <c r="V110" s="40">
        <f>'Tariffs Jul2019'!AQ104</f>
        <v>0</v>
      </c>
      <c r="W110" s="273">
        <f>Q110</f>
        <v>1264.6505479999998</v>
      </c>
      <c r="X110" s="273">
        <f>W110</f>
        <v>1264.6505479999998</v>
      </c>
      <c r="Y110" s="272">
        <f t="shared" si="16"/>
        <v>1391.1156028</v>
      </c>
      <c r="Z110" s="272">
        <f t="shared" si="16"/>
        <v>1391.1156028</v>
      </c>
      <c r="AA110" s="274">
        <f>'Tariffs Jul2019'!AZ104</f>
        <v>0</v>
      </c>
      <c r="AB110" s="274" t="str">
        <f>'Tariffs Jul2019'!BA104</f>
        <v>n</v>
      </c>
      <c r="AC110" s="275" t="str">
        <f>'Tariffs Jul2019'!BJ104</f>
        <v>Y</v>
      </c>
      <c r="AD110" s="398"/>
      <c r="AE110" s="398"/>
      <c r="AF110" s="398"/>
      <c r="AG110" s="398"/>
      <c r="AH110" s="398"/>
      <c r="AI110" s="398"/>
      <c r="AJ110" s="398"/>
      <c r="AK110" s="398"/>
      <c r="AL110" s="398"/>
      <c r="AM110" s="398"/>
      <c r="AN110" s="398"/>
    </row>
    <row r="111" spans="1:40" x14ac:dyDescent="0.15">
      <c r="A111" s="270" t="str">
        <f>'Tariffs Jul2019'!F105</f>
        <v>Origin Energy</v>
      </c>
      <c r="B111" s="40" t="str">
        <f>'Tariffs Jul2019'!D105</f>
        <v>AusNet Services Central 2</v>
      </c>
      <c r="C111" s="40" t="str">
        <f>'Tariffs Jul2019'!G105</f>
        <v>Flexi</v>
      </c>
      <c r="D111" s="59">
        <f>365*'Tariffs Jul2019'!H105/100</f>
        <v>284.7</v>
      </c>
      <c r="E111" s="59">
        <f>IF($C$5*'Tariffs Jul2019'!AK105/'Tariffs Jul2019'!AI105&gt;='Tariffs Jul2019'!J105,( 'Tariffs Jul2019'!J105*'Tariffs Jul2019'!O105/100)* 'Tariffs Jul2019'!AI105,($C$5*'Tariffs Jul2019'!AK105/'Tariffs Jul2019'!AI105*'Tariffs Jul2019'!O105/100)* 'Tariffs Jul2019'!AI105)</f>
        <v>168</v>
      </c>
      <c r="F111" s="59">
        <f>IF($C$5*'Tariffs Jul2019'!AK105/'Tariffs Jul2019'!AI105&lt;'Tariffs Jul2019'!J105,0,IF($C$5*'Tariffs Jul2019'!AK105/'Tariffs Jul2019'!AI105&lt;='Tariffs Jul2019'!K105,($C$5*'Tariffs Jul2019'!AK105/'Tariffs Jul2019'!AI105-'Tariffs Jul2019'!J105)*('Tariffs Jul2019'!P105/100)*'Tariffs Jul2019'!AI105,('Tariffs Jul2019'!K105-'Tariffs Jul2019'!J105)*('Tariffs Jul2019'!P105/100)*'Tariffs Jul2019'!AI105))</f>
        <v>0</v>
      </c>
      <c r="G111" s="59">
        <f>IF($C$5*'Tariffs Jul2019'!AK105/'Tariffs Jul2019'!AI105&lt;'Tariffs Jul2019'!K105,0,IF($C$5*'Tariffs Jul2019'!AK105/'Tariffs Jul2019'!AI105&lt;='Tariffs Jul2019'!L105,($C$5*'Tariffs Jul2019'!AK105/'Tariffs Jul2019'!AI105-'Tariffs Jul2019'!K105)*('Tariffs Jul2019'!Q105/100)*'Tariffs Jul2019'!AI105,('Tariffs Jul2019'!L105-'Tariffs Jul2019'!K105)*('Tariffs Jul2019'!Q105/100)*'Tariffs Jul2019'!AI105))</f>
        <v>0</v>
      </c>
      <c r="H111" s="59">
        <f>IF($C$5*'Tariffs Jul2019'!AK105/'Tariffs Jul2019'!AI105&lt;'Tariffs Jul2019'!L105,0,IF($C$5*'Tariffs Jul2019'!AK105/'Tariffs Jul2019'!AI105&lt;='Tariffs Jul2019'!M105,($C$5*'Tariffs Jul2019'!AK105/'Tariffs Jul2019'!AI105-'Tariffs Jul2019'!L105)*('Tariffs Jul2019'!R105/100)*'Tariffs Jul2019'!AI105,('Tariffs Jul2019'!M105-'Tariffs Jul2019'!L105)*('Tariffs Jul2019'!R105/100)*'Tariffs Jul2019'!AI105))</f>
        <v>0</v>
      </c>
      <c r="I111" s="59">
        <f>IF(($C$5*'Tariffs Jul2019'!AK105/'Tariffs Jul2019'!AI105&gt;'Tariffs Jul2019'!M105),($C$5*'Tariffs Jul2019'!AK105/'Tariffs Jul2019'!AI105-'Tariffs Jul2019'!M105)*'Tariffs Jul2019'!S105/100*'Tariffs Jul2019'!AI105,0)</f>
        <v>329.9538</v>
      </c>
      <c r="J111" s="59">
        <f>IF($C$5*'Tariffs Jul2019'!AL105/'Tariffs Jul2019'!AJ105&gt;='Tariffs Jul2019'!J105,('Tariffs Jul2019'!J105*'Tariffs Jul2019'!U105/100)* 'Tariffs Jul2019'!AJ105,($C$5*'Tariffs Jul2019'!AL105/'Tariffs Jul2019'!AJ105*'Tariffs Jul2019'!U105/100)* 'Tariffs Jul2019'!AJ105)</f>
        <v>240</v>
      </c>
      <c r="K111" s="59">
        <f>IF($C$5*'Tariffs Jul2019'!AL105/'Tariffs Jul2019'!AJ105&lt;'Tariffs Jul2019'!J105,0,IF($C$5*'Tariffs Jul2019'!AL105/'Tariffs Jul2019'!AJ105&lt;='Tariffs Jul2019'!K105,($C$5*'Tariffs Jul2019'!AL105/'Tariffs Jul2019'!AJ105-'Tariffs Jul2019'!J105)*('Tariffs Jul2019'!V105/100)*'Tariffs Jul2019'!AJ105,('Tariffs Jul2019'!K105-'Tariffs Jul2019'!J105)*('Tariffs Jul2019'!V105/100)*'Tariffs Jul2019'!AJ105))</f>
        <v>0</v>
      </c>
      <c r="L111" s="59">
        <f>IF($C$5*'Tariffs Jul2019'!AL105/'Tariffs Jul2019'!AJ105&lt;'Tariffs Jul2019'!K105,0,IF($C$5*'Tariffs Jul2019'!AL105/'Tariffs Jul2019'!AJ105&lt;='Tariffs Jul2019'!L105,($C$5*'Tariffs Jul2019'!AL105/'Tariffs Jul2019'!AJ105-'Tariffs Jul2019'!K105)*('Tariffs Jul2019'!W105/100)*'Tariffs Jul2019'!AJ105,('Tariffs Jul2019'!L105-'Tariffs Jul2019'!K105)*('Tariffs Jul2019'!W105/100)*'Tariffs Jul2019'!AJ105))</f>
        <v>0</v>
      </c>
      <c r="M111" s="59">
        <f>IF($C$5*'Tariffs Jul2019'!AL105/'Tariffs Jul2019'!AJ105&lt;'Tariffs Jul2019'!L105,0,IF($C$5*'Tariffs Jul2019'!AL105/'Tariffs Jul2019'!AJ105&lt;='Tariffs Jul2019'!M105,($C$5*'Tariffs Jul2019'!AL105/'Tariffs Jul2019'!AJ105-'Tariffs Jul2019'!L105)*('Tariffs Jul2019'!X105/100)*'Tariffs Jul2019'!AJ105,('Tariffs Jul2019'!M105-'Tariffs Jul2019'!L105)*('Tariffs Jul2019'!X105/100)*'Tariffs Jul2019'!AJ105))</f>
        <v>0</v>
      </c>
      <c r="N111" s="59">
        <f>IF(($C$5*'Tariffs Jul2019'!AL105/'Tariffs Jul2019'!AJ105&gt;'Tariffs Jul2019'!M105),($C$5*'Tariffs Jul2019'!AL105/'Tariffs Jul2019'!AJ105-'Tariffs Jul2019'!M105)*'Tariffs Jul2019'!Y105/100*'Tariffs Jul2019'!AJ105,0)</f>
        <v>479.93279999999999</v>
      </c>
      <c r="O111" s="367">
        <f t="shared" si="13"/>
        <v>1217.8866</v>
      </c>
      <c r="P111" s="413">
        <f t="shared" si="10"/>
        <v>1339.6752600000002</v>
      </c>
      <c r="Q111" s="59">
        <f t="shared" si="14"/>
        <v>1502.5866000000001</v>
      </c>
      <c r="R111" s="272">
        <f t="shared" si="15"/>
        <v>1652.8452600000003</v>
      </c>
      <c r="S111" s="40">
        <f>'Tariffs Jul2019'!AN105</f>
        <v>10</v>
      </c>
      <c r="T111" s="40">
        <f>'Tariffs Jul2019'!AO105</f>
        <v>0</v>
      </c>
      <c r="U111" s="40">
        <f>'Tariffs Jul2019'!AP105</f>
        <v>0</v>
      </c>
      <c r="V111" s="40">
        <f>'Tariffs Jul2019'!AQ105</f>
        <v>0</v>
      </c>
      <c r="W111" s="273">
        <f>R111-(R111*S111/100)</f>
        <v>1487.5607340000001</v>
      </c>
      <c r="X111" s="273">
        <f>W111</f>
        <v>1487.5607340000001</v>
      </c>
      <c r="Y111" s="272">
        <f>W111</f>
        <v>1487.5607340000001</v>
      </c>
      <c r="Z111" s="272">
        <f>X111</f>
        <v>1487.5607340000001</v>
      </c>
      <c r="AA111" s="274">
        <f>'Tariffs Jul2019'!AZ105</f>
        <v>0</v>
      </c>
      <c r="AB111" s="274" t="str">
        <f>'Tariffs Jul2019'!BA105</f>
        <v>n</v>
      </c>
      <c r="AC111" s="275" t="str">
        <f>'Tariffs Jul2019'!BJ105</f>
        <v>N</v>
      </c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</row>
    <row r="112" spans="1:40" x14ac:dyDescent="0.15">
      <c r="A112" s="270" t="str">
        <f>'Tariffs Jul2019'!F106</f>
        <v>Red Energy</v>
      </c>
      <c r="B112" s="40" t="str">
        <f>'Tariffs Jul2019'!D106</f>
        <v>AusNet Services Central 2</v>
      </c>
      <c r="C112" s="40" t="str">
        <f>'Tariffs Jul2019'!G106</f>
        <v>Easy Saver</v>
      </c>
      <c r="D112" s="59">
        <f>365*'Tariffs Jul2019'!H106/100</f>
        <v>293.46000000000004</v>
      </c>
      <c r="E112" s="59">
        <f>IF($C$5*'Tariffs Jul2019'!AK106/'Tariffs Jul2019'!AI106&gt;='Tariffs Jul2019'!J106,( 'Tariffs Jul2019'!J106*'Tariffs Jul2019'!O106/100)* 'Tariffs Jul2019'!AI106,($C$5*'Tariffs Jul2019'!AK106/'Tariffs Jul2019'!AI106*'Tariffs Jul2019'!O106/100)* 'Tariffs Jul2019'!AI106)</f>
        <v>151.19999999999999</v>
      </c>
      <c r="F112" s="59">
        <f>IF($C$5*'Tariffs Jul2019'!AK106/'Tariffs Jul2019'!AI106&lt;'Tariffs Jul2019'!J106,0,IF($C$5*'Tariffs Jul2019'!AK106/'Tariffs Jul2019'!AI106&lt;='Tariffs Jul2019'!K106,($C$5*'Tariffs Jul2019'!AK106/'Tariffs Jul2019'!AI106-'Tariffs Jul2019'!J106)*('Tariffs Jul2019'!P106/100)*'Tariffs Jul2019'!AI106,('Tariffs Jul2019'!K106-'Tariffs Jul2019'!J106)*('Tariffs Jul2019'!P106/100)*'Tariffs Jul2019'!AI106))</f>
        <v>0</v>
      </c>
      <c r="G112" s="59">
        <f>IF($C$5*'Tariffs Jul2019'!AK106/'Tariffs Jul2019'!AI106&lt;'Tariffs Jul2019'!K106,0,IF($C$5*'Tariffs Jul2019'!AK106/'Tariffs Jul2019'!AI106&lt;='Tariffs Jul2019'!L106,($C$5*'Tariffs Jul2019'!AK106/'Tariffs Jul2019'!AI106-'Tariffs Jul2019'!K106)*('Tariffs Jul2019'!Q106/100)*'Tariffs Jul2019'!AI106,('Tariffs Jul2019'!L106-'Tariffs Jul2019'!K106)*('Tariffs Jul2019'!Q106/100)*'Tariffs Jul2019'!AI106))</f>
        <v>0</v>
      </c>
      <c r="H112" s="59">
        <f>IF($C$5*'Tariffs Jul2019'!AK106/'Tariffs Jul2019'!AI106&lt;'Tariffs Jul2019'!L106,0,IF($C$5*'Tariffs Jul2019'!AK106/'Tariffs Jul2019'!AI106&lt;='Tariffs Jul2019'!M106,($C$5*'Tariffs Jul2019'!AK106/'Tariffs Jul2019'!AI106-'Tariffs Jul2019'!L106)*('Tariffs Jul2019'!R106/100)*'Tariffs Jul2019'!AI106,('Tariffs Jul2019'!M106-'Tariffs Jul2019'!L106)*('Tariffs Jul2019'!R106/100)*'Tariffs Jul2019'!AI106))</f>
        <v>0</v>
      </c>
      <c r="I112" s="59">
        <f>IF(($C$5*'Tariffs Jul2019'!AK106/'Tariffs Jul2019'!AI106&gt;'Tariffs Jul2019'!M106),($C$5*'Tariffs Jul2019'!AK106/'Tariffs Jul2019'!AI106-'Tariffs Jul2019'!M106)*'Tariffs Jul2019'!S106/100*'Tariffs Jul2019'!AI106,0)</f>
        <v>308.65589999999997</v>
      </c>
      <c r="J112" s="59">
        <f>IF($C$5*'Tariffs Jul2019'!AL106/'Tariffs Jul2019'!AJ106&gt;='Tariffs Jul2019'!J106,('Tariffs Jul2019'!J106*'Tariffs Jul2019'!U106/100)* 'Tariffs Jul2019'!AJ106,($C$5*'Tariffs Jul2019'!AL106/'Tariffs Jul2019'!AJ106*'Tariffs Jul2019'!U106/100)* 'Tariffs Jul2019'!AJ106)</f>
        <v>252</v>
      </c>
      <c r="K112" s="59">
        <f>IF($C$5*'Tariffs Jul2019'!AL106/'Tariffs Jul2019'!AJ106&lt;'Tariffs Jul2019'!J106,0,IF($C$5*'Tariffs Jul2019'!AL106/'Tariffs Jul2019'!AJ106&lt;='Tariffs Jul2019'!K106,($C$5*'Tariffs Jul2019'!AL106/'Tariffs Jul2019'!AJ106-'Tariffs Jul2019'!J106)*('Tariffs Jul2019'!V106/100)*'Tariffs Jul2019'!AJ106,('Tariffs Jul2019'!K106-'Tariffs Jul2019'!J106)*('Tariffs Jul2019'!V106/100)*'Tariffs Jul2019'!AJ106))</f>
        <v>0</v>
      </c>
      <c r="L112" s="59">
        <f>IF($C$5*'Tariffs Jul2019'!AL106/'Tariffs Jul2019'!AJ106&lt;'Tariffs Jul2019'!K106,0,IF($C$5*'Tariffs Jul2019'!AL106/'Tariffs Jul2019'!AJ106&lt;='Tariffs Jul2019'!L106,($C$5*'Tariffs Jul2019'!AL106/'Tariffs Jul2019'!AJ106-'Tariffs Jul2019'!K106)*('Tariffs Jul2019'!W106/100)*'Tariffs Jul2019'!AJ106,('Tariffs Jul2019'!L106-'Tariffs Jul2019'!K106)*('Tariffs Jul2019'!W106/100)*'Tariffs Jul2019'!AJ106))</f>
        <v>0</v>
      </c>
      <c r="M112" s="59">
        <f>IF($C$5*'Tariffs Jul2019'!AL106/'Tariffs Jul2019'!AJ106&lt;'Tariffs Jul2019'!L106,0,IF($C$5*'Tariffs Jul2019'!AL106/'Tariffs Jul2019'!AJ106&lt;='Tariffs Jul2019'!M106,($C$5*'Tariffs Jul2019'!AL106/'Tariffs Jul2019'!AJ106-'Tariffs Jul2019'!L106)*('Tariffs Jul2019'!X106/100)*'Tariffs Jul2019'!AJ106,('Tariffs Jul2019'!M106-'Tariffs Jul2019'!L106)*('Tariffs Jul2019'!X106/100)*'Tariffs Jul2019'!AJ106))</f>
        <v>0</v>
      </c>
      <c r="N112" s="59">
        <f>IF(($C$5*'Tariffs Jul2019'!AL106/'Tariffs Jul2019'!AJ106&gt;'Tariffs Jul2019'!M106),($C$5*'Tariffs Jul2019'!AL106/'Tariffs Jul2019'!AJ106-'Tariffs Jul2019'!M106)*'Tariffs Jul2019'!Y106/100*'Tariffs Jul2019'!AJ106,0)</f>
        <v>499.72859999999991</v>
      </c>
      <c r="O112" s="367">
        <f t="shared" si="13"/>
        <v>1211.5844999999999</v>
      </c>
      <c r="P112" s="413">
        <f t="shared" si="10"/>
        <v>1332.7429500000001</v>
      </c>
      <c r="Q112" s="59">
        <f t="shared" si="14"/>
        <v>1505.0445</v>
      </c>
      <c r="R112" s="272">
        <f t="shared" si="15"/>
        <v>1655.5489500000001</v>
      </c>
      <c r="S112" s="40">
        <f>'Tariffs Jul2019'!AN106</f>
        <v>0</v>
      </c>
      <c r="T112" s="40">
        <f>'Tariffs Jul2019'!AO106</f>
        <v>0</v>
      </c>
      <c r="U112" s="40">
        <f>'Tariffs Jul2019'!AP106</f>
        <v>10</v>
      </c>
      <c r="V112" s="40">
        <f>'Tariffs Jul2019'!AQ106</f>
        <v>0</v>
      </c>
      <c r="W112" s="273">
        <f>R112</f>
        <v>1655.5489500000001</v>
      </c>
      <c r="X112" s="273">
        <f>W112-(W112*U112/100)</f>
        <v>1489.9940550000001</v>
      </c>
      <c r="Y112" s="272">
        <f>W112</f>
        <v>1655.5489500000001</v>
      </c>
      <c r="Z112" s="272">
        <f>X112</f>
        <v>1489.9940550000001</v>
      </c>
      <c r="AA112" s="274">
        <f>'Tariffs Jul2019'!AZ106</f>
        <v>0</v>
      </c>
      <c r="AB112" s="274" t="str">
        <f>'Tariffs Jul2019'!BA106</f>
        <v>n</v>
      </c>
      <c r="AC112" s="275" t="str">
        <f>'Tariffs Jul2019'!BJ106</f>
        <v>N</v>
      </c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</row>
    <row r="113" spans="1:40" x14ac:dyDescent="0.15">
      <c r="A113" s="270" t="str">
        <f>'Tariffs Jul2019'!F107</f>
        <v>Simply Energy</v>
      </c>
      <c r="B113" s="40" t="str">
        <f>'Tariffs Jul2019'!D107</f>
        <v>AusNet Services Central 2</v>
      </c>
      <c r="C113" s="40" t="str">
        <f>'Tariffs Jul2019'!G107</f>
        <v>Plus</v>
      </c>
      <c r="D113" s="59">
        <f>365*'Tariffs Jul2019'!H107/100</f>
        <v>316.72045454545452</v>
      </c>
      <c r="E113" s="59">
        <f>IF($C$5*'Tariffs Jul2019'!AK107/'Tariffs Jul2019'!AI107&gt;='Tariffs Jul2019'!J107,( 'Tariffs Jul2019'!J107*'Tariffs Jul2019'!O107/100)* 'Tariffs Jul2019'!AI107,($C$5*'Tariffs Jul2019'!AK107/'Tariffs Jul2019'!AI107*'Tariffs Jul2019'!O107/100)* 'Tariffs Jul2019'!AI107)</f>
        <v>267.27272727272725</v>
      </c>
      <c r="F113" s="59">
        <f>IF($C$5*'Tariffs Jul2019'!AK107/'Tariffs Jul2019'!AI107&lt;'Tariffs Jul2019'!J107,0,IF($C$5*'Tariffs Jul2019'!AK107/'Tariffs Jul2019'!AI107&lt;='Tariffs Jul2019'!K107,($C$5*'Tariffs Jul2019'!AK107/'Tariffs Jul2019'!AI107-'Tariffs Jul2019'!J107)*('Tariffs Jul2019'!P107/100)*'Tariffs Jul2019'!AI107,('Tariffs Jul2019'!K107-'Tariffs Jul2019'!J107)*('Tariffs Jul2019'!P107/100)*'Tariffs Jul2019'!AI107))</f>
        <v>169.32411818181814</v>
      </c>
      <c r="G113" s="59">
        <f>IF($C$5*'Tariffs Jul2019'!AK107/'Tariffs Jul2019'!AI107&lt;'Tariffs Jul2019'!K107,0,IF($C$5*'Tariffs Jul2019'!AK107/'Tariffs Jul2019'!AI107&lt;='Tariffs Jul2019'!L107,($C$5*'Tariffs Jul2019'!AK107/'Tariffs Jul2019'!AI107-'Tariffs Jul2019'!K107)*('Tariffs Jul2019'!Q107/100)*'Tariffs Jul2019'!AI107,('Tariffs Jul2019'!L107-'Tariffs Jul2019'!K107)*('Tariffs Jul2019'!Q107/100)*'Tariffs Jul2019'!AI107))</f>
        <v>0</v>
      </c>
      <c r="H113" s="59">
        <f>IF($C$5*'Tariffs Jul2019'!AK107/'Tariffs Jul2019'!AI107&lt;'Tariffs Jul2019'!L107,0,IF($C$5*'Tariffs Jul2019'!AK107/'Tariffs Jul2019'!AI107&lt;='Tariffs Jul2019'!M107,($C$5*'Tariffs Jul2019'!AK107/'Tariffs Jul2019'!AI107-'Tariffs Jul2019'!L107)*('Tariffs Jul2019'!R107/100)*'Tariffs Jul2019'!AI107,('Tariffs Jul2019'!M107-'Tariffs Jul2019'!L107)*('Tariffs Jul2019'!R107/100)*'Tariffs Jul2019'!AI107))</f>
        <v>0</v>
      </c>
      <c r="I113" s="59">
        <f>IF(($C$5*'Tariffs Jul2019'!AK107/'Tariffs Jul2019'!AI107&gt;'Tariffs Jul2019'!M107),($C$5*'Tariffs Jul2019'!AK107/'Tariffs Jul2019'!AI107-'Tariffs Jul2019'!M107)*'Tariffs Jul2019'!S107/100*'Tariffs Jul2019'!AI107,0)</f>
        <v>0</v>
      </c>
      <c r="J113" s="59">
        <f>IF($C$5*'Tariffs Jul2019'!AL107/'Tariffs Jul2019'!AJ107&gt;='Tariffs Jul2019'!J107,('Tariffs Jul2019'!J107*'Tariffs Jul2019'!U107/100)* 'Tariffs Jul2019'!AJ107,($C$5*'Tariffs Jul2019'!AL107/'Tariffs Jul2019'!AJ107*'Tariffs Jul2019'!U107/100)* 'Tariffs Jul2019'!AJ107)</f>
        <v>399.27272727272725</v>
      </c>
      <c r="K113" s="59">
        <f>IF($C$5*'Tariffs Jul2019'!AL107/'Tariffs Jul2019'!AJ107&lt;'Tariffs Jul2019'!J107,0,IF($C$5*'Tariffs Jul2019'!AL107/'Tariffs Jul2019'!AJ107&lt;='Tariffs Jul2019'!K107,($C$5*'Tariffs Jul2019'!AL107/'Tariffs Jul2019'!AJ107-'Tariffs Jul2019'!J107)*('Tariffs Jul2019'!V107/100)*'Tariffs Jul2019'!AJ107,('Tariffs Jul2019'!K107-'Tariffs Jul2019'!J107)*('Tariffs Jul2019'!V107/100)*'Tariffs Jul2019'!AJ107))</f>
        <v>287.93279999999993</v>
      </c>
      <c r="L113" s="59">
        <f>IF($C$5*'Tariffs Jul2019'!AL107/'Tariffs Jul2019'!AJ107&lt;'Tariffs Jul2019'!K107,0,IF($C$5*'Tariffs Jul2019'!AL107/'Tariffs Jul2019'!AJ107&lt;='Tariffs Jul2019'!L107,($C$5*'Tariffs Jul2019'!AL107/'Tariffs Jul2019'!AJ107-'Tariffs Jul2019'!K107)*('Tariffs Jul2019'!W107/100)*'Tariffs Jul2019'!AJ107,('Tariffs Jul2019'!L107-'Tariffs Jul2019'!K107)*('Tariffs Jul2019'!W107/100)*'Tariffs Jul2019'!AJ107))</f>
        <v>0</v>
      </c>
      <c r="M113" s="59">
        <f>IF($C$5*'Tariffs Jul2019'!AL107/'Tariffs Jul2019'!AJ107&lt;'Tariffs Jul2019'!L107,0,IF($C$5*'Tariffs Jul2019'!AL107/'Tariffs Jul2019'!AJ107&lt;='Tariffs Jul2019'!M107,($C$5*'Tariffs Jul2019'!AL107/'Tariffs Jul2019'!AJ107-'Tariffs Jul2019'!L107)*('Tariffs Jul2019'!X107/100)*'Tariffs Jul2019'!AJ107,('Tariffs Jul2019'!M107-'Tariffs Jul2019'!L107)*('Tariffs Jul2019'!X107/100)*'Tariffs Jul2019'!AJ107))</f>
        <v>0</v>
      </c>
      <c r="N113" s="59">
        <f>IF(($C$5*'Tariffs Jul2019'!AL107/'Tariffs Jul2019'!AJ107&gt;'Tariffs Jul2019'!M107),($C$5*'Tariffs Jul2019'!AL107/'Tariffs Jul2019'!AJ107-'Tariffs Jul2019'!M107)*'Tariffs Jul2019'!Y107/100*'Tariffs Jul2019'!AJ107,0)</f>
        <v>0</v>
      </c>
      <c r="O113" s="367">
        <f t="shared" si="13"/>
        <v>1123.8023727272725</v>
      </c>
      <c r="P113" s="413">
        <f t="shared" si="10"/>
        <v>1236.1826099999998</v>
      </c>
      <c r="Q113" s="59">
        <f t="shared" si="14"/>
        <v>1440.522827272727</v>
      </c>
      <c r="R113" s="272">
        <f t="shared" si="15"/>
        <v>1584.5751099999998</v>
      </c>
      <c r="S113" s="40">
        <f>'Tariffs Jul2019'!AN107</f>
        <v>0</v>
      </c>
      <c r="T113" s="40">
        <f>'Tariffs Jul2019'!AO107</f>
        <v>0</v>
      </c>
      <c r="U113" s="40">
        <f>'Tariffs Jul2019'!AP107</f>
        <v>0</v>
      </c>
      <c r="V113" s="40">
        <f>'Tariffs Jul2019'!AQ107</f>
        <v>0</v>
      </c>
      <c r="W113" s="273">
        <f t="shared" ref="W113:W118" si="17">Q113</f>
        <v>1440.522827272727</v>
      </c>
      <c r="X113" s="273">
        <f>W113</f>
        <v>1440.522827272727</v>
      </c>
      <c r="Y113" s="272">
        <f t="shared" si="16"/>
        <v>1584.5751099999998</v>
      </c>
      <c r="Z113" s="272">
        <f t="shared" si="16"/>
        <v>1584.5751099999998</v>
      </c>
      <c r="AA113" s="274">
        <f>'Tariffs Jul2019'!AZ107</f>
        <v>0</v>
      </c>
      <c r="AB113" s="274" t="str">
        <f>'Tariffs Jul2019'!BA107</f>
        <v>n</v>
      </c>
      <c r="AC113" s="275" t="str">
        <f>'Tariffs Jul2019'!BJ107</f>
        <v>Y</v>
      </c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</row>
    <row r="114" spans="1:40" x14ac:dyDescent="0.15">
      <c r="A114" s="270" t="str">
        <f>'Tariffs Jul2019'!F108</f>
        <v>Sumo Power</v>
      </c>
      <c r="B114" s="40" t="str">
        <f>'Tariffs Jul2019'!D108</f>
        <v>AusNet Services Central 2</v>
      </c>
      <c r="C114" s="40" t="str">
        <f>'Tariffs Jul2019'!G108</f>
        <v>Select</v>
      </c>
      <c r="D114" s="59">
        <f>365*'Tariffs Jul2019'!H108/100</f>
        <v>292</v>
      </c>
      <c r="E114" s="59">
        <f>IF($C$5*'Tariffs Jul2019'!AK108/'Tariffs Jul2019'!AI108&gt;='Tariffs Jul2019'!J108,( 'Tariffs Jul2019'!J108*'Tariffs Jul2019'!O108/100)* 'Tariffs Jul2019'!AI108,($C$5*'Tariffs Jul2019'!AK108/'Tariffs Jul2019'!AI108*'Tariffs Jul2019'!O108/100)* 'Tariffs Jul2019'!AI108)</f>
        <v>232.36363636363632</v>
      </c>
      <c r="F114" s="59">
        <f>IF($C$5*'Tariffs Jul2019'!AK108/'Tariffs Jul2019'!AI108&lt;'Tariffs Jul2019'!J108,0,IF($C$5*'Tariffs Jul2019'!AK108/'Tariffs Jul2019'!AI108&lt;='Tariffs Jul2019'!K108,($C$5*'Tariffs Jul2019'!AK108/'Tariffs Jul2019'!AI108-'Tariffs Jul2019'!J108)*('Tariffs Jul2019'!P108/100)*'Tariffs Jul2019'!AI108,('Tariffs Jul2019'!K108-'Tariffs Jul2019'!J108)*('Tariffs Jul2019'!P108/100)*'Tariffs Jul2019'!AI108))</f>
        <v>173.41407272727267</v>
      </c>
      <c r="G114" s="59">
        <f>IF($C$5*'Tariffs Jul2019'!AK108/'Tariffs Jul2019'!AI108&lt;'Tariffs Jul2019'!K108,0,IF($C$5*'Tariffs Jul2019'!AK108/'Tariffs Jul2019'!AI108&lt;='Tariffs Jul2019'!L108,($C$5*'Tariffs Jul2019'!AK108/'Tariffs Jul2019'!AI108-'Tariffs Jul2019'!K108)*('Tariffs Jul2019'!Q108/100)*'Tariffs Jul2019'!AI108,('Tariffs Jul2019'!L108-'Tariffs Jul2019'!K108)*('Tariffs Jul2019'!Q108/100)*'Tariffs Jul2019'!AI108))</f>
        <v>0</v>
      </c>
      <c r="H114" s="59">
        <f>IF($C$5*'Tariffs Jul2019'!AK108/'Tariffs Jul2019'!AI108&lt;'Tariffs Jul2019'!L108,0,IF($C$5*'Tariffs Jul2019'!AK108/'Tariffs Jul2019'!AI108&lt;='Tariffs Jul2019'!M108,($C$5*'Tariffs Jul2019'!AK108/'Tariffs Jul2019'!AI108-'Tariffs Jul2019'!L108)*('Tariffs Jul2019'!R108/100)*'Tariffs Jul2019'!AI108,('Tariffs Jul2019'!M108-'Tariffs Jul2019'!L108)*('Tariffs Jul2019'!R108/100)*'Tariffs Jul2019'!AI108))</f>
        <v>0</v>
      </c>
      <c r="I114" s="59">
        <f>IF(($C$5*'Tariffs Jul2019'!AK108/'Tariffs Jul2019'!AI108&gt;'Tariffs Jul2019'!M108),($C$5*'Tariffs Jul2019'!AK108/'Tariffs Jul2019'!AI108-'Tariffs Jul2019'!M108)*'Tariffs Jul2019'!S108/100*'Tariffs Jul2019'!AI108,0)</f>
        <v>0</v>
      </c>
      <c r="J114" s="59">
        <f>IF($C$5*'Tariffs Jul2019'!AL108/'Tariffs Jul2019'!AJ108&gt;='Tariffs Jul2019'!J108,('Tariffs Jul2019'!J108*'Tariffs Jul2019'!U108/100)* 'Tariffs Jul2019'!AJ108,($C$5*'Tariffs Jul2019'!AL108/'Tariffs Jul2019'!AJ108*'Tariffs Jul2019'!U108/100)* 'Tariffs Jul2019'!AJ108)</f>
        <v>425.45454545454538</v>
      </c>
      <c r="K114" s="59">
        <f>IF($C$5*'Tariffs Jul2019'!AL108/'Tariffs Jul2019'!AJ108&lt;'Tariffs Jul2019'!J108,0,IF($C$5*'Tariffs Jul2019'!AL108/'Tariffs Jul2019'!AJ108&lt;='Tariffs Jul2019'!K108,($C$5*'Tariffs Jul2019'!AL108/'Tariffs Jul2019'!AJ108-'Tariffs Jul2019'!J108)*('Tariffs Jul2019'!V108/100)*'Tariffs Jul2019'!AJ108,('Tariffs Jul2019'!K108-'Tariffs Jul2019'!J108)*('Tariffs Jul2019'!V108/100)*'Tariffs Jul2019'!AJ108))</f>
        <v>315.74449090909081</v>
      </c>
      <c r="L114" s="59">
        <f>IF($C$5*'Tariffs Jul2019'!AL108/'Tariffs Jul2019'!AJ108&lt;'Tariffs Jul2019'!K108,0,IF($C$5*'Tariffs Jul2019'!AL108/'Tariffs Jul2019'!AJ108&lt;='Tariffs Jul2019'!L108,($C$5*'Tariffs Jul2019'!AL108/'Tariffs Jul2019'!AJ108-'Tariffs Jul2019'!K108)*('Tariffs Jul2019'!W108/100)*'Tariffs Jul2019'!AJ108,('Tariffs Jul2019'!L108-'Tariffs Jul2019'!K108)*('Tariffs Jul2019'!W108/100)*'Tariffs Jul2019'!AJ108))</f>
        <v>0</v>
      </c>
      <c r="M114" s="59">
        <f>IF($C$5*'Tariffs Jul2019'!AL108/'Tariffs Jul2019'!AJ108&lt;'Tariffs Jul2019'!L108,0,IF($C$5*'Tariffs Jul2019'!AL108/'Tariffs Jul2019'!AJ108&lt;='Tariffs Jul2019'!M108,($C$5*'Tariffs Jul2019'!AL108/'Tariffs Jul2019'!AJ108-'Tariffs Jul2019'!L108)*('Tariffs Jul2019'!X108/100)*'Tariffs Jul2019'!AJ108,('Tariffs Jul2019'!M108-'Tariffs Jul2019'!L108)*('Tariffs Jul2019'!X108/100)*'Tariffs Jul2019'!AJ108))</f>
        <v>0</v>
      </c>
      <c r="N114" s="59">
        <f>IF(($C$5*'Tariffs Jul2019'!AL108/'Tariffs Jul2019'!AJ108&gt;'Tariffs Jul2019'!M108),($C$5*'Tariffs Jul2019'!AL108/'Tariffs Jul2019'!AJ108-'Tariffs Jul2019'!M108)*'Tariffs Jul2019'!Y108/100*'Tariffs Jul2019'!AJ108,0)</f>
        <v>0</v>
      </c>
      <c r="O114" s="367">
        <f t="shared" si="13"/>
        <v>1146.9767454545452</v>
      </c>
      <c r="P114" s="413">
        <f t="shared" si="10"/>
        <v>1261.6744199999998</v>
      </c>
      <c r="Q114" s="59">
        <f t="shared" si="14"/>
        <v>1438.9767454545452</v>
      </c>
      <c r="R114" s="272">
        <f t="shared" si="15"/>
        <v>1582.8744199999999</v>
      </c>
      <c r="S114" s="40">
        <f>'Tariffs Jul2019'!AN108</f>
        <v>0</v>
      </c>
      <c r="T114" s="40">
        <f>'Tariffs Jul2019'!AO108</f>
        <v>0</v>
      </c>
      <c r="U114" s="40">
        <f>'Tariffs Jul2019'!AP108</f>
        <v>5</v>
      </c>
      <c r="V114" s="40">
        <f>'Tariffs Jul2019'!AQ108</f>
        <v>0</v>
      </c>
      <c r="W114" s="273">
        <f t="shared" si="17"/>
        <v>1438.9767454545452</v>
      </c>
      <c r="X114" s="273">
        <f>W114-(Q114*U114/100)</f>
        <v>1367.0279081818178</v>
      </c>
      <c r="Y114" s="272">
        <f t="shared" si="16"/>
        <v>1582.8744199999999</v>
      </c>
      <c r="Z114" s="272">
        <f t="shared" si="16"/>
        <v>1503.7306989999997</v>
      </c>
      <c r="AA114" s="274">
        <f>'Tariffs Jul2019'!AZ108</f>
        <v>0</v>
      </c>
      <c r="AB114" s="274" t="str">
        <f>'Tariffs Jul2019'!BA108</f>
        <v>n</v>
      </c>
      <c r="AC114" s="275" t="str">
        <f>'Tariffs Jul2019'!BJ108</f>
        <v>Y</v>
      </c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</row>
    <row r="115" spans="1:40" x14ac:dyDescent="0.15">
      <c r="A115" s="270" t="str">
        <f>'Tariffs Jul2019'!F109</f>
        <v>Amaysim</v>
      </c>
      <c r="B115" s="40" t="str">
        <f>'Tariffs Jul2019'!D109</f>
        <v>AusNet Services Central 2</v>
      </c>
      <c r="C115" s="40" t="str">
        <f>'Tariffs Jul2019'!G109</f>
        <v>Gas as you go</v>
      </c>
      <c r="D115" s="59">
        <f>365*'Tariffs Jul2019'!H109/100</f>
        <v>240.2576</v>
      </c>
      <c r="E115" s="59">
        <f>IF($C$5*'Tariffs Jul2019'!AK109/'Tariffs Jul2019'!AI109&gt;='Tariffs Jul2019'!J109,( 'Tariffs Jul2019'!J109*'Tariffs Jul2019'!O109/100)* 'Tariffs Jul2019'!AI109,($C$5*'Tariffs Jul2019'!AK109/'Tariffs Jul2019'!AI109*'Tariffs Jul2019'!O109/100)* 'Tariffs Jul2019'!AI109)</f>
        <v>289.68</v>
      </c>
      <c r="F115" s="59">
        <f>IF($C$5*'Tariffs Jul2019'!AK109/'Tariffs Jul2019'!AI109&lt;'Tariffs Jul2019'!J109,0,IF($C$5*'Tariffs Jul2019'!AK109/'Tariffs Jul2019'!AI109&lt;='Tariffs Jul2019'!K109,($C$5*'Tariffs Jul2019'!AK109/'Tariffs Jul2019'!AI109-'Tariffs Jul2019'!J109)*('Tariffs Jul2019'!P109/100)*'Tariffs Jul2019'!AI109,('Tariffs Jul2019'!K109-'Tariffs Jul2019'!J109)*('Tariffs Jul2019'!P109/100)*'Tariffs Jul2019'!AI109))</f>
        <v>186.61644599999994</v>
      </c>
      <c r="G115" s="59">
        <f>IF($C$5*'Tariffs Jul2019'!AK109/'Tariffs Jul2019'!AI109&lt;'Tariffs Jul2019'!K109,0,IF($C$5*'Tariffs Jul2019'!AK109/'Tariffs Jul2019'!AI109&lt;='Tariffs Jul2019'!L109,($C$5*'Tariffs Jul2019'!AK109/'Tariffs Jul2019'!AI109-'Tariffs Jul2019'!K109)*('Tariffs Jul2019'!Q109/100)*'Tariffs Jul2019'!AI109,('Tariffs Jul2019'!L109-'Tariffs Jul2019'!K109)*('Tariffs Jul2019'!Q109/100)*'Tariffs Jul2019'!AI109))</f>
        <v>0</v>
      </c>
      <c r="H115" s="59">
        <f>IF($C$5*'Tariffs Jul2019'!AK109/'Tariffs Jul2019'!AI109&lt;'Tariffs Jul2019'!L109,0,IF($C$5*'Tariffs Jul2019'!AK109/'Tariffs Jul2019'!AI109&lt;='Tariffs Jul2019'!M109,($C$5*'Tariffs Jul2019'!AK109/'Tariffs Jul2019'!AI109-'Tariffs Jul2019'!L109)*('Tariffs Jul2019'!R109/100)*'Tariffs Jul2019'!AI109,('Tariffs Jul2019'!M109-'Tariffs Jul2019'!L109)*('Tariffs Jul2019'!R109/100)*'Tariffs Jul2019'!AI109))</f>
        <v>0</v>
      </c>
      <c r="I115" s="59">
        <f>IF(($C$5*'Tariffs Jul2019'!AK109/'Tariffs Jul2019'!AI109&gt;'Tariffs Jul2019'!M109),($C$5*'Tariffs Jul2019'!AK109/'Tariffs Jul2019'!AI109-'Tariffs Jul2019'!M109)*'Tariffs Jul2019'!S109/100*'Tariffs Jul2019'!AI109,0)</f>
        <v>0</v>
      </c>
      <c r="J115" s="59">
        <f>IF($C$5*'Tariffs Jul2019'!AL109/'Tariffs Jul2019'!AJ109&gt;='Tariffs Jul2019'!J109,('Tariffs Jul2019'!J109*'Tariffs Jul2019'!U109/100)* 'Tariffs Jul2019'!AJ109,($C$5*'Tariffs Jul2019'!AL109/'Tariffs Jul2019'!AJ109*'Tariffs Jul2019'!U109/100)* 'Tariffs Jul2019'!AJ109)</f>
        <v>408</v>
      </c>
      <c r="K115" s="59">
        <f>IF($C$5*'Tariffs Jul2019'!AL109/'Tariffs Jul2019'!AJ109&lt;'Tariffs Jul2019'!J109,0,IF($C$5*'Tariffs Jul2019'!AL109/'Tariffs Jul2019'!AJ109&lt;='Tariffs Jul2019'!K109,($C$5*'Tariffs Jul2019'!AL109/'Tariffs Jul2019'!AJ109-'Tariffs Jul2019'!J109)*('Tariffs Jul2019'!V109/100)*'Tariffs Jul2019'!AJ109,('Tariffs Jul2019'!K109-'Tariffs Jul2019'!J109)*('Tariffs Jul2019'!V109/100)*'Tariffs Jul2019'!AJ109))</f>
        <v>299.81002799999987</v>
      </c>
      <c r="L115" s="59">
        <f>IF($C$5*'Tariffs Jul2019'!AL109/'Tariffs Jul2019'!AJ109&lt;'Tariffs Jul2019'!K109,0,IF($C$5*'Tariffs Jul2019'!AL109/'Tariffs Jul2019'!AJ109&lt;='Tariffs Jul2019'!L109,($C$5*'Tariffs Jul2019'!AL109/'Tariffs Jul2019'!AJ109-'Tariffs Jul2019'!K109)*('Tariffs Jul2019'!W109/100)*'Tariffs Jul2019'!AJ109,('Tariffs Jul2019'!L109-'Tariffs Jul2019'!K109)*('Tariffs Jul2019'!W109/100)*'Tariffs Jul2019'!AJ109))</f>
        <v>0</v>
      </c>
      <c r="M115" s="59">
        <f>IF($C$5*'Tariffs Jul2019'!AL109/'Tariffs Jul2019'!AJ109&lt;'Tariffs Jul2019'!L109,0,IF($C$5*'Tariffs Jul2019'!AL109/'Tariffs Jul2019'!AJ109&lt;='Tariffs Jul2019'!M109,($C$5*'Tariffs Jul2019'!AL109/'Tariffs Jul2019'!AJ109-'Tariffs Jul2019'!L109)*('Tariffs Jul2019'!X109/100)*'Tariffs Jul2019'!AJ109,('Tariffs Jul2019'!M109-'Tariffs Jul2019'!L109)*('Tariffs Jul2019'!X109/100)*'Tariffs Jul2019'!AJ109))</f>
        <v>0</v>
      </c>
      <c r="N115" s="59">
        <f>IF(($C$5*'Tariffs Jul2019'!AL109/'Tariffs Jul2019'!AJ109&gt;'Tariffs Jul2019'!M109),($C$5*'Tariffs Jul2019'!AL109/'Tariffs Jul2019'!AJ109-'Tariffs Jul2019'!M109)*'Tariffs Jul2019'!Y109/100*'Tariffs Jul2019'!AJ109,0)</f>
        <v>0</v>
      </c>
      <c r="O115" s="367">
        <f t="shared" si="13"/>
        <v>1184.1064739999997</v>
      </c>
      <c r="P115" s="413">
        <f t="shared" si="10"/>
        <v>1302.5171213999997</v>
      </c>
      <c r="Q115" s="59">
        <f t="shared" si="14"/>
        <v>1424.3640739999996</v>
      </c>
      <c r="R115" s="272">
        <f t="shared" si="15"/>
        <v>1566.8004813999996</v>
      </c>
      <c r="S115" s="40">
        <f>'Tariffs Jul2019'!AN109</f>
        <v>0</v>
      </c>
      <c r="T115" s="40">
        <f>'Tariffs Jul2019'!AO109</f>
        <v>0</v>
      </c>
      <c r="U115" s="40">
        <f>'Tariffs Jul2019'!AP109</f>
        <v>0</v>
      </c>
      <c r="V115" s="40">
        <f>'Tariffs Jul2019'!AQ109</f>
        <v>0</v>
      </c>
      <c r="W115" s="273">
        <f t="shared" si="17"/>
        <v>1424.3640739999996</v>
      </c>
      <c r="X115" s="273">
        <f>W115</f>
        <v>1424.3640739999996</v>
      </c>
      <c r="Y115" s="272">
        <f t="shared" si="16"/>
        <v>1566.8004813999996</v>
      </c>
      <c r="Z115" s="272">
        <f t="shared" si="16"/>
        <v>1566.8004813999996</v>
      </c>
      <c r="AA115" s="274">
        <f>'Tariffs Jul2019'!AZ109</f>
        <v>0</v>
      </c>
      <c r="AB115" s="274" t="str">
        <f>'Tariffs Jul2019'!BA109</f>
        <v>n</v>
      </c>
      <c r="AC115" s="275" t="str">
        <f>'Tariffs Jul2019'!BJ109</f>
        <v>N</v>
      </c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</row>
    <row r="116" spans="1:40" x14ac:dyDescent="0.15">
      <c r="A116" s="270" t="str">
        <f>'Tariffs Jul2019'!F110</f>
        <v>GloBird Energy</v>
      </c>
      <c r="B116" s="40" t="str">
        <f>'Tariffs Jul2019'!D110</f>
        <v>AusNet Services Central 2</v>
      </c>
      <c r="C116" s="40" t="str">
        <f>'Tariffs Jul2019'!G110</f>
        <v>GloSave</v>
      </c>
      <c r="D116" s="59">
        <f>365*'Tariffs Jul2019'!H110/100</f>
        <v>262.8</v>
      </c>
      <c r="E116" s="59">
        <f>IF($C$5*'Tariffs Jul2019'!AK110/'Tariffs Jul2019'!AI110&gt;='Tariffs Jul2019'!J110,( 'Tariffs Jul2019'!J110*'Tariffs Jul2019'!O110/100)* 'Tariffs Jul2019'!AI110,($C$5*'Tariffs Jul2019'!AK110/'Tariffs Jul2019'!AI110*'Tariffs Jul2019'!O110/100)* 'Tariffs Jul2019'!AI110)</f>
        <v>254.4</v>
      </c>
      <c r="F116" s="59">
        <f>IF($C$5*'Tariffs Jul2019'!AK110/'Tariffs Jul2019'!AI110&lt;'Tariffs Jul2019'!J110,0,IF($C$5*'Tariffs Jul2019'!AK110/'Tariffs Jul2019'!AI110&lt;='Tariffs Jul2019'!K110,($C$5*'Tariffs Jul2019'!AK110/'Tariffs Jul2019'!AI110-'Tariffs Jul2019'!J110)*('Tariffs Jul2019'!P110/100)*'Tariffs Jul2019'!AI110,('Tariffs Jul2019'!K110-'Tariffs Jul2019'!J110)*('Tariffs Jul2019'!P110/100)*'Tariffs Jul2019'!AI110))</f>
        <v>0</v>
      </c>
      <c r="G116" s="59">
        <f>IF($C$5*'Tariffs Jul2019'!AK110/'Tariffs Jul2019'!AI110&lt;'Tariffs Jul2019'!K110,0,IF($C$5*'Tariffs Jul2019'!AK110/'Tariffs Jul2019'!AI110&lt;='Tariffs Jul2019'!L110,($C$5*'Tariffs Jul2019'!AK110/'Tariffs Jul2019'!AI110-'Tariffs Jul2019'!K110)*('Tariffs Jul2019'!Q110/100)*'Tariffs Jul2019'!AI110,('Tariffs Jul2019'!L110-'Tariffs Jul2019'!K110)*('Tariffs Jul2019'!Q110/100)*'Tariffs Jul2019'!AI110))</f>
        <v>0</v>
      </c>
      <c r="H116" s="59">
        <f>IF($C$5*'Tariffs Jul2019'!AK110/'Tariffs Jul2019'!AI110&lt;'Tariffs Jul2019'!L110,0,IF($C$5*'Tariffs Jul2019'!AK110/'Tariffs Jul2019'!AI110&lt;='Tariffs Jul2019'!M110,($C$5*'Tariffs Jul2019'!AK110/'Tariffs Jul2019'!AI110-'Tariffs Jul2019'!L110)*('Tariffs Jul2019'!R110/100)*'Tariffs Jul2019'!AI110,('Tariffs Jul2019'!M110-'Tariffs Jul2019'!L110)*('Tariffs Jul2019'!R110/100)*'Tariffs Jul2019'!AI110))</f>
        <v>0</v>
      </c>
      <c r="I116" s="59">
        <f>IF(($C$5*'Tariffs Jul2019'!AK110/'Tariffs Jul2019'!AI110&gt;'Tariffs Jul2019'!M110),($C$5*'Tariffs Jul2019'!AK110/'Tariffs Jul2019'!AI110-'Tariffs Jul2019'!M110)*'Tariffs Jul2019'!S110/100*'Tariffs Jul2019'!AI110,0)</f>
        <v>157.46324999999996</v>
      </c>
      <c r="J116" s="59">
        <f>IF($C$5*'Tariffs Jul2019'!AL110/'Tariffs Jul2019'!AJ110&gt;='Tariffs Jul2019'!J110,('Tariffs Jul2019'!J110*'Tariffs Jul2019'!U110/100)* 'Tariffs Jul2019'!AJ110,($C$5*'Tariffs Jul2019'!AL110/'Tariffs Jul2019'!AJ110*'Tariffs Jul2019'!U110/100)* 'Tariffs Jul2019'!AJ110)</f>
        <v>412.8</v>
      </c>
      <c r="K116" s="59">
        <f>IF($C$5*'Tariffs Jul2019'!AL110/'Tariffs Jul2019'!AJ110&lt;'Tariffs Jul2019'!J110,0,IF($C$5*'Tariffs Jul2019'!AL110/'Tariffs Jul2019'!AJ110&lt;='Tariffs Jul2019'!K110,($C$5*'Tariffs Jul2019'!AL110/'Tariffs Jul2019'!AJ110-'Tariffs Jul2019'!J110)*('Tariffs Jul2019'!V110/100)*'Tariffs Jul2019'!AJ110,('Tariffs Jul2019'!K110-'Tariffs Jul2019'!J110)*('Tariffs Jul2019'!V110/100)*'Tariffs Jul2019'!AJ110))</f>
        <v>0</v>
      </c>
      <c r="L116" s="59">
        <f>IF($C$5*'Tariffs Jul2019'!AL110/'Tariffs Jul2019'!AJ110&lt;'Tariffs Jul2019'!K110,0,IF($C$5*'Tariffs Jul2019'!AL110/'Tariffs Jul2019'!AJ110&lt;='Tariffs Jul2019'!L110,($C$5*'Tariffs Jul2019'!AL110/'Tariffs Jul2019'!AJ110-'Tariffs Jul2019'!K110)*('Tariffs Jul2019'!W110/100)*'Tariffs Jul2019'!AJ110,('Tariffs Jul2019'!L110-'Tariffs Jul2019'!K110)*('Tariffs Jul2019'!W110/100)*'Tariffs Jul2019'!AJ110))</f>
        <v>0</v>
      </c>
      <c r="M116" s="59">
        <f>IF($C$5*'Tariffs Jul2019'!AL110/'Tariffs Jul2019'!AJ110&lt;'Tariffs Jul2019'!L110,0,IF($C$5*'Tariffs Jul2019'!AL110/'Tariffs Jul2019'!AJ110&lt;='Tariffs Jul2019'!M110,($C$5*'Tariffs Jul2019'!AL110/'Tariffs Jul2019'!AJ110-'Tariffs Jul2019'!L110)*('Tariffs Jul2019'!X110/100)*'Tariffs Jul2019'!AJ110,('Tariffs Jul2019'!M110-'Tariffs Jul2019'!L110)*('Tariffs Jul2019'!X110/100)*'Tariffs Jul2019'!AJ110))</f>
        <v>0</v>
      </c>
      <c r="N116" s="59">
        <f>IF(($C$5*'Tariffs Jul2019'!AL110/'Tariffs Jul2019'!AJ110&gt;'Tariffs Jul2019'!M110),($C$5*'Tariffs Jul2019'!AL110/'Tariffs Jul2019'!AJ110-'Tariffs Jul2019'!M110)*'Tariffs Jul2019'!Y110/100*'Tariffs Jul2019'!AJ110,0)</f>
        <v>260.93909999999994</v>
      </c>
      <c r="O116" s="367">
        <f t="shared" si="13"/>
        <v>1085.6023500000001</v>
      </c>
      <c r="P116" s="413">
        <f t="shared" si="10"/>
        <v>1194.1625850000003</v>
      </c>
      <c r="Q116" s="59">
        <f t="shared" si="14"/>
        <v>1348.4023500000001</v>
      </c>
      <c r="R116" s="272">
        <f t="shared" si="15"/>
        <v>1483.2425850000002</v>
      </c>
      <c r="S116" s="40">
        <f>'Tariffs Jul2019'!AN110</f>
        <v>0</v>
      </c>
      <c r="T116" s="40">
        <f>'Tariffs Jul2019'!AO110</f>
        <v>0</v>
      </c>
      <c r="U116" s="40">
        <f>'Tariffs Jul2019'!AP110</f>
        <v>5</v>
      </c>
      <c r="V116" s="40">
        <f>'Tariffs Jul2019'!AQ110</f>
        <v>0</v>
      </c>
      <c r="W116" s="273">
        <f t="shared" si="17"/>
        <v>1348.4023500000001</v>
      </c>
      <c r="X116" s="273">
        <f>W116-(Q116*U116/100)</f>
        <v>1280.9822325</v>
      </c>
      <c r="Y116" s="272">
        <f t="shared" si="16"/>
        <v>1483.2425850000002</v>
      </c>
      <c r="Z116" s="272">
        <f t="shared" si="16"/>
        <v>1409.0804557500001</v>
      </c>
      <c r="AA116" s="274">
        <f>'Tariffs Jul2019'!AZ110</f>
        <v>0</v>
      </c>
      <c r="AB116" s="274" t="str">
        <f>'Tariffs Jul2019'!BA110</f>
        <v>n</v>
      </c>
      <c r="AC116" s="275" t="str">
        <f>'Tariffs Jul2019'!BJ110</f>
        <v>N</v>
      </c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</row>
    <row r="117" spans="1:40" x14ac:dyDescent="0.15">
      <c r="A117" s="270" t="str">
        <f>'Tariffs Jul2019'!F111</f>
        <v>Powershop</v>
      </c>
      <c r="B117" s="40" t="str">
        <f>'Tariffs Jul2019'!D111</f>
        <v>AusNet Services Central 2</v>
      </c>
      <c r="C117" s="40" t="str">
        <f>'Tariffs Jul2019'!G111</f>
        <v>Shopper with Gas Saver</v>
      </c>
      <c r="D117" s="59">
        <f>365*'Tariffs Jul2019'!H111/100</f>
        <v>341.49400000000003</v>
      </c>
      <c r="E117" s="59">
        <f>((C$5*'Tariffs Jul2019'!AK111/'Tariffs Jul2019'!AI111)*('Tariffs Jul2019'!O111/100))*'Tariffs Jul2019'!AI111</f>
        <v>369.56304</v>
      </c>
      <c r="F117" s="59">
        <v>0</v>
      </c>
      <c r="G117" s="59">
        <v>0</v>
      </c>
      <c r="H117" s="59">
        <v>0</v>
      </c>
      <c r="I117" s="59">
        <v>0</v>
      </c>
      <c r="J117" s="59">
        <f>((C$5*'Tariffs Jul2019'!AL111/'Tariffs Jul2019'!AJ111)*('Tariffs Jul2019'!U111/100))*'Tariffs Jul2019'!AJ111</f>
        <v>608.93909999999994</v>
      </c>
      <c r="K117" s="59">
        <v>0</v>
      </c>
      <c r="L117" s="59">
        <v>0</v>
      </c>
      <c r="M117" s="59">
        <v>0</v>
      </c>
      <c r="N117" s="59">
        <v>0</v>
      </c>
      <c r="O117" s="367">
        <f t="shared" si="13"/>
        <v>978.50213999999994</v>
      </c>
      <c r="P117" s="413">
        <f t="shared" si="10"/>
        <v>1076.3523540000001</v>
      </c>
      <c r="Q117" s="59">
        <f t="shared" si="14"/>
        <v>1319.99614</v>
      </c>
      <c r="R117" s="272">
        <f t="shared" si="15"/>
        <v>1451.995754</v>
      </c>
      <c r="S117" s="40">
        <f>'Tariffs Jul2019'!AN111</f>
        <v>0</v>
      </c>
      <c r="T117" s="40">
        <f>'Tariffs Jul2019'!AO111</f>
        <v>0</v>
      </c>
      <c r="U117" s="40">
        <f>'Tariffs Jul2019'!AP111</f>
        <v>5</v>
      </c>
      <c r="V117" s="40">
        <f>'Tariffs Jul2019'!AQ111</f>
        <v>0</v>
      </c>
      <c r="W117" s="273">
        <f>R117</f>
        <v>1451.995754</v>
      </c>
      <c r="X117" s="273">
        <f>W117-(W117*U117/100)</f>
        <v>1379.3959663000001</v>
      </c>
      <c r="Y117" s="272">
        <f>W117</f>
        <v>1451.995754</v>
      </c>
      <c r="Z117" s="272">
        <f>X117</f>
        <v>1379.3959663000001</v>
      </c>
      <c r="AA117" s="274">
        <f>'Tariffs Jul2019'!AZ111</f>
        <v>0</v>
      </c>
      <c r="AB117" s="274" t="str">
        <f>'Tariffs Jul2019'!BA111</f>
        <v>n</v>
      </c>
      <c r="AC117" s="275" t="str">
        <f>'Tariffs Jul2019'!BJ111</f>
        <v>Y</v>
      </c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</row>
    <row r="118" spans="1:40" ht="14" thickBot="1" x14ac:dyDescent="0.2">
      <c r="A118" s="276" t="str">
        <f>'Tariffs Jul2019'!F112</f>
        <v>DC Power Co</v>
      </c>
      <c r="B118" s="277" t="str">
        <f>'Tariffs Jul2019'!D112</f>
        <v>AusNet Services Central 2</v>
      </c>
      <c r="C118" s="277" t="str">
        <f>'Tariffs Jul2019'!G112</f>
        <v>Market offer</v>
      </c>
      <c r="D118" s="278">
        <f>365*'Tariffs Jul2019'!H112/100</f>
        <v>349.23863636363632</v>
      </c>
      <c r="E118" s="278">
        <f>((C$5*'Tariffs Jul2019'!AK112/'Tariffs Jul2019'!AI112)*('Tariffs Jul2019'!O112/100))*'Tariffs Jul2019'!AI112</f>
        <v>377.96219999999994</v>
      </c>
      <c r="F118" s="278">
        <v>0</v>
      </c>
      <c r="G118" s="278">
        <v>0</v>
      </c>
      <c r="H118" s="278">
        <v>0</v>
      </c>
      <c r="I118" s="278">
        <v>0</v>
      </c>
      <c r="J118" s="278">
        <f>((C$5*'Tariffs Jul2019'!AL112/'Tariffs Jul2019'!AJ112)*('Tariffs Jul2019'!U112/100))*'Tariffs Jul2019'!AJ112</f>
        <v>622.30139999999994</v>
      </c>
      <c r="K118" s="278">
        <v>0</v>
      </c>
      <c r="L118" s="278">
        <v>0</v>
      </c>
      <c r="M118" s="278">
        <v>0</v>
      </c>
      <c r="N118" s="278">
        <v>0</v>
      </c>
      <c r="O118" s="368">
        <f>SUM(E118:N118)</f>
        <v>1000.2635999999999</v>
      </c>
      <c r="P118" s="413">
        <f t="shared" si="10"/>
        <v>1100.2899600000001</v>
      </c>
      <c r="Q118" s="278">
        <f>D118+O118</f>
        <v>1349.5022363636363</v>
      </c>
      <c r="R118" s="280">
        <f>Q118*1.1</f>
        <v>1484.45246</v>
      </c>
      <c r="S118" s="277">
        <f>'Tariffs Jul2019'!AN112</f>
        <v>0</v>
      </c>
      <c r="T118" s="277">
        <f>'Tariffs Jul2019'!AO112</f>
        <v>0</v>
      </c>
      <c r="U118" s="277">
        <f>'Tariffs Jul2019'!AP112</f>
        <v>0</v>
      </c>
      <c r="V118" s="277">
        <f>'Tariffs Jul2019'!AQ112</f>
        <v>0</v>
      </c>
      <c r="W118" s="281">
        <f t="shared" si="17"/>
        <v>1349.5022363636363</v>
      </c>
      <c r="X118" s="281">
        <f>W118</f>
        <v>1349.5022363636363</v>
      </c>
      <c r="Y118" s="280">
        <f>W118*1.1</f>
        <v>1484.45246</v>
      </c>
      <c r="Z118" s="280">
        <f>X118*1.1</f>
        <v>1484.45246</v>
      </c>
      <c r="AA118" s="282">
        <f>'Tariffs Jul2019'!AZ112</f>
        <v>0</v>
      </c>
      <c r="AB118" s="282" t="str">
        <f>'Tariffs Jul2019'!BA112</f>
        <v>n</v>
      </c>
      <c r="AC118" s="283" t="str">
        <f>'Tariffs Jul2019'!BJ112</f>
        <v>Y</v>
      </c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</row>
    <row r="119" spans="1:40" ht="14" thickTop="1" x14ac:dyDescent="0.15">
      <c r="A119" s="270" t="str">
        <f>'Tariffs Jul2019'!F113</f>
        <v>AGL</v>
      </c>
      <c r="B119" s="40" t="str">
        <f>'Tariffs Jul2019'!D113</f>
        <v>AusNet Services Central 1</v>
      </c>
      <c r="C119" s="40" t="str">
        <f>'Tariffs Jul2019'!G113</f>
        <v>Essentials</v>
      </c>
      <c r="D119" s="59">
        <f>365*'Tariffs Jul2019'!H113/100</f>
        <v>302.58500000000004</v>
      </c>
      <c r="E119" s="59">
        <f>IF($C$5*'Tariffs Jul2019'!AK113/'Tariffs Jul2019'!AI113&gt;='Tariffs Jul2019'!J113,( 'Tariffs Jul2019'!J113*'Tariffs Jul2019'!O113/100)* 'Tariffs Jul2019'!AI113,($C$5*'Tariffs Jul2019'!AK113/'Tariffs Jul2019'!AI113*'Tariffs Jul2019'!O113/100)* 'Tariffs Jul2019'!AI113)</f>
        <v>238.90909090909088</v>
      </c>
      <c r="F119" s="59">
        <f>IF($C$5*'Tariffs Jul2019'!AK113/'Tariffs Jul2019'!AI113&lt;'Tariffs Jul2019'!J113,0,IF($C$5*'Tariffs Jul2019'!AK113/'Tariffs Jul2019'!AI113&lt;='Tariffs Jul2019'!K113,($C$5*'Tariffs Jul2019'!AK113/'Tariffs Jul2019'!AI113-'Tariffs Jul2019'!J113)*('Tariffs Jul2019'!P113/100)*'Tariffs Jul2019'!AI113,('Tariffs Jul2019'!K113-'Tariffs Jul2019'!J113)*('Tariffs Jul2019'!P113/100)*'Tariffs Jul2019'!AI113))</f>
        <v>173.41407272727267</v>
      </c>
      <c r="G119" s="59">
        <f>IF($C$5*'Tariffs Jul2019'!AK113/'Tariffs Jul2019'!AI113&lt;'Tariffs Jul2019'!K113,0,IF($C$5*'Tariffs Jul2019'!AK113/'Tariffs Jul2019'!AI113&lt;='Tariffs Jul2019'!L113,($C$5*'Tariffs Jul2019'!AK113/'Tariffs Jul2019'!AI113-'Tariffs Jul2019'!K113)*('Tariffs Jul2019'!Q113/100)*'Tariffs Jul2019'!AI113,('Tariffs Jul2019'!L113-'Tariffs Jul2019'!K113)*('Tariffs Jul2019'!Q113/100)*'Tariffs Jul2019'!AI113))</f>
        <v>0</v>
      </c>
      <c r="H119" s="59">
        <f>IF($C$5*'Tariffs Jul2019'!AK113/'Tariffs Jul2019'!AI113&lt;'Tariffs Jul2019'!L113,0,IF($C$5*'Tariffs Jul2019'!AK113/'Tariffs Jul2019'!AI113&lt;='Tariffs Jul2019'!M113,($C$5*'Tariffs Jul2019'!AK113/'Tariffs Jul2019'!AI113-'Tariffs Jul2019'!L113)*('Tariffs Jul2019'!R113/100)*'Tariffs Jul2019'!AI113,('Tariffs Jul2019'!M113-'Tariffs Jul2019'!L113)*('Tariffs Jul2019'!R113/100)*'Tariffs Jul2019'!AI113))</f>
        <v>0</v>
      </c>
      <c r="I119" s="59">
        <f>IF(($C$5*'Tariffs Jul2019'!AK113/'Tariffs Jul2019'!AI113&gt;'Tariffs Jul2019'!M113),($C$5*'Tariffs Jul2019'!AK113/'Tariffs Jul2019'!AI113-'Tariffs Jul2019'!M113)*'Tariffs Jul2019'!S113/100*'Tariffs Jul2019'!AI113,0)</f>
        <v>0</v>
      </c>
      <c r="J119" s="59">
        <f>IF($C$5*'Tariffs Jul2019'!AL113/'Tariffs Jul2019'!AJ113&gt;='Tariffs Jul2019'!J113,('Tariffs Jul2019'!J113*'Tariffs Jul2019'!U113/100)* 'Tariffs Jul2019'!AJ113,($C$5*'Tariffs Jul2019'!AL113/'Tariffs Jul2019'!AJ113*'Tariffs Jul2019'!U113/100)* 'Tariffs Jul2019'!AJ113)</f>
        <v>436.36363636363632</v>
      </c>
      <c r="K119" s="59">
        <f>IF($C$5*'Tariffs Jul2019'!AL113/'Tariffs Jul2019'!AJ113&lt;'Tariffs Jul2019'!J113,0,IF($C$5*'Tariffs Jul2019'!AL113/'Tariffs Jul2019'!AJ113&lt;='Tariffs Jul2019'!K113,($C$5*'Tariffs Jul2019'!AL113/'Tariffs Jul2019'!AJ113-'Tariffs Jul2019'!J113)*('Tariffs Jul2019'!V113/100)*'Tariffs Jul2019'!AJ113,('Tariffs Jul2019'!K113-'Tariffs Jul2019'!J113)*('Tariffs Jul2019'!V113/100)*'Tariffs Jul2019'!AJ113))</f>
        <v>255.21316363636359</v>
      </c>
      <c r="L119" s="59">
        <f>IF($C$5*'Tariffs Jul2019'!AL113/'Tariffs Jul2019'!AJ113&lt;'Tariffs Jul2019'!K113,0,IF($C$5*'Tariffs Jul2019'!AL113/'Tariffs Jul2019'!AJ113&lt;='Tariffs Jul2019'!L113,($C$5*'Tariffs Jul2019'!AL113/'Tariffs Jul2019'!AJ113-'Tariffs Jul2019'!K113)*('Tariffs Jul2019'!W113/100)*'Tariffs Jul2019'!AJ113,('Tariffs Jul2019'!L113-'Tariffs Jul2019'!K113)*('Tariffs Jul2019'!W113/100)*'Tariffs Jul2019'!AJ113))</f>
        <v>0</v>
      </c>
      <c r="M119" s="59">
        <f>IF($C$5*'Tariffs Jul2019'!AL113/'Tariffs Jul2019'!AJ113&lt;'Tariffs Jul2019'!L113,0,IF($C$5*'Tariffs Jul2019'!AL113/'Tariffs Jul2019'!AJ113&lt;='Tariffs Jul2019'!M113,($C$5*'Tariffs Jul2019'!AL113/'Tariffs Jul2019'!AJ113-'Tariffs Jul2019'!L113)*('Tariffs Jul2019'!X113/100)*'Tariffs Jul2019'!AJ113,('Tariffs Jul2019'!M113-'Tariffs Jul2019'!L113)*('Tariffs Jul2019'!X113/100)*'Tariffs Jul2019'!AJ113))</f>
        <v>0</v>
      </c>
      <c r="N119" s="59">
        <f>IF(($C$5*'Tariffs Jul2019'!AL113/'Tariffs Jul2019'!AJ113&gt;'Tariffs Jul2019'!M113),($C$5*'Tariffs Jul2019'!AL113/'Tariffs Jul2019'!AJ113-'Tariffs Jul2019'!M113)*'Tariffs Jul2019'!Y113/100*'Tariffs Jul2019'!AJ113,0)</f>
        <v>0</v>
      </c>
      <c r="O119" s="271">
        <f t="shared" si="13"/>
        <v>1103.8999636363635</v>
      </c>
      <c r="P119" s="413">
        <f t="shared" si="10"/>
        <v>1214.2899600000001</v>
      </c>
      <c r="Q119" s="59">
        <f t="shared" si="14"/>
        <v>1406.4849636363635</v>
      </c>
      <c r="R119" s="272">
        <f t="shared" si="15"/>
        <v>1547.13346</v>
      </c>
      <c r="S119" s="40">
        <f>'Tariffs Jul2019'!AN113</f>
        <v>0</v>
      </c>
      <c r="T119" s="40">
        <f>'Tariffs Jul2019'!AO113</f>
        <v>0</v>
      </c>
      <c r="U119" s="40">
        <f>'Tariffs Jul2019'!AP113</f>
        <v>0</v>
      </c>
      <c r="V119" s="40">
        <f>'Tariffs Jul2019'!AQ113</f>
        <v>0</v>
      </c>
      <c r="W119" s="273">
        <f>Q119</f>
        <v>1406.4849636363635</v>
      </c>
      <c r="X119" s="273">
        <f>W119</f>
        <v>1406.4849636363635</v>
      </c>
      <c r="Y119" s="272">
        <f t="shared" si="16"/>
        <v>1547.13346</v>
      </c>
      <c r="Z119" s="272">
        <f t="shared" si="16"/>
        <v>1547.13346</v>
      </c>
      <c r="AA119" s="274">
        <f>'Tariffs Jul2019'!AZ113</f>
        <v>0</v>
      </c>
      <c r="AB119" s="274" t="str">
        <f>'Tariffs Jul2019'!BA113</f>
        <v>n</v>
      </c>
      <c r="AC119" s="275" t="str">
        <f>'Tariffs Jul2019'!BJ113</f>
        <v>N</v>
      </c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</row>
    <row r="120" spans="1:40" x14ac:dyDescent="0.15">
      <c r="A120" s="270" t="str">
        <f>'Tariffs Jul2019'!F114</f>
        <v>Alinta Energy</v>
      </c>
      <c r="B120" s="40" t="str">
        <f>'Tariffs Jul2019'!D114</f>
        <v>AusNet Services Central 1</v>
      </c>
      <c r="C120" s="40" t="str">
        <f>'Tariffs Jul2019'!G114</f>
        <v>Real Deal</v>
      </c>
      <c r="D120" s="59">
        <f>365*'Tariffs Jul2019'!H114/100</f>
        <v>321.2</v>
      </c>
      <c r="E120" s="59">
        <f>IF($C$5*'Tariffs Jul2019'!AK114/'Tariffs Jul2019'!AI114&gt;='Tariffs Jul2019'!J114,( 'Tariffs Jul2019'!J114*'Tariffs Jul2019'!O114/100)* 'Tariffs Jul2019'!AI114,($C$5*'Tariffs Jul2019'!AK114/'Tariffs Jul2019'!AI114*'Tariffs Jul2019'!O114/100)* 'Tariffs Jul2019'!AI114)</f>
        <v>283.63636363636363</v>
      </c>
      <c r="F120" s="59">
        <f>IF($C$5*'Tariffs Jul2019'!AK114/'Tariffs Jul2019'!AI114&lt;'Tariffs Jul2019'!J114,0,IF($C$5*'Tariffs Jul2019'!AK114/'Tariffs Jul2019'!AI114&lt;='Tariffs Jul2019'!K114,($C$5*'Tariffs Jul2019'!AK114/'Tariffs Jul2019'!AI114-'Tariffs Jul2019'!J114)*('Tariffs Jul2019'!P114/100)*'Tariffs Jul2019'!AI114,('Tariffs Jul2019'!K114-'Tariffs Jul2019'!J114)*('Tariffs Jul2019'!P114/100)*'Tariffs Jul2019'!AI114))</f>
        <v>0</v>
      </c>
      <c r="G120" s="59">
        <f>IF($C$5*'Tariffs Jul2019'!AK114/'Tariffs Jul2019'!AI114&lt;'Tariffs Jul2019'!K114,0,IF($C$5*'Tariffs Jul2019'!AK114/'Tariffs Jul2019'!AI114&lt;='Tariffs Jul2019'!L114,($C$5*'Tariffs Jul2019'!AK114/'Tariffs Jul2019'!AI114-'Tariffs Jul2019'!K114)*('Tariffs Jul2019'!Q114/100)*'Tariffs Jul2019'!AI114,('Tariffs Jul2019'!L114-'Tariffs Jul2019'!K114)*('Tariffs Jul2019'!Q114/100)*'Tariffs Jul2019'!AI114))</f>
        <v>0</v>
      </c>
      <c r="H120" s="59">
        <f>IF($C$5*'Tariffs Jul2019'!AK114/'Tariffs Jul2019'!AI114&lt;'Tariffs Jul2019'!L114,0,IF($C$5*'Tariffs Jul2019'!AK114/'Tariffs Jul2019'!AI114&lt;='Tariffs Jul2019'!M114,($C$5*'Tariffs Jul2019'!AK114/'Tariffs Jul2019'!AI114-'Tariffs Jul2019'!L114)*('Tariffs Jul2019'!R114/100)*'Tariffs Jul2019'!AI114,('Tariffs Jul2019'!M114-'Tariffs Jul2019'!L114)*('Tariffs Jul2019'!R114/100)*'Tariffs Jul2019'!AI114))</f>
        <v>0</v>
      </c>
      <c r="I120" s="59">
        <f>IF(($C$5*'Tariffs Jul2019'!AK114/'Tariffs Jul2019'!AI114&gt;'Tariffs Jul2019'!M114),($C$5*'Tariffs Jul2019'!AK114/'Tariffs Jul2019'!AI114-'Tariffs Jul2019'!M114)*'Tariffs Jul2019'!S114/100*'Tariffs Jul2019'!AI114,0)</f>
        <v>163.59818181818176</v>
      </c>
      <c r="J120" s="59">
        <f>IF($C$5*'Tariffs Jul2019'!AL114/'Tariffs Jul2019'!AJ114&gt;='Tariffs Jul2019'!J114,('Tariffs Jul2019'!J114*'Tariffs Jul2019'!U114/100)* 'Tariffs Jul2019'!AJ114,($C$5*'Tariffs Jul2019'!AL114/'Tariffs Jul2019'!AJ114*'Tariffs Jul2019'!U114/100)* 'Tariffs Jul2019'!AJ114)</f>
        <v>523.63636363636363</v>
      </c>
      <c r="K120" s="59">
        <f>IF($C$5*'Tariffs Jul2019'!AL114/'Tariffs Jul2019'!AJ114&lt;'Tariffs Jul2019'!J114,0,IF($C$5*'Tariffs Jul2019'!AL114/'Tariffs Jul2019'!AJ114&lt;='Tariffs Jul2019'!K114,($C$5*'Tariffs Jul2019'!AL114/'Tariffs Jul2019'!AJ114-'Tariffs Jul2019'!J114)*('Tariffs Jul2019'!V114/100)*'Tariffs Jul2019'!AJ114,('Tariffs Jul2019'!K114-'Tariffs Jul2019'!J114)*('Tariffs Jul2019'!V114/100)*'Tariffs Jul2019'!AJ114))</f>
        <v>0</v>
      </c>
      <c r="L120" s="59">
        <f>IF($C$5*'Tariffs Jul2019'!AL114/'Tariffs Jul2019'!AJ114&lt;'Tariffs Jul2019'!K114,0,IF($C$5*'Tariffs Jul2019'!AL114/'Tariffs Jul2019'!AJ114&lt;='Tariffs Jul2019'!L114,($C$5*'Tariffs Jul2019'!AL114/'Tariffs Jul2019'!AJ114-'Tariffs Jul2019'!K114)*('Tariffs Jul2019'!W114/100)*'Tariffs Jul2019'!AJ114,('Tariffs Jul2019'!L114-'Tariffs Jul2019'!K114)*('Tariffs Jul2019'!W114/100)*'Tariffs Jul2019'!AJ114))</f>
        <v>0</v>
      </c>
      <c r="M120" s="59">
        <f>IF($C$5*'Tariffs Jul2019'!AL114/'Tariffs Jul2019'!AJ114&lt;'Tariffs Jul2019'!L114,0,IF($C$5*'Tariffs Jul2019'!AL114/'Tariffs Jul2019'!AJ114&lt;='Tariffs Jul2019'!M114,($C$5*'Tariffs Jul2019'!AL114/'Tariffs Jul2019'!AJ114-'Tariffs Jul2019'!L114)*('Tariffs Jul2019'!X114/100)*'Tariffs Jul2019'!AJ114,('Tariffs Jul2019'!M114-'Tariffs Jul2019'!L114)*('Tariffs Jul2019'!X114/100)*'Tariffs Jul2019'!AJ114))</f>
        <v>0</v>
      </c>
      <c r="N120" s="59">
        <f>IF(($C$5*'Tariffs Jul2019'!AL114/'Tariffs Jul2019'!AJ114&gt;'Tariffs Jul2019'!M114),($C$5*'Tariffs Jul2019'!AL114/'Tariffs Jul2019'!AJ114-'Tariffs Jul2019'!M114)*'Tariffs Jul2019'!Y114/100*'Tariffs Jul2019'!AJ114,0)</f>
        <v>310.83654545454533</v>
      </c>
      <c r="O120" s="271">
        <f t="shared" si="13"/>
        <v>1281.7074545454543</v>
      </c>
      <c r="P120" s="413">
        <f t="shared" si="10"/>
        <v>1409.8781999999999</v>
      </c>
      <c r="Q120" s="59">
        <f t="shared" si="14"/>
        <v>1602.9074545454544</v>
      </c>
      <c r="R120" s="272">
        <f t="shared" si="15"/>
        <v>1763.1982</v>
      </c>
      <c r="S120" s="40">
        <f>'Tariffs Jul2019'!AN114</f>
        <v>0</v>
      </c>
      <c r="T120" s="40">
        <f>'Tariffs Jul2019'!AO114</f>
        <v>0</v>
      </c>
      <c r="U120" s="40">
        <f>'Tariffs Jul2019'!AP114</f>
        <v>0</v>
      </c>
      <c r="V120" s="40">
        <f>'Tariffs Jul2019'!AQ114</f>
        <v>0</v>
      </c>
      <c r="W120" s="273">
        <f>Q120</f>
        <v>1602.9074545454544</v>
      </c>
      <c r="X120" s="273">
        <f>W120</f>
        <v>1602.9074545454544</v>
      </c>
      <c r="Y120" s="272">
        <f t="shared" ref="Y120:Z132" si="18">W120*1.1</f>
        <v>1763.1982</v>
      </c>
      <c r="Z120" s="272">
        <f t="shared" si="18"/>
        <v>1763.1982</v>
      </c>
      <c r="AA120" s="274">
        <f>'Tariffs Jul2019'!AZ114</f>
        <v>0</v>
      </c>
      <c r="AB120" s="274" t="str">
        <f>'Tariffs Jul2019'!BA114</f>
        <v>n</v>
      </c>
      <c r="AC120" s="275" t="str">
        <f>'Tariffs Jul2019'!BJ114</f>
        <v>Y</v>
      </c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</row>
    <row r="121" spans="1:40" x14ac:dyDescent="0.15">
      <c r="A121" s="270" t="str">
        <f>'Tariffs Jul2019'!F115</f>
        <v>Click Energy</v>
      </c>
      <c r="B121" s="40" t="str">
        <f>'Tariffs Jul2019'!D115</f>
        <v>AusNet Services Central 1</v>
      </c>
      <c r="C121" s="40" t="str">
        <f>'Tariffs Jul2019'!G115</f>
        <v>Banksia</v>
      </c>
      <c r="D121" s="59">
        <f>365*'Tariffs Jul2019'!H115/100</f>
        <v>261.47272727272724</v>
      </c>
      <c r="E121" s="59">
        <f>IF($C$5*'Tariffs Jul2019'!AK115/'Tariffs Jul2019'!AI115&gt;='Tariffs Jul2019'!J115,( 'Tariffs Jul2019'!J115*'Tariffs Jul2019'!O115/100)* 'Tariffs Jul2019'!AI115,($C$5*'Tariffs Jul2019'!AK115/'Tariffs Jul2019'!AI115*'Tariffs Jul2019'!O115/100)* 'Tariffs Jul2019'!AI115)</f>
        <v>315.27272727272725</v>
      </c>
      <c r="F121" s="59">
        <f>IF($C$5*'Tariffs Jul2019'!AK115/'Tariffs Jul2019'!AI115&lt;'Tariffs Jul2019'!J115,0,IF($C$5*'Tariffs Jul2019'!AK115/'Tariffs Jul2019'!AI115&lt;='Tariffs Jul2019'!K115,($C$5*'Tariffs Jul2019'!AK115/'Tariffs Jul2019'!AI115-'Tariffs Jul2019'!J115)*('Tariffs Jul2019'!P115/100)*'Tariffs Jul2019'!AI115,('Tariffs Jul2019'!K115-'Tariffs Jul2019'!J115)*('Tariffs Jul2019'!P115/100)*'Tariffs Jul2019'!AI115))</f>
        <v>202.8617454545454</v>
      </c>
      <c r="G121" s="59">
        <f>IF($C$5*'Tariffs Jul2019'!AK115/'Tariffs Jul2019'!AI115&lt;'Tariffs Jul2019'!K115,0,IF($C$5*'Tariffs Jul2019'!AK115/'Tariffs Jul2019'!AI115&lt;='Tariffs Jul2019'!L115,($C$5*'Tariffs Jul2019'!AK115/'Tariffs Jul2019'!AI115-'Tariffs Jul2019'!K115)*('Tariffs Jul2019'!Q115/100)*'Tariffs Jul2019'!AI115,('Tariffs Jul2019'!L115-'Tariffs Jul2019'!K115)*('Tariffs Jul2019'!Q115/100)*'Tariffs Jul2019'!AI115))</f>
        <v>0</v>
      </c>
      <c r="H121" s="59">
        <f>IF($C$5*'Tariffs Jul2019'!AK115/'Tariffs Jul2019'!AI115&lt;'Tariffs Jul2019'!L115,0,IF($C$5*'Tariffs Jul2019'!AK115/'Tariffs Jul2019'!AI115&lt;='Tariffs Jul2019'!M115,($C$5*'Tariffs Jul2019'!AK115/'Tariffs Jul2019'!AI115-'Tariffs Jul2019'!L115)*('Tariffs Jul2019'!R115/100)*'Tariffs Jul2019'!AI115,('Tariffs Jul2019'!M115-'Tariffs Jul2019'!L115)*('Tariffs Jul2019'!R115/100)*'Tariffs Jul2019'!AI115))</f>
        <v>0</v>
      </c>
      <c r="I121" s="59">
        <f>IF(($C$5*'Tariffs Jul2019'!AK115/'Tariffs Jul2019'!AI115&gt;'Tariffs Jul2019'!M115),($C$5*'Tariffs Jul2019'!AK115/'Tariffs Jul2019'!AI115-'Tariffs Jul2019'!M115)*'Tariffs Jul2019'!S115/100*'Tariffs Jul2019'!AI115,0)</f>
        <v>0</v>
      </c>
      <c r="J121" s="59">
        <f>IF($C$5*'Tariffs Jul2019'!AL115/'Tariffs Jul2019'!AJ115&gt;='Tariffs Jul2019'!J115,('Tariffs Jul2019'!J115*'Tariffs Jul2019'!U115/100)* 'Tariffs Jul2019'!AJ115,($C$5*'Tariffs Jul2019'!AL115/'Tariffs Jul2019'!AJ115*'Tariffs Jul2019'!U115/100)* 'Tariffs Jul2019'!AJ115)</f>
        <v>445.09090909090907</v>
      </c>
      <c r="K121" s="59">
        <f>IF($C$5*'Tariffs Jul2019'!AL115/'Tariffs Jul2019'!AJ115&lt;'Tariffs Jul2019'!J115,0,IF($C$5*'Tariffs Jul2019'!AL115/'Tariffs Jul2019'!AJ115&lt;='Tariffs Jul2019'!K115,($C$5*'Tariffs Jul2019'!AL115/'Tariffs Jul2019'!AJ115-'Tariffs Jul2019'!J115)*('Tariffs Jul2019'!V115/100)*'Tariffs Jul2019'!AJ115,('Tariffs Jul2019'!K115-'Tariffs Jul2019'!J115)*('Tariffs Jul2019'!V115/100)*'Tariffs Jul2019'!AJ115))</f>
        <v>325.56038181818167</v>
      </c>
      <c r="L121" s="59">
        <f>IF($C$5*'Tariffs Jul2019'!AL115/'Tariffs Jul2019'!AJ115&lt;'Tariffs Jul2019'!K115,0,IF($C$5*'Tariffs Jul2019'!AL115/'Tariffs Jul2019'!AJ115&lt;='Tariffs Jul2019'!L115,($C$5*'Tariffs Jul2019'!AL115/'Tariffs Jul2019'!AJ115-'Tariffs Jul2019'!K115)*('Tariffs Jul2019'!W115/100)*'Tariffs Jul2019'!AJ115,('Tariffs Jul2019'!L115-'Tariffs Jul2019'!K115)*('Tariffs Jul2019'!W115/100)*'Tariffs Jul2019'!AJ115))</f>
        <v>0</v>
      </c>
      <c r="M121" s="59">
        <f>IF($C$5*'Tariffs Jul2019'!AL115/'Tariffs Jul2019'!AJ115&lt;'Tariffs Jul2019'!L115,0,IF($C$5*'Tariffs Jul2019'!AL115/'Tariffs Jul2019'!AJ115&lt;='Tariffs Jul2019'!M115,($C$5*'Tariffs Jul2019'!AL115/'Tariffs Jul2019'!AJ115-'Tariffs Jul2019'!L115)*('Tariffs Jul2019'!X115/100)*'Tariffs Jul2019'!AJ115,('Tariffs Jul2019'!M115-'Tariffs Jul2019'!L115)*('Tariffs Jul2019'!X115/100)*'Tariffs Jul2019'!AJ115))</f>
        <v>0</v>
      </c>
      <c r="N121" s="59">
        <f>IF(($C$5*'Tariffs Jul2019'!AL115/'Tariffs Jul2019'!AJ115&gt;'Tariffs Jul2019'!M115),($C$5*'Tariffs Jul2019'!AL115/'Tariffs Jul2019'!AJ115-'Tariffs Jul2019'!M115)*'Tariffs Jul2019'!Y115/100*'Tariffs Jul2019'!AJ115,0)</f>
        <v>0</v>
      </c>
      <c r="O121" s="271">
        <f t="shared" si="13"/>
        <v>1288.7857636363633</v>
      </c>
      <c r="P121" s="413">
        <f t="shared" si="10"/>
        <v>1417.6643399999998</v>
      </c>
      <c r="Q121" s="59">
        <f t="shared" si="14"/>
        <v>1550.2584909090906</v>
      </c>
      <c r="R121" s="272">
        <f t="shared" si="15"/>
        <v>1705.2843399999997</v>
      </c>
      <c r="S121" s="40">
        <f>'Tariffs Jul2019'!AN115</f>
        <v>0</v>
      </c>
      <c r="T121" s="40">
        <f>'Tariffs Jul2019'!AO115</f>
        <v>0</v>
      </c>
      <c r="U121" s="40">
        <f>'Tariffs Jul2019'!AP115</f>
        <v>0</v>
      </c>
      <c r="V121" s="40">
        <f>'Tariffs Jul2019'!AQ115</f>
        <v>0</v>
      </c>
      <c r="W121" s="273">
        <f>Q121</f>
        <v>1550.2584909090906</v>
      </c>
      <c r="X121" s="273">
        <f>W121</f>
        <v>1550.2584909090906</v>
      </c>
      <c r="Y121" s="272">
        <f>W121*1.1</f>
        <v>1705.2843399999997</v>
      </c>
      <c r="Z121" s="272">
        <f>X121*1.1</f>
        <v>1705.2843399999997</v>
      </c>
      <c r="AA121" s="274">
        <f>'Tariffs Jul2019'!AZ115</f>
        <v>0</v>
      </c>
      <c r="AB121" s="274" t="str">
        <f>'Tariffs Jul2019'!BA115</f>
        <v>n</v>
      </c>
      <c r="AC121" s="275" t="str">
        <f>'Tariffs Jul2019'!BJ115</f>
        <v>N</v>
      </c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</row>
    <row r="122" spans="1:40" x14ac:dyDescent="0.15">
      <c r="A122" s="270" t="str">
        <f>'Tariffs Jul2019'!F116</f>
        <v>Covau</v>
      </c>
      <c r="B122" s="40" t="str">
        <f>'Tariffs Jul2019'!D116</f>
        <v>AusNet Services Central 1</v>
      </c>
      <c r="C122" s="40" t="str">
        <f>'Tariffs Jul2019'!G116</f>
        <v>Smart Saver</v>
      </c>
      <c r="D122" s="59">
        <f>365*'Tariffs Jul2019'!H116/100</f>
        <v>310.25</v>
      </c>
      <c r="E122" s="59">
        <f>IF($C$5*'Tariffs Jul2019'!AK116/'Tariffs Jul2019'!AI116&gt;='Tariffs Jul2019'!J116,( 'Tariffs Jul2019'!J116*'Tariffs Jul2019'!O116/100)* 'Tariffs Jul2019'!AI116,($C$5*'Tariffs Jul2019'!AK116/'Tariffs Jul2019'!AI116*'Tariffs Jul2019'!O116/100)* 'Tariffs Jul2019'!AI116)</f>
        <v>516.59999999999991</v>
      </c>
      <c r="F122" s="59">
        <f>IF($C$5*'Tariffs Jul2019'!AK116/'Tariffs Jul2019'!AI116&lt;'Tariffs Jul2019'!J116,0,IF($C$5*'Tariffs Jul2019'!AK116/'Tariffs Jul2019'!AI116&lt;='Tariffs Jul2019'!K116,($C$5*'Tariffs Jul2019'!AK116/'Tariffs Jul2019'!AI116-'Tariffs Jul2019'!J116)*('Tariffs Jul2019'!P116/100)*'Tariffs Jul2019'!AI116,('Tariffs Jul2019'!K116-'Tariffs Jul2019'!J116)*('Tariffs Jul2019'!P116/100)*'Tariffs Jul2019'!AI116))</f>
        <v>344.24999999999994</v>
      </c>
      <c r="G122" s="59">
        <f>IF($C$5*'Tariffs Jul2019'!AK116/'Tariffs Jul2019'!AI116&lt;'Tariffs Jul2019'!K116,0,IF($C$5*'Tariffs Jul2019'!AK116/'Tariffs Jul2019'!AI116&lt;='Tariffs Jul2019'!L116,($C$5*'Tariffs Jul2019'!AK116/'Tariffs Jul2019'!AI116-'Tariffs Jul2019'!K116)*('Tariffs Jul2019'!Q116/100)*'Tariffs Jul2019'!AI116,('Tariffs Jul2019'!L116-'Tariffs Jul2019'!K116)*('Tariffs Jul2019'!Q116/100)*'Tariffs Jul2019'!AI116))</f>
        <v>0</v>
      </c>
      <c r="H122" s="59">
        <f>IF($C$5*'Tariffs Jul2019'!AK116/'Tariffs Jul2019'!AI116&lt;'Tariffs Jul2019'!L116,0,IF($C$5*'Tariffs Jul2019'!AK116/'Tariffs Jul2019'!AI116&lt;='Tariffs Jul2019'!M116,($C$5*'Tariffs Jul2019'!AK116/'Tariffs Jul2019'!AI116-'Tariffs Jul2019'!L116)*('Tariffs Jul2019'!R116/100)*'Tariffs Jul2019'!AI116,('Tariffs Jul2019'!M116-'Tariffs Jul2019'!L116)*('Tariffs Jul2019'!R116/100)*'Tariffs Jul2019'!AI116))</f>
        <v>0</v>
      </c>
      <c r="I122" s="59">
        <f>IF(($C$5*'Tariffs Jul2019'!AK116/'Tariffs Jul2019'!AI116&gt;'Tariffs Jul2019'!M116),($C$5*'Tariffs Jul2019'!AK116/'Tariffs Jul2019'!AI116-'Tariffs Jul2019'!M116)*'Tariffs Jul2019'!S116/100*'Tariffs Jul2019'!AI116,0)</f>
        <v>0</v>
      </c>
      <c r="J122" s="59">
        <f>IF($C$5*'Tariffs Jul2019'!AL116/'Tariffs Jul2019'!AJ116&gt;='Tariffs Jul2019'!J116,('Tariffs Jul2019'!J116*'Tariffs Jul2019'!U116/100)* 'Tariffs Jul2019'!AJ116,($C$5*'Tariffs Jul2019'!AL116/'Tariffs Jul2019'!AJ116*'Tariffs Jul2019'!U116/100)* 'Tariffs Jul2019'!AJ116)</f>
        <v>432</v>
      </c>
      <c r="K122" s="59">
        <f>IF($C$5*'Tariffs Jul2019'!AL116/'Tariffs Jul2019'!AJ116&lt;'Tariffs Jul2019'!J116,0,IF($C$5*'Tariffs Jul2019'!AL116/'Tariffs Jul2019'!AJ116&lt;='Tariffs Jul2019'!K116,($C$5*'Tariffs Jul2019'!AL116/'Tariffs Jul2019'!AJ116-'Tariffs Jul2019'!J116)*('Tariffs Jul2019'!V116/100)*'Tariffs Jul2019'!AJ116,('Tariffs Jul2019'!K116-'Tariffs Jul2019'!J116)*('Tariffs Jul2019'!V116/100)*'Tariffs Jul2019'!AJ116))</f>
        <v>297.00000000000006</v>
      </c>
      <c r="L122" s="59">
        <f>IF($C$5*'Tariffs Jul2019'!AL116/'Tariffs Jul2019'!AJ116&lt;'Tariffs Jul2019'!K116,0,IF($C$5*'Tariffs Jul2019'!AL116/'Tariffs Jul2019'!AJ116&lt;='Tariffs Jul2019'!L116,($C$5*'Tariffs Jul2019'!AL116/'Tariffs Jul2019'!AJ116-'Tariffs Jul2019'!K116)*('Tariffs Jul2019'!W116/100)*'Tariffs Jul2019'!AJ116,('Tariffs Jul2019'!L116-'Tariffs Jul2019'!K116)*('Tariffs Jul2019'!W116/100)*'Tariffs Jul2019'!AJ116))</f>
        <v>0</v>
      </c>
      <c r="M122" s="59">
        <f>IF($C$5*'Tariffs Jul2019'!AL116/'Tariffs Jul2019'!AJ116&lt;'Tariffs Jul2019'!L116,0,IF($C$5*'Tariffs Jul2019'!AL116/'Tariffs Jul2019'!AJ116&lt;='Tariffs Jul2019'!M116,($C$5*'Tariffs Jul2019'!AL116/'Tariffs Jul2019'!AJ116-'Tariffs Jul2019'!L116)*('Tariffs Jul2019'!X116/100)*'Tariffs Jul2019'!AJ116,('Tariffs Jul2019'!M116-'Tariffs Jul2019'!L116)*('Tariffs Jul2019'!X116/100)*'Tariffs Jul2019'!AJ116))</f>
        <v>0</v>
      </c>
      <c r="N122" s="59">
        <f>IF(($C$5*'Tariffs Jul2019'!AL116/'Tariffs Jul2019'!AJ116&gt;'Tariffs Jul2019'!M116),($C$5*'Tariffs Jul2019'!AL116/'Tariffs Jul2019'!AJ116-'Tariffs Jul2019'!M116)*'Tariffs Jul2019'!Y116/100*'Tariffs Jul2019'!AJ116,0)</f>
        <v>0</v>
      </c>
      <c r="O122" s="271">
        <f t="shared" si="13"/>
        <v>1589.85</v>
      </c>
      <c r="P122" s="413">
        <f t="shared" si="10"/>
        <v>1748.835</v>
      </c>
      <c r="Q122" s="59">
        <f t="shared" si="14"/>
        <v>1900.1</v>
      </c>
      <c r="R122" s="272">
        <f t="shared" si="15"/>
        <v>2090.11</v>
      </c>
      <c r="S122" s="40">
        <f>'Tariffs Jul2019'!AN116</f>
        <v>0</v>
      </c>
      <c r="T122" s="40">
        <f>'Tariffs Jul2019'!AO116</f>
        <v>0</v>
      </c>
      <c r="U122" s="40">
        <f>'Tariffs Jul2019'!AP116</f>
        <v>0</v>
      </c>
      <c r="V122" s="40">
        <f>'Tariffs Jul2019'!AQ116</f>
        <v>16</v>
      </c>
      <c r="W122" s="273">
        <f>Q122</f>
        <v>1900.1</v>
      </c>
      <c r="X122" s="273">
        <f>W122-(O122*V122/100)</f>
        <v>1645.7239999999999</v>
      </c>
      <c r="Y122" s="272">
        <f t="shared" si="18"/>
        <v>2090.11</v>
      </c>
      <c r="Z122" s="272">
        <f t="shared" si="18"/>
        <v>1810.2964000000002</v>
      </c>
      <c r="AA122" s="274">
        <f>'Tariffs Jul2019'!AZ116</f>
        <v>0</v>
      </c>
      <c r="AB122" s="274" t="str">
        <f>'Tariffs Jul2019'!BA116</f>
        <v>n</v>
      </c>
      <c r="AC122" s="275" t="str">
        <f>'Tariffs Jul2019'!BJ116</f>
        <v>N</v>
      </c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</row>
    <row r="123" spans="1:40" x14ac:dyDescent="0.15">
      <c r="A123" s="270" t="str">
        <f>'Tariffs Jul2019'!F117</f>
        <v>Dodo Power &amp; Gas</v>
      </c>
      <c r="B123" s="40" t="str">
        <f>'Tariffs Jul2019'!D117</f>
        <v>AusNet Services Central 1</v>
      </c>
      <c r="C123" s="40" t="str">
        <f>'Tariffs Jul2019'!G117</f>
        <v>Market offer</v>
      </c>
      <c r="D123" s="59">
        <f>365*'Tariffs Jul2019'!H117/100</f>
        <v>264.8075</v>
      </c>
      <c r="E123" s="59">
        <f>IF($C$5*'Tariffs Jul2019'!AK117/'Tariffs Jul2019'!AI117&gt;='Tariffs Jul2019'!J117,( 'Tariffs Jul2019'!J117*'Tariffs Jul2019'!O117/100)* 'Tariffs Jul2019'!AI117,($C$5*'Tariffs Jul2019'!AK117/'Tariffs Jul2019'!AI117*'Tariffs Jul2019'!O117/100)* 'Tariffs Jul2019'!AI117)</f>
        <v>318.5454545454545</v>
      </c>
      <c r="F123" s="59">
        <f>IF($C$5*'Tariffs Jul2019'!AK117/'Tariffs Jul2019'!AI117&lt;'Tariffs Jul2019'!J117,0,IF($C$5*'Tariffs Jul2019'!AK117/'Tariffs Jul2019'!AI117&lt;='Tariffs Jul2019'!K117,($C$5*'Tariffs Jul2019'!AK117/'Tariffs Jul2019'!AI117-'Tariffs Jul2019'!J117)*('Tariffs Jul2019'!P117/100)*'Tariffs Jul2019'!AI117,('Tariffs Jul2019'!K117-'Tariffs Jul2019'!J117)*('Tariffs Jul2019'!P117/100)*'Tariffs Jul2019'!AI117))</f>
        <v>206.95169999999996</v>
      </c>
      <c r="G123" s="59">
        <f>IF($C$5*'Tariffs Jul2019'!AK117/'Tariffs Jul2019'!AI117&lt;'Tariffs Jul2019'!K117,0,IF($C$5*'Tariffs Jul2019'!AK117/'Tariffs Jul2019'!AI117&lt;='Tariffs Jul2019'!L117,($C$5*'Tariffs Jul2019'!AK117/'Tariffs Jul2019'!AI117-'Tariffs Jul2019'!K117)*('Tariffs Jul2019'!Q117/100)*'Tariffs Jul2019'!AI117,('Tariffs Jul2019'!L117-'Tariffs Jul2019'!K117)*('Tariffs Jul2019'!Q117/100)*'Tariffs Jul2019'!AI117))</f>
        <v>0</v>
      </c>
      <c r="H123" s="59">
        <f>IF($C$5*'Tariffs Jul2019'!AK117/'Tariffs Jul2019'!AI117&lt;'Tariffs Jul2019'!L117,0,IF($C$5*'Tariffs Jul2019'!AK117/'Tariffs Jul2019'!AI117&lt;='Tariffs Jul2019'!M117,($C$5*'Tariffs Jul2019'!AK117/'Tariffs Jul2019'!AI117-'Tariffs Jul2019'!L117)*('Tariffs Jul2019'!R117/100)*'Tariffs Jul2019'!AI117,('Tariffs Jul2019'!M117-'Tariffs Jul2019'!L117)*('Tariffs Jul2019'!R117/100)*'Tariffs Jul2019'!AI117))</f>
        <v>0</v>
      </c>
      <c r="I123" s="59">
        <f>IF(($C$5*'Tariffs Jul2019'!AK117/'Tariffs Jul2019'!AI117&gt;'Tariffs Jul2019'!M117),($C$5*'Tariffs Jul2019'!AK117/'Tariffs Jul2019'!AI117-'Tariffs Jul2019'!M117)*'Tariffs Jul2019'!S117/100*'Tariffs Jul2019'!AI117,0)</f>
        <v>0</v>
      </c>
      <c r="J123" s="59">
        <f>IF($C$5*'Tariffs Jul2019'!AL117/'Tariffs Jul2019'!AJ117&gt;='Tariffs Jul2019'!J117,('Tariffs Jul2019'!J117*'Tariffs Jul2019'!U117/100)* 'Tariffs Jul2019'!AJ117,($C$5*'Tariffs Jul2019'!AL117/'Tariffs Jul2019'!AJ117*'Tariffs Jul2019'!U117/100)* 'Tariffs Jul2019'!AJ117)</f>
        <v>480</v>
      </c>
      <c r="K123" s="59">
        <f>IF($C$5*'Tariffs Jul2019'!AL117/'Tariffs Jul2019'!AJ117&lt;'Tariffs Jul2019'!J117,0,IF($C$5*'Tariffs Jul2019'!AL117/'Tariffs Jul2019'!AJ117&lt;='Tariffs Jul2019'!K117,($C$5*'Tariffs Jul2019'!AL117/'Tariffs Jul2019'!AJ117-'Tariffs Jul2019'!J117)*('Tariffs Jul2019'!V117/100)*'Tariffs Jul2019'!AJ117,('Tariffs Jul2019'!K117-'Tariffs Jul2019'!J117)*('Tariffs Jul2019'!V117/100)*'Tariffs Jul2019'!AJ117))</f>
        <v>351.73609090909076</v>
      </c>
      <c r="L123" s="59">
        <f>IF($C$5*'Tariffs Jul2019'!AL117/'Tariffs Jul2019'!AJ117&lt;'Tariffs Jul2019'!K117,0,IF($C$5*'Tariffs Jul2019'!AL117/'Tariffs Jul2019'!AJ117&lt;='Tariffs Jul2019'!L117,($C$5*'Tariffs Jul2019'!AL117/'Tariffs Jul2019'!AJ117-'Tariffs Jul2019'!K117)*('Tariffs Jul2019'!W117/100)*'Tariffs Jul2019'!AJ117,('Tariffs Jul2019'!L117-'Tariffs Jul2019'!K117)*('Tariffs Jul2019'!W117/100)*'Tariffs Jul2019'!AJ117))</f>
        <v>0</v>
      </c>
      <c r="M123" s="59">
        <f>IF($C$5*'Tariffs Jul2019'!AL117/'Tariffs Jul2019'!AJ117&lt;'Tariffs Jul2019'!L117,0,IF($C$5*'Tariffs Jul2019'!AL117/'Tariffs Jul2019'!AJ117&lt;='Tariffs Jul2019'!M117,($C$5*'Tariffs Jul2019'!AL117/'Tariffs Jul2019'!AJ117-'Tariffs Jul2019'!L117)*('Tariffs Jul2019'!X117/100)*'Tariffs Jul2019'!AJ117,('Tariffs Jul2019'!M117-'Tariffs Jul2019'!L117)*('Tariffs Jul2019'!X117/100)*'Tariffs Jul2019'!AJ117))</f>
        <v>0</v>
      </c>
      <c r="N123" s="59">
        <f>IF(($C$5*'Tariffs Jul2019'!AL117/'Tariffs Jul2019'!AJ117&gt;'Tariffs Jul2019'!M117),($C$5*'Tariffs Jul2019'!AL117/'Tariffs Jul2019'!AJ117-'Tariffs Jul2019'!M117)*'Tariffs Jul2019'!Y117/100*'Tariffs Jul2019'!AJ117,0)</f>
        <v>0</v>
      </c>
      <c r="O123" s="271">
        <f t="shared" si="13"/>
        <v>1357.2332454545453</v>
      </c>
      <c r="P123" s="413">
        <f t="shared" si="10"/>
        <v>1492.9565700000001</v>
      </c>
      <c r="Q123" s="59">
        <f t="shared" si="14"/>
        <v>1622.0407454545452</v>
      </c>
      <c r="R123" s="272">
        <f t="shared" si="15"/>
        <v>1784.2448199999999</v>
      </c>
      <c r="S123" s="40">
        <f>'Tariffs Jul2019'!AN117</f>
        <v>0</v>
      </c>
      <c r="T123" s="40">
        <f>'Tariffs Jul2019'!AO117</f>
        <v>0</v>
      </c>
      <c r="U123" s="40">
        <f>'Tariffs Jul2019'!AP117</f>
        <v>0</v>
      </c>
      <c r="V123" s="40">
        <f>'Tariffs Jul2019'!AQ117</f>
        <v>20</v>
      </c>
      <c r="W123" s="273">
        <f>Q123</f>
        <v>1622.0407454545452</v>
      </c>
      <c r="X123" s="273">
        <f>W123-(O123*V123/100)</f>
        <v>1350.5940963636363</v>
      </c>
      <c r="Y123" s="272">
        <f t="shared" si="18"/>
        <v>1784.2448199999999</v>
      </c>
      <c r="Z123" s="272">
        <f t="shared" si="18"/>
        <v>1485.6535060000001</v>
      </c>
      <c r="AA123" s="274">
        <f>'Tariffs Jul2019'!AZ117</f>
        <v>0</v>
      </c>
      <c r="AB123" s="274" t="str">
        <f>'Tariffs Jul2019'!BA117</f>
        <v>n</v>
      </c>
      <c r="AC123" s="275" t="str">
        <f>'Tariffs Jul2019'!BJ117</f>
        <v>Y</v>
      </c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</row>
    <row r="124" spans="1:40" x14ac:dyDescent="0.15">
      <c r="A124" s="270" t="str">
        <f>'Tariffs Jul2019'!F118</f>
        <v>EnergyAustralia</v>
      </c>
      <c r="B124" s="40" t="str">
        <f>'Tariffs Jul2019'!D118</f>
        <v>AusNet Services Central 1</v>
      </c>
      <c r="C124" s="40" t="str">
        <f>'Tariffs Jul2019'!G118</f>
        <v>Total Plan</v>
      </c>
      <c r="D124" s="59">
        <f>365*'Tariffs Jul2019'!H118/100</f>
        <v>345.65499999999997</v>
      </c>
      <c r="E124" s="59">
        <f>IF($C$5*'Tariffs Jul2019'!AK118/'Tariffs Jul2019'!AI118&gt;='Tariffs Jul2019'!J118,( 'Tariffs Jul2019'!J118*'Tariffs Jul2019'!O118/100)* 'Tariffs Jul2019'!AI118,($C$5*'Tariffs Jul2019'!AK118/'Tariffs Jul2019'!AI118*'Tariffs Jul2019'!O118/100)* 'Tariffs Jul2019'!AI118)</f>
        <v>575.34245999999996</v>
      </c>
      <c r="F124" s="59">
        <f>IF($C$5*'Tariffs Jul2019'!AK118/'Tariffs Jul2019'!AI118&lt;'Tariffs Jul2019'!J118,0,IF($C$5*'Tariffs Jul2019'!AK118/'Tariffs Jul2019'!AI118&lt;='Tariffs Jul2019'!K118,($C$5*'Tariffs Jul2019'!AK118/'Tariffs Jul2019'!AI118-'Tariffs Jul2019'!J118)*('Tariffs Jul2019'!P118/100)*'Tariffs Jul2019'!AI118,('Tariffs Jul2019'!K118-'Tariffs Jul2019'!J118)*('Tariffs Jul2019'!P118/100)*'Tariffs Jul2019'!AI118))</f>
        <v>0</v>
      </c>
      <c r="G124" s="59">
        <f>IF($C$5*'Tariffs Jul2019'!AK118/'Tariffs Jul2019'!AI118&lt;'Tariffs Jul2019'!K118,0,IF($C$5*'Tariffs Jul2019'!AK118/'Tariffs Jul2019'!AI118&lt;='Tariffs Jul2019'!L118,($C$5*'Tariffs Jul2019'!AK118/'Tariffs Jul2019'!AI118-'Tariffs Jul2019'!K118)*('Tariffs Jul2019'!Q118/100)*'Tariffs Jul2019'!AI118,('Tariffs Jul2019'!L118-'Tariffs Jul2019'!K118)*('Tariffs Jul2019'!Q118/100)*'Tariffs Jul2019'!AI118))</f>
        <v>0</v>
      </c>
      <c r="H124" s="59">
        <f>IF($C$5*'Tariffs Jul2019'!AK118/'Tariffs Jul2019'!AI118&lt;'Tariffs Jul2019'!L118,0,IF($C$5*'Tariffs Jul2019'!AK118/'Tariffs Jul2019'!AI118&lt;='Tariffs Jul2019'!M118,($C$5*'Tariffs Jul2019'!AK118/'Tariffs Jul2019'!AI118-'Tariffs Jul2019'!L118)*('Tariffs Jul2019'!R118/100)*'Tariffs Jul2019'!AI118,('Tariffs Jul2019'!M118-'Tariffs Jul2019'!L118)*('Tariffs Jul2019'!R118/100)*'Tariffs Jul2019'!AI118))</f>
        <v>0</v>
      </c>
      <c r="I124" s="59">
        <f>IF(($C$5*'Tariffs Jul2019'!AK118/'Tariffs Jul2019'!AI118&gt;'Tariffs Jul2019'!M118),($C$5*'Tariffs Jul2019'!AK118/'Tariffs Jul2019'!AI118-'Tariffs Jul2019'!M118)*'Tariffs Jul2019'!S118/100*'Tariffs Jul2019'!AI118,0)</f>
        <v>0</v>
      </c>
      <c r="J124" s="59">
        <f>IF($C$5*'Tariffs Jul2019'!AL118/'Tariffs Jul2019'!AJ118&gt;='Tariffs Jul2019'!J118,('Tariffs Jul2019'!J118*'Tariffs Jul2019'!U118/100)* 'Tariffs Jul2019'!AJ118,($C$5*'Tariffs Jul2019'!AL118/'Tariffs Jul2019'!AJ118*'Tariffs Jul2019'!U118/100)* 'Tariffs Jul2019'!AJ118)</f>
        <v>844.1155799999998</v>
      </c>
      <c r="K124" s="59">
        <f>IF($C$5*'Tariffs Jul2019'!AL118/'Tariffs Jul2019'!AJ118&lt;'Tariffs Jul2019'!J118,0,IF($C$5*'Tariffs Jul2019'!AL118/'Tariffs Jul2019'!AJ118&lt;='Tariffs Jul2019'!K118,($C$5*'Tariffs Jul2019'!AL118/'Tariffs Jul2019'!AJ118-'Tariffs Jul2019'!J118)*('Tariffs Jul2019'!V118/100)*'Tariffs Jul2019'!AJ118,('Tariffs Jul2019'!K118-'Tariffs Jul2019'!J118)*('Tariffs Jul2019'!V118/100)*'Tariffs Jul2019'!AJ118))</f>
        <v>0</v>
      </c>
      <c r="L124" s="59">
        <f>IF($C$5*'Tariffs Jul2019'!AL118/'Tariffs Jul2019'!AJ118&lt;'Tariffs Jul2019'!K118,0,IF($C$5*'Tariffs Jul2019'!AL118/'Tariffs Jul2019'!AJ118&lt;='Tariffs Jul2019'!L118,($C$5*'Tariffs Jul2019'!AL118/'Tariffs Jul2019'!AJ118-'Tariffs Jul2019'!K118)*('Tariffs Jul2019'!W118/100)*'Tariffs Jul2019'!AJ118,('Tariffs Jul2019'!L118-'Tariffs Jul2019'!K118)*('Tariffs Jul2019'!W118/100)*'Tariffs Jul2019'!AJ118))</f>
        <v>0</v>
      </c>
      <c r="M124" s="59">
        <f>IF($C$5*'Tariffs Jul2019'!AL118/'Tariffs Jul2019'!AJ118&lt;'Tariffs Jul2019'!L118,0,IF($C$5*'Tariffs Jul2019'!AL118/'Tariffs Jul2019'!AJ118&lt;='Tariffs Jul2019'!M118,($C$5*'Tariffs Jul2019'!AL118/'Tariffs Jul2019'!AJ118-'Tariffs Jul2019'!L118)*('Tariffs Jul2019'!X118/100)*'Tariffs Jul2019'!AJ118,('Tariffs Jul2019'!M118-'Tariffs Jul2019'!L118)*('Tariffs Jul2019'!X118/100)*'Tariffs Jul2019'!AJ118))</f>
        <v>0</v>
      </c>
      <c r="N124" s="59">
        <f>IF(($C$5*'Tariffs Jul2019'!AL118/'Tariffs Jul2019'!AJ118&gt;'Tariffs Jul2019'!M118),($C$5*'Tariffs Jul2019'!AL118/'Tariffs Jul2019'!AJ118-'Tariffs Jul2019'!M118)*'Tariffs Jul2019'!Y118/100*'Tariffs Jul2019'!AJ118,0)</f>
        <v>0</v>
      </c>
      <c r="O124" s="271">
        <f t="shared" si="13"/>
        <v>1419.4580399999998</v>
      </c>
      <c r="P124" s="413">
        <f t="shared" si="10"/>
        <v>1561.4038439999999</v>
      </c>
      <c r="Q124" s="59">
        <f t="shared" si="14"/>
        <v>1765.1130399999997</v>
      </c>
      <c r="R124" s="272">
        <f t="shared" si="15"/>
        <v>1941.6243439999998</v>
      </c>
      <c r="S124" s="40">
        <f>'Tariffs Jul2019'!AN118</f>
        <v>24</v>
      </c>
      <c r="T124" s="40">
        <f>'Tariffs Jul2019'!AO118</f>
        <v>0</v>
      </c>
      <c r="U124" s="40">
        <f>'Tariffs Jul2019'!AP118</f>
        <v>0</v>
      </c>
      <c r="V124" s="40">
        <f>'Tariffs Jul2019'!AQ118</f>
        <v>0</v>
      </c>
      <c r="W124" s="273">
        <f>Q124-(Q124*S124/100)</f>
        <v>1341.4859103999997</v>
      </c>
      <c r="X124" s="273">
        <f>W124</f>
        <v>1341.4859103999997</v>
      </c>
      <c r="Y124" s="272">
        <f t="shared" si="18"/>
        <v>1475.6345014399999</v>
      </c>
      <c r="Z124" s="272">
        <f t="shared" si="18"/>
        <v>1475.6345014399999</v>
      </c>
      <c r="AA124" s="274">
        <f>'Tariffs Jul2019'!AZ118</f>
        <v>0</v>
      </c>
      <c r="AB124" s="274" t="str">
        <f>'Tariffs Jul2019'!BA118</f>
        <v>n</v>
      </c>
      <c r="AC124" s="275" t="str">
        <f>'Tariffs Jul2019'!BJ118</f>
        <v>N</v>
      </c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</row>
    <row r="125" spans="1:40" x14ac:dyDescent="0.15">
      <c r="A125" s="270" t="str">
        <f>'Tariffs Jul2019'!F119</f>
        <v>Lumo Energy</v>
      </c>
      <c r="B125" s="40" t="str">
        <f>'Tariffs Jul2019'!D119</f>
        <v>AusNet Services Central 1</v>
      </c>
      <c r="C125" s="40" t="str">
        <f>'Tariffs Jul2019'!G119</f>
        <v>Value</v>
      </c>
      <c r="D125" s="59">
        <f>365*'Tariffs Jul2019'!H119/100</f>
        <v>255.5</v>
      </c>
      <c r="E125" s="59">
        <f>IF($C$5*'Tariffs Jul2019'!AK119/'Tariffs Jul2019'!AI119&gt;='Tariffs Jul2019'!J119,( 'Tariffs Jul2019'!J119*'Tariffs Jul2019'!O119/100)* 'Tariffs Jul2019'!AI119,($C$5*'Tariffs Jul2019'!AK119/'Tariffs Jul2019'!AI119*'Tariffs Jul2019'!O119/100)* 'Tariffs Jul2019'!AI119)</f>
        <v>270</v>
      </c>
      <c r="F125" s="59">
        <f>IF($C$5*'Tariffs Jul2019'!AK119/'Tariffs Jul2019'!AI119&lt;'Tariffs Jul2019'!J119,0,IF($C$5*'Tariffs Jul2019'!AK119/'Tariffs Jul2019'!AI119&lt;='Tariffs Jul2019'!K119,($C$5*'Tariffs Jul2019'!AK119/'Tariffs Jul2019'!AI119-'Tariffs Jul2019'!J119)*('Tariffs Jul2019'!P119/100)*'Tariffs Jul2019'!AI119,('Tariffs Jul2019'!K119-'Tariffs Jul2019'!J119)*('Tariffs Jul2019'!P119/100)*'Tariffs Jul2019'!AI119))</f>
        <v>179.95799999999997</v>
      </c>
      <c r="G125" s="59">
        <f>IF($C$5*'Tariffs Jul2019'!AK119/'Tariffs Jul2019'!AI119&lt;'Tariffs Jul2019'!K119,0,IF($C$5*'Tariffs Jul2019'!AK119/'Tariffs Jul2019'!AI119&lt;='Tariffs Jul2019'!L119,($C$5*'Tariffs Jul2019'!AK119/'Tariffs Jul2019'!AI119-'Tariffs Jul2019'!K119)*('Tariffs Jul2019'!Q119/100)*'Tariffs Jul2019'!AI119,('Tariffs Jul2019'!L119-'Tariffs Jul2019'!K119)*('Tariffs Jul2019'!Q119/100)*'Tariffs Jul2019'!AI119))</f>
        <v>0</v>
      </c>
      <c r="H125" s="59">
        <f>IF($C$5*'Tariffs Jul2019'!AK119/'Tariffs Jul2019'!AI119&lt;'Tariffs Jul2019'!L119,0,IF($C$5*'Tariffs Jul2019'!AK119/'Tariffs Jul2019'!AI119&lt;='Tariffs Jul2019'!M119,($C$5*'Tariffs Jul2019'!AK119/'Tariffs Jul2019'!AI119-'Tariffs Jul2019'!L119)*('Tariffs Jul2019'!R119/100)*'Tariffs Jul2019'!AI119,('Tariffs Jul2019'!M119-'Tariffs Jul2019'!L119)*('Tariffs Jul2019'!R119/100)*'Tariffs Jul2019'!AI119))</f>
        <v>0</v>
      </c>
      <c r="I125" s="59">
        <f>IF(($C$5*'Tariffs Jul2019'!AK119/'Tariffs Jul2019'!AI119&gt;'Tariffs Jul2019'!M119),($C$5*'Tariffs Jul2019'!AK119/'Tariffs Jul2019'!AI119-'Tariffs Jul2019'!M119)*'Tariffs Jul2019'!S119/100*'Tariffs Jul2019'!AI119,0)</f>
        <v>0</v>
      </c>
      <c r="J125" s="59">
        <f>IF($C$5*'Tariffs Jul2019'!AL119/'Tariffs Jul2019'!AJ119&gt;='Tariffs Jul2019'!J119,('Tariffs Jul2019'!J119*'Tariffs Jul2019'!U119/100)* 'Tariffs Jul2019'!AJ119,($C$5*'Tariffs Jul2019'!AL119/'Tariffs Jul2019'!AJ119*'Tariffs Jul2019'!U119/100)* 'Tariffs Jul2019'!AJ119)</f>
        <v>415.2</v>
      </c>
      <c r="K125" s="59">
        <f>IF($C$5*'Tariffs Jul2019'!AL119/'Tariffs Jul2019'!AJ119&lt;'Tariffs Jul2019'!J119,0,IF($C$5*'Tariffs Jul2019'!AL119/'Tariffs Jul2019'!AJ119&lt;='Tariffs Jul2019'!K119,($C$5*'Tariffs Jul2019'!AL119/'Tariffs Jul2019'!AJ119-'Tariffs Jul2019'!J119)*('Tariffs Jul2019'!V119/100)*'Tariffs Jul2019'!AJ119,('Tariffs Jul2019'!K119-'Tariffs Jul2019'!J119)*('Tariffs Jul2019'!V119/100)*'Tariffs Jul2019'!AJ119))</f>
        <v>293.3315399999999</v>
      </c>
      <c r="L125" s="59">
        <f>IF($C$5*'Tariffs Jul2019'!AL119/'Tariffs Jul2019'!AJ119&lt;'Tariffs Jul2019'!K119,0,IF($C$5*'Tariffs Jul2019'!AL119/'Tariffs Jul2019'!AJ119&lt;='Tariffs Jul2019'!L119,($C$5*'Tariffs Jul2019'!AL119/'Tariffs Jul2019'!AJ119-'Tariffs Jul2019'!K119)*('Tariffs Jul2019'!W119/100)*'Tariffs Jul2019'!AJ119,('Tariffs Jul2019'!L119-'Tariffs Jul2019'!K119)*('Tariffs Jul2019'!W119/100)*'Tariffs Jul2019'!AJ119))</f>
        <v>0</v>
      </c>
      <c r="M125" s="59">
        <f>IF($C$5*'Tariffs Jul2019'!AL119/'Tariffs Jul2019'!AJ119&lt;'Tariffs Jul2019'!L119,0,IF($C$5*'Tariffs Jul2019'!AL119/'Tariffs Jul2019'!AJ119&lt;='Tariffs Jul2019'!M119,($C$5*'Tariffs Jul2019'!AL119/'Tariffs Jul2019'!AJ119-'Tariffs Jul2019'!L119)*('Tariffs Jul2019'!X119/100)*'Tariffs Jul2019'!AJ119,('Tariffs Jul2019'!M119-'Tariffs Jul2019'!L119)*('Tariffs Jul2019'!X119/100)*'Tariffs Jul2019'!AJ119))</f>
        <v>0</v>
      </c>
      <c r="N125" s="59">
        <f>IF(($C$5*'Tariffs Jul2019'!AL119/'Tariffs Jul2019'!AJ119&gt;'Tariffs Jul2019'!M119),($C$5*'Tariffs Jul2019'!AL119/'Tariffs Jul2019'!AJ119-'Tariffs Jul2019'!M119)*'Tariffs Jul2019'!Y119/100*'Tariffs Jul2019'!AJ119,0)</f>
        <v>0</v>
      </c>
      <c r="O125" s="271">
        <f t="shared" si="13"/>
        <v>1158.4895399999998</v>
      </c>
      <c r="P125" s="413">
        <f t="shared" si="10"/>
        <v>1274.3384939999999</v>
      </c>
      <c r="Q125" s="59">
        <f t="shared" si="14"/>
        <v>1413.9895399999998</v>
      </c>
      <c r="R125" s="272">
        <f t="shared" si="15"/>
        <v>1555.3884939999998</v>
      </c>
      <c r="S125" s="40">
        <f>'Tariffs Jul2019'!AN119</f>
        <v>0</v>
      </c>
      <c r="T125" s="40">
        <f>'Tariffs Jul2019'!AO119</f>
        <v>0</v>
      </c>
      <c r="U125" s="40">
        <f>'Tariffs Jul2019'!AP119</f>
        <v>3</v>
      </c>
      <c r="V125" s="40">
        <f>'Tariffs Jul2019'!AQ119</f>
        <v>0</v>
      </c>
      <c r="W125" s="273">
        <f>Q125</f>
        <v>1413.9895399999998</v>
      </c>
      <c r="X125" s="273">
        <f>W125-(Q125*U125/100)</f>
        <v>1371.5698537999999</v>
      </c>
      <c r="Y125" s="272">
        <f t="shared" si="18"/>
        <v>1555.3884939999998</v>
      </c>
      <c r="Z125" s="272">
        <f t="shared" si="18"/>
        <v>1508.7268391800001</v>
      </c>
      <c r="AA125" s="274">
        <f>'Tariffs Jul2019'!AZ119</f>
        <v>0</v>
      </c>
      <c r="AB125" s="274" t="str">
        <f>'Tariffs Jul2019'!BA119</f>
        <v>n</v>
      </c>
      <c r="AC125" s="275" t="str">
        <f>'Tariffs Jul2019'!BJ119</f>
        <v>N</v>
      </c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</row>
    <row r="126" spans="1:40" x14ac:dyDescent="0.15">
      <c r="A126" s="270" t="str">
        <f>'Tariffs Jul2019'!F120</f>
        <v>Momentum Energy</v>
      </c>
      <c r="B126" s="40" t="str">
        <f>'Tariffs Jul2019'!D120</f>
        <v>AusNet Services Central 1</v>
      </c>
      <c r="C126" s="40" t="str">
        <f>'Tariffs Jul2019'!G120</f>
        <v>Market offer</v>
      </c>
      <c r="D126" s="59">
        <f>365*'Tariffs Jul2019'!H120/100</f>
        <v>347.69900000000001</v>
      </c>
      <c r="E126" s="59">
        <f>IF($C$5*'Tariffs Jul2019'!AK120/'Tariffs Jul2019'!AI120&gt;='Tariffs Jul2019'!J120,( 'Tariffs Jul2019'!J120*'Tariffs Jul2019'!O120/100)* 'Tariffs Jul2019'!AI120,($C$5*'Tariffs Jul2019'!AK120/'Tariffs Jul2019'!AI120*'Tariffs Jul2019'!O120/100)* 'Tariffs Jul2019'!AI120)</f>
        <v>214.2</v>
      </c>
      <c r="F126" s="59">
        <f>IF($C$5*'Tariffs Jul2019'!AK120/'Tariffs Jul2019'!AI120&lt;'Tariffs Jul2019'!J120,0,IF($C$5*'Tariffs Jul2019'!AK120/'Tariffs Jul2019'!AI120&lt;='Tariffs Jul2019'!K120,($C$5*'Tariffs Jul2019'!AK120/'Tariffs Jul2019'!AI120-'Tariffs Jul2019'!J120)*('Tariffs Jul2019'!P120/100)*'Tariffs Jul2019'!AI120,('Tariffs Jul2019'!K120-'Tariffs Jul2019'!J120)*('Tariffs Jul2019'!P120/100)*'Tariffs Jul2019'!AI120))</f>
        <v>140.72715599999998</v>
      </c>
      <c r="G126" s="59">
        <f>IF($C$5*'Tariffs Jul2019'!AK120/'Tariffs Jul2019'!AI120&lt;'Tariffs Jul2019'!K120,0,IF($C$5*'Tariffs Jul2019'!AK120/'Tariffs Jul2019'!AI120&lt;='Tariffs Jul2019'!L120,($C$5*'Tariffs Jul2019'!AK120/'Tariffs Jul2019'!AI120-'Tariffs Jul2019'!K120)*('Tariffs Jul2019'!Q120/100)*'Tariffs Jul2019'!AI120,('Tariffs Jul2019'!L120-'Tariffs Jul2019'!K120)*('Tariffs Jul2019'!Q120/100)*'Tariffs Jul2019'!AI120))</f>
        <v>0</v>
      </c>
      <c r="H126" s="59">
        <f>IF($C$5*'Tariffs Jul2019'!AK120/'Tariffs Jul2019'!AI120&lt;'Tariffs Jul2019'!L120,0,IF($C$5*'Tariffs Jul2019'!AK120/'Tariffs Jul2019'!AI120&lt;='Tariffs Jul2019'!M120,($C$5*'Tariffs Jul2019'!AK120/'Tariffs Jul2019'!AI120-'Tariffs Jul2019'!L120)*('Tariffs Jul2019'!R120/100)*'Tariffs Jul2019'!AI120,('Tariffs Jul2019'!M120-'Tariffs Jul2019'!L120)*('Tariffs Jul2019'!R120/100)*'Tariffs Jul2019'!AI120))</f>
        <v>0</v>
      </c>
      <c r="I126" s="59">
        <f>IF(($C$5*'Tariffs Jul2019'!AK120/'Tariffs Jul2019'!AI120&gt;'Tariffs Jul2019'!M120),($C$5*'Tariffs Jul2019'!AK120/'Tariffs Jul2019'!AI120-'Tariffs Jul2019'!M120)*'Tariffs Jul2019'!S120/100*'Tariffs Jul2019'!AI120,0)</f>
        <v>0</v>
      </c>
      <c r="J126" s="59">
        <f>IF($C$5*'Tariffs Jul2019'!AL120/'Tariffs Jul2019'!AJ120&gt;='Tariffs Jul2019'!J120,('Tariffs Jul2019'!J120*'Tariffs Jul2019'!U120/100)* 'Tariffs Jul2019'!AJ120,($C$5*'Tariffs Jul2019'!AL120/'Tariffs Jul2019'!AJ120*'Tariffs Jul2019'!U120/100)* 'Tariffs Jul2019'!AJ120)</f>
        <v>323.76</v>
      </c>
      <c r="K126" s="59">
        <f>IF($C$5*'Tariffs Jul2019'!AL120/'Tariffs Jul2019'!AJ120&lt;'Tariffs Jul2019'!J120,0,IF($C$5*'Tariffs Jul2019'!AL120/'Tariffs Jul2019'!AJ120&lt;='Tariffs Jul2019'!K120,($C$5*'Tariffs Jul2019'!AL120/'Tariffs Jul2019'!AJ120-'Tariffs Jul2019'!J120)*('Tariffs Jul2019'!V120/100)*'Tariffs Jul2019'!AJ120,('Tariffs Jul2019'!K120-'Tariffs Jul2019'!J120)*('Tariffs Jul2019'!V120/100)*'Tariffs Jul2019'!AJ120))</f>
        <v>238.26439199999993</v>
      </c>
      <c r="L126" s="59">
        <f>IF($C$5*'Tariffs Jul2019'!AL120/'Tariffs Jul2019'!AJ120&lt;'Tariffs Jul2019'!K120,0,IF($C$5*'Tariffs Jul2019'!AL120/'Tariffs Jul2019'!AJ120&lt;='Tariffs Jul2019'!L120,($C$5*'Tariffs Jul2019'!AL120/'Tariffs Jul2019'!AJ120-'Tariffs Jul2019'!K120)*('Tariffs Jul2019'!W120/100)*'Tariffs Jul2019'!AJ120,('Tariffs Jul2019'!L120-'Tariffs Jul2019'!K120)*('Tariffs Jul2019'!W120/100)*'Tariffs Jul2019'!AJ120))</f>
        <v>0</v>
      </c>
      <c r="M126" s="59">
        <f>IF($C$5*'Tariffs Jul2019'!AL120/'Tariffs Jul2019'!AJ120&lt;'Tariffs Jul2019'!L120,0,IF($C$5*'Tariffs Jul2019'!AL120/'Tariffs Jul2019'!AJ120&lt;='Tariffs Jul2019'!M120,($C$5*'Tariffs Jul2019'!AL120/'Tariffs Jul2019'!AJ120-'Tariffs Jul2019'!L120)*('Tariffs Jul2019'!X120/100)*'Tariffs Jul2019'!AJ120,('Tariffs Jul2019'!M120-'Tariffs Jul2019'!L120)*('Tariffs Jul2019'!X120/100)*'Tariffs Jul2019'!AJ120))</f>
        <v>0</v>
      </c>
      <c r="N126" s="59">
        <f>IF(($C$5*'Tariffs Jul2019'!AL120/'Tariffs Jul2019'!AJ120&gt;'Tariffs Jul2019'!M120),($C$5*'Tariffs Jul2019'!AL120/'Tariffs Jul2019'!AJ120-'Tariffs Jul2019'!M120)*'Tariffs Jul2019'!Y120/100*'Tariffs Jul2019'!AJ120,0)</f>
        <v>0</v>
      </c>
      <c r="O126" s="271">
        <f t="shared" si="13"/>
        <v>916.95154799999989</v>
      </c>
      <c r="P126" s="413">
        <f t="shared" si="10"/>
        <v>1008.6467028</v>
      </c>
      <c r="Q126" s="59">
        <f t="shared" si="14"/>
        <v>1264.6505479999998</v>
      </c>
      <c r="R126" s="272">
        <f t="shared" si="15"/>
        <v>1391.1156028</v>
      </c>
      <c r="S126" s="40">
        <f>'Tariffs Jul2019'!AN120</f>
        <v>0</v>
      </c>
      <c r="T126" s="40">
        <f>'Tariffs Jul2019'!AO120</f>
        <v>0</v>
      </c>
      <c r="U126" s="40">
        <f>'Tariffs Jul2019'!AP120</f>
        <v>0</v>
      </c>
      <c r="V126" s="40">
        <f>'Tariffs Jul2019'!AQ120</f>
        <v>0</v>
      </c>
      <c r="W126" s="273">
        <f>Q126</f>
        <v>1264.6505479999998</v>
      </c>
      <c r="X126" s="273">
        <f>W126</f>
        <v>1264.6505479999998</v>
      </c>
      <c r="Y126" s="272">
        <f t="shared" si="18"/>
        <v>1391.1156028</v>
      </c>
      <c r="Z126" s="272">
        <f t="shared" si="18"/>
        <v>1391.1156028</v>
      </c>
      <c r="AA126" s="274">
        <f>'Tariffs Jul2019'!AZ120</f>
        <v>0</v>
      </c>
      <c r="AB126" s="274" t="str">
        <f>'Tariffs Jul2019'!BA120</f>
        <v>n</v>
      </c>
      <c r="AC126" s="275" t="str">
        <f>'Tariffs Jul2019'!BJ120</f>
        <v>Y</v>
      </c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</row>
    <row r="127" spans="1:40" x14ac:dyDescent="0.15">
      <c r="A127" s="270" t="str">
        <f>'Tariffs Jul2019'!F121</f>
        <v>Origin Energy</v>
      </c>
      <c r="B127" s="40" t="str">
        <f>'Tariffs Jul2019'!D121</f>
        <v>AusNet Services Central 1</v>
      </c>
      <c r="C127" s="40" t="str">
        <f>'Tariffs Jul2019'!G121</f>
        <v>Flexi</v>
      </c>
      <c r="D127" s="59">
        <f>365*'Tariffs Jul2019'!H121/100</f>
        <v>284.7</v>
      </c>
      <c r="E127" s="59">
        <f>IF($C$5*'Tariffs Jul2019'!AK121/'Tariffs Jul2019'!AI121&gt;='Tariffs Jul2019'!J121,( 'Tariffs Jul2019'!J121*'Tariffs Jul2019'!O121/100)* 'Tariffs Jul2019'!AI121,($C$5*'Tariffs Jul2019'!AK121/'Tariffs Jul2019'!AI121*'Tariffs Jul2019'!O121/100)* 'Tariffs Jul2019'!AI121)</f>
        <v>168</v>
      </c>
      <c r="F127" s="59">
        <f>IF($C$5*'Tariffs Jul2019'!AK121/'Tariffs Jul2019'!AI121&lt;'Tariffs Jul2019'!J121,0,IF($C$5*'Tariffs Jul2019'!AK121/'Tariffs Jul2019'!AI121&lt;='Tariffs Jul2019'!K121,($C$5*'Tariffs Jul2019'!AK121/'Tariffs Jul2019'!AI121-'Tariffs Jul2019'!J121)*('Tariffs Jul2019'!P121/100)*'Tariffs Jul2019'!AI121,('Tariffs Jul2019'!K121-'Tariffs Jul2019'!J121)*('Tariffs Jul2019'!P121/100)*'Tariffs Jul2019'!AI121))</f>
        <v>0</v>
      </c>
      <c r="G127" s="59">
        <f>IF($C$5*'Tariffs Jul2019'!AK121/'Tariffs Jul2019'!AI121&lt;'Tariffs Jul2019'!K121,0,IF($C$5*'Tariffs Jul2019'!AK121/'Tariffs Jul2019'!AI121&lt;='Tariffs Jul2019'!L121,($C$5*'Tariffs Jul2019'!AK121/'Tariffs Jul2019'!AI121-'Tariffs Jul2019'!K121)*('Tariffs Jul2019'!Q121/100)*'Tariffs Jul2019'!AI121,('Tariffs Jul2019'!L121-'Tariffs Jul2019'!K121)*('Tariffs Jul2019'!Q121/100)*'Tariffs Jul2019'!AI121))</f>
        <v>0</v>
      </c>
      <c r="H127" s="59">
        <f>IF($C$5*'Tariffs Jul2019'!AK121/'Tariffs Jul2019'!AI121&lt;'Tariffs Jul2019'!L121,0,IF($C$5*'Tariffs Jul2019'!AK121/'Tariffs Jul2019'!AI121&lt;='Tariffs Jul2019'!M121,($C$5*'Tariffs Jul2019'!AK121/'Tariffs Jul2019'!AI121-'Tariffs Jul2019'!L121)*('Tariffs Jul2019'!R121/100)*'Tariffs Jul2019'!AI121,('Tariffs Jul2019'!M121-'Tariffs Jul2019'!L121)*('Tariffs Jul2019'!R121/100)*'Tariffs Jul2019'!AI121))</f>
        <v>0</v>
      </c>
      <c r="I127" s="59">
        <f>IF(($C$5*'Tariffs Jul2019'!AK121/'Tariffs Jul2019'!AI121&gt;'Tariffs Jul2019'!M121),($C$5*'Tariffs Jul2019'!AK121/'Tariffs Jul2019'!AI121-'Tariffs Jul2019'!M121)*'Tariffs Jul2019'!S121/100*'Tariffs Jul2019'!AI121,0)</f>
        <v>329.9538</v>
      </c>
      <c r="J127" s="59">
        <f>IF($C$5*'Tariffs Jul2019'!AL121/'Tariffs Jul2019'!AJ121&gt;='Tariffs Jul2019'!J121,('Tariffs Jul2019'!J121*'Tariffs Jul2019'!U121/100)* 'Tariffs Jul2019'!AJ121,($C$5*'Tariffs Jul2019'!AL121/'Tariffs Jul2019'!AJ121*'Tariffs Jul2019'!U121/100)* 'Tariffs Jul2019'!AJ121)</f>
        <v>240</v>
      </c>
      <c r="K127" s="59">
        <f>IF($C$5*'Tariffs Jul2019'!AL121/'Tariffs Jul2019'!AJ121&lt;'Tariffs Jul2019'!J121,0,IF($C$5*'Tariffs Jul2019'!AL121/'Tariffs Jul2019'!AJ121&lt;='Tariffs Jul2019'!K121,($C$5*'Tariffs Jul2019'!AL121/'Tariffs Jul2019'!AJ121-'Tariffs Jul2019'!J121)*('Tariffs Jul2019'!V121/100)*'Tariffs Jul2019'!AJ121,('Tariffs Jul2019'!K121-'Tariffs Jul2019'!J121)*('Tariffs Jul2019'!V121/100)*'Tariffs Jul2019'!AJ121))</f>
        <v>0</v>
      </c>
      <c r="L127" s="59">
        <f>IF($C$5*'Tariffs Jul2019'!AL121/'Tariffs Jul2019'!AJ121&lt;'Tariffs Jul2019'!K121,0,IF($C$5*'Tariffs Jul2019'!AL121/'Tariffs Jul2019'!AJ121&lt;='Tariffs Jul2019'!L121,($C$5*'Tariffs Jul2019'!AL121/'Tariffs Jul2019'!AJ121-'Tariffs Jul2019'!K121)*('Tariffs Jul2019'!W121/100)*'Tariffs Jul2019'!AJ121,('Tariffs Jul2019'!L121-'Tariffs Jul2019'!K121)*('Tariffs Jul2019'!W121/100)*'Tariffs Jul2019'!AJ121))</f>
        <v>0</v>
      </c>
      <c r="M127" s="59">
        <f>IF($C$5*'Tariffs Jul2019'!AL121/'Tariffs Jul2019'!AJ121&lt;'Tariffs Jul2019'!L121,0,IF($C$5*'Tariffs Jul2019'!AL121/'Tariffs Jul2019'!AJ121&lt;='Tariffs Jul2019'!M121,($C$5*'Tariffs Jul2019'!AL121/'Tariffs Jul2019'!AJ121-'Tariffs Jul2019'!L121)*('Tariffs Jul2019'!X121/100)*'Tariffs Jul2019'!AJ121,('Tariffs Jul2019'!M121-'Tariffs Jul2019'!L121)*('Tariffs Jul2019'!X121/100)*'Tariffs Jul2019'!AJ121))</f>
        <v>0</v>
      </c>
      <c r="N127" s="59">
        <f>IF(($C$5*'Tariffs Jul2019'!AL121/'Tariffs Jul2019'!AJ121&gt;'Tariffs Jul2019'!M121),($C$5*'Tariffs Jul2019'!AL121/'Tariffs Jul2019'!AJ121-'Tariffs Jul2019'!M121)*'Tariffs Jul2019'!Y121/100*'Tariffs Jul2019'!AJ121,0)</f>
        <v>479.93279999999999</v>
      </c>
      <c r="O127" s="271">
        <f t="shared" si="13"/>
        <v>1217.8866</v>
      </c>
      <c r="P127" s="413">
        <f t="shared" si="10"/>
        <v>1339.6752600000002</v>
      </c>
      <c r="Q127" s="59">
        <f t="shared" si="14"/>
        <v>1502.5866000000001</v>
      </c>
      <c r="R127" s="272">
        <f t="shared" si="15"/>
        <v>1652.8452600000003</v>
      </c>
      <c r="S127" s="40">
        <f>'Tariffs Jul2019'!AN121</f>
        <v>10</v>
      </c>
      <c r="T127" s="40">
        <f>'Tariffs Jul2019'!AO121</f>
        <v>0</v>
      </c>
      <c r="U127" s="40">
        <f>'Tariffs Jul2019'!AP121</f>
        <v>0</v>
      </c>
      <c r="V127" s="40">
        <f>'Tariffs Jul2019'!AQ121</f>
        <v>0</v>
      </c>
      <c r="W127" s="273">
        <f>R127-(R127*S127/100)</f>
        <v>1487.5607340000001</v>
      </c>
      <c r="X127" s="273">
        <f>W127</f>
        <v>1487.5607340000001</v>
      </c>
      <c r="Y127" s="272">
        <f>W127</f>
        <v>1487.5607340000001</v>
      </c>
      <c r="Z127" s="272">
        <f>X127</f>
        <v>1487.5607340000001</v>
      </c>
      <c r="AA127" s="274">
        <f>'Tariffs Jul2019'!AZ121</f>
        <v>0</v>
      </c>
      <c r="AB127" s="274" t="str">
        <f>'Tariffs Jul2019'!BA121</f>
        <v>n</v>
      </c>
      <c r="AC127" s="275" t="str">
        <f>'Tariffs Jul2019'!BJ121</f>
        <v>N</v>
      </c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</row>
    <row r="128" spans="1:40" x14ac:dyDescent="0.15">
      <c r="A128" s="270" t="str">
        <f>'Tariffs Jul2019'!F122</f>
        <v>Red Energy</v>
      </c>
      <c r="B128" s="40" t="str">
        <f>'Tariffs Jul2019'!D122</f>
        <v>AusNet Services Central 1</v>
      </c>
      <c r="C128" s="40" t="str">
        <f>'Tariffs Jul2019'!G122</f>
        <v>Easy Saver</v>
      </c>
      <c r="D128" s="59">
        <f>365*'Tariffs Jul2019'!H122/100</f>
        <v>293.46000000000004</v>
      </c>
      <c r="E128" s="59">
        <f>IF($C$5*'Tariffs Jul2019'!AK122/'Tariffs Jul2019'!AI122&gt;='Tariffs Jul2019'!J122,( 'Tariffs Jul2019'!J122*'Tariffs Jul2019'!O122/100)* 'Tariffs Jul2019'!AI122,($C$5*'Tariffs Jul2019'!AK122/'Tariffs Jul2019'!AI122*'Tariffs Jul2019'!O122/100)* 'Tariffs Jul2019'!AI122)</f>
        <v>157.5</v>
      </c>
      <c r="F128" s="59">
        <f>IF($C$5*'Tariffs Jul2019'!AK122/'Tariffs Jul2019'!AI122&lt;'Tariffs Jul2019'!J122,0,IF($C$5*'Tariffs Jul2019'!AK122/'Tariffs Jul2019'!AI122&lt;='Tariffs Jul2019'!K122,($C$5*'Tariffs Jul2019'!AK122/'Tariffs Jul2019'!AI122-'Tariffs Jul2019'!J122)*('Tariffs Jul2019'!P122/100)*'Tariffs Jul2019'!AI122,('Tariffs Jul2019'!K122-'Tariffs Jul2019'!J122)*('Tariffs Jul2019'!P122/100)*'Tariffs Jul2019'!AI122))</f>
        <v>0</v>
      </c>
      <c r="G128" s="59">
        <f>IF($C$5*'Tariffs Jul2019'!AK122/'Tariffs Jul2019'!AI122&lt;'Tariffs Jul2019'!K122,0,IF($C$5*'Tariffs Jul2019'!AK122/'Tariffs Jul2019'!AI122&lt;='Tariffs Jul2019'!L122,($C$5*'Tariffs Jul2019'!AK122/'Tariffs Jul2019'!AI122-'Tariffs Jul2019'!K122)*('Tariffs Jul2019'!Q122/100)*'Tariffs Jul2019'!AI122,('Tariffs Jul2019'!L122-'Tariffs Jul2019'!K122)*('Tariffs Jul2019'!Q122/100)*'Tariffs Jul2019'!AI122))</f>
        <v>0</v>
      </c>
      <c r="H128" s="59">
        <f>IF($C$5*'Tariffs Jul2019'!AK122/'Tariffs Jul2019'!AI122&lt;'Tariffs Jul2019'!L122,0,IF($C$5*'Tariffs Jul2019'!AK122/'Tariffs Jul2019'!AI122&lt;='Tariffs Jul2019'!M122,($C$5*'Tariffs Jul2019'!AK122/'Tariffs Jul2019'!AI122-'Tariffs Jul2019'!L122)*('Tariffs Jul2019'!R122/100)*'Tariffs Jul2019'!AI122,('Tariffs Jul2019'!M122-'Tariffs Jul2019'!L122)*('Tariffs Jul2019'!R122/100)*'Tariffs Jul2019'!AI122))</f>
        <v>0</v>
      </c>
      <c r="I128" s="59">
        <f>IF(($C$5*'Tariffs Jul2019'!AK122/'Tariffs Jul2019'!AI122&gt;'Tariffs Jul2019'!M122),($C$5*'Tariffs Jul2019'!AK122/'Tariffs Jul2019'!AI122-'Tariffs Jul2019'!M122)*'Tariffs Jul2019'!S122/100*'Tariffs Jul2019'!AI122,0)</f>
        <v>291.01841999999994</v>
      </c>
      <c r="J128" s="59">
        <f>IF($C$5*'Tariffs Jul2019'!AL122/'Tariffs Jul2019'!AJ122&gt;='Tariffs Jul2019'!J122,('Tariffs Jul2019'!J122*'Tariffs Jul2019'!U122/100)* 'Tariffs Jul2019'!AJ122,($C$5*'Tariffs Jul2019'!AL122/'Tariffs Jul2019'!AJ122*'Tariffs Jul2019'!U122/100)* 'Tariffs Jul2019'!AJ122)</f>
        <v>243.18</v>
      </c>
      <c r="K128" s="59">
        <f>IF($C$5*'Tariffs Jul2019'!AL122/'Tariffs Jul2019'!AJ122&lt;'Tariffs Jul2019'!J122,0,IF($C$5*'Tariffs Jul2019'!AL122/'Tariffs Jul2019'!AJ122&lt;='Tariffs Jul2019'!K122,($C$5*'Tariffs Jul2019'!AL122/'Tariffs Jul2019'!AJ122-'Tariffs Jul2019'!J122)*('Tariffs Jul2019'!V122/100)*'Tariffs Jul2019'!AJ122,('Tariffs Jul2019'!K122-'Tariffs Jul2019'!J122)*('Tariffs Jul2019'!V122/100)*'Tariffs Jul2019'!AJ122))</f>
        <v>0</v>
      </c>
      <c r="L128" s="59">
        <f>IF($C$5*'Tariffs Jul2019'!AL122/'Tariffs Jul2019'!AJ122&lt;'Tariffs Jul2019'!K122,0,IF($C$5*'Tariffs Jul2019'!AL122/'Tariffs Jul2019'!AJ122&lt;='Tariffs Jul2019'!L122,($C$5*'Tariffs Jul2019'!AL122/'Tariffs Jul2019'!AJ122-'Tariffs Jul2019'!K122)*('Tariffs Jul2019'!W122/100)*'Tariffs Jul2019'!AJ122,('Tariffs Jul2019'!L122-'Tariffs Jul2019'!K122)*('Tariffs Jul2019'!W122/100)*'Tariffs Jul2019'!AJ122))</f>
        <v>0</v>
      </c>
      <c r="M128" s="59">
        <f>IF($C$5*'Tariffs Jul2019'!AL122/'Tariffs Jul2019'!AJ122&lt;'Tariffs Jul2019'!L122,0,IF($C$5*'Tariffs Jul2019'!AL122/'Tariffs Jul2019'!AJ122&lt;='Tariffs Jul2019'!M122,($C$5*'Tariffs Jul2019'!AL122/'Tariffs Jul2019'!AJ122-'Tariffs Jul2019'!L122)*('Tariffs Jul2019'!X122/100)*'Tariffs Jul2019'!AJ122,('Tariffs Jul2019'!M122-'Tariffs Jul2019'!L122)*('Tariffs Jul2019'!X122/100)*'Tariffs Jul2019'!AJ122))</f>
        <v>0</v>
      </c>
      <c r="N128" s="59">
        <f>IF(($C$5*'Tariffs Jul2019'!AL122/'Tariffs Jul2019'!AJ122&gt;'Tariffs Jul2019'!M122),($C$5*'Tariffs Jul2019'!AL122/'Tariffs Jul2019'!AJ122-'Tariffs Jul2019'!M122)*'Tariffs Jul2019'!Y122/100*'Tariffs Jul2019'!AJ122,0)</f>
        <v>529.12439999999992</v>
      </c>
      <c r="O128" s="271">
        <f t="shared" si="13"/>
        <v>1220.8228199999999</v>
      </c>
      <c r="P128" s="413">
        <f t="shared" si="10"/>
        <v>1342.9051019999999</v>
      </c>
      <c r="Q128" s="59">
        <f t="shared" si="14"/>
        <v>1514.2828199999999</v>
      </c>
      <c r="R128" s="272">
        <f t="shared" si="15"/>
        <v>1665.711102</v>
      </c>
      <c r="S128" s="40">
        <f>'Tariffs Jul2019'!AN122</f>
        <v>0</v>
      </c>
      <c r="T128" s="40">
        <f>'Tariffs Jul2019'!AO122</f>
        <v>0</v>
      </c>
      <c r="U128" s="40">
        <f>'Tariffs Jul2019'!AP122</f>
        <v>10</v>
      </c>
      <c r="V128" s="40">
        <f>'Tariffs Jul2019'!AQ122</f>
        <v>0</v>
      </c>
      <c r="W128" s="273">
        <f>R128</f>
        <v>1665.711102</v>
      </c>
      <c r="X128" s="273">
        <f>W128-(W128*U128/100)</f>
        <v>1499.1399918</v>
      </c>
      <c r="Y128" s="272">
        <f>W128</f>
        <v>1665.711102</v>
      </c>
      <c r="Z128" s="272">
        <f>X128</f>
        <v>1499.1399918</v>
      </c>
      <c r="AA128" s="274">
        <f>'Tariffs Jul2019'!AZ122</f>
        <v>0</v>
      </c>
      <c r="AB128" s="274" t="str">
        <f>'Tariffs Jul2019'!BA122</f>
        <v>n</v>
      </c>
      <c r="AC128" s="275" t="str">
        <f>'Tariffs Jul2019'!BJ122</f>
        <v>N</v>
      </c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</row>
    <row r="129" spans="1:40" x14ac:dyDescent="0.15">
      <c r="A129" s="270" t="str">
        <f>'Tariffs Jul2019'!F123</f>
        <v>Simply Energy</v>
      </c>
      <c r="B129" s="40" t="str">
        <f>'Tariffs Jul2019'!D123</f>
        <v>AusNet Services Central 1</v>
      </c>
      <c r="C129" s="40" t="str">
        <f>'Tariffs Jul2019'!G123</f>
        <v>Plus</v>
      </c>
      <c r="D129" s="59">
        <f>365*'Tariffs Jul2019'!H123/100</f>
        <v>316.72045454545452</v>
      </c>
      <c r="E129" s="59">
        <f>IF($C$5*'Tariffs Jul2019'!AK123/'Tariffs Jul2019'!AI123&gt;='Tariffs Jul2019'!J123,( 'Tariffs Jul2019'!J123*'Tariffs Jul2019'!O123/100)* 'Tariffs Jul2019'!AI123,($C$5*'Tariffs Jul2019'!AK123/'Tariffs Jul2019'!AI123*'Tariffs Jul2019'!O123/100)* 'Tariffs Jul2019'!AI123)</f>
        <v>267.27272727272725</v>
      </c>
      <c r="F129" s="59">
        <f>IF($C$5*'Tariffs Jul2019'!AK123/'Tariffs Jul2019'!AI123&lt;'Tariffs Jul2019'!J123,0,IF($C$5*'Tariffs Jul2019'!AK123/'Tariffs Jul2019'!AI123&lt;='Tariffs Jul2019'!K123,($C$5*'Tariffs Jul2019'!AK123/'Tariffs Jul2019'!AI123-'Tariffs Jul2019'!J123)*('Tariffs Jul2019'!P123/100)*'Tariffs Jul2019'!AI123,('Tariffs Jul2019'!K123-'Tariffs Jul2019'!J123)*('Tariffs Jul2019'!P123/100)*'Tariffs Jul2019'!AI123))</f>
        <v>169.32411818181814</v>
      </c>
      <c r="G129" s="59">
        <f>IF($C$5*'Tariffs Jul2019'!AK123/'Tariffs Jul2019'!AI123&lt;'Tariffs Jul2019'!K123,0,IF($C$5*'Tariffs Jul2019'!AK123/'Tariffs Jul2019'!AI123&lt;='Tariffs Jul2019'!L123,($C$5*'Tariffs Jul2019'!AK123/'Tariffs Jul2019'!AI123-'Tariffs Jul2019'!K123)*('Tariffs Jul2019'!Q123/100)*'Tariffs Jul2019'!AI123,('Tariffs Jul2019'!L123-'Tariffs Jul2019'!K123)*('Tariffs Jul2019'!Q123/100)*'Tariffs Jul2019'!AI123))</f>
        <v>0</v>
      </c>
      <c r="H129" s="59">
        <f>IF($C$5*'Tariffs Jul2019'!AK123/'Tariffs Jul2019'!AI123&lt;'Tariffs Jul2019'!L123,0,IF($C$5*'Tariffs Jul2019'!AK123/'Tariffs Jul2019'!AI123&lt;='Tariffs Jul2019'!M123,($C$5*'Tariffs Jul2019'!AK123/'Tariffs Jul2019'!AI123-'Tariffs Jul2019'!L123)*('Tariffs Jul2019'!R123/100)*'Tariffs Jul2019'!AI123,('Tariffs Jul2019'!M123-'Tariffs Jul2019'!L123)*('Tariffs Jul2019'!R123/100)*'Tariffs Jul2019'!AI123))</f>
        <v>0</v>
      </c>
      <c r="I129" s="59">
        <f>IF(($C$5*'Tariffs Jul2019'!AK123/'Tariffs Jul2019'!AI123&gt;'Tariffs Jul2019'!M123),($C$5*'Tariffs Jul2019'!AK123/'Tariffs Jul2019'!AI123-'Tariffs Jul2019'!M123)*'Tariffs Jul2019'!S123/100*'Tariffs Jul2019'!AI123,0)</f>
        <v>0</v>
      </c>
      <c r="J129" s="59">
        <f>IF($C$5*'Tariffs Jul2019'!AL123/'Tariffs Jul2019'!AJ123&gt;='Tariffs Jul2019'!J123,('Tariffs Jul2019'!J123*'Tariffs Jul2019'!U123/100)* 'Tariffs Jul2019'!AJ123,($C$5*'Tariffs Jul2019'!AL123/'Tariffs Jul2019'!AJ123*'Tariffs Jul2019'!U123/100)* 'Tariffs Jul2019'!AJ123)</f>
        <v>399.27272727272725</v>
      </c>
      <c r="K129" s="59">
        <f>IF($C$5*'Tariffs Jul2019'!AL123/'Tariffs Jul2019'!AJ123&lt;'Tariffs Jul2019'!J123,0,IF($C$5*'Tariffs Jul2019'!AL123/'Tariffs Jul2019'!AJ123&lt;='Tariffs Jul2019'!K123,($C$5*'Tariffs Jul2019'!AL123/'Tariffs Jul2019'!AJ123-'Tariffs Jul2019'!J123)*('Tariffs Jul2019'!V123/100)*'Tariffs Jul2019'!AJ123,('Tariffs Jul2019'!K123-'Tariffs Jul2019'!J123)*('Tariffs Jul2019'!V123/100)*'Tariffs Jul2019'!AJ123))</f>
        <v>287.93279999999993</v>
      </c>
      <c r="L129" s="59">
        <f>IF($C$5*'Tariffs Jul2019'!AL123/'Tariffs Jul2019'!AJ123&lt;'Tariffs Jul2019'!K123,0,IF($C$5*'Tariffs Jul2019'!AL123/'Tariffs Jul2019'!AJ123&lt;='Tariffs Jul2019'!L123,($C$5*'Tariffs Jul2019'!AL123/'Tariffs Jul2019'!AJ123-'Tariffs Jul2019'!K123)*('Tariffs Jul2019'!W123/100)*'Tariffs Jul2019'!AJ123,('Tariffs Jul2019'!L123-'Tariffs Jul2019'!K123)*('Tariffs Jul2019'!W123/100)*'Tariffs Jul2019'!AJ123))</f>
        <v>0</v>
      </c>
      <c r="M129" s="59">
        <f>IF($C$5*'Tariffs Jul2019'!AL123/'Tariffs Jul2019'!AJ123&lt;'Tariffs Jul2019'!L123,0,IF($C$5*'Tariffs Jul2019'!AL123/'Tariffs Jul2019'!AJ123&lt;='Tariffs Jul2019'!M123,($C$5*'Tariffs Jul2019'!AL123/'Tariffs Jul2019'!AJ123-'Tariffs Jul2019'!L123)*('Tariffs Jul2019'!X123/100)*'Tariffs Jul2019'!AJ123,('Tariffs Jul2019'!M123-'Tariffs Jul2019'!L123)*('Tariffs Jul2019'!X123/100)*'Tariffs Jul2019'!AJ123))</f>
        <v>0</v>
      </c>
      <c r="N129" s="59">
        <f>IF(($C$5*'Tariffs Jul2019'!AL123/'Tariffs Jul2019'!AJ123&gt;'Tariffs Jul2019'!M123),($C$5*'Tariffs Jul2019'!AL123/'Tariffs Jul2019'!AJ123-'Tariffs Jul2019'!M123)*'Tariffs Jul2019'!Y123/100*'Tariffs Jul2019'!AJ123,0)</f>
        <v>0</v>
      </c>
      <c r="O129" s="271">
        <f t="shared" si="13"/>
        <v>1123.8023727272725</v>
      </c>
      <c r="P129" s="413">
        <f t="shared" si="10"/>
        <v>1236.1826099999998</v>
      </c>
      <c r="Q129" s="59">
        <f t="shared" si="14"/>
        <v>1440.522827272727</v>
      </c>
      <c r="R129" s="272">
        <f t="shared" si="15"/>
        <v>1584.5751099999998</v>
      </c>
      <c r="S129" s="40">
        <f>'Tariffs Jul2019'!AN123</f>
        <v>0</v>
      </c>
      <c r="T129" s="40">
        <f>'Tariffs Jul2019'!AO123</f>
        <v>0</v>
      </c>
      <c r="U129" s="40">
        <f>'Tariffs Jul2019'!AP123</f>
        <v>0</v>
      </c>
      <c r="V129" s="40">
        <f>'Tariffs Jul2019'!AQ123</f>
        <v>0</v>
      </c>
      <c r="W129" s="273">
        <f t="shared" ref="W129:W134" si="19">Q129</f>
        <v>1440.522827272727</v>
      </c>
      <c r="X129" s="273">
        <f>W129</f>
        <v>1440.522827272727</v>
      </c>
      <c r="Y129" s="272">
        <f t="shared" si="18"/>
        <v>1584.5751099999998</v>
      </c>
      <c r="Z129" s="272">
        <f t="shared" si="18"/>
        <v>1584.5751099999998</v>
      </c>
      <c r="AA129" s="274">
        <f>'Tariffs Jul2019'!AZ123</f>
        <v>0</v>
      </c>
      <c r="AB129" s="274" t="str">
        <f>'Tariffs Jul2019'!BA123</f>
        <v>n</v>
      </c>
      <c r="AC129" s="275" t="str">
        <f>'Tariffs Jul2019'!BJ123</f>
        <v>Y</v>
      </c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</row>
    <row r="130" spans="1:40" x14ac:dyDescent="0.15">
      <c r="A130" s="270" t="str">
        <f>'Tariffs Jul2019'!F124</f>
        <v>Sumo Power</v>
      </c>
      <c r="B130" s="40" t="str">
        <f>'Tariffs Jul2019'!D124</f>
        <v>AusNet Services Central 1</v>
      </c>
      <c r="C130" s="40" t="str">
        <f>'Tariffs Jul2019'!G124</f>
        <v>Select</v>
      </c>
      <c r="D130" s="59">
        <f>365*'Tariffs Jul2019'!H124/100</f>
        <v>248.19999999999996</v>
      </c>
      <c r="E130" s="59">
        <f>IF($C$5*'Tariffs Jul2019'!AK124/'Tariffs Jul2019'!AI124&gt;='Tariffs Jul2019'!J124,( 'Tariffs Jul2019'!J124*'Tariffs Jul2019'!O124/100)* 'Tariffs Jul2019'!AI124,($C$5*'Tariffs Jul2019'!AK124/'Tariffs Jul2019'!AI124*'Tariffs Jul2019'!O124/100)* 'Tariffs Jul2019'!AI124)</f>
        <v>266.18181818181813</v>
      </c>
      <c r="F130" s="59">
        <f>IF($C$5*'Tariffs Jul2019'!AK124/'Tariffs Jul2019'!AI124&lt;'Tariffs Jul2019'!J124,0,IF($C$5*'Tariffs Jul2019'!AK124/'Tariffs Jul2019'!AI124&lt;='Tariffs Jul2019'!K124,($C$5*'Tariffs Jul2019'!AK124/'Tariffs Jul2019'!AI124-'Tariffs Jul2019'!J124)*('Tariffs Jul2019'!P124/100)*'Tariffs Jul2019'!AI124,('Tariffs Jul2019'!K124-'Tariffs Jul2019'!J124)*('Tariffs Jul2019'!P124/100)*'Tariffs Jul2019'!AI124))</f>
        <v>181.59398181818176</v>
      </c>
      <c r="G130" s="59">
        <f>IF($C$5*'Tariffs Jul2019'!AK124/'Tariffs Jul2019'!AI124&lt;'Tariffs Jul2019'!K124,0,IF($C$5*'Tariffs Jul2019'!AK124/'Tariffs Jul2019'!AI124&lt;='Tariffs Jul2019'!L124,($C$5*'Tariffs Jul2019'!AK124/'Tariffs Jul2019'!AI124-'Tariffs Jul2019'!K124)*('Tariffs Jul2019'!Q124/100)*'Tariffs Jul2019'!AI124,('Tariffs Jul2019'!L124-'Tariffs Jul2019'!K124)*('Tariffs Jul2019'!Q124/100)*'Tariffs Jul2019'!AI124))</f>
        <v>0</v>
      </c>
      <c r="H130" s="59">
        <f>IF($C$5*'Tariffs Jul2019'!AK124/'Tariffs Jul2019'!AI124&lt;'Tariffs Jul2019'!L124,0,IF($C$5*'Tariffs Jul2019'!AK124/'Tariffs Jul2019'!AI124&lt;='Tariffs Jul2019'!M124,($C$5*'Tariffs Jul2019'!AK124/'Tariffs Jul2019'!AI124-'Tariffs Jul2019'!L124)*('Tariffs Jul2019'!R124/100)*'Tariffs Jul2019'!AI124,('Tariffs Jul2019'!M124-'Tariffs Jul2019'!L124)*('Tariffs Jul2019'!R124/100)*'Tariffs Jul2019'!AI124))</f>
        <v>0</v>
      </c>
      <c r="I130" s="59">
        <f>IF(($C$5*'Tariffs Jul2019'!AK124/'Tariffs Jul2019'!AI124&gt;'Tariffs Jul2019'!M124),($C$5*'Tariffs Jul2019'!AK124/'Tariffs Jul2019'!AI124-'Tariffs Jul2019'!M124)*'Tariffs Jul2019'!S124/100*'Tariffs Jul2019'!AI124,0)</f>
        <v>0</v>
      </c>
      <c r="J130" s="59">
        <f>IF($C$5*'Tariffs Jul2019'!AL124/'Tariffs Jul2019'!AJ124&gt;='Tariffs Jul2019'!J124,('Tariffs Jul2019'!J124*'Tariffs Jul2019'!U124/100)* 'Tariffs Jul2019'!AJ124,($C$5*'Tariffs Jul2019'!AL124/'Tariffs Jul2019'!AJ124*'Tariffs Jul2019'!U124/100)* 'Tariffs Jul2019'!AJ124)</f>
        <v>421.09090909090907</v>
      </c>
      <c r="K130" s="59">
        <f>IF($C$5*'Tariffs Jul2019'!AL124/'Tariffs Jul2019'!AJ124&lt;'Tariffs Jul2019'!J124,0,IF($C$5*'Tariffs Jul2019'!AL124/'Tariffs Jul2019'!AJ124&lt;='Tariffs Jul2019'!K124,($C$5*'Tariffs Jul2019'!AL124/'Tariffs Jul2019'!AJ124-'Tariffs Jul2019'!J124)*('Tariffs Jul2019'!V124/100)*'Tariffs Jul2019'!AJ124,('Tariffs Jul2019'!K124-'Tariffs Jul2019'!J124)*('Tariffs Jul2019'!V124/100)*'Tariffs Jul2019'!AJ124))</f>
        <v>273.20896363636353</v>
      </c>
      <c r="L130" s="59">
        <f>IF($C$5*'Tariffs Jul2019'!AL124/'Tariffs Jul2019'!AJ124&lt;'Tariffs Jul2019'!K124,0,IF($C$5*'Tariffs Jul2019'!AL124/'Tariffs Jul2019'!AJ124&lt;='Tariffs Jul2019'!L124,($C$5*'Tariffs Jul2019'!AL124/'Tariffs Jul2019'!AJ124-'Tariffs Jul2019'!K124)*('Tariffs Jul2019'!W124/100)*'Tariffs Jul2019'!AJ124,('Tariffs Jul2019'!L124-'Tariffs Jul2019'!K124)*('Tariffs Jul2019'!W124/100)*'Tariffs Jul2019'!AJ124))</f>
        <v>0</v>
      </c>
      <c r="M130" s="59">
        <f>IF($C$5*'Tariffs Jul2019'!AL124/'Tariffs Jul2019'!AJ124&lt;'Tariffs Jul2019'!L124,0,IF($C$5*'Tariffs Jul2019'!AL124/'Tariffs Jul2019'!AJ124&lt;='Tariffs Jul2019'!M124,($C$5*'Tariffs Jul2019'!AL124/'Tariffs Jul2019'!AJ124-'Tariffs Jul2019'!L124)*('Tariffs Jul2019'!X124/100)*'Tariffs Jul2019'!AJ124,('Tariffs Jul2019'!M124-'Tariffs Jul2019'!L124)*('Tariffs Jul2019'!X124/100)*'Tariffs Jul2019'!AJ124))</f>
        <v>0</v>
      </c>
      <c r="N130" s="59">
        <f>IF(($C$5*'Tariffs Jul2019'!AL124/'Tariffs Jul2019'!AJ124&gt;'Tariffs Jul2019'!M124),($C$5*'Tariffs Jul2019'!AL124/'Tariffs Jul2019'!AJ124-'Tariffs Jul2019'!M124)*'Tariffs Jul2019'!Y124/100*'Tariffs Jul2019'!AJ124,0)</f>
        <v>0</v>
      </c>
      <c r="O130" s="271">
        <f t="shared" si="13"/>
        <v>1142.0756727272724</v>
      </c>
      <c r="P130" s="413">
        <f t="shared" si="10"/>
        <v>1256.2832399999998</v>
      </c>
      <c r="Q130" s="59">
        <f t="shared" si="14"/>
        <v>1390.2756727272724</v>
      </c>
      <c r="R130" s="272">
        <f t="shared" si="15"/>
        <v>1529.3032399999997</v>
      </c>
      <c r="S130" s="40">
        <f>'Tariffs Jul2019'!AN124</f>
        <v>0</v>
      </c>
      <c r="T130" s="40">
        <f>'Tariffs Jul2019'!AO124</f>
        <v>0</v>
      </c>
      <c r="U130" s="40">
        <f>'Tariffs Jul2019'!AP124</f>
        <v>5</v>
      </c>
      <c r="V130" s="40">
        <f>'Tariffs Jul2019'!AQ124</f>
        <v>0</v>
      </c>
      <c r="W130" s="273">
        <f t="shared" si="19"/>
        <v>1390.2756727272724</v>
      </c>
      <c r="X130" s="273">
        <f>W130-(Q130*U130/100)</f>
        <v>1320.7618890909089</v>
      </c>
      <c r="Y130" s="272">
        <f t="shared" si="18"/>
        <v>1529.3032399999997</v>
      </c>
      <c r="Z130" s="272">
        <f t="shared" si="18"/>
        <v>1452.838078</v>
      </c>
      <c r="AA130" s="274">
        <f>'Tariffs Jul2019'!AZ124</f>
        <v>0</v>
      </c>
      <c r="AB130" s="274" t="str">
        <f>'Tariffs Jul2019'!BA124</f>
        <v>n</v>
      </c>
      <c r="AC130" s="275" t="str">
        <f>'Tariffs Jul2019'!BJ124</f>
        <v>Y</v>
      </c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</row>
    <row r="131" spans="1:40" x14ac:dyDescent="0.15">
      <c r="A131" s="270" t="str">
        <f>'Tariffs Jul2019'!F125</f>
        <v>Amaysim</v>
      </c>
      <c r="B131" s="40" t="str">
        <f>'Tariffs Jul2019'!D125</f>
        <v>AusNet Services Central 1</v>
      </c>
      <c r="C131" s="40" t="str">
        <f>'Tariffs Jul2019'!G125</f>
        <v>Gas as you go</v>
      </c>
      <c r="D131" s="59">
        <f>365*'Tariffs Jul2019'!H125/100</f>
        <v>240.2576</v>
      </c>
      <c r="E131" s="59">
        <f>IF($C$5*'Tariffs Jul2019'!AK125/'Tariffs Jul2019'!AI125&gt;='Tariffs Jul2019'!J125,( 'Tariffs Jul2019'!J125*'Tariffs Jul2019'!O125/100)* 'Tariffs Jul2019'!AI125,($C$5*'Tariffs Jul2019'!AK125/'Tariffs Jul2019'!AI125*'Tariffs Jul2019'!O125/100)* 'Tariffs Jul2019'!AI125)</f>
        <v>289.68</v>
      </c>
      <c r="F131" s="59">
        <f>IF($C$5*'Tariffs Jul2019'!AK125/'Tariffs Jul2019'!AI125&lt;'Tariffs Jul2019'!J125,0,IF($C$5*'Tariffs Jul2019'!AK125/'Tariffs Jul2019'!AI125&lt;='Tariffs Jul2019'!K125,($C$5*'Tariffs Jul2019'!AK125/'Tariffs Jul2019'!AI125-'Tariffs Jul2019'!J125)*('Tariffs Jul2019'!P125/100)*'Tariffs Jul2019'!AI125,('Tariffs Jul2019'!K125-'Tariffs Jul2019'!J125)*('Tariffs Jul2019'!P125/100)*'Tariffs Jul2019'!AI125))</f>
        <v>186.61644599999994</v>
      </c>
      <c r="G131" s="59">
        <f>IF($C$5*'Tariffs Jul2019'!AK125/'Tariffs Jul2019'!AI125&lt;'Tariffs Jul2019'!K125,0,IF($C$5*'Tariffs Jul2019'!AK125/'Tariffs Jul2019'!AI125&lt;='Tariffs Jul2019'!L125,($C$5*'Tariffs Jul2019'!AK125/'Tariffs Jul2019'!AI125-'Tariffs Jul2019'!K125)*('Tariffs Jul2019'!Q125/100)*'Tariffs Jul2019'!AI125,('Tariffs Jul2019'!L125-'Tariffs Jul2019'!K125)*('Tariffs Jul2019'!Q125/100)*'Tariffs Jul2019'!AI125))</f>
        <v>0</v>
      </c>
      <c r="H131" s="59">
        <f>IF($C$5*'Tariffs Jul2019'!AK125/'Tariffs Jul2019'!AI125&lt;'Tariffs Jul2019'!L125,0,IF($C$5*'Tariffs Jul2019'!AK125/'Tariffs Jul2019'!AI125&lt;='Tariffs Jul2019'!M125,($C$5*'Tariffs Jul2019'!AK125/'Tariffs Jul2019'!AI125-'Tariffs Jul2019'!L125)*('Tariffs Jul2019'!R125/100)*'Tariffs Jul2019'!AI125,('Tariffs Jul2019'!M125-'Tariffs Jul2019'!L125)*('Tariffs Jul2019'!R125/100)*'Tariffs Jul2019'!AI125))</f>
        <v>0</v>
      </c>
      <c r="I131" s="59">
        <f>IF(($C$5*'Tariffs Jul2019'!AK125/'Tariffs Jul2019'!AI125&gt;'Tariffs Jul2019'!M125),($C$5*'Tariffs Jul2019'!AK125/'Tariffs Jul2019'!AI125-'Tariffs Jul2019'!M125)*'Tariffs Jul2019'!S125/100*'Tariffs Jul2019'!AI125,0)</f>
        <v>0</v>
      </c>
      <c r="J131" s="59">
        <f>IF($C$5*'Tariffs Jul2019'!AL125/'Tariffs Jul2019'!AJ125&gt;='Tariffs Jul2019'!J125,('Tariffs Jul2019'!J125*'Tariffs Jul2019'!U125/100)* 'Tariffs Jul2019'!AJ125,($C$5*'Tariffs Jul2019'!AL125/'Tariffs Jul2019'!AJ125*'Tariffs Jul2019'!U125/100)* 'Tariffs Jul2019'!AJ125)</f>
        <v>408</v>
      </c>
      <c r="K131" s="59">
        <f>IF($C$5*'Tariffs Jul2019'!AL125/'Tariffs Jul2019'!AJ125&lt;'Tariffs Jul2019'!J125,0,IF($C$5*'Tariffs Jul2019'!AL125/'Tariffs Jul2019'!AJ125&lt;='Tariffs Jul2019'!K125,($C$5*'Tariffs Jul2019'!AL125/'Tariffs Jul2019'!AJ125-'Tariffs Jul2019'!J125)*('Tariffs Jul2019'!V125/100)*'Tariffs Jul2019'!AJ125,('Tariffs Jul2019'!K125-'Tariffs Jul2019'!J125)*('Tariffs Jul2019'!V125/100)*'Tariffs Jul2019'!AJ125))</f>
        <v>299.81002799999987</v>
      </c>
      <c r="L131" s="59">
        <f>IF($C$5*'Tariffs Jul2019'!AL125/'Tariffs Jul2019'!AJ125&lt;'Tariffs Jul2019'!K125,0,IF($C$5*'Tariffs Jul2019'!AL125/'Tariffs Jul2019'!AJ125&lt;='Tariffs Jul2019'!L125,($C$5*'Tariffs Jul2019'!AL125/'Tariffs Jul2019'!AJ125-'Tariffs Jul2019'!K125)*('Tariffs Jul2019'!W125/100)*'Tariffs Jul2019'!AJ125,('Tariffs Jul2019'!L125-'Tariffs Jul2019'!K125)*('Tariffs Jul2019'!W125/100)*'Tariffs Jul2019'!AJ125))</f>
        <v>0</v>
      </c>
      <c r="M131" s="59">
        <f>IF($C$5*'Tariffs Jul2019'!AL125/'Tariffs Jul2019'!AJ125&lt;'Tariffs Jul2019'!L125,0,IF($C$5*'Tariffs Jul2019'!AL125/'Tariffs Jul2019'!AJ125&lt;='Tariffs Jul2019'!M125,($C$5*'Tariffs Jul2019'!AL125/'Tariffs Jul2019'!AJ125-'Tariffs Jul2019'!L125)*('Tariffs Jul2019'!X125/100)*'Tariffs Jul2019'!AJ125,('Tariffs Jul2019'!M125-'Tariffs Jul2019'!L125)*('Tariffs Jul2019'!X125/100)*'Tariffs Jul2019'!AJ125))</f>
        <v>0</v>
      </c>
      <c r="N131" s="59">
        <f>IF(($C$5*'Tariffs Jul2019'!AL125/'Tariffs Jul2019'!AJ125&gt;'Tariffs Jul2019'!M125),($C$5*'Tariffs Jul2019'!AL125/'Tariffs Jul2019'!AJ125-'Tariffs Jul2019'!M125)*'Tariffs Jul2019'!Y125/100*'Tariffs Jul2019'!AJ125,0)</f>
        <v>0</v>
      </c>
      <c r="O131" s="271">
        <f t="shared" si="13"/>
        <v>1184.1064739999997</v>
      </c>
      <c r="P131" s="413">
        <f t="shared" si="10"/>
        <v>1302.5171213999997</v>
      </c>
      <c r="Q131" s="59">
        <f t="shared" si="14"/>
        <v>1424.3640739999996</v>
      </c>
      <c r="R131" s="272">
        <f t="shared" si="15"/>
        <v>1566.8004813999996</v>
      </c>
      <c r="S131" s="40">
        <f>'Tariffs Jul2019'!AN125</f>
        <v>0</v>
      </c>
      <c r="T131" s="40">
        <f>'Tariffs Jul2019'!AO125</f>
        <v>0</v>
      </c>
      <c r="U131" s="40">
        <f>'Tariffs Jul2019'!AP125</f>
        <v>0</v>
      </c>
      <c r="V131" s="40">
        <f>'Tariffs Jul2019'!AQ125</f>
        <v>0</v>
      </c>
      <c r="W131" s="273">
        <f t="shared" si="19"/>
        <v>1424.3640739999996</v>
      </c>
      <c r="X131" s="273">
        <f>W131</f>
        <v>1424.3640739999996</v>
      </c>
      <c r="Y131" s="272">
        <f t="shared" si="18"/>
        <v>1566.8004813999996</v>
      </c>
      <c r="Z131" s="272">
        <f t="shared" si="18"/>
        <v>1566.8004813999996</v>
      </c>
      <c r="AA131" s="274">
        <f>'Tariffs Jul2019'!AZ125</f>
        <v>0</v>
      </c>
      <c r="AB131" s="274" t="str">
        <f>'Tariffs Jul2019'!BA125</f>
        <v>n</v>
      </c>
      <c r="AC131" s="275" t="str">
        <f>'Tariffs Jul2019'!BJ125</f>
        <v>N</v>
      </c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</row>
    <row r="132" spans="1:40" x14ac:dyDescent="0.15">
      <c r="A132" s="270" t="str">
        <f>'Tariffs Jul2019'!F126</f>
        <v>GloBird Energy</v>
      </c>
      <c r="B132" s="40" t="str">
        <f>'Tariffs Jul2019'!D126</f>
        <v>AusNet Services Central 1</v>
      </c>
      <c r="C132" s="40" t="str">
        <f>'Tariffs Jul2019'!G126</f>
        <v>GloSave</v>
      </c>
      <c r="D132" s="59">
        <f>365*'Tariffs Jul2019'!H126/100</f>
        <v>262.8</v>
      </c>
      <c r="E132" s="59">
        <f>IF($C$5*'Tariffs Jul2019'!AK126/'Tariffs Jul2019'!AI126&gt;='Tariffs Jul2019'!J126,( 'Tariffs Jul2019'!J126*'Tariffs Jul2019'!O126/100)* 'Tariffs Jul2019'!AI126,($C$5*'Tariffs Jul2019'!AK126/'Tariffs Jul2019'!AI126*'Tariffs Jul2019'!O126/100)* 'Tariffs Jul2019'!AI126)</f>
        <v>254.4</v>
      </c>
      <c r="F132" s="59">
        <f>IF($C$5*'Tariffs Jul2019'!AK126/'Tariffs Jul2019'!AI126&lt;'Tariffs Jul2019'!J126,0,IF($C$5*'Tariffs Jul2019'!AK126/'Tariffs Jul2019'!AI126&lt;='Tariffs Jul2019'!K126,($C$5*'Tariffs Jul2019'!AK126/'Tariffs Jul2019'!AI126-'Tariffs Jul2019'!J126)*('Tariffs Jul2019'!P126/100)*'Tariffs Jul2019'!AI126,('Tariffs Jul2019'!K126-'Tariffs Jul2019'!J126)*('Tariffs Jul2019'!P126/100)*'Tariffs Jul2019'!AI126))</f>
        <v>0</v>
      </c>
      <c r="G132" s="59">
        <f>IF($C$5*'Tariffs Jul2019'!AK126/'Tariffs Jul2019'!AI126&lt;'Tariffs Jul2019'!K126,0,IF($C$5*'Tariffs Jul2019'!AK126/'Tariffs Jul2019'!AI126&lt;='Tariffs Jul2019'!L126,($C$5*'Tariffs Jul2019'!AK126/'Tariffs Jul2019'!AI126-'Tariffs Jul2019'!K126)*('Tariffs Jul2019'!Q126/100)*'Tariffs Jul2019'!AI126,('Tariffs Jul2019'!L126-'Tariffs Jul2019'!K126)*('Tariffs Jul2019'!Q126/100)*'Tariffs Jul2019'!AI126))</f>
        <v>0</v>
      </c>
      <c r="H132" s="59">
        <f>IF($C$5*'Tariffs Jul2019'!AK126/'Tariffs Jul2019'!AI126&lt;'Tariffs Jul2019'!L126,0,IF($C$5*'Tariffs Jul2019'!AK126/'Tariffs Jul2019'!AI126&lt;='Tariffs Jul2019'!M126,($C$5*'Tariffs Jul2019'!AK126/'Tariffs Jul2019'!AI126-'Tariffs Jul2019'!L126)*('Tariffs Jul2019'!R126/100)*'Tariffs Jul2019'!AI126,('Tariffs Jul2019'!M126-'Tariffs Jul2019'!L126)*('Tariffs Jul2019'!R126/100)*'Tariffs Jul2019'!AI126))</f>
        <v>0</v>
      </c>
      <c r="I132" s="59">
        <f>IF(($C$5*'Tariffs Jul2019'!AK126/'Tariffs Jul2019'!AI126&gt;'Tariffs Jul2019'!M126),($C$5*'Tariffs Jul2019'!AK126/'Tariffs Jul2019'!AI126-'Tariffs Jul2019'!M126)*'Tariffs Jul2019'!S126/100*'Tariffs Jul2019'!AI126,0)</f>
        <v>157.46324999999996</v>
      </c>
      <c r="J132" s="59">
        <f>IF($C$5*'Tariffs Jul2019'!AL126/'Tariffs Jul2019'!AJ126&gt;='Tariffs Jul2019'!J126,('Tariffs Jul2019'!J126*'Tariffs Jul2019'!U126/100)* 'Tariffs Jul2019'!AJ126,($C$5*'Tariffs Jul2019'!AL126/'Tariffs Jul2019'!AJ126*'Tariffs Jul2019'!U126/100)* 'Tariffs Jul2019'!AJ126)</f>
        <v>412.8</v>
      </c>
      <c r="K132" s="59">
        <f>IF($C$5*'Tariffs Jul2019'!AL126/'Tariffs Jul2019'!AJ126&lt;'Tariffs Jul2019'!J126,0,IF($C$5*'Tariffs Jul2019'!AL126/'Tariffs Jul2019'!AJ126&lt;='Tariffs Jul2019'!K126,($C$5*'Tariffs Jul2019'!AL126/'Tariffs Jul2019'!AJ126-'Tariffs Jul2019'!J126)*('Tariffs Jul2019'!V126/100)*'Tariffs Jul2019'!AJ126,('Tariffs Jul2019'!K126-'Tariffs Jul2019'!J126)*('Tariffs Jul2019'!V126/100)*'Tariffs Jul2019'!AJ126))</f>
        <v>0</v>
      </c>
      <c r="L132" s="59">
        <f>IF($C$5*'Tariffs Jul2019'!AL126/'Tariffs Jul2019'!AJ126&lt;'Tariffs Jul2019'!K126,0,IF($C$5*'Tariffs Jul2019'!AL126/'Tariffs Jul2019'!AJ126&lt;='Tariffs Jul2019'!L126,($C$5*'Tariffs Jul2019'!AL126/'Tariffs Jul2019'!AJ126-'Tariffs Jul2019'!K126)*('Tariffs Jul2019'!W126/100)*'Tariffs Jul2019'!AJ126,('Tariffs Jul2019'!L126-'Tariffs Jul2019'!K126)*('Tariffs Jul2019'!W126/100)*'Tariffs Jul2019'!AJ126))</f>
        <v>0</v>
      </c>
      <c r="M132" s="59">
        <f>IF($C$5*'Tariffs Jul2019'!AL126/'Tariffs Jul2019'!AJ126&lt;'Tariffs Jul2019'!L126,0,IF($C$5*'Tariffs Jul2019'!AL126/'Tariffs Jul2019'!AJ126&lt;='Tariffs Jul2019'!M126,($C$5*'Tariffs Jul2019'!AL126/'Tariffs Jul2019'!AJ126-'Tariffs Jul2019'!L126)*('Tariffs Jul2019'!X126/100)*'Tariffs Jul2019'!AJ126,('Tariffs Jul2019'!M126-'Tariffs Jul2019'!L126)*('Tariffs Jul2019'!X126/100)*'Tariffs Jul2019'!AJ126))</f>
        <v>0</v>
      </c>
      <c r="N132" s="59">
        <f>IF(($C$5*'Tariffs Jul2019'!AL126/'Tariffs Jul2019'!AJ126&gt;'Tariffs Jul2019'!M126),($C$5*'Tariffs Jul2019'!AL126/'Tariffs Jul2019'!AJ126-'Tariffs Jul2019'!M126)*'Tariffs Jul2019'!Y126/100*'Tariffs Jul2019'!AJ126,0)</f>
        <v>260.93909999999994</v>
      </c>
      <c r="O132" s="271">
        <f t="shared" si="13"/>
        <v>1085.6023500000001</v>
      </c>
      <c r="P132" s="413">
        <f t="shared" si="10"/>
        <v>1194.1625850000003</v>
      </c>
      <c r="Q132" s="59">
        <f t="shared" si="14"/>
        <v>1348.4023500000001</v>
      </c>
      <c r="R132" s="272">
        <f t="shared" si="15"/>
        <v>1483.2425850000002</v>
      </c>
      <c r="S132" s="40">
        <f>'Tariffs Jul2019'!AN126</f>
        <v>0</v>
      </c>
      <c r="T132" s="40">
        <f>'Tariffs Jul2019'!AO126</f>
        <v>0</v>
      </c>
      <c r="U132" s="40">
        <f>'Tariffs Jul2019'!AP126</f>
        <v>5</v>
      </c>
      <c r="V132" s="40">
        <f>'Tariffs Jul2019'!AQ126</f>
        <v>0</v>
      </c>
      <c r="W132" s="273">
        <f t="shared" si="19"/>
        <v>1348.4023500000001</v>
      </c>
      <c r="X132" s="273">
        <f>W132-(Q132*U132/100)</f>
        <v>1280.9822325</v>
      </c>
      <c r="Y132" s="272">
        <f t="shared" si="18"/>
        <v>1483.2425850000002</v>
      </c>
      <c r="Z132" s="272">
        <f t="shared" si="18"/>
        <v>1409.0804557500001</v>
      </c>
      <c r="AA132" s="274">
        <f>'Tariffs Jul2019'!AZ126</f>
        <v>0</v>
      </c>
      <c r="AB132" s="274" t="str">
        <f>'Tariffs Jul2019'!BA126</f>
        <v>n</v>
      </c>
      <c r="AC132" s="275" t="str">
        <f>'Tariffs Jul2019'!BJ126</f>
        <v>N</v>
      </c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</row>
    <row r="133" spans="1:40" x14ac:dyDescent="0.15">
      <c r="A133" s="270" t="str">
        <f>'Tariffs Jul2019'!F127</f>
        <v>Powershop</v>
      </c>
      <c r="B133" s="40" t="str">
        <f>'Tariffs Jul2019'!D127</f>
        <v>AusNet Services Central 1</v>
      </c>
      <c r="C133" s="40" t="str">
        <f>'Tariffs Jul2019'!G127</f>
        <v>Shopper with Gas Saver</v>
      </c>
      <c r="D133" s="59">
        <f>365*'Tariffs Jul2019'!H127/100</f>
        <v>341.49400000000003</v>
      </c>
      <c r="E133" s="59">
        <f>((C$5*'Tariffs Jul2019'!AK127/'Tariffs Jul2019'!AI127)*('Tariffs Jul2019'!O127/100))*'Tariffs Jul2019'!AI127</f>
        <v>369.56304</v>
      </c>
      <c r="F133" s="59">
        <v>0</v>
      </c>
      <c r="G133" s="59">
        <v>0</v>
      </c>
      <c r="H133" s="59">
        <v>0</v>
      </c>
      <c r="I133" s="59">
        <v>0</v>
      </c>
      <c r="J133" s="59">
        <f>((C$5*'Tariffs Jul2019'!AL127/'Tariffs Jul2019'!AJ127)*('Tariffs Jul2019'!U127/100))*'Tariffs Jul2019'!AJ127</f>
        <v>608.93909999999994</v>
      </c>
      <c r="K133" s="59">
        <v>0</v>
      </c>
      <c r="L133" s="59">
        <v>0</v>
      </c>
      <c r="M133" s="59">
        <v>0</v>
      </c>
      <c r="N133" s="59">
        <v>0</v>
      </c>
      <c r="O133" s="271">
        <f t="shared" si="13"/>
        <v>978.50213999999994</v>
      </c>
      <c r="P133" s="413">
        <f t="shared" si="10"/>
        <v>1076.3523540000001</v>
      </c>
      <c r="Q133" s="59">
        <f t="shared" si="14"/>
        <v>1319.99614</v>
      </c>
      <c r="R133" s="272">
        <f t="shared" si="15"/>
        <v>1451.995754</v>
      </c>
      <c r="S133" s="40">
        <f>'Tariffs Jul2019'!AN127</f>
        <v>0</v>
      </c>
      <c r="T133" s="40">
        <f>'Tariffs Jul2019'!AO127</f>
        <v>0</v>
      </c>
      <c r="U133" s="40">
        <f>'Tariffs Jul2019'!AP127</f>
        <v>5</v>
      </c>
      <c r="V133" s="40">
        <f>'Tariffs Jul2019'!AQ127</f>
        <v>0</v>
      </c>
      <c r="W133" s="273">
        <f>R133</f>
        <v>1451.995754</v>
      </c>
      <c r="X133" s="273">
        <f>W133-(W133*U133/100)</f>
        <v>1379.3959663000001</v>
      </c>
      <c r="Y133" s="272">
        <f>W133</f>
        <v>1451.995754</v>
      </c>
      <c r="Z133" s="272">
        <f>X133</f>
        <v>1379.3959663000001</v>
      </c>
      <c r="AA133" s="274">
        <f>'Tariffs Jul2019'!AZ127</f>
        <v>0</v>
      </c>
      <c r="AB133" s="274" t="str">
        <f>'Tariffs Jul2019'!BA127</f>
        <v>n</v>
      </c>
      <c r="AC133" s="275" t="str">
        <f>'Tariffs Jul2019'!BJ127</f>
        <v>Y</v>
      </c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</row>
    <row r="134" spans="1:40" ht="14" thickBot="1" x14ac:dyDescent="0.2">
      <c r="A134" s="286" t="str">
        <f>'Tariffs Jul2019'!F128</f>
        <v>DC Power Co</v>
      </c>
      <c r="B134" s="287" t="str">
        <f>'Tariffs Jul2019'!D128</f>
        <v>AusNet Services Central 1</v>
      </c>
      <c r="C134" s="287" t="str">
        <f>'Tariffs Jul2019'!G128</f>
        <v>Market offer</v>
      </c>
      <c r="D134" s="288">
        <f>365*'Tariffs Jul2019'!H128/100</f>
        <v>349.23863636363632</v>
      </c>
      <c r="E134" s="288">
        <f>((C$5*'Tariffs Jul2019'!AK128/'Tariffs Jul2019'!AI128)*('Tariffs Jul2019'!O128/100))*'Tariffs Jul2019'!AI128</f>
        <v>377.96219999999994</v>
      </c>
      <c r="F134" s="288">
        <v>0</v>
      </c>
      <c r="G134" s="288">
        <v>0</v>
      </c>
      <c r="H134" s="288">
        <v>0</v>
      </c>
      <c r="I134" s="288">
        <v>0</v>
      </c>
      <c r="J134" s="288">
        <f>((C$5*'Tariffs Jul2019'!AL128/'Tariffs Jul2019'!AJ128)*('Tariffs Jul2019'!U128/100))*'Tariffs Jul2019'!AJ128</f>
        <v>622.30139999999994</v>
      </c>
      <c r="K134" s="288">
        <v>0</v>
      </c>
      <c r="L134" s="288">
        <v>0</v>
      </c>
      <c r="M134" s="288">
        <v>0</v>
      </c>
      <c r="N134" s="288">
        <v>0</v>
      </c>
      <c r="O134" s="289">
        <f>SUM(E134:N134)</f>
        <v>1000.2635999999999</v>
      </c>
      <c r="P134" s="421">
        <f t="shared" si="10"/>
        <v>1100.2899600000001</v>
      </c>
      <c r="Q134" s="288">
        <f>D134+O134</f>
        <v>1349.5022363636363</v>
      </c>
      <c r="R134" s="290">
        <f>Q134*1.1</f>
        <v>1484.45246</v>
      </c>
      <c r="S134" s="287">
        <f>'Tariffs Jul2019'!AN128</f>
        <v>0</v>
      </c>
      <c r="T134" s="287">
        <f>'Tariffs Jul2019'!AO128</f>
        <v>0</v>
      </c>
      <c r="U134" s="287">
        <f>'Tariffs Jul2019'!AP128</f>
        <v>0</v>
      </c>
      <c r="V134" s="287">
        <f>'Tariffs Jul2019'!AQ128</f>
        <v>0</v>
      </c>
      <c r="W134" s="291">
        <f t="shared" si="19"/>
        <v>1349.5022363636363</v>
      </c>
      <c r="X134" s="291">
        <f>W134</f>
        <v>1349.5022363636363</v>
      </c>
      <c r="Y134" s="290">
        <f>W134*1.1</f>
        <v>1484.45246</v>
      </c>
      <c r="Z134" s="290">
        <f>X134*1.1</f>
        <v>1484.45246</v>
      </c>
      <c r="AA134" s="292">
        <f>'Tariffs Jul2019'!AZ128</f>
        <v>0</v>
      </c>
      <c r="AB134" s="292" t="str">
        <f>'Tariffs Jul2019'!BA128</f>
        <v>n</v>
      </c>
      <c r="AC134" s="293" t="str">
        <f>'Tariffs Jul2019'!BJ128</f>
        <v>Y</v>
      </c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</row>
    <row r="135" spans="1:40" x14ac:dyDescent="0.15">
      <c r="A135" s="398"/>
      <c r="B135" s="398"/>
      <c r="C135" s="398"/>
      <c r="D135" s="398"/>
      <c r="E135" s="398"/>
      <c r="F135" s="398"/>
      <c r="G135" s="398"/>
      <c r="H135" s="398"/>
      <c r="I135" s="398"/>
      <c r="J135" s="398"/>
      <c r="K135" s="398"/>
      <c r="L135" s="398"/>
      <c r="M135" s="398"/>
      <c r="N135" s="398"/>
      <c r="O135" s="398"/>
      <c r="P135" s="412"/>
      <c r="Q135" s="398"/>
      <c r="R135" s="398"/>
      <c r="S135" s="398"/>
      <c r="T135" s="398"/>
      <c r="U135" s="398"/>
      <c r="V135" s="398"/>
      <c r="W135" s="398"/>
      <c r="X135" s="398"/>
      <c r="Y135" s="398"/>
      <c r="Z135" s="398"/>
      <c r="AA135" s="398"/>
      <c r="AB135" s="398"/>
      <c r="AC135" s="398"/>
      <c r="AD135" s="398"/>
      <c r="AE135" s="398"/>
      <c r="AF135" s="398"/>
      <c r="AG135" s="398"/>
      <c r="AH135" s="398"/>
      <c r="AI135" s="398"/>
      <c r="AJ135" s="398"/>
      <c r="AK135" s="398"/>
      <c r="AL135" s="398"/>
      <c r="AM135" s="398"/>
      <c r="AN135" s="398"/>
    </row>
    <row r="136" spans="1:40" x14ac:dyDescent="0.15">
      <c r="A136" s="398"/>
      <c r="B136" s="398"/>
      <c r="C136" s="398"/>
      <c r="D136" s="398"/>
      <c r="E136" s="398"/>
      <c r="F136" s="398"/>
      <c r="G136" s="398"/>
      <c r="H136" s="398"/>
      <c r="I136" s="398"/>
      <c r="J136" s="398"/>
      <c r="K136" s="398"/>
      <c r="L136" s="398"/>
      <c r="M136" s="398"/>
      <c r="N136" s="398"/>
      <c r="O136" s="398"/>
      <c r="P136" s="412"/>
      <c r="Q136" s="398"/>
      <c r="R136" s="398"/>
      <c r="S136" s="398"/>
      <c r="T136" s="398"/>
      <c r="U136" s="398"/>
      <c r="V136" s="398"/>
      <c r="W136" s="398"/>
      <c r="X136" s="398"/>
      <c r="Y136" s="398"/>
      <c r="Z136" s="398"/>
      <c r="AA136" s="398"/>
      <c r="AB136" s="398"/>
      <c r="AC136" s="398"/>
      <c r="AD136" s="398"/>
      <c r="AE136" s="398"/>
      <c r="AF136" s="398"/>
      <c r="AG136" s="398"/>
      <c r="AH136" s="398"/>
      <c r="AI136" s="398"/>
      <c r="AJ136" s="398"/>
      <c r="AK136" s="398"/>
      <c r="AL136" s="398"/>
      <c r="AM136" s="398"/>
      <c r="AN136" s="398"/>
    </row>
    <row r="137" spans="1:40" x14ac:dyDescent="0.15">
      <c r="A137" s="398"/>
      <c r="B137" s="398"/>
      <c r="C137" s="398"/>
      <c r="D137" s="398"/>
      <c r="E137" s="398"/>
      <c r="F137" s="398"/>
      <c r="G137" s="398"/>
      <c r="H137" s="398"/>
      <c r="I137" s="398"/>
      <c r="J137" s="398"/>
      <c r="K137" s="398"/>
      <c r="L137" s="398"/>
      <c r="M137" s="398"/>
      <c r="N137" s="398"/>
      <c r="O137" s="398"/>
      <c r="P137" s="412"/>
      <c r="Q137" s="398"/>
      <c r="R137" s="398"/>
      <c r="S137" s="398"/>
      <c r="T137" s="398"/>
      <c r="U137" s="398"/>
      <c r="V137" s="398"/>
      <c r="W137" s="398"/>
      <c r="X137" s="398"/>
      <c r="Y137" s="398"/>
      <c r="Z137" s="398"/>
      <c r="AA137" s="398"/>
      <c r="AB137" s="398"/>
      <c r="AC137" s="398"/>
      <c r="AD137" s="398"/>
      <c r="AE137" s="398"/>
      <c r="AF137" s="398"/>
      <c r="AG137" s="398"/>
      <c r="AH137" s="398"/>
      <c r="AI137" s="398"/>
      <c r="AJ137" s="398"/>
      <c r="AK137" s="398"/>
      <c r="AL137" s="398"/>
      <c r="AM137" s="398"/>
      <c r="AN137" s="398"/>
    </row>
    <row r="138" spans="1:40" x14ac:dyDescent="0.15">
      <c r="A138" s="398"/>
      <c r="B138" s="398"/>
      <c r="C138" s="398"/>
      <c r="D138" s="398"/>
      <c r="E138" s="398"/>
      <c r="F138" s="398"/>
      <c r="G138" s="398"/>
      <c r="H138" s="398"/>
      <c r="I138" s="398"/>
      <c r="J138" s="398"/>
      <c r="K138" s="398"/>
      <c r="L138" s="398"/>
      <c r="M138" s="398"/>
      <c r="N138" s="398"/>
      <c r="O138" s="398"/>
      <c r="P138" s="412"/>
      <c r="Q138" s="398"/>
      <c r="R138" s="398"/>
      <c r="S138" s="398"/>
      <c r="T138" s="398"/>
      <c r="U138" s="398"/>
      <c r="V138" s="398"/>
      <c r="W138" s="398"/>
      <c r="X138" s="398"/>
      <c r="Y138" s="398"/>
      <c r="Z138" s="398"/>
      <c r="AA138" s="398"/>
      <c r="AB138" s="398"/>
      <c r="AC138" s="398"/>
      <c r="AD138" s="398"/>
      <c r="AE138" s="398"/>
      <c r="AF138" s="398"/>
      <c r="AG138" s="398"/>
      <c r="AH138" s="398"/>
      <c r="AI138" s="398"/>
      <c r="AJ138" s="398"/>
      <c r="AK138" s="398"/>
      <c r="AL138" s="398"/>
      <c r="AM138" s="398"/>
      <c r="AN138" s="398"/>
    </row>
    <row r="139" spans="1:40" x14ac:dyDescent="0.15">
      <c r="A139" s="398"/>
      <c r="B139" s="398"/>
      <c r="C139" s="398"/>
      <c r="D139" s="398"/>
      <c r="E139" s="398"/>
      <c r="F139" s="398"/>
      <c r="G139" s="398"/>
      <c r="H139" s="398"/>
      <c r="I139" s="398"/>
      <c r="J139" s="398"/>
      <c r="K139" s="398"/>
      <c r="L139" s="398"/>
      <c r="M139" s="398"/>
      <c r="N139" s="398"/>
      <c r="O139" s="398"/>
      <c r="P139" s="412"/>
      <c r="Q139" s="398"/>
      <c r="R139" s="398"/>
      <c r="S139" s="398"/>
      <c r="T139" s="398"/>
      <c r="U139" s="398"/>
      <c r="V139" s="398"/>
      <c r="W139" s="398"/>
      <c r="X139" s="398"/>
      <c r="Y139" s="398"/>
      <c r="Z139" s="398"/>
      <c r="AA139" s="398"/>
      <c r="AB139" s="398"/>
      <c r="AC139" s="398"/>
      <c r="AD139" s="398"/>
      <c r="AE139" s="398"/>
      <c r="AF139" s="398"/>
      <c r="AG139" s="398"/>
      <c r="AH139" s="398"/>
      <c r="AI139" s="398"/>
      <c r="AJ139" s="398"/>
      <c r="AK139" s="398"/>
      <c r="AL139" s="398"/>
      <c r="AM139" s="398"/>
      <c r="AN139" s="398"/>
    </row>
    <row r="140" spans="1:40" x14ac:dyDescent="0.15">
      <c r="A140" s="398"/>
      <c r="B140" s="398"/>
      <c r="C140" s="398"/>
      <c r="D140" s="398"/>
      <c r="E140" s="398"/>
      <c r="F140" s="398"/>
      <c r="G140" s="398"/>
      <c r="H140" s="398"/>
      <c r="I140" s="398"/>
      <c r="J140" s="398"/>
      <c r="K140" s="398"/>
      <c r="L140" s="398"/>
      <c r="M140" s="398"/>
      <c r="N140" s="398"/>
      <c r="O140" s="398"/>
      <c r="P140" s="412"/>
      <c r="Q140" s="398"/>
      <c r="R140" s="398"/>
      <c r="S140" s="398"/>
      <c r="T140" s="398"/>
      <c r="U140" s="398"/>
      <c r="V140" s="398"/>
      <c r="W140" s="398"/>
      <c r="X140" s="398"/>
      <c r="Y140" s="398"/>
      <c r="Z140" s="398"/>
      <c r="AA140" s="398"/>
      <c r="AB140" s="398"/>
      <c r="AC140" s="398"/>
      <c r="AD140" s="398"/>
      <c r="AE140" s="398"/>
      <c r="AF140" s="398"/>
      <c r="AG140" s="398"/>
      <c r="AH140" s="398"/>
      <c r="AI140" s="398"/>
      <c r="AJ140" s="398"/>
      <c r="AK140" s="398"/>
      <c r="AL140" s="398"/>
      <c r="AM140" s="398"/>
      <c r="AN140" s="398"/>
    </row>
    <row r="141" spans="1:40" x14ac:dyDescent="0.15">
      <c r="A141" s="398"/>
      <c r="B141" s="398"/>
      <c r="C141" s="398"/>
      <c r="D141" s="398"/>
      <c r="E141" s="398"/>
      <c r="F141" s="398"/>
      <c r="G141" s="398"/>
      <c r="H141" s="398"/>
      <c r="I141" s="398"/>
      <c r="J141" s="398"/>
      <c r="K141" s="398"/>
      <c r="L141" s="398"/>
      <c r="M141" s="398"/>
      <c r="N141" s="398"/>
      <c r="O141" s="398"/>
      <c r="P141" s="412"/>
      <c r="Q141" s="398"/>
      <c r="R141" s="398"/>
      <c r="S141" s="398"/>
      <c r="T141" s="398"/>
      <c r="U141" s="398"/>
      <c r="V141" s="398"/>
      <c r="W141" s="398"/>
      <c r="X141" s="398"/>
      <c r="Y141" s="398"/>
      <c r="Z141" s="398"/>
      <c r="AA141" s="398"/>
      <c r="AB141" s="398"/>
      <c r="AC141" s="398"/>
      <c r="AD141" s="398"/>
      <c r="AE141" s="398"/>
      <c r="AF141" s="398"/>
      <c r="AG141" s="398"/>
      <c r="AH141" s="398"/>
      <c r="AI141" s="398"/>
      <c r="AJ141" s="398"/>
      <c r="AK141" s="398"/>
      <c r="AL141" s="398"/>
      <c r="AM141" s="398"/>
      <c r="AN141" s="398"/>
    </row>
    <row r="142" spans="1:40" x14ac:dyDescent="0.15">
      <c r="A142" s="398"/>
      <c r="B142" s="398"/>
      <c r="C142" s="398"/>
      <c r="D142" s="398"/>
      <c r="E142" s="398"/>
      <c r="F142" s="398"/>
      <c r="G142" s="398"/>
      <c r="H142" s="398"/>
      <c r="I142" s="398"/>
      <c r="J142" s="398"/>
      <c r="K142" s="398"/>
      <c r="L142" s="398"/>
      <c r="M142" s="398"/>
      <c r="N142" s="398"/>
      <c r="O142" s="398"/>
      <c r="P142" s="412"/>
      <c r="Q142" s="398"/>
      <c r="R142" s="398"/>
      <c r="S142" s="398"/>
      <c r="T142" s="398"/>
      <c r="U142" s="398"/>
      <c r="V142" s="398"/>
      <c r="W142" s="398"/>
      <c r="X142" s="398"/>
      <c r="Y142" s="398"/>
      <c r="Z142" s="398"/>
      <c r="AA142" s="398"/>
      <c r="AB142" s="398"/>
      <c r="AC142" s="398"/>
      <c r="AD142" s="398"/>
      <c r="AE142" s="398"/>
      <c r="AF142" s="398"/>
      <c r="AG142" s="398"/>
      <c r="AH142" s="398"/>
      <c r="AI142" s="398"/>
      <c r="AJ142" s="398"/>
      <c r="AK142" s="398"/>
      <c r="AL142" s="398"/>
      <c r="AM142" s="398"/>
      <c r="AN142" s="398"/>
    </row>
    <row r="143" spans="1:40" x14ac:dyDescent="0.15">
      <c r="A143" s="398"/>
      <c r="B143" s="398"/>
      <c r="C143" s="398"/>
      <c r="D143" s="398"/>
      <c r="E143" s="398"/>
      <c r="F143" s="398"/>
      <c r="G143" s="398"/>
      <c r="H143" s="398"/>
      <c r="I143" s="398"/>
      <c r="J143" s="398"/>
      <c r="K143" s="398"/>
      <c r="L143" s="398"/>
      <c r="M143" s="398"/>
      <c r="N143" s="398"/>
      <c r="O143" s="398"/>
      <c r="P143" s="412"/>
      <c r="Q143" s="398"/>
      <c r="R143" s="398"/>
      <c r="S143" s="398"/>
      <c r="T143" s="398"/>
      <c r="U143" s="398"/>
      <c r="V143" s="398"/>
      <c r="W143" s="398"/>
      <c r="X143" s="398"/>
      <c r="Y143" s="398"/>
      <c r="Z143" s="398"/>
      <c r="AA143" s="398"/>
      <c r="AB143" s="398"/>
      <c r="AC143" s="398"/>
      <c r="AD143" s="398"/>
      <c r="AE143" s="398"/>
      <c r="AF143" s="398"/>
      <c r="AG143" s="398"/>
      <c r="AH143" s="398"/>
      <c r="AI143" s="398"/>
      <c r="AJ143" s="398"/>
      <c r="AK143" s="398"/>
      <c r="AL143" s="398"/>
      <c r="AM143" s="398"/>
      <c r="AN143" s="398"/>
    </row>
    <row r="144" spans="1:40" x14ac:dyDescent="0.15">
      <c r="A144" s="398"/>
      <c r="B144" s="398"/>
      <c r="C144" s="398"/>
      <c r="D144" s="398"/>
      <c r="E144" s="398"/>
      <c r="F144" s="398"/>
      <c r="G144" s="398"/>
      <c r="H144" s="398"/>
      <c r="I144" s="398"/>
      <c r="J144" s="398"/>
      <c r="K144" s="398"/>
      <c r="L144" s="398"/>
      <c r="M144" s="398"/>
      <c r="N144" s="398"/>
      <c r="O144" s="398"/>
      <c r="P144" s="412"/>
      <c r="Q144" s="398"/>
      <c r="R144" s="398"/>
      <c r="S144" s="398"/>
      <c r="T144" s="398"/>
      <c r="U144" s="398"/>
      <c r="V144" s="398"/>
      <c r="W144" s="398"/>
      <c r="X144" s="398"/>
      <c r="Y144" s="398"/>
      <c r="Z144" s="398"/>
      <c r="AA144" s="398"/>
      <c r="AB144" s="398"/>
      <c r="AC144" s="398"/>
      <c r="AD144" s="398"/>
      <c r="AE144" s="398"/>
      <c r="AF144" s="398"/>
      <c r="AG144" s="398"/>
      <c r="AH144" s="398"/>
      <c r="AI144" s="398"/>
      <c r="AJ144" s="398"/>
      <c r="AK144" s="398"/>
      <c r="AL144" s="398"/>
      <c r="AM144" s="398"/>
      <c r="AN144" s="398"/>
    </row>
    <row r="145" spans="1:40" x14ac:dyDescent="0.15">
      <c r="A145" s="398"/>
      <c r="B145" s="398"/>
      <c r="C145" s="398"/>
      <c r="D145" s="398"/>
      <c r="E145" s="398"/>
      <c r="F145" s="398"/>
      <c r="G145" s="398"/>
      <c r="H145" s="398"/>
      <c r="I145" s="398"/>
      <c r="J145" s="398"/>
      <c r="K145" s="398"/>
      <c r="L145" s="398"/>
      <c r="M145" s="398"/>
      <c r="N145" s="398"/>
      <c r="O145" s="398"/>
      <c r="P145" s="412"/>
      <c r="Q145" s="398"/>
      <c r="R145" s="398"/>
      <c r="S145" s="398"/>
      <c r="T145" s="398"/>
      <c r="U145" s="398"/>
      <c r="V145" s="398"/>
      <c r="W145" s="398"/>
      <c r="X145" s="398"/>
      <c r="Y145" s="398"/>
      <c r="Z145" s="398"/>
      <c r="AA145" s="398"/>
      <c r="AB145" s="398"/>
      <c r="AC145" s="398"/>
      <c r="AD145" s="398"/>
      <c r="AE145" s="398"/>
      <c r="AF145" s="398"/>
      <c r="AG145" s="398"/>
      <c r="AH145" s="398"/>
      <c r="AI145" s="398"/>
      <c r="AJ145" s="398"/>
      <c r="AK145" s="398"/>
      <c r="AL145" s="398"/>
      <c r="AM145" s="398"/>
      <c r="AN145" s="398"/>
    </row>
    <row r="146" spans="1:40" x14ac:dyDescent="0.15">
      <c r="A146" s="398"/>
      <c r="B146" s="398"/>
      <c r="C146" s="398"/>
      <c r="D146" s="398"/>
      <c r="E146" s="398"/>
      <c r="F146" s="398"/>
      <c r="G146" s="398"/>
      <c r="H146" s="398"/>
      <c r="I146" s="398"/>
      <c r="J146" s="398"/>
      <c r="K146" s="398"/>
      <c r="L146" s="398"/>
      <c r="M146" s="398"/>
      <c r="N146" s="398"/>
      <c r="O146" s="398"/>
      <c r="P146" s="412"/>
      <c r="Q146" s="398"/>
      <c r="R146" s="398"/>
      <c r="S146" s="398"/>
      <c r="T146" s="398"/>
      <c r="U146" s="398"/>
      <c r="V146" s="398"/>
      <c r="W146" s="398"/>
      <c r="X146" s="398"/>
      <c r="Y146" s="398"/>
      <c r="Z146" s="398"/>
      <c r="AA146" s="398"/>
      <c r="AB146" s="398"/>
      <c r="AC146" s="398"/>
      <c r="AD146" s="398"/>
      <c r="AE146" s="398"/>
      <c r="AF146" s="398"/>
      <c r="AG146" s="398"/>
      <c r="AH146" s="398"/>
      <c r="AI146" s="398"/>
      <c r="AJ146" s="398"/>
      <c r="AK146" s="398"/>
      <c r="AL146" s="398"/>
      <c r="AM146" s="398"/>
      <c r="AN146" s="398"/>
    </row>
    <row r="147" spans="1:40" x14ac:dyDescent="0.15">
      <c r="A147" s="398"/>
      <c r="B147" s="398"/>
      <c r="C147" s="398"/>
      <c r="D147" s="398"/>
      <c r="E147" s="398"/>
      <c r="F147" s="398"/>
      <c r="G147" s="398"/>
      <c r="H147" s="398"/>
      <c r="I147" s="398"/>
      <c r="J147" s="398"/>
      <c r="K147" s="398"/>
      <c r="L147" s="398"/>
      <c r="M147" s="398"/>
      <c r="N147" s="398"/>
      <c r="O147" s="398"/>
      <c r="P147" s="412"/>
      <c r="Q147" s="398"/>
      <c r="R147" s="398"/>
      <c r="S147" s="398"/>
      <c r="T147" s="398"/>
      <c r="U147" s="398"/>
      <c r="V147" s="398"/>
      <c r="W147" s="398"/>
      <c r="X147" s="398"/>
      <c r="Y147" s="398"/>
      <c r="Z147" s="398"/>
      <c r="AA147" s="398"/>
      <c r="AB147" s="398"/>
      <c r="AC147" s="398"/>
      <c r="AD147" s="398"/>
      <c r="AE147" s="398"/>
      <c r="AF147" s="398"/>
      <c r="AG147" s="398"/>
      <c r="AH147" s="398"/>
      <c r="AI147" s="398"/>
      <c r="AJ147" s="398"/>
      <c r="AK147" s="398"/>
      <c r="AL147" s="398"/>
      <c r="AM147" s="398"/>
      <c r="AN147" s="398"/>
    </row>
    <row r="148" spans="1:40" x14ac:dyDescent="0.15">
      <c r="A148" s="398"/>
      <c r="B148" s="398"/>
      <c r="C148" s="398"/>
      <c r="D148" s="398"/>
      <c r="E148" s="398"/>
      <c r="F148" s="398"/>
      <c r="G148" s="398"/>
      <c r="H148" s="398"/>
      <c r="I148" s="398"/>
      <c r="J148" s="398"/>
      <c r="K148" s="398"/>
      <c r="L148" s="398"/>
      <c r="M148" s="398"/>
      <c r="N148" s="398"/>
      <c r="O148" s="398"/>
      <c r="P148" s="412"/>
      <c r="Q148" s="398"/>
      <c r="R148" s="398"/>
      <c r="S148" s="398"/>
      <c r="T148" s="398"/>
      <c r="U148" s="398"/>
      <c r="V148" s="398"/>
      <c r="W148" s="398"/>
      <c r="X148" s="398"/>
      <c r="Y148" s="398"/>
      <c r="Z148" s="398"/>
      <c r="AA148" s="398"/>
      <c r="AB148" s="398"/>
      <c r="AC148" s="398"/>
      <c r="AD148" s="398"/>
      <c r="AE148" s="398"/>
      <c r="AF148" s="398"/>
      <c r="AG148" s="398"/>
      <c r="AH148" s="398"/>
      <c r="AI148" s="398"/>
      <c r="AJ148" s="398"/>
      <c r="AK148" s="398"/>
      <c r="AL148" s="398"/>
      <c r="AM148" s="398"/>
      <c r="AN148" s="398"/>
    </row>
    <row r="149" spans="1:40" x14ac:dyDescent="0.15">
      <c r="A149" s="398"/>
      <c r="B149" s="398"/>
      <c r="C149" s="398"/>
      <c r="D149" s="398"/>
      <c r="E149" s="398"/>
      <c r="F149" s="398"/>
      <c r="G149" s="398"/>
      <c r="H149" s="398"/>
      <c r="I149" s="398"/>
      <c r="J149" s="398"/>
      <c r="K149" s="398"/>
      <c r="L149" s="398"/>
      <c r="M149" s="398"/>
      <c r="N149" s="398"/>
      <c r="O149" s="398"/>
      <c r="P149" s="412"/>
      <c r="Q149" s="398"/>
      <c r="R149" s="398"/>
      <c r="S149" s="398"/>
      <c r="T149" s="398"/>
      <c r="U149" s="398"/>
      <c r="V149" s="398"/>
      <c r="W149" s="398"/>
      <c r="X149" s="398"/>
      <c r="Y149" s="398"/>
      <c r="Z149" s="398"/>
      <c r="AA149" s="398"/>
      <c r="AB149" s="398"/>
      <c r="AC149" s="398"/>
      <c r="AD149" s="398"/>
      <c r="AE149" s="398"/>
      <c r="AF149" s="398"/>
      <c r="AG149" s="398"/>
      <c r="AH149" s="398"/>
      <c r="AI149" s="398"/>
      <c r="AJ149" s="398"/>
      <c r="AK149" s="398"/>
      <c r="AL149" s="398"/>
      <c r="AM149" s="398"/>
      <c r="AN149" s="398"/>
    </row>
    <row r="150" spans="1:40" x14ac:dyDescent="0.15">
      <c r="A150" s="398"/>
      <c r="B150" s="398"/>
      <c r="C150" s="398"/>
      <c r="D150" s="398"/>
      <c r="E150" s="398"/>
      <c r="F150" s="398"/>
      <c r="G150" s="398"/>
      <c r="H150" s="398"/>
      <c r="I150" s="398"/>
      <c r="J150" s="398"/>
      <c r="K150" s="398"/>
      <c r="L150" s="398"/>
      <c r="M150" s="398"/>
      <c r="N150" s="398"/>
      <c r="O150" s="398"/>
      <c r="P150" s="412"/>
      <c r="Q150" s="398"/>
      <c r="R150" s="398"/>
      <c r="S150" s="398"/>
      <c r="T150" s="398"/>
      <c r="U150" s="398"/>
      <c r="V150" s="398"/>
      <c r="W150" s="398"/>
      <c r="X150" s="398"/>
      <c r="Y150" s="398"/>
      <c r="Z150" s="398"/>
      <c r="AA150" s="398"/>
      <c r="AB150" s="398"/>
      <c r="AC150" s="398"/>
      <c r="AD150" s="398"/>
      <c r="AE150" s="398"/>
      <c r="AF150" s="398"/>
      <c r="AG150" s="398"/>
      <c r="AH150" s="398"/>
      <c r="AI150" s="398"/>
      <c r="AJ150" s="398"/>
      <c r="AK150" s="398"/>
      <c r="AL150" s="398"/>
      <c r="AM150" s="398"/>
      <c r="AN150" s="398"/>
    </row>
    <row r="151" spans="1:40" x14ac:dyDescent="0.15">
      <c r="A151" s="398"/>
      <c r="B151" s="398"/>
      <c r="C151" s="398"/>
      <c r="D151" s="398"/>
      <c r="E151" s="398"/>
      <c r="F151" s="398"/>
      <c r="G151" s="398"/>
      <c r="H151" s="398"/>
      <c r="I151" s="398"/>
      <c r="J151" s="398"/>
      <c r="K151" s="398"/>
      <c r="L151" s="398"/>
      <c r="M151" s="398"/>
      <c r="N151" s="398"/>
      <c r="O151" s="398"/>
      <c r="P151" s="412"/>
      <c r="Q151" s="398"/>
      <c r="R151" s="398"/>
      <c r="S151" s="398"/>
      <c r="T151" s="398"/>
      <c r="U151" s="398"/>
      <c r="V151" s="398"/>
      <c r="W151" s="398"/>
      <c r="X151" s="398"/>
      <c r="Y151" s="398"/>
      <c r="Z151" s="398"/>
      <c r="AA151" s="398"/>
      <c r="AB151" s="398"/>
      <c r="AC151" s="398"/>
      <c r="AD151" s="398"/>
      <c r="AE151" s="398"/>
      <c r="AF151" s="398"/>
      <c r="AG151" s="398"/>
      <c r="AH151" s="398"/>
      <c r="AI151" s="398"/>
      <c r="AJ151" s="398"/>
      <c r="AK151" s="398"/>
      <c r="AL151" s="398"/>
      <c r="AM151" s="398"/>
      <c r="AN151" s="398"/>
    </row>
    <row r="152" spans="1:40" x14ac:dyDescent="0.15">
      <c r="A152" s="398"/>
      <c r="B152" s="398"/>
      <c r="C152" s="398"/>
      <c r="D152" s="398"/>
      <c r="E152" s="398"/>
      <c r="F152" s="398"/>
      <c r="G152" s="398"/>
      <c r="H152" s="398"/>
      <c r="I152" s="398"/>
      <c r="J152" s="398"/>
      <c r="K152" s="398"/>
      <c r="L152" s="398"/>
      <c r="M152" s="398"/>
      <c r="N152" s="398"/>
      <c r="O152" s="398"/>
      <c r="P152" s="412"/>
      <c r="Q152" s="398"/>
      <c r="R152" s="398"/>
      <c r="S152" s="398"/>
      <c r="T152" s="398"/>
      <c r="U152" s="398"/>
      <c r="V152" s="398"/>
      <c r="W152" s="398"/>
      <c r="X152" s="398"/>
      <c r="Y152" s="398"/>
      <c r="Z152" s="398"/>
      <c r="AA152" s="398"/>
      <c r="AB152" s="398"/>
      <c r="AC152" s="398"/>
      <c r="AD152" s="398"/>
      <c r="AE152" s="398"/>
      <c r="AF152" s="398"/>
      <c r="AG152" s="398"/>
      <c r="AH152" s="398"/>
      <c r="AI152" s="398"/>
      <c r="AJ152" s="398"/>
      <c r="AK152" s="398"/>
      <c r="AL152" s="398"/>
      <c r="AM152" s="398"/>
      <c r="AN152" s="398"/>
    </row>
    <row r="153" spans="1:40" x14ac:dyDescent="0.15">
      <c r="A153" s="398"/>
      <c r="B153" s="398"/>
      <c r="C153" s="398"/>
      <c r="D153" s="398"/>
      <c r="E153" s="398"/>
      <c r="F153" s="398"/>
      <c r="G153" s="398"/>
      <c r="H153" s="398"/>
      <c r="I153" s="398"/>
      <c r="J153" s="398"/>
      <c r="K153" s="398"/>
      <c r="L153" s="398"/>
      <c r="M153" s="398"/>
      <c r="N153" s="398"/>
      <c r="O153" s="398"/>
      <c r="P153" s="412"/>
      <c r="Q153" s="398"/>
      <c r="R153" s="398"/>
      <c r="S153" s="398"/>
      <c r="T153" s="398"/>
      <c r="U153" s="398"/>
      <c r="V153" s="398"/>
      <c r="W153" s="398"/>
      <c r="X153" s="398"/>
      <c r="Y153" s="398"/>
      <c r="Z153" s="398"/>
      <c r="AA153" s="398"/>
      <c r="AB153" s="398"/>
      <c r="AC153" s="398"/>
      <c r="AD153" s="398"/>
      <c r="AE153" s="398"/>
      <c r="AF153" s="398"/>
      <c r="AG153" s="398"/>
      <c r="AH153" s="398"/>
      <c r="AI153" s="398"/>
      <c r="AJ153" s="398"/>
      <c r="AK153" s="398"/>
      <c r="AL153" s="398"/>
      <c r="AM153" s="398"/>
      <c r="AN153" s="398"/>
    </row>
    <row r="154" spans="1:40" x14ac:dyDescent="0.15">
      <c r="A154" s="398"/>
      <c r="B154" s="398"/>
      <c r="C154" s="398"/>
      <c r="D154" s="398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412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</row>
  </sheetData>
  <sheetProtection algorithmName="SHA-512" hashValue="IX0Ek0akA5jiCfX9gUd2iR2amL9m1FLxPMtYeARQpW9td2ov+2sMM4Fz6QoIVWXUkl4FpObBS0foZK70PdHUaw==" saltValue="DJsnMNZN3qMjZOn7OCX5Tw==" spinCount="100000" sheet="1" objects="1" scenarios="1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2841F-915F-964F-A7E4-D047FCA05C6F}">
  <sheetPr codeName="Sheet4"/>
  <dimension ref="A1:AN156"/>
  <sheetViews>
    <sheetView workbookViewId="0">
      <selection activeCell="C1" sqref="C1"/>
    </sheetView>
  </sheetViews>
  <sheetFormatPr baseColWidth="10" defaultColWidth="10.83203125" defaultRowHeight="13" x14ac:dyDescent="0.15"/>
  <cols>
    <col min="1" max="1" width="17.33203125" customWidth="1"/>
    <col min="2" max="2" width="21.6640625" bestFit="1" customWidth="1"/>
    <col min="3" max="3" width="22.1640625" customWidth="1"/>
    <col min="4" max="14" width="14.1640625" customWidth="1"/>
    <col min="15" max="15" width="12.33203125" hidden="1" customWidth="1"/>
    <col min="16" max="16" width="14.1640625" hidden="1" customWidth="1"/>
    <col min="17" max="21" width="14.1640625" customWidth="1"/>
    <col min="22" max="23" width="12.33203125" hidden="1" customWidth="1"/>
    <col min="24" max="27" width="14.1640625" customWidth="1"/>
    <col min="28" max="38" width="12.33203125" customWidth="1"/>
  </cols>
  <sheetData>
    <row r="1" spans="1:40" ht="14" x14ac:dyDescent="0.15">
      <c r="A1" s="369" t="s">
        <v>722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</row>
    <row r="2" spans="1:40" ht="14" x14ac:dyDescent="0.15">
      <c r="A2" s="371" t="s">
        <v>723</v>
      </c>
      <c r="B2" s="371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</row>
    <row r="3" spans="1:40" ht="15" thickBot="1" x14ac:dyDescent="0.2">
      <c r="A3" s="369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72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</row>
    <row r="4" spans="1:40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6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</row>
    <row r="5" spans="1:40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9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</row>
    <row r="6" spans="1:40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9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</row>
    <row r="7" spans="1:40" ht="75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493" t="s">
        <v>572</v>
      </c>
      <c r="P7" s="494" t="s">
        <v>573</v>
      </c>
      <c r="Q7" s="493" t="s">
        <v>574</v>
      </c>
      <c r="R7" s="495" t="s">
        <v>575</v>
      </c>
      <c r="S7" s="496" t="s">
        <v>576</v>
      </c>
      <c r="T7" s="496" t="s">
        <v>577</v>
      </c>
      <c r="U7" s="496" t="s">
        <v>578</v>
      </c>
      <c r="V7" s="497" t="s">
        <v>579</v>
      </c>
      <c r="W7" s="497" t="s">
        <v>580</v>
      </c>
      <c r="X7" s="497" t="s">
        <v>581</v>
      </c>
      <c r="Y7" s="497" t="s">
        <v>582</v>
      </c>
      <c r="Z7" s="498" t="s">
        <v>583</v>
      </c>
      <c r="AA7" s="499" t="s">
        <v>584</v>
      </c>
      <c r="AB7" s="500" t="s">
        <v>585</v>
      </c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</row>
    <row r="8" spans="1:40" x14ac:dyDescent="0.15">
      <c r="A8" s="270" t="str">
        <f>'Tariffs Jan2019'!F2</f>
        <v>AGL</v>
      </c>
      <c r="B8" s="40" t="str">
        <f>'Tariffs Jan2019'!D2</f>
        <v>Multinet Metro 1</v>
      </c>
      <c r="C8" s="40" t="str">
        <f>'Tariffs Jan2019'!G2</f>
        <v>Savers</v>
      </c>
      <c r="D8" s="59">
        <f>365*'Tariffs Jan2019'!H2/100</f>
        <v>286.52499999999998</v>
      </c>
      <c r="E8" s="59">
        <f>IF($C$5*'Tariffs Jan2019'!AK2/'Tariffs Jan2019'!AI2&gt;='Tariffs Jan2019'!J2,( 'Tariffs Jan2019'!J2*'Tariffs Jan2019'!O2/100)* 'Tariffs Jan2019'!AI2,($C$5*'Tariffs Jan2019'!AK2/'Tariffs Jan2019'!AI2*'Tariffs Jan2019'!O2/100)* 'Tariffs Jan2019'!AI2)</f>
        <v>237.60000000000002</v>
      </c>
      <c r="F8" s="59">
        <f>IF($C$5*'Tariffs Jan2019'!AK2/'Tariffs Jan2019'!AI2&lt;'Tariffs Jan2019'!J2,0,IF($C$5*'Tariffs Jan2019'!AK2/'Tariffs Jan2019'!AI2&lt;='Tariffs Jan2019'!K2,($C$5*'Tariffs Jan2019'!AK2/'Tariffs Jan2019'!AI2-'Tariffs Jan2019'!J2)*('Tariffs Jan2019'!P2/100)*'Tariffs Jan2019'!AI2,('Tariffs Jan2019'!K2-'Tariffs Jan2019'!J2)*('Tariffs Jan2019'!P2/100)*'Tariffs Jan2019'!AI2))</f>
        <v>212.39999999999998</v>
      </c>
      <c r="G8" s="59">
        <f>IF($C$5*'Tariffs Jan2019'!AK2/'Tariffs Jan2019'!AI2&lt;'Tariffs Jan2019'!K2,0,IF($C$5*'Tariffs Jan2019'!AK2/'Tariffs Jan2019'!AI2&lt;='Tariffs Jan2019'!L2,($C$5*'Tariffs Jan2019'!AK2/'Tariffs Jan2019'!AI2-'Tariffs Jan2019'!K2)*('Tariffs Jan2019'!Q2/100)*'Tariffs Jan2019'!AI2,('Tariffs Jan2019'!L2-'Tariffs Jan2019'!K2)*('Tariffs Jan2019'!Q2/100)*'Tariffs Jan2019'!AI2))</f>
        <v>169.2</v>
      </c>
      <c r="H8" s="59">
        <f>IF($C$5*'Tariffs Jan2019'!AK2/'Tariffs Jan2019'!AI2&lt;'Tariffs Jan2019'!L2,0,IF($C$5*'Tariffs Jan2019'!AK2/'Tariffs Jan2019'!AI2&lt;='Tariffs Jan2019'!M2,($C$5*'Tariffs Jan2019'!AK2/'Tariffs Jan2019'!AI2-'Tariffs Jan2019'!L2)*('Tariffs Jan2019'!R2/100)*'Tariffs Jan2019'!AI2,('Tariffs Jan2019'!M2-'Tariffs Jan2019'!L2)*('Tariffs Jan2019'!R2/100)*'Tariffs Jan2019'!AI2))</f>
        <v>73.349999999999994</v>
      </c>
      <c r="I8" s="59">
        <f>IF(($C$5*'Tariffs Jan2019'!AK2/'Tariffs Jan2019'!AI2&gt;'Tariffs Jan2019'!M2),($C$5*'Tariffs Jan2019'!AK2/'Tariffs Jan2019'!AI2-'Tariffs Jan2019'!M2)*'Tariffs Jan2019'!S2/100*'Tariffs Jan2019'!AI2,0)</f>
        <v>0</v>
      </c>
      <c r="J8" s="59">
        <f>IF($C$5*'Tariffs Jan2019'!AL2/'Tariffs Jan2019'!AJ2&gt;='Tariffs Jan2019'!J2,('Tariffs Jan2019'!J2*'Tariffs Jan2019'!U2/100)* 'Tariffs Jan2019'!AJ2,($C$5*'Tariffs Jan2019'!AL2/'Tariffs Jan2019'!AJ2*'Tariffs Jan2019'!U2/100)* 'Tariffs Jan2019'!AJ2)</f>
        <v>225</v>
      </c>
      <c r="K8" s="59">
        <f>IF($C$5*'Tariffs Jan2019'!AL2/'Tariffs Jan2019'!AJ2&lt;'Tariffs Jan2019'!J2,0,IF($C$5*'Tariffs Jan2019'!AL2/'Tariffs Jan2019'!AJ2&lt;='Tariffs Jan2019'!K2,($C$5*'Tariffs Jan2019'!AL2/'Tariffs Jan2019'!AJ2-'Tariffs Jan2019'!J2)*('Tariffs Jan2019'!V2/100)*'Tariffs Jan2019'!AJ2,('Tariffs Jan2019'!K2-'Tariffs Jan2019'!J2)*('Tariffs Jan2019'!V2/100)*'Tariffs Jan2019'!AJ2))</f>
        <v>199.8</v>
      </c>
      <c r="L8" s="59">
        <f>IF($C$5*'Tariffs Jan2019'!AL2/'Tariffs Jan2019'!AJ2&lt;'Tariffs Jan2019'!K2,0,IF($C$5*'Tariffs Jan2019'!AL2/'Tariffs Jan2019'!AJ2&lt;='Tariffs Jan2019'!L2,($C$5*'Tariffs Jan2019'!AL2/'Tariffs Jan2019'!AJ2-'Tariffs Jan2019'!K2)*('Tariffs Jan2019'!W2/100)*'Tariffs Jan2019'!AJ2,('Tariffs Jan2019'!L2-'Tariffs Jan2019'!K2)*('Tariffs Jan2019'!W2/100)*'Tariffs Jan2019'!AJ2))</f>
        <v>163.80000000000001</v>
      </c>
      <c r="M8" s="59">
        <f>IF($C$5*'Tariffs Jan2019'!AL2/'Tariffs Jan2019'!AJ2&lt;'Tariffs Jan2019'!L2,0,IF($C$5*'Tariffs Jan2019'!AL2/'Tariffs Jan2019'!AJ2&lt;='Tariffs Jan2019'!M2,($C$5*'Tariffs Jan2019'!AL2/'Tariffs Jan2019'!AJ2-'Tariffs Jan2019'!L2)*('Tariffs Jan2019'!X2/100)*'Tariffs Jan2019'!AJ2,('Tariffs Jan2019'!M2-'Tariffs Jan2019'!L2)*('Tariffs Jan2019'!X2/100)*'Tariffs Jan2019'!AJ2))</f>
        <v>72</v>
      </c>
      <c r="N8" s="59">
        <f>IF(($C$5*'Tariffs Jan2019'!AL2/'Tariffs Jan2019'!AJ2&gt;'Tariffs Jan2019'!M2),($C$5*'Tariffs Jan2019'!AL2/'Tariffs Jan2019'!AJ2-'Tariffs Jan2019'!M2)*'Tariffs Jan2019'!Y2/100*'Tariffs Jan2019'!AJ2,0)</f>
        <v>0</v>
      </c>
      <c r="O8" s="271">
        <f>SUM(E8:N8)</f>
        <v>1353.15</v>
      </c>
      <c r="P8" s="59">
        <f>D8+O8</f>
        <v>1639.6750000000002</v>
      </c>
      <c r="Q8" s="272">
        <f>P8*1.1</f>
        <v>1803.6425000000004</v>
      </c>
      <c r="R8" s="40">
        <f>'Tariffs Jan2019'!AN2</f>
        <v>0</v>
      </c>
      <c r="S8" s="40">
        <f>'Tariffs Jan2019'!AO2</f>
        <v>0</v>
      </c>
      <c r="T8" s="40">
        <f>'Tariffs Jan2019'!AP2</f>
        <v>0</v>
      </c>
      <c r="U8" s="40">
        <f>'Tariffs Jan2019'!AQ2</f>
        <v>24</v>
      </c>
      <c r="V8" s="273">
        <f>P8</f>
        <v>1639.6750000000002</v>
      </c>
      <c r="W8" s="273">
        <f>V8-(O8*U8/100)</f>
        <v>1314.9190000000001</v>
      </c>
      <c r="X8" s="272">
        <f>V8*1.1</f>
        <v>1803.6425000000004</v>
      </c>
      <c r="Y8" s="272">
        <f>W8*1.1</f>
        <v>1446.4109000000003</v>
      </c>
      <c r="Z8" s="274">
        <f>'Tariffs Jan2019'!AZ2</f>
        <v>0</v>
      </c>
      <c r="AA8" s="274" t="str">
        <f>'Tariffs Jan2019'!BA2</f>
        <v>n</v>
      </c>
      <c r="AB8" s="275" t="str">
        <f>'Tariffs Jan2019'!BH2</f>
        <v>N</v>
      </c>
      <c r="AC8" s="370"/>
      <c r="AD8" s="370"/>
      <c r="AE8" s="370"/>
      <c r="AF8" s="370"/>
      <c r="AG8" s="370"/>
      <c r="AH8" s="370"/>
      <c r="AI8" s="370"/>
      <c r="AJ8" s="370"/>
      <c r="AK8" s="370"/>
      <c r="AL8" s="370"/>
      <c r="AM8" s="370"/>
      <c r="AN8" s="370"/>
    </row>
    <row r="9" spans="1:40" x14ac:dyDescent="0.15">
      <c r="A9" s="270" t="str">
        <f>'Tariffs Jan2019'!F3</f>
        <v>Alinta Energy</v>
      </c>
      <c r="B9" s="40" t="str">
        <f>'Tariffs Jan2019'!D3</f>
        <v>Multinet Metro 1</v>
      </c>
      <c r="C9" s="40" t="str">
        <f>'Tariffs Jan2019'!G3</f>
        <v>Fair Saver</v>
      </c>
      <c r="D9" s="59">
        <f>365*'Tariffs Jan2019'!H3/100</f>
        <v>277.39999999999998</v>
      </c>
      <c r="E9" s="59">
        <f>IF($C$5*'Tariffs Jan2019'!AK3/'Tariffs Jan2019'!AI3&gt;='Tariffs Jan2019'!J3,( 'Tariffs Jan2019'!J3*'Tariffs Jan2019'!O3/100)* 'Tariffs Jan2019'!AI3,($C$5*'Tariffs Jan2019'!AK3/'Tariffs Jan2019'!AI3*'Tariffs Jan2019'!O3/100)* 'Tariffs Jan2019'!AI3)</f>
        <v>225</v>
      </c>
      <c r="F9" s="59">
        <f>IF($C$5*'Tariffs Jan2019'!AK3/'Tariffs Jan2019'!AI3&lt;'Tariffs Jan2019'!J3,0,IF($C$5*'Tariffs Jan2019'!AK3/'Tariffs Jan2019'!AI3&lt;='Tariffs Jan2019'!K3,($C$5*'Tariffs Jan2019'!AK3/'Tariffs Jan2019'!AI3-'Tariffs Jan2019'!J3)*('Tariffs Jan2019'!P3/100)*'Tariffs Jan2019'!AI3,('Tariffs Jan2019'!K3-'Tariffs Jan2019'!J3)*('Tariffs Jan2019'!P3/100)*'Tariffs Jan2019'!AI3))</f>
        <v>198</v>
      </c>
      <c r="G9" s="59">
        <f>IF($C$5*'Tariffs Jan2019'!AK3/'Tariffs Jan2019'!AI3&lt;'Tariffs Jan2019'!K3,0,IF($C$5*'Tariffs Jan2019'!AK3/'Tariffs Jan2019'!AI3&lt;='Tariffs Jan2019'!L3,($C$5*'Tariffs Jan2019'!AK3/'Tariffs Jan2019'!AI3-'Tariffs Jan2019'!K3)*('Tariffs Jan2019'!Q3/100)*'Tariffs Jan2019'!AI3,('Tariffs Jan2019'!L3-'Tariffs Jan2019'!K3)*('Tariffs Jan2019'!Q3/100)*'Tariffs Jan2019'!AI3))</f>
        <v>0</v>
      </c>
      <c r="H9" s="59">
        <f>IF($C$5*'Tariffs Jan2019'!AK3/'Tariffs Jan2019'!AI3&lt;'Tariffs Jan2019'!L3,0,IF($C$5*'Tariffs Jan2019'!AK3/'Tariffs Jan2019'!AI3&lt;='Tariffs Jan2019'!M3,($C$5*'Tariffs Jan2019'!AK3/'Tariffs Jan2019'!AI3-'Tariffs Jan2019'!L3)*('Tariffs Jan2019'!R3/100)*'Tariffs Jan2019'!AI3,('Tariffs Jan2019'!M3-'Tariffs Jan2019'!L3)*('Tariffs Jan2019'!R3/100)*'Tariffs Jan2019'!AI3))</f>
        <v>0</v>
      </c>
      <c r="I9" s="59">
        <f>IF(($C$5*'Tariffs Jan2019'!AK3/'Tariffs Jan2019'!AI3&gt;'Tariffs Jan2019'!M3),($C$5*'Tariffs Jan2019'!AK3/'Tariffs Jan2019'!AI3-'Tariffs Jan2019'!M3)*'Tariffs Jan2019'!S3/100*'Tariffs Jan2019'!AI3,0)</f>
        <v>229.5</v>
      </c>
      <c r="J9" s="59">
        <f>IF($C$5*'Tariffs Jan2019'!AL3/'Tariffs Jan2019'!AJ3&gt;='Tariffs Jan2019'!J3,('Tariffs Jan2019'!J3*'Tariffs Jan2019'!U3/100)* 'Tariffs Jan2019'!AJ3,($C$5*'Tariffs Jan2019'!AL3/'Tariffs Jan2019'!AJ3*'Tariffs Jan2019'!U3/100)* 'Tariffs Jan2019'!AJ3)</f>
        <v>216</v>
      </c>
      <c r="K9" s="59">
        <f>IF($C$5*'Tariffs Jan2019'!AL3/'Tariffs Jan2019'!AJ3&lt;'Tariffs Jan2019'!J3,0,IF($C$5*'Tariffs Jan2019'!AL3/'Tariffs Jan2019'!AJ3&lt;='Tariffs Jan2019'!K3,($C$5*'Tariffs Jan2019'!AL3/'Tariffs Jan2019'!AJ3-'Tariffs Jan2019'!J3)*('Tariffs Jan2019'!V3/100)*'Tariffs Jan2019'!AJ3,('Tariffs Jan2019'!K3-'Tariffs Jan2019'!J3)*('Tariffs Jan2019'!V3/100)*'Tariffs Jan2019'!AJ3))</f>
        <v>189.00000000000003</v>
      </c>
      <c r="L9" s="59">
        <f>IF($C$5*'Tariffs Jan2019'!AL3/'Tariffs Jan2019'!AJ3&lt;'Tariffs Jan2019'!K3,0,IF($C$5*'Tariffs Jan2019'!AL3/'Tariffs Jan2019'!AJ3&lt;='Tariffs Jan2019'!L3,($C$5*'Tariffs Jan2019'!AL3/'Tariffs Jan2019'!AJ3-'Tariffs Jan2019'!K3)*('Tariffs Jan2019'!W3/100)*'Tariffs Jan2019'!AJ3,('Tariffs Jan2019'!L3-'Tariffs Jan2019'!K3)*('Tariffs Jan2019'!W3/100)*'Tariffs Jan2019'!AJ3))</f>
        <v>0</v>
      </c>
      <c r="M9" s="59">
        <f>IF($C$5*'Tariffs Jan2019'!AL3/'Tariffs Jan2019'!AJ3&lt;'Tariffs Jan2019'!L3,0,IF($C$5*'Tariffs Jan2019'!AL3/'Tariffs Jan2019'!AJ3&lt;='Tariffs Jan2019'!M3,($C$5*'Tariffs Jan2019'!AL3/'Tariffs Jan2019'!AJ3-'Tariffs Jan2019'!L3)*('Tariffs Jan2019'!X3/100)*'Tariffs Jan2019'!AJ3,('Tariffs Jan2019'!M3-'Tariffs Jan2019'!L3)*('Tariffs Jan2019'!X3/100)*'Tariffs Jan2019'!AJ3))</f>
        <v>0</v>
      </c>
      <c r="N9" s="59">
        <f>IF(($C$5*'Tariffs Jan2019'!AL3/'Tariffs Jan2019'!AJ3&gt;'Tariffs Jan2019'!M3),($C$5*'Tariffs Jan2019'!AL3/'Tariffs Jan2019'!AJ3-'Tariffs Jan2019'!M3)*'Tariffs Jan2019'!Y3/100*'Tariffs Jan2019'!AJ3,0)</f>
        <v>229.5</v>
      </c>
      <c r="O9" s="271">
        <f t="shared" ref="O9:O92" si="0">SUM(E9:N9)</f>
        <v>1287</v>
      </c>
      <c r="P9" s="59">
        <f t="shared" ref="P9:P92" si="1">D9+O9</f>
        <v>1564.4</v>
      </c>
      <c r="Q9" s="272">
        <f t="shared" ref="Q9:Q92" si="2">P9*1.1</f>
        <v>1720.8400000000001</v>
      </c>
      <c r="R9" s="40">
        <f>'Tariffs Jan2019'!AN3</f>
        <v>0</v>
      </c>
      <c r="S9" s="40">
        <f>'Tariffs Jan2019'!AO3</f>
        <v>20</v>
      </c>
      <c r="T9" s="40">
        <f>'Tariffs Jan2019'!AP3</f>
        <v>0</v>
      </c>
      <c r="U9" s="40">
        <f>'Tariffs Jan2019'!AQ3</f>
        <v>0</v>
      </c>
      <c r="V9" s="273">
        <f>P9-(O9*S9/100)</f>
        <v>1307</v>
      </c>
      <c r="W9" s="273">
        <f>V9-(O9*U9/100)</f>
        <v>1307</v>
      </c>
      <c r="X9" s="272">
        <f>V9*1.1</f>
        <v>1437.7</v>
      </c>
      <c r="Y9" s="272">
        <f t="shared" ref="X9:Y92" si="3">W9*1.1</f>
        <v>1437.7</v>
      </c>
      <c r="Z9" s="274">
        <f>'Tariffs Jan2019'!AZ3</f>
        <v>0</v>
      </c>
      <c r="AA9" s="274" t="str">
        <f>'Tariffs Jan2019'!BA3</f>
        <v>n</v>
      </c>
      <c r="AB9" s="275" t="str">
        <f>'Tariffs Jan2019'!BH3</f>
        <v>Y</v>
      </c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</row>
    <row r="10" spans="1:40" x14ac:dyDescent="0.15">
      <c r="A10" s="270" t="str">
        <f>'Tariffs Jan2019'!F4</f>
        <v>Click Energy</v>
      </c>
      <c r="B10" s="40" t="str">
        <f>'Tariffs Jan2019'!D4</f>
        <v>Multinet Metro 1</v>
      </c>
      <c r="C10" s="40" t="str">
        <f>'Tariffs Jan2019'!G4</f>
        <v>Burgundy</v>
      </c>
      <c r="D10" s="59">
        <f>365*'Tariffs Jan2019'!H4/100</f>
        <v>285.06499999999994</v>
      </c>
      <c r="E10" s="59">
        <f>IF($C$5*'Tariffs Jan2019'!AK4/'Tariffs Jan2019'!AI4&gt;='Tariffs Jan2019'!J4,( 'Tariffs Jan2019'!J4*'Tariffs Jan2019'!O4/100)* 'Tariffs Jan2019'!AI4,($C$5*'Tariffs Jan2019'!AK4/'Tariffs Jan2019'!AI4*'Tariffs Jan2019'!O4/100)* 'Tariffs Jan2019'!AI4)</f>
        <v>301.5</v>
      </c>
      <c r="F10" s="59">
        <f>IF($C$5*'Tariffs Jan2019'!AK4/'Tariffs Jan2019'!AI4&lt;'Tariffs Jan2019'!J4,0,IF($C$5*'Tariffs Jan2019'!AK4/'Tariffs Jan2019'!AI4&lt;='Tariffs Jan2019'!K4,($C$5*'Tariffs Jan2019'!AK4/'Tariffs Jan2019'!AI4-'Tariffs Jan2019'!J4)*('Tariffs Jan2019'!P4/100)*'Tariffs Jan2019'!AI4,('Tariffs Jan2019'!K4-'Tariffs Jan2019'!J4)*('Tariffs Jan2019'!P4/100)*'Tariffs Jan2019'!AI4))</f>
        <v>265.5</v>
      </c>
      <c r="G10" s="59">
        <f>IF($C$5*'Tariffs Jan2019'!AK4/'Tariffs Jan2019'!AI4&lt;'Tariffs Jan2019'!K4,0,IF($C$5*'Tariffs Jan2019'!AK4/'Tariffs Jan2019'!AI4&lt;='Tariffs Jan2019'!L4,($C$5*'Tariffs Jan2019'!AK4/'Tariffs Jan2019'!AI4-'Tariffs Jan2019'!K4)*('Tariffs Jan2019'!Q4/100)*'Tariffs Jan2019'!AI4,('Tariffs Jan2019'!L4-'Tariffs Jan2019'!K4)*('Tariffs Jan2019'!Q4/100)*'Tariffs Jan2019'!AI4))</f>
        <v>229.5</v>
      </c>
      <c r="H10" s="59">
        <f>IF($C$5*'Tariffs Jan2019'!AK4/'Tariffs Jan2019'!AI4&lt;'Tariffs Jan2019'!L4,0,IF($C$5*'Tariffs Jan2019'!AK4/'Tariffs Jan2019'!AI4&lt;='Tariffs Jan2019'!M4,($C$5*'Tariffs Jan2019'!AK4/'Tariffs Jan2019'!AI4-'Tariffs Jan2019'!L4)*('Tariffs Jan2019'!R4/100)*'Tariffs Jan2019'!AI4,('Tariffs Jan2019'!M4-'Tariffs Jan2019'!L4)*('Tariffs Jan2019'!R4/100)*'Tariffs Jan2019'!AI4))</f>
        <v>105.75</v>
      </c>
      <c r="I10" s="59">
        <f>IF(($C$5*'Tariffs Jan2019'!AK4/'Tariffs Jan2019'!AI4&gt;'Tariffs Jan2019'!M4),($C$5*'Tariffs Jan2019'!AK4/'Tariffs Jan2019'!AI4-'Tariffs Jan2019'!M4)*'Tariffs Jan2019'!S4/100*'Tariffs Jan2019'!AI4,0)</f>
        <v>0</v>
      </c>
      <c r="J10" s="59">
        <f>IF($C$5*'Tariffs Jan2019'!AL4/'Tariffs Jan2019'!AJ4&gt;='Tariffs Jan2019'!J4,('Tariffs Jan2019'!J4*'Tariffs Jan2019'!U4/100)* 'Tariffs Jan2019'!AJ4,($C$5*'Tariffs Jan2019'!AL4/'Tariffs Jan2019'!AJ4*'Tariffs Jan2019'!U4/100)* 'Tariffs Jan2019'!AJ4)</f>
        <v>292.5</v>
      </c>
      <c r="K10" s="59">
        <f>IF($C$5*'Tariffs Jan2019'!AL4/'Tariffs Jan2019'!AJ4&lt;'Tariffs Jan2019'!J4,0,IF($C$5*'Tariffs Jan2019'!AL4/'Tariffs Jan2019'!AJ4&lt;='Tariffs Jan2019'!K4,($C$5*'Tariffs Jan2019'!AL4/'Tariffs Jan2019'!AJ4-'Tariffs Jan2019'!J4)*('Tariffs Jan2019'!V4/100)*'Tariffs Jan2019'!AJ4,('Tariffs Jan2019'!K4-'Tariffs Jan2019'!J4)*('Tariffs Jan2019'!V4/100)*'Tariffs Jan2019'!AJ4))</f>
        <v>261</v>
      </c>
      <c r="L10" s="59">
        <f>IF($C$5*'Tariffs Jan2019'!AL4/'Tariffs Jan2019'!AJ4&lt;'Tariffs Jan2019'!K4,0,IF($C$5*'Tariffs Jan2019'!AL4/'Tariffs Jan2019'!AJ4&lt;='Tariffs Jan2019'!L4,($C$5*'Tariffs Jan2019'!AL4/'Tariffs Jan2019'!AJ4-'Tariffs Jan2019'!K4)*('Tariffs Jan2019'!W4/100)*'Tariffs Jan2019'!AJ4,('Tariffs Jan2019'!L4-'Tariffs Jan2019'!K4)*('Tariffs Jan2019'!W4/100)*'Tariffs Jan2019'!AJ4))</f>
        <v>225</v>
      </c>
      <c r="M10" s="59">
        <f>IF($C$5*'Tariffs Jan2019'!AL4/'Tariffs Jan2019'!AJ4&lt;'Tariffs Jan2019'!L4,0,IF($C$5*'Tariffs Jan2019'!AL4/'Tariffs Jan2019'!AJ4&lt;='Tariffs Jan2019'!M4,($C$5*'Tariffs Jan2019'!AL4/'Tariffs Jan2019'!AJ4-'Tariffs Jan2019'!L4)*('Tariffs Jan2019'!X4/100)*'Tariffs Jan2019'!AJ4,('Tariffs Jan2019'!M4-'Tariffs Jan2019'!L4)*('Tariffs Jan2019'!X4/100)*'Tariffs Jan2019'!AJ4))</f>
        <v>105.75</v>
      </c>
      <c r="N10" s="59">
        <f>IF(($C$5*'Tariffs Jan2019'!AL4/'Tariffs Jan2019'!AJ4&gt;'Tariffs Jan2019'!M4),($C$5*'Tariffs Jan2019'!AL4/'Tariffs Jan2019'!AJ4-'Tariffs Jan2019'!M4)*'Tariffs Jan2019'!Y4/100*'Tariffs Jan2019'!AJ4,0)</f>
        <v>0</v>
      </c>
      <c r="O10" s="271">
        <f t="shared" si="0"/>
        <v>1786.5</v>
      </c>
      <c r="P10" s="59">
        <f t="shared" si="1"/>
        <v>2071.5650000000001</v>
      </c>
      <c r="Q10" s="272">
        <f t="shared" si="2"/>
        <v>2278.7215000000001</v>
      </c>
      <c r="R10" s="40">
        <f>'Tariffs Jan2019'!AN4</f>
        <v>0</v>
      </c>
      <c r="S10" s="40">
        <f>'Tariffs Jan2019'!AO4</f>
        <v>0</v>
      </c>
      <c r="T10" s="40">
        <f>'Tariffs Jan2019'!AP4</f>
        <v>26</v>
      </c>
      <c r="U10" s="40">
        <f>'Tariffs Jan2019'!AQ4</f>
        <v>0</v>
      </c>
      <c r="V10" s="273">
        <f t="shared" ref="V10:V22" si="4">P10</f>
        <v>2071.5650000000001</v>
      </c>
      <c r="W10" s="273">
        <f>V10-(P10*T10/100)</f>
        <v>1532.9581000000001</v>
      </c>
      <c r="X10" s="272">
        <f t="shared" si="3"/>
        <v>2278.7215000000001</v>
      </c>
      <c r="Y10" s="272">
        <f t="shared" si="3"/>
        <v>1686.2539100000001</v>
      </c>
      <c r="Z10" s="274">
        <f>'Tariffs Jan2019'!AZ4</f>
        <v>0</v>
      </c>
      <c r="AA10" s="274" t="str">
        <f>'Tariffs Jan2019'!BA4</f>
        <v>n</v>
      </c>
      <c r="AB10" s="275" t="str">
        <f>'Tariffs Jan2019'!BH4</f>
        <v>N</v>
      </c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</row>
    <row r="11" spans="1:40" x14ac:dyDescent="0.15">
      <c r="A11" s="270" t="str">
        <f>'Tariffs Jan2019'!F5</f>
        <v>Covau</v>
      </c>
      <c r="B11" s="40" t="str">
        <f>'Tariffs Jan2019'!D5</f>
        <v>Multinet Metro 1</v>
      </c>
      <c r="C11" s="40" t="str">
        <f>'Tariffs Jan2019'!G5</f>
        <v>Smart Saver</v>
      </c>
      <c r="D11" s="59">
        <f>365*'Tariffs Jan2019'!H5/100</f>
        <v>284.7</v>
      </c>
      <c r="E11" s="59">
        <f>IF($C$5*'Tariffs Jan2019'!AK5/'Tariffs Jan2019'!AI5&gt;='Tariffs Jan2019'!J5,( 'Tariffs Jan2019'!J5*'Tariffs Jan2019'!O5/100)* 'Tariffs Jan2019'!AI5,($C$5*'Tariffs Jan2019'!AK5/'Tariffs Jan2019'!AI5*'Tariffs Jan2019'!O5/100)* 'Tariffs Jan2019'!AI5)</f>
        <v>261</v>
      </c>
      <c r="F11" s="59">
        <f>IF($C$5*'Tariffs Jan2019'!AK5/'Tariffs Jan2019'!AI5&lt;'Tariffs Jan2019'!J5,0,IF($C$5*'Tariffs Jan2019'!AK5/'Tariffs Jan2019'!AI5&lt;='Tariffs Jan2019'!K5,($C$5*'Tariffs Jan2019'!AK5/'Tariffs Jan2019'!AI5-'Tariffs Jan2019'!J5)*('Tariffs Jan2019'!P5/100)*'Tariffs Jan2019'!AI5,('Tariffs Jan2019'!K5-'Tariffs Jan2019'!J5)*('Tariffs Jan2019'!P5/100)*'Tariffs Jan2019'!AI5))</f>
        <v>469.79999999999995</v>
      </c>
      <c r="G11" s="59">
        <f>IF($C$5*'Tariffs Jan2019'!AK5/'Tariffs Jan2019'!AI5&lt;'Tariffs Jan2019'!K5,0,IF($C$5*'Tariffs Jan2019'!AK5/'Tariffs Jan2019'!AI5&lt;='Tariffs Jan2019'!L5,($C$5*'Tariffs Jan2019'!AK5/'Tariffs Jan2019'!AI5-'Tariffs Jan2019'!K5)*('Tariffs Jan2019'!Q5/100)*'Tariffs Jan2019'!AI5,('Tariffs Jan2019'!L5-'Tariffs Jan2019'!K5)*('Tariffs Jan2019'!Q5/100)*'Tariffs Jan2019'!AI5))</f>
        <v>108</v>
      </c>
      <c r="H11" s="59">
        <f>IF($C$5*'Tariffs Jan2019'!AK5/'Tariffs Jan2019'!AI5&lt;'Tariffs Jan2019'!L5,0,IF($C$5*'Tariffs Jan2019'!AK5/'Tariffs Jan2019'!AI5&lt;='Tariffs Jan2019'!M5,($C$5*'Tariffs Jan2019'!AK5/'Tariffs Jan2019'!AI5-'Tariffs Jan2019'!L5)*('Tariffs Jan2019'!R5/100)*'Tariffs Jan2019'!AI5,('Tariffs Jan2019'!M5-'Tariffs Jan2019'!L5)*('Tariffs Jan2019'!R5/100)*'Tariffs Jan2019'!AI5))</f>
        <v>0</v>
      </c>
      <c r="I11" s="59">
        <f>IF(($C$5*'Tariffs Jan2019'!AK5/'Tariffs Jan2019'!AI5&gt;'Tariffs Jan2019'!M5),($C$5*'Tariffs Jan2019'!AK5/'Tariffs Jan2019'!AI5-'Tariffs Jan2019'!M5)*'Tariffs Jan2019'!S5/100*'Tariffs Jan2019'!AI5,0)</f>
        <v>0</v>
      </c>
      <c r="J11" s="59">
        <f>IF($C$5*'Tariffs Jan2019'!AL5/'Tariffs Jan2019'!AJ5&gt;='Tariffs Jan2019'!J5,('Tariffs Jan2019'!J5*'Tariffs Jan2019'!U5/100)* 'Tariffs Jan2019'!AJ5,($C$5*'Tariffs Jan2019'!AL5/'Tariffs Jan2019'!AJ5*'Tariffs Jan2019'!U5/100)* 'Tariffs Jan2019'!AJ5)</f>
        <v>243.00000000000006</v>
      </c>
      <c r="K11" s="59">
        <f>IF($C$5*'Tariffs Jan2019'!AL5/'Tariffs Jan2019'!AJ5&lt;'Tariffs Jan2019'!J5,0,IF($C$5*'Tariffs Jan2019'!AL5/'Tariffs Jan2019'!AJ5&lt;='Tariffs Jan2019'!K5,($C$5*'Tariffs Jan2019'!AL5/'Tariffs Jan2019'!AJ5-'Tariffs Jan2019'!J5)*('Tariffs Jan2019'!V5/100)*'Tariffs Jan2019'!AJ5,('Tariffs Jan2019'!K5-'Tariffs Jan2019'!J5)*('Tariffs Jan2019'!V5/100)*'Tariffs Jan2019'!AJ5))</f>
        <v>457.20000000000005</v>
      </c>
      <c r="L11" s="59">
        <f>IF($C$5*'Tariffs Jan2019'!AL5/'Tariffs Jan2019'!AJ5&lt;'Tariffs Jan2019'!K5,0,IF($C$5*'Tariffs Jan2019'!AL5/'Tariffs Jan2019'!AJ5&lt;='Tariffs Jan2019'!L5,($C$5*'Tariffs Jan2019'!AL5/'Tariffs Jan2019'!AJ5-'Tariffs Jan2019'!K5)*('Tariffs Jan2019'!W5/100)*'Tariffs Jan2019'!AJ5,('Tariffs Jan2019'!L5-'Tariffs Jan2019'!K5)*('Tariffs Jan2019'!W5/100)*'Tariffs Jan2019'!AJ5))</f>
        <v>94.500000000000014</v>
      </c>
      <c r="M11" s="59">
        <f>IF($C$5*'Tariffs Jan2019'!AL5/'Tariffs Jan2019'!AJ5&lt;'Tariffs Jan2019'!L5,0,IF($C$5*'Tariffs Jan2019'!AL5/'Tariffs Jan2019'!AJ5&lt;='Tariffs Jan2019'!M5,($C$5*'Tariffs Jan2019'!AL5/'Tariffs Jan2019'!AJ5-'Tariffs Jan2019'!L5)*('Tariffs Jan2019'!X5/100)*'Tariffs Jan2019'!AJ5,('Tariffs Jan2019'!M5-'Tariffs Jan2019'!L5)*('Tariffs Jan2019'!X5/100)*'Tariffs Jan2019'!AJ5))</f>
        <v>0</v>
      </c>
      <c r="N11" s="59">
        <f>IF(($C$5*'Tariffs Jan2019'!AL5/'Tariffs Jan2019'!AJ5&gt;'Tariffs Jan2019'!M5),($C$5*'Tariffs Jan2019'!AL5/'Tariffs Jan2019'!AJ5-'Tariffs Jan2019'!M5)*'Tariffs Jan2019'!Y5/100*'Tariffs Jan2019'!AJ5,0)</f>
        <v>0</v>
      </c>
      <c r="O11" s="271">
        <f t="shared" si="0"/>
        <v>1633.5</v>
      </c>
      <c r="P11" s="59">
        <f t="shared" si="1"/>
        <v>1918.2</v>
      </c>
      <c r="Q11" s="272">
        <f t="shared" si="2"/>
        <v>2110.0200000000004</v>
      </c>
      <c r="R11" s="40">
        <f>'Tariffs Jan2019'!AN5</f>
        <v>0</v>
      </c>
      <c r="S11" s="40">
        <f>'Tariffs Jan2019'!AO5</f>
        <v>0</v>
      </c>
      <c r="T11" s="40">
        <f>'Tariffs Jan2019'!AP5</f>
        <v>0</v>
      </c>
      <c r="U11" s="40">
        <f>'Tariffs Jan2019'!AQ5</f>
        <v>16</v>
      </c>
      <c r="V11" s="273">
        <f t="shared" si="4"/>
        <v>1918.2</v>
      </c>
      <c r="W11" s="273">
        <f>V11-(O11*U11/100)</f>
        <v>1656.8400000000001</v>
      </c>
      <c r="X11" s="272">
        <f t="shared" si="3"/>
        <v>2110.0200000000004</v>
      </c>
      <c r="Y11" s="272">
        <f t="shared" si="3"/>
        <v>1822.5240000000003</v>
      </c>
      <c r="Z11" s="274">
        <f>'Tariffs Jan2019'!AZ5</f>
        <v>0</v>
      </c>
      <c r="AA11" s="274" t="str">
        <f>'Tariffs Jan2019'!BA5</f>
        <v>n</v>
      </c>
      <c r="AB11" s="275" t="str">
        <f>'Tariffs Jan2019'!BH5</f>
        <v>N</v>
      </c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</row>
    <row r="12" spans="1:40" x14ac:dyDescent="0.15">
      <c r="A12" s="270" t="str">
        <f>'Tariffs Jan2019'!F6</f>
        <v>Dodo Power &amp; Gas</v>
      </c>
      <c r="B12" s="40" t="str">
        <f>'Tariffs Jan2019'!D6</f>
        <v>Multinet Metro 1</v>
      </c>
      <c r="C12" s="40" t="str">
        <f>'Tariffs Jan2019'!G6</f>
        <v>Market offer</v>
      </c>
      <c r="D12" s="59">
        <f>365*'Tariffs Jan2019'!H6/100</f>
        <v>269.7715</v>
      </c>
      <c r="E12" s="59">
        <f>IF($C$5*'Tariffs Jan2019'!AK6/'Tariffs Jan2019'!AI6&gt;='Tariffs Jan2019'!J6,( 'Tariffs Jan2019'!J6*'Tariffs Jan2019'!O6/100)* 'Tariffs Jan2019'!AI6,($C$5*'Tariffs Jan2019'!AK6/'Tariffs Jan2019'!AI6*'Tariffs Jan2019'!O6/100)* 'Tariffs Jan2019'!AI6)</f>
        <v>457.20000000000005</v>
      </c>
      <c r="F12" s="59">
        <f>IF($C$5*'Tariffs Jan2019'!AK6/'Tariffs Jan2019'!AI6&lt;'Tariffs Jan2019'!J6,0,IF($C$5*'Tariffs Jan2019'!AK6/'Tariffs Jan2019'!AI6&lt;='Tariffs Jan2019'!K6,($C$5*'Tariffs Jan2019'!AK6/'Tariffs Jan2019'!AI6-'Tariffs Jan2019'!J6)*('Tariffs Jan2019'!P6/100)*'Tariffs Jan2019'!AI6,('Tariffs Jan2019'!K6-'Tariffs Jan2019'!J6)*('Tariffs Jan2019'!P6/100)*'Tariffs Jan2019'!AI6))</f>
        <v>172.79999999999998</v>
      </c>
      <c r="G12" s="59">
        <f>IF($C$5*'Tariffs Jan2019'!AK6/'Tariffs Jan2019'!AI6&lt;'Tariffs Jan2019'!K6,0,IF($C$5*'Tariffs Jan2019'!AK6/'Tariffs Jan2019'!AI6&lt;='Tariffs Jan2019'!L6,($C$5*'Tariffs Jan2019'!AK6/'Tariffs Jan2019'!AI6-'Tariffs Jan2019'!K6)*('Tariffs Jan2019'!Q6/100)*'Tariffs Jan2019'!AI6,('Tariffs Jan2019'!L6-'Tariffs Jan2019'!K6)*('Tariffs Jan2019'!Q6/100)*'Tariffs Jan2019'!AI6))</f>
        <v>0</v>
      </c>
      <c r="H12" s="59">
        <f>IF($C$5*'Tariffs Jan2019'!AK6/'Tariffs Jan2019'!AI6&lt;'Tariffs Jan2019'!L6,0,IF($C$5*'Tariffs Jan2019'!AK6/'Tariffs Jan2019'!AI6&lt;='Tariffs Jan2019'!M6,($C$5*'Tariffs Jan2019'!AK6/'Tariffs Jan2019'!AI6-'Tariffs Jan2019'!L6)*('Tariffs Jan2019'!R6/100)*'Tariffs Jan2019'!AI6,('Tariffs Jan2019'!M6-'Tariffs Jan2019'!L6)*('Tariffs Jan2019'!R6/100)*'Tariffs Jan2019'!AI6))</f>
        <v>0</v>
      </c>
      <c r="I12" s="59">
        <f>IF(($C$5*'Tariffs Jan2019'!AK6/'Tariffs Jan2019'!AI6&gt;'Tariffs Jan2019'!M6),($C$5*'Tariffs Jan2019'!AK6/'Tariffs Jan2019'!AI6-'Tariffs Jan2019'!M6)*'Tariffs Jan2019'!S6/100*'Tariffs Jan2019'!AI6,0)</f>
        <v>68.849999999999994</v>
      </c>
      <c r="J12" s="59">
        <f>IF($C$5*'Tariffs Jan2019'!AL6/'Tariffs Jan2019'!AJ6&gt;='Tariffs Jan2019'!J6,('Tariffs Jan2019'!J6*'Tariffs Jan2019'!U6/100)* 'Tariffs Jan2019'!AJ6,($C$5*'Tariffs Jan2019'!AL6/'Tariffs Jan2019'!AJ6*'Tariffs Jan2019'!U6/100)* 'Tariffs Jan2019'!AJ6)</f>
        <v>457.20000000000005</v>
      </c>
      <c r="K12" s="59">
        <f>IF($C$5*'Tariffs Jan2019'!AL6/'Tariffs Jan2019'!AJ6&lt;'Tariffs Jan2019'!J6,0,IF($C$5*'Tariffs Jan2019'!AL6/'Tariffs Jan2019'!AJ6&lt;='Tariffs Jan2019'!K6,($C$5*'Tariffs Jan2019'!AL6/'Tariffs Jan2019'!AJ6-'Tariffs Jan2019'!J6)*('Tariffs Jan2019'!V6/100)*'Tariffs Jan2019'!AJ6,('Tariffs Jan2019'!K6-'Tariffs Jan2019'!J6)*('Tariffs Jan2019'!V6/100)*'Tariffs Jan2019'!AJ6))</f>
        <v>172.79999999999998</v>
      </c>
      <c r="L12" s="59">
        <f>IF($C$5*'Tariffs Jan2019'!AL6/'Tariffs Jan2019'!AJ6&lt;'Tariffs Jan2019'!K6,0,IF($C$5*'Tariffs Jan2019'!AL6/'Tariffs Jan2019'!AJ6&lt;='Tariffs Jan2019'!L6,($C$5*'Tariffs Jan2019'!AL6/'Tariffs Jan2019'!AJ6-'Tariffs Jan2019'!K6)*('Tariffs Jan2019'!W6/100)*'Tariffs Jan2019'!AJ6,('Tariffs Jan2019'!L6-'Tariffs Jan2019'!K6)*('Tariffs Jan2019'!W6/100)*'Tariffs Jan2019'!AJ6))</f>
        <v>0</v>
      </c>
      <c r="M12" s="59">
        <f>IF($C$5*'Tariffs Jan2019'!AL6/'Tariffs Jan2019'!AJ6&lt;'Tariffs Jan2019'!L6,0,IF($C$5*'Tariffs Jan2019'!AL6/'Tariffs Jan2019'!AJ6&lt;='Tariffs Jan2019'!M6,($C$5*'Tariffs Jan2019'!AL6/'Tariffs Jan2019'!AJ6-'Tariffs Jan2019'!L6)*('Tariffs Jan2019'!X6/100)*'Tariffs Jan2019'!AJ6,('Tariffs Jan2019'!M6-'Tariffs Jan2019'!L6)*('Tariffs Jan2019'!X6/100)*'Tariffs Jan2019'!AJ6))</f>
        <v>0</v>
      </c>
      <c r="N12" s="59">
        <f>IF(($C$5*'Tariffs Jan2019'!AL6/'Tariffs Jan2019'!AJ6&gt;'Tariffs Jan2019'!M6),($C$5*'Tariffs Jan2019'!AL6/'Tariffs Jan2019'!AJ6-'Tariffs Jan2019'!M6)*'Tariffs Jan2019'!Y6/100*'Tariffs Jan2019'!AJ6,0)</f>
        <v>68.849999999999994</v>
      </c>
      <c r="O12" s="271">
        <f t="shared" si="0"/>
        <v>1397.7</v>
      </c>
      <c r="P12" s="59">
        <f t="shared" si="1"/>
        <v>1667.4715000000001</v>
      </c>
      <c r="Q12" s="272">
        <f t="shared" si="2"/>
        <v>1834.2186500000003</v>
      </c>
      <c r="R12" s="40">
        <f>'Tariffs Jan2019'!AN6</f>
        <v>0</v>
      </c>
      <c r="S12" s="40">
        <f>'Tariffs Jan2019'!AO6</f>
        <v>0</v>
      </c>
      <c r="T12" s="40">
        <f>'Tariffs Jan2019'!AP6</f>
        <v>0</v>
      </c>
      <c r="U12" s="40">
        <f>'Tariffs Jan2019'!AQ6</f>
        <v>0</v>
      </c>
      <c r="V12" s="273">
        <f t="shared" si="4"/>
        <v>1667.4715000000001</v>
      </c>
      <c r="W12" s="273">
        <f>V12</f>
        <v>1667.4715000000001</v>
      </c>
      <c r="X12" s="272">
        <f t="shared" si="3"/>
        <v>1834.2186500000003</v>
      </c>
      <c r="Y12" s="272">
        <f t="shared" si="3"/>
        <v>1834.2186500000003</v>
      </c>
      <c r="Z12" s="274">
        <f>'Tariffs Jan2019'!AZ6</f>
        <v>0</v>
      </c>
      <c r="AA12" s="274" t="str">
        <f>'Tariffs Jan2019'!BA6</f>
        <v>n</v>
      </c>
      <c r="AB12" s="275" t="str">
        <f>'Tariffs Jan2019'!BH6</f>
        <v>Y</v>
      </c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</row>
    <row r="13" spans="1:40" x14ac:dyDescent="0.15">
      <c r="A13" s="270" t="str">
        <f>'Tariffs Jan2019'!F7</f>
        <v>EnergyAustralia</v>
      </c>
      <c r="B13" s="40" t="str">
        <f>'Tariffs Jan2019'!D7</f>
        <v>Multinet Metro 1</v>
      </c>
      <c r="C13" s="40" t="str">
        <f>'Tariffs Jan2019'!G7</f>
        <v>Anytime Saver</v>
      </c>
      <c r="D13" s="59">
        <f>365*'Tariffs Jan2019'!H7/100</f>
        <v>286.52499999999998</v>
      </c>
      <c r="E13" s="59">
        <f>IF($C$5*'Tariffs Jan2019'!AK7/'Tariffs Jan2019'!AI7&gt;='Tariffs Jan2019'!J7,( 'Tariffs Jan2019'!J7*'Tariffs Jan2019'!O7/100)* 'Tariffs Jan2019'!AI7,($C$5*'Tariffs Jan2019'!AK7/'Tariffs Jan2019'!AI7*'Tariffs Jan2019'!O7/100)* 'Tariffs Jan2019'!AI7)</f>
        <v>460.79999999999995</v>
      </c>
      <c r="F13" s="59">
        <f>IF($C$5*'Tariffs Jan2019'!AK7/'Tariffs Jan2019'!AI7&lt;'Tariffs Jan2019'!J7,0,IF($C$5*'Tariffs Jan2019'!AK7/'Tariffs Jan2019'!AI7&lt;='Tariffs Jan2019'!K7,($C$5*'Tariffs Jan2019'!AK7/'Tariffs Jan2019'!AI7-'Tariffs Jan2019'!J7)*('Tariffs Jan2019'!P7/100)*'Tariffs Jan2019'!AI7,('Tariffs Jan2019'!K7-'Tariffs Jan2019'!J7)*('Tariffs Jan2019'!P7/100)*'Tariffs Jan2019'!AI7))</f>
        <v>0</v>
      </c>
      <c r="G13" s="59">
        <f>IF($C$5*'Tariffs Jan2019'!AK7/'Tariffs Jan2019'!AI7&lt;'Tariffs Jan2019'!K7,0,IF($C$5*'Tariffs Jan2019'!AK7/'Tariffs Jan2019'!AI7&lt;='Tariffs Jan2019'!L7,($C$5*'Tariffs Jan2019'!AK7/'Tariffs Jan2019'!AI7-'Tariffs Jan2019'!K7)*('Tariffs Jan2019'!Q7/100)*'Tariffs Jan2019'!AI7,('Tariffs Jan2019'!L7-'Tariffs Jan2019'!K7)*('Tariffs Jan2019'!Q7/100)*'Tariffs Jan2019'!AI7))</f>
        <v>0</v>
      </c>
      <c r="H13" s="59">
        <f>IF($C$5*'Tariffs Jan2019'!AK7/'Tariffs Jan2019'!AI7&lt;'Tariffs Jan2019'!L7,0,IF($C$5*'Tariffs Jan2019'!AK7/'Tariffs Jan2019'!AI7&lt;='Tariffs Jan2019'!M7,($C$5*'Tariffs Jan2019'!AK7/'Tariffs Jan2019'!AI7-'Tariffs Jan2019'!L7)*('Tariffs Jan2019'!R7/100)*'Tariffs Jan2019'!AI7,('Tariffs Jan2019'!M7-'Tariffs Jan2019'!L7)*('Tariffs Jan2019'!R7/100)*'Tariffs Jan2019'!AI7))</f>
        <v>0</v>
      </c>
      <c r="I13" s="59">
        <f>IF(($C$5*'Tariffs Jan2019'!AK7/'Tariffs Jan2019'!AI7&gt;'Tariffs Jan2019'!M7),($C$5*'Tariffs Jan2019'!AK7/'Tariffs Jan2019'!AI7-'Tariffs Jan2019'!M7)*'Tariffs Jan2019'!S7/100*'Tariffs Jan2019'!AI7,0)</f>
        <v>251.10000000000002</v>
      </c>
      <c r="J13" s="59">
        <f>IF($C$5*'Tariffs Jan2019'!AL7/'Tariffs Jan2019'!AJ7&gt;='Tariffs Jan2019'!J7,('Tariffs Jan2019'!J7*'Tariffs Jan2019'!U7/100)* 'Tariffs Jan2019'!AJ7,($C$5*'Tariffs Jan2019'!AL7/'Tariffs Jan2019'!AJ7*'Tariffs Jan2019'!U7/100)* 'Tariffs Jan2019'!AJ7)</f>
        <v>460.79999999999995</v>
      </c>
      <c r="K13" s="59">
        <f>IF($C$5*'Tariffs Jan2019'!AL7/'Tariffs Jan2019'!AJ7&lt;'Tariffs Jan2019'!J7,0,IF($C$5*'Tariffs Jan2019'!AL7/'Tariffs Jan2019'!AJ7&lt;='Tariffs Jan2019'!K7,($C$5*'Tariffs Jan2019'!AL7/'Tariffs Jan2019'!AJ7-'Tariffs Jan2019'!J7)*('Tariffs Jan2019'!V7/100)*'Tariffs Jan2019'!AJ7,('Tariffs Jan2019'!K7-'Tariffs Jan2019'!J7)*('Tariffs Jan2019'!V7/100)*'Tariffs Jan2019'!AJ7))</f>
        <v>0</v>
      </c>
      <c r="L13" s="59">
        <f>IF($C$5*'Tariffs Jan2019'!AL7/'Tariffs Jan2019'!AJ7&lt;'Tariffs Jan2019'!K7,0,IF($C$5*'Tariffs Jan2019'!AL7/'Tariffs Jan2019'!AJ7&lt;='Tariffs Jan2019'!L7,($C$5*'Tariffs Jan2019'!AL7/'Tariffs Jan2019'!AJ7-'Tariffs Jan2019'!K7)*('Tariffs Jan2019'!W7/100)*'Tariffs Jan2019'!AJ7,('Tariffs Jan2019'!L7-'Tariffs Jan2019'!K7)*('Tariffs Jan2019'!W7/100)*'Tariffs Jan2019'!AJ7))</f>
        <v>0</v>
      </c>
      <c r="M13" s="59">
        <f>IF($C$5*'Tariffs Jan2019'!AL7/'Tariffs Jan2019'!AJ7&lt;'Tariffs Jan2019'!L7,0,IF($C$5*'Tariffs Jan2019'!AL7/'Tariffs Jan2019'!AJ7&lt;='Tariffs Jan2019'!M7,($C$5*'Tariffs Jan2019'!AL7/'Tariffs Jan2019'!AJ7-'Tariffs Jan2019'!L7)*('Tariffs Jan2019'!X7/100)*'Tariffs Jan2019'!AJ7,('Tariffs Jan2019'!M7-'Tariffs Jan2019'!L7)*('Tariffs Jan2019'!X7/100)*'Tariffs Jan2019'!AJ7))</f>
        <v>0</v>
      </c>
      <c r="N13" s="59">
        <f>IF(($C$5*'Tariffs Jan2019'!AL7/'Tariffs Jan2019'!AJ7&gt;'Tariffs Jan2019'!M7),($C$5*'Tariffs Jan2019'!AL7/'Tariffs Jan2019'!AJ7-'Tariffs Jan2019'!M7)*'Tariffs Jan2019'!Y7/100*'Tariffs Jan2019'!AJ7,0)</f>
        <v>251.10000000000002</v>
      </c>
      <c r="O13" s="271">
        <f>SUM(E13:N13)</f>
        <v>1423.7999999999997</v>
      </c>
      <c r="P13" s="59">
        <f>D13+O13</f>
        <v>1710.3249999999998</v>
      </c>
      <c r="Q13" s="272">
        <f t="shared" si="2"/>
        <v>1881.3574999999998</v>
      </c>
      <c r="R13" s="40">
        <f>'Tariffs Jan2019'!AN7</f>
        <v>0</v>
      </c>
      <c r="S13" s="40">
        <f>'Tariffs Jan2019'!AO7</f>
        <v>22</v>
      </c>
      <c r="T13" s="40">
        <f>'Tariffs Jan2019'!AP7</f>
        <v>0</v>
      </c>
      <c r="U13" s="40">
        <f>'Tariffs Jan2019'!AQ7</f>
        <v>0</v>
      </c>
      <c r="V13" s="273">
        <f>P13-(O13*S13/100)</f>
        <v>1397.0889999999999</v>
      </c>
      <c r="W13" s="273">
        <f>V13-(O13*U13/100)</f>
        <v>1397.0889999999999</v>
      </c>
      <c r="X13" s="272">
        <f t="shared" si="3"/>
        <v>1536.7979</v>
      </c>
      <c r="Y13" s="272">
        <f t="shared" si="3"/>
        <v>1536.7979</v>
      </c>
      <c r="Z13" s="274">
        <f>'Tariffs Jan2019'!AZ7</f>
        <v>0</v>
      </c>
      <c r="AA13" s="274" t="str">
        <f>'Tariffs Jan2019'!BA7</f>
        <v>n</v>
      </c>
      <c r="AB13" s="275" t="str">
        <f>'Tariffs Jan2019'!BH7</f>
        <v>N</v>
      </c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</row>
    <row r="14" spans="1:40" x14ac:dyDescent="0.15">
      <c r="A14" s="270" t="str">
        <f>'Tariffs Jan2019'!F8</f>
        <v>Lumo Energy</v>
      </c>
      <c r="B14" s="40" t="str">
        <f>'Tariffs Jan2019'!D8</f>
        <v>Multinet Metro 1</v>
      </c>
      <c r="C14" s="40" t="str">
        <f>'Tariffs Jan2019'!G8</f>
        <v>Value</v>
      </c>
      <c r="D14" s="59">
        <f>365*'Tariffs Jan2019'!H8/100</f>
        <v>237.25</v>
      </c>
      <c r="E14" s="59">
        <f>IF($C$5*'Tariffs Jan2019'!AK8/'Tariffs Jan2019'!AI8&gt;='Tariffs Jan2019'!J8,( 'Tariffs Jan2019'!J8*'Tariffs Jan2019'!O8/100)* 'Tariffs Jan2019'!AI8,($C$5*'Tariffs Jan2019'!AK8/'Tariffs Jan2019'!AI8*'Tariffs Jan2019'!O8/100)* 'Tariffs Jan2019'!AI8)</f>
        <v>189</v>
      </c>
      <c r="F14" s="59">
        <f>IF($C$5*'Tariffs Jan2019'!AK8/'Tariffs Jan2019'!AI8&lt;'Tariffs Jan2019'!J8,0,IF($C$5*'Tariffs Jan2019'!AK8/'Tariffs Jan2019'!AI8&lt;='Tariffs Jan2019'!K8,($C$5*'Tariffs Jan2019'!AK8/'Tariffs Jan2019'!AI8-'Tariffs Jan2019'!J8)*('Tariffs Jan2019'!P8/100)*'Tariffs Jan2019'!AI8,('Tariffs Jan2019'!K8-'Tariffs Jan2019'!J8)*('Tariffs Jan2019'!P8/100)*'Tariffs Jan2019'!AI8))</f>
        <v>175.5</v>
      </c>
      <c r="G14" s="59">
        <f>IF($C$5*'Tariffs Jan2019'!AK8/'Tariffs Jan2019'!AI8&lt;'Tariffs Jan2019'!K8,0,IF($C$5*'Tariffs Jan2019'!AK8/'Tariffs Jan2019'!AI8&lt;='Tariffs Jan2019'!L8,($C$5*'Tariffs Jan2019'!AK8/'Tariffs Jan2019'!AI8-'Tariffs Jan2019'!K8)*('Tariffs Jan2019'!Q8/100)*'Tariffs Jan2019'!AI8,('Tariffs Jan2019'!L8-'Tariffs Jan2019'!K8)*('Tariffs Jan2019'!Q8/100)*'Tariffs Jan2019'!AI8))</f>
        <v>152.1</v>
      </c>
      <c r="H14" s="59">
        <f>IF($C$5*'Tariffs Jan2019'!AK8/'Tariffs Jan2019'!AI8&lt;'Tariffs Jan2019'!L8,0,IF($C$5*'Tariffs Jan2019'!AK8/'Tariffs Jan2019'!AI8&lt;='Tariffs Jan2019'!M8,($C$5*'Tariffs Jan2019'!AK8/'Tariffs Jan2019'!AI8-'Tariffs Jan2019'!L8)*('Tariffs Jan2019'!R8/100)*'Tariffs Jan2019'!AI8,('Tariffs Jan2019'!M8-'Tariffs Jan2019'!L8)*('Tariffs Jan2019'!R8/100)*'Tariffs Jan2019'!AI8))</f>
        <v>69.75</v>
      </c>
      <c r="I14" s="59">
        <f>IF(($C$5*'Tariffs Jan2019'!AK8/'Tariffs Jan2019'!AI8&gt;'Tariffs Jan2019'!M8),($C$5*'Tariffs Jan2019'!AK8/'Tariffs Jan2019'!AI8-'Tariffs Jan2019'!M8)*'Tariffs Jan2019'!S8/100*'Tariffs Jan2019'!AI8,0)</f>
        <v>0</v>
      </c>
      <c r="J14" s="59">
        <f>IF($C$5*'Tariffs Jan2019'!AL8/'Tariffs Jan2019'!AJ8&gt;='Tariffs Jan2019'!J8,('Tariffs Jan2019'!J8*'Tariffs Jan2019'!U8/100)* 'Tariffs Jan2019'!AJ8,($C$5*'Tariffs Jan2019'!AL8/'Tariffs Jan2019'!AJ8*'Tariffs Jan2019'!U8/100)* 'Tariffs Jan2019'!AJ8)</f>
        <v>180</v>
      </c>
      <c r="K14" s="59">
        <f>IF($C$5*'Tariffs Jan2019'!AL8/'Tariffs Jan2019'!AJ8&lt;'Tariffs Jan2019'!J8,0,IF($C$5*'Tariffs Jan2019'!AL8/'Tariffs Jan2019'!AJ8&lt;='Tariffs Jan2019'!K8,($C$5*'Tariffs Jan2019'!AL8/'Tariffs Jan2019'!AJ8-'Tariffs Jan2019'!J8)*('Tariffs Jan2019'!V8/100)*'Tariffs Jan2019'!AJ8,('Tariffs Jan2019'!K8-'Tariffs Jan2019'!J8)*('Tariffs Jan2019'!V8/100)*'Tariffs Jan2019'!AJ8))</f>
        <v>165.6</v>
      </c>
      <c r="L14" s="59">
        <f>IF($C$5*'Tariffs Jan2019'!AL8/'Tariffs Jan2019'!AJ8&lt;'Tariffs Jan2019'!K8,0,IF($C$5*'Tariffs Jan2019'!AL8/'Tariffs Jan2019'!AJ8&lt;='Tariffs Jan2019'!L8,($C$5*'Tariffs Jan2019'!AL8/'Tariffs Jan2019'!AJ8-'Tariffs Jan2019'!K8)*('Tariffs Jan2019'!W8/100)*'Tariffs Jan2019'!AJ8,('Tariffs Jan2019'!L8-'Tariffs Jan2019'!K8)*('Tariffs Jan2019'!W8/100)*'Tariffs Jan2019'!AJ8))</f>
        <v>145.80000000000001</v>
      </c>
      <c r="M14" s="59">
        <f>IF($C$5*'Tariffs Jan2019'!AL8/'Tariffs Jan2019'!AJ8&lt;'Tariffs Jan2019'!L8,0,IF($C$5*'Tariffs Jan2019'!AL8/'Tariffs Jan2019'!AJ8&lt;='Tariffs Jan2019'!M8,($C$5*'Tariffs Jan2019'!AL8/'Tariffs Jan2019'!AJ8-'Tariffs Jan2019'!L8)*('Tariffs Jan2019'!X8/100)*'Tariffs Jan2019'!AJ8,('Tariffs Jan2019'!M8-'Tariffs Jan2019'!L8)*('Tariffs Jan2019'!X8/100)*'Tariffs Jan2019'!AJ8))</f>
        <v>69.300000000000011</v>
      </c>
      <c r="N14" s="59">
        <f>IF(($C$5*'Tariffs Jan2019'!AL8/'Tariffs Jan2019'!AJ8&gt;'Tariffs Jan2019'!M8),($C$5*'Tariffs Jan2019'!AL8/'Tariffs Jan2019'!AJ8-'Tariffs Jan2019'!M8)*'Tariffs Jan2019'!Y8/100*'Tariffs Jan2019'!AJ8,0)</f>
        <v>0</v>
      </c>
      <c r="O14" s="271">
        <f t="shared" si="0"/>
        <v>1147.05</v>
      </c>
      <c r="P14" s="59">
        <f t="shared" si="1"/>
        <v>1384.3</v>
      </c>
      <c r="Q14" s="272">
        <f t="shared" si="2"/>
        <v>1522.73</v>
      </c>
      <c r="R14" s="40">
        <f>'Tariffs Jan2019'!AN8</f>
        <v>0</v>
      </c>
      <c r="S14" s="40">
        <f>'Tariffs Jan2019'!AO8</f>
        <v>0</v>
      </c>
      <c r="T14" s="40">
        <f>'Tariffs Jan2019'!AP8</f>
        <v>3</v>
      </c>
      <c r="U14" s="40">
        <f>'Tariffs Jan2019'!AQ8</f>
        <v>0</v>
      </c>
      <c r="V14" s="273">
        <f t="shared" si="4"/>
        <v>1384.3</v>
      </c>
      <c r="W14" s="273">
        <f>V14-(P14*T14/100)</f>
        <v>1342.771</v>
      </c>
      <c r="X14" s="272">
        <f t="shared" si="3"/>
        <v>1522.73</v>
      </c>
      <c r="Y14" s="272">
        <f t="shared" si="3"/>
        <v>1477.0481</v>
      </c>
      <c r="Z14" s="274">
        <f>'Tariffs Jan2019'!AZ8</f>
        <v>0</v>
      </c>
      <c r="AA14" s="274" t="str">
        <f>'Tariffs Jan2019'!BA8</f>
        <v>n</v>
      </c>
      <c r="AB14" s="275" t="str">
        <f>'Tariffs Jan2019'!BH8</f>
        <v>N</v>
      </c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</row>
    <row r="15" spans="1:40" x14ac:dyDescent="0.15">
      <c r="A15" s="270" t="str">
        <f>'Tariffs Jan2019'!F9</f>
        <v>Momentum Energy</v>
      </c>
      <c r="B15" s="40" t="str">
        <f>'Tariffs Jan2019'!D9</f>
        <v>Multinet Metro 1</v>
      </c>
      <c r="C15" s="40" t="str">
        <f>'Tariffs Jan2019'!G9</f>
        <v>Market offer</v>
      </c>
      <c r="D15" s="59">
        <f>365*'Tariffs Jan2019'!H9/100</f>
        <v>297.25599999999997</v>
      </c>
      <c r="E15" s="59">
        <f>IF($C$5*'Tariffs Jan2019'!AK9/'Tariffs Jan2019'!AI9&gt;='Tariffs Jan2019'!J9,( 'Tariffs Jan2019'!J9*'Tariffs Jan2019'!O9/100)* 'Tariffs Jan2019'!AI9,($C$5*'Tariffs Jan2019'!AK9/'Tariffs Jan2019'!AI9*'Tariffs Jan2019'!O9/100)* 'Tariffs Jan2019'!AI9)</f>
        <v>195.57</v>
      </c>
      <c r="F15" s="59">
        <f>IF($C$5*'Tariffs Jan2019'!AK9/'Tariffs Jan2019'!AI9&lt;'Tariffs Jan2019'!J9,0,IF($C$5*'Tariffs Jan2019'!AK9/'Tariffs Jan2019'!AI9&lt;='Tariffs Jan2019'!K9,($C$5*'Tariffs Jan2019'!AK9/'Tariffs Jan2019'!AI9-'Tariffs Jan2019'!J9)*('Tariffs Jan2019'!P9/100)*'Tariffs Jan2019'!AI9,('Tariffs Jan2019'!K9-'Tariffs Jan2019'!J9)*('Tariffs Jan2019'!P9/100)*'Tariffs Jan2019'!AI9))</f>
        <v>178.56</v>
      </c>
      <c r="G15" s="59">
        <f>IF($C$5*'Tariffs Jan2019'!AK9/'Tariffs Jan2019'!AI9&lt;'Tariffs Jan2019'!K9,0,IF($C$5*'Tariffs Jan2019'!AK9/'Tariffs Jan2019'!AI9&lt;='Tariffs Jan2019'!L9,($C$5*'Tariffs Jan2019'!AK9/'Tariffs Jan2019'!AI9-'Tariffs Jan2019'!K9)*('Tariffs Jan2019'!Q9/100)*'Tariffs Jan2019'!AI9,('Tariffs Jan2019'!L9-'Tariffs Jan2019'!K9)*('Tariffs Jan2019'!Q9/100)*'Tariffs Jan2019'!AI9))</f>
        <v>158.04</v>
      </c>
      <c r="H15" s="59">
        <f>IF($C$5*'Tariffs Jan2019'!AK9/'Tariffs Jan2019'!AI9&lt;'Tariffs Jan2019'!L9,0,IF($C$5*'Tariffs Jan2019'!AK9/'Tariffs Jan2019'!AI9&lt;='Tariffs Jan2019'!M9,($C$5*'Tariffs Jan2019'!AK9/'Tariffs Jan2019'!AI9-'Tariffs Jan2019'!L9)*('Tariffs Jan2019'!R9/100)*'Tariffs Jan2019'!AI9,('Tariffs Jan2019'!M9-'Tariffs Jan2019'!L9)*('Tariffs Jan2019'!R9/100)*'Tariffs Jan2019'!AI9))</f>
        <v>73.574999999999989</v>
      </c>
      <c r="I15" s="59">
        <f>IF(($C$5*'Tariffs Jan2019'!AK9/'Tariffs Jan2019'!AI9&gt;'Tariffs Jan2019'!M9),($C$5*'Tariffs Jan2019'!AK9/'Tariffs Jan2019'!AI9-'Tariffs Jan2019'!M9)*'Tariffs Jan2019'!S9/100*'Tariffs Jan2019'!AI9,0)</f>
        <v>0</v>
      </c>
      <c r="J15" s="59">
        <f>IF($C$5*'Tariffs Jan2019'!AL9/'Tariffs Jan2019'!AJ9&gt;='Tariffs Jan2019'!J9,('Tariffs Jan2019'!J9*'Tariffs Jan2019'!U9/100)* 'Tariffs Jan2019'!AJ9,($C$5*'Tariffs Jan2019'!AL9/'Tariffs Jan2019'!AJ9*'Tariffs Jan2019'!U9/100)* 'Tariffs Jan2019'!AJ9)</f>
        <v>180.53999999999996</v>
      </c>
      <c r="K15" s="59">
        <f>IF($C$5*'Tariffs Jan2019'!AL9/'Tariffs Jan2019'!AJ9&lt;'Tariffs Jan2019'!J9,0,IF($C$5*'Tariffs Jan2019'!AL9/'Tariffs Jan2019'!AJ9&lt;='Tariffs Jan2019'!K9,($C$5*'Tariffs Jan2019'!AL9/'Tariffs Jan2019'!AJ9-'Tariffs Jan2019'!J9)*('Tariffs Jan2019'!V9/100)*'Tariffs Jan2019'!AJ9,('Tariffs Jan2019'!K9-'Tariffs Jan2019'!J9)*('Tariffs Jan2019'!V9/100)*'Tariffs Jan2019'!AJ9))</f>
        <v>166.23000000000002</v>
      </c>
      <c r="L15" s="59">
        <f>IF($C$5*'Tariffs Jan2019'!AL9/'Tariffs Jan2019'!AJ9&lt;'Tariffs Jan2019'!K9,0,IF($C$5*'Tariffs Jan2019'!AL9/'Tariffs Jan2019'!AJ9&lt;='Tariffs Jan2019'!L9,($C$5*'Tariffs Jan2019'!AL9/'Tariffs Jan2019'!AJ9-'Tariffs Jan2019'!K9)*('Tariffs Jan2019'!W9/100)*'Tariffs Jan2019'!AJ9,('Tariffs Jan2019'!L9-'Tariffs Jan2019'!K9)*('Tariffs Jan2019'!W9/100)*'Tariffs Jan2019'!AJ9))</f>
        <v>148.76999999999998</v>
      </c>
      <c r="M15" s="59">
        <f>IF($C$5*'Tariffs Jan2019'!AL9/'Tariffs Jan2019'!AJ9&lt;'Tariffs Jan2019'!L9,0,IF($C$5*'Tariffs Jan2019'!AL9/'Tariffs Jan2019'!AJ9&lt;='Tariffs Jan2019'!M9,($C$5*'Tariffs Jan2019'!AL9/'Tariffs Jan2019'!AJ9-'Tariffs Jan2019'!L9)*('Tariffs Jan2019'!X9/100)*'Tariffs Jan2019'!AJ9,('Tariffs Jan2019'!M9-'Tariffs Jan2019'!L9)*('Tariffs Jan2019'!X9/100)*'Tariffs Jan2019'!AJ9))</f>
        <v>69.75</v>
      </c>
      <c r="N15" s="59">
        <f>IF(($C$5*'Tariffs Jan2019'!AL9/'Tariffs Jan2019'!AJ9&gt;'Tariffs Jan2019'!M9),($C$5*'Tariffs Jan2019'!AL9/'Tariffs Jan2019'!AJ9-'Tariffs Jan2019'!M9)*'Tariffs Jan2019'!Y9/100*'Tariffs Jan2019'!AJ9,0)</f>
        <v>0</v>
      </c>
      <c r="O15" s="271">
        <f t="shared" si="0"/>
        <v>1171.0349999999999</v>
      </c>
      <c r="P15" s="59">
        <f t="shared" si="1"/>
        <v>1468.2909999999997</v>
      </c>
      <c r="Q15" s="272">
        <f t="shared" si="2"/>
        <v>1615.1200999999999</v>
      </c>
      <c r="R15" s="40">
        <f>'Tariffs Jan2019'!AN9</f>
        <v>0</v>
      </c>
      <c r="S15" s="40">
        <f>'Tariffs Jan2019'!AO9</f>
        <v>0</v>
      </c>
      <c r="T15" s="40">
        <f>'Tariffs Jan2019'!AP9</f>
        <v>0</v>
      </c>
      <c r="U15" s="40">
        <f>'Tariffs Jan2019'!AQ9</f>
        <v>0</v>
      </c>
      <c r="V15" s="273">
        <f t="shared" si="4"/>
        <v>1468.2909999999997</v>
      </c>
      <c r="W15" s="273">
        <f>V15</f>
        <v>1468.2909999999997</v>
      </c>
      <c r="X15" s="272">
        <f t="shared" si="3"/>
        <v>1615.1200999999999</v>
      </c>
      <c r="Y15" s="272">
        <f t="shared" si="3"/>
        <v>1615.1200999999999</v>
      </c>
      <c r="Z15" s="274">
        <f>'Tariffs Jan2019'!AZ9</f>
        <v>0</v>
      </c>
      <c r="AA15" s="274" t="str">
        <f>'Tariffs Jan2019'!BA9</f>
        <v>n</v>
      </c>
      <c r="AB15" s="275" t="str">
        <f>'Tariffs Jan2019'!BH9</f>
        <v>Y</v>
      </c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</row>
    <row r="16" spans="1:40" x14ac:dyDescent="0.15">
      <c r="A16" s="270" t="str">
        <f>'Tariffs Jan2019'!F10</f>
        <v>Origin Energy</v>
      </c>
      <c r="B16" s="40" t="str">
        <f>'Tariffs Jan2019'!D10</f>
        <v>Multinet Metro 1</v>
      </c>
      <c r="C16" s="40" t="str">
        <f>'Tariffs Jan2019'!G10</f>
        <v>Saver</v>
      </c>
      <c r="D16" s="59">
        <f>365*'Tariffs Jan2019'!H10/100</f>
        <v>255.5</v>
      </c>
      <c r="E16" s="59">
        <f>IF($C$5*'Tariffs Jan2019'!AK10/'Tariffs Jan2019'!AI10&gt;='Tariffs Jan2019'!J10,( 'Tariffs Jan2019'!J10*'Tariffs Jan2019'!O10/100)* 'Tariffs Jan2019'!AI10,($C$5*'Tariffs Jan2019'!AK10/'Tariffs Jan2019'!AI10*'Tariffs Jan2019'!O10/100)* 'Tariffs Jan2019'!AI10)</f>
        <v>432</v>
      </c>
      <c r="F16" s="59">
        <f>IF($C$5*'Tariffs Jan2019'!AK10/'Tariffs Jan2019'!AI10&lt;'Tariffs Jan2019'!J10,0,IF($C$5*'Tariffs Jan2019'!AK10/'Tariffs Jan2019'!AI10&lt;='Tariffs Jan2019'!K10,($C$5*'Tariffs Jan2019'!AK10/'Tariffs Jan2019'!AI10-'Tariffs Jan2019'!J10)*('Tariffs Jan2019'!P10/100)*'Tariffs Jan2019'!AI10,('Tariffs Jan2019'!K10-'Tariffs Jan2019'!J10)*('Tariffs Jan2019'!P10/100)*'Tariffs Jan2019'!AI10))</f>
        <v>175.5</v>
      </c>
      <c r="G16" s="59">
        <f>IF($C$5*'Tariffs Jan2019'!AK10/'Tariffs Jan2019'!AI10&lt;'Tariffs Jan2019'!K10,0,IF($C$5*'Tariffs Jan2019'!AK10/'Tariffs Jan2019'!AI10&lt;='Tariffs Jan2019'!L10,($C$5*'Tariffs Jan2019'!AK10/'Tariffs Jan2019'!AI10-'Tariffs Jan2019'!K10)*('Tariffs Jan2019'!Q10/100)*'Tariffs Jan2019'!AI10,('Tariffs Jan2019'!L10-'Tariffs Jan2019'!K10)*('Tariffs Jan2019'!Q10/100)*'Tariffs Jan2019'!AI10))</f>
        <v>0</v>
      </c>
      <c r="H16" s="59">
        <f>IF($C$5*'Tariffs Jan2019'!AK10/'Tariffs Jan2019'!AI10&lt;'Tariffs Jan2019'!L10,0,IF($C$5*'Tariffs Jan2019'!AK10/'Tariffs Jan2019'!AI10&lt;='Tariffs Jan2019'!M10,($C$5*'Tariffs Jan2019'!AK10/'Tariffs Jan2019'!AI10-'Tariffs Jan2019'!L10)*('Tariffs Jan2019'!R10/100)*'Tariffs Jan2019'!AI10,('Tariffs Jan2019'!M10-'Tariffs Jan2019'!L10)*('Tariffs Jan2019'!R10/100)*'Tariffs Jan2019'!AI10))</f>
        <v>0</v>
      </c>
      <c r="I16" s="59">
        <f>IF(($C$5*'Tariffs Jan2019'!AK10/'Tariffs Jan2019'!AI10&gt;'Tariffs Jan2019'!M10),($C$5*'Tariffs Jan2019'!AK10/'Tariffs Jan2019'!AI10-'Tariffs Jan2019'!M10)*'Tariffs Jan2019'!S10/100*'Tariffs Jan2019'!AI10,0)</f>
        <v>65.25</v>
      </c>
      <c r="J16" s="59">
        <f>IF($C$5*'Tariffs Jan2019'!AL10/'Tariffs Jan2019'!AJ10&gt;='Tariffs Jan2019'!J10,('Tariffs Jan2019'!J10*'Tariffs Jan2019'!U10/100)* 'Tariffs Jan2019'!AJ10,($C$5*'Tariffs Jan2019'!AL10/'Tariffs Jan2019'!AJ10*'Tariffs Jan2019'!U10/100)* 'Tariffs Jan2019'!AJ10)</f>
        <v>396.00000000000011</v>
      </c>
      <c r="K16" s="59">
        <f>IF($C$5*'Tariffs Jan2019'!AL10/'Tariffs Jan2019'!AJ10&lt;'Tariffs Jan2019'!J10,0,IF($C$5*'Tariffs Jan2019'!AL10/'Tariffs Jan2019'!AJ10&lt;='Tariffs Jan2019'!K10,($C$5*'Tariffs Jan2019'!AL10/'Tariffs Jan2019'!AJ10-'Tariffs Jan2019'!J10)*('Tariffs Jan2019'!V10/100)*'Tariffs Jan2019'!AJ10,('Tariffs Jan2019'!K10-'Tariffs Jan2019'!J10)*('Tariffs Jan2019'!V10/100)*'Tariffs Jan2019'!AJ10))</f>
        <v>157.50000000000003</v>
      </c>
      <c r="L16" s="59">
        <f>IF($C$5*'Tariffs Jan2019'!AL10/'Tariffs Jan2019'!AJ10&lt;'Tariffs Jan2019'!K10,0,IF($C$5*'Tariffs Jan2019'!AL10/'Tariffs Jan2019'!AJ10&lt;='Tariffs Jan2019'!L10,($C$5*'Tariffs Jan2019'!AL10/'Tariffs Jan2019'!AJ10-'Tariffs Jan2019'!K10)*('Tariffs Jan2019'!W10/100)*'Tariffs Jan2019'!AJ10,('Tariffs Jan2019'!L10-'Tariffs Jan2019'!K10)*('Tariffs Jan2019'!W10/100)*'Tariffs Jan2019'!AJ10))</f>
        <v>0</v>
      </c>
      <c r="M16" s="59">
        <f>IF($C$5*'Tariffs Jan2019'!AL10/'Tariffs Jan2019'!AJ10&lt;'Tariffs Jan2019'!L10,0,IF($C$5*'Tariffs Jan2019'!AL10/'Tariffs Jan2019'!AJ10&lt;='Tariffs Jan2019'!M10,($C$5*'Tariffs Jan2019'!AL10/'Tariffs Jan2019'!AJ10-'Tariffs Jan2019'!L10)*('Tariffs Jan2019'!X10/100)*'Tariffs Jan2019'!AJ10,('Tariffs Jan2019'!M10-'Tariffs Jan2019'!L10)*('Tariffs Jan2019'!X10/100)*'Tariffs Jan2019'!AJ10))</f>
        <v>0</v>
      </c>
      <c r="N16" s="59">
        <f>IF(($C$5*'Tariffs Jan2019'!AL10/'Tariffs Jan2019'!AJ10&gt;'Tariffs Jan2019'!M10),($C$5*'Tariffs Jan2019'!AL10/'Tariffs Jan2019'!AJ10-'Tariffs Jan2019'!M10)*'Tariffs Jan2019'!Y10/100*'Tariffs Jan2019'!AJ10,0)</f>
        <v>60.750000000000014</v>
      </c>
      <c r="O16" s="271">
        <f t="shared" si="0"/>
        <v>1287</v>
      </c>
      <c r="P16" s="59">
        <f t="shared" si="1"/>
        <v>1542.5</v>
      </c>
      <c r="Q16" s="272">
        <f t="shared" si="2"/>
        <v>1696.7500000000002</v>
      </c>
      <c r="R16" s="40">
        <f>'Tariffs Jan2019'!AN10</f>
        <v>0</v>
      </c>
      <c r="S16" s="40">
        <f>'Tariffs Jan2019'!AO10</f>
        <v>0</v>
      </c>
      <c r="T16" s="40">
        <f>'Tariffs Jan2019'!AP10</f>
        <v>0</v>
      </c>
      <c r="U16" s="40">
        <f>'Tariffs Jan2019'!AQ10</f>
        <v>13</v>
      </c>
      <c r="V16" s="273">
        <f t="shared" si="4"/>
        <v>1542.5</v>
      </c>
      <c r="W16" s="273">
        <f>V16-(O16*U16/100)</f>
        <v>1375.19</v>
      </c>
      <c r="X16" s="272">
        <f t="shared" si="3"/>
        <v>1696.7500000000002</v>
      </c>
      <c r="Y16" s="272">
        <f t="shared" si="3"/>
        <v>1512.7090000000003</v>
      </c>
      <c r="Z16" s="274">
        <f>'Tariffs Jan2019'!AZ10</f>
        <v>0</v>
      </c>
      <c r="AA16" s="274" t="str">
        <f>'Tariffs Jan2019'!BA10</f>
        <v>n</v>
      </c>
      <c r="AB16" s="275" t="str">
        <f>'Tariffs Jan2019'!BH10</f>
        <v>N</v>
      </c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</row>
    <row r="17" spans="1:40" x14ac:dyDescent="0.15">
      <c r="A17" s="270" t="str">
        <f>'Tariffs Jan2019'!F11</f>
        <v>Red Energy</v>
      </c>
      <c r="B17" s="40" t="str">
        <f>'Tariffs Jan2019'!D11</f>
        <v>Multinet Metro 1</v>
      </c>
      <c r="C17" s="40" t="str">
        <f>'Tariffs Jan2019'!G11</f>
        <v>Easy Saver</v>
      </c>
      <c r="D17" s="59">
        <f>365*'Tariffs Jan2019'!H11/100</f>
        <v>255.5</v>
      </c>
      <c r="E17" s="59">
        <f>IF($C$5*'Tariffs Jan2019'!AK11/'Tariffs Jan2019'!AI11&gt;='Tariffs Jan2019'!J11,( 'Tariffs Jan2019'!J11*'Tariffs Jan2019'!O11/100)* 'Tariffs Jan2019'!AI11,($C$5*'Tariffs Jan2019'!AK11/'Tariffs Jan2019'!AI11*'Tariffs Jan2019'!O11/100)* 'Tariffs Jan2019'!AI11)</f>
        <v>368.99999999999994</v>
      </c>
      <c r="F17" s="59">
        <f>IF($C$5*'Tariffs Jan2019'!AK11/'Tariffs Jan2019'!AI11&lt;'Tariffs Jan2019'!J11,0,IF($C$5*'Tariffs Jan2019'!AK11/'Tariffs Jan2019'!AI11&lt;='Tariffs Jan2019'!K11,($C$5*'Tariffs Jan2019'!AK11/'Tariffs Jan2019'!AI11-'Tariffs Jan2019'!J11)*('Tariffs Jan2019'!P11/100)*'Tariffs Jan2019'!AI11,('Tariffs Jan2019'!K11-'Tariffs Jan2019'!J11)*('Tariffs Jan2019'!P11/100)*'Tariffs Jan2019'!AI11))</f>
        <v>162.00000000000003</v>
      </c>
      <c r="G17" s="59">
        <f>IF($C$5*'Tariffs Jan2019'!AK11/'Tariffs Jan2019'!AI11&lt;'Tariffs Jan2019'!K11,0,IF($C$5*'Tariffs Jan2019'!AK11/'Tariffs Jan2019'!AI11&lt;='Tariffs Jan2019'!L11,($C$5*'Tariffs Jan2019'!AK11/'Tariffs Jan2019'!AI11-'Tariffs Jan2019'!K11)*('Tariffs Jan2019'!S11/100)*'Tariffs Jan2019'!AI11,('Tariffs Jan2019'!L11-'Tariffs Jan2019'!K11)*('Tariffs Jan2019'!S11/100)*'Tariffs Jan2019'!AI11))</f>
        <v>0</v>
      </c>
      <c r="H17" s="59">
        <f>IF($C$5*'Tariffs Jan2019'!AK11/'Tariffs Jan2019'!AI11&lt;'Tariffs Jan2019'!L11,0,IF($C$5*'Tariffs Jan2019'!AK11/'Tariffs Jan2019'!AI11&lt;='Tariffs Jan2019'!M11,($C$5*'Tariffs Jan2019'!AK11/'Tariffs Jan2019'!AI11-'Tariffs Jan2019'!L11)*('Tariffs Jan2019'!R11/100)*'Tariffs Jan2019'!AI11,('Tariffs Jan2019'!M11-'Tariffs Jan2019'!L11)*('Tariffs Jan2019'!R11/100)*'Tariffs Jan2019'!AI11))</f>
        <v>0</v>
      </c>
      <c r="I17" s="59">
        <f>IF(($C$5*'Tariffs Jan2019'!AK11/'Tariffs Jan2019'!AI11&gt;'Tariffs Jan2019'!M11),($C$5*'Tariffs Jan2019'!AK11/'Tariffs Jan2019'!AI11-'Tariffs Jan2019'!M11)*'Tariffs Jan2019'!S11/100*'Tariffs Jan2019'!AI11,0)</f>
        <v>67.5</v>
      </c>
      <c r="J17" s="59">
        <f>IF($C$5*'Tariffs Jan2019'!AL11/'Tariffs Jan2019'!AJ11&gt;='Tariffs Jan2019'!J11,('Tariffs Jan2019'!J11*'Tariffs Jan2019'!U11/100)* 'Tariffs Jan2019'!AJ11,($C$5*'Tariffs Jan2019'!AL11/'Tariffs Jan2019'!AJ11*'Tariffs Jan2019'!U11/100)* 'Tariffs Jan2019'!AJ11)</f>
        <v>351</v>
      </c>
      <c r="K17" s="59">
        <f>IF($C$5*'Tariffs Jan2019'!AL11/'Tariffs Jan2019'!AJ11&lt;'Tariffs Jan2019'!J11,0,IF($C$5*'Tariffs Jan2019'!AL11/'Tariffs Jan2019'!AJ11&lt;='Tariffs Jan2019'!K11,($C$5*'Tariffs Jan2019'!AL11/'Tariffs Jan2019'!AJ11-'Tariffs Jan2019'!J11)*('Tariffs Jan2019'!V11/100)*'Tariffs Jan2019'!AJ11,('Tariffs Jan2019'!K11-'Tariffs Jan2019'!J11)*('Tariffs Jan2019'!V11/100)*'Tariffs Jan2019'!AJ11))</f>
        <v>139.5</v>
      </c>
      <c r="L17" s="59">
        <f>IF($C$5*'Tariffs Jan2019'!AL11/'Tariffs Jan2019'!AJ11&lt;'Tariffs Jan2019'!K11,0,IF($C$5*'Tariffs Jan2019'!AL11/'Tariffs Jan2019'!AJ11&lt;='Tariffs Jan2019'!L11,($C$5*'Tariffs Jan2019'!AL11/'Tariffs Jan2019'!AJ11-'Tariffs Jan2019'!K11)*('Tariffs Jan2019'!Y11/100)*'Tariffs Jan2019'!AJ11,('Tariffs Jan2019'!L11-'Tariffs Jan2019'!K11)*('Tariffs Jan2019'!Y11/100)*'Tariffs Jan2019'!AJ11))</f>
        <v>0</v>
      </c>
      <c r="M17" s="59">
        <f>IF($C$5*'Tariffs Jan2019'!AL11/'Tariffs Jan2019'!AJ11&lt;'Tariffs Jan2019'!L11,0,IF($C$5*'Tariffs Jan2019'!AL11/'Tariffs Jan2019'!AJ11&lt;='Tariffs Jan2019'!M11,($C$5*'Tariffs Jan2019'!AL11/'Tariffs Jan2019'!AJ11-'Tariffs Jan2019'!L11)*('Tariffs Jan2019'!X11/100)*'Tariffs Jan2019'!AJ11,('Tariffs Jan2019'!M11-'Tariffs Jan2019'!L11)*('Tariffs Jan2019'!X11/100)*'Tariffs Jan2019'!AJ11))</f>
        <v>0</v>
      </c>
      <c r="N17" s="59">
        <f>IF(($C$5*'Tariffs Jan2019'!AL11/'Tariffs Jan2019'!AJ11&gt;'Tariffs Jan2019'!M11),($C$5*'Tariffs Jan2019'!AL11/'Tariffs Jan2019'!AJ11-'Tariffs Jan2019'!M11)*'Tariffs Jan2019'!Y11/100*'Tariffs Jan2019'!AJ11,0)</f>
        <v>63</v>
      </c>
      <c r="O17" s="271">
        <f t="shared" si="0"/>
        <v>1152</v>
      </c>
      <c r="P17" s="59">
        <f t="shared" si="1"/>
        <v>1407.5</v>
      </c>
      <c r="Q17" s="272">
        <f t="shared" si="2"/>
        <v>1548.2500000000002</v>
      </c>
      <c r="R17" s="40">
        <f>'Tariffs Jan2019'!AN11</f>
        <v>0</v>
      </c>
      <c r="S17" s="40">
        <f>'Tariffs Jan2019'!AO11</f>
        <v>0</v>
      </c>
      <c r="T17" s="40">
        <f>'Tariffs Jan2019'!AP11</f>
        <v>10</v>
      </c>
      <c r="U17" s="40">
        <f>'Tariffs Jan2019'!AQ11</f>
        <v>0</v>
      </c>
      <c r="V17" s="273">
        <f t="shared" si="4"/>
        <v>1407.5</v>
      </c>
      <c r="W17" s="273">
        <f>V17-(P17*T17/100)</f>
        <v>1266.75</v>
      </c>
      <c r="X17" s="272">
        <f t="shared" si="3"/>
        <v>1548.2500000000002</v>
      </c>
      <c r="Y17" s="272">
        <f t="shared" si="3"/>
        <v>1393.4250000000002</v>
      </c>
      <c r="Z17" s="274">
        <f>'Tariffs Jan2019'!AZ11</f>
        <v>0</v>
      </c>
      <c r="AA17" s="274" t="str">
        <f>'Tariffs Jan2019'!BA11</f>
        <v>n</v>
      </c>
      <c r="AB17" s="275" t="str">
        <f>'Tariffs Jan2019'!BH11</f>
        <v>N</v>
      </c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</row>
    <row r="18" spans="1:40" x14ac:dyDescent="0.15">
      <c r="A18" s="270" t="str">
        <f>'Tariffs Jan2019'!F12</f>
        <v>Simply Energy</v>
      </c>
      <c r="B18" s="40" t="str">
        <f>'Tariffs Jan2019'!D12</f>
        <v>Multinet Metro 1</v>
      </c>
      <c r="C18" s="40" t="str">
        <f>'Tariffs Jan2019'!G12</f>
        <v>Plus</v>
      </c>
      <c r="D18" s="59">
        <f>365*'Tariffs Jan2019'!H12/100</f>
        <v>255.86499999999995</v>
      </c>
      <c r="E18" s="59">
        <f>IF($C$5*'Tariffs Jan2019'!AK12/'Tariffs Jan2019'!AI12&gt;='Tariffs Jan2019'!J12,( 'Tariffs Jan2019'!J12*'Tariffs Jan2019'!O12/100)* 'Tariffs Jan2019'!AI12,($C$5*'Tariffs Jan2019'!AK12/'Tariffs Jan2019'!AI12*'Tariffs Jan2019'!O12/100)* 'Tariffs Jan2019'!AI12)</f>
        <v>265.5</v>
      </c>
      <c r="F18" s="59">
        <f>IF($C$5*'Tariffs Jan2019'!AK12/'Tariffs Jan2019'!AI12&lt;'Tariffs Jan2019'!J12,0,IF($C$5*'Tariffs Jan2019'!AK12/'Tariffs Jan2019'!AI12&lt;='Tariffs Jan2019'!K12,($C$5*'Tariffs Jan2019'!AK12/'Tariffs Jan2019'!AI12-'Tariffs Jan2019'!J12)*('Tariffs Jan2019'!P12/100)*'Tariffs Jan2019'!AI12,('Tariffs Jan2019'!K12-'Tariffs Jan2019'!J12)*('Tariffs Jan2019'!P12/100)*'Tariffs Jan2019'!AI12))</f>
        <v>236.70000000000002</v>
      </c>
      <c r="G18" s="59">
        <f>IF($C$5*'Tariffs Jan2019'!AK12/'Tariffs Jan2019'!AI12&lt;'Tariffs Jan2019'!K12,0,IF($C$5*'Tariffs Jan2019'!AK12/'Tariffs Jan2019'!AI12&lt;='Tariffs Jan2019'!L12,($C$5*'Tariffs Jan2019'!AK12/'Tariffs Jan2019'!AI12-'Tariffs Jan2019'!K12)*('Tariffs Jan2019'!Q12/100)*'Tariffs Jan2019'!AI12,('Tariffs Jan2019'!L12-'Tariffs Jan2019'!K12)*('Tariffs Jan2019'!Q12/100)*'Tariffs Jan2019'!AI12))</f>
        <v>202.5</v>
      </c>
      <c r="H18" s="59">
        <f>IF($C$5*'Tariffs Jan2019'!AK12/'Tariffs Jan2019'!AI12&lt;'Tariffs Jan2019'!L12,0,IF($C$5*'Tariffs Jan2019'!AK12/'Tariffs Jan2019'!AI12&lt;='Tariffs Jan2019'!M12,($C$5*'Tariffs Jan2019'!AK12/'Tariffs Jan2019'!AI12-'Tariffs Jan2019'!L12)*('Tariffs Jan2019'!R12/100)*'Tariffs Jan2019'!AI12,('Tariffs Jan2019'!M12-'Tariffs Jan2019'!L12)*('Tariffs Jan2019'!R12/100)*'Tariffs Jan2019'!AI12))</f>
        <v>91.800000000000011</v>
      </c>
      <c r="I18" s="59">
        <f>IF(($C$5*'Tariffs Jan2019'!AK12/'Tariffs Jan2019'!AI12&gt;'Tariffs Jan2019'!M12),($C$5*'Tariffs Jan2019'!AK12/'Tariffs Jan2019'!AI12-'Tariffs Jan2019'!M12)*'Tariffs Jan2019'!S12/100*'Tariffs Jan2019'!AI12,0)</f>
        <v>0</v>
      </c>
      <c r="J18" s="59">
        <f>IF($C$5*'Tariffs Jan2019'!AL12/'Tariffs Jan2019'!AJ12&gt;='Tariffs Jan2019'!J12,('Tariffs Jan2019'!J12*'Tariffs Jan2019'!U12/100)* 'Tariffs Jan2019'!AJ12,($C$5*'Tariffs Jan2019'!AL12/'Tariffs Jan2019'!AJ12*'Tariffs Jan2019'!U12/100)* 'Tariffs Jan2019'!AJ12)</f>
        <v>250.20000000000002</v>
      </c>
      <c r="K18" s="59">
        <f>IF($C$5*'Tariffs Jan2019'!AL12/'Tariffs Jan2019'!AJ12&lt;'Tariffs Jan2019'!J12,0,IF($C$5*'Tariffs Jan2019'!AL12/'Tariffs Jan2019'!AJ12&lt;='Tariffs Jan2019'!K12,($C$5*'Tariffs Jan2019'!AL12/'Tariffs Jan2019'!AJ12-'Tariffs Jan2019'!J12)*('Tariffs Jan2019'!V12/100)*'Tariffs Jan2019'!AJ12,('Tariffs Jan2019'!K12-'Tariffs Jan2019'!J12)*('Tariffs Jan2019'!V12/100)*'Tariffs Jan2019'!AJ12))</f>
        <v>225.89999999999998</v>
      </c>
      <c r="L18" s="59">
        <f>IF($C$5*'Tariffs Jan2019'!AL12/'Tariffs Jan2019'!AJ12&lt;'Tariffs Jan2019'!K12,0,IF($C$5*'Tariffs Jan2019'!AL12/'Tariffs Jan2019'!AJ12&lt;='Tariffs Jan2019'!L12,($C$5*'Tariffs Jan2019'!AL12/'Tariffs Jan2019'!AJ12-'Tariffs Jan2019'!K12)*('Tariffs Jan2019'!W12/100)*'Tariffs Jan2019'!AJ12,('Tariffs Jan2019'!L12-'Tariffs Jan2019'!K12)*('Tariffs Jan2019'!W12/100)*'Tariffs Jan2019'!AJ12))</f>
        <v>197.10000000000002</v>
      </c>
      <c r="M18" s="59">
        <f>IF($C$5*'Tariffs Jan2019'!AL12/'Tariffs Jan2019'!AJ12&lt;'Tariffs Jan2019'!L12,0,IF($C$5*'Tariffs Jan2019'!AL12/'Tariffs Jan2019'!AJ12&lt;='Tariffs Jan2019'!M12,($C$5*'Tariffs Jan2019'!AL12/'Tariffs Jan2019'!AJ12-'Tariffs Jan2019'!L12)*('Tariffs Jan2019'!X12/100)*'Tariffs Jan2019'!AJ12,('Tariffs Jan2019'!M12-'Tariffs Jan2019'!L12)*('Tariffs Jan2019'!X12/100)*'Tariffs Jan2019'!AJ12))</f>
        <v>90.449999999999989</v>
      </c>
      <c r="N18" s="59">
        <f>IF(($C$5*'Tariffs Jan2019'!AL12/'Tariffs Jan2019'!AJ12&gt;'Tariffs Jan2019'!M12),($C$5*'Tariffs Jan2019'!AL12/'Tariffs Jan2019'!AJ12-'Tariffs Jan2019'!M12)*'Tariffs Jan2019'!Y12/100*'Tariffs Jan2019'!AJ12,0)</f>
        <v>0</v>
      </c>
      <c r="O18" s="271">
        <f t="shared" si="0"/>
        <v>1560.1499999999999</v>
      </c>
      <c r="P18" s="59">
        <f t="shared" si="1"/>
        <v>1816.0149999999999</v>
      </c>
      <c r="Q18" s="272">
        <f t="shared" si="2"/>
        <v>1997.6165000000001</v>
      </c>
      <c r="R18" s="40">
        <f>'Tariffs Jan2019'!AN12</f>
        <v>0</v>
      </c>
      <c r="S18" s="40">
        <f>'Tariffs Jan2019'!AO12</f>
        <v>0</v>
      </c>
      <c r="T18" s="40">
        <f>'Tariffs Jan2019'!AP12</f>
        <v>0</v>
      </c>
      <c r="U18" s="40">
        <f>'Tariffs Jan2019'!AQ12</f>
        <v>26</v>
      </c>
      <c r="V18" s="273">
        <f t="shared" si="4"/>
        <v>1816.0149999999999</v>
      </c>
      <c r="W18" s="273">
        <f>V18-(O18*U18/100)</f>
        <v>1410.376</v>
      </c>
      <c r="X18" s="272">
        <f t="shared" si="3"/>
        <v>1997.6165000000001</v>
      </c>
      <c r="Y18" s="272">
        <f t="shared" si="3"/>
        <v>1551.4136000000001</v>
      </c>
      <c r="Z18" s="274">
        <f>'Tariffs Jan2019'!AZ12</f>
        <v>0</v>
      </c>
      <c r="AA18" s="274" t="str">
        <f>'Tariffs Jan2019'!BA12</f>
        <v>n</v>
      </c>
      <c r="AB18" s="275" t="str">
        <f>'Tariffs Jan2019'!BH12</f>
        <v>Y</v>
      </c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</row>
    <row r="19" spans="1:40" x14ac:dyDescent="0.15">
      <c r="A19" s="40" t="str">
        <f>'Tariffs Jan2019'!F13</f>
        <v>Sumo Power</v>
      </c>
      <c r="B19" s="40" t="str">
        <f>'Tariffs Jan2019'!D13</f>
        <v>Multinet Metro 1</v>
      </c>
      <c r="C19" s="40" t="str">
        <f>'Tariffs Jan2019'!G13</f>
        <v>Pay on time (max discount)</v>
      </c>
      <c r="D19" s="59">
        <f>365*'Tariffs Jan2019'!H13/100</f>
        <v>266.98655000000002</v>
      </c>
      <c r="E19" s="59">
        <f>IF($C$5*'Tariffs Jan2019'!AK13/'Tariffs Jan2019'!AI13&gt;='Tariffs Jan2019'!J13,( 'Tariffs Jan2019'!J13*'Tariffs Jan2019'!O13/100)* 'Tariffs Jan2019'!AI13,($C$5*'Tariffs Jan2019'!AK13/'Tariffs Jan2019'!AI13*'Tariffs Jan2019'!O13/100)* 'Tariffs Jan2019'!AI13)</f>
        <v>256.14</v>
      </c>
      <c r="F19" s="59">
        <f>IF($C$5*'Tariffs Jan2019'!AK13/'Tariffs Jan2019'!AI13&lt;'Tariffs Jan2019'!J13,0,IF($C$5*'Tariffs Jan2019'!AK13/'Tariffs Jan2019'!AI13&lt;='Tariffs Jan2019'!K13,($C$5*'Tariffs Jan2019'!AK13/'Tariffs Jan2019'!AI13-'Tariffs Jan2019'!J13)*('Tariffs Jan2019'!P13/100)*'Tariffs Jan2019'!AI13,('Tariffs Jan2019'!K13-'Tariffs Jan2019'!J13)*('Tariffs Jan2019'!P13/100)*'Tariffs Jan2019'!AI13))</f>
        <v>222.48</v>
      </c>
      <c r="G19" s="59">
        <f>IF($C$5*'Tariffs Jan2019'!AK13/'Tariffs Jan2019'!AI13&lt;'Tariffs Jan2019'!K13,0,IF($C$5*'Tariffs Jan2019'!AK13/'Tariffs Jan2019'!AI13&lt;='Tariffs Jan2019'!L13,($C$5*'Tariffs Jan2019'!AK13/'Tariffs Jan2019'!AI13-'Tariffs Jan2019'!K13)*('Tariffs Jan2019'!S13/100)*'Tariffs Jan2019'!AI13,('Tariffs Jan2019'!L13-'Tariffs Jan2019'!K13)*('Tariffs Jan2019'!S13/100)*'Tariffs Jan2019'!AI13))</f>
        <v>149.39999999999998</v>
      </c>
      <c r="H19" s="59">
        <f>IF($C$5*'Tariffs Jan2019'!AK13/'Tariffs Jan2019'!AI13&lt;'Tariffs Jan2019'!L13,0,IF($C$5*'Tariffs Jan2019'!AK13/'Tariffs Jan2019'!AI13&lt;='Tariffs Jan2019'!M13,($C$5*'Tariffs Jan2019'!AK13/'Tariffs Jan2019'!AI13-'Tariffs Jan2019'!L13)*('Tariffs Jan2019'!R13/100)*'Tariffs Jan2019'!AI13,('Tariffs Jan2019'!M13-'Tariffs Jan2019'!L13)*('Tariffs Jan2019'!R13/100)*'Tariffs Jan2019'!AI13))</f>
        <v>80.19</v>
      </c>
      <c r="I19" s="59">
        <f>IF(($C$5*'Tariffs Jan2019'!AK13/'Tariffs Jan2019'!AI13&gt;'Tariffs Jan2019'!M13),($C$5*'Tariffs Jan2019'!AK13/'Tariffs Jan2019'!AI13-'Tariffs Jan2019'!M13)*'Tariffs Jan2019'!S13/100*'Tariffs Jan2019'!AI13,0)</f>
        <v>0</v>
      </c>
      <c r="J19" s="59">
        <f>IF($C$5*'Tariffs Jan2019'!AL13/'Tariffs Jan2019'!AJ13&gt;='Tariffs Jan2019'!J13,('Tariffs Jan2019'!J13*'Tariffs Jan2019'!U13/100)* 'Tariffs Jan2019'!AJ13,($C$5*'Tariffs Jan2019'!AL13/'Tariffs Jan2019'!AJ13*'Tariffs Jan2019'!U13/100)* 'Tariffs Jan2019'!AJ13)</f>
        <v>229.68</v>
      </c>
      <c r="K19" s="59">
        <f>IF($C$5*'Tariffs Jan2019'!AL13/'Tariffs Jan2019'!AJ13&lt;'Tariffs Jan2019'!J13,0,IF($C$5*'Tariffs Jan2019'!AL13/'Tariffs Jan2019'!AJ13&lt;='Tariffs Jan2019'!K13,($C$5*'Tariffs Jan2019'!AL13/'Tariffs Jan2019'!AJ13-'Tariffs Jan2019'!J13)*('Tariffs Jan2019'!V13/100)*'Tariffs Jan2019'!AJ13,('Tariffs Jan2019'!K13-'Tariffs Jan2019'!J13)*('Tariffs Jan2019'!V13/100)*'Tariffs Jan2019'!AJ13))</f>
        <v>201.42000000000002</v>
      </c>
      <c r="L19" s="59">
        <f>IF($C$5*'Tariffs Jan2019'!AL13/'Tariffs Jan2019'!AJ13&lt;'Tariffs Jan2019'!K13,0,IF($C$5*'Tariffs Jan2019'!AL13/'Tariffs Jan2019'!AJ13&lt;='Tariffs Jan2019'!L13,($C$5*'Tariffs Jan2019'!AL13/'Tariffs Jan2019'!AJ13-'Tariffs Jan2019'!K13)*('Tariffs Jan2019'!Y13/100)*'Tariffs Jan2019'!AJ13,('Tariffs Jan2019'!L13-'Tariffs Jan2019'!K13)*('Tariffs Jan2019'!Y13/100)*'Tariffs Jan2019'!AJ13))</f>
        <v>137.52000000000001</v>
      </c>
      <c r="M19" s="59">
        <f>IF($C$5*'Tariffs Jan2019'!AL13/'Tariffs Jan2019'!AJ13&lt;'Tariffs Jan2019'!L13,0,IF($C$5*'Tariffs Jan2019'!AL13/'Tariffs Jan2019'!AJ13&lt;='Tariffs Jan2019'!M13,($C$5*'Tariffs Jan2019'!AL13/'Tariffs Jan2019'!AJ13-'Tariffs Jan2019'!L13)*('Tariffs Jan2019'!X13/100)*'Tariffs Jan2019'!AJ13,('Tariffs Jan2019'!M13-'Tariffs Jan2019'!L13)*('Tariffs Jan2019'!X13/100)*'Tariffs Jan2019'!AJ13))</f>
        <v>74.699999999999989</v>
      </c>
      <c r="N19" s="59">
        <f>IF(($C$5*'Tariffs Jan2019'!AL13/'Tariffs Jan2019'!AJ13&gt;'Tariffs Jan2019'!M13),($C$5*'Tariffs Jan2019'!AL13/'Tariffs Jan2019'!AJ13-'Tariffs Jan2019'!M13)*'Tariffs Jan2019'!Y13/100*'Tariffs Jan2019'!AJ13,0)</f>
        <v>0</v>
      </c>
      <c r="O19" s="271">
        <f t="shared" si="0"/>
        <v>1351.5300000000002</v>
      </c>
      <c r="P19" s="59">
        <f t="shared" si="1"/>
        <v>1618.5165500000003</v>
      </c>
      <c r="Q19" s="272">
        <f t="shared" si="2"/>
        <v>1780.3682050000004</v>
      </c>
      <c r="R19" s="40">
        <f>'Tariffs Jan2019'!AN13</f>
        <v>0</v>
      </c>
      <c r="S19" s="40">
        <f>'Tariffs Jan2019'!AO13</f>
        <v>0</v>
      </c>
      <c r="T19" s="40">
        <f>'Tariffs Jan2019'!AP13</f>
        <v>0</v>
      </c>
      <c r="U19" s="40">
        <f>'Tariffs Jan2019'!AQ13</f>
        <v>25</v>
      </c>
      <c r="V19" s="273">
        <f t="shared" si="4"/>
        <v>1618.5165500000003</v>
      </c>
      <c r="W19" s="273">
        <f>V19-(O19*U19/100)</f>
        <v>1280.6340500000001</v>
      </c>
      <c r="X19" s="272">
        <f t="shared" si="3"/>
        <v>1780.3682050000004</v>
      </c>
      <c r="Y19" s="272">
        <f t="shared" si="3"/>
        <v>1408.6974550000002</v>
      </c>
      <c r="Z19" s="274">
        <f>'Tariffs Jan2019'!AZ13</f>
        <v>0</v>
      </c>
      <c r="AA19" s="274" t="str">
        <f>'Tariffs Jan2019'!BA13</f>
        <v>n</v>
      </c>
      <c r="AB19" s="275" t="str">
        <f>'Tariffs Jan2019'!BH13</f>
        <v>Y</v>
      </c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</row>
    <row r="20" spans="1:40" x14ac:dyDescent="0.15">
      <c r="A20" s="40" t="str">
        <f>'Tariffs Jan2019'!F14</f>
        <v>Amaysim</v>
      </c>
      <c r="B20" s="40" t="str">
        <f>'Tariffs Jan2019'!D14</f>
        <v>Multinet Metro 1</v>
      </c>
      <c r="C20" s="40" t="str">
        <f>'Tariffs Jan2019'!G14</f>
        <v>Gas as you go</v>
      </c>
      <c r="D20" s="59">
        <f>365*'Tariffs Jan2019'!H14/100</f>
        <v>193.84419999999997</v>
      </c>
      <c r="E20" s="59">
        <f>IF($C$5*'Tariffs Jan2019'!AK14/'Tariffs Jan2019'!AI14&gt;='Tariffs Jan2019'!J14,( 'Tariffs Jan2019'!J14*'Tariffs Jan2019'!O14/100)* 'Tariffs Jan2019'!AI14,($C$5*'Tariffs Jan2019'!AK14/'Tariffs Jan2019'!AI14*'Tariffs Jan2019'!O14/100)* 'Tariffs Jan2019'!AI14)</f>
        <v>205.02</v>
      </c>
      <c r="F20" s="59">
        <f>IF($C$5*'Tariffs Jan2019'!AK14/'Tariffs Jan2019'!AI14&lt;'Tariffs Jan2019'!J14,0,IF($C$5*'Tariffs Jan2019'!AK14/'Tariffs Jan2019'!AI14&lt;='Tariffs Jan2019'!K14,($C$5*'Tariffs Jan2019'!AK14/'Tariffs Jan2019'!AI14-'Tariffs Jan2019'!J14)*('Tariffs Jan2019'!P14/100)*'Tariffs Jan2019'!AI14,('Tariffs Jan2019'!K14-'Tariffs Jan2019'!J14)*('Tariffs Jan2019'!P14/100)*'Tariffs Jan2019'!AI14))</f>
        <v>180.53999999999996</v>
      </c>
      <c r="G20" s="59">
        <f>IF($C$5*'Tariffs Jan2019'!AK14/'Tariffs Jan2019'!AI14&lt;'Tariffs Jan2019'!K14,0,IF($C$5*'Tariffs Jan2019'!AK14/'Tariffs Jan2019'!AI14&lt;='Tariffs Jan2019'!L14,($C$5*'Tariffs Jan2019'!AK14/'Tariffs Jan2019'!AI14-'Tariffs Jan2019'!K14)*('Tariffs Jan2019'!Q14/100)*'Tariffs Jan2019'!AI14,('Tariffs Jan2019'!L14-'Tariffs Jan2019'!K14)*('Tariffs Jan2019'!Q14/100)*'Tariffs Jan2019'!AI14))</f>
        <v>156.06</v>
      </c>
      <c r="H20" s="59">
        <f>IF($C$5*'Tariffs Jan2019'!AK14/'Tariffs Jan2019'!AI14&lt;'Tariffs Jan2019'!L14,0,IF($C$5*'Tariffs Jan2019'!AK14/'Tariffs Jan2019'!AI14&lt;='Tariffs Jan2019'!M14,($C$5*'Tariffs Jan2019'!AK14/'Tariffs Jan2019'!AI14-'Tariffs Jan2019'!L14)*('Tariffs Jan2019'!R14/100)*'Tariffs Jan2019'!AI14,('Tariffs Jan2019'!M14-'Tariffs Jan2019'!L14)*('Tariffs Jan2019'!R14/100)*'Tariffs Jan2019'!AI14))</f>
        <v>71.910000000000011</v>
      </c>
      <c r="I20" s="59">
        <f>IF(($C$5*'Tariffs Jan2019'!AK14/'Tariffs Jan2019'!AI14&gt;'Tariffs Jan2019'!M14),($C$5*'Tariffs Jan2019'!AK14/'Tariffs Jan2019'!AI14-'Tariffs Jan2019'!M14)*'Tariffs Jan2019'!S14/100*'Tariffs Jan2019'!AI14,0)</f>
        <v>0</v>
      </c>
      <c r="J20" s="59">
        <f>IF($C$5*'Tariffs Jan2019'!AL14/'Tariffs Jan2019'!AJ14&gt;='Tariffs Jan2019'!J14,('Tariffs Jan2019'!J14*'Tariffs Jan2019'!U14/100)* 'Tariffs Jan2019'!AJ14,($C$5*'Tariffs Jan2019'!AL14/'Tariffs Jan2019'!AJ14*'Tariffs Jan2019'!U14/100)* 'Tariffs Jan2019'!AJ14)</f>
        <v>198.89999999999998</v>
      </c>
      <c r="K20" s="59">
        <f>IF($C$5*'Tariffs Jan2019'!AL14/'Tariffs Jan2019'!AJ14&lt;'Tariffs Jan2019'!J14,0,IF($C$5*'Tariffs Jan2019'!AL14/'Tariffs Jan2019'!AJ14&lt;='Tariffs Jan2019'!K14,($C$5*'Tariffs Jan2019'!AL14/'Tariffs Jan2019'!AJ14-'Tariffs Jan2019'!J14)*('Tariffs Jan2019'!V14/100)*'Tariffs Jan2019'!AJ14,('Tariffs Jan2019'!K14-'Tariffs Jan2019'!J14)*('Tariffs Jan2019'!V14/100)*'Tariffs Jan2019'!AJ14))</f>
        <v>177.48000000000002</v>
      </c>
      <c r="L20" s="59">
        <f>IF($C$5*'Tariffs Jan2019'!AL14/'Tariffs Jan2019'!AJ14&lt;'Tariffs Jan2019'!K14,0,IF($C$5*'Tariffs Jan2019'!AL14/'Tariffs Jan2019'!AJ14&lt;='Tariffs Jan2019'!L14,($C$5*'Tariffs Jan2019'!AL14/'Tariffs Jan2019'!AJ14-'Tariffs Jan2019'!K14)*('Tariffs Jan2019'!W14/100)*'Tariffs Jan2019'!AJ14,('Tariffs Jan2019'!L14-'Tariffs Jan2019'!K14)*('Tariffs Jan2019'!W14/100)*'Tariffs Jan2019'!AJ14))</f>
        <v>153.00000000000003</v>
      </c>
      <c r="M20" s="59">
        <f>IF($C$5*'Tariffs Jan2019'!AL14/'Tariffs Jan2019'!AJ14&lt;'Tariffs Jan2019'!L14,0,IF($C$5*'Tariffs Jan2019'!AL14/'Tariffs Jan2019'!AJ14&lt;='Tariffs Jan2019'!M14,($C$5*'Tariffs Jan2019'!AL14/'Tariffs Jan2019'!AJ14-'Tariffs Jan2019'!L14)*('Tariffs Jan2019'!X14/100)*'Tariffs Jan2019'!AJ14,('Tariffs Jan2019'!M14-'Tariffs Jan2019'!L14)*('Tariffs Jan2019'!X14/100)*'Tariffs Jan2019'!AJ14))</f>
        <v>71.910000000000011</v>
      </c>
      <c r="N20" s="59">
        <f>IF(($C$5*'Tariffs Jan2019'!AL14/'Tariffs Jan2019'!AJ14&gt;'Tariffs Jan2019'!M14),($C$5*'Tariffs Jan2019'!AL14/'Tariffs Jan2019'!AJ14-'Tariffs Jan2019'!M14)*'Tariffs Jan2019'!Y14/100*'Tariffs Jan2019'!AJ14,0)</f>
        <v>0</v>
      </c>
      <c r="O20" s="271">
        <f>SUM(E20:N20)</f>
        <v>1214.82</v>
      </c>
      <c r="P20" s="59">
        <f>D20+O20</f>
        <v>1408.6641999999999</v>
      </c>
      <c r="Q20" s="272">
        <f t="shared" si="2"/>
        <v>1549.53062</v>
      </c>
      <c r="R20" s="40">
        <f>'Tariffs Jan2019'!AN14</f>
        <v>0</v>
      </c>
      <c r="S20" s="40">
        <f>'Tariffs Jan2019'!AO14</f>
        <v>0</v>
      </c>
      <c r="T20" s="40">
        <f>'Tariffs Jan2019'!AP14</f>
        <v>0</v>
      </c>
      <c r="U20" s="40">
        <f>'Tariffs Jan2019'!AQ14</f>
        <v>0</v>
      </c>
      <c r="V20" s="273">
        <f t="shared" si="4"/>
        <v>1408.6641999999999</v>
      </c>
      <c r="W20" s="273">
        <f>V20-(P20*T20/100)</f>
        <v>1408.6641999999999</v>
      </c>
      <c r="X20" s="272">
        <f t="shared" si="3"/>
        <v>1549.53062</v>
      </c>
      <c r="Y20" s="272">
        <f t="shared" si="3"/>
        <v>1549.53062</v>
      </c>
      <c r="Z20" s="274">
        <f>'Tariffs Jan2019'!AZ14</f>
        <v>0</v>
      </c>
      <c r="AA20" s="274" t="str">
        <f>'Tariffs Jan2019'!BA14</f>
        <v>n</v>
      </c>
      <c r="AB20" s="275" t="str">
        <f>'Tariffs Jan2019'!BH14</f>
        <v>N</v>
      </c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</row>
    <row r="21" spans="1:40" x14ac:dyDescent="0.15">
      <c r="A21" s="40" t="str">
        <f>'Tariffs Jan2019'!F15</f>
        <v>GloBird Energy</v>
      </c>
      <c r="B21" s="40" t="str">
        <f>'Tariffs Jan2019'!D15</f>
        <v>Multinet Metro 1</v>
      </c>
      <c r="C21" s="40" t="str">
        <f>'Tariffs Jan2019'!G15</f>
        <v>GloSave</v>
      </c>
      <c r="D21" s="59">
        <f>365*'Tariffs Jan2019'!H15/100</f>
        <v>346.75</v>
      </c>
      <c r="E21" s="59">
        <f>IF($C$5*'Tariffs Jan2019'!AK15/'Tariffs Jan2019'!AI15&gt;='Tariffs Jan2019'!J15,( 'Tariffs Jan2019'!J15*'Tariffs Jan2019'!O15/100)* 'Tariffs Jan2019'!AI15,($C$5*'Tariffs Jan2019'!AK15/'Tariffs Jan2019'!AI15*'Tariffs Jan2019'!O15/100)* 'Tariffs Jan2019'!AI15)</f>
        <v>522</v>
      </c>
      <c r="F21" s="59">
        <f>IF($C$5*'Tariffs Jan2019'!AK15/'Tariffs Jan2019'!AI15&lt;'Tariffs Jan2019'!J15,0,IF($C$5*'Tariffs Jan2019'!AK15/'Tariffs Jan2019'!AI15&lt;='Tariffs Jan2019'!K15,($C$5*'Tariffs Jan2019'!AK15/'Tariffs Jan2019'!AI15-'Tariffs Jan2019'!J15)*('Tariffs Jan2019'!P15/100)*'Tariffs Jan2019'!AI15,('Tariffs Jan2019'!K15-'Tariffs Jan2019'!J15)*('Tariffs Jan2019'!P15/100)*'Tariffs Jan2019'!AI15))</f>
        <v>0</v>
      </c>
      <c r="G21" s="59">
        <f>IF($C$5*'Tariffs Jan2019'!AK15/'Tariffs Jan2019'!AI15&lt;'Tariffs Jan2019'!K15,0,IF($C$5*'Tariffs Jan2019'!AK15/'Tariffs Jan2019'!AI15&lt;='Tariffs Jan2019'!L15,($C$5*'Tariffs Jan2019'!AK15/'Tariffs Jan2019'!AI15-'Tariffs Jan2019'!K15)*('Tariffs Jan2019'!Q15/100)*'Tariffs Jan2019'!AI15,('Tariffs Jan2019'!L15-'Tariffs Jan2019'!K15)*('Tariffs Jan2019'!Q15/100)*'Tariffs Jan2019'!AI15))</f>
        <v>0</v>
      </c>
      <c r="H21" s="59">
        <f>IF($C$5*'Tariffs Jan2019'!AK15/'Tariffs Jan2019'!AI15&lt;'Tariffs Jan2019'!L15,0,IF($C$5*'Tariffs Jan2019'!AK15/'Tariffs Jan2019'!AI15&lt;='Tariffs Jan2019'!M15,($C$5*'Tariffs Jan2019'!AK15/'Tariffs Jan2019'!AI15-'Tariffs Jan2019'!L15)*('Tariffs Jan2019'!R15/100)*'Tariffs Jan2019'!AI15,('Tariffs Jan2019'!M15-'Tariffs Jan2019'!L15)*('Tariffs Jan2019'!R15/100)*'Tariffs Jan2019'!AI15))</f>
        <v>0</v>
      </c>
      <c r="I21" s="59">
        <f>IF(($C$5*'Tariffs Jan2019'!AK15/'Tariffs Jan2019'!AI15&gt;'Tariffs Jan2019'!M15),($C$5*'Tariffs Jan2019'!AK15/'Tariffs Jan2019'!AI15-'Tariffs Jan2019'!M15)*'Tariffs Jan2019'!S15/100*'Tariffs Jan2019'!AI15,0)</f>
        <v>283.5</v>
      </c>
      <c r="J21" s="59">
        <f>IF($C$5*'Tariffs Jan2019'!AL15/'Tariffs Jan2019'!AJ15&gt;='Tariffs Jan2019'!J15,('Tariffs Jan2019'!J15*'Tariffs Jan2019'!U15/100)* 'Tariffs Jan2019'!AJ15,($C$5*'Tariffs Jan2019'!AL15/'Tariffs Jan2019'!AJ15*'Tariffs Jan2019'!U15/100)* 'Tariffs Jan2019'!AJ15)</f>
        <v>495</v>
      </c>
      <c r="K21" s="59">
        <f>IF($C$5*'Tariffs Jan2019'!AL15/'Tariffs Jan2019'!AJ15&lt;'Tariffs Jan2019'!J15,0,IF($C$5*'Tariffs Jan2019'!AL15/'Tariffs Jan2019'!AJ15&lt;='Tariffs Jan2019'!K15,($C$5*'Tariffs Jan2019'!AL15/'Tariffs Jan2019'!AJ15-'Tariffs Jan2019'!J15)*('Tariffs Jan2019'!V15/100)*'Tariffs Jan2019'!AJ15,('Tariffs Jan2019'!K15-'Tariffs Jan2019'!J15)*('Tariffs Jan2019'!V15/100)*'Tariffs Jan2019'!AJ15))</f>
        <v>0</v>
      </c>
      <c r="L21" s="59">
        <f>IF($C$5*'Tariffs Jan2019'!AL15/'Tariffs Jan2019'!AJ15&lt;'Tariffs Jan2019'!K15,0,IF($C$5*'Tariffs Jan2019'!AL15/'Tariffs Jan2019'!AJ15&lt;='Tariffs Jan2019'!L15,($C$5*'Tariffs Jan2019'!AL15/'Tariffs Jan2019'!AJ15-'Tariffs Jan2019'!K15)*('Tariffs Jan2019'!W15/100)*'Tariffs Jan2019'!AJ15,('Tariffs Jan2019'!L15-'Tariffs Jan2019'!K15)*('Tariffs Jan2019'!W15/100)*'Tariffs Jan2019'!AJ15))</f>
        <v>0</v>
      </c>
      <c r="M21" s="59">
        <f>IF($C$5*'Tariffs Jan2019'!AL15/'Tariffs Jan2019'!AJ15&lt;'Tariffs Jan2019'!L15,0,IF($C$5*'Tariffs Jan2019'!AL15/'Tariffs Jan2019'!AJ15&lt;='Tariffs Jan2019'!M15,($C$5*'Tariffs Jan2019'!AL15/'Tariffs Jan2019'!AJ15-'Tariffs Jan2019'!L15)*('Tariffs Jan2019'!X15/100)*'Tariffs Jan2019'!AJ15,('Tariffs Jan2019'!M15-'Tariffs Jan2019'!L15)*('Tariffs Jan2019'!X15/100)*'Tariffs Jan2019'!AJ15))</f>
        <v>0</v>
      </c>
      <c r="N21" s="59">
        <f>IF(($C$5*'Tariffs Jan2019'!AL15/'Tariffs Jan2019'!AJ15&gt;'Tariffs Jan2019'!M15),($C$5*'Tariffs Jan2019'!AL15/'Tariffs Jan2019'!AJ15-'Tariffs Jan2019'!M15)*'Tariffs Jan2019'!Y15/100*'Tariffs Jan2019'!AJ15,0)</f>
        <v>276.75</v>
      </c>
      <c r="O21" s="271">
        <f>SUM(E21:N21)</f>
        <v>1577.25</v>
      </c>
      <c r="P21" s="59">
        <f>D21+O21</f>
        <v>1924</v>
      </c>
      <c r="Q21" s="272">
        <f t="shared" si="2"/>
        <v>2116.4</v>
      </c>
      <c r="R21" s="40">
        <f>'Tariffs Jan2019'!AN15</f>
        <v>0</v>
      </c>
      <c r="S21" s="40">
        <f>'Tariffs Jan2019'!AO15</f>
        <v>0</v>
      </c>
      <c r="T21" s="40">
        <f>'Tariffs Jan2019'!AP15</f>
        <v>32</v>
      </c>
      <c r="U21" s="40">
        <f>'Tariffs Jan2019'!AQ15</f>
        <v>0</v>
      </c>
      <c r="V21" s="273">
        <f t="shared" si="4"/>
        <v>1924</v>
      </c>
      <c r="W21" s="273">
        <f>V21-(P21*T21/100)</f>
        <v>1308.3200000000002</v>
      </c>
      <c r="X21" s="272">
        <f t="shared" si="3"/>
        <v>2116.4</v>
      </c>
      <c r="Y21" s="272">
        <f t="shared" si="3"/>
        <v>1439.1520000000003</v>
      </c>
      <c r="Z21" s="274">
        <f>'Tariffs Jan2019'!AZ15</f>
        <v>0</v>
      </c>
      <c r="AA21" s="274" t="str">
        <f>'Tariffs Jan2019'!BA15</f>
        <v>n</v>
      </c>
      <c r="AB21" s="275" t="str">
        <f>'Tariffs Jan2019'!BH15</f>
        <v>N</v>
      </c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</row>
    <row r="22" spans="1:40" ht="14" thickBot="1" x14ac:dyDescent="0.2">
      <c r="A22" s="277" t="str">
        <f>'Tariffs Jan2019'!F16</f>
        <v>Powershop</v>
      </c>
      <c r="B22" s="277" t="str">
        <f>'Tariffs Jan2019'!D16</f>
        <v>Multinet Metro 1</v>
      </c>
      <c r="C22" s="277" t="str">
        <f>'Tariffs Jan2019'!G16</f>
        <v>Auto Pay with Gas Saver</v>
      </c>
      <c r="D22" s="278">
        <f>365*'Tariffs Jan2019'!H16/100</f>
        <v>290.90499999999997</v>
      </c>
      <c r="E22" s="278">
        <f>((C$5*'Tariffs Jan2019'!AK16/'Tariffs Jan2019'!AI16)*('Tariffs Jan2019'!O16/100))*'Tariffs Jan2019'!AI16</f>
        <v>516.59999999999991</v>
      </c>
      <c r="F22" s="278">
        <v>0</v>
      </c>
      <c r="G22" s="278">
        <v>0</v>
      </c>
      <c r="H22" s="278">
        <v>0</v>
      </c>
      <c r="I22" s="278">
        <v>0</v>
      </c>
      <c r="J22" s="278">
        <f>((C$5*'Tariffs Jan2019'!AL16/'Tariffs Jan2019'!AJ16)*('Tariffs Jan2019'!U16/100))*'Tariffs Jan2019'!AJ16</f>
        <v>604.79999999999995</v>
      </c>
      <c r="K22" s="278">
        <v>0</v>
      </c>
      <c r="L22" s="278">
        <v>0</v>
      </c>
      <c r="M22" s="278">
        <v>0</v>
      </c>
      <c r="N22" s="278">
        <v>0</v>
      </c>
      <c r="O22" s="279">
        <f>SUM(E22:N22)</f>
        <v>1121.3999999999999</v>
      </c>
      <c r="P22" s="278">
        <f>D22+O22</f>
        <v>1412.3049999999998</v>
      </c>
      <c r="Q22" s="280">
        <f t="shared" si="2"/>
        <v>1553.5355</v>
      </c>
      <c r="R22" s="277">
        <f>'Tariffs Jan2019'!AN16</f>
        <v>0</v>
      </c>
      <c r="S22" s="277">
        <f>'Tariffs Jan2019'!AO16</f>
        <v>0</v>
      </c>
      <c r="T22" s="277">
        <f>'Tariffs Jan2019'!AP16</f>
        <v>5</v>
      </c>
      <c r="U22" s="277">
        <f>'Tariffs Jan2019'!AQ16</f>
        <v>0</v>
      </c>
      <c r="V22" s="281">
        <f t="shared" si="4"/>
        <v>1412.3049999999998</v>
      </c>
      <c r="W22" s="281">
        <f>V22-(P22*T22/100)</f>
        <v>1341.6897499999998</v>
      </c>
      <c r="X22" s="280">
        <f t="shared" si="3"/>
        <v>1553.5355</v>
      </c>
      <c r="Y22" s="280">
        <f t="shared" si="3"/>
        <v>1475.8587249999998</v>
      </c>
      <c r="Z22" s="282">
        <f>'Tariffs Jan2019'!AZ16</f>
        <v>0</v>
      </c>
      <c r="AA22" s="282" t="str">
        <f>'Tariffs Jan2019'!BA16</f>
        <v>n</v>
      </c>
      <c r="AB22" s="283" t="str">
        <f>'Tariffs Jan2019'!BH16</f>
        <v>Y</v>
      </c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</row>
    <row r="23" spans="1:40" ht="14" thickTop="1" x14ac:dyDescent="0.15">
      <c r="A23" s="40" t="str">
        <f>'Tariffs Jan2019'!F17</f>
        <v>AGL</v>
      </c>
      <c r="B23" s="40" t="str">
        <f>'Tariffs Jan2019'!D17</f>
        <v>Multinet Metro 2</v>
      </c>
      <c r="C23" s="40" t="str">
        <f>'Tariffs Jan2019'!G17</f>
        <v>Savers</v>
      </c>
      <c r="D23" s="59">
        <f>365*'Tariffs Jan2019'!H17/100</f>
        <v>304.77499999999998</v>
      </c>
      <c r="E23" s="59">
        <f>IF($C$5*'Tariffs Jan2019'!AK17/'Tariffs Jan2019'!AI17&gt;='Tariffs Jan2019'!J17,( 'Tariffs Jan2019'!J17*'Tariffs Jan2019'!O17/100)* 'Tariffs Jan2019'!AI17,($C$5*'Tariffs Jan2019'!AK17/'Tariffs Jan2019'!AI17*'Tariffs Jan2019'!O17/100)* 'Tariffs Jan2019'!AI17)</f>
        <v>233.10000000000002</v>
      </c>
      <c r="F23" s="59">
        <f>IF($C$5*'Tariffs Jan2019'!AK17/'Tariffs Jan2019'!AI17&lt;'Tariffs Jan2019'!J17,0,IF($C$5*'Tariffs Jan2019'!AK17/'Tariffs Jan2019'!AI17&lt;='Tariffs Jan2019'!K17,($C$5*'Tariffs Jan2019'!AK17/'Tariffs Jan2019'!AI17-'Tariffs Jan2019'!J17)*('Tariffs Jan2019'!P17/100)*'Tariffs Jan2019'!AI17,('Tariffs Jan2019'!K17-'Tariffs Jan2019'!J17)*('Tariffs Jan2019'!P17/100)*'Tariffs Jan2019'!AI17))</f>
        <v>209.70000000000002</v>
      </c>
      <c r="G23" s="59">
        <f>IF($C$5*'Tariffs Jan2019'!AK17/'Tariffs Jan2019'!AI17&lt;'Tariffs Jan2019'!K17,0,IF($C$5*'Tariffs Jan2019'!AK17/'Tariffs Jan2019'!AI17&lt;='Tariffs Jan2019'!L17,($C$5*'Tariffs Jan2019'!AK17/'Tariffs Jan2019'!AI17-'Tariffs Jan2019'!K17)*('Tariffs Jan2019'!Q17/100)*'Tariffs Jan2019'!AI17,('Tariffs Jan2019'!L17-'Tariffs Jan2019'!K17)*('Tariffs Jan2019'!Q17/100)*'Tariffs Jan2019'!AI17))</f>
        <v>169.2</v>
      </c>
      <c r="H23" s="59">
        <f>IF($C$5*'Tariffs Jan2019'!AK17/'Tariffs Jan2019'!AI17&lt;'Tariffs Jan2019'!L17,0,IF($C$5*'Tariffs Jan2019'!AK17/'Tariffs Jan2019'!AI17&lt;='Tariffs Jan2019'!M17,($C$5*'Tariffs Jan2019'!AK17/'Tariffs Jan2019'!AI17-'Tariffs Jan2019'!L17)*('Tariffs Jan2019'!R17/100)*'Tariffs Jan2019'!AI17,('Tariffs Jan2019'!M17-'Tariffs Jan2019'!L17)*('Tariffs Jan2019'!R17/100)*'Tariffs Jan2019'!AI17))</f>
        <v>73.8</v>
      </c>
      <c r="I23" s="59">
        <f>IF(($C$5*'Tariffs Jan2019'!AK17/'Tariffs Jan2019'!AI17&gt;'Tariffs Jan2019'!M17),($C$5*'Tariffs Jan2019'!AK17/'Tariffs Jan2019'!AI17-'Tariffs Jan2019'!M17)*'Tariffs Jan2019'!S17/100*'Tariffs Jan2019'!AI17,0)</f>
        <v>0</v>
      </c>
      <c r="J23" s="59">
        <f>IF($C$5*'Tariffs Jan2019'!AL17/'Tariffs Jan2019'!AJ17&gt;='Tariffs Jan2019'!J17,('Tariffs Jan2019'!J17*'Tariffs Jan2019'!U17/100)* 'Tariffs Jan2019'!AJ17,($C$5*'Tariffs Jan2019'!AL17/'Tariffs Jan2019'!AJ17*'Tariffs Jan2019'!U17/100)* 'Tariffs Jan2019'!AJ17)</f>
        <v>221.39999999999998</v>
      </c>
      <c r="K23" s="59">
        <f>IF($C$5*'Tariffs Jan2019'!AL17/'Tariffs Jan2019'!AJ17&lt;'Tariffs Jan2019'!J17,0,IF($C$5*'Tariffs Jan2019'!AL17/'Tariffs Jan2019'!AJ17&lt;='Tariffs Jan2019'!K17,($C$5*'Tariffs Jan2019'!AL17/'Tariffs Jan2019'!AJ17-'Tariffs Jan2019'!J17)*('Tariffs Jan2019'!V17/100)*'Tariffs Jan2019'!AJ17,('Tariffs Jan2019'!K17-'Tariffs Jan2019'!J17)*('Tariffs Jan2019'!V17/100)*'Tariffs Jan2019'!AJ17))</f>
        <v>198</v>
      </c>
      <c r="L23" s="59">
        <f>IF($C$5*'Tariffs Jan2019'!AL17/'Tariffs Jan2019'!AJ17&lt;'Tariffs Jan2019'!K17,0,IF($C$5*'Tariffs Jan2019'!AL17/'Tariffs Jan2019'!AJ17&lt;='Tariffs Jan2019'!L17,($C$5*'Tariffs Jan2019'!AL17/'Tariffs Jan2019'!AJ17-'Tariffs Jan2019'!K17)*('Tariffs Jan2019'!W17/100)*'Tariffs Jan2019'!AJ17,('Tariffs Jan2019'!L17-'Tariffs Jan2019'!K17)*('Tariffs Jan2019'!W17/100)*'Tariffs Jan2019'!AJ17))</f>
        <v>162.9</v>
      </c>
      <c r="M23" s="59">
        <f>IF($C$5*'Tariffs Jan2019'!AL17/'Tariffs Jan2019'!AJ17&lt;'Tariffs Jan2019'!L17,0,IF($C$5*'Tariffs Jan2019'!AL17/'Tariffs Jan2019'!AJ17&lt;='Tariffs Jan2019'!M17,($C$5*'Tariffs Jan2019'!AL17/'Tariffs Jan2019'!AJ17-'Tariffs Jan2019'!L17)*('Tariffs Jan2019'!X17/100)*'Tariffs Jan2019'!AJ17,('Tariffs Jan2019'!M17-'Tariffs Jan2019'!L17)*('Tariffs Jan2019'!X17/100)*'Tariffs Jan2019'!AJ17))</f>
        <v>72</v>
      </c>
      <c r="N23" s="59">
        <f>IF(($C$5*'Tariffs Jan2019'!AL17/'Tariffs Jan2019'!AJ17&gt;'Tariffs Jan2019'!M17),($C$5*'Tariffs Jan2019'!AL17/'Tariffs Jan2019'!AJ17-'Tariffs Jan2019'!M17)*'Tariffs Jan2019'!Y17/100*'Tariffs Jan2019'!AJ17,0)</f>
        <v>0</v>
      </c>
      <c r="O23" s="271">
        <f t="shared" si="0"/>
        <v>1340.1</v>
      </c>
      <c r="P23" s="59">
        <f t="shared" si="1"/>
        <v>1644.875</v>
      </c>
      <c r="Q23" s="272">
        <f t="shared" si="2"/>
        <v>1809.3625000000002</v>
      </c>
      <c r="R23" s="40">
        <f>'Tariffs Jan2019'!AN17</f>
        <v>0</v>
      </c>
      <c r="S23" s="40">
        <f>'Tariffs Jan2019'!AO17</f>
        <v>0</v>
      </c>
      <c r="T23" s="40">
        <f>'Tariffs Jan2019'!AP17</f>
        <v>0</v>
      </c>
      <c r="U23" s="40">
        <f>'Tariffs Jan2019'!AQ17</f>
        <v>24</v>
      </c>
      <c r="V23" s="273">
        <f>P23</f>
        <v>1644.875</v>
      </c>
      <c r="W23" s="273">
        <f>V23-(O23*U23/100)</f>
        <v>1323.251</v>
      </c>
      <c r="X23" s="272">
        <f t="shared" si="3"/>
        <v>1809.3625000000002</v>
      </c>
      <c r="Y23" s="272">
        <f t="shared" si="3"/>
        <v>1455.5761</v>
      </c>
      <c r="Z23" s="274">
        <f>'Tariffs Jan2019'!AZ17</f>
        <v>0</v>
      </c>
      <c r="AA23" s="274" t="str">
        <f>'Tariffs Jan2019'!BA17</f>
        <v>n</v>
      </c>
      <c r="AB23" s="275" t="str">
        <f>'Tariffs Jan2019'!BH17</f>
        <v>N</v>
      </c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</row>
    <row r="24" spans="1:40" x14ac:dyDescent="0.15">
      <c r="A24" s="40" t="str">
        <f>'Tariffs Jan2019'!F18</f>
        <v>Alinta Energy</v>
      </c>
      <c r="B24" s="40" t="str">
        <f>'Tariffs Jan2019'!D18</f>
        <v>Multinet Metro 2</v>
      </c>
      <c r="C24" s="40" t="str">
        <f>'Tariffs Jan2019'!G18</f>
        <v>Fair Saver</v>
      </c>
      <c r="D24" s="59">
        <f>365*'Tariffs Jan2019'!H18/100</f>
        <v>292</v>
      </c>
      <c r="E24" s="59">
        <f>IF($C$5*'Tariffs Jan2019'!AK18/'Tariffs Jan2019'!AI18&gt;='Tariffs Jan2019'!J18,( 'Tariffs Jan2019'!J18*'Tariffs Jan2019'!O18/100)* 'Tariffs Jan2019'!AI18,($C$5*'Tariffs Jan2019'!AK18/'Tariffs Jan2019'!AI18*'Tariffs Jan2019'!O18/100)* 'Tariffs Jan2019'!AI18)</f>
        <v>225</v>
      </c>
      <c r="F24" s="59">
        <f>IF($C$5*'Tariffs Jan2019'!AK18/'Tariffs Jan2019'!AI18&lt;'Tariffs Jan2019'!J18,0,IF($C$5*'Tariffs Jan2019'!AK18/'Tariffs Jan2019'!AI18&lt;='Tariffs Jan2019'!K18,($C$5*'Tariffs Jan2019'!AK18/'Tariffs Jan2019'!AI18-'Tariffs Jan2019'!J18)*('Tariffs Jan2019'!P18/100)*'Tariffs Jan2019'!AI18,('Tariffs Jan2019'!K18-'Tariffs Jan2019'!J18)*('Tariffs Jan2019'!P18/100)*'Tariffs Jan2019'!AI18))</f>
        <v>171</v>
      </c>
      <c r="G24" s="59">
        <f>IF($C$5*'Tariffs Jan2019'!AK18/'Tariffs Jan2019'!AI18&lt;'Tariffs Jan2019'!K18,0,IF($C$5*'Tariffs Jan2019'!AK18/'Tariffs Jan2019'!AI18&lt;='Tariffs Jan2019'!L18,($C$5*'Tariffs Jan2019'!AK18/'Tariffs Jan2019'!AI18-'Tariffs Jan2019'!K18)*('Tariffs Jan2019'!Q18/100)*'Tariffs Jan2019'!AI18,('Tariffs Jan2019'!L18-'Tariffs Jan2019'!K18)*('Tariffs Jan2019'!Q18/100)*'Tariffs Jan2019'!AI18))</f>
        <v>0</v>
      </c>
      <c r="H24" s="59">
        <f>IF($C$5*'Tariffs Jan2019'!AK18/'Tariffs Jan2019'!AI18&lt;'Tariffs Jan2019'!L18,0,IF($C$5*'Tariffs Jan2019'!AK18/'Tariffs Jan2019'!AI18&lt;='Tariffs Jan2019'!M18,($C$5*'Tariffs Jan2019'!AK18/'Tariffs Jan2019'!AI18-'Tariffs Jan2019'!L18)*('Tariffs Jan2019'!R18/100)*'Tariffs Jan2019'!AI18,('Tariffs Jan2019'!M18-'Tariffs Jan2019'!L18)*('Tariffs Jan2019'!R18/100)*'Tariffs Jan2019'!AI18))</f>
        <v>0</v>
      </c>
      <c r="I24" s="59">
        <f>IF(($C$5*'Tariffs Jan2019'!AK18/'Tariffs Jan2019'!AI18&gt;'Tariffs Jan2019'!M18),($C$5*'Tariffs Jan2019'!AK18/'Tariffs Jan2019'!AI18-'Tariffs Jan2019'!M18)*'Tariffs Jan2019'!S18/100*'Tariffs Jan2019'!AI18,0)</f>
        <v>256.5</v>
      </c>
      <c r="J24" s="59">
        <f>IF($C$5*'Tariffs Jan2019'!AL18/'Tariffs Jan2019'!AJ18&gt;='Tariffs Jan2019'!J18,('Tariffs Jan2019'!J18*'Tariffs Jan2019'!U18/100)* 'Tariffs Jan2019'!AJ18,($C$5*'Tariffs Jan2019'!AL18/'Tariffs Jan2019'!AJ18*'Tariffs Jan2019'!U18/100)* 'Tariffs Jan2019'!AJ18)</f>
        <v>216</v>
      </c>
      <c r="K24" s="59">
        <f>IF($C$5*'Tariffs Jan2019'!AL18/'Tariffs Jan2019'!AJ18&lt;'Tariffs Jan2019'!J18,0,IF($C$5*'Tariffs Jan2019'!AL18/'Tariffs Jan2019'!AJ18&lt;='Tariffs Jan2019'!K18,($C$5*'Tariffs Jan2019'!AL18/'Tariffs Jan2019'!AJ18-'Tariffs Jan2019'!J18)*('Tariffs Jan2019'!V18/100)*'Tariffs Jan2019'!AJ18,('Tariffs Jan2019'!K18-'Tariffs Jan2019'!J18)*('Tariffs Jan2019'!V18/100)*'Tariffs Jan2019'!AJ18))</f>
        <v>162.00000000000003</v>
      </c>
      <c r="L24" s="59">
        <f>IF($C$5*'Tariffs Jan2019'!AL18/'Tariffs Jan2019'!AJ18&lt;'Tariffs Jan2019'!K18,0,IF($C$5*'Tariffs Jan2019'!AL18/'Tariffs Jan2019'!AJ18&lt;='Tariffs Jan2019'!L18,($C$5*'Tariffs Jan2019'!AL18/'Tariffs Jan2019'!AJ18-'Tariffs Jan2019'!K18)*('Tariffs Jan2019'!W18/100)*'Tariffs Jan2019'!AJ18,('Tariffs Jan2019'!L18-'Tariffs Jan2019'!K18)*('Tariffs Jan2019'!W18/100)*'Tariffs Jan2019'!AJ18))</f>
        <v>0</v>
      </c>
      <c r="M24" s="59">
        <f>IF($C$5*'Tariffs Jan2019'!AL18/'Tariffs Jan2019'!AJ18&lt;'Tariffs Jan2019'!L18,0,IF($C$5*'Tariffs Jan2019'!AL18/'Tariffs Jan2019'!AJ18&lt;='Tariffs Jan2019'!M18,($C$5*'Tariffs Jan2019'!AL18/'Tariffs Jan2019'!AJ18-'Tariffs Jan2019'!L18)*('Tariffs Jan2019'!X18/100)*'Tariffs Jan2019'!AJ18,('Tariffs Jan2019'!M18-'Tariffs Jan2019'!L18)*('Tariffs Jan2019'!X18/100)*'Tariffs Jan2019'!AJ18))</f>
        <v>0</v>
      </c>
      <c r="N24" s="59">
        <f>IF(($C$5*'Tariffs Jan2019'!AL18/'Tariffs Jan2019'!AJ18&gt;'Tariffs Jan2019'!M18),($C$5*'Tariffs Jan2019'!AL18/'Tariffs Jan2019'!AJ18-'Tariffs Jan2019'!M18)*'Tariffs Jan2019'!Y18/100*'Tariffs Jan2019'!AJ18,0)</f>
        <v>243</v>
      </c>
      <c r="O24" s="271">
        <f t="shared" si="0"/>
        <v>1273.5</v>
      </c>
      <c r="P24" s="59">
        <f t="shared" si="1"/>
        <v>1565.5</v>
      </c>
      <c r="Q24" s="272">
        <f t="shared" si="2"/>
        <v>1722.0500000000002</v>
      </c>
      <c r="R24" s="40">
        <f>'Tariffs Jan2019'!AN18</f>
        <v>0</v>
      </c>
      <c r="S24" s="40">
        <f>'Tariffs Jan2019'!AO18</f>
        <v>20</v>
      </c>
      <c r="T24" s="40">
        <f>'Tariffs Jan2019'!AP18</f>
        <v>0</v>
      </c>
      <c r="U24" s="40">
        <f>'Tariffs Jan2019'!AQ18</f>
        <v>0</v>
      </c>
      <c r="V24" s="273">
        <f>P24-(O24*S24/100)</f>
        <v>1310.8</v>
      </c>
      <c r="W24" s="273">
        <f>V24-(O24*U24/100)</f>
        <v>1310.8</v>
      </c>
      <c r="X24" s="272">
        <f t="shared" si="3"/>
        <v>1441.88</v>
      </c>
      <c r="Y24" s="272">
        <f t="shared" si="3"/>
        <v>1441.88</v>
      </c>
      <c r="Z24" s="274">
        <f>'Tariffs Jan2019'!AZ18</f>
        <v>0</v>
      </c>
      <c r="AA24" s="274" t="str">
        <f>'Tariffs Jan2019'!BA18</f>
        <v>n</v>
      </c>
      <c r="AB24" s="275" t="str">
        <f>'Tariffs Jan2019'!BH18</f>
        <v>Y</v>
      </c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</row>
    <row r="25" spans="1:40" x14ac:dyDescent="0.15">
      <c r="A25" s="40" t="str">
        <f>'Tariffs Jan2019'!F19</f>
        <v>Click Energy</v>
      </c>
      <c r="B25" s="40" t="str">
        <f>'Tariffs Jan2019'!D19</f>
        <v>Multinet Metro 2</v>
      </c>
      <c r="C25" s="40" t="str">
        <f>'Tariffs Jan2019'!G19</f>
        <v>Burgundy</v>
      </c>
      <c r="D25" s="59">
        <f>365*'Tariffs Jan2019'!H19/100</f>
        <v>285.06499999999994</v>
      </c>
      <c r="E25" s="59">
        <f>IF($C$5*'Tariffs Jan2019'!AK19/'Tariffs Jan2019'!AI19&gt;='Tariffs Jan2019'!J19,( 'Tariffs Jan2019'!J19*'Tariffs Jan2019'!O19/100)* 'Tariffs Jan2019'!AI19,($C$5*'Tariffs Jan2019'!AK19/'Tariffs Jan2019'!AI19*'Tariffs Jan2019'!O19/100)* 'Tariffs Jan2019'!AI19)</f>
        <v>301.5</v>
      </c>
      <c r="F25" s="59">
        <f>IF($C$5*'Tariffs Jan2019'!AK19/'Tariffs Jan2019'!AI19&lt;'Tariffs Jan2019'!J19,0,IF($C$5*'Tariffs Jan2019'!AK19/'Tariffs Jan2019'!AI19&lt;='Tariffs Jan2019'!K19,($C$5*'Tariffs Jan2019'!AK19/'Tariffs Jan2019'!AI19-'Tariffs Jan2019'!J19)*('Tariffs Jan2019'!P19/100)*'Tariffs Jan2019'!AI19,('Tariffs Jan2019'!K19-'Tariffs Jan2019'!J19)*('Tariffs Jan2019'!P19/100)*'Tariffs Jan2019'!AI19))</f>
        <v>265.5</v>
      </c>
      <c r="G25" s="59">
        <f>IF($C$5*'Tariffs Jan2019'!AK19/'Tariffs Jan2019'!AI19&lt;'Tariffs Jan2019'!K19,0,IF($C$5*'Tariffs Jan2019'!AK19/'Tariffs Jan2019'!AI19&lt;='Tariffs Jan2019'!L19,($C$5*'Tariffs Jan2019'!AK19/'Tariffs Jan2019'!AI19-'Tariffs Jan2019'!K19)*('Tariffs Jan2019'!Q19/100)*'Tariffs Jan2019'!AI19,('Tariffs Jan2019'!L19-'Tariffs Jan2019'!K19)*('Tariffs Jan2019'!Q19/100)*'Tariffs Jan2019'!AI19))</f>
        <v>229.5</v>
      </c>
      <c r="H25" s="59">
        <f>IF($C$5*'Tariffs Jan2019'!AK19/'Tariffs Jan2019'!AI19&lt;'Tariffs Jan2019'!L19,0,IF($C$5*'Tariffs Jan2019'!AK19/'Tariffs Jan2019'!AI19&lt;='Tariffs Jan2019'!M19,($C$5*'Tariffs Jan2019'!AK19/'Tariffs Jan2019'!AI19-'Tariffs Jan2019'!L19)*('Tariffs Jan2019'!R19/100)*'Tariffs Jan2019'!AI19,('Tariffs Jan2019'!M19-'Tariffs Jan2019'!L19)*('Tariffs Jan2019'!R19/100)*'Tariffs Jan2019'!AI19))</f>
        <v>105.75</v>
      </c>
      <c r="I25" s="59">
        <f>IF(($C$5*'Tariffs Jan2019'!AK19/'Tariffs Jan2019'!AI19&gt;'Tariffs Jan2019'!M19),($C$5*'Tariffs Jan2019'!AK19/'Tariffs Jan2019'!AI19-'Tariffs Jan2019'!M19)*'Tariffs Jan2019'!S19/100*'Tariffs Jan2019'!AI19,0)</f>
        <v>0</v>
      </c>
      <c r="J25" s="59">
        <f>IF($C$5*'Tariffs Jan2019'!AL19/'Tariffs Jan2019'!AJ19&gt;='Tariffs Jan2019'!J19,('Tariffs Jan2019'!J19*'Tariffs Jan2019'!U19/100)* 'Tariffs Jan2019'!AJ19,($C$5*'Tariffs Jan2019'!AL19/'Tariffs Jan2019'!AJ19*'Tariffs Jan2019'!U19/100)* 'Tariffs Jan2019'!AJ19)</f>
        <v>292.5</v>
      </c>
      <c r="K25" s="59">
        <f>IF($C$5*'Tariffs Jan2019'!AL19/'Tariffs Jan2019'!AJ19&lt;'Tariffs Jan2019'!J19,0,IF($C$5*'Tariffs Jan2019'!AL19/'Tariffs Jan2019'!AJ19&lt;='Tariffs Jan2019'!K19,($C$5*'Tariffs Jan2019'!AL19/'Tariffs Jan2019'!AJ19-'Tariffs Jan2019'!J19)*('Tariffs Jan2019'!V19/100)*'Tariffs Jan2019'!AJ19,('Tariffs Jan2019'!K19-'Tariffs Jan2019'!J19)*('Tariffs Jan2019'!V19/100)*'Tariffs Jan2019'!AJ19))</f>
        <v>261</v>
      </c>
      <c r="L25" s="59">
        <f>IF($C$5*'Tariffs Jan2019'!AL19/'Tariffs Jan2019'!AJ19&lt;'Tariffs Jan2019'!K19,0,IF($C$5*'Tariffs Jan2019'!AL19/'Tariffs Jan2019'!AJ19&lt;='Tariffs Jan2019'!L19,($C$5*'Tariffs Jan2019'!AL19/'Tariffs Jan2019'!AJ19-'Tariffs Jan2019'!K19)*('Tariffs Jan2019'!W19/100)*'Tariffs Jan2019'!AJ19,('Tariffs Jan2019'!L19-'Tariffs Jan2019'!K19)*('Tariffs Jan2019'!W19/100)*'Tariffs Jan2019'!AJ19))</f>
        <v>225</v>
      </c>
      <c r="M25" s="59">
        <f>IF($C$5*'Tariffs Jan2019'!AL19/'Tariffs Jan2019'!AJ19&lt;'Tariffs Jan2019'!L19,0,IF($C$5*'Tariffs Jan2019'!AL19/'Tariffs Jan2019'!AJ19&lt;='Tariffs Jan2019'!M19,($C$5*'Tariffs Jan2019'!AL19/'Tariffs Jan2019'!AJ19-'Tariffs Jan2019'!L19)*('Tariffs Jan2019'!X19/100)*'Tariffs Jan2019'!AJ19,('Tariffs Jan2019'!M19-'Tariffs Jan2019'!L19)*('Tariffs Jan2019'!X19/100)*'Tariffs Jan2019'!AJ19))</f>
        <v>105.75</v>
      </c>
      <c r="N25" s="59">
        <f>IF(($C$5*'Tariffs Jan2019'!AL19/'Tariffs Jan2019'!AJ19&gt;'Tariffs Jan2019'!M19),($C$5*'Tariffs Jan2019'!AL19/'Tariffs Jan2019'!AJ19-'Tariffs Jan2019'!M19)*'Tariffs Jan2019'!Y19/100*'Tariffs Jan2019'!AJ19,0)</f>
        <v>0</v>
      </c>
      <c r="O25" s="271">
        <f t="shared" si="0"/>
        <v>1786.5</v>
      </c>
      <c r="P25" s="59">
        <f t="shared" si="1"/>
        <v>2071.5650000000001</v>
      </c>
      <c r="Q25" s="272">
        <f t="shared" si="2"/>
        <v>2278.7215000000001</v>
      </c>
      <c r="R25" s="40">
        <f>'Tariffs Jan2019'!AN19</f>
        <v>0</v>
      </c>
      <c r="S25" s="40">
        <f>'Tariffs Jan2019'!AO19</f>
        <v>0</v>
      </c>
      <c r="T25" s="40">
        <f>'Tariffs Jan2019'!AP19</f>
        <v>26</v>
      </c>
      <c r="U25" s="40">
        <f>'Tariffs Jan2019'!AQ19</f>
        <v>0</v>
      </c>
      <c r="V25" s="273">
        <f>P25</f>
        <v>2071.5650000000001</v>
      </c>
      <c r="W25" s="273">
        <f>V25-(P25*T25/100)</f>
        <v>1532.9581000000001</v>
      </c>
      <c r="X25" s="272">
        <f t="shared" si="3"/>
        <v>2278.7215000000001</v>
      </c>
      <c r="Y25" s="272">
        <f t="shared" si="3"/>
        <v>1686.2539100000001</v>
      </c>
      <c r="Z25" s="274">
        <f>'Tariffs Jan2019'!AZ19</f>
        <v>0</v>
      </c>
      <c r="AA25" s="274" t="str">
        <f>'Tariffs Jan2019'!BA19</f>
        <v>n</v>
      </c>
      <c r="AB25" s="275" t="str">
        <f>'Tariffs Jan2019'!BH19</f>
        <v>N</v>
      </c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</row>
    <row r="26" spans="1:40" x14ac:dyDescent="0.15">
      <c r="A26" s="40" t="str">
        <f>'Tariffs Jan2019'!F20</f>
        <v>Covau</v>
      </c>
      <c r="B26" s="40" t="str">
        <f>'Tariffs Jan2019'!D20</f>
        <v>Multinet Metro 2</v>
      </c>
      <c r="C26" s="40" t="str">
        <f>'Tariffs Jan2019'!G20</f>
        <v>Smart Saver</v>
      </c>
      <c r="D26" s="59">
        <f>365*'Tariffs Jan2019'!H20/100</f>
        <v>284.7</v>
      </c>
      <c r="E26" s="59">
        <f>IF($C$5*'Tariffs Jan2019'!AK20/'Tariffs Jan2019'!AI20&gt;='Tariffs Jan2019'!J20,( 'Tariffs Jan2019'!J20*'Tariffs Jan2019'!O20/100)* 'Tariffs Jan2019'!AI20,($C$5*'Tariffs Jan2019'!AK20/'Tariffs Jan2019'!AI20*'Tariffs Jan2019'!O20/100)* 'Tariffs Jan2019'!AI20)</f>
        <v>261</v>
      </c>
      <c r="F26" s="59">
        <f>IF($C$5*'Tariffs Jan2019'!AK20/'Tariffs Jan2019'!AI20&lt;'Tariffs Jan2019'!J20,0,IF($C$5*'Tariffs Jan2019'!AK20/'Tariffs Jan2019'!AI20&lt;='Tariffs Jan2019'!K20,($C$5*'Tariffs Jan2019'!AK20/'Tariffs Jan2019'!AI20-'Tariffs Jan2019'!J20)*('Tariffs Jan2019'!P20/100)*'Tariffs Jan2019'!AI20,('Tariffs Jan2019'!K20-'Tariffs Jan2019'!J20)*('Tariffs Jan2019'!P20/100)*'Tariffs Jan2019'!AI20))</f>
        <v>469.79999999999995</v>
      </c>
      <c r="G26" s="59">
        <f>IF($C$5*'Tariffs Jan2019'!AK20/'Tariffs Jan2019'!AI20&lt;'Tariffs Jan2019'!K20,0,IF($C$5*'Tariffs Jan2019'!AK20/'Tariffs Jan2019'!AI20&lt;='Tariffs Jan2019'!L20,($C$5*'Tariffs Jan2019'!AK20/'Tariffs Jan2019'!AI20-'Tariffs Jan2019'!K20)*('Tariffs Jan2019'!Q20/100)*'Tariffs Jan2019'!AI20,('Tariffs Jan2019'!L20-'Tariffs Jan2019'!K20)*('Tariffs Jan2019'!Q20/100)*'Tariffs Jan2019'!AI20))</f>
        <v>108</v>
      </c>
      <c r="H26" s="59">
        <f>IF($C$5*'Tariffs Jan2019'!AK20/'Tariffs Jan2019'!AI20&lt;'Tariffs Jan2019'!L20,0,IF($C$5*'Tariffs Jan2019'!AK20/'Tariffs Jan2019'!AI20&lt;='Tariffs Jan2019'!M20,($C$5*'Tariffs Jan2019'!AK20/'Tariffs Jan2019'!AI20-'Tariffs Jan2019'!L20)*('Tariffs Jan2019'!R20/100)*'Tariffs Jan2019'!AI20,('Tariffs Jan2019'!M20-'Tariffs Jan2019'!L20)*('Tariffs Jan2019'!R20/100)*'Tariffs Jan2019'!AI20))</f>
        <v>0</v>
      </c>
      <c r="I26" s="59">
        <f>IF(($C$5*'Tariffs Jan2019'!AK20/'Tariffs Jan2019'!AI20&gt;'Tariffs Jan2019'!M20),($C$5*'Tariffs Jan2019'!AK20/'Tariffs Jan2019'!AI20-'Tariffs Jan2019'!M20)*'Tariffs Jan2019'!S20/100*'Tariffs Jan2019'!AI20,0)</f>
        <v>0</v>
      </c>
      <c r="J26" s="59">
        <f>IF($C$5*'Tariffs Jan2019'!AL20/'Tariffs Jan2019'!AJ20&gt;='Tariffs Jan2019'!J20,('Tariffs Jan2019'!J20*'Tariffs Jan2019'!U20/100)* 'Tariffs Jan2019'!AJ20,($C$5*'Tariffs Jan2019'!AL20/'Tariffs Jan2019'!AJ20*'Tariffs Jan2019'!U20/100)* 'Tariffs Jan2019'!AJ20)</f>
        <v>243.00000000000006</v>
      </c>
      <c r="K26" s="59">
        <f>IF($C$5*'Tariffs Jan2019'!AL20/'Tariffs Jan2019'!AJ20&lt;'Tariffs Jan2019'!J20,0,IF($C$5*'Tariffs Jan2019'!AL20/'Tariffs Jan2019'!AJ20&lt;='Tariffs Jan2019'!K20,($C$5*'Tariffs Jan2019'!AL20/'Tariffs Jan2019'!AJ20-'Tariffs Jan2019'!J20)*('Tariffs Jan2019'!V20/100)*'Tariffs Jan2019'!AJ20,('Tariffs Jan2019'!K20-'Tariffs Jan2019'!J20)*('Tariffs Jan2019'!V20/100)*'Tariffs Jan2019'!AJ20))</f>
        <v>457.20000000000005</v>
      </c>
      <c r="L26" s="59">
        <f>IF($C$5*'Tariffs Jan2019'!AL20/'Tariffs Jan2019'!AJ20&lt;'Tariffs Jan2019'!K20,0,IF($C$5*'Tariffs Jan2019'!AL20/'Tariffs Jan2019'!AJ20&lt;='Tariffs Jan2019'!L20,($C$5*'Tariffs Jan2019'!AL20/'Tariffs Jan2019'!AJ20-'Tariffs Jan2019'!K20)*('Tariffs Jan2019'!W20/100)*'Tariffs Jan2019'!AJ20,('Tariffs Jan2019'!L20-'Tariffs Jan2019'!K20)*('Tariffs Jan2019'!W20/100)*'Tariffs Jan2019'!AJ20))</f>
        <v>94.500000000000014</v>
      </c>
      <c r="M26" s="59">
        <f>IF($C$5*'Tariffs Jan2019'!AL20/'Tariffs Jan2019'!AJ20&lt;'Tariffs Jan2019'!L20,0,IF($C$5*'Tariffs Jan2019'!AL20/'Tariffs Jan2019'!AJ20&lt;='Tariffs Jan2019'!M20,($C$5*'Tariffs Jan2019'!AL20/'Tariffs Jan2019'!AJ20-'Tariffs Jan2019'!L20)*('Tariffs Jan2019'!X20/100)*'Tariffs Jan2019'!AJ20,('Tariffs Jan2019'!M20-'Tariffs Jan2019'!L20)*('Tariffs Jan2019'!X20/100)*'Tariffs Jan2019'!AJ20))</f>
        <v>0</v>
      </c>
      <c r="N26" s="59">
        <f>IF(($C$5*'Tariffs Jan2019'!AL20/'Tariffs Jan2019'!AJ20&gt;'Tariffs Jan2019'!M20),($C$5*'Tariffs Jan2019'!AL20/'Tariffs Jan2019'!AJ20-'Tariffs Jan2019'!M20)*'Tariffs Jan2019'!Y20/100*'Tariffs Jan2019'!AJ20,0)</f>
        <v>0</v>
      </c>
      <c r="O26" s="271">
        <f t="shared" si="0"/>
        <v>1633.5</v>
      </c>
      <c r="P26" s="59">
        <f t="shared" si="1"/>
        <v>1918.2</v>
      </c>
      <c r="Q26" s="272">
        <f t="shared" si="2"/>
        <v>2110.0200000000004</v>
      </c>
      <c r="R26" s="40">
        <f>'Tariffs Jan2019'!AN20</f>
        <v>0</v>
      </c>
      <c r="S26" s="40">
        <f>'Tariffs Jan2019'!AO20</f>
        <v>0</v>
      </c>
      <c r="T26" s="40">
        <f>'Tariffs Jan2019'!AP20</f>
        <v>0</v>
      </c>
      <c r="U26" s="40">
        <f>'Tariffs Jan2019'!AQ20</f>
        <v>16</v>
      </c>
      <c r="V26" s="273">
        <f>P26</f>
        <v>1918.2</v>
      </c>
      <c r="W26" s="273">
        <f>V26-(O26*U26/100)</f>
        <v>1656.8400000000001</v>
      </c>
      <c r="X26" s="272">
        <f t="shared" si="3"/>
        <v>2110.0200000000004</v>
      </c>
      <c r="Y26" s="272">
        <f t="shared" si="3"/>
        <v>1822.5240000000003</v>
      </c>
      <c r="Z26" s="274">
        <f>'Tariffs Jan2019'!AZ20</f>
        <v>0</v>
      </c>
      <c r="AA26" s="274" t="str">
        <f>'Tariffs Jan2019'!BA20</f>
        <v>n</v>
      </c>
      <c r="AB26" s="275" t="str">
        <f>'Tariffs Jan2019'!BH20</f>
        <v>N</v>
      </c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</row>
    <row r="27" spans="1:40" x14ac:dyDescent="0.15">
      <c r="A27" s="40" t="str">
        <f>'Tariffs Jan2019'!F21</f>
        <v>Dodo Power &amp; Gas</v>
      </c>
      <c r="B27" s="40" t="str">
        <f>'Tariffs Jan2019'!D21</f>
        <v>Multinet Metro 2</v>
      </c>
      <c r="C27" s="40" t="str">
        <f>'Tariffs Jan2019'!G21</f>
        <v>Market offer</v>
      </c>
      <c r="D27" s="59">
        <f>365*'Tariffs Jan2019'!H21/100</f>
        <v>269.7715</v>
      </c>
      <c r="E27" s="59">
        <f>IF($C$5*'Tariffs Jan2019'!AK21/'Tariffs Jan2019'!AI21&gt;='Tariffs Jan2019'!J21,( 'Tariffs Jan2019'!J21*'Tariffs Jan2019'!O21/100)* 'Tariffs Jan2019'!AI21,($C$5*'Tariffs Jan2019'!AK21/'Tariffs Jan2019'!AI21*'Tariffs Jan2019'!O21/100)* 'Tariffs Jan2019'!AI21)</f>
        <v>257.25</v>
      </c>
      <c r="F27" s="59">
        <f>IF($C$5*'Tariffs Jan2019'!AK21/'Tariffs Jan2019'!AI21&lt;'Tariffs Jan2019'!J21,0,IF($C$5*'Tariffs Jan2019'!AK21/'Tariffs Jan2019'!AI21&lt;='Tariffs Jan2019'!K21,($C$5*'Tariffs Jan2019'!AK21/'Tariffs Jan2019'!AI21-'Tariffs Jan2019'!J21)*('Tariffs Jan2019'!P21/100)*'Tariffs Jan2019'!AI21,('Tariffs Jan2019'!K21-'Tariffs Jan2019'!J21)*('Tariffs Jan2019'!P21/100)*'Tariffs Jan2019'!AI21))</f>
        <v>0</v>
      </c>
      <c r="G27" s="59">
        <f>IF($C$5*'Tariffs Jan2019'!AK21/'Tariffs Jan2019'!AI21&lt;'Tariffs Jan2019'!K21,0,IF($C$5*'Tariffs Jan2019'!AK21/'Tariffs Jan2019'!AI21&lt;='Tariffs Jan2019'!L21,($C$5*'Tariffs Jan2019'!AK21/'Tariffs Jan2019'!AI21-'Tariffs Jan2019'!K21)*('Tariffs Jan2019'!Q21/100)*'Tariffs Jan2019'!AI21,('Tariffs Jan2019'!L21-'Tariffs Jan2019'!K21)*('Tariffs Jan2019'!Q21/100)*'Tariffs Jan2019'!AI21))</f>
        <v>0</v>
      </c>
      <c r="H27" s="59">
        <f>IF($C$5*'Tariffs Jan2019'!AK21/'Tariffs Jan2019'!AI21&lt;'Tariffs Jan2019'!L21,0,IF($C$5*'Tariffs Jan2019'!AK21/'Tariffs Jan2019'!AI21&lt;='Tariffs Jan2019'!M21,($C$5*'Tariffs Jan2019'!AK21/'Tariffs Jan2019'!AI21-'Tariffs Jan2019'!L21)*('Tariffs Jan2019'!R21/100)*'Tariffs Jan2019'!AI21,('Tariffs Jan2019'!M21-'Tariffs Jan2019'!L21)*('Tariffs Jan2019'!R21/100)*'Tariffs Jan2019'!AI21))</f>
        <v>0</v>
      </c>
      <c r="I27" s="59">
        <f>IF(($C$5*'Tariffs Jan2019'!AK21/'Tariffs Jan2019'!AI21&gt;'Tariffs Jan2019'!M21),($C$5*'Tariffs Jan2019'!AK21/'Tariffs Jan2019'!AI21-'Tariffs Jan2019'!M21)*'Tariffs Jan2019'!S21/100*'Tariffs Jan2019'!AI21,0)</f>
        <v>415.79999999999995</v>
      </c>
      <c r="J27" s="59">
        <f>IF($C$5*'Tariffs Jan2019'!AL21/'Tariffs Jan2019'!AJ21&gt;='Tariffs Jan2019'!J21,('Tariffs Jan2019'!J21*'Tariffs Jan2019'!U21/100)* 'Tariffs Jan2019'!AJ21,($C$5*'Tariffs Jan2019'!AL21/'Tariffs Jan2019'!AJ21*'Tariffs Jan2019'!U21/100)* 'Tariffs Jan2019'!AJ21)</f>
        <v>240.45000000000002</v>
      </c>
      <c r="K27" s="59">
        <f>IF($C$5*'Tariffs Jan2019'!AL21/'Tariffs Jan2019'!AJ21&lt;'Tariffs Jan2019'!J21,0,IF($C$5*'Tariffs Jan2019'!AL21/'Tariffs Jan2019'!AJ21&lt;='Tariffs Jan2019'!K21,($C$5*'Tariffs Jan2019'!AL21/'Tariffs Jan2019'!AJ21-'Tariffs Jan2019'!J21)*('Tariffs Jan2019'!V21/100)*'Tariffs Jan2019'!AJ21,('Tariffs Jan2019'!K21-'Tariffs Jan2019'!J21)*('Tariffs Jan2019'!V21/100)*'Tariffs Jan2019'!AJ21))</f>
        <v>0</v>
      </c>
      <c r="L27" s="59">
        <f>IF($C$5*'Tariffs Jan2019'!AL21/'Tariffs Jan2019'!AJ21&lt;'Tariffs Jan2019'!K21,0,IF($C$5*'Tariffs Jan2019'!AL21/'Tariffs Jan2019'!AJ21&lt;='Tariffs Jan2019'!L21,($C$5*'Tariffs Jan2019'!AL21/'Tariffs Jan2019'!AJ21-'Tariffs Jan2019'!K21)*('Tariffs Jan2019'!W21/100)*'Tariffs Jan2019'!AJ21,('Tariffs Jan2019'!L21-'Tariffs Jan2019'!K21)*('Tariffs Jan2019'!W21/100)*'Tariffs Jan2019'!AJ21))</f>
        <v>0</v>
      </c>
      <c r="M27" s="59">
        <f>IF($C$5*'Tariffs Jan2019'!AL21/'Tariffs Jan2019'!AJ21&lt;'Tariffs Jan2019'!L21,0,IF($C$5*'Tariffs Jan2019'!AL21/'Tariffs Jan2019'!AJ21&lt;='Tariffs Jan2019'!M21,($C$5*'Tariffs Jan2019'!AL21/'Tariffs Jan2019'!AJ21-'Tariffs Jan2019'!L21)*('Tariffs Jan2019'!X21/100)*'Tariffs Jan2019'!AJ21,('Tariffs Jan2019'!M21-'Tariffs Jan2019'!L21)*('Tariffs Jan2019'!X21/100)*'Tariffs Jan2019'!AJ21))</f>
        <v>0</v>
      </c>
      <c r="N27" s="59">
        <f>IF(($C$5*'Tariffs Jan2019'!AL21/'Tariffs Jan2019'!AJ21&gt;'Tariffs Jan2019'!M21),($C$5*'Tariffs Jan2019'!AL21/'Tariffs Jan2019'!AJ21-'Tariffs Jan2019'!M21)*'Tariffs Jan2019'!Y21/100*'Tariffs Jan2019'!AJ21,0)</f>
        <v>403.20000000000005</v>
      </c>
      <c r="O27" s="271">
        <f t="shared" si="0"/>
        <v>1316.7</v>
      </c>
      <c r="P27" s="59">
        <f t="shared" si="1"/>
        <v>1586.4715000000001</v>
      </c>
      <c r="Q27" s="272">
        <f t="shared" si="2"/>
        <v>1745.1186500000003</v>
      </c>
      <c r="R27" s="40">
        <f>'Tariffs Jan2019'!AN21</f>
        <v>0</v>
      </c>
      <c r="S27" s="40">
        <f>'Tariffs Jan2019'!AO21</f>
        <v>0</v>
      </c>
      <c r="T27" s="40">
        <f>'Tariffs Jan2019'!AP21</f>
        <v>0</v>
      </c>
      <c r="U27" s="40">
        <f>'Tariffs Jan2019'!AQ21</f>
        <v>0</v>
      </c>
      <c r="V27" s="273">
        <f>P27</f>
        <v>1586.4715000000001</v>
      </c>
      <c r="W27" s="273">
        <f>V27</f>
        <v>1586.4715000000001</v>
      </c>
      <c r="X27" s="272">
        <f t="shared" si="3"/>
        <v>1745.1186500000003</v>
      </c>
      <c r="Y27" s="272">
        <f t="shared" si="3"/>
        <v>1745.1186500000003</v>
      </c>
      <c r="Z27" s="274">
        <f>'Tariffs Jan2019'!AZ21</f>
        <v>0</v>
      </c>
      <c r="AA27" s="274" t="str">
        <f>'Tariffs Jan2019'!BA21</f>
        <v>n</v>
      </c>
      <c r="AB27" s="275" t="str">
        <f>'Tariffs Jan2019'!BH21</f>
        <v>Y</v>
      </c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</row>
    <row r="28" spans="1:40" x14ac:dyDescent="0.15">
      <c r="A28" s="40" t="str">
        <f>'Tariffs Jan2019'!F22</f>
        <v>EnergyAustralia</v>
      </c>
      <c r="B28" s="40" t="str">
        <f>'Tariffs Jan2019'!D22</f>
        <v>Multinet Metro 2</v>
      </c>
      <c r="C28" s="40" t="str">
        <f>'Tariffs Jan2019'!G22</f>
        <v>Anytime Saver</v>
      </c>
      <c r="D28" s="59">
        <f>365*'Tariffs Jan2019'!H22/100</f>
        <v>286.52499999999998</v>
      </c>
      <c r="E28" s="59">
        <f>IF($C$5*'Tariffs Jan2019'!AK22/'Tariffs Jan2019'!AI22&gt;='Tariffs Jan2019'!J22,( 'Tariffs Jan2019'!J22*'Tariffs Jan2019'!O22/100)* 'Tariffs Jan2019'!AI22,($C$5*'Tariffs Jan2019'!AK22/'Tariffs Jan2019'!AI22*'Tariffs Jan2019'!O22/100)* 'Tariffs Jan2019'!AI22)</f>
        <v>460.79999999999995</v>
      </c>
      <c r="F28" s="59">
        <f>IF($C$5*'Tariffs Jan2019'!AK22/'Tariffs Jan2019'!AI22&lt;'Tariffs Jan2019'!J22,0,IF($C$5*'Tariffs Jan2019'!AK22/'Tariffs Jan2019'!AI22&lt;='Tariffs Jan2019'!K22,($C$5*'Tariffs Jan2019'!AK22/'Tariffs Jan2019'!AI22-'Tariffs Jan2019'!J22)*('Tariffs Jan2019'!P22/100)*'Tariffs Jan2019'!AI22,('Tariffs Jan2019'!K22-'Tariffs Jan2019'!J22)*('Tariffs Jan2019'!P22/100)*'Tariffs Jan2019'!AI22))</f>
        <v>0</v>
      </c>
      <c r="G28" s="59">
        <f>IF($C$5*'Tariffs Jan2019'!AK22/'Tariffs Jan2019'!AI22&lt;'Tariffs Jan2019'!K22,0,IF($C$5*'Tariffs Jan2019'!AK22/'Tariffs Jan2019'!AI22&lt;='Tariffs Jan2019'!L22,($C$5*'Tariffs Jan2019'!AK22/'Tariffs Jan2019'!AI22-'Tariffs Jan2019'!K22)*('Tariffs Jan2019'!Q22/100)*'Tariffs Jan2019'!AI22,('Tariffs Jan2019'!L22-'Tariffs Jan2019'!K22)*('Tariffs Jan2019'!Q22/100)*'Tariffs Jan2019'!AI22))</f>
        <v>0</v>
      </c>
      <c r="H28" s="59">
        <f>IF($C$5*'Tariffs Jan2019'!AK22/'Tariffs Jan2019'!AI22&lt;'Tariffs Jan2019'!L22,0,IF($C$5*'Tariffs Jan2019'!AK22/'Tariffs Jan2019'!AI22&lt;='Tariffs Jan2019'!M22,($C$5*'Tariffs Jan2019'!AK22/'Tariffs Jan2019'!AI22-'Tariffs Jan2019'!L22)*('Tariffs Jan2019'!R22/100)*'Tariffs Jan2019'!AI22,('Tariffs Jan2019'!M22-'Tariffs Jan2019'!L22)*('Tariffs Jan2019'!R22/100)*'Tariffs Jan2019'!AI22))</f>
        <v>0</v>
      </c>
      <c r="I28" s="59">
        <f>IF(($C$5*'Tariffs Jan2019'!AK22/'Tariffs Jan2019'!AI22&gt;'Tariffs Jan2019'!M22),($C$5*'Tariffs Jan2019'!AK22/'Tariffs Jan2019'!AI22-'Tariffs Jan2019'!M22)*'Tariffs Jan2019'!S22/100*'Tariffs Jan2019'!AI22,0)</f>
        <v>251.10000000000002</v>
      </c>
      <c r="J28" s="59">
        <f>IF($C$5*'Tariffs Jan2019'!AL22/'Tariffs Jan2019'!AJ22&gt;='Tariffs Jan2019'!J22,('Tariffs Jan2019'!J22*'Tariffs Jan2019'!U22/100)* 'Tariffs Jan2019'!AJ22,($C$5*'Tariffs Jan2019'!AL22/'Tariffs Jan2019'!AJ22*'Tariffs Jan2019'!U22/100)* 'Tariffs Jan2019'!AJ22)</f>
        <v>460.79999999999995</v>
      </c>
      <c r="K28" s="59">
        <f>IF($C$5*'Tariffs Jan2019'!AL22/'Tariffs Jan2019'!AJ22&lt;'Tariffs Jan2019'!J22,0,IF($C$5*'Tariffs Jan2019'!AL22/'Tariffs Jan2019'!AJ22&lt;='Tariffs Jan2019'!K22,($C$5*'Tariffs Jan2019'!AL22/'Tariffs Jan2019'!AJ22-'Tariffs Jan2019'!J22)*('Tariffs Jan2019'!V22/100)*'Tariffs Jan2019'!AJ22,('Tariffs Jan2019'!K22-'Tariffs Jan2019'!J22)*('Tariffs Jan2019'!V22/100)*'Tariffs Jan2019'!AJ22))</f>
        <v>0</v>
      </c>
      <c r="L28" s="59">
        <f>IF($C$5*'Tariffs Jan2019'!AL22/'Tariffs Jan2019'!AJ22&lt;'Tariffs Jan2019'!K22,0,IF($C$5*'Tariffs Jan2019'!AL22/'Tariffs Jan2019'!AJ22&lt;='Tariffs Jan2019'!L22,($C$5*'Tariffs Jan2019'!AL22/'Tariffs Jan2019'!AJ22-'Tariffs Jan2019'!K22)*('Tariffs Jan2019'!W22/100)*'Tariffs Jan2019'!AJ22,('Tariffs Jan2019'!L22-'Tariffs Jan2019'!K22)*('Tariffs Jan2019'!W22/100)*'Tariffs Jan2019'!AJ22))</f>
        <v>0</v>
      </c>
      <c r="M28" s="59">
        <f>IF($C$5*'Tariffs Jan2019'!AL22/'Tariffs Jan2019'!AJ22&lt;'Tariffs Jan2019'!L22,0,IF($C$5*'Tariffs Jan2019'!AL22/'Tariffs Jan2019'!AJ22&lt;='Tariffs Jan2019'!M22,($C$5*'Tariffs Jan2019'!AL22/'Tariffs Jan2019'!AJ22-'Tariffs Jan2019'!L22)*('Tariffs Jan2019'!X22/100)*'Tariffs Jan2019'!AJ22,('Tariffs Jan2019'!M22-'Tariffs Jan2019'!L22)*('Tariffs Jan2019'!X22/100)*'Tariffs Jan2019'!AJ22))</f>
        <v>0</v>
      </c>
      <c r="N28" s="59">
        <f>IF(($C$5*'Tariffs Jan2019'!AL22/'Tariffs Jan2019'!AJ22&gt;'Tariffs Jan2019'!M22),($C$5*'Tariffs Jan2019'!AL22/'Tariffs Jan2019'!AJ22-'Tariffs Jan2019'!M22)*'Tariffs Jan2019'!Y22/100*'Tariffs Jan2019'!AJ22,0)</f>
        <v>251.10000000000002</v>
      </c>
      <c r="O28" s="271">
        <f t="shared" si="0"/>
        <v>1423.7999999999997</v>
      </c>
      <c r="P28" s="59">
        <f t="shared" si="1"/>
        <v>1710.3249999999998</v>
      </c>
      <c r="Q28" s="272">
        <f t="shared" si="2"/>
        <v>1881.3574999999998</v>
      </c>
      <c r="R28" s="40">
        <f>'Tariffs Jan2019'!AN22</f>
        <v>0</v>
      </c>
      <c r="S28" s="40">
        <f>'Tariffs Jan2019'!AO22</f>
        <v>22</v>
      </c>
      <c r="T28" s="40">
        <f>'Tariffs Jan2019'!AP22</f>
        <v>0</v>
      </c>
      <c r="U28" s="40">
        <f>'Tariffs Jan2019'!AQ22</f>
        <v>0</v>
      </c>
      <c r="V28" s="273">
        <f>P28-(O28*S28/100)</f>
        <v>1397.0889999999999</v>
      </c>
      <c r="W28" s="273">
        <f>V28-(O28*U28/100)</f>
        <v>1397.0889999999999</v>
      </c>
      <c r="X28" s="272">
        <f t="shared" si="3"/>
        <v>1536.7979</v>
      </c>
      <c r="Y28" s="272">
        <f t="shared" si="3"/>
        <v>1536.7979</v>
      </c>
      <c r="Z28" s="274">
        <f>'Tariffs Jan2019'!AZ22</f>
        <v>0</v>
      </c>
      <c r="AA28" s="274" t="str">
        <f>'Tariffs Jan2019'!BA22</f>
        <v>n</v>
      </c>
      <c r="AB28" s="275" t="str">
        <f>'Tariffs Jan2019'!BH22</f>
        <v>N</v>
      </c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</row>
    <row r="29" spans="1:40" x14ac:dyDescent="0.15">
      <c r="A29" s="40" t="str">
        <f>'Tariffs Jan2019'!F23</f>
        <v>Lumo Energy</v>
      </c>
      <c r="B29" s="40" t="str">
        <f>'Tariffs Jan2019'!D23</f>
        <v>Multinet Metro 2</v>
      </c>
      <c r="C29" s="40" t="str">
        <f>'Tariffs Jan2019'!G23</f>
        <v>Value</v>
      </c>
      <c r="D29" s="59">
        <f>365*'Tariffs Jan2019'!H23/100</f>
        <v>237.25</v>
      </c>
      <c r="E29" s="59">
        <f>IF($C$5*'Tariffs Jan2019'!AK23/'Tariffs Jan2019'!AI23&gt;='Tariffs Jan2019'!J23,( 'Tariffs Jan2019'!J23*'Tariffs Jan2019'!O23/100)* 'Tariffs Jan2019'!AI23,($C$5*'Tariffs Jan2019'!AK23/'Tariffs Jan2019'!AI23*'Tariffs Jan2019'!O23/100)* 'Tariffs Jan2019'!AI23)</f>
        <v>189</v>
      </c>
      <c r="F29" s="59">
        <f>IF($C$5*'Tariffs Jan2019'!AK23/'Tariffs Jan2019'!AI23&lt;'Tariffs Jan2019'!J23,0,IF($C$5*'Tariffs Jan2019'!AK23/'Tariffs Jan2019'!AI23&lt;='Tariffs Jan2019'!K23,($C$5*'Tariffs Jan2019'!AK23/'Tariffs Jan2019'!AI23-'Tariffs Jan2019'!J23)*('Tariffs Jan2019'!P23/100)*'Tariffs Jan2019'!AI23,('Tariffs Jan2019'!K23-'Tariffs Jan2019'!J23)*('Tariffs Jan2019'!P23/100)*'Tariffs Jan2019'!AI23))</f>
        <v>175.5</v>
      </c>
      <c r="G29" s="59">
        <f>IF($C$5*'Tariffs Jan2019'!AK23/'Tariffs Jan2019'!AI23&lt;'Tariffs Jan2019'!K23,0,IF($C$5*'Tariffs Jan2019'!AK23/'Tariffs Jan2019'!AI23&lt;='Tariffs Jan2019'!L23,($C$5*'Tariffs Jan2019'!AK23/'Tariffs Jan2019'!AI23-'Tariffs Jan2019'!K23)*('Tariffs Jan2019'!Q23/100)*'Tariffs Jan2019'!AI23,('Tariffs Jan2019'!L23-'Tariffs Jan2019'!K23)*('Tariffs Jan2019'!Q23/100)*'Tariffs Jan2019'!AI23))</f>
        <v>162.00000000000003</v>
      </c>
      <c r="H29" s="59">
        <f>IF($C$5*'Tariffs Jan2019'!AK23/'Tariffs Jan2019'!AI23&lt;'Tariffs Jan2019'!L23,0,IF($C$5*'Tariffs Jan2019'!AK23/'Tariffs Jan2019'!AI23&lt;='Tariffs Jan2019'!M23,($C$5*'Tariffs Jan2019'!AK23/'Tariffs Jan2019'!AI23-'Tariffs Jan2019'!L23)*('Tariffs Jan2019'!R23/100)*'Tariffs Jan2019'!AI23,('Tariffs Jan2019'!M23-'Tariffs Jan2019'!L23)*('Tariffs Jan2019'!R23/100)*'Tariffs Jan2019'!AI23))</f>
        <v>72</v>
      </c>
      <c r="I29" s="59">
        <f>IF(($C$5*'Tariffs Jan2019'!AK23/'Tariffs Jan2019'!AI23&gt;'Tariffs Jan2019'!M23),($C$5*'Tariffs Jan2019'!AK23/'Tariffs Jan2019'!AI23-'Tariffs Jan2019'!M23)*'Tariffs Jan2019'!S23/100*'Tariffs Jan2019'!AI23,0)</f>
        <v>0</v>
      </c>
      <c r="J29" s="59">
        <f>IF($C$5*'Tariffs Jan2019'!AL23/'Tariffs Jan2019'!AJ23&gt;='Tariffs Jan2019'!J23,('Tariffs Jan2019'!J23*'Tariffs Jan2019'!U23/100)* 'Tariffs Jan2019'!AJ23,($C$5*'Tariffs Jan2019'!AL23/'Tariffs Jan2019'!AJ23*'Tariffs Jan2019'!U23/100)* 'Tariffs Jan2019'!AJ23)</f>
        <v>180</v>
      </c>
      <c r="K29" s="59">
        <f>IF($C$5*'Tariffs Jan2019'!AL23/'Tariffs Jan2019'!AJ23&lt;'Tariffs Jan2019'!J23,0,IF($C$5*'Tariffs Jan2019'!AL23/'Tariffs Jan2019'!AJ23&lt;='Tariffs Jan2019'!K23,($C$5*'Tariffs Jan2019'!AL23/'Tariffs Jan2019'!AJ23-'Tariffs Jan2019'!J23)*('Tariffs Jan2019'!V23/100)*'Tariffs Jan2019'!AJ23,('Tariffs Jan2019'!K23-'Tariffs Jan2019'!J23)*('Tariffs Jan2019'!V23/100)*'Tariffs Jan2019'!AJ23))</f>
        <v>162.00000000000003</v>
      </c>
      <c r="L29" s="59">
        <f>IF($C$5*'Tariffs Jan2019'!AL23/'Tariffs Jan2019'!AJ23&lt;'Tariffs Jan2019'!K23,0,IF($C$5*'Tariffs Jan2019'!AL23/'Tariffs Jan2019'!AJ23&lt;='Tariffs Jan2019'!L23,($C$5*'Tariffs Jan2019'!AL23/'Tariffs Jan2019'!AJ23-'Tariffs Jan2019'!K23)*('Tariffs Jan2019'!W23/100)*'Tariffs Jan2019'!AJ23,('Tariffs Jan2019'!L23-'Tariffs Jan2019'!K23)*('Tariffs Jan2019'!W23/100)*'Tariffs Jan2019'!AJ23))</f>
        <v>153.00000000000003</v>
      </c>
      <c r="M29" s="59">
        <f>IF($C$5*'Tariffs Jan2019'!AL23/'Tariffs Jan2019'!AJ23&lt;'Tariffs Jan2019'!L23,0,IF($C$5*'Tariffs Jan2019'!AL23/'Tariffs Jan2019'!AJ23&lt;='Tariffs Jan2019'!M23,($C$5*'Tariffs Jan2019'!AL23/'Tariffs Jan2019'!AJ23-'Tariffs Jan2019'!L23)*('Tariffs Jan2019'!X23/100)*'Tariffs Jan2019'!AJ23,('Tariffs Jan2019'!M23-'Tariffs Jan2019'!L23)*('Tariffs Jan2019'!X23/100)*'Tariffs Jan2019'!AJ23))</f>
        <v>67.5</v>
      </c>
      <c r="N29" s="59">
        <f>IF(($C$5*'Tariffs Jan2019'!AL23/'Tariffs Jan2019'!AJ23&gt;'Tariffs Jan2019'!M23),($C$5*'Tariffs Jan2019'!AL23/'Tariffs Jan2019'!AJ23-'Tariffs Jan2019'!M23)*'Tariffs Jan2019'!Y23/100*'Tariffs Jan2019'!AJ23,0)</f>
        <v>0</v>
      </c>
      <c r="O29" s="271">
        <f t="shared" si="0"/>
        <v>1161</v>
      </c>
      <c r="P29" s="59">
        <f t="shared" si="1"/>
        <v>1398.25</v>
      </c>
      <c r="Q29" s="272">
        <f t="shared" si="2"/>
        <v>1538.075</v>
      </c>
      <c r="R29" s="40">
        <f>'Tariffs Jan2019'!AN23</f>
        <v>0</v>
      </c>
      <c r="S29" s="40">
        <f>'Tariffs Jan2019'!AO23</f>
        <v>0</v>
      </c>
      <c r="T29" s="40">
        <f>'Tariffs Jan2019'!AP23</f>
        <v>3</v>
      </c>
      <c r="U29" s="40">
        <f>'Tariffs Jan2019'!AQ23</f>
        <v>0</v>
      </c>
      <c r="V29" s="273">
        <f t="shared" ref="V29:V37" si="5">P29</f>
        <v>1398.25</v>
      </c>
      <c r="W29" s="273">
        <f>V29-(P29*T29/100)</f>
        <v>1356.3025</v>
      </c>
      <c r="X29" s="272">
        <f t="shared" si="3"/>
        <v>1538.075</v>
      </c>
      <c r="Y29" s="272">
        <f t="shared" si="3"/>
        <v>1491.9327500000002</v>
      </c>
      <c r="Z29" s="274">
        <f>'Tariffs Jan2019'!AZ23</f>
        <v>0</v>
      </c>
      <c r="AA29" s="274" t="str">
        <f>'Tariffs Jan2019'!BA23</f>
        <v>n</v>
      </c>
      <c r="AB29" s="275" t="str">
        <f>'Tariffs Jan2019'!BH23</f>
        <v>N</v>
      </c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</row>
    <row r="30" spans="1:40" x14ac:dyDescent="0.15">
      <c r="A30" s="40" t="str">
        <f>'Tariffs Jan2019'!F24</f>
        <v>Momentum Energy</v>
      </c>
      <c r="B30" s="40" t="str">
        <f>'Tariffs Jan2019'!D24</f>
        <v>Multinet Metro 2</v>
      </c>
      <c r="C30" s="40" t="str">
        <f>'Tariffs Jan2019'!G24</f>
        <v>Market offer</v>
      </c>
      <c r="D30" s="59">
        <f>365*'Tariffs Jan2019'!H24/100</f>
        <v>297.25599999999997</v>
      </c>
      <c r="E30" s="59">
        <f>IF($C$5*'Tariffs Jan2019'!AK24/'Tariffs Jan2019'!AI24&gt;='Tariffs Jan2019'!J24,( 'Tariffs Jan2019'!J24*'Tariffs Jan2019'!O24/100)* 'Tariffs Jan2019'!AI24,($C$5*'Tariffs Jan2019'!AK24/'Tariffs Jan2019'!AI24*'Tariffs Jan2019'!O24/100)* 'Tariffs Jan2019'!AI24)</f>
        <v>195.57</v>
      </c>
      <c r="F30" s="59">
        <f>IF($C$5*'Tariffs Jan2019'!AK24/'Tariffs Jan2019'!AI24&lt;'Tariffs Jan2019'!J24,0,IF($C$5*'Tariffs Jan2019'!AK24/'Tariffs Jan2019'!AI24&lt;='Tariffs Jan2019'!K24,($C$5*'Tariffs Jan2019'!AK24/'Tariffs Jan2019'!AI24-'Tariffs Jan2019'!J24)*('Tariffs Jan2019'!P24/100)*'Tariffs Jan2019'!AI24,('Tariffs Jan2019'!K24-'Tariffs Jan2019'!J24)*('Tariffs Jan2019'!P24/100)*'Tariffs Jan2019'!AI24))</f>
        <v>178.56</v>
      </c>
      <c r="G30" s="59">
        <f>IF($C$5*'Tariffs Jan2019'!AK24/'Tariffs Jan2019'!AI24&lt;'Tariffs Jan2019'!K24,0,IF($C$5*'Tariffs Jan2019'!AK24/'Tariffs Jan2019'!AI24&lt;='Tariffs Jan2019'!L24,($C$5*'Tariffs Jan2019'!AK24/'Tariffs Jan2019'!AI24-'Tariffs Jan2019'!K24)*('Tariffs Jan2019'!Q24/100)*'Tariffs Jan2019'!AI24,('Tariffs Jan2019'!L24-'Tariffs Jan2019'!K24)*('Tariffs Jan2019'!Q24/100)*'Tariffs Jan2019'!AI24))</f>
        <v>158.04</v>
      </c>
      <c r="H30" s="59">
        <f>IF($C$5*'Tariffs Jan2019'!AK24/'Tariffs Jan2019'!AI24&lt;'Tariffs Jan2019'!L24,0,IF($C$5*'Tariffs Jan2019'!AK24/'Tariffs Jan2019'!AI24&lt;='Tariffs Jan2019'!M24,($C$5*'Tariffs Jan2019'!AK24/'Tariffs Jan2019'!AI24-'Tariffs Jan2019'!L24)*('Tariffs Jan2019'!R24/100)*'Tariffs Jan2019'!AI24,('Tariffs Jan2019'!M24-'Tariffs Jan2019'!L24)*('Tariffs Jan2019'!R24/100)*'Tariffs Jan2019'!AI24))</f>
        <v>73.574999999999989</v>
      </c>
      <c r="I30" s="59">
        <f>IF(($C$5*'Tariffs Jan2019'!AK24/'Tariffs Jan2019'!AI24&gt;'Tariffs Jan2019'!M24),($C$5*'Tariffs Jan2019'!AK24/'Tariffs Jan2019'!AI24-'Tariffs Jan2019'!M24)*'Tariffs Jan2019'!S24/100*'Tariffs Jan2019'!AI24,0)</f>
        <v>0</v>
      </c>
      <c r="J30" s="59">
        <f>IF($C$5*'Tariffs Jan2019'!AL24/'Tariffs Jan2019'!AJ24&gt;='Tariffs Jan2019'!J24,('Tariffs Jan2019'!J24*'Tariffs Jan2019'!U24/100)* 'Tariffs Jan2019'!AJ24,($C$5*'Tariffs Jan2019'!AL24/'Tariffs Jan2019'!AJ24*'Tariffs Jan2019'!U24/100)* 'Tariffs Jan2019'!AJ24)</f>
        <v>180.53999999999996</v>
      </c>
      <c r="K30" s="59">
        <f>IF($C$5*'Tariffs Jan2019'!AL24/'Tariffs Jan2019'!AJ24&lt;'Tariffs Jan2019'!J24,0,IF($C$5*'Tariffs Jan2019'!AL24/'Tariffs Jan2019'!AJ24&lt;='Tariffs Jan2019'!K24,($C$5*'Tariffs Jan2019'!AL24/'Tariffs Jan2019'!AJ24-'Tariffs Jan2019'!J24)*('Tariffs Jan2019'!V24/100)*'Tariffs Jan2019'!AJ24,('Tariffs Jan2019'!K24-'Tariffs Jan2019'!J24)*('Tariffs Jan2019'!V24/100)*'Tariffs Jan2019'!AJ24))</f>
        <v>166.23000000000002</v>
      </c>
      <c r="L30" s="59">
        <f>IF($C$5*'Tariffs Jan2019'!AL24/'Tariffs Jan2019'!AJ24&lt;'Tariffs Jan2019'!K24,0,IF($C$5*'Tariffs Jan2019'!AL24/'Tariffs Jan2019'!AJ24&lt;='Tariffs Jan2019'!L24,($C$5*'Tariffs Jan2019'!AL24/'Tariffs Jan2019'!AJ24-'Tariffs Jan2019'!K24)*('Tariffs Jan2019'!W24/100)*'Tariffs Jan2019'!AJ24,('Tariffs Jan2019'!L24-'Tariffs Jan2019'!K24)*('Tariffs Jan2019'!W24/100)*'Tariffs Jan2019'!AJ24))</f>
        <v>148.76999999999998</v>
      </c>
      <c r="M30" s="59">
        <f>IF($C$5*'Tariffs Jan2019'!AL24/'Tariffs Jan2019'!AJ24&lt;'Tariffs Jan2019'!L24,0,IF($C$5*'Tariffs Jan2019'!AL24/'Tariffs Jan2019'!AJ24&lt;='Tariffs Jan2019'!M24,($C$5*'Tariffs Jan2019'!AL24/'Tariffs Jan2019'!AJ24-'Tariffs Jan2019'!L24)*('Tariffs Jan2019'!X24/100)*'Tariffs Jan2019'!AJ24,('Tariffs Jan2019'!M24-'Tariffs Jan2019'!L24)*('Tariffs Jan2019'!X24/100)*'Tariffs Jan2019'!AJ24))</f>
        <v>69.75</v>
      </c>
      <c r="N30" s="59">
        <f>IF(($C$5*'Tariffs Jan2019'!AL24/'Tariffs Jan2019'!AJ24&gt;'Tariffs Jan2019'!M24),($C$5*'Tariffs Jan2019'!AL24/'Tariffs Jan2019'!AJ24-'Tariffs Jan2019'!M24)*'Tariffs Jan2019'!Y24/100*'Tariffs Jan2019'!AJ24,0)</f>
        <v>0</v>
      </c>
      <c r="O30" s="271">
        <f t="shared" si="0"/>
        <v>1171.0349999999999</v>
      </c>
      <c r="P30" s="59">
        <f t="shared" si="1"/>
        <v>1468.2909999999997</v>
      </c>
      <c r="Q30" s="272">
        <f t="shared" si="2"/>
        <v>1615.1200999999999</v>
      </c>
      <c r="R30" s="40">
        <f>'Tariffs Jan2019'!AN24</f>
        <v>0</v>
      </c>
      <c r="S30" s="40">
        <f>'Tariffs Jan2019'!AO24</f>
        <v>0</v>
      </c>
      <c r="T30" s="40">
        <f>'Tariffs Jan2019'!AP24</f>
        <v>0</v>
      </c>
      <c r="U30" s="40">
        <f>'Tariffs Jan2019'!AQ24</f>
        <v>0</v>
      </c>
      <c r="V30" s="273">
        <f t="shared" si="5"/>
        <v>1468.2909999999997</v>
      </c>
      <c r="W30" s="273">
        <f>V30</f>
        <v>1468.2909999999997</v>
      </c>
      <c r="X30" s="272">
        <f t="shared" si="3"/>
        <v>1615.1200999999999</v>
      </c>
      <c r="Y30" s="272">
        <f t="shared" si="3"/>
        <v>1615.1200999999999</v>
      </c>
      <c r="Z30" s="274">
        <f>'Tariffs Jan2019'!AZ24</f>
        <v>0</v>
      </c>
      <c r="AA30" s="274" t="str">
        <f>'Tariffs Jan2019'!BA24</f>
        <v>n</v>
      </c>
      <c r="AB30" s="275" t="str">
        <f>'Tariffs Jan2019'!BH24</f>
        <v>Y</v>
      </c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</row>
    <row r="31" spans="1:40" x14ac:dyDescent="0.15">
      <c r="A31" s="40" t="str">
        <f>'Tariffs Jan2019'!F25</f>
        <v>Origin Energy</v>
      </c>
      <c r="B31" s="40" t="str">
        <f>'Tariffs Jan2019'!D25</f>
        <v>Multinet Metro 2</v>
      </c>
      <c r="C31" s="40" t="str">
        <f>'Tariffs Jan2019'!G25</f>
        <v>Saver</v>
      </c>
      <c r="D31" s="59">
        <f>365*'Tariffs Jan2019'!H25/100</f>
        <v>255.5</v>
      </c>
      <c r="E31" s="59">
        <f>IF($C$5*'Tariffs Jan2019'!AK25/'Tariffs Jan2019'!AI25&gt;='Tariffs Jan2019'!J25,( 'Tariffs Jan2019'!J25*'Tariffs Jan2019'!O25/100)* 'Tariffs Jan2019'!AI25,($C$5*'Tariffs Jan2019'!AK25/'Tariffs Jan2019'!AI25*'Tariffs Jan2019'!O25/100)* 'Tariffs Jan2019'!AI25)</f>
        <v>432</v>
      </c>
      <c r="F31" s="59">
        <f>IF($C$5*'Tariffs Jan2019'!AK25/'Tariffs Jan2019'!AI25&lt;'Tariffs Jan2019'!J25,0,IF($C$5*'Tariffs Jan2019'!AK25/'Tariffs Jan2019'!AI25&lt;='Tariffs Jan2019'!K25,($C$5*'Tariffs Jan2019'!AK25/'Tariffs Jan2019'!AI25-'Tariffs Jan2019'!J25)*('Tariffs Jan2019'!P25/100)*'Tariffs Jan2019'!AI25,('Tariffs Jan2019'!K25-'Tariffs Jan2019'!J25)*('Tariffs Jan2019'!P25/100)*'Tariffs Jan2019'!AI25))</f>
        <v>175.5</v>
      </c>
      <c r="G31" s="59">
        <f>IF($C$5*'Tariffs Jan2019'!AK25/'Tariffs Jan2019'!AI25&lt;'Tariffs Jan2019'!K25,0,IF($C$5*'Tariffs Jan2019'!AK25/'Tariffs Jan2019'!AI25&lt;='Tariffs Jan2019'!L25,($C$5*'Tariffs Jan2019'!AK25/'Tariffs Jan2019'!AI25-'Tariffs Jan2019'!K25)*('Tariffs Jan2019'!Q25/100)*'Tariffs Jan2019'!AI25,('Tariffs Jan2019'!L25-'Tariffs Jan2019'!K25)*('Tariffs Jan2019'!Q25/100)*'Tariffs Jan2019'!AI25))</f>
        <v>0</v>
      </c>
      <c r="H31" s="59">
        <f>IF($C$5*'Tariffs Jan2019'!AK25/'Tariffs Jan2019'!AI25&lt;'Tariffs Jan2019'!L25,0,IF($C$5*'Tariffs Jan2019'!AK25/'Tariffs Jan2019'!AI25&lt;='Tariffs Jan2019'!M25,($C$5*'Tariffs Jan2019'!AK25/'Tariffs Jan2019'!AI25-'Tariffs Jan2019'!L25)*('Tariffs Jan2019'!R25/100)*'Tariffs Jan2019'!AI25,('Tariffs Jan2019'!M25-'Tariffs Jan2019'!L25)*('Tariffs Jan2019'!R25/100)*'Tariffs Jan2019'!AI25))</f>
        <v>0</v>
      </c>
      <c r="I31" s="59">
        <f>IF(($C$5*'Tariffs Jan2019'!AK25/'Tariffs Jan2019'!AI25&gt;'Tariffs Jan2019'!M25),($C$5*'Tariffs Jan2019'!AK25/'Tariffs Jan2019'!AI25-'Tariffs Jan2019'!M25)*'Tariffs Jan2019'!S25/100*'Tariffs Jan2019'!AI25,0)</f>
        <v>65.25</v>
      </c>
      <c r="J31" s="59">
        <f>IF($C$5*'Tariffs Jan2019'!AL25/'Tariffs Jan2019'!AJ25&gt;='Tariffs Jan2019'!J25,('Tariffs Jan2019'!J25*'Tariffs Jan2019'!U25/100)* 'Tariffs Jan2019'!AJ25,($C$5*'Tariffs Jan2019'!AL25/'Tariffs Jan2019'!AJ25*'Tariffs Jan2019'!U25/100)* 'Tariffs Jan2019'!AJ25)</f>
        <v>396.00000000000011</v>
      </c>
      <c r="K31" s="59">
        <f>IF($C$5*'Tariffs Jan2019'!AL25/'Tariffs Jan2019'!AJ25&lt;'Tariffs Jan2019'!J25,0,IF($C$5*'Tariffs Jan2019'!AL25/'Tariffs Jan2019'!AJ25&lt;='Tariffs Jan2019'!K25,($C$5*'Tariffs Jan2019'!AL25/'Tariffs Jan2019'!AJ25-'Tariffs Jan2019'!J25)*('Tariffs Jan2019'!V25/100)*'Tariffs Jan2019'!AJ25,('Tariffs Jan2019'!K25-'Tariffs Jan2019'!J25)*('Tariffs Jan2019'!V25/100)*'Tariffs Jan2019'!AJ25))</f>
        <v>157.50000000000003</v>
      </c>
      <c r="L31" s="59">
        <f>IF($C$5*'Tariffs Jan2019'!AL25/'Tariffs Jan2019'!AJ25&lt;'Tariffs Jan2019'!K25,0,IF($C$5*'Tariffs Jan2019'!AL25/'Tariffs Jan2019'!AJ25&lt;='Tariffs Jan2019'!L25,($C$5*'Tariffs Jan2019'!AL25/'Tariffs Jan2019'!AJ25-'Tariffs Jan2019'!K25)*('Tariffs Jan2019'!W25/100)*'Tariffs Jan2019'!AJ25,('Tariffs Jan2019'!L25-'Tariffs Jan2019'!K25)*('Tariffs Jan2019'!W25/100)*'Tariffs Jan2019'!AJ25))</f>
        <v>0</v>
      </c>
      <c r="M31" s="59">
        <f>IF($C$5*'Tariffs Jan2019'!AL25/'Tariffs Jan2019'!AJ25&lt;'Tariffs Jan2019'!L25,0,IF($C$5*'Tariffs Jan2019'!AL25/'Tariffs Jan2019'!AJ25&lt;='Tariffs Jan2019'!M25,($C$5*'Tariffs Jan2019'!AL25/'Tariffs Jan2019'!AJ25-'Tariffs Jan2019'!L25)*('Tariffs Jan2019'!X25/100)*'Tariffs Jan2019'!AJ25,('Tariffs Jan2019'!M25-'Tariffs Jan2019'!L25)*('Tariffs Jan2019'!X25/100)*'Tariffs Jan2019'!AJ25))</f>
        <v>0</v>
      </c>
      <c r="N31" s="59">
        <f>IF(($C$5*'Tariffs Jan2019'!AL25/'Tariffs Jan2019'!AJ25&gt;'Tariffs Jan2019'!M25),($C$5*'Tariffs Jan2019'!AL25/'Tariffs Jan2019'!AJ25-'Tariffs Jan2019'!M25)*'Tariffs Jan2019'!Y25/100*'Tariffs Jan2019'!AJ25,0)</f>
        <v>60.750000000000014</v>
      </c>
      <c r="O31" s="271">
        <f t="shared" si="0"/>
        <v>1287</v>
      </c>
      <c r="P31" s="59">
        <f t="shared" si="1"/>
        <v>1542.5</v>
      </c>
      <c r="Q31" s="272">
        <f t="shared" si="2"/>
        <v>1696.7500000000002</v>
      </c>
      <c r="R31" s="40">
        <f>'Tariffs Jan2019'!AN25</f>
        <v>0</v>
      </c>
      <c r="S31" s="40">
        <f>'Tariffs Jan2019'!AO25</f>
        <v>0</v>
      </c>
      <c r="T31" s="40">
        <f>'Tariffs Jan2019'!AP25</f>
        <v>0</v>
      </c>
      <c r="U31" s="40">
        <f>'Tariffs Jan2019'!AQ25</f>
        <v>13</v>
      </c>
      <c r="V31" s="273">
        <f t="shared" si="5"/>
        <v>1542.5</v>
      </c>
      <c r="W31" s="273">
        <f>V31-(O31*U31/100)</f>
        <v>1375.19</v>
      </c>
      <c r="X31" s="272">
        <f t="shared" si="3"/>
        <v>1696.7500000000002</v>
      </c>
      <c r="Y31" s="272">
        <f t="shared" si="3"/>
        <v>1512.7090000000003</v>
      </c>
      <c r="Z31" s="274">
        <f>'Tariffs Jan2019'!AZ25</f>
        <v>0</v>
      </c>
      <c r="AA31" s="274" t="str">
        <f>'Tariffs Jan2019'!BA25</f>
        <v>n</v>
      </c>
      <c r="AB31" s="275" t="str">
        <f>'Tariffs Jan2019'!BH25</f>
        <v>N</v>
      </c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</row>
    <row r="32" spans="1:40" x14ac:dyDescent="0.15">
      <c r="A32" s="40" t="str">
        <f>'Tariffs Jan2019'!F26</f>
        <v>Red Energy</v>
      </c>
      <c r="B32" s="40" t="str">
        <f>'Tariffs Jan2019'!D26</f>
        <v>Multinet Metro 2</v>
      </c>
      <c r="C32" s="40" t="str">
        <f>'Tariffs Jan2019'!G26</f>
        <v>Easy Saver</v>
      </c>
      <c r="D32" s="59">
        <f>365*'Tariffs Jan2019'!H26/100</f>
        <v>255.5</v>
      </c>
      <c r="E32" s="59">
        <f>IF($C$5*'Tariffs Jan2019'!AK26/'Tariffs Jan2019'!AI26&gt;='Tariffs Jan2019'!J26,( 'Tariffs Jan2019'!J26*'Tariffs Jan2019'!O26/100)* 'Tariffs Jan2019'!AI26,($C$5*'Tariffs Jan2019'!AK26/'Tariffs Jan2019'!AI26*'Tariffs Jan2019'!O26/100)* 'Tariffs Jan2019'!AI26)</f>
        <v>210</v>
      </c>
      <c r="F32" s="59">
        <f>IF($C$5*'Tariffs Jan2019'!AK26/'Tariffs Jan2019'!AI26&lt;'Tariffs Jan2019'!J26,0,IF($C$5*'Tariffs Jan2019'!AK26/'Tariffs Jan2019'!AI26&lt;='Tariffs Jan2019'!K26,($C$5*'Tariffs Jan2019'!AK26/'Tariffs Jan2019'!AI26-'Tariffs Jan2019'!J26)*('Tariffs Jan2019'!P26/100)*'Tariffs Jan2019'!AI26,('Tariffs Jan2019'!K26-'Tariffs Jan2019'!J26)*('Tariffs Jan2019'!P26/100)*'Tariffs Jan2019'!AI26))</f>
        <v>0</v>
      </c>
      <c r="G32" s="59">
        <f>IF($C$5*'Tariffs Jan2019'!AK26/'Tariffs Jan2019'!AI26&lt;'Tariffs Jan2019'!K26,0,IF($C$5*'Tariffs Jan2019'!AK26/'Tariffs Jan2019'!AI26&lt;='Tariffs Jan2019'!L26,($C$5*'Tariffs Jan2019'!AK26/'Tariffs Jan2019'!AI26-'Tariffs Jan2019'!K26)*('Tariffs Jan2019'!Q26/100)*'Tariffs Jan2019'!AI26,('Tariffs Jan2019'!L26-'Tariffs Jan2019'!K26)*('Tariffs Jan2019'!Q26/100)*'Tariffs Jan2019'!AI26))</f>
        <v>0</v>
      </c>
      <c r="H32" s="59">
        <f>IF($C$5*'Tariffs Jan2019'!AK26/'Tariffs Jan2019'!AI26&lt;'Tariffs Jan2019'!L26,0,IF($C$5*'Tariffs Jan2019'!AK26/'Tariffs Jan2019'!AI26&lt;='Tariffs Jan2019'!M26,($C$5*'Tariffs Jan2019'!AK26/'Tariffs Jan2019'!AI26-'Tariffs Jan2019'!L26)*('Tariffs Jan2019'!R26/100)*'Tariffs Jan2019'!AI26,('Tariffs Jan2019'!M26-'Tariffs Jan2019'!L26)*('Tariffs Jan2019'!R26/100)*'Tariffs Jan2019'!AI26))</f>
        <v>0</v>
      </c>
      <c r="I32" s="59">
        <f>IF(($C$5*'Tariffs Jan2019'!AK26/'Tariffs Jan2019'!AI26&gt;'Tariffs Jan2019'!M26),($C$5*'Tariffs Jan2019'!AK26/'Tariffs Jan2019'!AI26-'Tariffs Jan2019'!M26)*'Tariffs Jan2019'!S26/100*'Tariffs Jan2019'!AI26,0)</f>
        <v>369.6</v>
      </c>
      <c r="J32" s="59">
        <f>IF($C$5*'Tariffs Jan2019'!AL26/'Tariffs Jan2019'!AJ26&gt;='Tariffs Jan2019'!J26,('Tariffs Jan2019'!J26*'Tariffs Jan2019'!U26/100)* 'Tariffs Jan2019'!AJ26,($C$5*'Tariffs Jan2019'!AL26/'Tariffs Jan2019'!AJ26*'Tariffs Jan2019'!U26/100)* 'Tariffs Jan2019'!AJ26)</f>
        <v>194.25</v>
      </c>
      <c r="K32" s="59">
        <f>IF($C$5*'Tariffs Jan2019'!AL26/'Tariffs Jan2019'!AJ26&lt;'Tariffs Jan2019'!J26,0,IF($C$5*'Tariffs Jan2019'!AL26/'Tariffs Jan2019'!AJ26&lt;='Tariffs Jan2019'!K26,($C$5*'Tariffs Jan2019'!AL26/'Tariffs Jan2019'!AJ26-'Tariffs Jan2019'!J26)*('Tariffs Jan2019'!V26/100)*'Tariffs Jan2019'!AJ26,('Tariffs Jan2019'!K26-'Tariffs Jan2019'!J26)*('Tariffs Jan2019'!V26/100)*'Tariffs Jan2019'!AJ26))</f>
        <v>0</v>
      </c>
      <c r="L32" s="59">
        <f>IF($C$5*'Tariffs Jan2019'!AL26/'Tariffs Jan2019'!AJ26&lt;'Tariffs Jan2019'!K26,0,IF($C$5*'Tariffs Jan2019'!AL26/'Tariffs Jan2019'!AJ26&lt;='Tariffs Jan2019'!L26,($C$5*'Tariffs Jan2019'!AL26/'Tariffs Jan2019'!AJ26-'Tariffs Jan2019'!K26)*('Tariffs Jan2019'!W26/100)*'Tariffs Jan2019'!AJ26,('Tariffs Jan2019'!L26-'Tariffs Jan2019'!K26)*('Tariffs Jan2019'!W26/100)*'Tariffs Jan2019'!AJ26))</f>
        <v>0</v>
      </c>
      <c r="M32" s="59">
        <f>IF($C$5*'Tariffs Jan2019'!AL26/'Tariffs Jan2019'!AJ26&lt;'Tariffs Jan2019'!L26,0,IF($C$5*'Tariffs Jan2019'!AL26/'Tariffs Jan2019'!AJ26&lt;='Tariffs Jan2019'!M26,($C$5*'Tariffs Jan2019'!AL26/'Tariffs Jan2019'!AJ26-'Tariffs Jan2019'!L26)*('Tariffs Jan2019'!X26/100)*'Tariffs Jan2019'!AJ26,('Tariffs Jan2019'!M26-'Tariffs Jan2019'!L26)*('Tariffs Jan2019'!X26/100)*'Tariffs Jan2019'!AJ26))</f>
        <v>0</v>
      </c>
      <c r="N32" s="59">
        <f>IF(($C$5*'Tariffs Jan2019'!AL26/'Tariffs Jan2019'!AJ26&gt;'Tariffs Jan2019'!M26),($C$5*'Tariffs Jan2019'!AL26/'Tariffs Jan2019'!AJ26-'Tariffs Jan2019'!M26)*'Tariffs Jan2019'!Y26/100*'Tariffs Jan2019'!AJ26,0)</f>
        <v>357</v>
      </c>
      <c r="O32" s="271">
        <f t="shared" si="0"/>
        <v>1130.8499999999999</v>
      </c>
      <c r="P32" s="59">
        <f t="shared" si="1"/>
        <v>1386.35</v>
      </c>
      <c r="Q32" s="272">
        <f t="shared" si="2"/>
        <v>1524.9850000000001</v>
      </c>
      <c r="R32" s="40">
        <f>'Tariffs Jan2019'!AN26</f>
        <v>0</v>
      </c>
      <c r="S32" s="40">
        <f>'Tariffs Jan2019'!AO26</f>
        <v>0</v>
      </c>
      <c r="T32" s="40">
        <f>'Tariffs Jan2019'!AP26</f>
        <v>10</v>
      </c>
      <c r="U32" s="40">
        <f>'Tariffs Jan2019'!AQ26</f>
        <v>0</v>
      </c>
      <c r="V32" s="273">
        <f t="shared" si="5"/>
        <v>1386.35</v>
      </c>
      <c r="W32" s="273">
        <f>V32-(P32*T32/100)</f>
        <v>1247.7149999999999</v>
      </c>
      <c r="X32" s="272">
        <f t="shared" si="3"/>
        <v>1524.9850000000001</v>
      </c>
      <c r="Y32" s="272">
        <f t="shared" si="3"/>
        <v>1372.4865</v>
      </c>
      <c r="Z32" s="274">
        <f>'Tariffs Jan2019'!AZ26</f>
        <v>0</v>
      </c>
      <c r="AA32" s="274" t="str">
        <f>'Tariffs Jan2019'!BA26</f>
        <v>n</v>
      </c>
      <c r="AB32" s="275" t="str">
        <f>'Tariffs Jan2019'!BH26</f>
        <v>N</v>
      </c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</row>
    <row r="33" spans="1:40" x14ac:dyDescent="0.15">
      <c r="A33" s="40" t="str">
        <f>'Tariffs Jan2019'!F27</f>
        <v>Simply Energy</v>
      </c>
      <c r="B33" s="40" t="str">
        <f>'Tariffs Jan2019'!D27</f>
        <v>Multinet Metro 2</v>
      </c>
      <c r="C33" s="40" t="str">
        <f>'Tariffs Jan2019'!G27</f>
        <v>Plus</v>
      </c>
      <c r="D33" s="59">
        <f>365*'Tariffs Jan2019'!H27/100</f>
        <v>255.86499999999995</v>
      </c>
      <c r="E33" s="59">
        <f>IF($C$5*'Tariffs Jan2019'!AK27/'Tariffs Jan2019'!AI27&gt;='Tariffs Jan2019'!J27,( 'Tariffs Jan2019'!J27*'Tariffs Jan2019'!O27/100)* 'Tariffs Jan2019'!AI27,($C$5*'Tariffs Jan2019'!AK27/'Tariffs Jan2019'!AI27*'Tariffs Jan2019'!O27/100)* 'Tariffs Jan2019'!AI27)</f>
        <v>265.5</v>
      </c>
      <c r="F33" s="59">
        <f>IF($C$5*'Tariffs Jan2019'!AK27/'Tariffs Jan2019'!AI27&lt;'Tariffs Jan2019'!J27,0,IF($C$5*'Tariffs Jan2019'!AK27/'Tariffs Jan2019'!AI27&lt;='Tariffs Jan2019'!K27,($C$5*'Tariffs Jan2019'!AK27/'Tariffs Jan2019'!AI27-'Tariffs Jan2019'!J27)*('Tariffs Jan2019'!P27/100)*'Tariffs Jan2019'!AI27,('Tariffs Jan2019'!K27-'Tariffs Jan2019'!J27)*('Tariffs Jan2019'!P27/100)*'Tariffs Jan2019'!AI27))</f>
        <v>236.70000000000002</v>
      </c>
      <c r="G33" s="59">
        <f>IF($C$5*'Tariffs Jan2019'!AK27/'Tariffs Jan2019'!AI27&lt;'Tariffs Jan2019'!K27,0,IF($C$5*'Tariffs Jan2019'!AK27/'Tariffs Jan2019'!AI27&lt;='Tariffs Jan2019'!L27,($C$5*'Tariffs Jan2019'!AK27/'Tariffs Jan2019'!AI27-'Tariffs Jan2019'!K27)*('Tariffs Jan2019'!Q27/100)*'Tariffs Jan2019'!AI27,('Tariffs Jan2019'!L27-'Tariffs Jan2019'!K27)*('Tariffs Jan2019'!Q27/100)*'Tariffs Jan2019'!AI27))</f>
        <v>202.5</v>
      </c>
      <c r="H33" s="59">
        <f>IF($C$5*'Tariffs Jan2019'!AK27/'Tariffs Jan2019'!AI27&lt;'Tariffs Jan2019'!L27,0,IF($C$5*'Tariffs Jan2019'!AK27/'Tariffs Jan2019'!AI27&lt;='Tariffs Jan2019'!M27,($C$5*'Tariffs Jan2019'!AK27/'Tariffs Jan2019'!AI27-'Tariffs Jan2019'!L27)*('Tariffs Jan2019'!R27/100)*'Tariffs Jan2019'!AI27,('Tariffs Jan2019'!M27-'Tariffs Jan2019'!L27)*('Tariffs Jan2019'!R27/100)*'Tariffs Jan2019'!AI27))</f>
        <v>91.800000000000011</v>
      </c>
      <c r="I33" s="59">
        <f>IF(($C$5*'Tariffs Jan2019'!AK27/'Tariffs Jan2019'!AI27&gt;'Tariffs Jan2019'!M27),($C$5*'Tariffs Jan2019'!AK27/'Tariffs Jan2019'!AI27-'Tariffs Jan2019'!M27)*'Tariffs Jan2019'!S27/100*'Tariffs Jan2019'!AI27,0)</f>
        <v>0</v>
      </c>
      <c r="J33" s="59">
        <f>IF($C$5*'Tariffs Jan2019'!AL27/'Tariffs Jan2019'!AJ27&gt;='Tariffs Jan2019'!J27,('Tariffs Jan2019'!J27*'Tariffs Jan2019'!U27/100)* 'Tariffs Jan2019'!AJ27,($C$5*'Tariffs Jan2019'!AL27/'Tariffs Jan2019'!AJ27*'Tariffs Jan2019'!U27/100)* 'Tariffs Jan2019'!AJ27)</f>
        <v>250.20000000000002</v>
      </c>
      <c r="K33" s="59">
        <f>IF($C$5*'Tariffs Jan2019'!AL27/'Tariffs Jan2019'!AJ27&lt;'Tariffs Jan2019'!J27,0,IF($C$5*'Tariffs Jan2019'!AL27/'Tariffs Jan2019'!AJ27&lt;='Tariffs Jan2019'!K27,($C$5*'Tariffs Jan2019'!AL27/'Tariffs Jan2019'!AJ27-'Tariffs Jan2019'!J27)*('Tariffs Jan2019'!V27/100)*'Tariffs Jan2019'!AJ27,('Tariffs Jan2019'!K27-'Tariffs Jan2019'!J27)*('Tariffs Jan2019'!V27/100)*'Tariffs Jan2019'!AJ27))</f>
        <v>225.89999999999998</v>
      </c>
      <c r="L33" s="59">
        <f>IF($C$5*'Tariffs Jan2019'!AL27/'Tariffs Jan2019'!AJ27&lt;'Tariffs Jan2019'!K27,0,IF($C$5*'Tariffs Jan2019'!AL27/'Tariffs Jan2019'!AJ27&lt;='Tariffs Jan2019'!L27,($C$5*'Tariffs Jan2019'!AL27/'Tariffs Jan2019'!AJ27-'Tariffs Jan2019'!K27)*('Tariffs Jan2019'!W27/100)*'Tariffs Jan2019'!AJ27,('Tariffs Jan2019'!L27-'Tariffs Jan2019'!K27)*('Tariffs Jan2019'!W27/100)*'Tariffs Jan2019'!AJ27))</f>
        <v>197.10000000000002</v>
      </c>
      <c r="M33" s="59">
        <f>IF($C$5*'Tariffs Jan2019'!AL27/'Tariffs Jan2019'!AJ27&lt;'Tariffs Jan2019'!L27,0,IF($C$5*'Tariffs Jan2019'!AL27/'Tariffs Jan2019'!AJ27&lt;='Tariffs Jan2019'!M27,($C$5*'Tariffs Jan2019'!AL27/'Tariffs Jan2019'!AJ27-'Tariffs Jan2019'!L27)*('Tariffs Jan2019'!X27/100)*'Tariffs Jan2019'!AJ27,('Tariffs Jan2019'!M27-'Tariffs Jan2019'!L27)*('Tariffs Jan2019'!X27/100)*'Tariffs Jan2019'!AJ27))</f>
        <v>90.449999999999989</v>
      </c>
      <c r="N33" s="59">
        <f>IF(($C$5*'Tariffs Jan2019'!AL27/'Tariffs Jan2019'!AJ27&gt;'Tariffs Jan2019'!M27),($C$5*'Tariffs Jan2019'!AL27/'Tariffs Jan2019'!AJ27-'Tariffs Jan2019'!M27)*'Tariffs Jan2019'!Y27/100*'Tariffs Jan2019'!AJ27,0)</f>
        <v>0</v>
      </c>
      <c r="O33" s="271">
        <f t="shared" si="0"/>
        <v>1560.1499999999999</v>
      </c>
      <c r="P33" s="59">
        <f t="shared" si="1"/>
        <v>1816.0149999999999</v>
      </c>
      <c r="Q33" s="272">
        <f t="shared" si="2"/>
        <v>1997.6165000000001</v>
      </c>
      <c r="R33" s="40">
        <f>'Tariffs Jan2019'!AN27</f>
        <v>0</v>
      </c>
      <c r="S33" s="40">
        <f>'Tariffs Jan2019'!AO27</f>
        <v>0</v>
      </c>
      <c r="T33" s="40">
        <f>'Tariffs Jan2019'!AP27</f>
        <v>0</v>
      </c>
      <c r="U33" s="40">
        <f>'Tariffs Jan2019'!AQ27</f>
        <v>26</v>
      </c>
      <c r="V33" s="273">
        <f t="shared" si="5"/>
        <v>1816.0149999999999</v>
      </c>
      <c r="W33" s="273">
        <f>V33-(O33*U33/100)</f>
        <v>1410.376</v>
      </c>
      <c r="X33" s="272">
        <f t="shared" si="3"/>
        <v>1997.6165000000001</v>
      </c>
      <c r="Y33" s="272">
        <f t="shared" si="3"/>
        <v>1551.4136000000001</v>
      </c>
      <c r="Z33" s="274">
        <f>'Tariffs Jan2019'!AZ27</f>
        <v>0</v>
      </c>
      <c r="AA33" s="274" t="str">
        <f>'Tariffs Jan2019'!BA27</f>
        <v>n</v>
      </c>
      <c r="AB33" s="275" t="str">
        <f>'Tariffs Jan2019'!BH27</f>
        <v>Y</v>
      </c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</row>
    <row r="34" spans="1:40" x14ac:dyDescent="0.15">
      <c r="A34" s="40" t="str">
        <f>'Tariffs Jan2019'!F28</f>
        <v>Sumo Power</v>
      </c>
      <c r="B34" s="40" t="str">
        <f>'Tariffs Jan2019'!D28</f>
        <v>Multinet Metro 2</v>
      </c>
      <c r="C34" s="40" t="str">
        <f>'Tariffs Jan2019'!G28</f>
        <v>Pay on time (max discount)</v>
      </c>
      <c r="D34" s="59">
        <f>365*'Tariffs Jan2019'!H28/100</f>
        <v>236.00899999999999</v>
      </c>
      <c r="E34" s="59">
        <f>IF($C$5*'Tariffs Jan2019'!AK28/'Tariffs Jan2019'!AI28&gt;='Tariffs Jan2019'!J28,( 'Tariffs Jan2019'!J28*'Tariffs Jan2019'!O28/100)* 'Tariffs Jan2019'!AI28,($C$5*'Tariffs Jan2019'!AK28/'Tariffs Jan2019'!AI28*'Tariffs Jan2019'!O28/100)* 'Tariffs Jan2019'!AI28)</f>
        <v>249.03000000000003</v>
      </c>
      <c r="F34" s="59">
        <f>IF($C$5*'Tariffs Jan2019'!AK28/'Tariffs Jan2019'!AI28&lt;'Tariffs Jan2019'!J28,0,IF($C$5*'Tariffs Jan2019'!AK28/'Tariffs Jan2019'!AI28&lt;='Tariffs Jan2019'!K28,($C$5*'Tariffs Jan2019'!AK28/'Tariffs Jan2019'!AI28-'Tariffs Jan2019'!J28)*('Tariffs Jan2019'!P28/100)*'Tariffs Jan2019'!AI28,('Tariffs Jan2019'!K28-'Tariffs Jan2019'!J28)*('Tariffs Jan2019'!P28/100)*'Tariffs Jan2019'!AI28))</f>
        <v>216.35999999999996</v>
      </c>
      <c r="G34" s="59">
        <f>IF($C$5*'Tariffs Jan2019'!AK28/'Tariffs Jan2019'!AI28&lt;'Tariffs Jan2019'!K28,0,IF($C$5*'Tariffs Jan2019'!AK28/'Tariffs Jan2019'!AI28&lt;='Tariffs Jan2019'!L28,($C$5*'Tariffs Jan2019'!AK28/'Tariffs Jan2019'!AI28-'Tariffs Jan2019'!K28)*('Tariffs Jan2019'!Q28/100)*'Tariffs Jan2019'!AI28,('Tariffs Jan2019'!L28-'Tariffs Jan2019'!K28)*('Tariffs Jan2019'!Q28/100)*'Tariffs Jan2019'!AI28))</f>
        <v>185.94</v>
      </c>
      <c r="H34" s="59">
        <f>IF($C$5*'Tariffs Jan2019'!AK28/'Tariffs Jan2019'!AI28&lt;'Tariffs Jan2019'!L28,0,IF($C$5*'Tariffs Jan2019'!AK28/'Tariffs Jan2019'!AI28&lt;='Tariffs Jan2019'!M28,($C$5*'Tariffs Jan2019'!AK28/'Tariffs Jan2019'!AI28-'Tariffs Jan2019'!L28)*('Tariffs Jan2019'!R28/100)*'Tariffs Jan2019'!AI28,('Tariffs Jan2019'!M28-'Tariffs Jan2019'!L28)*('Tariffs Jan2019'!R28/100)*'Tariffs Jan2019'!AI28))</f>
        <v>77.984999999999999</v>
      </c>
      <c r="I34" s="59">
        <f>IF(($C$5*'Tariffs Jan2019'!AK28/'Tariffs Jan2019'!AI28&gt;'Tariffs Jan2019'!M28),($C$5*'Tariffs Jan2019'!AK28/'Tariffs Jan2019'!AI28-'Tariffs Jan2019'!M28)*'Tariffs Jan2019'!S28/100*'Tariffs Jan2019'!AI28,0)</f>
        <v>0</v>
      </c>
      <c r="J34" s="59">
        <f>IF($C$5*'Tariffs Jan2019'!AL28/'Tariffs Jan2019'!AJ28&gt;='Tariffs Jan2019'!J28,('Tariffs Jan2019'!J28*'Tariffs Jan2019'!U28/100)* 'Tariffs Jan2019'!AJ28,($C$5*'Tariffs Jan2019'!AL28/'Tariffs Jan2019'!AJ28*'Tariffs Jan2019'!U28/100)* 'Tariffs Jan2019'!AJ28)</f>
        <v>219.06000000000003</v>
      </c>
      <c r="K34" s="59">
        <f>IF($C$5*'Tariffs Jan2019'!AL28/'Tariffs Jan2019'!AJ28&lt;'Tariffs Jan2019'!J28,0,IF($C$5*'Tariffs Jan2019'!AL28/'Tariffs Jan2019'!AJ28&lt;='Tariffs Jan2019'!K28,($C$5*'Tariffs Jan2019'!AL28/'Tariffs Jan2019'!AJ28-'Tariffs Jan2019'!J28)*('Tariffs Jan2019'!V28/100)*'Tariffs Jan2019'!AJ28,('Tariffs Jan2019'!K28-'Tariffs Jan2019'!J28)*('Tariffs Jan2019'!V28/100)*'Tariffs Jan2019'!AJ28))</f>
        <v>192.14999999999998</v>
      </c>
      <c r="L34" s="59">
        <f>IF($C$5*'Tariffs Jan2019'!AL28/'Tariffs Jan2019'!AJ28&lt;'Tariffs Jan2019'!K28,0,IF($C$5*'Tariffs Jan2019'!AL28/'Tariffs Jan2019'!AJ28&lt;='Tariffs Jan2019'!L28,($C$5*'Tariffs Jan2019'!AL28/'Tariffs Jan2019'!AJ28-'Tariffs Jan2019'!K28)*('Tariffs Jan2019'!W28/100)*'Tariffs Jan2019'!AJ28,('Tariffs Jan2019'!L28-'Tariffs Jan2019'!K28)*('Tariffs Jan2019'!W28/100)*'Tariffs Jan2019'!AJ28))</f>
        <v>165.6</v>
      </c>
      <c r="M34" s="59">
        <f>IF($C$5*'Tariffs Jan2019'!AL28/'Tariffs Jan2019'!AJ28&lt;'Tariffs Jan2019'!L28,0,IF($C$5*'Tariffs Jan2019'!AL28/'Tariffs Jan2019'!AJ28&lt;='Tariffs Jan2019'!M28,($C$5*'Tariffs Jan2019'!AL28/'Tariffs Jan2019'!AJ28-'Tariffs Jan2019'!L28)*('Tariffs Jan2019'!X28/100)*'Tariffs Jan2019'!AJ28,('Tariffs Jan2019'!M28-'Tariffs Jan2019'!L28)*('Tariffs Jan2019'!X28/100)*'Tariffs Jan2019'!AJ28))</f>
        <v>71.28</v>
      </c>
      <c r="N34" s="59">
        <f>IF(($C$5*'Tariffs Jan2019'!AL28/'Tariffs Jan2019'!AJ28&gt;'Tariffs Jan2019'!M28),($C$5*'Tariffs Jan2019'!AL28/'Tariffs Jan2019'!AJ28-'Tariffs Jan2019'!M28)*'Tariffs Jan2019'!Y28/100*'Tariffs Jan2019'!AJ28,0)</f>
        <v>0</v>
      </c>
      <c r="O34" s="271">
        <f t="shared" si="0"/>
        <v>1377.405</v>
      </c>
      <c r="P34" s="59">
        <f t="shared" si="1"/>
        <v>1613.414</v>
      </c>
      <c r="Q34" s="272">
        <f t="shared" si="2"/>
        <v>1774.7554000000002</v>
      </c>
      <c r="R34" s="40">
        <f>'Tariffs Jan2019'!AN28</f>
        <v>0</v>
      </c>
      <c r="S34" s="40">
        <f>'Tariffs Jan2019'!AO28</f>
        <v>0</v>
      </c>
      <c r="T34" s="40">
        <f>'Tariffs Jan2019'!AP28</f>
        <v>0</v>
      </c>
      <c r="U34" s="40">
        <f>'Tariffs Jan2019'!AQ28</f>
        <v>25</v>
      </c>
      <c r="V34" s="273">
        <f t="shared" si="5"/>
        <v>1613.414</v>
      </c>
      <c r="W34" s="273">
        <f>V34-(O34*U34/100)</f>
        <v>1269.0627500000001</v>
      </c>
      <c r="X34" s="272">
        <f t="shared" si="3"/>
        <v>1774.7554000000002</v>
      </c>
      <c r="Y34" s="272">
        <f t="shared" si="3"/>
        <v>1395.9690250000001</v>
      </c>
      <c r="Z34" s="274">
        <f>'Tariffs Jan2019'!AZ28</f>
        <v>0</v>
      </c>
      <c r="AA34" s="274" t="str">
        <f>'Tariffs Jan2019'!BA28</f>
        <v>n</v>
      </c>
      <c r="AB34" s="275" t="str">
        <f>'Tariffs Jan2019'!BH28</f>
        <v>Y</v>
      </c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</row>
    <row r="35" spans="1:40" x14ac:dyDescent="0.15">
      <c r="A35" s="40" t="str">
        <f>'Tariffs Jan2019'!F29</f>
        <v>Amaysim</v>
      </c>
      <c r="B35" s="40" t="str">
        <f>'Tariffs Jan2019'!D29</f>
        <v>Multinet Metro 2</v>
      </c>
      <c r="C35" s="40" t="str">
        <f>'Tariffs Jan2019'!G29</f>
        <v>Gas as you go</v>
      </c>
      <c r="D35" s="59">
        <f>365*'Tariffs Jan2019'!H29/100</f>
        <v>193.84419999999997</v>
      </c>
      <c r="E35" s="59">
        <f>IF($C$5*'Tariffs Jan2019'!AK29/'Tariffs Jan2019'!AI29&gt;='Tariffs Jan2019'!J29,( 'Tariffs Jan2019'!J29*'Tariffs Jan2019'!O29/100)* 'Tariffs Jan2019'!AI29,($C$5*'Tariffs Jan2019'!AK29/'Tariffs Jan2019'!AI29*'Tariffs Jan2019'!O29/100)* 'Tariffs Jan2019'!AI29)</f>
        <v>205.02</v>
      </c>
      <c r="F35" s="59">
        <f>IF($C$5*'Tariffs Jan2019'!AK29/'Tariffs Jan2019'!AI29&lt;'Tariffs Jan2019'!J29,0,IF($C$5*'Tariffs Jan2019'!AK29/'Tariffs Jan2019'!AI29&lt;='Tariffs Jan2019'!K29,($C$5*'Tariffs Jan2019'!AK29/'Tariffs Jan2019'!AI29-'Tariffs Jan2019'!J29)*('Tariffs Jan2019'!P29/100)*'Tariffs Jan2019'!AI29,('Tariffs Jan2019'!K29-'Tariffs Jan2019'!J29)*('Tariffs Jan2019'!P29/100)*'Tariffs Jan2019'!AI29))</f>
        <v>180.53999999999996</v>
      </c>
      <c r="G35" s="59">
        <f>IF($C$5*'Tariffs Jan2019'!AK29/'Tariffs Jan2019'!AI29&lt;'Tariffs Jan2019'!K29,0,IF($C$5*'Tariffs Jan2019'!AK29/'Tariffs Jan2019'!AI29&lt;='Tariffs Jan2019'!L29,($C$5*'Tariffs Jan2019'!AK29/'Tariffs Jan2019'!AI29-'Tariffs Jan2019'!K29)*('Tariffs Jan2019'!Q29/100)*'Tariffs Jan2019'!AI29,('Tariffs Jan2019'!L29-'Tariffs Jan2019'!K29)*('Tariffs Jan2019'!Q29/100)*'Tariffs Jan2019'!AI29))</f>
        <v>156.06</v>
      </c>
      <c r="H35" s="59">
        <f>IF($C$5*'Tariffs Jan2019'!AK29/'Tariffs Jan2019'!AI29&lt;'Tariffs Jan2019'!L29,0,IF($C$5*'Tariffs Jan2019'!AK29/'Tariffs Jan2019'!AI29&lt;='Tariffs Jan2019'!M29,($C$5*'Tariffs Jan2019'!AK29/'Tariffs Jan2019'!AI29-'Tariffs Jan2019'!L29)*('Tariffs Jan2019'!R29/100)*'Tariffs Jan2019'!AI29,('Tariffs Jan2019'!M29-'Tariffs Jan2019'!L29)*('Tariffs Jan2019'!R29/100)*'Tariffs Jan2019'!AI29))</f>
        <v>71.910000000000011</v>
      </c>
      <c r="I35" s="59">
        <f>IF(($C$5*'Tariffs Jan2019'!AK29/'Tariffs Jan2019'!AI29&gt;'Tariffs Jan2019'!M29),($C$5*'Tariffs Jan2019'!AK29/'Tariffs Jan2019'!AI29-'Tariffs Jan2019'!M29)*'Tariffs Jan2019'!S29/100*'Tariffs Jan2019'!AI29,0)</f>
        <v>0</v>
      </c>
      <c r="J35" s="59">
        <f>IF($C$5*'Tariffs Jan2019'!AL29/'Tariffs Jan2019'!AJ29&gt;='Tariffs Jan2019'!J29,('Tariffs Jan2019'!J29*'Tariffs Jan2019'!U29/100)* 'Tariffs Jan2019'!AJ29,($C$5*'Tariffs Jan2019'!AL29/'Tariffs Jan2019'!AJ29*'Tariffs Jan2019'!U29/100)* 'Tariffs Jan2019'!AJ29)</f>
        <v>198.89999999999998</v>
      </c>
      <c r="K35" s="59">
        <f>IF($C$5*'Tariffs Jan2019'!AL29/'Tariffs Jan2019'!AJ29&lt;'Tariffs Jan2019'!J29,0,IF($C$5*'Tariffs Jan2019'!AL29/'Tariffs Jan2019'!AJ29&lt;='Tariffs Jan2019'!K29,($C$5*'Tariffs Jan2019'!AL29/'Tariffs Jan2019'!AJ29-'Tariffs Jan2019'!J29)*('Tariffs Jan2019'!V29/100)*'Tariffs Jan2019'!AJ29,('Tariffs Jan2019'!K29-'Tariffs Jan2019'!J29)*('Tariffs Jan2019'!V29/100)*'Tariffs Jan2019'!AJ29))</f>
        <v>177.48000000000002</v>
      </c>
      <c r="L35" s="59">
        <f>IF($C$5*'Tariffs Jan2019'!AL29/'Tariffs Jan2019'!AJ29&lt;'Tariffs Jan2019'!K29,0,IF($C$5*'Tariffs Jan2019'!AL29/'Tariffs Jan2019'!AJ29&lt;='Tariffs Jan2019'!L29,($C$5*'Tariffs Jan2019'!AL29/'Tariffs Jan2019'!AJ29-'Tariffs Jan2019'!K29)*('Tariffs Jan2019'!W29/100)*'Tariffs Jan2019'!AJ29,('Tariffs Jan2019'!L29-'Tariffs Jan2019'!K29)*('Tariffs Jan2019'!W29/100)*'Tariffs Jan2019'!AJ29))</f>
        <v>153.00000000000003</v>
      </c>
      <c r="M35" s="59">
        <f>IF($C$5*'Tariffs Jan2019'!AL29/'Tariffs Jan2019'!AJ29&lt;'Tariffs Jan2019'!L29,0,IF($C$5*'Tariffs Jan2019'!AL29/'Tariffs Jan2019'!AJ29&lt;='Tariffs Jan2019'!M29,($C$5*'Tariffs Jan2019'!AL29/'Tariffs Jan2019'!AJ29-'Tariffs Jan2019'!L29)*('Tariffs Jan2019'!X29/100)*'Tariffs Jan2019'!AJ29,('Tariffs Jan2019'!M29-'Tariffs Jan2019'!L29)*('Tariffs Jan2019'!X29/100)*'Tariffs Jan2019'!AJ29))</f>
        <v>71.910000000000011</v>
      </c>
      <c r="N35" s="59">
        <f>IF(($C$5*'Tariffs Jan2019'!AL29/'Tariffs Jan2019'!AJ29&gt;'Tariffs Jan2019'!M29),($C$5*'Tariffs Jan2019'!AL29/'Tariffs Jan2019'!AJ29-'Tariffs Jan2019'!M29)*'Tariffs Jan2019'!Y29/100*'Tariffs Jan2019'!AJ29,0)</f>
        <v>0</v>
      </c>
      <c r="O35" s="271">
        <f t="shared" si="0"/>
        <v>1214.82</v>
      </c>
      <c r="P35" s="59">
        <f t="shared" si="1"/>
        <v>1408.6641999999999</v>
      </c>
      <c r="Q35" s="272">
        <f t="shared" si="2"/>
        <v>1549.53062</v>
      </c>
      <c r="R35" s="40">
        <f>'Tariffs Jan2019'!AN29</f>
        <v>0</v>
      </c>
      <c r="S35" s="40">
        <f>'Tariffs Jan2019'!AO29</f>
        <v>0</v>
      </c>
      <c r="T35" s="40">
        <f>'Tariffs Jan2019'!AP29</f>
        <v>0</v>
      </c>
      <c r="U35" s="40">
        <f>'Tariffs Jan2019'!AQ29</f>
        <v>0</v>
      </c>
      <c r="V35" s="273">
        <f t="shared" si="5"/>
        <v>1408.6641999999999</v>
      </c>
      <c r="W35" s="273">
        <f>V35-(P35*T35/100)</f>
        <v>1408.6641999999999</v>
      </c>
      <c r="X35" s="272">
        <f t="shared" si="3"/>
        <v>1549.53062</v>
      </c>
      <c r="Y35" s="272">
        <f t="shared" si="3"/>
        <v>1549.53062</v>
      </c>
      <c r="Z35" s="274">
        <f>'Tariffs Jan2019'!AZ29</f>
        <v>0</v>
      </c>
      <c r="AA35" s="274" t="str">
        <f>'Tariffs Jan2019'!BA29</f>
        <v>n</v>
      </c>
      <c r="AB35" s="275" t="str">
        <f>'Tariffs Jan2019'!BH29</f>
        <v>N</v>
      </c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</row>
    <row r="36" spans="1:40" x14ac:dyDescent="0.15">
      <c r="A36" s="40" t="str">
        <f>'Tariffs Jan2019'!F30</f>
        <v>GloBird Energy</v>
      </c>
      <c r="B36" s="40" t="str">
        <f>'Tariffs Jan2019'!D30</f>
        <v>Multinet Metro 2</v>
      </c>
      <c r="C36" s="40" t="str">
        <f>'Tariffs Jan2019'!G30</f>
        <v>GloSave</v>
      </c>
      <c r="D36" s="59">
        <f>365*'Tariffs Jan2019'!H30/100</f>
        <v>346.75</v>
      </c>
      <c r="E36" s="59">
        <f>IF($C$5*'Tariffs Jan2019'!AK30/'Tariffs Jan2019'!AI30&gt;='Tariffs Jan2019'!J30,( 'Tariffs Jan2019'!J30*'Tariffs Jan2019'!O30/100)* 'Tariffs Jan2019'!AI30,($C$5*'Tariffs Jan2019'!AK30/'Tariffs Jan2019'!AI30*'Tariffs Jan2019'!O30/100)* 'Tariffs Jan2019'!AI30)</f>
        <v>522</v>
      </c>
      <c r="F36" s="59">
        <f>IF($C$5*'Tariffs Jan2019'!AK30/'Tariffs Jan2019'!AI30&lt;'Tariffs Jan2019'!J30,0,IF($C$5*'Tariffs Jan2019'!AK30/'Tariffs Jan2019'!AI30&lt;='Tariffs Jan2019'!K30,($C$5*'Tariffs Jan2019'!AK30/'Tariffs Jan2019'!AI30-'Tariffs Jan2019'!J30)*('Tariffs Jan2019'!P30/100)*'Tariffs Jan2019'!AI30,('Tariffs Jan2019'!K30-'Tariffs Jan2019'!J30)*('Tariffs Jan2019'!P30/100)*'Tariffs Jan2019'!AI30))</f>
        <v>0</v>
      </c>
      <c r="G36" s="59">
        <f>IF($C$5*'Tariffs Jan2019'!AK30/'Tariffs Jan2019'!AI30&lt;'Tariffs Jan2019'!K30,0,IF($C$5*'Tariffs Jan2019'!AK30/'Tariffs Jan2019'!AI30&lt;='Tariffs Jan2019'!L30,($C$5*'Tariffs Jan2019'!AK30/'Tariffs Jan2019'!AI30-'Tariffs Jan2019'!K30)*('Tariffs Jan2019'!Q30/100)*'Tariffs Jan2019'!AI30,('Tariffs Jan2019'!L30-'Tariffs Jan2019'!K30)*('Tariffs Jan2019'!Q30/100)*'Tariffs Jan2019'!AI30))</f>
        <v>0</v>
      </c>
      <c r="H36" s="59">
        <f>IF($C$5*'Tariffs Jan2019'!AK30/'Tariffs Jan2019'!AI30&lt;'Tariffs Jan2019'!L30,0,IF($C$5*'Tariffs Jan2019'!AK30/'Tariffs Jan2019'!AI30&lt;='Tariffs Jan2019'!M30,($C$5*'Tariffs Jan2019'!AK30/'Tariffs Jan2019'!AI30-'Tariffs Jan2019'!L30)*('Tariffs Jan2019'!R30/100)*'Tariffs Jan2019'!AI30,('Tariffs Jan2019'!M30-'Tariffs Jan2019'!L30)*('Tariffs Jan2019'!R30/100)*'Tariffs Jan2019'!AI30))</f>
        <v>0</v>
      </c>
      <c r="I36" s="59">
        <f>IF(($C$5*'Tariffs Jan2019'!AK30/'Tariffs Jan2019'!AI30&gt;'Tariffs Jan2019'!M30),($C$5*'Tariffs Jan2019'!AK30/'Tariffs Jan2019'!AI30-'Tariffs Jan2019'!M30)*'Tariffs Jan2019'!S30/100*'Tariffs Jan2019'!AI30,0)</f>
        <v>283.5</v>
      </c>
      <c r="J36" s="59">
        <f>IF($C$5*'Tariffs Jan2019'!AL30/'Tariffs Jan2019'!AJ30&gt;='Tariffs Jan2019'!J30,('Tariffs Jan2019'!J30*'Tariffs Jan2019'!U30/100)* 'Tariffs Jan2019'!AJ30,($C$5*'Tariffs Jan2019'!AL30/'Tariffs Jan2019'!AJ30*'Tariffs Jan2019'!U30/100)* 'Tariffs Jan2019'!AJ30)</f>
        <v>495</v>
      </c>
      <c r="K36" s="59">
        <f>IF($C$5*'Tariffs Jan2019'!AL30/'Tariffs Jan2019'!AJ30&lt;'Tariffs Jan2019'!J30,0,IF($C$5*'Tariffs Jan2019'!AL30/'Tariffs Jan2019'!AJ30&lt;='Tariffs Jan2019'!K30,($C$5*'Tariffs Jan2019'!AL30/'Tariffs Jan2019'!AJ30-'Tariffs Jan2019'!J30)*('Tariffs Jan2019'!V30/100)*'Tariffs Jan2019'!AJ30,('Tariffs Jan2019'!K30-'Tariffs Jan2019'!J30)*('Tariffs Jan2019'!V30/100)*'Tariffs Jan2019'!AJ30))</f>
        <v>0</v>
      </c>
      <c r="L36" s="59">
        <f>IF($C$5*'Tariffs Jan2019'!AL30/'Tariffs Jan2019'!AJ30&lt;'Tariffs Jan2019'!K30,0,IF($C$5*'Tariffs Jan2019'!AL30/'Tariffs Jan2019'!AJ30&lt;='Tariffs Jan2019'!L30,($C$5*'Tariffs Jan2019'!AL30/'Tariffs Jan2019'!AJ30-'Tariffs Jan2019'!K30)*('Tariffs Jan2019'!W30/100)*'Tariffs Jan2019'!AJ30,('Tariffs Jan2019'!L30-'Tariffs Jan2019'!K30)*('Tariffs Jan2019'!W30/100)*'Tariffs Jan2019'!AJ30))</f>
        <v>0</v>
      </c>
      <c r="M36" s="59">
        <f>IF($C$5*'Tariffs Jan2019'!AL30/'Tariffs Jan2019'!AJ30&lt;'Tariffs Jan2019'!L30,0,IF($C$5*'Tariffs Jan2019'!AL30/'Tariffs Jan2019'!AJ30&lt;='Tariffs Jan2019'!M30,($C$5*'Tariffs Jan2019'!AL30/'Tariffs Jan2019'!AJ30-'Tariffs Jan2019'!L30)*('Tariffs Jan2019'!X30/100)*'Tariffs Jan2019'!AJ30,('Tariffs Jan2019'!M30-'Tariffs Jan2019'!L30)*('Tariffs Jan2019'!X30/100)*'Tariffs Jan2019'!AJ30))</f>
        <v>0</v>
      </c>
      <c r="N36" s="59">
        <f>IF(($C$5*'Tariffs Jan2019'!AL30/'Tariffs Jan2019'!AJ30&gt;'Tariffs Jan2019'!M30),($C$5*'Tariffs Jan2019'!AL30/'Tariffs Jan2019'!AJ30-'Tariffs Jan2019'!M30)*'Tariffs Jan2019'!Y30/100*'Tariffs Jan2019'!AJ30,0)</f>
        <v>276.75</v>
      </c>
      <c r="O36" s="271">
        <f t="shared" si="0"/>
        <v>1577.25</v>
      </c>
      <c r="P36" s="59">
        <f t="shared" si="1"/>
        <v>1924</v>
      </c>
      <c r="Q36" s="272">
        <f t="shared" si="2"/>
        <v>2116.4</v>
      </c>
      <c r="R36" s="40">
        <f>'Tariffs Jan2019'!AN30</f>
        <v>0</v>
      </c>
      <c r="S36" s="40">
        <f>'Tariffs Jan2019'!AO30</f>
        <v>0</v>
      </c>
      <c r="T36" s="40">
        <f>'Tariffs Jan2019'!AP30</f>
        <v>32</v>
      </c>
      <c r="U36" s="40">
        <f>'Tariffs Jan2019'!AQ30</f>
        <v>0</v>
      </c>
      <c r="V36" s="273">
        <f t="shared" si="5"/>
        <v>1924</v>
      </c>
      <c r="W36" s="273">
        <f>V36-(P36*T36/100)</f>
        <v>1308.3200000000002</v>
      </c>
      <c r="X36" s="272">
        <f t="shared" si="3"/>
        <v>2116.4</v>
      </c>
      <c r="Y36" s="272">
        <f t="shared" si="3"/>
        <v>1439.1520000000003</v>
      </c>
      <c r="Z36" s="274">
        <f>'Tariffs Jan2019'!AZ30</f>
        <v>0</v>
      </c>
      <c r="AA36" s="274" t="str">
        <f>'Tariffs Jan2019'!BA30</f>
        <v>n</v>
      </c>
      <c r="AB36" s="275" t="str">
        <f>'Tariffs Jan2019'!BH30</f>
        <v>N</v>
      </c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</row>
    <row r="37" spans="1:40" ht="14" thickBot="1" x14ac:dyDescent="0.2">
      <c r="A37" s="277" t="str">
        <f>'Tariffs Jan2019'!F31</f>
        <v>Powershop</v>
      </c>
      <c r="B37" s="277" t="str">
        <f>'Tariffs Jan2019'!D31</f>
        <v>Multinet Metro 2</v>
      </c>
      <c r="C37" s="277" t="str">
        <f>'Tariffs Jan2019'!G31</f>
        <v>Auto Pay with Gas Saver</v>
      </c>
      <c r="D37" s="278">
        <f>365*'Tariffs Jan2019'!H31/100</f>
        <v>290.90499999999997</v>
      </c>
      <c r="E37" s="278">
        <f>((C$5*'Tariffs Jan2019'!AK31/'Tariffs Jan2019'!AI31)*('Tariffs Jan2019'!O31/100))*'Tariffs Jan2019'!AI31</f>
        <v>516.59999999999991</v>
      </c>
      <c r="F37" s="278">
        <v>0</v>
      </c>
      <c r="G37" s="278">
        <v>0</v>
      </c>
      <c r="H37" s="278">
        <v>0</v>
      </c>
      <c r="I37" s="278">
        <v>0</v>
      </c>
      <c r="J37" s="278">
        <f>((C$5*'Tariffs Jan2019'!AL31/'Tariffs Jan2019'!AJ31)*('Tariffs Jan2019'!U31/100))*'Tariffs Jan2019'!AJ31</f>
        <v>604.79999999999995</v>
      </c>
      <c r="K37" s="278">
        <v>0</v>
      </c>
      <c r="L37" s="278">
        <v>0</v>
      </c>
      <c r="M37" s="278">
        <v>0</v>
      </c>
      <c r="N37" s="278">
        <v>0</v>
      </c>
      <c r="O37" s="279">
        <f t="shared" si="0"/>
        <v>1121.3999999999999</v>
      </c>
      <c r="P37" s="278">
        <f t="shared" si="1"/>
        <v>1412.3049999999998</v>
      </c>
      <c r="Q37" s="280">
        <f t="shared" si="2"/>
        <v>1553.5355</v>
      </c>
      <c r="R37" s="277">
        <f>'Tariffs Jan2019'!AN31</f>
        <v>0</v>
      </c>
      <c r="S37" s="277">
        <f>'Tariffs Jan2019'!AO31</f>
        <v>0</v>
      </c>
      <c r="T37" s="277">
        <f>'Tariffs Jan2019'!AP31</f>
        <v>5</v>
      </c>
      <c r="U37" s="277">
        <f>'Tariffs Jan2019'!AQ31</f>
        <v>0</v>
      </c>
      <c r="V37" s="281">
        <f t="shared" si="5"/>
        <v>1412.3049999999998</v>
      </c>
      <c r="W37" s="281">
        <f>V37-(P37*T37/100)</f>
        <v>1341.6897499999998</v>
      </c>
      <c r="X37" s="280">
        <f t="shared" si="3"/>
        <v>1553.5355</v>
      </c>
      <c r="Y37" s="280">
        <f t="shared" si="3"/>
        <v>1475.8587249999998</v>
      </c>
      <c r="Z37" s="282">
        <f>'Tariffs Jan2019'!AZ31</f>
        <v>0</v>
      </c>
      <c r="AA37" s="282" t="str">
        <f>'Tariffs Jan2019'!BA31</f>
        <v>n</v>
      </c>
      <c r="AB37" s="283" t="str">
        <f>'Tariffs Jan2019'!BH31</f>
        <v>Y</v>
      </c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</row>
    <row r="38" spans="1:40" ht="14" thickTop="1" x14ac:dyDescent="0.15">
      <c r="A38" s="40" t="str">
        <f>'Tariffs Jan2019'!F32</f>
        <v>AGL</v>
      </c>
      <c r="B38" s="40" t="str">
        <f>'Tariffs Jan2019'!D32</f>
        <v>AGN North</v>
      </c>
      <c r="C38" s="40" t="str">
        <f>'Tariffs Jan2019'!G32</f>
        <v>Savers</v>
      </c>
      <c r="D38" s="59">
        <f>365*'Tariffs Jan2019'!H32/100</f>
        <v>279.58999999999997</v>
      </c>
      <c r="E38" s="59">
        <f>IF($C$5*'Tariffs Jan2019'!AK32/'Tariffs Jan2019'!AI32&gt;='Tariffs Jan2019'!J32,( 'Tariffs Jan2019'!J32*'Tariffs Jan2019'!O32/100)* 'Tariffs Jan2019'!AI32,($C$5*'Tariffs Jan2019'!AK32/'Tariffs Jan2019'!AI32*'Tariffs Jan2019'!O32/100)* 'Tariffs Jan2019'!AI32)</f>
        <v>87.842999999999989</v>
      </c>
      <c r="F38" s="59">
        <f>IF($C$5*'Tariffs Jan2019'!AK32/'Tariffs Jan2019'!AI32&lt;'Tariffs Jan2019'!J32,0,IF($C$5*'Tariffs Jan2019'!AK32/'Tariffs Jan2019'!AI32&lt;='Tariffs Jan2019'!K32,($C$5*'Tariffs Jan2019'!AK32/'Tariffs Jan2019'!AI32-'Tariffs Jan2019'!J32)*('Tariffs Jan2019'!P32/100)*'Tariffs Jan2019'!AI32,('Tariffs Jan2019'!K32-'Tariffs Jan2019'!J32)*('Tariffs Jan2019'!P32/100)*'Tariffs Jan2019'!AI32))</f>
        <v>67.478999999999999</v>
      </c>
      <c r="G38" s="59">
        <f>IF($C$5*'Tariffs Jan2019'!AK32/'Tariffs Jan2019'!AI32&lt;'Tariffs Jan2019'!K32,0,IF($C$5*'Tariffs Jan2019'!AK32/'Tariffs Jan2019'!AI32&lt;='Tariffs Jan2019'!L32,($C$5*'Tariffs Jan2019'!AK32/'Tariffs Jan2019'!AI32-'Tariffs Jan2019'!K32)*('Tariffs Jan2019'!Q32/100)*'Tariffs Jan2019'!AI32,('Tariffs Jan2019'!L32-'Tariffs Jan2019'!K32)*('Tariffs Jan2019'!Q32/100)*'Tariffs Jan2019'!AI32))</f>
        <v>0</v>
      </c>
      <c r="H38" s="59">
        <f>IF($C$5*'Tariffs Jan2019'!AK32/'Tariffs Jan2019'!AI32&lt;'Tariffs Jan2019'!L32,0,IF($C$5*'Tariffs Jan2019'!AK32/'Tariffs Jan2019'!AI32&lt;='Tariffs Jan2019'!M32,($C$5*'Tariffs Jan2019'!AK32/'Tariffs Jan2019'!AI32-'Tariffs Jan2019'!L32)*('Tariffs Jan2019'!R32/100)*'Tariffs Jan2019'!AI32,('Tariffs Jan2019'!M32-'Tariffs Jan2019'!L32)*('Tariffs Jan2019'!R32/100)*'Tariffs Jan2019'!AI32))</f>
        <v>0</v>
      </c>
      <c r="I38" s="59">
        <f>IF(($C$5*'Tariffs Jan2019'!AK32/'Tariffs Jan2019'!AI32&gt;'Tariffs Jan2019'!M32),($C$5*'Tariffs Jan2019'!AK32/'Tariffs Jan2019'!AI32-'Tariffs Jan2019'!M32)*'Tariffs Jan2019'!S32/100*'Tariffs Jan2019'!AI32,0)</f>
        <v>311.95632000000001</v>
      </c>
      <c r="J38" s="59">
        <f>IF($C$5*'Tariffs Jan2019'!AL32/'Tariffs Jan2019'!AJ32&gt;='Tariffs Jan2019'!J32,('Tariffs Jan2019'!J32*'Tariffs Jan2019'!U32/100)* 'Tariffs Jan2019'!AJ32,($C$5*'Tariffs Jan2019'!AL32/'Tariffs Jan2019'!AJ32*'Tariffs Jan2019'!U32/100)* 'Tariffs Jan2019'!AJ32)</f>
        <v>175.68599999999998</v>
      </c>
      <c r="K38" s="59">
        <f>IF($C$5*'Tariffs Jan2019'!AL32/'Tariffs Jan2019'!AJ32&lt;'Tariffs Jan2019'!J32,0,IF($C$5*'Tariffs Jan2019'!AL32/'Tariffs Jan2019'!AJ32&lt;='Tariffs Jan2019'!K32,($C$5*'Tariffs Jan2019'!AL32/'Tariffs Jan2019'!AJ32-'Tariffs Jan2019'!J32)*('Tariffs Jan2019'!V32/100)*'Tariffs Jan2019'!AJ32,('Tariffs Jan2019'!K32-'Tariffs Jan2019'!J32)*('Tariffs Jan2019'!V32/100)*'Tariffs Jan2019'!AJ32))</f>
        <v>134.958</v>
      </c>
      <c r="L38" s="59">
        <f>IF($C$5*'Tariffs Jan2019'!AL32/'Tariffs Jan2019'!AJ32&lt;'Tariffs Jan2019'!K32,0,IF($C$5*'Tariffs Jan2019'!AL32/'Tariffs Jan2019'!AJ32&lt;='Tariffs Jan2019'!L32,($C$5*'Tariffs Jan2019'!AL32/'Tariffs Jan2019'!AJ32-'Tariffs Jan2019'!K32)*('Tariffs Jan2019'!W32/100)*'Tariffs Jan2019'!AJ32,('Tariffs Jan2019'!L32-'Tariffs Jan2019'!K32)*('Tariffs Jan2019'!W32/100)*'Tariffs Jan2019'!AJ32))</f>
        <v>0</v>
      </c>
      <c r="M38" s="59">
        <f>IF($C$5*'Tariffs Jan2019'!AL32/'Tariffs Jan2019'!AJ32&lt;'Tariffs Jan2019'!L32,0,IF($C$5*'Tariffs Jan2019'!AL32/'Tariffs Jan2019'!AJ32&lt;='Tariffs Jan2019'!M32,($C$5*'Tariffs Jan2019'!AL32/'Tariffs Jan2019'!AJ32-'Tariffs Jan2019'!L32)*('Tariffs Jan2019'!X32/100)*'Tariffs Jan2019'!AJ32,('Tariffs Jan2019'!M32-'Tariffs Jan2019'!L32)*('Tariffs Jan2019'!X32/100)*'Tariffs Jan2019'!AJ32))</f>
        <v>0</v>
      </c>
      <c r="N38" s="59">
        <f>IF(($C$5*'Tariffs Jan2019'!AL32/'Tariffs Jan2019'!AJ32&gt;'Tariffs Jan2019'!M32),($C$5*'Tariffs Jan2019'!AL32/'Tariffs Jan2019'!AJ32-'Tariffs Jan2019'!M32)*'Tariffs Jan2019'!Y32/100*'Tariffs Jan2019'!AJ32,0)</f>
        <v>623.91264000000001</v>
      </c>
      <c r="O38" s="271">
        <f t="shared" si="0"/>
        <v>1401.8349600000001</v>
      </c>
      <c r="P38" s="59">
        <f t="shared" si="1"/>
        <v>1681.4249600000001</v>
      </c>
      <c r="Q38" s="272">
        <f t="shared" si="2"/>
        <v>1849.5674560000002</v>
      </c>
      <c r="R38" s="40">
        <f>'Tariffs Jan2019'!AN32</f>
        <v>0</v>
      </c>
      <c r="S38" s="40">
        <f>'Tariffs Jan2019'!AO32</f>
        <v>0</v>
      </c>
      <c r="T38" s="40">
        <f>'Tariffs Jan2019'!AP32</f>
        <v>0</v>
      </c>
      <c r="U38" s="40">
        <f>'Tariffs Jan2019'!AQ32</f>
        <v>24</v>
      </c>
      <c r="V38" s="273">
        <f>P38</f>
        <v>1681.4249600000001</v>
      </c>
      <c r="W38" s="273">
        <f>V38-(O38*U38/100)</f>
        <v>1344.9845696</v>
      </c>
      <c r="X38" s="272">
        <f t="shared" si="3"/>
        <v>1849.5674560000002</v>
      </c>
      <c r="Y38" s="272">
        <f t="shared" si="3"/>
        <v>1479.4830265600001</v>
      </c>
      <c r="Z38" s="274">
        <f>'Tariffs Jan2019'!AZ32</f>
        <v>0</v>
      </c>
      <c r="AA38" s="274" t="str">
        <f>'Tariffs Jan2019'!BA32</f>
        <v>n</v>
      </c>
      <c r="AB38" s="275" t="str">
        <f>'Tariffs Jan2019'!BH32</f>
        <v>N</v>
      </c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</row>
    <row r="39" spans="1:40" x14ac:dyDescent="0.15">
      <c r="A39" s="40" t="str">
        <f>'Tariffs Jan2019'!F33</f>
        <v>Alinta Energy</v>
      </c>
      <c r="B39" s="40" t="str">
        <f>'Tariffs Jan2019'!D33</f>
        <v>AGN North</v>
      </c>
      <c r="C39" s="40" t="str">
        <f>'Tariffs Jan2019'!G33</f>
        <v>Fair Saver</v>
      </c>
      <c r="D39" s="59">
        <f>365*'Tariffs Jan2019'!H33/100</f>
        <v>270.10000000000002</v>
      </c>
      <c r="E39" s="59">
        <f>IF($C$5*'Tariffs Jan2019'!AK33/'Tariffs Jan2019'!AI33&gt;='Tariffs Jan2019'!J33,( 'Tariffs Jan2019'!J33*'Tariffs Jan2019'!O33/100)* 'Tariffs Jan2019'!AI33,($C$5*'Tariffs Jan2019'!AK33/'Tariffs Jan2019'!AI33*'Tariffs Jan2019'!O33/100)* 'Tariffs Jan2019'!AI33)</f>
        <v>78.959999999999994</v>
      </c>
      <c r="F39" s="59">
        <f>IF($C$5*'Tariffs Jan2019'!AK33/'Tariffs Jan2019'!AI33&lt;'Tariffs Jan2019'!J33,0,IF($C$5*'Tariffs Jan2019'!AK33/'Tariffs Jan2019'!AI33&lt;='Tariffs Jan2019'!K33,($C$5*'Tariffs Jan2019'!AK33/'Tariffs Jan2019'!AI33-'Tariffs Jan2019'!J33)*('Tariffs Jan2019'!P33/100)*'Tariffs Jan2019'!AI33,('Tariffs Jan2019'!K33-'Tariffs Jan2019'!J33)*('Tariffs Jan2019'!P33/100)*'Tariffs Jan2019'!AI33))</f>
        <v>65.040000000000006</v>
      </c>
      <c r="G39" s="59">
        <f>IF($C$5*'Tariffs Jan2019'!AK33/'Tariffs Jan2019'!AI33&lt;'Tariffs Jan2019'!K33,0,IF($C$5*'Tariffs Jan2019'!AK33/'Tariffs Jan2019'!AI33&lt;='Tariffs Jan2019'!L33,($C$5*'Tariffs Jan2019'!AK33/'Tariffs Jan2019'!AI33-'Tariffs Jan2019'!K33)*('Tariffs Jan2019'!Q33/100)*'Tariffs Jan2019'!AI33,('Tariffs Jan2019'!L33-'Tariffs Jan2019'!K33)*('Tariffs Jan2019'!Q33/100)*'Tariffs Jan2019'!AI33))</f>
        <v>0</v>
      </c>
      <c r="H39" s="59">
        <f>IF($C$5*'Tariffs Jan2019'!AK33/'Tariffs Jan2019'!AI33&lt;'Tariffs Jan2019'!L33,0,IF($C$5*'Tariffs Jan2019'!AK33/'Tariffs Jan2019'!AI33&lt;='Tariffs Jan2019'!M33,($C$5*'Tariffs Jan2019'!AK33/'Tariffs Jan2019'!AI33-'Tariffs Jan2019'!L33)*('Tariffs Jan2019'!R33/100)*'Tariffs Jan2019'!AI33,('Tariffs Jan2019'!M33-'Tariffs Jan2019'!L33)*('Tariffs Jan2019'!R33/100)*'Tariffs Jan2019'!AI33))</f>
        <v>0</v>
      </c>
      <c r="I39" s="59">
        <f>IF(($C$5*'Tariffs Jan2019'!AK33/'Tariffs Jan2019'!AI33&gt;'Tariffs Jan2019'!M33),($C$5*'Tariffs Jan2019'!AK33/'Tariffs Jan2019'!AI33-'Tariffs Jan2019'!M33)*'Tariffs Jan2019'!S33/100*'Tariffs Jan2019'!AI33,0)</f>
        <v>314.95589999999999</v>
      </c>
      <c r="J39" s="59">
        <f>IF($C$5*'Tariffs Jan2019'!AL33/'Tariffs Jan2019'!AJ33&gt;='Tariffs Jan2019'!J33,('Tariffs Jan2019'!J33*'Tariffs Jan2019'!U33/100)* 'Tariffs Jan2019'!AJ33,($C$5*'Tariffs Jan2019'!AL33/'Tariffs Jan2019'!AJ33*'Tariffs Jan2019'!U33/100)* 'Tariffs Jan2019'!AJ33)</f>
        <v>157.91999999999999</v>
      </c>
      <c r="K39" s="59">
        <f>IF($C$5*'Tariffs Jan2019'!AL33/'Tariffs Jan2019'!AJ33&lt;'Tariffs Jan2019'!J33,0,IF($C$5*'Tariffs Jan2019'!AL33/'Tariffs Jan2019'!AJ33&lt;='Tariffs Jan2019'!K33,($C$5*'Tariffs Jan2019'!AL33/'Tariffs Jan2019'!AJ33-'Tariffs Jan2019'!J33)*('Tariffs Jan2019'!V33/100)*'Tariffs Jan2019'!AJ33,('Tariffs Jan2019'!K33-'Tariffs Jan2019'!J33)*('Tariffs Jan2019'!V33/100)*'Tariffs Jan2019'!AJ33))</f>
        <v>130.08000000000001</v>
      </c>
      <c r="L39" s="59">
        <f>IF($C$5*'Tariffs Jan2019'!AL33/'Tariffs Jan2019'!AJ33&lt;'Tariffs Jan2019'!K33,0,IF($C$5*'Tariffs Jan2019'!AL33/'Tariffs Jan2019'!AJ33&lt;='Tariffs Jan2019'!L33,($C$5*'Tariffs Jan2019'!AL33/'Tariffs Jan2019'!AJ33-'Tariffs Jan2019'!K33)*('Tariffs Jan2019'!W33/100)*'Tariffs Jan2019'!AJ33,('Tariffs Jan2019'!L33-'Tariffs Jan2019'!K33)*('Tariffs Jan2019'!W33/100)*'Tariffs Jan2019'!AJ33))</f>
        <v>0</v>
      </c>
      <c r="M39" s="59">
        <f>IF($C$5*'Tariffs Jan2019'!AL33/'Tariffs Jan2019'!AJ33&lt;'Tariffs Jan2019'!L33,0,IF($C$5*'Tariffs Jan2019'!AL33/'Tariffs Jan2019'!AJ33&lt;='Tariffs Jan2019'!M33,($C$5*'Tariffs Jan2019'!AL33/'Tariffs Jan2019'!AJ33-'Tariffs Jan2019'!L33)*('Tariffs Jan2019'!X33/100)*'Tariffs Jan2019'!AJ33,('Tariffs Jan2019'!M33-'Tariffs Jan2019'!L33)*('Tariffs Jan2019'!X33/100)*'Tariffs Jan2019'!AJ33))</f>
        <v>0</v>
      </c>
      <c r="N39" s="59">
        <f>IF(($C$5*'Tariffs Jan2019'!AL33/'Tariffs Jan2019'!AJ33&gt;'Tariffs Jan2019'!M33),($C$5*'Tariffs Jan2019'!AL33/'Tariffs Jan2019'!AJ33-'Tariffs Jan2019'!M33)*'Tariffs Jan2019'!Y33/100*'Tariffs Jan2019'!AJ33,0)</f>
        <v>629.91179999999997</v>
      </c>
      <c r="O39" s="271">
        <f t="shared" si="0"/>
        <v>1376.8677</v>
      </c>
      <c r="P39" s="59">
        <f t="shared" si="1"/>
        <v>1646.9677000000001</v>
      </c>
      <c r="Q39" s="272">
        <f t="shared" si="2"/>
        <v>1811.6644700000004</v>
      </c>
      <c r="R39" s="40">
        <f>'Tariffs Jan2019'!AN33</f>
        <v>0</v>
      </c>
      <c r="S39" s="40">
        <f>'Tariffs Jan2019'!AO33</f>
        <v>20</v>
      </c>
      <c r="T39" s="40">
        <f>'Tariffs Jan2019'!AP33</f>
        <v>0</v>
      </c>
      <c r="U39" s="40">
        <f>'Tariffs Jan2019'!AQ33</f>
        <v>0</v>
      </c>
      <c r="V39" s="273">
        <f>P39-(O39*S39/100)</f>
        <v>1371.5941600000001</v>
      </c>
      <c r="W39" s="273">
        <f>V39-(O39*U39/100)</f>
        <v>1371.5941600000001</v>
      </c>
      <c r="X39" s="272">
        <f t="shared" si="3"/>
        <v>1508.7535760000003</v>
      </c>
      <c r="Y39" s="272">
        <f t="shared" si="3"/>
        <v>1508.7535760000003</v>
      </c>
      <c r="Z39" s="274">
        <f>'Tariffs Jan2019'!AZ33</f>
        <v>0</v>
      </c>
      <c r="AA39" s="274" t="str">
        <f>'Tariffs Jan2019'!BA33</f>
        <v>n</v>
      </c>
      <c r="AB39" s="275" t="str">
        <f>'Tariffs Jan2019'!BH33</f>
        <v>Y</v>
      </c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</row>
    <row r="40" spans="1:40" x14ac:dyDescent="0.15">
      <c r="A40" s="40" t="str">
        <f>'Tariffs Jan2019'!F34</f>
        <v>Click Energy</v>
      </c>
      <c r="B40" s="40" t="str">
        <f>'Tariffs Jan2019'!D34</f>
        <v>AGN North</v>
      </c>
      <c r="C40" s="40" t="str">
        <f>'Tariffs Jan2019'!G34</f>
        <v>Burgundy</v>
      </c>
      <c r="D40" s="59">
        <f>365*'Tariffs Jan2019'!H34/100</f>
        <v>292.73</v>
      </c>
      <c r="E40" s="59">
        <f>IF($C$5*'Tariffs Jan2019'!AK34/'Tariffs Jan2019'!AI34&gt;='Tariffs Jan2019'!J34,( 'Tariffs Jan2019'!J34*'Tariffs Jan2019'!O34/100)* 'Tariffs Jan2019'!AI34,($C$5*'Tariffs Jan2019'!AK34/'Tariffs Jan2019'!AI34*'Tariffs Jan2019'!O34/100)* 'Tariffs Jan2019'!AI34)</f>
        <v>123.375</v>
      </c>
      <c r="F40" s="59">
        <f>IF($C$5*'Tariffs Jan2019'!AK34/'Tariffs Jan2019'!AI34&lt;'Tariffs Jan2019'!J34,0,IF($C$5*'Tariffs Jan2019'!AK34/'Tariffs Jan2019'!AI34&lt;='Tariffs Jan2019'!K34,($C$5*'Tariffs Jan2019'!AK34/'Tariffs Jan2019'!AI34-'Tariffs Jan2019'!J34)*('Tariffs Jan2019'!P34/100)*'Tariffs Jan2019'!AI34,('Tariffs Jan2019'!K34-'Tariffs Jan2019'!J34)*('Tariffs Jan2019'!P34/100)*'Tariffs Jan2019'!AI34))</f>
        <v>86.72</v>
      </c>
      <c r="G40" s="59">
        <f>IF($C$5*'Tariffs Jan2019'!AK34/'Tariffs Jan2019'!AI34&lt;'Tariffs Jan2019'!K34,0,IF($C$5*'Tariffs Jan2019'!AK34/'Tariffs Jan2019'!AI34&lt;='Tariffs Jan2019'!L34,($C$5*'Tariffs Jan2019'!AK34/'Tariffs Jan2019'!AI34-'Tariffs Jan2019'!K34)*('Tariffs Jan2019'!Q34/100)*'Tariffs Jan2019'!AI34,('Tariffs Jan2019'!L34-'Tariffs Jan2019'!K34)*('Tariffs Jan2019'!Q34/100)*'Tariffs Jan2019'!AI34))</f>
        <v>0</v>
      </c>
      <c r="H40" s="59">
        <f>IF($C$5*'Tariffs Jan2019'!AK34/'Tariffs Jan2019'!AI34&lt;'Tariffs Jan2019'!L34,0,IF($C$5*'Tariffs Jan2019'!AK34/'Tariffs Jan2019'!AI34&lt;='Tariffs Jan2019'!M34,($C$5*'Tariffs Jan2019'!AK34/'Tariffs Jan2019'!AI34-'Tariffs Jan2019'!L34)*('Tariffs Jan2019'!R34/100)*'Tariffs Jan2019'!AI34,('Tariffs Jan2019'!M34-'Tariffs Jan2019'!L34)*('Tariffs Jan2019'!R34/100)*'Tariffs Jan2019'!AI34))</f>
        <v>0</v>
      </c>
      <c r="I40" s="59">
        <f>IF(($C$5*'Tariffs Jan2019'!AK34/'Tariffs Jan2019'!AI34&gt;'Tariffs Jan2019'!M34),($C$5*'Tariffs Jan2019'!AK34/'Tariffs Jan2019'!AI34-'Tariffs Jan2019'!M34)*'Tariffs Jan2019'!S34/100*'Tariffs Jan2019'!AI34,0)</f>
        <v>419.94119999999987</v>
      </c>
      <c r="J40" s="59">
        <f>IF($C$5*'Tariffs Jan2019'!AL34/'Tariffs Jan2019'!AJ34&gt;='Tariffs Jan2019'!J34,('Tariffs Jan2019'!J34*'Tariffs Jan2019'!U34/100)* 'Tariffs Jan2019'!AJ34,($C$5*'Tariffs Jan2019'!AL34/'Tariffs Jan2019'!AJ34*'Tariffs Jan2019'!U34/100)* 'Tariffs Jan2019'!AJ34)</f>
        <v>246.75</v>
      </c>
      <c r="K40" s="59">
        <f>IF($C$5*'Tariffs Jan2019'!AL34/'Tariffs Jan2019'!AJ34&lt;'Tariffs Jan2019'!J34,0,IF($C$5*'Tariffs Jan2019'!AL34/'Tariffs Jan2019'!AJ34&lt;='Tariffs Jan2019'!K34,($C$5*'Tariffs Jan2019'!AL34/'Tariffs Jan2019'!AJ34-'Tariffs Jan2019'!J34)*('Tariffs Jan2019'!V34/100)*'Tariffs Jan2019'!AJ34,('Tariffs Jan2019'!K34-'Tariffs Jan2019'!J34)*('Tariffs Jan2019'!V34/100)*'Tariffs Jan2019'!AJ34))</f>
        <v>173.44</v>
      </c>
      <c r="L40" s="59">
        <f>IF($C$5*'Tariffs Jan2019'!AL34/'Tariffs Jan2019'!AJ34&lt;'Tariffs Jan2019'!K34,0,IF($C$5*'Tariffs Jan2019'!AL34/'Tariffs Jan2019'!AJ34&lt;='Tariffs Jan2019'!L34,($C$5*'Tariffs Jan2019'!AL34/'Tariffs Jan2019'!AJ34-'Tariffs Jan2019'!K34)*('Tariffs Jan2019'!W34/100)*'Tariffs Jan2019'!AJ34,('Tariffs Jan2019'!L34-'Tariffs Jan2019'!K34)*('Tariffs Jan2019'!W34/100)*'Tariffs Jan2019'!AJ34))</f>
        <v>0</v>
      </c>
      <c r="M40" s="59">
        <f>IF($C$5*'Tariffs Jan2019'!AL34/'Tariffs Jan2019'!AJ34&lt;'Tariffs Jan2019'!L34,0,IF($C$5*'Tariffs Jan2019'!AL34/'Tariffs Jan2019'!AJ34&lt;='Tariffs Jan2019'!M34,($C$5*'Tariffs Jan2019'!AL34/'Tariffs Jan2019'!AJ34-'Tariffs Jan2019'!L34)*('Tariffs Jan2019'!X34/100)*'Tariffs Jan2019'!AJ34,('Tariffs Jan2019'!M34-'Tariffs Jan2019'!L34)*('Tariffs Jan2019'!X34/100)*'Tariffs Jan2019'!AJ34))</f>
        <v>0</v>
      </c>
      <c r="N40" s="59">
        <f>IF(($C$5*'Tariffs Jan2019'!AL34/'Tariffs Jan2019'!AJ34&gt;'Tariffs Jan2019'!M34),($C$5*'Tariffs Jan2019'!AL34/'Tariffs Jan2019'!AJ34-'Tariffs Jan2019'!M34)*'Tariffs Jan2019'!Y34/100*'Tariffs Jan2019'!AJ34,0)</f>
        <v>839.88239999999973</v>
      </c>
      <c r="O40" s="271">
        <f t="shared" si="0"/>
        <v>1890.1085999999996</v>
      </c>
      <c r="P40" s="59">
        <f t="shared" si="1"/>
        <v>2182.8385999999996</v>
      </c>
      <c r="Q40" s="272">
        <f t="shared" si="2"/>
        <v>2401.1224599999996</v>
      </c>
      <c r="R40" s="40">
        <f>'Tariffs Jan2019'!AN34</f>
        <v>0</v>
      </c>
      <c r="S40" s="40">
        <f>'Tariffs Jan2019'!AO34</f>
        <v>0</v>
      </c>
      <c r="T40" s="40">
        <f>'Tariffs Jan2019'!AP34</f>
        <v>26</v>
      </c>
      <c r="U40" s="40">
        <f>'Tariffs Jan2019'!AQ34</f>
        <v>0</v>
      </c>
      <c r="V40" s="273">
        <f>P40</f>
        <v>2182.8385999999996</v>
      </c>
      <c r="W40" s="273">
        <f>V40-(P40*T40/100)</f>
        <v>1615.3005639999997</v>
      </c>
      <c r="X40" s="272">
        <f t="shared" si="3"/>
        <v>2401.1224599999996</v>
      </c>
      <c r="Y40" s="272">
        <f t="shared" si="3"/>
        <v>1776.8306203999998</v>
      </c>
      <c r="Z40" s="274">
        <f>'Tariffs Jan2019'!AZ34</f>
        <v>0</v>
      </c>
      <c r="AA40" s="274" t="str">
        <f>'Tariffs Jan2019'!BA34</f>
        <v>n</v>
      </c>
      <c r="AB40" s="275" t="str">
        <f>'Tariffs Jan2019'!BH34</f>
        <v>N</v>
      </c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</row>
    <row r="41" spans="1:40" x14ac:dyDescent="0.15">
      <c r="A41" s="40" t="str">
        <f>'Tariffs Jan2019'!F35</f>
        <v>Covau</v>
      </c>
      <c r="B41" s="40" t="str">
        <f>'Tariffs Jan2019'!D35</f>
        <v>AGN North</v>
      </c>
      <c r="C41" s="40" t="str">
        <f>'Tariffs Jan2019'!G35</f>
        <v>Smart Saver</v>
      </c>
      <c r="D41" s="59">
        <f>365*'Tariffs Jan2019'!H35/100</f>
        <v>273.75</v>
      </c>
      <c r="E41" s="59">
        <f>IF($C$5*'Tariffs Jan2019'!AK35/'Tariffs Jan2019'!AI35&gt;='Tariffs Jan2019'!J35,( 'Tariffs Jan2019'!J35*'Tariffs Jan2019'!O35/100)* 'Tariffs Jan2019'!AI35,($C$5*'Tariffs Jan2019'!AK35/'Tariffs Jan2019'!AI35*'Tariffs Jan2019'!O35/100)* 'Tariffs Jan2019'!AI35)</f>
        <v>98.371000000000009</v>
      </c>
      <c r="F41" s="59">
        <f>IF($C$5*'Tariffs Jan2019'!AK35/'Tariffs Jan2019'!AI35&lt;'Tariffs Jan2019'!J35,0,IF($C$5*'Tariffs Jan2019'!AK35/'Tariffs Jan2019'!AI35&lt;='Tariffs Jan2019'!K35,($C$5*'Tariffs Jan2019'!AK35/'Tariffs Jan2019'!AI35-'Tariffs Jan2019'!J35)*('Tariffs Jan2019'!P35/100)*'Tariffs Jan2019'!AI35,('Tariffs Jan2019'!K35-'Tariffs Jan2019'!J35)*('Tariffs Jan2019'!P35/100)*'Tariffs Jan2019'!AI35))</f>
        <v>71.814999999999998</v>
      </c>
      <c r="G41" s="59">
        <f>IF($C$5*'Tariffs Jan2019'!AK35/'Tariffs Jan2019'!AI35&lt;'Tariffs Jan2019'!K35,0,IF($C$5*'Tariffs Jan2019'!AK35/'Tariffs Jan2019'!AI35&lt;='Tariffs Jan2019'!L35,($C$5*'Tariffs Jan2019'!AK35/'Tariffs Jan2019'!AI35-'Tariffs Jan2019'!K35)*('Tariffs Jan2019'!Q35/100)*'Tariffs Jan2019'!AI35,('Tariffs Jan2019'!L35-'Tariffs Jan2019'!K35)*('Tariffs Jan2019'!Q35/100)*'Tariffs Jan2019'!AI35))</f>
        <v>0</v>
      </c>
      <c r="H41" s="59">
        <f>IF($C$5*'Tariffs Jan2019'!AK35/'Tariffs Jan2019'!AI35&lt;'Tariffs Jan2019'!L35,0,IF($C$5*'Tariffs Jan2019'!AK35/'Tariffs Jan2019'!AI35&lt;='Tariffs Jan2019'!M35,($C$5*'Tariffs Jan2019'!AK35/'Tariffs Jan2019'!AI35-'Tariffs Jan2019'!L35)*('Tariffs Jan2019'!R35/100)*'Tariffs Jan2019'!AI35,('Tariffs Jan2019'!M35-'Tariffs Jan2019'!L35)*('Tariffs Jan2019'!R35/100)*'Tariffs Jan2019'!AI35))</f>
        <v>0</v>
      </c>
      <c r="I41" s="59">
        <f>IF(($C$5*'Tariffs Jan2019'!AK35/'Tariffs Jan2019'!AI35&gt;'Tariffs Jan2019'!M35),($C$5*'Tariffs Jan2019'!AK35/'Tariffs Jan2019'!AI35-'Tariffs Jan2019'!M35)*'Tariffs Jan2019'!S35/100*'Tariffs Jan2019'!AI35,0)</f>
        <v>332.95337999999998</v>
      </c>
      <c r="J41" s="59">
        <f>IF($C$5*'Tariffs Jan2019'!AL35/'Tariffs Jan2019'!AJ35&gt;='Tariffs Jan2019'!J35,('Tariffs Jan2019'!J35*'Tariffs Jan2019'!U35/100)* 'Tariffs Jan2019'!AJ35,($C$5*'Tariffs Jan2019'!AL35/'Tariffs Jan2019'!AJ35*'Tariffs Jan2019'!U35/100)* 'Tariffs Jan2019'!AJ35)</f>
        <v>196.74200000000002</v>
      </c>
      <c r="K41" s="59">
        <f>IF($C$5*'Tariffs Jan2019'!AL35/'Tariffs Jan2019'!AJ35&lt;'Tariffs Jan2019'!J35,0,IF($C$5*'Tariffs Jan2019'!AL35/'Tariffs Jan2019'!AJ35&lt;='Tariffs Jan2019'!K35,($C$5*'Tariffs Jan2019'!AL35/'Tariffs Jan2019'!AJ35-'Tariffs Jan2019'!J35)*('Tariffs Jan2019'!V35/100)*'Tariffs Jan2019'!AJ35,('Tariffs Jan2019'!K35-'Tariffs Jan2019'!J35)*('Tariffs Jan2019'!V35/100)*'Tariffs Jan2019'!AJ35))</f>
        <v>143.63</v>
      </c>
      <c r="L41" s="59">
        <f>IF($C$5*'Tariffs Jan2019'!AL35/'Tariffs Jan2019'!AJ35&lt;'Tariffs Jan2019'!K35,0,IF($C$5*'Tariffs Jan2019'!AL35/'Tariffs Jan2019'!AJ35&lt;='Tariffs Jan2019'!L35,($C$5*'Tariffs Jan2019'!AL35/'Tariffs Jan2019'!AJ35-'Tariffs Jan2019'!K35)*('Tariffs Jan2019'!W35/100)*'Tariffs Jan2019'!AJ35,('Tariffs Jan2019'!L35-'Tariffs Jan2019'!K35)*('Tariffs Jan2019'!W35/100)*'Tariffs Jan2019'!AJ35))</f>
        <v>0</v>
      </c>
      <c r="M41" s="59">
        <f>IF($C$5*'Tariffs Jan2019'!AL35/'Tariffs Jan2019'!AJ35&lt;'Tariffs Jan2019'!L35,0,IF($C$5*'Tariffs Jan2019'!AL35/'Tariffs Jan2019'!AJ35&lt;='Tariffs Jan2019'!M35,($C$5*'Tariffs Jan2019'!AL35/'Tariffs Jan2019'!AJ35-'Tariffs Jan2019'!L35)*('Tariffs Jan2019'!X35/100)*'Tariffs Jan2019'!AJ35,('Tariffs Jan2019'!M35-'Tariffs Jan2019'!L35)*('Tariffs Jan2019'!X35/100)*'Tariffs Jan2019'!AJ35))</f>
        <v>0</v>
      </c>
      <c r="N41" s="59">
        <f>IF(($C$5*'Tariffs Jan2019'!AL35/'Tariffs Jan2019'!AJ35&gt;'Tariffs Jan2019'!M35),($C$5*'Tariffs Jan2019'!AL35/'Tariffs Jan2019'!AJ35-'Tariffs Jan2019'!M35)*'Tariffs Jan2019'!Y35/100*'Tariffs Jan2019'!AJ35,0)</f>
        <v>665.90675999999996</v>
      </c>
      <c r="O41" s="271">
        <f t="shared" si="0"/>
        <v>1509.41814</v>
      </c>
      <c r="P41" s="59">
        <f t="shared" si="1"/>
        <v>1783.16814</v>
      </c>
      <c r="Q41" s="272">
        <f t="shared" si="2"/>
        <v>1961.4849540000002</v>
      </c>
      <c r="R41" s="40">
        <f>'Tariffs Jan2019'!AN35</f>
        <v>0</v>
      </c>
      <c r="S41" s="40">
        <f>'Tariffs Jan2019'!AO35</f>
        <v>0</v>
      </c>
      <c r="T41" s="40">
        <f>'Tariffs Jan2019'!AP35</f>
        <v>0</v>
      </c>
      <c r="U41" s="40">
        <f>'Tariffs Jan2019'!AQ35</f>
        <v>16</v>
      </c>
      <c r="V41" s="273">
        <f>P41</f>
        <v>1783.16814</v>
      </c>
      <c r="W41" s="273">
        <f>V41-(O41*U41/100)</f>
        <v>1541.6612376</v>
      </c>
      <c r="X41" s="272">
        <f t="shared" si="3"/>
        <v>1961.4849540000002</v>
      </c>
      <c r="Y41" s="272">
        <f t="shared" si="3"/>
        <v>1695.8273613600002</v>
      </c>
      <c r="Z41" s="274">
        <f>'Tariffs Jan2019'!AZ35</f>
        <v>0</v>
      </c>
      <c r="AA41" s="274" t="str">
        <f>'Tariffs Jan2019'!BA35</f>
        <v>n</v>
      </c>
      <c r="AB41" s="275" t="str">
        <f>'Tariffs Jan2019'!BH35</f>
        <v>N</v>
      </c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</row>
    <row r="42" spans="1:40" x14ac:dyDescent="0.15">
      <c r="A42" s="40" t="str">
        <f>'Tariffs Jan2019'!F36</f>
        <v>Dodo Power &amp; Gas</v>
      </c>
      <c r="B42" s="40" t="str">
        <f>'Tariffs Jan2019'!D36</f>
        <v>AGN North</v>
      </c>
      <c r="C42" s="40" t="str">
        <f>'Tariffs Jan2019'!G36</f>
        <v>Market offer</v>
      </c>
      <c r="D42" s="59">
        <f>365*'Tariffs Jan2019'!H36/100</f>
        <v>296.92749999999995</v>
      </c>
      <c r="E42" s="59">
        <f>IF($C$5*'Tariffs Jan2019'!AK36/'Tariffs Jan2019'!AI36&gt;='Tariffs Jan2019'!J36,( 'Tariffs Jan2019'!J36*'Tariffs Jan2019'!O36/100)* 'Tariffs Jan2019'!AI36,($C$5*'Tariffs Jan2019'!AK36/'Tariffs Jan2019'!AI36*'Tariffs Jan2019'!O36/100)* 'Tariffs Jan2019'!AI36)</f>
        <v>199.2</v>
      </c>
      <c r="F42" s="59">
        <f>IF($C$5*'Tariffs Jan2019'!AK36/'Tariffs Jan2019'!AI36&lt;'Tariffs Jan2019'!J36,0,IF($C$5*'Tariffs Jan2019'!AK36/'Tariffs Jan2019'!AI36&lt;='Tariffs Jan2019'!K36,($C$5*'Tariffs Jan2019'!AK36/'Tariffs Jan2019'!AI36-'Tariffs Jan2019'!J36)*('Tariffs Jan2019'!P36/100)*'Tariffs Jan2019'!AI36,('Tariffs Jan2019'!K36-'Tariffs Jan2019'!J36)*('Tariffs Jan2019'!P36/100)*'Tariffs Jan2019'!AI36))</f>
        <v>284.65400999999997</v>
      </c>
      <c r="G42" s="59">
        <f>IF($C$5*'Tariffs Jan2019'!AK36/'Tariffs Jan2019'!AI36&lt;'Tariffs Jan2019'!K36,0,IF($C$5*'Tariffs Jan2019'!AK36/'Tariffs Jan2019'!AI36&lt;='Tariffs Jan2019'!L36,($C$5*'Tariffs Jan2019'!AK36/'Tariffs Jan2019'!AI36-'Tariffs Jan2019'!K36)*('Tariffs Jan2019'!Q36/100)*'Tariffs Jan2019'!AI36,('Tariffs Jan2019'!L36-'Tariffs Jan2019'!K36)*('Tariffs Jan2019'!Q36/100)*'Tariffs Jan2019'!AI36))</f>
        <v>0</v>
      </c>
      <c r="H42" s="59">
        <f>IF($C$5*'Tariffs Jan2019'!AK36/'Tariffs Jan2019'!AI36&lt;'Tariffs Jan2019'!L36,0,IF($C$5*'Tariffs Jan2019'!AK36/'Tariffs Jan2019'!AI36&lt;='Tariffs Jan2019'!M36,($C$5*'Tariffs Jan2019'!AK36/'Tariffs Jan2019'!AI36-'Tariffs Jan2019'!L36)*('Tariffs Jan2019'!R36/100)*'Tariffs Jan2019'!AI36,('Tariffs Jan2019'!M36-'Tariffs Jan2019'!L36)*('Tariffs Jan2019'!R36/100)*'Tariffs Jan2019'!AI36))</f>
        <v>0</v>
      </c>
      <c r="I42" s="59">
        <f>IF(($C$5*'Tariffs Jan2019'!AK36/'Tariffs Jan2019'!AI36&gt;'Tariffs Jan2019'!M36),($C$5*'Tariffs Jan2019'!AK36/'Tariffs Jan2019'!AI36-'Tariffs Jan2019'!M36)*'Tariffs Jan2019'!S36/100*'Tariffs Jan2019'!AI36,0)</f>
        <v>0</v>
      </c>
      <c r="J42" s="59">
        <f>IF($C$5*'Tariffs Jan2019'!AL36/'Tariffs Jan2019'!AJ36&gt;='Tariffs Jan2019'!J36,('Tariffs Jan2019'!J36*'Tariffs Jan2019'!U36/100)* 'Tariffs Jan2019'!AJ36,($C$5*'Tariffs Jan2019'!AL36/'Tariffs Jan2019'!AJ36*'Tariffs Jan2019'!U36/100)* 'Tariffs Jan2019'!AJ36)</f>
        <v>398.4</v>
      </c>
      <c r="K42" s="59">
        <f>IF($C$5*'Tariffs Jan2019'!AL36/'Tariffs Jan2019'!AJ36&lt;'Tariffs Jan2019'!J36,0,IF($C$5*'Tariffs Jan2019'!AL36/'Tariffs Jan2019'!AJ36&lt;='Tariffs Jan2019'!K36,($C$5*'Tariffs Jan2019'!AL36/'Tariffs Jan2019'!AJ36-'Tariffs Jan2019'!J36)*('Tariffs Jan2019'!V36/100)*'Tariffs Jan2019'!AJ36,('Tariffs Jan2019'!K36-'Tariffs Jan2019'!J36)*('Tariffs Jan2019'!V36/100)*'Tariffs Jan2019'!AJ36))</f>
        <v>569.30801999999994</v>
      </c>
      <c r="L42" s="59">
        <f>IF($C$5*'Tariffs Jan2019'!AL36/'Tariffs Jan2019'!AJ36&lt;'Tariffs Jan2019'!K36,0,IF($C$5*'Tariffs Jan2019'!AL36/'Tariffs Jan2019'!AJ36&lt;='Tariffs Jan2019'!L36,($C$5*'Tariffs Jan2019'!AL36/'Tariffs Jan2019'!AJ36-'Tariffs Jan2019'!K36)*('Tariffs Jan2019'!W36/100)*'Tariffs Jan2019'!AJ36,('Tariffs Jan2019'!L36-'Tariffs Jan2019'!K36)*('Tariffs Jan2019'!W36/100)*'Tariffs Jan2019'!AJ36))</f>
        <v>0</v>
      </c>
      <c r="M42" s="59">
        <f>IF($C$5*'Tariffs Jan2019'!AL36/'Tariffs Jan2019'!AJ36&lt;'Tariffs Jan2019'!L36,0,IF($C$5*'Tariffs Jan2019'!AL36/'Tariffs Jan2019'!AJ36&lt;='Tariffs Jan2019'!M36,($C$5*'Tariffs Jan2019'!AL36/'Tariffs Jan2019'!AJ36-'Tariffs Jan2019'!L36)*('Tariffs Jan2019'!X36/100)*'Tariffs Jan2019'!AJ36,('Tariffs Jan2019'!M36-'Tariffs Jan2019'!L36)*('Tariffs Jan2019'!X36/100)*'Tariffs Jan2019'!AJ36))</f>
        <v>0</v>
      </c>
      <c r="N42" s="59">
        <f>IF(($C$5*'Tariffs Jan2019'!AL36/'Tariffs Jan2019'!AJ36&gt;'Tariffs Jan2019'!M36),($C$5*'Tariffs Jan2019'!AL36/'Tariffs Jan2019'!AJ36-'Tariffs Jan2019'!M36)*'Tariffs Jan2019'!Y36/100*'Tariffs Jan2019'!AJ36,0)</f>
        <v>0</v>
      </c>
      <c r="O42" s="271">
        <f t="shared" si="0"/>
        <v>1451.5620299999998</v>
      </c>
      <c r="P42" s="59">
        <f t="shared" si="1"/>
        <v>1748.4895299999998</v>
      </c>
      <c r="Q42" s="272">
        <f t="shared" si="2"/>
        <v>1923.338483</v>
      </c>
      <c r="R42" s="40">
        <f>'Tariffs Jan2019'!AN36</f>
        <v>0</v>
      </c>
      <c r="S42" s="40">
        <f>'Tariffs Jan2019'!AO36</f>
        <v>0</v>
      </c>
      <c r="T42" s="40">
        <f>'Tariffs Jan2019'!AP36</f>
        <v>0</v>
      </c>
      <c r="U42" s="40">
        <f>'Tariffs Jan2019'!AQ36</f>
        <v>0</v>
      </c>
      <c r="V42" s="273">
        <f>P42</f>
        <v>1748.4895299999998</v>
      </c>
      <c r="W42" s="273">
        <f>V42</f>
        <v>1748.4895299999998</v>
      </c>
      <c r="X42" s="272">
        <f t="shared" si="3"/>
        <v>1923.338483</v>
      </c>
      <c r="Y42" s="272">
        <f t="shared" si="3"/>
        <v>1923.338483</v>
      </c>
      <c r="Z42" s="274">
        <f>'Tariffs Jan2019'!AZ36</f>
        <v>0</v>
      </c>
      <c r="AA42" s="274" t="str">
        <f>'Tariffs Jan2019'!BA36</f>
        <v>n</v>
      </c>
      <c r="AB42" s="275" t="str">
        <f>'Tariffs Jan2019'!BH36</f>
        <v>Y</v>
      </c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</row>
    <row r="43" spans="1:40" x14ac:dyDescent="0.15">
      <c r="A43" s="40" t="str">
        <f>'Tariffs Jan2019'!F37</f>
        <v>EnergyAustralia</v>
      </c>
      <c r="B43" s="40" t="str">
        <f>'Tariffs Jan2019'!D37</f>
        <v>AGN North</v>
      </c>
      <c r="C43" s="40" t="str">
        <f>'Tariffs Jan2019'!G37</f>
        <v>Anytime Saver</v>
      </c>
      <c r="D43" s="59">
        <f>365*'Tariffs Jan2019'!H37/100</f>
        <v>295.64999999999998</v>
      </c>
      <c r="E43" s="59">
        <f>IF($C$5*'Tariffs Jan2019'!AK37/'Tariffs Jan2019'!AI37&gt;='Tariffs Jan2019'!J37,( 'Tariffs Jan2019'!J37*'Tariffs Jan2019'!O37/100)* 'Tariffs Jan2019'!AI37,($C$5*'Tariffs Jan2019'!AK37/'Tariffs Jan2019'!AI37*'Tariffs Jan2019'!O37/100)* 'Tariffs Jan2019'!AI37)</f>
        <v>178.2</v>
      </c>
      <c r="F43" s="59">
        <f>IF($C$5*'Tariffs Jan2019'!AK37/'Tariffs Jan2019'!AI37&lt;'Tariffs Jan2019'!J37,0,IF($C$5*'Tariffs Jan2019'!AK37/'Tariffs Jan2019'!AI37&lt;='Tariffs Jan2019'!K37,($C$5*'Tariffs Jan2019'!AK37/'Tariffs Jan2019'!AI37-'Tariffs Jan2019'!J37)*('Tariffs Jan2019'!P37/100)*'Tariffs Jan2019'!AI37,('Tariffs Jan2019'!K37-'Tariffs Jan2019'!J37)*('Tariffs Jan2019'!P37/100)*'Tariffs Jan2019'!AI37))</f>
        <v>0</v>
      </c>
      <c r="G43" s="59">
        <f>IF($C$5*'Tariffs Jan2019'!AK37/'Tariffs Jan2019'!AI37&lt;'Tariffs Jan2019'!K37,0,IF($C$5*'Tariffs Jan2019'!AK37/'Tariffs Jan2019'!AI37&lt;='Tariffs Jan2019'!L37,($C$5*'Tariffs Jan2019'!AK37/'Tariffs Jan2019'!AI37-'Tariffs Jan2019'!K37)*('Tariffs Jan2019'!Q37/100)*'Tariffs Jan2019'!AI37,('Tariffs Jan2019'!L37-'Tariffs Jan2019'!K37)*('Tariffs Jan2019'!Q37/100)*'Tariffs Jan2019'!AI37))</f>
        <v>0</v>
      </c>
      <c r="H43" s="59">
        <f>IF($C$5*'Tariffs Jan2019'!AK37/'Tariffs Jan2019'!AI37&lt;'Tariffs Jan2019'!L37,0,IF($C$5*'Tariffs Jan2019'!AK37/'Tariffs Jan2019'!AI37&lt;='Tariffs Jan2019'!M37,($C$5*'Tariffs Jan2019'!AK37/'Tariffs Jan2019'!AI37-'Tariffs Jan2019'!L37)*('Tariffs Jan2019'!R37/100)*'Tariffs Jan2019'!AI37,('Tariffs Jan2019'!M37-'Tariffs Jan2019'!L37)*('Tariffs Jan2019'!R37/100)*'Tariffs Jan2019'!AI37))</f>
        <v>0</v>
      </c>
      <c r="I43" s="59">
        <f>IF(($C$5*'Tariffs Jan2019'!AK37/'Tariffs Jan2019'!AI37&gt;'Tariffs Jan2019'!M37),($C$5*'Tariffs Jan2019'!AK37/'Tariffs Jan2019'!AI37-'Tariffs Jan2019'!M37)*'Tariffs Jan2019'!S37/100*'Tariffs Jan2019'!AI37,0)</f>
        <v>299.95799999999997</v>
      </c>
      <c r="J43" s="59">
        <f>IF($C$5*'Tariffs Jan2019'!AL37/'Tariffs Jan2019'!AJ37&gt;='Tariffs Jan2019'!J37,('Tariffs Jan2019'!J37*'Tariffs Jan2019'!U37/100)* 'Tariffs Jan2019'!AJ37,($C$5*'Tariffs Jan2019'!AL37/'Tariffs Jan2019'!AJ37*'Tariffs Jan2019'!U37/100)* 'Tariffs Jan2019'!AJ37)</f>
        <v>356.4</v>
      </c>
      <c r="K43" s="59">
        <f>IF($C$5*'Tariffs Jan2019'!AL37/'Tariffs Jan2019'!AJ37&lt;'Tariffs Jan2019'!J37,0,IF($C$5*'Tariffs Jan2019'!AL37/'Tariffs Jan2019'!AJ37&lt;='Tariffs Jan2019'!K37,($C$5*'Tariffs Jan2019'!AL37/'Tariffs Jan2019'!AJ37-'Tariffs Jan2019'!J37)*('Tariffs Jan2019'!V37/100)*'Tariffs Jan2019'!AJ37,('Tariffs Jan2019'!K37-'Tariffs Jan2019'!J37)*('Tariffs Jan2019'!V37/100)*'Tariffs Jan2019'!AJ37))</f>
        <v>0</v>
      </c>
      <c r="L43" s="59">
        <f>IF($C$5*'Tariffs Jan2019'!AL37/'Tariffs Jan2019'!AJ37&lt;'Tariffs Jan2019'!K37,0,IF($C$5*'Tariffs Jan2019'!AL37/'Tariffs Jan2019'!AJ37&lt;='Tariffs Jan2019'!L37,($C$5*'Tariffs Jan2019'!AL37/'Tariffs Jan2019'!AJ37-'Tariffs Jan2019'!K37)*('Tariffs Jan2019'!W37/100)*'Tariffs Jan2019'!AJ37,('Tariffs Jan2019'!L37-'Tariffs Jan2019'!K37)*('Tariffs Jan2019'!W37/100)*'Tariffs Jan2019'!AJ37))</f>
        <v>0</v>
      </c>
      <c r="M43" s="59">
        <f>IF($C$5*'Tariffs Jan2019'!AL37/'Tariffs Jan2019'!AJ37&lt;'Tariffs Jan2019'!L37,0,IF($C$5*'Tariffs Jan2019'!AL37/'Tariffs Jan2019'!AJ37&lt;='Tariffs Jan2019'!M37,($C$5*'Tariffs Jan2019'!AL37/'Tariffs Jan2019'!AJ37-'Tariffs Jan2019'!L37)*('Tariffs Jan2019'!X37/100)*'Tariffs Jan2019'!AJ37,('Tariffs Jan2019'!M37-'Tariffs Jan2019'!L37)*('Tariffs Jan2019'!X37/100)*'Tariffs Jan2019'!AJ37))</f>
        <v>0</v>
      </c>
      <c r="N43" s="59">
        <f>IF(($C$5*'Tariffs Jan2019'!AL37/'Tariffs Jan2019'!AJ37&gt;'Tariffs Jan2019'!M37),($C$5*'Tariffs Jan2019'!AL37/'Tariffs Jan2019'!AJ37-'Tariffs Jan2019'!M37)*'Tariffs Jan2019'!Y37/100*'Tariffs Jan2019'!AJ37,0)</f>
        <v>599.91599999999994</v>
      </c>
      <c r="O43" s="271">
        <f t="shared" si="0"/>
        <v>1434.4739999999999</v>
      </c>
      <c r="P43" s="59">
        <f t="shared" si="1"/>
        <v>1730.1239999999998</v>
      </c>
      <c r="Q43" s="272">
        <f t="shared" si="2"/>
        <v>1903.1363999999999</v>
      </c>
      <c r="R43" s="40">
        <f>'Tariffs Jan2019'!AN37</f>
        <v>0</v>
      </c>
      <c r="S43" s="40">
        <f>'Tariffs Jan2019'!AO37</f>
        <v>22</v>
      </c>
      <c r="T43" s="40">
        <f>'Tariffs Jan2019'!AP37</f>
        <v>0</v>
      </c>
      <c r="U43" s="40">
        <f>'Tariffs Jan2019'!AQ37</f>
        <v>0</v>
      </c>
      <c r="V43" s="273">
        <f>P43-(O43*S43/100)</f>
        <v>1414.5397199999998</v>
      </c>
      <c r="W43" s="273">
        <f>V43-(O43*U43/100)</f>
        <v>1414.5397199999998</v>
      </c>
      <c r="X43" s="272">
        <f t="shared" si="3"/>
        <v>1555.9936919999998</v>
      </c>
      <c r="Y43" s="272">
        <f t="shared" si="3"/>
        <v>1555.9936919999998</v>
      </c>
      <c r="Z43" s="274">
        <f>'Tariffs Jan2019'!AZ37</f>
        <v>0</v>
      </c>
      <c r="AA43" s="274" t="str">
        <f>'Tariffs Jan2019'!BA37</f>
        <v>n</v>
      </c>
      <c r="AB43" s="275" t="str">
        <f>'Tariffs Jan2019'!BH37</f>
        <v>N</v>
      </c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</row>
    <row r="44" spans="1:40" x14ac:dyDescent="0.15">
      <c r="A44" s="40" t="str">
        <f>'Tariffs Jan2019'!F38</f>
        <v>Lumo Energy</v>
      </c>
      <c r="B44" s="40" t="str">
        <f>'Tariffs Jan2019'!D38</f>
        <v>AGN North</v>
      </c>
      <c r="C44" s="40" t="str">
        <f>'Tariffs Jan2019'!G38</f>
        <v>Value</v>
      </c>
      <c r="D44" s="59">
        <f>365*'Tariffs Jan2019'!H38/100</f>
        <v>255.5</v>
      </c>
      <c r="E44" s="59">
        <f>IF($C$5*'Tariffs Jan2019'!AK38/'Tariffs Jan2019'!AI38&gt;='Tariffs Jan2019'!J38,( 'Tariffs Jan2019'!J38*'Tariffs Jan2019'!O38/100)* 'Tariffs Jan2019'!AI38,($C$5*'Tariffs Jan2019'!AK38/'Tariffs Jan2019'!AI38*'Tariffs Jan2019'!O38/100)* 'Tariffs Jan2019'!AI38)</f>
        <v>78.959999999999994</v>
      </c>
      <c r="F44" s="59">
        <f>IF($C$5*'Tariffs Jan2019'!AK38/'Tariffs Jan2019'!AI38&lt;'Tariffs Jan2019'!J38,0,IF($C$5*'Tariffs Jan2019'!AK38/'Tariffs Jan2019'!AI38&lt;='Tariffs Jan2019'!K38,($C$5*'Tariffs Jan2019'!AK38/'Tariffs Jan2019'!AI38-'Tariffs Jan2019'!J38)*('Tariffs Jan2019'!P38/100)*'Tariffs Jan2019'!AI38,('Tariffs Jan2019'!K38-'Tariffs Jan2019'!J38)*('Tariffs Jan2019'!P38/100)*'Tariffs Jan2019'!AI38))</f>
        <v>55.284000000000006</v>
      </c>
      <c r="G44" s="59">
        <f>IF($C$5*'Tariffs Jan2019'!AK38/'Tariffs Jan2019'!AI38&lt;'Tariffs Jan2019'!K38,0,IF($C$5*'Tariffs Jan2019'!AK38/'Tariffs Jan2019'!AI38&lt;='Tariffs Jan2019'!L38,($C$5*'Tariffs Jan2019'!AK38/'Tariffs Jan2019'!AI38-'Tariffs Jan2019'!K38)*('Tariffs Jan2019'!Q38/100)*'Tariffs Jan2019'!AI38,('Tariffs Jan2019'!L38-'Tariffs Jan2019'!K38)*('Tariffs Jan2019'!Q38/100)*'Tariffs Jan2019'!AI38))</f>
        <v>0</v>
      </c>
      <c r="H44" s="59">
        <f>IF($C$5*'Tariffs Jan2019'!AK38/'Tariffs Jan2019'!AI38&lt;'Tariffs Jan2019'!L38,0,IF($C$5*'Tariffs Jan2019'!AK38/'Tariffs Jan2019'!AI38&lt;='Tariffs Jan2019'!M38,($C$5*'Tariffs Jan2019'!AK38/'Tariffs Jan2019'!AI38-'Tariffs Jan2019'!L38)*('Tariffs Jan2019'!R38/100)*'Tariffs Jan2019'!AI38,('Tariffs Jan2019'!M38-'Tariffs Jan2019'!L38)*('Tariffs Jan2019'!R38/100)*'Tariffs Jan2019'!AI38))</f>
        <v>0</v>
      </c>
      <c r="I44" s="59">
        <f>IF(($C$5*'Tariffs Jan2019'!AK38/'Tariffs Jan2019'!AI38&gt;'Tariffs Jan2019'!M38),($C$5*'Tariffs Jan2019'!AK38/'Tariffs Jan2019'!AI38-'Tariffs Jan2019'!M38)*'Tariffs Jan2019'!S38/100*'Tariffs Jan2019'!AI38,0)</f>
        <v>269.9622</v>
      </c>
      <c r="J44" s="59">
        <f>IF($C$5*'Tariffs Jan2019'!AL38/'Tariffs Jan2019'!AJ38&gt;='Tariffs Jan2019'!J38,('Tariffs Jan2019'!J38*'Tariffs Jan2019'!U38/100)* 'Tariffs Jan2019'!AJ38,($C$5*'Tariffs Jan2019'!AL38/'Tariffs Jan2019'!AJ38*'Tariffs Jan2019'!U38/100)* 'Tariffs Jan2019'!AJ38)</f>
        <v>157.91999999999999</v>
      </c>
      <c r="K44" s="59">
        <f>IF($C$5*'Tariffs Jan2019'!AL38/'Tariffs Jan2019'!AJ38&lt;'Tariffs Jan2019'!J38,0,IF($C$5*'Tariffs Jan2019'!AL38/'Tariffs Jan2019'!AJ38&lt;='Tariffs Jan2019'!K38,($C$5*'Tariffs Jan2019'!AL38/'Tariffs Jan2019'!AJ38-'Tariffs Jan2019'!J38)*('Tariffs Jan2019'!V38/100)*'Tariffs Jan2019'!AJ38,('Tariffs Jan2019'!K38-'Tariffs Jan2019'!J38)*('Tariffs Jan2019'!V38/100)*'Tariffs Jan2019'!AJ38))</f>
        <v>110.56800000000001</v>
      </c>
      <c r="L44" s="59">
        <f>IF($C$5*'Tariffs Jan2019'!AL38/'Tariffs Jan2019'!AJ38&lt;'Tariffs Jan2019'!K38,0,IF($C$5*'Tariffs Jan2019'!AL38/'Tariffs Jan2019'!AJ38&lt;='Tariffs Jan2019'!L38,($C$5*'Tariffs Jan2019'!AL38/'Tariffs Jan2019'!AJ38-'Tariffs Jan2019'!K38)*('Tariffs Jan2019'!W38/100)*'Tariffs Jan2019'!AJ38,('Tariffs Jan2019'!L38-'Tariffs Jan2019'!K38)*('Tariffs Jan2019'!W38/100)*'Tariffs Jan2019'!AJ38))</f>
        <v>0</v>
      </c>
      <c r="M44" s="59">
        <f>IF($C$5*'Tariffs Jan2019'!AL38/'Tariffs Jan2019'!AJ38&lt;'Tariffs Jan2019'!L38,0,IF($C$5*'Tariffs Jan2019'!AL38/'Tariffs Jan2019'!AJ38&lt;='Tariffs Jan2019'!M38,($C$5*'Tariffs Jan2019'!AL38/'Tariffs Jan2019'!AJ38-'Tariffs Jan2019'!L38)*('Tariffs Jan2019'!X38/100)*'Tariffs Jan2019'!AJ38,('Tariffs Jan2019'!M38-'Tariffs Jan2019'!L38)*('Tariffs Jan2019'!X38/100)*'Tariffs Jan2019'!AJ38))</f>
        <v>0</v>
      </c>
      <c r="N44" s="59">
        <f>IF(($C$5*'Tariffs Jan2019'!AL38/'Tariffs Jan2019'!AJ38&gt;'Tariffs Jan2019'!M38),($C$5*'Tariffs Jan2019'!AL38/'Tariffs Jan2019'!AJ38-'Tariffs Jan2019'!M38)*'Tariffs Jan2019'!Y38/100*'Tariffs Jan2019'!AJ38,0)</f>
        <v>539.92439999999999</v>
      </c>
      <c r="O44" s="271">
        <f t="shared" si="0"/>
        <v>1212.6185999999998</v>
      </c>
      <c r="P44" s="59">
        <f t="shared" si="1"/>
        <v>1468.1185999999998</v>
      </c>
      <c r="Q44" s="272">
        <f t="shared" si="2"/>
        <v>1614.9304599999998</v>
      </c>
      <c r="R44" s="40">
        <f>'Tariffs Jan2019'!AN38</f>
        <v>0</v>
      </c>
      <c r="S44" s="40">
        <f>'Tariffs Jan2019'!AO38</f>
        <v>0</v>
      </c>
      <c r="T44" s="40">
        <f>'Tariffs Jan2019'!AP38</f>
        <v>3</v>
      </c>
      <c r="U44" s="40">
        <f>'Tariffs Jan2019'!AQ38</f>
        <v>0</v>
      </c>
      <c r="V44" s="273">
        <f t="shared" ref="V44:V52" si="6">P44</f>
        <v>1468.1185999999998</v>
      </c>
      <c r="W44" s="273">
        <f>V44-(P44*T44/100)</f>
        <v>1424.0750419999997</v>
      </c>
      <c r="X44" s="272">
        <f t="shared" si="3"/>
        <v>1614.9304599999998</v>
      </c>
      <c r="Y44" s="272">
        <f t="shared" si="3"/>
        <v>1566.4825461999999</v>
      </c>
      <c r="Z44" s="274">
        <f>'Tariffs Jan2019'!AZ38</f>
        <v>0</v>
      </c>
      <c r="AA44" s="274" t="str">
        <f>'Tariffs Jan2019'!BA38</f>
        <v>n</v>
      </c>
      <c r="AB44" s="275" t="str">
        <f>'Tariffs Jan2019'!BH38</f>
        <v>N</v>
      </c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</row>
    <row r="45" spans="1:40" x14ac:dyDescent="0.15">
      <c r="A45" s="40" t="str">
        <f>'Tariffs Jan2019'!F39</f>
        <v>Momentum Energy</v>
      </c>
      <c r="B45" s="40" t="str">
        <f>'Tariffs Jan2019'!D39</f>
        <v>AGN North</v>
      </c>
      <c r="C45" s="40" t="str">
        <f>'Tariffs Jan2019'!G39</f>
        <v>Market offer</v>
      </c>
      <c r="D45" s="59">
        <f>365*'Tariffs Jan2019'!H39/100</f>
        <v>283.20350000000002</v>
      </c>
      <c r="E45" s="59">
        <f>IF($C$5*'Tariffs Jan2019'!AK39/'Tariffs Jan2019'!AI39&gt;='Tariffs Jan2019'!J39,( 'Tariffs Jan2019'!J39*'Tariffs Jan2019'!O39/100)* 'Tariffs Jan2019'!AI39,($C$5*'Tariffs Jan2019'!AK39/'Tariffs Jan2019'!AI39*'Tariffs Jan2019'!O39/100)* 'Tariffs Jan2019'!AI39)</f>
        <v>76.656999999999996</v>
      </c>
      <c r="F45" s="59">
        <f>IF($C$5*'Tariffs Jan2019'!AK39/'Tariffs Jan2019'!AI39&lt;'Tariffs Jan2019'!J39,0,IF($C$5*'Tariffs Jan2019'!AK39/'Tariffs Jan2019'!AI39&lt;='Tariffs Jan2019'!K39,($C$5*'Tariffs Jan2019'!AK39/'Tariffs Jan2019'!AI39-'Tariffs Jan2019'!J39)*('Tariffs Jan2019'!P39/100)*'Tariffs Jan2019'!AI39,('Tariffs Jan2019'!K39-'Tariffs Jan2019'!J39)*('Tariffs Jan2019'!P39/100)*'Tariffs Jan2019'!AI39))</f>
        <v>54.741999999999997</v>
      </c>
      <c r="G45" s="59">
        <f>IF($C$5*'Tariffs Jan2019'!AK39/'Tariffs Jan2019'!AI39&lt;'Tariffs Jan2019'!K39,0,IF($C$5*'Tariffs Jan2019'!AK39/'Tariffs Jan2019'!AI39&lt;='Tariffs Jan2019'!L39,($C$5*'Tariffs Jan2019'!AK39/'Tariffs Jan2019'!AI39-'Tariffs Jan2019'!K39)*('Tariffs Jan2019'!Q39/100)*'Tariffs Jan2019'!AI39,('Tariffs Jan2019'!L39-'Tariffs Jan2019'!K39)*('Tariffs Jan2019'!Q39/100)*'Tariffs Jan2019'!AI39))</f>
        <v>0</v>
      </c>
      <c r="H45" s="59">
        <f>IF($C$5*'Tariffs Jan2019'!AK39/'Tariffs Jan2019'!AI39&lt;'Tariffs Jan2019'!L39,0,IF($C$5*'Tariffs Jan2019'!AK39/'Tariffs Jan2019'!AI39&lt;='Tariffs Jan2019'!M39,($C$5*'Tariffs Jan2019'!AK39/'Tariffs Jan2019'!AI39-'Tariffs Jan2019'!L39)*('Tariffs Jan2019'!R39/100)*'Tariffs Jan2019'!AI39,('Tariffs Jan2019'!M39-'Tariffs Jan2019'!L39)*('Tariffs Jan2019'!R39/100)*'Tariffs Jan2019'!AI39))</f>
        <v>0</v>
      </c>
      <c r="I45" s="59">
        <f>IF(($C$5*'Tariffs Jan2019'!AK39/'Tariffs Jan2019'!AI39&gt;'Tariffs Jan2019'!M39),($C$5*'Tariffs Jan2019'!AK39/'Tariffs Jan2019'!AI39-'Tariffs Jan2019'!M39)*'Tariffs Jan2019'!S39/100*'Tariffs Jan2019'!AI39,0)</f>
        <v>267.86249399999997</v>
      </c>
      <c r="J45" s="59">
        <f>IF($C$5*'Tariffs Jan2019'!AL39/'Tariffs Jan2019'!AJ39&gt;='Tariffs Jan2019'!J39,('Tariffs Jan2019'!J39*'Tariffs Jan2019'!U39/100)* 'Tariffs Jan2019'!AJ39,($C$5*'Tariffs Jan2019'!AL39/'Tariffs Jan2019'!AJ39*'Tariffs Jan2019'!U39/100)* 'Tariffs Jan2019'!AJ39)</f>
        <v>137.3904</v>
      </c>
      <c r="K45" s="59">
        <f>IF($C$5*'Tariffs Jan2019'!AL39/'Tariffs Jan2019'!AJ39&lt;'Tariffs Jan2019'!J39,0,IF($C$5*'Tariffs Jan2019'!AL39/'Tariffs Jan2019'!AJ39&lt;='Tariffs Jan2019'!K39,($C$5*'Tariffs Jan2019'!AL39/'Tariffs Jan2019'!AJ39-'Tariffs Jan2019'!J39)*('Tariffs Jan2019'!V39/100)*'Tariffs Jan2019'!AJ39,('Tariffs Jan2019'!K39-'Tariffs Jan2019'!J39)*('Tariffs Jan2019'!V39/100)*'Tariffs Jan2019'!AJ39))</f>
        <v>97.7226</v>
      </c>
      <c r="L45" s="59">
        <f>IF($C$5*'Tariffs Jan2019'!AL39/'Tariffs Jan2019'!AJ39&lt;'Tariffs Jan2019'!K39,0,IF($C$5*'Tariffs Jan2019'!AL39/'Tariffs Jan2019'!AJ39&lt;='Tariffs Jan2019'!L39,($C$5*'Tariffs Jan2019'!AL39/'Tariffs Jan2019'!AJ39-'Tariffs Jan2019'!K39)*('Tariffs Jan2019'!W39/100)*'Tariffs Jan2019'!AJ39,('Tariffs Jan2019'!L39-'Tariffs Jan2019'!K39)*('Tariffs Jan2019'!W39/100)*'Tariffs Jan2019'!AJ39))</f>
        <v>0</v>
      </c>
      <c r="M45" s="59">
        <f>IF($C$5*'Tariffs Jan2019'!AL39/'Tariffs Jan2019'!AJ39&lt;'Tariffs Jan2019'!L39,0,IF($C$5*'Tariffs Jan2019'!AL39/'Tariffs Jan2019'!AJ39&lt;='Tariffs Jan2019'!M39,($C$5*'Tariffs Jan2019'!AL39/'Tariffs Jan2019'!AJ39-'Tariffs Jan2019'!L39)*('Tariffs Jan2019'!X39/100)*'Tariffs Jan2019'!AJ39,('Tariffs Jan2019'!M39-'Tariffs Jan2019'!L39)*('Tariffs Jan2019'!X39/100)*'Tariffs Jan2019'!AJ39))</f>
        <v>0</v>
      </c>
      <c r="N45" s="59">
        <f>IF(($C$5*'Tariffs Jan2019'!AL39/'Tariffs Jan2019'!AJ39&gt;'Tariffs Jan2019'!M39),($C$5*'Tariffs Jan2019'!AL39/'Tariffs Jan2019'!AJ39-'Tariffs Jan2019'!M39)*'Tariffs Jan2019'!Y39/100*'Tariffs Jan2019'!AJ39,0)</f>
        <v>476.333304</v>
      </c>
      <c r="O45" s="271">
        <f t="shared" si="0"/>
        <v>1110.7077979999999</v>
      </c>
      <c r="P45" s="59">
        <f t="shared" si="1"/>
        <v>1393.911298</v>
      </c>
      <c r="Q45" s="272">
        <f t="shared" si="2"/>
        <v>1533.3024278</v>
      </c>
      <c r="R45" s="40">
        <f>'Tariffs Jan2019'!AN39</f>
        <v>0</v>
      </c>
      <c r="S45" s="40">
        <f>'Tariffs Jan2019'!AO39</f>
        <v>0</v>
      </c>
      <c r="T45" s="40">
        <f>'Tariffs Jan2019'!AP39</f>
        <v>0</v>
      </c>
      <c r="U45" s="40">
        <f>'Tariffs Jan2019'!AQ39</f>
        <v>0</v>
      </c>
      <c r="V45" s="273">
        <f t="shared" si="6"/>
        <v>1393.911298</v>
      </c>
      <c r="W45" s="273">
        <f>V45</f>
        <v>1393.911298</v>
      </c>
      <c r="X45" s="272">
        <f t="shared" si="3"/>
        <v>1533.3024278</v>
      </c>
      <c r="Y45" s="272">
        <f t="shared" si="3"/>
        <v>1533.3024278</v>
      </c>
      <c r="Z45" s="274">
        <f>'Tariffs Jan2019'!AZ39</f>
        <v>0</v>
      </c>
      <c r="AA45" s="274" t="str">
        <f>'Tariffs Jan2019'!BA39</f>
        <v>n</v>
      </c>
      <c r="AB45" s="275" t="str">
        <f>'Tariffs Jan2019'!BH39</f>
        <v>Y</v>
      </c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</row>
    <row r="46" spans="1:40" x14ac:dyDescent="0.15">
      <c r="A46" s="40" t="str">
        <f>'Tariffs Jan2019'!F40</f>
        <v>Origin Energy</v>
      </c>
      <c r="B46" s="40" t="str">
        <f>'Tariffs Jan2019'!D40</f>
        <v>AGN North</v>
      </c>
      <c r="C46" s="40" t="str">
        <f>'Tariffs Jan2019'!G40</f>
        <v>Saver</v>
      </c>
      <c r="D46" s="59">
        <f>365*'Tariffs Jan2019'!H40/100</f>
        <v>251.85</v>
      </c>
      <c r="E46" s="59">
        <f>IF($C$5*'Tariffs Jan2019'!AK40/'Tariffs Jan2019'!AI40&gt;='Tariffs Jan2019'!J40,( 'Tariffs Jan2019'!J40*'Tariffs Jan2019'!O40/100)* 'Tariffs Jan2019'!AI40,($C$5*'Tariffs Jan2019'!AK40/'Tariffs Jan2019'!AI40*'Tariffs Jan2019'!O40/100)* 'Tariffs Jan2019'!AI40)</f>
        <v>176</v>
      </c>
      <c r="F46" s="59">
        <f>IF($C$5*'Tariffs Jan2019'!AK40/'Tariffs Jan2019'!AI40&lt;'Tariffs Jan2019'!J40,0,IF($C$5*'Tariffs Jan2019'!AK40/'Tariffs Jan2019'!AI40&lt;='Tariffs Jan2019'!K40,($C$5*'Tariffs Jan2019'!AK40/'Tariffs Jan2019'!AI40-'Tariffs Jan2019'!J40)*('Tariffs Jan2019'!P40/100)*'Tariffs Jan2019'!AI40,('Tariffs Jan2019'!K40-'Tariffs Jan2019'!J40)*('Tariffs Jan2019'!P40/100)*'Tariffs Jan2019'!AI40))</f>
        <v>272.95589999999999</v>
      </c>
      <c r="G46" s="59">
        <f>IF($C$5*'Tariffs Jan2019'!AK40/'Tariffs Jan2019'!AI40&lt;'Tariffs Jan2019'!K40,0,IF($C$5*'Tariffs Jan2019'!AK40/'Tariffs Jan2019'!AI40&lt;='Tariffs Jan2019'!L40,($C$5*'Tariffs Jan2019'!AK40/'Tariffs Jan2019'!AI40-'Tariffs Jan2019'!K40)*('Tariffs Jan2019'!Q40/100)*'Tariffs Jan2019'!AI40,('Tariffs Jan2019'!L40-'Tariffs Jan2019'!K40)*('Tariffs Jan2019'!Q40/100)*'Tariffs Jan2019'!AI40))</f>
        <v>0</v>
      </c>
      <c r="H46" s="59">
        <f>IF($C$5*'Tariffs Jan2019'!AK40/'Tariffs Jan2019'!AI40&lt;'Tariffs Jan2019'!L40,0,IF($C$5*'Tariffs Jan2019'!AK40/'Tariffs Jan2019'!AI40&lt;='Tariffs Jan2019'!M40,($C$5*'Tariffs Jan2019'!AK40/'Tariffs Jan2019'!AI40-'Tariffs Jan2019'!L40)*('Tariffs Jan2019'!R40/100)*'Tariffs Jan2019'!AI40,('Tariffs Jan2019'!M40-'Tariffs Jan2019'!L40)*('Tariffs Jan2019'!R40/100)*'Tariffs Jan2019'!AI40))</f>
        <v>0</v>
      </c>
      <c r="I46" s="59">
        <f>IF(($C$5*'Tariffs Jan2019'!AK40/'Tariffs Jan2019'!AI40&gt;'Tariffs Jan2019'!M40),($C$5*'Tariffs Jan2019'!AK40/'Tariffs Jan2019'!AI40-'Tariffs Jan2019'!M40)*'Tariffs Jan2019'!S40/100*'Tariffs Jan2019'!AI40,0)</f>
        <v>0</v>
      </c>
      <c r="J46" s="59">
        <f>IF($C$5*'Tariffs Jan2019'!AL40/'Tariffs Jan2019'!AJ40&gt;='Tariffs Jan2019'!J40,('Tariffs Jan2019'!J40*'Tariffs Jan2019'!U40/100)* 'Tariffs Jan2019'!AJ40,($C$5*'Tariffs Jan2019'!AL40/'Tariffs Jan2019'!AJ40*'Tariffs Jan2019'!U40/100)* 'Tariffs Jan2019'!AJ40)</f>
        <v>352</v>
      </c>
      <c r="K46" s="59">
        <f>IF($C$5*'Tariffs Jan2019'!AL40/'Tariffs Jan2019'!AJ40&lt;'Tariffs Jan2019'!J40,0,IF($C$5*'Tariffs Jan2019'!AL40/'Tariffs Jan2019'!AJ40&lt;='Tariffs Jan2019'!K40,($C$5*'Tariffs Jan2019'!AL40/'Tariffs Jan2019'!AJ40-'Tariffs Jan2019'!J40)*('Tariffs Jan2019'!V40/100)*'Tariffs Jan2019'!AJ40,('Tariffs Jan2019'!K40-'Tariffs Jan2019'!J40)*('Tariffs Jan2019'!V40/100)*'Tariffs Jan2019'!AJ40))</f>
        <v>545.91179999999997</v>
      </c>
      <c r="L46" s="59">
        <f>IF($C$5*'Tariffs Jan2019'!AL40/'Tariffs Jan2019'!AJ40&lt;'Tariffs Jan2019'!K40,0,IF($C$5*'Tariffs Jan2019'!AL40/'Tariffs Jan2019'!AJ40&lt;='Tariffs Jan2019'!L40,($C$5*'Tariffs Jan2019'!AL40/'Tariffs Jan2019'!AJ40-'Tariffs Jan2019'!K40)*('Tariffs Jan2019'!W40/100)*'Tariffs Jan2019'!AJ40,('Tariffs Jan2019'!L40-'Tariffs Jan2019'!K40)*('Tariffs Jan2019'!W40/100)*'Tariffs Jan2019'!AJ40))</f>
        <v>0</v>
      </c>
      <c r="M46" s="59">
        <f>IF($C$5*'Tariffs Jan2019'!AL40/'Tariffs Jan2019'!AJ40&lt;'Tariffs Jan2019'!L40,0,IF($C$5*'Tariffs Jan2019'!AL40/'Tariffs Jan2019'!AJ40&lt;='Tariffs Jan2019'!M40,($C$5*'Tariffs Jan2019'!AL40/'Tariffs Jan2019'!AJ40-'Tariffs Jan2019'!L40)*('Tariffs Jan2019'!X40/100)*'Tariffs Jan2019'!AJ40,('Tariffs Jan2019'!M40-'Tariffs Jan2019'!L40)*('Tariffs Jan2019'!X40/100)*'Tariffs Jan2019'!AJ40))</f>
        <v>0</v>
      </c>
      <c r="N46" s="59">
        <f>IF(($C$5*'Tariffs Jan2019'!AL40/'Tariffs Jan2019'!AJ40&gt;'Tariffs Jan2019'!M40),($C$5*'Tariffs Jan2019'!AL40/'Tariffs Jan2019'!AJ40-'Tariffs Jan2019'!M40)*'Tariffs Jan2019'!Y40/100*'Tariffs Jan2019'!AJ40,0)</f>
        <v>0</v>
      </c>
      <c r="O46" s="271">
        <f t="shared" si="0"/>
        <v>1346.8676999999998</v>
      </c>
      <c r="P46" s="59">
        <f t="shared" si="1"/>
        <v>1598.7176999999997</v>
      </c>
      <c r="Q46" s="272">
        <f t="shared" si="2"/>
        <v>1758.5894699999999</v>
      </c>
      <c r="R46" s="40">
        <f>'Tariffs Jan2019'!AN40</f>
        <v>0</v>
      </c>
      <c r="S46" s="40">
        <f>'Tariffs Jan2019'!AO40</f>
        <v>0</v>
      </c>
      <c r="T46" s="40">
        <f>'Tariffs Jan2019'!AP40</f>
        <v>0</v>
      </c>
      <c r="U46" s="40">
        <f>'Tariffs Jan2019'!AQ40</f>
        <v>13</v>
      </c>
      <c r="V46" s="273">
        <f t="shared" si="6"/>
        <v>1598.7176999999997</v>
      </c>
      <c r="W46" s="273">
        <f>V46-(O46*U46/100)</f>
        <v>1423.6248989999997</v>
      </c>
      <c r="X46" s="272">
        <f t="shared" si="3"/>
        <v>1758.5894699999999</v>
      </c>
      <c r="Y46" s="272">
        <f t="shared" si="3"/>
        <v>1565.9873888999998</v>
      </c>
      <c r="Z46" s="274">
        <f>'Tariffs Jan2019'!AZ40</f>
        <v>0</v>
      </c>
      <c r="AA46" s="274" t="str">
        <f>'Tariffs Jan2019'!BA40</f>
        <v>n</v>
      </c>
      <c r="AB46" s="275" t="str">
        <f>'Tariffs Jan2019'!BH40</f>
        <v>N</v>
      </c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</row>
    <row r="47" spans="1:40" x14ac:dyDescent="0.15">
      <c r="A47" s="40" t="str">
        <f>'Tariffs Jan2019'!F41</f>
        <v>Red Energy</v>
      </c>
      <c r="B47" s="40" t="str">
        <f>'Tariffs Jan2019'!D41</f>
        <v>AGN North</v>
      </c>
      <c r="C47" s="40" t="str">
        <f>'Tariffs Jan2019'!G41</f>
        <v>Easy Saver</v>
      </c>
      <c r="D47" s="59">
        <f>365*'Tariffs Jan2019'!H41/100</f>
        <v>255.5</v>
      </c>
      <c r="E47" s="59">
        <f>IF($C$5*'Tariffs Jan2019'!AK41/'Tariffs Jan2019'!AI41&gt;='Tariffs Jan2019'!J41,( 'Tariffs Jan2019'!J41*'Tariffs Jan2019'!O41/100)* 'Tariffs Jan2019'!AI41,($C$5*'Tariffs Jan2019'!AK41/'Tariffs Jan2019'!AI41*'Tariffs Jan2019'!O41/100)* 'Tariffs Jan2019'!AI41)</f>
        <v>135</v>
      </c>
      <c r="F47" s="59">
        <f>IF($C$5*'Tariffs Jan2019'!AK41/'Tariffs Jan2019'!AI41&lt;'Tariffs Jan2019'!J41,0,IF($C$5*'Tariffs Jan2019'!AK41/'Tariffs Jan2019'!AI41&lt;='Tariffs Jan2019'!K41,($C$5*'Tariffs Jan2019'!AK41/'Tariffs Jan2019'!AI41-'Tariffs Jan2019'!J41)*('Tariffs Jan2019'!S41/100)*'Tariffs Jan2019'!AI41,('Tariffs Jan2019'!K41-'Tariffs Jan2019'!J41)*('Tariffs Jan2019'!S41/100)*'Tariffs Jan2019'!AI41))</f>
        <v>0</v>
      </c>
      <c r="G47" s="59">
        <f>IF($C$5*'Tariffs Jan2019'!AK41/'Tariffs Jan2019'!AI41&lt;'Tariffs Jan2019'!K41,0,IF($C$5*'Tariffs Jan2019'!AK41/'Tariffs Jan2019'!AI41&lt;='Tariffs Jan2019'!L41,($C$5*'Tariffs Jan2019'!AK41/'Tariffs Jan2019'!AI41-'Tariffs Jan2019'!K41)*('Tariffs Jan2019'!Q41/100)*'Tariffs Jan2019'!AI41,('Tariffs Jan2019'!L41-'Tariffs Jan2019'!K41)*('Tariffs Jan2019'!Q41/100)*'Tariffs Jan2019'!AI41))</f>
        <v>0</v>
      </c>
      <c r="H47" s="59">
        <f>IF($C$5*'Tariffs Jan2019'!AK41/'Tariffs Jan2019'!AI41&lt;'Tariffs Jan2019'!L41,0,IF($C$5*'Tariffs Jan2019'!AK41/'Tariffs Jan2019'!AI41&lt;='Tariffs Jan2019'!M41,($C$5*'Tariffs Jan2019'!AK41/'Tariffs Jan2019'!AI41-'Tariffs Jan2019'!L41)*('Tariffs Jan2019'!R41/100)*'Tariffs Jan2019'!AI41,('Tariffs Jan2019'!M41-'Tariffs Jan2019'!L41)*('Tariffs Jan2019'!R41/100)*'Tariffs Jan2019'!AI41))</f>
        <v>0</v>
      </c>
      <c r="I47" s="59">
        <f>IF(($C$5*'Tariffs Jan2019'!AK41/'Tariffs Jan2019'!AI41&gt;'Tariffs Jan2019'!M41),($C$5*'Tariffs Jan2019'!AK41/'Tariffs Jan2019'!AI41-'Tariffs Jan2019'!M41)*'Tariffs Jan2019'!S41/100*'Tariffs Jan2019'!AI41,0)</f>
        <v>269.9622</v>
      </c>
      <c r="J47" s="59">
        <f>IF($C$5*'Tariffs Jan2019'!AL41/'Tariffs Jan2019'!AJ41&gt;='Tariffs Jan2019'!J41,('Tariffs Jan2019'!J41*'Tariffs Jan2019'!U41/100)* 'Tariffs Jan2019'!AJ41,($C$5*'Tariffs Jan2019'!AL41/'Tariffs Jan2019'!AJ41*'Tariffs Jan2019'!U41/100)* 'Tariffs Jan2019'!AJ41)</f>
        <v>270</v>
      </c>
      <c r="K47" s="59">
        <f>IF($C$5*'Tariffs Jan2019'!AL41/'Tariffs Jan2019'!AJ41&lt;'Tariffs Jan2019'!J41,0,IF($C$5*'Tariffs Jan2019'!AL41/'Tariffs Jan2019'!AJ41&lt;='Tariffs Jan2019'!K41,($C$5*'Tariffs Jan2019'!AL41/'Tariffs Jan2019'!AJ41-'Tariffs Jan2019'!J41)*('Tariffs Jan2019'!V41/100)*'Tariffs Jan2019'!AJ41,('Tariffs Jan2019'!K41-'Tariffs Jan2019'!J41)*('Tariffs Jan2019'!V41/100)*'Tariffs Jan2019'!AJ41))</f>
        <v>0</v>
      </c>
      <c r="L47" s="59">
        <f>IF($C$5*'Tariffs Jan2019'!AL41/'Tariffs Jan2019'!AJ41&lt;'Tariffs Jan2019'!K41,0,IF($C$5*'Tariffs Jan2019'!AL41/'Tariffs Jan2019'!AJ41&lt;='Tariffs Jan2019'!L41,($C$5*'Tariffs Jan2019'!AL41/'Tariffs Jan2019'!AJ41-'Tariffs Jan2019'!K41)*('Tariffs Jan2019'!W41/100)*'Tariffs Jan2019'!AJ41,('Tariffs Jan2019'!L41-'Tariffs Jan2019'!K41)*('Tariffs Jan2019'!W41/100)*'Tariffs Jan2019'!AJ41))</f>
        <v>0</v>
      </c>
      <c r="M47" s="59">
        <f>IF($C$5*'Tariffs Jan2019'!AL41/'Tariffs Jan2019'!AJ41&lt;'Tariffs Jan2019'!L41,0,IF($C$5*'Tariffs Jan2019'!AL41/'Tariffs Jan2019'!AJ41&lt;='Tariffs Jan2019'!M41,($C$5*'Tariffs Jan2019'!AL41/'Tariffs Jan2019'!AJ41-'Tariffs Jan2019'!L41)*('Tariffs Jan2019'!X41/100)*'Tariffs Jan2019'!AJ41,('Tariffs Jan2019'!M41-'Tariffs Jan2019'!L41)*('Tariffs Jan2019'!X41/100)*'Tariffs Jan2019'!AJ41))</f>
        <v>0</v>
      </c>
      <c r="N47" s="59">
        <f>IF(($C$5*'Tariffs Jan2019'!AL41/'Tariffs Jan2019'!AJ41&gt;'Tariffs Jan2019'!M41),($C$5*'Tariffs Jan2019'!AL41/'Tariffs Jan2019'!AJ41-'Tariffs Jan2019'!M41)*'Tariffs Jan2019'!Y41/100*'Tariffs Jan2019'!AJ41,0)</f>
        <v>539.92439999999999</v>
      </c>
      <c r="O47" s="271">
        <f t="shared" si="0"/>
        <v>1214.8865999999998</v>
      </c>
      <c r="P47" s="59">
        <f t="shared" si="1"/>
        <v>1470.3865999999998</v>
      </c>
      <c r="Q47" s="272">
        <f t="shared" si="2"/>
        <v>1617.42526</v>
      </c>
      <c r="R47" s="40">
        <f>'Tariffs Jan2019'!AN41</f>
        <v>0</v>
      </c>
      <c r="S47" s="40">
        <f>'Tariffs Jan2019'!AO41</f>
        <v>0</v>
      </c>
      <c r="T47" s="40">
        <f>'Tariffs Jan2019'!AP41</f>
        <v>10</v>
      </c>
      <c r="U47" s="40">
        <f>'Tariffs Jan2019'!AQ41</f>
        <v>0</v>
      </c>
      <c r="V47" s="273">
        <f t="shared" si="6"/>
        <v>1470.3865999999998</v>
      </c>
      <c r="W47" s="273">
        <f>V47-(P47*T47/100)</f>
        <v>1323.3479399999999</v>
      </c>
      <c r="X47" s="272">
        <f t="shared" si="3"/>
        <v>1617.42526</v>
      </c>
      <c r="Y47" s="272">
        <f t="shared" si="3"/>
        <v>1455.682734</v>
      </c>
      <c r="Z47" s="274">
        <f>'Tariffs Jan2019'!AZ41</f>
        <v>0</v>
      </c>
      <c r="AA47" s="274" t="str">
        <f>'Tariffs Jan2019'!BA41</f>
        <v>n</v>
      </c>
      <c r="AB47" s="275" t="str">
        <f>'Tariffs Jan2019'!BH41</f>
        <v>N</v>
      </c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</row>
    <row r="48" spans="1:40" x14ac:dyDescent="0.15">
      <c r="A48" s="40" t="str">
        <f>'Tariffs Jan2019'!F42</f>
        <v>Simply Energy</v>
      </c>
      <c r="B48" s="40" t="str">
        <f>'Tariffs Jan2019'!D42</f>
        <v>AGN North</v>
      </c>
      <c r="C48" s="40" t="str">
        <f>'Tariffs Jan2019'!G42</f>
        <v>Plus</v>
      </c>
      <c r="D48" s="59">
        <f>365*'Tariffs Jan2019'!H42/100</f>
        <v>259.55150000000003</v>
      </c>
      <c r="E48" s="59">
        <f>IF($C$5*'Tariffs Jan2019'!AK42/'Tariffs Jan2019'!AI42&gt;='Tariffs Jan2019'!J42,( 'Tariffs Jan2019'!J42*'Tariffs Jan2019'!O42/100)* 'Tariffs Jan2019'!AI42,($C$5*'Tariffs Jan2019'!AK42/'Tariffs Jan2019'!AI42*'Tariffs Jan2019'!O42/100)* 'Tariffs Jan2019'!AI42)</f>
        <v>101.00299999999999</v>
      </c>
      <c r="F48" s="59">
        <f>IF($C$5*'Tariffs Jan2019'!AK42/'Tariffs Jan2019'!AI42&lt;'Tariffs Jan2019'!J42,0,IF($C$5*'Tariffs Jan2019'!AK42/'Tariffs Jan2019'!AI42&lt;='Tariffs Jan2019'!K42,($C$5*'Tariffs Jan2019'!AK42/'Tariffs Jan2019'!AI42-'Tariffs Jan2019'!J42)*('Tariffs Jan2019'!P42/100)*'Tariffs Jan2019'!AI42,('Tariffs Jan2019'!K42-'Tariffs Jan2019'!J42)*('Tariffs Jan2019'!P42/100)*'Tariffs Jan2019'!AI42))</f>
        <v>71.272999999999996</v>
      </c>
      <c r="G48" s="59">
        <f>IF($C$5*'Tariffs Jan2019'!AK42/'Tariffs Jan2019'!AI42&lt;'Tariffs Jan2019'!K42,0,IF($C$5*'Tariffs Jan2019'!AK42/'Tariffs Jan2019'!AI42&lt;='Tariffs Jan2019'!L42,($C$5*'Tariffs Jan2019'!AK42/'Tariffs Jan2019'!AI42-'Tariffs Jan2019'!K42)*('Tariffs Jan2019'!Q42/100)*'Tariffs Jan2019'!AI42,('Tariffs Jan2019'!L42-'Tariffs Jan2019'!K42)*('Tariffs Jan2019'!Q42/100)*'Tariffs Jan2019'!AI42))</f>
        <v>0</v>
      </c>
      <c r="H48" s="59">
        <f>IF($C$5*'Tariffs Jan2019'!AK42/'Tariffs Jan2019'!AI42&lt;'Tariffs Jan2019'!L42,0,IF($C$5*'Tariffs Jan2019'!AK42/'Tariffs Jan2019'!AI42&lt;='Tariffs Jan2019'!M42,($C$5*'Tariffs Jan2019'!AK42/'Tariffs Jan2019'!AI42-'Tariffs Jan2019'!L42)*('Tariffs Jan2019'!R42/100)*'Tariffs Jan2019'!AI42,('Tariffs Jan2019'!M42-'Tariffs Jan2019'!L42)*('Tariffs Jan2019'!R42/100)*'Tariffs Jan2019'!AI42))</f>
        <v>0</v>
      </c>
      <c r="I48" s="59">
        <f>IF(($C$5*'Tariffs Jan2019'!AK42/'Tariffs Jan2019'!AI42&gt;'Tariffs Jan2019'!M42),($C$5*'Tariffs Jan2019'!AK42/'Tariffs Jan2019'!AI42-'Tariffs Jan2019'!M42)*'Tariffs Jan2019'!S42/100*'Tariffs Jan2019'!AI42,0)</f>
        <v>335.95295999999996</v>
      </c>
      <c r="J48" s="59">
        <f>IF($C$5*'Tariffs Jan2019'!AL42/'Tariffs Jan2019'!AJ42&gt;='Tariffs Jan2019'!J42,('Tariffs Jan2019'!J42*'Tariffs Jan2019'!U42/100)* 'Tariffs Jan2019'!AJ42,($C$5*'Tariffs Jan2019'!AL42/'Tariffs Jan2019'!AJ42*'Tariffs Jan2019'!U42/100)* 'Tariffs Jan2019'!AJ42)</f>
        <v>202.00599999999997</v>
      </c>
      <c r="K48" s="59">
        <f>IF($C$5*'Tariffs Jan2019'!AL42/'Tariffs Jan2019'!AJ42&lt;'Tariffs Jan2019'!J42,0,IF($C$5*'Tariffs Jan2019'!AL42/'Tariffs Jan2019'!AJ42&lt;='Tariffs Jan2019'!K42,($C$5*'Tariffs Jan2019'!AL42/'Tariffs Jan2019'!AJ42-'Tariffs Jan2019'!J42)*('Tariffs Jan2019'!V42/100)*'Tariffs Jan2019'!AJ42,('Tariffs Jan2019'!K42-'Tariffs Jan2019'!J42)*('Tariffs Jan2019'!V42/100)*'Tariffs Jan2019'!AJ42))</f>
        <v>142.54599999999999</v>
      </c>
      <c r="L48" s="59">
        <f>IF($C$5*'Tariffs Jan2019'!AL42/'Tariffs Jan2019'!AJ42&lt;'Tariffs Jan2019'!K42,0,IF($C$5*'Tariffs Jan2019'!AL42/'Tariffs Jan2019'!AJ42&lt;='Tariffs Jan2019'!L42,($C$5*'Tariffs Jan2019'!AL42/'Tariffs Jan2019'!AJ42-'Tariffs Jan2019'!K42)*('Tariffs Jan2019'!W42/100)*'Tariffs Jan2019'!AJ42,('Tariffs Jan2019'!L42-'Tariffs Jan2019'!K42)*('Tariffs Jan2019'!W42/100)*'Tariffs Jan2019'!AJ42))</f>
        <v>0</v>
      </c>
      <c r="M48" s="59">
        <f>IF($C$5*'Tariffs Jan2019'!AL42/'Tariffs Jan2019'!AJ42&lt;'Tariffs Jan2019'!L42,0,IF($C$5*'Tariffs Jan2019'!AL42/'Tariffs Jan2019'!AJ42&lt;='Tariffs Jan2019'!M42,($C$5*'Tariffs Jan2019'!AL42/'Tariffs Jan2019'!AJ42-'Tariffs Jan2019'!L42)*('Tariffs Jan2019'!X42/100)*'Tariffs Jan2019'!AJ42,('Tariffs Jan2019'!M42-'Tariffs Jan2019'!L42)*('Tariffs Jan2019'!X42/100)*'Tariffs Jan2019'!AJ42))</f>
        <v>0</v>
      </c>
      <c r="N48" s="59">
        <f>IF(($C$5*'Tariffs Jan2019'!AL42/'Tariffs Jan2019'!AJ42&gt;'Tariffs Jan2019'!M42),($C$5*'Tariffs Jan2019'!AL42/'Tariffs Jan2019'!AJ42-'Tariffs Jan2019'!M42)*'Tariffs Jan2019'!Y42/100*'Tariffs Jan2019'!AJ42,0)</f>
        <v>671.90591999999992</v>
      </c>
      <c r="O48" s="271">
        <f t="shared" si="0"/>
        <v>1524.6868799999997</v>
      </c>
      <c r="P48" s="59">
        <f t="shared" si="1"/>
        <v>1784.2383799999998</v>
      </c>
      <c r="Q48" s="272">
        <f t="shared" si="2"/>
        <v>1962.6622179999999</v>
      </c>
      <c r="R48" s="40">
        <f>'Tariffs Jan2019'!AN42</f>
        <v>0</v>
      </c>
      <c r="S48" s="40">
        <f>'Tariffs Jan2019'!AO42</f>
        <v>0</v>
      </c>
      <c r="T48" s="40">
        <f>'Tariffs Jan2019'!AP42</f>
        <v>0</v>
      </c>
      <c r="U48" s="40">
        <f>'Tariffs Jan2019'!AQ42</f>
        <v>26</v>
      </c>
      <c r="V48" s="273">
        <f t="shared" si="6"/>
        <v>1784.2383799999998</v>
      </c>
      <c r="W48" s="273">
        <f>V48-(O48*U48/100)</f>
        <v>1387.8197911999998</v>
      </c>
      <c r="X48" s="272">
        <f t="shared" si="3"/>
        <v>1962.6622179999999</v>
      </c>
      <c r="Y48" s="272">
        <f t="shared" si="3"/>
        <v>1526.60177032</v>
      </c>
      <c r="Z48" s="274">
        <f>'Tariffs Jan2019'!AZ42</f>
        <v>0</v>
      </c>
      <c r="AA48" s="274" t="str">
        <f>'Tariffs Jan2019'!BA42</f>
        <v>n</v>
      </c>
      <c r="AB48" s="275" t="str">
        <f>'Tariffs Jan2019'!BH42</f>
        <v>Y</v>
      </c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</row>
    <row r="49" spans="1:40" x14ac:dyDescent="0.15">
      <c r="A49" s="40" t="str">
        <f>'Tariffs Jan2019'!F43</f>
        <v>Sumo Power</v>
      </c>
      <c r="B49" s="40" t="str">
        <f>'Tariffs Jan2019'!D43</f>
        <v>AGN North</v>
      </c>
      <c r="C49" s="40" t="str">
        <f>'Tariffs Jan2019'!G43</f>
        <v>Pay on time (max discount)</v>
      </c>
      <c r="D49" s="59">
        <f>365*'Tariffs Jan2019'!H43/100</f>
        <v>233.74600000000001</v>
      </c>
      <c r="E49" s="59">
        <f>IF($C$5*'Tariffs Jan2019'!AK43/'Tariffs Jan2019'!AI43&gt;='Tariffs Jan2019'!J43,( 'Tariffs Jan2019'!J43*'Tariffs Jan2019'!O43/100)* 'Tariffs Jan2019'!AI43,($C$5*'Tariffs Jan2019'!AK43/'Tariffs Jan2019'!AI43*'Tariffs Jan2019'!O43/100)* 'Tariffs Jan2019'!AI43)</f>
        <v>90.409199999999998</v>
      </c>
      <c r="F49" s="59">
        <f>IF($C$5*'Tariffs Jan2019'!AK43/'Tariffs Jan2019'!AI43&lt;'Tariffs Jan2019'!J43,0,IF($C$5*'Tariffs Jan2019'!AK43/'Tariffs Jan2019'!AI43&lt;='Tariffs Jan2019'!K43,($C$5*'Tariffs Jan2019'!AK43/'Tariffs Jan2019'!AI43-'Tariffs Jan2019'!J43)*('Tariffs Jan2019'!S43/100)*'Tariffs Jan2019'!AI43,('Tariffs Jan2019'!K43-'Tariffs Jan2019'!J43)*('Tariffs Jan2019'!S43/100)*'Tariffs Jan2019'!AI43))</f>
        <v>56.476400000000005</v>
      </c>
      <c r="G49" s="59">
        <f>IF($C$5*'Tariffs Jan2019'!AK43/'Tariffs Jan2019'!AI43&lt;'Tariffs Jan2019'!K43,0,IF($C$5*'Tariffs Jan2019'!AK43/'Tariffs Jan2019'!AI43&lt;='Tariffs Jan2019'!L43,($C$5*'Tariffs Jan2019'!AK43/'Tariffs Jan2019'!AI43-'Tariffs Jan2019'!K43)*('Tariffs Jan2019'!Q43/100)*'Tariffs Jan2019'!AI43,('Tariffs Jan2019'!L43-'Tariffs Jan2019'!K43)*('Tariffs Jan2019'!Q43/100)*'Tariffs Jan2019'!AI43))</f>
        <v>0</v>
      </c>
      <c r="H49" s="59">
        <f>IF($C$5*'Tariffs Jan2019'!AK43/'Tariffs Jan2019'!AI43&lt;'Tariffs Jan2019'!L43,0,IF($C$5*'Tariffs Jan2019'!AK43/'Tariffs Jan2019'!AI43&lt;='Tariffs Jan2019'!M43,($C$5*'Tariffs Jan2019'!AK43/'Tariffs Jan2019'!AI43-'Tariffs Jan2019'!L43)*('Tariffs Jan2019'!R43/100)*'Tariffs Jan2019'!AI43,('Tariffs Jan2019'!M43-'Tariffs Jan2019'!L43)*('Tariffs Jan2019'!R43/100)*'Tariffs Jan2019'!AI43))</f>
        <v>0</v>
      </c>
      <c r="I49" s="59">
        <f>IF(($C$5*'Tariffs Jan2019'!AK43/'Tariffs Jan2019'!AI43&gt;'Tariffs Jan2019'!M43),($C$5*'Tariffs Jan2019'!AK43/'Tariffs Jan2019'!AI43-'Tariffs Jan2019'!M43)*'Tariffs Jan2019'!S43/100*'Tariffs Jan2019'!AI43,0)</f>
        <v>312.55623599999996</v>
      </c>
      <c r="J49" s="59">
        <f>IF($C$5*'Tariffs Jan2019'!AL43/'Tariffs Jan2019'!AJ43&gt;='Tariffs Jan2019'!J43,('Tariffs Jan2019'!J43*'Tariffs Jan2019'!U43/100)* 'Tariffs Jan2019'!AJ43,($C$5*'Tariffs Jan2019'!AL43/'Tariffs Jan2019'!AJ43*'Tariffs Jan2019'!U43/100)* 'Tariffs Jan2019'!AJ43)</f>
        <v>166.40819999999999</v>
      </c>
      <c r="K49" s="59">
        <f>IF($C$5*'Tariffs Jan2019'!AL43/'Tariffs Jan2019'!AJ43&lt;'Tariffs Jan2019'!J43,0,IF($C$5*'Tariffs Jan2019'!AL43/'Tariffs Jan2019'!AJ43&lt;='Tariffs Jan2019'!K43,($C$5*'Tariffs Jan2019'!AL43/'Tariffs Jan2019'!AJ43-'Tariffs Jan2019'!J43)*('Tariffs Jan2019'!V43/100)*'Tariffs Jan2019'!AJ43,('Tariffs Jan2019'!K43-'Tariffs Jan2019'!J43)*('Tariffs Jan2019'!V43/100)*'Tariffs Jan2019'!AJ43))</f>
        <v>124.6058</v>
      </c>
      <c r="L49" s="59">
        <f>IF($C$5*'Tariffs Jan2019'!AL43/'Tariffs Jan2019'!AJ43&lt;'Tariffs Jan2019'!K43,0,IF($C$5*'Tariffs Jan2019'!AL43/'Tariffs Jan2019'!AJ43&lt;='Tariffs Jan2019'!L43,($C$5*'Tariffs Jan2019'!AL43/'Tariffs Jan2019'!AJ43-'Tariffs Jan2019'!K43)*('Tariffs Jan2019'!W43/100)*'Tariffs Jan2019'!AJ43,('Tariffs Jan2019'!L43-'Tariffs Jan2019'!K43)*('Tariffs Jan2019'!W43/100)*'Tariffs Jan2019'!AJ43))</f>
        <v>0</v>
      </c>
      <c r="M49" s="59">
        <f>IF($C$5*'Tariffs Jan2019'!AL43/'Tariffs Jan2019'!AJ43&lt;'Tariffs Jan2019'!L43,0,IF($C$5*'Tariffs Jan2019'!AL43/'Tariffs Jan2019'!AJ43&lt;='Tariffs Jan2019'!M43,($C$5*'Tariffs Jan2019'!AL43/'Tariffs Jan2019'!AJ43-'Tariffs Jan2019'!L43)*('Tariffs Jan2019'!X43/100)*'Tariffs Jan2019'!AJ43,('Tariffs Jan2019'!M43-'Tariffs Jan2019'!L43)*('Tariffs Jan2019'!X43/100)*'Tariffs Jan2019'!AJ43))</f>
        <v>0</v>
      </c>
      <c r="N49" s="59">
        <f>IF(($C$5*'Tariffs Jan2019'!AL43/'Tariffs Jan2019'!AJ43&gt;'Tariffs Jan2019'!M43),($C$5*'Tariffs Jan2019'!AL43/'Tariffs Jan2019'!AJ43-'Tariffs Jan2019'!M43)*'Tariffs Jan2019'!Y43/100*'Tariffs Jan2019'!AJ43,0)</f>
        <v>575.31944399999998</v>
      </c>
      <c r="O49" s="271">
        <f t="shared" si="0"/>
        <v>1325.7752799999998</v>
      </c>
      <c r="P49" s="59">
        <f t="shared" si="1"/>
        <v>1559.5212799999999</v>
      </c>
      <c r="Q49" s="272">
        <f t="shared" si="2"/>
        <v>1715.4734080000001</v>
      </c>
      <c r="R49" s="40">
        <f>'Tariffs Jan2019'!AN43</f>
        <v>0</v>
      </c>
      <c r="S49" s="40">
        <f>'Tariffs Jan2019'!AO43</f>
        <v>0</v>
      </c>
      <c r="T49" s="40">
        <f>'Tariffs Jan2019'!AP43</f>
        <v>0</v>
      </c>
      <c r="U49" s="40">
        <f>'Tariffs Jan2019'!AQ43</f>
        <v>25</v>
      </c>
      <c r="V49" s="273">
        <f t="shared" si="6"/>
        <v>1559.5212799999999</v>
      </c>
      <c r="W49" s="273">
        <f>V49-(O49*U49/100)</f>
        <v>1228.07746</v>
      </c>
      <c r="X49" s="272">
        <f t="shared" si="3"/>
        <v>1715.4734080000001</v>
      </c>
      <c r="Y49" s="272">
        <f t="shared" si="3"/>
        <v>1350.8852060000002</v>
      </c>
      <c r="Z49" s="274">
        <f>'Tariffs Jan2019'!AZ43</f>
        <v>0</v>
      </c>
      <c r="AA49" s="274" t="str">
        <f>'Tariffs Jan2019'!BA43</f>
        <v>n</v>
      </c>
      <c r="AB49" s="275" t="str">
        <f>'Tariffs Jan2019'!BH43</f>
        <v>Y</v>
      </c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</row>
    <row r="50" spans="1:40" x14ac:dyDescent="0.15">
      <c r="A50" s="40" t="str">
        <f>'Tariffs Jan2019'!F44</f>
        <v>Amaysim</v>
      </c>
      <c r="B50" s="40" t="str">
        <f>'Tariffs Jan2019'!D44</f>
        <v>AGN North</v>
      </c>
      <c r="C50" s="40" t="str">
        <f>'Tariffs Jan2019'!G44</f>
        <v>Gas as you go</v>
      </c>
      <c r="D50" s="59">
        <f>365*'Tariffs Jan2019'!H44/100</f>
        <v>199.0564</v>
      </c>
      <c r="E50" s="59">
        <f>IF($C$5*'Tariffs Jan2019'!AK44/'Tariffs Jan2019'!AI44&gt;='Tariffs Jan2019'!J44,( 'Tariffs Jan2019'!J44*'Tariffs Jan2019'!O44/100)* 'Tariffs Jan2019'!AI44,($C$5*'Tariffs Jan2019'!AK44/'Tariffs Jan2019'!AI44*'Tariffs Jan2019'!O44/100)* 'Tariffs Jan2019'!AI44)</f>
        <v>83.894999999999996</v>
      </c>
      <c r="F50" s="59">
        <f>IF($C$5*'Tariffs Jan2019'!AK44/'Tariffs Jan2019'!AI44&lt;'Tariffs Jan2019'!J44,0,IF($C$5*'Tariffs Jan2019'!AK44/'Tariffs Jan2019'!AI44&lt;='Tariffs Jan2019'!K44,($C$5*'Tariffs Jan2019'!AK44/'Tariffs Jan2019'!AI44-'Tariffs Jan2019'!J44)*('Tariffs Jan2019'!P44/100)*'Tariffs Jan2019'!AI44,('Tariffs Jan2019'!K44-'Tariffs Jan2019'!J44)*('Tariffs Jan2019'!P44/100)*'Tariffs Jan2019'!AI44))</f>
        <v>58.969600000000007</v>
      </c>
      <c r="G50" s="59">
        <f>IF($C$5*'Tariffs Jan2019'!AK44/'Tariffs Jan2019'!AI44&lt;'Tariffs Jan2019'!K44,0,IF($C$5*'Tariffs Jan2019'!AK44/'Tariffs Jan2019'!AI44&lt;='Tariffs Jan2019'!L44,($C$5*'Tariffs Jan2019'!AK44/'Tariffs Jan2019'!AI44-'Tariffs Jan2019'!K44)*('Tariffs Jan2019'!Q44/100)*'Tariffs Jan2019'!AI44,('Tariffs Jan2019'!L44-'Tariffs Jan2019'!K44)*('Tariffs Jan2019'!Q44/100)*'Tariffs Jan2019'!AI44))</f>
        <v>0</v>
      </c>
      <c r="H50" s="59">
        <f>IF($C$5*'Tariffs Jan2019'!AK44/'Tariffs Jan2019'!AI44&lt;'Tariffs Jan2019'!L44,0,IF($C$5*'Tariffs Jan2019'!AK44/'Tariffs Jan2019'!AI44&lt;='Tariffs Jan2019'!M44,($C$5*'Tariffs Jan2019'!AK44/'Tariffs Jan2019'!AI44-'Tariffs Jan2019'!L44)*('Tariffs Jan2019'!R44/100)*'Tariffs Jan2019'!AI44,('Tariffs Jan2019'!M44-'Tariffs Jan2019'!L44)*('Tariffs Jan2019'!R44/100)*'Tariffs Jan2019'!AI44))</f>
        <v>0</v>
      </c>
      <c r="I50" s="59">
        <f>IF(($C$5*'Tariffs Jan2019'!AK44/'Tariffs Jan2019'!AI44&gt;'Tariffs Jan2019'!M44),($C$5*'Tariffs Jan2019'!AK44/'Tariffs Jan2019'!AI44-'Tariffs Jan2019'!M44)*'Tariffs Jan2019'!S44/100*'Tariffs Jan2019'!AI44,0)</f>
        <v>285.56001599999996</v>
      </c>
      <c r="J50" s="59">
        <f>IF($C$5*'Tariffs Jan2019'!AL44/'Tariffs Jan2019'!AJ44&gt;='Tariffs Jan2019'!J44,('Tariffs Jan2019'!J44*'Tariffs Jan2019'!U44/100)* 'Tariffs Jan2019'!AJ44,($C$5*'Tariffs Jan2019'!AL44/'Tariffs Jan2019'!AJ44*'Tariffs Jan2019'!U44/100)* 'Tariffs Jan2019'!AJ44)</f>
        <v>167.79</v>
      </c>
      <c r="K50" s="59">
        <f>IF($C$5*'Tariffs Jan2019'!AL44/'Tariffs Jan2019'!AJ44&lt;'Tariffs Jan2019'!J44,0,IF($C$5*'Tariffs Jan2019'!AL44/'Tariffs Jan2019'!AJ44&lt;='Tariffs Jan2019'!K44,($C$5*'Tariffs Jan2019'!AL44/'Tariffs Jan2019'!AJ44-'Tariffs Jan2019'!J44)*('Tariffs Jan2019'!V44/100)*'Tariffs Jan2019'!AJ44,('Tariffs Jan2019'!K44-'Tariffs Jan2019'!J44)*('Tariffs Jan2019'!V44/100)*'Tariffs Jan2019'!AJ44))</f>
        <v>117.93920000000001</v>
      </c>
      <c r="L50" s="59">
        <f>IF($C$5*'Tariffs Jan2019'!AL44/'Tariffs Jan2019'!AJ44&lt;'Tariffs Jan2019'!K44,0,IF($C$5*'Tariffs Jan2019'!AL44/'Tariffs Jan2019'!AJ44&lt;='Tariffs Jan2019'!L44,($C$5*'Tariffs Jan2019'!AL44/'Tariffs Jan2019'!AJ44-'Tariffs Jan2019'!K44)*('Tariffs Jan2019'!W44/100)*'Tariffs Jan2019'!AJ44,('Tariffs Jan2019'!L44-'Tariffs Jan2019'!K44)*('Tariffs Jan2019'!W44/100)*'Tariffs Jan2019'!AJ44))</f>
        <v>0</v>
      </c>
      <c r="M50" s="59">
        <f>IF($C$5*'Tariffs Jan2019'!AL44/'Tariffs Jan2019'!AJ44&lt;'Tariffs Jan2019'!L44,0,IF($C$5*'Tariffs Jan2019'!AL44/'Tariffs Jan2019'!AJ44&lt;='Tariffs Jan2019'!M44,($C$5*'Tariffs Jan2019'!AL44/'Tariffs Jan2019'!AJ44-'Tariffs Jan2019'!L44)*('Tariffs Jan2019'!X44/100)*'Tariffs Jan2019'!AJ44,('Tariffs Jan2019'!M44-'Tariffs Jan2019'!L44)*('Tariffs Jan2019'!X44/100)*'Tariffs Jan2019'!AJ44))</f>
        <v>0</v>
      </c>
      <c r="N50" s="59">
        <f>IF(($C$5*'Tariffs Jan2019'!AL44/'Tariffs Jan2019'!AJ44&gt;'Tariffs Jan2019'!M44),($C$5*'Tariffs Jan2019'!AL44/'Tariffs Jan2019'!AJ44-'Tariffs Jan2019'!M44)*'Tariffs Jan2019'!Y44/100*'Tariffs Jan2019'!AJ44,0)</f>
        <v>571.12003199999992</v>
      </c>
      <c r="O50" s="271">
        <f t="shared" si="0"/>
        <v>1285.2738479999998</v>
      </c>
      <c r="P50" s="59">
        <f t="shared" si="1"/>
        <v>1484.3302479999998</v>
      </c>
      <c r="Q50" s="272">
        <f t="shared" si="2"/>
        <v>1632.7632727999999</v>
      </c>
      <c r="R50" s="40">
        <f>'Tariffs Jan2019'!AN44</f>
        <v>0</v>
      </c>
      <c r="S50" s="40">
        <f>'Tariffs Jan2019'!AO44</f>
        <v>0</v>
      </c>
      <c r="T50" s="40">
        <f>'Tariffs Jan2019'!AP44</f>
        <v>0</v>
      </c>
      <c r="U50" s="40">
        <f>'Tariffs Jan2019'!AQ44</f>
        <v>0</v>
      </c>
      <c r="V50" s="273">
        <f t="shared" si="6"/>
        <v>1484.3302479999998</v>
      </c>
      <c r="W50" s="273">
        <f>V50-(P50*T50/100)</f>
        <v>1484.3302479999998</v>
      </c>
      <c r="X50" s="272">
        <f t="shared" si="3"/>
        <v>1632.7632727999999</v>
      </c>
      <c r="Y50" s="272">
        <f t="shared" si="3"/>
        <v>1632.7632727999999</v>
      </c>
      <c r="Z50" s="274">
        <f>'Tariffs Jan2019'!AZ44</f>
        <v>0</v>
      </c>
      <c r="AA50" s="274" t="str">
        <f>'Tariffs Jan2019'!BA44</f>
        <v>n</v>
      </c>
      <c r="AB50" s="275" t="str">
        <f>'Tariffs Jan2019'!BH44</f>
        <v>N</v>
      </c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</row>
    <row r="51" spans="1:40" x14ac:dyDescent="0.15">
      <c r="A51" s="40" t="str">
        <f>'Tariffs Jan2019'!F45</f>
        <v>GloBird Energy</v>
      </c>
      <c r="B51" s="40" t="str">
        <f>'Tariffs Jan2019'!D45</f>
        <v>AGN North</v>
      </c>
      <c r="C51" s="40" t="str">
        <f>'Tariffs Jan2019'!G45</f>
        <v>GloSave</v>
      </c>
      <c r="D51" s="59">
        <f>365*'Tariffs Jan2019'!H45/100</f>
        <v>346.75</v>
      </c>
      <c r="E51" s="59">
        <f>IF($C$5*'Tariffs Jan2019'!AK45/'Tariffs Jan2019'!AI45&gt;='Tariffs Jan2019'!J45,( 'Tariffs Jan2019'!J45*'Tariffs Jan2019'!O45/100)* 'Tariffs Jan2019'!AI45,($C$5*'Tariffs Jan2019'!AK45/'Tariffs Jan2019'!AI45*'Tariffs Jan2019'!O45/100)* 'Tariffs Jan2019'!AI45)</f>
        <v>204</v>
      </c>
      <c r="F51" s="59">
        <f>IF($C$5*'Tariffs Jan2019'!AK45/'Tariffs Jan2019'!AI45&lt;'Tariffs Jan2019'!J45,0,IF($C$5*'Tariffs Jan2019'!AK45/'Tariffs Jan2019'!AI45&lt;='Tariffs Jan2019'!K45,($C$5*'Tariffs Jan2019'!AK45/'Tariffs Jan2019'!AI45-'Tariffs Jan2019'!J45)*('Tariffs Jan2019'!P45/100)*'Tariffs Jan2019'!AI45,('Tariffs Jan2019'!K45-'Tariffs Jan2019'!J45)*('Tariffs Jan2019'!P45/100)*'Tariffs Jan2019'!AI45))</f>
        <v>0</v>
      </c>
      <c r="G51" s="59">
        <f>IF($C$5*'Tariffs Jan2019'!AK45/'Tariffs Jan2019'!AI45&lt;'Tariffs Jan2019'!K45,0,IF($C$5*'Tariffs Jan2019'!AK45/'Tariffs Jan2019'!AI45&lt;='Tariffs Jan2019'!L45,($C$5*'Tariffs Jan2019'!AK45/'Tariffs Jan2019'!AI45-'Tariffs Jan2019'!K45)*('Tariffs Jan2019'!Q45/100)*'Tariffs Jan2019'!AI45,('Tariffs Jan2019'!L45-'Tariffs Jan2019'!K45)*('Tariffs Jan2019'!Q45/100)*'Tariffs Jan2019'!AI45))</f>
        <v>0</v>
      </c>
      <c r="H51" s="59">
        <f>IF($C$5*'Tariffs Jan2019'!AK45/'Tariffs Jan2019'!AI45&lt;'Tariffs Jan2019'!L45,0,IF($C$5*'Tariffs Jan2019'!AK45/'Tariffs Jan2019'!AI45&lt;='Tariffs Jan2019'!M45,($C$5*'Tariffs Jan2019'!AK45/'Tariffs Jan2019'!AI45-'Tariffs Jan2019'!L45)*('Tariffs Jan2019'!R45/100)*'Tariffs Jan2019'!AI45,('Tariffs Jan2019'!M45-'Tariffs Jan2019'!L45)*('Tariffs Jan2019'!R45/100)*'Tariffs Jan2019'!AI45))</f>
        <v>0</v>
      </c>
      <c r="I51" s="59">
        <f>IF(($C$5*'Tariffs Jan2019'!AK45/'Tariffs Jan2019'!AI45&gt;'Tariffs Jan2019'!M45),($C$5*'Tariffs Jan2019'!AK45/'Tariffs Jan2019'!AI45-'Tariffs Jan2019'!M45)*'Tariffs Jan2019'!S45/100*'Tariffs Jan2019'!AI45,0)</f>
        <v>329.9538</v>
      </c>
      <c r="J51" s="59">
        <f>IF($C$5*'Tariffs Jan2019'!AL45/'Tariffs Jan2019'!AJ45&gt;='Tariffs Jan2019'!J45,('Tariffs Jan2019'!J45*'Tariffs Jan2019'!U45/100)* 'Tariffs Jan2019'!AJ45,($C$5*'Tariffs Jan2019'!AL45/'Tariffs Jan2019'!AJ45*'Tariffs Jan2019'!U45/100)* 'Tariffs Jan2019'!AJ45)</f>
        <v>408</v>
      </c>
      <c r="K51" s="59">
        <f>IF($C$5*'Tariffs Jan2019'!AL45/'Tariffs Jan2019'!AJ45&lt;'Tariffs Jan2019'!J45,0,IF($C$5*'Tariffs Jan2019'!AL45/'Tariffs Jan2019'!AJ45&lt;='Tariffs Jan2019'!K45,($C$5*'Tariffs Jan2019'!AL45/'Tariffs Jan2019'!AJ45-'Tariffs Jan2019'!J45)*('Tariffs Jan2019'!V45/100)*'Tariffs Jan2019'!AJ45,('Tariffs Jan2019'!K45-'Tariffs Jan2019'!J45)*('Tariffs Jan2019'!V45/100)*'Tariffs Jan2019'!AJ45))</f>
        <v>0</v>
      </c>
      <c r="L51" s="59">
        <f>IF($C$5*'Tariffs Jan2019'!AL45/'Tariffs Jan2019'!AJ45&lt;'Tariffs Jan2019'!K45,0,IF($C$5*'Tariffs Jan2019'!AL45/'Tariffs Jan2019'!AJ45&lt;='Tariffs Jan2019'!L45,($C$5*'Tariffs Jan2019'!AL45/'Tariffs Jan2019'!AJ45-'Tariffs Jan2019'!K45)*('Tariffs Jan2019'!W45/100)*'Tariffs Jan2019'!AJ45,('Tariffs Jan2019'!L45-'Tariffs Jan2019'!K45)*('Tariffs Jan2019'!W45/100)*'Tariffs Jan2019'!AJ45))</f>
        <v>0</v>
      </c>
      <c r="M51" s="59">
        <f>IF($C$5*'Tariffs Jan2019'!AL45/'Tariffs Jan2019'!AJ45&lt;'Tariffs Jan2019'!L45,0,IF($C$5*'Tariffs Jan2019'!AL45/'Tariffs Jan2019'!AJ45&lt;='Tariffs Jan2019'!M45,($C$5*'Tariffs Jan2019'!AL45/'Tariffs Jan2019'!AJ45-'Tariffs Jan2019'!L45)*('Tariffs Jan2019'!X45/100)*'Tariffs Jan2019'!AJ45,('Tariffs Jan2019'!M45-'Tariffs Jan2019'!L45)*('Tariffs Jan2019'!X45/100)*'Tariffs Jan2019'!AJ45))</f>
        <v>0</v>
      </c>
      <c r="N51" s="59">
        <f>IF(($C$5*'Tariffs Jan2019'!AL45/'Tariffs Jan2019'!AJ45&gt;'Tariffs Jan2019'!M45),($C$5*'Tariffs Jan2019'!AL45/'Tariffs Jan2019'!AJ45-'Tariffs Jan2019'!M45)*'Tariffs Jan2019'!Y45/100*'Tariffs Jan2019'!AJ45,0)</f>
        <v>659.9076</v>
      </c>
      <c r="O51" s="271">
        <f t="shared" si="0"/>
        <v>1601.8614</v>
      </c>
      <c r="P51" s="59">
        <f t="shared" si="1"/>
        <v>1948.6114</v>
      </c>
      <c r="Q51" s="272">
        <f t="shared" si="2"/>
        <v>2143.4725400000002</v>
      </c>
      <c r="R51" s="40">
        <f>'Tariffs Jan2019'!AN45</f>
        <v>0</v>
      </c>
      <c r="S51" s="40">
        <f>'Tariffs Jan2019'!AO45</f>
        <v>0</v>
      </c>
      <c r="T51" s="40">
        <f>'Tariffs Jan2019'!AP45</f>
        <v>32</v>
      </c>
      <c r="U51" s="40">
        <f>'Tariffs Jan2019'!AQ45</f>
        <v>0</v>
      </c>
      <c r="V51" s="273">
        <f t="shared" si="6"/>
        <v>1948.6114</v>
      </c>
      <c r="W51" s="273">
        <f>V51-(P51*T51/100)</f>
        <v>1325.055752</v>
      </c>
      <c r="X51" s="272">
        <f t="shared" si="3"/>
        <v>2143.4725400000002</v>
      </c>
      <c r="Y51" s="272">
        <f t="shared" si="3"/>
        <v>1457.5613272000001</v>
      </c>
      <c r="Z51" s="274">
        <f>'Tariffs Jan2019'!AZ45</f>
        <v>0</v>
      </c>
      <c r="AA51" s="274" t="str">
        <f>'Tariffs Jan2019'!BA45</f>
        <v>n</v>
      </c>
      <c r="AB51" s="275" t="str">
        <f>'Tariffs Jan2019'!BH45</f>
        <v>N</v>
      </c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</row>
    <row r="52" spans="1:40" ht="14" thickBot="1" x14ac:dyDescent="0.2">
      <c r="A52" s="277" t="str">
        <f>'Tariffs Jan2019'!F46</f>
        <v>Powershop</v>
      </c>
      <c r="B52" s="277" t="str">
        <f>'Tariffs Jan2019'!D46</f>
        <v>AGN North</v>
      </c>
      <c r="C52" s="277" t="str">
        <f>'Tariffs Jan2019'!G46</f>
        <v>Auto Pay with Gas Saver</v>
      </c>
      <c r="D52" s="278">
        <f>365*'Tariffs Jan2019'!H46/100</f>
        <v>298.13200000000001</v>
      </c>
      <c r="E52" s="278">
        <f>((C$5*'Tariffs Jan2019'!AK46/'Tariffs Jan2019'!AI46)*('Tariffs Jan2019'!O46/100))*'Tariffs Jan2019'!AI46</f>
        <v>373.76261999999997</v>
      </c>
      <c r="F52" s="278">
        <v>0</v>
      </c>
      <c r="G52" s="278">
        <v>0</v>
      </c>
      <c r="H52" s="278">
        <v>0</v>
      </c>
      <c r="I52" s="278">
        <v>0</v>
      </c>
      <c r="J52" s="278">
        <f>((C$5*'Tariffs Jan2019'!AL46/'Tariffs Jan2019'!AJ46)*('Tariffs Jan2019'!U46/100))*'Tariffs Jan2019'!AJ46</f>
        <v>747.52523999999994</v>
      </c>
      <c r="K52" s="278">
        <v>0</v>
      </c>
      <c r="L52" s="278">
        <v>0</v>
      </c>
      <c r="M52" s="278">
        <v>0</v>
      </c>
      <c r="N52" s="278">
        <v>0</v>
      </c>
      <c r="O52" s="279">
        <f t="shared" si="0"/>
        <v>1121.2878599999999</v>
      </c>
      <c r="P52" s="278">
        <f t="shared" si="1"/>
        <v>1419.41986</v>
      </c>
      <c r="Q52" s="280">
        <f t="shared" si="2"/>
        <v>1561.361846</v>
      </c>
      <c r="R52" s="277">
        <f>'Tariffs Jan2019'!AN46</f>
        <v>0</v>
      </c>
      <c r="S52" s="277">
        <f>'Tariffs Jan2019'!AO46</f>
        <v>0</v>
      </c>
      <c r="T52" s="277">
        <f>'Tariffs Jan2019'!AP46</f>
        <v>5</v>
      </c>
      <c r="U52" s="277">
        <f>'Tariffs Jan2019'!AQ46</f>
        <v>0</v>
      </c>
      <c r="V52" s="281">
        <f t="shared" si="6"/>
        <v>1419.41986</v>
      </c>
      <c r="W52" s="281">
        <f>V52-(P52*T52/100)</f>
        <v>1348.4488670000001</v>
      </c>
      <c r="X52" s="280">
        <f t="shared" si="3"/>
        <v>1561.361846</v>
      </c>
      <c r="Y52" s="280">
        <f t="shared" si="3"/>
        <v>1483.2937537000003</v>
      </c>
      <c r="Z52" s="282">
        <f>'Tariffs Jan2019'!AZ46</f>
        <v>0</v>
      </c>
      <c r="AA52" s="282" t="str">
        <f>'Tariffs Jan2019'!BA46</f>
        <v>n</v>
      </c>
      <c r="AB52" s="283" t="str">
        <f>'Tariffs Jan2019'!BH46</f>
        <v>Y</v>
      </c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</row>
    <row r="53" spans="1:40" ht="14" thickTop="1" x14ac:dyDescent="0.15">
      <c r="A53" s="40" t="str">
        <f>'Tariffs Jan2019'!F47</f>
        <v>AGL</v>
      </c>
      <c r="B53" s="40" t="str">
        <f>'Tariffs Jan2019'!D47</f>
        <v>AGN Central 2</v>
      </c>
      <c r="C53" s="40" t="str">
        <f>'Tariffs Jan2019'!G47</f>
        <v>Savers</v>
      </c>
      <c r="D53" s="59">
        <f>365*'Tariffs Jan2019'!H47/100</f>
        <v>279.58999999999997</v>
      </c>
      <c r="E53" s="59">
        <f>IF($C$5*'Tariffs Jan2019'!AK47/'Tariffs Jan2019'!AI47&gt;='Tariffs Jan2019'!J47,( 'Tariffs Jan2019'!J47*'Tariffs Jan2019'!O47/100)* 'Tariffs Jan2019'!AI47,($C$5*'Tariffs Jan2019'!AK47/'Tariffs Jan2019'!AI47*'Tariffs Jan2019'!O47/100)* 'Tariffs Jan2019'!AI47)</f>
        <v>90.804000000000002</v>
      </c>
      <c r="F53" s="59">
        <f>IF($C$5*'Tariffs Jan2019'!AK47/'Tariffs Jan2019'!AI47&lt;'Tariffs Jan2019'!J47,0,IF($C$5*'Tariffs Jan2019'!AK47/'Tariffs Jan2019'!AI47&lt;='Tariffs Jan2019'!K47,($C$5*'Tariffs Jan2019'!AK47/'Tariffs Jan2019'!AI47-'Tariffs Jan2019'!J47)*('Tariffs Jan2019'!P47/100)*'Tariffs Jan2019'!AI47,('Tariffs Jan2019'!K47-'Tariffs Jan2019'!J47)*('Tariffs Jan2019'!P47/100)*'Tariffs Jan2019'!AI47))</f>
        <v>73.17</v>
      </c>
      <c r="G53" s="59">
        <f>IF($C$5*'Tariffs Jan2019'!AK47/'Tariffs Jan2019'!AI47&lt;'Tariffs Jan2019'!K47,0,IF($C$5*'Tariffs Jan2019'!AK47/'Tariffs Jan2019'!AI47&lt;='Tariffs Jan2019'!L47,($C$5*'Tariffs Jan2019'!AK47/'Tariffs Jan2019'!AI47-'Tariffs Jan2019'!K47)*('Tariffs Jan2019'!Q47/100)*'Tariffs Jan2019'!AI47,('Tariffs Jan2019'!L47-'Tariffs Jan2019'!K47)*('Tariffs Jan2019'!Q47/100)*'Tariffs Jan2019'!AI47))</f>
        <v>0</v>
      </c>
      <c r="H53" s="59">
        <f>IF($C$5*'Tariffs Jan2019'!AK47/'Tariffs Jan2019'!AI47&lt;'Tariffs Jan2019'!L47,0,IF($C$5*'Tariffs Jan2019'!AK47/'Tariffs Jan2019'!AI47&lt;='Tariffs Jan2019'!M47,($C$5*'Tariffs Jan2019'!AK47/'Tariffs Jan2019'!AI47-'Tariffs Jan2019'!L47)*('Tariffs Jan2019'!R47/100)*'Tariffs Jan2019'!AI47,('Tariffs Jan2019'!M47-'Tariffs Jan2019'!L47)*('Tariffs Jan2019'!R47/100)*'Tariffs Jan2019'!AI47))</f>
        <v>0</v>
      </c>
      <c r="I53" s="59">
        <f>IF(($C$5*'Tariffs Jan2019'!AK47/'Tariffs Jan2019'!AI47&gt;'Tariffs Jan2019'!M47),($C$5*'Tariffs Jan2019'!AK47/'Tariffs Jan2019'!AI47-'Tariffs Jan2019'!M47)*'Tariffs Jan2019'!S47/100*'Tariffs Jan2019'!AI47,0)</f>
        <v>274.46156999999994</v>
      </c>
      <c r="J53" s="59">
        <f>IF($C$5*'Tariffs Jan2019'!AL47/'Tariffs Jan2019'!AJ47&gt;='Tariffs Jan2019'!J47,('Tariffs Jan2019'!J47*'Tariffs Jan2019'!U47/100)* 'Tariffs Jan2019'!AJ47,($C$5*'Tariffs Jan2019'!AL47/'Tariffs Jan2019'!AJ47*'Tariffs Jan2019'!U47/100)* 'Tariffs Jan2019'!AJ47)</f>
        <v>181.608</v>
      </c>
      <c r="K53" s="59">
        <f>IF($C$5*'Tariffs Jan2019'!AL47/'Tariffs Jan2019'!AJ47&lt;'Tariffs Jan2019'!J47,0,IF($C$5*'Tariffs Jan2019'!AL47/'Tariffs Jan2019'!AJ47&lt;='Tariffs Jan2019'!K47,($C$5*'Tariffs Jan2019'!AL47/'Tariffs Jan2019'!AJ47-'Tariffs Jan2019'!J47)*('Tariffs Jan2019'!V47/100)*'Tariffs Jan2019'!AJ47,('Tariffs Jan2019'!K47-'Tariffs Jan2019'!J47)*('Tariffs Jan2019'!V47/100)*'Tariffs Jan2019'!AJ47))</f>
        <v>146.34</v>
      </c>
      <c r="L53" s="59">
        <f>IF($C$5*'Tariffs Jan2019'!AL47/'Tariffs Jan2019'!AJ47&lt;'Tariffs Jan2019'!K47,0,IF($C$5*'Tariffs Jan2019'!AL47/'Tariffs Jan2019'!AJ47&lt;='Tariffs Jan2019'!L47,($C$5*'Tariffs Jan2019'!AL47/'Tariffs Jan2019'!AJ47-'Tariffs Jan2019'!K47)*('Tariffs Jan2019'!W47/100)*'Tariffs Jan2019'!AJ47,('Tariffs Jan2019'!L47-'Tariffs Jan2019'!K47)*('Tariffs Jan2019'!W47/100)*'Tariffs Jan2019'!AJ47))</f>
        <v>0</v>
      </c>
      <c r="M53" s="59">
        <f>IF($C$5*'Tariffs Jan2019'!AL47/'Tariffs Jan2019'!AJ47&lt;'Tariffs Jan2019'!L47,0,IF($C$5*'Tariffs Jan2019'!AL47/'Tariffs Jan2019'!AJ47&lt;='Tariffs Jan2019'!M47,($C$5*'Tariffs Jan2019'!AL47/'Tariffs Jan2019'!AJ47-'Tariffs Jan2019'!L47)*('Tariffs Jan2019'!X47/100)*'Tariffs Jan2019'!AJ47,('Tariffs Jan2019'!M47-'Tariffs Jan2019'!L47)*('Tariffs Jan2019'!X47/100)*'Tariffs Jan2019'!AJ47))</f>
        <v>0</v>
      </c>
      <c r="N53" s="59">
        <f>IF(($C$5*'Tariffs Jan2019'!AL47/'Tariffs Jan2019'!AJ47&gt;'Tariffs Jan2019'!M47),($C$5*'Tariffs Jan2019'!AL47/'Tariffs Jan2019'!AJ47-'Tariffs Jan2019'!M47)*'Tariffs Jan2019'!Y47/100*'Tariffs Jan2019'!AJ47,0)</f>
        <v>548.92313999999988</v>
      </c>
      <c r="O53" s="271">
        <f t="shared" si="0"/>
        <v>1315.3067099999998</v>
      </c>
      <c r="P53" s="59">
        <f t="shared" si="1"/>
        <v>1594.8967099999998</v>
      </c>
      <c r="Q53" s="272">
        <f t="shared" si="2"/>
        <v>1754.3863809999998</v>
      </c>
      <c r="R53" s="40">
        <f>'Tariffs Jan2019'!AN47</f>
        <v>0</v>
      </c>
      <c r="S53" s="40">
        <f>'Tariffs Jan2019'!AO47</f>
        <v>0</v>
      </c>
      <c r="T53" s="40">
        <f>'Tariffs Jan2019'!AP47</f>
        <v>0</v>
      </c>
      <c r="U53" s="40">
        <f>'Tariffs Jan2019'!AQ47</f>
        <v>24</v>
      </c>
      <c r="V53" s="273">
        <f>P53</f>
        <v>1594.8967099999998</v>
      </c>
      <c r="W53" s="273">
        <f>V53-(O53*U53/100)</f>
        <v>1279.2230995999998</v>
      </c>
      <c r="X53" s="272">
        <f t="shared" si="3"/>
        <v>1754.3863809999998</v>
      </c>
      <c r="Y53" s="272">
        <f t="shared" si="3"/>
        <v>1407.14540956</v>
      </c>
      <c r="Z53" s="274">
        <f>'Tariffs Jan2019'!AZ47</f>
        <v>0</v>
      </c>
      <c r="AA53" s="274" t="str">
        <f>'Tariffs Jan2019'!BA47</f>
        <v>n</v>
      </c>
      <c r="AB53" s="275" t="str">
        <f>'Tariffs Jan2019'!BH47</f>
        <v>N</v>
      </c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</row>
    <row r="54" spans="1:40" x14ac:dyDescent="0.15">
      <c r="A54" s="40" t="str">
        <f>'Tariffs Jan2019'!F48</f>
        <v>Alinta Energy</v>
      </c>
      <c r="B54" s="40" t="str">
        <f>'Tariffs Jan2019'!D48</f>
        <v>AGN Central 2</v>
      </c>
      <c r="C54" s="40" t="str">
        <f>'Tariffs Jan2019'!G48</f>
        <v>Fair Saver</v>
      </c>
      <c r="D54" s="59">
        <f>365*'Tariffs Jan2019'!H48/100</f>
        <v>273.75</v>
      </c>
      <c r="E54" s="59">
        <f>IF($C$5*'Tariffs Jan2019'!AK48/'Tariffs Jan2019'!AI48&gt;='Tariffs Jan2019'!J48,( 'Tariffs Jan2019'!J48*'Tariffs Jan2019'!O48/100)* 'Tariffs Jan2019'!AI48,($C$5*'Tariffs Jan2019'!AK48/'Tariffs Jan2019'!AI48*'Tariffs Jan2019'!O48/100)* 'Tariffs Jan2019'!AI48)</f>
        <v>85.54</v>
      </c>
      <c r="F54" s="59">
        <f>IF($C$5*'Tariffs Jan2019'!AK48/'Tariffs Jan2019'!AI48&lt;'Tariffs Jan2019'!J48,0,IF($C$5*'Tariffs Jan2019'!AK48/'Tariffs Jan2019'!AI48&lt;='Tariffs Jan2019'!K48,($C$5*'Tariffs Jan2019'!AK48/'Tariffs Jan2019'!AI48-'Tariffs Jan2019'!J48)*('Tariffs Jan2019'!P48/100)*'Tariffs Jan2019'!AI48,('Tariffs Jan2019'!K48-'Tariffs Jan2019'!J48)*('Tariffs Jan2019'!P48/100)*'Tariffs Jan2019'!AI48))</f>
        <v>70.460000000000008</v>
      </c>
      <c r="G54" s="59">
        <f>IF($C$5*'Tariffs Jan2019'!AK48/'Tariffs Jan2019'!AI48&lt;'Tariffs Jan2019'!K48,0,IF($C$5*'Tariffs Jan2019'!AK48/'Tariffs Jan2019'!AI48&lt;='Tariffs Jan2019'!L48,($C$5*'Tariffs Jan2019'!AK48/'Tariffs Jan2019'!AI48-'Tariffs Jan2019'!K48)*('Tariffs Jan2019'!Q48/100)*'Tariffs Jan2019'!AI48,('Tariffs Jan2019'!L48-'Tariffs Jan2019'!K48)*('Tariffs Jan2019'!Q48/100)*'Tariffs Jan2019'!AI48))</f>
        <v>0</v>
      </c>
      <c r="H54" s="59">
        <f>IF($C$5*'Tariffs Jan2019'!AK48/'Tariffs Jan2019'!AI48&lt;'Tariffs Jan2019'!L48,0,IF($C$5*'Tariffs Jan2019'!AK48/'Tariffs Jan2019'!AI48&lt;='Tariffs Jan2019'!M48,($C$5*'Tariffs Jan2019'!AK48/'Tariffs Jan2019'!AI48-'Tariffs Jan2019'!L48)*('Tariffs Jan2019'!R48/100)*'Tariffs Jan2019'!AI48,('Tariffs Jan2019'!M48-'Tariffs Jan2019'!L48)*('Tariffs Jan2019'!R48/100)*'Tariffs Jan2019'!AI48))</f>
        <v>0</v>
      </c>
      <c r="I54" s="59">
        <f>IF(($C$5*'Tariffs Jan2019'!AK48/'Tariffs Jan2019'!AI48&gt;'Tariffs Jan2019'!M48),($C$5*'Tariffs Jan2019'!AK48/'Tariffs Jan2019'!AI48-'Tariffs Jan2019'!M48)*'Tariffs Jan2019'!S48/100*'Tariffs Jan2019'!AI48,0)</f>
        <v>314.95589999999999</v>
      </c>
      <c r="J54" s="59">
        <f>IF($C$5*'Tariffs Jan2019'!AL48/'Tariffs Jan2019'!AJ48&gt;='Tariffs Jan2019'!J48,('Tariffs Jan2019'!J48*'Tariffs Jan2019'!U48/100)* 'Tariffs Jan2019'!AJ48,($C$5*'Tariffs Jan2019'!AL48/'Tariffs Jan2019'!AJ48*'Tariffs Jan2019'!U48/100)* 'Tariffs Jan2019'!AJ48)</f>
        <v>171.08</v>
      </c>
      <c r="K54" s="59">
        <f>IF($C$5*'Tariffs Jan2019'!AL48/'Tariffs Jan2019'!AJ48&lt;'Tariffs Jan2019'!J48,0,IF($C$5*'Tariffs Jan2019'!AL48/'Tariffs Jan2019'!AJ48&lt;='Tariffs Jan2019'!K48,($C$5*'Tariffs Jan2019'!AL48/'Tariffs Jan2019'!AJ48-'Tariffs Jan2019'!J48)*('Tariffs Jan2019'!V48/100)*'Tariffs Jan2019'!AJ48,('Tariffs Jan2019'!K48-'Tariffs Jan2019'!J48)*('Tariffs Jan2019'!V48/100)*'Tariffs Jan2019'!AJ48))</f>
        <v>140.92000000000002</v>
      </c>
      <c r="L54" s="59">
        <f>IF($C$5*'Tariffs Jan2019'!AL48/'Tariffs Jan2019'!AJ48&lt;'Tariffs Jan2019'!K48,0,IF($C$5*'Tariffs Jan2019'!AL48/'Tariffs Jan2019'!AJ48&lt;='Tariffs Jan2019'!L48,($C$5*'Tariffs Jan2019'!AL48/'Tariffs Jan2019'!AJ48-'Tariffs Jan2019'!K48)*('Tariffs Jan2019'!W48/100)*'Tariffs Jan2019'!AJ48,('Tariffs Jan2019'!L48-'Tariffs Jan2019'!K48)*('Tariffs Jan2019'!W48/100)*'Tariffs Jan2019'!AJ48))</f>
        <v>0</v>
      </c>
      <c r="M54" s="59">
        <f>IF($C$5*'Tariffs Jan2019'!AL48/'Tariffs Jan2019'!AJ48&lt;'Tariffs Jan2019'!L48,0,IF($C$5*'Tariffs Jan2019'!AL48/'Tariffs Jan2019'!AJ48&lt;='Tariffs Jan2019'!M48,($C$5*'Tariffs Jan2019'!AL48/'Tariffs Jan2019'!AJ48-'Tariffs Jan2019'!L48)*('Tariffs Jan2019'!X48/100)*'Tariffs Jan2019'!AJ48,('Tariffs Jan2019'!M48-'Tariffs Jan2019'!L48)*('Tariffs Jan2019'!X48/100)*'Tariffs Jan2019'!AJ48))</f>
        <v>0</v>
      </c>
      <c r="N54" s="59">
        <f>IF(($C$5*'Tariffs Jan2019'!AL48/'Tariffs Jan2019'!AJ48&gt;'Tariffs Jan2019'!M48),($C$5*'Tariffs Jan2019'!AL48/'Tariffs Jan2019'!AJ48-'Tariffs Jan2019'!M48)*'Tariffs Jan2019'!Y48/100*'Tariffs Jan2019'!AJ48,0)</f>
        <v>629.91179999999997</v>
      </c>
      <c r="O54" s="271">
        <f t="shared" si="0"/>
        <v>1412.8676999999998</v>
      </c>
      <c r="P54" s="59">
        <f t="shared" si="1"/>
        <v>1686.6176999999998</v>
      </c>
      <c r="Q54" s="272">
        <f t="shared" si="2"/>
        <v>1855.2794699999999</v>
      </c>
      <c r="R54" s="40">
        <f>'Tariffs Jan2019'!AN48</f>
        <v>0</v>
      </c>
      <c r="S54" s="40">
        <f>'Tariffs Jan2019'!AO48</f>
        <v>20</v>
      </c>
      <c r="T54" s="40">
        <f>'Tariffs Jan2019'!AP48</f>
        <v>0</v>
      </c>
      <c r="U54" s="40">
        <f>'Tariffs Jan2019'!AQ48</f>
        <v>0</v>
      </c>
      <c r="V54" s="273">
        <f>P54-(O54*S54/100)</f>
        <v>1404.0441599999999</v>
      </c>
      <c r="W54" s="273">
        <f>V54-(O54*U54/100)</f>
        <v>1404.0441599999999</v>
      </c>
      <c r="X54" s="272">
        <f t="shared" si="3"/>
        <v>1544.448576</v>
      </c>
      <c r="Y54" s="272">
        <f t="shared" si="3"/>
        <v>1544.448576</v>
      </c>
      <c r="Z54" s="274">
        <f>'Tariffs Jan2019'!AZ48</f>
        <v>0</v>
      </c>
      <c r="AA54" s="274" t="str">
        <f>'Tariffs Jan2019'!BA48</f>
        <v>n</v>
      </c>
      <c r="AB54" s="275" t="str">
        <f>'Tariffs Jan2019'!BH48</f>
        <v>Y</v>
      </c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</row>
    <row r="55" spans="1:40" x14ac:dyDescent="0.15">
      <c r="A55" s="40" t="str">
        <f>'Tariffs Jan2019'!F49</f>
        <v>Click Energy</v>
      </c>
      <c r="B55" s="40" t="str">
        <f>'Tariffs Jan2019'!D49</f>
        <v>AGN Central 2</v>
      </c>
      <c r="C55" s="40" t="str">
        <f>'Tariffs Jan2019'!G49</f>
        <v>Burgundy</v>
      </c>
      <c r="D55" s="59">
        <f>365*'Tariffs Jan2019'!H49/100</f>
        <v>292.73</v>
      </c>
      <c r="E55" s="59">
        <f>IF($C$5*'Tariffs Jan2019'!AK49/'Tariffs Jan2019'!AI49&gt;='Tariffs Jan2019'!J49,( 'Tariffs Jan2019'!J49*'Tariffs Jan2019'!O49/100)* 'Tariffs Jan2019'!AI49,($C$5*'Tariffs Jan2019'!AK49/'Tariffs Jan2019'!AI49*'Tariffs Jan2019'!O49/100)* 'Tariffs Jan2019'!AI49)</f>
        <v>123.375</v>
      </c>
      <c r="F55" s="59">
        <f>IF($C$5*'Tariffs Jan2019'!AK49/'Tariffs Jan2019'!AI49&lt;'Tariffs Jan2019'!J49,0,IF($C$5*'Tariffs Jan2019'!AK49/'Tariffs Jan2019'!AI49&lt;='Tariffs Jan2019'!K49,($C$5*'Tariffs Jan2019'!AK49/'Tariffs Jan2019'!AI49-'Tariffs Jan2019'!J49)*('Tariffs Jan2019'!P49/100)*'Tariffs Jan2019'!AI49,('Tariffs Jan2019'!K49-'Tariffs Jan2019'!J49)*('Tariffs Jan2019'!P49/100)*'Tariffs Jan2019'!AI49))</f>
        <v>86.72</v>
      </c>
      <c r="G55" s="59">
        <f>IF($C$5*'Tariffs Jan2019'!AK49/'Tariffs Jan2019'!AI49&lt;'Tariffs Jan2019'!K49,0,IF($C$5*'Tariffs Jan2019'!AK49/'Tariffs Jan2019'!AI49&lt;='Tariffs Jan2019'!L49,($C$5*'Tariffs Jan2019'!AK49/'Tariffs Jan2019'!AI49-'Tariffs Jan2019'!K49)*('Tariffs Jan2019'!Q49/100)*'Tariffs Jan2019'!AI49,('Tariffs Jan2019'!L49-'Tariffs Jan2019'!K49)*('Tariffs Jan2019'!Q49/100)*'Tariffs Jan2019'!AI49))</f>
        <v>0</v>
      </c>
      <c r="H55" s="59">
        <f>IF($C$5*'Tariffs Jan2019'!AK49/'Tariffs Jan2019'!AI49&lt;'Tariffs Jan2019'!L49,0,IF($C$5*'Tariffs Jan2019'!AK49/'Tariffs Jan2019'!AI49&lt;='Tariffs Jan2019'!M49,($C$5*'Tariffs Jan2019'!AK49/'Tariffs Jan2019'!AI49-'Tariffs Jan2019'!L49)*('Tariffs Jan2019'!R49/100)*'Tariffs Jan2019'!AI49,('Tariffs Jan2019'!M49-'Tariffs Jan2019'!L49)*('Tariffs Jan2019'!R49/100)*'Tariffs Jan2019'!AI49))</f>
        <v>0</v>
      </c>
      <c r="I55" s="59">
        <f>IF(($C$5*'Tariffs Jan2019'!AK49/'Tariffs Jan2019'!AI49&gt;'Tariffs Jan2019'!M49),($C$5*'Tariffs Jan2019'!AK49/'Tariffs Jan2019'!AI49-'Tariffs Jan2019'!M49)*'Tariffs Jan2019'!S49/100*'Tariffs Jan2019'!AI49,0)</f>
        <v>412.44224999999989</v>
      </c>
      <c r="J55" s="59">
        <f>IF($C$5*'Tariffs Jan2019'!AL49/'Tariffs Jan2019'!AJ49&gt;='Tariffs Jan2019'!J49,('Tariffs Jan2019'!J49*'Tariffs Jan2019'!U49/100)* 'Tariffs Jan2019'!AJ49,($C$5*'Tariffs Jan2019'!AL49/'Tariffs Jan2019'!AJ49*'Tariffs Jan2019'!U49/100)* 'Tariffs Jan2019'!AJ49)</f>
        <v>246.75</v>
      </c>
      <c r="K55" s="59">
        <f>IF($C$5*'Tariffs Jan2019'!AL49/'Tariffs Jan2019'!AJ49&lt;'Tariffs Jan2019'!J49,0,IF($C$5*'Tariffs Jan2019'!AL49/'Tariffs Jan2019'!AJ49&lt;='Tariffs Jan2019'!K49,($C$5*'Tariffs Jan2019'!AL49/'Tariffs Jan2019'!AJ49-'Tariffs Jan2019'!J49)*('Tariffs Jan2019'!V49/100)*'Tariffs Jan2019'!AJ49,('Tariffs Jan2019'!K49-'Tariffs Jan2019'!J49)*('Tariffs Jan2019'!V49/100)*'Tariffs Jan2019'!AJ49))</f>
        <v>173.44</v>
      </c>
      <c r="L55" s="59">
        <f>IF($C$5*'Tariffs Jan2019'!AL49/'Tariffs Jan2019'!AJ49&lt;'Tariffs Jan2019'!K49,0,IF($C$5*'Tariffs Jan2019'!AL49/'Tariffs Jan2019'!AJ49&lt;='Tariffs Jan2019'!L49,($C$5*'Tariffs Jan2019'!AL49/'Tariffs Jan2019'!AJ49-'Tariffs Jan2019'!K49)*('Tariffs Jan2019'!W49/100)*'Tariffs Jan2019'!AJ49,('Tariffs Jan2019'!L49-'Tariffs Jan2019'!K49)*('Tariffs Jan2019'!W49/100)*'Tariffs Jan2019'!AJ49))</f>
        <v>0</v>
      </c>
      <c r="M55" s="59">
        <f>IF($C$5*'Tariffs Jan2019'!AL49/'Tariffs Jan2019'!AJ49&lt;'Tariffs Jan2019'!L49,0,IF($C$5*'Tariffs Jan2019'!AL49/'Tariffs Jan2019'!AJ49&lt;='Tariffs Jan2019'!M49,($C$5*'Tariffs Jan2019'!AL49/'Tariffs Jan2019'!AJ49-'Tariffs Jan2019'!L49)*('Tariffs Jan2019'!X49/100)*'Tariffs Jan2019'!AJ49,('Tariffs Jan2019'!M49-'Tariffs Jan2019'!L49)*('Tariffs Jan2019'!X49/100)*'Tariffs Jan2019'!AJ49))</f>
        <v>0</v>
      </c>
      <c r="N55" s="59">
        <f>IF(($C$5*'Tariffs Jan2019'!AL49/'Tariffs Jan2019'!AJ49&gt;'Tariffs Jan2019'!M49),($C$5*'Tariffs Jan2019'!AL49/'Tariffs Jan2019'!AJ49-'Tariffs Jan2019'!M49)*'Tariffs Jan2019'!Y49/100*'Tariffs Jan2019'!AJ49,0)</f>
        <v>824.88449999999978</v>
      </c>
      <c r="O55" s="271">
        <f t="shared" si="0"/>
        <v>1867.6117499999996</v>
      </c>
      <c r="P55" s="59">
        <f t="shared" si="1"/>
        <v>2160.3417499999996</v>
      </c>
      <c r="Q55" s="272">
        <f t="shared" si="2"/>
        <v>2376.3759249999998</v>
      </c>
      <c r="R55" s="40">
        <f>'Tariffs Jan2019'!AN49</f>
        <v>0</v>
      </c>
      <c r="S55" s="40">
        <f>'Tariffs Jan2019'!AO49</f>
        <v>0</v>
      </c>
      <c r="T55" s="40">
        <f>'Tariffs Jan2019'!AP49</f>
        <v>26</v>
      </c>
      <c r="U55" s="40">
        <f>'Tariffs Jan2019'!AQ49</f>
        <v>0</v>
      </c>
      <c r="V55" s="273">
        <f>P55</f>
        <v>2160.3417499999996</v>
      </c>
      <c r="W55" s="273">
        <f>V55-(P55*T55/100)</f>
        <v>1598.6528949999997</v>
      </c>
      <c r="X55" s="272">
        <f t="shared" si="3"/>
        <v>2376.3759249999998</v>
      </c>
      <c r="Y55" s="272">
        <f t="shared" si="3"/>
        <v>1758.5181844999997</v>
      </c>
      <c r="Z55" s="274">
        <f>'Tariffs Jan2019'!AZ49</f>
        <v>0</v>
      </c>
      <c r="AA55" s="274" t="str">
        <f>'Tariffs Jan2019'!BA49</f>
        <v>n</v>
      </c>
      <c r="AB55" s="275" t="str">
        <f>'Tariffs Jan2019'!BH49</f>
        <v>N</v>
      </c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</row>
    <row r="56" spans="1:40" x14ac:dyDescent="0.15">
      <c r="A56" s="40" t="str">
        <f>'Tariffs Jan2019'!F50</f>
        <v>Covau</v>
      </c>
      <c r="B56" s="40" t="str">
        <f>'Tariffs Jan2019'!D50</f>
        <v>AGN Central 2</v>
      </c>
      <c r="C56" s="40" t="str">
        <f>'Tariffs Jan2019'!G50</f>
        <v>Smart Saver</v>
      </c>
      <c r="D56" s="59">
        <f>365*'Tariffs Jan2019'!H50/100</f>
        <v>273.75</v>
      </c>
      <c r="E56" s="59">
        <f>IF($C$5*'Tariffs Jan2019'!AK50/'Tariffs Jan2019'!AI50&gt;='Tariffs Jan2019'!J50,( 'Tariffs Jan2019'!J50*'Tariffs Jan2019'!O50/100)* 'Tariffs Jan2019'!AI50,($C$5*'Tariffs Jan2019'!AK50/'Tariffs Jan2019'!AI50*'Tariffs Jan2019'!O50/100)* 'Tariffs Jan2019'!AI50)</f>
        <v>104.29299999999999</v>
      </c>
      <c r="F56" s="59">
        <f>IF($C$5*'Tariffs Jan2019'!AK50/'Tariffs Jan2019'!AI50&lt;'Tariffs Jan2019'!J50,0,IF($C$5*'Tariffs Jan2019'!AK50/'Tariffs Jan2019'!AI50&lt;='Tariffs Jan2019'!K50,($C$5*'Tariffs Jan2019'!AK50/'Tariffs Jan2019'!AI50-'Tariffs Jan2019'!J50)*('Tariffs Jan2019'!P50/100)*'Tariffs Jan2019'!AI50,('Tariffs Jan2019'!K50-'Tariffs Jan2019'!J50)*('Tariffs Jan2019'!P50/100)*'Tariffs Jan2019'!AI50))</f>
        <v>67.75</v>
      </c>
      <c r="G56" s="59">
        <f>IF($C$5*'Tariffs Jan2019'!AK50/'Tariffs Jan2019'!AI50&lt;'Tariffs Jan2019'!K50,0,IF($C$5*'Tariffs Jan2019'!AK50/'Tariffs Jan2019'!AI50&lt;='Tariffs Jan2019'!L50,($C$5*'Tariffs Jan2019'!AK50/'Tariffs Jan2019'!AI50-'Tariffs Jan2019'!K50)*('Tariffs Jan2019'!Q50/100)*'Tariffs Jan2019'!AI50,('Tariffs Jan2019'!L50-'Tariffs Jan2019'!K50)*('Tariffs Jan2019'!Q50/100)*'Tariffs Jan2019'!AI50))</f>
        <v>0</v>
      </c>
      <c r="H56" s="59">
        <f>IF($C$5*'Tariffs Jan2019'!AK50/'Tariffs Jan2019'!AI50&lt;'Tariffs Jan2019'!L50,0,IF($C$5*'Tariffs Jan2019'!AK50/'Tariffs Jan2019'!AI50&lt;='Tariffs Jan2019'!M50,($C$5*'Tariffs Jan2019'!AK50/'Tariffs Jan2019'!AI50-'Tariffs Jan2019'!L50)*('Tariffs Jan2019'!R50/100)*'Tariffs Jan2019'!AI50,('Tariffs Jan2019'!M50-'Tariffs Jan2019'!L50)*('Tariffs Jan2019'!R50/100)*'Tariffs Jan2019'!AI50))</f>
        <v>0</v>
      </c>
      <c r="I56" s="59">
        <f>IF(($C$5*'Tariffs Jan2019'!AK50/'Tariffs Jan2019'!AI50&gt;'Tariffs Jan2019'!M50),($C$5*'Tariffs Jan2019'!AK50/'Tariffs Jan2019'!AI50-'Tariffs Jan2019'!M50)*'Tariffs Jan2019'!S50/100*'Tariffs Jan2019'!AI50,0)</f>
        <v>337.45274999999992</v>
      </c>
      <c r="J56" s="59">
        <f>IF($C$5*'Tariffs Jan2019'!AL50/'Tariffs Jan2019'!AJ50&gt;='Tariffs Jan2019'!J50,('Tariffs Jan2019'!J50*'Tariffs Jan2019'!U50/100)* 'Tariffs Jan2019'!AJ50,($C$5*'Tariffs Jan2019'!AL50/'Tariffs Jan2019'!AJ50*'Tariffs Jan2019'!U50/100)* 'Tariffs Jan2019'!AJ50)</f>
        <v>208.58599999999998</v>
      </c>
      <c r="K56" s="59">
        <f>IF($C$5*'Tariffs Jan2019'!AL50/'Tariffs Jan2019'!AJ50&lt;'Tariffs Jan2019'!J50,0,IF($C$5*'Tariffs Jan2019'!AL50/'Tariffs Jan2019'!AJ50&lt;='Tariffs Jan2019'!K50,($C$5*'Tariffs Jan2019'!AL50/'Tariffs Jan2019'!AJ50-'Tariffs Jan2019'!J50)*('Tariffs Jan2019'!V50/100)*'Tariffs Jan2019'!AJ50,('Tariffs Jan2019'!K50-'Tariffs Jan2019'!J50)*('Tariffs Jan2019'!V50/100)*'Tariffs Jan2019'!AJ50))</f>
        <v>135.5</v>
      </c>
      <c r="L56" s="59">
        <f>IF($C$5*'Tariffs Jan2019'!AL50/'Tariffs Jan2019'!AJ50&lt;'Tariffs Jan2019'!K50,0,IF($C$5*'Tariffs Jan2019'!AL50/'Tariffs Jan2019'!AJ50&lt;='Tariffs Jan2019'!L50,($C$5*'Tariffs Jan2019'!AL50/'Tariffs Jan2019'!AJ50-'Tariffs Jan2019'!K50)*('Tariffs Jan2019'!W50/100)*'Tariffs Jan2019'!AJ50,('Tariffs Jan2019'!L50-'Tariffs Jan2019'!K50)*('Tariffs Jan2019'!W50/100)*'Tariffs Jan2019'!AJ50))</f>
        <v>0</v>
      </c>
      <c r="M56" s="59">
        <f>IF($C$5*'Tariffs Jan2019'!AL50/'Tariffs Jan2019'!AJ50&lt;'Tariffs Jan2019'!L50,0,IF($C$5*'Tariffs Jan2019'!AL50/'Tariffs Jan2019'!AJ50&lt;='Tariffs Jan2019'!M50,($C$5*'Tariffs Jan2019'!AL50/'Tariffs Jan2019'!AJ50-'Tariffs Jan2019'!L50)*('Tariffs Jan2019'!X50/100)*'Tariffs Jan2019'!AJ50,('Tariffs Jan2019'!M50-'Tariffs Jan2019'!L50)*('Tariffs Jan2019'!X50/100)*'Tariffs Jan2019'!AJ50))</f>
        <v>0</v>
      </c>
      <c r="N56" s="59">
        <f>IF(($C$5*'Tariffs Jan2019'!AL50/'Tariffs Jan2019'!AJ50&gt;'Tariffs Jan2019'!M50),($C$5*'Tariffs Jan2019'!AL50/'Tariffs Jan2019'!AJ50-'Tariffs Jan2019'!M50)*'Tariffs Jan2019'!Y50/100*'Tariffs Jan2019'!AJ50,0)</f>
        <v>674.90549999999985</v>
      </c>
      <c r="O56" s="271">
        <f t="shared" si="0"/>
        <v>1528.4872499999997</v>
      </c>
      <c r="P56" s="59">
        <f t="shared" si="1"/>
        <v>1802.2372499999997</v>
      </c>
      <c r="Q56" s="272">
        <f t="shared" si="2"/>
        <v>1982.4609749999997</v>
      </c>
      <c r="R56" s="40">
        <f>'Tariffs Jan2019'!AN50</f>
        <v>0</v>
      </c>
      <c r="S56" s="40">
        <f>'Tariffs Jan2019'!AO50</f>
        <v>0</v>
      </c>
      <c r="T56" s="40">
        <f>'Tariffs Jan2019'!AP50</f>
        <v>0</v>
      </c>
      <c r="U56" s="40">
        <f>'Tariffs Jan2019'!AQ50</f>
        <v>16</v>
      </c>
      <c r="V56" s="273">
        <f>P56</f>
        <v>1802.2372499999997</v>
      </c>
      <c r="W56" s="273">
        <f>V56-(O56*U56/100)</f>
        <v>1557.6792899999998</v>
      </c>
      <c r="X56" s="272">
        <f t="shared" si="3"/>
        <v>1982.4609749999997</v>
      </c>
      <c r="Y56" s="272">
        <f t="shared" si="3"/>
        <v>1713.4472189999999</v>
      </c>
      <c r="Z56" s="274">
        <f>'Tariffs Jan2019'!AZ50</f>
        <v>0</v>
      </c>
      <c r="AA56" s="274" t="str">
        <f>'Tariffs Jan2019'!BA50</f>
        <v>n</v>
      </c>
      <c r="AB56" s="275" t="str">
        <f>'Tariffs Jan2019'!BH50</f>
        <v>N</v>
      </c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</row>
    <row r="57" spans="1:40" x14ac:dyDescent="0.15">
      <c r="A57" s="40" t="str">
        <f>'Tariffs Jan2019'!F51</f>
        <v>Dodo Power &amp; Gas</v>
      </c>
      <c r="B57" s="40" t="str">
        <f>'Tariffs Jan2019'!D51</f>
        <v>AGN Central 2</v>
      </c>
      <c r="C57" s="40" t="str">
        <f>'Tariffs Jan2019'!G51</f>
        <v>Market offer</v>
      </c>
      <c r="D57" s="59">
        <f>365*'Tariffs Jan2019'!H51/100</f>
        <v>296.92749999999995</v>
      </c>
      <c r="E57" s="59">
        <f>IF($C$5*'Tariffs Jan2019'!AK51/'Tariffs Jan2019'!AI51&gt;='Tariffs Jan2019'!J51,( 'Tariffs Jan2019'!J51*'Tariffs Jan2019'!O51/100)* 'Tariffs Jan2019'!AI51,($C$5*'Tariffs Jan2019'!AK51/'Tariffs Jan2019'!AI51*'Tariffs Jan2019'!O51/100)* 'Tariffs Jan2019'!AI51)</f>
        <v>159.36000000000001</v>
      </c>
      <c r="F57" s="59">
        <f>IF($C$5*'Tariffs Jan2019'!AK51/'Tariffs Jan2019'!AI51&lt;'Tariffs Jan2019'!J51,0,IF($C$5*'Tariffs Jan2019'!AK51/'Tariffs Jan2019'!AI51&lt;='Tariffs Jan2019'!K51,($C$5*'Tariffs Jan2019'!AK51/'Tariffs Jan2019'!AI51-'Tariffs Jan2019'!J51)*('Tariffs Jan2019'!P51/100)*'Tariffs Jan2019'!AI51,('Tariffs Jan2019'!K51-'Tariffs Jan2019'!J51)*('Tariffs Jan2019'!P51/100)*'Tariffs Jan2019'!AI51))</f>
        <v>0</v>
      </c>
      <c r="G57" s="59">
        <f>IF($C$5*'Tariffs Jan2019'!AK51/'Tariffs Jan2019'!AI51&lt;'Tariffs Jan2019'!K51,0,IF($C$5*'Tariffs Jan2019'!AK51/'Tariffs Jan2019'!AI51&lt;='Tariffs Jan2019'!L51,($C$5*'Tariffs Jan2019'!AK51/'Tariffs Jan2019'!AI51-'Tariffs Jan2019'!K51)*('Tariffs Jan2019'!Q51/100)*'Tariffs Jan2019'!AI51,('Tariffs Jan2019'!L51-'Tariffs Jan2019'!K51)*('Tariffs Jan2019'!Q51/100)*'Tariffs Jan2019'!AI51))</f>
        <v>0</v>
      </c>
      <c r="H57" s="59">
        <f>IF($C$5*'Tariffs Jan2019'!AK51/'Tariffs Jan2019'!AI51&lt;'Tariffs Jan2019'!L51,0,IF($C$5*'Tariffs Jan2019'!AK51/'Tariffs Jan2019'!AI51&lt;='Tariffs Jan2019'!M51,($C$5*'Tariffs Jan2019'!AK51/'Tariffs Jan2019'!AI51-'Tariffs Jan2019'!L51)*('Tariffs Jan2019'!R51/100)*'Tariffs Jan2019'!AI51,('Tariffs Jan2019'!M51-'Tariffs Jan2019'!L51)*('Tariffs Jan2019'!R51/100)*'Tariffs Jan2019'!AI51))</f>
        <v>0</v>
      </c>
      <c r="I57" s="59">
        <f>IF(($C$5*'Tariffs Jan2019'!AK51/'Tariffs Jan2019'!AI51&gt;'Tariffs Jan2019'!M51),($C$5*'Tariffs Jan2019'!AK51/'Tariffs Jan2019'!AI51-'Tariffs Jan2019'!M51)*'Tariffs Jan2019'!S51/100*'Tariffs Jan2019'!AI51,0)</f>
        <v>290.49820999999997</v>
      </c>
      <c r="J57" s="59">
        <f>IF($C$5*'Tariffs Jan2019'!AL51/'Tariffs Jan2019'!AJ51&gt;='Tariffs Jan2019'!J51,('Tariffs Jan2019'!J51*'Tariffs Jan2019'!U51/100)* 'Tariffs Jan2019'!AJ51,($C$5*'Tariffs Jan2019'!AL51/'Tariffs Jan2019'!AJ51*'Tariffs Jan2019'!U51/100)* 'Tariffs Jan2019'!AJ51)</f>
        <v>318.72000000000003</v>
      </c>
      <c r="K57" s="59">
        <f>IF($C$5*'Tariffs Jan2019'!AL51/'Tariffs Jan2019'!AJ51&lt;'Tariffs Jan2019'!J51,0,IF($C$5*'Tariffs Jan2019'!AL51/'Tariffs Jan2019'!AJ51&lt;='Tariffs Jan2019'!K51,($C$5*'Tariffs Jan2019'!AL51/'Tariffs Jan2019'!AJ51-'Tariffs Jan2019'!J51)*('Tariffs Jan2019'!V51/100)*'Tariffs Jan2019'!AJ51,('Tariffs Jan2019'!K51-'Tariffs Jan2019'!J51)*('Tariffs Jan2019'!V51/100)*'Tariffs Jan2019'!AJ51))</f>
        <v>0</v>
      </c>
      <c r="L57" s="59">
        <f>IF($C$5*'Tariffs Jan2019'!AL51/'Tariffs Jan2019'!AJ51&lt;'Tariffs Jan2019'!K51,0,IF($C$5*'Tariffs Jan2019'!AL51/'Tariffs Jan2019'!AJ51&lt;='Tariffs Jan2019'!L51,($C$5*'Tariffs Jan2019'!AL51/'Tariffs Jan2019'!AJ51-'Tariffs Jan2019'!K51)*('Tariffs Jan2019'!W51/100)*'Tariffs Jan2019'!AJ51,('Tariffs Jan2019'!L51-'Tariffs Jan2019'!K51)*('Tariffs Jan2019'!W51/100)*'Tariffs Jan2019'!AJ51))</f>
        <v>0</v>
      </c>
      <c r="M57" s="59">
        <f>IF($C$5*'Tariffs Jan2019'!AL51/'Tariffs Jan2019'!AJ51&lt;'Tariffs Jan2019'!L51,0,IF($C$5*'Tariffs Jan2019'!AL51/'Tariffs Jan2019'!AJ51&lt;='Tariffs Jan2019'!M51,($C$5*'Tariffs Jan2019'!AL51/'Tariffs Jan2019'!AJ51-'Tariffs Jan2019'!L51)*('Tariffs Jan2019'!X51/100)*'Tariffs Jan2019'!AJ51,('Tariffs Jan2019'!M51-'Tariffs Jan2019'!L51)*('Tariffs Jan2019'!X51/100)*'Tariffs Jan2019'!AJ51))</f>
        <v>0</v>
      </c>
      <c r="N57" s="59">
        <f>IF(($C$5*'Tariffs Jan2019'!AL51/'Tariffs Jan2019'!AJ51&gt;'Tariffs Jan2019'!M51),($C$5*'Tariffs Jan2019'!AL51/'Tariffs Jan2019'!AJ51-'Tariffs Jan2019'!M51)*'Tariffs Jan2019'!Y51/100*'Tariffs Jan2019'!AJ51,0)</f>
        <v>580.99641999999994</v>
      </c>
      <c r="O57" s="271">
        <f t="shared" si="0"/>
        <v>1349.5746300000001</v>
      </c>
      <c r="P57" s="59">
        <f t="shared" si="1"/>
        <v>1646.5021300000001</v>
      </c>
      <c r="Q57" s="272">
        <f t="shared" si="2"/>
        <v>1811.1523430000002</v>
      </c>
      <c r="R57" s="40">
        <f>'Tariffs Jan2019'!AN51</f>
        <v>0</v>
      </c>
      <c r="S57" s="40">
        <f>'Tariffs Jan2019'!AO51</f>
        <v>0</v>
      </c>
      <c r="T57" s="40">
        <f>'Tariffs Jan2019'!AP51</f>
        <v>0</v>
      </c>
      <c r="U57" s="40">
        <f>'Tariffs Jan2019'!AQ51</f>
        <v>0</v>
      </c>
      <c r="V57" s="273">
        <f>P57</f>
        <v>1646.5021300000001</v>
      </c>
      <c r="W57" s="273">
        <f>V57</f>
        <v>1646.5021300000001</v>
      </c>
      <c r="X57" s="272">
        <f t="shared" si="3"/>
        <v>1811.1523430000002</v>
      </c>
      <c r="Y57" s="272">
        <f t="shared" si="3"/>
        <v>1811.1523430000002</v>
      </c>
      <c r="Z57" s="274">
        <f>'Tariffs Jan2019'!AZ51</f>
        <v>0</v>
      </c>
      <c r="AA57" s="274" t="str">
        <f>'Tariffs Jan2019'!BA51</f>
        <v>n</v>
      </c>
      <c r="AB57" s="275" t="str">
        <f>'Tariffs Jan2019'!BH51</f>
        <v>Y</v>
      </c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</row>
    <row r="58" spans="1:40" x14ac:dyDescent="0.15">
      <c r="A58" s="40" t="str">
        <f>'Tariffs Jan2019'!F52</f>
        <v>EnergyAustralia</v>
      </c>
      <c r="B58" s="40" t="str">
        <f>'Tariffs Jan2019'!D52</f>
        <v>AGN Central 2</v>
      </c>
      <c r="C58" s="40" t="str">
        <f>'Tariffs Jan2019'!G52</f>
        <v>Anytime Saver</v>
      </c>
      <c r="D58" s="59">
        <f>365*'Tariffs Jan2019'!H52/100</f>
        <v>295.64999999999998</v>
      </c>
      <c r="E58" s="59">
        <f>IF($C$5*'Tariffs Jan2019'!AK52/'Tariffs Jan2019'!AI52&gt;='Tariffs Jan2019'!J52,( 'Tariffs Jan2019'!J52*'Tariffs Jan2019'!O52/100)* 'Tariffs Jan2019'!AI52,($C$5*'Tariffs Jan2019'!AK52/'Tariffs Jan2019'!AI52*'Tariffs Jan2019'!O52/100)* 'Tariffs Jan2019'!AI52)</f>
        <v>178.2</v>
      </c>
      <c r="F58" s="59">
        <f>IF($C$5*'Tariffs Jan2019'!AK52/'Tariffs Jan2019'!AI52&lt;'Tariffs Jan2019'!J52,0,IF($C$5*'Tariffs Jan2019'!AK52/'Tariffs Jan2019'!AI52&lt;='Tariffs Jan2019'!K52,($C$5*'Tariffs Jan2019'!AK52/'Tariffs Jan2019'!AI52-'Tariffs Jan2019'!J52)*('Tariffs Jan2019'!P52/100)*'Tariffs Jan2019'!AI52,('Tariffs Jan2019'!K52-'Tariffs Jan2019'!J52)*('Tariffs Jan2019'!P52/100)*'Tariffs Jan2019'!AI52))</f>
        <v>0</v>
      </c>
      <c r="G58" s="59">
        <f>IF($C$5*'Tariffs Jan2019'!AK52/'Tariffs Jan2019'!AI52&lt;'Tariffs Jan2019'!K52,0,IF($C$5*'Tariffs Jan2019'!AK52/'Tariffs Jan2019'!AI52&lt;='Tariffs Jan2019'!L52,($C$5*'Tariffs Jan2019'!AK52/'Tariffs Jan2019'!AI52-'Tariffs Jan2019'!K52)*('Tariffs Jan2019'!Q52/100)*'Tariffs Jan2019'!AI52,('Tariffs Jan2019'!L52-'Tariffs Jan2019'!K52)*('Tariffs Jan2019'!Q52/100)*'Tariffs Jan2019'!AI52))</f>
        <v>0</v>
      </c>
      <c r="H58" s="59">
        <f>IF($C$5*'Tariffs Jan2019'!AK52/'Tariffs Jan2019'!AI52&lt;'Tariffs Jan2019'!L52,0,IF($C$5*'Tariffs Jan2019'!AK52/'Tariffs Jan2019'!AI52&lt;='Tariffs Jan2019'!M52,($C$5*'Tariffs Jan2019'!AK52/'Tariffs Jan2019'!AI52-'Tariffs Jan2019'!L52)*('Tariffs Jan2019'!R52/100)*'Tariffs Jan2019'!AI52,('Tariffs Jan2019'!M52-'Tariffs Jan2019'!L52)*('Tariffs Jan2019'!R52/100)*'Tariffs Jan2019'!AI52))</f>
        <v>0</v>
      </c>
      <c r="I58" s="59">
        <f>IF(($C$5*'Tariffs Jan2019'!AK52/'Tariffs Jan2019'!AI52&gt;'Tariffs Jan2019'!M52),($C$5*'Tariffs Jan2019'!AK52/'Tariffs Jan2019'!AI52-'Tariffs Jan2019'!M52)*'Tariffs Jan2019'!S52/100*'Tariffs Jan2019'!AI52,0)</f>
        <v>299.95799999999997</v>
      </c>
      <c r="J58" s="59">
        <f>IF($C$5*'Tariffs Jan2019'!AL52/'Tariffs Jan2019'!AJ52&gt;='Tariffs Jan2019'!J52,('Tariffs Jan2019'!J52*'Tariffs Jan2019'!U52/100)* 'Tariffs Jan2019'!AJ52,($C$5*'Tariffs Jan2019'!AL52/'Tariffs Jan2019'!AJ52*'Tariffs Jan2019'!U52/100)* 'Tariffs Jan2019'!AJ52)</f>
        <v>356.4</v>
      </c>
      <c r="K58" s="59">
        <f>IF($C$5*'Tariffs Jan2019'!AL52/'Tariffs Jan2019'!AJ52&lt;'Tariffs Jan2019'!J52,0,IF($C$5*'Tariffs Jan2019'!AL52/'Tariffs Jan2019'!AJ52&lt;='Tariffs Jan2019'!K52,($C$5*'Tariffs Jan2019'!AL52/'Tariffs Jan2019'!AJ52-'Tariffs Jan2019'!J52)*('Tariffs Jan2019'!V52/100)*'Tariffs Jan2019'!AJ52,('Tariffs Jan2019'!K52-'Tariffs Jan2019'!J52)*('Tariffs Jan2019'!V52/100)*'Tariffs Jan2019'!AJ52))</f>
        <v>0</v>
      </c>
      <c r="L58" s="59">
        <f>IF($C$5*'Tariffs Jan2019'!AL52/'Tariffs Jan2019'!AJ52&lt;'Tariffs Jan2019'!K52,0,IF($C$5*'Tariffs Jan2019'!AL52/'Tariffs Jan2019'!AJ52&lt;='Tariffs Jan2019'!L52,($C$5*'Tariffs Jan2019'!AL52/'Tariffs Jan2019'!AJ52-'Tariffs Jan2019'!K52)*('Tariffs Jan2019'!W52/100)*'Tariffs Jan2019'!AJ52,('Tariffs Jan2019'!L52-'Tariffs Jan2019'!K52)*('Tariffs Jan2019'!W52/100)*'Tariffs Jan2019'!AJ52))</f>
        <v>0</v>
      </c>
      <c r="M58" s="59">
        <f>IF($C$5*'Tariffs Jan2019'!AL52/'Tariffs Jan2019'!AJ52&lt;'Tariffs Jan2019'!L52,0,IF($C$5*'Tariffs Jan2019'!AL52/'Tariffs Jan2019'!AJ52&lt;='Tariffs Jan2019'!M52,($C$5*'Tariffs Jan2019'!AL52/'Tariffs Jan2019'!AJ52-'Tariffs Jan2019'!L52)*('Tariffs Jan2019'!X52/100)*'Tariffs Jan2019'!AJ52,('Tariffs Jan2019'!M52-'Tariffs Jan2019'!L52)*('Tariffs Jan2019'!X52/100)*'Tariffs Jan2019'!AJ52))</f>
        <v>0</v>
      </c>
      <c r="N58" s="59">
        <f>IF(($C$5*'Tariffs Jan2019'!AL52/'Tariffs Jan2019'!AJ52&gt;'Tariffs Jan2019'!M52),($C$5*'Tariffs Jan2019'!AL52/'Tariffs Jan2019'!AJ52-'Tariffs Jan2019'!M52)*'Tariffs Jan2019'!Y52/100*'Tariffs Jan2019'!AJ52,0)</f>
        <v>599.91599999999994</v>
      </c>
      <c r="O58" s="271">
        <f t="shared" si="0"/>
        <v>1434.4739999999999</v>
      </c>
      <c r="P58" s="59">
        <f t="shared" si="1"/>
        <v>1730.1239999999998</v>
      </c>
      <c r="Q58" s="272">
        <f t="shared" si="2"/>
        <v>1903.1363999999999</v>
      </c>
      <c r="R58" s="40">
        <f>'Tariffs Jan2019'!AN52</f>
        <v>0</v>
      </c>
      <c r="S58" s="40">
        <f>'Tariffs Jan2019'!AO52</f>
        <v>22</v>
      </c>
      <c r="T58" s="40">
        <f>'Tariffs Jan2019'!AP52</f>
        <v>0</v>
      </c>
      <c r="U58" s="40">
        <f>'Tariffs Jan2019'!AQ52</f>
        <v>0</v>
      </c>
      <c r="V58" s="273">
        <f>P58-(O58*S58/100)</f>
        <v>1414.5397199999998</v>
      </c>
      <c r="W58" s="273">
        <f>V58-(O58*U58/100)</f>
        <v>1414.5397199999998</v>
      </c>
      <c r="X58" s="272">
        <f t="shared" si="3"/>
        <v>1555.9936919999998</v>
      </c>
      <c r="Y58" s="272">
        <f t="shared" si="3"/>
        <v>1555.9936919999998</v>
      </c>
      <c r="Z58" s="274">
        <f>'Tariffs Jan2019'!AZ52</f>
        <v>0</v>
      </c>
      <c r="AA58" s="274" t="str">
        <f>'Tariffs Jan2019'!BA52</f>
        <v>n</v>
      </c>
      <c r="AB58" s="275" t="str">
        <f>'Tariffs Jan2019'!BH52</f>
        <v>N</v>
      </c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</row>
    <row r="59" spans="1:40" x14ac:dyDescent="0.15">
      <c r="A59" s="40" t="str">
        <f>'Tariffs Jan2019'!F53</f>
        <v>Lumo Energy</v>
      </c>
      <c r="B59" s="40" t="str">
        <f>'Tariffs Jan2019'!D53</f>
        <v>AGN Central 2</v>
      </c>
      <c r="C59" s="40" t="str">
        <f>'Tariffs Jan2019'!G53</f>
        <v>Value</v>
      </c>
      <c r="D59" s="59">
        <f>365*'Tariffs Jan2019'!H53/100</f>
        <v>237.25</v>
      </c>
      <c r="E59" s="59">
        <f>IF($C$5*'Tariffs Jan2019'!AK53/'Tariffs Jan2019'!AI53&gt;='Tariffs Jan2019'!J53,( 'Tariffs Jan2019'!J53*'Tariffs Jan2019'!O53/100)* 'Tariffs Jan2019'!AI53,($C$5*'Tariffs Jan2019'!AK53/'Tariffs Jan2019'!AI53*'Tariffs Jan2019'!O53/100)* 'Tariffs Jan2019'!AI53)</f>
        <v>82.25</v>
      </c>
      <c r="F59" s="59">
        <f>IF($C$5*'Tariffs Jan2019'!AK53/'Tariffs Jan2019'!AI53&lt;'Tariffs Jan2019'!J53,0,IF($C$5*'Tariffs Jan2019'!AK53/'Tariffs Jan2019'!AI53&lt;='Tariffs Jan2019'!K53,($C$5*'Tariffs Jan2019'!AK53/'Tariffs Jan2019'!AI53-'Tariffs Jan2019'!J53)*('Tariffs Jan2019'!P53/100)*'Tariffs Jan2019'!AI53,('Tariffs Jan2019'!K53-'Tariffs Jan2019'!J53)*('Tariffs Jan2019'!P53/100)*'Tariffs Jan2019'!AI53))</f>
        <v>54.2</v>
      </c>
      <c r="G59" s="59">
        <f>IF($C$5*'Tariffs Jan2019'!AK53/'Tariffs Jan2019'!AI53&lt;'Tariffs Jan2019'!K53,0,IF($C$5*'Tariffs Jan2019'!AK53/'Tariffs Jan2019'!AI53&lt;='Tariffs Jan2019'!L53,($C$5*'Tariffs Jan2019'!AK53/'Tariffs Jan2019'!AI53-'Tariffs Jan2019'!K53)*('Tariffs Jan2019'!Q53/100)*'Tariffs Jan2019'!AI53,('Tariffs Jan2019'!L53-'Tariffs Jan2019'!K53)*('Tariffs Jan2019'!Q53/100)*'Tariffs Jan2019'!AI53))</f>
        <v>0</v>
      </c>
      <c r="H59" s="59">
        <f>IF($C$5*'Tariffs Jan2019'!AK53/'Tariffs Jan2019'!AI53&lt;'Tariffs Jan2019'!L53,0,IF($C$5*'Tariffs Jan2019'!AK53/'Tariffs Jan2019'!AI53&lt;='Tariffs Jan2019'!M53,($C$5*'Tariffs Jan2019'!AK53/'Tariffs Jan2019'!AI53-'Tariffs Jan2019'!L53)*('Tariffs Jan2019'!R53/100)*'Tariffs Jan2019'!AI53,('Tariffs Jan2019'!M53-'Tariffs Jan2019'!L53)*('Tariffs Jan2019'!R53/100)*'Tariffs Jan2019'!AI53))</f>
        <v>0</v>
      </c>
      <c r="I59" s="59">
        <f>IF(($C$5*'Tariffs Jan2019'!AK53/'Tariffs Jan2019'!AI53&gt;'Tariffs Jan2019'!M53),($C$5*'Tariffs Jan2019'!AK53/'Tariffs Jan2019'!AI53-'Tariffs Jan2019'!M53)*'Tariffs Jan2019'!S53/100*'Tariffs Jan2019'!AI53,0)</f>
        <v>269.9622</v>
      </c>
      <c r="J59" s="59">
        <f>IF($C$5*'Tariffs Jan2019'!AL53/'Tariffs Jan2019'!AJ53&gt;='Tariffs Jan2019'!J53,('Tariffs Jan2019'!J53*'Tariffs Jan2019'!U53/100)* 'Tariffs Jan2019'!AJ53,($C$5*'Tariffs Jan2019'!AL53/'Tariffs Jan2019'!AJ53*'Tariffs Jan2019'!U53/100)* 'Tariffs Jan2019'!AJ53)</f>
        <v>164.5</v>
      </c>
      <c r="K59" s="59">
        <f>IF($C$5*'Tariffs Jan2019'!AL53/'Tariffs Jan2019'!AJ53&lt;'Tariffs Jan2019'!J53,0,IF($C$5*'Tariffs Jan2019'!AL53/'Tariffs Jan2019'!AJ53&lt;='Tariffs Jan2019'!K53,($C$5*'Tariffs Jan2019'!AL53/'Tariffs Jan2019'!AJ53-'Tariffs Jan2019'!J53)*('Tariffs Jan2019'!V53/100)*'Tariffs Jan2019'!AJ53,('Tariffs Jan2019'!K53-'Tariffs Jan2019'!J53)*('Tariffs Jan2019'!V53/100)*'Tariffs Jan2019'!AJ53))</f>
        <v>108.4</v>
      </c>
      <c r="L59" s="59">
        <f>IF($C$5*'Tariffs Jan2019'!AL53/'Tariffs Jan2019'!AJ53&lt;'Tariffs Jan2019'!K53,0,IF($C$5*'Tariffs Jan2019'!AL53/'Tariffs Jan2019'!AJ53&lt;='Tariffs Jan2019'!L53,($C$5*'Tariffs Jan2019'!AL53/'Tariffs Jan2019'!AJ53-'Tariffs Jan2019'!K53)*('Tariffs Jan2019'!W53/100)*'Tariffs Jan2019'!AJ53,('Tariffs Jan2019'!L53-'Tariffs Jan2019'!K53)*('Tariffs Jan2019'!W53/100)*'Tariffs Jan2019'!AJ53))</f>
        <v>0</v>
      </c>
      <c r="M59" s="59">
        <f>IF($C$5*'Tariffs Jan2019'!AL53/'Tariffs Jan2019'!AJ53&lt;'Tariffs Jan2019'!L53,0,IF($C$5*'Tariffs Jan2019'!AL53/'Tariffs Jan2019'!AJ53&lt;='Tariffs Jan2019'!M53,($C$5*'Tariffs Jan2019'!AL53/'Tariffs Jan2019'!AJ53-'Tariffs Jan2019'!L53)*('Tariffs Jan2019'!X53/100)*'Tariffs Jan2019'!AJ53,('Tariffs Jan2019'!M53-'Tariffs Jan2019'!L53)*('Tariffs Jan2019'!X53/100)*'Tariffs Jan2019'!AJ53))</f>
        <v>0</v>
      </c>
      <c r="N59" s="59">
        <f>IF(($C$5*'Tariffs Jan2019'!AL53/'Tariffs Jan2019'!AJ53&gt;'Tariffs Jan2019'!M53),($C$5*'Tariffs Jan2019'!AL53/'Tariffs Jan2019'!AJ53-'Tariffs Jan2019'!M53)*'Tariffs Jan2019'!Y53/100*'Tariffs Jan2019'!AJ53,0)</f>
        <v>539.92439999999999</v>
      </c>
      <c r="O59" s="271">
        <f t="shared" si="0"/>
        <v>1219.2366</v>
      </c>
      <c r="P59" s="59">
        <f t="shared" si="1"/>
        <v>1456.4866</v>
      </c>
      <c r="Q59" s="272">
        <f t="shared" si="2"/>
        <v>1602.13526</v>
      </c>
      <c r="R59" s="40">
        <f>'Tariffs Jan2019'!AN53</f>
        <v>0</v>
      </c>
      <c r="S59" s="40">
        <f>'Tariffs Jan2019'!AO53</f>
        <v>0</v>
      </c>
      <c r="T59" s="40">
        <f>'Tariffs Jan2019'!AP53</f>
        <v>3</v>
      </c>
      <c r="U59" s="40">
        <f>'Tariffs Jan2019'!AQ53</f>
        <v>0</v>
      </c>
      <c r="V59" s="273">
        <f t="shared" ref="V59:V67" si="7">P59</f>
        <v>1456.4866</v>
      </c>
      <c r="W59" s="273">
        <f>V59-(P59*T59/100)</f>
        <v>1412.7920019999999</v>
      </c>
      <c r="X59" s="272">
        <f t="shared" si="3"/>
        <v>1602.13526</v>
      </c>
      <c r="Y59" s="272">
        <f t="shared" si="3"/>
        <v>1554.0712022</v>
      </c>
      <c r="Z59" s="274">
        <f>'Tariffs Jan2019'!AZ53</f>
        <v>0</v>
      </c>
      <c r="AA59" s="274" t="str">
        <f>'Tariffs Jan2019'!BA53</f>
        <v>n</v>
      </c>
      <c r="AB59" s="275" t="str">
        <f>'Tariffs Jan2019'!BH53</f>
        <v>N</v>
      </c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</row>
    <row r="60" spans="1:40" x14ac:dyDescent="0.15">
      <c r="A60" s="40" t="str">
        <f>'Tariffs Jan2019'!F54</f>
        <v>Momentum Energy</v>
      </c>
      <c r="B60" s="40" t="str">
        <f>'Tariffs Jan2019'!D54</f>
        <v>AGN Central 2</v>
      </c>
      <c r="C60" s="40" t="str">
        <f>'Tariffs Jan2019'!G54</f>
        <v>Market offer</v>
      </c>
      <c r="D60" s="59">
        <f>365*'Tariffs Jan2019'!H54/100</f>
        <v>288.0215</v>
      </c>
      <c r="E60" s="59">
        <f>IF($C$5*'Tariffs Jan2019'!AK54/'Tariffs Jan2019'!AI54&gt;='Tariffs Jan2019'!J54,( 'Tariffs Jan2019'!J54*'Tariffs Jan2019'!O54/100)* 'Tariffs Jan2019'!AI54,($C$5*'Tariffs Jan2019'!AK54/'Tariffs Jan2019'!AI54*'Tariffs Jan2019'!O54/100)* 'Tariffs Jan2019'!AI54)</f>
        <v>81.295900000000003</v>
      </c>
      <c r="F60" s="59">
        <f>IF($C$5*'Tariffs Jan2019'!AK54/'Tariffs Jan2019'!AI54&lt;'Tariffs Jan2019'!J54,0,IF($C$5*'Tariffs Jan2019'!AK54/'Tariffs Jan2019'!AI54&lt;='Tariffs Jan2019'!K54,($C$5*'Tariffs Jan2019'!AK54/'Tariffs Jan2019'!AI54-'Tariffs Jan2019'!J54)*('Tariffs Jan2019'!P54/100)*'Tariffs Jan2019'!AI54,('Tariffs Jan2019'!K54-'Tariffs Jan2019'!J54)*('Tariffs Jan2019'!P54/100)*'Tariffs Jan2019'!AI54))</f>
        <v>56.747399999999999</v>
      </c>
      <c r="G60" s="59">
        <f>IF($C$5*'Tariffs Jan2019'!AK54/'Tariffs Jan2019'!AI54&lt;'Tariffs Jan2019'!K54,0,IF($C$5*'Tariffs Jan2019'!AK54/'Tariffs Jan2019'!AI54&lt;='Tariffs Jan2019'!L54,($C$5*'Tariffs Jan2019'!AK54/'Tariffs Jan2019'!AI54-'Tariffs Jan2019'!K54)*('Tariffs Jan2019'!Q54/100)*'Tariffs Jan2019'!AI54,('Tariffs Jan2019'!L54-'Tariffs Jan2019'!K54)*('Tariffs Jan2019'!Q54/100)*'Tariffs Jan2019'!AI54))</f>
        <v>0</v>
      </c>
      <c r="H60" s="59">
        <f>IF($C$5*'Tariffs Jan2019'!AK54/'Tariffs Jan2019'!AI54&lt;'Tariffs Jan2019'!L54,0,IF($C$5*'Tariffs Jan2019'!AK54/'Tariffs Jan2019'!AI54&lt;='Tariffs Jan2019'!M54,($C$5*'Tariffs Jan2019'!AK54/'Tariffs Jan2019'!AI54-'Tariffs Jan2019'!L54)*('Tariffs Jan2019'!R54/100)*'Tariffs Jan2019'!AI54,('Tariffs Jan2019'!M54-'Tariffs Jan2019'!L54)*('Tariffs Jan2019'!R54/100)*'Tariffs Jan2019'!AI54))</f>
        <v>0</v>
      </c>
      <c r="I60" s="59">
        <f>IF(($C$5*'Tariffs Jan2019'!AK54/'Tariffs Jan2019'!AI54&gt;'Tariffs Jan2019'!M54),($C$5*'Tariffs Jan2019'!AK54/'Tariffs Jan2019'!AI54-'Tariffs Jan2019'!M54)*'Tariffs Jan2019'!S54/100*'Tariffs Jan2019'!AI54,0)</f>
        <v>273.41171699999995</v>
      </c>
      <c r="J60" s="59">
        <f>IF($C$5*'Tariffs Jan2019'!AL54/'Tariffs Jan2019'!AJ54&gt;='Tariffs Jan2019'!J54,('Tariffs Jan2019'!J54*'Tariffs Jan2019'!U54/100)* 'Tariffs Jan2019'!AJ54,($C$5*'Tariffs Jan2019'!AL54/'Tariffs Jan2019'!AJ54*'Tariffs Jan2019'!U54/100)* 'Tariffs Jan2019'!AJ54)</f>
        <v>147.52360000000002</v>
      </c>
      <c r="K60" s="59">
        <f>IF($C$5*'Tariffs Jan2019'!AL54/'Tariffs Jan2019'!AJ54&lt;'Tariffs Jan2019'!J54,0,IF($C$5*'Tariffs Jan2019'!AL54/'Tariffs Jan2019'!AJ54&lt;='Tariffs Jan2019'!K54,($C$5*'Tariffs Jan2019'!AL54/'Tariffs Jan2019'!AJ54-'Tariffs Jan2019'!J54)*('Tariffs Jan2019'!V54/100)*'Tariffs Jan2019'!AJ54,('Tariffs Jan2019'!K54-'Tariffs Jan2019'!J54)*('Tariffs Jan2019'!V54/100)*'Tariffs Jan2019'!AJ54))</f>
        <v>102.6006</v>
      </c>
      <c r="L60" s="59">
        <f>IF($C$5*'Tariffs Jan2019'!AL54/'Tariffs Jan2019'!AJ54&lt;'Tariffs Jan2019'!K54,0,IF($C$5*'Tariffs Jan2019'!AL54/'Tariffs Jan2019'!AJ54&lt;='Tariffs Jan2019'!L54,($C$5*'Tariffs Jan2019'!AL54/'Tariffs Jan2019'!AJ54-'Tariffs Jan2019'!K54)*('Tariffs Jan2019'!W54/100)*'Tariffs Jan2019'!AJ54,('Tariffs Jan2019'!L54-'Tariffs Jan2019'!K54)*('Tariffs Jan2019'!W54/100)*'Tariffs Jan2019'!AJ54))</f>
        <v>0</v>
      </c>
      <c r="M60" s="59">
        <f>IF($C$5*'Tariffs Jan2019'!AL54/'Tariffs Jan2019'!AJ54&lt;'Tariffs Jan2019'!L54,0,IF($C$5*'Tariffs Jan2019'!AL54/'Tariffs Jan2019'!AJ54&lt;='Tariffs Jan2019'!M54,($C$5*'Tariffs Jan2019'!AL54/'Tariffs Jan2019'!AJ54-'Tariffs Jan2019'!L54)*('Tariffs Jan2019'!X54/100)*'Tariffs Jan2019'!AJ54,('Tariffs Jan2019'!M54-'Tariffs Jan2019'!L54)*('Tariffs Jan2019'!X54/100)*'Tariffs Jan2019'!AJ54))</f>
        <v>0</v>
      </c>
      <c r="N60" s="59">
        <f>IF(($C$5*'Tariffs Jan2019'!AL54/'Tariffs Jan2019'!AJ54&gt;'Tariffs Jan2019'!M54),($C$5*'Tariffs Jan2019'!AL54/'Tariffs Jan2019'!AJ54-'Tariffs Jan2019'!M54)*'Tariffs Jan2019'!Y54/100*'Tariffs Jan2019'!AJ54,0)</f>
        <v>492.23107799999991</v>
      </c>
      <c r="O60" s="271">
        <f t="shared" si="0"/>
        <v>1153.8102949999998</v>
      </c>
      <c r="P60" s="59">
        <f t="shared" si="1"/>
        <v>1441.8317949999998</v>
      </c>
      <c r="Q60" s="272">
        <f t="shared" si="2"/>
        <v>1586.0149744999999</v>
      </c>
      <c r="R60" s="40">
        <f>'Tariffs Jan2019'!AN54</f>
        <v>0</v>
      </c>
      <c r="S60" s="40">
        <f>'Tariffs Jan2019'!AO54</f>
        <v>0</v>
      </c>
      <c r="T60" s="40">
        <f>'Tariffs Jan2019'!AP54</f>
        <v>0</v>
      </c>
      <c r="U60" s="40">
        <f>'Tariffs Jan2019'!AQ54</f>
        <v>0</v>
      </c>
      <c r="V60" s="273">
        <f t="shared" si="7"/>
        <v>1441.8317949999998</v>
      </c>
      <c r="W60" s="273">
        <f>V60</f>
        <v>1441.8317949999998</v>
      </c>
      <c r="X60" s="272">
        <f t="shared" si="3"/>
        <v>1586.0149744999999</v>
      </c>
      <c r="Y60" s="272">
        <f t="shared" si="3"/>
        <v>1586.0149744999999</v>
      </c>
      <c r="Z60" s="274">
        <f>'Tariffs Jan2019'!AZ54</f>
        <v>0</v>
      </c>
      <c r="AA60" s="274" t="str">
        <f>'Tariffs Jan2019'!BA54</f>
        <v>n</v>
      </c>
      <c r="AB60" s="275" t="str">
        <f>'Tariffs Jan2019'!BH54</f>
        <v>Y</v>
      </c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</row>
    <row r="61" spans="1:40" x14ac:dyDescent="0.15">
      <c r="A61" s="40" t="str">
        <f>'Tariffs Jan2019'!F55</f>
        <v>Origin Energy</v>
      </c>
      <c r="B61" s="40" t="str">
        <f>'Tariffs Jan2019'!D55</f>
        <v>AGN Central 2</v>
      </c>
      <c r="C61" s="40" t="str">
        <f>'Tariffs Jan2019'!G55</f>
        <v>Saver</v>
      </c>
      <c r="D61" s="59">
        <f>365*'Tariffs Jan2019'!H55/100</f>
        <v>251.85</v>
      </c>
      <c r="E61" s="59">
        <f>IF($C$5*'Tariffs Jan2019'!AK55/'Tariffs Jan2019'!AI55&gt;='Tariffs Jan2019'!J55,( 'Tariffs Jan2019'!J55*'Tariffs Jan2019'!O55/100)* 'Tariffs Jan2019'!AI55,($C$5*'Tariffs Jan2019'!AK55/'Tariffs Jan2019'!AI55*'Tariffs Jan2019'!O55/100)* 'Tariffs Jan2019'!AI55)</f>
        <v>176</v>
      </c>
      <c r="F61" s="59">
        <f>IF($C$5*'Tariffs Jan2019'!AK55/'Tariffs Jan2019'!AI55&lt;'Tariffs Jan2019'!J55,0,IF($C$5*'Tariffs Jan2019'!AK55/'Tariffs Jan2019'!AI55&lt;='Tariffs Jan2019'!K55,($C$5*'Tariffs Jan2019'!AK55/'Tariffs Jan2019'!AI55-'Tariffs Jan2019'!J55)*('Tariffs Jan2019'!P55/100)*'Tariffs Jan2019'!AI55,('Tariffs Jan2019'!K55-'Tariffs Jan2019'!J55)*('Tariffs Jan2019'!P55/100)*'Tariffs Jan2019'!AI55))</f>
        <v>272.95589999999999</v>
      </c>
      <c r="G61" s="59">
        <f>IF($C$5*'Tariffs Jan2019'!AK55/'Tariffs Jan2019'!AI55&lt;'Tariffs Jan2019'!K55,0,IF($C$5*'Tariffs Jan2019'!AK55/'Tariffs Jan2019'!AI55&lt;='Tariffs Jan2019'!L55,($C$5*'Tariffs Jan2019'!AK55/'Tariffs Jan2019'!AI55-'Tariffs Jan2019'!K55)*('Tariffs Jan2019'!Q55/100)*'Tariffs Jan2019'!AI55,('Tariffs Jan2019'!L55-'Tariffs Jan2019'!K55)*('Tariffs Jan2019'!Q55/100)*'Tariffs Jan2019'!AI55))</f>
        <v>0</v>
      </c>
      <c r="H61" s="59">
        <f>IF($C$5*'Tariffs Jan2019'!AK55/'Tariffs Jan2019'!AI55&lt;'Tariffs Jan2019'!L55,0,IF($C$5*'Tariffs Jan2019'!AK55/'Tariffs Jan2019'!AI55&lt;='Tariffs Jan2019'!M55,($C$5*'Tariffs Jan2019'!AK55/'Tariffs Jan2019'!AI55-'Tariffs Jan2019'!L55)*('Tariffs Jan2019'!R55/100)*'Tariffs Jan2019'!AI55,('Tariffs Jan2019'!M55-'Tariffs Jan2019'!L55)*('Tariffs Jan2019'!R55/100)*'Tariffs Jan2019'!AI55))</f>
        <v>0</v>
      </c>
      <c r="I61" s="59">
        <f>IF(($C$5*'Tariffs Jan2019'!AK55/'Tariffs Jan2019'!AI55&gt;'Tariffs Jan2019'!M55),($C$5*'Tariffs Jan2019'!AK55/'Tariffs Jan2019'!AI55-'Tariffs Jan2019'!M55)*'Tariffs Jan2019'!S55/100*'Tariffs Jan2019'!AI55,0)</f>
        <v>0</v>
      </c>
      <c r="J61" s="59">
        <f>IF($C$5*'Tariffs Jan2019'!AL55/'Tariffs Jan2019'!AJ55&gt;='Tariffs Jan2019'!J55,('Tariffs Jan2019'!J55*'Tariffs Jan2019'!U55/100)* 'Tariffs Jan2019'!AJ55,($C$5*'Tariffs Jan2019'!AL55/'Tariffs Jan2019'!AJ55*'Tariffs Jan2019'!U55/100)* 'Tariffs Jan2019'!AJ55)</f>
        <v>352</v>
      </c>
      <c r="K61" s="59">
        <f>IF($C$5*'Tariffs Jan2019'!AL55/'Tariffs Jan2019'!AJ55&lt;'Tariffs Jan2019'!J55,0,IF($C$5*'Tariffs Jan2019'!AL55/'Tariffs Jan2019'!AJ55&lt;='Tariffs Jan2019'!K55,($C$5*'Tariffs Jan2019'!AL55/'Tariffs Jan2019'!AJ55-'Tariffs Jan2019'!J55)*('Tariffs Jan2019'!V55/100)*'Tariffs Jan2019'!AJ55,('Tariffs Jan2019'!K55-'Tariffs Jan2019'!J55)*('Tariffs Jan2019'!V55/100)*'Tariffs Jan2019'!AJ55))</f>
        <v>545.91179999999997</v>
      </c>
      <c r="L61" s="59">
        <f>IF($C$5*'Tariffs Jan2019'!AL55/'Tariffs Jan2019'!AJ55&lt;'Tariffs Jan2019'!K55,0,IF($C$5*'Tariffs Jan2019'!AL55/'Tariffs Jan2019'!AJ55&lt;='Tariffs Jan2019'!L55,($C$5*'Tariffs Jan2019'!AL55/'Tariffs Jan2019'!AJ55-'Tariffs Jan2019'!K55)*('Tariffs Jan2019'!W55/100)*'Tariffs Jan2019'!AJ55,('Tariffs Jan2019'!L55-'Tariffs Jan2019'!K55)*('Tariffs Jan2019'!W55/100)*'Tariffs Jan2019'!AJ55))</f>
        <v>0</v>
      </c>
      <c r="M61" s="59">
        <f>IF($C$5*'Tariffs Jan2019'!AL55/'Tariffs Jan2019'!AJ55&lt;'Tariffs Jan2019'!L55,0,IF($C$5*'Tariffs Jan2019'!AL55/'Tariffs Jan2019'!AJ55&lt;='Tariffs Jan2019'!M55,($C$5*'Tariffs Jan2019'!AL55/'Tariffs Jan2019'!AJ55-'Tariffs Jan2019'!L55)*('Tariffs Jan2019'!X55/100)*'Tariffs Jan2019'!AJ55,('Tariffs Jan2019'!M55-'Tariffs Jan2019'!L55)*('Tariffs Jan2019'!X55/100)*'Tariffs Jan2019'!AJ55))</f>
        <v>0</v>
      </c>
      <c r="N61" s="59">
        <f>IF(($C$5*'Tariffs Jan2019'!AL55/'Tariffs Jan2019'!AJ55&gt;'Tariffs Jan2019'!M55),($C$5*'Tariffs Jan2019'!AL55/'Tariffs Jan2019'!AJ55-'Tariffs Jan2019'!M55)*'Tariffs Jan2019'!Y55/100*'Tariffs Jan2019'!AJ55,0)</f>
        <v>0</v>
      </c>
      <c r="O61" s="271">
        <f t="shared" si="0"/>
        <v>1346.8676999999998</v>
      </c>
      <c r="P61" s="59">
        <f t="shared" si="1"/>
        <v>1598.7176999999997</v>
      </c>
      <c r="Q61" s="272">
        <f t="shared" si="2"/>
        <v>1758.5894699999999</v>
      </c>
      <c r="R61" s="40">
        <f>'Tariffs Jan2019'!AN55</f>
        <v>0</v>
      </c>
      <c r="S61" s="40">
        <f>'Tariffs Jan2019'!AO55</f>
        <v>0</v>
      </c>
      <c r="T61" s="40">
        <f>'Tariffs Jan2019'!AP55</f>
        <v>0</v>
      </c>
      <c r="U61" s="40">
        <f>'Tariffs Jan2019'!AQ55</f>
        <v>13</v>
      </c>
      <c r="V61" s="273">
        <f t="shared" si="7"/>
        <v>1598.7176999999997</v>
      </c>
      <c r="W61" s="273">
        <f>V61-(O61*U61/100)</f>
        <v>1423.6248989999997</v>
      </c>
      <c r="X61" s="272">
        <f t="shared" si="3"/>
        <v>1758.5894699999999</v>
      </c>
      <c r="Y61" s="272">
        <f t="shared" si="3"/>
        <v>1565.9873888999998</v>
      </c>
      <c r="Z61" s="274">
        <f>'Tariffs Jan2019'!AZ55</f>
        <v>0</v>
      </c>
      <c r="AA61" s="274" t="str">
        <f>'Tariffs Jan2019'!BA55</f>
        <v>n</v>
      </c>
      <c r="AB61" s="275" t="str">
        <f>'Tariffs Jan2019'!BH55</f>
        <v>N</v>
      </c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</row>
    <row r="62" spans="1:40" x14ac:dyDescent="0.15">
      <c r="A62" s="40" t="str">
        <f>'Tariffs Jan2019'!F56</f>
        <v>Red Energy</v>
      </c>
      <c r="B62" s="40" t="str">
        <f>'Tariffs Jan2019'!D56</f>
        <v>AGN Central 2</v>
      </c>
      <c r="C62" s="40" t="str">
        <f>'Tariffs Jan2019'!G56</f>
        <v>Easy Saver</v>
      </c>
      <c r="D62" s="59">
        <f>365*'Tariffs Jan2019'!H56/100</f>
        <v>255.5</v>
      </c>
      <c r="E62" s="59">
        <f>IF($C$5*'Tariffs Jan2019'!AK56/'Tariffs Jan2019'!AI56&gt;='Tariffs Jan2019'!J56,( 'Tariffs Jan2019'!J56*'Tariffs Jan2019'!O56/100)* 'Tariffs Jan2019'!AI56,($C$5*'Tariffs Jan2019'!AK56/'Tariffs Jan2019'!AI56*'Tariffs Jan2019'!O56/100)* 'Tariffs Jan2019'!AI56)</f>
        <v>135</v>
      </c>
      <c r="F62" s="59">
        <f>IF($C$5*'Tariffs Jan2019'!AK56/'Tariffs Jan2019'!AI56&lt;'Tariffs Jan2019'!J56,0,IF($C$5*'Tariffs Jan2019'!AK56/'Tariffs Jan2019'!AI56&lt;='Tariffs Jan2019'!K56,($C$5*'Tariffs Jan2019'!AK56/'Tariffs Jan2019'!AI56-'Tariffs Jan2019'!J56)*('Tariffs Jan2019'!S56/100)*'Tariffs Jan2019'!AI56,('Tariffs Jan2019'!K56-'Tariffs Jan2019'!J56)*('Tariffs Jan2019'!S56/100)*'Tariffs Jan2019'!AI56))</f>
        <v>0</v>
      </c>
      <c r="G62" s="59">
        <f>IF($C$5*'Tariffs Jan2019'!AK56/'Tariffs Jan2019'!AI56&lt;'Tariffs Jan2019'!K56,0,IF($C$5*'Tariffs Jan2019'!AK56/'Tariffs Jan2019'!AI56&lt;='Tariffs Jan2019'!L56,($C$5*'Tariffs Jan2019'!AK56/'Tariffs Jan2019'!AI56-'Tariffs Jan2019'!K56)*('Tariffs Jan2019'!Q56/100)*'Tariffs Jan2019'!AI56,('Tariffs Jan2019'!L56-'Tariffs Jan2019'!K56)*('Tariffs Jan2019'!Q56/100)*'Tariffs Jan2019'!AI56))</f>
        <v>0</v>
      </c>
      <c r="H62" s="59">
        <f>IF($C$5*'Tariffs Jan2019'!AK56/'Tariffs Jan2019'!AI56&lt;'Tariffs Jan2019'!L56,0,IF($C$5*'Tariffs Jan2019'!AK56/'Tariffs Jan2019'!AI56&lt;='Tariffs Jan2019'!M56,($C$5*'Tariffs Jan2019'!AK56/'Tariffs Jan2019'!AI56-'Tariffs Jan2019'!L56)*('Tariffs Jan2019'!R56/100)*'Tariffs Jan2019'!AI56,('Tariffs Jan2019'!M56-'Tariffs Jan2019'!L56)*('Tariffs Jan2019'!R56/100)*'Tariffs Jan2019'!AI56))</f>
        <v>0</v>
      </c>
      <c r="I62" s="59">
        <f>IF(($C$5*'Tariffs Jan2019'!AK56/'Tariffs Jan2019'!AI56&gt;'Tariffs Jan2019'!M56),($C$5*'Tariffs Jan2019'!AK56/'Tariffs Jan2019'!AI56-'Tariffs Jan2019'!M56)*'Tariffs Jan2019'!S56/100*'Tariffs Jan2019'!AI56,0)</f>
        <v>262.46324999999996</v>
      </c>
      <c r="J62" s="59">
        <f>IF($C$5*'Tariffs Jan2019'!AL56/'Tariffs Jan2019'!AJ56&gt;='Tariffs Jan2019'!J56,('Tariffs Jan2019'!J56*'Tariffs Jan2019'!U56/100)* 'Tariffs Jan2019'!AJ56,($C$5*'Tariffs Jan2019'!AL56/'Tariffs Jan2019'!AJ56*'Tariffs Jan2019'!U56/100)* 'Tariffs Jan2019'!AJ56)</f>
        <v>270</v>
      </c>
      <c r="K62" s="59">
        <f>IF($C$5*'Tariffs Jan2019'!AL56/'Tariffs Jan2019'!AJ56&lt;'Tariffs Jan2019'!J56,0,IF($C$5*'Tariffs Jan2019'!AL56/'Tariffs Jan2019'!AJ56&lt;='Tariffs Jan2019'!K56,($C$5*'Tariffs Jan2019'!AL56/'Tariffs Jan2019'!AJ56-'Tariffs Jan2019'!J56)*('Tariffs Jan2019'!V56/100)*'Tariffs Jan2019'!AJ56,('Tariffs Jan2019'!K56-'Tariffs Jan2019'!J56)*('Tariffs Jan2019'!V56/100)*'Tariffs Jan2019'!AJ56))</f>
        <v>0</v>
      </c>
      <c r="L62" s="59">
        <f>IF($C$5*'Tariffs Jan2019'!AL56/'Tariffs Jan2019'!AJ56&lt;'Tariffs Jan2019'!K56,0,IF($C$5*'Tariffs Jan2019'!AL56/'Tariffs Jan2019'!AJ56&lt;='Tariffs Jan2019'!L56,($C$5*'Tariffs Jan2019'!AL56/'Tariffs Jan2019'!AJ56-'Tariffs Jan2019'!K56)*('Tariffs Jan2019'!W56/100)*'Tariffs Jan2019'!AJ56,('Tariffs Jan2019'!L56-'Tariffs Jan2019'!K56)*('Tariffs Jan2019'!W56/100)*'Tariffs Jan2019'!AJ56))</f>
        <v>0</v>
      </c>
      <c r="M62" s="59">
        <f>IF($C$5*'Tariffs Jan2019'!AL56/'Tariffs Jan2019'!AJ56&lt;'Tariffs Jan2019'!L56,0,IF($C$5*'Tariffs Jan2019'!AL56/'Tariffs Jan2019'!AJ56&lt;='Tariffs Jan2019'!M56,($C$5*'Tariffs Jan2019'!AL56/'Tariffs Jan2019'!AJ56-'Tariffs Jan2019'!L56)*('Tariffs Jan2019'!X56/100)*'Tariffs Jan2019'!AJ56,('Tariffs Jan2019'!M56-'Tariffs Jan2019'!L56)*('Tariffs Jan2019'!X56/100)*'Tariffs Jan2019'!AJ56))</f>
        <v>0</v>
      </c>
      <c r="N62" s="59">
        <f>IF(($C$5*'Tariffs Jan2019'!AL56/'Tariffs Jan2019'!AJ56&gt;'Tariffs Jan2019'!M56),($C$5*'Tariffs Jan2019'!AL56/'Tariffs Jan2019'!AJ56-'Tariffs Jan2019'!M56)*'Tariffs Jan2019'!Y56/100*'Tariffs Jan2019'!AJ56,0)</f>
        <v>524.92649999999992</v>
      </c>
      <c r="O62" s="271">
        <f t="shared" si="0"/>
        <v>1192.3897499999998</v>
      </c>
      <c r="P62" s="59">
        <f t="shared" si="1"/>
        <v>1447.8897499999998</v>
      </c>
      <c r="Q62" s="272">
        <f t="shared" si="2"/>
        <v>1592.678725</v>
      </c>
      <c r="R62" s="40">
        <f>'Tariffs Jan2019'!AN56</f>
        <v>0</v>
      </c>
      <c r="S62" s="40">
        <f>'Tariffs Jan2019'!AO56</f>
        <v>0</v>
      </c>
      <c r="T62" s="40">
        <f>'Tariffs Jan2019'!AP56</f>
        <v>10</v>
      </c>
      <c r="U62" s="40">
        <f>'Tariffs Jan2019'!AQ56</f>
        <v>0</v>
      </c>
      <c r="V62" s="273">
        <f t="shared" si="7"/>
        <v>1447.8897499999998</v>
      </c>
      <c r="W62" s="273">
        <f>V62-(P62*T62/100)</f>
        <v>1303.1007749999999</v>
      </c>
      <c r="X62" s="272">
        <f t="shared" si="3"/>
        <v>1592.678725</v>
      </c>
      <c r="Y62" s="272">
        <f t="shared" si="3"/>
        <v>1433.4108524999999</v>
      </c>
      <c r="Z62" s="274">
        <f>'Tariffs Jan2019'!AZ56</f>
        <v>0</v>
      </c>
      <c r="AA62" s="274" t="str">
        <f>'Tariffs Jan2019'!BA56</f>
        <v>n</v>
      </c>
      <c r="AB62" s="275" t="str">
        <f>'Tariffs Jan2019'!BH56</f>
        <v>N</v>
      </c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</row>
    <row r="63" spans="1:40" x14ac:dyDescent="0.15">
      <c r="A63" s="40" t="str">
        <f>'Tariffs Jan2019'!F57</f>
        <v>Simply Energy</v>
      </c>
      <c r="B63" s="40" t="str">
        <f>'Tariffs Jan2019'!D57</f>
        <v>AGN Central 2</v>
      </c>
      <c r="C63" s="40" t="str">
        <f>'Tariffs Jan2019'!G57</f>
        <v>Plus</v>
      </c>
      <c r="D63" s="59">
        <f>365*'Tariffs Jan2019'!H57/100</f>
        <v>259.55150000000003</v>
      </c>
      <c r="E63" s="59">
        <f>IF($C$5*'Tariffs Jan2019'!AK57/'Tariffs Jan2019'!AI57&gt;='Tariffs Jan2019'!J57,( 'Tariffs Jan2019'!J57*'Tariffs Jan2019'!O57/100)* 'Tariffs Jan2019'!AI57,($C$5*'Tariffs Jan2019'!AK57/'Tariffs Jan2019'!AI57*'Tariffs Jan2019'!O57/100)* 'Tariffs Jan2019'!AI57)</f>
        <v>102.319</v>
      </c>
      <c r="F63" s="59">
        <f>IF($C$5*'Tariffs Jan2019'!AK57/'Tariffs Jan2019'!AI57&lt;'Tariffs Jan2019'!J57,0,IF($C$5*'Tariffs Jan2019'!AK57/'Tariffs Jan2019'!AI57&lt;='Tariffs Jan2019'!K57,($C$5*'Tariffs Jan2019'!AK57/'Tariffs Jan2019'!AI57-'Tariffs Jan2019'!J57)*('Tariffs Jan2019'!P57/100)*'Tariffs Jan2019'!AI57,('Tariffs Jan2019'!K57-'Tariffs Jan2019'!J57)*('Tariffs Jan2019'!P57/100)*'Tariffs Jan2019'!AI57))</f>
        <v>71.00200000000001</v>
      </c>
      <c r="G63" s="59">
        <f>IF($C$5*'Tariffs Jan2019'!AK57/'Tariffs Jan2019'!AI57&lt;'Tariffs Jan2019'!K57,0,IF($C$5*'Tariffs Jan2019'!AK57/'Tariffs Jan2019'!AI57&lt;='Tariffs Jan2019'!L57,($C$5*'Tariffs Jan2019'!AK57/'Tariffs Jan2019'!AI57-'Tariffs Jan2019'!K57)*('Tariffs Jan2019'!Q57/100)*'Tariffs Jan2019'!AI57,('Tariffs Jan2019'!L57-'Tariffs Jan2019'!K57)*('Tariffs Jan2019'!Q57/100)*'Tariffs Jan2019'!AI57))</f>
        <v>0</v>
      </c>
      <c r="H63" s="59">
        <f>IF($C$5*'Tariffs Jan2019'!AK57/'Tariffs Jan2019'!AI57&lt;'Tariffs Jan2019'!L57,0,IF($C$5*'Tariffs Jan2019'!AK57/'Tariffs Jan2019'!AI57&lt;='Tariffs Jan2019'!M57,($C$5*'Tariffs Jan2019'!AK57/'Tariffs Jan2019'!AI57-'Tariffs Jan2019'!L57)*('Tariffs Jan2019'!R57/100)*'Tariffs Jan2019'!AI57,('Tariffs Jan2019'!M57-'Tariffs Jan2019'!L57)*('Tariffs Jan2019'!R57/100)*'Tariffs Jan2019'!AI57))</f>
        <v>0</v>
      </c>
      <c r="I63" s="59">
        <f>IF(($C$5*'Tariffs Jan2019'!AK57/'Tariffs Jan2019'!AI57&gt;'Tariffs Jan2019'!M57),($C$5*'Tariffs Jan2019'!AK57/'Tariffs Jan2019'!AI57-'Tariffs Jan2019'!M57)*'Tariffs Jan2019'!S57/100*'Tariffs Jan2019'!AI57,0)</f>
        <v>328.45400999999998</v>
      </c>
      <c r="J63" s="59">
        <f>IF($C$5*'Tariffs Jan2019'!AL57/'Tariffs Jan2019'!AJ57&gt;='Tariffs Jan2019'!J57,('Tariffs Jan2019'!J57*'Tariffs Jan2019'!U57/100)* 'Tariffs Jan2019'!AJ57,($C$5*'Tariffs Jan2019'!AL57/'Tariffs Jan2019'!AJ57*'Tariffs Jan2019'!U57/100)* 'Tariffs Jan2019'!AJ57)</f>
        <v>204.63800000000001</v>
      </c>
      <c r="K63" s="59">
        <f>IF($C$5*'Tariffs Jan2019'!AL57/'Tariffs Jan2019'!AJ57&lt;'Tariffs Jan2019'!J57,0,IF($C$5*'Tariffs Jan2019'!AL57/'Tariffs Jan2019'!AJ57&lt;='Tariffs Jan2019'!K57,($C$5*'Tariffs Jan2019'!AL57/'Tariffs Jan2019'!AJ57-'Tariffs Jan2019'!J57)*('Tariffs Jan2019'!V57/100)*'Tariffs Jan2019'!AJ57,('Tariffs Jan2019'!K57-'Tariffs Jan2019'!J57)*('Tariffs Jan2019'!V57/100)*'Tariffs Jan2019'!AJ57))</f>
        <v>142.00400000000002</v>
      </c>
      <c r="L63" s="59">
        <f>IF($C$5*'Tariffs Jan2019'!AL57/'Tariffs Jan2019'!AJ57&lt;'Tariffs Jan2019'!K57,0,IF($C$5*'Tariffs Jan2019'!AL57/'Tariffs Jan2019'!AJ57&lt;='Tariffs Jan2019'!L57,($C$5*'Tariffs Jan2019'!AL57/'Tariffs Jan2019'!AJ57-'Tariffs Jan2019'!K57)*('Tariffs Jan2019'!W57/100)*'Tariffs Jan2019'!AJ57,('Tariffs Jan2019'!L57-'Tariffs Jan2019'!K57)*('Tariffs Jan2019'!W57/100)*'Tariffs Jan2019'!AJ57))</f>
        <v>0</v>
      </c>
      <c r="M63" s="59">
        <f>IF($C$5*'Tariffs Jan2019'!AL57/'Tariffs Jan2019'!AJ57&lt;'Tariffs Jan2019'!L57,0,IF($C$5*'Tariffs Jan2019'!AL57/'Tariffs Jan2019'!AJ57&lt;='Tariffs Jan2019'!M57,($C$5*'Tariffs Jan2019'!AL57/'Tariffs Jan2019'!AJ57-'Tariffs Jan2019'!L57)*('Tariffs Jan2019'!X57/100)*'Tariffs Jan2019'!AJ57,('Tariffs Jan2019'!M57-'Tariffs Jan2019'!L57)*('Tariffs Jan2019'!X57/100)*'Tariffs Jan2019'!AJ57))</f>
        <v>0</v>
      </c>
      <c r="N63" s="59">
        <f>IF(($C$5*'Tariffs Jan2019'!AL57/'Tariffs Jan2019'!AJ57&gt;'Tariffs Jan2019'!M57),($C$5*'Tariffs Jan2019'!AL57/'Tariffs Jan2019'!AJ57-'Tariffs Jan2019'!M57)*'Tariffs Jan2019'!Y57/100*'Tariffs Jan2019'!AJ57,0)</f>
        <v>656.90801999999996</v>
      </c>
      <c r="O63" s="271">
        <f t="shared" si="0"/>
        <v>1505.32503</v>
      </c>
      <c r="P63" s="59">
        <f t="shared" si="1"/>
        <v>1764.87653</v>
      </c>
      <c r="Q63" s="272">
        <f t="shared" si="2"/>
        <v>1941.3641830000001</v>
      </c>
      <c r="R63" s="40">
        <f>'Tariffs Jan2019'!AN57</f>
        <v>0</v>
      </c>
      <c r="S63" s="40">
        <f>'Tariffs Jan2019'!AO57</f>
        <v>0</v>
      </c>
      <c r="T63" s="40">
        <f>'Tariffs Jan2019'!AP57</f>
        <v>0</v>
      </c>
      <c r="U63" s="40">
        <f>'Tariffs Jan2019'!AQ57</f>
        <v>26</v>
      </c>
      <c r="V63" s="273">
        <f t="shared" si="7"/>
        <v>1764.87653</v>
      </c>
      <c r="W63" s="273">
        <f>V63-(O63*U63/100)</f>
        <v>1373.4920222000001</v>
      </c>
      <c r="X63" s="272">
        <f t="shared" si="3"/>
        <v>1941.3641830000001</v>
      </c>
      <c r="Y63" s="272">
        <f t="shared" si="3"/>
        <v>1510.8412244200001</v>
      </c>
      <c r="Z63" s="274">
        <f>'Tariffs Jan2019'!AZ57</f>
        <v>0</v>
      </c>
      <c r="AA63" s="274" t="str">
        <f>'Tariffs Jan2019'!BA57</f>
        <v>n</v>
      </c>
      <c r="AB63" s="275" t="str">
        <f>'Tariffs Jan2019'!BH57</f>
        <v>Y</v>
      </c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</row>
    <row r="64" spans="1:40" x14ac:dyDescent="0.15">
      <c r="A64" s="40" t="str">
        <f>'Tariffs Jan2019'!F58</f>
        <v>Sumo Power</v>
      </c>
      <c r="B64" s="40" t="str">
        <f>'Tariffs Jan2019'!D58</f>
        <v>AGN Central 2</v>
      </c>
      <c r="C64" s="40" t="str">
        <f>'Tariffs Jan2019'!G58</f>
        <v>Pay on time (max discount)</v>
      </c>
      <c r="D64" s="59">
        <f>365*'Tariffs Jan2019'!H58/100</f>
        <v>255.5</v>
      </c>
      <c r="E64" s="59">
        <f>IF($C$5*'Tariffs Jan2019'!AK58/'Tariffs Jan2019'!AI58&gt;='Tariffs Jan2019'!J58,( 'Tariffs Jan2019'!J58*'Tariffs Jan2019'!O58/100)* 'Tariffs Jan2019'!AI58,($C$5*'Tariffs Jan2019'!AK58/'Tariffs Jan2019'!AI58*'Tariffs Jan2019'!O58/100)* 'Tariffs Jan2019'!AI58)</f>
        <v>100.87139999999999</v>
      </c>
      <c r="F64" s="59">
        <f>IF($C$5*'Tariffs Jan2019'!AK58/'Tariffs Jan2019'!AI58&lt;'Tariffs Jan2019'!J58,0,IF($C$5*'Tariffs Jan2019'!AK58/'Tariffs Jan2019'!AI58&lt;='Tariffs Jan2019'!K58,($C$5*'Tariffs Jan2019'!AK58/'Tariffs Jan2019'!AI58-'Tariffs Jan2019'!J58)*('Tariffs Jan2019'!S58/100)*'Tariffs Jan2019'!AI58,('Tariffs Jan2019'!K58-'Tariffs Jan2019'!J58)*('Tariffs Jan2019'!S58/100)*'Tariffs Jan2019'!AI58))</f>
        <v>53.657999999999994</v>
      </c>
      <c r="G64" s="59">
        <f>IF($C$5*'Tariffs Jan2019'!AK58/'Tariffs Jan2019'!AI58&lt;'Tariffs Jan2019'!K58,0,IF($C$5*'Tariffs Jan2019'!AK58/'Tariffs Jan2019'!AI58&lt;='Tariffs Jan2019'!L58,($C$5*'Tariffs Jan2019'!AK58/'Tariffs Jan2019'!AI58-'Tariffs Jan2019'!K58)*('Tariffs Jan2019'!Q58/100)*'Tariffs Jan2019'!AI58,('Tariffs Jan2019'!L58-'Tariffs Jan2019'!K58)*('Tariffs Jan2019'!Q58/100)*'Tariffs Jan2019'!AI58))</f>
        <v>0</v>
      </c>
      <c r="H64" s="59">
        <f>IF($C$5*'Tariffs Jan2019'!AK58/'Tariffs Jan2019'!AI58&lt;'Tariffs Jan2019'!L58,0,IF($C$5*'Tariffs Jan2019'!AK58/'Tariffs Jan2019'!AI58&lt;='Tariffs Jan2019'!M58,($C$5*'Tariffs Jan2019'!AK58/'Tariffs Jan2019'!AI58-'Tariffs Jan2019'!L58)*('Tariffs Jan2019'!R58/100)*'Tariffs Jan2019'!AI58,('Tariffs Jan2019'!M58-'Tariffs Jan2019'!L58)*('Tariffs Jan2019'!R58/100)*'Tariffs Jan2019'!AI58))</f>
        <v>0</v>
      </c>
      <c r="I64" s="59">
        <f>IF(($C$5*'Tariffs Jan2019'!AK58/'Tariffs Jan2019'!AI58&gt;'Tariffs Jan2019'!M58),($C$5*'Tariffs Jan2019'!AK58/'Tariffs Jan2019'!AI58-'Tariffs Jan2019'!M58)*'Tariffs Jan2019'!S58/100*'Tariffs Jan2019'!AI58,0)</f>
        <v>296.95841999999999</v>
      </c>
      <c r="J64" s="59">
        <f>IF($C$5*'Tariffs Jan2019'!AL58/'Tariffs Jan2019'!AJ58&gt;='Tariffs Jan2019'!J58,('Tariffs Jan2019'!J58*'Tariffs Jan2019'!U58/100)* 'Tariffs Jan2019'!AJ58,($C$5*'Tariffs Jan2019'!AL58/'Tariffs Jan2019'!AJ58*'Tariffs Jan2019'!U58/100)* 'Tariffs Jan2019'!AJ58)</f>
        <v>201.74279999999999</v>
      </c>
      <c r="K64" s="59">
        <f>IF($C$5*'Tariffs Jan2019'!AL58/'Tariffs Jan2019'!AJ58&lt;'Tariffs Jan2019'!J58,0,IF($C$5*'Tariffs Jan2019'!AL58/'Tariffs Jan2019'!AJ58&lt;='Tariffs Jan2019'!K58,($C$5*'Tariffs Jan2019'!AL58/'Tariffs Jan2019'!AJ58-'Tariffs Jan2019'!J58)*('Tariffs Jan2019'!V58/100)*'Tariffs Jan2019'!AJ58,('Tariffs Jan2019'!K58-'Tariffs Jan2019'!J58)*('Tariffs Jan2019'!V58/100)*'Tariffs Jan2019'!AJ58))</f>
        <v>158.69759999999999</v>
      </c>
      <c r="L64" s="59">
        <f>IF($C$5*'Tariffs Jan2019'!AL58/'Tariffs Jan2019'!AJ58&lt;'Tariffs Jan2019'!K58,0,IF($C$5*'Tariffs Jan2019'!AL58/'Tariffs Jan2019'!AJ58&lt;='Tariffs Jan2019'!L58,($C$5*'Tariffs Jan2019'!AL58/'Tariffs Jan2019'!AJ58-'Tariffs Jan2019'!K58)*('Tariffs Jan2019'!W58/100)*'Tariffs Jan2019'!AJ58,('Tariffs Jan2019'!L58-'Tariffs Jan2019'!K58)*('Tariffs Jan2019'!W58/100)*'Tariffs Jan2019'!AJ58))</f>
        <v>0</v>
      </c>
      <c r="M64" s="59">
        <f>IF($C$5*'Tariffs Jan2019'!AL58/'Tariffs Jan2019'!AJ58&lt;'Tariffs Jan2019'!L58,0,IF($C$5*'Tariffs Jan2019'!AL58/'Tariffs Jan2019'!AJ58&lt;='Tariffs Jan2019'!M58,($C$5*'Tariffs Jan2019'!AL58/'Tariffs Jan2019'!AJ58-'Tariffs Jan2019'!L58)*('Tariffs Jan2019'!X58/100)*'Tariffs Jan2019'!AJ58,('Tariffs Jan2019'!M58-'Tariffs Jan2019'!L58)*('Tariffs Jan2019'!X58/100)*'Tariffs Jan2019'!AJ58))</f>
        <v>0</v>
      </c>
      <c r="N64" s="59">
        <f>IF(($C$5*'Tariffs Jan2019'!AL58/'Tariffs Jan2019'!AJ58&gt;'Tariffs Jan2019'!M58),($C$5*'Tariffs Jan2019'!AL58/'Tariffs Jan2019'!AJ58-'Tariffs Jan2019'!M58)*'Tariffs Jan2019'!Y58/100*'Tariffs Jan2019'!AJ58,0)</f>
        <v>593.91683999999998</v>
      </c>
      <c r="O64" s="271">
        <f t="shared" si="0"/>
        <v>1405.8450599999999</v>
      </c>
      <c r="P64" s="59">
        <f t="shared" si="1"/>
        <v>1661.3450599999999</v>
      </c>
      <c r="Q64" s="272">
        <f t="shared" si="2"/>
        <v>1827.479566</v>
      </c>
      <c r="R64" s="40">
        <f>'Tariffs Jan2019'!AN58</f>
        <v>0</v>
      </c>
      <c r="S64" s="40">
        <f>'Tariffs Jan2019'!AO58</f>
        <v>0</v>
      </c>
      <c r="T64" s="40">
        <f>'Tariffs Jan2019'!AP58</f>
        <v>0</v>
      </c>
      <c r="U64" s="40">
        <f>'Tariffs Jan2019'!AQ58</f>
        <v>25</v>
      </c>
      <c r="V64" s="273">
        <f t="shared" si="7"/>
        <v>1661.3450599999999</v>
      </c>
      <c r="W64" s="273">
        <f>V64-(O64*U64/100)</f>
        <v>1309.883795</v>
      </c>
      <c r="X64" s="272">
        <f t="shared" si="3"/>
        <v>1827.479566</v>
      </c>
      <c r="Y64" s="272">
        <f t="shared" si="3"/>
        <v>1440.8721745</v>
      </c>
      <c r="Z64" s="274">
        <f>'Tariffs Jan2019'!AZ58</f>
        <v>0</v>
      </c>
      <c r="AA64" s="274" t="str">
        <f>'Tariffs Jan2019'!BA58</f>
        <v>n</v>
      </c>
      <c r="AB64" s="275" t="str">
        <f>'Tariffs Jan2019'!BH58</f>
        <v>Y</v>
      </c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</row>
    <row r="65" spans="1:40" x14ac:dyDescent="0.15">
      <c r="A65" s="40" t="str">
        <f>'Tariffs Jan2019'!F59</f>
        <v>Amaysim</v>
      </c>
      <c r="B65" s="40" t="str">
        <f>'Tariffs Jan2019'!D59</f>
        <v>AGN Central 2</v>
      </c>
      <c r="C65" s="40" t="str">
        <f>'Tariffs Jan2019'!G59</f>
        <v>Gas as you go</v>
      </c>
      <c r="D65" s="59">
        <f>365*'Tariffs Jan2019'!H59/100</f>
        <v>199.0564</v>
      </c>
      <c r="E65" s="59">
        <f>IF($C$5*'Tariffs Jan2019'!AK59/'Tariffs Jan2019'!AI59&gt;='Tariffs Jan2019'!J59,( 'Tariffs Jan2019'!J59*'Tariffs Jan2019'!O59/100)* 'Tariffs Jan2019'!AI59,($C$5*'Tariffs Jan2019'!AK59/'Tariffs Jan2019'!AI59*'Tariffs Jan2019'!O59/100)* 'Tariffs Jan2019'!AI59)</f>
        <v>83.894999999999996</v>
      </c>
      <c r="F65" s="59">
        <f>IF($C$5*'Tariffs Jan2019'!AK59/'Tariffs Jan2019'!AI59&lt;'Tariffs Jan2019'!J59,0,IF($C$5*'Tariffs Jan2019'!AK59/'Tariffs Jan2019'!AI59&lt;='Tariffs Jan2019'!K59,($C$5*'Tariffs Jan2019'!AK59/'Tariffs Jan2019'!AI59-'Tariffs Jan2019'!J59)*('Tariffs Jan2019'!P59/100)*'Tariffs Jan2019'!AI59,('Tariffs Jan2019'!K59-'Tariffs Jan2019'!J59)*('Tariffs Jan2019'!P59/100)*'Tariffs Jan2019'!AI59))</f>
        <v>58.969600000000007</v>
      </c>
      <c r="G65" s="59">
        <f>IF($C$5*'Tariffs Jan2019'!AK59/'Tariffs Jan2019'!AI59&lt;'Tariffs Jan2019'!K59,0,IF($C$5*'Tariffs Jan2019'!AK59/'Tariffs Jan2019'!AI59&lt;='Tariffs Jan2019'!L59,($C$5*'Tariffs Jan2019'!AK59/'Tariffs Jan2019'!AI59-'Tariffs Jan2019'!K59)*('Tariffs Jan2019'!Q59/100)*'Tariffs Jan2019'!AI59,('Tariffs Jan2019'!L59-'Tariffs Jan2019'!K59)*('Tariffs Jan2019'!Q59/100)*'Tariffs Jan2019'!AI59))</f>
        <v>0</v>
      </c>
      <c r="H65" s="59">
        <f>IF($C$5*'Tariffs Jan2019'!AK59/'Tariffs Jan2019'!AI59&lt;'Tariffs Jan2019'!L59,0,IF($C$5*'Tariffs Jan2019'!AK59/'Tariffs Jan2019'!AI59&lt;='Tariffs Jan2019'!M59,($C$5*'Tariffs Jan2019'!AK59/'Tariffs Jan2019'!AI59-'Tariffs Jan2019'!L59)*('Tariffs Jan2019'!R59/100)*'Tariffs Jan2019'!AI59,('Tariffs Jan2019'!M59-'Tariffs Jan2019'!L59)*('Tariffs Jan2019'!R59/100)*'Tariffs Jan2019'!AI59))</f>
        <v>0</v>
      </c>
      <c r="I65" s="59">
        <f>IF(($C$5*'Tariffs Jan2019'!AK59/'Tariffs Jan2019'!AI59&gt;'Tariffs Jan2019'!M59),($C$5*'Tariffs Jan2019'!AK59/'Tariffs Jan2019'!AI59-'Tariffs Jan2019'!M59)*'Tariffs Jan2019'!S59/100*'Tariffs Jan2019'!AI59,0)</f>
        <v>280.46072999999996</v>
      </c>
      <c r="J65" s="59">
        <f>IF($C$5*'Tariffs Jan2019'!AL59/'Tariffs Jan2019'!AJ59&gt;='Tariffs Jan2019'!J59,('Tariffs Jan2019'!J59*'Tariffs Jan2019'!U59/100)* 'Tariffs Jan2019'!AJ59,($C$5*'Tariffs Jan2019'!AL59/'Tariffs Jan2019'!AJ59*'Tariffs Jan2019'!U59/100)* 'Tariffs Jan2019'!AJ59)</f>
        <v>167.79</v>
      </c>
      <c r="K65" s="59">
        <f>IF($C$5*'Tariffs Jan2019'!AL59/'Tariffs Jan2019'!AJ59&lt;'Tariffs Jan2019'!J59,0,IF($C$5*'Tariffs Jan2019'!AL59/'Tariffs Jan2019'!AJ59&lt;='Tariffs Jan2019'!K59,($C$5*'Tariffs Jan2019'!AL59/'Tariffs Jan2019'!AJ59-'Tariffs Jan2019'!J59)*('Tariffs Jan2019'!V59/100)*'Tariffs Jan2019'!AJ59,('Tariffs Jan2019'!K59-'Tariffs Jan2019'!J59)*('Tariffs Jan2019'!V59/100)*'Tariffs Jan2019'!AJ59))</f>
        <v>117.93920000000001</v>
      </c>
      <c r="L65" s="59">
        <f>IF($C$5*'Tariffs Jan2019'!AL59/'Tariffs Jan2019'!AJ59&lt;'Tariffs Jan2019'!K59,0,IF($C$5*'Tariffs Jan2019'!AL59/'Tariffs Jan2019'!AJ59&lt;='Tariffs Jan2019'!L59,($C$5*'Tariffs Jan2019'!AL59/'Tariffs Jan2019'!AJ59-'Tariffs Jan2019'!K59)*('Tariffs Jan2019'!W59/100)*'Tariffs Jan2019'!AJ59,('Tariffs Jan2019'!L59-'Tariffs Jan2019'!K59)*('Tariffs Jan2019'!W59/100)*'Tariffs Jan2019'!AJ59))</f>
        <v>0</v>
      </c>
      <c r="M65" s="59">
        <f>IF($C$5*'Tariffs Jan2019'!AL59/'Tariffs Jan2019'!AJ59&lt;'Tariffs Jan2019'!L59,0,IF($C$5*'Tariffs Jan2019'!AL59/'Tariffs Jan2019'!AJ59&lt;='Tariffs Jan2019'!M59,($C$5*'Tariffs Jan2019'!AL59/'Tariffs Jan2019'!AJ59-'Tariffs Jan2019'!L59)*('Tariffs Jan2019'!X59/100)*'Tariffs Jan2019'!AJ59,('Tariffs Jan2019'!M59-'Tariffs Jan2019'!L59)*('Tariffs Jan2019'!X59/100)*'Tariffs Jan2019'!AJ59))</f>
        <v>0</v>
      </c>
      <c r="N65" s="59">
        <f>IF(($C$5*'Tariffs Jan2019'!AL59/'Tariffs Jan2019'!AJ59&gt;'Tariffs Jan2019'!M59),($C$5*'Tariffs Jan2019'!AL59/'Tariffs Jan2019'!AJ59-'Tariffs Jan2019'!M59)*'Tariffs Jan2019'!Y59/100*'Tariffs Jan2019'!AJ59,0)</f>
        <v>560.92145999999991</v>
      </c>
      <c r="O65" s="271">
        <f t="shared" si="0"/>
        <v>1269.9759899999999</v>
      </c>
      <c r="P65" s="59">
        <f t="shared" si="1"/>
        <v>1469.0323899999999</v>
      </c>
      <c r="Q65" s="272">
        <f t="shared" si="2"/>
        <v>1615.9356290000001</v>
      </c>
      <c r="R65" s="40">
        <f>'Tariffs Jan2019'!AN59</f>
        <v>0</v>
      </c>
      <c r="S65" s="40">
        <f>'Tariffs Jan2019'!AO59</f>
        <v>0</v>
      </c>
      <c r="T65" s="40">
        <f>'Tariffs Jan2019'!AP59</f>
        <v>0</v>
      </c>
      <c r="U65" s="40">
        <f>'Tariffs Jan2019'!AQ59</f>
        <v>0</v>
      </c>
      <c r="V65" s="273">
        <f t="shared" si="7"/>
        <v>1469.0323899999999</v>
      </c>
      <c r="W65" s="273">
        <f>V65-(P65*T65/100)</f>
        <v>1469.0323899999999</v>
      </c>
      <c r="X65" s="272">
        <f t="shared" si="3"/>
        <v>1615.9356290000001</v>
      </c>
      <c r="Y65" s="272">
        <f t="shared" si="3"/>
        <v>1615.9356290000001</v>
      </c>
      <c r="Z65" s="274">
        <f>'Tariffs Jan2019'!AZ59</f>
        <v>0</v>
      </c>
      <c r="AA65" s="274" t="str">
        <f>'Tariffs Jan2019'!BA59</f>
        <v>n</v>
      </c>
      <c r="AB65" s="275" t="str">
        <f>'Tariffs Jan2019'!BH59</f>
        <v>N</v>
      </c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</row>
    <row r="66" spans="1:40" x14ac:dyDescent="0.15">
      <c r="A66" s="40" t="str">
        <f>'Tariffs Jan2019'!F60</f>
        <v>GloBird Energy</v>
      </c>
      <c r="B66" s="40" t="str">
        <f>'Tariffs Jan2019'!D60</f>
        <v>AGN Central 2</v>
      </c>
      <c r="C66" s="40" t="str">
        <f>'Tariffs Jan2019'!G60</f>
        <v>GloSave</v>
      </c>
      <c r="D66" s="59">
        <f>365*'Tariffs Jan2019'!H60/100</f>
        <v>346.75</v>
      </c>
      <c r="E66" s="59">
        <f>IF($C$5*'Tariffs Jan2019'!AK60/'Tariffs Jan2019'!AI60&gt;='Tariffs Jan2019'!J60,( 'Tariffs Jan2019'!J60*'Tariffs Jan2019'!O60/100)* 'Tariffs Jan2019'!AI60,($C$5*'Tariffs Jan2019'!AK60/'Tariffs Jan2019'!AI60*'Tariffs Jan2019'!O60/100)* 'Tariffs Jan2019'!AI60)</f>
        <v>204</v>
      </c>
      <c r="F66" s="59">
        <f>IF($C$5*'Tariffs Jan2019'!AK60/'Tariffs Jan2019'!AI60&lt;'Tariffs Jan2019'!J60,0,IF($C$5*'Tariffs Jan2019'!AK60/'Tariffs Jan2019'!AI60&lt;='Tariffs Jan2019'!K60,($C$5*'Tariffs Jan2019'!AK60/'Tariffs Jan2019'!AI60-'Tariffs Jan2019'!J60)*('Tariffs Jan2019'!P60/100)*'Tariffs Jan2019'!AI60,('Tariffs Jan2019'!K60-'Tariffs Jan2019'!J60)*('Tariffs Jan2019'!P60/100)*'Tariffs Jan2019'!AI60))</f>
        <v>0</v>
      </c>
      <c r="G66" s="59">
        <f>IF($C$5*'Tariffs Jan2019'!AK60/'Tariffs Jan2019'!AI60&lt;'Tariffs Jan2019'!K60,0,IF($C$5*'Tariffs Jan2019'!AK60/'Tariffs Jan2019'!AI60&lt;='Tariffs Jan2019'!L60,($C$5*'Tariffs Jan2019'!AK60/'Tariffs Jan2019'!AI60-'Tariffs Jan2019'!K60)*('Tariffs Jan2019'!Q60/100)*'Tariffs Jan2019'!AI60,('Tariffs Jan2019'!L60-'Tariffs Jan2019'!K60)*('Tariffs Jan2019'!Q60/100)*'Tariffs Jan2019'!AI60))</f>
        <v>0</v>
      </c>
      <c r="H66" s="59">
        <f>IF($C$5*'Tariffs Jan2019'!AK60/'Tariffs Jan2019'!AI60&lt;'Tariffs Jan2019'!L60,0,IF($C$5*'Tariffs Jan2019'!AK60/'Tariffs Jan2019'!AI60&lt;='Tariffs Jan2019'!M60,($C$5*'Tariffs Jan2019'!AK60/'Tariffs Jan2019'!AI60-'Tariffs Jan2019'!L60)*('Tariffs Jan2019'!R60/100)*'Tariffs Jan2019'!AI60,('Tariffs Jan2019'!M60-'Tariffs Jan2019'!L60)*('Tariffs Jan2019'!R60/100)*'Tariffs Jan2019'!AI60))</f>
        <v>0</v>
      </c>
      <c r="I66" s="59">
        <f>IF(($C$5*'Tariffs Jan2019'!AK60/'Tariffs Jan2019'!AI60&gt;'Tariffs Jan2019'!M60),($C$5*'Tariffs Jan2019'!AK60/'Tariffs Jan2019'!AI60-'Tariffs Jan2019'!M60)*'Tariffs Jan2019'!S60/100*'Tariffs Jan2019'!AI60,0)</f>
        <v>329.9538</v>
      </c>
      <c r="J66" s="59">
        <f>IF($C$5*'Tariffs Jan2019'!AL60/'Tariffs Jan2019'!AJ60&gt;='Tariffs Jan2019'!J60,('Tariffs Jan2019'!J60*'Tariffs Jan2019'!U60/100)* 'Tariffs Jan2019'!AJ60,($C$5*'Tariffs Jan2019'!AL60/'Tariffs Jan2019'!AJ60*'Tariffs Jan2019'!U60/100)* 'Tariffs Jan2019'!AJ60)</f>
        <v>408</v>
      </c>
      <c r="K66" s="59">
        <f>IF($C$5*'Tariffs Jan2019'!AL60/'Tariffs Jan2019'!AJ60&lt;'Tariffs Jan2019'!J60,0,IF($C$5*'Tariffs Jan2019'!AL60/'Tariffs Jan2019'!AJ60&lt;='Tariffs Jan2019'!K60,($C$5*'Tariffs Jan2019'!AL60/'Tariffs Jan2019'!AJ60-'Tariffs Jan2019'!J60)*('Tariffs Jan2019'!V60/100)*'Tariffs Jan2019'!AJ60,('Tariffs Jan2019'!K60-'Tariffs Jan2019'!J60)*('Tariffs Jan2019'!V60/100)*'Tariffs Jan2019'!AJ60))</f>
        <v>0</v>
      </c>
      <c r="L66" s="59">
        <f>IF($C$5*'Tariffs Jan2019'!AL60/'Tariffs Jan2019'!AJ60&lt;'Tariffs Jan2019'!K60,0,IF($C$5*'Tariffs Jan2019'!AL60/'Tariffs Jan2019'!AJ60&lt;='Tariffs Jan2019'!L60,($C$5*'Tariffs Jan2019'!AL60/'Tariffs Jan2019'!AJ60-'Tariffs Jan2019'!K60)*('Tariffs Jan2019'!W60/100)*'Tariffs Jan2019'!AJ60,('Tariffs Jan2019'!L60-'Tariffs Jan2019'!K60)*('Tariffs Jan2019'!W60/100)*'Tariffs Jan2019'!AJ60))</f>
        <v>0</v>
      </c>
      <c r="M66" s="59">
        <f>IF($C$5*'Tariffs Jan2019'!AL60/'Tariffs Jan2019'!AJ60&lt;'Tariffs Jan2019'!L60,0,IF($C$5*'Tariffs Jan2019'!AL60/'Tariffs Jan2019'!AJ60&lt;='Tariffs Jan2019'!M60,($C$5*'Tariffs Jan2019'!AL60/'Tariffs Jan2019'!AJ60-'Tariffs Jan2019'!L60)*('Tariffs Jan2019'!X60/100)*'Tariffs Jan2019'!AJ60,('Tariffs Jan2019'!M60-'Tariffs Jan2019'!L60)*('Tariffs Jan2019'!X60/100)*'Tariffs Jan2019'!AJ60))</f>
        <v>0</v>
      </c>
      <c r="N66" s="59">
        <f>IF(($C$5*'Tariffs Jan2019'!AL60/'Tariffs Jan2019'!AJ60&gt;'Tariffs Jan2019'!M60),($C$5*'Tariffs Jan2019'!AL60/'Tariffs Jan2019'!AJ60-'Tariffs Jan2019'!M60)*'Tariffs Jan2019'!Y60/100*'Tariffs Jan2019'!AJ60,0)</f>
        <v>659.9076</v>
      </c>
      <c r="O66" s="271">
        <f t="shared" si="0"/>
        <v>1601.8614</v>
      </c>
      <c r="P66" s="59">
        <f t="shared" si="1"/>
        <v>1948.6114</v>
      </c>
      <c r="Q66" s="272">
        <f t="shared" si="2"/>
        <v>2143.4725400000002</v>
      </c>
      <c r="R66" s="40">
        <f>'Tariffs Jan2019'!AN60</f>
        <v>0</v>
      </c>
      <c r="S66" s="40">
        <f>'Tariffs Jan2019'!AO60</f>
        <v>0</v>
      </c>
      <c r="T66" s="40">
        <f>'Tariffs Jan2019'!AP60</f>
        <v>32</v>
      </c>
      <c r="U66" s="40">
        <f>'Tariffs Jan2019'!AQ60</f>
        <v>0</v>
      </c>
      <c r="V66" s="273">
        <f t="shared" si="7"/>
        <v>1948.6114</v>
      </c>
      <c r="W66" s="273">
        <f>V66-(P66*T66/100)</f>
        <v>1325.055752</v>
      </c>
      <c r="X66" s="272">
        <f t="shared" si="3"/>
        <v>2143.4725400000002</v>
      </c>
      <c r="Y66" s="272">
        <f t="shared" si="3"/>
        <v>1457.5613272000001</v>
      </c>
      <c r="Z66" s="274">
        <f>'Tariffs Jan2019'!AZ60</f>
        <v>0</v>
      </c>
      <c r="AA66" s="274" t="str">
        <f>'Tariffs Jan2019'!BA60</f>
        <v>n</v>
      </c>
      <c r="AB66" s="275" t="str">
        <f>'Tariffs Jan2019'!BH60</f>
        <v>N</v>
      </c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</row>
    <row r="67" spans="1:40" ht="14" thickBot="1" x14ac:dyDescent="0.2">
      <c r="A67" s="277" t="str">
        <f>'Tariffs Jan2019'!F61</f>
        <v>Powershop</v>
      </c>
      <c r="B67" s="277" t="str">
        <f>'Tariffs Jan2019'!D61</f>
        <v>AGN Central 2</v>
      </c>
      <c r="C67" s="277" t="str">
        <f>'Tariffs Jan2019'!G61</f>
        <v>Auto Pay with Gas Saver</v>
      </c>
      <c r="D67" s="278">
        <f>365*'Tariffs Jan2019'!H61/100</f>
        <v>308.97250000000003</v>
      </c>
      <c r="E67" s="278">
        <f>((C$5*'Tariffs Jan2019'!AK61/'Tariffs Jan2019'!AI61)*('Tariffs Jan2019'!O61/100))*'Tariffs Jan2019'!AI61</f>
        <v>363.26366999999993</v>
      </c>
      <c r="F67" s="278">
        <v>0</v>
      </c>
      <c r="G67" s="278">
        <v>0</v>
      </c>
      <c r="H67" s="278">
        <v>0</v>
      </c>
      <c r="I67" s="278">
        <v>0</v>
      </c>
      <c r="J67" s="278">
        <f>((C$5*'Tariffs Jan2019'!AL61/'Tariffs Jan2019'!AJ61)*('Tariffs Jan2019'!U61/100))*'Tariffs Jan2019'!AJ61</f>
        <v>726.52733999999987</v>
      </c>
      <c r="K67" s="278">
        <v>0</v>
      </c>
      <c r="L67" s="278">
        <v>0</v>
      </c>
      <c r="M67" s="278">
        <v>0</v>
      </c>
      <c r="N67" s="278">
        <v>0</v>
      </c>
      <c r="O67" s="279">
        <f t="shared" si="0"/>
        <v>1089.7910099999999</v>
      </c>
      <c r="P67" s="278">
        <f t="shared" si="1"/>
        <v>1398.76351</v>
      </c>
      <c r="Q67" s="280">
        <f t="shared" si="2"/>
        <v>1538.6398610000001</v>
      </c>
      <c r="R67" s="277">
        <f>'Tariffs Jan2019'!AN61</f>
        <v>0</v>
      </c>
      <c r="S67" s="277">
        <f>'Tariffs Jan2019'!AO61</f>
        <v>0</v>
      </c>
      <c r="T67" s="277">
        <f>'Tariffs Jan2019'!AP61</f>
        <v>5</v>
      </c>
      <c r="U67" s="277">
        <f>'Tariffs Jan2019'!AQ61</f>
        <v>0</v>
      </c>
      <c r="V67" s="281">
        <f t="shared" si="7"/>
        <v>1398.76351</v>
      </c>
      <c r="W67" s="281">
        <f>V67-(P67*T67/100)</f>
        <v>1328.8253345000001</v>
      </c>
      <c r="X67" s="280">
        <f t="shared" si="3"/>
        <v>1538.6398610000001</v>
      </c>
      <c r="Y67" s="280">
        <f t="shared" si="3"/>
        <v>1461.7078679500003</v>
      </c>
      <c r="Z67" s="282">
        <f>'Tariffs Jan2019'!AZ61</f>
        <v>0</v>
      </c>
      <c r="AA67" s="282" t="str">
        <f>'Tariffs Jan2019'!BA61</f>
        <v>n</v>
      </c>
      <c r="AB67" s="283" t="str">
        <f>'Tariffs Jan2019'!BH61</f>
        <v>Y</v>
      </c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</row>
    <row r="68" spans="1:40" ht="14" thickTop="1" x14ac:dyDescent="0.15">
      <c r="A68" s="40" t="str">
        <f>'Tariffs Jan2019'!F62</f>
        <v>AGL</v>
      </c>
      <c r="B68" s="40" t="str">
        <f>'Tariffs Jan2019'!D62</f>
        <v>AGN Central 1</v>
      </c>
      <c r="C68" s="40" t="str">
        <f>'Tariffs Jan2019'!G62</f>
        <v>Savers</v>
      </c>
      <c r="D68" s="59">
        <f>365*'Tariffs Jan2019'!H62/100</f>
        <v>286.52499999999998</v>
      </c>
      <c r="E68" s="59">
        <f>IF($C$5*'Tariffs Jan2019'!AK62/'Tariffs Jan2019'!AI62&gt;='Tariffs Jan2019'!J62,( 'Tariffs Jan2019'!J62*'Tariffs Jan2019'!O62/100)* 'Tariffs Jan2019'!AI62,($C$5*'Tariffs Jan2019'!AK62/'Tariffs Jan2019'!AI62*'Tariffs Jan2019'!O62/100)* 'Tariffs Jan2019'!AI62)</f>
        <v>92.12</v>
      </c>
      <c r="F68" s="59">
        <f>IF($C$5*'Tariffs Jan2019'!AK62/'Tariffs Jan2019'!AI62&lt;'Tariffs Jan2019'!J62,0,IF($C$5*'Tariffs Jan2019'!AK62/'Tariffs Jan2019'!AI62&lt;='Tariffs Jan2019'!K62,($C$5*'Tariffs Jan2019'!AK62/'Tariffs Jan2019'!AI62-'Tariffs Jan2019'!J62)*('Tariffs Jan2019'!P62/100)*'Tariffs Jan2019'!AI62,('Tariffs Jan2019'!K62-'Tariffs Jan2019'!J62)*('Tariffs Jan2019'!P62/100)*'Tariffs Jan2019'!AI62))</f>
        <v>66.665999999999997</v>
      </c>
      <c r="G68" s="59">
        <f>IF($C$5*'Tariffs Jan2019'!AK62/'Tariffs Jan2019'!AI62&lt;'Tariffs Jan2019'!K62,0,IF($C$5*'Tariffs Jan2019'!AK62/'Tariffs Jan2019'!AI62&lt;='Tariffs Jan2019'!L62,($C$5*'Tariffs Jan2019'!AK62/'Tariffs Jan2019'!AI62-'Tariffs Jan2019'!K62)*('Tariffs Jan2019'!Q62/100)*'Tariffs Jan2019'!AI62,('Tariffs Jan2019'!L62-'Tariffs Jan2019'!K62)*('Tariffs Jan2019'!Q62/100)*'Tariffs Jan2019'!AI62))</f>
        <v>0</v>
      </c>
      <c r="H68" s="59">
        <f>IF($C$5*'Tariffs Jan2019'!AK62/'Tariffs Jan2019'!AI62&lt;'Tariffs Jan2019'!L62,0,IF($C$5*'Tariffs Jan2019'!AK62/'Tariffs Jan2019'!AI62&lt;='Tariffs Jan2019'!M62,($C$5*'Tariffs Jan2019'!AK62/'Tariffs Jan2019'!AI62-'Tariffs Jan2019'!L62)*('Tariffs Jan2019'!R62/100)*'Tariffs Jan2019'!AI62,('Tariffs Jan2019'!M62-'Tariffs Jan2019'!L62)*('Tariffs Jan2019'!R62/100)*'Tariffs Jan2019'!AI62))</f>
        <v>0</v>
      </c>
      <c r="I68" s="59">
        <f>IF(($C$5*'Tariffs Jan2019'!AK62/'Tariffs Jan2019'!AI62&gt;'Tariffs Jan2019'!M62),($C$5*'Tariffs Jan2019'!AK62/'Tariffs Jan2019'!AI62-'Tariffs Jan2019'!M62)*'Tariffs Jan2019'!S62/100*'Tariffs Jan2019'!AI62,0)</f>
        <v>293.95883999999995</v>
      </c>
      <c r="J68" s="59">
        <f>IF($C$5*'Tariffs Jan2019'!AL62/'Tariffs Jan2019'!AJ62&gt;='Tariffs Jan2019'!J62,('Tariffs Jan2019'!J62*'Tariffs Jan2019'!U62/100)* 'Tariffs Jan2019'!AJ62,($C$5*'Tariffs Jan2019'!AL62/'Tariffs Jan2019'!AJ62*'Tariffs Jan2019'!U62/100)* 'Tariffs Jan2019'!AJ62)</f>
        <v>184.24</v>
      </c>
      <c r="K68" s="59">
        <f>IF($C$5*'Tariffs Jan2019'!AL62/'Tariffs Jan2019'!AJ62&lt;'Tariffs Jan2019'!J62,0,IF($C$5*'Tariffs Jan2019'!AL62/'Tariffs Jan2019'!AJ62&lt;='Tariffs Jan2019'!K62,($C$5*'Tariffs Jan2019'!AL62/'Tariffs Jan2019'!AJ62-'Tariffs Jan2019'!J62)*('Tariffs Jan2019'!V62/100)*'Tariffs Jan2019'!AJ62,('Tariffs Jan2019'!K62-'Tariffs Jan2019'!J62)*('Tariffs Jan2019'!V62/100)*'Tariffs Jan2019'!AJ62))</f>
        <v>133.33199999999999</v>
      </c>
      <c r="L68" s="59">
        <f>IF($C$5*'Tariffs Jan2019'!AL62/'Tariffs Jan2019'!AJ62&lt;'Tariffs Jan2019'!K62,0,IF($C$5*'Tariffs Jan2019'!AL62/'Tariffs Jan2019'!AJ62&lt;='Tariffs Jan2019'!L62,($C$5*'Tariffs Jan2019'!AL62/'Tariffs Jan2019'!AJ62-'Tariffs Jan2019'!K62)*('Tariffs Jan2019'!W62/100)*'Tariffs Jan2019'!AJ62,('Tariffs Jan2019'!L62-'Tariffs Jan2019'!K62)*('Tariffs Jan2019'!W62/100)*'Tariffs Jan2019'!AJ62))</f>
        <v>0</v>
      </c>
      <c r="M68" s="59">
        <f>IF($C$5*'Tariffs Jan2019'!AL62/'Tariffs Jan2019'!AJ62&lt;'Tariffs Jan2019'!L62,0,IF($C$5*'Tariffs Jan2019'!AL62/'Tariffs Jan2019'!AJ62&lt;='Tariffs Jan2019'!M62,($C$5*'Tariffs Jan2019'!AL62/'Tariffs Jan2019'!AJ62-'Tariffs Jan2019'!L62)*('Tariffs Jan2019'!X62/100)*'Tariffs Jan2019'!AJ62,('Tariffs Jan2019'!M62-'Tariffs Jan2019'!L62)*('Tariffs Jan2019'!X62/100)*'Tariffs Jan2019'!AJ62))</f>
        <v>0</v>
      </c>
      <c r="N68" s="59">
        <f>IF(($C$5*'Tariffs Jan2019'!AL62/'Tariffs Jan2019'!AJ62&gt;'Tariffs Jan2019'!M62),($C$5*'Tariffs Jan2019'!AL62/'Tariffs Jan2019'!AJ62-'Tariffs Jan2019'!M62)*'Tariffs Jan2019'!Y62/100*'Tariffs Jan2019'!AJ62,0)</f>
        <v>587.9176799999999</v>
      </c>
      <c r="O68" s="271">
        <f t="shared" si="0"/>
        <v>1358.23452</v>
      </c>
      <c r="P68" s="59">
        <f t="shared" si="1"/>
        <v>1644.7595200000001</v>
      </c>
      <c r="Q68" s="272">
        <f t="shared" si="2"/>
        <v>1809.2354720000003</v>
      </c>
      <c r="R68" s="40">
        <f>'Tariffs Jan2019'!AN62</f>
        <v>0</v>
      </c>
      <c r="S68" s="40">
        <f>'Tariffs Jan2019'!AO62</f>
        <v>0</v>
      </c>
      <c r="T68" s="40">
        <f>'Tariffs Jan2019'!AP62</f>
        <v>0</v>
      </c>
      <c r="U68" s="40">
        <f>'Tariffs Jan2019'!AQ62</f>
        <v>24</v>
      </c>
      <c r="V68" s="273">
        <f>P68</f>
        <v>1644.7595200000001</v>
      </c>
      <c r="W68" s="273">
        <f>V68-(O68*U68/100)</f>
        <v>1318.7832352</v>
      </c>
      <c r="X68" s="272">
        <f t="shared" si="3"/>
        <v>1809.2354720000003</v>
      </c>
      <c r="Y68" s="272">
        <f t="shared" si="3"/>
        <v>1450.6615587200001</v>
      </c>
      <c r="Z68" s="274">
        <f>'Tariffs Jan2019'!AZ62</f>
        <v>0</v>
      </c>
      <c r="AA68" s="274" t="str">
        <f>'Tariffs Jan2019'!BA62</f>
        <v>n</v>
      </c>
      <c r="AB68" s="275" t="str">
        <f>'Tariffs Jan2019'!BH62</f>
        <v>N</v>
      </c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</row>
    <row r="69" spans="1:40" x14ac:dyDescent="0.15">
      <c r="A69" s="40" t="str">
        <f>'Tariffs Jan2019'!F63</f>
        <v>Alinta Energy</v>
      </c>
      <c r="B69" s="40" t="str">
        <f>'Tariffs Jan2019'!D63</f>
        <v>AGN Central 1</v>
      </c>
      <c r="C69" s="40" t="str">
        <f>'Tariffs Jan2019'!G63</f>
        <v>Fair Saver</v>
      </c>
      <c r="D69" s="59">
        <f>365*'Tariffs Jan2019'!H63/100</f>
        <v>270.10000000000002</v>
      </c>
      <c r="E69" s="59">
        <f>IF($C$5*'Tariffs Jan2019'!AK63/'Tariffs Jan2019'!AI63&gt;='Tariffs Jan2019'!J63,( 'Tariffs Jan2019'!J63*'Tariffs Jan2019'!O63/100)* 'Tariffs Jan2019'!AI63,($C$5*'Tariffs Jan2019'!AK63/'Tariffs Jan2019'!AI63*'Tariffs Jan2019'!O63/100)* 'Tariffs Jan2019'!AI63)</f>
        <v>98.7</v>
      </c>
      <c r="F69" s="59">
        <f>IF($C$5*'Tariffs Jan2019'!AK63/'Tariffs Jan2019'!AI63&lt;'Tariffs Jan2019'!J63,0,IF($C$5*'Tariffs Jan2019'!AK63/'Tariffs Jan2019'!AI63&lt;='Tariffs Jan2019'!K63,($C$5*'Tariffs Jan2019'!AK63/'Tariffs Jan2019'!AI63-'Tariffs Jan2019'!J63)*('Tariffs Jan2019'!P63/100)*'Tariffs Jan2019'!AI63,('Tariffs Jan2019'!K63-'Tariffs Jan2019'!J63)*('Tariffs Jan2019'!P63/100)*'Tariffs Jan2019'!AI63))</f>
        <v>70.460000000000008</v>
      </c>
      <c r="G69" s="59">
        <f>IF($C$5*'Tariffs Jan2019'!AK63/'Tariffs Jan2019'!AI63&lt;'Tariffs Jan2019'!K63,0,IF($C$5*'Tariffs Jan2019'!AK63/'Tariffs Jan2019'!AI63&lt;='Tariffs Jan2019'!L63,($C$5*'Tariffs Jan2019'!AK63/'Tariffs Jan2019'!AI63-'Tariffs Jan2019'!K63)*('Tariffs Jan2019'!Q63/100)*'Tariffs Jan2019'!AI63,('Tariffs Jan2019'!L63-'Tariffs Jan2019'!K63)*('Tariffs Jan2019'!Q63/100)*'Tariffs Jan2019'!AI63))</f>
        <v>0</v>
      </c>
      <c r="H69" s="59">
        <f>IF($C$5*'Tariffs Jan2019'!AK63/'Tariffs Jan2019'!AI63&lt;'Tariffs Jan2019'!L63,0,IF($C$5*'Tariffs Jan2019'!AK63/'Tariffs Jan2019'!AI63&lt;='Tariffs Jan2019'!M63,($C$5*'Tariffs Jan2019'!AK63/'Tariffs Jan2019'!AI63-'Tariffs Jan2019'!L63)*('Tariffs Jan2019'!R63/100)*'Tariffs Jan2019'!AI63,('Tariffs Jan2019'!M63-'Tariffs Jan2019'!L63)*('Tariffs Jan2019'!R63/100)*'Tariffs Jan2019'!AI63))</f>
        <v>0</v>
      </c>
      <c r="I69" s="59">
        <f>IF(($C$5*'Tariffs Jan2019'!AK63/'Tariffs Jan2019'!AI63&gt;'Tariffs Jan2019'!M63),($C$5*'Tariffs Jan2019'!AK63/'Tariffs Jan2019'!AI63-'Tariffs Jan2019'!M63)*'Tariffs Jan2019'!S63/100*'Tariffs Jan2019'!AI63,0)</f>
        <v>299.95799999999997</v>
      </c>
      <c r="J69" s="59">
        <f>IF($C$5*'Tariffs Jan2019'!AL63/'Tariffs Jan2019'!AJ63&gt;='Tariffs Jan2019'!J63,('Tariffs Jan2019'!J63*'Tariffs Jan2019'!U63/100)* 'Tariffs Jan2019'!AJ63,($C$5*'Tariffs Jan2019'!AL63/'Tariffs Jan2019'!AJ63*'Tariffs Jan2019'!U63/100)* 'Tariffs Jan2019'!AJ63)</f>
        <v>197.4</v>
      </c>
      <c r="K69" s="59">
        <f>IF($C$5*'Tariffs Jan2019'!AL63/'Tariffs Jan2019'!AJ63&lt;'Tariffs Jan2019'!J63,0,IF($C$5*'Tariffs Jan2019'!AL63/'Tariffs Jan2019'!AJ63&lt;='Tariffs Jan2019'!K63,($C$5*'Tariffs Jan2019'!AL63/'Tariffs Jan2019'!AJ63-'Tariffs Jan2019'!J63)*('Tariffs Jan2019'!V63/100)*'Tariffs Jan2019'!AJ63,('Tariffs Jan2019'!K63-'Tariffs Jan2019'!J63)*('Tariffs Jan2019'!V63/100)*'Tariffs Jan2019'!AJ63))</f>
        <v>140.92000000000002</v>
      </c>
      <c r="L69" s="59">
        <f>IF($C$5*'Tariffs Jan2019'!AL63/'Tariffs Jan2019'!AJ63&lt;'Tariffs Jan2019'!K63,0,IF($C$5*'Tariffs Jan2019'!AL63/'Tariffs Jan2019'!AJ63&lt;='Tariffs Jan2019'!L63,($C$5*'Tariffs Jan2019'!AL63/'Tariffs Jan2019'!AJ63-'Tariffs Jan2019'!K63)*('Tariffs Jan2019'!W63/100)*'Tariffs Jan2019'!AJ63,('Tariffs Jan2019'!L63-'Tariffs Jan2019'!K63)*('Tariffs Jan2019'!W63/100)*'Tariffs Jan2019'!AJ63))</f>
        <v>0</v>
      </c>
      <c r="M69" s="59">
        <f>IF($C$5*'Tariffs Jan2019'!AL63/'Tariffs Jan2019'!AJ63&lt;'Tariffs Jan2019'!L63,0,IF($C$5*'Tariffs Jan2019'!AL63/'Tariffs Jan2019'!AJ63&lt;='Tariffs Jan2019'!M63,($C$5*'Tariffs Jan2019'!AL63/'Tariffs Jan2019'!AJ63-'Tariffs Jan2019'!L63)*('Tariffs Jan2019'!X63/100)*'Tariffs Jan2019'!AJ63,('Tariffs Jan2019'!M63-'Tariffs Jan2019'!L63)*('Tariffs Jan2019'!X63/100)*'Tariffs Jan2019'!AJ63))</f>
        <v>0</v>
      </c>
      <c r="N69" s="59">
        <f>IF(($C$5*'Tariffs Jan2019'!AL63/'Tariffs Jan2019'!AJ63&gt;'Tariffs Jan2019'!M63),($C$5*'Tariffs Jan2019'!AL63/'Tariffs Jan2019'!AJ63-'Tariffs Jan2019'!M63)*'Tariffs Jan2019'!Y63/100*'Tariffs Jan2019'!AJ63,0)</f>
        <v>599.91599999999994</v>
      </c>
      <c r="O69" s="271">
        <f t="shared" si="0"/>
        <v>1407.354</v>
      </c>
      <c r="P69" s="59">
        <f t="shared" si="1"/>
        <v>1677.4540000000002</v>
      </c>
      <c r="Q69" s="272">
        <f t="shared" si="2"/>
        <v>1845.1994000000004</v>
      </c>
      <c r="R69" s="40">
        <f>'Tariffs Jan2019'!AN63</f>
        <v>0</v>
      </c>
      <c r="S69" s="40">
        <f>'Tariffs Jan2019'!AO63</f>
        <v>20</v>
      </c>
      <c r="T69" s="40">
        <f>'Tariffs Jan2019'!AP63</f>
        <v>0</v>
      </c>
      <c r="U69" s="40">
        <f>'Tariffs Jan2019'!AQ63</f>
        <v>0</v>
      </c>
      <c r="V69" s="273">
        <f>P69-(O69*S69/100)</f>
        <v>1395.9832000000001</v>
      </c>
      <c r="W69" s="273">
        <f>V69-(O69*U69/100)</f>
        <v>1395.9832000000001</v>
      </c>
      <c r="X69" s="272">
        <f t="shared" si="3"/>
        <v>1535.5815200000002</v>
      </c>
      <c r="Y69" s="272">
        <f t="shared" si="3"/>
        <v>1535.5815200000002</v>
      </c>
      <c r="Z69" s="274">
        <f>'Tariffs Jan2019'!AZ63</f>
        <v>0</v>
      </c>
      <c r="AA69" s="274" t="str">
        <f>'Tariffs Jan2019'!BA63</f>
        <v>n</v>
      </c>
      <c r="AB69" s="275" t="str">
        <f>'Tariffs Jan2019'!BH63</f>
        <v>Y</v>
      </c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</row>
    <row r="70" spans="1:40" x14ac:dyDescent="0.15">
      <c r="A70" s="40" t="str">
        <f>'Tariffs Jan2019'!F64</f>
        <v>Click Energy</v>
      </c>
      <c r="B70" s="40" t="str">
        <f>'Tariffs Jan2019'!D64</f>
        <v>AGN Central 1</v>
      </c>
      <c r="C70" s="40" t="str">
        <f>'Tariffs Jan2019'!G64</f>
        <v>Burgundy</v>
      </c>
      <c r="D70" s="59">
        <f>365*'Tariffs Jan2019'!H64/100</f>
        <v>292.73</v>
      </c>
      <c r="E70" s="59">
        <f>IF($C$5*'Tariffs Jan2019'!AK64/'Tariffs Jan2019'!AI64&gt;='Tariffs Jan2019'!J64,( 'Tariffs Jan2019'!J64*'Tariffs Jan2019'!O64/100)* 'Tariffs Jan2019'!AI64,($C$5*'Tariffs Jan2019'!AK64/'Tariffs Jan2019'!AI64*'Tariffs Jan2019'!O64/100)* 'Tariffs Jan2019'!AI64)</f>
        <v>123.375</v>
      </c>
      <c r="F70" s="59">
        <f>IF($C$5*'Tariffs Jan2019'!AK64/'Tariffs Jan2019'!AI64&lt;'Tariffs Jan2019'!J64,0,IF($C$5*'Tariffs Jan2019'!AK64/'Tariffs Jan2019'!AI64&lt;='Tariffs Jan2019'!K64,($C$5*'Tariffs Jan2019'!AK64/'Tariffs Jan2019'!AI64-'Tariffs Jan2019'!J64)*('Tariffs Jan2019'!P64/100)*'Tariffs Jan2019'!AI64,('Tariffs Jan2019'!K64-'Tariffs Jan2019'!J64)*('Tariffs Jan2019'!P64/100)*'Tariffs Jan2019'!AI64))</f>
        <v>86.72</v>
      </c>
      <c r="G70" s="59">
        <f>IF($C$5*'Tariffs Jan2019'!AK64/'Tariffs Jan2019'!AI64&lt;'Tariffs Jan2019'!K64,0,IF($C$5*'Tariffs Jan2019'!AK64/'Tariffs Jan2019'!AI64&lt;='Tariffs Jan2019'!L64,($C$5*'Tariffs Jan2019'!AK64/'Tariffs Jan2019'!AI64-'Tariffs Jan2019'!K64)*('Tariffs Jan2019'!Q64/100)*'Tariffs Jan2019'!AI64,('Tariffs Jan2019'!L64-'Tariffs Jan2019'!K64)*('Tariffs Jan2019'!Q64/100)*'Tariffs Jan2019'!AI64))</f>
        <v>0</v>
      </c>
      <c r="H70" s="59">
        <f>IF($C$5*'Tariffs Jan2019'!AK64/'Tariffs Jan2019'!AI64&lt;'Tariffs Jan2019'!L64,0,IF($C$5*'Tariffs Jan2019'!AK64/'Tariffs Jan2019'!AI64&lt;='Tariffs Jan2019'!M64,($C$5*'Tariffs Jan2019'!AK64/'Tariffs Jan2019'!AI64-'Tariffs Jan2019'!L64)*('Tariffs Jan2019'!R64/100)*'Tariffs Jan2019'!AI64,('Tariffs Jan2019'!M64-'Tariffs Jan2019'!L64)*('Tariffs Jan2019'!R64/100)*'Tariffs Jan2019'!AI64))</f>
        <v>0</v>
      </c>
      <c r="I70" s="59">
        <f>IF(($C$5*'Tariffs Jan2019'!AK64/'Tariffs Jan2019'!AI64&gt;'Tariffs Jan2019'!M64),($C$5*'Tariffs Jan2019'!AK64/'Tariffs Jan2019'!AI64-'Tariffs Jan2019'!M64)*'Tariffs Jan2019'!S64/100*'Tariffs Jan2019'!AI64,0)</f>
        <v>412.44224999999989</v>
      </c>
      <c r="J70" s="59">
        <f>IF($C$5*'Tariffs Jan2019'!AL64/'Tariffs Jan2019'!AJ64&gt;='Tariffs Jan2019'!J64,('Tariffs Jan2019'!J64*'Tariffs Jan2019'!U64/100)* 'Tariffs Jan2019'!AJ64,($C$5*'Tariffs Jan2019'!AL64/'Tariffs Jan2019'!AJ64*'Tariffs Jan2019'!U64/100)* 'Tariffs Jan2019'!AJ64)</f>
        <v>246.75</v>
      </c>
      <c r="K70" s="59">
        <f>IF($C$5*'Tariffs Jan2019'!AL64/'Tariffs Jan2019'!AJ64&lt;'Tariffs Jan2019'!J64,0,IF($C$5*'Tariffs Jan2019'!AL64/'Tariffs Jan2019'!AJ64&lt;='Tariffs Jan2019'!K64,($C$5*'Tariffs Jan2019'!AL64/'Tariffs Jan2019'!AJ64-'Tariffs Jan2019'!J64)*('Tariffs Jan2019'!V64/100)*'Tariffs Jan2019'!AJ64,('Tariffs Jan2019'!K64-'Tariffs Jan2019'!J64)*('Tariffs Jan2019'!V64/100)*'Tariffs Jan2019'!AJ64))</f>
        <v>173.44</v>
      </c>
      <c r="L70" s="59">
        <f>IF($C$5*'Tariffs Jan2019'!AL64/'Tariffs Jan2019'!AJ64&lt;'Tariffs Jan2019'!K64,0,IF($C$5*'Tariffs Jan2019'!AL64/'Tariffs Jan2019'!AJ64&lt;='Tariffs Jan2019'!L64,($C$5*'Tariffs Jan2019'!AL64/'Tariffs Jan2019'!AJ64-'Tariffs Jan2019'!K64)*('Tariffs Jan2019'!W64/100)*'Tariffs Jan2019'!AJ64,('Tariffs Jan2019'!L64-'Tariffs Jan2019'!K64)*('Tariffs Jan2019'!W64/100)*'Tariffs Jan2019'!AJ64))</f>
        <v>0</v>
      </c>
      <c r="M70" s="59">
        <f>IF($C$5*'Tariffs Jan2019'!AL64/'Tariffs Jan2019'!AJ64&lt;'Tariffs Jan2019'!L64,0,IF($C$5*'Tariffs Jan2019'!AL64/'Tariffs Jan2019'!AJ64&lt;='Tariffs Jan2019'!M64,($C$5*'Tariffs Jan2019'!AL64/'Tariffs Jan2019'!AJ64-'Tariffs Jan2019'!L64)*('Tariffs Jan2019'!X64/100)*'Tariffs Jan2019'!AJ64,('Tariffs Jan2019'!M64-'Tariffs Jan2019'!L64)*('Tariffs Jan2019'!X64/100)*'Tariffs Jan2019'!AJ64))</f>
        <v>0</v>
      </c>
      <c r="N70" s="59">
        <f>IF(($C$5*'Tariffs Jan2019'!AL64/'Tariffs Jan2019'!AJ64&gt;'Tariffs Jan2019'!M64),($C$5*'Tariffs Jan2019'!AL64/'Tariffs Jan2019'!AJ64-'Tariffs Jan2019'!M64)*'Tariffs Jan2019'!Y64/100*'Tariffs Jan2019'!AJ64,0)</f>
        <v>824.88449999999978</v>
      </c>
      <c r="O70" s="271">
        <f t="shared" si="0"/>
        <v>1867.6117499999996</v>
      </c>
      <c r="P70" s="59">
        <f t="shared" si="1"/>
        <v>2160.3417499999996</v>
      </c>
      <c r="Q70" s="272">
        <f t="shared" si="2"/>
        <v>2376.3759249999998</v>
      </c>
      <c r="R70" s="40">
        <f>'Tariffs Jan2019'!AN64</f>
        <v>0</v>
      </c>
      <c r="S70" s="40">
        <f>'Tariffs Jan2019'!AO64</f>
        <v>0</v>
      </c>
      <c r="T70" s="40">
        <f>'Tariffs Jan2019'!AP64</f>
        <v>26</v>
      </c>
      <c r="U70" s="40">
        <f>'Tariffs Jan2019'!AQ64</f>
        <v>0</v>
      </c>
      <c r="V70" s="273">
        <f>P70</f>
        <v>2160.3417499999996</v>
      </c>
      <c r="W70" s="273">
        <f>V70-(P70*T70/100)</f>
        <v>1598.6528949999997</v>
      </c>
      <c r="X70" s="272">
        <f t="shared" si="3"/>
        <v>2376.3759249999998</v>
      </c>
      <c r="Y70" s="272">
        <f t="shared" si="3"/>
        <v>1758.5181844999997</v>
      </c>
      <c r="Z70" s="274">
        <f>'Tariffs Jan2019'!AZ64</f>
        <v>0</v>
      </c>
      <c r="AA70" s="274" t="str">
        <f>'Tariffs Jan2019'!BA64</f>
        <v>n</v>
      </c>
      <c r="AB70" s="275" t="str">
        <f>'Tariffs Jan2019'!BH64</f>
        <v>N</v>
      </c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</row>
    <row r="71" spans="1:40" x14ac:dyDescent="0.15">
      <c r="A71" s="40" t="str">
        <f>'Tariffs Jan2019'!F65</f>
        <v>Covau</v>
      </c>
      <c r="B71" s="40" t="str">
        <f>'Tariffs Jan2019'!D65</f>
        <v>AGN Central 1</v>
      </c>
      <c r="C71" s="40" t="str">
        <f>'Tariffs Jan2019'!G65</f>
        <v>Smart Saver</v>
      </c>
      <c r="D71" s="59">
        <f>365*'Tariffs Jan2019'!H65/100</f>
        <v>273.75</v>
      </c>
      <c r="E71" s="59">
        <f>IF($C$5*'Tariffs Jan2019'!AK65/'Tariffs Jan2019'!AI65&gt;='Tariffs Jan2019'!J65,( 'Tariffs Jan2019'!J65*'Tariffs Jan2019'!O65/100)* 'Tariffs Jan2019'!AI65,($C$5*'Tariffs Jan2019'!AK65/'Tariffs Jan2019'!AI65*'Tariffs Jan2019'!O65/100)* 'Tariffs Jan2019'!AI65)</f>
        <v>104.29299999999999</v>
      </c>
      <c r="F71" s="59">
        <f>IF($C$5*'Tariffs Jan2019'!AK65/'Tariffs Jan2019'!AI65&lt;'Tariffs Jan2019'!J65,0,IF($C$5*'Tariffs Jan2019'!AK65/'Tariffs Jan2019'!AI65&lt;='Tariffs Jan2019'!K65,($C$5*'Tariffs Jan2019'!AK65/'Tariffs Jan2019'!AI65-'Tariffs Jan2019'!J65)*('Tariffs Jan2019'!P65/100)*'Tariffs Jan2019'!AI65,('Tariffs Jan2019'!K65-'Tariffs Jan2019'!J65)*('Tariffs Jan2019'!P65/100)*'Tariffs Jan2019'!AI65))</f>
        <v>67.75</v>
      </c>
      <c r="G71" s="59">
        <f>IF($C$5*'Tariffs Jan2019'!AK65/'Tariffs Jan2019'!AI65&lt;'Tariffs Jan2019'!K65,0,IF($C$5*'Tariffs Jan2019'!AK65/'Tariffs Jan2019'!AI65&lt;='Tariffs Jan2019'!L65,($C$5*'Tariffs Jan2019'!AK65/'Tariffs Jan2019'!AI65-'Tariffs Jan2019'!K65)*('Tariffs Jan2019'!Q65/100)*'Tariffs Jan2019'!AI65,('Tariffs Jan2019'!L65-'Tariffs Jan2019'!K65)*('Tariffs Jan2019'!Q65/100)*'Tariffs Jan2019'!AI65))</f>
        <v>0</v>
      </c>
      <c r="H71" s="59">
        <f>IF($C$5*'Tariffs Jan2019'!AK65/'Tariffs Jan2019'!AI65&lt;'Tariffs Jan2019'!L65,0,IF($C$5*'Tariffs Jan2019'!AK65/'Tariffs Jan2019'!AI65&lt;='Tariffs Jan2019'!M65,($C$5*'Tariffs Jan2019'!AK65/'Tariffs Jan2019'!AI65-'Tariffs Jan2019'!L65)*('Tariffs Jan2019'!R65/100)*'Tariffs Jan2019'!AI65,('Tariffs Jan2019'!M65-'Tariffs Jan2019'!L65)*('Tariffs Jan2019'!R65/100)*'Tariffs Jan2019'!AI65))</f>
        <v>0</v>
      </c>
      <c r="I71" s="59">
        <f>IF(($C$5*'Tariffs Jan2019'!AK65/'Tariffs Jan2019'!AI65&gt;'Tariffs Jan2019'!M65),($C$5*'Tariffs Jan2019'!AK65/'Tariffs Jan2019'!AI65-'Tariffs Jan2019'!M65)*'Tariffs Jan2019'!S65/100*'Tariffs Jan2019'!AI65,0)</f>
        <v>337.45274999999992</v>
      </c>
      <c r="J71" s="59">
        <f>IF($C$5*'Tariffs Jan2019'!AL65/'Tariffs Jan2019'!AJ65&gt;='Tariffs Jan2019'!J65,('Tariffs Jan2019'!J65*'Tariffs Jan2019'!U65/100)* 'Tariffs Jan2019'!AJ65,($C$5*'Tariffs Jan2019'!AL65/'Tariffs Jan2019'!AJ65*'Tariffs Jan2019'!U65/100)* 'Tariffs Jan2019'!AJ65)</f>
        <v>208.58599999999998</v>
      </c>
      <c r="K71" s="59">
        <f>IF($C$5*'Tariffs Jan2019'!AL65/'Tariffs Jan2019'!AJ65&lt;'Tariffs Jan2019'!J65,0,IF($C$5*'Tariffs Jan2019'!AL65/'Tariffs Jan2019'!AJ65&lt;='Tariffs Jan2019'!K65,($C$5*'Tariffs Jan2019'!AL65/'Tariffs Jan2019'!AJ65-'Tariffs Jan2019'!J65)*('Tariffs Jan2019'!V65/100)*'Tariffs Jan2019'!AJ65,('Tariffs Jan2019'!K65-'Tariffs Jan2019'!J65)*('Tariffs Jan2019'!V65/100)*'Tariffs Jan2019'!AJ65))</f>
        <v>135.5</v>
      </c>
      <c r="L71" s="59">
        <f>IF($C$5*'Tariffs Jan2019'!AL65/'Tariffs Jan2019'!AJ65&lt;'Tariffs Jan2019'!K65,0,IF($C$5*'Tariffs Jan2019'!AL65/'Tariffs Jan2019'!AJ65&lt;='Tariffs Jan2019'!L65,($C$5*'Tariffs Jan2019'!AL65/'Tariffs Jan2019'!AJ65-'Tariffs Jan2019'!K65)*('Tariffs Jan2019'!W65/100)*'Tariffs Jan2019'!AJ65,('Tariffs Jan2019'!L65-'Tariffs Jan2019'!K65)*('Tariffs Jan2019'!W65/100)*'Tariffs Jan2019'!AJ65))</f>
        <v>0</v>
      </c>
      <c r="M71" s="59">
        <f>IF($C$5*'Tariffs Jan2019'!AL65/'Tariffs Jan2019'!AJ65&lt;'Tariffs Jan2019'!L65,0,IF($C$5*'Tariffs Jan2019'!AL65/'Tariffs Jan2019'!AJ65&lt;='Tariffs Jan2019'!M65,($C$5*'Tariffs Jan2019'!AL65/'Tariffs Jan2019'!AJ65-'Tariffs Jan2019'!L65)*('Tariffs Jan2019'!X65/100)*'Tariffs Jan2019'!AJ65,('Tariffs Jan2019'!M65-'Tariffs Jan2019'!L65)*('Tariffs Jan2019'!X65/100)*'Tariffs Jan2019'!AJ65))</f>
        <v>0</v>
      </c>
      <c r="N71" s="59">
        <f>IF(($C$5*'Tariffs Jan2019'!AL65/'Tariffs Jan2019'!AJ65&gt;'Tariffs Jan2019'!M65),($C$5*'Tariffs Jan2019'!AL65/'Tariffs Jan2019'!AJ65-'Tariffs Jan2019'!M65)*'Tariffs Jan2019'!Y65/100*'Tariffs Jan2019'!AJ65,0)</f>
        <v>674.90549999999985</v>
      </c>
      <c r="O71" s="271">
        <f t="shared" si="0"/>
        <v>1528.4872499999997</v>
      </c>
      <c r="P71" s="59">
        <f t="shared" si="1"/>
        <v>1802.2372499999997</v>
      </c>
      <c r="Q71" s="272">
        <f t="shared" si="2"/>
        <v>1982.4609749999997</v>
      </c>
      <c r="R71" s="40">
        <f>'Tariffs Jan2019'!AN65</f>
        <v>0</v>
      </c>
      <c r="S71" s="40">
        <f>'Tariffs Jan2019'!AO65</f>
        <v>0</v>
      </c>
      <c r="T71" s="40">
        <f>'Tariffs Jan2019'!AP65</f>
        <v>0</v>
      </c>
      <c r="U71" s="40">
        <f>'Tariffs Jan2019'!AQ65</f>
        <v>16</v>
      </c>
      <c r="V71" s="273">
        <f>P71</f>
        <v>1802.2372499999997</v>
      </c>
      <c r="W71" s="273">
        <f>V71-(O71*U71/100)</f>
        <v>1557.6792899999998</v>
      </c>
      <c r="X71" s="272">
        <f t="shared" si="3"/>
        <v>1982.4609749999997</v>
      </c>
      <c r="Y71" s="272">
        <f t="shared" si="3"/>
        <v>1713.4472189999999</v>
      </c>
      <c r="Z71" s="274">
        <f>'Tariffs Jan2019'!AZ65</f>
        <v>0</v>
      </c>
      <c r="AA71" s="274" t="str">
        <f>'Tariffs Jan2019'!BA65</f>
        <v>n</v>
      </c>
      <c r="AB71" s="275" t="str">
        <f>'Tariffs Jan2019'!BH65</f>
        <v>N</v>
      </c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</row>
    <row r="72" spans="1:40" x14ac:dyDescent="0.15">
      <c r="A72" s="40" t="str">
        <f>'Tariffs Jan2019'!F66</f>
        <v>Dodo Power &amp; Gas</v>
      </c>
      <c r="B72" s="40" t="str">
        <f>'Tariffs Jan2019'!D66</f>
        <v>AGN Central 1</v>
      </c>
      <c r="C72" s="40" t="str">
        <f>'Tariffs Jan2019'!G66</f>
        <v>Market offer</v>
      </c>
      <c r="D72" s="59">
        <f>365*'Tariffs Jan2019'!H66/100</f>
        <v>296.92749999999995</v>
      </c>
      <c r="E72" s="59">
        <f>IF($C$5*'Tariffs Jan2019'!AK66/'Tariffs Jan2019'!AI66&gt;='Tariffs Jan2019'!J66,( 'Tariffs Jan2019'!J66*'Tariffs Jan2019'!O66/100)* 'Tariffs Jan2019'!AI66,($C$5*'Tariffs Jan2019'!AK66/'Tariffs Jan2019'!AI66*'Tariffs Jan2019'!O66/100)* 'Tariffs Jan2019'!AI66)</f>
        <v>203.2</v>
      </c>
      <c r="F72" s="59">
        <f>IF($C$5*'Tariffs Jan2019'!AK66/'Tariffs Jan2019'!AI66&lt;'Tariffs Jan2019'!J66,0,IF($C$5*'Tariffs Jan2019'!AK66/'Tariffs Jan2019'!AI66&lt;='Tariffs Jan2019'!K66,($C$5*'Tariffs Jan2019'!AK66/'Tariffs Jan2019'!AI66-'Tariffs Jan2019'!J66)*('Tariffs Jan2019'!P66/100)*'Tariffs Jan2019'!AI66,('Tariffs Jan2019'!K66-'Tariffs Jan2019'!J66)*('Tariffs Jan2019'!P66/100)*'Tariffs Jan2019'!AI66))</f>
        <v>271.65610999999996</v>
      </c>
      <c r="G72" s="59">
        <f>IF($C$5*'Tariffs Jan2019'!AK66/'Tariffs Jan2019'!AI66&lt;'Tariffs Jan2019'!K66,0,IF($C$5*'Tariffs Jan2019'!AK66/'Tariffs Jan2019'!AI66&lt;='Tariffs Jan2019'!L66,($C$5*'Tariffs Jan2019'!AK66/'Tariffs Jan2019'!AI66-'Tariffs Jan2019'!K66)*('Tariffs Jan2019'!Q66/100)*'Tariffs Jan2019'!AI66,('Tariffs Jan2019'!L66-'Tariffs Jan2019'!K66)*('Tariffs Jan2019'!Q66/100)*'Tariffs Jan2019'!AI66))</f>
        <v>0</v>
      </c>
      <c r="H72" s="59">
        <f>IF($C$5*'Tariffs Jan2019'!AK66/'Tariffs Jan2019'!AI66&lt;'Tariffs Jan2019'!L66,0,IF($C$5*'Tariffs Jan2019'!AK66/'Tariffs Jan2019'!AI66&lt;='Tariffs Jan2019'!M66,($C$5*'Tariffs Jan2019'!AK66/'Tariffs Jan2019'!AI66-'Tariffs Jan2019'!L66)*('Tariffs Jan2019'!R66/100)*'Tariffs Jan2019'!AI66,('Tariffs Jan2019'!M66-'Tariffs Jan2019'!L66)*('Tariffs Jan2019'!R66/100)*'Tariffs Jan2019'!AI66))</f>
        <v>0</v>
      </c>
      <c r="I72" s="59">
        <f>IF(($C$5*'Tariffs Jan2019'!AK66/'Tariffs Jan2019'!AI66&gt;'Tariffs Jan2019'!M66),($C$5*'Tariffs Jan2019'!AK66/'Tariffs Jan2019'!AI66-'Tariffs Jan2019'!M66)*'Tariffs Jan2019'!S66/100*'Tariffs Jan2019'!AI66,0)</f>
        <v>0</v>
      </c>
      <c r="J72" s="59">
        <f>IF($C$5*'Tariffs Jan2019'!AL66/'Tariffs Jan2019'!AJ66&gt;='Tariffs Jan2019'!J66,('Tariffs Jan2019'!J66*'Tariffs Jan2019'!U66/100)* 'Tariffs Jan2019'!AJ66,($C$5*'Tariffs Jan2019'!AL66/'Tariffs Jan2019'!AJ66*'Tariffs Jan2019'!U66/100)* 'Tariffs Jan2019'!AJ66)</f>
        <v>406.4</v>
      </c>
      <c r="K72" s="59">
        <f>IF($C$5*'Tariffs Jan2019'!AL66/'Tariffs Jan2019'!AJ66&lt;'Tariffs Jan2019'!J66,0,IF($C$5*'Tariffs Jan2019'!AL66/'Tariffs Jan2019'!AJ66&lt;='Tariffs Jan2019'!K66,($C$5*'Tariffs Jan2019'!AL66/'Tariffs Jan2019'!AJ66-'Tariffs Jan2019'!J66)*('Tariffs Jan2019'!V66/100)*'Tariffs Jan2019'!AJ66,('Tariffs Jan2019'!K66-'Tariffs Jan2019'!J66)*('Tariffs Jan2019'!V66/100)*'Tariffs Jan2019'!AJ66))</f>
        <v>543.31221999999991</v>
      </c>
      <c r="L72" s="59">
        <f>IF($C$5*'Tariffs Jan2019'!AL66/'Tariffs Jan2019'!AJ66&lt;'Tariffs Jan2019'!K66,0,IF($C$5*'Tariffs Jan2019'!AL66/'Tariffs Jan2019'!AJ66&lt;='Tariffs Jan2019'!L66,($C$5*'Tariffs Jan2019'!AL66/'Tariffs Jan2019'!AJ66-'Tariffs Jan2019'!K66)*('Tariffs Jan2019'!W66/100)*'Tariffs Jan2019'!AJ66,('Tariffs Jan2019'!L66-'Tariffs Jan2019'!K66)*('Tariffs Jan2019'!W66/100)*'Tariffs Jan2019'!AJ66))</f>
        <v>0</v>
      </c>
      <c r="M72" s="59">
        <f>IF($C$5*'Tariffs Jan2019'!AL66/'Tariffs Jan2019'!AJ66&lt;'Tariffs Jan2019'!L66,0,IF($C$5*'Tariffs Jan2019'!AL66/'Tariffs Jan2019'!AJ66&lt;='Tariffs Jan2019'!M66,($C$5*'Tariffs Jan2019'!AL66/'Tariffs Jan2019'!AJ66-'Tariffs Jan2019'!L66)*('Tariffs Jan2019'!X66/100)*'Tariffs Jan2019'!AJ66,('Tariffs Jan2019'!M66-'Tariffs Jan2019'!L66)*('Tariffs Jan2019'!X66/100)*'Tariffs Jan2019'!AJ66))</f>
        <v>0</v>
      </c>
      <c r="N72" s="59">
        <f>IF(($C$5*'Tariffs Jan2019'!AL66/'Tariffs Jan2019'!AJ66&gt;'Tariffs Jan2019'!M66),($C$5*'Tariffs Jan2019'!AL66/'Tariffs Jan2019'!AJ66-'Tariffs Jan2019'!M66)*'Tariffs Jan2019'!Y66/100*'Tariffs Jan2019'!AJ66,0)</f>
        <v>0</v>
      </c>
      <c r="O72" s="271">
        <f t="shared" si="0"/>
        <v>1424.5683299999998</v>
      </c>
      <c r="P72" s="59">
        <f t="shared" si="1"/>
        <v>1721.4958299999998</v>
      </c>
      <c r="Q72" s="272">
        <f t="shared" si="2"/>
        <v>1893.645413</v>
      </c>
      <c r="R72" s="40">
        <f>'Tariffs Jan2019'!AN66</f>
        <v>0</v>
      </c>
      <c r="S72" s="40">
        <f>'Tariffs Jan2019'!AO66</f>
        <v>0</v>
      </c>
      <c r="T72" s="40">
        <f>'Tariffs Jan2019'!AP66</f>
        <v>0</v>
      </c>
      <c r="U72" s="40">
        <f>'Tariffs Jan2019'!AQ66</f>
        <v>0</v>
      </c>
      <c r="V72" s="273">
        <f>P72</f>
        <v>1721.4958299999998</v>
      </c>
      <c r="W72" s="273">
        <f>V72</f>
        <v>1721.4958299999998</v>
      </c>
      <c r="X72" s="272">
        <f t="shared" si="3"/>
        <v>1893.645413</v>
      </c>
      <c r="Y72" s="272">
        <f t="shared" si="3"/>
        <v>1893.645413</v>
      </c>
      <c r="Z72" s="274">
        <f>'Tariffs Jan2019'!AZ66</f>
        <v>0</v>
      </c>
      <c r="AA72" s="274" t="str">
        <f>'Tariffs Jan2019'!BA66</f>
        <v>n</v>
      </c>
      <c r="AB72" s="275" t="str">
        <f>'Tariffs Jan2019'!BH66</f>
        <v>Y</v>
      </c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</row>
    <row r="73" spans="1:40" x14ac:dyDescent="0.15">
      <c r="A73" s="40" t="str">
        <f>'Tariffs Jan2019'!F67</f>
        <v>EnergyAustralia</v>
      </c>
      <c r="B73" s="40" t="str">
        <f>'Tariffs Jan2019'!D67</f>
        <v>AGN Central 1</v>
      </c>
      <c r="C73" s="40" t="str">
        <f>'Tariffs Jan2019'!G67</f>
        <v>Anytime Saver</v>
      </c>
      <c r="D73" s="59">
        <f>365*'Tariffs Jan2019'!H67/100</f>
        <v>295.64999999999998</v>
      </c>
      <c r="E73" s="59">
        <f>IF($C$5*'Tariffs Jan2019'!AK67/'Tariffs Jan2019'!AI67&gt;='Tariffs Jan2019'!J67,( 'Tariffs Jan2019'!J67*'Tariffs Jan2019'!O67/100)* 'Tariffs Jan2019'!AI67,($C$5*'Tariffs Jan2019'!AK67/'Tariffs Jan2019'!AI67*'Tariffs Jan2019'!O67/100)* 'Tariffs Jan2019'!AI67)</f>
        <v>178.2</v>
      </c>
      <c r="F73" s="59">
        <f>IF($C$5*'Tariffs Jan2019'!AK67/'Tariffs Jan2019'!AI67&lt;'Tariffs Jan2019'!J67,0,IF($C$5*'Tariffs Jan2019'!AK67/'Tariffs Jan2019'!AI67&lt;='Tariffs Jan2019'!K67,($C$5*'Tariffs Jan2019'!AK67/'Tariffs Jan2019'!AI67-'Tariffs Jan2019'!J67)*('Tariffs Jan2019'!P67/100)*'Tariffs Jan2019'!AI67,('Tariffs Jan2019'!K67-'Tariffs Jan2019'!J67)*('Tariffs Jan2019'!P67/100)*'Tariffs Jan2019'!AI67))</f>
        <v>0</v>
      </c>
      <c r="G73" s="59">
        <f>IF($C$5*'Tariffs Jan2019'!AK67/'Tariffs Jan2019'!AI67&lt;'Tariffs Jan2019'!K67,0,IF($C$5*'Tariffs Jan2019'!AK67/'Tariffs Jan2019'!AI67&lt;='Tariffs Jan2019'!L67,($C$5*'Tariffs Jan2019'!AK67/'Tariffs Jan2019'!AI67-'Tariffs Jan2019'!K67)*('Tariffs Jan2019'!Q67/100)*'Tariffs Jan2019'!AI67,('Tariffs Jan2019'!L67-'Tariffs Jan2019'!K67)*('Tariffs Jan2019'!Q67/100)*'Tariffs Jan2019'!AI67))</f>
        <v>0</v>
      </c>
      <c r="H73" s="59">
        <f>IF($C$5*'Tariffs Jan2019'!AK67/'Tariffs Jan2019'!AI67&lt;'Tariffs Jan2019'!L67,0,IF($C$5*'Tariffs Jan2019'!AK67/'Tariffs Jan2019'!AI67&lt;='Tariffs Jan2019'!M67,($C$5*'Tariffs Jan2019'!AK67/'Tariffs Jan2019'!AI67-'Tariffs Jan2019'!L67)*('Tariffs Jan2019'!R67/100)*'Tariffs Jan2019'!AI67,('Tariffs Jan2019'!M67-'Tariffs Jan2019'!L67)*('Tariffs Jan2019'!R67/100)*'Tariffs Jan2019'!AI67))</f>
        <v>0</v>
      </c>
      <c r="I73" s="59">
        <f>IF(($C$5*'Tariffs Jan2019'!AK67/'Tariffs Jan2019'!AI67&gt;'Tariffs Jan2019'!M67),($C$5*'Tariffs Jan2019'!AK67/'Tariffs Jan2019'!AI67-'Tariffs Jan2019'!M67)*'Tariffs Jan2019'!S67/100*'Tariffs Jan2019'!AI67,0)</f>
        <v>299.95799999999997</v>
      </c>
      <c r="J73" s="59">
        <f>IF($C$5*'Tariffs Jan2019'!AL67/'Tariffs Jan2019'!AJ67&gt;='Tariffs Jan2019'!J67,('Tariffs Jan2019'!J67*'Tariffs Jan2019'!U67/100)* 'Tariffs Jan2019'!AJ67,($C$5*'Tariffs Jan2019'!AL67/'Tariffs Jan2019'!AJ67*'Tariffs Jan2019'!U67/100)* 'Tariffs Jan2019'!AJ67)</f>
        <v>356.4</v>
      </c>
      <c r="K73" s="59">
        <f>IF($C$5*'Tariffs Jan2019'!AL67/'Tariffs Jan2019'!AJ67&lt;'Tariffs Jan2019'!J67,0,IF($C$5*'Tariffs Jan2019'!AL67/'Tariffs Jan2019'!AJ67&lt;='Tariffs Jan2019'!K67,($C$5*'Tariffs Jan2019'!AL67/'Tariffs Jan2019'!AJ67-'Tariffs Jan2019'!J67)*('Tariffs Jan2019'!V67/100)*'Tariffs Jan2019'!AJ67,('Tariffs Jan2019'!K67-'Tariffs Jan2019'!J67)*('Tariffs Jan2019'!V67/100)*'Tariffs Jan2019'!AJ67))</f>
        <v>0</v>
      </c>
      <c r="L73" s="59">
        <f>IF($C$5*'Tariffs Jan2019'!AL67/'Tariffs Jan2019'!AJ67&lt;'Tariffs Jan2019'!K67,0,IF($C$5*'Tariffs Jan2019'!AL67/'Tariffs Jan2019'!AJ67&lt;='Tariffs Jan2019'!L67,($C$5*'Tariffs Jan2019'!AL67/'Tariffs Jan2019'!AJ67-'Tariffs Jan2019'!K67)*('Tariffs Jan2019'!W67/100)*'Tariffs Jan2019'!AJ67,('Tariffs Jan2019'!L67-'Tariffs Jan2019'!K67)*('Tariffs Jan2019'!W67/100)*'Tariffs Jan2019'!AJ67))</f>
        <v>0</v>
      </c>
      <c r="M73" s="59">
        <f>IF($C$5*'Tariffs Jan2019'!AL67/'Tariffs Jan2019'!AJ67&lt;'Tariffs Jan2019'!L67,0,IF($C$5*'Tariffs Jan2019'!AL67/'Tariffs Jan2019'!AJ67&lt;='Tariffs Jan2019'!M67,($C$5*'Tariffs Jan2019'!AL67/'Tariffs Jan2019'!AJ67-'Tariffs Jan2019'!L67)*('Tariffs Jan2019'!X67/100)*'Tariffs Jan2019'!AJ67,('Tariffs Jan2019'!M67-'Tariffs Jan2019'!L67)*('Tariffs Jan2019'!X67/100)*'Tariffs Jan2019'!AJ67))</f>
        <v>0</v>
      </c>
      <c r="N73" s="59">
        <f>IF(($C$5*'Tariffs Jan2019'!AL67/'Tariffs Jan2019'!AJ67&gt;'Tariffs Jan2019'!M67),($C$5*'Tariffs Jan2019'!AL67/'Tariffs Jan2019'!AJ67-'Tariffs Jan2019'!M67)*'Tariffs Jan2019'!Y67/100*'Tariffs Jan2019'!AJ67,0)</f>
        <v>599.91599999999994</v>
      </c>
      <c r="O73" s="271">
        <f t="shared" si="0"/>
        <v>1434.4739999999999</v>
      </c>
      <c r="P73" s="59">
        <f t="shared" si="1"/>
        <v>1730.1239999999998</v>
      </c>
      <c r="Q73" s="272">
        <f t="shared" si="2"/>
        <v>1903.1363999999999</v>
      </c>
      <c r="R73" s="40">
        <f>'Tariffs Jan2019'!AN67</f>
        <v>0</v>
      </c>
      <c r="S73" s="40">
        <f>'Tariffs Jan2019'!AO67</f>
        <v>22</v>
      </c>
      <c r="T73" s="40">
        <f>'Tariffs Jan2019'!AP67</f>
        <v>0</v>
      </c>
      <c r="U73" s="40">
        <f>'Tariffs Jan2019'!AQ67</f>
        <v>0</v>
      </c>
      <c r="V73" s="273">
        <f>P73-(O73*S73/100)</f>
        <v>1414.5397199999998</v>
      </c>
      <c r="W73" s="273">
        <f>V73-(O73*U73/100)</f>
        <v>1414.5397199999998</v>
      </c>
      <c r="X73" s="272">
        <f t="shared" si="3"/>
        <v>1555.9936919999998</v>
      </c>
      <c r="Y73" s="272">
        <f t="shared" si="3"/>
        <v>1555.9936919999998</v>
      </c>
      <c r="Z73" s="274">
        <f>'Tariffs Jan2019'!AZ67</f>
        <v>0</v>
      </c>
      <c r="AA73" s="274" t="str">
        <f>'Tariffs Jan2019'!BA67</f>
        <v>n</v>
      </c>
      <c r="AB73" s="275" t="str">
        <f>'Tariffs Jan2019'!BH67</f>
        <v>N</v>
      </c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</row>
    <row r="74" spans="1:40" x14ac:dyDescent="0.15">
      <c r="A74" s="40" t="str">
        <f>'Tariffs Jan2019'!F68</f>
        <v>Lumo Energy</v>
      </c>
      <c r="B74" s="40" t="str">
        <f>'Tariffs Jan2019'!D68</f>
        <v>AGN Central 1</v>
      </c>
      <c r="C74" s="40" t="str">
        <f>'Tariffs Jan2019'!G68</f>
        <v>Value</v>
      </c>
      <c r="D74" s="59">
        <f>365*'Tariffs Jan2019'!H68/100</f>
        <v>237.25</v>
      </c>
      <c r="E74" s="59">
        <f>IF($C$5*'Tariffs Jan2019'!AK68/'Tariffs Jan2019'!AI68&gt;='Tariffs Jan2019'!J68,( 'Tariffs Jan2019'!J68*'Tariffs Jan2019'!O68/100)* 'Tariffs Jan2019'!AI68,($C$5*'Tariffs Jan2019'!AK68/'Tariffs Jan2019'!AI68*'Tariffs Jan2019'!O68/100)* 'Tariffs Jan2019'!AI68)</f>
        <v>82.25</v>
      </c>
      <c r="F74" s="59">
        <f>IF($C$5*'Tariffs Jan2019'!AK68/'Tariffs Jan2019'!AI68&lt;'Tariffs Jan2019'!J68,0,IF($C$5*'Tariffs Jan2019'!AK68/'Tariffs Jan2019'!AI68&lt;='Tariffs Jan2019'!K68,($C$5*'Tariffs Jan2019'!AK68/'Tariffs Jan2019'!AI68-'Tariffs Jan2019'!J68)*('Tariffs Jan2019'!P68/100)*'Tariffs Jan2019'!AI68,('Tariffs Jan2019'!K68-'Tariffs Jan2019'!J68)*('Tariffs Jan2019'!P68/100)*'Tariffs Jan2019'!AI68))</f>
        <v>54.2</v>
      </c>
      <c r="G74" s="59">
        <f>IF($C$5*'Tariffs Jan2019'!AK68/'Tariffs Jan2019'!AI68&lt;'Tariffs Jan2019'!K68,0,IF($C$5*'Tariffs Jan2019'!AK68/'Tariffs Jan2019'!AI68&lt;='Tariffs Jan2019'!L68,($C$5*'Tariffs Jan2019'!AK68/'Tariffs Jan2019'!AI68-'Tariffs Jan2019'!K68)*('Tariffs Jan2019'!Q68/100)*'Tariffs Jan2019'!AI68,('Tariffs Jan2019'!L68-'Tariffs Jan2019'!K68)*('Tariffs Jan2019'!Q68/100)*'Tariffs Jan2019'!AI68))</f>
        <v>0</v>
      </c>
      <c r="H74" s="59">
        <f>IF($C$5*'Tariffs Jan2019'!AK68/'Tariffs Jan2019'!AI68&lt;'Tariffs Jan2019'!L68,0,IF($C$5*'Tariffs Jan2019'!AK68/'Tariffs Jan2019'!AI68&lt;='Tariffs Jan2019'!M68,($C$5*'Tariffs Jan2019'!AK68/'Tariffs Jan2019'!AI68-'Tariffs Jan2019'!L68)*('Tariffs Jan2019'!R68/100)*'Tariffs Jan2019'!AI68,('Tariffs Jan2019'!M68-'Tariffs Jan2019'!L68)*('Tariffs Jan2019'!R68/100)*'Tariffs Jan2019'!AI68))</f>
        <v>0</v>
      </c>
      <c r="I74" s="59">
        <f>IF(($C$5*'Tariffs Jan2019'!AK68/'Tariffs Jan2019'!AI68&gt;'Tariffs Jan2019'!M68),($C$5*'Tariffs Jan2019'!AK68/'Tariffs Jan2019'!AI68-'Tariffs Jan2019'!M68)*'Tariffs Jan2019'!S68/100*'Tariffs Jan2019'!AI68,0)</f>
        <v>269.9622</v>
      </c>
      <c r="J74" s="59">
        <f>IF($C$5*'Tariffs Jan2019'!AL68/'Tariffs Jan2019'!AJ68&gt;='Tariffs Jan2019'!J68,('Tariffs Jan2019'!J68*'Tariffs Jan2019'!U68/100)* 'Tariffs Jan2019'!AJ68,($C$5*'Tariffs Jan2019'!AL68/'Tariffs Jan2019'!AJ68*'Tariffs Jan2019'!U68/100)* 'Tariffs Jan2019'!AJ68)</f>
        <v>164.5</v>
      </c>
      <c r="K74" s="59">
        <f>IF($C$5*'Tariffs Jan2019'!AL68/'Tariffs Jan2019'!AJ68&lt;'Tariffs Jan2019'!J68,0,IF($C$5*'Tariffs Jan2019'!AL68/'Tariffs Jan2019'!AJ68&lt;='Tariffs Jan2019'!K68,($C$5*'Tariffs Jan2019'!AL68/'Tariffs Jan2019'!AJ68-'Tariffs Jan2019'!J68)*('Tariffs Jan2019'!V68/100)*'Tariffs Jan2019'!AJ68,('Tariffs Jan2019'!K68-'Tariffs Jan2019'!J68)*('Tariffs Jan2019'!V68/100)*'Tariffs Jan2019'!AJ68))</f>
        <v>108.4</v>
      </c>
      <c r="L74" s="59">
        <f>IF($C$5*'Tariffs Jan2019'!AL68/'Tariffs Jan2019'!AJ68&lt;'Tariffs Jan2019'!K68,0,IF($C$5*'Tariffs Jan2019'!AL68/'Tariffs Jan2019'!AJ68&lt;='Tariffs Jan2019'!L68,($C$5*'Tariffs Jan2019'!AL68/'Tariffs Jan2019'!AJ68-'Tariffs Jan2019'!K68)*('Tariffs Jan2019'!W68/100)*'Tariffs Jan2019'!AJ68,('Tariffs Jan2019'!L68-'Tariffs Jan2019'!K68)*('Tariffs Jan2019'!W68/100)*'Tariffs Jan2019'!AJ68))</f>
        <v>0</v>
      </c>
      <c r="M74" s="59">
        <f>IF($C$5*'Tariffs Jan2019'!AL68/'Tariffs Jan2019'!AJ68&lt;'Tariffs Jan2019'!L68,0,IF($C$5*'Tariffs Jan2019'!AL68/'Tariffs Jan2019'!AJ68&lt;='Tariffs Jan2019'!M68,($C$5*'Tariffs Jan2019'!AL68/'Tariffs Jan2019'!AJ68-'Tariffs Jan2019'!L68)*('Tariffs Jan2019'!X68/100)*'Tariffs Jan2019'!AJ68,('Tariffs Jan2019'!M68-'Tariffs Jan2019'!L68)*('Tariffs Jan2019'!X68/100)*'Tariffs Jan2019'!AJ68))</f>
        <v>0</v>
      </c>
      <c r="N74" s="59">
        <f>IF(($C$5*'Tariffs Jan2019'!AL68/'Tariffs Jan2019'!AJ68&gt;'Tariffs Jan2019'!M68),($C$5*'Tariffs Jan2019'!AL68/'Tariffs Jan2019'!AJ68-'Tariffs Jan2019'!M68)*'Tariffs Jan2019'!Y68/100*'Tariffs Jan2019'!AJ68,0)</f>
        <v>539.92439999999999</v>
      </c>
      <c r="O74" s="271">
        <f t="shared" si="0"/>
        <v>1219.2366</v>
      </c>
      <c r="P74" s="59">
        <f t="shared" si="1"/>
        <v>1456.4866</v>
      </c>
      <c r="Q74" s="272">
        <f t="shared" si="2"/>
        <v>1602.13526</v>
      </c>
      <c r="R74" s="40">
        <f>'Tariffs Jan2019'!AN68</f>
        <v>0</v>
      </c>
      <c r="S74" s="40">
        <f>'Tariffs Jan2019'!AO68</f>
        <v>0</v>
      </c>
      <c r="T74" s="40">
        <f>'Tariffs Jan2019'!AP68</f>
        <v>3</v>
      </c>
      <c r="U74" s="40">
        <f>'Tariffs Jan2019'!AQ68</f>
        <v>0</v>
      </c>
      <c r="V74" s="273">
        <f t="shared" ref="V74:V82" si="8">P74</f>
        <v>1456.4866</v>
      </c>
      <c r="W74" s="273">
        <f>V74-(P74*T74/100)</f>
        <v>1412.7920019999999</v>
      </c>
      <c r="X74" s="272">
        <f t="shared" si="3"/>
        <v>1602.13526</v>
      </c>
      <c r="Y74" s="272">
        <f t="shared" si="3"/>
        <v>1554.0712022</v>
      </c>
      <c r="Z74" s="274">
        <f>'Tariffs Jan2019'!AZ68</f>
        <v>0</v>
      </c>
      <c r="AA74" s="274" t="str">
        <f>'Tariffs Jan2019'!BA68</f>
        <v>n</v>
      </c>
      <c r="AB74" s="275" t="str">
        <f>'Tariffs Jan2019'!BH68</f>
        <v>N</v>
      </c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</row>
    <row r="75" spans="1:40" x14ac:dyDescent="0.15">
      <c r="A75" s="40" t="str">
        <f>'Tariffs Jan2019'!F69</f>
        <v>Momentum Energy</v>
      </c>
      <c r="B75" s="40" t="str">
        <f>'Tariffs Jan2019'!D69</f>
        <v>AGN Central 1</v>
      </c>
      <c r="C75" s="40" t="str">
        <f>'Tariffs Jan2019'!G69</f>
        <v>Market offer</v>
      </c>
      <c r="D75" s="59">
        <f>365*'Tariffs Jan2019'!H69/100</f>
        <v>288.0215</v>
      </c>
      <c r="E75" s="59">
        <f>IF($C$5*'Tariffs Jan2019'!AK69/'Tariffs Jan2019'!AI69&gt;='Tariffs Jan2019'!J69,( 'Tariffs Jan2019'!J69*'Tariffs Jan2019'!O69/100)* 'Tariffs Jan2019'!AI69,($C$5*'Tariffs Jan2019'!AK69/'Tariffs Jan2019'!AI69*'Tariffs Jan2019'!O69/100)* 'Tariffs Jan2019'!AI69)</f>
        <v>81.295900000000003</v>
      </c>
      <c r="F75" s="59">
        <f>IF($C$5*'Tariffs Jan2019'!AK69/'Tariffs Jan2019'!AI69&lt;'Tariffs Jan2019'!J69,0,IF($C$5*'Tariffs Jan2019'!AK69/'Tariffs Jan2019'!AI69&lt;='Tariffs Jan2019'!K69,($C$5*'Tariffs Jan2019'!AK69/'Tariffs Jan2019'!AI69-'Tariffs Jan2019'!J69)*('Tariffs Jan2019'!P69/100)*'Tariffs Jan2019'!AI69,('Tariffs Jan2019'!K69-'Tariffs Jan2019'!J69)*('Tariffs Jan2019'!P69/100)*'Tariffs Jan2019'!AI69))</f>
        <v>56.747399999999999</v>
      </c>
      <c r="G75" s="59">
        <f>IF($C$5*'Tariffs Jan2019'!AK69/'Tariffs Jan2019'!AI69&lt;'Tariffs Jan2019'!K69,0,IF($C$5*'Tariffs Jan2019'!AK69/'Tariffs Jan2019'!AI69&lt;='Tariffs Jan2019'!L69,($C$5*'Tariffs Jan2019'!AK69/'Tariffs Jan2019'!AI69-'Tariffs Jan2019'!K69)*('Tariffs Jan2019'!Q69/100)*'Tariffs Jan2019'!AI69,('Tariffs Jan2019'!L69-'Tariffs Jan2019'!K69)*('Tariffs Jan2019'!Q69/100)*'Tariffs Jan2019'!AI69))</f>
        <v>0</v>
      </c>
      <c r="H75" s="59">
        <f>IF($C$5*'Tariffs Jan2019'!AK69/'Tariffs Jan2019'!AI69&lt;'Tariffs Jan2019'!L69,0,IF($C$5*'Tariffs Jan2019'!AK69/'Tariffs Jan2019'!AI69&lt;='Tariffs Jan2019'!M69,($C$5*'Tariffs Jan2019'!AK69/'Tariffs Jan2019'!AI69-'Tariffs Jan2019'!L69)*('Tariffs Jan2019'!R69/100)*'Tariffs Jan2019'!AI69,('Tariffs Jan2019'!M69-'Tariffs Jan2019'!L69)*('Tariffs Jan2019'!R69/100)*'Tariffs Jan2019'!AI69))</f>
        <v>0</v>
      </c>
      <c r="I75" s="59">
        <f>IF(($C$5*'Tariffs Jan2019'!AK69/'Tariffs Jan2019'!AI69&gt;'Tariffs Jan2019'!M69),($C$5*'Tariffs Jan2019'!AK69/'Tariffs Jan2019'!AI69-'Tariffs Jan2019'!M69)*'Tariffs Jan2019'!S69/100*'Tariffs Jan2019'!AI69,0)</f>
        <v>273.41171699999995</v>
      </c>
      <c r="J75" s="59">
        <f>IF($C$5*'Tariffs Jan2019'!AL69/'Tariffs Jan2019'!AJ69&gt;='Tariffs Jan2019'!J69,('Tariffs Jan2019'!J69*'Tariffs Jan2019'!U69/100)* 'Tariffs Jan2019'!AJ69,($C$5*'Tariffs Jan2019'!AL69/'Tariffs Jan2019'!AJ69*'Tariffs Jan2019'!U69/100)* 'Tariffs Jan2019'!AJ69)</f>
        <v>147.52360000000002</v>
      </c>
      <c r="K75" s="59">
        <f>IF($C$5*'Tariffs Jan2019'!AL69/'Tariffs Jan2019'!AJ69&lt;'Tariffs Jan2019'!J69,0,IF($C$5*'Tariffs Jan2019'!AL69/'Tariffs Jan2019'!AJ69&lt;='Tariffs Jan2019'!K69,($C$5*'Tariffs Jan2019'!AL69/'Tariffs Jan2019'!AJ69-'Tariffs Jan2019'!J69)*('Tariffs Jan2019'!V69/100)*'Tariffs Jan2019'!AJ69,('Tariffs Jan2019'!K69-'Tariffs Jan2019'!J69)*('Tariffs Jan2019'!V69/100)*'Tariffs Jan2019'!AJ69))</f>
        <v>102.6006</v>
      </c>
      <c r="L75" s="59">
        <f>IF($C$5*'Tariffs Jan2019'!AL69/'Tariffs Jan2019'!AJ69&lt;'Tariffs Jan2019'!K69,0,IF($C$5*'Tariffs Jan2019'!AL69/'Tariffs Jan2019'!AJ69&lt;='Tariffs Jan2019'!L69,($C$5*'Tariffs Jan2019'!AL69/'Tariffs Jan2019'!AJ69-'Tariffs Jan2019'!K69)*('Tariffs Jan2019'!W69/100)*'Tariffs Jan2019'!AJ69,('Tariffs Jan2019'!L69-'Tariffs Jan2019'!K69)*('Tariffs Jan2019'!W69/100)*'Tariffs Jan2019'!AJ69))</f>
        <v>0</v>
      </c>
      <c r="M75" s="59">
        <f>IF($C$5*'Tariffs Jan2019'!AL69/'Tariffs Jan2019'!AJ69&lt;'Tariffs Jan2019'!L69,0,IF($C$5*'Tariffs Jan2019'!AL69/'Tariffs Jan2019'!AJ69&lt;='Tariffs Jan2019'!M69,($C$5*'Tariffs Jan2019'!AL69/'Tariffs Jan2019'!AJ69-'Tariffs Jan2019'!L69)*('Tariffs Jan2019'!X69/100)*'Tariffs Jan2019'!AJ69,('Tariffs Jan2019'!M69-'Tariffs Jan2019'!L69)*('Tariffs Jan2019'!X69/100)*'Tariffs Jan2019'!AJ69))</f>
        <v>0</v>
      </c>
      <c r="N75" s="59">
        <f>IF(($C$5*'Tariffs Jan2019'!AL69/'Tariffs Jan2019'!AJ69&gt;'Tariffs Jan2019'!M69),($C$5*'Tariffs Jan2019'!AL69/'Tariffs Jan2019'!AJ69-'Tariffs Jan2019'!M69)*'Tariffs Jan2019'!Y69/100*'Tariffs Jan2019'!AJ69,0)</f>
        <v>492.23107799999991</v>
      </c>
      <c r="O75" s="271">
        <f t="shared" si="0"/>
        <v>1153.8102949999998</v>
      </c>
      <c r="P75" s="59">
        <f t="shared" si="1"/>
        <v>1441.8317949999998</v>
      </c>
      <c r="Q75" s="272">
        <f t="shared" si="2"/>
        <v>1586.0149744999999</v>
      </c>
      <c r="R75" s="40">
        <f>'Tariffs Jan2019'!AN69</f>
        <v>0</v>
      </c>
      <c r="S75" s="40">
        <f>'Tariffs Jan2019'!AO69</f>
        <v>0</v>
      </c>
      <c r="T75" s="40">
        <f>'Tariffs Jan2019'!AP69</f>
        <v>0</v>
      </c>
      <c r="U75" s="40">
        <f>'Tariffs Jan2019'!AQ69</f>
        <v>0</v>
      </c>
      <c r="V75" s="273">
        <f t="shared" si="8"/>
        <v>1441.8317949999998</v>
      </c>
      <c r="W75" s="273">
        <f>V75</f>
        <v>1441.8317949999998</v>
      </c>
      <c r="X75" s="272">
        <f t="shared" si="3"/>
        <v>1586.0149744999999</v>
      </c>
      <c r="Y75" s="272">
        <f t="shared" si="3"/>
        <v>1586.0149744999999</v>
      </c>
      <c r="Z75" s="274">
        <f>'Tariffs Jan2019'!AZ69</f>
        <v>0</v>
      </c>
      <c r="AA75" s="274" t="str">
        <f>'Tariffs Jan2019'!BA69</f>
        <v>n</v>
      </c>
      <c r="AB75" s="275" t="str">
        <f>'Tariffs Jan2019'!BH69</f>
        <v>Y</v>
      </c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</row>
    <row r="76" spans="1:40" x14ac:dyDescent="0.15">
      <c r="A76" s="40" t="str">
        <f>'Tariffs Jan2019'!F70</f>
        <v>Origin Energy</v>
      </c>
      <c r="B76" s="40" t="str">
        <f>'Tariffs Jan2019'!D70</f>
        <v>AGN Central 1</v>
      </c>
      <c r="C76" s="40" t="str">
        <f>'Tariffs Jan2019'!G70</f>
        <v>Saver</v>
      </c>
      <c r="D76" s="59">
        <f>365*'Tariffs Jan2019'!H70/100</f>
        <v>251.85</v>
      </c>
      <c r="E76" s="59">
        <f>IF($C$5*'Tariffs Jan2019'!AK70/'Tariffs Jan2019'!AI70&gt;='Tariffs Jan2019'!J70,( 'Tariffs Jan2019'!J70*'Tariffs Jan2019'!O70/100)* 'Tariffs Jan2019'!AI70,($C$5*'Tariffs Jan2019'!AK70/'Tariffs Jan2019'!AI70*'Tariffs Jan2019'!O70/100)* 'Tariffs Jan2019'!AI70)</f>
        <v>176</v>
      </c>
      <c r="F76" s="59">
        <f>IF($C$5*'Tariffs Jan2019'!AK70/'Tariffs Jan2019'!AI70&lt;'Tariffs Jan2019'!J70,0,IF($C$5*'Tariffs Jan2019'!AK70/'Tariffs Jan2019'!AI70&lt;='Tariffs Jan2019'!K70,($C$5*'Tariffs Jan2019'!AK70/'Tariffs Jan2019'!AI70-'Tariffs Jan2019'!J70)*('Tariffs Jan2019'!P70/100)*'Tariffs Jan2019'!AI70,('Tariffs Jan2019'!K70-'Tariffs Jan2019'!J70)*('Tariffs Jan2019'!P70/100)*'Tariffs Jan2019'!AI70))</f>
        <v>272.95589999999999</v>
      </c>
      <c r="G76" s="59">
        <f>IF($C$5*'Tariffs Jan2019'!AK70/'Tariffs Jan2019'!AI70&lt;'Tariffs Jan2019'!K70,0,IF($C$5*'Tariffs Jan2019'!AK70/'Tariffs Jan2019'!AI70&lt;='Tariffs Jan2019'!L70,($C$5*'Tariffs Jan2019'!AK70/'Tariffs Jan2019'!AI70-'Tariffs Jan2019'!K70)*('Tariffs Jan2019'!Q70/100)*'Tariffs Jan2019'!AI70,('Tariffs Jan2019'!L70-'Tariffs Jan2019'!K70)*('Tariffs Jan2019'!Q70/100)*'Tariffs Jan2019'!AI70))</f>
        <v>0</v>
      </c>
      <c r="H76" s="59">
        <f>IF($C$5*'Tariffs Jan2019'!AK70/'Tariffs Jan2019'!AI70&lt;'Tariffs Jan2019'!L70,0,IF($C$5*'Tariffs Jan2019'!AK70/'Tariffs Jan2019'!AI70&lt;='Tariffs Jan2019'!M70,($C$5*'Tariffs Jan2019'!AK70/'Tariffs Jan2019'!AI70-'Tariffs Jan2019'!L70)*('Tariffs Jan2019'!R70/100)*'Tariffs Jan2019'!AI70,('Tariffs Jan2019'!M70-'Tariffs Jan2019'!L70)*('Tariffs Jan2019'!R70/100)*'Tariffs Jan2019'!AI70))</f>
        <v>0</v>
      </c>
      <c r="I76" s="59">
        <f>IF(($C$5*'Tariffs Jan2019'!AK70/'Tariffs Jan2019'!AI70&gt;'Tariffs Jan2019'!M70),($C$5*'Tariffs Jan2019'!AK70/'Tariffs Jan2019'!AI70-'Tariffs Jan2019'!M70)*'Tariffs Jan2019'!S70/100*'Tariffs Jan2019'!AI70,0)</f>
        <v>0</v>
      </c>
      <c r="J76" s="59">
        <f>IF($C$5*'Tariffs Jan2019'!AL70/'Tariffs Jan2019'!AJ70&gt;='Tariffs Jan2019'!J70,('Tariffs Jan2019'!J70*'Tariffs Jan2019'!U70/100)* 'Tariffs Jan2019'!AJ70,($C$5*'Tariffs Jan2019'!AL70/'Tariffs Jan2019'!AJ70*'Tariffs Jan2019'!U70/100)* 'Tariffs Jan2019'!AJ70)</f>
        <v>352</v>
      </c>
      <c r="K76" s="59">
        <f>IF($C$5*'Tariffs Jan2019'!AL70/'Tariffs Jan2019'!AJ70&lt;'Tariffs Jan2019'!J70,0,IF($C$5*'Tariffs Jan2019'!AL70/'Tariffs Jan2019'!AJ70&lt;='Tariffs Jan2019'!K70,($C$5*'Tariffs Jan2019'!AL70/'Tariffs Jan2019'!AJ70-'Tariffs Jan2019'!J70)*('Tariffs Jan2019'!V70/100)*'Tariffs Jan2019'!AJ70,('Tariffs Jan2019'!K70-'Tariffs Jan2019'!J70)*('Tariffs Jan2019'!V70/100)*'Tariffs Jan2019'!AJ70))</f>
        <v>545.91179999999997</v>
      </c>
      <c r="L76" s="59">
        <f>IF($C$5*'Tariffs Jan2019'!AL70/'Tariffs Jan2019'!AJ70&lt;'Tariffs Jan2019'!K70,0,IF($C$5*'Tariffs Jan2019'!AL70/'Tariffs Jan2019'!AJ70&lt;='Tariffs Jan2019'!L70,($C$5*'Tariffs Jan2019'!AL70/'Tariffs Jan2019'!AJ70-'Tariffs Jan2019'!K70)*('Tariffs Jan2019'!W70/100)*'Tariffs Jan2019'!AJ70,('Tariffs Jan2019'!L70-'Tariffs Jan2019'!K70)*('Tariffs Jan2019'!W70/100)*'Tariffs Jan2019'!AJ70))</f>
        <v>0</v>
      </c>
      <c r="M76" s="59">
        <f>IF($C$5*'Tariffs Jan2019'!AL70/'Tariffs Jan2019'!AJ70&lt;'Tariffs Jan2019'!L70,0,IF($C$5*'Tariffs Jan2019'!AL70/'Tariffs Jan2019'!AJ70&lt;='Tariffs Jan2019'!M70,($C$5*'Tariffs Jan2019'!AL70/'Tariffs Jan2019'!AJ70-'Tariffs Jan2019'!L70)*('Tariffs Jan2019'!X70/100)*'Tariffs Jan2019'!AJ70,('Tariffs Jan2019'!M70-'Tariffs Jan2019'!L70)*('Tariffs Jan2019'!X70/100)*'Tariffs Jan2019'!AJ70))</f>
        <v>0</v>
      </c>
      <c r="N76" s="59">
        <f>IF(($C$5*'Tariffs Jan2019'!AL70/'Tariffs Jan2019'!AJ70&gt;'Tariffs Jan2019'!M70),($C$5*'Tariffs Jan2019'!AL70/'Tariffs Jan2019'!AJ70-'Tariffs Jan2019'!M70)*'Tariffs Jan2019'!Y70/100*'Tariffs Jan2019'!AJ70,0)</f>
        <v>0</v>
      </c>
      <c r="O76" s="271">
        <f t="shared" si="0"/>
        <v>1346.8676999999998</v>
      </c>
      <c r="P76" s="59">
        <f t="shared" si="1"/>
        <v>1598.7176999999997</v>
      </c>
      <c r="Q76" s="272">
        <f t="shared" si="2"/>
        <v>1758.5894699999999</v>
      </c>
      <c r="R76" s="40">
        <f>'Tariffs Jan2019'!AN70</f>
        <v>0</v>
      </c>
      <c r="S76" s="40">
        <f>'Tariffs Jan2019'!AO70</f>
        <v>0</v>
      </c>
      <c r="T76" s="40">
        <f>'Tariffs Jan2019'!AP70</f>
        <v>0</v>
      </c>
      <c r="U76" s="40">
        <f>'Tariffs Jan2019'!AQ70</f>
        <v>13</v>
      </c>
      <c r="V76" s="273">
        <f t="shared" si="8"/>
        <v>1598.7176999999997</v>
      </c>
      <c r="W76" s="273">
        <f>V76-(O76*U76/100)</f>
        <v>1423.6248989999997</v>
      </c>
      <c r="X76" s="272">
        <f t="shared" si="3"/>
        <v>1758.5894699999999</v>
      </c>
      <c r="Y76" s="272">
        <f t="shared" si="3"/>
        <v>1565.9873888999998</v>
      </c>
      <c r="Z76" s="274">
        <f>'Tariffs Jan2019'!AZ70</f>
        <v>0</v>
      </c>
      <c r="AA76" s="274" t="str">
        <f>'Tariffs Jan2019'!BA70</f>
        <v>n</v>
      </c>
      <c r="AB76" s="275" t="str">
        <f>'Tariffs Jan2019'!BH70</f>
        <v>N</v>
      </c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</row>
    <row r="77" spans="1:40" x14ac:dyDescent="0.15">
      <c r="A77" s="40" t="str">
        <f>'Tariffs Jan2019'!F71</f>
        <v>Red Energy</v>
      </c>
      <c r="B77" s="40" t="str">
        <f>'Tariffs Jan2019'!D71</f>
        <v>AGN Central 1</v>
      </c>
      <c r="C77" s="40" t="str">
        <f>'Tariffs Jan2019'!G71</f>
        <v>Easy Saver</v>
      </c>
      <c r="D77" s="59">
        <f>365*'Tariffs Jan2019'!H71/100</f>
        <v>255.5</v>
      </c>
      <c r="E77" s="59">
        <f>IF($C$5*'Tariffs Jan2019'!AK71/'Tariffs Jan2019'!AI71&gt;='Tariffs Jan2019'!J71,( 'Tariffs Jan2019'!J71*'Tariffs Jan2019'!O71/100)* 'Tariffs Jan2019'!AI71,($C$5*'Tariffs Jan2019'!AK71/'Tariffs Jan2019'!AI71*'Tariffs Jan2019'!O71/100)* 'Tariffs Jan2019'!AI71)</f>
        <v>135</v>
      </c>
      <c r="F77" s="59">
        <f>IF($C$5*'Tariffs Jan2019'!AK71/'Tariffs Jan2019'!AI71&lt;'Tariffs Jan2019'!J71,0,IF($C$5*'Tariffs Jan2019'!AK71/'Tariffs Jan2019'!AI71&lt;='Tariffs Jan2019'!K71,($C$5*'Tariffs Jan2019'!AK71/'Tariffs Jan2019'!AI71-'Tariffs Jan2019'!J71)*('Tariffs Jan2019'!S71/100)*'Tariffs Jan2019'!AI71,('Tariffs Jan2019'!K71-'Tariffs Jan2019'!J71)*('Tariffs Jan2019'!S71/100)*'Tariffs Jan2019'!AI71))</f>
        <v>0</v>
      </c>
      <c r="G77" s="59">
        <f>IF($C$5*'Tariffs Jan2019'!AK71/'Tariffs Jan2019'!AI71&lt;'Tariffs Jan2019'!K71,0,IF($C$5*'Tariffs Jan2019'!AK71/'Tariffs Jan2019'!AI71&lt;='Tariffs Jan2019'!L71,($C$5*'Tariffs Jan2019'!AK71/'Tariffs Jan2019'!AI71-'Tariffs Jan2019'!K71)*('Tariffs Jan2019'!Q71/100)*'Tariffs Jan2019'!AI71,('Tariffs Jan2019'!L71-'Tariffs Jan2019'!K71)*('Tariffs Jan2019'!Q71/100)*'Tariffs Jan2019'!AI71))</f>
        <v>0</v>
      </c>
      <c r="H77" s="59">
        <f>IF($C$5*'Tariffs Jan2019'!AK71/'Tariffs Jan2019'!AI71&lt;'Tariffs Jan2019'!L71,0,IF($C$5*'Tariffs Jan2019'!AK71/'Tariffs Jan2019'!AI71&lt;='Tariffs Jan2019'!M71,($C$5*'Tariffs Jan2019'!AK71/'Tariffs Jan2019'!AI71-'Tariffs Jan2019'!L71)*('Tariffs Jan2019'!R71/100)*'Tariffs Jan2019'!AI71,('Tariffs Jan2019'!M71-'Tariffs Jan2019'!L71)*('Tariffs Jan2019'!R71/100)*'Tariffs Jan2019'!AI71))</f>
        <v>0</v>
      </c>
      <c r="I77" s="59">
        <f>IF(($C$5*'Tariffs Jan2019'!AK71/'Tariffs Jan2019'!AI71&gt;'Tariffs Jan2019'!M71),($C$5*'Tariffs Jan2019'!AK71/'Tariffs Jan2019'!AI71-'Tariffs Jan2019'!M71)*'Tariffs Jan2019'!S71/100*'Tariffs Jan2019'!AI71,0)</f>
        <v>262.46324999999996</v>
      </c>
      <c r="J77" s="59">
        <f>IF($C$5*'Tariffs Jan2019'!AL71/'Tariffs Jan2019'!AJ71&gt;='Tariffs Jan2019'!J71,('Tariffs Jan2019'!J71*'Tariffs Jan2019'!U71/100)* 'Tariffs Jan2019'!AJ71,($C$5*'Tariffs Jan2019'!AL71/'Tariffs Jan2019'!AJ71*'Tariffs Jan2019'!U71/100)* 'Tariffs Jan2019'!AJ71)</f>
        <v>270</v>
      </c>
      <c r="K77" s="59">
        <f>IF($C$5*'Tariffs Jan2019'!AL71/'Tariffs Jan2019'!AJ71&lt;'Tariffs Jan2019'!J71,0,IF($C$5*'Tariffs Jan2019'!AL71/'Tariffs Jan2019'!AJ71&lt;='Tariffs Jan2019'!K71,($C$5*'Tariffs Jan2019'!AL71/'Tariffs Jan2019'!AJ71-'Tariffs Jan2019'!J71)*('Tariffs Jan2019'!V71/100)*'Tariffs Jan2019'!AJ71,('Tariffs Jan2019'!K71-'Tariffs Jan2019'!J71)*('Tariffs Jan2019'!V71/100)*'Tariffs Jan2019'!AJ71))</f>
        <v>0</v>
      </c>
      <c r="L77" s="59">
        <f>IF($C$5*'Tariffs Jan2019'!AL71/'Tariffs Jan2019'!AJ71&lt;'Tariffs Jan2019'!K71,0,IF($C$5*'Tariffs Jan2019'!AL71/'Tariffs Jan2019'!AJ71&lt;='Tariffs Jan2019'!L71,($C$5*'Tariffs Jan2019'!AL71/'Tariffs Jan2019'!AJ71-'Tariffs Jan2019'!K71)*('Tariffs Jan2019'!W71/100)*'Tariffs Jan2019'!AJ71,('Tariffs Jan2019'!L71-'Tariffs Jan2019'!K71)*('Tariffs Jan2019'!W71/100)*'Tariffs Jan2019'!AJ71))</f>
        <v>0</v>
      </c>
      <c r="M77" s="59">
        <f>IF($C$5*'Tariffs Jan2019'!AL71/'Tariffs Jan2019'!AJ71&lt;'Tariffs Jan2019'!L71,0,IF($C$5*'Tariffs Jan2019'!AL71/'Tariffs Jan2019'!AJ71&lt;='Tariffs Jan2019'!M71,($C$5*'Tariffs Jan2019'!AL71/'Tariffs Jan2019'!AJ71-'Tariffs Jan2019'!L71)*('Tariffs Jan2019'!X71/100)*'Tariffs Jan2019'!AJ71,('Tariffs Jan2019'!M71-'Tariffs Jan2019'!L71)*('Tariffs Jan2019'!X71/100)*'Tariffs Jan2019'!AJ71))</f>
        <v>0</v>
      </c>
      <c r="N77" s="59">
        <f>IF(($C$5*'Tariffs Jan2019'!AL71/'Tariffs Jan2019'!AJ71&gt;'Tariffs Jan2019'!M71),($C$5*'Tariffs Jan2019'!AL71/'Tariffs Jan2019'!AJ71-'Tariffs Jan2019'!M71)*'Tariffs Jan2019'!Y71/100*'Tariffs Jan2019'!AJ71,0)</f>
        <v>524.92649999999992</v>
      </c>
      <c r="O77" s="271">
        <f t="shared" si="0"/>
        <v>1192.3897499999998</v>
      </c>
      <c r="P77" s="59">
        <f t="shared" si="1"/>
        <v>1447.8897499999998</v>
      </c>
      <c r="Q77" s="272">
        <f t="shared" si="2"/>
        <v>1592.678725</v>
      </c>
      <c r="R77" s="40">
        <f>'Tariffs Jan2019'!AN71</f>
        <v>0</v>
      </c>
      <c r="S77" s="40">
        <f>'Tariffs Jan2019'!AO71</f>
        <v>0</v>
      </c>
      <c r="T77" s="40">
        <f>'Tariffs Jan2019'!AP71</f>
        <v>10</v>
      </c>
      <c r="U77" s="40">
        <f>'Tariffs Jan2019'!AQ71</f>
        <v>0</v>
      </c>
      <c r="V77" s="273">
        <f t="shared" si="8"/>
        <v>1447.8897499999998</v>
      </c>
      <c r="W77" s="273">
        <f>V77-(P77*T77/100)</f>
        <v>1303.1007749999999</v>
      </c>
      <c r="X77" s="272">
        <f t="shared" si="3"/>
        <v>1592.678725</v>
      </c>
      <c r="Y77" s="272">
        <f t="shared" si="3"/>
        <v>1433.4108524999999</v>
      </c>
      <c r="Z77" s="274">
        <f>'Tariffs Jan2019'!AZ71</f>
        <v>0</v>
      </c>
      <c r="AA77" s="274" t="str">
        <f>'Tariffs Jan2019'!BA71</f>
        <v>n</v>
      </c>
      <c r="AB77" s="275" t="str">
        <f>'Tariffs Jan2019'!BH71</f>
        <v>N</v>
      </c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</row>
    <row r="78" spans="1:40" x14ac:dyDescent="0.15">
      <c r="A78" s="40" t="str">
        <f>'Tariffs Jan2019'!F72</f>
        <v>Simply Energy</v>
      </c>
      <c r="B78" s="40" t="str">
        <f>'Tariffs Jan2019'!D72</f>
        <v>AGN Central 1</v>
      </c>
      <c r="C78" s="40" t="str">
        <f>'Tariffs Jan2019'!G72</f>
        <v>Plus</v>
      </c>
      <c r="D78" s="59">
        <f>365*'Tariffs Jan2019'!H72/100</f>
        <v>259.55150000000003</v>
      </c>
      <c r="E78" s="59">
        <f>IF($C$5*'Tariffs Jan2019'!AK72/'Tariffs Jan2019'!AI72&gt;='Tariffs Jan2019'!J72,( 'Tariffs Jan2019'!J72*'Tariffs Jan2019'!O72/100)* 'Tariffs Jan2019'!AI72,($C$5*'Tariffs Jan2019'!AK72/'Tariffs Jan2019'!AI72*'Tariffs Jan2019'!O72/100)* 'Tariffs Jan2019'!AI72)</f>
        <v>102.319</v>
      </c>
      <c r="F78" s="59">
        <f>IF($C$5*'Tariffs Jan2019'!AK72/'Tariffs Jan2019'!AI72&lt;'Tariffs Jan2019'!J72,0,IF($C$5*'Tariffs Jan2019'!AK72/'Tariffs Jan2019'!AI72&lt;='Tariffs Jan2019'!K72,($C$5*'Tariffs Jan2019'!AK72/'Tariffs Jan2019'!AI72-'Tariffs Jan2019'!J72)*('Tariffs Jan2019'!P72/100)*'Tariffs Jan2019'!AI72,('Tariffs Jan2019'!K72-'Tariffs Jan2019'!J72)*('Tariffs Jan2019'!P72/100)*'Tariffs Jan2019'!AI72))</f>
        <v>71.00200000000001</v>
      </c>
      <c r="G78" s="59">
        <f>IF($C$5*'Tariffs Jan2019'!AK72/'Tariffs Jan2019'!AI72&lt;'Tariffs Jan2019'!K72,0,IF($C$5*'Tariffs Jan2019'!AK72/'Tariffs Jan2019'!AI72&lt;='Tariffs Jan2019'!L72,($C$5*'Tariffs Jan2019'!AK72/'Tariffs Jan2019'!AI72-'Tariffs Jan2019'!K72)*('Tariffs Jan2019'!Q72/100)*'Tariffs Jan2019'!AI72,('Tariffs Jan2019'!L72-'Tariffs Jan2019'!K72)*('Tariffs Jan2019'!Q72/100)*'Tariffs Jan2019'!AI72))</f>
        <v>0</v>
      </c>
      <c r="H78" s="59">
        <f>IF($C$5*'Tariffs Jan2019'!AK72/'Tariffs Jan2019'!AI72&lt;'Tariffs Jan2019'!L72,0,IF($C$5*'Tariffs Jan2019'!AK72/'Tariffs Jan2019'!AI72&lt;='Tariffs Jan2019'!M72,($C$5*'Tariffs Jan2019'!AK72/'Tariffs Jan2019'!AI72-'Tariffs Jan2019'!L72)*('Tariffs Jan2019'!R72/100)*'Tariffs Jan2019'!AI72,('Tariffs Jan2019'!M72-'Tariffs Jan2019'!L72)*('Tariffs Jan2019'!R72/100)*'Tariffs Jan2019'!AI72))</f>
        <v>0</v>
      </c>
      <c r="I78" s="59">
        <f>IF(($C$5*'Tariffs Jan2019'!AK72/'Tariffs Jan2019'!AI72&gt;'Tariffs Jan2019'!M72),($C$5*'Tariffs Jan2019'!AK72/'Tariffs Jan2019'!AI72-'Tariffs Jan2019'!M72)*'Tariffs Jan2019'!S72/100*'Tariffs Jan2019'!AI72,0)</f>
        <v>328.45400999999998</v>
      </c>
      <c r="J78" s="59">
        <f>IF($C$5*'Tariffs Jan2019'!AL72/'Tariffs Jan2019'!AJ72&gt;='Tariffs Jan2019'!J72,('Tariffs Jan2019'!J72*'Tariffs Jan2019'!U72/100)* 'Tariffs Jan2019'!AJ72,($C$5*'Tariffs Jan2019'!AL72/'Tariffs Jan2019'!AJ72*'Tariffs Jan2019'!U72/100)* 'Tariffs Jan2019'!AJ72)</f>
        <v>204.63800000000001</v>
      </c>
      <c r="K78" s="59">
        <f>IF($C$5*'Tariffs Jan2019'!AL72/'Tariffs Jan2019'!AJ72&lt;'Tariffs Jan2019'!J72,0,IF($C$5*'Tariffs Jan2019'!AL72/'Tariffs Jan2019'!AJ72&lt;='Tariffs Jan2019'!K72,($C$5*'Tariffs Jan2019'!AL72/'Tariffs Jan2019'!AJ72-'Tariffs Jan2019'!J72)*('Tariffs Jan2019'!V72/100)*'Tariffs Jan2019'!AJ72,('Tariffs Jan2019'!K72-'Tariffs Jan2019'!J72)*('Tariffs Jan2019'!V72/100)*'Tariffs Jan2019'!AJ72))</f>
        <v>142.00400000000002</v>
      </c>
      <c r="L78" s="59">
        <f>IF($C$5*'Tariffs Jan2019'!AL72/'Tariffs Jan2019'!AJ72&lt;'Tariffs Jan2019'!K72,0,IF($C$5*'Tariffs Jan2019'!AL72/'Tariffs Jan2019'!AJ72&lt;='Tariffs Jan2019'!L72,($C$5*'Tariffs Jan2019'!AL72/'Tariffs Jan2019'!AJ72-'Tariffs Jan2019'!K72)*('Tariffs Jan2019'!W72/100)*'Tariffs Jan2019'!AJ72,('Tariffs Jan2019'!L72-'Tariffs Jan2019'!K72)*('Tariffs Jan2019'!W72/100)*'Tariffs Jan2019'!AJ72))</f>
        <v>0</v>
      </c>
      <c r="M78" s="59">
        <f>IF($C$5*'Tariffs Jan2019'!AL72/'Tariffs Jan2019'!AJ72&lt;'Tariffs Jan2019'!L72,0,IF($C$5*'Tariffs Jan2019'!AL72/'Tariffs Jan2019'!AJ72&lt;='Tariffs Jan2019'!M72,($C$5*'Tariffs Jan2019'!AL72/'Tariffs Jan2019'!AJ72-'Tariffs Jan2019'!L72)*('Tariffs Jan2019'!X72/100)*'Tariffs Jan2019'!AJ72,('Tariffs Jan2019'!M72-'Tariffs Jan2019'!L72)*('Tariffs Jan2019'!X72/100)*'Tariffs Jan2019'!AJ72))</f>
        <v>0</v>
      </c>
      <c r="N78" s="59">
        <f>IF(($C$5*'Tariffs Jan2019'!AL72/'Tariffs Jan2019'!AJ72&gt;'Tariffs Jan2019'!M72),($C$5*'Tariffs Jan2019'!AL72/'Tariffs Jan2019'!AJ72-'Tariffs Jan2019'!M72)*'Tariffs Jan2019'!Y72/100*'Tariffs Jan2019'!AJ72,0)</f>
        <v>656.90801999999996</v>
      </c>
      <c r="O78" s="271">
        <f t="shared" si="0"/>
        <v>1505.32503</v>
      </c>
      <c r="P78" s="59">
        <f t="shared" si="1"/>
        <v>1764.87653</v>
      </c>
      <c r="Q78" s="272">
        <f t="shared" si="2"/>
        <v>1941.3641830000001</v>
      </c>
      <c r="R78" s="40">
        <f>'Tariffs Jan2019'!AN72</f>
        <v>0</v>
      </c>
      <c r="S78" s="40">
        <f>'Tariffs Jan2019'!AO72</f>
        <v>0</v>
      </c>
      <c r="T78" s="40">
        <f>'Tariffs Jan2019'!AP72</f>
        <v>0</v>
      </c>
      <c r="U78" s="40">
        <f>'Tariffs Jan2019'!AQ72</f>
        <v>26</v>
      </c>
      <c r="V78" s="273">
        <f t="shared" si="8"/>
        <v>1764.87653</v>
      </c>
      <c r="W78" s="273">
        <f>V78-(O78*U78/100)</f>
        <v>1373.4920222000001</v>
      </c>
      <c r="X78" s="272">
        <f t="shared" si="3"/>
        <v>1941.3641830000001</v>
      </c>
      <c r="Y78" s="272">
        <f t="shared" si="3"/>
        <v>1510.8412244200001</v>
      </c>
      <c r="Z78" s="274">
        <f>'Tariffs Jan2019'!AZ72</f>
        <v>0</v>
      </c>
      <c r="AA78" s="274" t="str">
        <f>'Tariffs Jan2019'!BA72</f>
        <v>n</v>
      </c>
      <c r="AB78" s="275" t="str">
        <f>'Tariffs Jan2019'!BH72</f>
        <v>Y</v>
      </c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</row>
    <row r="79" spans="1:40" x14ac:dyDescent="0.15">
      <c r="A79" s="40" t="str">
        <f>'Tariffs Jan2019'!F73</f>
        <v>Sumo Power</v>
      </c>
      <c r="B79" s="40" t="str">
        <f>'Tariffs Jan2019'!D73</f>
        <v>AGN Central 1</v>
      </c>
      <c r="C79" s="40" t="str">
        <f>'Tariffs Jan2019'!G73</f>
        <v>Pay on time (max discount)</v>
      </c>
      <c r="D79" s="59">
        <f>365*'Tariffs Jan2019'!H73/100</f>
        <v>246.96265</v>
      </c>
      <c r="E79" s="59">
        <f>IF($C$5*'Tariffs Jan2019'!AK73/'Tariffs Jan2019'!AI73&gt;='Tariffs Jan2019'!J73,( 'Tariffs Jan2019'!J73*'Tariffs Jan2019'!O73/100)* 'Tariffs Jan2019'!AI73,($C$5*'Tariffs Jan2019'!AK73/'Tariffs Jan2019'!AI73*'Tariffs Jan2019'!O73/100)* 'Tariffs Jan2019'!AI73)</f>
        <v>101.99</v>
      </c>
      <c r="F79" s="59">
        <f>IF($C$5*'Tariffs Jan2019'!AK73/'Tariffs Jan2019'!AI73&lt;'Tariffs Jan2019'!J73,0,IF($C$5*'Tariffs Jan2019'!AK73/'Tariffs Jan2019'!AI73&lt;='Tariffs Jan2019'!K73,($C$5*'Tariffs Jan2019'!AK73/'Tariffs Jan2019'!AI73-'Tariffs Jan2019'!J73)*('Tariffs Jan2019'!S73/100)*'Tariffs Jan2019'!AI73,('Tariffs Jan2019'!K73-'Tariffs Jan2019'!J73)*('Tariffs Jan2019'!S73/100)*'Tariffs Jan2019'!AI73))</f>
        <v>57.235199999999999</v>
      </c>
      <c r="G79" s="59">
        <f>IF($C$5*'Tariffs Jan2019'!AK73/'Tariffs Jan2019'!AI73&lt;'Tariffs Jan2019'!K73,0,IF($C$5*'Tariffs Jan2019'!AK73/'Tariffs Jan2019'!AI73&lt;='Tariffs Jan2019'!L73,($C$5*'Tariffs Jan2019'!AK73/'Tariffs Jan2019'!AI73-'Tariffs Jan2019'!K73)*('Tariffs Jan2019'!Q73/100)*'Tariffs Jan2019'!AI73,('Tariffs Jan2019'!L73-'Tariffs Jan2019'!K73)*('Tariffs Jan2019'!Q73/100)*'Tariffs Jan2019'!AI73))</f>
        <v>0</v>
      </c>
      <c r="H79" s="59">
        <f>IF($C$5*'Tariffs Jan2019'!AK73/'Tariffs Jan2019'!AI73&lt;'Tariffs Jan2019'!L73,0,IF($C$5*'Tariffs Jan2019'!AK73/'Tariffs Jan2019'!AI73&lt;='Tariffs Jan2019'!M73,($C$5*'Tariffs Jan2019'!AK73/'Tariffs Jan2019'!AI73-'Tariffs Jan2019'!L73)*('Tariffs Jan2019'!R73/100)*'Tariffs Jan2019'!AI73,('Tariffs Jan2019'!M73-'Tariffs Jan2019'!L73)*('Tariffs Jan2019'!R73/100)*'Tariffs Jan2019'!AI73))</f>
        <v>0</v>
      </c>
      <c r="I79" s="59">
        <f>IF(($C$5*'Tariffs Jan2019'!AK73/'Tariffs Jan2019'!AI73&gt;'Tariffs Jan2019'!M73),($C$5*'Tariffs Jan2019'!AK73/'Tariffs Jan2019'!AI73-'Tariffs Jan2019'!M73)*'Tariffs Jan2019'!S73/100*'Tariffs Jan2019'!AI73,0)</f>
        <v>316.75564799999995</v>
      </c>
      <c r="J79" s="59">
        <f>IF($C$5*'Tariffs Jan2019'!AL73/'Tariffs Jan2019'!AJ73&gt;='Tariffs Jan2019'!J73,('Tariffs Jan2019'!J73*'Tariffs Jan2019'!U73/100)* 'Tariffs Jan2019'!AJ73,($C$5*'Tariffs Jan2019'!AL73/'Tariffs Jan2019'!AJ73*'Tariffs Jan2019'!U73/100)* 'Tariffs Jan2019'!AJ73)</f>
        <v>203.98</v>
      </c>
      <c r="K79" s="59">
        <f>IF($C$5*'Tariffs Jan2019'!AL73/'Tariffs Jan2019'!AJ73&lt;'Tariffs Jan2019'!J73,0,IF($C$5*'Tariffs Jan2019'!AL73/'Tariffs Jan2019'!AJ73&lt;='Tariffs Jan2019'!K73,($C$5*'Tariffs Jan2019'!AL73/'Tariffs Jan2019'!AJ73-'Tariffs Jan2019'!J73)*('Tariffs Jan2019'!V73/100)*'Tariffs Jan2019'!AJ73,('Tariffs Jan2019'!K73-'Tariffs Jan2019'!J73)*('Tariffs Jan2019'!V73/100)*'Tariffs Jan2019'!AJ73))</f>
        <v>143.84679999999997</v>
      </c>
      <c r="L79" s="59">
        <f>IF($C$5*'Tariffs Jan2019'!AL73/'Tariffs Jan2019'!AJ73&lt;'Tariffs Jan2019'!K73,0,IF($C$5*'Tariffs Jan2019'!AL73/'Tariffs Jan2019'!AJ73&lt;='Tariffs Jan2019'!L73,($C$5*'Tariffs Jan2019'!AL73/'Tariffs Jan2019'!AJ73-'Tariffs Jan2019'!K73)*('Tariffs Jan2019'!W73/100)*'Tariffs Jan2019'!AJ73,('Tariffs Jan2019'!L73-'Tariffs Jan2019'!K73)*('Tariffs Jan2019'!W73/100)*'Tariffs Jan2019'!AJ73))</f>
        <v>0</v>
      </c>
      <c r="M79" s="59">
        <f>IF($C$5*'Tariffs Jan2019'!AL73/'Tariffs Jan2019'!AJ73&lt;'Tariffs Jan2019'!L73,0,IF($C$5*'Tariffs Jan2019'!AL73/'Tariffs Jan2019'!AJ73&lt;='Tariffs Jan2019'!M73,($C$5*'Tariffs Jan2019'!AL73/'Tariffs Jan2019'!AJ73-'Tariffs Jan2019'!L73)*('Tariffs Jan2019'!X73/100)*'Tariffs Jan2019'!AJ73,('Tariffs Jan2019'!M73-'Tariffs Jan2019'!L73)*('Tariffs Jan2019'!X73/100)*'Tariffs Jan2019'!AJ73))</f>
        <v>0</v>
      </c>
      <c r="N79" s="59">
        <f>IF(($C$5*'Tariffs Jan2019'!AL73/'Tariffs Jan2019'!AJ73&gt;'Tariffs Jan2019'!M73),($C$5*'Tariffs Jan2019'!AL73/'Tariffs Jan2019'!AJ73-'Tariffs Jan2019'!M73)*'Tariffs Jan2019'!Y73/100*'Tariffs Jan2019'!AJ73,0)</f>
        <v>633.5112959999999</v>
      </c>
      <c r="O79" s="271">
        <f t="shared" si="0"/>
        <v>1457.3189439999999</v>
      </c>
      <c r="P79" s="59">
        <f t="shared" si="1"/>
        <v>1704.2815939999998</v>
      </c>
      <c r="Q79" s="272">
        <f t="shared" si="2"/>
        <v>1874.7097534</v>
      </c>
      <c r="R79" s="40">
        <f>'Tariffs Jan2019'!AN73</f>
        <v>0</v>
      </c>
      <c r="S79" s="40">
        <f>'Tariffs Jan2019'!AO73</f>
        <v>0</v>
      </c>
      <c r="T79" s="40">
        <f>'Tariffs Jan2019'!AP73</f>
        <v>0</v>
      </c>
      <c r="U79" s="40">
        <f>'Tariffs Jan2019'!AQ73</f>
        <v>25</v>
      </c>
      <c r="V79" s="273">
        <f t="shared" si="8"/>
        <v>1704.2815939999998</v>
      </c>
      <c r="W79" s="273">
        <f>V79-(O79*U79/100)</f>
        <v>1339.9518579999999</v>
      </c>
      <c r="X79" s="272">
        <f t="shared" si="3"/>
        <v>1874.7097534</v>
      </c>
      <c r="Y79" s="272">
        <f t="shared" si="3"/>
        <v>1473.9470438000001</v>
      </c>
      <c r="Z79" s="274">
        <f>'Tariffs Jan2019'!AZ73</f>
        <v>0</v>
      </c>
      <c r="AA79" s="274" t="str">
        <f>'Tariffs Jan2019'!BA73</f>
        <v>n</v>
      </c>
      <c r="AB79" s="275" t="str">
        <f>'Tariffs Jan2019'!BH73</f>
        <v>Y</v>
      </c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</row>
    <row r="80" spans="1:40" x14ac:dyDescent="0.15">
      <c r="A80" s="40" t="str">
        <f>'Tariffs Jan2019'!F74</f>
        <v>Amaysim</v>
      </c>
      <c r="B80" s="40" t="str">
        <f>'Tariffs Jan2019'!D74</f>
        <v>AGN Central 1</v>
      </c>
      <c r="C80" s="40" t="str">
        <f>'Tariffs Jan2019'!G74</f>
        <v>Gas as you go</v>
      </c>
      <c r="D80" s="59">
        <f>365*'Tariffs Jan2019'!H74/100</f>
        <v>199.0564</v>
      </c>
      <c r="E80" s="59">
        <f>IF($C$5*'Tariffs Jan2019'!AK74/'Tariffs Jan2019'!AI74&gt;='Tariffs Jan2019'!J74,( 'Tariffs Jan2019'!J74*'Tariffs Jan2019'!O74/100)* 'Tariffs Jan2019'!AI74,($C$5*'Tariffs Jan2019'!AK74/'Tariffs Jan2019'!AI74*'Tariffs Jan2019'!O74/100)* 'Tariffs Jan2019'!AI74)</f>
        <v>83.894999999999996</v>
      </c>
      <c r="F80" s="59">
        <f>IF($C$5*'Tariffs Jan2019'!AK74/'Tariffs Jan2019'!AI74&lt;'Tariffs Jan2019'!J74,0,IF($C$5*'Tariffs Jan2019'!AK74/'Tariffs Jan2019'!AI74&lt;='Tariffs Jan2019'!K74,($C$5*'Tariffs Jan2019'!AK74/'Tariffs Jan2019'!AI74-'Tariffs Jan2019'!J74)*('Tariffs Jan2019'!P74/100)*'Tariffs Jan2019'!AI74,('Tariffs Jan2019'!K74-'Tariffs Jan2019'!J74)*('Tariffs Jan2019'!P74/100)*'Tariffs Jan2019'!AI74))</f>
        <v>58.969600000000007</v>
      </c>
      <c r="G80" s="59">
        <f>IF($C$5*'Tariffs Jan2019'!AK74/'Tariffs Jan2019'!AI74&lt;'Tariffs Jan2019'!K74,0,IF($C$5*'Tariffs Jan2019'!AK74/'Tariffs Jan2019'!AI74&lt;='Tariffs Jan2019'!L74,($C$5*'Tariffs Jan2019'!AK74/'Tariffs Jan2019'!AI74-'Tariffs Jan2019'!K74)*('Tariffs Jan2019'!Q74/100)*'Tariffs Jan2019'!AI74,('Tariffs Jan2019'!L74-'Tariffs Jan2019'!K74)*('Tariffs Jan2019'!Q74/100)*'Tariffs Jan2019'!AI74))</f>
        <v>0</v>
      </c>
      <c r="H80" s="59">
        <f>IF($C$5*'Tariffs Jan2019'!AK74/'Tariffs Jan2019'!AI74&lt;'Tariffs Jan2019'!L74,0,IF($C$5*'Tariffs Jan2019'!AK74/'Tariffs Jan2019'!AI74&lt;='Tariffs Jan2019'!M74,($C$5*'Tariffs Jan2019'!AK74/'Tariffs Jan2019'!AI74-'Tariffs Jan2019'!L74)*('Tariffs Jan2019'!R74/100)*'Tariffs Jan2019'!AI74,('Tariffs Jan2019'!M74-'Tariffs Jan2019'!L74)*('Tariffs Jan2019'!R74/100)*'Tariffs Jan2019'!AI74))</f>
        <v>0</v>
      </c>
      <c r="I80" s="59">
        <f>IF(($C$5*'Tariffs Jan2019'!AK74/'Tariffs Jan2019'!AI74&gt;'Tariffs Jan2019'!M74),($C$5*'Tariffs Jan2019'!AK74/'Tariffs Jan2019'!AI74-'Tariffs Jan2019'!M74)*'Tariffs Jan2019'!S74/100*'Tariffs Jan2019'!AI74,0)</f>
        <v>280.46072999999996</v>
      </c>
      <c r="J80" s="59">
        <f>IF($C$5*'Tariffs Jan2019'!AL74/'Tariffs Jan2019'!AJ74&gt;='Tariffs Jan2019'!J74,('Tariffs Jan2019'!J74*'Tariffs Jan2019'!U74/100)* 'Tariffs Jan2019'!AJ74,($C$5*'Tariffs Jan2019'!AL74/'Tariffs Jan2019'!AJ74*'Tariffs Jan2019'!U74/100)* 'Tariffs Jan2019'!AJ74)</f>
        <v>167.79</v>
      </c>
      <c r="K80" s="59">
        <f>IF($C$5*'Tariffs Jan2019'!AL74/'Tariffs Jan2019'!AJ74&lt;'Tariffs Jan2019'!J74,0,IF($C$5*'Tariffs Jan2019'!AL74/'Tariffs Jan2019'!AJ74&lt;='Tariffs Jan2019'!K74,($C$5*'Tariffs Jan2019'!AL74/'Tariffs Jan2019'!AJ74-'Tariffs Jan2019'!J74)*('Tariffs Jan2019'!V74/100)*'Tariffs Jan2019'!AJ74,('Tariffs Jan2019'!K74-'Tariffs Jan2019'!J74)*('Tariffs Jan2019'!V74/100)*'Tariffs Jan2019'!AJ74))</f>
        <v>117.93920000000001</v>
      </c>
      <c r="L80" s="59">
        <f>IF($C$5*'Tariffs Jan2019'!AL74/'Tariffs Jan2019'!AJ74&lt;'Tariffs Jan2019'!K74,0,IF($C$5*'Tariffs Jan2019'!AL74/'Tariffs Jan2019'!AJ74&lt;='Tariffs Jan2019'!L74,($C$5*'Tariffs Jan2019'!AL74/'Tariffs Jan2019'!AJ74-'Tariffs Jan2019'!K74)*('Tariffs Jan2019'!W74/100)*'Tariffs Jan2019'!AJ74,('Tariffs Jan2019'!L74-'Tariffs Jan2019'!K74)*('Tariffs Jan2019'!W74/100)*'Tariffs Jan2019'!AJ74))</f>
        <v>0</v>
      </c>
      <c r="M80" s="59">
        <f>IF($C$5*'Tariffs Jan2019'!AL74/'Tariffs Jan2019'!AJ74&lt;'Tariffs Jan2019'!L74,0,IF($C$5*'Tariffs Jan2019'!AL74/'Tariffs Jan2019'!AJ74&lt;='Tariffs Jan2019'!M74,($C$5*'Tariffs Jan2019'!AL74/'Tariffs Jan2019'!AJ74-'Tariffs Jan2019'!L74)*('Tariffs Jan2019'!X74/100)*'Tariffs Jan2019'!AJ74,('Tariffs Jan2019'!M74-'Tariffs Jan2019'!L74)*('Tariffs Jan2019'!X74/100)*'Tariffs Jan2019'!AJ74))</f>
        <v>0</v>
      </c>
      <c r="N80" s="59">
        <f>IF(($C$5*'Tariffs Jan2019'!AL74/'Tariffs Jan2019'!AJ74&gt;'Tariffs Jan2019'!M74),($C$5*'Tariffs Jan2019'!AL74/'Tariffs Jan2019'!AJ74-'Tariffs Jan2019'!M74)*'Tariffs Jan2019'!Y74/100*'Tariffs Jan2019'!AJ74,0)</f>
        <v>560.92145999999991</v>
      </c>
      <c r="O80" s="271">
        <f t="shared" si="0"/>
        <v>1269.9759899999999</v>
      </c>
      <c r="P80" s="59">
        <f t="shared" si="1"/>
        <v>1469.0323899999999</v>
      </c>
      <c r="Q80" s="272">
        <f t="shared" si="2"/>
        <v>1615.9356290000001</v>
      </c>
      <c r="R80" s="40">
        <f>'Tariffs Jan2019'!AN74</f>
        <v>0</v>
      </c>
      <c r="S80" s="40">
        <f>'Tariffs Jan2019'!AO74</f>
        <v>0</v>
      </c>
      <c r="T80" s="40">
        <f>'Tariffs Jan2019'!AP74</f>
        <v>0</v>
      </c>
      <c r="U80" s="40">
        <f>'Tariffs Jan2019'!AQ74</f>
        <v>0</v>
      </c>
      <c r="V80" s="273">
        <f t="shared" si="8"/>
        <v>1469.0323899999999</v>
      </c>
      <c r="W80" s="273">
        <f>V80-(P80*T80/100)</f>
        <v>1469.0323899999999</v>
      </c>
      <c r="X80" s="272">
        <f t="shared" si="3"/>
        <v>1615.9356290000001</v>
      </c>
      <c r="Y80" s="272">
        <f t="shared" si="3"/>
        <v>1615.9356290000001</v>
      </c>
      <c r="Z80" s="274">
        <f>'Tariffs Jan2019'!AZ74</f>
        <v>0</v>
      </c>
      <c r="AA80" s="274" t="str">
        <f>'Tariffs Jan2019'!BA74</f>
        <v>n</v>
      </c>
      <c r="AB80" s="275" t="str">
        <f>'Tariffs Jan2019'!BH74</f>
        <v>N</v>
      </c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</row>
    <row r="81" spans="1:40" x14ac:dyDescent="0.15">
      <c r="A81" s="40" t="str">
        <f>'Tariffs Jan2019'!F75</f>
        <v>GloBird Energy</v>
      </c>
      <c r="B81" s="40" t="str">
        <f>'Tariffs Jan2019'!D75</f>
        <v>AGN Central 1</v>
      </c>
      <c r="C81" s="40" t="str">
        <f>'Tariffs Jan2019'!G75</f>
        <v>GloSave</v>
      </c>
      <c r="D81" s="59">
        <f>365*'Tariffs Jan2019'!H75/100</f>
        <v>346.75</v>
      </c>
      <c r="E81" s="59">
        <f>IF($C$5*'Tariffs Jan2019'!AK75/'Tariffs Jan2019'!AI75&gt;='Tariffs Jan2019'!J75,( 'Tariffs Jan2019'!J75*'Tariffs Jan2019'!O75/100)* 'Tariffs Jan2019'!AI75,($C$5*'Tariffs Jan2019'!AK75/'Tariffs Jan2019'!AI75*'Tariffs Jan2019'!O75/100)* 'Tariffs Jan2019'!AI75)</f>
        <v>204</v>
      </c>
      <c r="F81" s="59">
        <f>IF($C$5*'Tariffs Jan2019'!AK75/'Tariffs Jan2019'!AI75&lt;'Tariffs Jan2019'!J75,0,IF($C$5*'Tariffs Jan2019'!AK75/'Tariffs Jan2019'!AI75&lt;='Tariffs Jan2019'!K75,($C$5*'Tariffs Jan2019'!AK75/'Tariffs Jan2019'!AI75-'Tariffs Jan2019'!J75)*('Tariffs Jan2019'!P75/100)*'Tariffs Jan2019'!AI75,('Tariffs Jan2019'!K75-'Tariffs Jan2019'!J75)*('Tariffs Jan2019'!P75/100)*'Tariffs Jan2019'!AI75))</f>
        <v>0</v>
      </c>
      <c r="G81" s="59">
        <f>IF($C$5*'Tariffs Jan2019'!AK75/'Tariffs Jan2019'!AI75&lt;'Tariffs Jan2019'!K75,0,IF($C$5*'Tariffs Jan2019'!AK75/'Tariffs Jan2019'!AI75&lt;='Tariffs Jan2019'!L75,($C$5*'Tariffs Jan2019'!AK75/'Tariffs Jan2019'!AI75-'Tariffs Jan2019'!K75)*('Tariffs Jan2019'!Q75/100)*'Tariffs Jan2019'!AI75,('Tariffs Jan2019'!L75-'Tariffs Jan2019'!K75)*('Tariffs Jan2019'!Q75/100)*'Tariffs Jan2019'!AI75))</f>
        <v>0</v>
      </c>
      <c r="H81" s="59">
        <f>IF($C$5*'Tariffs Jan2019'!AK75/'Tariffs Jan2019'!AI75&lt;'Tariffs Jan2019'!L75,0,IF($C$5*'Tariffs Jan2019'!AK75/'Tariffs Jan2019'!AI75&lt;='Tariffs Jan2019'!M75,($C$5*'Tariffs Jan2019'!AK75/'Tariffs Jan2019'!AI75-'Tariffs Jan2019'!L75)*('Tariffs Jan2019'!R75/100)*'Tariffs Jan2019'!AI75,('Tariffs Jan2019'!M75-'Tariffs Jan2019'!L75)*('Tariffs Jan2019'!R75/100)*'Tariffs Jan2019'!AI75))</f>
        <v>0</v>
      </c>
      <c r="I81" s="59">
        <f>IF(($C$5*'Tariffs Jan2019'!AK75/'Tariffs Jan2019'!AI75&gt;'Tariffs Jan2019'!M75),($C$5*'Tariffs Jan2019'!AK75/'Tariffs Jan2019'!AI75-'Tariffs Jan2019'!M75)*'Tariffs Jan2019'!S75/100*'Tariffs Jan2019'!AI75,0)</f>
        <v>329.9538</v>
      </c>
      <c r="J81" s="59">
        <f>IF($C$5*'Tariffs Jan2019'!AL75/'Tariffs Jan2019'!AJ75&gt;='Tariffs Jan2019'!J75,('Tariffs Jan2019'!J75*'Tariffs Jan2019'!U75/100)* 'Tariffs Jan2019'!AJ75,($C$5*'Tariffs Jan2019'!AL75/'Tariffs Jan2019'!AJ75*'Tariffs Jan2019'!U75/100)* 'Tariffs Jan2019'!AJ75)</f>
        <v>408</v>
      </c>
      <c r="K81" s="59">
        <f>IF($C$5*'Tariffs Jan2019'!AL75/'Tariffs Jan2019'!AJ75&lt;'Tariffs Jan2019'!J75,0,IF($C$5*'Tariffs Jan2019'!AL75/'Tariffs Jan2019'!AJ75&lt;='Tariffs Jan2019'!K75,($C$5*'Tariffs Jan2019'!AL75/'Tariffs Jan2019'!AJ75-'Tariffs Jan2019'!J75)*('Tariffs Jan2019'!V75/100)*'Tariffs Jan2019'!AJ75,('Tariffs Jan2019'!K75-'Tariffs Jan2019'!J75)*('Tariffs Jan2019'!V75/100)*'Tariffs Jan2019'!AJ75))</f>
        <v>0</v>
      </c>
      <c r="L81" s="59">
        <f>IF($C$5*'Tariffs Jan2019'!AL75/'Tariffs Jan2019'!AJ75&lt;'Tariffs Jan2019'!K75,0,IF($C$5*'Tariffs Jan2019'!AL75/'Tariffs Jan2019'!AJ75&lt;='Tariffs Jan2019'!L75,($C$5*'Tariffs Jan2019'!AL75/'Tariffs Jan2019'!AJ75-'Tariffs Jan2019'!K75)*('Tariffs Jan2019'!W75/100)*'Tariffs Jan2019'!AJ75,('Tariffs Jan2019'!L75-'Tariffs Jan2019'!K75)*('Tariffs Jan2019'!W75/100)*'Tariffs Jan2019'!AJ75))</f>
        <v>0</v>
      </c>
      <c r="M81" s="59">
        <f>IF($C$5*'Tariffs Jan2019'!AL75/'Tariffs Jan2019'!AJ75&lt;'Tariffs Jan2019'!L75,0,IF($C$5*'Tariffs Jan2019'!AL75/'Tariffs Jan2019'!AJ75&lt;='Tariffs Jan2019'!M75,($C$5*'Tariffs Jan2019'!AL75/'Tariffs Jan2019'!AJ75-'Tariffs Jan2019'!L75)*('Tariffs Jan2019'!X75/100)*'Tariffs Jan2019'!AJ75,('Tariffs Jan2019'!M75-'Tariffs Jan2019'!L75)*('Tariffs Jan2019'!X75/100)*'Tariffs Jan2019'!AJ75))</f>
        <v>0</v>
      </c>
      <c r="N81" s="59">
        <f>IF(($C$5*'Tariffs Jan2019'!AL75/'Tariffs Jan2019'!AJ75&gt;'Tariffs Jan2019'!M75),($C$5*'Tariffs Jan2019'!AL75/'Tariffs Jan2019'!AJ75-'Tariffs Jan2019'!M75)*'Tariffs Jan2019'!Y75/100*'Tariffs Jan2019'!AJ75,0)</f>
        <v>659.9076</v>
      </c>
      <c r="O81" s="271">
        <f t="shared" si="0"/>
        <v>1601.8614</v>
      </c>
      <c r="P81" s="59">
        <f t="shared" si="1"/>
        <v>1948.6114</v>
      </c>
      <c r="Q81" s="272">
        <f t="shared" si="2"/>
        <v>2143.4725400000002</v>
      </c>
      <c r="R81" s="40">
        <f>'Tariffs Jan2019'!AN75</f>
        <v>0</v>
      </c>
      <c r="S81" s="40">
        <f>'Tariffs Jan2019'!AO75</f>
        <v>0</v>
      </c>
      <c r="T81" s="40">
        <f>'Tariffs Jan2019'!AP75</f>
        <v>32</v>
      </c>
      <c r="U81" s="40">
        <f>'Tariffs Jan2019'!AQ75</f>
        <v>0</v>
      </c>
      <c r="V81" s="273">
        <f t="shared" si="8"/>
        <v>1948.6114</v>
      </c>
      <c r="W81" s="273">
        <f>V81-(P81*T81/100)</f>
        <v>1325.055752</v>
      </c>
      <c r="X81" s="272">
        <f t="shared" si="3"/>
        <v>2143.4725400000002</v>
      </c>
      <c r="Y81" s="272">
        <f t="shared" si="3"/>
        <v>1457.5613272000001</v>
      </c>
      <c r="Z81" s="274">
        <f>'Tariffs Jan2019'!AZ75</f>
        <v>0</v>
      </c>
      <c r="AA81" s="274" t="str">
        <f>'Tariffs Jan2019'!BA75</f>
        <v>n</v>
      </c>
      <c r="AB81" s="275" t="str">
        <f>'Tariffs Jan2019'!BH75</f>
        <v>N</v>
      </c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</row>
    <row r="82" spans="1:40" ht="14" thickBot="1" x14ac:dyDescent="0.2">
      <c r="A82" s="277" t="str">
        <f>'Tariffs Jan2019'!F76</f>
        <v>Powershop</v>
      </c>
      <c r="B82" s="277" t="str">
        <f>'Tariffs Jan2019'!D76</f>
        <v>AGN Central 1</v>
      </c>
      <c r="C82" s="277" t="str">
        <f>'Tariffs Jan2019'!G76</f>
        <v>Auto Pay with Gas Saver</v>
      </c>
      <c r="D82" s="278">
        <f>365*'Tariffs Jan2019'!H76/100</f>
        <v>308.97250000000003</v>
      </c>
      <c r="E82" s="278">
        <f>((C$5*'Tariffs Jan2019'!AK76/'Tariffs Jan2019'!AI76)*('Tariffs Jan2019'!O76/100))*'Tariffs Jan2019'!AI76</f>
        <v>363.26366999999993</v>
      </c>
      <c r="F82" s="278">
        <v>0</v>
      </c>
      <c r="G82" s="278">
        <v>0</v>
      </c>
      <c r="H82" s="278">
        <v>0</v>
      </c>
      <c r="I82" s="278">
        <v>0</v>
      </c>
      <c r="J82" s="278">
        <f>((C$5*'Tariffs Jan2019'!AL76/'Tariffs Jan2019'!AJ76)*('Tariffs Jan2019'!U76/100))*'Tariffs Jan2019'!AJ76</f>
        <v>726.52733999999987</v>
      </c>
      <c r="K82" s="278">
        <v>0</v>
      </c>
      <c r="L82" s="278">
        <v>0</v>
      </c>
      <c r="M82" s="278">
        <v>0</v>
      </c>
      <c r="N82" s="278">
        <v>0</v>
      </c>
      <c r="O82" s="279">
        <f t="shared" si="0"/>
        <v>1089.7910099999999</v>
      </c>
      <c r="P82" s="278">
        <f t="shared" si="1"/>
        <v>1398.76351</v>
      </c>
      <c r="Q82" s="280">
        <f t="shared" si="2"/>
        <v>1538.6398610000001</v>
      </c>
      <c r="R82" s="277">
        <f>'Tariffs Jan2019'!AN76</f>
        <v>0</v>
      </c>
      <c r="S82" s="277">
        <f>'Tariffs Jan2019'!AO76</f>
        <v>0</v>
      </c>
      <c r="T82" s="277">
        <f>'Tariffs Jan2019'!AP76</f>
        <v>5</v>
      </c>
      <c r="U82" s="277">
        <f>'Tariffs Jan2019'!AQ76</f>
        <v>0</v>
      </c>
      <c r="V82" s="281">
        <f t="shared" si="8"/>
        <v>1398.76351</v>
      </c>
      <c r="W82" s="281">
        <f>V82-(P82*T82/100)</f>
        <v>1328.8253345000001</v>
      </c>
      <c r="X82" s="280">
        <f t="shared" si="3"/>
        <v>1538.6398610000001</v>
      </c>
      <c r="Y82" s="280">
        <f t="shared" si="3"/>
        <v>1461.7078679500003</v>
      </c>
      <c r="Z82" s="282">
        <f>'Tariffs Jan2019'!AZ76</f>
        <v>0</v>
      </c>
      <c r="AA82" s="282" t="str">
        <f>'Tariffs Jan2019'!BA76</f>
        <v>n</v>
      </c>
      <c r="AB82" s="283" t="str">
        <f>'Tariffs Jan2019'!BH76</f>
        <v>Y</v>
      </c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</row>
    <row r="83" spans="1:40" ht="14" thickTop="1" x14ac:dyDescent="0.15">
      <c r="A83" s="40" t="str">
        <f>'Tariffs Jan2019'!F77</f>
        <v>AGL</v>
      </c>
      <c r="B83" s="40" t="str">
        <f>'Tariffs Jan2019'!D77</f>
        <v>AusNet Services West</v>
      </c>
      <c r="C83" s="40" t="str">
        <f>'Tariffs Jan2019'!G77</f>
        <v>Savers</v>
      </c>
      <c r="D83" s="59">
        <f>365*'Tariffs Jan2019'!H77/100</f>
        <v>312.07499999999999</v>
      </c>
      <c r="E83" s="59">
        <f>IF($C$5*'Tariffs Jan2019'!AK77/'Tariffs Jan2019'!AI77&gt;='Tariffs Jan2019'!J77,( 'Tariffs Jan2019'!J77*'Tariffs Jan2019'!O77/100)* 'Tariffs Jan2019'!AI77,($C$5*'Tariffs Jan2019'!AK77/'Tariffs Jan2019'!AI77*'Tariffs Jan2019'!O77/100)* 'Tariffs Jan2019'!AI77)</f>
        <v>265.2</v>
      </c>
      <c r="F83" s="59">
        <f>IF($C$5*'Tariffs Jan2019'!AK77/'Tariffs Jan2019'!AI77&lt;'Tariffs Jan2019'!J77,0,IF($C$5*'Tariffs Jan2019'!AK77/'Tariffs Jan2019'!AI77&lt;='Tariffs Jan2019'!K77,($C$5*'Tariffs Jan2019'!AK77/'Tariffs Jan2019'!AI77-'Tariffs Jan2019'!J77)*('Tariffs Jan2019'!P77/100)*'Tariffs Jan2019'!AI77,('Tariffs Jan2019'!K77-'Tariffs Jan2019'!J77)*('Tariffs Jan2019'!P77/100)*'Tariffs Jan2019'!AI77))</f>
        <v>196.15421999999995</v>
      </c>
      <c r="G83" s="59">
        <f>IF($C$5*'Tariffs Jan2019'!AK77/'Tariffs Jan2019'!AI77&lt;'Tariffs Jan2019'!K77,0,IF($C$5*'Tariffs Jan2019'!AK77/'Tariffs Jan2019'!AI77&lt;='Tariffs Jan2019'!L77,($C$5*'Tariffs Jan2019'!AK77/'Tariffs Jan2019'!AI77-'Tariffs Jan2019'!K77)*('Tariffs Jan2019'!Q77/100)*'Tariffs Jan2019'!AI77,('Tariffs Jan2019'!L77-'Tariffs Jan2019'!K77)*('Tariffs Jan2019'!Q77/100)*'Tariffs Jan2019'!AI77))</f>
        <v>0</v>
      </c>
      <c r="H83" s="59">
        <f>IF($C$5*'Tariffs Jan2019'!AK77/'Tariffs Jan2019'!AI77&lt;'Tariffs Jan2019'!L77,0,IF($C$5*'Tariffs Jan2019'!AK77/'Tariffs Jan2019'!AI77&lt;='Tariffs Jan2019'!M77,($C$5*'Tariffs Jan2019'!AK77/'Tariffs Jan2019'!AI77-'Tariffs Jan2019'!L77)*('Tariffs Jan2019'!R77/100)*'Tariffs Jan2019'!AI77,('Tariffs Jan2019'!M77-'Tariffs Jan2019'!L77)*('Tariffs Jan2019'!R77/100)*'Tariffs Jan2019'!AI77))</f>
        <v>0</v>
      </c>
      <c r="I83" s="59">
        <f>IF(($C$5*'Tariffs Jan2019'!AK77/'Tariffs Jan2019'!AI77&gt;'Tariffs Jan2019'!M77),($C$5*'Tariffs Jan2019'!AK77/'Tariffs Jan2019'!AI77-'Tariffs Jan2019'!M77)*'Tariffs Jan2019'!S77/100*'Tariffs Jan2019'!AI77,0)</f>
        <v>0</v>
      </c>
      <c r="J83" s="59">
        <f>IF($C$5*'Tariffs Jan2019'!AL77/'Tariffs Jan2019'!AJ77&gt;='Tariffs Jan2019'!J77,('Tariffs Jan2019'!J77*'Tariffs Jan2019'!U77/100)* 'Tariffs Jan2019'!AJ77,($C$5*'Tariffs Jan2019'!AL77/'Tariffs Jan2019'!AJ77*'Tariffs Jan2019'!U77/100)* 'Tariffs Jan2019'!AJ77)</f>
        <v>482.39999999999992</v>
      </c>
      <c r="K83" s="59">
        <f>IF($C$5*'Tariffs Jan2019'!AL77/'Tariffs Jan2019'!AJ77&lt;'Tariffs Jan2019'!J77,0,IF($C$5*'Tariffs Jan2019'!AL77/'Tariffs Jan2019'!AJ77&lt;='Tariffs Jan2019'!K77,($C$5*'Tariffs Jan2019'!AL77/'Tariffs Jan2019'!AJ77-'Tariffs Jan2019'!J77)*('Tariffs Jan2019'!V77/100)*'Tariffs Jan2019'!AJ77,('Tariffs Jan2019'!K77-'Tariffs Jan2019'!J77)*('Tariffs Jan2019'!V77/100)*'Tariffs Jan2019'!AJ77))</f>
        <v>298.73027999999994</v>
      </c>
      <c r="L83" s="59">
        <f>IF($C$5*'Tariffs Jan2019'!AL77/'Tariffs Jan2019'!AJ77&lt;'Tariffs Jan2019'!K77,0,IF($C$5*'Tariffs Jan2019'!AL77/'Tariffs Jan2019'!AJ77&lt;='Tariffs Jan2019'!L77,($C$5*'Tariffs Jan2019'!AL77/'Tariffs Jan2019'!AJ77-'Tariffs Jan2019'!K77)*('Tariffs Jan2019'!W77/100)*'Tariffs Jan2019'!AJ77,('Tariffs Jan2019'!L77-'Tariffs Jan2019'!K77)*('Tariffs Jan2019'!W77/100)*'Tariffs Jan2019'!AJ77))</f>
        <v>0</v>
      </c>
      <c r="M83" s="59">
        <f>IF($C$5*'Tariffs Jan2019'!AL77/'Tariffs Jan2019'!AJ77&lt;'Tariffs Jan2019'!L77,0,IF($C$5*'Tariffs Jan2019'!AL77/'Tariffs Jan2019'!AJ77&lt;='Tariffs Jan2019'!M77,($C$5*'Tariffs Jan2019'!AL77/'Tariffs Jan2019'!AJ77-'Tariffs Jan2019'!L77)*('Tariffs Jan2019'!X77/100)*'Tariffs Jan2019'!AJ77,('Tariffs Jan2019'!M77-'Tariffs Jan2019'!L77)*('Tariffs Jan2019'!X77/100)*'Tariffs Jan2019'!AJ77))</f>
        <v>0</v>
      </c>
      <c r="N83" s="59">
        <f>IF(($C$5*'Tariffs Jan2019'!AL77/'Tariffs Jan2019'!AJ77&gt;'Tariffs Jan2019'!M77),($C$5*'Tariffs Jan2019'!AL77/'Tariffs Jan2019'!AJ77-'Tariffs Jan2019'!M77)*'Tariffs Jan2019'!Y77/100*'Tariffs Jan2019'!AJ77,0)</f>
        <v>0</v>
      </c>
      <c r="O83" s="271">
        <f t="shared" si="0"/>
        <v>1242.4844999999998</v>
      </c>
      <c r="P83" s="59">
        <f t="shared" si="1"/>
        <v>1554.5594999999998</v>
      </c>
      <c r="Q83" s="272">
        <f t="shared" si="2"/>
        <v>1710.0154499999999</v>
      </c>
      <c r="R83" s="40">
        <f>'Tariffs Jan2019'!AN77</f>
        <v>0</v>
      </c>
      <c r="S83" s="40">
        <f>'Tariffs Jan2019'!AO77</f>
        <v>0</v>
      </c>
      <c r="T83" s="40">
        <f>'Tariffs Jan2019'!AP77</f>
        <v>0</v>
      </c>
      <c r="U83" s="40">
        <f>'Tariffs Jan2019'!AQ77</f>
        <v>24</v>
      </c>
      <c r="V83" s="273">
        <f>P83</f>
        <v>1554.5594999999998</v>
      </c>
      <c r="W83" s="273">
        <f>V83-(O83*U83/100)</f>
        <v>1256.36322</v>
      </c>
      <c r="X83" s="272">
        <f t="shared" si="3"/>
        <v>1710.0154499999999</v>
      </c>
      <c r="Y83" s="272">
        <f t="shared" si="3"/>
        <v>1381.999542</v>
      </c>
      <c r="Z83" s="274">
        <f>'Tariffs Jan2019'!AZ77</f>
        <v>0</v>
      </c>
      <c r="AA83" s="274" t="str">
        <f>'Tariffs Jan2019'!BA77</f>
        <v>n</v>
      </c>
      <c r="AB83" s="275" t="str">
        <f>'Tariffs Jan2019'!BH77</f>
        <v>N</v>
      </c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</row>
    <row r="84" spans="1:40" x14ac:dyDescent="0.15">
      <c r="A84" s="40" t="str">
        <f>'Tariffs Jan2019'!F78</f>
        <v>Alinta Energy</v>
      </c>
      <c r="B84" s="40" t="str">
        <f>'Tariffs Jan2019'!D78</f>
        <v>AusNet Services West</v>
      </c>
      <c r="C84" s="40" t="str">
        <f>'Tariffs Jan2019'!G78</f>
        <v>Fair Saver</v>
      </c>
      <c r="D84" s="59">
        <f>365*'Tariffs Jan2019'!H78/100</f>
        <v>310.25</v>
      </c>
      <c r="E84" s="59">
        <f>IF($C$5*'Tariffs Jan2019'!AK78/'Tariffs Jan2019'!AI78&gt;='Tariffs Jan2019'!J78,( 'Tariffs Jan2019'!J78*'Tariffs Jan2019'!O78/100)* 'Tariffs Jan2019'!AI78,($C$5*'Tariffs Jan2019'!AK78/'Tariffs Jan2019'!AI78*'Tariffs Jan2019'!O78/100)* 'Tariffs Jan2019'!AI78)</f>
        <v>275.99999999999994</v>
      </c>
      <c r="F84" s="59">
        <f>IF($C$5*'Tariffs Jan2019'!AK78/'Tariffs Jan2019'!AI78&lt;'Tariffs Jan2019'!J78,0,IF($C$5*'Tariffs Jan2019'!AK78/'Tariffs Jan2019'!AI78&lt;='Tariffs Jan2019'!K78,($C$5*'Tariffs Jan2019'!AK78/'Tariffs Jan2019'!AI78-'Tariffs Jan2019'!J78)*('Tariffs Jan2019'!P78/100)*'Tariffs Jan2019'!AI78,('Tariffs Jan2019'!K78-'Tariffs Jan2019'!J78)*('Tariffs Jan2019'!P78/100)*'Tariffs Jan2019'!AI78))</f>
        <v>0</v>
      </c>
      <c r="G84" s="59">
        <f>IF($C$5*'Tariffs Jan2019'!AK78/'Tariffs Jan2019'!AI78&lt;'Tariffs Jan2019'!K78,0,IF($C$5*'Tariffs Jan2019'!AK78/'Tariffs Jan2019'!AI78&lt;='Tariffs Jan2019'!L78,($C$5*'Tariffs Jan2019'!AK78/'Tariffs Jan2019'!AI78-'Tariffs Jan2019'!K78)*('Tariffs Jan2019'!Q78/100)*'Tariffs Jan2019'!AI78,('Tariffs Jan2019'!L78-'Tariffs Jan2019'!K78)*('Tariffs Jan2019'!Q78/100)*'Tariffs Jan2019'!AI78))</f>
        <v>0</v>
      </c>
      <c r="H84" s="59">
        <f>IF($C$5*'Tariffs Jan2019'!AK78/'Tariffs Jan2019'!AI78&lt;'Tariffs Jan2019'!L78,0,IF($C$5*'Tariffs Jan2019'!AK78/'Tariffs Jan2019'!AI78&lt;='Tariffs Jan2019'!M78,($C$5*'Tariffs Jan2019'!AK78/'Tariffs Jan2019'!AI78-'Tariffs Jan2019'!L78)*('Tariffs Jan2019'!R78/100)*'Tariffs Jan2019'!AI78,('Tariffs Jan2019'!M78-'Tariffs Jan2019'!L78)*('Tariffs Jan2019'!R78/100)*'Tariffs Jan2019'!AI78))</f>
        <v>0</v>
      </c>
      <c r="I84" s="59">
        <f>IF(($C$5*'Tariffs Jan2019'!AK78/'Tariffs Jan2019'!AI78&gt;'Tariffs Jan2019'!M78),($C$5*'Tariffs Jan2019'!AK78/'Tariffs Jan2019'!AI78-'Tariffs Jan2019'!M78)*'Tariffs Jan2019'!S78/100*'Tariffs Jan2019'!AI78,0)</f>
        <v>188.95589999999996</v>
      </c>
      <c r="J84" s="59">
        <f>IF($C$5*'Tariffs Jan2019'!AL78/'Tariffs Jan2019'!AJ78&gt;='Tariffs Jan2019'!J78,('Tariffs Jan2019'!J78*'Tariffs Jan2019'!U78/100)* 'Tariffs Jan2019'!AJ78,($C$5*'Tariffs Jan2019'!AL78/'Tariffs Jan2019'!AJ78*'Tariffs Jan2019'!U78/100)* 'Tariffs Jan2019'!AJ78)</f>
        <v>480</v>
      </c>
      <c r="K84" s="59">
        <f>IF($C$5*'Tariffs Jan2019'!AL78/'Tariffs Jan2019'!AJ78&lt;'Tariffs Jan2019'!J78,0,IF($C$5*'Tariffs Jan2019'!AL78/'Tariffs Jan2019'!AJ78&lt;='Tariffs Jan2019'!K78,($C$5*'Tariffs Jan2019'!AL78/'Tariffs Jan2019'!AJ78-'Tariffs Jan2019'!J78)*('Tariffs Jan2019'!V78/100)*'Tariffs Jan2019'!AJ78,('Tariffs Jan2019'!K78-'Tariffs Jan2019'!J78)*('Tariffs Jan2019'!V78/100)*'Tariffs Jan2019'!AJ78))</f>
        <v>0</v>
      </c>
      <c r="L84" s="59">
        <f>IF($C$5*'Tariffs Jan2019'!AL78/'Tariffs Jan2019'!AJ78&lt;'Tariffs Jan2019'!K78,0,IF($C$5*'Tariffs Jan2019'!AL78/'Tariffs Jan2019'!AJ78&lt;='Tariffs Jan2019'!L78,($C$5*'Tariffs Jan2019'!AL78/'Tariffs Jan2019'!AJ78-'Tariffs Jan2019'!K78)*('Tariffs Jan2019'!W78/100)*'Tariffs Jan2019'!AJ78,('Tariffs Jan2019'!L78-'Tariffs Jan2019'!K78)*('Tariffs Jan2019'!W78/100)*'Tariffs Jan2019'!AJ78))</f>
        <v>0</v>
      </c>
      <c r="M84" s="59">
        <f>IF($C$5*'Tariffs Jan2019'!AL78/'Tariffs Jan2019'!AJ78&lt;'Tariffs Jan2019'!L78,0,IF($C$5*'Tariffs Jan2019'!AL78/'Tariffs Jan2019'!AJ78&lt;='Tariffs Jan2019'!M78,($C$5*'Tariffs Jan2019'!AL78/'Tariffs Jan2019'!AJ78-'Tariffs Jan2019'!L78)*('Tariffs Jan2019'!X78/100)*'Tariffs Jan2019'!AJ78,('Tariffs Jan2019'!M78-'Tariffs Jan2019'!L78)*('Tariffs Jan2019'!X78/100)*'Tariffs Jan2019'!AJ78))</f>
        <v>0</v>
      </c>
      <c r="N84" s="59">
        <f>IF(($C$5*'Tariffs Jan2019'!AL78/'Tariffs Jan2019'!AJ78&gt;'Tariffs Jan2019'!M78),($C$5*'Tariffs Jan2019'!AL78/'Tariffs Jan2019'!AJ78-'Tariffs Jan2019'!M78)*'Tariffs Jan2019'!Y78/100*'Tariffs Jan2019'!AJ78,0)</f>
        <v>305.92859999999996</v>
      </c>
      <c r="O84" s="271">
        <f t="shared" si="0"/>
        <v>1250.8844999999999</v>
      </c>
      <c r="P84" s="59">
        <f t="shared" si="1"/>
        <v>1561.1344999999999</v>
      </c>
      <c r="Q84" s="272">
        <f t="shared" si="2"/>
        <v>1717.2479499999999</v>
      </c>
      <c r="R84" s="40">
        <f>'Tariffs Jan2019'!AN78</f>
        <v>0</v>
      </c>
      <c r="S84" s="40">
        <f>'Tariffs Jan2019'!AO78</f>
        <v>20</v>
      </c>
      <c r="T84" s="40">
        <f>'Tariffs Jan2019'!AP78</f>
        <v>0</v>
      </c>
      <c r="U84" s="40">
        <f>'Tariffs Jan2019'!AQ78</f>
        <v>0</v>
      </c>
      <c r="V84" s="273">
        <f>P84-(O84*S84/100)</f>
        <v>1310.9576</v>
      </c>
      <c r="W84" s="273">
        <f>V84-(O84*U84/100)</f>
        <v>1310.9576</v>
      </c>
      <c r="X84" s="272">
        <f t="shared" si="3"/>
        <v>1442.0533600000001</v>
      </c>
      <c r="Y84" s="272">
        <f t="shared" si="3"/>
        <v>1442.0533600000001</v>
      </c>
      <c r="Z84" s="274">
        <f>'Tariffs Jan2019'!AZ78</f>
        <v>0</v>
      </c>
      <c r="AA84" s="274" t="str">
        <f>'Tariffs Jan2019'!BA78</f>
        <v>n</v>
      </c>
      <c r="AB84" s="275" t="str">
        <f>'Tariffs Jan2019'!BH78</f>
        <v>Y</v>
      </c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</row>
    <row r="85" spans="1:40" x14ac:dyDescent="0.15">
      <c r="A85" s="40" t="str">
        <f>'Tariffs Jan2019'!F79</f>
        <v>Click Energy</v>
      </c>
      <c r="B85" s="40" t="str">
        <f>'Tariffs Jan2019'!D79</f>
        <v>AusNet Services West</v>
      </c>
      <c r="C85" s="40" t="str">
        <f>'Tariffs Jan2019'!G79</f>
        <v>Burgundy</v>
      </c>
      <c r="D85" s="59">
        <f>365*'Tariffs Jan2019'!H79/100</f>
        <v>353.32</v>
      </c>
      <c r="E85" s="59">
        <f>IF($C$5*'Tariffs Jan2019'!AK79/'Tariffs Jan2019'!AI79&gt;='Tariffs Jan2019'!J79,( 'Tariffs Jan2019'!J79*'Tariffs Jan2019'!O79/100)* 'Tariffs Jan2019'!AI79,($C$5*'Tariffs Jan2019'!AK79/'Tariffs Jan2019'!AI79*'Tariffs Jan2019'!O79/100)* 'Tariffs Jan2019'!AI79)</f>
        <v>366</v>
      </c>
      <c r="F85" s="59">
        <f>IF($C$5*'Tariffs Jan2019'!AK79/'Tariffs Jan2019'!AI79&lt;'Tariffs Jan2019'!J79,0,IF($C$5*'Tariffs Jan2019'!AK79/'Tariffs Jan2019'!AI79&lt;='Tariffs Jan2019'!K79,($C$5*'Tariffs Jan2019'!AK79/'Tariffs Jan2019'!AI79-'Tariffs Jan2019'!J79)*('Tariffs Jan2019'!P79/100)*'Tariffs Jan2019'!AI79,('Tariffs Jan2019'!K79-'Tariffs Jan2019'!J79)*('Tariffs Jan2019'!P79/100)*'Tariffs Jan2019'!AI79))</f>
        <v>260.93909999999994</v>
      </c>
      <c r="G85" s="59">
        <f>IF($C$5*'Tariffs Jan2019'!AK79/'Tariffs Jan2019'!AI79&lt;'Tariffs Jan2019'!K79,0,IF($C$5*'Tariffs Jan2019'!AK79/'Tariffs Jan2019'!AI79&lt;='Tariffs Jan2019'!L79,($C$5*'Tariffs Jan2019'!AK79/'Tariffs Jan2019'!AI79-'Tariffs Jan2019'!K79)*('Tariffs Jan2019'!Q79/100)*'Tariffs Jan2019'!AI79,('Tariffs Jan2019'!L79-'Tariffs Jan2019'!K79)*('Tariffs Jan2019'!Q79/100)*'Tariffs Jan2019'!AI79))</f>
        <v>0</v>
      </c>
      <c r="H85" s="59">
        <f>IF($C$5*'Tariffs Jan2019'!AK79/'Tariffs Jan2019'!AI79&lt;'Tariffs Jan2019'!L79,0,IF($C$5*'Tariffs Jan2019'!AK79/'Tariffs Jan2019'!AI79&lt;='Tariffs Jan2019'!M79,($C$5*'Tariffs Jan2019'!AK79/'Tariffs Jan2019'!AI79-'Tariffs Jan2019'!L79)*('Tariffs Jan2019'!R79/100)*'Tariffs Jan2019'!AI79,('Tariffs Jan2019'!M79-'Tariffs Jan2019'!L79)*('Tariffs Jan2019'!R79/100)*'Tariffs Jan2019'!AI79))</f>
        <v>0</v>
      </c>
      <c r="I85" s="59">
        <f>IF(($C$5*'Tariffs Jan2019'!AK79/'Tariffs Jan2019'!AI79&gt;'Tariffs Jan2019'!M79),($C$5*'Tariffs Jan2019'!AK79/'Tariffs Jan2019'!AI79-'Tariffs Jan2019'!M79)*'Tariffs Jan2019'!S79/100*'Tariffs Jan2019'!AI79,0)</f>
        <v>0</v>
      </c>
      <c r="J85" s="59">
        <f>IF($C$5*'Tariffs Jan2019'!AL79/'Tariffs Jan2019'!AJ79&gt;='Tariffs Jan2019'!J79,('Tariffs Jan2019'!J79*'Tariffs Jan2019'!U79/100)* 'Tariffs Jan2019'!AJ79,($C$5*'Tariffs Jan2019'!AL79/'Tariffs Jan2019'!AJ79*'Tariffs Jan2019'!U79/100)* 'Tariffs Jan2019'!AJ79)</f>
        <v>600</v>
      </c>
      <c r="K85" s="59">
        <f>IF($C$5*'Tariffs Jan2019'!AL79/'Tariffs Jan2019'!AJ79&lt;'Tariffs Jan2019'!J79,0,IF($C$5*'Tariffs Jan2019'!AL79/'Tariffs Jan2019'!AJ79&lt;='Tariffs Jan2019'!K79,($C$5*'Tariffs Jan2019'!AL79/'Tariffs Jan2019'!AJ79-'Tariffs Jan2019'!J79)*('Tariffs Jan2019'!V79/100)*'Tariffs Jan2019'!AJ79,('Tariffs Jan2019'!K79-'Tariffs Jan2019'!J79)*('Tariffs Jan2019'!V79/100)*'Tariffs Jan2019'!AJ79))</f>
        <v>440.89709999999991</v>
      </c>
      <c r="L85" s="59">
        <f>IF($C$5*'Tariffs Jan2019'!AL79/'Tariffs Jan2019'!AJ79&lt;'Tariffs Jan2019'!K79,0,IF($C$5*'Tariffs Jan2019'!AL79/'Tariffs Jan2019'!AJ79&lt;='Tariffs Jan2019'!L79,($C$5*'Tariffs Jan2019'!AL79/'Tariffs Jan2019'!AJ79-'Tariffs Jan2019'!K79)*('Tariffs Jan2019'!W79/100)*'Tariffs Jan2019'!AJ79,('Tariffs Jan2019'!L79-'Tariffs Jan2019'!K79)*('Tariffs Jan2019'!W79/100)*'Tariffs Jan2019'!AJ79))</f>
        <v>0</v>
      </c>
      <c r="M85" s="59">
        <f>IF($C$5*'Tariffs Jan2019'!AL79/'Tariffs Jan2019'!AJ79&lt;'Tariffs Jan2019'!L79,0,IF($C$5*'Tariffs Jan2019'!AL79/'Tariffs Jan2019'!AJ79&lt;='Tariffs Jan2019'!M79,($C$5*'Tariffs Jan2019'!AL79/'Tariffs Jan2019'!AJ79-'Tariffs Jan2019'!L79)*('Tariffs Jan2019'!X79/100)*'Tariffs Jan2019'!AJ79,('Tariffs Jan2019'!M79-'Tariffs Jan2019'!L79)*('Tariffs Jan2019'!X79/100)*'Tariffs Jan2019'!AJ79))</f>
        <v>0</v>
      </c>
      <c r="N85" s="59">
        <f>IF(($C$5*'Tariffs Jan2019'!AL79/'Tariffs Jan2019'!AJ79&gt;'Tariffs Jan2019'!M79),($C$5*'Tariffs Jan2019'!AL79/'Tariffs Jan2019'!AJ79-'Tariffs Jan2019'!M79)*'Tariffs Jan2019'!Y79/100*'Tariffs Jan2019'!AJ79,0)</f>
        <v>0</v>
      </c>
      <c r="O85" s="271">
        <f t="shared" si="0"/>
        <v>1667.8362</v>
      </c>
      <c r="P85" s="59">
        <f t="shared" si="1"/>
        <v>2021.1561999999999</v>
      </c>
      <c r="Q85" s="272">
        <f t="shared" si="2"/>
        <v>2223.2718199999999</v>
      </c>
      <c r="R85" s="40">
        <f>'Tariffs Jan2019'!AN79</f>
        <v>0</v>
      </c>
      <c r="S85" s="40">
        <f>'Tariffs Jan2019'!AO79</f>
        <v>0</v>
      </c>
      <c r="T85" s="40">
        <f>'Tariffs Jan2019'!AP79</f>
        <v>26</v>
      </c>
      <c r="U85" s="40">
        <f>'Tariffs Jan2019'!AQ79</f>
        <v>0</v>
      </c>
      <c r="V85" s="273">
        <f>P85</f>
        <v>2021.1561999999999</v>
      </c>
      <c r="W85" s="273">
        <f>V85-(P85*T85/100)</f>
        <v>1495.6555880000001</v>
      </c>
      <c r="X85" s="272">
        <f t="shared" si="3"/>
        <v>2223.2718199999999</v>
      </c>
      <c r="Y85" s="272">
        <f t="shared" si="3"/>
        <v>1645.2211468000003</v>
      </c>
      <c r="Z85" s="274">
        <f>'Tariffs Jan2019'!AZ79</f>
        <v>0</v>
      </c>
      <c r="AA85" s="274" t="str">
        <f>'Tariffs Jan2019'!BA79</f>
        <v>n</v>
      </c>
      <c r="AB85" s="275" t="str">
        <f>'Tariffs Jan2019'!BH79</f>
        <v>N</v>
      </c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</row>
    <row r="86" spans="1:40" x14ac:dyDescent="0.15">
      <c r="A86" s="40" t="str">
        <f>'Tariffs Jan2019'!F80</f>
        <v>Covau</v>
      </c>
      <c r="B86" s="40" t="str">
        <f>'Tariffs Jan2019'!D80</f>
        <v>AusNet Services West</v>
      </c>
      <c r="C86" s="40" t="str">
        <f>'Tariffs Jan2019'!G80</f>
        <v>Smart Saver</v>
      </c>
      <c r="D86" s="59">
        <f>365*'Tariffs Jan2019'!H80/100</f>
        <v>310.25</v>
      </c>
      <c r="E86" s="59">
        <f>IF($C$5*'Tariffs Jan2019'!AK80/'Tariffs Jan2019'!AI80&gt;='Tariffs Jan2019'!J80,( 'Tariffs Jan2019'!J80*'Tariffs Jan2019'!O80/100)* 'Tariffs Jan2019'!AI80,($C$5*'Tariffs Jan2019'!AK80/'Tariffs Jan2019'!AI80*'Tariffs Jan2019'!O80/100)* 'Tariffs Jan2019'!AI80)</f>
        <v>432</v>
      </c>
      <c r="F86" s="59">
        <f>IF($C$5*'Tariffs Jan2019'!AK80/'Tariffs Jan2019'!AI80&lt;'Tariffs Jan2019'!J80,0,IF($C$5*'Tariffs Jan2019'!AK80/'Tariffs Jan2019'!AI80&lt;='Tariffs Jan2019'!K80,($C$5*'Tariffs Jan2019'!AK80/'Tariffs Jan2019'!AI80-'Tariffs Jan2019'!J80)*('Tariffs Jan2019'!P80/100)*'Tariffs Jan2019'!AI80,('Tariffs Jan2019'!K80-'Tariffs Jan2019'!J80)*('Tariffs Jan2019'!P80/100)*'Tariffs Jan2019'!AI80))</f>
        <v>303.75</v>
      </c>
      <c r="G86" s="59">
        <f>IF($C$5*'Tariffs Jan2019'!AK80/'Tariffs Jan2019'!AI80&lt;'Tariffs Jan2019'!K80,0,IF($C$5*'Tariffs Jan2019'!AK80/'Tariffs Jan2019'!AI80&lt;='Tariffs Jan2019'!L80,($C$5*'Tariffs Jan2019'!AK80/'Tariffs Jan2019'!AI80-'Tariffs Jan2019'!K80)*('Tariffs Jan2019'!Q80/100)*'Tariffs Jan2019'!AI80,('Tariffs Jan2019'!L80-'Tariffs Jan2019'!K80)*('Tariffs Jan2019'!Q80/100)*'Tariffs Jan2019'!AI80))</f>
        <v>0</v>
      </c>
      <c r="H86" s="59">
        <f>IF($C$5*'Tariffs Jan2019'!AK80/'Tariffs Jan2019'!AI80&lt;'Tariffs Jan2019'!L80,0,IF($C$5*'Tariffs Jan2019'!AK80/'Tariffs Jan2019'!AI80&lt;='Tariffs Jan2019'!M80,($C$5*'Tariffs Jan2019'!AK80/'Tariffs Jan2019'!AI80-'Tariffs Jan2019'!L80)*('Tariffs Jan2019'!R80/100)*'Tariffs Jan2019'!AI80,('Tariffs Jan2019'!M80-'Tariffs Jan2019'!L80)*('Tariffs Jan2019'!R80/100)*'Tariffs Jan2019'!AI80))</f>
        <v>0</v>
      </c>
      <c r="I86" s="59">
        <f>IF(($C$5*'Tariffs Jan2019'!AK80/'Tariffs Jan2019'!AI80&gt;'Tariffs Jan2019'!M80),($C$5*'Tariffs Jan2019'!AK80/'Tariffs Jan2019'!AI80-'Tariffs Jan2019'!M80)*'Tariffs Jan2019'!S80/100*'Tariffs Jan2019'!AI80,0)</f>
        <v>0</v>
      </c>
      <c r="J86" s="59">
        <f>IF($C$5*'Tariffs Jan2019'!AL80/'Tariffs Jan2019'!AJ80&gt;='Tariffs Jan2019'!J80,('Tariffs Jan2019'!J80*'Tariffs Jan2019'!U80/100)* 'Tariffs Jan2019'!AJ80,($C$5*'Tariffs Jan2019'!AL80/'Tariffs Jan2019'!AJ80*'Tariffs Jan2019'!U80/100)* 'Tariffs Jan2019'!AJ80)</f>
        <v>376.20000000000005</v>
      </c>
      <c r="K86" s="59">
        <f>IF($C$5*'Tariffs Jan2019'!AL80/'Tariffs Jan2019'!AJ80&lt;'Tariffs Jan2019'!J80,0,IF($C$5*'Tariffs Jan2019'!AL80/'Tariffs Jan2019'!AJ80&lt;='Tariffs Jan2019'!K80,($C$5*'Tariffs Jan2019'!AL80/'Tariffs Jan2019'!AJ80-'Tariffs Jan2019'!J80)*('Tariffs Jan2019'!V80/100)*'Tariffs Jan2019'!AJ80,('Tariffs Jan2019'!K80-'Tariffs Jan2019'!J80)*('Tariffs Jan2019'!V80/100)*'Tariffs Jan2019'!AJ80))</f>
        <v>261.89999999999998</v>
      </c>
      <c r="L86" s="59">
        <f>IF($C$5*'Tariffs Jan2019'!AL80/'Tariffs Jan2019'!AJ80&lt;'Tariffs Jan2019'!K80,0,IF($C$5*'Tariffs Jan2019'!AL80/'Tariffs Jan2019'!AJ80&lt;='Tariffs Jan2019'!L80,($C$5*'Tariffs Jan2019'!AL80/'Tariffs Jan2019'!AJ80-'Tariffs Jan2019'!K80)*('Tariffs Jan2019'!W80/100)*'Tariffs Jan2019'!AJ80,('Tariffs Jan2019'!L80-'Tariffs Jan2019'!K80)*('Tariffs Jan2019'!W80/100)*'Tariffs Jan2019'!AJ80))</f>
        <v>0</v>
      </c>
      <c r="M86" s="59">
        <f>IF($C$5*'Tariffs Jan2019'!AL80/'Tariffs Jan2019'!AJ80&lt;'Tariffs Jan2019'!L80,0,IF($C$5*'Tariffs Jan2019'!AL80/'Tariffs Jan2019'!AJ80&lt;='Tariffs Jan2019'!M80,($C$5*'Tariffs Jan2019'!AL80/'Tariffs Jan2019'!AJ80-'Tariffs Jan2019'!L80)*('Tariffs Jan2019'!X80/100)*'Tariffs Jan2019'!AJ80,('Tariffs Jan2019'!M80-'Tariffs Jan2019'!L80)*('Tariffs Jan2019'!X80/100)*'Tariffs Jan2019'!AJ80))</f>
        <v>0</v>
      </c>
      <c r="N86" s="59">
        <f>IF(($C$5*'Tariffs Jan2019'!AL80/'Tariffs Jan2019'!AJ80&gt;'Tariffs Jan2019'!M80),($C$5*'Tariffs Jan2019'!AL80/'Tariffs Jan2019'!AJ80-'Tariffs Jan2019'!M80)*'Tariffs Jan2019'!Y80/100*'Tariffs Jan2019'!AJ80,0)</f>
        <v>0</v>
      </c>
      <c r="O86" s="271">
        <f t="shared" si="0"/>
        <v>1373.85</v>
      </c>
      <c r="P86" s="59">
        <f t="shared" si="1"/>
        <v>1684.1</v>
      </c>
      <c r="Q86" s="272">
        <f t="shared" si="2"/>
        <v>1852.51</v>
      </c>
      <c r="R86" s="40">
        <f>'Tariffs Jan2019'!AN80</f>
        <v>0</v>
      </c>
      <c r="S86" s="40">
        <f>'Tariffs Jan2019'!AO80</f>
        <v>0</v>
      </c>
      <c r="T86" s="40">
        <f>'Tariffs Jan2019'!AP80</f>
        <v>0</v>
      </c>
      <c r="U86" s="40">
        <f>'Tariffs Jan2019'!AQ80</f>
        <v>16</v>
      </c>
      <c r="V86" s="273">
        <f>P86</f>
        <v>1684.1</v>
      </c>
      <c r="W86" s="273">
        <f>V86-(O86*U86/100)</f>
        <v>1464.2839999999999</v>
      </c>
      <c r="X86" s="272">
        <f t="shared" si="3"/>
        <v>1852.51</v>
      </c>
      <c r="Y86" s="272">
        <f t="shared" si="3"/>
        <v>1610.7123999999999</v>
      </c>
      <c r="Z86" s="274">
        <f>'Tariffs Jan2019'!AZ80</f>
        <v>0</v>
      </c>
      <c r="AA86" s="274" t="str">
        <f>'Tariffs Jan2019'!BA80</f>
        <v>n</v>
      </c>
      <c r="AB86" s="275" t="str">
        <f>'Tariffs Jan2019'!BH80</f>
        <v>N</v>
      </c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</row>
    <row r="87" spans="1:40" x14ac:dyDescent="0.15">
      <c r="A87" s="40" t="str">
        <f>'Tariffs Jan2019'!F81</f>
        <v>EnergyAustralia</v>
      </c>
      <c r="B87" s="40" t="str">
        <f>'Tariffs Jan2019'!D81</f>
        <v>AusNet Services West</v>
      </c>
      <c r="C87" s="40" t="str">
        <f>'Tariffs Jan2019'!G81</f>
        <v>Anytime Saver</v>
      </c>
      <c r="D87" s="59">
        <f>365*'Tariffs Jan2019'!H81/100</f>
        <v>345.65499999999997</v>
      </c>
      <c r="E87" s="59">
        <f>IF($C$5*'Tariffs Jan2019'!AK81/'Tariffs Jan2019'!AI81&gt;='Tariffs Jan2019'!J81,( 'Tariffs Jan2019'!J81*'Tariffs Jan2019'!O81/100)* 'Tariffs Jan2019'!AI81,($C$5*'Tariffs Jan2019'!AK81/'Tariffs Jan2019'!AI81*'Tariffs Jan2019'!O81/100)* 'Tariffs Jan2019'!AI81)</f>
        <v>518.64813000000004</v>
      </c>
      <c r="F87" s="59">
        <f>IF($C$5*'Tariffs Jan2019'!AK81/'Tariffs Jan2019'!AI81&lt;'Tariffs Jan2019'!J81,0,IF($C$5*'Tariffs Jan2019'!AK81/'Tariffs Jan2019'!AI81&lt;='Tariffs Jan2019'!K81,($C$5*'Tariffs Jan2019'!AK81/'Tariffs Jan2019'!AI81-'Tariffs Jan2019'!J81)*('Tariffs Jan2019'!P81/100)*'Tariffs Jan2019'!AI81,('Tariffs Jan2019'!K81-'Tariffs Jan2019'!J81)*('Tariffs Jan2019'!P81/100)*'Tariffs Jan2019'!AI81))</f>
        <v>0</v>
      </c>
      <c r="G87" s="59">
        <f>IF($C$5*'Tariffs Jan2019'!AK81/'Tariffs Jan2019'!AI81&lt;'Tariffs Jan2019'!K81,0,IF($C$5*'Tariffs Jan2019'!AK81/'Tariffs Jan2019'!AI81&lt;='Tariffs Jan2019'!L81,($C$5*'Tariffs Jan2019'!AK81/'Tariffs Jan2019'!AI81-'Tariffs Jan2019'!K81)*('Tariffs Jan2019'!Q81/100)*'Tariffs Jan2019'!AI81,('Tariffs Jan2019'!L81-'Tariffs Jan2019'!K81)*('Tariffs Jan2019'!Q81/100)*'Tariffs Jan2019'!AI81))</f>
        <v>0</v>
      </c>
      <c r="H87" s="59">
        <f>IF($C$5*'Tariffs Jan2019'!AK81/'Tariffs Jan2019'!AI81&lt;'Tariffs Jan2019'!L81,0,IF($C$5*'Tariffs Jan2019'!AK81/'Tariffs Jan2019'!AI81&lt;='Tariffs Jan2019'!M81,($C$5*'Tariffs Jan2019'!AK81/'Tariffs Jan2019'!AI81-'Tariffs Jan2019'!L81)*('Tariffs Jan2019'!R81/100)*'Tariffs Jan2019'!AI81,('Tariffs Jan2019'!M81-'Tariffs Jan2019'!L81)*('Tariffs Jan2019'!R81/100)*'Tariffs Jan2019'!AI81))</f>
        <v>0</v>
      </c>
      <c r="I87" s="59">
        <f>IF(($C$5*'Tariffs Jan2019'!AK81/'Tariffs Jan2019'!AI81&gt;'Tariffs Jan2019'!M81),($C$5*'Tariffs Jan2019'!AK81/'Tariffs Jan2019'!AI81-'Tariffs Jan2019'!M81)*'Tariffs Jan2019'!S81/100*'Tariffs Jan2019'!AI81,0)</f>
        <v>0</v>
      </c>
      <c r="J87" s="59">
        <f>IF($C$5*'Tariffs Jan2019'!AL81/'Tariffs Jan2019'!AJ81&gt;='Tariffs Jan2019'!J81,('Tariffs Jan2019'!J81*'Tariffs Jan2019'!U81/100)* 'Tariffs Jan2019'!AJ81,($C$5*'Tariffs Jan2019'!AL81/'Tariffs Jan2019'!AJ81*'Tariffs Jan2019'!U81/100)* 'Tariffs Jan2019'!AJ81)</f>
        <v>781.12187999999992</v>
      </c>
      <c r="K87" s="59">
        <f>IF($C$5*'Tariffs Jan2019'!AL81/'Tariffs Jan2019'!AJ81&lt;'Tariffs Jan2019'!J81,0,IF($C$5*'Tariffs Jan2019'!AL81/'Tariffs Jan2019'!AJ81&lt;='Tariffs Jan2019'!K81,($C$5*'Tariffs Jan2019'!AL81/'Tariffs Jan2019'!AJ81-'Tariffs Jan2019'!J81)*('Tariffs Jan2019'!V81/100)*'Tariffs Jan2019'!AJ81,('Tariffs Jan2019'!K81-'Tariffs Jan2019'!J81)*('Tariffs Jan2019'!V81/100)*'Tariffs Jan2019'!AJ81))</f>
        <v>0</v>
      </c>
      <c r="L87" s="59">
        <f>IF($C$5*'Tariffs Jan2019'!AL81/'Tariffs Jan2019'!AJ81&lt;'Tariffs Jan2019'!K81,0,IF($C$5*'Tariffs Jan2019'!AL81/'Tariffs Jan2019'!AJ81&lt;='Tariffs Jan2019'!L81,($C$5*'Tariffs Jan2019'!AL81/'Tariffs Jan2019'!AJ81-'Tariffs Jan2019'!K81)*('Tariffs Jan2019'!W81/100)*'Tariffs Jan2019'!AJ81,('Tariffs Jan2019'!L81-'Tariffs Jan2019'!K81)*('Tariffs Jan2019'!W81/100)*'Tariffs Jan2019'!AJ81))</f>
        <v>0</v>
      </c>
      <c r="M87" s="59">
        <f>IF($C$5*'Tariffs Jan2019'!AL81/'Tariffs Jan2019'!AJ81&lt;'Tariffs Jan2019'!L81,0,IF($C$5*'Tariffs Jan2019'!AL81/'Tariffs Jan2019'!AJ81&lt;='Tariffs Jan2019'!M81,($C$5*'Tariffs Jan2019'!AL81/'Tariffs Jan2019'!AJ81-'Tariffs Jan2019'!L81)*('Tariffs Jan2019'!X81/100)*'Tariffs Jan2019'!AJ81,('Tariffs Jan2019'!M81-'Tariffs Jan2019'!L81)*('Tariffs Jan2019'!X81/100)*'Tariffs Jan2019'!AJ81))</f>
        <v>0</v>
      </c>
      <c r="N87" s="59">
        <f>IF(($C$5*'Tariffs Jan2019'!AL81/'Tariffs Jan2019'!AJ81&gt;'Tariffs Jan2019'!M81),($C$5*'Tariffs Jan2019'!AL81/'Tariffs Jan2019'!AJ81-'Tariffs Jan2019'!M81)*'Tariffs Jan2019'!Y81/100*'Tariffs Jan2019'!AJ81,0)</f>
        <v>0</v>
      </c>
      <c r="O87" s="271">
        <f t="shared" si="0"/>
        <v>1299.77001</v>
      </c>
      <c r="P87" s="59">
        <f t="shared" si="1"/>
        <v>1645.4250099999999</v>
      </c>
      <c r="Q87" s="272">
        <f t="shared" si="2"/>
        <v>1809.9675110000001</v>
      </c>
      <c r="R87" s="40">
        <f>'Tariffs Jan2019'!AN81</f>
        <v>0</v>
      </c>
      <c r="S87" s="40">
        <f>'Tariffs Jan2019'!AO81</f>
        <v>22</v>
      </c>
      <c r="T87" s="40">
        <f>'Tariffs Jan2019'!AP81</f>
        <v>0</v>
      </c>
      <c r="U87" s="40">
        <f>'Tariffs Jan2019'!AQ81</f>
        <v>0</v>
      </c>
      <c r="V87" s="273">
        <f>P87-(O87*S87/100)</f>
        <v>1359.4756078</v>
      </c>
      <c r="W87" s="273">
        <f>V87-(O87*U87/100)</f>
        <v>1359.4756078</v>
      </c>
      <c r="X87" s="272">
        <f t="shared" si="3"/>
        <v>1495.4231685800003</v>
      </c>
      <c r="Y87" s="272">
        <f t="shared" si="3"/>
        <v>1495.4231685800003</v>
      </c>
      <c r="Z87" s="274">
        <f>'Tariffs Jan2019'!AZ81</f>
        <v>0</v>
      </c>
      <c r="AA87" s="274" t="str">
        <f>'Tariffs Jan2019'!BA81</f>
        <v>n</v>
      </c>
      <c r="AB87" s="275" t="str">
        <f>'Tariffs Jan2019'!BH81</f>
        <v>N</v>
      </c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</row>
    <row r="88" spans="1:40" x14ac:dyDescent="0.15">
      <c r="A88" s="40" t="str">
        <f>'Tariffs Jan2019'!F82</f>
        <v>Lumo Energy</v>
      </c>
      <c r="B88" s="40" t="str">
        <f>'Tariffs Jan2019'!D82</f>
        <v>AusNet Services West</v>
      </c>
      <c r="C88" s="40" t="str">
        <f>'Tariffs Jan2019'!G82</f>
        <v>Value</v>
      </c>
      <c r="D88" s="59">
        <f>365*'Tariffs Jan2019'!H82/100</f>
        <v>255.5</v>
      </c>
      <c r="E88" s="59">
        <f>IF($C$5*'Tariffs Jan2019'!AK82/'Tariffs Jan2019'!AI82&gt;='Tariffs Jan2019'!J82,( 'Tariffs Jan2019'!J82*'Tariffs Jan2019'!O82/100)* 'Tariffs Jan2019'!AI82,($C$5*'Tariffs Jan2019'!AK82/'Tariffs Jan2019'!AI82*'Tariffs Jan2019'!O82/100)* 'Tariffs Jan2019'!AI82)</f>
        <v>228</v>
      </c>
      <c r="F88" s="59">
        <f>IF($C$5*'Tariffs Jan2019'!AK82/'Tariffs Jan2019'!AI82&lt;'Tariffs Jan2019'!J82,0,IF($C$5*'Tariffs Jan2019'!AK82/'Tariffs Jan2019'!AI82&lt;='Tariffs Jan2019'!K82,($C$5*'Tariffs Jan2019'!AK82/'Tariffs Jan2019'!AI82-'Tariffs Jan2019'!J82)*('Tariffs Jan2019'!P82/100)*'Tariffs Jan2019'!AI82,('Tariffs Jan2019'!K82-'Tariffs Jan2019'!J82)*('Tariffs Jan2019'!P82/100)*'Tariffs Jan2019'!AI82))</f>
        <v>161.96219999999997</v>
      </c>
      <c r="G88" s="59">
        <f>IF($C$5*'Tariffs Jan2019'!AK82/'Tariffs Jan2019'!AI82&lt;'Tariffs Jan2019'!K82,0,IF($C$5*'Tariffs Jan2019'!AK82/'Tariffs Jan2019'!AI82&lt;='Tariffs Jan2019'!L82,($C$5*'Tariffs Jan2019'!AK82/'Tariffs Jan2019'!AI82-'Tariffs Jan2019'!K82)*('Tariffs Jan2019'!Q82/100)*'Tariffs Jan2019'!AI82,('Tariffs Jan2019'!L82-'Tariffs Jan2019'!K82)*('Tariffs Jan2019'!Q82/100)*'Tariffs Jan2019'!AI82))</f>
        <v>0</v>
      </c>
      <c r="H88" s="59">
        <f>IF($C$5*'Tariffs Jan2019'!AK82/'Tariffs Jan2019'!AI82&lt;'Tariffs Jan2019'!L82,0,IF($C$5*'Tariffs Jan2019'!AK82/'Tariffs Jan2019'!AI82&lt;='Tariffs Jan2019'!M82,($C$5*'Tariffs Jan2019'!AK82/'Tariffs Jan2019'!AI82-'Tariffs Jan2019'!L82)*('Tariffs Jan2019'!R82/100)*'Tariffs Jan2019'!AI82,('Tariffs Jan2019'!M82-'Tariffs Jan2019'!L82)*('Tariffs Jan2019'!R82/100)*'Tariffs Jan2019'!AI82))</f>
        <v>0</v>
      </c>
      <c r="I88" s="59">
        <f>IF(($C$5*'Tariffs Jan2019'!AK82/'Tariffs Jan2019'!AI82&gt;'Tariffs Jan2019'!M82),($C$5*'Tariffs Jan2019'!AK82/'Tariffs Jan2019'!AI82-'Tariffs Jan2019'!M82)*'Tariffs Jan2019'!S82/100*'Tariffs Jan2019'!AI82,0)</f>
        <v>0</v>
      </c>
      <c r="J88" s="59">
        <f>IF($C$5*'Tariffs Jan2019'!AL82/'Tariffs Jan2019'!AJ82&gt;='Tariffs Jan2019'!J82,('Tariffs Jan2019'!J82*'Tariffs Jan2019'!U82/100)* 'Tariffs Jan2019'!AJ82,($C$5*'Tariffs Jan2019'!AL82/'Tariffs Jan2019'!AJ82*'Tariffs Jan2019'!U82/100)* 'Tariffs Jan2019'!AJ82)</f>
        <v>408</v>
      </c>
      <c r="K88" s="59">
        <f>IF($C$5*'Tariffs Jan2019'!AL82/'Tariffs Jan2019'!AJ82&lt;'Tariffs Jan2019'!J82,0,IF($C$5*'Tariffs Jan2019'!AL82/'Tariffs Jan2019'!AJ82&lt;='Tariffs Jan2019'!K82,($C$5*'Tariffs Jan2019'!AL82/'Tariffs Jan2019'!AJ82-'Tariffs Jan2019'!J82)*('Tariffs Jan2019'!V82/100)*'Tariffs Jan2019'!AJ82,('Tariffs Jan2019'!K82-'Tariffs Jan2019'!J82)*('Tariffs Jan2019'!V82/100)*'Tariffs Jan2019'!AJ82))</f>
        <v>287.93279999999993</v>
      </c>
      <c r="L88" s="59">
        <f>IF($C$5*'Tariffs Jan2019'!AL82/'Tariffs Jan2019'!AJ82&lt;'Tariffs Jan2019'!K82,0,IF($C$5*'Tariffs Jan2019'!AL82/'Tariffs Jan2019'!AJ82&lt;='Tariffs Jan2019'!L82,($C$5*'Tariffs Jan2019'!AL82/'Tariffs Jan2019'!AJ82-'Tariffs Jan2019'!K82)*('Tariffs Jan2019'!W82/100)*'Tariffs Jan2019'!AJ82,('Tariffs Jan2019'!L82-'Tariffs Jan2019'!K82)*('Tariffs Jan2019'!W82/100)*'Tariffs Jan2019'!AJ82))</f>
        <v>0</v>
      </c>
      <c r="M88" s="59">
        <f>IF($C$5*'Tariffs Jan2019'!AL82/'Tariffs Jan2019'!AJ82&lt;'Tariffs Jan2019'!L82,0,IF($C$5*'Tariffs Jan2019'!AL82/'Tariffs Jan2019'!AJ82&lt;='Tariffs Jan2019'!M82,($C$5*'Tariffs Jan2019'!AL82/'Tariffs Jan2019'!AJ82-'Tariffs Jan2019'!L82)*('Tariffs Jan2019'!X82/100)*'Tariffs Jan2019'!AJ82,('Tariffs Jan2019'!M82-'Tariffs Jan2019'!L82)*('Tariffs Jan2019'!X82/100)*'Tariffs Jan2019'!AJ82))</f>
        <v>0</v>
      </c>
      <c r="N88" s="59">
        <f>IF(($C$5*'Tariffs Jan2019'!AL82/'Tariffs Jan2019'!AJ82&gt;'Tariffs Jan2019'!M82),($C$5*'Tariffs Jan2019'!AL82/'Tariffs Jan2019'!AJ82-'Tariffs Jan2019'!M82)*'Tariffs Jan2019'!Y82/100*'Tariffs Jan2019'!AJ82,0)</f>
        <v>0</v>
      </c>
      <c r="O88" s="271">
        <f t="shared" si="0"/>
        <v>1085.895</v>
      </c>
      <c r="P88" s="59">
        <f t="shared" si="1"/>
        <v>1341.395</v>
      </c>
      <c r="Q88" s="272">
        <f t="shared" si="2"/>
        <v>1475.5345000000002</v>
      </c>
      <c r="R88" s="40">
        <f>'Tariffs Jan2019'!AN82</f>
        <v>0</v>
      </c>
      <c r="S88" s="40">
        <f>'Tariffs Jan2019'!AO82</f>
        <v>0</v>
      </c>
      <c r="T88" s="40">
        <f>'Tariffs Jan2019'!AP82</f>
        <v>3</v>
      </c>
      <c r="U88" s="40">
        <f>'Tariffs Jan2019'!AQ82</f>
        <v>0</v>
      </c>
      <c r="V88" s="273">
        <f t="shared" ref="V88:V96" si="9">P88</f>
        <v>1341.395</v>
      </c>
      <c r="W88" s="273">
        <f>V88-(P88*T88/100)</f>
        <v>1301.1531500000001</v>
      </c>
      <c r="X88" s="272">
        <f t="shared" si="3"/>
        <v>1475.5345000000002</v>
      </c>
      <c r="Y88" s="272">
        <f t="shared" si="3"/>
        <v>1431.2684650000003</v>
      </c>
      <c r="Z88" s="274">
        <f>'Tariffs Jan2019'!AZ82</f>
        <v>0</v>
      </c>
      <c r="AA88" s="274" t="str">
        <f>'Tariffs Jan2019'!BA82</f>
        <v>n</v>
      </c>
      <c r="AB88" s="275" t="str">
        <f>'Tariffs Jan2019'!BH82</f>
        <v>N</v>
      </c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</row>
    <row r="89" spans="1:40" x14ac:dyDescent="0.15">
      <c r="A89" s="40" t="str">
        <f>'Tariffs Jan2019'!F83</f>
        <v>Momentum Energy</v>
      </c>
      <c r="B89" s="40" t="str">
        <f>'Tariffs Jan2019'!D83</f>
        <v>AusNet Services West</v>
      </c>
      <c r="C89" s="40" t="str">
        <f>'Tariffs Jan2019'!G83</f>
        <v>Market offer</v>
      </c>
      <c r="D89" s="59">
        <f>365*'Tariffs Jan2019'!H83/100</f>
        <v>342.51599999999996</v>
      </c>
      <c r="E89" s="59">
        <f>IF($C$5*'Tariffs Jan2019'!AK83/'Tariffs Jan2019'!AI83&gt;='Tariffs Jan2019'!J83,( 'Tariffs Jan2019'!J83*'Tariffs Jan2019'!O83/100)* 'Tariffs Jan2019'!AI83,($C$5*'Tariffs Jan2019'!AK83/'Tariffs Jan2019'!AI83*'Tariffs Jan2019'!O83/100)* 'Tariffs Jan2019'!AI83)</f>
        <v>215.76</v>
      </c>
      <c r="F89" s="59">
        <f>IF($C$5*'Tariffs Jan2019'!AK83/'Tariffs Jan2019'!AI83&lt;'Tariffs Jan2019'!J83,0,IF($C$5*'Tariffs Jan2019'!AK83/'Tariffs Jan2019'!AI83&lt;='Tariffs Jan2019'!K83,($C$5*'Tariffs Jan2019'!AK83/'Tariffs Jan2019'!AI83-'Tariffs Jan2019'!J83)*('Tariffs Jan2019'!P83/100)*'Tariffs Jan2019'!AI83,('Tariffs Jan2019'!K83-'Tariffs Jan2019'!J83)*('Tariffs Jan2019'!P83/100)*'Tariffs Jan2019'!AI83))</f>
        <v>152.51440499999995</v>
      </c>
      <c r="G89" s="59">
        <f>IF($C$5*'Tariffs Jan2019'!AK83/'Tariffs Jan2019'!AI83&lt;'Tariffs Jan2019'!K83,0,IF($C$5*'Tariffs Jan2019'!AK83/'Tariffs Jan2019'!AI83&lt;='Tariffs Jan2019'!L83,($C$5*'Tariffs Jan2019'!AK83/'Tariffs Jan2019'!AI83-'Tariffs Jan2019'!K83)*('Tariffs Jan2019'!Q83/100)*'Tariffs Jan2019'!AI83,('Tariffs Jan2019'!L83-'Tariffs Jan2019'!K83)*('Tariffs Jan2019'!Q83/100)*'Tariffs Jan2019'!AI83))</f>
        <v>0</v>
      </c>
      <c r="H89" s="59">
        <f>IF($C$5*'Tariffs Jan2019'!AK83/'Tariffs Jan2019'!AI83&lt;'Tariffs Jan2019'!L83,0,IF($C$5*'Tariffs Jan2019'!AK83/'Tariffs Jan2019'!AI83&lt;='Tariffs Jan2019'!M83,($C$5*'Tariffs Jan2019'!AK83/'Tariffs Jan2019'!AI83-'Tariffs Jan2019'!L83)*('Tariffs Jan2019'!R83/100)*'Tariffs Jan2019'!AI83,('Tariffs Jan2019'!M83-'Tariffs Jan2019'!L83)*('Tariffs Jan2019'!R83/100)*'Tariffs Jan2019'!AI83))</f>
        <v>0</v>
      </c>
      <c r="I89" s="59">
        <f>IF(($C$5*'Tariffs Jan2019'!AK83/'Tariffs Jan2019'!AI83&gt;'Tariffs Jan2019'!M83),($C$5*'Tariffs Jan2019'!AK83/'Tariffs Jan2019'!AI83-'Tariffs Jan2019'!M83)*'Tariffs Jan2019'!S83/100*'Tariffs Jan2019'!AI83,0)</f>
        <v>0</v>
      </c>
      <c r="J89" s="59">
        <f>IF($C$5*'Tariffs Jan2019'!AL83/'Tariffs Jan2019'!AJ83&gt;='Tariffs Jan2019'!J83,('Tariffs Jan2019'!J83*'Tariffs Jan2019'!U83/100)* 'Tariffs Jan2019'!AJ83,($C$5*'Tariffs Jan2019'!AL83/'Tariffs Jan2019'!AJ83*'Tariffs Jan2019'!U83/100)* 'Tariffs Jan2019'!AJ83)</f>
        <v>330.72</v>
      </c>
      <c r="K89" s="59">
        <f>IF($C$5*'Tariffs Jan2019'!AL83/'Tariffs Jan2019'!AJ83&lt;'Tariffs Jan2019'!J83,0,IF($C$5*'Tariffs Jan2019'!AL83/'Tariffs Jan2019'!AJ83&lt;='Tariffs Jan2019'!K83,($C$5*'Tariffs Jan2019'!AL83/'Tariffs Jan2019'!AJ83-'Tariffs Jan2019'!J83)*('Tariffs Jan2019'!V83/100)*'Tariffs Jan2019'!AJ83,('Tariffs Jan2019'!K83-'Tariffs Jan2019'!J83)*('Tariffs Jan2019'!V83/100)*'Tariffs Jan2019'!AJ83))</f>
        <v>245.82262799999995</v>
      </c>
      <c r="L89" s="59">
        <f>IF($C$5*'Tariffs Jan2019'!AL83/'Tariffs Jan2019'!AJ83&lt;'Tariffs Jan2019'!K83,0,IF($C$5*'Tariffs Jan2019'!AL83/'Tariffs Jan2019'!AJ83&lt;='Tariffs Jan2019'!L83,($C$5*'Tariffs Jan2019'!AL83/'Tariffs Jan2019'!AJ83-'Tariffs Jan2019'!K83)*('Tariffs Jan2019'!W83/100)*'Tariffs Jan2019'!AJ83,('Tariffs Jan2019'!L83-'Tariffs Jan2019'!K83)*('Tariffs Jan2019'!W83/100)*'Tariffs Jan2019'!AJ83))</f>
        <v>0</v>
      </c>
      <c r="M89" s="59">
        <f>IF($C$5*'Tariffs Jan2019'!AL83/'Tariffs Jan2019'!AJ83&lt;'Tariffs Jan2019'!L83,0,IF($C$5*'Tariffs Jan2019'!AL83/'Tariffs Jan2019'!AJ83&lt;='Tariffs Jan2019'!M83,($C$5*'Tariffs Jan2019'!AL83/'Tariffs Jan2019'!AJ83-'Tariffs Jan2019'!L83)*('Tariffs Jan2019'!X83/100)*'Tariffs Jan2019'!AJ83,('Tariffs Jan2019'!M83-'Tariffs Jan2019'!L83)*('Tariffs Jan2019'!X83/100)*'Tariffs Jan2019'!AJ83))</f>
        <v>0</v>
      </c>
      <c r="N89" s="59">
        <f>IF(($C$5*'Tariffs Jan2019'!AL83/'Tariffs Jan2019'!AJ83&gt;'Tariffs Jan2019'!M83),($C$5*'Tariffs Jan2019'!AL83/'Tariffs Jan2019'!AJ83-'Tariffs Jan2019'!M83)*'Tariffs Jan2019'!Y83/100*'Tariffs Jan2019'!AJ83,0)</f>
        <v>0</v>
      </c>
      <c r="O89" s="271">
        <f t="shared" si="0"/>
        <v>944.81703299999981</v>
      </c>
      <c r="P89" s="59">
        <f t="shared" si="1"/>
        <v>1287.3330329999999</v>
      </c>
      <c r="Q89" s="272">
        <f t="shared" si="2"/>
        <v>1416.0663363000001</v>
      </c>
      <c r="R89" s="40">
        <f>'Tariffs Jan2019'!AN83</f>
        <v>0</v>
      </c>
      <c r="S89" s="40">
        <f>'Tariffs Jan2019'!AO83</f>
        <v>0</v>
      </c>
      <c r="T89" s="40">
        <f>'Tariffs Jan2019'!AP83</f>
        <v>0</v>
      </c>
      <c r="U89" s="40">
        <f>'Tariffs Jan2019'!AQ83</f>
        <v>0</v>
      </c>
      <c r="V89" s="273">
        <f t="shared" si="9"/>
        <v>1287.3330329999999</v>
      </c>
      <c r="W89" s="273">
        <f>V89</f>
        <v>1287.3330329999999</v>
      </c>
      <c r="X89" s="272">
        <f t="shared" si="3"/>
        <v>1416.0663363000001</v>
      </c>
      <c r="Y89" s="272">
        <f t="shared" si="3"/>
        <v>1416.0663363000001</v>
      </c>
      <c r="Z89" s="274">
        <f>'Tariffs Jan2019'!AZ83</f>
        <v>0</v>
      </c>
      <c r="AA89" s="274" t="str">
        <f>'Tariffs Jan2019'!BA83</f>
        <v>n</v>
      </c>
      <c r="AB89" s="275" t="str">
        <f>'Tariffs Jan2019'!BH83</f>
        <v>Y</v>
      </c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</row>
    <row r="90" spans="1:40" x14ac:dyDescent="0.15">
      <c r="A90" s="40" t="str">
        <f>'Tariffs Jan2019'!F84</f>
        <v>Origin Energy</v>
      </c>
      <c r="B90" s="40" t="str">
        <f>'Tariffs Jan2019'!D84</f>
        <v>AusNet Services West</v>
      </c>
      <c r="C90" s="40" t="str">
        <f>'Tariffs Jan2019'!G84</f>
        <v>Saver</v>
      </c>
      <c r="D90" s="59">
        <f>365*'Tariffs Jan2019'!H84/100</f>
        <v>288.35000000000002</v>
      </c>
      <c r="E90" s="59">
        <f>IF($C$5*'Tariffs Jan2019'!AK84/'Tariffs Jan2019'!AI84&gt;='Tariffs Jan2019'!J84,( 'Tariffs Jan2019'!J84*'Tariffs Jan2019'!O84/100)* 'Tariffs Jan2019'!AI84,($C$5*'Tariffs Jan2019'!AK84/'Tariffs Jan2019'!AI84*'Tariffs Jan2019'!O84/100)* 'Tariffs Jan2019'!AI84)</f>
        <v>153.6</v>
      </c>
      <c r="F90" s="59">
        <f>IF($C$5*'Tariffs Jan2019'!AK84/'Tariffs Jan2019'!AI84&lt;'Tariffs Jan2019'!J84,0,IF($C$5*'Tariffs Jan2019'!AK84/'Tariffs Jan2019'!AI84&lt;='Tariffs Jan2019'!K84,($C$5*'Tariffs Jan2019'!AK84/'Tariffs Jan2019'!AI84-'Tariffs Jan2019'!J84)*('Tariffs Jan2019'!P84/100)*'Tariffs Jan2019'!AI84,('Tariffs Jan2019'!K84-'Tariffs Jan2019'!J84)*('Tariffs Jan2019'!P84/100)*'Tariffs Jan2019'!AI84))</f>
        <v>0</v>
      </c>
      <c r="G90" s="59">
        <f>IF($C$5*'Tariffs Jan2019'!AK84/'Tariffs Jan2019'!AI84&lt;'Tariffs Jan2019'!K84,0,IF($C$5*'Tariffs Jan2019'!AK84/'Tariffs Jan2019'!AI84&lt;='Tariffs Jan2019'!L84,($C$5*'Tariffs Jan2019'!AK84/'Tariffs Jan2019'!AI84-'Tariffs Jan2019'!K84)*('Tariffs Jan2019'!Q84/100)*'Tariffs Jan2019'!AI84,('Tariffs Jan2019'!L84-'Tariffs Jan2019'!K84)*('Tariffs Jan2019'!Q84/100)*'Tariffs Jan2019'!AI84))</f>
        <v>0</v>
      </c>
      <c r="H90" s="59">
        <f>IF($C$5*'Tariffs Jan2019'!AK84/'Tariffs Jan2019'!AI84&lt;'Tariffs Jan2019'!L84,0,IF($C$5*'Tariffs Jan2019'!AK84/'Tariffs Jan2019'!AI84&lt;='Tariffs Jan2019'!M84,($C$5*'Tariffs Jan2019'!AK84/'Tariffs Jan2019'!AI84-'Tariffs Jan2019'!L84)*('Tariffs Jan2019'!R84/100)*'Tariffs Jan2019'!AI84,('Tariffs Jan2019'!M84-'Tariffs Jan2019'!L84)*('Tariffs Jan2019'!R84/100)*'Tariffs Jan2019'!AI84))</f>
        <v>0</v>
      </c>
      <c r="I90" s="59">
        <f>IF(($C$5*'Tariffs Jan2019'!AK84/'Tariffs Jan2019'!AI84&gt;'Tariffs Jan2019'!M84),($C$5*'Tariffs Jan2019'!AK84/'Tariffs Jan2019'!AI84-'Tariffs Jan2019'!M84)*'Tariffs Jan2019'!S84/100*'Tariffs Jan2019'!AI84,0)</f>
        <v>306.55589999999995</v>
      </c>
      <c r="J90" s="59">
        <f>IF($C$5*'Tariffs Jan2019'!AL84/'Tariffs Jan2019'!AJ84&gt;='Tariffs Jan2019'!J84,('Tariffs Jan2019'!J84*'Tariffs Jan2019'!U84/100)* 'Tariffs Jan2019'!AJ84,($C$5*'Tariffs Jan2019'!AL84/'Tariffs Jan2019'!AJ84*'Tariffs Jan2019'!U84/100)* 'Tariffs Jan2019'!AJ84)</f>
        <v>224</v>
      </c>
      <c r="K90" s="59">
        <f>IF($C$5*'Tariffs Jan2019'!AL84/'Tariffs Jan2019'!AJ84&lt;'Tariffs Jan2019'!J84,0,IF($C$5*'Tariffs Jan2019'!AL84/'Tariffs Jan2019'!AJ84&lt;='Tariffs Jan2019'!K84,($C$5*'Tariffs Jan2019'!AL84/'Tariffs Jan2019'!AJ84-'Tariffs Jan2019'!J84)*('Tariffs Jan2019'!V84/100)*'Tariffs Jan2019'!AJ84,('Tariffs Jan2019'!K84-'Tariffs Jan2019'!J84)*('Tariffs Jan2019'!V84/100)*'Tariffs Jan2019'!AJ84))</f>
        <v>0</v>
      </c>
      <c r="L90" s="59">
        <f>IF($C$5*'Tariffs Jan2019'!AL84/'Tariffs Jan2019'!AJ84&lt;'Tariffs Jan2019'!K84,0,IF($C$5*'Tariffs Jan2019'!AL84/'Tariffs Jan2019'!AJ84&lt;='Tariffs Jan2019'!L84,($C$5*'Tariffs Jan2019'!AL84/'Tariffs Jan2019'!AJ84-'Tariffs Jan2019'!K84)*('Tariffs Jan2019'!W84/100)*'Tariffs Jan2019'!AJ84,('Tariffs Jan2019'!L84-'Tariffs Jan2019'!K84)*('Tariffs Jan2019'!W84/100)*'Tariffs Jan2019'!AJ84))</f>
        <v>0</v>
      </c>
      <c r="M90" s="59">
        <f>IF($C$5*'Tariffs Jan2019'!AL84/'Tariffs Jan2019'!AJ84&lt;'Tariffs Jan2019'!L84,0,IF($C$5*'Tariffs Jan2019'!AL84/'Tariffs Jan2019'!AJ84&lt;='Tariffs Jan2019'!M84,($C$5*'Tariffs Jan2019'!AL84/'Tariffs Jan2019'!AJ84-'Tariffs Jan2019'!L84)*('Tariffs Jan2019'!X84/100)*'Tariffs Jan2019'!AJ84,('Tariffs Jan2019'!M84-'Tariffs Jan2019'!L84)*('Tariffs Jan2019'!X84/100)*'Tariffs Jan2019'!AJ84))</f>
        <v>0</v>
      </c>
      <c r="N90" s="59">
        <f>IF(($C$5*'Tariffs Jan2019'!AL84/'Tariffs Jan2019'!AJ84&gt;'Tariffs Jan2019'!M84),($C$5*'Tariffs Jan2019'!AL84/'Tariffs Jan2019'!AJ84-'Tariffs Jan2019'!M84)*'Tariffs Jan2019'!Y84/100*'Tariffs Jan2019'!AJ84,0)</f>
        <v>467.13279999999997</v>
      </c>
      <c r="O90" s="271">
        <f t="shared" si="0"/>
        <v>1151.2887000000001</v>
      </c>
      <c r="P90" s="59">
        <f t="shared" si="1"/>
        <v>1439.6387</v>
      </c>
      <c r="Q90" s="272">
        <f t="shared" si="2"/>
        <v>1583.60257</v>
      </c>
      <c r="R90" s="40">
        <f>'Tariffs Jan2019'!AN84</f>
        <v>0</v>
      </c>
      <c r="S90" s="40">
        <f>'Tariffs Jan2019'!AO84</f>
        <v>0</v>
      </c>
      <c r="T90" s="40">
        <f>'Tariffs Jan2019'!AP84</f>
        <v>0</v>
      </c>
      <c r="U90" s="40">
        <f>'Tariffs Jan2019'!AQ84</f>
        <v>13</v>
      </c>
      <c r="V90" s="273">
        <f t="shared" si="9"/>
        <v>1439.6387</v>
      </c>
      <c r="W90" s="273">
        <f>V90-(O90*U90/100)</f>
        <v>1289.9711689999999</v>
      </c>
      <c r="X90" s="272">
        <f t="shared" si="3"/>
        <v>1583.60257</v>
      </c>
      <c r="Y90" s="272">
        <f t="shared" si="3"/>
        <v>1418.9682859</v>
      </c>
      <c r="Z90" s="274">
        <f>'Tariffs Jan2019'!AZ84</f>
        <v>0</v>
      </c>
      <c r="AA90" s="274" t="str">
        <f>'Tariffs Jan2019'!BA84</f>
        <v>n</v>
      </c>
      <c r="AB90" s="275" t="str">
        <f>'Tariffs Jan2019'!BH84</f>
        <v>N</v>
      </c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</row>
    <row r="91" spans="1:40" x14ac:dyDescent="0.15">
      <c r="A91" s="40" t="str">
        <f>'Tariffs Jan2019'!F85</f>
        <v>Red Energy</v>
      </c>
      <c r="B91" s="40" t="str">
        <f>'Tariffs Jan2019'!D85</f>
        <v>AusNet Services West</v>
      </c>
      <c r="C91" s="40" t="str">
        <f>'Tariffs Jan2019'!G85</f>
        <v>Easy Saver</v>
      </c>
      <c r="D91" s="59">
        <f>365*'Tariffs Jan2019'!H85/100</f>
        <v>292</v>
      </c>
      <c r="E91" s="59">
        <f>IF($C$5*'Tariffs Jan2019'!AK85/'Tariffs Jan2019'!AI85&gt;='Tariffs Jan2019'!J85,( 'Tariffs Jan2019'!J85*'Tariffs Jan2019'!O85/100)* 'Tariffs Jan2019'!AI85,($C$5*'Tariffs Jan2019'!AK85/'Tariffs Jan2019'!AI85*'Tariffs Jan2019'!O85/100)* 'Tariffs Jan2019'!AI85)</f>
        <v>131.19999999999999</v>
      </c>
      <c r="F91" s="59">
        <f>IF($C$5*'Tariffs Jan2019'!AK85/'Tariffs Jan2019'!AI85&lt;'Tariffs Jan2019'!J85,0,IF($C$5*'Tariffs Jan2019'!AK85/'Tariffs Jan2019'!AI85&lt;='Tariffs Jan2019'!K85,($C$5*'Tariffs Jan2019'!AK85/'Tariffs Jan2019'!AI85-'Tariffs Jan2019'!J85)*('Tariffs Jan2019'!P85/100)*'Tariffs Jan2019'!AI85,('Tariffs Jan2019'!K85-'Tariffs Jan2019'!J85)*('Tariffs Jan2019'!P85/100)*'Tariffs Jan2019'!AI85))</f>
        <v>0</v>
      </c>
      <c r="G91" s="59">
        <f>IF($C$5*'Tariffs Jan2019'!AK85/'Tariffs Jan2019'!AI85&lt;'Tariffs Jan2019'!K85,0,IF($C$5*'Tariffs Jan2019'!AK85/'Tariffs Jan2019'!AI85&lt;='Tariffs Jan2019'!L85,($C$5*'Tariffs Jan2019'!AK85/'Tariffs Jan2019'!AI85-'Tariffs Jan2019'!K85)*('Tariffs Jan2019'!Q85/100)*'Tariffs Jan2019'!AI85,('Tariffs Jan2019'!L85-'Tariffs Jan2019'!K85)*('Tariffs Jan2019'!Q85/100)*'Tariffs Jan2019'!AI85))</f>
        <v>0</v>
      </c>
      <c r="H91" s="59">
        <f>IF($C$5*'Tariffs Jan2019'!AK85/'Tariffs Jan2019'!AI85&lt;'Tariffs Jan2019'!L85,0,IF($C$5*'Tariffs Jan2019'!AK85/'Tariffs Jan2019'!AI85&lt;='Tariffs Jan2019'!M85,($C$5*'Tariffs Jan2019'!AK85/'Tariffs Jan2019'!AI85-'Tariffs Jan2019'!L85)*('Tariffs Jan2019'!R85/100)*'Tariffs Jan2019'!AI85,('Tariffs Jan2019'!M85-'Tariffs Jan2019'!L85)*('Tariffs Jan2019'!R85/100)*'Tariffs Jan2019'!AI85))</f>
        <v>0</v>
      </c>
      <c r="I91" s="59">
        <f>IF(($C$5*'Tariffs Jan2019'!AK85/'Tariffs Jan2019'!AI85&gt;'Tariffs Jan2019'!M85),($C$5*'Tariffs Jan2019'!AK85/'Tariffs Jan2019'!AI85-'Tariffs Jan2019'!M85)*'Tariffs Jan2019'!S85/100*'Tariffs Jan2019'!AI85,0)</f>
        <v>262.76219999999995</v>
      </c>
      <c r="J91" s="59">
        <f>IF($C$5*'Tariffs Jan2019'!AL85/'Tariffs Jan2019'!AJ85&gt;='Tariffs Jan2019'!J85,('Tariffs Jan2019'!J85*'Tariffs Jan2019'!U85/100)* 'Tariffs Jan2019'!AJ85,($C$5*'Tariffs Jan2019'!AL85/'Tariffs Jan2019'!AJ85*'Tariffs Jan2019'!U85/100)* 'Tariffs Jan2019'!AJ85)</f>
        <v>230.4</v>
      </c>
      <c r="K91" s="59">
        <f>IF($C$5*'Tariffs Jan2019'!AL85/'Tariffs Jan2019'!AJ85&lt;'Tariffs Jan2019'!J85,0,IF($C$5*'Tariffs Jan2019'!AL85/'Tariffs Jan2019'!AJ85&lt;='Tariffs Jan2019'!K85,($C$5*'Tariffs Jan2019'!AL85/'Tariffs Jan2019'!AJ85-'Tariffs Jan2019'!J85)*('Tariffs Jan2019'!V85/100)*'Tariffs Jan2019'!AJ85,('Tariffs Jan2019'!K85-'Tariffs Jan2019'!J85)*('Tariffs Jan2019'!V85/100)*'Tariffs Jan2019'!AJ85))</f>
        <v>0</v>
      </c>
      <c r="L91" s="59">
        <f>IF($C$5*'Tariffs Jan2019'!AL85/'Tariffs Jan2019'!AJ85&lt;'Tariffs Jan2019'!K85,0,IF($C$5*'Tariffs Jan2019'!AL85/'Tariffs Jan2019'!AJ85&lt;='Tariffs Jan2019'!L85,($C$5*'Tariffs Jan2019'!AL85/'Tariffs Jan2019'!AJ85-'Tariffs Jan2019'!K85)*('Tariffs Jan2019'!W85/100)*'Tariffs Jan2019'!AJ85,('Tariffs Jan2019'!L85-'Tariffs Jan2019'!K85)*('Tariffs Jan2019'!W85/100)*'Tariffs Jan2019'!AJ85))</f>
        <v>0</v>
      </c>
      <c r="M91" s="59">
        <f>IF($C$5*'Tariffs Jan2019'!AL85/'Tariffs Jan2019'!AJ85&lt;'Tariffs Jan2019'!L85,0,IF($C$5*'Tariffs Jan2019'!AL85/'Tariffs Jan2019'!AJ85&lt;='Tariffs Jan2019'!M85,($C$5*'Tariffs Jan2019'!AL85/'Tariffs Jan2019'!AJ85-'Tariffs Jan2019'!L85)*('Tariffs Jan2019'!X85/100)*'Tariffs Jan2019'!AJ85,('Tariffs Jan2019'!M85-'Tariffs Jan2019'!L85)*('Tariffs Jan2019'!X85/100)*'Tariffs Jan2019'!AJ85))</f>
        <v>0</v>
      </c>
      <c r="N91" s="59">
        <f>IF(($C$5*'Tariffs Jan2019'!AL85/'Tariffs Jan2019'!AJ85&gt;'Tariffs Jan2019'!M85),($C$5*'Tariffs Jan2019'!AL85/'Tariffs Jan2019'!AJ85-'Tariffs Jan2019'!M85)*'Tariffs Jan2019'!Y85/100*'Tariffs Jan2019'!AJ85,0)</f>
        <v>467.13279999999997</v>
      </c>
      <c r="O91" s="271">
        <f t="shared" si="0"/>
        <v>1091.4949999999999</v>
      </c>
      <c r="P91" s="59">
        <f t="shared" si="1"/>
        <v>1383.4949999999999</v>
      </c>
      <c r="Q91" s="272">
        <f t="shared" si="2"/>
        <v>1521.8444999999999</v>
      </c>
      <c r="R91" s="40">
        <f>'Tariffs Jan2019'!AN85</f>
        <v>0</v>
      </c>
      <c r="S91" s="40">
        <f>'Tariffs Jan2019'!AO85</f>
        <v>0</v>
      </c>
      <c r="T91" s="40">
        <f>'Tariffs Jan2019'!AP85</f>
        <v>10</v>
      </c>
      <c r="U91" s="40">
        <f>'Tariffs Jan2019'!AQ85</f>
        <v>0</v>
      </c>
      <c r="V91" s="273">
        <f t="shared" si="9"/>
        <v>1383.4949999999999</v>
      </c>
      <c r="W91" s="273">
        <f>V91-(P91*T91/100)</f>
        <v>1245.1454999999999</v>
      </c>
      <c r="X91" s="272">
        <f t="shared" si="3"/>
        <v>1521.8444999999999</v>
      </c>
      <c r="Y91" s="272">
        <f t="shared" si="3"/>
        <v>1369.66005</v>
      </c>
      <c r="Z91" s="274">
        <f>'Tariffs Jan2019'!AZ85</f>
        <v>0</v>
      </c>
      <c r="AA91" s="274" t="str">
        <f>'Tariffs Jan2019'!BA85</f>
        <v>n</v>
      </c>
      <c r="AB91" s="275" t="str">
        <f>'Tariffs Jan2019'!BH85</f>
        <v>N</v>
      </c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</row>
    <row r="92" spans="1:40" x14ac:dyDescent="0.15">
      <c r="A92" s="40" t="str">
        <f>'Tariffs Jan2019'!F86</f>
        <v>Simply Energy</v>
      </c>
      <c r="B92" s="40" t="str">
        <f>'Tariffs Jan2019'!D86</f>
        <v>AusNet Services West</v>
      </c>
      <c r="C92" s="40" t="str">
        <f>'Tariffs Jan2019'!G86</f>
        <v>Plus</v>
      </c>
      <c r="D92" s="59">
        <f>365*'Tariffs Jan2019'!H86/100</f>
        <v>280.35650000000004</v>
      </c>
      <c r="E92" s="59">
        <f>IF($C$5*'Tariffs Jan2019'!AK86/'Tariffs Jan2019'!AI86&gt;='Tariffs Jan2019'!J86,( 'Tariffs Jan2019'!J86*'Tariffs Jan2019'!O86/100)* 'Tariffs Jan2019'!AI86,($C$5*'Tariffs Jan2019'!AK86/'Tariffs Jan2019'!AI86*'Tariffs Jan2019'!O86/100)* 'Tariffs Jan2019'!AI86)</f>
        <v>308.39999999999998</v>
      </c>
      <c r="F92" s="59">
        <f>IF($C$5*'Tariffs Jan2019'!AK86/'Tariffs Jan2019'!AI86&lt;'Tariffs Jan2019'!J86,0,IF($C$5*'Tariffs Jan2019'!AK86/'Tariffs Jan2019'!AI86&lt;='Tariffs Jan2019'!K86,($C$5*'Tariffs Jan2019'!AK86/'Tariffs Jan2019'!AI86-'Tariffs Jan2019'!J86)*('Tariffs Jan2019'!P86/100)*'Tariffs Jan2019'!AI86,('Tariffs Jan2019'!K86-'Tariffs Jan2019'!J86)*('Tariffs Jan2019'!P86/100)*'Tariffs Jan2019'!AI86))</f>
        <v>227.64686999999995</v>
      </c>
      <c r="G92" s="59">
        <f>IF($C$5*'Tariffs Jan2019'!AK86/'Tariffs Jan2019'!AI86&lt;'Tariffs Jan2019'!K86,0,IF($C$5*'Tariffs Jan2019'!AK86/'Tariffs Jan2019'!AI86&lt;='Tariffs Jan2019'!L86,($C$5*'Tariffs Jan2019'!AK86/'Tariffs Jan2019'!AI86-'Tariffs Jan2019'!K86)*('Tariffs Jan2019'!Q86/100)*'Tariffs Jan2019'!AI86,('Tariffs Jan2019'!L86-'Tariffs Jan2019'!K86)*('Tariffs Jan2019'!Q86/100)*'Tariffs Jan2019'!AI86))</f>
        <v>0</v>
      </c>
      <c r="H92" s="59">
        <f>IF($C$5*'Tariffs Jan2019'!AK86/'Tariffs Jan2019'!AI86&lt;'Tariffs Jan2019'!L86,0,IF($C$5*'Tariffs Jan2019'!AK86/'Tariffs Jan2019'!AI86&lt;='Tariffs Jan2019'!M86,($C$5*'Tariffs Jan2019'!AK86/'Tariffs Jan2019'!AI86-'Tariffs Jan2019'!L86)*('Tariffs Jan2019'!R86/100)*'Tariffs Jan2019'!AI86,('Tariffs Jan2019'!M86-'Tariffs Jan2019'!L86)*('Tariffs Jan2019'!R86/100)*'Tariffs Jan2019'!AI86))</f>
        <v>0</v>
      </c>
      <c r="I92" s="59">
        <f>IF(($C$5*'Tariffs Jan2019'!AK86/'Tariffs Jan2019'!AI86&gt;'Tariffs Jan2019'!M86),($C$5*'Tariffs Jan2019'!AK86/'Tariffs Jan2019'!AI86-'Tariffs Jan2019'!M86)*'Tariffs Jan2019'!S86/100*'Tariffs Jan2019'!AI86,0)</f>
        <v>0</v>
      </c>
      <c r="J92" s="59">
        <f>IF($C$5*'Tariffs Jan2019'!AL86/'Tariffs Jan2019'!AJ86&gt;='Tariffs Jan2019'!J86,('Tariffs Jan2019'!J86*'Tariffs Jan2019'!U86/100)* 'Tariffs Jan2019'!AJ86,($C$5*'Tariffs Jan2019'!AL86/'Tariffs Jan2019'!AJ86*'Tariffs Jan2019'!U86/100)* 'Tariffs Jan2019'!AJ86)</f>
        <v>504</v>
      </c>
      <c r="K92" s="59">
        <f>IF($C$5*'Tariffs Jan2019'!AL86/'Tariffs Jan2019'!AJ86&lt;'Tariffs Jan2019'!J86,0,IF($C$5*'Tariffs Jan2019'!AL86/'Tariffs Jan2019'!AJ86&lt;='Tariffs Jan2019'!K86,($C$5*'Tariffs Jan2019'!AL86/'Tariffs Jan2019'!AJ86-'Tariffs Jan2019'!J86)*('Tariffs Jan2019'!V86/100)*'Tariffs Jan2019'!AJ86,('Tariffs Jan2019'!K86-'Tariffs Jan2019'!J86)*('Tariffs Jan2019'!V86/100)*'Tariffs Jan2019'!AJ86))</f>
        <v>370.71347999999989</v>
      </c>
      <c r="L92" s="59">
        <f>IF($C$5*'Tariffs Jan2019'!AL86/'Tariffs Jan2019'!AJ86&lt;'Tariffs Jan2019'!K86,0,IF($C$5*'Tariffs Jan2019'!AL86/'Tariffs Jan2019'!AJ86&lt;='Tariffs Jan2019'!L86,($C$5*'Tariffs Jan2019'!AL86/'Tariffs Jan2019'!AJ86-'Tariffs Jan2019'!K86)*('Tariffs Jan2019'!W86/100)*'Tariffs Jan2019'!AJ86,('Tariffs Jan2019'!L86-'Tariffs Jan2019'!K86)*('Tariffs Jan2019'!W86/100)*'Tariffs Jan2019'!AJ86))</f>
        <v>0</v>
      </c>
      <c r="M92" s="59">
        <f>IF($C$5*'Tariffs Jan2019'!AL86/'Tariffs Jan2019'!AJ86&lt;'Tariffs Jan2019'!L86,0,IF($C$5*'Tariffs Jan2019'!AL86/'Tariffs Jan2019'!AJ86&lt;='Tariffs Jan2019'!M86,($C$5*'Tariffs Jan2019'!AL86/'Tariffs Jan2019'!AJ86-'Tariffs Jan2019'!L86)*('Tariffs Jan2019'!X86/100)*'Tariffs Jan2019'!AJ86,('Tariffs Jan2019'!M86-'Tariffs Jan2019'!L86)*('Tariffs Jan2019'!X86/100)*'Tariffs Jan2019'!AJ86))</f>
        <v>0</v>
      </c>
      <c r="N92" s="59">
        <f>IF(($C$5*'Tariffs Jan2019'!AL86/'Tariffs Jan2019'!AJ86&gt;'Tariffs Jan2019'!M86),($C$5*'Tariffs Jan2019'!AL86/'Tariffs Jan2019'!AJ86-'Tariffs Jan2019'!M86)*'Tariffs Jan2019'!Y86/100*'Tariffs Jan2019'!AJ86,0)</f>
        <v>0</v>
      </c>
      <c r="O92" s="271">
        <f t="shared" si="0"/>
        <v>1410.7603499999998</v>
      </c>
      <c r="P92" s="59">
        <f t="shared" si="1"/>
        <v>1691.1168499999999</v>
      </c>
      <c r="Q92" s="272">
        <f t="shared" si="2"/>
        <v>1860.228535</v>
      </c>
      <c r="R92" s="40">
        <f>'Tariffs Jan2019'!AN86</f>
        <v>0</v>
      </c>
      <c r="S92" s="40">
        <f>'Tariffs Jan2019'!AO86</f>
        <v>0</v>
      </c>
      <c r="T92" s="40">
        <f>'Tariffs Jan2019'!AP86</f>
        <v>0</v>
      </c>
      <c r="U92" s="40">
        <f>'Tariffs Jan2019'!AQ86</f>
        <v>26</v>
      </c>
      <c r="V92" s="273">
        <f t="shared" si="9"/>
        <v>1691.1168499999999</v>
      </c>
      <c r="W92" s="273">
        <f>V92-(O92*U92/100)</f>
        <v>1324.3191589999999</v>
      </c>
      <c r="X92" s="272">
        <f t="shared" si="3"/>
        <v>1860.228535</v>
      </c>
      <c r="Y92" s="272">
        <f t="shared" si="3"/>
        <v>1456.7510749</v>
      </c>
      <c r="Z92" s="274">
        <f>'Tariffs Jan2019'!AZ86</f>
        <v>0</v>
      </c>
      <c r="AA92" s="274" t="str">
        <f>'Tariffs Jan2019'!BA86</f>
        <v>n</v>
      </c>
      <c r="AB92" s="275" t="str">
        <f>'Tariffs Jan2019'!BH86</f>
        <v>Y</v>
      </c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</row>
    <row r="93" spans="1:40" x14ac:dyDescent="0.15">
      <c r="A93" s="40" t="str">
        <f>'Tariffs Jan2019'!F87</f>
        <v>Sumo Power</v>
      </c>
      <c r="B93" s="40" t="str">
        <f>'Tariffs Jan2019'!D87</f>
        <v>AusNet Services West</v>
      </c>
      <c r="C93" s="40" t="str">
        <f>'Tariffs Jan2019'!G87</f>
        <v>Pay on time (max discount)</v>
      </c>
      <c r="D93" s="59">
        <f>365*'Tariffs Jan2019'!H87/100</f>
        <v>296.40190000000001</v>
      </c>
      <c r="E93" s="59">
        <f>IF($C$5*'Tariffs Jan2019'!AK87/'Tariffs Jan2019'!AI87&gt;='Tariffs Jan2019'!J87,( 'Tariffs Jan2019'!J87*'Tariffs Jan2019'!O87/100)* 'Tariffs Jan2019'!AI87,($C$5*'Tariffs Jan2019'!AK87/'Tariffs Jan2019'!AI87*'Tariffs Jan2019'!O87/100)* 'Tariffs Jan2019'!AI87)</f>
        <v>269.88</v>
      </c>
      <c r="F93" s="59">
        <f>IF($C$5*'Tariffs Jan2019'!AK87/'Tariffs Jan2019'!AI87&lt;'Tariffs Jan2019'!J87,0,IF($C$5*'Tariffs Jan2019'!AK87/'Tariffs Jan2019'!AI87&lt;='Tariffs Jan2019'!K87,($C$5*'Tariffs Jan2019'!AK87/'Tariffs Jan2019'!AI87-'Tariffs Jan2019'!J87)*('Tariffs Jan2019'!P87/100)*'Tariffs Jan2019'!AI87,('Tariffs Jan2019'!K87-'Tariffs Jan2019'!J87)*('Tariffs Jan2019'!P87/100)*'Tariffs Jan2019'!AI87))</f>
        <v>194.26466099999993</v>
      </c>
      <c r="G93" s="59">
        <f>IF($C$5*'Tariffs Jan2019'!AK87/'Tariffs Jan2019'!AI87&lt;'Tariffs Jan2019'!K87,0,IF($C$5*'Tariffs Jan2019'!AK87/'Tariffs Jan2019'!AI87&lt;='Tariffs Jan2019'!L87,($C$5*'Tariffs Jan2019'!AK87/'Tariffs Jan2019'!AI87-'Tariffs Jan2019'!K87)*('Tariffs Jan2019'!Q87/100)*'Tariffs Jan2019'!AI87,('Tariffs Jan2019'!L87-'Tariffs Jan2019'!K87)*('Tariffs Jan2019'!Q87/100)*'Tariffs Jan2019'!AI87))</f>
        <v>0</v>
      </c>
      <c r="H93" s="59">
        <f>IF($C$5*'Tariffs Jan2019'!AK87/'Tariffs Jan2019'!AI87&lt;'Tariffs Jan2019'!L87,0,IF($C$5*'Tariffs Jan2019'!AK87/'Tariffs Jan2019'!AI87&lt;='Tariffs Jan2019'!M87,($C$5*'Tariffs Jan2019'!AK87/'Tariffs Jan2019'!AI87-'Tariffs Jan2019'!L87)*('Tariffs Jan2019'!R87/100)*'Tariffs Jan2019'!AI87,('Tariffs Jan2019'!M87-'Tariffs Jan2019'!L87)*('Tariffs Jan2019'!R87/100)*'Tariffs Jan2019'!AI87))</f>
        <v>0</v>
      </c>
      <c r="I93" s="59">
        <f>IF(($C$5*'Tariffs Jan2019'!AK87/'Tariffs Jan2019'!AI87&gt;'Tariffs Jan2019'!M87),($C$5*'Tariffs Jan2019'!AK87/'Tariffs Jan2019'!AI87-'Tariffs Jan2019'!M87)*'Tariffs Jan2019'!S87/100*'Tariffs Jan2019'!AI87,0)</f>
        <v>0</v>
      </c>
      <c r="J93" s="59">
        <f>IF($C$5*'Tariffs Jan2019'!AL87/'Tariffs Jan2019'!AJ87&gt;='Tariffs Jan2019'!J87,('Tariffs Jan2019'!J87*'Tariffs Jan2019'!U87/100)* 'Tariffs Jan2019'!AJ87,($C$5*'Tariffs Jan2019'!AL87/'Tariffs Jan2019'!AJ87*'Tariffs Jan2019'!U87/100)* 'Tariffs Jan2019'!AJ87)</f>
        <v>508.32</v>
      </c>
      <c r="K93" s="59">
        <f>IF($C$5*'Tariffs Jan2019'!AL87/'Tariffs Jan2019'!AJ87&lt;'Tariffs Jan2019'!J87,0,IF($C$5*'Tariffs Jan2019'!AL87/'Tariffs Jan2019'!AJ87&lt;='Tariffs Jan2019'!K87,($C$5*'Tariffs Jan2019'!AL87/'Tariffs Jan2019'!AJ87-'Tariffs Jan2019'!J87)*('Tariffs Jan2019'!V87/100)*'Tariffs Jan2019'!AJ87,('Tariffs Jan2019'!K87-'Tariffs Jan2019'!J87)*('Tariffs Jan2019'!V87/100)*'Tariffs Jan2019'!AJ87))</f>
        <v>307.54822199999995</v>
      </c>
      <c r="L93" s="59">
        <f>IF($C$5*'Tariffs Jan2019'!AL87/'Tariffs Jan2019'!AJ87&lt;'Tariffs Jan2019'!K87,0,IF($C$5*'Tariffs Jan2019'!AL87/'Tariffs Jan2019'!AJ87&lt;='Tariffs Jan2019'!L87,($C$5*'Tariffs Jan2019'!AL87/'Tariffs Jan2019'!AJ87-'Tariffs Jan2019'!K87)*('Tariffs Jan2019'!W87/100)*'Tariffs Jan2019'!AJ87,('Tariffs Jan2019'!L87-'Tariffs Jan2019'!K87)*('Tariffs Jan2019'!W87/100)*'Tariffs Jan2019'!AJ87))</f>
        <v>0</v>
      </c>
      <c r="M93" s="59">
        <f>IF($C$5*'Tariffs Jan2019'!AL87/'Tariffs Jan2019'!AJ87&lt;'Tariffs Jan2019'!L87,0,IF($C$5*'Tariffs Jan2019'!AL87/'Tariffs Jan2019'!AJ87&lt;='Tariffs Jan2019'!M87,($C$5*'Tariffs Jan2019'!AL87/'Tariffs Jan2019'!AJ87-'Tariffs Jan2019'!L87)*('Tariffs Jan2019'!X87/100)*'Tariffs Jan2019'!AJ87,('Tariffs Jan2019'!M87-'Tariffs Jan2019'!L87)*('Tariffs Jan2019'!X87/100)*'Tariffs Jan2019'!AJ87))</f>
        <v>0</v>
      </c>
      <c r="N93" s="59">
        <f>IF(($C$5*'Tariffs Jan2019'!AL87/'Tariffs Jan2019'!AJ87&gt;'Tariffs Jan2019'!M87),($C$5*'Tariffs Jan2019'!AL87/'Tariffs Jan2019'!AJ87-'Tariffs Jan2019'!M87)*'Tariffs Jan2019'!Y87/100*'Tariffs Jan2019'!AJ87,0)</f>
        <v>0</v>
      </c>
      <c r="O93" s="271">
        <f t="shared" ref="O93:O126" si="10">SUM(E93:N93)</f>
        <v>1280.0128829999999</v>
      </c>
      <c r="P93" s="59">
        <f t="shared" ref="P93:P126" si="11">D93+O93</f>
        <v>1576.4147829999999</v>
      </c>
      <c r="Q93" s="272">
        <f t="shared" ref="Q93:Q126" si="12">P93*1.1</f>
        <v>1734.0562613000002</v>
      </c>
      <c r="R93" s="40">
        <f>'Tariffs Jan2019'!AN87</f>
        <v>0</v>
      </c>
      <c r="S93" s="40">
        <f>'Tariffs Jan2019'!AO87</f>
        <v>0</v>
      </c>
      <c r="T93" s="40">
        <f>'Tariffs Jan2019'!AP87</f>
        <v>0</v>
      </c>
      <c r="U93" s="40">
        <f>'Tariffs Jan2019'!AQ87</f>
        <v>25</v>
      </c>
      <c r="V93" s="273">
        <f t="shared" si="9"/>
        <v>1576.4147829999999</v>
      </c>
      <c r="W93" s="273">
        <f>V93-(O93*U93/100)</f>
        <v>1256.4115622499999</v>
      </c>
      <c r="X93" s="272">
        <f t="shared" ref="X93:Y112" si="13">V93*1.1</f>
        <v>1734.0562613000002</v>
      </c>
      <c r="Y93" s="272">
        <f t="shared" si="13"/>
        <v>1382.0527184749999</v>
      </c>
      <c r="Z93" s="274">
        <f>'Tariffs Jan2019'!AZ87</f>
        <v>0</v>
      </c>
      <c r="AA93" s="274" t="str">
        <f>'Tariffs Jan2019'!BA87</f>
        <v>n</v>
      </c>
      <c r="AB93" s="275" t="str">
        <f>'Tariffs Jan2019'!BH87</f>
        <v>Y</v>
      </c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</row>
    <row r="94" spans="1:40" x14ac:dyDescent="0.15">
      <c r="A94" s="40" t="str">
        <f>'Tariffs Jan2019'!F88</f>
        <v>Amaysim</v>
      </c>
      <c r="B94" s="40" t="str">
        <f>'Tariffs Jan2019'!D88</f>
        <v>AusNet Services West</v>
      </c>
      <c r="C94" s="40" t="str">
        <f>'Tariffs Jan2019'!G88</f>
        <v>Gas as you go</v>
      </c>
      <c r="D94" s="59">
        <f>365*'Tariffs Jan2019'!H88/100</f>
        <v>240.2576</v>
      </c>
      <c r="E94" s="59">
        <f>IF($C$5*'Tariffs Jan2019'!AK88/'Tariffs Jan2019'!AI88&gt;='Tariffs Jan2019'!J88,( 'Tariffs Jan2019'!J88*'Tariffs Jan2019'!O88/100)* 'Tariffs Jan2019'!AI88,($C$5*'Tariffs Jan2019'!AK88/'Tariffs Jan2019'!AI88*'Tariffs Jan2019'!O88/100)* 'Tariffs Jan2019'!AI88)</f>
        <v>248.87999999999997</v>
      </c>
      <c r="F94" s="59">
        <f>IF($C$5*'Tariffs Jan2019'!AK88/'Tariffs Jan2019'!AI88&lt;'Tariffs Jan2019'!J88,0,IF($C$5*'Tariffs Jan2019'!AK88/'Tariffs Jan2019'!AI88&lt;='Tariffs Jan2019'!K88,($C$5*'Tariffs Jan2019'!AK88/'Tariffs Jan2019'!AI88-'Tariffs Jan2019'!J88)*('Tariffs Jan2019'!P88/100)*'Tariffs Jan2019'!AI88,('Tariffs Jan2019'!K88-'Tariffs Jan2019'!J88)*('Tariffs Jan2019'!P88/100)*'Tariffs Jan2019'!AI88))</f>
        <v>177.43858799999998</v>
      </c>
      <c r="G94" s="59">
        <f>IF($C$5*'Tariffs Jan2019'!AK88/'Tariffs Jan2019'!AI88&lt;'Tariffs Jan2019'!K88,0,IF($C$5*'Tariffs Jan2019'!AK88/'Tariffs Jan2019'!AI88&lt;='Tariffs Jan2019'!L88,($C$5*'Tariffs Jan2019'!AK88/'Tariffs Jan2019'!AI88-'Tariffs Jan2019'!K88)*('Tariffs Jan2019'!Q88/100)*'Tariffs Jan2019'!AI88,('Tariffs Jan2019'!L88-'Tariffs Jan2019'!K88)*('Tariffs Jan2019'!Q88/100)*'Tariffs Jan2019'!AI88))</f>
        <v>0</v>
      </c>
      <c r="H94" s="59">
        <f>IF($C$5*'Tariffs Jan2019'!AK88/'Tariffs Jan2019'!AI88&lt;'Tariffs Jan2019'!L88,0,IF($C$5*'Tariffs Jan2019'!AK88/'Tariffs Jan2019'!AI88&lt;='Tariffs Jan2019'!M88,($C$5*'Tariffs Jan2019'!AK88/'Tariffs Jan2019'!AI88-'Tariffs Jan2019'!L88)*('Tariffs Jan2019'!R88/100)*'Tariffs Jan2019'!AI88,('Tariffs Jan2019'!M88-'Tariffs Jan2019'!L88)*('Tariffs Jan2019'!R88/100)*'Tariffs Jan2019'!AI88))</f>
        <v>0</v>
      </c>
      <c r="I94" s="59">
        <f>IF(($C$5*'Tariffs Jan2019'!AK88/'Tariffs Jan2019'!AI88&gt;'Tariffs Jan2019'!M88),($C$5*'Tariffs Jan2019'!AK88/'Tariffs Jan2019'!AI88-'Tariffs Jan2019'!M88)*'Tariffs Jan2019'!S88/100*'Tariffs Jan2019'!AI88,0)</f>
        <v>0</v>
      </c>
      <c r="J94" s="59">
        <f>IF($C$5*'Tariffs Jan2019'!AL88/'Tariffs Jan2019'!AJ88&gt;='Tariffs Jan2019'!J88,('Tariffs Jan2019'!J88*'Tariffs Jan2019'!U88/100)* 'Tariffs Jan2019'!AJ88,($C$5*'Tariffs Jan2019'!AL88/'Tariffs Jan2019'!AJ88*'Tariffs Jan2019'!U88/100)* 'Tariffs Jan2019'!AJ88)</f>
        <v>408</v>
      </c>
      <c r="K94" s="59">
        <f>IF($C$5*'Tariffs Jan2019'!AL88/'Tariffs Jan2019'!AJ88&lt;'Tariffs Jan2019'!J88,0,IF($C$5*'Tariffs Jan2019'!AL88/'Tariffs Jan2019'!AJ88&lt;='Tariffs Jan2019'!K88,($C$5*'Tariffs Jan2019'!AL88/'Tariffs Jan2019'!AJ88-'Tariffs Jan2019'!J88)*('Tariffs Jan2019'!V88/100)*'Tariffs Jan2019'!AJ88,('Tariffs Jan2019'!K88-'Tariffs Jan2019'!J88)*('Tariffs Jan2019'!V88/100)*'Tariffs Jan2019'!AJ88))</f>
        <v>299.81002799999987</v>
      </c>
      <c r="L94" s="59">
        <f>IF($C$5*'Tariffs Jan2019'!AL88/'Tariffs Jan2019'!AJ88&lt;'Tariffs Jan2019'!K88,0,IF($C$5*'Tariffs Jan2019'!AL88/'Tariffs Jan2019'!AJ88&lt;='Tariffs Jan2019'!L88,($C$5*'Tariffs Jan2019'!AL88/'Tariffs Jan2019'!AJ88-'Tariffs Jan2019'!K88)*('Tariffs Jan2019'!W88/100)*'Tariffs Jan2019'!AJ88,('Tariffs Jan2019'!L88-'Tariffs Jan2019'!K88)*('Tariffs Jan2019'!W88/100)*'Tariffs Jan2019'!AJ88))</f>
        <v>0</v>
      </c>
      <c r="M94" s="59">
        <f>IF($C$5*'Tariffs Jan2019'!AL88/'Tariffs Jan2019'!AJ88&lt;'Tariffs Jan2019'!L88,0,IF($C$5*'Tariffs Jan2019'!AL88/'Tariffs Jan2019'!AJ88&lt;='Tariffs Jan2019'!M88,($C$5*'Tariffs Jan2019'!AL88/'Tariffs Jan2019'!AJ88-'Tariffs Jan2019'!L88)*('Tariffs Jan2019'!X88/100)*'Tariffs Jan2019'!AJ88,('Tariffs Jan2019'!M88-'Tariffs Jan2019'!L88)*('Tariffs Jan2019'!X88/100)*'Tariffs Jan2019'!AJ88))</f>
        <v>0</v>
      </c>
      <c r="N94" s="59">
        <f>IF(($C$5*'Tariffs Jan2019'!AL88/'Tariffs Jan2019'!AJ88&gt;'Tariffs Jan2019'!M88),($C$5*'Tariffs Jan2019'!AL88/'Tariffs Jan2019'!AJ88-'Tariffs Jan2019'!M88)*'Tariffs Jan2019'!Y88/100*'Tariffs Jan2019'!AJ88,0)</f>
        <v>0</v>
      </c>
      <c r="O94" s="271">
        <f t="shared" si="10"/>
        <v>1134.128616</v>
      </c>
      <c r="P94" s="59">
        <f t="shared" si="11"/>
        <v>1374.3862159999999</v>
      </c>
      <c r="Q94" s="272">
        <f t="shared" si="12"/>
        <v>1511.8248375999999</v>
      </c>
      <c r="R94" s="40">
        <f>'Tariffs Jan2019'!AN88</f>
        <v>0</v>
      </c>
      <c r="S94" s="40">
        <f>'Tariffs Jan2019'!AO88</f>
        <v>0</v>
      </c>
      <c r="T94" s="40">
        <f>'Tariffs Jan2019'!AP88</f>
        <v>0</v>
      </c>
      <c r="U94" s="40">
        <f>'Tariffs Jan2019'!AQ88</f>
        <v>0</v>
      </c>
      <c r="V94" s="273">
        <f t="shared" si="9"/>
        <v>1374.3862159999999</v>
      </c>
      <c r="W94" s="273">
        <f>V94-(P94*T94/100)</f>
        <v>1374.3862159999999</v>
      </c>
      <c r="X94" s="272">
        <f t="shared" si="13"/>
        <v>1511.8248375999999</v>
      </c>
      <c r="Y94" s="272">
        <f t="shared" si="13"/>
        <v>1511.8248375999999</v>
      </c>
      <c r="Z94" s="274">
        <f>'Tariffs Jan2019'!AZ88</f>
        <v>0</v>
      </c>
      <c r="AA94" s="274" t="str">
        <f>'Tariffs Jan2019'!BA88</f>
        <v>n</v>
      </c>
      <c r="AB94" s="275" t="str">
        <f>'Tariffs Jan2019'!BH89</f>
        <v>N</v>
      </c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</row>
    <row r="95" spans="1:40" x14ac:dyDescent="0.15">
      <c r="A95" s="40" t="str">
        <f>'Tariffs Jan2019'!F89</f>
        <v>GloBird Energy</v>
      </c>
      <c r="B95" s="40" t="str">
        <f>'Tariffs Jan2019'!D89</f>
        <v>AusNet Services West</v>
      </c>
      <c r="C95" s="40" t="str">
        <f>'Tariffs Jan2019'!G89</f>
        <v>GloSave</v>
      </c>
      <c r="D95" s="59">
        <f>365*'Tariffs Jan2019'!H89/100</f>
        <v>408.8</v>
      </c>
      <c r="E95" s="59">
        <f>IF($C$5*'Tariffs Jan2019'!AK89/'Tariffs Jan2019'!AI89&gt;='Tariffs Jan2019'!J89,( 'Tariffs Jan2019'!J89*'Tariffs Jan2019'!O89/100)* 'Tariffs Jan2019'!AI89,($C$5*'Tariffs Jan2019'!AK89/'Tariffs Jan2019'!AI89*'Tariffs Jan2019'!O89/100)* 'Tariffs Jan2019'!AI89)</f>
        <v>524.94749999999988</v>
      </c>
      <c r="F95" s="59">
        <f>IF($C$5*'Tariffs Jan2019'!AK89/'Tariffs Jan2019'!AI89&lt;'Tariffs Jan2019'!J89,0,IF($C$5*'Tariffs Jan2019'!AK89/'Tariffs Jan2019'!AI89&lt;='Tariffs Jan2019'!K89,($C$5*'Tariffs Jan2019'!AK89/'Tariffs Jan2019'!AI89-'Tariffs Jan2019'!J89)*('Tariffs Jan2019'!P89/100)*'Tariffs Jan2019'!AI89,('Tariffs Jan2019'!K89-'Tariffs Jan2019'!J89)*('Tariffs Jan2019'!P89/100)*'Tariffs Jan2019'!AI89))</f>
        <v>0</v>
      </c>
      <c r="G95" s="59">
        <f>IF($C$5*'Tariffs Jan2019'!AK89/'Tariffs Jan2019'!AI89&lt;'Tariffs Jan2019'!K89,0,IF($C$5*'Tariffs Jan2019'!AK89/'Tariffs Jan2019'!AI89&lt;='Tariffs Jan2019'!L89,($C$5*'Tariffs Jan2019'!AK89/'Tariffs Jan2019'!AI89-'Tariffs Jan2019'!K89)*('Tariffs Jan2019'!Q89/100)*'Tariffs Jan2019'!AI89,('Tariffs Jan2019'!L89-'Tariffs Jan2019'!K89)*('Tariffs Jan2019'!Q89/100)*'Tariffs Jan2019'!AI89))</f>
        <v>0</v>
      </c>
      <c r="H95" s="59">
        <f>IF($C$5*'Tariffs Jan2019'!AK89/'Tariffs Jan2019'!AI89&lt;'Tariffs Jan2019'!L89,0,IF($C$5*'Tariffs Jan2019'!AK89/'Tariffs Jan2019'!AI89&lt;='Tariffs Jan2019'!M89,($C$5*'Tariffs Jan2019'!AK89/'Tariffs Jan2019'!AI89-'Tariffs Jan2019'!L89)*('Tariffs Jan2019'!R89/100)*'Tariffs Jan2019'!AI89,('Tariffs Jan2019'!M89-'Tariffs Jan2019'!L89)*('Tariffs Jan2019'!R89/100)*'Tariffs Jan2019'!AI89))</f>
        <v>0</v>
      </c>
      <c r="I95" s="59">
        <f>IF(($C$5*'Tariffs Jan2019'!AK89/'Tariffs Jan2019'!AI89&gt;'Tariffs Jan2019'!M89),($C$5*'Tariffs Jan2019'!AK89/'Tariffs Jan2019'!AI89-'Tariffs Jan2019'!M89)*'Tariffs Jan2019'!S89/100*'Tariffs Jan2019'!AI89,0)</f>
        <v>0</v>
      </c>
      <c r="J95" s="59">
        <f>IF($C$5*'Tariffs Jan2019'!AL89/'Tariffs Jan2019'!AJ89&gt;='Tariffs Jan2019'!J89,('Tariffs Jan2019'!J89*'Tariffs Jan2019'!U89/100)* 'Tariffs Jan2019'!AJ89,($C$5*'Tariffs Jan2019'!AL89/'Tariffs Jan2019'!AJ89*'Tariffs Jan2019'!U89/100)* 'Tariffs Jan2019'!AJ89)</f>
        <v>860.9138999999999</v>
      </c>
      <c r="K95" s="59">
        <f>IF($C$5*'Tariffs Jan2019'!AL89/'Tariffs Jan2019'!AJ89&lt;'Tariffs Jan2019'!J89,0,IF($C$5*'Tariffs Jan2019'!AL89/'Tariffs Jan2019'!AJ89&lt;='Tariffs Jan2019'!K89,($C$5*'Tariffs Jan2019'!AL89/'Tariffs Jan2019'!AJ89-'Tariffs Jan2019'!J89)*('Tariffs Jan2019'!V89/100)*'Tariffs Jan2019'!AJ89,('Tariffs Jan2019'!K89-'Tariffs Jan2019'!J89)*('Tariffs Jan2019'!V89/100)*'Tariffs Jan2019'!AJ89))</f>
        <v>0</v>
      </c>
      <c r="L95" s="59">
        <f>IF($C$5*'Tariffs Jan2019'!AL89/'Tariffs Jan2019'!AJ89&lt;'Tariffs Jan2019'!K89,0,IF($C$5*'Tariffs Jan2019'!AL89/'Tariffs Jan2019'!AJ89&lt;='Tariffs Jan2019'!L89,($C$5*'Tariffs Jan2019'!AL89/'Tariffs Jan2019'!AJ89-'Tariffs Jan2019'!K89)*('Tariffs Jan2019'!W89/100)*'Tariffs Jan2019'!AJ89,('Tariffs Jan2019'!L89-'Tariffs Jan2019'!K89)*('Tariffs Jan2019'!W89/100)*'Tariffs Jan2019'!AJ89))</f>
        <v>0</v>
      </c>
      <c r="M95" s="59">
        <f>IF($C$5*'Tariffs Jan2019'!AL89/'Tariffs Jan2019'!AJ89&lt;'Tariffs Jan2019'!L89,0,IF($C$5*'Tariffs Jan2019'!AL89/'Tariffs Jan2019'!AJ89&lt;='Tariffs Jan2019'!M89,($C$5*'Tariffs Jan2019'!AL89/'Tariffs Jan2019'!AJ89-'Tariffs Jan2019'!L89)*('Tariffs Jan2019'!X89/100)*'Tariffs Jan2019'!AJ89,('Tariffs Jan2019'!M89-'Tariffs Jan2019'!L89)*('Tariffs Jan2019'!X89/100)*'Tariffs Jan2019'!AJ89))</f>
        <v>0</v>
      </c>
      <c r="N95" s="59">
        <f>IF(($C$5*'Tariffs Jan2019'!AL89/'Tariffs Jan2019'!AJ89&gt;'Tariffs Jan2019'!M89),($C$5*'Tariffs Jan2019'!AL89/'Tariffs Jan2019'!AJ89-'Tariffs Jan2019'!M89)*'Tariffs Jan2019'!Y89/100*'Tariffs Jan2019'!AJ89,0)</f>
        <v>0</v>
      </c>
      <c r="O95" s="271">
        <f t="shared" si="10"/>
        <v>1385.8613999999998</v>
      </c>
      <c r="P95" s="59">
        <f t="shared" si="11"/>
        <v>1794.6613999999997</v>
      </c>
      <c r="Q95" s="272">
        <f t="shared" si="12"/>
        <v>1974.12754</v>
      </c>
      <c r="R95" s="40">
        <f>'Tariffs Jan2019'!AN89</f>
        <v>0</v>
      </c>
      <c r="S95" s="40">
        <f>'Tariffs Jan2019'!AO89</f>
        <v>0</v>
      </c>
      <c r="T95" s="40">
        <f>'Tariffs Jan2019'!AP89</f>
        <v>32</v>
      </c>
      <c r="U95" s="40">
        <f>'Tariffs Jan2019'!AQ89</f>
        <v>0</v>
      </c>
      <c r="V95" s="273">
        <f t="shared" si="9"/>
        <v>1794.6613999999997</v>
      </c>
      <c r="W95" s="273">
        <f>V95-(P95*T95/100)</f>
        <v>1220.3697519999998</v>
      </c>
      <c r="X95" s="272">
        <f t="shared" si="13"/>
        <v>1974.12754</v>
      </c>
      <c r="Y95" s="272">
        <f t="shared" si="13"/>
        <v>1342.4067272</v>
      </c>
      <c r="Z95" s="274">
        <f>'Tariffs Jan2019'!AZ89</f>
        <v>0</v>
      </c>
      <c r="AA95" s="274" t="str">
        <f>'Tariffs Jan2019'!BA89</f>
        <v>n</v>
      </c>
      <c r="AB95" s="275" t="str">
        <f>'Tariffs Jan2019'!BH90</f>
        <v>Y</v>
      </c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</row>
    <row r="96" spans="1:40" ht="14" thickBot="1" x14ac:dyDescent="0.2">
      <c r="A96" s="277" t="str">
        <f>'Tariffs Jan2019'!F90</f>
        <v>Powershop</v>
      </c>
      <c r="B96" s="277" t="str">
        <f>'Tariffs Jan2019'!D90</f>
        <v>AusNet Services West</v>
      </c>
      <c r="C96" s="277" t="str">
        <f>'Tariffs Jan2019'!G90</f>
        <v>Auto Pay with Gas Saver</v>
      </c>
      <c r="D96" s="278">
        <f>365*'Tariffs Jan2019'!H90/100</f>
        <v>327.03999999999996</v>
      </c>
      <c r="E96" s="278">
        <f>((C$5*'Tariffs Jan2019'!AK90/'Tariffs Jan2019'!AI90)*('Tariffs Jan2019'!O90/100))*'Tariffs Jan2019'!AI90</f>
        <v>344.3655599999999</v>
      </c>
      <c r="F96" s="278">
        <v>0</v>
      </c>
      <c r="G96" s="278">
        <v>0</v>
      </c>
      <c r="H96" s="278">
        <v>0</v>
      </c>
      <c r="I96" s="278">
        <v>0</v>
      </c>
      <c r="J96" s="278">
        <f>((C$5*'Tariffs Jan2019'!AL90/'Tariffs Jan2019'!AJ90)*('Tariffs Jan2019'!U90/100))*'Tariffs Jan2019'!AJ90</f>
        <v>604.73951999999997</v>
      </c>
      <c r="K96" s="278">
        <v>0</v>
      </c>
      <c r="L96" s="278">
        <v>0</v>
      </c>
      <c r="M96" s="278">
        <v>0</v>
      </c>
      <c r="N96" s="278">
        <v>0</v>
      </c>
      <c r="O96" s="279">
        <f t="shared" si="10"/>
        <v>949.10507999999982</v>
      </c>
      <c r="P96" s="278">
        <f t="shared" si="11"/>
        <v>1276.1450799999998</v>
      </c>
      <c r="Q96" s="280">
        <f t="shared" si="12"/>
        <v>1403.7595879999999</v>
      </c>
      <c r="R96" s="277">
        <f>'Tariffs Jan2019'!AN90</f>
        <v>0</v>
      </c>
      <c r="S96" s="277">
        <f>'Tariffs Jan2019'!AO90</f>
        <v>0</v>
      </c>
      <c r="T96" s="277">
        <f>'Tariffs Jan2019'!AP90</f>
        <v>5</v>
      </c>
      <c r="U96" s="277">
        <f>'Tariffs Jan2019'!AQ90</f>
        <v>0</v>
      </c>
      <c r="V96" s="281">
        <f t="shared" si="9"/>
        <v>1276.1450799999998</v>
      </c>
      <c r="W96" s="281">
        <f>V96-(P96*T96/100)</f>
        <v>1212.3378259999997</v>
      </c>
      <c r="X96" s="280">
        <f t="shared" si="13"/>
        <v>1403.7595879999999</v>
      </c>
      <c r="Y96" s="280">
        <f t="shared" si="13"/>
        <v>1333.5716085999998</v>
      </c>
      <c r="Z96" s="282">
        <f>'Tariffs Jan2019'!AZ90</f>
        <v>0</v>
      </c>
      <c r="AA96" s="282" t="str">
        <f>'Tariffs Jan2019'!BA90</f>
        <v>n</v>
      </c>
      <c r="AB96" s="283" t="str">
        <f>'Tariffs Jan2019'!BH90</f>
        <v>Y</v>
      </c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</row>
    <row r="97" spans="1:40" ht="14" thickTop="1" x14ac:dyDescent="0.15">
      <c r="A97" s="40" t="str">
        <f>'Tariffs Jan2019'!F91</f>
        <v>AGL</v>
      </c>
      <c r="B97" s="40" t="str">
        <f>'Tariffs Jan2019'!D91</f>
        <v>AusNet Services Central 2</v>
      </c>
      <c r="C97" s="40" t="str">
        <f>'Tariffs Jan2019'!G91</f>
        <v>Savers</v>
      </c>
      <c r="D97" s="59">
        <f>365*'Tariffs Jan2019'!H91/100</f>
        <v>319.375</v>
      </c>
      <c r="E97" s="59">
        <f>IF($C$5*'Tariffs Jan2019'!AK91/'Tariffs Jan2019'!AI91&gt;='Tariffs Jan2019'!J91,( 'Tariffs Jan2019'!J91*'Tariffs Jan2019'!O91/100)* 'Tariffs Jan2019'!AI91,($C$5*'Tariffs Jan2019'!AK91/'Tariffs Jan2019'!AI91*'Tariffs Jan2019'!O91/100)* 'Tariffs Jan2019'!AI91)</f>
        <v>295.2</v>
      </c>
      <c r="F97" s="59">
        <f>IF($C$5*'Tariffs Jan2019'!AK91/'Tariffs Jan2019'!AI91&lt;'Tariffs Jan2019'!J91,0,IF($C$5*'Tariffs Jan2019'!AK91/'Tariffs Jan2019'!AI91&lt;='Tariffs Jan2019'!K91,($C$5*'Tariffs Jan2019'!AK91/'Tariffs Jan2019'!AI91-'Tariffs Jan2019'!J91)*('Tariffs Jan2019'!P91/100)*'Tariffs Jan2019'!AI91,('Tariffs Jan2019'!K91-'Tariffs Jan2019'!J91)*('Tariffs Jan2019'!P91/100)*'Tariffs Jan2019'!AI91))</f>
        <v>215.94959999999995</v>
      </c>
      <c r="G97" s="59">
        <f>IF($C$5*'Tariffs Jan2019'!AK91/'Tariffs Jan2019'!AI91&lt;'Tariffs Jan2019'!K91,0,IF($C$5*'Tariffs Jan2019'!AK91/'Tariffs Jan2019'!AI91&lt;='Tariffs Jan2019'!L91,($C$5*'Tariffs Jan2019'!AK91/'Tariffs Jan2019'!AI91-'Tariffs Jan2019'!K91)*('Tariffs Jan2019'!Q91/100)*'Tariffs Jan2019'!AI91,('Tariffs Jan2019'!L91-'Tariffs Jan2019'!K91)*('Tariffs Jan2019'!Q91/100)*'Tariffs Jan2019'!AI91))</f>
        <v>0</v>
      </c>
      <c r="H97" s="59">
        <f>IF($C$5*'Tariffs Jan2019'!AK91/'Tariffs Jan2019'!AI91&lt;'Tariffs Jan2019'!L91,0,IF($C$5*'Tariffs Jan2019'!AK91/'Tariffs Jan2019'!AI91&lt;='Tariffs Jan2019'!M91,($C$5*'Tariffs Jan2019'!AK91/'Tariffs Jan2019'!AI91-'Tariffs Jan2019'!L91)*('Tariffs Jan2019'!R91/100)*'Tariffs Jan2019'!AI91,('Tariffs Jan2019'!M91-'Tariffs Jan2019'!L91)*('Tariffs Jan2019'!R91/100)*'Tariffs Jan2019'!AI91))</f>
        <v>0</v>
      </c>
      <c r="I97" s="59">
        <f>IF(($C$5*'Tariffs Jan2019'!AK91/'Tariffs Jan2019'!AI91&gt;'Tariffs Jan2019'!M91),($C$5*'Tariffs Jan2019'!AK91/'Tariffs Jan2019'!AI91-'Tariffs Jan2019'!M91)*'Tariffs Jan2019'!S91/100*'Tariffs Jan2019'!AI91,0)</f>
        <v>0</v>
      </c>
      <c r="J97" s="59">
        <f>IF($C$5*'Tariffs Jan2019'!AL91/'Tariffs Jan2019'!AJ91&gt;='Tariffs Jan2019'!J91,('Tariffs Jan2019'!J91*'Tariffs Jan2019'!U91/100)* 'Tariffs Jan2019'!AJ91,($C$5*'Tariffs Jan2019'!AL91/'Tariffs Jan2019'!AJ91*'Tariffs Jan2019'!U91/100)* 'Tariffs Jan2019'!AJ91)</f>
        <v>506.4</v>
      </c>
      <c r="K97" s="59">
        <f>IF($C$5*'Tariffs Jan2019'!AL91/'Tariffs Jan2019'!AJ91&lt;'Tariffs Jan2019'!J91,0,IF($C$5*'Tariffs Jan2019'!AL91/'Tariffs Jan2019'!AJ91&lt;='Tariffs Jan2019'!K91,($C$5*'Tariffs Jan2019'!AL91/'Tariffs Jan2019'!AJ91-'Tariffs Jan2019'!J91)*('Tariffs Jan2019'!V91/100)*'Tariffs Jan2019'!AJ91,('Tariffs Jan2019'!K91-'Tariffs Jan2019'!J91)*('Tariffs Jan2019'!V91/100)*'Tariffs Jan2019'!AJ91))</f>
        <v>338.32103999999987</v>
      </c>
      <c r="L97" s="59">
        <f>IF($C$5*'Tariffs Jan2019'!AL91/'Tariffs Jan2019'!AJ91&lt;'Tariffs Jan2019'!K91,0,IF($C$5*'Tariffs Jan2019'!AL91/'Tariffs Jan2019'!AJ91&lt;='Tariffs Jan2019'!L91,($C$5*'Tariffs Jan2019'!AL91/'Tariffs Jan2019'!AJ91-'Tariffs Jan2019'!K91)*('Tariffs Jan2019'!W91/100)*'Tariffs Jan2019'!AJ91,('Tariffs Jan2019'!L91-'Tariffs Jan2019'!K91)*('Tariffs Jan2019'!W91/100)*'Tariffs Jan2019'!AJ91))</f>
        <v>0</v>
      </c>
      <c r="M97" s="59">
        <f>IF($C$5*'Tariffs Jan2019'!AL91/'Tariffs Jan2019'!AJ91&lt;'Tariffs Jan2019'!L91,0,IF($C$5*'Tariffs Jan2019'!AL91/'Tariffs Jan2019'!AJ91&lt;='Tariffs Jan2019'!M91,($C$5*'Tariffs Jan2019'!AL91/'Tariffs Jan2019'!AJ91-'Tariffs Jan2019'!L91)*('Tariffs Jan2019'!X91/100)*'Tariffs Jan2019'!AJ91,('Tariffs Jan2019'!M91-'Tariffs Jan2019'!L91)*('Tariffs Jan2019'!X91/100)*'Tariffs Jan2019'!AJ91))</f>
        <v>0</v>
      </c>
      <c r="N97" s="59">
        <f>IF(($C$5*'Tariffs Jan2019'!AL91/'Tariffs Jan2019'!AJ91&gt;'Tariffs Jan2019'!M91),($C$5*'Tariffs Jan2019'!AL91/'Tariffs Jan2019'!AJ91-'Tariffs Jan2019'!M91)*'Tariffs Jan2019'!Y91/100*'Tariffs Jan2019'!AJ91,0)</f>
        <v>0</v>
      </c>
      <c r="O97" s="367">
        <f t="shared" si="10"/>
        <v>1355.8706399999999</v>
      </c>
      <c r="P97" s="59">
        <f t="shared" si="11"/>
        <v>1675.2456399999999</v>
      </c>
      <c r="Q97" s="272">
        <f t="shared" si="12"/>
        <v>1842.7702039999999</v>
      </c>
      <c r="R97" s="40">
        <f>'Tariffs Jan2019'!AN91</f>
        <v>0</v>
      </c>
      <c r="S97" s="40">
        <f>'Tariffs Jan2019'!AO91</f>
        <v>0</v>
      </c>
      <c r="T97" s="40">
        <f>'Tariffs Jan2019'!AP91</f>
        <v>0</v>
      </c>
      <c r="U97" s="40">
        <f>'Tariffs Jan2019'!AQ91</f>
        <v>24</v>
      </c>
      <c r="V97" s="273">
        <f>P97</f>
        <v>1675.2456399999999</v>
      </c>
      <c r="W97" s="273">
        <f>V97-(O97*U97/100)</f>
        <v>1349.8366864</v>
      </c>
      <c r="X97" s="272">
        <f t="shared" si="13"/>
        <v>1842.7702039999999</v>
      </c>
      <c r="Y97" s="272">
        <f t="shared" si="13"/>
        <v>1484.8203550400001</v>
      </c>
      <c r="Z97" s="274">
        <f>'Tariffs Jan2019'!AZ91</f>
        <v>0</v>
      </c>
      <c r="AA97" s="274" t="str">
        <f>'Tariffs Jan2019'!BA91</f>
        <v>n</v>
      </c>
      <c r="AB97" s="275" t="str">
        <f>'Tariffs Jan2019'!BH91</f>
        <v>N</v>
      </c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</row>
    <row r="98" spans="1:40" x14ac:dyDescent="0.15">
      <c r="A98" s="40" t="str">
        <f>'Tariffs Jan2019'!F92</f>
        <v>Alinta Energy</v>
      </c>
      <c r="B98" s="40" t="str">
        <f>'Tariffs Jan2019'!D92</f>
        <v>AusNet Services Central 2</v>
      </c>
      <c r="C98" s="40" t="str">
        <f>'Tariffs Jan2019'!G92</f>
        <v>Fair Saver</v>
      </c>
      <c r="D98" s="59">
        <f>365*'Tariffs Jan2019'!H92/100</f>
        <v>321.2</v>
      </c>
      <c r="E98" s="59">
        <f>IF($C$5*'Tariffs Jan2019'!AK92/'Tariffs Jan2019'!AI92&gt;='Tariffs Jan2019'!J92,( 'Tariffs Jan2019'!J92*'Tariffs Jan2019'!O92/100)* 'Tariffs Jan2019'!AI92,($C$5*'Tariffs Jan2019'!AK92/'Tariffs Jan2019'!AI92*'Tariffs Jan2019'!O92/100)* 'Tariffs Jan2019'!AI92)</f>
        <v>312</v>
      </c>
      <c r="F98" s="59">
        <f>IF($C$5*'Tariffs Jan2019'!AK92/'Tariffs Jan2019'!AI92&lt;'Tariffs Jan2019'!J92,0,IF($C$5*'Tariffs Jan2019'!AK92/'Tariffs Jan2019'!AI92&lt;='Tariffs Jan2019'!K92,($C$5*'Tariffs Jan2019'!AK92/'Tariffs Jan2019'!AI92-'Tariffs Jan2019'!J92)*('Tariffs Jan2019'!P92/100)*'Tariffs Jan2019'!AI92,('Tariffs Jan2019'!K92-'Tariffs Jan2019'!J92)*('Tariffs Jan2019'!P92/100)*'Tariffs Jan2019'!AI92))</f>
        <v>0</v>
      </c>
      <c r="G98" s="59">
        <f>IF($C$5*'Tariffs Jan2019'!AK92/'Tariffs Jan2019'!AI92&lt;'Tariffs Jan2019'!K92,0,IF($C$5*'Tariffs Jan2019'!AK92/'Tariffs Jan2019'!AI92&lt;='Tariffs Jan2019'!L92,($C$5*'Tariffs Jan2019'!AK92/'Tariffs Jan2019'!AI92-'Tariffs Jan2019'!K92)*('Tariffs Jan2019'!Q92/100)*'Tariffs Jan2019'!AI92,('Tariffs Jan2019'!L92-'Tariffs Jan2019'!K92)*('Tariffs Jan2019'!Q92/100)*'Tariffs Jan2019'!AI92))</f>
        <v>0</v>
      </c>
      <c r="H98" s="59">
        <f>IF($C$5*'Tariffs Jan2019'!AK92/'Tariffs Jan2019'!AI92&lt;'Tariffs Jan2019'!L92,0,IF($C$5*'Tariffs Jan2019'!AK92/'Tariffs Jan2019'!AI92&lt;='Tariffs Jan2019'!M92,($C$5*'Tariffs Jan2019'!AK92/'Tariffs Jan2019'!AI92-'Tariffs Jan2019'!L92)*('Tariffs Jan2019'!R92/100)*'Tariffs Jan2019'!AI92,('Tariffs Jan2019'!M92-'Tariffs Jan2019'!L92)*('Tariffs Jan2019'!R92/100)*'Tariffs Jan2019'!AI92))</f>
        <v>0</v>
      </c>
      <c r="I98" s="59">
        <f>IF(($C$5*'Tariffs Jan2019'!AK92/'Tariffs Jan2019'!AI92&gt;'Tariffs Jan2019'!M92),($C$5*'Tariffs Jan2019'!AK92/'Tariffs Jan2019'!AI92-'Tariffs Jan2019'!M92)*'Tariffs Jan2019'!S92/100*'Tariffs Jan2019'!AI92,0)</f>
        <v>179.95799999999997</v>
      </c>
      <c r="J98" s="59">
        <f>IF($C$5*'Tariffs Jan2019'!AL92/'Tariffs Jan2019'!AJ92&gt;='Tariffs Jan2019'!J92,('Tariffs Jan2019'!J92*'Tariffs Jan2019'!U92/100)* 'Tariffs Jan2019'!AJ92,($C$5*'Tariffs Jan2019'!AL92/'Tariffs Jan2019'!AJ92*'Tariffs Jan2019'!U92/100)* 'Tariffs Jan2019'!AJ92)</f>
        <v>551.99999999999989</v>
      </c>
      <c r="K98" s="59">
        <f>IF($C$5*'Tariffs Jan2019'!AL92/'Tariffs Jan2019'!AJ92&lt;'Tariffs Jan2019'!J92,0,IF($C$5*'Tariffs Jan2019'!AL92/'Tariffs Jan2019'!AJ92&lt;='Tariffs Jan2019'!K92,($C$5*'Tariffs Jan2019'!AL92/'Tariffs Jan2019'!AJ92-'Tariffs Jan2019'!J92)*('Tariffs Jan2019'!V92/100)*'Tariffs Jan2019'!AJ92,('Tariffs Jan2019'!K92-'Tariffs Jan2019'!J92)*('Tariffs Jan2019'!V92/100)*'Tariffs Jan2019'!AJ92))</f>
        <v>0</v>
      </c>
      <c r="L98" s="59">
        <f>IF($C$5*'Tariffs Jan2019'!AL92/'Tariffs Jan2019'!AJ92&lt;'Tariffs Jan2019'!K92,0,IF($C$5*'Tariffs Jan2019'!AL92/'Tariffs Jan2019'!AJ92&lt;='Tariffs Jan2019'!L92,($C$5*'Tariffs Jan2019'!AL92/'Tariffs Jan2019'!AJ92-'Tariffs Jan2019'!K92)*('Tariffs Jan2019'!W92/100)*'Tariffs Jan2019'!AJ92,('Tariffs Jan2019'!L92-'Tariffs Jan2019'!K92)*('Tariffs Jan2019'!W92/100)*'Tariffs Jan2019'!AJ92))</f>
        <v>0</v>
      </c>
      <c r="M98" s="59">
        <f>IF($C$5*'Tariffs Jan2019'!AL92/'Tariffs Jan2019'!AJ92&lt;'Tariffs Jan2019'!L92,0,IF($C$5*'Tariffs Jan2019'!AL92/'Tariffs Jan2019'!AJ92&lt;='Tariffs Jan2019'!M92,($C$5*'Tariffs Jan2019'!AL92/'Tariffs Jan2019'!AJ92-'Tariffs Jan2019'!L92)*('Tariffs Jan2019'!X92/100)*'Tariffs Jan2019'!AJ92,('Tariffs Jan2019'!M92-'Tariffs Jan2019'!L92)*('Tariffs Jan2019'!X92/100)*'Tariffs Jan2019'!AJ92))</f>
        <v>0</v>
      </c>
      <c r="N98" s="59">
        <f>IF(($C$5*'Tariffs Jan2019'!AL92/'Tariffs Jan2019'!AJ92&gt;'Tariffs Jan2019'!M92),($C$5*'Tariffs Jan2019'!AL92/'Tariffs Jan2019'!AJ92-'Tariffs Jan2019'!M92)*'Tariffs Jan2019'!Y92/100*'Tariffs Jan2019'!AJ92,0)</f>
        <v>341.92019999999991</v>
      </c>
      <c r="O98" s="367">
        <f t="shared" si="10"/>
        <v>1385.8781999999997</v>
      </c>
      <c r="P98" s="59">
        <f t="shared" si="11"/>
        <v>1707.0781999999997</v>
      </c>
      <c r="Q98" s="272">
        <f t="shared" si="12"/>
        <v>1877.7860199999998</v>
      </c>
      <c r="R98" s="40">
        <f>'Tariffs Jan2019'!AN92</f>
        <v>0</v>
      </c>
      <c r="S98" s="40">
        <f>'Tariffs Jan2019'!AO92</f>
        <v>20</v>
      </c>
      <c r="T98" s="40">
        <f>'Tariffs Jan2019'!AP92</f>
        <v>0</v>
      </c>
      <c r="U98" s="40">
        <f>'Tariffs Jan2019'!AQ92</f>
        <v>0</v>
      </c>
      <c r="V98" s="273">
        <f>P98-(O98*S98/100)</f>
        <v>1429.9025599999998</v>
      </c>
      <c r="W98" s="273">
        <f>V98-(O98*U98/100)</f>
        <v>1429.9025599999998</v>
      </c>
      <c r="X98" s="272">
        <f t="shared" si="13"/>
        <v>1572.8928159999998</v>
      </c>
      <c r="Y98" s="272">
        <f t="shared" si="13"/>
        <v>1572.8928159999998</v>
      </c>
      <c r="Z98" s="274">
        <f>'Tariffs Jan2019'!AZ92</f>
        <v>0</v>
      </c>
      <c r="AA98" s="274" t="str">
        <f>'Tariffs Jan2019'!BA92</f>
        <v>n</v>
      </c>
      <c r="AB98" s="275" t="str">
        <f>'Tariffs Jan2019'!BH92</f>
        <v>Y</v>
      </c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</row>
    <row r="99" spans="1:40" x14ac:dyDescent="0.15">
      <c r="A99" s="40" t="str">
        <f>'Tariffs Jan2019'!F93</f>
        <v>Click Energy</v>
      </c>
      <c r="B99" s="40" t="str">
        <f>'Tariffs Jan2019'!D93</f>
        <v>AusNet Services Central 2</v>
      </c>
      <c r="C99" s="40" t="str">
        <f>'Tariffs Jan2019'!G93</f>
        <v>Burgundy</v>
      </c>
      <c r="D99" s="59">
        <f>365*'Tariffs Jan2019'!H93/100</f>
        <v>353.32</v>
      </c>
      <c r="E99" s="59">
        <f>IF($C$5*'Tariffs Jan2019'!AK93/'Tariffs Jan2019'!AI93&gt;='Tariffs Jan2019'!J93,( 'Tariffs Jan2019'!J93*'Tariffs Jan2019'!O93/100)* 'Tariffs Jan2019'!AI93,($C$5*'Tariffs Jan2019'!AK93/'Tariffs Jan2019'!AI93*'Tariffs Jan2019'!O93/100)* 'Tariffs Jan2019'!AI93)</f>
        <v>426</v>
      </c>
      <c r="F99" s="59">
        <f>IF($C$5*'Tariffs Jan2019'!AK93/'Tariffs Jan2019'!AI93&lt;'Tariffs Jan2019'!J93,0,IF($C$5*'Tariffs Jan2019'!AK93/'Tariffs Jan2019'!AI93&lt;='Tariffs Jan2019'!K93,($C$5*'Tariffs Jan2019'!AK93/'Tariffs Jan2019'!AI93-'Tariffs Jan2019'!J93)*('Tariffs Jan2019'!P93/100)*'Tariffs Jan2019'!AI93,('Tariffs Jan2019'!K93-'Tariffs Jan2019'!J93)*('Tariffs Jan2019'!P93/100)*'Tariffs Jan2019'!AI93))</f>
        <v>274.43594999999993</v>
      </c>
      <c r="G99" s="59">
        <f>IF($C$5*'Tariffs Jan2019'!AK93/'Tariffs Jan2019'!AI93&lt;'Tariffs Jan2019'!K93,0,IF($C$5*'Tariffs Jan2019'!AK93/'Tariffs Jan2019'!AI93&lt;='Tariffs Jan2019'!L93,($C$5*'Tariffs Jan2019'!AK93/'Tariffs Jan2019'!AI93-'Tariffs Jan2019'!K93)*('Tariffs Jan2019'!Q93/100)*'Tariffs Jan2019'!AI93,('Tariffs Jan2019'!L93-'Tariffs Jan2019'!K93)*('Tariffs Jan2019'!Q93/100)*'Tariffs Jan2019'!AI93))</f>
        <v>0</v>
      </c>
      <c r="H99" s="59">
        <f>IF($C$5*'Tariffs Jan2019'!AK93/'Tariffs Jan2019'!AI93&lt;'Tariffs Jan2019'!L93,0,IF($C$5*'Tariffs Jan2019'!AK93/'Tariffs Jan2019'!AI93&lt;='Tariffs Jan2019'!M93,($C$5*'Tariffs Jan2019'!AK93/'Tariffs Jan2019'!AI93-'Tariffs Jan2019'!L93)*('Tariffs Jan2019'!R93/100)*'Tariffs Jan2019'!AI93,('Tariffs Jan2019'!M93-'Tariffs Jan2019'!L93)*('Tariffs Jan2019'!R93/100)*'Tariffs Jan2019'!AI93))</f>
        <v>0</v>
      </c>
      <c r="I99" s="59">
        <f>IF(($C$5*'Tariffs Jan2019'!AK93/'Tariffs Jan2019'!AI93&gt;'Tariffs Jan2019'!M93),($C$5*'Tariffs Jan2019'!AK93/'Tariffs Jan2019'!AI93-'Tariffs Jan2019'!M93)*'Tariffs Jan2019'!S93/100*'Tariffs Jan2019'!AI93,0)</f>
        <v>0</v>
      </c>
      <c r="J99" s="59">
        <f>IF($C$5*'Tariffs Jan2019'!AL93/'Tariffs Jan2019'!AJ93&gt;='Tariffs Jan2019'!J93,('Tariffs Jan2019'!J93*'Tariffs Jan2019'!U93/100)* 'Tariffs Jan2019'!AJ93,($C$5*'Tariffs Jan2019'!AL93/'Tariffs Jan2019'!AJ93*'Tariffs Jan2019'!U93/100)* 'Tariffs Jan2019'!AJ93)</f>
        <v>600</v>
      </c>
      <c r="K99" s="59">
        <f>IF($C$5*'Tariffs Jan2019'!AL93/'Tariffs Jan2019'!AJ93&lt;'Tariffs Jan2019'!J93,0,IF($C$5*'Tariffs Jan2019'!AL93/'Tariffs Jan2019'!AJ93&lt;='Tariffs Jan2019'!K93,($C$5*'Tariffs Jan2019'!AL93/'Tariffs Jan2019'!AJ93-'Tariffs Jan2019'!J93)*('Tariffs Jan2019'!V93/100)*'Tariffs Jan2019'!AJ93,('Tariffs Jan2019'!K93-'Tariffs Jan2019'!J93)*('Tariffs Jan2019'!V93/100)*'Tariffs Jan2019'!AJ93))</f>
        <v>440.89709999999991</v>
      </c>
      <c r="L99" s="59">
        <f>IF($C$5*'Tariffs Jan2019'!AL93/'Tariffs Jan2019'!AJ93&lt;'Tariffs Jan2019'!K93,0,IF($C$5*'Tariffs Jan2019'!AL93/'Tariffs Jan2019'!AJ93&lt;='Tariffs Jan2019'!L93,($C$5*'Tariffs Jan2019'!AL93/'Tariffs Jan2019'!AJ93-'Tariffs Jan2019'!K93)*('Tariffs Jan2019'!W93/100)*'Tariffs Jan2019'!AJ93,('Tariffs Jan2019'!L93-'Tariffs Jan2019'!K93)*('Tariffs Jan2019'!W93/100)*'Tariffs Jan2019'!AJ93))</f>
        <v>0</v>
      </c>
      <c r="M99" s="59">
        <f>IF($C$5*'Tariffs Jan2019'!AL93/'Tariffs Jan2019'!AJ93&lt;'Tariffs Jan2019'!L93,0,IF($C$5*'Tariffs Jan2019'!AL93/'Tariffs Jan2019'!AJ93&lt;='Tariffs Jan2019'!M93,($C$5*'Tariffs Jan2019'!AL93/'Tariffs Jan2019'!AJ93-'Tariffs Jan2019'!L93)*('Tariffs Jan2019'!X93/100)*'Tariffs Jan2019'!AJ93,('Tariffs Jan2019'!M93-'Tariffs Jan2019'!L93)*('Tariffs Jan2019'!X93/100)*'Tariffs Jan2019'!AJ93))</f>
        <v>0</v>
      </c>
      <c r="N99" s="59">
        <f>IF(($C$5*'Tariffs Jan2019'!AL93/'Tariffs Jan2019'!AJ93&gt;'Tariffs Jan2019'!M93),($C$5*'Tariffs Jan2019'!AL93/'Tariffs Jan2019'!AJ93-'Tariffs Jan2019'!M93)*'Tariffs Jan2019'!Y93/100*'Tariffs Jan2019'!AJ93,0)</f>
        <v>0</v>
      </c>
      <c r="O99" s="367">
        <f t="shared" si="10"/>
        <v>1741.33305</v>
      </c>
      <c r="P99" s="59">
        <f t="shared" si="11"/>
        <v>2094.6530499999999</v>
      </c>
      <c r="Q99" s="272">
        <f t="shared" si="12"/>
        <v>2304.1183550000001</v>
      </c>
      <c r="R99" s="40">
        <f>'Tariffs Jan2019'!AN93</f>
        <v>0</v>
      </c>
      <c r="S99" s="40">
        <f>'Tariffs Jan2019'!AO93</f>
        <v>0</v>
      </c>
      <c r="T99" s="40">
        <f>'Tariffs Jan2019'!AP93</f>
        <v>26</v>
      </c>
      <c r="U99" s="40">
        <f>'Tariffs Jan2019'!AQ93</f>
        <v>0</v>
      </c>
      <c r="V99" s="273">
        <f>P99</f>
        <v>2094.6530499999999</v>
      </c>
      <c r="W99" s="273">
        <f>V99-(P99*T99/100)</f>
        <v>1550.0432569999998</v>
      </c>
      <c r="X99" s="272">
        <f t="shared" si="13"/>
        <v>2304.1183550000001</v>
      </c>
      <c r="Y99" s="272">
        <f t="shared" si="13"/>
        <v>1705.0475827</v>
      </c>
      <c r="Z99" s="274">
        <f>'Tariffs Jan2019'!AZ93</f>
        <v>0</v>
      </c>
      <c r="AA99" s="274" t="str">
        <f>'Tariffs Jan2019'!BA93</f>
        <v>n</v>
      </c>
      <c r="AB99" s="275" t="str">
        <f>'Tariffs Jan2019'!BH93</f>
        <v>N</v>
      </c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</row>
    <row r="100" spans="1:40" x14ac:dyDescent="0.15">
      <c r="A100" s="40" t="str">
        <f>'Tariffs Jan2019'!F94</f>
        <v>Covau</v>
      </c>
      <c r="B100" s="40" t="str">
        <f>'Tariffs Jan2019'!D94</f>
        <v>AusNet Services Central 2</v>
      </c>
      <c r="C100" s="40" t="str">
        <f>'Tariffs Jan2019'!G94</f>
        <v>Smart Saver</v>
      </c>
      <c r="D100" s="59">
        <f>365*'Tariffs Jan2019'!H94/100</f>
        <v>310.25</v>
      </c>
      <c r="E100" s="59">
        <f>IF($C$5*'Tariffs Jan2019'!AK94/'Tariffs Jan2019'!AI94&gt;='Tariffs Jan2019'!J94,( 'Tariffs Jan2019'!J94*'Tariffs Jan2019'!O94/100)* 'Tariffs Jan2019'!AI94,($C$5*'Tariffs Jan2019'!AK94/'Tariffs Jan2019'!AI94*'Tariffs Jan2019'!O94/100)* 'Tariffs Jan2019'!AI94)</f>
        <v>516.59999999999991</v>
      </c>
      <c r="F100" s="59">
        <f>IF($C$5*'Tariffs Jan2019'!AK94/'Tariffs Jan2019'!AI94&lt;'Tariffs Jan2019'!J94,0,IF($C$5*'Tariffs Jan2019'!AK94/'Tariffs Jan2019'!AI94&lt;='Tariffs Jan2019'!K94,($C$5*'Tariffs Jan2019'!AK94/'Tariffs Jan2019'!AI94-'Tariffs Jan2019'!J94)*('Tariffs Jan2019'!P94/100)*'Tariffs Jan2019'!AI94,('Tariffs Jan2019'!K94-'Tariffs Jan2019'!J94)*('Tariffs Jan2019'!P94/100)*'Tariffs Jan2019'!AI94))</f>
        <v>344.24999999999994</v>
      </c>
      <c r="G100" s="59">
        <f>IF($C$5*'Tariffs Jan2019'!AK94/'Tariffs Jan2019'!AI94&lt;'Tariffs Jan2019'!K94,0,IF($C$5*'Tariffs Jan2019'!AK94/'Tariffs Jan2019'!AI94&lt;='Tariffs Jan2019'!L94,($C$5*'Tariffs Jan2019'!AK94/'Tariffs Jan2019'!AI94-'Tariffs Jan2019'!K94)*('Tariffs Jan2019'!Q94/100)*'Tariffs Jan2019'!AI94,('Tariffs Jan2019'!L94-'Tariffs Jan2019'!K94)*('Tariffs Jan2019'!Q94/100)*'Tariffs Jan2019'!AI94))</f>
        <v>0</v>
      </c>
      <c r="H100" s="59">
        <f>IF($C$5*'Tariffs Jan2019'!AK94/'Tariffs Jan2019'!AI94&lt;'Tariffs Jan2019'!L94,0,IF($C$5*'Tariffs Jan2019'!AK94/'Tariffs Jan2019'!AI94&lt;='Tariffs Jan2019'!M94,($C$5*'Tariffs Jan2019'!AK94/'Tariffs Jan2019'!AI94-'Tariffs Jan2019'!L94)*('Tariffs Jan2019'!R94/100)*'Tariffs Jan2019'!AI94,('Tariffs Jan2019'!M94-'Tariffs Jan2019'!L94)*('Tariffs Jan2019'!R94/100)*'Tariffs Jan2019'!AI94))</f>
        <v>0</v>
      </c>
      <c r="I100" s="59">
        <f>IF(($C$5*'Tariffs Jan2019'!AK94/'Tariffs Jan2019'!AI94&gt;'Tariffs Jan2019'!M94),($C$5*'Tariffs Jan2019'!AK94/'Tariffs Jan2019'!AI94-'Tariffs Jan2019'!M94)*'Tariffs Jan2019'!S94/100*'Tariffs Jan2019'!AI94,0)</f>
        <v>0</v>
      </c>
      <c r="J100" s="59">
        <f>IF($C$5*'Tariffs Jan2019'!AL94/'Tariffs Jan2019'!AJ94&gt;='Tariffs Jan2019'!J94,('Tariffs Jan2019'!J94*'Tariffs Jan2019'!U94/100)* 'Tariffs Jan2019'!AJ94,($C$5*'Tariffs Jan2019'!AL94/'Tariffs Jan2019'!AJ94*'Tariffs Jan2019'!U94/100)* 'Tariffs Jan2019'!AJ94)</f>
        <v>432</v>
      </c>
      <c r="K100" s="59">
        <f>IF($C$5*'Tariffs Jan2019'!AL94/'Tariffs Jan2019'!AJ94&lt;'Tariffs Jan2019'!J94,0,IF($C$5*'Tariffs Jan2019'!AL94/'Tariffs Jan2019'!AJ94&lt;='Tariffs Jan2019'!K94,($C$5*'Tariffs Jan2019'!AL94/'Tariffs Jan2019'!AJ94-'Tariffs Jan2019'!J94)*('Tariffs Jan2019'!V94/100)*'Tariffs Jan2019'!AJ94,('Tariffs Jan2019'!K94-'Tariffs Jan2019'!J94)*('Tariffs Jan2019'!V94/100)*'Tariffs Jan2019'!AJ94))</f>
        <v>297.00000000000006</v>
      </c>
      <c r="L100" s="59">
        <f>IF($C$5*'Tariffs Jan2019'!AL94/'Tariffs Jan2019'!AJ94&lt;'Tariffs Jan2019'!K94,0,IF($C$5*'Tariffs Jan2019'!AL94/'Tariffs Jan2019'!AJ94&lt;='Tariffs Jan2019'!L94,($C$5*'Tariffs Jan2019'!AL94/'Tariffs Jan2019'!AJ94-'Tariffs Jan2019'!K94)*('Tariffs Jan2019'!W94/100)*'Tariffs Jan2019'!AJ94,('Tariffs Jan2019'!L94-'Tariffs Jan2019'!K94)*('Tariffs Jan2019'!W94/100)*'Tariffs Jan2019'!AJ94))</f>
        <v>0</v>
      </c>
      <c r="M100" s="59">
        <f>IF($C$5*'Tariffs Jan2019'!AL94/'Tariffs Jan2019'!AJ94&lt;'Tariffs Jan2019'!L94,0,IF($C$5*'Tariffs Jan2019'!AL94/'Tariffs Jan2019'!AJ94&lt;='Tariffs Jan2019'!M94,($C$5*'Tariffs Jan2019'!AL94/'Tariffs Jan2019'!AJ94-'Tariffs Jan2019'!L94)*('Tariffs Jan2019'!X94/100)*'Tariffs Jan2019'!AJ94,('Tariffs Jan2019'!M94-'Tariffs Jan2019'!L94)*('Tariffs Jan2019'!X94/100)*'Tariffs Jan2019'!AJ94))</f>
        <v>0</v>
      </c>
      <c r="N100" s="59">
        <f>IF(($C$5*'Tariffs Jan2019'!AL94/'Tariffs Jan2019'!AJ94&gt;'Tariffs Jan2019'!M94),($C$5*'Tariffs Jan2019'!AL94/'Tariffs Jan2019'!AJ94-'Tariffs Jan2019'!M94)*'Tariffs Jan2019'!Y94/100*'Tariffs Jan2019'!AJ94,0)</f>
        <v>0</v>
      </c>
      <c r="O100" s="367">
        <f t="shared" si="10"/>
        <v>1589.85</v>
      </c>
      <c r="P100" s="59">
        <f t="shared" si="11"/>
        <v>1900.1</v>
      </c>
      <c r="Q100" s="272">
        <f t="shared" si="12"/>
        <v>2090.11</v>
      </c>
      <c r="R100" s="40">
        <f>'Tariffs Jan2019'!AN94</f>
        <v>0</v>
      </c>
      <c r="S100" s="40">
        <f>'Tariffs Jan2019'!AO94</f>
        <v>0</v>
      </c>
      <c r="T100" s="40">
        <f>'Tariffs Jan2019'!AP94</f>
        <v>0</v>
      </c>
      <c r="U100" s="40">
        <f>'Tariffs Jan2019'!AQ94</f>
        <v>16</v>
      </c>
      <c r="V100" s="273">
        <f>P100</f>
        <v>1900.1</v>
      </c>
      <c r="W100" s="273">
        <f>V100-(O100*U100/100)</f>
        <v>1645.7239999999999</v>
      </c>
      <c r="X100" s="272">
        <f t="shared" si="13"/>
        <v>2090.11</v>
      </c>
      <c r="Y100" s="272">
        <f t="shared" si="13"/>
        <v>1810.2964000000002</v>
      </c>
      <c r="Z100" s="274">
        <f>'Tariffs Jan2019'!AZ94</f>
        <v>0</v>
      </c>
      <c r="AA100" s="274" t="str">
        <f>'Tariffs Jan2019'!BA94</f>
        <v>n</v>
      </c>
      <c r="AB100" s="275" t="str">
        <f>'Tariffs Jan2019'!BH94</f>
        <v>N</v>
      </c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</row>
    <row r="101" spans="1:40" x14ac:dyDescent="0.15">
      <c r="A101" s="40" t="str">
        <f>'Tariffs Jan2019'!F95</f>
        <v>Dodo Power &amp; Gas</v>
      </c>
      <c r="B101" s="40" t="str">
        <f>'Tariffs Jan2019'!D95</f>
        <v>AusNet Services Central 2</v>
      </c>
      <c r="C101" s="40" t="str">
        <f>'Tariffs Jan2019'!G95</f>
        <v>Market offer</v>
      </c>
      <c r="D101" s="59">
        <f>365*'Tariffs Jan2019'!H95/100</f>
        <v>291.63500000000005</v>
      </c>
      <c r="E101" s="59">
        <f>IF($C$5*'Tariffs Jan2019'!AK95/'Tariffs Jan2019'!AI95&gt;='Tariffs Jan2019'!J95,( 'Tariffs Jan2019'!J95*'Tariffs Jan2019'!O95/100)* 'Tariffs Jan2019'!AI95,($C$5*'Tariffs Jan2019'!AK95/'Tariffs Jan2019'!AI95*'Tariffs Jan2019'!O95/100)* 'Tariffs Jan2019'!AI95)</f>
        <v>193.2</v>
      </c>
      <c r="F101" s="59">
        <f>IF($C$5*'Tariffs Jan2019'!AK95/'Tariffs Jan2019'!AI95&lt;'Tariffs Jan2019'!J95,0,IF($C$5*'Tariffs Jan2019'!AK95/'Tariffs Jan2019'!AI95&lt;='Tariffs Jan2019'!K95,($C$5*'Tariffs Jan2019'!AK95/'Tariffs Jan2019'!AI95-'Tariffs Jan2019'!J95)*('Tariffs Jan2019'!P95/100)*'Tariffs Jan2019'!AI95,('Tariffs Jan2019'!K95-'Tariffs Jan2019'!J95)*('Tariffs Jan2019'!P95/100)*'Tariffs Jan2019'!AI95))</f>
        <v>0</v>
      </c>
      <c r="G101" s="59">
        <f>IF($C$5*'Tariffs Jan2019'!AK95/'Tariffs Jan2019'!AI95&lt;'Tariffs Jan2019'!K95,0,IF($C$5*'Tariffs Jan2019'!AK95/'Tariffs Jan2019'!AI95&lt;='Tariffs Jan2019'!L95,($C$5*'Tariffs Jan2019'!AK95/'Tariffs Jan2019'!AI95-'Tariffs Jan2019'!K95)*('Tariffs Jan2019'!Q95/100)*'Tariffs Jan2019'!AI95,('Tariffs Jan2019'!L95-'Tariffs Jan2019'!K95)*('Tariffs Jan2019'!Q95/100)*'Tariffs Jan2019'!AI95))</f>
        <v>0</v>
      </c>
      <c r="H101" s="59">
        <f>IF($C$5*'Tariffs Jan2019'!AK95/'Tariffs Jan2019'!AI95&lt;'Tariffs Jan2019'!L95,0,IF($C$5*'Tariffs Jan2019'!AK95/'Tariffs Jan2019'!AI95&lt;='Tariffs Jan2019'!M95,($C$5*'Tariffs Jan2019'!AK95/'Tariffs Jan2019'!AI95-'Tariffs Jan2019'!L95)*('Tariffs Jan2019'!R95/100)*'Tariffs Jan2019'!AI95,('Tariffs Jan2019'!M95-'Tariffs Jan2019'!L95)*('Tariffs Jan2019'!R95/100)*'Tariffs Jan2019'!AI95))</f>
        <v>0</v>
      </c>
      <c r="I101" s="59">
        <f>IF(($C$5*'Tariffs Jan2019'!AK95/'Tariffs Jan2019'!AI95&gt;'Tariffs Jan2019'!M95),($C$5*'Tariffs Jan2019'!AK95/'Tariffs Jan2019'!AI95-'Tariffs Jan2019'!M95)*'Tariffs Jan2019'!S95/100*'Tariffs Jan2019'!AI95,0)</f>
        <v>328.95064999999994</v>
      </c>
      <c r="J101" s="59">
        <f>IF($C$5*'Tariffs Jan2019'!AL95/'Tariffs Jan2019'!AJ95&gt;='Tariffs Jan2019'!J95,('Tariffs Jan2019'!J95*'Tariffs Jan2019'!U95/100)* 'Tariffs Jan2019'!AJ95,($C$5*'Tariffs Jan2019'!AL95/'Tariffs Jan2019'!AJ95*'Tariffs Jan2019'!U95/100)* 'Tariffs Jan2019'!AJ95)</f>
        <v>310.8</v>
      </c>
      <c r="K101" s="59">
        <f>IF($C$5*'Tariffs Jan2019'!AL95/'Tariffs Jan2019'!AJ95&lt;'Tariffs Jan2019'!J95,0,IF($C$5*'Tariffs Jan2019'!AL95/'Tariffs Jan2019'!AJ95&lt;='Tariffs Jan2019'!K95,($C$5*'Tariffs Jan2019'!AL95/'Tariffs Jan2019'!AJ95-'Tariffs Jan2019'!J95)*('Tariffs Jan2019'!V95/100)*'Tariffs Jan2019'!AJ95,('Tariffs Jan2019'!K95-'Tariffs Jan2019'!J95)*('Tariffs Jan2019'!V95/100)*'Tariffs Jan2019'!AJ95))</f>
        <v>0</v>
      </c>
      <c r="L101" s="59">
        <f>IF($C$5*'Tariffs Jan2019'!AL95/'Tariffs Jan2019'!AJ95&lt;'Tariffs Jan2019'!K95,0,IF($C$5*'Tariffs Jan2019'!AL95/'Tariffs Jan2019'!AJ95&lt;='Tariffs Jan2019'!L95,($C$5*'Tariffs Jan2019'!AL95/'Tariffs Jan2019'!AJ95-'Tariffs Jan2019'!K95)*('Tariffs Jan2019'!W95/100)*'Tariffs Jan2019'!AJ95,('Tariffs Jan2019'!L95-'Tariffs Jan2019'!K95)*('Tariffs Jan2019'!W95/100)*'Tariffs Jan2019'!AJ95))</f>
        <v>0</v>
      </c>
      <c r="M101" s="59">
        <f>IF($C$5*'Tariffs Jan2019'!AL95/'Tariffs Jan2019'!AJ95&lt;'Tariffs Jan2019'!L95,0,IF($C$5*'Tariffs Jan2019'!AL95/'Tariffs Jan2019'!AJ95&lt;='Tariffs Jan2019'!M95,($C$5*'Tariffs Jan2019'!AL95/'Tariffs Jan2019'!AJ95-'Tariffs Jan2019'!L95)*('Tariffs Jan2019'!X95/100)*'Tariffs Jan2019'!AJ95,('Tariffs Jan2019'!M95-'Tariffs Jan2019'!L95)*('Tariffs Jan2019'!X95/100)*'Tariffs Jan2019'!AJ95))</f>
        <v>0</v>
      </c>
      <c r="N101" s="59">
        <f>IF(($C$5*'Tariffs Jan2019'!AL95/'Tariffs Jan2019'!AJ95&gt;'Tariffs Jan2019'!M95),($C$5*'Tariffs Jan2019'!AL95/'Tariffs Jan2019'!AJ95-'Tariffs Jan2019'!M95)*'Tariffs Jan2019'!Y95/100*'Tariffs Jan2019'!AJ95,0)</f>
        <v>512.32313999999997</v>
      </c>
      <c r="O101" s="367">
        <f t="shared" si="10"/>
        <v>1345.27379</v>
      </c>
      <c r="P101" s="59">
        <f t="shared" si="11"/>
        <v>1636.90879</v>
      </c>
      <c r="Q101" s="272">
        <f t="shared" si="12"/>
        <v>1800.5996690000002</v>
      </c>
      <c r="R101" s="40">
        <f>'Tariffs Jan2019'!AN95</f>
        <v>0</v>
      </c>
      <c r="S101" s="40">
        <f>'Tariffs Jan2019'!AO95</f>
        <v>0</v>
      </c>
      <c r="T101" s="40">
        <f>'Tariffs Jan2019'!AP95</f>
        <v>0</v>
      </c>
      <c r="U101" s="40">
        <f>'Tariffs Jan2019'!AQ95</f>
        <v>0</v>
      </c>
      <c r="V101" s="273">
        <f>P101</f>
        <v>1636.90879</v>
      </c>
      <c r="W101" s="273">
        <f>V101</f>
        <v>1636.90879</v>
      </c>
      <c r="X101" s="272">
        <f t="shared" si="13"/>
        <v>1800.5996690000002</v>
      </c>
      <c r="Y101" s="272">
        <f t="shared" si="13"/>
        <v>1800.5996690000002</v>
      </c>
      <c r="Z101" s="274">
        <f>'Tariffs Jan2019'!AZ95</f>
        <v>0</v>
      </c>
      <c r="AA101" s="274" t="str">
        <f>'Tariffs Jan2019'!BA95</f>
        <v>n</v>
      </c>
      <c r="AB101" s="275" t="str">
        <f>'Tariffs Jan2019'!BH95</f>
        <v>Y</v>
      </c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</row>
    <row r="102" spans="1:40" x14ac:dyDescent="0.15">
      <c r="A102" s="40" t="str">
        <f>'Tariffs Jan2019'!F96</f>
        <v>EnergyAustralia</v>
      </c>
      <c r="B102" s="40" t="str">
        <f>'Tariffs Jan2019'!D96</f>
        <v>AusNet Services Central 2</v>
      </c>
      <c r="C102" s="40" t="str">
        <f>'Tariffs Jan2019'!G96</f>
        <v>Anytime Saver</v>
      </c>
      <c r="D102" s="59">
        <f>365*'Tariffs Jan2019'!H96/100</f>
        <v>345.65499999999997</v>
      </c>
      <c r="E102" s="59">
        <f>IF($C$5*'Tariffs Jan2019'!AK96/'Tariffs Jan2019'!AI96&gt;='Tariffs Jan2019'!J96,( 'Tariffs Jan2019'!J96*'Tariffs Jan2019'!O96/100)* 'Tariffs Jan2019'!AI96,($C$5*'Tariffs Jan2019'!AK96/'Tariffs Jan2019'!AI96*'Tariffs Jan2019'!O96/100)* 'Tariffs Jan2019'!AI96)</f>
        <v>575.34245999999996</v>
      </c>
      <c r="F102" s="59">
        <f>IF($C$5*'Tariffs Jan2019'!AK96/'Tariffs Jan2019'!AI96&lt;'Tariffs Jan2019'!J96,0,IF($C$5*'Tariffs Jan2019'!AK96/'Tariffs Jan2019'!AI96&lt;='Tariffs Jan2019'!K96,($C$5*'Tariffs Jan2019'!AK96/'Tariffs Jan2019'!AI96-'Tariffs Jan2019'!J96)*('Tariffs Jan2019'!P96/100)*'Tariffs Jan2019'!AI96,('Tariffs Jan2019'!K96-'Tariffs Jan2019'!J96)*('Tariffs Jan2019'!P96/100)*'Tariffs Jan2019'!AI96))</f>
        <v>0</v>
      </c>
      <c r="G102" s="59">
        <f>IF($C$5*'Tariffs Jan2019'!AK96/'Tariffs Jan2019'!AI96&lt;'Tariffs Jan2019'!K96,0,IF($C$5*'Tariffs Jan2019'!AK96/'Tariffs Jan2019'!AI96&lt;='Tariffs Jan2019'!L96,($C$5*'Tariffs Jan2019'!AK96/'Tariffs Jan2019'!AI96-'Tariffs Jan2019'!K96)*('Tariffs Jan2019'!Q96/100)*'Tariffs Jan2019'!AI96,('Tariffs Jan2019'!L96-'Tariffs Jan2019'!K96)*('Tariffs Jan2019'!Q96/100)*'Tariffs Jan2019'!AI96))</f>
        <v>0</v>
      </c>
      <c r="H102" s="59">
        <f>IF($C$5*'Tariffs Jan2019'!AK96/'Tariffs Jan2019'!AI96&lt;'Tariffs Jan2019'!L96,0,IF($C$5*'Tariffs Jan2019'!AK96/'Tariffs Jan2019'!AI96&lt;='Tariffs Jan2019'!M96,($C$5*'Tariffs Jan2019'!AK96/'Tariffs Jan2019'!AI96-'Tariffs Jan2019'!L96)*('Tariffs Jan2019'!R96/100)*'Tariffs Jan2019'!AI96,('Tariffs Jan2019'!M96-'Tariffs Jan2019'!L96)*('Tariffs Jan2019'!R96/100)*'Tariffs Jan2019'!AI96))</f>
        <v>0</v>
      </c>
      <c r="I102" s="59">
        <f>IF(($C$5*'Tariffs Jan2019'!AK96/'Tariffs Jan2019'!AI96&gt;'Tariffs Jan2019'!M96),($C$5*'Tariffs Jan2019'!AK96/'Tariffs Jan2019'!AI96-'Tariffs Jan2019'!M96)*'Tariffs Jan2019'!S96/100*'Tariffs Jan2019'!AI96,0)</f>
        <v>0</v>
      </c>
      <c r="J102" s="59">
        <f>IF($C$5*'Tariffs Jan2019'!AL96/'Tariffs Jan2019'!AJ96&gt;='Tariffs Jan2019'!J96,('Tariffs Jan2019'!J96*'Tariffs Jan2019'!U96/100)* 'Tariffs Jan2019'!AJ96,($C$5*'Tariffs Jan2019'!AL96/'Tariffs Jan2019'!AJ96*'Tariffs Jan2019'!U96/100)* 'Tariffs Jan2019'!AJ96)</f>
        <v>844.1155799999998</v>
      </c>
      <c r="K102" s="59">
        <f>IF($C$5*'Tariffs Jan2019'!AL96/'Tariffs Jan2019'!AJ96&lt;'Tariffs Jan2019'!J96,0,IF($C$5*'Tariffs Jan2019'!AL96/'Tariffs Jan2019'!AJ96&lt;='Tariffs Jan2019'!K96,($C$5*'Tariffs Jan2019'!AL96/'Tariffs Jan2019'!AJ96-'Tariffs Jan2019'!J96)*('Tariffs Jan2019'!V96/100)*'Tariffs Jan2019'!AJ96,('Tariffs Jan2019'!K96-'Tariffs Jan2019'!J96)*('Tariffs Jan2019'!V96/100)*'Tariffs Jan2019'!AJ96))</f>
        <v>0</v>
      </c>
      <c r="L102" s="59">
        <f>IF($C$5*'Tariffs Jan2019'!AL96/'Tariffs Jan2019'!AJ96&lt;'Tariffs Jan2019'!K96,0,IF($C$5*'Tariffs Jan2019'!AL96/'Tariffs Jan2019'!AJ96&lt;='Tariffs Jan2019'!L96,($C$5*'Tariffs Jan2019'!AL96/'Tariffs Jan2019'!AJ96-'Tariffs Jan2019'!K96)*('Tariffs Jan2019'!W96/100)*'Tariffs Jan2019'!AJ96,('Tariffs Jan2019'!L96-'Tariffs Jan2019'!K96)*('Tariffs Jan2019'!W96/100)*'Tariffs Jan2019'!AJ96))</f>
        <v>0</v>
      </c>
      <c r="M102" s="59">
        <f>IF($C$5*'Tariffs Jan2019'!AL96/'Tariffs Jan2019'!AJ96&lt;'Tariffs Jan2019'!L96,0,IF($C$5*'Tariffs Jan2019'!AL96/'Tariffs Jan2019'!AJ96&lt;='Tariffs Jan2019'!M96,($C$5*'Tariffs Jan2019'!AL96/'Tariffs Jan2019'!AJ96-'Tariffs Jan2019'!L96)*('Tariffs Jan2019'!X96/100)*'Tariffs Jan2019'!AJ96,('Tariffs Jan2019'!M96-'Tariffs Jan2019'!L96)*('Tariffs Jan2019'!X96/100)*'Tariffs Jan2019'!AJ96))</f>
        <v>0</v>
      </c>
      <c r="N102" s="59">
        <f>IF(($C$5*'Tariffs Jan2019'!AL96/'Tariffs Jan2019'!AJ96&gt;'Tariffs Jan2019'!M96),($C$5*'Tariffs Jan2019'!AL96/'Tariffs Jan2019'!AJ96-'Tariffs Jan2019'!M96)*'Tariffs Jan2019'!Y96/100*'Tariffs Jan2019'!AJ96,0)</f>
        <v>0</v>
      </c>
      <c r="O102" s="367">
        <f t="shared" si="10"/>
        <v>1419.4580399999998</v>
      </c>
      <c r="P102" s="59">
        <f t="shared" si="11"/>
        <v>1765.1130399999997</v>
      </c>
      <c r="Q102" s="272">
        <f t="shared" si="12"/>
        <v>1941.6243439999998</v>
      </c>
      <c r="R102" s="40">
        <f>'Tariffs Jan2019'!AN96</f>
        <v>0</v>
      </c>
      <c r="S102" s="40">
        <f>'Tariffs Jan2019'!AO96</f>
        <v>22</v>
      </c>
      <c r="T102" s="40">
        <f>'Tariffs Jan2019'!AP96</f>
        <v>0</v>
      </c>
      <c r="U102" s="40">
        <f>'Tariffs Jan2019'!AQ96</f>
        <v>0</v>
      </c>
      <c r="V102" s="273">
        <f>P102-(O102*S102/100)</f>
        <v>1452.8322711999999</v>
      </c>
      <c r="W102" s="273">
        <f>V102-(O102*U102/100)</f>
        <v>1452.8322711999999</v>
      </c>
      <c r="X102" s="272">
        <f t="shared" si="13"/>
        <v>1598.1154983200001</v>
      </c>
      <c r="Y102" s="272">
        <f t="shared" si="13"/>
        <v>1598.1154983200001</v>
      </c>
      <c r="Z102" s="274">
        <f>'Tariffs Jan2019'!AZ96</f>
        <v>0</v>
      </c>
      <c r="AA102" s="274" t="str">
        <f>'Tariffs Jan2019'!BA96</f>
        <v>n</v>
      </c>
      <c r="AB102" s="275" t="str">
        <f>'Tariffs Jan2019'!BH96</f>
        <v>N</v>
      </c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</row>
    <row r="103" spans="1:40" x14ac:dyDescent="0.15">
      <c r="A103" s="40" t="str">
        <f>'Tariffs Jan2019'!F97</f>
        <v>Lumo Energy</v>
      </c>
      <c r="B103" s="40" t="str">
        <f>'Tariffs Jan2019'!D97</f>
        <v>AusNet Services Central 2</v>
      </c>
      <c r="C103" s="40" t="str">
        <f>'Tariffs Jan2019'!G97</f>
        <v>Value</v>
      </c>
      <c r="D103" s="59">
        <f>365*'Tariffs Jan2019'!H97/100</f>
        <v>255.5</v>
      </c>
      <c r="E103" s="59">
        <f>IF($C$5*'Tariffs Jan2019'!AK97/'Tariffs Jan2019'!AI97&gt;='Tariffs Jan2019'!J97,( 'Tariffs Jan2019'!J97*'Tariffs Jan2019'!O97/100)* 'Tariffs Jan2019'!AI97,($C$5*'Tariffs Jan2019'!AK97/'Tariffs Jan2019'!AI97*'Tariffs Jan2019'!O97/100)* 'Tariffs Jan2019'!AI97)</f>
        <v>264.00000000000006</v>
      </c>
      <c r="F103" s="59">
        <f>IF($C$5*'Tariffs Jan2019'!AK97/'Tariffs Jan2019'!AI97&lt;'Tariffs Jan2019'!J97,0,IF($C$5*'Tariffs Jan2019'!AK97/'Tariffs Jan2019'!AI97&lt;='Tariffs Jan2019'!K97,($C$5*'Tariffs Jan2019'!AK97/'Tariffs Jan2019'!AI97-'Tariffs Jan2019'!J97)*('Tariffs Jan2019'!P97/100)*'Tariffs Jan2019'!AI97,('Tariffs Jan2019'!K97-'Tariffs Jan2019'!J97)*('Tariffs Jan2019'!P97/100)*'Tariffs Jan2019'!AI97))</f>
        <v>179.95799999999997</v>
      </c>
      <c r="G103" s="59">
        <f>IF($C$5*'Tariffs Jan2019'!AK97/'Tariffs Jan2019'!AI97&lt;'Tariffs Jan2019'!K97,0,IF($C$5*'Tariffs Jan2019'!AK97/'Tariffs Jan2019'!AI97&lt;='Tariffs Jan2019'!L97,($C$5*'Tariffs Jan2019'!AK97/'Tariffs Jan2019'!AI97-'Tariffs Jan2019'!K97)*('Tariffs Jan2019'!Q97/100)*'Tariffs Jan2019'!AI97,('Tariffs Jan2019'!L97-'Tariffs Jan2019'!K97)*('Tariffs Jan2019'!Q97/100)*'Tariffs Jan2019'!AI97))</f>
        <v>0</v>
      </c>
      <c r="H103" s="59">
        <f>IF($C$5*'Tariffs Jan2019'!AK97/'Tariffs Jan2019'!AI97&lt;'Tariffs Jan2019'!L97,0,IF($C$5*'Tariffs Jan2019'!AK97/'Tariffs Jan2019'!AI97&lt;='Tariffs Jan2019'!M97,($C$5*'Tariffs Jan2019'!AK97/'Tariffs Jan2019'!AI97-'Tariffs Jan2019'!L97)*('Tariffs Jan2019'!R97/100)*'Tariffs Jan2019'!AI97,('Tariffs Jan2019'!M97-'Tariffs Jan2019'!L97)*('Tariffs Jan2019'!R97/100)*'Tariffs Jan2019'!AI97))</f>
        <v>0</v>
      </c>
      <c r="I103" s="59">
        <f>IF(($C$5*'Tariffs Jan2019'!AK97/'Tariffs Jan2019'!AI97&gt;'Tariffs Jan2019'!M97),($C$5*'Tariffs Jan2019'!AK97/'Tariffs Jan2019'!AI97-'Tariffs Jan2019'!M97)*'Tariffs Jan2019'!S97/100*'Tariffs Jan2019'!AI97,0)</f>
        <v>0</v>
      </c>
      <c r="J103" s="59">
        <f>IF($C$5*'Tariffs Jan2019'!AL97/'Tariffs Jan2019'!AJ97&gt;='Tariffs Jan2019'!J97,('Tariffs Jan2019'!J97*'Tariffs Jan2019'!U97/100)* 'Tariffs Jan2019'!AJ97,($C$5*'Tariffs Jan2019'!AL97/'Tariffs Jan2019'!AJ97*'Tariffs Jan2019'!U97/100)* 'Tariffs Jan2019'!AJ97)</f>
        <v>408</v>
      </c>
      <c r="K103" s="59">
        <f>IF($C$5*'Tariffs Jan2019'!AL97/'Tariffs Jan2019'!AJ97&lt;'Tariffs Jan2019'!J97,0,IF($C$5*'Tariffs Jan2019'!AL97/'Tariffs Jan2019'!AJ97&lt;='Tariffs Jan2019'!K97,($C$5*'Tariffs Jan2019'!AL97/'Tariffs Jan2019'!AJ97-'Tariffs Jan2019'!J97)*('Tariffs Jan2019'!V97/100)*'Tariffs Jan2019'!AJ97,('Tariffs Jan2019'!K97-'Tariffs Jan2019'!J97)*('Tariffs Jan2019'!V97/100)*'Tariffs Jan2019'!AJ97))</f>
        <v>293.3315399999999</v>
      </c>
      <c r="L103" s="59">
        <f>IF($C$5*'Tariffs Jan2019'!AL97/'Tariffs Jan2019'!AJ97&lt;'Tariffs Jan2019'!K97,0,IF($C$5*'Tariffs Jan2019'!AL97/'Tariffs Jan2019'!AJ97&lt;='Tariffs Jan2019'!L97,($C$5*'Tariffs Jan2019'!AL97/'Tariffs Jan2019'!AJ97-'Tariffs Jan2019'!K97)*('Tariffs Jan2019'!W97/100)*'Tariffs Jan2019'!AJ97,('Tariffs Jan2019'!L97-'Tariffs Jan2019'!K97)*('Tariffs Jan2019'!W97/100)*'Tariffs Jan2019'!AJ97))</f>
        <v>0</v>
      </c>
      <c r="M103" s="59">
        <f>IF($C$5*'Tariffs Jan2019'!AL97/'Tariffs Jan2019'!AJ97&lt;'Tariffs Jan2019'!L97,0,IF($C$5*'Tariffs Jan2019'!AL97/'Tariffs Jan2019'!AJ97&lt;='Tariffs Jan2019'!M97,($C$5*'Tariffs Jan2019'!AL97/'Tariffs Jan2019'!AJ97-'Tariffs Jan2019'!L97)*('Tariffs Jan2019'!X97/100)*'Tariffs Jan2019'!AJ97,('Tariffs Jan2019'!M97-'Tariffs Jan2019'!L97)*('Tariffs Jan2019'!X97/100)*'Tariffs Jan2019'!AJ97))</f>
        <v>0</v>
      </c>
      <c r="N103" s="59">
        <f>IF(($C$5*'Tariffs Jan2019'!AL97/'Tariffs Jan2019'!AJ97&gt;'Tariffs Jan2019'!M97),($C$5*'Tariffs Jan2019'!AL97/'Tariffs Jan2019'!AJ97-'Tariffs Jan2019'!M97)*'Tariffs Jan2019'!Y97/100*'Tariffs Jan2019'!AJ97,0)</f>
        <v>0</v>
      </c>
      <c r="O103" s="367">
        <f t="shared" si="10"/>
        <v>1145.28954</v>
      </c>
      <c r="P103" s="59">
        <f t="shared" si="11"/>
        <v>1400.78954</v>
      </c>
      <c r="Q103" s="272">
        <f t="shared" si="12"/>
        <v>1540.8684940000001</v>
      </c>
      <c r="R103" s="40">
        <f>'Tariffs Jan2019'!AN97</f>
        <v>0</v>
      </c>
      <c r="S103" s="40">
        <f>'Tariffs Jan2019'!AO97</f>
        <v>0</v>
      </c>
      <c r="T103" s="40">
        <f>'Tariffs Jan2019'!AP97</f>
        <v>3</v>
      </c>
      <c r="U103" s="40">
        <f>'Tariffs Jan2019'!AQ97</f>
        <v>0</v>
      </c>
      <c r="V103" s="273">
        <f t="shared" ref="V103:V111" si="14">P103</f>
        <v>1400.78954</v>
      </c>
      <c r="W103" s="273">
        <f>V103-(P103*T103/100)</f>
        <v>1358.7658538000001</v>
      </c>
      <c r="X103" s="272">
        <f t="shared" si="13"/>
        <v>1540.8684940000001</v>
      </c>
      <c r="Y103" s="272">
        <f t="shared" si="13"/>
        <v>1494.6424391800001</v>
      </c>
      <c r="Z103" s="274">
        <f>'Tariffs Jan2019'!AZ97</f>
        <v>0</v>
      </c>
      <c r="AA103" s="274" t="str">
        <f>'Tariffs Jan2019'!BA97</f>
        <v>n</v>
      </c>
      <c r="AB103" s="275" t="str">
        <f>'Tariffs Jan2019'!BH97</f>
        <v>N</v>
      </c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</row>
    <row r="104" spans="1:40" x14ac:dyDescent="0.15">
      <c r="A104" s="40" t="str">
        <f>'Tariffs Jan2019'!F98</f>
        <v>Momentum Energy</v>
      </c>
      <c r="B104" s="40" t="str">
        <f>'Tariffs Jan2019'!D98</f>
        <v>AusNet Services Central 2</v>
      </c>
      <c r="C104" s="40" t="str">
        <f>'Tariffs Jan2019'!G98</f>
        <v>Market offer</v>
      </c>
      <c r="D104" s="59">
        <f>365*'Tariffs Jan2019'!H98/100</f>
        <v>347.69900000000001</v>
      </c>
      <c r="E104" s="59">
        <f>IF($C$5*'Tariffs Jan2019'!AK98/'Tariffs Jan2019'!AI98&gt;='Tariffs Jan2019'!J98,( 'Tariffs Jan2019'!J98*'Tariffs Jan2019'!O98/100)* 'Tariffs Jan2019'!AI98,($C$5*'Tariffs Jan2019'!AK98/'Tariffs Jan2019'!AI98*'Tariffs Jan2019'!O98/100)* 'Tariffs Jan2019'!AI98)</f>
        <v>251.52</v>
      </c>
      <c r="F104" s="59">
        <f>IF($C$5*'Tariffs Jan2019'!AK98/'Tariffs Jan2019'!AI98&lt;'Tariffs Jan2019'!J98,0,IF($C$5*'Tariffs Jan2019'!AK98/'Tariffs Jan2019'!AI98&lt;='Tariffs Jan2019'!K98,($C$5*'Tariffs Jan2019'!AK98/'Tariffs Jan2019'!AI98-'Tariffs Jan2019'!J98)*('Tariffs Jan2019'!P98/100)*'Tariffs Jan2019'!AI98,('Tariffs Jan2019'!K98-'Tariffs Jan2019'!J98)*('Tariffs Jan2019'!P98/100)*'Tariffs Jan2019'!AI98))</f>
        <v>165.29142299999998</v>
      </c>
      <c r="G104" s="59">
        <f>IF($C$5*'Tariffs Jan2019'!AK98/'Tariffs Jan2019'!AI98&lt;'Tariffs Jan2019'!K98,0,IF($C$5*'Tariffs Jan2019'!AK98/'Tariffs Jan2019'!AI98&lt;='Tariffs Jan2019'!L98,($C$5*'Tariffs Jan2019'!AK98/'Tariffs Jan2019'!AI98-'Tariffs Jan2019'!K98)*('Tariffs Jan2019'!Q98/100)*'Tariffs Jan2019'!AI98,('Tariffs Jan2019'!L98-'Tariffs Jan2019'!K98)*('Tariffs Jan2019'!Q98/100)*'Tariffs Jan2019'!AI98))</f>
        <v>0</v>
      </c>
      <c r="H104" s="59">
        <f>IF($C$5*'Tariffs Jan2019'!AK98/'Tariffs Jan2019'!AI98&lt;'Tariffs Jan2019'!L98,0,IF($C$5*'Tariffs Jan2019'!AK98/'Tariffs Jan2019'!AI98&lt;='Tariffs Jan2019'!M98,($C$5*'Tariffs Jan2019'!AK98/'Tariffs Jan2019'!AI98-'Tariffs Jan2019'!L98)*('Tariffs Jan2019'!R98/100)*'Tariffs Jan2019'!AI98,('Tariffs Jan2019'!M98-'Tariffs Jan2019'!L98)*('Tariffs Jan2019'!R98/100)*'Tariffs Jan2019'!AI98))</f>
        <v>0</v>
      </c>
      <c r="I104" s="59">
        <f>IF(($C$5*'Tariffs Jan2019'!AK98/'Tariffs Jan2019'!AI98&gt;'Tariffs Jan2019'!M98),($C$5*'Tariffs Jan2019'!AK98/'Tariffs Jan2019'!AI98-'Tariffs Jan2019'!M98)*'Tariffs Jan2019'!S98/100*'Tariffs Jan2019'!AI98,0)</f>
        <v>0</v>
      </c>
      <c r="J104" s="59">
        <f>IF($C$5*'Tariffs Jan2019'!AL98/'Tariffs Jan2019'!AJ98&gt;='Tariffs Jan2019'!J98,('Tariffs Jan2019'!J98*'Tariffs Jan2019'!U98/100)* 'Tariffs Jan2019'!AJ98,($C$5*'Tariffs Jan2019'!AL98/'Tariffs Jan2019'!AJ98*'Tariffs Jan2019'!U98/100)* 'Tariffs Jan2019'!AJ98)</f>
        <v>380.4</v>
      </c>
      <c r="K104" s="59">
        <f>IF($C$5*'Tariffs Jan2019'!AL98/'Tariffs Jan2019'!AJ98&lt;'Tariffs Jan2019'!J98,0,IF($C$5*'Tariffs Jan2019'!AL98/'Tariffs Jan2019'!AJ98&lt;='Tariffs Jan2019'!K98,($C$5*'Tariffs Jan2019'!AL98/'Tariffs Jan2019'!AJ98-'Tariffs Jan2019'!J98)*('Tariffs Jan2019'!V98/100)*'Tariffs Jan2019'!AJ98,('Tariffs Jan2019'!K98-'Tariffs Jan2019'!J98)*('Tariffs Jan2019'!V98/100)*'Tariffs Jan2019'!AJ98))</f>
        <v>279.83468999999991</v>
      </c>
      <c r="L104" s="59">
        <f>IF($C$5*'Tariffs Jan2019'!AL98/'Tariffs Jan2019'!AJ98&lt;'Tariffs Jan2019'!K98,0,IF($C$5*'Tariffs Jan2019'!AL98/'Tariffs Jan2019'!AJ98&lt;='Tariffs Jan2019'!L98,($C$5*'Tariffs Jan2019'!AL98/'Tariffs Jan2019'!AJ98-'Tariffs Jan2019'!K98)*('Tariffs Jan2019'!W98/100)*'Tariffs Jan2019'!AJ98,('Tariffs Jan2019'!L98-'Tariffs Jan2019'!K98)*('Tariffs Jan2019'!W98/100)*'Tariffs Jan2019'!AJ98))</f>
        <v>0</v>
      </c>
      <c r="M104" s="59">
        <f>IF($C$5*'Tariffs Jan2019'!AL98/'Tariffs Jan2019'!AJ98&lt;'Tariffs Jan2019'!L98,0,IF($C$5*'Tariffs Jan2019'!AL98/'Tariffs Jan2019'!AJ98&lt;='Tariffs Jan2019'!M98,($C$5*'Tariffs Jan2019'!AL98/'Tariffs Jan2019'!AJ98-'Tariffs Jan2019'!L98)*('Tariffs Jan2019'!X98/100)*'Tariffs Jan2019'!AJ98,('Tariffs Jan2019'!M98-'Tariffs Jan2019'!L98)*('Tariffs Jan2019'!X98/100)*'Tariffs Jan2019'!AJ98))</f>
        <v>0</v>
      </c>
      <c r="N104" s="59">
        <f>IF(($C$5*'Tariffs Jan2019'!AL98/'Tariffs Jan2019'!AJ98&gt;'Tariffs Jan2019'!M98),($C$5*'Tariffs Jan2019'!AL98/'Tariffs Jan2019'!AJ98-'Tariffs Jan2019'!M98)*'Tariffs Jan2019'!Y98/100*'Tariffs Jan2019'!AJ98,0)</f>
        <v>0</v>
      </c>
      <c r="O104" s="367">
        <f t="shared" si="10"/>
        <v>1077.0461129999999</v>
      </c>
      <c r="P104" s="59">
        <f t="shared" si="11"/>
        <v>1424.7451129999999</v>
      </c>
      <c r="Q104" s="272">
        <f t="shared" si="12"/>
        <v>1567.2196243000001</v>
      </c>
      <c r="R104" s="40">
        <f>'Tariffs Jan2019'!AN98</f>
        <v>0</v>
      </c>
      <c r="S104" s="40">
        <f>'Tariffs Jan2019'!AO98</f>
        <v>0</v>
      </c>
      <c r="T104" s="40">
        <f>'Tariffs Jan2019'!AP98</f>
        <v>0</v>
      </c>
      <c r="U104" s="40">
        <f>'Tariffs Jan2019'!AQ98</f>
        <v>0</v>
      </c>
      <c r="V104" s="273">
        <f t="shared" si="14"/>
        <v>1424.7451129999999</v>
      </c>
      <c r="W104" s="273">
        <f>V104</f>
        <v>1424.7451129999999</v>
      </c>
      <c r="X104" s="272">
        <f t="shared" si="13"/>
        <v>1567.2196243000001</v>
      </c>
      <c r="Y104" s="272">
        <f t="shared" si="13"/>
        <v>1567.2196243000001</v>
      </c>
      <c r="Z104" s="274">
        <f>'Tariffs Jan2019'!AZ98</f>
        <v>0</v>
      </c>
      <c r="AA104" s="274" t="str">
        <f>'Tariffs Jan2019'!BA98</f>
        <v>n</v>
      </c>
      <c r="AB104" s="275" t="str">
        <f>'Tariffs Jan2019'!BH98</f>
        <v>Y</v>
      </c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</row>
    <row r="105" spans="1:40" x14ac:dyDescent="0.15">
      <c r="A105" s="40" t="str">
        <f>'Tariffs Jan2019'!F99</f>
        <v>Origin Energy</v>
      </c>
      <c r="B105" s="40" t="str">
        <f>'Tariffs Jan2019'!D99</f>
        <v>AusNet Services Central 2</v>
      </c>
      <c r="C105" s="40" t="str">
        <f>'Tariffs Jan2019'!G99</f>
        <v>Saver</v>
      </c>
      <c r="D105" s="59">
        <f>365*'Tariffs Jan2019'!H99/100</f>
        <v>284.7</v>
      </c>
      <c r="E105" s="59">
        <f>IF($C$5*'Tariffs Jan2019'!AK99/'Tariffs Jan2019'!AI99&gt;='Tariffs Jan2019'!J99,( 'Tariffs Jan2019'!J99*'Tariffs Jan2019'!O99/100)* 'Tariffs Jan2019'!AI99,($C$5*'Tariffs Jan2019'!AK99/'Tariffs Jan2019'!AI99*'Tariffs Jan2019'!O99/100)* 'Tariffs Jan2019'!AI99)</f>
        <v>179.2</v>
      </c>
      <c r="F105" s="59">
        <f>IF($C$5*'Tariffs Jan2019'!AK99/'Tariffs Jan2019'!AI99&lt;'Tariffs Jan2019'!J99,0,IF($C$5*'Tariffs Jan2019'!AK99/'Tariffs Jan2019'!AI99&lt;='Tariffs Jan2019'!K99,($C$5*'Tariffs Jan2019'!AK99/'Tariffs Jan2019'!AI99-'Tariffs Jan2019'!J99)*('Tariffs Jan2019'!P99/100)*'Tariffs Jan2019'!AI99,('Tariffs Jan2019'!K99-'Tariffs Jan2019'!J99)*('Tariffs Jan2019'!P99/100)*'Tariffs Jan2019'!AI99))</f>
        <v>0</v>
      </c>
      <c r="G105" s="59">
        <f>IF($C$5*'Tariffs Jan2019'!AK99/'Tariffs Jan2019'!AI99&lt;'Tariffs Jan2019'!K99,0,IF($C$5*'Tariffs Jan2019'!AK99/'Tariffs Jan2019'!AI99&lt;='Tariffs Jan2019'!L99,($C$5*'Tariffs Jan2019'!AK99/'Tariffs Jan2019'!AI99-'Tariffs Jan2019'!K99)*('Tariffs Jan2019'!Q99/100)*'Tariffs Jan2019'!AI99,('Tariffs Jan2019'!L99-'Tariffs Jan2019'!K99)*('Tariffs Jan2019'!Q99/100)*'Tariffs Jan2019'!AI99))</f>
        <v>0</v>
      </c>
      <c r="H105" s="59">
        <f>IF($C$5*'Tariffs Jan2019'!AK99/'Tariffs Jan2019'!AI99&lt;'Tariffs Jan2019'!L99,0,IF($C$5*'Tariffs Jan2019'!AK99/'Tariffs Jan2019'!AI99&lt;='Tariffs Jan2019'!M99,($C$5*'Tariffs Jan2019'!AK99/'Tariffs Jan2019'!AI99-'Tariffs Jan2019'!L99)*('Tariffs Jan2019'!R99/100)*'Tariffs Jan2019'!AI99,('Tariffs Jan2019'!M99-'Tariffs Jan2019'!L99)*('Tariffs Jan2019'!R99/100)*'Tariffs Jan2019'!AI99))</f>
        <v>0</v>
      </c>
      <c r="I105" s="59">
        <f>IF(($C$5*'Tariffs Jan2019'!AK99/'Tariffs Jan2019'!AI99&gt;'Tariffs Jan2019'!M99),($C$5*'Tariffs Jan2019'!AK99/'Tariffs Jan2019'!AI99-'Tariffs Jan2019'!M99)*'Tariffs Jan2019'!S99/100*'Tariffs Jan2019'!AI99,0)</f>
        <v>321.15379999999999</v>
      </c>
      <c r="J105" s="59">
        <f>IF($C$5*'Tariffs Jan2019'!AL99/'Tariffs Jan2019'!AJ99&gt;='Tariffs Jan2019'!J99,('Tariffs Jan2019'!J99*'Tariffs Jan2019'!U99/100)* 'Tariffs Jan2019'!AJ99,($C$5*'Tariffs Jan2019'!AL99/'Tariffs Jan2019'!AJ99*'Tariffs Jan2019'!U99/100)* 'Tariffs Jan2019'!AJ99)</f>
        <v>256</v>
      </c>
      <c r="K105" s="59">
        <f>IF($C$5*'Tariffs Jan2019'!AL99/'Tariffs Jan2019'!AJ99&lt;'Tariffs Jan2019'!J99,0,IF($C$5*'Tariffs Jan2019'!AL99/'Tariffs Jan2019'!AJ99&lt;='Tariffs Jan2019'!K99,($C$5*'Tariffs Jan2019'!AL99/'Tariffs Jan2019'!AJ99-'Tariffs Jan2019'!J99)*('Tariffs Jan2019'!V99/100)*'Tariffs Jan2019'!AJ99,('Tariffs Jan2019'!K99-'Tariffs Jan2019'!J99)*('Tariffs Jan2019'!V99/100)*'Tariffs Jan2019'!AJ99))</f>
        <v>0</v>
      </c>
      <c r="L105" s="59">
        <f>IF($C$5*'Tariffs Jan2019'!AL99/'Tariffs Jan2019'!AJ99&lt;'Tariffs Jan2019'!K99,0,IF($C$5*'Tariffs Jan2019'!AL99/'Tariffs Jan2019'!AJ99&lt;='Tariffs Jan2019'!L99,($C$5*'Tariffs Jan2019'!AL99/'Tariffs Jan2019'!AJ99-'Tariffs Jan2019'!K99)*('Tariffs Jan2019'!W99/100)*'Tariffs Jan2019'!AJ99,('Tariffs Jan2019'!L99-'Tariffs Jan2019'!K99)*('Tariffs Jan2019'!W99/100)*'Tariffs Jan2019'!AJ99))</f>
        <v>0</v>
      </c>
      <c r="M105" s="59">
        <f>IF($C$5*'Tariffs Jan2019'!AL99/'Tariffs Jan2019'!AJ99&lt;'Tariffs Jan2019'!L99,0,IF($C$5*'Tariffs Jan2019'!AL99/'Tariffs Jan2019'!AJ99&lt;='Tariffs Jan2019'!M99,($C$5*'Tariffs Jan2019'!AL99/'Tariffs Jan2019'!AJ99-'Tariffs Jan2019'!L99)*('Tariffs Jan2019'!X99/100)*'Tariffs Jan2019'!AJ99,('Tariffs Jan2019'!M99-'Tariffs Jan2019'!L99)*('Tariffs Jan2019'!X99/100)*'Tariffs Jan2019'!AJ99))</f>
        <v>0</v>
      </c>
      <c r="N105" s="59">
        <f>IF(($C$5*'Tariffs Jan2019'!AL99/'Tariffs Jan2019'!AJ99&gt;'Tariffs Jan2019'!M99),($C$5*'Tariffs Jan2019'!AL99/'Tariffs Jan2019'!AJ99-'Tariffs Jan2019'!M99)*'Tariffs Jan2019'!Y99/100*'Tariffs Jan2019'!AJ99,0)</f>
        <v>467.13279999999997</v>
      </c>
      <c r="O105" s="367">
        <f t="shared" si="10"/>
        <v>1223.4866</v>
      </c>
      <c r="P105" s="59">
        <f t="shared" si="11"/>
        <v>1508.1866</v>
      </c>
      <c r="Q105" s="272">
        <f t="shared" si="12"/>
        <v>1659.0052600000001</v>
      </c>
      <c r="R105" s="40">
        <f>'Tariffs Jan2019'!AN99</f>
        <v>0</v>
      </c>
      <c r="S105" s="40">
        <f>'Tariffs Jan2019'!AO99</f>
        <v>0</v>
      </c>
      <c r="T105" s="40">
        <f>'Tariffs Jan2019'!AP99</f>
        <v>0</v>
      </c>
      <c r="U105" s="40">
        <f>'Tariffs Jan2019'!AQ99</f>
        <v>13</v>
      </c>
      <c r="V105" s="273">
        <f t="shared" si="14"/>
        <v>1508.1866</v>
      </c>
      <c r="W105" s="273">
        <f>V105-(O105*U105/100)</f>
        <v>1349.1333420000001</v>
      </c>
      <c r="X105" s="272">
        <f t="shared" si="13"/>
        <v>1659.0052600000001</v>
      </c>
      <c r="Y105" s="272">
        <f t="shared" si="13"/>
        <v>1484.0466762000003</v>
      </c>
      <c r="Z105" s="274">
        <f>'Tariffs Jan2019'!AZ99</f>
        <v>0</v>
      </c>
      <c r="AA105" s="274" t="str">
        <f>'Tariffs Jan2019'!BA99</f>
        <v>n</v>
      </c>
      <c r="AB105" s="275" t="str">
        <f>'Tariffs Jan2019'!BH99</f>
        <v>N</v>
      </c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</row>
    <row r="106" spans="1:40" x14ac:dyDescent="0.15">
      <c r="A106" s="40" t="str">
        <f>'Tariffs Jan2019'!F100</f>
        <v>Red Energy</v>
      </c>
      <c r="B106" s="40" t="str">
        <f>'Tariffs Jan2019'!D100</f>
        <v>AusNet Services Central 2</v>
      </c>
      <c r="C106" s="40" t="str">
        <f>'Tariffs Jan2019'!G100</f>
        <v>Easy Saver</v>
      </c>
      <c r="D106" s="59">
        <f>365*'Tariffs Jan2019'!H100/100</f>
        <v>292</v>
      </c>
      <c r="E106" s="59">
        <f>IF($C$5*'Tariffs Jan2019'!AK100/'Tariffs Jan2019'!AI100&gt;='Tariffs Jan2019'!J100,( 'Tariffs Jan2019'!J100*'Tariffs Jan2019'!O100/100)* 'Tariffs Jan2019'!AI100,($C$5*'Tariffs Jan2019'!AK100/'Tariffs Jan2019'!AI100*'Tariffs Jan2019'!O100/100)* 'Tariffs Jan2019'!AI100)</f>
        <v>185.5</v>
      </c>
      <c r="F106" s="59">
        <f>IF($C$5*'Tariffs Jan2019'!AK100/'Tariffs Jan2019'!AI100&lt;'Tariffs Jan2019'!J100,0,IF($C$5*'Tariffs Jan2019'!AK100/'Tariffs Jan2019'!AI100&lt;='Tariffs Jan2019'!K100,($C$5*'Tariffs Jan2019'!AK100/'Tariffs Jan2019'!AI100-'Tariffs Jan2019'!J100)*('Tariffs Jan2019'!P100/100)*'Tariffs Jan2019'!AI100,('Tariffs Jan2019'!K100-'Tariffs Jan2019'!J100)*('Tariffs Jan2019'!P100/100)*'Tariffs Jan2019'!AI100))</f>
        <v>0</v>
      </c>
      <c r="G106" s="59">
        <f>IF($C$5*'Tariffs Jan2019'!AK100/'Tariffs Jan2019'!AI100&lt;'Tariffs Jan2019'!K100,0,IF($C$5*'Tariffs Jan2019'!AK100/'Tariffs Jan2019'!AI100&lt;='Tariffs Jan2019'!L100,($C$5*'Tariffs Jan2019'!AK100/'Tariffs Jan2019'!AI100-'Tariffs Jan2019'!K100)*('Tariffs Jan2019'!Q100/100)*'Tariffs Jan2019'!AI100,('Tariffs Jan2019'!L100-'Tariffs Jan2019'!K100)*('Tariffs Jan2019'!Q100/100)*'Tariffs Jan2019'!AI100))</f>
        <v>0</v>
      </c>
      <c r="H106" s="59">
        <f>IF($C$5*'Tariffs Jan2019'!AK100/'Tariffs Jan2019'!AI100&lt;'Tariffs Jan2019'!L100,0,IF($C$5*'Tariffs Jan2019'!AK100/'Tariffs Jan2019'!AI100&lt;='Tariffs Jan2019'!M100,($C$5*'Tariffs Jan2019'!AK100/'Tariffs Jan2019'!AI100-'Tariffs Jan2019'!L100)*('Tariffs Jan2019'!R100/100)*'Tariffs Jan2019'!AI100,('Tariffs Jan2019'!M100-'Tariffs Jan2019'!L100)*('Tariffs Jan2019'!R100/100)*'Tariffs Jan2019'!AI100))</f>
        <v>0</v>
      </c>
      <c r="I106" s="59">
        <f>IF(($C$5*'Tariffs Jan2019'!AK100/'Tariffs Jan2019'!AI100&gt;'Tariffs Jan2019'!M100),($C$5*'Tariffs Jan2019'!AK100/'Tariffs Jan2019'!AI100-'Tariffs Jan2019'!M100)*'Tariffs Jan2019'!S100/100*'Tariffs Jan2019'!AI100,0)</f>
        <v>258.96114999999998</v>
      </c>
      <c r="J106" s="59">
        <f>IF($C$5*'Tariffs Jan2019'!AL100/'Tariffs Jan2019'!AJ100&gt;='Tariffs Jan2019'!J100,('Tariffs Jan2019'!J100*'Tariffs Jan2019'!U100/100)* 'Tariffs Jan2019'!AJ100,($C$5*'Tariffs Jan2019'!AL100/'Tariffs Jan2019'!AJ100*'Tariffs Jan2019'!U100/100)* 'Tariffs Jan2019'!AJ100)</f>
        <v>259</v>
      </c>
      <c r="K106" s="59">
        <f>IF($C$5*'Tariffs Jan2019'!AL100/'Tariffs Jan2019'!AJ100&lt;'Tariffs Jan2019'!J100,0,IF($C$5*'Tariffs Jan2019'!AL100/'Tariffs Jan2019'!AJ100&lt;='Tariffs Jan2019'!K100,($C$5*'Tariffs Jan2019'!AL100/'Tariffs Jan2019'!AJ100-'Tariffs Jan2019'!J100)*('Tariffs Jan2019'!V100/100)*'Tariffs Jan2019'!AJ100,('Tariffs Jan2019'!K100-'Tariffs Jan2019'!J100)*('Tariffs Jan2019'!V100/100)*'Tariffs Jan2019'!AJ100))</f>
        <v>0</v>
      </c>
      <c r="L106" s="59">
        <f>IF($C$5*'Tariffs Jan2019'!AL100/'Tariffs Jan2019'!AJ100&lt;'Tariffs Jan2019'!K100,0,IF($C$5*'Tariffs Jan2019'!AL100/'Tariffs Jan2019'!AJ100&lt;='Tariffs Jan2019'!L100,($C$5*'Tariffs Jan2019'!AL100/'Tariffs Jan2019'!AJ100-'Tariffs Jan2019'!K100)*('Tariffs Jan2019'!W100/100)*'Tariffs Jan2019'!AJ100,('Tariffs Jan2019'!L100-'Tariffs Jan2019'!K100)*('Tariffs Jan2019'!W100/100)*'Tariffs Jan2019'!AJ100))</f>
        <v>0</v>
      </c>
      <c r="M106" s="59">
        <f>IF($C$5*'Tariffs Jan2019'!AL100/'Tariffs Jan2019'!AJ100&lt;'Tariffs Jan2019'!L100,0,IF($C$5*'Tariffs Jan2019'!AL100/'Tariffs Jan2019'!AJ100&lt;='Tariffs Jan2019'!M100,($C$5*'Tariffs Jan2019'!AL100/'Tariffs Jan2019'!AJ100-'Tariffs Jan2019'!L100)*('Tariffs Jan2019'!X100/100)*'Tariffs Jan2019'!AJ100,('Tariffs Jan2019'!M100-'Tariffs Jan2019'!L100)*('Tariffs Jan2019'!X100/100)*'Tariffs Jan2019'!AJ100))</f>
        <v>0</v>
      </c>
      <c r="N106" s="59">
        <f>IF(($C$5*'Tariffs Jan2019'!AL100/'Tariffs Jan2019'!AJ100&gt;'Tariffs Jan2019'!M100),($C$5*'Tariffs Jan2019'!AL100/'Tariffs Jan2019'!AJ100-'Tariffs Jan2019'!M100)*'Tariffs Jan2019'!Y100/100*'Tariffs Jan2019'!AJ100,0)</f>
        <v>475.92859999999996</v>
      </c>
      <c r="O106" s="367">
        <f t="shared" si="10"/>
        <v>1179.3897499999998</v>
      </c>
      <c r="P106" s="59">
        <f t="shared" si="11"/>
        <v>1471.3897499999998</v>
      </c>
      <c r="Q106" s="272">
        <f t="shared" si="12"/>
        <v>1618.5287249999999</v>
      </c>
      <c r="R106" s="40">
        <f>'Tariffs Jan2019'!AN100</f>
        <v>0</v>
      </c>
      <c r="S106" s="40">
        <f>'Tariffs Jan2019'!AO100</f>
        <v>0</v>
      </c>
      <c r="T106" s="40">
        <f>'Tariffs Jan2019'!AP100</f>
        <v>10</v>
      </c>
      <c r="U106" s="40">
        <f>'Tariffs Jan2019'!AQ100</f>
        <v>0</v>
      </c>
      <c r="V106" s="273">
        <f t="shared" si="14"/>
        <v>1471.3897499999998</v>
      </c>
      <c r="W106" s="273">
        <f>V106-(P106*T106/100)</f>
        <v>1324.2507749999997</v>
      </c>
      <c r="X106" s="272">
        <f t="shared" si="13"/>
        <v>1618.5287249999999</v>
      </c>
      <c r="Y106" s="272">
        <f t="shared" si="13"/>
        <v>1456.6758524999998</v>
      </c>
      <c r="Z106" s="274">
        <f>'Tariffs Jan2019'!AZ100</f>
        <v>0</v>
      </c>
      <c r="AA106" s="274" t="str">
        <f>'Tariffs Jan2019'!BA100</f>
        <v>n</v>
      </c>
      <c r="AB106" s="275" t="str">
        <f>'Tariffs Jan2019'!BH100</f>
        <v>N</v>
      </c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</row>
    <row r="107" spans="1:40" x14ac:dyDescent="0.15">
      <c r="A107" s="40" t="str">
        <f>'Tariffs Jan2019'!F101</f>
        <v>Simply Energy</v>
      </c>
      <c r="B107" s="40" t="str">
        <f>'Tariffs Jan2019'!D101</f>
        <v>AusNet Services Central 2</v>
      </c>
      <c r="C107" s="40" t="str">
        <f>'Tariffs Jan2019'!G101</f>
        <v>Plus</v>
      </c>
      <c r="D107" s="59">
        <f>365*'Tariffs Jan2019'!H101/100</f>
        <v>280.35650000000004</v>
      </c>
      <c r="E107" s="59">
        <f>IF($C$5*'Tariffs Jan2019'!AK101/'Tariffs Jan2019'!AI101&gt;='Tariffs Jan2019'!J101,( 'Tariffs Jan2019'!J101*'Tariffs Jan2019'!O101/100)* 'Tariffs Jan2019'!AI101,($C$5*'Tariffs Jan2019'!AK101/'Tariffs Jan2019'!AI101*'Tariffs Jan2019'!O101/100)* 'Tariffs Jan2019'!AI101)</f>
        <v>345.6</v>
      </c>
      <c r="F107" s="59">
        <f>IF($C$5*'Tariffs Jan2019'!AK101/'Tariffs Jan2019'!AI101&lt;'Tariffs Jan2019'!J101,0,IF($C$5*'Tariffs Jan2019'!AK101/'Tariffs Jan2019'!AI101&lt;='Tariffs Jan2019'!K101,($C$5*'Tariffs Jan2019'!AK101/'Tariffs Jan2019'!AI101-'Tariffs Jan2019'!J101)*('Tariffs Jan2019'!P101/100)*'Tariffs Jan2019'!AI101,('Tariffs Jan2019'!K101-'Tariffs Jan2019'!J101)*('Tariffs Jan2019'!P101/100)*'Tariffs Jan2019'!AI101))</f>
        <v>253.74077999999994</v>
      </c>
      <c r="G107" s="59">
        <f>IF($C$5*'Tariffs Jan2019'!AK101/'Tariffs Jan2019'!AI101&lt;'Tariffs Jan2019'!K101,0,IF($C$5*'Tariffs Jan2019'!AK101/'Tariffs Jan2019'!AI101&lt;='Tariffs Jan2019'!L101,($C$5*'Tariffs Jan2019'!AK101/'Tariffs Jan2019'!AI101-'Tariffs Jan2019'!K101)*('Tariffs Jan2019'!Q101/100)*'Tariffs Jan2019'!AI101,('Tariffs Jan2019'!L101-'Tariffs Jan2019'!K101)*('Tariffs Jan2019'!Q101/100)*'Tariffs Jan2019'!AI101))</f>
        <v>0</v>
      </c>
      <c r="H107" s="59">
        <f>IF($C$5*'Tariffs Jan2019'!AK101/'Tariffs Jan2019'!AI101&lt;'Tariffs Jan2019'!L101,0,IF($C$5*'Tariffs Jan2019'!AK101/'Tariffs Jan2019'!AI101&lt;='Tariffs Jan2019'!M101,($C$5*'Tariffs Jan2019'!AK101/'Tariffs Jan2019'!AI101-'Tariffs Jan2019'!L101)*('Tariffs Jan2019'!R101/100)*'Tariffs Jan2019'!AI101,('Tariffs Jan2019'!M101-'Tariffs Jan2019'!L101)*('Tariffs Jan2019'!R101/100)*'Tariffs Jan2019'!AI101))</f>
        <v>0</v>
      </c>
      <c r="I107" s="59">
        <f>IF(($C$5*'Tariffs Jan2019'!AK101/'Tariffs Jan2019'!AI101&gt;'Tariffs Jan2019'!M101),($C$5*'Tariffs Jan2019'!AK101/'Tariffs Jan2019'!AI101-'Tariffs Jan2019'!M101)*'Tariffs Jan2019'!S101/100*'Tariffs Jan2019'!AI101,0)</f>
        <v>0</v>
      </c>
      <c r="J107" s="59">
        <f>IF($C$5*'Tariffs Jan2019'!AL101/'Tariffs Jan2019'!AJ101&gt;='Tariffs Jan2019'!J101,('Tariffs Jan2019'!J101*'Tariffs Jan2019'!U101/100)* 'Tariffs Jan2019'!AJ101,($C$5*'Tariffs Jan2019'!AL101/'Tariffs Jan2019'!AJ101*'Tariffs Jan2019'!U101/100)* 'Tariffs Jan2019'!AJ101)</f>
        <v>528.00000000000011</v>
      </c>
      <c r="K107" s="59">
        <f>IF($C$5*'Tariffs Jan2019'!AL101/'Tariffs Jan2019'!AJ101&lt;'Tariffs Jan2019'!J101,0,IF($C$5*'Tariffs Jan2019'!AL101/'Tariffs Jan2019'!AJ101&lt;='Tariffs Jan2019'!K101,($C$5*'Tariffs Jan2019'!AL101/'Tariffs Jan2019'!AJ101-'Tariffs Jan2019'!J101)*('Tariffs Jan2019'!V101/100)*'Tariffs Jan2019'!AJ101,('Tariffs Jan2019'!K101-'Tariffs Jan2019'!J101)*('Tariffs Jan2019'!V101/100)*'Tariffs Jan2019'!AJ101))</f>
        <v>381.5109599999999</v>
      </c>
      <c r="L107" s="59">
        <f>IF($C$5*'Tariffs Jan2019'!AL101/'Tariffs Jan2019'!AJ101&lt;'Tariffs Jan2019'!K101,0,IF($C$5*'Tariffs Jan2019'!AL101/'Tariffs Jan2019'!AJ101&lt;='Tariffs Jan2019'!L101,($C$5*'Tariffs Jan2019'!AL101/'Tariffs Jan2019'!AJ101-'Tariffs Jan2019'!K101)*('Tariffs Jan2019'!W101/100)*'Tariffs Jan2019'!AJ101,('Tariffs Jan2019'!L101-'Tariffs Jan2019'!K101)*('Tariffs Jan2019'!W101/100)*'Tariffs Jan2019'!AJ101))</f>
        <v>0</v>
      </c>
      <c r="M107" s="59">
        <f>IF($C$5*'Tariffs Jan2019'!AL101/'Tariffs Jan2019'!AJ101&lt;'Tariffs Jan2019'!L101,0,IF($C$5*'Tariffs Jan2019'!AL101/'Tariffs Jan2019'!AJ101&lt;='Tariffs Jan2019'!M101,($C$5*'Tariffs Jan2019'!AL101/'Tariffs Jan2019'!AJ101-'Tariffs Jan2019'!L101)*('Tariffs Jan2019'!X101/100)*'Tariffs Jan2019'!AJ101,('Tariffs Jan2019'!M101-'Tariffs Jan2019'!L101)*('Tariffs Jan2019'!X101/100)*'Tariffs Jan2019'!AJ101))</f>
        <v>0</v>
      </c>
      <c r="N107" s="59">
        <f>IF(($C$5*'Tariffs Jan2019'!AL101/'Tariffs Jan2019'!AJ101&gt;'Tariffs Jan2019'!M101),($C$5*'Tariffs Jan2019'!AL101/'Tariffs Jan2019'!AJ101-'Tariffs Jan2019'!M101)*'Tariffs Jan2019'!Y101/100*'Tariffs Jan2019'!AJ101,0)</f>
        <v>0</v>
      </c>
      <c r="O107" s="367">
        <f t="shared" si="10"/>
        <v>1508.8517399999998</v>
      </c>
      <c r="P107" s="59">
        <f t="shared" si="11"/>
        <v>1789.2082399999999</v>
      </c>
      <c r="Q107" s="272">
        <f t="shared" si="12"/>
        <v>1968.129064</v>
      </c>
      <c r="R107" s="40">
        <f>'Tariffs Jan2019'!AN101</f>
        <v>0</v>
      </c>
      <c r="S107" s="40">
        <f>'Tariffs Jan2019'!AO101</f>
        <v>0</v>
      </c>
      <c r="T107" s="40">
        <f>'Tariffs Jan2019'!AP101</f>
        <v>0</v>
      </c>
      <c r="U107" s="40">
        <f>'Tariffs Jan2019'!AQ101</f>
        <v>26</v>
      </c>
      <c r="V107" s="273">
        <f t="shared" si="14"/>
        <v>1789.2082399999999</v>
      </c>
      <c r="W107" s="273">
        <f>V107-(O107*U107/100)</f>
        <v>1396.9067875999999</v>
      </c>
      <c r="X107" s="272">
        <f t="shared" si="13"/>
        <v>1968.129064</v>
      </c>
      <c r="Y107" s="272">
        <f t="shared" si="13"/>
        <v>1536.59746636</v>
      </c>
      <c r="Z107" s="274">
        <f>'Tariffs Jan2019'!AZ101</f>
        <v>0</v>
      </c>
      <c r="AA107" s="274" t="str">
        <f>'Tariffs Jan2019'!BA101</f>
        <v>n</v>
      </c>
      <c r="AB107" s="275" t="str">
        <f>'Tariffs Jan2019'!BH101</f>
        <v>Y</v>
      </c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</row>
    <row r="108" spans="1:40" x14ac:dyDescent="0.15">
      <c r="A108" s="40" t="str">
        <f>'Tariffs Jan2019'!F102</f>
        <v>Sumo Power</v>
      </c>
      <c r="B108" s="40" t="str">
        <f>'Tariffs Jan2019'!D102</f>
        <v>AusNet Services Central 2</v>
      </c>
      <c r="C108" s="40" t="str">
        <f>'Tariffs Jan2019'!G102</f>
        <v>Pay on time (max discount)</v>
      </c>
      <c r="D108" s="59">
        <f>365*'Tariffs Jan2019'!H102/100</f>
        <v>292.35040000000004</v>
      </c>
      <c r="E108" s="59">
        <f>IF($C$5*'Tariffs Jan2019'!AK102/'Tariffs Jan2019'!AI102&gt;='Tariffs Jan2019'!J102,( 'Tariffs Jan2019'!J102*'Tariffs Jan2019'!O102/100)* 'Tariffs Jan2019'!AI102,($C$5*'Tariffs Jan2019'!AK102/'Tariffs Jan2019'!AI102*'Tariffs Jan2019'!O102/100)* 'Tariffs Jan2019'!AI102)</f>
        <v>333.12</v>
      </c>
      <c r="F108" s="59">
        <f>IF($C$5*'Tariffs Jan2019'!AK102/'Tariffs Jan2019'!AI102&lt;'Tariffs Jan2019'!J102,0,IF($C$5*'Tariffs Jan2019'!AK102/'Tariffs Jan2019'!AI102&lt;='Tariffs Jan2019'!K102,($C$5*'Tariffs Jan2019'!AK102/'Tariffs Jan2019'!AI102-'Tariffs Jan2019'!J102)*('Tariffs Jan2019'!P102/100)*'Tariffs Jan2019'!AI102,('Tariffs Jan2019'!K102-'Tariffs Jan2019'!J102)*('Tariffs Jan2019'!P102/100)*'Tariffs Jan2019'!AI102))</f>
        <v>237.90447599999996</v>
      </c>
      <c r="G108" s="59">
        <f>IF($C$5*'Tariffs Jan2019'!AK102/'Tariffs Jan2019'!AI102&lt;'Tariffs Jan2019'!K102,0,IF($C$5*'Tariffs Jan2019'!AK102/'Tariffs Jan2019'!AI102&lt;='Tariffs Jan2019'!L102,($C$5*'Tariffs Jan2019'!AK102/'Tariffs Jan2019'!AI102-'Tariffs Jan2019'!K102)*('Tariffs Jan2019'!Q102/100)*'Tariffs Jan2019'!AI102,('Tariffs Jan2019'!L102-'Tariffs Jan2019'!K102)*('Tariffs Jan2019'!Q102/100)*'Tariffs Jan2019'!AI102))</f>
        <v>0</v>
      </c>
      <c r="H108" s="59">
        <f>IF($C$5*'Tariffs Jan2019'!AK102/'Tariffs Jan2019'!AI102&lt;'Tariffs Jan2019'!L102,0,IF($C$5*'Tariffs Jan2019'!AK102/'Tariffs Jan2019'!AI102&lt;='Tariffs Jan2019'!M102,($C$5*'Tariffs Jan2019'!AK102/'Tariffs Jan2019'!AI102-'Tariffs Jan2019'!L102)*('Tariffs Jan2019'!R102/100)*'Tariffs Jan2019'!AI102,('Tariffs Jan2019'!M102-'Tariffs Jan2019'!L102)*('Tariffs Jan2019'!R102/100)*'Tariffs Jan2019'!AI102))</f>
        <v>0</v>
      </c>
      <c r="I108" s="59">
        <f>IF(($C$5*'Tariffs Jan2019'!AK102/'Tariffs Jan2019'!AI102&gt;'Tariffs Jan2019'!M102),($C$5*'Tariffs Jan2019'!AK102/'Tariffs Jan2019'!AI102-'Tariffs Jan2019'!M102)*'Tariffs Jan2019'!S102/100*'Tariffs Jan2019'!AI102,0)</f>
        <v>0</v>
      </c>
      <c r="J108" s="59">
        <f>IF($C$5*'Tariffs Jan2019'!AL102/'Tariffs Jan2019'!AJ102&gt;='Tariffs Jan2019'!J102,('Tariffs Jan2019'!J102*'Tariffs Jan2019'!U102/100)* 'Tariffs Jan2019'!AJ102,($C$5*'Tariffs Jan2019'!AL102/'Tariffs Jan2019'!AJ102*'Tariffs Jan2019'!U102/100)* 'Tariffs Jan2019'!AJ102)</f>
        <v>526.55999999999995</v>
      </c>
      <c r="K108" s="59">
        <f>IF($C$5*'Tariffs Jan2019'!AL102/'Tariffs Jan2019'!AJ102&lt;'Tariffs Jan2019'!J102,0,IF($C$5*'Tariffs Jan2019'!AL102/'Tariffs Jan2019'!AJ102&lt;='Tariffs Jan2019'!K102,($C$5*'Tariffs Jan2019'!AL102/'Tariffs Jan2019'!AJ102-'Tariffs Jan2019'!J102)*('Tariffs Jan2019'!V102/100)*'Tariffs Jan2019'!AJ102,('Tariffs Jan2019'!K102-'Tariffs Jan2019'!J102)*('Tariffs Jan2019'!V102/100)*'Tariffs Jan2019'!AJ102))</f>
        <v>343.89973799999996</v>
      </c>
      <c r="L108" s="59">
        <f>IF($C$5*'Tariffs Jan2019'!AL102/'Tariffs Jan2019'!AJ102&lt;'Tariffs Jan2019'!K102,0,IF($C$5*'Tariffs Jan2019'!AL102/'Tariffs Jan2019'!AJ102&lt;='Tariffs Jan2019'!L102,($C$5*'Tariffs Jan2019'!AL102/'Tariffs Jan2019'!AJ102-'Tariffs Jan2019'!K102)*('Tariffs Jan2019'!W102/100)*'Tariffs Jan2019'!AJ102,('Tariffs Jan2019'!L102-'Tariffs Jan2019'!K102)*('Tariffs Jan2019'!W102/100)*'Tariffs Jan2019'!AJ102))</f>
        <v>0</v>
      </c>
      <c r="M108" s="59">
        <f>IF($C$5*'Tariffs Jan2019'!AL102/'Tariffs Jan2019'!AJ102&lt;'Tariffs Jan2019'!L102,0,IF($C$5*'Tariffs Jan2019'!AL102/'Tariffs Jan2019'!AJ102&lt;='Tariffs Jan2019'!M102,($C$5*'Tariffs Jan2019'!AL102/'Tariffs Jan2019'!AJ102-'Tariffs Jan2019'!L102)*('Tariffs Jan2019'!X102/100)*'Tariffs Jan2019'!AJ102,('Tariffs Jan2019'!M102-'Tariffs Jan2019'!L102)*('Tariffs Jan2019'!X102/100)*'Tariffs Jan2019'!AJ102))</f>
        <v>0</v>
      </c>
      <c r="N108" s="59">
        <f>IF(($C$5*'Tariffs Jan2019'!AL102/'Tariffs Jan2019'!AJ102&gt;'Tariffs Jan2019'!M102),($C$5*'Tariffs Jan2019'!AL102/'Tariffs Jan2019'!AJ102-'Tariffs Jan2019'!M102)*'Tariffs Jan2019'!Y102/100*'Tariffs Jan2019'!AJ102,0)</f>
        <v>0</v>
      </c>
      <c r="O108" s="367">
        <f t="shared" si="10"/>
        <v>1441.4842140000001</v>
      </c>
      <c r="P108" s="59">
        <f t="shared" si="11"/>
        <v>1733.8346140000001</v>
      </c>
      <c r="Q108" s="272">
        <f t="shared" si="12"/>
        <v>1907.2180754000003</v>
      </c>
      <c r="R108" s="40">
        <f>'Tariffs Jan2019'!AN102</f>
        <v>0</v>
      </c>
      <c r="S108" s="40">
        <f>'Tariffs Jan2019'!AO102</f>
        <v>0</v>
      </c>
      <c r="T108" s="40">
        <f>'Tariffs Jan2019'!AP102</f>
        <v>0</v>
      </c>
      <c r="U108" s="40">
        <f>'Tariffs Jan2019'!AQ102</f>
        <v>25</v>
      </c>
      <c r="V108" s="273">
        <f t="shared" si="14"/>
        <v>1733.8346140000001</v>
      </c>
      <c r="W108" s="273">
        <f>V108-(O108*U108/100)</f>
        <v>1373.4635605000001</v>
      </c>
      <c r="X108" s="272">
        <f t="shared" si="13"/>
        <v>1907.2180754000003</v>
      </c>
      <c r="Y108" s="272">
        <f t="shared" si="13"/>
        <v>1510.8099165500003</v>
      </c>
      <c r="Z108" s="274">
        <f>'Tariffs Jan2019'!AZ102</f>
        <v>0</v>
      </c>
      <c r="AA108" s="274" t="str">
        <f>'Tariffs Jan2019'!BA102</f>
        <v>n</v>
      </c>
      <c r="AB108" s="275" t="str">
        <f>'Tariffs Jan2019'!BH102</f>
        <v>Y</v>
      </c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</row>
    <row r="109" spans="1:40" x14ac:dyDescent="0.15">
      <c r="A109" s="40" t="str">
        <f>'Tariffs Jan2019'!F103</f>
        <v>Amaysim</v>
      </c>
      <c r="B109" s="40" t="str">
        <f>'Tariffs Jan2019'!D103</f>
        <v>AusNet Services Central 2</v>
      </c>
      <c r="C109" s="40" t="str">
        <f>'Tariffs Jan2019'!G103</f>
        <v>Gas as you go</v>
      </c>
      <c r="D109" s="59">
        <f>365*'Tariffs Jan2019'!H103/100</f>
        <v>240.2576</v>
      </c>
      <c r="E109" s="59">
        <f>IF($C$5*'Tariffs Jan2019'!AK103/'Tariffs Jan2019'!AI103&gt;='Tariffs Jan2019'!J103,( 'Tariffs Jan2019'!J103*'Tariffs Jan2019'!O103/100)* 'Tariffs Jan2019'!AI103,($C$5*'Tariffs Jan2019'!AK103/'Tariffs Jan2019'!AI103*'Tariffs Jan2019'!O103/100)* 'Tariffs Jan2019'!AI103)</f>
        <v>289.68</v>
      </c>
      <c r="F109" s="59">
        <f>IF($C$5*'Tariffs Jan2019'!AK103/'Tariffs Jan2019'!AI103&lt;'Tariffs Jan2019'!J103,0,IF($C$5*'Tariffs Jan2019'!AK103/'Tariffs Jan2019'!AI103&lt;='Tariffs Jan2019'!K103,($C$5*'Tariffs Jan2019'!AK103/'Tariffs Jan2019'!AI103-'Tariffs Jan2019'!J103)*('Tariffs Jan2019'!P103/100)*'Tariffs Jan2019'!AI103,('Tariffs Jan2019'!K103-'Tariffs Jan2019'!J103)*('Tariffs Jan2019'!P103/100)*'Tariffs Jan2019'!AI103))</f>
        <v>186.61644599999994</v>
      </c>
      <c r="G109" s="59">
        <f>IF($C$5*'Tariffs Jan2019'!AK103/'Tariffs Jan2019'!AI103&lt;'Tariffs Jan2019'!K103,0,IF($C$5*'Tariffs Jan2019'!AK103/'Tariffs Jan2019'!AI103&lt;='Tariffs Jan2019'!L103,($C$5*'Tariffs Jan2019'!AK103/'Tariffs Jan2019'!AI103-'Tariffs Jan2019'!K103)*('Tariffs Jan2019'!Q103/100)*'Tariffs Jan2019'!AI103,('Tariffs Jan2019'!L103-'Tariffs Jan2019'!K103)*('Tariffs Jan2019'!Q103/100)*'Tariffs Jan2019'!AI103))</f>
        <v>0</v>
      </c>
      <c r="H109" s="59">
        <f>IF($C$5*'Tariffs Jan2019'!AK103/'Tariffs Jan2019'!AI103&lt;'Tariffs Jan2019'!L103,0,IF($C$5*'Tariffs Jan2019'!AK103/'Tariffs Jan2019'!AI103&lt;='Tariffs Jan2019'!M103,($C$5*'Tariffs Jan2019'!AK103/'Tariffs Jan2019'!AI103-'Tariffs Jan2019'!L103)*('Tariffs Jan2019'!R103/100)*'Tariffs Jan2019'!AI103,('Tariffs Jan2019'!M103-'Tariffs Jan2019'!L103)*('Tariffs Jan2019'!R103/100)*'Tariffs Jan2019'!AI103))</f>
        <v>0</v>
      </c>
      <c r="I109" s="59">
        <f>IF(($C$5*'Tariffs Jan2019'!AK103/'Tariffs Jan2019'!AI103&gt;'Tariffs Jan2019'!M103),($C$5*'Tariffs Jan2019'!AK103/'Tariffs Jan2019'!AI103-'Tariffs Jan2019'!M103)*'Tariffs Jan2019'!S103/100*'Tariffs Jan2019'!AI103,0)</f>
        <v>0</v>
      </c>
      <c r="J109" s="59">
        <f>IF($C$5*'Tariffs Jan2019'!AL103/'Tariffs Jan2019'!AJ103&gt;='Tariffs Jan2019'!J103,('Tariffs Jan2019'!J103*'Tariffs Jan2019'!U103/100)* 'Tariffs Jan2019'!AJ103,($C$5*'Tariffs Jan2019'!AL103/'Tariffs Jan2019'!AJ103*'Tariffs Jan2019'!U103/100)* 'Tariffs Jan2019'!AJ103)</f>
        <v>408</v>
      </c>
      <c r="K109" s="59">
        <f>IF($C$5*'Tariffs Jan2019'!AL103/'Tariffs Jan2019'!AJ103&lt;'Tariffs Jan2019'!J103,0,IF($C$5*'Tariffs Jan2019'!AL103/'Tariffs Jan2019'!AJ103&lt;='Tariffs Jan2019'!K103,($C$5*'Tariffs Jan2019'!AL103/'Tariffs Jan2019'!AJ103-'Tariffs Jan2019'!J103)*('Tariffs Jan2019'!V103/100)*'Tariffs Jan2019'!AJ103,('Tariffs Jan2019'!K103-'Tariffs Jan2019'!J103)*('Tariffs Jan2019'!V103/100)*'Tariffs Jan2019'!AJ103))</f>
        <v>299.81002799999987</v>
      </c>
      <c r="L109" s="59">
        <f>IF($C$5*'Tariffs Jan2019'!AL103/'Tariffs Jan2019'!AJ103&lt;'Tariffs Jan2019'!K103,0,IF($C$5*'Tariffs Jan2019'!AL103/'Tariffs Jan2019'!AJ103&lt;='Tariffs Jan2019'!L103,($C$5*'Tariffs Jan2019'!AL103/'Tariffs Jan2019'!AJ103-'Tariffs Jan2019'!K103)*('Tariffs Jan2019'!W103/100)*'Tariffs Jan2019'!AJ103,('Tariffs Jan2019'!L103-'Tariffs Jan2019'!K103)*('Tariffs Jan2019'!W103/100)*'Tariffs Jan2019'!AJ103))</f>
        <v>0</v>
      </c>
      <c r="M109" s="59">
        <f>IF($C$5*'Tariffs Jan2019'!AL103/'Tariffs Jan2019'!AJ103&lt;'Tariffs Jan2019'!L103,0,IF($C$5*'Tariffs Jan2019'!AL103/'Tariffs Jan2019'!AJ103&lt;='Tariffs Jan2019'!M103,($C$5*'Tariffs Jan2019'!AL103/'Tariffs Jan2019'!AJ103-'Tariffs Jan2019'!L103)*('Tariffs Jan2019'!X103/100)*'Tariffs Jan2019'!AJ103,('Tariffs Jan2019'!M103-'Tariffs Jan2019'!L103)*('Tariffs Jan2019'!X103/100)*'Tariffs Jan2019'!AJ103))</f>
        <v>0</v>
      </c>
      <c r="N109" s="59">
        <f>IF(($C$5*'Tariffs Jan2019'!AL103/'Tariffs Jan2019'!AJ103&gt;'Tariffs Jan2019'!M103),($C$5*'Tariffs Jan2019'!AL103/'Tariffs Jan2019'!AJ103-'Tariffs Jan2019'!M103)*'Tariffs Jan2019'!Y103/100*'Tariffs Jan2019'!AJ103,0)</f>
        <v>0</v>
      </c>
      <c r="O109" s="367">
        <f t="shared" si="10"/>
        <v>1184.1064739999997</v>
      </c>
      <c r="P109" s="59">
        <f t="shared" si="11"/>
        <v>1424.3640739999996</v>
      </c>
      <c r="Q109" s="272">
        <f t="shared" si="12"/>
        <v>1566.8004813999996</v>
      </c>
      <c r="R109" s="40">
        <f>'Tariffs Jan2019'!AN103</f>
        <v>0</v>
      </c>
      <c r="S109" s="40">
        <f>'Tariffs Jan2019'!AO103</f>
        <v>0</v>
      </c>
      <c r="T109" s="40">
        <f>'Tariffs Jan2019'!AP103</f>
        <v>0</v>
      </c>
      <c r="U109" s="40">
        <f>'Tariffs Jan2019'!AQ103</f>
        <v>0</v>
      </c>
      <c r="V109" s="273">
        <f t="shared" si="14"/>
        <v>1424.3640739999996</v>
      </c>
      <c r="W109" s="273">
        <f>V109-(P109*T109/100)</f>
        <v>1424.3640739999996</v>
      </c>
      <c r="X109" s="272">
        <f t="shared" si="13"/>
        <v>1566.8004813999996</v>
      </c>
      <c r="Y109" s="272">
        <f t="shared" si="13"/>
        <v>1566.8004813999996</v>
      </c>
      <c r="Z109" s="274">
        <f>'Tariffs Jan2019'!AZ103</f>
        <v>0</v>
      </c>
      <c r="AA109" s="274" t="str">
        <f>'Tariffs Jan2019'!BA103</f>
        <v>n</v>
      </c>
      <c r="AB109" s="275" t="str">
        <f>'Tariffs Jan2019'!BH103</f>
        <v>N</v>
      </c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</row>
    <row r="110" spans="1:40" x14ac:dyDescent="0.15">
      <c r="A110" s="40" t="str">
        <f>'Tariffs Jan2019'!F104</f>
        <v>GloBird Energy</v>
      </c>
      <c r="B110" s="40" t="str">
        <f>'Tariffs Jan2019'!D104</f>
        <v>AusNet Services Central 2</v>
      </c>
      <c r="C110" s="40" t="str">
        <f>'Tariffs Jan2019'!G104</f>
        <v>GloSave</v>
      </c>
      <c r="D110" s="59">
        <f>365*'Tariffs Jan2019'!H104/100</f>
        <v>408.8</v>
      </c>
      <c r="E110" s="59">
        <f>IF($C$5*'Tariffs Jan2019'!AK104/'Tariffs Jan2019'!AI104&gt;='Tariffs Jan2019'!J104,( 'Tariffs Jan2019'!J104*'Tariffs Jan2019'!O104/100)* 'Tariffs Jan2019'!AI104,($C$5*'Tariffs Jan2019'!AK104/'Tariffs Jan2019'!AI104*'Tariffs Jan2019'!O104/100)* 'Tariffs Jan2019'!AI104)</f>
        <v>587.94119999999987</v>
      </c>
      <c r="F110" s="59">
        <f>IF($C$5*'Tariffs Jan2019'!AK104/'Tariffs Jan2019'!AI104&lt;'Tariffs Jan2019'!J104,0,IF($C$5*'Tariffs Jan2019'!AK104/'Tariffs Jan2019'!AI104&lt;='Tariffs Jan2019'!K104,($C$5*'Tariffs Jan2019'!AK104/'Tariffs Jan2019'!AI104-'Tariffs Jan2019'!J104)*('Tariffs Jan2019'!P104/100)*'Tariffs Jan2019'!AI104,('Tariffs Jan2019'!K104-'Tariffs Jan2019'!J104)*('Tariffs Jan2019'!P104/100)*'Tariffs Jan2019'!AI104))</f>
        <v>0</v>
      </c>
      <c r="G110" s="59">
        <f>IF($C$5*'Tariffs Jan2019'!AK104/'Tariffs Jan2019'!AI104&lt;'Tariffs Jan2019'!K104,0,IF($C$5*'Tariffs Jan2019'!AK104/'Tariffs Jan2019'!AI104&lt;='Tariffs Jan2019'!L104,($C$5*'Tariffs Jan2019'!AK104/'Tariffs Jan2019'!AI104-'Tariffs Jan2019'!K104)*('Tariffs Jan2019'!Q104/100)*'Tariffs Jan2019'!AI104,('Tariffs Jan2019'!L104-'Tariffs Jan2019'!K104)*('Tariffs Jan2019'!Q104/100)*'Tariffs Jan2019'!AI104))</f>
        <v>0</v>
      </c>
      <c r="H110" s="59">
        <f>IF($C$5*'Tariffs Jan2019'!AK104/'Tariffs Jan2019'!AI104&lt;'Tariffs Jan2019'!L104,0,IF($C$5*'Tariffs Jan2019'!AK104/'Tariffs Jan2019'!AI104&lt;='Tariffs Jan2019'!M104,($C$5*'Tariffs Jan2019'!AK104/'Tariffs Jan2019'!AI104-'Tariffs Jan2019'!L104)*('Tariffs Jan2019'!R104/100)*'Tariffs Jan2019'!AI104,('Tariffs Jan2019'!M104-'Tariffs Jan2019'!L104)*('Tariffs Jan2019'!R104/100)*'Tariffs Jan2019'!AI104))</f>
        <v>0</v>
      </c>
      <c r="I110" s="59">
        <f>IF(($C$5*'Tariffs Jan2019'!AK104/'Tariffs Jan2019'!AI104&gt;'Tariffs Jan2019'!M104),($C$5*'Tariffs Jan2019'!AK104/'Tariffs Jan2019'!AI104-'Tariffs Jan2019'!M104)*'Tariffs Jan2019'!S104/100*'Tariffs Jan2019'!AI104,0)</f>
        <v>0</v>
      </c>
      <c r="J110" s="59">
        <f>IF($C$5*'Tariffs Jan2019'!AL104/'Tariffs Jan2019'!AJ104&gt;='Tariffs Jan2019'!J104,('Tariffs Jan2019'!J104*'Tariffs Jan2019'!U104/100)* 'Tariffs Jan2019'!AJ104,($C$5*'Tariffs Jan2019'!AL104/'Tariffs Jan2019'!AJ104*'Tariffs Jan2019'!U104/100)* 'Tariffs Jan2019'!AJ104)</f>
        <v>902.90969999999982</v>
      </c>
      <c r="K110" s="59">
        <f>IF($C$5*'Tariffs Jan2019'!AL104/'Tariffs Jan2019'!AJ104&lt;'Tariffs Jan2019'!J104,0,IF($C$5*'Tariffs Jan2019'!AL104/'Tariffs Jan2019'!AJ104&lt;='Tariffs Jan2019'!K104,($C$5*'Tariffs Jan2019'!AL104/'Tariffs Jan2019'!AJ104-'Tariffs Jan2019'!J104)*('Tariffs Jan2019'!V104/100)*'Tariffs Jan2019'!AJ104,('Tariffs Jan2019'!K104-'Tariffs Jan2019'!J104)*('Tariffs Jan2019'!V104/100)*'Tariffs Jan2019'!AJ104))</f>
        <v>0</v>
      </c>
      <c r="L110" s="59">
        <f>IF($C$5*'Tariffs Jan2019'!AL104/'Tariffs Jan2019'!AJ104&lt;'Tariffs Jan2019'!K104,0,IF($C$5*'Tariffs Jan2019'!AL104/'Tariffs Jan2019'!AJ104&lt;='Tariffs Jan2019'!L104,($C$5*'Tariffs Jan2019'!AL104/'Tariffs Jan2019'!AJ104-'Tariffs Jan2019'!K104)*('Tariffs Jan2019'!W104/100)*'Tariffs Jan2019'!AJ104,('Tariffs Jan2019'!L104-'Tariffs Jan2019'!K104)*('Tariffs Jan2019'!W104/100)*'Tariffs Jan2019'!AJ104))</f>
        <v>0</v>
      </c>
      <c r="M110" s="59">
        <f>IF($C$5*'Tariffs Jan2019'!AL104/'Tariffs Jan2019'!AJ104&lt;'Tariffs Jan2019'!L104,0,IF($C$5*'Tariffs Jan2019'!AL104/'Tariffs Jan2019'!AJ104&lt;='Tariffs Jan2019'!M104,($C$5*'Tariffs Jan2019'!AL104/'Tariffs Jan2019'!AJ104-'Tariffs Jan2019'!L104)*('Tariffs Jan2019'!X104/100)*'Tariffs Jan2019'!AJ104,('Tariffs Jan2019'!M104-'Tariffs Jan2019'!L104)*('Tariffs Jan2019'!X104/100)*'Tariffs Jan2019'!AJ104))</f>
        <v>0</v>
      </c>
      <c r="N110" s="59">
        <f>IF(($C$5*'Tariffs Jan2019'!AL104/'Tariffs Jan2019'!AJ104&gt;'Tariffs Jan2019'!M104),($C$5*'Tariffs Jan2019'!AL104/'Tariffs Jan2019'!AJ104-'Tariffs Jan2019'!M104)*'Tariffs Jan2019'!Y104/100*'Tariffs Jan2019'!AJ104,0)</f>
        <v>0</v>
      </c>
      <c r="O110" s="367">
        <f t="shared" si="10"/>
        <v>1490.8508999999997</v>
      </c>
      <c r="P110" s="59">
        <f t="shared" si="11"/>
        <v>1899.6508999999996</v>
      </c>
      <c r="Q110" s="272">
        <f t="shared" si="12"/>
        <v>2089.6159899999998</v>
      </c>
      <c r="R110" s="40">
        <f>'Tariffs Jan2019'!AN104</f>
        <v>0</v>
      </c>
      <c r="S110" s="40">
        <f>'Tariffs Jan2019'!AO104</f>
        <v>0</v>
      </c>
      <c r="T110" s="40">
        <f>'Tariffs Jan2019'!AP104</f>
        <v>32</v>
      </c>
      <c r="U110" s="40">
        <f>'Tariffs Jan2019'!AQ104</f>
        <v>0</v>
      </c>
      <c r="V110" s="273">
        <f t="shared" si="14"/>
        <v>1899.6508999999996</v>
      </c>
      <c r="W110" s="273">
        <f>V110-(P110*T110/100)</f>
        <v>1291.7626119999998</v>
      </c>
      <c r="X110" s="272">
        <f t="shared" si="13"/>
        <v>2089.6159899999998</v>
      </c>
      <c r="Y110" s="272">
        <f t="shared" si="13"/>
        <v>1420.9388731999998</v>
      </c>
      <c r="Z110" s="274">
        <f>'Tariffs Jan2019'!AZ104</f>
        <v>0</v>
      </c>
      <c r="AA110" s="274" t="str">
        <f>'Tariffs Jan2019'!BA104</f>
        <v>n</v>
      </c>
      <c r="AB110" s="275" t="str">
        <f>'Tariffs Jan2019'!BH104</f>
        <v>N</v>
      </c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</row>
    <row r="111" spans="1:40" ht="14" thickBot="1" x14ac:dyDescent="0.2">
      <c r="A111" s="277" t="str">
        <f>'Tariffs Jan2019'!F105</f>
        <v>Powershop</v>
      </c>
      <c r="B111" s="277" t="str">
        <f>'Tariffs Jan2019'!D105</f>
        <v>AusNet Services Central 2</v>
      </c>
      <c r="C111" s="277" t="str">
        <f>'Tariffs Jan2019'!G105</f>
        <v>Auto Pay with Gas Saver</v>
      </c>
      <c r="D111" s="278">
        <f>365*'Tariffs Jan2019'!H105/100</f>
        <v>345.14400000000001</v>
      </c>
      <c r="E111" s="278">
        <f>((C$5*'Tariffs Jan2019'!AK105/'Tariffs Jan2019'!AI105)*('Tariffs Jan2019'!O105/100))*'Tariffs Jan2019'!AI105</f>
        <v>369.56304</v>
      </c>
      <c r="F111" s="278">
        <v>0</v>
      </c>
      <c r="G111" s="278">
        <v>0</v>
      </c>
      <c r="H111" s="278">
        <v>0</v>
      </c>
      <c r="I111" s="278">
        <v>0</v>
      </c>
      <c r="J111" s="278">
        <f>((C$5*'Tariffs Jan2019'!AL105/'Tariffs Jan2019'!AJ105)*('Tariffs Jan2019'!U105/100))*'Tariffs Jan2019'!AJ105</f>
        <v>608.93909999999994</v>
      </c>
      <c r="K111" s="278">
        <v>0</v>
      </c>
      <c r="L111" s="278">
        <v>0</v>
      </c>
      <c r="M111" s="278">
        <v>0</v>
      </c>
      <c r="N111" s="278">
        <v>0</v>
      </c>
      <c r="O111" s="368">
        <f t="shared" si="10"/>
        <v>978.50213999999994</v>
      </c>
      <c r="P111" s="278">
        <f t="shared" si="11"/>
        <v>1323.6461399999998</v>
      </c>
      <c r="Q111" s="280">
        <f t="shared" si="12"/>
        <v>1456.0107539999999</v>
      </c>
      <c r="R111" s="277">
        <f>'Tariffs Jan2019'!AN105</f>
        <v>0</v>
      </c>
      <c r="S111" s="277">
        <f>'Tariffs Jan2019'!AO105</f>
        <v>0</v>
      </c>
      <c r="T111" s="277">
        <f>'Tariffs Jan2019'!AP105</f>
        <v>5</v>
      </c>
      <c r="U111" s="277">
        <f>'Tariffs Jan2019'!AQ105</f>
        <v>0</v>
      </c>
      <c r="V111" s="281">
        <f t="shared" si="14"/>
        <v>1323.6461399999998</v>
      </c>
      <c r="W111" s="281">
        <f>V111-(P111*T111/100)</f>
        <v>1257.4638329999998</v>
      </c>
      <c r="X111" s="280">
        <f t="shared" si="13"/>
        <v>1456.0107539999999</v>
      </c>
      <c r="Y111" s="280">
        <f t="shared" si="13"/>
        <v>1383.2102163</v>
      </c>
      <c r="Z111" s="282">
        <f>'Tariffs Jan2019'!AZ105</f>
        <v>0</v>
      </c>
      <c r="AA111" s="282" t="str">
        <f>'Tariffs Jan2019'!BA105</f>
        <v>n</v>
      </c>
      <c r="AB111" s="283" t="str">
        <f>'Tariffs Jan2019'!BH105</f>
        <v>Y</v>
      </c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</row>
    <row r="112" spans="1:40" ht="14" thickTop="1" x14ac:dyDescent="0.15">
      <c r="A112" s="40" t="str">
        <f>'Tariffs Jan2019'!F106</f>
        <v>AGL</v>
      </c>
      <c r="B112" s="40" t="str">
        <f>'Tariffs Jan2019'!D106</f>
        <v>AusNet Services Central 1</v>
      </c>
      <c r="C112" s="40" t="str">
        <f>'Tariffs Jan2019'!G106</f>
        <v>Savers</v>
      </c>
      <c r="D112" s="59">
        <f>365*'Tariffs Jan2019'!H106/100</f>
        <v>312.07499999999999</v>
      </c>
      <c r="E112" s="59">
        <f>IF($C$5*'Tariffs Jan2019'!AK106/'Tariffs Jan2019'!AI106&gt;='Tariffs Jan2019'!J106,( 'Tariffs Jan2019'!J106*'Tariffs Jan2019'!O106/100)* 'Tariffs Jan2019'!AI106,($C$5*'Tariffs Jan2019'!AK106/'Tariffs Jan2019'!AI106*'Tariffs Jan2019'!O106/100)* 'Tariffs Jan2019'!AI106)</f>
        <v>296.40000000000003</v>
      </c>
      <c r="F112" s="59">
        <f>IF($C$5*'Tariffs Jan2019'!AK106/'Tariffs Jan2019'!AI106&lt;'Tariffs Jan2019'!J106,0,IF($C$5*'Tariffs Jan2019'!AK106/'Tariffs Jan2019'!AI106&lt;='Tariffs Jan2019'!K106,($C$5*'Tariffs Jan2019'!AK106/'Tariffs Jan2019'!AI106-'Tariffs Jan2019'!J106)*('Tariffs Jan2019'!P106/100)*'Tariffs Jan2019'!AI106,('Tariffs Jan2019'!K106-'Tariffs Jan2019'!J106)*('Tariffs Jan2019'!P106/100)*'Tariffs Jan2019'!AI106))</f>
        <v>215.94959999999995</v>
      </c>
      <c r="G112" s="59">
        <f>IF($C$5*'Tariffs Jan2019'!AK106/'Tariffs Jan2019'!AI106&lt;'Tariffs Jan2019'!K106,0,IF($C$5*'Tariffs Jan2019'!AK106/'Tariffs Jan2019'!AI106&lt;='Tariffs Jan2019'!L106,($C$5*'Tariffs Jan2019'!AK106/'Tariffs Jan2019'!AI106-'Tariffs Jan2019'!K106)*('Tariffs Jan2019'!Q106/100)*'Tariffs Jan2019'!AI106,('Tariffs Jan2019'!L106-'Tariffs Jan2019'!K106)*('Tariffs Jan2019'!Q106/100)*'Tariffs Jan2019'!AI106))</f>
        <v>0</v>
      </c>
      <c r="H112" s="59">
        <f>IF($C$5*'Tariffs Jan2019'!AK106/'Tariffs Jan2019'!AI106&lt;'Tariffs Jan2019'!L106,0,IF($C$5*'Tariffs Jan2019'!AK106/'Tariffs Jan2019'!AI106&lt;='Tariffs Jan2019'!M106,($C$5*'Tariffs Jan2019'!AK106/'Tariffs Jan2019'!AI106-'Tariffs Jan2019'!L106)*('Tariffs Jan2019'!R106/100)*'Tariffs Jan2019'!AI106,('Tariffs Jan2019'!M106-'Tariffs Jan2019'!L106)*('Tariffs Jan2019'!R106/100)*'Tariffs Jan2019'!AI106))</f>
        <v>0</v>
      </c>
      <c r="I112" s="59">
        <f>IF(($C$5*'Tariffs Jan2019'!AK106/'Tariffs Jan2019'!AI106&gt;'Tariffs Jan2019'!M106),($C$5*'Tariffs Jan2019'!AK106/'Tariffs Jan2019'!AI106-'Tariffs Jan2019'!M106)*'Tariffs Jan2019'!S106/100*'Tariffs Jan2019'!AI106,0)</f>
        <v>0</v>
      </c>
      <c r="J112" s="59">
        <f>IF($C$5*'Tariffs Jan2019'!AL106/'Tariffs Jan2019'!AJ106&gt;='Tariffs Jan2019'!J106,('Tariffs Jan2019'!J106*'Tariffs Jan2019'!U106/100)* 'Tariffs Jan2019'!AJ106,($C$5*'Tariffs Jan2019'!AL106/'Tariffs Jan2019'!AJ106*'Tariffs Jan2019'!U106/100)* 'Tariffs Jan2019'!AJ106)</f>
        <v>542.4</v>
      </c>
      <c r="K112" s="59">
        <f>IF($C$5*'Tariffs Jan2019'!AL106/'Tariffs Jan2019'!AJ106&lt;'Tariffs Jan2019'!J106,0,IF($C$5*'Tariffs Jan2019'!AL106/'Tariffs Jan2019'!AJ106&lt;='Tariffs Jan2019'!K106,($C$5*'Tariffs Jan2019'!AL106/'Tariffs Jan2019'!AJ106-'Tariffs Jan2019'!J106)*('Tariffs Jan2019'!V106/100)*'Tariffs Jan2019'!AJ106,('Tariffs Jan2019'!K106-'Tariffs Jan2019'!J106)*('Tariffs Jan2019'!V106/100)*'Tariffs Jan2019'!AJ106))</f>
        <v>318.5256599999999</v>
      </c>
      <c r="L112" s="59">
        <f>IF($C$5*'Tariffs Jan2019'!AL106/'Tariffs Jan2019'!AJ106&lt;'Tariffs Jan2019'!K106,0,IF($C$5*'Tariffs Jan2019'!AL106/'Tariffs Jan2019'!AJ106&lt;='Tariffs Jan2019'!L106,($C$5*'Tariffs Jan2019'!AL106/'Tariffs Jan2019'!AJ106-'Tariffs Jan2019'!K106)*('Tariffs Jan2019'!W106/100)*'Tariffs Jan2019'!AJ106,('Tariffs Jan2019'!L106-'Tariffs Jan2019'!K106)*('Tariffs Jan2019'!W106/100)*'Tariffs Jan2019'!AJ106))</f>
        <v>0</v>
      </c>
      <c r="M112" s="59">
        <f>IF($C$5*'Tariffs Jan2019'!AL106/'Tariffs Jan2019'!AJ106&lt;'Tariffs Jan2019'!L106,0,IF($C$5*'Tariffs Jan2019'!AL106/'Tariffs Jan2019'!AJ106&lt;='Tariffs Jan2019'!M106,($C$5*'Tariffs Jan2019'!AL106/'Tariffs Jan2019'!AJ106-'Tariffs Jan2019'!L106)*('Tariffs Jan2019'!X106/100)*'Tariffs Jan2019'!AJ106,('Tariffs Jan2019'!M106-'Tariffs Jan2019'!L106)*('Tariffs Jan2019'!X106/100)*'Tariffs Jan2019'!AJ106))</f>
        <v>0</v>
      </c>
      <c r="N112" s="59">
        <f>IF(($C$5*'Tariffs Jan2019'!AL106/'Tariffs Jan2019'!AJ106&gt;'Tariffs Jan2019'!M106),($C$5*'Tariffs Jan2019'!AL106/'Tariffs Jan2019'!AJ106-'Tariffs Jan2019'!M106)*'Tariffs Jan2019'!Y106/100*'Tariffs Jan2019'!AJ106,0)</f>
        <v>0</v>
      </c>
      <c r="O112" s="271">
        <f t="shared" si="10"/>
        <v>1373.2752599999999</v>
      </c>
      <c r="P112" s="59">
        <f t="shared" si="11"/>
        <v>1685.3502599999999</v>
      </c>
      <c r="Q112" s="272">
        <f t="shared" si="12"/>
        <v>1853.8852860000002</v>
      </c>
      <c r="R112" s="40">
        <f>'Tariffs Jan2019'!AN106</f>
        <v>0</v>
      </c>
      <c r="S112" s="40">
        <f>'Tariffs Jan2019'!AO106</f>
        <v>0</v>
      </c>
      <c r="T112" s="40">
        <f>'Tariffs Jan2019'!AP106</f>
        <v>0</v>
      </c>
      <c r="U112" s="40">
        <f>'Tariffs Jan2019'!AQ106</f>
        <v>24</v>
      </c>
      <c r="V112" s="273">
        <f>P112</f>
        <v>1685.3502599999999</v>
      </c>
      <c r="W112" s="273">
        <f>V112-(O112*U112/100)</f>
        <v>1355.7641976</v>
      </c>
      <c r="X112" s="272">
        <f t="shared" si="13"/>
        <v>1853.8852860000002</v>
      </c>
      <c r="Y112" s="272">
        <f t="shared" si="13"/>
        <v>1491.3406173600001</v>
      </c>
      <c r="Z112" s="274">
        <f>'Tariffs Jan2019'!AZ106</f>
        <v>0</v>
      </c>
      <c r="AA112" s="274" t="str">
        <f>'Tariffs Jan2019'!BA106</f>
        <v>n</v>
      </c>
      <c r="AB112" s="275" t="str">
        <f>'Tariffs Jan2019'!BH106</f>
        <v>N</v>
      </c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</row>
    <row r="113" spans="1:40" x14ac:dyDescent="0.15">
      <c r="A113" s="40" t="str">
        <f>'Tariffs Jan2019'!F107</f>
        <v>Alinta Energy</v>
      </c>
      <c r="B113" s="40" t="str">
        <f>'Tariffs Jan2019'!D107</f>
        <v>AusNet Services Central 1</v>
      </c>
      <c r="C113" s="40" t="str">
        <f>'Tariffs Jan2019'!G107</f>
        <v>Fair Saver</v>
      </c>
      <c r="D113" s="59">
        <f>365*'Tariffs Jan2019'!H107/100</f>
        <v>321.2</v>
      </c>
      <c r="E113" s="59">
        <f>IF($C$5*'Tariffs Jan2019'!AK107/'Tariffs Jan2019'!AI107&gt;='Tariffs Jan2019'!J107,( 'Tariffs Jan2019'!J107*'Tariffs Jan2019'!O107/100)* 'Tariffs Jan2019'!AI107,($C$5*'Tariffs Jan2019'!AK107/'Tariffs Jan2019'!AI107*'Tariffs Jan2019'!O107/100)* 'Tariffs Jan2019'!AI107)</f>
        <v>312</v>
      </c>
      <c r="F113" s="59">
        <f>IF($C$5*'Tariffs Jan2019'!AK107/'Tariffs Jan2019'!AI107&lt;'Tariffs Jan2019'!J107,0,IF($C$5*'Tariffs Jan2019'!AK107/'Tariffs Jan2019'!AI107&lt;='Tariffs Jan2019'!K107,($C$5*'Tariffs Jan2019'!AK107/'Tariffs Jan2019'!AI107-'Tariffs Jan2019'!J107)*('Tariffs Jan2019'!P107/100)*'Tariffs Jan2019'!AI107,('Tariffs Jan2019'!K107-'Tariffs Jan2019'!J107)*('Tariffs Jan2019'!P107/100)*'Tariffs Jan2019'!AI107))</f>
        <v>0</v>
      </c>
      <c r="G113" s="59">
        <f>IF($C$5*'Tariffs Jan2019'!AK107/'Tariffs Jan2019'!AI107&lt;'Tariffs Jan2019'!K107,0,IF($C$5*'Tariffs Jan2019'!AK107/'Tariffs Jan2019'!AI107&lt;='Tariffs Jan2019'!L107,($C$5*'Tariffs Jan2019'!AK107/'Tariffs Jan2019'!AI107-'Tariffs Jan2019'!K107)*('Tariffs Jan2019'!Q107/100)*'Tariffs Jan2019'!AI107,('Tariffs Jan2019'!L107-'Tariffs Jan2019'!K107)*('Tariffs Jan2019'!Q107/100)*'Tariffs Jan2019'!AI107))</f>
        <v>0</v>
      </c>
      <c r="H113" s="59">
        <f>IF($C$5*'Tariffs Jan2019'!AK107/'Tariffs Jan2019'!AI107&lt;'Tariffs Jan2019'!L107,0,IF($C$5*'Tariffs Jan2019'!AK107/'Tariffs Jan2019'!AI107&lt;='Tariffs Jan2019'!M107,($C$5*'Tariffs Jan2019'!AK107/'Tariffs Jan2019'!AI107-'Tariffs Jan2019'!L107)*('Tariffs Jan2019'!R107/100)*'Tariffs Jan2019'!AI107,('Tariffs Jan2019'!M107-'Tariffs Jan2019'!L107)*('Tariffs Jan2019'!R107/100)*'Tariffs Jan2019'!AI107))</f>
        <v>0</v>
      </c>
      <c r="I113" s="59">
        <f>IF(($C$5*'Tariffs Jan2019'!AK107/'Tariffs Jan2019'!AI107&gt;'Tariffs Jan2019'!M107),($C$5*'Tariffs Jan2019'!AK107/'Tariffs Jan2019'!AI107-'Tariffs Jan2019'!M107)*'Tariffs Jan2019'!S107/100*'Tariffs Jan2019'!AI107,0)</f>
        <v>179.95799999999997</v>
      </c>
      <c r="J113" s="59">
        <f>IF($C$5*'Tariffs Jan2019'!AL107/'Tariffs Jan2019'!AJ107&gt;='Tariffs Jan2019'!J107,('Tariffs Jan2019'!J107*'Tariffs Jan2019'!U107/100)* 'Tariffs Jan2019'!AJ107,($C$5*'Tariffs Jan2019'!AL107/'Tariffs Jan2019'!AJ107*'Tariffs Jan2019'!U107/100)* 'Tariffs Jan2019'!AJ107)</f>
        <v>576</v>
      </c>
      <c r="K113" s="59">
        <f>IF($C$5*'Tariffs Jan2019'!AL107/'Tariffs Jan2019'!AJ107&lt;'Tariffs Jan2019'!J107,0,IF($C$5*'Tariffs Jan2019'!AL107/'Tariffs Jan2019'!AJ107&lt;='Tariffs Jan2019'!K107,($C$5*'Tariffs Jan2019'!AL107/'Tariffs Jan2019'!AJ107-'Tariffs Jan2019'!J107)*('Tariffs Jan2019'!V107/100)*'Tariffs Jan2019'!AJ107,('Tariffs Jan2019'!K107-'Tariffs Jan2019'!J107)*('Tariffs Jan2019'!V107/100)*'Tariffs Jan2019'!AJ107))</f>
        <v>0</v>
      </c>
      <c r="L113" s="59">
        <f>IF($C$5*'Tariffs Jan2019'!AL107/'Tariffs Jan2019'!AJ107&lt;'Tariffs Jan2019'!K107,0,IF($C$5*'Tariffs Jan2019'!AL107/'Tariffs Jan2019'!AJ107&lt;='Tariffs Jan2019'!L107,($C$5*'Tariffs Jan2019'!AL107/'Tariffs Jan2019'!AJ107-'Tariffs Jan2019'!K107)*('Tariffs Jan2019'!W107/100)*'Tariffs Jan2019'!AJ107,('Tariffs Jan2019'!L107-'Tariffs Jan2019'!K107)*('Tariffs Jan2019'!W107/100)*'Tariffs Jan2019'!AJ107))</f>
        <v>0</v>
      </c>
      <c r="M113" s="59">
        <f>IF($C$5*'Tariffs Jan2019'!AL107/'Tariffs Jan2019'!AJ107&lt;'Tariffs Jan2019'!L107,0,IF($C$5*'Tariffs Jan2019'!AL107/'Tariffs Jan2019'!AJ107&lt;='Tariffs Jan2019'!M107,($C$5*'Tariffs Jan2019'!AL107/'Tariffs Jan2019'!AJ107-'Tariffs Jan2019'!L107)*('Tariffs Jan2019'!X107/100)*'Tariffs Jan2019'!AJ107,('Tariffs Jan2019'!M107-'Tariffs Jan2019'!L107)*('Tariffs Jan2019'!X107/100)*'Tariffs Jan2019'!AJ107))</f>
        <v>0</v>
      </c>
      <c r="N113" s="59">
        <f>IF(($C$5*'Tariffs Jan2019'!AL107/'Tariffs Jan2019'!AJ107&gt;'Tariffs Jan2019'!M107),($C$5*'Tariffs Jan2019'!AL107/'Tariffs Jan2019'!AJ107-'Tariffs Jan2019'!M107)*'Tariffs Jan2019'!Y107/100*'Tariffs Jan2019'!AJ107,0)</f>
        <v>341.92019999999991</v>
      </c>
      <c r="O113" s="271">
        <f t="shared" si="10"/>
        <v>1409.8782000000001</v>
      </c>
      <c r="P113" s="59">
        <f t="shared" si="11"/>
        <v>1731.0782000000002</v>
      </c>
      <c r="Q113" s="272">
        <f t="shared" si="12"/>
        <v>1904.1860200000003</v>
      </c>
      <c r="R113" s="40">
        <f>'Tariffs Jan2019'!AN107</f>
        <v>0</v>
      </c>
      <c r="S113" s="40">
        <f>'Tariffs Jan2019'!AO107</f>
        <v>20</v>
      </c>
      <c r="T113" s="40">
        <f>'Tariffs Jan2019'!AP107</f>
        <v>0</v>
      </c>
      <c r="U113" s="40">
        <f>'Tariffs Jan2019'!AQ107</f>
        <v>0</v>
      </c>
      <c r="V113" s="273">
        <f>P113-(O113*S113/100)</f>
        <v>1449.1025600000003</v>
      </c>
      <c r="W113" s="273">
        <f>V113-(O113*U113/100)</f>
        <v>1449.1025600000003</v>
      </c>
      <c r="X113" s="272">
        <f t="shared" ref="X113:Y126" si="15">V113*1.1</f>
        <v>1594.0128160000004</v>
      </c>
      <c r="Y113" s="272">
        <f t="shared" si="15"/>
        <v>1594.0128160000004</v>
      </c>
      <c r="Z113" s="274">
        <f>'Tariffs Jan2019'!AZ107</f>
        <v>0</v>
      </c>
      <c r="AA113" s="274" t="str">
        <f>'Tariffs Jan2019'!BA107</f>
        <v>n</v>
      </c>
      <c r="AB113" s="275" t="str">
        <f>'Tariffs Jan2019'!BH107</f>
        <v>Y</v>
      </c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</row>
    <row r="114" spans="1:40" x14ac:dyDescent="0.15">
      <c r="A114" s="40" t="str">
        <f>'Tariffs Jan2019'!F108</f>
        <v>Click Energy</v>
      </c>
      <c r="B114" s="40" t="str">
        <f>'Tariffs Jan2019'!D108</f>
        <v>AusNet Services Central 1</v>
      </c>
      <c r="C114" s="40" t="str">
        <f>'Tariffs Jan2019'!G108</f>
        <v>Burgundy</v>
      </c>
      <c r="D114" s="59">
        <f>365*'Tariffs Jan2019'!H108/100</f>
        <v>353.32</v>
      </c>
      <c r="E114" s="59">
        <f>IF($C$5*'Tariffs Jan2019'!AK108/'Tariffs Jan2019'!AI108&gt;='Tariffs Jan2019'!J108,( 'Tariffs Jan2019'!J108*'Tariffs Jan2019'!O108/100)* 'Tariffs Jan2019'!AI108,($C$5*'Tariffs Jan2019'!AK108/'Tariffs Jan2019'!AI108*'Tariffs Jan2019'!O108/100)* 'Tariffs Jan2019'!AI108)</f>
        <v>426</v>
      </c>
      <c r="F114" s="59">
        <f>IF($C$5*'Tariffs Jan2019'!AK108/'Tariffs Jan2019'!AI108&lt;'Tariffs Jan2019'!J108,0,IF($C$5*'Tariffs Jan2019'!AK108/'Tariffs Jan2019'!AI108&lt;='Tariffs Jan2019'!K108,($C$5*'Tariffs Jan2019'!AK108/'Tariffs Jan2019'!AI108-'Tariffs Jan2019'!J108)*('Tariffs Jan2019'!P108/100)*'Tariffs Jan2019'!AI108,('Tariffs Jan2019'!K108-'Tariffs Jan2019'!J108)*('Tariffs Jan2019'!P108/100)*'Tariffs Jan2019'!AI108))</f>
        <v>274.43594999999993</v>
      </c>
      <c r="G114" s="59">
        <f>IF($C$5*'Tariffs Jan2019'!AK108/'Tariffs Jan2019'!AI108&lt;'Tariffs Jan2019'!K108,0,IF($C$5*'Tariffs Jan2019'!AK108/'Tariffs Jan2019'!AI108&lt;='Tariffs Jan2019'!L108,($C$5*'Tariffs Jan2019'!AK108/'Tariffs Jan2019'!AI108-'Tariffs Jan2019'!K108)*('Tariffs Jan2019'!Q108/100)*'Tariffs Jan2019'!AI108,('Tariffs Jan2019'!L108-'Tariffs Jan2019'!K108)*('Tariffs Jan2019'!Q108/100)*'Tariffs Jan2019'!AI108))</f>
        <v>0</v>
      </c>
      <c r="H114" s="59">
        <f>IF($C$5*'Tariffs Jan2019'!AK108/'Tariffs Jan2019'!AI108&lt;'Tariffs Jan2019'!L108,0,IF($C$5*'Tariffs Jan2019'!AK108/'Tariffs Jan2019'!AI108&lt;='Tariffs Jan2019'!M108,($C$5*'Tariffs Jan2019'!AK108/'Tariffs Jan2019'!AI108-'Tariffs Jan2019'!L108)*('Tariffs Jan2019'!R108/100)*'Tariffs Jan2019'!AI108,('Tariffs Jan2019'!M108-'Tariffs Jan2019'!L108)*('Tariffs Jan2019'!R108/100)*'Tariffs Jan2019'!AI108))</f>
        <v>0</v>
      </c>
      <c r="I114" s="59">
        <f>IF(($C$5*'Tariffs Jan2019'!AK108/'Tariffs Jan2019'!AI108&gt;'Tariffs Jan2019'!M108),($C$5*'Tariffs Jan2019'!AK108/'Tariffs Jan2019'!AI108-'Tariffs Jan2019'!M108)*'Tariffs Jan2019'!S108/100*'Tariffs Jan2019'!AI108,0)</f>
        <v>0</v>
      </c>
      <c r="J114" s="59">
        <f>IF($C$5*'Tariffs Jan2019'!AL108/'Tariffs Jan2019'!AJ108&gt;='Tariffs Jan2019'!J108,('Tariffs Jan2019'!J108*'Tariffs Jan2019'!U108/100)* 'Tariffs Jan2019'!AJ108,($C$5*'Tariffs Jan2019'!AL108/'Tariffs Jan2019'!AJ108*'Tariffs Jan2019'!U108/100)* 'Tariffs Jan2019'!AJ108)</f>
        <v>600</v>
      </c>
      <c r="K114" s="59">
        <f>IF($C$5*'Tariffs Jan2019'!AL108/'Tariffs Jan2019'!AJ108&lt;'Tariffs Jan2019'!J108,0,IF($C$5*'Tariffs Jan2019'!AL108/'Tariffs Jan2019'!AJ108&lt;='Tariffs Jan2019'!K108,($C$5*'Tariffs Jan2019'!AL108/'Tariffs Jan2019'!AJ108-'Tariffs Jan2019'!J108)*('Tariffs Jan2019'!V108/100)*'Tariffs Jan2019'!AJ108,('Tariffs Jan2019'!K108-'Tariffs Jan2019'!J108)*('Tariffs Jan2019'!V108/100)*'Tariffs Jan2019'!AJ108))</f>
        <v>440.89709999999991</v>
      </c>
      <c r="L114" s="59">
        <f>IF($C$5*'Tariffs Jan2019'!AL108/'Tariffs Jan2019'!AJ108&lt;'Tariffs Jan2019'!K108,0,IF($C$5*'Tariffs Jan2019'!AL108/'Tariffs Jan2019'!AJ108&lt;='Tariffs Jan2019'!L108,($C$5*'Tariffs Jan2019'!AL108/'Tariffs Jan2019'!AJ108-'Tariffs Jan2019'!K108)*('Tariffs Jan2019'!W108/100)*'Tariffs Jan2019'!AJ108,('Tariffs Jan2019'!L108-'Tariffs Jan2019'!K108)*('Tariffs Jan2019'!W108/100)*'Tariffs Jan2019'!AJ108))</f>
        <v>0</v>
      </c>
      <c r="M114" s="59">
        <f>IF($C$5*'Tariffs Jan2019'!AL108/'Tariffs Jan2019'!AJ108&lt;'Tariffs Jan2019'!L108,0,IF($C$5*'Tariffs Jan2019'!AL108/'Tariffs Jan2019'!AJ108&lt;='Tariffs Jan2019'!M108,($C$5*'Tariffs Jan2019'!AL108/'Tariffs Jan2019'!AJ108-'Tariffs Jan2019'!L108)*('Tariffs Jan2019'!X108/100)*'Tariffs Jan2019'!AJ108,('Tariffs Jan2019'!M108-'Tariffs Jan2019'!L108)*('Tariffs Jan2019'!X108/100)*'Tariffs Jan2019'!AJ108))</f>
        <v>0</v>
      </c>
      <c r="N114" s="59">
        <f>IF(($C$5*'Tariffs Jan2019'!AL108/'Tariffs Jan2019'!AJ108&gt;'Tariffs Jan2019'!M108),($C$5*'Tariffs Jan2019'!AL108/'Tariffs Jan2019'!AJ108-'Tariffs Jan2019'!M108)*'Tariffs Jan2019'!Y108/100*'Tariffs Jan2019'!AJ108,0)</f>
        <v>0</v>
      </c>
      <c r="O114" s="271">
        <f t="shared" si="10"/>
        <v>1741.33305</v>
      </c>
      <c r="P114" s="59">
        <f t="shared" si="11"/>
        <v>2094.6530499999999</v>
      </c>
      <c r="Q114" s="272">
        <f t="shared" si="12"/>
        <v>2304.1183550000001</v>
      </c>
      <c r="R114" s="40">
        <f>'Tariffs Jan2019'!AN108</f>
        <v>0</v>
      </c>
      <c r="S114" s="40">
        <f>'Tariffs Jan2019'!AO108</f>
        <v>0</v>
      </c>
      <c r="T114" s="40">
        <f>'Tariffs Jan2019'!AP108</f>
        <v>26</v>
      </c>
      <c r="U114" s="40">
        <f>'Tariffs Jan2019'!AQ108</f>
        <v>0</v>
      </c>
      <c r="V114" s="273">
        <f>P114</f>
        <v>2094.6530499999999</v>
      </c>
      <c r="W114" s="273">
        <f>V114-(P114*T114/100)</f>
        <v>1550.0432569999998</v>
      </c>
      <c r="X114" s="272">
        <f t="shared" si="15"/>
        <v>2304.1183550000001</v>
      </c>
      <c r="Y114" s="272">
        <f t="shared" si="15"/>
        <v>1705.0475827</v>
      </c>
      <c r="Z114" s="274">
        <f>'Tariffs Jan2019'!AZ108</f>
        <v>0</v>
      </c>
      <c r="AA114" s="274" t="str">
        <f>'Tariffs Jan2019'!BA108</f>
        <v>n</v>
      </c>
      <c r="AB114" s="275" t="str">
        <f>'Tariffs Jan2019'!BH108</f>
        <v>N</v>
      </c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</row>
    <row r="115" spans="1:40" x14ac:dyDescent="0.15">
      <c r="A115" s="40" t="str">
        <f>'Tariffs Jan2019'!F109</f>
        <v>Covau</v>
      </c>
      <c r="B115" s="40" t="str">
        <f>'Tariffs Jan2019'!D109</f>
        <v>AusNet Services Central 1</v>
      </c>
      <c r="C115" s="40" t="str">
        <f>'Tariffs Jan2019'!G109</f>
        <v>Smart Saver</v>
      </c>
      <c r="D115" s="59">
        <f>365*'Tariffs Jan2019'!H109/100</f>
        <v>310.25</v>
      </c>
      <c r="E115" s="59">
        <f>IF($C$5*'Tariffs Jan2019'!AK109/'Tariffs Jan2019'!AI109&gt;='Tariffs Jan2019'!J109,( 'Tariffs Jan2019'!J109*'Tariffs Jan2019'!O109/100)* 'Tariffs Jan2019'!AI109,($C$5*'Tariffs Jan2019'!AK109/'Tariffs Jan2019'!AI109*'Tariffs Jan2019'!O109/100)* 'Tariffs Jan2019'!AI109)</f>
        <v>516.59999999999991</v>
      </c>
      <c r="F115" s="59">
        <f>IF($C$5*'Tariffs Jan2019'!AK109/'Tariffs Jan2019'!AI109&lt;'Tariffs Jan2019'!J109,0,IF($C$5*'Tariffs Jan2019'!AK109/'Tariffs Jan2019'!AI109&lt;='Tariffs Jan2019'!K109,($C$5*'Tariffs Jan2019'!AK109/'Tariffs Jan2019'!AI109-'Tariffs Jan2019'!J109)*('Tariffs Jan2019'!P109/100)*'Tariffs Jan2019'!AI109,('Tariffs Jan2019'!K109-'Tariffs Jan2019'!J109)*('Tariffs Jan2019'!P109/100)*'Tariffs Jan2019'!AI109))</f>
        <v>344.24999999999994</v>
      </c>
      <c r="G115" s="59">
        <f>IF($C$5*'Tariffs Jan2019'!AK109/'Tariffs Jan2019'!AI109&lt;'Tariffs Jan2019'!K109,0,IF($C$5*'Tariffs Jan2019'!AK109/'Tariffs Jan2019'!AI109&lt;='Tariffs Jan2019'!L109,($C$5*'Tariffs Jan2019'!AK109/'Tariffs Jan2019'!AI109-'Tariffs Jan2019'!K109)*('Tariffs Jan2019'!Q109/100)*'Tariffs Jan2019'!AI109,('Tariffs Jan2019'!L109-'Tariffs Jan2019'!K109)*('Tariffs Jan2019'!Q109/100)*'Tariffs Jan2019'!AI109))</f>
        <v>0</v>
      </c>
      <c r="H115" s="59">
        <f>IF($C$5*'Tariffs Jan2019'!AK109/'Tariffs Jan2019'!AI109&lt;'Tariffs Jan2019'!L109,0,IF($C$5*'Tariffs Jan2019'!AK109/'Tariffs Jan2019'!AI109&lt;='Tariffs Jan2019'!M109,($C$5*'Tariffs Jan2019'!AK109/'Tariffs Jan2019'!AI109-'Tariffs Jan2019'!L109)*('Tariffs Jan2019'!R109/100)*'Tariffs Jan2019'!AI109,('Tariffs Jan2019'!M109-'Tariffs Jan2019'!L109)*('Tariffs Jan2019'!R109/100)*'Tariffs Jan2019'!AI109))</f>
        <v>0</v>
      </c>
      <c r="I115" s="59">
        <f>IF(($C$5*'Tariffs Jan2019'!AK109/'Tariffs Jan2019'!AI109&gt;'Tariffs Jan2019'!M109),($C$5*'Tariffs Jan2019'!AK109/'Tariffs Jan2019'!AI109-'Tariffs Jan2019'!M109)*'Tariffs Jan2019'!S109/100*'Tariffs Jan2019'!AI109,0)</f>
        <v>0</v>
      </c>
      <c r="J115" s="59">
        <f>IF($C$5*'Tariffs Jan2019'!AL109/'Tariffs Jan2019'!AJ109&gt;='Tariffs Jan2019'!J109,('Tariffs Jan2019'!J109*'Tariffs Jan2019'!U109/100)* 'Tariffs Jan2019'!AJ109,($C$5*'Tariffs Jan2019'!AL109/'Tariffs Jan2019'!AJ109*'Tariffs Jan2019'!U109/100)* 'Tariffs Jan2019'!AJ109)</f>
        <v>432</v>
      </c>
      <c r="K115" s="59">
        <f>IF($C$5*'Tariffs Jan2019'!AL109/'Tariffs Jan2019'!AJ109&lt;'Tariffs Jan2019'!J109,0,IF($C$5*'Tariffs Jan2019'!AL109/'Tariffs Jan2019'!AJ109&lt;='Tariffs Jan2019'!K109,($C$5*'Tariffs Jan2019'!AL109/'Tariffs Jan2019'!AJ109-'Tariffs Jan2019'!J109)*('Tariffs Jan2019'!V109/100)*'Tariffs Jan2019'!AJ109,('Tariffs Jan2019'!K109-'Tariffs Jan2019'!J109)*('Tariffs Jan2019'!V109/100)*'Tariffs Jan2019'!AJ109))</f>
        <v>297.00000000000006</v>
      </c>
      <c r="L115" s="59">
        <f>IF($C$5*'Tariffs Jan2019'!AL109/'Tariffs Jan2019'!AJ109&lt;'Tariffs Jan2019'!K109,0,IF($C$5*'Tariffs Jan2019'!AL109/'Tariffs Jan2019'!AJ109&lt;='Tariffs Jan2019'!L109,($C$5*'Tariffs Jan2019'!AL109/'Tariffs Jan2019'!AJ109-'Tariffs Jan2019'!K109)*('Tariffs Jan2019'!W109/100)*'Tariffs Jan2019'!AJ109,('Tariffs Jan2019'!L109-'Tariffs Jan2019'!K109)*('Tariffs Jan2019'!W109/100)*'Tariffs Jan2019'!AJ109))</f>
        <v>0</v>
      </c>
      <c r="M115" s="59">
        <f>IF($C$5*'Tariffs Jan2019'!AL109/'Tariffs Jan2019'!AJ109&lt;'Tariffs Jan2019'!L109,0,IF($C$5*'Tariffs Jan2019'!AL109/'Tariffs Jan2019'!AJ109&lt;='Tariffs Jan2019'!M109,($C$5*'Tariffs Jan2019'!AL109/'Tariffs Jan2019'!AJ109-'Tariffs Jan2019'!L109)*('Tariffs Jan2019'!X109/100)*'Tariffs Jan2019'!AJ109,('Tariffs Jan2019'!M109-'Tariffs Jan2019'!L109)*('Tariffs Jan2019'!X109/100)*'Tariffs Jan2019'!AJ109))</f>
        <v>0</v>
      </c>
      <c r="N115" s="59">
        <f>IF(($C$5*'Tariffs Jan2019'!AL109/'Tariffs Jan2019'!AJ109&gt;'Tariffs Jan2019'!M109),($C$5*'Tariffs Jan2019'!AL109/'Tariffs Jan2019'!AJ109-'Tariffs Jan2019'!M109)*'Tariffs Jan2019'!Y109/100*'Tariffs Jan2019'!AJ109,0)</f>
        <v>0</v>
      </c>
      <c r="O115" s="271">
        <f t="shared" si="10"/>
        <v>1589.85</v>
      </c>
      <c r="P115" s="59">
        <f t="shared" si="11"/>
        <v>1900.1</v>
      </c>
      <c r="Q115" s="272">
        <f t="shared" si="12"/>
        <v>2090.11</v>
      </c>
      <c r="R115" s="40">
        <f>'Tariffs Jan2019'!AN109</f>
        <v>0</v>
      </c>
      <c r="S115" s="40">
        <f>'Tariffs Jan2019'!AO109</f>
        <v>0</v>
      </c>
      <c r="T115" s="40">
        <f>'Tariffs Jan2019'!AP109</f>
        <v>0</v>
      </c>
      <c r="U115" s="40">
        <f>'Tariffs Jan2019'!AQ109</f>
        <v>16</v>
      </c>
      <c r="V115" s="273">
        <f>P115</f>
        <v>1900.1</v>
      </c>
      <c r="W115" s="273">
        <f>V115-(O115*U115/100)</f>
        <v>1645.7239999999999</v>
      </c>
      <c r="X115" s="272">
        <f t="shared" si="15"/>
        <v>2090.11</v>
      </c>
      <c r="Y115" s="272">
        <f t="shared" si="15"/>
        <v>1810.2964000000002</v>
      </c>
      <c r="Z115" s="274">
        <f>'Tariffs Jan2019'!AZ109</f>
        <v>0</v>
      </c>
      <c r="AA115" s="274" t="str">
        <f>'Tariffs Jan2019'!BA109</f>
        <v>n</v>
      </c>
      <c r="AB115" s="275" t="str">
        <f>'Tariffs Jan2019'!BH109</f>
        <v>N</v>
      </c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</row>
    <row r="116" spans="1:40" x14ac:dyDescent="0.15">
      <c r="A116" s="40" t="str">
        <f>'Tariffs Jan2019'!F110</f>
        <v>Dodo Power &amp; Gas</v>
      </c>
      <c r="B116" s="40" t="str">
        <f>'Tariffs Jan2019'!D110</f>
        <v>AusNet Services Central 1</v>
      </c>
      <c r="C116" s="40" t="str">
        <f>'Tariffs Jan2019'!G110</f>
        <v>Market offer</v>
      </c>
      <c r="D116" s="59">
        <f>365*'Tariffs Jan2019'!H110/100</f>
        <v>291.63500000000005</v>
      </c>
      <c r="E116" s="59">
        <f>IF($C$5*'Tariffs Jan2019'!AK110/'Tariffs Jan2019'!AI110&gt;='Tariffs Jan2019'!J110,( 'Tariffs Jan2019'!J110*'Tariffs Jan2019'!O110/100)* 'Tariffs Jan2019'!AI110,($C$5*'Tariffs Jan2019'!AK110/'Tariffs Jan2019'!AI110*'Tariffs Jan2019'!O110/100)* 'Tariffs Jan2019'!AI110)</f>
        <v>180.48</v>
      </c>
      <c r="F116" s="59">
        <f>IF($C$5*'Tariffs Jan2019'!AK110/'Tariffs Jan2019'!AI110&lt;'Tariffs Jan2019'!J110,0,IF($C$5*'Tariffs Jan2019'!AK110/'Tariffs Jan2019'!AI110&lt;='Tariffs Jan2019'!K110,($C$5*'Tariffs Jan2019'!AK110/'Tariffs Jan2019'!AI110-'Tariffs Jan2019'!J110)*('Tariffs Jan2019'!P110/100)*'Tariffs Jan2019'!AI110,('Tariffs Jan2019'!K110-'Tariffs Jan2019'!J110)*('Tariffs Jan2019'!P110/100)*'Tariffs Jan2019'!AI110))</f>
        <v>0</v>
      </c>
      <c r="G116" s="59">
        <f>IF($C$5*'Tariffs Jan2019'!AK110/'Tariffs Jan2019'!AI110&lt;'Tariffs Jan2019'!K110,0,IF($C$5*'Tariffs Jan2019'!AK110/'Tariffs Jan2019'!AI110&lt;='Tariffs Jan2019'!L110,($C$5*'Tariffs Jan2019'!AK110/'Tariffs Jan2019'!AI110-'Tariffs Jan2019'!K110)*('Tariffs Jan2019'!Q110/100)*'Tariffs Jan2019'!AI110,('Tariffs Jan2019'!L110-'Tariffs Jan2019'!K110)*('Tariffs Jan2019'!Q110/100)*'Tariffs Jan2019'!AI110))</f>
        <v>0</v>
      </c>
      <c r="H116" s="59">
        <f>IF($C$5*'Tariffs Jan2019'!AK110/'Tariffs Jan2019'!AI110&lt;'Tariffs Jan2019'!L110,0,IF($C$5*'Tariffs Jan2019'!AK110/'Tariffs Jan2019'!AI110&lt;='Tariffs Jan2019'!M110,($C$5*'Tariffs Jan2019'!AK110/'Tariffs Jan2019'!AI110-'Tariffs Jan2019'!L110)*('Tariffs Jan2019'!R110/100)*'Tariffs Jan2019'!AI110,('Tariffs Jan2019'!M110-'Tariffs Jan2019'!L110)*('Tariffs Jan2019'!R110/100)*'Tariffs Jan2019'!AI110))</f>
        <v>0</v>
      </c>
      <c r="I116" s="59">
        <f>IF(($C$5*'Tariffs Jan2019'!AK110/'Tariffs Jan2019'!AI110&gt;'Tariffs Jan2019'!M110),($C$5*'Tariffs Jan2019'!AK110/'Tariffs Jan2019'!AI110-'Tariffs Jan2019'!M110)*'Tariffs Jan2019'!S110/100*'Tariffs Jan2019'!AI110,0)</f>
        <v>350.3495999999999</v>
      </c>
      <c r="J116" s="59">
        <f>IF($C$5*'Tariffs Jan2019'!AL110/'Tariffs Jan2019'!AJ110&gt;='Tariffs Jan2019'!J110,('Tariffs Jan2019'!J110*'Tariffs Jan2019'!U110/100)* 'Tariffs Jan2019'!AJ110,($C$5*'Tariffs Jan2019'!AL110/'Tariffs Jan2019'!AJ110*'Tariffs Jan2019'!U110/100)* 'Tariffs Jan2019'!AJ110)</f>
        <v>291.83999999999997</v>
      </c>
      <c r="K116" s="59">
        <f>IF($C$5*'Tariffs Jan2019'!AL110/'Tariffs Jan2019'!AJ110&lt;'Tariffs Jan2019'!J110,0,IF($C$5*'Tariffs Jan2019'!AL110/'Tariffs Jan2019'!AJ110&lt;='Tariffs Jan2019'!K110,($C$5*'Tariffs Jan2019'!AL110/'Tariffs Jan2019'!AJ110-'Tariffs Jan2019'!J110)*('Tariffs Jan2019'!V110/100)*'Tariffs Jan2019'!AJ110,('Tariffs Jan2019'!K110-'Tariffs Jan2019'!J110)*('Tariffs Jan2019'!V110/100)*'Tariffs Jan2019'!AJ110))</f>
        <v>0</v>
      </c>
      <c r="L116" s="59">
        <f>IF($C$5*'Tariffs Jan2019'!AL110/'Tariffs Jan2019'!AJ110&lt;'Tariffs Jan2019'!K110,0,IF($C$5*'Tariffs Jan2019'!AL110/'Tariffs Jan2019'!AJ110&lt;='Tariffs Jan2019'!L110,($C$5*'Tariffs Jan2019'!AL110/'Tariffs Jan2019'!AJ110-'Tariffs Jan2019'!K110)*('Tariffs Jan2019'!W110/100)*'Tariffs Jan2019'!AJ110,('Tariffs Jan2019'!L110-'Tariffs Jan2019'!K110)*('Tariffs Jan2019'!W110/100)*'Tariffs Jan2019'!AJ110))</f>
        <v>0</v>
      </c>
      <c r="M116" s="59">
        <f>IF($C$5*'Tariffs Jan2019'!AL110/'Tariffs Jan2019'!AJ110&lt;'Tariffs Jan2019'!L110,0,IF($C$5*'Tariffs Jan2019'!AL110/'Tariffs Jan2019'!AJ110&lt;='Tariffs Jan2019'!M110,($C$5*'Tariffs Jan2019'!AL110/'Tariffs Jan2019'!AJ110-'Tariffs Jan2019'!L110)*('Tariffs Jan2019'!X110/100)*'Tariffs Jan2019'!AJ110,('Tariffs Jan2019'!M110-'Tariffs Jan2019'!L110)*('Tariffs Jan2019'!X110/100)*'Tariffs Jan2019'!AJ110))</f>
        <v>0</v>
      </c>
      <c r="N116" s="59">
        <f>IF(($C$5*'Tariffs Jan2019'!AL110/'Tariffs Jan2019'!AJ110&gt;'Tariffs Jan2019'!M110),($C$5*'Tariffs Jan2019'!AL110/'Tariffs Jan2019'!AJ110-'Tariffs Jan2019'!M110)*'Tariffs Jan2019'!Y110/100*'Tariffs Jan2019'!AJ110,0)</f>
        <v>534.28313999999989</v>
      </c>
      <c r="O116" s="271">
        <f t="shared" si="10"/>
        <v>1356.9527399999997</v>
      </c>
      <c r="P116" s="59">
        <f t="shared" si="11"/>
        <v>1648.5877399999997</v>
      </c>
      <c r="Q116" s="272">
        <f t="shared" si="12"/>
        <v>1813.4465139999998</v>
      </c>
      <c r="R116" s="40">
        <f>'Tariffs Jan2019'!AN110</f>
        <v>0</v>
      </c>
      <c r="S116" s="40">
        <f>'Tariffs Jan2019'!AO110</f>
        <v>0</v>
      </c>
      <c r="T116" s="40">
        <f>'Tariffs Jan2019'!AP110</f>
        <v>0</v>
      </c>
      <c r="U116" s="40">
        <f>'Tariffs Jan2019'!AQ110</f>
        <v>0</v>
      </c>
      <c r="V116" s="273">
        <f>P116</f>
        <v>1648.5877399999997</v>
      </c>
      <c r="W116" s="273">
        <f>V116</f>
        <v>1648.5877399999997</v>
      </c>
      <c r="X116" s="272">
        <f t="shared" si="15"/>
        <v>1813.4465139999998</v>
      </c>
      <c r="Y116" s="272">
        <f t="shared" si="15"/>
        <v>1813.4465139999998</v>
      </c>
      <c r="Z116" s="274">
        <f>'Tariffs Jan2019'!AZ110</f>
        <v>0</v>
      </c>
      <c r="AA116" s="274" t="str">
        <f>'Tariffs Jan2019'!BA110</f>
        <v>n</v>
      </c>
      <c r="AB116" s="275" t="str">
        <f>'Tariffs Jan2019'!BH110</f>
        <v>Y</v>
      </c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</row>
    <row r="117" spans="1:40" x14ac:dyDescent="0.15">
      <c r="A117" s="40" t="str">
        <f>'Tariffs Jan2019'!F111</f>
        <v>EnergyAustralia</v>
      </c>
      <c r="B117" s="40" t="str">
        <f>'Tariffs Jan2019'!D111</f>
        <v>AusNet Services Central 1</v>
      </c>
      <c r="C117" s="40" t="str">
        <f>'Tariffs Jan2019'!G111</f>
        <v>Anytime Saver</v>
      </c>
      <c r="D117" s="59">
        <f>365*'Tariffs Jan2019'!H111/100</f>
        <v>345.65499999999997</v>
      </c>
      <c r="E117" s="59">
        <f>IF($C$5*'Tariffs Jan2019'!AK111/'Tariffs Jan2019'!AI111&gt;='Tariffs Jan2019'!J111,( 'Tariffs Jan2019'!J111*'Tariffs Jan2019'!O111/100)* 'Tariffs Jan2019'!AI111,($C$5*'Tariffs Jan2019'!AK111/'Tariffs Jan2019'!AI111*'Tariffs Jan2019'!O111/100)* 'Tariffs Jan2019'!AI111)</f>
        <v>575.34245999999996</v>
      </c>
      <c r="F117" s="59">
        <f>IF($C$5*'Tariffs Jan2019'!AK111/'Tariffs Jan2019'!AI111&lt;'Tariffs Jan2019'!J111,0,IF($C$5*'Tariffs Jan2019'!AK111/'Tariffs Jan2019'!AI111&lt;='Tariffs Jan2019'!K111,($C$5*'Tariffs Jan2019'!AK111/'Tariffs Jan2019'!AI111-'Tariffs Jan2019'!J111)*('Tariffs Jan2019'!P111/100)*'Tariffs Jan2019'!AI111,('Tariffs Jan2019'!K111-'Tariffs Jan2019'!J111)*('Tariffs Jan2019'!P111/100)*'Tariffs Jan2019'!AI111))</f>
        <v>0</v>
      </c>
      <c r="G117" s="59">
        <f>IF($C$5*'Tariffs Jan2019'!AK111/'Tariffs Jan2019'!AI111&lt;'Tariffs Jan2019'!K111,0,IF($C$5*'Tariffs Jan2019'!AK111/'Tariffs Jan2019'!AI111&lt;='Tariffs Jan2019'!L111,($C$5*'Tariffs Jan2019'!AK111/'Tariffs Jan2019'!AI111-'Tariffs Jan2019'!K111)*('Tariffs Jan2019'!Q111/100)*'Tariffs Jan2019'!AI111,('Tariffs Jan2019'!L111-'Tariffs Jan2019'!K111)*('Tariffs Jan2019'!Q111/100)*'Tariffs Jan2019'!AI111))</f>
        <v>0</v>
      </c>
      <c r="H117" s="59">
        <f>IF($C$5*'Tariffs Jan2019'!AK111/'Tariffs Jan2019'!AI111&lt;'Tariffs Jan2019'!L111,0,IF($C$5*'Tariffs Jan2019'!AK111/'Tariffs Jan2019'!AI111&lt;='Tariffs Jan2019'!M111,($C$5*'Tariffs Jan2019'!AK111/'Tariffs Jan2019'!AI111-'Tariffs Jan2019'!L111)*('Tariffs Jan2019'!R111/100)*'Tariffs Jan2019'!AI111,('Tariffs Jan2019'!M111-'Tariffs Jan2019'!L111)*('Tariffs Jan2019'!R111/100)*'Tariffs Jan2019'!AI111))</f>
        <v>0</v>
      </c>
      <c r="I117" s="59">
        <f>IF(($C$5*'Tariffs Jan2019'!AK111/'Tariffs Jan2019'!AI111&gt;'Tariffs Jan2019'!M111),($C$5*'Tariffs Jan2019'!AK111/'Tariffs Jan2019'!AI111-'Tariffs Jan2019'!M111)*'Tariffs Jan2019'!S111/100*'Tariffs Jan2019'!AI111,0)</f>
        <v>0</v>
      </c>
      <c r="J117" s="59">
        <f>IF($C$5*'Tariffs Jan2019'!AL111/'Tariffs Jan2019'!AJ111&gt;='Tariffs Jan2019'!J111,('Tariffs Jan2019'!J111*'Tariffs Jan2019'!U111/100)* 'Tariffs Jan2019'!AJ111,($C$5*'Tariffs Jan2019'!AL111/'Tariffs Jan2019'!AJ111*'Tariffs Jan2019'!U111/100)* 'Tariffs Jan2019'!AJ111)</f>
        <v>844.1155799999998</v>
      </c>
      <c r="K117" s="59">
        <f>IF($C$5*'Tariffs Jan2019'!AL111/'Tariffs Jan2019'!AJ111&lt;'Tariffs Jan2019'!J111,0,IF($C$5*'Tariffs Jan2019'!AL111/'Tariffs Jan2019'!AJ111&lt;='Tariffs Jan2019'!K111,($C$5*'Tariffs Jan2019'!AL111/'Tariffs Jan2019'!AJ111-'Tariffs Jan2019'!J111)*('Tariffs Jan2019'!V111/100)*'Tariffs Jan2019'!AJ111,('Tariffs Jan2019'!K111-'Tariffs Jan2019'!J111)*('Tariffs Jan2019'!V111/100)*'Tariffs Jan2019'!AJ111))</f>
        <v>0</v>
      </c>
      <c r="L117" s="59">
        <f>IF($C$5*'Tariffs Jan2019'!AL111/'Tariffs Jan2019'!AJ111&lt;'Tariffs Jan2019'!K111,0,IF($C$5*'Tariffs Jan2019'!AL111/'Tariffs Jan2019'!AJ111&lt;='Tariffs Jan2019'!L111,($C$5*'Tariffs Jan2019'!AL111/'Tariffs Jan2019'!AJ111-'Tariffs Jan2019'!K111)*('Tariffs Jan2019'!W111/100)*'Tariffs Jan2019'!AJ111,('Tariffs Jan2019'!L111-'Tariffs Jan2019'!K111)*('Tariffs Jan2019'!W111/100)*'Tariffs Jan2019'!AJ111))</f>
        <v>0</v>
      </c>
      <c r="M117" s="59">
        <f>IF($C$5*'Tariffs Jan2019'!AL111/'Tariffs Jan2019'!AJ111&lt;'Tariffs Jan2019'!L111,0,IF($C$5*'Tariffs Jan2019'!AL111/'Tariffs Jan2019'!AJ111&lt;='Tariffs Jan2019'!M111,($C$5*'Tariffs Jan2019'!AL111/'Tariffs Jan2019'!AJ111-'Tariffs Jan2019'!L111)*('Tariffs Jan2019'!X111/100)*'Tariffs Jan2019'!AJ111,('Tariffs Jan2019'!M111-'Tariffs Jan2019'!L111)*('Tariffs Jan2019'!X111/100)*'Tariffs Jan2019'!AJ111))</f>
        <v>0</v>
      </c>
      <c r="N117" s="59">
        <f>IF(($C$5*'Tariffs Jan2019'!AL111/'Tariffs Jan2019'!AJ111&gt;'Tariffs Jan2019'!M111),($C$5*'Tariffs Jan2019'!AL111/'Tariffs Jan2019'!AJ111-'Tariffs Jan2019'!M111)*'Tariffs Jan2019'!Y111/100*'Tariffs Jan2019'!AJ111,0)</f>
        <v>0</v>
      </c>
      <c r="O117" s="271">
        <f t="shared" si="10"/>
        <v>1419.4580399999998</v>
      </c>
      <c r="P117" s="59">
        <f t="shared" si="11"/>
        <v>1765.1130399999997</v>
      </c>
      <c r="Q117" s="272">
        <f t="shared" si="12"/>
        <v>1941.6243439999998</v>
      </c>
      <c r="R117" s="40">
        <f>'Tariffs Jan2019'!AN111</f>
        <v>0</v>
      </c>
      <c r="S117" s="40">
        <f>'Tariffs Jan2019'!AO111</f>
        <v>22</v>
      </c>
      <c r="T117" s="40">
        <f>'Tariffs Jan2019'!AP111</f>
        <v>0</v>
      </c>
      <c r="U117" s="40">
        <f>'Tariffs Jan2019'!AQ111</f>
        <v>0</v>
      </c>
      <c r="V117" s="273">
        <f>P117-(O117*S117/100)</f>
        <v>1452.8322711999999</v>
      </c>
      <c r="W117" s="273">
        <f>V117-(O117*U117/100)</f>
        <v>1452.8322711999999</v>
      </c>
      <c r="X117" s="272">
        <f t="shared" si="15"/>
        <v>1598.1154983200001</v>
      </c>
      <c r="Y117" s="272">
        <f t="shared" si="15"/>
        <v>1598.1154983200001</v>
      </c>
      <c r="Z117" s="274">
        <f>'Tariffs Jan2019'!AZ111</f>
        <v>0</v>
      </c>
      <c r="AA117" s="274" t="str">
        <f>'Tariffs Jan2019'!BA111</f>
        <v>n</v>
      </c>
      <c r="AB117" s="275" t="str">
        <f>'Tariffs Jan2019'!BH111</f>
        <v>N</v>
      </c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</row>
    <row r="118" spans="1:40" x14ac:dyDescent="0.15">
      <c r="A118" s="40" t="str">
        <f>'Tariffs Jan2019'!F112</f>
        <v>Lumo Energy</v>
      </c>
      <c r="B118" s="40" t="str">
        <f>'Tariffs Jan2019'!D112</f>
        <v>AusNet Services Central 1</v>
      </c>
      <c r="C118" s="40" t="str">
        <f>'Tariffs Jan2019'!G112</f>
        <v>Value</v>
      </c>
      <c r="D118" s="59">
        <f>365*'Tariffs Jan2019'!H112/100</f>
        <v>255.5</v>
      </c>
      <c r="E118" s="59">
        <f>IF($C$5*'Tariffs Jan2019'!AK112/'Tariffs Jan2019'!AI112&gt;='Tariffs Jan2019'!J112,( 'Tariffs Jan2019'!J112*'Tariffs Jan2019'!O112/100)* 'Tariffs Jan2019'!AI112,($C$5*'Tariffs Jan2019'!AK112/'Tariffs Jan2019'!AI112*'Tariffs Jan2019'!O112/100)* 'Tariffs Jan2019'!AI112)</f>
        <v>270</v>
      </c>
      <c r="F118" s="59">
        <f>IF($C$5*'Tariffs Jan2019'!AK112/'Tariffs Jan2019'!AI112&lt;'Tariffs Jan2019'!J112,0,IF($C$5*'Tariffs Jan2019'!AK112/'Tariffs Jan2019'!AI112&lt;='Tariffs Jan2019'!K112,($C$5*'Tariffs Jan2019'!AK112/'Tariffs Jan2019'!AI112-'Tariffs Jan2019'!J112)*('Tariffs Jan2019'!P112/100)*'Tariffs Jan2019'!AI112,('Tariffs Jan2019'!K112-'Tariffs Jan2019'!J112)*('Tariffs Jan2019'!P112/100)*'Tariffs Jan2019'!AI112))</f>
        <v>179.95799999999997</v>
      </c>
      <c r="G118" s="59">
        <f>IF($C$5*'Tariffs Jan2019'!AK112/'Tariffs Jan2019'!AI112&lt;'Tariffs Jan2019'!K112,0,IF($C$5*'Tariffs Jan2019'!AK112/'Tariffs Jan2019'!AI112&lt;='Tariffs Jan2019'!L112,($C$5*'Tariffs Jan2019'!AK112/'Tariffs Jan2019'!AI112-'Tariffs Jan2019'!K112)*('Tariffs Jan2019'!Q112/100)*'Tariffs Jan2019'!AI112,('Tariffs Jan2019'!L112-'Tariffs Jan2019'!K112)*('Tariffs Jan2019'!Q112/100)*'Tariffs Jan2019'!AI112))</f>
        <v>0</v>
      </c>
      <c r="H118" s="59">
        <f>IF($C$5*'Tariffs Jan2019'!AK112/'Tariffs Jan2019'!AI112&lt;'Tariffs Jan2019'!L112,0,IF($C$5*'Tariffs Jan2019'!AK112/'Tariffs Jan2019'!AI112&lt;='Tariffs Jan2019'!M112,($C$5*'Tariffs Jan2019'!AK112/'Tariffs Jan2019'!AI112-'Tariffs Jan2019'!L112)*('Tariffs Jan2019'!R112/100)*'Tariffs Jan2019'!AI112,('Tariffs Jan2019'!M112-'Tariffs Jan2019'!L112)*('Tariffs Jan2019'!R112/100)*'Tariffs Jan2019'!AI112))</f>
        <v>0</v>
      </c>
      <c r="I118" s="59">
        <f>IF(($C$5*'Tariffs Jan2019'!AK112/'Tariffs Jan2019'!AI112&gt;'Tariffs Jan2019'!M112),($C$5*'Tariffs Jan2019'!AK112/'Tariffs Jan2019'!AI112-'Tariffs Jan2019'!M112)*'Tariffs Jan2019'!S112/100*'Tariffs Jan2019'!AI112,0)</f>
        <v>0</v>
      </c>
      <c r="J118" s="59">
        <f>IF($C$5*'Tariffs Jan2019'!AL112/'Tariffs Jan2019'!AJ112&gt;='Tariffs Jan2019'!J112,('Tariffs Jan2019'!J112*'Tariffs Jan2019'!U112/100)* 'Tariffs Jan2019'!AJ112,($C$5*'Tariffs Jan2019'!AL112/'Tariffs Jan2019'!AJ112*'Tariffs Jan2019'!U112/100)* 'Tariffs Jan2019'!AJ112)</f>
        <v>415.2</v>
      </c>
      <c r="K118" s="59">
        <f>IF($C$5*'Tariffs Jan2019'!AL112/'Tariffs Jan2019'!AJ112&lt;'Tariffs Jan2019'!J112,0,IF($C$5*'Tariffs Jan2019'!AL112/'Tariffs Jan2019'!AJ112&lt;='Tariffs Jan2019'!K112,($C$5*'Tariffs Jan2019'!AL112/'Tariffs Jan2019'!AJ112-'Tariffs Jan2019'!J112)*('Tariffs Jan2019'!V112/100)*'Tariffs Jan2019'!AJ112,('Tariffs Jan2019'!K112-'Tariffs Jan2019'!J112)*('Tariffs Jan2019'!V112/100)*'Tariffs Jan2019'!AJ112))</f>
        <v>293.3315399999999</v>
      </c>
      <c r="L118" s="59">
        <f>IF($C$5*'Tariffs Jan2019'!AL112/'Tariffs Jan2019'!AJ112&lt;'Tariffs Jan2019'!K112,0,IF($C$5*'Tariffs Jan2019'!AL112/'Tariffs Jan2019'!AJ112&lt;='Tariffs Jan2019'!L112,($C$5*'Tariffs Jan2019'!AL112/'Tariffs Jan2019'!AJ112-'Tariffs Jan2019'!K112)*('Tariffs Jan2019'!W112/100)*'Tariffs Jan2019'!AJ112,('Tariffs Jan2019'!L112-'Tariffs Jan2019'!K112)*('Tariffs Jan2019'!W112/100)*'Tariffs Jan2019'!AJ112))</f>
        <v>0</v>
      </c>
      <c r="M118" s="59">
        <f>IF($C$5*'Tariffs Jan2019'!AL112/'Tariffs Jan2019'!AJ112&lt;'Tariffs Jan2019'!L112,0,IF($C$5*'Tariffs Jan2019'!AL112/'Tariffs Jan2019'!AJ112&lt;='Tariffs Jan2019'!M112,($C$5*'Tariffs Jan2019'!AL112/'Tariffs Jan2019'!AJ112-'Tariffs Jan2019'!L112)*('Tariffs Jan2019'!X112/100)*'Tariffs Jan2019'!AJ112,('Tariffs Jan2019'!M112-'Tariffs Jan2019'!L112)*('Tariffs Jan2019'!X112/100)*'Tariffs Jan2019'!AJ112))</f>
        <v>0</v>
      </c>
      <c r="N118" s="59">
        <f>IF(($C$5*'Tariffs Jan2019'!AL112/'Tariffs Jan2019'!AJ112&gt;'Tariffs Jan2019'!M112),($C$5*'Tariffs Jan2019'!AL112/'Tariffs Jan2019'!AJ112-'Tariffs Jan2019'!M112)*'Tariffs Jan2019'!Y112/100*'Tariffs Jan2019'!AJ112,0)</f>
        <v>0</v>
      </c>
      <c r="O118" s="271">
        <f t="shared" si="10"/>
        <v>1158.4895399999998</v>
      </c>
      <c r="P118" s="59">
        <f t="shared" si="11"/>
        <v>1413.9895399999998</v>
      </c>
      <c r="Q118" s="272">
        <f t="shared" si="12"/>
        <v>1555.3884939999998</v>
      </c>
      <c r="R118" s="40">
        <f>'Tariffs Jan2019'!AN112</f>
        <v>0</v>
      </c>
      <c r="S118" s="40">
        <f>'Tariffs Jan2019'!AO112</f>
        <v>0</v>
      </c>
      <c r="T118" s="40">
        <f>'Tariffs Jan2019'!AP112</f>
        <v>3</v>
      </c>
      <c r="U118" s="40">
        <f>'Tariffs Jan2019'!AQ112</f>
        <v>0</v>
      </c>
      <c r="V118" s="273">
        <f t="shared" ref="V118:V126" si="16">P118</f>
        <v>1413.9895399999998</v>
      </c>
      <c r="W118" s="273">
        <f>V118-(P118*T118/100)</f>
        <v>1371.5698537999999</v>
      </c>
      <c r="X118" s="272">
        <f t="shared" si="15"/>
        <v>1555.3884939999998</v>
      </c>
      <c r="Y118" s="272">
        <f t="shared" si="15"/>
        <v>1508.7268391800001</v>
      </c>
      <c r="Z118" s="274">
        <f>'Tariffs Jan2019'!AZ112</f>
        <v>0</v>
      </c>
      <c r="AA118" s="274" t="str">
        <f>'Tariffs Jan2019'!BA112</f>
        <v>n</v>
      </c>
      <c r="AB118" s="275" t="str">
        <f>'Tariffs Jan2019'!BH112</f>
        <v>N</v>
      </c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</row>
    <row r="119" spans="1:40" x14ac:dyDescent="0.15">
      <c r="A119" s="40" t="str">
        <f>'Tariffs Jan2019'!F113</f>
        <v>Momentum Energy</v>
      </c>
      <c r="B119" s="40" t="str">
        <f>'Tariffs Jan2019'!D113</f>
        <v>AusNet Services Central 1</v>
      </c>
      <c r="C119" s="40" t="str">
        <f>'Tariffs Jan2019'!G113</f>
        <v>Market offer</v>
      </c>
      <c r="D119" s="59">
        <f>365*'Tariffs Jan2019'!H113/100</f>
        <v>347.69900000000001</v>
      </c>
      <c r="E119" s="59">
        <f>IF($C$5*'Tariffs Jan2019'!AK113/'Tariffs Jan2019'!AI113&gt;='Tariffs Jan2019'!J113,( 'Tariffs Jan2019'!J113*'Tariffs Jan2019'!O113/100)* 'Tariffs Jan2019'!AI113,($C$5*'Tariffs Jan2019'!AK113/'Tariffs Jan2019'!AI113*'Tariffs Jan2019'!O113/100)* 'Tariffs Jan2019'!AI113)</f>
        <v>251.52</v>
      </c>
      <c r="F119" s="59">
        <f>IF($C$5*'Tariffs Jan2019'!AK113/'Tariffs Jan2019'!AI113&lt;'Tariffs Jan2019'!J113,0,IF($C$5*'Tariffs Jan2019'!AK113/'Tariffs Jan2019'!AI113&lt;='Tariffs Jan2019'!K113,($C$5*'Tariffs Jan2019'!AK113/'Tariffs Jan2019'!AI113-'Tariffs Jan2019'!J113)*('Tariffs Jan2019'!P113/100)*'Tariffs Jan2019'!AI113,('Tariffs Jan2019'!K113-'Tariffs Jan2019'!J113)*('Tariffs Jan2019'!P113/100)*'Tariffs Jan2019'!AI113))</f>
        <v>165.29142299999998</v>
      </c>
      <c r="G119" s="59">
        <f>IF($C$5*'Tariffs Jan2019'!AK113/'Tariffs Jan2019'!AI113&lt;'Tariffs Jan2019'!K113,0,IF($C$5*'Tariffs Jan2019'!AK113/'Tariffs Jan2019'!AI113&lt;='Tariffs Jan2019'!L113,($C$5*'Tariffs Jan2019'!AK113/'Tariffs Jan2019'!AI113-'Tariffs Jan2019'!K113)*('Tariffs Jan2019'!Q113/100)*'Tariffs Jan2019'!AI113,('Tariffs Jan2019'!L113-'Tariffs Jan2019'!K113)*('Tariffs Jan2019'!Q113/100)*'Tariffs Jan2019'!AI113))</f>
        <v>0</v>
      </c>
      <c r="H119" s="59">
        <f>IF($C$5*'Tariffs Jan2019'!AK113/'Tariffs Jan2019'!AI113&lt;'Tariffs Jan2019'!L113,0,IF($C$5*'Tariffs Jan2019'!AK113/'Tariffs Jan2019'!AI113&lt;='Tariffs Jan2019'!M113,($C$5*'Tariffs Jan2019'!AK113/'Tariffs Jan2019'!AI113-'Tariffs Jan2019'!L113)*('Tariffs Jan2019'!R113/100)*'Tariffs Jan2019'!AI113,('Tariffs Jan2019'!M113-'Tariffs Jan2019'!L113)*('Tariffs Jan2019'!R113/100)*'Tariffs Jan2019'!AI113))</f>
        <v>0</v>
      </c>
      <c r="I119" s="59">
        <f>IF(($C$5*'Tariffs Jan2019'!AK113/'Tariffs Jan2019'!AI113&gt;'Tariffs Jan2019'!M113),($C$5*'Tariffs Jan2019'!AK113/'Tariffs Jan2019'!AI113-'Tariffs Jan2019'!M113)*'Tariffs Jan2019'!S113/100*'Tariffs Jan2019'!AI113,0)</f>
        <v>0</v>
      </c>
      <c r="J119" s="59">
        <f>IF($C$5*'Tariffs Jan2019'!AL113/'Tariffs Jan2019'!AJ113&gt;='Tariffs Jan2019'!J113,('Tariffs Jan2019'!J113*'Tariffs Jan2019'!U113/100)* 'Tariffs Jan2019'!AJ113,($C$5*'Tariffs Jan2019'!AL113/'Tariffs Jan2019'!AJ113*'Tariffs Jan2019'!U113/100)* 'Tariffs Jan2019'!AJ113)</f>
        <v>380.4</v>
      </c>
      <c r="K119" s="59">
        <f>IF($C$5*'Tariffs Jan2019'!AL113/'Tariffs Jan2019'!AJ113&lt;'Tariffs Jan2019'!J113,0,IF($C$5*'Tariffs Jan2019'!AL113/'Tariffs Jan2019'!AJ113&lt;='Tariffs Jan2019'!K113,($C$5*'Tariffs Jan2019'!AL113/'Tariffs Jan2019'!AJ113-'Tariffs Jan2019'!J113)*('Tariffs Jan2019'!V113/100)*'Tariffs Jan2019'!AJ113,('Tariffs Jan2019'!K113-'Tariffs Jan2019'!J113)*('Tariffs Jan2019'!V113/100)*'Tariffs Jan2019'!AJ113))</f>
        <v>279.83468999999991</v>
      </c>
      <c r="L119" s="59">
        <f>IF($C$5*'Tariffs Jan2019'!AL113/'Tariffs Jan2019'!AJ113&lt;'Tariffs Jan2019'!K113,0,IF($C$5*'Tariffs Jan2019'!AL113/'Tariffs Jan2019'!AJ113&lt;='Tariffs Jan2019'!L113,($C$5*'Tariffs Jan2019'!AL113/'Tariffs Jan2019'!AJ113-'Tariffs Jan2019'!K113)*('Tariffs Jan2019'!W113/100)*'Tariffs Jan2019'!AJ113,('Tariffs Jan2019'!L113-'Tariffs Jan2019'!K113)*('Tariffs Jan2019'!W113/100)*'Tariffs Jan2019'!AJ113))</f>
        <v>0</v>
      </c>
      <c r="M119" s="59">
        <f>IF($C$5*'Tariffs Jan2019'!AL113/'Tariffs Jan2019'!AJ113&lt;'Tariffs Jan2019'!L113,0,IF($C$5*'Tariffs Jan2019'!AL113/'Tariffs Jan2019'!AJ113&lt;='Tariffs Jan2019'!M113,($C$5*'Tariffs Jan2019'!AL113/'Tariffs Jan2019'!AJ113-'Tariffs Jan2019'!L113)*('Tariffs Jan2019'!X113/100)*'Tariffs Jan2019'!AJ113,('Tariffs Jan2019'!M113-'Tariffs Jan2019'!L113)*('Tariffs Jan2019'!X113/100)*'Tariffs Jan2019'!AJ113))</f>
        <v>0</v>
      </c>
      <c r="N119" s="59">
        <f>IF(($C$5*'Tariffs Jan2019'!AL113/'Tariffs Jan2019'!AJ113&gt;'Tariffs Jan2019'!M113),($C$5*'Tariffs Jan2019'!AL113/'Tariffs Jan2019'!AJ113-'Tariffs Jan2019'!M113)*'Tariffs Jan2019'!Y113/100*'Tariffs Jan2019'!AJ113,0)</f>
        <v>0</v>
      </c>
      <c r="O119" s="271">
        <f t="shared" si="10"/>
        <v>1077.0461129999999</v>
      </c>
      <c r="P119" s="59">
        <f t="shared" si="11"/>
        <v>1424.7451129999999</v>
      </c>
      <c r="Q119" s="272">
        <f t="shared" si="12"/>
        <v>1567.2196243000001</v>
      </c>
      <c r="R119" s="40">
        <f>'Tariffs Jan2019'!AN113</f>
        <v>0</v>
      </c>
      <c r="S119" s="40">
        <f>'Tariffs Jan2019'!AO113</f>
        <v>0</v>
      </c>
      <c r="T119" s="40">
        <f>'Tariffs Jan2019'!AP113</f>
        <v>0</v>
      </c>
      <c r="U119" s="40">
        <f>'Tariffs Jan2019'!AQ113</f>
        <v>0</v>
      </c>
      <c r="V119" s="273">
        <f t="shared" si="16"/>
        <v>1424.7451129999999</v>
      </c>
      <c r="W119" s="273">
        <f>V119</f>
        <v>1424.7451129999999</v>
      </c>
      <c r="X119" s="272">
        <f t="shared" si="15"/>
        <v>1567.2196243000001</v>
      </c>
      <c r="Y119" s="272">
        <f t="shared" si="15"/>
        <v>1567.2196243000001</v>
      </c>
      <c r="Z119" s="274">
        <f>'Tariffs Jan2019'!AZ113</f>
        <v>0</v>
      </c>
      <c r="AA119" s="274" t="str">
        <f>'Tariffs Jan2019'!BA113</f>
        <v>n</v>
      </c>
      <c r="AB119" s="275" t="str">
        <f>'Tariffs Jan2019'!BH113</f>
        <v>Y</v>
      </c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</row>
    <row r="120" spans="1:40" x14ac:dyDescent="0.15">
      <c r="A120" s="40" t="str">
        <f>'Tariffs Jan2019'!F114</f>
        <v>Origin Energy</v>
      </c>
      <c r="B120" s="40" t="str">
        <f>'Tariffs Jan2019'!D114</f>
        <v>AusNet Services Central 1</v>
      </c>
      <c r="C120" s="40" t="str">
        <f>'Tariffs Jan2019'!G114</f>
        <v>Saver</v>
      </c>
      <c r="D120" s="59">
        <f>365*'Tariffs Jan2019'!H114/100</f>
        <v>284.7</v>
      </c>
      <c r="E120" s="59">
        <f>IF($C$5*'Tariffs Jan2019'!AK114/'Tariffs Jan2019'!AI114&gt;='Tariffs Jan2019'!J114,( 'Tariffs Jan2019'!J114*'Tariffs Jan2019'!O114/100)* 'Tariffs Jan2019'!AI114,($C$5*'Tariffs Jan2019'!AK114/'Tariffs Jan2019'!AI114*'Tariffs Jan2019'!O114/100)* 'Tariffs Jan2019'!AI114)</f>
        <v>179.2</v>
      </c>
      <c r="F120" s="59">
        <f>IF($C$5*'Tariffs Jan2019'!AK114/'Tariffs Jan2019'!AI114&lt;'Tariffs Jan2019'!J114,0,IF($C$5*'Tariffs Jan2019'!AK114/'Tariffs Jan2019'!AI114&lt;='Tariffs Jan2019'!K114,($C$5*'Tariffs Jan2019'!AK114/'Tariffs Jan2019'!AI114-'Tariffs Jan2019'!J114)*('Tariffs Jan2019'!P114/100)*'Tariffs Jan2019'!AI114,('Tariffs Jan2019'!K114-'Tariffs Jan2019'!J114)*('Tariffs Jan2019'!P114/100)*'Tariffs Jan2019'!AI114))</f>
        <v>0</v>
      </c>
      <c r="G120" s="59">
        <f>IF($C$5*'Tariffs Jan2019'!AK114/'Tariffs Jan2019'!AI114&lt;'Tariffs Jan2019'!K114,0,IF($C$5*'Tariffs Jan2019'!AK114/'Tariffs Jan2019'!AI114&lt;='Tariffs Jan2019'!L114,($C$5*'Tariffs Jan2019'!AK114/'Tariffs Jan2019'!AI114-'Tariffs Jan2019'!K114)*('Tariffs Jan2019'!Q114/100)*'Tariffs Jan2019'!AI114,('Tariffs Jan2019'!L114-'Tariffs Jan2019'!K114)*('Tariffs Jan2019'!Q114/100)*'Tariffs Jan2019'!AI114))</f>
        <v>0</v>
      </c>
      <c r="H120" s="59">
        <f>IF($C$5*'Tariffs Jan2019'!AK114/'Tariffs Jan2019'!AI114&lt;'Tariffs Jan2019'!L114,0,IF($C$5*'Tariffs Jan2019'!AK114/'Tariffs Jan2019'!AI114&lt;='Tariffs Jan2019'!M114,($C$5*'Tariffs Jan2019'!AK114/'Tariffs Jan2019'!AI114-'Tariffs Jan2019'!L114)*('Tariffs Jan2019'!R114/100)*'Tariffs Jan2019'!AI114,('Tariffs Jan2019'!M114-'Tariffs Jan2019'!L114)*('Tariffs Jan2019'!R114/100)*'Tariffs Jan2019'!AI114))</f>
        <v>0</v>
      </c>
      <c r="I120" s="59">
        <f>IF(($C$5*'Tariffs Jan2019'!AK114/'Tariffs Jan2019'!AI114&gt;'Tariffs Jan2019'!M114),($C$5*'Tariffs Jan2019'!AK114/'Tariffs Jan2019'!AI114-'Tariffs Jan2019'!M114)*'Tariffs Jan2019'!S114/100*'Tariffs Jan2019'!AI114,0)</f>
        <v>321.15379999999999</v>
      </c>
      <c r="J120" s="59">
        <f>IF($C$5*'Tariffs Jan2019'!AL114/'Tariffs Jan2019'!AJ114&gt;='Tariffs Jan2019'!J114,('Tariffs Jan2019'!J114*'Tariffs Jan2019'!U114/100)* 'Tariffs Jan2019'!AJ114,($C$5*'Tariffs Jan2019'!AL114/'Tariffs Jan2019'!AJ114*'Tariffs Jan2019'!U114/100)* 'Tariffs Jan2019'!AJ114)</f>
        <v>256</v>
      </c>
      <c r="K120" s="59">
        <f>IF($C$5*'Tariffs Jan2019'!AL114/'Tariffs Jan2019'!AJ114&lt;'Tariffs Jan2019'!J114,0,IF($C$5*'Tariffs Jan2019'!AL114/'Tariffs Jan2019'!AJ114&lt;='Tariffs Jan2019'!K114,($C$5*'Tariffs Jan2019'!AL114/'Tariffs Jan2019'!AJ114-'Tariffs Jan2019'!J114)*('Tariffs Jan2019'!V114/100)*'Tariffs Jan2019'!AJ114,('Tariffs Jan2019'!K114-'Tariffs Jan2019'!J114)*('Tariffs Jan2019'!V114/100)*'Tariffs Jan2019'!AJ114))</f>
        <v>0</v>
      </c>
      <c r="L120" s="59">
        <f>IF($C$5*'Tariffs Jan2019'!AL114/'Tariffs Jan2019'!AJ114&lt;'Tariffs Jan2019'!K114,0,IF($C$5*'Tariffs Jan2019'!AL114/'Tariffs Jan2019'!AJ114&lt;='Tariffs Jan2019'!L114,($C$5*'Tariffs Jan2019'!AL114/'Tariffs Jan2019'!AJ114-'Tariffs Jan2019'!K114)*('Tariffs Jan2019'!W114/100)*'Tariffs Jan2019'!AJ114,('Tariffs Jan2019'!L114-'Tariffs Jan2019'!K114)*('Tariffs Jan2019'!W114/100)*'Tariffs Jan2019'!AJ114))</f>
        <v>0</v>
      </c>
      <c r="M120" s="59">
        <f>IF($C$5*'Tariffs Jan2019'!AL114/'Tariffs Jan2019'!AJ114&lt;'Tariffs Jan2019'!L114,0,IF($C$5*'Tariffs Jan2019'!AL114/'Tariffs Jan2019'!AJ114&lt;='Tariffs Jan2019'!M114,($C$5*'Tariffs Jan2019'!AL114/'Tariffs Jan2019'!AJ114-'Tariffs Jan2019'!L114)*('Tariffs Jan2019'!X114/100)*'Tariffs Jan2019'!AJ114,('Tariffs Jan2019'!M114-'Tariffs Jan2019'!L114)*('Tariffs Jan2019'!X114/100)*'Tariffs Jan2019'!AJ114))</f>
        <v>0</v>
      </c>
      <c r="N120" s="59">
        <f>IF(($C$5*'Tariffs Jan2019'!AL114/'Tariffs Jan2019'!AJ114&gt;'Tariffs Jan2019'!M114),($C$5*'Tariffs Jan2019'!AL114/'Tariffs Jan2019'!AJ114-'Tariffs Jan2019'!M114)*'Tariffs Jan2019'!Y114/100*'Tariffs Jan2019'!AJ114,0)</f>
        <v>467.13279999999997</v>
      </c>
      <c r="O120" s="271">
        <f t="shared" si="10"/>
        <v>1223.4866</v>
      </c>
      <c r="P120" s="59">
        <f t="shared" si="11"/>
        <v>1508.1866</v>
      </c>
      <c r="Q120" s="272">
        <f t="shared" si="12"/>
        <v>1659.0052600000001</v>
      </c>
      <c r="R120" s="40">
        <f>'Tariffs Jan2019'!AN114</f>
        <v>0</v>
      </c>
      <c r="S120" s="40">
        <f>'Tariffs Jan2019'!AO114</f>
        <v>0</v>
      </c>
      <c r="T120" s="40">
        <f>'Tariffs Jan2019'!AP114</f>
        <v>0</v>
      </c>
      <c r="U120" s="40">
        <f>'Tariffs Jan2019'!AQ114</f>
        <v>13</v>
      </c>
      <c r="V120" s="273">
        <f t="shared" si="16"/>
        <v>1508.1866</v>
      </c>
      <c r="W120" s="273">
        <f>V120-(O120*U120/100)</f>
        <v>1349.1333420000001</v>
      </c>
      <c r="X120" s="272">
        <f t="shared" si="15"/>
        <v>1659.0052600000001</v>
      </c>
      <c r="Y120" s="272">
        <f t="shared" si="15"/>
        <v>1484.0466762000003</v>
      </c>
      <c r="Z120" s="274">
        <f>'Tariffs Jan2019'!AZ114</f>
        <v>0</v>
      </c>
      <c r="AA120" s="274" t="str">
        <f>'Tariffs Jan2019'!BA114</f>
        <v>n</v>
      </c>
      <c r="AB120" s="275" t="str">
        <f>'Tariffs Jan2019'!BH114</f>
        <v>N</v>
      </c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</row>
    <row r="121" spans="1:40" x14ac:dyDescent="0.15">
      <c r="A121" s="40" t="str">
        <f>'Tariffs Jan2019'!F115</f>
        <v>Red Energy</v>
      </c>
      <c r="B121" s="40" t="str">
        <f>'Tariffs Jan2019'!D115</f>
        <v>AusNet Services Central 1</v>
      </c>
      <c r="C121" s="40" t="str">
        <f>'Tariffs Jan2019'!G115</f>
        <v>Easy Saver</v>
      </c>
      <c r="D121" s="59">
        <f>365*'Tariffs Jan2019'!H115/100</f>
        <v>292</v>
      </c>
      <c r="E121" s="59">
        <f>IF($C$5*'Tariffs Jan2019'!AK115/'Tariffs Jan2019'!AI115&gt;='Tariffs Jan2019'!J115,( 'Tariffs Jan2019'!J115*'Tariffs Jan2019'!O115/100)* 'Tariffs Jan2019'!AI115,($C$5*'Tariffs Jan2019'!AK115/'Tariffs Jan2019'!AI115*'Tariffs Jan2019'!O115/100)* 'Tariffs Jan2019'!AI115)</f>
        <v>144</v>
      </c>
      <c r="F121" s="59">
        <f>IF($C$5*'Tariffs Jan2019'!AK115/'Tariffs Jan2019'!AI115&lt;'Tariffs Jan2019'!J115,0,IF($C$5*'Tariffs Jan2019'!AK115/'Tariffs Jan2019'!AI115&lt;='Tariffs Jan2019'!K115,($C$5*'Tariffs Jan2019'!AK115/'Tariffs Jan2019'!AI115-'Tariffs Jan2019'!J115)*('Tariffs Jan2019'!P115/100)*'Tariffs Jan2019'!AI115,('Tariffs Jan2019'!K115-'Tariffs Jan2019'!J115)*('Tariffs Jan2019'!P115/100)*'Tariffs Jan2019'!AI115))</f>
        <v>0</v>
      </c>
      <c r="G121" s="59">
        <f>IF($C$5*'Tariffs Jan2019'!AK115/'Tariffs Jan2019'!AI115&lt;'Tariffs Jan2019'!K115,0,IF($C$5*'Tariffs Jan2019'!AK115/'Tariffs Jan2019'!AI115&lt;='Tariffs Jan2019'!L115,($C$5*'Tariffs Jan2019'!AK115/'Tariffs Jan2019'!AI115-'Tariffs Jan2019'!K115)*('Tariffs Jan2019'!Q115/100)*'Tariffs Jan2019'!AI115,('Tariffs Jan2019'!L115-'Tariffs Jan2019'!K115)*('Tariffs Jan2019'!Q115/100)*'Tariffs Jan2019'!AI115))</f>
        <v>0</v>
      </c>
      <c r="H121" s="59">
        <f>IF($C$5*'Tariffs Jan2019'!AK115/'Tariffs Jan2019'!AI115&lt;'Tariffs Jan2019'!L115,0,IF($C$5*'Tariffs Jan2019'!AK115/'Tariffs Jan2019'!AI115&lt;='Tariffs Jan2019'!M115,($C$5*'Tariffs Jan2019'!AK115/'Tariffs Jan2019'!AI115-'Tariffs Jan2019'!L115)*('Tariffs Jan2019'!R115/100)*'Tariffs Jan2019'!AI115,('Tariffs Jan2019'!M115-'Tariffs Jan2019'!L115)*('Tariffs Jan2019'!R115/100)*'Tariffs Jan2019'!AI115))</f>
        <v>0</v>
      </c>
      <c r="I121" s="59">
        <f>IF(($C$5*'Tariffs Jan2019'!AK115/'Tariffs Jan2019'!AI115&gt;'Tariffs Jan2019'!M115),($C$5*'Tariffs Jan2019'!AK115/'Tariffs Jan2019'!AI115-'Tariffs Jan2019'!M115)*'Tariffs Jan2019'!S115/100*'Tariffs Jan2019'!AI115,0)</f>
        <v>284.65904999999998</v>
      </c>
      <c r="J121" s="59">
        <f>IF($C$5*'Tariffs Jan2019'!AL115/'Tariffs Jan2019'!AJ115&gt;='Tariffs Jan2019'!J115,('Tariffs Jan2019'!J115*'Tariffs Jan2019'!U115/100)* 'Tariffs Jan2019'!AJ115,($C$5*'Tariffs Jan2019'!AL115/'Tariffs Jan2019'!AJ115*'Tariffs Jan2019'!U115/100)* 'Tariffs Jan2019'!AJ115)</f>
        <v>240.64</v>
      </c>
      <c r="K121" s="59">
        <f>IF($C$5*'Tariffs Jan2019'!AL115/'Tariffs Jan2019'!AJ115&lt;'Tariffs Jan2019'!J115,0,IF($C$5*'Tariffs Jan2019'!AL115/'Tariffs Jan2019'!AJ115&lt;='Tariffs Jan2019'!K115,($C$5*'Tariffs Jan2019'!AL115/'Tariffs Jan2019'!AJ115-'Tariffs Jan2019'!J115)*('Tariffs Jan2019'!V115/100)*'Tariffs Jan2019'!AJ115,('Tariffs Jan2019'!K115-'Tariffs Jan2019'!J115)*('Tariffs Jan2019'!V115/100)*'Tariffs Jan2019'!AJ115))</f>
        <v>0</v>
      </c>
      <c r="L121" s="59">
        <f>IF($C$5*'Tariffs Jan2019'!AL115/'Tariffs Jan2019'!AJ115&lt;'Tariffs Jan2019'!K115,0,IF($C$5*'Tariffs Jan2019'!AL115/'Tariffs Jan2019'!AJ115&lt;='Tariffs Jan2019'!L115,($C$5*'Tariffs Jan2019'!AL115/'Tariffs Jan2019'!AJ115-'Tariffs Jan2019'!K115)*('Tariffs Jan2019'!W115/100)*'Tariffs Jan2019'!AJ115,('Tariffs Jan2019'!L115-'Tariffs Jan2019'!K115)*('Tariffs Jan2019'!W115/100)*'Tariffs Jan2019'!AJ115))</f>
        <v>0</v>
      </c>
      <c r="M121" s="59">
        <f>IF($C$5*'Tariffs Jan2019'!AL115/'Tariffs Jan2019'!AJ115&lt;'Tariffs Jan2019'!L115,0,IF($C$5*'Tariffs Jan2019'!AL115/'Tariffs Jan2019'!AJ115&lt;='Tariffs Jan2019'!M115,($C$5*'Tariffs Jan2019'!AL115/'Tariffs Jan2019'!AJ115-'Tariffs Jan2019'!L115)*('Tariffs Jan2019'!X115/100)*'Tariffs Jan2019'!AJ115,('Tariffs Jan2019'!M115-'Tariffs Jan2019'!L115)*('Tariffs Jan2019'!X115/100)*'Tariffs Jan2019'!AJ115))</f>
        <v>0</v>
      </c>
      <c r="N121" s="59">
        <f>IF(($C$5*'Tariffs Jan2019'!AL115/'Tariffs Jan2019'!AJ115&gt;'Tariffs Jan2019'!M115),($C$5*'Tariffs Jan2019'!AL115/'Tariffs Jan2019'!AJ115-'Tariffs Jan2019'!M115)*'Tariffs Jan2019'!Y115/100*'Tariffs Jan2019'!AJ115,0)</f>
        <v>461.29363999999993</v>
      </c>
      <c r="O121" s="271">
        <f t="shared" si="10"/>
        <v>1130.5926899999999</v>
      </c>
      <c r="P121" s="59">
        <f t="shared" si="11"/>
        <v>1422.5926899999999</v>
      </c>
      <c r="Q121" s="272">
        <f t="shared" si="12"/>
        <v>1564.8519590000001</v>
      </c>
      <c r="R121" s="40">
        <f>'Tariffs Jan2019'!AN115</f>
        <v>0</v>
      </c>
      <c r="S121" s="40">
        <f>'Tariffs Jan2019'!AO115</f>
        <v>0</v>
      </c>
      <c r="T121" s="40">
        <f>'Tariffs Jan2019'!AP115</f>
        <v>10</v>
      </c>
      <c r="U121" s="40">
        <f>'Tariffs Jan2019'!AQ115</f>
        <v>0</v>
      </c>
      <c r="V121" s="273">
        <f t="shared" si="16"/>
        <v>1422.5926899999999</v>
      </c>
      <c r="W121" s="273">
        <f>V121-(P121*T121/100)</f>
        <v>1280.333421</v>
      </c>
      <c r="X121" s="272">
        <f t="shared" si="15"/>
        <v>1564.8519590000001</v>
      </c>
      <c r="Y121" s="272">
        <f t="shared" si="15"/>
        <v>1408.3667631000001</v>
      </c>
      <c r="Z121" s="274">
        <f>'Tariffs Jan2019'!AZ115</f>
        <v>0</v>
      </c>
      <c r="AA121" s="274" t="str">
        <f>'Tariffs Jan2019'!BA115</f>
        <v>n</v>
      </c>
      <c r="AB121" s="275" t="str">
        <f>'Tariffs Jan2019'!BH115</f>
        <v>N</v>
      </c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</row>
    <row r="122" spans="1:40" x14ac:dyDescent="0.15">
      <c r="A122" s="40" t="str">
        <f>'Tariffs Jan2019'!F116</f>
        <v>Simply Energy</v>
      </c>
      <c r="B122" s="40" t="str">
        <f>'Tariffs Jan2019'!D116</f>
        <v>AusNet Services Central 1</v>
      </c>
      <c r="C122" s="40" t="str">
        <f>'Tariffs Jan2019'!G116</f>
        <v>Plus</v>
      </c>
      <c r="D122" s="59">
        <f>365*'Tariffs Jan2019'!H116/100</f>
        <v>280.35650000000004</v>
      </c>
      <c r="E122" s="59">
        <f>IF($C$5*'Tariffs Jan2019'!AK116/'Tariffs Jan2019'!AI116&gt;='Tariffs Jan2019'!J116,( 'Tariffs Jan2019'!J116*'Tariffs Jan2019'!O116/100)* 'Tariffs Jan2019'!AI116,($C$5*'Tariffs Jan2019'!AK116/'Tariffs Jan2019'!AI116*'Tariffs Jan2019'!O116/100)* 'Tariffs Jan2019'!AI116)</f>
        <v>345.6</v>
      </c>
      <c r="F122" s="59">
        <f>IF($C$5*'Tariffs Jan2019'!AK116/'Tariffs Jan2019'!AI116&lt;'Tariffs Jan2019'!J116,0,IF($C$5*'Tariffs Jan2019'!AK116/'Tariffs Jan2019'!AI116&lt;='Tariffs Jan2019'!K116,($C$5*'Tariffs Jan2019'!AK116/'Tariffs Jan2019'!AI116-'Tariffs Jan2019'!J116)*('Tariffs Jan2019'!P116/100)*'Tariffs Jan2019'!AI116,('Tariffs Jan2019'!K116-'Tariffs Jan2019'!J116)*('Tariffs Jan2019'!P116/100)*'Tariffs Jan2019'!AI116))</f>
        <v>253.74077999999994</v>
      </c>
      <c r="G122" s="59">
        <f>IF($C$5*'Tariffs Jan2019'!AK116/'Tariffs Jan2019'!AI116&lt;'Tariffs Jan2019'!K116,0,IF($C$5*'Tariffs Jan2019'!AK116/'Tariffs Jan2019'!AI116&lt;='Tariffs Jan2019'!L116,($C$5*'Tariffs Jan2019'!AK116/'Tariffs Jan2019'!AI116-'Tariffs Jan2019'!K116)*('Tariffs Jan2019'!Q116/100)*'Tariffs Jan2019'!AI116,('Tariffs Jan2019'!L116-'Tariffs Jan2019'!K116)*('Tariffs Jan2019'!Q116/100)*'Tariffs Jan2019'!AI116))</f>
        <v>0</v>
      </c>
      <c r="H122" s="59">
        <f>IF($C$5*'Tariffs Jan2019'!AK116/'Tariffs Jan2019'!AI116&lt;'Tariffs Jan2019'!L116,0,IF($C$5*'Tariffs Jan2019'!AK116/'Tariffs Jan2019'!AI116&lt;='Tariffs Jan2019'!M116,($C$5*'Tariffs Jan2019'!AK116/'Tariffs Jan2019'!AI116-'Tariffs Jan2019'!L116)*('Tariffs Jan2019'!R116/100)*'Tariffs Jan2019'!AI116,('Tariffs Jan2019'!M116-'Tariffs Jan2019'!L116)*('Tariffs Jan2019'!R116/100)*'Tariffs Jan2019'!AI116))</f>
        <v>0</v>
      </c>
      <c r="I122" s="59">
        <f>IF(($C$5*'Tariffs Jan2019'!AK116/'Tariffs Jan2019'!AI116&gt;'Tariffs Jan2019'!M116),($C$5*'Tariffs Jan2019'!AK116/'Tariffs Jan2019'!AI116-'Tariffs Jan2019'!M116)*'Tariffs Jan2019'!S116/100*'Tariffs Jan2019'!AI116,0)</f>
        <v>0</v>
      </c>
      <c r="J122" s="59">
        <f>IF($C$5*'Tariffs Jan2019'!AL116/'Tariffs Jan2019'!AJ116&gt;='Tariffs Jan2019'!J116,('Tariffs Jan2019'!J116*'Tariffs Jan2019'!U116/100)* 'Tariffs Jan2019'!AJ116,($C$5*'Tariffs Jan2019'!AL116/'Tariffs Jan2019'!AJ116*'Tariffs Jan2019'!U116/100)* 'Tariffs Jan2019'!AJ116)</f>
        <v>528.00000000000011</v>
      </c>
      <c r="K122" s="59">
        <f>IF($C$5*'Tariffs Jan2019'!AL116/'Tariffs Jan2019'!AJ116&lt;'Tariffs Jan2019'!J116,0,IF($C$5*'Tariffs Jan2019'!AL116/'Tariffs Jan2019'!AJ116&lt;='Tariffs Jan2019'!K116,($C$5*'Tariffs Jan2019'!AL116/'Tariffs Jan2019'!AJ116-'Tariffs Jan2019'!J116)*('Tariffs Jan2019'!V116/100)*'Tariffs Jan2019'!AJ116,('Tariffs Jan2019'!K116-'Tariffs Jan2019'!J116)*('Tariffs Jan2019'!V116/100)*'Tariffs Jan2019'!AJ116))</f>
        <v>381.5109599999999</v>
      </c>
      <c r="L122" s="59">
        <f>IF($C$5*'Tariffs Jan2019'!AL116/'Tariffs Jan2019'!AJ116&lt;'Tariffs Jan2019'!K116,0,IF($C$5*'Tariffs Jan2019'!AL116/'Tariffs Jan2019'!AJ116&lt;='Tariffs Jan2019'!L116,($C$5*'Tariffs Jan2019'!AL116/'Tariffs Jan2019'!AJ116-'Tariffs Jan2019'!K116)*('Tariffs Jan2019'!W116/100)*'Tariffs Jan2019'!AJ116,('Tariffs Jan2019'!L116-'Tariffs Jan2019'!K116)*('Tariffs Jan2019'!W116/100)*'Tariffs Jan2019'!AJ116))</f>
        <v>0</v>
      </c>
      <c r="M122" s="59">
        <f>IF($C$5*'Tariffs Jan2019'!AL116/'Tariffs Jan2019'!AJ116&lt;'Tariffs Jan2019'!L116,0,IF($C$5*'Tariffs Jan2019'!AL116/'Tariffs Jan2019'!AJ116&lt;='Tariffs Jan2019'!M116,($C$5*'Tariffs Jan2019'!AL116/'Tariffs Jan2019'!AJ116-'Tariffs Jan2019'!L116)*('Tariffs Jan2019'!X116/100)*'Tariffs Jan2019'!AJ116,('Tariffs Jan2019'!M116-'Tariffs Jan2019'!L116)*('Tariffs Jan2019'!X116/100)*'Tariffs Jan2019'!AJ116))</f>
        <v>0</v>
      </c>
      <c r="N122" s="59">
        <f>IF(($C$5*'Tariffs Jan2019'!AL116/'Tariffs Jan2019'!AJ116&gt;'Tariffs Jan2019'!M116),($C$5*'Tariffs Jan2019'!AL116/'Tariffs Jan2019'!AJ116-'Tariffs Jan2019'!M116)*'Tariffs Jan2019'!Y116/100*'Tariffs Jan2019'!AJ116,0)</f>
        <v>0</v>
      </c>
      <c r="O122" s="271">
        <f t="shared" si="10"/>
        <v>1508.8517399999998</v>
      </c>
      <c r="P122" s="59">
        <f t="shared" si="11"/>
        <v>1789.2082399999999</v>
      </c>
      <c r="Q122" s="272">
        <f t="shared" si="12"/>
        <v>1968.129064</v>
      </c>
      <c r="R122" s="40">
        <f>'Tariffs Jan2019'!AN116</f>
        <v>0</v>
      </c>
      <c r="S122" s="40">
        <f>'Tariffs Jan2019'!AO116</f>
        <v>0</v>
      </c>
      <c r="T122" s="40">
        <f>'Tariffs Jan2019'!AP116</f>
        <v>0</v>
      </c>
      <c r="U122" s="40">
        <f>'Tariffs Jan2019'!AQ116</f>
        <v>26</v>
      </c>
      <c r="V122" s="273">
        <f t="shared" si="16"/>
        <v>1789.2082399999999</v>
      </c>
      <c r="W122" s="273">
        <f>V122-(O122*U122/100)</f>
        <v>1396.9067875999999</v>
      </c>
      <c r="X122" s="272">
        <f t="shared" si="15"/>
        <v>1968.129064</v>
      </c>
      <c r="Y122" s="272">
        <f t="shared" si="15"/>
        <v>1536.59746636</v>
      </c>
      <c r="Z122" s="274">
        <f>'Tariffs Jan2019'!AZ116</f>
        <v>0</v>
      </c>
      <c r="AA122" s="274" t="str">
        <f>'Tariffs Jan2019'!BA116</f>
        <v>n</v>
      </c>
      <c r="AB122" s="275" t="str">
        <f>'Tariffs Jan2019'!BH116</f>
        <v>Y</v>
      </c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</row>
    <row r="123" spans="1:40" x14ac:dyDescent="0.15">
      <c r="A123" s="40" t="str">
        <f>'Tariffs Jan2019'!F117</f>
        <v>Sumo Power</v>
      </c>
      <c r="B123" s="40" t="str">
        <f>'Tariffs Jan2019'!D117</f>
        <v>AusNet Services Central 1</v>
      </c>
      <c r="C123" s="40" t="str">
        <f>'Tariffs Jan2019'!G117</f>
        <v>Pay on time (max discount)</v>
      </c>
      <c r="D123" s="59">
        <f>365*'Tariffs Jan2019'!H117/100</f>
        <v>266.45</v>
      </c>
      <c r="E123" s="59">
        <f>IF($C$5*'Tariffs Jan2019'!AK117/'Tariffs Jan2019'!AI117&gt;='Tariffs Jan2019'!J117,( 'Tariffs Jan2019'!J117*'Tariffs Jan2019'!O117/100)* 'Tariffs Jan2019'!AI117,($C$5*'Tariffs Jan2019'!AK117/'Tariffs Jan2019'!AI117*'Tariffs Jan2019'!O117/100)* 'Tariffs Jan2019'!AI117)</f>
        <v>343.2</v>
      </c>
      <c r="F123" s="59">
        <f>IF($C$5*'Tariffs Jan2019'!AK117/'Tariffs Jan2019'!AI117&lt;'Tariffs Jan2019'!J117,0,IF($C$5*'Tariffs Jan2019'!AK117/'Tariffs Jan2019'!AI117&lt;='Tariffs Jan2019'!K117,($C$5*'Tariffs Jan2019'!AK117/'Tariffs Jan2019'!AI117-'Tariffs Jan2019'!J117)*('Tariffs Jan2019'!P117/100)*'Tariffs Jan2019'!AI117,('Tariffs Jan2019'!K117-'Tariffs Jan2019'!J117)*('Tariffs Jan2019'!P117/100)*'Tariffs Jan2019'!AI117))</f>
        <v>248.25206099999994</v>
      </c>
      <c r="G123" s="59">
        <f>IF($C$5*'Tariffs Jan2019'!AK117/'Tariffs Jan2019'!AI117&lt;'Tariffs Jan2019'!K117,0,IF($C$5*'Tariffs Jan2019'!AK117/'Tariffs Jan2019'!AI117&lt;='Tariffs Jan2019'!L117,($C$5*'Tariffs Jan2019'!AK117/'Tariffs Jan2019'!AI117-'Tariffs Jan2019'!K117)*('Tariffs Jan2019'!Q117/100)*'Tariffs Jan2019'!AI117,('Tariffs Jan2019'!L117-'Tariffs Jan2019'!K117)*('Tariffs Jan2019'!Q117/100)*'Tariffs Jan2019'!AI117))</f>
        <v>0</v>
      </c>
      <c r="H123" s="59">
        <f>IF($C$5*'Tariffs Jan2019'!AK117/'Tariffs Jan2019'!AI117&lt;'Tariffs Jan2019'!L117,0,IF($C$5*'Tariffs Jan2019'!AK117/'Tariffs Jan2019'!AI117&lt;='Tariffs Jan2019'!M117,($C$5*'Tariffs Jan2019'!AK117/'Tariffs Jan2019'!AI117-'Tariffs Jan2019'!L117)*('Tariffs Jan2019'!R117/100)*'Tariffs Jan2019'!AI117,('Tariffs Jan2019'!M117-'Tariffs Jan2019'!L117)*('Tariffs Jan2019'!R117/100)*'Tariffs Jan2019'!AI117))</f>
        <v>0</v>
      </c>
      <c r="I123" s="59">
        <f>IF(($C$5*'Tariffs Jan2019'!AK117/'Tariffs Jan2019'!AI117&gt;'Tariffs Jan2019'!M117),($C$5*'Tariffs Jan2019'!AK117/'Tariffs Jan2019'!AI117-'Tariffs Jan2019'!M117)*'Tariffs Jan2019'!S117/100*'Tariffs Jan2019'!AI117,0)</f>
        <v>0</v>
      </c>
      <c r="J123" s="59">
        <f>IF($C$5*'Tariffs Jan2019'!AL117/'Tariffs Jan2019'!AJ117&gt;='Tariffs Jan2019'!J117,('Tariffs Jan2019'!J117*'Tariffs Jan2019'!U117/100)* 'Tariffs Jan2019'!AJ117,($C$5*'Tariffs Jan2019'!AL117/'Tariffs Jan2019'!AJ117*'Tariffs Jan2019'!U117/100)* 'Tariffs Jan2019'!AJ117)</f>
        <v>560.4</v>
      </c>
      <c r="K123" s="59">
        <f>IF($C$5*'Tariffs Jan2019'!AL117/'Tariffs Jan2019'!AJ117&lt;'Tariffs Jan2019'!J117,0,IF($C$5*'Tariffs Jan2019'!AL117/'Tariffs Jan2019'!AJ117&lt;='Tariffs Jan2019'!K117,($C$5*'Tariffs Jan2019'!AL117/'Tariffs Jan2019'!AJ117-'Tariffs Jan2019'!J117)*('Tariffs Jan2019'!V117/100)*'Tariffs Jan2019'!AJ117,('Tariffs Jan2019'!K117-'Tariffs Jan2019'!J117)*('Tariffs Jan2019'!V117/100)*'Tariffs Jan2019'!AJ117))</f>
        <v>320.32523999999989</v>
      </c>
      <c r="L123" s="59">
        <f>IF($C$5*'Tariffs Jan2019'!AL117/'Tariffs Jan2019'!AJ117&lt;'Tariffs Jan2019'!K117,0,IF($C$5*'Tariffs Jan2019'!AL117/'Tariffs Jan2019'!AJ117&lt;='Tariffs Jan2019'!L117,($C$5*'Tariffs Jan2019'!AL117/'Tariffs Jan2019'!AJ117-'Tariffs Jan2019'!K117)*('Tariffs Jan2019'!W117/100)*'Tariffs Jan2019'!AJ117,('Tariffs Jan2019'!L117-'Tariffs Jan2019'!K117)*('Tariffs Jan2019'!W117/100)*'Tariffs Jan2019'!AJ117))</f>
        <v>0</v>
      </c>
      <c r="M123" s="59">
        <f>IF($C$5*'Tariffs Jan2019'!AL117/'Tariffs Jan2019'!AJ117&lt;'Tariffs Jan2019'!L117,0,IF($C$5*'Tariffs Jan2019'!AL117/'Tariffs Jan2019'!AJ117&lt;='Tariffs Jan2019'!M117,($C$5*'Tariffs Jan2019'!AL117/'Tariffs Jan2019'!AJ117-'Tariffs Jan2019'!L117)*('Tariffs Jan2019'!X117/100)*'Tariffs Jan2019'!AJ117,('Tariffs Jan2019'!M117-'Tariffs Jan2019'!L117)*('Tariffs Jan2019'!X117/100)*'Tariffs Jan2019'!AJ117))</f>
        <v>0</v>
      </c>
      <c r="N123" s="59">
        <f>IF(($C$5*'Tariffs Jan2019'!AL117/'Tariffs Jan2019'!AJ117&gt;'Tariffs Jan2019'!M117),($C$5*'Tariffs Jan2019'!AL117/'Tariffs Jan2019'!AJ117-'Tariffs Jan2019'!M117)*'Tariffs Jan2019'!Y117/100*'Tariffs Jan2019'!AJ117,0)</f>
        <v>0</v>
      </c>
      <c r="O123" s="271">
        <f t="shared" si="10"/>
        <v>1472.1773009999999</v>
      </c>
      <c r="P123" s="59">
        <f t="shared" si="11"/>
        <v>1738.627301</v>
      </c>
      <c r="Q123" s="272">
        <f t="shared" si="12"/>
        <v>1912.4900311000001</v>
      </c>
      <c r="R123" s="40">
        <f>'Tariffs Jan2019'!AN117</f>
        <v>0</v>
      </c>
      <c r="S123" s="40">
        <f>'Tariffs Jan2019'!AO117</f>
        <v>0</v>
      </c>
      <c r="T123" s="40">
        <f>'Tariffs Jan2019'!AP117</f>
        <v>0</v>
      </c>
      <c r="U123" s="40">
        <f>'Tariffs Jan2019'!AQ117</f>
        <v>25</v>
      </c>
      <c r="V123" s="273">
        <f t="shared" si="16"/>
        <v>1738.627301</v>
      </c>
      <c r="W123" s="273">
        <f>V123-(O123*U123/100)</f>
        <v>1370.5829757500001</v>
      </c>
      <c r="X123" s="272">
        <f t="shared" si="15"/>
        <v>1912.4900311000001</v>
      </c>
      <c r="Y123" s="272">
        <f t="shared" si="15"/>
        <v>1507.6412733250002</v>
      </c>
      <c r="Z123" s="274">
        <f>'Tariffs Jan2019'!AZ117</f>
        <v>0</v>
      </c>
      <c r="AA123" s="274" t="str">
        <f>'Tariffs Jan2019'!BA117</f>
        <v>n</v>
      </c>
      <c r="AB123" s="275" t="str">
        <f>'Tariffs Jan2019'!BH117</f>
        <v>Y</v>
      </c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</row>
    <row r="124" spans="1:40" x14ac:dyDescent="0.15">
      <c r="A124" s="40" t="str">
        <f>'Tariffs Jan2019'!F118</f>
        <v>Amaysim</v>
      </c>
      <c r="B124" s="40" t="str">
        <f>'Tariffs Jan2019'!D118</f>
        <v>AusNet Services Central 1</v>
      </c>
      <c r="C124" s="40" t="str">
        <f>'Tariffs Jan2019'!G118</f>
        <v>Gas as you go</v>
      </c>
      <c r="D124" s="59">
        <f>365*'Tariffs Jan2019'!H118/100</f>
        <v>240.2576</v>
      </c>
      <c r="E124" s="59">
        <f>IF($C$5*'Tariffs Jan2019'!AK118/'Tariffs Jan2019'!AI118&gt;='Tariffs Jan2019'!J118,( 'Tariffs Jan2019'!J118*'Tariffs Jan2019'!O118/100)* 'Tariffs Jan2019'!AI118,($C$5*'Tariffs Jan2019'!AK118/'Tariffs Jan2019'!AI118*'Tariffs Jan2019'!O118/100)* 'Tariffs Jan2019'!AI118)</f>
        <v>289.68</v>
      </c>
      <c r="F124" s="59">
        <f>IF($C$5*'Tariffs Jan2019'!AK118/'Tariffs Jan2019'!AI118&lt;'Tariffs Jan2019'!J118,0,IF($C$5*'Tariffs Jan2019'!AK118/'Tariffs Jan2019'!AI118&lt;='Tariffs Jan2019'!K118,($C$5*'Tariffs Jan2019'!AK118/'Tariffs Jan2019'!AI118-'Tariffs Jan2019'!J118)*('Tariffs Jan2019'!P118/100)*'Tariffs Jan2019'!AI118,('Tariffs Jan2019'!K118-'Tariffs Jan2019'!J118)*('Tariffs Jan2019'!P118/100)*'Tariffs Jan2019'!AI118))</f>
        <v>186.61644599999994</v>
      </c>
      <c r="G124" s="59">
        <f>IF($C$5*'Tariffs Jan2019'!AK118/'Tariffs Jan2019'!AI118&lt;'Tariffs Jan2019'!K118,0,IF($C$5*'Tariffs Jan2019'!AK118/'Tariffs Jan2019'!AI118&lt;='Tariffs Jan2019'!L118,($C$5*'Tariffs Jan2019'!AK118/'Tariffs Jan2019'!AI118-'Tariffs Jan2019'!K118)*('Tariffs Jan2019'!Q118/100)*'Tariffs Jan2019'!AI118,('Tariffs Jan2019'!L118-'Tariffs Jan2019'!K118)*('Tariffs Jan2019'!Q118/100)*'Tariffs Jan2019'!AI118))</f>
        <v>0</v>
      </c>
      <c r="H124" s="59">
        <f>IF($C$5*'Tariffs Jan2019'!AK118/'Tariffs Jan2019'!AI118&lt;'Tariffs Jan2019'!L118,0,IF($C$5*'Tariffs Jan2019'!AK118/'Tariffs Jan2019'!AI118&lt;='Tariffs Jan2019'!M118,($C$5*'Tariffs Jan2019'!AK118/'Tariffs Jan2019'!AI118-'Tariffs Jan2019'!L118)*('Tariffs Jan2019'!R118/100)*'Tariffs Jan2019'!AI118,('Tariffs Jan2019'!M118-'Tariffs Jan2019'!L118)*('Tariffs Jan2019'!R118/100)*'Tariffs Jan2019'!AI118))</f>
        <v>0</v>
      </c>
      <c r="I124" s="59">
        <f>IF(($C$5*'Tariffs Jan2019'!AK118/'Tariffs Jan2019'!AI118&gt;'Tariffs Jan2019'!M118),($C$5*'Tariffs Jan2019'!AK118/'Tariffs Jan2019'!AI118-'Tariffs Jan2019'!M118)*'Tariffs Jan2019'!S118/100*'Tariffs Jan2019'!AI118,0)</f>
        <v>0</v>
      </c>
      <c r="J124" s="59">
        <f>IF($C$5*'Tariffs Jan2019'!AL118/'Tariffs Jan2019'!AJ118&gt;='Tariffs Jan2019'!J118,('Tariffs Jan2019'!J118*'Tariffs Jan2019'!U118/100)* 'Tariffs Jan2019'!AJ118,($C$5*'Tariffs Jan2019'!AL118/'Tariffs Jan2019'!AJ118*'Tariffs Jan2019'!U118/100)* 'Tariffs Jan2019'!AJ118)</f>
        <v>408</v>
      </c>
      <c r="K124" s="59">
        <f>IF($C$5*'Tariffs Jan2019'!AL118/'Tariffs Jan2019'!AJ118&lt;'Tariffs Jan2019'!J118,0,IF($C$5*'Tariffs Jan2019'!AL118/'Tariffs Jan2019'!AJ118&lt;='Tariffs Jan2019'!K118,($C$5*'Tariffs Jan2019'!AL118/'Tariffs Jan2019'!AJ118-'Tariffs Jan2019'!J118)*('Tariffs Jan2019'!V118/100)*'Tariffs Jan2019'!AJ118,('Tariffs Jan2019'!K118-'Tariffs Jan2019'!J118)*('Tariffs Jan2019'!V118/100)*'Tariffs Jan2019'!AJ118))</f>
        <v>299.81002799999987</v>
      </c>
      <c r="L124" s="59">
        <f>IF($C$5*'Tariffs Jan2019'!AL118/'Tariffs Jan2019'!AJ118&lt;'Tariffs Jan2019'!K118,0,IF($C$5*'Tariffs Jan2019'!AL118/'Tariffs Jan2019'!AJ118&lt;='Tariffs Jan2019'!L118,($C$5*'Tariffs Jan2019'!AL118/'Tariffs Jan2019'!AJ118-'Tariffs Jan2019'!K118)*('Tariffs Jan2019'!W118/100)*'Tariffs Jan2019'!AJ118,('Tariffs Jan2019'!L118-'Tariffs Jan2019'!K118)*('Tariffs Jan2019'!W118/100)*'Tariffs Jan2019'!AJ118))</f>
        <v>0</v>
      </c>
      <c r="M124" s="59">
        <f>IF($C$5*'Tariffs Jan2019'!AL118/'Tariffs Jan2019'!AJ118&lt;'Tariffs Jan2019'!L118,0,IF($C$5*'Tariffs Jan2019'!AL118/'Tariffs Jan2019'!AJ118&lt;='Tariffs Jan2019'!M118,($C$5*'Tariffs Jan2019'!AL118/'Tariffs Jan2019'!AJ118-'Tariffs Jan2019'!L118)*('Tariffs Jan2019'!X118/100)*'Tariffs Jan2019'!AJ118,('Tariffs Jan2019'!M118-'Tariffs Jan2019'!L118)*('Tariffs Jan2019'!X118/100)*'Tariffs Jan2019'!AJ118))</f>
        <v>0</v>
      </c>
      <c r="N124" s="59">
        <f>IF(($C$5*'Tariffs Jan2019'!AL118/'Tariffs Jan2019'!AJ118&gt;'Tariffs Jan2019'!M118),($C$5*'Tariffs Jan2019'!AL118/'Tariffs Jan2019'!AJ118-'Tariffs Jan2019'!M118)*'Tariffs Jan2019'!Y118/100*'Tariffs Jan2019'!AJ118,0)</f>
        <v>0</v>
      </c>
      <c r="O124" s="271">
        <f t="shared" si="10"/>
        <v>1184.1064739999997</v>
      </c>
      <c r="P124" s="59">
        <f t="shared" si="11"/>
        <v>1424.3640739999996</v>
      </c>
      <c r="Q124" s="272">
        <f t="shared" si="12"/>
        <v>1566.8004813999996</v>
      </c>
      <c r="R124" s="40">
        <f>'Tariffs Jan2019'!AN118</f>
        <v>0</v>
      </c>
      <c r="S124" s="40">
        <f>'Tariffs Jan2019'!AO118</f>
        <v>0</v>
      </c>
      <c r="T124" s="40">
        <f>'Tariffs Jan2019'!AP118</f>
        <v>0</v>
      </c>
      <c r="U124" s="40">
        <f>'Tariffs Jan2019'!AQ118</f>
        <v>0</v>
      </c>
      <c r="V124" s="273">
        <f t="shared" si="16"/>
        <v>1424.3640739999996</v>
      </c>
      <c r="W124" s="273">
        <f>V124-(P124*T124/100)</f>
        <v>1424.3640739999996</v>
      </c>
      <c r="X124" s="272">
        <f t="shared" si="15"/>
        <v>1566.8004813999996</v>
      </c>
      <c r="Y124" s="272">
        <f t="shared" si="15"/>
        <v>1566.8004813999996</v>
      </c>
      <c r="Z124" s="274">
        <f>'Tariffs Jan2019'!AZ118</f>
        <v>0</v>
      </c>
      <c r="AA124" s="274" t="str">
        <f>'Tariffs Jan2019'!BA118</f>
        <v>n</v>
      </c>
      <c r="AB124" s="275" t="str">
        <f>'Tariffs Jan2019'!BH118</f>
        <v>N</v>
      </c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</row>
    <row r="125" spans="1:40" x14ac:dyDescent="0.15">
      <c r="A125" s="40" t="str">
        <f>'Tariffs Jan2019'!F119</f>
        <v>GloBird Energy</v>
      </c>
      <c r="B125" s="40" t="str">
        <f>'Tariffs Jan2019'!D119</f>
        <v>AusNet Services Central 1</v>
      </c>
      <c r="C125" s="40" t="str">
        <f>'Tariffs Jan2019'!G119</f>
        <v>GloSave</v>
      </c>
      <c r="D125" s="59">
        <f>365*'Tariffs Jan2019'!H119/100</f>
        <v>408.8</v>
      </c>
      <c r="E125" s="59">
        <f>IF($C$5*'Tariffs Jan2019'!AK119/'Tariffs Jan2019'!AI119&gt;='Tariffs Jan2019'!J119,( 'Tariffs Jan2019'!J119*'Tariffs Jan2019'!O119/100)* 'Tariffs Jan2019'!AI119,($C$5*'Tariffs Jan2019'!AK119/'Tariffs Jan2019'!AI119*'Tariffs Jan2019'!O119/100)* 'Tariffs Jan2019'!AI119)</f>
        <v>587.94119999999987</v>
      </c>
      <c r="F125" s="59">
        <f>IF($C$5*'Tariffs Jan2019'!AK119/'Tariffs Jan2019'!AI119&lt;'Tariffs Jan2019'!J119,0,IF($C$5*'Tariffs Jan2019'!AK119/'Tariffs Jan2019'!AI119&lt;='Tariffs Jan2019'!K119,($C$5*'Tariffs Jan2019'!AK119/'Tariffs Jan2019'!AI119-'Tariffs Jan2019'!J119)*('Tariffs Jan2019'!P119/100)*'Tariffs Jan2019'!AI119,('Tariffs Jan2019'!K119-'Tariffs Jan2019'!J119)*('Tariffs Jan2019'!P119/100)*'Tariffs Jan2019'!AI119))</f>
        <v>0</v>
      </c>
      <c r="G125" s="59">
        <f>IF($C$5*'Tariffs Jan2019'!AK119/'Tariffs Jan2019'!AI119&lt;'Tariffs Jan2019'!K119,0,IF($C$5*'Tariffs Jan2019'!AK119/'Tariffs Jan2019'!AI119&lt;='Tariffs Jan2019'!L119,($C$5*'Tariffs Jan2019'!AK119/'Tariffs Jan2019'!AI119-'Tariffs Jan2019'!K119)*('Tariffs Jan2019'!Q119/100)*'Tariffs Jan2019'!AI119,('Tariffs Jan2019'!L119-'Tariffs Jan2019'!K119)*('Tariffs Jan2019'!Q119/100)*'Tariffs Jan2019'!AI119))</f>
        <v>0</v>
      </c>
      <c r="H125" s="59">
        <f>IF($C$5*'Tariffs Jan2019'!AK119/'Tariffs Jan2019'!AI119&lt;'Tariffs Jan2019'!L119,0,IF($C$5*'Tariffs Jan2019'!AK119/'Tariffs Jan2019'!AI119&lt;='Tariffs Jan2019'!M119,($C$5*'Tariffs Jan2019'!AK119/'Tariffs Jan2019'!AI119-'Tariffs Jan2019'!L119)*('Tariffs Jan2019'!R119/100)*'Tariffs Jan2019'!AI119,('Tariffs Jan2019'!M119-'Tariffs Jan2019'!L119)*('Tariffs Jan2019'!R119/100)*'Tariffs Jan2019'!AI119))</f>
        <v>0</v>
      </c>
      <c r="I125" s="59">
        <f>IF(($C$5*'Tariffs Jan2019'!AK119/'Tariffs Jan2019'!AI119&gt;'Tariffs Jan2019'!M119),($C$5*'Tariffs Jan2019'!AK119/'Tariffs Jan2019'!AI119-'Tariffs Jan2019'!M119)*'Tariffs Jan2019'!S119/100*'Tariffs Jan2019'!AI119,0)</f>
        <v>0</v>
      </c>
      <c r="J125" s="59">
        <f>IF($C$5*'Tariffs Jan2019'!AL119/'Tariffs Jan2019'!AJ119&gt;='Tariffs Jan2019'!J119,('Tariffs Jan2019'!J119*'Tariffs Jan2019'!U119/100)* 'Tariffs Jan2019'!AJ119,($C$5*'Tariffs Jan2019'!AL119/'Tariffs Jan2019'!AJ119*'Tariffs Jan2019'!U119/100)* 'Tariffs Jan2019'!AJ119)</f>
        <v>902.90969999999982</v>
      </c>
      <c r="K125" s="59">
        <f>IF($C$5*'Tariffs Jan2019'!AL119/'Tariffs Jan2019'!AJ119&lt;'Tariffs Jan2019'!J119,0,IF($C$5*'Tariffs Jan2019'!AL119/'Tariffs Jan2019'!AJ119&lt;='Tariffs Jan2019'!K119,($C$5*'Tariffs Jan2019'!AL119/'Tariffs Jan2019'!AJ119-'Tariffs Jan2019'!J119)*('Tariffs Jan2019'!V119/100)*'Tariffs Jan2019'!AJ119,('Tariffs Jan2019'!K119-'Tariffs Jan2019'!J119)*('Tariffs Jan2019'!V119/100)*'Tariffs Jan2019'!AJ119))</f>
        <v>0</v>
      </c>
      <c r="L125" s="59">
        <f>IF($C$5*'Tariffs Jan2019'!AL119/'Tariffs Jan2019'!AJ119&lt;'Tariffs Jan2019'!K119,0,IF($C$5*'Tariffs Jan2019'!AL119/'Tariffs Jan2019'!AJ119&lt;='Tariffs Jan2019'!L119,($C$5*'Tariffs Jan2019'!AL119/'Tariffs Jan2019'!AJ119-'Tariffs Jan2019'!K119)*('Tariffs Jan2019'!W119/100)*'Tariffs Jan2019'!AJ119,('Tariffs Jan2019'!L119-'Tariffs Jan2019'!K119)*('Tariffs Jan2019'!W119/100)*'Tariffs Jan2019'!AJ119))</f>
        <v>0</v>
      </c>
      <c r="M125" s="59">
        <f>IF($C$5*'Tariffs Jan2019'!AL119/'Tariffs Jan2019'!AJ119&lt;'Tariffs Jan2019'!L119,0,IF($C$5*'Tariffs Jan2019'!AL119/'Tariffs Jan2019'!AJ119&lt;='Tariffs Jan2019'!M119,($C$5*'Tariffs Jan2019'!AL119/'Tariffs Jan2019'!AJ119-'Tariffs Jan2019'!L119)*('Tariffs Jan2019'!X119/100)*'Tariffs Jan2019'!AJ119,('Tariffs Jan2019'!M119-'Tariffs Jan2019'!L119)*('Tariffs Jan2019'!X119/100)*'Tariffs Jan2019'!AJ119))</f>
        <v>0</v>
      </c>
      <c r="N125" s="59">
        <f>IF(($C$5*'Tariffs Jan2019'!AL119/'Tariffs Jan2019'!AJ119&gt;'Tariffs Jan2019'!M119),($C$5*'Tariffs Jan2019'!AL119/'Tariffs Jan2019'!AJ119-'Tariffs Jan2019'!M119)*'Tariffs Jan2019'!Y119/100*'Tariffs Jan2019'!AJ119,0)</f>
        <v>0</v>
      </c>
      <c r="O125" s="271">
        <f t="shared" si="10"/>
        <v>1490.8508999999997</v>
      </c>
      <c r="P125" s="59">
        <f t="shared" si="11"/>
        <v>1899.6508999999996</v>
      </c>
      <c r="Q125" s="272">
        <f t="shared" si="12"/>
        <v>2089.6159899999998</v>
      </c>
      <c r="R125" s="40">
        <f>'Tariffs Jan2019'!AN119</f>
        <v>0</v>
      </c>
      <c r="S125" s="40">
        <f>'Tariffs Jan2019'!AO119</f>
        <v>0</v>
      </c>
      <c r="T125" s="40">
        <f>'Tariffs Jan2019'!AP119</f>
        <v>32</v>
      </c>
      <c r="U125" s="40">
        <f>'Tariffs Jan2019'!AQ119</f>
        <v>0</v>
      </c>
      <c r="V125" s="273">
        <f t="shared" si="16"/>
        <v>1899.6508999999996</v>
      </c>
      <c r="W125" s="273">
        <f>V125-(P125*T125/100)</f>
        <v>1291.7626119999998</v>
      </c>
      <c r="X125" s="272">
        <f t="shared" si="15"/>
        <v>2089.6159899999998</v>
      </c>
      <c r="Y125" s="272">
        <f t="shared" si="15"/>
        <v>1420.9388731999998</v>
      </c>
      <c r="Z125" s="274">
        <f>'Tariffs Jan2019'!AZ119</f>
        <v>0</v>
      </c>
      <c r="AA125" s="274" t="str">
        <f>'Tariffs Jan2019'!BA119</f>
        <v>n</v>
      </c>
      <c r="AB125" s="275" t="str">
        <f>'Tariffs Jan2019'!BH119</f>
        <v>N</v>
      </c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</row>
    <row r="126" spans="1:40" ht="14" thickBot="1" x14ac:dyDescent="0.2">
      <c r="A126" s="287" t="str">
        <f>'Tariffs Jan2019'!F120</f>
        <v>Powershop</v>
      </c>
      <c r="B126" s="287" t="str">
        <f>'Tariffs Jan2019'!D120</f>
        <v>AusNet Services Central 1</v>
      </c>
      <c r="C126" s="287" t="str">
        <f>'Tariffs Jan2019'!G120</f>
        <v>Auto Pay with Gas Saver</v>
      </c>
      <c r="D126" s="288">
        <f>365*'Tariffs Jan2019'!H120/100</f>
        <v>341.49400000000003</v>
      </c>
      <c r="E126" s="288">
        <f>((C$5*'Tariffs Jan2019'!AK120/'Tariffs Jan2019'!AI120)*('Tariffs Jan2019'!O120/100))*'Tariffs Jan2019'!AI120</f>
        <v>369.56304</v>
      </c>
      <c r="F126" s="288">
        <v>0</v>
      </c>
      <c r="G126" s="288">
        <v>0</v>
      </c>
      <c r="H126" s="288">
        <v>0</v>
      </c>
      <c r="I126" s="288">
        <v>0</v>
      </c>
      <c r="J126" s="288">
        <f>((C$5*'Tariffs Jan2019'!AL120/'Tariffs Jan2019'!AJ120)*('Tariffs Jan2019'!U120/100))*'Tariffs Jan2019'!AJ120</f>
        <v>608.93909999999994</v>
      </c>
      <c r="K126" s="288">
        <v>0</v>
      </c>
      <c r="L126" s="288">
        <v>0</v>
      </c>
      <c r="M126" s="288">
        <v>0</v>
      </c>
      <c r="N126" s="288">
        <v>0</v>
      </c>
      <c r="O126" s="289">
        <f t="shared" si="10"/>
        <v>978.50213999999994</v>
      </c>
      <c r="P126" s="288">
        <f t="shared" si="11"/>
        <v>1319.99614</v>
      </c>
      <c r="Q126" s="290">
        <f t="shared" si="12"/>
        <v>1451.995754</v>
      </c>
      <c r="R126" s="287">
        <f>'Tariffs Jan2019'!AN120</f>
        <v>0</v>
      </c>
      <c r="S126" s="287">
        <f>'Tariffs Jan2019'!AO120</f>
        <v>0</v>
      </c>
      <c r="T126" s="287">
        <f>'Tariffs Jan2019'!AP120</f>
        <v>5</v>
      </c>
      <c r="U126" s="287">
        <f>'Tariffs Jan2019'!AQ120</f>
        <v>0</v>
      </c>
      <c r="V126" s="281">
        <f t="shared" si="16"/>
        <v>1319.99614</v>
      </c>
      <c r="W126" s="281">
        <f>V126-(P126*T126/100)</f>
        <v>1253.996333</v>
      </c>
      <c r="X126" s="290">
        <f t="shared" si="15"/>
        <v>1451.995754</v>
      </c>
      <c r="Y126" s="290">
        <f t="shared" si="15"/>
        <v>1379.3959663000001</v>
      </c>
      <c r="Z126" s="292">
        <f>'Tariffs Jan2019'!AZ120</f>
        <v>0</v>
      </c>
      <c r="AA126" s="292" t="str">
        <f>'Tariffs Jan2019'!BA120</f>
        <v>n</v>
      </c>
      <c r="AB126" s="293" t="str">
        <f>'Tariffs Jan2019'!BH120</f>
        <v>Y</v>
      </c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</row>
    <row r="127" spans="1:40" x14ac:dyDescent="0.15">
      <c r="A127" s="370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</row>
    <row r="128" spans="1:40" x14ac:dyDescent="0.15">
      <c r="A128" s="370"/>
      <c r="B128" s="370"/>
      <c r="C128" s="370"/>
      <c r="D128" s="370"/>
      <c r="E128" s="370"/>
      <c r="F128" s="370"/>
      <c r="G128" s="370"/>
      <c r="H128" s="370"/>
      <c r="I128" s="37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</row>
    <row r="129" spans="1:40" x14ac:dyDescent="0.15">
      <c r="A129" s="370"/>
      <c r="B129" s="370"/>
      <c r="C129" s="370"/>
      <c r="D129" s="370"/>
      <c r="E129" s="370"/>
      <c r="F129" s="370"/>
      <c r="G129" s="370"/>
      <c r="H129" s="370"/>
      <c r="I129" s="37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</row>
    <row r="130" spans="1:40" x14ac:dyDescent="0.15">
      <c r="A130" s="370"/>
      <c r="B130" s="370"/>
      <c r="C130" s="370"/>
      <c r="D130" s="370"/>
      <c r="E130" s="370"/>
      <c r="F130" s="370"/>
      <c r="G130" s="370"/>
      <c r="H130" s="370"/>
      <c r="I130" s="37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</row>
    <row r="131" spans="1:40" x14ac:dyDescent="0.15">
      <c r="A131" s="370"/>
      <c r="B131" s="370"/>
      <c r="C131" s="370"/>
      <c r="D131" s="370"/>
      <c r="E131" s="370"/>
      <c r="F131" s="370"/>
      <c r="G131" s="370"/>
      <c r="H131" s="370"/>
      <c r="I131" s="37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</row>
    <row r="132" spans="1:40" x14ac:dyDescent="0.15">
      <c r="A132" s="370"/>
      <c r="B132" s="370"/>
      <c r="C132" s="370"/>
      <c r="D132" s="370"/>
      <c r="E132" s="370"/>
      <c r="F132" s="370"/>
      <c r="G132" s="370"/>
      <c r="H132" s="370"/>
      <c r="I132" s="37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</row>
    <row r="133" spans="1:40" x14ac:dyDescent="0.15">
      <c r="A133" s="370"/>
      <c r="B133" s="370"/>
      <c r="C133" s="370"/>
      <c r="D133" s="370"/>
      <c r="E133" s="370"/>
      <c r="F133" s="370"/>
      <c r="G133" s="370"/>
      <c r="H133" s="370"/>
      <c r="I133" s="37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</row>
    <row r="134" spans="1:40" x14ac:dyDescent="0.15">
      <c r="A134" s="370"/>
      <c r="B134" s="370"/>
      <c r="C134" s="370"/>
      <c r="D134" s="370"/>
      <c r="E134" s="370"/>
      <c r="F134" s="370"/>
      <c r="G134" s="370"/>
      <c r="H134" s="370"/>
      <c r="I134" s="37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</row>
    <row r="135" spans="1:40" x14ac:dyDescent="0.15">
      <c r="A135" s="370"/>
      <c r="B135" s="370"/>
      <c r="C135" s="370"/>
      <c r="D135" s="370"/>
      <c r="E135" s="370"/>
      <c r="F135" s="370"/>
      <c r="G135" s="370"/>
      <c r="H135" s="370"/>
      <c r="I135" s="37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</row>
    <row r="136" spans="1:40" x14ac:dyDescent="0.15">
      <c r="A136" s="370"/>
      <c r="B136" s="370"/>
      <c r="C136" s="370"/>
      <c r="D136" s="370"/>
      <c r="E136" s="370"/>
      <c r="F136" s="370"/>
      <c r="G136" s="370"/>
      <c r="H136" s="370"/>
      <c r="I136" s="37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</row>
    <row r="137" spans="1:40" x14ac:dyDescent="0.15">
      <c r="A137" s="370"/>
      <c r="B137" s="370"/>
      <c r="C137" s="370"/>
      <c r="D137" s="370"/>
      <c r="E137" s="370"/>
      <c r="F137" s="370"/>
      <c r="G137" s="370"/>
      <c r="H137" s="370"/>
      <c r="I137" s="37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</row>
    <row r="138" spans="1:40" x14ac:dyDescent="0.15">
      <c r="A138" s="370"/>
      <c r="B138" s="370"/>
      <c r="C138" s="370"/>
      <c r="D138" s="370"/>
      <c r="E138" s="370"/>
      <c r="F138" s="370"/>
      <c r="G138" s="370"/>
      <c r="H138" s="370"/>
      <c r="I138" s="37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</row>
    <row r="139" spans="1:40" x14ac:dyDescent="0.15">
      <c r="A139" s="370"/>
      <c r="B139" s="370"/>
      <c r="C139" s="370"/>
      <c r="D139" s="370"/>
      <c r="E139" s="370"/>
      <c r="F139" s="370"/>
      <c r="G139" s="370"/>
      <c r="H139" s="370"/>
      <c r="I139" s="37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</row>
    <row r="140" spans="1:40" x14ac:dyDescent="0.15">
      <c r="A140" s="370"/>
      <c r="B140" s="370"/>
      <c r="C140" s="370"/>
      <c r="D140" s="370"/>
      <c r="E140" s="370"/>
      <c r="F140" s="370"/>
      <c r="G140" s="370"/>
      <c r="H140" s="370"/>
      <c r="I140" s="37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</row>
    <row r="141" spans="1:40" x14ac:dyDescent="0.15">
      <c r="A141" s="370"/>
      <c r="B141" s="370"/>
      <c r="C141" s="370"/>
      <c r="D141" s="370"/>
      <c r="E141" s="370"/>
      <c r="F141" s="370"/>
      <c r="G141" s="370"/>
      <c r="H141" s="370"/>
      <c r="I141" s="37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</row>
    <row r="142" spans="1:40" x14ac:dyDescent="0.15">
      <c r="A142" s="370"/>
      <c r="B142" s="370"/>
      <c r="C142" s="370"/>
      <c r="D142" s="370"/>
      <c r="E142" s="370"/>
      <c r="F142" s="370"/>
      <c r="G142" s="370"/>
      <c r="H142" s="370"/>
      <c r="I142" s="37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</row>
    <row r="143" spans="1:40" x14ac:dyDescent="0.15">
      <c r="A143" s="370"/>
      <c r="B143" s="370"/>
      <c r="C143" s="370"/>
      <c r="D143" s="370"/>
      <c r="E143" s="370"/>
      <c r="F143" s="370"/>
      <c r="G143" s="370"/>
      <c r="H143" s="370"/>
      <c r="I143" s="37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</row>
    <row r="144" spans="1:40" x14ac:dyDescent="0.15">
      <c r="A144" s="370"/>
      <c r="B144" s="370"/>
      <c r="C144" s="370"/>
      <c r="D144" s="370"/>
      <c r="E144" s="370"/>
      <c r="F144" s="370"/>
      <c r="G144" s="370"/>
      <c r="H144" s="370"/>
      <c r="I144" s="37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</row>
    <row r="145" spans="1:40" x14ac:dyDescent="0.15">
      <c r="A145" s="370"/>
      <c r="B145" s="370"/>
      <c r="C145" s="370"/>
      <c r="D145" s="370"/>
      <c r="E145" s="370"/>
      <c r="F145" s="370"/>
      <c r="G145" s="370"/>
      <c r="H145" s="370"/>
      <c r="I145" s="37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</row>
    <row r="146" spans="1:40" x14ac:dyDescent="0.15">
      <c r="A146" s="370"/>
      <c r="B146" s="370"/>
      <c r="C146" s="370"/>
      <c r="D146" s="370"/>
      <c r="E146" s="370"/>
      <c r="F146" s="370"/>
      <c r="G146" s="370"/>
      <c r="H146" s="370"/>
      <c r="I146" s="37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</row>
    <row r="147" spans="1:40" x14ac:dyDescent="0.15">
      <c r="A147" s="370"/>
      <c r="B147" s="370"/>
      <c r="C147" s="370"/>
      <c r="D147" s="370"/>
      <c r="E147" s="370"/>
      <c r="F147" s="370"/>
      <c r="G147" s="370"/>
      <c r="H147" s="370"/>
      <c r="I147" s="37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</row>
    <row r="148" spans="1:40" x14ac:dyDescent="0.15">
      <c r="A148" s="370"/>
      <c r="B148" s="370"/>
      <c r="C148" s="370"/>
      <c r="D148" s="370"/>
      <c r="E148" s="370"/>
      <c r="F148" s="370"/>
      <c r="G148" s="370"/>
      <c r="H148" s="370"/>
      <c r="I148" s="37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</row>
    <row r="149" spans="1:40" x14ac:dyDescent="0.15">
      <c r="A149" s="370"/>
      <c r="B149" s="370"/>
      <c r="C149" s="370"/>
      <c r="D149" s="370"/>
      <c r="E149" s="370"/>
      <c r="F149" s="370"/>
      <c r="G149" s="370"/>
      <c r="H149" s="370"/>
      <c r="I149" s="37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</row>
    <row r="150" spans="1:40" x14ac:dyDescent="0.15">
      <c r="A150" s="370"/>
      <c r="B150" s="370"/>
      <c r="C150" s="370"/>
      <c r="D150" s="370"/>
      <c r="E150" s="370"/>
      <c r="F150" s="370"/>
      <c r="G150" s="370"/>
      <c r="H150" s="370"/>
      <c r="I150" s="37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</row>
    <row r="151" spans="1:40" x14ac:dyDescent="0.15">
      <c r="A151" s="370"/>
      <c r="B151" s="370"/>
      <c r="C151" s="370"/>
      <c r="D151" s="370"/>
      <c r="E151" s="370"/>
      <c r="F151" s="370"/>
      <c r="G151" s="370"/>
      <c r="H151" s="370"/>
      <c r="I151" s="37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</row>
    <row r="152" spans="1:40" x14ac:dyDescent="0.15">
      <c r="A152" s="370"/>
      <c r="B152" s="370"/>
      <c r="C152" s="370"/>
      <c r="D152" s="370"/>
      <c r="E152" s="370"/>
      <c r="F152" s="370"/>
      <c r="G152" s="370"/>
      <c r="H152" s="370"/>
      <c r="I152" s="37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</row>
    <row r="153" spans="1:40" x14ac:dyDescent="0.15">
      <c r="A153" s="370"/>
      <c r="B153" s="370"/>
      <c r="C153" s="370"/>
      <c r="D153" s="370"/>
      <c r="E153" s="370"/>
      <c r="F153" s="370"/>
      <c r="G153" s="370"/>
      <c r="H153" s="370"/>
      <c r="I153" s="37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</row>
    <row r="154" spans="1:40" x14ac:dyDescent="0.15">
      <c r="A154" s="370"/>
      <c r="B154" s="370"/>
      <c r="C154" s="370"/>
      <c r="D154" s="370"/>
      <c r="E154" s="370"/>
      <c r="F154" s="370"/>
      <c r="G154" s="370"/>
      <c r="H154" s="370"/>
      <c r="I154" s="37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</row>
    <row r="155" spans="1:40" x14ac:dyDescent="0.15">
      <c r="A155" s="370"/>
      <c r="B155" s="370"/>
      <c r="C155" s="370"/>
      <c r="D155" s="370"/>
      <c r="E155" s="370"/>
      <c r="F155" s="370"/>
      <c r="G155" s="370"/>
      <c r="H155" s="370"/>
      <c r="I155" s="37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</row>
    <row r="156" spans="1:40" x14ac:dyDescent="0.15">
      <c r="A156" s="370"/>
      <c r="B156" s="370"/>
      <c r="C156" s="370"/>
      <c r="D156" s="370"/>
      <c r="E156" s="370"/>
      <c r="F156" s="370"/>
      <c r="G156" s="370"/>
      <c r="H156" s="370"/>
      <c r="I156" s="37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</row>
  </sheetData>
  <sheetProtection algorithmName="SHA-512" hashValue="veP1c0+TlXoKhZttd/sOy/QXVbZRjCtiThGwRSi4x4keNk+vwcB05LcvFphOCV1IdkFFcGN5v0ag6sQVeaW2TA==" saltValue="Cv+3HpxC41v0rvuUelzHDg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AN147"/>
  <sheetViews>
    <sheetView workbookViewId="0">
      <selection activeCell="H138" sqref="H138"/>
    </sheetView>
  </sheetViews>
  <sheetFormatPr baseColWidth="10" defaultColWidth="10.83203125" defaultRowHeight="13" x14ac:dyDescent="0.15"/>
  <cols>
    <col min="1" max="1" width="17.33203125" customWidth="1"/>
    <col min="2" max="2" width="18.1640625" customWidth="1"/>
    <col min="3" max="3" width="22.1640625" customWidth="1"/>
    <col min="4" max="14" width="14.1640625" customWidth="1"/>
    <col min="15" max="15" width="12.33203125" hidden="1" customWidth="1"/>
    <col min="16" max="16" width="14.1640625" hidden="1" customWidth="1"/>
    <col min="17" max="21" width="14.1640625" customWidth="1"/>
    <col min="22" max="23" width="12.33203125" hidden="1" customWidth="1"/>
    <col min="24" max="27" width="14.1640625" customWidth="1"/>
    <col min="28" max="38" width="12.33203125" customWidth="1"/>
  </cols>
  <sheetData>
    <row r="1" spans="1:40" ht="14" x14ac:dyDescent="0.15">
      <c r="A1" s="350" t="s">
        <v>722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</row>
    <row r="2" spans="1:40" ht="14" x14ac:dyDescent="0.15">
      <c r="A2" s="352" t="s">
        <v>723</v>
      </c>
      <c r="B2" s="352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</row>
    <row r="3" spans="1:40" ht="15" thickBot="1" x14ac:dyDescent="0.2">
      <c r="A3" s="350"/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3"/>
      <c r="AB3" s="351"/>
      <c r="AC3" s="351"/>
      <c r="AD3" s="351"/>
      <c r="AE3" s="351"/>
      <c r="AF3" s="351"/>
      <c r="AG3" s="351"/>
      <c r="AH3" s="351"/>
      <c r="AI3" s="351"/>
      <c r="AJ3" s="351"/>
      <c r="AK3" s="351"/>
      <c r="AL3" s="351"/>
      <c r="AM3" s="351"/>
      <c r="AN3" s="351"/>
    </row>
    <row r="4" spans="1:40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6"/>
      <c r="AC4" s="351"/>
      <c r="AD4" s="351"/>
      <c r="AE4" s="351"/>
      <c r="AF4" s="351"/>
      <c r="AG4" s="351"/>
      <c r="AH4" s="351"/>
      <c r="AI4" s="351"/>
      <c r="AJ4" s="351"/>
      <c r="AK4" s="351"/>
      <c r="AL4" s="351"/>
      <c r="AM4" s="351"/>
      <c r="AN4" s="351"/>
    </row>
    <row r="5" spans="1:40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9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</row>
    <row r="6" spans="1:40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9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</row>
    <row r="7" spans="1:40" ht="75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493" t="s">
        <v>572</v>
      </c>
      <c r="P7" s="494" t="s">
        <v>573</v>
      </c>
      <c r="Q7" s="493" t="s">
        <v>574</v>
      </c>
      <c r="R7" s="495" t="s">
        <v>575</v>
      </c>
      <c r="S7" s="496" t="s">
        <v>576</v>
      </c>
      <c r="T7" s="496" t="s">
        <v>577</v>
      </c>
      <c r="U7" s="496" t="s">
        <v>578</v>
      </c>
      <c r="V7" s="497" t="s">
        <v>579</v>
      </c>
      <c r="W7" s="497" t="s">
        <v>580</v>
      </c>
      <c r="X7" s="497" t="s">
        <v>581</v>
      </c>
      <c r="Y7" s="497" t="s">
        <v>582</v>
      </c>
      <c r="Z7" s="498" t="s">
        <v>583</v>
      </c>
      <c r="AA7" s="499" t="s">
        <v>584</v>
      </c>
      <c r="AB7" s="500" t="s">
        <v>585</v>
      </c>
      <c r="AC7" s="351"/>
      <c r="AD7" s="351"/>
      <c r="AE7" s="351"/>
      <c r="AF7" s="351"/>
      <c r="AG7" s="351"/>
      <c r="AH7" s="351"/>
      <c r="AI7" s="351"/>
      <c r="AJ7" s="351"/>
      <c r="AK7" s="351"/>
      <c r="AL7" s="351"/>
      <c r="AM7" s="351"/>
      <c r="AN7" s="351"/>
    </row>
    <row r="8" spans="1:40" x14ac:dyDescent="0.15">
      <c r="A8" s="270" t="str">
        <f>'Tariffs Jul2018'!F2</f>
        <v>AGL</v>
      </c>
      <c r="B8" s="40" t="str">
        <f>'Tariffs Jul2018'!D2</f>
        <v>Multinet 1</v>
      </c>
      <c r="C8" s="40" t="str">
        <f>'Tariffs Jul2018'!G2</f>
        <v>Savers</v>
      </c>
      <c r="D8" s="59">
        <f>365*'Tariffs Jul2018'!H2/100</f>
        <v>288.35000000000002</v>
      </c>
      <c r="E8" s="59">
        <f>IF($C$5*'Tariffs Jul2018'!AK2/'Tariffs Jul2018'!AI2&gt;='Tariffs Jul2018'!J2,( 'Tariffs Jul2018'!J2*'Tariffs Jul2018'!O2/100)* 'Tariffs Jul2018'!AI2,($C$5*'Tariffs Jul2018'!AK2/'Tariffs Jul2018'!AI2*'Tariffs Jul2018'!O2/100)* 'Tariffs Jul2018'!AI2)</f>
        <v>243.89999999999998</v>
      </c>
      <c r="F8" s="59">
        <f>IF($C$5*'Tariffs Jul2018'!AK2/'Tariffs Jul2018'!AI2&lt;'Tariffs Jul2018'!J2,0,IF($C$5*'Tariffs Jul2018'!AK2/'Tariffs Jul2018'!AI2&lt;='Tariffs Jul2018'!K2,($C$5*'Tariffs Jul2018'!AK2/'Tariffs Jul2018'!AI2-'Tariffs Jul2018'!J2)*('Tariffs Jul2018'!P2/100)*'Tariffs Jul2018'!AI2,('Tariffs Jul2018'!K2-'Tariffs Jul2018'!J2)*('Tariffs Jul2018'!P2/100)*'Tariffs Jul2018'!AI2))</f>
        <v>212.39999999999998</v>
      </c>
      <c r="G8" s="59">
        <f>IF($C$5*'Tariffs Jul2018'!AK2/'Tariffs Jul2018'!AI2&lt;'Tariffs Jul2018'!K2,0,IF($C$5*'Tariffs Jul2018'!AK2/'Tariffs Jul2018'!AI2&lt;='Tariffs Jul2018'!L2,($C$5*'Tariffs Jul2018'!AK2/'Tariffs Jul2018'!AI2-'Tariffs Jul2018'!K2)*('Tariffs Jul2018'!Q2/100)*'Tariffs Jul2018'!AI2,('Tariffs Jul2018'!L2-'Tariffs Jul2018'!K2)*('Tariffs Jul2018'!Q2/100)*'Tariffs Jul2018'!AI2))</f>
        <v>169.2</v>
      </c>
      <c r="H8" s="59">
        <f>IF($C$5*'Tariffs Jul2018'!AK2/'Tariffs Jul2018'!AI2&lt;'Tariffs Jul2018'!L2,0,IF($C$5*'Tariffs Jul2018'!AK2/'Tariffs Jul2018'!AI2&lt;='Tariffs Jul2018'!M2,($C$5*'Tariffs Jul2018'!AK2/'Tariffs Jul2018'!AI2-'Tariffs Jul2018'!L2)*('Tariffs Jul2018'!R2/100)*'Tariffs Jul2018'!AI2,('Tariffs Jul2018'!M2-'Tariffs Jul2018'!L2)*('Tariffs Jul2018'!R2/100)*'Tariffs Jul2018'!AI2))</f>
        <v>73.349999999999994</v>
      </c>
      <c r="I8" s="59">
        <f>IF(($C$5*'Tariffs Jul2018'!AK2/'Tariffs Jul2018'!AI2&gt;'Tariffs Jul2018'!M2),($C$5*'Tariffs Jul2018'!AK2/'Tariffs Jul2018'!AI2-'Tariffs Jul2018'!M2)*'Tariffs Jul2018'!S2/100*'Tariffs Jul2018'!AI2,0)</f>
        <v>0</v>
      </c>
      <c r="J8" s="59">
        <f>IF($C$5*'Tariffs Jul2018'!AL2/'Tariffs Jul2018'!AJ2&gt;='Tariffs Jul2018'!J2,('Tariffs Jul2018'!J2*'Tariffs Jul2018'!U2/100)* 'Tariffs Jul2018'!AJ2,($C$5*'Tariffs Jul2018'!AL2/'Tariffs Jul2018'!AJ2*'Tariffs Jul2018'!U2/100)* 'Tariffs Jul2018'!AJ2)</f>
        <v>231.29999999999998</v>
      </c>
      <c r="K8" s="59">
        <f>IF($C$5*'Tariffs Jul2018'!AL2/'Tariffs Jul2018'!AJ2&lt;'Tariffs Jul2018'!J2,0,IF($C$5*'Tariffs Jul2018'!AL2/'Tariffs Jul2018'!AJ2&lt;='Tariffs Jul2018'!K2,($C$5*'Tariffs Jul2018'!AL2/'Tariffs Jul2018'!AJ2-'Tariffs Jul2018'!J2)*('Tariffs Jul2018'!V2/100)*'Tariffs Jul2018'!AJ2,('Tariffs Jul2018'!K2-'Tariffs Jul2018'!J2)*('Tariffs Jul2018'!V2/100)*'Tariffs Jul2018'!AJ2))</f>
        <v>199.8</v>
      </c>
      <c r="L8" s="59">
        <f>IF($C$5*'Tariffs Jul2018'!AL2/'Tariffs Jul2018'!AJ2&lt;'Tariffs Jul2018'!K2,0,IF($C$5*'Tariffs Jul2018'!AL2/'Tariffs Jul2018'!AJ2&lt;='Tariffs Jul2018'!L2,($C$5*'Tariffs Jul2018'!AL2/'Tariffs Jul2018'!AJ2-'Tariffs Jul2018'!K2)*('Tariffs Jul2018'!W2/100)*'Tariffs Jul2018'!AJ2,('Tariffs Jul2018'!L2-'Tariffs Jul2018'!K2)*('Tariffs Jul2018'!W2/100)*'Tariffs Jul2018'!AJ2))</f>
        <v>163.80000000000001</v>
      </c>
      <c r="M8" s="59">
        <f>IF($C$5*'Tariffs Jul2018'!AL2/'Tariffs Jul2018'!AJ2&lt;'Tariffs Jul2018'!L2,0,IF($C$5*'Tariffs Jul2018'!AL2/'Tariffs Jul2018'!AJ2&lt;='Tariffs Jul2018'!M2,($C$5*'Tariffs Jul2018'!AL2/'Tariffs Jul2018'!AJ2-'Tariffs Jul2018'!L2)*('Tariffs Jul2018'!X2/100)*'Tariffs Jul2018'!AJ2,('Tariffs Jul2018'!M2-'Tariffs Jul2018'!L2)*('Tariffs Jul2018'!X2/100)*'Tariffs Jul2018'!AJ2))</f>
        <v>72</v>
      </c>
      <c r="N8" s="59">
        <f>IF(($C$5*'Tariffs Jul2018'!AL2/'Tariffs Jul2018'!AJ2&gt;'Tariffs Jul2018'!M2),($C$5*'Tariffs Jul2018'!AL2/'Tariffs Jul2018'!AJ2-'Tariffs Jul2018'!M2)*'Tariffs Jul2018'!Y2/100*'Tariffs Jul2018'!AJ2,0)</f>
        <v>0</v>
      </c>
      <c r="O8" s="271">
        <f>SUM(E8:N8)</f>
        <v>1365.75</v>
      </c>
      <c r="P8" s="59">
        <f>D8+O8</f>
        <v>1654.1</v>
      </c>
      <c r="Q8" s="272">
        <f>P8*1.1</f>
        <v>1819.51</v>
      </c>
      <c r="R8" s="40">
        <f>'Tariffs Jul2018'!AM2</f>
        <v>0</v>
      </c>
      <c r="S8" s="40">
        <f>'Tariffs Jul2018'!AN2</f>
        <v>0</v>
      </c>
      <c r="T8" s="40">
        <f>'Tariffs Jul2018'!AO2</f>
        <v>0</v>
      </c>
      <c r="U8" s="40">
        <f>'Tariffs Jul2018'!AP2</f>
        <v>26</v>
      </c>
      <c r="V8" s="273">
        <f>P8</f>
        <v>1654.1</v>
      </c>
      <c r="W8" s="273">
        <f>V8-(O8*U8/100)</f>
        <v>1299.0049999999999</v>
      </c>
      <c r="X8" s="272">
        <f>V8*1.1</f>
        <v>1819.51</v>
      </c>
      <c r="Y8" s="272">
        <f>W8*1.1</f>
        <v>1428.9055000000001</v>
      </c>
      <c r="Z8" s="274">
        <f>'Tariffs Jul2018'!AY2</f>
        <v>0</v>
      </c>
      <c r="AA8" s="274" t="str">
        <f>'Tariffs Jul2018'!AZ2</f>
        <v>n</v>
      </c>
      <c r="AB8" s="275" t="str">
        <f>'Tariffs Jul2018'!BG2</f>
        <v>N</v>
      </c>
      <c r="AC8" s="351"/>
      <c r="AD8" s="351"/>
      <c r="AE8" s="351"/>
      <c r="AF8" s="351"/>
      <c r="AG8" s="351"/>
      <c r="AH8" s="351"/>
      <c r="AI8" s="351"/>
      <c r="AJ8" s="351"/>
      <c r="AK8" s="351"/>
      <c r="AL8" s="351"/>
      <c r="AM8" s="351"/>
      <c r="AN8" s="351"/>
    </row>
    <row r="9" spans="1:40" x14ac:dyDescent="0.15">
      <c r="A9" s="270" t="str">
        <f>'Tariffs Jul2018'!F3</f>
        <v>Alinta Energy</v>
      </c>
      <c r="B9" s="40" t="str">
        <f>'Tariffs Jul2018'!D3</f>
        <v>Multinet 1</v>
      </c>
      <c r="C9" s="40" t="str">
        <f>'Tariffs Jul2018'!G3</f>
        <v>Fair Deal</v>
      </c>
      <c r="D9" s="59">
        <f>365*'Tariffs Jul2018'!H3/100</f>
        <v>251.047</v>
      </c>
      <c r="E9" s="59">
        <f>IF($C$5*'Tariffs Jul2018'!AK3/'Tariffs Jul2018'!AI3&gt;='Tariffs Jul2018'!J3,( 'Tariffs Jul2018'!J3*'Tariffs Jul2018'!O3/100)* 'Tariffs Jul2018'!AI3,($C$5*'Tariffs Jul2018'!AK3/'Tariffs Jul2018'!AI3*'Tariffs Jul2018'!O3/100)* 'Tariffs Jul2018'!AI3)</f>
        <v>212.39999999999998</v>
      </c>
      <c r="F9" s="59">
        <f>IF($C$5*'Tariffs Jul2018'!AK3/'Tariffs Jul2018'!AI3&lt;'Tariffs Jul2018'!J3,0,IF($C$5*'Tariffs Jul2018'!AK3/'Tariffs Jul2018'!AI3&lt;='Tariffs Jul2018'!K3,($C$5*'Tariffs Jul2018'!AK3/'Tariffs Jul2018'!AI3-'Tariffs Jul2018'!J3)*('Tariffs Jul2018'!P3/100)*'Tariffs Jul2018'!AI3,('Tariffs Jul2018'!K3-'Tariffs Jul2018'!J3)*('Tariffs Jul2018'!P3/100)*'Tariffs Jul2018'!AI3))</f>
        <v>182.7</v>
      </c>
      <c r="G9" s="59">
        <f>IF($C$5*'Tariffs Jul2018'!AK3/'Tariffs Jul2018'!AI3&lt;'Tariffs Jul2018'!K3,0,IF($C$5*'Tariffs Jul2018'!AK3/'Tariffs Jul2018'!AI3&lt;='Tariffs Jul2018'!L3,($C$5*'Tariffs Jul2018'!AK3/'Tariffs Jul2018'!AI3-'Tariffs Jul2018'!K3)*('Tariffs Jul2018'!Q3/100)*'Tariffs Jul2018'!AI3,('Tariffs Jul2018'!L3-'Tariffs Jul2018'!K3)*('Tariffs Jul2018'!Q3/100)*'Tariffs Jul2018'!AI3))</f>
        <v>0</v>
      </c>
      <c r="H9" s="59">
        <f>IF($C$5*'Tariffs Jul2018'!AK3/'Tariffs Jul2018'!AI3&lt;'Tariffs Jul2018'!L3,0,IF($C$5*'Tariffs Jul2018'!AK3/'Tariffs Jul2018'!AI3&lt;='Tariffs Jul2018'!M3,($C$5*'Tariffs Jul2018'!AK3/'Tariffs Jul2018'!AI3-'Tariffs Jul2018'!L3)*('Tariffs Jul2018'!R3/100)*'Tariffs Jul2018'!AI3,('Tariffs Jul2018'!M3-'Tariffs Jul2018'!L3)*('Tariffs Jul2018'!R3/100)*'Tariffs Jul2018'!AI3))</f>
        <v>0</v>
      </c>
      <c r="I9" s="59">
        <f>IF(($C$5*'Tariffs Jul2018'!AK3/'Tariffs Jul2018'!AI3&gt;'Tariffs Jul2018'!M3),($C$5*'Tariffs Jul2018'!AK3/'Tariffs Jul2018'!AI3-'Tariffs Jul2018'!M3)*'Tariffs Jul2018'!S3/100*'Tariffs Jul2018'!AI3,0)</f>
        <v>221.39999999999998</v>
      </c>
      <c r="J9" s="59">
        <f>IF($C$5*'Tariffs Jul2018'!AL3/'Tariffs Jul2018'!AJ3&gt;='Tariffs Jul2018'!J3,('Tariffs Jul2018'!J3*'Tariffs Jul2018'!U3/100)* 'Tariffs Jul2018'!AJ3,($C$5*'Tariffs Jul2018'!AL3/'Tariffs Jul2018'!AJ3*'Tariffs Jul2018'!U3/100)* 'Tariffs Jul2018'!AJ3)</f>
        <v>205.2</v>
      </c>
      <c r="K9" s="59">
        <f>IF($C$5*'Tariffs Jul2018'!AL3/'Tariffs Jul2018'!AJ3&lt;'Tariffs Jul2018'!J3,0,IF($C$5*'Tariffs Jul2018'!AL3/'Tariffs Jul2018'!AJ3&lt;='Tariffs Jul2018'!K3,($C$5*'Tariffs Jul2018'!AL3/'Tariffs Jul2018'!AJ3-'Tariffs Jul2018'!J3)*('Tariffs Jul2018'!V3/100)*'Tariffs Jul2018'!AJ3,('Tariffs Jul2018'!K3-'Tariffs Jul2018'!J3)*('Tariffs Jul2018'!V3/100)*'Tariffs Jul2018'!AJ3))</f>
        <v>179.10000000000002</v>
      </c>
      <c r="L9" s="59">
        <f>IF($C$5*'Tariffs Jul2018'!AL3/'Tariffs Jul2018'!AJ3&lt;'Tariffs Jul2018'!K3,0,IF($C$5*'Tariffs Jul2018'!AL3/'Tariffs Jul2018'!AJ3&lt;='Tariffs Jul2018'!L3,($C$5*'Tariffs Jul2018'!AL3/'Tariffs Jul2018'!AJ3-'Tariffs Jul2018'!K3)*('Tariffs Jul2018'!W3/100)*'Tariffs Jul2018'!AJ3,('Tariffs Jul2018'!L3-'Tariffs Jul2018'!K3)*('Tariffs Jul2018'!W3/100)*'Tariffs Jul2018'!AJ3))</f>
        <v>0</v>
      </c>
      <c r="M9" s="59">
        <f>IF($C$5*'Tariffs Jul2018'!AL3/'Tariffs Jul2018'!AJ3&lt;'Tariffs Jul2018'!L3,0,IF($C$5*'Tariffs Jul2018'!AL3/'Tariffs Jul2018'!AJ3&lt;='Tariffs Jul2018'!M3,($C$5*'Tariffs Jul2018'!AL3/'Tariffs Jul2018'!AJ3-'Tariffs Jul2018'!L3)*('Tariffs Jul2018'!X3/100)*'Tariffs Jul2018'!AJ3,('Tariffs Jul2018'!M3-'Tariffs Jul2018'!L3)*('Tariffs Jul2018'!X3/100)*'Tariffs Jul2018'!AJ3))</f>
        <v>0</v>
      </c>
      <c r="N9" s="59">
        <f>IF(($C$5*'Tariffs Jul2018'!AL3/'Tariffs Jul2018'!AJ3&gt;'Tariffs Jul2018'!M3),($C$5*'Tariffs Jul2018'!AL3/'Tariffs Jul2018'!AJ3-'Tariffs Jul2018'!M3)*'Tariffs Jul2018'!Y3/100*'Tariffs Jul2018'!AJ3,0)</f>
        <v>220.04999999999998</v>
      </c>
      <c r="O9" s="271">
        <f t="shared" ref="O9:O92" si="0">SUM(E9:N9)</f>
        <v>1220.8500000000001</v>
      </c>
      <c r="P9" s="59">
        <f t="shared" ref="P9:P92" si="1">D9+O9</f>
        <v>1471.8970000000002</v>
      </c>
      <c r="Q9" s="272">
        <f t="shared" ref="Q9:Q92" si="2">P9*1.1</f>
        <v>1619.0867000000003</v>
      </c>
      <c r="R9" s="40">
        <f>'Tariffs Jul2018'!AM3</f>
        <v>0</v>
      </c>
      <c r="S9" s="40">
        <f>'Tariffs Jul2018'!AN3</f>
        <v>0</v>
      </c>
      <c r="T9" s="40">
        <f>'Tariffs Jul2018'!AO3</f>
        <v>0</v>
      </c>
      <c r="U9" s="40">
        <f>'Tariffs Jul2018'!AP3</f>
        <v>25</v>
      </c>
      <c r="V9" s="273">
        <f t="shared" ref="V9:V20" si="3">P9</f>
        <v>1471.8970000000002</v>
      </c>
      <c r="W9" s="273">
        <f>V9-(O9*U9/100)</f>
        <v>1166.6845000000001</v>
      </c>
      <c r="X9" s="272">
        <f t="shared" ref="X9:Y92" si="4">V9*1.1</f>
        <v>1619.0867000000003</v>
      </c>
      <c r="Y9" s="272">
        <f t="shared" si="4"/>
        <v>1283.3529500000002</v>
      </c>
      <c r="Z9" s="274">
        <f>'Tariffs Jul2018'!AY3</f>
        <v>0</v>
      </c>
      <c r="AA9" s="274" t="str">
        <f>'Tariffs Jul2018'!AZ3</f>
        <v>n</v>
      </c>
      <c r="AB9" s="275" t="str">
        <f>'Tariffs Jul2018'!BG3</f>
        <v>Y</v>
      </c>
      <c r="AC9" s="351"/>
      <c r="AD9" s="351"/>
      <c r="AE9" s="351"/>
      <c r="AF9" s="351"/>
      <c r="AG9" s="351"/>
      <c r="AH9" s="351"/>
      <c r="AI9" s="351"/>
      <c r="AJ9" s="351"/>
      <c r="AK9" s="351"/>
      <c r="AL9" s="351"/>
      <c r="AM9" s="351"/>
      <c r="AN9" s="351"/>
    </row>
    <row r="10" spans="1:40" x14ac:dyDescent="0.15">
      <c r="A10" s="270" t="str">
        <f>'Tariffs Jul2018'!F4</f>
        <v>Click Energy</v>
      </c>
      <c r="B10" s="40" t="str">
        <f>'Tariffs Jul2018'!D4</f>
        <v>Multinet 1</v>
      </c>
      <c r="C10" s="40" t="str">
        <f>'Tariffs Jul2018'!G4</f>
        <v>Lilac</v>
      </c>
      <c r="D10" s="59">
        <f>365*'Tariffs Jul2018'!H4/100</f>
        <v>285.06499999999994</v>
      </c>
      <c r="E10" s="59">
        <f>IF($C$5*'Tariffs Jul2018'!AK4/'Tariffs Jul2018'!AI4&gt;='Tariffs Jul2018'!J4,( 'Tariffs Jul2018'!J4*'Tariffs Jul2018'!O4/100)* 'Tariffs Jul2018'!AI4,($C$5*'Tariffs Jul2018'!AK4/'Tariffs Jul2018'!AI4*'Tariffs Jul2018'!O4/100)* 'Tariffs Jul2018'!AI4)</f>
        <v>301.5</v>
      </c>
      <c r="F10" s="59">
        <f>IF($C$5*'Tariffs Jul2018'!AK4/'Tariffs Jul2018'!AI4&lt;'Tariffs Jul2018'!J4,0,IF($C$5*'Tariffs Jul2018'!AK4/'Tariffs Jul2018'!AI4&lt;='Tariffs Jul2018'!K4,($C$5*'Tariffs Jul2018'!AK4/'Tariffs Jul2018'!AI4-'Tariffs Jul2018'!J4)*('Tariffs Jul2018'!P4/100)*'Tariffs Jul2018'!AI4,('Tariffs Jul2018'!K4-'Tariffs Jul2018'!J4)*('Tariffs Jul2018'!P4/100)*'Tariffs Jul2018'!AI4))</f>
        <v>265.5</v>
      </c>
      <c r="G10" s="59">
        <f>IF($C$5*'Tariffs Jul2018'!AK4/'Tariffs Jul2018'!AI4&lt;'Tariffs Jul2018'!K4,0,IF($C$5*'Tariffs Jul2018'!AK4/'Tariffs Jul2018'!AI4&lt;='Tariffs Jul2018'!L4,($C$5*'Tariffs Jul2018'!AK4/'Tariffs Jul2018'!AI4-'Tariffs Jul2018'!K4)*('Tariffs Jul2018'!Q4/100)*'Tariffs Jul2018'!AI4,('Tariffs Jul2018'!L4-'Tariffs Jul2018'!K4)*('Tariffs Jul2018'!Q4/100)*'Tariffs Jul2018'!AI4))</f>
        <v>229.5</v>
      </c>
      <c r="H10" s="59">
        <f>IF($C$5*'Tariffs Jul2018'!AK4/'Tariffs Jul2018'!AI4&lt;'Tariffs Jul2018'!L4,0,IF($C$5*'Tariffs Jul2018'!AK4/'Tariffs Jul2018'!AI4&lt;='Tariffs Jul2018'!M4,($C$5*'Tariffs Jul2018'!AK4/'Tariffs Jul2018'!AI4-'Tariffs Jul2018'!L4)*('Tariffs Jul2018'!R4/100)*'Tariffs Jul2018'!AI4,('Tariffs Jul2018'!M4-'Tariffs Jul2018'!L4)*('Tariffs Jul2018'!R4/100)*'Tariffs Jul2018'!AI4))</f>
        <v>105.75</v>
      </c>
      <c r="I10" s="59">
        <f>IF(($C$5*'Tariffs Jul2018'!AK4/'Tariffs Jul2018'!AI4&gt;'Tariffs Jul2018'!M4),($C$5*'Tariffs Jul2018'!AK4/'Tariffs Jul2018'!AI4-'Tariffs Jul2018'!M4)*'Tariffs Jul2018'!S4/100*'Tariffs Jul2018'!AI4,0)</f>
        <v>0</v>
      </c>
      <c r="J10" s="59">
        <f>IF($C$5*'Tariffs Jul2018'!AL4/'Tariffs Jul2018'!AJ4&gt;='Tariffs Jul2018'!J4,('Tariffs Jul2018'!J4*'Tariffs Jul2018'!U4/100)* 'Tariffs Jul2018'!AJ4,($C$5*'Tariffs Jul2018'!AL4/'Tariffs Jul2018'!AJ4*'Tariffs Jul2018'!U4/100)* 'Tariffs Jul2018'!AJ4)</f>
        <v>292.5</v>
      </c>
      <c r="K10" s="59">
        <f>IF($C$5*'Tariffs Jul2018'!AL4/'Tariffs Jul2018'!AJ4&lt;'Tariffs Jul2018'!J4,0,IF($C$5*'Tariffs Jul2018'!AL4/'Tariffs Jul2018'!AJ4&lt;='Tariffs Jul2018'!K4,($C$5*'Tariffs Jul2018'!AL4/'Tariffs Jul2018'!AJ4-'Tariffs Jul2018'!J4)*('Tariffs Jul2018'!V4/100)*'Tariffs Jul2018'!AJ4,('Tariffs Jul2018'!K4-'Tariffs Jul2018'!J4)*('Tariffs Jul2018'!V4/100)*'Tariffs Jul2018'!AJ4))</f>
        <v>261</v>
      </c>
      <c r="L10" s="59">
        <f>IF($C$5*'Tariffs Jul2018'!AL4/'Tariffs Jul2018'!AJ4&lt;'Tariffs Jul2018'!K4,0,IF($C$5*'Tariffs Jul2018'!AL4/'Tariffs Jul2018'!AJ4&lt;='Tariffs Jul2018'!L4,($C$5*'Tariffs Jul2018'!AL4/'Tariffs Jul2018'!AJ4-'Tariffs Jul2018'!K4)*('Tariffs Jul2018'!W4/100)*'Tariffs Jul2018'!AJ4,('Tariffs Jul2018'!L4-'Tariffs Jul2018'!K4)*('Tariffs Jul2018'!W4/100)*'Tariffs Jul2018'!AJ4))</f>
        <v>225</v>
      </c>
      <c r="M10" s="59">
        <f>IF($C$5*'Tariffs Jul2018'!AL4/'Tariffs Jul2018'!AJ4&lt;'Tariffs Jul2018'!L4,0,IF($C$5*'Tariffs Jul2018'!AL4/'Tariffs Jul2018'!AJ4&lt;='Tariffs Jul2018'!M4,($C$5*'Tariffs Jul2018'!AL4/'Tariffs Jul2018'!AJ4-'Tariffs Jul2018'!L4)*('Tariffs Jul2018'!X4/100)*'Tariffs Jul2018'!AJ4,('Tariffs Jul2018'!M4-'Tariffs Jul2018'!L4)*('Tariffs Jul2018'!X4/100)*'Tariffs Jul2018'!AJ4))</f>
        <v>105.75</v>
      </c>
      <c r="N10" s="59">
        <f>IF(($C$5*'Tariffs Jul2018'!AL4/'Tariffs Jul2018'!AJ4&gt;'Tariffs Jul2018'!M4),($C$5*'Tariffs Jul2018'!AL4/'Tariffs Jul2018'!AJ4-'Tariffs Jul2018'!M4)*'Tariffs Jul2018'!Y4/100*'Tariffs Jul2018'!AJ4,0)</f>
        <v>0</v>
      </c>
      <c r="O10" s="271">
        <f t="shared" si="0"/>
        <v>1786.5</v>
      </c>
      <c r="P10" s="59">
        <f t="shared" si="1"/>
        <v>2071.5650000000001</v>
      </c>
      <c r="Q10" s="272">
        <f t="shared" si="2"/>
        <v>2278.7215000000001</v>
      </c>
      <c r="R10" s="40">
        <f>'Tariffs Jul2018'!AM4</f>
        <v>0</v>
      </c>
      <c r="S10" s="40">
        <f>'Tariffs Jul2018'!AN4</f>
        <v>0</v>
      </c>
      <c r="T10" s="40">
        <f>'Tariffs Jul2018'!AO4</f>
        <v>26</v>
      </c>
      <c r="U10" s="40">
        <f>'Tariffs Jul2018'!AP4</f>
        <v>0</v>
      </c>
      <c r="V10" s="273">
        <f t="shared" si="3"/>
        <v>2071.5650000000001</v>
      </c>
      <c r="W10" s="273">
        <f>V10-(P10*T10/100)</f>
        <v>1532.9581000000001</v>
      </c>
      <c r="X10" s="272">
        <f t="shared" si="4"/>
        <v>2278.7215000000001</v>
      </c>
      <c r="Y10" s="272">
        <f t="shared" si="4"/>
        <v>1686.2539100000001</v>
      </c>
      <c r="Z10" s="274">
        <f>'Tariffs Jul2018'!AY4</f>
        <v>0</v>
      </c>
      <c r="AA10" s="274" t="str">
        <f>'Tariffs Jul2018'!AZ4</f>
        <v>n</v>
      </c>
      <c r="AB10" s="275" t="str">
        <f>'Tariffs Jul2018'!BG4</f>
        <v>N</v>
      </c>
      <c r="AC10" s="351"/>
      <c r="AD10" s="351"/>
      <c r="AE10" s="351"/>
      <c r="AF10" s="351"/>
      <c r="AG10" s="351"/>
      <c r="AH10" s="351"/>
      <c r="AI10" s="351"/>
      <c r="AJ10" s="351"/>
      <c r="AK10" s="351"/>
      <c r="AL10" s="351"/>
      <c r="AM10" s="351"/>
      <c r="AN10" s="351"/>
    </row>
    <row r="11" spans="1:40" x14ac:dyDescent="0.15">
      <c r="A11" s="270" t="str">
        <f>'Tariffs Jul2018'!F5</f>
        <v>Covau</v>
      </c>
      <c r="B11" s="40" t="str">
        <f>'Tariffs Jul2018'!D5</f>
        <v>Multinet 1</v>
      </c>
      <c r="C11" s="40" t="str">
        <f>'Tariffs Jul2018'!G5</f>
        <v>Smart Saver</v>
      </c>
      <c r="D11" s="59">
        <f>365*'Tariffs Jul2018'!H5/100</f>
        <v>255.5</v>
      </c>
      <c r="E11" s="59">
        <f>IF($C$5*'Tariffs Jul2018'!AK5/'Tariffs Jul2018'!AI5&gt;='Tariffs Jul2018'!J5,( 'Tariffs Jul2018'!J5*'Tariffs Jul2018'!O5/100)* 'Tariffs Jul2018'!AI5,($C$5*'Tariffs Jul2018'!AK5/'Tariffs Jul2018'!AI5*'Tariffs Jul2018'!O5/100)* 'Tariffs Jul2018'!AI5)</f>
        <v>252</v>
      </c>
      <c r="F11" s="59">
        <f>IF($C$5*'Tariffs Jul2018'!AK5/'Tariffs Jul2018'!AI5&lt;'Tariffs Jul2018'!J5,0,IF($C$5*'Tariffs Jul2018'!AK5/'Tariffs Jul2018'!AI5&lt;='Tariffs Jul2018'!K5,($C$5*'Tariffs Jul2018'!AK5/'Tariffs Jul2018'!AI5-'Tariffs Jul2018'!J5)*('Tariffs Jul2018'!P5/100)*'Tariffs Jul2018'!AI5,('Tariffs Jul2018'!K5-'Tariffs Jul2018'!J5)*('Tariffs Jul2018'!P5/100)*'Tariffs Jul2018'!AI5))</f>
        <v>450</v>
      </c>
      <c r="G11" s="59">
        <f>IF($C$5*'Tariffs Jul2018'!AK5/'Tariffs Jul2018'!AI5&lt;'Tariffs Jul2018'!K5,0,IF($C$5*'Tariffs Jul2018'!AK5/'Tariffs Jul2018'!AI5&lt;='Tariffs Jul2018'!L5,($C$5*'Tariffs Jul2018'!AK5/'Tariffs Jul2018'!AI5-'Tariffs Jul2018'!K5)*('Tariffs Jul2018'!Q5/100)*'Tariffs Jul2018'!AI5,('Tariffs Jul2018'!L5-'Tariffs Jul2018'!K5)*('Tariffs Jul2018'!Q5/100)*'Tariffs Jul2018'!AI5))</f>
        <v>94.500000000000014</v>
      </c>
      <c r="H11" s="59">
        <f>IF($C$5*'Tariffs Jul2018'!AK5/'Tariffs Jul2018'!AI5&lt;'Tariffs Jul2018'!L5,0,IF($C$5*'Tariffs Jul2018'!AK5/'Tariffs Jul2018'!AI5&lt;='Tariffs Jul2018'!M5,($C$5*'Tariffs Jul2018'!AK5/'Tariffs Jul2018'!AI5-'Tariffs Jul2018'!L5)*('Tariffs Jul2018'!R5/100)*'Tariffs Jul2018'!AI5,('Tariffs Jul2018'!M5-'Tariffs Jul2018'!L5)*('Tariffs Jul2018'!R5/100)*'Tariffs Jul2018'!AI5))</f>
        <v>0</v>
      </c>
      <c r="I11" s="59">
        <f>IF(($C$5*'Tariffs Jul2018'!AK5/'Tariffs Jul2018'!AI5&gt;'Tariffs Jul2018'!M5),($C$5*'Tariffs Jul2018'!AK5/'Tariffs Jul2018'!AI5-'Tariffs Jul2018'!M5)*'Tariffs Jul2018'!S5/100*'Tariffs Jul2018'!AI5,0)</f>
        <v>0</v>
      </c>
      <c r="J11" s="59">
        <f>IF($C$5*'Tariffs Jul2018'!AL5/'Tariffs Jul2018'!AJ5&gt;='Tariffs Jul2018'!J5,('Tariffs Jul2018'!J5*'Tariffs Jul2018'!U5/100)* 'Tariffs Jul2018'!AJ5,($C$5*'Tariffs Jul2018'!AL5/'Tariffs Jul2018'!AJ5*'Tariffs Jul2018'!U5/100)* 'Tariffs Jul2018'!AJ5)</f>
        <v>242.10000000000002</v>
      </c>
      <c r="K11" s="59">
        <f>IF($C$5*'Tariffs Jul2018'!AL5/'Tariffs Jul2018'!AJ5&lt;'Tariffs Jul2018'!J5,0,IF($C$5*'Tariffs Jul2018'!AL5/'Tariffs Jul2018'!AJ5&lt;='Tariffs Jul2018'!K5,($C$5*'Tariffs Jul2018'!AL5/'Tariffs Jul2018'!AJ5-'Tariffs Jul2018'!J5)*('Tariffs Jul2018'!V5/100)*'Tariffs Jul2018'!AJ5,('Tariffs Jul2018'!K5-'Tariffs Jul2018'!J5)*('Tariffs Jul2018'!V5/100)*'Tariffs Jul2018'!AJ5))</f>
        <v>414</v>
      </c>
      <c r="L11" s="59">
        <f>IF($C$5*'Tariffs Jul2018'!AL5/'Tariffs Jul2018'!AJ5&lt;'Tariffs Jul2018'!K5,0,IF($C$5*'Tariffs Jul2018'!AL5/'Tariffs Jul2018'!AJ5&lt;='Tariffs Jul2018'!L5,($C$5*'Tariffs Jul2018'!AL5/'Tariffs Jul2018'!AJ5-'Tariffs Jul2018'!K5)*('Tariffs Jul2018'!W5/100)*'Tariffs Jul2018'!AJ5,('Tariffs Jul2018'!L5-'Tariffs Jul2018'!K5)*('Tariffs Jul2018'!W5/100)*'Tariffs Jul2018'!AJ5))</f>
        <v>87.75</v>
      </c>
      <c r="M11" s="59">
        <f>IF($C$5*'Tariffs Jul2018'!AL5/'Tariffs Jul2018'!AJ5&lt;'Tariffs Jul2018'!L5,0,IF($C$5*'Tariffs Jul2018'!AL5/'Tariffs Jul2018'!AJ5&lt;='Tariffs Jul2018'!M5,($C$5*'Tariffs Jul2018'!AL5/'Tariffs Jul2018'!AJ5-'Tariffs Jul2018'!L5)*('Tariffs Jul2018'!X5/100)*'Tariffs Jul2018'!AJ5,('Tariffs Jul2018'!M5-'Tariffs Jul2018'!L5)*('Tariffs Jul2018'!X5/100)*'Tariffs Jul2018'!AJ5))</f>
        <v>0</v>
      </c>
      <c r="N11" s="59">
        <f>IF(($C$5*'Tariffs Jul2018'!AL5/'Tariffs Jul2018'!AJ5&gt;'Tariffs Jul2018'!M5),($C$5*'Tariffs Jul2018'!AL5/'Tariffs Jul2018'!AJ5-'Tariffs Jul2018'!M5)*'Tariffs Jul2018'!Y5/100*'Tariffs Jul2018'!AJ5,0)</f>
        <v>0</v>
      </c>
      <c r="O11" s="271">
        <f t="shared" si="0"/>
        <v>1540.35</v>
      </c>
      <c r="P11" s="59">
        <f t="shared" si="1"/>
        <v>1795.85</v>
      </c>
      <c r="Q11" s="272">
        <f t="shared" si="2"/>
        <v>1975.4350000000002</v>
      </c>
      <c r="R11" s="40">
        <f>'Tariffs Jul2018'!AM5</f>
        <v>0</v>
      </c>
      <c r="S11" s="40">
        <f>'Tariffs Jul2018'!AN5</f>
        <v>0</v>
      </c>
      <c r="T11" s="40">
        <f>'Tariffs Jul2018'!AO5</f>
        <v>0</v>
      </c>
      <c r="U11" s="40">
        <f>'Tariffs Jul2018'!AP5</f>
        <v>16</v>
      </c>
      <c r="V11" s="273">
        <f t="shared" si="3"/>
        <v>1795.85</v>
      </c>
      <c r="W11" s="273">
        <f>V11-(O11*U11/100)</f>
        <v>1549.394</v>
      </c>
      <c r="X11" s="272">
        <f t="shared" si="4"/>
        <v>1975.4350000000002</v>
      </c>
      <c r="Y11" s="272">
        <f t="shared" si="4"/>
        <v>1704.3334000000002</v>
      </c>
      <c r="Z11" s="274">
        <f>'Tariffs Jul2018'!AY5</f>
        <v>12</v>
      </c>
      <c r="AA11" s="274" t="str">
        <f>'Tariffs Jul2018'!AZ5</f>
        <v>n</v>
      </c>
      <c r="AB11" s="275" t="str">
        <f>'Tariffs Jul2018'!BG5</f>
        <v>N</v>
      </c>
      <c r="AC11" s="351"/>
      <c r="AD11" s="351"/>
      <c r="AE11" s="351"/>
      <c r="AF11" s="351"/>
      <c r="AG11" s="351"/>
      <c r="AH11" s="351"/>
      <c r="AI11" s="351"/>
      <c r="AJ11" s="351"/>
      <c r="AK11" s="351"/>
      <c r="AL11" s="351"/>
      <c r="AM11" s="351"/>
      <c r="AN11" s="351"/>
    </row>
    <row r="12" spans="1:40" x14ac:dyDescent="0.15">
      <c r="A12" s="270" t="str">
        <f>'Tariffs Jul2018'!F6</f>
        <v>Dodo Power &amp; Gas</v>
      </c>
      <c r="B12" s="40" t="str">
        <f>'Tariffs Jul2018'!D6</f>
        <v>Multinet 1</v>
      </c>
      <c r="C12" s="40" t="str">
        <f>'Tariffs Jul2018'!G6</f>
        <v>Market offer</v>
      </c>
      <c r="D12" s="59">
        <f>365*'Tariffs Jul2018'!H6/100</f>
        <v>269.7715</v>
      </c>
      <c r="E12" s="59">
        <f>IF($C$5*'Tariffs Jul2018'!AK6/'Tariffs Jul2018'!AI6&gt;='Tariffs Jul2018'!J6,( 'Tariffs Jul2018'!J6*'Tariffs Jul2018'!O6/100)* 'Tariffs Jul2018'!AI6,($C$5*'Tariffs Jul2018'!AK6/'Tariffs Jul2018'!AI6*'Tariffs Jul2018'!O6/100)* 'Tariffs Jul2018'!AI6)</f>
        <v>457.20000000000005</v>
      </c>
      <c r="F12" s="59">
        <f>IF($C$5*'Tariffs Jul2018'!AK6/'Tariffs Jul2018'!AI6&lt;'Tariffs Jul2018'!J6,0,IF($C$5*'Tariffs Jul2018'!AK6/'Tariffs Jul2018'!AI6&lt;='Tariffs Jul2018'!K6,($C$5*'Tariffs Jul2018'!AK6/'Tariffs Jul2018'!AI6-'Tariffs Jul2018'!J6)*('Tariffs Jul2018'!P6/100)*'Tariffs Jul2018'!AI6,('Tariffs Jul2018'!K6-'Tariffs Jul2018'!J6)*('Tariffs Jul2018'!P6/100)*'Tariffs Jul2018'!AI6))</f>
        <v>172.79999999999998</v>
      </c>
      <c r="G12" s="59">
        <f>IF($C$5*'Tariffs Jul2018'!AK6/'Tariffs Jul2018'!AI6&lt;'Tariffs Jul2018'!K6,0,IF($C$5*'Tariffs Jul2018'!AK6/'Tariffs Jul2018'!AI6&lt;='Tariffs Jul2018'!L6,($C$5*'Tariffs Jul2018'!AK6/'Tariffs Jul2018'!AI6-'Tariffs Jul2018'!K6)*('Tariffs Jul2018'!Q6/100)*'Tariffs Jul2018'!AI6,('Tariffs Jul2018'!L6-'Tariffs Jul2018'!K6)*('Tariffs Jul2018'!Q6/100)*'Tariffs Jul2018'!AI6))</f>
        <v>0</v>
      </c>
      <c r="H12" s="59">
        <f>IF($C$5*'Tariffs Jul2018'!AK6/'Tariffs Jul2018'!AI6&lt;'Tariffs Jul2018'!L6,0,IF($C$5*'Tariffs Jul2018'!AK6/'Tariffs Jul2018'!AI6&lt;='Tariffs Jul2018'!M6,($C$5*'Tariffs Jul2018'!AK6/'Tariffs Jul2018'!AI6-'Tariffs Jul2018'!L6)*('Tariffs Jul2018'!R6/100)*'Tariffs Jul2018'!AI6,('Tariffs Jul2018'!M6-'Tariffs Jul2018'!L6)*('Tariffs Jul2018'!R6/100)*'Tariffs Jul2018'!AI6))</f>
        <v>0</v>
      </c>
      <c r="I12" s="59">
        <f>IF(($C$5*'Tariffs Jul2018'!AK6/'Tariffs Jul2018'!AI6&gt;'Tariffs Jul2018'!M6),($C$5*'Tariffs Jul2018'!AK6/'Tariffs Jul2018'!AI6-'Tariffs Jul2018'!M6)*'Tariffs Jul2018'!S6/100*'Tariffs Jul2018'!AI6,0)</f>
        <v>68.849999999999994</v>
      </c>
      <c r="J12" s="59">
        <f>IF($C$5*'Tariffs Jul2018'!AL6/'Tariffs Jul2018'!AJ6&gt;='Tariffs Jul2018'!J6,('Tariffs Jul2018'!J6*'Tariffs Jul2018'!U6/100)* 'Tariffs Jul2018'!AJ6,($C$5*'Tariffs Jul2018'!AL6/'Tariffs Jul2018'!AJ6*'Tariffs Jul2018'!U6/100)* 'Tariffs Jul2018'!AJ6)</f>
        <v>430.20000000000005</v>
      </c>
      <c r="K12" s="59">
        <f>IF($C$5*'Tariffs Jul2018'!AL6/'Tariffs Jul2018'!AJ6&lt;'Tariffs Jul2018'!J6,0,IF($C$5*'Tariffs Jul2018'!AL6/'Tariffs Jul2018'!AJ6&lt;='Tariffs Jul2018'!K6,($C$5*'Tariffs Jul2018'!AL6/'Tariffs Jul2018'!AJ6-'Tariffs Jul2018'!J6)*('Tariffs Jul2018'!V6/100)*'Tariffs Jul2018'!AJ6,('Tariffs Jul2018'!K6-'Tariffs Jul2018'!J6)*('Tariffs Jul2018'!V6/100)*'Tariffs Jul2018'!AJ6))</f>
        <v>164.7</v>
      </c>
      <c r="L12" s="59">
        <f>IF($C$5*'Tariffs Jul2018'!AL6/'Tariffs Jul2018'!AJ6&lt;'Tariffs Jul2018'!K6,0,IF($C$5*'Tariffs Jul2018'!AL6/'Tariffs Jul2018'!AJ6&lt;='Tariffs Jul2018'!L6,($C$5*'Tariffs Jul2018'!AL6/'Tariffs Jul2018'!AJ6-'Tariffs Jul2018'!K6)*('Tariffs Jul2018'!W6/100)*'Tariffs Jul2018'!AJ6,('Tariffs Jul2018'!L6-'Tariffs Jul2018'!K6)*('Tariffs Jul2018'!W6/100)*'Tariffs Jul2018'!AJ6))</f>
        <v>0</v>
      </c>
      <c r="M12" s="59">
        <f>IF($C$5*'Tariffs Jul2018'!AL6/'Tariffs Jul2018'!AJ6&lt;'Tariffs Jul2018'!L6,0,IF($C$5*'Tariffs Jul2018'!AL6/'Tariffs Jul2018'!AJ6&lt;='Tariffs Jul2018'!M6,($C$5*'Tariffs Jul2018'!AL6/'Tariffs Jul2018'!AJ6-'Tariffs Jul2018'!L6)*('Tariffs Jul2018'!X6/100)*'Tariffs Jul2018'!AJ6,('Tariffs Jul2018'!M6-'Tariffs Jul2018'!L6)*('Tariffs Jul2018'!X6/100)*'Tariffs Jul2018'!AJ6))</f>
        <v>0</v>
      </c>
      <c r="N12" s="59">
        <f>IF(($C$5*'Tariffs Jul2018'!AL6/'Tariffs Jul2018'!AJ6&gt;'Tariffs Jul2018'!M6),($C$5*'Tariffs Jul2018'!AL6/'Tariffs Jul2018'!AJ6-'Tariffs Jul2018'!M6)*'Tariffs Jul2018'!Y6/100*'Tariffs Jul2018'!AJ6,0)</f>
        <v>68.849999999999994</v>
      </c>
      <c r="O12" s="271">
        <f t="shared" si="0"/>
        <v>1362.6000000000001</v>
      </c>
      <c r="P12" s="59">
        <f t="shared" si="1"/>
        <v>1632.3715000000002</v>
      </c>
      <c r="Q12" s="272">
        <f t="shared" si="2"/>
        <v>1795.6086500000004</v>
      </c>
      <c r="R12" s="40">
        <f>'Tariffs Jul2018'!AM6</f>
        <v>0</v>
      </c>
      <c r="S12" s="40">
        <f>'Tariffs Jul2018'!AN6</f>
        <v>0</v>
      </c>
      <c r="T12" s="40">
        <f>'Tariffs Jul2018'!AO6</f>
        <v>0</v>
      </c>
      <c r="U12" s="40">
        <f>'Tariffs Jul2018'!AP6</f>
        <v>0</v>
      </c>
      <c r="V12" s="273">
        <f t="shared" si="3"/>
        <v>1632.3715000000002</v>
      </c>
      <c r="W12" s="273">
        <f>V12</f>
        <v>1632.3715000000002</v>
      </c>
      <c r="X12" s="272">
        <f t="shared" si="4"/>
        <v>1795.6086500000004</v>
      </c>
      <c r="Y12" s="272">
        <f t="shared" si="4"/>
        <v>1795.6086500000004</v>
      </c>
      <c r="Z12" s="274">
        <f>'Tariffs Jul2018'!AY6</f>
        <v>0</v>
      </c>
      <c r="AA12" s="274" t="str">
        <f>'Tariffs Jul2018'!AZ6</f>
        <v>n</v>
      </c>
      <c r="AB12" s="275" t="str">
        <f>'Tariffs Jul2018'!BG6</f>
        <v>Y</v>
      </c>
      <c r="AC12" s="351"/>
      <c r="AD12" s="351"/>
      <c r="AE12" s="351"/>
      <c r="AF12" s="351"/>
      <c r="AG12" s="351"/>
      <c r="AH12" s="351"/>
      <c r="AI12" s="351"/>
      <c r="AJ12" s="351"/>
      <c r="AK12" s="351"/>
      <c r="AL12" s="351"/>
      <c r="AM12" s="351"/>
      <c r="AN12" s="351"/>
    </row>
    <row r="13" spans="1:40" x14ac:dyDescent="0.15">
      <c r="A13" s="270" t="str">
        <f>'Tariffs Jul2018'!F7</f>
        <v>EnergyAustralia</v>
      </c>
      <c r="B13" s="40" t="str">
        <f>'Tariffs Jul2018'!D7</f>
        <v>Multinet 1</v>
      </c>
      <c r="C13" s="40" t="str">
        <f>'Tariffs Jul2018'!G7</f>
        <v>Anytime Saver</v>
      </c>
      <c r="D13" s="59">
        <f>365*'Tariffs Jul2018'!H7/100</f>
        <v>278.13</v>
      </c>
      <c r="E13" s="59">
        <f>IF($C$5*'Tariffs Jul2018'!AK7/'Tariffs Jul2018'!AI7&gt;='Tariffs Jul2018'!J7,( 'Tariffs Jul2018'!J7*'Tariffs Jul2018'!O7/100)* 'Tariffs Jul2018'!AI7,($C$5*'Tariffs Jul2018'!AK7/'Tariffs Jul2018'!AI7*'Tariffs Jul2018'!O7/100)* 'Tariffs Jul2018'!AI7)</f>
        <v>439.20000000000005</v>
      </c>
      <c r="F13" s="59">
        <f>IF($C$5*'Tariffs Jul2018'!AK7/'Tariffs Jul2018'!AI7&lt;'Tariffs Jul2018'!J7,0,IF($C$5*'Tariffs Jul2018'!AK7/'Tariffs Jul2018'!AI7&lt;='Tariffs Jul2018'!K7,($C$5*'Tariffs Jul2018'!AK7/'Tariffs Jul2018'!AI7-'Tariffs Jul2018'!J7)*('Tariffs Jul2018'!P7/100)*'Tariffs Jul2018'!AI7,('Tariffs Jul2018'!K7-'Tariffs Jul2018'!J7)*('Tariffs Jul2018'!P7/100)*'Tariffs Jul2018'!AI7))</f>
        <v>0</v>
      </c>
      <c r="G13" s="59">
        <f>IF($C$5*'Tariffs Jul2018'!AK7/'Tariffs Jul2018'!AI7&lt;'Tariffs Jul2018'!K7,0,IF($C$5*'Tariffs Jul2018'!AK7/'Tariffs Jul2018'!AI7&lt;='Tariffs Jul2018'!L7,($C$5*'Tariffs Jul2018'!AK7/'Tariffs Jul2018'!AI7-'Tariffs Jul2018'!K7)*('Tariffs Jul2018'!Q7/100)*'Tariffs Jul2018'!AI7,('Tariffs Jul2018'!L7-'Tariffs Jul2018'!K7)*('Tariffs Jul2018'!Q7/100)*'Tariffs Jul2018'!AI7))</f>
        <v>0</v>
      </c>
      <c r="H13" s="59">
        <f>IF($C$5*'Tariffs Jul2018'!AK7/'Tariffs Jul2018'!AI7&lt;'Tariffs Jul2018'!L7,0,IF($C$5*'Tariffs Jul2018'!AK7/'Tariffs Jul2018'!AI7&lt;='Tariffs Jul2018'!M7,($C$5*'Tariffs Jul2018'!AK7/'Tariffs Jul2018'!AI7-'Tariffs Jul2018'!L7)*('Tariffs Jul2018'!R7/100)*'Tariffs Jul2018'!AI7,('Tariffs Jul2018'!M7-'Tariffs Jul2018'!L7)*('Tariffs Jul2018'!R7/100)*'Tariffs Jul2018'!AI7))</f>
        <v>0</v>
      </c>
      <c r="I13" s="59">
        <f>IF(($C$5*'Tariffs Jul2018'!AK7/'Tariffs Jul2018'!AI7&gt;'Tariffs Jul2018'!M7),($C$5*'Tariffs Jul2018'!AK7/'Tariffs Jul2018'!AI7-'Tariffs Jul2018'!M7)*'Tariffs Jul2018'!S7/100*'Tariffs Jul2018'!AI7,0)</f>
        <v>238.95000000000002</v>
      </c>
      <c r="J13" s="59">
        <f>IF($C$5*'Tariffs Jul2018'!AL7/'Tariffs Jul2018'!AJ7&gt;='Tariffs Jul2018'!J7,('Tariffs Jul2018'!J7*'Tariffs Jul2018'!U7/100)* 'Tariffs Jul2018'!AJ7,($C$5*'Tariffs Jul2018'!AL7/'Tariffs Jul2018'!AJ7*'Tariffs Jul2018'!U7/100)* 'Tariffs Jul2018'!AJ7)</f>
        <v>439.20000000000005</v>
      </c>
      <c r="K13" s="59">
        <f>IF($C$5*'Tariffs Jul2018'!AL7/'Tariffs Jul2018'!AJ7&lt;'Tariffs Jul2018'!J7,0,IF($C$5*'Tariffs Jul2018'!AL7/'Tariffs Jul2018'!AJ7&lt;='Tariffs Jul2018'!K7,($C$5*'Tariffs Jul2018'!AL7/'Tariffs Jul2018'!AJ7-'Tariffs Jul2018'!J7)*('Tariffs Jul2018'!V7/100)*'Tariffs Jul2018'!AJ7,('Tariffs Jul2018'!K7-'Tariffs Jul2018'!J7)*('Tariffs Jul2018'!V7/100)*'Tariffs Jul2018'!AJ7))</f>
        <v>0</v>
      </c>
      <c r="L13" s="59">
        <f>IF($C$5*'Tariffs Jul2018'!AL7/'Tariffs Jul2018'!AJ7&lt;'Tariffs Jul2018'!K7,0,IF($C$5*'Tariffs Jul2018'!AL7/'Tariffs Jul2018'!AJ7&lt;='Tariffs Jul2018'!L7,($C$5*'Tariffs Jul2018'!AL7/'Tariffs Jul2018'!AJ7-'Tariffs Jul2018'!K7)*('Tariffs Jul2018'!W7/100)*'Tariffs Jul2018'!AJ7,('Tariffs Jul2018'!L7-'Tariffs Jul2018'!K7)*('Tariffs Jul2018'!W7/100)*'Tariffs Jul2018'!AJ7))</f>
        <v>0</v>
      </c>
      <c r="M13" s="59">
        <f>IF($C$5*'Tariffs Jul2018'!AL7/'Tariffs Jul2018'!AJ7&lt;'Tariffs Jul2018'!L7,0,IF($C$5*'Tariffs Jul2018'!AL7/'Tariffs Jul2018'!AJ7&lt;='Tariffs Jul2018'!M7,($C$5*'Tariffs Jul2018'!AL7/'Tariffs Jul2018'!AJ7-'Tariffs Jul2018'!L7)*('Tariffs Jul2018'!X7/100)*'Tariffs Jul2018'!AJ7,('Tariffs Jul2018'!M7-'Tariffs Jul2018'!L7)*('Tariffs Jul2018'!X7/100)*'Tariffs Jul2018'!AJ7))</f>
        <v>0</v>
      </c>
      <c r="N13" s="59">
        <f>IF(($C$5*'Tariffs Jul2018'!AL7/'Tariffs Jul2018'!AJ7&gt;'Tariffs Jul2018'!M7),($C$5*'Tariffs Jul2018'!AL7/'Tariffs Jul2018'!AJ7-'Tariffs Jul2018'!M7)*'Tariffs Jul2018'!Y7/100*'Tariffs Jul2018'!AJ7,0)</f>
        <v>238.95000000000002</v>
      </c>
      <c r="O13" s="271">
        <f t="shared" si="0"/>
        <v>1356.3000000000002</v>
      </c>
      <c r="P13" s="59">
        <f t="shared" si="1"/>
        <v>1634.4300000000003</v>
      </c>
      <c r="Q13" s="272">
        <f t="shared" si="2"/>
        <v>1797.8730000000005</v>
      </c>
      <c r="R13" s="40">
        <f>'Tariffs Jul2018'!AM7</f>
        <v>0</v>
      </c>
      <c r="S13" s="40">
        <f>'Tariffs Jul2018'!AN7</f>
        <v>34</v>
      </c>
      <c r="T13" s="40">
        <f>'Tariffs Jul2018'!AO7</f>
        <v>0</v>
      </c>
      <c r="U13" s="40">
        <f>'Tariffs Jul2018'!AP7</f>
        <v>0</v>
      </c>
      <c r="V13" s="273">
        <f>P13-(O13*S13/100)</f>
        <v>1173.2880000000002</v>
      </c>
      <c r="W13" s="273">
        <f>V13-(O13*U13/100)</f>
        <v>1173.2880000000002</v>
      </c>
      <c r="X13" s="272">
        <f t="shared" si="4"/>
        <v>1290.6168000000005</v>
      </c>
      <c r="Y13" s="272">
        <f t="shared" si="4"/>
        <v>1290.6168000000005</v>
      </c>
      <c r="Z13" s="274">
        <f>'Tariffs Jul2018'!AY7</f>
        <v>0</v>
      </c>
      <c r="AA13" s="274" t="str">
        <f>'Tariffs Jul2018'!AZ7</f>
        <v>n</v>
      </c>
      <c r="AB13" s="275" t="str">
        <f>'Tariffs Jul2018'!BG7</f>
        <v>N</v>
      </c>
      <c r="AC13" s="351"/>
      <c r="AD13" s="351"/>
      <c r="AE13" s="351"/>
      <c r="AF13" s="351"/>
      <c r="AG13" s="351"/>
      <c r="AH13" s="351"/>
      <c r="AI13" s="351"/>
      <c r="AJ13" s="351"/>
      <c r="AK13" s="351"/>
      <c r="AL13" s="351"/>
      <c r="AM13" s="351"/>
      <c r="AN13" s="351"/>
    </row>
    <row r="14" spans="1:40" x14ac:dyDescent="0.15">
      <c r="A14" s="270" t="str">
        <f>'Tariffs Jul2018'!F8</f>
        <v>Lumo Energy</v>
      </c>
      <c r="B14" s="40" t="str">
        <f>'Tariffs Jul2018'!D8</f>
        <v>Multinet 1</v>
      </c>
      <c r="C14" s="40" t="str">
        <f>'Tariffs Jul2018'!G8</f>
        <v>Advantage</v>
      </c>
      <c r="D14" s="59">
        <f>365*'Tariffs Jul2018'!H8/100</f>
        <v>237.25</v>
      </c>
      <c r="E14" s="59">
        <f>IF($C$5*'Tariffs Jul2018'!AK8/'Tariffs Jul2018'!AI8&gt;='Tariffs Jul2018'!J8,( 'Tariffs Jul2018'!J8*'Tariffs Jul2018'!O8/100)* 'Tariffs Jul2018'!AI8,($C$5*'Tariffs Jul2018'!AK8/'Tariffs Jul2018'!AI8*'Tariffs Jul2018'!O8/100)* 'Tariffs Jul2018'!AI8)</f>
        <v>220.50000000000006</v>
      </c>
      <c r="F14" s="59">
        <f>IF($C$5*'Tariffs Jul2018'!AK8/'Tariffs Jul2018'!AI8&lt;'Tariffs Jul2018'!J8,0,IF($C$5*'Tariffs Jul2018'!AK8/'Tariffs Jul2018'!AI8&lt;='Tariffs Jul2018'!K8,($C$5*'Tariffs Jul2018'!AK8/'Tariffs Jul2018'!AI8-'Tariffs Jul2018'!J8)*('Tariffs Jul2018'!P8/100)*'Tariffs Jul2018'!AI8,('Tariffs Jul2018'!K8-'Tariffs Jul2018'!J8)*('Tariffs Jul2018'!P8/100)*'Tariffs Jul2018'!AI8))</f>
        <v>189.00000000000003</v>
      </c>
      <c r="G14" s="59">
        <f>IF($C$5*'Tariffs Jul2018'!AK8/'Tariffs Jul2018'!AI8&lt;'Tariffs Jul2018'!K8,0,IF($C$5*'Tariffs Jul2018'!AK8/'Tariffs Jul2018'!AI8&lt;='Tariffs Jul2018'!L8,($C$5*'Tariffs Jul2018'!AK8/'Tariffs Jul2018'!AI8-'Tariffs Jul2018'!K8)*('Tariffs Jul2018'!Q8/100)*'Tariffs Jul2018'!AI8,('Tariffs Jul2018'!L8-'Tariffs Jul2018'!K8)*('Tariffs Jul2018'!Q8/100)*'Tariffs Jul2018'!AI8))</f>
        <v>160.19999999999999</v>
      </c>
      <c r="H14" s="59">
        <f>IF($C$5*'Tariffs Jul2018'!AK8/'Tariffs Jul2018'!AI8&lt;'Tariffs Jul2018'!L8,0,IF($C$5*'Tariffs Jul2018'!AK8/'Tariffs Jul2018'!AI8&lt;='Tariffs Jul2018'!M8,($C$5*'Tariffs Jul2018'!AK8/'Tariffs Jul2018'!AI8-'Tariffs Jul2018'!L8)*('Tariffs Jul2018'!R8/100)*'Tariffs Jul2018'!AI8,('Tariffs Jul2018'!M8-'Tariffs Jul2018'!L8)*('Tariffs Jul2018'!R8/100)*'Tariffs Jul2018'!AI8))</f>
        <v>72.900000000000006</v>
      </c>
      <c r="I14" s="59">
        <f>IF(($C$5*'Tariffs Jul2018'!AK8/'Tariffs Jul2018'!AI8&gt;'Tariffs Jul2018'!M8),($C$5*'Tariffs Jul2018'!AK8/'Tariffs Jul2018'!AI8-'Tariffs Jul2018'!M8)*'Tariffs Jul2018'!S8/100*'Tariffs Jul2018'!AI8,0)</f>
        <v>0</v>
      </c>
      <c r="J14" s="59">
        <f>IF($C$5*'Tariffs Jul2018'!AL8/'Tariffs Jul2018'!AJ8&gt;='Tariffs Jul2018'!J8,('Tariffs Jul2018'!J8*'Tariffs Jul2018'!U8/100)* 'Tariffs Jul2018'!AJ8,($C$5*'Tariffs Jul2018'!AL8/'Tariffs Jul2018'!AJ8*'Tariffs Jul2018'!U8/100)* 'Tariffs Jul2018'!AJ8)</f>
        <v>202.5</v>
      </c>
      <c r="K14" s="59">
        <f>IF($C$5*'Tariffs Jul2018'!AL8/'Tariffs Jul2018'!AJ8&lt;'Tariffs Jul2018'!J8,0,IF($C$5*'Tariffs Jul2018'!AL8/'Tariffs Jul2018'!AJ8&lt;='Tariffs Jul2018'!K8,($C$5*'Tariffs Jul2018'!AL8/'Tariffs Jul2018'!AJ8-'Tariffs Jul2018'!J8)*('Tariffs Jul2018'!V8/100)*'Tariffs Jul2018'!AJ8,('Tariffs Jul2018'!K8-'Tariffs Jul2018'!J8)*('Tariffs Jul2018'!V8/100)*'Tariffs Jul2018'!AJ8))</f>
        <v>178.2</v>
      </c>
      <c r="L14" s="59">
        <f>IF($C$5*'Tariffs Jul2018'!AL8/'Tariffs Jul2018'!AJ8&lt;'Tariffs Jul2018'!K8,0,IF($C$5*'Tariffs Jul2018'!AL8/'Tariffs Jul2018'!AJ8&lt;='Tariffs Jul2018'!L8,($C$5*'Tariffs Jul2018'!AL8/'Tariffs Jul2018'!AJ8-'Tariffs Jul2018'!K8)*('Tariffs Jul2018'!W8/100)*'Tariffs Jul2018'!AJ8,('Tariffs Jul2018'!L8-'Tariffs Jul2018'!K8)*('Tariffs Jul2018'!W8/100)*'Tariffs Jul2018'!AJ8))</f>
        <v>153.00000000000003</v>
      </c>
      <c r="M14" s="59">
        <f>IF($C$5*'Tariffs Jul2018'!AL8/'Tariffs Jul2018'!AJ8&lt;'Tariffs Jul2018'!L8,0,IF($C$5*'Tariffs Jul2018'!AL8/'Tariffs Jul2018'!AJ8&lt;='Tariffs Jul2018'!M8,($C$5*'Tariffs Jul2018'!AL8/'Tariffs Jul2018'!AJ8-'Tariffs Jul2018'!L8)*('Tariffs Jul2018'!X8/100)*'Tariffs Jul2018'!AJ8,('Tariffs Jul2018'!M8-'Tariffs Jul2018'!L8)*('Tariffs Jul2018'!X8/100)*'Tariffs Jul2018'!AJ8))</f>
        <v>70.650000000000006</v>
      </c>
      <c r="N14" s="59">
        <f>IF(($C$5*'Tariffs Jul2018'!AL8/'Tariffs Jul2018'!AJ8&gt;'Tariffs Jul2018'!M8),($C$5*'Tariffs Jul2018'!AL8/'Tariffs Jul2018'!AJ8-'Tariffs Jul2018'!M8)*'Tariffs Jul2018'!Y8/100*'Tariffs Jul2018'!AJ8,0)</f>
        <v>0</v>
      </c>
      <c r="O14" s="271">
        <f t="shared" si="0"/>
        <v>1246.95</v>
      </c>
      <c r="P14" s="59">
        <f t="shared" si="1"/>
        <v>1484.2</v>
      </c>
      <c r="Q14" s="272">
        <f t="shared" si="2"/>
        <v>1632.6200000000001</v>
      </c>
      <c r="R14" s="40">
        <f>'Tariffs Jul2018'!AM8</f>
        <v>0</v>
      </c>
      <c r="S14" s="40">
        <f>'Tariffs Jul2018'!AN8</f>
        <v>0</v>
      </c>
      <c r="T14" s="40">
        <f>'Tariffs Jul2018'!AO8</f>
        <v>15</v>
      </c>
      <c r="U14" s="40">
        <f>'Tariffs Jul2018'!AP8</f>
        <v>0</v>
      </c>
      <c r="V14" s="273">
        <f t="shared" si="3"/>
        <v>1484.2</v>
      </c>
      <c r="W14" s="273">
        <f>V14-(P14*T14/100)</f>
        <v>1261.5700000000002</v>
      </c>
      <c r="X14" s="272">
        <f t="shared" si="4"/>
        <v>1632.6200000000001</v>
      </c>
      <c r="Y14" s="272">
        <f t="shared" si="4"/>
        <v>1387.7270000000003</v>
      </c>
      <c r="Z14" s="274">
        <f>'Tariffs Jul2018'!AY8</f>
        <v>0</v>
      </c>
      <c r="AA14" s="274" t="str">
        <f>'Tariffs Jul2018'!AZ8</f>
        <v>n</v>
      </c>
      <c r="AB14" s="275" t="str">
        <f>'Tariffs Jul2018'!BG8</f>
        <v>N</v>
      </c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1"/>
    </row>
    <row r="15" spans="1:40" x14ac:dyDescent="0.15">
      <c r="A15" s="270" t="str">
        <f>'Tariffs Jul2018'!F9</f>
        <v>Momentum Energy</v>
      </c>
      <c r="B15" s="40" t="str">
        <f>'Tariffs Jul2018'!D9</f>
        <v>Multinet 1</v>
      </c>
      <c r="C15" s="40" t="str">
        <f>'Tariffs Jul2018'!G9</f>
        <v>Market offer</v>
      </c>
      <c r="D15" s="59">
        <f>365*'Tariffs Jul2018'!H9/100</f>
        <v>265.72000000000003</v>
      </c>
      <c r="E15" s="59">
        <f>IF($C$5*'Tariffs Jul2018'!AK9/'Tariffs Jul2018'!AI9&gt;='Tariffs Jul2018'!J9,( 'Tariffs Jul2018'!J9*'Tariffs Jul2018'!O9/100)* 'Tariffs Jul2018'!AI9,($C$5*'Tariffs Jul2018'!AK9/'Tariffs Jul2018'!AI9*'Tariffs Jul2018'!O9/100)* 'Tariffs Jul2018'!AI9)</f>
        <v>175.5</v>
      </c>
      <c r="F15" s="59">
        <f>IF($C$5*'Tariffs Jul2018'!AK9/'Tariffs Jul2018'!AI9&lt;'Tariffs Jul2018'!J9,0,IF($C$5*'Tariffs Jul2018'!AK9/'Tariffs Jul2018'!AI9&lt;='Tariffs Jul2018'!K9,($C$5*'Tariffs Jul2018'!AK9/'Tariffs Jul2018'!AI9-'Tariffs Jul2018'!J9)*('Tariffs Jul2018'!P9/100)*'Tariffs Jul2018'!AI9,('Tariffs Jul2018'!K9-'Tariffs Jul2018'!J9)*('Tariffs Jul2018'!P9/100)*'Tariffs Jul2018'!AI9))</f>
        <v>160.19999999999999</v>
      </c>
      <c r="G15" s="59">
        <f>IF($C$5*'Tariffs Jul2018'!AK9/'Tariffs Jul2018'!AI9&lt;'Tariffs Jul2018'!K9,0,IF($C$5*'Tariffs Jul2018'!AK9/'Tariffs Jul2018'!AI9&lt;='Tariffs Jul2018'!L9,($C$5*'Tariffs Jul2018'!AK9/'Tariffs Jul2018'!AI9-'Tariffs Jul2018'!K9)*('Tariffs Jul2018'!Q9/100)*'Tariffs Jul2018'!AI9,('Tariffs Jul2018'!L9-'Tariffs Jul2018'!K9)*('Tariffs Jul2018'!Q9/100)*'Tariffs Jul2018'!AI9))</f>
        <v>142.20000000000002</v>
      </c>
      <c r="H15" s="59">
        <f>IF($C$5*'Tariffs Jul2018'!AK9/'Tariffs Jul2018'!AI9&lt;'Tariffs Jul2018'!L9,0,IF($C$5*'Tariffs Jul2018'!AK9/'Tariffs Jul2018'!AI9&lt;='Tariffs Jul2018'!M9,($C$5*'Tariffs Jul2018'!AK9/'Tariffs Jul2018'!AI9-'Tariffs Jul2018'!L9)*('Tariffs Jul2018'!R9/100)*'Tariffs Jul2018'!AI9,('Tariffs Jul2018'!M9-'Tariffs Jul2018'!L9)*('Tariffs Jul2018'!R9/100)*'Tariffs Jul2018'!AI9))</f>
        <v>66.150000000000006</v>
      </c>
      <c r="I15" s="59">
        <f>IF(($C$5*'Tariffs Jul2018'!AK9/'Tariffs Jul2018'!AI9&gt;'Tariffs Jul2018'!M9),($C$5*'Tariffs Jul2018'!AK9/'Tariffs Jul2018'!AI9-'Tariffs Jul2018'!M9)*'Tariffs Jul2018'!S9/100*'Tariffs Jul2018'!AI9,0)</f>
        <v>0</v>
      </c>
      <c r="J15" s="59">
        <f>IF($C$5*'Tariffs Jul2018'!AL9/'Tariffs Jul2018'!AJ9&gt;='Tariffs Jul2018'!J9,('Tariffs Jul2018'!J9*'Tariffs Jul2018'!U9/100)* 'Tariffs Jul2018'!AJ9,($C$5*'Tariffs Jul2018'!AL9/'Tariffs Jul2018'!AJ9*'Tariffs Jul2018'!U9/100)* 'Tariffs Jul2018'!AJ9)</f>
        <v>162.89999999999998</v>
      </c>
      <c r="K15" s="59">
        <f>IF($C$5*'Tariffs Jul2018'!AL9/'Tariffs Jul2018'!AJ9&lt;'Tariffs Jul2018'!J9,0,IF($C$5*'Tariffs Jul2018'!AL9/'Tariffs Jul2018'!AJ9&lt;='Tariffs Jul2018'!K9,($C$5*'Tariffs Jul2018'!AL9/'Tariffs Jul2018'!AJ9-'Tariffs Jul2018'!J9)*('Tariffs Jul2018'!V9/100)*'Tariffs Jul2018'!AJ9,('Tariffs Jul2018'!K9-'Tariffs Jul2018'!J9)*('Tariffs Jul2018'!V9/100)*'Tariffs Jul2018'!AJ9))</f>
        <v>150.30000000000001</v>
      </c>
      <c r="L15" s="59">
        <f>IF($C$5*'Tariffs Jul2018'!AL9/'Tariffs Jul2018'!AJ9&lt;'Tariffs Jul2018'!K9,0,IF($C$5*'Tariffs Jul2018'!AL9/'Tariffs Jul2018'!AJ9&lt;='Tariffs Jul2018'!L9,($C$5*'Tariffs Jul2018'!AL9/'Tariffs Jul2018'!AJ9-'Tariffs Jul2018'!K9)*('Tariffs Jul2018'!W9/100)*'Tariffs Jul2018'!AJ9,('Tariffs Jul2018'!L9-'Tariffs Jul2018'!K9)*('Tariffs Jul2018'!W9/100)*'Tariffs Jul2018'!AJ9))</f>
        <v>134.10000000000002</v>
      </c>
      <c r="M15" s="59">
        <f>IF($C$5*'Tariffs Jul2018'!AL9/'Tariffs Jul2018'!AJ9&lt;'Tariffs Jul2018'!L9,0,IF($C$5*'Tariffs Jul2018'!AL9/'Tariffs Jul2018'!AJ9&lt;='Tariffs Jul2018'!M9,($C$5*'Tariffs Jul2018'!AL9/'Tariffs Jul2018'!AJ9-'Tariffs Jul2018'!L9)*('Tariffs Jul2018'!X9/100)*'Tariffs Jul2018'!AJ9,('Tariffs Jul2018'!M9-'Tariffs Jul2018'!L9)*('Tariffs Jul2018'!X9/100)*'Tariffs Jul2018'!AJ9))</f>
        <v>62.999999999999986</v>
      </c>
      <c r="N15" s="59">
        <f>IF(($C$5*'Tariffs Jul2018'!AL9/'Tariffs Jul2018'!AJ9&gt;'Tariffs Jul2018'!M9),($C$5*'Tariffs Jul2018'!AL9/'Tariffs Jul2018'!AJ9-'Tariffs Jul2018'!M9)*'Tariffs Jul2018'!Y9/100*'Tariffs Jul2018'!AJ9,0)</f>
        <v>0</v>
      </c>
      <c r="O15" s="271">
        <f t="shared" si="0"/>
        <v>1054.3499999999999</v>
      </c>
      <c r="P15" s="59">
        <f t="shared" si="1"/>
        <v>1320.07</v>
      </c>
      <c r="Q15" s="272">
        <f t="shared" si="2"/>
        <v>1452.077</v>
      </c>
      <c r="R15" s="40">
        <f>'Tariffs Jul2018'!AM9</f>
        <v>0</v>
      </c>
      <c r="S15" s="40">
        <f>'Tariffs Jul2018'!AN9</f>
        <v>0</v>
      </c>
      <c r="T15" s="40">
        <f>'Tariffs Jul2018'!AO9</f>
        <v>0</v>
      </c>
      <c r="U15" s="40">
        <f>'Tariffs Jul2018'!AP9</f>
        <v>0</v>
      </c>
      <c r="V15" s="273">
        <f t="shared" si="3"/>
        <v>1320.07</v>
      </c>
      <c r="W15" s="273">
        <f>V15</f>
        <v>1320.07</v>
      </c>
      <c r="X15" s="272">
        <f t="shared" si="4"/>
        <v>1452.077</v>
      </c>
      <c r="Y15" s="272">
        <f t="shared" si="4"/>
        <v>1452.077</v>
      </c>
      <c r="Z15" s="274">
        <f>'Tariffs Jul2018'!AY9</f>
        <v>0</v>
      </c>
      <c r="AA15" s="274" t="str">
        <f>'Tariffs Jul2018'!AZ9</f>
        <v>n</v>
      </c>
      <c r="AB15" s="275" t="str">
        <f>'Tariffs Jul2018'!BG9</f>
        <v>Y</v>
      </c>
      <c r="AC15" s="351"/>
      <c r="AD15" s="351"/>
      <c r="AE15" s="351"/>
      <c r="AF15" s="351"/>
      <c r="AG15" s="351"/>
      <c r="AH15" s="351"/>
      <c r="AI15" s="351"/>
      <c r="AJ15" s="351"/>
      <c r="AK15" s="351"/>
      <c r="AL15" s="351"/>
      <c r="AM15" s="351"/>
      <c r="AN15" s="351"/>
    </row>
    <row r="16" spans="1:40" x14ac:dyDescent="0.15">
      <c r="A16" s="270" t="str">
        <f>'Tariffs Jul2018'!F10</f>
        <v>Origin Energy</v>
      </c>
      <c r="B16" s="40" t="str">
        <f>'Tariffs Jul2018'!D10</f>
        <v>Multinet 1</v>
      </c>
      <c r="C16" s="40" t="str">
        <f>'Tariffs Jul2018'!G10</f>
        <v>Saver</v>
      </c>
      <c r="D16" s="59">
        <f>365*'Tariffs Jul2018'!H10/100</f>
        <v>255.5</v>
      </c>
      <c r="E16" s="59">
        <f>IF($C$5*'Tariffs Jul2018'!AK10/'Tariffs Jul2018'!AI10&gt;='Tariffs Jul2018'!J10,( 'Tariffs Jul2018'!J10*'Tariffs Jul2018'!O10/100)* 'Tariffs Jul2018'!AI10,($C$5*'Tariffs Jul2018'!AK10/'Tariffs Jul2018'!AI10*'Tariffs Jul2018'!O10/100)* 'Tariffs Jul2018'!AI10)</f>
        <v>432</v>
      </c>
      <c r="F16" s="59">
        <f>IF($C$5*'Tariffs Jul2018'!AK10/'Tariffs Jul2018'!AI10&lt;'Tariffs Jul2018'!J10,0,IF($C$5*'Tariffs Jul2018'!AK10/'Tariffs Jul2018'!AI10&lt;='Tariffs Jul2018'!K10,($C$5*'Tariffs Jul2018'!AK10/'Tariffs Jul2018'!AI10-'Tariffs Jul2018'!J10)*('Tariffs Jul2018'!P10/100)*'Tariffs Jul2018'!AI10,('Tariffs Jul2018'!K10-'Tariffs Jul2018'!J10)*('Tariffs Jul2018'!P10/100)*'Tariffs Jul2018'!AI10))</f>
        <v>175.5</v>
      </c>
      <c r="G16" s="59">
        <f>IF($C$5*'Tariffs Jul2018'!AK10/'Tariffs Jul2018'!AI10&lt;'Tariffs Jul2018'!K10,0,IF($C$5*'Tariffs Jul2018'!AK10/'Tariffs Jul2018'!AI10&lt;='Tariffs Jul2018'!L10,($C$5*'Tariffs Jul2018'!AK10/'Tariffs Jul2018'!AI10-'Tariffs Jul2018'!K10)*('Tariffs Jul2018'!Q10/100)*'Tariffs Jul2018'!AI10,('Tariffs Jul2018'!L10-'Tariffs Jul2018'!K10)*('Tariffs Jul2018'!Q10/100)*'Tariffs Jul2018'!AI10))</f>
        <v>0</v>
      </c>
      <c r="H16" s="59">
        <f>IF($C$5*'Tariffs Jul2018'!AK10/'Tariffs Jul2018'!AI10&lt;'Tariffs Jul2018'!L10,0,IF($C$5*'Tariffs Jul2018'!AK10/'Tariffs Jul2018'!AI10&lt;='Tariffs Jul2018'!M10,($C$5*'Tariffs Jul2018'!AK10/'Tariffs Jul2018'!AI10-'Tariffs Jul2018'!L10)*('Tariffs Jul2018'!R10/100)*'Tariffs Jul2018'!AI10,('Tariffs Jul2018'!M10-'Tariffs Jul2018'!L10)*('Tariffs Jul2018'!R10/100)*'Tariffs Jul2018'!AI10))</f>
        <v>0</v>
      </c>
      <c r="I16" s="59">
        <f>IF(($C$5*'Tariffs Jul2018'!AK10/'Tariffs Jul2018'!AI10&gt;'Tariffs Jul2018'!M10),($C$5*'Tariffs Jul2018'!AK10/'Tariffs Jul2018'!AI10-'Tariffs Jul2018'!M10)*'Tariffs Jul2018'!S10/100*'Tariffs Jul2018'!AI10,0)</f>
        <v>65.25</v>
      </c>
      <c r="J16" s="59">
        <f>IF($C$5*'Tariffs Jul2018'!AL10/'Tariffs Jul2018'!AJ10&gt;='Tariffs Jul2018'!J10,('Tariffs Jul2018'!J10*'Tariffs Jul2018'!U10/100)* 'Tariffs Jul2018'!AJ10,($C$5*'Tariffs Jul2018'!AL10/'Tariffs Jul2018'!AJ10*'Tariffs Jul2018'!U10/100)* 'Tariffs Jul2018'!AJ10)</f>
        <v>396.00000000000011</v>
      </c>
      <c r="K16" s="59">
        <f>IF($C$5*'Tariffs Jul2018'!AL10/'Tariffs Jul2018'!AJ10&lt;'Tariffs Jul2018'!J10,0,IF($C$5*'Tariffs Jul2018'!AL10/'Tariffs Jul2018'!AJ10&lt;='Tariffs Jul2018'!K10,($C$5*'Tariffs Jul2018'!AL10/'Tariffs Jul2018'!AJ10-'Tariffs Jul2018'!J10)*('Tariffs Jul2018'!V10/100)*'Tariffs Jul2018'!AJ10,('Tariffs Jul2018'!K10-'Tariffs Jul2018'!J10)*('Tariffs Jul2018'!V10/100)*'Tariffs Jul2018'!AJ10))</f>
        <v>157.50000000000003</v>
      </c>
      <c r="L16" s="59">
        <f>IF($C$5*'Tariffs Jul2018'!AL10/'Tariffs Jul2018'!AJ10&lt;'Tariffs Jul2018'!K10,0,IF($C$5*'Tariffs Jul2018'!AL10/'Tariffs Jul2018'!AJ10&lt;='Tariffs Jul2018'!L10,($C$5*'Tariffs Jul2018'!AL10/'Tariffs Jul2018'!AJ10-'Tariffs Jul2018'!K10)*('Tariffs Jul2018'!W10/100)*'Tariffs Jul2018'!AJ10,('Tariffs Jul2018'!L10-'Tariffs Jul2018'!K10)*('Tariffs Jul2018'!W10/100)*'Tariffs Jul2018'!AJ10))</f>
        <v>0</v>
      </c>
      <c r="M16" s="59">
        <f>IF($C$5*'Tariffs Jul2018'!AL10/'Tariffs Jul2018'!AJ10&lt;'Tariffs Jul2018'!L10,0,IF($C$5*'Tariffs Jul2018'!AL10/'Tariffs Jul2018'!AJ10&lt;='Tariffs Jul2018'!M10,($C$5*'Tariffs Jul2018'!AL10/'Tariffs Jul2018'!AJ10-'Tariffs Jul2018'!L10)*('Tariffs Jul2018'!X10/100)*'Tariffs Jul2018'!AJ10,('Tariffs Jul2018'!M10-'Tariffs Jul2018'!L10)*('Tariffs Jul2018'!X10/100)*'Tariffs Jul2018'!AJ10))</f>
        <v>0</v>
      </c>
      <c r="N16" s="59">
        <f>IF(($C$5*'Tariffs Jul2018'!AL10/'Tariffs Jul2018'!AJ10&gt;'Tariffs Jul2018'!M10),($C$5*'Tariffs Jul2018'!AL10/'Tariffs Jul2018'!AJ10-'Tariffs Jul2018'!M10)*'Tariffs Jul2018'!Y10/100*'Tariffs Jul2018'!AJ10,0)</f>
        <v>60.750000000000014</v>
      </c>
      <c r="O16" s="271">
        <f t="shared" si="0"/>
        <v>1287</v>
      </c>
      <c r="P16" s="59">
        <f t="shared" si="1"/>
        <v>1542.5</v>
      </c>
      <c r="Q16" s="272">
        <f t="shared" si="2"/>
        <v>1696.7500000000002</v>
      </c>
      <c r="R16" s="40">
        <f>'Tariffs Jul2018'!AM10</f>
        <v>0</v>
      </c>
      <c r="S16" s="40">
        <f>'Tariffs Jul2018'!AN10</f>
        <v>0</v>
      </c>
      <c r="T16" s="40">
        <f>'Tariffs Jul2018'!AO10</f>
        <v>0</v>
      </c>
      <c r="U16" s="40">
        <f>'Tariffs Jul2018'!AP10</f>
        <v>13</v>
      </c>
      <c r="V16" s="273">
        <f t="shared" si="3"/>
        <v>1542.5</v>
      </c>
      <c r="W16" s="273">
        <f>V16-(O16*U16/100)</f>
        <v>1375.19</v>
      </c>
      <c r="X16" s="272">
        <f t="shared" si="4"/>
        <v>1696.7500000000002</v>
      </c>
      <c r="Y16" s="272">
        <f t="shared" si="4"/>
        <v>1512.7090000000003</v>
      </c>
      <c r="Z16" s="274">
        <f>'Tariffs Jul2018'!AY10</f>
        <v>0</v>
      </c>
      <c r="AA16" s="274" t="str">
        <f>'Tariffs Jul2018'!AZ10</f>
        <v>n</v>
      </c>
      <c r="AB16" s="275" t="str">
        <f>'Tariffs Jul2018'!BG10</f>
        <v>N</v>
      </c>
      <c r="AC16" s="351"/>
      <c r="AD16" s="351"/>
      <c r="AE16" s="351"/>
      <c r="AF16" s="351"/>
      <c r="AG16" s="351"/>
      <c r="AH16" s="351"/>
      <c r="AI16" s="351"/>
      <c r="AJ16" s="351"/>
      <c r="AK16" s="351"/>
      <c r="AL16" s="351"/>
      <c r="AM16" s="351"/>
      <c r="AN16" s="351"/>
    </row>
    <row r="17" spans="1:40" x14ac:dyDescent="0.15">
      <c r="A17" s="270" t="str">
        <f>'Tariffs Jul2018'!F11</f>
        <v>Red Energy</v>
      </c>
      <c r="B17" s="40" t="str">
        <f>'Tariffs Jul2018'!D11</f>
        <v>Multinet 1</v>
      </c>
      <c r="C17" s="40" t="str">
        <f>'Tariffs Jul2018'!G11</f>
        <v>Easy Saver</v>
      </c>
      <c r="D17" s="59">
        <f>365*'Tariffs Jul2018'!H11/100</f>
        <v>255.5</v>
      </c>
      <c r="E17" s="59">
        <f>IF($C$5*'Tariffs Jul2018'!AK11/'Tariffs Jul2018'!AI11&gt;='Tariffs Jul2018'!J11,( 'Tariffs Jul2018'!J11*'Tariffs Jul2018'!O11/100)* 'Tariffs Jul2018'!AI11,($C$5*'Tariffs Jul2018'!AK11/'Tariffs Jul2018'!AI11*'Tariffs Jul2018'!O11/100)* 'Tariffs Jul2018'!AI11)</f>
        <v>368.99999999999994</v>
      </c>
      <c r="F17" s="59">
        <f>IF($C$5*'Tariffs Jul2018'!AK11/'Tariffs Jul2018'!AI11&lt;'Tariffs Jul2018'!J11,0,IF($C$5*'Tariffs Jul2018'!AK11/'Tariffs Jul2018'!AI11&lt;='Tariffs Jul2018'!K11,($C$5*'Tariffs Jul2018'!AK11/'Tariffs Jul2018'!AI11-'Tariffs Jul2018'!J11)*('Tariffs Jul2018'!P11/100)*'Tariffs Jul2018'!AI11,('Tariffs Jul2018'!K11-'Tariffs Jul2018'!J11)*('Tariffs Jul2018'!P11/100)*'Tariffs Jul2018'!AI11))</f>
        <v>162.00000000000003</v>
      </c>
      <c r="G17" s="59">
        <f>IF($C$5*'Tariffs Jul2018'!AK11/'Tariffs Jul2018'!AI11&lt;'Tariffs Jul2018'!K11,0,IF($C$5*'Tariffs Jul2018'!AK11/'Tariffs Jul2018'!AI11&lt;='Tariffs Jul2018'!L11,($C$5*'Tariffs Jul2018'!AK11/'Tariffs Jul2018'!AI11-'Tariffs Jul2018'!K11)*('Tariffs Jul2018'!S11/100)*'Tariffs Jul2018'!AI11,('Tariffs Jul2018'!L11-'Tariffs Jul2018'!K11)*('Tariffs Jul2018'!S11/100)*'Tariffs Jul2018'!AI11))</f>
        <v>0</v>
      </c>
      <c r="H17" s="59">
        <f>IF($C$5*'Tariffs Jul2018'!AK11/'Tariffs Jul2018'!AI11&lt;'Tariffs Jul2018'!L11,0,IF($C$5*'Tariffs Jul2018'!AK11/'Tariffs Jul2018'!AI11&lt;='Tariffs Jul2018'!M11,($C$5*'Tariffs Jul2018'!AK11/'Tariffs Jul2018'!AI11-'Tariffs Jul2018'!L11)*('Tariffs Jul2018'!R11/100)*'Tariffs Jul2018'!AI11,('Tariffs Jul2018'!M11-'Tariffs Jul2018'!L11)*('Tariffs Jul2018'!R11/100)*'Tariffs Jul2018'!AI11))</f>
        <v>0</v>
      </c>
      <c r="I17" s="59">
        <f>IF(($C$5*'Tariffs Jul2018'!AK11/'Tariffs Jul2018'!AI11&gt;'Tariffs Jul2018'!M11),($C$5*'Tariffs Jul2018'!AK11/'Tariffs Jul2018'!AI11-'Tariffs Jul2018'!M11)*'Tariffs Jul2018'!S11/100*'Tariffs Jul2018'!AI11,0)</f>
        <v>67.5</v>
      </c>
      <c r="J17" s="59">
        <f>IF($C$5*'Tariffs Jul2018'!AL11/'Tariffs Jul2018'!AJ11&gt;='Tariffs Jul2018'!J11,('Tariffs Jul2018'!J11*'Tariffs Jul2018'!U11/100)* 'Tariffs Jul2018'!AJ11,($C$5*'Tariffs Jul2018'!AL11/'Tariffs Jul2018'!AJ11*'Tariffs Jul2018'!U11/100)* 'Tariffs Jul2018'!AJ11)</f>
        <v>351</v>
      </c>
      <c r="K17" s="59">
        <f>IF($C$5*'Tariffs Jul2018'!AL11/'Tariffs Jul2018'!AJ11&lt;'Tariffs Jul2018'!J11,0,IF($C$5*'Tariffs Jul2018'!AL11/'Tariffs Jul2018'!AJ11&lt;='Tariffs Jul2018'!K11,($C$5*'Tariffs Jul2018'!AL11/'Tariffs Jul2018'!AJ11-'Tariffs Jul2018'!J11)*('Tariffs Jul2018'!V11/100)*'Tariffs Jul2018'!AJ11,('Tariffs Jul2018'!K11-'Tariffs Jul2018'!J11)*('Tariffs Jul2018'!V11/100)*'Tariffs Jul2018'!AJ11))</f>
        <v>139.5</v>
      </c>
      <c r="L17" s="59">
        <f>IF($C$5*'Tariffs Jul2018'!AL11/'Tariffs Jul2018'!AJ11&lt;'Tariffs Jul2018'!K11,0,IF($C$5*'Tariffs Jul2018'!AL11/'Tariffs Jul2018'!AJ11&lt;='Tariffs Jul2018'!L11,($C$5*'Tariffs Jul2018'!AL11/'Tariffs Jul2018'!AJ11-'Tariffs Jul2018'!K11)*('Tariffs Jul2018'!Y11/100)*'Tariffs Jul2018'!AJ11,('Tariffs Jul2018'!L11-'Tariffs Jul2018'!K11)*('Tariffs Jul2018'!Y11/100)*'Tariffs Jul2018'!AJ11))</f>
        <v>0</v>
      </c>
      <c r="M17" s="59">
        <f>IF($C$5*'Tariffs Jul2018'!AL11/'Tariffs Jul2018'!AJ11&lt;'Tariffs Jul2018'!L11,0,IF($C$5*'Tariffs Jul2018'!AL11/'Tariffs Jul2018'!AJ11&lt;='Tariffs Jul2018'!M11,($C$5*'Tariffs Jul2018'!AL11/'Tariffs Jul2018'!AJ11-'Tariffs Jul2018'!L11)*('Tariffs Jul2018'!X11/100)*'Tariffs Jul2018'!AJ11,('Tariffs Jul2018'!M11-'Tariffs Jul2018'!L11)*('Tariffs Jul2018'!X11/100)*'Tariffs Jul2018'!AJ11))</f>
        <v>0</v>
      </c>
      <c r="N17" s="59">
        <f>IF(($C$5*'Tariffs Jul2018'!AL11/'Tariffs Jul2018'!AJ11&gt;'Tariffs Jul2018'!M11),($C$5*'Tariffs Jul2018'!AL11/'Tariffs Jul2018'!AJ11-'Tariffs Jul2018'!M11)*'Tariffs Jul2018'!Y11/100*'Tariffs Jul2018'!AJ11,0)</f>
        <v>63</v>
      </c>
      <c r="O17" s="271">
        <f t="shared" si="0"/>
        <v>1152</v>
      </c>
      <c r="P17" s="59">
        <f t="shared" si="1"/>
        <v>1407.5</v>
      </c>
      <c r="Q17" s="272">
        <f t="shared" si="2"/>
        <v>1548.2500000000002</v>
      </c>
      <c r="R17" s="40">
        <f>'Tariffs Jul2018'!AM11</f>
        <v>0</v>
      </c>
      <c r="S17" s="40">
        <f>'Tariffs Jul2018'!AN11</f>
        <v>0</v>
      </c>
      <c r="T17" s="40">
        <f>'Tariffs Jul2018'!AO11</f>
        <v>10</v>
      </c>
      <c r="U17" s="40">
        <f>'Tariffs Jul2018'!AP11</f>
        <v>0</v>
      </c>
      <c r="V17" s="273">
        <f t="shared" si="3"/>
        <v>1407.5</v>
      </c>
      <c r="W17" s="273">
        <f>V17-(P17*T17/100)</f>
        <v>1266.75</v>
      </c>
      <c r="X17" s="272">
        <f t="shared" si="4"/>
        <v>1548.2500000000002</v>
      </c>
      <c r="Y17" s="272">
        <f t="shared" si="4"/>
        <v>1393.4250000000002</v>
      </c>
      <c r="Z17" s="274">
        <f>'Tariffs Jul2018'!AY11</f>
        <v>0</v>
      </c>
      <c r="AA17" s="274" t="str">
        <f>'Tariffs Jul2018'!AZ11</f>
        <v>n</v>
      </c>
      <c r="AB17" s="275" t="str">
        <f>'Tariffs Jul2018'!BG11</f>
        <v>Y</v>
      </c>
      <c r="AC17" s="351"/>
      <c r="AD17" s="351"/>
      <c r="AE17" s="351"/>
      <c r="AF17" s="351"/>
      <c r="AG17" s="351"/>
      <c r="AH17" s="351"/>
      <c r="AI17" s="351"/>
      <c r="AJ17" s="351"/>
      <c r="AK17" s="351"/>
      <c r="AL17" s="351"/>
      <c r="AM17" s="351"/>
      <c r="AN17" s="351"/>
    </row>
    <row r="18" spans="1:40" x14ac:dyDescent="0.15">
      <c r="A18" s="270" t="str">
        <f>'Tariffs Jul2018'!F12</f>
        <v>Simply Energy</v>
      </c>
      <c r="B18" s="40" t="str">
        <f>'Tariffs Jul2018'!D12</f>
        <v>Multinet 1</v>
      </c>
      <c r="C18" s="40" t="str">
        <f>'Tariffs Jul2018'!G12</f>
        <v>Plus</v>
      </c>
      <c r="D18" s="59">
        <f>365*'Tariffs Jul2018'!H12/100</f>
        <v>255.86499999999995</v>
      </c>
      <c r="E18" s="59">
        <f>IF($C$5*'Tariffs Jul2018'!AK12/'Tariffs Jul2018'!AI12&gt;='Tariffs Jul2018'!J12,( 'Tariffs Jul2018'!J12*'Tariffs Jul2018'!O12/100)* 'Tariffs Jul2018'!AI12,($C$5*'Tariffs Jul2018'!AK12/'Tariffs Jul2018'!AI12*'Tariffs Jul2018'!O12/100)* 'Tariffs Jul2018'!AI12)</f>
        <v>265.5</v>
      </c>
      <c r="F18" s="59">
        <f>IF($C$5*'Tariffs Jul2018'!AK12/'Tariffs Jul2018'!AI12&lt;'Tariffs Jul2018'!J12,0,IF($C$5*'Tariffs Jul2018'!AK12/'Tariffs Jul2018'!AI12&lt;='Tariffs Jul2018'!K12,($C$5*'Tariffs Jul2018'!AK12/'Tariffs Jul2018'!AI12-'Tariffs Jul2018'!J12)*('Tariffs Jul2018'!P12/100)*'Tariffs Jul2018'!AI12,('Tariffs Jul2018'!K12-'Tariffs Jul2018'!J12)*('Tariffs Jul2018'!P12/100)*'Tariffs Jul2018'!AI12))</f>
        <v>236.70000000000002</v>
      </c>
      <c r="G18" s="59">
        <f>IF($C$5*'Tariffs Jul2018'!AK12/'Tariffs Jul2018'!AI12&lt;'Tariffs Jul2018'!K12,0,IF($C$5*'Tariffs Jul2018'!AK12/'Tariffs Jul2018'!AI12&lt;='Tariffs Jul2018'!L12,($C$5*'Tariffs Jul2018'!AK12/'Tariffs Jul2018'!AI12-'Tariffs Jul2018'!K12)*('Tariffs Jul2018'!Q12/100)*'Tariffs Jul2018'!AI12,('Tariffs Jul2018'!L12-'Tariffs Jul2018'!K12)*('Tariffs Jul2018'!Q12/100)*'Tariffs Jul2018'!AI12))</f>
        <v>202.5</v>
      </c>
      <c r="H18" s="59">
        <f>IF($C$5*'Tariffs Jul2018'!AK12/'Tariffs Jul2018'!AI12&lt;'Tariffs Jul2018'!L12,0,IF($C$5*'Tariffs Jul2018'!AK12/'Tariffs Jul2018'!AI12&lt;='Tariffs Jul2018'!M12,($C$5*'Tariffs Jul2018'!AK12/'Tariffs Jul2018'!AI12-'Tariffs Jul2018'!L12)*('Tariffs Jul2018'!R12/100)*'Tariffs Jul2018'!AI12,('Tariffs Jul2018'!M12-'Tariffs Jul2018'!L12)*('Tariffs Jul2018'!R12/100)*'Tariffs Jul2018'!AI12))</f>
        <v>91.800000000000011</v>
      </c>
      <c r="I18" s="59">
        <f>IF(($C$5*'Tariffs Jul2018'!AK12/'Tariffs Jul2018'!AI12&gt;'Tariffs Jul2018'!M12),($C$5*'Tariffs Jul2018'!AK12/'Tariffs Jul2018'!AI12-'Tariffs Jul2018'!M12)*'Tariffs Jul2018'!S12/100*'Tariffs Jul2018'!AI12,0)</f>
        <v>0</v>
      </c>
      <c r="J18" s="59">
        <f>IF($C$5*'Tariffs Jul2018'!AL12/'Tariffs Jul2018'!AJ12&gt;='Tariffs Jul2018'!J12,('Tariffs Jul2018'!J12*'Tariffs Jul2018'!U12/100)* 'Tariffs Jul2018'!AJ12,($C$5*'Tariffs Jul2018'!AL12/'Tariffs Jul2018'!AJ12*'Tariffs Jul2018'!U12/100)* 'Tariffs Jul2018'!AJ12)</f>
        <v>250.20000000000002</v>
      </c>
      <c r="K18" s="59">
        <f>IF($C$5*'Tariffs Jul2018'!AL12/'Tariffs Jul2018'!AJ12&lt;'Tariffs Jul2018'!J12,0,IF($C$5*'Tariffs Jul2018'!AL12/'Tariffs Jul2018'!AJ12&lt;='Tariffs Jul2018'!K12,($C$5*'Tariffs Jul2018'!AL12/'Tariffs Jul2018'!AJ12-'Tariffs Jul2018'!J12)*('Tariffs Jul2018'!V12/100)*'Tariffs Jul2018'!AJ12,('Tariffs Jul2018'!K12-'Tariffs Jul2018'!J12)*('Tariffs Jul2018'!V12/100)*'Tariffs Jul2018'!AJ12))</f>
        <v>225.89999999999998</v>
      </c>
      <c r="L18" s="59">
        <f>IF($C$5*'Tariffs Jul2018'!AL12/'Tariffs Jul2018'!AJ12&lt;'Tariffs Jul2018'!K12,0,IF($C$5*'Tariffs Jul2018'!AL12/'Tariffs Jul2018'!AJ12&lt;='Tariffs Jul2018'!L12,($C$5*'Tariffs Jul2018'!AL12/'Tariffs Jul2018'!AJ12-'Tariffs Jul2018'!K12)*('Tariffs Jul2018'!W12/100)*'Tariffs Jul2018'!AJ12,('Tariffs Jul2018'!L12-'Tariffs Jul2018'!K12)*('Tariffs Jul2018'!W12/100)*'Tariffs Jul2018'!AJ12))</f>
        <v>197.10000000000002</v>
      </c>
      <c r="M18" s="59">
        <f>IF($C$5*'Tariffs Jul2018'!AL12/'Tariffs Jul2018'!AJ12&lt;'Tariffs Jul2018'!L12,0,IF($C$5*'Tariffs Jul2018'!AL12/'Tariffs Jul2018'!AJ12&lt;='Tariffs Jul2018'!M12,($C$5*'Tariffs Jul2018'!AL12/'Tariffs Jul2018'!AJ12-'Tariffs Jul2018'!L12)*('Tariffs Jul2018'!X12/100)*'Tariffs Jul2018'!AJ12,('Tariffs Jul2018'!M12-'Tariffs Jul2018'!L12)*('Tariffs Jul2018'!X12/100)*'Tariffs Jul2018'!AJ12))</f>
        <v>90.449999999999989</v>
      </c>
      <c r="N18" s="59">
        <f>IF(($C$5*'Tariffs Jul2018'!AL12/'Tariffs Jul2018'!AJ12&gt;'Tariffs Jul2018'!M12),($C$5*'Tariffs Jul2018'!AL12/'Tariffs Jul2018'!AJ12-'Tariffs Jul2018'!M12)*'Tariffs Jul2018'!Y12/100*'Tariffs Jul2018'!AJ12,0)</f>
        <v>0</v>
      </c>
      <c r="O18" s="271">
        <f t="shared" si="0"/>
        <v>1560.1499999999999</v>
      </c>
      <c r="P18" s="59">
        <f t="shared" si="1"/>
        <v>1816.0149999999999</v>
      </c>
      <c r="Q18" s="272">
        <f t="shared" si="2"/>
        <v>1997.6165000000001</v>
      </c>
      <c r="R18" s="40">
        <f>'Tariffs Jul2018'!AM12</f>
        <v>0</v>
      </c>
      <c r="S18" s="40">
        <f>'Tariffs Jul2018'!AN12</f>
        <v>0</v>
      </c>
      <c r="T18" s="40">
        <f>'Tariffs Jul2018'!AO12</f>
        <v>0</v>
      </c>
      <c r="U18" s="40">
        <f>'Tariffs Jul2018'!AP12</f>
        <v>26</v>
      </c>
      <c r="V18" s="273">
        <f t="shared" si="3"/>
        <v>1816.0149999999999</v>
      </c>
      <c r="W18" s="273">
        <f>V18-(O18*U18/100)</f>
        <v>1410.376</v>
      </c>
      <c r="X18" s="272">
        <f t="shared" si="4"/>
        <v>1997.6165000000001</v>
      </c>
      <c r="Y18" s="272">
        <f t="shared" si="4"/>
        <v>1551.4136000000001</v>
      </c>
      <c r="Z18" s="274">
        <f>'Tariffs Jul2018'!AY12</f>
        <v>0</v>
      </c>
      <c r="AA18" s="274" t="str">
        <f>'Tariffs Jul2018'!AZ12</f>
        <v>n</v>
      </c>
      <c r="AB18" s="275" t="str">
        <f>'Tariffs Jul2018'!BG12</f>
        <v>Y</v>
      </c>
      <c r="AC18" s="351"/>
      <c r="AD18" s="351"/>
      <c r="AE18" s="351"/>
      <c r="AF18" s="351"/>
      <c r="AG18" s="351"/>
      <c r="AH18" s="351"/>
      <c r="AI18" s="351"/>
      <c r="AJ18" s="351"/>
      <c r="AK18" s="351"/>
      <c r="AL18" s="351"/>
      <c r="AM18" s="351"/>
      <c r="AN18" s="351"/>
    </row>
    <row r="19" spans="1:40" x14ac:dyDescent="0.15">
      <c r="A19" s="40" t="str">
        <f>'Tariffs Jul2018'!F13</f>
        <v>Sumo Power</v>
      </c>
      <c r="B19" s="40" t="str">
        <f>'Tariffs Jul2018'!D13</f>
        <v>Multinet 1</v>
      </c>
      <c r="C19" s="40" t="str">
        <f>'Tariffs Jul2018'!G13</f>
        <v>Pay on time (max discount)</v>
      </c>
      <c r="D19" s="59">
        <f>365*'Tariffs Jul2018'!H13/100</f>
        <v>266.98655000000002</v>
      </c>
      <c r="E19" s="59">
        <f>IF($C$5*'Tariffs Jul2018'!AK13/'Tariffs Jul2018'!AI13&gt;='Tariffs Jul2018'!J13,( 'Tariffs Jul2018'!J13*'Tariffs Jul2018'!O13/100)* 'Tariffs Jul2018'!AI13,($C$5*'Tariffs Jul2018'!AK13/'Tariffs Jul2018'!AI13*'Tariffs Jul2018'!O13/100)* 'Tariffs Jul2018'!AI13)</f>
        <v>256.14</v>
      </c>
      <c r="F19" s="59">
        <f>IF($C$5*'Tariffs Jul2018'!AK13/'Tariffs Jul2018'!AI13&lt;'Tariffs Jul2018'!J13,0,IF($C$5*'Tariffs Jul2018'!AK13/'Tariffs Jul2018'!AI13&lt;='Tariffs Jul2018'!K13,($C$5*'Tariffs Jul2018'!AK13/'Tariffs Jul2018'!AI13-'Tariffs Jul2018'!J13)*('Tariffs Jul2018'!P13/100)*'Tariffs Jul2018'!AI13,('Tariffs Jul2018'!K13-'Tariffs Jul2018'!J13)*('Tariffs Jul2018'!P13/100)*'Tariffs Jul2018'!AI13))</f>
        <v>222.48</v>
      </c>
      <c r="G19" s="59">
        <f>IF($C$5*'Tariffs Jul2018'!AK13/'Tariffs Jul2018'!AI13&lt;'Tariffs Jul2018'!K13,0,IF($C$5*'Tariffs Jul2018'!AK13/'Tariffs Jul2018'!AI13&lt;='Tariffs Jul2018'!L13,($C$5*'Tariffs Jul2018'!AK13/'Tariffs Jul2018'!AI13-'Tariffs Jul2018'!K13)*('Tariffs Jul2018'!S13/100)*'Tariffs Jul2018'!AI13,('Tariffs Jul2018'!L13-'Tariffs Jul2018'!K13)*('Tariffs Jul2018'!S13/100)*'Tariffs Jul2018'!AI13))</f>
        <v>149.39999999999998</v>
      </c>
      <c r="H19" s="59">
        <f>IF($C$5*'Tariffs Jul2018'!AK13/'Tariffs Jul2018'!AI13&lt;'Tariffs Jul2018'!L13,0,IF($C$5*'Tariffs Jul2018'!AK13/'Tariffs Jul2018'!AI13&lt;='Tariffs Jul2018'!M13,($C$5*'Tariffs Jul2018'!AK13/'Tariffs Jul2018'!AI13-'Tariffs Jul2018'!L13)*('Tariffs Jul2018'!R13/100)*'Tariffs Jul2018'!AI13,('Tariffs Jul2018'!M13-'Tariffs Jul2018'!L13)*('Tariffs Jul2018'!R13/100)*'Tariffs Jul2018'!AI13))</f>
        <v>80.19</v>
      </c>
      <c r="I19" s="59">
        <f>IF(($C$5*'Tariffs Jul2018'!AK13/'Tariffs Jul2018'!AI13&gt;'Tariffs Jul2018'!M13),($C$5*'Tariffs Jul2018'!AK13/'Tariffs Jul2018'!AI13-'Tariffs Jul2018'!M13)*'Tariffs Jul2018'!S13/100*'Tariffs Jul2018'!AI13,0)</f>
        <v>0</v>
      </c>
      <c r="J19" s="59">
        <f>IF($C$5*'Tariffs Jul2018'!AL13/'Tariffs Jul2018'!AJ13&gt;='Tariffs Jul2018'!J13,('Tariffs Jul2018'!J13*'Tariffs Jul2018'!U13/100)* 'Tariffs Jul2018'!AJ13,($C$5*'Tariffs Jul2018'!AL13/'Tariffs Jul2018'!AJ13*'Tariffs Jul2018'!U13/100)* 'Tariffs Jul2018'!AJ13)</f>
        <v>229.68</v>
      </c>
      <c r="K19" s="59">
        <f>IF($C$5*'Tariffs Jul2018'!AL13/'Tariffs Jul2018'!AJ13&lt;'Tariffs Jul2018'!J13,0,IF($C$5*'Tariffs Jul2018'!AL13/'Tariffs Jul2018'!AJ13&lt;='Tariffs Jul2018'!K13,($C$5*'Tariffs Jul2018'!AL13/'Tariffs Jul2018'!AJ13-'Tariffs Jul2018'!J13)*('Tariffs Jul2018'!V13/100)*'Tariffs Jul2018'!AJ13,('Tariffs Jul2018'!K13-'Tariffs Jul2018'!J13)*('Tariffs Jul2018'!V13/100)*'Tariffs Jul2018'!AJ13))</f>
        <v>201.42000000000002</v>
      </c>
      <c r="L19" s="59">
        <f>IF($C$5*'Tariffs Jul2018'!AL13/'Tariffs Jul2018'!AJ13&lt;'Tariffs Jul2018'!K13,0,IF($C$5*'Tariffs Jul2018'!AL13/'Tariffs Jul2018'!AJ13&lt;='Tariffs Jul2018'!L13,($C$5*'Tariffs Jul2018'!AL13/'Tariffs Jul2018'!AJ13-'Tariffs Jul2018'!K13)*('Tariffs Jul2018'!Y13/100)*'Tariffs Jul2018'!AJ13,('Tariffs Jul2018'!L13-'Tariffs Jul2018'!K13)*('Tariffs Jul2018'!Y13/100)*'Tariffs Jul2018'!AJ13))</f>
        <v>137.52000000000001</v>
      </c>
      <c r="M19" s="59">
        <f>IF($C$5*'Tariffs Jul2018'!AL13/'Tariffs Jul2018'!AJ13&lt;'Tariffs Jul2018'!L13,0,IF($C$5*'Tariffs Jul2018'!AL13/'Tariffs Jul2018'!AJ13&lt;='Tariffs Jul2018'!M13,($C$5*'Tariffs Jul2018'!AL13/'Tariffs Jul2018'!AJ13-'Tariffs Jul2018'!L13)*('Tariffs Jul2018'!X13/100)*'Tariffs Jul2018'!AJ13,('Tariffs Jul2018'!M13-'Tariffs Jul2018'!L13)*('Tariffs Jul2018'!X13/100)*'Tariffs Jul2018'!AJ13))</f>
        <v>74.699999999999989</v>
      </c>
      <c r="N19" s="59">
        <f>IF(($C$5*'Tariffs Jul2018'!AL13/'Tariffs Jul2018'!AJ13&gt;'Tariffs Jul2018'!M13),($C$5*'Tariffs Jul2018'!AL13/'Tariffs Jul2018'!AJ13-'Tariffs Jul2018'!M13)*'Tariffs Jul2018'!Y13/100*'Tariffs Jul2018'!AJ13,0)</f>
        <v>0</v>
      </c>
      <c r="O19" s="271">
        <f t="shared" si="0"/>
        <v>1351.5300000000002</v>
      </c>
      <c r="P19" s="59">
        <f t="shared" si="1"/>
        <v>1618.5165500000003</v>
      </c>
      <c r="Q19" s="272">
        <f t="shared" si="2"/>
        <v>1780.3682050000004</v>
      </c>
      <c r="R19" s="40">
        <f>'Tariffs Jul2018'!AM13</f>
        <v>0</v>
      </c>
      <c r="S19" s="40">
        <f>'Tariffs Jul2018'!AN13</f>
        <v>0</v>
      </c>
      <c r="T19" s="40">
        <f>'Tariffs Jul2018'!AO13</f>
        <v>0</v>
      </c>
      <c r="U19" s="40">
        <f>'Tariffs Jul2018'!AP13</f>
        <v>25</v>
      </c>
      <c r="V19" s="273">
        <f t="shared" si="3"/>
        <v>1618.5165500000003</v>
      </c>
      <c r="W19" s="273">
        <f>V19-(O19*U19/100)</f>
        <v>1280.6340500000001</v>
      </c>
      <c r="X19" s="272">
        <f t="shared" si="4"/>
        <v>1780.3682050000004</v>
      </c>
      <c r="Y19" s="272">
        <f t="shared" si="4"/>
        <v>1408.6974550000002</v>
      </c>
      <c r="Z19" s="274">
        <f>'Tariffs Jul2018'!AY13</f>
        <v>0</v>
      </c>
      <c r="AA19" s="274" t="str">
        <f>'Tariffs Jul2018'!AZ13</f>
        <v>n</v>
      </c>
      <c r="AB19" s="275" t="str">
        <f>'Tariffs Jul2018'!BG13</f>
        <v>Y</v>
      </c>
      <c r="AC19" s="351"/>
      <c r="AD19" s="351"/>
      <c r="AE19" s="351"/>
      <c r="AF19" s="351"/>
      <c r="AG19" s="351"/>
      <c r="AH19" s="351"/>
      <c r="AI19" s="351"/>
      <c r="AJ19" s="351"/>
      <c r="AK19" s="351"/>
      <c r="AL19" s="351"/>
      <c r="AM19" s="351"/>
      <c r="AN19" s="351"/>
    </row>
    <row r="20" spans="1:40" x14ac:dyDescent="0.15">
      <c r="A20" s="40" t="str">
        <f>'Tariffs Jul2018'!F14</f>
        <v>Amaysim</v>
      </c>
      <c r="B20" s="40" t="str">
        <f>'Tariffs Jul2018'!D14</f>
        <v>Multinet 1</v>
      </c>
      <c r="C20" s="40" t="str">
        <f>'Tariffs Jul2018'!G14</f>
        <v>Gas 4</v>
      </c>
      <c r="D20" s="59">
        <f>365*'Tariffs Jul2018'!H14/100</f>
        <v>285.06499999999994</v>
      </c>
      <c r="E20" s="59">
        <f>IF($C$5*'Tariffs Jul2018'!AK14/'Tariffs Jul2018'!AI14&gt;='Tariffs Jul2018'!J14,( 'Tariffs Jul2018'!J14*'Tariffs Jul2018'!O14/100)* 'Tariffs Jul2018'!AI14,($C$5*'Tariffs Jul2018'!AK14/'Tariffs Jul2018'!AI14*'Tariffs Jul2018'!O14/100)* 'Tariffs Jul2018'!AI14)</f>
        <v>301.5</v>
      </c>
      <c r="F20" s="59">
        <f>IF($C$5*'Tariffs Jul2018'!AK14/'Tariffs Jul2018'!AI14&lt;'Tariffs Jul2018'!J14,0,IF($C$5*'Tariffs Jul2018'!AK14/'Tariffs Jul2018'!AI14&lt;='Tariffs Jul2018'!K14,($C$5*'Tariffs Jul2018'!AK14/'Tariffs Jul2018'!AI14-'Tariffs Jul2018'!J14)*('Tariffs Jul2018'!P14/100)*'Tariffs Jul2018'!AI14,('Tariffs Jul2018'!K14-'Tariffs Jul2018'!J14)*('Tariffs Jul2018'!P14/100)*'Tariffs Jul2018'!AI14))</f>
        <v>265.5</v>
      </c>
      <c r="G20" s="59">
        <f>IF($C$5*'Tariffs Jul2018'!AK14/'Tariffs Jul2018'!AI14&lt;'Tariffs Jul2018'!K14,0,IF($C$5*'Tariffs Jul2018'!AK14/'Tariffs Jul2018'!AI14&lt;='Tariffs Jul2018'!L14,($C$5*'Tariffs Jul2018'!AK14/'Tariffs Jul2018'!AI14-'Tariffs Jul2018'!K14)*('Tariffs Jul2018'!Q14/100)*'Tariffs Jul2018'!AI14,('Tariffs Jul2018'!L14-'Tariffs Jul2018'!K14)*('Tariffs Jul2018'!Q14/100)*'Tariffs Jul2018'!AI14))</f>
        <v>229.5</v>
      </c>
      <c r="H20" s="59">
        <f>IF($C$5*'Tariffs Jul2018'!AK14/'Tariffs Jul2018'!AI14&lt;'Tariffs Jul2018'!L14,0,IF($C$5*'Tariffs Jul2018'!AK14/'Tariffs Jul2018'!AI14&lt;='Tariffs Jul2018'!M14,($C$5*'Tariffs Jul2018'!AK14/'Tariffs Jul2018'!AI14-'Tariffs Jul2018'!L14)*('Tariffs Jul2018'!R14/100)*'Tariffs Jul2018'!AI14,('Tariffs Jul2018'!M14-'Tariffs Jul2018'!L14)*('Tariffs Jul2018'!R14/100)*'Tariffs Jul2018'!AI14))</f>
        <v>105.75</v>
      </c>
      <c r="I20" s="59">
        <f>IF(($C$5*'Tariffs Jul2018'!AK14/'Tariffs Jul2018'!AI14&gt;'Tariffs Jul2018'!M14),($C$5*'Tariffs Jul2018'!AK14/'Tariffs Jul2018'!AI14-'Tariffs Jul2018'!M14)*'Tariffs Jul2018'!S14/100*'Tariffs Jul2018'!AI14,0)</f>
        <v>0</v>
      </c>
      <c r="J20" s="59">
        <f>IF($C$5*'Tariffs Jul2018'!AL14/'Tariffs Jul2018'!AJ14&gt;='Tariffs Jul2018'!J14,('Tariffs Jul2018'!J14*'Tariffs Jul2018'!U14/100)* 'Tariffs Jul2018'!AJ14,($C$5*'Tariffs Jul2018'!AL14/'Tariffs Jul2018'!AJ14*'Tariffs Jul2018'!U14/100)* 'Tariffs Jul2018'!AJ14)</f>
        <v>292.5</v>
      </c>
      <c r="K20" s="59">
        <f>IF($C$5*'Tariffs Jul2018'!AL14/'Tariffs Jul2018'!AJ14&lt;'Tariffs Jul2018'!J14,0,IF($C$5*'Tariffs Jul2018'!AL14/'Tariffs Jul2018'!AJ14&lt;='Tariffs Jul2018'!K14,($C$5*'Tariffs Jul2018'!AL14/'Tariffs Jul2018'!AJ14-'Tariffs Jul2018'!J14)*('Tariffs Jul2018'!V14/100)*'Tariffs Jul2018'!AJ14,('Tariffs Jul2018'!K14-'Tariffs Jul2018'!J14)*('Tariffs Jul2018'!V14/100)*'Tariffs Jul2018'!AJ14))</f>
        <v>261</v>
      </c>
      <c r="L20" s="59">
        <f>IF($C$5*'Tariffs Jul2018'!AL14/'Tariffs Jul2018'!AJ14&lt;'Tariffs Jul2018'!K14,0,IF($C$5*'Tariffs Jul2018'!AL14/'Tariffs Jul2018'!AJ14&lt;='Tariffs Jul2018'!L14,($C$5*'Tariffs Jul2018'!AL14/'Tariffs Jul2018'!AJ14-'Tariffs Jul2018'!K14)*('Tariffs Jul2018'!W14/100)*'Tariffs Jul2018'!AJ14,('Tariffs Jul2018'!L14-'Tariffs Jul2018'!K14)*('Tariffs Jul2018'!W14/100)*'Tariffs Jul2018'!AJ14))</f>
        <v>225</v>
      </c>
      <c r="M20" s="59">
        <f>IF($C$5*'Tariffs Jul2018'!AL14/'Tariffs Jul2018'!AJ14&lt;'Tariffs Jul2018'!L14,0,IF($C$5*'Tariffs Jul2018'!AL14/'Tariffs Jul2018'!AJ14&lt;='Tariffs Jul2018'!M14,($C$5*'Tariffs Jul2018'!AL14/'Tariffs Jul2018'!AJ14-'Tariffs Jul2018'!L14)*('Tariffs Jul2018'!X14/100)*'Tariffs Jul2018'!AJ14,('Tariffs Jul2018'!M14-'Tariffs Jul2018'!L14)*('Tariffs Jul2018'!X14/100)*'Tariffs Jul2018'!AJ14))</f>
        <v>105.75</v>
      </c>
      <c r="N20" s="59">
        <f>IF(($C$5*'Tariffs Jul2018'!AL14/'Tariffs Jul2018'!AJ14&gt;'Tariffs Jul2018'!M14),($C$5*'Tariffs Jul2018'!AL14/'Tariffs Jul2018'!AJ14-'Tariffs Jul2018'!M14)*'Tariffs Jul2018'!Y14/100*'Tariffs Jul2018'!AJ14,0)</f>
        <v>0</v>
      </c>
      <c r="O20" s="271">
        <f>SUM(E20:N20)</f>
        <v>1786.5</v>
      </c>
      <c r="P20" s="59">
        <f>D20+O20</f>
        <v>2071.5650000000001</v>
      </c>
      <c r="Q20" s="272">
        <f t="shared" si="2"/>
        <v>2278.7215000000001</v>
      </c>
      <c r="R20" s="40">
        <f>'Tariffs Jul2018'!AM14</f>
        <v>0</v>
      </c>
      <c r="S20" s="40">
        <f>'Tariffs Jul2018'!AN14</f>
        <v>0</v>
      </c>
      <c r="T20" s="40">
        <f>'Tariffs Jul2018'!AO14</f>
        <v>5</v>
      </c>
      <c r="U20" s="40">
        <f>'Tariffs Jul2018'!AP14</f>
        <v>0</v>
      </c>
      <c r="V20" s="273">
        <f t="shared" si="3"/>
        <v>2071.5650000000001</v>
      </c>
      <c r="W20" s="273">
        <f>V20-(P20*T20/100)</f>
        <v>1967.98675</v>
      </c>
      <c r="X20" s="272">
        <f t="shared" si="4"/>
        <v>2278.7215000000001</v>
      </c>
      <c r="Y20" s="272">
        <f t="shared" si="4"/>
        <v>2164.785425</v>
      </c>
      <c r="Z20" s="274">
        <f>'Tariffs Jul2018'!AY14</f>
        <v>0</v>
      </c>
      <c r="AA20" s="274" t="str">
        <f>'Tariffs Jul2018'!AZ14</f>
        <v>n</v>
      </c>
      <c r="AB20" s="275" t="str">
        <f>'Tariffs Jul2018'!BG14</f>
        <v>N</v>
      </c>
      <c r="AC20" s="351"/>
      <c r="AD20" s="351"/>
      <c r="AE20" s="351"/>
      <c r="AF20" s="351"/>
      <c r="AG20" s="351"/>
      <c r="AH20" s="351"/>
      <c r="AI20" s="351"/>
      <c r="AJ20" s="351"/>
      <c r="AK20" s="351"/>
      <c r="AL20" s="351"/>
      <c r="AM20" s="351"/>
      <c r="AN20" s="351"/>
    </row>
    <row r="21" spans="1:40" x14ac:dyDescent="0.15">
      <c r="A21" s="40" t="str">
        <f>'Tariffs Jul2018'!F15</f>
        <v>GloBird</v>
      </c>
      <c r="B21" s="40" t="str">
        <f>'Tariffs Jul2018'!D15</f>
        <v>Multinet 1</v>
      </c>
      <c r="C21" s="40" t="str">
        <f>'Tariffs Jul2018'!G15</f>
        <v>GloSave</v>
      </c>
      <c r="D21" s="59">
        <f>365*'Tariffs Jul2018'!H15/100</f>
        <v>299.3</v>
      </c>
      <c r="E21" s="59">
        <f>IF($C$5*'Tariffs Jul2018'!AK15/'Tariffs Jul2018'!AI15&gt;='Tariffs Jul2018'!J15,( 'Tariffs Jul2018'!J15*'Tariffs Jul2018'!O15/100)* 'Tariffs Jul2018'!AI15,($C$5*'Tariffs Jul2018'!AK15/'Tariffs Jul2018'!AI15*'Tariffs Jul2018'!O15/100)* 'Tariffs Jul2018'!AI15)</f>
        <v>482.40000000000003</v>
      </c>
      <c r="F21" s="59">
        <f>IF($C$5*'Tariffs Jul2018'!AK15/'Tariffs Jul2018'!AI15&lt;'Tariffs Jul2018'!J15,0,IF($C$5*'Tariffs Jul2018'!AK15/'Tariffs Jul2018'!AI15&lt;='Tariffs Jul2018'!K15,($C$5*'Tariffs Jul2018'!AK15/'Tariffs Jul2018'!AI15-'Tariffs Jul2018'!J15)*('Tariffs Jul2018'!P15/100)*'Tariffs Jul2018'!AI15,('Tariffs Jul2018'!K15-'Tariffs Jul2018'!J15)*('Tariffs Jul2018'!P15/100)*'Tariffs Jul2018'!AI15))</f>
        <v>0</v>
      </c>
      <c r="G21" s="59">
        <f>IF($C$5*'Tariffs Jul2018'!AK15/'Tariffs Jul2018'!AI15&lt;'Tariffs Jul2018'!K15,0,IF($C$5*'Tariffs Jul2018'!AK15/'Tariffs Jul2018'!AI15&lt;='Tariffs Jul2018'!L15,($C$5*'Tariffs Jul2018'!AK15/'Tariffs Jul2018'!AI15-'Tariffs Jul2018'!K15)*('Tariffs Jul2018'!Q15/100)*'Tariffs Jul2018'!AI15,('Tariffs Jul2018'!L15-'Tariffs Jul2018'!K15)*('Tariffs Jul2018'!Q15/100)*'Tariffs Jul2018'!AI15))</f>
        <v>0</v>
      </c>
      <c r="H21" s="59">
        <f>IF($C$5*'Tariffs Jul2018'!AK15/'Tariffs Jul2018'!AI15&lt;'Tariffs Jul2018'!L15,0,IF($C$5*'Tariffs Jul2018'!AK15/'Tariffs Jul2018'!AI15&lt;='Tariffs Jul2018'!M15,($C$5*'Tariffs Jul2018'!AK15/'Tariffs Jul2018'!AI15-'Tariffs Jul2018'!L15)*('Tariffs Jul2018'!R15/100)*'Tariffs Jul2018'!AI15,('Tariffs Jul2018'!M15-'Tariffs Jul2018'!L15)*('Tariffs Jul2018'!R15/100)*'Tariffs Jul2018'!AI15))</f>
        <v>0</v>
      </c>
      <c r="I21" s="59">
        <f>IF(($C$5*'Tariffs Jul2018'!AK15/'Tariffs Jul2018'!AI15&gt;'Tariffs Jul2018'!M15),($C$5*'Tariffs Jul2018'!AK15/'Tariffs Jul2018'!AI15-'Tariffs Jul2018'!M15)*'Tariffs Jul2018'!S15/100*'Tariffs Jul2018'!AI15,0)</f>
        <v>337.5</v>
      </c>
      <c r="J21" s="59">
        <f>IF($C$5*'Tariffs Jul2018'!AL15/'Tariffs Jul2018'!AJ15&gt;='Tariffs Jul2018'!J15,('Tariffs Jul2018'!J15*'Tariffs Jul2018'!U15/100)* 'Tariffs Jul2018'!AJ15,($C$5*'Tariffs Jul2018'!AL15/'Tariffs Jul2018'!AJ15*'Tariffs Jul2018'!U15/100)* 'Tariffs Jul2018'!AJ15)</f>
        <v>482.40000000000003</v>
      </c>
      <c r="K21" s="59">
        <f>IF($C$5*'Tariffs Jul2018'!AL15/'Tariffs Jul2018'!AJ15&lt;'Tariffs Jul2018'!J15,0,IF($C$5*'Tariffs Jul2018'!AL15/'Tariffs Jul2018'!AJ15&lt;='Tariffs Jul2018'!K15,($C$5*'Tariffs Jul2018'!AL15/'Tariffs Jul2018'!AJ15-'Tariffs Jul2018'!J15)*('Tariffs Jul2018'!V15/100)*'Tariffs Jul2018'!AJ15,('Tariffs Jul2018'!K15-'Tariffs Jul2018'!J15)*('Tariffs Jul2018'!V15/100)*'Tariffs Jul2018'!AJ15))</f>
        <v>0</v>
      </c>
      <c r="L21" s="59">
        <f>IF($C$5*'Tariffs Jul2018'!AL15/'Tariffs Jul2018'!AJ15&lt;'Tariffs Jul2018'!K15,0,IF($C$5*'Tariffs Jul2018'!AL15/'Tariffs Jul2018'!AJ15&lt;='Tariffs Jul2018'!L15,($C$5*'Tariffs Jul2018'!AL15/'Tariffs Jul2018'!AJ15-'Tariffs Jul2018'!K15)*('Tariffs Jul2018'!W15/100)*'Tariffs Jul2018'!AJ15,('Tariffs Jul2018'!L15-'Tariffs Jul2018'!K15)*('Tariffs Jul2018'!W15/100)*'Tariffs Jul2018'!AJ15))</f>
        <v>0</v>
      </c>
      <c r="M21" s="59">
        <f>IF($C$5*'Tariffs Jul2018'!AL15/'Tariffs Jul2018'!AJ15&lt;'Tariffs Jul2018'!L15,0,IF($C$5*'Tariffs Jul2018'!AL15/'Tariffs Jul2018'!AJ15&lt;='Tariffs Jul2018'!M15,($C$5*'Tariffs Jul2018'!AL15/'Tariffs Jul2018'!AJ15-'Tariffs Jul2018'!L15)*('Tariffs Jul2018'!X15/100)*'Tariffs Jul2018'!AJ15,('Tariffs Jul2018'!M15-'Tariffs Jul2018'!L15)*('Tariffs Jul2018'!X15/100)*'Tariffs Jul2018'!AJ15))</f>
        <v>0</v>
      </c>
      <c r="N21" s="59">
        <f>IF(($C$5*'Tariffs Jul2018'!AL15/'Tariffs Jul2018'!AJ15&gt;'Tariffs Jul2018'!M15),($C$5*'Tariffs Jul2018'!AL15/'Tariffs Jul2018'!AJ15-'Tariffs Jul2018'!M15)*'Tariffs Jul2018'!Y15/100*'Tariffs Jul2018'!AJ15,0)</f>
        <v>337.5</v>
      </c>
      <c r="O21" s="271">
        <f>SUM(E21:N21)</f>
        <v>1639.8000000000002</v>
      </c>
      <c r="P21" s="59">
        <f>D21+O21</f>
        <v>1939.1000000000001</v>
      </c>
      <c r="Q21" s="272">
        <f>P21*1.1</f>
        <v>2133.0100000000002</v>
      </c>
      <c r="R21" s="40">
        <f>'Tariffs Jul2018'!AM15</f>
        <v>0</v>
      </c>
      <c r="S21" s="40">
        <f>'Tariffs Jul2018'!AN15</f>
        <v>0</v>
      </c>
      <c r="T21" s="40">
        <f>'Tariffs Jul2018'!AO15</f>
        <v>34</v>
      </c>
      <c r="U21" s="40">
        <f>'Tariffs Jul2018'!AP15</f>
        <v>0</v>
      </c>
      <c r="V21" s="273">
        <f t="shared" ref="V21:V27" si="5">P21</f>
        <v>1939.1000000000001</v>
      </c>
      <c r="W21" s="273">
        <f>V21-(P21*T21/100)</f>
        <v>1279.806</v>
      </c>
      <c r="X21" s="272">
        <f>V21*1.1</f>
        <v>2133.0100000000002</v>
      </c>
      <c r="Y21" s="272">
        <f>W21*1.1</f>
        <v>1407.7866000000001</v>
      </c>
      <c r="Z21" s="274">
        <f>'Tariffs Jul2018'!AY15</f>
        <v>0</v>
      </c>
      <c r="AA21" s="274" t="str">
        <f>'Tariffs Jul2018'!AZ15</f>
        <v>n</v>
      </c>
      <c r="AB21" s="275" t="str">
        <f>'Tariffs Jul2018'!BG15</f>
        <v>N</v>
      </c>
      <c r="AC21" s="351"/>
      <c r="AD21" s="351"/>
      <c r="AE21" s="351"/>
      <c r="AF21" s="351"/>
      <c r="AG21" s="351"/>
      <c r="AH21" s="351"/>
      <c r="AI21" s="351"/>
      <c r="AJ21" s="351"/>
      <c r="AK21" s="351"/>
      <c r="AL21" s="351"/>
      <c r="AM21" s="351"/>
      <c r="AN21" s="351"/>
    </row>
    <row r="22" spans="1:40" ht="14" thickBot="1" x14ac:dyDescent="0.2">
      <c r="A22" s="277" t="str">
        <f>'Tariffs Jul2018'!F16</f>
        <v>Powershop</v>
      </c>
      <c r="B22" s="277" t="str">
        <f>'Tariffs Jul2018'!D16</f>
        <v>Multinet 1</v>
      </c>
      <c r="C22" s="277" t="str">
        <f>'Tariffs Jul2018'!G16</f>
        <v>Gas Saver</v>
      </c>
      <c r="D22" s="278">
        <f>365*'Tariffs Jul2018'!H16/100</f>
        <v>290.90499999999997</v>
      </c>
      <c r="E22" s="278">
        <f>((C$5*'Tariffs Jul2018'!AK16/'Tariffs Jul2018'!AI16)*('Tariffs Jul2018'!O16/100))*'Tariffs Jul2018'!AI16</f>
        <v>611.1</v>
      </c>
      <c r="F22" s="278">
        <v>0</v>
      </c>
      <c r="G22" s="278">
        <v>0</v>
      </c>
      <c r="H22" s="278">
        <v>0</v>
      </c>
      <c r="I22" s="278">
        <v>0</v>
      </c>
      <c r="J22" s="278">
        <f>((C$5*'Tariffs Jul2018'!AL16/'Tariffs Jul2018'!AJ16)*('Tariffs Jul2018'!U16/100))*'Tariffs Jul2018'!AJ16</f>
        <v>516.59999999999991</v>
      </c>
      <c r="K22" s="278">
        <v>0</v>
      </c>
      <c r="L22" s="278">
        <v>0</v>
      </c>
      <c r="M22" s="278">
        <v>0</v>
      </c>
      <c r="N22" s="278">
        <v>0</v>
      </c>
      <c r="O22" s="279">
        <f>SUM(E22:N22)</f>
        <v>1127.6999999999998</v>
      </c>
      <c r="P22" s="278">
        <f>D22+O22</f>
        <v>1418.6049999999998</v>
      </c>
      <c r="Q22" s="280">
        <f t="shared" si="2"/>
        <v>1560.4654999999998</v>
      </c>
      <c r="R22" s="277">
        <f>'Tariffs Jul2018'!AM16</f>
        <v>0</v>
      </c>
      <c r="S22" s="277">
        <f>'Tariffs Jul2018'!AN16</f>
        <v>0</v>
      </c>
      <c r="T22" s="277">
        <f>'Tariffs Jul2018'!AO16</f>
        <v>5</v>
      </c>
      <c r="U22" s="277">
        <f>'Tariffs Jul2018'!AP16</f>
        <v>0</v>
      </c>
      <c r="V22" s="281">
        <f t="shared" si="5"/>
        <v>1418.6049999999998</v>
      </c>
      <c r="W22" s="281">
        <f>V22-(P22*T22/100)</f>
        <v>1347.6747499999999</v>
      </c>
      <c r="X22" s="280">
        <f>V22*1.1</f>
        <v>1560.4654999999998</v>
      </c>
      <c r="Y22" s="280">
        <f>W22*1.1</f>
        <v>1482.442225</v>
      </c>
      <c r="Z22" s="282">
        <f>'Tariffs Jul2018'!AY16</f>
        <v>0</v>
      </c>
      <c r="AA22" s="282" t="str">
        <f>'Tariffs Jul2018'!AZ16</f>
        <v>n</v>
      </c>
      <c r="AB22" s="283" t="str">
        <f>'Tariffs Jul2018'!BG16</f>
        <v>Y</v>
      </c>
      <c r="AC22" s="351"/>
      <c r="AD22" s="351"/>
      <c r="AE22" s="351"/>
      <c r="AF22" s="351"/>
      <c r="AG22" s="351"/>
      <c r="AH22" s="351"/>
      <c r="AI22" s="351"/>
      <c r="AJ22" s="351"/>
      <c r="AK22" s="351"/>
      <c r="AL22" s="351"/>
      <c r="AM22" s="351"/>
      <c r="AN22" s="351"/>
    </row>
    <row r="23" spans="1:40" ht="14" thickTop="1" x14ac:dyDescent="0.15">
      <c r="A23" s="40" t="str">
        <f>'Tariffs Jul2018'!F17</f>
        <v>AGL</v>
      </c>
      <c r="B23" s="40" t="str">
        <f>'Tariffs Jul2018'!D17</f>
        <v>Multinet 2</v>
      </c>
      <c r="C23" s="40" t="str">
        <f>'Tariffs Jul2018'!G17</f>
        <v>Savers</v>
      </c>
      <c r="D23" s="59">
        <f>365*'Tariffs Jul2018'!H17/100</f>
        <v>306.60000000000002</v>
      </c>
      <c r="E23" s="59">
        <f>IF($C$5*'Tariffs Jul2018'!AK17/'Tariffs Jul2018'!AI17&gt;='Tariffs Jul2018'!J17,( 'Tariffs Jul2018'!J17*'Tariffs Jul2018'!O17/100)* 'Tariffs Jul2018'!AI17,($C$5*'Tariffs Jul2018'!AK17/'Tariffs Jul2018'!AI17*'Tariffs Jul2018'!O17/100)* 'Tariffs Jul2018'!AI17)</f>
        <v>239.39999999999998</v>
      </c>
      <c r="F23" s="59">
        <f>IF($C$5*'Tariffs Jul2018'!AK17/'Tariffs Jul2018'!AI17&lt;'Tariffs Jul2018'!J17,0,IF($C$5*'Tariffs Jul2018'!AK17/'Tariffs Jul2018'!AI17&lt;='Tariffs Jul2018'!K17,($C$5*'Tariffs Jul2018'!AK17/'Tariffs Jul2018'!AI17-'Tariffs Jul2018'!J17)*('Tariffs Jul2018'!P17/100)*'Tariffs Jul2018'!AI17,('Tariffs Jul2018'!K17-'Tariffs Jul2018'!J17)*('Tariffs Jul2018'!P17/100)*'Tariffs Jul2018'!AI17))</f>
        <v>209.70000000000002</v>
      </c>
      <c r="G23" s="59">
        <f>IF($C$5*'Tariffs Jul2018'!AK17/'Tariffs Jul2018'!AI17&lt;'Tariffs Jul2018'!K17,0,IF($C$5*'Tariffs Jul2018'!AK17/'Tariffs Jul2018'!AI17&lt;='Tariffs Jul2018'!L17,($C$5*'Tariffs Jul2018'!AK17/'Tariffs Jul2018'!AI17-'Tariffs Jul2018'!K17)*('Tariffs Jul2018'!Q17/100)*'Tariffs Jul2018'!AI17,('Tariffs Jul2018'!L17-'Tariffs Jul2018'!K17)*('Tariffs Jul2018'!Q17/100)*'Tariffs Jul2018'!AI17))</f>
        <v>169.2</v>
      </c>
      <c r="H23" s="59">
        <f>IF($C$5*'Tariffs Jul2018'!AK17/'Tariffs Jul2018'!AI17&lt;'Tariffs Jul2018'!L17,0,IF($C$5*'Tariffs Jul2018'!AK17/'Tariffs Jul2018'!AI17&lt;='Tariffs Jul2018'!M17,($C$5*'Tariffs Jul2018'!AK17/'Tariffs Jul2018'!AI17-'Tariffs Jul2018'!L17)*('Tariffs Jul2018'!R17/100)*'Tariffs Jul2018'!AI17,('Tariffs Jul2018'!M17-'Tariffs Jul2018'!L17)*('Tariffs Jul2018'!R17/100)*'Tariffs Jul2018'!AI17))</f>
        <v>73.8</v>
      </c>
      <c r="I23" s="59">
        <f>IF(($C$5*'Tariffs Jul2018'!AK17/'Tariffs Jul2018'!AI17&gt;'Tariffs Jul2018'!M17),($C$5*'Tariffs Jul2018'!AK17/'Tariffs Jul2018'!AI17-'Tariffs Jul2018'!M17)*'Tariffs Jul2018'!S17/100*'Tariffs Jul2018'!AI17,0)</f>
        <v>0</v>
      </c>
      <c r="J23" s="59">
        <f>IF($C$5*'Tariffs Jul2018'!AL17/'Tariffs Jul2018'!AJ17&gt;='Tariffs Jul2018'!J17,('Tariffs Jul2018'!J17*'Tariffs Jul2018'!U17/100)* 'Tariffs Jul2018'!AJ17,($C$5*'Tariffs Jul2018'!AL17/'Tariffs Jul2018'!AJ17*'Tariffs Jul2018'!U17/100)* 'Tariffs Jul2018'!AJ17)</f>
        <v>226.79999999999998</v>
      </c>
      <c r="K23" s="59">
        <f>IF($C$5*'Tariffs Jul2018'!AL17/'Tariffs Jul2018'!AJ17&lt;'Tariffs Jul2018'!J17,0,IF($C$5*'Tariffs Jul2018'!AL17/'Tariffs Jul2018'!AJ17&lt;='Tariffs Jul2018'!K17,($C$5*'Tariffs Jul2018'!AL17/'Tariffs Jul2018'!AJ17-'Tariffs Jul2018'!J17)*('Tariffs Jul2018'!V17/100)*'Tariffs Jul2018'!AJ17,('Tariffs Jul2018'!K17-'Tariffs Jul2018'!J17)*('Tariffs Jul2018'!V17/100)*'Tariffs Jul2018'!AJ17))</f>
        <v>198</v>
      </c>
      <c r="L23" s="59">
        <f>IF($C$5*'Tariffs Jul2018'!AL17/'Tariffs Jul2018'!AJ17&lt;'Tariffs Jul2018'!K17,0,IF($C$5*'Tariffs Jul2018'!AL17/'Tariffs Jul2018'!AJ17&lt;='Tariffs Jul2018'!L17,($C$5*'Tariffs Jul2018'!AL17/'Tariffs Jul2018'!AJ17-'Tariffs Jul2018'!K17)*('Tariffs Jul2018'!W17/100)*'Tariffs Jul2018'!AJ17,('Tariffs Jul2018'!L17-'Tariffs Jul2018'!K17)*('Tariffs Jul2018'!W17/100)*'Tariffs Jul2018'!AJ17))</f>
        <v>162.9</v>
      </c>
      <c r="M23" s="59">
        <f>IF($C$5*'Tariffs Jul2018'!AL17/'Tariffs Jul2018'!AJ17&lt;'Tariffs Jul2018'!L17,0,IF($C$5*'Tariffs Jul2018'!AL17/'Tariffs Jul2018'!AJ17&lt;='Tariffs Jul2018'!M17,($C$5*'Tariffs Jul2018'!AL17/'Tariffs Jul2018'!AJ17-'Tariffs Jul2018'!L17)*('Tariffs Jul2018'!X17/100)*'Tariffs Jul2018'!AJ17,('Tariffs Jul2018'!M17-'Tariffs Jul2018'!L17)*('Tariffs Jul2018'!X17/100)*'Tariffs Jul2018'!AJ17))</f>
        <v>72</v>
      </c>
      <c r="N23" s="59">
        <f>IF(($C$5*'Tariffs Jul2018'!AL17/'Tariffs Jul2018'!AJ17&gt;'Tariffs Jul2018'!M17),($C$5*'Tariffs Jul2018'!AL17/'Tariffs Jul2018'!AJ17-'Tariffs Jul2018'!M17)*'Tariffs Jul2018'!Y17/100*'Tariffs Jul2018'!AJ17,0)</f>
        <v>0</v>
      </c>
      <c r="O23" s="271">
        <f t="shared" si="0"/>
        <v>1351.8</v>
      </c>
      <c r="P23" s="59">
        <f t="shared" si="1"/>
        <v>1658.4</v>
      </c>
      <c r="Q23" s="272">
        <f t="shared" si="2"/>
        <v>1824.2400000000002</v>
      </c>
      <c r="R23" s="40">
        <f>'Tariffs Jul2018'!AM17</f>
        <v>0</v>
      </c>
      <c r="S23" s="40">
        <f>'Tariffs Jul2018'!AN17</f>
        <v>0</v>
      </c>
      <c r="T23" s="40">
        <f>'Tariffs Jul2018'!AO17</f>
        <v>0</v>
      </c>
      <c r="U23" s="40">
        <f>'Tariffs Jul2018'!AP17</f>
        <v>26</v>
      </c>
      <c r="V23" s="273">
        <f t="shared" si="5"/>
        <v>1658.4</v>
      </c>
      <c r="W23" s="273">
        <f>V23-(O23*U23/100)</f>
        <v>1306.9320000000002</v>
      </c>
      <c r="X23" s="272">
        <f t="shared" si="4"/>
        <v>1824.2400000000002</v>
      </c>
      <c r="Y23" s="272">
        <f t="shared" si="4"/>
        <v>1437.6252000000004</v>
      </c>
      <c r="Z23" s="274">
        <f>'Tariffs Jul2018'!AY17</f>
        <v>0</v>
      </c>
      <c r="AA23" s="274" t="str">
        <f>'Tariffs Jul2018'!AZ17</f>
        <v>n</v>
      </c>
      <c r="AB23" s="275" t="str">
        <f>'Tariffs Jul2018'!BG17</f>
        <v>N</v>
      </c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1"/>
    </row>
    <row r="24" spans="1:40" x14ac:dyDescent="0.15">
      <c r="A24" s="40" t="str">
        <f>'Tariffs Jul2018'!F18</f>
        <v>Alinta Energy</v>
      </c>
      <c r="B24" s="40" t="str">
        <f>'Tariffs Jul2018'!D18</f>
        <v>Multinet 2</v>
      </c>
      <c r="C24" s="40" t="str">
        <f>'Tariffs Jul2018'!G18</f>
        <v>Fair Deal</v>
      </c>
      <c r="D24" s="59">
        <f>365*'Tariffs Jul2018'!H18/100</f>
        <v>240.13350000000003</v>
      </c>
      <c r="E24" s="59">
        <f>IF($C$5*'Tariffs Jul2018'!AK18/'Tariffs Jul2018'!AI18&gt;='Tariffs Jul2018'!J18,( 'Tariffs Jul2018'!J18*'Tariffs Jul2018'!O18/100)* 'Tariffs Jul2018'!AI18,($C$5*'Tariffs Jul2018'!AK18/'Tariffs Jul2018'!AI18*'Tariffs Jul2018'!O18/100)* 'Tariffs Jul2018'!AI18)</f>
        <v>216</v>
      </c>
      <c r="F24" s="59">
        <f>IF($C$5*'Tariffs Jul2018'!AK18/'Tariffs Jul2018'!AI18&lt;'Tariffs Jul2018'!J18,0,IF($C$5*'Tariffs Jul2018'!AK18/'Tariffs Jul2018'!AI18&lt;='Tariffs Jul2018'!K18,($C$5*'Tariffs Jul2018'!AK18/'Tariffs Jul2018'!AI18-'Tariffs Jul2018'!J18)*('Tariffs Jul2018'!P18/100)*'Tariffs Jul2018'!AI18,('Tariffs Jul2018'!K18-'Tariffs Jul2018'!J18)*('Tariffs Jul2018'!P18/100)*'Tariffs Jul2018'!AI18))</f>
        <v>162.00000000000003</v>
      </c>
      <c r="G24" s="59">
        <f>IF($C$5*'Tariffs Jul2018'!AK18/'Tariffs Jul2018'!AI18&lt;'Tariffs Jul2018'!K18,0,IF($C$5*'Tariffs Jul2018'!AK18/'Tariffs Jul2018'!AI18&lt;='Tariffs Jul2018'!L18,($C$5*'Tariffs Jul2018'!AK18/'Tariffs Jul2018'!AI18-'Tariffs Jul2018'!K18)*('Tariffs Jul2018'!Q18/100)*'Tariffs Jul2018'!AI18,('Tariffs Jul2018'!L18-'Tariffs Jul2018'!K18)*('Tariffs Jul2018'!Q18/100)*'Tariffs Jul2018'!AI18))</f>
        <v>0</v>
      </c>
      <c r="H24" s="59">
        <f>IF($C$5*'Tariffs Jul2018'!AK18/'Tariffs Jul2018'!AI18&lt;'Tariffs Jul2018'!L18,0,IF($C$5*'Tariffs Jul2018'!AK18/'Tariffs Jul2018'!AI18&lt;='Tariffs Jul2018'!M18,($C$5*'Tariffs Jul2018'!AK18/'Tariffs Jul2018'!AI18-'Tariffs Jul2018'!L18)*('Tariffs Jul2018'!R18/100)*'Tariffs Jul2018'!AI18,('Tariffs Jul2018'!M18-'Tariffs Jul2018'!L18)*('Tariffs Jul2018'!R18/100)*'Tariffs Jul2018'!AI18))</f>
        <v>0</v>
      </c>
      <c r="I24" s="59">
        <f>IF(($C$5*'Tariffs Jul2018'!AK18/'Tariffs Jul2018'!AI18&gt;'Tariffs Jul2018'!M18),($C$5*'Tariffs Jul2018'!AK18/'Tariffs Jul2018'!AI18-'Tariffs Jul2018'!M18)*'Tariffs Jul2018'!S18/100*'Tariffs Jul2018'!AI18,0)</f>
        <v>243</v>
      </c>
      <c r="J24" s="59">
        <f>IF($C$5*'Tariffs Jul2018'!AL18/'Tariffs Jul2018'!AJ18&gt;='Tariffs Jul2018'!J18,('Tariffs Jul2018'!J18*'Tariffs Jul2018'!U18/100)* 'Tariffs Jul2018'!AJ18,($C$5*'Tariffs Jul2018'!AL18/'Tariffs Jul2018'!AJ18*'Tariffs Jul2018'!U18/100)* 'Tariffs Jul2018'!AJ18)</f>
        <v>212.39999999999998</v>
      </c>
      <c r="K24" s="59">
        <f>IF($C$5*'Tariffs Jul2018'!AL18/'Tariffs Jul2018'!AJ18&lt;'Tariffs Jul2018'!J18,0,IF($C$5*'Tariffs Jul2018'!AL18/'Tariffs Jul2018'!AJ18&lt;='Tariffs Jul2018'!K18,($C$5*'Tariffs Jul2018'!AL18/'Tariffs Jul2018'!AJ18-'Tariffs Jul2018'!J18)*('Tariffs Jul2018'!V18/100)*'Tariffs Jul2018'!AJ18,('Tariffs Jul2018'!K18-'Tariffs Jul2018'!J18)*('Tariffs Jul2018'!V18/100)*'Tariffs Jul2018'!AJ18))</f>
        <v>153.9</v>
      </c>
      <c r="L24" s="59">
        <f>IF($C$5*'Tariffs Jul2018'!AL18/'Tariffs Jul2018'!AJ18&lt;'Tariffs Jul2018'!K18,0,IF($C$5*'Tariffs Jul2018'!AL18/'Tariffs Jul2018'!AJ18&lt;='Tariffs Jul2018'!L18,($C$5*'Tariffs Jul2018'!AL18/'Tariffs Jul2018'!AJ18-'Tariffs Jul2018'!K18)*('Tariffs Jul2018'!W18/100)*'Tariffs Jul2018'!AJ18,('Tariffs Jul2018'!L18-'Tariffs Jul2018'!K18)*('Tariffs Jul2018'!W18/100)*'Tariffs Jul2018'!AJ18))</f>
        <v>0</v>
      </c>
      <c r="M24" s="59">
        <f>IF($C$5*'Tariffs Jul2018'!AL18/'Tariffs Jul2018'!AJ18&lt;'Tariffs Jul2018'!L18,0,IF($C$5*'Tariffs Jul2018'!AL18/'Tariffs Jul2018'!AJ18&lt;='Tariffs Jul2018'!M18,($C$5*'Tariffs Jul2018'!AL18/'Tariffs Jul2018'!AJ18-'Tariffs Jul2018'!L18)*('Tariffs Jul2018'!X18/100)*'Tariffs Jul2018'!AJ18,('Tariffs Jul2018'!M18-'Tariffs Jul2018'!L18)*('Tariffs Jul2018'!X18/100)*'Tariffs Jul2018'!AJ18))</f>
        <v>0</v>
      </c>
      <c r="N24" s="59">
        <f>IF(($C$5*'Tariffs Jul2018'!AL18/'Tariffs Jul2018'!AJ18&gt;'Tariffs Jul2018'!M18),($C$5*'Tariffs Jul2018'!AL18/'Tariffs Jul2018'!AJ18-'Tariffs Jul2018'!M18)*'Tariffs Jul2018'!Y18/100*'Tariffs Jul2018'!AJ18,0)</f>
        <v>230.85000000000002</v>
      </c>
      <c r="O24" s="271">
        <f t="shared" si="0"/>
        <v>1218.1500000000001</v>
      </c>
      <c r="P24" s="59">
        <f t="shared" si="1"/>
        <v>1458.2835</v>
      </c>
      <c r="Q24" s="272">
        <f t="shared" si="2"/>
        <v>1604.1118500000002</v>
      </c>
      <c r="R24" s="40">
        <f>'Tariffs Jul2018'!AM18</f>
        <v>0</v>
      </c>
      <c r="S24" s="40">
        <f>'Tariffs Jul2018'!AN18</f>
        <v>0</v>
      </c>
      <c r="T24" s="40">
        <f>'Tariffs Jul2018'!AO18</f>
        <v>0</v>
      </c>
      <c r="U24" s="40">
        <f>'Tariffs Jul2018'!AP18</f>
        <v>25</v>
      </c>
      <c r="V24" s="273">
        <f t="shared" si="5"/>
        <v>1458.2835</v>
      </c>
      <c r="W24" s="273">
        <f>V24-(O24*U24/100)</f>
        <v>1153.7460000000001</v>
      </c>
      <c r="X24" s="272">
        <f t="shared" si="4"/>
        <v>1604.1118500000002</v>
      </c>
      <c r="Y24" s="272">
        <f t="shared" si="4"/>
        <v>1269.1206000000002</v>
      </c>
      <c r="Z24" s="274">
        <f>'Tariffs Jul2018'!AY18</f>
        <v>0</v>
      </c>
      <c r="AA24" s="274" t="str">
        <f>'Tariffs Jul2018'!AZ18</f>
        <v>n</v>
      </c>
      <c r="AB24" s="275" t="str">
        <f>'Tariffs Jul2018'!BG18</f>
        <v>Y</v>
      </c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</row>
    <row r="25" spans="1:40" x14ac:dyDescent="0.15">
      <c r="A25" s="40" t="str">
        <f>'Tariffs Jul2018'!F19</f>
        <v>Click Energy</v>
      </c>
      <c r="B25" s="40" t="str">
        <f>'Tariffs Jul2018'!D19</f>
        <v>Multinet 2</v>
      </c>
      <c r="C25" s="40" t="str">
        <f>'Tariffs Jul2018'!G19</f>
        <v>Lilac</v>
      </c>
      <c r="D25" s="59">
        <f>365*'Tariffs Jul2018'!H19/100</f>
        <v>285.06499999999994</v>
      </c>
      <c r="E25" s="59">
        <f>IF($C$5*'Tariffs Jul2018'!AK19/'Tariffs Jul2018'!AI19&gt;='Tariffs Jul2018'!J19,( 'Tariffs Jul2018'!J19*'Tariffs Jul2018'!O19/100)* 'Tariffs Jul2018'!AI19,($C$5*'Tariffs Jul2018'!AK19/'Tariffs Jul2018'!AI19*'Tariffs Jul2018'!O19/100)* 'Tariffs Jul2018'!AI19)</f>
        <v>301.5</v>
      </c>
      <c r="F25" s="59">
        <f>IF($C$5*'Tariffs Jul2018'!AK19/'Tariffs Jul2018'!AI19&lt;'Tariffs Jul2018'!J19,0,IF($C$5*'Tariffs Jul2018'!AK19/'Tariffs Jul2018'!AI19&lt;='Tariffs Jul2018'!K19,($C$5*'Tariffs Jul2018'!AK19/'Tariffs Jul2018'!AI19-'Tariffs Jul2018'!J19)*('Tariffs Jul2018'!P19/100)*'Tariffs Jul2018'!AI19,('Tariffs Jul2018'!K19-'Tariffs Jul2018'!J19)*('Tariffs Jul2018'!P19/100)*'Tariffs Jul2018'!AI19))</f>
        <v>265.5</v>
      </c>
      <c r="G25" s="59">
        <f>IF($C$5*'Tariffs Jul2018'!AK19/'Tariffs Jul2018'!AI19&lt;'Tariffs Jul2018'!K19,0,IF($C$5*'Tariffs Jul2018'!AK19/'Tariffs Jul2018'!AI19&lt;='Tariffs Jul2018'!L19,($C$5*'Tariffs Jul2018'!AK19/'Tariffs Jul2018'!AI19-'Tariffs Jul2018'!K19)*('Tariffs Jul2018'!Q19/100)*'Tariffs Jul2018'!AI19,('Tariffs Jul2018'!L19-'Tariffs Jul2018'!K19)*('Tariffs Jul2018'!Q19/100)*'Tariffs Jul2018'!AI19))</f>
        <v>229.5</v>
      </c>
      <c r="H25" s="59">
        <f>IF($C$5*'Tariffs Jul2018'!AK19/'Tariffs Jul2018'!AI19&lt;'Tariffs Jul2018'!L19,0,IF($C$5*'Tariffs Jul2018'!AK19/'Tariffs Jul2018'!AI19&lt;='Tariffs Jul2018'!M19,($C$5*'Tariffs Jul2018'!AK19/'Tariffs Jul2018'!AI19-'Tariffs Jul2018'!L19)*('Tariffs Jul2018'!R19/100)*'Tariffs Jul2018'!AI19,('Tariffs Jul2018'!M19-'Tariffs Jul2018'!L19)*('Tariffs Jul2018'!R19/100)*'Tariffs Jul2018'!AI19))</f>
        <v>105.75</v>
      </c>
      <c r="I25" s="59">
        <f>IF(($C$5*'Tariffs Jul2018'!AK19/'Tariffs Jul2018'!AI19&gt;'Tariffs Jul2018'!M19),($C$5*'Tariffs Jul2018'!AK19/'Tariffs Jul2018'!AI19-'Tariffs Jul2018'!M19)*'Tariffs Jul2018'!S19/100*'Tariffs Jul2018'!AI19,0)</f>
        <v>0</v>
      </c>
      <c r="J25" s="59">
        <f>IF($C$5*'Tariffs Jul2018'!AL19/'Tariffs Jul2018'!AJ19&gt;='Tariffs Jul2018'!J19,('Tariffs Jul2018'!J19*'Tariffs Jul2018'!U19/100)* 'Tariffs Jul2018'!AJ19,($C$5*'Tariffs Jul2018'!AL19/'Tariffs Jul2018'!AJ19*'Tariffs Jul2018'!U19/100)* 'Tariffs Jul2018'!AJ19)</f>
        <v>292.5</v>
      </c>
      <c r="K25" s="59">
        <f>IF($C$5*'Tariffs Jul2018'!AL19/'Tariffs Jul2018'!AJ19&lt;'Tariffs Jul2018'!J19,0,IF($C$5*'Tariffs Jul2018'!AL19/'Tariffs Jul2018'!AJ19&lt;='Tariffs Jul2018'!K19,($C$5*'Tariffs Jul2018'!AL19/'Tariffs Jul2018'!AJ19-'Tariffs Jul2018'!J19)*('Tariffs Jul2018'!V19/100)*'Tariffs Jul2018'!AJ19,('Tariffs Jul2018'!K19-'Tariffs Jul2018'!J19)*('Tariffs Jul2018'!V19/100)*'Tariffs Jul2018'!AJ19))</f>
        <v>261</v>
      </c>
      <c r="L25" s="59">
        <f>IF($C$5*'Tariffs Jul2018'!AL19/'Tariffs Jul2018'!AJ19&lt;'Tariffs Jul2018'!K19,0,IF($C$5*'Tariffs Jul2018'!AL19/'Tariffs Jul2018'!AJ19&lt;='Tariffs Jul2018'!L19,($C$5*'Tariffs Jul2018'!AL19/'Tariffs Jul2018'!AJ19-'Tariffs Jul2018'!K19)*('Tariffs Jul2018'!W19/100)*'Tariffs Jul2018'!AJ19,('Tariffs Jul2018'!L19-'Tariffs Jul2018'!K19)*('Tariffs Jul2018'!W19/100)*'Tariffs Jul2018'!AJ19))</f>
        <v>225</v>
      </c>
      <c r="M25" s="59">
        <f>IF($C$5*'Tariffs Jul2018'!AL19/'Tariffs Jul2018'!AJ19&lt;'Tariffs Jul2018'!L19,0,IF($C$5*'Tariffs Jul2018'!AL19/'Tariffs Jul2018'!AJ19&lt;='Tariffs Jul2018'!M19,($C$5*'Tariffs Jul2018'!AL19/'Tariffs Jul2018'!AJ19-'Tariffs Jul2018'!L19)*('Tariffs Jul2018'!X19/100)*'Tariffs Jul2018'!AJ19,('Tariffs Jul2018'!M19-'Tariffs Jul2018'!L19)*('Tariffs Jul2018'!X19/100)*'Tariffs Jul2018'!AJ19))</f>
        <v>105.75</v>
      </c>
      <c r="N25" s="59">
        <f>IF(($C$5*'Tariffs Jul2018'!AL19/'Tariffs Jul2018'!AJ19&gt;'Tariffs Jul2018'!M19),($C$5*'Tariffs Jul2018'!AL19/'Tariffs Jul2018'!AJ19-'Tariffs Jul2018'!M19)*'Tariffs Jul2018'!Y19/100*'Tariffs Jul2018'!AJ19,0)</f>
        <v>0</v>
      </c>
      <c r="O25" s="271">
        <f t="shared" si="0"/>
        <v>1786.5</v>
      </c>
      <c r="P25" s="59">
        <f t="shared" si="1"/>
        <v>2071.5650000000001</v>
      </c>
      <c r="Q25" s="272">
        <f t="shared" si="2"/>
        <v>2278.7215000000001</v>
      </c>
      <c r="R25" s="40">
        <f>'Tariffs Jul2018'!AM19</f>
        <v>0</v>
      </c>
      <c r="S25" s="40">
        <f>'Tariffs Jul2018'!AN19</f>
        <v>0</v>
      </c>
      <c r="T25" s="40">
        <f>'Tariffs Jul2018'!AO19</f>
        <v>26</v>
      </c>
      <c r="U25" s="40">
        <f>'Tariffs Jul2018'!AP19</f>
        <v>0</v>
      </c>
      <c r="V25" s="273">
        <f t="shared" si="5"/>
        <v>2071.5650000000001</v>
      </c>
      <c r="W25" s="273">
        <f>V25-(P25*T25/100)</f>
        <v>1532.9581000000001</v>
      </c>
      <c r="X25" s="272">
        <f t="shared" si="4"/>
        <v>2278.7215000000001</v>
      </c>
      <c r="Y25" s="272">
        <f t="shared" si="4"/>
        <v>1686.2539100000001</v>
      </c>
      <c r="Z25" s="274">
        <f>'Tariffs Jul2018'!AY19</f>
        <v>0</v>
      </c>
      <c r="AA25" s="274" t="str">
        <f>'Tariffs Jul2018'!AZ19</f>
        <v>n</v>
      </c>
      <c r="AB25" s="275" t="str">
        <f>'Tariffs Jul2018'!BG19</f>
        <v>N</v>
      </c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</row>
    <row r="26" spans="1:40" x14ac:dyDescent="0.15">
      <c r="A26" s="40" t="str">
        <f>'Tariffs Jul2018'!F20</f>
        <v>Covau</v>
      </c>
      <c r="B26" s="40" t="str">
        <f>'Tariffs Jul2018'!D20</f>
        <v>Multinet 2</v>
      </c>
      <c r="C26" s="40" t="str">
        <f>'Tariffs Jul2018'!G20</f>
        <v>Smart Saver</v>
      </c>
      <c r="D26" s="59">
        <f>365*'Tariffs Jul2018'!H20/100</f>
        <v>255.5</v>
      </c>
      <c r="E26" s="59">
        <f>IF($C$5*'Tariffs Jul2018'!AK20/'Tariffs Jul2018'!AI20&gt;='Tariffs Jul2018'!J20,( 'Tariffs Jul2018'!J20*'Tariffs Jul2018'!O20/100)* 'Tariffs Jul2018'!AI20,($C$5*'Tariffs Jul2018'!AK20/'Tariffs Jul2018'!AI20*'Tariffs Jul2018'!O20/100)* 'Tariffs Jul2018'!AI20)</f>
        <v>252</v>
      </c>
      <c r="F26" s="59">
        <f>IF($C$5*'Tariffs Jul2018'!AK20/'Tariffs Jul2018'!AI20&lt;'Tariffs Jul2018'!J20,0,IF($C$5*'Tariffs Jul2018'!AK20/'Tariffs Jul2018'!AI20&lt;='Tariffs Jul2018'!K20,($C$5*'Tariffs Jul2018'!AK20/'Tariffs Jul2018'!AI20-'Tariffs Jul2018'!J20)*('Tariffs Jul2018'!P20/100)*'Tariffs Jul2018'!AI20,('Tariffs Jul2018'!K20-'Tariffs Jul2018'!J20)*('Tariffs Jul2018'!P20/100)*'Tariffs Jul2018'!AI20))</f>
        <v>450</v>
      </c>
      <c r="G26" s="59">
        <f>IF($C$5*'Tariffs Jul2018'!AK20/'Tariffs Jul2018'!AI20&lt;'Tariffs Jul2018'!K20,0,IF($C$5*'Tariffs Jul2018'!AK20/'Tariffs Jul2018'!AI20&lt;='Tariffs Jul2018'!L20,($C$5*'Tariffs Jul2018'!AK20/'Tariffs Jul2018'!AI20-'Tariffs Jul2018'!K20)*('Tariffs Jul2018'!Q20/100)*'Tariffs Jul2018'!AI20,('Tariffs Jul2018'!L20-'Tariffs Jul2018'!K20)*('Tariffs Jul2018'!Q20/100)*'Tariffs Jul2018'!AI20))</f>
        <v>94.500000000000014</v>
      </c>
      <c r="H26" s="59">
        <f>IF($C$5*'Tariffs Jul2018'!AK20/'Tariffs Jul2018'!AI20&lt;'Tariffs Jul2018'!L20,0,IF($C$5*'Tariffs Jul2018'!AK20/'Tariffs Jul2018'!AI20&lt;='Tariffs Jul2018'!M20,($C$5*'Tariffs Jul2018'!AK20/'Tariffs Jul2018'!AI20-'Tariffs Jul2018'!L20)*('Tariffs Jul2018'!R20/100)*'Tariffs Jul2018'!AI20,('Tariffs Jul2018'!M20-'Tariffs Jul2018'!L20)*('Tariffs Jul2018'!R20/100)*'Tariffs Jul2018'!AI20))</f>
        <v>0</v>
      </c>
      <c r="I26" s="59">
        <f>IF(($C$5*'Tariffs Jul2018'!AK20/'Tariffs Jul2018'!AI20&gt;'Tariffs Jul2018'!M20),($C$5*'Tariffs Jul2018'!AK20/'Tariffs Jul2018'!AI20-'Tariffs Jul2018'!M20)*'Tariffs Jul2018'!S20/100*'Tariffs Jul2018'!AI20,0)</f>
        <v>0</v>
      </c>
      <c r="J26" s="59">
        <f>IF($C$5*'Tariffs Jul2018'!AL20/'Tariffs Jul2018'!AJ20&gt;='Tariffs Jul2018'!J20,('Tariffs Jul2018'!J20*'Tariffs Jul2018'!U20/100)* 'Tariffs Jul2018'!AJ20,($C$5*'Tariffs Jul2018'!AL20/'Tariffs Jul2018'!AJ20*'Tariffs Jul2018'!U20/100)* 'Tariffs Jul2018'!AJ20)</f>
        <v>242.10000000000002</v>
      </c>
      <c r="K26" s="59">
        <f>IF($C$5*'Tariffs Jul2018'!AL20/'Tariffs Jul2018'!AJ20&lt;'Tariffs Jul2018'!J20,0,IF($C$5*'Tariffs Jul2018'!AL20/'Tariffs Jul2018'!AJ20&lt;='Tariffs Jul2018'!K20,($C$5*'Tariffs Jul2018'!AL20/'Tariffs Jul2018'!AJ20-'Tariffs Jul2018'!J20)*('Tariffs Jul2018'!V20/100)*'Tariffs Jul2018'!AJ20,('Tariffs Jul2018'!K20-'Tariffs Jul2018'!J20)*('Tariffs Jul2018'!V20/100)*'Tariffs Jul2018'!AJ20))</f>
        <v>414</v>
      </c>
      <c r="L26" s="59">
        <f>IF($C$5*'Tariffs Jul2018'!AL20/'Tariffs Jul2018'!AJ20&lt;'Tariffs Jul2018'!K20,0,IF($C$5*'Tariffs Jul2018'!AL20/'Tariffs Jul2018'!AJ20&lt;='Tariffs Jul2018'!L20,($C$5*'Tariffs Jul2018'!AL20/'Tariffs Jul2018'!AJ20-'Tariffs Jul2018'!K20)*('Tariffs Jul2018'!W20/100)*'Tariffs Jul2018'!AJ20,('Tariffs Jul2018'!L20-'Tariffs Jul2018'!K20)*('Tariffs Jul2018'!W20/100)*'Tariffs Jul2018'!AJ20))</f>
        <v>87.75</v>
      </c>
      <c r="M26" s="59">
        <f>IF($C$5*'Tariffs Jul2018'!AL20/'Tariffs Jul2018'!AJ20&lt;'Tariffs Jul2018'!L20,0,IF($C$5*'Tariffs Jul2018'!AL20/'Tariffs Jul2018'!AJ20&lt;='Tariffs Jul2018'!M20,($C$5*'Tariffs Jul2018'!AL20/'Tariffs Jul2018'!AJ20-'Tariffs Jul2018'!L20)*('Tariffs Jul2018'!X20/100)*'Tariffs Jul2018'!AJ20,('Tariffs Jul2018'!M20-'Tariffs Jul2018'!L20)*('Tariffs Jul2018'!X20/100)*'Tariffs Jul2018'!AJ20))</f>
        <v>0</v>
      </c>
      <c r="N26" s="59">
        <f>IF(($C$5*'Tariffs Jul2018'!AL20/'Tariffs Jul2018'!AJ20&gt;'Tariffs Jul2018'!M20),($C$5*'Tariffs Jul2018'!AL20/'Tariffs Jul2018'!AJ20-'Tariffs Jul2018'!M20)*'Tariffs Jul2018'!Y20/100*'Tariffs Jul2018'!AJ20,0)</f>
        <v>0</v>
      </c>
      <c r="O26" s="271">
        <f t="shared" si="0"/>
        <v>1540.35</v>
      </c>
      <c r="P26" s="59">
        <f t="shared" si="1"/>
        <v>1795.85</v>
      </c>
      <c r="Q26" s="272">
        <f t="shared" si="2"/>
        <v>1975.4350000000002</v>
      </c>
      <c r="R26" s="40">
        <f>'Tariffs Jul2018'!AM20</f>
        <v>0</v>
      </c>
      <c r="S26" s="40">
        <f>'Tariffs Jul2018'!AN20</f>
        <v>0</v>
      </c>
      <c r="T26" s="40">
        <f>'Tariffs Jul2018'!AO20</f>
        <v>0</v>
      </c>
      <c r="U26" s="40">
        <f>'Tariffs Jul2018'!AP20</f>
        <v>16</v>
      </c>
      <c r="V26" s="273">
        <f t="shared" si="5"/>
        <v>1795.85</v>
      </c>
      <c r="W26" s="273">
        <f>V26-(O26*U26/100)</f>
        <v>1549.394</v>
      </c>
      <c r="X26" s="272">
        <f t="shared" si="4"/>
        <v>1975.4350000000002</v>
      </c>
      <c r="Y26" s="272">
        <f t="shared" si="4"/>
        <v>1704.3334000000002</v>
      </c>
      <c r="Z26" s="274">
        <f>'Tariffs Jul2018'!AY20</f>
        <v>12</v>
      </c>
      <c r="AA26" s="274" t="str">
        <f>'Tariffs Jul2018'!AZ20</f>
        <v>n</v>
      </c>
      <c r="AB26" s="275" t="str">
        <f>'Tariffs Jul2018'!BG20</f>
        <v>N</v>
      </c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</row>
    <row r="27" spans="1:40" x14ac:dyDescent="0.15">
      <c r="A27" s="40" t="str">
        <f>'Tariffs Jul2018'!F21</f>
        <v>Dodo Power &amp; Gas</v>
      </c>
      <c r="B27" s="40" t="str">
        <f>'Tariffs Jul2018'!D21</f>
        <v>Multinet 2</v>
      </c>
      <c r="C27" s="40" t="str">
        <f>'Tariffs Jul2018'!G21</f>
        <v>Market offer</v>
      </c>
      <c r="D27" s="59">
        <f>365*'Tariffs Jul2018'!H21/100</f>
        <v>269.7715</v>
      </c>
      <c r="E27" s="59">
        <f>IF($C$5*'Tariffs Jul2018'!AK21/'Tariffs Jul2018'!AI21&gt;='Tariffs Jul2018'!J21,( 'Tariffs Jul2018'!J21*'Tariffs Jul2018'!O21/100)* 'Tariffs Jul2018'!AI21,($C$5*'Tariffs Jul2018'!AK21/'Tariffs Jul2018'!AI21*'Tariffs Jul2018'!O21/100)* 'Tariffs Jul2018'!AI21)</f>
        <v>257.25</v>
      </c>
      <c r="F27" s="59">
        <f>IF($C$5*'Tariffs Jul2018'!AK21/'Tariffs Jul2018'!AI21&lt;'Tariffs Jul2018'!J21,0,IF($C$5*'Tariffs Jul2018'!AK21/'Tariffs Jul2018'!AI21&lt;='Tariffs Jul2018'!K21,($C$5*'Tariffs Jul2018'!AK21/'Tariffs Jul2018'!AI21-'Tariffs Jul2018'!J21)*('Tariffs Jul2018'!P21/100)*'Tariffs Jul2018'!AI21,('Tariffs Jul2018'!K21-'Tariffs Jul2018'!J21)*('Tariffs Jul2018'!P21/100)*'Tariffs Jul2018'!AI21))</f>
        <v>0</v>
      </c>
      <c r="G27" s="59">
        <f>IF($C$5*'Tariffs Jul2018'!AK21/'Tariffs Jul2018'!AI21&lt;'Tariffs Jul2018'!K21,0,IF($C$5*'Tariffs Jul2018'!AK21/'Tariffs Jul2018'!AI21&lt;='Tariffs Jul2018'!L21,($C$5*'Tariffs Jul2018'!AK21/'Tariffs Jul2018'!AI21-'Tariffs Jul2018'!K21)*('Tariffs Jul2018'!Q21/100)*'Tariffs Jul2018'!AI21,('Tariffs Jul2018'!L21-'Tariffs Jul2018'!K21)*('Tariffs Jul2018'!Q21/100)*'Tariffs Jul2018'!AI21))</f>
        <v>0</v>
      </c>
      <c r="H27" s="59">
        <f>IF($C$5*'Tariffs Jul2018'!AK21/'Tariffs Jul2018'!AI21&lt;'Tariffs Jul2018'!L21,0,IF($C$5*'Tariffs Jul2018'!AK21/'Tariffs Jul2018'!AI21&lt;='Tariffs Jul2018'!M21,($C$5*'Tariffs Jul2018'!AK21/'Tariffs Jul2018'!AI21-'Tariffs Jul2018'!L21)*('Tariffs Jul2018'!R21/100)*'Tariffs Jul2018'!AI21,('Tariffs Jul2018'!M21-'Tariffs Jul2018'!L21)*('Tariffs Jul2018'!R21/100)*'Tariffs Jul2018'!AI21))</f>
        <v>0</v>
      </c>
      <c r="I27" s="59">
        <f>IF(($C$5*'Tariffs Jul2018'!AK21/'Tariffs Jul2018'!AI21&gt;'Tariffs Jul2018'!M21),($C$5*'Tariffs Jul2018'!AK21/'Tariffs Jul2018'!AI21-'Tariffs Jul2018'!M21)*'Tariffs Jul2018'!S21/100*'Tariffs Jul2018'!AI21,0)</f>
        <v>415.79999999999995</v>
      </c>
      <c r="J27" s="59">
        <f>IF($C$5*'Tariffs Jul2018'!AL21/'Tariffs Jul2018'!AJ21&gt;='Tariffs Jul2018'!J21,('Tariffs Jul2018'!J21*'Tariffs Jul2018'!U21/100)* 'Tariffs Jul2018'!AJ21,($C$5*'Tariffs Jul2018'!AL21/'Tariffs Jul2018'!AJ21*'Tariffs Jul2018'!U21/100)* 'Tariffs Jul2018'!AJ21)</f>
        <v>240.45000000000002</v>
      </c>
      <c r="K27" s="59">
        <f>IF($C$5*'Tariffs Jul2018'!AL21/'Tariffs Jul2018'!AJ21&lt;'Tariffs Jul2018'!J21,0,IF($C$5*'Tariffs Jul2018'!AL21/'Tariffs Jul2018'!AJ21&lt;='Tariffs Jul2018'!K21,($C$5*'Tariffs Jul2018'!AL21/'Tariffs Jul2018'!AJ21-'Tariffs Jul2018'!J21)*('Tariffs Jul2018'!V21/100)*'Tariffs Jul2018'!AJ21,('Tariffs Jul2018'!K21-'Tariffs Jul2018'!J21)*('Tariffs Jul2018'!V21/100)*'Tariffs Jul2018'!AJ21))</f>
        <v>0</v>
      </c>
      <c r="L27" s="59">
        <f>IF($C$5*'Tariffs Jul2018'!AL21/'Tariffs Jul2018'!AJ21&lt;'Tariffs Jul2018'!K21,0,IF($C$5*'Tariffs Jul2018'!AL21/'Tariffs Jul2018'!AJ21&lt;='Tariffs Jul2018'!L21,($C$5*'Tariffs Jul2018'!AL21/'Tariffs Jul2018'!AJ21-'Tariffs Jul2018'!K21)*('Tariffs Jul2018'!W21/100)*'Tariffs Jul2018'!AJ21,('Tariffs Jul2018'!L21-'Tariffs Jul2018'!K21)*('Tariffs Jul2018'!W21/100)*'Tariffs Jul2018'!AJ21))</f>
        <v>0</v>
      </c>
      <c r="M27" s="59">
        <f>IF($C$5*'Tariffs Jul2018'!AL21/'Tariffs Jul2018'!AJ21&lt;'Tariffs Jul2018'!L21,0,IF($C$5*'Tariffs Jul2018'!AL21/'Tariffs Jul2018'!AJ21&lt;='Tariffs Jul2018'!M21,($C$5*'Tariffs Jul2018'!AL21/'Tariffs Jul2018'!AJ21-'Tariffs Jul2018'!L21)*('Tariffs Jul2018'!X21/100)*'Tariffs Jul2018'!AJ21,('Tariffs Jul2018'!M21-'Tariffs Jul2018'!L21)*('Tariffs Jul2018'!X21/100)*'Tariffs Jul2018'!AJ21))</f>
        <v>0</v>
      </c>
      <c r="N27" s="59">
        <f>IF(($C$5*'Tariffs Jul2018'!AL21/'Tariffs Jul2018'!AJ21&gt;'Tariffs Jul2018'!M21),($C$5*'Tariffs Jul2018'!AL21/'Tariffs Jul2018'!AJ21-'Tariffs Jul2018'!M21)*'Tariffs Jul2018'!Y21/100*'Tariffs Jul2018'!AJ21,0)</f>
        <v>403.20000000000005</v>
      </c>
      <c r="O27" s="271">
        <f t="shared" si="0"/>
        <v>1316.7</v>
      </c>
      <c r="P27" s="59">
        <f t="shared" si="1"/>
        <v>1586.4715000000001</v>
      </c>
      <c r="Q27" s="272">
        <f t="shared" si="2"/>
        <v>1745.1186500000003</v>
      </c>
      <c r="R27" s="40">
        <f>'Tariffs Jul2018'!AM21</f>
        <v>0</v>
      </c>
      <c r="S27" s="40">
        <f>'Tariffs Jul2018'!AN21</f>
        <v>0</v>
      </c>
      <c r="T27" s="40">
        <f>'Tariffs Jul2018'!AO21</f>
        <v>0</v>
      </c>
      <c r="U27" s="40">
        <f>'Tariffs Jul2018'!AP21</f>
        <v>0</v>
      </c>
      <c r="V27" s="273">
        <f t="shared" si="5"/>
        <v>1586.4715000000001</v>
      </c>
      <c r="W27" s="273">
        <f>V27</f>
        <v>1586.4715000000001</v>
      </c>
      <c r="X27" s="272">
        <f t="shared" si="4"/>
        <v>1745.1186500000003</v>
      </c>
      <c r="Y27" s="272">
        <f t="shared" si="4"/>
        <v>1745.1186500000003</v>
      </c>
      <c r="Z27" s="274">
        <f>'Tariffs Jul2018'!AY21</f>
        <v>0</v>
      </c>
      <c r="AA27" s="274" t="str">
        <f>'Tariffs Jul2018'!AZ21</f>
        <v>n</v>
      </c>
      <c r="AB27" s="275" t="str">
        <f>'Tariffs Jul2018'!BG21</f>
        <v>Y</v>
      </c>
      <c r="AC27" s="351"/>
      <c r="AD27" s="351"/>
      <c r="AE27" s="351"/>
      <c r="AF27" s="351"/>
      <c r="AG27" s="351"/>
      <c r="AH27" s="351"/>
      <c r="AI27" s="351"/>
      <c r="AJ27" s="351"/>
      <c r="AK27" s="351"/>
      <c r="AL27" s="351"/>
      <c r="AM27" s="351"/>
      <c r="AN27" s="351"/>
    </row>
    <row r="28" spans="1:40" x14ac:dyDescent="0.15">
      <c r="A28" s="40" t="str">
        <f>'Tariffs Jul2018'!F22</f>
        <v>EnergyAustralia</v>
      </c>
      <c r="B28" s="40" t="str">
        <f>'Tariffs Jul2018'!D22</f>
        <v>Multinet 2</v>
      </c>
      <c r="C28" s="40" t="str">
        <f>'Tariffs Jul2018'!G22</f>
        <v>Anytime Saver</v>
      </c>
      <c r="D28" s="59">
        <f>365*'Tariffs Jul2018'!H22/100</f>
        <v>278.13</v>
      </c>
      <c r="E28" s="59">
        <f>IF($C$5*'Tariffs Jul2018'!AK22/'Tariffs Jul2018'!AI22&gt;='Tariffs Jul2018'!J22,( 'Tariffs Jul2018'!J22*'Tariffs Jul2018'!O22/100)* 'Tariffs Jul2018'!AI22,($C$5*'Tariffs Jul2018'!AK22/'Tariffs Jul2018'!AI22*'Tariffs Jul2018'!O22/100)* 'Tariffs Jul2018'!AI22)</f>
        <v>439.20000000000005</v>
      </c>
      <c r="F28" s="59">
        <f>IF($C$5*'Tariffs Jul2018'!AK22/'Tariffs Jul2018'!AI22&lt;'Tariffs Jul2018'!J22,0,IF($C$5*'Tariffs Jul2018'!AK22/'Tariffs Jul2018'!AI22&lt;='Tariffs Jul2018'!K22,($C$5*'Tariffs Jul2018'!AK22/'Tariffs Jul2018'!AI22-'Tariffs Jul2018'!J22)*('Tariffs Jul2018'!P22/100)*'Tariffs Jul2018'!AI22,('Tariffs Jul2018'!K22-'Tariffs Jul2018'!J22)*('Tariffs Jul2018'!P22/100)*'Tariffs Jul2018'!AI22))</f>
        <v>0</v>
      </c>
      <c r="G28" s="59">
        <f>IF($C$5*'Tariffs Jul2018'!AK22/'Tariffs Jul2018'!AI22&lt;'Tariffs Jul2018'!K22,0,IF($C$5*'Tariffs Jul2018'!AK22/'Tariffs Jul2018'!AI22&lt;='Tariffs Jul2018'!L22,($C$5*'Tariffs Jul2018'!AK22/'Tariffs Jul2018'!AI22-'Tariffs Jul2018'!K22)*('Tariffs Jul2018'!Q22/100)*'Tariffs Jul2018'!AI22,('Tariffs Jul2018'!L22-'Tariffs Jul2018'!K22)*('Tariffs Jul2018'!Q22/100)*'Tariffs Jul2018'!AI22))</f>
        <v>0</v>
      </c>
      <c r="H28" s="59">
        <f>IF($C$5*'Tariffs Jul2018'!AK22/'Tariffs Jul2018'!AI22&lt;'Tariffs Jul2018'!L22,0,IF($C$5*'Tariffs Jul2018'!AK22/'Tariffs Jul2018'!AI22&lt;='Tariffs Jul2018'!M22,($C$5*'Tariffs Jul2018'!AK22/'Tariffs Jul2018'!AI22-'Tariffs Jul2018'!L22)*('Tariffs Jul2018'!R22/100)*'Tariffs Jul2018'!AI22,('Tariffs Jul2018'!M22-'Tariffs Jul2018'!L22)*('Tariffs Jul2018'!R22/100)*'Tariffs Jul2018'!AI22))</f>
        <v>0</v>
      </c>
      <c r="I28" s="59">
        <f>IF(($C$5*'Tariffs Jul2018'!AK22/'Tariffs Jul2018'!AI22&gt;'Tariffs Jul2018'!M22),($C$5*'Tariffs Jul2018'!AK22/'Tariffs Jul2018'!AI22-'Tariffs Jul2018'!M22)*'Tariffs Jul2018'!S22/100*'Tariffs Jul2018'!AI22,0)</f>
        <v>238.95000000000002</v>
      </c>
      <c r="J28" s="59">
        <f>IF($C$5*'Tariffs Jul2018'!AL22/'Tariffs Jul2018'!AJ22&gt;='Tariffs Jul2018'!J22,('Tariffs Jul2018'!J22*'Tariffs Jul2018'!U22/100)* 'Tariffs Jul2018'!AJ22,($C$5*'Tariffs Jul2018'!AL22/'Tariffs Jul2018'!AJ22*'Tariffs Jul2018'!U22/100)* 'Tariffs Jul2018'!AJ22)</f>
        <v>439.20000000000005</v>
      </c>
      <c r="K28" s="59">
        <f>IF($C$5*'Tariffs Jul2018'!AL22/'Tariffs Jul2018'!AJ22&lt;'Tariffs Jul2018'!J22,0,IF($C$5*'Tariffs Jul2018'!AL22/'Tariffs Jul2018'!AJ22&lt;='Tariffs Jul2018'!K22,($C$5*'Tariffs Jul2018'!AL22/'Tariffs Jul2018'!AJ22-'Tariffs Jul2018'!J22)*('Tariffs Jul2018'!V22/100)*'Tariffs Jul2018'!AJ22,('Tariffs Jul2018'!K22-'Tariffs Jul2018'!J22)*('Tariffs Jul2018'!V22/100)*'Tariffs Jul2018'!AJ22))</f>
        <v>0</v>
      </c>
      <c r="L28" s="59">
        <f>IF($C$5*'Tariffs Jul2018'!AL22/'Tariffs Jul2018'!AJ22&lt;'Tariffs Jul2018'!K22,0,IF($C$5*'Tariffs Jul2018'!AL22/'Tariffs Jul2018'!AJ22&lt;='Tariffs Jul2018'!L22,($C$5*'Tariffs Jul2018'!AL22/'Tariffs Jul2018'!AJ22-'Tariffs Jul2018'!K22)*('Tariffs Jul2018'!W22/100)*'Tariffs Jul2018'!AJ22,('Tariffs Jul2018'!L22-'Tariffs Jul2018'!K22)*('Tariffs Jul2018'!W22/100)*'Tariffs Jul2018'!AJ22))</f>
        <v>0</v>
      </c>
      <c r="M28" s="59">
        <f>IF($C$5*'Tariffs Jul2018'!AL22/'Tariffs Jul2018'!AJ22&lt;'Tariffs Jul2018'!L22,0,IF($C$5*'Tariffs Jul2018'!AL22/'Tariffs Jul2018'!AJ22&lt;='Tariffs Jul2018'!M22,($C$5*'Tariffs Jul2018'!AL22/'Tariffs Jul2018'!AJ22-'Tariffs Jul2018'!L22)*('Tariffs Jul2018'!X22/100)*'Tariffs Jul2018'!AJ22,('Tariffs Jul2018'!M22-'Tariffs Jul2018'!L22)*('Tariffs Jul2018'!X22/100)*'Tariffs Jul2018'!AJ22))</f>
        <v>0</v>
      </c>
      <c r="N28" s="59">
        <f>IF(($C$5*'Tariffs Jul2018'!AL22/'Tariffs Jul2018'!AJ22&gt;'Tariffs Jul2018'!M22),($C$5*'Tariffs Jul2018'!AL22/'Tariffs Jul2018'!AJ22-'Tariffs Jul2018'!M22)*'Tariffs Jul2018'!Y22/100*'Tariffs Jul2018'!AJ22,0)</f>
        <v>238.95000000000002</v>
      </c>
      <c r="O28" s="271">
        <f t="shared" si="0"/>
        <v>1356.3000000000002</v>
      </c>
      <c r="P28" s="59">
        <f t="shared" si="1"/>
        <v>1634.4300000000003</v>
      </c>
      <c r="Q28" s="272">
        <f t="shared" si="2"/>
        <v>1797.8730000000005</v>
      </c>
      <c r="R28" s="40">
        <f>'Tariffs Jul2018'!AM22</f>
        <v>0</v>
      </c>
      <c r="S28" s="40">
        <f>'Tariffs Jul2018'!AN22</f>
        <v>34</v>
      </c>
      <c r="T28" s="40">
        <f>'Tariffs Jul2018'!AO22</f>
        <v>0</v>
      </c>
      <c r="U28" s="40">
        <f>'Tariffs Jul2018'!AP22</f>
        <v>0</v>
      </c>
      <c r="V28" s="273">
        <f>P28-(O28*S28/100)</f>
        <v>1173.2880000000002</v>
      </c>
      <c r="W28" s="273">
        <f>V28-(O28*U28/100)</f>
        <v>1173.2880000000002</v>
      </c>
      <c r="X28" s="272">
        <f t="shared" si="4"/>
        <v>1290.6168000000005</v>
      </c>
      <c r="Y28" s="272">
        <f t="shared" si="4"/>
        <v>1290.6168000000005</v>
      </c>
      <c r="Z28" s="274">
        <f>'Tariffs Jul2018'!AY22</f>
        <v>0</v>
      </c>
      <c r="AA28" s="274" t="str">
        <f>'Tariffs Jul2018'!AZ22</f>
        <v>n</v>
      </c>
      <c r="AB28" s="275" t="str">
        <f>'Tariffs Jul2018'!BG22</f>
        <v>N</v>
      </c>
      <c r="AC28" s="351"/>
      <c r="AD28" s="351"/>
      <c r="AE28" s="351"/>
      <c r="AF28" s="351"/>
      <c r="AG28" s="351"/>
      <c r="AH28" s="351"/>
      <c r="AI28" s="351"/>
      <c r="AJ28" s="351"/>
      <c r="AK28" s="351"/>
      <c r="AL28" s="351"/>
      <c r="AM28" s="351"/>
      <c r="AN28" s="351"/>
    </row>
    <row r="29" spans="1:40" x14ac:dyDescent="0.15">
      <c r="A29" s="40" t="str">
        <f>'Tariffs Jul2018'!F23</f>
        <v>Lumo Energy</v>
      </c>
      <c r="B29" s="40" t="str">
        <f>'Tariffs Jul2018'!D23</f>
        <v>Multinet 2</v>
      </c>
      <c r="C29" s="40" t="str">
        <f>'Tariffs Jul2018'!G23</f>
        <v>Advantage</v>
      </c>
      <c r="D29" s="59">
        <f>365*'Tariffs Jul2018'!H23/100</f>
        <v>237.25</v>
      </c>
      <c r="E29" s="59">
        <f>IF($C$5*'Tariffs Jul2018'!AK23/'Tariffs Jul2018'!AI23&gt;='Tariffs Jul2018'!J23,( 'Tariffs Jul2018'!J23*'Tariffs Jul2018'!O23/100)* 'Tariffs Jul2018'!AI23,($C$5*'Tariffs Jul2018'!AK23/'Tariffs Jul2018'!AI23*'Tariffs Jul2018'!O23/100)* 'Tariffs Jul2018'!AI23)</f>
        <v>220.50000000000006</v>
      </c>
      <c r="F29" s="59">
        <f>IF($C$5*'Tariffs Jul2018'!AK23/'Tariffs Jul2018'!AI23&lt;'Tariffs Jul2018'!J23,0,IF($C$5*'Tariffs Jul2018'!AK23/'Tariffs Jul2018'!AI23&lt;='Tariffs Jul2018'!K23,($C$5*'Tariffs Jul2018'!AK23/'Tariffs Jul2018'!AI23-'Tariffs Jul2018'!J23)*('Tariffs Jul2018'!P23/100)*'Tariffs Jul2018'!AI23,('Tariffs Jul2018'!K23-'Tariffs Jul2018'!J23)*('Tariffs Jul2018'!P23/100)*'Tariffs Jul2018'!AI23))</f>
        <v>193.5</v>
      </c>
      <c r="G29" s="59">
        <f>IF($C$5*'Tariffs Jul2018'!AK23/'Tariffs Jul2018'!AI23&lt;'Tariffs Jul2018'!K23,0,IF($C$5*'Tariffs Jul2018'!AK23/'Tariffs Jul2018'!AI23&lt;='Tariffs Jul2018'!L23,($C$5*'Tariffs Jul2018'!AK23/'Tariffs Jul2018'!AI23-'Tariffs Jul2018'!K23)*('Tariffs Jul2018'!Q23/100)*'Tariffs Jul2018'!AI23,('Tariffs Jul2018'!L23-'Tariffs Jul2018'!K23)*('Tariffs Jul2018'!Q23/100)*'Tariffs Jul2018'!AI23))</f>
        <v>162.00000000000003</v>
      </c>
      <c r="H29" s="59">
        <f>IF($C$5*'Tariffs Jul2018'!AK23/'Tariffs Jul2018'!AI23&lt;'Tariffs Jul2018'!L23,0,IF($C$5*'Tariffs Jul2018'!AK23/'Tariffs Jul2018'!AI23&lt;='Tariffs Jul2018'!M23,($C$5*'Tariffs Jul2018'!AK23/'Tariffs Jul2018'!AI23-'Tariffs Jul2018'!L23)*('Tariffs Jul2018'!R23/100)*'Tariffs Jul2018'!AI23,('Tariffs Jul2018'!M23-'Tariffs Jul2018'!L23)*('Tariffs Jul2018'!R23/100)*'Tariffs Jul2018'!AI23))</f>
        <v>74.25</v>
      </c>
      <c r="I29" s="59">
        <f>IF(($C$5*'Tariffs Jul2018'!AK23/'Tariffs Jul2018'!AI23&gt;'Tariffs Jul2018'!M23),($C$5*'Tariffs Jul2018'!AK23/'Tariffs Jul2018'!AI23-'Tariffs Jul2018'!M23)*'Tariffs Jul2018'!S23/100*'Tariffs Jul2018'!AI23,0)</f>
        <v>0</v>
      </c>
      <c r="J29" s="59">
        <f>IF($C$5*'Tariffs Jul2018'!AL23/'Tariffs Jul2018'!AJ23&gt;='Tariffs Jul2018'!J23,('Tariffs Jul2018'!J23*'Tariffs Jul2018'!U23/100)* 'Tariffs Jul2018'!AJ23,($C$5*'Tariffs Jul2018'!AL23/'Tariffs Jul2018'!AJ23*'Tariffs Jul2018'!U23/100)* 'Tariffs Jul2018'!AJ23)</f>
        <v>206.99999999999994</v>
      </c>
      <c r="K29" s="59">
        <f>IF($C$5*'Tariffs Jul2018'!AL23/'Tariffs Jul2018'!AJ23&lt;'Tariffs Jul2018'!J23,0,IF($C$5*'Tariffs Jul2018'!AL23/'Tariffs Jul2018'!AJ23&lt;='Tariffs Jul2018'!K23,($C$5*'Tariffs Jul2018'!AL23/'Tariffs Jul2018'!AJ23-'Tariffs Jul2018'!J23)*('Tariffs Jul2018'!V23/100)*'Tariffs Jul2018'!AJ23,('Tariffs Jul2018'!K23-'Tariffs Jul2018'!J23)*('Tariffs Jul2018'!V23/100)*'Tariffs Jul2018'!AJ23))</f>
        <v>180</v>
      </c>
      <c r="L29" s="59">
        <f>IF($C$5*'Tariffs Jul2018'!AL23/'Tariffs Jul2018'!AJ23&lt;'Tariffs Jul2018'!K23,0,IF($C$5*'Tariffs Jul2018'!AL23/'Tariffs Jul2018'!AJ23&lt;='Tariffs Jul2018'!L23,($C$5*'Tariffs Jul2018'!AL23/'Tariffs Jul2018'!AJ23-'Tariffs Jul2018'!K23)*('Tariffs Jul2018'!W23/100)*'Tariffs Jul2018'!AJ23,('Tariffs Jul2018'!L23-'Tariffs Jul2018'!K23)*('Tariffs Jul2018'!W23/100)*'Tariffs Jul2018'!AJ23))</f>
        <v>157.50000000000003</v>
      </c>
      <c r="M29" s="59">
        <f>IF($C$5*'Tariffs Jul2018'!AL23/'Tariffs Jul2018'!AJ23&lt;'Tariffs Jul2018'!L23,0,IF($C$5*'Tariffs Jul2018'!AL23/'Tariffs Jul2018'!AJ23&lt;='Tariffs Jul2018'!M23,($C$5*'Tariffs Jul2018'!AL23/'Tariffs Jul2018'!AJ23-'Tariffs Jul2018'!L23)*('Tariffs Jul2018'!X23/100)*'Tariffs Jul2018'!AJ23,('Tariffs Jul2018'!M23-'Tariffs Jul2018'!L23)*('Tariffs Jul2018'!X23/100)*'Tariffs Jul2018'!AJ23))</f>
        <v>72</v>
      </c>
      <c r="N29" s="59">
        <f>IF(($C$5*'Tariffs Jul2018'!AL23/'Tariffs Jul2018'!AJ23&gt;'Tariffs Jul2018'!M23),($C$5*'Tariffs Jul2018'!AL23/'Tariffs Jul2018'!AJ23-'Tariffs Jul2018'!M23)*'Tariffs Jul2018'!Y23/100*'Tariffs Jul2018'!AJ23,0)</f>
        <v>0</v>
      </c>
      <c r="O29" s="271">
        <f t="shared" si="0"/>
        <v>1266.75</v>
      </c>
      <c r="P29" s="59">
        <f t="shared" si="1"/>
        <v>1504</v>
      </c>
      <c r="Q29" s="272">
        <f t="shared" si="2"/>
        <v>1654.4</v>
      </c>
      <c r="R29" s="40">
        <f>'Tariffs Jul2018'!AM23</f>
        <v>0</v>
      </c>
      <c r="S29" s="40">
        <f>'Tariffs Jul2018'!AN23</f>
        <v>0</v>
      </c>
      <c r="T29" s="40">
        <f>'Tariffs Jul2018'!AO23</f>
        <v>15</v>
      </c>
      <c r="U29" s="40">
        <f>'Tariffs Jul2018'!AP23</f>
        <v>0</v>
      </c>
      <c r="V29" s="273">
        <f t="shared" ref="V29:V37" si="6">P29</f>
        <v>1504</v>
      </c>
      <c r="W29" s="273">
        <f>V29-(P29*T29/100)</f>
        <v>1278.4000000000001</v>
      </c>
      <c r="X29" s="272">
        <f t="shared" si="4"/>
        <v>1654.4</v>
      </c>
      <c r="Y29" s="272">
        <f t="shared" si="4"/>
        <v>1406.2400000000002</v>
      </c>
      <c r="Z29" s="274">
        <f>'Tariffs Jul2018'!AY23</f>
        <v>0</v>
      </c>
      <c r="AA29" s="274" t="str">
        <f>'Tariffs Jul2018'!AZ23</f>
        <v>n</v>
      </c>
      <c r="AB29" s="275" t="str">
        <f>'Tariffs Jul2018'!BG23</f>
        <v>N</v>
      </c>
      <c r="AC29" s="351"/>
      <c r="AD29" s="351"/>
      <c r="AE29" s="351"/>
      <c r="AF29" s="351"/>
      <c r="AG29" s="351"/>
      <c r="AH29" s="351"/>
      <c r="AI29" s="351"/>
      <c r="AJ29" s="351"/>
      <c r="AK29" s="351"/>
      <c r="AL29" s="351"/>
      <c r="AM29" s="351"/>
      <c r="AN29" s="351"/>
    </row>
    <row r="30" spans="1:40" x14ac:dyDescent="0.15">
      <c r="A30" s="40" t="str">
        <f>'Tariffs Jul2018'!F24</f>
        <v>Momentum Energy</v>
      </c>
      <c r="B30" s="40" t="str">
        <f>'Tariffs Jul2018'!D24</f>
        <v>Multinet 2</v>
      </c>
      <c r="C30" s="40" t="str">
        <f>'Tariffs Jul2018'!G24</f>
        <v>Market offer</v>
      </c>
      <c r="D30" s="59">
        <f>365*'Tariffs Jul2018'!H24/100</f>
        <v>265.72000000000003</v>
      </c>
      <c r="E30" s="59">
        <f>IF($C$5*'Tariffs Jul2018'!AK24/'Tariffs Jul2018'!AI24&gt;='Tariffs Jul2018'!J24,( 'Tariffs Jul2018'!J24*'Tariffs Jul2018'!O24/100)* 'Tariffs Jul2018'!AI24,($C$5*'Tariffs Jul2018'!AK24/'Tariffs Jul2018'!AI24*'Tariffs Jul2018'!O24/100)* 'Tariffs Jul2018'!AI24)</f>
        <v>175.5</v>
      </c>
      <c r="F30" s="59">
        <f>IF($C$5*'Tariffs Jul2018'!AK24/'Tariffs Jul2018'!AI24&lt;'Tariffs Jul2018'!J24,0,IF($C$5*'Tariffs Jul2018'!AK24/'Tariffs Jul2018'!AI24&lt;='Tariffs Jul2018'!K24,($C$5*'Tariffs Jul2018'!AK24/'Tariffs Jul2018'!AI24-'Tariffs Jul2018'!J24)*('Tariffs Jul2018'!P24/100)*'Tariffs Jul2018'!AI24,('Tariffs Jul2018'!K24-'Tariffs Jul2018'!J24)*('Tariffs Jul2018'!P24/100)*'Tariffs Jul2018'!AI24))</f>
        <v>160.19999999999999</v>
      </c>
      <c r="G30" s="59">
        <f>IF($C$5*'Tariffs Jul2018'!AK24/'Tariffs Jul2018'!AI24&lt;'Tariffs Jul2018'!K24,0,IF($C$5*'Tariffs Jul2018'!AK24/'Tariffs Jul2018'!AI24&lt;='Tariffs Jul2018'!L24,($C$5*'Tariffs Jul2018'!AK24/'Tariffs Jul2018'!AI24-'Tariffs Jul2018'!K24)*('Tariffs Jul2018'!Q24/100)*'Tariffs Jul2018'!AI24,('Tariffs Jul2018'!L24-'Tariffs Jul2018'!K24)*('Tariffs Jul2018'!Q24/100)*'Tariffs Jul2018'!AI24))</f>
        <v>142.20000000000002</v>
      </c>
      <c r="H30" s="59">
        <f>IF($C$5*'Tariffs Jul2018'!AK24/'Tariffs Jul2018'!AI24&lt;'Tariffs Jul2018'!L24,0,IF($C$5*'Tariffs Jul2018'!AK24/'Tariffs Jul2018'!AI24&lt;='Tariffs Jul2018'!M24,($C$5*'Tariffs Jul2018'!AK24/'Tariffs Jul2018'!AI24-'Tariffs Jul2018'!L24)*('Tariffs Jul2018'!R24/100)*'Tariffs Jul2018'!AI24,('Tariffs Jul2018'!M24-'Tariffs Jul2018'!L24)*('Tariffs Jul2018'!R24/100)*'Tariffs Jul2018'!AI24))</f>
        <v>66.150000000000006</v>
      </c>
      <c r="I30" s="59">
        <f>IF(($C$5*'Tariffs Jul2018'!AK24/'Tariffs Jul2018'!AI24&gt;'Tariffs Jul2018'!M24),($C$5*'Tariffs Jul2018'!AK24/'Tariffs Jul2018'!AI24-'Tariffs Jul2018'!M24)*'Tariffs Jul2018'!S24/100*'Tariffs Jul2018'!AI24,0)</f>
        <v>0</v>
      </c>
      <c r="J30" s="59">
        <f>IF($C$5*'Tariffs Jul2018'!AL24/'Tariffs Jul2018'!AJ24&gt;='Tariffs Jul2018'!J24,('Tariffs Jul2018'!J24*'Tariffs Jul2018'!U24/100)* 'Tariffs Jul2018'!AJ24,($C$5*'Tariffs Jul2018'!AL24/'Tariffs Jul2018'!AJ24*'Tariffs Jul2018'!U24/100)* 'Tariffs Jul2018'!AJ24)</f>
        <v>162.89999999999998</v>
      </c>
      <c r="K30" s="59">
        <f>IF($C$5*'Tariffs Jul2018'!AL24/'Tariffs Jul2018'!AJ24&lt;'Tariffs Jul2018'!J24,0,IF($C$5*'Tariffs Jul2018'!AL24/'Tariffs Jul2018'!AJ24&lt;='Tariffs Jul2018'!K24,($C$5*'Tariffs Jul2018'!AL24/'Tariffs Jul2018'!AJ24-'Tariffs Jul2018'!J24)*('Tariffs Jul2018'!V24/100)*'Tariffs Jul2018'!AJ24,('Tariffs Jul2018'!K24-'Tariffs Jul2018'!J24)*('Tariffs Jul2018'!V24/100)*'Tariffs Jul2018'!AJ24))</f>
        <v>150.30000000000001</v>
      </c>
      <c r="L30" s="59">
        <f>IF($C$5*'Tariffs Jul2018'!AL24/'Tariffs Jul2018'!AJ24&lt;'Tariffs Jul2018'!K24,0,IF($C$5*'Tariffs Jul2018'!AL24/'Tariffs Jul2018'!AJ24&lt;='Tariffs Jul2018'!L24,($C$5*'Tariffs Jul2018'!AL24/'Tariffs Jul2018'!AJ24-'Tariffs Jul2018'!K24)*('Tariffs Jul2018'!W24/100)*'Tariffs Jul2018'!AJ24,('Tariffs Jul2018'!L24-'Tariffs Jul2018'!K24)*('Tariffs Jul2018'!W24/100)*'Tariffs Jul2018'!AJ24))</f>
        <v>134.10000000000002</v>
      </c>
      <c r="M30" s="59">
        <f>IF($C$5*'Tariffs Jul2018'!AL24/'Tariffs Jul2018'!AJ24&lt;'Tariffs Jul2018'!L24,0,IF($C$5*'Tariffs Jul2018'!AL24/'Tariffs Jul2018'!AJ24&lt;='Tariffs Jul2018'!M24,($C$5*'Tariffs Jul2018'!AL24/'Tariffs Jul2018'!AJ24-'Tariffs Jul2018'!L24)*('Tariffs Jul2018'!X24/100)*'Tariffs Jul2018'!AJ24,('Tariffs Jul2018'!M24-'Tariffs Jul2018'!L24)*('Tariffs Jul2018'!X24/100)*'Tariffs Jul2018'!AJ24))</f>
        <v>62.999999999999986</v>
      </c>
      <c r="N30" s="59">
        <f>IF(($C$5*'Tariffs Jul2018'!AL24/'Tariffs Jul2018'!AJ24&gt;'Tariffs Jul2018'!M24),($C$5*'Tariffs Jul2018'!AL24/'Tariffs Jul2018'!AJ24-'Tariffs Jul2018'!M24)*'Tariffs Jul2018'!Y24/100*'Tariffs Jul2018'!AJ24,0)</f>
        <v>0</v>
      </c>
      <c r="O30" s="271">
        <f t="shared" si="0"/>
        <v>1054.3499999999999</v>
      </c>
      <c r="P30" s="59">
        <f t="shared" si="1"/>
        <v>1320.07</v>
      </c>
      <c r="Q30" s="272">
        <f t="shared" si="2"/>
        <v>1452.077</v>
      </c>
      <c r="R30" s="40">
        <f>'Tariffs Jul2018'!AM24</f>
        <v>0</v>
      </c>
      <c r="S30" s="40">
        <f>'Tariffs Jul2018'!AN24</f>
        <v>0</v>
      </c>
      <c r="T30" s="40">
        <f>'Tariffs Jul2018'!AO24</f>
        <v>0</v>
      </c>
      <c r="U30" s="40">
        <f>'Tariffs Jul2018'!AP24</f>
        <v>0</v>
      </c>
      <c r="V30" s="273">
        <f t="shared" si="6"/>
        <v>1320.07</v>
      </c>
      <c r="W30" s="273">
        <f>V30</f>
        <v>1320.07</v>
      </c>
      <c r="X30" s="272">
        <f t="shared" si="4"/>
        <v>1452.077</v>
      </c>
      <c r="Y30" s="272">
        <f t="shared" si="4"/>
        <v>1452.077</v>
      </c>
      <c r="Z30" s="274">
        <f>'Tariffs Jul2018'!AY24</f>
        <v>0</v>
      </c>
      <c r="AA30" s="274" t="str">
        <f>'Tariffs Jul2018'!AZ24</f>
        <v>n</v>
      </c>
      <c r="AB30" s="275" t="str">
        <f>'Tariffs Jul2018'!BG24</f>
        <v>Y</v>
      </c>
      <c r="AC30" s="351"/>
      <c r="AD30" s="351"/>
      <c r="AE30" s="351"/>
      <c r="AF30" s="351"/>
      <c r="AG30" s="351"/>
      <c r="AH30" s="351"/>
      <c r="AI30" s="351"/>
      <c r="AJ30" s="351"/>
      <c r="AK30" s="351"/>
      <c r="AL30" s="351"/>
      <c r="AM30" s="351"/>
      <c r="AN30" s="351"/>
    </row>
    <row r="31" spans="1:40" x14ac:dyDescent="0.15">
      <c r="A31" s="40" t="str">
        <f>'Tariffs Jul2018'!F25</f>
        <v>Origin Energy</v>
      </c>
      <c r="B31" s="40" t="str">
        <f>'Tariffs Jul2018'!D25</f>
        <v>Multinet 2</v>
      </c>
      <c r="C31" s="40" t="str">
        <f>'Tariffs Jul2018'!G25</f>
        <v>Saver</v>
      </c>
      <c r="D31" s="59">
        <f>365*'Tariffs Jul2018'!H25/100</f>
        <v>255.5</v>
      </c>
      <c r="E31" s="59">
        <f>IF($C$5*'Tariffs Jul2018'!AK25/'Tariffs Jul2018'!AI25&gt;='Tariffs Jul2018'!J25,( 'Tariffs Jul2018'!J25*'Tariffs Jul2018'!O25/100)* 'Tariffs Jul2018'!AI25,($C$5*'Tariffs Jul2018'!AK25/'Tariffs Jul2018'!AI25*'Tariffs Jul2018'!O25/100)* 'Tariffs Jul2018'!AI25)</f>
        <v>432</v>
      </c>
      <c r="F31" s="59">
        <f>IF($C$5*'Tariffs Jul2018'!AK25/'Tariffs Jul2018'!AI25&lt;'Tariffs Jul2018'!J25,0,IF($C$5*'Tariffs Jul2018'!AK25/'Tariffs Jul2018'!AI25&lt;='Tariffs Jul2018'!K25,($C$5*'Tariffs Jul2018'!AK25/'Tariffs Jul2018'!AI25-'Tariffs Jul2018'!J25)*('Tariffs Jul2018'!P25/100)*'Tariffs Jul2018'!AI25,('Tariffs Jul2018'!K25-'Tariffs Jul2018'!J25)*('Tariffs Jul2018'!P25/100)*'Tariffs Jul2018'!AI25))</f>
        <v>175.5</v>
      </c>
      <c r="G31" s="59">
        <f>IF($C$5*'Tariffs Jul2018'!AK25/'Tariffs Jul2018'!AI25&lt;'Tariffs Jul2018'!K25,0,IF($C$5*'Tariffs Jul2018'!AK25/'Tariffs Jul2018'!AI25&lt;='Tariffs Jul2018'!L25,($C$5*'Tariffs Jul2018'!AK25/'Tariffs Jul2018'!AI25-'Tariffs Jul2018'!K25)*('Tariffs Jul2018'!Q25/100)*'Tariffs Jul2018'!AI25,('Tariffs Jul2018'!L25-'Tariffs Jul2018'!K25)*('Tariffs Jul2018'!Q25/100)*'Tariffs Jul2018'!AI25))</f>
        <v>0</v>
      </c>
      <c r="H31" s="59">
        <f>IF($C$5*'Tariffs Jul2018'!AK25/'Tariffs Jul2018'!AI25&lt;'Tariffs Jul2018'!L25,0,IF($C$5*'Tariffs Jul2018'!AK25/'Tariffs Jul2018'!AI25&lt;='Tariffs Jul2018'!M25,($C$5*'Tariffs Jul2018'!AK25/'Tariffs Jul2018'!AI25-'Tariffs Jul2018'!L25)*('Tariffs Jul2018'!R25/100)*'Tariffs Jul2018'!AI25,('Tariffs Jul2018'!M25-'Tariffs Jul2018'!L25)*('Tariffs Jul2018'!R25/100)*'Tariffs Jul2018'!AI25))</f>
        <v>0</v>
      </c>
      <c r="I31" s="59">
        <f>IF(($C$5*'Tariffs Jul2018'!AK25/'Tariffs Jul2018'!AI25&gt;'Tariffs Jul2018'!M25),($C$5*'Tariffs Jul2018'!AK25/'Tariffs Jul2018'!AI25-'Tariffs Jul2018'!M25)*'Tariffs Jul2018'!S25/100*'Tariffs Jul2018'!AI25,0)</f>
        <v>65.25</v>
      </c>
      <c r="J31" s="59">
        <f>IF($C$5*'Tariffs Jul2018'!AL25/'Tariffs Jul2018'!AJ25&gt;='Tariffs Jul2018'!J25,('Tariffs Jul2018'!J25*'Tariffs Jul2018'!U25/100)* 'Tariffs Jul2018'!AJ25,($C$5*'Tariffs Jul2018'!AL25/'Tariffs Jul2018'!AJ25*'Tariffs Jul2018'!U25/100)* 'Tariffs Jul2018'!AJ25)</f>
        <v>396.00000000000011</v>
      </c>
      <c r="K31" s="59">
        <f>IF($C$5*'Tariffs Jul2018'!AL25/'Tariffs Jul2018'!AJ25&lt;'Tariffs Jul2018'!J25,0,IF($C$5*'Tariffs Jul2018'!AL25/'Tariffs Jul2018'!AJ25&lt;='Tariffs Jul2018'!K25,($C$5*'Tariffs Jul2018'!AL25/'Tariffs Jul2018'!AJ25-'Tariffs Jul2018'!J25)*('Tariffs Jul2018'!V25/100)*'Tariffs Jul2018'!AJ25,('Tariffs Jul2018'!K25-'Tariffs Jul2018'!J25)*('Tariffs Jul2018'!V25/100)*'Tariffs Jul2018'!AJ25))</f>
        <v>157.50000000000003</v>
      </c>
      <c r="L31" s="59">
        <f>IF($C$5*'Tariffs Jul2018'!AL25/'Tariffs Jul2018'!AJ25&lt;'Tariffs Jul2018'!K25,0,IF($C$5*'Tariffs Jul2018'!AL25/'Tariffs Jul2018'!AJ25&lt;='Tariffs Jul2018'!L25,($C$5*'Tariffs Jul2018'!AL25/'Tariffs Jul2018'!AJ25-'Tariffs Jul2018'!K25)*('Tariffs Jul2018'!W25/100)*'Tariffs Jul2018'!AJ25,('Tariffs Jul2018'!L25-'Tariffs Jul2018'!K25)*('Tariffs Jul2018'!W25/100)*'Tariffs Jul2018'!AJ25))</f>
        <v>0</v>
      </c>
      <c r="M31" s="59">
        <f>IF($C$5*'Tariffs Jul2018'!AL25/'Tariffs Jul2018'!AJ25&lt;'Tariffs Jul2018'!L25,0,IF($C$5*'Tariffs Jul2018'!AL25/'Tariffs Jul2018'!AJ25&lt;='Tariffs Jul2018'!M25,($C$5*'Tariffs Jul2018'!AL25/'Tariffs Jul2018'!AJ25-'Tariffs Jul2018'!L25)*('Tariffs Jul2018'!X25/100)*'Tariffs Jul2018'!AJ25,('Tariffs Jul2018'!M25-'Tariffs Jul2018'!L25)*('Tariffs Jul2018'!X25/100)*'Tariffs Jul2018'!AJ25))</f>
        <v>0</v>
      </c>
      <c r="N31" s="59">
        <f>IF(($C$5*'Tariffs Jul2018'!AL25/'Tariffs Jul2018'!AJ25&gt;'Tariffs Jul2018'!M25),($C$5*'Tariffs Jul2018'!AL25/'Tariffs Jul2018'!AJ25-'Tariffs Jul2018'!M25)*'Tariffs Jul2018'!Y25/100*'Tariffs Jul2018'!AJ25,0)</f>
        <v>60.750000000000014</v>
      </c>
      <c r="O31" s="271">
        <f t="shared" si="0"/>
        <v>1287</v>
      </c>
      <c r="P31" s="59">
        <f t="shared" si="1"/>
        <v>1542.5</v>
      </c>
      <c r="Q31" s="272">
        <f t="shared" si="2"/>
        <v>1696.7500000000002</v>
      </c>
      <c r="R31" s="40">
        <f>'Tariffs Jul2018'!AM25</f>
        <v>0</v>
      </c>
      <c r="S31" s="40">
        <f>'Tariffs Jul2018'!AN25</f>
        <v>0</v>
      </c>
      <c r="T31" s="40">
        <f>'Tariffs Jul2018'!AO25</f>
        <v>0</v>
      </c>
      <c r="U31" s="40">
        <f>'Tariffs Jul2018'!AP25</f>
        <v>13</v>
      </c>
      <c r="V31" s="273">
        <f t="shared" si="6"/>
        <v>1542.5</v>
      </c>
      <c r="W31" s="273">
        <f>V31-(O31*U31/100)</f>
        <v>1375.19</v>
      </c>
      <c r="X31" s="272">
        <f t="shared" si="4"/>
        <v>1696.7500000000002</v>
      </c>
      <c r="Y31" s="272">
        <f t="shared" si="4"/>
        <v>1512.7090000000003</v>
      </c>
      <c r="Z31" s="274">
        <f>'Tariffs Jul2018'!AY25</f>
        <v>0</v>
      </c>
      <c r="AA31" s="274" t="str">
        <f>'Tariffs Jul2018'!AZ25</f>
        <v>n</v>
      </c>
      <c r="AB31" s="275" t="str">
        <f>'Tariffs Jul2018'!BG25</f>
        <v>N</v>
      </c>
      <c r="AC31" s="351"/>
      <c r="AD31" s="351"/>
      <c r="AE31" s="351"/>
      <c r="AF31" s="351"/>
      <c r="AG31" s="351"/>
      <c r="AH31" s="351"/>
      <c r="AI31" s="351"/>
      <c r="AJ31" s="351"/>
      <c r="AK31" s="351"/>
      <c r="AL31" s="351"/>
      <c r="AM31" s="351"/>
      <c r="AN31" s="351"/>
    </row>
    <row r="32" spans="1:40" x14ac:dyDescent="0.15">
      <c r="A32" s="40" t="str">
        <f>'Tariffs Jul2018'!F26</f>
        <v>Red Energy</v>
      </c>
      <c r="B32" s="40" t="str">
        <f>'Tariffs Jul2018'!D26</f>
        <v>Multinet 2</v>
      </c>
      <c r="C32" s="40" t="str">
        <f>'Tariffs Jul2018'!G26</f>
        <v>Easy Saver</v>
      </c>
      <c r="D32" s="59">
        <f>365*'Tariffs Jul2018'!H26/100</f>
        <v>255.5</v>
      </c>
      <c r="E32" s="59">
        <f>IF($C$5*'Tariffs Jul2018'!AK26/'Tariffs Jul2018'!AI26&gt;='Tariffs Jul2018'!J26,( 'Tariffs Jul2018'!J26*'Tariffs Jul2018'!O26/100)* 'Tariffs Jul2018'!AI26,($C$5*'Tariffs Jul2018'!AK26/'Tariffs Jul2018'!AI26*'Tariffs Jul2018'!O26/100)* 'Tariffs Jul2018'!AI26)</f>
        <v>210</v>
      </c>
      <c r="F32" s="59">
        <f>IF($C$5*'Tariffs Jul2018'!AK26/'Tariffs Jul2018'!AI26&lt;'Tariffs Jul2018'!J26,0,IF($C$5*'Tariffs Jul2018'!AK26/'Tariffs Jul2018'!AI26&lt;='Tariffs Jul2018'!K26,($C$5*'Tariffs Jul2018'!AK26/'Tariffs Jul2018'!AI26-'Tariffs Jul2018'!J26)*('Tariffs Jul2018'!P26/100)*'Tariffs Jul2018'!AI26,('Tariffs Jul2018'!K26-'Tariffs Jul2018'!J26)*('Tariffs Jul2018'!P26/100)*'Tariffs Jul2018'!AI26))</f>
        <v>0</v>
      </c>
      <c r="G32" s="59">
        <f>IF($C$5*'Tariffs Jul2018'!AK26/'Tariffs Jul2018'!AI26&lt;'Tariffs Jul2018'!K26,0,IF($C$5*'Tariffs Jul2018'!AK26/'Tariffs Jul2018'!AI26&lt;='Tariffs Jul2018'!L26,($C$5*'Tariffs Jul2018'!AK26/'Tariffs Jul2018'!AI26-'Tariffs Jul2018'!K26)*('Tariffs Jul2018'!Q26/100)*'Tariffs Jul2018'!AI26,('Tariffs Jul2018'!L26-'Tariffs Jul2018'!K26)*('Tariffs Jul2018'!Q26/100)*'Tariffs Jul2018'!AI26))</f>
        <v>0</v>
      </c>
      <c r="H32" s="59">
        <f>IF($C$5*'Tariffs Jul2018'!AK26/'Tariffs Jul2018'!AI26&lt;'Tariffs Jul2018'!L26,0,IF($C$5*'Tariffs Jul2018'!AK26/'Tariffs Jul2018'!AI26&lt;='Tariffs Jul2018'!M26,($C$5*'Tariffs Jul2018'!AK26/'Tariffs Jul2018'!AI26-'Tariffs Jul2018'!L26)*('Tariffs Jul2018'!R26/100)*'Tariffs Jul2018'!AI26,('Tariffs Jul2018'!M26-'Tariffs Jul2018'!L26)*('Tariffs Jul2018'!R26/100)*'Tariffs Jul2018'!AI26))</f>
        <v>0</v>
      </c>
      <c r="I32" s="59">
        <f>IF(($C$5*'Tariffs Jul2018'!AK26/'Tariffs Jul2018'!AI26&gt;'Tariffs Jul2018'!M26),($C$5*'Tariffs Jul2018'!AK26/'Tariffs Jul2018'!AI26-'Tariffs Jul2018'!M26)*'Tariffs Jul2018'!S26/100*'Tariffs Jul2018'!AI26,0)</f>
        <v>369.6</v>
      </c>
      <c r="J32" s="59">
        <f>IF($C$5*'Tariffs Jul2018'!AL26/'Tariffs Jul2018'!AJ26&gt;='Tariffs Jul2018'!J26,('Tariffs Jul2018'!J26*'Tariffs Jul2018'!U26/100)* 'Tariffs Jul2018'!AJ26,($C$5*'Tariffs Jul2018'!AL26/'Tariffs Jul2018'!AJ26*'Tariffs Jul2018'!U26/100)* 'Tariffs Jul2018'!AJ26)</f>
        <v>194.25</v>
      </c>
      <c r="K32" s="59">
        <f>IF($C$5*'Tariffs Jul2018'!AL26/'Tariffs Jul2018'!AJ26&lt;'Tariffs Jul2018'!J26,0,IF($C$5*'Tariffs Jul2018'!AL26/'Tariffs Jul2018'!AJ26&lt;='Tariffs Jul2018'!K26,($C$5*'Tariffs Jul2018'!AL26/'Tariffs Jul2018'!AJ26-'Tariffs Jul2018'!J26)*('Tariffs Jul2018'!V26/100)*'Tariffs Jul2018'!AJ26,('Tariffs Jul2018'!K26-'Tariffs Jul2018'!J26)*('Tariffs Jul2018'!V26/100)*'Tariffs Jul2018'!AJ26))</f>
        <v>0</v>
      </c>
      <c r="L32" s="59">
        <f>IF($C$5*'Tariffs Jul2018'!AL26/'Tariffs Jul2018'!AJ26&lt;'Tariffs Jul2018'!K26,0,IF($C$5*'Tariffs Jul2018'!AL26/'Tariffs Jul2018'!AJ26&lt;='Tariffs Jul2018'!L26,($C$5*'Tariffs Jul2018'!AL26/'Tariffs Jul2018'!AJ26-'Tariffs Jul2018'!K26)*('Tariffs Jul2018'!W26/100)*'Tariffs Jul2018'!AJ26,('Tariffs Jul2018'!L26-'Tariffs Jul2018'!K26)*('Tariffs Jul2018'!W26/100)*'Tariffs Jul2018'!AJ26))</f>
        <v>0</v>
      </c>
      <c r="M32" s="59">
        <f>IF($C$5*'Tariffs Jul2018'!AL26/'Tariffs Jul2018'!AJ26&lt;'Tariffs Jul2018'!L26,0,IF($C$5*'Tariffs Jul2018'!AL26/'Tariffs Jul2018'!AJ26&lt;='Tariffs Jul2018'!M26,($C$5*'Tariffs Jul2018'!AL26/'Tariffs Jul2018'!AJ26-'Tariffs Jul2018'!L26)*('Tariffs Jul2018'!X26/100)*'Tariffs Jul2018'!AJ26,('Tariffs Jul2018'!M26-'Tariffs Jul2018'!L26)*('Tariffs Jul2018'!X26/100)*'Tariffs Jul2018'!AJ26))</f>
        <v>0</v>
      </c>
      <c r="N32" s="59">
        <f>IF(($C$5*'Tariffs Jul2018'!AL26/'Tariffs Jul2018'!AJ26&gt;'Tariffs Jul2018'!M26),($C$5*'Tariffs Jul2018'!AL26/'Tariffs Jul2018'!AJ26-'Tariffs Jul2018'!M26)*'Tariffs Jul2018'!Y26/100*'Tariffs Jul2018'!AJ26,0)</f>
        <v>357</v>
      </c>
      <c r="O32" s="271">
        <f t="shared" si="0"/>
        <v>1130.8499999999999</v>
      </c>
      <c r="P32" s="59">
        <f t="shared" si="1"/>
        <v>1386.35</v>
      </c>
      <c r="Q32" s="272">
        <f t="shared" si="2"/>
        <v>1524.9850000000001</v>
      </c>
      <c r="R32" s="40">
        <f>'Tariffs Jul2018'!AM26</f>
        <v>0</v>
      </c>
      <c r="S32" s="40">
        <f>'Tariffs Jul2018'!AN26</f>
        <v>0</v>
      </c>
      <c r="T32" s="40">
        <f>'Tariffs Jul2018'!AO26</f>
        <v>10</v>
      </c>
      <c r="U32" s="40">
        <f>'Tariffs Jul2018'!AP26</f>
        <v>0</v>
      </c>
      <c r="V32" s="273">
        <f t="shared" si="6"/>
        <v>1386.35</v>
      </c>
      <c r="W32" s="273">
        <f>V32-(P32*T32/100)</f>
        <v>1247.7149999999999</v>
      </c>
      <c r="X32" s="272">
        <f t="shared" si="4"/>
        <v>1524.9850000000001</v>
      </c>
      <c r="Y32" s="272">
        <f t="shared" si="4"/>
        <v>1372.4865</v>
      </c>
      <c r="Z32" s="274">
        <f>'Tariffs Jul2018'!AY26</f>
        <v>0</v>
      </c>
      <c r="AA32" s="274" t="str">
        <f>'Tariffs Jul2018'!AZ26</f>
        <v>n</v>
      </c>
      <c r="AB32" s="275" t="str">
        <f>'Tariffs Jul2018'!BG26</f>
        <v>Y</v>
      </c>
      <c r="AC32" s="351"/>
      <c r="AD32" s="351"/>
      <c r="AE32" s="351"/>
      <c r="AF32" s="351"/>
      <c r="AG32" s="351"/>
      <c r="AH32" s="351"/>
      <c r="AI32" s="351"/>
      <c r="AJ32" s="351"/>
      <c r="AK32" s="351"/>
      <c r="AL32" s="351"/>
      <c r="AM32" s="351"/>
      <c r="AN32" s="351"/>
    </row>
    <row r="33" spans="1:40" x14ac:dyDescent="0.15">
      <c r="A33" s="40" t="str">
        <f>'Tariffs Jul2018'!F27</f>
        <v>Simply Energy</v>
      </c>
      <c r="B33" s="40" t="str">
        <f>'Tariffs Jul2018'!D27</f>
        <v>Multinet 2</v>
      </c>
      <c r="C33" s="40" t="str">
        <f>'Tariffs Jul2018'!G27</f>
        <v>Plus</v>
      </c>
      <c r="D33" s="59">
        <f>365*'Tariffs Jul2018'!H27/100</f>
        <v>255.86499999999995</v>
      </c>
      <c r="E33" s="59">
        <f>IF($C$5*'Tariffs Jul2018'!AK27/'Tariffs Jul2018'!AI27&gt;='Tariffs Jul2018'!J27,( 'Tariffs Jul2018'!J27*'Tariffs Jul2018'!O27/100)* 'Tariffs Jul2018'!AI27,($C$5*'Tariffs Jul2018'!AK27/'Tariffs Jul2018'!AI27*'Tariffs Jul2018'!O27/100)* 'Tariffs Jul2018'!AI27)</f>
        <v>265.5</v>
      </c>
      <c r="F33" s="59">
        <f>IF($C$5*'Tariffs Jul2018'!AK27/'Tariffs Jul2018'!AI27&lt;'Tariffs Jul2018'!J27,0,IF($C$5*'Tariffs Jul2018'!AK27/'Tariffs Jul2018'!AI27&lt;='Tariffs Jul2018'!K27,($C$5*'Tariffs Jul2018'!AK27/'Tariffs Jul2018'!AI27-'Tariffs Jul2018'!J27)*('Tariffs Jul2018'!P27/100)*'Tariffs Jul2018'!AI27,('Tariffs Jul2018'!K27-'Tariffs Jul2018'!J27)*('Tariffs Jul2018'!P27/100)*'Tariffs Jul2018'!AI27))</f>
        <v>236.70000000000002</v>
      </c>
      <c r="G33" s="59">
        <f>IF($C$5*'Tariffs Jul2018'!AK27/'Tariffs Jul2018'!AI27&lt;'Tariffs Jul2018'!K27,0,IF($C$5*'Tariffs Jul2018'!AK27/'Tariffs Jul2018'!AI27&lt;='Tariffs Jul2018'!L27,($C$5*'Tariffs Jul2018'!AK27/'Tariffs Jul2018'!AI27-'Tariffs Jul2018'!K27)*('Tariffs Jul2018'!Q27/100)*'Tariffs Jul2018'!AI27,('Tariffs Jul2018'!L27-'Tariffs Jul2018'!K27)*('Tariffs Jul2018'!Q27/100)*'Tariffs Jul2018'!AI27))</f>
        <v>202.5</v>
      </c>
      <c r="H33" s="59">
        <f>IF($C$5*'Tariffs Jul2018'!AK27/'Tariffs Jul2018'!AI27&lt;'Tariffs Jul2018'!L27,0,IF($C$5*'Tariffs Jul2018'!AK27/'Tariffs Jul2018'!AI27&lt;='Tariffs Jul2018'!M27,($C$5*'Tariffs Jul2018'!AK27/'Tariffs Jul2018'!AI27-'Tariffs Jul2018'!L27)*('Tariffs Jul2018'!R27/100)*'Tariffs Jul2018'!AI27,('Tariffs Jul2018'!M27-'Tariffs Jul2018'!L27)*('Tariffs Jul2018'!R27/100)*'Tariffs Jul2018'!AI27))</f>
        <v>91.800000000000011</v>
      </c>
      <c r="I33" s="59">
        <f>IF(($C$5*'Tariffs Jul2018'!AK27/'Tariffs Jul2018'!AI27&gt;'Tariffs Jul2018'!M27),($C$5*'Tariffs Jul2018'!AK27/'Tariffs Jul2018'!AI27-'Tariffs Jul2018'!M27)*'Tariffs Jul2018'!S27/100*'Tariffs Jul2018'!AI27,0)</f>
        <v>0</v>
      </c>
      <c r="J33" s="59">
        <f>IF($C$5*'Tariffs Jul2018'!AL27/'Tariffs Jul2018'!AJ27&gt;='Tariffs Jul2018'!J27,('Tariffs Jul2018'!J27*'Tariffs Jul2018'!U27/100)* 'Tariffs Jul2018'!AJ27,($C$5*'Tariffs Jul2018'!AL27/'Tariffs Jul2018'!AJ27*'Tariffs Jul2018'!U27/100)* 'Tariffs Jul2018'!AJ27)</f>
        <v>250.20000000000002</v>
      </c>
      <c r="K33" s="59">
        <f>IF($C$5*'Tariffs Jul2018'!AL27/'Tariffs Jul2018'!AJ27&lt;'Tariffs Jul2018'!J27,0,IF($C$5*'Tariffs Jul2018'!AL27/'Tariffs Jul2018'!AJ27&lt;='Tariffs Jul2018'!K27,($C$5*'Tariffs Jul2018'!AL27/'Tariffs Jul2018'!AJ27-'Tariffs Jul2018'!J27)*('Tariffs Jul2018'!V27/100)*'Tariffs Jul2018'!AJ27,('Tariffs Jul2018'!K27-'Tariffs Jul2018'!J27)*('Tariffs Jul2018'!V27/100)*'Tariffs Jul2018'!AJ27))</f>
        <v>225.89999999999998</v>
      </c>
      <c r="L33" s="59">
        <f>IF($C$5*'Tariffs Jul2018'!AL27/'Tariffs Jul2018'!AJ27&lt;'Tariffs Jul2018'!K27,0,IF($C$5*'Tariffs Jul2018'!AL27/'Tariffs Jul2018'!AJ27&lt;='Tariffs Jul2018'!L27,($C$5*'Tariffs Jul2018'!AL27/'Tariffs Jul2018'!AJ27-'Tariffs Jul2018'!K27)*('Tariffs Jul2018'!W27/100)*'Tariffs Jul2018'!AJ27,('Tariffs Jul2018'!L27-'Tariffs Jul2018'!K27)*('Tariffs Jul2018'!W27/100)*'Tariffs Jul2018'!AJ27))</f>
        <v>197.10000000000002</v>
      </c>
      <c r="M33" s="59">
        <f>IF($C$5*'Tariffs Jul2018'!AL27/'Tariffs Jul2018'!AJ27&lt;'Tariffs Jul2018'!L27,0,IF($C$5*'Tariffs Jul2018'!AL27/'Tariffs Jul2018'!AJ27&lt;='Tariffs Jul2018'!M27,($C$5*'Tariffs Jul2018'!AL27/'Tariffs Jul2018'!AJ27-'Tariffs Jul2018'!L27)*('Tariffs Jul2018'!X27/100)*'Tariffs Jul2018'!AJ27,('Tariffs Jul2018'!M27-'Tariffs Jul2018'!L27)*('Tariffs Jul2018'!X27/100)*'Tariffs Jul2018'!AJ27))</f>
        <v>90.449999999999989</v>
      </c>
      <c r="N33" s="59">
        <f>IF(($C$5*'Tariffs Jul2018'!AL27/'Tariffs Jul2018'!AJ27&gt;'Tariffs Jul2018'!M27),($C$5*'Tariffs Jul2018'!AL27/'Tariffs Jul2018'!AJ27-'Tariffs Jul2018'!M27)*'Tariffs Jul2018'!Y27/100*'Tariffs Jul2018'!AJ27,0)</f>
        <v>0</v>
      </c>
      <c r="O33" s="271">
        <f t="shared" si="0"/>
        <v>1560.1499999999999</v>
      </c>
      <c r="P33" s="59">
        <f t="shared" si="1"/>
        <v>1816.0149999999999</v>
      </c>
      <c r="Q33" s="272">
        <f t="shared" si="2"/>
        <v>1997.6165000000001</v>
      </c>
      <c r="R33" s="40">
        <f>'Tariffs Jul2018'!AM27</f>
        <v>0</v>
      </c>
      <c r="S33" s="40">
        <f>'Tariffs Jul2018'!AN27</f>
        <v>0</v>
      </c>
      <c r="T33" s="40">
        <f>'Tariffs Jul2018'!AO27</f>
        <v>0</v>
      </c>
      <c r="U33" s="40">
        <f>'Tariffs Jul2018'!AP27</f>
        <v>26</v>
      </c>
      <c r="V33" s="273">
        <f t="shared" si="6"/>
        <v>1816.0149999999999</v>
      </c>
      <c r="W33" s="273">
        <f>V33-(O33*U33/100)</f>
        <v>1410.376</v>
      </c>
      <c r="X33" s="272">
        <f t="shared" si="4"/>
        <v>1997.6165000000001</v>
      </c>
      <c r="Y33" s="272">
        <f t="shared" si="4"/>
        <v>1551.4136000000001</v>
      </c>
      <c r="Z33" s="274">
        <f>'Tariffs Jul2018'!AY27</f>
        <v>0</v>
      </c>
      <c r="AA33" s="274" t="str">
        <f>'Tariffs Jul2018'!AZ27</f>
        <v>n</v>
      </c>
      <c r="AB33" s="275" t="str">
        <f>'Tariffs Jul2018'!BG27</f>
        <v>Y</v>
      </c>
      <c r="AC33" s="351"/>
      <c r="AD33" s="351"/>
      <c r="AE33" s="351"/>
      <c r="AF33" s="351"/>
      <c r="AG33" s="351"/>
      <c r="AH33" s="351"/>
      <c r="AI33" s="351"/>
      <c r="AJ33" s="351"/>
      <c r="AK33" s="351"/>
      <c r="AL33" s="351"/>
      <c r="AM33" s="351"/>
      <c r="AN33" s="351"/>
    </row>
    <row r="34" spans="1:40" x14ac:dyDescent="0.15">
      <c r="A34" s="40" t="str">
        <f>'Tariffs Jul2018'!F28</f>
        <v>Sumo Power</v>
      </c>
      <c r="B34" s="40" t="str">
        <f>'Tariffs Jul2018'!D28</f>
        <v>Multinet 2</v>
      </c>
      <c r="C34" s="40" t="str">
        <f>'Tariffs Jul2018'!G28</f>
        <v>Pay on time (max discount)</v>
      </c>
      <c r="D34" s="59">
        <f>365*'Tariffs Jul2018'!H28/100</f>
        <v>236.00899999999999</v>
      </c>
      <c r="E34" s="59">
        <f>IF($C$5*'Tariffs Jul2018'!AK28/'Tariffs Jul2018'!AI28&gt;='Tariffs Jul2018'!J28,( 'Tariffs Jul2018'!J28*'Tariffs Jul2018'!O28/100)* 'Tariffs Jul2018'!AI28,($C$5*'Tariffs Jul2018'!AK28/'Tariffs Jul2018'!AI28*'Tariffs Jul2018'!O28/100)* 'Tariffs Jul2018'!AI28)</f>
        <v>249.03000000000003</v>
      </c>
      <c r="F34" s="59">
        <f>IF($C$5*'Tariffs Jul2018'!AK28/'Tariffs Jul2018'!AI28&lt;'Tariffs Jul2018'!J28,0,IF($C$5*'Tariffs Jul2018'!AK28/'Tariffs Jul2018'!AI28&lt;='Tariffs Jul2018'!K28,($C$5*'Tariffs Jul2018'!AK28/'Tariffs Jul2018'!AI28-'Tariffs Jul2018'!J28)*('Tariffs Jul2018'!P28/100)*'Tariffs Jul2018'!AI28,('Tariffs Jul2018'!K28-'Tariffs Jul2018'!J28)*('Tariffs Jul2018'!P28/100)*'Tariffs Jul2018'!AI28))</f>
        <v>216.35999999999996</v>
      </c>
      <c r="G34" s="59">
        <f>IF($C$5*'Tariffs Jul2018'!AK28/'Tariffs Jul2018'!AI28&lt;'Tariffs Jul2018'!K28,0,IF($C$5*'Tariffs Jul2018'!AK28/'Tariffs Jul2018'!AI28&lt;='Tariffs Jul2018'!L28,($C$5*'Tariffs Jul2018'!AK28/'Tariffs Jul2018'!AI28-'Tariffs Jul2018'!K28)*('Tariffs Jul2018'!Q28/100)*'Tariffs Jul2018'!AI28,('Tariffs Jul2018'!L28-'Tariffs Jul2018'!K28)*('Tariffs Jul2018'!Q28/100)*'Tariffs Jul2018'!AI28))</f>
        <v>185.94</v>
      </c>
      <c r="H34" s="59">
        <f>IF($C$5*'Tariffs Jul2018'!AK28/'Tariffs Jul2018'!AI28&lt;'Tariffs Jul2018'!L28,0,IF($C$5*'Tariffs Jul2018'!AK28/'Tariffs Jul2018'!AI28&lt;='Tariffs Jul2018'!M28,($C$5*'Tariffs Jul2018'!AK28/'Tariffs Jul2018'!AI28-'Tariffs Jul2018'!L28)*('Tariffs Jul2018'!R28/100)*'Tariffs Jul2018'!AI28,('Tariffs Jul2018'!M28-'Tariffs Jul2018'!L28)*('Tariffs Jul2018'!R28/100)*'Tariffs Jul2018'!AI28))</f>
        <v>77.984999999999999</v>
      </c>
      <c r="I34" s="59">
        <f>IF(($C$5*'Tariffs Jul2018'!AK28/'Tariffs Jul2018'!AI28&gt;'Tariffs Jul2018'!M28),($C$5*'Tariffs Jul2018'!AK28/'Tariffs Jul2018'!AI28-'Tariffs Jul2018'!M28)*'Tariffs Jul2018'!S28/100*'Tariffs Jul2018'!AI28,0)</f>
        <v>0</v>
      </c>
      <c r="J34" s="59">
        <f>IF($C$5*'Tariffs Jul2018'!AL28/'Tariffs Jul2018'!AJ28&gt;='Tariffs Jul2018'!J28,('Tariffs Jul2018'!J28*'Tariffs Jul2018'!U28/100)* 'Tariffs Jul2018'!AJ28,($C$5*'Tariffs Jul2018'!AL28/'Tariffs Jul2018'!AJ28*'Tariffs Jul2018'!U28/100)* 'Tariffs Jul2018'!AJ28)</f>
        <v>219.06000000000003</v>
      </c>
      <c r="K34" s="59">
        <f>IF($C$5*'Tariffs Jul2018'!AL28/'Tariffs Jul2018'!AJ28&lt;'Tariffs Jul2018'!J28,0,IF($C$5*'Tariffs Jul2018'!AL28/'Tariffs Jul2018'!AJ28&lt;='Tariffs Jul2018'!K28,($C$5*'Tariffs Jul2018'!AL28/'Tariffs Jul2018'!AJ28-'Tariffs Jul2018'!J28)*('Tariffs Jul2018'!V28/100)*'Tariffs Jul2018'!AJ28,('Tariffs Jul2018'!K28-'Tariffs Jul2018'!J28)*('Tariffs Jul2018'!V28/100)*'Tariffs Jul2018'!AJ28))</f>
        <v>192.14999999999998</v>
      </c>
      <c r="L34" s="59">
        <f>IF($C$5*'Tariffs Jul2018'!AL28/'Tariffs Jul2018'!AJ28&lt;'Tariffs Jul2018'!K28,0,IF($C$5*'Tariffs Jul2018'!AL28/'Tariffs Jul2018'!AJ28&lt;='Tariffs Jul2018'!L28,($C$5*'Tariffs Jul2018'!AL28/'Tariffs Jul2018'!AJ28-'Tariffs Jul2018'!K28)*('Tariffs Jul2018'!W28/100)*'Tariffs Jul2018'!AJ28,('Tariffs Jul2018'!L28-'Tariffs Jul2018'!K28)*('Tariffs Jul2018'!W28/100)*'Tariffs Jul2018'!AJ28))</f>
        <v>165.6</v>
      </c>
      <c r="M34" s="59">
        <f>IF($C$5*'Tariffs Jul2018'!AL28/'Tariffs Jul2018'!AJ28&lt;'Tariffs Jul2018'!L28,0,IF($C$5*'Tariffs Jul2018'!AL28/'Tariffs Jul2018'!AJ28&lt;='Tariffs Jul2018'!M28,($C$5*'Tariffs Jul2018'!AL28/'Tariffs Jul2018'!AJ28-'Tariffs Jul2018'!L28)*('Tariffs Jul2018'!X28/100)*'Tariffs Jul2018'!AJ28,('Tariffs Jul2018'!M28-'Tariffs Jul2018'!L28)*('Tariffs Jul2018'!X28/100)*'Tariffs Jul2018'!AJ28))</f>
        <v>71.28</v>
      </c>
      <c r="N34" s="59">
        <f>IF(($C$5*'Tariffs Jul2018'!AL28/'Tariffs Jul2018'!AJ28&gt;'Tariffs Jul2018'!M28),($C$5*'Tariffs Jul2018'!AL28/'Tariffs Jul2018'!AJ28-'Tariffs Jul2018'!M28)*'Tariffs Jul2018'!Y28/100*'Tariffs Jul2018'!AJ28,0)</f>
        <v>0</v>
      </c>
      <c r="O34" s="271">
        <f t="shared" si="0"/>
        <v>1377.405</v>
      </c>
      <c r="P34" s="59">
        <f t="shared" si="1"/>
        <v>1613.414</v>
      </c>
      <c r="Q34" s="272">
        <f t="shared" si="2"/>
        <v>1774.7554000000002</v>
      </c>
      <c r="R34" s="40">
        <f>'Tariffs Jul2018'!AM28</f>
        <v>0</v>
      </c>
      <c r="S34" s="40">
        <f>'Tariffs Jul2018'!AN28</f>
        <v>0</v>
      </c>
      <c r="T34" s="40">
        <f>'Tariffs Jul2018'!AO28</f>
        <v>0</v>
      </c>
      <c r="U34" s="40">
        <f>'Tariffs Jul2018'!AP28</f>
        <v>25</v>
      </c>
      <c r="V34" s="273">
        <f t="shared" si="6"/>
        <v>1613.414</v>
      </c>
      <c r="W34" s="273">
        <f>V34-(O34*U34/100)</f>
        <v>1269.0627500000001</v>
      </c>
      <c r="X34" s="272">
        <f t="shared" si="4"/>
        <v>1774.7554000000002</v>
      </c>
      <c r="Y34" s="272">
        <f t="shared" si="4"/>
        <v>1395.9690250000001</v>
      </c>
      <c r="Z34" s="274">
        <f>'Tariffs Jul2018'!AY28</f>
        <v>0</v>
      </c>
      <c r="AA34" s="274" t="str">
        <f>'Tariffs Jul2018'!AZ28</f>
        <v>n</v>
      </c>
      <c r="AB34" s="275" t="str">
        <f>'Tariffs Jul2018'!BG28</f>
        <v>Y</v>
      </c>
      <c r="AC34" s="351"/>
      <c r="AD34" s="351"/>
      <c r="AE34" s="351"/>
      <c r="AF34" s="351"/>
      <c r="AG34" s="351"/>
      <c r="AH34" s="351"/>
      <c r="AI34" s="351"/>
      <c r="AJ34" s="351"/>
      <c r="AK34" s="351"/>
      <c r="AL34" s="351"/>
      <c r="AM34" s="351"/>
      <c r="AN34" s="351"/>
    </row>
    <row r="35" spans="1:40" x14ac:dyDescent="0.15">
      <c r="A35" s="40" t="str">
        <f>'Tariffs Jul2018'!F29</f>
        <v>Amaysim</v>
      </c>
      <c r="B35" s="40" t="str">
        <f>'Tariffs Jul2018'!D29</f>
        <v>Multinet 2</v>
      </c>
      <c r="C35" s="40" t="str">
        <f>'Tariffs Jul2018'!G29</f>
        <v>Gas 4</v>
      </c>
      <c r="D35" s="59">
        <f>365*'Tariffs Jul2018'!H29/100</f>
        <v>285.06499999999994</v>
      </c>
      <c r="E35" s="59">
        <f>IF($C$5*'Tariffs Jul2018'!AK29/'Tariffs Jul2018'!AI29&gt;='Tariffs Jul2018'!J29,( 'Tariffs Jul2018'!J29*'Tariffs Jul2018'!O29/100)* 'Tariffs Jul2018'!AI29,($C$5*'Tariffs Jul2018'!AK29/'Tariffs Jul2018'!AI29*'Tariffs Jul2018'!O29/100)* 'Tariffs Jul2018'!AI29)</f>
        <v>301.5</v>
      </c>
      <c r="F35" s="59">
        <f>IF($C$5*'Tariffs Jul2018'!AK29/'Tariffs Jul2018'!AI29&lt;'Tariffs Jul2018'!J29,0,IF($C$5*'Tariffs Jul2018'!AK29/'Tariffs Jul2018'!AI29&lt;='Tariffs Jul2018'!K29,($C$5*'Tariffs Jul2018'!AK29/'Tariffs Jul2018'!AI29-'Tariffs Jul2018'!J29)*('Tariffs Jul2018'!P29/100)*'Tariffs Jul2018'!AI29,('Tariffs Jul2018'!K29-'Tariffs Jul2018'!J29)*('Tariffs Jul2018'!P29/100)*'Tariffs Jul2018'!AI29))</f>
        <v>265.5</v>
      </c>
      <c r="G35" s="59">
        <f>IF($C$5*'Tariffs Jul2018'!AK29/'Tariffs Jul2018'!AI29&lt;'Tariffs Jul2018'!K29,0,IF($C$5*'Tariffs Jul2018'!AK29/'Tariffs Jul2018'!AI29&lt;='Tariffs Jul2018'!L29,($C$5*'Tariffs Jul2018'!AK29/'Tariffs Jul2018'!AI29-'Tariffs Jul2018'!K29)*('Tariffs Jul2018'!Q29/100)*'Tariffs Jul2018'!AI29,('Tariffs Jul2018'!L29-'Tariffs Jul2018'!K29)*('Tariffs Jul2018'!Q29/100)*'Tariffs Jul2018'!AI29))</f>
        <v>229.5</v>
      </c>
      <c r="H35" s="59">
        <f>IF($C$5*'Tariffs Jul2018'!AK29/'Tariffs Jul2018'!AI29&lt;'Tariffs Jul2018'!L29,0,IF($C$5*'Tariffs Jul2018'!AK29/'Tariffs Jul2018'!AI29&lt;='Tariffs Jul2018'!M29,($C$5*'Tariffs Jul2018'!AK29/'Tariffs Jul2018'!AI29-'Tariffs Jul2018'!L29)*('Tariffs Jul2018'!R29/100)*'Tariffs Jul2018'!AI29,('Tariffs Jul2018'!M29-'Tariffs Jul2018'!L29)*('Tariffs Jul2018'!R29/100)*'Tariffs Jul2018'!AI29))</f>
        <v>105.75</v>
      </c>
      <c r="I35" s="59">
        <f>IF(($C$5*'Tariffs Jul2018'!AK29/'Tariffs Jul2018'!AI29&gt;'Tariffs Jul2018'!M29),($C$5*'Tariffs Jul2018'!AK29/'Tariffs Jul2018'!AI29-'Tariffs Jul2018'!M29)*'Tariffs Jul2018'!S29/100*'Tariffs Jul2018'!AI29,0)</f>
        <v>0</v>
      </c>
      <c r="J35" s="59">
        <f>IF($C$5*'Tariffs Jul2018'!AL29/'Tariffs Jul2018'!AJ29&gt;='Tariffs Jul2018'!J29,('Tariffs Jul2018'!J29*'Tariffs Jul2018'!U29/100)* 'Tariffs Jul2018'!AJ29,($C$5*'Tariffs Jul2018'!AL29/'Tariffs Jul2018'!AJ29*'Tariffs Jul2018'!U29/100)* 'Tariffs Jul2018'!AJ29)</f>
        <v>292.5</v>
      </c>
      <c r="K35" s="59">
        <f>IF($C$5*'Tariffs Jul2018'!AL29/'Tariffs Jul2018'!AJ29&lt;'Tariffs Jul2018'!J29,0,IF($C$5*'Tariffs Jul2018'!AL29/'Tariffs Jul2018'!AJ29&lt;='Tariffs Jul2018'!K29,($C$5*'Tariffs Jul2018'!AL29/'Tariffs Jul2018'!AJ29-'Tariffs Jul2018'!J29)*('Tariffs Jul2018'!V29/100)*'Tariffs Jul2018'!AJ29,('Tariffs Jul2018'!K29-'Tariffs Jul2018'!J29)*('Tariffs Jul2018'!V29/100)*'Tariffs Jul2018'!AJ29))</f>
        <v>261</v>
      </c>
      <c r="L35" s="59">
        <f>IF($C$5*'Tariffs Jul2018'!AL29/'Tariffs Jul2018'!AJ29&lt;'Tariffs Jul2018'!K29,0,IF($C$5*'Tariffs Jul2018'!AL29/'Tariffs Jul2018'!AJ29&lt;='Tariffs Jul2018'!L29,($C$5*'Tariffs Jul2018'!AL29/'Tariffs Jul2018'!AJ29-'Tariffs Jul2018'!K29)*('Tariffs Jul2018'!W29/100)*'Tariffs Jul2018'!AJ29,('Tariffs Jul2018'!L29-'Tariffs Jul2018'!K29)*('Tariffs Jul2018'!W29/100)*'Tariffs Jul2018'!AJ29))</f>
        <v>225</v>
      </c>
      <c r="M35" s="59">
        <f>IF($C$5*'Tariffs Jul2018'!AL29/'Tariffs Jul2018'!AJ29&lt;'Tariffs Jul2018'!L29,0,IF($C$5*'Tariffs Jul2018'!AL29/'Tariffs Jul2018'!AJ29&lt;='Tariffs Jul2018'!M29,($C$5*'Tariffs Jul2018'!AL29/'Tariffs Jul2018'!AJ29-'Tariffs Jul2018'!L29)*('Tariffs Jul2018'!X29/100)*'Tariffs Jul2018'!AJ29,('Tariffs Jul2018'!M29-'Tariffs Jul2018'!L29)*('Tariffs Jul2018'!X29/100)*'Tariffs Jul2018'!AJ29))</f>
        <v>105.75</v>
      </c>
      <c r="N35" s="59">
        <f>IF(($C$5*'Tariffs Jul2018'!AL29/'Tariffs Jul2018'!AJ29&gt;'Tariffs Jul2018'!M29),($C$5*'Tariffs Jul2018'!AL29/'Tariffs Jul2018'!AJ29-'Tariffs Jul2018'!M29)*'Tariffs Jul2018'!Y29/100*'Tariffs Jul2018'!AJ29,0)</f>
        <v>0</v>
      </c>
      <c r="O35" s="271">
        <f t="shared" si="0"/>
        <v>1786.5</v>
      </c>
      <c r="P35" s="59">
        <f t="shared" si="1"/>
        <v>2071.5650000000001</v>
      </c>
      <c r="Q35" s="272">
        <f t="shared" si="2"/>
        <v>2278.7215000000001</v>
      </c>
      <c r="R35" s="40">
        <f>'Tariffs Jul2018'!AM29</f>
        <v>0</v>
      </c>
      <c r="S35" s="40">
        <f>'Tariffs Jul2018'!AN29</f>
        <v>0</v>
      </c>
      <c r="T35" s="40">
        <f>'Tariffs Jul2018'!AO29</f>
        <v>5</v>
      </c>
      <c r="U35" s="40">
        <f>'Tariffs Jul2018'!AP29</f>
        <v>0</v>
      </c>
      <c r="V35" s="273">
        <f t="shared" si="6"/>
        <v>2071.5650000000001</v>
      </c>
      <c r="W35" s="273">
        <f>V35-(P35*T35/100)</f>
        <v>1967.98675</v>
      </c>
      <c r="X35" s="272">
        <f t="shared" si="4"/>
        <v>2278.7215000000001</v>
      </c>
      <c r="Y35" s="272">
        <f t="shared" si="4"/>
        <v>2164.785425</v>
      </c>
      <c r="Z35" s="274">
        <f>'Tariffs Jul2018'!AY29</f>
        <v>0</v>
      </c>
      <c r="AA35" s="274" t="str">
        <f>'Tariffs Jul2018'!AZ29</f>
        <v>n</v>
      </c>
      <c r="AB35" s="275" t="str">
        <f>'Tariffs Jul2018'!BG29</f>
        <v>N</v>
      </c>
      <c r="AC35" s="351"/>
      <c r="AD35" s="351"/>
      <c r="AE35" s="351"/>
      <c r="AF35" s="351"/>
      <c r="AG35" s="351"/>
      <c r="AH35" s="351"/>
      <c r="AI35" s="351"/>
      <c r="AJ35" s="351"/>
      <c r="AK35" s="351"/>
      <c r="AL35" s="351"/>
      <c r="AM35" s="351"/>
      <c r="AN35" s="351"/>
    </row>
    <row r="36" spans="1:40" x14ac:dyDescent="0.15">
      <c r="A36" s="40" t="str">
        <f>'Tariffs Jul2018'!F30</f>
        <v>GloBird</v>
      </c>
      <c r="B36" s="40" t="str">
        <f>'Tariffs Jul2018'!D30</f>
        <v>Multinet 2</v>
      </c>
      <c r="C36" s="40" t="str">
        <f>'Tariffs Jul2018'!G30</f>
        <v>GloSave</v>
      </c>
      <c r="D36" s="59">
        <f>365*'Tariffs Jul2018'!H30/100</f>
        <v>299.3</v>
      </c>
      <c r="E36" s="59">
        <f>IF($C$5*'Tariffs Jul2018'!AK30/'Tariffs Jul2018'!AI30&gt;='Tariffs Jul2018'!J30,( 'Tariffs Jul2018'!J30*'Tariffs Jul2018'!O30/100)* 'Tariffs Jul2018'!AI30,($C$5*'Tariffs Jul2018'!AK30/'Tariffs Jul2018'!AI30*'Tariffs Jul2018'!O30/100)* 'Tariffs Jul2018'!AI30)</f>
        <v>482.40000000000003</v>
      </c>
      <c r="F36" s="59">
        <f>IF($C$5*'Tariffs Jul2018'!AK30/'Tariffs Jul2018'!AI30&lt;'Tariffs Jul2018'!J30,0,IF($C$5*'Tariffs Jul2018'!AK30/'Tariffs Jul2018'!AI30&lt;='Tariffs Jul2018'!K30,($C$5*'Tariffs Jul2018'!AK30/'Tariffs Jul2018'!AI30-'Tariffs Jul2018'!J30)*('Tariffs Jul2018'!P30/100)*'Tariffs Jul2018'!AI30,('Tariffs Jul2018'!K30-'Tariffs Jul2018'!J30)*('Tariffs Jul2018'!P30/100)*'Tariffs Jul2018'!AI30))</f>
        <v>0</v>
      </c>
      <c r="G36" s="59">
        <f>IF($C$5*'Tariffs Jul2018'!AK30/'Tariffs Jul2018'!AI30&lt;'Tariffs Jul2018'!K30,0,IF($C$5*'Tariffs Jul2018'!AK30/'Tariffs Jul2018'!AI30&lt;='Tariffs Jul2018'!L30,($C$5*'Tariffs Jul2018'!AK30/'Tariffs Jul2018'!AI30-'Tariffs Jul2018'!K30)*('Tariffs Jul2018'!Q30/100)*'Tariffs Jul2018'!AI30,('Tariffs Jul2018'!L30-'Tariffs Jul2018'!K30)*('Tariffs Jul2018'!Q30/100)*'Tariffs Jul2018'!AI30))</f>
        <v>0</v>
      </c>
      <c r="H36" s="59">
        <f>IF($C$5*'Tariffs Jul2018'!AK30/'Tariffs Jul2018'!AI30&lt;'Tariffs Jul2018'!L30,0,IF($C$5*'Tariffs Jul2018'!AK30/'Tariffs Jul2018'!AI30&lt;='Tariffs Jul2018'!M30,($C$5*'Tariffs Jul2018'!AK30/'Tariffs Jul2018'!AI30-'Tariffs Jul2018'!L30)*('Tariffs Jul2018'!R30/100)*'Tariffs Jul2018'!AI30,('Tariffs Jul2018'!M30-'Tariffs Jul2018'!L30)*('Tariffs Jul2018'!R30/100)*'Tariffs Jul2018'!AI30))</f>
        <v>0</v>
      </c>
      <c r="I36" s="59">
        <f>IF(($C$5*'Tariffs Jul2018'!AK30/'Tariffs Jul2018'!AI30&gt;'Tariffs Jul2018'!M30),($C$5*'Tariffs Jul2018'!AK30/'Tariffs Jul2018'!AI30-'Tariffs Jul2018'!M30)*'Tariffs Jul2018'!S30/100*'Tariffs Jul2018'!AI30,0)</f>
        <v>337.5</v>
      </c>
      <c r="J36" s="59">
        <f>IF($C$5*'Tariffs Jul2018'!AL30/'Tariffs Jul2018'!AJ30&gt;='Tariffs Jul2018'!J30,('Tariffs Jul2018'!J30*'Tariffs Jul2018'!U30/100)* 'Tariffs Jul2018'!AJ30,($C$5*'Tariffs Jul2018'!AL30/'Tariffs Jul2018'!AJ30*'Tariffs Jul2018'!U30/100)* 'Tariffs Jul2018'!AJ30)</f>
        <v>482.40000000000003</v>
      </c>
      <c r="K36" s="59">
        <f>IF($C$5*'Tariffs Jul2018'!AL30/'Tariffs Jul2018'!AJ30&lt;'Tariffs Jul2018'!J30,0,IF($C$5*'Tariffs Jul2018'!AL30/'Tariffs Jul2018'!AJ30&lt;='Tariffs Jul2018'!K30,($C$5*'Tariffs Jul2018'!AL30/'Tariffs Jul2018'!AJ30-'Tariffs Jul2018'!J30)*('Tariffs Jul2018'!V30/100)*'Tariffs Jul2018'!AJ30,('Tariffs Jul2018'!K30-'Tariffs Jul2018'!J30)*('Tariffs Jul2018'!V30/100)*'Tariffs Jul2018'!AJ30))</f>
        <v>0</v>
      </c>
      <c r="L36" s="59">
        <f>IF($C$5*'Tariffs Jul2018'!AL30/'Tariffs Jul2018'!AJ30&lt;'Tariffs Jul2018'!K30,0,IF($C$5*'Tariffs Jul2018'!AL30/'Tariffs Jul2018'!AJ30&lt;='Tariffs Jul2018'!L30,($C$5*'Tariffs Jul2018'!AL30/'Tariffs Jul2018'!AJ30-'Tariffs Jul2018'!K30)*('Tariffs Jul2018'!W30/100)*'Tariffs Jul2018'!AJ30,('Tariffs Jul2018'!L30-'Tariffs Jul2018'!K30)*('Tariffs Jul2018'!W30/100)*'Tariffs Jul2018'!AJ30))</f>
        <v>0</v>
      </c>
      <c r="M36" s="59">
        <f>IF($C$5*'Tariffs Jul2018'!AL30/'Tariffs Jul2018'!AJ30&lt;'Tariffs Jul2018'!L30,0,IF($C$5*'Tariffs Jul2018'!AL30/'Tariffs Jul2018'!AJ30&lt;='Tariffs Jul2018'!M30,($C$5*'Tariffs Jul2018'!AL30/'Tariffs Jul2018'!AJ30-'Tariffs Jul2018'!L30)*('Tariffs Jul2018'!X30/100)*'Tariffs Jul2018'!AJ30,('Tariffs Jul2018'!M30-'Tariffs Jul2018'!L30)*('Tariffs Jul2018'!X30/100)*'Tariffs Jul2018'!AJ30))</f>
        <v>0</v>
      </c>
      <c r="N36" s="59">
        <f>IF(($C$5*'Tariffs Jul2018'!AL30/'Tariffs Jul2018'!AJ30&gt;'Tariffs Jul2018'!M30),($C$5*'Tariffs Jul2018'!AL30/'Tariffs Jul2018'!AJ30-'Tariffs Jul2018'!M30)*'Tariffs Jul2018'!Y30/100*'Tariffs Jul2018'!AJ30,0)</f>
        <v>337.5</v>
      </c>
      <c r="O36" s="271">
        <f>SUM(E36:N36)</f>
        <v>1639.8000000000002</v>
      </c>
      <c r="P36" s="59">
        <f>D36+O36</f>
        <v>1939.1000000000001</v>
      </c>
      <c r="Q36" s="272">
        <f>P36*1.1</f>
        <v>2133.0100000000002</v>
      </c>
      <c r="R36" s="40">
        <f>'Tariffs Jul2018'!AM30</f>
        <v>0</v>
      </c>
      <c r="S36" s="40">
        <f>'Tariffs Jul2018'!AN30</f>
        <v>0</v>
      </c>
      <c r="T36" s="40">
        <f>'Tariffs Jul2018'!AO30</f>
        <v>34</v>
      </c>
      <c r="U36" s="40">
        <f>'Tariffs Jul2018'!AP30</f>
        <v>0</v>
      </c>
      <c r="V36" s="273">
        <f>P36</f>
        <v>1939.1000000000001</v>
      </c>
      <c r="W36" s="273">
        <f>V36-(P36*T36/100)</f>
        <v>1279.806</v>
      </c>
      <c r="X36" s="272">
        <f>V36*1.1</f>
        <v>2133.0100000000002</v>
      </c>
      <c r="Y36" s="272">
        <f>W36*1.1</f>
        <v>1407.7866000000001</v>
      </c>
      <c r="Z36" s="274">
        <f>'Tariffs Jul2018'!AY30</f>
        <v>0</v>
      </c>
      <c r="AA36" s="274" t="str">
        <f>'Tariffs Jul2018'!AZ30</f>
        <v>n</v>
      </c>
      <c r="AB36" s="275" t="str">
        <f>'Tariffs Jul2018'!BG30</f>
        <v>N</v>
      </c>
      <c r="AC36" s="351"/>
      <c r="AD36" s="351"/>
      <c r="AE36" s="351"/>
      <c r="AF36" s="351"/>
      <c r="AG36" s="351"/>
      <c r="AH36" s="351"/>
      <c r="AI36" s="351"/>
      <c r="AJ36" s="351"/>
      <c r="AK36" s="351"/>
      <c r="AL36" s="351"/>
      <c r="AM36" s="351"/>
      <c r="AN36" s="351"/>
    </row>
    <row r="37" spans="1:40" ht="14" thickBot="1" x14ac:dyDescent="0.2">
      <c r="A37" s="277" t="str">
        <f>'Tariffs Jul2018'!F31</f>
        <v>Powershop</v>
      </c>
      <c r="B37" s="277" t="str">
        <f>'Tariffs Jul2018'!D31</f>
        <v>Multinet 2</v>
      </c>
      <c r="C37" s="277" t="str">
        <f>'Tariffs Jul2018'!G31</f>
        <v>Gas Saver</v>
      </c>
      <c r="D37" s="278">
        <f>365*'Tariffs Jul2018'!H31/100</f>
        <v>290.90499999999997</v>
      </c>
      <c r="E37" s="278">
        <f>((C$5*'Tariffs Jul2018'!AK31/'Tariffs Jul2018'!AI31)*('Tariffs Jul2018'!O31/100))*'Tariffs Jul2018'!AI31</f>
        <v>611.1</v>
      </c>
      <c r="F37" s="278">
        <v>0</v>
      </c>
      <c r="G37" s="278">
        <v>0</v>
      </c>
      <c r="H37" s="278">
        <v>0</v>
      </c>
      <c r="I37" s="278">
        <v>0</v>
      </c>
      <c r="J37" s="278">
        <f>((C$5*'Tariffs Jul2018'!AL31/'Tariffs Jul2018'!AJ31)*('Tariffs Jul2018'!U31/100))*'Tariffs Jul2018'!AJ31</f>
        <v>516.59999999999991</v>
      </c>
      <c r="K37" s="278">
        <v>0</v>
      </c>
      <c r="L37" s="278">
        <v>0</v>
      </c>
      <c r="M37" s="278">
        <v>0</v>
      </c>
      <c r="N37" s="278">
        <v>0</v>
      </c>
      <c r="O37" s="279">
        <f>SUM(E37:N37)</f>
        <v>1127.6999999999998</v>
      </c>
      <c r="P37" s="278">
        <f>D37+O37</f>
        <v>1418.6049999999998</v>
      </c>
      <c r="Q37" s="280">
        <f>P37*1.1</f>
        <v>1560.4654999999998</v>
      </c>
      <c r="R37" s="277">
        <f>'Tariffs Jul2018'!AM31</f>
        <v>0</v>
      </c>
      <c r="S37" s="277">
        <f>'Tariffs Jul2018'!AN31</f>
        <v>0</v>
      </c>
      <c r="T37" s="277">
        <f>'Tariffs Jul2018'!AO31</f>
        <v>5</v>
      </c>
      <c r="U37" s="277">
        <f>'Tariffs Jul2018'!AP31</f>
        <v>0</v>
      </c>
      <c r="V37" s="281">
        <f t="shared" si="6"/>
        <v>1418.6049999999998</v>
      </c>
      <c r="W37" s="281">
        <f>V37-(P37*T37/100)</f>
        <v>1347.6747499999999</v>
      </c>
      <c r="X37" s="280">
        <f>V37*1.1</f>
        <v>1560.4654999999998</v>
      </c>
      <c r="Y37" s="280">
        <f>W37*1.1</f>
        <v>1482.442225</v>
      </c>
      <c r="Z37" s="282">
        <f>'Tariffs Jul2018'!AY31</f>
        <v>0</v>
      </c>
      <c r="AA37" s="282" t="str">
        <f>'Tariffs Jul2018'!AZ31</f>
        <v>n</v>
      </c>
      <c r="AB37" s="283" t="str">
        <f>'Tariffs Jul2018'!BG31</f>
        <v>Y</v>
      </c>
      <c r="AC37" s="351"/>
      <c r="AD37" s="351"/>
      <c r="AE37" s="351"/>
      <c r="AF37" s="351"/>
      <c r="AG37" s="351"/>
      <c r="AH37" s="351"/>
      <c r="AI37" s="351"/>
      <c r="AJ37" s="351"/>
      <c r="AK37" s="351"/>
      <c r="AL37" s="351"/>
      <c r="AM37" s="351"/>
      <c r="AN37" s="351"/>
    </row>
    <row r="38" spans="1:40" ht="14" thickTop="1" x14ac:dyDescent="0.15">
      <c r="A38" s="40" t="str">
        <f>'Tariffs Jul2018'!F32</f>
        <v>AGL</v>
      </c>
      <c r="B38" s="40" t="str">
        <f>'Tariffs Jul2018'!D32</f>
        <v>Envestra North</v>
      </c>
      <c r="C38" s="40" t="str">
        <f>'Tariffs Jul2018'!G32</f>
        <v>Savers</v>
      </c>
      <c r="D38" s="59">
        <f>365*'Tariffs Jul2018'!H32/100</f>
        <v>281.05</v>
      </c>
      <c r="E38" s="59">
        <f>IF($C$5*'Tariffs Jul2018'!AK32/'Tariffs Jul2018'!AI32&gt;='Tariffs Jul2018'!J32,( 'Tariffs Jul2018'!J32*'Tariffs Jul2018'!O32/100)* 'Tariffs Jul2018'!AI32,($C$5*'Tariffs Jul2018'!AK32/'Tariffs Jul2018'!AI32*'Tariffs Jul2018'!O32/100)* 'Tariffs Jul2018'!AI32)</f>
        <v>90.146000000000001</v>
      </c>
      <c r="F38" s="59">
        <f>IF($C$5*'Tariffs Jul2018'!AK32/'Tariffs Jul2018'!AI32&lt;'Tariffs Jul2018'!J32,0,IF($C$5*'Tariffs Jul2018'!AK32/'Tariffs Jul2018'!AI32&lt;='Tariffs Jul2018'!K32,($C$5*'Tariffs Jul2018'!AK32/'Tariffs Jul2018'!AI32-'Tariffs Jul2018'!J32)*('Tariffs Jul2018'!P32/100)*'Tariffs Jul2018'!AI32,('Tariffs Jul2018'!K32-'Tariffs Jul2018'!J32)*('Tariffs Jul2018'!P32/100)*'Tariffs Jul2018'!AI32))</f>
        <v>67.478999999999999</v>
      </c>
      <c r="G38" s="59">
        <f>IF($C$5*'Tariffs Jul2018'!AK32/'Tariffs Jul2018'!AI32&lt;'Tariffs Jul2018'!K32,0,IF($C$5*'Tariffs Jul2018'!AK32/'Tariffs Jul2018'!AI32&lt;='Tariffs Jul2018'!L32,($C$5*'Tariffs Jul2018'!AK32/'Tariffs Jul2018'!AI32-'Tariffs Jul2018'!K32)*('Tariffs Jul2018'!Q32/100)*'Tariffs Jul2018'!AI32,('Tariffs Jul2018'!L32-'Tariffs Jul2018'!K32)*('Tariffs Jul2018'!Q32/100)*'Tariffs Jul2018'!AI32))</f>
        <v>0</v>
      </c>
      <c r="H38" s="59">
        <f>IF($C$5*'Tariffs Jul2018'!AK32/'Tariffs Jul2018'!AI32&lt;'Tariffs Jul2018'!L32,0,IF($C$5*'Tariffs Jul2018'!AK32/'Tariffs Jul2018'!AI32&lt;='Tariffs Jul2018'!M32,($C$5*'Tariffs Jul2018'!AK32/'Tariffs Jul2018'!AI32-'Tariffs Jul2018'!L32)*('Tariffs Jul2018'!R32/100)*'Tariffs Jul2018'!AI32,('Tariffs Jul2018'!M32-'Tariffs Jul2018'!L32)*('Tariffs Jul2018'!R32/100)*'Tariffs Jul2018'!AI32))</f>
        <v>0</v>
      </c>
      <c r="I38" s="59">
        <f>IF(($C$5*'Tariffs Jul2018'!AK32/'Tariffs Jul2018'!AI32&gt;'Tariffs Jul2018'!M32),($C$5*'Tariffs Jul2018'!AK32/'Tariffs Jul2018'!AI32-'Tariffs Jul2018'!M32)*'Tariffs Jul2018'!S32/100*'Tariffs Jul2018'!AI32,0)</f>
        <v>311.95632000000001</v>
      </c>
      <c r="J38" s="59">
        <f>IF($C$5*'Tariffs Jul2018'!AL32/'Tariffs Jul2018'!AJ32&gt;='Tariffs Jul2018'!J32,('Tariffs Jul2018'!J32*'Tariffs Jul2018'!U32/100)* 'Tariffs Jul2018'!AJ32,($C$5*'Tariffs Jul2018'!AL32/'Tariffs Jul2018'!AJ32*'Tariffs Jul2018'!U32/100)* 'Tariffs Jul2018'!AJ32)</f>
        <v>180.292</v>
      </c>
      <c r="K38" s="59">
        <f>IF($C$5*'Tariffs Jul2018'!AL32/'Tariffs Jul2018'!AJ32&lt;'Tariffs Jul2018'!J32,0,IF($C$5*'Tariffs Jul2018'!AL32/'Tariffs Jul2018'!AJ32&lt;='Tariffs Jul2018'!K32,($C$5*'Tariffs Jul2018'!AL32/'Tariffs Jul2018'!AJ32-'Tariffs Jul2018'!J32)*('Tariffs Jul2018'!V32/100)*'Tariffs Jul2018'!AJ32,('Tariffs Jul2018'!K32-'Tariffs Jul2018'!J32)*('Tariffs Jul2018'!V32/100)*'Tariffs Jul2018'!AJ32))</f>
        <v>134.958</v>
      </c>
      <c r="L38" s="59">
        <f>IF($C$5*'Tariffs Jul2018'!AL32/'Tariffs Jul2018'!AJ32&lt;'Tariffs Jul2018'!K32,0,IF($C$5*'Tariffs Jul2018'!AL32/'Tariffs Jul2018'!AJ32&lt;='Tariffs Jul2018'!L32,($C$5*'Tariffs Jul2018'!AL32/'Tariffs Jul2018'!AJ32-'Tariffs Jul2018'!K32)*('Tariffs Jul2018'!W32/100)*'Tariffs Jul2018'!AJ32,('Tariffs Jul2018'!L32-'Tariffs Jul2018'!K32)*('Tariffs Jul2018'!W32/100)*'Tariffs Jul2018'!AJ32))</f>
        <v>0</v>
      </c>
      <c r="M38" s="59">
        <f>IF($C$5*'Tariffs Jul2018'!AL32/'Tariffs Jul2018'!AJ32&lt;'Tariffs Jul2018'!L32,0,IF($C$5*'Tariffs Jul2018'!AL32/'Tariffs Jul2018'!AJ32&lt;='Tariffs Jul2018'!M32,($C$5*'Tariffs Jul2018'!AL32/'Tariffs Jul2018'!AJ32-'Tariffs Jul2018'!L32)*('Tariffs Jul2018'!X32/100)*'Tariffs Jul2018'!AJ32,('Tariffs Jul2018'!M32-'Tariffs Jul2018'!L32)*('Tariffs Jul2018'!X32/100)*'Tariffs Jul2018'!AJ32))</f>
        <v>0</v>
      </c>
      <c r="N38" s="59">
        <f>IF(($C$5*'Tariffs Jul2018'!AL32/'Tariffs Jul2018'!AJ32&gt;'Tariffs Jul2018'!M32),($C$5*'Tariffs Jul2018'!AL32/'Tariffs Jul2018'!AJ32-'Tariffs Jul2018'!M32)*'Tariffs Jul2018'!Y32/100*'Tariffs Jul2018'!AJ32,0)</f>
        <v>623.91264000000001</v>
      </c>
      <c r="O38" s="271">
        <f t="shared" si="0"/>
        <v>1408.74396</v>
      </c>
      <c r="P38" s="59">
        <f t="shared" si="1"/>
        <v>1689.79396</v>
      </c>
      <c r="Q38" s="272">
        <f t="shared" si="2"/>
        <v>1858.7733560000001</v>
      </c>
      <c r="R38" s="40">
        <f>'Tariffs Jul2018'!AM32</f>
        <v>0</v>
      </c>
      <c r="S38" s="40">
        <f>'Tariffs Jul2018'!AN32</f>
        <v>0</v>
      </c>
      <c r="T38" s="40">
        <f>'Tariffs Jul2018'!AO32</f>
        <v>0</v>
      </c>
      <c r="U38" s="40">
        <f>'Tariffs Jul2018'!AP32</f>
        <v>26</v>
      </c>
      <c r="V38" s="273">
        <f>P38</f>
        <v>1689.79396</v>
      </c>
      <c r="W38" s="273">
        <f>V38-(O38*U38/100)</f>
        <v>1323.5205303999999</v>
      </c>
      <c r="X38" s="272">
        <f t="shared" si="4"/>
        <v>1858.7733560000001</v>
      </c>
      <c r="Y38" s="272">
        <f t="shared" si="4"/>
        <v>1455.87258344</v>
      </c>
      <c r="Z38" s="274">
        <f>'Tariffs Jul2018'!AY32</f>
        <v>0</v>
      </c>
      <c r="AA38" s="274" t="str">
        <f>'Tariffs Jul2018'!AZ32</f>
        <v>n</v>
      </c>
      <c r="AB38" s="275" t="str">
        <f>'Tariffs Jul2018'!BG32</f>
        <v>N</v>
      </c>
      <c r="AC38" s="351"/>
      <c r="AD38" s="351"/>
      <c r="AE38" s="351"/>
      <c r="AF38" s="351"/>
      <c r="AG38" s="351"/>
      <c r="AH38" s="351"/>
      <c r="AI38" s="351"/>
      <c r="AJ38" s="351"/>
      <c r="AK38" s="351"/>
      <c r="AL38" s="351"/>
      <c r="AM38" s="351"/>
      <c r="AN38" s="351"/>
    </row>
    <row r="39" spans="1:40" x14ac:dyDescent="0.15">
      <c r="A39" s="40" t="str">
        <f>'Tariffs Jul2018'!F33</f>
        <v>Alinta Energy</v>
      </c>
      <c r="B39" s="40" t="str">
        <f>'Tariffs Jul2018'!D33</f>
        <v>Envestra North</v>
      </c>
      <c r="C39" s="40" t="str">
        <f>'Tariffs Jul2018'!G33</f>
        <v>Fair Deal</v>
      </c>
      <c r="D39" s="59">
        <f>365*'Tariffs Jul2018'!H33/100</f>
        <v>247.178</v>
      </c>
      <c r="E39" s="59">
        <f>IF($C$5*'Tariffs Jul2018'!AK33/'Tariffs Jul2018'!AI33&gt;='Tariffs Jul2018'!J33,( 'Tariffs Jul2018'!J33*'Tariffs Jul2018'!O33/100)* 'Tariffs Jul2018'!AI33,($C$5*'Tariffs Jul2018'!AK33/'Tariffs Jul2018'!AI33*'Tariffs Jul2018'!O33/100)* 'Tariffs Jul2018'!AI33)</f>
        <v>74.025000000000006</v>
      </c>
      <c r="F39" s="59">
        <f>IF($C$5*'Tariffs Jul2018'!AK33/'Tariffs Jul2018'!AI33&lt;'Tariffs Jul2018'!J33,0,IF($C$5*'Tariffs Jul2018'!AK33/'Tariffs Jul2018'!AI33&lt;='Tariffs Jul2018'!K33,($C$5*'Tariffs Jul2018'!AK33/'Tariffs Jul2018'!AI33-'Tariffs Jul2018'!J33)*('Tariffs Jul2018'!P33/100)*'Tariffs Jul2018'!AI33,('Tariffs Jul2018'!K33-'Tariffs Jul2018'!J33)*('Tariffs Jul2018'!P33/100)*'Tariffs Jul2018'!AI33))</f>
        <v>60.974999999999994</v>
      </c>
      <c r="G39" s="59">
        <f>IF($C$5*'Tariffs Jul2018'!AK33/'Tariffs Jul2018'!AI33&lt;'Tariffs Jul2018'!K33,0,IF($C$5*'Tariffs Jul2018'!AK33/'Tariffs Jul2018'!AI33&lt;='Tariffs Jul2018'!L33,($C$5*'Tariffs Jul2018'!AK33/'Tariffs Jul2018'!AI33-'Tariffs Jul2018'!K33)*('Tariffs Jul2018'!Q33/100)*'Tariffs Jul2018'!AI33,('Tariffs Jul2018'!L33-'Tariffs Jul2018'!K33)*('Tariffs Jul2018'!Q33/100)*'Tariffs Jul2018'!AI33))</f>
        <v>0</v>
      </c>
      <c r="H39" s="59">
        <f>IF($C$5*'Tariffs Jul2018'!AK33/'Tariffs Jul2018'!AI33&lt;'Tariffs Jul2018'!L33,0,IF($C$5*'Tariffs Jul2018'!AK33/'Tariffs Jul2018'!AI33&lt;='Tariffs Jul2018'!M33,($C$5*'Tariffs Jul2018'!AK33/'Tariffs Jul2018'!AI33-'Tariffs Jul2018'!L33)*('Tariffs Jul2018'!R33/100)*'Tariffs Jul2018'!AI33,('Tariffs Jul2018'!M33-'Tariffs Jul2018'!L33)*('Tariffs Jul2018'!R33/100)*'Tariffs Jul2018'!AI33))</f>
        <v>0</v>
      </c>
      <c r="I39" s="59">
        <f>IF(($C$5*'Tariffs Jul2018'!AK33/'Tariffs Jul2018'!AI33&gt;'Tariffs Jul2018'!M33),($C$5*'Tariffs Jul2018'!AK33/'Tariffs Jul2018'!AI33-'Tariffs Jul2018'!M33)*'Tariffs Jul2018'!S33/100*'Tariffs Jul2018'!AI33,0)</f>
        <v>299.95799999999997</v>
      </c>
      <c r="J39" s="59">
        <f>IF($C$5*'Tariffs Jul2018'!AL33/'Tariffs Jul2018'!AJ33&gt;='Tariffs Jul2018'!J33,('Tariffs Jul2018'!J33*'Tariffs Jul2018'!U33/100)* 'Tariffs Jul2018'!AJ33,($C$5*'Tariffs Jul2018'!AL33/'Tariffs Jul2018'!AJ33*'Tariffs Jul2018'!U33/100)* 'Tariffs Jul2018'!AJ33)</f>
        <v>148.05000000000001</v>
      </c>
      <c r="K39" s="59">
        <f>IF($C$5*'Tariffs Jul2018'!AL33/'Tariffs Jul2018'!AJ33&lt;'Tariffs Jul2018'!J33,0,IF($C$5*'Tariffs Jul2018'!AL33/'Tariffs Jul2018'!AJ33&lt;='Tariffs Jul2018'!K33,($C$5*'Tariffs Jul2018'!AL33/'Tariffs Jul2018'!AJ33-'Tariffs Jul2018'!J33)*('Tariffs Jul2018'!V33/100)*'Tariffs Jul2018'!AJ33,('Tariffs Jul2018'!K33-'Tariffs Jul2018'!J33)*('Tariffs Jul2018'!V33/100)*'Tariffs Jul2018'!AJ33))</f>
        <v>121.94999999999999</v>
      </c>
      <c r="L39" s="59">
        <f>IF($C$5*'Tariffs Jul2018'!AL33/'Tariffs Jul2018'!AJ33&lt;'Tariffs Jul2018'!K33,0,IF($C$5*'Tariffs Jul2018'!AL33/'Tariffs Jul2018'!AJ33&lt;='Tariffs Jul2018'!L33,($C$5*'Tariffs Jul2018'!AL33/'Tariffs Jul2018'!AJ33-'Tariffs Jul2018'!K33)*('Tariffs Jul2018'!W33/100)*'Tariffs Jul2018'!AJ33,('Tariffs Jul2018'!L33-'Tariffs Jul2018'!K33)*('Tariffs Jul2018'!W33/100)*'Tariffs Jul2018'!AJ33))</f>
        <v>0</v>
      </c>
      <c r="M39" s="59">
        <f>IF($C$5*'Tariffs Jul2018'!AL33/'Tariffs Jul2018'!AJ33&lt;'Tariffs Jul2018'!L33,0,IF($C$5*'Tariffs Jul2018'!AL33/'Tariffs Jul2018'!AJ33&lt;='Tariffs Jul2018'!M33,($C$5*'Tariffs Jul2018'!AL33/'Tariffs Jul2018'!AJ33-'Tariffs Jul2018'!L33)*('Tariffs Jul2018'!X33/100)*'Tariffs Jul2018'!AJ33,('Tariffs Jul2018'!M33-'Tariffs Jul2018'!L33)*('Tariffs Jul2018'!X33/100)*'Tariffs Jul2018'!AJ33))</f>
        <v>0</v>
      </c>
      <c r="N39" s="59">
        <f>IF(($C$5*'Tariffs Jul2018'!AL33/'Tariffs Jul2018'!AJ33&gt;'Tariffs Jul2018'!M33),($C$5*'Tariffs Jul2018'!AL33/'Tariffs Jul2018'!AJ33-'Tariffs Jul2018'!M33)*'Tariffs Jul2018'!Y33/100*'Tariffs Jul2018'!AJ33,0)</f>
        <v>599.91599999999994</v>
      </c>
      <c r="O39" s="271">
        <f t="shared" si="0"/>
        <v>1304.874</v>
      </c>
      <c r="P39" s="59">
        <f t="shared" si="1"/>
        <v>1552.0520000000001</v>
      </c>
      <c r="Q39" s="272">
        <f t="shared" si="2"/>
        <v>1707.2572000000002</v>
      </c>
      <c r="R39" s="40">
        <f>'Tariffs Jul2018'!AM33</f>
        <v>0</v>
      </c>
      <c r="S39" s="40">
        <f>'Tariffs Jul2018'!AN33</f>
        <v>0</v>
      </c>
      <c r="T39" s="40">
        <f>'Tariffs Jul2018'!AO33</f>
        <v>0</v>
      </c>
      <c r="U39" s="40">
        <f>'Tariffs Jul2018'!AP33</f>
        <v>25</v>
      </c>
      <c r="V39" s="273">
        <f>P39</f>
        <v>1552.0520000000001</v>
      </c>
      <c r="W39" s="273">
        <f>V39-(O39*U39/100)</f>
        <v>1225.8335000000002</v>
      </c>
      <c r="X39" s="272">
        <f t="shared" si="4"/>
        <v>1707.2572000000002</v>
      </c>
      <c r="Y39" s="272">
        <f t="shared" si="4"/>
        <v>1348.4168500000003</v>
      </c>
      <c r="Z39" s="274">
        <f>'Tariffs Jul2018'!AY33</f>
        <v>0</v>
      </c>
      <c r="AA39" s="274" t="str">
        <f>'Tariffs Jul2018'!AZ33</f>
        <v>n</v>
      </c>
      <c r="AB39" s="275" t="str">
        <f>'Tariffs Jul2018'!BG33</f>
        <v>Y</v>
      </c>
      <c r="AC39" s="351"/>
      <c r="AD39" s="351"/>
      <c r="AE39" s="351"/>
      <c r="AF39" s="351"/>
      <c r="AG39" s="351"/>
      <c r="AH39" s="351"/>
      <c r="AI39" s="351"/>
      <c r="AJ39" s="351"/>
      <c r="AK39" s="351"/>
      <c r="AL39" s="351"/>
      <c r="AM39" s="351"/>
      <c r="AN39" s="351"/>
    </row>
    <row r="40" spans="1:40" x14ac:dyDescent="0.15">
      <c r="A40" s="40" t="str">
        <f>'Tariffs Jul2018'!F34</f>
        <v>Click Energy</v>
      </c>
      <c r="B40" s="40" t="str">
        <f>'Tariffs Jul2018'!D34</f>
        <v>Envestra North</v>
      </c>
      <c r="C40" s="40" t="str">
        <f>'Tariffs Jul2018'!G34</f>
        <v>Lilac</v>
      </c>
      <c r="D40" s="59">
        <f>365*'Tariffs Jul2018'!H34/100</f>
        <v>292.73</v>
      </c>
      <c r="E40" s="59">
        <f>IF($C$5*'Tariffs Jul2018'!AK34/'Tariffs Jul2018'!AI34&gt;='Tariffs Jul2018'!J34,( 'Tariffs Jul2018'!J34*'Tariffs Jul2018'!O34/100)* 'Tariffs Jul2018'!AI34,($C$5*'Tariffs Jul2018'!AK34/'Tariffs Jul2018'!AI34*'Tariffs Jul2018'!O34/100)* 'Tariffs Jul2018'!AI34)</f>
        <v>123.375</v>
      </c>
      <c r="F40" s="59">
        <f>IF($C$5*'Tariffs Jul2018'!AK34/'Tariffs Jul2018'!AI34&lt;'Tariffs Jul2018'!J34,0,IF($C$5*'Tariffs Jul2018'!AK34/'Tariffs Jul2018'!AI34&lt;='Tariffs Jul2018'!K34,($C$5*'Tariffs Jul2018'!AK34/'Tariffs Jul2018'!AI34-'Tariffs Jul2018'!J34)*('Tariffs Jul2018'!P34/100)*'Tariffs Jul2018'!AI34,('Tariffs Jul2018'!K34-'Tariffs Jul2018'!J34)*('Tariffs Jul2018'!P34/100)*'Tariffs Jul2018'!AI34))</f>
        <v>86.72</v>
      </c>
      <c r="G40" s="59">
        <f>IF($C$5*'Tariffs Jul2018'!AK34/'Tariffs Jul2018'!AI34&lt;'Tariffs Jul2018'!K34,0,IF($C$5*'Tariffs Jul2018'!AK34/'Tariffs Jul2018'!AI34&lt;='Tariffs Jul2018'!L34,($C$5*'Tariffs Jul2018'!AK34/'Tariffs Jul2018'!AI34-'Tariffs Jul2018'!K34)*('Tariffs Jul2018'!Q34/100)*'Tariffs Jul2018'!AI34,('Tariffs Jul2018'!L34-'Tariffs Jul2018'!K34)*('Tariffs Jul2018'!Q34/100)*'Tariffs Jul2018'!AI34))</f>
        <v>0</v>
      </c>
      <c r="H40" s="59">
        <f>IF($C$5*'Tariffs Jul2018'!AK34/'Tariffs Jul2018'!AI34&lt;'Tariffs Jul2018'!L34,0,IF($C$5*'Tariffs Jul2018'!AK34/'Tariffs Jul2018'!AI34&lt;='Tariffs Jul2018'!M34,($C$5*'Tariffs Jul2018'!AK34/'Tariffs Jul2018'!AI34-'Tariffs Jul2018'!L34)*('Tariffs Jul2018'!R34/100)*'Tariffs Jul2018'!AI34,('Tariffs Jul2018'!M34-'Tariffs Jul2018'!L34)*('Tariffs Jul2018'!R34/100)*'Tariffs Jul2018'!AI34))</f>
        <v>0</v>
      </c>
      <c r="I40" s="59">
        <f>IF(($C$5*'Tariffs Jul2018'!AK34/'Tariffs Jul2018'!AI34&gt;'Tariffs Jul2018'!M34),($C$5*'Tariffs Jul2018'!AK34/'Tariffs Jul2018'!AI34-'Tariffs Jul2018'!M34)*'Tariffs Jul2018'!S34/100*'Tariffs Jul2018'!AI34,0)</f>
        <v>419.94119999999987</v>
      </c>
      <c r="J40" s="59">
        <f>IF($C$5*'Tariffs Jul2018'!AL34/'Tariffs Jul2018'!AJ34&gt;='Tariffs Jul2018'!J34,('Tariffs Jul2018'!J34*'Tariffs Jul2018'!U34/100)* 'Tariffs Jul2018'!AJ34,($C$5*'Tariffs Jul2018'!AL34/'Tariffs Jul2018'!AJ34*'Tariffs Jul2018'!U34/100)* 'Tariffs Jul2018'!AJ34)</f>
        <v>246.75</v>
      </c>
      <c r="K40" s="59">
        <f>IF($C$5*'Tariffs Jul2018'!AL34/'Tariffs Jul2018'!AJ34&lt;'Tariffs Jul2018'!J34,0,IF($C$5*'Tariffs Jul2018'!AL34/'Tariffs Jul2018'!AJ34&lt;='Tariffs Jul2018'!K34,($C$5*'Tariffs Jul2018'!AL34/'Tariffs Jul2018'!AJ34-'Tariffs Jul2018'!J34)*('Tariffs Jul2018'!V34/100)*'Tariffs Jul2018'!AJ34,('Tariffs Jul2018'!K34-'Tariffs Jul2018'!J34)*('Tariffs Jul2018'!V34/100)*'Tariffs Jul2018'!AJ34))</f>
        <v>173.44</v>
      </c>
      <c r="L40" s="59">
        <f>IF($C$5*'Tariffs Jul2018'!AL34/'Tariffs Jul2018'!AJ34&lt;'Tariffs Jul2018'!K34,0,IF($C$5*'Tariffs Jul2018'!AL34/'Tariffs Jul2018'!AJ34&lt;='Tariffs Jul2018'!L34,($C$5*'Tariffs Jul2018'!AL34/'Tariffs Jul2018'!AJ34-'Tariffs Jul2018'!K34)*('Tariffs Jul2018'!W34/100)*'Tariffs Jul2018'!AJ34,('Tariffs Jul2018'!L34-'Tariffs Jul2018'!K34)*('Tariffs Jul2018'!W34/100)*'Tariffs Jul2018'!AJ34))</f>
        <v>0</v>
      </c>
      <c r="M40" s="59">
        <f>IF($C$5*'Tariffs Jul2018'!AL34/'Tariffs Jul2018'!AJ34&lt;'Tariffs Jul2018'!L34,0,IF($C$5*'Tariffs Jul2018'!AL34/'Tariffs Jul2018'!AJ34&lt;='Tariffs Jul2018'!M34,($C$5*'Tariffs Jul2018'!AL34/'Tariffs Jul2018'!AJ34-'Tariffs Jul2018'!L34)*('Tariffs Jul2018'!X34/100)*'Tariffs Jul2018'!AJ34,('Tariffs Jul2018'!M34-'Tariffs Jul2018'!L34)*('Tariffs Jul2018'!X34/100)*'Tariffs Jul2018'!AJ34))</f>
        <v>0</v>
      </c>
      <c r="N40" s="59">
        <f>IF(($C$5*'Tariffs Jul2018'!AL34/'Tariffs Jul2018'!AJ34&gt;'Tariffs Jul2018'!M34),($C$5*'Tariffs Jul2018'!AL34/'Tariffs Jul2018'!AJ34-'Tariffs Jul2018'!M34)*'Tariffs Jul2018'!Y34/100*'Tariffs Jul2018'!AJ34,0)</f>
        <v>839.88239999999973</v>
      </c>
      <c r="O40" s="271">
        <f t="shared" si="0"/>
        <v>1890.1085999999996</v>
      </c>
      <c r="P40" s="59">
        <f t="shared" si="1"/>
        <v>2182.8385999999996</v>
      </c>
      <c r="Q40" s="272">
        <f t="shared" si="2"/>
        <v>2401.1224599999996</v>
      </c>
      <c r="R40" s="40">
        <f>'Tariffs Jul2018'!AM34</f>
        <v>0</v>
      </c>
      <c r="S40" s="40">
        <f>'Tariffs Jul2018'!AN34</f>
        <v>0</v>
      </c>
      <c r="T40" s="40">
        <f>'Tariffs Jul2018'!AO34</f>
        <v>26</v>
      </c>
      <c r="U40" s="40">
        <f>'Tariffs Jul2018'!AP34</f>
        <v>0</v>
      </c>
      <c r="V40" s="273">
        <f>P40</f>
        <v>2182.8385999999996</v>
      </c>
      <c r="W40" s="273">
        <f>V40-(P40*T40/100)</f>
        <v>1615.3005639999997</v>
      </c>
      <c r="X40" s="272">
        <f t="shared" si="4"/>
        <v>2401.1224599999996</v>
      </c>
      <c r="Y40" s="272">
        <f t="shared" si="4"/>
        <v>1776.8306203999998</v>
      </c>
      <c r="Z40" s="274">
        <f>'Tariffs Jul2018'!AY34</f>
        <v>0</v>
      </c>
      <c r="AA40" s="274" t="str">
        <f>'Tariffs Jul2018'!AZ34</f>
        <v>n</v>
      </c>
      <c r="AB40" s="275" t="str">
        <f>'Tariffs Jul2018'!BG34</f>
        <v>N</v>
      </c>
      <c r="AC40" s="351"/>
      <c r="AD40" s="351"/>
      <c r="AE40" s="351"/>
      <c r="AF40" s="351"/>
      <c r="AG40" s="351"/>
      <c r="AH40" s="351"/>
      <c r="AI40" s="351"/>
      <c r="AJ40" s="351"/>
      <c r="AK40" s="351"/>
      <c r="AL40" s="351"/>
      <c r="AM40" s="351"/>
      <c r="AN40" s="351"/>
    </row>
    <row r="41" spans="1:40" x14ac:dyDescent="0.15">
      <c r="A41" s="40" t="str">
        <f>'Tariffs Jul2018'!F35</f>
        <v>Covau</v>
      </c>
      <c r="B41" s="40" t="str">
        <f>'Tariffs Jul2018'!D35</f>
        <v>Envestra North</v>
      </c>
      <c r="C41" s="40" t="str">
        <f>'Tariffs Jul2018'!G35</f>
        <v>Smart Saver</v>
      </c>
      <c r="D41" s="59">
        <f>365*'Tariffs Jul2018'!H35/100</f>
        <v>273.75</v>
      </c>
      <c r="E41" s="59">
        <f>IF($C$5*'Tariffs Jul2018'!AK35/'Tariffs Jul2018'!AI35&gt;='Tariffs Jul2018'!J35,( 'Tariffs Jul2018'!J35*'Tariffs Jul2018'!O35/100)* 'Tariffs Jul2018'!AI35,($C$5*'Tariffs Jul2018'!AK35/'Tariffs Jul2018'!AI35*'Tariffs Jul2018'!O35/100)* 'Tariffs Jul2018'!AI35)</f>
        <v>93.765000000000001</v>
      </c>
      <c r="F41" s="59">
        <f>IF($C$5*'Tariffs Jul2018'!AK35/'Tariffs Jul2018'!AI35&lt;'Tariffs Jul2018'!J35,0,IF($C$5*'Tariffs Jul2018'!AK35/'Tariffs Jul2018'!AI35&lt;='Tariffs Jul2018'!K35,($C$5*'Tariffs Jul2018'!AK35/'Tariffs Jul2018'!AI35-'Tariffs Jul2018'!J35)*('Tariffs Jul2018'!P35/100)*'Tariffs Jul2018'!AI35,('Tariffs Jul2018'!K35-'Tariffs Jul2018'!J35)*('Tariffs Jul2018'!P35/100)*'Tariffs Jul2018'!AI35))</f>
        <v>70.460000000000008</v>
      </c>
      <c r="G41" s="59">
        <f>IF($C$5*'Tariffs Jul2018'!AK35/'Tariffs Jul2018'!AI35&lt;'Tariffs Jul2018'!K35,0,IF($C$5*'Tariffs Jul2018'!AK35/'Tariffs Jul2018'!AI35&lt;='Tariffs Jul2018'!L35,($C$5*'Tariffs Jul2018'!AK35/'Tariffs Jul2018'!AI35-'Tariffs Jul2018'!K35)*('Tariffs Jul2018'!Q35/100)*'Tariffs Jul2018'!AI35,('Tariffs Jul2018'!L35-'Tariffs Jul2018'!K35)*('Tariffs Jul2018'!Q35/100)*'Tariffs Jul2018'!AI35))</f>
        <v>0</v>
      </c>
      <c r="H41" s="59">
        <f>IF($C$5*'Tariffs Jul2018'!AK35/'Tariffs Jul2018'!AI35&lt;'Tariffs Jul2018'!L35,0,IF($C$5*'Tariffs Jul2018'!AK35/'Tariffs Jul2018'!AI35&lt;='Tariffs Jul2018'!M35,($C$5*'Tariffs Jul2018'!AK35/'Tariffs Jul2018'!AI35-'Tariffs Jul2018'!L35)*('Tariffs Jul2018'!R35/100)*'Tariffs Jul2018'!AI35,('Tariffs Jul2018'!M35-'Tariffs Jul2018'!L35)*('Tariffs Jul2018'!R35/100)*'Tariffs Jul2018'!AI35))</f>
        <v>0</v>
      </c>
      <c r="I41" s="59">
        <f>IF(($C$5*'Tariffs Jul2018'!AK35/'Tariffs Jul2018'!AI35&gt;'Tariffs Jul2018'!M35),($C$5*'Tariffs Jul2018'!AK35/'Tariffs Jul2018'!AI35-'Tariffs Jul2018'!M35)*'Tariffs Jul2018'!S35/100*'Tariffs Jul2018'!AI35,0)</f>
        <v>322.45484999999991</v>
      </c>
      <c r="J41" s="59">
        <f>IF($C$5*'Tariffs Jul2018'!AL35/'Tariffs Jul2018'!AJ35&gt;='Tariffs Jul2018'!J35,('Tariffs Jul2018'!J35*'Tariffs Jul2018'!U35/100)* 'Tariffs Jul2018'!AJ35,($C$5*'Tariffs Jul2018'!AL35/'Tariffs Jul2018'!AJ35*'Tariffs Jul2018'!U35/100)* 'Tariffs Jul2018'!AJ35)</f>
        <v>187.53</v>
      </c>
      <c r="K41" s="59">
        <f>IF($C$5*'Tariffs Jul2018'!AL35/'Tariffs Jul2018'!AJ35&lt;'Tariffs Jul2018'!J35,0,IF($C$5*'Tariffs Jul2018'!AL35/'Tariffs Jul2018'!AJ35&lt;='Tariffs Jul2018'!K35,($C$5*'Tariffs Jul2018'!AL35/'Tariffs Jul2018'!AJ35-'Tariffs Jul2018'!J35)*('Tariffs Jul2018'!V35/100)*'Tariffs Jul2018'!AJ35,('Tariffs Jul2018'!K35-'Tariffs Jul2018'!J35)*('Tariffs Jul2018'!V35/100)*'Tariffs Jul2018'!AJ35))</f>
        <v>140.92000000000002</v>
      </c>
      <c r="L41" s="59">
        <f>IF($C$5*'Tariffs Jul2018'!AL35/'Tariffs Jul2018'!AJ35&lt;'Tariffs Jul2018'!K35,0,IF($C$5*'Tariffs Jul2018'!AL35/'Tariffs Jul2018'!AJ35&lt;='Tariffs Jul2018'!L35,($C$5*'Tariffs Jul2018'!AL35/'Tariffs Jul2018'!AJ35-'Tariffs Jul2018'!K35)*('Tariffs Jul2018'!W35/100)*'Tariffs Jul2018'!AJ35,('Tariffs Jul2018'!L35-'Tariffs Jul2018'!K35)*('Tariffs Jul2018'!W35/100)*'Tariffs Jul2018'!AJ35))</f>
        <v>0</v>
      </c>
      <c r="M41" s="59">
        <f>IF($C$5*'Tariffs Jul2018'!AL35/'Tariffs Jul2018'!AJ35&lt;'Tariffs Jul2018'!L35,0,IF($C$5*'Tariffs Jul2018'!AL35/'Tariffs Jul2018'!AJ35&lt;='Tariffs Jul2018'!M35,($C$5*'Tariffs Jul2018'!AL35/'Tariffs Jul2018'!AJ35-'Tariffs Jul2018'!L35)*('Tariffs Jul2018'!X35/100)*'Tariffs Jul2018'!AJ35,('Tariffs Jul2018'!M35-'Tariffs Jul2018'!L35)*('Tariffs Jul2018'!X35/100)*'Tariffs Jul2018'!AJ35))</f>
        <v>0</v>
      </c>
      <c r="N41" s="59">
        <f>IF(($C$5*'Tariffs Jul2018'!AL35/'Tariffs Jul2018'!AJ35&gt;'Tariffs Jul2018'!M35),($C$5*'Tariffs Jul2018'!AL35/'Tariffs Jul2018'!AJ35-'Tariffs Jul2018'!M35)*'Tariffs Jul2018'!Y35/100*'Tariffs Jul2018'!AJ35,0)</f>
        <v>644.90969999999982</v>
      </c>
      <c r="O41" s="271">
        <f t="shared" si="0"/>
        <v>1460.03955</v>
      </c>
      <c r="P41" s="59">
        <f t="shared" si="1"/>
        <v>1733.78955</v>
      </c>
      <c r="Q41" s="272">
        <f t="shared" si="2"/>
        <v>1907.1685050000001</v>
      </c>
      <c r="R41" s="40">
        <f>'Tariffs Jul2018'!AM35</f>
        <v>0</v>
      </c>
      <c r="S41" s="40">
        <f>'Tariffs Jul2018'!AN35</f>
        <v>0</v>
      </c>
      <c r="T41" s="40">
        <f>'Tariffs Jul2018'!AO35</f>
        <v>0</v>
      </c>
      <c r="U41" s="40">
        <f>'Tariffs Jul2018'!AP35</f>
        <v>16</v>
      </c>
      <c r="V41" s="273">
        <f>P41</f>
        <v>1733.78955</v>
      </c>
      <c r="W41" s="273">
        <f>V41-(O41*U41/100)</f>
        <v>1500.1832219999999</v>
      </c>
      <c r="X41" s="272">
        <f t="shared" si="4"/>
        <v>1907.1685050000001</v>
      </c>
      <c r="Y41" s="272">
        <f t="shared" si="4"/>
        <v>1650.2015441999999</v>
      </c>
      <c r="Z41" s="274">
        <f>'Tariffs Jul2018'!AY35</f>
        <v>12</v>
      </c>
      <c r="AA41" s="274" t="str">
        <f>'Tariffs Jul2018'!AZ35</f>
        <v>n</v>
      </c>
      <c r="AB41" s="275" t="str">
        <f>'Tariffs Jul2018'!BG35</f>
        <v>N</v>
      </c>
      <c r="AC41" s="351"/>
      <c r="AD41" s="351"/>
      <c r="AE41" s="351"/>
      <c r="AF41" s="351"/>
      <c r="AG41" s="351"/>
      <c r="AH41" s="351"/>
      <c r="AI41" s="351"/>
      <c r="AJ41" s="351"/>
      <c r="AK41" s="351"/>
      <c r="AL41" s="351"/>
      <c r="AM41" s="351"/>
      <c r="AN41" s="351"/>
    </row>
    <row r="42" spans="1:40" x14ac:dyDescent="0.15">
      <c r="A42" s="40" t="str">
        <f>'Tariffs Jul2018'!F36</f>
        <v>Dodo Power &amp; Gas</v>
      </c>
      <c r="B42" s="40" t="str">
        <f>'Tariffs Jul2018'!D36</f>
        <v>Envestra North</v>
      </c>
      <c r="C42" s="40" t="str">
        <f>'Tariffs Jul2018'!G36</f>
        <v>Market offer</v>
      </c>
      <c r="D42" s="59">
        <f>365*'Tariffs Jul2018'!H36/100</f>
        <v>296.92749999999995</v>
      </c>
      <c r="E42" s="59">
        <f>IF($C$5*'Tariffs Jul2018'!AK36/'Tariffs Jul2018'!AI36&gt;='Tariffs Jul2018'!J36,( 'Tariffs Jul2018'!J36*'Tariffs Jul2018'!O36/100)* 'Tariffs Jul2018'!AI36,($C$5*'Tariffs Jul2018'!AK36/'Tariffs Jul2018'!AI36*'Tariffs Jul2018'!O36/100)* 'Tariffs Jul2018'!AI36)</f>
        <v>199.2</v>
      </c>
      <c r="F42" s="59">
        <f>IF($C$5*'Tariffs Jul2018'!AK36/'Tariffs Jul2018'!AI36&lt;'Tariffs Jul2018'!J36,0,IF($C$5*'Tariffs Jul2018'!AK36/'Tariffs Jul2018'!AI36&lt;='Tariffs Jul2018'!K36,($C$5*'Tariffs Jul2018'!AK36/'Tariffs Jul2018'!AI36-'Tariffs Jul2018'!J36)*('Tariffs Jul2018'!P36/100)*'Tariffs Jul2018'!AI36,('Tariffs Jul2018'!K36-'Tariffs Jul2018'!J36)*('Tariffs Jul2018'!P36/100)*'Tariffs Jul2018'!AI36))</f>
        <v>284.65400999999997</v>
      </c>
      <c r="G42" s="59">
        <f>IF($C$5*'Tariffs Jul2018'!AK36/'Tariffs Jul2018'!AI36&lt;'Tariffs Jul2018'!K36,0,IF($C$5*'Tariffs Jul2018'!AK36/'Tariffs Jul2018'!AI36&lt;='Tariffs Jul2018'!L36,($C$5*'Tariffs Jul2018'!AK36/'Tariffs Jul2018'!AI36-'Tariffs Jul2018'!K36)*('Tariffs Jul2018'!Q36/100)*'Tariffs Jul2018'!AI36,('Tariffs Jul2018'!L36-'Tariffs Jul2018'!K36)*('Tariffs Jul2018'!Q36/100)*'Tariffs Jul2018'!AI36))</f>
        <v>0</v>
      </c>
      <c r="H42" s="59">
        <f>IF($C$5*'Tariffs Jul2018'!AK36/'Tariffs Jul2018'!AI36&lt;'Tariffs Jul2018'!L36,0,IF($C$5*'Tariffs Jul2018'!AK36/'Tariffs Jul2018'!AI36&lt;='Tariffs Jul2018'!M36,($C$5*'Tariffs Jul2018'!AK36/'Tariffs Jul2018'!AI36-'Tariffs Jul2018'!L36)*('Tariffs Jul2018'!R36/100)*'Tariffs Jul2018'!AI36,('Tariffs Jul2018'!M36-'Tariffs Jul2018'!L36)*('Tariffs Jul2018'!R36/100)*'Tariffs Jul2018'!AI36))</f>
        <v>0</v>
      </c>
      <c r="I42" s="59">
        <f>IF(($C$5*'Tariffs Jul2018'!AK36/'Tariffs Jul2018'!AI36&gt;'Tariffs Jul2018'!M36),($C$5*'Tariffs Jul2018'!AK36/'Tariffs Jul2018'!AI36-'Tariffs Jul2018'!M36)*'Tariffs Jul2018'!S36/100*'Tariffs Jul2018'!AI36,0)</f>
        <v>0</v>
      </c>
      <c r="J42" s="59">
        <f>IF($C$5*'Tariffs Jul2018'!AL36/'Tariffs Jul2018'!AJ36&gt;='Tariffs Jul2018'!J36,('Tariffs Jul2018'!J36*'Tariffs Jul2018'!U36/100)* 'Tariffs Jul2018'!AJ36,($C$5*'Tariffs Jul2018'!AL36/'Tariffs Jul2018'!AJ36*'Tariffs Jul2018'!U36/100)* 'Tariffs Jul2018'!AJ36)</f>
        <v>398.4</v>
      </c>
      <c r="K42" s="59">
        <f>IF($C$5*'Tariffs Jul2018'!AL36/'Tariffs Jul2018'!AJ36&lt;'Tariffs Jul2018'!J36,0,IF($C$5*'Tariffs Jul2018'!AL36/'Tariffs Jul2018'!AJ36&lt;='Tariffs Jul2018'!K36,($C$5*'Tariffs Jul2018'!AL36/'Tariffs Jul2018'!AJ36-'Tariffs Jul2018'!J36)*('Tariffs Jul2018'!V36/100)*'Tariffs Jul2018'!AJ36,('Tariffs Jul2018'!K36-'Tariffs Jul2018'!J36)*('Tariffs Jul2018'!V36/100)*'Tariffs Jul2018'!AJ36))</f>
        <v>569.30801999999994</v>
      </c>
      <c r="L42" s="59">
        <f>IF($C$5*'Tariffs Jul2018'!AL36/'Tariffs Jul2018'!AJ36&lt;'Tariffs Jul2018'!K36,0,IF($C$5*'Tariffs Jul2018'!AL36/'Tariffs Jul2018'!AJ36&lt;='Tariffs Jul2018'!L36,($C$5*'Tariffs Jul2018'!AL36/'Tariffs Jul2018'!AJ36-'Tariffs Jul2018'!K36)*('Tariffs Jul2018'!W36/100)*'Tariffs Jul2018'!AJ36,('Tariffs Jul2018'!L36-'Tariffs Jul2018'!K36)*('Tariffs Jul2018'!W36/100)*'Tariffs Jul2018'!AJ36))</f>
        <v>0</v>
      </c>
      <c r="M42" s="59">
        <f>IF($C$5*'Tariffs Jul2018'!AL36/'Tariffs Jul2018'!AJ36&lt;'Tariffs Jul2018'!L36,0,IF($C$5*'Tariffs Jul2018'!AL36/'Tariffs Jul2018'!AJ36&lt;='Tariffs Jul2018'!M36,($C$5*'Tariffs Jul2018'!AL36/'Tariffs Jul2018'!AJ36-'Tariffs Jul2018'!L36)*('Tariffs Jul2018'!X36/100)*'Tariffs Jul2018'!AJ36,('Tariffs Jul2018'!M36-'Tariffs Jul2018'!L36)*('Tariffs Jul2018'!X36/100)*'Tariffs Jul2018'!AJ36))</f>
        <v>0</v>
      </c>
      <c r="N42" s="59">
        <f>IF(($C$5*'Tariffs Jul2018'!AL36/'Tariffs Jul2018'!AJ36&gt;'Tariffs Jul2018'!M36),($C$5*'Tariffs Jul2018'!AL36/'Tariffs Jul2018'!AJ36-'Tariffs Jul2018'!M36)*'Tariffs Jul2018'!Y36/100*'Tariffs Jul2018'!AJ36,0)</f>
        <v>0</v>
      </c>
      <c r="O42" s="271">
        <f t="shared" si="0"/>
        <v>1451.5620299999998</v>
      </c>
      <c r="P42" s="59">
        <f t="shared" si="1"/>
        <v>1748.4895299999998</v>
      </c>
      <c r="Q42" s="272">
        <f t="shared" si="2"/>
        <v>1923.338483</v>
      </c>
      <c r="R42" s="40">
        <f>'Tariffs Jul2018'!AM36</f>
        <v>0</v>
      </c>
      <c r="S42" s="40">
        <f>'Tariffs Jul2018'!AN36</f>
        <v>0</v>
      </c>
      <c r="T42" s="40">
        <f>'Tariffs Jul2018'!AO36</f>
        <v>0</v>
      </c>
      <c r="U42" s="40">
        <f>'Tariffs Jul2018'!AP36</f>
        <v>0</v>
      </c>
      <c r="V42" s="273">
        <f>P42</f>
        <v>1748.4895299999998</v>
      </c>
      <c r="W42" s="273">
        <f>V42</f>
        <v>1748.4895299999998</v>
      </c>
      <c r="X42" s="272">
        <f t="shared" si="4"/>
        <v>1923.338483</v>
      </c>
      <c r="Y42" s="272">
        <f t="shared" si="4"/>
        <v>1923.338483</v>
      </c>
      <c r="Z42" s="274">
        <f>'Tariffs Jul2018'!AY36</f>
        <v>0</v>
      </c>
      <c r="AA42" s="274" t="str">
        <f>'Tariffs Jul2018'!AZ36</f>
        <v>n</v>
      </c>
      <c r="AB42" s="275" t="str">
        <f>'Tariffs Jul2018'!BG36</f>
        <v>Y</v>
      </c>
      <c r="AC42" s="351"/>
      <c r="AD42" s="351"/>
      <c r="AE42" s="351"/>
      <c r="AF42" s="351"/>
      <c r="AG42" s="351"/>
      <c r="AH42" s="351"/>
      <c r="AI42" s="351"/>
      <c r="AJ42" s="351"/>
      <c r="AK42" s="351"/>
      <c r="AL42" s="351"/>
      <c r="AM42" s="351"/>
      <c r="AN42" s="351"/>
    </row>
    <row r="43" spans="1:40" x14ac:dyDescent="0.15">
      <c r="A43" s="40" t="str">
        <f>'Tariffs Jul2018'!F37</f>
        <v>EnergyAustralia</v>
      </c>
      <c r="B43" s="40" t="str">
        <f>'Tariffs Jul2018'!D37</f>
        <v>Envestra North</v>
      </c>
      <c r="C43" s="40" t="str">
        <f>'Tariffs Jul2018'!G37</f>
        <v>Anytime Saver</v>
      </c>
      <c r="D43" s="59">
        <f>365*'Tariffs Jul2018'!H37/100</f>
        <v>287.255</v>
      </c>
      <c r="E43" s="59">
        <f>IF($C$5*'Tariffs Jul2018'!AK37/'Tariffs Jul2018'!AI37&gt;='Tariffs Jul2018'!J37,( 'Tariffs Jul2018'!J37*'Tariffs Jul2018'!O37/100)* 'Tariffs Jul2018'!AI37,($C$5*'Tariffs Jul2018'!AK37/'Tariffs Jul2018'!AI37*'Tariffs Jul2018'!O37/100)* 'Tariffs Jul2018'!AI37)</f>
        <v>169.8</v>
      </c>
      <c r="F43" s="59">
        <f>IF($C$5*'Tariffs Jul2018'!AK37/'Tariffs Jul2018'!AI37&lt;'Tariffs Jul2018'!J37,0,IF($C$5*'Tariffs Jul2018'!AK37/'Tariffs Jul2018'!AI37&lt;='Tariffs Jul2018'!K37,($C$5*'Tariffs Jul2018'!AK37/'Tariffs Jul2018'!AI37-'Tariffs Jul2018'!J37)*('Tariffs Jul2018'!P37/100)*'Tariffs Jul2018'!AI37,('Tariffs Jul2018'!K37-'Tariffs Jul2018'!J37)*('Tariffs Jul2018'!P37/100)*'Tariffs Jul2018'!AI37))</f>
        <v>0</v>
      </c>
      <c r="G43" s="59">
        <f>IF($C$5*'Tariffs Jul2018'!AK37/'Tariffs Jul2018'!AI37&lt;'Tariffs Jul2018'!K37,0,IF($C$5*'Tariffs Jul2018'!AK37/'Tariffs Jul2018'!AI37&lt;='Tariffs Jul2018'!L37,($C$5*'Tariffs Jul2018'!AK37/'Tariffs Jul2018'!AI37-'Tariffs Jul2018'!K37)*('Tariffs Jul2018'!Q37/100)*'Tariffs Jul2018'!AI37,('Tariffs Jul2018'!L37-'Tariffs Jul2018'!K37)*('Tariffs Jul2018'!Q37/100)*'Tariffs Jul2018'!AI37))</f>
        <v>0</v>
      </c>
      <c r="H43" s="59">
        <f>IF($C$5*'Tariffs Jul2018'!AK37/'Tariffs Jul2018'!AI37&lt;'Tariffs Jul2018'!L37,0,IF($C$5*'Tariffs Jul2018'!AK37/'Tariffs Jul2018'!AI37&lt;='Tariffs Jul2018'!M37,($C$5*'Tariffs Jul2018'!AK37/'Tariffs Jul2018'!AI37-'Tariffs Jul2018'!L37)*('Tariffs Jul2018'!R37/100)*'Tariffs Jul2018'!AI37,('Tariffs Jul2018'!M37-'Tariffs Jul2018'!L37)*('Tariffs Jul2018'!R37/100)*'Tariffs Jul2018'!AI37))</f>
        <v>0</v>
      </c>
      <c r="I43" s="59">
        <f>IF(($C$5*'Tariffs Jul2018'!AK37/'Tariffs Jul2018'!AI37&gt;'Tariffs Jul2018'!M37),($C$5*'Tariffs Jul2018'!AK37/'Tariffs Jul2018'!AI37-'Tariffs Jul2018'!M37)*'Tariffs Jul2018'!S37/100*'Tariffs Jul2018'!AI37,0)</f>
        <v>286.45988999999992</v>
      </c>
      <c r="J43" s="59">
        <f>IF($C$5*'Tariffs Jul2018'!AL37/'Tariffs Jul2018'!AJ37&gt;='Tariffs Jul2018'!J37,('Tariffs Jul2018'!J37*'Tariffs Jul2018'!U37/100)* 'Tariffs Jul2018'!AJ37,($C$5*'Tariffs Jul2018'!AL37/'Tariffs Jul2018'!AJ37*'Tariffs Jul2018'!U37/100)* 'Tariffs Jul2018'!AJ37)</f>
        <v>339.6</v>
      </c>
      <c r="K43" s="59">
        <f>IF($C$5*'Tariffs Jul2018'!AL37/'Tariffs Jul2018'!AJ37&lt;'Tariffs Jul2018'!J37,0,IF($C$5*'Tariffs Jul2018'!AL37/'Tariffs Jul2018'!AJ37&lt;='Tariffs Jul2018'!K37,($C$5*'Tariffs Jul2018'!AL37/'Tariffs Jul2018'!AJ37-'Tariffs Jul2018'!J37)*('Tariffs Jul2018'!V37/100)*'Tariffs Jul2018'!AJ37,('Tariffs Jul2018'!K37-'Tariffs Jul2018'!J37)*('Tariffs Jul2018'!V37/100)*'Tariffs Jul2018'!AJ37))</f>
        <v>0</v>
      </c>
      <c r="L43" s="59">
        <f>IF($C$5*'Tariffs Jul2018'!AL37/'Tariffs Jul2018'!AJ37&lt;'Tariffs Jul2018'!K37,0,IF($C$5*'Tariffs Jul2018'!AL37/'Tariffs Jul2018'!AJ37&lt;='Tariffs Jul2018'!L37,($C$5*'Tariffs Jul2018'!AL37/'Tariffs Jul2018'!AJ37-'Tariffs Jul2018'!K37)*('Tariffs Jul2018'!W37/100)*'Tariffs Jul2018'!AJ37,('Tariffs Jul2018'!L37-'Tariffs Jul2018'!K37)*('Tariffs Jul2018'!W37/100)*'Tariffs Jul2018'!AJ37))</f>
        <v>0</v>
      </c>
      <c r="M43" s="59">
        <f>IF($C$5*'Tariffs Jul2018'!AL37/'Tariffs Jul2018'!AJ37&lt;'Tariffs Jul2018'!L37,0,IF($C$5*'Tariffs Jul2018'!AL37/'Tariffs Jul2018'!AJ37&lt;='Tariffs Jul2018'!M37,($C$5*'Tariffs Jul2018'!AL37/'Tariffs Jul2018'!AJ37-'Tariffs Jul2018'!L37)*('Tariffs Jul2018'!X37/100)*'Tariffs Jul2018'!AJ37,('Tariffs Jul2018'!M37-'Tariffs Jul2018'!L37)*('Tariffs Jul2018'!X37/100)*'Tariffs Jul2018'!AJ37))</f>
        <v>0</v>
      </c>
      <c r="N43" s="59">
        <f>IF(($C$5*'Tariffs Jul2018'!AL37/'Tariffs Jul2018'!AJ37&gt;'Tariffs Jul2018'!M37),($C$5*'Tariffs Jul2018'!AL37/'Tariffs Jul2018'!AJ37-'Tariffs Jul2018'!M37)*'Tariffs Jul2018'!Y37/100*'Tariffs Jul2018'!AJ37,0)</f>
        <v>572.91977999999983</v>
      </c>
      <c r="O43" s="271">
        <f t="shared" si="0"/>
        <v>1368.7796699999999</v>
      </c>
      <c r="P43" s="59">
        <f t="shared" si="1"/>
        <v>1656.03467</v>
      </c>
      <c r="Q43" s="272">
        <f t="shared" si="2"/>
        <v>1821.6381370000001</v>
      </c>
      <c r="R43" s="40">
        <f>'Tariffs Jul2018'!AM37</f>
        <v>0</v>
      </c>
      <c r="S43" s="40">
        <f>'Tariffs Jul2018'!AN37</f>
        <v>34</v>
      </c>
      <c r="T43" s="40">
        <f>'Tariffs Jul2018'!AO37</f>
        <v>0</v>
      </c>
      <c r="U43" s="40">
        <f>'Tariffs Jul2018'!AP37</f>
        <v>0</v>
      </c>
      <c r="V43" s="273">
        <f>P43-(O43*S43/100)</f>
        <v>1190.6495822000002</v>
      </c>
      <c r="W43" s="273">
        <f>V43-(O43*U43/100)</f>
        <v>1190.6495822000002</v>
      </c>
      <c r="X43" s="272">
        <f t="shared" si="4"/>
        <v>1309.7145404200003</v>
      </c>
      <c r="Y43" s="272">
        <f t="shared" si="4"/>
        <v>1309.7145404200003</v>
      </c>
      <c r="Z43" s="274">
        <f>'Tariffs Jul2018'!AY37</f>
        <v>0</v>
      </c>
      <c r="AA43" s="274" t="str">
        <f>'Tariffs Jul2018'!AZ37</f>
        <v>n</v>
      </c>
      <c r="AB43" s="275" t="str">
        <f>'Tariffs Jul2018'!BG37</f>
        <v>N</v>
      </c>
      <c r="AC43" s="351"/>
      <c r="AD43" s="351"/>
      <c r="AE43" s="351"/>
      <c r="AF43" s="351"/>
      <c r="AG43" s="351"/>
      <c r="AH43" s="351"/>
      <c r="AI43" s="351"/>
      <c r="AJ43" s="351"/>
      <c r="AK43" s="351"/>
      <c r="AL43" s="351"/>
      <c r="AM43" s="351"/>
      <c r="AN43" s="351"/>
    </row>
    <row r="44" spans="1:40" x14ac:dyDescent="0.15">
      <c r="A44" s="40" t="str">
        <f>'Tariffs Jul2018'!F38</f>
        <v>Lumo Energy</v>
      </c>
      <c r="B44" s="40" t="str">
        <f>'Tariffs Jul2018'!D38</f>
        <v>Envestra North</v>
      </c>
      <c r="C44" s="40" t="str">
        <f>'Tariffs Jul2018'!G38</f>
        <v>Advantage</v>
      </c>
      <c r="D44" s="59">
        <f>365*'Tariffs Jul2018'!H38/100</f>
        <v>255.5</v>
      </c>
      <c r="E44" s="59">
        <f>IF($C$5*'Tariffs Jul2018'!AK38/'Tariffs Jul2018'!AI38&gt;='Tariffs Jul2018'!J38,( 'Tariffs Jul2018'!J38*'Tariffs Jul2018'!O38/100)* 'Tariffs Jul2018'!AI38,($C$5*'Tariffs Jul2018'!AK38/'Tariffs Jul2018'!AI38*'Tariffs Jul2018'!O38/100)* 'Tariffs Jul2018'!AI38)</f>
        <v>83.894999999999996</v>
      </c>
      <c r="F44" s="59">
        <f>IF($C$5*'Tariffs Jul2018'!AK38/'Tariffs Jul2018'!AI38&lt;'Tariffs Jul2018'!J38,0,IF($C$5*'Tariffs Jul2018'!AK38/'Tariffs Jul2018'!AI38&lt;='Tariffs Jul2018'!K38,($C$5*'Tariffs Jul2018'!AK38/'Tariffs Jul2018'!AI38-'Tariffs Jul2018'!J38)*('Tariffs Jul2018'!P38/100)*'Tariffs Jul2018'!AI38,('Tariffs Jul2018'!K38-'Tariffs Jul2018'!J38)*('Tariffs Jul2018'!P38/100)*'Tariffs Jul2018'!AI38))</f>
        <v>66.394999999999996</v>
      </c>
      <c r="G44" s="59">
        <f>IF($C$5*'Tariffs Jul2018'!AK38/'Tariffs Jul2018'!AI38&lt;'Tariffs Jul2018'!K38,0,IF($C$5*'Tariffs Jul2018'!AK38/'Tariffs Jul2018'!AI38&lt;='Tariffs Jul2018'!L38,($C$5*'Tariffs Jul2018'!AK38/'Tariffs Jul2018'!AI38-'Tariffs Jul2018'!K38)*('Tariffs Jul2018'!Q38/100)*'Tariffs Jul2018'!AI38,('Tariffs Jul2018'!L38-'Tariffs Jul2018'!K38)*('Tariffs Jul2018'!Q38/100)*'Tariffs Jul2018'!AI38))</f>
        <v>0</v>
      </c>
      <c r="H44" s="59">
        <f>IF($C$5*'Tariffs Jul2018'!AK38/'Tariffs Jul2018'!AI38&lt;'Tariffs Jul2018'!L38,0,IF($C$5*'Tariffs Jul2018'!AK38/'Tariffs Jul2018'!AI38&lt;='Tariffs Jul2018'!M38,($C$5*'Tariffs Jul2018'!AK38/'Tariffs Jul2018'!AI38-'Tariffs Jul2018'!L38)*('Tariffs Jul2018'!R38/100)*'Tariffs Jul2018'!AI38,('Tariffs Jul2018'!M38-'Tariffs Jul2018'!L38)*('Tariffs Jul2018'!R38/100)*'Tariffs Jul2018'!AI38))</f>
        <v>0</v>
      </c>
      <c r="I44" s="59">
        <f>IF(($C$5*'Tariffs Jul2018'!AK38/'Tariffs Jul2018'!AI38&gt;'Tariffs Jul2018'!M38),($C$5*'Tariffs Jul2018'!AK38/'Tariffs Jul2018'!AI38-'Tariffs Jul2018'!M38)*'Tariffs Jul2018'!S38/100*'Tariffs Jul2018'!AI38,0)</f>
        <v>292.45904999999993</v>
      </c>
      <c r="J44" s="59">
        <f>IF($C$5*'Tariffs Jul2018'!AL38/'Tariffs Jul2018'!AJ38&gt;='Tariffs Jul2018'!J38,('Tariffs Jul2018'!J38*'Tariffs Jul2018'!U38/100)* 'Tariffs Jul2018'!AJ38,($C$5*'Tariffs Jul2018'!AL38/'Tariffs Jul2018'!AJ38*'Tariffs Jul2018'!U38/100)* 'Tariffs Jul2018'!AJ38)</f>
        <v>167.79</v>
      </c>
      <c r="K44" s="59">
        <f>IF($C$5*'Tariffs Jul2018'!AL38/'Tariffs Jul2018'!AJ38&lt;'Tariffs Jul2018'!J38,0,IF($C$5*'Tariffs Jul2018'!AL38/'Tariffs Jul2018'!AJ38&lt;='Tariffs Jul2018'!K38,($C$5*'Tariffs Jul2018'!AL38/'Tariffs Jul2018'!AJ38-'Tariffs Jul2018'!J38)*('Tariffs Jul2018'!V38/100)*'Tariffs Jul2018'!AJ38,('Tariffs Jul2018'!K38-'Tariffs Jul2018'!J38)*('Tariffs Jul2018'!V38/100)*'Tariffs Jul2018'!AJ38))</f>
        <v>132.79</v>
      </c>
      <c r="L44" s="59">
        <f>IF($C$5*'Tariffs Jul2018'!AL38/'Tariffs Jul2018'!AJ38&lt;'Tariffs Jul2018'!K38,0,IF($C$5*'Tariffs Jul2018'!AL38/'Tariffs Jul2018'!AJ38&lt;='Tariffs Jul2018'!L38,($C$5*'Tariffs Jul2018'!AL38/'Tariffs Jul2018'!AJ38-'Tariffs Jul2018'!K38)*('Tariffs Jul2018'!W38/100)*'Tariffs Jul2018'!AJ38,('Tariffs Jul2018'!L38-'Tariffs Jul2018'!K38)*('Tariffs Jul2018'!W38/100)*'Tariffs Jul2018'!AJ38))</f>
        <v>0</v>
      </c>
      <c r="M44" s="59">
        <f>IF($C$5*'Tariffs Jul2018'!AL38/'Tariffs Jul2018'!AJ38&lt;'Tariffs Jul2018'!L38,0,IF($C$5*'Tariffs Jul2018'!AL38/'Tariffs Jul2018'!AJ38&lt;='Tariffs Jul2018'!M38,($C$5*'Tariffs Jul2018'!AL38/'Tariffs Jul2018'!AJ38-'Tariffs Jul2018'!L38)*('Tariffs Jul2018'!X38/100)*'Tariffs Jul2018'!AJ38,('Tariffs Jul2018'!M38-'Tariffs Jul2018'!L38)*('Tariffs Jul2018'!X38/100)*'Tariffs Jul2018'!AJ38))</f>
        <v>0</v>
      </c>
      <c r="N44" s="59">
        <f>IF(($C$5*'Tariffs Jul2018'!AL38/'Tariffs Jul2018'!AJ38&gt;'Tariffs Jul2018'!M38),($C$5*'Tariffs Jul2018'!AL38/'Tariffs Jul2018'!AJ38-'Tariffs Jul2018'!M38)*'Tariffs Jul2018'!Y38/100*'Tariffs Jul2018'!AJ38,0)</f>
        <v>584.91809999999987</v>
      </c>
      <c r="O44" s="271">
        <f t="shared" si="0"/>
        <v>1328.2471499999997</v>
      </c>
      <c r="P44" s="59">
        <f t="shared" si="1"/>
        <v>1583.7471499999997</v>
      </c>
      <c r="Q44" s="272">
        <f t="shared" si="2"/>
        <v>1742.1218649999998</v>
      </c>
      <c r="R44" s="40">
        <f>'Tariffs Jul2018'!AM38</f>
        <v>0</v>
      </c>
      <c r="S44" s="40">
        <f>'Tariffs Jul2018'!AN38</f>
        <v>0</v>
      </c>
      <c r="T44" s="40">
        <f>'Tariffs Jul2018'!AO38</f>
        <v>15</v>
      </c>
      <c r="U44" s="40">
        <f>'Tariffs Jul2018'!AP38</f>
        <v>0</v>
      </c>
      <c r="V44" s="273">
        <f t="shared" ref="V44:V52" si="7">P44</f>
        <v>1583.7471499999997</v>
      </c>
      <c r="W44" s="273">
        <f>V44-(P44*T44/100)</f>
        <v>1346.1850774999998</v>
      </c>
      <c r="X44" s="272">
        <f t="shared" si="4"/>
        <v>1742.1218649999998</v>
      </c>
      <c r="Y44" s="272">
        <f t="shared" si="4"/>
        <v>1480.80358525</v>
      </c>
      <c r="Z44" s="274">
        <f>'Tariffs Jul2018'!AY38</f>
        <v>0</v>
      </c>
      <c r="AA44" s="274" t="str">
        <f>'Tariffs Jul2018'!AZ38</f>
        <v>n</v>
      </c>
      <c r="AB44" s="275" t="str">
        <f>'Tariffs Jul2018'!BG38</f>
        <v>N</v>
      </c>
      <c r="AC44" s="351"/>
      <c r="AD44" s="351"/>
      <c r="AE44" s="351"/>
      <c r="AF44" s="351"/>
      <c r="AG44" s="351"/>
      <c r="AH44" s="351"/>
      <c r="AI44" s="351"/>
      <c r="AJ44" s="351"/>
      <c r="AK44" s="351"/>
      <c r="AL44" s="351"/>
      <c r="AM44" s="351"/>
      <c r="AN44" s="351"/>
    </row>
    <row r="45" spans="1:40" x14ac:dyDescent="0.15">
      <c r="A45" s="40" t="str">
        <f>'Tariffs Jul2018'!F39</f>
        <v>Momentum Energy</v>
      </c>
      <c r="B45" s="40" t="str">
        <f>'Tariffs Jul2018'!D39</f>
        <v>Envestra North</v>
      </c>
      <c r="C45" s="40" t="str">
        <f>'Tariffs Jul2018'!G39</f>
        <v>Market offer</v>
      </c>
      <c r="D45" s="59">
        <f>365*'Tariffs Jul2018'!H39/100</f>
        <v>262.94600000000003</v>
      </c>
      <c r="E45" s="59">
        <f>IF($C$5*'Tariffs Jul2018'!AK39/'Tariffs Jul2018'!AI39&gt;='Tariffs Jul2018'!J39,( 'Tariffs Jul2018'!J39*'Tariffs Jul2018'!O39/100)* 'Tariffs Jul2018'!AI39,($C$5*'Tariffs Jul2018'!AK39/'Tariffs Jul2018'!AI39*'Tariffs Jul2018'!O39/100)* 'Tariffs Jul2018'!AI39)</f>
        <v>68.135900000000007</v>
      </c>
      <c r="F45" s="59">
        <f>IF($C$5*'Tariffs Jul2018'!AK39/'Tariffs Jul2018'!AI39&lt;'Tariffs Jul2018'!J39,0,IF($C$5*'Tariffs Jul2018'!AK39/'Tariffs Jul2018'!AI39&lt;='Tariffs Jul2018'!K39,($C$5*'Tariffs Jul2018'!AK39/'Tariffs Jul2018'!AI39-'Tariffs Jul2018'!J39)*('Tariffs Jul2018'!P39/100)*'Tariffs Jul2018'!AI39,('Tariffs Jul2018'!K39-'Tariffs Jul2018'!J39)*('Tariffs Jul2018'!P39/100)*'Tariffs Jul2018'!AI39))</f>
        <v>48.590299999999992</v>
      </c>
      <c r="G45" s="59">
        <f>IF($C$5*'Tariffs Jul2018'!AK39/'Tariffs Jul2018'!AI39&lt;'Tariffs Jul2018'!K39,0,IF($C$5*'Tariffs Jul2018'!AK39/'Tariffs Jul2018'!AI39&lt;='Tariffs Jul2018'!L39,($C$5*'Tariffs Jul2018'!AK39/'Tariffs Jul2018'!AI39-'Tariffs Jul2018'!K39)*('Tariffs Jul2018'!Q39/100)*'Tariffs Jul2018'!AI39,('Tariffs Jul2018'!L39-'Tariffs Jul2018'!K39)*('Tariffs Jul2018'!Q39/100)*'Tariffs Jul2018'!AI39))</f>
        <v>0</v>
      </c>
      <c r="H45" s="59">
        <f>IF($C$5*'Tariffs Jul2018'!AK39/'Tariffs Jul2018'!AI39&lt;'Tariffs Jul2018'!L39,0,IF($C$5*'Tariffs Jul2018'!AK39/'Tariffs Jul2018'!AI39&lt;='Tariffs Jul2018'!M39,($C$5*'Tariffs Jul2018'!AK39/'Tariffs Jul2018'!AI39-'Tariffs Jul2018'!L39)*('Tariffs Jul2018'!R39/100)*'Tariffs Jul2018'!AI39,('Tariffs Jul2018'!M39-'Tariffs Jul2018'!L39)*('Tariffs Jul2018'!R39/100)*'Tariffs Jul2018'!AI39))</f>
        <v>0</v>
      </c>
      <c r="I45" s="59">
        <f>IF(($C$5*'Tariffs Jul2018'!AK39/'Tariffs Jul2018'!AI39&gt;'Tariffs Jul2018'!M39),($C$5*'Tariffs Jul2018'!AK39/'Tariffs Jul2018'!AI39-'Tariffs Jul2018'!M39)*'Tariffs Jul2018'!S39/100*'Tariffs Jul2018'!AI39,0)</f>
        <v>238.01667299999997</v>
      </c>
      <c r="J45" s="59">
        <f>IF($C$5*'Tariffs Jul2018'!AL39/'Tariffs Jul2018'!AJ39&gt;='Tariffs Jul2018'!J39,('Tariffs Jul2018'!J39*'Tariffs Jul2018'!U39/100)* 'Tariffs Jul2018'!AJ39,($C$5*'Tariffs Jul2018'!AL39/'Tariffs Jul2018'!AJ39*'Tariffs Jul2018'!U39/100)* 'Tariffs Jul2018'!AJ39)</f>
        <v>125.74380000000001</v>
      </c>
      <c r="K45" s="59">
        <f>IF($C$5*'Tariffs Jul2018'!AL39/'Tariffs Jul2018'!AJ39&lt;'Tariffs Jul2018'!J39,0,IF($C$5*'Tariffs Jul2018'!AL39/'Tariffs Jul2018'!AJ39&lt;='Tariffs Jul2018'!K39,($C$5*'Tariffs Jul2018'!AL39/'Tariffs Jul2018'!AJ39-'Tariffs Jul2018'!J39)*('Tariffs Jul2018'!V39/100)*'Tariffs Jul2018'!AJ39,('Tariffs Jul2018'!K39-'Tariffs Jul2018'!J39)*('Tariffs Jul2018'!V39/100)*'Tariffs Jul2018'!AJ39))</f>
        <v>89.375800000000012</v>
      </c>
      <c r="L45" s="59">
        <f>IF($C$5*'Tariffs Jul2018'!AL39/'Tariffs Jul2018'!AJ39&lt;'Tariffs Jul2018'!K39,0,IF($C$5*'Tariffs Jul2018'!AL39/'Tariffs Jul2018'!AJ39&lt;='Tariffs Jul2018'!L39,($C$5*'Tariffs Jul2018'!AL39/'Tariffs Jul2018'!AJ39-'Tariffs Jul2018'!K39)*('Tariffs Jul2018'!W39/100)*'Tariffs Jul2018'!AJ39,('Tariffs Jul2018'!L39-'Tariffs Jul2018'!K39)*('Tariffs Jul2018'!W39/100)*'Tariffs Jul2018'!AJ39))</f>
        <v>0</v>
      </c>
      <c r="M45" s="59">
        <f>IF($C$5*'Tariffs Jul2018'!AL39/'Tariffs Jul2018'!AJ39&lt;'Tariffs Jul2018'!L39,0,IF($C$5*'Tariffs Jul2018'!AL39/'Tariffs Jul2018'!AJ39&lt;='Tariffs Jul2018'!M39,($C$5*'Tariffs Jul2018'!AL39/'Tariffs Jul2018'!AJ39-'Tariffs Jul2018'!L39)*('Tariffs Jul2018'!X39/100)*'Tariffs Jul2018'!AJ39,('Tariffs Jul2018'!M39-'Tariffs Jul2018'!L39)*('Tariffs Jul2018'!X39/100)*'Tariffs Jul2018'!AJ39))</f>
        <v>0</v>
      </c>
      <c r="N45" s="59">
        <f>IF(($C$5*'Tariffs Jul2018'!AL39/'Tariffs Jul2018'!AJ39&gt;'Tariffs Jul2018'!M39),($C$5*'Tariffs Jul2018'!AL39/'Tariffs Jul2018'!AJ39-'Tariffs Jul2018'!M39)*'Tariffs Jul2018'!Y39/100*'Tariffs Jul2018'!AJ39,0)</f>
        <v>436.43888999999996</v>
      </c>
      <c r="O45" s="271">
        <f t="shared" si="0"/>
        <v>1006.301363</v>
      </c>
      <c r="P45" s="59">
        <f t="shared" si="1"/>
        <v>1269.247363</v>
      </c>
      <c r="Q45" s="272">
        <f t="shared" si="2"/>
        <v>1396.1720993000001</v>
      </c>
      <c r="R45" s="40">
        <f>'Tariffs Jul2018'!AM39</f>
        <v>0</v>
      </c>
      <c r="S45" s="40">
        <f>'Tariffs Jul2018'!AN39</f>
        <v>0</v>
      </c>
      <c r="T45" s="40">
        <f>'Tariffs Jul2018'!AO39</f>
        <v>0</v>
      </c>
      <c r="U45" s="40">
        <f>'Tariffs Jul2018'!AP39</f>
        <v>0</v>
      </c>
      <c r="V45" s="273">
        <f t="shared" si="7"/>
        <v>1269.247363</v>
      </c>
      <c r="W45" s="273">
        <f>V45</f>
        <v>1269.247363</v>
      </c>
      <c r="X45" s="272">
        <f t="shared" si="4"/>
        <v>1396.1720993000001</v>
      </c>
      <c r="Y45" s="272">
        <f t="shared" si="4"/>
        <v>1396.1720993000001</v>
      </c>
      <c r="Z45" s="274">
        <f>'Tariffs Jul2018'!AY39</f>
        <v>0</v>
      </c>
      <c r="AA45" s="274" t="str">
        <f>'Tariffs Jul2018'!AZ39</f>
        <v>n</v>
      </c>
      <c r="AB45" s="275" t="str">
        <f>'Tariffs Jul2018'!BG39</f>
        <v>Y</v>
      </c>
      <c r="AC45" s="351"/>
      <c r="AD45" s="351"/>
      <c r="AE45" s="351"/>
      <c r="AF45" s="351"/>
      <c r="AG45" s="351"/>
      <c r="AH45" s="351"/>
      <c r="AI45" s="351"/>
      <c r="AJ45" s="351"/>
      <c r="AK45" s="351"/>
      <c r="AL45" s="351"/>
      <c r="AM45" s="351"/>
      <c r="AN45" s="351"/>
    </row>
    <row r="46" spans="1:40" x14ac:dyDescent="0.15">
      <c r="A46" s="40" t="str">
        <f>'Tariffs Jul2018'!F40</f>
        <v>Origin Energy</v>
      </c>
      <c r="B46" s="40" t="str">
        <f>'Tariffs Jul2018'!D40</f>
        <v>Envestra North</v>
      </c>
      <c r="C46" s="40" t="str">
        <f>'Tariffs Jul2018'!G40</f>
        <v>Saver</v>
      </c>
      <c r="D46" s="59">
        <f>365*'Tariffs Jul2018'!H40/100</f>
        <v>251.85</v>
      </c>
      <c r="E46" s="59">
        <f>IF($C$5*'Tariffs Jul2018'!AK40/'Tariffs Jul2018'!AI40&gt;='Tariffs Jul2018'!J40,( 'Tariffs Jul2018'!J40*'Tariffs Jul2018'!O40/100)* 'Tariffs Jul2018'!AI40,($C$5*'Tariffs Jul2018'!AK40/'Tariffs Jul2018'!AI40*'Tariffs Jul2018'!O40/100)* 'Tariffs Jul2018'!AI40)</f>
        <v>176</v>
      </c>
      <c r="F46" s="59">
        <f>IF($C$5*'Tariffs Jul2018'!AK40/'Tariffs Jul2018'!AI40&lt;'Tariffs Jul2018'!J40,0,IF($C$5*'Tariffs Jul2018'!AK40/'Tariffs Jul2018'!AI40&lt;='Tariffs Jul2018'!K40,($C$5*'Tariffs Jul2018'!AK40/'Tariffs Jul2018'!AI40-'Tariffs Jul2018'!J40)*('Tariffs Jul2018'!P40/100)*'Tariffs Jul2018'!AI40,('Tariffs Jul2018'!K40-'Tariffs Jul2018'!J40)*('Tariffs Jul2018'!P40/100)*'Tariffs Jul2018'!AI40))</f>
        <v>272.95589999999999</v>
      </c>
      <c r="G46" s="59">
        <f>IF($C$5*'Tariffs Jul2018'!AK40/'Tariffs Jul2018'!AI40&lt;'Tariffs Jul2018'!K40,0,IF($C$5*'Tariffs Jul2018'!AK40/'Tariffs Jul2018'!AI40&lt;='Tariffs Jul2018'!L40,($C$5*'Tariffs Jul2018'!AK40/'Tariffs Jul2018'!AI40-'Tariffs Jul2018'!K40)*('Tariffs Jul2018'!Q40/100)*'Tariffs Jul2018'!AI40,('Tariffs Jul2018'!L40-'Tariffs Jul2018'!K40)*('Tariffs Jul2018'!Q40/100)*'Tariffs Jul2018'!AI40))</f>
        <v>0</v>
      </c>
      <c r="H46" s="59">
        <f>IF($C$5*'Tariffs Jul2018'!AK40/'Tariffs Jul2018'!AI40&lt;'Tariffs Jul2018'!L40,0,IF($C$5*'Tariffs Jul2018'!AK40/'Tariffs Jul2018'!AI40&lt;='Tariffs Jul2018'!M40,($C$5*'Tariffs Jul2018'!AK40/'Tariffs Jul2018'!AI40-'Tariffs Jul2018'!L40)*('Tariffs Jul2018'!R40/100)*'Tariffs Jul2018'!AI40,('Tariffs Jul2018'!M40-'Tariffs Jul2018'!L40)*('Tariffs Jul2018'!R40/100)*'Tariffs Jul2018'!AI40))</f>
        <v>0</v>
      </c>
      <c r="I46" s="59">
        <f>IF(($C$5*'Tariffs Jul2018'!AK40/'Tariffs Jul2018'!AI40&gt;'Tariffs Jul2018'!M40),($C$5*'Tariffs Jul2018'!AK40/'Tariffs Jul2018'!AI40-'Tariffs Jul2018'!M40)*'Tariffs Jul2018'!S40/100*'Tariffs Jul2018'!AI40,0)</f>
        <v>0</v>
      </c>
      <c r="J46" s="59">
        <f>IF($C$5*'Tariffs Jul2018'!AL40/'Tariffs Jul2018'!AJ40&gt;='Tariffs Jul2018'!J40,('Tariffs Jul2018'!J40*'Tariffs Jul2018'!U40/100)* 'Tariffs Jul2018'!AJ40,($C$5*'Tariffs Jul2018'!AL40/'Tariffs Jul2018'!AJ40*'Tariffs Jul2018'!U40/100)* 'Tariffs Jul2018'!AJ40)</f>
        <v>352</v>
      </c>
      <c r="K46" s="59">
        <f>IF($C$5*'Tariffs Jul2018'!AL40/'Tariffs Jul2018'!AJ40&lt;'Tariffs Jul2018'!J40,0,IF($C$5*'Tariffs Jul2018'!AL40/'Tariffs Jul2018'!AJ40&lt;='Tariffs Jul2018'!K40,($C$5*'Tariffs Jul2018'!AL40/'Tariffs Jul2018'!AJ40-'Tariffs Jul2018'!J40)*('Tariffs Jul2018'!V40/100)*'Tariffs Jul2018'!AJ40,('Tariffs Jul2018'!K40-'Tariffs Jul2018'!J40)*('Tariffs Jul2018'!V40/100)*'Tariffs Jul2018'!AJ40))</f>
        <v>545.91179999999997</v>
      </c>
      <c r="L46" s="59">
        <f>IF($C$5*'Tariffs Jul2018'!AL40/'Tariffs Jul2018'!AJ40&lt;'Tariffs Jul2018'!K40,0,IF($C$5*'Tariffs Jul2018'!AL40/'Tariffs Jul2018'!AJ40&lt;='Tariffs Jul2018'!L40,($C$5*'Tariffs Jul2018'!AL40/'Tariffs Jul2018'!AJ40-'Tariffs Jul2018'!K40)*('Tariffs Jul2018'!W40/100)*'Tariffs Jul2018'!AJ40,('Tariffs Jul2018'!L40-'Tariffs Jul2018'!K40)*('Tariffs Jul2018'!W40/100)*'Tariffs Jul2018'!AJ40))</f>
        <v>0</v>
      </c>
      <c r="M46" s="59">
        <f>IF($C$5*'Tariffs Jul2018'!AL40/'Tariffs Jul2018'!AJ40&lt;'Tariffs Jul2018'!L40,0,IF($C$5*'Tariffs Jul2018'!AL40/'Tariffs Jul2018'!AJ40&lt;='Tariffs Jul2018'!M40,($C$5*'Tariffs Jul2018'!AL40/'Tariffs Jul2018'!AJ40-'Tariffs Jul2018'!L40)*('Tariffs Jul2018'!X40/100)*'Tariffs Jul2018'!AJ40,('Tariffs Jul2018'!M40-'Tariffs Jul2018'!L40)*('Tariffs Jul2018'!X40/100)*'Tariffs Jul2018'!AJ40))</f>
        <v>0</v>
      </c>
      <c r="N46" s="59">
        <f>IF(($C$5*'Tariffs Jul2018'!AL40/'Tariffs Jul2018'!AJ40&gt;'Tariffs Jul2018'!M40),($C$5*'Tariffs Jul2018'!AL40/'Tariffs Jul2018'!AJ40-'Tariffs Jul2018'!M40)*'Tariffs Jul2018'!Y40/100*'Tariffs Jul2018'!AJ40,0)</f>
        <v>0</v>
      </c>
      <c r="O46" s="271">
        <f t="shared" si="0"/>
        <v>1346.8676999999998</v>
      </c>
      <c r="P46" s="59">
        <f t="shared" si="1"/>
        <v>1598.7176999999997</v>
      </c>
      <c r="Q46" s="272">
        <f t="shared" si="2"/>
        <v>1758.5894699999999</v>
      </c>
      <c r="R46" s="40">
        <f>'Tariffs Jul2018'!AM40</f>
        <v>0</v>
      </c>
      <c r="S46" s="40">
        <f>'Tariffs Jul2018'!AN40</f>
        <v>0</v>
      </c>
      <c r="T46" s="40">
        <f>'Tariffs Jul2018'!AO40</f>
        <v>0</v>
      </c>
      <c r="U46" s="40">
        <f>'Tariffs Jul2018'!AP40</f>
        <v>13</v>
      </c>
      <c r="V46" s="273">
        <f t="shared" si="7"/>
        <v>1598.7176999999997</v>
      </c>
      <c r="W46" s="273">
        <f>V46-(O46*U46/100)</f>
        <v>1423.6248989999997</v>
      </c>
      <c r="X46" s="272">
        <f t="shared" si="4"/>
        <v>1758.5894699999999</v>
      </c>
      <c r="Y46" s="272">
        <f t="shared" si="4"/>
        <v>1565.9873888999998</v>
      </c>
      <c r="Z46" s="274">
        <f>'Tariffs Jul2018'!AY40</f>
        <v>0</v>
      </c>
      <c r="AA46" s="274" t="str">
        <f>'Tariffs Jul2018'!AZ40</f>
        <v>n</v>
      </c>
      <c r="AB46" s="275" t="str">
        <f>'Tariffs Jul2018'!BG40</f>
        <v>N</v>
      </c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</row>
    <row r="47" spans="1:40" x14ac:dyDescent="0.15">
      <c r="A47" s="40" t="str">
        <f>'Tariffs Jul2018'!F41</f>
        <v>Red Energy</v>
      </c>
      <c r="B47" s="40" t="str">
        <f>'Tariffs Jul2018'!D41</f>
        <v>Envestra North</v>
      </c>
      <c r="C47" s="40" t="str">
        <f>'Tariffs Jul2018'!G41</f>
        <v>Easy Saver</v>
      </c>
      <c r="D47" s="59">
        <f>365*'Tariffs Jul2018'!H41/100</f>
        <v>255.5</v>
      </c>
      <c r="E47" s="59">
        <f>IF($C$5*'Tariffs Jul2018'!AK41/'Tariffs Jul2018'!AI41&gt;='Tariffs Jul2018'!J41,( 'Tariffs Jul2018'!J41*'Tariffs Jul2018'!O41/100)* 'Tariffs Jul2018'!AI41,($C$5*'Tariffs Jul2018'!AK41/'Tariffs Jul2018'!AI41*'Tariffs Jul2018'!O41/100)* 'Tariffs Jul2018'!AI41)</f>
        <v>135</v>
      </c>
      <c r="F47" s="59">
        <f>IF($C$5*'Tariffs Jul2018'!AK41/'Tariffs Jul2018'!AI41&lt;'Tariffs Jul2018'!J41,0,IF($C$5*'Tariffs Jul2018'!AK41/'Tariffs Jul2018'!AI41&lt;='Tariffs Jul2018'!K41,($C$5*'Tariffs Jul2018'!AK41/'Tariffs Jul2018'!AI41-'Tariffs Jul2018'!J41)*('Tariffs Jul2018'!S41/100)*'Tariffs Jul2018'!AI41,('Tariffs Jul2018'!K41-'Tariffs Jul2018'!J41)*('Tariffs Jul2018'!S41/100)*'Tariffs Jul2018'!AI41))</f>
        <v>0</v>
      </c>
      <c r="G47" s="59">
        <f>IF($C$5*'Tariffs Jul2018'!AK41/'Tariffs Jul2018'!AI41&lt;'Tariffs Jul2018'!K41,0,IF($C$5*'Tariffs Jul2018'!AK41/'Tariffs Jul2018'!AI41&lt;='Tariffs Jul2018'!L41,($C$5*'Tariffs Jul2018'!AK41/'Tariffs Jul2018'!AI41-'Tariffs Jul2018'!K41)*('Tariffs Jul2018'!Q41/100)*'Tariffs Jul2018'!AI41,('Tariffs Jul2018'!L41-'Tariffs Jul2018'!K41)*('Tariffs Jul2018'!Q41/100)*'Tariffs Jul2018'!AI41))</f>
        <v>0</v>
      </c>
      <c r="H47" s="59">
        <f>IF($C$5*'Tariffs Jul2018'!AK41/'Tariffs Jul2018'!AI41&lt;'Tariffs Jul2018'!L41,0,IF($C$5*'Tariffs Jul2018'!AK41/'Tariffs Jul2018'!AI41&lt;='Tariffs Jul2018'!M41,($C$5*'Tariffs Jul2018'!AK41/'Tariffs Jul2018'!AI41-'Tariffs Jul2018'!L41)*('Tariffs Jul2018'!R41/100)*'Tariffs Jul2018'!AI41,('Tariffs Jul2018'!M41-'Tariffs Jul2018'!L41)*('Tariffs Jul2018'!R41/100)*'Tariffs Jul2018'!AI41))</f>
        <v>0</v>
      </c>
      <c r="I47" s="59">
        <f>IF(($C$5*'Tariffs Jul2018'!AK41/'Tariffs Jul2018'!AI41&gt;'Tariffs Jul2018'!M41),($C$5*'Tariffs Jul2018'!AK41/'Tariffs Jul2018'!AI41-'Tariffs Jul2018'!M41)*'Tariffs Jul2018'!S41/100*'Tariffs Jul2018'!AI41,0)</f>
        <v>269.9622</v>
      </c>
      <c r="J47" s="59">
        <f>IF($C$5*'Tariffs Jul2018'!AL41/'Tariffs Jul2018'!AJ41&gt;='Tariffs Jul2018'!J41,('Tariffs Jul2018'!J41*'Tariffs Jul2018'!U41/100)* 'Tariffs Jul2018'!AJ41,($C$5*'Tariffs Jul2018'!AL41/'Tariffs Jul2018'!AJ41*'Tariffs Jul2018'!U41/100)* 'Tariffs Jul2018'!AJ41)</f>
        <v>270</v>
      </c>
      <c r="K47" s="59">
        <f>IF($C$5*'Tariffs Jul2018'!AL41/'Tariffs Jul2018'!AJ41&lt;'Tariffs Jul2018'!J41,0,IF($C$5*'Tariffs Jul2018'!AL41/'Tariffs Jul2018'!AJ41&lt;='Tariffs Jul2018'!K41,($C$5*'Tariffs Jul2018'!AL41/'Tariffs Jul2018'!AJ41-'Tariffs Jul2018'!J41)*('Tariffs Jul2018'!V41/100)*'Tariffs Jul2018'!AJ41,('Tariffs Jul2018'!K41-'Tariffs Jul2018'!J41)*('Tariffs Jul2018'!V41/100)*'Tariffs Jul2018'!AJ41))</f>
        <v>0</v>
      </c>
      <c r="L47" s="59">
        <f>IF($C$5*'Tariffs Jul2018'!AL41/'Tariffs Jul2018'!AJ41&lt;'Tariffs Jul2018'!K41,0,IF($C$5*'Tariffs Jul2018'!AL41/'Tariffs Jul2018'!AJ41&lt;='Tariffs Jul2018'!L41,($C$5*'Tariffs Jul2018'!AL41/'Tariffs Jul2018'!AJ41-'Tariffs Jul2018'!K41)*('Tariffs Jul2018'!W41/100)*'Tariffs Jul2018'!AJ41,('Tariffs Jul2018'!L41-'Tariffs Jul2018'!K41)*('Tariffs Jul2018'!W41/100)*'Tariffs Jul2018'!AJ41))</f>
        <v>0</v>
      </c>
      <c r="M47" s="59">
        <f>IF($C$5*'Tariffs Jul2018'!AL41/'Tariffs Jul2018'!AJ41&lt;'Tariffs Jul2018'!L41,0,IF($C$5*'Tariffs Jul2018'!AL41/'Tariffs Jul2018'!AJ41&lt;='Tariffs Jul2018'!M41,($C$5*'Tariffs Jul2018'!AL41/'Tariffs Jul2018'!AJ41-'Tariffs Jul2018'!L41)*('Tariffs Jul2018'!X41/100)*'Tariffs Jul2018'!AJ41,('Tariffs Jul2018'!M41-'Tariffs Jul2018'!L41)*('Tariffs Jul2018'!X41/100)*'Tariffs Jul2018'!AJ41))</f>
        <v>0</v>
      </c>
      <c r="N47" s="59">
        <f>IF(($C$5*'Tariffs Jul2018'!AL41/'Tariffs Jul2018'!AJ41&gt;'Tariffs Jul2018'!M41),($C$5*'Tariffs Jul2018'!AL41/'Tariffs Jul2018'!AJ41-'Tariffs Jul2018'!M41)*'Tariffs Jul2018'!Y41/100*'Tariffs Jul2018'!AJ41,0)</f>
        <v>539.92439999999999</v>
      </c>
      <c r="O47" s="271">
        <f t="shared" si="0"/>
        <v>1214.8865999999998</v>
      </c>
      <c r="P47" s="59">
        <f t="shared" si="1"/>
        <v>1470.3865999999998</v>
      </c>
      <c r="Q47" s="272">
        <f t="shared" si="2"/>
        <v>1617.42526</v>
      </c>
      <c r="R47" s="40">
        <f>'Tariffs Jul2018'!AM41</f>
        <v>0</v>
      </c>
      <c r="S47" s="40">
        <f>'Tariffs Jul2018'!AN41</f>
        <v>0</v>
      </c>
      <c r="T47" s="40">
        <f>'Tariffs Jul2018'!AO41</f>
        <v>10</v>
      </c>
      <c r="U47" s="40">
        <f>'Tariffs Jul2018'!AP41</f>
        <v>0</v>
      </c>
      <c r="V47" s="273">
        <f t="shared" si="7"/>
        <v>1470.3865999999998</v>
      </c>
      <c r="W47" s="273">
        <f>V47-(P47*T47/100)</f>
        <v>1323.3479399999999</v>
      </c>
      <c r="X47" s="272">
        <f t="shared" si="4"/>
        <v>1617.42526</v>
      </c>
      <c r="Y47" s="272">
        <f t="shared" si="4"/>
        <v>1455.682734</v>
      </c>
      <c r="Z47" s="274">
        <f>'Tariffs Jul2018'!AY41</f>
        <v>0</v>
      </c>
      <c r="AA47" s="274" t="str">
        <f>'Tariffs Jul2018'!AZ41</f>
        <v>n</v>
      </c>
      <c r="AB47" s="275" t="str">
        <f>'Tariffs Jul2018'!BG41</f>
        <v>Y</v>
      </c>
      <c r="AC47" s="351"/>
      <c r="AD47" s="351"/>
      <c r="AE47" s="351"/>
      <c r="AF47" s="351"/>
      <c r="AG47" s="351"/>
      <c r="AH47" s="351"/>
      <c r="AI47" s="351"/>
      <c r="AJ47" s="351"/>
      <c r="AK47" s="351"/>
      <c r="AL47" s="351"/>
      <c r="AM47" s="351"/>
      <c r="AN47" s="351"/>
    </row>
    <row r="48" spans="1:40" x14ac:dyDescent="0.15">
      <c r="A48" s="40" t="str">
        <f>'Tariffs Jul2018'!F42</f>
        <v>Simply Energy</v>
      </c>
      <c r="B48" s="40" t="str">
        <f>'Tariffs Jul2018'!D42</f>
        <v>Envestra North</v>
      </c>
      <c r="C48" s="40" t="str">
        <f>'Tariffs Jul2018'!G42</f>
        <v>Plus</v>
      </c>
      <c r="D48" s="59">
        <f>365*'Tariffs Jul2018'!H42/100</f>
        <v>259.55150000000003</v>
      </c>
      <c r="E48" s="59">
        <f>IF($C$5*'Tariffs Jul2018'!AK42/'Tariffs Jul2018'!AI42&gt;='Tariffs Jul2018'!J42,( 'Tariffs Jul2018'!J42*'Tariffs Jul2018'!O42/100)* 'Tariffs Jul2018'!AI42,($C$5*'Tariffs Jul2018'!AK42/'Tariffs Jul2018'!AI42*'Tariffs Jul2018'!O42/100)* 'Tariffs Jul2018'!AI42)</f>
        <v>101.00299999999999</v>
      </c>
      <c r="F48" s="59">
        <f>IF($C$5*'Tariffs Jul2018'!AK42/'Tariffs Jul2018'!AI42&lt;'Tariffs Jul2018'!J42,0,IF($C$5*'Tariffs Jul2018'!AK42/'Tariffs Jul2018'!AI42&lt;='Tariffs Jul2018'!K42,($C$5*'Tariffs Jul2018'!AK42/'Tariffs Jul2018'!AI42-'Tariffs Jul2018'!J42)*('Tariffs Jul2018'!P42/100)*'Tariffs Jul2018'!AI42,('Tariffs Jul2018'!K42-'Tariffs Jul2018'!J42)*('Tariffs Jul2018'!P42/100)*'Tariffs Jul2018'!AI42))</f>
        <v>71.272999999999996</v>
      </c>
      <c r="G48" s="59">
        <f>IF($C$5*'Tariffs Jul2018'!AK42/'Tariffs Jul2018'!AI42&lt;'Tariffs Jul2018'!K42,0,IF($C$5*'Tariffs Jul2018'!AK42/'Tariffs Jul2018'!AI42&lt;='Tariffs Jul2018'!L42,($C$5*'Tariffs Jul2018'!AK42/'Tariffs Jul2018'!AI42-'Tariffs Jul2018'!K42)*('Tariffs Jul2018'!Q42/100)*'Tariffs Jul2018'!AI42,('Tariffs Jul2018'!L42-'Tariffs Jul2018'!K42)*('Tariffs Jul2018'!Q42/100)*'Tariffs Jul2018'!AI42))</f>
        <v>0</v>
      </c>
      <c r="H48" s="59">
        <f>IF($C$5*'Tariffs Jul2018'!AK42/'Tariffs Jul2018'!AI42&lt;'Tariffs Jul2018'!L42,0,IF($C$5*'Tariffs Jul2018'!AK42/'Tariffs Jul2018'!AI42&lt;='Tariffs Jul2018'!M42,($C$5*'Tariffs Jul2018'!AK42/'Tariffs Jul2018'!AI42-'Tariffs Jul2018'!L42)*('Tariffs Jul2018'!R42/100)*'Tariffs Jul2018'!AI42,('Tariffs Jul2018'!M42-'Tariffs Jul2018'!L42)*('Tariffs Jul2018'!R42/100)*'Tariffs Jul2018'!AI42))</f>
        <v>0</v>
      </c>
      <c r="I48" s="59">
        <f>IF(($C$5*'Tariffs Jul2018'!AK42/'Tariffs Jul2018'!AI42&gt;'Tariffs Jul2018'!M42),($C$5*'Tariffs Jul2018'!AK42/'Tariffs Jul2018'!AI42-'Tariffs Jul2018'!M42)*'Tariffs Jul2018'!S42/100*'Tariffs Jul2018'!AI42,0)</f>
        <v>335.95295999999996</v>
      </c>
      <c r="J48" s="59">
        <f>IF($C$5*'Tariffs Jul2018'!AL42/'Tariffs Jul2018'!AJ42&gt;='Tariffs Jul2018'!J42,('Tariffs Jul2018'!J42*'Tariffs Jul2018'!U42/100)* 'Tariffs Jul2018'!AJ42,($C$5*'Tariffs Jul2018'!AL42/'Tariffs Jul2018'!AJ42*'Tariffs Jul2018'!U42/100)* 'Tariffs Jul2018'!AJ42)</f>
        <v>202.00599999999997</v>
      </c>
      <c r="K48" s="59">
        <f>IF($C$5*'Tariffs Jul2018'!AL42/'Tariffs Jul2018'!AJ42&lt;'Tariffs Jul2018'!J42,0,IF($C$5*'Tariffs Jul2018'!AL42/'Tariffs Jul2018'!AJ42&lt;='Tariffs Jul2018'!K42,($C$5*'Tariffs Jul2018'!AL42/'Tariffs Jul2018'!AJ42-'Tariffs Jul2018'!J42)*('Tariffs Jul2018'!V42/100)*'Tariffs Jul2018'!AJ42,('Tariffs Jul2018'!K42-'Tariffs Jul2018'!J42)*('Tariffs Jul2018'!V42/100)*'Tariffs Jul2018'!AJ42))</f>
        <v>142.54599999999999</v>
      </c>
      <c r="L48" s="59">
        <f>IF($C$5*'Tariffs Jul2018'!AL42/'Tariffs Jul2018'!AJ42&lt;'Tariffs Jul2018'!K42,0,IF($C$5*'Tariffs Jul2018'!AL42/'Tariffs Jul2018'!AJ42&lt;='Tariffs Jul2018'!L42,($C$5*'Tariffs Jul2018'!AL42/'Tariffs Jul2018'!AJ42-'Tariffs Jul2018'!K42)*('Tariffs Jul2018'!W42/100)*'Tariffs Jul2018'!AJ42,('Tariffs Jul2018'!L42-'Tariffs Jul2018'!K42)*('Tariffs Jul2018'!W42/100)*'Tariffs Jul2018'!AJ42))</f>
        <v>0</v>
      </c>
      <c r="M48" s="59">
        <f>IF($C$5*'Tariffs Jul2018'!AL42/'Tariffs Jul2018'!AJ42&lt;'Tariffs Jul2018'!L42,0,IF($C$5*'Tariffs Jul2018'!AL42/'Tariffs Jul2018'!AJ42&lt;='Tariffs Jul2018'!M42,($C$5*'Tariffs Jul2018'!AL42/'Tariffs Jul2018'!AJ42-'Tariffs Jul2018'!L42)*('Tariffs Jul2018'!X42/100)*'Tariffs Jul2018'!AJ42,('Tariffs Jul2018'!M42-'Tariffs Jul2018'!L42)*('Tariffs Jul2018'!X42/100)*'Tariffs Jul2018'!AJ42))</f>
        <v>0</v>
      </c>
      <c r="N48" s="59">
        <f>IF(($C$5*'Tariffs Jul2018'!AL42/'Tariffs Jul2018'!AJ42&gt;'Tariffs Jul2018'!M42),($C$5*'Tariffs Jul2018'!AL42/'Tariffs Jul2018'!AJ42-'Tariffs Jul2018'!M42)*'Tariffs Jul2018'!Y42/100*'Tariffs Jul2018'!AJ42,0)</f>
        <v>671.90591999999992</v>
      </c>
      <c r="O48" s="271">
        <f t="shared" si="0"/>
        <v>1524.6868799999997</v>
      </c>
      <c r="P48" s="59">
        <f t="shared" si="1"/>
        <v>1784.2383799999998</v>
      </c>
      <c r="Q48" s="272">
        <f t="shared" si="2"/>
        <v>1962.6622179999999</v>
      </c>
      <c r="R48" s="40">
        <f>'Tariffs Jul2018'!AM42</f>
        <v>0</v>
      </c>
      <c r="S48" s="40">
        <f>'Tariffs Jul2018'!AN42</f>
        <v>0</v>
      </c>
      <c r="T48" s="40">
        <f>'Tariffs Jul2018'!AO42</f>
        <v>0</v>
      </c>
      <c r="U48" s="40">
        <f>'Tariffs Jul2018'!AP42</f>
        <v>26</v>
      </c>
      <c r="V48" s="273">
        <f t="shared" si="7"/>
        <v>1784.2383799999998</v>
      </c>
      <c r="W48" s="273">
        <f>V48-(O48*U48/100)</f>
        <v>1387.8197911999998</v>
      </c>
      <c r="X48" s="272">
        <f t="shared" si="4"/>
        <v>1962.6622179999999</v>
      </c>
      <c r="Y48" s="272">
        <f t="shared" si="4"/>
        <v>1526.60177032</v>
      </c>
      <c r="Z48" s="274">
        <f>'Tariffs Jul2018'!AY42</f>
        <v>0</v>
      </c>
      <c r="AA48" s="274" t="str">
        <f>'Tariffs Jul2018'!AZ42</f>
        <v>n</v>
      </c>
      <c r="AB48" s="275" t="str">
        <f>'Tariffs Jul2018'!BG42</f>
        <v>Y</v>
      </c>
      <c r="AC48" s="351"/>
      <c r="AD48" s="351"/>
      <c r="AE48" s="351"/>
      <c r="AF48" s="351"/>
      <c r="AG48" s="351"/>
      <c r="AH48" s="351"/>
      <c r="AI48" s="351"/>
      <c r="AJ48" s="351"/>
      <c r="AK48" s="351"/>
      <c r="AL48" s="351"/>
      <c r="AM48" s="351"/>
      <c r="AN48" s="351"/>
    </row>
    <row r="49" spans="1:40" x14ac:dyDescent="0.15">
      <c r="A49" s="40" t="str">
        <f>'Tariffs Jul2018'!F43</f>
        <v>Sumo Power</v>
      </c>
      <c r="B49" s="40" t="str">
        <f>'Tariffs Jul2018'!D43</f>
        <v>Envestra North</v>
      </c>
      <c r="C49" s="40" t="str">
        <f>'Tariffs Jul2018'!G43</f>
        <v>Pay on time (max discount)</v>
      </c>
      <c r="D49" s="59">
        <f>365*'Tariffs Jul2018'!H43/100</f>
        <v>233.74600000000001</v>
      </c>
      <c r="E49" s="59">
        <f>IF($C$5*'Tariffs Jul2018'!AK43/'Tariffs Jul2018'!AI43&gt;='Tariffs Jul2018'!J43,( 'Tariffs Jul2018'!J43*'Tariffs Jul2018'!O43/100)* 'Tariffs Jul2018'!AI43,($C$5*'Tariffs Jul2018'!AK43/'Tariffs Jul2018'!AI43*'Tariffs Jul2018'!O43/100)* 'Tariffs Jul2018'!AI43)</f>
        <v>90.409199999999998</v>
      </c>
      <c r="F49" s="59">
        <f>IF($C$5*'Tariffs Jul2018'!AK43/'Tariffs Jul2018'!AI43&lt;'Tariffs Jul2018'!J43,0,IF($C$5*'Tariffs Jul2018'!AK43/'Tariffs Jul2018'!AI43&lt;='Tariffs Jul2018'!K43,($C$5*'Tariffs Jul2018'!AK43/'Tariffs Jul2018'!AI43-'Tariffs Jul2018'!J43)*('Tariffs Jul2018'!S43/100)*'Tariffs Jul2018'!AI43,('Tariffs Jul2018'!K43-'Tariffs Jul2018'!J43)*('Tariffs Jul2018'!S43/100)*'Tariffs Jul2018'!AI43))</f>
        <v>56.476400000000005</v>
      </c>
      <c r="G49" s="59">
        <f>IF($C$5*'Tariffs Jul2018'!AK43/'Tariffs Jul2018'!AI43&lt;'Tariffs Jul2018'!K43,0,IF($C$5*'Tariffs Jul2018'!AK43/'Tariffs Jul2018'!AI43&lt;='Tariffs Jul2018'!L43,($C$5*'Tariffs Jul2018'!AK43/'Tariffs Jul2018'!AI43-'Tariffs Jul2018'!K43)*('Tariffs Jul2018'!Q43/100)*'Tariffs Jul2018'!AI43,('Tariffs Jul2018'!L43-'Tariffs Jul2018'!K43)*('Tariffs Jul2018'!Q43/100)*'Tariffs Jul2018'!AI43))</f>
        <v>0</v>
      </c>
      <c r="H49" s="59">
        <f>IF($C$5*'Tariffs Jul2018'!AK43/'Tariffs Jul2018'!AI43&lt;'Tariffs Jul2018'!L43,0,IF($C$5*'Tariffs Jul2018'!AK43/'Tariffs Jul2018'!AI43&lt;='Tariffs Jul2018'!M43,($C$5*'Tariffs Jul2018'!AK43/'Tariffs Jul2018'!AI43-'Tariffs Jul2018'!L43)*('Tariffs Jul2018'!R43/100)*'Tariffs Jul2018'!AI43,('Tariffs Jul2018'!M43-'Tariffs Jul2018'!L43)*('Tariffs Jul2018'!R43/100)*'Tariffs Jul2018'!AI43))</f>
        <v>0</v>
      </c>
      <c r="I49" s="59">
        <f>IF(($C$5*'Tariffs Jul2018'!AK43/'Tariffs Jul2018'!AI43&gt;'Tariffs Jul2018'!M43),($C$5*'Tariffs Jul2018'!AK43/'Tariffs Jul2018'!AI43-'Tariffs Jul2018'!M43)*'Tariffs Jul2018'!S43/100*'Tariffs Jul2018'!AI43,0)</f>
        <v>312.55623599999996</v>
      </c>
      <c r="J49" s="59">
        <f>IF($C$5*'Tariffs Jul2018'!AL43/'Tariffs Jul2018'!AJ43&gt;='Tariffs Jul2018'!J43,('Tariffs Jul2018'!J43*'Tariffs Jul2018'!U43/100)* 'Tariffs Jul2018'!AJ43,($C$5*'Tariffs Jul2018'!AL43/'Tariffs Jul2018'!AJ43*'Tariffs Jul2018'!U43/100)* 'Tariffs Jul2018'!AJ43)</f>
        <v>166.40819999999999</v>
      </c>
      <c r="K49" s="59">
        <f>IF($C$5*'Tariffs Jul2018'!AL43/'Tariffs Jul2018'!AJ43&lt;'Tariffs Jul2018'!J43,0,IF($C$5*'Tariffs Jul2018'!AL43/'Tariffs Jul2018'!AJ43&lt;='Tariffs Jul2018'!K43,($C$5*'Tariffs Jul2018'!AL43/'Tariffs Jul2018'!AJ43-'Tariffs Jul2018'!J43)*('Tariffs Jul2018'!V43/100)*'Tariffs Jul2018'!AJ43,('Tariffs Jul2018'!K43-'Tariffs Jul2018'!J43)*('Tariffs Jul2018'!V43/100)*'Tariffs Jul2018'!AJ43))</f>
        <v>124.6058</v>
      </c>
      <c r="L49" s="59">
        <f>IF($C$5*'Tariffs Jul2018'!AL43/'Tariffs Jul2018'!AJ43&lt;'Tariffs Jul2018'!K43,0,IF($C$5*'Tariffs Jul2018'!AL43/'Tariffs Jul2018'!AJ43&lt;='Tariffs Jul2018'!L43,($C$5*'Tariffs Jul2018'!AL43/'Tariffs Jul2018'!AJ43-'Tariffs Jul2018'!K43)*('Tariffs Jul2018'!W43/100)*'Tariffs Jul2018'!AJ43,('Tariffs Jul2018'!L43-'Tariffs Jul2018'!K43)*('Tariffs Jul2018'!W43/100)*'Tariffs Jul2018'!AJ43))</f>
        <v>0</v>
      </c>
      <c r="M49" s="59">
        <f>IF($C$5*'Tariffs Jul2018'!AL43/'Tariffs Jul2018'!AJ43&lt;'Tariffs Jul2018'!L43,0,IF($C$5*'Tariffs Jul2018'!AL43/'Tariffs Jul2018'!AJ43&lt;='Tariffs Jul2018'!M43,($C$5*'Tariffs Jul2018'!AL43/'Tariffs Jul2018'!AJ43-'Tariffs Jul2018'!L43)*('Tariffs Jul2018'!X43/100)*'Tariffs Jul2018'!AJ43,('Tariffs Jul2018'!M43-'Tariffs Jul2018'!L43)*('Tariffs Jul2018'!X43/100)*'Tariffs Jul2018'!AJ43))</f>
        <v>0</v>
      </c>
      <c r="N49" s="59">
        <f>IF(($C$5*'Tariffs Jul2018'!AL43/'Tariffs Jul2018'!AJ43&gt;'Tariffs Jul2018'!M43),($C$5*'Tariffs Jul2018'!AL43/'Tariffs Jul2018'!AJ43-'Tariffs Jul2018'!M43)*'Tariffs Jul2018'!Y43/100*'Tariffs Jul2018'!AJ43,0)</f>
        <v>575.31944399999998</v>
      </c>
      <c r="O49" s="271">
        <f t="shared" si="0"/>
        <v>1325.7752799999998</v>
      </c>
      <c r="P49" s="59">
        <f t="shared" si="1"/>
        <v>1559.5212799999999</v>
      </c>
      <c r="Q49" s="272">
        <f t="shared" si="2"/>
        <v>1715.4734080000001</v>
      </c>
      <c r="R49" s="40">
        <f>'Tariffs Jul2018'!AM43</f>
        <v>0</v>
      </c>
      <c r="S49" s="40">
        <f>'Tariffs Jul2018'!AN43</f>
        <v>0</v>
      </c>
      <c r="T49" s="40">
        <f>'Tariffs Jul2018'!AO43</f>
        <v>0</v>
      </c>
      <c r="U49" s="40">
        <f>'Tariffs Jul2018'!AP43</f>
        <v>25</v>
      </c>
      <c r="V49" s="273">
        <f t="shared" si="7"/>
        <v>1559.5212799999999</v>
      </c>
      <c r="W49" s="273">
        <f>V49-(O49*U49/100)</f>
        <v>1228.07746</v>
      </c>
      <c r="X49" s="272">
        <f t="shared" si="4"/>
        <v>1715.4734080000001</v>
      </c>
      <c r="Y49" s="272">
        <f t="shared" si="4"/>
        <v>1350.8852060000002</v>
      </c>
      <c r="Z49" s="274">
        <f>'Tariffs Jul2018'!AY43</f>
        <v>0</v>
      </c>
      <c r="AA49" s="274" t="str">
        <f>'Tariffs Jul2018'!AZ43</f>
        <v>n</v>
      </c>
      <c r="AB49" s="275" t="str">
        <f>'Tariffs Jul2018'!BG43</f>
        <v>Y</v>
      </c>
      <c r="AC49" s="351"/>
      <c r="AD49" s="351"/>
      <c r="AE49" s="351"/>
      <c r="AF49" s="351"/>
      <c r="AG49" s="351"/>
      <c r="AH49" s="351"/>
      <c r="AI49" s="351"/>
      <c r="AJ49" s="351"/>
      <c r="AK49" s="351"/>
      <c r="AL49" s="351"/>
      <c r="AM49" s="351"/>
      <c r="AN49" s="351"/>
    </row>
    <row r="50" spans="1:40" x14ac:dyDescent="0.15">
      <c r="A50" s="40" t="str">
        <f>'Tariffs Jul2018'!F44</f>
        <v>Amaysim</v>
      </c>
      <c r="B50" s="40" t="str">
        <f>'Tariffs Jul2018'!D44</f>
        <v>Envestra North</v>
      </c>
      <c r="C50" s="40" t="str">
        <f>'Tariffs Jul2018'!G44</f>
        <v>Gas 4</v>
      </c>
      <c r="D50" s="59">
        <f>365*'Tariffs Jul2018'!H44/100</f>
        <v>292.73</v>
      </c>
      <c r="E50" s="59">
        <f>IF($C$5*'Tariffs Jul2018'!AK44/'Tariffs Jul2018'!AI44&gt;='Tariffs Jul2018'!J44,( 'Tariffs Jul2018'!J44*'Tariffs Jul2018'!O44/100)* 'Tariffs Jul2018'!AI44,($C$5*'Tariffs Jul2018'!AK44/'Tariffs Jul2018'!AI44*'Tariffs Jul2018'!O44/100)* 'Tariffs Jul2018'!AI44)</f>
        <v>123.375</v>
      </c>
      <c r="F50" s="59">
        <f>IF($C$5*'Tariffs Jul2018'!AK44/'Tariffs Jul2018'!AI44&lt;'Tariffs Jul2018'!J44,0,IF($C$5*'Tariffs Jul2018'!AK44/'Tariffs Jul2018'!AI44&lt;='Tariffs Jul2018'!K44,($C$5*'Tariffs Jul2018'!AK44/'Tariffs Jul2018'!AI44-'Tariffs Jul2018'!J44)*('Tariffs Jul2018'!P44/100)*'Tariffs Jul2018'!AI44,('Tariffs Jul2018'!K44-'Tariffs Jul2018'!J44)*('Tariffs Jul2018'!P44/100)*'Tariffs Jul2018'!AI44))</f>
        <v>86.72</v>
      </c>
      <c r="G50" s="59">
        <f>IF($C$5*'Tariffs Jul2018'!AK44/'Tariffs Jul2018'!AI44&lt;'Tariffs Jul2018'!K44,0,IF($C$5*'Tariffs Jul2018'!AK44/'Tariffs Jul2018'!AI44&lt;='Tariffs Jul2018'!L44,($C$5*'Tariffs Jul2018'!AK44/'Tariffs Jul2018'!AI44-'Tariffs Jul2018'!K44)*('Tariffs Jul2018'!Q44/100)*'Tariffs Jul2018'!AI44,('Tariffs Jul2018'!L44-'Tariffs Jul2018'!K44)*('Tariffs Jul2018'!Q44/100)*'Tariffs Jul2018'!AI44))</f>
        <v>0</v>
      </c>
      <c r="H50" s="59">
        <f>IF($C$5*'Tariffs Jul2018'!AK44/'Tariffs Jul2018'!AI44&lt;'Tariffs Jul2018'!L44,0,IF($C$5*'Tariffs Jul2018'!AK44/'Tariffs Jul2018'!AI44&lt;='Tariffs Jul2018'!M44,($C$5*'Tariffs Jul2018'!AK44/'Tariffs Jul2018'!AI44-'Tariffs Jul2018'!L44)*('Tariffs Jul2018'!R44/100)*'Tariffs Jul2018'!AI44,('Tariffs Jul2018'!M44-'Tariffs Jul2018'!L44)*('Tariffs Jul2018'!R44/100)*'Tariffs Jul2018'!AI44))</f>
        <v>0</v>
      </c>
      <c r="I50" s="59">
        <f>IF(($C$5*'Tariffs Jul2018'!AK44/'Tariffs Jul2018'!AI44&gt;'Tariffs Jul2018'!M44),($C$5*'Tariffs Jul2018'!AK44/'Tariffs Jul2018'!AI44-'Tariffs Jul2018'!M44)*'Tariffs Jul2018'!S44/100*'Tariffs Jul2018'!AI44,0)</f>
        <v>419.94119999999987</v>
      </c>
      <c r="J50" s="59">
        <f>IF($C$5*'Tariffs Jul2018'!AL44/'Tariffs Jul2018'!AJ44&gt;='Tariffs Jul2018'!J44,('Tariffs Jul2018'!J44*'Tariffs Jul2018'!U44/100)* 'Tariffs Jul2018'!AJ44,($C$5*'Tariffs Jul2018'!AL44/'Tariffs Jul2018'!AJ44*'Tariffs Jul2018'!U44/100)* 'Tariffs Jul2018'!AJ44)</f>
        <v>246.75</v>
      </c>
      <c r="K50" s="59">
        <f>IF($C$5*'Tariffs Jul2018'!AL44/'Tariffs Jul2018'!AJ44&lt;'Tariffs Jul2018'!J44,0,IF($C$5*'Tariffs Jul2018'!AL44/'Tariffs Jul2018'!AJ44&lt;='Tariffs Jul2018'!K44,($C$5*'Tariffs Jul2018'!AL44/'Tariffs Jul2018'!AJ44-'Tariffs Jul2018'!J44)*('Tariffs Jul2018'!V44/100)*'Tariffs Jul2018'!AJ44,('Tariffs Jul2018'!K44-'Tariffs Jul2018'!J44)*('Tariffs Jul2018'!V44/100)*'Tariffs Jul2018'!AJ44))</f>
        <v>173.44</v>
      </c>
      <c r="L50" s="59">
        <f>IF($C$5*'Tariffs Jul2018'!AL44/'Tariffs Jul2018'!AJ44&lt;'Tariffs Jul2018'!K44,0,IF($C$5*'Tariffs Jul2018'!AL44/'Tariffs Jul2018'!AJ44&lt;='Tariffs Jul2018'!L44,($C$5*'Tariffs Jul2018'!AL44/'Tariffs Jul2018'!AJ44-'Tariffs Jul2018'!K44)*('Tariffs Jul2018'!W44/100)*'Tariffs Jul2018'!AJ44,('Tariffs Jul2018'!L44-'Tariffs Jul2018'!K44)*('Tariffs Jul2018'!W44/100)*'Tariffs Jul2018'!AJ44))</f>
        <v>0</v>
      </c>
      <c r="M50" s="59">
        <f>IF($C$5*'Tariffs Jul2018'!AL44/'Tariffs Jul2018'!AJ44&lt;'Tariffs Jul2018'!L44,0,IF($C$5*'Tariffs Jul2018'!AL44/'Tariffs Jul2018'!AJ44&lt;='Tariffs Jul2018'!M44,($C$5*'Tariffs Jul2018'!AL44/'Tariffs Jul2018'!AJ44-'Tariffs Jul2018'!L44)*('Tariffs Jul2018'!X44/100)*'Tariffs Jul2018'!AJ44,('Tariffs Jul2018'!M44-'Tariffs Jul2018'!L44)*('Tariffs Jul2018'!X44/100)*'Tariffs Jul2018'!AJ44))</f>
        <v>0</v>
      </c>
      <c r="N50" s="59">
        <f>IF(($C$5*'Tariffs Jul2018'!AL44/'Tariffs Jul2018'!AJ44&gt;'Tariffs Jul2018'!M44),($C$5*'Tariffs Jul2018'!AL44/'Tariffs Jul2018'!AJ44-'Tariffs Jul2018'!M44)*'Tariffs Jul2018'!Y44/100*'Tariffs Jul2018'!AJ44,0)</f>
        <v>839.88239999999973</v>
      </c>
      <c r="O50" s="271">
        <f t="shared" si="0"/>
        <v>1890.1085999999996</v>
      </c>
      <c r="P50" s="59">
        <f t="shared" si="1"/>
        <v>2182.8385999999996</v>
      </c>
      <c r="Q50" s="272">
        <f t="shared" si="2"/>
        <v>2401.1224599999996</v>
      </c>
      <c r="R50" s="40">
        <f>'Tariffs Jul2018'!AM44</f>
        <v>0</v>
      </c>
      <c r="S50" s="40">
        <f>'Tariffs Jul2018'!AN44</f>
        <v>0</v>
      </c>
      <c r="T50" s="40">
        <f>'Tariffs Jul2018'!AO44</f>
        <v>5</v>
      </c>
      <c r="U50" s="40">
        <f>'Tariffs Jul2018'!AP44</f>
        <v>0</v>
      </c>
      <c r="V50" s="273">
        <f t="shared" si="7"/>
        <v>2182.8385999999996</v>
      </c>
      <c r="W50" s="273">
        <f>V50-(P50*T50/100)</f>
        <v>2073.6966699999998</v>
      </c>
      <c r="X50" s="272">
        <f t="shared" si="4"/>
        <v>2401.1224599999996</v>
      </c>
      <c r="Y50" s="272">
        <f t="shared" si="4"/>
        <v>2281.0663370000002</v>
      </c>
      <c r="Z50" s="274">
        <f>'Tariffs Jul2018'!AY44</f>
        <v>0</v>
      </c>
      <c r="AA50" s="274" t="str">
        <f>'Tariffs Jul2018'!AZ44</f>
        <v>n</v>
      </c>
      <c r="AB50" s="275" t="str">
        <f>'Tariffs Jul2018'!BG44</f>
        <v>N</v>
      </c>
      <c r="AC50" s="351"/>
      <c r="AD50" s="351"/>
      <c r="AE50" s="351"/>
      <c r="AF50" s="351"/>
      <c r="AG50" s="351"/>
      <c r="AH50" s="351"/>
      <c r="AI50" s="351"/>
      <c r="AJ50" s="351"/>
      <c r="AK50" s="351"/>
      <c r="AL50" s="351"/>
      <c r="AM50" s="351"/>
      <c r="AN50" s="351"/>
    </row>
    <row r="51" spans="1:40" x14ac:dyDescent="0.15">
      <c r="A51" s="40" t="str">
        <f>'Tariffs Jul2018'!F45</f>
        <v>GloBird</v>
      </c>
      <c r="B51" s="40" t="str">
        <f>'Tariffs Jul2018'!D45</f>
        <v>Envestra North</v>
      </c>
      <c r="C51" s="40" t="str">
        <f>'Tariffs Jul2018'!G45</f>
        <v>GloSave</v>
      </c>
      <c r="D51" s="59">
        <f>365*'Tariffs Jul2018'!H45/100</f>
        <v>299.3</v>
      </c>
      <c r="E51" s="59">
        <f>IF($C$5*'Tariffs Jul2018'!AK45/'Tariffs Jul2018'!AI45&gt;='Tariffs Jul2018'!J45,( 'Tariffs Jul2018'!J45*'Tariffs Jul2018'!O45/100)* 'Tariffs Jul2018'!AI45,($C$5*'Tariffs Jul2018'!AK45/'Tariffs Jul2018'!AI45*'Tariffs Jul2018'!O45/100)* 'Tariffs Jul2018'!AI45)</f>
        <v>180</v>
      </c>
      <c r="F51" s="59">
        <f>IF($C$5*'Tariffs Jul2018'!AK45/'Tariffs Jul2018'!AI45&lt;'Tariffs Jul2018'!J45,0,IF($C$5*'Tariffs Jul2018'!AK45/'Tariffs Jul2018'!AI45&lt;='Tariffs Jul2018'!K45,($C$5*'Tariffs Jul2018'!AK45/'Tariffs Jul2018'!AI45-'Tariffs Jul2018'!J45)*('Tariffs Jul2018'!P45/100)*'Tariffs Jul2018'!AI45,('Tariffs Jul2018'!K45-'Tariffs Jul2018'!J45)*('Tariffs Jul2018'!P45/100)*'Tariffs Jul2018'!AI45))</f>
        <v>0</v>
      </c>
      <c r="G51" s="59">
        <f>IF($C$5*'Tariffs Jul2018'!AK45/'Tariffs Jul2018'!AI45&lt;'Tariffs Jul2018'!K45,0,IF($C$5*'Tariffs Jul2018'!AK45/'Tariffs Jul2018'!AI45&lt;='Tariffs Jul2018'!L45,($C$5*'Tariffs Jul2018'!AK45/'Tariffs Jul2018'!AI45-'Tariffs Jul2018'!K45)*('Tariffs Jul2018'!Q45/100)*'Tariffs Jul2018'!AI45,('Tariffs Jul2018'!L45-'Tariffs Jul2018'!K45)*('Tariffs Jul2018'!Q45/100)*'Tariffs Jul2018'!AI45))</f>
        <v>0</v>
      </c>
      <c r="H51" s="59">
        <f>IF($C$5*'Tariffs Jul2018'!AK45/'Tariffs Jul2018'!AI45&lt;'Tariffs Jul2018'!L45,0,IF($C$5*'Tariffs Jul2018'!AK45/'Tariffs Jul2018'!AI45&lt;='Tariffs Jul2018'!M45,($C$5*'Tariffs Jul2018'!AK45/'Tariffs Jul2018'!AI45-'Tariffs Jul2018'!L45)*('Tariffs Jul2018'!R45/100)*'Tariffs Jul2018'!AI45,('Tariffs Jul2018'!M45-'Tariffs Jul2018'!L45)*('Tariffs Jul2018'!R45/100)*'Tariffs Jul2018'!AI45))</f>
        <v>0</v>
      </c>
      <c r="I51" s="59">
        <f>IF(($C$5*'Tariffs Jul2018'!AK45/'Tariffs Jul2018'!AI45&gt;'Tariffs Jul2018'!M45),($C$5*'Tariffs Jul2018'!AK45/'Tariffs Jul2018'!AI45-'Tariffs Jul2018'!M45)*'Tariffs Jul2018'!S45/100*'Tariffs Jul2018'!AI45,0)</f>
        <v>412.44224999999989</v>
      </c>
      <c r="J51" s="59">
        <f>IF($C$5*'Tariffs Jul2018'!AL45/'Tariffs Jul2018'!AJ45&gt;='Tariffs Jul2018'!J45,('Tariffs Jul2018'!J45*'Tariffs Jul2018'!U45/100)* 'Tariffs Jul2018'!AJ45,($C$5*'Tariffs Jul2018'!AL45/'Tariffs Jul2018'!AJ45*'Tariffs Jul2018'!U45/100)* 'Tariffs Jul2018'!AJ45)</f>
        <v>360</v>
      </c>
      <c r="K51" s="59">
        <f>IF($C$5*'Tariffs Jul2018'!AL45/'Tariffs Jul2018'!AJ45&lt;'Tariffs Jul2018'!J45,0,IF($C$5*'Tariffs Jul2018'!AL45/'Tariffs Jul2018'!AJ45&lt;='Tariffs Jul2018'!K45,($C$5*'Tariffs Jul2018'!AL45/'Tariffs Jul2018'!AJ45-'Tariffs Jul2018'!J45)*('Tariffs Jul2018'!V45/100)*'Tariffs Jul2018'!AJ45,('Tariffs Jul2018'!K45-'Tariffs Jul2018'!J45)*('Tariffs Jul2018'!V45/100)*'Tariffs Jul2018'!AJ45))</f>
        <v>0</v>
      </c>
      <c r="L51" s="59">
        <f>IF($C$5*'Tariffs Jul2018'!AL45/'Tariffs Jul2018'!AJ45&lt;'Tariffs Jul2018'!K45,0,IF($C$5*'Tariffs Jul2018'!AL45/'Tariffs Jul2018'!AJ45&lt;='Tariffs Jul2018'!L45,($C$5*'Tariffs Jul2018'!AL45/'Tariffs Jul2018'!AJ45-'Tariffs Jul2018'!K45)*('Tariffs Jul2018'!W45/100)*'Tariffs Jul2018'!AJ45,('Tariffs Jul2018'!L45-'Tariffs Jul2018'!K45)*('Tariffs Jul2018'!W45/100)*'Tariffs Jul2018'!AJ45))</f>
        <v>0</v>
      </c>
      <c r="M51" s="59">
        <f>IF($C$5*'Tariffs Jul2018'!AL45/'Tariffs Jul2018'!AJ45&lt;'Tariffs Jul2018'!L45,0,IF($C$5*'Tariffs Jul2018'!AL45/'Tariffs Jul2018'!AJ45&lt;='Tariffs Jul2018'!M45,($C$5*'Tariffs Jul2018'!AL45/'Tariffs Jul2018'!AJ45-'Tariffs Jul2018'!L45)*('Tariffs Jul2018'!X45/100)*'Tariffs Jul2018'!AJ45,('Tariffs Jul2018'!M45-'Tariffs Jul2018'!L45)*('Tariffs Jul2018'!X45/100)*'Tariffs Jul2018'!AJ45))</f>
        <v>0</v>
      </c>
      <c r="N51" s="59">
        <f>IF(($C$5*'Tariffs Jul2018'!AL45/'Tariffs Jul2018'!AJ45&gt;'Tariffs Jul2018'!M45),($C$5*'Tariffs Jul2018'!AL45/'Tariffs Jul2018'!AJ45-'Tariffs Jul2018'!M45)*'Tariffs Jul2018'!Y45/100*'Tariffs Jul2018'!AJ45,0)</f>
        <v>824.88449999999978</v>
      </c>
      <c r="O51" s="271">
        <f>SUM(E51:N51)</f>
        <v>1777.3267499999997</v>
      </c>
      <c r="P51" s="59">
        <f>D51+O51</f>
        <v>2076.6267499999999</v>
      </c>
      <c r="Q51" s="272">
        <f>P51*1.1</f>
        <v>2284.2894249999999</v>
      </c>
      <c r="R51" s="40">
        <f>'Tariffs Jul2018'!AM45</f>
        <v>0</v>
      </c>
      <c r="S51" s="40">
        <f>'Tariffs Jul2018'!AN45</f>
        <v>0</v>
      </c>
      <c r="T51" s="40">
        <f>'Tariffs Jul2018'!AO45</f>
        <v>34</v>
      </c>
      <c r="U51" s="40">
        <f>'Tariffs Jul2018'!AP45</f>
        <v>0</v>
      </c>
      <c r="V51" s="273">
        <f>P51</f>
        <v>2076.6267499999999</v>
      </c>
      <c r="W51" s="273">
        <f>V51-(P51*T51/100)</f>
        <v>1370.5736549999999</v>
      </c>
      <c r="X51" s="272">
        <f>V51*1.1</f>
        <v>2284.2894249999999</v>
      </c>
      <c r="Y51" s="272">
        <f>W51*1.1</f>
        <v>1507.6310205</v>
      </c>
      <c r="Z51" s="274">
        <f>'Tariffs Jul2018'!AY45</f>
        <v>0</v>
      </c>
      <c r="AA51" s="274" t="str">
        <f>'Tariffs Jul2018'!AZ45</f>
        <v>n</v>
      </c>
      <c r="AB51" s="275" t="str">
        <f>'Tariffs Jul2018'!BG45</f>
        <v>N</v>
      </c>
      <c r="AC51" s="351"/>
      <c r="AD51" s="351"/>
      <c r="AE51" s="351"/>
      <c r="AF51" s="351"/>
      <c r="AG51" s="351"/>
      <c r="AH51" s="351"/>
      <c r="AI51" s="351"/>
      <c r="AJ51" s="351"/>
      <c r="AK51" s="351"/>
      <c r="AL51" s="351"/>
      <c r="AM51" s="351"/>
      <c r="AN51" s="351"/>
    </row>
    <row r="52" spans="1:40" ht="14" thickBot="1" x14ac:dyDescent="0.2">
      <c r="A52" s="277" t="str">
        <f>'Tariffs Jul2018'!F46</f>
        <v>Powershop</v>
      </c>
      <c r="B52" s="277" t="str">
        <f>'Tariffs Jul2018'!D46</f>
        <v>Envestra North</v>
      </c>
      <c r="C52" s="277" t="str">
        <f>'Tariffs Jul2018'!G46</f>
        <v>Gas Saver</v>
      </c>
      <c r="D52" s="278">
        <f>365*'Tariffs Jul2018'!H46/100</f>
        <v>298.13200000000001</v>
      </c>
      <c r="E52" s="278">
        <f>((C$5*'Tariffs Jul2018'!AK46/'Tariffs Jul2018'!AI46)*('Tariffs Jul2018'!O46/100))*'Tariffs Jul2018'!AI46</f>
        <v>373.76261999999997</v>
      </c>
      <c r="F52" s="278">
        <v>0</v>
      </c>
      <c r="G52" s="278">
        <v>0</v>
      </c>
      <c r="H52" s="278">
        <v>0</v>
      </c>
      <c r="I52" s="278">
        <v>0</v>
      </c>
      <c r="J52" s="278">
        <f>((C$5*'Tariffs Jul2018'!AL46/'Tariffs Jul2018'!AJ46)*('Tariffs Jul2018'!U46/100))*'Tariffs Jul2018'!AJ46</f>
        <v>747.52523999999994</v>
      </c>
      <c r="K52" s="278">
        <v>0</v>
      </c>
      <c r="L52" s="278">
        <v>0</v>
      </c>
      <c r="M52" s="278">
        <v>0</v>
      </c>
      <c r="N52" s="278">
        <v>0</v>
      </c>
      <c r="O52" s="279">
        <f>SUM(E52:N52)</f>
        <v>1121.2878599999999</v>
      </c>
      <c r="P52" s="278">
        <f>D52+O52</f>
        <v>1419.41986</v>
      </c>
      <c r="Q52" s="280">
        <f>P52*1.1</f>
        <v>1561.361846</v>
      </c>
      <c r="R52" s="277">
        <f>'Tariffs Jul2018'!AM46</f>
        <v>0</v>
      </c>
      <c r="S52" s="277">
        <f>'Tariffs Jul2018'!AN46</f>
        <v>0</v>
      </c>
      <c r="T52" s="277">
        <f>'Tariffs Jul2018'!AO46</f>
        <v>5</v>
      </c>
      <c r="U52" s="277">
        <f>'Tariffs Jul2018'!AP46</f>
        <v>0</v>
      </c>
      <c r="V52" s="281">
        <f t="shared" si="7"/>
        <v>1419.41986</v>
      </c>
      <c r="W52" s="281">
        <f>V52-(P52*T52/100)</f>
        <v>1348.4488670000001</v>
      </c>
      <c r="X52" s="280">
        <f>V52*1.1</f>
        <v>1561.361846</v>
      </c>
      <c r="Y52" s="280">
        <f>W52*1.1</f>
        <v>1483.2937537000003</v>
      </c>
      <c r="Z52" s="282">
        <f>'Tariffs Jul2018'!AY46</f>
        <v>0</v>
      </c>
      <c r="AA52" s="282" t="str">
        <f>'Tariffs Jul2018'!AZ46</f>
        <v>n</v>
      </c>
      <c r="AB52" s="283" t="str">
        <f>'Tariffs Jul2018'!BG46</f>
        <v>Y</v>
      </c>
      <c r="AC52" s="351"/>
      <c r="AD52" s="351"/>
      <c r="AE52" s="351"/>
      <c r="AF52" s="351"/>
      <c r="AG52" s="351"/>
      <c r="AH52" s="351"/>
      <c r="AI52" s="351"/>
      <c r="AJ52" s="351"/>
      <c r="AK52" s="351"/>
      <c r="AL52" s="351"/>
      <c r="AM52" s="351"/>
      <c r="AN52" s="351"/>
    </row>
    <row r="53" spans="1:40" ht="14" thickTop="1" x14ac:dyDescent="0.15">
      <c r="A53" s="40" t="str">
        <f>'Tariffs Jul2018'!F47</f>
        <v>AGL</v>
      </c>
      <c r="B53" s="40" t="str">
        <f>'Tariffs Jul2018'!D47</f>
        <v>Envestra Central 2</v>
      </c>
      <c r="C53" s="40" t="str">
        <f>'Tariffs Jul2018'!G47</f>
        <v>Savers</v>
      </c>
      <c r="D53" s="59">
        <f>365*'Tariffs Jul2018'!H47/100</f>
        <v>281.05</v>
      </c>
      <c r="E53" s="59">
        <f>IF($C$5*'Tariffs Jul2018'!AK47/'Tariffs Jul2018'!AI47&gt;='Tariffs Jul2018'!J47,( 'Tariffs Jul2018'!J47*'Tariffs Jul2018'!O47/100)* 'Tariffs Jul2018'!AI47,($C$5*'Tariffs Jul2018'!AK47/'Tariffs Jul2018'!AI47*'Tariffs Jul2018'!O47/100)* 'Tariffs Jul2018'!AI47)</f>
        <v>93.107000000000014</v>
      </c>
      <c r="F53" s="59">
        <f>IF($C$5*'Tariffs Jul2018'!AK47/'Tariffs Jul2018'!AI47&lt;'Tariffs Jul2018'!J47,0,IF($C$5*'Tariffs Jul2018'!AK47/'Tariffs Jul2018'!AI47&lt;='Tariffs Jul2018'!K47,($C$5*'Tariffs Jul2018'!AK47/'Tariffs Jul2018'!AI47-'Tariffs Jul2018'!J47)*('Tariffs Jul2018'!P47/100)*'Tariffs Jul2018'!AI47,('Tariffs Jul2018'!K47-'Tariffs Jul2018'!J47)*('Tariffs Jul2018'!P47/100)*'Tariffs Jul2018'!AI47))</f>
        <v>73.17</v>
      </c>
      <c r="G53" s="59">
        <f>IF($C$5*'Tariffs Jul2018'!AK47/'Tariffs Jul2018'!AI47&lt;'Tariffs Jul2018'!K47,0,IF($C$5*'Tariffs Jul2018'!AK47/'Tariffs Jul2018'!AI47&lt;='Tariffs Jul2018'!L47,($C$5*'Tariffs Jul2018'!AK47/'Tariffs Jul2018'!AI47-'Tariffs Jul2018'!K47)*('Tariffs Jul2018'!Q47/100)*'Tariffs Jul2018'!AI47,('Tariffs Jul2018'!L47-'Tariffs Jul2018'!K47)*('Tariffs Jul2018'!Q47/100)*'Tariffs Jul2018'!AI47))</f>
        <v>0</v>
      </c>
      <c r="H53" s="59">
        <f>IF($C$5*'Tariffs Jul2018'!AK47/'Tariffs Jul2018'!AI47&lt;'Tariffs Jul2018'!L47,0,IF($C$5*'Tariffs Jul2018'!AK47/'Tariffs Jul2018'!AI47&lt;='Tariffs Jul2018'!M47,($C$5*'Tariffs Jul2018'!AK47/'Tariffs Jul2018'!AI47-'Tariffs Jul2018'!L47)*('Tariffs Jul2018'!R47/100)*'Tariffs Jul2018'!AI47,('Tariffs Jul2018'!M47-'Tariffs Jul2018'!L47)*('Tariffs Jul2018'!R47/100)*'Tariffs Jul2018'!AI47))</f>
        <v>0</v>
      </c>
      <c r="I53" s="59">
        <f>IF(($C$5*'Tariffs Jul2018'!AK47/'Tariffs Jul2018'!AI47&gt;'Tariffs Jul2018'!M47),($C$5*'Tariffs Jul2018'!AK47/'Tariffs Jul2018'!AI47-'Tariffs Jul2018'!M47)*'Tariffs Jul2018'!S47/100*'Tariffs Jul2018'!AI47,0)</f>
        <v>274.46156999999994</v>
      </c>
      <c r="J53" s="59">
        <f>IF($C$5*'Tariffs Jul2018'!AL47/'Tariffs Jul2018'!AJ47&gt;='Tariffs Jul2018'!J47,('Tariffs Jul2018'!J47*'Tariffs Jul2018'!U47/100)* 'Tariffs Jul2018'!AJ47,($C$5*'Tariffs Jul2018'!AL47/'Tariffs Jul2018'!AJ47*'Tariffs Jul2018'!U47/100)* 'Tariffs Jul2018'!AJ47)</f>
        <v>186.21400000000003</v>
      </c>
      <c r="K53" s="59">
        <f>IF($C$5*'Tariffs Jul2018'!AL47/'Tariffs Jul2018'!AJ47&lt;'Tariffs Jul2018'!J47,0,IF($C$5*'Tariffs Jul2018'!AL47/'Tariffs Jul2018'!AJ47&lt;='Tariffs Jul2018'!K47,($C$5*'Tariffs Jul2018'!AL47/'Tariffs Jul2018'!AJ47-'Tariffs Jul2018'!J47)*('Tariffs Jul2018'!V47/100)*'Tariffs Jul2018'!AJ47,('Tariffs Jul2018'!K47-'Tariffs Jul2018'!J47)*('Tariffs Jul2018'!V47/100)*'Tariffs Jul2018'!AJ47))</f>
        <v>146.34</v>
      </c>
      <c r="L53" s="59">
        <f>IF($C$5*'Tariffs Jul2018'!AL47/'Tariffs Jul2018'!AJ47&lt;'Tariffs Jul2018'!K47,0,IF($C$5*'Tariffs Jul2018'!AL47/'Tariffs Jul2018'!AJ47&lt;='Tariffs Jul2018'!L47,($C$5*'Tariffs Jul2018'!AL47/'Tariffs Jul2018'!AJ47-'Tariffs Jul2018'!K47)*('Tariffs Jul2018'!W47/100)*'Tariffs Jul2018'!AJ47,('Tariffs Jul2018'!L47-'Tariffs Jul2018'!K47)*('Tariffs Jul2018'!W47/100)*'Tariffs Jul2018'!AJ47))</f>
        <v>0</v>
      </c>
      <c r="M53" s="59">
        <f>IF($C$5*'Tariffs Jul2018'!AL47/'Tariffs Jul2018'!AJ47&lt;'Tariffs Jul2018'!L47,0,IF($C$5*'Tariffs Jul2018'!AL47/'Tariffs Jul2018'!AJ47&lt;='Tariffs Jul2018'!M47,($C$5*'Tariffs Jul2018'!AL47/'Tariffs Jul2018'!AJ47-'Tariffs Jul2018'!L47)*('Tariffs Jul2018'!X47/100)*'Tariffs Jul2018'!AJ47,('Tariffs Jul2018'!M47-'Tariffs Jul2018'!L47)*('Tariffs Jul2018'!X47/100)*'Tariffs Jul2018'!AJ47))</f>
        <v>0</v>
      </c>
      <c r="N53" s="59">
        <f>IF(($C$5*'Tariffs Jul2018'!AL47/'Tariffs Jul2018'!AJ47&gt;'Tariffs Jul2018'!M47),($C$5*'Tariffs Jul2018'!AL47/'Tariffs Jul2018'!AJ47-'Tariffs Jul2018'!M47)*'Tariffs Jul2018'!Y47/100*'Tariffs Jul2018'!AJ47,0)</f>
        <v>548.92313999999988</v>
      </c>
      <c r="O53" s="271">
        <f t="shared" si="0"/>
        <v>1322.2157099999999</v>
      </c>
      <c r="P53" s="59">
        <f t="shared" si="1"/>
        <v>1603.2657099999999</v>
      </c>
      <c r="Q53" s="272">
        <f t="shared" si="2"/>
        <v>1763.592281</v>
      </c>
      <c r="R53" s="40">
        <f>'Tariffs Jul2018'!AM47</f>
        <v>0</v>
      </c>
      <c r="S53" s="40">
        <f>'Tariffs Jul2018'!AN47</f>
        <v>0</v>
      </c>
      <c r="T53" s="40">
        <f>'Tariffs Jul2018'!AO47</f>
        <v>0</v>
      </c>
      <c r="U53" s="40">
        <f>'Tariffs Jul2018'!AP47</f>
        <v>26</v>
      </c>
      <c r="V53" s="273">
        <f>P53</f>
        <v>1603.2657099999999</v>
      </c>
      <c r="W53" s="273">
        <f>V53-(O53*U53/100)</f>
        <v>1259.4896254</v>
      </c>
      <c r="X53" s="272">
        <f t="shared" si="4"/>
        <v>1763.592281</v>
      </c>
      <c r="Y53" s="272">
        <f t="shared" si="4"/>
        <v>1385.4385879400002</v>
      </c>
      <c r="Z53" s="274">
        <f>'Tariffs Jul2018'!AY47</f>
        <v>0</v>
      </c>
      <c r="AA53" s="274" t="str">
        <f>'Tariffs Jul2018'!AZ47</f>
        <v>n</v>
      </c>
      <c r="AB53" s="275" t="str">
        <f>'Tariffs Jul2018'!BG47</f>
        <v>N</v>
      </c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</row>
    <row r="54" spans="1:40" x14ac:dyDescent="0.15">
      <c r="A54" s="40" t="str">
        <f>'Tariffs Jul2018'!F48</f>
        <v>Alinta Energy</v>
      </c>
      <c r="B54" s="40" t="str">
        <f>'Tariffs Jul2018'!D48</f>
        <v>Envestra Central 2</v>
      </c>
      <c r="C54" s="40" t="str">
        <f>'Tariffs Jul2018'!G48</f>
        <v>Fair Deal</v>
      </c>
      <c r="D54" s="59">
        <f>365*'Tariffs Jul2018'!H48/100</f>
        <v>256.26649999999995</v>
      </c>
      <c r="E54" s="59">
        <f>IF($C$5*'Tariffs Jul2018'!AK48/'Tariffs Jul2018'!AI48&gt;='Tariffs Jul2018'!J48,( 'Tariffs Jul2018'!J48*'Tariffs Jul2018'!O48/100)* 'Tariffs Jul2018'!AI48,($C$5*'Tariffs Jul2018'!AK48/'Tariffs Jul2018'!AI48*'Tariffs Jul2018'!O48/100)* 'Tariffs Jul2018'!AI48)</f>
        <v>81.263000000000005</v>
      </c>
      <c r="F54" s="59">
        <f>IF($C$5*'Tariffs Jul2018'!AK48/'Tariffs Jul2018'!AI48&lt;'Tariffs Jul2018'!J48,0,IF($C$5*'Tariffs Jul2018'!AK48/'Tariffs Jul2018'!AI48&lt;='Tariffs Jul2018'!K48,($C$5*'Tariffs Jul2018'!AK48/'Tariffs Jul2018'!AI48-'Tariffs Jul2018'!J48)*('Tariffs Jul2018'!P48/100)*'Tariffs Jul2018'!AI48,('Tariffs Jul2018'!K48-'Tariffs Jul2018'!J48)*('Tariffs Jul2018'!P48/100)*'Tariffs Jul2018'!AI48))</f>
        <v>66.937000000000012</v>
      </c>
      <c r="G54" s="59">
        <f>IF($C$5*'Tariffs Jul2018'!AK48/'Tariffs Jul2018'!AI48&lt;'Tariffs Jul2018'!K48,0,IF($C$5*'Tariffs Jul2018'!AK48/'Tariffs Jul2018'!AI48&lt;='Tariffs Jul2018'!L48,($C$5*'Tariffs Jul2018'!AK48/'Tariffs Jul2018'!AI48-'Tariffs Jul2018'!K48)*('Tariffs Jul2018'!Q48/100)*'Tariffs Jul2018'!AI48,('Tariffs Jul2018'!L48-'Tariffs Jul2018'!K48)*('Tariffs Jul2018'!Q48/100)*'Tariffs Jul2018'!AI48))</f>
        <v>0</v>
      </c>
      <c r="H54" s="59">
        <f>IF($C$5*'Tariffs Jul2018'!AK48/'Tariffs Jul2018'!AI48&lt;'Tariffs Jul2018'!L48,0,IF($C$5*'Tariffs Jul2018'!AK48/'Tariffs Jul2018'!AI48&lt;='Tariffs Jul2018'!M48,($C$5*'Tariffs Jul2018'!AK48/'Tariffs Jul2018'!AI48-'Tariffs Jul2018'!L48)*('Tariffs Jul2018'!R48/100)*'Tariffs Jul2018'!AI48,('Tariffs Jul2018'!M48-'Tariffs Jul2018'!L48)*('Tariffs Jul2018'!R48/100)*'Tariffs Jul2018'!AI48))</f>
        <v>0</v>
      </c>
      <c r="I54" s="59">
        <f>IF(($C$5*'Tariffs Jul2018'!AK48/'Tariffs Jul2018'!AI48&gt;'Tariffs Jul2018'!M48),($C$5*'Tariffs Jul2018'!AK48/'Tariffs Jul2018'!AI48-'Tariffs Jul2018'!M48)*'Tariffs Jul2018'!S48/100*'Tariffs Jul2018'!AI48,0)</f>
        <v>290.95925999999997</v>
      </c>
      <c r="J54" s="59">
        <f>IF($C$5*'Tariffs Jul2018'!AL48/'Tariffs Jul2018'!AJ48&gt;='Tariffs Jul2018'!J48,('Tariffs Jul2018'!J48*'Tariffs Jul2018'!U48/100)* 'Tariffs Jul2018'!AJ48,($C$5*'Tariffs Jul2018'!AL48/'Tariffs Jul2018'!AJ48*'Tariffs Jul2018'!U48/100)* 'Tariffs Jul2018'!AJ48)</f>
        <v>162.52600000000001</v>
      </c>
      <c r="K54" s="59">
        <f>IF($C$5*'Tariffs Jul2018'!AL48/'Tariffs Jul2018'!AJ48&lt;'Tariffs Jul2018'!J48,0,IF($C$5*'Tariffs Jul2018'!AL48/'Tariffs Jul2018'!AJ48&lt;='Tariffs Jul2018'!K48,($C$5*'Tariffs Jul2018'!AL48/'Tariffs Jul2018'!AJ48-'Tariffs Jul2018'!J48)*('Tariffs Jul2018'!V48/100)*'Tariffs Jul2018'!AJ48,('Tariffs Jul2018'!K48-'Tariffs Jul2018'!J48)*('Tariffs Jul2018'!V48/100)*'Tariffs Jul2018'!AJ48))</f>
        <v>133.87400000000002</v>
      </c>
      <c r="L54" s="59">
        <f>IF($C$5*'Tariffs Jul2018'!AL48/'Tariffs Jul2018'!AJ48&lt;'Tariffs Jul2018'!K48,0,IF($C$5*'Tariffs Jul2018'!AL48/'Tariffs Jul2018'!AJ48&lt;='Tariffs Jul2018'!L48,($C$5*'Tariffs Jul2018'!AL48/'Tariffs Jul2018'!AJ48-'Tariffs Jul2018'!K48)*('Tariffs Jul2018'!W48/100)*'Tariffs Jul2018'!AJ48,('Tariffs Jul2018'!L48-'Tariffs Jul2018'!K48)*('Tariffs Jul2018'!W48/100)*'Tariffs Jul2018'!AJ48))</f>
        <v>0</v>
      </c>
      <c r="M54" s="59">
        <f>IF($C$5*'Tariffs Jul2018'!AL48/'Tariffs Jul2018'!AJ48&lt;'Tariffs Jul2018'!L48,0,IF($C$5*'Tariffs Jul2018'!AL48/'Tariffs Jul2018'!AJ48&lt;='Tariffs Jul2018'!M48,($C$5*'Tariffs Jul2018'!AL48/'Tariffs Jul2018'!AJ48-'Tariffs Jul2018'!L48)*('Tariffs Jul2018'!X48/100)*'Tariffs Jul2018'!AJ48,('Tariffs Jul2018'!M48-'Tariffs Jul2018'!L48)*('Tariffs Jul2018'!X48/100)*'Tariffs Jul2018'!AJ48))</f>
        <v>0</v>
      </c>
      <c r="N54" s="59">
        <f>IF(($C$5*'Tariffs Jul2018'!AL48/'Tariffs Jul2018'!AJ48&gt;'Tariffs Jul2018'!M48),($C$5*'Tariffs Jul2018'!AL48/'Tariffs Jul2018'!AJ48-'Tariffs Jul2018'!M48)*'Tariffs Jul2018'!Y48/100*'Tariffs Jul2018'!AJ48,0)</f>
        <v>581.91851999999994</v>
      </c>
      <c r="O54" s="271">
        <f t="shared" si="0"/>
        <v>1317.4777799999999</v>
      </c>
      <c r="P54" s="59">
        <f t="shared" si="1"/>
        <v>1573.7442799999999</v>
      </c>
      <c r="Q54" s="272">
        <f t="shared" si="2"/>
        <v>1731.118708</v>
      </c>
      <c r="R54" s="40">
        <f>'Tariffs Jul2018'!AM48</f>
        <v>0</v>
      </c>
      <c r="S54" s="40">
        <f>'Tariffs Jul2018'!AN48</f>
        <v>0</v>
      </c>
      <c r="T54" s="40">
        <f>'Tariffs Jul2018'!AO48</f>
        <v>0</v>
      </c>
      <c r="U54" s="40">
        <f>'Tariffs Jul2018'!AP48</f>
        <v>25</v>
      </c>
      <c r="V54" s="273">
        <f>P54</f>
        <v>1573.7442799999999</v>
      </c>
      <c r="W54" s="273">
        <f>V54-(O54*U54/100)</f>
        <v>1244.3748349999998</v>
      </c>
      <c r="X54" s="272">
        <f t="shared" si="4"/>
        <v>1731.118708</v>
      </c>
      <c r="Y54" s="272">
        <f t="shared" si="4"/>
        <v>1368.8123184999999</v>
      </c>
      <c r="Z54" s="274">
        <f>'Tariffs Jul2018'!AY48</f>
        <v>0</v>
      </c>
      <c r="AA54" s="274" t="str">
        <f>'Tariffs Jul2018'!AZ48</f>
        <v>n</v>
      </c>
      <c r="AB54" s="275" t="str">
        <f>'Tariffs Jul2018'!BG48</f>
        <v>Y</v>
      </c>
      <c r="AC54" s="351"/>
      <c r="AD54" s="351"/>
      <c r="AE54" s="351"/>
      <c r="AF54" s="351"/>
      <c r="AG54" s="351"/>
      <c r="AH54" s="351"/>
      <c r="AI54" s="351"/>
      <c r="AJ54" s="351"/>
      <c r="AK54" s="351"/>
      <c r="AL54" s="351"/>
      <c r="AM54" s="351"/>
      <c r="AN54" s="351"/>
    </row>
    <row r="55" spans="1:40" x14ac:dyDescent="0.15">
      <c r="A55" s="40" t="str">
        <f>'Tariffs Jul2018'!F49</f>
        <v>Click Energy</v>
      </c>
      <c r="B55" s="40" t="str">
        <f>'Tariffs Jul2018'!D49</f>
        <v>Envestra Central 2</v>
      </c>
      <c r="C55" s="40" t="str">
        <f>'Tariffs Jul2018'!G49</f>
        <v>Lilac</v>
      </c>
      <c r="D55" s="59">
        <f>365*'Tariffs Jul2018'!H49/100</f>
        <v>292.73</v>
      </c>
      <c r="E55" s="59">
        <f>IF($C$5*'Tariffs Jul2018'!AK49/'Tariffs Jul2018'!AI49&gt;='Tariffs Jul2018'!J49,( 'Tariffs Jul2018'!J49*'Tariffs Jul2018'!O49/100)* 'Tariffs Jul2018'!AI49,($C$5*'Tariffs Jul2018'!AK49/'Tariffs Jul2018'!AI49*'Tariffs Jul2018'!O49/100)* 'Tariffs Jul2018'!AI49)</f>
        <v>123.375</v>
      </c>
      <c r="F55" s="59">
        <f>IF($C$5*'Tariffs Jul2018'!AK49/'Tariffs Jul2018'!AI49&lt;'Tariffs Jul2018'!J49,0,IF($C$5*'Tariffs Jul2018'!AK49/'Tariffs Jul2018'!AI49&lt;='Tariffs Jul2018'!K49,($C$5*'Tariffs Jul2018'!AK49/'Tariffs Jul2018'!AI49-'Tariffs Jul2018'!J49)*('Tariffs Jul2018'!P49/100)*'Tariffs Jul2018'!AI49,('Tariffs Jul2018'!K49-'Tariffs Jul2018'!J49)*('Tariffs Jul2018'!P49/100)*'Tariffs Jul2018'!AI49))</f>
        <v>86.72</v>
      </c>
      <c r="G55" s="59">
        <f>IF($C$5*'Tariffs Jul2018'!AK49/'Tariffs Jul2018'!AI49&lt;'Tariffs Jul2018'!K49,0,IF($C$5*'Tariffs Jul2018'!AK49/'Tariffs Jul2018'!AI49&lt;='Tariffs Jul2018'!L49,($C$5*'Tariffs Jul2018'!AK49/'Tariffs Jul2018'!AI49-'Tariffs Jul2018'!K49)*('Tariffs Jul2018'!Q49/100)*'Tariffs Jul2018'!AI49,('Tariffs Jul2018'!L49-'Tariffs Jul2018'!K49)*('Tariffs Jul2018'!Q49/100)*'Tariffs Jul2018'!AI49))</f>
        <v>0</v>
      </c>
      <c r="H55" s="59">
        <f>IF($C$5*'Tariffs Jul2018'!AK49/'Tariffs Jul2018'!AI49&lt;'Tariffs Jul2018'!L49,0,IF($C$5*'Tariffs Jul2018'!AK49/'Tariffs Jul2018'!AI49&lt;='Tariffs Jul2018'!M49,($C$5*'Tariffs Jul2018'!AK49/'Tariffs Jul2018'!AI49-'Tariffs Jul2018'!L49)*('Tariffs Jul2018'!R49/100)*'Tariffs Jul2018'!AI49,('Tariffs Jul2018'!M49-'Tariffs Jul2018'!L49)*('Tariffs Jul2018'!R49/100)*'Tariffs Jul2018'!AI49))</f>
        <v>0</v>
      </c>
      <c r="I55" s="59">
        <f>IF(($C$5*'Tariffs Jul2018'!AK49/'Tariffs Jul2018'!AI49&gt;'Tariffs Jul2018'!M49),($C$5*'Tariffs Jul2018'!AK49/'Tariffs Jul2018'!AI49-'Tariffs Jul2018'!M49)*'Tariffs Jul2018'!S49/100*'Tariffs Jul2018'!AI49,0)</f>
        <v>412.44224999999989</v>
      </c>
      <c r="J55" s="59">
        <f>IF($C$5*'Tariffs Jul2018'!AL49/'Tariffs Jul2018'!AJ49&gt;='Tariffs Jul2018'!J49,('Tariffs Jul2018'!J49*'Tariffs Jul2018'!U49/100)* 'Tariffs Jul2018'!AJ49,($C$5*'Tariffs Jul2018'!AL49/'Tariffs Jul2018'!AJ49*'Tariffs Jul2018'!U49/100)* 'Tariffs Jul2018'!AJ49)</f>
        <v>246.75</v>
      </c>
      <c r="K55" s="59">
        <f>IF($C$5*'Tariffs Jul2018'!AL49/'Tariffs Jul2018'!AJ49&lt;'Tariffs Jul2018'!J49,0,IF($C$5*'Tariffs Jul2018'!AL49/'Tariffs Jul2018'!AJ49&lt;='Tariffs Jul2018'!K49,($C$5*'Tariffs Jul2018'!AL49/'Tariffs Jul2018'!AJ49-'Tariffs Jul2018'!J49)*('Tariffs Jul2018'!V49/100)*'Tariffs Jul2018'!AJ49,('Tariffs Jul2018'!K49-'Tariffs Jul2018'!J49)*('Tariffs Jul2018'!V49/100)*'Tariffs Jul2018'!AJ49))</f>
        <v>173.44</v>
      </c>
      <c r="L55" s="59">
        <f>IF($C$5*'Tariffs Jul2018'!AL49/'Tariffs Jul2018'!AJ49&lt;'Tariffs Jul2018'!K49,0,IF($C$5*'Tariffs Jul2018'!AL49/'Tariffs Jul2018'!AJ49&lt;='Tariffs Jul2018'!L49,($C$5*'Tariffs Jul2018'!AL49/'Tariffs Jul2018'!AJ49-'Tariffs Jul2018'!K49)*('Tariffs Jul2018'!W49/100)*'Tariffs Jul2018'!AJ49,('Tariffs Jul2018'!L49-'Tariffs Jul2018'!K49)*('Tariffs Jul2018'!W49/100)*'Tariffs Jul2018'!AJ49))</f>
        <v>0</v>
      </c>
      <c r="M55" s="59">
        <f>IF($C$5*'Tariffs Jul2018'!AL49/'Tariffs Jul2018'!AJ49&lt;'Tariffs Jul2018'!L49,0,IF($C$5*'Tariffs Jul2018'!AL49/'Tariffs Jul2018'!AJ49&lt;='Tariffs Jul2018'!M49,($C$5*'Tariffs Jul2018'!AL49/'Tariffs Jul2018'!AJ49-'Tariffs Jul2018'!L49)*('Tariffs Jul2018'!X49/100)*'Tariffs Jul2018'!AJ49,('Tariffs Jul2018'!M49-'Tariffs Jul2018'!L49)*('Tariffs Jul2018'!X49/100)*'Tariffs Jul2018'!AJ49))</f>
        <v>0</v>
      </c>
      <c r="N55" s="59">
        <f>IF(($C$5*'Tariffs Jul2018'!AL49/'Tariffs Jul2018'!AJ49&gt;'Tariffs Jul2018'!M49),($C$5*'Tariffs Jul2018'!AL49/'Tariffs Jul2018'!AJ49-'Tariffs Jul2018'!M49)*'Tariffs Jul2018'!Y49/100*'Tariffs Jul2018'!AJ49,0)</f>
        <v>824.88449999999978</v>
      </c>
      <c r="O55" s="271">
        <f t="shared" si="0"/>
        <v>1867.6117499999996</v>
      </c>
      <c r="P55" s="59">
        <f t="shared" si="1"/>
        <v>2160.3417499999996</v>
      </c>
      <c r="Q55" s="272">
        <f t="shared" si="2"/>
        <v>2376.3759249999998</v>
      </c>
      <c r="R55" s="40">
        <f>'Tariffs Jul2018'!AM49</f>
        <v>0</v>
      </c>
      <c r="S55" s="40">
        <f>'Tariffs Jul2018'!AN49</f>
        <v>0</v>
      </c>
      <c r="T55" s="40">
        <f>'Tariffs Jul2018'!AO49</f>
        <v>26</v>
      </c>
      <c r="U55" s="40">
        <f>'Tariffs Jul2018'!AP49</f>
        <v>0</v>
      </c>
      <c r="V55" s="273">
        <f>P55</f>
        <v>2160.3417499999996</v>
      </c>
      <c r="W55" s="273">
        <f>V55-(P55*T55/100)</f>
        <v>1598.6528949999997</v>
      </c>
      <c r="X55" s="272">
        <f t="shared" si="4"/>
        <v>2376.3759249999998</v>
      </c>
      <c r="Y55" s="272">
        <f t="shared" si="4"/>
        <v>1758.5181844999997</v>
      </c>
      <c r="Z55" s="274">
        <f>'Tariffs Jul2018'!AY49</f>
        <v>0</v>
      </c>
      <c r="AA55" s="274" t="str">
        <f>'Tariffs Jul2018'!AZ49</f>
        <v>n</v>
      </c>
      <c r="AB55" s="275" t="str">
        <f>'Tariffs Jul2018'!BG49</f>
        <v>N</v>
      </c>
      <c r="AC55" s="35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</row>
    <row r="56" spans="1:40" x14ac:dyDescent="0.15">
      <c r="A56" s="40" t="str">
        <f>'Tariffs Jul2018'!F50</f>
        <v>Covau</v>
      </c>
      <c r="B56" s="40" t="str">
        <f>'Tariffs Jul2018'!D50</f>
        <v>Envestra Central 2</v>
      </c>
      <c r="C56" s="40" t="str">
        <f>'Tariffs Jul2018'!G50</f>
        <v>Smart Saver</v>
      </c>
      <c r="D56" s="59">
        <f>365*'Tariffs Jul2018'!H50/100</f>
        <v>273.75</v>
      </c>
      <c r="E56" s="59">
        <f>IF($C$5*'Tariffs Jul2018'!AK50/'Tariffs Jul2018'!AI50&gt;='Tariffs Jul2018'!J50,( 'Tariffs Jul2018'!J50*'Tariffs Jul2018'!O50/100)* 'Tariffs Jul2018'!AI50,($C$5*'Tariffs Jul2018'!AK50/'Tariffs Jul2018'!AI50*'Tariffs Jul2018'!O50/100)* 'Tariffs Jul2018'!AI50)</f>
        <v>97.055000000000007</v>
      </c>
      <c r="F56" s="59">
        <f>IF($C$5*'Tariffs Jul2018'!AK50/'Tariffs Jul2018'!AI50&lt;'Tariffs Jul2018'!J50,0,IF($C$5*'Tariffs Jul2018'!AK50/'Tariffs Jul2018'!AI50&lt;='Tariffs Jul2018'!K50,($C$5*'Tariffs Jul2018'!AK50/'Tariffs Jul2018'!AI50-'Tariffs Jul2018'!J50)*('Tariffs Jul2018'!P50/100)*'Tariffs Jul2018'!AI50,('Tariffs Jul2018'!K50-'Tariffs Jul2018'!J50)*('Tariffs Jul2018'!P50/100)*'Tariffs Jul2018'!AI50))</f>
        <v>67.75</v>
      </c>
      <c r="G56" s="59">
        <f>IF($C$5*'Tariffs Jul2018'!AK50/'Tariffs Jul2018'!AI50&lt;'Tariffs Jul2018'!K50,0,IF($C$5*'Tariffs Jul2018'!AK50/'Tariffs Jul2018'!AI50&lt;='Tariffs Jul2018'!L50,($C$5*'Tariffs Jul2018'!AK50/'Tariffs Jul2018'!AI50-'Tariffs Jul2018'!K50)*('Tariffs Jul2018'!Q50/100)*'Tariffs Jul2018'!AI50,('Tariffs Jul2018'!L50-'Tariffs Jul2018'!K50)*('Tariffs Jul2018'!Q50/100)*'Tariffs Jul2018'!AI50))</f>
        <v>0</v>
      </c>
      <c r="H56" s="59">
        <f>IF($C$5*'Tariffs Jul2018'!AK50/'Tariffs Jul2018'!AI50&lt;'Tariffs Jul2018'!L50,0,IF($C$5*'Tariffs Jul2018'!AK50/'Tariffs Jul2018'!AI50&lt;='Tariffs Jul2018'!M50,($C$5*'Tariffs Jul2018'!AK50/'Tariffs Jul2018'!AI50-'Tariffs Jul2018'!L50)*('Tariffs Jul2018'!R50/100)*'Tariffs Jul2018'!AI50,('Tariffs Jul2018'!M50-'Tariffs Jul2018'!L50)*('Tariffs Jul2018'!R50/100)*'Tariffs Jul2018'!AI50))</f>
        <v>0</v>
      </c>
      <c r="I56" s="59">
        <f>IF(($C$5*'Tariffs Jul2018'!AK50/'Tariffs Jul2018'!AI50&gt;'Tariffs Jul2018'!M50),($C$5*'Tariffs Jul2018'!AK50/'Tariffs Jul2018'!AI50-'Tariffs Jul2018'!M50)*'Tariffs Jul2018'!S50/100*'Tariffs Jul2018'!AI50,0)</f>
        <v>314.95589999999999</v>
      </c>
      <c r="J56" s="59">
        <f>IF($C$5*'Tariffs Jul2018'!AL50/'Tariffs Jul2018'!AJ50&gt;='Tariffs Jul2018'!J50,('Tariffs Jul2018'!J50*'Tariffs Jul2018'!U50/100)* 'Tariffs Jul2018'!AJ50,($C$5*'Tariffs Jul2018'!AL50/'Tariffs Jul2018'!AJ50*'Tariffs Jul2018'!U50/100)* 'Tariffs Jul2018'!AJ50)</f>
        <v>194.11</v>
      </c>
      <c r="K56" s="59">
        <f>IF($C$5*'Tariffs Jul2018'!AL50/'Tariffs Jul2018'!AJ50&lt;'Tariffs Jul2018'!J50,0,IF($C$5*'Tariffs Jul2018'!AL50/'Tariffs Jul2018'!AJ50&lt;='Tariffs Jul2018'!K50,($C$5*'Tariffs Jul2018'!AL50/'Tariffs Jul2018'!AJ50-'Tariffs Jul2018'!J50)*('Tariffs Jul2018'!V50/100)*'Tariffs Jul2018'!AJ50,('Tariffs Jul2018'!K50-'Tariffs Jul2018'!J50)*('Tariffs Jul2018'!V50/100)*'Tariffs Jul2018'!AJ50))</f>
        <v>135.5</v>
      </c>
      <c r="L56" s="59">
        <f>IF($C$5*'Tariffs Jul2018'!AL50/'Tariffs Jul2018'!AJ50&lt;'Tariffs Jul2018'!K50,0,IF($C$5*'Tariffs Jul2018'!AL50/'Tariffs Jul2018'!AJ50&lt;='Tariffs Jul2018'!L50,($C$5*'Tariffs Jul2018'!AL50/'Tariffs Jul2018'!AJ50-'Tariffs Jul2018'!K50)*('Tariffs Jul2018'!W50/100)*'Tariffs Jul2018'!AJ50,('Tariffs Jul2018'!L50-'Tariffs Jul2018'!K50)*('Tariffs Jul2018'!W50/100)*'Tariffs Jul2018'!AJ50))</f>
        <v>0</v>
      </c>
      <c r="M56" s="59">
        <f>IF($C$5*'Tariffs Jul2018'!AL50/'Tariffs Jul2018'!AJ50&lt;'Tariffs Jul2018'!L50,0,IF($C$5*'Tariffs Jul2018'!AL50/'Tariffs Jul2018'!AJ50&lt;='Tariffs Jul2018'!M50,($C$5*'Tariffs Jul2018'!AL50/'Tariffs Jul2018'!AJ50-'Tariffs Jul2018'!L50)*('Tariffs Jul2018'!X50/100)*'Tariffs Jul2018'!AJ50,('Tariffs Jul2018'!M50-'Tariffs Jul2018'!L50)*('Tariffs Jul2018'!X50/100)*'Tariffs Jul2018'!AJ50))</f>
        <v>0</v>
      </c>
      <c r="N56" s="59">
        <f>IF(($C$5*'Tariffs Jul2018'!AL50/'Tariffs Jul2018'!AJ50&gt;'Tariffs Jul2018'!M50),($C$5*'Tariffs Jul2018'!AL50/'Tariffs Jul2018'!AJ50-'Tariffs Jul2018'!M50)*'Tariffs Jul2018'!Y50/100*'Tariffs Jul2018'!AJ50,0)</f>
        <v>629.91179999999997</v>
      </c>
      <c r="O56" s="271">
        <f t="shared" si="0"/>
        <v>1439.2827</v>
      </c>
      <c r="P56" s="59">
        <f t="shared" si="1"/>
        <v>1713.0327</v>
      </c>
      <c r="Q56" s="272">
        <f t="shared" si="2"/>
        <v>1884.3359700000001</v>
      </c>
      <c r="R56" s="40">
        <f>'Tariffs Jul2018'!AM50</f>
        <v>0</v>
      </c>
      <c r="S56" s="40">
        <f>'Tariffs Jul2018'!AN50</f>
        <v>0</v>
      </c>
      <c r="T56" s="40">
        <f>'Tariffs Jul2018'!AO50</f>
        <v>0</v>
      </c>
      <c r="U56" s="40">
        <f>'Tariffs Jul2018'!AP50</f>
        <v>16</v>
      </c>
      <c r="V56" s="273">
        <f>P56</f>
        <v>1713.0327</v>
      </c>
      <c r="W56" s="273">
        <f>V56-(O56*U56/100)</f>
        <v>1482.747468</v>
      </c>
      <c r="X56" s="272">
        <f t="shared" si="4"/>
        <v>1884.3359700000001</v>
      </c>
      <c r="Y56" s="272">
        <f t="shared" si="4"/>
        <v>1631.0222148000003</v>
      </c>
      <c r="Z56" s="274">
        <f>'Tariffs Jul2018'!AY50</f>
        <v>12</v>
      </c>
      <c r="AA56" s="274" t="str">
        <f>'Tariffs Jul2018'!AZ50</f>
        <v>n</v>
      </c>
      <c r="AB56" s="275" t="str">
        <f>'Tariffs Jul2018'!BG50</f>
        <v>N</v>
      </c>
      <c r="AC56" s="351"/>
      <c r="AD56" s="351"/>
      <c r="AE56" s="351"/>
      <c r="AF56" s="351"/>
      <c r="AG56" s="351"/>
      <c r="AH56" s="351"/>
      <c r="AI56" s="351"/>
      <c r="AJ56" s="351"/>
      <c r="AK56" s="351"/>
      <c r="AL56" s="351"/>
      <c r="AM56" s="351"/>
      <c r="AN56" s="351"/>
    </row>
    <row r="57" spans="1:40" x14ac:dyDescent="0.15">
      <c r="A57" s="40" t="str">
        <f>'Tariffs Jul2018'!F51</f>
        <v>Dodo Power &amp; Gas</v>
      </c>
      <c r="B57" s="40" t="str">
        <f>'Tariffs Jul2018'!D51</f>
        <v>Envestra Central 2</v>
      </c>
      <c r="C57" s="40" t="str">
        <f>'Tariffs Jul2018'!G51</f>
        <v>Market offer</v>
      </c>
      <c r="D57" s="59">
        <f>365*'Tariffs Jul2018'!H51/100</f>
        <v>296.92749999999995</v>
      </c>
      <c r="E57" s="59">
        <f>IF($C$5*'Tariffs Jul2018'!AK51/'Tariffs Jul2018'!AI51&gt;='Tariffs Jul2018'!J51,( 'Tariffs Jul2018'!J51*'Tariffs Jul2018'!O51/100)* 'Tariffs Jul2018'!AI51,($C$5*'Tariffs Jul2018'!AK51/'Tariffs Jul2018'!AI51*'Tariffs Jul2018'!O51/100)* 'Tariffs Jul2018'!AI51)</f>
        <v>159.36000000000001</v>
      </c>
      <c r="F57" s="59">
        <f>IF($C$5*'Tariffs Jul2018'!AK51/'Tariffs Jul2018'!AI51&lt;'Tariffs Jul2018'!J51,0,IF($C$5*'Tariffs Jul2018'!AK51/'Tariffs Jul2018'!AI51&lt;='Tariffs Jul2018'!K51,($C$5*'Tariffs Jul2018'!AK51/'Tariffs Jul2018'!AI51-'Tariffs Jul2018'!J51)*('Tariffs Jul2018'!P51/100)*'Tariffs Jul2018'!AI51,('Tariffs Jul2018'!K51-'Tariffs Jul2018'!J51)*('Tariffs Jul2018'!P51/100)*'Tariffs Jul2018'!AI51))</f>
        <v>0</v>
      </c>
      <c r="G57" s="59">
        <f>IF($C$5*'Tariffs Jul2018'!AK51/'Tariffs Jul2018'!AI51&lt;'Tariffs Jul2018'!K51,0,IF($C$5*'Tariffs Jul2018'!AK51/'Tariffs Jul2018'!AI51&lt;='Tariffs Jul2018'!L51,($C$5*'Tariffs Jul2018'!AK51/'Tariffs Jul2018'!AI51-'Tariffs Jul2018'!K51)*('Tariffs Jul2018'!Q51/100)*'Tariffs Jul2018'!AI51,('Tariffs Jul2018'!L51-'Tariffs Jul2018'!K51)*('Tariffs Jul2018'!Q51/100)*'Tariffs Jul2018'!AI51))</f>
        <v>0</v>
      </c>
      <c r="H57" s="59">
        <f>IF($C$5*'Tariffs Jul2018'!AK51/'Tariffs Jul2018'!AI51&lt;'Tariffs Jul2018'!L51,0,IF($C$5*'Tariffs Jul2018'!AK51/'Tariffs Jul2018'!AI51&lt;='Tariffs Jul2018'!M51,($C$5*'Tariffs Jul2018'!AK51/'Tariffs Jul2018'!AI51-'Tariffs Jul2018'!L51)*('Tariffs Jul2018'!R51/100)*'Tariffs Jul2018'!AI51,('Tariffs Jul2018'!M51-'Tariffs Jul2018'!L51)*('Tariffs Jul2018'!R51/100)*'Tariffs Jul2018'!AI51))</f>
        <v>0</v>
      </c>
      <c r="I57" s="59">
        <f>IF(($C$5*'Tariffs Jul2018'!AK51/'Tariffs Jul2018'!AI51&gt;'Tariffs Jul2018'!M51),($C$5*'Tariffs Jul2018'!AK51/'Tariffs Jul2018'!AI51-'Tariffs Jul2018'!M51)*'Tariffs Jul2018'!S51/100*'Tariffs Jul2018'!AI51,0)</f>
        <v>290.49820999999997</v>
      </c>
      <c r="J57" s="59">
        <f>IF($C$5*'Tariffs Jul2018'!AL51/'Tariffs Jul2018'!AJ51&gt;='Tariffs Jul2018'!J51,('Tariffs Jul2018'!J51*'Tariffs Jul2018'!U51/100)* 'Tariffs Jul2018'!AJ51,($C$5*'Tariffs Jul2018'!AL51/'Tariffs Jul2018'!AJ51*'Tariffs Jul2018'!U51/100)* 'Tariffs Jul2018'!AJ51)</f>
        <v>318.72000000000003</v>
      </c>
      <c r="K57" s="59">
        <f>IF($C$5*'Tariffs Jul2018'!AL51/'Tariffs Jul2018'!AJ51&lt;'Tariffs Jul2018'!J51,0,IF($C$5*'Tariffs Jul2018'!AL51/'Tariffs Jul2018'!AJ51&lt;='Tariffs Jul2018'!K51,($C$5*'Tariffs Jul2018'!AL51/'Tariffs Jul2018'!AJ51-'Tariffs Jul2018'!J51)*('Tariffs Jul2018'!V51/100)*'Tariffs Jul2018'!AJ51,('Tariffs Jul2018'!K51-'Tariffs Jul2018'!J51)*('Tariffs Jul2018'!V51/100)*'Tariffs Jul2018'!AJ51))</f>
        <v>0</v>
      </c>
      <c r="L57" s="59">
        <f>IF($C$5*'Tariffs Jul2018'!AL51/'Tariffs Jul2018'!AJ51&lt;'Tariffs Jul2018'!K51,0,IF($C$5*'Tariffs Jul2018'!AL51/'Tariffs Jul2018'!AJ51&lt;='Tariffs Jul2018'!L51,($C$5*'Tariffs Jul2018'!AL51/'Tariffs Jul2018'!AJ51-'Tariffs Jul2018'!K51)*('Tariffs Jul2018'!W51/100)*'Tariffs Jul2018'!AJ51,('Tariffs Jul2018'!L51-'Tariffs Jul2018'!K51)*('Tariffs Jul2018'!W51/100)*'Tariffs Jul2018'!AJ51))</f>
        <v>0</v>
      </c>
      <c r="M57" s="59">
        <f>IF($C$5*'Tariffs Jul2018'!AL51/'Tariffs Jul2018'!AJ51&lt;'Tariffs Jul2018'!L51,0,IF($C$5*'Tariffs Jul2018'!AL51/'Tariffs Jul2018'!AJ51&lt;='Tariffs Jul2018'!M51,($C$5*'Tariffs Jul2018'!AL51/'Tariffs Jul2018'!AJ51-'Tariffs Jul2018'!L51)*('Tariffs Jul2018'!X51/100)*'Tariffs Jul2018'!AJ51,('Tariffs Jul2018'!M51-'Tariffs Jul2018'!L51)*('Tariffs Jul2018'!X51/100)*'Tariffs Jul2018'!AJ51))</f>
        <v>0</v>
      </c>
      <c r="N57" s="59">
        <f>IF(($C$5*'Tariffs Jul2018'!AL51/'Tariffs Jul2018'!AJ51&gt;'Tariffs Jul2018'!M51),($C$5*'Tariffs Jul2018'!AL51/'Tariffs Jul2018'!AJ51-'Tariffs Jul2018'!M51)*'Tariffs Jul2018'!Y51/100*'Tariffs Jul2018'!AJ51,0)</f>
        <v>580.99641999999994</v>
      </c>
      <c r="O57" s="271">
        <f t="shared" si="0"/>
        <v>1349.5746300000001</v>
      </c>
      <c r="P57" s="59">
        <f t="shared" si="1"/>
        <v>1646.5021300000001</v>
      </c>
      <c r="Q57" s="272">
        <f t="shared" si="2"/>
        <v>1811.1523430000002</v>
      </c>
      <c r="R57" s="40">
        <f>'Tariffs Jul2018'!AM51</f>
        <v>0</v>
      </c>
      <c r="S57" s="40">
        <f>'Tariffs Jul2018'!AN51</f>
        <v>0</v>
      </c>
      <c r="T57" s="40">
        <f>'Tariffs Jul2018'!AO51</f>
        <v>0</v>
      </c>
      <c r="U57" s="40">
        <f>'Tariffs Jul2018'!AP51</f>
        <v>0</v>
      </c>
      <c r="V57" s="273">
        <f>P57</f>
        <v>1646.5021300000001</v>
      </c>
      <c r="W57" s="273">
        <f>V57</f>
        <v>1646.5021300000001</v>
      </c>
      <c r="X57" s="272">
        <f t="shared" si="4"/>
        <v>1811.1523430000002</v>
      </c>
      <c r="Y57" s="272">
        <f t="shared" si="4"/>
        <v>1811.1523430000002</v>
      </c>
      <c r="Z57" s="274">
        <f>'Tariffs Jul2018'!AY51</f>
        <v>0</v>
      </c>
      <c r="AA57" s="274" t="str">
        <f>'Tariffs Jul2018'!AZ51</f>
        <v>n</v>
      </c>
      <c r="AB57" s="275" t="str">
        <f>'Tariffs Jul2018'!BG51</f>
        <v>Y</v>
      </c>
      <c r="AC57" s="351"/>
      <c r="AD57" s="351"/>
      <c r="AE57" s="351"/>
      <c r="AF57" s="351"/>
      <c r="AG57" s="351"/>
      <c r="AH57" s="351"/>
      <c r="AI57" s="351"/>
      <c r="AJ57" s="351"/>
      <c r="AK57" s="351"/>
      <c r="AL57" s="351"/>
      <c r="AM57" s="351"/>
      <c r="AN57" s="351"/>
    </row>
    <row r="58" spans="1:40" x14ac:dyDescent="0.15">
      <c r="A58" s="40" t="str">
        <f>'Tariffs Jul2018'!F52</f>
        <v>EnergyAustralia</v>
      </c>
      <c r="B58" s="40" t="str">
        <f>'Tariffs Jul2018'!D52</f>
        <v>Envestra Central 2</v>
      </c>
      <c r="C58" s="40" t="str">
        <f>'Tariffs Jul2018'!G52</f>
        <v>Anytime Saver</v>
      </c>
      <c r="D58" s="59">
        <f>365*'Tariffs Jul2018'!H52/100</f>
        <v>287.255</v>
      </c>
      <c r="E58" s="59">
        <f>IF($C$5*'Tariffs Jul2018'!AK52/'Tariffs Jul2018'!AI52&gt;='Tariffs Jul2018'!J52,( 'Tariffs Jul2018'!J52*'Tariffs Jul2018'!O52/100)* 'Tariffs Jul2018'!AI52,($C$5*'Tariffs Jul2018'!AK52/'Tariffs Jul2018'!AI52*'Tariffs Jul2018'!O52/100)* 'Tariffs Jul2018'!AI52)</f>
        <v>169.8</v>
      </c>
      <c r="F58" s="59">
        <f>IF($C$5*'Tariffs Jul2018'!AK52/'Tariffs Jul2018'!AI52&lt;'Tariffs Jul2018'!J52,0,IF($C$5*'Tariffs Jul2018'!AK52/'Tariffs Jul2018'!AI52&lt;='Tariffs Jul2018'!K52,($C$5*'Tariffs Jul2018'!AK52/'Tariffs Jul2018'!AI52-'Tariffs Jul2018'!J52)*('Tariffs Jul2018'!P52/100)*'Tariffs Jul2018'!AI52,('Tariffs Jul2018'!K52-'Tariffs Jul2018'!J52)*('Tariffs Jul2018'!P52/100)*'Tariffs Jul2018'!AI52))</f>
        <v>0</v>
      </c>
      <c r="G58" s="59">
        <f>IF($C$5*'Tariffs Jul2018'!AK52/'Tariffs Jul2018'!AI52&lt;'Tariffs Jul2018'!K52,0,IF($C$5*'Tariffs Jul2018'!AK52/'Tariffs Jul2018'!AI52&lt;='Tariffs Jul2018'!L52,($C$5*'Tariffs Jul2018'!AK52/'Tariffs Jul2018'!AI52-'Tariffs Jul2018'!K52)*('Tariffs Jul2018'!Q52/100)*'Tariffs Jul2018'!AI52,('Tariffs Jul2018'!L52-'Tariffs Jul2018'!K52)*('Tariffs Jul2018'!Q52/100)*'Tariffs Jul2018'!AI52))</f>
        <v>0</v>
      </c>
      <c r="H58" s="59">
        <f>IF($C$5*'Tariffs Jul2018'!AK52/'Tariffs Jul2018'!AI52&lt;'Tariffs Jul2018'!L52,0,IF($C$5*'Tariffs Jul2018'!AK52/'Tariffs Jul2018'!AI52&lt;='Tariffs Jul2018'!M52,($C$5*'Tariffs Jul2018'!AK52/'Tariffs Jul2018'!AI52-'Tariffs Jul2018'!L52)*('Tariffs Jul2018'!R52/100)*'Tariffs Jul2018'!AI52,('Tariffs Jul2018'!M52-'Tariffs Jul2018'!L52)*('Tariffs Jul2018'!R52/100)*'Tariffs Jul2018'!AI52))</f>
        <v>0</v>
      </c>
      <c r="I58" s="59">
        <f>IF(($C$5*'Tariffs Jul2018'!AK52/'Tariffs Jul2018'!AI52&gt;'Tariffs Jul2018'!M52),($C$5*'Tariffs Jul2018'!AK52/'Tariffs Jul2018'!AI52-'Tariffs Jul2018'!M52)*'Tariffs Jul2018'!S52/100*'Tariffs Jul2018'!AI52,0)</f>
        <v>286.45988999999992</v>
      </c>
      <c r="J58" s="59">
        <f>IF($C$5*'Tariffs Jul2018'!AL52/'Tariffs Jul2018'!AJ52&gt;='Tariffs Jul2018'!J52,('Tariffs Jul2018'!J52*'Tariffs Jul2018'!U52/100)* 'Tariffs Jul2018'!AJ52,($C$5*'Tariffs Jul2018'!AL52/'Tariffs Jul2018'!AJ52*'Tariffs Jul2018'!U52/100)* 'Tariffs Jul2018'!AJ52)</f>
        <v>339.6</v>
      </c>
      <c r="K58" s="59">
        <f>IF($C$5*'Tariffs Jul2018'!AL52/'Tariffs Jul2018'!AJ52&lt;'Tariffs Jul2018'!J52,0,IF($C$5*'Tariffs Jul2018'!AL52/'Tariffs Jul2018'!AJ52&lt;='Tariffs Jul2018'!K52,($C$5*'Tariffs Jul2018'!AL52/'Tariffs Jul2018'!AJ52-'Tariffs Jul2018'!J52)*('Tariffs Jul2018'!V52/100)*'Tariffs Jul2018'!AJ52,('Tariffs Jul2018'!K52-'Tariffs Jul2018'!J52)*('Tariffs Jul2018'!V52/100)*'Tariffs Jul2018'!AJ52))</f>
        <v>0</v>
      </c>
      <c r="L58" s="59">
        <f>IF($C$5*'Tariffs Jul2018'!AL52/'Tariffs Jul2018'!AJ52&lt;'Tariffs Jul2018'!K52,0,IF($C$5*'Tariffs Jul2018'!AL52/'Tariffs Jul2018'!AJ52&lt;='Tariffs Jul2018'!L52,($C$5*'Tariffs Jul2018'!AL52/'Tariffs Jul2018'!AJ52-'Tariffs Jul2018'!K52)*('Tariffs Jul2018'!W52/100)*'Tariffs Jul2018'!AJ52,('Tariffs Jul2018'!L52-'Tariffs Jul2018'!K52)*('Tariffs Jul2018'!W52/100)*'Tariffs Jul2018'!AJ52))</f>
        <v>0</v>
      </c>
      <c r="M58" s="59">
        <f>IF($C$5*'Tariffs Jul2018'!AL52/'Tariffs Jul2018'!AJ52&lt;'Tariffs Jul2018'!L52,0,IF($C$5*'Tariffs Jul2018'!AL52/'Tariffs Jul2018'!AJ52&lt;='Tariffs Jul2018'!M52,($C$5*'Tariffs Jul2018'!AL52/'Tariffs Jul2018'!AJ52-'Tariffs Jul2018'!L52)*('Tariffs Jul2018'!X52/100)*'Tariffs Jul2018'!AJ52,('Tariffs Jul2018'!M52-'Tariffs Jul2018'!L52)*('Tariffs Jul2018'!X52/100)*'Tariffs Jul2018'!AJ52))</f>
        <v>0</v>
      </c>
      <c r="N58" s="59">
        <f>IF(($C$5*'Tariffs Jul2018'!AL52/'Tariffs Jul2018'!AJ52&gt;'Tariffs Jul2018'!M52),($C$5*'Tariffs Jul2018'!AL52/'Tariffs Jul2018'!AJ52-'Tariffs Jul2018'!M52)*'Tariffs Jul2018'!Y52/100*'Tariffs Jul2018'!AJ52,0)</f>
        <v>572.91977999999983</v>
      </c>
      <c r="O58" s="271">
        <f t="shared" si="0"/>
        <v>1368.7796699999999</v>
      </c>
      <c r="P58" s="59">
        <f t="shared" si="1"/>
        <v>1656.03467</v>
      </c>
      <c r="Q58" s="272">
        <f t="shared" si="2"/>
        <v>1821.6381370000001</v>
      </c>
      <c r="R58" s="40">
        <f>'Tariffs Jul2018'!AM52</f>
        <v>0</v>
      </c>
      <c r="S58" s="40">
        <f>'Tariffs Jul2018'!AN52</f>
        <v>34</v>
      </c>
      <c r="T58" s="40">
        <f>'Tariffs Jul2018'!AO52</f>
        <v>0</v>
      </c>
      <c r="U58" s="40">
        <f>'Tariffs Jul2018'!AP52</f>
        <v>0</v>
      </c>
      <c r="V58" s="273">
        <f>P58-(O58*S58/100)</f>
        <v>1190.6495822000002</v>
      </c>
      <c r="W58" s="273">
        <f>V58-(O58*U58/100)</f>
        <v>1190.6495822000002</v>
      </c>
      <c r="X58" s="272">
        <f t="shared" si="4"/>
        <v>1309.7145404200003</v>
      </c>
      <c r="Y58" s="272">
        <f t="shared" si="4"/>
        <v>1309.7145404200003</v>
      </c>
      <c r="Z58" s="274">
        <f>'Tariffs Jul2018'!AY52</f>
        <v>0</v>
      </c>
      <c r="AA58" s="274" t="str">
        <f>'Tariffs Jul2018'!AZ52</f>
        <v>n</v>
      </c>
      <c r="AB58" s="275" t="str">
        <f>'Tariffs Jul2018'!BG52</f>
        <v>N</v>
      </c>
      <c r="AC58" s="351"/>
      <c r="AD58" s="351"/>
      <c r="AE58" s="351"/>
      <c r="AF58" s="351"/>
      <c r="AG58" s="351"/>
      <c r="AH58" s="351"/>
      <c r="AI58" s="351"/>
      <c r="AJ58" s="351"/>
      <c r="AK58" s="351"/>
      <c r="AL58" s="351"/>
      <c r="AM58" s="351"/>
      <c r="AN58" s="351"/>
    </row>
    <row r="59" spans="1:40" x14ac:dyDescent="0.15">
      <c r="A59" s="40" t="str">
        <f>'Tariffs Jul2018'!F53</f>
        <v>Lumo Energy</v>
      </c>
      <c r="B59" s="40" t="str">
        <f>'Tariffs Jul2018'!D53</f>
        <v>Envestra Central 2</v>
      </c>
      <c r="C59" s="40" t="str">
        <f>'Tariffs Jul2018'!G53</f>
        <v>Advantage</v>
      </c>
      <c r="D59" s="59">
        <f>365*'Tariffs Jul2018'!H53/100</f>
        <v>255.5</v>
      </c>
      <c r="E59" s="59">
        <f>IF($C$5*'Tariffs Jul2018'!AK53/'Tariffs Jul2018'!AI53&gt;='Tariffs Jul2018'!J53,( 'Tariffs Jul2018'!J53*'Tariffs Jul2018'!O53/100)* 'Tariffs Jul2018'!AI53,($C$5*'Tariffs Jul2018'!AK53/'Tariffs Jul2018'!AI53*'Tariffs Jul2018'!O53/100)* 'Tariffs Jul2018'!AI53)</f>
        <v>85.54</v>
      </c>
      <c r="F59" s="59">
        <f>IF($C$5*'Tariffs Jul2018'!AK53/'Tariffs Jul2018'!AI53&lt;'Tariffs Jul2018'!J53,0,IF($C$5*'Tariffs Jul2018'!AK53/'Tariffs Jul2018'!AI53&lt;='Tariffs Jul2018'!K53,($C$5*'Tariffs Jul2018'!AK53/'Tariffs Jul2018'!AI53-'Tariffs Jul2018'!J53)*('Tariffs Jul2018'!P53/100)*'Tariffs Jul2018'!AI53,('Tariffs Jul2018'!K53-'Tariffs Jul2018'!J53)*('Tariffs Jul2018'!P53/100)*'Tariffs Jul2018'!AI53))</f>
        <v>63.685000000000002</v>
      </c>
      <c r="G59" s="59">
        <f>IF($C$5*'Tariffs Jul2018'!AK53/'Tariffs Jul2018'!AI53&lt;'Tariffs Jul2018'!K53,0,IF($C$5*'Tariffs Jul2018'!AK53/'Tariffs Jul2018'!AI53&lt;='Tariffs Jul2018'!L53,($C$5*'Tariffs Jul2018'!AK53/'Tariffs Jul2018'!AI53-'Tariffs Jul2018'!K53)*('Tariffs Jul2018'!Q53/100)*'Tariffs Jul2018'!AI53,('Tariffs Jul2018'!L53-'Tariffs Jul2018'!K53)*('Tariffs Jul2018'!Q53/100)*'Tariffs Jul2018'!AI53))</f>
        <v>0</v>
      </c>
      <c r="H59" s="59">
        <f>IF($C$5*'Tariffs Jul2018'!AK53/'Tariffs Jul2018'!AI53&lt;'Tariffs Jul2018'!L53,0,IF($C$5*'Tariffs Jul2018'!AK53/'Tariffs Jul2018'!AI53&lt;='Tariffs Jul2018'!M53,($C$5*'Tariffs Jul2018'!AK53/'Tariffs Jul2018'!AI53-'Tariffs Jul2018'!L53)*('Tariffs Jul2018'!R53/100)*'Tariffs Jul2018'!AI53,('Tariffs Jul2018'!M53-'Tariffs Jul2018'!L53)*('Tariffs Jul2018'!R53/100)*'Tariffs Jul2018'!AI53))</f>
        <v>0</v>
      </c>
      <c r="I59" s="59">
        <f>IF(($C$5*'Tariffs Jul2018'!AK53/'Tariffs Jul2018'!AI53&gt;'Tariffs Jul2018'!M53),($C$5*'Tariffs Jul2018'!AK53/'Tariffs Jul2018'!AI53-'Tariffs Jul2018'!M53)*'Tariffs Jul2018'!S53/100*'Tariffs Jul2018'!AI53,0)</f>
        <v>292.45904999999993</v>
      </c>
      <c r="J59" s="59">
        <f>IF($C$5*'Tariffs Jul2018'!AL53/'Tariffs Jul2018'!AJ53&gt;='Tariffs Jul2018'!J53,('Tariffs Jul2018'!J53*'Tariffs Jul2018'!U53/100)* 'Tariffs Jul2018'!AJ53,($C$5*'Tariffs Jul2018'!AL53/'Tariffs Jul2018'!AJ53*'Tariffs Jul2018'!U53/100)* 'Tariffs Jul2018'!AJ53)</f>
        <v>171.08</v>
      </c>
      <c r="K59" s="59">
        <f>IF($C$5*'Tariffs Jul2018'!AL53/'Tariffs Jul2018'!AJ53&lt;'Tariffs Jul2018'!J53,0,IF($C$5*'Tariffs Jul2018'!AL53/'Tariffs Jul2018'!AJ53&lt;='Tariffs Jul2018'!K53,($C$5*'Tariffs Jul2018'!AL53/'Tariffs Jul2018'!AJ53-'Tariffs Jul2018'!J53)*('Tariffs Jul2018'!V53/100)*'Tariffs Jul2018'!AJ53,('Tariffs Jul2018'!K53-'Tariffs Jul2018'!J53)*('Tariffs Jul2018'!V53/100)*'Tariffs Jul2018'!AJ53))</f>
        <v>127.37</v>
      </c>
      <c r="L59" s="59">
        <f>IF($C$5*'Tariffs Jul2018'!AL53/'Tariffs Jul2018'!AJ53&lt;'Tariffs Jul2018'!K53,0,IF($C$5*'Tariffs Jul2018'!AL53/'Tariffs Jul2018'!AJ53&lt;='Tariffs Jul2018'!L53,($C$5*'Tariffs Jul2018'!AL53/'Tariffs Jul2018'!AJ53-'Tariffs Jul2018'!K53)*('Tariffs Jul2018'!W53/100)*'Tariffs Jul2018'!AJ53,('Tariffs Jul2018'!L53-'Tariffs Jul2018'!K53)*('Tariffs Jul2018'!W53/100)*'Tariffs Jul2018'!AJ53))</f>
        <v>0</v>
      </c>
      <c r="M59" s="59">
        <f>IF($C$5*'Tariffs Jul2018'!AL53/'Tariffs Jul2018'!AJ53&lt;'Tariffs Jul2018'!L53,0,IF($C$5*'Tariffs Jul2018'!AL53/'Tariffs Jul2018'!AJ53&lt;='Tariffs Jul2018'!M53,($C$5*'Tariffs Jul2018'!AL53/'Tariffs Jul2018'!AJ53-'Tariffs Jul2018'!L53)*('Tariffs Jul2018'!X53/100)*'Tariffs Jul2018'!AJ53,('Tariffs Jul2018'!M53-'Tariffs Jul2018'!L53)*('Tariffs Jul2018'!X53/100)*'Tariffs Jul2018'!AJ53))</f>
        <v>0</v>
      </c>
      <c r="N59" s="59">
        <f>IF(($C$5*'Tariffs Jul2018'!AL53/'Tariffs Jul2018'!AJ53&gt;'Tariffs Jul2018'!M53),($C$5*'Tariffs Jul2018'!AL53/'Tariffs Jul2018'!AJ53-'Tariffs Jul2018'!M53)*'Tariffs Jul2018'!Y53/100*'Tariffs Jul2018'!AJ53,0)</f>
        <v>584.91809999999987</v>
      </c>
      <c r="O59" s="271">
        <f t="shared" si="0"/>
        <v>1325.05215</v>
      </c>
      <c r="P59" s="59">
        <f t="shared" si="1"/>
        <v>1580.55215</v>
      </c>
      <c r="Q59" s="272">
        <f t="shared" si="2"/>
        <v>1738.6073650000001</v>
      </c>
      <c r="R59" s="40">
        <f>'Tariffs Jul2018'!AM53</f>
        <v>0</v>
      </c>
      <c r="S59" s="40">
        <f>'Tariffs Jul2018'!AN53</f>
        <v>0</v>
      </c>
      <c r="T59" s="40">
        <f>'Tariffs Jul2018'!AO53</f>
        <v>15</v>
      </c>
      <c r="U59" s="40">
        <f>'Tariffs Jul2018'!AP53</f>
        <v>0</v>
      </c>
      <c r="V59" s="273">
        <f t="shared" ref="V59:V67" si="8">P59</f>
        <v>1580.55215</v>
      </c>
      <c r="W59" s="273">
        <f>V59-(P59*T59/100)</f>
        <v>1343.4693275</v>
      </c>
      <c r="X59" s="272">
        <f t="shared" si="4"/>
        <v>1738.6073650000001</v>
      </c>
      <c r="Y59" s="272">
        <f t="shared" si="4"/>
        <v>1477.8162602500001</v>
      </c>
      <c r="Z59" s="274">
        <f>'Tariffs Jul2018'!AY53</f>
        <v>0</v>
      </c>
      <c r="AA59" s="274" t="str">
        <f>'Tariffs Jul2018'!AZ53</f>
        <v>n</v>
      </c>
      <c r="AB59" s="275" t="str">
        <f>'Tariffs Jul2018'!BG53</f>
        <v>N</v>
      </c>
      <c r="AC59" s="351"/>
      <c r="AD59" s="351"/>
      <c r="AE59" s="351"/>
      <c r="AF59" s="351"/>
      <c r="AG59" s="351"/>
      <c r="AH59" s="351"/>
      <c r="AI59" s="351"/>
      <c r="AJ59" s="351"/>
      <c r="AK59" s="351"/>
      <c r="AL59" s="351"/>
      <c r="AM59" s="351"/>
      <c r="AN59" s="351"/>
    </row>
    <row r="60" spans="1:40" x14ac:dyDescent="0.15">
      <c r="A60" s="40" t="str">
        <f>'Tariffs Jul2018'!F54</f>
        <v>Momentum Energy</v>
      </c>
      <c r="B60" s="40" t="str">
        <f>'Tariffs Jul2018'!D54</f>
        <v>Envestra Central 2</v>
      </c>
      <c r="C60" s="40" t="str">
        <f>'Tariffs Jul2018'!G54</f>
        <v>Market offer</v>
      </c>
      <c r="D60" s="59">
        <f>365*'Tariffs Jul2018'!H54/100</f>
        <v>264.33299999999997</v>
      </c>
      <c r="E60" s="59">
        <f>IF($C$5*'Tariffs Jul2018'!AK54/'Tariffs Jul2018'!AI54&gt;='Tariffs Jul2018'!J54,( 'Tariffs Jul2018'!J54*'Tariffs Jul2018'!O54/100)* 'Tariffs Jul2018'!AI54,($C$5*'Tariffs Jul2018'!AK54/'Tariffs Jul2018'!AI54*'Tariffs Jul2018'!O54/100)* 'Tariffs Jul2018'!AI54)</f>
        <v>69.813799999999986</v>
      </c>
      <c r="F60" s="59">
        <f>IF($C$5*'Tariffs Jul2018'!AK54/'Tariffs Jul2018'!AI54&lt;'Tariffs Jul2018'!J54,0,IF($C$5*'Tariffs Jul2018'!AK54/'Tariffs Jul2018'!AI54&lt;='Tariffs Jul2018'!K54,($C$5*'Tariffs Jul2018'!AK54/'Tariffs Jul2018'!AI54-'Tariffs Jul2018'!J54)*('Tariffs Jul2018'!P54/100)*'Tariffs Jul2018'!AI54,('Tariffs Jul2018'!K54-'Tariffs Jul2018'!J54)*('Tariffs Jul2018'!P54/100)*'Tariffs Jul2018'!AI54))</f>
        <v>48.8613</v>
      </c>
      <c r="G60" s="59">
        <f>IF($C$5*'Tariffs Jul2018'!AK54/'Tariffs Jul2018'!AI54&lt;'Tariffs Jul2018'!K54,0,IF($C$5*'Tariffs Jul2018'!AK54/'Tariffs Jul2018'!AI54&lt;='Tariffs Jul2018'!L54,($C$5*'Tariffs Jul2018'!AK54/'Tariffs Jul2018'!AI54-'Tariffs Jul2018'!K54)*('Tariffs Jul2018'!Q54/100)*'Tariffs Jul2018'!AI54,('Tariffs Jul2018'!L54-'Tariffs Jul2018'!K54)*('Tariffs Jul2018'!Q54/100)*'Tariffs Jul2018'!AI54))</f>
        <v>0</v>
      </c>
      <c r="H60" s="59">
        <f>IF($C$5*'Tariffs Jul2018'!AK54/'Tariffs Jul2018'!AI54&lt;'Tariffs Jul2018'!L54,0,IF($C$5*'Tariffs Jul2018'!AK54/'Tariffs Jul2018'!AI54&lt;='Tariffs Jul2018'!M54,($C$5*'Tariffs Jul2018'!AK54/'Tariffs Jul2018'!AI54-'Tariffs Jul2018'!L54)*('Tariffs Jul2018'!R54/100)*'Tariffs Jul2018'!AI54,('Tariffs Jul2018'!M54-'Tariffs Jul2018'!L54)*('Tariffs Jul2018'!R54/100)*'Tariffs Jul2018'!AI54))</f>
        <v>0</v>
      </c>
      <c r="I60" s="59">
        <f>IF(($C$5*'Tariffs Jul2018'!AK54/'Tariffs Jul2018'!AI54&gt;'Tariffs Jul2018'!M54),($C$5*'Tariffs Jul2018'!AK54/'Tariffs Jul2018'!AI54-'Tariffs Jul2018'!M54)*'Tariffs Jul2018'!S54/100*'Tariffs Jul2018'!AI54,0)</f>
        <v>234.86711399999996</v>
      </c>
      <c r="J60" s="59">
        <f>IF($C$5*'Tariffs Jul2018'!AL54/'Tariffs Jul2018'!AJ54&gt;='Tariffs Jul2018'!J54,('Tariffs Jul2018'!J54*'Tariffs Jul2018'!U54/100)* 'Tariffs Jul2018'!AJ54,($C$5*'Tariffs Jul2018'!AL54/'Tariffs Jul2018'!AJ54*'Tariffs Jul2018'!U54/100)* 'Tariffs Jul2018'!AJ54)</f>
        <v>130.87620000000001</v>
      </c>
      <c r="K60" s="59">
        <f>IF($C$5*'Tariffs Jul2018'!AL54/'Tariffs Jul2018'!AJ54&lt;'Tariffs Jul2018'!J54,0,IF($C$5*'Tariffs Jul2018'!AL54/'Tariffs Jul2018'!AJ54&lt;='Tariffs Jul2018'!K54,($C$5*'Tariffs Jul2018'!AL54/'Tariffs Jul2018'!AJ54-'Tariffs Jul2018'!J54)*('Tariffs Jul2018'!V54/100)*'Tariffs Jul2018'!AJ54,('Tariffs Jul2018'!K54-'Tariffs Jul2018'!J54)*('Tariffs Jul2018'!V54/100)*'Tariffs Jul2018'!AJ54))</f>
        <v>91.001800000000003</v>
      </c>
      <c r="L60" s="59">
        <f>IF($C$5*'Tariffs Jul2018'!AL54/'Tariffs Jul2018'!AJ54&lt;'Tariffs Jul2018'!K54,0,IF($C$5*'Tariffs Jul2018'!AL54/'Tariffs Jul2018'!AJ54&lt;='Tariffs Jul2018'!L54,($C$5*'Tariffs Jul2018'!AL54/'Tariffs Jul2018'!AJ54-'Tariffs Jul2018'!K54)*('Tariffs Jul2018'!W54/100)*'Tariffs Jul2018'!AJ54,('Tariffs Jul2018'!L54-'Tariffs Jul2018'!K54)*('Tariffs Jul2018'!W54/100)*'Tariffs Jul2018'!AJ54))</f>
        <v>0</v>
      </c>
      <c r="M60" s="59">
        <f>IF($C$5*'Tariffs Jul2018'!AL54/'Tariffs Jul2018'!AJ54&lt;'Tariffs Jul2018'!L54,0,IF($C$5*'Tariffs Jul2018'!AL54/'Tariffs Jul2018'!AJ54&lt;='Tariffs Jul2018'!M54,($C$5*'Tariffs Jul2018'!AL54/'Tariffs Jul2018'!AJ54-'Tariffs Jul2018'!L54)*('Tariffs Jul2018'!X54/100)*'Tariffs Jul2018'!AJ54,('Tariffs Jul2018'!M54-'Tariffs Jul2018'!L54)*('Tariffs Jul2018'!X54/100)*'Tariffs Jul2018'!AJ54))</f>
        <v>0</v>
      </c>
      <c r="N60" s="59">
        <f>IF(($C$5*'Tariffs Jul2018'!AL54/'Tariffs Jul2018'!AJ54&gt;'Tariffs Jul2018'!M54),($C$5*'Tariffs Jul2018'!AL54/'Tariffs Jul2018'!AJ54-'Tariffs Jul2018'!M54)*'Tariffs Jul2018'!Y54/100*'Tariffs Jul2018'!AJ54,0)</f>
        <v>436.43888999999996</v>
      </c>
      <c r="O60" s="271">
        <f t="shared" si="0"/>
        <v>1011.8591039999999</v>
      </c>
      <c r="P60" s="59">
        <f t="shared" si="1"/>
        <v>1276.1921039999997</v>
      </c>
      <c r="Q60" s="272">
        <f t="shared" si="2"/>
        <v>1403.8113143999999</v>
      </c>
      <c r="R60" s="40">
        <f>'Tariffs Jul2018'!AM54</f>
        <v>0</v>
      </c>
      <c r="S60" s="40">
        <f>'Tariffs Jul2018'!AN54</f>
        <v>0</v>
      </c>
      <c r="T60" s="40">
        <f>'Tariffs Jul2018'!AO54</f>
        <v>0</v>
      </c>
      <c r="U60" s="40">
        <f>'Tariffs Jul2018'!AP54</f>
        <v>0</v>
      </c>
      <c r="V60" s="273">
        <f t="shared" si="8"/>
        <v>1276.1921039999997</v>
      </c>
      <c r="W60" s="273">
        <f>V60</f>
        <v>1276.1921039999997</v>
      </c>
      <c r="X60" s="272">
        <f t="shared" si="4"/>
        <v>1403.8113143999999</v>
      </c>
      <c r="Y60" s="272">
        <f t="shared" si="4"/>
        <v>1403.8113143999999</v>
      </c>
      <c r="Z60" s="274">
        <f>'Tariffs Jul2018'!AY54</f>
        <v>0</v>
      </c>
      <c r="AA60" s="274" t="str">
        <f>'Tariffs Jul2018'!AZ54</f>
        <v>n</v>
      </c>
      <c r="AB60" s="275" t="str">
        <f>'Tariffs Jul2018'!BG54</f>
        <v>Y</v>
      </c>
      <c r="AC60" s="351"/>
      <c r="AD60" s="351"/>
      <c r="AE60" s="351"/>
      <c r="AF60" s="351"/>
      <c r="AG60" s="351"/>
      <c r="AH60" s="351"/>
      <c r="AI60" s="351"/>
      <c r="AJ60" s="351"/>
      <c r="AK60" s="351"/>
      <c r="AL60" s="351"/>
      <c r="AM60" s="351"/>
      <c r="AN60" s="351"/>
    </row>
    <row r="61" spans="1:40" x14ac:dyDescent="0.15">
      <c r="A61" s="40" t="str">
        <f>'Tariffs Jul2018'!F55</f>
        <v>Origin Energy</v>
      </c>
      <c r="B61" s="40" t="str">
        <f>'Tariffs Jul2018'!D55</f>
        <v>Envestra Central 2</v>
      </c>
      <c r="C61" s="40" t="str">
        <f>'Tariffs Jul2018'!G55</f>
        <v>Saver</v>
      </c>
      <c r="D61" s="59">
        <f>365*'Tariffs Jul2018'!H55/100</f>
        <v>251.85</v>
      </c>
      <c r="E61" s="59">
        <f>IF($C$5*'Tariffs Jul2018'!AK55/'Tariffs Jul2018'!AI55&gt;='Tariffs Jul2018'!J55,( 'Tariffs Jul2018'!J55*'Tariffs Jul2018'!O55/100)* 'Tariffs Jul2018'!AI55,($C$5*'Tariffs Jul2018'!AK55/'Tariffs Jul2018'!AI55*'Tariffs Jul2018'!O55/100)* 'Tariffs Jul2018'!AI55)</f>
        <v>176</v>
      </c>
      <c r="F61" s="59">
        <f>IF($C$5*'Tariffs Jul2018'!AK55/'Tariffs Jul2018'!AI55&lt;'Tariffs Jul2018'!J55,0,IF($C$5*'Tariffs Jul2018'!AK55/'Tariffs Jul2018'!AI55&lt;='Tariffs Jul2018'!K55,($C$5*'Tariffs Jul2018'!AK55/'Tariffs Jul2018'!AI55-'Tariffs Jul2018'!J55)*('Tariffs Jul2018'!P55/100)*'Tariffs Jul2018'!AI55,('Tariffs Jul2018'!K55-'Tariffs Jul2018'!J55)*('Tariffs Jul2018'!P55/100)*'Tariffs Jul2018'!AI55))</f>
        <v>272.95589999999999</v>
      </c>
      <c r="G61" s="59">
        <f>IF($C$5*'Tariffs Jul2018'!AK55/'Tariffs Jul2018'!AI55&lt;'Tariffs Jul2018'!K55,0,IF($C$5*'Tariffs Jul2018'!AK55/'Tariffs Jul2018'!AI55&lt;='Tariffs Jul2018'!L55,($C$5*'Tariffs Jul2018'!AK55/'Tariffs Jul2018'!AI55-'Tariffs Jul2018'!K55)*('Tariffs Jul2018'!Q55/100)*'Tariffs Jul2018'!AI55,('Tariffs Jul2018'!L55-'Tariffs Jul2018'!K55)*('Tariffs Jul2018'!Q55/100)*'Tariffs Jul2018'!AI55))</f>
        <v>0</v>
      </c>
      <c r="H61" s="59">
        <f>IF($C$5*'Tariffs Jul2018'!AK55/'Tariffs Jul2018'!AI55&lt;'Tariffs Jul2018'!L55,0,IF($C$5*'Tariffs Jul2018'!AK55/'Tariffs Jul2018'!AI55&lt;='Tariffs Jul2018'!M55,($C$5*'Tariffs Jul2018'!AK55/'Tariffs Jul2018'!AI55-'Tariffs Jul2018'!L55)*('Tariffs Jul2018'!R55/100)*'Tariffs Jul2018'!AI55,('Tariffs Jul2018'!M55-'Tariffs Jul2018'!L55)*('Tariffs Jul2018'!R55/100)*'Tariffs Jul2018'!AI55))</f>
        <v>0</v>
      </c>
      <c r="I61" s="59">
        <f>IF(($C$5*'Tariffs Jul2018'!AK55/'Tariffs Jul2018'!AI55&gt;'Tariffs Jul2018'!M55),($C$5*'Tariffs Jul2018'!AK55/'Tariffs Jul2018'!AI55-'Tariffs Jul2018'!M55)*'Tariffs Jul2018'!S55/100*'Tariffs Jul2018'!AI55,0)</f>
        <v>0</v>
      </c>
      <c r="J61" s="59">
        <f>IF($C$5*'Tariffs Jul2018'!AL55/'Tariffs Jul2018'!AJ55&gt;='Tariffs Jul2018'!J55,('Tariffs Jul2018'!J55*'Tariffs Jul2018'!U55/100)* 'Tariffs Jul2018'!AJ55,($C$5*'Tariffs Jul2018'!AL55/'Tariffs Jul2018'!AJ55*'Tariffs Jul2018'!U55/100)* 'Tariffs Jul2018'!AJ55)</f>
        <v>352</v>
      </c>
      <c r="K61" s="59">
        <f>IF($C$5*'Tariffs Jul2018'!AL55/'Tariffs Jul2018'!AJ55&lt;'Tariffs Jul2018'!J55,0,IF($C$5*'Tariffs Jul2018'!AL55/'Tariffs Jul2018'!AJ55&lt;='Tariffs Jul2018'!K55,($C$5*'Tariffs Jul2018'!AL55/'Tariffs Jul2018'!AJ55-'Tariffs Jul2018'!J55)*('Tariffs Jul2018'!V55/100)*'Tariffs Jul2018'!AJ55,('Tariffs Jul2018'!K55-'Tariffs Jul2018'!J55)*('Tariffs Jul2018'!V55/100)*'Tariffs Jul2018'!AJ55))</f>
        <v>545.91179999999997</v>
      </c>
      <c r="L61" s="59">
        <f>IF($C$5*'Tariffs Jul2018'!AL55/'Tariffs Jul2018'!AJ55&lt;'Tariffs Jul2018'!K55,0,IF($C$5*'Tariffs Jul2018'!AL55/'Tariffs Jul2018'!AJ55&lt;='Tariffs Jul2018'!L55,($C$5*'Tariffs Jul2018'!AL55/'Tariffs Jul2018'!AJ55-'Tariffs Jul2018'!K55)*('Tariffs Jul2018'!W55/100)*'Tariffs Jul2018'!AJ55,('Tariffs Jul2018'!L55-'Tariffs Jul2018'!K55)*('Tariffs Jul2018'!W55/100)*'Tariffs Jul2018'!AJ55))</f>
        <v>0</v>
      </c>
      <c r="M61" s="59">
        <f>IF($C$5*'Tariffs Jul2018'!AL55/'Tariffs Jul2018'!AJ55&lt;'Tariffs Jul2018'!L55,0,IF($C$5*'Tariffs Jul2018'!AL55/'Tariffs Jul2018'!AJ55&lt;='Tariffs Jul2018'!M55,($C$5*'Tariffs Jul2018'!AL55/'Tariffs Jul2018'!AJ55-'Tariffs Jul2018'!L55)*('Tariffs Jul2018'!X55/100)*'Tariffs Jul2018'!AJ55,('Tariffs Jul2018'!M55-'Tariffs Jul2018'!L55)*('Tariffs Jul2018'!X55/100)*'Tariffs Jul2018'!AJ55))</f>
        <v>0</v>
      </c>
      <c r="N61" s="59">
        <f>IF(($C$5*'Tariffs Jul2018'!AL55/'Tariffs Jul2018'!AJ55&gt;'Tariffs Jul2018'!M55),($C$5*'Tariffs Jul2018'!AL55/'Tariffs Jul2018'!AJ55-'Tariffs Jul2018'!M55)*'Tariffs Jul2018'!Y55/100*'Tariffs Jul2018'!AJ55,0)</f>
        <v>0</v>
      </c>
      <c r="O61" s="271">
        <f t="shared" si="0"/>
        <v>1346.8676999999998</v>
      </c>
      <c r="P61" s="59">
        <f t="shared" si="1"/>
        <v>1598.7176999999997</v>
      </c>
      <c r="Q61" s="272">
        <f t="shared" si="2"/>
        <v>1758.5894699999999</v>
      </c>
      <c r="R61" s="40">
        <f>'Tariffs Jul2018'!AM55</f>
        <v>0</v>
      </c>
      <c r="S61" s="40">
        <f>'Tariffs Jul2018'!AN55</f>
        <v>0</v>
      </c>
      <c r="T61" s="40">
        <f>'Tariffs Jul2018'!AO55</f>
        <v>0</v>
      </c>
      <c r="U61" s="40">
        <f>'Tariffs Jul2018'!AP55</f>
        <v>13</v>
      </c>
      <c r="V61" s="273">
        <f t="shared" si="8"/>
        <v>1598.7176999999997</v>
      </c>
      <c r="W61" s="273">
        <f>V61-(O61*U61/100)</f>
        <v>1423.6248989999997</v>
      </c>
      <c r="X61" s="272">
        <f t="shared" si="4"/>
        <v>1758.5894699999999</v>
      </c>
      <c r="Y61" s="272">
        <f t="shared" si="4"/>
        <v>1565.9873888999998</v>
      </c>
      <c r="Z61" s="274">
        <f>'Tariffs Jul2018'!AY55</f>
        <v>0</v>
      </c>
      <c r="AA61" s="274" t="str">
        <f>'Tariffs Jul2018'!AZ55</f>
        <v>n</v>
      </c>
      <c r="AB61" s="275" t="str">
        <f>'Tariffs Jul2018'!BG55</f>
        <v>N</v>
      </c>
      <c r="AC61" s="351"/>
      <c r="AD61" s="351"/>
      <c r="AE61" s="351"/>
      <c r="AF61" s="351"/>
      <c r="AG61" s="351"/>
      <c r="AH61" s="351"/>
      <c r="AI61" s="351"/>
      <c r="AJ61" s="351"/>
      <c r="AK61" s="351"/>
      <c r="AL61" s="351"/>
      <c r="AM61" s="351"/>
      <c r="AN61" s="351"/>
    </row>
    <row r="62" spans="1:40" x14ac:dyDescent="0.15">
      <c r="A62" s="40" t="str">
        <f>'Tariffs Jul2018'!F56</f>
        <v>Red Energy</v>
      </c>
      <c r="B62" s="40" t="str">
        <f>'Tariffs Jul2018'!D56</f>
        <v>Envestra Central 2</v>
      </c>
      <c r="C62" s="40" t="str">
        <f>'Tariffs Jul2018'!G56</f>
        <v>Easy Saver</v>
      </c>
      <c r="D62" s="59">
        <f>365*'Tariffs Jul2018'!H56/100</f>
        <v>255.5</v>
      </c>
      <c r="E62" s="59">
        <f>IF($C$5*'Tariffs Jul2018'!AK56/'Tariffs Jul2018'!AI56&gt;='Tariffs Jul2018'!J56,( 'Tariffs Jul2018'!J56*'Tariffs Jul2018'!O56/100)* 'Tariffs Jul2018'!AI56,($C$5*'Tariffs Jul2018'!AK56/'Tariffs Jul2018'!AI56*'Tariffs Jul2018'!O56/100)* 'Tariffs Jul2018'!AI56)</f>
        <v>135</v>
      </c>
      <c r="F62" s="59">
        <f>IF($C$5*'Tariffs Jul2018'!AK56/'Tariffs Jul2018'!AI56&lt;'Tariffs Jul2018'!J56,0,IF($C$5*'Tariffs Jul2018'!AK56/'Tariffs Jul2018'!AI56&lt;='Tariffs Jul2018'!K56,($C$5*'Tariffs Jul2018'!AK56/'Tariffs Jul2018'!AI56-'Tariffs Jul2018'!J56)*('Tariffs Jul2018'!S56/100)*'Tariffs Jul2018'!AI56,('Tariffs Jul2018'!K56-'Tariffs Jul2018'!J56)*('Tariffs Jul2018'!S56/100)*'Tariffs Jul2018'!AI56))</f>
        <v>0</v>
      </c>
      <c r="G62" s="59">
        <f>IF($C$5*'Tariffs Jul2018'!AK56/'Tariffs Jul2018'!AI56&lt;'Tariffs Jul2018'!K56,0,IF($C$5*'Tariffs Jul2018'!AK56/'Tariffs Jul2018'!AI56&lt;='Tariffs Jul2018'!L56,($C$5*'Tariffs Jul2018'!AK56/'Tariffs Jul2018'!AI56-'Tariffs Jul2018'!K56)*('Tariffs Jul2018'!Q56/100)*'Tariffs Jul2018'!AI56,('Tariffs Jul2018'!L56-'Tariffs Jul2018'!K56)*('Tariffs Jul2018'!Q56/100)*'Tariffs Jul2018'!AI56))</f>
        <v>0</v>
      </c>
      <c r="H62" s="59">
        <f>IF($C$5*'Tariffs Jul2018'!AK56/'Tariffs Jul2018'!AI56&lt;'Tariffs Jul2018'!L56,0,IF($C$5*'Tariffs Jul2018'!AK56/'Tariffs Jul2018'!AI56&lt;='Tariffs Jul2018'!M56,($C$5*'Tariffs Jul2018'!AK56/'Tariffs Jul2018'!AI56-'Tariffs Jul2018'!L56)*('Tariffs Jul2018'!R56/100)*'Tariffs Jul2018'!AI56,('Tariffs Jul2018'!M56-'Tariffs Jul2018'!L56)*('Tariffs Jul2018'!R56/100)*'Tariffs Jul2018'!AI56))</f>
        <v>0</v>
      </c>
      <c r="I62" s="59">
        <f>IF(($C$5*'Tariffs Jul2018'!AK56/'Tariffs Jul2018'!AI56&gt;'Tariffs Jul2018'!M56),($C$5*'Tariffs Jul2018'!AK56/'Tariffs Jul2018'!AI56-'Tariffs Jul2018'!M56)*'Tariffs Jul2018'!S56/100*'Tariffs Jul2018'!AI56,0)</f>
        <v>262.46324999999996</v>
      </c>
      <c r="J62" s="59">
        <f>IF($C$5*'Tariffs Jul2018'!AL56/'Tariffs Jul2018'!AJ56&gt;='Tariffs Jul2018'!J56,('Tariffs Jul2018'!J56*'Tariffs Jul2018'!U56/100)* 'Tariffs Jul2018'!AJ56,($C$5*'Tariffs Jul2018'!AL56/'Tariffs Jul2018'!AJ56*'Tariffs Jul2018'!U56/100)* 'Tariffs Jul2018'!AJ56)</f>
        <v>270</v>
      </c>
      <c r="K62" s="59">
        <f>IF($C$5*'Tariffs Jul2018'!AL56/'Tariffs Jul2018'!AJ56&lt;'Tariffs Jul2018'!J56,0,IF($C$5*'Tariffs Jul2018'!AL56/'Tariffs Jul2018'!AJ56&lt;='Tariffs Jul2018'!K56,($C$5*'Tariffs Jul2018'!AL56/'Tariffs Jul2018'!AJ56-'Tariffs Jul2018'!J56)*('Tariffs Jul2018'!V56/100)*'Tariffs Jul2018'!AJ56,('Tariffs Jul2018'!K56-'Tariffs Jul2018'!J56)*('Tariffs Jul2018'!V56/100)*'Tariffs Jul2018'!AJ56))</f>
        <v>0</v>
      </c>
      <c r="L62" s="59">
        <f>IF($C$5*'Tariffs Jul2018'!AL56/'Tariffs Jul2018'!AJ56&lt;'Tariffs Jul2018'!K56,0,IF($C$5*'Tariffs Jul2018'!AL56/'Tariffs Jul2018'!AJ56&lt;='Tariffs Jul2018'!L56,($C$5*'Tariffs Jul2018'!AL56/'Tariffs Jul2018'!AJ56-'Tariffs Jul2018'!K56)*('Tariffs Jul2018'!W56/100)*'Tariffs Jul2018'!AJ56,('Tariffs Jul2018'!L56-'Tariffs Jul2018'!K56)*('Tariffs Jul2018'!W56/100)*'Tariffs Jul2018'!AJ56))</f>
        <v>0</v>
      </c>
      <c r="M62" s="59">
        <f>IF($C$5*'Tariffs Jul2018'!AL56/'Tariffs Jul2018'!AJ56&lt;'Tariffs Jul2018'!L56,0,IF($C$5*'Tariffs Jul2018'!AL56/'Tariffs Jul2018'!AJ56&lt;='Tariffs Jul2018'!M56,($C$5*'Tariffs Jul2018'!AL56/'Tariffs Jul2018'!AJ56-'Tariffs Jul2018'!L56)*('Tariffs Jul2018'!X56/100)*'Tariffs Jul2018'!AJ56,('Tariffs Jul2018'!M56-'Tariffs Jul2018'!L56)*('Tariffs Jul2018'!X56/100)*'Tariffs Jul2018'!AJ56))</f>
        <v>0</v>
      </c>
      <c r="N62" s="59">
        <f>IF(($C$5*'Tariffs Jul2018'!AL56/'Tariffs Jul2018'!AJ56&gt;'Tariffs Jul2018'!M56),($C$5*'Tariffs Jul2018'!AL56/'Tariffs Jul2018'!AJ56-'Tariffs Jul2018'!M56)*'Tariffs Jul2018'!Y56/100*'Tariffs Jul2018'!AJ56,0)</f>
        <v>524.92649999999992</v>
      </c>
      <c r="O62" s="271">
        <f t="shared" si="0"/>
        <v>1192.3897499999998</v>
      </c>
      <c r="P62" s="59">
        <f t="shared" si="1"/>
        <v>1447.8897499999998</v>
      </c>
      <c r="Q62" s="272">
        <f t="shared" si="2"/>
        <v>1592.678725</v>
      </c>
      <c r="R62" s="40">
        <f>'Tariffs Jul2018'!AM56</f>
        <v>0</v>
      </c>
      <c r="S62" s="40">
        <f>'Tariffs Jul2018'!AN56</f>
        <v>0</v>
      </c>
      <c r="T62" s="40">
        <f>'Tariffs Jul2018'!AO56</f>
        <v>10</v>
      </c>
      <c r="U62" s="40">
        <f>'Tariffs Jul2018'!AP56</f>
        <v>0</v>
      </c>
      <c r="V62" s="273">
        <f t="shared" si="8"/>
        <v>1447.8897499999998</v>
      </c>
      <c r="W62" s="273">
        <f>V62-(P62*T62/100)</f>
        <v>1303.1007749999999</v>
      </c>
      <c r="X62" s="272">
        <f t="shared" si="4"/>
        <v>1592.678725</v>
      </c>
      <c r="Y62" s="272">
        <f t="shared" si="4"/>
        <v>1433.4108524999999</v>
      </c>
      <c r="Z62" s="274">
        <f>'Tariffs Jul2018'!AY56</f>
        <v>0</v>
      </c>
      <c r="AA62" s="274" t="str">
        <f>'Tariffs Jul2018'!AZ56</f>
        <v>n</v>
      </c>
      <c r="AB62" s="275" t="str">
        <f>'Tariffs Jul2018'!BG56</f>
        <v>Y</v>
      </c>
      <c r="AC62" s="351"/>
      <c r="AD62" s="351"/>
      <c r="AE62" s="351"/>
      <c r="AF62" s="351"/>
      <c r="AG62" s="351"/>
      <c r="AH62" s="351"/>
      <c r="AI62" s="351"/>
      <c r="AJ62" s="351"/>
      <c r="AK62" s="351"/>
      <c r="AL62" s="351"/>
      <c r="AM62" s="351"/>
      <c r="AN62" s="351"/>
    </row>
    <row r="63" spans="1:40" x14ac:dyDescent="0.15">
      <c r="A63" s="40" t="str">
        <f>'Tariffs Jul2018'!F57</f>
        <v>Simply Energy</v>
      </c>
      <c r="B63" s="40" t="str">
        <f>'Tariffs Jul2018'!D57</f>
        <v>Envestra Central 2</v>
      </c>
      <c r="C63" s="40" t="str">
        <f>'Tariffs Jul2018'!G57</f>
        <v>Plus</v>
      </c>
      <c r="D63" s="59">
        <f>365*'Tariffs Jul2018'!H57/100</f>
        <v>259.55150000000003</v>
      </c>
      <c r="E63" s="59">
        <f>IF($C$5*'Tariffs Jul2018'!AK57/'Tariffs Jul2018'!AI57&gt;='Tariffs Jul2018'!J57,( 'Tariffs Jul2018'!J57*'Tariffs Jul2018'!O57/100)* 'Tariffs Jul2018'!AI57,($C$5*'Tariffs Jul2018'!AK57/'Tariffs Jul2018'!AI57*'Tariffs Jul2018'!O57/100)* 'Tariffs Jul2018'!AI57)</f>
        <v>102.319</v>
      </c>
      <c r="F63" s="59">
        <f>IF($C$5*'Tariffs Jul2018'!AK57/'Tariffs Jul2018'!AI57&lt;'Tariffs Jul2018'!J57,0,IF($C$5*'Tariffs Jul2018'!AK57/'Tariffs Jul2018'!AI57&lt;='Tariffs Jul2018'!K57,($C$5*'Tariffs Jul2018'!AK57/'Tariffs Jul2018'!AI57-'Tariffs Jul2018'!J57)*('Tariffs Jul2018'!P57/100)*'Tariffs Jul2018'!AI57,('Tariffs Jul2018'!K57-'Tariffs Jul2018'!J57)*('Tariffs Jul2018'!P57/100)*'Tariffs Jul2018'!AI57))</f>
        <v>71.00200000000001</v>
      </c>
      <c r="G63" s="59">
        <f>IF($C$5*'Tariffs Jul2018'!AK57/'Tariffs Jul2018'!AI57&lt;'Tariffs Jul2018'!K57,0,IF($C$5*'Tariffs Jul2018'!AK57/'Tariffs Jul2018'!AI57&lt;='Tariffs Jul2018'!L57,($C$5*'Tariffs Jul2018'!AK57/'Tariffs Jul2018'!AI57-'Tariffs Jul2018'!K57)*('Tariffs Jul2018'!Q57/100)*'Tariffs Jul2018'!AI57,('Tariffs Jul2018'!L57-'Tariffs Jul2018'!K57)*('Tariffs Jul2018'!Q57/100)*'Tariffs Jul2018'!AI57))</f>
        <v>0</v>
      </c>
      <c r="H63" s="59">
        <f>IF($C$5*'Tariffs Jul2018'!AK57/'Tariffs Jul2018'!AI57&lt;'Tariffs Jul2018'!L57,0,IF($C$5*'Tariffs Jul2018'!AK57/'Tariffs Jul2018'!AI57&lt;='Tariffs Jul2018'!M57,($C$5*'Tariffs Jul2018'!AK57/'Tariffs Jul2018'!AI57-'Tariffs Jul2018'!L57)*('Tariffs Jul2018'!R57/100)*'Tariffs Jul2018'!AI57,('Tariffs Jul2018'!M57-'Tariffs Jul2018'!L57)*('Tariffs Jul2018'!R57/100)*'Tariffs Jul2018'!AI57))</f>
        <v>0</v>
      </c>
      <c r="I63" s="59">
        <f>IF(($C$5*'Tariffs Jul2018'!AK57/'Tariffs Jul2018'!AI57&gt;'Tariffs Jul2018'!M57),($C$5*'Tariffs Jul2018'!AK57/'Tariffs Jul2018'!AI57-'Tariffs Jul2018'!M57)*'Tariffs Jul2018'!S57/100*'Tariffs Jul2018'!AI57,0)</f>
        <v>328.45400999999998</v>
      </c>
      <c r="J63" s="59">
        <f>IF($C$5*'Tariffs Jul2018'!AL57/'Tariffs Jul2018'!AJ57&gt;='Tariffs Jul2018'!J57,('Tariffs Jul2018'!J57*'Tariffs Jul2018'!U57/100)* 'Tariffs Jul2018'!AJ57,($C$5*'Tariffs Jul2018'!AL57/'Tariffs Jul2018'!AJ57*'Tariffs Jul2018'!U57/100)* 'Tariffs Jul2018'!AJ57)</f>
        <v>204.63800000000001</v>
      </c>
      <c r="K63" s="59">
        <f>IF($C$5*'Tariffs Jul2018'!AL57/'Tariffs Jul2018'!AJ57&lt;'Tariffs Jul2018'!J57,0,IF($C$5*'Tariffs Jul2018'!AL57/'Tariffs Jul2018'!AJ57&lt;='Tariffs Jul2018'!K57,($C$5*'Tariffs Jul2018'!AL57/'Tariffs Jul2018'!AJ57-'Tariffs Jul2018'!J57)*('Tariffs Jul2018'!V57/100)*'Tariffs Jul2018'!AJ57,('Tariffs Jul2018'!K57-'Tariffs Jul2018'!J57)*('Tariffs Jul2018'!V57/100)*'Tariffs Jul2018'!AJ57))</f>
        <v>142.00400000000002</v>
      </c>
      <c r="L63" s="59">
        <f>IF($C$5*'Tariffs Jul2018'!AL57/'Tariffs Jul2018'!AJ57&lt;'Tariffs Jul2018'!K57,0,IF($C$5*'Tariffs Jul2018'!AL57/'Tariffs Jul2018'!AJ57&lt;='Tariffs Jul2018'!L57,($C$5*'Tariffs Jul2018'!AL57/'Tariffs Jul2018'!AJ57-'Tariffs Jul2018'!K57)*('Tariffs Jul2018'!W57/100)*'Tariffs Jul2018'!AJ57,('Tariffs Jul2018'!L57-'Tariffs Jul2018'!K57)*('Tariffs Jul2018'!W57/100)*'Tariffs Jul2018'!AJ57))</f>
        <v>0</v>
      </c>
      <c r="M63" s="59">
        <f>IF($C$5*'Tariffs Jul2018'!AL57/'Tariffs Jul2018'!AJ57&lt;'Tariffs Jul2018'!L57,0,IF($C$5*'Tariffs Jul2018'!AL57/'Tariffs Jul2018'!AJ57&lt;='Tariffs Jul2018'!M57,($C$5*'Tariffs Jul2018'!AL57/'Tariffs Jul2018'!AJ57-'Tariffs Jul2018'!L57)*('Tariffs Jul2018'!X57/100)*'Tariffs Jul2018'!AJ57,('Tariffs Jul2018'!M57-'Tariffs Jul2018'!L57)*('Tariffs Jul2018'!X57/100)*'Tariffs Jul2018'!AJ57))</f>
        <v>0</v>
      </c>
      <c r="N63" s="59">
        <f>IF(($C$5*'Tariffs Jul2018'!AL57/'Tariffs Jul2018'!AJ57&gt;'Tariffs Jul2018'!M57),($C$5*'Tariffs Jul2018'!AL57/'Tariffs Jul2018'!AJ57-'Tariffs Jul2018'!M57)*'Tariffs Jul2018'!Y57/100*'Tariffs Jul2018'!AJ57,0)</f>
        <v>656.90801999999996</v>
      </c>
      <c r="O63" s="271">
        <f t="shared" si="0"/>
        <v>1505.32503</v>
      </c>
      <c r="P63" s="59">
        <f t="shared" si="1"/>
        <v>1764.87653</v>
      </c>
      <c r="Q63" s="272">
        <f t="shared" si="2"/>
        <v>1941.3641830000001</v>
      </c>
      <c r="R63" s="40">
        <f>'Tariffs Jul2018'!AM57</f>
        <v>0</v>
      </c>
      <c r="S63" s="40">
        <f>'Tariffs Jul2018'!AN57</f>
        <v>0</v>
      </c>
      <c r="T63" s="40">
        <f>'Tariffs Jul2018'!AO57</f>
        <v>0</v>
      </c>
      <c r="U63" s="40">
        <f>'Tariffs Jul2018'!AP57</f>
        <v>26</v>
      </c>
      <c r="V63" s="273">
        <f t="shared" si="8"/>
        <v>1764.87653</v>
      </c>
      <c r="W63" s="273">
        <f>V63-(O63*U63/100)</f>
        <v>1373.4920222000001</v>
      </c>
      <c r="X63" s="272">
        <f t="shared" si="4"/>
        <v>1941.3641830000001</v>
      </c>
      <c r="Y63" s="272">
        <f t="shared" si="4"/>
        <v>1510.8412244200001</v>
      </c>
      <c r="Z63" s="274">
        <f>'Tariffs Jul2018'!AY57</f>
        <v>0</v>
      </c>
      <c r="AA63" s="274" t="str">
        <f>'Tariffs Jul2018'!AZ57</f>
        <v>n</v>
      </c>
      <c r="AB63" s="275" t="str">
        <f>'Tariffs Jul2018'!BG57</f>
        <v>Y</v>
      </c>
      <c r="AC63" s="351"/>
      <c r="AD63" s="351"/>
      <c r="AE63" s="351"/>
      <c r="AF63" s="351"/>
      <c r="AG63" s="351"/>
      <c r="AH63" s="351"/>
      <c r="AI63" s="351"/>
      <c r="AJ63" s="351"/>
      <c r="AK63" s="351"/>
      <c r="AL63" s="351"/>
      <c r="AM63" s="351"/>
      <c r="AN63" s="351"/>
    </row>
    <row r="64" spans="1:40" x14ac:dyDescent="0.15">
      <c r="A64" s="40" t="str">
        <f>'Tariffs Jul2018'!F58</f>
        <v>Sumo Power</v>
      </c>
      <c r="B64" s="40" t="str">
        <f>'Tariffs Jul2018'!D58</f>
        <v>Envestra Central 2</v>
      </c>
      <c r="C64" s="40" t="str">
        <f>'Tariffs Jul2018'!G58</f>
        <v>Pay on time (max discount)</v>
      </c>
      <c r="D64" s="59">
        <f>365*'Tariffs Jul2018'!H58/100</f>
        <v>255.5</v>
      </c>
      <c r="E64" s="59">
        <f>IF($C$5*'Tariffs Jul2018'!AK58/'Tariffs Jul2018'!AI58&gt;='Tariffs Jul2018'!J58,( 'Tariffs Jul2018'!J58*'Tariffs Jul2018'!O58/100)* 'Tariffs Jul2018'!AI58,($C$5*'Tariffs Jul2018'!AK58/'Tariffs Jul2018'!AI58*'Tariffs Jul2018'!O58/100)* 'Tariffs Jul2018'!AI58)</f>
        <v>100.87139999999999</v>
      </c>
      <c r="F64" s="59">
        <f>IF($C$5*'Tariffs Jul2018'!AK58/'Tariffs Jul2018'!AI58&lt;'Tariffs Jul2018'!J58,0,IF($C$5*'Tariffs Jul2018'!AK58/'Tariffs Jul2018'!AI58&lt;='Tariffs Jul2018'!K58,($C$5*'Tariffs Jul2018'!AK58/'Tariffs Jul2018'!AI58-'Tariffs Jul2018'!J58)*('Tariffs Jul2018'!S58/100)*'Tariffs Jul2018'!AI58,('Tariffs Jul2018'!K58-'Tariffs Jul2018'!J58)*('Tariffs Jul2018'!S58/100)*'Tariffs Jul2018'!AI58))</f>
        <v>53.657999999999994</v>
      </c>
      <c r="G64" s="59">
        <f>IF($C$5*'Tariffs Jul2018'!AK58/'Tariffs Jul2018'!AI58&lt;'Tariffs Jul2018'!K58,0,IF($C$5*'Tariffs Jul2018'!AK58/'Tariffs Jul2018'!AI58&lt;='Tariffs Jul2018'!L58,($C$5*'Tariffs Jul2018'!AK58/'Tariffs Jul2018'!AI58-'Tariffs Jul2018'!K58)*('Tariffs Jul2018'!Q58/100)*'Tariffs Jul2018'!AI58,('Tariffs Jul2018'!L58-'Tariffs Jul2018'!K58)*('Tariffs Jul2018'!Q58/100)*'Tariffs Jul2018'!AI58))</f>
        <v>0</v>
      </c>
      <c r="H64" s="59">
        <f>IF($C$5*'Tariffs Jul2018'!AK58/'Tariffs Jul2018'!AI58&lt;'Tariffs Jul2018'!L58,0,IF($C$5*'Tariffs Jul2018'!AK58/'Tariffs Jul2018'!AI58&lt;='Tariffs Jul2018'!M58,($C$5*'Tariffs Jul2018'!AK58/'Tariffs Jul2018'!AI58-'Tariffs Jul2018'!L58)*('Tariffs Jul2018'!R58/100)*'Tariffs Jul2018'!AI58,('Tariffs Jul2018'!M58-'Tariffs Jul2018'!L58)*('Tariffs Jul2018'!R58/100)*'Tariffs Jul2018'!AI58))</f>
        <v>0</v>
      </c>
      <c r="I64" s="59">
        <f>IF(($C$5*'Tariffs Jul2018'!AK58/'Tariffs Jul2018'!AI58&gt;'Tariffs Jul2018'!M58),($C$5*'Tariffs Jul2018'!AK58/'Tariffs Jul2018'!AI58-'Tariffs Jul2018'!M58)*'Tariffs Jul2018'!S58/100*'Tariffs Jul2018'!AI58,0)</f>
        <v>296.95841999999999</v>
      </c>
      <c r="J64" s="59">
        <f>IF($C$5*'Tariffs Jul2018'!AL58/'Tariffs Jul2018'!AJ58&gt;='Tariffs Jul2018'!J58,('Tariffs Jul2018'!J58*'Tariffs Jul2018'!U58/100)* 'Tariffs Jul2018'!AJ58,($C$5*'Tariffs Jul2018'!AL58/'Tariffs Jul2018'!AJ58*'Tariffs Jul2018'!U58/100)* 'Tariffs Jul2018'!AJ58)</f>
        <v>201.74279999999999</v>
      </c>
      <c r="K64" s="59">
        <f>IF($C$5*'Tariffs Jul2018'!AL58/'Tariffs Jul2018'!AJ58&lt;'Tariffs Jul2018'!J58,0,IF($C$5*'Tariffs Jul2018'!AL58/'Tariffs Jul2018'!AJ58&lt;='Tariffs Jul2018'!K58,($C$5*'Tariffs Jul2018'!AL58/'Tariffs Jul2018'!AJ58-'Tariffs Jul2018'!J58)*('Tariffs Jul2018'!V58/100)*'Tariffs Jul2018'!AJ58,('Tariffs Jul2018'!K58-'Tariffs Jul2018'!J58)*('Tariffs Jul2018'!V58/100)*'Tariffs Jul2018'!AJ58))</f>
        <v>158.69759999999999</v>
      </c>
      <c r="L64" s="59">
        <f>IF($C$5*'Tariffs Jul2018'!AL58/'Tariffs Jul2018'!AJ58&lt;'Tariffs Jul2018'!K58,0,IF($C$5*'Tariffs Jul2018'!AL58/'Tariffs Jul2018'!AJ58&lt;='Tariffs Jul2018'!L58,($C$5*'Tariffs Jul2018'!AL58/'Tariffs Jul2018'!AJ58-'Tariffs Jul2018'!K58)*('Tariffs Jul2018'!W58/100)*'Tariffs Jul2018'!AJ58,('Tariffs Jul2018'!L58-'Tariffs Jul2018'!K58)*('Tariffs Jul2018'!W58/100)*'Tariffs Jul2018'!AJ58))</f>
        <v>0</v>
      </c>
      <c r="M64" s="59">
        <f>IF($C$5*'Tariffs Jul2018'!AL58/'Tariffs Jul2018'!AJ58&lt;'Tariffs Jul2018'!L58,0,IF($C$5*'Tariffs Jul2018'!AL58/'Tariffs Jul2018'!AJ58&lt;='Tariffs Jul2018'!M58,($C$5*'Tariffs Jul2018'!AL58/'Tariffs Jul2018'!AJ58-'Tariffs Jul2018'!L58)*('Tariffs Jul2018'!X58/100)*'Tariffs Jul2018'!AJ58,('Tariffs Jul2018'!M58-'Tariffs Jul2018'!L58)*('Tariffs Jul2018'!X58/100)*'Tariffs Jul2018'!AJ58))</f>
        <v>0</v>
      </c>
      <c r="N64" s="59">
        <f>IF(($C$5*'Tariffs Jul2018'!AL58/'Tariffs Jul2018'!AJ58&gt;'Tariffs Jul2018'!M58),($C$5*'Tariffs Jul2018'!AL58/'Tariffs Jul2018'!AJ58-'Tariffs Jul2018'!M58)*'Tariffs Jul2018'!Y58/100*'Tariffs Jul2018'!AJ58,0)</f>
        <v>593.91683999999998</v>
      </c>
      <c r="O64" s="271">
        <f t="shared" si="0"/>
        <v>1405.8450599999999</v>
      </c>
      <c r="P64" s="59">
        <f t="shared" si="1"/>
        <v>1661.3450599999999</v>
      </c>
      <c r="Q64" s="272">
        <f t="shared" si="2"/>
        <v>1827.479566</v>
      </c>
      <c r="R64" s="40">
        <f>'Tariffs Jul2018'!AM58</f>
        <v>0</v>
      </c>
      <c r="S64" s="40">
        <f>'Tariffs Jul2018'!AN58</f>
        <v>0</v>
      </c>
      <c r="T64" s="40">
        <f>'Tariffs Jul2018'!AO58</f>
        <v>0</v>
      </c>
      <c r="U64" s="40">
        <f>'Tariffs Jul2018'!AP58</f>
        <v>25</v>
      </c>
      <c r="V64" s="273">
        <f t="shared" si="8"/>
        <v>1661.3450599999999</v>
      </c>
      <c r="W64" s="273">
        <f>V64-(O64*U64/100)</f>
        <v>1309.883795</v>
      </c>
      <c r="X64" s="272">
        <f t="shared" si="4"/>
        <v>1827.479566</v>
      </c>
      <c r="Y64" s="272">
        <f t="shared" si="4"/>
        <v>1440.8721745</v>
      </c>
      <c r="Z64" s="274">
        <f>'Tariffs Jul2018'!AY58</f>
        <v>0</v>
      </c>
      <c r="AA64" s="274" t="str">
        <f>'Tariffs Jul2018'!AZ58</f>
        <v>n</v>
      </c>
      <c r="AB64" s="275" t="str">
        <f>'Tariffs Jul2018'!BG58</f>
        <v>Y</v>
      </c>
      <c r="AC64" s="351"/>
      <c r="AD64" s="351"/>
      <c r="AE64" s="351"/>
      <c r="AF64" s="351"/>
      <c r="AG64" s="351"/>
      <c r="AH64" s="351"/>
      <c r="AI64" s="351"/>
      <c r="AJ64" s="351"/>
      <c r="AK64" s="351"/>
      <c r="AL64" s="351"/>
      <c r="AM64" s="351"/>
      <c r="AN64" s="351"/>
    </row>
    <row r="65" spans="1:40" x14ac:dyDescent="0.15">
      <c r="A65" s="40" t="str">
        <f>'Tariffs Jul2018'!F59</f>
        <v>Amaysim</v>
      </c>
      <c r="B65" s="40" t="str">
        <f>'Tariffs Jul2018'!D59</f>
        <v>Envestra Central 2</v>
      </c>
      <c r="C65" s="40" t="str">
        <f>'Tariffs Jul2018'!G59</f>
        <v>Gas 4</v>
      </c>
      <c r="D65" s="59">
        <f>365*'Tariffs Jul2018'!H59/100</f>
        <v>292.73</v>
      </c>
      <c r="E65" s="59">
        <f>IF($C$5*'Tariffs Jul2018'!AK59/'Tariffs Jul2018'!AI59&gt;='Tariffs Jul2018'!J59,( 'Tariffs Jul2018'!J59*'Tariffs Jul2018'!O59/100)* 'Tariffs Jul2018'!AI59,($C$5*'Tariffs Jul2018'!AK59/'Tariffs Jul2018'!AI59*'Tariffs Jul2018'!O59/100)* 'Tariffs Jul2018'!AI59)</f>
        <v>123.375</v>
      </c>
      <c r="F65" s="59">
        <f>IF($C$5*'Tariffs Jul2018'!AK59/'Tariffs Jul2018'!AI59&lt;'Tariffs Jul2018'!J59,0,IF($C$5*'Tariffs Jul2018'!AK59/'Tariffs Jul2018'!AI59&lt;='Tariffs Jul2018'!K59,($C$5*'Tariffs Jul2018'!AK59/'Tariffs Jul2018'!AI59-'Tariffs Jul2018'!J59)*('Tariffs Jul2018'!P59/100)*'Tariffs Jul2018'!AI59,('Tariffs Jul2018'!K59-'Tariffs Jul2018'!J59)*('Tariffs Jul2018'!P59/100)*'Tariffs Jul2018'!AI59))</f>
        <v>86.72</v>
      </c>
      <c r="G65" s="59">
        <f>IF($C$5*'Tariffs Jul2018'!AK59/'Tariffs Jul2018'!AI59&lt;'Tariffs Jul2018'!K59,0,IF($C$5*'Tariffs Jul2018'!AK59/'Tariffs Jul2018'!AI59&lt;='Tariffs Jul2018'!L59,($C$5*'Tariffs Jul2018'!AK59/'Tariffs Jul2018'!AI59-'Tariffs Jul2018'!K59)*('Tariffs Jul2018'!Q59/100)*'Tariffs Jul2018'!AI59,('Tariffs Jul2018'!L59-'Tariffs Jul2018'!K59)*('Tariffs Jul2018'!Q59/100)*'Tariffs Jul2018'!AI59))</f>
        <v>0</v>
      </c>
      <c r="H65" s="59">
        <f>IF($C$5*'Tariffs Jul2018'!AK59/'Tariffs Jul2018'!AI59&lt;'Tariffs Jul2018'!L59,0,IF($C$5*'Tariffs Jul2018'!AK59/'Tariffs Jul2018'!AI59&lt;='Tariffs Jul2018'!M59,($C$5*'Tariffs Jul2018'!AK59/'Tariffs Jul2018'!AI59-'Tariffs Jul2018'!L59)*('Tariffs Jul2018'!R59/100)*'Tariffs Jul2018'!AI59,('Tariffs Jul2018'!M59-'Tariffs Jul2018'!L59)*('Tariffs Jul2018'!R59/100)*'Tariffs Jul2018'!AI59))</f>
        <v>0</v>
      </c>
      <c r="I65" s="59">
        <f>IF(($C$5*'Tariffs Jul2018'!AK59/'Tariffs Jul2018'!AI59&gt;'Tariffs Jul2018'!M59),($C$5*'Tariffs Jul2018'!AK59/'Tariffs Jul2018'!AI59-'Tariffs Jul2018'!M59)*'Tariffs Jul2018'!S59/100*'Tariffs Jul2018'!AI59,0)</f>
        <v>412.44224999999989</v>
      </c>
      <c r="J65" s="59">
        <f>IF($C$5*'Tariffs Jul2018'!AL59/'Tariffs Jul2018'!AJ59&gt;='Tariffs Jul2018'!J59,('Tariffs Jul2018'!J59*'Tariffs Jul2018'!U59/100)* 'Tariffs Jul2018'!AJ59,($C$5*'Tariffs Jul2018'!AL59/'Tariffs Jul2018'!AJ59*'Tariffs Jul2018'!U59/100)* 'Tariffs Jul2018'!AJ59)</f>
        <v>246.75</v>
      </c>
      <c r="K65" s="59">
        <f>IF($C$5*'Tariffs Jul2018'!AL59/'Tariffs Jul2018'!AJ59&lt;'Tariffs Jul2018'!J59,0,IF($C$5*'Tariffs Jul2018'!AL59/'Tariffs Jul2018'!AJ59&lt;='Tariffs Jul2018'!K59,($C$5*'Tariffs Jul2018'!AL59/'Tariffs Jul2018'!AJ59-'Tariffs Jul2018'!J59)*('Tariffs Jul2018'!V59/100)*'Tariffs Jul2018'!AJ59,('Tariffs Jul2018'!K59-'Tariffs Jul2018'!J59)*('Tariffs Jul2018'!V59/100)*'Tariffs Jul2018'!AJ59))</f>
        <v>173.44</v>
      </c>
      <c r="L65" s="59">
        <f>IF($C$5*'Tariffs Jul2018'!AL59/'Tariffs Jul2018'!AJ59&lt;'Tariffs Jul2018'!K59,0,IF($C$5*'Tariffs Jul2018'!AL59/'Tariffs Jul2018'!AJ59&lt;='Tariffs Jul2018'!L59,($C$5*'Tariffs Jul2018'!AL59/'Tariffs Jul2018'!AJ59-'Tariffs Jul2018'!K59)*('Tariffs Jul2018'!W59/100)*'Tariffs Jul2018'!AJ59,('Tariffs Jul2018'!L59-'Tariffs Jul2018'!K59)*('Tariffs Jul2018'!W59/100)*'Tariffs Jul2018'!AJ59))</f>
        <v>0</v>
      </c>
      <c r="M65" s="59">
        <f>IF($C$5*'Tariffs Jul2018'!AL59/'Tariffs Jul2018'!AJ59&lt;'Tariffs Jul2018'!L59,0,IF($C$5*'Tariffs Jul2018'!AL59/'Tariffs Jul2018'!AJ59&lt;='Tariffs Jul2018'!M59,($C$5*'Tariffs Jul2018'!AL59/'Tariffs Jul2018'!AJ59-'Tariffs Jul2018'!L59)*('Tariffs Jul2018'!X59/100)*'Tariffs Jul2018'!AJ59,('Tariffs Jul2018'!M59-'Tariffs Jul2018'!L59)*('Tariffs Jul2018'!X59/100)*'Tariffs Jul2018'!AJ59))</f>
        <v>0</v>
      </c>
      <c r="N65" s="59">
        <f>IF(($C$5*'Tariffs Jul2018'!AL59/'Tariffs Jul2018'!AJ59&gt;'Tariffs Jul2018'!M59),($C$5*'Tariffs Jul2018'!AL59/'Tariffs Jul2018'!AJ59-'Tariffs Jul2018'!M59)*'Tariffs Jul2018'!Y59/100*'Tariffs Jul2018'!AJ59,0)</f>
        <v>824.88449999999978</v>
      </c>
      <c r="O65" s="271">
        <f t="shared" si="0"/>
        <v>1867.6117499999996</v>
      </c>
      <c r="P65" s="59">
        <f t="shared" si="1"/>
        <v>2160.3417499999996</v>
      </c>
      <c r="Q65" s="272">
        <f t="shared" si="2"/>
        <v>2376.3759249999998</v>
      </c>
      <c r="R65" s="40">
        <f>'Tariffs Jul2018'!AM59</f>
        <v>0</v>
      </c>
      <c r="S65" s="40">
        <f>'Tariffs Jul2018'!AN59</f>
        <v>0</v>
      </c>
      <c r="T65" s="40">
        <f>'Tariffs Jul2018'!AO59</f>
        <v>5</v>
      </c>
      <c r="U65" s="40">
        <f>'Tariffs Jul2018'!AP59</f>
        <v>0</v>
      </c>
      <c r="V65" s="273">
        <f t="shared" si="8"/>
        <v>2160.3417499999996</v>
      </c>
      <c r="W65" s="273">
        <f>V65-(P65*T65/100)</f>
        <v>2052.3246624999997</v>
      </c>
      <c r="X65" s="272">
        <f t="shared" si="4"/>
        <v>2376.3759249999998</v>
      </c>
      <c r="Y65" s="272">
        <f t="shared" si="4"/>
        <v>2257.5571287499997</v>
      </c>
      <c r="Z65" s="274">
        <f>'Tariffs Jul2018'!AY59</f>
        <v>0</v>
      </c>
      <c r="AA65" s="274" t="str">
        <f>'Tariffs Jul2018'!AZ59</f>
        <v>n</v>
      </c>
      <c r="AB65" s="275" t="str">
        <f>'Tariffs Jul2018'!BG59</f>
        <v>N</v>
      </c>
      <c r="AC65" s="351"/>
      <c r="AD65" s="351"/>
      <c r="AE65" s="351"/>
      <c r="AF65" s="351"/>
      <c r="AG65" s="351"/>
      <c r="AH65" s="351"/>
      <c r="AI65" s="351"/>
      <c r="AJ65" s="351"/>
      <c r="AK65" s="351"/>
      <c r="AL65" s="351"/>
      <c r="AM65" s="351"/>
      <c r="AN65" s="351"/>
    </row>
    <row r="66" spans="1:40" x14ac:dyDescent="0.15">
      <c r="A66" s="40" t="str">
        <f>'Tariffs Jul2018'!F60</f>
        <v>GloBird</v>
      </c>
      <c r="B66" s="40" t="str">
        <f>'Tariffs Jul2018'!D60</f>
        <v>Envestra Central 2</v>
      </c>
      <c r="C66" s="40" t="str">
        <f>'Tariffs Jul2018'!G60</f>
        <v>GloSave</v>
      </c>
      <c r="D66" s="59">
        <f>365*'Tariffs Jul2018'!H60/100</f>
        <v>299.3</v>
      </c>
      <c r="E66" s="59">
        <f>IF($C$5*'Tariffs Jul2018'!AK60/'Tariffs Jul2018'!AI60&gt;='Tariffs Jul2018'!J60,( 'Tariffs Jul2018'!J60*'Tariffs Jul2018'!O60/100)* 'Tariffs Jul2018'!AI60,($C$5*'Tariffs Jul2018'!AK60/'Tariffs Jul2018'!AI60*'Tariffs Jul2018'!O60/100)* 'Tariffs Jul2018'!AI60)</f>
        <v>180</v>
      </c>
      <c r="F66" s="59">
        <f>IF($C$5*'Tariffs Jul2018'!AK60/'Tariffs Jul2018'!AI60&lt;'Tariffs Jul2018'!J60,0,IF($C$5*'Tariffs Jul2018'!AK60/'Tariffs Jul2018'!AI60&lt;='Tariffs Jul2018'!K60,($C$5*'Tariffs Jul2018'!AK60/'Tariffs Jul2018'!AI60-'Tariffs Jul2018'!J60)*('Tariffs Jul2018'!P60/100)*'Tariffs Jul2018'!AI60,('Tariffs Jul2018'!K60-'Tariffs Jul2018'!J60)*('Tariffs Jul2018'!P60/100)*'Tariffs Jul2018'!AI60))</f>
        <v>0</v>
      </c>
      <c r="G66" s="59">
        <f>IF($C$5*'Tariffs Jul2018'!AK60/'Tariffs Jul2018'!AI60&lt;'Tariffs Jul2018'!K60,0,IF($C$5*'Tariffs Jul2018'!AK60/'Tariffs Jul2018'!AI60&lt;='Tariffs Jul2018'!L60,($C$5*'Tariffs Jul2018'!AK60/'Tariffs Jul2018'!AI60-'Tariffs Jul2018'!K60)*('Tariffs Jul2018'!Q60/100)*'Tariffs Jul2018'!AI60,('Tariffs Jul2018'!L60-'Tariffs Jul2018'!K60)*('Tariffs Jul2018'!Q60/100)*'Tariffs Jul2018'!AI60))</f>
        <v>0</v>
      </c>
      <c r="H66" s="59">
        <f>IF($C$5*'Tariffs Jul2018'!AK60/'Tariffs Jul2018'!AI60&lt;'Tariffs Jul2018'!L60,0,IF($C$5*'Tariffs Jul2018'!AK60/'Tariffs Jul2018'!AI60&lt;='Tariffs Jul2018'!M60,($C$5*'Tariffs Jul2018'!AK60/'Tariffs Jul2018'!AI60-'Tariffs Jul2018'!L60)*('Tariffs Jul2018'!R60/100)*'Tariffs Jul2018'!AI60,('Tariffs Jul2018'!M60-'Tariffs Jul2018'!L60)*('Tariffs Jul2018'!R60/100)*'Tariffs Jul2018'!AI60))</f>
        <v>0</v>
      </c>
      <c r="I66" s="59">
        <f>IF(($C$5*'Tariffs Jul2018'!AK60/'Tariffs Jul2018'!AI60&gt;'Tariffs Jul2018'!M60),($C$5*'Tariffs Jul2018'!AK60/'Tariffs Jul2018'!AI60-'Tariffs Jul2018'!M60)*'Tariffs Jul2018'!S60/100*'Tariffs Jul2018'!AI60,0)</f>
        <v>412.44224999999989</v>
      </c>
      <c r="J66" s="59">
        <f>IF($C$5*'Tariffs Jul2018'!AL60/'Tariffs Jul2018'!AJ60&gt;='Tariffs Jul2018'!J60,('Tariffs Jul2018'!J60*'Tariffs Jul2018'!U60/100)* 'Tariffs Jul2018'!AJ60,($C$5*'Tariffs Jul2018'!AL60/'Tariffs Jul2018'!AJ60*'Tariffs Jul2018'!U60/100)* 'Tariffs Jul2018'!AJ60)</f>
        <v>360</v>
      </c>
      <c r="K66" s="59">
        <f>IF($C$5*'Tariffs Jul2018'!AL60/'Tariffs Jul2018'!AJ60&lt;'Tariffs Jul2018'!J60,0,IF($C$5*'Tariffs Jul2018'!AL60/'Tariffs Jul2018'!AJ60&lt;='Tariffs Jul2018'!K60,($C$5*'Tariffs Jul2018'!AL60/'Tariffs Jul2018'!AJ60-'Tariffs Jul2018'!J60)*('Tariffs Jul2018'!V60/100)*'Tariffs Jul2018'!AJ60,('Tariffs Jul2018'!K60-'Tariffs Jul2018'!J60)*('Tariffs Jul2018'!V60/100)*'Tariffs Jul2018'!AJ60))</f>
        <v>0</v>
      </c>
      <c r="L66" s="59">
        <f>IF($C$5*'Tariffs Jul2018'!AL60/'Tariffs Jul2018'!AJ60&lt;'Tariffs Jul2018'!K60,0,IF($C$5*'Tariffs Jul2018'!AL60/'Tariffs Jul2018'!AJ60&lt;='Tariffs Jul2018'!L60,($C$5*'Tariffs Jul2018'!AL60/'Tariffs Jul2018'!AJ60-'Tariffs Jul2018'!K60)*('Tariffs Jul2018'!W60/100)*'Tariffs Jul2018'!AJ60,('Tariffs Jul2018'!L60-'Tariffs Jul2018'!K60)*('Tariffs Jul2018'!W60/100)*'Tariffs Jul2018'!AJ60))</f>
        <v>0</v>
      </c>
      <c r="M66" s="59">
        <f>IF($C$5*'Tariffs Jul2018'!AL60/'Tariffs Jul2018'!AJ60&lt;'Tariffs Jul2018'!L60,0,IF($C$5*'Tariffs Jul2018'!AL60/'Tariffs Jul2018'!AJ60&lt;='Tariffs Jul2018'!M60,($C$5*'Tariffs Jul2018'!AL60/'Tariffs Jul2018'!AJ60-'Tariffs Jul2018'!L60)*('Tariffs Jul2018'!X60/100)*'Tariffs Jul2018'!AJ60,('Tariffs Jul2018'!M60-'Tariffs Jul2018'!L60)*('Tariffs Jul2018'!X60/100)*'Tariffs Jul2018'!AJ60))</f>
        <v>0</v>
      </c>
      <c r="N66" s="59">
        <f>IF(($C$5*'Tariffs Jul2018'!AL60/'Tariffs Jul2018'!AJ60&gt;'Tariffs Jul2018'!M60),($C$5*'Tariffs Jul2018'!AL60/'Tariffs Jul2018'!AJ60-'Tariffs Jul2018'!M60)*'Tariffs Jul2018'!Y60/100*'Tariffs Jul2018'!AJ60,0)</f>
        <v>824.88449999999978</v>
      </c>
      <c r="O66" s="271">
        <f>SUM(E66:N66)</f>
        <v>1777.3267499999997</v>
      </c>
      <c r="P66" s="59">
        <f>D66+O66</f>
        <v>2076.6267499999999</v>
      </c>
      <c r="Q66" s="272">
        <f>P66*1.1</f>
        <v>2284.2894249999999</v>
      </c>
      <c r="R66" s="40">
        <f>'Tariffs Jul2018'!AM60</f>
        <v>0</v>
      </c>
      <c r="S66" s="40">
        <f>'Tariffs Jul2018'!AN60</f>
        <v>0</v>
      </c>
      <c r="T66" s="40">
        <f>'Tariffs Jul2018'!AO60</f>
        <v>34</v>
      </c>
      <c r="U66" s="40">
        <f>'Tariffs Jul2018'!AP60</f>
        <v>0</v>
      </c>
      <c r="V66" s="273">
        <f>P66</f>
        <v>2076.6267499999999</v>
      </c>
      <c r="W66" s="273">
        <f>V66-(P66*T66/100)</f>
        <v>1370.5736549999999</v>
      </c>
      <c r="X66" s="272">
        <f>V66*1.1</f>
        <v>2284.2894249999999</v>
      </c>
      <c r="Y66" s="272">
        <f>W66*1.1</f>
        <v>1507.6310205</v>
      </c>
      <c r="Z66" s="274">
        <f>'Tariffs Jul2018'!AY60</f>
        <v>0</v>
      </c>
      <c r="AA66" s="274" t="str">
        <f>'Tariffs Jul2018'!AZ60</f>
        <v>n</v>
      </c>
      <c r="AB66" s="275" t="str">
        <f>'Tariffs Jul2018'!BG60</f>
        <v>N</v>
      </c>
      <c r="AC66" s="351"/>
      <c r="AD66" s="351"/>
      <c r="AE66" s="351"/>
      <c r="AF66" s="351"/>
      <c r="AG66" s="351"/>
      <c r="AH66" s="351"/>
      <c r="AI66" s="351"/>
      <c r="AJ66" s="351"/>
      <c r="AK66" s="351"/>
      <c r="AL66" s="351"/>
      <c r="AM66" s="351"/>
      <c r="AN66" s="351"/>
    </row>
    <row r="67" spans="1:40" ht="14" thickBot="1" x14ac:dyDescent="0.2">
      <c r="A67" s="277" t="str">
        <f>'Tariffs Jul2018'!F61</f>
        <v>Powershop</v>
      </c>
      <c r="B67" s="277" t="str">
        <f>'Tariffs Jul2018'!D61</f>
        <v>Envestra Central 2</v>
      </c>
      <c r="C67" s="277" t="str">
        <f>'Tariffs Jul2018'!G61</f>
        <v>Gas Saver</v>
      </c>
      <c r="D67" s="278">
        <f>365*'Tariffs Jul2018'!H61/100</f>
        <v>308.97250000000003</v>
      </c>
      <c r="E67" s="278">
        <f>((C$5*'Tariffs Jul2018'!AK61/'Tariffs Jul2018'!AI61)*('Tariffs Jul2018'!O61/100))*'Tariffs Jul2018'!AI61</f>
        <v>363.26366999999993</v>
      </c>
      <c r="F67" s="278">
        <v>0</v>
      </c>
      <c r="G67" s="278">
        <v>0</v>
      </c>
      <c r="H67" s="278">
        <v>0</v>
      </c>
      <c r="I67" s="278">
        <v>0</v>
      </c>
      <c r="J67" s="278">
        <f>((C$5*'Tariffs Jul2018'!AL61/'Tariffs Jul2018'!AJ61)*('Tariffs Jul2018'!U61/100))*'Tariffs Jul2018'!AJ61</f>
        <v>726.52733999999987</v>
      </c>
      <c r="K67" s="278">
        <v>0</v>
      </c>
      <c r="L67" s="278">
        <v>0</v>
      </c>
      <c r="M67" s="278">
        <v>0</v>
      </c>
      <c r="N67" s="278">
        <v>0</v>
      </c>
      <c r="O67" s="279">
        <f>SUM(E67:N67)</f>
        <v>1089.7910099999999</v>
      </c>
      <c r="P67" s="278">
        <f>D67+O67</f>
        <v>1398.76351</v>
      </c>
      <c r="Q67" s="280">
        <f>P67*1.1</f>
        <v>1538.6398610000001</v>
      </c>
      <c r="R67" s="277">
        <f>'Tariffs Jul2018'!AM61</f>
        <v>0</v>
      </c>
      <c r="S67" s="277">
        <f>'Tariffs Jul2018'!AN61</f>
        <v>0</v>
      </c>
      <c r="T67" s="277">
        <f>'Tariffs Jul2018'!AO61</f>
        <v>5</v>
      </c>
      <c r="U67" s="277">
        <f>'Tariffs Jul2018'!AP61</f>
        <v>0</v>
      </c>
      <c r="V67" s="281">
        <f t="shared" si="8"/>
        <v>1398.76351</v>
      </c>
      <c r="W67" s="281">
        <f>V67-(P67*T67/100)</f>
        <v>1328.8253345000001</v>
      </c>
      <c r="X67" s="280">
        <f>V67*1.1</f>
        <v>1538.6398610000001</v>
      </c>
      <c r="Y67" s="280">
        <f>W67*1.1</f>
        <v>1461.7078679500003</v>
      </c>
      <c r="Z67" s="282">
        <f>'Tariffs Jul2018'!AY61</f>
        <v>0</v>
      </c>
      <c r="AA67" s="282" t="str">
        <f>'Tariffs Jul2018'!AZ61</f>
        <v>n</v>
      </c>
      <c r="AB67" s="283" t="str">
        <f>'Tariffs Jul2018'!BG61</f>
        <v>Y</v>
      </c>
      <c r="AC67" s="351"/>
      <c r="AD67" s="351"/>
      <c r="AE67" s="351"/>
      <c r="AF67" s="351"/>
      <c r="AG67" s="351"/>
      <c r="AH67" s="351"/>
      <c r="AI67" s="351"/>
      <c r="AJ67" s="351"/>
      <c r="AK67" s="351"/>
      <c r="AL67" s="351"/>
      <c r="AM67" s="351"/>
      <c r="AN67" s="351"/>
    </row>
    <row r="68" spans="1:40" ht="14" thickTop="1" x14ac:dyDescent="0.15">
      <c r="A68" s="40" t="str">
        <f>'Tariffs Jul2018'!F62</f>
        <v>AGL</v>
      </c>
      <c r="B68" s="40" t="str">
        <f>'Tariffs Jul2018'!D62</f>
        <v>Envestra Central 1</v>
      </c>
      <c r="C68" s="40" t="str">
        <f>'Tariffs Jul2018'!G62</f>
        <v>Savers</v>
      </c>
      <c r="D68" s="59">
        <f>365*'Tariffs Jul2018'!H62/100</f>
        <v>288.35000000000002</v>
      </c>
      <c r="E68" s="59">
        <f>IF($C$5*'Tariffs Jul2018'!AK62/'Tariffs Jul2018'!AI62&gt;='Tariffs Jul2018'!J62,( 'Tariffs Jul2018'!J62*'Tariffs Jul2018'!O62/100)* 'Tariffs Jul2018'!AI62,($C$5*'Tariffs Jul2018'!AK62/'Tariffs Jul2018'!AI62*'Tariffs Jul2018'!O62/100)* 'Tariffs Jul2018'!AI62)</f>
        <v>94.423000000000016</v>
      </c>
      <c r="F68" s="59">
        <f>IF($C$5*'Tariffs Jul2018'!AK62/'Tariffs Jul2018'!AI62&lt;'Tariffs Jul2018'!J62,0,IF($C$5*'Tariffs Jul2018'!AK62/'Tariffs Jul2018'!AI62&lt;='Tariffs Jul2018'!K62,($C$5*'Tariffs Jul2018'!AK62/'Tariffs Jul2018'!AI62-'Tariffs Jul2018'!J62)*('Tariffs Jul2018'!P62/100)*'Tariffs Jul2018'!AI62,('Tariffs Jul2018'!K62-'Tariffs Jul2018'!J62)*('Tariffs Jul2018'!P62/100)*'Tariffs Jul2018'!AI62))</f>
        <v>66.665999999999997</v>
      </c>
      <c r="G68" s="59">
        <f>IF($C$5*'Tariffs Jul2018'!AK62/'Tariffs Jul2018'!AI62&lt;'Tariffs Jul2018'!K62,0,IF($C$5*'Tariffs Jul2018'!AK62/'Tariffs Jul2018'!AI62&lt;='Tariffs Jul2018'!L62,($C$5*'Tariffs Jul2018'!AK62/'Tariffs Jul2018'!AI62-'Tariffs Jul2018'!K62)*('Tariffs Jul2018'!Q62/100)*'Tariffs Jul2018'!AI62,('Tariffs Jul2018'!L62-'Tariffs Jul2018'!K62)*('Tariffs Jul2018'!Q62/100)*'Tariffs Jul2018'!AI62))</f>
        <v>0</v>
      </c>
      <c r="H68" s="59">
        <f>IF($C$5*'Tariffs Jul2018'!AK62/'Tariffs Jul2018'!AI62&lt;'Tariffs Jul2018'!L62,0,IF($C$5*'Tariffs Jul2018'!AK62/'Tariffs Jul2018'!AI62&lt;='Tariffs Jul2018'!M62,($C$5*'Tariffs Jul2018'!AK62/'Tariffs Jul2018'!AI62-'Tariffs Jul2018'!L62)*('Tariffs Jul2018'!R62/100)*'Tariffs Jul2018'!AI62,('Tariffs Jul2018'!M62-'Tariffs Jul2018'!L62)*('Tariffs Jul2018'!R62/100)*'Tariffs Jul2018'!AI62))</f>
        <v>0</v>
      </c>
      <c r="I68" s="59">
        <f>IF(($C$5*'Tariffs Jul2018'!AK62/'Tariffs Jul2018'!AI62&gt;'Tariffs Jul2018'!M62),($C$5*'Tariffs Jul2018'!AK62/'Tariffs Jul2018'!AI62-'Tariffs Jul2018'!M62)*'Tariffs Jul2018'!S62/100*'Tariffs Jul2018'!AI62,0)</f>
        <v>293.95883999999995</v>
      </c>
      <c r="J68" s="59">
        <f>IF($C$5*'Tariffs Jul2018'!AL62/'Tariffs Jul2018'!AJ62&gt;='Tariffs Jul2018'!J62,('Tariffs Jul2018'!J62*'Tariffs Jul2018'!U62/100)* 'Tariffs Jul2018'!AJ62,($C$5*'Tariffs Jul2018'!AL62/'Tariffs Jul2018'!AJ62*'Tariffs Jul2018'!U62/100)* 'Tariffs Jul2018'!AJ62)</f>
        <v>188.84600000000003</v>
      </c>
      <c r="K68" s="59">
        <f>IF($C$5*'Tariffs Jul2018'!AL62/'Tariffs Jul2018'!AJ62&lt;'Tariffs Jul2018'!J62,0,IF($C$5*'Tariffs Jul2018'!AL62/'Tariffs Jul2018'!AJ62&lt;='Tariffs Jul2018'!K62,($C$5*'Tariffs Jul2018'!AL62/'Tariffs Jul2018'!AJ62-'Tariffs Jul2018'!J62)*('Tariffs Jul2018'!V62/100)*'Tariffs Jul2018'!AJ62,('Tariffs Jul2018'!K62-'Tariffs Jul2018'!J62)*('Tariffs Jul2018'!V62/100)*'Tariffs Jul2018'!AJ62))</f>
        <v>133.33199999999999</v>
      </c>
      <c r="L68" s="59">
        <f>IF($C$5*'Tariffs Jul2018'!AL62/'Tariffs Jul2018'!AJ62&lt;'Tariffs Jul2018'!K62,0,IF($C$5*'Tariffs Jul2018'!AL62/'Tariffs Jul2018'!AJ62&lt;='Tariffs Jul2018'!L62,($C$5*'Tariffs Jul2018'!AL62/'Tariffs Jul2018'!AJ62-'Tariffs Jul2018'!K62)*('Tariffs Jul2018'!W62/100)*'Tariffs Jul2018'!AJ62,('Tariffs Jul2018'!L62-'Tariffs Jul2018'!K62)*('Tariffs Jul2018'!W62/100)*'Tariffs Jul2018'!AJ62))</f>
        <v>0</v>
      </c>
      <c r="M68" s="59">
        <f>IF($C$5*'Tariffs Jul2018'!AL62/'Tariffs Jul2018'!AJ62&lt;'Tariffs Jul2018'!L62,0,IF($C$5*'Tariffs Jul2018'!AL62/'Tariffs Jul2018'!AJ62&lt;='Tariffs Jul2018'!M62,($C$5*'Tariffs Jul2018'!AL62/'Tariffs Jul2018'!AJ62-'Tariffs Jul2018'!L62)*('Tariffs Jul2018'!X62/100)*'Tariffs Jul2018'!AJ62,('Tariffs Jul2018'!M62-'Tariffs Jul2018'!L62)*('Tariffs Jul2018'!X62/100)*'Tariffs Jul2018'!AJ62))</f>
        <v>0</v>
      </c>
      <c r="N68" s="59">
        <f>IF(($C$5*'Tariffs Jul2018'!AL62/'Tariffs Jul2018'!AJ62&gt;'Tariffs Jul2018'!M62),($C$5*'Tariffs Jul2018'!AL62/'Tariffs Jul2018'!AJ62-'Tariffs Jul2018'!M62)*'Tariffs Jul2018'!Y62/100*'Tariffs Jul2018'!AJ62,0)</f>
        <v>587.9176799999999</v>
      </c>
      <c r="O68" s="271">
        <f t="shared" si="0"/>
        <v>1365.1435199999999</v>
      </c>
      <c r="P68" s="59">
        <f t="shared" si="1"/>
        <v>1653.49352</v>
      </c>
      <c r="Q68" s="272">
        <f t="shared" si="2"/>
        <v>1818.8428720000002</v>
      </c>
      <c r="R68" s="40">
        <f>'Tariffs Jul2018'!AM62</f>
        <v>0</v>
      </c>
      <c r="S68" s="40">
        <f>'Tariffs Jul2018'!AN62</f>
        <v>0</v>
      </c>
      <c r="T68" s="40">
        <f>'Tariffs Jul2018'!AO62</f>
        <v>0</v>
      </c>
      <c r="U68" s="40">
        <f>'Tariffs Jul2018'!AP62</f>
        <v>26</v>
      </c>
      <c r="V68" s="273">
        <f>P68</f>
        <v>1653.49352</v>
      </c>
      <c r="W68" s="273">
        <f>V68-(O68*U68/100)</f>
        <v>1298.5562048000002</v>
      </c>
      <c r="X68" s="272">
        <f t="shared" si="4"/>
        <v>1818.8428720000002</v>
      </c>
      <c r="Y68" s="272">
        <f t="shared" si="4"/>
        <v>1428.4118252800004</v>
      </c>
      <c r="Z68" s="274">
        <f>'Tariffs Jul2018'!AY62</f>
        <v>0</v>
      </c>
      <c r="AA68" s="274" t="str">
        <f>'Tariffs Jul2018'!AZ62</f>
        <v>n</v>
      </c>
      <c r="AB68" s="275" t="str">
        <f>'Tariffs Jul2018'!BG62</f>
        <v>N</v>
      </c>
      <c r="AC68" s="351"/>
      <c r="AD68" s="351"/>
      <c r="AE68" s="351"/>
      <c r="AF68" s="351"/>
      <c r="AG68" s="351"/>
      <c r="AH68" s="351"/>
      <c r="AI68" s="351"/>
      <c r="AJ68" s="351"/>
      <c r="AK68" s="351"/>
      <c r="AL68" s="351"/>
      <c r="AM68" s="351"/>
      <c r="AN68" s="351"/>
    </row>
    <row r="69" spans="1:40" x14ac:dyDescent="0.15">
      <c r="A69" s="40" t="str">
        <f>'Tariffs Jul2018'!F63</f>
        <v>Alinta Energy</v>
      </c>
      <c r="B69" s="40" t="str">
        <f>'Tariffs Jul2018'!D63</f>
        <v>Envestra Central 1</v>
      </c>
      <c r="C69" s="40" t="str">
        <f>'Tariffs Jul2018'!G63</f>
        <v>Fair Deal</v>
      </c>
      <c r="D69" s="59">
        <f>365*'Tariffs Jul2018'!H63/100</f>
        <v>251.85</v>
      </c>
      <c r="E69" s="59">
        <f>IF($C$5*'Tariffs Jul2018'!AK63/'Tariffs Jul2018'!AI63&gt;='Tariffs Jul2018'!J63,( 'Tariffs Jul2018'!J63*'Tariffs Jul2018'!O63/100)* 'Tariffs Jul2018'!AI63,($C$5*'Tariffs Jul2018'!AK63/'Tariffs Jul2018'!AI63*'Tariffs Jul2018'!O63/100)* 'Tariffs Jul2018'!AI63)</f>
        <v>93.436000000000007</v>
      </c>
      <c r="F69" s="59">
        <f>IF($C$5*'Tariffs Jul2018'!AK63/'Tariffs Jul2018'!AI63&lt;'Tariffs Jul2018'!J63,0,IF($C$5*'Tariffs Jul2018'!AK63/'Tariffs Jul2018'!AI63&lt;='Tariffs Jul2018'!K63,($C$5*'Tariffs Jul2018'!AK63/'Tariffs Jul2018'!AI63-'Tariffs Jul2018'!J63)*('Tariffs Jul2018'!P63/100)*'Tariffs Jul2018'!AI63,('Tariffs Jul2018'!K63-'Tariffs Jul2018'!J63)*('Tariffs Jul2018'!P63/100)*'Tariffs Jul2018'!AI63))</f>
        <v>65.853000000000009</v>
      </c>
      <c r="G69" s="59">
        <f>IF($C$5*'Tariffs Jul2018'!AK63/'Tariffs Jul2018'!AI63&lt;'Tariffs Jul2018'!K63,0,IF($C$5*'Tariffs Jul2018'!AK63/'Tariffs Jul2018'!AI63&lt;='Tariffs Jul2018'!L63,($C$5*'Tariffs Jul2018'!AK63/'Tariffs Jul2018'!AI63-'Tariffs Jul2018'!K63)*('Tariffs Jul2018'!Q63/100)*'Tariffs Jul2018'!AI63,('Tariffs Jul2018'!L63-'Tariffs Jul2018'!K63)*('Tariffs Jul2018'!Q63/100)*'Tariffs Jul2018'!AI63))</f>
        <v>0</v>
      </c>
      <c r="H69" s="59">
        <f>IF($C$5*'Tariffs Jul2018'!AK63/'Tariffs Jul2018'!AI63&lt;'Tariffs Jul2018'!L63,0,IF($C$5*'Tariffs Jul2018'!AK63/'Tariffs Jul2018'!AI63&lt;='Tariffs Jul2018'!M63,($C$5*'Tariffs Jul2018'!AK63/'Tariffs Jul2018'!AI63-'Tariffs Jul2018'!L63)*('Tariffs Jul2018'!R63/100)*'Tariffs Jul2018'!AI63,('Tariffs Jul2018'!M63-'Tariffs Jul2018'!L63)*('Tariffs Jul2018'!R63/100)*'Tariffs Jul2018'!AI63))</f>
        <v>0</v>
      </c>
      <c r="I69" s="59">
        <f>IF(($C$5*'Tariffs Jul2018'!AK63/'Tariffs Jul2018'!AI63&gt;'Tariffs Jul2018'!M63),($C$5*'Tariffs Jul2018'!AK63/'Tariffs Jul2018'!AI63-'Tariffs Jul2018'!M63)*'Tariffs Jul2018'!S63/100*'Tariffs Jul2018'!AI63,0)</f>
        <v>286.45988999999992</v>
      </c>
      <c r="J69" s="59">
        <f>IF($C$5*'Tariffs Jul2018'!AL63/'Tariffs Jul2018'!AJ63&gt;='Tariffs Jul2018'!J63,('Tariffs Jul2018'!J63*'Tariffs Jul2018'!U63/100)* 'Tariffs Jul2018'!AJ63,($C$5*'Tariffs Jul2018'!AL63/'Tariffs Jul2018'!AJ63*'Tariffs Jul2018'!U63/100)* 'Tariffs Jul2018'!AJ63)</f>
        <v>186.87200000000001</v>
      </c>
      <c r="K69" s="59">
        <f>IF($C$5*'Tariffs Jul2018'!AL63/'Tariffs Jul2018'!AJ63&lt;'Tariffs Jul2018'!J63,0,IF($C$5*'Tariffs Jul2018'!AL63/'Tariffs Jul2018'!AJ63&lt;='Tariffs Jul2018'!K63,($C$5*'Tariffs Jul2018'!AL63/'Tariffs Jul2018'!AJ63-'Tariffs Jul2018'!J63)*('Tariffs Jul2018'!V63/100)*'Tariffs Jul2018'!AJ63,('Tariffs Jul2018'!K63-'Tariffs Jul2018'!J63)*('Tariffs Jul2018'!V63/100)*'Tariffs Jul2018'!AJ63))</f>
        <v>131.70600000000002</v>
      </c>
      <c r="L69" s="59">
        <f>IF($C$5*'Tariffs Jul2018'!AL63/'Tariffs Jul2018'!AJ63&lt;'Tariffs Jul2018'!K63,0,IF($C$5*'Tariffs Jul2018'!AL63/'Tariffs Jul2018'!AJ63&lt;='Tariffs Jul2018'!L63,($C$5*'Tariffs Jul2018'!AL63/'Tariffs Jul2018'!AJ63-'Tariffs Jul2018'!K63)*('Tariffs Jul2018'!W63/100)*'Tariffs Jul2018'!AJ63,('Tariffs Jul2018'!L63-'Tariffs Jul2018'!K63)*('Tariffs Jul2018'!W63/100)*'Tariffs Jul2018'!AJ63))</f>
        <v>0</v>
      </c>
      <c r="M69" s="59">
        <f>IF($C$5*'Tariffs Jul2018'!AL63/'Tariffs Jul2018'!AJ63&lt;'Tariffs Jul2018'!L63,0,IF($C$5*'Tariffs Jul2018'!AL63/'Tariffs Jul2018'!AJ63&lt;='Tariffs Jul2018'!M63,($C$5*'Tariffs Jul2018'!AL63/'Tariffs Jul2018'!AJ63-'Tariffs Jul2018'!L63)*('Tariffs Jul2018'!X63/100)*'Tariffs Jul2018'!AJ63,('Tariffs Jul2018'!M63-'Tariffs Jul2018'!L63)*('Tariffs Jul2018'!X63/100)*'Tariffs Jul2018'!AJ63))</f>
        <v>0</v>
      </c>
      <c r="N69" s="59">
        <f>IF(($C$5*'Tariffs Jul2018'!AL63/'Tariffs Jul2018'!AJ63&gt;'Tariffs Jul2018'!M63),($C$5*'Tariffs Jul2018'!AL63/'Tariffs Jul2018'!AJ63-'Tariffs Jul2018'!M63)*'Tariffs Jul2018'!Y63/100*'Tariffs Jul2018'!AJ63,0)</f>
        <v>572.91977999999983</v>
      </c>
      <c r="O69" s="271">
        <f t="shared" si="0"/>
        <v>1337.2466699999998</v>
      </c>
      <c r="P69" s="59">
        <f t="shared" si="1"/>
        <v>1589.0966699999997</v>
      </c>
      <c r="Q69" s="272">
        <f t="shared" si="2"/>
        <v>1748.0063369999998</v>
      </c>
      <c r="R69" s="40">
        <f>'Tariffs Jul2018'!AM63</f>
        <v>0</v>
      </c>
      <c r="S69" s="40">
        <f>'Tariffs Jul2018'!AN63</f>
        <v>0</v>
      </c>
      <c r="T69" s="40">
        <f>'Tariffs Jul2018'!AO63</f>
        <v>0</v>
      </c>
      <c r="U69" s="40">
        <f>'Tariffs Jul2018'!AP63</f>
        <v>25</v>
      </c>
      <c r="V69" s="273">
        <f>P69</f>
        <v>1589.0966699999997</v>
      </c>
      <c r="W69" s="273">
        <f>V69-(O69*U69/100)</f>
        <v>1254.7850024999998</v>
      </c>
      <c r="X69" s="272">
        <f t="shared" si="4"/>
        <v>1748.0063369999998</v>
      </c>
      <c r="Y69" s="272">
        <f t="shared" si="4"/>
        <v>1380.2635027499998</v>
      </c>
      <c r="Z69" s="274">
        <f>'Tariffs Jul2018'!AY63</f>
        <v>0</v>
      </c>
      <c r="AA69" s="274" t="str">
        <f>'Tariffs Jul2018'!AZ63</f>
        <v>n</v>
      </c>
      <c r="AB69" s="275" t="str">
        <f>'Tariffs Jul2018'!BG63</f>
        <v>Y</v>
      </c>
      <c r="AC69" s="351"/>
      <c r="AD69" s="351"/>
      <c r="AE69" s="351"/>
      <c r="AF69" s="351"/>
      <c r="AG69" s="351"/>
      <c r="AH69" s="351"/>
      <c r="AI69" s="351"/>
      <c r="AJ69" s="351"/>
      <c r="AK69" s="351"/>
      <c r="AL69" s="351"/>
      <c r="AM69" s="351"/>
      <c r="AN69" s="351"/>
    </row>
    <row r="70" spans="1:40" x14ac:dyDescent="0.15">
      <c r="A70" s="40" t="str">
        <f>'Tariffs Jul2018'!F64</f>
        <v>Click Energy</v>
      </c>
      <c r="B70" s="40" t="str">
        <f>'Tariffs Jul2018'!D64</f>
        <v>Envestra Central 1</v>
      </c>
      <c r="C70" s="40" t="str">
        <f>'Tariffs Jul2018'!G64</f>
        <v>Lilac</v>
      </c>
      <c r="D70" s="59">
        <f>365*'Tariffs Jul2018'!H64/100</f>
        <v>292.73</v>
      </c>
      <c r="E70" s="59">
        <f>IF($C$5*'Tariffs Jul2018'!AK64/'Tariffs Jul2018'!AI64&gt;='Tariffs Jul2018'!J64,( 'Tariffs Jul2018'!J64*'Tariffs Jul2018'!O64/100)* 'Tariffs Jul2018'!AI64,($C$5*'Tariffs Jul2018'!AK64/'Tariffs Jul2018'!AI64*'Tariffs Jul2018'!O64/100)* 'Tariffs Jul2018'!AI64)</f>
        <v>123.375</v>
      </c>
      <c r="F70" s="59">
        <f>IF($C$5*'Tariffs Jul2018'!AK64/'Tariffs Jul2018'!AI64&lt;'Tariffs Jul2018'!J64,0,IF($C$5*'Tariffs Jul2018'!AK64/'Tariffs Jul2018'!AI64&lt;='Tariffs Jul2018'!K64,($C$5*'Tariffs Jul2018'!AK64/'Tariffs Jul2018'!AI64-'Tariffs Jul2018'!J64)*('Tariffs Jul2018'!P64/100)*'Tariffs Jul2018'!AI64,('Tariffs Jul2018'!K64-'Tariffs Jul2018'!J64)*('Tariffs Jul2018'!P64/100)*'Tariffs Jul2018'!AI64))</f>
        <v>86.72</v>
      </c>
      <c r="G70" s="59">
        <f>IF($C$5*'Tariffs Jul2018'!AK64/'Tariffs Jul2018'!AI64&lt;'Tariffs Jul2018'!K64,0,IF($C$5*'Tariffs Jul2018'!AK64/'Tariffs Jul2018'!AI64&lt;='Tariffs Jul2018'!L64,($C$5*'Tariffs Jul2018'!AK64/'Tariffs Jul2018'!AI64-'Tariffs Jul2018'!K64)*('Tariffs Jul2018'!Q64/100)*'Tariffs Jul2018'!AI64,('Tariffs Jul2018'!L64-'Tariffs Jul2018'!K64)*('Tariffs Jul2018'!Q64/100)*'Tariffs Jul2018'!AI64))</f>
        <v>0</v>
      </c>
      <c r="H70" s="59">
        <f>IF($C$5*'Tariffs Jul2018'!AK64/'Tariffs Jul2018'!AI64&lt;'Tariffs Jul2018'!L64,0,IF($C$5*'Tariffs Jul2018'!AK64/'Tariffs Jul2018'!AI64&lt;='Tariffs Jul2018'!M64,($C$5*'Tariffs Jul2018'!AK64/'Tariffs Jul2018'!AI64-'Tariffs Jul2018'!L64)*('Tariffs Jul2018'!R64/100)*'Tariffs Jul2018'!AI64,('Tariffs Jul2018'!M64-'Tariffs Jul2018'!L64)*('Tariffs Jul2018'!R64/100)*'Tariffs Jul2018'!AI64))</f>
        <v>0</v>
      </c>
      <c r="I70" s="59">
        <f>IF(($C$5*'Tariffs Jul2018'!AK64/'Tariffs Jul2018'!AI64&gt;'Tariffs Jul2018'!M64),($C$5*'Tariffs Jul2018'!AK64/'Tariffs Jul2018'!AI64-'Tariffs Jul2018'!M64)*'Tariffs Jul2018'!S64/100*'Tariffs Jul2018'!AI64,0)</f>
        <v>412.44224999999989</v>
      </c>
      <c r="J70" s="59">
        <f>IF($C$5*'Tariffs Jul2018'!AL64/'Tariffs Jul2018'!AJ64&gt;='Tariffs Jul2018'!J64,('Tariffs Jul2018'!J64*'Tariffs Jul2018'!U64/100)* 'Tariffs Jul2018'!AJ64,($C$5*'Tariffs Jul2018'!AL64/'Tariffs Jul2018'!AJ64*'Tariffs Jul2018'!U64/100)* 'Tariffs Jul2018'!AJ64)</f>
        <v>246.75</v>
      </c>
      <c r="K70" s="59">
        <f>IF($C$5*'Tariffs Jul2018'!AL64/'Tariffs Jul2018'!AJ64&lt;'Tariffs Jul2018'!J64,0,IF($C$5*'Tariffs Jul2018'!AL64/'Tariffs Jul2018'!AJ64&lt;='Tariffs Jul2018'!K64,($C$5*'Tariffs Jul2018'!AL64/'Tariffs Jul2018'!AJ64-'Tariffs Jul2018'!J64)*('Tariffs Jul2018'!V64/100)*'Tariffs Jul2018'!AJ64,('Tariffs Jul2018'!K64-'Tariffs Jul2018'!J64)*('Tariffs Jul2018'!V64/100)*'Tariffs Jul2018'!AJ64))</f>
        <v>173.44</v>
      </c>
      <c r="L70" s="59">
        <f>IF($C$5*'Tariffs Jul2018'!AL64/'Tariffs Jul2018'!AJ64&lt;'Tariffs Jul2018'!K64,0,IF($C$5*'Tariffs Jul2018'!AL64/'Tariffs Jul2018'!AJ64&lt;='Tariffs Jul2018'!L64,($C$5*'Tariffs Jul2018'!AL64/'Tariffs Jul2018'!AJ64-'Tariffs Jul2018'!K64)*('Tariffs Jul2018'!W64/100)*'Tariffs Jul2018'!AJ64,('Tariffs Jul2018'!L64-'Tariffs Jul2018'!K64)*('Tariffs Jul2018'!W64/100)*'Tariffs Jul2018'!AJ64))</f>
        <v>0</v>
      </c>
      <c r="M70" s="59">
        <f>IF($C$5*'Tariffs Jul2018'!AL64/'Tariffs Jul2018'!AJ64&lt;'Tariffs Jul2018'!L64,0,IF($C$5*'Tariffs Jul2018'!AL64/'Tariffs Jul2018'!AJ64&lt;='Tariffs Jul2018'!M64,($C$5*'Tariffs Jul2018'!AL64/'Tariffs Jul2018'!AJ64-'Tariffs Jul2018'!L64)*('Tariffs Jul2018'!X64/100)*'Tariffs Jul2018'!AJ64,('Tariffs Jul2018'!M64-'Tariffs Jul2018'!L64)*('Tariffs Jul2018'!X64/100)*'Tariffs Jul2018'!AJ64))</f>
        <v>0</v>
      </c>
      <c r="N70" s="59">
        <f>IF(($C$5*'Tariffs Jul2018'!AL64/'Tariffs Jul2018'!AJ64&gt;'Tariffs Jul2018'!M64),($C$5*'Tariffs Jul2018'!AL64/'Tariffs Jul2018'!AJ64-'Tariffs Jul2018'!M64)*'Tariffs Jul2018'!Y64/100*'Tariffs Jul2018'!AJ64,0)</f>
        <v>824.88449999999978</v>
      </c>
      <c r="O70" s="271">
        <f t="shared" si="0"/>
        <v>1867.6117499999996</v>
      </c>
      <c r="P70" s="59">
        <f t="shared" si="1"/>
        <v>2160.3417499999996</v>
      </c>
      <c r="Q70" s="272">
        <f t="shared" si="2"/>
        <v>2376.3759249999998</v>
      </c>
      <c r="R70" s="40">
        <f>'Tariffs Jul2018'!AM64</f>
        <v>0</v>
      </c>
      <c r="S70" s="40">
        <f>'Tariffs Jul2018'!AN64</f>
        <v>0</v>
      </c>
      <c r="T70" s="40">
        <f>'Tariffs Jul2018'!AO64</f>
        <v>26</v>
      </c>
      <c r="U70" s="40">
        <f>'Tariffs Jul2018'!AP64</f>
        <v>0</v>
      </c>
      <c r="V70" s="273">
        <f>P70</f>
        <v>2160.3417499999996</v>
      </c>
      <c r="W70" s="273">
        <f>V70-(P70*T70/100)</f>
        <v>1598.6528949999997</v>
      </c>
      <c r="X70" s="272">
        <f t="shared" si="4"/>
        <v>2376.3759249999998</v>
      </c>
      <c r="Y70" s="272">
        <f t="shared" si="4"/>
        <v>1758.5181844999997</v>
      </c>
      <c r="Z70" s="274">
        <f>'Tariffs Jul2018'!AY64</f>
        <v>0</v>
      </c>
      <c r="AA70" s="274" t="str">
        <f>'Tariffs Jul2018'!AZ64</f>
        <v>n</v>
      </c>
      <c r="AB70" s="275" t="str">
        <f>'Tariffs Jul2018'!BG64</f>
        <v>N</v>
      </c>
      <c r="AC70" s="351"/>
      <c r="AD70" s="351"/>
      <c r="AE70" s="351"/>
      <c r="AF70" s="351"/>
      <c r="AG70" s="351"/>
      <c r="AH70" s="351"/>
      <c r="AI70" s="351"/>
      <c r="AJ70" s="351"/>
      <c r="AK70" s="351"/>
      <c r="AL70" s="351"/>
      <c r="AM70" s="351"/>
      <c r="AN70" s="351"/>
    </row>
    <row r="71" spans="1:40" x14ac:dyDescent="0.15">
      <c r="A71" s="40" t="str">
        <f>'Tariffs Jul2018'!F65</f>
        <v>Covau</v>
      </c>
      <c r="B71" s="40" t="str">
        <f>'Tariffs Jul2018'!D65</f>
        <v>Envestra Central 1</v>
      </c>
      <c r="C71" s="40" t="str">
        <f>'Tariffs Jul2018'!G65</f>
        <v>Smart Saver</v>
      </c>
      <c r="D71" s="59">
        <f>365*'Tariffs Jul2018'!H65/100</f>
        <v>273.75</v>
      </c>
      <c r="E71" s="59">
        <f>IF($C$5*'Tariffs Jul2018'!AK65/'Tariffs Jul2018'!AI65&gt;='Tariffs Jul2018'!J65,( 'Tariffs Jul2018'!J65*'Tariffs Jul2018'!O65/100)* 'Tariffs Jul2018'!AI65,($C$5*'Tariffs Jul2018'!AK65/'Tariffs Jul2018'!AI65*'Tariffs Jul2018'!O65/100)* 'Tariffs Jul2018'!AI65)</f>
        <v>97.055000000000007</v>
      </c>
      <c r="F71" s="59">
        <f>IF($C$5*'Tariffs Jul2018'!AK65/'Tariffs Jul2018'!AI65&lt;'Tariffs Jul2018'!J65,0,IF($C$5*'Tariffs Jul2018'!AK65/'Tariffs Jul2018'!AI65&lt;='Tariffs Jul2018'!K65,($C$5*'Tariffs Jul2018'!AK65/'Tariffs Jul2018'!AI65-'Tariffs Jul2018'!J65)*('Tariffs Jul2018'!P65/100)*'Tariffs Jul2018'!AI65,('Tariffs Jul2018'!K65-'Tariffs Jul2018'!J65)*('Tariffs Jul2018'!P65/100)*'Tariffs Jul2018'!AI65))</f>
        <v>67.75</v>
      </c>
      <c r="G71" s="59">
        <f>IF($C$5*'Tariffs Jul2018'!AK65/'Tariffs Jul2018'!AI65&lt;'Tariffs Jul2018'!K65,0,IF($C$5*'Tariffs Jul2018'!AK65/'Tariffs Jul2018'!AI65&lt;='Tariffs Jul2018'!L65,($C$5*'Tariffs Jul2018'!AK65/'Tariffs Jul2018'!AI65-'Tariffs Jul2018'!K65)*('Tariffs Jul2018'!Q65/100)*'Tariffs Jul2018'!AI65,('Tariffs Jul2018'!L65-'Tariffs Jul2018'!K65)*('Tariffs Jul2018'!Q65/100)*'Tariffs Jul2018'!AI65))</f>
        <v>0</v>
      </c>
      <c r="H71" s="59">
        <f>IF($C$5*'Tariffs Jul2018'!AK65/'Tariffs Jul2018'!AI65&lt;'Tariffs Jul2018'!L65,0,IF($C$5*'Tariffs Jul2018'!AK65/'Tariffs Jul2018'!AI65&lt;='Tariffs Jul2018'!M65,($C$5*'Tariffs Jul2018'!AK65/'Tariffs Jul2018'!AI65-'Tariffs Jul2018'!L65)*('Tariffs Jul2018'!R65/100)*'Tariffs Jul2018'!AI65,('Tariffs Jul2018'!M65-'Tariffs Jul2018'!L65)*('Tariffs Jul2018'!R65/100)*'Tariffs Jul2018'!AI65))</f>
        <v>0</v>
      </c>
      <c r="I71" s="59">
        <f>IF(($C$5*'Tariffs Jul2018'!AK65/'Tariffs Jul2018'!AI65&gt;'Tariffs Jul2018'!M65),($C$5*'Tariffs Jul2018'!AK65/'Tariffs Jul2018'!AI65-'Tariffs Jul2018'!M65)*'Tariffs Jul2018'!S65/100*'Tariffs Jul2018'!AI65,0)</f>
        <v>314.95589999999999</v>
      </c>
      <c r="J71" s="59">
        <f>IF($C$5*'Tariffs Jul2018'!AL65/'Tariffs Jul2018'!AJ65&gt;='Tariffs Jul2018'!J65,('Tariffs Jul2018'!J65*'Tariffs Jul2018'!U65/100)* 'Tariffs Jul2018'!AJ65,($C$5*'Tariffs Jul2018'!AL65/'Tariffs Jul2018'!AJ65*'Tariffs Jul2018'!U65/100)* 'Tariffs Jul2018'!AJ65)</f>
        <v>194.11</v>
      </c>
      <c r="K71" s="59">
        <f>IF($C$5*'Tariffs Jul2018'!AL65/'Tariffs Jul2018'!AJ65&lt;'Tariffs Jul2018'!J65,0,IF($C$5*'Tariffs Jul2018'!AL65/'Tariffs Jul2018'!AJ65&lt;='Tariffs Jul2018'!K65,($C$5*'Tariffs Jul2018'!AL65/'Tariffs Jul2018'!AJ65-'Tariffs Jul2018'!J65)*('Tariffs Jul2018'!V65/100)*'Tariffs Jul2018'!AJ65,('Tariffs Jul2018'!K65-'Tariffs Jul2018'!J65)*('Tariffs Jul2018'!V65/100)*'Tariffs Jul2018'!AJ65))</f>
        <v>135.5</v>
      </c>
      <c r="L71" s="59">
        <f>IF($C$5*'Tariffs Jul2018'!AL65/'Tariffs Jul2018'!AJ65&lt;'Tariffs Jul2018'!K65,0,IF($C$5*'Tariffs Jul2018'!AL65/'Tariffs Jul2018'!AJ65&lt;='Tariffs Jul2018'!L65,($C$5*'Tariffs Jul2018'!AL65/'Tariffs Jul2018'!AJ65-'Tariffs Jul2018'!K65)*('Tariffs Jul2018'!W65/100)*'Tariffs Jul2018'!AJ65,('Tariffs Jul2018'!L65-'Tariffs Jul2018'!K65)*('Tariffs Jul2018'!W65/100)*'Tariffs Jul2018'!AJ65))</f>
        <v>0</v>
      </c>
      <c r="M71" s="59">
        <f>IF($C$5*'Tariffs Jul2018'!AL65/'Tariffs Jul2018'!AJ65&lt;'Tariffs Jul2018'!L65,0,IF($C$5*'Tariffs Jul2018'!AL65/'Tariffs Jul2018'!AJ65&lt;='Tariffs Jul2018'!M65,($C$5*'Tariffs Jul2018'!AL65/'Tariffs Jul2018'!AJ65-'Tariffs Jul2018'!L65)*('Tariffs Jul2018'!X65/100)*'Tariffs Jul2018'!AJ65,('Tariffs Jul2018'!M65-'Tariffs Jul2018'!L65)*('Tariffs Jul2018'!X65/100)*'Tariffs Jul2018'!AJ65))</f>
        <v>0</v>
      </c>
      <c r="N71" s="59">
        <f>IF(($C$5*'Tariffs Jul2018'!AL65/'Tariffs Jul2018'!AJ65&gt;'Tariffs Jul2018'!M65),($C$5*'Tariffs Jul2018'!AL65/'Tariffs Jul2018'!AJ65-'Tariffs Jul2018'!M65)*'Tariffs Jul2018'!Y65/100*'Tariffs Jul2018'!AJ65,0)</f>
        <v>629.91179999999997</v>
      </c>
      <c r="O71" s="271">
        <f t="shared" si="0"/>
        <v>1439.2827</v>
      </c>
      <c r="P71" s="59">
        <f t="shared" si="1"/>
        <v>1713.0327</v>
      </c>
      <c r="Q71" s="272">
        <f t="shared" si="2"/>
        <v>1884.3359700000001</v>
      </c>
      <c r="R71" s="40">
        <f>'Tariffs Jul2018'!AM65</f>
        <v>0</v>
      </c>
      <c r="S71" s="40">
        <f>'Tariffs Jul2018'!AN65</f>
        <v>0</v>
      </c>
      <c r="T71" s="40">
        <f>'Tariffs Jul2018'!AO65</f>
        <v>0</v>
      </c>
      <c r="U71" s="40">
        <f>'Tariffs Jul2018'!AP65</f>
        <v>16</v>
      </c>
      <c r="V71" s="273">
        <f>P71</f>
        <v>1713.0327</v>
      </c>
      <c r="W71" s="273">
        <f>V71-(O71*U71/100)</f>
        <v>1482.747468</v>
      </c>
      <c r="X71" s="272">
        <f t="shared" si="4"/>
        <v>1884.3359700000001</v>
      </c>
      <c r="Y71" s="272">
        <f t="shared" si="4"/>
        <v>1631.0222148000003</v>
      </c>
      <c r="Z71" s="274">
        <f>'Tariffs Jul2018'!AY65</f>
        <v>12</v>
      </c>
      <c r="AA71" s="274" t="str">
        <f>'Tariffs Jul2018'!AZ65</f>
        <v>n</v>
      </c>
      <c r="AB71" s="275" t="str">
        <f>'Tariffs Jul2018'!BG65</f>
        <v>N</v>
      </c>
      <c r="AC71" s="351"/>
      <c r="AD71" s="351"/>
      <c r="AE71" s="351"/>
      <c r="AF71" s="351"/>
      <c r="AG71" s="351"/>
      <c r="AH71" s="351"/>
      <c r="AI71" s="351"/>
      <c r="AJ71" s="351"/>
      <c r="AK71" s="351"/>
      <c r="AL71" s="351"/>
      <c r="AM71" s="351"/>
      <c r="AN71" s="351"/>
    </row>
    <row r="72" spans="1:40" x14ac:dyDescent="0.15">
      <c r="A72" s="40" t="str">
        <f>'Tariffs Jul2018'!F66</f>
        <v>Dodo Power &amp; Gas</v>
      </c>
      <c r="B72" s="40" t="str">
        <f>'Tariffs Jul2018'!D66</f>
        <v>Envestra Central 1</v>
      </c>
      <c r="C72" s="40" t="str">
        <f>'Tariffs Jul2018'!G66</f>
        <v>Market offer</v>
      </c>
      <c r="D72" s="59">
        <f>365*'Tariffs Jul2018'!H66/100</f>
        <v>296.92749999999995</v>
      </c>
      <c r="E72" s="59">
        <f>IF($C$5*'Tariffs Jul2018'!AK66/'Tariffs Jul2018'!AI66&gt;='Tariffs Jul2018'!J66,( 'Tariffs Jul2018'!J66*'Tariffs Jul2018'!O66/100)* 'Tariffs Jul2018'!AI66,($C$5*'Tariffs Jul2018'!AK66/'Tariffs Jul2018'!AI66*'Tariffs Jul2018'!O66/100)* 'Tariffs Jul2018'!AI66)</f>
        <v>203.2</v>
      </c>
      <c r="F72" s="59">
        <f>IF($C$5*'Tariffs Jul2018'!AK66/'Tariffs Jul2018'!AI66&lt;'Tariffs Jul2018'!J66,0,IF($C$5*'Tariffs Jul2018'!AK66/'Tariffs Jul2018'!AI66&lt;='Tariffs Jul2018'!K66,($C$5*'Tariffs Jul2018'!AK66/'Tariffs Jul2018'!AI66-'Tariffs Jul2018'!J66)*('Tariffs Jul2018'!P66/100)*'Tariffs Jul2018'!AI66,('Tariffs Jul2018'!K66-'Tariffs Jul2018'!J66)*('Tariffs Jul2018'!P66/100)*'Tariffs Jul2018'!AI66))</f>
        <v>271.65610999999996</v>
      </c>
      <c r="G72" s="59">
        <f>IF($C$5*'Tariffs Jul2018'!AK66/'Tariffs Jul2018'!AI66&lt;'Tariffs Jul2018'!K66,0,IF($C$5*'Tariffs Jul2018'!AK66/'Tariffs Jul2018'!AI66&lt;='Tariffs Jul2018'!L66,($C$5*'Tariffs Jul2018'!AK66/'Tariffs Jul2018'!AI66-'Tariffs Jul2018'!K66)*('Tariffs Jul2018'!Q66/100)*'Tariffs Jul2018'!AI66,('Tariffs Jul2018'!L66-'Tariffs Jul2018'!K66)*('Tariffs Jul2018'!Q66/100)*'Tariffs Jul2018'!AI66))</f>
        <v>0</v>
      </c>
      <c r="H72" s="59">
        <f>IF($C$5*'Tariffs Jul2018'!AK66/'Tariffs Jul2018'!AI66&lt;'Tariffs Jul2018'!L66,0,IF($C$5*'Tariffs Jul2018'!AK66/'Tariffs Jul2018'!AI66&lt;='Tariffs Jul2018'!M66,($C$5*'Tariffs Jul2018'!AK66/'Tariffs Jul2018'!AI66-'Tariffs Jul2018'!L66)*('Tariffs Jul2018'!R66/100)*'Tariffs Jul2018'!AI66,('Tariffs Jul2018'!M66-'Tariffs Jul2018'!L66)*('Tariffs Jul2018'!R66/100)*'Tariffs Jul2018'!AI66))</f>
        <v>0</v>
      </c>
      <c r="I72" s="59">
        <f>IF(($C$5*'Tariffs Jul2018'!AK66/'Tariffs Jul2018'!AI66&gt;'Tariffs Jul2018'!M66),($C$5*'Tariffs Jul2018'!AK66/'Tariffs Jul2018'!AI66-'Tariffs Jul2018'!M66)*'Tariffs Jul2018'!S66/100*'Tariffs Jul2018'!AI66,0)</f>
        <v>0</v>
      </c>
      <c r="J72" s="59">
        <f>IF($C$5*'Tariffs Jul2018'!AL66/'Tariffs Jul2018'!AJ66&gt;='Tariffs Jul2018'!J66,('Tariffs Jul2018'!J66*'Tariffs Jul2018'!U66/100)* 'Tariffs Jul2018'!AJ66,($C$5*'Tariffs Jul2018'!AL66/'Tariffs Jul2018'!AJ66*'Tariffs Jul2018'!U66/100)* 'Tariffs Jul2018'!AJ66)</f>
        <v>406.4</v>
      </c>
      <c r="K72" s="59">
        <f>IF($C$5*'Tariffs Jul2018'!AL66/'Tariffs Jul2018'!AJ66&lt;'Tariffs Jul2018'!J66,0,IF($C$5*'Tariffs Jul2018'!AL66/'Tariffs Jul2018'!AJ66&lt;='Tariffs Jul2018'!K66,($C$5*'Tariffs Jul2018'!AL66/'Tariffs Jul2018'!AJ66-'Tariffs Jul2018'!J66)*('Tariffs Jul2018'!V66/100)*'Tariffs Jul2018'!AJ66,('Tariffs Jul2018'!K66-'Tariffs Jul2018'!J66)*('Tariffs Jul2018'!V66/100)*'Tariffs Jul2018'!AJ66))</f>
        <v>543.31221999999991</v>
      </c>
      <c r="L72" s="59">
        <f>IF($C$5*'Tariffs Jul2018'!AL66/'Tariffs Jul2018'!AJ66&lt;'Tariffs Jul2018'!K66,0,IF($C$5*'Tariffs Jul2018'!AL66/'Tariffs Jul2018'!AJ66&lt;='Tariffs Jul2018'!L66,($C$5*'Tariffs Jul2018'!AL66/'Tariffs Jul2018'!AJ66-'Tariffs Jul2018'!K66)*('Tariffs Jul2018'!W66/100)*'Tariffs Jul2018'!AJ66,('Tariffs Jul2018'!L66-'Tariffs Jul2018'!K66)*('Tariffs Jul2018'!W66/100)*'Tariffs Jul2018'!AJ66))</f>
        <v>0</v>
      </c>
      <c r="M72" s="59">
        <f>IF($C$5*'Tariffs Jul2018'!AL66/'Tariffs Jul2018'!AJ66&lt;'Tariffs Jul2018'!L66,0,IF($C$5*'Tariffs Jul2018'!AL66/'Tariffs Jul2018'!AJ66&lt;='Tariffs Jul2018'!M66,($C$5*'Tariffs Jul2018'!AL66/'Tariffs Jul2018'!AJ66-'Tariffs Jul2018'!L66)*('Tariffs Jul2018'!X66/100)*'Tariffs Jul2018'!AJ66,('Tariffs Jul2018'!M66-'Tariffs Jul2018'!L66)*('Tariffs Jul2018'!X66/100)*'Tariffs Jul2018'!AJ66))</f>
        <v>0</v>
      </c>
      <c r="N72" s="59">
        <f>IF(($C$5*'Tariffs Jul2018'!AL66/'Tariffs Jul2018'!AJ66&gt;'Tariffs Jul2018'!M66),($C$5*'Tariffs Jul2018'!AL66/'Tariffs Jul2018'!AJ66-'Tariffs Jul2018'!M66)*'Tariffs Jul2018'!Y66/100*'Tariffs Jul2018'!AJ66,0)</f>
        <v>0</v>
      </c>
      <c r="O72" s="271">
        <f t="shared" si="0"/>
        <v>1424.5683299999998</v>
      </c>
      <c r="P72" s="59">
        <f t="shared" si="1"/>
        <v>1721.4958299999998</v>
      </c>
      <c r="Q72" s="272">
        <f t="shared" si="2"/>
        <v>1893.645413</v>
      </c>
      <c r="R72" s="40">
        <f>'Tariffs Jul2018'!AM66</f>
        <v>0</v>
      </c>
      <c r="S72" s="40">
        <f>'Tariffs Jul2018'!AN66</f>
        <v>0</v>
      </c>
      <c r="T72" s="40">
        <f>'Tariffs Jul2018'!AO66</f>
        <v>0</v>
      </c>
      <c r="U72" s="40">
        <f>'Tariffs Jul2018'!AP66</f>
        <v>0</v>
      </c>
      <c r="V72" s="273">
        <f>P72</f>
        <v>1721.4958299999998</v>
      </c>
      <c r="W72" s="273">
        <f>V72</f>
        <v>1721.4958299999998</v>
      </c>
      <c r="X72" s="272">
        <f t="shared" si="4"/>
        <v>1893.645413</v>
      </c>
      <c r="Y72" s="272">
        <f t="shared" si="4"/>
        <v>1893.645413</v>
      </c>
      <c r="Z72" s="274">
        <f>'Tariffs Jul2018'!AY66</f>
        <v>0</v>
      </c>
      <c r="AA72" s="274" t="str">
        <f>'Tariffs Jul2018'!AZ66</f>
        <v>n</v>
      </c>
      <c r="AB72" s="275" t="str">
        <f>'Tariffs Jul2018'!BG66</f>
        <v>Y</v>
      </c>
      <c r="AC72" s="351"/>
      <c r="AD72" s="351"/>
      <c r="AE72" s="351"/>
      <c r="AF72" s="351"/>
      <c r="AG72" s="351"/>
      <c r="AH72" s="351"/>
      <c r="AI72" s="351"/>
      <c r="AJ72" s="351"/>
      <c r="AK72" s="351"/>
      <c r="AL72" s="351"/>
      <c r="AM72" s="351"/>
      <c r="AN72" s="351"/>
    </row>
    <row r="73" spans="1:40" x14ac:dyDescent="0.15">
      <c r="A73" s="40" t="str">
        <f>'Tariffs Jul2018'!F67</f>
        <v>EnergyAustralia</v>
      </c>
      <c r="B73" s="40" t="str">
        <f>'Tariffs Jul2018'!D67</f>
        <v>Envestra Central 1</v>
      </c>
      <c r="C73" s="40" t="str">
        <f>'Tariffs Jul2018'!G67</f>
        <v>Anytime Saver</v>
      </c>
      <c r="D73" s="59">
        <f>365*'Tariffs Jul2018'!H67/100</f>
        <v>287.255</v>
      </c>
      <c r="E73" s="59">
        <f>IF($C$5*'Tariffs Jul2018'!AK67/'Tariffs Jul2018'!AI67&gt;='Tariffs Jul2018'!J67,( 'Tariffs Jul2018'!J67*'Tariffs Jul2018'!O67/100)* 'Tariffs Jul2018'!AI67,($C$5*'Tariffs Jul2018'!AK67/'Tariffs Jul2018'!AI67*'Tariffs Jul2018'!O67/100)* 'Tariffs Jul2018'!AI67)</f>
        <v>169.8</v>
      </c>
      <c r="F73" s="59">
        <f>IF($C$5*'Tariffs Jul2018'!AK67/'Tariffs Jul2018'!AI67&lt;'Tariffs Jul2018'!J67,0,IF($C$5*'Tariffs Jul2018'!AK67/'Tariffs Jul2018'!AI67&lt;='Tariffs Jul2018'!K67,($C$5*'Tariffs Jul2018'!AK67/'Tariffs Jul2018'!AI67-'Tariffs Jul2018'!J67)*('Tariffs Jul2018'!P67/100)*'Tariffs Jul2018'!AI67,('Tariffs Jul2018'!K67-'Tariffs Jul2018'!J67)*('Tariffs Jul2018'!P67/100)*'Tariffs Jul2018'!AI67))</f>
        <v>0</v>
      </c>
      <c r="G73" s="59">
        <f>IF($C$5*'Tariffs Jul2018'!AK67/'Tariffs Jul2018'!AI67&lt;'Tariffs Jul2018'!K67,0,IF($C$5*'Tariffs Jul2018'!AK67/'Tariffs Jul2018'!AI67&lt;='Tariffs Jul2018'!L67,($C$5*'Tariffs Jul2018'!AK67/'Tariffs Jul2018'!AI67-'Tariffs Jul2018'!K67)*('Tariffs Jul2018'!Q67/100)*'Tariffs Jul2018'!AI67,('Tariffs Jul2018'!L67-'Tariffs Jul2018'!K67)*('Tariffs Jul2018'!Q67/100)*'Tariffs Jul2018'!AI67))</f>
        <v>0</v>
      </c>
      <c r="H73" s="59">
        <f>IF($C$5*'Tariffs Jul2018'!AK67/'Tariffs Jul2018'!AI67&lt;'Tariffs Jul2018'!L67,0,IF($C$5*'Tariffs Jul2018'!AK67/'Tariffs Jul2018'!AI67&lt;='Tariffs Jul2018'!M67,($C$5*'Tariffs Jul2018'!AK67/'Tariffs Jul2018'!AI67-'Tariffs Jul2018'!L67)*('Tariffs Jul2018'!R67/100)*'Tariffs Jul2018'!AI67,('Tariffs Jul2018'!M67-'Tariffs Jul2018'!L67)*('Tariffs Jul2018'!R67/100)*'Tariffs Jul2018'!AI67))</f>
        <v>0</v>
      </c>
      <c r="I73" s="59">
        <f>IF(($C$5*'Tariffs Jul2018'!AK67/'Tariffs Jul2018'!AI67&gt;'Tariffs Jul2018'!M67),($C$5*'Tariffs Jul2018'!AK67/'Tariffs Jul2018'!AI67-'Tariffs Jul2018'!M67)*'Tariffs Jul2018'!S67/100*'Tariffs Jul2018'!AI67,0)</f>
        <v>286.45988999999992</v>
      </c>
      <c r="J73" s="59">
        <f>IF($C$5*'Tariffs Jul2018'!AL67/'Tariffs Jul2018'!AJ67&gt;='Tariffs Jul2018'!J67,('Tariffs Jul2018'!J67*'Tariffs Jul2018'!U67/100)* 'Tariffs Jul2018'!AJ67,($C$5*'Tariffs Jul2018'!AL67/'Tariffs Jul2018'!AJ67*'Tariffs Jul2018'!U67/100)* 'Tariffs Jul2018'!AJ67)</f>
        <v>339.6</v>
      </c>
      <c r="K73" s="59">
        <f>IF($C$5*'Tariffs Jul2018'!AL67/'Tariffs Jul2018'!AJ67&lt;'Tariffs Jul2018'!J67,0,IF($C$5*'Tariffs Jul2018'!AL67/'Tariffs Jul2018'!AJ67&lt;='Tariffs Jul2018'!K67,($C$5*'Tariffs Jul2018'!AL67/'Tariffs Jul2018'!AJ67-'Tariffs Jul2018'!J67)*('Tariffs Jul2018'!V67/100)*'Tariffs Jul2018'!AJ67,('Tariffs Jul2018'!K67-'Tariffs Jul2018'!J67)*('Tariffs Jul2018'!V67/100)*'Tariffs Jul2018'!AJ67))</f>
        <v>0</v>
      </c>
      <c r="L73" s="59">
        <f>IF($C$5*'Tariffs Jul2018'!AL67/'Tariffs Jul2018'!AJ67&lt;'Tariffs Jul2018'!K67,0,IF($C$5*'Tariffs Jul2018'!AL67/'Tariffs Jul2018'!AJ67&lt;='Tariffs Jul2018'!L67,($C$5*'Tariffs Jul2018'!AL67/'Tariffs Jul2018'!AJ67-'Tariffs Jul2018'!K67)*('Tariffs Jul2018'!W67/100)*'Tariffs Jul2018'!AJ67,('Tariffs Jul2018'!L67-'Tariffs Jul2018'!K67)*('Tariffs Jul2018'!W67/100)*'Tariffs Jul2018'!AJ67))</f>
        <v>0</v>
      </c>
      <c r="M73" s="59">
        <f>IF($C$5*'Tariffs Jul2018'!AL67/'Tariffs Jul2018'!AJ67&lt;'Tariffs Jul2018'!L67,0,IF($C$5*'Tariffs Jul2018'!AL67/'Tariffs Jul2018'!AJ67&lt;='Tariffs Jul2018'!M67,($C$5*'Tariffs Jul2018'!AL67/'Tariffs Jul2018'!AJ67-'Tariffs Jul2018'!L67)*('Tariffs Jul2018'!X67/100)*'Tariffs Jul2018'!AJ67,('Tariffs Jul2018'!M67-'Tariffs Jul2018'!L67)*('Tariffs Jul2018'!X67/100)*'Tariffs Jul2018'!AJ67))</f>
        <v>0</v>
      </c>
      <c r="N73" s="59">
        <f>IF(($C$5*'Tariffs Jul2018'!AL67/'Tariffs Jul2018'!AJ67&gt;'Tariffs Jul2018'!M67),($C$5*'Tariffs Jul2018'!AL67/'Tariffs Jul2018'!AJ67-'Tariffs Jul2018'!M67)*'Tariffs Jul2018'!Y67/100*'Tariffs Jul2018'!AJ67,0)</f>
        <v>572.91977999999983</v>
      </c>
      <c r="O73" s="271">
        <f t="shared" si="0"/>
        <v>1368.7796699999999</v>
      </c>
      <c r="P73" s="59">
        <f t="shared" si="1"/>
        <v>1656.03467</v>
      </c>
      <c r="Q73" s="272">
        <f t="shared" si="2"/>
        <v>1821.6381370000001</v>
      </c>
      <c r="R73" s="40">
        <f>'Tariffs Jul2018'!AM67</f>
        <v>0</v>
      </c>
      <c r="S73" s="40">
        <f>'Tariffs Jul2018'!AN67</f>
        <v>34</v>
      </c>
      <c r="T73" s="40">
        <f>'Tariffs Jul2018'!AO67</f>
        <v>0</v>
      </c>
      <c r="U73" s="40">
        <f>'Tariffs Jul2018'!AP67</f>
        <v>0</v>
      </c>
      <c r="V73" s="273">
        <f>P73-(O73*S73/100)</f>
        <v>1190.6495822000002</v>
      </c>
      <c r="W73" s="273">
        <f>V73-(O73*U73/100)</f>
        <v>1190.6495822000002</v>
      </c>
      <c r="X73" s="272">
        <f t="shared" si="4"/>
        <v>1309.7145404200003</v>
      </c>
      <c r="Y73" s="272">
        <f t="shared" si="4"/>
        <v>1309.7145404200003</v>
      </c>
      <c r="Z73" s="274">
        <f>'Tariffs Jul2018'!AY67</f>
        <v>0</v>
      </c>
      <c r="AA73" s="274" t="str">
        <f>'Tariffs Jul2018'!AZ67</f>
        <v>n</v>
      </c>
      <c r="AB73" s="275" t="str">
        <f>'Tariffs Jul2018'!BG67</f>
        <v>N</v>
      </c>
      <c r="AC73" s="351"/>
      <c r="AD73" s="351"/>
      <c r="AE73" s="351"/>
      <c r="AF73" s="351"/>
      <c r="AG73" s="351"/>
      <c r="AH73" s="351"/>
      <c r="AI73" s="351"/>
      <c r="AJ73" s="351"/>
      <c r="AK73" s="351"/>
      <c r="AL73" s="351"/>
      <c r="AM73" s="351"/>
      <c r="AN73" s="351"/>
    </row>
    <row r="74" spans="1:40" x14ac:dyDescent="0.15">
      <c r="A74" s="40" t="str">
        <f>'Tariffs Jul2018'!F68</f>
        <v>Lumo Energy</v>
      </c>
      <c r="B74" s="40" t="str">
        <f>'Tariffs Jul2018'!D68</f>
        <v>Envestra Central 1</v>
      </c>
      <c r="C74" s="40" t="str">
        <f>'Tariffs Jul2018'!G68</f>
        <v>Advantage</v>
      </c>
      <c r="D74" s="59">
        <f>365*'Tariffs Jul2018'!H68/100</f>
        <v>255.5</v>
      </c>
      <c r="E74" s="59">
        <f>IF($C$5*'Tariffs Jul2018'!AK68/'Tariffs Jul2018'!AI68&gt;='Tariffs Jul2018'!J68,( 'Tariffs Jul2018'!J68*'Tariffs Jul2018'!O68/100)* 'Tariffs Jul2018'!AI68,($C$5*'Tariffs Jul2018'!AK68/'Tariffs Jul2018'!AI68*'Tariffs Jul2018'!O68/100)* 'Tariffs Jul2018'!AI68)</f>
        <v>85.54</v>
      </c>
      <c r="F74" s="59">
        <f>IF($C$5*'Tariffs Jul2018'!AK68/'Tariffs Jul2018'!AI68&lt;'Tariffs Jul2018'!J68,0,IF($C$5*'Tariffs Jul2018'!AK68/'Tariffs Jul2018'!AI68&lt;='Tariffs Jul2018'!K68,($C$5*'Tariffs Jul2018'!AK68/'Tariffs Jul2018'!AI68-'Tariffs Jul2018'!J68)*('Tariffs Jul2018'!P68/100)*'Tariffs Jul2018'!AI68,('Tariffs Jul2018'!K68-'Tariffs Jul2018'!J68)*('Tariffs Jul2018'!P68/100)*'Tariffs Jul2018'!AI68))</f>
        <v>59.620000000000005</v>
      </c>
      <c r="G74" s="59">
        <f>IF($C$5*'Tariffs Jul2018'!AK68/'Tariffs Jul2018'!AI68&lt;'Tariffs Jul2018'!K68,0,IF($C$5*'Tariffs Jul2018'!AK68/'Tariffs Jul2018'!AI68&lt;='Tariffs Jul2018'!L68,($C$5*'Tariffs Jul2018'!AK68/'Tariffs Jul2018'!AI68-'Tariffs Jul2018'!K68)*('Tariffs Jul2018'!Q68/100)*'Tariffs Jul2018'!AI68,('Tariffs Jul2018'!L68-'Tariffs Jul2018'!K68)*('Tariffs Jul2018'!Q68/100)*'Tariffs Jul2018'!AI68))</f>
        <v>0</v>
      </c>
      <c r="H74" s="59">
        <f>IF($C$5*'Tariffs Jul2018'!AK68/'Tariffs Jul2018'!AI68&lt;'Tariffs Jul2018'!L68,0,IF($C$5*'Tariffs Jul2018'!AK68/'Tariffs Jul2018'!AI68&lt;='Tariffs Jul2018'!M68,($C$5*'Tariffs Jul2018'!AK68/'Tariffs Jul2018'!AI68-'Tariffs Jul2018'!L68)*('Tariffs Jul2018'!R68/100)*'Tariffs Jul2018'!AI68,('Tariffs Jul2018'!M68-'Tariffs Jul2018'!L68)*('Tariffs Jul2018'!R68/100)*'Tariffs Jul2018'!AI68))</f>
        <v>0</v>
      </c>
      <c r="I74" s="59">
        <f>IF(($C$5*'Tariffs Jul2018'!AK68/'Tariffs Jul2018'!AI68&gt;'Tariffs Jul2018'!M68),($C$5*'Tariffs Jul2018'!AK68/'Tariffs Jul2018'!AI68-'Tariffs Jul2018'!M68)*'Tariffs Jul2018'!S68/100*'Tariffs Jul2018'!AI68,0)</f>
        <v>292.45904999999993</v>
      </c>
      <c r="J74" s="59">
        <f>IF($C$5*'Tariffs Jul2018'!AL68/'Tariffs Jul2018'!AJ68&gt;='Tariffs Jul2018'!J68,('Tariffs Jul2018'!J68*'Tariffs Jul2018'!U68/100)* 'Tariffs Jul2018'!AJ68,($C$5*'Tariffs Jul2018'!AL68/'Tariffs Jul2018'!AJ68*'Tariffs Jul2018'!U68/100)* 'Tariffs Jul2018'!AJ68)</f>
        <v>171.08</v>
      </c>
      <c r="K74" s="59">
        <f>IF($C$5*'Tariffs Jul2018'!AL68/'Tariffs Jul2018'!AJ68&lt;'Tariffs Jul2018'!J68,0,IF($C$5*'Tariffs Jul2018'!AL68/'Tariffs Jul2018'!AJ68&lt;='Tariffs Jul2018'!K68,($C$5*'Tariffs Jul2018'!AL68/'Tariffs Jul2018'!AJ68-'Tariffs Jul2018'!J68)*('Tariffs Jul2018'!V68/100)*'Tariffs Jul2018'!AJ68,('Tariffs Jul2018'!K68-'Tariffs Jul2018'!J68)*('Tariffs Jul2018'!V68/100)*'Tariffs Jul2018'!AJ68))</f>
        <v>119.24000000000001</v>
      </c>
      <c r="L74" s="59">
        <f>IF($C$5*'Tariffs Jul2018'!AL68/'Tariffs Jul2018'!AJ68&lt;'Tariffs Jul2018'!K68,0,IF($C$5*'Tariffs Jul2018'!AL68/'Tariffs Jul2018'!AJ68&lt;='Tariffs Jul2018'!L68,($C$5*'Tariffs Jul2018'!AL68/'Tariffs Jul2018'!AJ68-'Tariffs Jul2018'!K68)*('Tariffs Jul2018'!W68/100)*'Tariffs Jul2018'!AJ68,('Tariffs Jul2018'!L68-'Tariffs Jul2018'!K68)*('Tariffs Jul2018'!W68/100)*'Tariffs Jul2018'!AJ68))</f>
        <v>0</v>
      </c>
      <c r="M74" s="59">
        <f>IF($C$5*'Tariffs Jul2018'!AL68/'Tariffs Jul2018'!AJ68&lt;'Tariffs Jul2018'!L68,0,IF($C$5*'Tariffs Jul2018'!AL68/'Tariffs Jul2018'!AJ68&lt;='Tariffs Jul2018'!M68,($C$5*'Tariffs Jul2018'!AL68/'Tariffs Jul2018'!AJ68-'Tariffs Jul2018'!L68)*('Tariffs Jul2018'!X68/100)*'Tariffs Jul2018'!AJ68,('Tariffs Jul2018'!M68-'Tariffs Jul2018'!L68)*('Tariffs Jul2018'!X68/100)*'Tariffs Jul2018'!AJ68))</f>
        <v>0</v>
      </c>
      <c r="N74" s="59">
        <f>IF(($C$5*'Tariffs Jul2018'!AL68/'Tariffs Jul2018'!AJ68&gt;'Tariffs Jul2018'!M68),($C$5*'Tariffs Jul2018'!AL68/'Tariffs Jul2018'!AJ68-'Tariffs Jul2018'!M68)*'Tariffs Jul2018'!Y68/100*'Tariffs Jul2018'!AJ68,0)</f>
        <v>584.91809999999987</v>
      </c>
      <c r="O74" s="271">
        <f t="shared" si="0"/>
        <v>1312.8571499999998</v>
      </c>
      <c r="P74" s="59">
        <f t="shared" si="1"/>
        <v>1568.3571499999998</v>
      </c>
      <c r="Q74" s="272">
        <f t="shared" si="2"/>
        <v>1725.192865</v>
      </c>
      <c r="R74" s="40">
        <f>'Tariffs Jul2018'!AM68</f>
        <v>0</v>
      </c>
      <c r="S74" s="40">
        <f>'Tariffs Jul2018'!AN68</f>
        <v>0</v>
      </c>
      <c r="T74" s="40">
        <f>'Tariffs Jul2018'!AO68</f>
        <v>15</v>
      </c>
      <c r="U74" s="40">
        <f>'Tariffs Jul2018'!AP68</f>
        <v>0</v>
      </c>
      <c r="V74" s="273">
        <f t="shared" ref="V74:V82" si="9">P74</f>
        <v>1568.3571499999998</v>
      </c>
      <c r="W74" s="273">
        <f>V74-(P74*T74/100)</f>
        <v>1333.1035774999998</v>
      </c>
      <c r="X74" s="272">
        <f t="shared" si="4"/>
        <v>1725.192865</v>
      </c>
      <c r="Y74" s="272">
        <f t="shared" si="4"/>
        <v>1466.4139352499999</v>
      </c>
      <c r="Z74" s="274">
        <f>'Tariffs Jul2018'!AY68</f>
        <v>0</v>
      </c>
      <c r="AA74" s="274" t="str">
        <f>'Tariffs Jul2018'!AZ68</f>
        <v>n</v>
      </c>
      <c r="AB74" s="275" t="str">
        <f>'Tariffs Jul2018'!BG68</f>
        <v>N</v>
      </c>
      <c r="AC74" s="351"/>
      <c r="AD74" s="351"/>
      <c r="AE74" s="351"/>
      <c r="AF74" s="351"/>
      <c r="AG74" s="351"/>
      <c r="AH74" s="351"/>
      <c r="AI74" s="351"/>
      <c r="AJ74" s="351"/>
      <c r="AK74" s="351"/>
      <c r="AL74" s="351"/>
      <c r="AM74" s="351"/>
      <c r="AN74" s="351"/>
    </row>
    <row r="75" spans="1:40" x14ac:dyDescent="0.15">
      <c r="A75" s="40" t="str">
        <f>'Tariffs Jul2018'!F69</f>
        <v>Momentum Energy</v>
      </c>
      <c r="B75" s="40" t="str">
        <f>'Tariffs Jul2018'!D69</f>
        <v>Envestra Central 1</v>
      </c>
      <c r="C75" s="40" t="str">
        <f>'Tariffs Jul2018'!G69</f>
        <v>Market offer</v>
      </c>
      <c r="D75" s="59">
        <f>365*'Tariffs Jul2018'!H69/100</f>
        <v>264.33299999999997</v>
      </c>
      <c r="E75" s="59">
        <f>IF($C$5*'Tariffs Jul2018'!AK69/'Tariffs Jul2018'!AI69&gt;='Tariffs Jul2018'!J69,( 'Tariffs Jul2018'!J69*'Tariffs Jul2018'!O69/100)* 'Tariffs Jul2018'!AI69,($C$5*'Tariffs Jul2018'!AK69/'Tariffs Jul2018'!AI69*'Tariffs Jul2018'!O69/100)* 'Tariffs Jul2018'!AI69)</f>
        <v>69.813799999999986</v>
      </c>
      <c r="F75" s="59">
        <f>IF($C$5*'Tariffs Jul2018'!AK69/'Tariffs Jul2018'!AI69&lt;'Tariffs Jul2018'!J69,0,IF($C$5*'Tariffs Jul2018'!AK69/'Tariffs Jul2018'!AI69&lt;='Tariffs Jul2018'!K69,($C$5*'Tariffs Jul2018'!AK69/'Tariffs Jul2018'!AI69-'Tariffs Jul2018'!J69)*('Tariffs Jul2018'!P69/100)*'Tariffs Jul2018'!AI69,('Tariffs Jul2018'!K69-'Tariffs Jul2018'!J69)*('Tariffs Jul2018'!P69/100)*'Tariffs Jul2018'!AI69))</f>
        <v>48.8613</v>
      </c>
      <c r="G75" s="59">
        <f>IF($C$5*'Tariffs Jul2018'!AK69/'Tariffs Jul2018'!AI69&lt;'Tariffs Jul2018'!K69,0,IF($C$5*'Tariffs Jul2018'!AK69/'Tariffs Jul2018'!AI69&lt;='Tariffs Jul2018'!L69,($C$5*'Tariffs Jul2018'!AK69/'Tariffs Jul2018'!AI69-'Tariffs Jul2018'!K69)*('Tariffs Jul2018'!Q69/100)*'Tariffs Jul2018'!AI69,('Tariffs Jul2018'!L69-'Tariffs Jul2018'!K69)*('Tariffs Jul2018'!Q69/100)*'Tariffs Jul2018'!AI69))</f>
        <v>0</v>
      </c>
      <c r="H75" s="59">
        <f>IF($C$5*'Tariffs Jul2018'!AK69/'Tariffs Jul2018'!AI69&lt;'Tariffs Jul2018'!L69,0,IF($C$5*'Tariffs Jul2018'!AK69/'Tariffs Jul2018'!AI69&lt;='Tariffs Jul2018'!M69,($C$5*'Tariffs Jul2018'!AK69/'Tariffs Jul2018'!AI69-'Tariffs Jul2018'!L69)*('Tariffs Jul2018'!R69/100)*'Tariffs Jul2018'!AI69,('Tariffs Jul2018'!M69-'Tariffs Jul2018'!L69)*('Tariffs Jul2018'!R69/100)*'Tariffs Jul2018'!AI69))</f>
        <v>0</v>
      </c>
      <c r="I75" s="59">
        <f>IF(($C$5*'Tariffs Jul2018'!AK69/'Tariffs Jul2018'!AI69&gt;'Tariffs Jul2018'!M69),($C$5*'Tariffs Jul2018'!AK69/'Tariffs Jul2018'!AI69-'Tariffs Jul2018'!M69)*'Tariffs Jul2018'!S69/100*'Tariffs Jul2018'!AI69,0)</f>
        <v>234.86711399999996</v>
      </c>
      <c r="J75" s="59">
        <f>IF($C$5*'Tariffs Jul2018'!AL69/'Tariffs Jul2018'!AJ69&gt;='Tariffs Jul2018'!J69,('Tariffs Jul2018'!J69*'Tariffs Jul2018'!U69/100)* 'Tariffs Jul2018'!AJ69,($C$5*'Tariffs Jul2018'!AL69/'Tariffs Jul2018'!AJ69*'Tariffs Jul2018'!U69/100)* 'Tariffs Jul2018'!AJ69)</f>
        <v>130.87620000000001</v>
      </c>
      <c r="K75" s="59">
        <f>IF($C$5*'Tariffs Jul2018'!AL69/'Tariffs Jul2018'!AJ69&lt;'Tariffs Jul2018'!J69,0,IF($C$5*'Tariffs Jul2018'!AL69/'Tariffs Jul2018'!AJ69&lt;='Tariffs Jul2018'!K69,($C$5*'Tariffs Jul2018'!AL69/'Tariffs Jul2018'!AJ69-'Tariffs Jul2018'!J69)*('Tariffs Jul2018'!V69/100)*'Tariffs Jul2018'!AJ69,('Tariffs Jul2018'!K69-'Tariffs Jul2018'!J69)*('Tariffs Jul2018'!V69/100)*'Tariffs Jul2018'!AJ69))</f>
        <v>91.001800000000003</v>
      </c>
      <c r="L75" s="59">
        <f>IF($C$5*'Tariffs Jul2018'!AL69/'Tariffs Jul2018'!AJ69&lt;'Tariffs Jul2018'!K69,0,IF($C$5*'Tariffs Jul2018'!AL69/'Tariffs Jul2018'!AJ69&lt;='Tariffs Jul2018'!L69,($C$5*'Tariffs Jul2018'!AL69/'Tariffs Jul2018'!AJ69-'Tariffs Jul2018'!K69)*('Tariffs Jul2018'!W69/100)*'Tariffs Jul2018'!AJ69,('Tariffs Jul2018'!L69-'Tariffs Jul2018'!K69)*('Tariffs Jul2018'!W69/100)*'Tariffs Jul2018'!AJ69))</f>
        <v>0</v>
      </c>
      <c r="M75" s="59">
        <f>IF($C$5*'Tariffs Jul2018'!AL69/'Tariffs Jul2018'!AJ69&lt;'Tariffs Jul2018'!L69,0,IF($C$5*'Tariffs Jul2018'!AL69/'Tariffs Jul2018'!AJ69&lt;='Tariffs Jul2018'!M69,($C$5*'Tariffs Jul2018'!AL69/'Tariffs Jul2018'!AJ69-'Tariffs Jul2018'!L69)*('Tariffs Jul2018'!X69/100)*'Tariffs Jul2018'!AJ69,('Tariffs Jul2018'!M69-'Tariffs Jul2018'!L69)*('Tariffs Jul2018'!X69/100)*'Tariffs Jul2018'!AJ69))</f>
        <v>0</v>
      </c>
      <c r="N75" s="59">
        <f>IF(($C$5*'Tariffs Jul2018'!AL69/'Tariffs Jul2018'!AJ69&gt;'Tariffs Jul2018'!M69),($C$5*'Tariffs Jul2018'!AL69/'Tariffs Jul2018'!AJ69-'Tariffs Jul2018'!M69)*'Tariffs Jul2018'!Y69/100*'Tariffs Jul2018'!AJ69,0)</f>
        <v>436.43888999999996</v>
      </c>
      <c r="O75" s="271">
        <f t="shared" si="0"/>
        <v>1011.8591039999999</v>
      </c>
      <c r="P75" s="59">
        <f t="shared" si="1"/>
        <v>1276.1921039999997</v>
      </c>
      <c r="Q75" s="272">
        <f t="shared" si="2"/>
        <v>1403.8113143999999</v>
      </c>
      <c r="R75" s="40">
        <f>'Tariffs Jul2018'!AM69</f>
        <v>0</v>
      </c>
      <c r="S75" s="40">
        <f>'Tariffs Jul2018'!AN69</f>
        <v>0</v>
      </c>
      <c r="T75" s="40">
        <f>'Tariffs Jul2018'!AO69</f>
        <v>0</v>
      </c>
      <c r="U75" s="40">
        <f>'Tariffs Jul2018'!AP69</f>
        <v>0</v>
      </c>
      <c r="V75" s="273">
        <f t="shared" si="9"/>
        <v>1276.1921039999997</v>
      </c>
      <c r="W75" s="273">
        <f>V75</f>
        <v>1276.1921039999997</v>
      </c>
      <c r="X75" s="272">
        <f t="shared" si="4"/>
        <v>1403.8113143999999</v>
      </c>
      <c r="Y75" s="272">
        <f t="shared" si="4"/>
        <v>1403.8113143999999</v>
      </c>
      <c r="Z75" s="274">
        <f>'Tariffs Jul2018'!AY69</f>
        <v>0</v>
      </c>
      <c r="AA75" s="274" t="str">
        <f>'Tariffs Jul2018'!AZ69</f>
        <v>n</v>
      </c>
      <c r="AB75" s="275" t="str">
        <f>'Tariffs Jul2018'!BG69</f>
        <v>Y</v>
      </c>
      <c r="AC75" s="351"/>
      <c r="AD75" s="351"/>
      <c r="AE75" s="351"/>
      <c r="AF75" s="351"/>
      <c r="AG75" s="351"/>
      <c r="AH75" s="351"/>
      <c r="AI75" s="351"/>
      <c r="AJ75" s="351"/>
      <c r="AK75" s="351"/>
      <c r="AL75" s="351"/>
      <c r="AM75" s="351"/>
      <c r="AN75" s="351"/>
    </row>
    <row r="76" spans="1:40" x14ac:dyDescent="0.15">
      <c r="A76" s="40" t="str">
        <f>'Tariffs Jul2018'!F70</f>
        <v>Origin Energy</v>
      </c>
      <c r="B76" s="40" t="str">
        <f>'Tariffs Jul2018'!D70</f>
        <v>Envestra Central 1</v>
      </c>
      <c r="C76" s="40" t="str">
        <f>'Tariffs Jul2018'!G70</f>
        <v>Saver</v>
      </c>
      <c r="D76" s="59">
        <f>365*'Tariffs Jul2018'!H70/100</f>
        <v>251.85</v>
      </c>
      <c r="E76" s="59">
        <f>IF($C$5*'Tariffs Jul2018'!AK70/'Tariffs Jul2018'!AI70&gt;='Tariffs Jul2018'!J70,( 'Tariffs Jul2018'!J70*'Tariffs Jul2018'!O70/100)* 'Tariffs Jul2018'!AI70,($C$5*'Tariffs Jul2018'!AK70/'Tariffs Jul2018'!AI70*'Tariffs Jul2018'!O70/100)* 'Tariffs Jul2018'!AI70)</f>
        <v>176</v>
      </c>
      <c r="F76" s="59">
        <f>IF($C$5*'Tariffs Jul2018'!AK70/'Tariffs Jul2018'!AI70&lt;'Tariffs Jul2018'!J70,0,IF($C$5*'Tariffs Jul2018'!AK70/'Tariffs Jul2018'!AI70&lt;='Tariffs Jul2018'!K70,($C$5*'Tariffs Jul2018'!AK70/'Tariffs Jul2018'!AI70-'Tariffs Jul2018'!J70)*('Tariffs Jul2018'!P70/100)*'Tariffs Jul2018'!AI70,('Tariffs Jul2018'!K70-'Tariffs Jul2018'!J70)*('Tariffs Jul2018'!P70/100)*'Tariffs Jul2018'!AI70))</f>
        <v>272.95589999999999</v>
      </c>
      <c r="G76" s="59">
        <f>IF($C$5*'Tariffs Jul2018'!AK70/'Tariffs Jul2018'!AI70&lt;'Tariffs Jul2018'!K70,0,IF($C$5*'Tariffs Jul2018'!AK70/'Tariffs Jul2018'!AI70&lt;='Tariffs Jul2018'!L70,($C$5*'Tariffs Jul2018'!AK70/'Tariffs Jul2018'!AI70-'Tariffs Jul2018'!K70)*('Tariffs Jul2018'!Q70/100)*'Tariffs Jul2018'!AI70,('Tariffs Jul2018'!L70-'Tariffs Jul2018'!K70)*('Tariffs Jul2018'!Q70/100)*'Tariffs Jul2018'!AI70))</f>
        <v>0</v>
      </c>
      <c r="H76" s="59">
        <f>IF($C$5*'Tariffs Jul2018'!AK70/'Tariffs Jul2018'!AI70&lt;'Tariffs Jul2018'!L70,0,IF($C$5*'Tariffs Jul2018'!AK70/'Tariffs Jul2018'!AI70&lt;='Tariffs Jul2018'!M70,($C$5*'Tariffs Jul2018'!AK70/'Tariffs Jul2018'!AI70-'Tariffs Jul2018'!L70)*('Tariffs Jul2018'!R70/100)*'Tariffs Jul2018'!AI70,('Tariffs Jul2018'!M70-'Tariffs Jul2018'!L70)*('Tariffs Jul2018'!R70/100)*'Tariffs Jul2018'!AI70))</f>
        <v>0</v>
      </c>
      <c r="I76" s="59">
        <f>IF(($C$5*'Tariffs Jul2018'!AK70/'Tariffs Jul2018'!AI70&gt;'Tariffs Jul2018'!M70),($C$5*'Tariffs Jul2018'!AK70/'Tariffs Jul2018'!AI70-'Tariffs Jul2018'!M70)*'Tariffs Jul2018'!S70/100*'Tariffs Jul2018'!AI70,0)</f>
        <v>0</v>
      </c>
      <c r="J76" s="59">
        <f>IF($C$5*'Tariffs Jul2018'!AL70/'Tariffs Jul2018'!AJ70&gt;='Tariffs Jul2018'!J70,('Tariffs Jul2018'!J70*'Tariffs Jul2018'!U70/100)* 'Tariffs Jul2018'!AJ70,($C$5*'Tariffs Jul2018'!AL70/'Tariffs Jul2018'!AJ70*'Tariffs Jul2018'!U70/100)* 'Tariffs Jul2018'!AJ70)</f>
        <v>352</v>
      </c>
      <c r="K76" s="59">
        <f>IF($C$5*'Tariffs Jul2018'!AL70/'Tariffs Jul2018'!AJ70&lt;'Tariffs Jul2018'!J70,0,IF($C$5*'Tariffs Jul2018'!AL70/'Tariffs Jul2018'!AJ70&lt;='Tariffs Jul2018'!K70,($C$5*'Tariffs Jul2018'!AL70/'Tariffs Jul2018'!AJ70-'Tariffs Jul2018'!J70)*('Tariffs Jul2018'!V70/100)*'Tariffs Jul2018'!AJ70,('Tariffs Jul2018'!K70-'Tariffs Jul2018'!J70)*('Tariffs Jul2018'!V70/100)*'Tariffs Jul2018'!AJ70))</f>
        <v>545.91179999999997</v>
      </c>
      <c r="L76" s="59">
        <f>IF($C$5*'Tariffs Jul2018'!AL70/'Tariffs Jul2018'!AJ70&lt;'Tariffs Jul2018'!K70,0,IF($C$5*'Tariffs Jul2018'!AL70/'Tariffs Jul2018'!AJ70&lt;='Tariffs Jul2018'!L70,($C$5*'Tariffs Jul2018'!AL70/'Tariffs Jul2018'!AJ70-'Tariffs Jul2018'!K70)*('Tariffs Jul2018'!W70/100)*'Tariffs Jul2018'!AJ70,('Tariffs Jul2018'!L70-'Tariffs Jul2018'!K70)*('Tariffs Jul2018'!W70/100)*'Tariffs Jul2018'!AJ70))</f>
        <v>0</v>
      </c>
      <c r="M76" s="59">
        <f>IF($C$5*'Tariffs Jul2018'!AL70/'Tariffs Jul2018'!AJ70&lt;'Tariffs Jul2018'!L70,0,IF($C$5*'Tariffs Jul2018'!AL70/'Tariffs Jul2018'!AJ70&lt;='Tariffs Jul2018'!M70,($C$5*'Tariffs Jul2018'!AL70/'Tariffs Jul2018'!AJ70-'Tariffs Jul2018'!L70)*('Tariffs Jul2018'!X70/100)*'Tariffs Jul2018'!AJ70,('Tariffs Jul2018'!M70-'Tariffs Jul2018'!L70)*('Tariffs Jul2018'!X70/100)*'Tariffs Jul2018'!AJ70))</f>
        <v>0</v>
      </c>
      <c r="N76" s="59">
        <f>IF(($C$5*'Tariffs Jul2018'!AL70/'Tariffs Jul2018'!AJ70&gt;'Tariffs Jul2018'!M70),($C$5*'Tariffs Jul2018'!AL70/'Tariffs Jul2018'!AJ70-'Tariffs Jul2018'!M70)*'Tariffs Jul2018'!Y70/100*'Tariffs Jul2018'!AJ70,0)</f>
        <v>0</v>
      </c>
      <c r="O76" s="271">
        <f t="shared" si="0"/>
        <v>1346.8676999999998</v>
      </c>
      <c r="P76" s="59">
        <f t="shared" si="1"/>
        <v>1598.7176999999997</v>
      </c>
      <c r="Q76" s="272">
        <f t="shared" si="2"/>
        <v>1758.5894699999999</v>
      </c>
      <c r="R76" s="40">
        <f>'Tariffs Jul2018'!AM70</f>
        <v>0</v>
      </c>
      <c r="S76" s="40">
        <f>'Tariffs Jul2018'!AN70</f>
        <v>0</v>
      </c>
      <c r="T76" s="40">
        <f>'Tariffs Jul2018'!AO70</f>
        <v>0</v>
      </c>
      <c r="U76" s="40">
        <f>'Tariffs Jul2018'!AP70</f>
        <v>13</v>
      </c>
      <c r="V76" s="273">
        <f t="shared" si="9"/>
        <v>1598.7176999999997</v>
      </c>
      <c r="W76" s="273">
        <f>V76-(O76*U76/100)</f>
        <v>1423.6248989999997</v>
      </c>
      <c r="X76" s="272">
        <f t="shared" si="4"/>
        <v>1758.5894699999999</v>
      </c>
      <c r="Y76" s="272">
        <f t="shared" si="4"/>
        <v>1565.9873888999998</v>
      </c>
      <c r="Z76" s="274">
        <f>'Tariffs Jul2018'!AY70</f>
        <v>0</v>
      </c>
      <c r="AA76" s="274" t="str">
        <f>'Tariffs Jul2018'!AZ70</f>
        <v>n</v>
      </c>
      <c r="AB76" s="275" t="str">
        <f>'Tariffs Jul2018'!BG70</f>
        <v>N</v>
      </c>
      <c r="AC76" s="351"/>
      <c r="AD76" s="351"/>
      <c r="AE76" s="351"/>
      <c r="AF76" s="351"/>
      <c r="AG76" s="351"/>
      <c r="AH76" s="351"/>
      <c r="AI76" s="351"/>
      <c r="AJ76" s="351"/>
      <c r="AK76" s="351"/>
      <c r="AL76" s="351"/>
      <c r="AM76" s="351"/>
      <c r="AN76" s="351"/>
    </row>
    <row r="77" spans="1:40" x14ac:dyDescent="0.15">
      <c r="A77" s="40" t="str">
        <f>'Tariffs Jul2018'!F71</f>
        <v>Red Energy</v>
      </c>
      <c r="B77" s="40" t="str">
        <f>'Tariffs Jul2018'!D71</f>
        <v>Envestra Central 1</v>
      </c>
      <c r="C77" s="40" t="str">
        <f>'Tariffs Jul2018'!G71</f>
        <v>Easy Saver</v>
      </c>
      <c r="D77" s="59">
        <f>365*'Tariffs Jul2018'!H71/100</f>
        <v>255.5</v>
      </c>
      <c r="E77" s="59">
        <f>IF($C$5*'Tariffs Jul2018'!AK71/'Tariffs Jul2018'!AI71&gt;='Tariffs Jul2018'!J71,( 'Tariffs Jul2018'!J71*'Tariffs Jul2018'!O71/100)* 'Tariffs Jul2018'!AI71,($C$5*'Tariffs Jul2018'!AK71/'Tariffs Jul2018'!AI71*'Tariffs Jul2018'!O71/100)* 'Tariffs Jul2018'!AI71)</f>
        <v>135</v>
      </c>
      <c r="F77" s="59">
        <f>IF($C$5*'Tariffs Jul2018'!AK71/'Tariffs Jul2018'!AI71&lt;'Tariffs Jul2018'!J71,0,IF($C$5*'Tariffs Jul2018'!AK71/'Tariffs Jul2018'!AI71&lt;='Tariffs Jul2018'!K71,($C$5*'Tariffs Jul2018'!AK71/'Tariffs Jul2018'!AI71-'Tariffs Jul2018'!J71)*('Tariffs Jul2018'!S71/100)*'Tariffs Jul2018'!AI71,('Tariffs Jul2018'!K71-'Tariffs Jul2018'!J71)*('Tariffs Jul2018'!S71/100)*'Tariffs Jul2018'!AI71))</f>
        <v>0</v>
      </c>
      <c r="G77" s="59">
        <f>IF($C$5*'Tariffs Jul2018'!AK71/'Tariffs Jul2018'!AI71&lt;'Tariffs Jul2018'!K71,0,IF($C$5*'Tariffs Jul2018'!AK71/'Tariffs Jul2018'!AI71&lt;='Tariffs Jul2018'!L71,($C$5*'Tariffs Jul2018'!AK71/'Tariffs Jul2018'!AI71-'Tariffs Jul2018'!K71)*('Tariffs Jul2018'!Q71/100)*'Tariffs Jul2018'!AI71,('Tariffs Jul2018'!L71-'Tariffs Jul2018'!K71)*('Tariffs Jul2018'!Q71/100)*'Tariffs Jul2018'!AI71))</f>
        <v>0</v>
      </c>
      <c r="H77" s="59">
        <f>IF($C$5*'Tariffs Jul2018'!AK71/'Tariffs Jul2018'!AI71&lt;'Tariffs Jul2018'!L71,0,IF($C$5*'Tariffs Jul2018'!AK71/'Tariffs Jul2018'!AI71&lt;='Tariffs Jul2018'!M71,($C$5*'Tariffs Jul2018'!AK71/'Tariffs Jul2018'!AI71-'Tariffs Jul2018'!L71)*('Tariffs Jul2018'!R71/100)*'Tariffs Jul2018'!AI71,('Tariffs Jul2018'!M71-'Tariffs Jul2018'!L71)*('Tariffs Jul2018'!R71/100)*'Tariffs Jul2018'!AI71))</f>
        <v>0</v>
      </c>
      <c r="I77" s="59">
        <f>IF(($C$5*'Tariffs Jul2018'!AK71/'Tariffs Jul2018'!AI71&gt;'Tariffs Jul2018'!M71),($C$5*'Tariffs Jul2018'!AK71/'Tariffs Jul2018'!AI71-'Tariffs Jul2018'!M71)*'Tariffs Jul2018'!S71/100*'Tariffs Jul2018'!AI71,0)</f>
        <v>262.46324999999996</v>
      </c>
      <c r="J77" s="59">
        <f>IF($C$5*'Tariffs Jul2018'!AL71/'Tariffs Jul2018'!AJ71&gt;='Tariffs Jul2018'!J71,('Tariffs Jul2018'!J71*'Tariffs Jul2018'!U71/100)* 'Tariffs Jul2018'!AJ71,($C$5*'Tariffs Jul2018'!AL71/'Tariffs Jul2018'!AJ71*'Tariffs Jul2018'!U71/100)* 'Tariffs Jul2018'!AJ71)</f>
        <v>270</v>
      </c>
      <c r="K77" s="59">
        <f>IF($C$5*'Tariffs Jul2018'!AL71/'Tariffs Jul2018'!AJ71&lt;'Tariffs Jul2018'!J71,0,IF($C$5*'Tariffs Jul2018'!AL71/'Tariffs Jul2018'!AJ71&lt;='Tariffs Jul2018'!K71,($C$5*'Tariffs Jul2018'!AL71/'Tariffs Jul2018'!AJ71-'Tariffs Jul2018'!J71)*('Tariffs Jul2018'!V71/100)*'Tariffs Jul2018'!AJ71,('Tariffs Jul2018'!K71-'Tariffs Jul2018'!J71)*('Tariffs Jul2018'!V71/100)*'Tariffs Jul2018'!AJ71))</f>
        <v>0</v>
      </c>
      <c r="L77" s="59">
        <f>IF($C$5*'Tariffs Jul2018'!AL71/'Tariffs Jul2018'!AJ71&lt;'Tariffs Jul2018'!K71,0,IF($C$5*'Tariffs Jul2018'!AL71/'Tariffs Jul2018'!AJ71&lt;='Tariffs Jul2018'!L71,($C$5*'Tariffs Jul2018'!AL71/'Tariffs Jul2018'!AJ71-'Tariffs Jul2018'!K71)*('Tariffs Jul2018'!W71/100)*'Tariffs Jul2018'!AJ71,('Tariffs Jul2018'!L71-'Tariffs Jul2018'!K71)*('Tariffs Jul2018'!W71/100)*'Tariffs Jul2018'!AJ71))</f>
        <v>0</v>
      </c>
      <c r="M77" s="59">
        <f>IF($C$5*'Tariffs Jul2018'!AL71/'Tariffs Jul2018'!AJ71&lt;'Tariffs Jul2018'!L71,0,IF($C$5*'Tariffs Jul2018'!AL71/'Tariffs Jul2018'!AJ71&lt;='Tariffs Jul2018'!M71,($C$5*'Tariffs Jul2018'!AL71/'Tariffs Jul2018'!AJ71-'Tariffs Jul2018'!L71)*('Tariffs Jul2018'!X71/100)*'Tariffs Jul2018'!AJ71,('Tariffs Jul2018'!M71-'Tariffs Jul2018'!L71)*('Tariffs Jul2018'!X71/100)*'Tariffs Jul2018'!AJ71))</f>
        <v>0</v>
      </c>
      <c r="N77" s="59">
        <f>IF(($C$5*'Tariffs Jul2018'!AL71/'Tariffs Jul2018'!AJ71&gt;'Tariffs Jul2018'!M71),($C$5*'Tariffs Jul2018'!AL71/'Tariffs Jul2018'!AJ71-'Tariffs Jul2018'!M71)*'Tariffs Jul2018'!Y71/100*'Tariffs Jul2018'!AJ71,0)</f>
        <v>524.92649999999992</v>
      </c>
      <c r="O77" s="271">
        <f t="shared" si="0"/>
        <v>1192.3897499999998</v>
      </c>
      <c r="P77" s="59">
        <f t="shared" si="1"/>
        <v>1447.8897499999998</v>
      </c>
      <c r="Q77" s="272">
        <f t="shared" si="2"/>
        <v>1592.678725</v>
      </c>
      <c r="R77" s="40">
        <f>'Tariffs Jul2018'!AM71</f>
        <v>0</v>
      </c>
      <c r="S77" s="40">
        <f>'Tariffs Jul2018'!AN71</f>
        <v>0</v>
      </c>
      <c r="T77" s="40">
        <f>'Tariffs Jul2018'!AO71</f>
        <v>10</v>
      </c>
      <c r="U77" s="40">
        <f>'Tariffs Jul2018'!AP71</f>
        <v>0</v>
      </c>
      <c r="V77" s="273">
        <f t="shared" si="9"/>
        <v>1447.8897499999998</v>
      </c>
      <c r="W77" s="273">
        <f>V77-(P77*T77/100)</f>
        <v>1303.1007749999999</v>
      </c>
      <c r="X77" s="272">
        <f t="shared" si="4"/>
        <v>1592.678725</v>
      </c>
      <c r="Y77" s="272">
        <f t="shared" si="4"/>
        <v>1433.4108524999999</v>
      </c>
      <c r="Z77" s="274">
        <f>'Tariffs Jul2018'!AY71</f>
        <v>0</v>
      </c>
      <c r="AA77" s="274" t="str">
        <f>'Tariffs Jul2018'!AZ71</f>
        <v>n</v>
      </c>
      <c r="AB77" s="275" t="str">
        <f>'Tariffs Jul2018'!BG71</f>
        <v>Y</v>
      </c>
      <c r="AC77" s="351"/>
      <c r="AD77" s="351"/>
      <c r="AE77" s="351"/>
      <c r="AF77" s="351"/>
      <c r="AG77" s="351"/>
      <c r="AH77" s="351"/>
      <c r="AI77" s="351"/>
      <c r="AJ77" s="351"/>
      <c r="AK77" s="351"/>
      <c r="AL77" s="351"/>
      <c r="AM77" s="351"/>
      <c r="AN77" s="351"/>
    </row>
    <row r="78" spans="1:40" x14ac:dyDescent="0.15">
      <c r="A78" s="40" t="str">
        <f>'Tariffs Jul2018'!F72</f>
        <v>Simply Energy</v>
      </c>
      <c r="B78" s="40" t="str">
        <f>'Tariffs Jul2018'!D72</f>
        <v>Envestra Central 1</v>
      </c>
      <c r="C78" s="40" t="str">
        <f>'Tariffs Jul2018'!G72</f>
        <v>Plus</v>
      </c>
      <c r="D78" s="59">
        <f>365*'Tariffs Jul2018'!H72/100</f>
        <v>259.55150000000003</v>
      </c>
      <c r="E78" s="59">
        <f>IF($C$5*'Tariffs Jul2018'!AK72/'Tariffs Jul2018'!AI72&gt;='Tariffs Jul2018'!J72,( 'Tariffs Jul2018'!J72*'Tariffs Jul2018'!O72/100)* 'Tariffs Jul2018'!AI72,($C$5*'Tariffs Jul2018'!AK72/'Tariffs Jul2018'!AI72*'Tariffs Jul2018'!O72/100)* 'Tariffs Jul2018'!AI72)</f>
        <v>102.319</v>
      </c>
      <c r="F78" s="59">
        <f>IF($C$5*'Tariffs Jul2018'!AK72/'Tariffs Jul2018'!AI72&lt;'Tariffs Jul2018'!J72,0,IF($C$5*'Tariffs Jul2018'!AK72/'Tariffs Jul2018'!AI72&lt;='Tariffs Jul2018'!K72,($C$5*'Tariffs Jul2018'!AK72/'Tariffs Jul2018'!AI72-'Tariffs Jul2018'!J72)*('Tariffs Jul2018'!P72/100)*'Tariffs Jul2018'!AI72,('Tariffs Jul2018'!K72-'Tariffs Jul2018'!J72)*('Tariffs Jul2018'!P72/100)*'Tariffs Jul2018'!AI72))</f>
        <v>71.00200000000001</v>
      </c>
      <c r="G78" s="59">
        <f>IF($C$5*'Tariffs Jul2018'!AK72/'Tariffs Jul2018'!AI72&lt;'Tariffs Jul2018'!K72,0,IF($C$5*'Tariffs Jul2018'!AK72/'Tariffs Jul2018'!AI72&lt;='Tariffs Jul2018'!L72,($C$5*'Tariffs Jul2018'!AK72/'Tariffs Jul2018'!AI72-'Tariffs Jul2018'!K72)*('Tariffs Jul2018'!Q72/100)*'Tariffs Jul2018'!AI72,('Tariffs Jul2018'!L72-'Tariffs Jul2018'!K72)*('Tariffs Jul2018'!Q72/100)*'Tariffs Jul2018'!AI72))</f>
        <v>0</v>
      </c>
      <c r="H78" s="59">
        <f>IF($C$5*'Tariffs Jul2018'!AK72/'Tariffs Jul2018'!AI72&lt;'Tariffs Jul2018'!L72,0,IF($C$5*'Tariffs Jul2018'!AK72/'Tariffs Jul2018'!AI72&lt;='Tariffs Jul2018'!M72,($C$5*'Tariffs Jul2018'!AK72/'Tariffs Jul2018'!AI72-'Tariffs Jul2018'!L72)*('Tariffs Jul2018'!R72/100)*'Tariffs Jul2018'!AI72,('Tariffs Jul2018'!M72-'Tariffs Jul2018'!L72)*('Tariffs Jul2018'!R72/100)*'Tariffs Jul2018'!AI72))</f>
        <v>0</v>
      </c>
      <c r="I78" s="59">
        <f>IF(($C$5*'Tariffs Jul2018'!AK72/'Tariffs Jul2018'!AI72&gt;'Tariffs Jul2018'!M72),($C$5*'Tariffs Jul2018'!AK72/'Tariffs Jul2018'!AI72-'Tariffs Jul2018'!M72)*'Tariffs Jul2018'!S72/100*'Tariffs Jul2018'!AI72,0)</f>
        <v>328.45400999999998</v>
      </c>
      <c r="J78" s="59">
        <f>IF($C$5*'Tariffs Jul2018'!AL72/'Tariffs Jul2018'!AJ72&gt;='Tariffs Jul2018'!J72,('Tariffs Jul2018'!J72*'Tariffs Jul2018'!U72/100)* 'Tariffs Jul2018'!AJ72,($C$5*'Tariffs Jul2018'!AL72/'Tariffs Jul2018'!AJ72*'Tariffs Jul2018'!U72/100)* 'Tariffs Jul2018'!AJ72)</f>
        <v>204.63800000000001</v>
      </c>
      <c r="K78" s="59">
        <f>IF($C$5*'Tariffs Jul2018'!AL72/'Tariffs Jul2018'!AJ72&lt;'Tariffs Jul2018'!J72,0,IF($C$5*'Tariffs Jul2018'!AL72/'Tariffs Jul2018'!AJ72&lt;='Tariffs Jul2018'!K72,($C$5*'Tariffs Jul2018'!AL72/'Tariffs Jul2018'!AJ72-'Tariffs Jul2018'!J72)*('Tariffs Jul2018'!V72/100)*'Tariffs Jul2018'!AJ72,('Tariffs Jul2018'!K72-'Tariffs Jul2018'!J72)*('Tariffs Jul2018'!V72/100)*'Tariffs Jul2018'!AJ72))</f>
        <v>142.00400000000002</v>
      </c>
      <c r="L78" s="59">
        <f>IF($C$5*'Tariffs Jul2018'!AL72/'Tariffs Jul2018'!AJ72&lt;'Tariffs Jul2018'!K72,0,IF($C$5*'Tariffs Jul2018'!AL72/'Tariffs Jul2018'!AJ72&lt;='Tariffs Jul2018'!L72,($C$5*'Tariffs Jul2018'!AL72/'Tariffs Jul2018'!AJ72-'Tariffs Jul2018'!K72)*('Tariffs Jul2018'!W72/100)*'Tariffs Jul2018'!AJ72,('Tariffs Jul2018'!L72-'Tariffs Jul2018'!K72)*('Tariffs Jul2018'!W72/100)*'Tariffs Jul2018'!AJ72))</f>
        <v>0</v>
      </c>
      <c r="M78" s="59">
        <f>IF($C$5*'Tariffs Jul2018'!AL72/'Tariffs Jul2018'!AJ72&lt;'Tariffs Jul2018'!L72,0,IF($C$5*'Tariffs Jul2018'!AL72/'Tariffs Jul2018'!AJ72&lt;='Tariffs Jul2018'!M72,($C$5*'Tariffs Jul2018'!AL72/'Tariffs Jul2018'!AJ72-'Tariffs Jul2018'!L72)*('Tariffs Jul2018'!X72/100)*'Tariffs Jul2018'!AJ72,('Tariffs Jul2018'!M72-'Tariffs Jul2018'!L72)*('Tariffs Jul2018'!X72/100)*'Tariffs Jul2018'!AJ72))</f>
        <v>0</v>
      </c>
      <c r="N78" s="59">
        <f>IF(($C$5*'Tariffs Jul2018'!AL72/'Tariffs Jul2018'!AJ72&gt;'Tariffs Jul2018'!M72),($C$5*'Tariffs Jul2018'!AL72/'Tariffs Jul2018'!AJ72-'Tariffs Jul2018'!M72)*'Tariffs Jul2018'!Y72/100*'Tariffs Jul2018'!AJ72,0)</f>
        <v>656.90801999999996</v>
      </c>
      <c r="O78" s="271">
        <f t="shared" si="0"/>
        <v>1505.32503</v>
      </c>
      <c r="P78" s="59">
        <f t="shared" si="1"/>
        <v>1764.87653</v>
      </c>
      <c r="Q78" s="272">
        <f t="shared" si="2"/>
        <v>1941.3641830000001</v>
      </c>
      <c r="R78" s="40">
        <f>'Tariffs Jul2018'!AM72</f>
        <v>0</v>
      </c>
      <c r="S78" s="40">
        <f>'Tariffs Jul2018'!AN72</f>
        <v>0</v>
      </c>
      <c r="T78" s="40">
        <f>'Tariffs Jul2018'!AO72</f>
        <v>0</v>
      </c>
      <c r="U78" s="40">
        <f>'Tariffs Jul2018'!AP72</f>
        <v>26</v>
      </c>
      <c r="V78" s="273">
        <f t="shared" si="9"/>
        <v>1764.87653</v>
      </c>
      <c r="W78" s="273">
        <f>V78-(O78*U78/100)</f>
        <v>1373.4920222000001</v>
      </c>
      <c r="X78" s="272">
        <f t="shared" si="4"/>
        <v>1941.3641830000001</v>
      </c>
      <c r="Y78" s="272">
        <f t="shared" si="4"/>
        <v>1510.8412244200001</v>
      </c>
      <c r="Z78" s="274">
        <f>'Tariffs Jul2018'!AY72</f>
        <v>0</v>
      </c>
      <c r="AA78" s="274" t="str">
        <f>'Tariffs Jul2018'!AZ72</f>
        <v>n</v>
      </c>
      <c r="AB78" s="275" t="str">
        <f>'Tariffs Jul2018'!BG72</f>
        <v>Y</v>
      </c>
      <c r="AC78" s="351"/>
      <c r="AD78" s="351"/>
      <c r="AE78" s="351"/>
      <c r="AF78" s="351"/>
      <c r="AG78" s="351"/>
      <c r="AH78" s="351"/>
      <c r="AI78" s="351"/>
      <c r="AJ78" s="351"/>
      <c r="AK78" s="351"/>
      <c r="AL78" s="351"/>
      <c r="AM78" s="351"/>
      <c r="AN78" s="351"/>
    </row>
    <row r="79" spans="1:40" x14ac:dyDescent="0.15">
      <c r="A79" s="40" t="str">
        <f>'Tariffs Jul2018'!F73</f>
        <v>Sumo Power</v>
      </c>
      <c r="B79" s="40" t="str">
        <f>'Tariffs Jul2018'!D73</f>
        <v>Envestra Central 1</v>
      </c>
      <c r="C79" s="40" t="str">
        <f>'Tariffs Jul2018'!G73</f>
        <v>Pay on time (max discount)</v>
      </c>
      <c r="D79" s="59">
        <f>365*'Tariffs Jul2018'!H73/100</f>
        <v>246.96265</v>
      </c>
      <c r="E79" s="59">
        <f>IF($C$5*'Tariffs Jul2018'!AK73/'Tariffs Jul2018'!AI73&gt;='Tariffs Jul2018'!J73,( 'Tariffs Jul2018'!J73*'Tariffs Jul2018'!O73/100)* 'Tariffs Jul2018'!AI73,($C$5*'Tariffs Jul2018'!AK73/'Tariffs Jul2018'!AI73*'Tariffs Jul2018'!O73/100)* 'Tariffs Jul2018'!AI73)</f>
        <v>101.99</v>
      </c>
      <c r="F79" s="59">
        <f>IF($C$5*'Tariffs Jul2018'!AK73/'Tariffs Jul2018'!AI73&lt;'Tariffs Jul2018'!J73,0,IF($C$5*'Tariffs Jul2018'!AK73/'Tariffs Jul2018'!AI73&lt;='Tariffs Jul2018'!K73,($C$5*'Tariffs Jul2018'!AK73/'Tariffs Jul2018'!AI73-'Tariffs Jul2018'!J73)*('Tariffs Jul2018'!S73/100)*'Tariffs Jul2018'!AI73,('Tariffs Jul2018'!K73-'Tariffs Jul2018'!J73)*('Tariffs Jul2018'!S73/100)*'Tariffs Jul2018'!AI73))</f>
        <v>57.235199999999999</v>
      </c>
      <c r="G79" s="59">
        <f>IF($C$5*'Tariffs Jul2018'!AK73/'Tariffs Jul2018'!AI73&lt;'Tariffs Jul2018'!K73,0,IF($C$5*'Tariffs Jul2018'!AK73/'Tariffs Jul2018'!AI73&lt;='Tariffs Jul2018'!L73,($C$5*'Tariffs Jul2018'!AK73/'Tariffs Jul2018'!AI73-'Tariffs Jul2018'!K73)*('Tariffs Jul2018'!Q73/100)*'Tariffs Jul2018'!AI73,('Tariffs Jul2018'!L73-'Tariffs Jul2018'!K73)*('Tariffs Jul2018'!Q73/100)*'Tariffs Jul2018'!AI73))</f>
        <v>0</v>
      </c>
      <c r="H79" s="59">
        <f>IF($C$5*'Tariffs Jul2018'!AK73/'Tariffs Jul2018'!AI73&lt;'Tariffs Jul2018'!L73,0,IF($C$5*'Tariffs Jul2018'!AK73/'Tariffs Jul2018'!AI73&lt;='Tariffs Jul2018'!M73,($C$5*'Tariffs Jul2018'!AK73/'Tariffs Jul2018'!AI73-'Tariffs Jul2018'!L73)*('Tariffs Jul2018'!R73/100)*'Tariffs Jul2018'!AI73,('Tariffs Jul2018'!M73-'Tariffs Jul2018'!L73)*('Tariffs Jul2018'!R73/100)*'Tariffs Jul2018'!AI73))</f>
        <v>0</v>
      </c>
      <c r="I79" s="59">
        <f>IF(($C$5*'Tariffs Jul2018'!AK73/'Tariffs Jul2018'!AI73&gt;'Tariffs Jul2018'!M73),($C$5*'Tariffs Jul2018'!AK73/'Tariffs Jul2018'!AI73-'Tariffs Jul2018'!M73)*'Tariffs Jul2018'!S73/100*'Tariffs Jul2018'!AI73,0)</f>
        <v>316.75564799999995</v>
      </c>
      <c r="J79" s="59">
        <f>IF($C$5*'Tariffs Jul2018'!AL73/'Tariffs Jul2018'!AJ73&gt;='Tariffs Jul2018'!J73,('Tariffs Jul2018'!J73*'Tariffs Jul2018'!U73/100)* 'Tariffs Jul2018'!AJ73,($C$5*'Tariffs Jul2018'!AL73/'Tariffs Jul2018'!AJ73*'Tariffs Jul2018'!U73/100)* 'Tariffs Jul2018'!AJ73)</f>
        <v>203.98</v>
      </c>
      <c r="K79" s="59">
        <f>IF($C$5*'Tariffs Jul2018'!AL73/'Tariffs Jul2018'!AJ73&lt;'Tariffs Jul2018'!J73,0,IF($C$5*'Tariffs Jul2018'!AL73/'Tariffs Jul2018'!AJ73&lt;='Tariffs Jul2018'!K73,($C$5*'Tariffs Jul2018'!AL73/'Tariffs Jul2018'!AJ73-'Tariffs Jul2018'!J73)*('Tariffs Jul2018'!V73/100)*'Tariffs Jul2018'!AJ73,('Tariffs Jul2018'!K73-'Tariffs Jul2018'!J73)*('Tariffs Jul2018'!V73/100)*'Tariffs Jul2018'!AJ73))</f>
        <v>143.84679999999997</v>
      </c>
      <c r="L79" s="59">
        <f>IF($C$5*'Tariffs Jul2018'!AL73/'Tariffs Jul2018'!AJ73&lt;'Tariffs Jul2018'!K73,0,IF($C$5*'Tariffs Jul2018'!AL73/'Tariffs Jul2018'!AJ73&lt;='Tariffs Jul2018'!L73,($C$5*'Tariffs Jul2018'!AL73/'Tariffs Jul2018'!AJ73-'Tariffs Jul2018'!K73)*('Tariffs Jul2018'!W73/100)*'Tariffs Jul2018'!AJ73,('Tariffs Jul2018'!L73-'Tariffs Jul2018'!K73)*('Tariffs Jul2018'!W73/100)*'Tariffs Jul2018'!AJ73))</f>
        <v>0</v>
      </c>
      <c r="M79" s="59">
        <f>IF($C$5*'Tariffs Jul2018'!AL73/'Tariffs Jul2018'!AJ73&lt;'Tariffs Jul2018'!L73,0,IF($C$5*'Tariffs Jul2018'!AL73/'Tariffs Jul2018'!AJ73&lt;='Tariffs Jul2018'!M73,($C$5*'Tariffs Jul2018'!AL73/'Tariffs Jul2018'!AJ73-'Tariffs Jul2018'!L73)*('Tariffs Jul2018'!X73/100)*'Tariffs Jul2018'!AJ73,('Tariffs Jul2018'!M73-'Tariffs Jul2018'!L73)*('Tariffs Jul2018'!X73/100)*'Tariffs Jul2018'!AJ73))</f>
        <v>0</v>
      </c>
      <c r="N79" s="59">
        <f>IF(($C$5*'Tariffs Jul2018'!AL73/'Tariffs Jul2018'!AJ73&gt;'Tariffs Jul2018'!M73),($C$5*'Tariffs Jul2018'!AL73/'Tariffs Jul2018'!AJ73-'Tariffs Jul2018'!M73)*'Tariffs Jul2018'!Y73/100*'Tariffs Jul2018'!AJ73,0)</f>
        <v>633.5112959999999</v>
      </c>
      <c r="O79" s="271">
        <f t="shared" si="0"/>
        <v>1457.3189439999999</v>
      </c>
      <c r="P79" s="59">
        <f t="shared" si="1"/>
        <v>1704.2815939999998</v>
      </c>
      <c r="Q79" s="272">
        <f t="shared" si="2"/>
        <v>1874.7097534</v>
      </c>
      <c r="R79" s="40">
        <f>'Tariffs Jul2018'!AM73</f>
        <v>0</v>
      </c>
      <c r="S79" s="40">
        <f>'Tariffs Jul2018'!AN73</f>
        <v>0</v>
      </c>
      <c r="T79" s="40">
        <f>'Tariffs Jul2018'!AO73</f>
        <v>0</v>
      </c>
      <c r="U79" s="40">
        <f>'Tariffs Jul2018'!AP73</f>
        <v>25</v>
      </c>
      <c r="V79" s="273">
        <f t="shared" si="9"/>
        <v>1704.2815939999998</v>
      </c>
      <c r="W79" s="273">
        <f>V79-(O79*U79/100)</f>
        <v>1339.9518579999999</v>
      </c>
      <c r="X79" s="272">
        <f t="shared" si="4"/>
        <v>1874.7097534</v>
      </c>
      <c r="Y79" s="272">
        <f t="shared" si="4"/>
        <v>1473.9470438000001</v>
      </c>
      <c r="Z79" s="274">
        <f>'Tariffs Jul2018'!AY73</f>
        <v>0</v>
      </c>
      <c r="AA79" s="274" t="str">
        <f>'Tariffs Jul2018'!AZ73</f>
        <v>n</v>
      </c>
      <c r="AB79" s="275" t="str">
        <f>'Tariffs Jul2018'!BG73</f>
        <v>Y</v>
      </c>
      <c r="AC79" s="351"/>
      <c r="AD79" s="351"/>
      <c r="AE79" s="351"/>
      <c r="AF79" s="351"/>
      <c r="AG79" s="351"/>
      <c r="AH79" s="351"/>
      <c r="AI79" s="351"/>
      <c r="AJ79" s="351"/>
      <c r="AK79" s="351"/>
      <c r="AL79" s="351"/>
      <c r="AM79" s="351"/>
      <c r="AN79" s="351"/>
    </row>
    <row r="80" spans="1:40" x14ac:dyDescent="0.15">
      <c r="A80" s="40" t="str">
        <f>'Tariffs Jul2018'!F74</f>
        <v>Amaysim</v>
      </c>
      <c r="B80" s="40" t="str">
        <f>'Tariffs Jul2018'!D74</f>
        <v>Envestra Central 1</v>
      </c>
      <c r="C80" s="40" t="str">
        <f>'Tariffs Jul2018'!G74</f>
        <v>Gas 4</v>
      </c>
      <c r="D80" s="59">
        <f>365*'Tariffs Jul2018'!H74/100</f>
        <v>292.73</v>
      </c>
      <c r="E80" s="59">
        <f>IF($C$5*'Tariffs Jul2018'!AK74/'Tariffs Jul2018'!AI74&gt;='Tariffs Jul2018'!J74,( 'Tariffs Jul2018'!J74*'Tariffs Jul2018'!O74/100)* 'Tariffs Jul2018'!AI74,($C$5*'Tariffs Jul2018'!AK74/'Tariffs Jul2018'!AI74*'Tariffs Jul2018'!O74/100)* 'Tariffs Jul2018'!AI74)</f>
        <v>123.375</v>
      </c>
      <c r="F80" s="59">
        <f>IF($C$5*'Tariffs Jul2018'!AK74/'Tariffs Jul2018'!AI74&lt;'Tariffs Jul2018'!J74,0,IF($C$5*'Tariffs Jul2018'!AK74/'Tariffs Jul2018'!AI74&lt;='Tariffs Jul2018'!K74,($C$5*'Tariffs Jul2018'!AK74/'Tariffs Jul2018'!AI74-'Tariffs Jul2018'!J74)*('Tariffs Jul2018'!P74/100)*'Tariffs Jul2018'!AI74,('Tariffs Jul2018'!K74-'Tariffs Jul2018'!J74)*('Tariffs Jul2018'!P74/100)*'Tariffs Jul2018'!AI74))</f>
        <v>86.72</v>
      </c>
      <c r="G80" s="59">
        <f>IF($C$5*'Tariffs Jul2018'!AK74/'Tariffs Jul2018'!AI74&lt;'Tariffs Jul2018'!K74,0,IF($C$5*'Tariffs Jul2018'!AK74/'Tariffs Jul2018'!AI74&lt;='Tariffs Jul2018'!L74,($C$5*'Tariffs Jul2018'!AK74/'Tariffs Jul2018'!AI74-'Tariffs Jul2018'!K74)*('Tariffs Jul2018'!Q74/100)*'Tariffs Jul2018'!AI74,('Tariffs Jul2018'!L74-'Tariffs Jul2018'!K74)*('Tariffs Jul2018'!Q74/100)*'Tariffs Jul2018'!AI74))</f>
        <v>0</v>
      </c>
      <c r="H80" s="59">
        <f>IF($C$5*'Tariffs Jul2018'!AK74/'Tariffs Jul2018'!AI74&lt;'Tariffs Jul2018'!L74,0,IF($C$5*'Tariffs Jul2018'!AK74/'Tariffs Jul2018'!AI74&lt;='Tariffs Jul2018'!M74,($C$5*'Tariffs Jul2018'!AK74/'Tariffs Jul2018'!AI74-'Tariffs Jul2018'!L74)*('Tariffs Jul2018'!R74/100)*'Tariffs Jul2018'!AI74,('Tariffs Jul2018'!M74-'Tariffs Jul2018'!L74)*('Tariffs Jul2018'!R74/100)*'Tariffs Jul2018'!AI74))</f>
        <v>0</v>
      </c>
      <c r="I80" s="59">
        <f>IF(($C$5*'Tariffs Jul2018'!AK74/'Tariffs Jul2018'!AI74&gt;'Tariffs Jul2018'!M74),($C$5*'Tariffs Jul2018'!AK74/'Tariffs Jul2018'!AI74-'Tariffs Jul2018'!M74)*'Tariffs Jul2018'!S74/100*'Tariffs Jul2018'!AI74,0)</f>
        <v>412.44224999999989</v>
      </c>
      <c r="J80" s="59">
        <f>IF($C$5*'Tariffs Jul2018'!AL74/'Tariffs Jul2018'!AJ74&gt;='Tariffs Jul2018'!J74,('Tariffs Jul2018'!J74*'Tariffs Jul2018'!U74/100)* 'Tariffs Jul2018'!AJ74,($C$5*'Tariffs Jul2018'!AL74/'Tariffs Jul2018'!AJ74*'Tariffs Jul2018'!U74/100)* 'Tariffs Jul2018'!AJ74)</f>
        <v>246.75</v>
      </c>
      <c r="K80" s="59">
        <f>IF($C$5*'Tariffs Jul2018'!AL74/'Tariffs Jul2018'!AJ74&lt;'Tariffs Jul2018'!J74,0,IF($C$5*'Tariffs Jul2018'!AL74/'Tariffs Jul2018'!AJ74&lt;='Tariffs Jul2018'!K74,($C$5*'Tariffs Jul2018'!AL74/'Tariffs Jul2018'!AJ74-'Tariffs Jul2018'!J74)*('Tariffs Jul2018'!V74/100)*'Tariffs Jul2018'!AJ74,('Tariffs Jul2018'!K74-'Tariffs Jul2018'!J74)*('Tariffs Jul2018'!V74/100)*'Tariffs Jul2018'!AJ74))</f>
        <v>173.44</v>
      </c>
      <c r="L80" s="59">
        <f>IF($C$5*'Tariffs Jul2018'!AL74/'Tariffs Jul2018'!AJ74&lt;'Tariffs Jul2018'!K74,0,IF($C$5*'Tariffs Jul2018'!AL74/'Tariffs Jul2018'!AJ74&lt;='Tariffs Jul2018'!L74,($C$5*'Tariffs Jul2018'!AL74/'Tariffs Jul2018'!AJ74-'Tariffs Jul2018'!K74)*('Tariffs Jul2018'!W74/100)*'Tariffs Jul2018'!AJ74,('Tariffs Jul2018'!L74-'Tariffs Jul2018'!K74)*('Tariffs Jul2018'!W74/100)*'Tariffs Jul2018'!AJ74))</f>
        <v>0</v>
      </c>
      <c r="M80" s="59">
        <f>IF($C$5*'Tariffs Jul2018'!AL74/'Tariffs Jul2018'!AJ74&lt;'Tariffs Jul2018'!L74,0,IF($C$5*'Tariffs Jul2018'!AL74/'Tariffs Jul2018'!AJ74&lt;='Tariffs Jul2018'!M74,($C$5*'Tariffs Jul2018'!AL74/'Tariffs Jul2018'!AJ74-'Tariffs Jul2018'!L74)*('Tariffs Jul2018'!X74/100)*'Tariffs Jul2018'!AJ74,('Tariffs Jul2018'!M74-'Tariffs Jul2018'!L74)*('Tariffs Jul2018'!X74/100)*'Tariffs Jul2018'!AJ74))</f>
        <v>0</v>
      </c>
      <c r="N80" s="59">
        <f>IF(($C$5*'Tariffs Jul2018'!AL74/'Tariffs Jul2018'!AJ74&gt;'Tariffs Jul2018'!M74),($C$5*'Tariffs Jul2018'!AL74/'Tariffs Jul2018'!AJ74-'Tariffs Jul2018'!M74)*'Tariffs Jul2018'!Y74/100*'Tariffs Jul2018'!AJ74,0)</f>
        <v>824.88449999999978</v>
      </c>
      <c r="O80" s="271">
        <f t="shared" si="0"/>
        <v>1867.6117499999996</v>
      </c>
      <c r="P80" s="59">
        <f t="shared" si="1"/>
        <v>2160.3417499999996</v>
      </c>
      <c r="Q80" s="272">
        <f t="shared" si="2"/>
        <v>2376.3759249999998</v>
      </c>
      <c r="R80" s="40">
        <f>'Tariffs Jul2018'!AM74</f>
        <v>0</v>
      </c>
      <c r="S80" s="40">
        <f>'Tariffs Jul2018'!AN74</f>
        <v>0</v>
      </c>
      <c r="T80" s="40">
        <f>'Tariffs Jul2018'!AO74</f>
        <v>5</v>
      </c>
      <c r="U80" s="40">
        <f>'Tariffs Jul2018'!AP74</f>
        <v>0</v>
      </c>
      <c r="V80" s="273">
        <f t="shared" si="9"/>
        <v>2160.3417499999996</v>
      </c>
      <c r="W80" s="273">
        <f>V80-(P80*T80/100)</f>
        <v>2052.3246624999997</v>
      </c>
      <c r="X80" s="272">
        <f t="shared" si="4"/>
        <v>2376.3759249999998</v>
      </c>
      <c r="Y80" s="272">
        <f t="shared" si="4"/>
        <v>2257.5571287499997</v>
      </c>
      <c r="Z80" s="274">
        <f>'Tariffs Jul2018'!AY74</f>
        <v>0</v>
      </c>
      <c r="AA80" s="274" t="str">
        <f>'Tariffs Jul2018'!AZ74</f>
        <v>n</v>
      </c>
      <c r="AB80" s="275" t="str">
        <f>'Tariffs Jul2018'!BG74</f>
        <v>N</v>
      </c>
      <c r="AC80" s="351"/>
      <c r="AD80" s="351"/>
      <c r="AE80" s="351"/>
      <c r="AF80" s="351"/>
      <c r="AG80" s="351"/>
      <c r="AH80" s="351"/>
      <c r="AI80" s="351"/>
      <c r="AJ80" s="351"/>
      <c r="AK80" s="351"/>
      <c r="AL80" s="351"/>
      <c r="AM80" s="351"/>
      <c r="AN80" s="351"/>
    </row>
    <row r="81" spans="1:40" x14ac:dyDescent="0.15">
      <c r="A81" s="40" t="str">
        <f>'Tariffs Jul2018'!F75</f>
        <v>GloBird</v>
      </c>
      <c r="B81" s="40" t="str">
        <f>'Tariffs Jul2018'!D75</f>
        <v>Envestra Central 1</v>
      </c>
      <c r="C81" s="40" t="str">
        <f>'Tariffs Jul2018'!G75</f>
        <v>GloSave</v>
      </c>
      <c r="D81" s="59">
        <f>365*'Tariffs Jul2018'!H75/100</f>
        <v>299.3</v>
      </c>
      <c r="E81" s="59">
        <f>IF($C$5*'Tariffs Jul2018'!AK75/'Tariffs Jul2018'!AI75&gt;='Tariffs Jul2018'!J75,( 'Tariffs Jul2018'!J75*'Tariffs Jul2018'!O75/100)* 'Tariffs Jul2018'!AI75,($C$5*'Tariffs Jul2018'!AK75/'Tariffs Jul2018'!AI75*'Tariffs Jul2018'!O75/100)* 'Tariffs Jul2018'!AI75)</f>
        <v>180</v>
      </c>
      <c r="F81" s="59">
        <f>IF($C$5*'Tariffs Jul2018'!AK75/'Tariffs Jul2018'!AI75&lt;'Tariffs Jul2018'!J75,0,IF($C$5*'Tariffs Jul2018'!AK75/'Tariffs Jul2018'!AI75&lt;='Tariffs Jul2018'!K75,($C$5*'Tariffs Jul2018'!AK75/'Tariffs Jul2018'!AI75-'Tariffs Jul2018'!J75)*('Tariffs Jul2018'!P75/100)*'Tariffs Jul2018'!AI75,('Tariffs Jul2018'!K75-'Tariffs Jul2018'!J75)*('Tariffs Jul2018'!P75/100)*'Tariffs Jul2018'!AI75))</f>
        <v>0</v>
      </c>
      <c r="G81" s="59">
        <f>IF($C$5*'Tariffs Jul2018'!AK75/'Tariffs Jul2018'!AI75&lt;'Tariffs Jul2018'!K75,0,IF($C$5*'Tariffs Jul2018'!AK75/'Tariffs Jul2018'!AI75&lt;='Tariffs Jul2018'!L75,($C$5*'Tariffs Jul2018'!AK75/'Tariffs Jul2018'!AI75-'Tariffs Jul2018'!K75)*('Tariffs Jul2018'!Q75/100)*'Tariffs Jul2018'!AI75,('Tariffs Jul2018'!L75-'Tariffs Jul2018'!K75)*('Tariffs Jul2018'!Q75/100)*'Tariffs Jul2018'!AI75))</f>
        <v>0</v>
      </c>
      <c r="H81" s="59">
        <f>IF($C$5*'Tariffs Jul2018'!AK75/'Tariffs Jul2018'!AI75&lt;'Tariffs Jul2018'!L75,0,IF($C$5*'Tariffs Jul2018'!AK75/'Tariffs Jul2018'!AI75&lt;='Tariffs Jul2018'!M75,($C$5*'Tariffs Jul2018'!AK75/'Tariffs Jul2018'!AI75-'Tariffs Jul2018'!L75)*('Tariffs Jul2018'!R75/100)*'Tariffs Jul2018'!AI75,('Tariffs Jul2018'!M75-'Tariffs Jul2018'!L75)*('Tariffs Jul2018'!R75/100)*'Tariffs Jul2018'!AI75))</f>
        <v>0</v>
      </c>
      <c r="I81" s="59">
        <f>IF(($C$5*'Tariffs Jul2018'!AK75/'Tariffs Jul2018'!AI75&gt;'Tariffs Jul2018'!M75),($C$5*'Tariffs Jul2018'!AK75/'Tariffs Jul2018'!AI75-'Tariffs Jul2018'!M75)*'Tariffs Jul2018'!S75/100*'Tariffs Jul2018'!AI75,0)</f>
        <v>412.44224999999989</v>
      </c>
      <c r="J81" s="59">
        <f>IF($C$5*'Tariffs Jul2018'!AL75/'Tariffs Jul2018'!AJ75&gt;='Tariffs Jul2018'!J75,('Tariffs Jul2018'!J75*'Tariffs Jul2018'!U75/100)* 'Tariffs Jul2018'!AJ75,($C$5*'Tariffs Jul2018'!AL75/'Tariffs Jul2018'!AJ75*'Tariffs Jul2018'!U75/100)* 'Tariffs Jul2018'!AJ75)</f>
        <v>360</v>
      </c>
      <c r="K81" s="59">
        <f>IF($C$5*'Tariffs Jul2018'!AL75/'Tariffs Jul2018'!AJ75&lt;'Tariffs Jul2018'!J75,0,IF($C$5*'Tariffs Jul2018'!AL75/'Tariffs Jul2018'!AJ75&lt;='Tariffs Jul2018'!K75,($C$5*'Tariffs Jul2018'!AL75/'Tariffs Jul2018'!AJ75-'Tariffs Jul2018'!J75)*('Tariffs Jul2018'!V75/100)*'Tariffs Jul2018'!AJ75,('Tariffs Jul2018'!K75-'Tariffs Jul2018'!J75)*('Tariffs Jul2018'!V75/100)*'Tariffs Jul2018'!AJ75))</f>
        <v>0</v>
      </c>
      <c r="L81" s="59">
        <f>IF($C$5*'Tariffs Jul2018'!AL75/'Tariffs Jul2018'!AJ75&lt;'Tariffs Jul2018'!K75,0,IF($C$5*'Tariffs Jul2018'!AL75/'Tariffs Jul2018'!AJ75&lt;='Tariffs Jul2018'!L75,($C$5*'Tariffs Jul2018'!AL75/'Tariffs Jul2018'!AJ75-'Tariffs Jul2018'!K75)*('Tariffs Jul2018'!W75/100)*'Tariffs Jul2018'!AJ75,('Tariffs Jul2018'!L75-'Tariffs Jul2018'!K75)*('Tariffs Jul2018'!W75/100)*'Tariffs Jul2018'!AJ75))</f>
        <v>0</v>
      </c>
      <c r="M81" s="59">
        <f>IF($C$5*'Tariffs Jul2018'!AL75/'Tariffs Jul2018'!AJ75&lt;'Tariffs Jul2018'!L75,0,IF($C$5*'Tariffs Jul2018'!AL75/'Tariffs Jul2018'!AJ75&lt;='Tariffs Jul2018'!M75,($C$5*'Tariffs Jul2018'!AL75/'Tariffs Jul2018'!AJ75-'Tariffs Jul2018'!L75)*('Tariffs Jul2018'!X75/100)*'Tariffs Jul2018'!AJ75,('Tariffs Jul2018'!M75-'Tariffs Jul2018'!L75)*('Tariffs Jul2018'!X75/100)*'Tariffs Jul2018'!AJ75))</f>
        <v>0</v>
      </c>
      <c r="N81" s="59">
        <f>IF(($C$5*'Tariffs Jul2018'!AL75/'Tariffs Jul2018'!AJ75&gt;'Tariffs Jul2018'!M75),($C$5*'Tariffs Jul2018'!AL75/'Tariffs Jul2018'!AJ75-'Tariffs Jul2018'!M75)*'Tariffs Jul2018'!Y75/100*'Tariffs Jul2018'!AJ75,0)</f>
        <v>824.88449999999978</v>
      </c>
      <c r="O81" s="271">
        <f>SUM(E81:N81)</f>
        <v>1777.3267499999997</v>
      </c>
      <c r="P81" s="59">
        <f>D81+O81</f>
        <v>2076.6267499999999</v>
      </c>
      <c r="Q81" s="272">
        <f>P81*1.1</f>
        <v>2284.2894249999999</v>
      </c>
      <c r="R81" s="40">
        <f>'Tariffs Jul2018'!AM75</f>
        <v>0</v>
      </c>
      <c r="S81" s="40">
        <f>'Tariffs Jul2018'!AN75</f>
        <v>0</v>
      </c>
      <c r="T81" s="40">
        <f>'Tariffs Jul2018'!AO75</f>
        <v>34</v>
      </c>
      <c r="U81" s="40">
        <f>'Tariffs Jul2018'!AP75</f>
        <v>0</v>
      </c>
      <c r="V81" s="273">
        <f>P81</f>
        <v>2076.6267499999999</v>
      </c>
      <c r="W81" s="273">
        <f>V81-(P81*T81/100)</f>
        <v>1370.5736549999999</v>
      </c>
      <c r="X81" s="272">
        <f>V81*1.1</f>
        <v>2284.2894249999999</v>
      </c>
      <c r="Y81" s="272">
        <f>W81*1.1</f>
        <v>1507.6310205</v>
      </c>
      <c r="Z81" s="274">
        <f>'Tariffs Jul2018'!AY75</f>
        <v>0</v>
      </c>
      <c r="AA81" s="274" t="str">
        <f>'Tariffs Jul2018'!AZ75</f>
        <v>n</v>
      </c>
      <c r="AB81" s="275" t="str">
        <f>'Tariffs Jul2018'!BG75</f>
        <v>N</v>
      </c>
      <c r="AC81" s="351"/>
      <c r="AD81" s="351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</row>
    <row r="82" spans="1:40" ht="14" thickBot="1" x14ac:dyDescent="0.2">
      <c r="A82" s="277" t="str">
        <f>'Tariffs Jul2018'!F76</f>
        <v>Powershop</v>
      </c>
      <c r="B82" s="277" t="str">
        <f>'Tariffs Jul2018'!D76</f>
        <v>Envestra Central 1</v>
      </c>
      <c r="C82" s="277" t="str">
        <f>'Tariffs Jul2018'!G76</f>
        <v>Gas Saver</v>
      </c>
      <c r="D82" s="278">
        <f>365*'Tariffs Jul2018'!H76/100</f>
        <v>308.97250000000003</v>
      </c>
      <c r="E82" s="278">
        <f>((C$5*'Tariffs Jul2018'!AK76/'Tariffs Jul2018'!AI76)*('Tariffs Jul2018'!O76/100))*'Tariffs Jul2018'!AI76</f>
        <v>363.26366999999993</v>
      </c>
      <c r="F82" s="278">
        <v>0</v>
      </c>
      <c r="G82" s="278">
        <v>0</v>
      </c>
      <c r="H82" s="278">
        <v>0</v>
      </c>
      <c r="I82" s="278">
        <v>0</v>
      </c>
      <c r="J82" s="278">
        <f>((C$5*'Tariffs Jul2018'!AL76/'Tariffs Jul2018'!AJ76)*('Tariffs Jul2018'!U76/100))*'Tariffs Jul2018'!AJ76</f>
        <v>726.52733999999987</v>
      </c>
      <c r="K82" s="278">
        <v>0</v>
      </c>
      <c r="L82" s="278">
        <v>0</v>
      </c>
      <c r="M82" s="278">
        <v>0</v>
      </c>
      <c r="N82" s="278">
        <v>0</v>
      </c>
      <c r="O82" s="279">
        <f>SUM(E82:N82)</f>
        <v>1089.7910099999999</v>
      </c>
      <c r="P82" s="278">
        <f>D82+O82</f>
        <v>1398.76351</v>
      </c>
      <c r="Q82" s="280">
        <f>P82*1.1</f>
        <v>1538.6398610000001</v>
      </c>
      <c r="R82" s="277">
        <f>'Tariffs Jul2018'!AM76</f>
        <v>0</v>
      </c>
      <c r="S82" s="277">
        <f>'Tariffs Jul2018'!AN76</f>
        <v>0</v>
      </c>
      <c r="T82" s="277">
        <f>'Tariffs Jul2018'!AO76</f>
        <v>5</v>
      </c>
      <c r="U82" s="277">
        <f>'Tariffs Jul2018'!AP76</f>
        <v>0</v>
      </c>
      <c r="V82" s="281">
        <f t="shared" si="9"/>
        <v>1398.76351</v>
      </c>
      <c r="W82" s="281">
        <f>V82-(P82*T82/100)</f>
        <v>1328.8253345000001</v>
      </c>
      <c r="X82" s="280">
        <f>V82*1.1</f>
        <v>1538.6398610000001</v>
      </c>
      <c r="Y82" s="280">
        <f>W82*1.1</f>
        <v>1461.7078679500003</v>
      </c>
      <c r="Z82" s="282">
        <f>'Tariffs Jul2018'!AY76</f>
        <v>0</v>
      </c>
      <c r="AA82" s="282" t="str">
        <f>'Tariffs Jul2018'!AZ76</f>
        <v>n</v>
      </c>
      <c r="AB82" s="283" t="str">
        <f>'Tariffs Jul2018'!BG76</f>
        <v>Y</v>
      </c>
      <c r="AC82" s="351"/>
      <c r="AD82" s="351"/>
      <c r="AE82" s="351"/>
      <c r="AF82" s="351"/>
      <c r="AG82" s="351"/>
      <c r="AH82" s="351"/>
      <c r="AI82" s="351"/>
      <c r="AJ82" s="351"/>
      <c r="AK82" s="351"/>
      <c r="AL82" s="351"/>
      <c r="AM82" s="351"/>
      <c r="AN82" s="351"/>
    </row>
    <row r="83" spans="1:40" ht="14" thickTop="1" x14ac:dyDescent="0.15">
      <c r="A83" s="40" t="str">
        <f>'Tariffs Jul2018'!F77</f>
        <v>AGL</v>
      </c>
      <c r="B83" s="40" t="str">
        <f>'Tariffs Jul2018'!D77</f>
        <v>Ausnet West</v>
      </c>
      <c r="C83" s="40" t="str">
        <f>'Tariffs Jul2018'!G77</f>
        <v>Savers</v>
      </c>
      <c r="D83" s="59">
        <f>365*'Tariffs Jul2018'!H77/100</f>
        <v>313.89999999999998</v>
      </c>
      <c r="E83" s="59">
        <f>IF($C$5*'Tariffs Jul2018'!AK77/'Tariffs Jul2018'!AI77&gt;='Tariffs Jul2018'!J77,( 'Tariffs Jul2018'!J77*'Tariffs Jul2018'!O77/100)* 'Tariffs Jul2018'!AI77,($C$5*'Tariffs Jul2018'!AK77/'Tariffs Jul2018'!AI77*'Tariffs Jul2018'!O77/100)* 'Tariffs Jul2018'!AI77)</f>
        <v>272.39999999999998</v>
      </c>
      <c r="F83" s="59">
        <f>IF($C$5*'Tariffs Jul2018'!AK77/'Tariffs Jul2018'!AI77&lt;'Tariffs Jul2018'!J77,0,IF($C$5*'Tariffs Jul2018'!AK77/'Tariffs Jul2018'!AI77&lt;='Tariffs Jul2018'!K77,($C$5*'Tariffs Jul2018'!AK77/'Tariffs Jul2018'!AI77-'Tariffs Jul2018'!J77)*('Tariffs Jul2018'!P77/100)*'Tariffs Jul2018'!AI77,('Tariffs Jul2018'!K77-'Tariffs Jul2018'!J77)*('Tariffs Jul2018'!P77/100)*'Tariffs Jul2018'!AI77))</f>
        <v>196.15421999999995</v>
      </c>
      <c r="G83" s="59">
        <f>IF($C$5*'Tariffs Jul2018'!AK77/'Tariffs Jul2018'!AI77&lt;'Tariffs Jul2018'!K77,0,IF($C$5*'Tariffs Jul2018'!AK77/'Tariffs Jul2018'!AI77&lt;='Tariffs Jul2018'!L77,($C$5*'Tariffs Jul2018'!AK77/'Tariffs Jul2018'!AI77-'Tariffs Jul2018'!K77)*('Tariffs Jul2018'!Q77/100)*'Tariffs Jul2018'!AI77,('Tariffs Jul2018'!L77-'Tariffs Jul2018'!K77)*('Tariffs Jul2018'!Q77/100)*'Tariffs Jul2018'!AI77))</f>
        <v>0</v>
      </c>
      <c r="H83" s="59">
        <f>IF($C$5*'Tariffs Jul2018'!AK77/'Tariffs Jul2018'!AI77&lt;'Tariffs Jul2018'!L77,0,IF($C$5*'Tariffs Jul2018'!AK77/'Tariffs Jul2018'!AI77&lt;='Tariffs Jul2018'!M77,($C$5*'Tariffs Jul2018'!AK77/'Tariffs Jul2018'!AI77-'Tariffs Jul2018'!L77)*('Tariffs Jul2018'!R77/100)*'Tariffs Jul2018'!AI77,('Tariffs Jul2018'!M77-'Tariffs Jul2018'!L77)*('Tariffs Jul2018'!R77/100)*'Tariffs Jul2018'!AI77))</f>
        <v>0</v>
      </c>
      <c r="I83" s="59">
        <f>IF(($C$5*'Tariffs Jul2018'!AK77/'Tariffs Jul2018'!AI77&gt;'Tariffs Jul2018'!M77),($C$5*'Tariffs Jul2018'!AK77/'Tariffs Jul2018'!AI77-'Tariffs Jul2018'!M77)*'Tariffs Jul2018'!S77/100*'Tariffs Jul2018'!AI77,0)</f>
        <v>0</v>
      </c>
      <c r="J83" s="59">
        <f>IF($C$5*'Tariffs Jul2018'!AL77/'Tariffs Jul2018'!AJ77&gt;='Tariffs Jul2018'!J77,('Tariffs Jul2018'!J77*'Tariffs Jul2018'!U77/100)* 'Tariffs Jul2018'!AJ77,($C$5*'Tariffs Jul2018'!AL77/'Tariffs Jul2018'!AJ77*'Tariffs Jul2018'!U77/100)* 'Tariffs Jul2018'!AJ77)</f>
        <v>494.4</v>
      </c>
      <c r="K83" s="59">
        <f>IF($C$5*'Tariffs Jul2018'!AL77/'Tariffs Jul2018'!AJ77&lt;'Tariffs Jul2018'!J77,0,IF($C$5*'Tariffs Jul2018'!AL77/'Tariffs Jul2018'!AJ77&lt;='Tariffs Jul2018'!K77,($C$5*'Tariffs Jul2018'!AL77/'Tariffs Jul2018'!AJ77-'Tariffs Jul2018'!J77)*('Tariffs Jul2018'!V77/100)*'Tariffs Jul2018'!AJ77,('Tariffs Jul2018'!K77-'Tariffs Jul2018'!J77)*('Tariffs Jul2018'!V77/100)*'Tariffs Jul2018'!AJ77))</f>
        <v>298.73027999999994</v>
      </c>
      <c r="L83" s="59">
        <f>IF($C$5*'Tariffs Jul2018'!AL77/'Tariffs Jul2018'!AJ77&lt;'Tariffs Jul2018'!K77,0,IF($C$5*'Tariffs Jul2018'!AL77/'Tariffs Jul2018'!AJ77&lt;='Tariffs Jul2018'!L77,($C$5*'Tariffs Jul2018'!AL77/'Tariffs Jul2018'!AJ77-'Tariffs Jul2018'!K77)*('Tariffs Jul2018'!W77/100)*'Tariffs Jul2018'!AJ77,('Tariffs Jul2018'!L77-'Tariffs Jul2018'!K77)*('Tariffs Jul2018'!W77/100)*'Tariffs Jul2018'!AJ77))</f>
        <v>0</v>
      </c>
      <c r="M83" s="59">
        <f>IF($C$5*'Tariffs Jul2018'!AL77/'Tariffs Jul2018'!AJ77&lt;'Tariffs Jul2018'!L77,0,IF($C$5*'Tariffs Jul2018'!AL77/'Tariffs Jul2018'!AJ77&lt;='Tariffs Jul2018'!M77,($C$5*'Tariffs Jul2018'!AL77/'Tariffs Jul2018'!AJ77-'Tariffs Jul2018'!L77)*('Tariffs Jul2018'!X77/100)*'Tariffs Jul2018'!AJ77,('Tariffs Jul2018'!M77-'Tariffs Jul2018'!L77)*('Tariffs Jul2018'!X77/100)*'Tariffs Jul2018'!AJ77))</f>
        <v>0</v>
      </c>
      <c r="N83" s="59">
        <f>IF(($C$5*'Tariffs Jul2018'!AL77/'Tariffs Jul2018'!AJ77&gt;'Tariffs Jul2018'!M77),($C$5*'Tariffs Jul2018'!AL77/'Tariffs Jul2018'!AJ77-'Tariffs Jul2018'!M77)*'Tariffs Jul2018'!Y77/100*'Tariffs Jul2018'!AJ77,0)</f>
        <v>0</v>
      </c>
      <c r="O83" s="271">
        <f t="shared" si="0"/>
        <v>1261.6844999999998</v>
      </c>
      <c r="P83" s="59">
        <f t="shared" si="1"/>
        <v>1575.5844999999999</v>
      </c>
      <c r="Q83" s="272">
        <f t="shared" si="2"/>
        <v>1733.1429500000002</v>
      </c>
      <c r="R83" s="40">
        <f>'Tariffs Jul2018'!AM77</f>
        <v>0</v>
      </c>
      <c r="S83" s="40">
        <f>'Tariffs Jul2018'!AN77</f>
        <v>0</v>
      </c>
      <c r="T83" s="40">
        <f>'Tariffs Jul2018'!AO77</f>
        <v>0</v>
      </c>
      <c r="U83" s="40">
        <f>'Tariffs Jul2018'!AP77</f>
        <v>26</v>
      </c>
      <c r="V83" s="273">
        <f>P83</f>
        <v>1575.5844999999999</v>
      </c>
      <c r="W83" s="273">
        <f>V83-(O83*U83/100)</f>
        <v>1247.5465300000001</v>
      </c>
      <c r="X83" s="272">
        <f t="shared" si="4"/>
        <v>1733.1429500000002</v>
      </c>
      <c r="Y83" s="272">
        <f t="shared" si="4"/>
        <v>1372.3011830000003</v>
      </c>
      <c r="Z83" s="274">
        <f>'Tariffs Jul2018'!AY77</f>
        <v>0</v>
      </c>
      <c r="AA83" s="274" t="str">
        <f>'Tariffs Jul2018'!AZ77</f>
        <v>n</v>
      </c>
      <c r="AB83" s="275" t="str">
        <f>'Tariffs Jul2018'!BG77</f>
        <v>N</v>
      </c>
      <c r="AC83" s="351"/>
      <c r="AD83" s="351"/>
      <c r="AE83" s="351"/>
      <c r="AF83" s="351"/>
      <c r="AG83" s="351"/>
      <c r="AH83" s="351"/>
      <c r="AI83" s="351"/>
      <c r="AJ83" s="351"/>
      <c r="AK83" s="351"/>
      <c r="AL83" s="351"/>
      <c r="AM83" s="351"/>
      <c r="AN83" s="351"/>
    </row>
    <row r="84" spans="1:40" x14ac:dyDescent="0.15">
      <c r="A84" s="40" t="str">
        <f>'Tariffs Jul2018'!F78</f>
        <v>Alinta Energy</v>
      </c>
      <c r="B84" s="40" t="str">
        <f>'Tariffs Jul2018'!D78</f>
        <v>Ausnet West</v>
      </c>
      <c r="C84" s="40" t="str">
        <f>'Tariffs Jul2018'!G78</f>
        <v>Fair Deal</v>
      </c>
      <c r="D84" s="59">
        <f>365*'Tariffs Jul2018'!H78/100</f>
        <v>273.38500000000005</v>
      </c>
      <c r="E84" s="59">
        <f>IF($C$5*'Tariffs Jul2018'!AK78/'Tariffs Jul2018'!AI78&gt;='Tariffs Jul2018'!J78,( 'Tariffs Jul2018'!J78*'Tariffs Jul2018'!O78/100)* 'Tariffs Jul2018'!AI78,($C$5*'Tariffs Jul2018'!AK78/'Tariffs Jul2018'!AI78*'Tariffs Jul2018'!O78/100)* 'Tariffs Jul2018'!AI78)</f>
        <v>260.39999999999998</v>
      </c>
      <c r="F84" s="59">
        <f>IF($C$5*'Tariffs Jul2018'!AK78/'Tariffs Jul2018'!AI78&lt;'Tariffs Jul2018'!J78,0,IF($C$5*'Tariffs Jul2018'!AK78/'Tariffs Jul2018'!AI78&lt;='Tariffs Jul2018'!K78,($C$5*'Tariffs Jul2018'!AK78/'Tariffs Jul2018'!AI78-'Tariffs Jul2018'!J78)*('Tariffs Jul2018'!P78/100)*'Tariffs Jul2018'!AI78,('Tariffs Jul2018'!K78-'Tariffs Jul2018'!J78)*('Tariffs Jul2018'!P78/100)*'Tariffs Jul2018'!AI78))</f>
        <v>0</v>
      </c>
      <c r="G84" s="59">
        <f>IF($C$5*'Tariffs Jul2018'!AK78/'Tariffs Jul2018'!AI78&lt;'Tariffs Jul2018'!K78,0,IF($C$5*'Tariffs Jul2018'!AK78/'Tariffs Jul2018'!AI78&lt;='Tariffs Jul2018'!L78,($C$5*'Tariffs Jul2018'!AK78/'Tariffs Jul2018'!AI78-'Tariffs Jul2018'!K78)*('Tariffs Jul2018'!Q78/100)*'Tariffs Jul2018'!AI78,('Tariffs Jul2018'!L78-'Tariffs Jul2018'!K78)*('Tariffs Jul2018'!Q78/100)*'Tariffs Jul2018'!AI78))</f>
        <v>0</v>
      </c>
      <c r="H84" s="59">
        <f>IF($C$5*'Tariffs Jul2018'!AK78/'Tariffs Jul2018'!AI78&lt;'Tariffs Jul2018'!L78,0,IF($C$5*'Tariffs Jul2018'!AK78/'Tariffs Jul2018'!AI78&lt;='Tariffs Jul2018'!M78,($C$5*'Tariffs Jul2018'!AK78/'Tariffs Jul2018'!AI78-'Tariffs Jul2018'!L78)*('Tariffs Jul2018'!R78/100)*'Tariffs Jul2018'!AI78,('Tariffs Jul2018'!M78-'Tariffs Jul2018'!L78)*('Tariffs Jul2018'!R78/100)*'Tariffs Jul2018'!AI78))</f>
        <v>0</v>
      </c>
      <c r="I84" s="59">
        <f>IF(($C$5*'Tariffs Jul2018'!AK78/'Tariffs Jul2018'!AI78&gt;'Tariffs Jul2018'!M78),($C$5*'Tariffs Jul2018'!AK78/'Tariffs Jul2018'!AI78-'Tariffs Jul2018'!M78)*'Tariffs Jul2018'!S78/100*'Tariffs Jul2018'!AI78,0)</f>
        <v>174.55925999999997</v>
      </c>
      <c r="J84" s="59">
        <f>IF($C$5*'Tariffs Jul2018'!AL78/'Tariffs Jul2018'!AJ78&gt;='Tariffs Jul2018'!J78,('Tariffs Jul2018'!J78*'Tariffs Jul2018'!U78/100)* 'Tariffs Jul2018'!AJ78,($C$5*'Tariffs Jul2018'!AL78/'Tariffs Jul2018'!AJ78*'Tariffs Jul2018'!U78/100)* 'Tariffs Jul2018'!AJ78)</f>
        <v>460.8</v>
      </c>
      <c r="K84" s="59">
        <f>IF($C$5*'Tariffs Jul2018'!AL78/'Tariffs Jul2018'!AJ78&lt;'Tariffs Jul2018'!J78,0,IF($C$5*'Tariffs Jul2018'!AL78/'Tariffs Jul2018'!AJ78&lt;='Tariffs Jul2018'!K78,($C$5*'Tariffs Jul2018'!AL78/'Tariffs Jul2018'!AJ78-'Tariffs Jul2018'!J78)*('Tariffs Jul2018'!V78/100)*'Tariffs Jul2018'!AJ78,('Tariffs Jul2018'!K78-'Tariffs Jul2018'!J78)*('Tariffs Jul2018'!V78/100)*'Tariffs Jul2018'!AJ78))</f>
        <v>0</v>
      </c>
      <c r="L84" s="59">
        <f>IF($C$5*'Tariffs Jul2018'!AL78/'Tariffs Jul2018'!AJ78&lt;'Tariffs Jul2018'!K78,0,IF($C$5*'Tariffs Jul2018'!AL78/'Tariffs Jul2018'!AJ78&lt;='Tariffs Jul2018'!L78,($C$5*'Tariffs Jul2018'!AL78/'Tariffs Jul2018'!AJ78-'Tariffs Jul2018'!K78)*('Tariffs Jul2018'!W78/100)*'Tariffs Jul2018'!AJ78,('Tariffs Jul2018'!L78-'Tariffs Jul2018'!K78)*('Tariffs Jul2018'!W78/100)*'Tariffs Jul2018'!AJ78))</f>
        <v>0</v>
      </c>
      <c r="M84" s="59">
        <f>IF($C$5*'Tariffs Jul2018'!AL78/'Tariffs Jul2018'!AJ78&lt;'Tariffs Jul2018'!L78,0,IF($C$5*'Tariffs Jul2018'!AL78/'Tariffs Jul2018'!AJ78&lt;='Tariffs Jul2018'!M78,($C$5*'Tariffs Jul2018'!AL78/'Tariffs Jul2018'!AJ78-'Tariffs Jul2018'!L78)*('Tariffs Jul2018'!X78/100)*'Tariffs Jul2018'!AJ78,('Tariffs Jul2018'!M78-'Tariffs Jul2018'!L78)*('Tariffs Jul2018'!X78/100)*'Tariffs Jul2018'!AJ78))</f>
        <v>0</v>
      </c>
      <c r="N84" s="59">
        <f>IF(($C$5*'Tariffs Jul2018'!AL78/'Tariffs Jul2018'!AJ78&gt;'Tariffs Jul2018'!M78),($C$5*'Tariffs Jul2018'!AL78/'Tariffs Jul2018'!AJ78-'Tariffs Jul2018'!M78)*'Tariffs Jul2018'!Y78/100*'Tariffs Jul2018'!AJ78,0)</f>
        <v>289.73237999999992</v>
      </c>
      <c r="O84" s="271">
        <f t="shared" si="0"/>
        <v>1185.49164</v>
      </c>
      <c r="P84" s="59">
        <f t="shared" si="1"/>
        <v>1458.87664</v>
      </c>
      <c r="Q84" s="272">
        <f t="shared" si="2"/>
        <v>1604.764304</v>
      </c>
      <c r="R84" s="40">
        <f>'Tariffs Jul2018'!AM78</f>
        <v>0</v>
      </c>
      <c r="S84" s="40">
        <f>'Tariffs Jul2018'!AN78</f>
        <v>0</v>
      </c>
      <c r="T84" s="40">
        <f>'Tariffs Jul2018'!AO78</f>
        <v>0</v>
      </c>
      <c r="U84" s="40">
        <f>'Tariffs Jul2018'!AP78</f>
        <v>25</v>
      </c>
      <c r="V84" s="273">
        <f>P84</f>
        <v>1458.87664</v>
      </c>
      <c r="W84" s="273">
        <f>V84-(O84*U84/100)</f>
        <v>1162.5037299999999</v>
      </c>
      <c r="X84" s="272">
        <f t="shared" si="4"/>
        <v>1604.764304</v>
      </c>
      <c r="Y84" s="272">
        <f t="shared" si="4"/>
        <v>1278.754103</v>
      </c>
      <c r="Z84" s="274">
        <f>'Tariffs Jul2018'!AY78</f>
        <v>0</v>
      </c>
      <c r="AA84" s="274" t="str">
        <f>'Tariffs Jul2018'!AZ78</f>
        <v>n</v>
      </c>
      <c r="AB84" s="275" t="str">
        <f>'Tariffs Jul2018'!BG78</f>
        <v>Y</v>
      </c>
      <c r="AC84" s="351"/>
      <c r="AD84" s="351"/>
      <c r="AE84" s="351"/>
      <c r="AF84" s="351"/>
      <c r="AG84" s="351"/>
      <c r="AH84" s="351"/>
      <c r="AI84" s="351"/>
      <c r="AJ84" s="351"/>
      <c r="AK84" s="351"/>
      <c r="AL84" s="351"/>
      <c r="AM84" s="351"/>
      <c r="AN84" s="351"/>
    </row>
    <row r="85" spans="1:40" x14ac:dyDescent="0.15">
      <c r="A85" s="40" t="str">
        <f>'Tariffs Jul2018'!F79</f>
        <v>Click Energy</v>
      </c>
      <c r="B85" s="40" t="str">
        <f>'Tariffs Jul2018'!D79</f>
        <v>Ausnet West</v>
      </c>
      <c r="C85" s="40" t="str">
        <f>'Tariffs Jul2018'!G79</f>
        <v>Lilac</v>
      </c>
      <c r="D85" s="59">
        <f>365*'Tariffs Jul2018'!H79/100</f>
        <v>353.32</v>
      </c>
      <c r="E85" s="59">
        <f>IF($C$5*'Tariffs Jul2018'!AK79/'Tariffs Jul2018'!AI79&gt;='Tariffs Jul2018'!J79,( 'Tariffs Jul2018'!J79*'Tariffs Jul2018'!O79/100)* 'Tariffs Jul2018'!AI79,($C$5*'Tariffs Jul2018'!AK79/'Tariffs Jul2018'!AI79*'Tariffs Jul2018'!O79/100)* 'Tariffs Jul2018'!AI79)</f>
        <v>366</v>
      </c>
      <c r="F85" s="59">
        <f>IF($C$5*'Tariffs Jul2018'!AK79/'Tariffs Jul2018'!AI79&lt;'Tariffs Jul2018'!J79,0,IF($C$5*'Tariffs Jul2018'!AK79/'Tariffs Jul2018'!AI79&lt;='Tariffs Jul2018'!K79,($C$5*'Tariffs Jul2018'!AK79/'Tariffs Jul2018'!AI79-'Tariffs Jul2018'!J79)*('Tariffs Jul2018'!P79/100)*'Tariffs Jul2018'!AI79,('Tariffs Jul2018'!K79-'Tariffs Jul2018'!J79)*('Tariffs Jul2018'!P79/100)*'Tariffs Jul2018'!AI79))</f>
        <v>260.93909999999994</v>
      </c>
      <c r="G85" s="59">
        <f>IF($C$5*'Tariffs Jul2018'!AK79/'Tariffs Jul2018'!AI79&lt;'Tariffs Jul2018'!K79,0,IF($C$5*'Tariffs Jul2018'!AK79/'Tariffs Jul2018'!AI79&lt;='Tariffs Jul2018'!L79,($C$5*'Tariffs Jul2018'!AK79/'Tariffs Jul2018'!AI79-'Tariffs Jul2018'!K79)*('Tariffs Jul2018'!Q79/100)*'Tariffs Jul2018'!AI79,('Tariffs Jul2018'!L79-'Tariffs Jul2018'!K79)*('Tariffs Jul2018'!Q79/100)*'Tariffs Jul2018'!AI79))</f>
        <v>0</v>
      </c>
      <c r="H85" s="59">
        <f>IF($C$5*'Tariffs Jul2018'!AK79/'Tariffs Jul2018'!AI79&lt;'Tariffs Jul2018'!L79,0,IF($C$5*'Tariffs Jul2018'!AK79/'Tariffs Jul2018'!AI79&lt;='Tariffs Jul2018'!M79,($C$5*'Tariffs Jul2018'!AK79/'Tariffs Jul2018'!AI79-'Tariffs Jul2018'!L79)*('Tariffs Jul2018'!R79/100)*'Tariffs Jul2018'!AI79,('Tariffs Jul2018'!M79-'Tariffs Jul2018'!L79)*('Tariffs Jul2018'!R79/100)*'Tariffs Jul2018'!AI79))</f>
        <v>0</v>
      </c>
      <c r="I85" s="59">
        <f>IF(($C$5*'Tariffs Jul2018'!AK79/'Tariffs Jul2018'!AI79&gt;'Tariffs Jul2018'!M79),($C$5*'Tariffs Jul2018'!AK79/'Tariffs Jul2018'!AI79-'Tariffs Jul2018'!M79)*'Tariffs Jul2018'!S79/100*'Tariffs Jul2018'!AI79,0)</f>
        <v>0</v>
      </c>
      <c r="J85" s="59">
        <f>IF($C$5*'Tariffs Jul2018'!AL79/'Tariffs Jul2018'!AJ79&gt;='Tariffs Jul2018'!J79,('Tariffs Jul2018'!J79*'Tariffs Jul2018'!U79/100)* 'Tariffs Jul2018'!AJ79,($C$5*'Tariffs Jul2018'!AL79/'Tariffs Jul2018'!AJ79*'Tariffs Jul2018'!U79/100)* 'Tariffs Jul2018'!AJ79)</f>
        <v>600</v>
      </c>
      <c r="K85" s="59">
        <f>IF($C$5*'Tariffs Jul2018'!AL79/'Tariffs Jul2018'!AJ79&lt;'Tariffs Jul2018'!J79,0,IF($C$5*'Tariffs Jul2018'!AL79/'Tariffs Jul2018'!AJ79&lt;='Tariffs Jul2018'!K79,($C$5*'Tariffs Jul2018'!AL79/'Tariffs Jul2018'!AJ79-'Tariffs Jul2018'!J79)*('Tariffs Jul2018'!V79/100)*'Tariffs Jul2018'!AJ79,('Tariffs Jul2018'!K79-'Tariffs Jul2018'!J79)*('Tariffs Jul2018'!V79/100)*'Tariffs Jul2018'!AJ79))</f>
        <v>440.89709999999991</v>
      </c>
      <c r="L85" s="59">
        <f>IF($C$5*'Tariffs Jul2018'!AL79/'Tariffs Jul2018'!AJ79&lt;'Tariffs Jul2018'!K79,0,IF($C$5*'Tariffs Jul2018'!AL79/'Tariffs Jul2018'!AJ79&lt;='Tariffs Jul2018'!L79,($C$5*'Tariffs Jul2018'!AL79/'Tariffs Jul2018'!AJ79-'Tariffs Jul2018'!K79)*('Tariffs Jul2018'!W79/100)*'Tariffs Jul2018'!AJ79,('Tariffs Jul2018'!L79-'Tariffs Jul2018'!K79)*('Tariffs Jul2018'!W79/100)*'Tariffs Jul2018'!AJ79))</f>
        <v>0</v>
      </c>
      <c r="M85" s="59">
        <f>IF($C$5*'Tariffs Jul2018'!AL79/'Tariffs Jul2018'!AJ79&lt;'Tariffs Jul2018'!L79,0,IF($C$5*'Tariffs Jul2018'!AL79/'Tariffs Jul2018'!AJ79&lt;='Tariffs Jul2018'!M79,($C$5*'Tariffs Jul2018'!AL79/'Tariffs Jul2018'!AJ79-'Tariffs Jul2018'!L79)*('Tariffs Jul2018'!X79/100)*'Tariffs Jul2018'!AJ79,('Tariffs Jul2018'!M79-'Tariffs Jul2018'!L79)*('Tariffs Jul2018'!X79/100)*'Tariffs Jul2018'!AJ79))</f>
        <v>0</v>
      </c>
      <c r="N85" s="59">
        <f>IF(($C$5*'Tariffs Jul2018'!AL79/'Tariffs Jul2018'!AJ79&gt;'Tariffs Jul2018'!M79),($C$5*'Tariffs Jul2018'!AL79/'Tariffs Jul2018'!AJ79-'Tariffs Jul2018'!M79)*'Tariffs Jul2018'!Y79/100*'Tariffs Jul2018'!AJ79,0)</f>
        <v>0</v>
      </c>
      <c r="O85" s="271">
        <f t="shared" si="0"/>
        <v>1667.8362</v>
      </c>
      <c r="P85" s="59">
        <f t="shared" si="1"/>
        <v>2021.1561999999999</v>
      </c>
      <c r="Q85" s="272">
        <f t="shared" si="2"/>
        <v>2223.2718199999999</v>
      </c>
      <c r="R85" s="40">
        <f>'Tariffs Jul2018'!AM79</f>
        <v>0</v>
      </c>
      <c r="S85" s="40">
        <f>'Tariffs Jul2018'!AN79</f>
        <v>0</v>
      </c>
      <c r="T85" s="40">
        <f>'Tariffs Jul2018'!AO79</f>
        <v>26</v>
      </c>
      <c r="U85" s="40">
        <f>'Tariffs Jul2018'!AP79</f>
        <v>0</v>
      </c>
      <c r="V85" s="273">
        <f>P85</f>
        <v>2021.1561999999999</v>
      </c>
      <c r="W85" s="273">
        <f>V85-(P85*T85/100)</f>
        <v>1495.6555880000001</v>
      </c>
      <c r="X85" s="272">
        <f t="shared" si="4"/>
        <v>2223.2718199999999</v>
      </c>
      <c r="Y85" s="272">
        <f t="shared" si="4"/>
        <v>1645.2211468000003</v>
      </c>
      <c r="Z85" s="274">
        <f>'Tariffs Jul2018'!AY79</f>
        <v>0</v>
      </c>
      <c r="AA85" s="274" t="str">
        <f>'Tariffs Jul2018'!AZ79</f>
        <v>n</v>
      </c>
      <c r="AB85" s="275" t="str">
        <f>'Tariffs Jul2018'!BG79</f>
        <v>N</v>
      </c>
      <c r="AC85" s="351"/>
      <c r="AD85" s="351"/>
      <c r="AE85" s="351"/>
      <c r="AF85" s="351"/>
      <c r="AG85" s="351"/>
      <c r="AH85" s="351"/>
      <c r="AI85" s="351"/>
      <c r="AJ85" s="351"/>
      <c r="AK85" s="351"/>
      <c r="AL85" s="351"/>
      <c r="AM85" s="351"/>
      <c r="AN85" s="351"/>
    </row>
    <row r="86" spans="1:40" x14ac:dyDescent="0.15">
      <c r="A86" s="40" t="str">
        <f>'Tariffs Jul2018'!F80</f>
        <v>Covau</v>
      </c>
      <c r="B86" s="40" t="str">
        <f>'Tariffs Jul2018'!D80</f>
        <v>Ausnet West</v>
      </c>
      <c r="C86" s="40" t="str">
        <f>'Tariffs Jul2018'!G80</f>
        <v>Smart Saver</v>
      </c>
      <c r="D86" s="59">
        <f>365*'Tariffs Jul2018'!H80/100</f>
        <v>302.95</v>
      </c>
      <c r="E86" s="59">
        <f>IF($C$5*'Tariffs Jul2018'!AK80/'Tariffs Jul2018'!AI80&gt;='Tariffs Jul2018'!J80,( 'Tariffs Jul2018'!J80*'Tariffs Jul2018'!O80/100)* 'Tariffs Jul2018'!AI80,($C$5*'Tariffs Jul2018'!AK80/'Tariffs Jul2018'!AI80*'Tariffs Jul2018'!O80/100)* 'Tariffs Jul2018'!AI80)</f>
        <v>406.79999999999995</v>
      </c>
      <c r="F86" s="59">
        <f>IF($C$5*'Tariffs Jul2018'!AK80/'Tariffs Jul2018'!AI80&lt;'Tariffs Jul2018'!J80,0,IF($C$5*'Tariffs Jul2018'!AK80/'Tariffs Jul2018'!AI80&lt;='Tariffs Jul2018'!K80,($C$5*'Tariffs Jul2018'!AK80/'Tariffs Jul2018'!AI80-'Tariffs Jul2018'!J80)*('Tariffs Jul2018'!P80/100)*'Tariffs Jul2018'!AI80,('Tariffs Jul2018'!K80-'Tariffs Jul2018'!J80)*('Tariffs Jul2018'!P80/100)*'Tariffs Jul2018'!AI80))</f>
        <v>294.29999999999995</v>
      </c>
      <c r="G86" s="59">
        <f>IF($C$5*'Tariffs Jul2018'!AK80/'Tariffs Jul2018'!AI80&lt;'Tariffs Jul2018'!K80,0,IF($C$5*'Tariffs Jul2018'!AK80/'Tariffs Jul2018'!AI80&lt;='Tariffs Jul2018'!L80,($C$5*'Tariffs Jul2018'!AK80/'Tariffs Jul2018'!AI80-'Tariffs Jul2018'!K80)*('Tariffs Jul2018'!Q80/100)*'Tariffs Jul2018'!AI80,('Tariffs Jul2018'!L80-'Tariffs Jul2018'!K80)*('Tariffs Jul2018'!Q80/100)*'Tariffs Jul2018'!AI80))</f>
        <v>0</v>
      </c>
      <c r="H86" s="59">
        <f>IF($C$5*'Tariffs Jul2018'!AK80/'Tariffs Jul2018'!AI80&lt;'Tariffs Jul2018'!L80,0,IF($C$5*'Tariffs Jul2018'!AK80/'Tariffs Jul2018'!AI80&lt;='Tariffs Jul2018'!M80,($C$5*'Tariffs Jul2018'!AK80/'Tariffs Jul2018'!AI80-'Tariffs Jul2018'!L80)*('Tariffs Jul2018'!R80/100)*'Tariffs Jul2018'!AI80,('Tariffs Jul2018'!M80-'Tariffs Jul2018'!L80)*('Tariffs Jul2018'!R80/100)*'Tariffs Jul2018'!AI80))</f>
        <v>0</v>
      </c>
      <c r="I86" s="59">
        <f>IF(($C$5*'Tariffs Jul2018'!AK80/'Tariffs Jul2018'!AI80&gt;'Tariffs Jul2018'!M80),($C$5*'Tariffs Jul2018'!AK80/'Tariffs Jul2018'!AI80-'Tariffs Jul2018'!M80)*'Tariffs Jul2018'!S80/100*'Tariffs Jul2018'!AI80,0)</f>
        <v>0</v>
      </c>
      <c r="J86" s="59">
        <f>IF($C$5*'Tariffs Jul2018'!AL80/'Tariffs Jul2018'!AJ80&gt;='Tariffs Jul2018'!J80,('Tariffs Jul2018'!J80*'Tariffs Jul2018'!U80/100)* 'Tariffs Jul2018'!AJ80,($C$5*'Tariffs Jul2018'!AL80/'Tariffs Jul2018'!AJ80*'Tariffs Jul2018'!U80/100)* 'Tariffs Jul2018'!AJ80)</f>
        <v>368.99999999999994</v>
      </c>
      <c r="K86" s="59">
        <f>IF($C$5*'Tariffs Jul2018'!AL80/'Tariffs Jul2018'!AJ80&lt;'Tariffs Jul2018'!J80,0,IF($C$5*'Tariffs Jul2018'!AL80/'Tariffs Jul2018'!AJ80&lt;='Tariffs Jul2018'!K80,($C$5*'Tariffs Jul2018'!AL80/'Tariffs Jul2018'!AJ80-'Tariffs Jul2018'!J80)*('Tariffs Jul2018'!V80/100)*'Tariffs Jul2018'!AJ80,('Tariffs Jul2018'!K80-'Tariffs Jul2018'!J80)*('Tariffs Jul2018'!V80/100)*'Tariffs Jul2018'!AJ80))</f>
        <v>221.39999999999998</v>
      </c>
      <c r="L86" s="59">
        <f>IF($C$5*'Tariffs Jul2018'!AL80/'Tariffs Jul2018'!AJ80&lt;'Tariffs Jul2018'!K80,0,IF($C$5*'Tariffs Jul2018'!AL80/'Tariffs Jul2018'!AJ80&lt;='Tariffs Jul2018'!L80,($C$5*'Tariffs Jul2018'!AL80/'Tariffs Jul2018'!AJ80-'Tariffs Jul2018'!K80)*('Tariffs Jul2018'!W80/100)*'Tariffs Jul2018'!AJ80,('Tariffs Jul2018'!L80-'Tariffs Jul2018'!K80)*('Tariffs Jul2018'!W80/100)*'Tariffs Jul2018'!AJ80))</f>
        <v>0</v>
      </c>
      <c r="M86" s="59">
        <f>IF($C$5*'Tariffs Jul2018'!AL80/'Tariffs Jul2018'!AJ80&lt;'Tariffs Jul2018'!L80,0,IF($C$5*'Tariffs Jul2018'!AL80/'Tariffs Jul2018'!AJ80&lt;='Tariffs Jul2018'!M80,($C$5*'Tariffs Jul2018'!AL80/'Tariffs Jul2018'!AJ80-'Tariffs Jul2018'!L80)*('Tariffs Jul2018'!X80/100)*'Tariffs Jul2018'!AJ80,('Tariffs Jul2018'!M80-'Tariffs Jul2018'!L80)*('Tariffs Jul2018'!X80/100)*'Tariffs Jul2018'!AJ80))</f>
        <v>0</v>
      </c>
      <c r="N86" s="59">
        <f>IF(($C$5*'Tariffs Jul2018'!AL80/'Tariffs Jul2018'!AJ80&gt;'Tariffs Jul2018'!M80),($C$5*'Tariffs Jul2018'!AL80/'Tariffs Jul2018'!AJ80-'Tariffs Jul2018'!M80)*'Tariffs Jul2018'!Y80/100*'Tariffs Jul2018'!AJ80,0)</f>
        <v>0</v>
      </c>
      <c r="O86" s="271">
        <f t="shared" si="0"/>
        <v>1291.5</v>
      </c>
      <c r="P86" s="59">
        <f t="shared" si="1"/>
        <v>1594.45</v>
      </c>
      <c r="Q86" s="272">
        <f t="shared" si="2"/>
        <v>1753.8950000000002</v>
      </c>
      <c r="R86" s="40">
        <f>'Tariffs Jul2018'!AM80</f>
        <v>0</v>
      </c>
      <c r="S86" s="40">
        <f>'Tariffs Jul2018'!AN80</f>
        <v>0</v>
      </c>
      <c r="T86" s="40">
        <f>'Tariffs Jul2018'!AO80</f>
        <v>0</v>
      </c>
      <c r="U86" s="40">
        <f>'Tariffs Jul2018'!AP80</f>
        <v>16</v>
      </c>
      <c r="V86" s="273">
        <f>P86</f>
        <v>1594.45</v>
      </c>
      <c r="W86" s="273">
        <f>V86-(O86*U86/100)</f>
        <v>1387.81</v>
      </c>
      <c r="X86" s="272">
        <f t="shared" si="4"/>
        <v>1753.8950000000002</v>
      </c>
      <c r="Y86" s="272">
        <f t="shared" si="4"/>
        <v>1526.5910000000001</v>
      </c>
      <c r="Z86" s="274">
        <f>'Tariffs Jul2018'!AY80</f>
        <v>12</v>
      </c>
      <c r="AA86" s="274" t="str">
        <f>'Tariffs Jul2018'!AZ80</f>
        <v>n</v>
      </c>
      <c r="AB86" s="275" t="str">
        <f>'Tariffs Jul2018'!BG80</f>
        <v>N</v>
      </c>
      <c r="AC86" s="351"/>
      <c r="AD86" s="351"/>
      <c r="AE86" s="351"/>
      <c r="AF86" s="351"/>
      <c r="AG86" s="351"/>
      <c r="AH86" s="351"/>
      <c r="AI86" s="351"/>
      <c r="AJ86" s="351"/>
      <c r="AK86" s="351"/>
      <c r="AL86" s="351"/>
      <c r="AM86" s="351"/>
      <c r="AN86" s="351"/>
    </row>
    <row r="87" spans="1:40" x14ac:dyDescent="0.15">
      <c r="A87" s="40" t="str">
        <f>'Tariffs Jul2018'!F81</f>
        <v>EnergyAustralia</v>
      </c>
      <c r="B87" s="40" t="str">
        <f>'Tariffs Jul2018'!D81</f>
        <v>Ausnet West</v>
      </c>
      <c r="C87" s="40" t="str">
        <f>'Tariffs Jul2018'!G81</f>
        <v>Anytime Saver</v>
      </c>
      <c r="D87" s="59">
        <f>365*'Tariffs Jul2018'!H81/100</f>
        <v>321.2</v>
      </c>
      <c r="E87" s="59">
        <f>IF($C$5*'Tariffs Jul2018'!AK81/'Tariffs Jul2018'!AI81&gt;='Tariffs Jul2018'!J81,( 'Tariffs Jul2018'!J81*'Tariffs Jul2018'!O81/100)* 'Tariffs Jul2018'!AI81,($C$5*'Tariffs Jul2018'!AK81/'Tariffs Jul2018'!AI81*'Tariffs Jul2018'!O81/100)* 'Tariffs Jul2018'!AI81)</f>
        <v>512.34875999999997</v>
      </c>
      <c r="F87" s="59">
        <f>IF($C$5*'Tariffs Jul2018'!AK81/'Tariffs Jul2018'!AI81&lt;'Tariffs Jul2018'!J81,0,IF($C$5*'Tariffs Jul2018'!AK81/'Tariffs Jul2018'!AI81&lt;='Tariffs Jul2018'!K81,($C$5*'Tariffs Jul2018'!AK81/'Tariffs Jul2018'!AI81-'Tariffs Jul2018'!J81)*('Tariffs Jul2018'!P81/100)*'Tariffs Jul2018'!AI81,('Tariffs Jul2018'!K81-'Tariffs Jul2018'!J81)*('Tariffs Jul2018'!P81/100)*'Tariffs Jul2018'!AI81))</f>
        <v>0</v>
      </c>
      <c r="G87" s="59">
        <f>IF($C$5*'Tariffs Jul2018'!AK81/'Tariffs Jul2018'!AI81&lt;'Tariffs Jul2018'!K81,0,IF($C$5*'Tariffs Jul2018'!AK81/'Tariffs Jul2018'!AI81&lt;='Tariffs Jul2018'!L81,($C$5*'Tariffs Jul2018'!AK81/'Tariffs Jul2018'!AI81-'Tariffs Jul2018'!K81)*('Tariffs Jul2018'!Q81/100)*'Tariffs Jul2018'!AI81,('Tariffs Jul2018'!L81-'Tariffs Jul2018'!K81)*('Tariffs Jul2018'!Q81/100)*'Tariffs Jul2018'!AI81))</f>
        <v>0</v>
      </c>
      <c r="H87" s="59">
        <f>IF($C$5*'Tariffs Jul2018'!AK81/'Tariffs Jul2018'!AI81&lt;'Tariffs Jul2018'!L81,0,IF($C$5*'Tariffs Jul2018'!AK81/'Tariffs Jul2018'!AI81&lt;='Tariffs Jul2018'!M81,($C$5*'Tariffs Jul2018'!AK81/'Tariffs Jul2018'!AI81-'Tariffs Jul2018'!L81)*('Tariffs Jul2018'!R81/100)*'Tariffs Jul2018'!AI81,('Tariffs Jul2018'!M81-'Tariffs Jul2018'!L81)*('Tariffs Jul2018'!R81/100)*'Tariffs Jul2018'!AI81))</f>
        <v>0</v>
      </c>
      <c r="I87" s="59">
        <f>IF(($C$5*'Tariffs Jul2018'!AK81/'Tariffs Jul2018'!AI81&gt;'Tariffs Jul2018'!M81),($C$5*'Tariffs Jul2018'!AK81/'Tariffs Jul2018'!AI81-'Tariffs Jul2018'!M81)*'Tariffs Jul2018'!S81/100*'Tariffs Jul2018'!AI81,0)</f>
        <v>0</v>
      </c>
      <c r="J87" s="59">
        <f>IF($C$5*'Tariffs Jul2018'!AL81/'Tariffs Jul2018'!AJ81&gt;='Tariffs Jul2018'!J81,('Tariffs Jul2018'!J81*'Tariffs Jul2018'!U81/100)* 'Tariffs Jul2018'!AJ81,($C$5*'Tariffs Jul2018'!AL81/'Tariffs Jul2018'!AJ81*'Tariffs Jul2018'!U81/100)* 'Tariffs Jul2018'!AJ81)</f>
        <v>747.52523999999994</v>
      </c>
      <c r="K87" s="59">
        <f>IF($C$5*'Tariffs Jul2018'!AL81/'Tariffs Jul2018'!AJ81&lt;'Tariffs Jul2018'!J81,0,IF($C$5*'Tariffs Jul2018'!AL81/'Tariffs Jul2018'!AJ81&lt;='Tariffs Jul2018'!K81,($C$5*'Tariffs Jul2018'!AL81/'Tariffs Jul2018'!AJ81-'Tariffs Jul2018'!J81)*('Tariffs Jul2018'!V81/100)*'Tariffs Jul2018'!AJ81,('Tariffs Jul2018'!K81-'Tariffs Jul2018'!J81)*('Tariffs Jul2018'!V81/100)*'Tariffs Jul2018'!AJ81))</f>
        <v>0</v>
      </c>
      <c r="L87" s="59">
        <f>IF($C$5*'Tariffs Jul2018'!AL81/'Tariffs Jul2018'!AJ81&lt;'Tariffs Jul2018'!K81,0,IF($C$5*'Tariffs Jul2018'!AL81/'Tariffs Jul2018'!AJ81&lt;='Tariffs Jul2018'!L81,($C$5*'Tariffs Jul2018'!AL81/'Tariffs Jul2018'!AJ81-'Tariffs Jul2018'!K81)*('Tariffs Jul2018'!W81/100)*'Tariffs Jul2018'!AJ81,('Tariffs Jul2018'!L81-'Tariffs Jul2018'!K81)*('Tariffs Jul2018'!W81/100)*'Tariffs Jul2018'!AJ81))</f>
        <v>0</v>
      </c>
      <c r="M87" s="59">
        <f>IF($C$5*'Tariffs Jul2018'!AL81/'Tariffs Jul2018'!AJ81&lt;'Tariffs Jul2018'!L81,0,IF($C$5*'Tariffs Jul2018'!AL81/'Tariffs Jul2018'!AJ81&lt;='Tariffs Jul2018'!M81,($C$5*'Tariffs Jul2018'!AL81/'Tariffs Jul2018'!AJ81-'Tariffs Jul2018'!L81)*('Tariffs Jul2018'!X81/100)*'Tariffs Jul2018'!AJ81,('Tariffs Jul2018'!M81-'Tariffs Jul2018'!L81)*('Tariffs Jul2018'!X81/100)*'Tariffs Jul2018'!AJ81))</f>
        <v>0</v>
      </c>
      <c r="N87" s="59">
        <f>IF(($C$5*'Tariffs Jul2018'!AL81/'Tariffs Jul2018'!AJ81&gt;'Tariffs Jul2018'!M81),($C$5*'Tariffs Jul2018'!AL81/'Tariffs Jul2018'!AJ81-'Tariffs Jul2018'!M81)*'Tariffs Jul2018'!Y81/100*'Tariffs Jul2018'!AJ81,0)</f>
        <v>0</v>
      </c>
      <c r="O87" s="271">
        <f t="shared" si="0"/>
        <v>1259.8739999999998</v>
      </c>
      <c r="P87" s="59">
        <f t="shared" si="1"/>
        <v>1581.0739999999998</v>
      </c>
      <c r="Q87" s="272">
        <f t="shared" si="2"/>
        <v>1739.1813999999999</v>
      </c>
      <c r="R87" s="40">
        <f>'Tariffs Jul2018'!AM81</f>
        <v>0</v>
      </c>
      <c r="S87" s="40">
        <f>'Tariffs Jul2018'!AN81</f>
        <v>34</v>
      </c>
      <c r="T87" s="40">
        <f>'Tariffs Jul2018'!AO81</f>
        <v>0</v>
      </c>
      <c r="U87" s="40">
        <f>'Tariffs Jul2018'!AP81</f>
        <v>0</v>
      </c>
      <c r="V87" s="273">
        <f>P87-(O87*S87/100)</f>
        <v>1152.71684</v>
      </c>
      <c r="W87" s="273">
        <f>V87-(O87*U87/100)</f>
        <v>1152.71684</v>
      </c>
      <c r="X87" s="272">
        <f t="shared" si="4"/>
        <v>1267.9885240000001</v>
      </c>
      <c r="Y87" s="272">
        <f t="shared" si="4"/>
        <v>1267.9885240000001</v>
      </c>
      <c r="Z87" s="274">
        <f>'Tariffs Jul2018'!AY81</f>
        <v>0</v>
      </c>
      <c r="AA87" s="274" t="str">
        <f>'Tariffs Jul2018'!AZ81</f>
        <v>n</v>
      </c>
      <c r="AB87" s="275" t="str">
        <f>'Tariffs Jul2018'!BG81</f>
        <v>N</v>
      </c>
      <c r="AC87" s="351"/>
      <c r="AD87" s="351"/>
      <c r="AE87" s="351"/>
      <c r="AF87" s="351"/>
      <c r="AG87" s="351"/>
      <c r="AH87" s="351"/>
      <c r="AI87" s="351"/>
      <c r="AJ87" s="351"/>
      <c r="AK87" s="351"/>
      <c r="AL87" s="351"/>
      <c r="AM87" s="351"/>
      <c r="AN87" s="351"/>
    </row>
    <row r="88" spans="1:40" x14ac:dyDescent="0.15">
      <c r="A88" s="40" t="str">
        <f>'Tariffs Jul2018'!F82</f>
        <v>Lumo Energy</v>
      </c>
      <c r="B88" s="40" t="str">
        <f>'Tariffs Jul2018'!D82</f>
        <v>Ausnet West</v>
      </c>
      <c r="C88" s="40" t="str">
        <f>'Tariffs Jul2018'!G82</f>
        <v>Advantage</v>
      </c>
      <c r="D88" s="59">
        <f>365*'Tariffs Jul2018'!H82/100</f>
        <v>288.35000000000002</v>
      </c>
      <c r="E88" s="59">
        <f>IF($C$5*'Tariffs Jul2018'!AK82/'Tariffs Jul2018'!AI82&gt;='Tariffs Jul2018'!J82,( 'Tariffs Jul2018'!J82*'Tariffs Jul2018'!O82/100)* 'Tariffs Jul2018'!AI82,($C$5*'Tariffs Jul2018'!AK82/'Tariffs Jul2018'!AI82*'Tariffs Jul2018'!O82/100)* 'Tariffs Jul2018'!AI82)</f>
        <v>245.99999999999997</v>
      </c>
      <c r="F88" s="59">
        <f>IF($C$5*'Tariffs Jul2018'!AK82/'Tariffs Jul2018'!AI82&lt;'Tariffs Jul2018'!J82,0,IF($C$5*'Tariffs Jul2018'!AK82/'Tariffs Jul2018'!AI82&lt;='Tariffs Jul2018'!K82,($C$5*'Tariffs Jul2018'!AK82/'Tariffs Jul2018'!AI82-'Tariffs Jul2018'!J82)*('Tariffs Jul2018'!P82/100)*'Tariffs Jul2018'!AI82,('Tariffs Jul2018'!K82-'Tariffs Jul2018'!J82)*('Tariffs Jul2018'!P82/100)*'Tariffs Jul2018'!AI82))</f>
        <v>179.95799999999997</v>
      </c>
      <c r="G88" s="59">
        <f>IF($C$5*'Tariffs Jul2018'!AK82/'Tariffs Jul2018'!AI82&lt;'Tariffs Jul2018'!K82,0,IF($C$5*'Tariffs Jul2018'!AK82/'Tariffs Jul2018'!AI82&lt;='Tariffs Jul2018'!L82,($C$5*'Tariffs Jul2018'!AK82/'Tariffs Jul2018'!AI82-'Tariffs Jul2018'!K82)*('Tariffs Jul2018'!Q82/100)*'Tariffs Jul2018'!AI82,('Tariffs Jul2018'!L82-'Tariffs Jul2018'!K82)*('Tariffs Jul2018'!Q82/100)*'Tariffs Jul2018'!AI82))</f>
        <v>0</v>
      </c>
      <c r="H88" s="59">
        <f>IF($C$5*'Tariffs Jul2018'!AK82/'Tariffs Jul2018'!AI82&lt;'Tariffs Jul2018'!L82,0,IF($C$5*'Tariffs Jul2018'!AK82/'Tariffs Jul2018'!AI82&lt;='Tariffs Jul2018'!M82,($C$5*'Tariffs Jul2018'!AK82/'Tariffs Jul2018'!AI82-'Tariffs Jul2018'!L82)*('Tariffs Jul2018'!R82/100)*'Tariffs Jul2018'!AI82,('Tariffs Jul2018'!M82-'Tariffs Jul2018'!L82)*('Tariffs Jul2018'!R82/100)*'Tariffs Jul2018'!AI82))</f>
        <v>0</v>
      </c>
      <c r="I88" s="59">
        <f>IF(($C$5*'Tariffs Jul2018'!AK82/'Tariffs Jul2018'!AI82&gt;'Tariffs Jul2018'!M82),($C$5*'Tariffs Jul2018'!AK82/'Tariffs Jul2018'!AI82-'Tariffs Jul2018'!M82)*'Tariffs Jul2018'!S82/100*'Tariffs Jul2018'!AI82,0)</f>
        <v>0</v>
      </c>
      <c r="J88" s="59">
        <f>IF($C$5*'Tariffs Jul2018'!AL82/'Tariffs Jul2018'!AJ82&gt;='Tariffs Jul2018'!J82,('Tariffs Jul2018'!J82*'Tariffs Jul2018'!U82/100)* 'Tariffs Jul2018'!AJ82,($C$5*'Tariffs Jul2018'!AL82/'Tariffs Jul2018'!AJ82*'Tariffs Jul2018'!U82/100)* 'Tariffs Jul2018'!AJ82)</f>
        <v>427.2</v>
      </c>
      <c r="K88" s="59">
        <f>IF($C$5*'Tariffs Jul2018'!AL82/'Tariffs Jul2018'!AJ82&lt;'Tariffs Jul2018'!J82,0,IF($C$5*'Tariffs Jul2018'!AL82/'Tariffs Jul2018'!AJ82&lt;='Tariffs Jul2018'!K82,($C$5*'Tariffs Jul2018'!AL82/'Tariffs Jul2018'!AJ82-'Tariffs Jul2018'!J82)*('Tariffs Jul2018'!V82/100)*'Tariffs Jul2018'!AJ82,('Tariffs Jul2018'!K82-'Tariffs Jul2018'!J82)*('Tariffs Jul2018'!V82/100)*'Tariffs Jul2018'!AJ82))</f>
        <v>314.92649999999998</v>
      </c>
      <c r="L88" s="59">
        <f>IF($C$5*'Tariffs Jul2018'!AL82/'Tariffs Jul2018'!AJ82&lt;'Tariffs Jul2018'!K82,0,IF($C$5*'Tariffs Jul2018'!AL82/'Tariffs Jul2018'!AJ82&lt;='Tariffs Jul2018'!L82,($C$5*'Tariffs Jul2018'!AL82/'Tariffs Jul2018'!AJ82-'Tariffs Jul2018'!K82)*('Tariffs Jul2018'!W82/100)*'Tariffs Jul2018'!AJ82,('Tariffs Jul2018'!L82-'Tariffs Jul2018'!K82)*('Tariffs Jul2018'!W82/100)*'Tariffs Jul2018'!AJ82))</f>
        <v>0</v>
      </c>
      <c r="M88" s="59">
        <f>IF($C$5*'Tariffs Jul2018'!AL82/'Tariffs Jul2018'!AJ82&lt;'Tariffs Jul2018'!L82,0,IF($C$5*'Tariffs Jul2018'!AL82/'Tariffs Jul2018'!AJ82&lt;='Tariffs Jul2018'!M82,($C$5*'Tariffs Jul2018'!AL82/'Tariffs Jul2018'!AJ82-'Tariffs Jul2018'!L82)*('Tariffs Jul2018'!X82/100)*'Tariffs Jul2018'!AJ82,('Tariffs Jul2018'!M82-'Tariffs Jul2018'!L82)*('Tariffs Jul2018'!X82/100)*'Tariffs Jul2018'!AJ82))</f>
        <v>0</v>
      </c>
      <c r="N88" s="59">
        <f>IF(($C$5*'Tariffs Jul2018'!AL82/'Tariffs Jul2018'!AJ82&gt;'Tariffs Jul2018'!M82),($C$5*'Tariffs Jul2018'!AL82/'Tariffs Jul2018'!AJ82-'Tariffs Jul2018'!M82)*'Tariffs Jul2018'!Y82/100*'Tariffs Jul2018'!AJ82,0)</f>
        <v>0</v>
      </c>
      <c r="O88" s="271">
        <f t="shared" si="0"/>
        <v>1168.0844999999999</v>
      </c>
      <c r="P88" s="59">
        <f t="shared" si="1"/>
        <v>1456.4344999999998</v>
      </c>
      <c r="Q88" s="272">
        <f t="shared" si="2"/>
        <v>1602.0779499999999</v>
      </c>
      <c r="R88" s="40">
        <f>'Tariffs Jul2018'!AM82</f>
        <v>0</v>
      </c>
      <c r="S88" s="40">
        <f>'Tariffs Jul2018'!AN82</f>
        <v>0</v>
      </c>
      <c r="T88" s="40">
        <f>'Tariffs Jul2018'!AO82</f>
        <v>15</v>
      </c>
      <c r="U88" s="40">
        <f>'Tariffs Jul2018'!AP82</f>
        <v>0</v>
      </c>
      <c r="V88" s="273">
        <f t="shared" ref="V88:V96" si="10">P88</f>
        <v>1456.4344999999998</v>
      </c>
      <c r="W88" s="273">
        <f>V88-(P88*T88/100)</f>
        <v>1237.9693249999998</v>
      </c>
      <c r="X88" s="272">
        <f t="shared" si="4"/>
        <v>1602.0779499999999</v>
      </c>
      <c r="Y88" s="272">
        <f t="shared" si="4"/>
        <v>1361.7662574999999</v>
      </c>
      <c r="Z88" s="274">
        <f>'Tariffs Jul2018'!AY82</f>
        <v>0</v>
      </c>
      <c r="AA88" s="274" t="str">
        <f>'Tariffs Jul2018'!AZ82</f>
        <v>n</v>
      </c>
      <c r="AB88" s="275" t="str">
        <f>'Tariffs Jul2018'!BG82</f>
        <v>N</v>
      </c>
      <c r="AC88" s="351"/>
      <c r="AD88" s="351"/>
      <c r="AE88" s="351"/>
      <c r="AF88" s="351"/>
      <c r="AG88" s="351"/>
      <c r="AH88" s="351"/>
      <c r="AI88" s="351"/>
      <c r="AJ88" s="351"/>
      <c r="AK88" s="351"/>
      <c r="AL88" s="351"/>
      <c r="AM88" s="351"/>
      <c r="AN88" s="351"/>
    </row>
    <row r="89" spans="1:40" x14ac:dyDescent="0.15">
      <c r="A89" s="40" t="str">
        <f>'Tariffs Jul2018'!F83</f>
        <v>Momentum Energy</v>
      </c>
      <c r="B89" s="40" t="str">
        <f>'Tariffs Jul2018'!D83</f>
        <v>Ausnet West</v>
      </c>
      <c r="C89" s="40" t="str">
        <f>'Tariffs Jul2018'!G83</f>
        <v>Market offer</v>
      </c>
      <c r="D89" s="59">
        <f>365*'Tariffs Jul2018'!H83/100</f>
        <v>300.10300000000001</v>
      </c>
      <c r="E89" s="59">
        <f>IF($C$5*'Tariffs Jul2018'!AK83/'Tariffs Jul2018'!AI83&gt;='Tariffs Jul2018'!J83,( 'Tariffs Jul2018'!J83*'Tariffs Jul2018'!O83/100)* 'Tariffs Jul2018'!AI83,($C$5*'Tariffs Jul2018'!AK83/'Tariffs Jul2018'!AI83*'Tariffs Jul2018'!O83/100)* 'Tariffs Jul2018'!AI83)</f>
        <v>207.6</v>
      </c>
      <c r="F89" s="59">
        <f>IF($C$5*'Tariffs Jul2018'!AK83/'Tariffs Jul2018'!AI83&lt;'Tariffs Jul2018'!J83,0,IF($C$5*'Tariffs Jul2018'!AK83/'Tariffs Jul2018'!AI83&lt;='Tariffs Jul2018'!K83,($C$5*'Tariffs Jul2018'!AK83/'Tariffs Jul2018'!AI83-'Tariffs Jul2018'!J83)*('Tariffs Jul2018'!P83/100)*'Tariffs Jul2018'!AI83,('Tariffs Jul2018'!K83-'Tariffs Jul2018'!J83)*('Tariffs Jul2018'!P83/100)*'Tariffs Jul2018'!AI83))</f>
        <v>146.66576999999995</v>
      </c>
      <c r="G89" s="59">
        <f>IF($C$5*'Tariffs Jul2018'!AK83/'Tariffs Jul2018'!AI83&lt;'Tariffs Jul2018'!K83,0,IF($C$5*'Tariffs Jul2018'!AK83/'Tariffs Jul2018'!AI83&lt;='Tariffs Jul2018'!L83,($C$5*'Tariffs Jul2018'!AK83/'Tariffs Jul2018'!AI83-'Tariffs Jul2018'!K83)*('Tariffs Jul2018'!Q83/100)*'Tariffs Jul2018'!AI83,('Tariffs Jul2018'!L83-'Tariffs Jul2018'!K83)*('Tariffs Jul2018'!Q83/100)*'Tariffs Jul2018'!AI83))</f>
        <v>0</v>
      </c>
      <c r="H89" s="59">
        <f>IF($C$5*'Tariffs Jul2018'!AK83/'Tariffs Jul2018'!AI83&lt;'Tariffs Jul2018'!L83,0,IF($C$5*'Tariffs Jul2018'!AK83/'Tariffs Jul2018'!AI83&lt;='Tariffs Jul2018'!M83,($C$5*'Tariffs Jul2018'!AK83/'Tariffs Jul2018'!AI83-'Tariffs Jul2018'!L83)*('Tariffs Jul2018'!R83/100)*'Tariffs Jul2018'!AI83,('Tariffs Jul2018'!M83-'Tariffs Jul2018'!L83)*('Tariffs Jul2018'!R83/100)*'Tariffs Jul2018'!AI83))</f>
        <v>0</v>
      </c>
      <c r="I89" s="59">
        <f>IF(($C$5*'Tariffs Jul2018'!AK83/'Tariffs Jul2018'!AI83&gt;'Tariffs Jul2018'!M83),($C$5*'Tariffs Jul2018'!AK83/'Tariffs Jul2018'!AI83-'Tariffs Jul2018'!M83)*'Tariffs Jul2018'!S83/100*'Tariffs Jul2018'!AI83,0)</f>
        <v>0</v>
      </c>
      <c r="J89" s="59">
        <f>IF($C$5*'Tariffs Jul2018'!AL83/'Tariffs Jul2018'!AJ83&gt;='Tariffs Jul2018'!J83,('Tariffs Jul2018'!J83*'Tariffs Jul2018'!U83/100)* 'Tariffs Jul2018'!AJ83,($C$5*'Tariffs Jul2018'!AL83/'Tariffs Jul2018'!AJ83*'Tariffs Jul2018'!U83/100)* 'Tariffs Jul2018'!AJ83)</f>
        <v>345.6</v>
      </c>
      <c r="K89" s="59">
        <f>IF($C$5*'Tariffs Jul2018'!AL83/'Tariffs Jul2018'!AJ83&lt;'Tariffs Jul2018'!J83,0,IF($C$5*'Tariffs Jul2018'!AL83/'Tariffs Jul2018'!AJ83&lt;='Tariffs Jul2018'!K83,($C$5*'Tariffs Jul2018'!AL83/'Tariffs Jul2018'!AJ83-'Tariffs Jul2018'!J83)*('Tariffs Jul2018'!V83/100)*'Tariffs Jul2018'!AJ83,('Tariffs Jul2018'!K83-'Tariffs Jul2018'!J83)*('Tariffs Jul2018'!V83/100)*'Tariffs Jul2018'!AJ83))</f>
        <v>257.33993999999996</v>
      </c>
      <c r="L89" s="59">
        <f>IF($C$5*'Tariffs Jul2018'!AL83/'Tariffs Jul2018'!AJ83&lt;'Tariffs Jul2018'!K83,0,IF($C$5*'Tariffs Jul2018'!AL83/'Tariffs Jul2018'!AJ83&lt;='Tariffs Jul2018'!L83,($C$5*'Tariffs Jul2018'!AL83/'Tariffs Jul2018'!AJ83-'Tariffs Jul2018'!K83)*('Tariffs Jul2018'!W83/100)*'Tariffs Jul2018'!AJ83,('Tariffs Jul2018'!L83-'Tariffs Jul2018'!K83)*('Tariffs Jul2018'!W83/100)*'Tariffs Jul2018'!AJ83))</f>
        <v>0</v>
      </c>
      <c r="M89" s="59">
        <f>IF($C$5*'Tariffs Jul2018'!AL83/'Tariffs Jul2018'!AJ83&lt;'Tariffs Jul2018'!L83,0,IF($C$5*'Tariffs Jul2018'!AL83/'Tariffs Jul2018'!AJ83&lt;='Tariffs Jul2018'!M83,($C$5*'Tariffs Jul2018'!AL83/'Tariffs Jul2018'!AJ83-'Tariffs Jul2018'!L83)*('Tariffs Jul2018'!X83/100)*'Tariffs Jul2018'!AJ83,('Tariffs Jul2018'!M83-'Tariffs Jul2018'!L83)*('Tariffs Jul2018'!X83/100)*'Tariffs Jul2018'!AJ83))</f>
        <v>0</v>
      </c>
      <c r="N89" s="59">
        <f>IF(($C$5*'Tariffs Jul2018'!AL83/'Tariffs Jul2018'!AJ83&gt;'Tariffs Jul2018'!M83),($C$5*'Tariffs Jul2018'!AL83/'Tariffs Jul2018'!AJ83-'Tariffs Jul2018'!M83)*'Tariffs Jul2018'!Y83/100*'Tariffs Jul2018'!AJ83,0)</f>
        <v>0</v>
      </c>
      <c r="O89" s="271">
        <f t="shared" si="0"/>
        <v>957.20570999999995</v>
      </c>
      <c r="P89" s="59">
        <f t="shared" si="1"/>
        <v>1257.30871</v>
      </c>
      <c r="Q89" s="272">
        <f t="shared" si="2"/>
        <v>1383.0395810000002</v>
      </c>
      <c r="R89" s="40">
        <f>'Tariffs Jul2018'!AM83</f>
        <v>0</v>
      </c>
      <c r="S89" s="40">
        <f>'Tariffs Jul2018'!AN83</f>
        <v>0</v>
      </c>
      <c r="T89" s="40">
        <f>'Tariffs Jul2018'!AO83</f>
        <v>0</v>
      </c>
      <c r="U89" s="40">
        <f>'Tariffs Jul2018'!AP83</f>
        <v>0</v>
      </c>
      <c r="V89" s="273">
        <f t="shared" si="10"/>
        <v>1257.30871</v>
      </c>
      <c r="W89" s="273">
        <f>V89</f>
        <v>1257.30871</v>
      </c>
      <c r="X89" s="272">
        <f t="shared" si="4"/>
        <v>1383.0395810000002</v>
      </c>
      <c r="Y89" s="272">
        <f t="shared" si="4"/>
        <v>1383.0395810000002</v>
      </c>
      <c r="Z89" s="274">
        <f>'Tariffs Jul2018'!AY83</f>
        <v>0</v>
      </c>
      <c r="AA89" s="274" t="str">
        <f>'Tariffs Jul2018'!AZ83</f>
        <v>n</v>
      </c>
      <c r="AB89" s="275" t="str">
        <f>'Tariffs Jul2018'!BG83</f>
        <v>Y</v>
      </c>
      <c r="AC89" s="351"/>
      <c r="AD89" s="351"/>
      <c r="AE89" s="351"/>
      <c r="AF89" s="351"/>
      <c r="AG89" s="351"/>
      <c r="AH89" s="351"/>
      <c r="AI89" s="351"/>
      <c r="AJ89" s="351"/>
      <c r="AK89" s="351"/>
      <c r="AL89" s="351"/>
      <c r="AM89" s="351"/>
      <c r="AN89" s="351"/>
    </row>
    <row r="90" spans="1:40" x14ac:dyDescent="0.15">
      <c r="A90" s="40" t="str">
        <f>'Tariffs Jul2018'!F84</f>
        <v>Origin Energy</v>
      </c>
      <c r="B90" s="40" t="str">
        <f>'Tariffs Jul2018'!D84</f>
        <v>Ausnet West</v>
      </c>
      <c r="C90" s="40" t="str">
        <f>'Tariffs Jul2018'!G84</f>
        <v>Saver</v>
      </c>
      <c r="D90" s="59">
        <f>365*'Tariffs Jul2018'!H84/100</f>
        <v>288.35000000000002</v>
      </c>
      <c r="E90" s="59">
        <f>IF($C$5*'Tariffs Jul2018'!AK84/'Tariffs Jul2018'!AI84&gt;='Tariffs Jul2018'!J84,( 'Tariffs Jul2018'!J84*'Tariffs Jul2018'!O84/100)* 'Tariffs Jul2018'!AI84,($C$5*'Tariffs Jul2018'!AK84/'Tariffs Jul2018'!AI84*'Tariffs Jul2018'!O84/100)* 'Tariffs Jul2018'!AI84)</f>
        <v>153.6</v>
      </c>
      <c r="F90" s="59">
        <f>IF($C$5*'Tariffs Jul2018'!AK84/'Tariffs Jul2018'!AI84&lt;'Tariffs Jul2018'!J84,0,IF($C$5*'Tariffs Jul2018'!AK84/'Tariffs Jul2018'!AI84&lt;='Tariffs Jul2018'!K84,($C$5*'Tariffs Jul2018'!AK84/'Tariffs Jul2018'!AI84-'Tariffs Jul2018'!J84)*('Tariffs Jul2018'!P84/100)*'Tariffs Jul2018'!AI84,('Tariffs Jul2018'!K84-'Tariffs Jul2018'!J84)*('Tariffs Jul2018'!P84/100)*'Tariffs Jul2018'!AI84))</f>
        <v>0</v>
      </c>
      <c r="G90" s="59">
        <f>IF($C$5*'Tariffs Jul2018'!AK84/'Tariffs Jul2018'!AI84&lt;'Tariffs Jul2018'!K84,0,IF($C$5*'Tariffs Jul2018'!AK84/'Tariffs Jul2018'!AI84&lt;='Tariffs Jul2018'!L84,($C$5*'Tariffs Jul2018'!AK84/'Tariffs Jul2018'!AI84-'Tariffs Jul2018'!K84)*('Tariffs Jul2018'!Q84/100)*'Tariffs Jul2018'!AI84,('Tariffs Jul2018'!L84-'Tariffs Jul2018'!K84)*('Tariffs Jul2018'!Q84/100)*'Tariffs Jul2018'!AI84))</f>
        <v>0</v>
      </c>
      <c r="H90" s="59">
        <f>IF($C$5*'Tariffs Jul2018'!AK84/'Tariffs Jul2018'!AI84&lt;'Tariffs Jul2018'!L84,0,IF($C$5*'Tariffs Jul2018'!AK84/'Tariffs Jul2018'!AI84&lt;='Tariffs Jul2018'!M84,($C$5*'Tariffs Jul2018'!AK84/'Tariffs Jul2018'!AI84-'Tariffs Jul2018'!L84)*('Tariffs Jul2018'!R84/100)*'Tariffs Jul2018'!AI84,('Tariffs Jul2018'!M84-'Tariffs Jul2018'!L84)*('Tariffs Jul2018'!R84/100)*'Tariffs Jul2018'!AI84))</f>
        <v>0</v>
      </c>
      <c r="I90" s="59">
        <f>IF(($C$5*'Tariffs Jul2018'!AK84/'Tariffs Jul2018'!AI84&gt;'Tariffs Jul2018'!M84),($C$5*'Tariffs Jul2018'!AK84/'Tariffs Jul2018'!AI84-'Tariffs Jul2018'!M84)*'Tariffs Jul2018'!S84/100*'Tariffs Jul2018'!AI84,0)</f>
        <v>306.55589999999995</v>
      </c>
      <c r="J90" s="59">
        <f>IF($C$5*'Tariffs Jul2018'!AL84/'Tariffs Jul2018'!AJ84&gt;='Tariffs Jul2018'!J84,('Tariffs Jul2018'!J84*'Tariffs Jul2018'!U84/100)* 'Tariffs Jul2018'!AJ84,($C$5*'Tariffs Jul2018'!AL84/'Tariffs Jul2018'!AJ84*'Tariffs Jul2018'!U84/100)* 'Tariffs Jul2018'!AJ84)</f>
        <v>224</v>
      </c>
      <c r="K90" s="59">
        <f>IF($C$5*'Tariffs Jul2018'!AL84/'Tariffs Jul2018'!AJ84&lt;'Tariffs Jul2018'!J84,0,IF($C$5*'Tariffs Jul2018'!AL84/'Tariffs Jul2018'!AJ84&lt;='Tariffs Jul2018'!K84,($C$5*'Tariffs Jul2018'!AL84/'Tariffs Jul2018'!AJ84-'Tariffs Jul2018'!J84)*('Tariffs Jul2018'!V84/100)*'Tariffs Jul2018'!AJ84,('Tariffs Jul2018'!K84-'Tariffs Jul2018'!J84)*('Tariffs Jul2018'!V84/100)*'Tariffs Jul2018'!AJ84))</f>
        <v>0</v>
      </c>
      <c r="L90" s="59">
        <f>IF($C$5*'Tariffs Jul2018'!AL84/'Tariffs Jul2018'!AJ84&lt;'Tariffs Jul2018'!K84,0,IF($C$5*'Tariffs Jul2018'!AL84/'Tariffs Jul2018'!AJ84&lt;='Tariffs Jul2018'!L84,($C$5*'Tariffs Jul2018'!AL84/'Tariffs Jul2018'!AJ84-'Tariffs Jul2018'!K84)*('Tariffs Jul2018'!W84/100)*'Tariffs Jul2018'!AJ84,('Tariffs Jul2018'!L84-'Tariffs Jul2018'!K84)*('Tariffs Jul2018'!W84/100)*'Tariffs Jul2018'!AJ84))</f>
        <v>0</v>
      </c>
      <c r="M90" s="59">
        <f>IF($C$5*'Tariffs Jul2018'!AL84/'Tariffs Jul2018'!AJ84&lt;'Tariffs Jul2018'!L84,0,IF($C$5*'Tariffs Jul2018'!AL84/'Tariffs Jul2018'!AJ84&lt;='Tariffs Jul2018'!M84,($C$5*'Tariffs Jul2018'!AL84/'Tariffs Jul2018'!AJ84-'Tariffs Jul2018'!L84)*('Tariffs Jul2018'!X84/100)*'Tariffs Jul2018'!AJ84,('Tariffs Jul2018'!M84-'Tariffs Jul2018'!L84)*('Tariffs Jul2018'!X84/100)*'Tariffs Jul2018'!AJ84))</f>
        <v>0</v>
      </c>
      <c r="N90" s="59">
        <f>IF(($C$5*'Tariffs Jul2018'!AL84/'Tariffs Jul2018'!AJ84&gt;'Tariffs Jul2018'!M84),($C$5*'Tariffs Jul2018'!AL84/'Tariffs Jul2018'!AJ84-'Tariffs Jul2018'!M84)*'Tariffs Jul2018'!Y84/100*'Tariffs Jul2018'!AJ84,0)</f>
        <v>467.13279999999997</v>
      </c>
      <c r="O90" s="271">
        <f t="shared" si="0"/>
        <v>1151.2887000000001</v>
      </c>
      <c r="P90" s="59">
        <f t="shared" si="1"/>
        <v>1439.6387</v>
      </c>
      <c r="Q90" s="272">
        <f t="shared" si="2"/>
        <v>1583.60257</v>
      </c>
      <c r="R90" s="40">
        <f>'Tariffs Jul2018'!AM84</f>
        <v>0</v>
      </c>
      <c r="S90" s="40">
        <f>'Tariffs Jul2018'!AN84</f>
        <v>0</v>
      </c>
      <c r="T90" s="40">
        <f>'Tariffs Jul2018'!AO84</f>
        <v>0</v>
      </c>
      <c r="U90" s="40">
        <f>'Tariffs Jul2018'!AP84</f>
        <v>13</v>
      </c>
      <c r="V90" s="273">
        <f t="shared" si="10"/>
        <v>1439.6387</v>
      </c>
      <c r="W90" s="273">
        <f>V90-(O90*U90/100)</f>
        <v>1289.9711689999999</v>
      </c>
      <c r="X90" s="272">
        <f t="shared" si="4"/>
        <v>1583.60257</v>
      </c>
      <c r="Y90" s="272">
        <f t="shared" si="4"/>
        <v>1418.9682859</v>
      </c>
      <c r="Z90" s="274">
        <f>'Tariffs Jul2018'!AY84</f>
        <v>0</v>
      </c>
      <c r="AA90" s="274" t="str">
        <f>'Tariffs Jul2018'!AZ84</f>
        <v>n</v>
      </c>
      <c r="AB90" s="275" t="str">
        <f>'Tariffs Jul2018'!BG84</f>
        <v>N</v>
      </c>
      <c r="AC90" s="351"/>
      <c r="AD90" s="351"/>
      <c r="AE90" s="351"/>
      <c r="AF90" s="351"/>
      <c r="AG90" s="351"/>
      <c r="AH90" s="351"/>
      <c r="AI90" s="351"/>
      <c r="AJ90" s="351"/>
      <c r="AK90" s="351"/>
      <c r="AL90" s="351"/>
      <c r="AM90" s="351"/>
      <c r="AN90" s="351"/>
    </row>
    <row r="91" spans="1:40" x14ac:dyDescent="0.15">
      <c r="A91" s="40" t="str">
        <f>'Tariffs Jul2018'!F85</f>
        <v>Red Energy</v>
      </c>
      <c r="B91" s="40" t="str">
        <f>'Tariffs Jul2018'!D85</f>
        <v>Ausnet West</v>
      </c>
      <c r="C91" s="40" t="str">
        <f>'Tariffs Jul2018'!G85</f>
        <v>Easy Saver</v>
      </c>
      <c r="D91" s="59">
        <f>365*'Tariffs Jul2018'!H85/100</f>
        <v>292</v>
      </c>
      <c r="E91" s="59">
        <f>IF($C$5*'Tariffs Jul2018'!AK85/'Tariffs Jul2018'!AI85&gt;='Tariffs Jul2018'!J85,( 'Tariffs Jul2018'!J85*'Tariffs Jul2018'!O85/100)* 'Tariffs Jul2018'!AI85,($C$5*'Tariffs Jul2018'!AK85/'Tariffs Jul2018'!AI85*'Tariffs Jul2018'!O85/100)* 'Tariffs Jul2018'!AI85)</f>
        <v>131.19999999999999</v>
      </c>
      <c r="F91" s="59">
        <f>IF($C$5*'Tariffs Jul2018'!AK85/'Tariffs Jul2018'!AI85&lt;'Tariffs Jul2018'!J85,0,IF($C$5*'Tariffs Jul2018'!AK85/'Tariffs Jul2018'!AI85&lt;='Tariffs Jul2018'!K85,($C$5*'Tariffs Jul2018'!AK85/'Tariffs Jul2018'!AI85-'Tariffs Jul2018'!J85)*('Tariffs Jul2018'!P85/100)*'Tariffs Jul2018'!AI85,('Tariffs Jul2018'!K85-'Tariffs Jul2018'!J85)*('Tariffs Jul2018'!P85/100)*'Tariffs Jul2018'!AI85))</f>
        <v>0</v>
      </c>
      <c r="G91" s="59">
        <f>IF($C$5*'Tariffs Jul2018'!AK85/'Tariffs Jul2018'!AI85&lt;'Tariffs Jul2018'!K85,0,IF($C$5*'Tariffs Jul2018'!AK85/'Tariffs Jul2018'!AI85&lt;='Tariffs Jul2018'!L85,($C$5*'Tariffs Jul2018'!AK85/'Tariffs Jul2018'!AI85-'Tariffs Jul2018'!K85)*('Tariffs Jul2018'!Q85/100)*'Tariffs Jul2018'!AI85,('Tariffs Jul2018'!L85-'Tariffs Jul2018'!K85)*('Tariffs Jul2018'!Q85/100)*'Tariffs Jul2018'!AI85))</f>
        <v>0</v>
      </c>
      <c r="H91" s="59">
        <f>IF($C$5*'Tariffs Jul2018'!AK85/'Tariffs Jul2018'!AI85&lt;'Tariffs Jul2018'!L85,0,IF($C$5*'Tariffs Jul2018'!AK85/'Tariffs Jul2018'!AI85&lt;='Tariffs Jul2018'!M85,($C$5*'Tariffs Jul2018'!AK85/'Tariffs Jul2018'!AI85-'Tariffs Jul2018'!L85)*('Tariffs Jul2018'!R85/100)*'Tariffs Jul2018'!AI85,('Tariffs Jul2018'!M85-'Tariffs Jul2018'!L85)*('Tariffs Jul2018'!R85/100)*'Tariffs Jul2018'!AI85))</f>
        <v>0</v>
      </c>
      <c r="I91" s="59">
        <f>IF(($C$5*'Tariffs Jul2018'!AK85/'Tariffs Jul2018'!AI85&gt;'Tariffs Jul2018'!M85),($C$5*'Tariffs Jul2018'!AK85/'Tariffs Jul2018'!AI85-'Tariffs Jul2018'!M85)*'Tariffs Jul2018'!S85/100*'Tariffs Jul2018'!AI85,0)</f>
        <v>262.76219999999995</v>
      </c>
      <c r="J91" s="59">
        <f>IF($C$5*'Tariffs Jul2018'!AL85/'Tariffs Jul2018'!AJ85&gt;='Tariffs Jul2018'!J85,('Tariffs Jul2018'!J85*'Tariffs Jul2018'!U85/100)* 'Tariffs Jul2018'!AJ85,($C$5*'Tariffs Jul2018'!AL85/'Tariffs Jul2018'!AJ85*'Tariffs Jul2018'!U85/100)* 'Tariffs Jul2018'!AJ85)</f>
        <v>230.4</v>
      </c>
      <c r="K91" s="59">
        <f>IF($C$5*'Tariffs Jul2018'!AL85/'Tariffs Jul2018'!AJ85&lt;'Tariffs Jul2018'!J85,0,IF($C$5*'Tariffs Jul2018'!AL85/'Tariffs Jul2018'!AJ85&lt;='Tariffs Jul2018'!K85,($C$5*'Tariffs Jul2018'!AL85/'Tariffs Jul2018'!AJ85-'Tariffs Jul2018'!J85)*('Tariffs Jul2018'!V85/100)*'Tariffs Jul2018'!AJ85,('Tariffs Jul2018'!K85-'Tariffs Jul2018'!J85)*('Tariffs Jul2018'!V85/100)*'Tariffs Jul2018'!AJ85))</f>
        <v>0</v>
      </c>
      <c r="L91" s="59">
        <f>IF($C$5*'Tariffs Jul2018'!AL85/'Tariffs Jul2018'!AJ85&lt;'Tariffs Jul2018'!K85,0,IF($C$5*'Tariffs Jul2018'!AL85/'Tariffs Jul2018'!AJ85&lt;='Tariffs Jul2018'!L85,($C$5*'Tariffs Jul2018'!AL85/'Tariffs Jul2018'!AJ85-'Tariffs Jul2018'!K85)*('Tariffs Jul2018'!W85/100)*'Tariffs Jul2018'!AJ85,('Tariffs Jul2018'!L85-'Tariffs Jul2018'!K85)*('Tariffs Jul2018'!W85/100)*'Tariffs Jul2018'!AJ85))</f>
        <v>0</v>
      </c>
      <c r="M91" s="59">
        <f>IF($C$5*'Tariffs Jul2018'!AL85/'Tariffs Jul2018'!AJ85&lt;'Tariffs Jul2018'!L85,0,IF($C$5*'Tariffs Jul2018'!AL85/'Tariffs Jul2018'!AJ85&lt;='Tariffs Jul2018'!M85,($C$5*'Tariffs Jul2018'!AL85/'Tariffs Jul2018'!AJ85-'Tariffs Jul2018'!L85)*('Tariffs Jul2018'!X85/100)*'Tariffs Jul2018'!AJ85,('Tariffs Jul2018'!M85-'Tariffs Jul2018'!L85)*('Tariffs Jul2018'!X85/100)*'Tariffs Jul2018'!AJ85))</f>
        <v>0</v>
      </c>
      <c r="N91" s="59">
        <f>IF(($C$5*'Tariffs Jul2018'!AL85/'Tariffs Jul2018'!AJ85&gt;'Tariffs Jul2018'!M85),($C$5*'Tariffs Jul2018'!AL85/'Tariffs Jul2018'!AJ85-'Tariffs Jul2018'!M85)*'Tariffs Jul2018'!Y85/100*'Tariffs Jul2018'!AJ85,0)</f>
        <v>467.13279999999997</v>
      </c>
      <c r="O91" s="271">
        <f t="shared" si="0"/>
        <v>1091.4949999999999</v>
      </c>
      <c r="P91" s="59">
        <f t="shared" si="1"/>
        <v>1383.4949999999999</v>
      </c>
      <c r="Q91" s="272">
        <f t="shared" si="2"/>
        <v>1521.8444999999999</v>
      </c>
      <c r="R91" s="40">
        <f>'Tariffs Jul2018'!AM85</f>
        <v>0</v>
      </c>
      <c r="S91" s="40">
        <f>'Tariffs Jul2018'!AN85</f>
        <v>0</v>
      </c>
      <c r="T91" s="40">
        <f>'Tariffs Jul2018'!AO85</f>
        <v>10</v>
      </c>
      <c r="U91" s="40">
        <f>'Tariffs Jul2018'!AP85</f>
        <v>0</v>
      </c>
      <c r="V91" s="273">
        <f t="shared" si="10"/>
        <v>1383.4949999999999</v>
      </c>
      <c r="W91" s="273">
        <f>V91-(P91*T91/100)</f>
        <v>1245.1454999999999</v>
      </c>
      <c r="X91" s="272">
        <f t="shared" si="4"/>
        <v>1521.8444999999999</v>
      </c>
      <c r="Y91" s="272">
        <f t="shared" si="4"/>
        <v>1369.66005</v>
      </c>
      <c r="Z91" s="274">
        <f>'Tariffs Jul2018'!AY85</f>
        <v>0</v>
      </c>
      <c r="AA91" s="274" t="str">
        <f>'Tariffs Jul2018'!AZ85</f>
        <v>n</v>
      </c>
      <c r="AB91" s="275" t="str">
        <f>'Tariffs Jul2018'!BG85</f>
        <v>Y</v>
      </c>
      <c r="AC91" s="351"/>
      <c r="AD91" s="351"/>
      <c r="AE91" s="351"/>
      <c r="AF91" s="351"/>
      <c r="AG91" s="351"/>
      <c r="AH91" s="351"/>
      <c r="AI91" s="351"/>
      <c r="AJ91" s="351"/>
      <c r="AK91" s="351"/>
      <c r="AL91" s="351"/>
      <c r="AM91" s="351"/>
      <c r="AN91" s="351"/>
    </row>
    <row r="92" spans="1:40" x14ac:dyDescent="0.15">
      <c r="A92" s="40" t="str">
        <f>'Tariffs Jul2018'!F86</f>
        <v>Simply Energy</v>
      </c>
      <c r="B92" s="40" t="str">
        <f>'Tariffs Jul2018'!D86</f>
        <v>Ausnet West</v>
      </c>
      <c r="C92" s="40" t="str">
        <f>'Tariffs Jul2018'!G86</f>
        <v>Plus</v>
      </c>
      <c r="D92" s="59">
        <f>365*'Tariffs Jul2018'!H86/100</f>
        <v>280.35650000000004</v>
      </c>
      <c r="E92" s="59">
        <f>IF($C$5*'Tariffs Jul2018'!AK86/'Tariffs Jul2018'!AI86&gt;='Tariffs Jul2018'!J86,( 'Tariffs Jul2018'!J86*'Tariffs Jul2018'!O86/100)* 'Tariffs Jul2018'!AI86,($C$5*'Tariffs Jul2018'!AK86/'Tariffs Jul2018'!AI86*'Tariffs Jul2018'!O86/100)* 'Tariffs Jul2018'!AI86)</f>
        <v>308.39999999999998</v>
      </c>
      <c r="F92" s="59">
        <f>IF($C$5*'Tariffs Jul2018'!AK86/'Tariffs Jul2018'!AI86&lt;'Tariffs Jul2018'!J86,0,IF($C$5*'Tariffs Jul2018'!AK86/'Tariffs Jul2018'!AI86&lt;='Tariffs Jul2018'!K86,($C$5*'Tariffs Jul2018'!AK86/'Tariffs Jul2018'!AI86-'Tariffs Jul2018'!J86)*('Tariffs Jul2018'!P86/100)*'Tariffs Jul2018'!AI86,('Tariffs Jul2018'!K86-'Tariffs Jul2018'!J86)*('Tariffs Jul2018'!P86/100)*'Tariffs Jul2018'!AI86))</f>
        <v>227.64686999999995</v>
      </c>
      <c r="G92" s="59">
        <f>IF($C$5*'Tariffs Jul2018'!AK86/'Tariffs Jul2018'!AI86&lt;'Tariffs Jul2018'!K86,0,IF($C$5*'Tariffs Jul2018'!AK86/'Tariffs Jul2018'!AI86&lt;='Tariffs Jul2018'!L86,($C$5*'Tariffs Jul2018'!AK86/'Tariffs Jul2018'!AI86-'Tariffs Jul2018'!K86)*('Tariffs Jul2018'!Q86/100)*'Tariffs Jul2018'!AI86,('Tariffs Jul2018'!L86-'Tariffs Jul2018'!K86)*('Tariffs Jul2018'!Q86/100)*'Tariffs Jul2018'!AI86))</f>
        <v>0</v>
      </c>
      <c r="H92" s="59">
        <f>IF($C$5*'Tariffs Jul2018'!AK86/'Tariffs Jul2018'!AI86&lt;'Tariffs Jul2018'!L86,0,IF($C$5*'Tariffs Jul2018'!AK86/'Tariffs Jul2018'!AI86&lt;='Tariffs Jul2018'!M86,($C$5*'Tariffs Jul2018'!AK86/'Tariffs Jul2018'!AI86-'Tariffs Jul2018'!L86)*('Tariffs Jul2018'!R86/100)*'Tariffs Jul2018'!AI86,('Tariffs Jul2018'!M86-'Tariffs Jul2018'!L86)*('Tariffs Jul2018'!R86/100)*'Tariffs Jul2018'!AI86))</f>
        <v>0</v>
      </c>
      <c r="I92" s="59">
        <f>IF(($C$5*'Tariffs Jul2018'!AK86/'Tariffs Jul2018'!AI86&gt;'Tariffs Jul2018'!M86),($C$5*'Tariffs Jul2018'!AK86/'Tariffs Jul2018'!AI86-'Tariffs Jul2018'!M86)*'Tariffs Jul2018'!S86/100*'Tariffs Jul2018'!AI86,0)</f>
        <v>0</v>
      </c>
      <c r="J92" s="59">
        <f>IF($C$5*'Tariffs Jul2018'!AL86/'Tariffs Jul2018'!AJ86&gt;='Tariffs Jul2018'!J86,('Tariffs Jul2018'!J86*'Tariffs Jul2018'!U86/100)* 'Tariffs Jul2018'!AJ86,($C$5*'Tariffs Jul2018'!AL86/'Tariffs Jul2018'!AJ86*'Tariffs Jul2018'!U86/100)* 'Tariffs Jul2018'!AJ86)</f>
        <v>504</v>
      </c>
      <c r="K92" s="59">
        <f>IF($C$5*'Tariffs Jul2018'!AL86/'Tariffs Jul2018'!AJ86&lt;'Tariffs Jul2018'!J86,0,IF($C$5*'Tariffs Jul2018'!AL86/'Tariffs Jul2018'!AJ86&lt;='Tariffs Jul2018'!K86,($C$5*'Tariffs Jul2018'!AL86/'Tariffs Jul2018'!AJ86-'Tariffs Jul2018'!J86)*('Tariffs Jul2018'!V86/100)*'Tariffs Jul2018'!AJ86,('Tariffs Jul2018'!K86-'Tariffs Jul2018'!J86)*('Tariffs Jul2018'!V86/100)*'Tariffs Jul2018'!AJ86))</f>
        <v>370.71347999999989</v>
      </c>
      <c r="L92" s="59">
        <f>IF($C$5*'Tariffs Jul2018'!AL86/'Tariffs Jul2018'!AJ86&lt;'Tariffs Jul2018'!K86,0,IF($C$5*'Tariffs Jul2018'!AL86/'Tariffs Jul2018'!AJ86&lt;='Tariffs Jul2018'!L86,($C$5*'Tariffs Jul2018'!AL86/'Tariffs Jul2018'!AJ86-'Tariffs Jul2018'!K86)*('Tariffs Jul2018'!W86/100)*'Tariffs Jul2018'!AJ86,('Tariffs Jul2018'!L86-'Tariffs Jul2018'!K86)*('Tariffs Jul2018'!W86/100)*'Tariffs Jul2018'!AJ86))</f>
        <v>0</v>
      </c>
      <c r="M92" s="59">
        <f>IF($C$5*'Tariffs Jul2018'!AL86/'Tariffs Jul2018'!AJ86&lt;'Tariffs Jul2018'!L86,0,IF($C$5*'Tariffs Jul2018'!AL86/'Tariffs Jul2018'!AJ86&lt;='Tariffs Jul2018'!M86,($C$5*'Tariffs Jul2018'!AL86/'Tariffs Jul2018'!AJ86-'Tariffs Jul2018'!L86)*('Tariffs Jul2018'!X86/100)*'Tariffs Jul2018'!AJ86,('Tariffs Jul2018'!M86-'Tariffs Jul2018'!L86)*('Tariffs Jul2018'!X86/100)*'Tariffs Jul2018'!AJ86))</f>
        <v>0</v>
      </c>
      <c r="N92" s="59">
        <f>IF(($C$5*'Tariffs Jul2018'!AL86/'Tariffs Jul2018'!AJ86&gt;'Tariffs Jul2018'!M86),($C$5*'Tariffs Jul2018'!AL86/'Tariffs Jul2018'!AJ86-'Tariffs Jul2018'!M86)*'Tariffs Jul2018'!Y86/100*'Tariffs Jul2018'!AJ86,0)</f>
        <v>0</v>
      </c>
      <c r="O92" s="271">
        <f t="shared" si="0"/>
        <v>1410.7603499999998</v>
      </c>
      <c r="P92" s="59">
        <f t="shared" si="1"/>
        <v>1691.1168499999999</v>
      </c>
      <c r="Q92" s="272">
        <f t="shared" si="2"/>
        <v>1860.228535</v>
      </c>
      <c r="R92" s="40">
        <f>'Tariffs Jul2018'!AM86</f>
        <v>0</v>
      </c>
      <c r="S92" s="40">
        <f>'Tariffs Jul2018'!AN86</f>
        <v>0</v>
      </c>
      <c r="T92" s="40">
        <f>'Tariffs Jul2018'!AO86</f>
        <v>0</v>
      </c>
      <c r="U92" s="40">
        <f>'Tariffs Jul2018'!AP86</f>
        <v>26</v>
      </c>
      <c r="V92" s="273">
        <f t="shared" si="10"/>
        <v>1691.1168499999999</v>
      </c>
      <c r="W92" s="273">
        <f>V92-(O92*U92/100)</f>
        <v>1324.3191589999999</v>
      </c>
      <c r="X92" s="272">
        <f t="shared" si="4"/>
        <v>1860.228535</v>
      </c>
      <c r="Y92" s="272">
        <f t="shared" si="4"/>
        <v>1456.7510749</v>
      </c>
      <c r="Z92" s="274">
        <f>'Tariffs Jul2018'!AY86</f>
        <v>0</v>
      </c>
      <c r="AA92" s="274" t="str">
        <f>'Tariffs Jul2018'!AZ86</f>
        <v>n</v>
      </c>
      <c r="AB92" s="275" t="str">
        <f>'Tariffs Jul2018'!BG86</f>
        <v>Y</v>
      </c>
      <c r="AC92" s="351"/>
      <c r="AD92" s="351"/>
      <c r="AE92" s="351"/>
      <c r="AF92" s="351"/>
      <c r="AG92" s="351"/>
      <c r="AH92" s="351"/>
      <c r="AI92" s="351"/>
      <c r="AJ92" s="351"/>
      <c r="AK92" s="351"/>
      <c r="AL92" s="351"/>
      <c r="AM92" s="351"/>
      <c r="AN92" s="351"/>
    </row>
    <row r="93" spans="1:40" x14ac:dyDescent="0.15">
      <c r="A93" s="40" t="str">
        <f>'Tariffs Jul2018'!F87</f>
        <v>Sumo Power</v>
      </c>
      <c r="B93" s="40" t="str">
        <f>'Tariffs Jul2018'!D87</f>
        <v>Ausnet West</v>
      </c>
      <c r="C93" s="40" t="str">
        <f>'Tariffs Jul2018'!G87</f>
        <v>Pay on time (max discount)</v>
      </c>
      <c r="D93" s="59">
        <f>365*'Tariffs Jul2018'!H87/100</f>
        <v>296.40190000000001</v>
      </c>
      <c r="E93" s="59">
        <f>IF($C$5*'Tariffs Jul2018'!AK87/'Tariffs Jul2018'!AI87&gt;='Tariffs Jul2018'!J87,( 'Tariffs Jul2018'!J87*'Tariffs Jul2018'!O87/100)* 'Tariffs Jul2018'!AI87,($C$5*'Tariffs Jul2018'!AK87/'Tariffs Jul2018'!AI87*'Tariffs Jul2018'!O87/100)* 'Tariffs Jul2018'!AI87)</f>
        <v>269.88</v>
      </c>
      <c r="F93" s="59">
        <f>IF($C$5*'Tariffs Jul2018'!AK87/'Tariffs Jul2018'!AI87&lt;'Tariffs Jul2018'!J87,0,IF($C$5*'Tariffs Jul2018'!AK87/'Tariffs Jul2018'!AI87&lt;='Tariffs Jul2018'!K87,($C$5*'Tariffs Jul2018'!AK87/'Tariffs Jul2018'!AI87-'Tariffs Jul2018'!J87)*('Tariffs Jul2018'!P87/100)*'Tariffs Jul2018'!AI87,('Tariffs Jul2018'!K87-'Tariffs Jul2018'!J87)*('Tariffs Jul2018'!P87/100)*'Tariffs Jul2018'!AI87))</f>
        <v>194.26466099999993</v>
      </c>
      <c r="G93" s="59">
        <f>IF($C$5*'Tariffs Jul2018'!AK87/'Tariffs Jul2018'!AI87&lt;'Tariffs Jul2018'!K87,0,IF($C$5*'Tariffs Jul2018'!AK87/'Tariffs Jul2018'!AI87&lt;='Tariffs Jul2018'!L87,($C$5*'Tariffs Jul2018'!AK87/'Tariffs Jul2018'!AI87-'Tariffs Jul2018'!K87)*('Tariffs Jul2018'!Q87/100)*'Tariffs Jul2018'!AI87,('Tariffs Jul2018'!L87-'Tariffs Jul2018'!K87)*('Tariffs Jul2018'!Q87/100)*'Tariffs Jul2018'!AI87))</f>
        <v>0</v>
      </c>
      <c r="H93" s="59">
        <f>IF($C$5*'Tariffs Jul2018'!AK87/'Tariffs Jul2018'!AI87&lt;'Tariffs Jul2018'!L87,0,IF($C$5*'Tariffs Jul2018'!AK87/'Tariffs Jul2018'!AI87&lt;='Tariffs Jul2018'!M87,($C$5*'Tariffs Jul2018'!AK87/'Tariffs Jul2018'!AI87-'Tariffs Jul2018'!L87)*('Tariffs Jul2018'!R87/100)*'Tariffs Jul2018'!AI87,('Tariffs Jul2018'!M87-'Tariffs Jul2018'!L87)*('Tariffs Jul2018'!R87/100)*'Tariffs Jul2018'!AI87))</f>
        <v>0</v>
      </c>
      <c r="I93" s="59">
        <f>IF(($C$5*'Tariffs Jul2018'!AK87/'Tariffs Jul2018'!AI87&gt;'Tariffs Jul2018'!M87),($C$5*'Tariffs Jul2018'!AK87/'Tariffs Jul2018'!AI87-'Tariffs Jul2018'!M87)*'Tariffs Jul2018'!S87/100*'Tariffs Jul2018'!AI87,0)</f>
        <v>0</v>
      </c>
      <c r="J93" s="59">
        <f>IF($C$5*'Tariffs Jul2018'!AL87/'Tariffs Jul2018'!AJ87&gt;='Tariffs Jul2018'!J87,('Tariffs Jul2018'!J87*'Tariffs Jul2018'!U87/100)* 'Tariffs Jul2018'!AJ87,($C$5*'Tariffs Jul2018'!AL87/'Tariffs Jul2018'!AJ87*'Tariffs Jul2018'!U87/100)* 'Tariffs Jul2018'!AJ87)</f>
        <v>508.32</v>
      </c>
      <c r="K93" s="59">
        <f>IF($C$5*'Tariffs Jul2018'!AL87/'Tariffs Jul2018'!AJ87&lt;'Tariffs Jul2018'!J87,0,IF($C$5*'Tariffs Jul2018'!AL87/'Tariffs Jul2018'!AJ87&lt;='Tariffs Jul2018'!K87,($C$5*'Tariffs Jul2018'!AL87/'Tariffs Jul2018'!AJ87-'Tariffs Jul2018'!J87)*('Tariffs Jul2018'!V87/100)*'Tariffs Jul2018'!AJ87,('Tariffs Jul2018'!K87-'Tariffs Jul2018'!J87)*('Tariffs Jul2018'!V87/100)*'Tariffs Jul2018'!AJ87))</f>
        <v>307.54822199999995</v>
      </c>
      <c r="L93" s="59">
        <f>IF($C$5*'Tariffs Jul2018'!AL87/'Tariffs Jul2018'!AJ87&lt;'Tariffs Jul2018'!K87,0,IF($C$5*'Tariffs Jul2018'!AL87/'Tariffs Jul2018'!AJ87&lt;='Tariffs Jul2018'!L87,($C$5*'Tariffs Jul2018'!AL87/'Tariffs Jul2018'!AJ87-'Tariffs Jul2018'!K87)*('Tariffs Jul2018'!W87/100)*'Tariffs Jul2018'!AJ87,('Tariffs Jul2018'!L87-'Tariffs Jul2018'!K87)*('Tariffs Jul2018'!W87/100)*'Tariffs Jul2018'!AJ87))</f>
        <v>0</v>
      </c>
      <c r="M93" s="59">
        <f>IF($C$5*'Tariffs Jul2018'!AL87/'Tariffs Jul2018'!AJ87&lt;'Tariffs Jul2018'!L87,0,IF($C$5*'Tariffs Jul2018'!AL87/'Tariffs Jul2018'!AJ87&lt;='Tariffs Jul2018'!M87,($C$5*'Tariffs Jul2018'!AL87/'Tariffs Jul2018'!AJ87-'Tariffs Jul2018'!L87)*('Tariffs Jul2018'!X87/100)*'Tariffs Jul2018'!AJ87,('Tariffs Jul2018'!M87-'Tariffs Jul2018'!L87)*('Tariffs Jul2018'!X87/100)*'Tariffs Jul2018'!AJ87))</f>
        <v>0</v>
      </c>
      <c r="N93" s="59">
        <f>IF(($C$5*'Tariffs Jul2018'!AL87/'Tariffs Jul2018'!AJ87&gt;'Tariffs Jul2018'!M87),($C$5*'Tariffs Jul2018'!AL87/'Tariffs Jul2018'!AJ87-'Tariffs Jul2018'!M87)*'Tariffs Jul2018'!Y87/100*'Tariffs Jul2018'!AJ87,0)</f>
        <v>0</v>
      </c>
      <c r="O93" s="271">
        <f t="shared" ref="O93:O124" si="11">SUM(E93:N93)</f>
        <v>1280.0128829999999</v>
      </c>
      <c r="P93" s="59">
        <f t="shared" ref="P93:P124" si="12">D93+O93</f>
        <v>1576.4147829999999</v>
      </c>
      <c r="Q93" s="272">
        <f t="shared" ref="Q93:Q124" si="13">P93*1.1</f>
        <v>1734.0562613000002</v>
      </c>
      <c r="R93" s="40">
        <f>'Tariffs Jul2018'!AM87</f>
        <v>0</v>
      </c>
      <c r="S93" s="40">
        <f>'Tariffs Jul2018'!AN87</f>
        <v>0</v>
      </c>
      <c r="T93" s="40">
        <f>'Tariffs Jul2018'!AO87</f>
        <v>0</v>
      </c>
      <c r="U93" s="40">
        <f>'Tariffs Jul2018'!AP87</f>
        <v>25</v>
      </c>
      <c r="V93" s="273">
        <f t="shared" si="10"/>
        <v>1576.4147829999999</v>
      </c>
      <c r="W93" s="273">
        <f>V93-(O93*U93/100)</f>
        <v>1256.4115622499999</v>
      </c>
      <c r="X93" s="272">
        <f t="shared" ref="X93:Y112" si="14">V93*1.1</f>
        <v>1734.0562613000002</v>
      </c>
      <c r="Y93" s="272">
        <f t="shared" si="14"/>
        <v>1382.0527184749999</v>
      </c>
      <c r="Z93" s="274">
        <f>'Tariffs Jul2018'!AY87</f>
        <v>0</v>
      </c>
      <c r="AA93" s="274" t="str">
        <f>'Tariffs Jul2018'!AZ87</f>
        <v>n</v>
      </c>
      <c r="AB93" s="275" t="str">
        <f>'Tariffs Jul2018'!BG87</f>
        <v>Y</v>
      </c>
      <c r="AC93" s="351"/>
      <c r="AD93" s="351"/>
      <c r="AE93" s="351"/>
      <c r="AF93" s="351"/>
      <c r="AG93" s="351"/>
      <c r="AH93" s="351"/>
      <c r="AI93" s="351"/>
      <c r="AJ93" s="351"/>
      <c r="AK93" s="351"/>
      <c r="AL93" s="351"/>
      <c r="AM93" s="351"/>
      <c r="AN93" s="351"/>
    </row>
    <row r="94" spans="1:40" x14ac:dyDescent="0.15">
      <c r="A94" s="40" t="str">
        <f>'Tariffs Jul2018'!F88</f>
        <v>Amaysim</v>
      </c>
      <c r="B94" s="40" t="str">
        <f>'Tariffs Jul2018'!D88</f>
        <v>Ausnet West</v>
      </c>
      <c r="C94" s="40" t="str">
        <f>'Tariffs Jul2018'!G88</f>
        <v>Gas 4</v>
      </c>
      <c r="D94" s="59">
        <f>365*'Tariffs Jul2018'!H88/100</f>
        <v>353.32</v>
      </c>
      <c r="E94" s="59">
        <f>IF($C$5*'Tariffs Jul2018'!AK88/'Tariffs Jul2018'!AI88&gt;='Tariffs Jul2018'!J88,( 'Tariffs Jul2018'!J88*'Tariffs Jul2018'!O88/100)* 'Tariffs Jul2018'!AI88,($C$5*'Tariffs Jul2018'!AK88/'Tariffs Jul2018'!AI88*'Tariffs Jul2018'!O88/100)* 'Tariffs Jul2018'!AI88)</f>
        <v>366</v>
      </c>
      <c r="F94" s="59">
        <f>IF($C$5*'Tariffs Jul2018'!AK88/'Tariffs Jul2018'!AI88&lt;'Tariffs Jul2018'!J88,0,IF($C$5*'Tariffs Jul2018'!AK88/'Tariffs Jul2018'!AI88&lt;='Tariffs Jul2018'!K88,($C$5*'Tariffs Jul2018'!AK88/'Tariffs Jul2018'!AI88-'Tariffs Jul2018'!J88)*('Tariffs Jul2018'!P88/100)*'Tariffs Jul2018'!AI88,('Tariffs Jul2018'!K88-'Tariffs Jul2018'!J88)*('Tariffs Jul2018'!P88/100)*'Tariffs Jul2018'!AI88))</f>
        <v>260.93909999999994</v>
      </c>
      <c r="G94" s="59">
        <f>IF($C$5*'Tariffs Jul2018'!AK88/'Tariffs Jul2018'!AI88&lt;'Tariffs Jul2018'!K88,0,IF($C$5*'Tariffs Jul2018'!AK88/'Tariffs Jul2018'!AI88&lt;='Tariffs Jul2018'!L88,($C$5*'Tariffs Jul2018'!AK88/'Tariffs Jul2018'!AI88-'Tariffs Jul2018'!K88)*('Tariffs Jul2018'!Q88/100)*'Tariffs Jul2018'!AI88,('Tariffs Jul2018'!L88-'Tariffs Jul2018'!K88)*('Tariffs Jul2018'!Q88/100)*'Tariffs Jul2018'!AI88))</f>
        <v>0</v>
      </c>
      <c r="H94" s="59">
        <f>IF($C$5*'Tariffs Jul2018'!AK88/'Tariffs Jul2018'!AI88&lt;'Tariffs Jul2018'!L88,0,IF($C$5*'Tariffs Jul2018'!AK88/'Tariffs Jul2018'!AI88&lt;='Tariffs Jul2018'!M88,($C$5*'Tariffs Jul2018'!AK88/'Tariffs Jul2018'!AI88-'Tariffs Jul2018'!L88)*('Tariffs Jul2018'!R88/100)*'Tariffs Jul2018'!AI88,('Tariffs Jul2018'!M88-'Tariffs Jul2018'!L88)*('Tariffs Jul2018'!R88/100)*'Tariffs Jul2018'!AI88))</f>
        <v>0</v>
      </c>
      <c r="I94" s="59">
        <f>IF(($C$5*'Tariffs Jul2018'!AK88/'Tariffs Jul2018'!AI88&gt;'Tariffs Jul2018'!M88),($C$5*'Tariffs Jul2018'!AK88/'Tariffs Jul2018'!AI88-'Tariffs Jul2018'!M88)*'Tariffs Jul2018'!S88/100*'Tariffs Jul2018'!AI88,0)</f>
        <v>0</v>
      </c>
      <c r="J94" s="59">
        <f>IF($C$5*'Tariffs Jul2018'!AL88/'Tariffs Jul2018'!AJ88&gt;='Tariffs Jul2018'!J88,('Tariffs Jul2018'!J88*'Tariffs Jul2018'!U88/100)* 'Tariffs Jul2018'!AJ88,($C$5*'Tariffs Jul2018'!AL88/'Tariffs Jul2018'!AJ88*'Tariffs Jul2018'!U88/100)* 'Tariffs Jul2018'!AJ88)</f>
        <v>600</v>
      </c>
      <c r="K94" s="59">
        <f>IF($C$5*'Tariffs Jul2018'!AL88/'Tariffs Jul2018'!AJ88&lt;'Tariffs Jul2018'!J88,0,IF($C$5*'Tariffs Jul2018'!AL88/'Tariffs Jul2018'!AJ88&lt;='Tariffs Jul2018'!K88,($C$5*'Tariffs Jul2018'!AL88/'Tariffs Jul2018'!AJ88-'Tariffs Jul2018'!J88)*('Tariffs Jul2018'!V88/100)*'Tariffs Jul2018'!AJ88,('Tariffs Jul2018'!K88-'Tariffs Jul2018'!J88)*('Tariffs Jul2018'!V88/100)*'Tariffs Jul2018'!AJ88))</f>
        <v>440.89709999999991</v>
      </c>
      <c r="L94" s="59">
        <f>IF($C$5*'Tariffs Jul2018'!AL88/'Tariffs Jul2018'!AJ88&lt;'Tariffs Jul2018'!K88,0,IF($C$5*'Tariffs Jul2018'!AL88/'Tariffs Jul2018'!AJ88&lt;='Tariffs Jul2018'!L88,($C$5*'Tariffs Jul2018'!AL88/'Tariffs Jul2018'!AJ88-'Tariffs Jul2018'!K88)*('Tariffs Jul2018'!W88/100)*'Tariffs Jul2018'!AJ88,('Tariffs Jul2018'!L88-'Tariffs Jul2018'!K88)*('Tariffs Jul2018'!W88/100)*'Tariffs Jul2018'!AJ88))</f>
        <v>0</v>
      </c>
      <c r="M94" s="59">
        <f>IF($C$5*'Tariffs Jul2018'!AL88/'Tariffs Jul2018'!AJ88&lt;'Tariffs Jul2018'!L88,0,IF($C$5*'Tariffs Jul2018'!AL88/'Tariffs Jul2018'!AJ88&lt;='Tariffs Jul2018'!M88,($C$5*'Tariffs Jul2018'!AL88/'Tariffs Jul2018'!AJ88-'Tariffs Jul2018'!L88)*('Tariffs Jul2018'!X88/100)*'Tariffs Jul2018'!AJ88,('Tariffs Jul2018'!M88-'Tariffs Jul2018'!L88)*('Tariffs Jul2018'!X88/100)*'Tariffs Jul2018'!AJ88))</f>
        <v>0</v>
      </c>
      <c r="N94" s="59">
        <f>IF(($C$5*'Tariffs Jul2018'!AL88/'Tariffs Jul2018'!AJ88&gt;'Tariffs Jul2018'!M88),($C$5*'Tariffs Jul2018'!AL88/'Tariffs Jul2018'!AJ88-'Tariffs Jul2018'!M88)*'Tariffs Jul2018'!Y88/100*'Tariffs Jul2018'!AJ88,0)</f>
        <v>0</v>
      </c>
      <c r="O94" s="271">
        <f t="shared" si="11"/>
        <v>1667.8362</v>
      </c>
      <c r="P94" s="59">
        <f t="shared" si="12"/>
        <v>2021.1561999999999</v>
      </c>
      <c r="Q94" s="272">
        <f t="shared" si="13"/>
        <v>2223.2718199999999</v>
      </c>
      <c r="R94" s="40">
        <f>'Tariffs Jul2018'!AM88</f>
        <v>0</v>
      </c>
      <c r="S94" s="40">
        <f>'Tariffs Jul2018'!AN88</f>
        <v>0</v>
      </c>
      <c r="T94" s="40">
        <f>'Tariffs Jul2018'!AO88</f>
        <v>5</v>
      </c>
      <c r="U94" s="40">
        <f>'Tariffs Jul2018'!AP88</f>
        <v>0</v>
      </c>
      <c r="V94" s="273">
        <f t="shared" si="10"/>
        <v>2021.1561999999999</v>
      </c>
      <c r="W94" s="273">
        <f>V94-(P94*T94/100)</f>
        <v>1920.0983899999999</v>
      </c>
      <c r="X94" s="272">
        <f t="shared" si="14"/>
        <v>2223.2718199999999</v>
      </c>
      <c r="Y94" s="272">
        <f t="shared" si="14"/>
        <v>2112.1082289999999</v>
      </c>
      <c r="Z94" s="274">
        <f>'Tariffs Jul2018'!AY88</f>
        <v>0</v>
      </c>
      <c r="AA94" s="274" t="str">
        <f>'Tariffs Jul2018'!AZ88</f>
        <v>n</v>
      </c>
      <c r="AB94" s="275" t="str">
        <f>'Tariffs Jul2018'!BG89</f>
        <v>N</v>
      </c>
      <c r="AC94" s="351"/>
      <c r="AD94" s="351"/>
      <c r="AE94" s="351"/>
      <c r="AF94" s="351"/>
      <c r="AG94" s="351"/>
      <c r="AH94" s="351"/>
      <c r="AI94" s="351"/>
      <c r="AJ94" s="351"/>
      <c r="AK94" s="351"/>
      <c r="AL94" s="351"/>
      <c r="AM94" s="351"/>
      <c r="AN94" s="351"/>
    </row>
    <row r="95" spans="1:40" x14ac:dyDescent="0.15">
      <c r="A95" s="40" t="str">
        <f>'Tariffs Jul2018'!F89</f>
        <v>GloBird</v>
      </c>
      <c r="B95" s="40" t="str">
        <f>'Tariffs Jul2018'!D89</f>
        <v>Ausnet West</v>
      </c>
      <c r="C95" s="40" t="str">
        <f>'Tariffs Jul2018'!G89</f>
        <v>GloSave</v>
      </c>
      <c r="D95" s="59">
        <f>365*'Tariffs Jul2018'!H89/100</f>
        <v>357.7</v>
      </c>
      <c r="E95" s="59">
        <f>IF($C$5*'Tariffs Jul2018'!AK89/'Tariffs Jul2018'!AI89&gt;='Tariffs Jul2018'!J89,( 'Tariffs Jul2018'!J89*'Tariffs Jul2018'!O89/100)* 'Tariffs Jul2018'!AI89,($C$5*'Tariffs Jul2018'!AK89/'Tariffs Jul2018'!AI89*'Tariffs Jul2018'!O89/100)* 'Tariffs Jul2018'!AI89)</f>
        <v>629.93700000000001</v>
      </c>
      <c r="F95" s="59">
        <f>IF($C$5*'Tariffs Jul2018'!AK89/'Tariffs Jul2018'!AI89&lt;'Tariffs Jul2018'!J89,0,IF($C$5*'Tariffs Jul2018'!AK89/'Tariffs Jul2018'!AI89&lt;='Tariffs Jul2018'!K89,($C$5*'Tariffs Jul2018'!AK89/'Tariffs Jul2018'!AI89-'Tariffs Jul2018'!J89)*('Tariffs Jul2018'!P89/100)*'Tariffs Jul2018'!AI89,('Tariffs Jul2018'!K89-'Tariffs Jul2018'!J89)*('Tariffs Jul2018'!P89/100)*'Tariffs Jul2018'!AI89))</f>
        <v>0</v>
      </c>
      <c r="G95" s="59">
        <f>IF($C$5*'Tariffs Jul2018'!AK89/'Tariffs Jul2018'!AI89&lt;'Tariffs Jul2018'!K89,0,IF($C$5*'Tariffs Jul2018'!AK89/'Tariffs Jul2018'!AI89&lt;='Tariffs Jul2018'!L89,($C$5*'Tariffs Jul2018'!AK89/'Tariffs Jul2018'!AI89-'Tariffs Jul2018'!K89)*('Tariffs Jul2018'!Q89/100)*'Tariffs Jul2018'!AI89,('Tariffs Jul2018'!L89-'Tariffs Jul2018'!K89)*('Tariffs Jul2018'!Q89/100)*'Tariffs Jul2018'!AI89))</f>
        <v>0</v>
      </c>
      <c r="H95" s="59">
        <f>IF($C$5*'Tariffs Jul2018'!AK89/'Tariffs Jul2018'!AI89&lt;'Tariffs Jul2018'!L89,0,IF($C$5*'Tariffs Jul2018'!AK89/'Tariffs Jul2018'!AI89&lt;='Tariffs Jul2018'!M89,($C$5*'Tariffs Jul2018'!AK89/'Tariffs Jul2018'!AI89-'Tariffs Jul2018'!L89)*('Tariffs Jul2018'!R89/100)*'Tariffs Jul2018'!AI89,('Tariffs Jul2018'!M89-'Tariffs Jul2018'!L89)*('Tariffs Jul2018'!R89/100)*'Tariffs Jul2018'!AI89))</f>
        <v>0</v>
      </c>
      <c r="I95" s="59">
        <f>IF(($C$5*'Tariffs Jul2018'!AK89/'Tariffs Jul2018'!AI89&gt;'Tariffs Jul2018'!M89),($C$5*'Tariffs Jul2018'!AK89/'Tariffs Jul2018'!AI89-'Tariffs Jul2018'!M89)*'Tariffs Jul2018'!S89/100*'Tariffs Jul2018'!AI89,0)</f>
        <v>0</v>
      </c>
      <c r="J95" s="59">
        <f>IF($C$5*'Tariffs Jul2018'!AL89/'Tariffs Jul2018'!AJ89&gt;='Tariffs Jul2018'!J89,('Tariffs Jul2018'!J89*'Tariffs Jul2018'!U89/100)* 'Tariffs Jul2018'!AJ89,($C$5*'Tariffs Jul2018'!AL89/'Tariffs Jul2018'!AJ89*'Tariffs Jul2018'!U89/100)* 'Tariffs Jul2018'!AJ89)</f>
        <v>797.92019999999991</v>
      </c>
      <c r="K95" s="59">
        <f>IF($C$5*'Tariffs Jul2018'!AL89/'Tariffs Jul2018'!AJ89&lt;'Tariffs Jul2018'!J89,0,IF($C$5*'Tariffs Jul2018'!AL89/'Tariffs Jul2018'!AJ89&lt;='Tariffs Jul2018'!K89,($C$5*'Tariffs Jul2018'!AL89/'Tariffs Jul2018'!AJ89-'Tariffs Jul2018'!J89)*('Tariffs Jul2018'!V89/100)*'Tariffs Jul2018'!AJ89,('Tariffs Jul2018'!K89-'Tariffs Jul2018'!J89)*('Tariffs Jul2018'!V89/100)*'Tariffs Jul2018'!AJ89))</f>
        <v>0</v>
      </c>
      <c r="L95" s="59">
        <f>IF($C$5*'Tariffs Jul2018'!AL89/'Tariffs Jul2018'!AJ89&lt;'Tariffs Jul2018'!K89,0,IF($C$5*'Tariffs Jul2018'!AL89/'Tariffs Jul2018'!AJ89&lt;='Tariffs Jul2018'!L89,($C$5*'Tariffs Jul2018'!AL89/'Tariffs Jul2018'!AJ89-'Tariffs Jul2018'!K89)*('Tariffs Jul2018'!W89/100)*'Tariffs Jul2018'!AJ89,('Tariffs Jul2018'!L89-'Tariffs Jul2018'!K89)*('Tariffs Jul2018'!W89/100)*'Tariffs Jul2018'!AJ89))</f>
        <v>0</v>
      </c>
      <c r="M95" s="59">
        <f>IF($C$5*'Tariffs Jul2018'!AL89/'Tariffs Jul2018'!AJ89&lt;'Tariffs Jul2018'!L89,0,IF($C$5*'Tariffs Jul2018'!AL89/'Tariffs Jul2018'!AJ89&lt;='Tariffs Jul2018'!M89,($C$5*'Tariffs Jul2018'!AL89/'Tariffs Jul2018'!AJ89-'Tariffs Jul2018'!L89)*('Tariffs Jul2018'!X89/100)*'Tariffs Jul2018'!AJ89,('Tariffs Jul2018'!M89-'Tariffs Jul2018'!L89)*('Tariffs Jul2018'!X89/100)*'Tariffs Jul2018'!AJ89))</f>
        <v>0</v>
      </c>
      <c r="N95" s="59">
        <f>IF(($C$5*'Tariffs Jul2018'!AL89/'Tariffs Jul2018'!AJ89&gt;'Tariffs Jul2018'!M89),($C$5*'Tariffs Jul2018'!AL89/'Tariffs Jul2018'!AJ89-'Tariffs Jul2018'!M89)*'Tariffs Jul2018'!Y89/100*'Tariffs Jul2018'!AJ89,0)</f>
        <v>0</v>
      </c>
      <c r="O95" s="271">
        <f>SUM(E95:N95)</f>
        <v>1427.8571999999999</v>
      </c>
      <c r="P95" s="59">
        <f>D95+O95</f>
        <v>1785.5572</v>
      </c>
      <c r="Q95" s="272">
        <f>P95*1.1</f>
        <v>1964.11292</v>
      </c>
      <c r="R95" s="40">
        <f>'Tariffs Jul2018'!AM89</f>
        <v>0</v>
      </c>
      <c r="S95" s="40">
        <f>'Tariffs Jul2018'!AN89</f>
        <v>0</v>
      </c>
      <c r="T95" s="40">
        <f>'Tariffs Jul2018'!AO89</f>
        <v>34</v>
      </c>
      <c r="U95" s="40">
        <f>'Tariffs Jul2018'!AP89</f>
        <v>0</v>
      </c>
      <c r="V95" s="273">
        <f>P95</f>
        <v>1785.5572</v>
      </c>
      <c r="W95" s="273">
        <f>V95-(P95*T95/100)</f>
        <v>1178.467752</v>
      </c>
      <c r="X95" s="272">
        <f>V95*1.1</f>
        <v>1964.11292</v>
      </c>
      <c r="Y95" s="272">
        <f>W95*1.1</f>
        <v>1296.3145272000002</v>
      </c>
      <c r="Z95" s="274">
        <f>'Tariffs Jul2018'!AY89</f>
        <v>0</v>
      </c>
      <c r="AA95" s="274" t="str">
        <f>'Tariffs Jul2018'!AZ89</f>
        <v>n</v>
      </c>
      <c r="AB95" s="275" t="str">
        <f>'Tariffs Jul2018'!BG90</f>
        <v>Y</v>
      </c>
      <c r="AC95" s="351"/>
      <c r="AD95" s="351"/>
      <c r="AE95" s="351"/>
      <c r="AF95" s="351"/>
      <c r="AG95" s="351"/>
      <c r="AH95" s="351"/>
      <c r="AI95" s="351"/>
      <c r="AJ95" s="351"/>
      <c r="AK95" s="351"/>
      <c r="AL95" s="351"/>
      <c r="AM95" s="351"/>
      <c r="AN95" s="351"/>
    </row>
    <row r="96" spans="1:40" ht="14" thickBot="1" x14ac:dyDescent="0.2">
      <c r="A96" s="277" t="str">
        <f>'Tariffs Jul2018'!F90</f>
        <v>Powershop</v>
      </c>
      <c r="B96" s="277" t="str">
        <f>'Tariffs Jul2018'!D90</f>
        <v>Ausnet West</v>
      </c>
      <c r="C96" s="277" t="str">
        <f>'Tariffs Jul2018'!G90</f>
        <v>Gas Saver</v>
      </c>
      <c r="D96" s="278">
        <f>365*'Tariffs Jul2018'!H90/100</f>
        <v>327.03999999999996</v>
      </c>
      <c r="E96" s="278">
        <f>((C$5*'Tariffs Jul2018'!AK90/'Tariffs Jul2018'!AI90)*('Tariffs Jul2018'!O90/100))*'Tariffs Jul2018'!AI90</f>
        <v>344.3655599999999</v>
      </c>
      <c r="F96" s="278">
        <v>0</v>
      </c>
      <c r="G96" s="278">
        <v>0</v>
      </c>
      <c r="H96" s="278">
        <v>0</v>
      </c>
      <c r="I96" s="278">
        <v>0</v>
      </c>
      <c r="J96" s="278">
        <f>((C$5*'Tariffs Jul2018'!AL90/'Tariffs Jul2018'!AJ90)*('Tariffs Jul2018'!U90/100))*'Tariffs Jul2018'!AJ90</f>
        <v>604.73951999999997</v>
      </c>
      <c r="K96" s="278">
        <v>0</v>
      </c>
      <c r="L96" s="278">
        <v>0</v>
      </c>
      <c r="M96" s="278">
        <v>0</v>
      </c>
      <c r="N96" s="278">
        <v>0</v>
      </c>
      <c r="O96" s="279">
        <f>SUM(E96:N96)</f>
        <v>949.10507999999982</v>
      </c>
      <c r="P96" s="278">
        <f>D96+O96</f>
        <v>1276.1450799999998</v>
      </c>
      <c r="Q96" s="280">
        <f>P96*1.1</f>
        <v>1403.7595879999999</v>
      </c>
      <c r="R96" s="277">
        <f>'Tariffs Jul2018'!AM90</f>
        <v>0</v>
      </c>
      <c r="S96" s="277">
        <f>'Tariffs Jul2018'!AN90</f>
        <v>0</v>
      </c>
      <c r="T96" s="277">
        <f>'Tariffs Jul2018'!AO90</f>
        <v>5</v>
      </c>
      <c r="U96" s="277">
        <f>'Tariffs Jul2018'!AP90</f>
        <v>0</v>
      </c>
      <c r="V96" s="281">
        <f t="shared" si="10"/>
        <v>1276.1450799999998</v>
      </c>
      <c r="W96" s="281">
        <f>V96-(P96*T96/100)</f>
        <v>1212.3378259999997</v>
      </c>
      <c r="X96" s="280">
        <f>V96*1.1</f>
        <v>1403.7595879999999</v>
      </c>
      <c r="Y96" s="280">
        <f>W96*1.1</f>
        <v>1333.5716085999998</v>
      </c>
      <c r="Z96" s="282">
        <f>'Tariffs Jul2018'!AY90</f>
        <v>0</v>
      </c>
      <c r="AA96" s="282" t="str">
        <f>'Tariffs Jul2018'!AZ90</f>
        <v>n</v>
      </c>
      <c r="AB96" s="283" t="str">
        <f>'Tariffs Jul2018'!BG90</f>
        <v>Y</v>
      </c>
      <c r="AC96" s="351"/>
      <c r="AD96" s="351"/>
      <c r="AE96" s="351"/>
      <c r="AF96" s="351"/>
      <c r="AG96" s="351"/>
      <c r="AH96" s="351"/>
      <c r="AI96" s="351"/>
      <c r="AJ96" s="351"/>
      <c r="AK96" s="351"/>
      <c r="AL96" s="351"/>
      <c r="AM96" s="351"/>
      <c r="AN96" s="351"/>
    </row>
    <row r="97" spans="1:40" ht="14" thickTop="1" x14ac:dyDescent="0.15">
      <c r="A97" s="40" t="str">
        <f>'Tariffs Jul2018'!F91</f>
        <v>AGL</v>
      </c>
      <c r="B97" s="40" t="str">
        <f>'Tariffs Jul2018'!D91</f>
        <v>Ausnet Central 2</v>
      </c>
      <c r="C97" s="40" t="str">
        <f>'Tariffs Jul2018'!G91</f>
        <v>Savers</v>
      </c>
      <c r="D97" s="59">
        <f>365*'Tariffs Jul2018'!H91/100</f>
        <v>321.2</v>
      </c>
      <c r="E97" s="59">
        <f>IF($C$5*'Tariffs Jul2018'!AK91/'Tariffs Jul2018'!AI91&gt;='Tariffs Jul2018'!J91,( 'Tariffs Jul2018'!J91*'Tariffs Jul2018'!O91/100)* 'Tariffs Jul2018'!AI91,($C$5*'Tariffs Jul2018'!AK91/'Tariffs Jul2018'!AI91*'Tariffs Jul2018'!O91/100)* 'Tariffs Jul2018'!AI91)</f>
        <v>302.39999999999998</v>
      </c>
      <c r="F97" s="59">
        <f>IF($C$5*'Tariffs Jul2018'!AK91/'Tariffs Jul2018'!AI91&lt;'Tariffs Jul2018'!J91,0,IF($C$5*'Tariffs Jul2018'!AK91/'Tariffs Jul2018'!AI91&lt;='Tariffs Jul2018'!K91,($C$5*'Tariffs Jul2018'!AK91/'Tariffs Jul2018'!AI91-'Tariffs Jul2018'!J91)*('Tariffs Jul2018'!P91/100)*'Tariffs Jul2018'!AI91,('Tariffs Jul2018'!K91-'Tariffs Jul2018'!J91)*('Tariffs Jul2018'!P91/100)*'Tariffs Jul2018'!AI91))</f>
        <v>215.94959999999995</v>
      </c>
      <c r="G97" s="59">
        <f>IF($C$5*'Tariffs Jul2018'!AK91/'Tariffs Jul2018'!AI91&lt;'Tariffs Jul2018'!K91,0,IF($C$5*'Tariffs Jul2018'!AK91/'Tariffs Jul2018'!AI91&lt;='Tariffs Jul2018'!L91,($C$5*'Tariffs Jul2018'!AK91/'Tariffs Jul2018'!AI91-'Tariffs Jul2018'!K91)*('Tariffs Jul2018'!Q91/100)*'Tariffs Jul2018'!AI91,('Tariffs Jul2018'!L91-'Tariffs Jul2018'!K91)*('Tariffs Jul2018'!Q91/100)*'Tariffs Jul2018'!AI91))</f>
        <v>0</v>
      </c>
      <c r="H97" s="59">
        <f>IF($C$5*'Tariffs Jul2018'!AK91/'Tariffs Jul2018'!AI91&lt;'Tariffs Jul2018'!L91,0,IF($C$5*'Tariffs Jul2018'!AK91/'Tariffs Jul2018'!AI91&lt;='Tariffs Jul2018'!M91,($C$5*'Tariffs Jul2018'!AK91/'Tariffs Jul2018'!AI91-'Tariffs Jul2018'!L91)*('Tariffs Jul2018'!R91/100)*'Tariffs Jul2018'!AI91,('Tariffs Jul2018'!M91-'Tariffs Jul2018'!L91)*('Tariffs Jul2018'!R91/100)*'Tariffs Jul2018'!AI91))</f>
        <v>0</v>
      </c>
      <c r="I97" s="59">
        <f>IF(($C$5*'Tariffs Jul2018'!AK91/'Tariffs Jul2018'!AI91&gt;'Tariffs Jul2018'!M91),($C$5*'Tariffs Jul2018'!AK91/'Tariffs Jul2018'!AI91-'Tariffs Jul2018'!M91)*'Tariffs Jul2018'!S91/100*'Tariffs Jul2018'!AI91,0)</f>
        <v>0</v>
      </c>
      <c r="J97" s="59">
        <f>IF($C$5*'Tariffs Jul2018'!AL91/'Tariffs Jul2018'!AJ91&gt;='Tariffs Jul2018'!J91,('Tariffs Jul2018'!J91*'Tariffs Jul2018'!U91/100)* 'Tariffs Jul2018'!AJ91,($C$5*'Tariffs Jul2018'!AL91/'Tariffs Jul2018'!AJ91*'Tariffs Jul2018'!U91/100)* 'Tariffs Jul2018'!AJ91)</f>
        <v>518.4</v>
      </c>
      <c r="K97" s="59">
        <f>IF($C$5*'Tariffs Jul2018'!AL91/'Tariffs Jul2018'!AJ91&lt;'Tariffs Jul2018'!J91,0,IF($C$5*'Tariffs Jul2018'!AL91/'Tariffs Jul2018'!AJ91&lt;='Tariffs Jul2018'!K91,($C$5*'Tariffs Jul2018'!AL91/'Tariffs Jul2018'!AJ91-'Tariffs Jul2018'!J91)*('Tariffs Jul2018'!V91/100)*'Tariffs Jul2018'!AJ91,('Tariffs Jul2018'!K91-'Tariffs Jul2018'!J91)*('Tariffs Jul2018'!V91/100)*'Tariffs Jul2018'!AJ91))</f>
        <v>338.32103999999987</v>
      </c>
      <c r="L97" s="59">
        <f>IF($C$5*'Tariffs Jul2018'!AL91/'Tariffs Jul2018'!AJ91&lt;'Tariffs Jul2018'!K91,0,IF($C$5*'Tariffs Jul2018'!AL91/'Tariffs Jul2018'!AJ91&lt;='Tariffs Jul2018'!L91,($C$5*'Tariffs Jul2018'!AL91/'Tariffs Jul2018'!AJ91-'Tariffs Jul2018'!K91)*('Tariffs Jul2018'!W91/100)*'Tariffs Jul2018'!AJ91,('Tariffs Jul2018'!L91-'Tariffs Jul2018'!K91)*('Tariffs Jul2018'!W91/100)*'Tariffs Jul2018'!AJ91))</f>
        <v>0</v>
      </c>
      <c r="M97" s="59">
        <f>IF($C$5*'Tariffs Jul2018'!AL91/'Tariffs Jul2018'!AJ91&lt;'Tariffs Jul2018'!L91,0,IF($C$5*'Tariffs Jul2018'!AL91/'Tariffs Jul2018'!AJ91&lt;='Tariffs Jul2018'!M91,($C$5*'Tariffs Jul2018'!AL91/'Tariffs Jul2018'!AJ91-'Tariffs Jul2018'!L91)*('Tariffs Jul2018'!X91/100)*'Tariffs Jul2018'!AJ91,('Tariffs Jul2018'!M91-'Tariffs Jul2018'!L91)*('Tariffs Jul2018'!X91/100)*'Tariffs Jul2018'!AJ91))</f>
        <v>0</v>
      </c>
      <c r="N97" s="59">
        <f>IF(($C$5*'Tariffs Jul2018'!AL91/'Tariffs Jul2018'!AJ91&gt;'Tariffs Jul2018'!M91),($C$5*'Tariffs Jul2018'!AL91/'Tariffs Jul2018'!AJ91-'Tariffs Jul2018'!M91)*'Tariffs Jul2018'!Y91/100*'Tariffs Jul2018'!AJ91,0)</f>
        <v>0</v>
      </c>
      <c r="O97" s="367">
        <f t="shared" si="11"/>
        <v>1375.0706399999997</v>
      </c>
      <c r="P97" s="59">
        <f t="shared" si="12"/>
        <v>1696.2706399999997</v>
      </c>
      <c r="Q97" s="272">
        <f t="shared" si="13"/>
        <v>1865.8977039999997</v>
      </c>
      <c r="R97" s="40">
        <f>'Tariffs Jul2018'!AM91</f>
        <v>0</v>
      </c>
      <c r="S97" s="40">
        <f>'Tariffs Jul2018'!AN91</f>
        <v>0</v>
      </c>
      <c r="T97" s="40">
        <f>'Tariffs Jul2018'!AO91</f>
        <v>0</v>
      </c>
      <c r="U97" s="40">
        <f>'Tariffs Jul2018'!AP91</f>
        <v>26</v>
      </c>
      <c r="V97" s="273">
        <f>P97</f>
        <v>1696.2706399999997</v>
      </c>
      <c r="W97" s="273">
        <f>V97-(O97*U97/100)</f>
        <v>1338.7522735999999</v>
      </c>
      <c r="X97" s="272">
        <f t="shared" si="14"/>
        <v>1865.8977039999997</v>
      </c>
      <c r="Y97" s="272">
        <f t="shared" si="14"/>
        <v>1472.6275009599999</v>
      </c>
      <c r="Z97" s="274">
        <f>'Tariffs Jul2018'!AY91</f>
        <v>0</v>
      </c>
      <c r="AA97" s="274" t="str">
        <f>'Tariffs Jul2018'!AZ91</f>
        <v>n</v>
      </c>
      <c r="AB97" s="275" t="str">
        <f>'Tariffs Jul2018'!BG91</f>
        <v>N</v>
      </c>
      <c r="AC97" s="351"/>
      <c r="AD97" s="351"/>
      <c r="AE97" s="351"/>
      <c r="AF97" s="351"/>
      <c r="AG97" s="351"/>
      <c r="AH97" s="351"/>
      <c r="AI97" s="351"/>
      <c r="AJ97" s="351"/>
      <c r="AK97" s="351"/>
      <c r="AL97" s="351"/>
      <c r="AM97" s="351"/>
      <c r="AN97" s="351"/>
    </row>
    <row r="98" spans="1:40" x14ac:dyDescent="0.15">
      <c r="A98" s="40" t="str">
        <f>'Tariffs Jul2018'!F92</f>
        <v>Alinta Energy</v>
      </c>
      <c r="B98" s="40" t="str">
        <f>'Tariffs Jul2018'!D92</f>
        <v>Ausnet Central 2</v>
      </c>
      <c r="C98" s="40" t="str">
        <f>'Tariffs Jul2018'!G92</f>
        <v>Fair Deal</v>
      </c>
      <c r="D98" s="59">
        <f>365*'Tariffs Jul2018'!H92/100</f>
        <v>280.68500000000006</v>
      </c>
      <c r="E98" s="59">
        <f>IF($C$5*'Tariffs Jul2018'!AK92/'Tariffs Jul2018'!AI92&gt;='Tariffs Jul2018'!J92,( 'Tariffs Jul2018'!J92*'Tariffs Jul2018'!O92/100)* 'Tariffs Jul2018'!AI92,($C$5*'Tariffs Jul2018'!AK92/'Tariffs Jul2018'!AI92*'Tariffs Jul2018'!O92/100)* 'Tariffs Jul2018'!AI92)</f>
        <v>290.39999999999998</v>
      </c>
      <c r="F98" s="59">
        <f>IF($C$5*'Tariffs Jul2018'!AK92/'Tariffs Jul2018'!AI92&lt;'Tariffs Jul2018'!J92,0,IF($C$5*'Tariffs Jul2018'!AK92/'Tariffs Jul2018'!AI92&lt;='Tariffs Jul2018'!K92,($C$5*'Tariffs Jul2018'!AK92/'Tariffs Jul2018'!AI92-'Tariffs Jul2018'!J92)*('Tariffs Jul2018'!P92/100)*'Tariffs Jul2018'!AI92,('Tariffs Jul2018'!K92-'Tariffs Jul2018'!J92)*('Tariffs Jul2018'!P92/100)*'Tariffs Jul2018'!AI92))</f>
        <v>0</v>
      </c>
      <c r="G98" s="59">
        <f>IF($C$5*'Tariffs Jul2018'!AK92/'Tariffs Jul2018'!AI92&lt;'Tariffs Jul2018'!K92,0,IF($C$5*'Tariffs Jul2018'!AK92/'Tariffs Jul2018'!AI92&lt;='Tariffs Jul2018'!L92,($C$5*'Tariffs Jul2018'!AK92/'Tariffs Jul2018'!AI92-'Tariffs Jul2018'!K92)*('Tariffs Jul2018'!Q92/100)*'Tariffs Jul2018'!AI92,('Tariffs Jul2018'!L92-'Tariffs Jul2018'!K92)*('Tariffs Jul2018'!Q92/100)*'Tariffs Jul2018'!AI92))</f>
        <v>0</v>
      </c>
      <c r="H98" s="59">
        <f>IF($C$5*'Tariffs Jul2018'!AK92/'Tariffs Jul2018'!AI92&lt;'Tariffs Jul2018'!L92,0,IF($C$5*'Tariffs Jul2018'!AK92/'Tariffs Jul2018'!AI92&lt;='Tariffs Jul2018'!M92,($C$5*'Tariffs Jul2018'!AK92/'Tariffs Jul2018'!AI92-'Tariffs Jul2018'!L92)*('Tariffs Jul2018'!R92/100)*'Tariffs Jul2018'!AI92,('Tariffs Jul2018'!M92-'Tariffs Jul2018'!L92)*('Tariffs Jul2018'!R92/100)*'Tariffs Jul2018'!AI92))</f>
        <v>0</v>
      </c>
      <c r="I98" s="59">
        <f>IF(($C$5*'Tariffs Jul2018'!AK92/'Tariffs Jul2018'!AI92&gt;'Tariffs Jul2018'!M92),($C$5*'Tariffs Jul2018'!AK92/'Tariffs Jul2018'!AI92-'Tariffs Jul2018'!M92)*'Tariffs Jul2018'!S92/100*'Tariffs Jul2018'!AI92,0)</f>
        <v>173.65946999999997</v>
      </c>
      <c r="J98" s="59">
        <f>IF($C$5*'Tariffs Jul2018'!AL92/'Tariffs Jul2018'!AJ92&gt;='Tariffs Jul2018'!J92,('Tariffs Jul2018'!J92*'Tariffs Jul2018'!U92/100)* 'Tariffs Jul2018'!AJ92,($C$5*'Tariffs Jul2018'!AL92/'Tariffs Jul2018'!AJ92*'Tariffs Jul2018'!U92/100)* 'Tariffs Jul2018'!AJ92)</f>
        <v>525.6</v>
      </c>
      <c r="K98" s="59">
        <f>IF($C$5*'Tariffs Jul2018'!AL92/'Tariffs Jul2018'!AJ92&lt;'Tariffs Jul2018'!J92,0,IF($C$5*'Tariffs Jul2018'!AL92/'Tariffs Jul2018'!AJ92&lt;='Tariffs Jul2018'!K92,($C$5*'Tariffs Jul2018'!AL92/'Tariffs Jul2018'!AJ92-'Tariffs Jul2018'!J92)*('Tariffs Jul2018'!V92/100)*'Tariffs Jul2018'!AJ92,('Tariffs Jul2018'!K92-'Tariffs Jul2018'!J92)*('Tariffs Jul2018'!V92/100)*'Tariffs Jul2018'!AJ92))</f>
        <v>0</v>
      </c>
      <c r="L98" s="59">
        <f>IF($C$5*'Tariffs Jul2018'!AL92/'Tariffs Jul2018'!AJ92&lt;'Tariffs Jul2018'!K92,0,IF($C$5*'Tariffs Jul2018'!AL92/'Tariffs Jul2018'!AJ92&lt;='Tariffs Jul2018'!L92,($C$5*'Tariffs Jul2018'!AL92/'Tariffs Jul2018'!AJ92-'Tariffs Jul2018'!K92)*('Tariffs Jul2018'!W92/100)*'Tariffs Jul2018'!AJ92,('Tariffs Jul2018'!L92-'Tariffs Jul2018'!K92)*('Tariffs Jul2018'!W92/100)*'Tariffs Jul2018'!AJ92))</f>
        <v>0</v>
      </c>
      <c r="M98" s="59">
        <f>IF($C$5*'Tariffs Jul2018'!AL92/'Tariffs Jul2018'!AJ92&lt;'Tariffs Jul2018'!L92,0,IF($C$5*'Tariffs Jul2018'!AL92/'Tariffs Jul2018'!AJ92&lt;='Tariffs Jul2018'!M92,($C$5*'Tariffs Jul2018'!AL92/'Tariffs Jul2018'!AJ92-'Tariffs Jul2018'!L92)*('Tariffs Jul2018'!X92/100)*'Tariffs Jul2018'!AJ92,('Tariffs Jul2018'!M92-'Tariffs Jul2018'!L92)*('Tariffs Jul2018'!X92/100)*'Tariffs Jul2018'!AJ92))</f>
        <v>0</v>
      </c>
      <c r="N98" s="59">
        <f>IF(($C$5*'Tariffs Jul2018'!AL92/'Tariffs Jul2018'!AJ92&gt;'Tariffs Jul2018'!M92),($C$5*'Tariffs Jul2018'!AL92/'Tariffs Jul2018'!AJ92-'Tariffs Jul2018'!M92)*'Tariffs Jul2018'!Y92/100*'Tariffs Jul2018'!AJ92,0)</f>
        <v>318.5256599999999</v>
      </c>
      <c r="O98" s="367">
        <f t="shared" si="11"/>
        <v>1308.1851299999998</v>
      </c>
      <c r="P98" s="59">
        <f t="shared" si="12"/>
        <v>1588.8701299999998</v>
      </c>
      <c r="Q98" s="272">
        <f t="shared" si="13"/>
        <v>1747.7571429999998</v>
      </c>
      <c r="R98" s="40">
        <f>'Tariffs Jul2018'!AM92</f>
        <v>0</v>
      </c>
      <c r="S98" s="40">
        <f>'Tariffs Jul2018'!AN92</f>
        <v>0</v>
      </c>
      <c r="T98" s="40">
        <f>'Tariffs Jul2018'!AO92</f>
        <v>0</v>
      </c>
      <c r="U98" s="40">
        <f>'Tariffs Jul2018'!AP92</f>
        <v>25</v>
      </c>
      <c r="V98" s="273">
        <f>P98</f>
        <v>1588.8701299999998</v>
      </c>
      <c r="W98" s="273">
        <f>V98-(O98*U98/100)</f>
        <v>1261.8238474999998</v>
      </c>
      <c r="X98" s="272">
        <f t="shared" si="14"/>
        <v>1747.7571429999998</v>
      </c>
      <c r="Y98" s="272">
        <f t="shared" si="14"/>
        <v>1388.0062322499998</v>
      </c>
      <c r="Z98" s="274">
        <f>'Tariffs Jul2018'!AY92</f>
        <v>0</v>
      </c>
      <c r="AA98" s="274" t="str">
        <f>'Tariffs Jul2018'!AZ92</f>
        <v>n</v>
      </c>
      <c r="AB98" s="275" t="str">
        <f>'Tariffs Jul2018'!BG92</f>
        <v>Y</v>
      </c>
      <c r="AC98" s="351"/>
      <c r="AD98" s="351"/>
      <c r="AE98" s="351"/>
      <c r="AF98" s="351"/>
      <c r="AG98" s="351"/>
      <c r="AH98" s="351"/>
      <c r="AI98" s="351"/>
      <c r="AJ98" s="351"/>
      <c r="AK98" s="351"/>
      <c r="AL98" s="351"/>
      <c r="AM98" s="351"/>
      <c r="AN98" s="351"/>
    </row>
    <row r="99" spans="1:40" x14ac:dyDescent="0.15">
      <c r="A99" s="40" t="str">
        <f>'Tariffs Jul2018'!F93</f>
        <v>Click Energy</v>
      </c>
      <c r="B99" s="40" t="str">
        <f>'Tariffs Jul2018'!D93</f>
        <v>Ausnet Central 2</v>
      </c>
      <c r="C99" s="40" t="str">
        <f>'Tariffs Jul2018'!G93</f>
        <v>Lilac</v>
      </c>
      <c r="D99" s="59">
        <f>365*'Tariffs Jul2018'!H93/100</f>
        <v>353.32</v>
      </c>
      <c r="E99" s="59">
        <f>IF($C$5*'Tariffs Jul2018'!AK93/'Tariffs Jul2018'!AI93&gt;='Tariffs Jul2018'!J93,( 'Tariffs Jul2018'!J93*'Tariffs Jul2018'!O93/100)* 'Tariffs Jul2018'!AI93,($C$5*'Tariffs Jul2018'!AK93/'Tariffs Jul2018'!AI93*'Tariffs Jul2018'!O93/100)* 'Tariffs Jul2018'!AI93)</f>
        <v>426</v>
      </c>
      <c r="F99" s="59">
        <f>IF($C$5*'Tariffs Jul2018'!AK93/'Tariffs Jul2018'!AI93&lt;'Tariffs Jul2018'!J93,0,IF($C$5*'Tariffs Jul2018'!AK93/'Tariffs Jul2018'!AI93&lt;='Tariffs Jul2018'!K93,($C$5*'Tariffs Jul2018'!AK93/'Tariffs Jul2018'!AI93-'Tariffs Jul2018'!J93)*('Tariffs Jul2018'!P93/100)*'Tariffs Jul2018'!AI93,('Tariffs Jul2018'!K93-'Tariffs Jul2018'!J93)*('Tariffs Jul2018'!P93/100)*'Tariffs Jul2018'!AI93))</f>
        <v>274.43594999999993</v>
      </c>
      <c r="G99" s="59">
        <f>IF($C$5*'Tariffs Jul2018'!AK93/'Tariffs Jul2018'!AI93&lt;'Tariffs Jul2018'!K93,0,IF($C$5*'Tariffs Jul2018'!AK93/'Tariffs Jul2018'!AI93&lt;='Tariffs Jul2018'!L93,($C$5*'Tariffs Jul2018'!AK93/'Tariffs Jul2018'!AI93-'Tariffs Jul2018'!K93)*('Tariffs Jul2018'!Q93/100)*'Tariffs Jul2018'!AI93,('Tariffs Jul2018'!L93-'Tariffs Jul2018'!K93)*('Tariffs Jul2018'!Q93/100)*'Tariffs Jul2018'!AI93))</f>
        <v>0</v>
      </c>
      <c r="H99" s="59">
        <f>IF($C$5*'Tariffs Jul2018'!AK93/'Tariffs Jul2018'!AI93&lt;'Tariffs Jul2018'!L93,0,IF($C$5*'Tariffs Jul2018'!AK93/'Tariffs Jul2018'!AI93&lt;='Tariffs Jul2018'!M93,($C$5*'Tariffs Jul2018'!AK93/'Tariffs Jul2018'!AI93-'Tariffs Jul2018'!L93)*('Tariffs Jul2018'!R93/100)*'Tariffs Jul2018'!AI93,('Tariffs Jul2018'!M93-'Tariffs Jul2018'!L93)*('Tariffs Jul2018'!R93/100)*'Tariffs Jul2018'!AI93))</f>
        <v>0</v>
      </c>
      <c r="I99" s="59">
        <f>IF(($C$5*'Tariffs Jul2018'!AK93/'Tariffs Jul2018'!AI93&gt;'Tariffs Jul2018'!M93),($C$5*'Tariffs Jul2018'!AK93/'Tariffs Jul2018'!AI93-'Tariffs Jul2018'!M93)*'Tariffs Jul2018'!S93/100*'Tariffs Jul2018'!AI93,0)</f>
        <v>0</v>
      </c>
      <c r="J99" s="59">
        <f>IF($C$5*'Tariffs Jul2018'!AL93/'Tariffs Jul2018'!AJ93&gt;='Tariffs Jul2018'!J93,('Tariffs Jul2018'!J93*'Tariffs Jul2018'!U93/100)* 'Tariffs Jul2018'!AJ93,($C$5*'Tariffs Jul2018'!AL93/'Tariffs Jul2018'!AJ93*'Tariffs Jul2018'!U93/100)* 'Tariffs Jul2018'!AJ93)</f>
        <v>600</v>
      </c>
      <c r="K99" s="59">
        <f>IF($C$5*'Tariffs Jul2018'!AL93/'Tariffs Jul2018'!AJ93&lt;'Tariffs Jul2018'!J93,0,IF($C$5*'Tariffs Jul2018'!AL93/'Tariffs Jul2018'!AJ93&lt;='Tariffs Jul2018'!K93,($C$5*'Tariffs Jul2018'!AL93/'Tariffs Jul2018'!AJ93-'Tariffs Jul2018'!J93)*('Tariffs Jul2018'!V93/100)*'Tariffs Jul2018'!AJ93,('Tariffs Jul2018'!K93-'Tariffs Jul2018'!J93)*('Tariffs Jul2018'!V93/100)*'Tariffs Jul2018'!AJ93))</f>
        <v>440.89709999999991</v>
      </c>
      <c r="L99" s="59">
        <f>IF($C$5*'Tariffs Jul2018'!AL93/'Tariffs Jul2018'!AJ93&lt;'Tariffs Jul2018'!K93,0,IF($C$5*'Tariffs Jul2018'!AL93/'Tariffs Jul2018'!AJ93&lt;='Tariffs Jul2018'!L93,($C$5*'Tariffs Jul2018'!AL93/'Tariffs Jul2018'!AJ93-'Tariffs Jul2018'!K93)*('Tariffs Jul2018'!W93/100)*'Tariffs Jul2018'!AJ93,('Tariffs Jul2018'!L93-'Tariffs Jul2018'!K93)*('Tariffs Jul2018'!W93/100)*'Tariffs Jul2018'!AJ93))</f>
        <v>0</v>
      </c>
      <c r="M99" s="59">
        <f>IF($C$5*'Tariffs Jul2018'!AL93/'Tariffs Jul2018'!AJ93&lt;'Tariffs Jul2018'!L93,0,IF($C$5*'Tariffs Jul2018'!AL93/'Tariffs Jul2018'!AJ93&lt;='Tariffs Jul2018'!M93,($C$5*'Tariffs Jul2018'!AL93/'Tariffs Jul2018'!AJ93-'Tariffs Jul2018'!L93)*('Tariffs Jul2018'!X93/100)*'Tariffs Jul2018'!AJ93,('Tariffs Jul2018'!M93-'Tariffs Jul2018'!L93)*('Tariffs Jul2018'!X93/100)*'Tariffs Jul2018'!AJ93))</f>
        <v>0</v>
      </c>
      <c r="N99" s="59">
        <f>IF(($C$5*'Tariffs Jul2018'!AL93/'Tariffs Jul2018'!AJ93&gt;'Tariffs Jul2018'!M93),($C$5*'Tariffs Jul2018'!AL93/'Tariffs Jul2018'!AJ93-'Tariffs Jul2018'!M93)*'Tariffs Jul2018'!Y93/100*'Tariffs Jul2018'!AJ93,0)</f>
        <v>0</v>
      </c>
      <c r="O99" s="367">
        <f t="shared" si="11"/>
        <v>1741.33305</v>
      </c>
      <c r="P99" s="59">
        <f t="shared" si="12"/>
        <v>2094.6530499999999</v>
      </c>
      <c r="Q99" s="272">
        <f t="shared" si="13"/>
        <v>2304.1183550000001</v>
      </c>
      <c r="R99" s="40">
        <f>'Tariffs Jul2018'!AM93</f>
        <v>0</v>
      </c>
      <c r="S99" s="40">
        <f>'Tariffs Jul2018'!AN93</f>
        <v>0</v>
      </c>
      <c r="T99" s="40">
        <f>'Tariffs Jul2018'!AO93</f>
        <v>26</v>
      </c>
      <c r="U99" s="40">
        <f>'Tariffs Jul2018'!AP93</f>
        <v>0</v>
      </c>
      <c r="V99" s="273">
        <f>P99</f>
        <v>2094.6530499999999</v>
      </c>
      <c r="W99" s="273">
        <f>V99-(P99*T99/100)</f>
        <v>1550.0432569999998</v>
      </c>
      <c r="X99" s="272">
        <f t="shared" si="14"/>
        <v>2304.1183550000001</v>
      </c>
      <c r="Y99" s="272">
        <f t="shared" si="14"/>
        <v>1705.0475827</v>
      </c>
      <c r="Z99" s="274">
        <f>'Tariffs Jul2018'!AY93</f>
        <v>0</v>
      </c>
      <c r="AA99" s="274" t="str">
        <f>'Tariffs Jul2018'!AZ93</f>
        <v>n</v>
      </c>
      <c r="AB99" s="275" t="str">
        <f>'Tariffs Jul2018'!BG93</f>
        <v>N</v>
      </c>
      <c r="AC99" s="351"/>
      <c r="AD99" s="351"/>
      <c r="AE99" s="351"/>
      <c r="AF99" s="351"/>
      <c r="AG99" s="351"/>
      <c r="AH99" s="351"/>
      <c r="AI99" s="351"/>
      <c r="AJ99" s="351"/>
      <c r="AK99" s="351"/>
      <c r="AL99" s="351"/>
      <c r="AM99" s="351"/>
      <c r="AN99" s="351"/>
    </row>
    <row r="100" spans="1:40" x14ac:dyDescent="0.15">
      <c r="A100" s="40" t="str">
        <f>'Tariffs Jul2018'!F94</f>
        <v>Covau</v>
      </c>
      <c r="B100" s="40" t="str">
        <f>'Tariffs Jul2018'!D94</f>
        <v>Ausnet Central 2</v>
      </c>
      <c r="C100" s="40" t="str">
        <f>'Tariffs Jul2018'!G94</f>
        <v>Smart Saver</v>
      </c>
      <c r="D100" s="59">
        <f>365*'Tariffs Jul2018'!H94/100</f>
        <v>299.3</v>
      </c>
      <c r="E100" s="59">
        <f>IF($C$5*'Tariffs Jul2018'!AK94/'Tariffs Jul2018'!AI94&gt;='Tariffs Jul2018'!J94,( 'Tariffs Jul2018'!J94*'Tariffs Jul2018'!O94/100)* 'Tariffs Jul2018'!AI94,($C$5*'Tariffs Jul2018'!AK94/'Tariffs Jul2018'!AI94*'Tariffs Jul2018'!O94/100)* 'Tariffs Jul2018'!AI94)</f>
        <v>477</v>
      </c>
      <c r="F100" s="59">
        <f>IF($C$5*'Tariffs Jul2018'!AK94/'Tariffs Jul2018'!AI94&lt;'Tariffs Jul2018'!J94,0,IF($C$5*'Tariffs Jul2018'!AK94/'Tariffs Jul2018'!AI94&lt;='Tariffs Jul2018'!K94,($C$5*'Tariffs Jul2018'!AK94/'Tariffs Jul2018'!AI94-'Tariffs Jul2018'!J94)*('Tariffs Jul2018'!P94/100)*'Tariffs Jul2018'!AI94,('Tariffs Jul2018'!K94-'Tariffs Jul2018'!J94)*('Tariffs Jul2018'!P94/100)*'Tariffs Jul2018'!AI94))</f>
        <v>337.5</v>
      </c>
      <c r="G100" s="59">
        <f>IF($C$5*'Tariffs Jul2018'!AK94/'Tariffs Jul2018'!AI94&lt;'Tariffs Jul2018'!K94,0,IF($C$5*'Tariffs Jul2018'!AK94/'Tariffs Jul2018'!AI94&lt;='Tariffs Jul2018'!L94,($C$5*'Tariffs Jul2018'!AK94/'Tariffs Jul2018'!AI94-'Tariffs Jul2018'!K94)*('Tariffs Jul2018'!Q94/100)*'Tariffs Jul2018'!AI94,('Tariffs Jul2018'!L94-'Tariffs Jul2018'!K94)*('Tariffs Jul2018'!Q94/100)*'Tariffs Jul2018'!AI94))</f>
        <v>0</v>
      </c>
      <c r="H100" s="59">
        <f>IF($C$5*'Tariffs Jul2018'!AK94/'Tariffs Jul2018'!AI94&lt;'Tariffs Jul2018'!L94,0,IF($C$5*'Tariffs Jul2018'!AK94/'Tariffs Jul2018'!AI94&lt;='Tariffs Jul2018'!M94,($C$5*'Tariffs Jul2018'!AK94/'Tariffs Jul2018'!AI94-'Tariffs Jul2018'!L94)*('Tariffs Jul2018'!R94/100)*'Tariffs Jul2018'!AI94,('Tariffs Jul2018'!M94-'Tariffs Jul2018'!L94)*('Tariffs Jul2018'!R94/100)*'Tariffs Jul2018'!AI94))</f>
        <v>0</v>
      </c>
      <c r="I100" s="59">
        <f>IF(($C$5*'Tariffs Jul2018'!AK94/'Tariffs Jul2018'!AI94&gt;'Tariffs Jul2018'!M94),($C$5*'Tariffs Jul2018'!AK94/'Tariffs Jul2018'!AI94-'Tariffs Jul2018'!M94)*'Tariffs Jul2018'!S94/100*'Tariffs Jul2018'!AI94,0)</f>
        <v>0</v>
      </c>
      <c r="J100" s="59">
        <f>IF($C$5*'Tariffs Jul2018'!AL94/'Tariffs Jul2018'!AJ94&gt;='Tariffs Jul2018'!J94,('Tariffs Jul2018'!J94*'Tariffs Jul2018'!U94/100)* 'Tariffs Jul2018'!AJ94,($C$5*'Tariffs Jul2018'!AL94/'Tariffs Jul2018'!AJ94*'Tariffs Jul2018'!U94/100)* 'Tariffs Jul2018'!AJ94)</f>
        <v>417.59999999999997</v>
      </c>
      <c r="K100" s="59">
        <f>IF($C$5*'Tariffs Jul2018'!AL94/'Tariffs Jul2018'!AJ94&lt;'Tariffs Jul2018'!J94,0,IF($C$5*'Tariffs Jul2018'!AL94/'Tariffs Jul2018'!AJ94&lt;='Tariffs Jul2018'!K94,($C$5*'Tariffs Jul2018'!AL94/'Tariffs Jul2018'!AJ94-'Tariffs Jul2018'!J94)*('Tariffs Jul2018'!V94/100)*'Tariffs Jul2018'!AJ94,('Tariffs Jul2018'!K94-'Tariffs Jul2018'!J94)*('Tariffs Jul2018'!V94/100)*'Tariffs Jul2018'!AJ94))</f>
        <v>256.5</v>
      </c>
      <c r="L100" s="59">
        <f>IF($C$5*'Tariffs Jul2018'!AL94/'Tariffs Jul2018'!AJ94&lt;'Tariffs Jul2018'!K94,0,IF($C$5*'Tariffs Jul2018'!AL94/'Tariffs Jul2018'!AJ94&lt;='Tariffs Jul2018'!L94,($C$5*'Tariffs Jul2018'!AL94/'Tariffs Jul2018'!AJ94-'Tariffs Jul2018'!K94)*('Tariffs Jul2018'!W94/100)*'Tariffs Jul2018'!AJ94,('Tariffs Jul2018'!L94-'Tariffs Jul2018'!K94)*('Tariffs Jul2018'!W94/100)*'Tariffs Jul2018'!AJ94))</f>
        <v>0</v>
      </c>
      <c r="M100" s="59">
        <f>IF($C$5*'Tariffs Jul2018'!AL94/'Tariffs Jul2018'!AJ94&lt;'Tariffs Jul2018'!L94,0,IF($C$5*'Tariffs Jul2018'!AL94/'Tariffs Jul2018'!AJ94&lt;='Tariffs Jul2018'!M94,($C$5*'Tariffs Jul2018'!AL94/'Tariffs Jul2018'!AJ94-'Tariffs Jul2018'!L94)*('Tariffs Jul2018'!X94/100)*'Tariffs Jul2018'!AJ94,('Tariffs Jul2018'!M94-'Tariffs Jul2018'!L94)*('Tariffs Jul2018'!X94/100)*'Tariffs Jul2018'!AJ94))</f>
        <v>0</v>
      </c>
      <c r="N100" s="59">
        <f>IF(($C$5*'Tariffs Jul2018'!AL94/'Tariffs Jul2018'!AJ94&gt;'Tariffs Jul2018'!M94),($C$5*'Tariffs Jul2018'!AL94/'Tariffs Jul2018'!AJ94-'Tariffs Jul2018'!M94)*'Tariffs Jul2018'!Y94/100*'Tariffs Jul2018'!AJ94,0)</f>
        <v>0</v>
      </c>
      <c r="O100" s="367">
        <f t="shared" si="11"/>
        <v>1488.6</v>
      </c>
      <c r="P100" s="59">
        <f t="shared" si="12"/>
        <v>1787.8999999999999</v>
      </c>
      <c r="Q100" s="272">
        <f t="shared" si="13"/>
        <v>1966.69</v>
      </c>
      <c r="R100" s="40">
        <f>'Tariffs Jul2018'!AM94</f>
        <v>0</v>
      </c>
      <c r="S100" s="40">
        <f>'Tariffs Jul2018'!AN94</f>
        <v>0</v>
      </c>
      <c r="T100" s="40">
        <f>'Tariffs Jul2018'!AO94</f>
        <v>0</v>
      </c>
      <c r="U100" s="40">
        <f>'Tariffs Jul2018'!AP94</f>
        <v>16</v>
      </c>
      <c r="V100" s="273">
        <f>P100</f>
        <v>1787.8999999999999</v>
      </c>
      <c r="W100" s="273">
        <f>V100-(O100*U100/100)</f>
        <v>1549.7239999999999</v>
      </c>
      <c r="X100" s="272">
        <f t="shared" si="14"/>
        <v>1966.69</v>
      </c>
      <c r="Y100" s="272">
        <f t="shared" si="14"/>
        <v>1704.6964</v>
      </c>
      <c r="Z100" s="274">
        <f>'Tariffs Jul2018'!AY94</f>
        <v>12</v>
      </c>
      <c r="AA100" s="274" t="str">
        <f>'Tariffs Jul2018'!AZ94</f>
        <v>n</v>
      </c>
      <c r="AB100" s="275" t="str">
        <f>'Tariffs Jul2018'!BG94</f>
        <v>N</v>
      </c>
      <c r="AC100" s="351"/>
      <c r="AD100" s="351"/>
      <c r="AE100" s="351"/>
      <c r="AF100" s="351"/>
      <c r="AG100" s="351"/>
      <c r="AH100" s="351"/>
      <c r="AI100" s="351"/>
      <c r="AJ100" s="351"/>
      <c r="AK100" s="351"/>
      <c r="AL100" s="351"/>
      <c r="AM100" s="351"/>
      <c r="AN100" s="351"/>
    </row>
    <row r="101" spans="1:40" x14ac:dyDescent="0.15">
      <c r="A101" s="40" t="str">
        <f>'Tariffs Jul2018'!F95</f>
        <v>Dodo Power &amp; Gas</v>
      </c>
      <c r="B101" s="40" t="str">
        <f>'Tariffs Jul2018'!D95</f>
        <v>Ausnet Central 2</v>
      </c>
      <c r="C101" s="40" t="str">
        <f>'Tariffs Jul2018'!G95</f>
        <v>Market offer</v>
      </c>
      <c r="D101" s="59">
        <f>365*'Tariffs Jul2018'!H95/100</f>
        <v>291.63500000000005</v>
      </c>
      <c r="E101" s="59">
        <f>IF($C$5*'Tariffs Jul2018'!AK95/'Tariffs Jul2018'!AI95&gt;='Tariffs Jul2018'!J95,( 'Tariffs Jul2018'!J95*'Tariffs Jul2018'!O95/100)* 'Tariffs Jul2018'!AI95,($C$5*'Tariffs Jul2018'!AK95/'Tariffs Jul2018'!AI95*'Tariffs Jul2018'!O95/100)* 'Tariffs Jul2018'!AI95)</f>
        <v>193.2</v>
      </c>
      <c r="F101" s="59">
        <f>IF($C$5*'Tariffs Jul2018'!AK95/'Tariffs Jul2018'!AI95&lt;'Tariffs Jul2018'!J95,0,IF($C$5*'Tariffs Jul2018'!AK95/'Tariffs Jul2018'!AI95&lt;='Tariffs Jul2018'!K95,($C$5*'Tariffs Jul2018'!AK95/'Tariffs Jul2018'!AI95-'Tariffs Jul2018'!J95)*('Tariffs Jul2018'!P95/100)*'Tariffs Jul2018'!AI95,('Tariffs Jul2018'!K95-'Tariffs Jul2018'!J95)*('Tariffs Jul2018'!P95/100)*'Tariffs Jul2018'!AI95))</f>
        <v>0</v>
      </c>
      <c r="G101" s="59">
        <f>IF($C$5*'Tariffs Jul2018'!AK95/'Tariffs Jul2018'!AI95&lt;'Tariffs Jul2018'!K95,0,IF($C$5*'Tariffs Jul2018'!AK95/'Tariffs Jul2018'!AI95&lt;='Tariffs Jul2018'!L95,($C$5*'Tariffs Jul2018'!AK95/'Tariffs Jul2018'!AI95-'Tariffs Jul2018'!K95)*('Tariffs Jul2018'!Q95/100)*'Tariffs Jul2018'!AI95,('Tariffs Jul2018'!L95-'Tariffs Jul2018'!K95)*('Tariffs Jul2018'!Q95/100)*'Tariffs Jul2018'!AI95))</f>
        <v>0</v>
      </c>
      <c r="H101" s="59">
        <f>IF($C$5*'Tariffs Jul2018'!AK95/'Tariffs Jul2018'!AI95&lt;'Tariffs Jul2018'!L95,0,IF($C$5*'Tariffs Jul2018'!AK95/'Tariffs Jul2018'!AI95&lt;='Tariffs Jul2018'!M95,($C$5*'Tariffs Jul2018'!AK95/'Tariffs Jul2018'!AI95-'Tariffs Jul2018'!L95)*('Tariffs Jul2018'!R95/100)*'Tariffs Jul2018'!AI95,('Tariffs Jul2018'!M95-'Tariffs Jul2018'!L95)*('Tariffs Jul2018'!R95/100)*'Tariffs Jul2018'!AI95))</f>
        <v>0</v>
      </c>
      <c r="I101" s="59">
        <f>IF(($C$5*'Tariffs Jul2018'!AK95/'Tariffs Jul2018'!AI95&gt;'Tariffs Jul2018'!M95),($C$5*'Tariffs Jul2018'!AK95/'Tariffs Jul2018'!AI95-'Tariffs Jul2018'!M95)*'Tariffs Jul2018'!S95/100*'Tariffs Jul2018'!AI95,0)</f>
        <v>328.95064999999994</v>
      </c>
      <c r="J101" s="59">
        <f>IF($C$5*'Tariffs Jul2018'!AL95/'Tariffs Jul2018'!AJ95&gt;='Tariffs Jul2018'!J95,('Tariffs Jul2018'!J95*'Tariffs Jul2018'!U95/100)* 'Tariffs Jul2018'!AJ95,($C$5*'Tariffs Jul2018'!AL95/'Tariffs Jul2018'!AJ95*'Tariffs Jul2018'!U95/100)* 'Tariffs Jul2018'!AJ95)</f>
        <v>310.8</v>
      </c>
      <c r="K101" s="59">
        <f>IF($C$5*'Tariffs Jul2018'!AL95/'Tariffs Jul2018'!AJ95&lt;'Tariffs Jul2018'!J95,0,IF($C$5*'Tariffs Jul2018'!AL95/'Tariffs Jul2018'!AJ95&lt;='Tariffs Jul2018'!K95,($C$5*'Tariffs Jul2018'!AL95/'Tariffs Jul2018'!AJ95-'Tariffs Jul2018'!J95)*('Tariffs Jul2018'!V95/100)*'Tariffs Jul2018'!AJ95,('Tariffs Jul2018'!K95-'Tariffs Jul2018'!J95)*('Tariffs Jul2018'!V95/100)*'Tariffs Jul2018'!AJ95))</f>
        <v>0</v>
      </c>
      <c r="L101" s="59">
        <f>IF($C$5*'Tariffs Jul2018'!AL95/'Tariffs Jul2018'!AJ95&lt;'Tariffs Jul2018'!K95,0,IF($C$5*'Tariffs Jul2018'!AL95/'Tariffs Jul2018'!AJ95&lt;='Tariffs Jul2018'!L95,($C$5*'Tariffs Jul2018'!AL95/'Tariffs Jul2018'!AJ95-'Tariffs Jul2018'!K95)*('Tariffs Jul2018'!W95/100)*'Tariffs Jul2018'!AJ95,('Tariffs Jul2018'!L95-'Tariffs Jul2018'!K95)*('Tariffs Jul2018'!W95/100)*'Tariffs Jul2018'!AJ95))</f>
        <v>0</v>
      </c>
      <c r="M101" s="59">
        <f>IF($C$5*'Tariffs Jul2018'!AL95/'Tariffs Jul2018'!AJ95&lt;'Tariffs Jul2018'!L95,0,IF($C$5*'Tariffs Jul2018'!AL95/'Tariffs Jul2018'!AJ95&lt;='Tariffs Jul2018'!M95,($C$5*'Tariffs Jul2018'!AL95/'Tariffs Jul2018'!AJ95-'Tariffs Jul2018'!L95)*('Tariffs Jul2018'!X95/100)*'Tariffs Jul2018'!AJ95,('Tariffs Jul2018'!M95-'Tariffs Jul2018'!L95)*('Tariffs Jul2018'!X95/100)*'Tariffs Jul2018'!AJ95))</f>
        <v>0</v>
      </c>
      <c r="N101" s="59">
        <f>IF(($C$5*'Tariffs Jul2018'!AL95/'Tariffs Jul2018'!AJ95&gt;'Tariffs Jul2018'!M95),($C$5*'Tariffs Jul2018'!AL95/'Tariffs Jul2018'!AJ95-'Tariffs Jul2018'!M95)*'Tariffs Jul2018'!Y95/100*'Tariffs Jul2018'!AJ95,0)</f>
        <v>512.32313999999997</v>
      </c>
      <c r="O101" s="367">
        <f t="shared" si="11"/>
        <v>1345.27379</v>
      </c>
      <c r="P101" s="59">
        <f t="shared" si="12"/>
        <v>1636.90879</v>
      </c>
      <c r="Q101" s="272">
        <f t="shared" si="13"/>
        <v>1800.5996690000002</v>
      </c>
      <c r="R101" s="40">
        <f>'Tariffs Jul2018'!AM95</f>
        <v>0</v>
      </c>
      <c r="S101" s="40">
        <f>'Tariffs Jul2018'!AN95</f>
        <v>0</v>
      </c>
      <c r="T101" s="40">
        <f>'Tariffs Jul2018'!AO95</f>
        <v>0</v>
      </c>
      <c r="U101" s="40">
        <f>'Tariffs Jul2018'!AP95</f>
        <v>0</v>
      </c>
      <c r="V101" s="273">
        <f>P101</f>
        <v>1636.90879</v>
      </c>
      <c r="W101" s="273">
        <f>V101</f>
        <v>1636.90879</v>
      </c>
      <c r="X101" s="272">
        <f t="shared" si="14"/>
        <v>1800.5996690000002</v>
      </c>
      <c r="Y101" s="272">
        <f t="shared" si="14"/>
        <v>1800.5996690000002</v>
      </c>
      <c r="Z101" s="274">
        <f>'Tariffs Jul2018'!AY95</f>
        <v>0</v>
      </c>
      <c r="AA101" s="274" t="str">
        <f>'Tariffs Jul2018'!AZ95</f>
        <v>n</v>
      </c>
      <c r="AB101" s="275" t="str">
        <f>'Tariffs Jul2018'!BG95</f>
        <v>Y</v>
      </c>
      <c r="AC101" s="351"/>
      <c r="AD101" s="351"/>
      <c r="AE101" s="351"/>
      <c r="AF101" s="351"/>
      <c r="AG101" s="351"/>
      <c r="AH101" s="351"/>
      <c r="AI101" s="351"/>
      <c r="AJ101" s="351"/>
      <c r="AK101" s="351"/>
      <c r="AL101" s="351"/>
      <c r="AM101" s="351"/>
      <c r="AN101" s="351"/>
    </row>
    <row r="102" spans="1:40" x14ac:dyDescent="0.15">
      <c r="A102" s="40" t="str">
        <f>'Tariffs Jul2018'!F96</f>
        <v>EnergyAustralia</v>
      </c>
      <c r="B102" s="40" t="str">
        <f>'Tariffs Jul2018'!D96</f>
        <v>Ausnet Central 2</v>
      </c>
      <c r="C102" s="40" t="str">
        <f>'Tariffs Jul2018'!G96</f>
        <v>Anytime Saver</v>
      </c>
      <c r="D102" s="59">
        <f>365*'Tariffs Jul2018'!H96/100</f>
        <v>321.2</v>
      </c>
      <c r="E102" s="59">
        <f>IF($C$5*'Tariffs Jul2018'!AK96/'Tariffs Jul2018'!AI96&gt;='Tariffs Jul2018'!J96,( 'Tariffs Jul2018'!J96*'Tariffs Jul2018'!O96/100)* 'Tariffs Jul2018'!AI96,($C$5*'Tariffs Jul2018'!AK96/'Tariffs Jul2018'!AI96*'Tariffs Jul2018'!O96/100)* 'Tariffs Jul2018'!AI96)</f>
        <v>571.14287999999999</v>
      </c>
      <c r="F102" s="59">
        <f>IF($C$5*'Tariffs Jul2018'!AK96/'Tariffs Jul2018'!AI96&lt;'Tariffs Jul2018'!J96,0,IF($C$5*'Tariffs Jul2018'!AK96/'Tariffs Jul2018'!AI96&lt;='Tariffs Jul2018'!K96,($C$5*'Tariffs Jul2018'!AK96/'Tariffs Jul2018'!AI96-'Tariffs Jul2018'!J96)*('Tariffs Jul2018'!P96/100)*'Tariffs Jul2018'!AI96,('Tariffs Jul2018'!K96-'Tariffs Jul2018'!J96)*('Tariffs Jul2018'!P96/100)*'Tariffs Jul2018'!AI96))</f>
        <v>0</v>
      </c>
      <c r="G102" s="59">
        <f>IF($C$5*'Tariffs Jul2018'!AK96/'Tariffs Jul2018'!AI96&lt;'Tariffs Jul2018'!K96,0,IF($C$5*'Tariffs Jul2018'!AK96/'Tariffs Jul2018'!AI96&lt;='Tariffs Jul2018'!L96,($C$5*'Tariffs Jul2018'!AK96/'Tariffs Jul2018'!AI96-'Tariffs Jul2018'!K96)*('Tariffs Jul2018'!Q96/100)*'Tariffs Jul2018'!AI96,('Tariffs Jul2018'!L96-'Tariffs Jul2018'!K96)*('Tariffs Jul2018'!Q96/100)*'Tariffs Jul2018'!AI96))</f>
        <v>0</v>
      </c>
      <c r="H102" s="59">
        <f>IF($C$5*'Tariffs Jul2018'!AK96/'Tariffs Jul2018'!AI96&lt;'Tariffs Jul2018'!L96,0,IF($C$5*'Tariffs Jul2018'!AK96/'Tariffs Jul2018'!AI96&lt;='Tariffs Jul2018'!M96,($C$5*'Tariffs Jul2018'!AK96/'Tariffs Jul2018'!AI96-'Tariffs Jul2018'!L96)*('Tariffs Jul2018'!R96/100)*'Tariffs Jul2018'!AI96,('Tariffs Jul2018'!M96-'Tariffs Jul2018'!L96)*('Tariffs Jul2018'!R96/100)*'Tariffs Jul2018'!AI96))</f>
        <v>0</v>
      </c>
      <c r="I102" s="59">
        <f>IF(($C$5*'Tariffs Jul2018'!AK96/'Tariffs Jul2018'!AI96&gt;'Tariffs Jul2018'!M96),($C$5*'Tariffs Jul2018'!AK96/'Tariffs Jul2018'!AI96-'Tariffs Jul2018'!M96)*'Tariffs Jul2018'!S96/100*'Tariffs Jul2018'!AI96,0)</f>
        <v>0</v>
      </c>
      <c r="J102" s="59">
        <f>IF($C$5*'Tariffs Jul2018'!AL96/'Tariffs Jul2018'!AJ96&gt;='Tariffs Jul2018'!J96,('Tariffs Jul2018'!J96*'Tariffs Jul2018'!U96/100)* 'Tariffs Jul2018'!AJ96,($C$5*'Tariffs Jul2018'!AL96/'Tariffs Jul2018'!AJ96*'Tariffs Jul2018'!U96/100)* 'Tariffs Jul2018'!AJ96)</f>
        <v>797.92019999999991</v>
      </c>
      <c r="K102" s="59">
        <f>IF($C$5*'Tariffs Jul2018'!AL96/'Tariffs Jul2018'!AJ96&lt;'Tariffs Jul2018'!J96,0,IF($C$5*'Tariffs Jul2018'!AL96/'Tariffs Jul2018'!AJ96&lt;='Tariffs Jul2018'!K96,($C$5*'Tariffs Jul2018'!AL96/'Tariffs Jul2018'!AJ96-'Tariffs Jul2018'!J96)*('Tariffs Jul2018'!V96/100)*'Tariffs Jul2018'!AJ96,('Tariffs Jul2018'!K96-'Tariffs Jul2018'!J96)*('Tariffs Jul2018'!V96/100)*'Tariffs Jul2018'!AJ96))</f>
        <v>0</v>
      </c>
      <c r="L102" s="59">
        <f>IF($C$5*'Tariffs Jul2018'!AL96/'Tariffs Jul2018'!AJ96&lt;'Tariffs Jul2018'!K96,0,IF($C$5*'Tariffs Jul2018'!AL96/'Tariffs Jul2018'!AJ96&lt;='Tariffs Jul2018'!L96,($C$5*'Tariffs Jul2018'!AL96/'Tariffs Jul2018'!AJ96-'Tariffs Jul2018'!K96)*('Tariffs Jul2018'!W96/100)*'Tariffs Jul2018'!AJ96,('Tariffs Jul2018'!L96-'Tariffs Jul2018'!K96)*('Tariffs Jul2018'!W96/100)*'Tariffs Jul2018'!AJ96))</f>
        <v>0</v>
      </c>
      <c r="M102" s="59">
        <f>IF($C$5*'Tariffs Jul2018'!AL96/'Tariffs Jul2018'!AJ96&lt;'Tariffs Jul2018'!L96,0,IF($C$5*'Tariffs Jul2018'!AL96/'Tariffs Jul2018'!AJ96&lt;='Tariffs Jul2018'!M96,($C$5*'Tariffs Jul2018'!AL96/'Tariffs Jul2018'!AJ96-'Tariffs Jul2018'!L96)*('Tariffs Jul2018'!X96/100)*'Tariffs Jul2018'!AJ96,('Tariffs Jul2018'!M96-'Tariffs Jul2018'!L96)*('Tariffs Jul2018'!X96/100)*'Tariffs Jul2018'!AJ96))</f>
        <v>0</v>
      </c>
      <c r="N102" s="59">
        <f>IF(($C$5*'Tariffs Jul2018'!AL96/'Tariffs Jul2018'!AJ96&gt;'Tariffs Jul2018'!M96),($C$5*'Tariffs Jul2018'!AL96/'Tariffs Jul2018'!AJ96-'Tariffs Jul2018'!M96)*'Tariffs Jul2018'!Y96/100*'Tariffs Jul2018'!AJ96,0)</f>
        <v>0</v>
      </c>
      <c r="O102" s="367">
        <f t="shared" si="11"/>
        <v>1369.0630799999999</v>
      </c>
      <c r="P102" s="59">
        <f t="shared" si="12"/>
        <v>1690.2630799999999</v>
      </c>
      <c r="Q102" s="272">
        <f t="shared" si="13"/>
        <v>1859.2893880000001</v>
      </c>
      <c r="R102" s="40">
        <f>'Tariffs Jul2018'!AM96</f>
        <v>0</v>
      </c>
      <c r="S102" s="40">
        <f>'Tariffs Jul2018'!AN96</f>
        <v>34</v>
      </c>
      <c r="T102" s="40">
        <f>'Tariffs Jul2018'!AO96</f>
        <v>0</v>
      </c>
      <c r="U102" s="40">
        <f>'Tariffs Jul2018'!AP96</f>
        <v>0</v>
      </c>
      <c r="V102" s="273">
        <f>P102-(O102*S102/100)</f>
        <v>1224.7816327999999</v>
      </c>
      <c r="W102" s="273">
        <f>V102-(O102*U102/100)</f>
        <v>1224.7816327999999</v>
      </c>
      <c r="X102" s="272">
        <f t="shared" si="14"/>
        <v>1347.2597960799999</v>
      </c>
      <c r="Y102" s="272">
        <f t="shared" si="14"/>
        <v>1347.2597960799999</v>
      </c>
      <c r="Z102" s="274">
        <f>'Tariffs Jul2018'!AY96</f>
        <v>0</v>
      </c>
      <c r="AA102" s="274" t="str">
        <f>'Tariffs Jul2018'!AZ96</f>
        <v>n</v>
      </c>
      <c r="AB102" s="275" t="str">
        <f>'Tariffs Jul2018'!BG96</f>
        <v>N</v>
      </c>
      <c r="AC102" s="351"/>
      <c r="AD102" s="351"/>
      <c r="AE102" s="351"/>
      <c r="AF102" s="351"/>
      <c r="AG102" s="351"/>
      <c r="AH102" s="351"/>
      <c r="AI102" s="351"/>
      <c r="AJ102" s="351"/>
      <c r="AK102" s="351"/>
      <c r="AL102" s="351"/>
      <c r="AM102" s="351"/>
      <c r="AN102" s="351"/>
    </row>
    <row r="103" spans="1:40" x14ac:dyDescent="0.15">
      <c r="A103" s="40" t="str">
        <f>'Tariffs Jul2018'!F97</f>
        <v>Lumo Energy</v>
      </c>
      <c r="B103" s="40" t="str">
        <f>'Tariffs Jul2018'!D97</f>
        <v>Ausnet Central 2</v>
      </c>
      <c r="C103" s="40" t="str">
        <f>'Tariffs Jul2018'!G97</f>
        <v>Advantage</v>
      </c>
      <c r="D103" s="59">
        <f>365*'Tariffs Jul2018'!H97/100</f>
        <v>288.35000000000002</v>
      </c>
      <c r="E103" s="59">
        <f>IF($C$5*'Tariffs Jul2018'!AK97/'Tariffs Jul2018'!AI97&gt;='Tariffs Jul2018'!J97,( 'Tariffs Jul2018'!J97*'Tariffs Jul2018'!O97/100)* 'Tariffs Jul2018'!AI97,($C$5*'Tariffs Jul2018'!AK97/'Tariffs Jul2018'!AI97*'Tariffs Jul2018'!O97/100)* 'Tariffs Jul2018'!AI97)</f>
        <v>305.99999999999994</v>
      </c>
      <c r="F103" s="59">
        <f>IF($C$5*'Tariffs Jul2018'!AK97/'Tariffs Jul2018'!AI97&lt;'Tariffs Jul2018'!J97,0,IF($C$5*'Tariffs Jul2018'!AK97/'Tariffs Jul2018'!AI97&lt;='Tariffs Jul2018'!K97,($C$5*'Tariffs Jul2018'!AK97/'Tariffs Jul2018'!AI97-'Tariffs Jul2018'!J97)*('Tariffs Jul2018'!P97/100)*'Tariffs Jul2018'!AI97,('Tariffs Jul2018'!K97-'Tariffs Jul2018'!J97)*('Tariffs Jul2018'!P97/100)*'Tariffs Jul2018'!AI97))</f>
        <v>197.95379999999997</v>
      </c>
      <c r="G103" s="59">
        <f>IF($C$5*'Tariffs Jul2018'!AK97/'Tariffs Jul2018'!AI97&lt;'Tariffs Jul2018'!K97,0,IF($C$5*'Tariffs Jul2018'!AK97/'Tariffs Jul2018'!AI97&lt;='Tariffs Jul2018'!L97,($C$5*'Tariffs Jul2018'!AK97/'Tariffs Jul2018'!AI97-'Tariffs Jul2018'!K97)*('Tariffs Jul2018'!Q97/100)*'Tariffs Jul2018'!AI97,('Tariffs Jul2018'!L97-'Tariffs Jul2018'!K97)*('Tariffs Jul2018'!Q97/100)*'Tariffs Jul2018'!AI97))</f>
        <v>0</v>
      </c>
      <c r="H103" s="59">
        <f>IF($C$5*'Tariffs Jul2018'!AK97/'Tariffs Jul2018'!AI97&lt;'Tariffs Jul2018'!L97,0,IF($C$5*'Tariffs Jul2018'!AK97/'Tariffs Jul2018'!AI97&lt;='Tariffs Jul2018'!M97,($C$5*'Tariffs Jul2018'!AK97/'Tariffs Jul2018'!AI97-'Tariffs Jul2018'!L97)*('Tariffs Jul2018'!R97/100)*'Tariffs Jul2018'!AI97,('Tariffs Jul2018'!M97-'Tariffs Jul2018'!L97)*('Tariffs Jul2018'!R97/100)*'Tariffs Jul2018'!AI97))</f>
        <v>0</v>
      </c>
      <c r="I103" s="59">
        <f>IF(($C$5*'Tariffs Jul2018'!AK97/'Tariffs Jul2018'!AI97&gt;'Tariffs Jul2018'!M97),($C$5*'Tariffs Jul2018'!AK97/'Tariffs Jul2018'!AI97-'Tariffs Jul2018'!M97)*'Tariffs Jul2018'!S97/100*'Tariffs Jul2018'!AI97,0)</f>
        <v>0</v>
      </c>
      <c r="J103" s="59">
        <f>IF($C$5*'Tariffs Jul2018'!AL97/'Tariffs Jul2018'!AJ97&gt;='Tariffs Jul2018'!J97,('Tariffs Jul2018'!J97*'Tariffs Jul2018'!U97/100)* 'Tariffs Jul2018'!AJ97,($C$5*'Tariffs Jul2018'!AL97/'Tariffs Jul2018'!AJ97*'Tariffs Jul2018'!U97/100)* 'Tariffs Jul2018'!AJ97)</f>
        <v>432</v>
      </c>
      <c r="K103" s="59">
        <f>IF($C$5*'Tariffs Jul2018'!AL97/'Tariffs Jul2018'!AJ97&lt;'Tariffs Jul2018'!J97,0,IF($C$5*'Tariffs Jul2018'!AL97/'Tariffs Jul2018'!AJ97&lt;='Tariffs Jul2018'!K97,($C$5*'Tariffs Jul2018'!AL97/'Tariffs Jul2018'!AJ97-'Tariffs Jul2018'!J97)*('Tariffs Jul2018'!V97/100)*'Tariffs Jul2018'!AJ97,('Tariffs Jul2018'!K97-'Tariffs Jul2018'!J97)*('Tariffs Jul2018'!V97/100)*'Tariffs Jul2018'!AJ97))</f>
        <v>314.92649999999998</v>
      </c>
      <c r="L103" s="59">
        <f>IF($C$5*'Tariffs Jul2018'!AL97/'Tariffs Jul2018'!AJ97&lt;'Tariffs Jul2018'!K97,0,IF($C$5*'Tariffs Jul2018'!AL97/'Tariffs Jul2018'!AJ97&lt;='Tariffs Jul2018'!L97,($C$5*'Tariffs Jul2018'!AL97/'Tariffs Jul2018'!AJ97-'Tariffs Jul2018'!K97)*('Tariffs Jul2018'!W97/100)*'Tariffs Jul2018'!AJ97,('Tariffs Jul2018'!L97-'Tariffs Jul2018'!K97)*('Tariffs Jul2018'!W97/100)*'Tariffs Jul2018'!AJ97))</f>
        <v>0</v>
      </c>
      <c r="M103" s="59">
        <f>IF($C$5*'Tariffs Jul2018'!AL97/'Tariffs Jul2018'!AJ97&lt;'Tariffs Jul2018'!L97,0,IF($C$5*'Tariffs Jul2018'!AL97/'Tariffs Jul2018'!AJ97&lt;='Tariffs Jul2018'!M97,($C$5*'Tariffs Jul2018'!AL97/'Tariffs Jul2018'!AJ97-'Tariffs Jul2018'!L97)*('Tariffs Jul2018'!X97/100)*'Tariffs Jul2018'!AJ97,('Tariffs Jul2018'!M97-'Tariffs Jul2018'!L97)*('Tariffs Jul2018'!X97/100)*'Tariffs Jul2018'!AJ97))</f>
        <v>0</v>
      </c>
      <c r="N103" s="59">
        <f>IF(($C$5*'Tariffs Jul2018'!AL97/'Tariffs Jul2018'!AJ97&gt;'Tariffs Jul2018'!M97),($C$5*'Tariffs Jul2018'!AL97/'Tariffs Jul2018'!AJ97-'Tariffs Jul2018'!M97)*'Tariffs Jul2018'!Y97/100*'Tariffs Jul2018'!AJ97,0)</f>
        <v>0</v>
      </c>
      <c r="O103" s="367">
        <f t="shared" si="11"/>
        <v>1250.8802999999998</v>
      </c>
      <c r="P103" s="59">
        <f t="shared" si="12"/>
        <v>1539.2302999999997</v>
      </c>
      <c r="Q103" s="272">
        <f t="shared" si="13"/>
        <v>1693.1533299999999</v>
      </c>
      <c r="R103" s="40">
        <f>'Tariffs Jul2018'!AM97</f>
        <v>0</v>
      </c>
      <c r="S103" s="40">
        <f>'Tariffs Jul2018'!AN97</f>
        <v>0</v>
      </c>
      <c r="T103" s="40">
        <f>'Tariffs Jul2018'!AO97</f>
        <v>15</v>
      </c>
      <c r="U103" s="40">
        <f>'Tariffs Jul2018'!AP97</f>
        <v>0</v>
      </c>
      <c r="V103" s="273">
        <f t="shared" ref="V103:V111" si="15">P103</f>
        <v>1539.2302999999997</v>
      </c>
      <c r="W103" s="273">
        <f>V103-(P103*T103/100)</f>
        <v>1308.3457549999998</v>
      </c>
      <c r="X103" s="272">
        <f t="shared" si="14"/>
        <v>1693.1533299999999</v>
      </c>
      <c r="Y103" s="272">
        <f t="shared" si="14"/>
        <v>1439.1803304999999</v>
      </c>
      <c r="Z103" s="274">
        <f>'Tariffs Jul2018'!AY97</f>
        <v>0</v>
      </c>
      <c r="AA103" s="274" t="str">
        <f>'Tariffs Jul2018'!AZ97</f>
        <v>n</v>
      </c>
      <c r="AB103" s="275" t="str">
        <f>'Tariffs Jul2018'!BG97</f>
        <v>N</v>
      </c>
      <c r="AC103" s="351"/>
      <c r="AD103" s="351"/>
      <c r="AE103" s="351"/>
      <c r="AF103" s="351"/>
      <c r="AG103" s="351"/>
      <c r="AH103" s="351"/>
      <c r="AI103" s="351"/>
      <c r="AJ103" s="351"/>
      <c r="AK103" s="351"/>
      <c r="AL103" s="351"/>
      <c r="AM103" s="351"/>
      <c r="AN103" s="351"/>
    </row>
    <row r="104" spans="1:40" x14ac:dyDescent="0.15">
      <c r="A104" s="40" t="str">
        <f>'Tariffs Jul2018'!F98</f>
        <v>Momentum Energy</v>
      </c>
      <c r="B104" s="40" t="str">
        <f>'Tariffs Jul2018'!D98</f>
        <v>Ausnet Central 2</v>
      </c>
      <c r="C104" s="40" t="str">
        <f>'Tariffs Jul2018'!G98</f>
        <v>Market offer</v>
      </c>
      <c r="D104" s="59">
        <f>365*'Tariffs Jul2018'!H98/100</f>
        <v>299.19049999999999</v>
      </c>
      <c r="E104" s="59">
        <f>IF($C$5*'Tariffs Jul2018'!AK98/'Tariffs Jul2018'!AI98&gt;='Tariffs Jul2018'!J98,( 'Tariffs Jul2018'!J98*'Tariffs Jul2018'!O98/100)* 'Tariffs Jul2018'!AI98,($C$5*'Tariffs Jul2018'!AK98/'Tariffs Jul2018'!AI98*'Tariffs Jul2018'!O98/100)* 'Tariffs Jul2018'!AI98)</f>
        <v>240</v>
      </c>
      <c r="F104" s="59">
        <f>IF($C$5*'Tariffs Jul2018'!AK98/'Tariffs Jul2018'!AI98&lt;'Tariffs Jul2018'!J98,0,IF($C$5*'Tariffs Jul2018'!AK98/'Tariffs Jul2018'!AI98&lt;='Tariffs Jul2018'!K98,($C$5*'Tariffs Jul2018'!AK98/'Tariffs Jul2018'!AI98-'Tariffs Jul2018'!J98)*('Tariffs Jul2018'!P98/100)*'Tariffs Jul2018'!AI98,('Tariffs Jul2018'!K98-'Tariffs Jul2018'!J98)*('Tariffs Jul2018'!P98/100)*'Tariffs Jul2018'!AI98))</f>
        <v>157.46324999999999</v>
      </c>
      <c r="G104" s="59">
        <f>IF($C$5*'Tariffs Jul2018'!AK98/'Tariffs Jul2018'!AI98&lt;'Tariffs Jul2018'!K98,0,IF($C$5*'Tariffs Jul2018'!AK98/'Tariffs Jul2018'!AI98&lt;='Tariffs Jul2018'!L98,($C$5*'Tariffs Jul2018'!AK98/'Tariffs Jul2018'!AI98-'Tariffs Jul2018'!K98)*('Tariffs Jul2018'!Q98/100)*'Tariffs Jul2018'!AI98,('Tariffs Jul2018'!L98-'Tariffs Jul2018'!K98)*('Tariffs Jul2018'!Q98/100)*'Tariffs Jul2018'!AI98))</f>
        <v>0</v>
      </c>
      <c r="H104" s="59">
        <f>IF($C$5*'Tariffs Jul2018'!AK98/'Tariffs Jul2018'!AI98&lt;'Tariffs Jul2018'!L98,0,IF($C$5*'Tariffs Jul2018'!AK98/'Tariffs Jul2018'!AI98&lt;='Tariffs Jul2018'!M98,($C$5*'Tariffs Jul2018'!AK98/'Tariffs Jul2018'!AI98-'Tariffs Jul2018'!L98)*('Tariffs Jul2018'!R98/100)*'Tariffs Jul2018'!AI98,('Tariffs Jul2018'!M98-'Tariffs Jul2018'!L98)*('Tariffs Jul2018'!R98/100)*'Tariffs Jul2018'!AI98))</f>
        <v>0</v>
      </c>
      <c r="I104" s="59">
        <f>IF(($C$5*'Tariffs Jul2018'!AK98/'Tariffs Jul2018'!AI98&gt;'Tariffs Jul2018'!M98),($C$5*'Tariffs Jul2018'!AK98/'Tariffs Jul2018'!AI98-'Tariffs Jul2018'!M98)*'Tariffs Jul2018'!S98/100*'Tariffs Jul2018'!AI98,0)</f>
        <v>0</v>
      </c>
      <c r="J104" s="59">
        <f>IF($C$5*'Tariffs Jul2018'!AL98/'Tariffs Jul2018'!AJ98&gt;='Tariffs Jul2018'!J98,('Tariffs Jul2018'!J98*'Tariffs Jul2018'!U98/100)* 'Tariffs Jul2018'!AJ98,($C$5*'Tariffs Jul2018'!AL98/'Tariffs Jul2018'!AJ98*'Tariffs Jul2018'!U98/100)* 'Tariffs Jul2018'!AJ98)</f>
        <v>360</v>
      </c>
      <c r="K104" s="59">
        <f>IF($C$5*'Tariffs Jul2018'!AL98/'Tariffs Jul2018'!AJ98&lt;'Tariffs Jul2018'!J98,0,IF($C$5*'Tariffs Jul2018'!AL98/'Tariffs Jul2018'!AJ98&lt;='Tariffs Jul2018'!K98,($C$5*'Tariffs Jul2018'!AL98/'Tariffs Jul2018'!AJ98-'Tariffs Jul2018'!J98)*('Tariffs Jul2018'!V98/100)*'Tariffs Jul2018'!AJ98,('Tariffs Jul2018'!K98-'Tariffs Jul2018'!J98)*('Tariffs Jul2018'!V98/100)*'Tariffs Jul2018'!AJ98))</f>
        <v>264.53825999999992</v>
      </c>
      <c r="L104" s="59">
        <f>IF($C$5*'Tariffs Jul2018'!AL98/'Tariffs Jul2018'!AJ98&lt;'Tariffs Jul2018'!K98,0,IF($C$5*'Tariffs Jul2018'!AL98/'Tariffs Jul2018'!AJ98&lt;='Tariffs Jul2018'!L98,($C$5*'Tariffs Jul2018'!AL98/'Tariffs Jul2018'!AJ98-'Tariffs Jul2018'!K98)*('Tariffs Jul2018'!W98/100)*'Tariffs Jul2018'!AJ98,('Tariffs Jul2018'!L98-'Tariffs Jul2018'!K98)*('Tariffs Jul2018'!W98/100)*'Tariffs Jul2018'!AJ98))</f>
        <v>0</v>
      </c>
      <c r="M104" s="59">
        <f>IF($C$5*'Tariffs Jul2018'!AL98/'Tariffs Jul2018'!AJ98&lt;'Tariffs Jul2018'!L98,0,IF($C$5*'Tariffs Jul2018'!AL98/'Tariffs Jul2018'!AJ98&lt;='Tariffs Jul2018'!M98,($C$5*'Tariffs Jul2018'!AL98/'Tariffs Jul2018'!AJ98-'Tariffs Jul2018'!L98)*('Tariffs Jul2018'!X98/100)*'Tariffs Jul2018'!AJ98,('Tariffs Jul2018'!M98-'Tariffs Jul2018'!L98)*('Tariffs Jul2018'!X98/100)*'Tariffs Jul2018'!AJ98))</f>
        <v>0</v>
      </c>
      <c r="N104" s="59">
        <f>IF(($C$5*'Tariffs Jul2018'!AL98/'Tariffs Jul2018'!AJ98&gt;'Tariffs Jul2018'!M98),($C$5*'Tariffs Jul2018'!AL98/'Tariffs Jul2018'!AJ98-'Tariffs Jul2018'!M98)*'Tariffs Jul2018'!Y98/100*'Tariffs Jul2018'!AJ98,0)</f>
        <v>0</v>
      </c>
      <c r="O104" s="367">
        <f t="shared" si="11"/>
        <v>1022.0015099999999</v>
      </c>
      <c r="P104" s="59">
        <f t="shared" si="12"/>
        <v>1321.19201</v>
      </c>
      <c r="Q104" s="272">
        <f t="shared" si="13"/>
        <v>1453.3112110000002</v>
      </c>
      <c r="R104" s="40">
        <f>'Tariffs Jul2018'!AM98</f>
        <v>0</v>
      </c>
      <c r="S104" s="40">
        <f>'Tariffs Jul2018'!AN98</f>
        <v>0</v>
      </c>
      <c r="T104" s="40">
        <f>'Tariffs Jul2018'!AO98</f>
        <v>0</v>
      </c>
      <c r="U104" s="40">
        <f>'Tariffs Jul2018'!AP98</f>
        <v>0</v>
      </c>
      <c r="V104" s="273">
        <f t="shared" si="15"/>
        <v>1321.19201</v>
      </c>
      <c r="W104" s="273">
        <f>V104</f>
        <v>1321.19201</v>
      </c>
      <c r="X104" s="272">
        <f t="shared" si="14"/>
        <v>1453.3112110000002</v>
      </c>
      <c r="Y104" s="272">
        <f t="shared" si="14"/>
        <v>1453.3112110000002</v>
      </c>
      <c r="Z104" s="274">
        <f>'Tariffs Jul2018'!AY98</f>
        <v>0</v>
      </c>
      <c r="AA104" s="274" t="str">
        <f>'Tariffs Jul2018'!AZ98</f>
        <v>n</v>
      </c>
      <c r="AB104" s="275" t="str">
        <f>'Tariffs Jul2018'!BG98</f>
        <v>Y</v>
      </c>
      <c r="AC104" s="351"/>
      <c r="AD104" s="351"/>
      <c r="AE104" s="351"/>
      <c r="AF104" s="351"/>
      <c r="AG104" s="351"/>
      <c r="AH104" s="351"/>
      <c r="AI104" s="351"/>
      <c r="AJ104" s="351"/>
      <c r="AK104" s="351"/>
      <c r="AL104" s="351"/>
      <c r="AM104" s="351"/>
      <c r="AN104" s="351"/>
    </row>
    <row r="105" spans="1:40" x14ac:dyDescent="0.15">
      <c r="A105" s="40" t="str">
        <f>'Tariffs Jul2018'!F99</f>
        <v>Origin Energy</v>
      </c>
      <c r="B105" s="40" t="str">
        <f>'Tariffs Jul2018'!D99</f>
        <v>Ausnet Central 2</v>
      </c>
      <c r="C105" s="40" t="str">
        <f>'Tariffs Jul2018'!G99</f>
        <v>Saver</v>
      </c>
      <c r="D105" s="59">
        <f>365*'Tariffs Jul2018'!H99/100</f>
        <v>284.7</v>
      </c>
      <c r="E105" s="59">
        <f>IF($C$5*'Tariffs Jul2018'!AK99/'Tariffs Jul2018'!AI99&gt;='Tariffs Jul2018'!J99,( 'Tariffs Jul2018'!J99*'Tariffs Jul2018'!O99/100)* 'Tariffs Jul2018'!AI99,($C$5*'Tariffs Jul2018'!AK99/'Tariffs Jul2018'!AI99*'Tariffs Jul2018'!O99/100)* 'Tariffs Jul2018'!AI99)</f>
        <v>179.2</v>
      </c>
      <c r="F105" s="59">
        <f>IF($C$5*'Tariffs Jul2018'!AK99/'Tariffs Jul2018'!AI99&lt;'Tariffs Jul2018'!J99,0,IF($C$5*'Tariffs Jul2018'!AK99/'Tariffs Jul2018'!AI99&lt;='Tariffs Jul2018'!K99,($C$5*'Tariffs Jul2018'!AK99/'Tariffs Jul2018'!AI99-'Tariffs Jul2018'!J99)*('Tariffs Jul2018'!P99/100)*'Tariffs Jul2018'!AI99,('Tariffs Jul2018'!K99-'Tariffs Jul2018'!J99)*('Tariffs Jul2018'!P99/100)*'Tariffs Jul2018'!AI99))</f>
        <v>0</v>
      </c>
      <c r="G105" s="59">
        <f>IF($C$5*'Tariffs Jul2018'!AK99/'Tariffs Jul2018'!AI99&lt;'Tariffs Jul2018'!K99,0,IF($C$5*'Tariffs Jul2018'!AK99/'Tariffs Jul2018'!AI99&lt;='Tariffs Jul2018'!L99,($C$5*'Tariffs Jul2018'!AK99/'Tariffs Jul2018'!AI99-'Tariffs Jul2018'!K99)*('Tariffs Jul2018'!Q99/100)*'Tariffs Jul2018'!AI99,('Tariffs Jul2018'!L99-'Tariffs Jul2018'!K99)*('Tariffs Jul2018'!Q99/100)*'Tariffs Jul2018'!AI99))</f>
        <v>0</v>
      </c>
      <c r="H105" s="59">
        <f>IF($C$5*'Tariffs Jul2018'!AK99/'Tariffs Jul2018'!AI99&lt;'Tariffs Jul2018'!L99,0,IF($C$5*'Tariffs Jul2018'!AK99/'Tariffs Jul2018'!AI99&lt;='Tariffs Jul2018'!M99,($C$5*'Tariffs Jul2018'!AK99/'Tariffs Jul2018'!AI99-'Tariffs Jul2018'!L99)*('Tariffs Jul2018'!R99/100)*'Tariffs Jul2018'!AI99,('Tariffs Jul2018'!M99-'Tariffs Jul2018'!L99)*('Tariffs Jul2018'!R99/100)*'Tariffs Jul2018'!AI99))</f>
        <v>0</v>
      </c>
      <c r="I105" s="59">
        <f>IF(($C$5*'Tariffs Jul2018'!AK99/'Tariffs Jul2018'!AI99&gt;'Tariffs Jul2018'!M99),($C$5*'Tariffs Jul2018'!AK99/'Tariffs Jul2018'!AI99-'Tariffs Jul2018'!M99)*'Tariffs Jul2018'!S99/100*'Tariffs Jul2018'!AI99,0)</f>
        <v>321.15379999999999</v>
      </c>
      <c r="J105" s="59">
        <f>IF($C$5*'Tariffs Jul2018'!AL99/'Tariffs Jul2018'!AJ99&gt;='Tariffs Jul2018'!J99,('Tariffs Jul2018'!J99*'Tariffs Jul2018'!U99/100)* 'Tariffs Jul2018'!AJ99,($C$5*'Tariffs Jul2018'!AL99/'Tariffs Jul2018'!AJ99*'Tariffs Jul2018'!U99/100)* 'Tariffs Jul2018'!AJ99)</f>
        <v>256</v>
      </c>
      <c r="K105" s="59">
        <f>IF($C$5*'Tariffs Jul2018'!AL99/'Tariffs Jul2018'!AJ99&lt;'Tariffs Jul2018'!J99,0,IF($C$5*'Tariffs Jul2018'!AL99/'Tariffs Jul2018'!AJ99&lt;='Tariffs Jul2018'!K99,($C$5*'Tariffs Jul2018'!AL99/'Tariffs Jul2018'!AJ99-'Tariffs Jul2018'!J99)*('Tariffs Jul2018'!V99/100)*'Tariffs Jul2018'!AJ99,('Tariffs Jul2018'!K99-'Tariffs Jul2018'!J99)*('Tariffs Jul2018'!V99/100)*'Tariffs Jul2018'!AJ99))</f>
        <v>0</v>
      </c>
      <c r="L105" s="59">
        <f>IF($C$5*'Tariffs Jul2018'!AL99/'Tariffs Jul2018'!AJ99&lt;'Tariffs Jul2018'!K99,0,IF($C$5*'Tariffs Jul2018'!AL99/'Tariffs Jul2018'!AJ99&lt;='Tariffs Jul2018'!L99,($C$5*'Tariffs Jul2018'!AL99/'Tariffs Jul2018'!AJ99-'Tariffs Jul2018'!K99)*('Tariffs Jul2018'!W99/100)*'Tariffs Jul2018'!AJ99,('Tariffs Jul2018'!L99-'Tariffs Jul2018'!K99)*('Tariffs Jul2018'!W99/100)*'Tariffs Jul2018'!AJ99))</f>
        <v>0</v>
      </c>
      <c r="M105" s="59">
        <f>IF($C$5*'Tariffs Jul2018'!AL99/'Tariffs Jul2018'!AJ99&lt;'Tariffs Jul2018'!L99,0,IF($C$5*'Tariffs Jul2018'!AL99/'Tariffs Jul2018'!AJ99&lt;='Tariffs Jul2018'!M99,($C$5*'Tariffs Jul2018'!AL99/'Tariffs Jul2018'!AJ99-'Tariffs Jul2018'!L99)*('Tariffs Jul2018'!X99/100)*'Tariffs Jul2018'!AJ99,('Tariffs Jul2018'!M99-'Tariffs Jul2018'!L99)*('Tariffs Jul2018'!X99/100)*'Tariffs Jul2018'!AJ99))</f>
        <v>0</v>
      </c>
      <c r="N105" s="59">
        <f>IF(($C$5*'Tariffs Jul2018'!AL99/'Tariffs Jul2018'!AJ99&gt;'Tariffs Jul2018'!M99),($C$5*'Tariffs Jul2018'!AL99/'Tariffs Jul2018'!AJ99-'Tariffs Jul2018'!M99)*'Tariffs Jul2018'!Y99/100*'Tariffs Jul2018'!AJ99,0)</f>
        <v>467.13279999999997</v>
      </c>
      <c r="O105" s="367">
        <f t="shared" si="11"/>
        <v>1223.4866</v>
      </c>
      <c r="P105" s="59">
        <f t="shared" si="12"/>
        <v>1508.1866</v>
      </c>
      <c r="Q105" s="272">
        <f t="shared" si="13"/>
        <v>1659.0052600000001</v>
      </c>
      <c r="R105" s="40">
        <f>'Tariffs Jul2018'!AM99</f>
        <v>0</v>
      </c>
      <c r="S105" s="40">
        <f>'Tariffs Jul2018'!AN99</f>
        <v>0</v>
      </c>
      <c r="T105" s="40">
        <f>'Tariffs Jul2018'!AO99</f>
        <v>0</v>
      </c>
      <c r="U105" s="40">
        <f>'Tariffs Jul2018'!AP99</f>
        <v>13</v>
      </c>
      <c r="V105" s="273">
        <f t="shared" si="15"/>
        <v>1508.1866</v>
      </c>
      <c r="W105" s="273">
        <f>V105-(O105*U105/100)</f>
        <v>1349.1333420000001</v>
      </c>
      <c r="X105" s="272">
        <f t="shared" si="14"/>
        <v>1659.0052600000001</v>
      </c>
      <c r="Y105" s="272">
        <f t="shared" si="14"/>
        <v>1484.0466762000003</v>
      </c>
      <c r="Z105" s="274">
        <f>'Tariffs Jul2018'!AY99</f>
        <v>0</v>
      </c>
      <c r="AA105" s="274" t="str">
        <f>'Tariffs Jul2018'!AZ99</f>
        <v>n</v>
      </c>
      <c r="AB105" s="275" t="str">
        <f>'Tariffs Jul2018'!BG99</f>
        <v>N</v>
      </c>
      <c r="AC105" s="351"/>
      <c r="AD105" s="351"/>
      <c r="AE105" s="351"/>
      <c r="AF105" s="351"/>
      <c r="AG105" s="351"/>
      <c r="AH105" s="351"/>
      <c r="AI105" s="351"/>
      <c r="AJ105" s="351"/>
      <c r="AK105" s="351"/>
      <c r="AL105" s="351"/>
      <c r="AM105" s="351"/>
      <c r="AN105" s="351"/>
    </row>
    <row r="106" spans="1:40" x14ac:dyDescent="0.15">
      <c r="A106" s="40" t="str">
        <f>'Tariffs Jul2018'!F100</f>
        <v>Red Energy</v>
      </c>
      <c r="B106" s="40" t="str">
        <f>'Tariffs Jul2018'!D100</f>
        <v>Ausnet Central 2</v>
      </c>
      <c r="C106" s="40" t="str">
        <f>'Tariffs Jul2018'!G100</f>
        <v>Easy Saver</v>
      </c>
      <c r="D106" s="59">
        <f>365*'Tariffs Jul2018'!H100/100</f>
        <v>292</v>
      </c>
      <c r="E106" s="59">
        <f>IF($C$5*'Tariffs Jul2018'!AK100/'Tariffs Jul2018'!AI100&gt;='Tariffs Jul2018'!J100,( 'Tariffs Jul2018'!J100*'Tariffs Jul2018'!O100/100)* 'Tariffs Jul2018'!AI100,($C$5*'Tariffs Jul2018'!AK100/'Tariffs Jul2018'!AI100*'Tariffs Jul2018'!O100/100)* 'Tariffs Jul2018'!AI100)</f>
        <v>185.5</v>
      </c>
      <c r="F106" s="59">
        <f>IF($C$5*'Tariffs Jul2018'!AK100/'Tariffs Jul2018'!AI100&lt;'Tariffs Jul2018'!J100,0,IF($C$5*'Tariffs Jul2018'!AK100/'Tariffs Jul2018'!AI100&lt;='Tariffs Jul2018'!K100,($C$5*'Tariffs Jul2018'!AK100/'Tariffs Jul2018'!AI100-'Tariffs Jul2018'!J100)*('Tariffs Jul2018'!P100/100)*'Tariffs Jul2018'!AI100,('Tariffs Jul2018'!K100-'Tariffs Jul2018'!J100)*('Tariffs Jul2018'!P100/100)*'Tariffs Jul2018'!AI100))</f>
        <v>0</v>
      </c>
      <c r="G106" s="59">
        <f>IF($C$5*'Tariffs Jul2018'!AK100/'Tariffs Jul2018'!AI100&lt;'Tariffs Jul2018'!K100,0,IF($C$5*'Tariffs Jul2018'!AK100/'Tariffs Jul2018'!AI100&lt;='Tariffs Jul2018'!L100,($C$5*'Tariffs Jul2018'!AK100/'Tariffs Jul2018'!AI100-'Tariffs Jul2018'!K100)*('Tariffs Jul2018'!Q100/100)*'Tariffs Jul2018'!AI100,('Tariffs Jul2018'!L100-'Tariffs Jul2018'!K100)*('Tariffs Jul2018'!Q100/100)*'Tariffs Jul2018'!AI100))</f>
        <v>0</v>
      </c>
      <c r="H106" s="59">
        <f>IF($C$5*'Tariffs Jul2018'!AK100/'Tariffs Jul2018'!AI100&lt;'Tariffs Jul2018'!L100,0,IF($C$5*'Tariffs Jul2018'!AK100/'Tariffs Jul2018'!AI100&lt;='Tariffs Jul2018'!M100,($C$5*'Tariffs Jul2018'!AK100/'Tariffs Jul2018'!AI100-'Tariffs Jul2018'!L100)*('Tariffs Jul2018'!R100/100)*'Tariffs Jul2018'!AI100,('Tariffs Jul2018'!M100-'Tariffs Jul2018'!L100)*('Tariffs Jul2018'!R100/100)*'Tariffs Jul2018'!AI100))</f>
        <v>0</v>
      </c>
      <c r="I106" s="59">
        <f>IF(($C$5*'Tariffs Jul2018'!AK100/'Tariffs Jul2018'!AI100&gt;'Tariffs Jul2018'!M100),($C$5*'Tariffs Jul2018'!AK100/'Tariffs Jul2018'!AI100-'Tariffs Jul2018'!M100)*'Tariffs Jul2018'!S100/100*'Tariffs Jul2018'!AI100,0)</f>
        <v>258.96114999999998</v>
      </c>
      <c r="J106" s="59">
        <f>IF($C$5*'Tariffs Jul2018'!AL100/'Tariffs Jul2018'!AJ100&gt;='Tariffs Jul2018'!J100,('Tariffs Jul2018'!J100*'Tariffs Jul2018'!U100/100)* 'Tariffs Jul2018'!AJ100,($C$5*'Tariffs Jul2018'!AL100/'Tariffs Jul2018'!AJ100*'Tariffs Jul2018'!U100/100)* 'Tariffs Jul2018'!AJ100)</f>
        <v>259</v>
      </c>
      <c r="K106" s="59">
        <f>IF($C$5*'Tariffs Jul2018'!AL100/'Tariffs Jul2018'!AJ100&lt;'Tariffs Jul2018'!J100,0,IF($C$5*'Tariffs Jul2018'!AL100/'Tariffs Jul2018'!AJ100&lt;='Tariffs Jul2018'!K100,($C$5*'Tariffs Jul2018'!AL100/'Tariffs Jul2018'!AJ100-'Tariffs Jul2018'!J100)*('Tariffs Jul2018'!V100/100)*'Tariffs Jul2018'!AJ100,('Tariffs Jul2018'!K100-'Tariffs Jul2018'!J100)*('Tariffs Jul2018'!V100/100)*'Tariffs Jul2018'!AJ100))</f>
        <v>0</v>
      </c>
      <c r="L106" s="59">
        <f>IF($C$5*'Tariffs Jul2018'!AL100/'Tariffs Jul2018'!AJ100&lt;'Tariffs Jul2018'!K100,0,IF($C$5*'Tariffs Jul2018'!AL100/'Tariffs Jul2018'!AJ100&lt;='Tariffs Jul2018'!L100,($C$5*'Tariffs Jul2018'!AL100/'Tariffs Jul2018'!AJ100-'Tariffs Jul2018'!K100)*('Tariffs Jul2018'!W100/100)*'Tariffs Jul2018'!AJ100,('Tariffs Jul2018'!L100-'Tariffs Jul2018'!K100)*('Tariffs Jul2018'!W100/100)*'Tariffs Jul2018'!AJ100))</f>
        <v>0</v>
      </c>
      <c r="M106" s="59">
        <f>IF($C$5*'Tariffs Jul2018'!AL100/'Tariffs Jul2018'!AJ100&lt;'Tariffs Jul2018'!L100,0,IF($C$5*'Tariffs Jul2018'!AL100/'Tariffs Jul2018'!AJ100&lt;='Tariffs Jul2018'!M100,($C$5*'Tariffs Jul2018'!AL100/'Tariffs Jul2018'!AJ100-'Tariffs Jul2018'!L100)*('Tariffs Jul2018'!X100/100)*'Tariffs Jul2018'!AJ100,('Tariffs Jul2018'!M100-'Tariffs Jul2018'!L100)*('Tariffs Jul2018'!X100/100)*'Tariffs Jul2018'!AJ100))</f>
        <v>0</v>
      </c>
      <c r="N106" s="59">
        <f>IF(($C$5*'Tariffs Jul2018'!AL100/'Tariffs Jul2018'!AJ100&gt;'Tariffs Jul2018'!M100),($C$5*'Tariffs Jul2018'!AL100/'Tariffs Jul2018'!AJ100-'Tariffs Jul2018'!M100)*'Tariffs Jul2018'!Y100/100*'Tariffs Jul2018'!AJ100,0)</f>
        <v>475.92859999999996</v>
      </c>
      <c r="O106" s="367">
        <f t="shared" si="11"/>
        <v>1179.3897499999998</v>
      </c>
      <c r="P106" s="59">
        <f t="shared" si="12"/>
        <v>1471.3897499999998</v>
      </c>
      <c r="Q106" s="272">
        <f t="shared" si="13"/>
        <v>1618.5287249999999</v>
      </c>
      <c r="R106" s="40">
        <f>'Tariffs Jul2018'!AM100</f>
        <v>0</v>
      </c>
      <c r="S106" s="40">
        <f>'Tariffs Jul2018'!AN100</f>
        <v>0</v>
      </c>
      <c r="T106" s="40">
        <f>'Tariffs Jul2018'!AO100</f>
        <v>10</v>
      </c>
      <c r="U106" s="40">
        <f>'Tariffs Jul2018'!AP100</f>
        <v>0</v>
      </c>
      <c r="V106" s="273">
        <f t="shared" si="15"/>
        <v>1471.3897499999998</v>
      </c>
      <c r="W106" s="273">
        <f>V106-(P106*T106/100)</f>
        <v>1324.2507749999997</v>
      </c>
      <c r="X106" s="272">
        <f t="shared" si="14"/>
        <v>1618.5287249999999</v>
      </c>
      <c r="Y106" s="272">
        <f t="shared" si="14"/>
        <v>1456.6758524999998</v>
      </c>
      <c r="Z106" s="274">
        <f>'Tariffs Jul2018'!AY100</f>
        <v>0</v>
      </c>
      <c r="AA106" s="274" t="str">
        <f>'Tariffs Jul2018'!AZ100</f>
        <v>n</v>
      </c>
      <c r="AB106" s="275" t="str">
        <f>'Tariffs Jul2018'!BG100</f>
        <v>Y</v>
      </c>
      <c r="AC106" s="351"/>
      <c r="AD106" s="351"/>
      <c r="AE106" s="351"/>
      <c r="AF106" s="351"/>
      <c r="AG106" s="351"/>
      <c r="AH106" s="351"/>
      <c r="AI106" s="351"/>
      <c r="AJ106" s="351"/>
      <c r="AK106" s="351"/>
      <c r="AL106" s="351"/>
      <c r="AM106" s="351"/>
      <c r="AN106" s="351"/>
    </row>
    <row r="107" spans="1:40" x14ac:dyDescent="0.15">
      <c r="A107" s="40" t="str">
        <f>'Tariffs Jul2018'!F101</f>
        <v>Simply Energy</v>
      </c>
      <c r="B107" s="40" t="str">
        <f>'Tariffs Jul2018'!D101</f>
        <v>Ausnet Central 2</v>
      </c>
      <c r="C107" s="40" t="str">
        <f>'Tariffs Jul2018'!G101</f>
        <v>Plus</v>
      </c>
      <c r="D107" s="59">
        <f>365*'Tariffs Jul2018'!H101/100</f>
        <v>280.35650000000004</v>
      </c>
      <c r="E107" s="59">
        <f>IF($C$5*'Tariffs Jul2018'!AK101/'Tariffs Jul2018'!AI101&gt;='Tariffs Jul2018'!J101,( 'Tariffs Jul2018'!J101*'Tariffs Jul2018'!O101/100)* 'Tariffs Jul2018'!AI101,($C$5*'Tariffs Jul2018'!AK101/'Tariffs Jul2018'!AI101*'Tariffs Jul2018'!O101/100)* 'Tariffs Jul2018'!AI101)</f>
        <v>345.6</v>
      </c>
      <c r="F107" s="59">
        <f>IF($C$5*'Tariffs Jul2018'!AK101/'Tariffs Jul2018'!AI101&lt;'Tariffs Jul2018'!J101,0,IF($C$5*'Tariffs Jul2018'!AK101/'Tariffs Jul2018'!AI101&lt;='Tariffs Jul2018'!K101,($C$5*'Tariffs Jul2018'!AK101/'Tariffs Jul2018'!AI101-'Tariffs Jul2018'!J101)*('Tariffs Jul2018'!P101/100)*'Tariffs Jul2018'!AI101,('Tariffs Jul2018'!K101-'Tariffs Jul2018'!J101)*('Tariffs Jul2018'!P101/100)*'Tariffs Jul2018'!AI101))</f>
        <v>253.74077999999994</v>
      </c>
      <c r="G107" s="59">
        <f>IF($C$5*'Tariffs Jul2018'!AK101/'Tariffs Jul2018'!AI101&lt;'Tariffs Jul2018'!K101,0,IF($C$5*'Tariffs Jul2018'!AK101/'Tariffs Jul2018'!AI101&lt;='Tariffs Jul2018'!L101,($C$5*'Tariffs Jul2018'!AK101/'Tariffs Jul2018'!AI101-'Tariffs Jul2018'!K101)*('Tariffs Jul2018'!Q101/100)*'Tariffs Jul2018'!AI101,('Tariffs Jul2018'!L101-'Tariffs Jul2018'!K101)*('Tariffs Jul2018'!Q101/100)*'Tariffs Jul2018'!AI101))</f>
        <v>0</v>
      </c>
      <c r="H107" s="59">
        <f>IF($C$5*'Tariffs Jul2018'!AK101/'Tariffs Jul2018'!AI101&lt;'Tariffs Jul2018'!L101,0,IF($C$5*'Tariffs Jul2018'!AK101/'Tariffs Jul2018'!AI101&lt;='Tariffs Jul2018'!M101,($C$5*'Tariffs Jul2018'!AK101/'Tariffs Jul2018'!AI101-'Tariffs Jul2018'!L101)*('Tariffs Jul2018'!R101/100)*'Tariffs Jul2018'!AI101,('Tariffs Jul2018'!M101-'Tariffs Jul2018'!L101)*('Tariffs Jul2018'!R101/100)*'Tariffs Jul2018'!AI101))</f>
        <v>0</v>
      </c>
      <c r="I107" s="59">
        <f>IF(($C$5*'Tariffs Jul2018'!AK101/'Tariffs Jul2018'!AI101&gt;'Tariffs Jul2018'!M101),($C$5*'Tariffs Jul2018'!AK101/'Tariffs Jul2018'!AI101-'Tariffs Jul2018'!M101)*'Tariffs Jul2018'!S101/100*'Tariffs Jul2018'!AI101,0)</f>
        <v>0</v>
      </c>
      <c r="J107" s="59">
        <f>IF($C$5*'Tariffs Jul2018'!AL101/'Tariffs Jul2018'!AJ101&gt;='Tariffs Jul2018'!J101,('Tariffs Jul2018'!J101*'Tariffs Jul2018'!U101/100)* 'Tariffs Jul2018'!AJ101,($C$5*'Tariffs Jul2018'!AL101/'Tariffs Jul2018'!AJ101*'Tariffs Jul2018'!U101/100)* 'Tariffs Jul2018'!AJ101)</f>
        <v>528.00000000000011</v>
      </c>
      <c r="K107" s="59">
        <f>IF($C$5*'Tariffs Jul2018'!AL101/'Tariffs Jul2018'!AJ101&lt;'Tariffs Jul2018'!J101,0,IF($C$5*'Tariffs Jul2018'!AL101/'Tariffs Jul2018'!AJ101&lt;='Tariffs Jul2018'!K101,($C$5*'Tariffs Jul2018'!AL101/'Tariffs Jul2018'!AJ101-'Tariffs Jul2018'!J101)*('Tariffs Jul2018'!V101/100)*'Tariffs Jul2018'!AJ101,('Tariffs Jul2018'!K101-'Tariffs Jul2018'!J101)*('Tariffs Jul2018'!V101/100)*'Tariffs Jul2018'!AJ101))</f>
        <v>381.5109599999999</v>
      </c>
      <c r="L107" s="59">
        <f>IF($C$5*'Tariffs Jul2018'!AL101/'Tariffs Jul2018'!AJ101&lt;'Tariffs Jul2018'!K101,0,IF($C$5*'Tariffs Jul2018'!AL101/'Tariffs Jul2018'!AJ101&lt;='Tariffs Jul2018'!L101,($C$5*'Tariffs Jul2018'!AL101/'Tariffs Jul2018'!AJ101-'Tariffs Jul2018'!K101)*('Tariffs Jul2018'!W101/100)*'Tariffs Jul2018'!AJ101,('Tariffs Jul2018'!L101-'Tariffs Jul2018'!K101)*('Tariffs Jul2018'!W101/100)*'Tariffs Jul2018'!AJ101))</f>
        <v>0</v>
      </c>
      <c r="M107" s="59">
        <f>IF($C$5*'Tariffs Jul2018'!AL101/'Tariffs Jul2018'!AJ101&lt;'Tariffs Jul2018'!L101,0,IF($C$5*'Tariffs Jul2018'!AL101/'Tariffs Jul2018'!AJ101&lt;='Tariffs Jul2018'!M101,($C$5*'Tariffs Jul2018'!AL101/'Tariffs Jul2018'!AJ101-'Tariffs Jul2018'!L101)*('Tariffs Jul2018'!X101/100)*'Tariffs Jul2018'!AJ101,('Tariffs Jul2018'!M101-'Tariffs Jul2018'!L101)*('Tariffs Jul2018'!X101/100)*'Tariffs Jul2018'!AJ101))</f>
        <v>0</v>
      </c>
      <c r="N107" s="59">
        <f>IF(($C$5*'Tariffs Jul2018'!AL101/'Tariffs Jul2018'!AJ101&gt;'Tariffs Jul2018'!M101),($C$5*'Tariffs Jul2018'!AL101/'Tariffs Jul2018'!AJ101-'Tariffs Jul2018'!M101)*'Tariffs Jul2018'!Y101/100*'Tariffs Jul2018'!AJ101,0)</f>
        <v>0</v>
      </c>
      <c r="O107" s="367">
        <f t="shared" si="11"/>
        <v>1508.8517399999998</v>
      </c>
      <c r="P107" s="59">
        <f t="shared" si="12"/>
        <v>1789.2082399999999</v>
      </c>
      <c r="Q107" s="272">
        <f t="shared" si="13"/>
        <v>1968.129064</v>
      </c>
      <c r="R107" s="40">
        <f>'Tariffs Jul2018'!AM101</f>
        <v>0</v>
      </c>
      <c r="S107" s="40">
        <f>'Tariffs Jul2018'!AN101</f>
        <v>0</v>
      </c>
      <c r="T107" s="40">
        <f>'Tariffs Jul2018'!AO101</f>
        <v>0</v>
      </c>
      <c r="U107" s="40">
        <f>'Tariffs Jul2018'!AP101</f>
        <v>26</v>
      </c>
      <c r="V107" s="273">
        <f t="shared" si="15"/>
        <v>1789.2082399999999</v>
      </c>
      <c r="W107" s="273">
        <f>V107-(O107*U107/100)</f>
        <v>1396.9067875999999</v>
      </c>
      <c r="X107" s="272">
        <f t="shared" si="14"/>
        <v>1968.129064</v>
      </c>
      <c r="Y107" s="272">
        <f t="shared" si="14"/>
        <v>1536.59746636</v>
      </c>
      <c r="Z107" s="274">
        <f>'Tariffs Jul2018'!AY101</f>
        <v>0</v>
      </c>
      <c r="AA107" s="274" t="str">
        <f>'Tariffs Jul2018'!AZ101</f>
        <v>n</v>
      </c>
      <c r="AB107" s="275" t="str">
        <f>'Tariffs Jul2018'!BG101</f>
        <v>Y</v>
      </c>
      <c r="AC107" s="351"/>
      <c r="AD107" s="351"/>
      <c r="AE107" s="351"/>
      <c r="AF107" s="351"/>
      <c r="AG107" s="351"/>
      <c r="AH107" s="351"/>
      <c r="AI107" s="351"/>
      <c r="AJ107" s="351"/>
      <c r="AK107" s="351"/>
      <c r="AL107" s="351"/>
      <c r="AM107" s="351"/>
      <c r="AN107" s="351"/>
    </row>
    <row r="108" spans="1:40" x14ac:dyDescent="0.15">
      <c r="A108" s="40" t="str">
        <f>'Tariffs Jul2018'!F102</f>
        <v>Sumo Power</v>
      </c>
      <c r="B108" s="40" t="str">
        <f>'Tariffs Jul2018'!D102</f>
        <v>Ausnet Central 2</v>
      </c>
      <c r="C108" s="40" t="str">
        <f>'Tariffs Jul2018'!G102</f>
        <v>Pay on time (max discount)</v>
      </c>
      <c r="D108" s="59">
        <f>365*'Tariffs Jul2018'!H102/100</f>
        <v>292.35040000000004</v>
      </c>
      <c r="E108" s="59">
        <f>IF($C$5*'Tariffs Jul2018'!AK102/'Tariffs Jul2018'!AI102&gt;='Tariffs Jul2018'!J102,( 'Tariffs Jul2018'!J102*'Tariffs Jul2018'!O102/100)* 'Tariffs Jul2018'!AI102,($C$5*'Tariffs Jul2018'!AK102/'Tariffs Jul2018'!AI102*'Tariffs Jul2018'!O102/100)* 'Tariffs Jul2018'!AI102)</f>
        <v>333.12</v>
      </c>
      <c r="F108" s="59">
        <f>IF($C$5*'Tariffs Jul2018'!AK102/'Tariffs Jul2018'!AI102&lt;'Tariffs Jul2018'!J102,0,IF($C$5*'Tariffs Jul2018'!AK102/'Tariffs Jul2018'!AI102&lt;='Tariffs Jul2018'!K102,($C$5*'Tariffs Jul2018'!AK102/'Tariffs Jul2018'!AI102-'Tariffs Jul2018'!J102)*('Tariffs Jul2018'!P102/100)*'Tariffs Jul2018'!AI102,('Tariffs Jul2018'!K102-'Tariffs Jul2018'!J102)*('Tariffs Jul2018'!P102/100)*'Tariffs Jul2018'!AI102))</f>
        <v>237.90447599999996</v>
      </c>
      <c r="G108" s="59">
        <f>IF($C$5*'Tariffs Jul2018'!AK102/'Tariffs Jul2018'!AI102&lt;'Tariffs Jul2018'!K102,0,IF($C$5*'Tariffs Jul2018'!AK102/'Tariffs Jul2018'!AI102&lt;='Tariffs Jul2018'!L102,($C$5*'Tariffs Jul2018'!AK102/'Tariffs Jul2018'!AI102-'Tariffs Jul2018'!K102)*('Tariffs Jul2018'!Q102/100)*'Tariffs Jul2018'!AI102,('Tariffs Jul2018'!L102-'Tariffs Jul2018'!K102)*('Tariffs Jul2018'!Q102/100)*'Tariffs Jul2018'!AI102))</f>
        <v>0</v>
      </c>
      <c r="H108" s="59">
        <f>IF($C$5*'Tariffs Jul2018'!AK102/'Tariffs Jul2018'!AI102&lt;'Tariffs Jul2018'!L102,0,IF($C$5*'Tariffs Jul2018'!AK102/'Tariffs Jul2018'!AI102&lt;='Tariffs Jul2018'!M102,($C$5*'Tariffs Jul2018'!AK102/'Tariffs Jul2018'!AI102-'Tariffs Jul2018'!L102)*('Tariffs Jul2018'!R102/100)*'Tariffs Jul2018'!AI102,('Tariffs Jul2018'!M102-'Tariffs Jul2018'!L102)*('Tariffs Jul2018'!R102/100)*'Tariffs Jul2018'!AI102))</f>
        <v>0</v>
      </c>
      <c r="I108" s="59">
        <f>IF(($C$5*'Tariffs Jul2018'!AK102/'Tariffs Jul2018'!AI102&gt;'Tariffs Jul2018'!M102),($C$5*'Tariffs Jul2018'!AK102/'Tariffs Jul2018'!AI102-'Tariffs Jul2018'!M102)*'Tariffs Jul2018'!S102/100*'Tariffs Jul2018'!AI102,0)</f>
        <v>0</v>
      </c>
      <c r="J108" s="59">
        <f>IF($C$5*'Tariffs Jul2018'!AL102/'Tariffs Jul2018'!AJ102&gt;='Tariffs Jul2018'!J102,('Tariffs Jul2018'!J102*'Tariffs Jul2018'!U102/100)* 'Tariffs Jul2018'!AJ102,($C$5*'Tariffs Jul2018'!AL102/'Tariffs Jul2018'!AJ102*'Tariffs Jul2018'!U102/100)* 'Tariffs Jul2018'!AJ102)</f>
        <v>526.55999999999995</v>
      </c>
      <c r="K108" s="59">
        <f>IF($C$5*'Tariffs Jul2018'!AL102/'Tariffs Jul2018'!AJ102&lt;'Tariffs Jul2018'!J102,0,IF($C$5*'Tariffs Jul2018'!AL102/'Tariffs Jul2018'!AJ102&lt;='Tariffs Jul2018'!K102,($C$5*'Tariffs Jul2018'!AL102/'Tariffs Jul2018'!AJ102-'Tariffs Jul2018'!J102)*('Tariffs Jul2018'!V102/100)*'Tariffs Jul2018'!AJ102,('Tariffs Jul2018'!K102-'Tariffs Jul2018'!J102)*('Tariffs Jul2018'!V102/100)*'Tariffs Jul2018'!AJ102))</f>
        <v>343.89973799999996</v>
      </c>
      <c r="L108" s="59">
        <f>IF($C$5*'Tariffs Jul2018'!AL102/'Tariffs Jul2018'!AJ102&lt;'Tariffs Jul2018'!K102,0,IF($C$5*'Tariffs Jul2018'!AL102/'Tariffs Jul2018'!AJ102&lt;='Tariffs Jul2018'!L102,($C$5*'Tariffs Jul2018'!AL102/'Tariffs Jul2018'!AJ102-'Tariffs Jul2018'!K102)*('Tariffs Jul2018'!W102/100)*'Tariffs Jul2018'!AJ102,('Tariffs Jul2018'!L102-'Tariffs Jul2018'!K102)*('Tariffs Jul2018'!W102/100)*'Tariffs Jul2018'!AJ102))</f>
        <v>0</v>
      </c>
      <c r="M108" s="59">
        <f>IF($C$5*'Tariffs Jul2018'!AL102/'Tariffs Jul2018'!AJ102&lt;'Tariffs Jul2018'!L102,0,IF($C$5*'Tariffs Jul2018'!AL102/'Tariffs Jul2018'!AJ102&lt;='Tariffs Jul2018'!M102,($C$5*'Tariffs Jul2018'!AL102/'Tariffs Jul2018'!AJ102-'Tariffs Jul2018'!L102)*('Tariffs Jul2018'!X102/100)*'Tariffs Jul2018'!AJ102,('Tariffs Jul2018'!M102-'Tariffs Jul2018'!L102)*('Tariffs Jul2018'!X102/100)*'Tariffs Jul2018'!AJ102))</f>
        <v>0</v>
      </c>
      <c r="N108" s="59">
        <f>IF(($C$5*'Tariffs Jul2018'!AL102/'Tariffs Jul2018'!AJ102&gt;'Tariffs Jul2018'!M102),($C$5*'Tariffs Jul2018'!AL102/'Tariffs Jul2018'!AJ102-'Tariffs Jul2018'!M102)*'Tariffs Jul2018'!Y102/100*'Tariffs Jul2018'!AJ102,0)</f>
        <v>0</v>
      </c>
      <c r="O108" s="367">
        <f t="shared" si="11"/>
        <v>1441.4842140000001</v>
      </c>
      <c r="P108" s="59">
        <f t="shared" si="12"/>
        <v>1733.8346140000001</v>
      </c>
      <c r="Q108" s="272">
        <f t="shared" si="13"/>
        <v>1907.2180754000003</v>
      </c>
      <c r="R108" s="40">
        <f>'Tariffs Jul2018'!AM102</f>
        <v>0</v>
      </c>
      <c r="S108" s="40">
        <f>'Tariffs Jul2018'!AN102</f>
        <v>0</v>
      </c>
      <c r="T108" s="40">
        <f>'Tariffs Jul2018'!AO102</f>
        <v>0</v>
      </c>
      <c r="U108" s="40">
        <f>'Tariffs Jul2018'!AP102</f>
        <v>25</v>
      </c>
      <c r="V108" s="273">
        <f t="shared" si="15"/>
        <v>1733.8346140000001</v>
      </c>
      <c r="W108" s="273">
        <f>V108-(O108*U108/100)</f>
        <v>1373.4635605000001</v>
      </c>
      <c r="X108" s="272">
        <f t="shared" si="14"/>
        <v>1907.2180754000003</v>
      </c>
      <c r="Y108" s="272">
        <f t="shared" si="14"/>
        <v>1510.8099165500003</v>
      </c>
      <c r="Z108" s="274">
        <f>'Tariffs Jul2018'!AY102</f>
        <v>0</v>
      </c>
      <c r="AA108" s="274" t="str">
        <f>'Tariffs Jul2018'!AZ102</f>
        <v>n</v>
      </c>
      <c r="AB108" s="275" t="str">
        <f>'Tariffs Jul2018'!BG102</f>
        <v>Y</v>
      </c>
      <c r="AC108" s="351"/>
      <c r="AD108" s="351"/>
      <c r="AE108" s="351"/>
      <c r="AF108" s="351"/>
      <c r="AG108" s="351"/>
      <c r="AH108" s="351"/>
      <c r="AI108" s="351"/>
      <c r="AJ108" s="351"/>
      <c r="AK108" s="351"/>
      <c r="AL108" s="351"/>
      <c r="AM108" s="351"/>
      <c r="AN108" s="351"/>
    </row>
    <row r="109" spans="1:40" x14ac:dyDescent="0.15">
      <c r="A109" s="40" t="str">
        <f>'Tariffs Jul2018'!F103</f>
        <v>Amaysim</v>
      </c>
      <c r="B109" s="40" t="str">
        <f>'Tariffs Jul2018'!D103</f>
        <v>Ausnet Central 2</v>
      </c>
      <c r="C109" s="40" t="str">
        <f>'Tariffs Jul2018'!G103</f>
        <v>Gas 4</v>
      </c>
      <c r="D109" s="59">
        <f>365*'Tariffs Jul2018'!H103/100</f>
        <v>353.32</v>
      </c>
      <c r="E109" s="59">
        <f>IF($C$5*'Tariffs Jul2018'!AK103/'Tariffs Jul2018'!AI103&gt;='Tariffs Jul2018'!J103,( 'Tariffs Jul2018'!J103*'Tariffs Jul2018'!O103/100)* 'Tariffs Jul2018'!AI103,($C$5*'Tariffs Jul2018'!AK103/'Tariffs Jul2018'!AI103*'Tariffs Jul2018'!O103/100)* 'Tariffs Jul2018'!AI103)</f>
        <v>426</v>
      </c>
      <c r="F109" s="59">
        <f>IF($C$5*'Tariffs Jul2018'!AK103/'Tariffs Jul2018'!AI103&lt;'Tariffs Jul2018'!J103,0,IF($C$5*'Tariffs Jul2018'!AK103/'Tariffs Jul2018'!AI103&lt;='Tariffs Jul2018'!K103,($C$5*'Tariffs Jul2018'!AK103/'Tariffs Jul2018'!AI103-'Tariffs Jul2018'!J103)*('Tariffs Jul2018'!P103/100)*'Tariffs Jul2018'!AI103,('Tariffs Jul2018'!K103-'Tariffs Jul2018'!J103)*('Tariffs Jul2018'!P103/100)*'Tariffs Jul2018'!AI103))</f>
        <v>274.43594999999993</v>
      </c>
      <c r="G109" s="59">
        <f>IF($C$5*'Tariffs Jul2018'!AK103/'Tariffs Jul2018'!AI103&lt;'Tariffs Jul2018'!K103,0,IF($C$5*'Tariffs Jul2018'!AK103/'Tariffs Jul2018'!AI103&lt;='Tariffs Jul2018'!L103,($C$5*'Tariffs Jul2018'!AK103/'Tariffs Jul2018'!AI103-'Tariffs Jul2018'!K103)*('Tariffs Jul2018'!Q103/100)*'Tariffs Jul2018'!AI103,('Tariffs Jul2018'!L103-'Tariffs Jul2018'!K103)*('Tariffs Jul2018'!Q103/100)*'Tariffs Jul2018'!AI103))</f>
        <v>0</v>
      </c>
      <c r="H109" s="59">
        <f>IF($C$5*'Tariffs Jul2018'!AK103/'Tariffs Jul2018'!AI103&lt;'Tariffs Jul2018'!L103,0,IF($C$5*'Tariffs Jul2018'!AK103/'Tariffs Jul2018'!AI103&lt;='Tariffs Jul2018'!M103,($C$5*'Tariffs Jul2018'!AK103/'Tariffs Jul2018'!AI103-'Tariffs Jul2018'!L103)*('Tariffs Jul2018'!R103/100)*'Tariffs Jul2018'!AI103,('Tariffs Jul2018'!M103-'Tariffs Jul2018'!L103)*('Tariffs Jul2018'!R103/100)*'Tariffs Jul2018'!AI103))</f>
        <v>0</v>
      </c>
      <c r="I109" s="59">
        <f>IF(($C$5*'Tariffs Jul2018'!AK103/'Tariffs Jul2018'!AI103&gt;'Tariffs Jul2018'!M103),($C$5*'Tariffs Jul2018'!AK103/'Tariffs Jul2018'!AI103-'Tariffs Jul2018'!M103)*'Tariffs Jul2018'!S103/100*'Tariffs Jul2018'!AI103,0)</f>
        <v>0</v>
      </c>
      <c r="J109" s="59">
        <f>IF($C$5*'Tariffs Jul2018'!AL103/'Tariffs Jul2018'!AJ103&gt;='Tariffs Jul2018'!J103,('Tariffs Jul2018'!J103*'Tariffs Jul2018'!U103/100)* 'Tariffs Jul2018'!AJ103,($C$5*'Tariffs Jul2018'!AL103/'Tariffs Jul2018'!AJ103*'Tariffs Jul2018'!U103/100)* 'Tariffs Jul2018'!AJ103)</f>
        <v>600</v>
      </c>
      <c r="K109" s="59">
        <f>IF($C$5*'Tariffs Jul2018'!AL103/'Tariffs Jul2018'!AJ103&lt;'Tariffs Jul2018'!J103,0,IF($C$5*'Tariffs Jul2018'!AL103/'Tariffs Jul2018'!AJ103&lt;='Tariffs Jul2018'!K103,($C$5*'Tariffs Jul2018'!AL103/'Tariffs Jul2018'!AJ103-'Tariffs Jul2018'!J103)*('Tariffs Jul2018'!V103/100)*'Tariffs Jul2018'!AJ103,('Tariffs Jul2018'!K103-'Tariffs Jul2018'!J103)*('Tariffs Jul2018'!V103/100)*'Tariffs Jul2018'!AJ103))</f>
        <v>440.89709999999991</v>
      </c>
      <c r="L109" s="59">
        <f>IF($C$5*'Tariffs Jul2018'!AL103/'Tariffs Jul2018'!AJ103&lt;'Tariffs Jul2018'!K103,0,IF($C$5*'Tariffs Jul2018'!AL103/'Tariffs Jul2018'!AJ103&lt;='Tariffs Jul2018'!L103,($C$5*'Tariffs Jul2018'!AL103/'Tariffs Jul2018'!AJ103-'Tariffs Jul2018'!K103)*('Tariffs Jul2018'!W103/100)*'Tariffs Jul2018'!AJ103,('Tariffs Jul2018'!L103-'Tariffs Jul2018'!K103)*('Tariffs Jul2018'!W103/100)*'Tariffs Jul2018'!AJ103))</f>
        <v>0</v>
      </c>
      <c r="M109" s="59">
        <f>IF($C$5*'Tariffs Jul2018'!AL103/'Tariffs Jul2018'!AJ103&lt;'Tariffs Jul2018'!L103,0,IF($C$5*'Tariffs Jul2018'!AL103/'Tariffs Jul2018'!AJ103&lt;='Tariffs Jul2018'!M103,($C$5*'Tariffs Jul2018'!AL103/'Tariffs Jul2018'!AJ103-'Tariffs Jul2018'!L103)*('Tariffs Jul2018'!X103/100)*'Tariffs Jul2018'!AJ103,('Tariffs Jul2018'!M103-'Tariffs Jul2018'!L103)*('Tariffs Jul2018'!X103/100)*'Tariffs Jul2018'!AJ103))</f>
        <v>0</v>
      </c>
      <c r="N109" s="59">
        <f>IF(($C$5*'Tariffs Jul2018'!AL103/'Tariffs Jul2018'!AJ103&gt;'Tariffs Jul2018'!M103),($C$5*'Tariffs Jul2018'!AL103/'Tariffs Jul2018'!AJ103-'Tariffs Jul2018'!M103)*'Tariffs Jul2018'!Y103/100*'Tariffs Jul2018'!AJ103,0)</f>
        <v>0</v>
      </c>
      <c r="O109" s="367">
        <f t="shared" si="11"/>
        <v>1741.33305</v>
      </c>
      <c r="P109" s="59">
        <f t="shared" si="12"/>
        <v>2094.6530499999999</v>
      </c>
      <c r="Q109" s="272">
        <f t="shared" si="13"/>
        <v>2304.1183550000001</v>
      </c>
      <c r="R109" s="40">
        <f>'Tariffs Jul2018'!AM103</f>
        <v>0</v>
      </c>
      <c r="S109" s="40">
        <f>'Tariffs Jul2018'!AN103</f>
        <v>0</v>
      </c>
      <c r="T109" s="40">
        <f>'Tariffs Jul2018'!AO103</f>
        <v>5</v>
      </c>
      <c r="U109" s="40">
        <f>'Tariffs Jul2018'!AP103</f>
        <v>0</v>
      </c>
      <c r="V109" s="273">
        <f t="shared" si="15"/>
        <v>2094.6530499999999</v>
      </c>
      <c r="W109" s="273">
        <f>V109-(P109*T109/100)</f>
        <v>1989.9203974999998</v>
      </c>
      <c r="X109" s="272">
        <f t="shared" si="14"/>
        <v>2304.1183550000001</v>
      </c>
      <c r="Y109" s="272">
        <f t="shared" si="14"/>
        <v>2188.91243725</v>
      </c>
      <c r="Z109" s="274">
        <f>'Tariffs Jul2018'!AY103</f>
        <v>0</v>
      </c>
      <c r="AA109" s="274" t="str">
        <f>'Tariffs Jul2018'!AZ103</f>
        <v>n</v>
      </c>
      <c r="AB109" s="275" t="str">
        <f>'Tariffs Jul2018'!BG103</f>
        <v>N</v>
      </c>
      <c r="AC109" s="351"/>
      <c r="AD109" s="351"/>
      <c r="AE109" s="351"/>
      <c r="AF109" s="351"/>
      <c r="AG109" s="351"/>
      <c r="AH109" s="351"/>
      <c r="AI109" s="351"/>
      <c r="AJ109" s="351"/>
      <c r="AK109" s="351"/>
      <c r="AL109" s="351"/>
      <c r="AM109" s="351"/>
      <c r="AN109" s="351"/>
    </row>
    <row r="110" spans="1:40" x14ac:dyDescent="0.15">
      <c r="A110" s="40" t="str">
        <f>'Tariffs Jul2018'!F104</f>
        <v>GloBird</v>
      </c>
      <c r="B110" s="40" t="str">
        <f>'Tariffs Jul2018'!D104</f>
        <v>Ausnet Central 2</v>
      </c>
      <c r="C110" s="40" t="str">
        <f>'Tariffs Jul2018'!G104</f>
        <v>GloSave</v>
      </c>
      <c r="D110" s="59">
        <f>365*'Tariffs Jul2018'!H104/100</f>
        <v>357.7</v>
      </c>
      <c r="E110" s="59">
        <f>IF($C$5*'Tariffs Jul2018'!AK104/'Tariffs Jul2018'!AI104&gt;='Tariffs Jul2018'!J104,( 'Tariffs Jul2018'!J104*'Tariffs Jul2018'!O104/100)* 'Tariffs Jul2018'!AI104,($C$5*'Tariffs Jul2018'!AK104/'Tariffs Jul2018'!AI104*'Tariffs Jul2018'!O104/100)* 'Tariffs Jul2018'!AI104)</f>
        <v>629.93700000000001</v>
      </c>
      <c r="F110" s="59">
        <f>IF($C$5*'Tariffs Jul2018'!AK104/'Tariffs Jul2018'!AI104&lt;'Tariffs Jul2018'!J104,0,IF($C$5*'Tariffs Jul2018'!AK104/'Tariffs Jul2018'!AI104&lt;='Tariffs Jul2018'!K104,($C$5*'Tariffs Jul2018'!AK104/'Tariffs Jul2018'!AI104-'Tariffs Jul2018'!J104)*('Tariffs Jul2018'!P104/100)*'Tariffs Jul2018'!AI104,('Tariffs Jul2018'!K104-'Tariffs Jul2018'!J104)*('Tariffs Jul2018'!P104/100)*'Tariffs Jul2018'!AI104))</f>
        <v>0</v>
      </c>
      <c r="G110" s="59">
        <f>IF($C$5*'Tariffs Jul2018'!AK104/'Tariffs Jul2018'!AI104&lt;'Tariffs Jul2018'!K104,0,IF($C$5*'Tariffs Jul2018'!AK104/'Tariffs Jul2018'!AI104&lt;='Tariffs Jul2018'!L104,($C$5*'Tariffs Jul2018'!AK104/'Tariffs Jul2018'!AI104-'Tariffs Jul2018'!K104)*('Tariffs Jul2018'!Q104/100)*'Tariffs Jul2018'!AI104,('Tariffs Jul2018'!L104-'Tariffs Jul2018'!K104)*('Tariffs Jul2018'!Q104/100)*'Tariffs Jul2018'!AI104))</f>
        <v>0</v>
      </c>
      <c r="H110" s="59">
        <f>IF($C$5*'Tariffs Jul2018'!AK104/'Tariffs Jul2018'!AI104&lt;'Tariffs Jul2018'!L104,0,IF($C$5*'Tariffs Jul2018'!AK104/'Tariffs Jul2018'!AI104&lt;='Tariffs Jul2018'!M104,($C$5*'Tariffs Jul2018'!AK104/'Tariffs Jul2018'!AI104-'Tariffs Jul2018'!L104)*('Tariffs Jul2018'!R104/100)*'Tariffs Jul2018'!AI104,('Tariffs Jul2018'!M104-'Tariffs Jul2018'!L104)*('Tariffs Jul2018'!R104/100)*'Tariffs Jul2018'!AI104))</f>
        <v>0</v>
      </c>
      <c r="I110" s="59">
        <f>IF(($C$5*'Tariffs Jul2018'!AK104/'Tariffs Jul2018'!AI104&gt;'Tariffs Jul2018'!M104),($C$5*'Tariffs Jul2018'!AK104/'Tariffs Jul2018'!AI104-'Tariffs Jul2018'!M104)*'Tariffs Jul2018'!S104/100*'Tariffs Jul2018'!AI104,0)</f>
        <v>0</v>
      </c>
      <c r="J110" s="59">
        <f>IF($C$5*'Tariffs Jul2018'!AL104/'Tariffs Jul2018'!AJ104&gt;='Tariffs Jul2018'!J104,('Tariffs Jul2018'!J104*'Tariffs Jul2018'!U104/100)* 'Tariffs Jul2018'!AJ104,($C$5*'Tariffs Jul2018'!AL104/'Tariffs Jul2018'!AJ104*'Tariffs Jul2018'!U104/100)* 'Tariffs Jul2018'!AJ104)</f>
        <v>797.92019999999991</v>
      </c>
      <c r="K110" s="59">
        <f>IF($C$5*'Tariffs Jul2018'!AL104/'Tariffs Jul2018'!AJ104&lt;'Tariffs Jul2018'!J104,0,IF($C$5*'Tariffs Jul2018'!AL104/'Tariffs Jul2018'!AJ104&lt;='Tariffs Jul2018'!K104,($C$5*'Tariffs Jul2018'!AL104/'Tariffs Jul2018'!AJ104-'Tariffs Jul2018'!J104)*('Tariffs Jul2018'!V104/100)*'Tariffs Jul2018'!AJ104,('Tariffs Jul2018'!K104-'Tariffs Jul2018'!J104)*('Tariffs Jul2018'!V104/100)*'Tariffs Jul2018'!AJ104))</f>
        <v>0</v>
      </c>
      <c r="L110" s="59">
        <f>IF($C$5*'Tariffs Jul2018'!AL104/'Tariffs Jul2018'!AJ104&lt;'Tariffs Jul2018'!K104,0,IF($C$5*'Tariffs Jul2018'!AL104/'Tariffs Jul2018'!AJ104&lt;='Tariffs Jul2018'!L104,($C$5*'Tariffs Jul2018'!AL104/'Tariffs Jul2018'!AJ104-'Tariffs Jul2018'!K104)*('Tariffs Jul2018'!W104/100)*'Tariffs Jul2018'!AJ104,('Tariffs Jul2018'!L104-'Tariffs Jul2018'!K104)*('Tariffs Jul2018'!W104/100)*'Tariffs Jul2018'!AJ104))</f>
        <v>0</v>
      </c>
      <c r="M110" s="59">
        <f>IF($C$5*'Tariffs Jul2018'!AL104/'Tariffs Jul2018'!AJ104&lt;'Tariffs Jul2018'!L104,0,IF($C$5*'Tariffs Jul2018'!AL104/'Tariffs Jul2018'!AJ104&lt;='Tariffs Jul2018'!M104,($C$5*'Tariffs Jul2018'!AL104/'Tariffs Jul2018'!AJ104-'Tariffs Jul2018'!L104)*('Tariffs Jul2018'!X104/100)*'Tariffs Jul2018'!AJ104,('Tariffs Jul2018'!M104-'Tariffs Jul2018'!L104)*('Tariffs Jul2018'!X104/100)*'Tariffs Jul2018'!AJ104))</f>
        <v>0</v>
      </c>
      <c r="N110" s="59">
        <f>IF(($C$5*'Tariffs Jul2018'!AL104/'Tariffs Jul2018'!AJ104&gt;'Tariffs Jul2018'!M104),($C$5*'Tariffs Jul2018'!AL104/'Tariffs Jul2018'!AJ104-'Tariffs Jul2018'!M104)*'Tariffs Jul2018'!Y104/100*'Tariffs Jul2018'!AJ104,0)</f>
        <v>0</v>
      </c>
      <c r="O110" s="367">
        <f>SUM(E110:N110)</f>
        <v>1427.8571999999999</v>
      </c>
      <c r="P110" s="59">
        <f>D110+O110</f>
        <v>1785.5572</v>
      </c>
      <c r="Q110" s="272">
        <f>P110*1.1</f>
        <v>1964.11292</v>
      </c>
      <c r="R110" s="40">
        <f>'Tariffs Jul2018'!AM104</f>
        <v>0</v>
      </c>
      <c r="S110" s="40">
        <f>'Tariffs Jul2018'!AN104</f>
        <v>0</v>
      </c>
      <c r="T110" s="40">
        <f>'Tariffs Jul2018'!AO104</f>
        <v>34</v>
      </c>
      <c r="U110" s="40">
        <f>'Tariffs Jul2018'!AP104</f>
        <v>0</v>
      </c>
      <c r="V110" s="273">
        <f>P110</f>
        <v>1785.5572</v>
      </c>
      <c r="W110" s="273">
        <f>V110-(P110*T110/100)</f>
        <v>1178.467752</v>
      </c>
      <c r="X110" s="272">
        <f>V110*1.1</f>
        <v>1964.11292</v>
      </c>
      <c r="Y110" s="272">
        <f>W110*1.1</f>
        <v>1296.3145272000002</v>
      </c>
      <c r="Z110" s="274">
        <f>'Tariffs Jul2018'!AY104</f>
        <v>0</v>
      </c>
      <c r="AA110" s="274" t="str">
        <f>'Tariffs Jul2018'!AZ104</f>
        <v>n</v>
      </c>
      <c r="AB110" s="275" t="str">
        <f>'Tariffs Jul2018'!BG104</f>
        <v>N</v>
      </c>
      <c r="AC110" s="351"/>
      <c r="AD110" s="351"/>
      <c r="AE110" s="351"/>
      <c r="AF110" s="351"/>
      <c r="AG110" s="351"/>
      <c r="AH110" s="351"/>
      <c r="AI110" s="351"/>
      <c r="AJ110" s="351"/>
      <c r="AK110" s="351"/>
      <c r="AL110" s="351"/>
      <c r="AM110" s="351"/>
      <c r="AN110" s="351"/>
    </row>
    <row r="111" spans="1:40" ht="14" thickBot="1" x14ac:dyDescent="0.2">
      <c r="A111" s="277" t="str">
        <f>'Tariffs Jul2018'!F105</f>
        <v>Powershop</v>
      </c>
      <c r="B111" s="277" t="str">
        <f>'Tariffs Jul2018'!D105</f>
        <v>Ausnet Central 2</v>
      </c>
      <c r="C111" s="277" t="str">
        <f>'Tariffs Jul2018'!G105</f>
        <v>Gas Saver</v>
      </c>
      <c r="D111" s="278">
        <f>365*'Tariffs Jul2018'!H105/100</f>
        <v>345.14400000000001</v>
      </c>
      <c r="E111" s="278">
        <f>((C$5*'Tariffs Jul2018'!AK105/'Tariffs Jul2018'!AI105)*('Tariffs Jul2018'!O105/100))*'Tariffs Jul2018'!AI105</f>
        <v>369.56304</v>
      </c>
      <c r="F111" s="278">
        <v>0</v>
      </c>
      <c r="G111" s="278">
        <v>0</v>
      </c>
      <c r="H111" s="278">
        <v>0</v>
      </c>
      <c r="I111" s="278">
        <v>0</v>
      </c>
      <c r="J111" s="278">
        <f>((C$5*'Tariffs Jul2018'!AL105/'Tariffs Jul2018'!AJ105)*('Tariffs Jul2018'!U105/100))*'Tariffs Jul2018'!AJ105</f>
        <v>608.93909999999994</v>
      </c>
      <c r="K111" s="278">
        <v>0</v>
      </c>
      <c r="L111" s="278">
        <v>0</v>
      </c>
      <c r="M111" s="278">
        <v>0</v>
      </c>
      <c r="N111" s="278">
        <v>0</v>
      </c>
      <c r="O111" s="368">
        <f>SUM(E111:N111)</f>
        <v>978.50213999999994</v>
      </c>
      <c r="P111" s="278">
        <f>D111+O111</f>
        <v>1323.6461399999998</v>
      </c>
      <c r="Q111" s="280">
        <f>P111*1.1</f>
        <v>1456.0107539999999</v>
      </c>
      <c r="R111" s="277">
        <f>'Tariffs Jul2018'!AM105</f>
        <v>0</v>
      </c>
      <c r="S111" s="277">
        <f>'Tariffs Jul2018'!AN105</f>
        <v>0</v>
      </c>
      <c r="T111" s="277">
        <f>'Tariffs Jul2018'!AO105</f>
        <v>5</v>
      </c>
      <c r="U111" s="277">
        <f>'Tariffs Jul2018'!AP105</f>
        <v>0</v>
      </c>
      <c r="V111" s="281">
        <f t="shared" si="15"/>
        <v>1323.6461399999998</v>
      </c>
      <c r="W111" s="281">
        <f>V111-(P111*T111/100)</f>
        <v>1257.4638329999998</v>
      </c>
      <c r="X111" s="280">
        <f>V111*1.1</f>
        <v>1456.0107539999999</v>
      </c>
      <c r="Y111" s="280">
        <f>W111*1.1</f>
        <v>1383.2102163</v>
      </c>
      <c r="Z111" s="282">
        <f>'Tariffs Jul2018'!AY105</f>
        <v>0</v>
      </c>
      <c r="AA111" s="282" t="str">
        <f>'Tariffs Jul2018'!AZ105</f>
        <v>n</v>
      </c>
      <c r="AB111" s="283" t="str">
        <f>'Tariffs Jul2018'!BG105</f>
        <v>Y</v>
      </c>
      <c r="AC111" s="351"/>
      <c r="AD111" s="351"/>
      <c r="AE111" s="351"/>
      <c r="AF111" s="351"/>
      <c r="AG111" s="351"/>
      <c r="AH111" s="351"/>
      <c r="AI111" s="351"/>
      <c r="AJ111" s="351"/>
      <c r="AK111" s="351"/>
      <c r="AL111" s="351"/>
      <c r="AM111" s="351"/>
      <c r="AN111" s="351"/>
    </row>
    <row r="112" spans="1:40" ht="14" thickTop="1" x14ac:dyDescent="0.15">
      <c r="A112" s="40" t="str">
        <f>'Tariffs Jul2018'!F106</f>
        <v>AGL</v>
      </c>
      <c r="B112" s="40" t="str">
        <f>'Tariffs Jul2018'!D106</f>
        <v>Ausnet Central 1</v>
      </c>
      <c r="C112" s="40" t="str">
        <f>'Tariffs Jul2018'!G106</f>
        <v>Savers</v>
      </c>
      <c r="D112" s="59">
        <f>365*'Tariffs Jul2018'!H106/100</f>
        <v>313.89999999999998</v>
      </c>
      <c r="E112" s="59">
        <f>IF($C$5*'Tariffs Jul2018'!AK106/'Tariffs Jul2018'!AI106&gt;='Tariffs Jul2018'!J106,( 'Tariffs Jul2018'!J106*'Tariffs Jul2018'!O106/100)* 'Tariffs Jul2018'!AI106,($C$5*'Tariffs Jul2018'!AK106/'Tariffs Jul2018'!AI106*'Tariffs Jul2018'!O106/100)* 'Tariffs Jul2018'!AI106)</f>
        <v>303.59999999999997</v>
      </c>
      <c r="F112" s="59">
        <f>IF($C$5*'Tariffs Jul2018'!AK106/'Tariffs Jul2018'!AI106&lt;'Tariffs Jul2018'!J106,0,IF($C$5*'Tariffs Jul2018'!AK106/'Tariffs Jul2018'!AI106&lt;='Tariffs Jul2018'!K106,($C$5*'Tariffs Jul2018'!AK106/'Tariffs Jul2018'!AI106-'Tariffs Jul2018'!J106)*('Tariffs Jul2018'!P106/100)*'Tariffs Jul2018'!AI106,('Tariffs Jul2018'!K106-'Tariffs Jul2018'!J106)*('Tariffs Jul2018'!P106/100)*'Tariffs Jul2018'!AI106))</f>
        <v>215.94959999999995</v>
      </c>
      <c r="G112" s="59">
        <f>IF($C$5*'Tariffs Jul2018'!AK106/'Tariffs Jul2018'!AI106&lt;'Tariffs Jul2018'!K106,0,IF($C$5*'Tariffs Jul2018'!AK106/'Tariffs Jul2018'!AI106&lt;='Tariffs Jul2018'!L106,($C$5*'Tariffs Jul2018'!AK106/'Tariffs Jul2018'!AI106-'Tariffs Jul2018'!K106)*('Tariffs Jul2018'!Q106/100)*'Tariffs Jul2018'!AI106,('Tariffs Jul2018'!L106-'Tariffs Jul2018'!K106)*('Tariffs Jul2018'!Q106/100)*'Tariffs Jul2018'!AI106))</f>
        <v>0</v>
      </c>
      <c r="H112" s="59">
        <f>IF($C$5*'Tariffs Jul2018'!AK106/'Tariffs Jul2018'!AI106&lt;'Tariffs Jul2018'!L106,0,IF($C$5*'Tariffs Jul2018'!AK106/'Tariffs Jul2018'!AI106&lt;='Tariffs Jul2018'!M106,($C$5*'Tariffs Jul2018'!AK106/'Tariffs Jul2018'!AI106-'Tariffs Jul2018'!L106)*('Tariffs Jul2018'!R106/100)*'Tariffs Jul2018'!AI106,('Tariffs Jul2018'!M106-'Tariffs Jul2018'!L106)*('Tariffs Jul2018'!R106/100)*'Tariffs Jul2018'!AI106))</f>
        <v>0</v>
      </c>
      <c r="I112" s="59">
        <f>IF(($C$5*'Tariffs Jul2018'!AK106/'Tariffs Jul2018'!AI106&gt;'Tariffs Jul2018'!M106),($C$5*'Tariffs Jul2018'!AK106/'Tariffs Jul2018'!AI106-'Tariffs Jul2018'!M106)*'Tariffs Jul2018'!S106/100*'Tariffs Jul2018'!AI106,0)</f>
        <v>0</v>
      </c>
      <c r="J112" s="59">
        <f>IF($C$5*'Tariffs Jul2018'!AL106/'Tariffs Jul2018'!AJ106&gt;='Tariffs Jul2018'!J106,('Tariffs Jul2018'!J106*'Tariffs Jul2018'!U106/100)* 'Tariffs Jul2018'!AJ106,($C$5*'Tariffs Jul2018'!AL106/'Tariffs Jul2018'!AJ106*'Tariffs Jul2018'!U106/100)* 'Tariffs Jul2018'!AJ106)</f>
        <v>556.79999999999995</v>
      </c>
      <c r="K112" s="59">
        <f>IF($C$5*'Tariffs Jul2018'!AL106/'Tariffs Jul2018'!AJ106&lt;'Tariffs Jul2018'!J106,0,IF($C$5*'Tariffs Jul2018'!AL106/'Tariffs Jul2018'!AJ106&lt;='Tariffs Jul2018'!K106,($C$5*'Tariffs Jul2018'!AL106/'Tariffs Jul2018'!AJ106-'Tariffs Jul2018'!J106)*('Tariffs Jul2018'!V106/100)*'Tariffs Jul2018'!AJ106,('Tariffs Jul2018'!K106-'Tariffs Jul2018'!J106)*('Tariffs Jul2018'!V106/100)*'Tariffs Jul2018'!AJ106))</f>
        <v>318.5256599999999</v>
      </c>
      <c r="L112" s="59">
        <f>IF($C$5*'Tariffs Jul2018'!AL106/'Tariffs Jul2018'!AJ106&lt;'Tariffs Jul2018'!K106,0,IF($C$5*'Tariffs Jul2018'!AL106/'Tariffs Jul2018'!AJ106&lt;='Tariffs Jul2018'!L106,($C$5*'Tariffs Jul2018'!AL106/'Tariffs Jul2018'!AJ106-'Tariffs Jul2018'!K106)*('Tariffs Jul2018'!W106/100)*'Tariffs Jul2018'!AJ106,('Tariffs Jul2018'!L106-'Tariffs Jul2018'!K106)*('Tariffs Jul2018'!W106/100)*'Tariffs Jul2018'!AJ106))</f>
        <v>0</v>
      </c>
      <c r="M112" s="59">
        <f>IF($C$5*'Tariffs Jul2018'!AL106/'Tariffs Jul2018'!AJ106&lt;'Tariffs Jul2018'!L106,0,IF($C$5*'Tariffs Jul2018'!AL106/'Tariffs Jul2018'!AJ106&lt;='Tariffs Jul2018'!M106,($C$5*'Tariffs Jul2018'!AL106/'Tariffs Jul2018'!AJ106-'Tariffs Jul2018'!L106)*('Tariffs Jul2018'!X106/100)*'Tariffs Jul2018'!AJ106,('Tariffs Jul2018'!M106-'Tariffs Jul2018'!L106)*('Tariffs Jul2018'!X106/100)*'Tariffs Jul2018'!AJ106))</f>
        <v>0</v>
      </c>
      <c r="N112" s="59">
        <f>IF(($C$5*'Tariffs Jul2018'!AL106/'Tariffs Jul2018'!AJ106&gt;'Tariffs Jul2018'!M106),($C$5*'Tariffs Jul2018'!AL106/'Tariffs Jul2018'!AJ106-'Tariffs Jul2018'!M106)*'Tariffs Jul2018'!Y106/100*'Tariffs Jul2018'!AJ106,0)</f>
        <v>0</v>
      </c>
      <c r="O112" s="271">
        <f t="shared" si="11"/>
        <v>1394.8752599999998</v>
      </c>
      <c r="P112" s="59">
        <f t="shared" si="12"/>
        <v>1708.7752599999999</v>
      </c>
      <c r="Q112" s="272">
        <f t="shared" si="13"/>
        <v>1879.6527860000001</v>
      </c>
      <c r="R112" s="40">
        <f>'Tariffs Jul2018'!AM106</f>
        <v>0</v>
      </c>
      <c r="S112" s="40">
        <f>'Tariffs Jul2018'!AN106</f>
        <v>0</v>
      </c>
      <c r="T112" s="40">
        <f>'Tariffs Jul2018'!AO106</f>
        <v>0</v>
      </c>
      <c r="U112" s="40">
        <f>'Tariffs Jul2018'!AP106</f>
        <v>26</v>
      </c>
      <c r="V112" s="273">
        <f>P112</f>
        <v>1708.7752599999999</v>
      </c>
      <c r="W112" s="273">
        <f>V112-(O112*U112/100)</f>
        <v>1346.1076923999999</v>
      </c>
      <c r="X112" s="272">
        <f t="shared" si="14"/>
        <v>1879.6527860000001</v>
      </c>
      <c r="Y112" s="272">
        <f t="shared" si="14"/>
        <v>1480.71846164</v>
      </c>
      <c r="Z112" s="274">
        <f>'Tariffs Jul2018'!AY106</f>
        <v>0</v>
      </c>
      <c r="AA112" s="274" t="str">
        <f>'Tariffs Jul2018'!AZ106</f>
        <v>n</v>
      </c>
      <c r="AB112" s="275" t="str">
        <f>'Tariffs Jul2018'!BG106</f>
        <v>N</v>
      </c>
      <c r="AC112" s="351"/>
      <c r="AD112" s="351"/>
      <c r="AE112" s="351"/>
      <c r="AF112" s="351"/>
      <c r="AG112" s="351"/>
      <c r="AH112" s="351"/>
      <c r="AI112" s="351"/>
      <c r="AJ112" s="351"/>
      <c r="AK112" s="351"/>
      <c r="AL112" s="351"/>
      <c r="AM112" s="351"/>
      <c r="AN112" s="351"/>
    </row>
    <row r="113" spans="1:40" x14ac:dyDescent="0.15">
      <c r="A113" s="40" t="str">
        <f>'Tariffs Jul2018'!F107</f>
        <v>Alinta Energy</v>
      </c>
      <c r="B113" s="40" t="str">
        <f>'Tariffs Jul2018'!D107</f>
        <v>Ausnet Central 1</v>
      </c>
      <c r="C113" s="40" t="str">
        <f>'Tariffs Jul2018'!G107</f>
        <v>Fair Deal</v>
      </c>
      <c r="D113" s="59">
        <f>365*'Tariffs Jul2018'!H107/100</f>
        <v>273.38500000000005</v>
      </c>
      <c r="E113" s="59">
        <f>IF($C$5*'Tariffs Jul2018'!AK107/'Tariffs Jul2018'!AI107&gt;='Tariffs Jul2018'!J107,( 'Tariffs Jul2018'!J107*'Tariffs Jul2018'!O107/100)* 'Tariffs Jul2018'!AI107,($C$5*'Tariffs Jul2018'!AK107/'Tariffs Jul2018'!AI107*'Tariffs Jul2018'!O107/100)* 'Tariffs Jul2018'!AI107)</f>
        <v>290.39999999999998</v>
      </c>
      <c r="F113" s="59">
        <f>IF($C$5*'Tariffs Jul2018'!AK107/'Tariffs Jul2018'!AI107&lt;'Tariffs Jul2018'!J107,0,IF($C$5*'Tariffs Jul2018'!AK107/'Tariffs Jul2018'!AI107&lt;='Tariffs Jul2018'!K107,($C$5*'Tariffs Jul2018'!AK107/'Tariffs Jul2018'!AI107-'Tariffs Jul2018'!J107)*('Tariffs Jul2018'!P107/100)*'Tariffs Jul2018'!AI107,('Tariffs Jul2018'!K107-'Tariffs Jul2018'!J107)*('Tariffs Jul2018'!P107/100)*'Tariffs Jul2018'!AI107))</f>
        <v>0</v>
      </c>
      <c r="G113" s="59">
        <f>IF($C$5*'Tariffs Jul2018'!AK107/'Tariffs Jul2018'!AI107&lt;'Tariffs Jul2018'!K107,0,IF($C$5*'Tariffs Jul2018'!AK107/'Tariffs Jul2018'!AI107&lt;='Tariffs Jul2018'!L107,($C$5*'Tariffs Jul2018'!AK107/'Tariffs Jul2018'!AI107-'Tariffs Jul2018'!K107)*('Tariffs Jul2018'!Q107/100)*'Tariffs Jul2018'!AI107,('Tariffs Jul2018'!L107-'Tariffs Jul2018'!K107)*('Tariffs Jul2018'!Q107/100)*'Tariffs Jul2018'!AI107))</f>
        <v>0</v>
      </c>
      <c r="H113" s="59">
        <f>IF($C$5*'Tariffs Jul2018'!AK107/'Tariffs Jul2018'!AI107&lt;'Tariffs Jul2018'!L107,0,IF($C$5*'Tariffs Jul2018'!AK107/'Tariffs Jul2018'!AI107&lt;='Tariffs Jul2018'!M107,($C$5*'Tariffs Jul2018'!AK107/'Tariffs Jul2018'!AI107-'Tariffs Jul2018'!L107)*('Tariffs Jul2018'!R107/100)*'Tariffs Jul2018'!AI107,('Tariffs Jul2018'!M107-'Tariffs Jul2018'!L107)*('Tariffs Jul2018'!R107/100)*'Tariffs Jul2018'!AI107))</f>
        <v>0</v>
      </c>
      <c r="I113" s="59">
        <f>IF(($C$5*'Tariffs Jul2018'!AK107/'Tariffs Jul2018'!AI107&gt;'Tariffs Jul2018'!M107),($C$5*'Tariffs Jul2018'!AK107/'Tariffs Jul2018'!AI107-'Tariffs Jul2018'!M107)*'Tariffs Jul2018'!S107/100*'Tariffs Jul2018'!AI107,0)</f>
        <v>170.06030999999996</v>
      </c>
      <c r="J113" s="59">
        <f>IF($C$5*'Tariffs Jul2018'!AL107/'Tariffs Jul2018'!AJ107&gt;='Tariffs Jul2018'!J107,('Tariffs Jul2018'!J107*'Tariffs Jul2018'!U107/100)* 'Tariffs Jul2018'!AJ107,($C$5*'Tariffs Jul2018'!AL107/'Tariffs Jul2018'!AJ107*'Tariffs Jul2018'!U107/100)* 'Tariffs Jul2018'!AJ107)</f>
        <v>551.99999999999989</v>
      </c>
      <c r="K113" s="59">
        <f>IF($C$5*'Tariffs Jul2018'!AL107/'Tariffs Jul2018'!AJ107&lt;'Tariffs Jul2018'!J107,0,IF($C$5*'Tariffs Jul2018'!AL107/'Tariffs Jul2018'!AJ107&lt;='Tariffs Jul2018'!K107,($C$5*'Tariffs Jul2018'!AL107/'Tariffs Jul2018'!AJ107-'Tariffs Jul2018'!J107)*('Tariffs Jul2018'!V107/100)*'Tariffs Jul2018'!AJ107,('Tariffs Jul2018'!K107-'Tariffs Jul2018'!J107)*('Tariffs Jul2018'!V107/100)*'Tariffs Jul2018'!AJ107))</f>
        <v>0</v>
      </c>
      <c r="L113" s="59">
        <f>IF($C$5*'Tariffs Jul2018'!AL107/'Tariffs Jul2018'!AJ107&lt;'Tariffs Jul2018'!K107,0,IF($C$5*'Tariffs Jul2018'!AL107/'Tariffs Jul2018'!AJ107&lt;='Tariffs Jul2018'!L107,($C$5*'Tariffs Jul2018'!AL107/'Tariffs Jul2018'!AJ107-'Tariffs Jul2018'!K107)*('Tariffs Jul2018'!W107/100)*'Tariffs Jul2018'!AJ107,('Tariffs Jul2018'!L107-'Tariffs Jul2018'!K107)*('Tariffs Jul2018'!W107/100)*'Tariffs Jul2018'!AJ107))</f>
        <v>0</v>
      </c>
      <c r="M113" s="59">
        <f>IF($C$5*'Tariffs Jul2018'!AL107/'Tariffs Jul2018'!AJ107&lt;'Tariffs Jul2018'!L107,0,IF($C$5*'Tariffs Jul2018'!AL107/'Tariffs Jul2018'!AJ107&lt;='Tariffs Jul2018'!M107,($C$5*'Tariffs Jul2018'!AL107/'Tariffs Jul2018'!AJ107-'Tariffs Jul2018'!L107)*('Tariffs Jul2018'!X107/100)*'Tariffs Jul2018'!AJ107,('Tariffs Jul2018'!M107-'Tariffs Jul2018'!L107)*('Tariffs Jul2018'!X107/100)*'Tariffs Jul2018'!AJ107))</f>
        <v>0</v>
      </c>
      <c r="N113" s="59">
        <f>IF(($C$5*'Tariffs Jul2018'!AL107/'Tariffs Jul2018'!AJ107&gt;'Tariffs Jul2018'!M107),($C$5*'Tariffs Jul2018'!AL107/'Tariffs Jul2018'!AJ107-'Tariffs Jul2018'!M107)*'Tariffs Jul2018'!Y107/100*'Tariffs Jul2018'!AJ107,0)</f>
        <v>318.5256599999999</v>
      </c>
      <c r="O113" s="271">
        <f t="shared" si="11"/>
        <v>1330.9859699999997</v>
      </c>
      <c r="P113" s="59">
        <f t="shared" si="12"/>
        <v>1604.3709699999997</v>
      </c>
      <c r="Q113" s="272">
        <f t="shared" si="13"/>
        <v>1764.8080669999999</v>
      </c>
      <c r="R113" s="40">
        <f>'Tariffs Jul2018'!AM107</f>
        <v>0</v>
      </c>
      <c r="S113" s="40">
        <f>'Tariffs Jul2018'!AN107</f>
        <v>0</v>
      </c>
      <c r="T113" s="40">
        <f>'Tariffs Jul2018'!AO107</f>
        <v>0</v>
      </c>
      <c r="U113" s="40">
        <f>'Tariffs Jul2018'!AP107</f>
        <v>25</v>
      </c>
      <c r="V113" s="273">
        <f>P113</f>
        <v>1604.3709699999997</v>
      </c>
      <c r="W113" s="273">
        <f>V113-(O113*U113/100)</f>
        <v>1271.6244774999998</v>
      </c>
      <c r="X113" s="272">
        <f t="shared" ref="X113:Y124" si="16">V113*1.1</f>
        <v>1764.8080669999999</v>
      </c>
      <c r="Y113" s="272">
        <f t="shared" si="16"/>
        <v>1398.78692525</v>
      </c>
      <c r="Z113" s="274">
        <f>'Tariffs Jul2018'!AY107</f>
        <v>0</v>
      </c>
      <c r="AA113" s="274" t="str">
        <f>'Tariffs Jul2018'!AZ107</f>
        <v>n</v>
      </c>
      <c r="AB113" s="275" t="str">
        <f>'Tariffs Jul2018'!BG107</f>
        <v>Y</v>
      </c>
      <c r="AC113" s="351"/>
      <c r="AD113" s="351"/>
      <c r="AE113" s="351"/>
      <c r="AF113" s="351"/>
      <c r="AG113" s="351"/>
      <c r="AH113" s="351"/>
      <c r="AI113" s="351"/>
      <c r="AJ113" s="351"/>
      <c r="AK113" s="351"/>
      <c r="AL113" s="351"/>
      <c r="AM113" s="351"/>
      <c r="AN113" s="351"/>
    </row>
    <row r="114" spans="1:40" x14ac:dyDescent="0.15">
      <c r="A114" s="40" t="str">
        <f>'Tariffs Jul2018'!F108</f>
        <v>Click Energy</v>
      </c>
      <c r="B114" s="40" t="str">
        <f>'Tariffs Jul2018'!D108</f>
        <v>Ausnet Central 1</v>
      </c>
      <c r="C114" s="40" t="str">
        <f>'Tariffs Jul2018'!G108</f>
        <v>Lilac</v>
      </c>
      <c r="D114" s="59">
        <f>365*'Tariffs Jul2018'!H108/100</f>
        <v>353.32</v>
      </c>
      <c r="E114" s="59">
        <f>IF($C$5*'Tariffs Jul2018'!AK108/'Tariffs Jul2018'!AI108&gt;='Tariffs Jul2018'!J108,( 'Tariffs Jul2018'!J108*'Tariffs Jul2018'!O108/100)* 'Tariffs Jul2018'!AI108,($C$5*'Tariffs Jul2018'!AK108/'Tariffs Jul2018'!AI108*'Tariffs Jul2018'!O108/100)* 'Tariffs Jul2018'!AI108)</f>
        <v>426</v>
      </c>
      <c r="F114" s="59">
        <f>IF($C$5*'Tariffs Jul2018'!AK108/'Tariffs Jul2018'!AI108&lt;'Tariffs Jul2018'!J108,0,IF($C$5*'Tariffs Jul2018'!AK108/'Tariffs Jul2018'!AI108&lt;='Tariffs Jul2018'!K108,($C$5*'Tariffs Jul2018'!AK108/'Tariffs Jul2018'!AI108-'Tariffs Jul2018'!J108)*('Tariffs Jul2018'!P108/100)*'Tariffs Jul2018'!AI108,('Tariffs Jul2018'!K108-'Tariffs Jul2018'!J108)*('Tariffs Jul2018'!P108/100)*'Tariffs Jul2018'!AI108))</f>
        <v>274.43594999999993</v>
      </c>
      <c r="G114" s="59">
        <f>IF($C$5*'Tariffs Jul2018'!AK108/'Tariffs Jul2018'!AI108&lt;'Tariffs Jul2018'!K108,0,IF($C$5*'Tariffs Jul2018'!AK108/'Tariffs Jul2018'!AI108&lt;='Tariffs Jul2018'!L108,($C$5*'Tariffs Jul2018'!AK108/'Tariffs Jul2018'!AI108-'Tariffs Jul2018'!K108)*('Tariffs Jul2018'!Q108/100)*'Tariffs Jul2018'!AI108,('Tariffs Jul2018'!L108-'Tariffs Jul2018'!K108)*('Tariffs Jul2018'!Q108/100)*'Tariffs Jul2018'!AI108))</f>
        <v>0</v>
      </c>
      <c r="H114" s="59">
        <f>IF($C$5*'Tariffs Jul2018'!AK108/'Tariffs Jul2018'!AI108&lt;'Tariffs Jul2018'!L108,0,IF($C$5*'Tariffs Jul2018'!AK108/'Tariffs Jul2018'!AI108&lt;='Tariffs Jul2018'!M108,($C$5*'Tariffs Jul2018'!AK108/'Tariffs Jul2018'!AI108-'Tariffs Jul2018'!L108)*('Tariffs Jul2018'!R108/100)*'Tariffs Jul2018'!AI108,('Tariffs Jul2018'!M108-'Tariffs Jul2018'!L108)*('Tariffs Jul2018'!R108/100)*'Tariffs Jul2018'!AI108))</f>
        <v>0</v>
      </c>
      <c r="I114" s="59">
        <f>IF(($C$5*'Tariffs Jul2018'!AK108/'Tariffs Jul2018'!AI108&gt;'Tariffs Jul2018'!M108),($C$5*'Tariffs Jul2018'!AK108/'Tariffs Jul2018'!AI108-'Tariffs Jul2018'!M108)*'Tariffs Jul2018'!S108/100*'Tariffs Jul2018'!AI108,0)</f>
        <v>0</v>
      </c>
      <c r="J114" s="59">
        <f>IF($C$5*'Tariffs Jul2018'!AL108/'Tariffs Jul2018'!AJ108&gt;='Tariffs Jul2018'!J108,('Tariffs Jul2018'!J108*'Tariffs Jul2018'!U108/100)* 'Tariffs Jul2018'!AJ108,($C$5*'Tariffs Jul2018'!AL108/'Tariffs Jul2018'!AJ108*'Tariffs Jul2018'!U108/100)* 'Tariffs Jul2018'!AJ108)</f>
        <v>600</v>
      </c>
      <c r="K114" s="59">
        <f>IF($C$5*'Tariffs Jul2018'!AL108/'Tariffs Jul2018'!AJ108&lt;'Tariffs Jul2018'!J108,0,IF($C$5*'Tariffs Jul2018'!AL108/'Tariffs Jul2018'!AJ108&lt;='Tariffs Jul2018'!K108,($C$5*'Tariffs Jul2018'!AL108/'Tariffs Jul2018'!AJ108-'Tariffs Jul2018'!J108)*('Tariffs Jul2018'!V108/100)*'Tariffs Jul2018'!AJ108,('Tariffs Jul2018'!K108-'Tariffs Jul2018'!J108)*('Tariffs Jul2018'!V108/100)*'Tariffs Jul2018'!AJ108))</f>
        <v>440.89709999999991</v>
      </c>
      <c r="L114" s="59">
        <f>IF($C$5*'Tariffs Jul2018'!AL108/'Tariffs Jul2018'!AJ108&lt;'Tariffs Jul2018'!K108,0,IF($C$5*'Tariffs Jul2018'!AL108/'Tariffs Jul2018'!AJ108&lt;='Tariffs Jul2018'!L108,($C$5*'Tariffs Jul2018'!AL108/'Tariffs Jul2018'!AJ108-'Tariffs Jul2018'!K108)*('Tariffs Jul2018'!W108/100)*'Tariffs Jul2018'!AJ108,('Tariffs Jul2018'!L108-'Tariffs Jul2018'!K108)*('Tariffs Jul2018'!W108/100)*'Tariffs Jul2018'!AJ108))</f>
        <v>0</v>
      </c>
      <c r="M114" s="59">
        <f>IF($C$5*'Tariffs Jul2018'!AL108/'Tariffs Jul2018'!AJ108&lt;'Tariffs Jul2018'!L108,0,IF($C$5*'Tariffs Jul2018'!AL108/'Tariffs Jul2018'!AJ108&lt;='Tariffs Jul2018'!M108,($C$5*'Tariffs Jul2018'!AL108/'Tariffs Jul2018'!AJ108-'Tariffs Jul2018'!L108)*('Tariffs Jul2018'!X108/100)*'Tariffs Jul2018'!AJ108,('Tariffs Jul2018'!M108-'Tariffs Jul2018'!L108)*('Tariffs Jul2018'!X108/100)*'Tariffs Jul2018'!AJ108))</f>
        <v>0</v>
      </c>
      <c r="N114" s="59">
        <f>IF(($C$5*'Tariffs Jul2018'!AL108/'Tariffs Jul2018'!AJ108&gt;'Tariffs Jul2018'!M108),($C$5*'Tariffs Jul2018'!AL108/'Tariffs Jul2018'!AJ108-'Tariffs Jul2018'!M108)*'Tariffs Jul2018'!Y108/100*'Tariffs Jul2018'!AJ108,0)</f>
        <v>0</v>
      </c>
      <c r="O114" s="271">
        <f t="shared" si="11"/>
        <v>1741.33305</v>
      </c>
      <c r="P114" s="59">
        <f t="shared" si="12"/>
        <v>2094.6530499999999</v>
      </c>
      <c r="Q114" s="272">
        <f t="shared" si="13"/>
        <v>2304.1183550000001</v>
      </c>
      <c r="R114" s="40">
        <f>'Tariffs Jul2018'!AM108</f>
        <v>0</v>
      </c>
      <c r="S114" s="40">
        <f>'Tariffs Jul2018'!AN108</f>
        <v>0</v>
      </c>
      <c r="T114" s="40">
        <f>'Tariffs Jul2018'!AO108</f>
        <v>26</v>
      </c>
      <c r="U114" s="40">
        <f>'Tariffs Jul2018'!AP108</f>
        <v>0</v>
      </c>
      <c r="V114" s="273">
        <f>P114</f>
        <v>2094.6530499999999</v>
      </c>
      <c r="W114" s="273">
        <f>V114-(P114*T114/100)</f>
        <v>1550.0432569999998</v>
      </c>
      <c r="X114" s="272">
        <f t="shared" si="16"/>
        <v>2304.1183550000001</v>
      </c>
      <c r="Y114" s="272">
        <f t="shared" si="16"/>
        <v>1705.0475827</v>
      </c>
      <c r="Z114" s="274">
        <f>'Tariffs Jul2018'!AY108</f>
        <v>0</v>
      </c>
      <c r="AA114" s="274" t="str">
        <f>'Tariffs Jul2018'!AZ108</f>
        <v>n</v>
      </c>
      <c r="AB114" s="275" t="str">
        <f>'Tariffs Jul2018'!BG108</f>
        <v>N</v>
      </c>
      <c r="AC114" s="351"/>
      <c r="AD114" s="351"/>
      <c r="AE114" s="351"/>
      <c r="AF114" s="351"/>
      <c r="AG114" s="351"/>
      <c r="AH114" s="351"/>
      <c r="AI114" s="351"/>
      <c r="AJ114" s="351"/>
      <c r="AK114" s="351"/>
      <c r="AL114" s="351"/>
      <c r="AM114" s="351"/>
      <c r="AN114" s="351"/>
    </row>
    <row r="115" spans="1:40" x14ac:dyDescent="0.15">
      <c r="A115" s="40" t="str">
        <f>'Tariffs Jul2018'!F109</f>
        <v>Covau</v>
      </c>
      <c r="B115" s="40" t="str">
        <f>'Tariffs Jul2018'!D109</f>
        <v>Ausnet Central 1</v>
      </c>
      <c r="C115" s="40" t="str">
        <f>'Tariffs Jul2018'!G109</f>
        <v>Smart Saver</v>
      </c>
      <c r="D115" s="59">
        <f>365*'Tariffs Jul2018'!H109/100</f>
        <v>299.3</v>
      </c>
      <c r="E115" s="59">
        <f>IF($C$5*'Tariffs Jul2018'!AK109/'Tariffs Jul2018'!AI109&gt;='Tariffs Jul2018'!J109,( 'Tariffs Jul2018'!J109*'Tariffs Jul2018'!O109/100)* 'Tariffs Jul2018'!AI109,($C$5*'Tariffs Jul2018'!AK109/'Tariffs Jul2018'!AI109*'Tariffs Jul2018'!O109/100)* 'Tariffs Jul2018'!AI109)</f>
        <v>477</v>
      </c>
      <c r="F115" s="59">
        <f>IF($C$5*'Tariffs Jul2018'!AK109/'Tariffs Jul2018'!AI109&lt;'Tariffs Jul2018'!J109,0,IF($C$5*'Tariffs Jul2018'!AK109/'Tariffs Jul2018'!AI109&lt;='Tariffs Jul2018'!K109,($C$5*'Tariffs Jul2018'!AK109/'Tariffs Jul2018'!AI109-'Tariffs Jul2018'!J109)*('Tariffs Jul2018'!P109/100)*'Tariffs Jul2018'!AI109,('Tariffs Jul2018'!K109-'Tariffs Jul2018'!J109)*('Tariffs Jul2018'!P109/100)*'Tariffs Jul2018'!AI109))</f>
        <v>337.5</v>
      </c>
      <c r="G115" s="59">
        <f>IF($C$5*'Tariffs Jul2018'!AK109/'Tariffs Jul2018'!AI109&lt;'Tariffs Jul2018'!K109,0,IF($C$5*'Tariffs Jul2018'!AK109/'Tariffs Jul2018'!AI109&lt;='Tariffs Jul2018'!L109,($C$5*'Tariffs Jul2018'!AK109/'Tariffs Jul2018'!AI109-'Tariffs Jul2018'!K109)*('Tariffs Jul2018'!Q109/100)*'Tariffs Jul2018'!AI109,('Tariffs Jul2018'!L109-'Tariffs Jul2018'!K109)*('Tariffs Jul2018'!Q109/100)*'Tariffs Jul2018'!AI109))</f>
        <v>0</v>
      </c>
      <c r="H115" s="59">
        <f>IF($C$5*'Tariffs Jul2018'!AK109/'Tariffs Jul2018'!AI109&lt;'Tariffs Jul2018'!L109,0,IF($C$5*'Tariffs Jul2018'!AK109/'Tariffs Jul2018'!AI109&lt;='Tariffs Jul2018'!M109,($C$5*'Tariffs Jul2018'!AK109/'Tariffs Jul2018'!AI109-'Tariffs Jul2018'!L109)*('Tariffs Jul2018'!R109/100)*'Tariffs Jul2018'!AI109,('Tariffs Jul2018'!M109-'Tariffs Jul2018'!L109)*('Tariffs Jul2018'!R109/100)*'Tariffs Jul2018'!AI109))</f>
        <v>0</v>
      </c>
      <c r="I115" s="59">
        <f>IF(($C$5*'Tariffs Jul2018'!AK109/'Tariffs Jul2018'!AI109&gt;'Tariffs Jul2018'!M109),($C$5*'Tariffs Jul2018'!AK109/'Tariffs Jul2018'!AI109-'Tariffs Jul2018'!M109)*'Tariffs Jul2018'!S109/100*'Tariffs Jul2018'!AI109,0)</f>
        <v>0</v>
      </c>
      <c r="J115" s="59">
        <f>IF($C$5*'Tariffs Jul2018'!AL109/'Tariffs Jul2018'!AJ109&gt;='Tariffs Jul2018'!J109,('Tariffs Jul2018'!J109*'Tariffs Jul2018'!U109/100)* 'Tariffs Jul2018'!AJ109,($C$5*'Tariffs Jul2018'!AL109/'Tariffs Jul2018'!AJ109*'Tariffs Jul2018'!U109/100)* 'Tariffs Jul2018'!AJ109)</f>
        <v>417.59999999999997</v>
      </c>
      <c r="K115" s="59">
        <f>IF($C$5*'Tariffs Jul2018'!AL109/'Tariffs Jul2018'!AJ109&lt;'Tariffs Jul2018'!J109,0,IF($C$5*'Tariffs Jul2018'!AL109/'Tariffs Jul2018'!AJ109&lt;='Tariffs Jul2018'!K109,($C$5*'Tariffs Jul2018'!AL109/'Tariffs Jul2018'!AJ109-'Tariffs Jul2018'!J109)*('Tariffs Jul2018'!V109/100)*'Tariffs Jul2018'!AJ109,('Tariffs Jul2018'!K109-'Tariffs Jul2018'!J109)*('Tariffs Jul2018'!V109/100)*'Tariffs Jul2018'!AJ109))</f>
        <v>256.5</v>
      </c>
      <c r="L115" s="59">
        <f>IF($C$5*'Tariffs Jul2018'!AL109/'Tariffs Jul2018'!AJ109&lt;'Tariffs Jul2018'!K109,0,IF($C$5*'Tariffs Jul2018'!AL109/'Tariffs Jul2018'!AJ109&lt;='Tariffs Jul2018'!L109,($C$5*'Tariffs Jul2018'!AL109/'Tariffs Jul2018'!AJ109-'Tariffs Jul2018'!K109)*('Tariffs Jul2018'!W109/100)*'Tariffs Jul2018'!AJ109,('Tariffs Jul2018'!L109-'Tariffs Jul2018'!K109)*('Tariffs Jul2018'!W109/100)*'Tariffs Jul2018'!AJ109))</f>
        <v>0</v>
      </c>
      <c r="M115" s="59">
        <f>IF($C$5*'Tariffs Jul2018'!AL109/'Tariffs Jul2018'!AJ109&lt;'Tariffs Jul2018'!L109,0,IF($C$5*'Tariffs Jul2018'!AL109/'Tariffs Jul2018'!AJ109&lt;='Tariffs Jul2018'!M109,($C$5*'Tariffs Jul2018'!AL109/'Tariffs Jul2018'!AJ109-'Tariffs Jul2018'!L109)*('Tariffs Jul2018'!X109/100)*'Tariffs Jul2018'!AJ109,('Tariffs Jul2018'!M109-'Tariffs Jul2018'!L109)*('Tariffs Jul2018'!X109/100)*'Tariffs Jul2018'!AJ109))</f>
        <v>0</v>
      </c>
      <c r="N115" s="59">
        <f>IF(($C$5*'Tariffs Jul2018'!AL109/'Tariffs Jul2018'!AJ109&gt;'Tariffs Jul2018'!M109),($C$5*'Tariffs Jul2018'!AL109/'Tariffs Jul2018'!AJ109-'Tariffs Jul2018'!M109)*'Tariffs Jul2018'!Y109/100*'Tariffs Jul2018'!AJ109,0)</f>
        <v>0</v>
      </c>
      <c r="O115" s="271">
        <f t="shared" si="11"/>
        <v>1488.6</v>
      </c>
      <c r="P115" s="59">
        <f t="shared" si="12"/>
        <v>1787.8999999999999</v>
      </c>
      <c r="Q115" s="272">
        <f t="shared" si="13"/>
        <v>1966.69</v>
      </c>
      <c r="R115" s="40">
        <f>'Tariffs Jul2018'!AM109</f>
        <v>0</v>
      </c>
      <c r="S115" s="40">
        <f>'Tariffs Jul2018'!AN109</f>
        <v>0</v>
      </c>
      <c r="T115" s="40">
        <f>'Tariffs Jul2018'!AO109</f>
        <v>0</v>
      </c>
      <c r="U115" s="40">
        <f>'Tariffs Jul2018'!AP109</f>
        <v>16</v>
      </c>
      <c r="V115" s="273">
        <f>P115</f>
        <v>1787.8999999999999</v>
      </c>
      <c r="W115" s="273">
        <f>V115-(O115*U115/100)</f>
        <v>1549.7239999999999</v>
      </c>
      <c r="X115" s="272">
        <f t="shared" si="16"/>
        <v>1966.69</v>
      </c>
      <c r="Y115" s="272">
        <f t="shared" si="16"/>
        <v>1704.6964</v>
      </c>
      <c r="Z115" s="274">
        <f>'Tariffs Jul2018'!AY109</f>
        <v>12</v>
      </c>
      <c r="AA115" s="274" t="str">
        <f>'Tariffs Jul2018'!AZ109</f>
        <v>n</v>
      </c>
      <c r="AB115" s="275" t="str">
        <f>'Tariffs Jul2018'!BG109</f>
        <v>N</v>
      </c>
      <c r="AC115" s="351"/>
      <c r="AD115" s="351"/>
      <c r="AE115" s="351"/>
      <c r="AF115" s="351"/>
      <c r="AG115" s="351"/>
      <c r="AH115" s="351"/>
      <c r="AI115" s="351"/>
      <c r="AJ115" s="351"/>
      <c r="AK115" s="351"/>
      <c r="AL115" s="351"/>
      <c r="AM115" s="351"/>
      <c r="AN115" s="351"/>
    </row>
    <row r="116" spans="1:40" x14ac:dyDescent="0.15">
      <c r="A116" s="40" t="str">
        <f>'Tariffs Jul2018'!F110</f>
        <v>Dodo Power &amp; Gas</v>
      </c>
      <c r="B116" s="40" t="str">
        <f>'Tariffs Jul2018'!D110</f>
        <v>Ausnet Central 1</v>
      </c>
      <c r="C116" s="40" t="str">
        <f>'Tariffs Jul2018'!G110</f>
        <v>Market offer</v>
      </c>
      <c r="D116" s="59">
        <f>365*'Tariffs Jul2018'!H110/100</f>
        <v>291.63500000000005</v>
      </c>
      <c r="E116" s="59">
        <f>IF($C$5*'Tariffs Jul2018'!AK110/'Tariffs Jul2018'!AI110&gt;='Tariffs Jul2018'!J110,( 'Tariffs Jul2018'!J110*'Tariffs Jul2018'!O110/100)* 'Tariffs Jul2018'!AI110,($C$5*'Tariffs Jul2018'!AK110/'Tariffs Jul2018'!AI110*'Tariffs Jul2018'!O110/100)* 'Tariffs Jul2018'!AI110)</f>
        <v>180.48</v>
      </c>
      <c r="F116" s="59">
        <f>IF($C$5*'Tariffs Jul2018'!AK110/'Tariffs Jul2018'!AI110&lt;'Tariffs Jul2018'!J110,0,IF($C$5*'Tariffs Jul2018'!AK110/'Tariffs Jul2018'!AI110&lt;='Tariffs Jul2018'!K110,($C$5*'Tariffs Jul2018'!AK110/'Tariffs Jul2018'!AI110-'Tariffs Jul2018'!J110)*('Tariffs Jul2018'!P110/100)*'Tariffs Jul2018'!AI110,('Tariffs Jul2018'!K110-'Tariffs Jul2018'!J110)*('Tariffs Jul2018'!P110/100)*'Tariffs Jul2018'!AI110))</f>
        <v>0</v>
      </c>
      <c r="G116" s="59">
        <f>IF($C$5*'Tariffs Jul2018'!AK110/'Tariffs Jul2018'!AI110&lt;'Tariffs Jul2018'!K110,0,IF($C$5*'Tariffs Jul2018'!AK110/'Tariffs Jul2018'!AI110&lt;='Tariffs Jul2018'!L110,($C$5*'Tariffs Jul2018'!AK110/'Tariffs Jul2018'!AI110-'Tariffs Jul2018'!K110)*('Tariffs Jul2018'!Q110/100)*'Tariffs Jul2018'!AI110,('Tariffs Jul2018'!L110-'Tariffs Jul2018'!K110)*('Tariffs Jul2018'!Q110/100)*'Tariffs Jul2018'!AI110))</f>
        <v>0</v>
      </c>
      <c r="H116" s="59">
        <f>IF($C$5*'Tariffs Jul2018'!AK110/'Tariffs Jul2018'!AI110&lt;'Tariffs Jul2018'!L110,0,IF($C$5*'Tariffs Jul2018'!AK110/'Tariffs Jul2018'!AI110&lt;='Tariffs Jul2018'!M110,($C$5*'Tariffs Jul2018'!AK110/'Tariffs Jul2018'!AI110-'Tariffs Jul2018'!L110)*('Tariffs Jul2018'!R110/100)*'Tariffs Jul2018'!AI110,('Tariffs Jul2018'!M110-'Tariffs Jul2018'!L110)*('Tariffs Jul2018'!R110/100)*'Tariffs Jul2018'!AI110))</f>
        <v>0</v>
      </c>
      <c r="I116" s="59">
        <f>IF(($C$5*'Tariffs Jul2018'!AK110/'Tariffs Jul2018'!AI110&gt;'Tariffs Jul2018'!M110),($C$5*'Tariffs Jul2018'!AK110/'Tariffs Jul2018'!AI110-'Tariffs Jul2018'!M110)*'Tariffs Jul2018'!S110/100*'Tariffs Jul2018'!AI110,0)</f>
        <v>350.3495999999999</v>
      </c>
      <c r="J116" s="59">
        <f>IF($C$5*'Tariffs Jul2018'!AL110/'Tariffs Jul2018'!AJ110&gt;='Tariffs Jul2018'!J110,('Tariffs Jul2018'!J110*'Tariffs Jul2018'!U110/100)* 'Tariffs Jul2018'!AJ110,($C$5*'Tariffs Jul2018'!AL110/'Tariffs Jul2018'!AJ110*'Tariffs Jul2018'!U110/100)* 'Tariffs Jul2018'!AJ110)</f>
        <v>291.83999999999997</v>
      </c>
      <c r="K116" s="59">
        <f>IF($C$5*'Tariffs Jul2018'!AL110/'Tariffs Jul2018'!AJ110&lt;'Tariffs Jul2018'!J110,0,IF($C$5*'Tariffs Jul2018'!AL110/'Tariffs Jul2018'!AJ110&lt;='Tariffs Jul2018'!K110,($C$5*'Tariffs Jul2018'!AL110/'Tariffs Jul2018'!AJ110-'Tariffs Jul2018'!J110)*('Tariffs Jul2018'!V110/100)*'Tariffs Jul2018'!AJ110,('Tariffs Jul2018'!K110-'Tariffs Jul2018'!J110)*('Tariffs Jul2018'!V110/100)*'Tariffs Jul2018'!AJ110))</f>
        <v>0</v>
      </c>
      <c r="L116" s="59">
        <f>IF($C$5*'Tariffs Jul2018'!AL110/'Tariffs Jul2018'!AJ110&lt;'Tariffs Jul2018'!K110,0,IF($C$5*'Tariffs Jul2018'!AL110/'Tariffs Jul2018'!AJ110&lt;='Tariffs Jul2018'!L110,($C$5*'Tariffs Jul2018'!AL110/'Tariffs Jul2018'!AJ110-'Tariffs Jul2018'!K110)*('Tariffs Jul2018'!W110/100)*'Tariffs Jul2018'!AJ110,('Tariffs Jul2018'!L110-'Tariffs Jul2018'!K110)*('Tariffs Jul2018'!W110/100)*'Tariffs Jul2018'!AJ110))</f>
        <v>0</v>
      </c>
      <c r="M116" s="59">
        <f>IF($C$5*'Tariffs Jul2018'!AL110/'Tariffs Jul2018'!AJ110&lt;'Tariffs Jul2018'!L110,0,IF($C$5*'Tariffs Jul2018'!AL110/'Tariffs Jul2018'!AJ110&lt;='Tariffs Jul2018'!M110,($C$5*'Tariffs Jul2018'!AL110/'Tariffs Jul2018'!AJ110-'Tariffs Jul2018'!L110)*('Tariffs Jul2018'!X110/100)*'Tariffs Jul2018'!AJ110,('Tariffs Jul2018'!M110-'Tariffs Jul2018'!L110)*('Tariffs Jul2018'!X110/100)*'Tariffs Jul2018'!AJ110))</f>
        <v>0</v>
      </c>
      <c r="N116" s="59">
        <f>IF(($C$5*'Tariffs Jul2018'!AL110/'Tariffs Jul2018'!AJ110&gt;'Tariffs Jul2018'!M110),($C$5*'Tariffs Jul2018'!AL110/'Tariffs Jul2018'!AJ110-'Tariffs Jul2018'!M110)*'Tariffs Jul2018'!Y110/100*'Tariffs Jul2018'!AJ110,0)</f>
        <v>534.28313999999989</v>
      </c>
      <c r="O116" s="271">
        <f t="shared" si="11"/>
        <v>1356.9527399999997</v>
      </c>
      <c r="P116" s="59">
        <f t="shared" si="12"/>
        <v>1648.5877399999997</v>
      </c>
      <c r="Q116" s="272">
        <f t="shared" si="13"/>
        <v>1813.4465139999998</v>
      </c>
      <c r="R116" s="40">
        <f>'Tariffs Jul2018'!AM110</f>
        <v>0</v>
      </c>
      <c r="S116" s="40">
        <f>'Tariffs Jul2018'!AN110</f>
        <v>0</v>
      </c>
      <c r="T116" s="40">
        <f>'Tariffs Jul2018'!AO110</f>
        <v>0</v>
      </c>
      <c r="U116" s="40">
        <f>'Tariffs Jul2018'!AP110</f>
        <v>0</v>
      </c>
      <c r="V116" s="273">
        <f>P116</f>
        <v>1648.5877399999997</v>
      </c>
      <c r="W116" s="273">
        <f>V116</f>
        <v>1648.5877399999997</v>
      </c>
      <c r="X116" s="272">
        <f t="shared" si="16"/>
        <v>1813.4465139999998</v>
      </c>
      <c r="Y116" s="272">
        <f t="shared" si="16"/>
        <v>1813.4465139999998</v>
      </c>
      <c r="Z116" s="274">
        <f>'Tariffs Jul2018'!AY110</f>
        <v>0</v>
      </c>
      <c r="AA116" s="274" t="str">
        <f>'Tariffs Jul2018'!AZ110</f>
        <v>n</v>
      </c>
      <c r="AB116" s="275" t="str">
        <f>'Tariffs Jul2018'!BG110</f>
        <v>Y</v>
      </c>
      <c r="AC116" s="351"/>
      <c r="AD116" s="351"/>
      <c r="AE116" s="351"/>
      <c r="AF116" s="351"/>
      <c r="AG116" s="351"/>
      <c r="AH116" s="351"/>
      <c r="AI116" s="351"/>
      <c r="AJ116" s="351"/>
      <c r="AK116" s="351"/>
      <c r="AL116" s="351"/>
      <c r="AM116" s="351"/>
      <c r="AN116" s="351"/>
    </row>
    <row r="117" spans="1:40" x14ac:dyDescent="0.15">
      <c r="A117" s="40" t="str">
        <f>'Tariffs Jul2018'!F111</f>
        <v>EnergyAustralia</v>
      </c>
      <c r="B117" s="40" t="str">
        <f>'Tariffs Jul2018'!D111</f>
        <v>Ausnet Central 1</v>
      </c>
      <c r="C117" s="40" t="str">
        <f>'Tariffs Jul2018'!G111</f>
        <v>Anytime Saver</v>
      </c>
      <c r="D117" s="59">
        <f>365*'Tariffs Jul2018'!H111/100</f>
        <v>321.2</v>
      </c>
      <c r="E117" s="59">
        <f>IF($C$5*'Tariffs Jul2018'!AK111/'Tariffs Jul2018'!AI111&gt;='Tariffs Jul2018'!J111,( 'Tariffs Jul2018'!J111*'Tariffs Jul2018'!O111/100)* 'Tariffs Jul2018'!AI111,($C$5*'Tariffs Jul2018'!AK111/'Tariffs Jul2018'!AI111*'Tariffs Jul2018'!O111/100)* 'Tariffs Jul2018'!AI111)</f>
        <v>571.14287999999999</v>
      </c>
      <c r="F117" s="59">
        <f>IF($C$5*'Tariffs Jul2018'!AK111/'Tariffs Jul2018'!AI111&lt;'Tariffs Jul2018'!J111,0,IF($C$5*'Tariffs Jul2018'!AK111/'Tariffs Jul2018'!AI111&lt;='Tariffs Jul2018'!K111,($C$5*'Tariffs Jul2018'!AK111/'Tariffs Jul2018'!AI111-'Tariffs Jul2018'!J111)*('Tariffs Jul2018'!P111/100)*'Tariffs Jul2018'!AI111,('Tariffs Jul2018'!K111-'Tariffs Jul2018'!J111)*('Tariffs Jul2018'!P111/100)*'Tariffs Jul2018'!AI111))</f>
        <v>0</v>
      </c>
      <c r="G117" s="59">
        <f>IF($C$5*'Tariffs Jul2018'!AK111/'Tariffs Jul2018'!AI111&lt;'Tariffs Jul2018'!K111,0,IF($C$5*'Tariffs Jul2018'!AK111/'Tariffs Jul2018'!AI111&lt;='Tariffs Jul2018'!L111,($C$5*'Tariffs Jul2018'!AK111/'Tariffs Jul2018'!AI111-'Tariffs Jul2018'!K111)*('Tariffs Jul2018'!Q111/100)*'Tariffs Jul2018'!AI111,('Tariffs Jul2018'!L111-'Tariffs Jul2018'!K111)*('Tariffs Jul2018'!Q111/100)*'Tariffs Jul2018'!AI111))</f>
        <v>0</v>
      </c>
      <c r="H117" s="59">
        <f>IF($C$5*'Tariffs Jul2018'!AK111/'Tariffs Jul2018'!AI111&lt;'Tariffs Jul2018'!L111,0,IF($C$5*'Tariffs Jul2018'!AK111/'Tariffs Jul2018'!AI111&lt;='Tariffs Jul2018'!M111,($C$5*'Tariffs Jul2018'!AK111/'Tariffs Jul2018'!AI111-'Tariffs Jul2018'!L111)*('Tariffs Jul2018'!R111/100)*'Tariffs Jul2018'!AI111,('Tariffs Jul2018'!M111-'Tariffs Jul2018'!L111)*('Tariffs Jul2018'!R111/100)*'Tariffs Jul2018'!AI111))</f>
        <v>0</v>
      </c>
      <c r="I117" s="59">
        <f>IF(($C$5*'Tariffs Jul2018'!AK111/'Tariffs Jul2018'!AI111&gt;'Tariffs Jul2018'!M111),($C$5*'Tariffs Jul2018'!AK111/'Tariffs Jul2018'!AI111-'Tariffs Jul2018'!M111)*'Tariffs Jul2018'!S111/100*'Tariffs Jul2018'!AI111,0)</f>
        <v>0</v>
      </c>
      <c r="J117" s="59">
        <f>IF($C$5*'Tariffs Jul2018'!AL111/'Tariffs Jul2018'!AJ111&gt;='Tariffs Jul2018'!J111,('Tariffs Jul2018'!J111*'Tariffs Jul2018'!U111/100)* 'Tariffs Jul2018'!AJ111,($C$5*'Tariffs Jul2018'!AL111/'Tariffs Jul2018'!AJ111*'Tariffs Jul2018'!U111/100)* 'Tariffs Jul2018'!AJ111)</f>
        <v>797.92019999999991</v>
      </c>
      <c r="K117" s="59">
        <f>IF($C$5*'Tariffs Jul2018'!AL111/'Tariffs Jul2018'!AJ111&lt;'Tariffs Jul2018'!J111,0,IF($C$5*'Tariffs Jul2018'!AL111/'Tariffs Jul2018'!AJ111&lt;='Tariffs Jul2018'!K111,($C$5*'Tariffs Jul2018'!AL111/'Tariffs Jul2018'!AJ111-'Tariffs Jul2018'!J111)*('Tariffs Jul2018'!V111/100)*'Tariffs Jul2018'!AJ111,('Tariffs Jul2018'!K111-'Tariffs Jul2018'!J111)*('Tariffs Jul2018'!V111/100)*'Tariffs Jul2018'!AJ111))</f>
        <v>0</v>
      </c>
      <c r="L117" s="59">
        <f>IF($C$5*'Tariffs Jul2018'!AL111/'Tariffs Jul2018'!AJ111&lt;'Tariffs Jul2018'!K111,0,IF($C$5*'Tariffs Jul2018'!AL111/'Tariffs Jul2018'!AJ111&lt;='Tariffs Jul2018'!L111,($C$5*'Tariffs Jul2018'!AL111/'Tariffs Jul2018'!AJ111-'Tariffs Jul2018'!K111)*('Tariffs Jul2018'!W111/100)*'Tariffs Jul2018'!AJ111,('Tariffs Jul2018'!L111-'Tariffs Jul2018'!K111)*('Tariffs Jul2018'!W111/100)*'Tariffs Jul2018'!AJ111))</f>
        <v>0</v>
      </c>
      <c r="M117" s="59">
        <f>IF($C$5*'Tariffs Jul2018'!AL111/'Tariffs Jul2018'!AJ111&lt;'Tariffs Jul2018'!L111,0,IF($C$5*'Tariffs Jul2018'!AL111/'Tariffs Jul2018'!AJ111&lt;='Tariffs Jul2018'!M111,($C$5*'Tariffs Jul2018'!AL111/'Tariffs Jul2018'!AJ111-'Tariffs Jul2018'!L111)*('Tariffs Jul2018'!X111/100)*'Tariffs Jul2018'!AJ111,('Tariffs Jul2018'!M111-'Tariffs Jul2018'!L111)*('Tariffs Jul2018'!X111/100)*'Tariffs Jul2018'!AJ111))</f>
        <v>0</v>
      </c>
      <c r="N117" s="59">
        <f>IF(($C$5*'Tariffs Jul2018'!AL111/'Tariffs Jul2018'!AJ111&gt;'Tariffs Jul2018'!M111),($C$5*'Tariffs Jul2018'!AL111/'Tariffs Jul2018'!AJ111-'Tariffs Jul2018'!M111)*'Tariffs Jul2018'!Y111/100*'Tariffs Jul2018'!AJ111,0)</f>
        <v>0</v>
      </c>
      <c r="O117" s="271">
        <f t="shared" si="11"/>
        <v>1369.0630799999999</v>
      </c>
      <c r="P117" s="59">
        <f t="shared" si="12"/>
        <v>1690.2630799999999</v>
      </c>
      <c r="Q117" s="272">
        <f t="shared" si="13"/>
        <v>1859.2893880000001</v>
      </c>
      <c r="R117" s="40">
        <f>'Tariffs Jul2018'!AM111</f>
        <v>0</v>
      </c>
      <c r="S117" s="40">
        <f>'Tariffs Jul2018'!AN111</f>
        <v>34</v>
      </c>
      <c r="T117" s="40">
        <f>'Tariffs Jul2018'!AO111</f>
        <v>0</v>
      </c>
      <c r="U117" s="40">
        <f>'Tariffs Jul2018'!AP111</f>
        <v>0</v>
      </c>
      <c r="V117" s="273">
        <f>P117-(O117*S117/100)</f>
        <v>1224.7816327999999</v>
      </c>
      <c r="W117" s="273">
        <f>V117-(O117*U117/100)</f>
        <v>1224.7816327999999</v>
      </c>
      <c r="X117" s="272">
        <f t="shared" si="16"/>
        <v>1347.2597960799999</v>
      </c>
      <c r="Y117" s="272">
        <f t="shared" si="16"/>
        <v>1347.2597960799999</v>
      </c>
      <c r="Z117" s="274">
        <f>'Tariffs Jul2018'!AY111</f>
        <v>0</v>
      </c>
      <c r="AA117" s="274" t="str">
        <f>'Tariffs Jul2018'!AZ111</f>
        <v>n</v>
      </c>
      <c r="AB117" s="275" t="str">
        <f>'Tariffs Jul2018'!BG111</f>
        <v>N</v>
      </c>
      <c r="AC117" s="351"/>
      <c r="AD117" s="351"/>
      <c r="AE117" s="351"/>
      <c r="AF117" s="351"/>
      <c r="AG117" s="351"/>
      <c r="AH117" s="351"/>
      <c r="AI117" s="351"/>
      <c r="AJ117" s="351"/>
      <c r="AK117" s="351"/>
      <c r="AL117" s="351"/>
      <c r="AM117" s="351"/>
      <c r="AN117" s="351"/>
    </row>
    <row r="118" spans="1:40" x14ac:dyDescent="0.15">
      <c r="A118" s="40" t="str">
        <f>'Tariffs Jul2018'!F112</f>
        <v>Lumo Energy</v>
      </c>
      <c r="B118" s="40" t="str">
        <f>'Tariffs Jul2018'!D112</f>
        <v>Ausnet Central 1</v>
      </c>
      <c r="C118" s="40" t="str">
        <f>'Tariffs Jul2018'!G112</f>
        <v>Advantage</v>
      </c>
      <c r="D118" s="59">
        <f>365*'Tariffs Jul2018'!H112/100</f>
        <v>288.35000000000002</v>
      </c>
      <c r="E118" s="59">
        <f>IF($C$5*'Tariffs Jul2018'!AK112/'Tariffs Jul2018'!AI112&gt;='Tariffs Jul2018'!J112,( 'Tariffs Jul2018'!J112*'Tariffs Jul2018'!O112/100)* 'Tariffs Jul2018'!AI112,($C$5*'Tariffs Jul2018'!AK112/'Tariffs Jul2018'!AI112*'Tariffs Jul2018'!O112/100)* 'Tariffs Jul2018'!AI112)</f>
        <v>305.99999999999994</v>
      </c>
      <c r="F118" s="59">
        <f>IF($C$5*'Tariffs Jul2018'!AK112/'Tariffs Jul2018'!AI112&lt;'Tariffs Jul2018'!J112,0,IF($C$5*'Tariffs Jul2018'!AK112/'Tariffs Jul2018'!AI112&lt;='Tariffs Jul2018'!K112,($C$5*'Tariffs Jul2018'!AK112/'Tariffs Jul2018'!AI112-'Tariffs Jul2018'!J112)*('Tariffs Jul2018'!P112/100)*'Tariffs Jul2018'!AI112,('Tariffs Jul2018'!K112-'Tariffs Jul2018'!J112)*('Tariffs Jul2018'!P112/100)*'Tariffs Jul2018'!AI112))</f>
        <v>197.95379999999997</v>
      </c>
      <c r="G118" s="59">
        <f>IF($C$5*'Tariffs Jul2018'!AK112/'Tariffs Jul2018'!AI112&lt;'Tariffs Jul2018'!K112,0,IF($C$5*'Tariffs Jul2018'!AK112/'Tariffs Jul2018'!AI112&lt;='Tariffs Jul2018'!L112,($C$5*'Tariffs Jul2018'!AK112/'Tariffs Jul2018'!AI112-'Tariffs Jul2018'!K112)*('Tariffs Jul2018'!Q112/100)*'Tariffs Jul2018'!AI112,('Tariffs Jul2018'!L112-'Tariffs Jul2018'!K112)*('Tariffs Jul2018'!Q112/100)*'Tariffs Jul2018'!AI112))</f>
        <v>0</v>
      </c>
      <c r="H118" s="59">
        <f>IF($C$5*'Tariffs Jul2018'!AK112/'Tariffs Jul2018'!AI112&lt;'Tariffs Jul2018'!L112,0,IF($C$5*'Tariffs Jul2018'!AK112/'Tariffs Jul2018'!AI112&lt;='Tariffs Jul2018'!M112,($C$5*'Tariffs Jul2018'!AK112/'Tariffs Jul2018'!AI112-'Tariffs Jul2018'!L112)*('Tariffs Jul2018'!R112/100)*'Tariffs Jul2018'!AI112,('Tariffs Jul2018'!M112-'Tariffs Jul2018'!L112)*('Tariffs Jul2018'!R112/100)*'Tariffs Jul2018'!AI112))</f>
        <v>0</v>
      </c>
      <c r="I118" s="59">
        <f>IF(($C$5*'Tariffs Jul2018'!AK112/'Tariffs Jul2018'!AI112&gt;'Tariffs Jul2018'!M112),($C$5*'Tariffs Jul2018'!AK112/'Tariffs Jul2018'!AI112-'Tariffs Jul2018'!M112)*'Tariffs Jul2018'!S112/100*'Tariffs Jul2018'!AI112,0)</f>
        <v>0</v>
      </c>
      <c r="J118" s="59">
        <f>IF($C$5*'Tariffs Jul2018'!AL112/'Tariffs Jul2018'!AJ112&gt;='Tariffs Jul2018'!J112,('Tariffs Jul2018'!J112*'Tariffs Jul2018'!U112/100)* 'Tariffs Jul2018'!AJ112,($C$5*'Tariffs Jul2018'!AL112/'Tariffs Jul2018'!AJ112*'Tariffs Jul2018'!U112/100)* 'Tariffs Jul2018'!AJ112)</f>
        <v>432</v>
      </c>
      <c r="K118" s="59">
        <f>IF($C$5*'Tariffs Jul2018'!AL112/'Tariffs Jul2018'!AJ112&lt;'Tariffs Jul2018'!J112,0,IF($C$5*'Tariffs Jul2018'!AL112/'Tariffs Jul2018'!AJ112&lt;='Tariffs Jul2018'!K112,($C$5*'Tariffs Jul2018'!AL112/'Tariffs Jul2018'!AJ112-'Tariffs Jul2018'!J112)*('Tariffs Jul2018'!V112/100)*'Tariffs Jul2018'!AJ112,('Tariffs Jul2018'!K112-'Tariffs Jul2018'!J112)*('Tariffs Jul2018'!V112/100)*'Tariffs Jul2018'!AJ112))</f>
        <v>314.92649999999998</v>
      </c>
      <c r="L118" s="59">
        <f>IF($C$5*'Tariffs Jul2018'!AL112/'Tariffs Jul2018'!AJ112&lt;'Tariffs Jul2018'!K112,0,IF($C$5*'Tariffs Jul2018'!AL112/'Tariffs Jul2018'!AJ112&lt;='Tariffs Jul2018'!L112,($C$5*'Tariffs Jul2018'!AL112/'Tariffs Jul2018'!AJ112-'Tariffs Jul2018'!K112)*('Tariffs Jul2018'!W112/100)*'Tariffs Jul2018'!AJ112,('Tariffs Jul2018'!L112-'Tariffs Jul2018'!K112)*('Tariffs Jul2018'!W112/100)*'Tariffs Jul2018'!AJ112))</f>
        <v>0</v>
      </c>
      <c r="M118" s="59">
        <f>IF($C$5*'Tariffs Jul2018'!AL112/'Tariffs Jul2018'!AJ112&lt;'Tariffs Jul2018'!L112,0,IF($C$5*'Tariffs Jul2018'!AL112/'Tariffs Jul2018'!AJ112&lt;='Tariffs Jul2018'!M112,($C$5*'Tariffs Jul2018'!AL112/'Tariffs Jul2018'!AJ112-'Tariffs Jul2018'!L112)*('Tariffs Jul2018'!X112/100)*'Tariffs Jul2018'!AJ112,('Tariffs Jul2018'!M112-'Tariffs Jul2018'!L112)*('Tariffs Jul2018'!X112/100)*'Tariffs Jul2018'!AJ112))</f>
        <v>0</v>
      </c>
      <c r="N118" s="59">
        <f>IF(($C$5*'Tariffs Jul2018'!AL112/'Tariffs Jul2018'!AJ112&gt;'Tariffs Jul2018'!M112),($C$5*'Tariffs Jul2018'!AL112/'Tariffs Jul2018'!AJ112-'Tariffs Jul2018'!M112)*'Tariffs Jul2018'!Y112/100*'Tariffs Jul2018'!AJ112,0)</f>
        <v>0</v>
      </c>
      <c r="O118" s="271">
        <f t="shared" si="11"/>
        <v>1250.8802999999998</v>
      </c>
      <c r="P118" s="59">
        <f t="shared" si="12"/>
        <v>1539.2302999999997</v>
      </c>
      <c r="Q118" s="272">
        <f t="shared" si="13"/>
        <v>1693.1533299999999</v>
      </c>
      <c r="R118" s="40">
        <f>'Tariffs Jul2018'!AM112</f>
        <v>0</v>
      </c>
      <c r="S118" s="40">
        <f>'Tariffs Jul2018'!AN112</f>
        <v>0</v>
      </c>
      <c r="T118" s="40">
        <f>'Tariffs Jul2018'!AO112</f>
        <v>15</v>
      </c>
      <c r="U118" s="40">
        <f>'Tariffs Jul2018'!AP112</f>
        <v>0</v>
      </c>
      <c r="V118" s="273">
        <f t="shared" ref="V118:V126" si="17">P118</f>
        <v>1539.2302999999997</v>
      </c>
      <c r="W118" s="273">
        <f>V118-(P118*T118/100)</f>
        <v>1308.3457549999998</v>
      </c>
      <c r="X118" s="272">
        <f t="shared" si="16"/>
        <v>1693.1533299999999</v>
      </c>
      <c r="Y118" s="272">
        <f t="shared" si="16"/>
        <v>1439.1803304999999</v>
      </c>
      <c r="Z118" s="274">
        <f>'Tariffs Jul2018'!AY112</f>
        <v>0</v>
      </c>
      <c r="AA118" s="274" t="str">
        <f>'Tariffs Jul2018'!AZ112</f>
        <v>n</v>
      </c>
      <c r="AB118" s="275" t="str">
        <f>'Tariffs Jul2018'!BG112</f>
        <v>N</v>
      </c>
      <c r="AC118" s="351"/>
      <c r="AD118" s="351"/>
      <c r="AE118" s="351"/>
      <c r="AF118" s="351"/>
      <c r="AG118" s="351"/>
      <c r="AH118" s="351"/>
      <c r="AI118" s="351"/>
      <c r="AJ118" s="351"/>
      <c r="AK118" s="351"/>
      <c r="AL118" s="351"/>
      <c r="AM118" s="351"/>
      <c r="AN118" s="351"/>
    </row>
    <row r="119" spans="1:40" x14ac:dyDescent="0.15">
      <c r="A119" s="40" t="str">
        <f>'Tariffs Jul2018'!F113</f>
        <v>Momentum Energy</v>
      </c>
      <c r="B119" s="40" t="str">
        <f>'Tariffs Jul2018'!D113</f>
        <v>Ausnet Central 1</v>
      </c>
      <c r="C119" s="40" t="str">
        <f>'Tariffs Jul2018'!G113</f>
        <v>Market offer</v>
      </c>
      <c r="D119" s="59">
        <f>365*'Tariffs Jul2018'!H113/100</f>
        <v>299.19049999999999</v>
      </c>
      <c r="E119" s="59">
        <f>IF($C$5*'Tariffs Jul2018'!AK113/'Tariffs Jul2018'!AI113&gt;='Tariffs Jul2018'!J113,( 'Tariffs Jul2018'!J113*'Tariffs Jul2018'!O113/100)* 'Tariffs Jul2018'!AI113,($C$5*'Tariffs Jul2018'!AK113/'Tariffs Jul2018'!AI113*'Tariffs Jul2018'!O113/100)* 'Tariffs Jul2018'!AI113)</f>
        <v>240</v>
      </c>
      <c r="F119" s="59">
        <f>IF($C$5*'Tariffs Jul2018'!AK113/'Tariffs Jul2018'!AI113&lt;'Tariffs Jul2018'!J113,0,IF($C$5*'Tariffs Jul2018'!AK113/'Tariffs Jul2018'!AI113&lt;='Tariffs Jul2018'!K113,($C$5*'Tariffs Jul2018'!AK113/'Tariffs Jul2018'!AI113-'Tariffs Jul2018'!J113)*('Tariffs Jul2018'!P113/100)*'Tariffs Jul2018'!AI113,('Tariffs Jul2018'!K113-'Tariffs Jul2018'!J113)*('Tariffs Jul2018'!P113/100)*'Tariffs Jul2018'!AI113))</f>
        <v>157.46324999999999</v>
      </c>
      <c r="G119" s="59">
        <f>IF($C$5*'Tariffs Jul2018'!AK113/'Tariffs Jul2018'!AI113&lt;'Tariffs Jul2018'!K113,0,IF($C$5*'Tariffs Jul2018'!AK113/'Tariffs Jul2018'!AI113&lt;='Tariffs Jul2018'!L113,($C$5*'Tariffs Jul2018'!AK113/'Tariffs Jul2018'!AI113-'Tariffs Jul2018'!K113)*('Tariffs Jul2018'!Q113/100)*'Tariffs Jul2018'!AI113,('Tariffs Jul2018'!L113-'Tariffs Jul2018'!K113)*('Tariffs Jul2018'!Q113/100)*'Tariffs Jul2018'!AI113))</f>
        <v>0</v>
      </c>
      <c r="H119" s="59">
        <f>IF($C$5*'Tariffs Jul2018'!AK113/'Tariffs Jul2018'!AI113&lt;'Tariffs Jul2018'!L113,0,IF($C$5*'Tariffs Jul2018'!AK113/'Tariffs Jul2018'!AI113&lt;='Tariffs Jul2018'!M113,($C$5*'Tariffs Jul2018'!AK113/'Tariffs Jul2018'!AI113-'Tariffs Jul2018'!L113)*('Tariffs Jul2018'!R113/100)*'Tariffs Jul2018'!AI113,('Tariffs Jul2018'!M113-'Tariffs Jul2018'!L113)*('Tariffs Jul2018'!R113/100)*'Tariffs Jul2018'!AI113))</f>
        <v>0</v>
      </c>
      <c r="I119" s="59">
        <f>IF(($C$5*'Tariffs Jul2018'!AK113/'Tariffs Jul2018'!AI113&gt;'Tariffs Jul2018'!M113),($C$5*'Tariffs Jul2018'!AK113/'Tariffs Jul2018'!AI113-'Tariffs Jul2018'!M113)*'Tariffs Jul2018'!S113/100*'Tariffs Jul2018'!AI113,0)</f>
        <v>0</v>
      </c>
      <c r="J119" s="59">
        <f>IF($C$5*'Tariffs Jul2018'!AL113/'Tariffs Jul2018'!AJ113&gt;='Tariffs Jul2018'!J113,('Tariffs Jul2018'!J113*'Tariffs Jul2018'!U113/100)* 'Tariffs Jul2018'!AJ113,($C$5*'Tariffs Jul2018'!AL113/'Tariffs Jul2018'!AJ113*'Tariffs Jul2018'!U113/100)* 'Tariffs Jul2018'!AJ113)</f>
        <v>360</v>
      </c>
      <c r="K119" s="59">
        <f>IF($C$5*'Tariffs Jul2018'!AL113/'Tariffs Jul2018'!AJ113&lt;'Tariffs Jul2018'!J113,0,IF($C$5*'Tariffs Jul2018'!AL113/'Tariffs Jul2018'!AJ113&lt;='Tariffs Jul2018'!K113,($C$5*'Tariffs Jul2018'!AL113/'Tariffs Jul2018'!AJ113-'Tariffs Jul2018'!J113)*('Tariffs Jul2018'!V113/100)*'Tariffs Jul2018'!AJ113,('Tariffs Jul2018'!K113-'Tariffs Jul2018'!J113)*('Tariffs Jul2018'!V113/100)*'Tariffs Jul2018'!AJ113))</f>
        <v>264.53825999999992</v>
      </c>
      <c r="L119" s="59">
        <f>IF($C$5*'Tariffs Jul2018'!AL113/'Tariffs Jul2018'!AJ113&lt;'Tariffs Jul2018'!K113,0,IF($C$5*'Tariffs Jul2018'!AL113/'Tariffs Jul2018'!AJ113&lt;='Tariffs Jul2018'!L113,($C$5*'Tariffs Jul2018'!AL113/'Tariffs Jul2018'!AJ113-'Tariffs Jul2018'!K113)*('Tariffs Jul2018'!W113/100)*'Tariffs Jul2018'!AJ113,('Tariffs Jul2018'!L113-'Tariffs Jul2018'!K113)*('Tariffs Jul2018'!W113/100)*'Tariffs Jul2018'!AJ113))</f>
        <v>0</v>
      </c>
      <c r="M119" s="59">
        <f>IF($C$5*'Tariffs Jul2018'!AL113/'Tariffs Jul2018'!AJ113&lt;'Tariffs Jul2018'!L113,0,IF($C$5*'Tariffs Jul2018'!AL113/'Tariffs Jul2018'!AJ113&lt;='Tariffs Jul2018'!M113,($C$5*'Tariffs Jul2018'!AL113/'Tariffs Jul2018'!AJ113-'Tariffs Jul2018'!L113)*('Tariffs Jul2018'!X113/100)*'Tariffs Jul2018'!AJ113,('Tariffs Jul2018'!M113-'Tariffs Jul2018'!L113)*('Tariffs Jul2018'!X113/100)*'Tariffs Jul2018'!AJ113))</f>
        <v>0</v>
      </c>
      <c r="N119" s="59">
        <f>IF(($C$5*'Tariffs Jul2018'!AL113/'Tariffs Jul2018'!AJ113&gt;'Tariffs Jul2018'!M113),($C$5*'Tariffs Jul2018'!AL113/'Tariffs Jul2018'!AJ113-'Tariffs Jul2018'!M113)*'Tariffs Jul2018'!Y113/100*'Tariffs Jul2018'!AJ113,0)</f>
        <v>0</v>
      </c>
      <c r="O119" s="271">
        <f t="shared" si="11"/>
        <v>1022.0015099999999</v>
      </c>
      <c r="P119" s="59">
        <f t="shared" si="12"/>
        <v>1321.19201</v>
      </c>
      <c r="Q119" s="272">
        <f t="shared" si="13"/>
        <v>1453.3112110000002</v>
      </c>
      <c r="R119" s="40">
        <f>'Tariffs Jul2018'!AM113</f>
        <v>0</v>
      </c>
      <c r="S119" s="40">
        <f>'Tariffs Jul2018'!AN113</f>
        <v>0</v>
      </c>
      <c r="T119" s="40">
        <f>'Tariffs Jul2018'!AO113</f>
        <v>0</v>
      </c>
      <c r="U119" s="40">
        <f>'Tariffs Jul2018'!AP113</f>
        <v>0</v>
      </c>
      <c r="V119" s="273">
        <f t="shared" si="17"/>
        <v>1321.19201</v>
      </c>
      <c r="W119" s="273">
        <f>V119</f>
        <v>1321.19201</v>
      </c>
      <c r="X119" s="272">
        <f t="shared" si="16"/>
        <v>1453.3112110000002</v>
      </c>
      <c r="Y119" s="272">
        <f t="shared" si="16"/>
        <v>1453.3112110000002</v>
      </c>
      <c r="Z119" s="274">
        <f>'Tariffs Jul2018'!AY113</f>
        <v>0</v>
      </c>
      <c r="AA119" s="274" t="str">
        <f>'Tariffs Jul2018'!AZ113</f>
        <v>n</v>
      </c>
      <c r="AB119" s="275" t="str">
        <f>'Tariffs Jul2018'!BG113</f>
        <v>Y</v>
      </c>
      <c r="AC119" s="351"/>
      <c r="AD119" s="351"/>
      <c r="AE119" s="351"/>
      <c r="AF119" s="351"/>
      <c r="AG119" s="351"/>
      <c r="AH119" s="351"/>
      <c r="AI119" s="351"/>
      <c r="AJ119" s="351"/>
      <c r="AK119" s="351"/>
      <c r="AL119" s="351"/>
      <c r="AM119" s="351"/>
      <c r="AN119" s="351"/>
    </row>
    <row r="120" spans="1:40" x14ac:dyDescent="0.15">
      <c r="A120" s="40" t="str">
        <f>'Tariffs Jul2018'!F114</f>
        <v>Origin Energy</v>
      </c>
      <c r="B120" s="40" t="str">
        <f>'Tariffs Jul2018'!D114</f>
        <v>Ausnet Central 1</v>
      </c>
      <c r="C120" s="40" t="str">
        <f>'Tariffs Jul2018'!G114</f>
        <v>Saver</v>
      </c>
      <c r="D120" s="59">
        <f>365*'Tariffs Jul2018'!H114/100</f>
        <v>284.7</v>
      </c>
      <c r="E120" s="59">
        <f>IF($C$5*'Tariffs Jul2018'!AK114/'Tariffs Jul2018'!AI114&gt;='Tariffs Jul2018'!J114,( 'Tariffs Jul2018'!J114*'Tariffs Jul2018'!O114/100)* 'Tariffs Jul2018'!AI114,($C$5*'Tariffs Jul2018'!AK114/'Tariffs Jul2018'!AI114*'Tariffs Jul2018'!O114/100)* 'Tariffs Jul2018'!AI114)</f>
        <v>179.2</v>
      </c>
      <c r="F120" s="59">
        <f>IF($C$5*'Tariffs Jul2018'!AK114/'Tariffs Jul2018'!AI114&lt;'Tariffs Jul2018'!J114,0,IF($C$5*'Tariffs Jul2018'!AK114/'Tariffs Jul2018'!AI114&lt;='Tariffs Jul2018'!K114,($C$5*'Tariffs Jul2018'!AK114/'Tariffs Jul2018'!AI114-'Tariffs Jul2018'!J114)*('Tariffs Jul2018'!P114/100)*'Tariffs Jul2018'!AI114,('Tariffs Jul2018'!K114-'Tariffs Jul2018'!J114)*('Tariffs Jul2018'!P114/100)*'Tariffs Jul2018'!AI114))</f>
        <v>0</v>
      </c>
      <c r="G120" s="59">
        <f>IF($C$5*'Tariffs Jul2018'!AK114/'Tariffs Jul2018'!AI114&lt;'Tariffs Jul2018'!K114,0,IF($C$5*'Tariffs Jul2018'!AK114/'Tariffs Jul2018'!AI114&lt;='Tariffs Jul2018'!L114,($C$5*'Tariffs Jul2018'!AK114/'Tariffs Jul2018'!AI114-'Tariffs Jul2018'!K114)*('Tariffs Jul2018'!Q114/100)*'Tariffs Jul2018'!AI114,('Tariffs Jul2018'!L114-'Tariffs Jul2018'!K114)*('Tariffs Jul2018'!Q114/100)*'Tariffs Jul2018'!AI114))</f>
        <v>0</v>
      </c>
      <c r="H120" s="59">
        <f>IF($C$5*'Tariffs Jul2018'!AK114/'Tariffs Jul2018'!AI114&lt;'Tariffs Jul2018'!L114,0,IF($C$5*'Tariffs Jul2018'!AK114/'Tariffs Jul2018'!AI114&lt;='Tariffs Jul2018'!M114,($C$5*'Tariffs Jul2018'!AK114/'Tariffs Jul2018'!AI114-'Tariffs Jul2018'!L114)*('Tariffs Jul2018'!R114/100)*'Tariffs Jul2018'!AI114,('Tariffs Jul2018'!M114-'Tariffs Jul2018'!L114)*('Tariffs Jul2018'!R114/100)*'Tariffs Jul2018'!AI114))</f>
        <v>0</v>
      </c>
      <c r="I120" s="59">
        <f>IF(($C$5*'Tariffs Jul2018'!AK114/'Tariffs Jul2018'!AI114&gt;'Tariffs Jul2018'!M114),($C$5*'Tariffs Jul2018'!AK114/'Tariffs Jul2018'!AI114-'Tariffs Jul2018'!M114)*'Tariffs Jul2018'!S114/100*'Tariffs Jul2018'!AI114,0)</f>
        <v>321.15379999999999</v>
      </c>
      <c r="J120" s="59">
        <f>IF($C$5*'Tariffs Jul2018'!AL114/'Tariffs Jul2018'!AJ114&gt;='Tariffs Jul2018'!J114,('Tariffs Jul2018'!J114*'Tariffs Jul2018'!U114/100)* 'Tariffs Jul2018'!AJ114,($C$5*'Tariffs Jul2018'!AL114/'Tariffs Jul2018'!AJ114*'Tariffs Jul2018'!U114/100)* 'Tariffs Jul2018'!AJ114)</f>
        <v>256</v>
      </c>
      <c r="K120" s="59">
        <f>IF($C$5*'Tariffs Jul2018'!AL114/'Tariffs Jul2018'!AJ114&lt;'Tariffs Jul2018'!J114,0,IF($C$5*'Tariffs Jul2018'!AL114/'Tariffs Jul2018'!AJ114&lt;='Tariffs Jul2018'!K114,($C$5*'Tariffs Jul2018'!AL114/'Tariffs Jul2018'!AJ114-'Tariffs Jul2018'!J114)*('Tariffs Jul2018'!V114/100)*'Tariffs Jul2018'!AJ114,('Tariffs Jul2018'!K114-'Tariffs Jul2018'!J114)*('Tariffs Jul2018'!V114/100)*'Tariffs Jul2018'!AJ114))</f>
        <v>0</v>
      </c>
      <c r="L120" s="59">
        <f>IF($C$5*'Tariffs Jul2018'!AL114/'Tariffs Jul2018'!AJ114&lt;'Tariffs Jul2018'!K114,0,IF($C$5*'Tariffs Jul2018'!AL114/'Tariffs Jul2018'!AJ114&lt;='Tariffs Jul2018'!L114,($C$5*'Tariffs Jul2018'!AL114/'Tariffs Jul2018'!AJ114-'Tariffs Jul2018'!K114)*('Tariffs Jul2018'!W114/100)*'Tariffs Jul2018'!AJ114,('Tariffs Jul2018'!L114-'Tariffs Jul2018'!K114)*('Tariffs Jul2018'!W114/100)*'Tariffs Jul2018'!AJ114))</f>
        <v>0</v>
      </c>
      <c r="M120" s="59">
        <f>IF($C$5*'Tariffs Jul2018'!AL114/'Tariffs Jul2018'!AJ114&lt;'Tariffs Jul2018'!L114,0,IF($C$5*'Tariffs Jul2018'!AL114/'Tariffs Jul2018'!AJ114&lt;='Tariffs Jul2018'!M114,($C$5*'Tariffs Jul2018'!AL114/'Tariffs Jul2018'!AJ114-'Tariffs Jul2018'!L114)*('Tariffs Jul2018'!X114/100)*'Tariffs Jul2018'!AJ114,('Tariffs Jul2018'!M114-'Tariffs Jul2018'!L114)*('Tariffs Jul2018'!X114/100)*'Tariffs Jul2018'!AJ114))</f>
        <v>0</v>
      </c>
      <c r="N120" s="59">
        <f>IF(($C$5*'Tariffs Jul2018'!AL114/'Tariffs Jul2018'!AJ114&gt;'Tariffs Jul2018'!M114),($C$5*'Tariffs Jul2018'!AL114/'Tariffs Jul2018'!AJ114-'Tariffs Jul2018'!M114)*'Tariffs Jul2018'!Y114/100*'Tariffs Jul2018'!AJ114,0)</f>
        <v>467.13279999999997</v>
      </c>
      <c r="O120" s="271">
        <f t="shared" si="11"/>
        <v>1223.4866</v>
      </c>
      <c r="P120" s="59">
        <f t="shared" si="12"/>
        <v>1508.1866</v>
      </c>
      <c r="Q120" s="272">
        <f t="shared" si="13"/>
        <v>1659.0052600000001</v>
      </c>
      <c r="R120" s="40">
        <f>'Tariffs Jul2018'!AM114</f>
        <v>0</v>
      </c>
      <c r="S120" s="40">
        <f>'Tariffs Jul2018'!AN114</f>
        <v>0</v>
      </c>
      <c r="T120" s="40">
        <f>'Tariffs Jul2018'!AO114</f>
        <v>0</v>
      </c>
      <c r="U120" s="40">
        <f>'Tariffs Jul2018'!AP114</f>
        <v>13</v>
      </c>
      <c r="V120" s="273">
        <f t="shared" si="17"/>
        <v>1508.1866</v>
      </c>
      <c r="W120" s="273">
        <f>V120-(O120*U120/100)</f>
        <v>1349.1333420000001</v>
      </c>
      <c r="X120" s="272">
        <f t="shared" si="16"/>
        <v>1659.0052600000001</v>
      </c>
      <c r="Y120" s="272">
        <f t="shared" si="16"/>
        <v>1484.0466762000003</v>
      </c>
      <c r="Z120" s="274">
        <f>'Tariffs Jul2018'!AY114</f>
        <v>0</v>
      </c>
      <c r="AA120" s="274" t="str">
        <f>'Tariffs Jul2018'!AZ114</f>
        <v>n</v>
      </c>
      <c r="AB120" s="275" t="str">
        <f>'Tariffs Jul2018'!BG114</f>
        <v>N</v>
      </c>
      <c r="AC120" s="351"/>
      <c r="AD120" s="351"/>
      <c r="AE120" s="351"/>
      <c r="AF120" s="351"/>
      <c r="AG120" s="351"/>
      <c r="AH120" s="351"/>
      <c r="AI120" s="351"/>
      <c r="AJ120" s="351"/>
      <c r="AK120" s="351"/>
      <c r="AL120" s="351"/>
      <c r="AM120" s="351"/>
      <c r="AN120" s="351"/>
    </row>
    <row r="121" spans="1:40" x14ac:dyDescent="0.15">
      <c r="A121" s="40" t="str">
        <f>'Tariffs Jul2018'!F115</f>
        <v>Red Energy</v>
      </c>
      <c r="B121" s="40" t="str">
        <f>'Tariffs Jul2018'!D115</f>
        <v>Ausnet Central 1</v>
      </c>
      <c r="C121" s="40" t="str">
        <f>'Tariffs Jul2018'!G115</f>
        <v>Easy Saver</v>
      </c>
      <c r="D121" s="59">
        <f>365*'Tariffs Jul2018'!H115/100</f>
        <v>292</v>
      </c>
      <c r="E121" s="59">
        <f>IF($C$5*'Tariffs Jul2018'!AK115/'Tariffs Jul2018'!AI115&gt;='Tariffs Jul2018'!J115,( 'Tariffs Jul2018'!J115*'Tariffs Jul2018'!O115/100)* 'Tariffs Jul2018'!AI115,($C$5*'Tariffs Jul2018'!AK115/'Tariffs Jul2018'!AI115*'Tariffs Jul2018'!O115/100)* 'Tariffs Jul2018'!AI115)</f>
        <v>144</v>
      </c>
      <c r="F121" s="59">
        <f>IF($C$5*'Tariffs Jul2018'!AK115/'Tariffs Jul2018'!AI115&lt;'Tariffs Jul2018'!J115,0,IF($C$5*'Tariffs Jul2018'!AK115/'Tariffs Jul2018'!AI115&lt;='Tariffs Jul2018'!K115,($C$5*'Tariffs Jul2018'!AK115/'Tariffs Jul2018'!AI115-'Tariffs Jul2018'!J115)*('Tariffs Jul2018'!P115/100)*'Tariffs Jul2018'!AI115,('Tariffs Jul2018'!K115-'Tariffs Jul2018'!J115)*('Tariffs Jul2018'!P115/100)*'Tariffs Jul2018'!AI115))</f>
        <v>0</v>
      </c>
      <c r="G121" s="59">
        <f>IF($C$5*'Tariffs Jul2018'!AK115/'Tariffs Jul2018'!AI115&lt;'Tariffs Jul2018'!K115,0,IF($C$5*'Tariffs Jul2018'!AK115/'Tariffs Jul2018'!AI115&lt;='Tariffs Jul2018'!L115,($C$5*'Tariffs Jul2018'!AK115/'Tariffs Jul2018'!AI115-'Tariffs Jul2018'!K115)*('Tariffs Jul2018'!Q115/100)*'Tariffs Jul2018'!AI115,('Tariffs Jul2018'!L115-'Tariffs Jul2018'!K115)*('Tariffs Jul2018'!Q115/100)*'Tariffs Jul2018'!AI115))</f>
        <v>0</v>
      </c>
      <c r="H121" s="59">
        <f>IF($C$5*'Tariffs Jul2018'!AK115/'Tariffs Jul2018'!AI115&lt;'Tariffs Jul2018'!L115,0,IF($C$5*'Tariffs Jul2018'!AK115/'Tariffs Jul2018'!AI115&lt;='Tariffs Jul2018'!M115,($C$5*'Tariffs Jul2018'!AK115/'Tariffs Jul2018'!AI115-'Tariffs Jul2018'!L115)*('Tariffs Jul2018'!R115/100)*'Tariffs Jul2018'!AI115,('Tariffs Jul2018'!M115-'Tariffs Jul2018'!L115)*('Tariffs Jul2018'!R115/100)*'Tariffs Jul2018'!AI115))</f>
        <v>0</v>
      </c>
      <c r="I121" s="59">
        <f>IF(($C$5*'Tariffs Jul2018'!AK115/'Tariffs Jul2018'!AI115&gt;'Tariffs Jul2018'!M115),($C$5*'Tariffs Jul2018'!AK115/'Tariffs Jul2018'!AI115-'Tariffs Jul2018'!M115)*'Tariffs Jul2018'!S115/100*'Tariffs Jul2018'!AI115,0)</f>
        <v>284.65904999999998</v>
      </c>
      <c r="J121" s="59">
        <f>IF($C$5*'Tariffs Jul2018'!AL115/'Tariffs Jul2018'!AJ115&gt;='Tariffs Jul2018'!J115,('Tariffs Jul2018'!J115*'Tariffs Jul2018'!U115/100)* 'Tariffs Jul2018'!AJ115,($C$5*'Tariffs Jul2018'!AL115/'Tariffs Jul2018'!AJ115*'Tariffs Jul2018'!U115/100)* 'Tariffs Jul2018'!AJ115)</f>
        <v>240.64</v>
      </c>
      <c r="K121" s="59">
        <f>IF($C$5*'Tariffs Jul2018'!AL115/'Tariffs Jul2018'!AJ115&lt;'Tariffs Jul2018'!J115,0,IF($C$5*'Tariffs Jul2018'!AL115/'Tariffs Jul2018'!AJ115&lt;='Tariffs Jul2018'!K115,($C$5*'Tariffs Jul2018'!AL115/'Tariffs Jul2018'!AJ115-'Tariffs Jul2018'!J115)*('Tariffs Jul2018'!V115/100)*'Tariffs Jul2018'!AJ115,('Tariffs Jul2018'!K115-'Tariffs Jul2018'!J115)*('Tariffs Jul2018'!V115/100)*'Tariffs Jul2018'!AJ115))</f>
        <v>0</v>
      </c>
      <c r="L121" s="59">
        <f>IF($C$5*'Tariffs Jul2018'!AL115/'Tariffs Jul2018'!AJ115&lt;'Tariffs Jul2018'!K115,0,IF($C$5*'Tariffs Jul2018'!AL115/'Tariffs Jul2018'!AJ115&lt;='Tariffs Jul2018'!L115,($C$5*'Tariffs Jul2018'!AL115/'Tariffs Jul2018'!AJ115-'Tariffs Jul2018'!K115)*('Tariffs Jul2018'!W115/100)*'Tariffs Jul2018'!AJ115,('Tariffs Jul2018'!L115-'Tariffs Jul2018'!K115)*('Tariffs Jul2018'!W115/100)*'Tariffs Jul2018'!AJ115))</f>
        <v>0</v>
      </c>
      <c r="M121" s="59">
        <f>IF($C$5*'Tariffs Jul2018'!AL115/'Tariffs Jul2018'!AJ115&lt;'Tariffs Jul2018'!L115,0,IF($C$5*'Tariffs Jul2018'!AL115/'Tariffs Jul2018'!AJ115&lt;='Tariffs Jul2018'!M115,($C$5*'Tariffs Jul2018'!AL115/'Tariffs Jul2018'!AJ115-'Tariffs Jul2018'!L115)*('Tariffs Jul2018'!X115/100)*'Tariffs Jul2018'!AJ115,('Tariffs Jul2018'!M115-'Tariffs Jul2018'!L115)*('Tariffs Jul2018'!X115/100)*'Tariffs Jul2018'!AJ115))</f>
        <v>0</v>
      </c>
      <c r="N121" s="59">
        <f>IF(($C$5*'Tariffs Jul2018'!AL115/'Tariffs Jul2018'!AJ115&gt;'Tariffs Jul2018'!M115),($C$5*'Tariffs Jul2018'!AL115/'Tariffs Jul2018'!AJ115-'Tariffs Jul2018'!M115)*'Tariffs Jul2018'!Y115/100*'Tariffs Jul2018'!AJ115,0)</f>
        <v>461.29363999999993</v>
      </c>
      <c r="O121" s="271">
        <f t="shared" si="11"/>
        <v>1130.5926899999999</v>
      </c>
      <c r="P121" s="59">
        <f t="shared" si="12"/>
        <v>1422.5926899999999</v>
      </c>
      <c r="Q121" s="272">
        <f t="shared" si="13"/>
        <v>1564.8519590000001</v>
      </c>
      <c r="R121" s="40">
        <f>'Tariffs Jul2018'!AM115</f>
        <v>0</v>
      </c>
      <c r="S121" s="40">
        <f>'Tariffs Jul2018'!AN115</f>
        <v>0</v>
      </c>
      <c r="T121" s="40">
        <f>'Tariffs Jul2018'!AO115</f>
        <v>10</v>
      </c>
      <c r="U121" s="40">
        <f>'Tariffs Jul2018'!AP115</f>
        <v>0</v>
      </c>
      <c r="V121" s="273">
        <f t="shared" si="17"/>
        <v>1422.5926899999999</v>
      </c>
      <c r="W121" s="273">
        <f>V121-(P121*T121/100)</f>
        <v>1280.333421</v>
      </c>
      <c r="X121" s="272">
        <f t="shared" si="16"/>
        <v>1564.8519590000001</v>
      </c>
      <c r="Y121" s="272">
        <f t="shared" si="16"/>
        <v>1408.3667631000001</v>
      </c>
      <c r="Z121" s="274">
        <f>'Tariffs Jul2018'!AY115</f>
        <v>0</v>
      </c>
      <c r="AA121" s="274" t="str">
        <f>'Tariffs Jul2018'!AZ115</f>
        <v>n</v>
      </c>
      <c r="AB121" s="275" t="str">
        <f>'Tariffs Jul2018'!BG115</f>
        <v>Y</v>
      </c>
      <c r="AC121" s="351"/>
      <c r="AD121" s="351"/>
      <c r="AE121" s="351"/>
      <c r="AF121" s="351"/>
      <c r="AG121" s="351"/>
      <c r="AH121" s="351"/>
      <c r="AI121" s="351"/>
      <c r="AJ121" s="351"/>
      <c r="AK121" s="351"/>
      <c r="AL121" s="351"/>
      <c r="AM121" s="351"/>
      <c r="AN121" s="351"/>
    </row>
    <row r="122" spans="1:40" x14ac:dyDescent="0.15">
      <c r="A122" s="40" t="str">
        <f>'Tariffs Jul2018'!F116</f>
        <v>Simply Energy</v>
      </c>
      <c r="B122" s="40" t="str">
        <f>'Tariffs Jul2018'!D116</f>
        <v>Ausnet Central 1</v>
      </c>
      <c r="C122" s="40" t="str">
        <f>'Tariffs Jul2018'!G116</f>
        <v>Plus</v>
      </c>
      <c r="D122" s="59">
        <f>365*'Tariffs Jul2018'!H116/100</f>
        <v>280.35650000000004</v>
      </c>
      <c r="E122" s="59">
        <f>IF($C$5*'Tariffs Jul2018'!AK116/'Tariffs Jul2018'!AI116&gt;='Tariffs Jul2018'!J116,( 'Tariffs Jul2018'!J116*'Tariffs Jul2018'!O116/100)* 'Tariffs Jul2018'!AI116,($C$5*'Tariffs Jul2018'!AK116/'Tariffs Jul2018'!AI116*'Tariffs Jul2018'!O116/100)* 'Tariffs Jul2018'!AI116)</f>
        <v>345.6</v>
      </c>
      <c r="F122" s="59">
        <f>IF($C$5*'Tariffs Jul2018'!AK116/'Tariffs Jul2018'!AI116&lt;'Tariffs Jul2018'!J116,0,IF($C$5*'Tariffs Jul2018'!AK116/'Tariffs Jul2018'!AI116&lt;='Tariffs Jul2018'!K116,($C$5*'Tariffs Jul2018'!AK116/'Tariffs Jul2018'!AI116-'Tariffs Jul2018'!J116)*('Tariffs Jul2018'!P116/100)*'Tariffs Jul2018'!AI116,('Tariffs Jul2018'!K116-'Tariffs Jul2018'!J116)*('Tariffs Jul2018'!P116/100)*'Tariffs Jul2018'!AI116))</f>
        <v>253.74077999999994</v>
      </c>
      <c r="G122" s="59">
        <f>IF($C$5*'Tariffs Jul2018'!AK116/'Tariffs Jul2018'!AI116&lt;'Tariffs Jul2018'!K116,0,IF($C$5*'Tariffs Jul2018'!AK116/'Tariffs Jul2018'!AI116&lt;='Tariffs Jul2018'!L116,($C$5*'Tariffs Jul2018'!AK116/'Tariffs Jul2018'!AI116-'Tariffs Jul2018'!K116)*('Tariffs Jul2018'!Q116/100)*'Tariffs Jul2018'!AI116,('Tariffs Jul2018'!L116-'Tariffs Jul2018'!K116)*('Tariffs Jul2018'!Q116/100)*'Tariffs Jul2018'!AI116))</f>
        <v>0</v>
      </c>
      <c r="H122" s="59">
        <f>IF($C$5*'Tariffs Jul2018'!AK116/'Tariffs Jul2018'!AI116&lt;'Tariffs Jul2018'!L116,0,IF($C$5*'Tariffs Jul2018'!AK116/'Tariffs Jul2018'!AI116&lt;='Tariffs Jul2018'!M116,($C$5*'Tariffs Jul2018'!AK116/'Tariffs Jul2018'!AI116-'Tariffs Jul2018'!L116)*('Tariffs Jul2018'!R116/100)*'Tariffs Jul2018'!AI116,('Tariffs Jul2018'!M116-'Tariffs Jul2018'!L116)*('Tariffs Jul2018'!R116/100)*'Tariffs Jul2018'!AI116))</f>
        <v>0</v>
      </c>
      <c r="I122" s="59">
        <f>IF(($C$5*'Tariffs Jul2018'!AK116/'Tariffs Jul2018'!AI116&gt;'Tariffs Jul2018'!M116),($C$5*'Tariffs Jul2018'!AK116/'Tariffs Jul2018'!AI116-'Tariffs Jul2018'!M116)*'Tariffs Jul2018'!S116/100*'Tariffs Jul2018'!AI116,0)</f>
        <v>0</v>
      </c>
      <c r="J122" s="59">
        <f>IF($C$5*'Tariffs Jul2018'!AL116/'Tariffs Jul2018'!AJ116&gt;='Tariffs Jul2018'!J116,('Tariffs Jul2018'!J116*'Tariffs Jul2018'!U116/100)* 'Tariffs Jul2018'!AJ116,($C$5*'Tariffs Jul2018'!AL116/'Tariffs Jul2018'!AJ116*'Tariffs Jul2018'!U116/100)* 'Tariffs Jul2018'!AJ116)</f>
        <v>528.00000000000011</v>
      </c>
      <c r="K122" s="59">
        <f>IF($C$5*'Tariffs Jul2018'!AL116/'Tariffs Jul2018'!AJ116&lt;'Tariffs Jul2018'!J116,0,IF($C$5*'Tariffs Jul2018'!AL116/'Tariffs Jul2018'!AJ116&lt;='Tariffs Jul2018'!K116,($C$5*'Tariffs Jul2018'!AL116/'Tariffs Jul2018'!AJ116-'Tariffs Jul2018'!J116)*('Tariffs Jul2018'!V116/100)*'Tariffs Jul2018'!AJ116,('Tariffs Jul2018'!K116-'Tariffs Jul2018'!J116)*('Tariffs Jul2018'!V116/100)*'Tariffs Jul2018'!AJ116))</f>
        <v>381.5109599999999</v>
      </c>
      <c r="L122" s="59">
        <f>IF($C$5*'Tariffs Jul2018'!AL116/'Tariffs Jul2018'!AJ116&lt;'Tariffs Jul2018'!K116,0,IF($C$5*'Tariffs Jul2018'!AL116/'Tariffs Jul2018'!AJ116&lt;='Tariffs Jul2018'!L116,($C$5*'Tariffs Jul2018'!AL116/'Tariffs Jul2018'!AJ116-'Tariffs Jul2018'!K116)*('Tariffs Jul2018'!W116/100)*'Tariffs Jul2018'!AJ116,('Tariffs Jul2018'!L116-'Tariffs Jul2018'!K116)*('Tariffs Jul2018'!W116/100)*'Tariffs Jul2018'!AJ116))</f>
        <v>0</v>
      </c>
      <c r="M122" s="59">
        <f>IF($C$5*'Tariffs Jul2018'!AL116/'Tariffs Jul2018'!AJ116&lt;'Tariffs Jul2018'!L116,0,IF($C$5*'Tariffs Jul2018'!AL116/'Tariffs Jul2018'!AJ116&lt;='Tariffs Jul2018'!M116,($C$5*'Tariffs Jul2018'!AL116/'Tariffs Jul2018'!AJ116-'Tariffs Jul2018'!L116)*('Tariffs Jul2018'!X116/100)*'Tariffs Jul2018'!AJ116,('Tariffs Jul2018'!M116-'Tariffs Jul2018'!L116)*('Tariffs Jul2018'!X116/100)*'Tariffs Jul2018'!AJ116))</f>
        <v>0</v>
      </c>
      <c r="N122" s="59">
        <f>IF(($C$5*'Tariffs Jul2018'!AL116/'Tariffs Jul2018'!AJ116&gt;'Tariffs Jul2018'!M116),($C$5*'Tariffs Jul2018'!AL116/'Tariffs Jul2018'!AJ116-'Tariffs Jul2018'!M116)*'Tariffs Jul2018'!Y116/100*'Tariffs Jul2018'!AJ116,0)</f>
        <v>0</v>
      </c>
      <c r="O122" s="271">
        <f t="shared" si="11"/>
        <v>1508.8517399999998</v>
      </c>
      <c r="P122" s="59">
        <f t="shared" si="12"/>
        <v>1789.2082399999999</v>
      </c>
      <c r="Q122" s="272">
        <f t="shared" si="13"/>
        <v>1968.129064</v>
      </c>
      <c r="R122" s="40">
        <f>'Tariffs Jul2018'!AM116</f>
        <v>0</v>
      </c>
      <c r="S122" s="40">
        <f>'Tariffs Jul2018'!AN116</f>
        <v>0</v>
      </c>
      <c r="T122" s="40">
        <f>'Tariffs Jul2018'!AO116</f>
        <v>0</v>
      </c>
      <c r="U122" s="40">
        <f>'Tariffs Jul2018'!AP116</f>
        <v>26</v>
      </c>
      <c r="V122" s="273">
        <f t="shared" si="17"/>
        <v>1789.2082399999999</v>
      </c>
      <c r="W122" s="273">
        <f>V122-(O122*U122/100)</f>
        <v>1396.9067875999999</v>
      </c>
      <c r="X122" s="272">
        <f t="shared" si="16"/>
        <v>1968.129064</v>
      </c>
      <c r="Y122" s="272">
        <f t="shared" si="16"/>
        <v>1536.59746636</v>
      </c>
      <c r="Z122" s="274">
        <f>'Tariffs Jul2018'!AY116</f>
        <v>0</v>
      </c>
      <c r="AA122" s="274" t="str">
        <f>'Tariffs Jul2018'!AZ116</f>
        <v>n</v>
      </c>
      <c r="AB122" s="275" t="str">
        <f>'Tariffs Jul2018'!BG116</f>
        <v>Y</v>
      </c>
      <c r="AC122" s="351"/>
      <c r="AD122" s="351"/>
      <c r="AE122" s="351"/>
      <c r="AF122" s="351"/>
      <c r="AG122" s="351"/>
      <c r="AH122" s="351"/>
      <c r="AI122" s="351"/>
      <c r="AJ122" s="351"/>
      <c r="AK122" s="351"/>
      <c r="AL122" s="351"/>
      <c r="AM122" s="351"/>
      <c r="AN122" s="351"/>
    </row>
    <row r="123" spans="1:40" x14ac:dyDescent="0.15">
      <c r="A123" s="40" t="str">
        <f>'Tariffs Jul2018'!F117</f>
        <v>Sumo Power</v>
      </c>
      <c r="B123" s="40" t="str">
        <f>'Tariffs Jul2018'!D117</f>
        <v>Ausnet Central 1</v>
      </c>
      <c r="C123" s="40" t="str">
        <f>'Tariffs Jul2018'!G117</f>
        <v>Pay on time (max discount)</v>
      </c>
      <c r="D123" s="59">
        <f>365*'Tariffs Jul2018'!H117/100</f>
        <v>266.45</v>
      </c>
      <c r="E123" s="59">
        <f>IF($C$5*'Tariffs Jul2018'!AK117/'Tariffs Jul2018'!AI117&gt;='Tariffs Jul2018'!J117,( 'Tariffs Jul2018'!J117*'Tariffs Jul2018'!O117/100)* 'Tariffs Jul2018'!AI117,($C$5*'Tariffs Jul2018'!AK117/'Tariffs Jul2018'!AI117*'Tariffs Jul2018'!O117/100)* 'Tariffs Jul2018'!AI117)</f>
        <v>343.2</v>
      </c>
      <c r="F123" s="59">
        <f>IF($C$5*'Tariffs Jul2018'!AK117/'Tariffs Jul2018'!AI117&lt;'Tariffs Jul2018'!J117,0,IF($C$5*'Tariffs Jul2018'!AK117/'Tariffs Jul2018'!AI117&lt;='Tariffs Jul2018'!K117,($C$5*'Tariffs Jul2018'!AK117/'Tariffs Jul2018'!AI117-'Tariffs Jul2018'!J117)*('Tariffs Jul2018'!P117/100)*'Tariffs Jul2018'!AI117,('Tariffs Jul2018'!K117-'Tariffs Jul2018'!J117)*('Tariffs Jul2018'!P117/100)*'Tariffs Jul2018'!AI117))</f>
        <v>248.25206099999994</v>
      </c>
      <c r="G123" s="59">
        <f>IF($C$5*'Tariffs Jul2018'!AK117/'Tariffs Jul2018'!AI117&lt;'Tariffs Jul2018'!K117,0,IF($C$5*'Tariffs Jul2018'!AK117/'Tariffs Jul2018'!AI117&lt;='Tariffs Jul2018'!L117,($C$5*'Tariffs Jul2018'!AK117/'Tariffs Jul2018'!AI117-'Tariffs Jul2018'!K117)*('Tariffs Jul2018'!Q117/100)*'Tariffs Jul2018'!AI117,('Tariffs Jul2018'!L117-'Tariffs Jul2018'!K117)*('Tariffs Jul2018'!Q117/100)*'Tariffs Jul2018'!AI117))</f>
        <v>0</v>
      </c>
      <c r="H123" s="59">
        <f>IF($C$5*'Tariffs Jul2018'!AK117/'Tariffs Jul2018'!AI117&lt;'Tariffs Jul2018'!L117,0,IF($C$5*'Tariffs Jul2018'!AK117/'Tariffs Jul2018'!AI117&lt;='Tariffs Jul2018'!M117,($C$5*'Tariffs Jul2018'!AK117/'Tariffs Jul2018'!AI117-'Tariffs Jul2018'!L117)*('Tariffs Jul2018'!R117/100)*'Tariffs Jul2018'!AI117,('Tariffs Jul2018'!M117-'Tariffs Jul2018'!L117)*('Tariffs Jul2018'!R117/100)*'Tariffs Jul2018'!AI117))</f>
        <v>0</v>
      </c>
      <c r="I123" s="59">
        <f>IF(($C$5*'Tariffs Jul2018'!AK117/'Tariffs Jul2018'!AI117&gt;'Tariffs Jul2018'!M117),($C$5*'Tariffs Jul2018'!AK117/'Tariffs Jul2018'!AI117-'Tariffs Jul2018'!M117)*'Tariffs Jul2018'!S117/100*'Tariffs Jul2018'!AI117,0)</f>
        <v>0</v>
      </c>
      <c r="J123" s="59">
        <f>IF($C$5*'Tariffs Jul2018'!AL117/'Tariffs Jul2018'!AJ117&gt;='Tariffs Jul2018'!J117,('Tariffs Jul2018'!J117*'Tariffs Jul2018'!U117/100)* 'Tariffs Jul2018'!AJ117,($C$5*'Tariffs Jul2018'!AL117/'Tariffs Jul2018'!AJ117*'Tariffs Jul2018'!U117/100)* 'Tariffs Jul2018'!AJ117)</f>
        <v>560.4</v>
      </c>
      <c r="K123" s="59">
        <f>IF($C$5*'Tariffs Jul2018'!AL117/'Tariffs Jul2018'!AJ117&lt;'Tariffs Jul2018'!J117,0,IF($C$5*'Tariffs Jul2018'!AL117/'Tariffs Jul2018'!AJ117&lt;='Tariffs Jul2018'!K117,($C$5*'Tariffs Jul2018'!AL117/'Tariffs Jul2018'!AJ117-'Tariffs Jul2018'!J117)*('Tariffs Jul2018'!V117/100)*'Tariffs Jul2018'!AJ117,('Tariffs Jul2018'!K117-'Tariffs Jul2018'!J117)*('Tariffs Jul2018'!V117/100)*'Tariffs Jul2018'!AJ117))</f>
        <v>320.32523999999989</v>
      </c>
      <c r="L123" s="59">
        <f>IF($C$5*'Tariffs Jul2018'!AL117/'Tariffs Jul2018'!AJ117&lt;'Tariffs Jul2018'!K117,0,IF($C$5*'Tariffs Jul2018'!AL117/'Tariffs Jul2018'!AJ117&lt;='Tariffs Jul2018'!L117,($C$5*'Tariffs Jul2018'!AL117/'Tariffs Jul2018'!AJ117-'Tariffs Jul2018'!K117)*('Tariffs Jul2018'!W117/100)*'Tariffs Jul2018'!AJ117,('Tariffs Jul2018'!L117-'Tariffs Jul2018'!K117)*('Tariffs Jul2018'!W117/100)*'Tariffs Jul2018'!AJ117))</f>
        <v>0</v>
      </c>
      <c r="M123" s="59">
        <f>IF($C$5*'Tariffs Jul2018'!AL117/'Tariffs Jul2018'!AJ117&lt;'Tariffs Jul2018'!L117,0,IF($C$5*'Tariffs Jul2018'!AL117/'Tariffs Jul2018'!AJ117&lt;='Tariffs Jul2018'!M117,($C$5*'Tariffs Jul2018'!AL117/'Tariffs Jul2018'!AJ117-'Tariffs Jul2018'!L117)*('Tariffs Jul2018'!X117/100)*'Tariffs Jul2018'!AJ117,('Tariffs Jul2018'!M117-'Tariffs Jul2018'!L117)*('Tariffs Jul2018'!X117/100)*'Tariffs Jul2018'!AJ117))</f>
        <v>0</v>
      </c>
      <c r="N123" s="59">
        <f>IF(($C$5*'Tariffs Jul2018'!AL117/'Tariffs Jul2018'!AJ117&gt;'Tariffs Jul2018'!M117),($C$5*'Tariffs Jul2018'!AL117/'Tariffs Jul2018'!AJ117-'Tariffs Jul2018'!M117)*'Tariffs Jul2018'!Y117/100*'Tariffs Jul2018'!AJ117,0)</f>
        <v>0</v>
      </c>
      <c r="O123" s="271">
        <f t="shared" si="11"/>
        <v>1472.1773009999999</v>
      </c>
      <c r="P123" s="59">
        <f t="shared" si="12"/>
        <v>1738.627301</v>
      </c>
      <c r="Q123" s="272">
        <f t="shared" si="13"/>
        <v>1912.4900311000001</v>
      </c>
      <c r="R123" s="40">
        <f>'Tariffs Jul2018'!AM117</f>
        <v>0</v>
      </c>
      <c r="S123" s="40">
        <f>'Tariffs Jul2018'!AN117</f>
        <v>0</v>
      </c>
      <c r="T123" s="40">
        <f>'Tariffs Jul2018'!AO117</f>
        <v>0</v>
      </c>
      <c r="U123" s="40">
        <f>'Tariffs Jul2018'!AP117</f>
        <v>25</v>
      </c>
      <c r="V123" s="273">
        <f t="shared" si="17"/>
        <v>1738.627301</v>
      </c>
      <c r="W123" s="273">
        <f>V123-(O123*U123/100)</f>
        <v>1370.5829757500001</v>
      </c>
      <c r="X123" s="272">
        <f t="shared" si="16"/>
        <v>1912.4900311000001</v>
      </c>
      <c r="Y123" s="272">
        <f t="shared" si="16"/>
        <v>1507.6412733250002</v>
      </c>
      <c r="Z123" s="274">
        <f>'Tariffs Jul2018'!AY117</f>
        <v>0</v>
      </c>
      <c r="AA123" s="274" t="str">
        <f>'Tariffs Jul2018'!AZ117</f>
        <v>n</v>
      </c>
      <c r="AB123" s="275" t="str">
        <f>'Tariffs Jul2018'!BG117</f>
        <v>Y</v>
      </c>
      <c r="AC123" s="351"/>
      <c r="AD123" s="351"/>
      <c r="AE123" s="351"/>
      <c r="AF123" s="351"/>
      <c r="AG123" s="351"/>
      <c r="AH123" s="351"/>
      <c r="AI123" s="351"/>
      <c r="AJ123" s="351"/>
      <c r="AK123" s="351"/>
      <c r="AL123" s="351"/>
      <c r="AM123" s="351"/>
      <c r="AN123" s="351"/>
    </row>
    <row r="124" spans="1:40" x14ac:dyDescent="0.15">
      <c r="A124" s="40" t="str">
        <f>'Tariffs Jul2018'!F118</f>
        <v>Amaysim</v>
      </c>
      <c r="B124" s="40" t="str">
        <f>'Tariffs Jul2018'!D118</f>
        <v>Ausnet Central 1</v>
      </c>
      <c r="C124" s="40" t="str">
        <f>'Tariffs Jul2018'!G118</f>
        <v>Gas 4</v>
      </c>
      <c r="D124" s="59">
        <f>365*'Tariffs Jul2018'!H118/100</f>
        <v>353.32</v>
      </c>
      <c r="E124" s="59">
        <f>IF($C$5*'Tariffs Jul2018'!AK118/'Tariffs Jul2018'!AI118&gt;='Tariffs Jul2018'!J118,( 'Tariffs Jul2018'!J118*'Tariffs Jul2018'!O118/100)* 'Tariffs Jul2018'!AI118,($C$5*'Tariffs Jul2018'!AK118/'Tariffs Jul2018'!AI118*'Tariffs Jul2018'!O118/100)* 'Tariffs Jul2018'!AI118)</f>
        <v>426</v>
      </c>
      <c r="F124" s="59">
        <f>IF($C$5*'Tariffs Jul2018'!AK118/'Tariffs Jul2018'!AI118&lt;'Tariffs Jul2018'!J118,0,IF($C$5*'Tariffs Jul2018'!AK118/'Tariffs Jul2018'!AI118&lt;='Tariffs Jul2018'!K118,($C$5*'Tariffs Jul2018'!AK118/'Tariffs Jul2018'!AI118-'Tariffs Jul2018'!J118)*('Tariffs Jul2018'!P118/100)*'Tariffs Jul2018'!AI118,('Tariffs Jul2018'!K118-'Tariffs Jul2018'!J118)*('Tariffs Jul2018'!P118/100)*'Tariffs Jul2018'!AI118))</f>
        <v>274.43594999999993</v>
      </c>
      <c r="G124" s="59">
        <f>IF($C$5*'Tariffs Jul2018'!AK118/'Tariffs Jul2018'!AI118&lt;'Tariffs Jul2018'!K118,0,IF($C$5*'Tariffs Jul2018'!AK118/'Tariffs Jul2018'!AI118&lt;='Tariffs Jul2018'!L118,($C$5*'Tariffs Jul2018'!AK118/'Tariffs Jul2018'!AI118-'Tariffs Jul2018'!K118)*('Tariffs Jul2018'!Q118/100)*'Tariffs Jul2018'!AI118,('Tariffs Jul2018'!L118-'Tariffs Jul2018'!K118)*('Tariffs Jul2018'!Q118/100)*'Tariffs Jul2018'!AI118))</f>
        <v>0</v>
      </c>
      <c r="H124" s="59">
        <f>IF($C$5*'Tariffs Jul2018'!AK118/'Tariffs Jul2018'!AI118&lt;'Tariffs Jul2018'!L118,0,IF($C$5*'Tariffs Jul2018'!AK118/'Tariffs Jul2018'!AI118&lt;='Tariffs Jul2018'!M118,($C$5*'Tariffs Jul2018'!AK118/'Tariffs Jul2018'!AI118-'Tariffs Jul2018'!L118)*('Tariffs Jul2018'!R118/100)*'Tariffs Jul2018'!AI118,('Tariffs Jul2018'!M118-'Tariffs Jul2018'!L118)*('Tariffs Jul2018'!R118/100)*'Tariffs Jul2018'!AI118))</f>
        <v>0</v>
      </c>
      <c r="I124" s="59">
        <f>IF(($C$5*'Tariffs Jul2018'!AK118/'Tariffs Jul2018'!AI118&gt;'Tariffs Jul2018'!M118),($C$5*'Tariffs Jul2018'!AK118/'Tariffs Jul2018'!AI118-'Tariffs Jul2018'!M118)*'Tariffs Jul2018'!S118/100*'Tariffs Jul2018'!AI118,0)</f>
        <v>0</v>
      </c>
      <c r="J124" s="59">
        <f>IF($C$5*'Tariffs Jul2018'!AL118/'Tariffs Jul2018'!AJ118&gt;='Tariffs Jul2018'!J118,('Tariffs Jul2018'!J118*'Tariffs Jul2018'!U118/100)* 'Tariffs Jul2018'!AJ118,($C$5*'Tariffs Jul2018'!AL118/'Tariffs Jul2018'!AJ118*'Tariffs Jul2018'!U118/100)* 'Tariffs Jul2018'!AJ118)</f>
        <v>600</v>
      </c>
      <c r="K124" s="59">
        <f>IF($C$5*'Tariffs Jul2018'!AL118/'Tariffs Jul2018'!AJ118&lt;'Tariffs Jul2018'!J118,0,IF($C$5*'Tariffs Jul2018'!AL118/'Tariffs Jul2018'!AJ118&lt;='Tariffs Jul2018'!K118,($C$5*'Tariffs Jul2018'!AL118/'Tariffs Jul2018'!AJ118-'Tariffs Jul2018'!J118)*('Tariffs Jul2018'!V118/100)*'Tariffs Jul2018'!AJ118,('Tariffs Jul2018'!K118-'Tariffs Jul2018'!J118)*('Tariffs Jul2018'!V118/100)*'Tariffs Jul2018'!AJ118))</f>
        <v>440.89709999999991</v>
      </c>
      <c r="L124" s="59">
        <f>IF($C$5*'Tariffs Jul2018'!AL118/'Tariffs Jul2018'!AJ118&lt;'Tariffs Jul2018'!K118,0,IF($C$5*'Tariffs Jul2018'!AL118/'Tariffs Jul2018'!AJ118&lt;='Tariffs Jul2018'!L118,($C$5*'Tariffs Jul2018'!AL118/'Tariffs Jul2018'!AJ118-'Tariffs Jul2018'!K118)*('Tariffs Jul2018'!W118/100)*'Tariffs Jul2018'!AJ118,('Tariffs Jul2018'!L118-'Tariffs Jul2018'!K118)*('Tariffs Jul2018'!W118/100)*'Tariffs Jul2018'!AJ118))</f>
        <v>0</v>
      </c>
      <c r="M124" s="59">
        <f>IF($C$5*'Tariffs Jul2018'!AL118/'Tariffs Jul2018'!AJ118&lt;'Tariffs Jul2018'!L118,0,IF($C$5*'Tariffs Jul2018'!AL118/'Tariffs Jul2018'!AJ118&lt;='Tariffs Jul2018'!M118,($C$5*'Tariffs Jul2018'!AL118/'Tariffs Jul2018'!AJ118-'Tariffs Jul2018'!L118)*('Tariffs Jul2018'!X118/100)*'Tariffs Jul2018'!AJ118,('Tariffs Jul2018'!M118-'Tariffs Jul2018'!L118)*('Tariffs Jul2018'!X118/100)*'Tariffs Jul2018'!AJ118))</f>
        <v>0</v>
      </c>
      <c r="N124" s="59">
        <f>IF(($C$5*'Tariffs Jul2018'!AL118/'Tariffs Jul2018'!AJ118&gt;'Tariffs Jul2018'!M118),($C$5*'Tariffs Jul2018'!AL118/'Tariffs Jul2018'!AJ118-'Tariffs Jul2018'!M118)*'Tariffs Jul2018'!Y118/100*'Tariffs Jul2018'!AJ118,0)</f>
        <v>0</v>
      </c>
      <c r="O124" s="271">
        <f t="shared" si="11"/>
        <v>1741.33305</v>
      </c>
      <c r="P124" s="59">
        <f t="shared" si="12"/>
        <v>2094.6530499999999</v>
      </c>
      <c r="Q124" s="272">
        <f t="shared" si="13"/>
        <v>2304.1183550000001</v>
      </c>
      <c r="R124" s="40">
        <f>'Tariffs Jul2018'!AM118</f>
        <v>0</v>
      </c>
      <c r="S124" s="40">
        <f>'Tariffs Jul2018'!AN118</f>
        <v>0</v>
      </c>
      <c r="T124" s="40">
        <f>'Tariffs Jul2018'!AO118</f>
        <v>5</v>
      </c>
      <c r="U124" s="40">
        <f>'Tariffs Jul2018'!AP118</f>
        <v>0</v>
      </c>
      <c r="V124" s="273">
        <f t="shared" si="17"/>
        <v>2094.6530499999999</v>
      </c>
      <c r="W124" s="273">
        <f>V124-(P124*T124/100)</f>
        <v>1989.9203974999998</v>
      </c>
      <c r="X124" s="272">
        <f t="shared" si="16"/>
        <v>2304.1183550000001</v>
      </c>
      <c r="Y124" s="272">
        <f t="shared" si="16"/>
        <v>2188.91243725</v>
      </c>
      <c r="Z124" s="274">
        <f>'Tariffs Jul2018'!AY118</f>
        <v>0</v>
      </c>
      <c r="AA124" s="274" t="str">
        <f>'Tariffs Jul2018'!AZ118</f>
        <v>n</v>
      </c>
      <c r="AB124" s="275" t="str">
        <f>'Tariffs Jul2018'!BG118</f>
        <v>N</v>
      </c>
      <c r="AC124" s="351"/>
      <c r="AD124" s="351"/>
      <c r="AE124" s="351"/>
      <c r="AF124" s="351"/>
      <c r="AG124" s="351"/>
      <c r="AH124" s="351"/>
      <c r="AI124" s="351"/>
      <c r="AJ124" s="351"/>
      <c r="AK124" s="351"/>
      <c r="AL124" s="351"/>
      <c r="AM124" s="351"/>
      <c r="AN124" s="351"/>
    </row>
    <row r="125" spans="1:40" x14ac:dyDescent="0.15">
      <c r="A125" s="40" t="str">
        <f>'Tariffs Jul2018'!F119</f>
        <v>GloBird</v>
      </c>
      <c r="B125" s="40" t="str">
        <f>'Tariffs Jul2018'!D119</f>
        <v>Ausnet Central 1</v>
      </c>
      <c r="C125" s="40" t="str">
        <f>'Tariffs Jul2018'!G119</f>
        <v>GloSave</v>
      </c>
      <c r="D125" s="59">
        <f>365*'Tariffs Jul2018'!H119/100</f>
        <v>357.7</v>
      </c>
      <c r="E125" s="59">
        <f>IF($C$5*'Tariffs Jul2018'!AK119/'Tariffs Jul2018'!AI119&gt;='Tariffs Jul2018'!J119,( 'Tariffs Jul2018'!J119*'Tariffs Jul2018'!O119/100)* 'Tariffs Jul2018'!AI119,($C$5*'Tariffs Jul2018'!AK119/'Tariffs Jul2018'!AI119*'Tariffs Jul2018'!O119/100)* 'Tariffs Jul2018'!AI119)</f>
        <v>629.93700000000001</v>
      </c>
      <c r="F125" s="59">
        <f>IF($C$5*'Tariffs Jul2018'!AK119/'Tariffs Jul2018'!AI119&lt;'Tariffs Jul2018'!J119,0,IF($C$5*'Tariffs Jul2018'!AK119/'Tariffs Jul2018'!AI119&lt;='Tariffs Jul2018'!K119,($C$5*'Tariffs Jul2018'!AK119/'Tariffs Jul2018'!AI119-'Tariffs Jul2018'!J119)*('Tariffs Jul2018'!P119/100)*'Tariffs Jul2018'!AI119,('Tariffs Jul2018'!K119-'Tariffs Jul2018'!J119)*('Tariffs Jul2018'!P119/100)*'Tariffs Jul2018'!AI119))</f>
        <v>0</v>
      </c>
      <c r="G125" s="59">
        <f>IF($C$5*'Tariffs Jul2018'!AK119/'Tariffs Jul2018'!AI119&lt;'Tariffs Jul2018'!K119,0,IF($C$5*'Tariffs Jul2018'!AK119/'Tariffs Jul2018'!AI119&lt;='Tariffs Jul2018'!L119,($C$5*'Tariffs Jul2018'!AK119/'Tariffs Jul2018'!AI119-'Tariffs Jul2018'!K119)*('Tariffs Jul2018'!Q119/100)*'Tariffs Jul2018'!AI119,('Tariffs Jul2018'!L119-'Tariffs Jul2018'!K119)*('Tariffs Jul2018'!Q119/100)*'Tariffs Jul2018'!AI119))</f>
        <v>0</v>
      </c>
      <c r="H125" s="59">
        <f>IF($C$5*'Tariffs Jul2018'!AK119/'Tariffs Jul2018'!AI119&lt;'Tariffs Jul2018'!L119,0,IF($C$5*'Tariffs Jul2018'!AK119/'Tariffs Jul2018'!AI119&lt;='Tariffs Jul2018'!M119,($C$5*'Tariffs Jul2018'!AK119/'Tariffs Jul2018'!AI119-'Tariffs Jul2018'!L119)*('Tariffs Jul2018'!R119/100)*'Tariffs Jul2018'!AI119,('Tariffs Jul2018'!M119-'Tariffs Jul2018'!L119)*('Tariffs Jul2018'!R119/100)*'Tariffs Jul2018'!AI119))</f>
        <v>0</v>
      </c>
      <c r="I125" s="59">
        <f>IF(($C$5*'Tariffs Jul2018'!AK119/'Tariffs Jul2018'!AI119&gt;'Tariffs Jul2018'!M119),($C$5*'Tariffs Jul2018'!AK119/'Tariffs Jul2018'!AI119-'Tariffs Jul2018'!M119)*'Tariffs Jul2018'!S119/100*'Tariffs Jul2018'!AI119,0)</f>
        <v>0</v>
      </c>
      <c r="J125" s="59">
        <f>IF($C$5*'Tariffs Jul2018'!AL119/'Tariffs Jul2018'!AJ119&gt;='Tariffs Jul2018'!J119,('Tariffs Jul2018'!J119*'Tariffs Jul2018'!U119/100)* 'Tariffs Jul2018'!AJ119,($C$5*'Tariffs Jul2018'!AL119/'Tariffs Jul2018'!AJ119*'Tariffs Jul2018'!U119/100)* 'Tariffs Jul2018'!AJ119)</f>
        <v>797.92019999999991</v>
      </c>
      <c r="K125" s="59">
        <f>IF($C$5*'Tariffs Jul2018'!AL119/'Tariffs Jul2018'!AJ119&lt;'Tariffs Jul2018'!J119,0,IF($C$5*'Tariffs Jul2018'!AL119/'Tariffs Jul2018'!AJ119&lt;='Tariffs Jul2018'!K119,($C$5*'Tariffs Jul2018'!AL119/'Tariffs Jul2018'!AJ119-'Tariffs Jul2018'!J119)*('Tariffs Jul2018'!V119/100)*'Tariffs Jul2018'!AJ119,('Tariffs Jul2018'!K119-'Tariffs Jul2018'!J119)*('Tariffs Jul2018'!V119/100)*'Tariffs Jul2018'!AJ119))</f>
        <v>0</v>
      </c>
      <c r="L125" s="59">
        <f>IF($C$5*'Tariffs Jul2018'!AL119/'Tariffs Jul2018'!AJ119&lt;'Tariffs Jul2018'!K119,0,IF($C$5*'Tariffs Jul2018'!AL119/'Tariffs Jul2018'!AJ119&lt;='Tariffs Jul2018'!L119,($C$5*'Tariffs Jul2018'!AL119/'Tariffs Jul2018'!AJ119-'Tariffs Jul2018'!K119)*('Tariffs Jul2018'!W119/100)*'Tariffs Jul2018'!AJ119,('Tariffs Jul2018'!L119-'Tariffs Jul2018'!K119)*('Tariffs Jul2018'!W119/100)*'Tariffs Jul2018'!AJ119))</f>
        <v>0</v>
      </c>
      <c r="M125" s="59">
        <f>IF($C$5*'Tariffs Jul2018'!AL119/'Tariffs Jul2018'!AJ119&lt;'Tariffs Jul2018'!L119,0,IF($C$5*'Tariffs Jul2018'!AL119/'Tariffs Jul2018'!AJ119&lt;='Tariffs Jul2018'!M119,($C$5*'Tariffs Jul2018'!AL119/'Tariffs Jul2018'!AJ119-'Tariffs Jul2018'!L119)*('Tariffs Jul2018'!X119/100)*'Tariffs Jul2018'!AJ119,('Tariffs Jul2018'!M119-'Tariffs Jul2018'!L119)*('Tariffs Jul2018'!X119/100)*'Tariffs Jul2018'!AJ119))</f>
        <v>0</v>
      </c>
      <c r="N125" s="59">
        <f>IF(($C$5*'Tariffs Jul2018'!AL119/'Tariffs Jul2018'!AJ119&gt;'Tariffs Jul2018'!M119),($C$5*'Tariffs Jul2018'!AL119/'Tariffs Jul2018'!AJ119-'Tariffs Jul2018'!M119)*'Tariffs Jul2018'!Y119/100*'Tariffs Jul2018'!AJ119,0)</f>
        <v>0</v>
      </c>
      <c r="O125" s="271">
        <f>SUM(E125:N125)</f>
        <v>1427.8571999999999</v>
      </c>
      <c r="P125" s="59">
        <f>D125+O125</f>
        <v>1785.5572</v>
      </c>
      <c r="Q125" s="272">
        <f>P125*1.1</f>
        <v>1964.11292</v>
      </c>
      <c r="R125" s="40">
        <f>'Tariffs Jul2018'!AM119</f>
        <v>0</v>
      </c>
      <c r="S125" s="40">
        <f>'Tariffs Jul2018'!AN119</f>
        <v>0</v>
      </c>
      <c r="T125" s="40">
        <f>'Tariffs Jul2018'!AO119</f>
        <v>34</v>
      </c>
      <c r="U125" s="40">
        <f>'Tariffs Jul2018'!AP119</f>
        <v>0</v>
      </c>
      <c r="V125" s="273">
        <f>P125</f>
        <v>1785.5572</v>
      </c>
      <c r="W125" s="273">
        <f>V125-(P125*T125/100)</f>
        <v>1178.467752</v>
      </c>
      <c r="X125" s="272">
        <f>V125*1.1</f>
        <v>1964.11292</v>
      </c>
      <c r="Y125" s="272">
        <f>W125*1.1</f>
        <v>1296.3145272000002</v>
      </c>
      <c r="Z125" s="274">
        <f>'Tariffs Jul2018'!AY119</f>
        <v>0</v>
      </c>
      <c r="AA125" s="274" t="str">
        <f>'Tariffs Jul2018'!AZ119</f>
        <v>n</v>
      </c>
      <c r="AB125" s="275" t="str">
        <f>'Tariffs Jul2018'!BG119</f>
        <v>N</v>
      </c>
      <c r="AC125" s="351"/>
      <c r="AD125" s="351"/>
      <c r="AE125" s="351"/>
      <c r="AF125" s="351"/>
      <c r="AG125" s="351"/>
      <c r="AH125" s="351"/>
      <c r="AI125" s="351"/>
      <c r="AJ125" s="351"/>
      <c r="AK125" s="351"/>
      <c r="AL125" s="351"/>
      <c r="AM125" s="351"/>
      <c r="AN125" s="351"/>
    </row>
    <row r="126" spans="1:40" ht="14" thickBot="1" x14ac:dyDescent="0.2">
      <c r="A126" s="287" t="str">
        <f>'Tariffs Jul2018'!F120</f>
        <v>Powershop</v>
      </c>
      <c r="B126" s="287" t="str">
        <f>'Tariffs Jul2018'!D120</f>
        <v>Ausnet Central 1</v>
      </c>
      <c r="C126" s="287" t="str">
        <f>'Tariffs Jul2018'!G120</f>
        <v>Gas Saver</v>
      </c>
      <c r="D126" s="288">
        <f>365*'Tariffs Jul2018'!H120/100</f>
        <v>341.49400000000003</v>
      </c>
      <c r="E126" s="288">
        <f>((C$5*'Tariffs Jul2018'!AK120/'Tariffs Jul2018'!AI120)*('Tariffs Jul2018'!O120/100))*'Tariffs Jul2018'!AI120</f>
        <v>369.56304</v>
      </c>
      <c r="F126" s="288">
        <v>0</v>
      </c>
      <c r="G126" s="288">
        <v>0</v>
      </c>
      <c r="H126" s="288">
        <v>0</v>
      </c>
      <c r="I126" s="288">
        <v>0</v>
      </c>
      <c r="J126" s="288">
        <f>((C$5*'Tariffs Jul2018'!AL120/'Tariffs Jul2018'!AJ120)*('Tariffs Jul2018'!U120/100))*'Tariffs Jul2018'!AJ120</f>
        <v>608.93909999999994</v>
      </c>
      <c r="K126" s="288">
        <v>0</v>
      </c>
      <c r="L126" s="288">
        <v>0</v>
      </c>
      <c r="M126" s="288">
        <v>0</v>
      </c>
      <c r="N126" s="288">
        <v>0</v>
      </c>
      <c r="O126" s="289">
        <f>SUM(E126:N126)</f>
        <v>978.50213999999994</v>
      </c>
      <c r="P126" s="288">
        <f>D126+O126</f>
        <v>1319.99614</v>
      </c>
      <c r="Q126" s="290">
        <f>P126*1.1</f>
        <v>1451.995754</v>
      </c>
      <c r="R126" s="287">
        <f>'Tariffs Jul2018'!AM120</f>
        <v>0</v>
      </c>
      <c r="S126" s="287">
        <f>'Tariffs Jul2018'!AN120</f>
        <v>0</v>
      </c>
      <c r="T126" s="287">
        <f>'Tariffs Jul2018'!AO120</f>
        <v>5</v>
      </c>
      <c r="U126" s="287">
        <f>'Tariffs Jul2018'!AP120</f>
        <v>0</v>
      </c>
      <c r="V126" s="291">
        <f t="shared" si="17"/>
        <v>1319.99614</v>
      </c>
      <c r="W126" s="291">
        <f>V126-(P126*T126/100)</f>
        <v>1253.996333</v>
      </c>
      <c r="X126" s="290">
        <f>V126*1.1</f>
        <v>1451.995754</v>
      </c>
      <c r="Y126" s="290">
        <f>W126*1.1</f>
        <v>1379.3959663000001</v>
      </c>
      <c r="Z126" s="292">
        <f>'Tariffs Jul2018'!AY120</f>
        <v>0</v>
      </c>
      <c r="AA126" s="292" t="str">
        <f>'Tariffs Jul2018'!AZ120</f>
        <v>n</v>
      </c>
      <c r="AB126" s="293" t="str">
        <f>'Tariffs Jul2018'!BG120</f>
        <v>Y</v>
      </c>
      <c r="AC126" s="351"/>
      <c r="AD126" s="351"/>
      <c r="AE126" s="351"/>
      <c r="AF126" s="351"/>
      <c r="AG126" s="351"/>
      <c r="AH126" s="351"/>
      <c r="AI126" s="351"/>
      <c r="AJ126" s="351"/>
      <c r="AK126" s="351"/>
      <c r="AL126" s="351"/>
      <c r="AM126" s="351"/>
      <c r="AN126" s="351"/>
    </row>
    <row r="127" spans="1:40" x14ac:dyDescent="0.15">
      <c r="A127" s="351"/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351"/>
      <c r="AA127" s="351"/>
      <c r="AB127" s="351"/>
      <c r="AC127" s="351"/>
      <c r="AD127" s="351"/>
      <c r="AE127" s="351"/>
      <c r="AF127" s="351"/>
      <c r="AG127" s="351"/>
      <c r="AH127" s="351"/>
      <c r="AI127" s="351"/>
      <c r="AJ127" s="351"/>
      <c r="AK127" s="351"/>
      <c r="AL127" s="351"/>
      <c r="AM127" s="351"/>
      <c r="AN127" s="351"/>
    </row>
    <row r="128" spans="1:40" x14ac:dyDescent="0.15">
      <c r="A128" s="351"/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351"/>
      <c r="AA128" s="351"/>
      <c r="AB128" s="351"/>
      <c r="AC128" s="351"/>
      <c r="AD128" s="351"/>
      <c r="AE128" s="351"/>
      <c r="AF128" s="351"/>
      <c r="AG128" s="351"/>
      <c r="AH128" s="351"/>
      <c r="AI128" s="351"/>
      <c r="AJ128" s="351"/>
      <c r="AK128" s="351"/>
      <c r="AL128" s="351"/>
      <c r="AM128" s="351"/>
      <c r="AN128" s="351"/>
    </row>
    <row r="129" spans="1:40" x14ac:dyDescent="0.15">
      <c r="A129" s="351"/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351"/>
      <c r="AA129" s="351"/>
      <c r="AB129" s="351"/>
      <c r="AC129" s="351"/>
      <c r="AD129" s="351"/>
      <c r="AE129" s="351"/>
      <c r="AF129" s="351"/>
      <c r="AG129" s="351"/>
      <c r="AH129" s="351"/>
      <c r="AI129" s="351"/>
      <c r="AJ129" s="351"/>
      <c r="AK129" s="351"/>
      <c r="AL129" s="351"/>
      <c r="AM129" s="351"/>
      <c r="AN129" s="351"/>
    </row>
    <row r="130" spans="1:40" x14ac:dyDescent="0.15">
      <c r="A130" s="351"/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351"/>
      <c r="AA130" s="351"/>
      <c r="AB130" s="351"/>
      <c r="AC130" s="351"/>
      <c r="AD130" s="351"/>
      <c r="AE130" s="351"/>
      <c r="AF130" s="351"/>
      <c r="AG130" s="351"/>
      <c r="AH130" s="351"/>
      <c r="AI130" s="351"/>
      <c r="AJ130" s="351"/>
      <c r="AK130" s="351"/>
      <c r="AL130" s="351"/>
      <c r="AM130" s="351"/>
      <c r="AN130" s="351"/>
    </row>
    <row r="131" spans="1:40" x14ac:dyDescent="0.15">
      <c r="A131" s="351"/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351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  <c r="Z131" s="351"/>
      <c r="AA131" s="351"/>
      <c r="AB131" s="351"/>
      <c r="AC131" s="351"/>
      <c r="AD131" s="351"/>
      <c r="AE131" s="351"/>
      <c r="AF131" s="351"/>
      <c r="AG131" s="351"/>
      <c r="AH131" s="351"/>
      <c r="AI131" s="351"/>
      <c r="AJ131" s="351"/>
      <c r="AK131" s="351"/>
      <c r="AL131" s="351"/>
      <c r="AM131" s="351"/>
      <c r="AN131" s="351"/>
    </row>
    <row r="132" spans="1:40" x14ac:dyDescent="0.15">
      <c r="A132" s="351"/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351"/>
      <c r="AA132" s="351"/>
      <c r="AB132" s="351"/>
      <c r="AC132" s="351"/>
      <c r="AD132" s="351"/>
      <c r="AE132" s="351"/>
      <c r="AF132" s="351"/>
      <c r="AG132" s="351"/>
      <c r="AH132" s="351"/>
      <c r="AI132" s="351"/>
      <c r="AJ132" s="351"/>
      <c r="AK132" s="351"/>
      <c r="AL132" s="351"/>
      <c r="AM132" s="351"/>
      <c r="AN132" s="351"/>
    </row>
    <row r="133" spans="1:40" x14ac:dyDescent="0.15">
      <c r="A133" s="351"/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351"/>
      <c r="AA133" s="351"/>
      <c r="AB133" s="351"/>
      <c r="AC133" s="351"/>
      <c r="AD133" s="351"/>
      <c r="AE133" s="351"/>
      <c r="AF133" s="351"/>
      <c r="AG133" s="351"/>
      <c r="AH133" s="351"/>
      <c r="AI133" s="351"/>
      <c r="AJ133" s="351"/>
      <c r="AK133" s="351"/>
      <c r="AL133" s="351"/>
      <c r="AM133" s="351"/>
      <c r="AN133" s="351"/>
    </row>
    <row r="134" spans="1:40" x14ac:dyDescent="0.15">
      <c r="A134" s="351"/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351"/>
      <c r="AA134" s="351"/>
      <c r="AB134" s="351"/>
      <c r="AC134" s="351"/>
      <c r="AD134" s="351"/>
      <c r="AE134" s="351"/>
      <c r="AF134" s="351"/>
      <c r="AG134" s="351"/>
      <c r="AH134" s="351"/>
      <c r="AI134" s="351"/>
      <c r="AJ134" s="351"/>
      <c r="AK134" s="351"/>
      <c r="AL134" s="351"/>
      <c r="AM134" s="351"/>
      <c r="AN134" s="351"/>
    </row>
    <row r="135" spans="1:40" x14ac:dyDescent="0.15">
      <c r="A135" s="351"/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  <c r="Z135" s="351"/>
      <c r="AA135" s="351"/>
      <c r="AB135" s="351"/>
      <c r="AC135" s="351"/>
      <c r="AD135" s="351"/>
      <c r="AE135" s="351"/>
      <c r="AF135" s="351"/>
      <c r="AG135" s="351"/>
      <c r="AH135" s="351"/>
      <c r="AI135" s="351"/>
      <c r="AJ135" s="351"/>
      <c r="AK135" s="351"/>
      <c r="AL135" s="351"/>
      <c r="AM135" s="351"/>
      <c r="AN135" s="351"/>
    </row>
    <row r="136" spans="1:40" x14ac:dyDescent="0.15">
      <c r="A136" s="351"/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351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  <c r="Z136" s="351"/>
      <c r="AA136" s="351"/>
      <c r="AB136" s="351"/>
      <c r="AC136" s="351"/>
      <c r="AD136" s="351"/>
      <c r="AE136" s="351"/>
      <c r="AF136" s="351"/>
      <c r="AG136" s="351"/>
      <c r="AH136" s="351"/>
      <c r="AI136" s="351"/>
      <c r="AJ136" s="351"/>
      <c r="AK136" s="351"/>
      <c r="AL136" s="351"/>
      <c r="AM136" s="351"/>
      <c r="AN136" s="351"/>
    </row>
    <row r="137" spans="1:40" x14ac:dyDescent="0.15">
      <c r="A137" s="351"/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  <c r="AJ137" s="351"/>
      <c r="AK137" s="351"/>
      <c r="AL137" s="351"/>
      <c r="AM137" s="351"/>
      <c r="AN137" s="351"/>
    </row>
    <row r="138" spans="1:40" x14ac:dyDescent="0.15">
      <c r="A138" s="351"/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351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  <c r="Z138" s="351"/>
      <c r="AA138" s="351"/>
      <c r="AB138" s="351"/>
      <c r="AC138" s="351"/>
      <c r="AD138" s="351"/>
      <c r="AE138" s="351"/>
      <c r="AF138" s="351"/>
      <c r="AG138" s="351"/>
      <c r="AH138" s="351"/>
      <c r="AI138" s="351"/>
      <c r="AJ138" s="351"/>
      <c r="AK138" s="351"/>
      <c r="AL138" s="351"/>
      <c r="AM138" s="351"/>
      <c r="AN138" s="351"/>
    </row>
    <row r="139" spans="1:40" x14ac:dyDescent="0.15">
      <c r="A139" s="351"/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351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  <c r="Z139" s="351"/>
      <c r="AA139" s="351"/>
      <c r="AB139" s="351"/>
      <c r="AC139" s="351"/>
      <c r="AD139" s="351"/>
      <c r="AE139" s="351"/>
      <c r="AF139" s="351"/>
      <c r="AG139" s="351"/>
      <c r="AH139" s="351"/>
      <c r="AI139" s="351"/>
      <c r="AJ139" s="351"/>
      <c r="AK139" s="351"/>
      <c r="AL139" s="351"/>
      <c r="AM139" s="351"/>
      <c r="AN139" s="351"/>
    </row>
    <row r="140" spans="1:40" x14ac:dyDescent="0.15">
      <c r="A140" s="351"/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351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  <c r="Z140" s="351"/>
      <c r="AA140" s="351"/>
      <c r="AB140" s="351"/>
      <c r="AC140" s="351"/>
      <c r="AD140" s="351"/>
      <c r="AE140" s="351"/>
      <c r="AF140" s="351"/>
      <c r="AG140" s="351"/>
      <c r="AH140" s="351"/>
      <c r="AI140" s="351"/>
      <c r="AJ140" s="351"/>
      <c r="AK140" s="351"/>
      <c r="AL140" s="351"/>
      <c r="AM140" s="351"/>
      <c r="AN140" s="351"/>
    </row>
    <row r="141" spans="1:40" x14ac:dyDescent="0.15">
      <c r="A141" s="351"/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351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  <c r="Z141" s="351"/>
      <c r="AA141" s="351"/>
      <c r="AB141" s="351"/>
      <c r="AC141" s="351"/>
      <c r="AD141" s="351"/>
      <c r="AE141" s="351"/>
      <c r="AF141" s="351"/>
      <c r="AG141" s="351"/>
      <c r="AH141" s="351"/>
      <c r="AI141" s="351"/>
      <c r="AJ141" s="351"/>
      <c r="AK141" s="351"/>
      <c r="AL141" s="351"/>
      <c r="AM141" s="351"/>
      <c r="AN141" s="351"/>
    </row>
    <row r="142" spans="1:40" x14ac:dyDescent="0.15">
      <c r="A142" s="351"/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  <c r="AA142" s="351"/>
      <c r="AB142" s="351"/>
      <c r="AC142" s="351"/>
      <c r="AD142" s="351"/>
      <c r="AE142" s="351"/>
      <c r="AF142" s="351"/>
      <c r="AG142" s="351"/>
      <c r="AH142" s="351"/>
      <c r="AI142" s="351"/>
      <c r="AJ142" s="351"/>
      <c r="AK142" s="351"/>
      <c r="AL142" s="351"/>
      <c r="AM142" s="351"/>
      <c r="AN142" s="351"/>
    </row>
    <row r="143" spans="1:40" x14ac:dyDescent="0.15">
      <c r="A143" s="351"/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351"/>
      <c r="AA143" s="351"/>
      <c r="AB143" s="351"/>
      <c r="AC143" s="351"/>
      <c r="AD143" s="351"/>
      <c r="AE143" s="351"/>
      <c r="AF143" s="351"/>
      <c r="AG143" s="351"/>
      <c r="AH143" s="351"/>
      <c r="AI143" s="351"/>
      <c r="AJ143" s="351"/>
      <c r="AK143" s="351"/>
      <c r="AL143" s="351"/>
      <c r="AM143" s="351"/>
      <c r="AN143" s="351"/>
    </row>
    <row r="144" spans="1:40" x14ac:dyDescent="0.15">
      <c r="A144" s="351"/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351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  <c r="Z144" s="351"/>
      <c r="AA144" s="351"/>
      <c r="AB144" s="351"/>
      <c r="AC144" s="351"/>
      <c r="AD144" s="351"/>
      <c r="AE144" s="351"/>
      <c r="AF144" s="351"/>
      <c r="AG144" s="351"/>
      <c r="AH144" s="351"/>
      <c r="AI144" s="351"/>
      <c r="AJ144" s="351"/>
      <c r="AK144" s="351"/>
      <c r="AL144" s="351"/>
      <c r="AM144" s="351"/>
      <c r="AN144" s="351"/>
    </row>
    <row r="145" spans="1:40" x14ac:dyDescent="0.15">
      <c r="A145" s="351"/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  <c r="AJ145" s="351"/>
      <c r="AK145" s="351"/>
      <c r="AL145" s="351"/>
      <c r="AM145" s="351"/>
      <c r="AN145" s="351"/>
    </row>
    <row r="146" spans="1:40" x14ac:dyDescent="0.15">
      <c r="A146" s="351"/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  <c r="Z146" s="351"/>
      <c r="AA146" s="351"/>
      <c r="AB146" s="351"/>
      <c r="AC146" s="351"/>
      <c r="AD146" s="351"/>
      <c r="AE146" s="351"/>
      <c r="AF146" s="351"/>
      <c r="AG146" s="351"/>
      <c r="AH146" s="351"/>
      <c r="AI146" s="351"/>
      <c r="AJ146" s="351"/>
      <c r="AK146" s="351"/>
      <c r="AL146" s="351"/>
      <c r="AM146" s="351"/>
      <c r="AN146" s="351"/>
    </row>
    <row r="147" spans="1:40" x14ac:dyDescent="0.15">
      <c r="A147" s="351"/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351"/>
      <c r="AA147" s="351"/>
      <c r="AB147" s="351"/>
      <c r="AC147" s="351"/>
      <c r="AD147" s="351"/>
      <c r="AE147" s="351"/>
      <c r="AF147" s="351"/>
      <c r="AG147" s="351"/>
      <c r="AH147" s="351"/>
      <c r="AI147" s="351"/>
      <c r="AJ147" s="351"/>
      <c r="AK147" s="351"/>
      <c r="AL147" s="351"/>
      <c r="AM147" s="351"/>
      <c r="AN147" s="351"/>
    </row>
  </sheetData>
  <sheetProtection algorithmName="SHA-512" hashValue="cyp1116VFIV5DVCsZhs3zG9yDq00LFGa8eI7Br6OjzzYunCtC0fKNsD0KOL+32NAo9D04v2AE+II5ePQnCq06Q==" saltValue="LAdjT2RNEtlhDTRFVxbxEQ==" spinCount="100000" sheet="1" objects="1" scenarios="1"/>
  <phoneticPr fontId="20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AN129"/>
  <sheetViews>
    <sheetView workbookViewId="0">
      <selection activeCell="F112" sqref="F112"/>
    </sheetView>
  </sheetViews>
  <sheetFormatPr baseColWidth="10" defaultColWidth="10.83203125" defaultRowHeight="13" x14ac:dyDescent="0.15"/>
  <cols>
    <col min="1" max="1" width="17.33203125" customWidth="1"/>
    <col min="2" max="2" width="17.1640625" customWidth="1"/>
    <col min="3" max="3" width="16.83203125" bestFit="1" customWidth="1"/>
    <col min="4" max="14" width="14.1640625" customWidth="1"/>
    <col min="15" max="15" width="12.33203125" hidden="1" customWidth="1"/>
    <col min="16" max="16" width="14.1640625" hidden="1" customWidth="1"/>
    <col min="17" max="21" width="14.1640625" customWidth="1"/>
    <col min="22" max="23" width="12.33203125" hidden="1" customWidth="1"/>
    <col min="24" max="27" width="14.1640625" customWidth="1"/>
    <col min="28" max="38" width="12.33203125" customWidth="1"/>
  </cols>
  <sheetData>
    <row r="1" spans="1:40" ht="14" x14ac:dyDescent="0.15">
      <c r="A1" s="320" t="s">
        <v>722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</row>
    <row r="2" spans="1:40" ht="14" x14ac:dyDescent="0.15">
      <c r="A2" s="322" t="s">
        <v>723</v>
      </c>
      <c r="B2" s="322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1"/>
      <c r="AC2" s="321"/>
      <c r="AD2" s="321"/>
      <c r="AE2" s="321"/>
      <c r="AF2" s="321"/>
      <c r="AG2" s="321"/>
      <c r="AH2" s="321"/>
      <c r="AI2" s="321"/>
      <c r="AJ2" s="321"/>
      <c r="AK2" s="321"/>
      <c r="AL2" s="321"/>
      <c r="AM2" s="321"/>
      <c r="AN2" s="321"/>
    </row>
    <row r="3" spans="1:40" ht="15" thickBo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3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</row>
    <row r="4" spans="1:40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6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</row>
    <row r="5" spans="1:40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9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1"/>
      <c r="AN5" s="321"/>
    </row>
    <row r="6" spans="1:40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9"/>
      <c r="AC6" s="321"/>
      <c r="AD6" s="321"/>
      <c r="AE6" s="321"/>
      <c r="AF6" s="321"/>
      <c r="AG6" s="321"/>
      <c r="AH6" s="321"/>
      <c r="AI6" s="321"/>
      <c r="AJ6" s="321"/>
      <c r="AK6" s="321"/>
      <c r="AL6" s="321"/>
      <c r="AM6" s="321"/>
      <c r="AN6" s="321"/>
    </row>
    <row r="7" spans="1:40" ht="75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493" t="s">
        <v>572</v>
      </c>
      <c r="P7" s="494" t="s">
        <v>573</v>
      </c>
      <c r="Q7" s="493" t="s">
        <v>574</v>
      </c>
      <c r="R7" s="495" t="s">
        <v>575</v>
      </c>
      <c r="S7" s="496" t="s">
        <v>576</v>
      </c>
      <c r="T7" s="496" t="s">
        <v>577</v>
      </c>
      <c r="U7" s="496" t="s">
        <v>578</v>
      </c>
      <c r="V7" s="497" t="s">
        <v>579</v>
      </c>
      <c r="W7" s="497" t="s">
        <v>580</v>
      </c>
      <c r="X7" s="497" t="s">
        <v>581</v>
      </c>
      <c r="Y7" s="497" t="s">
        <v>582</v>
      </c>
      <c r="Z7" s="498" t="s">
        <v>583</v>
      </c>
      <c r="AA7" s="499" t="s">
        <v>584</v>
      </c>
      <c r="AB7" s="500" t="s">
        <v>585</v>
      </c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</row>
    <row r="8" spans="1:40" x14ac:dyDescent="0.15">
      <c r="A8" s="270" t="str">
        <f>'Tariffs Jan2018'!F2</f>
        <v>AGL</v>
      </c>
      <c r="B8" s="40" t="str">
        <f>'Tariffs Jan2018'!D2</f>
        <v>Multinet 1</v>
      </c>
      <c r="C8" s="40" t="str">
        <f>'Tariffs Jan2018'!G2</f>
        <v>Savers</v>
      </c>
      <c r="D8" s="59">
        <f>365*'Tariffs Jan2018'!H2/100</f>
        <v>288.35000000000002</v>
      </c>
      <c r="E8" s="59">
        <f>IF($C$5*'Tariffs Jan2018'!AK2/'Tariffs Jan2018'!AI2&gt;='Tariffs Jan2018'!J2,( 'Tariffs Jan2018'!J2*'Tariffs Jan2018'!O2/100)* 'Tariffs Jan2018'!AI2,($C$5*'Tariffs Jan2018'!AK2/'Tariffs Jan2018'!AI2*'Tariffs Jan2018'!O2/100)* 'Tariffs Jan2018'!AI2)</f>
        <v>243.89999999999998</v>
      </c>
      <c r="F8" s="59">
        <f>IF($C$5*'Tariffs Jan2018'!AK2/'Tariffs Jan2018'!AI2&lt;'Tariffs Jan2018'!J2,0,IF($C$5*'Tariffs Jan2018'!AK2/'Tariffs Jan2018'!AI2&lt;='Tariffs Jan2018'!K2,($C$5*'Tariffs Jan2018'!AK2/'Tariffs Jan2018'!AI2-'Tariffs Jan2018'!J2)*('Tariffs Jan2018'!P2/100)*'Tariffs Jan2018'!AI2,('Tariffs Jan2018'!K2-'Tariffs Jan2018'!J2)*('Tariffs Jan2018'!P2/100)*'Tariffs Jan2018'!AI2))</f>
        <v>212.39999999999998</v>
      </c>
      <c r="G8" s="59">
        <f>IF($C$5*'Tariffs Jan2018'!AK2/'Tariffs Jan2018'!AI2&lt;'Tariffs Jan2018'!K2,0,IF($C$5*'Tariffs Jan2018'!AK2/'Tariffs Jan2018'!AI2&lt;='Tariffs Jan2018'!L2,($C$5*'Tariffs Jan2018'!AK2/'Tariffs Jan2018'!AI2-'Tariffs Jan2018'!K2)*('Tariffs Jan2018'!Q2/100)*'Tariffs Jan2018'!AI2,('Tariffs Jan2018'!L2-'Tariffs Jan2018'!K2)*('Tariffs Jan2018'!Q2/100)*'Tariffs Jan2018'!AI2))</f>
        <v>169.2</v>
      </c>
      <c r="H8" s="59">
        <f>IF($C$5*'Tariffs Jan2018'!AK2/'Tariffs Jan2018'!AI2&lt;'Tariffs Jan2018'!L2,0,IF($C$5*'Tariffs Jan2018'!AK2/'Tariffs Jan2018'!AI2&lt;='Tariffs Jan2018'!M2,($C$5*'Tariffs Jan2018'!AK2/'Tariffs Jan2018'!AI2-'Tariffs Jan2018'!L2)*('Tariffs Jan2018'!R2/100)*'Tariffs Jan2018'!AI2,('Tariffs Jan2018'!M2-'Tariffs Jan2018'!L2)*('Tariffs Jan2018'!R2/100)*'Tariffs Jan2018'!AI2))</f>
        <v>73.349999999999994</v>
      </c>
      <c r="I8" s="59">
        <f>IF(($C$5*'Tariffs Jan2018'!AK2/'Tariffs Jan2018'!AI2&gt;'Tariffs Jan2018'!M2),($C$5*'Tariffs Jan2018'!AK2/'Tariffs Jan2018'!AI2-'Tariffs Jan2018'!M2)*'Tariffs Jan2018'!S2/100*'Tariffs Jan2018'!AI2,0)</f>
        <v>0</v>
      </c>
      <c r="J8" s="59">
        <f>IF($C$5*'Tariffs Jan2018'!AL2/'Tariffs Jan2018'!AJ2&gt;='Tariffs Jan2018'!J2,('Tariffs Jan2018'!J2*'Tariffs Jan2018'!U2/100)* 'Tariffs Jan2018'!AJ2,($C$5*'Tariffs Jan2018'!AL2/'Tariffs Jan2018'!AJ2*'Tariffs Jan2018'!U2/100)* 'Tariffs Jan2018'!AJ2)</f>
        <v>231.29999999999998</v>
      </c>
      <c r="K8" s="59">
        <f>IF($C$5*'Tariffs Jan2018'!AL2/'Tariffs Jan2018'!AJ2&lt;'Tariffs Jan2018'!J2,0,IF($C$5*'Tariffs Jan2018'!AL2/'Tariffs Jan2018'!AJ2&lt;='Tariffs Jan2018'!K2,($C$5*'Tariffs Jan2018'!AL2/'Tariffs Jan2018'!AJ2-'Tariffs Jan2018'!J2)*('Tariffs Jan2018'!V2/100)*'Tariffs Jan2018'!AJ2,('Tariffs Jan2018'!K2-'Tariffs Jan2018'!J2)*('Tariffs Jan2018'!V2/100)*'Tariffs Jan2018'!AJ2))</f>
        <v>199.8</v>
      </c>
      <c r="L8" s="59">
        <f>IF($C$5*'Tariffs Jan2018'!AL2/'Tariffs Jan2018'!AJ2&lt;'Tariffs Jan2018'!K2,0,IF($C$5*'Tariffs Jan2018'!AL2/'Tariffs Jan2018'!AJ2&lt;='Tariffs Jan2018'!L2,($C$5*'Tariffs Jan2018'!AL2/'Tariffs Jan2018'!AJ2-'Tariffs Jan2018'!K2)*('Tariffs Jan2018'!W2/100)*'Tariffs Jan2018'!AJ2,('Tariffs Jan2018'!L2-'Tariffs Jan2018'!K2)*('Tariffs Jan2018'!W2/100)*'Tariffs Jan2018'!AJ2))</f>
        <v>163.80000000000001</v>
      </c>
      <c r="M8" s="59">
        <f>IF($C$5*'Tariffs Jan2018'!AL2/'Tariffs Jan2018'!AJ2&lt;'Tariffs Jan2018'!L2,0,IF($C$5*'Tariffs Jan2018'!AL2/'Tariffs Jan2018'!AJ2&lt;='Tariffs Jan2018'!M2,($C$5*'Tariffs Jan2018'!AL2/'Tariffs Jan2018'!AJ2-'Tariffs Jan2018'!L2)*('Tariffs Jan2018'!X2/100)*'Tariffs Jan2018'!AJ2,('Tariffs Jan2018'!M2-'Tariffs Jan2018'!L2)*('Tariffs Jan2018'!X2/100)*'Tariffs Jan2018'!AJ2))</f>
        <v>72</v>
      </c>
      <c r="N8" s="59">
        <f>IF(($C$5*'Tariffs Jan2018'!AL2/'Tariffs Jan2018'!AJ2&gt;'Tariffs Jan2018'!M2),($C$5*'Tariffs Jan2018'!AL2/'Tariffs Jan2018'!AJ2-'Tariffs Jan2018'!M2)*'Tariffs Jan2018'!Y2/100*'Tariffs Jan2018'!AJ2,0)</f>
        <v>0</v>
      </c>
      <c r="O8" s="271">
        <f>SUM(E8:N8)</f>
        <v>1365.75</v>
      </c>
      <c r="P8" s="59">
        <f>D8+O8</f>
        <v>1654.1</v>
      </c>
      <c r="Q8" s="272">
        <f>P8*1.1</f>
        <v>1819.51</v>
      </c>
      <c r="R8" s="40">
        <f>'Tariffs Jan2018'!AM2</f>
        <v>0</v>
      </c>
      <c r="S8" s="40">
        <f>'Tariffs Jan2018'!AN2</f>
        <v>0</v>
      </c>
      <c r="T8" s="40">
        <f>'Tariffs Jan2018'!AO2</f>
        <v>0</v>
      </c>
      <c r="U8" s="40">
        <f>'Tariffs Jan2018'!AP2</f>
        <v>12</v>
      </c>
      <c r="V8" s="273">
        <f t="shared" ref="V8:V21" si="0">P8</f>
        <v>1654.1</v>
      </c>
      <c r="W8" s="273">
        <f>V8-(O8*U8/100)</f>
        <v>1490.21</v>
      </c>
      <c r="X8" s="272">
        <f>V8*1.1</f>
        <v>1819.51</v>
      </c>
      <c r="Y8" s="272">
        <f>W8*1.1</f>
        <v>1639.2310000000002</v>
      </c>
      <c r="Z8" s="274">
        <f>'Tariffs Jan2018'!AW2</f>
        <v>0</v>
      </c>
      <c r="AA8" s="274" t="str">
        <f>'Tariffs Jan2018'!AX2</f>
        <v>n</v>
      </c>
      <c r="AB8" s="275" t="str">
        <f>'Tariffs Jan2018'!BE2</f>
        <v>N</v>
      </c>
      <c r="AC8" s="321"/>
      <c r="AD8" s="321"/>
      <c r="AE8" s="321"/>
      <c r="AF8" s="321"/>
      <c r="AG8" s="321"/>
      <c r="AH8" s="321"/>
      <c r="AI8" s="321"/>
      <c r="AJ8" s="321"/>
      <c r="AK8" s="321"/>
      <c r="AL8" s="321"/>
      <c r="AM8" s="321"/>
      <c r="AN8" s="321"/>
    </row>
    <row r="9" spans="1:40" x14ac:dyDescent="0.15">
      <c r="A9" s="270" t="str">
        <f>'Tariffs Jan2018'!F3</f>
        <v>Alinta Energy</v>
      </c>
      <c r="B9" s="40" t="str">
        <f>'Tariffs Jan2018'!D3</f>
        <v>Multinet 1</v>
      </c>
      <c r="C9" s="40" t="str">
        <f>'Tariffs Jan2018'!G3</f>
        <v>Fair Deal</v>
      </c>
      <c r="D9" s="59">
        <f>365*'Tariffs Jan2018'!H3/100</f>
        <v>251.047</v>
      </c>
      <c r="E9" s="59">
        <f>IF($C$5*'Tariffs Jan2018'!AK3/'Tariffs Jan2018'!AI3&gt;='Tariffs Jan2018'!J3,( 'Tariffs Jan2018'!J3*'Tariffs Jan2018'!O3/100)* 'Tariffs Jan2018'!AI3,($C$5*'Tariffs Jan2018'!AK3/'Tariffs Jan2018'!AI3*'Tariffs Jan2018'!O3/100)* 'Tariffs Jan2018'!AI3)</f>
        <v>217.79999999999998</v>
      </c>
      <c r="F9" s="59">
        <f>IF($C$5*'Tariffs Jan2018'!AK3/'Tariffs Jan2018'!AI3&lt;'Tariffs Jan2018'!J3,0,IF($C$5*'Tariffs Jan2018'!AK3/'Tariffs Jan2018'!AI3&lt;='Tariffs Jan2018'!K3,($C$5*'Tariffs Jan2018'!AK3/'Tariffs Jan2018'!AI3-'Tariffs Jan2018'!J3)*('Tariffs Jan2018'!P3/100)*'Tariffs Jan2018'!AI3,('Tariffs Jan2018'!K3-'Tariffs Jan2018'!J3)*('Tariffs Jan2018'!P3/100)*'Tariffs Jan2018'!AI3))</f>
        <v>188.1</v>
      </c>
      <c r="G9" s="59">
        <f>IF($C$5*'Tariffs Jan2018'!AK3/'Tariffs Jan2018'!AI3&lt;'Tariffs Jan2018'!K3,0,IF($C$5*'Tariffs Jan2018'!AK3/'Tariffs Jan2018'!AI3&lt;='Tariffs Jan2018'!L3,($C$5*'Tariffs Jan2018'!AK3/'Tariffs Jan2018'!AI3-'Tariffs Jan2018'!K3)*('Tariffs Jan2018'!Q3/100)*'Tariffs Jan2018'!AI3,('Tariffs Jan2018'!L3-'Tariffs Jan2018'!K3)*('Tariffs Jan2018'!Q3/100)*'Tariffs Jan2018'!AI3))</f>
        <v>0</v>
      </c>
      <c r="H9" s="59">
        <f>IF($C$5*'Tariffs Jan2018'!AK3/'Tariffs Jan2018'!AI3&lt;'Tariffs Jan2018'!L3,0,IF($C$5*'Tariffs Jan2018'!AK3/'Tariffs Jan2018'!AI3&lt;='Tariffs Jan2018'!M3,($C$5*'Tariffs Jan2018'!AK3/'Tariffs Jan2018'!AI3-'Tariffs Jan2018'!L3)*('Tariffs Jan2018'!R3/100)*'Tariffs Jan2018'!AI3,('Tariffs Jan2018'!M3-'Tariffs Jan2018'!L3)*('Tariffs Jan2018'!R3/100)*'Tariffs Jan2018'!AI3))</f>
        <v>0</v>
      </c>
      <c r="I9" s="59">
        <f>IF(($C$5*'Tariffs Jan2018'!AK3/'Tariffs Jan2018'!AI3&gt;'Tariffs Jan2018'!M3),($C$5*'Tariffs Jan2018'!AK3/'Tariffs Jan2018'!AI3-'Tariffs Jan2018'!M3)*'Tariffs Jan2018'!S3/100*'Tariffs Jan2018'!AI3,0)</f>
        <v>228.14999999999998</v>
      </c>
      <c r="J9" s="59">
        <f>IF($C$5*'Tariffs Jan2018'!AL3/'Tariffs Jan2018'!AJ3&gt;='Tariffs Jan2018'!J3,('Tariffs Jan2018'!J3*'Tariffs Jan2018'!U3/100)* 'Tariffs Jan2018'!AJ3,($C$5*'Tariffs Jan2018'!AL3/'Tariffs Jan2018'!AJ3*'Tariffs Jan2018'!U3/100)* 'Tariffs Jan2018'!AJ3)</f>
        <v>210.60000000000002</v>
      </c>
      <c r="K9" s="59">
        <f>IF($C$5*'Tariffs Jan2018'!AL3/'Tariffs Jan2018'!AJ3&lt;'Tariffs Jan2018'!J3,0,IF($C$5*'Tariffs Jan2018'!AL3/'Tariffs Jan2018'!AJ3&lt;='Tariffs Jan2018'!K3,($C$5*'Tariffs Jan2018'!AL3/'Tariffs Jan2018'!AJ3-'Tariffs Jan2018'!J3)*('Tariffs Jan2018'!V3/100)*'Tariffs Jan2018'!AJ3,('Tariffs Jan2018'!K3-'Tariffs Jan2018'!J3)*('Tariffs Jan2018'!V3/100)*'Tariffs Jan2018'!AJ3))</f>
        <v>183.60000000000002</v>
      </c>
      <c r="L9" s="59">
        <f>IF($C$5*'Tariffs Jan2018'!AL3/'Tariffs Jan2018'!AJ3&lt;'Tariffs Jan2018'!K3,0,IF($C$5*'Tariffs Jan2018'!AL3/'Tariffs Jan2018'!AJ3&lt;='Tariffs Jan2018'!L3,($C$5*'Tariffs Jan2018'!AL3/'Tariffs Jan2018'!AJ3-'Tariffs Jan2018'!K3)*('Tariffs Jan2018'!W3/100)*'Tariffs Jan2018'!AJ3,('Tariffs Jan2018'!L3-'Tariffs Jan2018'!K3)*('Tariffs Jan2018'!W3/100)*'Tariffs Jan2018'!AJ3))</f>
        <v>0</v>
      </c>
      <c r="M9" s="59">
        <f>IF($C$5*'Tariffs Jan2018'!AL3/'Tariffs Jan2018'!AJ3&lt;'Tariffs Jan2018'!L3,0,IF($C$5*'Tariffs Jan2018'!AL3/'Tariffs Jan2018'!AJ3&lt;='Tariffs Jan2018'!M3,($C$5*'Tariffs Jan2018'!AL3/'Tariffs Jan2018'!AJ3-'Tariffs Jan2018'!L3)*('Tariffs Jan2018'!X3/100)*'Tariffs Jan2018'!AJ3,('Tariffs Jan2018'!M3-'Tariffs Jan2018'!L3)*('Tariffs Jan2018'!X3/100)*'Tariffs Jan2018'!AJ3))</f>
        <v>0</v>
      </c>
      <c r="N9" s="59">
        <f>IF(($C$5*'Tariffs Jan2018'!AL3/'Tariffs Jan2018'!AJ3&gt;'Tariffs Jan2018'!M3),($C$5*'Tariffs Jan2018'!AL3/'Tariffs Jan2018'!AJ3-'Tariffs Jan2018'!M3)*'Tariffs Jan2018'!Y3/100*'Tariffs Jan2018'!AJ3,0)</f>
        <v>226.79999999999998</v>
      </c>
      <c r="O9" s="271">
        <f t="shared" ref="O9:O82" si="1">SUM(E9:N9)</f>
        <v>1255.05</v>
      </c>
      <c r="P9" s="59">
        <f t="shared" ref="P9:P82" si="2">D9+O9</f>
        <v>1506.097</v>
      </c>
      <c r="Q9" s="272">
        <f t="shared" ref="Q9:Q82" si="3">P9*1.1</f>
        <v>1656.7067000000002</v>
      </c>
      <c r="R9" s="40">
        <f>'Tariffs Jan2018'!AM3</f>
        <v>0</v>
      </c>
      <c r="S9" s="40">
        <f>'Tariffs Jan2018'!AN3</f>
        <v>0</v>
      </c>
      <c r="T9" s="40">
        <f>'Tariffs Jan2018'!AO3</f>
        <v>0</v>
      </c>
      <c r="U9" s="40">
        <f>'Tariffs Jan2018'!AP3</f>
        <v>25</v>
      </c>
      <c r="V9" s="273">
        <f t="shared" si="0"/>
        <v>1506.097</v>
      </c>
      <c r="W9" s="273">
        <f>V9-(O9*U9/100)</f>
        <v>1192.3344999999999</v>
      </c>
      <c r="X9" s="272">
        <f t="shared" ref="X9:Y82" si="4">V9*1.1</f>
        <v>1656.7067000000002</v>
      </c>
      <c r="Y9" s="272">
        <f t="shared" si="4"/>
        <v>1311.5679500000001</v>
      </c>
      <c r="Z9" s="274">
        <f>'Tariffs Jan2018'!AW3</f>
        <v>0</v>
      </c>
      <c r="AA9" s="274" t="str">
        <f>'Tariffs Jan2018'!AX3</f>
        <v>n</v>
      </c>
      <c r="AB9" s="275" t="str">
        <f>'Tariffs Jan2018'!BE3</f>
        <v>Y</v>
      </c>
      <c r="AC9" s="321"/>
      <c r="AD9" s="321"/>
      <c r="AE9" s="321"/>
      <c r="AF9" s="321"/>
      <c r="AG9" s="321"/>
      <c r="AH9" s="321"/>
      <c r="AI9" s="321"/>
      <c r="AJ9" s="321"/>
      <c r="AK9" s="321"/>
      <c r="AL9" s="321"/>
      <c r="AM9" s="321"/>
      <c r="AN9" s="321"/>
    </row>
    <row r="10" spans="1:40" x14ac:dyDescent="0.15">
      <c r="A10" s="270" t="str">
        <f>'Tariffs Jan2018'!F4</f>
        <v>Click Energy</v>
      </c>
      <c r="B10" s="40" t="str">
        <f>'Tariffs Jan2018'!D4</f>
        <v>Multinet 1</v>
      </c>
      <c r="C10" s="40" t="str">
        <f>'Tariffs Jan2018'!G4</f>
        <v>Amber</v>
      </c>
      <c r="D10" s="59">
        <f>365*'Tariffs Jan2018'!H4/100</f>
        <v>285.06499999999994</v>
      </c>
      <c r="E10" s="59">
        <f>IF($C$5*'Tariffs Jan2018'!AK4/'Tariffs Jan2018'!AI4&gt;='Tariffs Jan2018'!J4,( 'Tariffs Jan2018'!J4*'Tariffs Jan2018'!O4/100)* 'Tariffs Jan2018'!AI4,($C$5*'Tariffs Jan2018'!AK4/'Tariffs Jan2018'!AI4*'Tariffs Jan2018'!O4/100)* 'Tariffs Jan2018'!AI4)</f>
        <v>301.5</v>
      </c>
      <c r="F10" s="59">
        <f>IF($C$5*'Tariffs Jan2018'!AK4/'Tariffs Jan2018'!AI4&lt;'Tariffs Jan2018'!J4,0,IF($C$5*'Tariffs Jan2018'!AK4/'Tariffs Jan2018'!AI4&lt;='Tariffs Jan2018'!K4,($C$5*'Tariffs Jan2018'!AK4/'Tariffs Jan2018'!AI4-'Tariffs Jan2018'!J4)*('Tariffs Jan2018'!P4/100)*'Tariffs Jan2018'!AI4,('Tariffs Jan2018'!K4-'Tariffs Jan2018'!J4)*('Tariffs Jan2018'!P4/100)*'Tariffs Jan2018'!AI4))</f>
        <v>265.5</v>
      </c>
      <c r="G10" s="59">
        <f>IF($C$5*'Tariffs Jan2018'!AK4/'Tariffs Jan2018'!AI4&lt;'Tariffs Jan2018'!K4,0,IF($C$5*'Tariffs Jan2018'!AK4/'Tariffs Jan2018'!AI4&lt;='Tariffs Jan2018'!L4,($C$5*'Tariffs Jan2018'!AK4/'Tariffs Jan2018'!AI4-'Tariffs Jan2018'!K4)*('Tariffs Jan2018'!Q4/100)*'Tariffs Jan2018'!AI4,('Tariffs Jan2018'!L4-'Tariffs Jan2018'!K4)*('Tariffs Jan2018'!Q4/100)*'Tariffs Jan2018'!AI4))</f>
        <v>229.5</v>
      </c>
      <c r="H10" s="59">
        <f>IF($C$5*'Tariffs Jan2018'!AK4/'Tariffs Jan2018'!AI4&lt;'Tariffs Jan2018'!L4,0,IF($C$5*'Tariffs Jan2018'!AK4/'Tariffs Jan2018'!AI4&lt;='Tariffs Jan2018'!M4,($C$5*'Tariffs Jan2018'!AK4/'Tariffs Jan2018'!AI4-'Tariffs Jan2018'!L4)*('Tariffs Jan2018'!R4/100)*'Tariffs Jan2018'!AI4,('Tariffs Jan2018'!M4-'Tariffs Jan2018'!L4)*('Tariffs Jan2018'!R4/100)*'Tariffs Jan2018'!AI4))</f>
        <v>105.75</v>
      </c>
      <c r="I10" s="59">
        <f>IF(($C$5*'Tariffs Jan2018'!AK4/'Tariffs Jan2018'!AI4&gt;'Tariffs Jan2018'!M4),($C$5*'Tariffs Jan2018'!AK4/'Tariffs Jan2018'!AI4-'Tariffs Jan2018'!M4)*'Tariffs Jan2018'!S4/100*'Tariffs Jan2018'!AI4,0)</f>
        <v>0</v>
      </c>
      <c r="J10" s="59">
        <f>IF($C$5*'Tariffs Jan2018'!AL4/'Tariffs Jan2018'!AJ4&gt;='Tariffs Jan2018'!J4,('Tariffs Jan2018'!J4*'Tariffs Jan2018'!U4/100)* 'Tariffs Jan2018'!AJ4,($C$5*'Tariffs Jan2018'!AL4/'Tariffs Jan2018'!AJ4*'Tariffs Jan2018'!U4/100)* 'Tariffs Jan2018'!AJ4)</f>
        <v>292.5</v>
      </c>
      <c r="K10" s="59">
        <f>IF($C$5*'Tariffs Jan2018'!AL4/'Tariffs Jan2018'!AJ4&lt;'Tariffs Jan2018'!J4,0,IF($C$5*'Tariffs Jan2018'!AL4/'Tariffs Jan2018'!AJ4&lt;='Tariffs Jan2018'!K4,($C$5*'Tariffs Jan2018'!AL4/'Tariffs Jan2018'!AJ4-'Tariffs Jan2018'!J4)*('Tariffs Jan2018'!V4/100)*'Tariffs Jan2018'!AJ4,('Tariffs Jan2018'!K4-'Tariffs Jan2018'!J4)*('Tariffs Jan2018'!V4/100)*'Tariffs Jan2018'!AJ4))</f>
        <v>261</v>
      </c>
      <c r="L10" s="59">
        <f>IF($C$5*'Tariffs Jan2018'!AL4/'Tariffs Jan2018'!AJ4&lt;'Tariffs Jan2018'!K4,0,IF($C$5*'Tariffs Jan2018'!AL4/'Tariffs Jan2018'!AJ4&lt;='Tariffs Jan2018'!L4,($C$5*'Tariffs Jan2018'!AL4/'Tariffs Jan2018'!AJ4-'Tariffs Jan2018'!K4)*('Tariffs Jan2018'!W4/100)*'Tariffs Jan2018'!AJ4,('Tariffs Jan2018'!L4-'Tariffs Jan2018'!K4)*('Tariffs Jan2018'!W4/100)*'Tariffs Jan2018'!AJ4))</f>
        <v>225</v>
      </c>
      <c r="M10" s="59">
        <f>IF($C$5*'Tariffs Jan2018'!AL4/'Tariffs Jan2018'!AJ4&lt;'Tariffs Jan2018'!L4,0,IF($C$5*'Tariffs Jan2018'!AL4/'Tariffs Jan2018'!AJ4&lt;='Tariffs Jan2018'!M4,($C$5*'Tariffs Jan2018'!AL4/'Tariffs Jan2018'!AJ4-'Tariffs Jan2018'!L4)*('Tariffs Jan2018'!X4/100)*'Tariffs Jan2018'!AJ4,('Tariffs Jan2018'!M4-'Tariffs Jan2018'!L4)*('Tariffs Jan2018'!X4/100)*'Tariffs Jan2018'!AJ4))</f>
        <v>105.75</v>
      </c>
      <c r="N10" s="59">
        <f>IF(($C$5*'Tariffs Jan2018'!AL4/'Tariffs Jan2018'!AJ4&gt;'Tariffs Jan2018'!M4),($C$5*'Tariffs Jan2018'!AL4/'Tariffs Jan2018'!AJ4-'Tariffs Jan2018'!M4)*'Tariffs Jan2018'!Y4/100*'Tariffs Jan2018'!AJ4,0)</f>
        <v>0</v>
      </c>
      <c r="O10" s="271">
        <f t="shared" si="1"/>
        <v>1786.5</v>
      </c>
      <c r="P10" s="59">
        <f t="shared" si="2"/>
        <v>2071.5650000000001</v>
      </c>
      <c r="Q10" s="272">
        <f t="shared" si="3"/>
        <v>2278.7215000000001</v>
      </c>
      <c r="R10" s="40">
        <f>'Tariffs Jan2018'!AM4</f>
        <v>0</v>
      </c>
      <c r="S10" s="40">
        <f>'Tariffs Jan2018'!AN4</f>
        <v>0</v>
      </c>
      <c r="T10" s="40">
        <f>'Tariffs Jan2018'!AO4</f>
        <v>14</v>
      </c>
      <c r="U10" s="40">
        <f>'Tariffs Jan2018'!AP4</f>
        <v>0</v>
      </c>
      <c r="V10" s="273">
        <f t="shared" si="0"/>
        <v>2071.5650000000001</v>
      </c>
      <c r="W10" s="273">
        <f>V10-(P10*T10/100)</f>
        <v>1781.5459000000001</v>
      </c>
      <c r="X10" s="272">
        <f t="shared" si="4"/>
        <v>2278.7215000000001</v>
      </c>
      <c r="Y10" s="272">
        <f t="shared" si="4"/>
        <v>1959.7004900000002</v>
      </c>
      <c r="Z10" s="274">
        <f>'Tariffs Jan2018'!AW4</f>
        <v>0</v>
      </c>
      <c r="AA10" s="274" t="str">
        <f>'Tariffs Jan2018'!AX4</f>
        <v>n</v>
      </c>
      <c r="AB10" s="275" t="str">
        <f>'Tariffs Jan2018'!BE4</f>
        <v>N</v>
      </c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</row>
    <row r="11" spans="1:40" x14ac:dyDescent="0.15">
      <c r="A11" s="270" t="str">
        <f>'Tariffs Jan2018'!F5</f>
        <v>Covau</v>
      </c>
      <c r="B11" s="40" t="str">
        <f>'Tariffs Jan2018'!D5</f>
        <v>Multinet 1</v>
      </c>
      <c r="C11" s="40" t="str">
        <f>'Tariffs Jan2018'!G5</f>
        <v>Smart Saver</v>
      </c>
      <c r="D11" s="59">
        <f>365*'Tariffs Jan2018'!H5/100</f>
        <v>255.5</v>
      </c>
      <c r="E11" s="59">
        <f>IF($C$5*'Tariffs Jan2018'!AK5/'Tariffs Jan2018'!AI5&gt;='Tariffs Jan2018'!J5,( 'Tariffs Jan2018'!J5*'Tariffs Jan2018'!O5/100)* 'Tariffs Jan2018'!AI5,($C$5*'Tariffs Jan2018'!AK5/'Tariffs Jan2018'!AI5*'Tariffs Jan2018'!O5/100)* 'Tariffs Jan2018'!AI5)</f>
        <v>252</v>
      </c>
      <c r="F11" s="59">
        <f>IF($C$5*'Tariffs Jan2018'!AK5/'Tariffs Jan2018'!AI5&lt;'Tariffs Jan2018'!J5,0,IF($C$5*'Tariffs Jan2018'!AK5/'Tariffs Jan2018'!AI5&lt;='Tariffs Jan2018'!K5,($C$5*'Tariffs Jan2018'!AK5/'Tariffs Jan2018'!AI5-'Tariffs Jan2018'!J5)*('Tariffs Jan2018'!P5/100)*'Tariffs Jan2018'!AI5,('Tariffs Jan2018'!K5-'Tariffs Jan2018'!J5)*('Tariffs Jan2018'!P5/100)*'Tariffs Jan2018'!AI5))</f>
        <v>450</v>
      </c>
      <c r="G11" s="59">
        <f>IF($C$5*'Tariffs Jan2018'!AK5/'Tariffs Jan2018'!AI5&lt;'Tariffs Jan2018'!K5,0,IF($C$5*'Tariffs Jan2018'!AK5/'Tariffs Jan2018'!AI5&lt;='Tariffs Jan2018'!L5,($C$5*'Tariffs Jan2018'!AK5/'Tariffs Jan2018'!AI5-'Tariffs Jan2018'!K5)*('Tariffs Jan2018'!Q5/100)*'Tariffs Jan2018'!AI5,('Tariffs Jan2018'!L5-'Tariffs Jan2018'!K5)*('Tariffs Jan2018'!Q5/100)*'Tariffs Jan2018'!AI5))</f>
        <v>94.500000000000014</v>
      </c>
      <c r="H11" s="59">
        <f>IF($C$5*'Tariffs Jan2018'!AK5/'Tariffs Jan2018'!AI5&lt;'Tariffs Jan2018'!L5,0,IF($C$5*'Tariffs Jan2018'!AK5/'Tariffs Jan2018'!AI5&lt;='Tariffs Jan2018'!M5,($C$5*'Tariffs Jan2018'!AK5/'Tariffs Jan2018'!AI5-'Tariffs Jan2018'!L5)*('Tariffs Jan2018'!R5/100)*'Tariffs Jan2018'!AI5,('Tariffs Jan2018'!M5-'Tariffs Jan2018'!L5)*('Tariffs Jan2018'!R5/100)*'Tariffs Jan2018'!AI5))</f>
        <v>0</v>
      </c>
      <c r="I11" s="59">
        <f>IF(($C$5*'Tariffs Jan2018'!AK5/'Tariffs Jan2018'!AI5&gt;'Tariffs Jan2018'!M5),($C$5*'Tariffs Jan2018'!AK5/'Tariffs Jan2018'!AI5-'Tariffs Jan2018'!M5)*'Tariffs Jan2018'!S5/100*'Tariffs Jan2018'!AI5,0)</f>
        <v>0</v>
      </c>
      <c r="J11" s="59">
        <f>IF($C$5*'Tariffs Jan2018'!AL5/'Tariffs Jan2018'!AJ5&gt;='Tariffs Jan2018'!J5,('Tariffs Jan2018'!J5*'Tariffs Jan2018'!U5/100)* 'Tariffs Jan2018'!AJ5,($C$5*'Tariffs Jan2018'!AL5/'Tariffs Jan2018'!AJ5*'Tariffs Jan2018'!U5/100)* 'Tariffs Jan2018'!AJ5)</f>
        <v>242.10000000000002</v>
      </c>
      <c r="K11" s="59">
        <f>IF($C$5*'Tariffs Jan2018'!AL5/'Tariffs Jan2018'!AJ5&lt;'Tariffs Jan2018'!J5,0,IF($C$5*'Tariffs Jan2018'!AL5/'Tariffs Jan2018'!AJ5&lt;='Tariffs Jan2018'!K5,($C$5*'Tariffs Jan2018'!AL5/'Tariffs Jan2018'!AJ5-'Tariffs Jan2018'!J5)*('Tariffs Jan2018'!V5/100)*'Tariffs Jan2018'!AJ5,('Tariffs Jan2018'!K5-'Tariffs Jan2018'!J5)*('Tariffs Jan2018'!V5/100)*'Tariffs Jan2018'!AJ5))</f>
        <v>414</v>
      </c>
      <c r="L11" s="59">
        <f>IF($C$5*'Tariffs Jan2018'!AL5/'Tariffs Jan2018'!AJ5&lt;'Tariffs Jan2018'!K5,0,IF($C$5*'Tariffs Jan2018'!AL5/'Tariffs Jan2018'!AJ5&lt;='Tariffs Jan2018'!L5,($C$5*'Tariffs Jan2018'!AL5/'Tariffs Jan2018'!AJ5-'Tariffs Jan2018'!K5)*('Tariffs Jan2018'!W5/100)*'Tariffs Jan2018'!AJ5,('Tariffs Jan2018'!L5-'Tariffs Jan2018'!K5)*('Tariffs Jan2018'!W5/100)*'Tariffs Jan2018'!AJ5))</f>
        <v>87.75</v>
      </c>
      <c r="M11" s="59">
        <f>IF($C$5*'Tariffs Jan2018'!AL5/'Tariffs Jan2018'!AJ5&lt;'Tariffs Jan2018'!L5,0,IF($C$5*'Tariffs Jan2018'!AL5/'Tariffs Jan2018'!AJ5&lt;='Tariffs Jan2018'!M5,($C$5*'Tariffs Jan2018'!AL5/'Tariffs Jan2018'!AJ5-'Tariffs Jan2018'!L5)*('Tariffs Jan2018'!X5/100)*'Tariffs Jan2018'!AJ5,('Tariffs Jan2018'!M5-'Tariffs Jan2018'!L5)*('Tariffs Jan2018'!X5/100)*'Tariffs Jan2018'!AJ5))</f>
        <v>0</v>
      </c>
      <c r="N11" s="59">
        <f>IF(($C$5*'Tariffs Jan2018'!AL5/'Tariffs Jan2018'!AJ5&gt;'Tariffs Jan2018'!M5),($C$5*'Tariffs Jan2018'!AL5/'Tariffs Jan2018'!AJ5-'Tariffs Jan2018'!M5)*'Tariffs Jan2018'!Y5/100*'Tariffs Jan2018'!AJ5,0)</f>
        <v>0</v>
      </c>
      <c r="O11" s="271">
        <f t="shared" si="1"/>
        <v>1540.35</v>
      </c>
      <c r="P11" s="59">
        <f t="shared" si="2"/>
        <v>1795.85</v>
      </c>
      <c r="Q11" s="272">
        <f t="shared" si="3"/>
        <v>1975.4350000000002</v>
      </c>
      <c r="R11" s="40">
        <f>'Tariffs Jan2018'!AM5</f>
        <v>0</v>
      </c>
      <c r="S11" s="40">
        <f>'Tariffs Jan2018'!AN5</f>
        <v>0</v>
      </c>
      <c r="T11" s="40">
        <f>'Tariffs Jan2018'!AO5</f>
        <v>0</v>
      </c>
      <c r="U11" s="40">
        <f>'Tariffs Jan2018'!AP5</f>
        <v>16</v>
      </c>
      <c r="V11" s="273">
        <f t="shared" si="0"/>
        <v>1795.85</v>
      </c>
      <c r="W11" s="273">
        <f>V11-(O11*U11/100)</f>
        <v>1549.394</v>
      </c>
      <c r="X11" s="272">
        <f t="shared" si="4"/>
        <v>1975.4350000000002</v>
      </c>
      <c r="Y11" s="272">
        <f t="shared" si="4"/>
        <v>1704.3334000000002</v>
      </c>
      <c r="Z11" s="274">
        <f>'Tariffs Jan2018'!AW5</f>
        <v>12</v>
      </c>
      <c r="AA11" s="274" t="str">
        <f>'Tariffs Jan2018'!AX5</f>
        <v>y</v>
      </c>
      <c r="AB11" s="275" t="str">
        <f>'Tariffs Jan2018'!BE5</f>
        <v>N</v>
      </c>
      <c r="AC11" s="321"/>
      <c r="AD11" s="321"/>
      <c r="AE11" s="321"/>
      <c r="AF11" s="321"/>
      <c r="AG11" s="321"/>
      <c r="AH11" s="321"/>
      <c r="AI11" s="321"/>
      <c r="AJ11" s="321"/>
      <c r="AK11" s="321"/>
      <c r="AL11" s="321"/>
      <c r="AM11" s="321"/>
      <c r="AN11" s="321"/>
    </row>
    <row r="12" spans="1:40" x14ac:dyDescent="0.15">
      <c r="A12" s="270" t="str">
        <f>'Tariffs Jan2018'!F6</f>
        <v>Dodo Power &amp; Gas</v>
      </c>
      <c r="B12" s="40" t="str">
        <f>'Tariffs Jan2018'!D6</f>
        <v>Multinet 1</v>
      </c>
      <c r="C12" s="40" t="str">
        <f>'Tariffs Jan2018'!G6</f>
        <v>Market offer</v>
      </c>
      <c r="D12" s="59">
        <f>365*'Tariffs Jan2018'!H6/100</f>
        <v>269.7715</v>
      </c>
      <c r="E12" s="59">
        <f>IF($C$5*'Tariffs Jan2018'!AK6/'Tariffs Jan2018'!AI6&gt;='Tariffs Jan2018'!J6,( 'Tariffs Jan2018'!J6*'Tariffs Jan2018'!O6/100)* 'Tariffs Jan2018'!AI6,($C$5*'Tariffs Jan2018'!AK6/'Tariffs Jan2018'!AI6*'Tariffs Jan2018'!O6/100)* 'Tariffs Jan2018'!AI6)</f>
        <v>457.20000000000005</v>
      </c>
      <c r="F12" s="59">
        <f>IF($C$5*'Tariffs Jan2018'!AK6/'Tariffs Jan2018'!AI6&lt;'Tariffs Jan2018'!J6,0,IF($C$5*'Tariffs Jan2018'!AK6/'Tariffs Jan2018'!AI6&lt;='Tariffs Jan2018'!K6,($C$5*'Tariffs Jan2018'!AK6/'Tariffs Jan2018'!AI6-'Tariffs Jan2018'!J6)*('Tariffs Jan2018'!P6/100)*'Tariffs Jan2018'!AI6,('Tariffs Jan2018'!K6-'Tariffs Jan2018'!J6)*('Tariffs Jan2018'!P6/100)*'Tariffs Jan2018'!AI6))</f>
        <v>172.79999999999998</v>
      </c>
      <c r="G12" s="59">
        <f>IF($C$5*'Tariffs Jan2018'!AK6/'Tariffs Jan2018'!AI6&lt;'Tariffs Jan2018'!K6,0,IF($C$5*'Tariffs Jan2018'!AK6/'Tariffs Jan2018'!AI6&lt;='Tariffs Jan2018'!L6,($C$5*'Tariffs Jan2018'!AK6/'Tariffs Jan2018'!AI6-'Tariffs Jan2018'!K6)*('Tariffs Jan2018'!Q6/100)*'Tariffs Jan2018'!AI6,('Tariffs Jan2018'!L6-'Tariffs Jan2018'!K6)*('Tariffs Jan2018'!Q6/100)*'Tariffs Jan2018'!AI6))</f>
        <v>0</v>
      </c>
      <c r="H12" s="59">
        <f>IF($C$5*'Tariffs Jan2018'!AK6/'Tariffs Jan2018'!AI6&lt;'Tariffs Jan2018'!L6,0,IF($C$5*'Tariffs Jan2018'!AK6/'Tariffs Jan2018'!AI6&lt;='Tariffs Jan2018'!M6,($C$5*'Tariffs Jan2018'!AK6/'Tariffs Jan2018'!AI6-'Tariffs Jan2018'!L6)*('Tariffs Jan2018'!R6/100)*'Tariffs Jan2018'!AI6,('Tariffs Jan2018'!M6-'Tariffs Jan2018'!L6)*('Tariffs Jan2018'!R6/100)*'Tariffs Jan2018'!AI6))</f>
        <v>0</v>
      </c>
      <c r="I12" s="59">
        <f>IF(($C$5*'Tariffs Jan2018'!AK6/'Tariffs Jan2018'!AI6&gt;'Tariffs Jan2018'!M6),($C$5*'Tariffs Jan2018'!AK6/'Tariffs Jan2018'!AI6-'Tariffs Jan2018'!M6)*'Tariffs Jan2018'!S6/100*'Tariffs Jan2018'!AI6,0)</f>
        <v>68.849999999999994</v>
      </c>
      <c r="J12" s="59">
        <f>IF($C$5*'Tariffs Jan2018'!AL6/'Tariffs Jan2018'!AJ6&gt;='Tariffs Jan2018'!J6,('Tariffs Jan2018'!J6*'Tariffs Jan2018'!U6/100)* 'Tariffs Jan2018'!AJ6,($C$5*'Tariffs Jan2018'!AL6/'Tariffs Jan2018'!AJ6*'Tariffs Jan2018'!U6/100)* 'Tariffs Jan2018'!AJ6)</f>
        <v>430.20000000000005</v>
      </c>
      <c r="K12" s="59">
        <f>IF($C$5*'Tariffs Jan2018'!AL6/'Tariffs Jan2018'!AJ6&lt;'Tariffs Jan2018'!J6,0,IF($C$5*'Tariffs Jan2018'!AL6/'Tariffs Jan2018'!AJ6&lt;='Tariffs Jan2018'!K6,($C$5*'Tariffs Jan2018'!AL6/'Tariffs Jan2018'!AJ6-'Tariffs Jan2018'!J6)*('Tariffs Jan2018'!V6/100)*'Tariffs Jan2018'!AJ6,('Tariffs Jan2018'!K6-'Tariffs Jan2018'!J6)*('Tariffs Jan2018'!V6/100)*'Tariffs Jan2018'!AJ6))</f>
        <v>164.7</v>
      </c>
      <c r="L12" s="59">
        <f>IF($C$5*'Tariffs Jan2018'!AL6/'Tariffs Jan2018'!AJ6&lt;'Tariffs Jan2018'!K6,0,IF($C$5*'Tariffs Jan2018'!AL6/'Tariffs Jan2018'!AJ6&lt;='Tariffs Jan2018'!L6,($C$5*'Tariffs Jan2018'!AL6/'Tariffs Jan2018'!AJ6-'Tariffs Jan2018'!K6)*('Tariffs Jan2018'!W6/100)*'Tariffs Jan2018'!AJ6,('Tariffs Jan2018'!L6-'Tariffs Jan2018'!K6)*('Tariffs Jan2018'!W6/100)*'Tariffs Jan2018'!AJ6))</f>
        <v>0</v>
      </c>
      <c r="M12" s="59">
        <f>IF($C$5*'Tariffs Jan2018'!AL6/'Tariffs Jan2018'!AJ6&lt;'Tariffs Jan2018'!L6,0,IF($C$5*'Tariffs Jan2018'!AL6/'Tariffs Jan2018'!AJ6&lt;='Tariffs Jan2018'!M6,($C$5*'Tariffs Jan2018'!AL6/'Tariffs Jan2018'!AJ6-'Tariffs Jan2018'!L6)*('Tariffs Jan2018'!X6/100)*'Tariffs Jan2018'!AJ6,('Tariffs Jan2018'!M6-'Tariffs Jan2018'!L6)*('Tariffs Jan2018'!X6/100)*'Tariffs Jan2018'!AJ6))</f>
        <v>0</v>
      </c>
      <c r="N12" s="59">
        <f>IF(($C$5*'Tariffs Jan2018'!AL6/'Tariffs Jan2018'!AJ6&gt;'Tariffs Jan2018'!M6),($C$5*'Tariffs Jan2018'!AL6/'Tariffs Jan2018'!AJ6-'Tariffs Jan2018'!M6)*'Tariffs Jan2018'!Y6/100*'Tariffs Jan2018'!AJ6,0)</f>
        <v>68.849999999999994</v>
      </c>
      <c r="O12" s="271">
        <f t="shared" si="1"/>
        <v>1362.6000000000001</v>
      </c>
      <c r="P12" s="59">
        <f t="shared" si="2"/>
        <v>1632.3715000000002</v>
      </c>
      <c r="Q12" s="272">
        <f t="shared" si="3"/>
        <v>1795.6086500000004</v>
      </c>
      <c r="R12" s="40">
        <f>'Tariffs Jan2018'!AM6</f>
        <v>0</v>
      </c>
      <c r="S12" s="40">
        <f>'Tariffs Jan2018'!AN6</f>
        <v>0</v>
      </c>
      <c r="T12" s="40">
        <f>'Tariffs Jan2018'!AO6</f>
        <v>0</v>
      </c>
      <c r="U12" s="40">
        <f>'Tariffs Jan2018'!AP6</f>
        <v>0</v>
      </c>
      <c r="V12" s="273">
        <f t="shared" si="0"/>
        <v>1632.3715000000002</v>
      </c>
      <c r="W12" s="273">
        <f>V12</f>
        <v>1632.3715000000002</v>
      </c>
      <c r="X12" s="272">
        <f t="shared" si="4"/>
        <v>1795.6086500000004</v>
      </c>
      <c r="Y12" s="272">
        <f t="shared" si="4"/>
        <v>1795.6086500000004</v>
      </c>
      <c r="Z12" s="274">
        <f>'Tariffs Jan2018'!AW6</f>
        <v>0</v>
      </c>
      <c r="AA12" s="274" t="str">
        <f>'Tariffs Jan2018'!AX6</f>
        <v>n</v>
      </c>
      <c r="AB12" s="275" t="str">
        <f>'Tariffs Jan2018'!BE6</f>
        <v>Y</v>
      </c>
      <c r="AC12" s="321"/>
      <c r="AD12" s="321"/>
      <c r="AE12" s="321"/>
      <c r="AF12" s="321"/>
      <c r="AG12" s="321"/>
      <c r="AH12" s="321"/>
      <c r="AI12" s="321"/>
      <c r="AJ12" s="321"/>
      <c r="AK12" s="321"/>
      <c r="AL12" s="321"/>
      <c r="AM12" s="321"/>
      <c r="AN12" s="321"/>
    </row>
    <row r="13" spans="1:40" x14ac:dyDescent="0.15">
      <c r="A13" s="270" t="str">
        <f>'Tariffs Jan2018'!F7</f>
        <v>EnergyAustralia</v>
      </c>
      <c r="B13" s="40" t="str">
        <f>'Tariffs Jan2018'!D7</f>
        <v>Multinet 1</v>
      </c>
      <c r="C13" s="40" t="str">
        <f>'Tariffs Jan2018'!G7</f>
        <v xml:space="preserve">Flexi Saver </v>
      </c>
      <c r="D13" s="59">
        <f>365*'Tariffs Jan2018'!H7/100</f>
        <v>278.13</v>
      </c>
      <c r="E13" s="59">
        <f>IF($C$5*'Tariffs Jan2018'!AK7/'Tariffs Jan2018'!AI7&gt;='Tariffs Jan2018'!J7,( 'Tariffs Jan2018'!J7*'Tariffs Jan2018'!O7/100)* 'Tariffs Jan2018'!AI7,($C$5*'Tariffs Jan2018'!AK7/'Tariffs Jan2018'!AI7*'Tariffs Jan2018'!O7/100)* 'Tariffs Jan2018'!AI7)</f>
        <v>439.20000000000005</v>
      </c>
      <c r="F13" s="59">
        <f>IF($C$5*'Tariffs Jan2018'!AK7/'Tariffs Jan2018'!AI7&lt;'Tariffs Jan2018'!J7,0,IF($C$5*'Tariffs Jan2018'!AK7/'Tariffs Jan2018'!AI7&lt;='Tariffs Jan2018'!K7,($C$5*'Tariffs Jan2018'!AK7/'Tariffs Jan2018'!AI7-'Tariffs Jan2018'!J7)*('Tariffs Jan2018'!P7/100)*'Tariffs Jan2018'!AI7,('Tariffs Jan2018'!K7-'Tariffs Jan2018'!J7)*('Tariffs Jan2018'!P7/100)*'Tariffs Jan2018'!AI7))</f>
        <v>0</v>
      </c>
      <c r="G13" s="59">
        <f>IF($C$5*'Tariffs Jan2018'!AK7/'Tariffs Jan2018'!AI7&lt;'Tariffs Jan2018'!K7,0,IF($C$5*'Tariffs Jan2018'!AK7/'Tariffs Jan2018'!AI7&lt;='Tariffs Jan2018'!L7,($C$5*'Tariffs Jan2018'!AK7/'Tariffs Jan2018'!AI7-'Tariffs Jan2018'!K7)*('Tariffs Jan2018'!Q7/100)*'Tariffs Jan2018'!AI7,('Tariffs Jan2018'!L7-'Tariffs Jan2018'!K7)*('Tariffs Jan2018'!Q7/100)*'Tariffs Jan2018'!AI7))</f>
        <v>0</v>
      </c>
      <c r="H13" s="59">
        <f>IF($C$5*'Tariffs Jan2018'!AK7/'Tariffs Jan2018'!AI7&lt;'Tariffs Jan2018'!L7,0,IF($C$5*'Tariffs Jan2018'!AK7/'Tariffs Jan2018'!AI7&lt;='Tariffs Jan2018'!M7,($C$5*'Tariffs Jan2018'!AK7/'Tariffs Jan2018'!AI7-'Tariffs Jan2018'!L7)*('Tariffs Jan2018'!R7/100)*'Tariffs Jan2018'!AI7,('Tariffs Jan2018'!M7-'Tariffs Jan2018'!L7)*('Tariffs Jan2018'!R7/100)*'Tariffs Jan2018'!AI7))</f>
        <v>0</v>
      </c>
      <c r="I13" s="59">
        <f>IF(($C$5*'Tariffs Jan2018'!AK7/'Tariffs Jan2018'!AI7&gt;'Tariffs Jan2018'!M7),($C$5*'Tariffs Jan2018'!AK7/'Tariffs Jan2018'!AI7-'Tariffs Jan2018'!M7)*'Tariffs Jan2018'!S7/100*'Tariffs Jan2018'!AI7,0)</f>
        <v>238.95000000000002</v>
      </c>
      <c r="J13" s="59">
        <f>IF($C$5*'Tariffs Jan2018'!AL7/'Tariffs Jan2018'!AJ7&gt;='Tariffs Jan2018'!J7,('Tariffs Jan2018'!J7*'Tariffs Jan2018'!U7/100)* 'Tariffs Jan2018'!AJ7,($C$5*'Tariffs Jan2018'!AL7/'Tariffs Jan2018'!AJ7*'Tariffs Jan2018'!U7/100)* 'Tariffs Jan2018'!AJ7)</f>
        <v>439.20000000000005</v>
      </c>
      <c r="K13" s="59">
        <f>IF($C$5*'Tariffs Jan2018'!AL7/'Tariffs Jan2018'!AJ7&lt;'Tariffs Jan2018'!J7,0,IF($C$5*'Tariffs Jan2018'!AL7/'Tariffs Jan2018'!AJ7&lt;='Tariffs Jan2018'!K7,($C$5*'Tariffs Jan2018'!AL7/'Tariffs Jan2018'!AJ7-'Tariffs Jan2018'!J7)*('Tariffs Jan2018'!V7/100)*'Tariffs Jan2018'!AJ7,('Tariffs Jan2018'!K7-'Tariffs Jan2018'!J7)*('Tariffs Jan2018'!V7/100)*'Tariffs Jan2018'!AJ7))</f>
        <v>0</v>
      </c>
      <c r="L13" s="59">
        <f>IF($C$5*'Tariffs Jan2018'!AL7/'Tariffs Jan2018'!AJ7&lt;'Tariffs Jan2018'!K7,0,IF($C$5*'Tariffs Jan2018'!AL7/'Tariffs Jan2018'!AJ7&lt;='Tariffs Jan2018'!L7,($C$5*'Tariffs Jan2018'!AL7/'Tariffs Jan2018'!AJ7-'Tariffs Jan2018'!K7)*('Tariffs Jan2018'!W7/100)*'Tariffs Jan2018'!AJ7,('Tariffs Jan2018'!L7-'Tariffs Jan2018'!K7)*('Tariffs Jan2018'!W7/100)*'Tariffs Jan2018'!AJ7))</f>
        <v>0</v>
      </c>
      <c r="M13" s="59">
        <f>IF($C$5*'Tariffs Jan2018'!AL7/'Tariffs Jan2018'!AJ7&lt;'Tariffs Jan2018'!L7,0,IF($C$5*'Tariffs Jan2018'!AL7/'Tariffs Jan2018'!AJ7&lt;='Tariffs Jan2018'!M7,($C$5*'Tariffs Jan2018'!AL7/'Tariffs Jan2018'!AJ7-'Tariffs Jan2018'!L7)*('Tariffs Jan2018'!X7/100)*'Tariffs Jan2018'!AJ7,('Tariffs Jan2018'!M7-'Tariffs Jan2018'!L7)*('Tariffs Jan2018'!X7/100)*'Tariffs Jan2018'!AJ7))</f>
        <v>0</v>
      </c>
      <c r="N13" s="59">
        <f>IF(($C$5*'Tariffs Jan2018'!AL7/'Tariffs Jan2018'!AJ7&gt;'Tariffs Jan2018'!M7),($C$5*'Tariffs Jan2018'!AL7/'Tariffs Jan2018'!AJ7-'Tariffs Jan2018'!M7)*'Tariffs Jan2018'!Y7/100*'Tariffs Jan2018'!AJ7,0)</f>
        <v>238.95000000000002</v>
      </c>
      <c r="O13" s="271">
        <f t="shared" si="1"/>
        <v>1356.3000000000002</v>
      </c>
      <c r="P13" s="59">
        <f t="shared" si="2"/>
        <v>1634.4300000000003</v>
      </c>
      <c r="Q13" s="272">
        <f t="shared" si="3"/>
        <v>1797.8730000000005</v>
      </c>
      <c r="R13" s="40">
        <f>'Tariffs Jan2018'!AM7</f>
        <v>0</v>
      </c>
      <c r="S13" s="40">
        <f>'Tariffs Jan2018'!AN7</f>
        <v>0</v>
      </c>
      <c r="T13" s="40">
        <f>'Tariffs Jan2018'!AO7</f>
        <v>0</v>
      </c>
      <c r="U13" s="40">
        <f>'Tariffs Jan2018'!AP7</f>
        <v>15</v>
      </c>
      <c r="V13" s="273">
        <f t="shared" si="0"/>
        <v>1634.4300000000003</v>
      </c>
      <c r="W13" s="273">
        <f>V13-(O13*U13/100)</f>
        <v>1430.9850000000001</v>
      </c>
      <c r="X13" s="272">
        <f t="shared" si="4"/>
        <v>1797.8730000000005</v>
      </c>
      <c r="Y13" s="272">
        <f t="shared" si="4"/>
        <v>1574.0835000000002</v>
      </c>
      <c r="Z13" s="274">
        <f>'Tariffs Jan2018'!AW7</f>
        <v>0</v>
      </c>
      <c r="AA13" s="274" t="str">
        <f>'Tariffs Jan2018'!AX7</f>
        <v>n</v>
      </c>
      <c r="AB13" s="275" t="str">
        <f>'Tariffs Jan2018'!BE7</f>
        <v>N</v>
      </c>
      <c r="AC13" s="321"/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321"/>
    </row>
    <row r="14" spans="1:40" x14ac:dyDescent="0.15">
      <c r="A14" s="270" t="str">
        <f>'Tariffs Jan2018'!F8</f>
        <v>Lumo Energy</v>
      </c>
      <c r="B14" s="40" t="str">
        <f>'Tariffs Jan2018'!D8</f>
        <v>Multinet 1</v>
      </c>
      <c r="C14" s="40" t="str">
        <f>'Tariffs Jan2018'!G8</f>
        <v>Advantage</v>
      </c>
      <c r="D14" s="59">
        <f>365*'Tariffs Jan2018'!H8/100</f>
        <v>240.53500000000003</v>
      </c>
      <c r="E14" s="59">
        <f>IF($C$5*'Tariffs Jan2018'!AK8/'Tariffs Jan2018'!AI8&gt;='Tariffs Jan2018'!J8,( 'Tariffs Jan2018'!J8*'Tariffs Jan2018'!O8/100)* 'Tariffs Jan2018'!AI8,($C$5*'Tariffs Jan2018'!AK8/'Tariffs Jan2018'!AI8*'Tariffs Jan2018'!O8/100)* 'Tariffs Jan2018'!AI8)</f>
        <v>227.7</v>
      </c>
      <c r="F14" s="59">
        <f>IF($C$5*'Tariffs Jan2018'!AK8/'Tariffs Jan2018'!AI8&lt;'Tariffs Jan2018'!J8,0,IF($C$5*'Tariffs Jan2018'!AK8/'Tariffs Jan2018'!AI8&lt;='Tariffs Jan2018'!K8,($C$5*'Tariffs Jan2018'!AK8/'Tariffs Jan2018'!AI8-'Tariffs Jan2018'!J8)*('Tariffs Jan2018'!P8/100)*'Tariffs Jan2018'!AI8,('Tariffs Jan2018'!K8-'Tariffs Jan2018'!J8)*('Tariffs Jan2018'!P8/100)*'Tariffs Jan2018'!AI8))</f>
        <v>198.89999999999998</v>
      </c>
      <c r="G14" s="59">
        <f>IF($C$5*'Tariffs Jan2018'!AK8/'Tariffs Jan2018'!AI8&lt;'Tariffs Jan2018'!K8,0,IF($C$5*'Tariffs Jan2018'!AK8/'Tariffs Jan2018'!AI8&lt;='Tariffs Jan2018'!L8,($C$5*'Tariffs Jan2018'!AK8/'Tariffs Jan2018'!AI8-'Tariffs Jan2018'!K8)*('Tariffs Jan2018'!Q8/100)*'Tariffs Jan2018'!AI8,('Tariffs Jan2018'!L8-'Tariffs Jan2018'!K8)*('Tariffs Jan2018'!Q8/100)*'Tariffs Jan2018'!AI8))</f>
        <v>165.6</v>
      </c>
      <c r="H14" s="59">
        <f>IF($C$5*'Tariffs Jan2018'!AK8/'Tariffs Jan2018'!AI8&lt;'Tariffs Jan2018'!L8,0,IF($C$5*'Tariffs Jan2018'!AK8/'Tariffs Jan2018'!AI8&lt;='Tariffs Jan2018'!M8,($C$5*'Tariffs Jan2018'!AK8/'Tariffs Jan2018'!AI8-'Tariffs Jan2018'!L8)*('Tariffs Jan2018'!R8/100)*'Tariffs Jan2018'!AI8,('Tariffs Jan2018'!M8-'Tariffs Jan2018'!L8)*('Tariffs Jan2018'!R8/100)*'Tariffs Jan2018'!AI8))</f>
        <v>74.25</v>
      </c>
      <c r="I14" s="59">
        <f>IF(($C$5*'Tariffs Jan2018'!AK8/'Tariffs Jan2018'!AI8&gt;'Tariffs Jan2018'!M8),($C$5*'Tariffs Jan2018'!AK8/'Tariffs Jan2018'!AI8-'Tariffs Jan2018'!M8)*'Tariffs Jan2018'!S8/100*'Tariffs Jan2018'!AI8,0)</f>
        <v>0</v>
      </c>
      <c r="J14" s="59">
        <f>IF($C$5*'Tariffs Jan2018'!AL8/'Tariffs Jan2018'!AJ8&gt;='Tariffs Jan2018'!J8,('Tariffs Jan2018'!J8*'Tariffs Jan2018'!U8/100)* 'Tariffs Jan2018'!AJ8,($C$5*'Tariffs Jan2018'!AL8/'Tariffs Jan2018'!AJ8*'Tariffs Jan2018'!U8/100)* 'Tariffs Jan2018'!AJ8)</f>
        <v>215.10000000000002</v>
      </c>
      <c r="K14" s="59">
        <f>IF($C$5*'Tariffs Jan2018'!AL8/'Tariffs Jan2018'!AJ8&lt;'Tariffs Jan2018'!J8,0,IF($C$5*'Tariffs Jan2018'!AL8/'Tariffs Jan2018'!AJ8&lt;='Tariffs Jan2018'!K8,($C$5*'Tariffs Jan2018'!AL8/'Tariffs Jan2018'!AJ8-'Tariffs Jan2018'!J8)*('Tariffs Jan2018'!V8/100)*'Tariffs Jan2018'!AJ8,('Tariffs Jan2018'!K8-'Tariffs Jan2018'!J8)*('Tariffs Jan2018'!V8/100)*'Tariffs Jan2018'!AJ8))</f>
        <v>189.89999999999998</v>
      </c>
      <c r="L14" s="59">
        <f>IF($C$5*'Tariffs Jan2018'!AL8/'Tariffs Jan2018'!AJ8&lt;'Tariffs Jan2018'!K8,0,IF($C$5*'Tariffs Jan2018'!AL8/'Tariffs Jan2018'!AJ8&lt;='Tariffs Jan2018'!L8,($C$5*'Tariffs Jan2018'!AL8/'Tariffs Jan2018'!AJ8-'Tariffs Jan2018'!K8)*('Tariffs Jan2018'!W8/100)*'Tariffs Jan2018'!AJ8,('Tariffs Jan2018'!L8-'Tariffs Jan2018'!K8)*('Tariffs Jan2018'!W8/100)*'Tariffs Jan2018'!AJ8))</f>
        <v>161.1</v>
      </c>
      <c r="M14" s="59">
        <f>IF($C$5*'Tariffs Jan2018'!AL8/'Tariffs Jan2018'!AJ8&lt;'Tariffs Jan2018'!L8,0,IF($C$5*'Tariffs Jan2018'!AL8/'Tariffs Jan2018'!AJ8&lt;='Tariffs Jan2018'!M8,($C$5*'Tariffs Jan2018'!AL8/'Tariffs Jan2018'!AJ8-'Tariffs Jan2018'!L8)*('Tariffs Jan2018'!X8/100)*'Tariffs Jan2018'!AJ8,('Tariffs Jan2018'!M8-'Tariffs Jan2018'!L8)*('Tariffs Jan2018'!X8/100)*'Tariffs Jan2018'!AJ8))</f>
        <v>72.900000000000006</v>
      </c>
      <c r="N14" s="59">
        <f>IF(($C$5*'Tariffs Jan2018'!AL8/'Tariffs Jan2018'!AJ8&gt;'Tariffs Jan2018'!M8),($C$5*'Tariffs Jan2018'!AL8/'Tariffs Jan2018'!AJ8-'Tariffs Jan2018'!M8)*'Tariffs Jan2018'!Y8/100*'Tariffs Jan2018'!AJ8,0)</f>
        <v>0</v>
      </c>
      <c r="O14" s="271">
        <f t="shared" si="1"/>
        <v>1305.4499999999998</v>
      </c>
      <c r="P14" s="59">
        <f t="shared" si="2"/>
        <v>1545.9849999999999</v>
      </c>
      <c r="Q14" s="272">
        <f t="shared" si="3"/>
        <v>1700.5835</v>
      </c>
      <c r="R14" s="40">
        <f>'Tariffs Jan2018'!AM8</f>
        <v>0</v>
      </c>
      <c r="S14" s="40">
        <f>'Tariffs Jan2018'!AN8</f>
        <v>0</v>
      </c>
      <c r="T14" s="40">
        <f>'Tariffs Jan2018'!AO8</f>
        <v>15</v>
      </c>
      <c r="U14" s="40">
        <f>'Tariffs Jan2018'!AP8</f>
        <v>0</v>
      </c>
      <c r="V14" s="273">
        <f t="shared" si="0"/>
        <v>1545.9849999999999</v>
      </c>
      <c r="W14" s="273">
        <f>V14-(P14*T14/100)</f>
        <v>1314.08725</v>
      </c>
      <c r="X14" s="272">
        <f t="shared" si="4"/>
        <v>1700.5835</v>
      </c>
      <c r="Y14" s="272">
        <f t="shared" si="4"/>
        <v>1445.4959750000003</v>
      </c>
      <c r="Z14" s="274">
        <f>'Tariffs Jan2018'!AW8</f>
        <v>0</v>
      </c>
      <c r="AA14" s="274" t="str">
        <f>'Tariffs Jan2018'!AX8</f>
        <v>n</v>
      </c>
      <c r="AB14" s="275" t="str">
        <f>'Tariffs Jan2018'!BE8</f>
        <v>N</v>
      </c>
      <c r="AC14" s="321"/>
      <c r="AD14" s="321"/>
      <c r="AE14" s="321"/>
      <c r="AF14" s="321"/>
      <c r="AG14" s="321"/>
      <c r="AH14" s="321"/>
      <c r="AI14" s="321"/>
      <c r="AJ14" s="321"/>
      <c r="AK14" s="321"/>
      <c r="AL14" s="321"/>
      <c r="AM14" s="321"/>
      <c r="AN14" s="321"/>
    </row>
    <row r="15" spans="1:40" x14ac:dyDescent="0.15">
      <c r="A15" s="270" t="str">
        <f>'Tariffs Jan2018'!F9</f>
        <v>Momentum Energy</v>
      </c>
      <c r="B15" s="40" t="str">
        <f>'Tariffs Jan2018'!D9</f>
        <v>Multinet 1</v>
      </c>
      <c r="C15" s="40" t="str">
        <f>'Tariffs Jan2018'!G9</f>
        <v>Market offer</v>
      </c>
      <c r="D15" s="59">
        <f>365*'Tariffs Jan2018'!H9/100</f>
        <v>273.9325</v>
      </c>
      <c r="E15" s="59">
        <f>IF($C$5*'Tariffs Jan2018'!AK9/'Tariffs Jan2018'!AI9&gt;='Tariffs Jan2018'!J9,( 'Tariffs Jan2018'!J9*'Tariffs Jan2018'!O9/100)* 'Tariffs Jan2018'!AI9,($C$5*'Tariffs Jan2018'!AK9/'Tariffs Jan2018'!AI9*'Tariffs Jan2018'!O9/100)* 'Tariffs Jan2018'!AI9)</f>
        <v>198.99</v>
      </c>
      <c r="F15" s="59">
        <f>IF($C$5*'Tariffs Jan2018'!AK9/'Tariffs Jan2018'!AI9&lt;'Tariffs Jan2018'!J9,0,IF($C$5*'Tariffs Jan2018'!AK9/'Tariffs Jan2018'!AI9&lt;='Tariffs Jan2018'!K9,($C$5*'Tariffs Jan2018'!AK9/'Tariffs Jan2018'!AI9-'Tariffs Jan2018'!J9)*('Tariffs Jan2018'!P9/100)*'Tariffs Jan2018'!AI9,('Tariffs Jan2018'!K9-'Tariffs Jan2018'!J9)*('Tariffs Jan2018'!P9/100)*'Tariffs Jan2018'!AI9))</f>
        <v>176.13</v>
      </c>
      <c r="G15" s="59">
        <f>IF($C$5*'Tariffs Jan2018'!AK9/'Tariffs Jan2018'!AI9&lt;'Tariffs Jan2018'!K9,0,IF($C$5*'Tariffs Jan2018'!AK9/'Tariffs Jan2018'!AI9&lt;='Tariffs Jan2018'!L9,($C$5*'Tariffs Jan2018'!AK9/'Tariffs Jan2018'!AI9-'Tariffs Jan2018'!K9)*('Tariffs Jan2018'!Q9/100)*'Tariffs Jan2018'!AI9,('Tariffs Jan2018'!L9-'Tariffs Jan2018'!K9)*('Tariffs Jan2018'!Q9/100)*'Tariffs Jan2018'!AI9))</f>
        <v>147.87</v>
      </c>
      <c r="H15" s="59">
        <f>IF($C$5*'Tariffs Jan2018'!AK9/'Tariffs Jan2018'!AI9&lt;'Tariffs Jan2018'!L9,0,IF($C$5*'Tariffs Jan2018'!AK9/'Tariffs Jan2018'!AI9&lt;='Tariffs Jan2018'!M9,($C$5*'Tariffs Jan2018'!AK9/'Tariffs Jan2018'!AI9-'Tariffs Jan2018'!L9)*('Tariffs Jan2018'!R9/100)*'Tariffs Jan2018'!AI9,('Tariffs Jan2018'!M9-'Tariffs Jan2018'!L9)*('Tariffs Jan2018'!R9/100)*'Tariffs Jan2018'!AI9))</f>
        <v>66.509999999999991</v>
      </c>
      <c r="I15" s="59">
        <f>IF(($C$5*'Tariffs Jan2018'!AK9/'Tariffs Jan2018'!AI9&gt;'Tariffs Jan2018'!M9),($C$5*'Tariffs Jan2018'!AK9/'Tariffs Jan2018'!AI9-'Tariffs Jan2018'!M9)*'Tariffs Jan2018'!S9/100*'Tariffs Jan2018'!AI9,0)</f>
        <v>0</v>
      </c>
      <c r="J15" s="59">
        <f>IF($C$5*'Tariffs Jan2018'!AL9/'Tariffs Jan2018'!AJ9&gt;='Tariffs Jan2018'!J9,('Tariffs Jan2018'!J9*'Tariffs Jan2018'!U9/100)* 'Tariffs Jan2018'!AJ9,($C$5*'Tariffs Jan2018'!AL9/'Tariffs Jan2018'!AJ9*'Tariffs Jan2018'!U9/100)* 'Tariffs Jan2018'!AJ9)</f>
        <v>175.77</v>
      </c>
      <c r="K15" s="59">
        <f>IF($C$5*'Tariffs Jan2018'!AL9/'Tariffs Jan2018'!AJ9&lt;'Tariffs Jan2018'!J9,0,IF($C$5*'Tariffs Jan2018'!AL9/'Tariffs Jan2018'!AJ9&lt;='Tariffs Jan2018'!K9,($C$5*'Tariffs Jan2018'!AL9/'Tariffs Jan2018'!AJ9-'Tariffs Jan2018'!J9)*('Tariffs Jan2018'!V9/100)*'Tariffs Jan2018'!AJ9,('Tariffs Jan2018'!K9-'Tariffs Jan2018'!J9)*('Tariffs Jan2018'!V9/100)*'Tariffs Jan2018'!AJ9))</f>
        <v>156.96</v>
      </c>
      <c r="L15" s="59">
        <f>IF($C$5*'Tariffs Jan2018'!AL9/'Tariffs Jan2018'!AJ9&lt;'Tariffs Jan2018'!K9,0,IF($C$5*'Tariffs Jan2018'!AL9/'Tariffs Jan2018'!AJ9&lt;='Tariffs Jan2018'!L9,($C$5*'Tariffs Jan2018'!AL9/'Tariffs Jan2018'!AJ9-'Tariffs Jan2018'!K9)*('Tariffs Jan2018'!W9/100)*'Tariffs Jan2018'!AJ9,('Tariffs Jan2018'!L9-'Tariffs Jan2018'!K9)*('Tariffs Jan2018'!W9/100)*'Tariffs Jan2018'!AJ9))</f>
        <v>134.01</v>
      </c>
      <c r="M15" s="59">
        <f>IF($C$5*'Tariffs Jan2018'!AL9/'Tariffs Jan2018'!AJ9&lt;'Tariffs Jan2018'!L9,0,IF($C$5*'Tariffs Jan2018'!AL9/'Tariffs Jan2018'!AJ9&lt;='Tariffs Jan2018'!M9,($C$5*'Tariffs Jan2018'!AL9/'Tariffs Jan2018'!AJ9-'Tariffs Jan2018'!L9)*('Tariffs Jan2018'!X9/100)*'Tariffs Jan2018'!AJ9,('Tariffs Jan2018'!M9-'Tariffs Jan2018'!L9)*('Tariffs Jan2018'!X9/100)*'Tariffs Jan2018'!AJ9))</f>
        <v>60.930000000000007</v>
      </c>
      <c r="N15" s="59">
        <f>IF(($C$5*'Tariffs Jan2018'!AL9/'Tariffs Jan2018'!AJ9&gt;'Tariffs Jan2018'!M9),($C$5*'Tariffs Jan2018'!AL9/'Tariffs Jan2018'!AJ9-'Tariffs Jan2018'!M9)*'Tariffs Jan2018'!Y9/100*'Tariffs Jan2018'!AJ9,0)</f>
        <v>0</v>
      </c>
      <c r="O15" s="271">
        <f t="shared" si="1"/>
        <v>1117.17</v>
      </c>
      <c r="P15" s="59">
        <f t="shared" si="2"/>
        <v>1391.1025</v>
      </c>
      <c r="Q15" s="272">
        <f t="shared" si="3"/>
        <v>1530.2127500000001</v>
      </c>
      <c r="R15" s="40">
        <f>'Tariffs Jan2018'!AM9</f>
        <v>0</v>
      </c>
      <c r="S15" s="40">
        <f>'Tariffs Jan2018'!AN9</f>
        <v>0</v>
      </c>
      <c r="T15" s="40">
        <f>'Tariffs Jan2018'!AO9</f>
        <v>0</v>
      </c>
      <c r="U15" s="40">
        <f>'Tariffs Jan2018'!AP9</f>
        <v>0</v>
      </c>
      <c r="V15" s="273">
        <f t="shared" si="0"/>
        <v>1391.1025</v>
      </c>
      <c r="W15" s="273">
        <f>V15</f>
        <v>1391.1025</v>
      </c>
      <c r="X15" s="272">
        <f t="shared" si="4"/>
        <v>1530.2127500000001</v>
      </c>
      <c r="Y15" s="272">
        <f t="shared" si="4"/>
        <v>1530.2127500000001</v>
      </c>
      <c r="Z15" s="274">
        <f>'Tariffs Jan2018'!AW9</f>
        <v>0</v>
      </c>
      <c r="AA15" s="274" t="str">
        <f>'Tariffs Jan2018'!AX9</f>
        <v>n</v>
      </c>
      <c r="AB15" s="275" t="str">
        <f>'Tariffs Jan2018'!BE9</f>
        <v>Y</v>
      </c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</row>
    <row r="16" spans="1:40" x14ac:dyDescent="0.15">
      <c r="A16" s="270" t="str">
        <f>'Tariffs Jan2018'!F10</f>
        <v>Origin Energy</v>
      </c>
      <c r="B16" s="40" t="str">
        <f>'Tariffs Jan2018'!D10</f>
        <v>Multinet 1</v>
      </c>
      <c r="C16" s="40" t="str">
        <f>'Tariffs Jan2018'!G10</f>
        <v>Saver</v>
      </c>
      <c r="D16" s="59">
        <f>365*'Tariffs Jan2018'!H10/100</f>
        <v>255.5</v>
      </c>
      <c r="E16" s="59">
        <f>IF($C$5*'Tariffs Jan2018'!AK10/'Tariffs Jan2018'!AI10&gt;='Tariffs Jan2018'!J10,( 'Tariffs Jan2018'!J10*'Tariffs Jan2018'!O10/100)* 'Tariffs Jan2018'!AI10,($C$5*'Tariffs Jan2018'!AK10/'Tariffs Jan2018'!AI10*'Tariffs Jan2018'!O10/100)* 'Tariffs Jan2018'!AI10)</f>
        <v>432</v>
      </c>
      <c r="F16" s="59">
        <f>IF($C$5*'Tariffs Jan2018'!AK10/'Tariffs Jan2018'!AI10&lt;'Tariffs Jan2018'!J10,0,IF($C$5*'Tariffs Jan2018'!AK10/'Tariffs Jan2018'!AI10&lt;='Tariffs Jan2018'!K10,($C$5*'Tariffs Jan2018'!AK10/'Tariffs Jan2018'!AI10-'Tariffs Jan2018'!J10)*('Tariffs Jan2018'!P10/100)*'Tariffs Jan2018'!AI10,('Tariffs Jan2018'!K10-'Tariffs Jan2018'!J10)*('Tariffs Jan2018'!P10/100)*'Tariffs Jan2018'!AI10))</f>
        <v>175.5</v>
      </c>
      <c r="G16" s="59">
        <f>IF($C$5*'Tariffs Jan2018'!AK10/'Tariffs Jan2018'!AI10&lt;'Tariffs Jan2018'!K10,0,IF($C$5*'Tariffs Jan2018'!AK10/'Tariffs Jan2018'!AI10&lt;='Tariffs Jan2018'!L10,($C$5*'Tariffs Jan2018'!AK10/'Tariffs Jan2018'!AI10-'Tariffs Jan2018'!K10)*('Tariffs Jan2018'!Q10/100)*'Tariffs Jan2018'!AI10,('Tariffs Jan2018'!L10-'Tariffs Jan2018'!K10)*('Tariffs Jan2018'!Q10/100)*'Tariffs Jan2018'!AI10))</f>
        <v>0</v>
      </c>
      <c r="H16" s="59">
        <f>IF($C$5*'Tariffs Jan2018'!AK10/'Tariffs Jan2018'!AI10&lt;'Tariffs Jan2018'!L10,0,IF($C$5*'Tariffs Jan2018'!AK10/'Tariffs Jan2018'!AI10&lt;='Tariffs Jan2018'!M10,($C$5*'Tariffs Jan2018'!AK10/'Tariffs Jan2018'!AI10-'Tariffs Jan2018'!L10)*('Tariffs Jan2018'!R10/100)*'Tariffs Jan2018'!AI10,('Tariffs Jan2018'!M10-'Tariffs Jan2018'!L10)*('Tariffs Jan2018'!R10/100)*'Tariffs Jan2018'!AI10))</f>
        <v>0</v>
      </c>
      <c r="I16" s="59">
        <f>IF(($C$5*'Tariffs Jan2018'!AK10/'Tariffs Jan2018'!AI10&gt;'Tariffs Jan2018'!M10),($C$5*'Tariffs Jan2018'!AK10/'Tariffs Jan2018'!AI10-'Tariffs Jan2018'!M10)*'Tariffs Jan2018'!S10/100*'Tariffs Jan2018'!AI10,0)</f>
        <v>65.25</v>
      </c>
      <c r="J16" s="59">
        <f>IF($C$5*'Tariffs Jan2018'!AL10/'Tariffs Jan2018'!AJ10&gt;='Tariffs Jan2018'!J10,('Tariffs Jan2018'!J10*'Tariffs Jan2018'!U10/100)* 'Tariffs Jan2018'!AJ10,($C$5*'Tariffs Jan2018'!AL10/'Tariffs Jan2018'!AJ10*'Tariffs Jan2018'!U10/100)* 'Tariffs Jan2018'!AJ10)</f>
        <v>396.00000000000011</v>
      </c>
      <c r="K16" s="59">
        <f>IF($C$5*'Tariffs Jan2018'!AL10/'Tariffs Jan2018'!AJ10&lt;'Tariffs Jan2018'!J10,0,IF($C$5*'Tariffs Jan2018'!AL10/'Tariffs Jan2018'!AJ10&lt;='Tariffs Jan2018'!K10,($C$5*'Tariffs Jan2018'!AL10/'Tariffs Jan2018'!AJ10-'Tariffs Jan2018'!J10)*('Tariffs Jan2018'!V10/100)*'Tariffs Jan2018'!AJ10,('Tariffs Jan2018'!K10-'Tariffs Jan2018'!J10)*('Tariffs Jan2018'!V10/100)*'Tariffs Jan2018'!AJ10))</f>
        <v>157.50000000000003</v>
      </c>
      <c r="L16" s="59">
        <f>IF($C$5*'Tariffs Jan2018'!AL10/'Tariffs Jan2018'!AJ10&lt;'Tariffs Jan2018'!K10,0,IF($C$5*'Tariffs Jan2018'!AL10/'Tariffs Jan2018'!AJ10&lt;='Tariffs Jan2018'!L10,($C$5*'Tariffs Jan2018'!AL10/'Tariffs Jan2018'!AJ10-'Tariffs Jan2018'!K10)*('Tariffs Jan2018'!W10/100)*'Tariffs Jan2018'!AJ10,('Tariffs Jan2018'!L10-'Tariffs Jan2018'!K10)*('Tariffs Jan2018'!W10/100)*'Tariffs Jan2018'!AJ10))</f>
        <v>0</v>
      </c>
      <c r="M16" s="59">
        <f>IF($C$5*'Tariffs Jan2018'!AL10/'Tariffs Jan2018'!AJ10&lt;'Tariffs Jan2018'!L10,0,IF($C$5*'Tariffs Jan2018'!AL10/'Tariffs Jan2018'!AJ10&lt;='Tariffs Jan2018'!M10,($C$5*'Tariffs Jan2018'!AL10/'Tariffs Jan2018'!AJ10-'Tariffs Jan2018'!L10)*('Tariffs Jan2018'!X10/100)*'Tariffs Jan2018'!AJ10,('Tariffs Jan2018'!M10-'Tariffs Jan2018'!L10)*('Tariffs Jan2018'!X10/100)*'Tariffs Jan2018'!AJ10))</f>
        <v>0</v>
      </c>
      <c r="N16" s="59">
        <f>IF(($C$5*'Tariffs Jan2018'!AL10/'Tariffs Jan2018'!AJ10&gt;'Tariffs Jan2018'!M10),($C$5*'Tariffs Jan2018'!AL10/'Tariffs Jan2018'!AJ10-'Tariffs Jan2018'!M10)*'Tariffs Jan2018'!Y10/100*'Tariffs Jan2018'!AJ10,0)</f>
        <v>60.750000000000014</v>
      </c>
      <c r="O16" s="271">
        <f t="shared" si="1"/>
        <v>1287</v>
      </c>
      <c r="P16" s="59">
        <f t="shared" si="2"/>
        <v>1542.5</v>
      </c>
      <c r="Q16" s="272">
        <f t="shared" si="3"/>
        <v>1696.7500000000002</v>
      </c>
      <c r="R16" s="40">
        <f>'Tariffs Jan2018'!AM10</f>
        <v>0</v>
      </c>
      <c r="S16" s="40">
        <f>'Tariffs Jan2018'!AN10</f>
        <v>0</v>
      </c>
      <c r="T16" s="40">
        <f>'Tariffs Jan2018'!AO10</f>
        <v>0</v>
      </c>
      <c r="U16" s="40">
        <f>'Tariffs Jan2018'!AP10</f>
        <v>13</v>
      </c>
      <c r="V16" s="273">
        <f t="shared" si="0"/>
        <v>1542.5</v>
      </c>
      <c r="W16" s="273">
        <f>V16-(O16*U16/100)</f>
        <v>1375.19</v>
      </c>
      <c r="X16" s="272">
        <f t="shared" si="4"/>
        <v>1696.7500000000002</v>
      </c>
      <c r="Y16" s="272">
        <f t="shared" si="4"/>
        <v>1512.7090000000003</v>
      </c>
      <c r="Z16" s="274">
        <f>'Tariffs Jan2018'!AW10</f>
        <v>0</v>
      </c>
      <c r="AA16" s="274" t="str">
        <f>'Tariffs Jan2018'!AX10</f>
        <v>n</v>
      </c>
      <c r="AB16" s="275" t="str">
        <f>'Tariffs Jan2018'!BE10</f>
        <v>N</v>
      </c>
      <c r="AC16" s="321"/>
      <c r="AD16" s="321"/>
      <c r="AE16" s="321"/>
      <c r="AF16" s="321"/>
      <c r="AG16" s="321"/>
      <c r="AH16" s="321"/>
      <c r="AI16" s="321"/>
      <c r="AJ16" s="321"/>
      <c r="AK16" s="321"/>
      <c r="AL16" s="321"/>
      <c r="AM16" s="321"/>
      <c r="AN16" s="321"/>
    </row>
    <row r="17" spans="1:40" x14ac:dyDescent="0.15">
      <c r="A17" s="270" t="str">
        <f>'Tariffs Jan2018'!F11</f>
        <v>Red Energy</v>
      </c>
      <c r="B17" s="40" t="str">
        <f>'Tariffs Jan2018'!D11</f>
        <v>Multinet 1</v>
      </c>
      <c r="C17" s="40" t="str">
        <f>'Tariffs Jan2018'!G11</f>
        <v>Living Energy Saver</v>
      </c>
      <c r="D17" s="59">
        <f>365*'Tariffs Jan2018'!H11/100</f>
        <v>259.51499999999999</v>
      </c>
      <c r="E17" s="59">
        <f>IF($C$5*'Tariffs Jan2018'!AK11/'Tariffs Jan2018'!AI11&gt;='Tariffs Jan2018'!J11,( 'Tariffs Jan2018'!J11*'Tariffs Jan2018'!O11/100)* 'Tariffs Jan2018'!AI11,($C$5*'Tariffs Jan2018'!AK11/'Tariffs Jan2018'!AI11*'Tariffs Jan2018'!O11/100)* 'Tariffs Jan2018'!AI11)</f>
        <v>326.70000000000005</v>
      </c>
      <c r="F17" s="59">
        <f>IF($C$5*'Tariffs Jan2018'!AK11/'Tariffs Jan2018'!AI11&lt;'Tariffs Jan2018'!J11,0,IF($C$5*'Tariffs Jan2018'!AK11/'Tariffs Jan2018'!AI11&lt;='Tariffs Jan2018'!K11,($C$5*'Tariffs Jan2018'!AK11/'Tariffs Jan2018'!AI11-'Tariffs Jan2018'!J11)*('Tariffs Jan2018'!P11/100)*'Tariffs Jan2018'!AI11,('Tariffs Jan2018'!K11-'Tariffs Jan2018'!J11)*('Tariffs Jan2018'!P11/100)*'Tariffs Jan2018'!AI11))</f>
        <v>121.94999999999999</v>
      </c>
      <c r="G17" s="59">
        <f>IF($C$5*'Tariffs Jan2018'!AK11/'Tariffs Jan2018'!AI11&lt;'Tariffs Jan2018'!K11,0,IF($C$5*'Tariffs Jan2018'!AK11/'Tariffs Jan2018'!AI11&lt;='Tariffs Jan2018'!L11,($C$5*'Tariffs Jan2018'!AK11/'Tariffs Jan2018'!AI11-'Tariffs Jan2018'!K11)*('Tariffs Jan2018'!S11/100)*'Tariffs Jan2018'!AI11,('Tariffs Jan2018'!L11-'Tariffs Jan2018'!K11)*('Tariffs Jan2018'!S11/100)*'Tariffs Jan2018'!AI11))</f>
        <v>0</v>
      </c>
      <c r="H17" s="59">
        <f>IF($C$5*'Tariffs Jan2018'!AK11/'Tariffs Jan2018'!AI11&lt;'Tariffs Jan2018'!L11,0,IF($C$5*'Tariffs Jan2018'!AK11/'Tariffs Jan2018'!AI11&lt;='Tariffs Jan2018'!M11,($C$5*'Tariffs Jan2018'!AK11/'Tariffs Jan2018'!AI11-'Tariffs Jan2018'!L11)*('Tariffs Jan2018'!R11/100)*'Tariffs Jan2018'!AI11,('Tariffs Jan2018'!M11-'Tariffs Jan2018'!L11)*('Tariffs Jan2018'!R11/100)*'Tariffs Jan2018'!AI11))</f>
        <v>0</v>
      </c>
      <c r="I17" s="59">
        <f>IF(($C$5*'Tariffs Jan2018'!AK11/'Tariffs Jan2018'!AI11&gt;'Tariffs Jan2018'!M11),($C$5*'Tariffs Jan2018'!AK11/'Tariffs Jan2018'!AI11-'Tariffs Jan2018'!M11)*'Tariffs Jan2018'!S11/100*'Tariffs Jan2018'!AI11,0)</f>
        <v>52.335000000000001</v>
      </c>
      <c r="J17" s="59">
        <f>IF($C$5*'Tariffs Jan2018'!AL11/'Tariffs Jan2018'!AJ11&gt;='Tariffs Jan2018'!J11,('Tariffs Jan2018'!J11*'Tariffs Jan2018'!U11/100)* 'Tariffs Jan2018'!AJ11,($C$5*'Tariffs Jan2018'!AL11/'Tariffs Jan2018'!AJ11*'Tariffs Jan2018'!U11/100)* 'Tariffs Jan2018'!AJ11)</f>
        <v>331.20000000000005</v>
      </c>
      <c r="K17" s="59">
        <f>IF($C$5*'Tariffs Jan2018'!AL11/'Tariffs Jan2018'!AJ11&lt;'Tariffs Jan2018'!J11,0,IF($C$5*'Tariffs Jan2018'!AL11/'Tariffs Jan2018'!AJ11&lt;='Tariffs Jan2018'!K11,($C$5*'Tariffs Jan2018'!AL11/'Tariffs Jan2018'!AJ11-'Tariffs Jan2018'!J11)*('Tariffs Jan2018'!V11/100)*'Tariffs Jan2018'!AJ11,('Tariffs Jan2018'!K11-'Tariffs Jan2018'!J11)*('Tariffs Jan2018'!V11/100)*'Tariffs Jan2018'!AJ11))</f>
        <v>121.50000000000003</v>
      </c>
      <c r="L17" s="59">
        <f>IF($C$5*'Tariffs Jan2018'!AL11/'Tariffs Jan2018'!AJ11&lt;'Tariffs Jan2018'!K11,0,IF($C$5*'Tariffs Jan2018'!AL11/'Tariffs Jan2018'!AJ11&lt;='Tariffs Jan2018'!L11,($C$5*'Tariffs Jan2018'!AL11/'Tariffs Jan2018'!AJ11-'Tariffs Jan2018'!K11)*('Tariffs Jan2018'!Y11/100)*'Tariffs Jan2018'!AJ11,('Tariffs Jan2018'!L11-'Tariffs Jan2018'!K11)*('Tariffs Jan2018'!Y11/100)*'Tariffs Jan2018'!AJ11))</f>
        <v>0</v>
      </c>
      <c r="M17" s="59">
        <f>IF($C$5*'Tariffs Jan2018'!AL11/'Tariffs Jan2018'!AJ11&lt;'Tariffs Jan2018'!L11,0,IF($C$5*'Tariffs Jan2018'!AL11/'Tariffs Jan2018'!AJ11&lt;='Tariffs Jan2018'!M11,($C$5*'Tariffs Jan2018'!AL11/'Tariffs Jan2018'!AJ11-'Tariffs Jan2018'!L11)*('Tariffs Jan2018'!X11/100)*'Tariffs Jan2018'!AJ11,('Tariffs Jan2018'!M11-'Tariffs Jan2018'!L11)*('Tariffs Jan2018'!X11/100)*'Tariffs Jan2018'!AJ11))</f>
        <v>0</v>
      </c>
      <c r="N17" s="59">
        <f>IF(($C$5*'Tariffs Jan2018'!AL11/'Tariffs Jan2018'!AJ11&gt;'Tariffs Jan2018'!M11),($C$5*'Tariffs Jan2018'!AL11/'Tariffs Jan2018'!AJ11-'Tariffs Jan2018'!M11)*'Tariffs Jan2018'!Y11/100*'Tariffs Jan2018'!AJ11,0)</f>
        <v>52.335000000000001</v>
      </c>
      <c r="O17" s="271">
        <f t="shared" si="1"/>
        <v>1006.0200000000001</v>
      </c>
      <c r="P17" s="59">
        <f t="shared" si="2"/>
        <v>1265.5350000000001</v>
      </c>
      <c r="Q17" s="272">
        <f t="shared" si="3"/>
        <v>1392.0885000000003</v>
      </c>
      <c r="R17" s="40">
        <f>'Tariffs Jan2018'!AM11</f>
        <v>0</v>
      </c>
      <c r="S17" s="40">
        <f>'Tariffs Jan2018'!AN11</f>
        <v>0</v>
      </c>
      <c r="T17" s="40">
        <f>'Tariffs Jan2018'!AO11</f>
        <v>10</v>
      </c>
      <c r="U17" s="40">
        <f>'Tariffs Jan2018'!AP11</f>
        <v>0</v>
      </c>
      <c r="V17" s="273">
        <f t="shared" si="0"/>
        <v>1265.5350000000001</v>
      </c>
      <c r="W17" s="273">
        <f>V17-(P17*T17/100)</f>
        <v>1138.9815000000001</v>
      </c>
      <c r="X17" s="272">
        <f t="shared" si="4"/>
        <v>1392.0885000000003</v>
      </c>
      <c r="Y17" s="272">
        <f t="shared" si="4"/>
        <v>1252.8796500000003</v>
      </c>
      <c r="Z17" s="274">
        <f>'Tariffs Jan2018'!AW11</f>
        <v>0</v>
      </c>
      <c r="AA17" s="274" t="str">
        <f>'Tariffs Jan2018'!AX11</f>
        <v>n</v>
      </c>
      <c r="AB17" s="275" t="str">
        <f>'Tariffs Jan2018'!BE11</f>
        <v>Y</v>
      </c>
      <c r="AC17" s="321"/>
      <c r="AD17" s="321"/>
      <c r="AE17" s="321"/>
      <c r="AF17" s="321"/>
      <c r="AG17" s="321"/>
      <c r="AH17" s="321"/>
      <c r="AI17" s="321"/>
      <c r="AJ17" s="321"/>
      <c r="AK17" s="321"/>
      <c r="AL17" s="321"/>
      <c r="AM17" s="321"/>
      <c r="AN17" s="321"/>
    </row>
    <row r="18" spans="1:40" x14ac:dyDescent="0.15">
      <c r="A18" s="270" t="str">
        <f>'Tariffs Jan2018'!F12</f>
        <v>Simply Energy</v>
      </c>
      <c r="B18" s="40" t="str">
        <f>'Tariffs Jan2018'!D12</f>
        <v>Multinet 1</v>
      </c>
      <c r="C18" s="40" t="str">
        <f>'Tariffs Jan2018'!G12</f>
        <v>Plus</v>
      </c>
      <c r="D18" s="59">
        <f>365*'Tariffs Jan2018'!H12/100</f>
        <v>255.86499999999995</v>
      </c>
      <c r="E18" s="59">
        <f>IF($C$5*'Tariffs Jan2018'!AK12/'Tariffs Jan2018'!AI12&gt;='Tariffs Jan2018'!J12,( 'Tariffs Jan2018'!J12*'Tariffs Jan2018'!O12/100)* 'Tariffs Jan2018'!AI12,($C$5*'Tariffs Jan2018'!AK12/'Tariffs Jan2018'!AI12*'Tariffs Jan2018'!O12/100)* 'Tariffs Jan2018'!AI12)</f>
        <v>265.5</v>
      </c>
      <c r="F18" s="59">
        <f>IF($C$5*'Tariffs Jan2018'!AK12/'Tariffs Jan2018'!AI12&lt;'Tariffs Jan2018'!J12,0,IF($C$5*'Tariffs Jan2018'!AK12/'Tariffs Jan2018'!AI12&lt;='Tariffs Jan2018'!K12,($C$5*'Tariffs Jan2018'!AK12/'Tariffs Jan2018'!AI12-'Tariffs Jan2018'!J12)*('Tariffs Jan2018'!P12/100)*'Tariffs Jan2018'!AI12,('Tariffs Jan2018'!K12-'Tariffs Jan2018'!J12)*('Tariffs Jan2018'!P12/100)*'Tariffs Jan2018'!AI12))</f>
        <v>236.70000000000002</v>
      </c>
      <c r="G18" s="59">
        <f>IF($C$5*'Tariffs Jan2018'!AK12/'Tariffs Jan2018'!AI12&lt;'Tariffs Jan2018'!K12,0,IF($C$5*'Tariffs Jan2018'!AK12/'Tariffs Jan2018'!AI12&lt;='Tariffs Jan2018'!L12,($C$5*'Tariffs Jan2018'!AK12/'Tariffs Jan2018'!AI12-'Tariffs Jan2018'!K12)*('Tariffs Jan2018'!Q12/100)*'Tariffs Jan2018'!AI12,('Tariffs Jan2018'!L12-'Tariffs Jan2018'!K12)*('Tariffs Jan2018'!Q12/100)*'Tariffs Jan2018'!AI12))</f>
        <v>202.5</v>
      </c>
      <c r="H18" s="59">
        <f>IF($C$5*'Tariffs Jan2018'!AK12/'Tariffs Jan2018'!AI12&lt;'Tariffs Jan2018'!L12,0,IF($C$5*'Tariffs Jan2018'!AK12/'Tariffs Jan2018'!AI12&lt;='Tariffs Jan2018'!M12,($C$5*'Tariffs Jan2018'!AK12/'Tariffs Jan2018'!AI12-'Tariffs Jan2018'!L12)*('Tariffs Jan2018'!R12/100)*'Tariffs Jan2018'!AI12,('Tariffs Jan2018'!M12-'Tariffs Jan2018'!L12)*('Tariffs Jan2018'!R12/100)*'Tariffs Jan2018'!AI12))</f>
        <v>91.800000000000011</v>
      </c>
      <c r="I18" s="59">
        <f>IF(($C$5*'Tariffs Jan2018'!AK12/'Tariffs Jan2018'!AI12&gt;'Tariffs Jan2018'!M12),($C$5*'Tariffs Jan2018'!AK12/'Tariffs Jan2018'!AI12-'Tariffs Jan2018'!M12)*'Tariffs Jan2018'!S12/100*'Tariffs Jan2018'!AI12,0)</f>
        <v>0</v>
      </c>
      <c r="J18" s="59">
        <f>IF($C$5*'Tariffs Jan2018'!AL12/'Tariffs Jan2018'!AJ12&gt;='Tariffs Jan2018'!J12,('Tariffs Jan2018'!J12*'Tariffs Jan2018'!U12/100)* 'Tariffs Jan2018'!AJ12,($C$5*'Tariffs Jan2018'!AL12/'Tariffs Jan2018'!AJ12*'Tariffs Jan2018'!U12/100)* 'Tariffs Jan2018'!AJ12)</f>
        <v>250.20000000000002</v>
      </c>
      <c r="K18" s="59">
        <f>IF($C$5*'Tariffs Jan2018'!AL12/'Tariffs Jan2018'!AJ12&lt;'Tariffs Jan2018'!J12,0,IF($C$5*'Tariffs Jan2018'!AL12/'Tariffs Jan2018'!AJ12&lt;='Tariffs Jan2018'!K12,($C$5*'Tariffs Jan2018'!AL12/'Tariffs Jan2018'!AJ12-'Tariffs Jan2018'!J12)*('Tariffs Jan2018'!V12/100)*'Tariffs Jan2018'!AJ12,('Tariffs Jan2018'!K12-'Tariffs Jan2018'!J12)*('Tariffs Jan2018'!V12/100)*'Tariffs Jan2018'!AJ12))</f>
        <v>225.89999999999998</v>
      </c>
      <c r="L18" s="59">
        <f>IF($C$5*'Tariffs Jan2018'!AL12/'Tariffs Jan2018'!AJ12&lt;'Tariffs Jan2018'!K12,0,IF($C$5*'Tariffs Jan2018'!AL12/'Tariffs Jan2018'!AJ12&lt;='Tariffs Jan2018'!L12,($C$5*'Tariffs Jan2018'!AL12/'Tariffs Jan2018'!AJ12-'Tariffs Jan2018'!K12)*('Tariffs Jan2018'!W12/100)*'Tariffs Jan2018'!AJ12,('Tariffs Jan2018'!L12-'Tariffs Jan2018'!K12)*('Tariffs Jan2018'!W12/100)*'Tariffs Jan2018'!AJ12))</f>
        <v>197.10000000000002</v>
      </c>
      <c r="M18" s="59">
        <f>IF($C$5*'Tariffs Jan2018'!AL12/'Tariffs Jan2018'!AJ12&lt;'Tariffs Jan2018'!L12,0,IF($C$5*'Tariffs Jan2018'!AL12/'Tariffs Jan2018'!AJ12&lt;='Tariffs Jan2018'!M12,($C$5*'Tariffs Jan2018'!AL12/'Tariffs Jan2018'!AJ12-'Tariffs Jan2018'!L12)*('Tariffs Jan2018'!X12/100)*'Tariffs Jan2018'!AJ12,('Tariffs Jan2018'!M12-'Tariffs Jan2018'!L12)*('Tariffs Jan2018'!X12/100)*'Tariffs Jan2018'!AJ12))</f>
        <v>90.449999999999989</v>
      </c>
      <c r="N18" s="59">
        <f>IF(($C$5*'Tariffs Jan2018'!AL12/'Tariffs Jan2018'!AJ12&gt;'Tariffs Jan2018'!M12),($C$5*'Tariffs Jan2018'!AL12/'Tariffs Jan2018'!AJ12-'Tariffs Jan2018'!M12)*'Tariffs Jan2018'!Y12/100*'Tariffs Jan2018'!AJ12,0)</f>
        <v>0</v>
      </c>
      <c r="O18" s="271">
        <f t="shared" si="1"/>
        <v>1560.1499999999999</v>
      </c>
      <c r="P18" s="59">
        <f t="shared" si="2"/>
        <v>1816.0149999999999</v>
      </c>
      <c r="Q18" s="272">
        <f t="shared" si="3"/>
        <v>1997.6165000000001</v>
      </c>
      <c r="R18" s="40">
        <f>'Tariffs Jan2018'!AM12</f>
        <v>0</v>
      </c>
      <c r="S18" s="40">
        <f>'Tariffs Jan2018'!AN12</f>
        <v>0</v>
      </c>
      <c r="T18" s="40">
        <f>'Tariffs Jan2018'!AO12</f>
        <v>0</v>
      </c>
      <c r="U18" s="40">
        <f>'Tariffs Jan2018'!AP12</f>
        <v>20</v>
      </c>
      <c r="V18" s="273">
        <f t="shared" si="0"/>
        <v>1816.0149999999999</v>
      </c>
      <c r="W18" s="273">
        <f>V18-(O18*U18/100)</f>
        <v>1503.9849999999999</v>
      </c>
      <c r="X18" s="272">
        <f t="shared" si="4"/>
        <v>1997.6165000000001</v>
      </c>
      <c r="Y18" s="272">
        <f t="shared" si="4"/>
        <v>1654.3834999999999</v>
      </c>
      <c r="Z18" s="274">
        <f>'Tariffs Jan2018'!AW12</f>
        <v>0</v>
      </c>
      <c r="AA18" s="274" t="str">
        <f>'Tariffs Jan2018'!AX12</f>
        <v>n</v>
      </c>
      <c r="AB18" s="275" t="str">
        <f>'Tariffs Jan2018'!BE12</f>
        <v>Y</v>
      </c>
      <c r="AC18" s="321"/>
      <c r="AD18" s="321"/>
      <c r="AE18" s="321"/>
      <c r="AF18" s="321"/>
      <c r="AG18" s="321"/>
      <c r="AH18" s="321"/>
      <c r="AI18" s="321"/>
      <c r="AJ18" s="321"/>
      <c r="AK18" s="321"/>
      <c r="AL18" s="321"/>
      <c r="AM18" s="321"/>
      <c r="AN18" s="321"/>
    </row>
    <row r="19" spans="1:40" x14ac:dyDescent="0.15">
      <c r="A19" s="270" t="str">
        <f>'Tariffs Jan2018'!F13</f>
        <v>Sumo Power</v>
      </c>
      <c r="B19" s="40" t="str">
        <f>'Tariffs Jan2018'!D13</f>
        <v>Multinet 1</v>
      </c>
      <c r="C19" s="40" t="str">
        <f>'Tariffs Jan2018'!G13</f>
        <v>Pay on time</v>
      </c>
      <c r="D19" s="59">
        <f>365*'Tariffs Jan2018'!H13/100</f>
        <v>284.11600000000004</v>
      </c>
      <c r="E19" s="59">
        <f>IF($C$5*'Tariffs Jan2018'!AK13/'Tariffs Jan2018'!AI13&gt;='Tariffs Jan2018'!J13,( 'Tariffs Jan2018'!J13*'Tariffs Jan2018'!O13/100)* 'Tariffs Jan2018'!AI13,($C$5*'Tariffs Jan2018'!AK13/'Tariffs Jan2018'!AI13*'Tariffs Jan2018'!O13/100)* 'Tariffs Jan2018'!AI13)</f>
        <v>279.45000000000005</v>
      </c>
      <c r="F19" s="59">
        <f>IF($C$5*'Tariffs Jan2018'!AK13/'Tariffs Jan2018'!AI13&lt;'Tariffs Jan2018'!J13,0,IF($C$5*'Tariffs Jan2018'!AK13/'Tariffs Jan2018'!AI13&lt;='Tariffs Jan2018'!K13,($C$5*'Tariffs Jan2018'!AK13/'Tariffs Jan2018'!AI13-'Tariffs Jan2018'!J13)*('Tariffs Jan2018'!P13/100)*'Tariffs Jan2018'!AI13,('Tariffs Jan2018'!K13-'Tariffs Jan2018'!J13)*('Tariffs Jan2018'!P13/100)*'Tariffs Jan2018'!AI13))</f>
        <v>237.60000000000002</v>
      </c>
      <c r="G19" s="59">
        <f>IF($C$5*'Tariffs Jan2018'!AK13/'Tariffs Jan2018'!AI13&lt;'Tariffs Jan2018'!K13,0,IF($C$5*'Tariffs Jan2018'!AK13/'Tariffs Jan2018'!AI13&lt;='Tariffs Jan2018'!L13,($C$5*'Tariffs Jan2018'!AK13/'Tariffs Jan2018'!AI13-'Tariffs Jan2018'!K13)*('Tariffs Jan2018'!S13/100)*'Tariffs Jan2018'!AI13,('Tariffs Jan2018'!L13-'Tariffs Jan2018'!K13)*('Tariffs Jan2018'!S13/100)*'Tariffs Jan2018'!AI13))</f>
        <v>166.86</v>
      </c>
      <c r="H19" s="59">
        <f>IF($C$5*'Tariffs Jan2018'!AK13/'Tariffs Jan2018'!AI13&lt;'Tariffs Jan2018'!L13,0,IF($C$5*'Tariffs Jan2018'!AK13/'Tariffs Jan2018'!AI13&lt;='Tariffs Jan2018'!M13,($C$5*'Tariffs Jan2018'!AK13/'Tariffs Jan2018'!AI13-'Tariffs Jan2018'!L13)*('Tariffs Jan2018'!R13/100)*'Tariffs Jan2018'!AI13,('Tariffs Jan2018'!M13-'Tariffs Jan2018'!L13)*('Tariffs Jan2018'!R13/100)*'Tariffs Jan2018'!AI13))</f>
        <v>0</v>
      </c>
      <c r="I19" s="59">
        <f>IF(($C$5*'Tariffs Jan2018'!AK13/'Tariffs Jan2018'!AI13&gt;'Tariffs Jan2018'!M13),($C$5*'Tariffs Jan2018'!AK13/'Tariffs Jan2018'!AI13-'Tariffs Jan2018'!M13)*'Tariffs Jan2018'!S13/100*'Tariffs Jan2018'!AI13,0)</f>
        <v>83.429999999999993</v>
      </c>
      <c r="J19" s="59">
        <f>IF($C$5*'Tariffs Jan2018'!AL13/'Tariffs Jan2018'!AJ13&gt;='Tariffs Jan2018'!J13,('Tariffs Jan2018'!J13*'Tariffs Jan2018'!U13/100)* 'Tariffs Jan2018'!AJ13,($C$5*'Tariffs Jan2018'!AL13/'Tariffs Jan2018'!AJ13*'Tariffs Jan2018'!U13/100)* 'Tariffs Jan2018'!AJ13)</f>
        <v>261.36</v>
      </c>
      <c r="K19" s="59">
        <f>IF($C$5*'Tariffs Jan2018'!AL13/'Tariffs Jan2018'!AJ13&lt;'Tariffs Jan2018'!J13,0,IF($C$5*'Tariffs Jan2018'!AL13/'Tariffs Jan2018'!AJ13&lt;='Tariffs Jan2018'!K13,($C$5*'Tariffs Jan2018'!AL13/'Tariffs Jan2018'!AJ13-'Tariffs Jan2018'!J13)*('Tariffs Jan2018'!V13/100)*'Tariffs Jan2018'!AJ13,('Tariffs Jan2018'!K13-'Tariffs Jan2018'!J13)*('Tariffs Jan2018'!V13/100)*'Tariffs Jan2018'!AJ13))</f>
        <v>222.21000000000004</v>
      </c>
      <c r="L19" s="59">
        <f>IF($C$5*'Tariffs Jan2018'!AL13/'Tariffs Jan2018'!AJ13&lt;'Tariffs Jan2018'!K13,0,IF($C$5*'Tariffs Jan2018'!AL13/'Tariffs Jan2018'!AJ13&lt;='Tariffs Jan2018'!L13,($C$5*'Tariffs Jan2018'!AL13/'Tariffs Jan2018'!AJ13-'Tariffs Jan2018'!K13)*('Tariffs Jan2018'!Y13/100)*'Tariffs Jan2018'!AJ13,('Tariffs Jan2018'!L13-'Tariffs Jan2018'!K13)*('Tariffs Jan2018'!Y13/100)*'Tariffs Jan2018'!AJ13))</f>
        <v>165.24</v>
      </c>
      <c r="M19" s="59">
        <f>IF($C$5*'Tariffs Jan2018'!AL13/'Tariffs Jan2018'!AJ13&lt;'Tariffs Jan2018'!L13,0,IF($C$5*'Tariffs Jan2018'!AL13/'Tariffs Jan2018'!AJ13&lt;='Tariffs Jan2018'!M13,($C$5*'Tariffs Jan2018'!AL13/'Tariffs Jan2018'!AJ13-'Tariffs Jan2018'!L13)*('Tariffs Jan2018'!X13/100)*'Tariffs Jan2018'!AJ13,('Tariffs Jan2018'!M13-'Tariffs Jan2018'!L13)*('Tariffs Jan2018'!X13/100)*'Tariffs Jan2018'!AJ13))</f>
        <v>0</v>
      </c>
      <c r="N19" s="59">
        <f>IF(($C$5*'Tariffs Jan2018'!AL13/'Tariffs Jan2018'!AJ13&gt;'Tariffs Jan2018'!M13),($C$5*'Tariffs Jan2018'!AL13/'Tariffs Jan2018'!AJ13-'Tariffs Jan2018'!M13)*'Tariffs Jan2018'!Y13/100*'Tariffs Jan2018'!AJ13,0)</f>
        <v>82.62</v>
      </c>
      <c r="O19" s="271">
        <f>SUM(E19:N19)</f>
        <v>1498.77</v>
      </c>
      <c r="P19" s="59">
        <f>D19+O19</f>
        <v>1782.886</v>
      </c>
      <c r="Q19" s="272">
        <f>P19*1.1</f>
        <v>1961.1746000000001</v>
      </c>
      <c r="R19" s="40">
        <f>'Tariffs Jan2018'!AM13</f>
        <v>0</v>
      </c>
      <c r="S19" s="40">
        <f>'Tariffs Jan2018'!AN13</f>
        <v>0</v>
      </c>
      <c r="T19" s="40">
        <f>'Tariffs Jan2018'!AO13</f>
        <v>0</v>
      </c>
      <c r="U19" s="40">
        <f>'Tariffs Jan2018'!AP13</f>
        <v>17</v>
      </c>
      <c r="V19" s="273">
        <f t="shared" si="0"/>
        <v>1782.886</v>
      </c>
      <c r="W19" s="273">
        <f>V19-(O19*U19/100)</f>
        <v>1528.0951</v>
      </c>
      <c r="X19" s="272">
        <f>V19*1.1</f>
        <v>1961.1746000000001</v>
      </c>
      <c r="Y19" s="272">
        <f>W19*1.1</f>
        <v>1680.90461</v>
      </c>
      <c r="Z19" s="274">
        <f>'Tariffs Jan2018'!AW13</f>
        <v>0</v>
      </c>
      <c r="AA19" s="274" t="str">
        <f>'Tariffs Jan2018'!AX13</f>
        <v>n</v>
      </c>
      <c r="AB19" s="275" t="str">
        <f>'Tariffs Jan2018'!BE13</f>
        <v>Y</v>
      </c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</row>
    <row r="20" spans="1:40" ht="14" thickBot="1" x14ac:dyDescent="0.2">
      <c r="A20" s="276" t="str">
        <f>'Tariffs Jan2018'!F14</f>
        <v>Amaysim</v>
      </c>
      <c r="B20" s="277" t="str">
        <f>'Tariffs Jan2018'!D14</f>
        <v>Multinet 1</v>
      </c>
      <c r="C20" s="277" t="str">
        <f>'Tariffs Jan2018'!G14</f>
        <v>Gas 3</v>
      </c>
      <c r="D20" s="278">
        <f>365*'Tariffs Jan2018'!H14/100</f>
        <v>285.06499999999994</v>
      </c>
      <c r="E20" s="278">
        <f>IF($C$5*'Tariffs Jan2018'!AK14/'Tariffs Jan2018'!AI14&gt;='Tariffs Jan2018'!J14,( 'Tariffs Jan2018'!J14*'Tariffs Jan2018'!O14/100)* 'Tariffs Jan2018'!AI14,($C$5*'Tariffs Jan2018'!AK14/'Tariffs Jan2018'!AI14*'Tariffs Jan2018'!O14/100)* 'Tariffs Jan2018'!AI14)</f>
        <v>301.5</v>
      </c>
      <c r="F20" s="278">
        <f>IF($C$5*'Tariffs Jan2018'!AK14/'Tariffs Jan2018'!AI14&lt;'Tariffs Jan2018'!J14,0,IF($C$5*'Tariffs Jan2018'!AK14/'Tariffs Jan2018'!AI14&lt;='Tariffs Jan2018'!K14,($C$5*'Tariffs Jan2018'!AK14/'Tariffs Jan2018'!AI14-'Tariffs Jan2018'!J14)*('Tariffs Jan2018'!P14/100)*'Tariffs Jan2018'!AI14,('Tariffs Jan2018'!K14-'Tariffs Jan2018'!J14)*('Tariffs Jan2018'!P14/100)*'Tariffs Jan2018'!AI14))</f>
        <v>265.5</v>
      </c>
      <c r="G20" s="278">
        <f>IF($C$5*'Tariffs Jan2018'!AK14/'Tariffs Jan2018'!AI14&lt;'Tariffs Jan2018'!K14,0,IF($C$5*'Tariffs Jan2018'!AK14/'Tariffs Jan2018'!AI14&lt;='Tariffs Jan2018'!L14,($C$5*'Tariffs Jan2018'!AK14/'Tariffs Jan2018'!AI14-'Tariffs Jan2018'!K14)*('Tariffs Jan2018'!Q14/100)*'Tariffs Jan2018'!AI14,('Tariffs Jan2018'!L14-'Tariffs Jan2018'!K14)*('Tariffs Jan2018'!Q14/100)*'Tariffs Jan2018'!AI14))</f>
        <v>229.5</v>
      </c>
      <c r="H20" s="278">
        <f>IF($C$5*'Tariffs Jan2018'!AK14/'Tariffs Jan2018'!AI14&lt;'Tariffs Jan2018'!L14,0,IF($C$5*'Tariffs Jan2018'!AK14/'Tariffs Jan2018'!AI14&lt;='Tariffs Jan2018'!M14,($C$5*'Tariffs Jan2018'!AK14/'Tariffs Jan2018'!AI14-'Tariffs Jan2018'!L14)*('Tariffs Jan2018'!R14/100)*'Tariffs Jan2018'!AI14,('Tariffs Jan2018'!M14-'Tariffs Jan2018'!L14)*('Tariffs Jan2018'!R14/100)*'Tariffs Jan2018'!AI14))</f>
        <v>105.75</v>
      </c>
      <c r="I20" s="278">
        <f>IF(($C$5*'Tariffs Jan2018'!AK14/'Tariffs Jan2018'!AI14&gt;'Tariffs Jan2018'!M14),($C$5*'Tariffs Jan2018'!AK14/'Tariffs Jan2018'!AI14-'Tariffs Jan2018'!M14)*'Tariffs Jan2018'!S14/100*'Tariffs Jan2018'!AI14,0)</f>
        <v>0</v>
      </c>
      <c r="J20" s="278">
        <f>IF($C$5*'Tariffs Jan2018'!AL14/'Tariffs Jan2018'!AJ14&gt;='Tariffs Jan2018'!J14,('Tariffs Jan2018'!J14*'Tariffs Jan2018'!U14/100)* 'Tariffs Jan2018'!AJ14,($C$5*'Tariffs Jan2018'!AL14/'Tariffs Jan2018'!AJ14*'Tariffs Jan2018'!U14/100)* 'Tariffs Jan2018'!AJ14)</f>
        <v>292.5</v>
      </c>
      <c r="K20" s="278">
        <f>IF($C$5*'Tariffs Jan2018'!AL14/'Tariffs Jan2018'!AJ14&lt;'Tariffs Jan2018'!J14,0,IF($C$5*'Tariffs Jan2018'!AL14/'Tariffs Jan2018'!AJ14&lt;='Tariffs Jan2018'!K14,($C$5*'Tariffs Jan2018'!AL14/'Tariffs Jan2018'!AJ14-'Tariffs Jan2018'!J14)*('Tariffs Jan2018'!V14/100)*'Tariffs Jan2018'!AJ14,('Tariffs Jan2018'!K14-'Tariffs Jan2018'!J14)*('Tariffs Jan2018'!V14/100)*'Tariffs Jan2018'!AJ14))</f>
        <v>261</v>
      </c>
      <c r="L20" s="278">
        <f>IF($C$5*'Tariffs Jan2018'!AL14/'Tariffs Jan2018'!AJ14&lt;'Tariffs Jan2018'!K14,0,IF($C$5*'Tariffs Jan2018'!AL14/'Tariffs Jan2018'!AJ14&lt;='Tariffs Jan2018'!L14,($C$5*'Tariffs Jan2018'!AL14/'Tariffs Jan2018'!AJ14-'Tariffs Jan2018'!K14)*('Tariffs Jan2018'!W14/100)*'Tariffs Jan2018'!AJ14,('Tariffs Jan2018'!L14-'Tariffs Jan2018'!K14)*('Tariffs Jan2018'!W14/100)*'Tariffs Jan2018'!AJ14))</f>
        <v>225</v>
      </c>
      <c r="M20" s="278">
        <f>IF($C$5*'Tariffs Jan2018'!AL14/'Tariffs Jan2018'!AJ14&lt;'Tariffs Jan2018'!L14,0,IF($C$5*'Tariffs Jan2018'!AL14/'Tariffs Jan2018'!AJ14&lt;='Tariffs Jan2018'!M14,($C$5*'Tariffs Jan2018'!AL14/'Tariffs Jan2018'!AJ14-'Tariffs Jan2018'!L14)*('Tariffs Jan2018'!X14/100)*'Tariffs Jan2018'!AJ14,('Tariffs Jan2018'!M14-'Tariffs Jan2018'!L14)*('Tariffs Jan2018'!X14/100)*'Tariffs Jan2018'!AJ14))</f>
        <v>105.75</v>
      </c>
      <c r="N20" s="278">
        <f>IF(($C$5*'Tariffs Jan2018'!AL14/'Tariffs Jan2018'!AJ14&gt;'Tariffs Jan2018'!M14),($C$5*'Tariffs Jan2018'!AL14/'Tariffs Jan2018'!AJ14-'Tariffs Jan2018'!M14)*'Tariffs Jan2018'!Y14/100*'Tariffs Jan2018'!AJ14,0)</f>
        <v>0</v>
      </c>
      <c r="O20" s="279">
        <f>SUM(E20:N20)</f>
        <v>1786.5</v>
      </c>
      <c r="P20" s="278">
        <f>D20+O20</f>
        <v>2071.5650000000001</v>
      </c>
      <c r="Q20" s="280">
        <f>P20*1.1</f>
        <v>2278.7215000000001</v>
      </c>
      <c r="R20" s="277">
        <f>'Tariffs Jan2018'!AM14</f>
        <v>0</v>
      </c>
      <c r="S20" s="277">
        <f>'Tariffs Jan2018'!AN14</f>
        <v>0</v>
      </c>
      <c r="T20" s="277">
        <f>'Tariffs Jan2018'!AO14</f>
        <v>28</v>
      </c>
      <c r="U20" s="277">
        <f>'Tariffs Jan2018'!AP14</f>
        <v>0</v>
      </c>
      <c r="V20" s="281">
        <f t="shared" si="0"/>
        <v>2071.5650000000001</v>
      </c>
      <c r="W20" s="281">
        <f>V20-(P20*T20/100)</f>
        <v>1491.5268000000001</v>
      </c>
      <c r="X20" s="280">
        <f>V20*1.1</f>
        <v>2278.7215000000001</v>
      </c>
      <c r="Y20" s="280">
        <f>W20*1.1</f>
        <v>1640.6794800000002</v>
      </c>
      <c r="Z20" s="282">
        <f>'Tariffs Jan2018'!AW14</f>
        <v>0</v>
      </c>
      <c r="AA20" s="282" t="str">
        <f>'Tariffs Jan2018'!AX14</f>
        <v>n</v>
      </c>
      <c r="AB20" s="283" t="str">
        <f>'Tariffs Jan2018'!BE14</f>
        <v>N</v>
      </c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</row>
    <row r="21" spans="1:40" ht="14" thickTop="1" x14ac:dyDescent="0.15">
      <c r="A21" s="270" t="str">
        <f>'Tariffs Jan2018'!F15</f>
        <v>AGL</v>
      </c>
      <c r="B21" s="40" t="str">
        <f>'Tariffs Jan2018'!D15</f>
        <v>Multinet 2</v>
      </c>
      <c r="C21" s="40" t="str">
        <f>'Tariffs Jan2018'!G15</f>
        <v>Savers</v>
      </c>
      <c r="D21" s="59">
        <f>365*'Tariffs Jan2018'!H15/100</f>
        <v>306.60000000000002</v>
      </c>
      <c r="E21" s="59">
        <f>IF($C$5*'Tariffs Jan2018'!AK15/'Tariffs Jan2018'!AI15&gt;='Tariffs Jan2018'!J15,( 'Tariffs Jan2018'!J15*'Tariffs Jan2018'!O15/100)* 'Tariffs Jan2018'!AI15,($C$5*'Tariffs Jan2018'!AK15/'Tariffs Jan2018'!AI15*'Tariffs Jan2018'!O15/100)* 'Tariffs Jan2018'!AI15)</f>
        <v>239.39999999999998</v>
      </c>
      <c r="F21" s="59">
        <f>IF($C$5*'Tariffs Jan2018'!AK15/'Tariffs Jan2018'!AI15&lt;'Tariffs Jan2018'!J15,0,IF($C$5*'Tariffs Jan2018'!AK15/'Tariffs Jan2018'!AI15&lt;='Tariffs Jan2018'!K15,($C$5*'Tariffs Jan2018'!AK15/'Tariffs Jan2018'!AI15-'Tariffs Jan2018'!J15)*('Tariffs Jan2018'!P15/100)*'Tariffs Jan2018'!AI15,('Tariffs Jan2018'!K15-'Tariffs Jan2018'!J15)*('Tariffs Jan2018'!P15/100)*'Tariffs Jan2018'!AI15))</f>
        <v>209.70000000000002</v>
      </c>
      <c r="G21" s="59">
        <f>IF($C$5*'Tariffs Jan2018'!AK15/'Tariffs Jan2018'!AI15&lt;'Tariffs Jan2018'!K15,0,IF($C$5*'Tariffs Jan2018'!AK15/'Tariffs Jan2018'!AI15&lt;='Tariffs Jan2018'!L15,($C$5*'Tariffs Jan2018'!AK15/'Tariffs Jan2018'!AI15-'Tariffs Jan2018'!K15)*('Tariffs Jan2018'!Q15/100)*'Tariffs Jan2018'!AI15,('Tariffs Jan2018'!L15-'Tariffs Jan2018'!K15)*('Tariffs Jan2018'!Q15/100)*'Tariffs Jan2018'!AI15))</f>
        <v>169.2</v>
      </c>
      <c r="H21" s="59">
        <f>IF($C$5*'Tariffs Jan2018'!AK15/'Tariffs Jan2018'!AI15&lt;'Tariffs Jan2018'!L15,0,IF($C$5*'Tariffs Jan2018'!AK15/'Tariffs Jan2018'!AI15&lt;='Tariffs Jan2018'!M15,($C$5*'Tariffs Jan2018'!AK15/'Tariffs Jan2018'!AI15-'Tariffs Jan2018'!L15)*('Tariffs Jan2018'!R15/100)*'Tariffs Jan2018'!AI15,('Tariffs Jan2018'!M15-'Tariffs Jan2018'!L15)*('Tariffs Jan2018'!R15/100)*'Tariffs Jan2018'!AI15))</f>
        <v>73.8</v>
      </c>
      <c r="I21" s="59">
        <f>IF(($C$5*'Tariffs Jan2018'!AK15/'Tariffs Jan2018'!AI15&gt;'Tariffs Jan2018'!M15),($C$5*'Tariffs Jan2018'!AK15/'Tariffs Jan2018'!AI15-'Tariffs Jan2018'!M15)*'Tariffs Jan2018'!S15/100*'Tariffs Jan2018'!AI15,0)</f>
        <v>0</v>
      </c>
      <c r="J21" s="59">
        <f>IF($C$5*'Tariffs Jan2018'!AL15/'Tariffs Jan2018'!AJ15&gt;='Tariffs Jan2018'!J15,('Tariffs Jan2018'!J15*'Tariffs Jan2018'!U15/100)* 'Tariffs Jan2018'!AJ15,($C$5*'Tariffs Jan2018'!AL15/'Tariffs Jan2018'!AJ15*'Tariffs Jan2018'!U15/100)* 'Tariffs Jan2018'!AJ15)</f>
        <v>226.79999999999998</v>
      </c>
      <c r="K21" s="59">
        <f>IF($C$5*'Tariffs Jan2018'!AL15/'Tariffs Jan2018'!AJ15&lt;'Tariffs Jan2018'!J15,0,IF($C$5*'Tariffs Jan2018'!AL15/'Tariffs Jan2018'!AJ15&lt;='Tariffs Jan2018'!K15,($C$5*'Tariffs Jan2018'!AL15/'Tariffs Jan2018'!AJ15-'Tariffs Jan2018'!J15)*('Tariffs Jan2018'!V15/100)*'Tariffs Jan2018'!AJ15,('Tariffs Jan2018'!K15-'Tariffs Jan2018'!J15)*('Tariffs Jan2018'!V15/100)*'Tariffs Jan2018'!AJ15))</f>
        <v>198</v>
      </c>
      <c r="L21" s="59">
        <f>IF($C$5*'Tariffs Jan2018'!AL15/'Tariffs Jan2018'!AJ15&lt;'Tariffs Jan2018'!K15,0,IF($C$5*'Tariffs Jan2018'!AL15/'Tariffs Jan2018'!AJ15&lt;='Tariffs Jan2018'!L15,($C$5*'Tariffs Jan2018'!AL15/'Tariffs Jan2018'!AJ15-'Tariffs Jan2018'!K15)*('Tariffs Jan2018'!W15/100)*'Tariffs Jan2018'!AJ15,('Tariffs Jan2018'!L15-'Tariffs Jan2018'!K15)*('Tariffs Jan2018'!W15/100)*'Tariffs Jan2018'!AJ15))</f>
        <v>162.9</v>
      </c>
      <c r="M21" s="59">
        <f>IF($C$5*'Tariffs Jan2018'!AL15/'Tariffs Jan2018'!AJ15&lt;'Tariffs Jan2018'!L15,0,IF($C$5*'Tariffs Jan2018'!AL15/'Tariffs Jan2018'!AJ15&lt;='Tariffs Jan2018'!M15,($C$5*'Tariffs Jan2018'!AL15/'Tariffs Jan2018'!AJ15-'Tariffs Jan2018'!L15)*('Tariffs Jan2018'!X15/100)*'Tariffs Jan2018'!AJ15,('Tariffs Jan2018'!M15-'Tariffs Jan2018'!L15)*('Tariffs Jan2018'!X15/100)*'Tariffs Jan2018'!AJ15))</f>
        <v>72</v>
      </c>
      <c r="N21" s="59">
        <f>IF(($C$5*'Tariffs Jan2018'!AL15/'Tariffs Jan2018'!AJ15&gt;'Tariffs Jan2018'!M15),($C$5*'Tariffs Jan2018'!AL15/'Tariffs Jan2018'!AJ15-'Tariffs Jan2018'!M15)*'Tariffs Jan2018'!Y15/100*'Tariffs Jan2018'!AJ15,0)</f>
        <v>0</v>
      </c>
      <c r="O21" s="271">
        <f t="shared" si="1"/>
        <v>1351.8</v>
      </c>
      <c r="P21" s="59">
        <f t="shared" si="2"/>
        <v>1658.4</v>
      </c>
      <c r="Q21" s="272">
        <f t="shared" si="3"/>
        <v>1824.2400000000002</v>
      </c>
      <c r="R21" s="40">
        <f>'Tariffs Jan2018'!AM15</f>
        <v>0</v>
      </c>
      <c r="S21" s="40">
        <f>'Tariffs Jan2018'!AN15</f>
        <v>0</v>
      </c>
      <c r="T21" s="40">
        <f>'Tariffs Jan2018'!AO15</f>
        <v>0</v>
      </c>
      <c r="U21" s="40">
        <f>'Tariffs Jan2018'!AP15</f>
        <v>12</v>
      </c>
      <c r="V21" s="273">
        <f t="shared" si="0"/>
        <v>1658.4</v>
      </c>
      <c r="W21" s="273">
        <f>V21-(O21*U21/100)</f>
        <v>1496.1840000000002</v>
      </c>
      <c r="X21" s="272">
        <f t="shared" si="4"/>
        <v>1824.2400000000002</v>
      </c>
      <c r="Y21" s="272">
        <f t="shared" si="4"/>
        <v>1645.8024000000003</v>
      </c>
      <c r="Z21" s="274">
        <f>'Tariffs Jan2018'!AW15</f>
        <v>0</v>
      </c>
      <c r="AA21" s="274" t="str">
        <f>'Tariffs Jan2018'!AX15</f>
        <v>n</v>
      </c>
      <c r="AB21" s="275" t="str">
        <f>'Tariffs Jan2018'!BE15</f>
        <v>N</v>
      </c>
      <c r="AC21" s="321"/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</row>
    <row r="22" spans="1:40" x14ac:dyDescent="0.15">
      <c r="A22" s="270" t="str">
        <f>'Tariffs Jan2018'!F16</f>
        <v>Alinta Energy</v>
      </c>
      <c r="B22" s="40" t="str">
        <f>'Tariffs Jan2018'!D16</f>
        <v>Multinet 2</v>
      </c>
      <c r="C22" s="40" t="str">
        <f>'Tariffs Jan2018'!G16</f>
        <v>Fair Deal</v>
      </c>
      <c r="D22" s="59">
        <f>365*'Tariffs Jan2018'!H16/100</f>
        <v>240.13350000000003</v>
      </c>
      <c r="E22" s="59">
        <f>IF($C$5*'Tariffs Jan2018'!AK16/'Tariffs Jan2018'!AI16&gt;='Tariffs Jan2018'!J16,( 'Tariffs Jan2018'!J16*'Tariffs Jan2018'!O16/100)* 'Tariffs Jan2018'!AI16,($C$5*'Tariffs Jan2018'!AK16/'Tariffs Jan2018'!AI16*'Tariffs Jan2018'!O16/100)* 'Tariffs Jan2018'!AI16)</f>
        <v>221.39999999999998</v>
      </c>
      <c r="F22" s="59">
        <f>IF($C$5*'Tariffs Jan2018'!AK16/'Tariffs Jan2018'!AI16&lt;'Tariffs Jan2018'!J16,0,IF($C$5*'Tariffs Jan2018'!AK16/'Tariffs Jan2018'!AI16&lt;='Tariffs Jan2018'!K16,($C$5*'Tariffs Jan2018'!AK16/'Tariffs Jan2018'!AI16-'Tariffs Jan2018'!J16)*('Tariffs Jan2018'!P16/100)*'Tariffs Jan2018'!AI16,('Tariffs Jan2018'!K16-'Tariffs Jan2018'!J16)*('Tariffs Jan2018'!P16/100)*'Tariffs Jan2018'!AI16))</f>
        <v>166.50000000000003</v>
      </c>
      <c r="G22" s="59">
        <f>IF($C$5*'Tariffs Jan2018'!AK16/'Tariffs Jan2018'!AI16&lt;'Tariffs Jan2018'!K16,0,IF($C$5*'Tariffs Jan2018'!AK16/'Tariffs Jan2018'!AI16&lt;='Tariffs Jan2018'!L16,($C$5*'Tariffs Jan2018'!AK16/'Tariffs Jan2018'!AI16-'Tariffs Jan2018'!K16)*('Tariffs Jan2018'!Q16/100)*'Tariffs Jan2018'!AI16,('Tariffs Jan2018'!L16-'Tariffs Jan2018'!K16)*('Tariffs Jan2018'!Q16/100)*'Tariffs Jan2018'!AI16))</f>
        <v>0</v>
      </c>
      <c r="H22" s="59">
        <f>IF($C$5*'Tariffs Jan2018'!AK16/'Tariffs Jan2018'!AI16&lt;'Tariffs Jan2018'!L16,0,IF($C$5*'Tariffs Jan2018'!AK16/'Tariffs Jan2018'!AI16&lt;='Tariffs Jan2018'!M16,($C$5*'Tariffs Jan2018'!AK16/'Tariffs Jan2018'!AI16-'Tariffs Jan2018'!L16)*('Tariffs Jan2018'!R16/100)*'Tariffs Jan2018'!AI16,('Tariffs Jan2018'!M16-'Tariffs Jan2018'!L16)*('Tariffs Jan2018'!R16/100)*'Tariffs Jan2018'!AI16))</f>
        <v>0</v>
      </c>
      <c r="I22" s="59">
        <f>IF(($C$5*'Tariffs Jan2018'!AK16/'Tariffs Jan2018'!AI16&gt;'Tariffs Jan2018'!M16),($C$5*'Tariffs Jan2018'!AK16/'Tariffs Jan2018'!AI16-'Tariffs Jan2018'!M16)*'Tariffs Jan2018'!S16/100*'Tariffs Jan2018'!AI16,0)</f>
        <v>213.29999999999998</v>
      </c>
      <c r="J22" s="59">
        <f>IF($C$5*'Tariffs Jan2018'!AL16/'Tariffs Jan2018'!AJ16&gt;='Tariffs Jan2018'!J16,('Tariffs Jan2018'!J16*'Tariffs Jan2018'!U16/100)* 'Tariffs Jan2018'!AJ16,($C$5*'Tariffs Jan2018'!AL16/'Tariffs Jan2018'!AJ16*'Tariffs Jan2018'!U16/100)* 'Tariffs Jan2018'!AJ16)</f>
        <v>217.79999999999998</v>
      </c>
      <c r="K22" s="59">
        <f>IF($C$5*'Tariffs Jan2018'!AL16/'Tariffs Jan2018'!AJ16&lt;'Tariffs Jan2018'!J16,0,IF($C$5*'Tariffs Jan2018'!AL16/'Tariffs Jan2018'!AJ16&lt;='Tariffs Jan2018'!K16,($C$5*'Tariffs Jan2018'!AL16/'Tariffs Jan2018'!AJ16-'Tariffs Jan2018'!J16)*('Tariffs Jan2018'!V16/100)*'Tariffs Jan2018'!AJ16,('Tariffs Jan2018'!K16-'Tariffs Jan2018'!J16)*('Tariffs Jan2018'!V16/100)*'Tariffs Jan2018'!AJ16))</f>
        <v>157.50000000000003</v>
      </c>
      <c r="L22" s="59">
        <f>IF($C$5*'Tariffs Jan2018'!AL16/'Tariffs Jan2018'!AJ16&lt;'Tariffs Jan2018'!K16,0,IF($C$5*'Tariffs Jan2018'!AL16/'Tariffs Jan2018'!AJ16&lt;='Tariffs Jan2018'!L16,($C$5*'Tariffs Jan2018'!AL16/'Tariffs Jan2018'!AJ16-'Tariffs Jan2018'!K16)*('Tariffs Jan2018'!W16/100)*'Tariffs Jan2018'!AJ16,('Tariffs Jan2018'!L16-'Tariffs Jan2018'!K16)*('Tariffs Jan2018'!W16/100)*'Tariffs Jan2018'!AJ16))</f>
        <v>0</v>
      </c>
      <c r="M22" s="59">
        <f>IF($C$5*'Tariffs Jan2018'!AL16/'Tariffs Jan2018'!AJ16&lt;'Tariffs Jan2018'!L16,0,IF($C$5*'Tariffs Jan2018'!AL16/'Tariffs Jan2018'!AJ16&lt;='Tariffs Jan2018'!M16,($C$5*'Tariffs Jan2018'!AL16/'Tariffs Jan2018'!AJ16-'Tariffs Jan2018'!L16)*('Tariffs Jan2018'!X16/100)*'Tariffs Jan2018'!AJ16,('Tariffs Jan2018'!M16-'Tariffs Jan2018'!L16)*('Tariffs Jan2018'!X16/100)*'Tariffs Jan2018'!AJ16))</f>
        <v>0</v>
      </c>
      <c r="N22" s="59">
        <f>IF(($C$5*'Tariffs Jan2018'!AL16/'Tariffs Jan2018'!AJ16&gt;'Tariffs Jan2018'!M16),($C$5*'Tariffs Jan2018'!AL16/'Tariffs Jan2018'!AJ16-'Tariffs Jan2018'!M16)*'Tariffs Jan2018'!Y16/100*'Tariffs Jan2018'!AJ16,0)</f>
        <v>236.25</v>
      </c>
      <c r="O22" s="271">
        <f t="shared" si="1"/>
        <v>1212.75</v>
      </c>
      <c r="P22" s="59">
        <f t="shared" si="2"/>
        <v>1452.8834999999999</v>
      </c>
      <c r="Q22" s="272">
        <f t="shared" si="3"/>
        <v>1598.1718499999999</v>
      </c>
      <c r="R22" s="40">
        <f>'Tariffs Jan2018'!AM16</f>
        <v>0</v>
      </c>
      <c r="S22" s="40">
        <f>'Tariffs Jan2018'!AN16</f>
        <v>0</v>
      </c>
      <c r="T22" s="40">
        <f>'Tariffs Jan2018'!AO16</f>
        <v>0</v>
      </c>
      <c r="U22" s="40">
        <f>'Tariffs Jan2018'!AP16</f>
        <v>25</v>
      </c>
      <c r="V22" s="273">
        <f t="shared" ref="V22:V33" si="5">P22</f>
        <v>1452.8834999999999</v>
      </c>
      <c r="W22" s="273">
        <f>V22-(O22*U22/100)</f>
        <v>1149.6959999999999</v>
      </c>
      <c r="X22" s="272">
        <f t="shared" si="4"/>
        <v>1598.1718499999999</v>
      </c>
      <c r="Y22" s="272">
        <f t="shared" si="4"/>
        <v>1264.6656</v>
      </c>
      <c r="Z22" s="274">
        <f>'Tariffs Jan2018'!AW16</f>
        <v>0</v>
      </c>
      <c r="AA22" s="274" t="str">
        <f>'Tariffs Jan2018'!AX16</f>
        <v>n</v>
      </c>
      <c r="AB22" s="275" t="str">
        <f>'Tariffs Jan2018'!BE16</f>
        <v>Y</v>
      </c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</row>
    <row r="23" spans="1:40" x14ac:dyDescent="0.15">
      <c r="A23" s="270" t="str">
        <f>'Tariffs Jan2018'!F17</f>
        <v>Click Energy</v>
      </c>
      <c r="B23" s="40" t="str">
        <f>'Tariffs Jan2018'!D17</f>
        <v>Multinet 2</v>
      </c>
      <c r="C23" s="40" t="str">
        <f>'Tariffs Jan2018'!G17</f>
        <v>Amber</v>
      </c>
      <c r="D23" s="59">
        <f>365*'Tariffs Jan2018'!H17/100</f>
        <v>285.06499999999994</v>
      </c>
      <c r="E23" s="59">
        <f>IF($C$5*'Tariffs Jan2018'!AK17/'Tariffs Jan2018'!AI17&gt;='Tariffs Jan2018'!J17,( 'Tariffs Jan2018'!J17*'Tariffs Jan2018'!O17/100)* 'Tariffs Jan2018'!AI17,($C$5*'Tariffs Jan2018'!AK17/'Tariffs Jan2018'!AI17*'Tariffs Jan2018'!O17/100)* 'Tariffs Jan2018'!AI17)</f>
        <v>301.5</v>
      </c>
      <c r="F23" s="59">
        <f>IF($C$5*'Tariffs Jan2018'!AK17/'Tariffs Jan2018'!AI17&lt;'Tariffs Jan2018'!J17,0,IF($C$5*'Tariffs Jan2018'!AK17/'Tariffs Jan2018'!AI17&lt;='Tariffs Jan2018'!K17,($C$5*'Tariffs Jan2018'!AK17/'Tariffs Jan2018'!AI17-'Tariffs Jan2018'!J17)*('Tariffs Jan2018'!P17/100)*'Tariffs Jan2018'!AI17,('Tariffs Jan2018'!K17-'Tariffs Jan2018'!J17)*('Tariffs Jan2018'!P17/100)*'Tariffs Jan2018'!AI17))</f>
        <v>265.5</v>
      </c>
      <c r="G23" s="59">
        <f>IF($C$5*'Tariffs Jan2018'!AK17/'Tariffs Jan2018'!AI17&lt;'Tariffs Jan2018'!K17,0,IF($C$5*'Tariffs Jan2018'!AK17/'Tariffs Jan2018'!AI17&lt;='Tariffs Jan2018'!L17,($C$5*'Tariffs Jan2018'!AK17/'Tariffs Jan2018'!AI17-'Tariffs Jan2018'!K17)*('Tariffs Jan2018'!Q17/100)*'Tariffs Jan2018'!AI17,('Tariffs Jan2018'!L17-'Tariffs Jan2018'!K17)*('Tariffs Jan2018'!Q17/100)*'Tariffs Jan2018'!AI17))</f>
        <v>229.5</v>
      </c>
      <c r="H23" s="59">
        <f>IF($C$5*'Tariffs Jan2018'!AK17/'Tariffs Jan2018'!AI17&lt;'Tariffs Jan2018'!L17,0,IF($C$5*'Tariffs Jan2018'!AK17/'Tariffs Jan2018'!AI17&lt;='Tariffs Jan2018'!M17,($C$5*'Tariffs Jan2018'!AK17/'Tariffs Jan2018'!AI17-'Tariffs Jan2018'!L17)*('Tariffs Jan2018'!R17/100)*'Tariffs Jan2018'!AI17,('Tariffs Jan2018'!M17-'Tariffs Jan2018'!L17)*('Tariffs Jan2018'!R17/100)*'Tariffs Jan2018'!AI17))</f>
        <v>105.75</v>
      </c>
      <c r="I23" s="59">
        <f>IF(($C$5*'Tariffs Jan2018'!AK17/'Tariffs Jan2018'!AI17&gt;'Tariffs Jan2018'!M17),($C$5*'Tariffs Jan2018'!AK17/'Tariffs Jan2018'!AI17-'Tariffs Jan2018'!M17)*'Tariffs Jan2018'!S17/100*'Tariffs Jan2018'!AI17,0)</f>
        <v>0</v>
      </c>
      <c r="J23" s="59">
        <f>IF($C$5*'Tariffs Jan2018'!AL17/'Tariffs Jan2018'!AJ17&gt;='Tariffs Jan2018'!J17,('Tariffs Jan2018'!J17*'Tariffs Jan2018'!U17/100)* 'Tariffs Jan2018'!AJ17,($C$5*'Tariffs Jan2018'!AL17/'Tariffs Jan2018'!AJ17*'Tariffs Jan2018'!U17/100)* 'Tariffs Jan2018'!AJ17)</f>
        <v>292.5</v>
      </c>
      <c r="K23" s="59">
        <f>IF($C$5*'Tariffs Jan2018'!AL17/'Tariffs Jan2018'!AJ17&lt;'Tariffs Jan2018'!J17,0,IF($C$5*'Tariffs Jan2018'!AL17/'Tariffs Jan2018'!AJ17&lt;='Tariffs Jan2018'!K17,($C$5*'Tariffs Jan2018'!AL17/'Tariffs Jan2018'!AJ17-'Tariffs Jan2018'!J17)*('Tariffs Jan2018'!V17/100)*'Tariffs Jan2018'!AJ17,('Tariffs Jan2018'!K17-'Tariffs Jan2018'!J17)*('Tariffs Jan2018'!V17/100)*'Tariffs Jan2018'!AJ17))</f>
        <v>261</v>
      </c>
      <c r="L23" s="59">
        <f>IF($C$5*'Tariffs Jan2018'!AL17/'Tariffs Jan2018'!AJ17&lt;'Tariffs Jan2018'!K17,0,IF($C$5*'Tariffs Jan2018'!AL17/'Tariffs Jan2018'!AJ17&lt;='Tariffs Jan2018'!L17,($C$5*'Tariffs Jan2018'!AL17/'Tariffs Jan2018'!AJ17-'Tariffs Jan2018'!K17)*('Tariffs Jan2018'!W17/100)*'Tariffs Jan2018'!AJ17,('Tariffs Jan2018'!L17-'Tariffs Jan2018'!K17)*('Tariffs Jan2018'!W17/100)*'Tariffs Jan2018'!AJ17))</f>
        <v>225</v>
      </c>
      <c r="M23" s="59">
        <f>IF($C$5*'Tariffs Jan2018'!AL17/'Tariffs Jan2018'!AJ17&lt;'Tariffs Jan2018'!L17,0,IF($C$5*'Tariffs Jan2018'!AL17/'Tariffs Jan2018'!AJ17&lt;='Tariffs Jan2018'!M17,($C$5*'Tariffs Jan2018'!AL17/'Tariffs Jan2018'!AJ17-'Tariffs Jan2018'!L17)*('Tariffs Jan2018'!X17/100)*'Tariffs Jan2018'!AJ17,('Tariffs Jan2018'!M17-'Tariffs Jan2018'!L17)*('Tariffs Jan2018'!X17/100)*'Tariffs Jan2018'!AJ17))</f>
        <v>105.75</v>
      </c>
      <c r="N23" s="59">
        <f>IF(($C$5*'Tariffs Jan2018'!AL17/'Tariffs Jan2018'!AJ17&gt;'Tariffs Jan2018'!M17),($C$5*'Tariffs Jan2018'!AL17/'Tariffs Jan2018'!AJ17-'Tariffs Jan2018'!M17)*'Tariffs Jan2018'!Y17/100*'Tariffs Jan2018'!AJ17,0)</f>
        <v>0</v>
      </c>
      <c r="O23" s="271">
        <f t="shared" si="1"/>
        <v>1786.5</v>
      </c>
      <c r="P23" s="59">
        <f t="shared" si="2"/>
        <v>2071.5650000000001</v>
      </c>
      <c r="Q23" s="272">
        <f t="shared" si="3"/>
        <v>2278.7215000000001</v>
      </c>
      <c r="R23" s="40">
        <f>'Tariffs Jan2018'!AM17</f>
        <v>0</v>
      </c>
      <c r="S23" s="40">
        <f>'Tariffs Jan2018'!AN17</f>
        <v>0</v>
      </c>
      <c r="T23" s="40">
        <f>'Tariffs Jan2018'!AO17</f>
        <v>14</v>
      </c>
      <c r="U23" s="40">
        <f>'Tariffs Jan2018'!AP17</f>
        <v>0</v>
      </c>
      <c r="V23" s="273">
        <f t="shared" si="5"/>
        <v>2071.5650000000001</v>
      </c>
      <c r="W23" s="273">
        <f>V23-(P23*T23/100)</f>
        <v>1781.5459000000001</v>
      </c>
      <c r="X23" s="272">
        <f t="shared" si="4"/>
        <v>2278.7215000000001</v>
      </c>
      <c r="Y23" s="272">
        <f t="shared" si="4"/>
        <v>1959.7004900000002</v>
      </c>
      <c r="Z23" s="274">
        <f>'Tariffs Jan2018'!AW17</f>
        <v>0</v>
      </c>
      <c r="AA23" s="274" t="str">
        <f>'Tariffs Jan2018'!AX17</f>
        <v>n</v>
      </c>
      <c r="AB23" s="275" t="str">
        <f>'Tariffs Jan2018'!BE17</f>
        <v>N</v>
      </c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</row>
    <row r="24" spans="1:40" x14ac:dyDescent="0.15">
      <c r="A24" s="270" t="str">
        <f>'Tariffs Jan2018'!F18</f>
        <v>Covau</v>
      </c>
      <c r="B24" s="40" t="str">
        <f>'Tariffs Jan2018'!D18</f>
        <v>Multinet 2</v>
      </c>
      <c r="C24" s="40" t="str">
        <f>'Tariffs Jan2018'!G18</f>
        <v>Smart Saver</v>
      </c>
      <c r="D24" s="59">
        <f>365*'Tariffs Jan2018'!H18/100</f>
        <v>255.5</v>
      </c>
      <c r="E24" s="59">
        <f>IF($C$5*'Tariffs Jan2018'!AK18/'Tariffs Jan2018'!AI18&gt;='Tariffs Jan2018'!J18,( 'Tariffs Jan2018'!J18*'Tariffs Jan2018'!O18/100)* 'Tariffs Jan2018'!AI18,($C$5*'Tariffs Jan2018'!AK18/'Tariffs Jan2018'!AI18*'Tariffs Jan2018'!O18/100)* 'Tariffs Jan2018'!AI18)</f>
        <v>252</v>
      </c>
      <c r="F24" s="59">
        <f>IF($C$5*'Tariffs Jan2018'!AK18/'Tariffs Jan2018'!AI18&lt;'Tariffs Jan2018'!J18,0,IF($C$5*'Tariffs Jan2018'!AK18/'Tariffs Jan2018'!AI18&lt;='Tariffs Jan2018'!K18,($C$5*'Tariffs Jan2018'!AK18/'Tariffs Jan2018'!AI18-'Tariffs Jan2018'!J18)*('Tariffs Jan2018'!P18/100)*'Tariffs Jan2018'!AI18,('Tariffs Jan2018'!K18-'Tariffs Jan2018'!J18)*('Tariffs Jan2018'!P18/100)*'Tariffs Jan2018'!AI18))</f>
        <v>450</v>
      </c>
      <c r="G24" s="59">
        <f>IF($C$5*'Tariffs Jan2018'!AK18/'Tariffs Jan2018'!AI18&lt;'Tariffs Jan2018'!K18,0,IF($C$5*'Tariffs Jan2018'!AK18/'Tariffs Jan2018'!AI18&lt;='Tariffs Jan2018'!L18,($C$5*'Tariffs Jan2018'!AK18/'Tariffs Jan2018'!AI18-'Tariffs Jan2018'!K18)*('Tariffs Jan2018'!Q18/100)*'Tariffs Jan2018'!AI18,('Tariffs Jan2018'!L18-'Tariffs Jan2018'!K18)*('Tariffs Jan2018'!Q18/100)*'Tariffs Jan2018'!AI18))</f>
        <v>94.500000000000014</v>
      </c>
      <c r="H24" s="59">
        <f>IF($C$5*'Tariffs Jan2018'!AK18/'Tariffs Jan2018'!AI18&lt;'Tariffs Jan2018'!L18,0,IF($C$5*'Tariffs Jan2018'!AK18/'Tariffs Jan2018'!AI18&lt;='Tariffs Jan2018'!M18,($C$5*'Tariffs Jan2018'!AK18/'Tariffs Jan2018'!AI18-'Tariffs Jan2018'!L18)*('Tariffs Jan2018'!R18/100)*'Tariffs Jan2018'!AI18,('Tariffs Jan2018'!M18-'Tariffs Jan2018'!L18)*('Tariffs Jan2018'!R18/100)*'Tariffs Jan2018'!AI18))</f>
        <v>0</v>
      </c>
      <c r="I24" s="59">
        <f>IF(($C$5*'Tariffs Jan2018'!AK18/'Tariffs Jan2018'!AI18&gt;'Tariffs Jan2018'!M18),($C$5*'Tariffs Jan2018'!AK18/'Tariffs Jan2018'!AI18-'Tariffs Jan2018'!M18)*'Tariffs Jan2018'!S18/100*'Tariffs Jan2018'!AI18,0)</f>
        <v>0</v>
      </c>
      <c r="J24" s="59">
        <f>IF($C$5*'Tariffs Jan2018'!AL18/'Tariffs Jan2018'!AJ18&gt;='Tariffs Jan2018'!J18,('Tariffs Jan2018'!J18*'Tariffs Jan2018'!U18/100)* 'Tariffs Jan2018'!AJ18,($C$5*'Tariffs Jan2018'!AL18/'Tariffs Jan2018'!AJ18*'Tariffs Jan2018'!U18/100)* 'Tariffs Jan2018'!AJ18)</f>
        <v>242.10000000000002</v>
      </c>
      <c r="K24" s="59">
        <f>IF($C$5*'Tariffs Jan2018'!AL18/'Tariffs Jan2018'!AJ18&lt;'Tariffs Jan2018'!J18,0,IF($C$5*'Tariffs Jan2018'!AL18/'Tariffs Jan2018'!AJ18&lt;='Tariffs Jan2018'!K18,($C$5*'Tariffs Jan2018'!AL18/'Tariffs Jan2018'!AJ18-'Tariffs Jan2018'!J18)*('Tariffs Jan2018'!V18/100)*'Tariffs Jan2018'!AJ18,('Tariffs Jan2018'!K18-'Tariffs Jan2018'!J18)*('Tariffs Jan2018'!V18/100)*'Tariffs Jan2018'!AJ18))</f>
        <v>414</v>
      </c>
      <c r="L24" s="59">
        <f>IF($C$5*'Tariffs Jan2018'!AL18/'Tariffs Jan2018'!AJ18&lt;'Tariffs Jan2018'!K18,0,IF($C$5*'Tariffs Jan2018'!AL18/'Tariffs Jan2018'!AJ18&lt;='Tariffs Jan2018'!L18,($C$5*'Tariffs Jan2018'!AL18/'Tariffs Jan2018'!AJ18-'Tariffs Jan2018'!K18)*('Tariffs Jan2018'!W18/100)*'Tariffs Jan2018'!AJ18,('Tariffs Jan2018'!L18-'Tariffs Jan2018'!K18)*('Tariffs Jan2018'!W18/100)*'Tariffs Jan2018'!AJ18))</f>
        <v>87.75</v>
      </c>
      <c r="M24" s="59">
        <f>IF($C$5*'Tariffs Jan2018'!AL18/'Tariffs Jan2018'!AJ18&lt;'Tariffs Jan2018'!L18,0,IF($C$5*'Tariffs Jan2018'!AL18/'Tariffs Jan2018'!AJ18&lt;='Tariffs Jan2018'!M18,($C$5*'Tariffs Jan2018'!AL18/'Tariffs Jan2018'!AJ18-'Tariffs Jan2018'!L18)*('Tariffs Jan2018'!X18/100)*'Tariffs Jan2018'!AJ18,('Tariffs Jan2018'!M18-'Tariffs Jan2018'!L18)*('Tariffs Jan2018'!X18/100)*'Tariffs Jan2018'!AJ18))</f>
        <v>0</v>
      </c>
      <c r="N24" s="59">
        <f>IF(($C$5*'Tariffs Jan2018'!AL18/'Tariffs Jan2018'!AJ18&gt;'Tariffs Jan2018'!M18),($C$5*'Tariffs Jan2018'!AL18/'Tariffs Jan2018'!AJ18-'Tariffs Jan2018'!M18)*'Tariffs Jan2018'!Y18/100*'Tariffs Jan2018'!AJ18,0)</f>
        <v>0</v>
      </c>
      <c r="O24" s="271">
        <f t="shared" si="1"/>
        <v>1540.35</v>
      </c>
      <c r="P24" s="59">
        <f t="shared" si="2"/>
        <v>1795.85</v>
      </c>
      <c r="Q24" s="272">
        <f t="shared" si="3"/>
        <v>1975.4350000000002</v>
      </c>
      <c r="R24" s="40">
        <f>'Tariffs Jan2018'!AM18</f>
        <v>0</v>
      </c>
      <c r="S24" s="40">
        <f>'Tariffs Jan2018'!AN18</f>
        <v>0</v>
      </c>
      <c r="T24" s="40">
        <f>'Tariffs Jan2018'!AO18</f>
        <v>0</v>
      </c>
      <c r="U24" s="40">
        <f>'Tariffs Jan2018'!AP18</f>
        <v>16</v>
      </c>
      <c r="V24" s="273">
        <f t="shared" si="5"/>
        <v>1795.85</v>
      </c>
      <c r="W24" s="273">
        <f>V24-(O24*U24/100)</f>
        <v>1549.394</v>
      </c>
      <c r="X24" s="272">
        <f t="shared" si="4"/>
        <v>1975.4350000000002</v>
      </c>
      <c r="Y24" s="272">
        <f t="shared" si="4"/>
        <v>1704.3334000000002</v>
      </c>
      <c r="Z24" s="274">
        <f>'Tariffs Jan2018'!AW18</f>
        <v>12</v>
      </c>
      <c r="AA24" s="274" t="str">
        <f>'Tariffs Jan2018'!AX18</f>
        <v>y</v>
      </c>
      <c r="AB24" s="275" t="str">
        <f>'Tariffs Jan2018'!BE18</f>
        <v>N</v>
      </c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</row>
    <row r="25" spans="1:40" x14ac:dyDescent="0.15">
      <c r="A25" s="270" t="str">
        <f>'Tariffs Jan2018'!F19</f>
        <v>Dodo Power &amp; Gas</v>
      </c>
      <c r="B25" s="40" t="str">
        <f>'Tariffs Jan2018'!D19</f>
        <v>Multinet 2</v>
      </c>
      <c r="C25" s="40" t="str">
        <f>'Tariffs Jan2018'!G19</f>
        <v>Market offer</v>
      </c>
      <c r="D25" s="59">
        <f>365*'Tariffs Jan2018'!H19/100</f>
        <v>269.7715</v>
      </c>
      <c r="E25" s="59">
        <f>IF($C$5*'Tariffs Jan2018'!AK19/'Tariffs Jan2018'!AI19&gt;='Tariffs Jan2018'!J19,( 'Tariffs Jan2018'!J19*'Tariffs Jan2018'!O19/100)* 'Tariffs Jan2018'!AI19,($C$5*'Tariffs Jan2018'!AK19/'Tariffs Jan2018'!AI19*'Tariffs Jan2018'!O19/100)* 'Tariffs Jan2018'!AI19)</f>
        <v>257.25</v>
      </c>
      <c r="F25" s="59">
        <f>IF($C$5*'Tariffs Jan2018'!AK19/'Tariffs Jan2018'!AI19&lt;'Tariffs Jan2018'!J19,0,IF($C$5*'Tariffs Jan2018'!AK19/'Tariffs Jan2018'!AI19&lt;='Tariffs Jan2018'!K19,($C$5*'Tariffs Jan2018'!AK19/'Tariffs Jan2018'!AI19-'Tariffs Jan2018'!J19)*('Tariffs Jan2018'!P19/100)*'Tariffs Jan2018'!AI19,('Tariffs Jan2018'!K19-'Tariffs Jan2018'!J19)*('Tariffs Jan2018'!P19/100)*'Tariffs Jan2018'!AI19))</f>
        <v>0</v>
      </c>
      <c r="G25" s="59">
        <f>IF($C$5*'Tariffs Jan2018'!AK19/'Tariffs Jan2018'!AI19&lt;'Tariffs Jan2018'!K19,0,IF($C$5*'Tariffs Jan2018'!AK19/'Tariffs Jan2018'!AI19&lt;='Tariffs Jan2018'!L19,($C$5*'Tariffs Jan2018'!AK19/'Tariffs Jan2018'!AI19-'Tariffs Jan2018'!K19)*('Tariffs Jan2018'!Q19/100)*'Tariffs Jan2018'!AI19,('Tariffs Jan2018'!L19-'Tariffs Jan2018'!K19)*('Tariffs Jan2018'!Q19/100)*'Tariffs Jan2018'!AI19))</f>
        <v>0</v>
      </c>
      <c r="H25" s="59">
        <f>IF($C$5*'Tariffs Jan2018'!AK19/'Tariffs Jan2018'!AI19&lt;'Tariffs Jan2018'!L19,0,IF($C$5*'Tariffs Jan2018'!AK19/'Tariffs Jan2018'!AI19&lt;='Tariffs Jan2018'!M19,($C$5*'Tariffs Jan2018'!AK19/'Tariffs Jan2018'!AI19-'Tariffs Jan2018'!L19)*('Tariffs Jan2018'!R19/100)*'Tariffs Jan2018'!AI19,('Tariffs Jan2018'!M19-'Tariffs Jan2018'!L19)*('Tariffs Jan2018'!R19/100)*'Tariffs Jan2018'!AI19))</f>
        <v>0</v>
      </c>
      <c r="I25" s="59">
        <f>IF(($C$5*'Tariffs Jan2018'!AK19/'Tariffs Jan2018'!AI19&gt;'Tariffs Jan2018'!M19),($C$5*'Tariffs Jan2018'!AK19/'Tariffs Jan2018'!AI19-'Tariffs Jan2018'!M19)*'Tariffs Jan2018'!S19/100*'Tariffs Jan2018'!AI19,0)</f>
        <v>415.79999999999995</v>
      </c>
      <c r="J25" s="59">
        <f>IF($C$5*'Tariffs Jan2018'!AL19/'Tariffs Jan2018'!AJ19&gt;='Tariffs Jan2018'!J19,('Tariffs Jan2018'!J19*'Tariffs Jan2018'!U19/100)* 'Tariffs Jan2018'!AJ19,($C$5*'Tariffs Jan2018'!AL19/'Tariffs Jan2018'!AJ19*'Tariffs Jan2018'!U19/100)* 'Tariffs Jan2018'!AJ19)</f>
        <v>240.45000000000002</v>
      </c>
      <c r="K25" s="59">
        <f>IF($C$5*'Tariffs Jan2018'!AL19/'Tariffs Jan2018'!AJ19&lt;'Tariffs Jan2018'!J19,0,IF($C$5*'Tariffs Jan2018'!AL19/'Tariffs Jan2018'!AJ19&lt;='Tariffs Jan2018'!K19,($C$5*'Tariffs Jan2018'!AL19/'Tariffs Jan2018'!AJ19-'Tariffs Jan2018'!J19)*('Tariffs Jan2018'!V19/100)*'Tariffs Jan2018'!AJ19,('Tariffs Jan2018'!K19-'Tariffs Jan2018'!J19)*('Tariffs Jan2018'!V19/100)*'Tariffs Jan2018'!AJ19))</f>
        <v>0</v>
      </c>
      <c r="L25" s="59">
        <f>IF($C$5*'Tariffs Jan2018'!AL19/'Tariffs Jan2018'!AJ19&lt;'Tariffs Jan2018'!K19,0,IF($C$5*'Tariffs Jan2018'!AL19/'Tariffs Jan2018'!AJ19&lt;='Tariffs Jan2018'!L19,($C$5*'Tariffs Jan2018'!AL19/'Tariffs Jan2018'!AJ19-'Tariffs Jan2018'!K19)*('Tariffs Jan2018'!W19/100)*'Tariffs Jan2018'!AJ19,('Tariffs Jan2018'!L19-'Tariffs Jan2018'!K19)*('Tariffs Jan2018'!W19/100)*'Tariffs Jan2018'!AJ19))</f>
        <v>0</v>
      </c>
      <c r="M25" s="59">
        <f>IF($C$5*'Tariffs Jan2018'!AL19/'Tariffs Jan2018'!AJ19&lt;'Tariffs Jan2018'!L19,0,IF($C$5*'Tariffs Jan2018'!AL19/'Tariffs Jan2018'!AJ19&lt;='Tariffs Jan2018'!M19,($C$5*'Tariffs Jan2018'!AL19/'Tariffs Jan2018'!AJ19-'Tariffs Jan2018'!L19)*('Tariffs Jan2018'!X19/100)*'Tariffs Jan2018'!AJ19,('Tariffs Jan2018'!M19-'Tariffs Jan2018'!L19)*('Tariffs Jan2018'!X19/100)*'Tariffs Jan2018'!AJ19))</f>
        <v>0</v>
      </c>
      <c r="N25" s="59">
        <f>IF(($C$5*'Tariffs Jan2018'!AL19/'Tariffs Jan2018'!AJ19&gt;'Tariffs Jan2018'!M19),($C$5*'Tariffs Jan2018'!AL19/'Tariffs Jan2018'!AJ19-'Tariffs Jan2018'!M19)*'Tariffs Jan2018'!Y19/100*'Tariffs Jan2018'!AJ19,0)</f>
        <v>403.20000000000005</v>
      </c>
      <c r="O25" s="271">
        <f t="shared" si="1"/>
        <v>1316.7</v>
      </c>
      <c r="P25" s="59">
        <f t="shared" si="2"/>
        <v>1586.4715000000001</v>
      </c>
      <c r="Q25" s="272">
        <f t="shared" si="3"/>
        <v>1745.1186500000003</v>
      </c>
      <c r="R25" s="40">
        <f>'Tariffs Jan2018'!AM19</f>
        <v>0</v>
      </c>
      <c r="S25" s="40">
        <f>'Tariffs Jan2018'!AN19</f>
        <v>0</v>
      </c>
      <c r="T25" s="40">
        <f>'Tariffs Jan2018'!AO19</f>
        <v>0</v>
      </c>
      <c r="U25" s="40">
        <f>'Tariffs Jan2018'!AP19</f>
        <v>0</v>
      </c>
      <c r="V25" s="273">
        <f t="shared" si="5"/>
        <v>1586.4715000000001</v>
      </c>
      <c r="W25" s="273">
        <f>V25</f>
        <v>1586.4715000000001</v>
      </c>
      <c r="X25" s="272">
        <f t="shared" si="4"/>
        <v>1745.1186500000003</v>
      </c>
      <c r="Y25" s="272">
        <f t="shared" si="4"/>
        <v>1745.1186500000003</v>
      </c>
      <c r="Z25" s="274">
        <f>'Tariffs Jan2018'!AW19</f>
        <v>0</v>
      </c>
      <c r="AA25" s="274" t="str">
        <f>'Tariffs Jan2018'!AX19</f>
        <v>n</v>
      </c>
      <c r="AB25" s="275" t="str">
        <f>'Tariffs Jan2018'!BE19</f>
        <v>Y</v>
      </c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</row>
    <row r="26" spans="1:40" x14ac:dyDescent="0.15">
      <c r="A26" s="270" t="str">
        <f>'Tariffs Jan2018'!F20</f>
        <v>EnergyAustralia</v>
      </c>
      <c r="B26" s="40" t="str">
        <f>'Tariffs Jan2018'!D20</f>
        <v>Multinet 2</v>
      </c>
      <c r="C26" s="40" t="str">
        <f>'Tariffs Jan2018'!G20</f>
        <v xml:space="preserve">Flexi Saver </v>
      </c>
      <c r="D26" s="59">
        <f>365*'Tariffs Jan2018'!H20/100</f>
        <v>278.13</v>
      </c>
      <c r="E26" s="59">
        <f>IF($C$5*'Tariffs Jan2018'!AK20/'Tariffs Jan2018'!AI20&gt;='Tariffs Jan2018'!J20,( 'Tariffs Jan2018'!J20*'Tariffs Jan2018'!O20/100)* 'Tariffs Jan2018'!AI20,($C$5*'Tariffs Jan2018'!AK20/'Tariffs Jan2018'!AI20*'Tariffs Jan2018'!O20/100)* 'Tariffs Jan2018'!AI20)</f>
        <v>439.20000000000005</v>
      </c>
      <c r="F26" s="59">
        <f>IF($C$5*'Tariffs Jan2018'!AK20/'Tariffs Jan2018'!AI20&lt;'Tariffs Jan2018'!J20,0,IF($C$5*'Tariffs Jan2018'!AK20/'Tariffs Jan2018'!AI20&lt;='Tariffs Jan2018'!K20,($C$5*'Tariffs Jan2018'!AK20/'Tariffs Jan2018'!AI20-'Tariffs Jan2018'!J20)*('Tariffs Jan2018'!P20/100)*'Tariffs Jan2018'!AI20,('Tariffs Jan2018'!K20-'Tariffs Jan2018'!J20)*('Tariffs Jan2018'!P20/100)*'Tariffs Jan2018'!AI20))</f>
        <v>0</v>
      </c>
      <c r="G26" s="59">
        <f>IF($C$5*'Tariffs Jan2018'!AK20/'Tariffs Jan2018'!AI20&lt;'Tariffs Jan2018'!K20,0,IF($C$5*'Tariffs Jan2018'!AK20/'Tariffs Jan2018'!AI20&lt;='Tariffs Jan2018'!L20,($C$5*'Tariffs Jan2018'!AK20/'Tariffs Jan2018'!AI20-'Tariffs Jan2018'!K20)*('Tariffs Jan2018'!Q20/100)*'Tariffs Jan2018'!AI20,('Tariffs Jan2018'!L20-'Tariffs Jan2018'!K20)*('Tariffs Jan2018'!Q20/100)*'Tariffs Jan2018'!AI20))</f>
        <v>0</v>
      </c>
      <c r="H26" s="59">
        <f>IF($C$5*'Tariffs Jan2018'!AK20/'Tariffs Jan2018'!AI20&lt;'Tariffs Jan2018'!L20,0,IF($C$5*'Tariffs Jan2018'!AK20/'Tariffs Jan2018'!AI20&lt;='Tariffs Jan2018'!M20,($C$5*'Tariffs Jan2018'!AK20/'Tariffs Jan2018'!AI20-'Tariffs Jan2018'!L20)*('Tariffs Jan2018'!R20/100)*'Tariffs Jan2018'!AI20,('Tariffs Jan2018'!M20-'Tariffs Jan2018'!L20)*('Tariffs Jan2018'!R20/100)*'Tariffs Jan2018'!AI20))</f>
        <v>0</v>
      </c>
      <c r="I26" s="59">
        <f>IF(($C$5*'Tariffs Jan2018'!AK20/'Tariffs Jan2018'!AI20&gt;'Tariffs Jan2018'!M20),($C$5*'Tariffs Jan2018'!AK20/'Tariffs Jan2018'!AI20-'Tariffs Jan2018'!M20)*'Tariffs Jan2018'!S20/100*'Tariffs Jan2018'!AI20,0)</f>
        <v>238.95000000000002</v>
      </c>
      <c r="J26" s="59">
        <f>IF($C$5*'Tariffs Jan2018'!AL20/'Tariffs Jan2018'!AJ20&gt;='Tariffs Jan2018'!J20,('Tariffs Jan2018'!J20*'Tariffs Jan2018'!U20/100)* 'Tariffs Jan2018'!AJ20,($C$5*'Tariffs Jan2018'!AL20/'Tariffs Jan2018'!AJ20*'Tariffs Jan2018'!U20/100)* 'Tariffs Jan2018'!AJ20)</f>
        <v>439.20000000000005</v>
      </c>
      <c r="K26" s="59">
        <f>IF($C$5*'Tariffs Jan2018'!AL20/'Tariffs Jan2018'!AJ20&lt;'Tariffs Jan2018'!J20,0,IF($C$5*'Tariffs Jan2018'!AL20/'Tariffs Jan2018'!AJ20&lt;='Tariffs Jan2018'!K20,($C$5*'Tariffs Jan2018'!AL20/'Tariffs Jan2018'!AJ20-'Tariffs Jan2018'!J20)*('Tariffs Jan2018'!V20/100)*'Tariffs Jan2018'!AJ20,('Tariffs Jan2018'!K20-'Tariffs Jan2018'!J20)*('Tariffs Jan2018'!V20/100)*'Tariffs Jan2018'!AJ20))</f>
        <v>0</v>
      </c>
      <c r="L26" s="59">
        <f>IF($C$5*'Tariffs Jan2018'!AL20/'Tariffs Jan2018'!AJ20&lt;'Tariffs Jan2018'!K20,0,IF($C$5*'Tariffs Jan2018'!AL20/'Tariffs Jan2018'!AJ20&lt;='Tariffs Jan2018'!L20,($C$5*'Tariffs Jan2018'!AL20/'Tariffs Jan2018'!AJ20-'Tariffs Jan2018'!K20)*('Tariffs Jan2018'!W20/100)*'Tariffs Jan2018'!AJ20,('Tariffs Jan2018'!L20-'Tariffs Jan2018'!K20)*('Tariffs Jan2018'!W20/100)*'Tariffs Jan2018'!AJ20))</f>
        <v>0</v>
      </c>
      <c r="M26" s="59">
        <f>IF($C$5*'Tariffs Jan2018'!AL20/'Tariffs Jan2018'!AJ20&lt;'Tariffs Jan2018'!L20,0,IF($C$5*'Tariffs Jan2018'!AL20/'Tariffs Jan2018'!AJ20&lt;='Tariffs Jan2018'!M20,($C$5*'Tariffs Jan2018'!AL20/'Tariffs Jan2018'!AJ20-'Tariffs Jan2018'!L20)*('Tariffs Jan2018'!X20/100)*'Tariffs Jan2018'!AJ20,('Tariffs Jan2018'!M20-'Tariffs Jan2018'!L20)*('Tariffs Jan2018'!X20/100)*'Tariffs Jan2018'!AJ20))</f>
        <v>0</v>
      </c>
      <c r="N26" s="59">
        <f>IF(($C$5*'Tariffs Jan2018'!AL20/'Tariffs Jan2018'!AJ20&gt;'Tariffs Jan2018'!M20),($C$5*'Tariffs Jan2018'!AL20/'Tariffs Jan2018'!AJ20-'Tariffs Jan2018'!M20)*'Tariffs Jan2018'!Y20/100*'Tariffs Jan2018'!AJ20,0)</f>
        <v>238.95000000000002</v>
      </c>
      <c r="O26" s="271">
        <f t="shared" si="1"/>
        <v>1356.3000000000002</v>
      </c>
      <c r="P26" s="59">
        <f t="shared" si="2"/>
        <v>1634.4300000000003</v>
      </c>
      <c r="Q26" s="272">
        <f t="shared" si="3"/>
        <v>1797.8730000000005</v>
      </c>
      <c r="R26" s="40">
        <f>'Tariffs Jan2018'!AM20</f>
        <v>0</v>
      </c>
      <c r="S26" s="40">
        <f>'Tariffs Jan2018'!AN20</f>
        <v>0</v>
      </c>
      <c r="T26" s="40">
        <f>'Tariffs Jan2018'!AO20</f>
        <v>0</v>
      </c>
      <c r="U26" s="40">
        <f>'Tariffs Jan2018'!AP20</f>
        <v>15</v>
      </c>
      <c r="V26" s="273">
        <f t="shared" si="5"/>
        <v>1634.4300000000003</v>
      </c>
      <c r="W26" s="273">
        <f>V26-(O26*U26/100)</f>
        <v>1430.9850000000001</v>
      </c>
      <c r="X26" s="272">
        <f t="shared" si="4"/>
        <v>1797.8730000000005</v>
      </c>
      <c r="Y26" s="272">
        <f t="shared" si="4"/>
        <v>1574.0835000000002</v>
      </c>
      <c r="Z26" s="274">
        <f>'Tariffs Jan2018'!AW20</f>
        <v>0</v>
      </c>
      <c r="AA26" s="274" t="str">
        <f>'Tariffs Jan2018'!AX20</f>
        <v>n</v>
      </c>
      <c r="AB26" s="275" t="str">
        <f>'Tariffs Jan2018'!BE20</f>
        <v>N</v>
      </c>
      <c r="AC26" s="321"/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</row>
    <row r="27" spans="1:40" x14ac:dyDescent="0.15">
      <c r="A27" s="270" t="str">
        <f>'Tariffs Jan2018'!F21</f>
        <v>Lumo Energy</v>
      </c>
      <c r="B27" s="40" t="str">
        <f>'Tariffs Jan2018'!D21</f>
        <v>Multinet 2</v>
      </c>
      <c r="C27" s="40" t="str">
        <f>'Tariffs Jan2018'!G21</f>
        <v>Advantage</v>
      </c>
      <c r="D27" s="59">
        <f>365*'Tariffs Jan2018'!H21/100</f>
        <v>240.53500000000003</v>
      </c>
      <c r="E27" s="59">
        <f>IF($C$5*'Tariffs Jan2018'!AK21/'Tariffs Jan2018'!AI21&gt;='Tariffs Jan2018'!J21,( 'Tariffs Jan2018'!J21*'Tariffs Jan2018'!O21/100)* 'Tariffs Jan2018'!AI21,($C$5*'Tariffs Jan2018'!AK21/'Tariffs Jan2018'!AI21*'Tariffs Jan2018'!O21/100)* 'Tariffs Jan2018'!AI21)</f>
        <v>228.60000000000002</v>
      </c>
      <c r="F27" s="59">
        <f>IF($C$5*'Tariffs Jan2018'!AK21/'Tariffs Jan2018'!AI21&lt;'Tariffs Jan2018'!J21,0,IF($C$5*'Tariffs Jan2018'!AK21/'Tariffs Jan2018'!AI21&lt;='Tariffs Jan2018'!K21,($C$5*'Tariffs Jan2018'!AK21/'Tariffs Jan2018'!AI21-'Tariffs Jan2018'!J21)*('Tariffs Jan2018'!P21/100)*'Tariffs Jan2018'!AI21,('Tariffs Jan2018'!K21-'Tariffs Jan2018'!J21)*('Tariffs Jan2018'!P21/100)*'Tariffs Jan2018'!AI21))</f>
        <v>200.70000000000002</v>
      </c>
      <c r="G27" s="59">
        <f>IF($C$5*'Tariffs Jan2018'!AK21/'Tariffs Jan2018'!AI21&lt;'Tariffs Jan2018'!K21,0,IF($C$5*'Tariffs Jan2018'!AK21/'Tariffs Jan2018'!AI21&lt;='Tariffs Jan2018'!L21,($C$5*'Tariffs Jan2018'!AK21/'Tariffs Jan2018'!AI21-'Tariffs Jan2018'!K21)*('Tariffs Jan2018'!Q21/100)*'Tariffs Jan2018'!AI21,('Tariffs Jan2018'!L21-'Tariffs Jan2018'!K21)*('Tariffs Jan2018'!Q21/100)*'Tariffs Jan2018'!AI21))</f>
        <v>168.3</v>
      </c>
      <c r="H27" s="59">
        <f>IF($C$5*'Tariffs Jan2018'!AK21/'Tariffs Jan2018'!AI21&lt;'Tariffs Jan2018'!L21,0,IF($C$5*'Tariffs Jan2018'!AK21/'Tariffs Jan2018'!AI21&lt;='Tariffs Jan2018'!M21,($C$5*'Tariffs Jan2018'!AK21/'Tariffs Jan2018'!AI21-'Tariffs Jan2018'!L21)*('Tariffs Jan2018'!R21/100)*'Tariffs Jan2018'!AI21,('Tariffs Jan2018'!M21-'Tariffs Jan2018'!L21)*('Tariffs Jan2018'!R21/100)*'Tariffs Jan2018'!AI21))</f>
        <v>75.150000000000006</v>
      </c>
      <c r="I27" s="59">
        <f>IF(($C$5*'Tariffs Jan2018'!AK21/'Tariffs Jan2018'!AI21&gt;'Tariffs Jan2018'!M21),($C$5*'Tariffs Jan2018'!AK21/'Tariffs Jan2018'!AI21-'Tariffs Jan2018'!M21)*'Tariffs Jan2018'!S21/100*'Tariffs Jan2018'!AI21,0)</f>
        <v>0</v>
      </c>
      <c r="J27" s="59">
        <f>IF($C$5*'Tariffs Jan2018'!AL21/'Tariffs Jan2018'!AJ21&gt;='Tariffs Jan2018'!J21,('Tariffs Jan2018'!J21*'Tariffs Jan2018'!U21/100)* 'Tariffs Jan2018'!AJ21,($C$5*'Tariffs Jan2018'!AL21/'Tariffs Jan2018'!AJ21*'Tariffs Jan2018'!U21/100)* 'Tariffs Jan2018'!AJ21)</f>
        <v>216</v>
      </c>
      <c r="K27" s="59">
        <f>IF($C$5*'Tariffs Jan2018'!AL21/'Tariffs Jan2018'!AJ21&lt;'Tariffs Jan2018'!J21,0,IF($C$5*'Tariffs Jan2018'!AL21/'Tariffs Jan2018'!AJ21&lt;='Tariffs Jan2018'!K21,($C$5*'Tariffs Jan2018'!AL21/'Tariffs Jan2018'!AJ21-'Tariffs Jan2018'!J21)*('Tariffs Jan2018'!V21/100)*'Tariffs Jan2018'!AJ21,('Tariffs Jan2018'!K21-'Tariffs Jan2018'!J21)*('Tariffs Jan2018'!V21/100)*'Tariffs Jan2018'!AJ21))</f>
        <v>191.7</v>
      </c>
      <c r="L27" s="59">
        <f>IF($C$5*'Tariffs Jan2018'!AL21/'Tariffs Jan2018'!AJ21&lt;'Tariffs Jan2018'!K21,0,IF($C$5*'Tariffs Jan2018'!AL21/'Tariffs Jan2018'!AJ21&lt;='Tariffs Jan2018'!L21,($C$5*'Tariffs Jan2018'!AL21/'Tariffs Jan2018'!AJ21-'Tariffs Jan2018'!K21)*('Tariffs Jan2018'!W21/100)*'Tariffs Jan2018'!AJ21,('Tariffs Jan2018'!L21-'Tariffs Jan2018'!K21)*('Tariffs Jan2018'!W21/100)*'Tariffs Jan2018'!AJ21))</f>
        <v>162.9</v>
      </c>
      <c r="M27" s="59">
        <f>IF($C$5*'Tariffs Jan2018'!AL21/'Tariffs Jan2018'!AJ21&lt;'Tariffs Jan2018'!L21,0,IF($C$5*'Tariffs Jan2018'!AL21/'Tariffs Jan2018'!AJ21&lt;='Tariffs Jan2018'!M21,($C$5*'Tariffs Jan2018'!AL21/'Tariffs Jan2018'!AJ21-'Tariffs Jan2018'!L21)*('Tariffs Jan2018'!X21/100)*'Tariffs Jan2018'!AJ21,('Tariffs Jan2018'!M21-'Tariffs Jan2018'!L21)*('Tariffs Jan2018'!X21/100)*'Tariffs Jan2018'!AJ21))</f>
        <v>73.8</v>
      </c>
      <c r="N27" s="59">
        <f>IF(($C$5*'Tariffs Jan2018'!AL21/'Tariffs Jan2018'!AJ21&gt;'Tariffs Jan2018'!M21),($C$5*'Tariffs Jan2018'!AL21/'Tariffs Jan2018'!AJ21-'Tariffs Jan2018'!M21)*'Tariffs Jan2018'!Y21/100*'Tariffs Jan2018'!AJ21,0)</f>
        <v>0</v>
      </c>
      <c r="O27" s="271">
        <f t="shared" si="1"/>
        <v>1317.15</v>
      </c>
      <c r="P27" s="59">
        <f t="shared" si="2"/>
        <v>1557.6850000000002</v>
      </c>
      <c r="Q27" s="272">
        <f t="shared" si="3"/>
        <v>1713.4535000000003</v>
      </c>
      <c r="R27" s="40">
        <f>'Tariffs Jan2018'!AM21</f>
        <v>0</v>
      </c>
      <c r="S27" s="40">
        <f>'Tariffs Jan2018'!AN21</f>
        <v>0</v>
      </c>
      <c r="T27" s="40">
        <f>'Tariffs Jan2018'!AO21</f>
        <v>15</v>
      </c>
      <c r="U27" s="40">
        <f>'Tariffs Jan2018'!AP21</f>
        <v>0</v>
      </c>
      <c r="V27" s="273">
        <f t="shared" si="5"/>
        <v>1557.6850000000002</v>
      </c>
      <c r="W27" s="273">
        <f>V27-(P27*T27/100)</f>
        <v>1324.0322500000002</v>
      </c>
      <c r="X27" s="272">
        <f t="shared" si="4"/>
        <v>1713.4535000000003</v>
      </c>
      <c r="Y27" s="272">
        <f t="shared" si="4"/>
        <v>1456.4354750000005</v>
      </c>
      <c r="Z27" s="274">
        <f>'Tariffs Jan2018'!AW21</f>
        <v>0</v>
      </c>
      <c r="AA27" s="274" t="str">
        <f>'Tariffs Jan2018'!AX21</f>
        <v>n</v>
      </c>
      <c r="AB27" s="275" t="str">
        <f>'Tariffs Jan2018'!BE21</f>
        <v>N</v>
      </c>
      <c r="AC27" s="321"/>
      <c r="AD27" s="321"/>
      <c r="AE27" s="321"/>
      <c r="AF27" s="321"/>
      <c r="AG27" s="321"/>
      <c r="AH27" s="321"/>
      <c r="AI27" s="321"/>
      <c r="AJ27" s="321"/>
      <c r="AK27" s="321"/>
      <c r="AL27" s="321"/>
      <c r="AM27" s="321"/>
      <c r="AN27" s="321"/>
    </row>
    <row r="28" spans="1:40" x14ac:dyDescent="0.15">
      <c r="A28" s="270" t="str">
        <f>'Tariffs Jan2018'!F22</f>
        <v>Momentum Energy</v>
      </c>
      <c r="B28" s="40" t="str">
        <f>'Tariffs Jan2018'!D22</f>
        <v>Multinet 2</v>
      </c>
      <c r="C28" s="40" t="str">
        <f>'Tariffs Jan2018'!G22</f>
        <v>Market offer</v>
      </c>
      <c r="D28" s="59">
        <f>365*'Tariffs Jan2018'!H22/100</f>
        <v>273.9325</v>
      </c>
      <c r="E28" s="59">
        <f>IF($C$5*'Tariffs Jan2018'!AK22/'Tariffs Jan2018'!AI22&gt;='Tariffs Jan2018'!J22,( 'Tariffs Jan2018'!J22*'Tariffs Jan2018'!O22/100)* 'Tariffs Jan2018'!AI22,($C$5*'Tariffs Jan2018'!AK22/'Tariffs Jan2018'!AI22*'Tariffs Jan2018'!O22/100)* 'Tariffs Jan2018'!AI22)</f>
        <v>198.99</v>
      </c>
      <c r="F28" s="59">
        <f>IF($C$5*'Tariffs Jan2018'!AK22/'Tariffs Jan2018'!AI22&lt;'Tariffs Jan2018'!J22,0,IF($C$5*'Tariffs Jan2018'!AK22/'Tariffs Jan2018'!AI22&lt;='Tariffs Jan2018'!K22,($C$5*'Tariffs Jan2018'!AK22/'Tariffs Jan2018'!AI22-'Tariffs Jan2018'!J22)*('Tariffs Jan2018'!P22/100)*'Tariffs Jan2018'!AI22,('Tariffs Jan2018'!K22-'Tariffs Jan2018'!J22)*('Tariffs Jan2018'!P22/100)*'Tariffs Jan2018'!AI22))</f>
        <v>176.13</v>
      </c>
      <c r="G28" s="59">
        <f>IF($C$5*'Tariffs Jan2018'!AK22/'Tariffs Jan2018'!AI22&lt;'Tariffs Jan2018'!K22,0,IF($C$5*'Tariffs Jan2018'!AK22/'Tariffs Jan2018'!AI22&lt;='Tariffs Jan2018'!L22,($C$5*'Tariffs Jan2018'!AK22/'Tariffs Jan2018'!AI22-'Tariffs Jan2018'!K22)*('Tariffs Jan2018'!Q22/100)*'Tariffs Jan2018'!AI22,('Tariffs Jan2018'!L22-'Tariffs Jan2018'!K22)*('Tariffs Jan2018'!Q22/100)*'Tariffs Jan2018'!AI22))</f>
        <v>147.87</v>
      </c>
      <c r="H28" s="59">
        <f>IF($C$5*'Tariffs Jan2018'!AK22/'Tariffs Jan2018'!AI22&lt;'Tariffs Jan2018'!L22,0,IF($C$5*'Tariffs Jan2018'!AK22/'Tariffs Jan2018'!AI22&lt;='Tariffs Jan2018'!M22,($C$5*'Tariffs Jan2018'!AK22/'Tariffs Jan2018'!AI22-'Tariffs Jan2018'!L22)*('Tariffs Jan2018'!R22/100)*'Tariffs Jan2018'!AI22,('Tariffs Jan2018'!M22-'Tariffs Jan2018'!L22)*('Tariffs Jan2018'!R22/100)*'Tariffs Jan2018'!AI22))</f>
        <v>66.509999999999991</v>
      </c>
      <c r="I28" s="59">
        <f>IF(($C$5*'Tariffs Jan2018'!AK22/'Tariffs Jan2018'!AI22&gt;'Tariffs Jan2018'!M22),($C$5*'Tariffs Jan2018'!AK22/'Tariffs Jan2018'!AI22-'Tariffs Jan2018'!M22)*'Tariffs Jan2018'!S22/100*'Tariffs Jan2018'!AI22,0)</f>
        <v>0</v>
      </c>
      <c r="J28" s="59">
        <f>IF($C$5*'Tariffs Jan2018'!AL22/'Tariffs Jan2018'!AJ22&gt;='Tariffs Jan2018'!J22,('Tariffs Jan2018'!J22*'Tariffs Jan2018'!U22/100)* 'Tariffs Jan2018'!AJ22,($C$5*'Tariffs Jan2018'!AL22/'Tariffs Jan2018'!AJ22*'Tariffs Jan2018'!U22/100)* 'Tariffs Jan2018'!AJ22)</f>
        <v>175.77</v>
      </c>
      <c r="K28" s="59">
        <f>IF($C$5*'Tariffs Jan2018'!AL22/'Tariffs Jan2018'!AJ22&lt;'Tariffs Jan2018'!J22,0,IF($C$5*'Tariffs Jan2018'!AL22/'Tariffs Jan2018'!AJ22&lt;='Tariffs Jan2018'!K22,($C$5*'Tariffs Jan2018'!AL22/'Tariffs Jan2018'!AJ22-'Tariffs Jan2018'!J22)*('Tariffs Jan2018'!V22/100)*'Tariffs Jan2018'!AJ22,('Tariffs Jan2018'!K22-'Tariffs Jan2018'!J22)*('Tariffs Jan2018'!V22/100)*'Tariffs Jan2018'!AJ22))</f>
        <v>156.96</v>
      </c>
      <c r="L28" s="59">
        <f>IF($C$5*'Tariffs Jan2018'!AL22/'Tariffs Jan2018'!AJ22&lt;'Tariffs Jan2018'!K22,0,IF($C$5*'Tariffs Jan2018'!AL22/'Tariffs Jan2018'!AJ22&lt;='Tariffs Jan2018'!L22,($C$5*'Tariffs Jan2018'!AL22/'Tariffs Jan2018'!AJ22-'Tariffs Jan2018'!K22)*('Tariffs Jan2018'!W22/100)*'Tariffs Jan2018'!AJ22,('Tariffs Jan2018'!L22-'Tariffs Jan2018'!K22)*('Tariffs Jan2018'!W22/100)*'Tariffs Jan2018'!AJ22))</f>
        <v>134.01</v>
      </c>
      <c r="M28" s="59">
        <f>IF($C$5*'Tariffs Jan2018'!AL22/'Tariffs Jan2018'!AJ22&lt;'Tariffs Jan2018'!L22,0,IF($C$5*'Tariffs Jan2018'!AL22/'Tariffs Jan2018'!AJ22&lt;='Tariffs Jan2018'!M22,($C$5*'Tariffs Jan2018'!AL22/'Tariffs Jan2018'!AJ22-'Tariffs Jan2018'!L22)*('Tariffs Jan2018'!X22/100)*'Tariffs Jan2018'!AJ22,('Tariffs Jan2018'!M22-'Tariffs Jan2018'!L22)*('Tariffs Jan2018'!X22/100)*'Tariffs Jan2018'!AJ22))</f>
        <v>60.930000000000007</v>
      </c>
      <c r="N28" s="59">
        <f>IF(($C$5*'Tariffs Jan2018'!AL22/'Tariffs Jan2018'!AJ22&gt;'Tariffs Jan2018'!M22),($C$5*'Tariffs Jan2018'!AL22/'Tariffs Jan2018'!AJ22-'Tariffs Jan2018'!M22)*'Tariffs Jan2018'!Y22/100*'Tariffs Jan2018'!AJ22,0)</f>
        <v>0</v>
      </c>
      <c r="O28" s="271">
        <f t="shared" si="1"/>
        <v>1117.17</v>
      </c>
      <c r="P28" s="59">
        <f t="shared" si="2"/>
        <v>1391.1025</v>
      </c>
      <c r="Q28" s="272">
        <f t="shared" si="3"/>
        <v>1530.2127500000001</v>
      </c>
      <c r="R28" s="40">
        <f>'Tariffs Jan2018'!AM22</f>
        <v>0</v>
      </c>
      <c r="S28" s="40">
        <f>'Tariffs Jan2018'!AN22</f>
        <v>0</v>
      </c>
      <c r="T28" s="40">
        <f>'Tariffs Jan2018'!AO22</f>
        <v>0</v>
      </c>
      <c r="U28" s="40">
        <f>'Tariffs Jan2018'!AP22</f>
        <v>0</v>
      </c>
      <c r="V28" s="273">
        <f t="shared" si="5"/>
        <v>1391.1025</v>
      </c>
      <c r="W28" s="273">
        <f>V28</f>
        <v>1391.1025</v>
      </c>
      <c r="X28" s="272">
        <f t="shared" si="4"/>
        <v>1530.2127500000001</v>
      </c>
      <c r="Y28" s="272">
        <f t="shared" si="4"/>
        <v>1530.2127500000001</v>
      </c>
      <c r="Z28" s="274">
        <f>'Tariffs Jan2018'!AW22</f>
        <v>0</v>
      </c>
      <c r="AA28" s="274" t="str">
        <f>'Tariffs Jan2018'!AX22</f>
        <v>n</v>
      </c>
      <c r="AB28" s="275" t="str">
        <f>'Tariffs Jan2018'!BE22</f>
        <v>Y</v>
      </c>
      <c r="AC28" s="321"/>
      <c r="AD28" s="321"/>
      <c r="AE28" s="321"/>
      <c r="AF28" s="321"/>
      <c r="AG28" s="321"/>
      <c r="AH28" s="321"/>
      <c r="AI28" s="321"/>
      <c r="AJ28" s="321"/>
      <c r="AK28" s="321"/>
      <c r="AL28" s="321"/>
      <c r="AM28" s="321"/>
      <c r="AN28" s="321"/>
    </row>
    <row r="29" spans="1:40" x14ac:dyDescent="0.15">
      <c r="A29" s="270" t="str">
        <f>'Tariffs Jan2018'!F23</f>
        <v>Origin Energy</v>
      </c>
      <c r="B29" s="40" t="str">
        <f>'Tariffs Jan2018'!D23</f>
        <v>Multinet 2</v>
      </c>
      <c r="C29" s="40" t="str">
        <f>'Tariffs Jan2018'!G23</f>
        <v>Saver</v>
      </c>
      <c r="D29" s="59">
        <f>365*'Tariffs Jan2018'!H23/100</f>
        <v>255.5</v>
      </c>
      <c r="E29" s="59">
        <f>IF($C$5*'Tariffs Jan2018'!AK23/'Tariffs Jan2018'!AI23&gt;='Tariffs Jan2018'!J23,( 'Tariffs Jan2018'!J23*'Tariffs Jan2018'!O23/100)* 'Tariffs Jan2018'!AI23,($C$5*'Tariffs Jan2018'!AK23/'Tariffs Jan2018'!AI23*'Tariffs Jan2018'!O23/100)* 'Tariffs Jan2018'!AI23)</f>
        <v>432</v>
      </c>
      <c r="F29" s="59">
        <f>IF($C$5*'Tariffs Jan2018'!AK23/'Tariffs Jan2018'!AI23&lt;'Tariffs Jan2018'!J23,0,IF($C$5*'Tariffs Jan2018'!AK23/'Tariffs Jan2018'!AI23&lt;='Tariffs Jan2018'!K23,($C$5*'Tariffs Jan2018'!AK23/'Tariffs Jan2018'!AI23-'Tariffs Jan2018'!J23)*('Tariffs Jan2018'!P23/100)*'Tariffs Jan2018'!AI23,('Tariffs Jan2018'!K23-'Tariffs Jan2018'!J23)*('Tariffs Jan2018'!P23/100)*'Tariffs Jan2018'!AI23))</f>
        <v>175.5</v>
      </c>
      <c r="G29" s="59">
        <f>IF($C$5*'Tariffs Jan2018'!AK23/'Tariffs Jan2018'!AI23&lt;'Tariffs Jan2018'!K23,0,IF($C$5*'Tariffs Jan2018'!AK23/'Tariffs Jan2018'!AI23&lt;='Tariffs Jan2018'!L23,($C$5*'Tariffs Jan2018'!AK23/'Tariffs Jan2018'!AI23-'Tariffs Jan2018'!K23)*('Tariffs Jan2018'!Q23/100)*'Tariffs Jan2018'!AI23,('Tariffs Jan2018'!L23-'Tariffs Jan2018'!K23)*('Tariffs Jan2018'!Q23/100)*'Tariffs Jan2018'!AI23))</f>
        <v>0</v>
      </c>
      <c r="H29" s="59">
        <f>IF($C$5*'Tariffs Jan2018'!AK23/'Tariffs Jan2018'!AI23&lt;'Tariffs Jan2018'!L23,0,IF($C$5*'Tariffs Jan2018'!AK23/'Tariffs Jan2018'!AI23&lt;='Tariffs Jan2018'!M23,($C$5*'Tariffs Jan2018'!AK23/'Tariffs Jan2018'!AI23-'Tariffs Jan2018'!L23)*('Tariffs Jan2018'!R23/100)*'Tariffs Jan2018'!AI23,('Tariffs Jan2018'!M23-'Tariffs Jan2018'!L23)*('Tariffs Jan2018'!R23/100)*'Tariffs Jan2018'!AI23))</f>
        <v>0</v>
      </c>
      <c r="I29" s="59">
        <f>IF(($C$5*'Tariffs Jan2018'!AK23/'Tariffs Jan2018'!AI23&gt;'Tariffs Jan2018'!M23),($C$5*'Tariffs Jan2018'!AK23/'Tariffs Jan2018'!AI23-'Tariffs Jan2018'!M23)*'Tariffs Jan2018'!S23/100*'Tariffs Jan2018'!AI23,0)</f>
        <v>65.25</v>
      </c>
      <c r="J29" s="59">
        <f>IF($C$5*'Tariffs Jan2018'!AL23/'Tariffs Jan2018'!AJ23&gt;='Tariffs Jan2018'!J23,('Tariffs Jan2018'!J23*'Tariffs Jan2018'!U23/100)* 'Tariffs Jan2018'!AJ23,($C$5*'Tariffs Jan2018'!AL23/'Tariffs Jan2018'!AJ23*'Tariffs Jan2018'!U23/100)* 'Tariffs Jan2018'!AJ23)</f>
        <v>396.00000000000011</v>
      </c>
      <c r="K29" s="59">
        <f>IF($C$5*'Tariffs Jan2018'!AL23/'Tariffs Jan2018'!AJ23&lt;'Tariffs Jan2018'!J23,0,IF($C$5*'Tariffs Jan2018'!AL23/'Tariffs Jan2018'!AJ23&lt;='Tariffs Jan2018'!K23,($C$5*'Tariffs Jan2018'!AL23/'Tariffs Jan2018'!AJ23-'Tariffs Jan2018'!J23)*('Tariffs Jan2018'!V23/100)*'Tariffs Jan2018'!AJ23,('Tariffs Jan2018'!K23-'Tariffs Jan2018'!J23)*('Tariffs Jan2018'!V23/100)*'Tariffs Jan2018'!AJ23))</f>
        <v>157.50000000000003</v>
      </c>
      <c r="L29" s="59">
        <f>IF($C$5*'Tariffs Jan2018'!AL23/'Tariffs Jan2018'!AJ23&lt;'Tariffs Jan2018'!K23,0,IF($C$5*'Tariffs Jan2018'!AL23/'Tariffs Jan2018'!AJ23&lt;='Tariffs Jan2018'!L23,($C$5*'Tariffs Jan2018'!AL23/'Tariffs Jan2018'!AJ23-'Tariffs Jan2018'!K23)*('Tariffs Jan2018'!W23/100)*'Tariffs Jan2018'!AJ23,('Tariffs Jan2018'!L23-'Tariffs Jan2018'!K23)*('Tariffs Jan2018'!W23/100)*'Tariffs Jan2018'!AJ23))</f>
        <v>0</v>
      </c>
      <c r="M29" s="59">
        <f>IF($C$5*'Tariffs Jan2018'!AL23/'Tariffs Jan2018'!AJ23&lt;'Tariffs Jan2018'!L23,0,IF($C$5*'Tariffs Jan2018'!AL23/'Tariffs Jan2018'!AJ23&lt;='Tariffs Jan2018'!M23,($C$5*'Tariffs Jan2018'!AL23/'Tariffs Jan2018'!AJ23-'Tariffs Jan2018'!L23)*('Tariffs Jan2018'!X23/100)*'Tariffs Jan2018'!AJ23,('Tariffs Jan2018'!M23-'Tariffs Jan2018'!L23)*('Tariffs Jan2018'!X23/100)*'Tariffs Jan2018'!AJ23))</f>
        <v>0</v>
      </c>
      <c r="N29" s="59">
        <f>IF(($C$5*'Tariffs Jan2018'!AL23/'Tariffs Jan2018'!AJ23&gt;'Tariffs Jan2018'!M23),($C$5*'Tariffs Jan2018'!AL23/'Tariffs Jan2018'!AJ23-'Tariffs Jan2018'!M23)*'Tariffs Jan2018'!Y23/100*'Tariffs Jan2018'!AJ23,0)</f>
        <v>60.750000000000014</v>
      </c>
      <c r="O29" s="271">
        <f t="shared" si="1"/>
        <v>1287</v>
      </c>
      <c r="P29" s="59">
        <f t="shared" si="2"/>
        <v>1542.5</v>
      </c>
      <c r="Q29" s="272">
        <f t="shared" si="3"/>
        <v>1696.7500000000002</v>
      </c>
      <c r="R29" s="40">
        <f>'Tariffs Jan2018'!AM23</f>
        <v>0</v>
      </c>
      <c r="S29" s="40">
        <f>'Tariffs Jan2018'!AN23</f>
        <v>0</v>
      </c>
      <c r="T29" s="40">
        <f>'Tariffs Jan2018'!AO23</f>
        <v>0</v>
      </c>
      <c r="U29" s="40">
        <f>'Tariffs Jan2018'!AP23</f>
        <v>13</v>
      </c>
      <c r="V29" s="273">
        <f t="shared" si="5"/>
        <v>1542.5</v>
      </c>
      <c r="W29" s="273">
        <f>V29-(O29*U29/100)</f>
        <v>1375.19</v>
      </c>
      <c r="X29" s="272">
        <f t="shared" si="4"/>
        <v>1696.7500000000002</v>
      </c>
      <c r="Y29" s="272">
        <f t="shared" si="4"/>
        <v>1512.7090000000003</v>
      </c>
      <c r="Z29" s="274">
        <f>'Tariffs Jan2018'!AW23</f>
        <v>0</v>
      </c>
      <c r="AA29" s="274" t="str">
        <f>'Tariffs Jan2018'!AX23</f>
        <v>n</v>
      </c>
      <c r="AB29" s="275" t="str">
        <f>'Tariffs Jan2018'!BE23</f>
        <v>N</v>
      </c>
      <c r="AC29" s="321"/>
      <c r="AD29" s="321"/>
      <c r="AE29" s="321"/>
      <c r="AF29" s="321"/>
      <c r="AG29" s="321"/>
      <c r="AH29" s="321"/>
      <c r="AI29" s="321"/>
      <c r="AJ29" s="321"/>
      <c r="AK29" s="321"/>
      <c r="AL29" s="321"/>
      <c r="AM29" s="321"/>
      <c r="AN29" s="321"/>
    </row>
    <row r="30" spans="1:40" x14ac:dyDescent="0.15">
      <c r="A30" s="270" t="str">
        <f>'Tariffs Jan2018'!F24</f>
        <v>Red Energy</v>
      </c>
      <c r="B30" s="40" t="str">
        <f>'Tariffs Jan2018'!D24</f>
        <v>Multinet 2</v>
      </c>
      <c r="C30" s="40" t="str">
        <f>'Tariffs Jan2018'!G24</f>
        <v>Living Energy Saver</v>
      </c>
      <c r="D30" s="59">
        <f>365*'Tariffs Jan2018'!H24/100</f>
        <v>260.61</v>
      </c>
      <c r="E30" s="59">
        <f>IF($C$5*'Tariffs Jan2018'!AK24/'Tariffs Jan2018'!AI24&gt;='Tariffs Jan2018'!J24,( 'Tariffs Jan2018'!J24*'Tariffs Jan2018'!O24/100)* 'Tariffs Jan2018'!AI24,($C$5*'Tariffs Jan2018'!AK24/'Tariffs Jan2018'!AI24*'Tariffs Jan2018'!O24/100)* 'Tariffs Jan2018'!AI24)</f>
        <v>186.48</v>
      </c>
      <c r="F30" s="59">
        <f>IF($C$5*'Tariffs Jan2018'!AK24/'Tariffs Jan2018'!AI24&lt;'Tariffs Jan2018'!J24,0,IF($C$5*'Tariffs Jan2018'!AK24/'Tariffs Jan2018'!AI24&lt;='Tariffs Jan2018'!K24,($C$5*'Tariffs Jan2018'!AK24/'Tariffs Jan2018'!AI24-'Tariffs Jan2018'!J24)*('Tariffs Jan2018'!P24/100)*'Tariffs Jan2018'!AI24,('Tariffs Jan2018'!K24-'Tariffs Jan2018'!J24)*('Tariffs Jan2018'!P24/100)*'Tariffs Jan2018'!AI24))</f>
        <v>0</v>
      </c>
      <c r="G30" s="59">
        <f>IF($C$5*'Tariffs Jan2018'!AK24/'Tariffs Jan2018'!AI24&lt;'Tariffs Jan2018'!K24,0,IF($C$5*'Tariffs Jan2018'!AK24/'Tariffs Jan2018'!AI24&lt;='Tariffs Jan2018'!L24,($C$5*'Tariffs Jan2018'!AK24/'Tariffs Jan2018'!AI24-'Tariffs Jan2018'!K24)*('Tariffs Jan2018'!Q24/100)*'Tariffs Jan2018'!AI24,('Tariffs Jan2018'!L24-'Tariffs Jan2018'!K24)*('Tariffs Jan2018'!Q24/100)*'Tariffs Jan2018'!AI24))</f>
        <v>0</v>
      </c>
      <c r="H30" s="59">
        <f>IF($C$5*'Tariffs Jan2018'!AK24/'Tariffs Jan2018'!AI24&lt;'Tariffs Jan2018'!L24,0,IF($C$5*'Tariffs Jan2018'!AK24/'Tariffs Jan2018'!AI24&lt;='Tariffs Jan2018'!M24,($C$5*'Tariffs Jan2018'!AK24/'Tariffs Jan2018'!AI24-'Tariffs Jan2018'!L24)*('Tariffs Jan2018'!R24/100)*'Tariffs Jan2018'!AI24,('Tariffs Jan2018'!M24-'Tariffs Jan2018'!L24)*('Tariffs Jan2018'!R24/100)*'Tariffs Jan2018'!AI24))</f>
        <v>0</v>
      </c>
      <c r="I30" s="59">
        <f>IF(($C$5*'Tariffs Jan2018'!AK24/'Tariffs Jan2018'!AI24&gt;'Tariffs Jan2018'!M24),($C$5*'Tariffs Jan2018'!AK24/'Tariffs Jan2018'!AI24-'Tariffs Jan2018'!M24)*'Tariffs Jan2018'!S24/100*'Tariffs Jan2018'!AI24,0)</f>
        <v>296.52</v>
      </c>
      <c r="J30" s="59">
        <f>IF($C$5*'Tariffs Jan2018'!AL24/'Tariffs Jan2018'!AJ24&gt;='Tariffs Jan2018'!J24,('Tariffs Jan2018'!J24*'Tariffs Jan2018'!U24/100)* 'Tariffs Jan2018'!AJ24,($C$5*'Tariffs Jan2018'!AL24/'Tariffs Jan2018'!AJ24*'Tariffs Jan2018'!U24/100)* 'Tariffs Jan2018'!AJ24)</f>
        <v>182.7</v>
      </c>
      <c r="K30" s="59">
        <f>IF($C$5*'Tariffs Jan2018'!AL24/'Tariffs Jan2018'!AJ24&lt;'Tariffs Jan2018'!J24,0,IF($C$5*'Tariffs Jan2018'!AL24/'Tariffs Jan2018'!AJ24&lt;='Tariffs Jan2018'!K24,($C$5*'Tariffs Jan2018'!AL24/'Tariffs Jan2018'!AJ24-'Tariffs Jan2018'!J24)*('Tariffs Jan2018'!V24/100)*'Tariffs Jan2018'!AJ24,('Tariffs Jan2018'!K24-'Tariffs Jan2018'!J24)*('Tariffs Jan2018'!V24/100)*'Tariffs Jan2018'!AJ24))</f>
        <v>0</v>
      </c>
      <c r="L30" s="59">
        <f>IF($C$5*'Tariffs Jan2018'!AL24/'Tariffs Jan2018'!AJ24&lt;'Tariffs Jan2018'!K24,0,IF($C$5*'Tariffs Jan2018'!AL24/'Tariffs Jan2018'!AJ24&lt;='Tariffs Jan2018'!L24,($C$5*'Tariffs Jan2018'!AL24/'Tariffs Jan2018'!AJ24-'Tariffs Jan2018'!K24)*('Tariffs Jan2018'!W24/100)*'Tariffs Jan2018'!AJ24,('Tariffs Jan2018'!L24-'Tariffs Jan2018'!K24)*('Tariffs Jan2018'!W24/100)*'Tariffs Jan2018'!AJ24))</f>
        <v>0</v>
      </c>
      <c r="M30" s="59">
        <f>IF($C$5*'Tariffs Jan2018'!AL24/'Tariffs Jan2018'!AJ24&lt;'Tariffs Jan2018'!L24,0,IF($C$5*'Tariffs Jan2018'!AL24/'Tariffs Jan2018'!AJ24&lt;='Tariffs Jan2018'!M24,($C$5*'Tariffs Jan2018'!AL24/'Tariffs Jan2018'!AJ24-'Tariffs Jan2018'!L24)*('Tariffs Jan2018'!X24/100)*'Tariffs Jan2018'!AJ24,('Tariffs Jan2018'!M24-'Tariffs Jan2018'!L24)*('Tariffs Jan2018'!X24/100)*'Tariffs Jan2018'!AJ24))</f>
        <v>0</v>
      </c>
      <c r="N30" s="59">
        <f>IF(($C$5*'Tariffs Jan2018'!AL24/'Tariffs Jan2018'!AJ24&gt;'Tariffs Jan2018'!M24),($C$5*'Tariffs Jan2018'!AL24/'Tariffs Jan2018'!AJ24-'Tariffs Jan2018'!M24)*'Tariffs Jan2018'!Y24/100*'Tariffs Jan2018'!AJ24,0)</f>
        <v>295.89</v>
      </c>
      <c r="O30" s="271">
        <f t="shared" si="1"/>
        <v>961.59</v>
      </c>
      <c r="P30" s="59">
        <f t="shared" si="2"/>
        <v>1222.2</v>
      </c>
      <c r="Q30" s="272">
        <f t="shared" si="3"/>
        <v>1344.42</v>
      </c>
      <c r="R30" s="40">
        <f>'Tariffs Jan2018'!AM24</f>
        <v>0</v>
      </c>
      <c r="S30" s="40">
        <f>'Tariffs Jan2018'!AN24</f>
        <v>0</v>
      </c>
      <c r="T30" s="40">
        <f>'Tariffs Jan2018'!AO24</f>
        <v>10</v>
      </c>
      <c r="U30" s="40">
        <f>'Tariffs Jan2018'!AP24</f>
        <v>0</v>
      </c>
      <c r="V30" s="273">
        <f t="shared" si="5"/>
        <v>1222.2</v>
      </c>
      <c r="W30" s="273">
        <f>V30-(P30*T30/100)</f>
        <v>1099.98</v>
      </c>
      <c r="X30" s="272">
        <f t="shared" si="4"/>
        <v>1344.42</v>
      </c>
      <c r="Y30" s="272">
        <f t="shared" si="4"/>
        <v>1209.9780000000001</v>
      </c>
      <c r="Z30" s="274">
        <f>'Tariffs Jan2018'!AW24</f>
        <v>0</v>
      </c>
      <c r="AA30" s="274" t="str">
        <f>'Tariffs Jan2018'!AX24</f>
        <v>n</v>
      </c>
      <c r="AB30" s="275" t="str">
        <f>'Tariffs Jan2018'!BE24</f>
        <v>Y</v>
      </c>
      <c r="AC30" s="321"/>
      <c r="AD30" s="321"/>
      <c r="AE30" s="321"/>
      <c r="AF30" s="321"/>
      <c r="AG30" s="321"/>
      <c r="AH30" s="321"/>
      <c r="AI30" s="321"/>
      <c r="AJ30" s="321"/>
      <c r="AK30" s="321"/>
      <c r="AL30" s="321"/>
      <c r="AM30" s="321"/>
      <c r="AN30" s="321"/>
    </row>
    <row r="31" spans="1:40" x14ac:dyDescent="0.15">
      <c r="A31" s="270" t="str">
        <f>'Tariffs Jan2018'!F25</f>
        <v>Simply Energy</v>
      </c>
      <c r="B31" s="40" t="str">
        <f>'Tariffs Jan2018'!D25</f>
        <v>Multinet 2</v>
      </c>
      <c r="C31" s="40" t="str">
        <f>'Tariffs Jan2018'!G25</f>
        <v>Plus</v>
      </c>
      <c r="D31" s="59">
        <f>365*'Tariffs Jan2018'!H25/100</f>
        <v>255.86499999999995</v>
      </c>
      <c r="E31" s="59">
        <f>IF($C$5*'Tariffs Jan2018'!AK25/'Tariffs Jan2018'!AI25&gt;='Tariffs Jan2018'!J25,( 'Tariffs Jan2018'!J25*'Tariffs Jan2018'!O25/100)* 'Tariffs Jan2018'!AI25,($C$5*'Tariffs Jan2018'!AK25/'Tariffs Jan2018'!AI25*'Tariffs Jan2018'!O25/100)* 'Tariffs Jan2018'!AI25)</f>
        <v>265.5</v>
      </c>
      <c r="F31" s="59">
        <f>IF($C$5*'Tariffs Jan2018'!AK25/'Tariffs Jan2018'!AI25&lt;'Tariffs Jan2018'!J25,0,IF($C$5*'Tariffs Jan2018'!AK25/'Tariffs Jan2018'!AI25&lt;='Tariffs Jan2018'!K25,($C$5*'Tariffs Jan2018'!AK25/'Tariffs Jan2018'!AI25-'Tariffs Jan2018'!J25)*('Tariffs Jan2018'!P25/100)*'Tariffs Jan2018'!AI25,('Tariffs Jan2018'!K25-'Tariffs Jan2018'!J25)*('Tariffs Jan2018'!P25/100)*'Tariffs Jan2018'!AI25))</f>
        <v>236.70000000000002</v>
      </c>
      <c r="G31" s="59">
        <f>IF($C$5*'Tariffs Jan2018'!AK25/'Tariffs Jan2018'!AI25&lt;'Tariffs Jan2018'!K25,0,IF($C$5*'Tariffs Jan2018'!AK25/'Tariffs Jan2018'!AI25&lt;='Tariffs Jan2018'!L25,($C$5*'Tariffs Jan2018'!AK25/'Tariffs Jan2018'!AI25-'Tariffs Jan2018'!K25)*('Tariffs Jan2018'!Q25/100)*'Tariffs Jan2018'!AI25,('Tariffs Jan2018'!L25-'Tariffs Jan2018'!K25)*('Tariffs Jan2018'!Q25/100)*'Tariffs Jan2018'!AI25))</f>
        <v>202.5</v>
      </c>
      <c r="H31" s="59">
        <f>IF($C$5*'Tariffs Jan2018'!AK25/'Tariffs Jan2018'!AI25&lt;'Tariffs Jan2018'!L25,0,IF($C$5*'Tariffs Jan2018'!AK25/'Tariffs Jan2018'!AI25&lt;='Tariffs Jan2018'!M25,($C$5*'Tariffs Jan2018'!AK25/'Tariffs Jan2018'!AI25-'Tariffs Jan2018'!L25)*('Tariffs Jan2018'!R25/100)*'Tariffs Jan2018'!AI25,('Tariffs Jan2018'!M25-'Tariffs Jan2018'!L25)*('Tariffs Jan2018'!R25/100)*'Tariffs Jan2018'!AI25))</f>
        <v>91.800000000000011</v>
      </c>
      <c r="I31" s="59">
        <f>IF(($C$5*'Tariffs Jan2018'!AK25/'Tariffs Jan2018'!AI25&gt;'Tariffs Jan2018'!M25),($C$5*'Tariffs Jan2018'!AK25/'Tariffs Jan2018'!AI25-'Tariffs Jan2018'!M25)*'Tariffs Jan2018'!S25/100*'Tariffs Jan2018'!AI25,0)</f>
        <v>0</v>
      </c>
      <c r="J31" s="59">
        <f>IF($C$5*'Tariffs Jan2018'!AL25/'Tariffs Jan2018'!AJ25&gt;='Tariffs Jan2018'!J25,('Tariffs Jan2018'!J25*'Tariffs Jan2018'!U25/100)* 'Tariffs Jan2018'!AJ25,($C$5*'Tariffs Jan2018'!AL25/'Tariffs Jan2018'!AJ25*'Tariffs Jan2018'!U25/100)* 'Tariffs Jan2018'!AJ25)</f>
        <v>250.20000000000002</v>
      </c>
      <c r="K31" s="59">
        <f>IF($C$5*'Tariffs Jan2018'!AL25/'Tariffs Jan2018'!AJ25&lt;'Tariffs Jan2018'!J25,0,IF($C$5*'Tariffs Jan2018'!AL25/'Tariffs Jan2018'!AJ25&lt;='Tariffs Jan2018'!K25,($C$5*'Tariffs Jan2018'!AL25/'Tariffs Jan2018'!AJ25-'Tariffs Jan2018'!J25)*('Tariffs Jan2018'!V25/100)*'Tariffs Jan2018'!AJ25,('Tariffs Jan2018'!K25-'Tariffs Jan2018'!J25)*('Tariffs Jan2018'!V25/100)*'Tariffs Jan2018'!AJ25))</f>
        <v>225.89999999999998</v>
      </c>
      <c r="L31" s="59">
        <f>IF($C$5*'Tariffs Jan2018'!AL25/'Tariffs Jan2018'!AJ25&lt;'Tariffs Jan2018'!K25,0,IF($C$5*'Tariffs Jan2018'!AL25/'Tariffs Jan2018'!AJ25&lt;='Tariffs Jan2018'!L25,($C$5*'Tariffs Jan2018'!AL25/'Tariffs Jan2018'!AJ25-'Tariffs Jan2018'!K25)*('Tariffs Jan2018'!W25/100)*'Tariffs Jan2018'!AJ25,('Tariffs Jan2018'!L25-'Tariffs Jan2018'!K25)*('Tariffs Jan2018'!W25/100)*'Tariffs Jan2018'!AJ25))</f>
        <v>197.10000000000002</v>
      </c>
      <c r="M31" s="59">
        <f>IF($C$5*'Tariffs Jan2018'!AL25/'Tariffs Jan2018'!AJ25&lt;'Tariffs Jan2018'!L25,0,IF($C$5*'Tariffs Jan2018'!AL25/'Tariffs Jan2018'!AJ25&lt;='Tariffs Jan2018'!M25,($C$5*'Tariffs Jan2018'!AL25/'Tariffs Jan2018'!AJ25-'Tariffs Jan2018'!L25)*('Tariffs Jan2018'!X25/100)*'Tariffs Jan2018'!AJ25,('Tariffs Jan2018'!M25-'Tariffs Jan2018'!L25)*('Tariffs Jan2018'!X25/100)*'Tariffs Jan2018'!AJ25))</f>
        <v>90.449999999999989</v>
      </c>
      <c r="N31" s="59">
        <f>IF(($C$5*'Tariffs Jan2018'!AL25/'Tariffs Jan2018'!AJ25&gt;'Tariffs Jan2018'!M25),($C$5*'Tariffs Jan2018'!AL25/'Tariffs Jan2018'!AJ25-'Tariffs Jan2018'!M25)*'Tariffs Jan2018'!Y25/100*'Tariffs Jan2018'!AJ25,0)</f>
        <v>0</v>
      </c>
      <c r="O31" s="271">
        <f t="shared" si="1"/>
        <v>1560.1499999999999</v>
      </c>
      <c r="P31" s="59">
        <f t="shared" si="2"/>
        <v>1816.0149999999999</v>
      </c>
      <c r="Q31" s="272">
        <f t="shared" si="3"/>
        <v>1997.6165000000001</v>
      </c>
      <c r="R31" s="40">
        <f>'Tariffs Jan2018'!AM25</f>
        <v>0</v>
      </c>
      <c r="S31" s="40">
        <f>'Tariffs Jan2018'!AN25</f>
        <v>0</v>
      </c>
      <c r="T31" s="40">
        <f>'Tariffs Jan2018'!AO25</f>
        <v>0</v>
      </c>
      <c r="U31" s="40">
        <f>'Tariffs Jan2018'!AP25</f>
        <v>20</v>
      </c>
      <c r="V31" s="273">
        <f t="shared" si="5"/>
        <v>1816.0149999999999</v>
      </c>
      <c r="W31" s="273">
        <f>V31-(O31*U31/100)</f>
        <v>1503.9849999999999</v>
      </c>
      <c r="X31" s="272">
        <f t="shared" si="4"/>
        <v>1997.6165000000001</v>
      </c>
      <c r="Y31" s="272">
        <f t="shared" si="4"/>
        <v>1654.3834999999999</v>
      </c>
      <c r="Z31" s="274">
        <f>'Tariffs Jan2018'!AW25</f>
        <v>0</v>
      </c>
      <c r="AA31" s="274" t="str">
        <f>'Tariffs Jan2018'!AX25</f>
        <v>n</v>
      </c>
      <c r="AB31" s="275" t="str">
        <f>'Tariffs Jan2018'!BE25</f>
        <v>Y</v>
      </c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</row>
    <row r="32" spans="1:40" x14ac:dyDescent="0.15">
      <c r="A32" s="270" t="str">
        <f>'Tariffs Jan2018'!F26</f>
        <v>Sumo Power</v>
      </c>
      <c r="B32" s="40" t="str">
        <f>'Tariffs Jan2018'!D26</f>
        <v>Multinet 2</v>
      </c>
      <c r="C32" s="40" t="str">
        <f>'Tariffs Jan2018'!G26</f>
        <v>Pay on time</v>
      </c>
      <c r="D32" s="59">
        <f>365*'Tariffs Jan2018'!H26/100</f>
        <v>299.22700000000003</v>
      </c>
      <c r="E32" s="59">
        <f>IF($C$5*'Tariffs Jan2018'!AK26/'Tariffs Jan2018'!AI26&gt;='Tariffs Jan2018'!J26,( 'Tariffs Jan2018'!J26*'Tariffs Jan2018'!O26/100)* 'Tariffs Jan2018'!AI26,($C$5*'Tariffs Jan2018'!AK26/'Tariffs Jan2018'!AI26*'Tariffs Jan2018'!O26/100)* 'Tariffs Jan2018'!AI26)</f>
        <v>271.98</v>
      </c>
      <c r="F32" s="59">
        <f>IF($C$5*'Tariffs Jan2018'!AK26/'Tariffs Jan2018'!AI26&lt;'Tariffs Jan2018'!J26,0,IF($C$5*'Tariffs Jan2018'!AK26/'Tariffs Jan2018'!AI26&lt;='Tariffs Jan2018'!K26,($C$5*'Tariffs Jan2018'!AK26/'Tariffs Jan2018'!AI26-'Tariffs Jan2018'!J26)*('Tariffs Jan2018'!P26/100)*'Tariffs Jan2018'!AI26,('Tariffs Jan2018'!K26-'Tariffs Jan2018'!J26)*('Tariffs Jan2018'!P26/100)*'Tariffs Jan2018'!AI26))</f>
        <v>235.89</v>
      </c>
      <c r="G32" s="59">
        <f>IF($C$5*'Tariffs Jan2018'!AK26/'Tariffs Jan2018'!AI26&lt;'Tariffs Jan2018'!K26,0,IF($C$5*'Tariffs Jan2018'!AK26/'Tariffs Jan2018'!AI26&lt;='Tariffs Jan2018'!L26,($C$5*'Tariffs Jan2018'!AK26/'Tariffs Jan2018'!AI26-'Tariffs Jan2018'!K26)*('Tariffs Jan2018'!Q26/100)*'Tariffs Jan2018'!AI26,('Tariffs Jan2018'!L26-'Tariffs Jan2018'!K26)*('Tariffs Jan2018'!Q26/100)*'Tariffs Jan2018'!AI26))</f>
        <v>190.53000000000003</v>
      </c>
      <c r="H32" s="59">
        <f>IF($C$5*'Tariffs Jan2018'!AK26/'Tariffs Jan2018'!AI26&lt;'Tariffs Jan2018'!L26,0,IF($C$5*'Tariffs Jan2018'!AK26/'Tariffs Jan2018'!AI26&lt;='Tariffs Jan2018'!M26,($C$5*'Tariffs Jan2018'!AK26/'Tariffs Jan2018'!AI26-'Tariffs Jan2018'!L26)*('Tariffs Jan2018'!R26/100)*'Tariffs Jan2018'!AI26,('Tariffs Jan2018'!M26-'Tariffs Jan2018'!L26)*('Tariffs Jan2018'!R26/100)*'Tariffs Jan2018'!AI26))</f>
        <v>0</v>
      </c>
      <c r="I32" s="59">
        <f>IF(($C$5*'Tariffs Jan2018'!AK26/'Tariffs Jan2018'!AI26&gt;'Tariffs Jan2018'!M26),($C$5*'Tariffs Jan2018'!AK26/'Tariffs Jan2018'!AI26-'Tariffs Jan2018'!M26)*'Tariffs Jan2018'!S26/100*'Tariffs Jan2018'!AI26,0)</f>
        <v>84.33</v>
      </c>
      <c r="J32" s="59">
        <f>IF($C$5*'Tariffs Jan2018'!AL26/'Tariffs Jan2018'!AJ26&gt;='Tariffs Jan2018'!J26,('Tariffs Jan2018'!J26*'Tariffs Jan2018'!U26/100)* 'Tariffs Jan2018'!AJ26,($C$5*'Tariffs Jan2018'!AL26/'Tariffs Jan2018'!AJ26*'Tariffs Jan2018'!U26/100)* 'Tariffs Jan2018'!AJ26)</f>
        <v>257.49</v>
      </c>
      <c r="K32" s="59">
        <f>IF($C$5*'Tariffs Jan2018'!AL26/'Tariffs Jan2018'!AJ26&lt;'Tariffs Jan2018'!J26,0,IF($C$5*'Tariffs Jan2018'!AL26/'Tariffs Jan2018'!AJ26&lt;='Tariffs Jan2018'!K26,($C$5*'Tariffs Jan2018'!AL26/'Tariffs Jan2018'!AJ26-'Tariffs Jan2018'!J26)*('Tariffs Jan2018'!V26/100)*'Tariffs Jan2018'!AJ26,('Tariffs Jan2018'!K26-'Tariffs Jan2018'!J26)*('Tariffs Jan2018'!V26/100)*'Tariffs Jan2018'!AJ26))</f>
        <v>219.95999999999998</v>
      </c>
      <c r="L32" s="59">
        <f>IF($C$5*'Tariffs Jan2018'!AL26/'Tariffs Jan2018'!AJ26&lt;'Tariffs Jan2018'!K26,0,IF($C$5*'Tariffs Jan2018'!AL26/'Tariffs Jan2018'!AJ26&lt;='Tariffs Jan2018'!L26,($C$5*'Tariffs Jan2018'!AL26/'Tariffs Jan2018'!AJ26-'Tariffs Jan2018'!K26)*('Tariffs Jan2018'!W26/100)*'Tariffs Jan2018'!AJ26,('Tariffs Jan2018'!L26-'Tariffs Jan2018'!K26)*('Tariffs Jan2018'!W26/100)*'Tariffs Jan2018'!AJ26))</f>
        <v>186.21</v>
      </c>
      <c r="M32" s="59">
        <f>IF($C$5*'Tariffs Jan2018'!AL26/'Tariffs Jan2018'!AJ26&lt;'Tariffs Jan2018'!L26,0,IF($C$5*'Tariffs Jan2018'!AL26/'Tariffs Jan2018'!AJ26&lt;='Tariffs Jan2018'!M26,($C$5*'Tariffs Jan2018'!AL26/'Tariffs Jan2018'!AJ26-'Tariffs Jan2018'!L26)*('Tariffs Jan2018'!X26/100)*'Tariffs Jan2018'!AJ26,('Tariffs Jan2018'!M26-'Tariffs Jan2018'!L26)*('Tariffs Jan2018'!X26/100)*'Tariffs Jan2018'!AJ26))</f>
        <v>0</v>
      </c>
      <c r="N32" s="59">
        <f>IF(($C$5*'Tariffs Jan2018'!AL26/'Tariffs Jan2018'!AJ26&gt;'Tariffs Jan2018'!M26),($C$5*'Tariffs Jan2018'!AL26/'Tariffs Jan2018'!AJ26-'Tariffs Jan2018'!M26)*'Tariffs Jan2018'!Y26/100*'Tariffs Jan2018'!AJ26,0)</f>
        <v>81.405000000000001</v>
      </c>
      <c r="O32" s="271">
        <f>SUM(E32:N32)</f>
        <v>1527.7950000000003</v>
      </c>
      <c r="P32" s="59">
        <f>D32+O32</f>
        <v>1827.0220000000004</v>
      </c>
      <c r="Q32" s="272">
        <f>P32*1.1</f>
        <v>2009.7242000000006</v>
      </c>
      <c r="R32" s="40">
        <f>'Tariffs Jan2018'!AM26</f>
        <v>0</v>
      </c>
      <c r="S32" s="40">
        <f>'Tariffs Jan2018'!AN26</f>
        <v>0</v>
      </c>
      <c r="T32" s="40">
        <f>'Tariffs Jan2018'!AO26</f>
        <v>0</v>
      </c>
      <c r="U32" s="40">
        <f>'Tariffs Jan2018'!AP26</f>
        <v>17</v>
      </c>
      <c r="V32" s="273">
        <f t="shared" si="5"/>
        <v>1827.0220000000004</v>
      </c>
      <c r="W32" s="273">
        <f>V32-(O32*U32/100)</f>
        <v>1567.2968500000004</v>
      </c>
      <c r="X32" s="272">
        <f>V32*1.1</f>
        <v>2009.7242000000006</v>
      </c>
      <c r="Y32" s="272">
        <f>W32*1.1</f>
        <v>1724.0265350000006</v>
      </c>
      <c r="Z32" s="274">
        <f>'Tariffs Jan2018'!AW26</f>
        <v>0</v>
      </c>
      <c r="AA32" s="274" t="str">
        <f>'Tariffs Jan2018'!AX26</f>
        <v>n</v>
      </c>
      <c r="AB32" s="275" t="str">
        <f>'Tariffs Jan2018'!BE26</f>
        <v>Y</v>
      </c>
      <c r="AC32" s="321"/>
      <c r="AD32" s="321"/>
      <c r="AE32" s="321"/>
      <c r="AF32" s="321"/>
      <c r="AG32" s="321"/>
      <c r="AH32" s="321"/>
      <c r="AI32" s="321"/>
      <c r="AJ32" s="321"/>
      <c r="AK32" s="321"/>
      <c r="AL32" s="321"/>
      <c r="AM32" s="321"/>
      <c r="AN32" s="321"/>
    </row>
    <row r="33" spans="1:40" ht="14" thickBot="1" x14ac:dyDescent="0.2">
      <c r="A33" s="276" t="str">
        <f>'Tariffs Jan2018'!F27</f>
        <v>Amaysim</v>
      </c>
      <c r="B33" s="277" t="str">
        <f>'Tariffs Jan2018'!D27</f>
        <v>Multinet 2</v>
      </c>
      <c r="C33" s="277" t="str">
        <f>'Tariffs Jan2018'!G27</f>
        <v>Gas 3</v>
      </c>
      <c r="D33" s="278">
        <f>365*'Tariffs Jan2018'!H27/100</f>
        <v>285.06499999999994</v>
      </c>
      <c r="E33" s="278">
        <f>IF($C$5*'Tariffs Jan2018'!AK27/'Tariffs Jan2018'!AI27&gt;='Tariffs Jan2018'!J27,( 'Tariffs Jan2018'!J27*'Tariffs Jan2018'!O27/100)* 'Tariffs Jan2018'!AI27,($C$5*'Tariffs Jan2018'!AK27/'Tariffs Jan2018'!AI27*'Tariffs Jan2018'!O27/100)* 'Tariffs Jan2018'!AI27)</f>
        <v>301.5</v>
      </c>
      <c r="F33" s="278">
        <f>IF($C$5*'Tariffs Jan2018'!AK27/'Tariffs Jan2018'!AI27&lt;'Tariffs Jan2018'!J27,0,IF($C$5*'Tariffs Jan2018'!AK27/'Tariffs Jan2018'!AI27&lt;='Tariffs Jan2018'!K27,($C$5*'Tariffs Jan2018'!AK27/'Tariffs Jan2018'!AI27-'Tariffs Jan2018'!J27)*('Tariffs Jan2018'!P27/100)*'Tariffs Jan2018'!AI27,('Tariffs Jan2018'!K27-'Tariffs Jan2018'!J27)*('Tariffs Jan2018'!P27/100)*'Tariffs Jan2018'!AI27))</f>
        <v>265.5</v>
      </c>
      <c r="G33" s="278">
        <f>IF($C$5*'Tariffs Jan2018'!AK27/'Tariffs Jan2018'!AI27&lt;'Tariffs Jan2018'!K27,0,IF($C$5*'Tariffs Jan2018'!AK27/'Tariffs Jan2018'!AI27&lt;='Tariffs Jan2018'!L27,($C$5*'Tariffs Jan2018'!AK27/'Tariffs Jan2018'!AI27-'Tariffs Jan2018'!K27)*('Tariffs Jan2018'!Q27/100)*'Tariffs Jan2018'!AI27,('Tariffs Jan2018'!L27-'Tariffs Jan2018'!K27)*('Tariffs Jan2018'!Q27/100)*'Tariffs Jan2018'!AI27))</f>
        <v>229.5</v>
      </c>
      <c r="H33" s="278">
        <f>IF($C$5*'Tariffs Jan2018'!AK27/'Tariffs Jan2018'!AI27&lt;'Tariffs Jan2018'!L27,0,IF($C$5*'Tariffs Jan2018'!AK27/'Tariffs Jan2018'!AI27&lt;='Tariffs Jan2018'!M27,($C$5*'Tariffs Jan2018'!AK27/'Tariffs Jan2018'!AI27-'Tariffs Jan2018'!L27)*('Tariffs Jan2018'!R27/100)*'Tariffs Jan2018'!AI27,('Tariffs Jan2018'!M27-'Tariffs Jan2018'!L27)*('Tariffs Jan2018'!R27/100)*'Tariffs Jan2018'!AI27))</f>
        <v>105.75</v>
      </c>
      <c r="I33" s="278">
        <f>IF(($C$5*'Tariffs Jan2018'!AK27/'Tariffs Jan2018'!AI27&gt;'Tariffs Jan2018'!M27),($C$5*'Tariffs Jan2018'!AK27/'Tariffs Jan2018'!AI27-'Tariffs Jan2018'!M27)*'Tariffs Jan2018'!S27/100*'Tariffs Jan2018'!AI27,0)</f>
        <v>0</v>
      </c>
      <c r="J33" s="278">
        <f>IF($C$5*'Tariffs Jan2018'!AL27/'Tariffs Jan2018'!AJ27&gt;='Tariffs Jan2018'!J27,('Tariffs Jan2018'!J27*'Tariffs Jan2018'!U27/100)* 'Tariffs Jan2018'!AJ27,($C$5*'Tariffs Jan2018'!AL27/'Tariffs Jan2018'!AJ27*'Tariffs Jan2018'!U27/100)* 'Tariffs Jan2018'!AJ27)</f>
        <v>292.5</v>
      </c>
      <c r="K33" s="278">
        <f>IF($C$5*'Tariffs Jan2018'!AL27/'Tariffs Jan2018'!AJ27&lt;'Tariffs Jan2018'!J27,0,IF($C$5*'Tariffs Jan2018'!AL27/'Tariffs Jan2018'!AJ27&lt;='Tariffs Jan2018'!K27,($C$5*'Tariffs Jan2018'!AL27/'Tariffs Jan2018'!AJ27-'Tariffs Jan2018'!J27)*('Tariffs Jan2018'!V27/100)*'Tariffs Jan2018'!AJ27,('Tariffs Jan2018'!K27-'Tariffs Jan2018'!J27)*('Tariffs Jan2018'!V27/100)*'Tariffs Jan2018'!AJ27))</f>
        <v>261</v>
      </c>
      <c r="L33" s="278">
        <f>IF($C$5*'Tariffs Jan2018'!AL27/'Tariffs Jan2018'!AJ27&lt;'Tariffs Jan2018'!K27,0,IF($C$5*'Tariffs Jan2018'!AL27/'Tariffs Jan2018'!AJ27&lt;='Tariffs Jan2018'!L27,($C$5*'Tariffs Jan2018'!AL27/'Tariffs Jan2018'!AJ27-'Tariffs Jan2018'!K27)*('Tariffs Jan2018'!W27/100)*'Tariffs Jan2018'!AJ27,('Tariffs Jan2018'!L27-'Tariffs Jan2018'!K27)*('Tariffs Jan2018'!W27/100)*'Tariffs Jan2018'!AJ27))</f>
        <v>225</v>
      </c>
      <c r="M33" s="278">
        <f>IF($C$5*'Tariffs Jan2018'!AL27/'Tariffs Jan2018'!AJ27&lt;'Tariffs Jan2018'!L27,0,IF($C$5*'Tariffs Jan2018'!AL27/'Tariffs Jan2018'!AJ27&lt;='Tariffs Jan2018'!M27,($C$5*'Tariffs Jan2018'!AL27/'Tariffs Jan2018'!AJ27-'Tariffs Jan2018'!L27)*('Tariffs Jan2018'!X27/100)*'Tariffs Jan2018'!AJ27,('Tariffs Jan2018'!M27-'Tariffs Jan2018'!L27)*('Tariffs Jan2018'!X27/100)*'Tariffs Jan2018'!AJ27))</f>
        <v>105.75</v>
      </c>
      <c r="N33" s="278">
        <f>IF(($C$5*'Tariffs Jan2018'!AL27/'Tariffs Jan2018'!AJ27&gt;'Tariffs Jan2018'!M27),($C$5*'Tariffs Jan2018'!AL27/'Tariffs Jan2018'!AJ27-'Tariffs Jan2018'!M27)*'Tariffs Jan2018'!Y27/100*'Tariffs Jan2018'!AJ27,0)</f>
        <v>0</v>
      </c>
      <c r="O33" s="279">
        <f>SUM(E33:N33)</f>
        <v>1786.5</v>
      </c>
      <c r="P33" s="278">
        <f>D33+O33</f>
        <v>2071.5650000000001</v>
      </c>
      <c r="Q33" s="280">
        <f>P33*1.1</f>
        <v>2278.7215000000001</v>
      </c>
      <c r="R33" s="277">
        <f>'Tariffs Jan2018'!AM27</f>
        <v>0</v>
      </c>
      <c r="S33" s="277">
        <f>'Tariffs Jan2018'!AN27</f>
        <v>0</v>
      </c>
      <c r="T33" s="277">
        <f>'Tariffs Jan2018'!AO27</f>
        <v>28</v>
      </c>
      <c r="U33" s="277">
        <f>'Tariffs Jan2018'!AP27</f>
        <v>0</v>
      </c>
      <c r="V33" s="281">
        <f t="shared" si="5"/>
        <v>2071.5650000000001</v>
      </c>
      <c r="W33" s="281">
        <f>V33-(P33*T33/100)</f>
        <v>1491.5268000000001</v>
      </c>
      <c r="X33" s="280">
        <f>V33*1.1</f>
        <v>2278.7215000000001</v>
      </c>
      <c r="Y33" s="280">
        <f>W33*1.1</f>
        <v>1640.6794800000002</v>
      </c>
      <c r="Z33" s="282">
        <f>'Tariffs Jan2018'!AW27</f>
        <v>0</v>
      </c>
      <c r="AA33" s="282" t="str">
        <f>'Tariffs Jan2018'!AX27</f>
        <v>n</v>
      </c>
      <c r="AB33" s="283" t="str">
        <f>'Tariffs Jan2018'!BE27</f>
        <v>N</v>
      </c>
      <c r="AC33" s="321"/>
      <c r="AD33" s="321"/>
      <c r="AE33" s="321"/>
      <c r="AF33" s="321"/>
      <c r="AG33" s="321"/>
      <c r="AH33" s="321"/>
      <c r="AI33" s="321"/>
      <c r="AJ33" s="321"/>
      <c r="AK33" s="321"/>
      <c r="AL33" s="321"/>
      <c r="AM33" s="321"/>
      <c r="AN33" s="321"/>
    </row>
    <row r="34" spans="1:40" ht="14" thickTop="1" x14ac:dyDescent="0.15">
      <c r="A34" s="270" t="str">
        <f>'Tariffs Jan2018'!F28</f>
        <v>AGL</v>
      </c>
      <c r="B34" s="40" t="str">
        <f>'Tariffs Jan2018'!D28</f>
        <v>Envestra North</v>
      </c>
      <c r="C34" s="40" t="str">
        <f>'Tariffs Jan2018'!G28</f>
        <v>Savers</v>
      </c>
      <c r="D34" s="59">
        <f>365*'Tariffs Jan2018'!H28/100</f>
        <v>281.05</v>
      </c>
      <c r="E34" s="59">
        <f>IF($C$5*'Tariffs Jan2018'!AK28/'Tariffs Jan2018'!AI28&gt;='Tariffs Jan2018'!J28,( 'Tariffs Jan2018'!J28*'Tariffs Jan2018'!O28/100)* 'Tariffs Jan2018'!AI28,($C$5*'Tariffs Jan2018'!AK28/'Tariffs Jan2018'!AI28*'Tariffs Jan2018'!O28/100)* 'Tariffs Jan2018'!AI28)</f>
        <v>90.146000000000001</v>
      </c>
      <c r="F34" s="59">
        <f>IF($C$5*'Tariffs Jan2018'!AK28/'Tariffs Jan2018'!AI28&lt;'Tariffs Jan2018'!J28,0,IF($C$5*'Tariffs Jan2018'!AK28/'Tariffs Jan2018'!AI28&lt;='Tariffs Jan2018'!K28,($C$5*'Tariffs Jan2018'!AK28/'Tariffs Jan2018'!AI28-'Tariffs Jan2018'!J28)*('Tariffs Jan2018'!P28/100)*'Tariffs Jan2018'!AI28,('Tariffs Jan2018'!K28-'Tariffs Jan2018'!J28)*('Tariffs Jan2018'!P28/100)*'Tariffs Jan2018'!AI28))</f>
        <v>67.478999999999999</v>
      </c>
      <c r="G34" s="59">
        <f>IF($C$5*'Tariffs Jan2018'!AK28/'Tariffs Jan2018'!AI28&lt;'Tariffs Jan2018'!K28,0,IF($C$5*'Tariffs Jan2018'!AK28/'Tariffs Jan2018'!AI28&lt;='Tariffs Jan2018'!L28,($C$5*'Tariffs Jan2018'!AK28/'Tariffs Jan2018'!AI28-'Tariffs Jan2018'!K28)*('Tariffs Jan2018'!Q28/100)*'Tariffs Jan2018'!AI28,('Tariffs Jan2018'!L28-'Tariffs Jan2018'!K28)*('Tariffs Jan2018'!Q28/100)*'Tariffs Jan2018'!AI28))</f>
        <v>0</v>
      </c>
      <c r="H34" s="59">
        <f>IF($C$5*'Tariffs Jan2018'!AK28/'Tariffs Jan2018'!AI28&lt;'Tariffs Jan2018'!L28,0,IF($C$5*'Tariffs Jan2018'!AK28/'Tariffs Jan2018'!AI28&lt;='Tariffs Jan2018'!M28,($C$5*'Tariffs Jan2018'!AK28/'Tariffs Jan2018'!AI28-'Tariffs Jan2018'!L28)*('Tariffs Jan2018'!R28/100)*'Tariffs Jan2018'!AI28,('Tariffs Jan2018'!M28-'Tariffs Jan2018'!L28)*('Tariffs Jan2018'!R28/100)*'Tariffs Jan2018'!AI28))</f>
        <v>0</v>
      </c>
      <c r="I34" s="59">
        <f>IF(($C$5*'Tariffs Jan2018'!AK28/'Tariffs Jan2018'!AI28&gt;'Tariffs Jan2018'!M28),($C$5*'Tariffs Jan2018'!AK28/'Tariffs Jan2018'!AI28-'Tariffs Jan2018'!M28)*'Tariffs Jan2018'!S28/100*'Tariffs Jan2018'!AI28,0)</f>
        <v>311.95632000000001</v>
      </c>
      <c r="J34" s="59">
        <f>IF($C$5*'Tariffs Jan2018'!AL28/'Tariffs Jan2018'!AJ28&gt;='Tariffs Jan2018'!J28,('Tariffs Jan2018'!J28*'Tariffs Jan2018'!U28/100)* 'Tariffs Jan2018'!AJ28,($C$5*'Tariffs Jan2018'!AL28/'Tariffs Jan2018'!AJ28*'Tariffs Jan2018'!U28/100)* 'Tariffs Jan2018'!AJ28)</f>
        <v>180.292</v>
      </c>
      <c r="K34" s="59">
        <f>IF($C$5*'Tariffs Jan2018'!AL28/'Tariffs Jan2018'!AJ28&lt;'Tariffs Jan2018'!J28,0,IF($C$5*'Tariffs Jan2018'!AL28/'Tariffs Jan2018'!AJ28&lt;='Tariffs Jan2018'!K28,($C$5*'Tariffs Jan2018'!AL28/'Tariffs Jan2018'!AJ28-'Tariffs Jan2018'!J28)*('Tariffs Jan2018'!V28/100)*'Tariffs Jan2018'!AJ28,('Tariffs Jan2018'!K28-'Tariffs Jan2018'!J28)*('Tariffs Jan2018'!V28/100)*'Tariffs Jan2018'!AJ28))</f>
        <v>134.958</v>
      </c>
      <c r="L34" s="59">
        <f>IF($C$5*'Tariffs Jan2018'!AL28/'Tariffs Jan2018'!AJ28&lt;'Tariffs Jan2018'!K28,0,IF($C$5*'Tariffs Jan2018'!AL28/'Tariffs Jan2018'!AJ28&lt;='Tariffs Jan2018'!L28,($C$5*'Tariffs Jan2018'!AL28/'Tariffs Jan2018'!AJ28-'Tariffs Jan2018'!K28)*('Tariffs Jan2018'!W28/100)*'Tariffs Jan2018'!AJ28,('Tariffs Jan2018'!L28-'Tariffs Jan2018'!K28)*('Tariffs Jan2018'!W28/100)*'Tariffs Jan2018'!AJ28))</f>
        <v>0</v>
      </c>
      <c r="M34" s="59">
        <f>IF($C$5*'Tariffs Jan2018'!AL28/'Tariffs Jan2018'!AJ28&lt;'Tariffs Jan2018'!L28,0,IF($C$5*'Tariffs Jan2018'!AL28/'Tariffs Jan2018'!AJ28&lt;='Tariffs Jan2018'!M28,($C$5*'Tariffs Jan2018'!AL28/'Tariffs Jan2018'!AJ28-'Tariffs Jan2018'!L28)*('Tariffs Jan2018'!X28/100)*'Tariffs Jan2018'!AJ28,('Tariffs Jan2018'!M28-'Tariffs Jan2018'!L28)*('Tariffs Jan2018'!X28/100)*'Tariffs Jan2018'!AJ28))</f>
        <v>0</v>
      </c>
      <c r="N34" s="59">
        <f>IF(($C$5*'Tariffs Jan2018'!AL28/'Tariffs Jan2018'!AJ28&gt;'Tariffs Jan2018'!M28),($C$5*'Tariffs Jan2018'!AL28/'Tariffs Jan2018'!AJ28-'Tariffs Jan2018'!M28)*'Tariffs Jan2018'!Y28/100*'Tariffs Jan2018'!AJ28,0)</f>
        <v>623.91264000000001</v>
      </c>
      <c r="O34" s="271">
        <f t="shared" si="1"/>
        <v>1408.74396</v>
      </c>
      <c r="P34" s="59">
        <f t="shared" si="2"/>
        <v>1689.79396</v>
      </c>
      <c r="Q34" s="272">
        <f t="shared" si="3"/>
        <v>1858.7733560000001</v>
      </c>
      <c r="R34" s="40">
        <f>'Tariffs Jan2018'!AM28</f>
        <v>0</v>
      </c>
      <c r="S34" s="40">
        <f>'Tariffs Jan2018'!AN28</f>
        <v>0</v>
      </c>
      <c r="T34" s="40">
        <f>'Tariffs Jan2018'!AO28</f>
        <v>0</v>
      </c>
      <c r="U34" s="40">
        <f>'Tariffs Jan2018'!AP28</f>
        <v>12</v>
      </c>
      <c r="V34" s="273">
        <f>P34</f>
        <v>1689.79396</v>
      </c>
      <c r="W34" s="273">
        <f>V34-(O34*U34/100)</f>
        <v>1520.7446848</v>
      </c>
      <c r="X34" s="272">
        <f t="shared" si="4"/>
        <v>1858.7733560000001</v>
      </c>
      <c r="Y34" s="272">
        <f t="shared" si="4"/>
        <v>1672.8191532800001</v>
      </c>
      <c r="Z34" s="274">
        <f>'Tariffs Jan2018'!AW28</f>
        <v>0</v>
      </c>
      <c r="AA34" s="274" t="str">
        <f>'Tariffs Jan2018'!AX28</f>
        <v>n</v>
      </c>
      <c r="AB34" s="275" t="str">
        <f>'Tariffs Jan2018'!BE28</f>
        <v>N</v>
      </c>
      <c r="AC34" s="321"/>
      <c r="AD34" s="321"/>
      <c r="AE34" s="321"/>
      <c r="AF34" s="321"/>
      <c r="AG34" s="321"/>
      <c r="AH34" s="321"/>
      <c r="AI34" s="321"/>
      <c r="AJ34" s="321"/>
      <c r="AK34" s="321"/>
      <c r="AL34" s="321"/>
      <c r="AM34" s="321"/>
      <c r="AN34" s="321"/>
    </row>
    <row r="35" spans="1:40" x14ac:dyDescent="0.15">
      <c r="A35" s="270" t="str">
        <f>'Tariffs Jan2018'!F29</f>
        <v>Alinta Energy</v>
      </c>
      <c r="B35" s="40" t="str">
        <f>'Tariffs Jan2018'!D29</f>
        <v>Envestra North</v>
      </c>
      <c r="C35" s="40" t="str">
        <f>'Tariffs Jan2018'!G29</f>
        <v>Fair Deal</v>
      </c>
      <c r="D35" s="59">
        <f>365*'Tariffs Jan2018'!H29/100</f>
        <v>247.178</v>
      </c>
      <c r="E35" s="59">
        <f>IF($C$5*'Tariffs Jan2018'!AK29/'Tariffs Jan2018'!AI29&gt;='Tariffs Jan2018'!J29,( 'Tariffs Jan2018'!J29*'Tariffs Jan2018'!O29/100)* 'Tariffs Jan2018'!AI29,($C$5*'Tariffs Jan2018'!AK29/'Tariffs Jan2018'!AI29*'Tariffs Jan2018'!O29/100)* 'Tariffs Jan2018'!AI29)</f>
        <v>74.683000000000007</v>
      </c>
      <c r="F35" s="59">
        <f>IF($C$5*'Tariffs Jan2018'!AK29/'Tariffs Jan2018'!AI29&lt;'Tariffs Jan2018'!J29,0,IF($C$5*'Tariffs Jan2018'!AK29/'Tariffs Jan2018'!AI29&lt;='Tariffs Jan2018'!K29,($C$5*'Tariffs Jan2018'!AK29/'Tariffs Jan2018'!AI29-'Tariffs Jan2018'!J29)*('Tariffs Jan2018'!P29/100)*'Tariffs Jan2018'!AI29,('Tariffs Jan2018'!K29-'Tariffs Jan2018'!J29)*('Tariffs Jan2018'!P29/100)*'Tariffs Jan2018'!AI29))</f>
        <v>61.517000000000003</v>
      </c>
      <c r="G35" s="59">
        <f>IF($C$5*'Tariffs Jan2018'!AK29/'Tariffs Jan2018'!AI29&lt;'Tariffs Jan2018'!K29,0,IF($C$5*'Tariffs Jan2018'!AK29/'Tariffs Jan2018'!AI29&lt;='Tariffs Jan2018'!L29,($C$5*'Tariffs Jan2018'!AK29/'Tariffs Jan2018'!AI29-'Tariffs Jan2018'!K29)*('Tariffs Jan2018'!Q29/100)*'Tariffs Jan2018'!AI29,('Tariffs Jan2018'!L29-'Tariffs Jan2018'!K29)*('Tariffs Jan2018'!Q29/100)*'Tariffs Jan2018'!AI29))</f>
        <v>0</v>
      </c>
      <c r="H35" s="59">
        <f>IF($C$5*'Tariffs Jan2018'!AK29/'Tariffs Jan2018'!AI29&lt;'Tariffs Jan2018'!L29,0,IF($C$5*'Tariffs Jan2018'!AK29/'Tariffs Jan2018'!AI29&lt;='Tariffs Jan2018'!M29,($C$5*'Tariffs Jan2018'!AK29/'Tariffs Jan2018'!AI29-'Tariffs Jan2018'!L29)*('Tariffs Jan2018'!R29/100)*'Tariffs Jan2018'!AI29,('Tariffs Jan2018'!M29-'Tariffs Jan2018'!L29)*('Tariffs Jan2018'!R29/100)*'Tariffs Jan2018'!AI29))</f>
        <v>0</v>
      </c>
      <c r="I35" s="59">
        <f>IF(($C$5*'Tariffs Jan2018'!AK29/'Tariffs Jan2018'!AI29&gt;'Tariffs Jan2018'!M29),($C$5*'Tariffs Jan2018'!AK29/'Tariffs Jan2018'!AI29-'Tariffs Jan2018'!M29)*'Tariffs Jan2018'!S29/100*'Tariffs Jan2018'!AI29,0)</f>
        <v>302.95757999999995</v>
      </c>
      <c r="J35" s="59">
        <f>IF($C$5*'Tariffs Jan2018'!AL29/'Tariffs Jan2018'!AJ29&gt;='Tariffs Jan2018'!J29,('Tariffs Jan2018'!J29*'Tariffs Jan2018'!U29/100)* 'Tariffs Jan2018'!AJ29,($C$5*'Tariffs Jan2018'!AL29/'Tariffs Jan2018'!AJ29*'Tariffs Jan2018'!U29/100)* 'Tariffs Jan2018'!AJ29)</f>
        <v>149.36600000000001</v>
      </c>
      <c r="K35" s="59">
        <f>IF($C$5*'Tariffs Jan2018'!AL29/'Tariffs Jan2018'!AJ29&lt;'Tariffs Jan2018'!J29,0,IF($C$5*'Tariffs Jan2018'!AL29/'Tariffs Jan2018'!AJ29&lt;='Tariffs Jan2018'!K29,($C$5*'Tariffs Jan2018'!AL29/'Tariffs Jan2018'!AJ29-'Tariffs Jan2018'!J29)*('Tariffs Jan2018'!V29/100)*'Tariffs Jan2018'!AJ29,('Tariffs Jan2018'!K29-'Tariffs Jan2018'!J29)*('Tariffs Jan2018'!V29/100)*'Tariffs Jan2018'!AJ29))</f>
        <v>123.03400000000001</v>
      </c>
      <c r="L35" s="59">
        <f>IF($C$5*'Tariffs Jan2018'!AL29/'Tariffs Jan2018'!AJ29&lt;'Tariffs Jan2018'!K29,0,IF($C$5*'Tariffs Jan2018'!AL29/'Tariffs Jan2018'!AJ29&lt;='Tariffs Jan2018'!L29,($C$5*'Tariffs Jan2018'!AL29/'Tariffs Jan2018'!AJ29-'Tariffs Jan2018'!K29)*('Tariffs Jan2018'!W29/100)*'Tariffs Jan2018'!AJ29,('Tariffs Jan2018'!L29-'Tariffs Jan2018'!K29)*('Tariffs Jan2018'!W29/100)*'Tariffs Jan2018'!AJ29))</f>
        <v>0</v>
      </c>
      <c r="M35" s="59">
        <f>IF($C$5*'Tariffs Jan2018'!AL29/'Tariffs Jan2018'!AJ29&lt;'Tariffs Jan2018'!L29,0,IF($C$5*'Tariffs Jan2018'!AL29/'Tariffs Jan2018'!AJ29&lt;='Tariffs Jan2018'!M29,($C$5*'Tariffs Jan2018'!AL29/'Tariffs Jan2018'!AJ29-'Tariffs Jan2018'!L29)*('Tariffs Jan2018'!X29/100)*'Tariffs Jan2018'!AJ29,('Tariffs Jan2018'!M29-'Tariffs Jan2018'!L29)*('Tariffs Jan2018'!X29/100)*'Tariffs Jan2018'!AJ29))</f>
        <v>0</v>
      </c>
      <c r="N35" s="59">
        <f>IF(($C$5*'Tariffs Jan2018'!AL29/'Tariffs Jan2018'!AJ29&gt;'Tariffs Jan2018'!M29),($C$5*'Tariffs Jan2018'!AL29/'Tariffs Jan2018'!AJ29-'Tariffs Jan2018'!M29)*'Tariffs Jan2018'!Y29/100*'Tariffs Jan2018'!AJ29,0)</f>
        <v>605.9151599999999</v>
      </c>
      <c r="O35" s="271">
        <f t="shared" si="1"/>
        <v>1317.4727399999997</v>
      </c>
      <c r="P35" s="59">
        <f t="shared" si="2"/>
        <v>1564.6507399999996</v>
      </c>
      <c r="Q35" s="272">
        <f t="shared" si="3"/>
        <v>1721.1158139999998</v>
      </c>
      <c r="R35" s="40">
        <f>'Tariffs Jan2018'!AM29</f>
        <v>0</v>
      </c>
      <c r="S35" s="40">
        <f>'Tariffs Jan2018'!AN29</f>
        <v>0</v>
      </c>
      <c r="T35" s="40">
        <f>'Tariffs Jan2018'!AO29</f>
        <v>0</v>
      </c>
      <c r="U35" s="40">
        <f>'Tariffs Jan2018'!AP29</f>
        <v>25</v>
      </c>
      <c r="V35" s="273">
        <f t="shared" ref="V35:V46" si="6">P35</f>
        <v>1564.6507399999996</v>
      </c>
      <c r="W35" s="273">
        <f>V35-(O35*U35/100)</f>
        <v>1235.2825549999998</v>
      </c>
      <c r="X35" s="272">
        <f t="shared" si="4"/>
        <v>1721.1158139999998</v>
      </c>
      <c r="Y35" s="272">
        <f t="shared" si="4"/>
        <v>1358.8108104999999</v>
      </c>
      <c r="Z35" s="274">
        <f>'Tariffs Jan2018'!AW29</f>
        <v>0</v>
      </c>
      <c r="AA35" s="274" t="str">
        <f>'Tariffs Jan2018'!AX29</f>
        <v>n</v>
      </c>
      <c r="AB35" s="275" t="str">
        <f>'Tariffs Jan2018'!BE29</f>
        <v>Y</v>
      </c>
      <c r="AC35" s="321"/>
      <c r="AD35" s="321"/>
      <c r="AE35" s="321"/>
      <c r="AF35" s="321"/>
      <c r="AG35" s="321"/>
      <c r="AH35" s="321"/>
      <c r="AI35" s="321"/>
      <c r="AJ35" s="321"/>
      <c r="AK35" s="321"/>
      <c r="AL35" s="321"/>
      <c r="AM35" s="321"/>
      <c r="AN35" s="321"/>
    </row>
    <row r="36" spans="1:40" x14ac:dyDescent="0.15">
      <c r="A36" s="270" t="str">
        <f>'Tariffs Jan2018'!F30</f>
        <v>Click Energy</v>
      </c>
      <c r="B36" s="40" t="str">
        <f>'Tariffs Jan2018'!D30</f>
        <v>Envestra North</v>
      </c>
      <c r="C36" s="40" t="str">
        <f>'Tariffs Jan2018'!G30</f>
        <v>Amber</v>
      </c>
      <c r="D36" s="59">
        <f>365*'Tariffs Jan2018'!H30/100</f>
        <v>292.73</v>
      </c>
      <c r="E36" s="59">
        <f>IF($C$5*'Tariffs Jan2018'!AK30/'Tariffs Jan2018'!AI30&gt;='Tariffs Jan2018'!J30,( 'Tariffs Jan2018'!J30*'Tariffs Jan2018'!O30/100)* 'Tariffs Jan2018'!AI30,($C$5*'Tariffs Jan2018'!AK30/'Tariffs Jan2018'!AI30*'Tariffs Jan2018'!O30/100)* 'Tariffs Jan2018'!AI30)</f>
        <v>123.375</v>
      </c>
      <c r="F36" s="59">
        <f>IF($C$5*'Tariffs Jan2018'!AK30/'Tariffs Jan2018'!AI30&lt;'Tariffs Jan2018'!J30,0,IF($C$5*'Tariffs Jan2018'!AK30/'Tariffs Jan2018'!AI30&lt;='Tariffs Jan2018'!K30,($C$5*'Tariffs Jan2018'!AK30/'Tariffs Jan2018'!AI30-'Tariffs Jan2018'!J30)*('Tariffs Jan2018'!P30/100)*'Tariffs Jan2018'!AI30,('Tariffs Jan2018'!K30-'Tariffs Jan2018'!J30)*('Tariffs Jan2018'!P30/100)*'Tariffs Jan2018'!AI30))</f>
        <v>86.72</v>
      </c>
      <c r="G36" s="59">
        <f>IF($C$5*'Tariffs Jan2018'!AK30/'Tariffs Jan2018'!AI30&lt;'Tariffs Jan2018'!K30,0,IF($C$5*'Tariffs Jan2018'!AK30/'Tariffs Jan2018'!AI30&lt;='Tariffs Jan2018'!L30,($C$5*'Tariffs Jan2018'!AK30/'Tariffs Jan2018'!AI30-'Tariffs Jan2018'!K30)*('Tariffs Jan2018'!Q30/100)*'Tariffs Jan2018'!AI30,('Tariffs Jan2018'!L30-'Tariffs Jan2018'!K30)*('Tariffs Jan2018'!Q30/100)*'Tariffs Jan2018'!AI30))</f>
        <v>0</v>
      </c>
      <c r="H36" s="59">
        <f>IF($C$5*'Tariffs Jan2018'!AK30/'Tariffs Jan2018'!AI30&lt;'Tariffs Jan2018'!L30,0,IF($C$5*'Tariffs Jan2018'!AK30/'Tariffs Jan2018'!AI30&lt;='Tariffs Jan2018'!M30,($C$5*'Tariffs Jan2018'!AK30/'Tariffs Jan2018'!AI30-'Tariffs Jan2018'!L30)*('Tariffs Jan2018'!R30/100)*'Tariffs Jan2018'!AI30,('Tariffs Jan2018'!M30-'Tariffs Jan2018'!L30)*('Tariffs Jan2018'!R30/100)*'Tariffs Jan2018'!AI30))</f>
        <v>0</v>
      </c>
      <c r="I36" s="59">
        <f>IF(($C$5*'Tariffs Jan2018'!AK30/'Tariffs Jan2018'!AI30&gt;'Tariffs Jan2018'!M30),($C$5*'Tariffs Jan2018'!AK30/'Tariffs Jan2018'!AI30-'Tariffs Jan2018'!M30)*'Tariffs Jan2018'!S30/100*'Tariffs Jan2018'!AI30,0)</f>
        <v>419.94119999999987</v>
      </c>
      <c r="J36" s="59">
        <f>IF($C$5*'Tariffs Jan2018'!AL30/'Tariffs Jan2018'!AJ30&gt;='Tariffs Jan2018'!J30,('Tariffs Jan2018'!J30*'Tariffs Jan2018'!U30/100)* 'Tariffs Jan2018'!AJ30,($C$5*'Tariffs Jan2018'!AL30/'Tariffs Jan2018'!AJ30*'Tariffs Jan2018'!U30/100)* 'Tariffs Jan2018'!AJ30)</f>
        <v>246.75</v>
      </c>
      <c r="K36" s="59">
        <f>IF($C$5*'Tariffs Jan2018'!AL30/'Tariffs Jan2018'!AJ30&lt;'Tariffs Jan2018'!J30,0,IF($C$5*'Tariffs Jan2018'!AL30/'Tariffs Jan2018'!AJ30&lt;='Tariffs Jan2018'!K30,($C$5*'Tariffs Jan2018'!AL30/'Tariffs Jan2018'!AJ30-'Tariffs Jan2018'!J30)*('Tariffs Jan2018'!V30/100)*'Tariffs Jan2018'!AJ30,('Tariffs Jan2018'!K30-'Tariffs Jan2018'!J30)*('Tariffs Jan2018'!V30/100)*'Tariffs Jan2018'!AJ30))</f>
        <v>173.44</v>
      </c>
      <c r="L36" s="59">
        <f>IF($C$5*'Tariffs Jan2018'!AL30/'Tariffs Jan2018'!AJ30&lt;'Tariffs Jan2018'!K30,0,IF($C$5*'Tariffs Jan2018'!AL30/'Tariffs Jan2018'!AJ30&lt;='Tariffs Jan2018'!L30,($C$5*'Tariffs Jan2018'!AL30/'Tariffs Jan2018'!AJ30-'Tariffs Jan2018'!K30)*('Tariffs Jan2018'!W30/100)*'Tariffs Jan2018'!AJ30,('Tariffs Jan2018'!L30-'Tariffs Jan2018'!K30)*('Tariffs Jan2018'!W30/100)*'Tariffs Jan2018'!AJ30))</f>
        <v>0</v>
      </c>
      <c r="M36" s="59">
        <f>IF($C$5*'Tariffs Jan2018'!AL30/'Tariffs Jan2018'!AJ30&lt;'Tariffs Jan2018'!L30,0,IF($C$5*'Tariffs Jan2018'!AL30/'Tariffs Jan2018'!AJ30&lt;='Tariffs Jan2018'!M30,($C$5*'Tariffs Jan2018'!AL30/'Tariffs Jan2018'!AJ30-'Tariffs Jan2018'!L30)*('Tariffs Jan2018'!X30/100)*'Tariffs Jan2018'!AJ30,('Tariffs Jan2018'!M30-'Tariffs Jan2018'!L30)*('Tariffs Jan2018'!X30/100)*'Tariffs Jan2018'!AJ30))</f>
        <v>0</v>
      </c>
      <c r="N36" s="59">
        <f>IF(($C$5*'Tariffs Jan2018'!AL30/'Tariffs Jan2018'!AJ30&gt;'Tariffs Jan2018'!M30),($C$5*'Tariffs Jan2018'!AL30/'Tariffs Jan2018'!AJ30-'Tariffs Jan2018'!M30)*'Tariffs Jan2018'!Y30/100*'Tariffs Jan2018'!AJ30,0)</f>
        <v>839.88239999999973</v>
      </c>
      <c r="O36" s="271">
        <f t="shared" si="1"/>
        <v>1890.1085999999996</v>
      </c>
      <c r="P36" s="59">
        <f t="shared" si="2"/>
        <v>2182.8385999999996</v>
      </c>
      <c r="Q36" s="272">
        <f t="shared" si="3"/>
        <v>2401.1224599999996</v>
      </c>
      <c r="R36" s="40">
        <f>'Tariffs Jan2018'!AM30</f>
        <v>0</v>
      </c>
      <c r="S36" s="40">
        <f>'Tariffs Jan2018'!AN30</f>
        <v>0</v>
      </c>
      <c r="T36" s="40">
        <f>'Tariffs Jan2018'!AO30</f>
        <v>14</v>
      </c>
      <c r="U36" s="40">
        <f>'Tariffs Jan2018'!AP30</f>
        <v>0</v>
      </c>
      <c r="V36" s="273">
        <f t="shared" si="6"/>
        <v>2182.8385999999996</v>
      </c>
      <c r="W36" s="273">
        <f>V36-(P36*T36/100)</f>
        <v>1877.2411959999997</v>
      </c>
      <c r="X36" s="272">
        <f t="shared" si="4"/>
        <v>2401.1224599999996</v>
      </c>
      <c r="Y36" s="272">
        <f t="shared" si="4"/>
        <v>2064.9653155999999</v>
      </c>
      <c r="Z36" s="274">
        <f>'Tariffs Jan2018'!AW30</f>
        <v>0</v>
      </c>
      <c r="AA36" s="274" t="str">
        <f>'Tariffs Jan2018'!AX30</f>
        <v>n</v>
      </c>
      <c r="AB36" s="275" t="str">
        <f>'Tariffs Jan2018'!BE30</f>
        <v>N</v>
      </c>
      <c r="AC36" s="321"/>
      <c r="AD36" s="321"/>
      <c r="AE36" s="321"/>
      <c r="AF36" s="321"/>
      <c r="AG36" s="321"/>
      <c r="AH36" s="321"/>
      <c r="AI36" s="321"/>
      <c r="AJ36" s="321"/>
      <c r="AK36" s="321"/>
      <c r="AL36" s="321"/>
      <c r="AM36" s="321"/>
      <c r="AN36" s="321"/>
    </row>
    <row r="37" spans="1:40" x14ac:dyDescent="0.15">
      <c r="A37" s="270" t="str">
        <f>'Tariffs Jan2018'!F31</f>
        <v>Covau</v>
      </c>
      <c r="B37" s="40" t="str">
        <f>'Tariffs Jan2018'!D31</f>
        <v>Envestra North</v>
      </c>
      <c r="C37" s="40" t="str">
        <f>'Tariffs Jan2018'!G31</f>
        <v>Smart Saver</v>
      </c>
      <c r="D37" s="59">
        <f>365*'Tariffs Jan2018'!H31/100</f>
        <v>273.75</v>
      </c>
      <c r="E37" s="59">
        <f>IF($C$5*'Tariffs Jan2018'!AK31/'Tariffs Jan2018'!AI31&gt;='Tariffs Jan2018'!J31,( 'Tariffs Jan2018'!J31*'Tariffs Jan2018'!O31/100)* 'Tariffs Jan2018'!AI31,($C$5*'Tariffs Jan2018'!AK31/'Tariffs Jan2018'!AI31*'Tariffs Jan2018'!O31/100)* 'Tariffs Jan2018'!AI31)</f>
        <v>93.765000000000001</v>
      </c>
      <c r="F37" s="59">
        <f>IF($C$5*'Tariffs Jan2018'!AK31/'Tariffs Jan2018'!AI31&lt;'Tariffs Jan2018'!J31,0,IF($C$5*'Tariffs Jan2018'!AK31/'Tariffs Jan2018'!AI31&lt;='Tariffs Jan2018'!K31,($C$5*'Tariffs Jan2018'!AK31/'Tariffs Jan2018'!AI31-'Tariffs Jan2018'!J31)*('Tariffs Jan2018'!P31/100)*'Tariffs Jan2018'!AI31,('Tariffs Jan2018'!K31-'Tariffs Jan2018'!J31)*('Tariffs Jan2018'!P31/100)*'Tariffs Jan2018'!AI31))</f>
        <v>70.460000000000008</v>
      </c>
      <c r="G37" s="59">
        <f>IF($C$5*'Tariffs Jan2018'!AK31/'Tariffs Jan2018'!AI31&lt;'Tariffs Jan2018'!K31,0,IF($C$5*'Tariffs Jan2018'!AK31/'Tariffs Jan2018'!AI31&lt;='Tariffs Jan2018'!L31,($C$5*'Tariffs Jan2018'!AK31/'Tariffs Jan2018'!AI31-'Tariffs Jan2018'!K31)*('Tariffs Jan2018'!Q31/100)*'Tariffs Jan2018'!AI31,('Tariffs Jan2018'!L31-'Tariffs Jan2018'!K31)*('Tariffs Jan2018'!Q31/100)*'Tariffs Jan2018'!AI31))</f>
        <v>0</v>
      </c>
      <c r="H37" s="59">
        <f>IF($C$5*'Tariffs Jan2018'!AK31/'Tariffs Jan2018'!AI31&lt;'Tariffs Jan2018'!L31,0,IF($C$5*'Tariffs Jan2018'!AK31/'Tariffs Jan2018'!AI31&lt;='Tariffs Jan2018'!M31,($C$5*'Tariffs Jan2018'!AK31/'Tariffs Jan2018'!AI31-'Tariffs Jan2018'!L31)*('Tariffs Jan2018'!R31/100)*'Tariffs Jan2018'!AI31,('Tariffs Jan2018'!M31-'Tariffs Jan2018'!L31)*('Tariffs Jan2018'!R31/100)*'Tariffs Jan2018'!AI31))</f>
        <v>0</v>
      </c>
      <c r="I37" s="59">
        <f>IF(($C$5*'Tariffs Jan2018'!AK31/'Tariffs Jan2018'!AI31&gt;'Tariffs Jan2018'!M31),($C$5*'Tariffs Jan2018'!AK31/'Tariffs Jan2018'!AI31-'Tariffs Jan2018'!M31)*'Tariffs Jan2018'!S31/100*'Tariffs Jan2018'!AI31,0)</f>
        <v>322.45484999999991</v>
      </c>
      <c r="J37" s="59">
        <f>IF($C$5*'Tariffs Jan2018'!AL31/'Tariffs Jan2018'!AJ31&gt;='Tariffs Jan2018'!J31,('Tariffs Jan2018'!J31*'Tariffs Jan2018'!U31/100)* 'Tariffs Jan2018'!AJ31,($C$5*'Tariffs Jan2018'!AL31/'Tariffs Jan2018'!AJ31*'Tariffs Jan2018'!U31/100)* 'Tariffs Jan2018'!AJ31)</f>
        <v>187.53</v>
      </c>
      <c r="K37" s="59">
        <f>IF($C$5*'Tariffs Jan2018'!AL31/'Tariffs Jan2018'!AJ31&lt;'Tariffs Jan2018'!J31,0,IF($C$5*'Tariffs Jan2018'!AL31/'Tariffs Jan2018'!AJ31&lt;='Tariffs Jan2018'!K31,($C$5*'Tariffs Jan2018'!AL31/'Tariffs Jan2018'!AJ31-'Tariffs Jan2018'!J31)*('Tariffs Jan2018'!V31/100)*'Tariffs Jan2018'!AJ31,('Tariffs Jan2018'!K31-'Tariffs Jan2018'!J31)*('Tariffs Jan2018'!V31/100)*'Tariffs Jan2018'!AJ31))</f>
        <v>140.92000000000002</v>
      </c>
      <c r="L37" s="59">
        <f>IF($C$5*'Tariffs Jan2018'!AL31/'Tariffs Jan2018'!AJ31&lt;'Tariffs Jan2018'!K31,0,IF($C$5*'Tariffs Jan2018'!AL31/'Tariffs Jan2018'!AJ31&lt;='Tariffs Jan2018'!L31,($C$5*'Tariffs Jan2018'!AL31/'Tariffs Jan2018'!AJ31-'Tariffs Jan2018'!K31)*('Tariffs Jan2018'!W31/100)*'Tariffs Jan2018'!AJ31,('Tariffs Jan2018'!L31-'Tariffs Jan2018'!K31)*('Tariffs Jan2018'!W31/100)*'Tariffs Jan2018'!AJ31))</f>
        <v>0</v>
      </c>
      <c r="M37" s="59">
        <f>IF($C$5*'Tariffs Jan2018'!AL31/'Tariffs Jan2018'!AJ31&lt;'Tariffs Jan2018'!L31,0,IF($C$5*'Tariffs Jan2018'!AL31/'Tariffs Jan2018'!AJ31&lt;='Tariffs Jan2018'!M31,($C$5*'Tariffs Jan2018'!AL31/'Tariffs Jan2018'!AJ31-'Tariffs Jan2018'!L31)*('Tariffs Jan2018'!X31/100)*'Tariffs Jan2018'!AJ31,('Tariffs Jan2018'!M31-'Tariffs Jan2018'!L31)*('Tariffs Jan2018'!X31/100)*'Tariffs Jan2018'!AJ31))</f>
        <v>0</v>
      </c>
      <c r="N37" s="59">
        <f>IF(($C$5*'Tariffs Jan2018'!AL31/'Tariffs Jan2018'!AJ31&gt;'Tariffs Jan2018'!M31),($C$5*'Tariffs Jan2018'!AL31/'Tariffs Jan2018'!AJ31-'Tariffs Jan2018'!M31)*'Tariffs Jan2018'!Y31/100*'Tariffs Jan2018'!AJ31,0)</f>
        <v>644.90969999999982</v>
      </c>
      <c r="O37" s="271">
        <f t="shared" si="1"/>
        <v>1460.03955</v>
      </c>
      <c r="P37" s="59">
        <f t="shared" si="2"/>
        <v>1733.78955</v>
      </c>
      <c r="Q37" s="272">
        <f t="shared" si="3"/>
        <v>1907.1685050000001</v>
      </c>
      <c r="R37" s="40">
        <f>'Tariffs Jan2018'!AM31</f>
        <v>0</v>
      </c>
      <c r="S37" s="40">
        <f>'Tariffs Jan2018'!AN31</f>
        <v>0</v>
      </c>
      <c r="T37" s="40">
        <f>'Tariffs Jan2018'!AO31</f>
        <v>0</v>
      </c>
      <c r="U37" s="40">
        <f>'Tariffs Jan2018'!AP31</f>
        <v>16</v>
      </c>
      <c r="V37" s="273">
        <f t="shared" si="6"/>
        <v>1733.78955</v>
      </c>
      <c r="W37" s="273">
        <f>V37-(O37*U37/100)</f>
        <v>1500.1832219999999</v>
      </c>
      <c r="X37" s="272">
        <f t="shared" si="4"/>
        <v>1907.1685050000001</v>
      </c>
      <c r="Y37" s="272">
        <f t="shared" si="4"/>
        <v>1650.2015441999999</v>
      </c>
      <c r="Z37" s="274">
        <f>'Tariffs Jan2018'!AW31</f>
        <v>12</v>
      </c>
      <c r="AA37" s="274" t="str">
        <f>'Tariffs Jan2018'!AX31</f>
        <v>y</v>
      </c>
      <c r="AB37" s="275" t="str">
        <f>'Tariffs Jan2018'!BE31</f>
        <v>N</v>
      </c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</row>
    <row r="38" spans="1:40" x14ac:dyDescent="0.15">
      <c r="A38" s="270" t="str">
        <f>'Tariffs Jan2018'!F32</f>
        <v>Dodo Power &amp; Gas</v>
      </c>
      <c r="B38" s="40" t="str">
        <f>'Tariffs Jan2018'!D32</f>
        <v>Envestra North</v>
      </c>
      <c r="C38" s="40" t="str">
        <f>'Tariffs Jan2018'!G32</f>
        <v>Market offer</v>
      </c>
      <c r="D38" s="59">
        <f>365*'Tariffs Jan2018'!H32/100</f>
        <v>296.92749999999995</v>
      </c>
      <c r="E38" s="59">
        <f>IF($C$5*'Tariffs Jan2018'!AK32/'Tariffs Jan2018'!AI32&gt;='Tariffs Jan2018'!J32,( 'Tariffs Jan2018'!J32*'Tariffs Jan2018'!O32/100)* 'Tariffs Jan2018'!AI32,($C$5*'Tariffs Jan2018'!AK32/'Tariffs Jan2018'!AI32*'Tariffs Jan2018'!O32/100)* 'Tariffs Jan2018'!AI32)</f>
        <v>199.2</v>
      </c>
      <c r="F38" s="59">
        <f>IF($C$5*'Tariffs Jan2018'!AK32/'Tariffs Jan2018'!AI32&lt;'Tariffs Jan2018'!J32,0,IF($C$5*'Tariffs Jan2018'!AK32/'Tariffs Jan2018'!AI32&lt;='Tariffs Jan2018'!K32,($C$5*'Tariffs Jan2018'!AK32/'Tariffs Jan2018'!AI32-'Tariffs Jan2018'!J32)*('Tariffs Jan2018'!P32/100)*'Tariffs Jan2018'!AI32,('Tariffs Jan2018'!K32-'Tariffs Jan2018'!J32)*('Tariffs Jan2018'!P32/100)*'Tariffs Jan2018'!AI32))</f>
        <v>284.65400999999997</v>
      </c>
      <c r="G38" s="59">
        <f>IF($C$5*'Tariffs Jan2018'!AK32/'Tariffs Jan2018'!AI32&lt;'Tariffs Jan2018'!K32,0,IF($C$5*'Tariffs Jan2018'!AK32/'Tariffs Jan2018'!AI32&lt;='Tariffs Jan2018'!L32,($C$5*'Tariffs Jan2018'!AK32/'Tariffs Jan2018'!AI32-'Tariffs Jan2018'!K32)*('Tariffs Jan2018'!Q32/100)*'Tariffs Jan2018'!AI32,('Tariffs Jan2018'!L32-'Tariffs Jan2018'!K32)*('Tariffs Jan2018'!Q32/100)*'Tariffs Jan2018'!AI32))</f>
        <v>0</v>
      </c>
      <c r="H38" s="59">
        <f>IF($C$5*'Tariffs Jan2018'!AK32/'Tariffs Jan2018'!AI32&lt;'Tariffs Jan2018'!L32,0,IF($C$5*'Tariffs Jan2018'!AK32/'Tariffs Jan2018'!AI32&lt;='Tariffs Jan2018'!M32,($C$5*'Tariffs Jan2018'!AK32/'Tariffs Jan2018'!AI32-'Tariffs Jan2018'!L32)*('Tariffs Jan2018'!R32/100)*'Tariffs Jan2018'!AI32,('Tariffs Jan2018'!M32-'Tariffs Jan2018'!L32)*('Tariffs Jan2018'!R32/100)*'Tariffs Jan2018'!AI32))</f>
        <v>0</v>
      </c>
      <c r="I38" s="59">
        <f>IF(($C$5*'Tariffs Jan2018'!AK32/'Tariffs Jan2018'!AI32&gt;'Tariffs Jan2018'!M32),($C$5*'Tariffs Jan2018'!AK32/'Tariffs Jan2018'!AI32-'Tariffs Jan2018'!M32)*'Tariffs Jan2018'!S32/100*'Tariffs Jan2018'!AI32,0)</f>
        <v>0</v>
      </c>
      <c r="J38" s="59">
        <f>IF($C$5*'Tariffs Jan2018'!AL32/'Tariffs Jan2018'!AJ32&gt;='Tariffs Jan2018'!J32,('Tariffs Jan2018'!J32*'Tariffs Jan2018'!U32/100)* 'Tariffs Jan2018'!AJ32,($C$5*'Tariffs Jan2018'!AL32/'Tariffs Jan2018'!AJ32*'Tariffs Jan2018'!U32/100)* 'Tariffs Jan2018'!AJ32)</f>
        <v>398.4</v>
      </c>
      <c r="K38" s="59">
        <f>IF($C$5*'Tariffs Jan2018'!AL32/'Tariffs Jan2018'!AJ32&lt;'Tariffs Jan2018'!J32,0,IF($C$5*'Tariffs Jan2018'!AL32/'Tariffs Jan2018'!AJ32&lt;='Tariffs Jan2018'!K32,($C$5*'Tariffs Jan2018'!AL32/'Tariffs Jan2018'!AJ32-'Tariffs Jan2018'!J32)*('Tariffs Jan2018'!V32/100)*'Tariffs Jan2018'!AJ32,('Tariffs Jan2018'!K32-'Tariffs Jan2018'!J32)*('Tariffs Jan2018'!V32/100)*'Tariffs Jan2018'!AJ32))</f>
        <v>569.30801999999994</v>
      </c>
      <c r="L38" s="59">
        <f>IF($C$5*'Tariffs Jan2018'!AL32/'Tariffs Jan2018'!AJ32&lt;'Tariffs Jan2018'!K32,0,IF($C$5*'Tariffs Jan2018'!AL32/'Tariffs Jan2018'!AJ32&lt;='Tariffs Jan2018'!L32,($C$5*'Tariffs Jan2018'!AL32/'Tariffs Jan2018'!AJ32-'Tariffs Jan2018'!K32)*('Tariffs Jan2018'!W32/100)*'Tariffs Jan2018'!AJ32,('Tariffs Jan2018'!L32-'Tariffs Jan2018'!K32)*('Tariffs Jan2018'!W32/100)*'Tariffs Jan2018'!AJ32))</f>
        <v>0</v>
      </c>
      <c r="M38" s="59">
        <f>IF($C$5*'Tariffs Jan2018'!AL32/'Tariffs Jan2018'!AJ32&lt;'Tariffs Jan2018'!L32,0,IF($C$5*'Tariffs Jan2018'!AL32/'Tariffs Jan2018'!AJ32&lt;='Tariffs Jan2018'!M32,($C$5*'Tariffs Jan2018'!AL32/'Tariffs Jan2018'!AJ32-'Tariffs Jan2018'!L32)*('Tariffs Jan2018'!X32/100)*'Tariffs Jan2018'!AJ32,('Tariffs Jan2018'!M32-'Tariffs Jan2018'!L32)*('Tariffs Jan2018'!X32/100)*'Tariffs Jan2018'!AJ32))</f>
        <v>0</v>
      </c>
      <c r="N38" s="59">
        <f>IF(($C$5*'Tariffs Jan2018'!AL32/'Tariffs Jan2018'!AJ32&gt;'Tariffs Jan2018'!M32),($C$5*'Tariffs Jan2018'!AL32/'Tariffs Jan2018'!AJ32-'Tariffs Jan2018'!M32)*'Tariffs Jan2018'!Y32/100*'Tariffs Jan2018'!AJ32,0)</f>
        <v>0</v>
      </c>
      <c r="O38" s="271">
        <f t="shared" si="1"/>
        <v>1451.5620299999998</v>
      </c>
      <c r="P38" s="59">
        <f t="shared" si="2"/>
        <v>1748.4895299999998</v>
      </c>
      <c r="Q38" s="272">
        <f t="shared" si="3"/>
        <v>1923.338483</v>
      </c>
      <c r="R38" s="40">
        <f>'Tariffs Jan2018'!AM32</f>
        <v>0</v>
      </c>
      <c r="S38" s="40">
        <f>'Tariffs Jan2018'!AN32</f>
        <v>0</v>
      </c>
      <c r="T38" s="40">
        <f>'Tariffs Jan2018'!AO32</f>
        <v>0</v>
      </c>
      <c r="U38" s="40">
        <f>'Tariffs Jan2018'!AP32</f>
        <v>0</v>
      </c>
      <c r="V38" s="273">
        <f t="shared" si="6"/>
        <v>1748.4895299999998</v>
      </c>
      <c r="W38" s="273">
        <f>V38</f>
        <v>1748.4895299999998</v>
      </c>
      <c r="X38" s="272">
        <f t="shared" si="4"/>
        <v>1923.338483</v>
      </c>
      <c r="Y38" s="272">
        <f t="shared" si="4"/>
        <v>1923.338483</v>
      </c>
      <c r="Z38" s="274">
        <f>'Tariffs Jan2018'!AW32</f>
        <v>0</v>
      </c>
      <c r="AA38" s="274" t="str">
        <f>'Tariffs Jan2018'!AX32</f>
        <v>n</v>
      </c>
      <c r="AB38" s="275" t="str">
        <f>'Tariffs Jan2018'!BE32</f>
        <v>Y</v>
      </c>
      <c r="AC38" s="321"/>
      <c r="AD38" s="321"/>
      <c r="AE38" s="321"/>
      <c r="AF38" s="321"/>
      <c r="AG38" s="321"/>
      <c r="AH38" s="321"/>
      <c r="AI38" s="321"/>
      <c r="AJ38" s="321"/>
      <c r="AK38" s="321"/>
      <c r="AL38" s="321"/>
      <c r="AM38" s="321"/>
      <c r="AN38" s="321"/>
    </row>
    <row r="39" spans="1:40" x14ac:dyDescent="0.15">
      <c r="A39" s="270" t="str">
        <f>'Tariffs Jan2018'!F33</f>
        <v>EnergyAustralia</v>
      </c>
      <c r="B39" s="40" t="str">
        <f>'Tariffs Jan2018'!D33</f>
        <v>Envestra North</v>
      </c>
      <c r="C39" s="40" t="str">
        <f>'Tariffs Jan2018'!G33</f>
        <v xml:space="preserve">Flexi Saver </v>
      </c>
      <c r="D39" s="59">
        <f>365*'Tariffs Jan2018'!H33/100</f>
        <v>287.255</v>
      </c>
      <c r="E39" s="59">
        <f>IF($C$5*'Tariffs Jan2018'!AK33/'Tariffs Jan2018'!AI33&gt;='Tariffs Jan2018'!J33,( 'Tariffs Jan2018'!J33*'Tariffs Jan2018'!O33/100)* 'Tariffs Jan2018'!AI33,($C$5*'Tariffs Jan2018'!AK33/'Tariffs Jan2018'!AI33*'Tariffs Jan2018'!O33/100)* 'Tariffs Jan2018'!AI33)</f>
        <v>169.8</v>
      </c>
      <c r="F39" s="59">
        <f>IF($C$5*'Tariffs Jan2018'!AK33/'Tariffs Jan2018'!AI33&lt;'Tariffs Jan2018'!J33,0,IF($C$5*'Tariffs Jan2018'!AK33/'Tariffs Jan2018'!AI33&lt;='Tariffs Jan2018'!K33,($C$5*'Tariffs Jan2018'!AK33/'Tariffs Jan2018'!AI33-'Tariffs Jan2018'!J33)*('Tariffs Jan2018'!P33/100)*'Tariffs Jan2018'!AI33,('Tariffs Jan2018'!K33-'Tariffs Jan2018'!J33)*('Tariffs Jan2018'!P33/100)*'Tariffs Jan2018'!AI33))</f>
        <v>0</v>
      </c>
      <c r="G39" s="59">
        <f>IF($C$5*'Tariffs Jan2018'!AK33/'Tariffs Jan2018'!AI33&lt;'Tariffs Jan2018'!K33,0,IF($C$5*'Tariffs Jan2018'!AK33/'Tariffs Jan2018'!AI33&lt;='Tariffs Jan2018'!L33,($C$5*'Tariffs Jan2018'!AK33/'Tariffs Jan2018'!AI33-'Tariffs Jan2018'!K33)*('Tariffs Jan2018'!Q33/100)*'Tariffs Jan2018'!AI33,('Tariffs Jan2018'!L33-'Tariffs Jan2018'!K33)*('Tariffs Jan2018'!Q33/100)*'Tariffs Jan2018'!AI33))</f>
        <v>0</v>
      </c>
      <c r="H39" s="59">
        <f>IF($C$5*'Tariffs Jan2018'!AK33/'Tariffs Jan2018'!AI33&lt;'Tariffs Jan2018'!L33,0,IF($C$5*'Tariffs Jan2018'!AK33/'Tariffs Jan2018'!AI33&lt;='Tariffs Jan2018'!M33,($C$5*'Tariffs Jan2018'!AK33/'Tariffs Jan2018'!AI33-'Tariffs Jan2018'!L33)*('Tariffs Jan2018'!R33/100)*'Tariffs Jan2018'!AI33,('Tariffs Jan2018'!M33-'Tariffs Jan2018'!L33)*('Tariffs Jan2018'!R33/100)*'Tariffs Jan2018'!AI33))</f>
        <v>0</v>
      </c>
      <c r="I39" s="59">
        <f>IF(($C$5*'Tariffs Jan2018'!AK33/'Tariffs Jan2018'!AI33&gt;'Tariffs Jan2018'!M33),($C$5*'Tariffs Jan2018'!AK33/'Tariffs Jan2018'!AI33-'Tariffs Jan2018'!M33)*'Tariffs Jan2018'!S33/100*'Tariffs Jan2018'!AI33,0)</f>
        <v>286.45988999999992</v>
      </c>
      <c r="J39" s="59">
        <f>IF($C$5*'Tariffs Jan2018'!AL33/'Tariffs Jan2018'!AJ33&gt;='Tariffs Jan2018'!J33,('Tariffs Jan2018'!J33*'Tariffs Jan2018'!U33/100)* 'Tariffs Jan2018'!AJ33,($C$5*'Tariffs Jan2018'!AL33/'Tariffs Jan2018'!AJ33*'Tariffs Jan2018'!U33/100)* 'Tariffs Jan2018'!AJ33)</f>
        <v>339.6</v>
      </c>
      <c r="K39" s="59">
        <f>IF($C$5*'Tariffs Jan2018'!AL33/'Tariffs Jan2018'!AJ33&lt;'Tariffs Jan2018'!J33,0,IF($C$5*'Tariffs Jan2018'!AL33/'Tariffs Jan2018'!AJ33&lt;='Tariffs Jan2018'!K33,($C$5*'Tariffs Jan2018'!AL33/'Tariffs Jan2018'!AJ33-'Tariffs Jan2018'!J33)*('Tariffs Jan2018'!V33/100)*'Tariffs Jan2018'!AJ33,('Tariffs Jan2018'!K33-'Tariffs Jan2018'!J33)*('Tariffs Jan2018'!V33/100)*'Tariffs Jan2018'!AJ33))</f>
        <v>0</v>
      </c>
      <c r="L39" s="59">
        <f>IF($C$5*'Tariffs Jan2018'!AL33/'Tariffs Jan2018'!AJ33&lt;'Tariffs Jan2018'!K33,0,IF($C$5*'Tariffs Jan2018'!AL33/'Tariffs Jan2018'!AJ33&lt;='Tariffs Jan2018'!L33,($C$5*'Tariffs Jan2018'!AL33/'Tariffs Jan2018'!AJ33-'Tariffs Jan2018'!K33)*('Tariffs Jan2018'!W33/100)*'Tariffs Jan2018'!AJ33,('Tariffs Jan2018'!L33-'Tariffs Jan2018'!K33)*('Tariffs Jan2018'!W33/100)*'Tariffs Jan2018'!AJ33))</f>
        <v>0</v>
      </c>
      <c r="M39" s="59">
        <f>IF($C$5*'Tariffs Jan2018'!AL33/'Tariffs Jan2018'!AJ33&lt;'Tariffs Jan2018'!L33,0,IF($C$5*'Tariffs Jan2018'!AL33/'Tariffs Jan2018'!AJ33&lt;='Tariffs Jan2018'!M33,($C$5*'Tariffs Jan2018'!AL33/'Tariffs Jan2018'!AJ33-'Tariffs Jan2018'!L33)*('Tariffs Jan2018'!X33/100)*'Tariffs Jan2018'!AJ33,('Tariffs Jan2018'!M33-'Tariffs Jan2018'!L33)*('Tariffs Jan2018'!X33/100)*'Tariffs Jan2018'!AJ33))</f>
        <v>0</v>
      </c>
      <c r="N39" s="59">
        <f>IF(($C$5*'Tariffs Jan2018'!AL33/'Tariffs Jan2018'!AJ33&gt;'Tariffs Jan2018'!M33),($C$5*'Tariffs Jan2018'!AL33/'Tariffs Jan2018'!AJ33-'Tariffs Jan2018'!M33)*'Tariffs Jan2018'!Y33/100*'Tariffs Jan2018'!AJ33,0)</f>
        <v>572.91977999999983</v>
      </c>
      <c r="O39" s="271">
        <f t="shared" si="1"/>
        <v>1368.7796699999999</v>
      </c>
      <c r="P39" s="59">
        <f t="shared" si="2"/>
        <v>1656.03467</v>
      </c>
      <c r="Q39" s="272">
        <f t="shared" si="3"/>
        <v>1821.6381370000001</v>
      </c>
      <c r="R39" s="40">
        <f>'Tariffs Jan2018'!AM33</f>
        <v>0</v>
      </c>
      <c r="S39" s="40">
        <f>'Tariffs Jan2018'!AN33</f>
        <v>0</v>
      </c>
      <c r="T39" s="40">
        <f>'Tariffs Jan2018'!AO33</f>
        <v>0</v>
      </c>
      <c r="U39" s="40">
        <f>'Tariffs Jan2018'!AP33</f>
        <v>15</v>
      </c>
      <c r="V39" s="273">
        <f t="shared" si="6"/>
        <v>1656.03467</v>
      </c>
      <c r="W39" s="273">
        <f>V39-(O39*U39/100)</f>
        <v>1450.7177194999999</v>
      </c>
      <c r="X39" s="272">
        <f t="shared" si="4"/>
        <v>1821.6381370000001</v>
      </c>
      <c r="Y39" s="272">
        <f t="shared" si="4"/>
        <v>1595.78949145</v>
      </c>
      <c r="Z39" s="274">
        <f>'Tariffs Jan2018'!AW33</f>
        <v>0</v>
      </c>
      <c r="AA39" s="274" t="str">
        <f>'Tariffs Jan2018'!AX33</f>
        <v>n</v>
      </c>
      <c r="AB39" s="275" t="str">
        <f>'Tariffs Jan2018'!BE33</f>
        <v>N</v>
      </c>
      <c r="AC39" s="321"/>
      <c r="AD39" s="321"/>
      <c r="AE39" s="321"/>
      <c r="AF39" s="321"/>
      <c r="AG39" s="321"/>
      <c r="AH39" s="321"/>
      <c r="AI39" s="321"/>
      <c r="AJ39" s="321"/>
      <c r="AK39" s="321"/>
      <c r="AL39" s="321"/>
      <c r="AM39" s="321"/>
      <c r="AN39" s="321"/>
    </row>
    <row r="40" spans="1:40" x14ac:dyDescent="0.15">
      <c r="A40" s="270" t="str">
        <f>'Tariffs Jan2018'!F34</f>
        <v>Lumo Energy</v>
      </c>
      <c r="B40" s="40" t="str">
        <f>'Tariffs Jan2018'!D34</f>
        <v>Envestra North</v>
      </c>
      <c r="C40" s="40" t="str">
        <f>'Tariffs Jan2018'!G34</f>
        <v>Advantage</v>
      </c>
      <c r="D40" s="59">
        <f>365*'Tariffs Jan2018'!H34/100</f>
        <v>244.55</v>
      </c>
      <c r="E40" s="59">
        <f>IF($C$5*'Tariffs Jan2018'!AK34/'Tariffs Jan2018'!AI34&gt;='Tariffs Jan2018'!J34,( 'Tariffs Jan2018'!J34*'Tariffs Jan2018'!O34/100)* 'Tariffs Jan2018'!AI34,($C$5*'Tariffs Jan2018'!AK34/'Tariffs Jan2018'!AI34*'Tariffs Jan2018'!O34/100)* 'Tariffs Jan2018'!AI34)</f>
        <v>94.423000000000016</v>
      </c>
      <c r="F40" s="59">
        <f>IF($C$5*'Tariffs Jan2018'!AK34/'Tariffs Jan2018'!AI34&lt;'Tariffs Jan2018'!J34,0,IF($C$5*'Tariffs Jan2018'!AK34/'Tariffs Jan2018'!AI34&lt;='Tariffs Jan2018'!K34,($C$5*'Tariffs Jan2018'!AK34/'Tariffs Jan2018'!AI34-'Tariffs Jan2018'!J34)*('Tariffs Jan2018'!P34/100)*'Tariffs Jan2018'!AI34,('Tariffs Jan2018'!K34-'Tariffs Jan2018'!J34)*('Tariffs Jan2018'!P34/100)*'Tariffs Jan2018'!AI34))</f>
        <v>65.040000000000006</v>
      </c>
      <c r="G40" s="59">
        <f>IF($C$5*'Tariffs Jan2018'!AK34/'Tariffs Jan2018'!AI34&lt;'Tariffs Jan2018'!K34,0,IF($C$5*'Tariffs Jan2018'!AK34/'Tariffs Jan2018'!AI34&lt;='Tariffs Jan2018'!L34,($C$5*'Tariffs Jan2018'!AK34/'Tariffs Jan2018'!AI34-'Tariffs Jan2018'!K34)*('Tariffs Jan2018'!Q34/100)*'Tariffs Jan2018'!AI34,('Tariffs Jan2018'!L34-'Tariffs Jan2018'!K34)*('Tariffs Jan2018'!Q34/100)*'Tariffs Jan2018'!AI34))</f>
        <v>0</v>
      </c>
      <c r="H40" s="59">
        <f>IF($C$5*'Tariffs Jan2018'!AK34/'Tariffs Jan2018'!AI34&lt;'Tariffs Jan2018'!L34,0,IF($C$5*'Tariffs Jan2018'!AK34/'Tariffs Jan2018'!AI34&lt;='Tariffs Jan2018'!M34,($C$5*'Tariffs Jan2018'!AK34/'Tariffs Jan2018'!AI34-'Tariffs Jan2018'!L34)*('Tariffs Jan2018'!R34/100)*'Tariffs Jan2018'!AI34,('Tariffs Jan2018'!M34-'Tariffs Jan2018'!L34)*('Tariffs Jan2018'!R34/100)*'Tariffs Jan2018'!AI34))</f>
        <v>0</v>
      </c>
      <c r="I40" s="59">
        <f>IF(($C$5*'Tariffs Jan2018'!AK34/'Tariffs Jan2018'!AI34&gt;'Tariffs Jan2018'!M34),($C$5*'Tariffs Jan2018'!AK34/'Tariffs Jan2018'!AI34-'Tariffs Jan2018'!M34)*'Tariffs Jan2018'!S34/100*'Tariffs Jan2018'!AI34,0)</f>
        <v>305.95715999999999</v>
      </c>
      <c r="J40" s="59">
        <f>IF($C$5*'Tariffs Jan2018'!AL34/'Tariffs Jan2018'!AJ34&gt;='Tariffs Jan2018'!J34,('Tariffs Jan2018'!J34*'Tariffs Jan2018'!U34/100)* 'Tariffs Jan2018'!AJ34,($C$5*'Tariffs Jan2018'!AL34/'Tariffs Jan2018'!AJ34*'Tariffs Jan2018'!U34/100)* 'Tariffs Jan2018'!AJ34)</f>
        <v>188.84600000000003</v>
      </c>
      <c r="K40" s="59">
        <f>IF($C$5*'Tariffs Jan2018'!AL34/'Tariffs Jan2018'!AJ34&lt;'Tariffs Jan2018'!J34,0,IF($C$5*'Tariffs Jan2018'!AL34/'Tariffs Jan2018'!AJ34&lt;='Tariffs Jan2018'!K34,($C$5*'Tariffs Jan2018'!AL34/'Tariffs Jan2018'!AJ34-'Tariffs Jan2018'!J34)*('Tariffs Jan2018'!V34/100)*'Tariffs Jan2018'!AJ34,('Tariffs Jan2018'!K34-'Tariffs Jan2018'!J34)*('Tariffs Jan2018'!V34/100)*'Tariffs Jan2018'!AJ34))</f>
        <v>130.08000000000001</v>
      </c>
      <c r="L40" s="59">
        <f>IF($C$5*'Tariffs Jan2018'!AL34/'Tariffs Jan2018'!AJ34&lt;'Tariffs Jan2018'!K34,0,IF($C$5*'Tariffs Jan2018'!AL34/'Tariffs Jan2018'!AJ34&lt;='Tariffs Jan2018'!L34,($C$5*'Tariffs Jan2018'!AL34/'Tariffs Jan2018'!AJ34-'Tariffs Jan2018'!K34)*('Tariffs Jan2018'!W34/100)*'Tariffs Jan2018'!AJ34,('Tariffs Jan2018'!L34-'Tariffs Jan2018'!K34)*('Tariffs Jan2018'!W34/100)*'Tariffs Jan2018'!AJ34))</f>
        <v>0</v>
      </c>
      <c r="M40" s="59">
        <f>IF($C$5*'Tariffs Jan2018'!AL34/'Tariffs Jan2018'!AJ34&lt;'Tariffs Jan2018'!L34,0,IF($C$5*'Tariffs Jan2018'!AL34/'Tariffs Jan2018'!AJ34&lt;='Tariffs Jan2018'!M34,($C$5*'Tariffs Jan2018'!AL34/'Tariffs Jan2018'!AJ34-'Tariffs Jan2018'!L34)*('Tariffs Jan2018'!X34/100)*'Tariffs Jan2018'!AJ34,('Tariffs Jan2018'!M34-'Tariffs Jan2018'!L34)*('Tariffs Jan2018'!X34/100)*'Tariffs Jan2018'!AJ34))</f>
        <v>0</v>
      </c>
      <c r="N40" s="59">
        <f>IF(($C$5*'Tariffs Jan2018'!AL34/'Tariffs Jan2018'!AJ34&gt;'Tariffs Jan2018'!M34),($C$5*'Tariffs Jan2018'!AL34/'Tariffs Jan2018'!AJ34-'Tariffs Jan2018'!M34)*'Tariffs Jan2018'!Y34/100*'Tariffs Jan2018'!AJ34,0)</f>
        <v>611.91431999999998</v>
      </c>
      <c r="O40" s="271">
        <f t="shared" si="1"/>
        <v>1396.2604799999999</v>
      </c>
      <c r="P40" s="59">
        <f t="shared" si="2"/>
        <v>1640.8104799999999</v>
      </c>
      <c r="Q40" s="272">
        <f t="shared" si="3"/>
        <v>1804.8915280000001</v>
      </c>
      <c r="R40" s="40">
        <f>'Tariffs Jan2018'!AM34</f>
        <v>0</v>
      </c>
      <c r="S40" s="40">
        <f>'Tariffs Jan2018'!AN34</f>
        <v>0</v>
      </c>
      <c r="T40" s="40">
        <f>'Tariffs Jan2018'!AO34</f>
        <v>15</v>
      </c>
      <c r="U40" s="40">
        <f>'Tariffs Jan2018'!AP34</f>
        <v>0</v>
      </c>
      <c r="V40" s="273">
        <f t="shared" si="6"/>
        <v>1640.8104799999999</v>
      </c>
      <c r="W40" s="273">
        <f>V40-(P40*T40/100)</f>
        <v>1394.6889079999999</v>
      </c>
      <c r="X40" s="272">
        <f t="shared" si="4"/>
        <v>1804.8915280000001</v>
      </c>
      <c r="Y40" s="272">
        <f t="shared" si="4"/>
        <v>1534.1577987999999</v>
      </c>
      <c r="Z40" s="274">
        <f>'Tariffs Jan2018'!AW34</f>
        <v>0</v>
      </c>
      <c r="AA40" s="274" t="str">
        <f>'Tariffs Jan2018'!AX34</f>
        <v>n</v>
      </c>
      <c r="AB40" s="275" t="str">
        <f>'Tariffs Jan2018'!BE34</f>
        <v>N</v>
      </c>
      <c r="AC40" s="321"/>
      <c r="AD40" s="321"/>
      <c r="AE40" s="321"/>
      <c r="AF40" s="321"/>
      <c r="AG40" s="321"/>
      <c r="AH40" s="321"/>
      <c r="AI40" s="321"/>
      <c r="AJ40" s="321"/>
      <c r="AK40" s="321"/>
      <c r="AL40" s="321"/>
      <c r="AM40" s="321"/>
      <c r="AN40" s="321"/>
    </row>
    <row r="41" spans="1:40" x14ac:dyDescent="0.15">
      <c r="A41" s="270" t="str">
        <f>'Tariffs Jan2018'!F35</f>
        <v>Momentum Energy</v>
      </c>
      <c r="B41" s="40" t="str">
        <f>'Tariffs Jan2018'!D35</f>
        <v>Envestra North</v>
      </c>
      <c r="C41" s="40" t="str">
        <f>'Tariffs Jan2018'!G35</f>
        <v>Market offer</v>
      </c>
      <c r="D41" s="59">
        <f>365*'Tariffs Jan2018'!H35/100</f>
        <v>271.08549999999997</v>
      </c>
      <c r="E41" s="59">
        <f>IF($C$5*'Tariffs Jan2018'!AK35/'Tariffs Jan2018'!AI35&gt;='Tariffs Jan2018'!J35,( 'Tariffs Jan2018'!J35*'Tariffs Jan2018'!O35/100)* 'Tariffs Jan2018'!AI35,($C$5*'Tariffs Jan2018'!AK35/'Tariffs Jan2018'!AI35*'Tariffs Jan2018'!O35/100)* 'Tariffs Jan2018'!AI35)</f>
        <v>80.440499999999986</v>
      </c>
      <c r="F41" s="59">
        <f>IF($C$5*'Tariffs Jan2018'!AK35/'Tariffs Jan2018'!AI35&lt;'Tariffs Jan2018'!J35,0,IF($C$5*'Tariffs Jan2018'!AK35/'Tariffs Jan2018'!AI35&lt;='Tariffs Jan2018'!K35,($C$5*'Tariffs Jan2018'!AK35/'Tariffs Jan2018'!AI35-'Tariffs Jan2018'!J35)*('Tariffs Jan2018'!P35/100)*'Tariffs Jan2018'!AI35,('Tariffs Jan2018'!K35-'Tariffs Jan2018'!J35)*('Tariffs Jan2018'!P35/100)*'Tariffs Jan2018'!AI35))</f>
        <v>55.012999999999998</v>
      </c>
      <c r="G41" s="59">
        <f>IF($C$5*'Tariffs Jan2018'!AK35/'Tariffs Jan2018'!AI35&lt;'Tariffs Jan2018'!K35,0,IF($C$5*'Tariffs Jan2018'!AK35/'Tariffs Jan2018'!AI35&lt;='Tariffs Jan2018'!L35,($C$5*'Tariffs Jan2018'!AK35/'Tariffs Jan2018'!AI35-'Tariffs Jan2018'!K35)*('Tariffs Jan2018'!Q35/100)*'Tariffs Jan2018'!AI35,('Tariffs Jan2018'!L35-'Tariffs Jan2018'!K35)*('Tariffs Jan2018'!Q35/100)*'Tariffs Jan2018'!AI35))</f>
        <v>0</v>
      </c>
      <c r="H41" s="59">
        <f>IF($C$5*'Tariffs Jan2018'!AK35/'Tariffs Jan2018'!AI35&lt;'Tariffs Jan2018'!L35,0,IF($C$5*'Tariffs Jan2018'!AK35/'Tariffs Jan2018'!AI35&lt;='Tariffs Jan2018'!M35,($C$5*'Tariffs Jan2018'!AK35/'Tariffs Jan2018'!AI35-'Tariffs Jan2018'!L35)*('Tariffs Jan2018'!R35/100)*'Tariffs Jan2018'!AI35,('Tariffs Jan2018'!M35-'Tariffs Jan2018'!L35)*('Tariffs Jan2018'!R35/100)*'Tariffs Jan2018'!AI35))</f>
        <v>0</v>
      </c>
      <c r="I41" s="59">
        <f>IF(($C$5*'Tariffs Jan2018'!AK35/'Tariffs Jan2018'!AI35&gt;'Tariffs Jan2018'!M35),($C$5*'Tariffs Jan2018'!AK35/'Tariffs Jan2018'!AI35-'Tariffs Jan2018'!M35)*'Tariffs Jan2018'!S35/100*'Tariffs Jan2018'!AI35,0)</f>
        <v>257.51394299999998</v>
      </c>
      <c r="J41" s="59">
        <f>IF($C$5*'Tariffs Jan2018'!AL35/'Tariffs Jan2018'!AJ35&gt;='Tariffs Jan2018'!J35,('Tariffs Jan2018'!J35*'Tariffs Jan2018'!U35/100)* 'Tariffs Jan2018'!AJ35,($C$5*'Tariffs Jan2018'!AL35/'Tariffs Jan2018'!AJ35*'Tariffs Jan2018'!U35/100)* 'Tariffs Jan2018'!AJ35)</f>
        <v>152.91919999999999</v>
      </c>
      <c r="K41" s="59">
        <f>IF($C$5*'Tariffs Jan2018'!AL35/'Tariffs Jan2018'!AJ35&lt;'Tariffs Jan2018'!J35,0,IF($C$5*'Tariffs Jan2018'!AL35/'Tariffs Jan2018'!AJ35&lt;='Tariffs Jan2018'!K35,($C$5*'Tariffs Jan2018'!AL35/'Tariffs Jan2018'!AJ35-'Tariffs Jan2018'!J35)*('Tariffs Jan2018'!V35/100)*'Tariffs Jan2018'!AJ35,('Tariffs Jan2018'!K35-'Tariffs Jan2018'!J35)*('Tariffs Jan2018'!V35/100)*'Tariffs Jan2018'!AJ35))</f>
        <v>104.2808</v>
      </c>
      <c r="L41" s="59">
        <f>IF($C$5*'Tariffs Jan2018'!AL35/'Tariffs Jan2018'!AJ35&lt;'Tariffs Jan2018'!K35,0,IF($C$5*'Tariffs Jan2018'!AL35/'Tariffs Jan2018'!AJ35&lt;='Tariffs Jan2018'!L35,($C$5*'Tariffs Jan2018'!AL35/'Tariffs Jan2018'!AJ35-'Tariffs Jan2018'!K35)*('Tariffs Jan2018'!W35/100)*'Tariffs Jan2018'!AJ35,('Tariffs Jan2018'!L35-'Tariffs Jan2018'!K35)*('Tariffs Jan2018'!W35/100)*'Tariffs Jan2018'!AJ35))</f>
        <v>0</v>
      </c>
      <c r="M41" s="59">
        <f>IF($C$5*'Tariffs Jan2018'!AL35/'Tariffs Jan2018'!AJ35&lt;'Tariffs Jan2018'!L35,0,IF($C$5*'Tariffs Jan2018'!AL35/'Tariffs Jan2018'!AJ35&lt;='Tariffs Jan2018'!M35,($C$5*'Tariffs Jan2018'!AL35/'Tariffs Jan2018'!AJ35-'Tariffs Jan2018'!L35)*('Tariffs Jan2018'!X35/100)*'Tariffs Jan2018'!AJ35,('Tariffs Jan2018'!M35-'Tariffs Jan2018'!L35)*('Tariffs Jan2018'!X35/100)*'Tariffs Jan2018'!AJ35))</f>
        <v>0</v>
      </c>
      <c r="N41" s="59">
        <f>IF(($C$5*'Tariffs Jan2018'!AL35/'Tariffs Jan2018'!AJ35&gt;'Tariffs Jan2018'!M35),($C$5*'Tariffs Jan2018'!AL35/'Tariffs Jan2018'!AJ35-'Tariffs Jan2018'!M35)*'Tariffs Jan2018'!Y35/100*'Tariffs Jan2018'!AJ35,0)</f>
        <v>486.53187599999995</v>
      </c>
      <c r="O41" s="271">
        <f t="shared" si="1"/>
        <v>1136.6993190000001</v>
      </c>
      <c r="P41" s="59">
        <f t="shared" si="2"/>
        <v>1407.784819</v>
      </c>
      <c r="Q41" s="272">
        <f t="shared" si="3"/>
        <v>1548.5633009000001</v>
      </c>
      <c r="R41" s="40">
        <f>'Tariffs Jan2018'!AM35</f>
        <v>0</v>
      </c>
      <c r="S41" s="40">
        <f>'Tariffs Jan2018'!AN35</f>
        <v>0</v>
      </c>
      <c r="T41" s="40">
        <f>'Tariffs Jan2018'!AO35</f>
        <v>0</v>
      </c>
      <c r="U41" s="40">
        <f>'Tariffs Jan2018'!AP35</f>
        <v>0</v>
      </c>
      <c r="V41" s="273">
        <f t="shared" si="6"/>
        <v>1407.784819</v>
      </c>
      <c r="W41" s="273">
        <f>V41</f>
        <v>1407.784819</v>
      </c>
      <c r="X41" s="272">
        <f t="shared" si="4"/>
        <v>1548.5633009000001</v>
      </c>
      <c r="Y41" s="272">
        <f t="shared" si="4"/>
        <v>1548.5633009000001</v>
      </c>
      <c r="Z41" s="274">
        <f>'Tariffs Jan2018'!AW35</f>
        <v>0</v>
      </c>
      <c r="AA41" s="274" t="str">
        <f>'Tariffs Jan2018'!AX35</f>
        <v>n</v>
      </c>
      <c r="AB41" s="275" t="str">
        <f>'Tariffs Jan2018'!BE35</f>
        <v>Y</v>
      </c>
      <c r="AC41" s="321"/>
      <c r="AD41" s="321"/>
      <c r="AE41" s="321"/>
      <c r="AF41" s="321"/>
      <c r="AG41" s="321"/>
      <c r="AH41" s="321"/>
      <c r="AI41" s="321"/>
      <c r="AJ41" s="321"/>
      <c r="AK41" s="321"/>
      <c r="AL41" s="321"/>
      <c r="AM41" s="321"/>
      <c r="AN41" s="321"/>
    </row>
    <row r="42" spans="1:40" x14ac:dyDescent="0.15">
      <c r="A42" s="270" t="str">
        <f>'Tariffs Jan2018'!F36</f>
        <v>Origin Energy</v>
      </c>
      <c r="B42" s="40" t="str">
        <f>'Tariffs Jan2018'!D36</f>
        <v>Envestra North</v>
      </c>
      <c r="C42" s="40" t="str">
        <f>'Tariffs Jan2018'!G36</f>
        <v>Saver</v>
      </c>
      <c r="D42" s="59">
        <f>365*'Tariffs Jan2018'!H36/100</f>
        <v>251.85</v>
      </c>
      <c r="E42" s="59">
        <f>IF($C$5*'Tariffs Jan2018'!AK36/'Tariffs Jan2018'!AI36&gt;='Tariffs Jan2018'!J36,( 'Tariffs Jan2018'!J36*'Tariffs Jan2018'!O36/100)* 'Tariffs Jan2018'!AI36,($C$5*'Tariffs Jan2018'!AK36/'Tariffs Jan2018'!AI36*'Tariffs Jan2018'!O36/100)* 'Tariffs Jan2018'!AI36)</f>
        <v>176</v>
      </c>
      <c r="F42" s="59">
        <f>IF($C$5*'Tariffs Jan2018'!AK36/'Tariffs Jan2018'!AI36&lt;'Tariffs Jan2018'!J36,0,IF($C$5*'Tariffs Jan2018'!AK36/'Tariffs Jan2018'!AI36&lt;='Tariffs Jan2018'!K36,($C$5*'Tariffs Jan2018'!AK36/'Tariffs Jan2018'!AI36-'Tariffs Jan2018'!J36)*('Tariffs Jan2018'!P36/100)*'Tariffs Jan2018'!AI36,('Tariffs Jan2018'!K36-'Tariffs Jan2018'!J36)*('Tariffs Jan2018'!P36/100)*'Tariffs Jan2018'!AI36))</f>
        <v>272.95589999999999</v>
      </c>
      <c r="G42" s="59">
        <f>IF($C$5*'Tariffs Jan2018'!AK36/'Tariffs Jan2018'!AI36&lt;'Tariffs Jan2018'!K36,0,IF($C$5*'Tariffs Jan2018'!AK36/'Tariffs Jan2018'!AI36&lt;='Tariffs Jan2018'!L36,($C$5*'Tariffs Jan2018'!AK36/'Tariffs Jan2018'!AI36-'Tariffs Jan2018'!K36)*('Tariffs Jan2018'!Q36/100)*'Tariffs Jan2018'!AI36,('Tariffs Jan2018'!L36-'Tariffs Jan2018'!K36)*('Tariffs Jan2018'!Q36/100)*'Tariffs Jan2018'!AI36))</f>
        <v>0</v>
      </c>
      <c r="H42" s="59">
        <f>IF($C$5*'Tariffs Jan2018'!AK36/'Tariffs Jan2018'!AI36&lt;'Tariffs Jan2018'!L36,0,IF($C$5*'Tariffs Jan2018'!AK36/'Tariffs Jan2018'!AI36&lt;='Tariffs Jan2018'!M36,($C$5*'Tariffs Jan2018'!AK36/'Tariffs Jan2018'!AI36-'Tariffs Jan2018'!L36)*('Tariffs Jan2018'!R36/100)*'Tariffs Jan2018'!AI36,('Tariffs Jan2018'!M36-'Tariffs Jan2018'!L36)*('Tariffs Jan2018'!R36/100)*'Tariffs Jan2018'!AI36))</f>
        <v>0</v>
      </c>
      <c r="I42" s="59">
        <f>IF(($C$5*'Tariffs Jan2018'!AK36/'Tariffs Jan2018'!AI36&gt;'Tariffs Jan2018'!M36),($C$5*'Tariffs Jan2018'!AK36/'Tariffs Jan2018'!AI36-'Tariffs Jan2018'!M36)*'Tariffs Jan2018'!S36/100*'Tariffs Jan2018'!AI36,0)</f>
        <v>0</v>
      </c>
      <c r="J42" s="59">
        <f>IF($C$5*'Tariffs Jan2018'!AL36/'Tariffs Jan2018'!AJ36&gt;='Tariffs Jan2018'!J36,('Tariffs Jan2018'!J36*'Tariffs Jan2018'!U36/100)* 'Tariffs Jan2018'!AJ36,($C$5*'Tariffs Jan2018'!AL36/'Tariffs Jan2018'!AJ36*'Tariffs Jan2018'!U36/100)* 'Tariffs Jan2018'!AJ36)</f>
        <v>352</v>
      </c>
      <c r="K42" s="59">
        <f>IF($C$5*'Tariffs Jan2018'!AL36/'Tariffs Jan2018'!AJ36&lt;'Tariffs Jan2018'!J36,0,IF($C$5*'Tariffs Jan2018'!AL36/'Tariffs Jan2018'!AJ36&lt;='Tariffs Jan2018'!K36,($C$5*'Tariffs Jan2018'!AL36/'Tariffs Jan2018'!AJ36-'Tariffs Jan2018'!J36)*('Tariffs Jan2018'!V36/100)*'Tariffs Jan2018'!AJ36,('Tariffs Jan2018'!K36-'Tariffs Jan2018'!J36)*('Tariffs Jan2018'!V36/100)*'Tariffs Jan2018'!AJ36))</f>
        <v>545.91179999999997</v>
      </c>
      <c r="L42" s="59">
        <f>IF($C$5*'Tariffs Jan2018'!AL36/'Tariffs Jan2018'!AJ36&lt;'Tariffs Jan2018'!K36,0,IF($C$5*'Tariffs Jan2018'!AL36/'Tariffs Jan2018'!AJ36&lt;='Tariffs Jan2018'!L36,($C$5*'Tariffs Jan2018'!AL36/'Tariffs Jan2018'!AJ36-'Tariffs Jan2018'!K36)*('Tariffs Jan2018'!W36/100)*'Tariffs Jan2018'!AJ36,('Tariffs Jan2018'!L36-'Tariffs Jan2018'!K36)*('Tariffs Jan2018'!W36/100)*'Tariffs Jan2018'!AJ36))</f>
        <v>0</v>
      </c>
      <c r="M42" s="59">
        <f>IF($C$5*'Tariffs Jan2018'!AL36/'Tariffs Jan2018'!AJ36&lt;'Tariffs Jan2018'!L36,0,IF($C$5*'Tariffs Jan2018'!AL36/'Tariffs Jan2018'!AJ36&lt;='Tariffs Jan2018'!M36,($C$5*'Tariffs Jan2018'!AL36/'Tariffs Jan2018'!AJ36-'Tariffs Jan2018'!L36)*('Tariffs Jan2018'!X36/100)*'Tariffs Jan2018'!AJ36,('Tariffs Jan2018'!M36-'Tariffs Jan2018'!L36)*('Tariffs Jan2018'!X36/100)*'Tariffs Jan2018'!AJ36))</f>
        <v>0</v>
      </c>
      <c r="N42" s="59">
        <f>IF(($C$5*'Tariffs Jan2018'!AL36/'Tariffs Jan2018'!AJ36&gt;'Tariffs Jan2018'!M36),($C$5*'Tariffs Jan2018'!AL36/'Tariffs Jan2018'!AJ36-'Tariffs Jan2018'!M36)*'Tariffs Jan2018'!Y36/100*'Tariffs Jan2018'!AJ36,0)</f>
        <v>0</v>
      </c>
      <c r="O42" s="271">
        <f t="shared" si="1"/>
        <v>1346.8676999999998</v>
      </c>
      <c r="P42" s="59">
        <f t="shared" si="2"/>
        <v>1598.7176999999997</v>
      </c>
      <c r="Q42" s="272">
        <f t="shared" si="3"/>
        <v>1758.5894699999999</v>
      </c>
      <c r="R42" s="40">
        <f>'Tariffs Jan2018'!AM36</f>
        <v>0</v>
      </c>
      <c r="S42" s="40">
        <f>'Tariffs Jan2018'!AN36</f>
        <v>0</v>
      </c>
      <c r="T42" s="40">
        <f>'Tariffs Jan2018'!AO36</f>
        <v>0</v>
      </c>
      <c r="U42" s="40">
        <f>'Tariffs Jan2018'!AP36</f>
        <v>13</v>
      </c>
      <c r="V42" s="273">
        <f t="shared" si="6"/>
        <v>1598.7176999999997</v>
      </c>
      <c r="W42" s="273">
        <f>V42-(O42*U42/100)</f>
        <v>1423.6248989999997</v>
      </c>
      <c r="X42" s="272">
        <f t="shared" si="4"/>
        <v>1758.5894699999999</v>
      </c>
      <c r="Y42" s="272">
        <f t="shared" si="4"/>
        <v>1565.9873888999998</v>
      </c>
      <c r="Z42" s="274">
        <f>'Tariffs Jan2018'!AW36</f>
        <v>0</v>
      </c>
      <c r="AA42" s="274" t="str">
        <f>'Tariffs Jan2018'!AX36</f>
        <v>n</v>
      </c>
      <c r="AB42" s="275" t="str">
        <f>'Tariffs Jan2018'!BE36</f>
        <v>N</v>
      </c>
      <c r="AC42" s="321"/>
      <c r="AD42" s="321"/>
      <c r="AE42" s="321"/>
      <c r="AF42" s="321"/>
      <c r="AG42" s="321"/>
      <c r="AH42" s="321"/>
      <c r="AI42" s="321"/>
      <c r="AJ42" s="321"/>
      <c r="AK42" s="321"/>
      <c r="AL42" s="321"/>
      <c r="AM42" s="321"/>
      <c r="AN42" s="321"/>
    </row>
    <row r="43" spans="1:40" x14ac:dyDescent="0.15">
      <c r="A43" s="270" t="str">
        <f>'Tariffs Jan2018'!F37</f>
        <v>Red Energy</v>
      </c>
      <c r="B43" s="40" t="str">
        <f>'Tariffs Jan2018'!D37</f>
        <v>Envestra North</v>
      </c>
      <c r="C43" s="40" t="str">
        <f>'Tariffs Jan2018'!G37</f>
        <v>Living Energy Saver</v>
      </c>
      <c r="D43" s="59">
        <f>365*'Tariffs Jan2018'!H37/100</f>
        <v>263.16499999999996</v>
      </c>
      <c r="E43" s="59">
        <f>IF($C$5*'Tariffs Jan2018'!AK37/'Tariffs Jan2018'!AI37&gt;='Tariffs Jan2018'!J37,( 'Tariffs Jan2018'!J37*'Tariffs Jan2018'!O37/100)* 'Tariffs Jan2018'!AI37,($C$5*'Tariffs Jan2018'!AK37/'Tariffs Jan2018'!AI37*'Tariffs Jan2018'!O37/100)* 'Tariffs Jan2018'!AI37)</f>
        <v>120.18</v>
      </c>
      <c r="F43" s="59">
        <f>IF($C$5*'Tariffs Jan2018'!AK37/'Tariffs Jan2018'!AI37&lt;'Tariffs Jan2018'!J37,0,IF($C$5*'Tariffs Jan2018'!AK37/'Tariffs Jan2018'!AI37&lt;='Tariffs Jan2018'!K37,($C$5*'Tariffs Jan2018'!AK37/'Tariffs Jan2018'!AI37-'Tariffs Jan2018'!J37)*('Tariffs Jan2018'!S37/100)*'Tariffs Jan2018'!AI37,('Tariffs Jan2018'!K37-'Tariffs Jan2018'!J37)*('Tariffs Jan2018'!S37/100)*'Tariffs Jan2018'!AI37))</f>
        <v>0</v>
      </c>
      <c r="G43" s="59">
        <f>IF($C$5*'Tariffs Jan2018'!AK37/'Tariffs Jan2018'!AI37&lt;'Tariffs Jan2018'!K37,0,IF($C$5*'Tariffs Jan2018'!AK37/'Tariffs Jan2018'!AI37&lt;='Tariffs Jan2018'!L37,($C$5*'Tariffs Jan2018'!AK37/'Tariffs Jan2018'!AI37-'Tariffs Jan2018'!K37)*('Tariffs Jan2018'!Q37/100)*'Tariffs Jan2018'!AI37,('Tariffs Jan2018'!L37-'Tariffs Jan2018'!K37)*('Tariffs Jan2018'!Q37/100)*'Tariffs Jan2018'!AI37))</f>
        <v>0</v>
      </c>
      <c r="H43" s="59">
        <f>IF($C$5*'Tariffs Jan2018'!AK37/'Tariffs Jan2018'!AI37&lt;'Tariffs Jan2018'!L37,0,IF($C$5*'Tariffs Jan2018'!AK37/'Tariffs Jan2018'!AI37&lt;='Tariffs Jan2018'!M37,($C$5*'Tariffs Jan2018'!AK37/'Tariffs Jan2018'!AI37-'Tariffs Jan2018'!L37)*('Tariffs Jan2018'!R37/100)*'Tariffs Jan2018'!AI37,('Tariffs Jan2018'!M37-'Tariffs Jan2018'!L37)*('Tariffs Jan2018'!R37/100)*'Tariffs Jan2018'!AI37))</f>
        <v>0</v>
      </c>
      <c r="I43" s="59">
        <f>IF(($C$5*'Tariffs Jan2018'!AK37/'Tariffs Jan2018'!AI37&gt;'Tariffs Jan2018'!M37),($C$5*'Tariffs Jan2018'!AK37/'Tariffs Jan2018'!AI37-'Tariffs Jan2018'!M37)*'Tariffs Jan2018'!S37/100*'Tariffs Jan2018'!AI37,0)</f>
        <v>219.11931899999999</v>
      </c>
      <c r="J43" s="59">
        <f>IF($C$5*'Tariffs Jan2018'!AL37/'Tariffs Jan2018'!AJ37&gt;='Tariffs Jan2018'!J37,('Tariffs Jan2018'!J37*'Tariffs Jan2018'!U37/100)* 'Tariffs Jan2018'!AJ37,($C$5*'Tariffs Jan2018'!AL37/'Tariffs Jan2018'!AJ37*'Tariffs Jan2018'!U37/100)* 'Tariffs Jan2018'!AJ37)</f>
        <v>240.36</v>
      </c>
      <c r="K43" s="59">
        <f>IF($C$5*'Tariffs Jan2018'!AL37/'Tariffs Jan2018'!AJ37&lt;'Tariffs Jan2018'!J37,0,IF($C$5*'Tariffs Jan2018'!AL37/'Tariffs Jan2018'!AJ37&lt;='Tariffs Jan2018'!K37,($C$5*'Tariffs Jan2018'!AL37/'Tariffs Jan2018'!AJ37-'Tariffs Jan2018'!J37)*('Tariffs Jan2018'!V37/100)*'Tariffs Jan2018'!AJ37,('Tariffs Jan2018'!K37-'Tariffs Jan2018'!J37)*('Tariffs Jan2018'!V37/100)*'Tariffs Jan2018'!AJ37))</f>
        <v>0</v>
      </c>
      <c r="L43" s="59">
        <f>IF($C$5*'Tariffs Jan2018'!AL37/'Tariffs Jan2018'!AJ37&lt;'Tariffs Jan2018'!K37,0,IF($C$5*'Tariffs Jan2018'!AL37/'Tariffs Jan2018'!AJ37&lt;='Tariffs Jan2018'!L37,($C$5*'Tariffs Jan2018'!AL37/'Tariffs Jan2018'!AJ37-'Tariffs Jan2018'!K37)*('Tariffs Jan2018'!W37/100)*'Tariffs Jan2018'!AJ37,('Tariffs Jan2018'!L37-'Tariffs Jan2018'!K37)*('Tariffs Jan2018'!W37/100)*'Tariffs Jan2018'!AJ37))</f>
        <v>0</v>
      </c>
      <c r="M43" s="59">
        <f>IF($C$5*'Tariffs Jan2018'!AL37/'Tariffs Jan2018'!AJ37&lt;'Tariffs Jan2018'!L37,0,IF($C$5*'Tariffs Jan2018'!AL37/'Tariffs Jan2018'!AJ37&lt;='Tariffs Jan2018'!M37,($C$5*'Tariffs Jan2018'!AL37/'Tariffs Jan2018'!AJ37-'Tariffs Jan2018'!L37)*('Tariffs Jan2018'!X37/100)*'Tariffs Jan2018'!AJ37,('Tariffs Jan2018'!M37-'Tariffs Jan2018'!L37)*('Tariffs Jan2018'!X37/100)*'Tariffs Jan2018'!AJ37))</f>
        <v>0</v>
      </c>
      <c r="N43" s="59">
        <f>IF(($C$5*'Tariffs Jan2018'!AL37/'Tariffs Jan2018'!AJ37&gt;'Tariffs Jan2018'!M37),($C$5*'Tariffs Jan2018'!AL37/'Tariffs Jan2018'!AJ37-'Tariffs Jan2018'!M37)*'Tariffs Jan2018'!Y37/100*'Tariffs Jan2018'!AJ37,0)</f>
        <v>438.23863799999998</v>
      </c>
      <c r="O43" s="271">
        <f t="shared" si="1"/>
        <v>1017.8979569999999</v>
      </c>
      <c r="P43" s="59">
        <f t="shared" si="2"/>
        <v>1281.0629569999999</v>
      </c>
      <c r="Q43" s="272">
        <f t="shared" si="3"/>
        <v>1409.1692527</v>
      </c>
      <c r="R43" s="40">
        <f>'Tariffs Jan2018'!AM37</f>
        <v>0</v>
      </c>
      <c r="S43" s="40">
        <f>'Tariffs Jan2018'!AN37</f>
        <v>0</v>
      </c>
      <c r="T43" s="40">
        <f>'Tariffs Jan2018'!AO37</f>
        <v>10</v>
      </c>
      <c r="U43" s="40">
        <f>'Tariffs Jan2018'!AP37</f>
        <v>0</v>
      </c>
      <c r="V43" s="273">
        <f t="shared" si="6"/>
        <v>1281.0629569999999</v>
      </c>
      <c r="W43" s="273">
        <f>V43-(P43*T43/100)</f>
        <v>1152.9566613</v>
      </c>
      <c r="X43" s="272">
        <f t="shared" si="4"/>
        <v>1409.1692527</v>
      </c>
      <c r="Y43" s="272">
        <f t="shared" si="4"/>
        <v>1268.2523274300002</v>
      </c>
      <c r="Z43" s="274">
        <f>'Tariffs Jan2018'!AW37</f>
        <v>0</v>
      </c>
      <c r="AA43" s="274" t="str">
        <f>'Tariffs Jan2018'!AX37</f>
        <v>n</v>
      </c>
      <c r="AB43" s="275" t="str">
        <f>'Tariffs Jan2018'!BE37</f>
        <v>Y</v>
      </c>
      <c r="AC43" s="321"/>
      <c r="AD43" s="321"/>
      <c r="AE43" s="321"/>
      <c r="AF43" s="321"/>
      <c r="AG43" s="321"/>
      <c r="AH43" s="321"/>
      <c r="AI43" s="321"/>
      <c r="AJ43" s="321"/>
      <c r="AK43" s="321"/>
      <c r="AL43" s="321"/>
      <c r="AM43" s="321"/>
      <c r="AN43" s="321"/>
    </row>
    <row r="44" spans="1:40" x14ac:dyDescent="0.15">
      <c r="A44" s="270" t="str">
        <f>'Tariffs Jan2018'!F38</f>
        <v>Simply Energy</v>
      </c>
      <c r="B44" s="40" t="str">
        <f>'Tariffs Jan2018'!D38</f>
        <v>Envestra North</v>
      </c>
      <c r="C44" s="40" t="str">
        <f>'Tariffs Jan2018'!G38</f>
        <v>Plus</v>
      </c>
      <c r="D44" s="59">
        <f>365*'Tariffs Jan2018'!H38/100</f>
        <v>259.55150000000003</v>
      </c>
      <c r="E44" s="59">
        <f>IF($C$5*'Tariffs Jan2018'!AK38/'Tariffs Jan2018'!AI38&gt;='Tariffs Jan2018'!J38,( 'Tariffs Jan2018'!J38*'Tariffs Jan2018'!O38/100)* 'Tariffs Jan2018'!AI38,($C$5*'Tariffs Jan2018'!AK38/'Tariffs Jan2018'!AI38*'Tariffs Jan2018'!O38/100)* 'Tariffs Jan2018'!AI38)</f>
        <v>101.00299999999999</v>
      </c>
      <c r="F44" s="59">
        <f>IF($C$5*'Tariffs Jan2018'!AK38/'Tariffs Jan2018'!AI38&lt;'Tariffs Jan2018'!J38,0,IF($C$5*'Tariffs Jan2018'!AK38/'Tariffs Jan2018'!AI38&lt;='Tariffs Jan2018'!K38,($C$5*'Tariffs Jan2018'!AK38/'Tariffs Jan2018'!AI38-'Tariffs Jan2018'!J38)*('Tariffs Jan2018'!P38/100)*'Tariffs Jan2018'!AI38,('Tariffs Jan2018'!K38-'Tariffs Jan2018'!J38)*('Tariffs Jan2018'!P38/100)*'Tariffs Jan2018'!AI38))</f>
        <v>71.272999999999996</v>
      </c>
      <c r="G44" s="59">
        <f>IF($C$5*'Tariffs Jan2018'!AK38/'Tariffs Jan2018'!AI38&lt;'Tariffs Jan2018'!K38,0,IF($C$5*'Tariffs Jan2018'!AK38/'Tariffs Jan2018'!AI38&lt;='Tariffs Jan2018'!L38,($C$5*'Tariffs Jan2018'!AK38/'Tariffs Jan2018'!AI38-'Tariffs Jan2018'!K38)*('Tariffs Jan2018'!Q38/100)*'Tariffs Jan2018'!AI38,('Tariffs Jan2018'!L38-'Tariffs Jan2018'!K38)*('Tariffs Jan2018'!Q38/100)*'Tariffs Jan2018'!AI38))</f>
        <v>0</v>
      </c>
      <c r="H44" s="59">
        <f>IF($C$5*'Tariffs Jan2018'!AK38/'Tariffs Jan2018'!AI38&lt;'Tariffs Jan2018'!L38,0,IF($C$5*'Tariffs Jan2018'!AK38/'Tariffs Jan2018'!AI38&lt;='Tariffs Jan2018'!M38,($C$5*'Tariffs Jan2018'!AK38/'Tariffs Jan2018'!AI38-'Tariffs Jan2018'!L38)*('Tariffs Jan2018'!R38/100)*'Tariffs Jan2018'!AI38,('Tariffs Jan2018'!M38-'Tariffs Jan2018'!L38)*('Tariffs Jan2018'!R38/100)*'Tariffs Jan2018'!AI38))</f>
        <v>0</v>
      </c>
      <c r="I44" s="59">
        <f>IF(($C$5*'Tariffs Jan2018'!AK38/'Tariffs Jan2018'!AI38&gt;'Tariffs Jan2018'!M38),($C$5*'Tariffs Jan2018'!AK38/'Tariffs Jan2018'!AI38-'Tariffs Jan2018'!M38)*'Tariffs Jan2018'!S38/100*'Tariffs Jan2018'!AI38,0)</f>
        <v>335.95295999999996</v>
      </c>
      <c r="J44" s="59">
        <f>IF($C$5*'Tariffs Jan2018'!AL38/'Tariffs Jan2018'!AJ38&gt;='Tariffs Jan2018'!J38,('Tariffs Jan2018'!J38*'Tariffs Jan2018'!U38/100)* 'Tariffs Jan2018'!AJ38,($C$5*'Tariffs Jan2018'!AL38/'Tariffs Jan2018'!AJ38*'Tariffs Jan2018'!U38/100)* 'Tariffs Jan2018'!AJ38)</f>
        <v>202.00599999999997</v>
      </c>
      <c r="K44" s="59">
        <f>IF($C$5*'Tariffs Jan2018'!AL38/'Tariffs Jan2018'!AJ38&lt;'Tariffs Jan2018'!J38,0,IF($C$5*'Tariffs Jan2018'!AL38/'Tariffs Jan2018'!AJ38&lt;='Tariffs Jan2018'!K38,($C$5*'Tariffs Jan2018'!AL38/'Tariffs Jan2018'!AJ38-'Tariffs Jan2018'!J38)*('Tariffs Jan2018'!V38/100)*'Tariffs Jan2018'!AJ38,('Tariffs Jan2018'!K38-'Tariffs Jan2018'!J38)*('Tariffs Jan2018'!V38/100)*'Tariffs Jan2018'!AJ38))</f>
        <v>142.54599999999999</v>
      </c>
      <c r="L44" s="59">
        <f>IF($C$5*'Tariffs Jan2018'!AL38/'Tariffs Jan2018'!AJ38&lt;'Tariffs Jan2018'!K38,0,IF($C$5*'Tariffs Jan2018'!AL38/'Tariffs Jan2018'!AJ38&lt;='Tariffs Jan2018'!L38,($C$5*'Tariffs Jan2018'!AL38/'Tariffs Jan2018'!AJ38-'Tariffs Jan2018'!K38)*('Tariffs Jan2018'!W38/100)*'Tariffs Jan2018'!AJ38,('Tariffs Jan2018'!L38-'Tariffs Jan2018'!K38)*('Tariffs Jan2018'!W38/100)*'Tariffs Jan2018'!AJ38))</f>
        <v>0</v>
      </c>
      <c r="M44" s="59">
        <f>IF($C$5*'Tariffs Jan2018'!AL38/'Tariffs Jan2018'!AJ38&lt;'Tariffs Jan2018'!L38,0,IF($C$5*'Tariffs Jan2018'!AL38/'Tariffs Jan2018'!AJ38&lt;='Tariffs Jan2018'!M38,($C$5*'Tariffs Jan2018'!AL38/'Tariffs Jan2018'!AJ38-'Tariffs Jan2018'!L38)*('Tariffs Jan2018'!X38/100)*'Tariffs Jan2018'!AJ38,('Tariffs Jan2018'!M38-'Tariffs Jan2018'!L38)*('Tariffs Jan2018'!X38/100)*'Tariffs Jan2018'!AJ38))</f>
        <v>0</v>
      </c>
      <c r="N44" s="59">
        <f>IF(($C$5*'Tariffs Jan2018'!AL38/'Tariffs Jan2018'!AJ38&gt;'Tariffs Jan2018'!M38),($C$5*'Tariffs Jan2018'!AL38/'Tariffs Jan2018'!AJ38-'Tariffs Jan2018'!M38)*'Tariffs Jan2018'!Y38/100*'Tariffs Jan2018'!AJ38,0)</f>
        <v>671.90591999999992</v>
      </c>
      <c r="O44" s="271">
        <f t="shared" si="1"/>
        <v>1524.6868799999997</v>
      </c>
      <c r="P44" s="59">
        <f t="shared" si="2"/>
        <v>1784.2383799999998</v>
      </c>
      <c r="Q44" s="272">
        <f t="shared" si="3"/>
        <v>1962.6622179999999</v>
      </c>
      <c r="R44" s="40">
        <f>'Tariffs Jan2018'!AM38</f>
        <v>0</v>
      </c>
      <c r="S44" s="40">
        <f>'Tariffs Jan2018'!AN38</f>
        <v>0</v>
      </c>
      <c r="T44" s="40">
        <f>'Tariffs Jan2018'!AO38</f>
        <v>0</v>
      </c>
      <c r="U44" s="40">
        <f>'Tariffs Jan2018'!AP38</f>
        <v>20</v>
      </c>
      <c r="V44" s="273">
        <f t="shared" si="6"/>
        <v>1784.2383799999998</v>
      </c>
      <c r="W44" s="273">
        <f>V44-(O44*U44/100)</f>
        <v>1479.3010039999999</v>
      </c>
      <c r="X44" s="272">
        <f t="shared" si="4"/>
        <v>1962.6622179999999</v>
      </c>
      <c r="Y44" s="272">
        <f t="shared" si="4"/>
        <v>1627.2311044</v>
      </c>
      <c r="Z44" s="274">
        <f>'Tariffs Jan2018'!AW38</f>
        <v>0</v>
      </c>
      <c r="AA44" s="274" t="str">
        <f>'Tariffs Jan2018'!AX38</f>
        <v>n</v>
      </c>
      <c r="AB44" s="275" t="str">
        <f>'Tariffs Jan2018'!BE38</f>
        <v>Y</v>
      </c>
      <c r="AC44" s="321"/>
      <c r="AD44" s="321"/>
      <c r="AE44" s="321"/>
      <c r="AF44" s="321"/>
      <c r="AG44" s="321"/>
      <c r="AH44" s="321"/>
      <c r="AI44" s="321"/>
      <c r="AJ44" s="321"/>
      <c r="AK44" s="321"/>
      <c r="AL44" s="321"/>
      <c r="AM44" s="321"/>
      <c r="AN44" s="321"/>
    </row>
    <row r="45" spans="1:40" x14ac:dyDescent="0.15">
      <c r="A45" s="270" t="str">
        <f>'Tariffs Jan2018'!F39</f>
        <v>Sumo Power</v>
      </c>
      <c r="B45" s="40" t="str">
        <f>'Tariffs Jan2018'!D39</f>
        <v>Envestra North</v>
      </c>
      <c r="C45" s="40" t="str">
        <f>'Tariffs Jan2018'!G39</f>
        <v>Pay on time</v>
      </c>
      <c r="D45" s="59">
        <f>365*'Tariffs Jan2018'!H39/100</f>
        <v>281.05</v>
      </c>
      <c r="E45" s="59">
        <f>IF($C$5*'Tariffs Jan2018'!AK39/'Tariffs Jan2018'!AI39&gt;='Tariffs Jan2018'!J39,( 'Tariffs Jan2018'!J39*'Tariffs Jan2018'!O39/100)* 'Tariffs Jan2018'!AI39,($C$5*'Tariffs Jan2018'!AK39/'Tariffs Jan2018'!AI39*'Tariffs Jan2018'!O39/100)* 'Tariffs Jan2018'!AI39)</f>
        <v>362.88</v>
      </c>
      <c r="F45" s="59">
        <f>IF($C$5*'Tariffs Jan2018'!AK39/'Tariffs Jan2018'!AI39&lt;'Tariffs Jan2018'!J39,0,IF($C$5*'Tariffs Jan2018'!AK39/'Tariffs Jan2018'!AI39&lt;='Tariffs Jan2018'!K39,($C$5*'Tariffs Jan2018'!AK39/'Tariffs Jan2018'!AI39-'Tariffs Jan2018'!J39)*('Tariffs Jan2018'!S39/100)*'Tariffs Jan2018'!AI39,('Tariffs Jan2018'!K39-'Tariffs Jan2018'!J39)*('Tariffs Jan2018'!S39/100)*'Tariffs Jan2018'!AI39))</f>
        <v>217.83915899999994</v>
      </c>
      <c r="G45" s="59">
        <f>IF($C$5*'Tariffs Jan2018'!AK39/'Tariffs Jan2018'!AI39&lt;'Tariffs Jan2018'!K39,0,IF($C$5*'Tariffs Jan2018'!AK39/'Tariffs Jan2018'!AI39&lt;='Tariffs Jan2018'!L39,($C$5*'Tariffs Jan2018'!AK39/'Tariffs Jan2018'!AI39-'Tariffs Jan2018'!K39)*('Tariffs Jan2018'!Q39/100)*'Tariffs Jan2018'!AI39,('Tariffs Jan2018'!L39-'Tariffs Jan2018'!K39)*('Tariffs Jan2018'!Q39/100)*'Tariffs Jan2018'!AI39))</f>
        <v>0</v>
      </c>
      <c r="H45" s="59">
        <f>IF($C$5*'Tariffs Jan2018'!AK39/'Tariffs Jan2018'!AI39&lt;'Tariffs Jan2018'!L39,0,IF($C$5*'Tariffs Jan2018'!AK39/'Tariffs Jan2018'!AI39&lt;='Tariffs Jan2018'!M39,($C$5*'Tariffs Jan2018'!AK39/'Tariffs Jan2018'!AI39-'Tariffs Jan2018'!L39)*('Tariffs Jan2018'!R39/100)*'Tariffs Jan2018'!AI39,('Tariffs Jan2018'!M39-'Tariffs Jan2018'!L39)*('Tariffs Jan2018'!R39/100)*'Tariffs Jan2018'!AI39))</f>
        <v>0</v>
      </c>
      <c r="I45" s="59">
        <f>IF(($C$5*'Tariffs Jan2018'!AK39/'Tariffs Jan2018'!AI39&gt;'Tariffs Jan2018'!M39),($C$5*'Tariffs Jan2018'!AK39/'Tariffs Jan2018'!AI39-'Tariffs Jan2018'!M39)*'Tariffs Jan2018'!S39/100*'Tariffs Jan2018'!AI39,0)</f>
        <v>0</v>
      </c>
      <c r="J45" s="59">
        <f>IF($C$5*'Tariffs Jan2018'!AL39/'Tariffs Jan2018'!AJ39&gt;='Tariffs Jan2018'!J39,('Tariffs Jan2018'!J39*'Tariffs Jan2018'!U39/100)* 'Tariffs Jan2018'!AJ39,($C$5*'Tariffs Jan2018'!AL39/'Tariffs Jan2018'!AJ39*'Tariffs Jan2018'!U39/100)* 'Tariffs Jan2018'!AJ39)</f>
        <v>725.76</v>
      </c>
      <c r="K45" s="59">
        <f>IF($C$5*'Tariffs Jan2018'!AL39/'Tariffs Jan2018'!AJ39&lt;'Tariffs Jan2018'!J39,0,IF($C$5*'Tariffs Jan2018'!AL39/'Tariffs Jan2018'!AJ39&lt;='Tariffs Jan2018'!K39,($C$5*'Tariffs Jan2018'!AL39/'Tariffs Jan2018'!AJ39-'Tariffs Jan2018'!J39)*('Tariffs Jan2018'!V39/100)*'Tariffs Jan2018'!AJ39,('Tariffs Jan2018'!K39-'Tariffs Jan2018'!J39)*('Tariffs Jan2018'!V39/100)*'Tariffs Jan2018'!AJ39))</f>
        <v>499.92332399999987</v>
      </c>
      <c r="L45" s="59">
        <f>IF($C$5*'Tariffs Jan2018'!AL39/'Tariffs Jan2018'!AJ39&lt;'Tariffs Jan2018'!K39,0,IF($C$5*'Tariffs Jan2018'!AL39/'Tariffs Jan2018'!AJ39&lt;='Tariffs Jan2018'!L39,($C$5*'Tariffs Jan2018'!AL39/'Tariffs Jan2018'!AJ39-'Tariffs Jan2018'!K39)*('Tariffs Jan2018'!W39/100)*'Tariffs Jan2018'!AJ39,('Tariffs Jan2018'!L39-'Tariffs Jan2018'!K39)*('Tariffs Jan2018'!W39/100)*'Tariffs Jan2018'!AJ39))</f>
        <v>0</v>
      </c>
      <c r="M45" s="59">
        <f>IF($C$5*'Tariffs Jan2018'!AL39/'Tariffs Jan2018'!AJ39&lt;'Tariffs Jan2018'!L39,0,IF($C$5*'Tariffs Jan2018'!AL39/'Tariffs Jan2018'!AJ39&lt;='Tariffs Jan2018'!M39,($C$5*'Tariffs Jan2018'!AL39/'Tariffs Jan2018'!AJ39-'Tariffs Jan2018'!L39)*('Tariffs Jan2018'!X39/100)*'Tariffs Jan2018'!AJ39,('Tariffs Jan2018'!M39-'Tariffs Jan2018'!L39)*('Tariffs Jan2018'!X39/100)*'Tariffs Jan2018'!AJ39))</f>
        <v>0</v>
      </c>
      <c r="N45" s="59">
        <f>IF(($C$5*'Tariffs Jan2018'!AL39/'Tariffs Jan2018'!AJ39&gt;'Tariffs Jan2018'!M39),($C$5*'Tariffs Jan2018'!AL39/'Tariffs Jan2018'!AJ39-'Tariffs Jan2018'!M39)*'Tariffs Jan2018'!Y39/100*'Tariffs Jan2018'!AJ39,0)</f>
        <v>0</v>
      </c>
      <c r="O45" s="271">
        <f>SUM(E45:N45)</f>
        <v>1806.4024829999998</v>
      </c>
      <c r="P45" s="59">
        <f>D45+O45</f>
        <v>2087.452483</v>
      </c>
      <c r="Q45" s="272">
        <f>P45*1.1</f>
        <v>2296.1977313000002</v>
      </c>
      <c r="R45" s="40">
        <f>'Tariffs Jan2018'!AM39</f>
        <v>0</v>
      </c>
      <c r="S45" s="40">
        <f>'Tariffs Jan2018'!AN39</f>
        <v>0</v>
      </c>
      <c r="T45" s="40">
        <f>'Tariffs Jan2018'!AO39</f>
        <v>0</v>
      </c>
      <c r="U45" s="40">
        <f>'Tariffs Jan2018'!AP39</f>
        <v>17</v>
      </c>
      <c r="V45" s="273">
        <f t="shared" si="6"/>
        <v>2087.452483</v>
      </c>
      <c r="W45" s="273">
        <f>V45-(O45*U45/100)</f>
        <v>1780.36406089</v>
      </c>
      <c r="X45" s="272">
        <f>V45*1.1</f>
        <v>2296.1977313000002</v>
      </c>
      <c r="Y45" s="272">
        <f>W45*1.1</f>
        <v>1958.4004669790002</v>
      </c>
      <c r="Z45" s="274">
        <f>'Tariffs Jan2018'!AW39</f>
        <v>0</v>
      </c>
      <c r="AA45" s="274" t="str">
        <f>'Tariffs Jan2018'!AX39</f>
        <v>n</v>
      </c>
      <c r="AB45" s="275" t="str">
        <f>'Tariffs Jan2018'!BE39</f>
        <v>Y</v>
      </c>
      <c r="AC45" s="321"/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</row>
    <row r="46" spans="1:40" ht="14" thickBot="1" x14ac:dyDescent="0.2">
      <c r="A46" s="276" t="str">
        <f>'Tariffs Jan2018'!F40</f>
        <v>Amaysim</v>
      </c>
      <c r="B46" s="277" t="str">
        <f>'Tariffs Jan2018'!D40</f>
        <v>Envestra North</v>
      </c>
      <c r="C46" s="277" t="str">
        <f>'Tariffs Jan2018'!G40</f>
        <v>Gas 3</v>
      </c>
      <c r="D46" s="278">
        <f>365*'Tariffs Jan2018'!H40/100</f>
        <v>292.73</v>
      </c>
      <c r="E46" s="278">
        <f>IF($C$5*'Tariffs Jan2018'!AK40/'Tariffs Jan2018'!AI40&gt;='Tariffs Jan2018'!J40,( 'Tariffs Jan2018'!J40*'Tariffs Jan2018'!O40/100)* 'Tariffs Jan2018'!AI40,($C$5*'Tariffs Jan2018'!AK40/'Tariffs Jan2018'!AI40*'Tariffs Jan2018'!O40/100)* 'Tariffs Jan2018'!AI40)</f>
        <v>123.375</v>
      </c>
      <c r="F46" s="278">
        <f>IF($C$5*'Tariffs Jan2018'!AK40/'Tariffs Jan2018'!AI40&lt;'Tariffs Jan2018'!J40,0,IF($C$5*'Tariffs Jan2018'!AK40/'Tariffs Jan2018'!AI40&lt;='Tariffs Jan2018'!K40,($C$5*'Tariffs Jan2018'!AK40/'Tariffs Jan2018'!AI40-'Tariffs Jan2018'!J40)*('Tariffs Jan2018'!P40/100)*'Tariffs Jan2018'!AI40,('Tariffs Jan2018'!K40-'Tariffs Jan2018'!J40)*('Tariffs Jan2018'!P40/100)*'Tariffs Jan2018'!AI40))</f>
        <v>86.72</v>
      </c>
      <c r="G46" s="278">
        <f>IF($C$5*'Tariffs Jan2018'!AK40/'Tariffs Jan2018'!AI40&lt;'Tariffs Jan2018'!K40,0,IF($C$5*'Tariffs Jan2018'!AK40/'Tariffs Jan2018'!AI40&lt;='Tariffs Jan2018'!L40,($C$5*'Tariffs Jan2018'!AK40/'Tariffs Jan2018'!AI40-'Tariffs Jan2018'!K40)*('Tariffs Jan2018'!Q40/100)*'Tariffs Jan2018'!AI40,('Tariffs Jan2018'!L40-'Tariffs Jan2018'!K40)*('Tariffs Jan2018'!Q40/100)*'Tariffs Jan2018'!AI40))</f>
        <v>0</v>
      </c>
      <c r="H46" s="278">
        <f>IF($C$5*'Tariffs Jan2018'!AK40/'Tariffs Jan2018'!AI40&lt;'Tariffs Jan2018'!L40,0,IF($C$5*'Tariffs Jan2018'!AK40/'Tariffs Jan2018'!AI40&lt;='Tariffs Jan2018'!M40,($C$5*'Tariffs Jan2018'!AK40/'Tariffs Jan2018'!AI40-'Tariffs Jan2018'!L40)*('Tariffs Jan2018'!R40/100)*'Tariffs Jan2018'!AI40,('Tariffs Jan2018'!M40-'Tariffs Jan2018'!L40)*('Tariffs Jan2018'!R40/100)*'Tariffs Jan2018'!AI40))</f>
        <v>0</v>
      </c>
      <c r="I46" s="278">
        <f>IF(($C$5*'Tariffs Jan2018'!AK40/'Tariffs Jan2018'!AI40&gt;'Tariffs Jan2018'!M40),($C$5*'Tariffs Jan2018'!AK40/'Tariffs Jan2018'!AI40-'Tariffs Jan2018'!M40)*'Tariffs Jan2018'!S40/100*'Tariffs Jan2018'!AI40,0)</f>
        <v>419.94119999999987</v>
      </c>
      <c r="J46" s="278">
        <f>IF($C$5*'Tariffs Jan2018'!AL40/'Tariffs Jan2018'!AJ40&gt;='Tariffs Jan2018'!J40,('Tariffs Jan2018'!J40*'Tariffs Jan2018'!U40/100)* 'Tariffs Jan2018'!AJ40,($C$5*'Tariffs Jan2018'!AL40/'Tariffs Jan2018'!AJ40*'Tariffs Jan2018'!U40/100)* 'Tariffs Jan2018'!AJ40)</f>
        <v>246.75</v>
      </c>
      <c r="K46" s="278">
        <f>IF($C$5*'Tariffs Jan2018'!AL40/'Tariffs Jan2018'!AJ40&lt;'Tariffs Jan2018'!J40,0,IF($C$5*'Tariffs Jan2018'!AL40/'Tariffs Jan2018'!AJ40&lt;='Tariffs Jan2018'!K40,($C$5*'Tariffs Jan2018'!AL40/'Tariffs Jan2018'!AJ40-'Tariffs Jan2018'!J40)*('Tariffs Jan2018'!V40/100)*'Tariffs Jan2018'!AJ40,('Tariffs Jan2018'!K40-'Tariffs Jan2018'!J40)*('Tariffs Jan2018'!V40/100)*'Tariffs Jan2018'!AJ40))</f>
        <v>173.44</v>
      </c>
      <c r="L46" s="278">
        <f>IF($C$5*'Tariffs Jan2018'!AL40/'Tariffs Jan2018'!AJ40&lt;'Tariffs Jan2018'!K40,0,IF($C$5*'Tariffs Jan2018'!AL40/'Tariffs Jan2018'!AJ40&lt;='Tariffs Jan2018'!L40,($C$5*'Tariffs Jan2018'!AL40/'Tariffs Jan2018'!AJ40-'Tariffs Jan2018'!K40)*('Tariffs Jan2018'!W40/100)*'Tariffs Jan2018'!AJ40,('Tariffs Jan2018'!L40-'Tariffs Jan2018'!K40)*('Tariffs Jan2018'!W40/100)*'Tariffs Jan2018'!AJ40))</f>
        <v>0</v>
      </c>
      <c r="M46" s="278">
        <f>IF($C$5*'Tariffs Jan2018'!AL40/'Tariffs Jan2018'!AJ40&lt;'Tariffs Jan2018'!L40,0,IF($C$5*'Tariffs Jan2018'!AL40/'Tariffs Jan2018'!AJ40&lt;='Tariffs Jan2018'!M40,($C$5*'Tariffs Jan2018'!AL40/'Tariffs Jan2018'!AJ40-'Tariffs Jan2018'!L40)*('Tariffs Jan2018'!X40/100)*'Tariffs Jan2018'!AJ40,('Tariffs Jan2018'!M40-'Tariffs Jan2018'!L40)*('Tariffs Jan2018'!X40/100)*'Tariffs Jan2018'!AJ40))</f>
        <v>0</v>
      </c>
      <c r="N46" s="278">
        <f>IF(($C$5*'Tariffs Jan2018'!AL40/'Tariffs Jan2018'!AJ40&gt;'Tariffs Jan2018'!M40),($C$5*'Tariffs Jan2018'!AL40/'Tariffs Jan2018'!AJ40-'Tariffs Jan2018'!M40)*'Tariffs Jan2018'!Y40/100*'Tariffs Jan2018'!AJ40,0)</f>
        <v>839.88239999999973</v>
      </c>
      <c r="O46" s="279">
        <f>SUM(E46:N46)</f>
        <v>1890.1085999999996</v>
      </c>
      <c r="P46" s="278">
        <f>D46+O46</f>
        <v>2182.8385999999996</v>
      </c>
      <c r="Q46" s="280">
        <f>P46*1.1</f>
        <v>2401.1224599999996</v>
      </c>
      <c r="R46" s="277">
        <f>'Tariffs Jan2018'!AM40</f>
        <v>0</v>
      </c>
      <c r="S46" s="277">
        <f>'Tariffs Jan2018'!AN40</f>
        <v>0</v>
      </c>
      <c r="T46" s="277">
        <f>'Tariffs Jan2018'!AO40</f>
        <v>28</v>
      </c>
      <c r="U46" s="277">
        <f>'Tariffs Jan2018'!AP40</f>
        <v>0</v>
      </c>
      <c r="V46" s="281">
        <f t="shared" si="6"/>
        <v>2182.8385999999996</v>
      </c>
      <c r="W46" s="281">
        <f>V46-(P46*T46/100)</f>
        <v>1571.6437919999998</v>
      </c>
      <c r="X46" s="280">
        <f>V46*1.1</f>
        <v>2401.1224599999996</v>
      </c>
      <c r="Y46" s="280">
        <f>W46*1.1</f>
        <v>1728.8081712000001</v>
      </c>
      <c r="Z46" s="282">
        <f>'Tariffs Jan2018'!AW40</f>
        <v>0</v>
      </c>
      <c r="AA46" s="282" t="str">
        <f>'Tariffs Jan2018'!AX40</f>
        <v>n</v>
      </c>
      <c r="AB46" s="283" t="str">
        <f>'Tariffs Jan2018'!BE40</f>
        <v>N</v>
      </c>
      <c r="AC46" s="321"/>
      <c r="AD46" s="321"/>
      <c r="AE46" s="321"/>
      <c r="AF46" s="321"/>
      <c r="AG46" s="321"/>
      <c r="AH46" s="321"/>
      <c r="AI46" s="321"/>
      <c r="AJ46" s="321"/>
      <c r="AK46" s="321"/>
      <c r="AL46" s="321"/>
      <c r="AM46" s="321"/>
      <c r="AN46" s="321"/>
    </row>
    <row r="47" spans="1:40" ht="14" thickTop="1" x14ac:dyDescent="0.15">
      <c r="A47" s="270" t="str">
        <f>'Tariffs Jan2018'!F41</f>
        <v>AGL</v>
      </c>
      <c r="B47" s="40" t="str">
        <f>'Tariffs Jan2018'!D41</f>
        <v>Envestra Central 2</v>
      </c>
      <c r="C47" s="40" t="str">
        <f>'Tariffs Jan2018'!G41</f>
        <v>Savers</v>
      </c>
      <c r="D47" s="59">
        <f>365*'Tariffs Jan2018'!H41/100</f>
        <v>281.05</v>
      </c>
      <c r="E47" s="59">
        <f>IF($C$5*'Tariffs Jan2018'!AK41/'Tariffs Jan2018'!AI41&gt;='Tariffs Jan2018'!J41,( 'Tariffs Jan2018'!J41*'Tariffs Jan2018'!O41/100)* 'Tariffs Jan2018'!AI41,($C$5*'Tariffs Jan2018'!AK41/'Tariffs Jan2018'!AI41*'Tariffs Jan2018'!O41/100)* 'Tariffs Jan2018'!AI41)</f>
        <v>93.107000000000014</v>
      </c>
      <c r="F47" s="59">
        <f>IF($C$5*'Tariffs Jan2018'!AK41/'Tariffs Jan2018'!AI41&lt;'Tariffs Jan2018'!J41,0,IF($C$5*'Tariffs Jan2018'!AK41/'Tariffs Jan2018'!AI41&lt;='Tariffs Jan2018'!K41,($C$5*'Tariffs Jan2018'!AK41/'Tariffs Jan2018'!AI41-'Tariffs Jan2018'!J41)*('Tariffs Jan2018'!P41/100)*'Tariffs Jan2018'!AI41,('Tariffs Jan2018'!K41-'Tariffs Jan2018'!J41)*('Tariffs Jan2018'!P41/100)*'Tariffs Jan2018'!AI41))</f>
        <v>73.17</v>
      </c>
      <c r="G47" s="59">
        <f>IF($C$5*'Tariffs Jan2018'!AK41/'Tariffs Jan2018'!AI41&lt;'Tariffs Jan2018'!K41,0,IF($C$5*'Tariffs Jan2018'!AK41/'Tariffs Jan2018'!AI41&lt;='Tariffs Jan2018'!L41,($C$5*'Tariffs Jan2018'!AK41/'Tariffs Jan2018'!AI41-'Tariffs Jan2018'!K41)*('Tariffs Jan2018'!Q41/100)*'Tariffs Jan2018'!AI41,('Tariffs Jan2018'!L41-'Tariffs Jan2018'!K41)*('Tariffs Jan2018'!Q41/100)*'Tariffs Jan2018'!AI41))</f>
        <v>0</v>
      </c>
      <c r="H47" s="59">
        <f>IF($C$5*'Tariffs Jan2018'!AK41/'Tariffs Jan2018'!AI41&lt;'Tariffs Jan2018'!L41,0,IF($C$5*'Tariffs Jan2018'!AK41/'Tariffs Jan2018'!AI41&lt;='Tariffs Jan2018'!M41,($C$5*'Tariffs Jan2018'!AK41/'Tariffs Jan2018'!AI41-'Tariffs Jan2018'!L41)*('Tariffs Jan2018'!R41/100)*'Tariffs Jan2018'!AI41,('Tariffs Jan2018'!M41-'Tariffs Jan2018'!L41)*('Tariffs Jan2018'!R41/100)*'Tariffs Jan2018'!AI41))</f>
        <v>0</v>
      </c>
      <c r="I47" s="59">
        <f>IF(($C$5*'Tariffs Jan2018'!AK41/'Tariffs Jan2018'!AI41&gt;'Tariffs Jan2018'!M41),($C$5*'Tariffs Jan2018'!AK41/'Tariffs Jan2018'!AI41-'Tariffs Jan2018'!M41)*'Tariffs Jan2018'!S41/100*'Tariffs Jan2018'!AI41,0)</f>
        <v>274.46156999999994</v>
      </c>
      <c r="J47" s="59">
        <f>IF($C$5*'Tariffs Jan2018'!AL41/'Tariffs Jan2018'!AJ41&gt;='Tariffs Jan2018'!J41,('Tariffs Jan2018'!J41*'Tariffs Jan2018'!U41/100)* 'Tariffs Jan2018'!AJ41,($C$5*'Tariffs Jan2018'!AL41/'Tariffs Jan2018'!AJ41*'Tariffs Jan2018'!U41/100)* 'Tariffs Jan2018'!AJ41)</f>
        <v>186.21400000000003</v>
      </c>
      <c r="K47" s="59">
        <f>IF($C$5*'Tariffs Jan2018'!AL41/'Tariffs Jan2018'!AJ41&lt;'Tariffs Jan2018'!J41,0,IF($C$5*'Tariffs Jan2018'!AL41/'Tariffs Jan2018'!AJ41&lt;='Tariffs Jan2018'!K41,($C$5*'Tariffs Jan2018'!AL41/'Tariffs Jan2018'!AJ41-'Tariffs Jan2018'!J41)*('Tariffs Jan2018'!V41/100)*'Tariffs Jan2018'!AJ41,('Tariffs Jan2018'!K41-'Tariffs Jan2018'!J41)*('Tariffs Jan2018'!V41/100)*'Tariffs Jan2018'!AJ41))</f>
        <v>146.34</v>
      </c>
      <c r="L47" s="59">
        <f>IF($C$5*'Tariffs Jan2018'!AL41/'Tariffs Jan2018'!AJ41&lt;'Tariffs Jan2018'!K41,0,IF($C$5*'Tariffs Jan2018'!AL41/'Tariffs Jan2018'!AJ41&lt;='Tariffs Jan2018'!L41,($C$5*'Tariffs Jan2018'!AL41/'Tariffs Jan2018'!AJ41-'Tariffs Jan2018'!K41)*('Tariffs Jan2018'!W41/100)*'Tariffs Jan2018'!AJ41,('Tariffs Jan2018'!L41-'Tariffs Jan2018'!K41)*('Tariffs Jan2018'!W41/100)*'Tariffs Jan2018'!AJ41))</f>
        <v>0</v>
      </c>
      <c r="M47" s="59">
        <f>IF($C$5*'Tariffs Jan2018'!AL41/'Tariffs Jan2018'!AJ41&lt;'Tariffs Jan2018'!L41,0,IF($C$5*'Tariffs Jan2018'!AL41/'Tariffs Jan2018'!AJ41&lt;='Tariffs Jan2018'!M41,($C$5*'Tariffs Jan2018'!AL41/'Tariffs Jan2018'!AJ41-'Tariffs Jan2018'!L41)*('Tariffs Jan2018'!X41/100)*'Tariffs Jan2018'!AJ41,('Tariffs Jan2018'!M41-'Tariffs Jan2018'!L41)*('Tariffs Jan2018'!X41/100)*'Tariffs Jan2018'!AJ41))</f>
        <v>0</v>
      </c>
      <c r="N47" s="59">
        <f>IF(($C$5*'Tariffs Jan2018'!AL41/'Tariffs Jan2018'!AJ41&gt;'Tariffs Jan2018'!M41),($C$5*'Tariffs Jan2018'!AL41/'Tariffs Jan2018'!AJ41-'Tariffs Jan2018'!M41)*'Tariffs Jan2018'!Y41/100*'Tariffs Jan2018'!AJ41,0)</f>
        <v>548.92313999999988</v>
      </c>
      <c r="O47" s="271">
        <f t="shared" si="1"/>
        <v>1322.2157099999999</v>
      </c>
      <c r="P47" s="59">
        <f t="shared" si="2"/>
        <v>1603.2657099999999</v>
      </c>
      <c r="Q47" s="272">
        <f t="shared" si="3"/>
        <v>1763.592281</v>
      </c>
      <c r="R47" s="40">
        <f>'Tariffs Jan2018'!AM41</f>
        <v>0</v>
      </c>
      <c r="S47" s="40">
        <f>'Tariffs Jan2018'!AN41</f>
        <v>0</v>
      </c>
      <c r="T47" s="40">
        <f>'Tariffs Jan2018'!AO41</f>
        <v>0</v>
      </c>
      <c r="U47" s="40">
        <f>'Tariffs Jan2018'!AP41</f>
        <v>12</v>
      </c>
      <c r="V47" s="273">
        <f>P47</f>
        <v>1603.2657099999999</v>
      </c>
      <c r="W47" s="273">
        <f>V47-(O47*U47/100)</f>
        <v>1444.5998247999999</v>
      </c>
      <c r="X47" s="272">
        <f t="shared" si="4"/>
        <v>1763.592281</v>
      </c>
      <c r="Y47" s="272">
        <f t="shared" si="4"/>
        <v>1589.0598072799999</v>
      </c>
      <c r="Z47" s="274">
        <f>'Tariffs Jan2018'!AW41</f>
        <v>0</v>
      </c>
      <c r="AA47" s="274" t="str">
        <f>'Tariffs Jan2018'!AX41</f>
        <v>n</v>
      </c>
      <c r="AB47" s="275" t="str">
        <f>'Tariffs Jan2018'!BE41</f>
        <v>N</v>
      </c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</row>
    <row r="48" spans="1:40" x14ac:dyDescent="0.15">
      <c r="A48" s="270" t="str">
        <f>'Tariffs Jan2018'!F42</f>
        <v>Alinta Energy</v>
      </c>
      <c r="B48" s="40" t="str">
        <f>'Tariffs Jan2018'!D42</f>
        <v>Envestra Central 2</v>
      </c>
      <c r="C48" s="40" t="str">
        <f>'Tariffs Jan2018'!G42</f>
        <v>Fair Deal</v>
      </c>
      <c r="D48" s="59">
        <f>365*'Tariffs Jan2018'!H42/100</f>
        <v>256.26649999999995</v>
      </c>
      <c r="E48" s="59">
        <f>IF($C$5*'Tariffs Jan2018'!AK42/'Tariffs Jan2018'!AI42&gt;='Tariffs Jan2018'!J42,( 'Tariffs Jan2018'!J42*'Tariffs Jan2018'!O42/100)* 'Tariffs Jan2018'!AI42,($C$5*'Tariffs Jan2018'!AK42/'Tariffs Jan2018'!AI42*'Tariffs Jan2018'!O42/100)* 'Tariffs Jan2018'!AI42)</f>
        <v>81.591999999999999</v>
      </c>
      <c r="F48" s="59">
        <f>IF($C$5*'Tariffs Jan2018'!AK42/'Tariffs Jan2018'!AI42&lt;'Tariffs Jan2018'!J42,0,IF($C$5*'Tariffs Jan2018'!AK42/'Tariffs Jan2018'!AI42&lt;='Tariffs Jan2018'!K42,($C$5*'Tariffs Jan2018'!AK42/'Tariffs Jan2018'!AI42-'Tariffs Jan2018'!J42)*('Tariffs Jan2018'!P42/100)*'Tariffs Jan2018'!AI42,('Tariffs Jan2018'!K42-'Tariffs Jan2018'!J42)*('Tariffs Jan2018'!P42/100)*'Tariffs Jan2018'!AI42))</f>
        <v>67.207999999999998</v>
      </c>
      <c r="G48" s="59">
        <f>IF($C$5*'Tariffs Jan2018'!AK42/'Tariffs Jan2018'!AI42&lt;'Tariffs Jan2018'!K42,0,IF($C$5*'Tariffs Jan2018'!AK42/'Tariffs Jan2018'!AI42&lt;='Tariffs Jan2018'!L42,($C$5*'Tariffs Jan2018'!AK42/'Tariffs Jan2018'!AI42-'Tariffs Jan2018'!K42)*('Tariffs Jan2018'!Q42/100)*'Tariffs Jan2018'!AI42,('Tariffs Jan2018'!L42-'Tariffs Jan2018'!K42)*('Tariffs Jan2018'!Q42/100)*'Tariffs Jan2018'!AI42))</f>
        <v>0</v>
      </c>
      <c r="H48" s="59">
        <f>IF($C$5*'Tariffs Jan2018'!AK42/'Tariffs Jan2018'!AI42&lt;'Tariffs Jan2018'!L42,0,IF($C$5*'Tariffs Jan2018'!AK42/'Tariffs Jan2018'!AI42&lt;='Tariffs Jan2018'!M42,($C$5*'Tariffs Jan2018'!AK42/'Tariffs Jan2018'!AI42-'Tariffs Jan2018'!L42)*('Tariffs Jan2018'!R42/100)*'Tariffs Jan2018'!AI42,('Tariffs Jan2018'!M42-'Tariffs Jan2018'!L42)*('Tariffs Jan2018'!R42/100)*'Tariffs Jan2018'!AI42))</f>
        <v>0</v>
      </c>
      <c r="I48" s="59">
        <f>IF(($C$5*'Tariffs Jan2018'!AK42/'Tariffs Jan2018'!AI42&gt;'Tariffs Jan2018'!M42),($C$5*'Tariffs Jan2018'!AK42/'Tariffs Jan2018'!AI42-'Tariffs Jan2018'!M42)*'Tariffs Jan2018'!S42/100*'Tariffs Jan2018'!AI42,0)</f>
        <v>292.45904999999993</v>
      </c>
      <c r="J48" s="59">
        <f>IF($C$5*'Tariffs Jan2018'!AL42/'Tariffs Jan2018'!AJ42&gt;='Tariffs Jan2018'!J42,('Tariffs Jan2018'!J42*'Tariffs Jan2018'!U42/100)* 'Tariffs Jan2018'!AJ42,($C$5*'Tariffs Jan2018'!AL42/'Tariffs Jan2018'!AJ42*'Tariffs Jan2018'!U42/100)* 'Tariffs Jan2018'!AJ42)</f>
        <v>163.184</v>
      </c>
      <c r="K48" s="59">
        <f>IF($C$5*'Tariffs Jan2018'!AL42/'Tariffs Jan2018'!AJ42&lt;'Tariffs Jan2018'!J42,0,IF($C$5*'Tariffs Jan2018'!AL42/'Tariffs Jan2018'!AJ42&lt;='Tariffs Jan2018'!K42,($C$5*'Tariffs Jan2018'!AL42/'Tariffs Jan2018'!AJ42-'Tariffs Jan2018'!J42)*('Tariffs Jan2018'!V42/100)*'Tariffs Jan2018'!AJ42,('Tariffs Jan2018'!K42-'Tariffs Jan2018'!J42)*('Tariffs Jan2018'!V42/100)*'Tariffs Jan2018'!AJ42))</f>
        <v>134.416</v>
      </c>
      <c r="L48" s="59">
        <f>IF($C$5*'Tariffs Jan2018'!AL42/'Tariffs Jan2018'!AJ42&lt;'Tariffs Jan2018'!K42,0,IF($C$5*'Tariffs Jan2018'!AL42/'Tariffs Jan2018'!AJ42&lt;='Tariffs Jan2018'!L42,($C$5*'Tariffs Jan2018'!AL42/'Tariffs Jan2018'!AJ42-'Tariffs Jan2018'!K42)*('Tariffs Jan2018'!W42/100)*'Tariffs Jan2018'!AJ42,('Tariffs Jan2018'!L42-'Tariffs Jan2018'!K42)*('Tariffs Jan2018'!W42/100)*'Tariffs Jan2018'!AJ42))</f>
        <v>0</v>
      </c>
      <c r="M48" s="59">
        <f>IF($C$5*'Tariffs Jan2018'!AL42/'Tariffs Jan2018'!AJ42&lt;'Tariffs Jan2018'!L42,0,IF($C$5*'Tariffs Jan2018'!AL42/'Tariffs Jan2018'!AJ42&lt;='Tariffs Jan2018'!M42,($C$5*'Tariffs Jan2018'!AL42/'Tariffs Jan2018'!AJ42-'Tariffs Jan2018'!L42)*('Tariffs Jan2018'!X42/100)*'Tariffs Jan2018'!AJ42,('Tariffs Jan2018'!M42-'Tariffs Jan2018'!L42)*('Tariffs Jan2018'!X42/100)*'Tariffs Jan2018'!AJ42))</f>
        <v>0</v>
      </c>
      <c r="N48" s="59">
        <f>IF(($C$5*'Tariffs Jan2018'!AL42/'Tariffs Jan2018'!AJ42&gt;'Tariffs Jan2018'!M42),($C$5*'Tariffs Jan2018'!AL42/'Tariffs Jan2018'!AJ42-'Tariffs Jan2018'!M42)*'Tariffs Jan2018'!Y42/100*'Tariffs Jan2018'!AJ42,0)</f>
        <v>584.91809999999987</v>
      </c>
      <c r="O48" s="271">
        <f t="shared" si="1"/>
        <v>1323.7771499999999</v>
      </c>
      <c r="P48" s="59">
        <f t="shared" si="2"/>
        <v>1580.0436499999998</v>
      </c>
      <c r="Q48" s="272">
        <f t="shared" si="3"/>
        <v>1738.0480150000001</v>
      </c>
      <c r="R48" s="40">
        <f>'Tariffs Jan2018'!AM42</f>
        <v>0</v>
      </c>
      <c r="S48" s="40">
        <f>'Tariffs Jan2018'!AN42</f>
        <v>0</v>
      </c>
      <c r="T48" s="40">
        <f>'Tariffs Jan2018'!AO42</f>
        <v>0</v>
      </c>
      <c r="U48" s="40">
        <f>'Tariffs Jan2018'!AP42</f>
        <v>25</v>
      </c>
      <c r="V48" s="273">
        <f t="shared" ref="V48:V59" si="7">P48</f>
        <v>1580.0436499999998</v>
      </c>
      <c r="W48" s="273">
        <f>V48-(O48*U48/100)</f>
        <v>1249.0993624999999</v>
      </c>
      <c r="X48" s="272">
        <f t="shared" si="4"/>
        <v>1738.0480150000001</v>
      </c>
      <c r="Y48" s="272">
        <f t="shared" si="4"/>
        <v>1374.00929875</v>
      </c>
      <c r="Z48" s="274">
        <f>'Tariffs Jan2018'!AW42</f>
        <v>0</v>
      </c>
      <c r="AA48" s="274" t="str">
        <f>'Tariffs Jan2018'!AX42</f>
        <v>n</v>
      </c>
      <c r="AB48" s="275" t="str">
        <f>'Tariffs Jan2018'!BE42</f>
        <v>Y</v>
      </c>
      <c r="AC48" s="321"/>
      <c r="AD48" s="321"/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</row>
    <row r="49" spans="1:40" x14ac:dyDescent="0.15">
      <c r="A49" s="270" t="str">
        <f>'Tariffs Jan2018'!F43</f>
        <v>Click Energy</v>
      </c>
      <c r="B49" s="40" t="str">
        <f>'Tariffs Jan2018'!D43</f>
        <v>Envestra Central 2</v>
      </c>
      <c r="C49" s="40" t="str">
        <f>'Tariffs Jan2018'!G43</f>
        <v>Amber</v>
      </c>
      <c r="D49" s="59">
        <f>365*'Tariffs Jan2018'!H43/100</f>
        <v>292.73</v>
      </c>
      <c r="E49" s="59">
        <f>IF($C$5*'Tariffs Jan2018'!AK43/'Tariffs Jan2018'!AI43&gt;='Tariffs Jan2018'!J43,( 'Tariffs Jan2018'!J43*'Tariffs Jan2018'!O43/100)* 'Tariffs Jan2018'!AI43,($C$5*'Tariffs Jan2018'!AK43/'Tariffs Jan2018'!AI43*'Tariffs Jan2018'!O43/100)* 'Tariffs Jan2018'!AI43)</f>
        <v>123.375</v>
      </c>
      <c r="F49" s="59">
        <f>IF($C$5*'Tariffs Jan2018'!AK43/'Tariffs Jan2018'!AI43&lt;'Tariffs Jan2018'!J43,0,IF($C$5*'Tariffs Jan2018'!AK43/'Tariffs Jan2018'!AI43&lt;='Tariffs Jan2018'!K43,($C$5*'Tariffs Jan2018'!AK43/'Tariffs Jan2018'!AI43-'Tariffs Jan2018'!J43)*('Tariffs Jan2018'!P43/100)*'Tariffs Jan2018'!AI43,('Tariffs Jan2018'!K43-'Tariffs Jan2018'!J43)*('Tariffs Jan2018'!P43/100)*'Tariffs Jan2018'!AI43))</f>
        <v>86.72</v>
      </c>
      <c r="G49" s="59">
        <f>IF($C$5*'Tariffs Jan2018'!AK43/'Tariffs Jan2018'!AI43&lt;'Tariffs Jan2018'!K43,0,IF($C$5*'Tariffs Jan2018'!AK43/'Tariffs Jan2018'!AI43&lt;='Tariffs Jan2018'!L43,($C$5*'Tariffs Jan2018'!AK43/'Tariffs Jan2018'!AI43-'Tariffs Jan2018'!K43)*('Tariffs Jan2018'!Q43/100)*'Tariffs Jan2018'!AI43,('Tariffs Jan2018'!L43-'Tariffs Jan2018'!K43)*('Tariffs Jan2018'!Q43/100)*'Tariffs Jan2018'!AI43))</f>
        <v>0</v>
      </c>
      <c r="H49" s="59">
        <f>IF($C$5*'Tariffs Jan2018'!AK43/'Tariffs Jan2018'!AI43&lt;'Tariffs Jan2018'!L43,0,IF($C$5*'Tariffs Jan2018'!AK43/'Tariffs Jan2018'!AI43&lt;='Tariffs Jan2018'!M43,($C$5*'Tariffs Jan2018'!AK43/'Tariffs Jan2018'!AI43-'Tariffs Jan2018'!L43)*('Tariffs Jan2018'!R43/100)*'Tariffs Jan2018'!AI43,('Tariffs Jan2018'!M43-'Tariffs Jan2018'!L43)*('Tariffs Jan2018'!R43/100)*'Tariffs Jan2018'!AI43))</f>
        <v>0</v>
      </c>
      <c r="I49" s="59">
        <f>IF(($C$5*'Tariffs Jan2018'!AK43/'Tariffs Jan2018'!AI43&gt;'Tariffs Jan2018'!M43),($C$5*'Tariffs Jan2018'!AK43/'Tariffs Jan2018'!AI43-'Tariffs Jan2018'!M43)*'Tariffs Jan2018'!S43/100*'Tariffs Jan2018'!AI43,0)</f>
        <v>412.44224999999989</v>
      </c>
      <c r="J49" s="59">
        <f>IF($C$5*'Tariffs Jan2018'!AL43/'Tariffs Jan2018'!AJ43&gt;='Tariffs Jan2018'!J43,('Tariffs Jan2018'!J43*'Tariffs Jan2018'!U43/100)* 'Tariffs Jan2018'!AJ43,($C$5*'Tariffs Jan2018'!AL43/'Tariffs Jan2018'!AJ43*'Tariffs Jan2018'!U43/100)* 'Tariffs Jan2018'!AJ43)</f>
        <v>246.75</v>
      </c>
      <c r="K49" s="59">
        <f>IF($C$5*'Tariffs Jan2018'!AL43/'Tariffs Jan2018'!AJ43&lt;'Tariffs Jan2018'!J43,0,IF($C$5*'Tariffs Jan2018'!AL43/'Tariffs Jan2018'!AJ43&lt;='Tariffs Jan2018'!K43,($C$5*'Tariffs Jan2018'!AL43/'Tariffs Jan2018'!AJ43-'Tariffs Jan2018'!J43)*('Tariffs Jan2018'!V43/100)*'Tariffs Jan2018'!AJ43,('Tariffs Jan2018'!K43-'Tariffs Jan2018'!J43)*('Tariffs Jan2018'!V43/100)*'Tariffs Jan2018'!AJ43))</f>
        <v>173.44</v>
      </c>
      <c r="L49" s="59">
        <f>IF($C$5*'Tariffs Jan2018'!AL43/'Tariffs Jan2018'!AJ43&lt;'Tariffs Jan2018'!K43,0,IF($C$5*'Tariffs Jan2018'!AL43/'Tariffs Jan2018'!AJ43&lt;='Tariffs Jan2018'!L43,($C$5*'Tariffs Jan2018'!AL43/'Tariffs Jan2018'!AJ43-'Tariffs Jan2018'!K43)*('Tariffs Jan2018'!W43/100)*'Tariffs Jan2018'!AJ43,('Tariffs Jan2018'!L43-'Tariffs Jan2018'!K43)*('Tariffs Jan2018'!W43/100)*'Tariffs Jan2018'!AJ43))</f>
        <v>0</v>
      </c>
      <c r="M49" s="59">
        <f>IF($C$5*'Tariffs Jan2018'!AL43/'Tariffs Jan2018'!AJ43&lt;'Tariffs Jan2018'!L43,0,IF($C$5*'Tariffs Jan2018'!AL43/'Tariffs Jan2018'!AJ43&lt;='Tariffs Jan2018'!M43,($C$5*'Tariffs Jan2018'!AL43/'Tariffs Jan2018'!AJ43-'Tariffs Jan2018'!L43)*('Tariffs Jan2018'!X43/100)*'Tariffs Jan2018'!AJ43,('Tariffs Jan2018'!M43-'Tariffs Jan2018'!L43)*('Tariffs Jan2018'!X43/100)*'Tariffs Jan2018'!AJ43))</f>
        <v>0</v>
      </c>
      <c r="N49" s="59">
        <f>IF(($C$5*'Tariffs Jan2018'!AL43/'Tariffs Jan2018'!AJ43&gt;'Tariffs Jan2018'!M43),($C$5*'Tariffs Jan2018'!AL43/'Tariffs Jan2018'!AJ43-'Tariffs Jan2018'!M43)*'Tariffs Jan2018'!Y43/100*'Tariffs Jan2018'!AJ43,0)</f>
        <v>824.88449999999978</v>
      </c>
      <c r="O49" s="271">
        <f t="shared" si="1"/>
        <v>1867.6117499999996</v>
      </c>
      <c r="P49" s="59">
        <f t="shared" si="2"/>
        <v>2160.3417499999996</v>
      </c>
      <c r="Q49" s="272">
        <f t="shared" si="3"/>
        <v>2376.3759249999998</v>
      </c>
      <c r="R49" s="40">
        <f>'Tariffs Jan2018'!AM43</f>
        <v>0</v>
      </c>
      <c r="S49" s="40">
        <f>'Tariffs Jan2018'!AN43</f>
        <v>0</v>
      </c>
      <c r="T49" s="40">
        <f>'Tariffs Jan2018'!AO43</f>
        <v>14</v>
      </c>
      <c r="U49" s="40">
        <f>'Tariffs Jan2018'!AP43</f>
        <v>0</v>
      </c>
      <c r="V49" s="273">
        <f t="shared" si="7"/>
        <v>2160.3417499999996</v>
      </c>
      <c r="W49" s="273">
        <f>V49-(P49*T49/100)</f>
        <v>1857.8939049999997</v>
      </c>
      <c r="X49" s="272">
        <f t="shared" si="4"/>
        <v>2376.3759249999998</v>
      </c>
      <c r="Y49" s="272">
        <f t="shared" si="4"/>
        <v>2043.6832954999998</v>
      </c>
      <c r="Z49" s="274">
        <f>'Tariffs Jan2018'!AW43</f>
        <v>0</v>
      </c>
      <c r="AA49" s="274" t="str">
        <f>'Tariffs Jan2018'!AX43</f>
        <v>n</v>
      </c>
      <c r="AB49" s="275" t="str">
        <f>'Tariffs Jan2018'!BE43</f>
        <v>N</v>
      </c>
      <c r="AC49" s="321"/>
      <c r="AD49" s="321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</row>
    <row r="50" spans="1:40" x14ac:dyDescent="0.15">
      <c r="A50" s="270" t="str">
        <f>'Tariffs Jan2018'!F44</f>
        <v>Covau</v>
      </c>
      <c r="B50" s="40" t="str">
        <f>'Tariffs Jan2018'!D44</f>
        <v>Envestra Central 2</v>
      </c>
      <c r="C50" s="40" t="str">
        <f>'Tariffs Jan2018'!G44</f>
        <v>Smart Saver</v>
      </c>
      <c r="D50" s="59">
        <f>365*'Tariffs Jan2018'!H44/100</f>
        <v>273.75</v>
      </c>
      <c r="E50" s="59">
        <f>IF($C$5*'Tariffs Jan2018'!AK44/'Tariffs Jan2018'!AI44&gt;='Tariffs Jan2018'!J44,( 'Tariffs Jan2018'!J44*'Tariffs Jan2018'!O44/100)* 'Tariffs Jan2018'!AI44,($C$5*'Tariffs Jan2018'!AK44/'Tariffs Jan2018'!AI44*'Tariffs Jan2018'!O44/100)* 'Tariffs Jan2018'!AI44)</f>
        <v>97.055000000000007</v>
      </c>
      <c r="F50" s="59">
        <f>IF($C$5*'Tariffs Jan2018'!AK44/'Tariffs Jan2018'!AI44&lt;'Tariffs Jan2018'!J44,0,IF($C$5*'Tariffs Jan2018'!AK44/'Tariffs Jan2018'!AI44&lt;='Tariffs Jan2018'!K44,($C$5*'Tariffs Jan2018'!AK44/'Tariffs Jan2018'!AI44-'Tariffs Jan2018'!J44)*('Tariffs Jan2018'!P44/100)*'Tariffs Jan2018'!AI44,('Tariffs Jan2018'!K44-'Tariffs Jan2018'!J44)*('Tariffs Jan2018'!P44/100)*'Tariffs Jan2018'!AI44))</f>
        <v>67.75</v>
      </c>
      <c r="G50" s="59">
        <f>IF($C$5*'Tariffs Jan2018'!AK44/'Tariffs Jan2018'!AI44&lt;'Tariffs Jan2018'!K44,0,IF($C$5*'Tariffs Jan2018'!AK44/'Tariffs Jan2018'!AI44&lt;='Tariffs Jan2018'!L44,($C$5*'Tariffs Jan2018'!AK44/'Tariffs Jan2018'!AI44-'Tariffs Jan2018'!K44)*('Tariffs Jan2018'!Q44/100)*'Tariffs Jan2018'!AI44,('Tariffs Jan2018'!L44-'Tariffs Jan2018'!K44)*('Tariffs Jan2018'!Q44/100)*'Tariffs Jan2018'!AI44))</f>
        <v>0</v>
      </c>
      <c r="H50" s="59">
        <f>IF($C$5*'Tariffs Jan2018'!AK44/'Tariffs Jan2018'!AI44&lt;'Tariffs Jan2018'!L44,0,IF($C$5*'Tariffs Jan2018'!AK44/'Tariffs Jan2018'!AI44&lt;='Tariffs Jan2018'!M44,($C$5*'Tariffs Jan2018'!AK44/'Tariffs Jan2018'!AI44-'Tariffs Jan2018'!L44)*('Tariffs Jan2018'!R44/100)*'Tariffs Jan2018'!AI44,('Tariffs Jan2018'!M44-'Tariffs Jan2018'!L44)*('Tariffs Jan2018'!R44/100)*'Tariffs Jan2018'!AI44))</f>
        <v>0</v>
      </c>
      <c r="I50" s="59">
        <f>IF(($C$5*'Tariffs Jan2018'!AK44/'Tariffs Jan2018'!AI44&gt;'Tariffs Jan2018'!M44),($C$5*'Tariffs Jan2018'!AK44/'Tariffs Jan2018'!AI44-'Tariffs Jan2018'!M44)*'Tariffs Jan2018'!S44/100*'Tariffs Jan2018'!AI44,0)</f>
        <v>314.95589999999999</v>
      </c>
      <c r="J50" s="59">
        <f>IF($C$5*'Tariffs Jan2018'!AL44/'Tariffs Jan2018'!AJ44&gt;='Tariffs Jan2018'!J44,('Tariffs Jan2018'!J44*'Tariffs Jan2018'!U44/100)* 'Tariffs Jan2018'!AJ44,($C$5*'Tariffs Jan2018'!AL44/'Tariffs Jan2018'!AJ44*'Tariffs Jan2018'!U44/100)* 'Tariffs Jan2018'!AJ44)</f>
        <v>194.11</v>
      </c>
      <c r="K50" s="59">
        <f>IF($C$5*'Tariffs Jan2018'!AL44/'Tariffs Jan2018'!AJ44&lt;'Tariffs Jan2018'!J44,0,IF($C$5*'Tariffs Jan2018'!AL44/'Tariffs Jan2018'!AJ44&lt;='Tariffs Jan2018'!K44,($C$5*'Tariffs Jan2018'!AL44/'Tariffs Jan2018'!AJ44-'Tariffs Jan2018'!J44)*('Tariffs Jan2018'!V44/100)*'Tariffs Jan2018'!AJ44,('Tariffs Jan2018'!K44-'Tariffs Jan2018'!J44)*('Tariffs Jan2018'!V44/100)*'Tariffs Jan2018'!AJ44))</f>
        <v>135.5</v>
      </c>
      <c r="L50" s="59">
        <f>IF($C$5*'Tariffs Jan2018'!AL44/'Tariffs Jan2018'!AJ44&lt;'Tariffs Jan2018'!K44,0,IF($C$5*'Tariffs Jan2018'!AL44/'Tariffs Jan2018'!AJ44&lt;='Tariffs Jan2018'!L44,($C$5*'Tariffs Jan2018'!AL44/'Tariffs Jan2018'!AJ44-'Tariffs Jan2018'!K44)*('Tariffs Jan2018'!W44/100)*'Tariffs Jan2018'!AJ44,('Tariffs Jan2018'!L44-'Tariffs Jan2018'!K44)*('Tariffs Jan2018'!W44/100)*'Tariffs Jan2018'!AJ44))</f>
        <v>0</v>
      </c>
      <c r="M50" s="59">
        <f>IF($C$5*'Tariffs Jan2018'!AL44/'Tariffs Jan2018'!AJ44&lt;'Tariffs Jan2018'!L44,0,IF($C$5*'Tariffs Jan2018'!AL44/'Tariffs Jan2018'!AJ44&lt;='Tariffs Jan2018'!M44,($C$5*'Tariffs Jan2018'!AL44/'Tariffs Jan2018'!AJ44-'Tariffs Jan2018'!L44)*('Tariffs Jan2018'!X44/100)*'Tariffs Jan2018'!AJ44,('Tariffs Jan2018'!M44-'Tariffs Jan2018'!L44)*('Tariffs Jan2018'!X44/100)*'Tariffs Jan2018'!AJ44))</f>
        <v>0</v>
      </c>
      <c r="N50" s="59">
        <f>IF(($C$5*'Tariffs Jan2018'!AL44/'Tariffs Jan2018'!AJ44&gt;'Tariffs Jan2018'!M44),($C$5*'Tariffs Jan2018'!AL44/'Tariffs Jan2018'!AJ44-'Tariffs Jan2018'!M44)*'Tariffs Jan2018'!Y44/100*'Tariffs Jan2018'!AJ44,0)</f>
        <v>629.91179999999997</v>
      </c>
      <c r="O50" s="271">
        <f t="shared" si="1"/>
        <v>1439.2827</v>
      </c>
      <c r="P50" s="59">
        <f t="shared" si="2"/>
        <v>1713.0327</v>
      </c>
      <c r="Q50" s="272">
        <f t="shared" si="3"/>
        <v>1884.3359700000001</v>
      </c>
      <c r="R50" s="40">
        <f>'Tariffs Jan2018'!AM44</f>
        <v>0</v>
      </c>
      <c r="S50" s="40">
        <f>'Tariffs Jan2018'!AN44</f>
        <v>0</v>
      </c>
      <c r="T50" s="40">
        <f>'Tariffs Jan2018'!AO44</f>
        <v>0</v>
      </c>
      <c r="U50" s="40">
        <f>'Tariffs Jan2018'!AP44</f>
        <v>16</v>
      </c>
      <c r="V50" s="273">
        <f t="shared" si="7"/>
        <v>1713.0327</v>
      </c>
      <c r="W50" s="273">
        <f>V50-(O50*U50/100)</f>
        <v>1482.747468</v>
      </c>
      <c r="X50" s="272">
        <f t="shared" si="4"/>
        <v>1884.3359700000001</v>
      </c>
      <c r="Y50" s="272">
        <f t="shared" si="4"/>
        <v>1631.0222148000003</v>
      </c>
      <c r="Z50" s="274">
        <f>'Tariffs Jan2018'!AW44</f>
        <v>12</v>
      </c>
      <c r="AA50" s="274" t="str">
        <f>'Tariffs Jan2018'!AX44</f>
        <v>y</v>
      </c>
      <c r="AB50" s="275" t="str">
        <f>'Tariffs Jan2018'!BE44</f>
        <v>N</v>
      </c>
      <c r="AC50" s="321"/>
      <c r="AD50" s="321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</row>
    <row r="51" spans="1:40" x14ac:dyDescent="0.15">
      <c r="A51" s="270" t="str">
        <f>'Tariffs Jan2018'!F45</f>
        <v>Dodo Power &amp; Gas</v>
      </c>
      <c r="B51" s="40" t="str">
        <f>'Tariffs Jan2018'!D45</f>
        <v>Envestra Central 2</v>
      </c>
      <c r="C51" s="40" t="str">
        <f>'Tariffs Jan2018'!G45</f>
        <v>Market offer</v>
      </c>
      <c r="D51" s="59">
        <f>365*'Tariffs Jan2018'!H45/100</f>
        <v>296.92749999999995</v>
      </c>
      <c r="E51" s="59">
        <f>IF($C$5*'Tariffs Jan2018'!AK45/'Tariffs Jan2018'!AI45&gt;='Tariffs Jan2018'!J45,( 'Tariffs Jan2018'!J45*'Tariffs Jan2018'!O45/100)* 'Tariffs Jan2018'!AI45,($C$5*'Tariffs Jan2018'!AK45/'Tariffs Jan2018'!AI45*'Tariffs Jan2018'!O45/100)* 'Tariffs Jan2018'!AI45)</f>
        <v>159.36000000000001</v>
      </c>
      <c r="F51" s="59">
        <f>IF($C$5*'Tariffs Jan2018'!AK45/'Tariffs Jan2018'!AI45&lt;'Tariffs Jan2018'!J45,0,IF($C$5*'Tariffs Jan2018'!AK45/'Tariffs Jan2018'!AI45&lt;='Tariffs Jan2018'!K45,($C$5*'Tariffs Jan2018'!AK45/'Tariffs Jan2018'!AI45-'Tariffs Jan2018'!J45)*('Tariffs Jan2018'!P45/100)*'Tariffs Jan2018'!AI45,('Tariffs Jan2018'!K45-'Tariffs Jan2018'!J45)*('Tariffs Jan2018'!P45/100)*'Tariffs Jan2018'!AI45))</f>
        <v>0</v>
      </c>
      <c r="G51" s="59">
        <f>IF($C$5*'Tariffs Jan2018'!AK45/'Tariffs Jan2018'!AI45&lt;'Tariffs Jan2018'!K45,0,IF($C$5*'Tariffs Jan2018'!AK45/'Tariffs Jan2018'!AI45&lt;='Tariffs Jan2018'!L45,($C$5*'Tariffs Jan2018'!AK45/'Tariffs Jan2018'!AI45-'Tariffs Jan2018'!K45)*('Tariffs Jan2018'!Q45/100)*'Tariffs Jan2018'!AI45,('Tariffs Jan2018'!L45-'Tariffs Jan2018'!K45)*('Tariffs Jan2018'!Q45/100)*'Tariffs Jan2018'!AI45))</f>
        <v>0</v>
      </c>
      <c r="H51" s="59">
        <f>IF($C$5*'Tariffs Jan2018'!AK45/'Tariffs Jan2018'!AI45&lt;'Tariffs Jan2018'!L45,0,IF($C$5*'Tariffs Jan2018'!AK45/'Tariffs Jan2018'!AI45&lt;='Tariffs Jan2018'!M45,($C$5*'Tariffs Jan2018'!AK45/'Tariffs Jan2018'!AI45-'Tariffs Jan2018'!L45)*('Tariffs Jan2018'!R45/100)*'Tariffs Jan2018'!AI45,('Tariffs Jan2018'!M45-'Tariffs Jan2018'!L45)*('Tariffs Jan2018'!R45/100)*'Tariffs Jan2018'!AI45))</f>
        <v>0</v>
      </c>
      <c r="I51" s="59">
        <f>IF(($C$5*'Tariffs Jan2018'!AK45/'Tariffs Jan2018'!AI45&gt;'Tariffs Jan2018'!M45),($C$5*'Tariffs Jan2018'!AK45/'Tariffs Jan2018'!AI45-'Tariffs Jan2018'!M45)*'Tariffs Jan2018'!S45/100*'Tariffs Jan2018'!AI45,0)</f>
        <v>290.49820999999997</v>
      </c>
      <c r="J51" s="59">
        <f>IF($C$5*'Tariffs Jan2018'!AL45/'Tariffs Jan2018'!AJ45&gt;='Tariffs Jan2018'!J45,('Tariffs Jan2018'!J45*'Tariffs Jan2018'!U45/100)* 'Tariffs Jan2018'!AJ45,($C$5*'Tariffs Jan2018'!AL45/'Tariffs Jan2018'!AJ45*'Tariffs Jan2018'!U45/100)* 'Tariffs Jan2018'!AJ45)</f>
        <v>318.72000000000003</v>
      </c>
      <c r="K51" s="59">
        <f>IF($C$5*'Tariffs Jan2018'!AL45/'Tariffs Jan2018'!AJ45&lt;'Tariffs Jan2018'!J45,0,IF($C$5*'Tariffs Jan2018'!AL45/'Tariffs Jan2018'!AJ45&lt;='Tariffs Jan2018'!K45,($C$5*'Tariffs Jan2018'!AL45/'Tariffs Jan2018'!AJ45-'Tariffs Jan2018'!J45)*('Tariffs Jan2018'!V45/100)*'Tariffs Jan2018'!AJ45,('Tariffs Jan2018'!K45-'Tariffs Jan2018'!J45)*('Tariffs Jan2018'!V45/100)*'Tariffs Jan2018'!AJ45))</f>
        <v>0</v>
      </c>
      <c r="L51" s="59">
        <f>IF($C$5*'Tariffs Jan2018'!AL45/'Tariffs Jan2018'!AJ45&lt;'Tariffs Jan2018'!K45,0,IF($C$5*'Tariffs Jan2018'!AL45/'Tariffs Jan2018'!AJ45&lt;='Tariffs Jan2018'!L45,($C$5*'Tariffs Jan2018'!AL45/'Tariffs Jan2018'!AJ45-'Tariffs Jan2018'!K45)*('Tariffs Jan2018'!W45/100)*'Tariffs Jan2018'!AJ45,('Tariffs Jan2018'!L45-'Tariffs Jan2018'!K45)*('Tariffs Jan2018'!W45/100)*'Tariffs Jan2018'!AJ45))</f>
        <v>0</v>
      </c>
      <c r="M51" s="59">
        <f>IF($C$5*'Tariffs Jan2018'!AL45/'Tariffs Jan2018'!AJ45&lt;'Tariffs Jan2018'!L45,0,IF($C$5*'Tariffs Jan2018'!AL45/'Tariffs Jan2018'!AJ45&lt;='Tariffs Jan2018'!M45,($C$5*'Tariffs Jan2018'!AL45/'Tariffs Jan2018'!AJ45-'Tariffs Jan2018'!L45)*('Tariffs Jan2018'!X45/100)*'Tariffs Jan2018'!AJ45,('Tariffs Jan2018'!M45-'Tariffs Jan2018'!L45)*('Tariffs Jan2018'!X45/100)*'Tariffs Jan2018'!AJ45))</f>
        <v>0</v>
      </c>
      <c r="N51" s="59">
        <f>IF(($C$5*'Tariffs Jan2018'!AL45/'Tariffs Jan2018'!AJ45&gt;'Tariffs Jan2018'!M45),($C$5*'Tariffs Jan2018'!AL45/'Tariffs Jan2018'!AJ45-'Tariffs Jan2018'!M45)*'Tariffs Jan2018'!Y45/100*'Tariffs Jan2018'!AJ45,0)</f>
        <v>580.99641999999994</v>
      </c>
      <c r="O51" s="271">
        <f t="shared" si="1"/>
        <v>1349.5746300000001</v>
      </c>
      <c r="P51" s="59">
        <f t="shared" si="2"/>
        <v>1646.5021300000001</v>
      </c>
      <c r="Q51" s="272">
        <f t="shared" si="3"/>
        <v>1811.1523430000002</v>
      </c>
      <c r="R51" s="40">
        <f>'Tariffs Jan2018'!AM45</f>
        <v>0</v>
      </c>
      <c r="S51" s="40">
        <f>'Tariffs Jan2018'!AN45</f>
        <v>0</v>
      </c>
      <c r="T51" s="40">
        <f>'Tariffs Jan2018'!AO45</f>
        <v>0</v>
      </c>
      <c r="U51" s="40">
        <f>'Tariffs Jan2018'!AP45</f>
        <v>0</v>
      </c>
      <c r="V51" s="273">
        <f t="shared" si="7"/>
        <v>1646.5021300000001</v>
      </c>
      <c r="W51" s="273">
        <f>V51</f>
        <v>1646.5021300000001</v>
      </c>
      <c r="X51" s="272">
        <f t="shared" si="4"/>
        <v>1811.1523430000002</v>
      </c>
      <c r="Y51" s="272">
        <f t="shared" si="4"/>
        <v>1811.1523430000002</v>
      </c>
      <c r="Z51" s="274">
        <f>'Tariffs Jan2018'!AW45</f>
        <v>0</v>
      </c>
      <c r="AA51" s="274" t="str">
        <f>'Tariffs Jan2018'!AX45</f>
        <v>n</v>
      </c>
      <c r="AB51" s="275" t="str">
        <f>'Tariffs Jan2018'!BE45</f>
        <v>Y</v>
      </c>
      <c r="AC51" s="321"/>
      <c r="AD51" s="321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</row>
    <row r="52" spans="1:40" x14ac:dyDescent="0.15">
      <c r="A52" s="270" t="str">
        <f>'Tariffs Jan2018'!F46</f>
        <v>EnergyAustralia</v>
      </c>
      <c r="B52" s="40" t="str">
        <f>'Tariffs Jan2018'!D46</f>
        <v>Envestra Central 2</v>
      </c>
      <c r="C52" s="40" t="str">
        <f>'Tariffs Jan2018'!G46</f>
        <v xml:space="preserve">Flexi Saver </v>
      </c>
      <c r="D52" s="59">
        <f>365*'Tariffs Jan2018'!H46/100</f>
        <v>287.255</v>
      </c>
      <c r="E52" s="59">
        <f>IF($C$5*'Tariffs Jan2018'!AK46/'Tariffs Jan2018'!AI46&gt;='Tariffs Jan2018'!J46,( 'Tariffs Jan2018'!J46*'Tariffs Jan2018'!O46/100)* 'Tariffs Jan2018'!AI46,($C$5*'Tariffs Jan2018'!AK46/'Tariffs Jan2018'!AI46*'Tariffs Jan2018'!O46/100)* 'Tariffs Jan2018'!AI46)</f>
        <v>169.8</v>
      </c>
      <c r="F52" s="59">
        <f>IF($C$5*'Tariffs Jan2018'!AK46/'Tariffs Jan2018'!AI46&lt;'Tariffs Jan2018'!J46,0,IF($C$5*'Tariffs Jan2018'!AK46/'Tariffs Jan2018'!AI46&lt;='Tariffs Jan2018'!K46,($C$5*'Tariffs Jan2018'!AK46/'Tariffs Jan2018'!AI46-'Tariffs Jan2018'!J46)*('Tariffs Jan2018'!P46/100)*'Tariffs Jan2018'!AI46,('Tariffs Jan2018'!K46-'Tariffs Jan2018'!J46)*('Tariffs Jan2018'!P46/100)*'Tariffs Jan2018'!AI46))</f>
        <v>0</v>
      </c>
      <c r="G52" s="59">
        <f>IF($C$5*'Tariffs Jan2018'!AK46/'Tariffs Jan2018'!AI46&lt;'Tariffs Jan2018'!K46,0,IF($C$5*'Tariffs Jan2018'!AK46/'Tariffs Jan2018'!AI46&lt;='Tariffs Jan2018'!L46,($C$5*'Tariffs Jan2018'!AK46/'Tariffs Jan2018'!AI46-'Tariffs Jan2018'!K46)*('Tariffs Jan2018'!Q46/100)*'Tariffs Jan2018'!AI46,('Tariffs Jan2018'!L46-'Tariffs Jan2018'!K46)*('Tariffs Jan2018'!Q46/100)*'Tariffs Jan2018'!AI46))</f>
        <v>0</v>
      </c>
      <c r="H52" s="59">
        <f>IF($C$5*'Tariffs Jan2018'!AK46/'Tariffs Jan2018'!AI46&lt;'Tariffs Jan2018'!L46,0,IF($C$5*'Tariffs Jan2018'!AK46/'Tariffs Jan2018'!AI46&lt;='Tariffs Jan2018'!M46,($C$5*'Tariffs Jan2018'!AK46/'Tariffs Jan2018'!AI46-'Tariffs Jan2018'!L46)*('Tariffs Jan2018'!R46/100)*'Tariffs Jan2018'!AI46,('Tariffs Jan2018'!M46-'Tariffs Jan2018'!L46)*('Tariffs Jan2018'!R46/100)*'Tariffs Jan2018'!AI46))</f>
        <v>0</v>
      </c>
      <c r="I52" s="59">
        <f>IF(($C$5*'Tariffs Jan2018'!AK46/'Tariffs Jan2018'!AI46&gt;'Tariffs Jan2018'!M46),($C$5*'Tariffs Jan2018'!AK46/'Tariffs Jan2018'!AI46-'Tariffs Jan2018'!M46)*'Tariffs Jan2018'!S46/100*'Tariffs Jan2018'!AI46,0)</f>
        <v>286.45988999999992</v>
      </c>
      <c r="J52" s="59">
        <f>IF($C$5*'Tariffs Jan2018'!AL46/'Tariffs Jan2018'!AJ46&gt;='Tariffs Jan2018'!J46,('Tariffs Jan2018'!J46*'Tariffs Jan2018'!U46/100)* 'Tariffs Jan2018'!AJ46,($C$5*'Tariffs Jan2018'!AL46/'Tariffs Jan2018'!AJ46*'Tariffs Jan2018'!U46/100)* 'Tariffs Jan2018'!AJ46)</f>
        <v>339.6</v>
      </c>
      <c r="K52" s="59">
        <f>IF($C$5*'Tariffs Jan2018'!AL46/'Tariffs Jan2018'!AJ46&lt;'Tariffs Jan2018'!J46,0,IF($C$5*'Tariffs Jan2018'!AL46/'Tariffs Jan2018'!AJ46&lt;='Tariffs Jan2018'!K46,($C$5*'Tariffs Jan2018'!AL46/'Tariffs Jan2018'!AJ46-'Tariffs Jan2018'!J46)*('Tariffs Jan2018'!V46/100)*'Tariffs Jan2018'!AJ46,('Tariffs Jan2018'!K46-'Tariffs Jan2018'!J46)*('Tariffs Jan2018'!V46/100)*'Tariffs Jan2018'!AJ46))</f>
        <v>0</v>
      </c>
      <c r="L52" s="59">
        <f>IF($C$5*'Tariffs Jan2018'!AL46/'Tariffs Jan2018'!AJ46&lt;'Tariffs Jan2018'!K46,0,IF($C$5*'Tariffs Jan2018'!AL46/'Tariffs Jan2018'!AJ46&lt;='Tariffs Jan2018'!L46,($C$5*'Tariffs Jan2018'!AL46/'Tariffs Jan2018'!AJ46-'Tariffs Jan2018'!K46)*('Tariffs Jan2018'!W46/100)*'Tariffs Jan2018'!AJ46,('Tariffs Jan2018'!L46-'Tariffs Jan2018'!K46)*('Tariffs Jan2018'!W46/100)*'Tariffs Jan2018'!AJ46))</f>
        <v>0</v>
      </c>
      <c r="M52" s="59">
        <f>IF($C$5*'Tariffs Jan2018'!AL46/'Tariffs Jan2018'!AJ46&lt;'Tariffs Jan2018'!L46,0,IF($C$5*'Tariffs Jan2018'!AL46/'Tariffs Jan2018'!AJ46&lt;='Tariffs Jan2018'!M46,($C$5*'Tariffs Jan2018'!AL46/'Tariffs Jan2018'!AJ46-'Tariffs Jan2018'!L46)*('Tariffs Jan2018'!X46/100)*'Tariffs Jan2018'!AJ46,('Tariffs Jan2018'!M46-'Tariffs Jan2018'!L46)*('Tariffs Jan2018'!X46/100)*'Tariffs Jan2018'!AJ46))</f>
        <v>0</v>
      </c>
      <c r="N52" s="59">
        <f>IF(($C$5*'Tariffs Jan2018'!AL46/'Tariffs Jan2018'!AJ46&gt;'Tariffs Jan2018'!M46),($C$5*'Tariffs Jan2018'!AL46/'Tariffs Jan2018'!AJ46-'Tariffs Jan2018'!M46)*'Tariffs Jan2018'!Y46/100*'Tariffs Jan2018'!AJ46,0)</f>
        <v>572.91977999999983</v>
      </c>
      <c r="O52" s="271">
        <f t="shared" si="1"/>
        <v>1368.7796699999999</v>
      </c>
      <c r="P52" s="59">
        <f t="shared" si="2"/>
        <v>1656.03467</v>
      </c>
      <c r="Q52" s="272">
        <f t="shared" si="3"/>
        <v>1821.6381370000001</v>
      </c>
      <c r="R52" s="40">
        <f>'Tariffs Jan2018'!AM46</f>
        <v>0</v>
      </c>
      <c r="S52" s="40">
        <f>'Tariffs Jan2018'!AN46</f>
        <v>0</v>
      </c>
      <c r="T52" s="40">
        <f>'Tariffs Jan2018'!AO46</f>
        <v>0</v>
      </c>
      <c r="U52" s="40">
        <f>'Tariffs Jan2018'!AP46</f>
        <v>15</v>
      </c>
      <c r="V52" s="273">
        <f t="shared" si="7"/>
        <v>1656.03467</v>
      </c>
      <c r="W52" s="273">
        <f>V52-(O52*U52/100)</f>
        <v>1450.7177194999999</v>
      </c>
      <c r="X52" s="272">
        <f t="shared" si="4"/>
        <v>1821.6381370000001</v>
      </c>
      <c r="Y52" s="272">
        <f t="shared" si="4"/>
        <v>1595.78949145</v>
      </c>
      <c r="Z52" s="274">
        <f>'Tariffs Jan2018'!AW46</f>
        <v>0</v>
      </c>
      <c r="AA52" s="274" t="str">
        <f>'Tariffs Jan2018'!AX46</f>
        <v>n</v>
      </c>
      <c r="AB52" s="275" t="str">
        <f>'Tariffs Jan2018'!BE46</f>
        <v>N</v>
      </c>
      <c r="AC52" s="321"/>
      <c r="AD52" s="321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</row>
    <row r="53" spans="1:40" x14ac:dyDescent="0.15">
      <c r="A53" s="270" t="str">
        <f>'Tariffs Jan2018'!F47</f>
        <v>Lumo Energy</v>
      </c>
      <c r="B53" s="40" t="str">
        <f>'Tariffs Jan2018'!D47</f>
        <v>Envestra Central 2</v>
      </c>
      <c r="C53" s="40" t="str">
        <f>'Tariffs Jan2018'!G47</f>
        <v>Advantage</v>
      </c>
      <c r="D53" s="59">
        <f>365*'Tariffs Jan2018'!H47/100</f>
        <v>244.55</v>
      </c>
      <c r="E53" s="59">
        <f>IF($C$5*'Tariffs Jan2018'!AK47/'Tariffs Jan2018'!AI47&gt;='Tariffs Jan2018'!J47,( 'Tariffs Jan2018'!J47*'Tariffs Jan2018'!O47/100)* 'Tariffs Jan2018'!AI47,($C$5*'Tariffs Jan2018'!AK47/'Tariffs Jan2018'!AI47*'Tariffs Jan2018'!O47/100)* 'Tariffs Jan2018'!AI47)</f>
        <v>96.067999999999998</v>
      </c>
      <c r="F53" s="59">
        <f>IF($C$5*'Tariffs Jan2018'!AK47/'Tariffs Jan2018'!AI47&lt;'Tariffs Jan2018'!J47,0,IF($C$5*'Tariffs Jan2018'!AK47/'Tariffs Jan2018'!AI47&lt;='Tariffs Jan2018'!K47,($C$5*'Tariffs Jan2018'!AK47/'Tariffs Jan2018'!AI47-'Tariffs Jan2018'!J47)*('Tariffs Jan2018'!P47/100)*'Tariffs Jan2018'!AI47,('Tariffs Jan2018'!K47-'Tariffs Jan2018'!J47)*('Tariffs Jan2018'!P47/100)*'Tariffs Jan2018'!AI47))</f>
        <v>65.310999999999993</v>
      </c>
      <c r="G53" s="59">
        <f>IF($C$5*'Tariffs Jan2018'!AK47/'Tariffs Jan2018'!AI47&lt;'Tariffs Jan2018'!K47,0,IF($C$5*'Tariffs Jan2018'!AK47/'Tariffs Jan2018'!AI47&lt;='Tariffs Jan2018'!L47,($C$5*'Tariffs Jan2018'!AK47/'Tariffs Jan2018'!AI47-'Tariffs Jan2018'!K47)*('Tariffs Jan2018'!Q47/100)*'Tariffs Jan2018'!AI47,('Tariffs Jan2018'!L47-'Tariffs Jan2018'!K47)*('Tariffs Jan2018'!Q47/100)*'Tariffs Jan2018'!AI47))</f>
        <v>0</v>
      </c>
      <c r="H53" s="59">
        <f>IF($C$5*'Tariffs Jan2018'!AK47/'Tariffs Jan2018'!AI47&lt;'Tariffs Jan2018'!L47,0,IF($C$5*'Tariffs Jan2018'!AK47/'Tariffs Jan2018'!AI47&lt;='Tariffs Jan2018'!M47,($C$5*'Tariffs Jan2018'!AK47/'Tariffs Jan2018'!AI47-'Tariffs Jan2018'!L47)*('Tariffs Jan2018'!R47/100)*'Tariffs Jan2018'!AI47,('Tariffs Jan2018'!M47-'Tariffs Jan2018'!L47)*('Tariffs Jan2018'!R47/100)*'Tariffs Jan2018'!AI47))</f>
        <v>0</v>
      </c>
      <c r="I53" s="59">
        <f>IF(($C$5*'Tariffs Jan2018'!AK47/'Tariffs Jan2018'!AI47&gt;'Tariffs Jan2018'!M47),($C$5*'Tariffs Jan2018'!AK47/'Tariffs Jan2018'!AI47-'Tariffs Jan2018'!M47)*'Tariffs Jan2018'!S47/100*'Tariffs Jan2018'!AI47,0)</f>
        <v>299.95799999999997</v>
      </c>
      <c r="J53" s="59">
        <f>IF($C$5*'Tariffs Jan2018'!AL47/'Tariffs Jan2018'!AJ47&gt;='Tariffs Jan2018'!J47,('Tariffs Jan2018'!J47*'Tariffs Jan2018'!U47/100)* 'Tariffs Jan2018'!AJ47,($C$5*'Tariffs Jan2018'!AL47/'Tariffs Jan2018'!AJ47*'Tariffs Jan2018'!U47/100)* 'Tariffs Jan2018'!AJ47)</f>
        <v>192.136</v>
      </c>
      <c r="K53" s="59">
        <f>IF($C$5*'Tariffs Jan2018'!AL47/'Tariffs Jan2018'!AJ47&lt;'Tariffs Jan2018'!J47,0,IF($C$5*'Tariffs Jan2018'!AL47/'Tariffs Jan2018'!AJ47&lt;='Tariffs Jan2018'!K47,($C$5*'Tariffs Jan2018'!AL47/'Tariffs Jan2018'!AJ47-'Tariffs Jan2018'!J47)*('Tariffs Jan2018'!V47/100)*'Tariffs Jan2018'!AJ47,('Tariffs Jan2018'!K47-'Tariffs Jan2018'!J47)*('Tariffs Jan2018'!V47/100)*'Tariffs Jan2018'!AJ47))</f>
        <v>130.62199999999999</v>
      </c>
      <c r="L53" s="59">
        <f>IF($C$5*'Tariffs Jan2018'!AL47/'Tariffs Jan2018'!AJ47&lt;'Tariffs Jan2018'!K47,0,IF($C$5*'Tariffs Jan2018'!AL47/'Tariffs Jan2018'!AJ47&lt;='Tariffs Jan2018'!L47,($C$5*'Tariffs Jan2018'!AL47/'Tariffs Jan2018'!AJ47-'Tariffs Jan2018'!K47)*('Tariffs Jan2018'!W47/100)*'Tariffs Jan2018'!AJ47,('Tariffs Jan2018'!L47-'Tariffs Jan2018'!K47)*('Tariffs Jan2018'!W47/100)*'Tariffs Jan2018'!AJ47))</f>
        <v>0</v>
      </c>
      <c r="M53" s="59">
        <f>IF($C$5*'Tariffs Jan2018'!AL47/'Tariffs Jan2018'!AJ47&lt;'Tariffs Jan2018'!L47,0,IF($C$5*'Tariffs Jan2018'!AL47/'Tariffs Jan2018'!AJ47&lt;='Tariffs Jan2018'!M47,($C$5*'Tariffs Jan2018'!AL47/'Tariffs Jan2018'!AJ47-'Tariffs Jan2018'!L47)*('Tariffs Jan2018'!X47/100)*'Tariffs Jan2018'!AJ47,('Tariffs Jan2018'!M47-'Tariffs Jan2018'!L47)*('Tariffs Jan2018'!X47/100)*'Tariffs Jan2018'!AJ47))</f>
        <v>0</v>
      </c>
      <c r="N53" s="59">
        <f>IF(($C$5*'Tariffs Jan2018'!AL47/'Tariffs Jan2018'!AJ47&gt;'Tariffs Jan2018'!M47),($C$5*'Tariffs Jan2018'!AL47/'Tariffs Jan2018'!AJ47-'Tariffs Jan2018'!M47)*'Tariffs Jan2018'!Y47/100*'Tariffs Jan2018'!AJ47,0)</f>
        <v>599.91599999999994</v>
      </c>
      <c r="O53" s="271">
        <f t="shared" si="1"/>
        <v>1384.011</v>
      </c>
      <c r="P53" s="59">
        <f t="shared" si="2"/>
        <v>1628.5609999999999</v>
      </c>
      <c r="Q53" s="272">
        <f t="shared" si="3"/>
        <v>1791.4171000000001</v>
      </c>
      <c r="R53" s="40">
        <f>'Tariffs Jan2018'!AM47</f>
        <v>0</v>
      </c>
      <c r="S53" s="40">
        <f>'Tariffs Jan2018'!AN47</f>
        <v>0</v>
      </c>
      <c r="T53" s="40">
        <f>'Tariffs Jan2018'!AO47</f>
        <v>15</v>
      </c>
      <c r="U53" s="40">
        <f>'Tariffs Jan2018'!AP47</f>
        <v>0</v>
      </c>
      <c r="V53" s="273">
        <f t="shared" si="7"/>
        <v>1628.5609999999999</v>
      </c>
      <c r="W53" s="273">
        <f>V53-(P53*T53/100)</f>
        <v>1384.27685</v>
      </c>
      <c r="X53" s="272">
        <f t="shared" si="4"/>
        <v>1791.4171000000001</v>
      </c>
      <c r="Y53" s="272">
        <f t="shared" si="4"/>
        <v>1522.7045350000001</v>
      </c>
      <c r="Z53" s="274">
        <f>'Tariffs Jan2018'!AW47</f>
        <v>0</v>
      </c>
      <c r="AA53" s="274" t="str">
        <f>'Tariffs Jan2018'!AX47</f>
        <v>n</v>
      </c>
      <c r="AB53" s="275" t="str">
        <f>'Tariffs Jan2018'!BE47</f>
        <v>N</v>
      </c>
      <c r="AC53" s="321"/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</row>
    <row r="54" spans="1:40" x14ac:dyDescent="0.15">
      <c r="A54" s="270" t="str">
        <f>'Tariffs Jan2018'!F48</f>
        <v>Momentum Energy</v>
      </c>
      <c r="B54" s="40" t="str">
        <f>'Tariffs Jan2018'!D48</f>
        <v>Envestra Central 2</v>
      </c>
      <c r="C54" s="40" t="str">
        <f>'Tariffs Jan2018'!G48</f>
        <v>Market offer</v>
      </c>
      <c r="D54" s="59">
        <f>365*'Tariffs Jan2018'!H48/100</f>
        <v>272.50899999999996</v>
      </c>
      <c r="E54" s="59">
        <f>IF($C$5*'Tariffs Jan2018'!AK48/'Tariffs Jan2018'!AI48&gt;='Tariffs Jan2018'!J48,( 'Tariffs Jan2018'!J48*'Tariffs Jan2018'!O48/100)* 'Tariffs Jan2018'!AI48,($C$5*'Tariffs Jan2018'!AK48/'Tariffs Jan2018'!AI48*'Tariffs Jan2018'!O48/100)* 'Tariffs Jan2018'!AI48)</f>
        <v>81.756500000000003</v>
      </c>
      <c r="F54" s="59">
        <f>IF($C$5*'Tariffs Jan2018'!AK48/'Tariffs Jan2018'!AI48&lt;'Tariffs Jan2018'!J48,0,IF($C$5*'Tariffs Jan2018'!AK48/'Tariffs Jan2018'!AI48&lt;='Tariffs Jan2018'!K48,($C$5*'Tariffs Jan2018'!AK48/'Tariffs Jan2018'!AI48-'Tariffs Jan2018'!J48)*('Tariffs Jan2018'!P48/100)*'Tariffs Jan2018'!AI48,('Tariffs Jan2018'!K48-'Tariffs Jan2018'!J48)*('Tariffs Jan2018'!P48/100)*'Tariffs Jan2018'!AI48))</f>
        <v>54.470999999999989</v>
      </c>
      <c r="G54" s="59">
        <f>IF($C$5*'Tariffs Jan2018'!AK48/'Tariffs Jan2018'!AI48&lt;'Tariffs Jan2018'!K48,0,IF($C$5*'Tariffs Jan2018'!AK48/'Tariffs Jan2018'!AI48&lt;='Tariffs Jan2018'!L48,($C$5*'Tariffs Jan2018'!AK48/'Tariffs Jan2018'!AI48-'Tariffs Jan2018'!K48)*('Tariffs Jan2018'!Q48/100)*'Tariffs Jan2018'!AI48,('Tariffs Jan2018'!L48-'Tariffs Jan2018'!K48)*('Tariffs Jan2018'!Q48/100)*'Tariffs Jan2018'!AI48))</f>
        <v>0</v>
      </c>
      <c r="H54" s="59">
        <f>IF($C$5*'Tariffs Jan2018'!AK48/'Tariffs Jan2018'!AI48&lt;'Tariffs Jan2018'!L48,0,IF($C$5*'Tariffs Jan2018'!AK48/'Tariffs Jan2018'!AI48&lt;='Tariffs Jan2018'!M48,($C$5*'Tariffs Jan2018'!AK48/'Tariffs Jan2018'!AI48-'Tariffs Jan2018'!L48)*('Tariffs Jan2018'!R48/100)*'Tariffs Jan2018'!AI48,('Tariffs Jan2018'!M48-'Tariffs Jan2018'!L48)*('Tariffs Jan2018'!R48/100)*'Tariffs Jan2018'!AI48))</f>
        <v>0</v>
      </c>
      <c r="I54" s="59">
        <f>IF(($C$5*'Tariffs Jan2018'!AK48/'Tariffs Jan2018'!AI48&gt;'Tariffs Jan2018'!M48),($C$5*'Tariffs Jan2018'!AK48/'Tariffs Jan2018'!AI48-'Tariffs Jan2018'!M48)*'Tariffs Jan2018'!S48/100*'Tariffs Jan2018'!AI48,0)</f>
        <v>250.31495099999995</v>
      </c>
      <c r="J54" s="59">
        <f>IF($C$5*'Tariffs Jan2018'!AL48/'Tariffs Jan2018'!AJ48&gt;='Tariffs Jan2018'!J48,('Tariffs Jan2018'!J48*'Tariffs Jan2018'!U48/100)* 'Tariffs Jan2018'!AJ48,($C$5*'Tariffs Jan2018'!AL48/'Tariffs Jan2018'!AJ48*'Tariffs Jan2018'!U48/100)* 'Tariffs Jan2018'!AJ48)</f>
        <v>163.51300000000001</v>
      </c>
      <c r="K54" s="59">
        <f>IF($C$5*'Tariffs Jan2018'!AL48/'Tariffs Jan2018'!AJ48&lt;'Tariffs Jan2018'!J48,0,IF($C$5*'Tariffs Jan2018'!AL48/'Tariffs Jan2018'!AJ48&lt;='Tariffs Jan2018'!K48,($C$5*'Tariffs Jan2018'!AL48/'Tariffs Jan2018'!AJ48-'Tariffs Jan2018'!J48)*('Tariffs Jan2018'!V48/100)*'Tariffs Jan2018'!AJ48,('Tariffs Jan2018'!K48-'Tariffs Jan2018'!J48)*('Tariffs Jan2018'!V48/100)*'Tariffs Jan2018'!AJ48))</f>
        <v>108.94199999999998</v>
      </c>
      <c r="L54" s="59">
        <f>IF($C$5*'Tariffs Jan2018'!AL48/'Tariffs Jan2018'!AJ48&lt;'Tariffs Jan2018'!K48,0,IF($C$5*'Tariffs Jan2018'!AL48/'Tariffs Jan2018'!AJ48&lt;='Tariffs Jan2018'!L48,($C$5*'Tariffs Jan2018'!AL48/'Tariffs Jan2018'!AJ48-'Tariffs Jan2018'!K48)*('Tariffs Jan2018'!W48/100)*'Tariffs Jan2018'!AJ48,('Tariffs Jan2018'!L48-'Tariffs Jan2018'!K48)*('Tariffs Jan2018'!W48/100)*'Tariffs Jan2018'!AJ48))</f>
        <v>0</v>
      </c>
      <c r="M54" s="59">
        <f>IF($C$5*'Tariffs Jan2018'!AL48/'Tariffs Jan2018'!AJ48&lt;'Tariffs Jan2018'!L48,0,IF($C$5*'Tariffs Jan2018'!AL48/'Tariffs Jan2018'!AJ48&lt;='Tariffs Jan2018'!M48,($C$5*'Tariffs Jan2018'!AL48/'Tariffs Jan2018'!AJ48-'Tariffs Jan2018'!L48)*('Tariffs Jan2018'!X48/100)*'Tariffs Jan2018'!AJ48,('Tariffs Jan2018'!M48-'Tariffs Jan2018'!L48)*('Tariffs Jan2018'!X48/100)*'Tariffs Jan2018'!AJ48))</f>
        <v>0</v>
      </c>
      <c r="N54" s="59">
        <f>IF(($C$5*'Tariffs Jan2018'!AL48/'Tariffs Jan2018'!AJ48&gt;'Tariffs Jan2018'!M48),($C$5*'Tariffs Jan2018'!AL48/'Tariffs Jan2018'!AJ48-'Tariffs Jan2018'!M48)*'Tariffs Jan2018'!Y48/100*'Tariffs Jan2018'!AJ48,0)</f>
        <v>500.6299019999999</v>
      </c>
      <c r="O54" s="271">
        <f t="shared" si="1"/>
        <v>1159.6273529999999</v>
      </c>
      <c r="P54" s="59">
        <f t="shared" si="2"/>
        <v>1432.1363529999999</v>
      </c>
      <c r="Q54" s="272">
        <f t="shared" si="3"/>
        <v>1575.3499882999999</v>
      </c>
      <c r="R54" s="40">
        <f>'Tariffs Jan2018'!AM48</f>
        <v>0</v>
      </c>
      <c r="S54" s="40">
        <f>'Tariffs Jan2018'!AN48</f>
        <v>0</v>
      </c>
      <c r="T54" s="40">
        <f>'Tariffs Jan2018'!AO48</f>
        <v>0</v>
      </c>
      <c r="U54" s="40">
        <f>'Tariffs Jan2018'!AP48</f>
        <v>0</v>
      </c>
      <c r="V54" s="273">
        <f t="shared" si="7"/>
        <v>1432.1363529999999</v>
      </c>
      <c r="W54" s="273">
        <f>V54</f>
        <v>1432.1363529999999</v>
      </c>
      <c r="X54" s="272">
        <f t="shared" si="4"/>
        <v>1575.3499882999999</v>
      </c>
      <c r="Y54" s="272">
        <f t="shared" si="4"/>
        <v>1575.3499882999999</v>
      </c>
      <c r="Z54" s="274">
        <f>'Tariffs Jan2018'!AW48</f>
        <v>0</v>
      </c>
      <c r="AA54" s="274" t="str">
        <f>'Tariffs Jan2018'!AX48</f>
        <v>n</v>
      </c>
      <c r="AB54" s="275" t="str">
        <f>'Tariffs Jan2018'!BE48</f>
        <v>Y</v>
      </c>
      <c r="AC54" s="321"/>
      <c r="AD54" s="321"/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</row>
    <row r="55" spans="1:40" x14ac:dyDescent="0.15">
      <c r="A55" s="270" t="str">
        <f>'Tariffs Jan2018'!F49</f>
        <v>Origin Energy</v>
      </c>
      <c r="B55" s="40" t="str">
        <f>'Tariffs Jan2018'!D49</f>
        <v>Envestra Central 2</v>
      </c>
      <c r="C55" s="40" t="str">
        <f>'Tariffs Jan2018'!G49</f>
        <v>Saver</v>
      </c>
      <c r="D55" s="59">
        <f>365*'Tariffs Jan2018'!H49/100</f>
        <v>251.85</v>
      </c>
      <c r="E55" s="59">
        <f>IF($C$5*'Tariffs Jan2018'!AK49/'Tariffs Jan2018'!AI49&gt;='Tariffs Jan2018'!J49,( 'Tariffs Jan2018'!J49*'Tariffs Jan2018'!O49/100)* 'Tariffs Jan2018'!AI49,($C$5*'Tariffs Jan2018'!AK49/'Tariffs Jan2018'!AI49*'Tariffs Jan2018'!O49/100)* 'Tariffs Jan2018'!AI49)</f>
        <v>176</v>
      </c>
      <c r="F55" s="59">
        <f>IF($C$5*'Tariffs Jan2018'!AK49/'Tariffs Jan2018'!AI49&lt;'Tariffs Jan2018'!J49,0,IF($C$5*'Tariffs Jan2018'!AK49/'Tariffs Jan2018'!AI49&lt;='Tariffs Jan2018'!K49,($C$5*'Tariffs Jan2018'!AK49/'Tariffs Jan2018'!AI49-'Tariffs Jan2018'!J49)*('Tariffs Jan2018'!P49/100)*'Tariffs Jan2018'!AI49,('Tariffs Jan2018'!K49-'Tariffs Jan2018'!J49)*('Tariffs Jan2018'!P49/100)*'Tariffs Jan2018'!AI49))</f>
        <v>272.95589999999999</v>
      </c>
      <c r="G55" s="59">
        <f>IF($C$5*'Tariffs Jan2018'!AK49/'Tariffs Jan2018'!AI49&lt;'Tariffs Jan2018'!K49,0,IF($C$5*'Tariffs Jan2018'!AK49/'Tariffs Jan2018'!AI49&lt;='Tariffs Jan2018'!L49,($C$5*'Tariffs Jan2018'!AK49/'Tariffs Jan2018'!AI49-'Tariffs Jan2018'!K49)*('Tariffs Jan2018'!Q49/100)*'Tariffs Jan2018'!AI49,('Tariffs Jan2018'!L49-'Tariffs Jan2018'!K49)*('Tariffs Jan2018'!Q49/100)*'Tariffs Jan2018'!AI49))</f>
        <v>0</v>
      </c>
      <c r="H55" s="59">
        <f>IF($C$5*'Tariffs Jan2018'!AK49/'Tariffs Jan2018'!AI49&lt;'Tariffs Jan2018'!L49,0,IF($C$5*'Tariffs Jan2018'!AK49/'Tariffs Jan2018'!AI49&lt;='Tariffs Jan2018'!M49,($C$5*'Tariffs Jan2018'!AK49/'Tariffs Jan2018'!AI49-'Tariffs Jan2018'!L49)*('Tariffs Jan2018'!R49/100)*'Tariffs Jan2018'!AI49,('Tariffs Jan2018'!M49-'Tariffs Jan2018'!L49)*('Tariffs Jan2018'!R49/100)*'Tariffs Jan2018'!AI49))</f>
        <v>0</v>
      </c>
      <c r="I55" s="59">
        <f>IF(($C$5*'Tariffs Jan2018'!AK49/'Tariffs Jan2018'!AI49&gt;'Tariffs Jan2018'!M49),($C$5*'Tariffs Jan2018'!AK49/'Tariffs Jan2018'!AI49-'Tariffs Jan2018'!M49)*'Tariffs Jan2018'!S49/100*'Tariffs Jan2018'!AI49,0)</f>
        <v>0</v>
      </c>
      <c r="J55" s="59">
        <f>IF($C$5*'Tariffs Jan2018'!AL49/'Tariffs Jan2018'!AJ49&gt;='Tariffs Jan2018'!J49,('Tariffs Jan2018'!J49*'Tariffs Jan2018'!U49/100)* 'Tariffs Jan2018'!AJ49,($C$5*'Tariffs Jan2018'!AL49/'Tariffs Jan2018'!AJ49*'Tariffs Jan2018'!U49/100)* 'Tariffs Jan2018'!AJ49)</f>
        <v>352</v>
      </c>
      <c r="K55" s="59">
        <f>IF($C$5*'Tariffs Jan2018'!AL49/'Tariffs Jan2018'!AJ49&lt;'Tariffs Jan2018'!J49,0,IF($C$5*'Tariffs Jan2018'!AL49/'Tariffs Jan2018'!AJ49&lt;='Tariffs Jan2018'!K49,($C$5*'Tariffs Jan2018'!AL49/'Tariffs Jan2018'!AJ49-'Tariffs Jan2018'!J49)*('Tariffs Jan2018'!V49/100)*'Tariffs Jan2018'!AJ49,('Tariffs Jan2018'!K49-'Tariffs Jan2018'!J49)*('Tariffs Jan2018'!V49/100)*'Tariffs Jan2018'!AJ49))</f>
        <v>545.91179999999997</v>
      </c>
      <c r="L55" s="59">
        <f>IF($C$5*'Tariffs Jan2018'!AL49/'Tariffs Jan2018'!AJ49&lt;'Tariffs Jan2018'!K49,0,IF($C$5*'Tariffs Jan2018'!AL49/'Tariffs Jan2018'!AJ49&lt;='Tariffs Jan2018'!L49,($C$5*'Tariffs Jan2018'!AL49/'Tariffs Jan2018'!AJ49-'Tariffs Jan2018'!K49)*('Tariffs Jan2018'!W49/100)*'Tariffs Jan2018'!AJ49,('Tariffs Jan2018'!L49-'Tariffs Jan2018'!K49)*('Tariffs Jan2018'!W49/100)*'Tariffs Jan2018'!AJ49))</f>
        <v>0</v>
      </c>
      <c r="M55" s="59">
        <f>IF($C$5*'Tariffs Jan2018'!AL49/'Tariffs Jan2018'!AJ49&lt;'Tariffs Jan2018'!L49,0,IF($C$5*'Tariffs Jan2018'!AL49/'Tariffs Jan2018'!AJ49&lt;='Tariffs Jan2018'!M49,($C$5*'Tariffs Jan2018'!AL49/'Tariffs Jan2018'!AJ49-'Tariffs Jan2018'!L49)*('Tariffs Jan2018'!X49/100)*'Tariffs Jan2018'!AJ49,('Tariffs Jan2018'!M49-'Tariffs Jan2018'!L49)*('Tariffs Jan2018'!X49/100)*'Tariffs Jan2018'!AJ49))</f>
        <v>0</v>
      </c>
      <c r="N55" s="59">
        <f>IF(($C$5*'Tariffs Jan2018'!AL49/'Tariffs Jan2018'!AJ49&gt;'Tariffs Jan2018'!M49),($C$5*'Tariffs Jan2018'!AL49/'Tariffs Jan2018'!AJ49-'Tariffs Jan2018'!M49)*'Tariffs Jan2018'!Y49/100*'Tariffs Jan2018'!AJ49,0)</f>
        <v>0</v>
      </c>
      <c r="O55" s="271">
        <f t="shared" si="1"/>
        <v>1346.8676999999998</v>
      </c>
      <c r="P55" s="59">
        <f t="shared" si="2"/>
        <v>1598.7176999999997</v>
      </c>
      <c r="Q55" s="272">
        <f t="shared" si="3"/>
        <v>1758.5894699999999</v>
      </c>
      <c r="R55" s="40">
        <f>'Tariffs Jan2018'!AM49</f>
        <v>0</v>
      </c>
      <c r="S55" s="40">
        <f>'Tariffs Jan2018'!AN49</f>
        <v>0</v>
      </c>
      <c r="T55" s="40">
        <f>'Tariffs Jan2018'!AO49</f>
        <v>0</v>
      </c>
      <c r="U55" s="40">
        <f>'Tariffs Jan2018'!AP49</f>
        <v>13</v>
      </c>
      <c r="V55" s="273">
        <f t="shared" si="7"/>
        <v>1598.7176999999997</v>
      </c>
      <c r="W55" s="273">
        <f>V55-(O55*U55/100)</f>
        <v>1423.6248989999997</v>
      </c>
      <c r="X55" s="272">
        <f t="shared" si="4"/>
        <v>1758.5894699999999</v>
      </c>
      <c r="Y55" s="272">
        <f t="shared" si="4"/>
        <v>1565.9873888999998</v>
      </c>
      <c r="Z55" s="274">
        <f>'Tariffs Jan2018'!AW49</f>
        <v>0</v>
      </c>
      <c r="AA55" s="274" t="str">
        <f>'Tariffs Jan2018'!AX49</f>
        <v>n</v>
      </c>
      <c r="AB55" s="275" t="str">
        <f>'Tariffs Jan2018'!BE49</f>
        <v>N</v>
      </c>
      <c r="AC55" s="321"/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321"/>
    </row>
    <row r="56" spans="1:40" x14ac:dyDescent="0.15">
      <c r="A56" s="270" t="str">
        <f>'Tariffs Jan2018'!F50</f>
        <v>Red Energy</v>
      </c>
      <c r="B56" s="40" t="str">
        <f>'Tariffs Jan2018'!D50</f>
        <v>Envestra Central 2</v>
      </c>
      <c r="C56" s="40" t="str">
        <f>'Tariffs Jan2018'!G50</f>
        <v>Living Energy Saver</v>
      </c>
      <c r="D56" s="59">
        <f>365*'Tariffs Jan2018'!H50/100</f>
        <v>265.35500000000002</v>
      </c>
      <c r="E56" s="59">
        <f>IF($C$5*'Tariffs Jan2018'!AK50/'Tariffs Jan2018'!AI50&gt;='Tariffs Jan2018'!J50,( 'Tariffs Jan2018'!J50*'Tariffs Jan2018'!O50/100)* 'Tariffs Jan2018'!AI50,($C$5*'Tariffs Jan2018'!AK50/'Tariffs Jan2018'!AI50*'Tariffs Jan2018'!O50/100)* 'Tariffs Jan2018'!AI50)</f>
        <v>128.76</v>
      </c>
      <c r="F56" s="59">
        <f>IF($C$5*'Tariffs Jan2018'!AK50/'Tariffs Jan2018'!AI50&lt;'Tariffs Jan2018'!J50,0,IF($C$5*'Tariffs Jan2018'!AK50/'Tariffs Jan2018'!AI50&lt;='Tariffs Jan2018'!K50,($C$5*'Tariffs Jan2018'!AK50/'Tariffs Jan2018'!AI50-'Tariffs Jan2018'!J50)*('Tariffs Jan2018'!S50/100)*'Tariffs Jan2018'!AI50,('Tariffs Jan2018'!K50-'Tariffs Jan2018'!J50)*('Tariffs Jan2018'!S50/100)*'Tariffs Jan2018'!AI50))</f>
        <v>0</v>
      </c>
      <c r="G56" s="59">
        <f>IF($C$5*'Tariffs Jan2018'!AK50/'Tariffs Jan2018'!AI50&lt;'Tariffs Jan2018'!K50,0,IF($C$5*'Tariffs Jan2018'!AK50/'Tariffs Jan2018'!AI50&lt;='Tariffs Jan2018'!L50,($C$5*'Tariffs Jan2018'!AK50/'Tariffs Jan2018'!AI50-'Tariffs Jan2018'!K50)*('Tariffs Jan2018'!Q50/100)*'Tariffs Jan2018'!AI50,('Tariffs Jan2018'!L50-'Tariffs Jan2018'!K50)*('Tariffs Jan2018'!Q50/100)*'Tariffs Jan2018'!AI50))</f>
        <v>0</v>
      </c>
      <c r="H56" s="59">
        <f>IF($C$5*'Tariffs Jan2018'!AK50/'Tariffs Jan2018'!AI50&lt;'Tariffs Jan2018'!L50,0,IF($C$5*'Tariffs Jan2018'!AK50/'Tariffs Jan2018'!AI50&lt;='Tariffs Jan2018'!M50,($C$5*'Tariffs Jan2018'!AK50/'Tariffs Jan2018'!AI50-'Tariffs Jan2018'!L50)*('Tariffs Jan2018'!R50/100)*'Tariffs Jan2018'!AI50,('Tariffs Jan2018'!M50-'Tariffs Jan2018'!L50)*('Tariffs Jan2018'!R50/100)*'Tariffs Jan2018'!AI50))</f>
        <v>0</v>
      </c>
      <c r="I56" s="59">
        <f>IF(($C$5*'Tariffs Jan2018'!AK50/'Tariffs Jan2018'!AI50&gt;'Tariffs Jan2018'!M50),($C$5*'Tariffs Jan2018'!AK50/'Tariffs Jan2018'!AI50-'Tariffs Jan2018'!M50)*'Tariffs Jan2018'!S50/100*'Tariffs Jan2018'!AI50,0)</f>
        <v>222.56883599999998</v>
      </c>
      <c r="J56" s="59">
        <f>IF($C$5*'Tariffs Jan2018'!AL50/'Tariffs Jan2018'!AJ50&gt;='Tariffs Jan2018'!J50,('Tariffs Jan2018'!J50*'Tariffs Jan2018'!U50/100)* 'Tariffs Jan2018'!AJ50,($C$5*'Tariffs Jan2018'!AL50/'Tariffs Jan2018'!AJ50*'Tariffs Jan2018'!U50/100)* 'Tariffs Jan2018'!AJ50)</f>
        <v>257.52</v>
      </c>
      <c r="K56" s="59">
        <f>IF($C$5*'Tariffs Jan2018'!AL50/'Tariffs Jan2018'!AJ50&lt;'Tariffs Jan2018'!J50,0,IF($C$5*'Tariffs Jan2018'!AL50/'Tariffs Jan2018'!AJ50&lt;='Tariffs Jan2018'!K50,($C$5*'Tariffs Jan2018'!AL50/'Tariffs Jan2018'!AJ50-'Tariffs Jan2018'!J50)*('Tariffs Jan2018'!V50/100)*'Tariffs Jan2018'!AJ50,('Tariffs Jan2018'!K50-'Tariffs Jan2018'!J50)*('Tariffs Jan2018'!V50/100)*'Tariffs Jan2018'!AJ50))</f>
        <v>0</v>
      </c>
      <c r="L56" s="59">
        <f>IF($C$5*'Tariffs Jan2018'!AL50/'Tariffs Jan2018'!AJ50&lt;'Tariffs Jan2018'!K50,0,IF($C$5*'Tariffs Jan2018'!AL50/'Tariffs Jan2018'!AJ50&lt;='Tariffs Jan2018'!L50,($C$5*'Tariffs Jan2018'!AL50/'Tariffs Jan2018'!AJ50-'Tariffs Jan2018'!K50)*('Tariffs Jan2018'!W50/100)*'Tariffs Jan2018'!AJ50,('Tariffs Jan2018'!L50-'Tariffs Jan2018'!K50)*('Tariffs Jan2018'!W50/100)*'Tariffs Jan2018'!AJ50))</f>
        <v>0</v>
      </c>
      <c r="M56" s="59">
        <f>IF($C$5*'Tariffs Jan2018'!AL50/'Tariffs Jan2018'!AJ50&lt;'Tariffs Jan2018'!L50,0,IF($C$5*'Tariffs Jan2018'!AL50/'Tariffs Jan2018'!AJ50&lt;='Tariffs Jan2018'!M50,($C$5*'Tariffs Jan2018'!AL50/'Tariffs Jan2018'!AJ50-'Tariffs Jan2018'!L50)*('Tariffs Jan2018'!X50/100)*'Tariffs Jan2018'!AJ50,('Tariffs Jan2018'!M50-'Tariffs Jan2018'!L50)*('Tariffs Jan2018'!X50/100)*'Tariffs Jan2018'!AJ50))</f>
        <v>0</v>
      </c>
      <c r="N56" s="59">
        <f>IF(($C$5*'Tariffs Jan2018'!AL50/'Tariffs Jan2018'!AJ50&gt;'Tariffs Jan2018'!M50),($C$5*'Tariffs Jan2018'!AL50/'Tariffs Jan2018'!AJ50-'Tariffs Jan2018'!M50)*'Tariffs Jan2018'!Y50/100*'Tariffs Jan2018'!AJ50,0)</f>
        <v>445.13767199999995</v>
      </c>
      <c r="O56" s="271">
        <f t="shared" si="1"/>
        <v>1053.986508</v>
      </c>
      <c r="P56" s="59">
        <f t="shared" si="2"/>
        <v>1319.341508</v>
      </c>
      <c r="Q56" s="272">
        <f t="shared" si="3"/>
        <v>1451.2756588000002</v>
      </c>
      <c r="R56" s="40">
        <f>'Tariffs Jan2018'!AM50</f>
        <v>0</v>
      </c>
      <c r="S56" s="40">
        <f>'Tariffs Jan2018'!AN50</f>
        <v>0</v>
      </c>
      <c r="T56" s="40">
        <f>'Tariffs Jan2018'!AO50</f>
        <v>10</v>
      </c>
      <c r="U56" s="40">
        <f>'Tariffs Jan2018'!AP50</f>
        <v>0</v>
      </c>
      <c r="V56" s="273">
        <f t="shared" si="7"/>
        <v>1319.341508</v>
      </c>
      <c r="W56" s="273">
        <f>V56-(P56*T56/100)</f>
        <v>1187.4073572</v>
      </c>
      <c r="X56" s="272">
        <f t="shared" si="4"/>
        <v>1451.2756588000002</v>
      </c>
      <c r="Y56" s="272">
        <f t="shared" si="4"/>
        <v>1306.1480929200002</v>
      </c>
      <c r="Z56" s="274">
        <f>'Tariffs Jan2018'!AW50</f>
        <v>0</v>
      </c>
      <c r="AA56" s="274" t="str">
        <f>'Tariffs Jan2018'!AX50</f>
        <v>n</v>
      </c>
      <c r="AB56" s="275" t="str">
        <f>'Tariffs Jan2018'!BE50</f>
        <v>Y</v>
      </c>
      <c r="AC56" s="321"/>
      <c r="AD56" s="321"/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</row>
    <row r="57" spans="1:40" x14ac:dyDescent="0.15">
      <c r="A57" s="270" t="str">
        <f>'Tariffs Jan2018'!F51</f>
        <v>Simply Energy</v>
      </c>
      <c r="B57" s="40" t="str">
        <f>'Tariffs Jan2018'!D51</f>
        <v>Envestra Central 2</v>
      </c>
      <c r="C57" s="40" t="str">
        <f>'Tariffs Jan2018'!G51</f>
        <v>Plus</v>
      </c>
      <c r="D57" s="59">
        <f>365*'Tariffs Jan2018'!H51/100</f>
        <v>259.55150000000003</v>
      </c>
      <c r="E57" s="59">
        <f>IF($C$5*'Tariffs Jan2018'!AK51/'Tariffs Jan2018'!AI51&gt;='Tariffs Jan2018'!J51,( 'Tariffs Jan2018'!J51*'Tariffs Jan2018'!O51/100)* 'Tariffs Jan2018'!AI51,($C$5*'Tariffs Jan2018'!AK51/'Tariffs Jan2018'!AI51*'Tariffs Jan2018'!O51/100)* 'Tariffs Jan2018'!AI51)</f>
        <v>102.319</v>
      </c>
      <c r="F57" s="59">
        <f>IF($C$5*'Tariffs Jan2018'!AK51/'Tariffs Jan2018'!AI51&lt;'Tariffs Jan2018'!J51,0,IF($C$5*'Tariffs Jan2018'!AK51/'Tariffs Jan2018'!AI51&lt;='Tariffs Jan2018'!K51,($C$5*'Tariffs Jan2018'!AK51/'Tariffs Jan2018'!AI51-'Tariffs Jan2018'!J51)*('Tariffs Jan2018'!P51/100)*'Tariffs Jan2018'!AI51,('Tariffs Jan2018'!K51-'Tariffs Jan2018'!J51)*('Tariffs Jan2018'!P51/100)*'Tariffs Jan2018'!AI51))</f>
        <v>71.00200000000001</v>
      </c>
      <c r="G57" s="59">
        <f>IF($C$5*'Tariffs Jan2018'!AK51/'Tariffs Jan2018'!AI51&lt;'Tariffs Jan2018'!K51,0,IF($C$5*'Tariffs Jan2018'!AK51/'Tariffs Jan2018'!AI51&lt;='Tariffs Jan2018'!L51,($C$5*'Tariffs Jan2018'!AK51/'Tariffs Jan2018'!AI51-'Tariffs Jan2018'!K51)*('Tariffs Jan2018'!Q51/100)*'Tariffs Jan2018'!AI51,('Tariffs Jan2018'!L51-'Tariffs Jan2018'!K51)*('Tariffs Jan2018'!Q51/100)*'Tariffs Jan2018'!AI51))</f>
        <v>0</v>
      </c>
      <c r="H57" s="59">
        <f>IF($C$5*'Tariffs Jan2018'!AK51/'Tariffs Jan2018'!AI51&lt;'Tariffs Jan2018'!L51,0,IF($C$5*'Tariffs Jan2018'!AK51/'Tariffs Jan2018'!AI51&lt;='Tariffs Jan2018'!M51,($C$5*'Tariffs Jan2018'!AK51/'Tariffs Jan2018'!AI51-'Tariffs Jan2018'!L51)*('Tariffs Jan2018'!R51/100)*'Tariffs Jan2018'!AI51,('Tariffs Jan2018'!M51-'Tariffs Jan2018'!L51)*('Tariffs Jan2018'!R51/100)*'Tariffs Jan2018'!AI51))</f>
        <v>0</v>
      </c>
      <c r="I57" s="59">
        <f>IF(($C$5*'Tariffs Jan2018'!AK51/'Tariffs Jan2018'!AI51&gt;'Tariffs Jan2018'!M51),($C$5*'Tariffs Jan2018'!AK51/'Tariffs Jan2018'!AI51-'Tariffs Jan2018'!M51)*'Tariffs Jan2018'!S51/100*'Tariffs Jan2018'!AI51,0)</f>
        <v>328.45400999999998</v>
      </c>
      <c r="J57" s="59">
        <f>IF($C$5*'Tariffs Jan2018'!AL51/'Tariffs Jan2018'!AJ51&gt;='Tariffs Jan2018'!J51,('Tariffs Jan2018'!J51*'Tariffs Jan2018'!U51/100)* 'Tariffs Jan2018'!AJ51,($C$5*'Tariffs Jan2018'!AL51/'Tariffs Jan2018'!AJ51*'Tariffs Jan2018'!U51/100)* 'Tariffs Jan2018'!AJ51)</f>
        <v>204.63800000000001</v>
      </c>
      <c r="K57" s="59">
        <f>IF($C$5*'Tariffs Jan2018'!AL51/'Tariffs Jan2018'!AJ51&lt;'Tariffs Jan2018'!J51,0,IF($C$5*'Tariffs Jan2018'!AL51/'Tariffs Jan2018'!AJ51&lt;='Tariffs Jan2018'!K51,($C$5*'Tariffs Jan2018'!AL51/'Tariffs Jan2018'!AJ51-'Tariffs Jan2018'!J51)*('Tariffs Jan2018'!V51/100)*'Tariffs Jan2018'!AJ51,('Tariffs Jan2018'!K51-'Tariffs Jan2018'!J51)*('Tariffs Jan2018'!V51/100)*'Tariffs Jan2018'!AJ51))</f>
        <v>142.00400000000002</v>
      </c>
      <c r="L57" s="59">
        <f>IF($C$5*'Tariffs Jan2018'!AL51/'Tariffs Jan2018'!AJ51&lt;'Tariffs Jan2018'!K51,0,IF($C$5*'Tariffs Jan2018'!AL51/'Tariffs Jan2018'!AJ51&lt;='Tariffs Jan2018'!L51,($C$5*'Tariffs Jan2018'!AL51/'Tariffs Jan2018'!AJ51-'Tariffs Jan2018'!K51)*('Tariffs Jan2018'!W51/100)*'Tariffs Jan2018'!AJ51,('Tariffs Jan2018'!L51-'Tariffs Jan2018'!K51)*('Tariffs Jan2018'!W51/100)*'Tariffs Jan2018'!AJ51))</f>
        <v>0</v>
      </c>
      <c r="M57" s="59">
        <f>IF($C$5*'Tariffs Jan2018'!AL51/'Tariffs Jan2018'!AJ51&lt;'Tariffs Jan2018'!L51,0,IF($C$5*'Tariffs Jan2018'!AL51/'Tariffs Jan2018'!AJ51&lt;='Tariffs Jan2018'!M51,($C$5*'Tariffs Jan2018'!AL51/'Tariffs Jan2018'!AJ51-'Tariffs Jan2018'!L51)*('Tariffs Jan2018'!X51/100)*'Tariffs Jan2018'!AJ51,('Tariffs Jan2018'!M51-'Tariffs Jan2018'!L51)*('Tariffs Jan2018'!X51/100)*'Tariffs Jan2018'!AJ51))</f>
        <v>0</v>
      </c>
      <c r="N57" s="59">
        <f>IF(($C$5*'Tariffs Jan2018'!AL51/'Tariffs Jan2018'!AJ51&gt;'Tariffs Jan2018'!M51),($C$5*'Tariffs Jan2018'!AL51/'Tariffs Jan2018'!AJ51-'Tariffs Jan2018'!M51)*'Tariffs Jan2018'!Y51/100*'Tariffs Jan2018'!AJ51,0)</f>
        <v>656.90801999999996</v>
      </c>
      <c r="O57" s="271">
        <f t="shared" si="1"/>
        <v>1505.32503</v>
      </c>
      <c r="P57" s="59">
        <f t="shared" si="2"/>
        <v>1764.87653</v>
      </c>
      <c r="Q57" s="272">
        <f t="shared" si="3"/>
        <v>1941.3641830000001</v>
      </c>
      <c r="R57" s="40">
        <f>'Tariffs Jan2018'!AM51</f>
        <v>0</v>
      </c>
      <c r="S57" s="40">
        <f>'Tariffs Jan2018'!AN51</f>
        <v>0</v>
      </c>
      <c r="T57" s="40">
        <f>'Tariffs Jan2018'!AO51</f>
        <v>0</v>
      </c>
      <c r="U57" s="40">
        <f>'Tariffs Jan2018'!AP51</f>
        <v>20</v>
      </c>
      <c r="V57" s="273">
        <f t="shared" si="7"/>
        <v>1764.87653</v>
      </c>
      <c r="W57" s="273">
        <f>V57-(O57*U57/100)</f>
        <v>1463.811524</v>
      </c>
      <c r="X57" s="272">
        <f t="shared" si="4"/>
        <v>1941.3641830000001</v>
      </c>
      <c r="Y57" s="272">
        <f t="shared" si="4"/>
        <v>1610.1926764</v>
      </c>
      <c r="Z57" s="274">
        <f>'Tariffs Jan2018'!AW51</f>
        <v>0</v>
      </c>
      <c r="AA57" s="274" t="str">
        <f>'Tariffs Jan2018'!AX51</f>
        <v>n</v>
      </c>
      <c r="AB57" s="275" t="str">
        <f>'Tariffs Jan2018'!BE51</f>
        <v>Y</v>
      </c>
      <c r="AC57" s="321"/>
      <c r="AD57" s="321"/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</row>
    <row r="58" spans="1:40" x14ac:dyDescent="0.15">
      <c r="A58" s="270" t="str">
        <f>'Tariffs Jan2018'!F52</f>
        <v>Sumo Power</v>
      </c>
      <c r="B58" s="40" t="str">
        <f>'Tariffs Jan2018'!D52</f>
        <v>Envestra Central 2</v>
      </c>
      <c r="C58" s="40" t="str">
        <f>'Tariffs Jan2018'!G52</f>
        <v>Pay on time</v>
      </c>
      <c r="D58" s="59">
        <f>365*'Tariffs Jan2018'!H52/100</f>
        <v>284.7</v>
      </c>
      <c r="E58" s="59">
        <f>IF($C$5*'Tariffs Jan2018'!AK52/'Tariffs Jan2018'!AI52&gt;='Tariffs Jan2018'!J52,( 'Tariffs Jan2018'!J52*'Tariffs Jan2018'!O52/100)* 'Tariffs Jan2018'!AI52,($C$5*'Tariffs Jan2018'!AK52/'Tariffs Jan2018'!AI52*'Tariffs Jan2018'!O52/100)* 'Tariffs Jan2018'!AI52)</f>
        <v>377.16</v>
      </c>
      <c r="F58" s="59">
        <f>IF($C$5*'Tariffs Jan2018'!AK52/'Tariffs Jan2018'!AI52&lt;'Tariffs Jan2018'!J52,0,IF($C$5*'Tariffs Jan2018'!AK52/'Tariffs Jan2018'!AI52&lt;='Tariffs Jan2018'!K52,($C$5*'Tariffs Jan2018'!AK52/'Tariffs Jan2018'!AI52-'Tariffs Jan2018'!J52)*('Tariffs Jan2018'!S52/100)*'Tariffs Jan2018'!AI52,('Tariffs Jan2018'!K52-'Tariffs Jan2018'!J52)*('Tariffs Jan2018'!S52/100)*'Tariffs Jan2018'!AI52))</f>
        <v>217.83915899999994</v>
      </c>
      <c r="G58" s="59">
        <f>IF($C$5*'Tariffs Jan2018'!AK52/'Tariffs Jan2018'!AI52&lt;'Tariffs Jan2018'!K52,0,IF($C$5*'Tariffs Jan2018'!AK52/'Tariffs Jan2018'!AI52&lt;='Tariffs Jan2018'!L52,($C$5*'Tariffs Jan2018'!AK52/'Tariffs Jan2018'!AI52-'Tariffs Jan2018'!K52)*('Tariffs Jan2018'!Q52/100)*'Tariffs Jan2018'!AI52,('Tariffs Jan2018'!L52-'Tariffs Jan2018'!K52)*('Tariffs Jan2018'!Q52/100)*'Tariffs Jan2018'!AI52))</f>
        <v>0</v>
      </c>
      <c r="H58" s="59">
        <f>IF($C$5*'Tariffs Jan2018'!AK52/'Tariffs Jan2018'!AI52&lt;'Tariffs Jan2018'!L52,0,IF($C$5*'Tariffs Jan2018'!AK52/'Tariffs Jan2018'!AI52&lt;='Tariffs Jan2018'!M52,($C$5*'Tariffs Jan2018'!AK52/'Tariffs Jan2018'!AI52-'Tariffs Jan2018'!L52)*('Tariffs Jan2018'!R52/100)*'Tariffs Jan2018'!AI52,('Tariffs Jan2018'!M52-'Tariffs Jan2018'!L52)*('Tariffs Jan2018'!R52/100)*'Tariffs Jan2018'!AI52))</f>
        <v>0</v>
      </c>
      <c r="I58" s="59">
        <f>IF(($C$5*'Tariffs Jan2018'!AK52/'Tariffs Jan2018'!AI52&gt;'Tariffs Jan2018'!M52),($C$5*'Tariffs Jan2018'!AK52/'Tariffs Jan2018'!AI52-'Tariffs Jan2018'!M52)*'Tariffs Jan2018'!S52/100*'Tariffs Jan2018'!AI52,0)</f>
        <v>0</v>
      </c>
      <c r="J58" s="59">
        <f>IF($C$5*'Tariffs Jan2018'!AL52/'Tariffs Jan2018'!AJ52&gt;='Tariffs Jan2018'!J52,('Tariffs Jan2018'!J52*'Tariffs Jan2018'!U52/100)* 'Tariffs Jan2018'!AJ52,($C$5*'Tariffs Jan2018'!AL52/'Tariffs Jan2018'!AJ52*'Tariffs Jan2018'!U52/100)* 'Tariffs Jan2018'!AJ52)</f>
        <v>754.32</v>
      </c>
      <c r="K58" s="59">
        <f>IF($C$5*'Tariffs Jan2018'!AL52/'Tariffs Jan2018'!AJ52&lt;'Tariffs Jan2018'!J52,0,IF($C$5*'Tariffs Jan2018'!AL52/'Tariffs Jan2018'!AJ52&lt;='Tariffs Jan2018'!K52,($C$5*'Tariffs Jan2018'!AL52/'Tariffs Jan2018'!AJ52-'Tariffs Jan2018'!J52)*('Tariffs Jan2018'!V52/100)*'Tariffs Jan2018'!AJ52,('Tariffs Jan2018'!K52-'Tariffs Jan2018'!J52)*('Tariffs Jan2018'!V52/100)*'Tariffs Jan2018'!AJ52))</f>
        <v>540.23391599999979</v>
      </c>
      <c r="L58" s="59">
        <f>IF($C$5*'Tariffs Jan2018'!AL52/'Tariffs Jan2018'!AJ52&lt;'Tariffs Jan2018'!K52,0,IF($C$5*'Tariffs Jan2018'!AL52/'Tariffs Jan2018'!AJ52&lt;='Tariffs Jan2018'!L52,($C$5*'Tariffs Jan2018'!AL52/'Tariffs Jan2018'!AJ52-'Tariffs Jan2018'!K52)*('Tariffs Jan2018'!W52/100)*'Tariffs Jan2018'!AJ52,('Tariffs Jan2018'!L52-'Tariffs Jan2018'!K52)*('Tariffs Jan2018'!W52/100)*'Tariffs Jan2018'!AJ52))</f>
        <v>0</v>
      </c>
      <c r="M58" s="59">
        <f>IF($C$5*'Tariffs Jan2018'!AL52/'Tariffs Jan2018'!AJ52&lt;'Tariffs Jan2018'!L52,0,IF($C$5*'Tariffs Jan2018'!AL52/'Tariffs Jan2018'!AJ52&lt;='Tariffs Jan2018'!M52,($C$5*'Tariffs Jan2018'!AL52/'Tariffs Jan2018'!AJ52-'Tariffs Jan2018'!L52)*('Tariffs Jan2018'!X52/100)*'Tariffs Jan2018'!AJ52,('Tariffs Jan2018'!M52-'Tariffs Jan2018'!L52)*('Tariffs Jan2018'!X52/100)*'Tariffs Jan2018'!AJ52))</f>
        <v>0</v>
      </c>
      <c r="N58" s="59">
        <f>IF(($C$5*'Tariffs Jan2018'!AL52/'Tariffs Jan2018'!AJ52&gt;'Tariffs Jan2018'!M52),($C$5*'Tariffs Jan2018'!AL52/'Tariffs Jan2018'!AJ52-'Tariffs Jan2018'!M52)*'Tariffs Jan2018'!Y52/100*'Tariffs Jan2018'!AJ52,0)</f>
        <v>0</v>
      </c>
      <c r="O58" s="271">
        <f>SUM(E58:N58)</f>
        <v>1889.5530749999998</v>
      </c>
      <c r="P58" s="59">
        <f>D58+O58</f>
        <v>2174.2530749999996</v>
      </c>
      <c r="Q58" s="272">
        <f>P58*1.1</f>
        <v>2391.6783824999998</v>
      </c>
      <c r="R58" s="40">
        <f>'Tariffs Jan2018'!AM52</f>
        <v>0</v>
      </c>
      <c r="S58" s="40">
        <f>'Tariffs Jan2018'!AN52</f>
        <v>0</v>
      </c>
      <c r="T58" s="40">
        <f>'Tariffs Jan2018'!AO52</f>
        <v>0</v>
      </c>
      <c r="U58" s="40">
        <f>'Tariffs Jan2018'!AP52</f>
        <v>17</v>
      </c>
      <c r="V58" s="273">
        <f t="shared" si="7"/>
        <v>2174.2530749999996</v>
      </c>
      <c r="W58" s="273">
        <f>V58-(O58*U58/100)</f>
        <v>1853.0290522499997</v>
      </c>
      <c r="X58" s="272">
        <f>V58*1.1</f>
        <v>2391.6783824999998</v>
      </c>
      <c r="Y58" s="272">
        <f>W58*1.1</f>
        <v>2038.3319574749999</v>
      </c>
      <c r="Z58" s="274">
        <f>'Tariffs Jan2018'!AW52</f>
        <v>0</v>
      </c>
      <c r="AA58" s="274" t="str">
        <f>'Tariffs Jan2018'!AX52</f>
        <v>n</v>
      </c>
      <c r="AB58" s="275" t="str">
        <f>'Tariffs Jan2018'!BE52</f>
        <v>Y</v>
      </c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</row>
    <row r="59" spans="1:40" ht="14" thickBot="1" x14ac:dyDescent="0.2">
      <c r="A59" s="276" t="str">
        <f>'Tariffs Jan2018'!F53</f>
        <v>Amaysim</v>
      </c>
      <c r="B59" s="277" t="str">
        <f>'Tariffs Jan2018'!D53</f>
        <v>Envestra Central 2</v>
      </c>
      <c r="C59" s="277" t="str">
        <f>'Tariffs Jan2018'!G53</f>
        <v>Gas 3</v>
      </c>
      <c r="D59" s="278">
        <f>365*'Tariffs Jan2018'!H53/100</f>
        <v>292.73</v>
      </c>
      <c r="E59" s="278">
        <f>IF($C$5*'Tariffs Jan2018'!AK53/'Tariffs Jan2018'!AI53&gt;='Tariffs Jan2018'!J53,( 'Tariffs Jan2018'!J53*'Tariffs Jan2018'!O53/100)* 'Tariffs Jan2018'!AI53,($C$5*'Tariffs Jan2018'!AK53/'Tariffs Jan2018'!AI53*'Tariffs Jan2018'!O53/100)* 'Tariffs Jan2018'!AI53)</f>
        <v>123.375</v>
      </c>
      <c r="F59" s="278">
        <f>IF($C$5*'Tariffs Jan2018'!AK53/'Tariffs Jan2018'!AI53&lt;'Tariffs Jan2018'!J53,0,IF($C$5*'Tariffs Jan2018'!AK53/'Tariffs Jan2018'!AI53&lt;='Tariffs Jan2018'!K53,($C$5*'Tariffs Jan2018'!AK53/'Tariffs Jan2018'!AI53-'Tariffs Jan2018'!J53)*('Tariffs Jan2018'!P53/100)*'Tariffs Jan2018'!AI53,('Tariffs Jan2018'!K53-'Tariffs Jan2018'!J53)*('Tariffs Jan2018'!P53/100)*'Tariffs Jan2018'!AI53))</f>
        <v>86.72</v>
      </c>
      <c r="G59" s="278">
        <f>IF($C$5*'Tariffs Jan2018'!AK53/'Tariffs Jan2018'!AI53&lt;'Tariffs Jan2018'!K53,0,IF($C$5*'Tariffs Jan2018'!AK53/'Tariffs Jan2018'!AI53&lt;='Tariffs Jan2018'!L53,($C$5*'Tariffs Jan2018'!AK53/'Tariffs Jan2018'!AI53-'Tariffs Jan2018'!K53)*('Tariffs Jan2018'!Q53/100)*'Tariffs Jan2018'!AI53,('Tariffs Jan2018'!L53-'Tariffs Jan2018'!K53)*('Tariffs Jan2018'!Q53/100)*'Tariffs Jan2018'!AI53))</f>
        <v>0</v>
      </c>
      <c r="H59" s="278">
        <f>IF($C$5*'Tariffs Jan2018'!AK53/'Tariffs Jan2018'!AI53&lt;'Tariffs Jan2018'!L53,0,IF($C$5*'Tariffs Jan2018'!AK53/'Tariffs Jan2018'!AI53&lt;='Tariffs Jan2018'!M53,($C$5*'Tariffs Jan2018'!AK53/'Tariffs Jan2018'!AI53-'Tariffs Jan2018'!L53)*('Tariffs Jan2018'!R53/100)*'Tariffs Jan2018'!AI53,('Tariffs Jan2018'!M53-'Tariffs Jan2018'!L53)*('Tariffs Jan2018'!R53/100)*'Tariffs Jan2018'!AI53))</f>
        <v>0</v>
      </c>
      <c r="I59" s="278">
        <f>IF(($C$5*'Tariffs Jan2018'!AK53/'Tariffs Jan2018'!AI53&gt;'Tariffs Jan2018'!M53),($C$5*'Tariffs Jan2018'!AK53/'Tariffs Jan2018'!AI53-'Tariffs Jan2018'!M53)*'Tariffs Jan2018'!S53/100*'Tariffs Jan2018'!AI53,0)</f>
        <v>412.44224999999989</v>
      </c>
      <c r="J59" s="278">
        <f>IF($C$5*'Tariffs Jan2018'!AL53/'Tariffs Jan2018'!AJ53&gt;='Tariffs Jan2018'!J53,('Tariffs Jan2018'!J53*'Tariffs Jan2018'!U53/100)* 'Tariffs Jan2018'!AJ53,($C$5*'Tariffs Jan2018'!AL53/'Tariffs Jan2018'!AJ53*'Tariffs Jan2018'!U53/100)* 'Tariffs Jan2018'!AJ53)</f>
        <v>246.75</v>
      </c>
      <c r="K59" s="278">
        <f>IF($C$5*'Tariffs Jan2018'!AL53/'Tariffs Jan2018'!AJ53&lt;'Tariffs Jan2018'!J53,0,IF($C$5*'Tariffs Jan2018'!AL53/'Tariffs Jan2018'!AJ53&lt;='Tariffs Jan2018'!K53,($C$5*'Tariffs Jan2018'!AL53/'Tariffs Jan2018'!AJ53-'Tariffs Jan2018'!J53)*('Tariffs Jan2018'!V53/100)*'Tariffs Jan2018'!AJ53,('Tariffs Jan2018'!K53-'Tariffs Jan2018'!J53)*('Tariffs Jan2018'!V53/100)*'Tariffs Jan2018'!AJ53))</f>
        <v>173.44</v>
      </c>
      <c r="L59" s="278">
        <f>IF($C$5*'Tariffs Jan2018'!AL53/'Tariffs Jan2018'!AJ53&lt;'Tariffs Jan2018'!K53,0,IF($C$5*'Tariffs Jan2018'!AL53/'Tariffs Jan2018'!AJ53&lt;='Tariffs Jan2018'!L53,($C$5*'Tariffs Jan2018'!AL53/'Tariffs Jan2018'!AJ53-'Tariffs Jan2018'!K53)*('Tariffs Jan2018'!W53/100)*'Tariffs Jan2018'!AJ53,('Tariffs Jan2018'!L53-'Tariffs Jan2018'!K53)*('Tariffs Jan2018'!W53/100)*'Tariffs Jan2018'!AJ53))</f>
        <v>0</v>
      </c>
      <c r="M59" s="278">
        <f>IF($C$5*'Tariffs Jan2018'!AL53/'Tariffs Jan2018'!AJ53&lt;'Tariffs Jan2018'!L53,0,IF($C$5*'Tariffs Jan2018'!AL53/'Tariffs Jan2018'!AJ53&lt;='Tariffs Jan2018'!M53,($C$5*'Tariffs Jan2018'!AL53/'Tariffs Jan2018'!AJ53-'Tariffs Jan2018'!L53)*('Tariffs Jan2018'!X53/100)*'Tariffs Jan2018'!AJ53,('Tariffs Jan2018'!M53-'Tariffs Jan2018'!L53)*('Tariffs Jan2018'!X53/100)*'Tariffs Jan2018'!AJ53))</f>
        <v>0</v>
      </c>
      <c r="N59" s="278">
        <f>IF(($C$5*'Tariffs Jan2018'!AL53/'Tariffs Jan2018'!AJ53&gt;'Tariffs Jan2018'!M53),($C$5*'Tariffs Jan2018'!AL53/'Tariffs Jan2018'!AJ53-'Tariffs Jan2018'!M53)*'Tariffs Jan2018'!Y53/100*'Tariffs Jan2018'!AJ53,0)</f>
        <v>824.88449999999978</v>
      </c>
      <c r="O59" s="279">
        <f>SUM(E59:N59)</f>
        <v>1867.6117499999996</v>
      </c>
      <c r="P59" s="278">
        <f>D59+O59</f>
        <v>2160.3417499999996</v>
      </c>
      <c r="Q59" s="280">
        <f>P59*1.1</f>
        <v>2376.3759249999998</v>
      </c>
      <c r="R59" s="277">
        <f>'Tariffs Jan2018'!AM53</f>
        <v>0</v>
      </c>
      <c r="S59" s="277">
        <f>'Tariffs Jan2018'!AN53</f>
        <v>0</v>
      </c>
      <c r="T59" s="277">
        <f>'Tariffs Jan2018'!AO53</f>
        <v>28</v>
      </c>
      <c r="U59" s="277">
        <f>'Tariffs Jan2018'!AP53</f>
        <v>0</v>
      </c>
      <c r="V59" s="281">
        <f t="shared" si="7"/>
        <v>2160.3417499999996</v>
      </c>
      <c r="W59" s="281">
        <f>V59-(P59*T59/100)</f>
        <v>1555.4460599999998</v>
      </c>
      <c r="X59" s="280">
        <f>V59*1.1</f>
        <v>2376.3759249999998</v>
      </c>
      <c r="Y59" s="280">
        <f>W59*1.1</f>
        <v>1710.9906659999999</v>
      </c>
      <c r="Z59" s="282">
        <f>'Tariffs Jan2018'!AW53</f>
        <v>0</v>
      </c>
      <c r="AA59" s="282" t="str">
        <f>'Tariffs Jan2018'!AX53</f>
        <v>n</v>
      </c>
      <c r="AB59" s="283" t="str">
        <f>'Tariffs Jan2018'!BE53</f>
        <v>N</v>
      </c>
      <c r="AC59" s="321"/>
      <c r="AD59" s="321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</row>
    <row r="60" spans="1:40" ht="14" thickTop="1" x14ac:dyDescent="0.15">
      <c r="A60" s="270" t="str">
        <f>'Tariffs Jan2018'!F54</f>
        <v>AGL</v>
      </c>
      <c r="B60" s="40" t="str">
        <f>'Tariffs Jan2018'!D54</f>
        <v>Envestra Central 1</v>
      </c>
      <c r="C60" s="40" t="str">
        <f>'Tariffs Jan2018'!G54</f>
        <v>Savers</v>
      </c>
      <c r="D60" s="59">
        <f>365*'Tariffs Jan2018'!H54/100</f>
        <v>288.35000000000002</v>
      </c>
      <c r="E60" s="59">
        <f>IF($C$5*'Tariffs Jan2018'!AK54/'Tariffs Jan2018'!AI54&gt;='Tariffs Jan2018'!J54,( 'Tariffs Jan2018'!J54*'Tariffs Jan2018'!O54/100)* 'Tariffs Jan2018'!AI54,($C$5*'Tariffs Jan2018'!AK54/'Tariffs Jan2018'!AI54*'Tariffs Jan2018'!O54/100)* 'Tariffs Jan2018'!AI54)</f>
        <v>94.423000000000016</v>
      </c>
      <c r="F60" s="59">
        <f>IF($C$5*'Tariffs Jan2018'!AK54/'Tariffs Jan2018'!AI54&lt;'Tariffs Jan2018'!J54,0,IF($C$5*'Tariffs Jan2018'!AK54/'Tariffs Jan2018'!AI54&lt;='Tariffs Jan2018'!K54,($C$5*'Tariffs Jan2018'!AK54/'Tariffs Jan2018'!AI54-'Tariffs Jan2018'!J54)*('Tariffs Jan2018'!P54/100)*'Tariffs Jan2018'!AI54,('Tariffs Jan2018'!K54-'Tariffs Jan2018'!J54)*('Tariffs Jan2018'!P54/100)*'Tariffs Jan2018'!AI54))</f>
        <v>66.665999999999997</v>
      </c>
      <c r="G60" s="59">
        <f>IF($C$5*'Tariffs Jan2018'!AK54/'Tariffs Jan2018'!AI54&lt;'Tariffs Jan2018'!K54,0,IF($C$5*'Tariffs Jan2018'!AK54/'Tariffs Jan2018'!AI54&lt;='Tariffs Jan2018'!L54,($C$5*'Tariffs Jan2018'!AK54/'Tariffs Jan2018'!AI54-'Tariffs Jan2018'!K54)*('Tariffs Jan2018'!Q54/100)*'Tariffs Jan2018'!AI54,('Tariffs Jan2018'!L54-'Tariffs Jan2018'!K54)*('Tariffs Jan2018'!Q54/100)*'Tariffs Jan2018'!AI54))</f>
        <v>0</v>
      </c>
      <c r="H60" s="59">
        <f>IF($C$5*'Tariffs Jan2018'!AK54/'Tariffs Jan2018'!AI54&lt;'Tariffs Jan2018'!L54,0,IF($C$5*'Tariffs Jan2018'!AK54/'Tariffs Jan2018'!AI54&lt;='Tariffs Jan2018'!M54,($C$5*'Tariffs Jan2018'!AK54/'Tariffs Jan2018'!AI54-'Tariffs Jan2018'!L54)*('Tariffs Jan2018'!R54/100)*'Tariffs Jan2018'!AI54,('Tariffs Jan2018'!M54-'Tariffs Jan2018'!L54)*('Tariffs Jan2018'!R54/100)*'Tariffs Jan2018'!AI54))</f>
        <v>0</v>
      </c>
      <c r="I60" s="59">
        <f>IF(($C$5*'Tariffs Jan2018'!AK54/'Tariffs Jan2018'!AI54&gt;'Tariffs Jan2018'!M54),($C$5*'Tariffs Jan2018'!AK54/'Tariffs Jan2018'!AI54-'Tariffs Jan2018'!M54)*'Tariffs Jan2018'!S54/100*'Tariffs Jan2018'!AI54,0)</f>
        <v>293.95883999999995</v>
      </c>
      <c r="J60" s="59">
        <f>IF($C$5*'Tariffs Jan2018'!AL54/'Tariffs Jan2018'!AJ54&gt;='Tariffs Jan2018'!J54,('Tariffs Jan2018'!J54*'Tariffs Jan2018'!U54/100)* 'Tariffs Jan2018'!AJ54,($C$5*'Tariffs Jan2018'!AL54/'Tariffs Jan2018'!AJ54*'Tariffs Jan2018'!U54/100)* 'Tariffs Jan2018'!AJ54)</f>
        <v>188.84600000000003</v>
      </c>
      <c r="K60" s="59">
        <f>IF($C$5*'Tariffs Jan2018'!AL54/'Tariffs Jan2018'!AJ54&lt;'Tariffs Jan2018'!J54,0,IF($C$5*'Tariffs Jan2018'!AL54/'Tariffs Jan2018'!AJ54&lt;='Tariffs Jan2018'!K54,($C$5*'Tariffs Jan2018'!AL54/'Tariffs Jan2018'!AJ54-'Tariffs Jan2018'!J54)*('Tariffs Jan2018'!V54/100)*'Tariffs Jan2018'!AJ54,('Tariffs Jan2018'!K54-'Tariffs Jan2018'!J54)*('Tariffs Jan2018'!V54/100)*'Tariffs Jan2018'!AJ54))</f>
        <v>133.33199999999999</v>
      </c>
      <c r="L60" s="59">
        <f>IF($C$5*'Tariffs Jan2018'!AL54/'Tariffs Jan2018'!AJ54&lt;'Tariffs Jan2018'!K54,0,IF($C$5*'Tariffs Jan2018'!AL54/'Tariffs Jan2018'!AJ54&lt;='Tariffs Jan2018'!L54,($C$5*'Tariffs Jan2018'!AL54/'Tariffs Jan2018'!AJ54-'Tariffs Jan2018'!K54)*('Tariffs Jan2018'!W54/100)*'Tariffs Jan2018'!AJ54,('Tariffs Jan2018'!L54-'Tariffs Jan2018'!K54)*('Tariffs Jan2018'!W54/100)*'Tariffs Jan2018'!AJ54))</f>
        <v>0</v>
      </c>
      <c r="M60" s="59">
        <f>IF($C$5*'Tariffs Jan2018'!AL54/'Tariffs Jan2018'!AJ54&lt;'Tariffs Jan2018'!L54,0,IF($C$5*'Tariffs Jan2018'!AL54/'Tariffs Jan2018'!AJ54&lt;='Tariffs Jan2018'!M54,($C$5*'Tariffs Jan2018'!AL54/'Tariffs Jan2018'!AJ54-'Tariffs Jan2018'!L54)*('Tariffs Jan2018'!X54/100)*'Tariffs Jan2018'!AJ54,('Tariffs Jan2018'!M54-'Tariffs Jan2018'!L54)*('Tariffs Jan2018'!X54/100)*'Tariffs Jan2018'!AJ54))</f>
        <v>0</v>
      </c>
      <c r="N60" s="59">
        <f>IF(($C$5*'Tariffs Jan2018'!AL54/'Tariffs Jan2018'!AJ54&gt;'Tariffs Jan2018'!M54),($C$5*'Tariffs Jan2018'!AL54/'Tariffs Jan2018'!AJ54-'Tariffs Jan2018'!M54)*'Tariffs Jan2018'!Y54/100*'Tariffs Jan2018'!AJ54,0)</f>
        <v>587.9176799999999</v>
      </c>
      <c r="O60" s="271">
        <f t="shared" si="1"/>
        <v>1365.1435199999999</v>
      </c>
      <c r="P60" s="59">
        <f t="shared" si="2"/>
        <v>1653.49352</v>
      </c>
      <c r="Q60" s="272">
        <f t="shared" si="3"/>
        <v>1818.8428720000002</v>
      </c>
      <c r="R60" s="40">
        <f>'Tariffs Jan2018'!AM54</f>
        <v>0</v>
      </c>
      <c r="S60" s="40">
        <f>'Tariffs Jan2018'!AN54</f>
        <v>0</v>
      </c>
      <c r="T60" s="40">
        <f>'Tariffs Jan2018'!AO54</f>
        <v>0</v>
      </c>
      <c r="U60" s="40">
        <f>'Tariffs Jan2018'!AP54</f>
        <v>12</v>
      </c>
      <c r="V60" s="273">
        <f>P60</f>
        <v>1653.49352</v>
      </c>
      <c r="W60" s="273">
        <f>V60-(O60*U60/100)</f>
        <v>1489.6762976</v>
      </c>
      <c r="X60" s="272">
        <f t="shared" si="4"/>
        <v>1818.8428720000002</v>
      </c>
      <c r="Y60" s="272">
        <f t="shared" si="4"/>
        <v>1638.6439273600001</v>
      </c>
      <c r="Z60" s="274">
        <f>'Tariffs Jan2018'!AW54</f>
        <v>0</v>
      </c>
      <c r="AA60" s="274" t="str">
        <f>'Tariffs Jan2018'!AX54</f>
        <v>n</v>
      </c>
      <c r="AB60" s="275" t="str">
        <f>'Tariffs Jan2018'!BE54</f>
        <v>N</v>
      </c>
      <c r="AC60" s="321"/>
      <c r="AD60" s="321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</row>
    <row r="61" spans="1:40" x14ac:dyDescent="0.15">
      <c r="A61" s="270" t="str">
        <f>'Tariffs Jan2018'!F55</f>
        <v>Alinta Energy</v>
      </c>
      <c r="B61" s="40" t="str">
        <f>'Tariffs Jan2018'!D55</f>
        <v>Envestra Central 1</v>
      </c>
      <c r="C61" s="40" t="str">
        <f>'Tariffs Jan2018'!G55</f>
        <v>Fair Deal</v>
      </c>
      <c r="D61" s="59">
        <f>365*'Tariffs Jan2018'!H55/100</f>
        <v>251.85</v>
      </c>
      <c r="E61" s="59">
        <f>IF($C$5*'Tariffs Jan2018'!AK55/'Tariffs Jan2018'!AI55&gt;='Tariffs Jan2018'!J55,( 'Tariffs Jan2018'!J55*'Tariffs Jan2018'!O55/100)* 'Tariffs Jan2018'!AI55,($C$5*'Tariffs Jan2018'!AK55/'Tariffs Jan2018'!AI55*'Tariffs Jan2018'!O55/100)* 'Tariffs Jan2018'!AI55)</f>
        <v>93.765000000000001</v>
      </c>
      <c r="F61" s="59">
        <f>IF($C$5*'Tariffs Jan2018'!AK55/'Tariffs Jan2018'!AI55&lt;'Tariffs Jan2018'!J55,0,IF($C$5*'Tariffs Jan2018'!AK55/'Tariffs Jan2018'!AI55&lt;='Tariffs Jan2018'!K55,($C$5*'Tariffs Jan2018'!AK55/'Tariffs Jan2018'!AI55-'Tariffs Jan2018'!J55)*('Tariffs Jan2018'!P55/100)*'Tariffs Jan2018'!AI55,('Tariffs Jan2018'!K55-'Tariffs Jan2018'!J55)*('Tariffs Jan2018'!P55/100)*'Tariffs Jan2018'!AI55))</f>
        <v>66.123999999999995</v>
      </c>
      <c r="G61" s="59">
        <f>IF($C$5*'Tariffs Jan2018'!AK55/'Tariffs Jan2018'!AI55&lt;'Tariffs Jan2018'!K55,0,IF($C$5*'Tariffs Jan2018'!AK55/'Tariffs Jan2018'!AI55&lt;='Tariffs Jan2018'!L55,($C$5*'Tariffs Jan2018'!AK55/'Tariffs Jan2018'!AI55-'Tariffs Jan2018'!K55)*('Tariffs Jan2018'!Q55/100)*'Tariffs Jan2018'!AI55,('Tariffs Jan2018'!L55-'Tariffs Jan2018'!K55)*('Tariffs Jan2018'!Q55/100)*'Tariffs Jan2018'!AI55))</f>
        <v>0</v>
      </c>
      <c r="H61" s="59">
        <f>IF($C$5*'Tariffs Jan2018'!AK55/'Tariffs Jan2018'!AI55&lt;'Tariffs Jan2018'!L55,0,IF($C$5*'Tariffs Jan2018'!AK55/'Tariffs Jan2018'!AI55&lt;='Tariffs Jan2018'!M55,($C$5*'Tariffs Jan2018'!AK55/'Tariffs Jan2018'!AI55-'Tariffs Jan2018'!L55)*('Tariffs Jan2018'!R55/100)*'Tariffs Jan2018'!AI55,('Tariffs Jan2018'!M55-'Tariffs Jan2018'!L55)*('Tariffs Jan2018'!R55/100)*'Tariffs Jan2018'!AI55))</f>
        <v>0</v>
      </c>
      <c r="I61" s="59">
        <f>IF(($C$5*'Tariffs Jan2018'!AK55/'Tariffs Jan2018'!AI55&gt;'Tariffs Jan2018'!M55),($C$5*'Tariffs Jan2018'!AK55/'Tariffs Jan2018'!AI55-'Tariffs Jan2018'!M55)*'Tariffs Jan2018'!S55/100*'Tariffs Jan2018'!AI55,0)</f>
        <v>287.95967999999993</v>
      </c>
      <c r="J61" s="59">
        <f>IF($C$5*'Tariffs Jan2018'!AL55/'Tariffs Jan2018'!AJ55&gt;='Tariffs Jan2018'!J55,('Tariffs Jan2018'!J55*'Tariffs Jan2018'!U55/100)* 'Tariffs Jan2018'!AJ55,($C$5*'Tariffs Jan2018'!AL55/'Tariffs Jan2018'!AJ55*'Tariffs Jan2018'!U55/100)* 'Tariffs Jan2018'!AJ55)</f>
        <v>187.53</v>
      </c>
      <c r="K61" s="59">
        <f>IF($C$5*'Tariffs Jan2018'!AL55/'Tariffs Jan2018'!AJ55&lt;'Tariffs Jan2018'!J55,0,IF($C$5*'Tariffs Jan2018'!AL55/'Tariffs Jan2018'!AJ55&lt;='Tariffs Jan2018'!K55,($C$5*'Tariffs Jan2018'!AL55/'Tariffs Jan2018'!AJ55-'Tariffs Jan2018'!J55)*('Tariffs Jan2018'!V55/100)*'Tariffs Jan2018'!AJ55,('Tariffs Jan2018'!K55-'Tariffs Jan2018'!J55)*('Tariffs Jan2018'!V55/100)*'Tariffs Jan2018'!AJ55))</f>
        <v>132.24799999999999</v>
      </c>
      <c r="L61" s="59">
        <f>IF($C$5*'Tariffs Jan2018'!AL55/'Tariffs Jan2018'!AJ55&lt;'Tariffs Jan2018'!K55,0,IF($C$5*'Tariffs Jan2018'!AL55/'Tariffs Jan2018'!AJ55&lt;='Tariffs Jan2018'!L55,($C$5*'Tariffs Jan2018'!AL55/'Tariffs Jan2018'!AJ55-'Tariffs Jan2018'!K55)*('Tariffs Jan2018'!W55/100)*'Tariffs Jan2018'!AJ55,('Tariffs Jan2018'!L55-'Tariffs Jan2018'!K55)*('Tariffs Jan2018'!W55/100)*'Tariffs Jan2018'!AJ55))</f>
        <v>0</v>
      </c>
      <c r="M61" s="59">
        <f>IF($C$5*'Tariffs Jan2018'!AL55/'Tariffs Jan2018'!AJ55&lt;'Tariffs Jan2018'!L55,0,IF($C$5*'Tariffs Jan2018'!AL55/'Tariffs Jan2018'!AJ55&lt;='Tariffs Jan2018'!M55,($C$5*'Tariffs Jan2018'!AL55/'Tariffs Jan2018'!AJ55-'Tariffs Jan2018'!L55)*('Tariffs Jan2018'!X55/100)*'Tariffs Jan2018'!AJ55,('Tariffs Jan2018'!M55-'Tariffs Jan2018'!L55)*('Tariffs Jan2018'!X55/100)*'Tariffs Jan2018'!AJ55))</f>
        <v>0</v>
      </c>
      <c r="N61" s="59">
        <f>IF(($C$5*'Tariffs Jan2018'!AL55/'Tariffs Jan2018'!AJ55&gt;'Tariffs Jan2018'!M55),($C$5*'Tariffs Jan2018'!AL55/'Tariffs Jan2018'!AJ55-'Tariffs Jan2018'!M55)*'Tariffs Jan2018'!Y55/100*'Tariffs Jan2018'!AJ55,0)</f>
        <v>575.91935999999987</v>
      </c>
      <c r="O61" s="271">
        <f t="shared" si="1"/>
        <v>1343.5460399999997</v>
      </c>
      <c r="P61" s="59">
        <f t="shared" si="2"/>
        <v>1595.3960399999996</v>
      </c>
      <c r="Q61" s="272">
        <f t="shared" si="3"/>
        <v>1754.9356439999997</v>
      </c>
      <c r="R61" s="40">
        <f>'Tariffs Jan2018'!AM55</f>
        <v>0</v>
      </c>
      <c r="S61" s="40">
        <f>'Tariffs Jan2018'!AN55</f>
        <v>0</v>
      </c>
      <c r="T61" s="40">
        <f>'Tariffs Jan2018'!AO55</f>
        <v>0</v>
      </c>
      <c r="U61" s="40">
        <f>'Tariffs Jan2018'!AP55</f>
        <v>25</v>
      </c>
      <c r="V61" s="273">
        <f t="shared" ref="V61:V72" si="8">P61</f>
        <v>1595.3960399999996</v>
      </c>
      <c r="W61" s="273">
        <f>V61-(O61*U61/100)</f>
        <v>1259.5095299999998</v>
      </c>
      <c r="X61" s="272">
        <f t="shared" si="4"/>
        <v>1754.9356439999997</v>
      </c>
      <c r="Y61" s="272">
        <f t="shared" si="4"/>
        <v>1385.4604829999998</v>
      </c>
      <c r="Z61" s="274">
        <f>'Tariffs Jan2018'!AW55</f>
        <v>0</v>
      </c>
      <c r="AA61" s="274" t="str">
        <f>'Tariffs Jan2018'!AX55</f>
        <v>n</v>
      </c>
      <c r="AB61" s="275" t="str">
        <f>'Tariffs Jan2018'!BE55</f>
        <v>Y</v>
      </c>
      <c r="AC61" s="321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</row>
    <row r="62" spans="1:40" x14ac:dyDescent="0.15">
      <c r="A62" s="270" t="str">
        <f>'Tariffs Jan2018'!F56</f>
        <v>Click Energy</v>
      </c>
      <c r="B62" s="40" t="str">
        <f>'Tariffs Jan2018'!D56</f>
        <v>Envestra Central 1</v>
      </c>
      <c r="C62" s="40" t="str">
        <f>'Tariffs Jan2018'!G56</f>
        <v>Amber</v>
      </c>
      <c r="D62" s="59">
        <f>365*'Tariffs Jan2018'!H56/100</f>
        <v>292.73</v>
      </c>
      <c r="E62" s="59">
        <f>IF($C$5*'Tariffs Jan2018'!AK56/'Tariffs Jan2018'!AI56&gt;='Tariffs Jan2018'!J56,( 'Tariffs Jan2018'!J56*'Tariffs Jan2018'!O56/100)* 'Tariffs Jan2018'!AI56,($C$5*'Tariffs Jan2018'!AK56/'Tariffs Jan2018'!AI56*'Tariffs Jan2018'!O56/100)* 'Tariffs Jan2018'!AI56)</f>
        <v>123.375</v>
      </c>
      <c r="F62" s="59">
        <f>IF($C$5*'Tariffs Jan2018'!AK56/'Tariffs Jan2018'!AI56&lt;'Tariffs Jan2018'!J56,0,IF($C$5*'Tariffs Jan2018'!AK56/'Tariffs Jan2018'!AI56&lt;='Tariffs Jan2018'!K56,($C$5*'Tariffs Jan2018'!AK56/'Tariffs Jan2018'!AI56-'Tariffs Jan2018'!J56)*('Tariffs Jan2018'!P56/100)*'Tariffs Jan2018'!AI56,('Tariffs Jan2018'!K56-'Tariffs Jan2018'!J56)*('Tariffs Jan2018'!P56/100)*'Tariffs Jan2018'!AI56))</f>
        <v>86.72</v>
      </c>
      <c r="G62" s="59">
        <f>IF($C$5*'Tariffs Jan2018'!AK56/'Tariffs Jan2018'!AI56&lt;'Tariffs Jan2018'!K56,0,IF($C$5*'Tariffs Jan2018'!AK56/'Tariffs Jan2018'!AI56&lt;='Tariffs Jan2018'!L56,($C$5*'Tariffs Jan2018'!AK56/'Tariffs Jan2018'!AI56-'Tariffs Jan2018'!K56)*('Tariffs Jan2018'!Q56/100)*'Tariffs Jan2018'!AI56,('Tariffs Jan2018'!L56-'Tariffs Jan2018'!K56)*('Tariffs Jan2018'!Q56/100)*'Tariffs Jan2018'!AI56))</f>
        <v>0</v>
      </c>
      <c r="H62" s="59">
        <f>IF($C$5*'Tariffs Jan2018'!AK56/'Tariffs Jan2018'!AI56&lt;'Tariffs Jan2018'!L56,0,IF($C$5*'Tariffs Jan2018'!AK56/'Tariffs Jan2018'!AI56&lt;='Tariffs Jan2018'!M56,($C$5*'Tariffs Jan2018'!AK56/'Tariffs Jan2018'!AI56-'Tariffs Jan2018'!L56)*('Tariffs Jan2018'!R56/100)*'Tariffs Jan2018'!AI56,('Tariffs Jan2018'!M56-'Tariffs Jan2018'!L56)*('Tariffs Jan2018'!R56/100)*'Tariffs Jan2018'!AI56))</f>
        <v>0</v>
      </c>
      <c r="I62" s="59">
        <f>IF(($C$5*'Tariffs Jan2018'!AK56/'Tariffs Jan2018'!AI56&gt;'Tariffs Jan2018'!M56),($C$5*'Tariffs Jan2018'!AK56/'Tariffs Jan2018'!AI56-'Tariffs Jan2018'!M56)*'Tariffs Jan2018'!S56/100*'Tariffs Jan2018'!AI56,0)</f>
        <v>412.44224999999989</v>
      </c>
      <c r="J62" s="59">
        <f>IF($C$5*'Tariffs Jan2018'!AL56/'Tariffs Jan2018'!AJ56&gt;='Tariffs Jan2018'!J56,('Tariffs Jan2018'!J56*'Tariffs Jan2018'!U56/100)* 'Tariffs Jan2018'!AJ56,($C$5*'Tariffs Jan2018'!AL56/'Tariffs Jan2018'!AJ56*'Tariffs Jan2018'!U56/100)* 'Tariffs Jan2018'!AJ56)</f>
        <v>246.75</v>
      </c>
      <c r="K62" s="59">
        <f>IF($C$5*'Tariffs Jan2018'!AL56/'Tariffs Jan2018'!AJ56&lt;'Tariffs Jan2018'!J56,0,IF($C$5*'Tariffs Jan2018'!AL56/'Tariffs Jan2018'!AJ56&lt;='Tariffs Jan2018'!K56,($C$5*'Tariffs Jan2018'!AL56/'Tariffs Jan2018'!AJ56-'Tariffs Jan2018'!J56)*('Tariffs Jan2018'!V56/100)*'Tariffs Jan2018'!AJ56,('Tariffs Jan2018'!K56-'Tariffs Jan2018'!J56)*('Tariffs Jan2018'!V56/100)*'Tariffs Jan2018'!AJ56))</f>
        <v>173.44</v>
      </c>
      <c r="L62" s="59">
        <f>IF($C$5*'Tariffs Jan2018'!AL56/'Tariffs Jan2018'!AJ56&lt;'Tariffs Jan2018'!K56,0,IF($C$5*'Tariffs Jan2018'!AL56/'Tariffs Jan2018'!AJ56&lt;='Tariffs Jan2018'!L56,($C$5*'Tariffs Jan2018'!AL56/'Tariffs Jan2018'!AJ56-'Tariffs Jan2018'!K56)*('Tariffs Jan2018'!W56/100)*'Tariffs Jan2018'!AJ56,('Tariffs Jan2018'!L56-'Tariffs Jan2018'!K56)*('Tariffs Jan2018'!W56/100)*'Tariffs Jan2018'!AJ56))</f>
        <v>0</v>
      </c>
      <c r="M62" s="59">
        <f>IF($C$5*'Tariffs Jan2018'!AL56/'Tariffs Jan2018'!AJ56&lt;'Tariffs Jan2018'!L56,0,IF($C$5*'Tariffs Jan2018'!AL56/'Tariffs Jan2018'!AJ56&lt;='Tariffs Jan2018'!M56,($C$5*'Tariffs Jan2018'!AL56/'Tariffs Jan2018'!AJ56-'Tariffs Jan2018'!L56)*('Tariffs Jan2018'!X56/100)*'Tariffs Jan2018'!AJ56,('Tariffs Jan2018'!M56-'Tariffs Jan2018'!L56)*('Tariffs Jan2018'!X56/100)*'Tariffs Jan2018'!AJ56))</f>
        <v>0</v>
      </c>
      <c r="N62" s="59">
        <f>IF(($C$5*'Tariffs Jan2018'!AL56/'Tariffs Jan2018'!AJ56&gt;'Tariffs Jan2018'!M56),($C$5*'Tariffs Jan2018'!AL56/'Tariffs Jan2018'!AJ56-'Tariffs Jan2018'!M56)*'Tariffs Jan2018'!Y56/100*'Tariffs Jan2018'!AJ56,0)</f>
        <v>824.88449999999978</v>
      </c>
      <c r="O62" s="271">
        <f t="shared" si="1"/>
        <v>1867.6117499999996</v>
      </c>
      <c r="P62" s="59">
        <f t="shared" si="2"/>
        <v>2160.3417499999996</v>
      </c>
      <c r="Q62" s="272">
        <f t="shared" si="3"/>
        <v>2376.3759249999998</v>
      </c>
      <c r="R62" s="40">
        <f>'Tariffs Jan2018'!AM56</f>
        <v>0</v>
      </c>
      <c r="S62" s="40">
        <f>'Tariffs Jan2018'!AN56</f>
        <v>0</v>
      </c>
      <c r="T62" s="40">
        <f>'Tariffs Jan2018'!AO56</f>
        <v>14</v>
      </c>
      <c r="U62" s="40">
        <f>'Tariffs Jan2018'!AP56</f>
        <v>0</v>
      </c>
      <c r="V62" s="273">
        <f t="shared" si="8"/>
        <v>2160.3417499999996</v>
      </c>
      <c r="W62" s="273">
        <f>V62-(P62*T62/100)</f>
        <v>1857.8939049999997</v>
      </c>
      <c r="X62" s="272">
        <f t="shared" si="4"/>
        <v>2376.3759249999998</v>
      </c>
      <c r="Y62" s="272">
        <f t="shared" si="4"/>
        <v>2043.6832954999998</v>
      </c>
      <c r="Z62" s="274">
        <f>'Tariffs Jan2018'!AW56</f>
        <v>0</v>
      </c>
      <c r="AA62" s="274" t="str">
        <f>'Tariffs Jan2018'!AX56</f>
        <v>n</v>
      </c>
      <c r="AB62" s="275" t="str">
        <f>'Tariffs Jan2018'!BE56</f>
        <v>N</v>
      </c>
      <c r="AC62" s="321"/>
      <c r="AD62" s="321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</row>
    <row r="63" spans="1:40" x14ac:dyDescent="0.15">
      <c r="A63" s="270" t="str">
        <f>'Tariffs Jan2018'!F57</f>
        <v>Covau</v>
      </c>
      <c r="B63" s="40" t="str">
        <f>'Tariffs Jan2018'!D57</f>
        <v>Envestra Central 1</v>
      </c>
      <c r="C63" s="40" t="str">
        <f>'Tariffs Jan2018'!G57</f>
        <v>Smart Saver</v>
      </c>
      <c r="D63" s="59">
        <f>365*'Tariffs Jan2018'!H57/100</f>
        <v>273.75</v>
      </c>
      <c r="E63" s="59">
        <f>IF($C$5*'Tariffs Jan2018'!AK57/'Tariffs Jan2018'!AI57&gt;='Tariffs Jan2018'!J57,( 'Tariffs Jan2018'!J57*'Tariffs Jan2018'!O57/100)* 'Tariffs Jan2018'!AI57,($C$5*'Tariffs Jan2018'!AK57/'Tariffs Jan2018'!AI57*'Tariffs Jan2018'!O57/100)* 'Tariffs Jan2018'!AI57)</f>
        <v>97.055000000000007</v>
      </c>
      <c r="F63" s="59">
        <f>IF($C$5*'Tariffs Jan2018'!AK57/'Tariffs Jan2018'!AI57&lt;'Tariffs Jan2018'!J57,0,IF($C$5*'Tariffs Jan2018'!AK57/'Tariffs Jan2018'!AI57&lt;='Tariffs Jan2018'!K57,($C$5*'Tariffs Jan2018'!AK57/'Tariffs Jan2018'!AI57-'Tariffs Jan2018'!J57)*('Tariffs Jan2018'!P57/100)*'Tariffs Jan2018'!AI57,('Tariffs Jan2018'!K57-'Tariffs Jan2018'!J57)*('Tariffs Jan2018'!P57/100)*'Tariffs Jan2018'!AI57))</f>
        <v>67.75</v>
      </c>
      <c r="G63" s="59">
        <f>IF($C$5*'Tariffs Jan2018'!AK57/'Tariffs Jan2018'!AI57&lt;'Tariffs Jan2018'!K57,0,IF($C$5*'Tariffs Jan2018'!AK57/'Tariffs Jan2018'!AI57&lt;='Tariffs Jan2018'!L57,($C$5*'Tariffs Jan2018'!AK57/'Tariffs Jan2018'!AI57-'Tariffs Jan2018'!K57)*('Tariffs Jan2018'!Q57/100)*'Tariffs Jan2018'!AI57,('Tariffs Jan2018'!L57-'Tariffs Jan2018'!K57)*('Tariffs Jan2018'!Q57/100)*'Tariffs Jan2018'!AI57))</f>
        <v>0</v>
      </c>
      <c r="H63" s="59">
        <f>IF($C$5*'Tariffs Jan2018'!AK57/'Tariffs Jan2018'!AI57&lt;'Tariffs Jan2018'!L57,0,IF($C$5*'Tariffs Jan2018'!AK57/'Tariffs Jan2018'!AI57&lt;='Tariffs Jan2018'!M57,($C$5*'Tariffs Jan2018'!AK57/'Tariffs Jan2018'!AI57-'Tariffs Jan2018'!L57)*('Tariffs Jan2018'!R57/100)*'Tariffs Jan2018'!AI57,('Tariffs Jan2018'!M57-'Tariffs Jan2018'!L57)*('Tariffs Jan2018'!R57/100)*'Tariffs Jan2018'!AI57))</f>
        <v>0</v>
      </c>
      <c r="I63" s="59">
        <f>IF(($C$5*'Tariffs Jan2018'!AK57/'Tariffs Jan2018'!AI57&gt;'Tariffs Jan2018'!M57),($C$5*'Tariffs Jan2018'!AK57/'Tariffs Jan2018'!AI57-'Tariffs Jan2018'!M57)*'Tariffs Jan2018'!S57/100*'Tariffs Jan2018'!AI57,0)</f>
        <v>314.95589999999999</v>
      </c>
      <c r="J63" s="59">
        <f>IF($C$5*'Tariffs Jan2018'!AL57/'Tariffs Jan2018'!AJ57&gt;='Tariffs Jan2018'!J57,('Tariffs Jan2018'!J57*'Tariffs Jan2018'!U57/100)* 'Tariffs Jan2018'!AJ57,($C$5*'Tariffs Jan2018'!AL57/'Tariffs Jan2018'!AJ57*'Tariffs Jan2018'!U57/100)* 'Tariffs Jan2018'!AJ57)</f>
        <v>194.11</v>
      </c>
      <c r="K63" s="59">
        <f>IF($C$5*'Tariffs Jan2018'!AL57/'Tariffs Jan2018'!AJ57&lt;'Tariffs Jan2018'!J57,0,IF($C$5*'Tariffs Jan2018'!AL57/'Tariffs Jan2018'!AJ57&lt;='Tariffs Jan2018'!K57,($C$5*'Tariffs Jan2018'!AL57/'Tariffs Jan2018'!AJ57-'Tariffs Jan2018'!J57)*('Tariffs Jan2018'!V57/100)*'Tariffs Jan2018'!AJ57,('Tariffs Jan2018'!K57-'Tariffs Jan2018'!J57)*('Tariffs Jan2018'!V57/100)*'Tariffs Jan2018'!AJ57))</f>
        <v>135.5</v>
      </c>
      <c r="L63" s="59">
        <f>IF($C$5*'Tariffs Jan2018'!AL57/'Tariffs Jan2018'!AJ57&lt;'Tariffs Jan2018'!K57,0,IF($C$5*'Tariffs Jan2018'!AL57/'Tariffs Jan2018'!AJ57&lt;='Tariffs Jan2018'!L57,($C$5*'Tariffs Jan2018'!AL57/'Tariffs Jan2018'!AJ57-'Tariffs Jan2018'!K57)*('Tariffs Jan2018'!W57/100)*'Tariffs Jan2018'!AJ57,('Tariffs Jan2018'!L57-'Tariffs Jan2018'!K57)*('Tariffs Jan2018'!W57/100)*'Tariffs Jan2018'!AJ57))</f>
        <v>0</v>
      </c>
      <c r="M63" s="59">
        <f>IF($C$5*'Tariffs Jan2018'!AL57/'Tariffs Jan2018'!AJ57&lt;'Tariffs Jan2018'!L57,0,IF($C$5*'Tariffs Jan2018'!AL57/'Tariffs Jan2018'!AJ57&lt;='Tariffs Jan2018'!M57,($C$5*'Tariffs Jan2018'!AL57/'Tariffs Jan2018'!AJ57-'Tariffs Jan2018'!L57)*('Tariffs Jan2018'!X57/100)*'Tariffs Jan2018'!AJ57,('Tariffs Jan2018'!M57-'Tariffs Jan2018'!L57)*('Tariffs Jan2018'!X57/100)*'Tariffs Jan2018'!AJ57))</f>
        <v>0</v>
      </c>
      <c r="N63" s="59">
        <f>IF(($C$5*'Tariffs Jan2018'!AL57/'Tariffs Jan2018'!AJ57&gt;'Tariffs Jan2018'!M57),($C$5*'Tariffs Jan2018'!AL57/'Tariffs Jan2018'!AJ57-'Tariffs Jan2018'!M57)*'Tariffs Jan2018'!Y57/100*'Tariffs Jan2018'!AJ57,0)</f>
        <v>629.91179999999997</v>
      </c>
      <c r="O63" s="271">
        <f t="shared" si="1"/>
        <v>1439.2827</v>
      </c>
      <c r="P63" s="59">
        <f t="shared" si="2"/>
        <v>1713.0327</v>
      </c>
      <c r="Q63" s="272">
        <f t="shared" si="3"/>
        <v>1884.3359700000001</v>
      </c>
      <c r="R63" s="40">
        <f>'Tariffs Jan2018'!AM57</f>
        <v>0</v>
      </c>
      <c r="S63" s="40">
        <f>'Tariffs Jan2018'!AN57</f>
        <v>0</v>
      </c>
      <c r="T63" s="40">
        <f>'Tariffs Jan2018'!AO57</f>
        <v>0</v>
      </c>
      <c r="U63" s="40">
        <f>'Tariffs Jan2018'!AP57</f>
        <v>16</v>
      </c>
      <c r="V63" s="273">
        <f t="shared" si="8"/>
        <v>1713.0327</v>
      </c>
      <c r="W63" s="273">
        <f>V63-(O63*U63/100)</f>
        <v>1482.747468</v>
      </c>
      <c r="X63" s="272">
        <f t="shared" si="4"/>
        <v>1884.3359700000001</v>
      </c>
      <c r="Y63" s="272">
        <f t="shared" si="4"/>
        <v>1631.0222148000003</v>
      </c>
      <c r="Z63" s="274">
        <f>'Tariffs Jan2018'!AW57</f>
        <v>12</v>
      </c>
      <c r="AA63" s="274" t="str">
        <f>'Tariffs Jan2018'!AX57</f>
        <v>y</v>
      </c>
      <c r="AB63" s="275" t="str">
        <f>'Tariffs Jan2018'!BE57</f>
        <v>N</v>
      </c>
      <c r="AC63" s="321"/>
      <c r="AD63" s="321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</row>
    <row r="64" spans="1:40" x14ac:dyDescent="0.15">
      <c r="A64" s="270" t="str">
        <f>'Tariffs Jan2018'!F58</f>
        <v>Dodo Power &amp; Gas</v>
      </c>
      <c r="B64" s="40" t="str">
        <f>'Tariffs Jan2018'!D58</f>
        <v>Envestra Central 1</v>
      </c>
      <c r="C64" s="40" t="str">
        <f>'Tariffs Jan2018'!G58</f>
        <v>Market offer</v>
      </c>
      <c r="D64" s="59">
        <f>365*'Tariffs Jan2018'!H58/100</f>
        <v>296.92749999999995</v>
      </c>
      <c r="E64" s="59">
        <f>IF($C$5*'Tariffs Jan2018'!AK58/'Tariffs Jan2018'!AI58&gt;='Tariffs Jan2018'!J58,( 'Tariffs Jan2018'!J58*'Tariffs Jan2018'!O58/100)* 'Tariffs Jan2018'!AI58,($C$5*'Tariffs Jan2018'!AK58/'Tariffs Jan2018'!AI58*'Tariffs Jan2018'!O58/100)* 'Tariffs Jan2018'!AI58)</f>
        <v>203.2</v>
      </c>
      <c r="F64" s="59">
        <f>IF($C$5*'Tariffs Jan2018'!AK58/'Tariffs Jan2018'!AI58&lt;'Tariffs Jan2018'!J58,0,IF($C$5*'Tariffs Jan2018'!AK58/'Tariffs Jan2018'!AI58&lt;='Tariffs Jan2018'!K58,($C$5*'Tariffs Jan2018'!AK58/'Tariffs Jan2018'!AI58-'Tariffs Jan2018'!J58)*('Tariffs Jan2018'!P58/100)*'Tariffs Jan2018'!AI58,('Tariffs Jan2018'!K58-'Tariffs Jan2018'!J58)*('Tariffs Jan2018'!P58/100)*'Tariffs Jan2018'!AI58))</f>
        <v>271.65610999999996</v>
      </c>
      <c r="G64" s="59">
        <f>IF($C$5*'Tariffs Jan2018'!AK58/'Tariffs Jan2018'!AI58&lt;'Tariffs Jan2018'!K58,0,IF($C$5*'Tariffs Jan2018'!AK58/'Tariffs Jan2018'!AI58&lt;='Tariffs Jan2018'!L58,($C$5*'Tariffs Jan2018'!AK58/'Tariffs Jan2018'!AI58-'Tariffs Jan2018'!K58)*('Tariffs Jan2018'!Q58/100)*'Tariffs Jan2018'!AI58,('Tariffs Jan2018'!L58-'Tariffs Jan2018'!K58)*('Tariffs Jan2018'!Q58/100)*'Tariffs Jan2018'!AI58))</f>
        <v>0</v>
      </c>
      <c r="H64" s="59">
        <f>IF($C$5*'Tariffs Jan2018'!AK58/'Tariffs Jan2018'!AI58&lt;'Tariffs Jan2018'!L58,0,IF($C$5*'Tariffs Jan2018'!AK58/'Tariffs Jan2018'!AI58&lt;='Tariffs Jan2018'!M58,($C$5*'Tariffs Jan2018'!AK58/'Tariffs Jan2018'!AI58-'Tariffs Jan2018'!L58)*('Tariffs Jan2018'!R58/100)*'Tariffs Jan2018'!AI58,('Tariffs Jan2018'!M58-'Tariffs Jan2018'!L58)*('Tariffs Jan2018'!R58/100)*'Tariffs Jan2018'!AI58))</f>
        <v>0</v>
      </c>
      <c r="I64" s="59">
        <f>IF(($C$5*'Tariffs Jan2018'!AK58/'Tariffs Jan2018'!AI58&gt;'Tariffs Jan2018'!M58),($C$5*'Tariffs Jan2018'!AK58/'Tariffs Jan2018'!AI58-'Tariffs Jan2018'!M58)*'Tariffs Jan2018'!S58/100*'Tariffs Jan2018'!AI58,0)</f>
        <v>0</v>
      </c>
      <c r="J64" s="59">
        <f>IF($C$5*'Tariffs Jan2018'!AL58/'Tariffs Jan2018'!AJ58&gt;='Tariffs Jan2018'!J58,('Tariffs Jan2018'!J58*'Tariffs Jan2018'!U58/100)* 'Tariffs Jan2018'!AJ58,($C$5*'Tariffs Jan2018'!AL58/'Tariffs Jan2018'!AJ58*'Tariffs Jan2018'!U58/100)* 'Tariffs Jan2018'!AJ58)</f>
        <v>406.4</v>
      </c>
      <c r="K64" s="59">
        <f>IF($C$5*'Tariffs Jan2018'!AL58/'Tariffs Jan2018'!AJ58&lt;'Tariffs Jan2018'!J58,0,IF($C$5*'Tariffs Jan2018'!AL58/'Tariffs Jan2018'!AJ58&lt;='Tariffs Jan2018'!K58,($C$5*'Tariffs Jan2018'!AL58/'Tariffs Jan2018'!AJ58-'Tariffs Jan2018'!J58)*('Tariffs Jan2018'!V58/100)*'Tariffs Jan2018'!AJ58,('Tariffs Jan2018'!K58-'Tariffs Jan2018'!J58)*('Tariffs Jan2018'!V58/100)*'Tariffs Jan2018'!AJ58))</f>
        <v>543.31221999999991</v>
      </c>
      <c r="L64" s="59">
        <f>IF($C$5*'Tariffs Jan2018'!AL58/'Tariffs Jan2018'!AJ58&lt;'Tariffs Jan2018'!K58,0,IF($C$5*'Tariffs Jan2018'!AL58/'Tariffs Jan2018'!AJ58&lt;='Tariffs Jan2018'!L58,($C$5*'Tariffs Jan2018'!AL58/'Tariffs Jan2018'!AJ58-'Tariffs Jan2018'!K58)*('Tariffs Jan2018'!W58/100)*'Tariffs Jan2018'!AJ58,('Tariffs Jan2018'!L58-'Tariffs Jan2018'!K58)*('Tariffs Jan2018'!W58/100)*'Tariffs Jan2018'!AJ58))</f>
        <v>0</v>
      </c>
      <c r="M64" s="59">
        <f>IF($C$5*'Tariffs Jan2018'!AL58/'Tariffs Jan2018'!AJ58&lt;'Tariffs Jan2018'!L58,0,IF($C$5*'Tariffs Jan2018'!AL58/'Tariffs Jan2018'!AJ58&lt;='Tariffs Jan2018'!M58,($C$5*'Tariffs Jan2018'!AL58/'Tariffs Jan2018'!AJ58-'Tariffs Jan2018'!L58)*('Tariffs Jan2018'!X58/100)*'Tariffs Jan2018'!AJ58,('Tariffs Jan2018'!M58-'Tariffs Jan2018'!L58)*('Tariffs Jan2018'!X58/100)*'Tariffs Jan2018'!AJ58))</f>
        <v>0</v>
      </c>
      <c r="N64" s="59">
        <f>IF(($C$5*'Tariffs Jan2018'!AL58/'Tariffs Jan2018'!AJ58&gt;'Tariffs Jan2018'!M58),($C$5*'Tariffs Jan2018'!AL58/'Tariffs Jan2018'!AJ58-'Tariffs Jan2018'!M58)*'Tariffs Jan2018'!Y58/100*'Tariffs Jan2018'!AJ58,0)</f>
        <v>0</v>
      </c>
      <c r="O64" s="271">
        <f t="shared" si="1"/>
        <v>1424.5683299999998</v>
      </c>
      <c r="P64" s="59">
        <f t="shared" si="2"/>
        <v>1721.4958299999998</v>
      </c>
      <c r="Q64" s="272">
        <f t="shared" si="3"/>
        <v>1893.645413</v>
      </c>
      <c r="R64" s="40">
        <f>'Tariffs Jan2018'!AM58</f>
        <v>0</v>
      </c>
      <c r="S64" s="40">
        <f>'Tariffs Jan2018'!AN58</f>
        <v>0</v>
      </c>
      <c r="T64" s="40">
        <f>'Tariffs Jan2018'!AO58</f>
        <v>0</v>
      </c>
      <c r="U64" s="40">
        <f>'Tariffs Jan2018'!AP58</f>
        <v>0</v>
      </c>
      <c r="V64" s="273">
        <f t="shared" si="8"/>
        <v>1721.4958299999998</v>
      </c>
      <c r="W64" s="273">
        <f>V64</f>
        <v>1721.4958299999998</v>
      </c>
      <c r="X64" s="272">
        <f t="shared" si="4"/>
        <v>1893.645413</v>
      </c>
      <c r="Y64" s="272">
        <f t="shared" si="4"/>
        <v>1893.645413</v>
      </c>
      <c r="Z64" s="274">
        <f>'Tariffs Jan2018'!AW58</f>
        <v>0</v>
      </c>
      <c r="AA64" s="274" t="str">
        <f>'Tariffs Jan2018'!AX58</f>
        <v>n</v>
      </c>
      <c r="AB64" s="275" t="str">
        <f>'Tariffs Jan2018'!BE58</f>
        <v>Y</v>
      </c>
      <c r="AC64" s="321"/>
      <c r="AD64" s="321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</row>
    <row r="65" spans="1:40" x14ac:dyDescent="0.15">
      <c r="A65" s="270" t="str">
        <f>'Tariffs Jan2018'!F59</f>
        <v>EnergyAustralia</v>
      </c>
      <c r="B65" s="40" t="str">
        <f>'Tariffs Jan2018'!D59</f>
        <v>Envestra Central 1</v>
      </c>
      <c r="C65" s="40" t="str">
        <f>'Tariffs Jan2018'!G59</f>
        <v xml:space="preserve">Flexi Saver </v>
      </c>
      <c r="D65" s="59">
        <f>365*'Tariffs Jan2018'!H59/100</f>
        <v>287.255</v>
      </c>
      <c r="E65" s="59">
        <f>IF($C$5*'Tariffs Jan2018'!AK59/'Tariffs Jan2018'!AI59&gt;='Tariffs Jan2018'!J59,( 'Tariffs Jan2018'!J59*'Tariffs Jan2018'!O59/100)* 'Tariffs Jan2018'!AI59,($C$5*'Tariffs Jan2018'!AK59/'Tariffs Jan2018'!AI59*'Tariffs Jan2018'!O59/100)* 'Tariffs Jan2018'!AI59)</f>
        <v>169.8</v>
      </c>
      <c r="F65" s="59">
        <f>IF($C$5*'Tariffs Jan2018'!AK59/'Tariffs Jan2018'!AI59&lt;'Tariffs Jan2018'!J59,0,IF($C$5*'Tariffs Jan2018'!AK59/'Tariffs Jan2018'!AI59&lt;='Tariffs Jan2018'!K59,($C$5*'Tariffs Jan2018'!AK59/'Tariffs Jan2018'!AI59-'Tariffs Jan2018'!J59)*('Tariffs Jan2018'!P59/100)*'Tariffs Jan2018'!AI59,('Tariffs Jan2018'!K59-'Tariffs Jan2018'!J59)*('Tariffs Jan2018'!P59/100)*'Tariffs Jan2018'!AI59))</f>
        <v>0</v>
      </c>
      <c r="G65" s="59">
        <f>IF($C$5*'Tariffs Jan2018'!AK59/'Tariffs Jan2018'!AI59&lt;'Tariffs Jan2018'!K59,0,IF($C$5*'Tariffs Jan2018'!AK59/'Tariffs Jan2018'!AI59&lt;='Tariffs Jan2018'!L59,($C$5*'Tariffs Jan2018'!AK59/'Tariffs Jan2018'!AI59-'Tariffs Jan2018'!K59)*('Tariffs Jan2018'!Q59/100)*'Tariffs Jan2018'!AI59,('Tariffs Jan2018'!L59-'Tariffs Jan2018'!K59)*('Tariffs Jan2018'!Q59/100)*'Tariffs Jan2018'!AI59))</f>
        <v>0</v>
      </c>
      <c r="H65" s="59">
        <f>IF($C$5*'Tariffs Jan2018'!AK59/'Tariffs Jan2018'!AI59&lt;'Tariffs Jan2018'!L59,0,IF($C$5*'Tariffs Jan2018'!AK59/'Tariffs Jan2018'!AI59&lt;='Tariffs Jan2018'!M59,($C$5*'Tariffs Jan2018'!AK59/'Tariffs Jan2018'!AI59-'Tariffs Jan2018'!L59)*('Tariffs Jan2018'!R59/100)*'Tariffs Jan2018'!AI59,('Tariffs Jan2018'!M59-'Tariffs Jan2018'!L59)*('Tariffs Jan2018'!R59/100)*'Tariffs Jan2018'!AI59))</f>
        <v>0</v>
      </c>
      <c r="I65" s="59">
        <f>IF(($C$5*'Tariffs Jan2018'!AK59/'Tariffs Jan2018'!AI59&gt;'Tariffs Jan2018'!M59),($C$5*'Tariffs Jan2018'!AK59/'Tariffs Jan2018'!AI59-'Tariffs Jan2018'!M59)*'Tariffs Jan2018'!S59/100*'Tariffs Jan2018'!AI59,0)</f>
        <v>286.45988999999992</v>
      </c>
      <c r="J65" s="59">
        <f>IF($C$5*'Tariffs Jan2018'!AL59/'Tariffs Jan2018'!AJ59&gt;='Tariffs Jan2018'!J59,('Tariffs Jan2018'!J59*'Tariffs Jan2018'!U59/100)* 'Tariffs Jan2018'!AJ59,($C$5*'Tariffs Jan2018'!AL59/'Tariffs Jan2018'!AJ59*'Tariffs Jan2018'!U59/100)* 'Tariffs Jan2018'!AJ59)</f>
        <v>339.6</v>
      </c>
      <c r="K65" s="59">
        <f>IF($C$5*'Tariffs Jan2018'!AL59/'Tariffs Jan2018'!AJ59&lt;'Tariffs Jan2018'!J59,0,IF($C$5*'Tariffs Jan2018'!AL59/'Tariffs Jan2018'!AJ59&lt;='Tariffs Jan2018'!K59,($C$5*'Tariffs Jan2018'!AL59/'Tariffs Jan2018'!AJ59-'Tariffs Jan2018'!J59)*('Tariffs Jan2018'!V59/100)*'Tariffs Jan2018'!AJ59,('Tariffs Jan2018'!K59-'Tariffs Jan2018'!J59)*('Tariffs Jan2018'!V59/100)*'Tariffs Jan2018'!AJ59))</f>
        <v>0</v>
      </c>
      <c r="L65" s="59">
        <f>IF($C$5*'Tariffs Jan2018'!AL59/'Tariffs Jan2018'!AJ59&lt;'Tariffs Jan2018'!K59,0,IF($C$5*'Tariffs Jan2018'!AL59/'Tariffs Jan2018'!AJ59&lt;='Tariffs Jan2018'!L59,($C$5*'Tariffs Jan2018'!AL59/'Tariffs Jan2018'!AJ59-'Tariffs Jan2018'!K59)*('Tariffs Jan2018'!W59/100)*'Tariffs Jan2018'!AJ59,('Tariffs Jan2018'!L59-'Tariffs Jan2018'!K59)*('Tariffs Jan2018'!W59/100)*'Tariffs Jan2018'!AJ59))</f>
        <v>0</v>
      </c>
      <c r="M65" s="59">
        <f>IF($C$5*'Tariffs Jan2018'!AL59/'Tariffs Jan2018'!AJ59&lt;'Tariffs Jan2018'!L59,0,IF($C$5*'Tariffs Jan2018'!AL59/'Tariffs Jan2018'!AJ59&lt;='Tariffs Jan2018'!M59,($C$5*'Tariffs Jan2018'!AL59/'Tariffs Jan2018'!AJ59-'Tariffs Jan2018'!L59)*('Tariffs Jan2018'!X59/100)*'Tariffs Jan2018'!AJ59,('Tariffs Jan2018'!M59-'Tariffs Jan2018'!L59)*('Tariffs Jan2018'!X59/100)*'Tariffs Jan2018'!AJ59))</f>
        <v>0</v>
      </c>
      <c r="N65" s="59">
        <f>IF(($C$5*'Tariffs Jan2018'!AL59/'Tariffs Jan2018'!AJ59&gt;'Tariffs Jan2018'!M59),($C$5*'Tariffs Jan2018'!AL59/'Tariffs Jan2018'!AJ59-'Tariffs Jan2018'!M59)*'Tariffs Jan2018'!Y59/100*'Tariffs Jan2018'!AJ59,0)</f>
        <v>572.91977999999983</v>
      </c>
      <c r="O65" s="271">
        <f t="shared" si="1"/>
        <v>1368.7796699999999</v>
      </c>
      <c r="P65" s="59">
        <f t="shared" si="2"/>
        <v>1656.03467</v>
      </c>
      <c r="Q65" s="272">
        <f t="shared" si="3"/>
        <v>1821.6381370000001</v>
      </c>
      <c r="R65" s="40">
        <f>'Tariffs Jan2018'!AM59</f>
        <v>0</v>
      </c>
      <c r="S65" s="40">
        <f>'Tariffs Jan2018'!AN59</f>
        <v>0</v>
      </c>
      <c r="T65" s="40">
        <f>'Tariffs Jan2018'!AO59</f>
        <v>0</v>
      </c>
      <c r="U65" s="40">
        <f>'Tariffs Jan2018'!AP59</f>
        <v>15</v>
      </c>
      <c r="V65" s="273">
        <f t="shared" si="8"/>
        <v>1656.03467</v>
      </c>
      <c r="W65" s="273">
        <f>V65-(O65*U65/100)</f>
        <v>1450.7177194999999</v>
      </c>
      <c r="X65" s="272">
        <f t="shared" si="4"/>
        <v>1821.6381370000001</v>
      </c>
      <c r="Y65" s="272">
        <f t="shared" si="4"/>
        <v>1595.78949145</v>
      </c>
      <c r="Z65" s="274">
        <f>'Tariffs Jan2018'!AW59</f>
        <v>0</v>
      </c>
      <c r="AA65" s="274" t="str">
        <f>'Tariffs Jan2018'!AX59</f>
        <v>n</v>
      </c>
      <c r="AB65" s="275" t="str">
        <f>'Tariffs Jan2018'!BE59</f>
        <v>N</v>
      </c>
      <c r="AC65" s="321"/>
      <c r="AD65" s="321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</row>
    <row r="66" spans="1:40" x14ac:dyDescent="0.15">
      <c r="A66" s="270" t="str">
        <f>'Tariffs Jan2018'!F60</f>
        <v>Lumo Energy</v>
      </c>
      <c r="B66" s="40" t="str">
        <f>'Tariffs Jan2018'!D60</f>
        <v>Envestra Central 1</v>
      </c>
      <c r="C66" s="40" t="str">
        <f>'Tariffs Jan2018'!G60</f>
        <v>Advantage</v>
      </c>
      <c r="D66" s="59">
        <f>365*'Tariffs Jan2018'!H60/100</f>
        <v>244.55</v>
      </c>
      <c r="E66" s="59">
        <f>IF($C$5*'Tariffs Jan2018'!AK60/'Tariffs Jan2018'!AI60&gt;='Tariffs Jan2018'!J60,( 'Tariffs Jan2018'!J60*'Tariffs Jan2018'!O60/100)* 'Tariffs Jan2018'!AI60,($C$5*'Tariffs Jan2018'!AK60/'Tariffs Jan2018'!AI60*'Tariffs Jan2018'!O60/100)* 'Tariffs Jan2018'!AI60)</f>
        <v>96.397000000000006</v>
      </c>
      <c r="F66" s="59">
        <f>IF($C$5*'Tariffs Jan2018'!AK60/'Tariffs Jan2018'!AI60&lt;'Tariffs Jan2018'!J60,0,IF($C$5*'Tariffs Jan2018'!AK60/'Tariffs Jan2018'!AI60&lt;='Tariffs Jan2018'!K60,($C$5*'Tariffs Jan2018'!AK60/'Tariffs Jan2018'!AI60-'Tariffs Jan2018'!J60)*('Tariffs Jan2018'!P60/100)*'Tariffs Jan2018'!AI60,('Tariffs Jan2018'!K60-'Tariffs Jan2018'!J60)*('Tariffs Jan2018'!P60/100)*'Tariffs Jan2018'!AI60))</f>
        <v>64.49799999999999</v>
      </c>
      <c r="G66" s="59">
        <f>IF($C$5*'Tariffs Jan2018'!AK60/'Tariffs Jan2018'!AI60&lt;'Tariffs Jan2018'!K60,0,IF($C$5*'Tariffs Jan2018'!AK60/'Tariffs Jan2018'!AI60&lt;='Tariffs Jan2018'!L60,($C$5*'Tariffs Jan2018'!AK60/'Tariffs Jan2018'!AI60-'Tariffs Jan2018'!K60)*('Tariffs Jan2018'!Q60/100)*'Tariffs Jan2018'!AI60,('Tariffs Jan2018'!L60-'Tariffs Jan2018'!K60)*('Tariffs Jan2018'!Q60/100)*'Tariffs Jan2018'!AI60))</f>
        <v>0</v>
      </c>
      <c r="H66" s="59">
        <f>IF($C$5*'Tariffs Jan2018'!AK60/'Tariffs Jan2018'!AI60&lt;'Tariffs Jan2018'!L60,0,IF($C$5*'Tariffs Jan2018'!AK60/'Tariffs Jan2018'!AI60&lt;='Tariffs Jan2018'!M60,($C$5*'Tariffs Jan2018'!AK60/'Tariffs Jan2018'!AI60-'Tariffs Jan2018'!L60)*('Tariffs Jan2018'!R60/100)*'Tariffs Jan2018'!AI60,('Tariffs Jan2018'!M60-'Tariffs Jan2018'!L60)*('Tariffs Jan2018'!R60/100)*'Tariffs Jan2018'!AI60))</f>
        <v>0</v>
      </c>
      <c r="I66" s="59">
        <f>IF(($C$5*'Tariffs Jan2018'!AK60/'Tariffs Jan2018'!AI60&gt;'Tariffs Jan2018'!M60),($C$5*'Tariffs Jan2018'!AK60/'Tariffs Jan2018'!AI60-'Tariffs Jan2018'!M60)*'Tariffs Jan2018'!S60/100*'Tariffs Jan2018'!AI60,0)</f>
        <v>296.95841999999999</v>
      </c>
      <c r="J66" s="59">
        <f>IF($C$5*'Tariffs Jan2018'!AL60/'Tariffs Jan2018'!AJ60&gt;='Tariffs Jan2018'!J60,('Tariffs Jan2018'!J60*'Tariffs Jan2018'!U60/100)* 'Tariffs Jan2018'!AJ60,($C$5*'Tariffs Jan2018'!AL60/'Tariffs Jan2018'!AJ60*'Tariffs Jan2018'!U60/100)* 'Tariffs Jan2018'!AJ60)</f>
        <v>192.79400000000001</v>
      </c>
      <c r="K66" s="59">
        <f>IF($C$5*'Tariffs Jan2018'!AL60/'Tariffs Jan2018'!AJ60&lt;'Tariffs Jan2018'!J60,0,IF($C$5*'Tariffs Jan2018'!AL60/'Tariffs Jan2018'!AJ60&lt;='Tariffs Jan2018'!K60,($C$5*'Tariffs Jan2018'!AL60/'Tariffs Jan2018'!AJ60-'Tariffs Jan2018'!J60)*('Tariffs Jan2018'!V60/100)*'Tariffs Jan2018'!AJ60,('Tariffs Jan2018'!K60-'Tariffs Jan2018'!J60)*('Tariffs Jan2018'!V60/100)*'Tariffs Jan2018'!AJ60))</f>
        <v>128.99599999999998</v>
      </c>
      <c r="L66" s="59">
        <f>IF($C$5*'Tariffs Jan2018'!AL60/'Tariffs Jan2018'!AJ60&lt;'Tariffs Jan2018'!K60,0,IF($C$5*'Tariffs Jan2018'!AL60/'Tariffs Jan2018'!AJ60&lt;='Tariffs Jan2018'!L60,($C$5*'Tariffs Jan2018'!AL60/'Tariffs Jan2018'!AJ60-'Tariffs Jan2018'!K60)*('Tariffs Jan2018'!W60/100)*'Tariffs Jan2018'!AJ60,('Tariffs Jan2018'!L60-'Tariffs Jan2018'!K60)*('Tariffs Jan2018'!W60/100)*'Tariffs Jan2018'!AJ60))</f>
        <v>0</v>
      </c>
      <c r="M66" s="59">
        <f>IF($C$5*'Tariffs Jan2018'!AL60/'Tariffs Jan2018'!AJ60&lt;'Tariffs Jan2018'!L60,0,IF($C$5*'Tariffs Jan2018'!AL60/'Tariffs Jan2018'!AJ60&lt;='Tariffs Jan2018'!M60,($C$5*'Tariffs Jan2018'!AL60/'Tariffs Jan2018'!AJ60-'Tariffs Jan2018'!L60)*('Tariffs Jan2018'!X60/100)*'Tariffs Jan2018'!AJ60,('Tariffs Jan2018'!M60-'Tariffs Jan2018'!L60)*('Tariffs Jan2018'!X60/100)*'Tariffs Jan2018'!AJ60))</f>
        <v>0</v>
      </c>
      <c r="N66" s="59">
        <f>IF(($C$5*'Tariffs Jan2018'!AL60/'Tariffs Jan2018'!AJ60&gt;'Tariffs Jan2018'!M60),($C$5*'Tariffs Jan2018'!AL60/'Tariffs Jan2018'!AJ60-'Tariffs Jan2018'!M60)*'Tariffs Jan2018'!Y60/100*'Tariffs Jan2018'!AJ60,0)</f>
        <v>593.91683999999998</v>
      </c>
      <c r="O66" s="271">
        <f t="shared" si="1"/>
        <v>1373.56026</v>
      </c>
      <c r="P66" s="59">
        <f t="shared" si="2"/>
        <v>1618.1102599999999</v>
      </c>
      <c r="Q66" s="272">
        <f t="shared" si="3"/>
        <v>1779.921286</v>
      </c>
      <c r="R66" s="40">
        <f>'Tariffs Jan2018'!AM60</f>
        <v>0</v>
      </c>
      <c r="S66" s="40">
        <f>'Tariffs Jan2018'!AN60</f>
        <v>0</v>
      </c>
      <c r="T66" s="40">
        <f>'Tariffs Jan2018'!AO60</f>
        <v>15</v>
      </c>
      <c r="U66" s="40">
        <f>'Tariffs Jan2018'!AP60</f>
        <v>0</v>
      </c>
      <c r="V66" s="273">
        <f t="shared" si="8"/>
        <v>1618.1102599999999</v>
      </c>
      <c r="W66" s="273">
        <f>V66-(P66*T66/100)</f>
        <v>1375.3937209999999</v>
      </c>
      <c r="X66" s="272">
        <f t="shared" si="4"/>
        <v>1779.921286</v>
      </c>
      <c r="Y66" s="272">
        <f t="shared" si="4"/>
        <v>1512.9330931</v>
      </c>
      <c r="Z66" s="274">
        <f>'Tariffs Jan2018'!AW60</f>
        <v>0</v>
      </c>
      <c r="AA66" s="274" t="str">
        <f>'Tariffs Jan2018'!AX60</f>
        <v>n</v>
      </c>
      <c r="AB66" s="275" t="str">
        <f>'Tariffs Jan2018'!BE60</f>
        <v>N</v>
      </c>
      <c r="AC66" s="321"/>
      <c r="AD66" s="321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</row>
    <row r="67" spans="1:40" x14ac:dyDescent="0.15">
      <c r="A67" s="270" t="str">
        <f>'Tariffs Jan2018'!F61</f>
        <v>Momentum Energy</v>
      </c>
      <c r="B67" s="40" t="str">
        <f>'Tariffs Jan2018'!D61</f>
        <v>Envestra Central 1</v>
      </c>
      <c r="C67" s="40" t="str">
        <f>'Tariffs Jan2018'!G61</f>
        <v>Market offer</v>
      </c>
      <c r="D67" s="59">
        <f>365*'Tariffs Jan2018'!H61/100</f>
        <v>272.50899999999996</v>
      </c>
      <c r="E67" s="59">
        <f>IF($C$5*'Tariffs Jan2018'!AK61/'Tariffs Jan2018'!AI61&gt;='Tariffs Jan2018'!J61,( 'Tariffs Jan2018'!J61*'Tariffs Jan2018'!O61/100)* 'Tariffs Jan2018'!AI61,($C$5*'Tariffs Jan2018'!AK61/'Tariffs Jan2018'!AI61*'Tariffs Jan2018'!O61/100)* 'Tariffs Jan2018'!AI61)</f>
        <v>81.756500000000003</v>
      </c>
      <c r="F67" s="59">
        <f>IF($C$5*'Tariffs Jan2018'!AK61/'Tariffs Jan2018'!AI61&lt;'Tariffs Jan2018'!J61,0,IF($C$5*'Tariffs Jan2018'!AK61/'Tariffs Jan2018'!AI61&lt;='Tariffs Jan2018'!K61,($C$5*'Tariffs Jan2018'!AK61/'Tariffs Jan2018'!AI61-'Tariffs Jan2018'!J61)*('Tariffs Jan2018'!P61/100)*'Tariffs Jan2018'!AI61,('Tariffs Jan2018'!K61-'Tariffs Jan2018'!J61)*('Tariffs Jan2018'!P61/100)*'Tariffs Jan2018'!AI61))</f>
        <v>54.470999999999989</v>
      </c>
      <c r="G67" s="59">
        <f>IF($C$5*'Tariffs Jan2018'!AK61/'Tariffs Jan2018'!AI61&lt;'Tariffs Jan2018'!K61,0,IF($C$5*'Tariffs Jan2018'!AK61/'Tariffs Jan2018'!AI61&lt;='Tariffs Jan2018'!L61,($C$5*'Tariffs Jan2018'!AK61/'Tariffs Jan2018'!AI61-'Tariffs Jan2018'!K61)*('Tariffs Jan2018'!Q61/100)*'Tariffs Jan2018'!AI61,('Tariffs Jan2018'!L61-'Tariffs Jan2018'!K61)*('Tariffs Jan2018'!Q61/100)*'Tariffs Jan2018'!AI61))</f>
        <v>0</v>
      </c>
      <c r="H67" s="59">
        <f>IF($C$5*'Tariffs Jan2018'!AK61/'Tariffs Jan2018'!AI61&lt;'Tariffs Jan2018'!L61,0,IF($C$5*'Tariffs Jan2018'!AK61/'Tariffs Jan2018'!AI61&lt;='Tariffs Jan2018'!M61,($C$5*'Tariffs Jan2018'!AK61/'Tariffs Jan2018'!AI61-'Tariffs Jan2018'!L61)*('Tariffs Jan2018'!R61/100)*'Tariffs Jan2018'!AI61,('Tariffs Jan2018'!M61-'Tariffs Jan2018'!L61)*('Tariffs Jan2018'!R61/100)*'Tariffs Jan2018'!AI61))</f>
        <v>0</v>
      </c>
      <c r="I67" s="59">
        <f>IF(($C$5*'Tariffs Jan2018'!AK61/'Tariffs Jan2018'!AI61&gt;'Tariffs Jan2018'!M61),($C$5*'Tariffs Jan2018'!AK61/'Tariffs Jan2018'!AI61-'Tariffs Jan2018'!M61)*'Tariffs Jan2018'!S61/100*'Tariffs Jan2018'!AI61,0)</f>
        <v>250.31495099999995</v>
      </c>
      <c r="J67" s="59">
        <f>IF($C$5*'Tariffs Jan2018'!AL61/'Tariffs Jan2018'!AJ61&gt;='Tariffs Jan2018'!J61,('Tariffs Jan2018'!J61*'Tariffs Jan2018'!U61/100)* 'Tariffs Jan2018'!AJ61,($C$5*'Tariffs Jan2018'!AL61/'Tariffs Jan2018'!AJ61*'Tariffs Jan2018'!U61/100)* 'Tariffs Jan2018'!AJ61)</f>
        <v>163.51300000000001</v>
      </c>
      <c r="K67" s="59">
        <f>IF($C$5*'Tariffs Jan2018'!AL61/'Tariffs Jan2018'!AJ61&lt;'Tariffs Jan2018'!J61,0,IF($C$5*'Tariffs Jan2018'!AL61/'Tariffs Jan2018'!AJ61&lt;='Tariffs Jan2018'!K61,($C$5*'Tariffs Jan2018'!AL61/'Tariffs Jan2018'!AJ61-'Tariffs Jan2018'!J61)*('Tariffs Jan2018'!V61/100)*'Tariffs Jan2018'!AJ61,('Tariffs Jan2018'!K61-'Tariffs Jan2018'!J61)*('Tariffs Jan2018'!V61/100)*'Tariffs Jan2018'!AJ61))</f>
        <v>108.94199999999998</v>
      </c>
      <c r="L67" s="59">
        <f>IF($C$5*'Tariffs Jan2018'!AL61/'Tariffs Jan2018'!AJ61&lt;'Tariffs Jan2018'!K61,0,IF($C$5*'Tariffs Jan2018'!AL61/'Tariffs Jan2018'!AJ61&lt;='Tariffs Jan2018'!L61,($C$5*'Tariffs Jan2018'!AL61/'Tariffs Jan2018'!AJ61-'Tariffs Jan2018'!K61)*('Tariffs Jan2018'!W61/100)*'Tariffs Jan2018'!AJ61,('Tariffs Jan2018'!L61-'Tariffs Jan2018'!K61)*('Tariffs Jan2018'!W61/100)*'Tariffs Jan2018'!AJ61))</f>
        <v>0</v>
      </c>
      <c r="M67" s="59">
        <f>IF($C$5*'Tariffs Jan2018'!AL61/'Tariffs Jan2018'!AJ61&lt;'Tariffs Jan2018'!L61,0,IF($C$5*'Tariffs Jan2018'!AL61/'Tariffs Jan2018'!AJ61&lt;='Tariffs Jan2018'!M61,($C$5*'Tariffs Jan2018'!AL61/'Tariffs Jan2018'!AJ61-'Tariffs Jan2018'!L61)*('Tariffs Jan2018'!X61/100)*'Tariffs Jan2018'!AJ61,('Tariffs Jan2018'!M61-'Tariffs Jan2018'!L61)*('Tariffs Jan2018'!X61/100)*'Tariffs Jan2018'!AJ61))</f>
        <v>0</v>
      </c>
      <c r="N67" s="59">
        <f>IF(($C$5*'Tariffs Jan2018'!AL61/'Tariffs Jan2018'!AJ61&gt;'Tariffs Jan2018'!M61),($C$5*'Tariffs Jan2018'!AL61/'Tariffs Jan2018'!AJ61-'Tariffs Jan2018'!M61)*'Tariffs Jan2018'!Y61/100*'Tariffs Jan2018'!AJ61,0)</f>
        <v>500.6299019999999</v>
      </c>
      <c r="O67" s="271">
        <f t="shared" si="1"/>
        <v>1159.6273529999999</v>
      </c>
      <c r="P67" s="59">
        <f t="shared" si="2"/>
        <v>1432.1363529999999</v>
      </c>
      <c r="Q67" s="272">
        <f t="shared" si="3"/>
        <v>1575.3499882999999</v>
      </c>
      <c r="R67" s="40">
        <f>'Tariffs Jan2018'!AM61</f>
        <v>0</v>
      </c>
      <c r="S67" s="40">
        <f>'Tariffs Jan2018'!AN61</f>
        <v>0</v>
      </c>
      <c r="T67" s="40">
        <f>'Tariffs Jan2018'!AO61</f>
        <v>0</v>
      </c>
      <c r="U67" s="40">
        <f>'Tariffs Jan2018'!AP61</f>
        <v>0</v>
      </c>
      <c r="V67" s="273">
        <f t="shared" si="8"/>
        <v>1432.1363529999999</v>
      </c>
      <c r="W67" s="273">
        <f>V67</f>
        <v>1432.1363529999999</v>
      </c>
      <c r="X67" s="272">
        <f t="shared" si="4"/>
        <v>1575.3499882999999</v>
      </c>
      <c r="Y67" s="272">
        <f t="shared" si="4"/>
        <v>1575.3499882999999</v>
      </c>
      <c r="Z67" s="274">
        <f>'Tariffs Jan2018'!AW61</f>
        <v>0</v>
      </c>
      <c r="AA67" s="274" t="str">
        <f>'Tariffs Jan2018'!AX61</f>
        <v>n</v>
      </c>
      <c r="AB67" s="275" t="str">
        <f>'Tariffs Jan2018'!BE61</f>
        <v>Y</v>
      </c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</row>
    <row r="68" spans="1:40" x14ac:dyDescent="0.15">
      <c r="A68" s="270" t="str">
        <f>'Tariffs Jan2018'!F62</f>
        <v>Origin Energy</v>
      </c>
      <c r="B68" s="40" t="str">
        <f>'Tariffs Jan2018'!D62</f>
        <v>Envestra Central 1</v>
      </c>
      <c r="C68" s="40" t="str">
        <f>'Tariffs Jan2018'!G62</f>
        <v>Saver</v>
      </c>
      <c r="D68" s="59">
        <f>365*'Tariffs Jan2018'!H62/100</f>
        <v>251.85</v>
      </c>
      <c r="E68" s="59">
        <f>IF($C$5*'Tariffs Jan2018'!AK62/'Tariffs Jan2018'!AI62&gt;='Tariffs Jan2018'!J62,( 'Tariffs Jan2018'!J62*'Tariffs Jan2018'!O62/100)* 'Tariffs Jan2018'!AI62,($C$5*'Tariffs Jan2018'!AK62/'Tariffs Jan2018'!AI62*'Tariffs Jan2018'!O62/100)* 'Tariffs Jan2018'!AI62)</f>
        <v>176</v>
      </c>
      <c r="F68" s="59">
        <f>IF($C$5*'Tariffs Jan2018'!AK62/'Tariffs Jan2018'!AI62&lt;'Tariffs Jan2018'!J62,0,IF($C$5*'Tariffs Jan2018'!AK62/'Tariffs Jan2018'!AI62&lt;='Tariffs Jan2018'!K62,($C$5*'Tariffs Jan2018'!AK62/'Tariffs Jan2018'!AI62-'Tariffs Jan2018'!J62)*('Tariffs Jan2018'!P62/100)*'Tariffs Jan2018'!AI62,('Tariffs Jan2018'!K62-'Tariffs Jan2018'!J62)*('Tariffs Jan2018'!P62/100)*'Tariffs Jan2018'!AI62))</f>
        <v>272.95589999999999</v>
      </c>
      <c r="G68" s="59">
        <f>IF($C$5*'Tariffs Jan2018'!AK62/'Tariffs Jan2018'!AI62&lt;'Tariffs Jan2018'!K62,0,IF($C$5*'Tariffs Jan2018'!AK62/'Tariffs Jan2018'!AI62&lt;='Tariffs Jan2018'!L62,($C$5*'Tariffs Jan2018'!AK62/'Tariffs Jan2018'!AI62-'Tariffs Jan2018'!K62)*('Tariffs Jan2018'!Q62/100)*'Tariffs Jan2018'!AI62,('Tariffs Jan2018'!L62-'Tariffs Jan2018'!K62)*('Tariffs Jan2018'!Q62/100)*'Tariffs Jan2018'!AI62))</f>
        <v>0</v>
      </c>
      <c r="H68" s="59">
        <f>IF($C$5*'Tariffs Jan2018'!AK62/'Tariffs Jan2018'!AI62&lt;'Tariffs Jan2018'!L62,0,IF($C$5*'Tariffs Jan2018'!AK62/'Tariffs Jan2018'!AI62&lt;='Tariffs Jan2018'!M62,($C$5*'Tariffs Jan2018'!AK62/'Tariffs Jan2018'!AI62-'Tariffs Jan2018'!L62)*('Tariffs Jan2018'!R62/100)*'Tariffs Jan2018'!AI62,('Tariffs Jan2018'!M62-'Tariffs Jan2018'!L62)*('Tariffs Jan2018'!R62/100)*'Tariffs Jan2018'!AI62))</f>
        <v>0</v>
      </c>
      <c r="I68" s="59">
        <f>IF(($C$5*'Tariffs Jan2018'!AK62/'Tariffs Jan2018'!AI62&gt;'Tariffs Jan2018'!M62),($C$5*'Tariffs Jan2018'!AK62/'Tariffs Jan2018'!AI62-'Tariffs Jan2018'!M62)*'Tariffs Jan2018'!S62/100*'Tariffs Jan2018'!AI62,0)</f>
        <v>0</v>
      </c>
      <c r="J68" s="59">
        <f>IF($C$5*'Tariffs Jan2018'!AL62/'Tariffs Jan2018'!AJ62&gt;='Tariffs Jan2018'!J62,('Tariffs Jan2018'!J62*'Tariffs Jan2018'!U62/100)* 'Tariffs Jan2018'!AJ62,($C$5*'Tariffs Jan2018'!AL62/'Tariffs Jan2018'!AJ62*'Tariffs Jan2018'!U62/100)* 'Tariffs Jan2018'!AJ62)</f>
        <v>352</v>
      </c>
      <c r="K68" s="59">
        <f>IF($C$5*'Tariffs Jan2018'!AL62/'Tariffs Jan2018'!AJ62&lt;'Tariffs Jan2018'!J62,0,IF($C$5*'Tariffs Jan2018'!AL62/'Tariffs Jan2018'!AJ62&lt;='Tariffs Jan2018'!K62,($C$5*'Tariffs Jan2018'!AL62/'Tariffs Jan2018'!AJ62-'Tariffs Jan2018'!J62)*('Tariffs Jan2018'!V62/100)*'Tariffs Jan2018'!AJ62,('Tariffs Jan2018'!K62-'Tariffs Jan2018'!J62)*('Tariffs Jan2018'!V62/100)*'Tariffs Jan2018'!AJ62))</f>
        <v>545.91179999999997</v>
      </c>
      <c r="L68" s="59">
        <f>IF($C$5*'Tariffs Jan2018'!AL62/'Tariffs Jan2018'!AJ62&lt;'Tariffs Jan2018'!K62,0,IF($C$5*'Tariffs Jan2018'!AL62/'Tariffs Jan2018'!AJ62&lt;='Tariffs Jan2018'!L62,($C$5*'Tariffs Jan2018'!AL62/'Tariffs Jan2018'!AJ62-'Tariffs Jan2018'!K62)*('Tariffs Jan2018'!W62/100)*'Tariffs Jan2018'!AJ62,('Tariffs Jan2018'!L62-'Tariffs Jan2018'!K62)*('Tariffs Jan2018'!W62/100)*'Tariffs Jan2018'!AJ62))</f>
        <v>0</v>
      </c>
      <c r="M68" s="59">
        <f>IF($C$5*'Tariffs Jan2018'!AL62/'Tariffs Jan2018'!AJ62&lt;'Tariffs Jan2018'!L62,0,IF($C$5*'Tariffs Jan2018'!AL62/'Tariffs Jan2018'!AJ62&lt;='Tariffs Jan2018'!M62,($C$5*'Tariffs Jan2018'!AL62/'Tariffs Jan2018'!AJ62-'Tariffs Jan2018'!L62)*('Tariffs Jan2018'!X62/100)*'Tariffs Jan2018'!AJ62,('Tariffs Jan2018'!M62-'Tariffs Jan2018'!L62)*('Tariffs Jan2018'!X62/100)*'Tariffs Jan2018'!AJ62))</f>
        <v>0</v>
      </c>
      <c r="N68" s="59">
        <f>IF(($C$5*'Tariffs Jan2018'!AL62/'Tariffs Jan2018'!AJ62&gt;'Tariffs Jan2018'!M62),($C$5*'Tariffs Jan2018'!AL62/'Tariffs Jan2018'!AJ62-'Tariffs Jan2018'!M62)*'Tariffs Jan2018'!Y62/100*'Tariffs Jan2018'!AJ62,0)</f>
        <v>0</v>
      </c>
      <c r="O68" s="271">
        <f t="shared" si="1"/>
        <v>1346.8676999999998</v>
      </c>
      <c r="P68" s="59">
        <f t="shared" si="2"/>
        <v>1598.7176999999997</v>
      </c>
      <c r="Q68" s="272">
        <f t="shared" si="3"/>
        <v>1758.5894699999999</v>
      </c>
      <c r="R68" s="40">
        <f>'Tariffs Jan2018'!AM62</f>
        <v>0</v>
      </c>
      <c r="S68" s="40">
        <f>'Tariffs Jan2018'!AN62</f>
        <v>0</v>
      </c>
      <c r="T68" s="40">
        <f>'Tariffs Jan2018'!AO62</f>
        <v>0</v>
      </c>
      <c r="U68" s="40">
        <f>'Tariffs Jan2018'!AP62</f>
        <v>13</v>
      </c>
      <c r="V68" s="273">
        <f t="shared" si="8"/>
        <v>1598.7176999999997</v>
      </c>
      <c r="W68" s="273">
        <f>V68-(O68*U68/100)</f>
        <v>1423.6248989999997</v>
      </c>
      <c r="X68" s="272">
        <f t="shared" si="4"/>
        <v>1758.5894699999999</v>
      </c>
      <c r="Y68" s="272">
        <f t="shared" si="4"/>
        <v>1565.9873888999998</v>
      </c>
      <c r="Z68" s="274">
        <f>'Tariffs Jan2018'!AW62</f>
        <v>0</v>
      </c>
      <c r="AA68" s="274" t="str">
        <f>'Tariffs Jan2018'!AX62</f>
        <v>n</v>
      </c>
      <c r="AB68" s="275" t="str">
        <f>'Tariffs Jan2018'!BE62</f>
        <v>N</v>
      </c>
      <c r="AC68" s="321"/>
      <c r="AD68" s="321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</row>
    <row r="69" spans="1:40" x14ac:dyDescent="0.15">
      <c r="A69" s="270" t="str">
        <f>'Tariffs Jan2018'!F63</f>
        <v>Red Energy</v>
      </c>
      <c r="B69" s="40" t="str">
        <f>'Tariffs Jan2018'!D63</f>
        <v>Envestra Central 1</v>
      </c>
      <c r="C69" s="40" t="str">
        <f>'Tariffs Jan2018'!G63</f>
        <v>Living Energy Saver</v>
      </c>
      <c r="D69" s="59">
        <f>365*'Tariffs Jan2018'!H63/100</f>
        <v>263.16499999999996</v>
      </c>
      <c r="E69" s="59">
        <f>IF($C$5*'Tariffs Jan2018'!AK63/'Tariffs Jan2018'!AI63&gt;='Tariffs Jan2018'!J63,( 'Tariffs Jan2018'!J63*'Tariffs Jan2018'!O63/100)* 'Tariffs Jan2018'!AI63,($C$5*'Tariffs Jan2018'!AK63/'Tariffs Jan2018'!AI63*'Tariffs Jan2018'!O63/100)* 'Tariffs Jan2018'!AI63)</f>
        <v>128.1</v>
      </c>
      <c r="F69" s="59">
        <f>IF($C$5*'Tariffs Jan2018'!AK63/'Tariffs Jan2018'!AI63&lt;'Tariffs Jan2018'!J63,0,IF($C$5*'Tariffs Jan2018'!AK63/'Tariffs Jan2018'!AI63&lt;='Tariffs Jan2018'!K63,($C$5*'Tariffs Jan2018'!AK63/'Tariffs Jan2018'!AI63-'Tariffs Jan2018'!J63)*('Tariffs Jan2018'!S63/100)*'Tariffs Jan2018'!AI63,('Tariffs Jan2018'!K63-'Tariffs Jan2018'!J63)*('Tariffs Jan2018'!S63/100)*'Tariffs Jan2018'!AI63))</f>
        <v>0</v>
      </c>
      <c r="G69" s="59">
        <f>IF($C$5*'Tariffs Jan2018'!AK63/'Tariffs Jan2018'!AI63&lt;'Tariffs Jan2018'!K63,0,IF($C$5*'Tariffs Jan2018'!AK63/'Tariffs Jan2018'!AI63&lt;='Tariffs Jan2018'!L63,($C$5*'Tariffs Jan2018'!AK63/'Tariffs Jan2018'!AI63-'Tariffs Jan2018'!K63)*('Tariffs Jan2018'!Q63/100)*'Tariffs Jan2018'!AI63,('Tariffs Jan2018'!L63-'Tariffs Jan2018'!K63)*('Tariffs Jan2018'!Q63/100)*'Tariffs Jan2018'!AI63))</f>
        <v>0</v>
      </c>
      <c r="H69" s="59">
        <f>IF($C$5*'Tariffs Jan2018'!AK63/'Tariffs Jan2018'!AI63&lt;'Tariffs Jan2018'!L63,0,IF($C$5*'Tariffs Jan2018'!AK63/'Tariffs Jan2018'!AI63&lt;='Tariffs Jan2018'!M63,($C$5*'Tariffs Jan2018'!AK63/'Tariffs Jan2018'!AI63-'Tariffs Jan2018'!L63)*('Tariffs Jan2018'!R63/100)*'Tariffs Jan2018'!AI63,('Tariffs Jan2018'!M63-'Tariffs Jan2018'!L63)*('Tariffs Jan2018'!R63/100)*'Tariffs Jan2018'!AI63))</f>
        <v>0</v>
      </c>
      <c r="I69" s="59">
        <f>IF(($C$5*'Tariffs Jan2018'!AK63/'Tariffs Jan2018'!AI63&gt;'Tariffs Jan2018'!M63),($C$5*'Tariffs Jan2018'!AK63/'Tariffs Jan2018'!AI63-'Tariffs Jan2018'!M63)*'Tariffs Jan2018'!S63/100*'Tariffs Jan2018'!AI63,0)</f>
        <v>216.11973899999998</v>
      </c>
      <c r="J69" s="59">
        <f>IF($C$5*'Tariffs Jan2018'!AL63/'Tariffs Jan2018'!AJ63&gt;='Tariffs Jan2018'!J63,('Tariffs Jan2018'!J63*'Tariffs Jan2018'!U63/100)* 'Tariffs Jan2018'!AJ63,($C$5*'Tariffs Jan2018'!AL63/'Tariffs Jan2018'!AJ63*'Tariffs Jan2018'!U63/100)* 'Tariffs Jan2018'!AJ63)</f>
        <v>256.2</v>
      </c>
      <c r="K69" s="59">
        <f>IF($C$5*'Tariffs Jan2018'!AL63/'Tariffs Jan2018'!AJ63&lt;'Tariffs Jan2018'!J63,0,IF($C$5*'Tariffs Jan2018'!AL63/'Tariffs Jan2018'!AJ63&lt;='Tariffs Jan2018'!K63,($C$5*'Tariffs Jan2018'!AL63/'Tariffs Jan2018'!AJ63-'Tariffs Jan2018'!J63)*('Tariffs Jan2018'!V63/100)*'Tariffs Jan2018'!AJ63,('Tariffs Jan2018'!K63-'Tariffs Jan2018'!J63)*('Tariffs Jan2018'!V63/100)*'Tariffs Jan2018'!AJ63))</f>
        <v>0</v>
      </c>
      <c r="L69" s="59">
        <f>IF($C$5*'Tariffs Jan2018'!AL63/'Tariffs Jan2018'!AJ63&lt;'Tariffs Jan2018'!K63,0,IF($C$5*'Tariffs Jan2018'!AL63/'Tariffs Jan2018'!AJ63&lt;='Tariffs Jan2018'!L63,($C$5*'Tariffs Jan2018'!AL63/'Tariffs Jan2018'!AJ63-'Tariffs Jan2018'!K63)*('Tariffs Jan2018'!W63/100)*'Tariffs Jan2018'!AJ63,('Tariffs Jan2018'!L63-'Tariffs Jan2018'!K63)*('Tariffs Jan2018'!W63/100)*'Tariffs Jan2018'!AJ63))</f>
        <v>0</v>
      </c>
      <c r="M69" s="59">
        <f>IF($C$5*'Tariffs Jan2018'!AL63/'Tariffs Jan2018'!AJ63&lt;'Tariffs Jan2018'!L63,0,IF($C$5*'Tariffs Jan2018'!AL63/'Tariffs Jan2018'!AJ63&lt;='Tariffs Jan2018'!M63,($C$5*'Tariffs Jan2018'!AL63/'Tariffs Jan2018'!AJ63-'Tariffs Jan2018'!L63)*('Tariffs Jan2018'!X63/100)*'Tariffs Jan2018'!AJ63,('Tariffs Jan2018'!M63-'Tariffs Jan2018'!L63)*('Tariffs Jan2018'!X63/100)*'Tariffs Jan2018'!AJ63))</f>
        <v>0</v>
      </c>
      <c r="N69" s="59">
        <f>IF(($C$5*'Tariffs Jan2018'!AL63/'Tariffs Jan2018'!AJ63&gt;'Tariffs Jan2018'!M63),($C$5*'Tariffs Jan2018'!AL63/'Tariffs Jan2018'!AJ63-'Tariffs Jan2018'!M63)*'Tariffs Jan2018'!Y63/100*'Tariffs Jan2018'!AJ63,0)</f>
        <v>432.23947799999996</v>
      </c>
      <c r="O69" s="271">
        <f t="shared" si="1"/>
        <v>1032.6592169999999</v>
      </c>
      <c r="P69" s="59">
        <f t="shared" si="2"/>
        <v>1295.8242169999999</v>
      </c>
      <c r="Q69" s="272">
        <f t="shared" si="3"/>
        <v>1425.4066387</v>
      </c>
      <c r="R69" s="40">
        <f>'Tariffs Jan2018'!AM63</f>
        <v>0</v>
      </c>
      <c r="S69" s="40">
        <f>'Tariffs Jan2018'!AN63</f>
        <v>0</v>
      </c>
      <c r="T69" s="40">
        <f>'Tariffs Jan2018'!AO63</f>
        <v>10</v>
      </c>
      <c r="U69" s="40">
        <f>'Tariffs Jan2018'!AP63</f>
        <v>0</v>
      </c>
      <c r="V69" s="273">
        <f t="shared" si="8"/>
        <v>1295.8242169999999</v>
      </c>
      <c r="W69" s="273">
        <f>V69-(P69*T69/100)</f>
        <v>1166.2417952999999</v>
      </c>
      <c r="X69" s="272">
        <f t="shared" si="4"/>
        <v>1425.4066387</v>
      </c>
      <c r="Y69" s="272">
        <f t="shared" si="4"/>
        <v>1282.8659748299999</v>
      </c>
      <c r="Z69" s="274">
        <f>'Tariffs Jan2018'!AW63</f>
        <v>0</v>
      </c>
      <c r="AA69" s="274" t="str">
        <f>'Tariffs Jan2018'!AX63</f>
        <v>n</v>
      </c>
      <c r="AB69" s="275" t="str">
        <f>'Tariffs Jan2018'!BE63</f>
        <v>Y</v>
      </c>
      <c r="AC69" s="321"/>
      <c r="AD69" s="321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</row>
    <row r="70" spans="1:40" x14ac:dyDescent="0.15">
      <c r="A70" s="270" t="str">
        <f>'Tariffs Jan2018'!F64</f>
        <v>Simply Energy</v>
      </c>
      <c r="B70" s="40" t="str">
        <f>'Tariffs Jan2018'!D64</f>
        <v>Envestra Central 1</v>
      </c>
      <c r="C70" s="40" t="str">
        <f>'Tariffs Jan2018'!G64</f>
        <v>Plus</v>
      </c>
      <c r="D70" s="59">
        <f>365*'Tariffs Jan2018'!H64/100</f>
        <v>259.55150000000003</v>
      </c>
      <c r="E70" s="59">
        <f>IF($C$5*'Tariffs Jan2018'!AK64/'Tariffs Jan2018'!AI64&gt;='Tariffs Jan2018'!J64,( 'Tariffs Jan2018'!J64*'Tariffs Jan2018'!O64/100)* 'Tariffs Jan2018'!AI64,($C$5*'Tariffs Jan2018'!AK64/'Tariffs Jan2018'!AI64*'Tariffs Jan2018'!O64/100)* 'Tariffs Jan2018'!AI64)</f>
        <v>102.319</v>
      </c>
      <c r="F70" s="59">
        <f>IF($C$5*'Tariffs Jan2018'!AK64/'Tariffs Jan2018'!AI64&lt;'Tariffs Jan2018'!J64,0,IF($C$5*'Tariffs Jan2018'!AK64/'Tariffs Jan2018'!AI64&lt;='Tariffs Jan2018'!K64,($C$5*'Tariffs Jan2018'!AK64/'Tariffs Jan2018'!AI64-'Tariffs Jan2018'!J64)*('Tariffs Jan2018'!P64/100)*'Tariffs Jan2018'!AI64,('Tariffs Jan2018'!K64-'Tariffs Jan2018'!J64)*('Tariffs Jan2018'!P64/100)*'Tariffs Jan2018'!AI64))</f>
        <v>71.00200000000001</v>
      </c>
      <c r="G70" s="59">
        <f>IF($C$5*'Tariffs Jan2018'!AK64/'Tariffs Jan2018'!AI64&lt;'Tariffs Jan2018'!K64,0,IF($C$5*'Tariffs Jan2018'!AK64/'Tariffs Jan2018'!AI64&lt;='Tariffs Jan2018'!L64,($C$5*'Tariffs Jan2018'!AK64/'Tariffs Jan2018'!AI64-'Tariffs Jan2018'!K64)*('Tariffs Jan2018'!Q64/100)*'Tariffs Jan2018'!AI64,('Tariffs Jan2018'!L64-'Tariffs Jan2018'!K64)*('Tariffs Jan2018'!Q64/100)*'Tariffs Jan2018'!AI64))</f>
        <v>0</v>
      </c>
      <c r="H70" s="59">
        <f>IF($C$5*'Tariffs Jan2018'!AK64/'Tariffs Jan2018'!AI64&lt;'Tariffs Jan2018'!L64,0,IF($C$5*'Tariffs Jan2018'!AK64/'Tariffs Jan2018'!AI64&lt;='Tariffs Jan2018'!M64,($C$5*'Tariffs Jan2018'!AK64/'Tariffs Jan2018'!AI64-'Tariffs Jan2018'!L64)*('Tariffs Jan2018'!R64/100)*'Tariffs Jan2018'!AI64,('Tariffs Jan2018'!M64-'Tariffs Jan2018'!L64)*('Tariffs Jan2018'!R64/100)*'Tariffs Jan2018'!AI64))</f>
        <v>0</v>
      </c>
      <c r="I70" s="59">
        <f>IF(($C$5*'Tariffs Jan2018'!AK64/'Tariffs Jan2018'!AI64&gt;'Tariffs Jan2018'!M64),($C$5*'Tariffs Jan2018'!AK64/'Tariffs Jan2018'!AI64-'Tariffs Jan2018'!M64)*'Tariffs Jan2018'!S64/100*'Tariffs Jan2018'!AI64,0)</f>
        <v>328.45400999999998</v>
      </c>
      <c r="J70" s="59">
        <f>IF($C$5*'Tariffs Jan2018'!AL64/'Tariffs Jan2018'!AJ64&gt;='Tariffs Jan2018'!J64,('Tariffs Jan2018'!J64*'Tariffs Jan2018'!U64/100)* 'Tariffs Jan2018'!AJ64,($C$5*'Tariffs Jan2018'!AL64/'Tariffs Jan2018'!AJ64*'Tariffs Jan2018'!U64/100)* 'Tariffs Jan2018'!AJ64)</f>
        <v>204.63800000000001</v>
      </c>
      <c r="K70" s="59">
        <f>IF($C$5*'Tariffs Jan2018'!AL64/'Tariffs Jan2018'!AJ64&lt;'Tariffs Jan2018'!J64,0,IF($C$5*'Tariffs Jan2018'!AL64/'Tariffs Jan2018'!AJ64&lt;='Tariffs Jan2018'!K64,($C$5*'Tariffs Jan2018'!AL64/'Tariffs Jan2018'!AJ64-'Tariffs Jan2018'!J64)*('Tariffs Jan2018'!V64/100)*'Tariffs Jan2018'!AJ64,('Tariffs Jan2018'!K64-'Tariffs Jan2018'!J64)*('Tariffs Jan2018'!V64/100)*'Tariffs Jan2018'!AJ64))</f>
        <v>142.00400000000002</v>
      </c>
      <c r="L70" s="59">
        <f>IF($C$5*'Tariffs Jan2018'!AL64/'Tariffs Jan2018'!AJ64&lt;'Tariffs Jan2018'!K64,0,IF($C$5*'Tariffs Jan2018'!AL64/'Tariffs Jan2018'!AJ64&lt;='Tariffs Jan2018'!L64,($C$5*'Tariffs Jan2018'!AL64/'Tariffs Jan2018'!AJ64-'Tariffs Jan2018'!K64)*('Tariffs Jan2018'!W64/100)*'Tariffs Jan2018'!AJ64,('Tariffs Jan2018'!L64-'Tariffs Jan2018'!K64)*('Tariffs Jan2018'!W64/100)*'Tariffs Jan2018'!AJ64))</f>
        <v>0</v>
      </c>
      <c r="M70" s="59">
        <f>IF($C$5*'Tariffs Jan2018'!AL64/'Tariffs Jan2018'!AJ64&lt;'Tariffs Jan2018'!L64,0,IF($C$5*'Tariffs Jan2018'!AL64/'Tariffs Jan2018'!AJ64&lt;='Tariffs Jan2018'!M64,($C$5*'Tariffs Jan2018'!AL64/'Tariffs Jan2018'!AJ64-'Tariffs Jan2018'!L64)*('Tariffs Jan2018'!X64/100)*'Tariffs Jan2018'!AJ64,('Tariffs Jan2018'!M64-'Tariffs Jan2018'!L64)*('Tariffs Jan2018'!X64/100)*'Tariffs Jan2018'!AJ64))</f>
        <v>0</v>
      </c>
      <c r="N70" s="59">
        <f>IF(($C$5*'Tariffs Jan2018'!AL64/'Tariffs Jan2018'!AJ64&gt;'Tariffs Jan2018'!M64),($C$5*'Tariffs Jan2018'!AL64/'Tariffs Jan2018'!AJ64-'Tariffs Jan2018'!M64)*'Tariffs Jan2018'!Y64/100*'Tariffs Jan2018'!AJ64,0)</f>
        <v>656.90801999999996</v>
      </c>
      <c r="O70" s="271">
        <f t="shared" si="1"/>
        <v>1505.32503</v>
      </c>
      <c r="P70" s="59">
        <f t="shared" si="2"/>
        <v>1764.87653</v>
      </c>
      <c r="Q70" s="272">
        <f t="shared" si="3"/>
        <v>1941.3641830000001</v>
      </c>
      <c r="R70" s="40">
        <f>'Tariffs Jan2018'!AM64</f>
        <v>0</v>
      </c>
      <c r="S70" s="40">
        <f>'Tariffs Jan2018'!AN64</f>
        <v>0</v>
      </c>
      <c r="T70" s="40">
        <f>'Tariffs Jan2018'!AO64</f>
        <v>0</v>
      </c>
      <c r="U70" s="40">
        <f>'Tariffs Jan2018'!AP64</f>
        <v>20</v>
      </c>
      <c r="V70" s="273">
        <f t="shared" si="8"/>
        <v>1764.87653</v>
      </c>
      <c r="W70" s="273">
        <f>V70-(O70*U70/100)</f>
        <v>1463.811524</v>
      </c>
      <c r="X70" s="272">
        <f t="shared" si="4"/>
        <v>1941.3641830000001</v>
      </c>
      <c r="Y70" s="272">
        <f t="shared" si="4"/>
        <v>1610.1926764</v>
      </c>
      <c r="Z70" s="274">
        <f>'Tariffs Jan2018'!AW64</f>
        <v>0</v>
      </c>
      <c r="AA70" s="274" t="str">
        <f>'Tariffs Jan2018'!AX64</f>
        <v>n</v>
      </c>
      <c r="AB70" s="275" t="str">
        <f>'Tariffs Jan2018'!BE64</f>
        <v>Y</v>
      </c>
      <c r="AC70" s="321"/>
      <c r="AD70" s="321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</row>
    <row r="71" spans="1:40" x14ac:dyDescent="0.15">
      <c r="A71" s="270" t="str">
        <f>'Tariffs Jan2018'!F65</f>
        <v>Sumo Power</v>
      </c>
      <c r="B71" s="40" t="str">
        <f>'Tariffs Jan2018'!D65</f>
        <v>Envestra Central 1</v>
      </c>
      <c r="C71" s="40" t="str">
        <f>'Tariffs Jan2018'!G65</f>
        <v>Pay on time</v>
      </c>
      <c r="D71" s="59">
        <f>365*'Tariffs Jan2018'!H65/100</f>
        <v>289.08</v>
      </c>
      <c r="E71" s="59">
        <f>IF($C$5*'Tariffs Jan2018'!AK65/'Tariffs Jan2018'!AI65&gt;='Tariffs Jan2018'!J65,( 'Tariffs Jan2018'!J65*'Tariffs Jan2018'!O65/100)* 'Tariffs Jan2018'!AI65,($C$5*'Tariffs Jan2018'!AK65/'Tariffs Jan2018'!AI65*'Tariffs Jan2018'!O65/100)* 'Tariffs Jan2018'!AI65)</f>
        <v>386.88</v>
      </c>
      <c r="F71" s="59">
        <f>IF($C$5*'Tariffs Jan2018'!AK65/'Tariffs Jan2018'!AI65&lt;'Tariffs Jan2018'!J65,0,IF($C$5*'Tariffs Jan2018'!AK65/'Tariffs Jan2018'!AI65&lt;='Tariffs Jan2018'!K65,($C$5*'Tariffs Jan2018'!AK65/'Tariffs Jan2018'!AI65-'Tariffs Jan2018'!J65)*('Tariffs Jan2018'!S65/100)*'Tariffs Jan2018'!AI65,('Tariffs Jan2018'!K65-'Tariffs Jan2018'!J65)*('Tariffs Jan2018'!S65/100)*'Tariffs Jan2018'!AI65))</f>
        <v>211.81056599999997</v>
      </c>
      <c r="G71" s="59">
        <f>IF($C$5*'Tariffs Jan2018'!AK65/'Tariffs Jan2018'!AI65&lt;'Tariffs Jan2018'!K65,0,IF($C$5*'Tariffs Jan2018'!AK65/'Tariffs Jan2018'!AI65&lt;='Tariffs Jan2018'!L65,($C$5*'Tariffs Jan2018'!AK65/'Tariffs Jan2018'!AI65-'Tariffs Jan2018'!K65)*('Tariffs Jan2018'!Q65/100)*'Tariffs Jan2018'!AI65,('Tariffs Jan2018'!L65-'Tariffs Jan2018'!K65)*('Tariffs Jan2018'!Q65/100)*'Tariffs Jan2018'!AI65))</f>
        <v>0</v>
      </c>
      <c r="H71" s="59">
        <f>IF($C$5*'Tariffs Jan2018'!AK65/'Tariffs Jan2018'!AI65&lt;'Tariffs Jan2018'!L65,0,IF($C$5*'Tariffs Jan2018'!AK65/'Tariffs Jan2018'!AI65&lt;='Tariffs Jan2018'!M65,($C$5*'Tariffs Jan2018'!AK65/'Tariffs Jan2018'!AI65-'Tariffs Jan2018'!L65)*('Tariffs Jan2018'!R65/100)*'Tariffs Jan2018'!AI65,('Tariffs Jan2018'!M65-'Tariffs Jan2018'!L65)*('Tariffs Jan2018'!R65/100)*'Tariffs Jan2018'!AI65))</f>
        <v>0</v>
      </c>
      <c r="I71" s="59">
        <f>IF(($C$5*'Tariffs Jan2018'!AK65/'Tariffs Jan2018'!AI65&gt;'Tariffs Jan2018'!M65),($C$5*'Tariffs Jan2018'!AK65/'Tariffs Jan2018'!AI65-'Tariffs Jan2018'!M65)*'Tariffs Jan2018'!S65/100*'Tariffs Jan2018'!AI65,0)</f>
        <v>0</v>
      </c>
      <c r="J71" s="59">
        <f>IF($C$5*'Tariffs Jan2018'!AL65/'Tariffs Jan2018'!AJ65&gt;='Tariffs Jan2018'!J65,('Tariffs Jan2018'!J65*'Tariffs Jan2018'!U65/100)* 'Tariffs Jan2018'!AJ65,($C$5*'Tariffs Jan2018'!AL65/'Tariffs Jan2018'!AJ65*'Tariffs Jan2018'!U65/100)* 'Tariffs Jan2018'!AJ65)</f>
        <v>773.76</v>
      </c>
      <c r="K71" s="59">
        <f>IF($C$5*'Tariffs Jan2018'!AL65/'Tariffs Jan2018'!AJ65&lt;'Tariffs Jan2018'!J65,0,IF($C$5*'Tariffs Jan2018'!AL65/'Tariffs Jan2018'!AJ65&lt;='Tariffs Jan2018'!K65,($C$5*'Tariffs Jan2018'!AL65/'Tariffs Jan2018'!AJ65-'Tariffs Jan2018'!J65)*('Tariffs Jan2018'!V65/100)*'Tariffs Jan2018'!AJ65,('Tariffs Jan2018'!K65-'Tariffs Jan2018'!J65)*('Tariffs Jan2018'!V65/100)*'Tariffs Jan2018'!AJ65))</f>
        <v>525.65731799999992</v>
      </c>
      <c r="L71" s="59">
        <f>IF($C$5*'Tariffs Jan2018'!AL65/'Tariffs Jan2018'!AJ65&lt;'Tariffs Jan2018'!K65,0,IF($C$5*'Tariffs Jan2018'!AL65/'Tariffs Jan2018'!AJ65&lt;='Tariffs Jan2018'!L65,($C$5*'Tariffs Jan2018'!AL65/'Tariffs Jan2018'!AJ65-'Tariffs Jan2018'!K65)*('Tariffs Jan2018'!W65/100)*'Tariffs Jan2018'!AJ65,('Tariffs Jan2018'!L65-'Tariffs Jan2018'!K65)*('Tariffs Jan2018'!W65/100)*'Tariffs Jan2018'!AJ65))</f>
        <v>0</v>
      </c>
      <c r="M71" s="59">
        <f>IF($C$5*'Tariffs Jan2018'!AL65/'Tariffs Jan2018'!AJ65&lt;'Tariffs Jan2018'!L65,0,IF($C$5*'Tariffs Jan2018'!AL65/'Tariffs Jan2018'!AJ65&lt;='Tariffs Jan2018'!M65,($C$5*'Tariffs Jan2018'!AL65/'Tariffs Jan2018'!AJ65-'Tariffs Jan2018'!L65)*('Tariffs Jan2018'!X65/100)*'Tariffs Jan2018'!AJ65,('Tariffs Jan2018'!M65-'Tariffs Jan2018'!L65)*('Tariffs Jan2018'!X65/100)*'Tariffs Jan2018'!AJ65))</f>
        <v>0</v>
      </c>
      <c r="N71" s="59">
        <f>IF(($C$5*'Tariffs Jan2018'!AL65/'Tariffs Jan2018'!AJ65&gt;'Tariffs Jan2018'!M65),($C$5*'Tariffs Jan2018'!AL65/'Tariffs Jan2018'!AJ65-'Tariffs Jan2018'!M65)*'Tariffs Jan2018'!Y65/100*'Tariffs Jan2018'!AJ65,0)</f>
        <v>0</v>
      </c>
      <c r="O71" s="271">
        <f>SUM(E71:N71)</f>
        <v>1898.107884</v>
      </c>
      <c r="P71" s="59">
        <f>D71+O71</f>
        <v>2187.1878839999999</v>
      </c>
      <c r="Q71" s="272">
        <f>P71*1.1</f>
        <v>2405.9066723999999</v>
      </c>
      <c r="R71" s="40">
        <f>'Tariffs Jan2018'!AM65</f>
        <v>0</v>
      </c>
      <c r="S71" s="40">
        <f>'Tariffs Jan2018'!AN65</f>
        <v>0</v>
      </c>
      <c r="T71" s="40">
        <f>'Tariffs Jan2018'!AO65</f>
        <v>0</v>
      </c>
      <c r="U71" s="40">
        <f>'Tariffs Jan2018'!AP65</f>
        <v>17</v>
      </c>
      <c r="V71" s="273">
        <f t="shared" si="8"/>
        <v>2187.1878839999999</v>
      </c>
      <c r="W71" s="273">
        <f>V71-(O71*U71/100)</f>
        <v>1864.50954372</v>
      </c>
      <c r="X71" s="272">
        <f>V71*1.1</f>
        <v>2405.9066723999999</v>
      </c>
      <c r="Y71" s="272">
        <f>W71*1.1</f>
        <v>2050.9604980920003</v>
      </c>
      <c r="Z71" s="274">
        <f>'Tariffs Jan2018'!AW65</f>
        <v>0</v>
      </c>
      <c r="AA71" s="274" t="str">
        <f>'Tariffs Jan2018'!AX65</f>
        <v>n</v>
      </c>
      <c r="AB71" s="275" t="str">
        <f>'Tariffs Jan2018'!BE65</f>
        <v>Y</v>
      </c>
      <c r="AC71" s="321"/>
      <c r="AD71" s="321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</row>
    <row r="72" spans="1:40" ht="14" thickBot="1" x14ac:dyDescent="0.2">
      <c r="A72" s="276" t="str">
        <f>'Tariffs Jan2018'!F66</f>
        <v>Amaysim</v>
      </c>
      <c r="B72" s="277" t="str">
        <f>'Tariffs Jan2018'!D66</f>
        <v>Envestra Central 1</v>
      </c>
      <c r="C72" s="277" t="str">
        <f>'Tariffs Jan2018'!G66</f>
        <v>Gas 3</v>
      </c>
      <c r="D72" s="278">
        <f>365*'Tariffs Jan2018'!H66/100</f>
        <v>292.73</v>
      </c>
      <c r="E72" s="278">
        <f>IF($C$5*'Tariffs Jan2018'!AK66/'Tariffs Jan2018'!AI66&gt;='Tariffs Jan2018'!J66,( 'Tariffs Jan2018'!J66*'Tariffs Jan2018'!O66/100)* 'Tariffs Jan2018'!AI66,($C$5*'Tariffs Jan2018'!AK66/'Tariffs Jan2018'!AI66*'Tariffs Jan2018'!O66/100)* 'Tariffs Jan2018'!AI66)</f>
        <v>123.375</v>
      </c>
      <c r="F72" s="278">
        <f>IF($C$5*'Tariffs Jan2018'!AK66/'Tariffs Jan2018'!AI66&lt;'Tariffs Jan2018'!J66,0,IF($C$5*'Tariffs Jan2018'!AK66/'Tariffs Jan2018'!AI66&lt;='Tariffs Jan2018'!K66,($C$5*'Tariffs Jan2018'!AK66/'Tariffs Jan2018'!AI66-'Tariffs Jan2018'!J66)*('Tariffs Jan2018'!P66/100)*'Tariffs Jan2018'!AI66,('Tariffs Jan2018'!K66-'Tariffs Jan2018'!J66)*('Tariffs Jan2018'!P66/100)*'Tariffs Jan2018'!AI66))</f>
        <v>86.72</v>
      </c>
      <c r="G72" s="278">
        <f>IF($C$5*'Tariffs Jan2018'!AK66/'Tariffs Jan2018'!AI66&lt;'Tariffs Jan2018'!K66,0,IF($C$5*'Tariffs Jan2018'!AK66/'Tariffs Jan2018'!AI66&lt;='Tariffs Jan2018'!L66,($C$5*'Tariffs Jan2018'!AK66/'Tariffs Jan2018'!AI66-'Tariffs Jan2018'!K66)*('Tariffs Jan2018'!Q66/100)*'Tariffs Jan2018'!AI66,('Tariffs Jan2018'!L66-'Tariffs Jan2018'!K66)*('Tariffs Jan2018'!Q66/100)*'Tariffs Jan2018'!AI66))</f>
        <v>0</v>
      </c>
      <c r="H72" s="278">
        <f>IF($C$5*'Tariffs Jan2018'!AK66/'Tariffs Jan2018'!AI66&lt;'Tariffs Jan2018'!L66,0,IF($C$5*'Tariffs Jan2018'!AK66/'Tariffs Jan2018'!AI66&lt;='Tariffs Jan2018'!M66,($C$5*'Tariffs Jan2018'!AK66/'Tariffs Jan2018'!AI66-'Tariffs Jan2018'!L66)*('Tariffs Jan2018'!R66/100)*'Tariffs Jan2018'!AI66,('Tariffs Jan2018'!M66-'Tariffs Jan2018'!L66)*('Tariffs Jan2018'!R66/100)*'Tariffs Jan2018'!AI66))</f>
        <v>0</v>
      </c>
      <c r="I72" s="278">
        <f>IF(($C$5*'Tariffs Jan2018'!AK66/'Tariffs Jan2018'!AI66&gt;'Tariffs Jan2018'!M66),($C$5*'Tariffs Jan2018'!AK66/'Tariffs Jan2018'!AI66-'Tariffs Jan2018'!M66)*'Tariffs Jan2018'!S66/100*'Tariffs Jan2018'!AI66,0)</f>
        <v>412.44224999999989</v>
      </c>
      <c r="J72" s="278">
        <f>IF($C$5*'Tariffs Jan2018'!AL66/'Tariffs Jan2018'!AJ66&gt;='Tariffs Jan2018'!J66,('Tariffs Jan2018'!J66*'Tariffs Jan2018'!U66/100)* 'Tariffs Jan2018'!AJ66,($C$5*'Tariffs Jan2018'!AL66/'Tariffs Jan2018'!AJ66*'Tariffs Jan2018'!U66/100)* 'Tariffs Jan2018'!AJ66)</f>
        <v>246.75</v>
      </c>
      <c r="K72" s="278">
        <f>IF($C$5*'Tariffs Jan2018'!AL66/'Tariffs Jan2018'!AJ66&lt;'Tariffs Jan2018'!J66,0,IF($C$5*'Tariffs Jan2018'!AL66/'Tariffs Jan2018'!AJ66&lt;='Tariffs Jan2018'!K66,($C$5*'Tariffs Jan2018'!AL66/'Tariffs Jan2018'!AJ66-'Tariffs Jan2018'!J66)*('Tariffs Jan2018'!V66/100)*'Tariffs Jan2018'!AJ66,('Tariffs Jan2018'!K66-'Tariffs Jan2018'!J66)*('Tariffs Jan2018'!V66/100)*'Tariffs Jan2018'!AJ66))</f>
        <v>173.44</v>
      </c>
      <c r="L72" s="278">
        <f>IF($C$5*'Tariffs Jan2018'!AL66/'Tariffs Jan2018'!AJ66&lt;'Tariffs Jan2018'!K66,0,IF($C$5*'Tariffs Jan2018'!AL66/'Tariffs Jan2018'!AJ66&lt;='Tariffs Jan2018'!L66,($C$5*'Tariffs Jan2018'!AL66/'Tariffs Jan2018'!AJ66-'Tariffs Jan2018'!K66)*('Tariffs Jan2018'!W66/100)*'Tariffs Jan2018'!AJ66,('Tariffs Jan2018'!L66-'Tariffs Jan2018'!K66)*('Tariffs Jan2018'!W66/100)*'Tariffs Jan2018'!AJ66))</f>
        <v>0</v>
      </c>
      <c r="M72" s="278">
        <f>IF($C$5*'Tariffs Jan2018'!AL66/'Tariffs Jan2018'!AJ66&lt;'Tariffs Jan2018'!L66,0,IF($C$5*'Tariffs Jan2018'!AL66/'Tariffs Jan2018'!AJ66&lt;='Tariffs Jan2018'!M66,($C$5*'Tariffs Jan2018'!AL66/'Tariffs Jan2018'!AJ66-'Tariffs Jan2018'!L66)*('Tariffs Jan2018'!X66/100)*'Tariffs Jan2018'!AJ66,('Tariffs Jan2018'!M66-'Tariffs Jan2018'!L66)*('Tariffs Jan2018'!X66/100)*'Tariffs Jan2018'!AJ66))</f>
        <v>0</v>
      </c>
      <c r="N72" s="278">
        <f>IF(($C$5*'Tariffs Jan2018'!AL66/'Tariffs Jan2018'!AJ66&gt;'Tariffs Jan2018'!M66),($C$5*'Tariffs Jan2018'!AL66/'Tariffs Jan2018'!AJ66-'Tariffs Jan2018'!M66)*'Tariffs Jan2018'!Y66/100*'Tariffs Jan2018'!AJ66,0)</f>
        <v>824.88449999999978</v>
      </c>
      <c r="O72" s="279">
        <f>SUM(E72:N72)</f>
        <v>1867.6117499999996</v>
      </c>
      <c r="P72" s="278">
        <f>D72+O72</f>
        <v>2160.3417499999996</v>
      </c>
      <c r="Q72" s="280">
        <f>P72*1.1</f>
        <v>2376.3759249999998</v>
      </c>
      <c r="R72" s="277">
        <f>'Tariffs Jan2018'!AM66</f>
        <v>0</v>
      </c>
      <c r="S72" s="277">
        <f>'Tariffs Jan2018'!AN66</f>
        <v>0</v>
      </c>
      <c r="T72" s="277">
        <f>'Tariffs Jan2018'!AO66</f>
        <v>28</v>
      </c>
      <c r="U72" s="277">
        <f>'Tariffs Jan2018'!AP66</f>
        <v>0</v>
      </c>
      <c r="V72" s="281">
        <f t="shared" si="8"/>
        <v>2160.3417499999996</v>
      </c>
      <c r="W72" s="281">
        <f>V72-(P72*T72/100)</f>
        <v>1555.4460599999998</v>
      </c>
      <c r="X72" s="280">
        <f>V72*1.1</f>
        <v>2376.3759249999998</v>
      </c>
      <c r="Y72" s="280">
        <f>W72*1.1</f>
        <v>1710.9906659999999</v>
      </c>
      <c r="Z72" s="282">
        <f>'Tariffs Jan2018'!AW66</f>
        <v>0</v>
      </c>
      <c r="AA72" s="282" t="str">
        <f>'Tariffs Jan2018'!AX66</f>
        <v>n</v>
      </c>
      <c r="AB72" s="283" t="str">
        <f>'Tariffs Jan2018'!BE66</f>
        <v>N</v>
      </c>
      <c r="AC72" s="321"/>
      <c r="AD72" s="321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</row>
    <row r="73" spans="1:40" ht="14" thickTop="1" x14ac:dyDescent="0.15">
      <c r="A73" s="270" t="str">
        <f>'Tariffs Jan2018'!F67</f>
        <v>AGL</v>
      </c>
      <c r="B73" s="40" t="str">
        <f>'Tariffs Jan2018'!D67</f>
        <v>Ausnet West</v>
      </c>
      <c r="C73" s="40" t="str">
        <f>'Tariffs Jan2018'!G67</f>
        <v>Savers</v>
      </c>
      <c r="D73" s="59">
        <f>365*'Tariffs Jan2018'!H67/100</f>
        <v>313.89999999999998</v>
      </c>
      <c r="E73" s="59">
        <f>IF($C$5*'Tariffs Jan2018'!AK67/'Tariffs Jan2018'!AI67&gt;='Tariffs Jan2018'!J67,( 'Tariffs Jan2018'!J67*'Tariffs Jan2018'!O67/100)* 'Tariffs Jan2018'!AI67,($C$5*'Tariffs Jan2018'!AK67/'Tariffs Jan2018'!AI67*'Tariffs Jan2018'!O67/100)* 'Tariffs Jan2018'!AI67)</f>
        <v>272.39999999999998</v>
      </c>
      <c r="F73" s="59">
        <f>IF($C$5*'Tariffs Jan2018'!AK67/'Tariffs Jan2018'!AI67&lt;'Tariffs Jan2018'!J67,0,IF($C$5*'Tariffs Jan2018'!AK67/'Tariffs Jan2018'!AI67&lt;='Tariffs Jan2018'!K67,($C$5*'Tariffs Jan2018'!AK67/'Tariffs Jan2018'!AI67-'Tariffs Jan2018'!J67)*('Tariffs Jan2018'!P67/100)*'Tariffs Jan2018'!AI67,('Tariffs Jan2018'!K67-'Tariffs Jan2018'!J67)*('Tariffs Jan2018'!P67/100)*'Tariffs Jan2018'!AI67))</f>
        <v>196.15421999999995</v>
      </c>
      <c r="G73" s="59">
        <f>IF($C$5*'Tariffs Jan2018'!AK67/'Tariffs Jan2018'!AI67&lt;'Tariffs Jan2018'!K67,0,IF($C$5*'Tariffs Jan2018'!AK67/'Tariffs Jan2018'!AI67&lt;='Tariffs Jan2018'!L67,($C$5*'Tariffs Jan2018'!AK67/'Tariffs Jan2018'!AI67-'Tariffs Jan2018'!K67)*('Tariffs Jan2018'!Q67/100)*'Tariffs Jan2018'!AI67,('Tariffs Jan2018'!L67-'Tariffs Jan2018'!K67)*('Tariffs Jan2018'!Q67/100)*'Tariffs Jan2018'!AI67))</f>
        <v>0</v>
      </c>
      <c r="H73" s="59">
        <f>IF($C$5*'Tariffs Jan2018'!AK67/'Tariffs Jan2018'!AI67&lt;'Tariffs Jan2018'!L67,0,IF($C$5*'Tariffs Jan2018'!AK67/'Tariffs Jan2018'!AI67&lt;='Tariffs Jan2018'!M67,($C$5*'Tariffs Jan2018'!AK67/'Tariffs Jan2018'!AI67-'Tariffs Jan2018'!L67)*('Tariffs Jan2018'!R67/100)*'Tariffs Jan2018'!AI67,('Tariffs Jan2018'!M67-'Tariffs Jan2018'!L67)*('Tariffs Jan2018'!R67/100)*'Tariffs Jan2018'!AI67))</f>
        <v>0</v>
      </c>
      <c r="I73" s="59">
        <f>IF(($C$5*'Tariffs Jan2018'!AK67/'Tariffs Jan2018'!AI67&gt;'Tariffs Jan2018'!M67),($C$5*'Tariffs Jan2018'!AK67/'Tariffs Jan2018'!AI67-'Tariffs Jan2018'!M67)*'Tariffs Jan2018'!S67/100*'Tariffs Jan2018'!AI67,0)</f>
        <v>0</v>
      </c>
      <c r="J73" s="59">
        <f>IF($C$5*'Tariffs Jan2018'!AL67/'Tariffs Jan2018'!AJ67&gt;='Tariffs Jan2018'!J67,('Tariffs Jan2018'!J67*'Tariffs Jan2018'!U67/100)* 'Tariffs Jan2018'!AJ67,($C$5*'Tariffs Jan2018'!AL67/'Tariffs Jan2018'!AJ67*'Tariffs Jan2018'!U67/100)* 'Tariffs Jan2018'!AJ67)</f>
        <v>494.4</v>
      </c>
      <c r="K73" s="59">
        <f>IF($C$5*'Tariffs Jan2018'!AL67/'Tariffs Jan2018'!AJ67&lt;'Tariffs Jan2018'!J67,0,IF($C$5*'Tariffs Jan2018'!AL67/'Tariffs Jan2018'!AJ67&lt;='Tariffs Jan2018'!K67,($C$5*'Tariffs Jan2018'!AL67/'Tariffs Jan2018'!AJ67-'Tariffs Jan2018'!J67)*('Tariffs Jan2018'!V67/100)*'Tariffs Jan2018'!AJ67,('Tariffs Jan2018'!K67-'Tariffs Jan2018'!J67)*('Tariffs Jan2018'!V67/100)*'Tariffs Jan2018'!AJ67))</f>
        <v>298.73027999999994</v>
      </c>
      <c r="L73" s="59">
        <f>IF($C$5*'Tariffs Jan2018'!AL67/'Tariffs Jan2018'!AJ67&lt;'Tariffs Jan2018'!K67,0,IF($C$5*'Tariffs Jan2018'!AL67/'Tariffs Jan2018'!AJ67&lt;='Tariffs Jan2018'!L67,($C$5*'Tariffs Jan2018'!AL67/'Tariffs Jan2018'!AJ67-'Tariffs Jan2018'!K67)*('Tariffs Jan2018'!W67/100)*'Tariffs Jan2018'!AJ67,('Tariffs Jan2018'!L67-'Tariffs Jan2018'!K67)*('Tariffs Jan2018'!W67/100)*'Tariffs Jan2018'!AJ67))</f>
        <v>0</v>
      </c>
      <c r="M73" s="59">
        <f>IF($C$5*'Tariffs Jan2018'!AL67/'Tariffs Jan2018'!AJ67&lt;'Tariffs Jan2018'!L67,0,IF($C$5*'Tariffs Jan2018'!AL67/'Tariffs Jan2018'!AJ67&lt;='Tariffs Jan2018'!M67,($C$5*'Tariffs Jan2018'!AL67/'Tariffs Jan2018'!AJ67-'Tariffs Jan2018'!L67)*('Tariffs Jan2018'!X67/100)*'Tariffs Jan2018'!AJ67,('Tariffs Jan2018'!M67-'Tariffs Jan2018'!L67)*('Tariffs Jan2018'!X67/100)*'Tariffs Jan2018'!AJ67))</f>
        <v>0</v>
      </c>
      <c r="N73" s="59">
        <f>IF(($C$5*'Tariffs Jan2018'!AL67/'Tariffs Jan2018'!AJ67&gt;'Tariffs Jan2018'!M67),($C$5*'Tariffs Jan2018'!AL67/'Tariffs Jan2018'!AJ67-'Tariffs Jan2018'!M67)*'Tariffs Jan2018'!Y67/100*'Tariffs Jan2018'!AJ67,0)</f>
        <v>0</v>
      </c>
      <c r="O73" s="271">
        <f t="shared" si="1"/>
        <v>1261.6844999999998</v>
      </c>
      <c r="P73" s="59">
        <f t="shared" si="2"/>
        <v>1575.5844999999999</v>
      </c>
      <c r="Q73" s="272">
        <f t="shared" si="3"/>
        <v>1733.1429500000002</v>
      </c>
      <c r="R73" s="40">
        <f>'Tariffs Jan2018'!AM67</f>
        <v>0</v>
      </c>
      <c r="S73" s="40">
        <f>'Tariffs Jan2018'!AN67</f>
        <v>0</v>
      </c>
      <c r="T73" s="40">
        <f>'Tariffs Jan2018'!AO67</f>
        <v>0</v>
      </c>
      <c r="U73" s="40">
        <f>'Tariffs Jan2018'!AP67</f>
        <v>12</v>
      </c>
      <c r="V73" s="273">
        <f t="shared" ref="V73:V85" si="9">P73</f>
        <v>1575.5844999999999</v>
      </c>
      <c r="W73" s="273">
        <f>V73-(O73*U73/100)</f>
        <v>1424.18236</v>
      </c>
      <c r="X73" s="272">
        <f t="shared" si="4"/>
        <v>1733.1429500000002</v>
      </c>
      <c r="Y73" s="272">
        <f t="shared" si="4"/>
        <v>1566.6005960000002</v>
      </c>
      <c r="Z73" s="274">
        <f>'Tariffs Jan2018'!AW67</f>
        <v>0</v>
      </c>
      <c r="AA73" s="274" t="str">
        <f>'Tariffs Jan2018'!AX67</f>
        <v>n</v>
      </c>
      <c r="AB73" s="275" t="str">
        <f>'Tariffs Jan2018'!BE67</f>
        <v>N</v>
      </c>
      <c r="AC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</row>
    <row r="74" spans="1:40" x14ac:dyDescent="0.15">
      <c r="A74" s="270" t="str">
        <f>'Tariffs Jan2018'!F68</f>
        <v>Alinta Energy</v>
      </c>
      <c r="B74" s="40" t="str">
        <f>'Tariffs Jan2018'!D68</f>
        <v>Ausnet West</v>
      </c>
      <c r="C74" s="40" t="str">
        <f>'Tariffs Jan2018'!G68</f>
        <v>Fair Deal</v>
      </c>
      <c r="D74" s="59">
        <f>365*'Tariffs Jan2018'!H68/100</f>
        <v>273.38500000000005</v>
      </c>
      <c r="E74" s="59">
        <f>IF($C$5*'Tariffs Jan2018'!AK68/'Tariffs Jan2018'!AI68&gt;='Tariffs Jan2018'!J68,( 'Tariffs Jan2018'!J68*'Tariffs Jan2018'!O68/100)* 'Tariffs Jan2018'!AI68,($C$5*'Tariffs Jan2018'!AK68/'Tariffs Jan2018'!AI68*'Tariffs Jan2018'!O68/100)* 'Tariffs Jan2018'!AI68)</f>
        <v>260.39999999999998</v>
      </c>
      <c r="F74" s="59">
        <f>IF($C$5*'Tariffs Jan2018'!AK68/'Tariffs Jan2018'!AI68&lt;'Tariffs Jan2018'!J68,0,IF($C$5*'Tariffs Jan2018'!AK68/'Tariffs Jan2018'!AI68&lt;='Tariffs Jan2018'!K68,($C$5*'Tariffs Jan2018'!AK68/'Tariffs Jan2018'!AI68-'Tariffs Jan2018'!J68)*('Tariffs Jan2018'!P68/100)*'Tariffs Jan2018'!AI68,('Tariffs Jan2018'!K68-'Tariffs Jan2018'!J68)*('Tariffs Jan2018'!P68/100)*'Tariffs Jan2018'!AI68))</f>
        <v>0</v>
      </c>
      <c r="G74" s="59">
        <f>IF($C$5*'Tariffs Jan2018'!AK68/'Tariffs Jan2018'!AI68&lt;'Tariffs Jan2018'!K68,0,IF($C$5*'Tariffs Jan2018'!AK68/'Tariffs Jan2018'!AI68&lt;='Tariffs Jan2018'!L68,($C$5*'Tariffs Jan2018'!AK68/'Tariffs Jan2018'!AI68-'Tariffs Jan2018'!K68)*('Tariffs Jan2018'!Q68/100)*'Tariffs Jan2018'!AI68,('Tariffs Jan2018'!L68-'Tariffs Jan2018'!K68)*('Tariffs Jan2018'!Q68/100)*'Tariffs Jan2018'!AI68))</f>
        <v>0</v>
      </c>
      <c r="H74" s="59">
        <f>IF($C$5*'Tariffs Jan2018'!AK68/'Tariffs Jan2018'!AI68&lt;'Tariffs Jan2018'!L68,0,IF($C$5*'Tariffs Jan2018'!AK68/'Tariffs Jan2018'!AI68&lt;='Tariffs Jan2018'!M68,($C$5*'Tariffs Jan2018'!AK68/'Tariffs Jan2018'!AI68-'Tariffs Jan2018'!L68)*('Tariffs Jan2018'!R68/100)*'Tariffs Jan2018'!AI68,('Tariffs Jan2018'!M68-'Tariffs Jan2018'!L68)*('Tariffs Jan2018'!R68/100)*'Tariffs Jan2018'!AI68))</f>
        <v>0</v>
      </c>
      <c r="I74" s="59">
        <f>IF(($C$5*'Tariffs Jan2018'!AK68/'Tariffs Jan2018'!AI68&gt;'Tariffs Jan2018'!M68),($C$5*'Tariffs Jan2018'!AK68/'Tariffs Jan2018'!AI68-'Tariffs Jan2018'!M68)*'Tariffs Jan2018'!S68/100*'Tariffs Jan2018'!AI68,0)</f>
        <v>174.55925999999997</v>
      </c>
      <c r="J74" s="59">
        <f>IF($C$5*'Tariffs Jan2018'!AL68/'Tariffs Jan2018'!AJ68&gt;='Tariffs Jan2018'!J68,('Tariffs Jan2018'!J68*'Tariffs Jan2018'!U68/100)* 'Tariffs Jan2018'!AJ68,($C$5*'Tariffs Jan2018'!AL68/'Tariffs Jan2018'!AJ68*'Tariffs Jan2018'!U68/100)* 'Tariffs Jan2018'!AJ68)</f>
        <v>460.8</v>
      </c>
      <c r="K74" s="59">
        <f>IF($C$5*'Tariffs Jan2018'!AL68/'Tariffs Jan2018'!AJ68&lt;'Tariffs Jan2018'!J68,0,IF($C$5*'Tariffs Jan2018'!AL68/'Tariffs Jan2018'!AJ68&lt;='Tariffs Jan2018'!K68,($C$5*'Tariffs Jan2018'!AL68/'Tariffs Jan2018'!AJ68-'Tariffs Jan2018'!J68)*('Tariffs Jan2018'!V68/100)*'Tariffs Jan2018'!AJ68,('Tariffs Jan2018'!K68-'Tariffs Jan2018'!J68)*('Tariffs Jan2018'!V68/100)*'Tariffs Jan2018'!AJ68))</f>
        <v>0</v>
      </c>
      <c r="L74" s="59">
        <f>IF($C$5*'Tariffs Jan2018'!AL68/'Tariffs Jan2018'!AJ68&lt;'Tariffs Jan2018'!K68,0,IF($C$5*'Tariffs Jan2018'!AL68/'Tariffs Jan2018'!AJ68&lt;='Tariffs Jan2018'!L68,($C$5*'Tariffs Jan2018'!AL68/'Tariffs Jan2018'!AJ68-'Tariffs Jan2018'!K68)*('Tariffs Jan2018'!W68/100)*'Tariffs Jan2018'!AJ68,('Tariffs Jan2018'!L68-'Tariffs Jan2018'!K68)*('Tariffs Jan2018'!W68/100)*'Tariffs Jan2018'!AJ68))</f>
        <v>0</v>
      </c>
      <c r="M74" s="59">
        <f>IF($C$5*'Tariffs Jan2018'!AL68/'Tariffs Jan2018'!AJ68&lt;'Tariffs Jan2018'!L68,0,IF($C$5*'Tariffs Jan2018'!AL68/'Tariffs Jan2018'!AJ68&lt;='Tariffs Jan2018'!M68,($C$5*'Tariffs Jan2018'!AL68/'Tariffs Jan2018'!AJ68-'Tariffs Jan2018'!L68)*('Tariffs Jan2018'!X68/100)*'Tariffs Jan2018'!AJ68,('Tariffs Jan2018'!M68-'Tariffs Jan2018'!L68)*('Tariffs Jan2018'!X68/100)*'Tariffs Jan2018'!AJ68))</f>
        <v>0</v>
      </c>
      <c r="N74" s="59">
        <f>IF(($C$5*'Tariffs Jan2018'!AL68/'Tariffs Jan2018'!AJ68&gt;'Tariffs Jan2018'!M68),($C$5*'Tariffs Jan2018'!AL68/'Tariffs Jan2018'!AJ68-'Tariffs Jan2018'!M68)*'Tariffs Jan2018'!Y68/100*'Tariffs Jan2018'!AJ68,0)</f>
        <v>289.73237999999992</v>
      </c>
      <c r="O74" s="271">
        <f t="shared" si="1"/>
        <v>1185.49164</v>
      </c>
      <c r="P74" s="59">
        <f t="shared" si="2"/>
        <v>1458.87664</v>
      </c>
      <c r="Q74" s="272">
        <f t="shared" si="3"/>
        <v>1604.764304</v>
      </c>
      <c r="R74" s="40">
        <f>'Tariffs Jan2018'!AM68</f>
        <v>0</v>
      </c>
      <c r="S74" s="40">
        <f>'Tariffs Jan2018'!AN68</f>
        <v>0</v>
      </c>
      <c r="T74" s="40">
        <f>'Tariffs Jan2018'!AO68</f>
        <v>0</v>
      </c>
      <c r="U74" s="40">
        <f>'Tariffs Jan2018'!AP68</f>
        <v>25</v>
      </c>
      <c r="V74" s="273">
        <f t="shared" si="9"/>
        <v>1458.87664</v>
      </c>
      <c r="W74" s="273">
        <f>V74-(O74*U74/100)</f>
        <v>1162.5037299999999</v>
      </c>
      <c r="X74" s="272">
        <f t="shared" si="4"/>
        <v>1604.764304</v>
      </c>
      <c r="Y74" s="272">
        <f t="shared" si="4"/>
        <v>1278.754103</v>
      </c>
      <c r="Z74" s="274">
        <f>'Tariffs Jan2018'!AW68</f>
        <v>0</v>
      </c>
      <c r="AA74" s="274" t="str">
        <f>'Tariffs Jan2018'!AX68</f>
        <v>n</v>
      </c>
      <c r="AB74" s="275" t="str">
        <f>'Tariffs Jan2018'!BE68</f>
        <v>Y</v>
      </c>
      <c r="AC74" s="321"/>
      <c r="AD74" s="321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</row>
    <row r="75" spans="1:40" x14ac:dyDescent="0.15">
      <c r="A75" s="270" t="str">
        <f>'Tariffs Jan2018'!F69</f>
        <v>Click Energy</v>
      </c>
      <c r="B75" s="40" t="str">
        <f>'Tariffs Jan2018'!D69</f>
        <v>Ausnet West</v>
      </c>
      <c r="C75" s="40" t="str">
        <f>'Tariffs Jan2018'!G69</f>
        <v>Amber</v>
      </c>
      <c r="D75" s="59">
        <f>365*'Tariffs Jan2018'!H69/100</f>
        <v>353.32</v>
      </c>
      <c r="E75" s="59">
        <f>IF($C$5*'Tariffs Jan2018'!AK69/'Tariffs Jan2018'!AI69&gt;='Tariffs Jan2018'!J69,( 'Tariffs Jan2018'!J69*'Tariffs Jan2018'!O69/100)* 'Tariffs Jan2018'!AI69,($C$5*'Tariffs Jan2018'!AK69/'Tariffs Jan2018'!AI69*'Tariffs Jan2018'!O69/100)* 'Tariffs Jan2018'!AI69)</f>
        <v>366</v>
      </c>
      <c r="F75" s="59">
        <f>IF($C$5*'Tariffs Jan2018'!AK69/'Tariffs Jan2018'!AI69&lt;'Tariffs Jan2018'!J69,0,IF($C$5*'Tariffs Jan2018'!AK69/'Tariffs Jan2018'!AI69&lt;='Tariffs Jan2018'!K69,($C$5*'Tariffs Jan2018'!AK69/'Tariffs Jan2018'!AI69-'Tariffs Jan2018'!J69)*('Tariffs Jan2018'!P69/100)*'Tariffs Jan2018'!AI69,('Tariffs Jan2018'!K69-'Tariffs Jan2018'!J69)*('Tariffs Jan2018'!P69/100)*'Tariffs Jan2018'!AI69))</f>
        <v>260.93909999999994</v>
      </c>
      <c r="G75" s="59">
        <f>IF($C$5*'Tariffs Jan2018'!AK69/'Tariffs Jan2018'!AI69&lt;'Tariffs Jan2018'!K69,0,IF($C$5*'Tariffs Jan2018'!AK69/'Tariffs Jan2018'!AI69&lt;='Tariffs Jan2018'!L69,($C$5*'Tariffs Jan2018'!AK69/'Tariffs Jan2018'!AI69-'Tariffs Jan2018'!K69)*('Tariffs Jan2018'!Q69/100)*'Tariffs Jan2018'!AI69,('Tariffs Jan2018'!L69-'Tariffs Jan2018'!K69)*('Tariffs Jan2018'!Q69/100)*'Tariffs Jan2018'!AI69))</f>
        <v>0</v>
      </c>
      <c r="H75" s="59">
        <f>IF($C$5*'Tariffs Jan2018'!AK69/'Tariffs Jan2018'!AI69&lt;'Tariffs Jan2018'!L69,0,IF($C$5*'Tariffs Jan2018'!AK69/'Tariffs Jan2018'!AI69&lt;='Tariffs Jan2018'!M69,($C$5*'Tariffs Jan2018'!AK69/'Tariffs Jan2018'!AI69-'Tariffs Jan2018'!L69)*('Tariffs Jan2018'!R69/100)*'Tariffs Jan2018'!AI69,('Tariffs Jan2018'!M69-'Tariffs Jan2018'!L69)*('Tariffs Jan2018'!R69/100)*'Tariffs Jan2018'!AI69))</f>
        <v>0</v>
      </c>
      <c r="I75" s="59">
        <f>IF(($C$5*'Tariffs Jan2018'!AK69/'Tariffs Jan2018'!AI69&gt;'Tariffs Jan2018'!M69),($C$5*'Tariffs Jan2018'!AK69/'Tariffs Jan2018'!AI69-'Tariffs Jan2018'!M69)*'Tariffs Jan2018'!S69/100*'Tariffs Jan2018'!AI69,0)</f>
        <v>0</v>
      </c>
      <c r="J75" s="59">
        <f>IF($C$5*'Tariffs Jan2018'!AL69/'Tariffs Jan2018'!AJ69&gt;='Tariffs Jan2018'!J69,('Tariffs Jan2018'!J69*'Tariffs Jan2018'!U69/100)* 'Tariffs Jan2018'!AJ69,($C$5*'Tariffs Jan2018'!AL69/'Tariffs Jan2018'!AJ69*'Tariffs Jan2018'!U69/100)* 'Tariffs Jan2018'!AJ69)</f>
        <v>600</v>
      </c>
      <c r="K75" s="59">
        <f>IF($C$5*'Tariffs Jan2018'!AL69/'Tariffs Jan2018'!AJ69&lt;'Tariffs Jan2018'!J69,0,IF($C$5*'Tariffs Jan2018'!AL69/'Tariffs Jan2018'!AJ69&lt;='Tariffs Jan2018'!K69,($C$5*'Tariffs Jan2018'!AL69/'Tariffs Jan2018'!AJ69-'Tariffs Jan2018'!J69)*('Tariffs Jan2018'!V69/100)*'Tariffs Jan2018'!AJ69,('Tariffs Jan2018'!K69-'Tariffs Jan2018'!J69)*('Tariffs Jan2018'!V69/100)*'Tariffs Jan2018'!AJ69))</f>
        <v>440.89709999999991</v>
      </c>
      <c r="L75" s="59">
        <f>IF($C$5*'Tariffs Jan2018'!AL69/'Tariffs Jan2018'!AJ69&lt;'Tariffs Jan2018'!K69,0,IF($C$5*'Tariffs Jan2018'!AL69/'Tariffs Jan2018'!AJ69&lt;='Tariffs Jan2018'!L69,($C$5*'Tariffs Jan2018'!AL69/'Tariffs Jan2018'!AJ69-'Tariffs Jan2018'!K69)*('Tariffs Jan2018'!W69/100)*'Tariffs Jan2018'!AJ69,('Tariffs Jan2018'!L69-'Tariffs Jan2018'!K69)*('Tariffs Jan2018'!W69/100)*'Tariffs Jan2018'!AJ69))</f>
        <v>0</v>
      </c>
      <c r="M75" s="59">
        <f>IF($C$5*'Tariffs Jan2018'!AL69/'Tariffs Jan2018'!AJ69&lt;'Tariffs Jan2018'!L69,0,IF($C$5*'Tariffs Jan2018'!AL69/'Tariffs Jan2018'!AJ69&lt;='Tariffs Jan2018'!M69,($C$5*'Tariffs Jan2018'!AL69/'Tariffs Jan2018'!AJ69-'Tariffs Jan2018'!L69)*('Tariffs Jan2018'!X69/100)*'Tariffs Jan2018'!AJ69,('Tariffs Jan2018'!M69-'Tariffs Jan2018'!L69)*('Tariffs Jan2018'!X69/100)*'Tariffs Jan2018'!AJ69))</f>
        <v>0</v>
      </c>
      <c r="N75" s="59">
        <f>IF(($C$5*'Tariffs Jan2018'!AL69/'Tariffs Jan2018'!AJ69&gt;'Tariffs Jan2018'!M69),($C$5*'Tariffs Jan2018'!AL69/'Tariffs Jan2018'!AJ69-'Tariffs Jan2018'!M69)*'Tariffs Jan2018'!Y69/100*'Tariffs Jan2018'!AJ69,0)</f>
        <v>0</v>
      </c>
      <c r="O75" s="271">
        <f t="shared" si="1"/>
        <v>1667.8362</v>
      </c>
      <c r="P75" s="59">
        <f t="shared" si="2"/>
        <v>2021.1561999999999</v>
      </c>
      <c r="Q75" s="272">
        <f t="shared" si="3"/>
        <v>2223.2718199999999</v>
      </c>
      <c r="R75" s="40">
        <f>'Tariffs Jan2018'!AM69</f>
        <v>0</v>
      </c>
      <c r="S75" s="40">
        <f>'Tariffs Jan2018'!AN69</f>
        <v>0</v>
      </c>
      <c r="T75" s="40">
        <f>'Tariffs Jan2018'!AO69</f>
        <v>14</v>
      </c>
      <c r="U75" s="40">
        <f>'Tariffs Jan2018'!AP69</f>
        <v>0</v>
      </c>
      <c r="V75" s="273">
        <f t="shared" si="9"/>
        <v>2021.1561999999999</v>
      </c>
      <c r="W75" s="273">
        <f>V75-(P75*T75/100)</f>
        <v>1738.194332</v>
      </c>
      <c r="X75" s="272">
        <f t="shared" si="4"/>
        <v>2223.2718199999999</v>
      </c>
      <c r="Y75" s="272">
        <f t="shared" si="4"/>
        <v>1912.0137652000001</v>
      </c>
      <c r="Z75" s="274">
        <f>'Tariffs Jan2018'!AW69</f>
        <v>0</v>
      </c>
      <c r="AA75" s="274" t="str">
        <f>'Tariffs Jan2018'!AX69</f>
        <v>n</v>
      </c>
      <c r="AB75" s="275" t="str">
        <f>'Tariffs Jan2018'!BE69</f>
        <v>N</v>
      </c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</row>
    <row r="76" spans="1:40" x14ac:dyDescent="0.15">
      <c r="A76" s="270" t="str">
        <f>'Tariffs Jan2018'!F70</f>
        <v>Covau</v>
      </c>
      <c r="B76" s="40" t="str">
        <f>'Tariffs Jan2018'!D70</f>
        <v>Ausnet West</v>
      </c>
      <c r="C76" s="40" t="str">
        <f>'Tariffs Jan2018'!G70</f>
        <v>Smart Saver</v>
      </c>
      <c r="D76" s="59">
        <f>365*'Tariffs Jan2018'!H70/100</f>
        <v>302.95</v>
      </c>
      <c r="E76" s="59">
        <f>IF($C$5*'Tariffs Jan2018'!AK70/'Tariffs Jan2018'!AI70&gt;='Tariffs Jan2018'!J70,( 'Tariffs Jan2018'!J70*'Tariffs Jan2018'!O70/100)* 'Tariffs Jan2018'!AI70,($C$5*'Tariffs Jan2018'!AK70/'Tariffs Jan2018'!AI70*'Tariffs Jan2018'!O70/100)* 'Tariffs Jan2018'!AI70)</f>
        <v>406.79999999999995</v>
      </c>
      <c r="F76" s="59">
        <f>IF($C$5*'Tariffs Jan2018'!AK70/'Tariffs Jan2018'!AI70&lt;'Tariffs Jan2018'!J70,0,IF($C$5*'Tariffs Jan2018'!AK70/'Tariffs Jan2018'!AI70&lt;='Tariffs Jan2018'!K70,($C$5*'Tariffs Jan2018'!AK70/'Tariffs Jan2018'!AI70-'Tariffs Jan2018'!J70)*('Tariffs Jan2018'!P70/100)*'Tariffs Jan2018'!AI70,('Tariffs Jan2018'!K70-'Tariffs Jan2018'!J70)*('Tariffs Jan2018'!P70/100)*'Tariffs Jan2018'!AI70))</f>
        <v>294.29999999999995</v>
      </c>
      <c r="G76" s="59">
        <f>IF($C$5*'Tariffs Jan2018'!AK70/'Tariffs Jan2018'!AI70&lt;'Tariffs Jan2018'!K70,0,IF($C$5*'Tariffs Jan2018'!AK70/'Tariffs Jan2018'!AI70&lt;='Tariffs Jan2018'!L70,($C$5*'Tariffs Jan2018'!AK70/'Tariffs Jan2018'!AI70-'Tariffs Jan2018'!K70)*('Tariffs Jan2018'!Q70/100)*'Tariffs Jan2018'!AI70,('Tariffs Jan2018'!L70-'Tariffs Jan2018'!K70)*('Tariffs Jan2018'!Q70/100)*'Tariffs Jan2018'!AI70))</f>
        <v>0</v>
      </c>
      <c r="H76" s="59">
        <f>IF($C$5*'Tariffs Jan2018'!AK70/'Tariffs Jan2018'!AI70&lt;'Tariffs Jan2018'!L70,0,IF($C$5*'Tariffs Jan2018'!AK70/'Tariffs Jan2018'!AI70&lt;='Tariffs Jan2018'!M70,($C$5*'Tariffs Jan2018'!AK70/'Tariffs Jan2018'!AI70-'Tariffs Jan2018'!L70)*('Tariffs Jan2018'!R70/100)*'Tariffs Jan2018'!AI70,('Tariffs Jan2018'!M70-'Tariffs Jan2018'!L70)*('Tariffs Jan2018'!R70/100)*'Tariffs Jan2018'!AI70))</f>
        <v>0</v>
      </c>
      <c r="I76" s="59">
        <f>IF(($C$5*'Tariffs Jan2018'!AK70/'Tariffs Jan2018'!AI70&gt;'Tariffs Jan2018'!M70),($C$5*'Tariffs Jan2018'!AK70/'Tariffs Jan2018'!AI70-'Tariffs Jan2018'!M70)*'Tariffs Jan2018'!S70/100*'Tariffs Jan2018'!AI70,0)</f>
        <v>0</v>
      </c>
      <c r="J76" s="59">
        <f>IF($C$5*'Tariffs Jan2018'!AL70/'Tariffs Jan2018'!AJ70&gt;='Tariffs Jan2018'!J70,('Tariffs Jan2018'!J70*'Tariffs Jan2018'!U70/100)* 'Tariffs Jan2018'!AJ70,($C$5*'Tariffs Jan2018'!AL70/'Tariffs Jan2018'!AJ70*'Tariffs Jan2018'!U70/100)* 'Tariffs Jan2018'!AJ70)</f>
        <v>368.99999999999994</v>
      </c>
      <c r="K76" s="59">
        <f>IF($C$5*'Tariffs Jan2018'!AL70/'Tariffs Jan2018'!AJ70&lt;'Tariffs Jan2018'!J70,0,IF($C$5*'Tariffs Jan2018'!AL70/'Tariffs Jan2018'!AJ70&lt;='Tariffs Jan2018'!K70,($C$5*'Tariffs Jan2018'!AL70/'Tariffs Jan2018'!AJ70-'Tariffs Jan2018'!J70)*('Tariffs Jan2018'!V70/100)*'Tariffs Jan2018'!AJ70,('Tariffs Jan2018'!K70-'Tariffs Jan2018'!J70)*('Tariffs Jan2018'!V70/100)*'Tariffs Jan2018'!AJ70))</f>
        <v>221.39999999999998</v>
      </c>
      <c r="L76" s="59">
        <f>IF($C$5*'Tariffs Jan2018'!AL70/'Tariffs Jan2018'!AJ70&lt;'Tariffs Jan2018'!K70,0,IF($C$5*'Tariffs Jan2018'!AL70/'Tariffs Jan2018'!AJ70&lt;='Tariffs Jan2018'!L70,($C$5*'Tariffs Jan2018'!AL70/'Tariffs Jan2018'!AJ70-'Tariffs Jan2018'!K70)*('Tariffs Jan2018'!W70/100)*'Tariffs Jan2018'!AJ70,('Tariffs Jan2018'!L70-'Tariffs Jan2018'!K70)*('Tariffs Jan2018'!W70/100)*'Tariffs Jan2018'!AJ70))</f>
        <v>0</v>
      </c>
      <c r="M76" s="59">
        <f>IF($C$5*'Tariffs Jan2018'!AL70/'Tariffs Jan2018'!AJ70&lt;'Tariffs Jan2018'!L70,0,IF($C$5*'Tariffs Jan2018'!AL70/'Tariffs Jan2018'!AJ70&lt;='Tariffs Jan2018'!M70,($C$5*'Tariffs Jan2018'!AL70/'Tariffs Jan2018'!AJ70-'Tariffs Jan2018'!L70)*('Tariffs Jan2018'!X70/100)*'Tariffs Jan2018'!AJ70,('Tariffs Jan2018'!M70-'Tariffs Jan2018'!L70)*('Tariffs Jan2018'!X70/100)*'Tariffs Jan2018'!AJ70))</f>
        <v>0</v>
      </c>
      <c r="N76" s="59">
        <f>IF(($C$5*'Tariffs Jan2018'!AL70/'Tariffs Jan2018'!AJ70&gt;'Tariffs Jan2018'!M70),($C$5*'Tariffs Jan2018'!AL70/'Tariffs Jan2018'!AJ70-'Tariffs Jan2018'!M70)*'Tariffs Jan2018'!Y70/100*'Tariffs Jan2018'!AJ70,0)</f>
        <v>0</v>
      </c>
      <c r="O76" s="271">
        <f t="shared" si="1"/>
        <v>1291.5</v>
      </c>
      <c r="P76" s="59">
        <f t="shared" si="2"/>
        <v>1594.45</v>
      </c>
      <c r="Q76" s="272">
        <f t="shared" si="3"/>
        <v>1753.8950000000002</v>
      </c>
      <c r="R76" s="40">
        <f>'Tariffs Jan2018'!AM70</f>
        <v>0</v>
      </c>
      <c r="S76" s="40">
        <f>'Tariffs Jan2018'!AN70</f>
        <v>0</v>
      </c>
      <c r="T76" s="40">
        <f>'Tariffs Jan2018'!AO70</f>
        <v>0</v>
      </c>
      <c r="U76" s="40">
        <f>'Tariffs Jan2018'!AP70</f>
        <v>16</v>
      </c>
      <c r="V76" s="273">
        <f t="shared" si="9"/>
        <v>1594.45</v>
      </c>
      <c r="W76" s="273">
        <f>V76-(O76*U76/100)</f>
        <v>1387.81</v>
      </c>
      <c r="X76" s="272">
        <f t="shared" si="4"/>
        <v>1753.8950000000002</v>
      </c>
      <c r="Y76" s="272">
        <f t="shared" si="4"/>
        <v>1526.5910000000001</v>
      </c>
      <c r="Z76" s="274">
        <f>'Tariffs Jan2018'!AW70</f>
        <v>12</v>
      </c>
      <c r="AA76" s="274" t="str">
        <f>'Tariffs Jan2018'!AX70</f>
        <v>y</v>
      </c>
      <c r="AB76" s="275" t="str">
        <f>'Tariffs Jan2018'!BE70</f>
        <v>N</v>
      </c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</row>
    <row r="77" spans="1:40" x14ac:dyDescent="0.15">
      <c r="A77" s="270" t="str">
        <f>'Tariffs Jan2018'!F71</f>
        <v>EnergyAustralia</v>
      </c>
      <c r="B77" s="40" t="str">
        <f>'Tariffs Jan2018'!D71</f>
        <v>Ausnet West</v>
      </c>
      <c r="C77" s="40" t="str">
        <f>'Tariffs Jan2018'!G71</f>
        <v xml:space="preserve">Flexi Saver </v>
      </c>
      <c r="D77" s="59">
        <f>365*'Tariffs Jan2018'!H71/100</f>
        <v>321.2</v>
      </c>
      <c r="E77" s="59">
        <f>IF($C$5*'Tariffs Jan2018'!AK71/'Tariffs Jan2018'!AI71&gt;='Tariffs Jan2018'!J71,( 'Tariffs Jan2018'!J71*'Tariffs Jan2018'!O71/100)* 'Tariffs Jan2018'!AI71,($C$5*'Tariffs Jan2018'!AK71/'Tariffs Jan2018'!AI71*'Tariffs Jan2018'!O71/100)* 'Tariffs Jan2018'!AI71)</f>
        <v>512.34875999999997</v>
      </c>
      <c r="F77" s="59">
        <f>IF($C$5*'Tariffs Jan2018'!AK71/'Tariffs Jan2018'!AI71&lt;'Tariffs Jan2018'!J71,0,IF($C$5*'Tariffs Jan2018'!AK71/'Tariffs Jan2018'!AI71&lt;='Tariffs Jan2018'!K71,($C$5*'Tariffs Jan2018'!AK71/'Tariffs Jan2018'!AI71-'Tariffs Jan2018'!J71)*('Tariffs Jan2018'!P71/100)*'Tariffs Jan2018'!AI71,('Tariffs Jan2018'!K71-'Tariffs Jan2018'!J71)*('Tariffs Jan2018'!P71/100)*'Tariffs Jan2018'!AI71))</f>
        <v>0</v>
      </c>
      <c r="G77" s="59">
        <f>IF($C$5*'Tariffs Jan2018'!AK71/'Tariffs Jan2018'!AI71&lt;'Tariffs Jan2018'!K71,0,IF($C$5*'Tariffs Jan2018'!AK71/'Tariffs Jan2018'!AI71&lt;='Tariffs Jan2018'!L71,($C$5*'Tariffs Jan2018'!AK71/'Tariffs Jan2018'!AI71-'Tariffs Jan2018'!K71)*('Tariffs Jan2018'!Q71/100)*'Tariffs Jan2018'!AI71,('Tariffs Jan2018'!L71-'Tariffs Jan2018'!K71)*('Tariffs Jan2018'!Q71/100)*'Tariffs Jan2018'!AI71))</f>
        <v>0</v>
      </c>
      <c r="H77" s="59">
        <f>IF($C$5*'Tariffs Jan2018'!AK71/'Tariffs Jan2018'!AI71&lt;'Tariffs Jan2018'!L71,0,IF($C$5*'Tariffs Jan2018'!AK71/'Tariffs Jan2018'!AI71&lt;='Tariffs Jan2018'!M71,($C$5*'Tariffs Jan2018'!AK71/'Tariffs Jan2018'!AI71-'Tariffs Jan2018'!L71)*('Tariffs Jan2018'!R71/100)*'Tariffs Jan2018'!AI71,('Tariffs Jan2018'!M71-'Tariffs Jan2018'!L71)*('Tariffs Jan2018'!R71/100)*'Tariffs Jan2018'!AI71))</f>
        <v>0</v>
      </c>
      <c r="I77" s="59">
        <f>IF(($C$5*'Tariffs Jan2018'!AK71/'Tariffs Jan2018'!AI71&gt;'Tariffs Jan2018'!M71),($C$5*'Tariffs Jan2018'!AK71/'Tariffs Jan2018'!AI71-'Tariffs Jan2018'!M71)*'Tariffs Jan2018'!S71/100*'Tariffs Jan2018'!AI71,0)</f>
        <v>0</v>
      </c>
      <c r="J77" s="59">
        <f>IF($C$5*'Tariffs Jan2018'!AL71/'Tariffs Jan2018'!AJ71&gt;='Tariffs Jan2018'!J71,('Tariffs Jan2018'!J71*'Tariffs Jan2018'!U71/100)* 'Tariffs Jan2018'!AJ71,($C$5*'Tariffs Jan2018'!AL71/'Tariffs Jan2018'!AJ71*'Tariffs Jan2018'!U71/100)* 'Tariffs Jan2018'!AJ71)</f>
        <v>747.52523999999994</v>
      </c>
      <c r="K77" s="59">
        <f>IF($C$5*'Tariffs Jan2018'!AL71/'Tariffs Jan2018'!AJ71&lt;'Tariffs Jan2018'!J71,0,IF($C$5*'Tariffs Jan2018'!AL71/'Tariffs Jan2018'!AJ71&lt;='Tariffs Jan2018'!K71,($C$5*'Tariffs Jan2018'!AL71/'Tariffs Jan2018'!AJ71-'Tariffs Jan2018'!J71)*('Tariffs Jan2018'!V71/100)*'Tariffs Jan2018'!AJ71,('Tariffs Jan2018'!K71-'Tariffs Jan2018'!J71)*('Tariffs Jan2018'!V71/100)*'Tariffs Jan2018'!AJ71))</f>
        <v>0</v>
      </c>
      <c r="L77" s="59">
        <f>IF($C$5*'Tariffs Jan2018'!AL71/'Tariffs Jan2018'!AJ71&lt;'Tariffs Jan2018'!K71,0,IF($C$5*'Tariffs Jan2018'!AL71/'Tariffs Jan2018'!AJ71&lt;='Tariffs Jan2018'!L71,($C$5*'Tariffs Jan2018'!AL71/'Tariffs Jan2018'!AJ71-'Tariffs Jan2018'!K71)*('Tariffs Jan2018'!W71/100)*'Tariffs Jan2018'!AJ71,('Tariffs Jan2018'!L71-'Tariffs Jan2018'!K71)*('Tariffs Jan2018'!W71/100)*'Tariffs Jan2018'!AJ71))</f>
        <v>0</v>
      </c>
      <c r="M77" s="59">
        <f>IF($C$5*'Tariffs Jan2018'!AL71/'Tariffs Jan2018'!AJ71&lt;'Tariffs Jan2018'!L71,0,IF($C$5*'Tariffs Jan2018'!AL71/'Tariffs Jan2018'!AJ71&lt;='Tariffs Jan2018'!M71,($C$5*'Tariffs Jan2018'!AL71/'Tariffs Jan2018'!AJ71-'Tariffs Jan2018'!L71)*('Tariffs Jan2018'!X71/100)*'Tariffs Jan2018'!AJ71,('Tariffs Jan2018'!M71-'Tariffs Jan2018'!L71)*('Tariffs Jan2018'!X71/100)*'Tariffs Jan2018'!AJ71))</f>
        <v>0</v>
      </c>
      <c r="N77" s="59">
        <f>IF(($C$5*'Tariffs Jan2018'!AL71/'Tariffs Jan2018'!AJ71&gt;'Tariffs Jan2018'!M71),($C$5*'Tariffs Jan2018'!AL71/'Tariffs Jan2018'!AJ71-'Tariffs Jan2018'!M71)*'Tariffs Jan2018'!Y71/100*'Tariffs Jan2018'!AJ71,0)</f>
        <v>0</v>
      </c>
      <c r="O77" s="271">
        <f t="shared" si="1"/>
        <v>1259.8739999999998</v>
      </c>
      <c r="P77" s="59">
        <f t="shared" si="2"/>
        <v>1581.0739999999998</v>
      </c>
      <c r="Q77" s="272">
        <f t="shared" si="3"/>
        <v>1739.1813999999999</v>
      </c>
      <c r="R77" s="40">
        <f>'Tariffs Jan2018'!AM71</f>
        <v>0</v>
      </c>
      <c r="S77" s="40">
        <f>'Tariffs Jan2018'!AN71</f>
        <v>0</v>
      </c>
      <c r="T77" s="40">
        <f>'Tariffs Jan2018'!AO71</f>
        <v>0</v>
      </c>
      <c r="U77" s="40">
        <f>'Tariffs Jan2018'!AP71</f>
        <v>15</v>
      </c>
      <c r="V77" s="273">
        <f t="shared" si="9"/>
        <v>1581.0739999999998</v>
      </c>
      <c r="W77" s="273">
        <f>V77-(O77*U77/100)</f>
        <v>1392.0928999999999</v>
      </c>
      <c r="X77" s="272">
        <f t="shared" si="4"/>
        <v>1739.1813999999999</v>
      </c>
      <c r="Y77" s="272">
        <f t="shared" si="4"/>
        <v>1531.3021899999999</v>
      </c>
      <c r="Z77" s="274">
        <f>'Tariffs Jan2018'!AW71</f>
        <v>0</v>
      </c>
      <c r="AA77" s="274" t="str">
        <f>'Tariffs Jan2018'!AX71</f>
        <v>n</v>
      </c>
      <c r="AB77" s="275" t="str">
        <f>'Tariffs Jan2018'!BE71</f>
        <v>N</v>
      </c>
      <c r="AC77" s="321"/>
      <c r="AD77" s="321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</row>
    <row r="78" spans="1:40" x14ac:dyDescent="0.15">
      <c r="A78" s="270" t="str">
        <f>'Tariffs Jan2018'!F72</f>
        <v>Lumo Energy</v>
      </c>
      <c r="B78" s="40" t="str">
        <f>'Tariffs Jan2018'!D72</f>
        <v>Ausnet West</v>
      </c>
      <c r="C78" s="40" t="str">
        <f>'Tariffs Jan2018'!G72</f>
        <v>Advantage</v>
      </c>
      <c r="D78" s="59">
        <f>365*'Tariffs Jan2018'!H72/100</f>
        <v>289.81000000000006</v>
      </c>
      <c r="E78" s="59">
        <f>IF($C$5*'Tariffs Jan2018'!AK72/'Tariffs Jan2018'!AI72&gt;='Tariffs Jan2018'!J72,( 'Tariffs Jan2018'!J72*'Tariffs Jan2018'!O72/100)* 'Tariffs Jan2018'!AI72,($C$5*'Tariffs Jan2018'!AK72/'Tariffs Jan2018'!AI72*'Tariffs Jan2018'!O72/100)* 'Tariffs Jan2018'!AI72)</f>
        <v>271.2</v>
      </c>
      <c r="F78" s="59">
        <f>IF($C$5*'Tariffs Jan2018'!AK72/'Tariffs Jan2018'!AI72&lt;'Tariffs Jan2018'!J72,0,IF($C$5*'Tariffs Jan2018'!AK72/'Tariffs Jan2018'!AI72&lt;='Tariffs Jan2018'!K72,($C$5*'Tariffs Jan2018'!AK72/'Tariffs Jan2018'!AI72-'Tariffs Jan2018'!J72)*('Tariffs Jan2018'!P72/100)*'Tariffs Jan2018'!AI72,('Tariffs Jan2018'!K72-'Tariffs Jan2018'!J72)*('Tariffs Jan2018'!P72/100)*'Tariffs Jan2018'!AI72))</f>
        <v>188.95589999999996</v>
      </c>
      <c r="G78" s="59">
        <f>IF($C$5*'Tariffs Jan2018'!AK72/'Tariffs Jan2018'!AI72&lt;'Tariffs Jan2018'!K72,0,IF($C$5*'Tariffs Jan2018'!AK72/'Tariffs Jan2018'!AI72&lt;='Tariffs Jan2018'!L72,($C$5*'Tariffs Jan2018'!AK72/'Tariffs Jan2018'!AI72-'Tariffs Jan2018'!K72)*('Tariffs Jan2018'!Q72/100)*'Tariffs Jan2018'!AI72,('Tariffs Jan2018'!L72-'Tariffs Jan2018'!K72)*('Tariffs Jan2018'!Q72/100)*'Tariffs Jan2018'!AI72))</f>
        <v>0</v>
      </c>
      <c r="H78" s="59">
        <f>IF($C$5*'Tariffs Jan2018'!AK72/'Tariffs Jan2018'!AI72&lt;'Tariffs Jan2018'!L72,0,IF($C$5*'Tariffs Jan2018'!AK72/'Tariffs Jan2018'!AI72&lt;='Tariffs Jan2018'!M72,($C$5*'Tariffs Jan2018'!AK72/'Tariffs Jan2018'!AI72-'Tariffs Jan2018'!L72)*('Tariffs Jan2018'!R72/100)*'Tariffs Jan2018'!AI72,('Tariffs Jan2018'!M72-'Tariffs Jan2018'!L72)*('Tariffs Jan2018'!R72/100)*'Tariffs Jan2018'!AI72))</f>
        <v>0</v>
      </c>
      <c r="I78" s="59">
        <f>IF(($C$5*'Tariffs Jan2018'!AK72/'Tariffs Jan2018'!AI72&gt;'Tariffs Jan2018'!M72),($C$5*'Tariffs Jan2018'!AK72/'Tariffs Jan2018'!AI72-'Tariffs Jan2018'!M72)*'Tariffs Jan2018'!S72/100*'Tariffs Jan2018'!AI72,0)</f>
        <v>0</v>
      </c>
      <c r="J78" s="59">
        <f>IF($C$5*'Tariffs Jan2018'!AL72/'Tariffs Jan2018'!AJ72&gt;='Tariffs Jan2018'!J72,('Tariffs Jan2018'!J72*'Tariffs Jan2018'!U72/100)* 'Tariffs Jan2018'!AJ72,($C$5*'Tariffs Jan2018'!AL72/'Tariffs Jan2018'!AJ72*'Tariffs Jan2018'!U72/100)* 'Tariffs Jan2018'!AJ72)</f>
        <v>432</v>
      </c>
      <c r="K78" s="59">
        <f>IF($C$5*'Tariffs Jan2018'!AL72/'Tariffs Jan2018'!AJ72&lt;'Tariffs Jan2018'!J72,0,IF($C$5*'Tariffs Jan2018'!AL72/'Tariffs Jan2018'!AJ72&lt;='Tariffs Jan2018'!K72,($C$5*'Tariffs Jan2018'!AL72/'Tariffs Jan2018'!AJ72-'Tariffs Jan2018'!J72)*('Tariffs Jan2018'!V72/100)*'Tariffs Jan2018'!AJ72,('Tariffs Jan2018'!K72-'Tariffs Jan2018'!J72)*('Tariffs Jan2018'!V72/100)*'Tariffs Jan2018'!AJ72))</f>
        <v>318.5256599999999</v>
      </c>
      <c r="L78" s="59">
        <f>IF($C$5*'Tariffs Jan2018'!AL72/'Tariffs Jan2018'!AJ72&lt;'Tariffs Jan2018'!K72,0,IF($C$5*'Tariffs Jan2018'!AL72/'Tariffs Jan2018'!AJ72&lt;='Tariffs Jan2018'!L72,($C$5*'Tariffs Jan2018'!AL72/'Tariffs Jan2018'!AJ72-'Tariffs Jan2018'!K72)*('Tariffs Jan2018'!W72/100)*'Tariffs Jan2018'!AJ72,('Tariffs Jan2018'!L72-'Tariffs Jan2018'!K72)*('Tariffs Jan2018'!W72/100)*'Tariffs Jan2018'!AJ72))</f>
        <v>0</v>
      </c>
      <c r="M78" s="59">
        <f>IF($C$5*'Tariffs Jan2018'!AL72/'Tariffs Jan2018'!AJ72&lt;'Tariffs Jan2018'!L72,0,IF($C$5*'Tariffs Jan2018'!AL72/'Tariffs Jan2018'!AJ72&lt;='Tariffs Jan2018'!M72,($C$5*'Tariffs Jan2018'!AL72/'Tariffs Jan2018'!AJ72-'Tariffs Jan2018'!L72)*('Tariffs Jan2018'!X72/100)*'Tariffs Jan2018'!AJ72,('Tariffs Jan2018'!M72-'Tariffs Jan2018'!L72)*('Tariffs Jan2018'!X72/100)*'Tariffs Jan2018'!AJ72))</f>
        <v>0</v>
      </c>
      <c r="N78" s="59">
        <f>IF(($C$5*'Tariffs Jan2018'!AL72/'Tariffs Jan2018'!AJ72&gt;'Tariffs Jan2018'!M72),($C$5*'Tariffs Jan2018'!AL72/'Tariffs Jan2018'!AJ72-'Tariffs Jan2018'!M72)*'Tariffs Jan2018'!Y72/100*'Tariffs Jan2018'!AJ72,0)</f>
        <v>0</v>
      </c>
      <c r="O78" s="271">
        <f t="shared" si="1"/>
        <v>1210.68156</v>
      </c>
      <c r="P78" s="59">
        <f t="shared" si="2"/>
        <v>1500.4915599999999</v>
      </c>
      <c r="Q78" s="272">
        <f t="shared" si="3"/>
        <v>1650.540716</v>
      </c>
      <c r="R78" s="40">
        <f>'Tariffs Jan2018'!AM72</f>
        <v>0</v>
      </c>
      <c r="S78" s="40">
        <f>'Tariffs Jan2018'!AN72</f>
        <v>0</v>
      </c>
      <c r="T78" s="40">
        <f>'Tariffs Jan2018'!AO72</f>
        <v>15</v>
      </c>
      <c r="U78" s="40">
        <f>'Tariffs Jan2018'!AP72</f>
        <v>0</v>
      </c>
      <c r="V78" s="273">
        <f t="shared" si="9"/>
        <v>1500.4915599999999</v>
      </c>
      <c r="W78" s="273">
        <f>V78-(P78*T78/100)</f>
        <v>1275.4178259999999</v>
      </c>
      <c r="X78" s="272">
        <f t="shared" si="4"/>
        <v>1650.540716</v>
      </c>
      <c r="Y78" s="272">
        <f t="shared" si="4"/>
        <v>1402.9596085999999</v>
      </c>
      <c r="Z78" s="274">
        <f>'Tariffs Jan2018'!AW72</f>
        <v>0</v>
      </c>
      <c r="AA78" s="274" t="str">
        <f>'Tariffs Jan2018'!AX72</f>
        <v>n</v>
      </c>
      <c r="AB78" s="275" t="str">
        <f>'Tariffs Jan2018'!BE72</f>
        <v>N</v>
      </c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</row>
    <row r="79" spans="1:40" x14ac:dyDescent="0.15">
      <c r="A79" s="270" t="str">
        <f>'Tariffs Jan2018'!F73</f>
        <v>Momentum Energy</v>
      </c>
      <c r="B79" s="40" t="str">
        <f>'Tariffs Jan2018'!D73</f>
        <v>Ausnet West</v>
      </c>
      <c r="C79" s="40" t="str">
        <f>'Tariffs Jan2018'!G73</f>
        <v>Market offer</v>
      </c>
      <c r="D79" s="59">
        <f>365*'Tariffs Jan2018'!H73/100</f>
        <v>309.37400000000002</v>
      </c>
      <c r="E79" s="59">
        <f>IF($C$5*'Tariffs Jan2018'!AK73/'Tariffs Jan2018'!AI73&gt;='Tariffs Jan2018'!J73,( 'Tariffs Jan2018'!J73*'Tariffs Jan2018'!O73/100)* 'Tariffs Jan2018'!AI73,($C$5*'Tariffs Jan2018'!AK73/'Tariffs Jan2018'!AI73*'Tariffs Jan2018'!O73/100)* 'Tariffs Jan2018'!AI73)</f>
        <v>239.52</v>
      </c>
      <c r="F79" s="59">
        <f>IF($C$5*'Tariffs Jan2018'!AK73/'Tariffs Jan2018'!AI73&lt;'Tariffs Jan2018'!J73,0,IF($C$5*'Tariffs Jan2018'!AK73/'Tariffs Jan2018'!AI73&lt;='Tariffs Jan2018'!K73,($C$5*'Tariffs Jan2018'!AK73/'Tariffs Jan2018'!AI73-'Tariffs Jan2018'!J73)*('Tariffs Jan2018'!P73/100)*'Tariffs Jan2018'!AI73,('Tariffs Jan2018'!K73-'Tariffs Jan2018'!J73)*('Tariffs Jan2018'!P73/100)*'Tariffs Jan2018'!AI73))</f>
        <v>164.66156999999995</v>
      </c>
      <c r="G79" s="59">
        <f>IF($C$5*'Tariffs Jan2018'!AK73/'Tariffs Jan2018'!AI73&lt;'Tariffs Jan2018'!K73,0,IF($C$5*'Tariffs Jan2018'!AK73/'Tariffs Jan2018'!AI73&lt;='Tariffs Jan2018'!L73,($C$5*'Tariffs Jan2018'!AK73/'Tariffs Jan2018'!AI73-'Tariffs Jan2018'!K73)*('Tariffs Jan2018'!Q73/100)*'Tariffs Jan2018'!AI73,('Tariffs Jan2018'!L73-'Tariffs Jan2018'!K73)*('Tariffs Jan2018'!Q73/100)*'Tariffs Jan2018'!AI73))</f>
        <v>0</v>
      </c>
      <c r="H79" s="59">
        <f>IF($C$5*'Tariffs Jan2018'!AK73/'Tariffs Jan2018'!AI73&lt;'Tariffs Jan2018'!L73,0,IF($C$5*'Tariffs Jan2018'!AK73/'Tariffs Jan2018'!AI73&lt;='Tariffs Jan2018'!M73,($C$5*'Tariffs Jan2018'!AK73/'Tariffs Jan2018'!AI73-'Tariffs Jan2018'!L73)*('Tariffs Jan2018'!R73/100)*'Tariffs Jan2018'!AI73,('Tariffs Jan2018'!M73-'Tariffs Jan2018'!L73)*('Tariffs Jan2018'!R73/100)*'Tariffs Jan2018'!AI73))</f>
        <v>0</v>
      </c>
      <c r="I79" s="59">
        <f>IF(($C$5*'Tariffs Jan2018'!AK73/'Tariffs Jan2018'!AI73&gt;'Tariffs Jan2018'!M73),($C$5*'Tariffs Jan2018'!AK73/'Tariffs Jan2018'!AI73-'Tariffs Jan2018'!M73)*'Tariffs Jan2018'!S73/100*'Tariffs Jan2018'!AI73,0)</f>
        <v>0</v>
      </c>
      <c r="J79" s="59">
        <f>IF($C$5*'Tariffs Jan2018'!AL73/'Tariffs Jan2018'!AJ73&gt;='Tariffs Jan2018'!J73,('Tariffs Jan2018'!J73*'Tariffs Jan2018'!U73/100)* 'Tariffs Jan2018'!AJ73,($C$5*'Tariffs Jan2018'!AL73/'Tariffs Jan2018'!AJ73*'Tariffs Jan2018'!U73/100)* 'Tariffs Jan2018'!AJ73)</f>
        <v>389.76</v>
      </c>
      <c r="K79" s="59">
        <f>IF($C$5*'Tariffs Jan2018'!AL73/'Tariffs Jan2018'!AJ73&lt;'Tariffs Jan2018'!J73,0,IF($C$5*'Tariffs Jan2018'!AL73/'Tariffs Jan2018'!AJ73&lt;='Tariffs Jan2018'!K73,($C$5*'Tariffs Jan2018'!AL73/'Tariffs Jan2018'!AJ73-'Tariffs Jan2018'!J73)*('Tariffs Jan2018'!V73/100)*'Tariffs Jan2018'!AJ73,('Tariffs Jan2018'!K73-'Tariffs Jan2018'!J73)*('Tariffs Jan2018'!V73/100)*'Tariffs Jan2018'!AJ73))</f>
        <v>288.29271599999993</v>
      </c>
      <c r="L79" s="59">
        <f>IF($C$5*'Tariffs Jan2018'!AL73/'Tariffs Jan2018'!AJ73&lt;'Tariffs Jan2018'!K73,0,IF($C$5*'Tariffs Jan2018'!AL73/'Tariffs Jan2018'!AJ73&lt;='Tariffs Jan2018'!L73,($C$5*'Tariffs Jan2018'!AL73/'Tariffs Jan2018'!AJ73-'Tariffs Jan2018'!K73)*('Tariffs Jan2018'!W73/100)*'Tariffs Jan2018'!AJ73,('Tariffs Jan2018'!L73-'Tariffs Jan2018'!K73)*('Tariffs Jan2018'!W73/100)*'Tariffs Jan2018'!AJ73))</f>
        <v>0</v>
      </c>
      <c r="M79" s="59">
        <f>IF($C$5*'Tariffs Jan2018'!AL73/'Tariffs Jan2018'!AJ73&lt;'Tariffs Jan2018'!L73,0,IF($C$5*'Tariffs Jan2018'!AL73/'Tariffs Jan2018'!AJ73&lt;='Tariffs Jan2018'!M73,($C$5*'Tariffs Jan2018'!AL73/'Tariffs Jan2018'!AJ73-'Tariffs Jan2018'!L73)*('Tariffs Jan2018'!X73/100)*'Tariffs Jan2018'!AJ73,('Tariffs Jan2018'!M73-'Tariffs Jan2018'!L73)*('Tariffs Jan2018'!X73/100)*'Tariffs Jan2018'!AJ73))</f>
        <v>0</v>
      </c>
      <c r="N79" s="59">
        <f>IF(($C$5*'Tariffs Jan2018'!AL73/'Tariffs Jan2018'!AJ73&gt;'Tariffs Jan2018'!M73),($C$5*'Tariffs Jan2018'!AL73/'Tariffs Jan2018'!AJ73-'Tariffs Jan2018'!M73)*'Tariffs Jan2018'!Y73/100*'Tariffs Jan2018'!AJ73,0)</f>
        <v>0</v>
      </c>
      <c r="O79" s="271">
        <f t="shared" si="1"/>
        <v>1082.2342859999999</v>
      </c>
      <c r="P79" s="59">
        <f t="shared" si="2"/>
        <v>1391.6082859999999</v>
      </c>
      <c r="Q79" s="272">
        <f t="shared" si="3"/>
        <v>1530.7691146</v>
      </c>
      <c r="R79" s="40">
        <f>'Tariffs Jan2018'!AM73</f>
        <v>0</v>
      </c>
      <c r="S79" s="40">
        <f>'Tariffs Jan2018'!AN73</f>
        <v>0</v>
      </c>
      <c r="T79" s="40">
        <f>'Tariffs Jan2018'!AO73</f>
        <v>0</v>
      </c>
      <c r="U79" s="40">
        <f>'Tariffs Jan2018'!AP73</f>
        <v>0</v>
      </c>
      <c r="V79" s="273">
        <f t="shared" si="9"/>
        <v>1391.6082859999999</v>
      </c>
      <c r="W79" s="273">
        <f>V79</f>
        <v>1391.6082859999999</v>
      </c>
      <c r="X79" s="272">
        <f t="shared" si="4"/>
        <v>1530.7691146</v>
      </c>
      <c r="Y79" s="272">
        <f t="shared" si="4"/>
        <v>1530.7691146</v>
      </c>
      <c r="Z79" s="274">
        <f>'Tariffs Jan2018'!AW73</f>
        <v>0</v>
      </c>
      <c r="AA79" s="274" t="str">
        <f>'Tariffs Jan2018'!AX73</f>
        <v>n</v>
      </c>
      <c r="AB79" s="275" t="str">
        <f>'Tariffs Jan2018'!BE73</f>
        <v>Y</v>
      </c>
      <c r="AC79" s="321"/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</row>
    <row r="80" spans="1:40" x14ac:dyDescent="0.15">
      <c r="A80" s="270" t="str">
        <f>'Tariffs Jan2018'!F74</f>
        <v>Origin Energy</v>
      </c>
      <c r="B80" s="40" t="str">
        <f>'Tariffs Jan2018'!D74</f>
        <v>Ausnet West</v>
      </c>
      <c r="C80" s="40" t="str">
        <f>'Tariffs Jan2018'!G74</f>
        <v>Saver</v>
      </c>
      <c r="D80" s="59">
        <f>365*'Tariffs Jan2018'!H74/100</f>
        <v>288.35000000000002</v>
      </c>
      <c r="E80" s="59">
        <f>IF($C$5*'Tariffs Jan2018'!AK74/'Tariffs Jan2018'!AI74&gt;='Tariffs Jan2018'!J74,( 'Tariffs Jan2018'!J74*'Tariffs Jan2018'!O74/100)* 'Tariffs Jan2018'!AI74,($C$5*'Tariffs Jan2018'!AK74/'Tariffs Jan2018'!AI74*'Tariffs Jan2018'!O74/100)* 'Tariffs Jan2018'!AI74)</f>
        <v>153.6</v>
      </c>
      <c r="F80" s="59">
        <f>IF($C$5*'Tariffs Jan2018'!AK74/'Tariffs Jan2018'!AI74&lt;'Tariffs Jan2018'!J74,0,IF($C$5*'Tariffs Jan2018'!AK74/'Tariffs Jan2018'!AI74&lt;='Tariffs Jan2018'!K74,($C$5*'Tariffs Jan2018'!AK74/'Tariffs Jan2018'!AI74-'Tariffs Jan2018'!J74)*('Tariffs Jan2018'!P74/100)*'Tariffs Jan2018'!AI74,('Tariffs Jan2018'!K74-'Tariffs Jan2018'!J74)*('Tariffs Jan2018'!P74/100)*'Tariffs Jan2018'!AI74))</f>
        <v>0</v>
      </c>
      <c r="G80" s="59">
        <f>IF($C$5*'Tariffs Jan2018'!AK74/'Tariffs Jan2018'!AI74&lt;'Tariffs Jan2018'!K74,0,IF($C$5*'Tariffs Jan2018'!AK74/'Tariffs Jan2018'!AI74&lt;='Tariffs Jan2018'!L74,($C$5*'Tariffs Jan2018'!AK74/'Tariffs Jan2018'!AI74-'Tariffs Jan2018'!K74)*('Tariffs Jan2018'!Q74/100)*'Tariffs Jan2018'!AI74,('Tariffs Jan2018'!L74-'Tariffs Jan2018'!K74)*('Tariffs Jan2018'!Q74/100)*'Tariffs Jan2018'!AI74))</f>
        <v>0</v>
      </c>
      <c r="H80" s="59">
        <f>IF($C$5*'Tariffs Jan2018'!AK74/'Tariffs Jan2018'!AI74&lt;'Tariffs Jan2018'!L74,0,IF($C$5*'Tariffs Jan2018'!AK74/'Tariffs Jan2018'!AI74&lt;='Tariffs Jan2018'!M74,($C$5*'Tariffs Jan2018'!AK74/'Tariffs Jan2018'!AI74-'Tariffs Jan2018'!L74)*('Tariffs Jan2018'!R74/100)*'Tariffs Jan2018'!AI74,('Tariffs Jan2018'!M74-'Tariffs Jan2018'!L74)*('Tariffs Jan2018'!R74/100)*'Tariffs Jan2018'!AI74))</f>
        <v>0</v>
      </c>
      <c r="I80" s="59">
        <f>IF(($C$5*'Tariffs Jan2018'!AK74/'Tariffs Jan2018'!AI74&gt;'Tariffs Jan2018'!M74),($C$5*'Tariffs Jan2018'!AK74/'Tariffs Jan2018'!AI74-'Tariffs Jan2018'!M74)*'Tariffs Jan2018'!S74/100*'Tariffs Jan2018'!AI74,0)</f>
        <v>306.55589999999995</v>
      </c>
      <c r="J80" s="59">
        <f>IF($C$5*'Tariffs Jan2018'!AL74/'Tariffs Jan2018'!AJ74&gt;='Tariffs Jan2018'!J74,('Tariffs Jan2018'!J74*'Tariffs Jan2018'!U74/100)* 'Tariffs Jan2018'!AJ74,($C$5*'Tariffs Jan2018'!AL74/'Tariffs Jan2018'!AJ74*'Tariffs Jan2018'!U74/100)* 'Tariffs Jan2018'!AJ74)</f>
        <v>224</v>
      </c>
      <c r="K80" s="59">
        <f>IF($C$5*'Tariffs Jan2018'!AL74/'Tariffs Jan2018'!AJ74&lt;'Tariffs Jan2018'!J74,0,IF($C$5*'Tariffs Jan2018'!AL74/'Tariffs Jan2018'!AJ74&lt;='Tariffs Jan2018'!K74,($C$5*'Tariffs Jan2018'!AL74/'Tariffs Jan2018'!AJ74-'Tariffs Jan2018'!J74)*('Tariffs Jan2018'!V74/100)*'Tariffs Jan2018'!AJ74,('Tariffs Jan2018'!K74-'Tariffs Jan2018'!J74)*('Tariffs Jan2018'!V74/100)*'Tariffs Jan2018'!AJ74))</f>
        <v>0</v>
      </c>
      <c r="L80" s="59">
        <f>IF($C$5*'Tariffs Jan2018'!AL74/'Tariffs Jan2018'!AJ74&lt;'Tariffs Jan2018'!K74,0,IF($C$5*'Tariffs Jan2018'!AL74/'Tariffs Jan2018'!AJ74&lt;='Tariffs Jan2018'!L74,($C$5*'Tariffs Jan2018'!AL74/'Tariffs Jan2018'!AJ74-'Tariffs Jan2018'!K74)*('Tariffs Jan2018'!W74/100)*'Tariffs Jan2018'!AJ74,('Tariffs Jan2018'!L74-'Tariffs Jan2018'!K74)*('Tariffs Jan2018'!W74/100)*'Tariffs Jan2018'!AJ74))</f>
        <v>0</v>
      </c>
      <c r="M80" s="59">
        <f>IF($C$5*'Tariffs Jan2018'!AL74/'Tariffs Jan2018'!AJ74&lt;'Tariffs Jan2018'!L74,0,IF($C$5*'Tariffs Jan2018'!AL74/'Tariffs Jan2018'!AJ74&lt;='Tariffs Jan2018'!M74,($C$5*'Tariffs Jan2018'!AL74/'Tariffs Jan2018'!AJ74-'Tariffs Jan2018'!L74)*('Tariffs Jan2018'!X74/100)*'Tariffs Jan2018'!AJ74,('Tariffs Jan2018'!M74-'Tariffs Jan2018'!L74)*('Tariffs Jan2018'!X74/100)*'Tariffs Jan2018'!AJ74))</f>
        <v>0</v>
      </c>
      <c r="N80" s="59">
        <f>IF(($C$5*'Tariffs Jan2018'!AL74/'Tariffs Jan2018'!AJ74&gt;'Tariffs Jan2018'!M74),($C$5*'Tariffs Jan2018'!AL74/'Tariffs Jan2018'!AJ74-'Tariffs Jan2018'!M74)*'Tariffs Jan2018'!Y74/100*'Tariffs Jan2018'!AJ74,0)</f>
        <v>467.13279999999997</v>
      </c>
      <c r="O80" s="271">
        <f t="shared" si="1"/>
        <v>1151.2887000000001</v>
      </c>
      <c r="P80" s="59">
        <f t="shared" si="2"/>
        <v>1439.6387</v>
      </c>
      <c r="Q80" s="272">
        <f t="shared" si="3"/>
        <v>1583.60257</v>
      </c>
      <c r="R80" s="40">
        <f>'Tariffs Jan2018'!AM74</f>
        <v>0</v>
      </c>
      <c r="S80" s="40">
        <f>'Tariffs Jan2018'!AN74</f>
        <v>0</v>
      </c>
      <c r="T80" s="40">
        <f>'Tariffs Jan2018'!AO74</f>
        <v>0</v>
      </c>
      <c r="U80" s="40">
        <f>'Tariffs Jan2018'!AP74</f>
        <v>13</v>
      </c>
      <c r="V80" s="273">
        <f t="shared" si="9"/>
        <v>1439.6387</v>
      </c>
      <c r="W80" s="273">
        <f>V80-(O80*U80/100)</f>
        <v>1289.9711689999999</v>
      </c>
      <c r="X80" s="272">
        <f t="shared" si="4"/>
        <v>1583.60257</v>
      </c>
      <c r="Y80" s="272">
        <f t="shared" si="4"/>
        <v>1418.9682859</v>
      </c>
      <c r="Z80" s="274">
        <f>'Tariffs Jan2018'!AW74</f>
        <v>0</v>
      </c>
      <c r="AA80" s="274" t="str">
        <f>'Tariffs Jan2018'!AX74</f>
        <v>n</v>
      </c>
      <c r="AB80" s="275" t="str">
        <f>'Tariffs Jan2018'!BE74</f>
        <v>N</v>
      </c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</row>
    <row r="81" spans="1:40" x14ac:dyDescent="0.15">
      <c r="A81" s="270" t="str">
        <f>'Tariffs Jan2018'!F75</f>
        <v>Red Energy</v>
      </c>
      <c r="B81" s="40" t="str">
        <f>'Tariffs Jan2018'!D75</f>
        <v>Ausnet West</v>
      </c>
      <c r="C81" s="40" t="str">
        <f>'Tariffs Jan2018'!G75</f>
        <v>Living Energy Saver</v>
      </c>
      <c r="D81" s="59">
        <f>365*'Tariffs Jan2018'!H75/100</f>
        <v>311.34500000000003</v>
      </c>
      <c r="E81" s="59">
        <f>IF($C$5*'Tariffs Jan2018'!AK75/'Tariffs Jan2018'!AI75&gt;='Tariffs Jan2018'!J75,( 'Tariffs Jan2018'!J75*'Tariffs Jan2018'!O75/100)* 'Tariffs Jan2018'!AI75,($C$5*'Tariffs Jan2018'!AK75/'Tariffs Jan2018'!AI75*'Tariffs Jan2018'!O75/100)* 'Tariffs Jan2018'!AI75)</f>
        <v>123.264</v>
      </c>
      <c r="F81" s="59">
        <f>IF($C$5*'Tariffs Jan2018'!AK75/'Tariffs Jan2018'!AI75&lt;'Tariffs Jan2018'!J75,0,IF($C$5*'Tariffs Jan2018'!AK75/'Tariffs Jan2018'!AI75&lt;='Tariffs Jan2018'!K75,($C$5*'Tariffs Jan2018'!AK75/'Tariffs Jan2018'!AI75-'Tariffs Jan2018'!J75)*('Tariffs Jan2018'!P75/100)*'Tariffs Jan2018'!AI75,('Tariffs Jan2018'!K75-'Tariffs Jan2018'!J75)*('Tariffs Jan2018'!P75/100)*'Tariffs Jan2018'!AI75))</f>
        <v>0</v>
      </c>
      <c r="G81" s="59">
        <f>IF($C$5*'Tariffs Jan2018'!AK75/'Tariffs Jan2018'!AI75&lt;'Tariffs Jan2018'!K75,0,IF($C$5*'Tariffs Jan2018'!AK75/'Tariffs Jan2018'!AI75&lt;='Tariffs Jan2018'!L75,($C$5*'Tariffs Jan2018'!AK75/'Tariffs Jan2018'!AI75-'Tariffs Jan2018'!K75)*('Tariffs Jan2018'!Q75/100)*'Tariffs Jan2018'!AI75,('Tariffs Jan2018'!L75-'Tariffs Jan2018'!K75)*('Tariffs Jan2018'!Q75/100)*'Tariffs Jan2018'!AI75))</f>
        <v>0</v>
      </c>
      <c r="H81" s="59">
        <f>IF($C$5*'Tariffs Jan2018'!AK75/'Tariffs Jan2018'!AI75&lt;'Tariffs Jan2018'!L75,0,IF($C$5*'Tariffs Jan2018'!AK75/'Tariffs Jan2018'!AI75&lt;='Tariffs Jan2018'!M75,($C$5*'Tariffs Jan2018'!AK75/'Tariffs Jan2018'!AI75-'Tariffs Jan2018'!L75)*('Tariffs Jan2018'!R75/100)*'Tariffs Jan2018'!AI75,('Tariffs Jan2018'!M75-'Tariffs Jan2018'!L75)*('Tariffs Jan2018'!R75/100)*'Tariffs Jan2018'!AI75))</f>
        <v>0</v>
      </c>
      <c r="I81" s="59">
        <f>IF(($C$5*'Tariffs Jan2018'!AK75/'Tariffs Jan2018'!AI75&gt;'Tariffs Jan2018'!M75),($C$5*'Tariffs Jan2018'!AK75/'Tariffs Jan2018'!AI75-'Tariffs Jan2018'!M75)*'Tariffs Jan2018'!S75/100*'Tariffs Jan2018'!AI75,0)</f>
        <v>197.07164999999998</v>
      </c>
      <c r="J81" s="59">
        <f>IF($C$5*'Tariffs Jan2018'!AL75/'Tariffs Jan2018'!AJ75&gt;='Tariffs Jan2018'!J75,('Tariffs Jan2018'!J75*'Tariffs Jan2018'!U75/100)* 'Tariffs Jan2018'!AJ75,($C$5*'Tariffs Jan2018'!AL75/'Tariffs Jan2018'!AJ75*'Tariffs Jan2018'!U75/100)* 'Tariffs Jan2018'!AJ75)</f>
        <v>215.68</v>
      </c>
      <c r="K81" s="59">
        <f>IF($C$5*'Tariffs Jan2018'!AL75/'Tariffs Jan2018'!AJ75&lt;'Tariffs Jan2018'!J75,0,IF($C$5*'Tariffs Jan2018'!AL75/'Tariffs Jan2018'!AJ75&lt;='Tariffs Jan2018'!K75,($C$5*'Tariffs Jan2018'!AL75/'Tariffs Jan2018'!AJ75-'Tariffs Jan2018'!J75)*('Tariffs Jan2018'!V75/100)*'Tariffs Jan2018'!AJ75,('Tariffs Jan2018'!K75-'Tariffs Jan2018'!J75)*('Tariffs Jan2018'!V75/100)*'Tariffs Jan2018'!AJ75))</f>
        <v>0</v>
      </c>
      <c r="L81" s="59">
        <f>IF($C$5*'Tariffs Jan2018'!AL75/'Tariffs Jan2018'!AJ75&lt;'Tariffs Jan2018'!K75,0,IF($C$5*'Tariffs Jan2018'!AL75/'Tariffs Jan2018'!AJ75&lt;='Tariffs Jan2018'!L75,($C$5*'Tariffs Jan2018'!AL75/'Tariffs Jan2018'!AJ75-'Tariffs Jan2018'!K75)*('Tariffs Jan2018'!W75/100)*'Tariffs Jan2018'!AJ75,('Tariffs Jan2018'!L75-'Tariffs Jan2018'!K75)*('Tariffs Jan2018'!W75/100)*'Tariffs Jan2018'!AJ75))</f>
        <v>0</v>
      </c>
      <c r="M81" s="59">
        <f>IF($C$5*'Tariffs Jan2018'!AL75/'Tariffs Jan2018'!AJ75&lt;'Tariffs Jan2018'!L75,0,IF($C$5*'Tariffs Jan2018'!AL75/'Tariffs Jan2018'!AJ75&lt;='Tariffs Jan2018'!M75,($C$5*'Tariffs Jan2018'!AL75/'Tariffs Jan2018'!AJ75-'Tariffs Jan2018'!L75)*('Tariffs Jan2018'!X75/100)*'Tariffs Jan2018'!AJ75,('Tariffs Jan2018'!M75-'Tariffs Jan2018'!L75)*('Tariffs Jan2018'!X75/100)*'Tariffs Jan2018'!AJ75))</f>
        <v>0</v>
      </c>
      <c r="N81" s="59">
        <f>IF(($C$5*'Tariffs Jan2018'!AL75/'Tariffs Jan2018'!AJ75&gt;'Tariffs Jan2018'!M75),($C$5*'Tariffs Jan2018'!AL75/'Tariffs Jan2018'!AJ75-'Tariffs Jan2018'!M75)*'Tariffs Jan2018'!Y75/100*'Tariffs Jan2018'!AJ75,0)</f>
        <v>382.75693799999993</v>
      </c>
      <c r="O81" s="271">
        <f t="shared" si="1"/>
        <v>918.77258800000004</v>
      </c>
      <c r="P81" s="59">
        <f t="shared" si="2"/>
        <v>1230.1175880000001</v>
      </c>
      <c r="Q81" s="272">
        <f t="shared" si="3"/>
        <v>1353.1293468000001</v>
      </c>
      <c r="R81" s="40">
        <f>'Tariffs Jan2018'!AM75</f>
        <v>0</v>
      </c>
      <c r="S81" s="40">
        <f>'Tariffs Jan2018'!AN75</f>
        <v>0</v>
      </c>
      <c r="T81" s="40">
        <f>'Tariffs Jan2018'!AO75</f>
        <v>10</v>
      </c>
      <c r="U81" s="40">
        <f>'Tariffs Jan2018'!AP75</f>
        <v>0</v>
      </c>
      <c r="V81" s="273">
        <f t="shared" si="9"/>
        <v>1230.1175880000001</v>
      </c>
      <c r="W81" s="273">
        <f>V81-(P81*T81/100)</f>
        <v>1107.1058292</v>
      </c>
      <c r="X81" s="272">
        <f t="shared" si="4"/>
        <v>1353.1293468000001</v>
      </c>
      <c r="Y81" s="272">
        <f t="shared" si="4"/>
        <v>1217.8164121200002</v>
      </c>
      <c r="Z81" s="274">
        <f>'Tariffs Jan2018'!AW75</f>
        <v>0</v>
      </c>
      <c r="AA81" s="274" t="str">
        <f>'Tariffs Jan2018'!AX75</f>
        <v>n</v>
      </c>
      <c r="AB81" s="275" t="str">
        <f>'Tariffs Jan2018'!BE75</f>
        <v>Y</v>
      </c>
      <c r="AC81" s="321"/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</row>
    <row r="82" spans="1:40" x14ac:dyDescent="0.15">
      <c r="A82" s="270" t="str">
        <f>'Tariffs Jan2018'!F76</f>
        <v>Simply Energy</v>
      </c>
      <c r="B82" s="40" t="str">
        <f>'Tariffs Jan2018'!D76</f>
        <v>Ausnet West</v>
      </c>
      <c r="C82" s="40" t="str">
        <f>'Tariffs Jan2018'!G76</f>
        <v>Plus</v>
      </c>
      <c r="D82" s="59">
        <f>365*'Tariffs Jan2018'!H76/100</f>
        <v>280.35650000000004</v>
      </c>
      <c r="E82" s="59">
        <f>IF($C$5*'Tariffs Jan2018'!AK76/'Tariffs Jan2018'!AI76&gt;='Tariffs Jan2018'!J76,( 'Tariffs Jan2018'!J76*'Tariffs Jan2018'!O76/100)* 'Tariffs Jan2018'!AI76,($C$5*'Tariffs Jan2018'!AK76/'Tariffs Jan2018'!AI76*'Tariffs Jan2018'!O76/100)* 'Tariffs Jan2018'!AI76)</f>
        <v>308.39999999999998</v>
      </c>
      <c r="F82" s="59">
        <f>IF($C$5*'Tariffs Jan2018'!AK76/'Tariffs Jan2018'!AI76&lt;'Tariffs Jan2018'!J76,0,IF($C$5*'Tariffs Jan2018'!AK76/'Tariffs Jan2018'!AI76&lt;='Tariffs Jan2018'!K76,($C$5*'Tariffs Jan2018'!AK76/'Tariffs Jan2018'!AI76-'Tariffs Jan2018'!J76)*('Tariffs Jan2018'!P76/100)*'Tariffs Jan2018'!AI76,('Tariffs Jan2018'!K76-'Tariffs Jan2018'!J76)*('Tariffs Jan2018'!P76/100)*'Tariffs Jan2018'!AI76))</f>
        <v>227.64686999999995</v>
      </c>
      <c r="G82" s="59">
        <f>IF($C$5*'Tariffs Jan2018'!AK76/'Tariffs Jan2018'!AI76&lt;'Tariffs Jan2018'!K76,0,IF($C$5*'Tariffs Jan2018'!AK76/'Tariffs Jan2018'!AI76&lt;='Tariffs Jan2018'!L76,($C$5*'Tariffs Jan2018'!AK76/'Tariffs Jan2018'!AI76-'Tariffs Jan2018'!K76)*('Tariffs Jan2018'!Q76/100)*'Tariffs Jan2018'!AI76,('Tariffs Jan2018'!L76-'Tariffs Jan2018'!K76)*('Tariffs Jan2018'!Q76/100)*'Tariffs Jan2018'!AI76))</f>
        <v>0</v>
      </c>
      <c r="H82" s="59">
        <f>IF($C$5*'Tariffs Jan2018'!AK76/'Tariffs Jan2018'!AI76&lt;'Tariffs Jan2018'!L76,0,IF($C$5*'Tariffs Jan2018'!AK76/'Tariffs Jan2018'!AI76&lt;='Tariffs Jan2018'!M76,($C$5*'Tariffs Jan2018'!AK76/'Tariffs Jan2018'!AI76-'Tariffs Jan2018'!L76)*('Tariffs Jan2018'!R76/100)*'Tariffs Jan2018'!AI76,('Tariffs Jan2018'!M76-'Tariffs Jan2018'!L76)*('Tariffs Jan2018'!R76/100)*'Tariffs Jan2018'!AI76))</f>
        <v>0</v>
      </c>
      <c r="I82" s="59">
        <f>IF(($C$5*'Tariffs Jan2018'!AK76/'Tariffs Jan2018'!AI76&gt;'Tariffs Jan2018'!M76),($C$5*'Tariffs Jan2018'!AK76/'Tariffs Jan2018'!AI76-'Tariffs Jan2018'!M76)*'Tariffs Jan2018'!S76/100*'Tariffs Jan2018'!AI76,0)</f>
        <v>0</v>
      </c>
      <c r="J82" s="59">
        <f>IF($C$5*'Tariffs Jan2018'!AL76/'Tariffs Jan2018'!AJ76&gt;='Tariffs Jan2018'!J76,('Tariffs Jan2018'!J76*'Tariffs Jan2018'!U76/100)* 'Tariffs Jan2018'!AJ76,($C$5*'Tariffs Jan2018'!AL76/'Tariffs Jan2018'!AJ76*'Tariffs Jan2018'!U76/100)* 'Tariffs Jan2018'!AJ76)</f>
        <v>504</v>
      </c>
      <c r="K82" s="59">
        <f>IF($C$5*'Tariffs Jan2018'!AL76/'Tariffs Jan2018'!AJ76&lt;'Tariffs Jan2018'!J76,0,IF($C$5*'Tariffs Jan2018'!AL76/'Tariffs Jan2018'!AJ76&lt;='Tariffs Jan2018'!K76,($C$5*'Tariffs Jan2018'!AL76/'Tariffs Jan2018'!AJ76-'Tariffs Jan2018'!J76)*('Tariffs Jan2018'!V76/100)*'Tariffs Jan2018'!AJ76,('Tariffs Jan2018'!K76-'Tariffs Jan2018'!J76)*('Tariffs Jan2018'!V76/100)*'Tariffs Jan2018'!AJ76))</f>
        <v>370.71347999999989</v>
      </c>
      <c r="L82" s="59">
        <f>IF($C$5*'Tariffs Jan2018'!AL76/'Tariffs Jan2018'!AJ76&lt;'Tariffs Jan2018'!K76,0,IF($C$5*'Tariffs Jan2018'!AL76/'Tariffs Jan2018'!AJ76&lt;='Tariffs Jan2018'!L76,($C$5*'Tariffs Jan2018'!AL76/'Tariffs Jan2018'!AJ76-'Tariffs Jan2018'!K76)*('Tariffs Jan2018'!W76/100)*'Tariffs Jan2018'!AJ76,('Tariffs Jan2018'!L76-'Tariffs Jan2018'!K76)*('Tariffs Jan2018'!W76/100)*'Tariffs Jan2018'!AJ76))</f>
        <v>0</v>
      </c>
      <c r="M82" s="59">
        <f>IF($C$5*'Tariffs Jan2018'!AL76/'Tariffs Jan2018'!AJ76&lt;'Tariffs Jan2018'!L76,0,IF($C$5*'Tariffs Jan2018'!AL76/'Tariffs Jan2018'!AJ76&lt;='Tariffs Jan2018'!M76,($C$5*'Tariffs Jan2018'!AL76/'Tariffs Jan2018'!AJ76-'Tariffs Jan2018'!L76)*('Tariffs Jan2018'!X76/100)*'Tariffs Jan2018'!AJ76,('Tariffs Jan2018'!M76-'Tariffs Jan2018'!L76)*('Tariffs Jan2018'!X76/100)*'Tariffs Jan2018'!AJ76))</f>
        <v>0</v>
      </c>
      <c r="N82" s="59">
        <f>IF(($C$5*'Tariffs Jan2018'!AL76/'Tariffs Jan2018'!AJ76&gt;'Tariffs Jan2018'!M76),($C$5*'Tariffs Jan2018'!AL76/'Tariffs Jan2018'!AJ76-'Tariffs Jan2018'!M76)*'Tariffs Jan2018'!Y76/100*'Tariffs Jan2018'!AJ76,0)</f>
        <v>0</v>
      </c>
      <c r="O82" s="271">
        <f t="shared" si="1"/>
        <v>1410.7603499999998</v>
      </c>
      <c r="P82" s="59">
        <f t="shared" si="2"/>
        <v>1691.1168499999999</v>
      </c>
      <c r="Q82" s="272">
        <f t="shared" si="3"/>
        <v>1860.228535</v>
      </c>
      <c r="R82" s="40">
        <f>'Tariffs Jan2018'!AM76</f>
        <v>0</v>
      </c>
      <c r="S82" s="40">
        <f>'Tariffs Jan2018'!AN76</f>
        <v>0</v>
      </c>
      <c r="T82" s="40">
        <f>'Tariffs Jan2018'!AO76</f>
        <v>0</v>
      </c>
      <c r="U82" s="40">
        <f>'Tariffs Jan2018'!AP76</f>
        <v>20</v>
      </c>
      <c r="V82" s="273">
        <f t="shared" si="9"/>
        <v>1691.1168499999999</v>
      </c>
      <c r="W82" s="273">
        <f>V82-(O82*U82/100)</f>
        <v>1408.96478</v>
      </c>
      <c r="X82" s="272">
        <f t="shared" si="4"/>
        <v>1860.228535</v>
      </c>
      <c r="Y82" s="272">
        <f t="shared" si="4"/>
        <v>1549.8612580000001</v>
      </c>
      <c r="Z82" s="274">
        <f>'Tariffs Jan2018'!AW76</f>
        <v>0</v>
      </c>
      <c r="AA82" s="274" t="str">
        <f>'Tariffs Jan2018'!AX76</f>
        <v>n</v>
      </c>
      <c r="AB82" s="275" t="str">
        <f>'Tariffs Jan2018'!BE76</f>
        <v>Y</v>
      </c>
      <c r="AC82" s="321"/>
      <c r="AD82" s="321"/>
      <c r="AE82" s="321"/>
      <c r="AF82" s="321"/>
      <c r="AG82" s="321"/>
      <c r="AH82" s="321"/>
      <c r="AI82" s="321"/>
      <c r="AJ82" s="321"/>
      <c r="AK82" s="321"/>
      <c r="AL82" s="321"/>
      <c r="AM82" s="321"/>
      <c r="AN82" s="321"/>
    </row>
    <row r="83" spans="1:40" x14ac:dyDescent="0.15">
      <c r="A83" s="270" t="str">
        <f>'Tariffs Jan2018'!F77</f>
        <v>Sumo Power</v>
      </c>
      <c r="B83" s="40" t="str">
        <f>'Tariffs Jan2018'!D77</f>
        <v>Ausnet West</v>
      </c>
      <c r="C83" s="40" t="str">
        <f>'Tariffs Jan2018'!G77</f>
        <v>Pay on time</v>
      </c>
      <c r="D83" s="59">
        <f>365*'Tariffs Jan2018'!H77/100</f>
        <v>300.7235</v>
      </c>
      <c r="E83" s="59">
        <f>IF($C$5*'Tariffs Jan2018'!AK77/'Tariffs Jan2018'!AI77&gt;='Tariffs Jan2018'!J77,( 'Tariffs Jan2018'!J77*'Tariffs Jan2018'!O77/100)* 'Tariffs Jan2018'!AI77,($C$5*'Tariffs Jan2018'!AK77/'Tariffs Jan2018'!AI77*'Tariffs Jan2018'!O77/100)* 'Tariffs Jan2018'!AI77)</f>
        <v>313.2</v>
      </c>
      <c r="F83" s="59">
        <f>IF($C$5*'Tariffs Jan2018'!AK77/'Tariffs Jan2018'!AI77&lt;'Tariffs Jan2018'!J77,0,IF($C$5*'Tariffs Jan2018'!AK77/'Tariffs Jan2018'!AI77&lt;='Tariffs Jan2018'!K77,($C$5*'Tariffs Jan2018'!AK77/'Tariffs Jan2018'!AI77-'Tariffs Jan2018'!J77)*('Tariffs Jan2018'!P77/100)*'Tariffs Jan2018'!AI77,('Tariffs Jan2018'!K77-'Tariffs Jan2018'!J77)*('Tariffs Jan2018'!P77/100)*'Tariffs Jan2018'!AI77))</f>
        <v>223.77777299999994</v>
      </c>
      <c r="G83" s="59">
        <f>IF($C$5*'Tariffs Jan2018'!AK77/'Tariffs Jan2018'!AI77&lt;'Tariffs Jan2018'!K77,0,IF($C$5*'Tariffs Jan2018'!AK77/'Tariffs Jan2018'!AI77&lt;='Tariffs Jan2018'!L77,($C$5*'Tariffs Jan2018'!AK77/'Tariffs Jan2018'!AI77-'Tariffs Jan2018'!K77)*('Tariffs Jan2018'!Q77/100)*'Tariffs Jan2018'!AI77,('Tariffs Jan2018'!L77-'Tariffs Jan2018'!K77)*('Tariffs Jan2018'!Q77/100)*'Tariffs Jan2018'!AI77))</f>
        <v>0</v>
      </c>
      <c r="H83" s="59">
        <f>IF($C$5*'Tariffs Jan2018'!AK77/'Tariffs Jan2018'!AI77&lt;'Tariffs Jan2018'!L77,0,IF($C$5*'Tariffs Jan2018'!AK77/'Tariffs Jan2018'!AI77&lt;='Tariffs Jan2018'!M77,($C$5*'Tariffs Jan2018'!AK77/'Tariffs Jan2018'!AI77-'Tariffs Jan2018'!L77)*('Tariffs Jan2018'!R77/100)*'Tariffs Jan2018'!AI77,('Tariffs Jan2018'!M77-'Tariffs Jan2018'!L77)*('Tariffs Jan2018'!R77/100)*'Tariffs Jan2018'!AI77))</f>
        <v>0</v>
      </c>
      <c r="I83" s="59">
        <f>IF(($C$5*'Tariffs Jan2018'!AK77/'Tariffs Jan2018'!AI77&gt;'Tariffs Jan2018'!M77),($C$5*'Tariffs Jan2018'!AK77/'Tariffs Jan2018'!AI77-'Tariffs Jan2018'!M77)*'Tariffs Jan2018'!S77/100*'Tariffs Jan2018'!AI77,0)</f>
        <v>0</v>
      </c>
      <c r="J83" s="59">
        <f>IF($C$5*'Tariffs Jan2018'!AL77/'Tariffs Jan2018'!AJ77&gt;='Tariffs Jan2018'!J77,('Tariffs Jan2018'!J77*'Tariffs Jan2018'!U77/100)* 'Tariffs Jan2018'!AJ77,($C$5*'Tariffs Jan2018'!AL77/'Tariffs Jan2018'!AJ77*'Tariffs Jan2018'!U77/100)* 'Tariffs Jan2018'!AJ77)</f>
        <v>560.64</v>
      </c>
      <c r="K83" s="59">
        <f>IF($C$5*'Tariffs Jan2018'!AL77/'Tariffs Jan2018'!AJ77&lt;'Tariffs Jan2018'!J77,0,IF($C$5*'Tariffs Jan2018'!AL77/'Tariffs Jan2018'!AJ77&lt;='Tariffs Jan2018'!K77,($C$5*'Tariffs Jan2018'!AL77/'Tariffs Jan2018'!AJ77-'Tariffs Jan2018'!J77)*('Tariffs Jan2018'!V77/100)*'Tariffs Jan2018'!AJ77,('Tariffs Jan2018'!K77-'Tariffs Jan2018'!J77)*('Tariffs Jan2018'!V77/100)*'Tariffs Jan2018'!AJ77))</f>
        <v>337.42124999999993</v>
      </c>
      <c r="L83" s="59">
        <f>IF($C$5*'Tariffs Jan2018'!AL77/'Tariffs Jan2018'!AJ77&lt;'Tariffs Jan2018'!K77,0,IF($C$5*'Tariffs Jan2018'!AL77/'Tariffs Jan2018'!AJ77&lt;='Tariffs Jan2018'!L77,($C$5*'Tariffs Jan2018'!AL77/'Tariffs Jan2018'!AJ77-'Tariffs Jan2018'!K77)*('Tariffs Jan2018'!W77/100)*'Tariffs Jan2018'!AJ77,('Tariffs Jan2018'!L77-'Tariffs Jan2018'!K77)*('Tariffs Jan2018'!W77/100)*'Tariffs Jan2018'!AJ77))</f>
        <v>0</v>
      </c>
      <c r="M83" s="59">
        <f>IF($C$5*'Tariffs Jan2018'!AL77/'Tariffs Jan2018'!AJ77&lt;'Tariffs Jan2018'!L77,0,IF($C$5*'Tariffs Jan2018'!AL77/'Tariffs Jan2018'!AJ77&lt;='Tariffs Jan2018'!M77,($C$5*'Tariffs Jan2018'!AL77/'Tariffs Jan2018'!AJ77-'Tariffs Jan2018'!L77)*('Tariffs Jan2018'!X77/100)*'Tariffs Jan2018'!AJ77,('Tariffs Jan2018'!M77-'Tariffs Jan2018'!L77)*('Tariffs Jan2018'!X77/100)*'Tariffs Jan2018'!AJ77))</f>
        <v>0</v>
      </c>
      <c r="N83" s="59">
        <f>IF(($C$5*'Tariffs Jan2018'!AL77/'Tariffs Jan2018'!AJ77&gt;'Tariffs Jan2018'!M77),($C$5*'Tariffs Jan2018'!AL77/'Tariffs Jan2018'!AJ77-'Tariffs Jan2018'!M77)*'Tariffs Jan2018'!Y77/100*'Tariffs Jan2018'!AJ77,0)</f>
        <v>0</v>
      </c>
      <c r="O83" s="271">
        <f>SUM(E83:N83)</f>
        <v>1435.0390229999998</v>
      </c>
      <c r="P83" s="59">
        <f>D83+O83</f>
        <v>1735.7625229999999</v>
      </c>
      <c r="Q83" s="272">
        <f>P83*1.1</f>
        <v>1909.3387753</v>
      </c>
      <c r="R83" s="40">
        <f>'Tariffs Jan2018'!AM77</f>
        <v>0</v>
      </c>
      <c r="S83" s="40">
        <f>'Tariffs Jan2018'!AN77</f>
        <v>0</v>
      </c>
      <c r="T83" s="40">
        <f>'Tariffs Jan2018'!AO77</f>
        <v>0</v>
      </c>
      <c r="U83" s="40">
        <f>'Tariffs Jan2018'!AP77</f>
        <v>17</v>
      </c>
      <c r="V83" s="273">
        <f t="shared" si="9"/>
        <v>1735.7625229999999</v>
      </c>
      <c r="W83" s="273">
        <f>V83-(O83*U83/100)</f>
        <v>1491.8058890899999</v>
      </c>
      <c r="X83" s="272">
        <f>V83*1.1</f>
        <v>1909.3387753</v>
      </c>
      <c r="Y83" s="272">
        <f>W83*1.1</f>
        <v>1640.986477999</v>
      </c>
      <c r="Z83" s="274">
        <f>'Tariffs Jan2018'!AW77</f>
        <v>0</v>
      </c>
      <c r="AA83" s="274" t="str">
        <f>'Tariffs Jan2018'!AX77</f>
        <v>n</v>
      </c>
      <c r="AB83" s="275" t="str">
        <f>'Tariffs Jan2018'!BE77</f>
        <v>Y</v>
      </c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</row>
    <row r="84" spans="1:40" ht="14" thickBot="1" x14ac:dyDescent="0.2">
      <c r="A84" s="276" t="str">
        <f>'Tariffs Jan2018'!F78</f>
        <v>Amaysim</v>
      </c>
      <c r="B84" s="277" t="str">
        <f>'Tariffs Jan2018'!D78</f>
        <v>Ausnet West</v>
      </c>
      <c r="C84" s="277" t="str">
        <f>'Tariffs Jan2018'!G78</f>
        <v>Gas 3</v>
      </c>
      <c r="D84" s="278">
        <f>365*'Tariffs Jan2018'!H78/100</f>
        <v>353.32</v>
      </c>
      <c r="E84" s="278">
        <f>IF($C$5*'Tariffs Jan2018'!AK78/'Tariffs Jan2018'!AI78&gt;='Tariffs Jan2018'!J78,( 'Tariffs Jan2018'!J78*'Tariffs Jan2018'!O78/100)* 'Tariffs Jan2018'!AI78,($C$5*'Tariffs Jan2018'!AK78/'Tariffs Jan2018'!AI78*'Tariffs Jan2018'!O78/100)* 'Tariffs Jan2018'!AI78)</f>
        <v>366</v>
      </c>
      <c r="F84" s="278">
        <f>IF($C$5*'Tariffs Jan2018'!AK78/'Tariffs Jan2018'!AI78&lt;'Tariffs Jan2018'!J78,0,IF($C$5*'Tariffs Jan2018'!AK78/'Tariffs Jan2018'!AI78&lt;='Tariffs Jan2018'!K78,($C$5*'Tariffs Jan2018'!AK78/'Tariffs Jan2018'!AI78-'Tariffs Jan2018'!J78)*('Tariffs Jan2018'!P78/100)*'Tariffs Jan2018'!AI78,('Tariffs Jan2018'!K78-'Tariffs Jan2018'!J78)*('Tariffs Jan2018'!P78/100)*'Tariffs Jan2018'!AI78))</f>
        <v>260.93909999999994</v>
      </c>
      <c r="G84" s="278">
        <f>IF($C$5*'Tariffs Jan2018'!AK78/'Tariffs Jan2018'!AI78&lt;'Tariffs Jan2018'!K78,0,IF($C$5*'Tariffs Jan2018'!AK78/'Tariffs Jan2018'!AI78&lt;='Tariffs Jan2018'!L78,($C$5*'Tariffs Jan2018'!AK78/'Tariffs Jan2018'!AI78-'Tariffs Jan2018'!K78)*('Tariffs Jan2018'!Q78/100)*'Tariffs Jan2018'!AI78,('Tariffs Jan2018'!L78-'Tariffs Jan2018'!K78)*('Tariffs Jan2018'!Q78/100)*'Tariffs Jan2018'!AI78))</f>
        <v>0</v>
      </c>
      <c r="H84" s="278">
        <f>IF($C$5*'Tariffs Jan2018'!AK78/'Tariffs Jan2018'!AI78&lt;'Tariffs Jan2018'!L78,0,IF($C$5*'Tariffs Jan2018'!AK78/'Tariffs Jan2018'!AI78&lt;='Tariffs Jan2018'!M78,($C$5*'Tariffs Jan2018'!AK78/'Tariffs Jan2018'!AI78-'Tariffs Jan2018'!L78)*('Tariffs Jan2018'!R78/100)*'Tariffs Jan2018'!AI78,('Tariffs Jan2018'!M78-'Tariffs Jan2018'!L78)*('Tariffs Jan2018'!R78/100)*'Tariffs Jan2018'!AI78))</f>
        <v>0</v>
      </c>
      <c r="I84" s="278">
        <f>IF(($C$5*'Tariffs Jan2018'!AK78/'Tariffs Jan2018'!AI78&gt;'Tariffs Jan2018'!M78),($C$5*'Tariffs Jan2018'!AK78/'Tariffs Jan2018'!AI78-'Tariffs Jan2018'!M78)*'Tariffs Jan2018'!S78/100*'Tariffs Jan2018'!AI78,0)</f>
        <v>0</v>
      </c>
      <c r="J84" s="278">
        <f>IF($C$5*'Tariffs Jan2018'!AL78/'Tariffs Jan2018'!AJ78&gt;='Tariffs Jan2018'!J78,('Tariffs Jan2018'!J78*'Tariffs Jan2018'!U78/100)* 'Tariffs Jan2018'!AJ78,($C$5*'Tariffs Jan2018'!AL78/'Tariffs Jan2018'!AJ78*'Tariffs Jan2018'!U78/100)* 'Tariffs Jan2018'!AJ78)</f>
        <v>600</v>
      </c>
      <c r="K84" s="278">
        <f>IF($C$5*'Tariffs Jan2018'!AL78/'Tariffs Jan2018'!AJ78&lt;'Tariffs Jan2018'!J78,0,IF($C$5*'Tariffs Jan2018'!AL78/'Tariffs Jan2018'!AJ78&lt;='Tariffs Jan2018'!K78,($C$5*'Tariffs Jan2018'!AL78/'Tariffs Jan2018'!AJ78-'Tariffs Jan2018'!J78)*('Tariffs Jan2018'!V78/100)*'Tariffs Jan2018'!AJ78,('Tariffs Jan2018'!K78-'Tariffs Jan2018'!J78)*('Tariffs Jan2018'!V78/100)*'Tariffs Jan2018'!AJ78))</f>
        <v>440.89709999999991</v>
      </c>
      <c r="L84" s="278">
        <f>IF($C$5*'Tariffs Jan2018'!AL78/'Tariffs Jan2018'!AJ78&lt;'Tariffs Jan2018'!K78,0,IF($C$5*'Tariffs Jan2018'!AL78/'Tariffs Jan2018'!AJ78&lt;='Tariffs Jan2018'!L78,($C$5*'Tariffs Jan2018'!AL78/'Tariffs Jan2018'!AJ78-'Tariffs Jan2018'!K78)*('Tariffs Jan2018'!W78/100)*'Tariffs Jan2018'!AJ78,('Tariffs Jan2018'!L78-'Tariffs Jan2018'!K78)*('Tariffs Jan2018'!W78/100)*'Tariffs Jan2018'!AJ78))</f>
        <v>0</v>
      </c>
      <c r="M84" s="278">
        <f>IF($C$5*'Tariffs Jan2018'!AL78/'Tariffs Jan2018'!AJ78&lt;'Tariffs Jan2018'!L78,0,IF($C$5*'Tariffs Jan2018'!AL78/'Tariffs Jan2018'!AJ78&lt;='Tariffs Jan2018'!M78,($C$5*'Tariffs Jan2018'!AL78/'Tariffs Jan2018'!AJ78-'Tariffs Jan2018'!L78)*('Tariffs Jan2018'!X78/100)*'Tariffs Jan2018'!AJ78,('Tariffs Jan2018'!M78-'Tariffs Jan2018'!L78)*('Tariffs Jan2018'!X78/100)*'Tariffs Jan2018'!AJ78))</f>
        <v>0</v>
      </c>
      <c r="N84" s="278">
        <f>IF(($C$5*'Tariffs Jan2018'!AL78/'Tariffs Jan2018'!AJ78&gt;'Tariffs Jan2018'!M78),($C$5*'Tariffs Jan2018'!AL78/'Tariffs Jan2018'!AJ78-'Tariffs Jan2018'!M78)*'Tariffs Jan2018'!Y78/100*'Tariffs Jan2018'!AJ78,0)</f>
        <v>0</v>
      </c>
      <c r="O84" s="279">
        <f>SUM(E84:N84)</f>
        <v>1667.8362</v>
      </c>
      <c r="P84" s="278">
        <f>D84+O84</f>
        <v>2021.1561999999999</v>
      </c>
      <c r="Q84" s="280">
        <f>P84*1.1</f>
        <v>2223.2718199999999</v>
      </c>
      <c r="R84" s="277">
        <f>'Tariffs Jan2018'!AM78</f>
        <v>0</v>
      </c>
      <c r="S84" s="277">
        <f>'Tariffs Jan2018'!AN78</f>
        <v>0</v>
      </c>
      <c r="T84" s="277">
        <f>'Tariffs Jan2018'!AO78</f>
        <v>28</v>
      </c>
      <c r="U84" s="277">
        <f>'Tariffs Jan2018'!AP78</f>
        <v>0</v>
      </c>
      <c r="V84" s="281">
        <f t="shared" si="9"/>
        <v>2021.1561999999999</v>
      </c>
      <c r="W84" s="281">
        <f>V84-(P84*T84/100)</f>
        <v>1455.2324639999999</v>
      </c>
      <c r="X84" s="280">
        <f>V84*1.1</f>
        <v>2223.2718199999999</v>
      </c>
      <c r="Y84" s="280">
        <f>W84*1.1</f>
        <v>1600.7557104</v>
      </c>
      <c r="Z84" s="282">
        <f>'Tariffs Jan2018'!AW78</f>
        <v>0</v>
      </c>
      <c r="AA84" s="282" t="str">
        <f>'Tariffs Jan2018'!AX78</f>
        <v>n</v>
      </c>
      <c r="AB84" s="283" t="str">
        <f>'Tariffs Jan2018'!BE78</f>
        <v>N</v>
      </c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</row>
    <row r="85" spans="1:40" ht="14" thickTop="1" x14ac:dyDescent="0.15">
      <c r="A85" s="270" t="str">
        <f>'Tariffs Jan2018'!F79</f>
        <v>AGL</v>
      </c>
      <c r="B85" s="40" t="str">
        <f>'Tariffs Jan2018'!D79</f>
        <v>Ausnet Central 2</v>
      </c>
      <c r="C85" s="40" t="str">
        <f>'Tariffs Jan2018'!G79</f>
        <v>Savers</v>
      </c>
      <c r="D85" s="59">
        <f>365*'Tariffs Jan2018'!H79/100</f>
        <v>321.2</v>
      </c>
      <c r="E85" s="59">
        <f>IF($C$5*'Tariffs Jan2018'!AK79/'Tariffs Jan2018'!AI79&gt;='Tariffs Jan2018'!J79,( 'Tariffs Jan2018'!J79*'Tariffs Jan2018'!O79/100)* 'Tariffs Jan2018'!AI79,($C$5*'Tariffs Jan2018'!AK79/'Tariffs Jan2018'!AI79*'Tariffs Jan2018'!O79/100)* 'Tariffs Jan2018'!AI79)</f>
        <v>302.39999999999998</v>
      </c>
      <c r="F85" s="59">
        <f>IF($C$5*'Tariffs Jan2018'!AK79/'Tariffs Jan2018'!AI79&lt;'Tariffs Jan2018'!J79,0,IF($C$5*'Tariffs Jan2018'!AK79/'Tariffs Jan2018'!AI79&lt;='Tariffs Jan2018'!K79,($C$5*'Tariffs Jan2018'!AK79/'Tariffs Jan2018'!AI79-'Tariffs Jan2018'!J79)*('Tariffs Jan2018'!P79/100)*'Tariffs Jan2018'!AI79,('Tariffs Jan2018'!K79-'Tariffs Jan2018'!J79)*('Tariffs Jan2018'!P79/100)*'Tariffs Jan2018'!AI79))</f>
        <v>215.94959999999995</v>
      </c>
      <c r="G85" s="59">
        <f>IF($C$5*'Tariffs Jan2018'!AK79/'Tariffs Jan2018'!AI79&lt;'Tariffs Jan2018'!K79,0,IF($C$5*'Tariffs Jan2018'!AK79/'Tariffs Jan2018'!AI79&lt;='Tariffs Jan2018'!L79,($C$5*'Tariffs Jan2018'!AK79/'Tariffs Jan2018'!AI79-'Tariffs Jan2018'!K79)*('Tariffs Jan2018'!Q79/100)*'Tariffs Jan2018'!AI79,('Tariffs Jan2018'!L79-'Tariffs Jan2018'!K79)*('Tariffs Jan2018'!Q79/100)*'Tariffs Jan2018'!AI79))</f>
        <v>0</v>
      </c>
      <c r="H85" s="59">
        <f>IF($C$5*'Tariffs Jan2018'!AK79/'Tariffs Jan2018'!AI79&lt;'Tariffs Jan2018'!L79,0,IF($C$5*'Tariffs Jan2018'!AK79/'Tariffs Jan2018'!AI79&lt;='Tariffs Jan2018'!M79,($C$5*'Tariffs Jan2018'!AK79/'Tariffs Jan2018'!AI79-'Tariffs Jan2018'!L79)*('Tariffs Jan2018'!R79/100)*'Tariffs Jan2018'!AI79,('Tariffs Jan2018'!M79-'Tariffs Jan2018'!L79)*('Tariffs Jan2018'!R79/100)*'Tariffs Jan2018'!AI79))</f>
        <v>0</v>
      </c>
      <c r="I85" s="59">
        <f>IF(($C$5*'Tariffs Jan2018'!AK79/'Tariffs Jan2018'!AI79&gt;'Tariffs Jan2018'!M79),($C$5*'Tariffs Jan2018'!AK79/'Tariffs Jan2018'!AI79-'Tariffs Jan2018'!M79)*'Tariffs Jan2018'!S79/100*'Tariffs Jan2018'!AI79,0)</f>
        <v>0</v>
      </c>
      <c r="J85" s="59">
        <f>IF($C$5*'Tariffs Jan2018'!AL79/'Tariffs Jan2018'!AJ79&gt;='Tariffs Jan2018'!J79,('Tariffs Jan2018'!J79*'Tariffs Jan2018'!U79/100)* 'Tariffs Jan2018'!AJ79,($C$5*'Tariffs Jan2018'!AL79/'Tariffs Jan2018'!AJ79*'Tariffs Jan2018'!U79/100)* 'Tariffs Jan2018'!AJ79)</f>
        <v>518.4</v>
      </c>
      <c r="K85" s="59">
        <f>IF($C$5*'Tariffs Jan2018'!AL79/'Tariffs Jan2018'!AJ79&lt;'Tariffs Jan2018'!J79,0,IF($C$5*'Tariffs Jan2018'!AL79/'Tariffs Jan2018'!AJ79&lt;='Tariffs Jan2018'!K79,($C$5*'Tariffs Jan2018'!AL79/'Tariffs Jan2018'!AJ79-'Tariffs Jan2018'!J79)*('Tariffs Jan2018'!V79/100)*'Tariffs Jan2018'!AJ79,('Tariffs Jan2018'!K79-'Tariffs Jan2018'!J79)*('Tariffs Jan2018'!V79/100)*'Tariffs Jan2018'!AJ79))</f>
        <v>338.32103999999987</v>
      </c>
      <c r="L85" s="59">
        <f>IF($C$5*'Tariffs Jan2018'!AL79/'Tariffs Jan2018'!AJ79&lt;'Tariffs Jan2018'!K79,0,IF($C$5*'Tariffs Jan2018'!AL79/'Tariffs Jan2018'!AJ79&lt;='Tariffs Jan2018'!L79,($C$5*'Tariffs Jan2018'!AL79/'Tariffs Jan2018'!AJ79-'Tariffs Jan2018'!K79)*('Tariffs Jan2018'!W79/100)*'Tariffs Jan2018'!AJ79,('Tariffs Jan2018'!L79-'Tariffs Jan2018'!K79)*('Tariffs Jan2018'!W79/100)*'Tariffs Jan2018'!AJ79))</f>
        <v>0</v>
      </c>
      <c r="M85" s="59">
        <f>IF($C$5*'Tariffs Jan2018'!AL79/'Tariffs Jan2018'!AJ79&lt;'Tariffs Jan2018'!L79,0,IF($C$5*'Tariffs Jan2018'!AL79/'Tariffs Jan2018'!AJ79&lt;='Tariffs Jan2018'!M79,($C$5*'Tariffs Jan2018'!AL79/'Tariffs Jan2018'!AJ79-'Tariffs Jan2018'!L79)*('Tariffs Jan2018'!X79/100)*'Tariffs Jan2018'!AJ79,('Tariffs Jan2018'!M79-'Tariffs Jan2018'!L79)*('Tariffs Jan2018'!X79/100)*'Tariffs Jan2018'!AJ79))</f>
        <v>0</v>
      </c>
      <c r="N85" s="59">
        <f>IF(($C$5*'Tariffs Jan2018'!AL79/'Tariffs Jan2018'!AJ79&gt;'Tariffs Jan2018'!M79),($C$5*'Tariffs Jan2018'!AL79/'Tariffs Jan2018'!AJ79-'Tariffs Jan2018'!M79)*'Tariffs Jan2018'!Y79/100*'Tariffs Jan2018'!AJ79,0)</f>
        <v>0</v>
      </c>
      <c r="O85" s="59">
        <f t="shared" ref="O85:O108" si="10">SUM(E85:N85)</f>
        <v>1375.0706399999997</v>
      </c>
      <c r="P85" s="59">
        <f t="shared" ref="P85:P108" si="11">D85+O85</f>
        <v>1696.2706399999997</v>
      </c>
      <c r="Q85" s="272">
        <f t="shared" ref="Q85:Q108" si="12">P85*1.1</f>
        <v>1865.8977039999997</v>
      </c>
      <c r="R85" s="40">
        <f>'Tariffs Jan2018'!AM79</f>
        <v>0</v>
      </c>
      <c r="S85" s="40">
        <f>'Tariffs Jan2018'!AN79</f>
        <v>0</v>
      </c>
      <c r="T85" s="40">
        <f>'Tariffs Jan2018'!AO79</f>
        <v>0</v>
      </c>
      <c r="U85" s="40">
        <f>'Tariffs Jan2018'!AP79</f>
        <v>12</v>
      </c>
      <c r="V85" s="273">
        <f t="shared" si="9"/>
        <v>1696.2706399999997</v>
      </c>
      <c r="W85" s="273">
        <f>V85-(O85*U85/100)</f>
        <v>1531.2621631999998</v>
      </c>
      <c r="X85" s="272">
        <f t="shared" ref="X85:Y108" si="13">V85*1.1</f>
        <v>1865.8977039999997</v>
      </c>
      <c r="Y85" s="272">
        <f t="shared" si="13"/>
        <v>1684.3883795199999</v>
      </c>
      <c r="Z85" s="274">
        <f>'Tariffs Jan2018'!AW79</f>
        <v>0</v>
      </c>
      <c r="AA85" s="274" t="str">
        <f>'Tariffs Jan2018'!AX79</f>
        <v>n</v>
      </c>
      <c r="AB85" s="275" t="str">
        <f>'Tariffs Jan2018'!BE79</f>
        <v>N</v>
      </c>
      <c r="AC85" s="321"/>
      <c r="AD85" s="321"/>
      <c r="AE85" s="321"/>
      <c r="AF85" s="321"/>
      <c r="AG85" s="321"/>
      <c r="AH85" s="321"/>
      <c r="AI85" s="321"/>
      <c r="AJ85" s="321"/>
      <c r="AK85" s="321"/>
      <c r="AL85" s="321"/>
      <c r="AM85" s="321"/>
      <c r="AN85" s="321"/>
    </row>
    <row r="86" spans="1:40" x14ac:dyDescent="0.15">
      <c r="A86" s="270" t="str">
        <f>'Tariffs Jan2018'!F80</f>
        <v>Alinta Energy</v>
      </c>
      <c r="B86" s="40" t="str">
        <f>'Tariffs Jan2018'!D80</f>
        <v>Ausnet Central 2</v>
      </c>
      <c r="C86" s="40" t="str">
        <f>'Tariffs Jan2018'!G80</f>
        <v>Fair Deal</v>
      </c>
      <c r="D86" s="59">
        <f>365*'Tariffs Jan2018'!H80/100</f>
        <v>280.68500000000006</v>
      </c>
      <c r="E86" s="59">
        <f>IF($C$5*'Tariffs Jan2018'!AK80/'Tariffs Jan2018'!AI80&gt;='Tariffs Jan2018'!J80,( 'Tariffs Jan2018'!J80*'Tariffs Jan2018'!O80/100)* 'Tariffs Jan2018'!AI80,($C$5*'Tariffs Jan2018'!AK80/'Tariffs Jan2018'!AI80*'Tariffs Jan2018'!O80/100)* 'Tariffs Jan2018'!AI80)</f>
        <v>290.39999999999998</v>
      </c>
      <c r="F86" s="59">
        <f>IF($C$5*'Tariffs Jan2018'!AK80/'Tariffs Jan2018'!AI80&lt;'Tariffs Jan2018'!J80,0,IF($C$5*'Tariffs Jan2018'!AK80/'Tariffs Jan2018'!AI80&lt;='Tariffs Jan2018'!K80,($C$5*'Tariffs Jan2018'!AK80/'Tariffs Jan2018'!AI80-'Tariffs Jan2018'!J80)*('Tariffs Jan2018'!P80/100)*'Tariffs Jan2018'!AI80,('Tariffs Jan2018'!K80-'Tariffs Jan2018'!J80)*('Tariffs Jan2018'!P80/100)*'Tariffs Jan2018'!AI80))</f>
        <v>0</v>
      </c>
      <c r="G86" s="59">
        <f>IF($C$5*'Tariffs Jan2018'!AK80/'Tariffs Jan2018'!AI80&lt;'Tariffs Jan2018'!K80,0,IF($C$5*'Tariffs Jan2018'!AK80/'Tariffs Jan2018'!AI80&lt;='Tariffs Jan2018'!L80,($C$5*'Tariffs Jan2018'!AK80/'Tariffs Jan2018'!AI80-'Tariffs Jan2018'!K80)*('Tariffs Jan2018'!Q80/100)*'Tariffs Jan2018'!AI80,('Tariffs Jan2018'!L80-'Tariffs Jan2018'!K80)*('Tariffs Jan2018'!Q80/100)*'Tariffs Jan2018'!AI80))</f>
        <v>0</v>
      </c>
      <c r="H86" s="59">
        <f>IF($C$5*'Tariffs Jan2018'!AK80/'Tariffs Jan2018'!AI80&lt;'Tariffs Jan2018'!L80,0,IF($C$5*'Tariffs Jan2018'!AK80/'Tariffs Jan2018'!AI80&lt;='Tariffs Jan2018'!M80,($C$5*'Tariffs Jan2018'!AK80/'Tariffs Jan2018'!AI80-'Tariffs Jan2018'!L80)*('Tariffs Jan2018'!R80/100)*'Tariffs Jan2018'!AI80,('Tariffs Jan2018'!M80-'Tariffs Jan2018'!L80)*('Tariffs Jan2018'!R80/100)*'Tariffs Jan2018'!AI80))</f>
        <v>0</v>
      </c>
      <c r="I86" s="59">
        <f>IF(($C$5*'Tariffs Jan2018'!AK80/'Tariffs Jan2018'!AI80&gt;'Tariffs Jan2018'!M80),($C$5*'Tariffs Jan2018'!AK80/'Tariffs Jan2018'!AI80-'Tariffs Jan2018'!M80)*'Tariffs Jan2018'!S80/100*'Tariffs Jan2018'!AI80,0)</f>
        <v>173.65946999999997</v>
      </c>
      <c r="J86" s="59">
        <f>IF($C$5*'Tariffs Jan2018'!AL80/'Tariffs Jan2018'!AJ80&gt;='Tariffs Jan2018'!J80,('Tariffs Jan2018'!J80*'Tariffs Jan2018'!U80/100)* 'Tariffs Jan2018'!AJ80,($C$5*'Tariffs Jan2018'!AL80/'Tariffs Jan2018'!AJ80*'Tariffs Jan2018'!U80/100)* 'Tariffs Jan2018'!AJ80)</f>
        <v>285.60000000000002</v>
      </c>
      <c r="K86" s="59">
        <f>IF($C$5*'Tariffs Jan2018'!AL80/'Tariffs Jan2018'!AJ80&lt;'Tariffs Jan2018'!J80,0,IF($C$5*'Tariffs Jan2018'!AL80/'Tariffs Jan2018'!AJ80&lt;='Tariffs Jan2018'!K80,($C$5*'Tariffs Jan2018'!AL80/'Tariffs Jan2018'!AJ80-'Tariffs Jan2018'!J80)*('Tariffs Jan2018'!V80/100)*'Tariffs Jan2018'!AJ80,('Tariffs Jan2018'!K80-'Tariffs Jan2018'!J80)*('Tariffs Jan2018'!V80/100)*'Tariffs Jan2018'!AJ80))</f>
        <v>0</v>
      </c>
      <c r="L86" s="59">
        <f>IF($C$5*'Tariffs Jan2018'!AL80/'Tariffs Jan2018'!AJ80&lt;'Tariffs Jan2018'!K80,0,IF($C$5*'Tariffs Jan2018'!AL80/'Tariffs Jan2018'!AJ80&lt;='Tariffs Jan2018'!L80,($C$5*'Tariffs Jan2018'!AL80/'Tariffs Jan2018'!AJ80-'Tariffs Jan2018'!K80)*('Tariffs Jan2018'!W80/100)*'Tariffs Jan2018'!AJ80,('Tariffs Jan2018'!L80-'Tariffs Jan2018'!K80)*('Tariffs Jan2018'!W80/100)*'Tariffs Jan2018'!AJ80))</f>
        <v>0</v>
      </c>
      <c r="M86" s="59">
        <f>IF($C$5*'Tariffs Jan2018'!AL80/'Tariffs Jan2018'!AJ80&lt;'Tariffs Jan2018'!L80,0,IF($C$5*'Tariffs Jan2018'!AL80/'Tariffs Jan2018'!AJ80&lt;='Tariffs Jan2018'!M80,($C$5*'Tariffs Jan2018'!AL80/'Tariffs Jan2018'!AJ80-'Tariffs Jan2018'!L80)*('Tariffs Jan2018'!X80/100)*'Tariffs Jan2018'!AJ80,('Tariffs Jan2018'!M80-'Tariffs Jan2018'!L80)*('Tariffs Jan2018'!X80/100)*'Tariffs Jan2018'!AJ80))</f>
        <v>0</v>
      </c>
      <c r="N86" s="59">
        <f>IF(($C$5*'Tariffs Jan2018'!AL80/'Tariffs Jan2018'!AJ80&gt;'Tariffs Jan2018'!M80),($C$5*'Tariffs Jan2018'!AL80/'Tariffs Jan2018'!AJ80-'Tariffs Jan2018'!M80)*'Tariffs Jan2018'!Y80/100*'Tariffs Jan2018'!AJ80,0)</f>
        <v>318.5256599999999</v>
      </c>
      <c r="O86" s="59">
        <f t="shared" si="10"/>
        <v>1068.1851299999998</v>
      </c>
      <c r="P86" s="59">
        <f t="shared" si="11"/>
        <v>1348.8701299999998</v>
      </c>
      <c r="Q86" s="272">
        <f t="shared" si="12"/>
        <v>1483.7571429999998</v>
      </c>
      <c r="R86" s="40">
        <f>'Tariffs Jan2018'!AM80</f>
        <v>0</v>
      </c>
      <c r="S86" s="40">
        <f>'Tariffs Jan2018'!AN80</f>
        <v>0</v>
      </c>
      <c r="T86" s="40">
        <f>'Tariffs Jan2018'!AO80</f>
        <v>0</v>
      </c>
      <c r="U86" s="40">
        <f>'Tariffs Jan2018'!AP80</f>
        <v>25</v>
      </c>
      <c r="V86" s="273">
        <f t="shared" ref="V86:V97" si="14">P86</f>
        <v>1348.8701299999998</v>
      </c>
      <c r="W86" s="273">
        <f>V86-(O86*U86/100)</f>
        <v>1081.8238474999998</v>
      </c>
      <c r="X86" s="272">
        <f t="shared" si="13"/>
        <v>1483.7571429999998</v>
      </c>
      <c r="Y86" s="272">
        <f t="shared" si="13"/>
        <v>1190.0062322499998</v>
      </c>
      <c r="Z86" s="274">
        <f>'Tariffs Jan2018'!AW80</f>
        <v>0</v>
      </c>
      <c r="AA86" s="274" t="str">
        <f>'Tariffs Jan2018'!AX80</f>
        <v>n</v>
      </c>
      <c r="AB86" s="275" t="str">
        <f>'Tariffs Jan2018'!BE80</f>
        <v>Y</v>
      </c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</row>
    <row r="87" spans="1:40" x14ac:dyDescent="0.15">
      <c r="A87" s="270" t="str">
        <f>'Tariffs Jan2018'!F81</f>
        <v>Click Energy</v>
      </c>
      <c r="B87" s="40" t="str">
        <f>'Tariffs Jan2018'!D81</f>
        <v>Ausnet Central 2</v>
      </c>
      <c r="C87" s="40" t="str">
        <f>'Tariffs Jan2018'!G81</f>
        <v>Amber</v>
      </c>
      <c r="D87" s="59">
        <f>365*'Tariffs Jan2018'!H81/100</f>
        <v>353.32</v>
      </c>
      <c r="E87" s="59">
        <f>IF($C$5*'Tariffs Jan2018'!AK81/'Tariffs Jan2018'!AI81&gt;='Tariffs Jan2018'!J81,( 'Tariffs Jan2018'!J81*'Tariffs Jan2018'!O81/100)* 'Tariffs Jan2018'!AI81,($C$5*'Tariffs Jan2018'!AK81/'Tariffs Jan2018'!AI81*'Tariffs Jan2018'!O81/100)* 'Tariffs Jan2018'!AI81)</f>
        <v>426</v>
      </c>
      <c r="F87" s="59">
        <f>IF($C$5*'Tariffs Jan2018'!AK81/'Tariffs Jan2018'!AI81&lt;'Tariffs Jan2018'!J81,0,IF($C$5*'Tariffs Jan2018'!AK81/'Tariffs Jan2018'!AI81&lt;='Tariffs Jan2018'!K81,($C$5*'Tariffs Jan2018'!AK81/'Tariffs Jan2018'!AI81-'Tariffs Jan2018'!J81)*('Tariffs Jan2018'!P81/100)*'Tariffs Jan2018'!AI81,('Tariffs Jan2018'!K81-'Tariffs Jan2018'!J81)*('Tariffs Jan2018'!P81/100)*'Tariffs Jan2018'!AI81))</f>
        <v>274.43594999999993</v>
      </c>
      <c r="G87" s="59">
        <f>IF($C$5*'Tariffs Jan2018'!AK81/'Tariffs Jan2018'!AI81&lt;'Tariffs Jan2018'!K81,0,IF($C$5*'Tariffs Jan2018'!AK81/'Tariffs Jan2018'!AI81&lt;='Tariffs Jan2018'!L81,($C$5*'Tariffs Jan2018'!AK81/'Tariffs Jan2018'!AI81-'Tariffs Jan2018'!K81)*('Tariffs Jan2018'!Q81/100)*'Tariffs Jan2018'!AI81,('Tariffs Jan2018'!L81-'Tariffs Jan2018'!K81)*('Tariffs Jan2018'!Q81/100)*'Tariffs Jan2018'!AI81))</f>
        <v>0</v>
      </c>
      <c r="H87" s="59">
        <f>IF($C$5*'Tariffs Jan2018'!AK81/'Tariffs Jan2018'!AI81&lt;'Tariffs Jan2018'!L81,0,IF($C$5*'Tariffs Jan2018'!AK81/'Tariffs Jan2018'!AI81&lt;='Tariffs Jan2018'!M81,($C$5*'Tariffs Jan2018'!AK81/'Tariffs Jan2018'!AI81-'Tariffs Jan2018'!L81)*('Tariffs Jan2018'!R81/100)*'Tariffs Jan2018'!AI81,('Tariffs Jan2018'!M81-'Tariffs Jan2018'!L81)*('Tariffs Jan2018'!R81/100)*'Tariffs Jan2018'!AI81))</f>
        <v>0</v>
      </c>
      <c r="I87" s="59">
        <f>IF(($C$5*'Tariffs Jan2018'!AK81/'Tariffs Jan2018'!AI81&gt;'Tariffs Jan2018'!M81),($C$5*'Tariffs Jan2018'!AK81/'Tariffs Jan2018'!AI81-'Tariffs Jan2018'!M81)*'Tariffs Jan2018'!S81/100*'Tariffs Jan2018'!AI81,0)</f>
        <v>0</v>
      </c>
      <c r="J87" s="59">
        <f>IF($C$5*'Tariffs Jan2018'!AL81/'Tariffs Jan2018'!AJ81&gt;='Tariffs Jan2018'!J81,('Tariffs Jan2018'!J81*'Tariffs Jan2018'!U81/100)* 'Tariffs Jan2018'!AJ81,($C$5*'Tariffs Jan2018'!AL81/'Tariffs Jan2018'!AJ81*'Tariffs Jan2018'!U81/100)* 'Tariffs Jan2018'!AJ81)</f>
        <v>600</v>
      </c>
      <c r="K87" s="59">
        <f>IF($C$5*'Tariffs Jan2018'!AL81/'Tariffs Jan2018'!AJ81&lt;'Tariffs Jan2018'!J81,0,IF($C$5*'Tariffs Jan2018'!AL81/'Tariffs Jan2018'!AJ81&lt;='Tariffs Jan2018'!K81,($C$5*'Tariffs Jan2018'!AL81/'Tariffs Jan2018'!AJ81-'Tariffs Jan2018'!J81)*('Tariffs Jan2018'!V81/100)*'Tariffs Jan2018'!AJ81,('Tariffs Jan2018'!K81-'Tariffs Jan2018'!J81)*('Tariffs Jan2018'!V81/100)*'Tariffs Jan2018'!AJ81))</f>
        <v>440.89709999999991</v>
      </c>
      <c r="L87" s="59">
        <f>IF($C$5*'Tariffs Jan2018'!AL81/'Tariffs Jan2018'!AJ81&lt;'Tariffs Jan2018'!K81,0,IF($C$5*'Tariffs Jan2018'!AL81/'Tariffs Jan2018'!AJ81&lt;='Tariffs Jan2018'!L81,($C$5*'Tariffs Jan2018'!AL81/'Tariffs Jan2018'!AJ81-'Tariffs Jan2018'!K81)*('Tariffs Jan2018'!W81/100)*'Tariffs Jan2018'!AJ81,('Tariffs Jan2018'!L81-'Tariffs Jan2018'!K81)*('Tariffs Jan2018'!W81/100)*'Tariffs Jan2018'!AJ81))</f>
        <v>0</v>
      </c>
      <c r="M87" s="59">
        <f>IF($C$5*'Tariffs Jan2018'!AL81/'Tariffs Jan2018'!AJ81&lt;'Tariffs Jan2018'!L81,0,IF($C$5*'Tariffs Jan2018'!AL81/'Tariffs Jan2018'!AJ81&lt;='Tariffs Jan2018'!M81,($C$5*'Tariffs Jan2018'!AL81/'Tariffs Jan2018'!AJ81-'Tariffs Jan2018'!L81)*('Tariffs Jan2018'!X81/100)*'Tariffs Jan2018'!AJ81,('Tariffs Jan2018'!M81-'Tariffs Jan2018'!L81)*('Tariffs Jan2018'!X81/100)*'Tariffs Jan2018'!AJ81))</f>
        <v>0</v>
      </c>
      <c r="N87" s="59">
        <f>IF(($C$5*'Tariffs Jan2018'!AL81/'Tariffs Jan2018'!AJ81&gt;'Tariffs Jan2018'!M81),($C$5*'Tariffs Jan2018'!AL81/'Tariffs Jan2018'!AJ81-'Tariffs Jan2018'!M81)*'Tariffs Jan2018'!Y81/100*'Tariffs Jan2018'!AJ81,0)</f>
        <v>0</v>
      </c>
      <c r="O87" s="59">
        <f t="shared" si="10"/>
        <v>1741.33305</v>
      </c>
      <c r="P87" s="59">
        <f t="shared" si="11"/>
        <v>2094.6530499999999</v>
      </c>
      <c r="Q87" s="272">
        <f t="shared" si="12"/>
        <v>2304.1183550000001</v>
      </c>
      <c r="R87" s="40">
        <f>'Tariffs Jan2018'!AM81</f>
        <v>0</v>
      </c>
      <c r="S87" s="40">
        <f>'Tariffs Jan2018'!AN81</f>
        <v>0</v>
      </c>
      <c r="T87" s="40">
        <f>'Tariffs Jan2018'!AO81</f>
        <v>14</v>
      </c>
      <c r="U87" s="40">
        <f>'Tariffs Jan2018'!AP81</f>
        <v>0</v>
      </c>
      <c r="V87" s="273">
        <f t="shared" si="14"/>
        <v>2094.6530499999999</v>
      </c>
      <c r="W87" s="273">
        <f>V87-(P87*T87/100)</f>
        <v>1801.401623</v>
      </c>
      <c r="X87" s="272">
        <f t="shared" si="13"/>
        <v>2304.1183550000001</v>
      </c>
      <c r="Y87" s="272">
        <f t="shared" si="13"/>
        <v>1981.5417853000001</v>
      </c>
      <c r="Z87" s="274">
        <f>'Tariffs Jan2018'!AW81</f>
        <v>0</v>
      </c>
      <c r="AA87" s="274" t="str">
        <f>'Tariffs Jan2018'!AX81</f>
        <v>n</v>
      </c>
      <c r="AB87" s="275" t="str">
        <f>'Tariffs Jan2018'!BE81</f>
        <v>N</v>
      </c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</row>
    <row r="88" spans="1:40" x14ac:dyDescent="0.15">
      <c r="A88" s="270" t="str">
        <f>'Tariffs Jan2018'!F82</f>
        <v>Covau</v>
      </c>
      <c r="B88" s="40" t="str">
        <f>'Tariffs Jan2018'!D82</f>
        <v>Ausnet Central 2</v>
      </c>
      <c r="C88" s="40" t="str">
        <f>'Tariffs Jan2018'!G82</f>
        <v>Smart Saver</v>
      </c>
      <c r="D88" s="59">
        <f>365*'Tariffs Jan2018'!H82/100</f>
        <v>299.3</v>
      </c>
      <c r="E88" s="59">
        <f>IF($C$5*'Tariffs Jan2018'!AK82/'Tariffs Jan2018'!AI82&gt;='Tariffs Jan2018'!J82,( 'Tariffs Jan2018'!J82*'Tariffs Jan2018'!O82/100)* 'Tariffs Jan2018'!AI82,($C$5*'Tariffs Jan2018'!AK82/'Tariffs Jan2018'!AI82*'Tariffs Jan2018'!O82/100)* 'Tariffs Jan2018'!AI82)</f>
        <v>477</v>
      </c>
      <c r="F88" s="59">
        <f>IF($C$5*'Tariffs Jan2018'!AK82/'Tariffs Jan2018'!AI82&lt;'Tariffs Jan2018'!J82,0,IF($C$5*'Tariffs Jan2018'!AK82/'Tariffs Jan2018'!AI82&lt;='Tariffs Jan2018'!K82,($C$5*'Tariffs Jan2018'!AK82/'Tariffs Jan2018'!AI82-'Tariffs Jan2018'!J82)*('Tariffs Jan2018'!P82/100)*'Tariffs Jan2018'!AI82,('Tariffs Jan2018'!K82-'Tariffs Jan2018'!J82)*('Tariffs Jan2018'!P82/100)*'Tariffs Jan2018'!AI82))</f>
        <v>337.5</v>
      </c>
      <c r="G88" s="59">
        <f>IF($C$5*'Tariffs Jan2018'!AK82/'Tariffs Jan2018'!AI82&lt;'Tariffs Jan2018'!K82,0,IF($C$5*'Tariffs Jan2018'!AK82/'Tariffs Jan2018'!AI82&lt;='Tariffs Jan2018'!L82,($C$5*'Tariffs Jan2018'!AK82/'Tariffs Jan2018'!AI82-'Tariffs Jan2018'!K82)*('Tariffs Jan2018'!Q82/100)*'Tariffs Jan2018'!AI82,('Tariffs Jan2018'!L82-'Tariffs Jan2018'!K82)*('Tariffs Jan2018'!Q82/100)*'Tariffs Jan2018'!AI82))</f>
        <v>0</v>
      </c>
      <c r="H88" s="59">
        <f>IF($C$5*'Tariffs Jan2018'!AK82/'Tariffs Jan2018'!AI82&lt;'Tariffs Jan2018'!L82,0,IF($C$5*'Tariffs Jan2018'!AK82/'Tariffs Jan2018'!AI82&lt;='Tariffs Jan2018'!M82,($C$5*'Tariffs Jan2018'!AK82/'Tariffs Jan2018'!AI82-'Tariffs Jan2018'!L82)*('Tariffs Jan2018'!R82/100)*'Tariffs Jan2018'!AI82,('Tariffs Jan2018'!M82-'Tariffs Jan2018'!L82)*('Tariffs Jan2018'!R82/100)*'Tariffs Jan2018'!AI82))</f>
        <v>0</v>
      </c>
      <c r="I88" s="59">
        <f>IF(($C$5*'Tariffs Jan2018'!AK82/'Tariffs Jan2018'!AI82&gt;'Tariffs Jan2018'!M82),($C$5*'Tariffs Jan2018'!AK82/'Tariffs Jan2018'!AI82-'Tariffs Jan2018'!M82)*'Tariffs Jan2018'!S82/100*'Tariffs Jan2018'!AI82,0)</f>
        <v>0</v>
      </c>
      <c r="J88" s="59">
        <f>IF($C$5*'Tariffs Jan2018'!AL82/'Tariffs Jan2018'!AJ82&gt;='Tariffs Jan2018'!J82,('Tariffs Jan2018'!J82*'Tariffs Jan2018'!U82/100)* 'Tariffs Jan2018'!AJ82,($C$5*'Tariffs Jan2018'!AL82/'Tariffs Jan2018'!AJ82*'Tariffs Jan2018'!U82/100)* 'Tariffs Jan2018'!AJ82)</f>
        <v>417.59999999999997</v>
      </c>
      <c r="K88" s="59">
        <f>IF($C$5*'Tariffs Jan2018'!AL82/'Tariffs Jan2018'!AJ82&lt;'Tariffs Jan2018'!J82,0,IF($C$5*'Tariffs Jan2018'!AL82/'Tariffs Jan2018'!AJ82&lt;='Tariffs Jan2018'!K82,($C$5*'Tariffs Jan2018'!AL82/'Tariffs Jan2018'!AJ82-'Tariffs Jan2018'!J82)*('Tariffs Jan2018'!V82/100)*'Tariffs Jan2018'!AJ82,('Tariffs Jan2018'!K82-'Tariffs Jan2018'!J82)*('Tariffs Jan2018'!V82/100)*'Tariffs Jan2018'!AJ82))</f>
        <v>256.5</v>
      </c>
      <c r="L88" s="59">
        <f>IF($C$5*'Tariffs Jan2018'!AL82/'Tariffs Jan2018'!AJ82&lt;'Tariffs Jan2018'!K82,0,IF($C$5*'Tariffs Jan2018'!AL82/'Tariffs Jan2018'!AJ82&lt;='Tariffs Jan2018'!L82,($C$5*'Tariffs Jan2018'!AL82/'Tariffs Jan2018'!AJ82-'Tariffs Jan2018'!K82)*('Tariffs Jan2018'!W82/100)*'Tariffs Jan2018'!AJ82,('Tariffs Jan2018'!L82-'Tariffs Jan2018'!K82)*('Tariffs Jan2018'!W82/100)*'Tariffs Jan2018'!AJ82))</f>
        <v>0</v>
      </c>
      <c r="M88" s="59">
        <f>IF($C$5*'Tariffs Jan2018'!AL82/'Tariffs Jan2018'!AJ82&lt;'Tariffs Jan2018'!L82,0,IF($C$5*'Tariffs Jan2018'!AL82/'Tariffs Jan2018'!AJ82&lt;='Tariffs Jan2018'!M82,($C$5*'Tariffs Jan2018'!AL82/'Tariffs Jan2018'!AJ82-'Tariffs Jan2018'!L82)*('Tariffs Jan2018'!X82/100)*'Tariffs Jan2018'!AJ82,('Tariffs Jan2018'!M82-'Tariffs Jan2018'!L82)*('Tariffs Jan2018'!X82/100)*'Tariffs Jan2018'!AJ82))</f>
        <v>0</v>
      </c>
      <c r="N88" s="59">
        <f>IF(($C$5*'Tariffs Jan2018'!AL82/'Tariffs Jan2018'!AJ82&gt;'Tariffs Jan2018'!M82),($C$5*'Tariffs Jan2018'!AL82/'Tariffs Jan2018'!AJ82-'Tariffs Jan2018'!M82)*'Tariffs Jan2018'!Y82/100*'Tariffs Jan2018'!AJ82,0)</f>
        <v>0</v>
      </c>
      <c r="O88" s="59">
        <f t="shared" si="10"/>
        <v>1488.6</v>
      </c>
      <c r="P88" s="59">
        <f t="shared" si="11"/>
        <v>1787.8999999999999</v>
      </c>
      <c r="Q88" s="272">
        <f t="shared" si="12"/>
        <v>1966.69</v>
      </c>
      <c r="R88" s="40">
        <f>'Tariffs Jan2018'!AM82</f>
        <v>0</v>
      </c>
      <c r="S88" s="40">
        <f>'Tariffs Jan2018'!AN82</f>
        <v>0</v>
      </c>
      <c r="T88" s="40">
        <f>'Tariffs Jan2018'!AO82</f>
        <v>0</v>
      </c>
      <c r="U88" s="40">
        <f>'Tariffs Jan2018'!AP82</f>
        <v>16</v>
      </c>
      <c r="V88" s="273">
        <f t="shared" si="14"/>
        <v>1787.8999999999999</v>
      </c>
      <c r="W88" s="273">
        <f>V88-(O88*U88/100)</f>
        <v>1549.7239999999999</v>
      </c>
      <c r="X88" s="272">
        <f t="shared" si="13"/>
        <v>1966.69</v>
      </c>
      <c r="Y88" s="272">
        <f t="shared" si="13"/>
        <v>1704.6964</v>
      </c>
      <c r="Z88" s="274">
        <f>'Tariffs Jan2018'!AW82</f>
        <v>12</v>
      </c>
      <c r="AA88" s="274" t="str">
        <f>'Tariffs Jan2018'!AX82</f>
        <v>y</v>
      </c>
      <c r="AB88" s="275" t="str">
        <f>'Tariffs Jan2018'!BE82</f>
        <v>N</v>
      </c>
      <c r="AC88" s="321"/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</row>
    <row r="89" spans="1:40" x14ac:dyDescent="0.15">
      <c r="A89" s="270" t="str">
        <f>'Tariffs Jan2018'!F83</f>
        <v>Dodo Power &amp; Gas</v>
      </c>
      <c r="B89" s="40" t="str">
        <f>'Tariffs Jan2018'!D83</f>
        <v>Ausnet Central 2</v>
      </c>
      <c r="C89" s="40" t="str">
        <f>'Tariffs Jan2018'!G83</f>
        <v>Market offer</v>
      </c>
      <c r="D89" s="59">
        <f>365*'Tariffs Jan2018'!H83/100</f>
        <v>291.63500000000005</v>
      </c>
      <c r="E89" s="59">
        <f>IF($C$5*'Tariffs Jan2018'!AK83/'Tariffs Jan2018'!AI83&gt;='Tariffs Jan2018'!J83,( 'Tariffs Jan2018'!J83*'Tariffs Jan2018'!O83/100)* 'Tariffs Jan2018'!AI83,($C$5*'Tariffs Jan2018'!AK83/'Tariffs Jan2018'!AI83*'Tariffs Jan2018'!O83/100)* 'Tariffs Jan2018'!AI83)</f>
        <v>193.2</v>
      </c>
      <c r="F89" s="59">
        <f>IF($C$5*'Tariffs Jan2018'!AK83/'Tariffs Jan2018'!AI83&lt;'Tariffs Jan2018'!J83,0,IF($C$5*'Tariffs Jan2018'!AK83/'Tariffs Jan2018'!AI83&lt;='Tariffs Jan2018'!K83,($C$5*'Tariffs Jan2018'!AK83/'Tariffs Jan2018'!AI83-'Tariffs Jan2018'!J83)*('Tariffs Jan2018'!P83/100)*'Tariffs Jan2018'!AI83,('Tariffs Jan2018'!K83-'Tariffs Jan2018'!J83)*('Tariffs Jan2018'!P83/100)*'Tariffs Jan2018'!AI83))</f>
        <v>0</v>
      </c>
      <c r="G89" s="59">
        <f>IF($C$5*'Tariffs Jan2018'!AK83/'Tariffs Jan2018'!AI83&lt;'Tariffs Jan2018'!K83,0,IF($C$5*'Tariffs Jan2018'!AK83/'Tariffs Jan2018'!AI83&lt;='Tariffs Jan2018'!L83,($C$5*'Tariffs Jan2018'!AK83/'Tariffs Jan2018'!AI83-'Tariffs Jan2018'!K83)*('Tariffs Jan2018'!Q83/100)*'Tariffs Jan2018'!AI83,('Tariffs Jan2018'!L83-'Tariffs Jan2018'!K83)*('Tariffs Jan2018'!Q83/100)*'Tariffs Jan2018'!AI83))</f>
        <v>0</v>
      </c>
      <c r="H89" s="59">
        <f>IF($C$5*'Tariffs Jan2018'!AK83/'Tariffs Jan2018'!AI83&lt;'Tariffs Jan2018'!L83,0,IF($C$5*'Tariffs Jan2018'!AK83/'Tariffs Jan2018'!AI83&lt;='Tariffs Jan2018'!M83,($C$5*'Tariffs Jan2018'!AK83/'Tariffs Jan2018'!AI83-'Tariffs Jan2018'!L83)*('Tariffs Jan2018'!R83/100)*'Tariffs Jan2018'!AI83,('Tariffs Jan2018'!M83-'Tariffs Jan2018'!L83)*('Tariffs Jan2018'!R83/100)*'Tariffs Jan2018'!AI83))</f>
        <v>0</v>
      </c>
      <c r="I89" s="59">
        <f>IF(($C$5*'Tariffs Jan2018'!AK83/'Tariffs Jan2018'!AI83&gt;'Tariffs Jan2018'!M83),($C$5*'Tariffs Jan2018'!AK83/'Tariffs Jan2018'!AI83-'Tariffs Jan2018'!M83)*'Tariffs Jan2018'!S83/100*'Tariffs Jan2018'!AI83,0)</f>
        <v>328.95064999999994</v>
      </c>
      <c r="J89" s="59">
        <f>IF($C$5*'Tariffs Jan2018'!AL83/'Tariffs Jan2018'!AJ83&gt;='Tariffs Jan2018'!J83,('Tariffs Jan2018'!J83*'Tariffs Jan2018'!U83/100)* 'Tariffs Jan2018'!AJ83,($C$5*'Tariffs Jan2018'!AL83/'Tariffs Jan2018'!AJ83*'Tariffs Jan2018'!U83/100)* 'Tariffs Jan2018'!AJ83)</f>
        <v>310.8</v>
      </c>
      <c r="K89" s="59">
        <f>IF($C$5*'Tariffs Jan2018'!AL83/'Tariffs Jan2018'!AJ83&lt;'Tariffs Jan2018'!J83,0,IF($C$5*'Tariffs Jan2018'!AL83/'Tariffs Jan2018'!AJ83&lt;='Tariffs Jan2018'!K83,($C$5*'Tariffs Jan2018'!AL83/'Tariffs Jan2018'!AJ83-'Tariffs Jan2018'!J83)*('Tariffs Jan2018'!V83/100)*'Tariffs Jan2018'!AJ83,('Tariffs Jan2018'!K83-'Tariffs Jan2018'!J83)*('Tariffs Jan2018'!V83/100)*'Tariffs Jan2018'!AJ83))</f>
        <v>0</v>
      </c>
      <c r="L89" s="59">
        <f>IF($C$5*'Tariffs Jan2018'!AL83/'Tariffs Jan2018'!AJ83&lt;'Tariffs Jan2018'!K83,0,IF($C$5*'Tariffs Jan2018'!AL83/'Tariffs Jan2018'!AJ83&lt;='Tariffs Jan2018'!L83,($C$5*'Tariffs Jan2018'!AL83/'Tariffs Jan2018'!AJ83-'Tariffs Jan2018'!K83)*('Tariffs Jan2018'!W83/100)*'Tariffs Jan2018'!AJ83,('Tariffs Jan2018'!L83-'Tariffs Jan2018'!K83)*('Tariffs Jan2018'!W83/100)*'Tariffs Jan2018'!AJ83))</f>
        <v>0</v>
      </c>
      <c r="M89" s="59">
        <f>IF($C$5*'Tariffs Jan2018'!AL83/'Tariffs Jan2018'!AJ83&lt;'Tariffs Jan2018'!L83,0,IF($C$5*'Tariffs Jan2018'!AL83/'Tariffs Jan2018'!AJ83&lt;='Tariffs Jan2018'!M83,($C$5*'Tariffs Jan2018'!AL83/'Tariffs Jan2018'!AJ83-'Tariffs Jan2018'!L83)*('Tariffs Jan2018'!X83/100)*'Tariffs Jan2018'!AJ83,('Tariffs Jan2018'!M83-'Tariffs Jan2018'!L83)*('Tariffs Jan2018'!X83/100)*'Tariffs Jan2018'!AJ83))</f>
        <v>0</v>
      </c>
      <c r="N89" s="59">
        <f>IF(($C$5*'Tariffs Jan2018'!AL83/'Tariffs Jan2018'!AJ83&gt;'Tariffs Jan2018'!M83),($C$5*'Tariffs Jan2018'!AL83/'Tariffs Jan2018'!AJ83-'Tariffs Jan2018'!M83)*'Tariffs Jan2018'!Y83/100*'Tariffs Jan2018'!AJ83,0)</f>
        <v>512.32313999999997</v>
      </c>
      <c r="O89" s="59">
        <f t="shared" si="10"/>
        <v>1345.27379</v>
      </c>
      <c r="P89" s="59">
        <f t="shared" si="11"/>
        <v>1636.90879</v>
      </c>
      <c r="Q89" s="272">
        <f t="shared" si="12"/>
        <v>1800.5996690000002</v>
      </c>
      <c r="R89" s="40">
        <f>'Tariffs Jan2018'!AM83</f>
        <v>0</v>
      </c>
      <c r="S89" s="40">
        <f>'Tariffs Jan2018'!AN83</f>
        <v>0</v>
      </c>
      <c r="T89" s="40">
        <f>'Tariffs Jan2018'!AO83</f>
        <v>0</v>
      </c>
      <c r="U89" s="40">
        <f>'Tariffs Jan2018'!AP83</f>
        <v>0</v>
      </c>
      <c r="V89" s="273">
        <f t="shared" si="14"/>
        <v>1636.90879</v>
      </c>
      <c r="W89" s="273">
        <f>V89</f>
        <v>1636.90879</v>
      </c>
      <c r="X89" s="272">
        <f t="shared" si="13"/>
        <v>1800.5996690000002</v>
      </c>
      <c r="Y89" s="272">
        <f t="shared" si="13"/>
        <v>1800.5996690000002</v>
      </c>
      <c r="Z89" s="274">
        <f>'Tariffs Jan2018'!AW83</f>
        <v>0</v>
      </c>
      <c r="AA89" s="274" t="str">
        <f>'Tariffs Jan2018'!AX83</f>
        <v>n</v>
      </c>
      <c r="AB89" s="275" t="str">
        <f>'Tariffs Jan2018'!BE83</f>
        <v>Y</v>
      </c>
      <c r="AC89" s="321"/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</row>
    <row r="90" spans="1:40" x14ac:dyDescent="0.15">
      <c r="A90" s="270" t="str">
        <f>'Tariffs Jan2018'!F84</f>
        <v>EnergyAustralia</v>
      </c>
      <c r="B90" s="40" t="str">
        <f>'Tariffs Jan2018'!D84</f>
        <v>Ausnet Central 2</v>
      </c>
      <c r="C90" s="40" t="str">
        <f>'Tariffs Jan2018'!G84</f>
        <v xml:space="preserve">Flexi Saver </v>
      </c>
      <c r="D90" s="59">
        <f>365*'Tariffs Jan2018'!H84/100</f>
        <v>321.2</v>
      </c>
      <c r="E90" s="59">
        <f>IF($C$5*'Tariffs Jan2018'!AK84/'Tariffs Jan2018'!AI84&gt;='Tariffs Jan2018'!J84,( 'Tariffs Jan2018'!J84*'Tariffs Jan2018'!O84/100)* 'Tariffs Jan2018'!AI84,($C$5*'Tariffs Jan2018'!AK84/'Tariffs Jan2018'!AI84*'Tariffs Jan2018'!O84/100)* 'Tariffs Jan2018'!AI84)</f>
        <v>571.14287999999999</v>
      </c>
      <c r="F90" s="59">
        <f>IF($C$5*'Tariffs Jan2018'!AK84/'Tariffs Jan2018'!AI84&lt;'Tariffs Jan2018'!J84,0,IF($C$5*'Tariffs Jan2018'!AK84/'Tariffs Jan2018'!AI84&lt;='Tariffs Jan2018'!K84,($C$5*'Tariffs Jan2018'!AK84/'Tariffs Jan2018'!AI84-'Tariffs Jan2018'!J84)*('Tariffs Jan2018'!P84/100)*'Tariffs Jan2018'!AI84,('Tariffs Jan2018'!K84-'Tariffs Jan2018'!J84)*('Tariffs Jan2018'!P84/100)*'Tariffs Jan2018'!AI84))</f>
        <v>0</v>
      </c>
      <c r="G90" s="59">
        <f>IF($C$5*'Tariffs Jan2018'!AK84/'Tariffs Jan2018'!AI84&lt;'Tariffs Jan2018'!K84,0,IF($C$5*'Tariffs Jan2018'!AK84/'Tariffs Jan2018'!AI84&lt;='Tariffs Jan2018'!L84,($C$5*'Tariffs Jan2018'!AK84/'Tariffs Jan2018'!AI84-'Tariffs Jan2018'!K84)*('Tariffs Jan2018'!Q84/100)*'Tariffs Jan2018'!AI84,('Tariffs Jan2018'!L84-'Tariffs Jan2018'!K84)*('Tariffs Jan2018'!Q84/100)*'Tariffs Jan2018'!AI84))</f>
        <v>0</v>
      </c>
      <c r="H90" s="59">
        <f>IF($C$5*'Tariffs Jan2018'!AK84/'Tariffs Jan2018'!AI84&lt;'Tariffs Jan2018'!L84,0,IF($C$5*'Tariffs Jan2018'!AK84/'Tariffs Jan2018'!AI84&lt;='Tariffs Jan2018'!M84,($C$5*'Tariffs Jan2018'!AK84/'Tariffs Jan2018'!AI84-'Tariffs Jan2018'!L84)*('Tariffs Jan2018'!R84/100)*'Tariffs Jan2018'!AI84,('Tariffs Jan2018'!M84-'Tariffs Jan2018'!L84)*('Tariffs Jan2018'!R84/100)*'Tariffs Jan2018'!AI84))</f>
        <v>0</v>
      </c>
      <c r="I90" s="59">
        <f>IF(($C$5*'Tariffs Jan2018'!AK84/'Tariffs Jan2018'!AI84&gt;'Tariffs Jan2018'!M84),($C$5*'Tariffs Jan2018'!AK84/'Tariffs Jan2018'!AI84-'Tariffs Jan2018'!M84)*'Tariffs Jan2018'!S84/100*'Tariffs Jan2018'!AI84,0)</f>
        <v>0</v>
      </c>
      <c r="J90" s="59">
        <f>IF($C$5*'Tariffs Jan2018'!AL84/'Tariffs Jan2018'!AJ84&gt;='Tariffs Jan2018'!J84,('Tariffs Jan2018'!J84*'Tariffs Jan2018'!U84/100)* 'Tariffs Jan2018'!AJ84,($C$5*'Tariffs Jan2018'!AL84/'Tariffs Jan2018'!AJ84*'Tariffs Jan2018'!U84/100)* 'Tariffs Jan2018'!AJ84)</f>
        <v>797.92019999999991</v>
      </c>
      <c r="K90" s="59">
        <f>IF($C$5*'Tariffs Jan2018'!AL84/'Tariffs Jan2018'!AJ84&lt;'Tariffs Jan2018'!J84,0,IF($C$5*'Tariffs Jan2018'!AL84/'Tariffs Jan2018'!AJ84&lt;='Tariffs Jan2018'!K84,($C$5*'Tariffs Jan2018'!AL84/'Tariffs Jan2018'!AJ84-'Tariffs Jan2018'!J84)*('Tariffs Jan2018'!V84/100)*'Tariffs Jan2018'!AJ84,('Tariffs Jan2018'!K84-'Tariffs Jan2018'!J84)*('Tariffs Jan2018'!V84/100)*'Tariffs Jan2018'!AJ84))</f>
        <v>0</v>
      </c>
      <c r="L90" s="59">
        <f>IF($C$5*'Tariffs Jan2018'!AL84/'Tariffs Jan2018'!AJ84&lt;'Tariffs Jan2018'!K84,0,IF($C$5*'Tariffs Jan2018'!AL84/'Tariffs Jan2018'!AJ84&lt;='Tariffs Jan2018'!L84,($C$5*'Tariffs Jan2018'!AL84/'Tariffs Jan2018'!AJ84-'Tariffs Jan2018'!K84)*('Tariffs Jan2018'!W84/100)*'Tariffs Jan2018'!AJ84,('Tariffs Jan2018'!L84-'Tariffs Jan2018'!K84)*('Tariffs Jan2018'!W84/100)*'Tariffs Jan2018'!AJ84))</f>
        <v>0</v>
      </c>
      <c r="M90" s="59">
        <f>IF($C$5*'Tariffs Jan2018'!AL84/'Tariffs Jan2018'!AJ84&lt;'Tariffs Jan2018'!L84,0,IF($C$5*'Tariffs Jan2018'!AL84/'Tariffs Jan2018'!AJ84&lt;='Tariffs Jan2018'!M84,($C$5*'Tariffs Jan2018'!AL84/'Tariffs Jan2018'!AJ84-'Tariffs Jan2018'!L84)*('Tariffs Jan2018'!X84/100)*'Tariffs Jan2018'!AJ84,('Tariffs Jan2018'!M84-'Tariffs Jan2018'!L84)*('Tariffs Jan2018'!X84/100)*'Tariffs Jan2018'!AJ84))</f>
        <v>0</v>
      </c>
      <c r="N90" s="59">
        <f>IF(($C$5*'Tariffs Jan2018'!AL84/'Tariffs Jan2018'!AJ84&gt;'Tariffs Jan2018'!M84),($C$5*'Tariffs Jan2018'!AL84/'Tariffs Jan2018'!AJ84-'Tariffs Jan2018'!M84)*'Tariffs Jan2018'!Y84/100*'Tariffs Jan2018'!AJ84,0)</f>
        <v>0</v>
      </c>
      <c r="O90" s="59">
        <f t="shared" si="10"/>
        <v>1369.0630799999999</v>
      </c>
      <c r="P90" s="59">
        <f t="shared" si="11"/>
        <v>1690.2630799999999</v>
      </c>
      <c r="Q90" s="272">
        <f t="shared" si="12"/>
        <v>1859.2893880000001</v>
      </c>
      <c r="R90" s="40">
        <f>'Tariffs Jan2018'!AM84</f>
        <v>0</v>
      </c>
      <c r="S90" s="40">
        <f>'Tariffs Jan2018'!AN84</f>
        <v>0</v>
      </c>
      <c r="T90" s="40">
        <f>'Tariffs Jan2018'!AO84</f>
        <v>0</v>
      </c>
      <c r="U90" s="40">
        <f>'Tariffs Jan2018'!AP84</f>
        <v>15</v>
      </c>
      <c r="V90" s="273">
        <f t="shared" si="14"/>
        <v>1690.2630799999999</v>
      </c>
      <c r="W90" s="273">
        <f>V90-(O90*U90/100)</f>
        <v>1484.9036180000001</v>
      </c>
      <c r="X90" s="272">
        <f t="shared" si="13"/>
        <v>1859.2893880000001</v>
      </c>
      <c r="Y90" s="272">
        <f t="shared" si="13"/>
        <v>1633.3939798000001</v>
      </c>
      <c r="Z90" s="274">
        <f>'Tariffs Jan2018'!AW84</f>
        <v>0</v>
      </c>
      <c r="AA90" s="274" t="str">
        <f>'Tariffs Jan2018'!AX84</f>
        <v>n</v>
      </c>
      <c r="AB90" s="275" t="str">
        <f>'Tariffs Jan2018'!BE84</f>
        <v>N</v>
      </c>
      <c r="AC90" s="321"/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</row>
    <row r="91" spans="1:40" x14ac:dyDescent="0.15">
      <c r="A91" s="270" t="str">
        <f>'Tariffs Jan2018'!F85</f>
        <v>Lumo Energy</v>
      </c>
      <c r="B91" s="40" t="str">
        <f>'Tariffs Jan2018'!D85</f>
        <v>Ausnet Central 2</v>
      </c>
      <c r="C91" s="40" t="str">
        <f>'Tariffs Jan2018'!G85</f>
        <v>Advantage</v>
      </c>
      <c r="D91" s="59">
        <f>365*'Tariffs Jan2018'!H85/100</f>
        <v>289.81000000000006</v>
      </c>
      <c r="E91" s="59">
        <f>IF($C$5*'Tariffs Jan2018'!AK85/'Tariffs Jan2018'!AI85&gt;='Tariffs Jan2018'!J85,( 'Tariffs Jan2018'!J85*'Tariffs Jan2018'!O85/100)* 'Tariffs Jan2018'!AI85,($C$5*'Tariffs Jan2018'!AK85/'Tariffs Jan2018'!AI85*'Tariffs Jan2018'!O85/100)* 'Tariffs Jan2018'!AI85)</f>
        <v>321.60000000000002</v>
      </c>
      <c r="F91" s="59">
        <f>IF($C$5*'Tariffs Jan2018'!AK85/'Tariffs Jan2018'!AI85&lt;'Tariffs Jan2018'!J85,0,IF($C$5*'Tariffs Jan2018'!AK85/'Tariffs Jan2018'!AI85&lt;='Tariffs Jan2018'!K85,($C$5*'Tariffs Jan2018'!AK85/'Tariffs Jan2018'!AI85-'Tariffs Jan2018'!J85)*('Tariffs Jan2018'!P85/100)*'Tariffs Jan2018'!AI85,('Tariffs Jan2018'!K85-'Tariffs Jan2018'!J85)*('Tariffs Jan2018'!P85/100)*'Tariffs Jan2018'!AI85))</f>
        <v>205.15211999999994</v>
      </c>
      <c r="G91" s="59">
        <f>IF($C$5*'Tariffs Jan2018'!AK85/'Tariffs Jan2018'!AI85&lt;'Tariffs Jan2018'!K85,0,IF($C$5*'Tariffs Jan2018'!AK85/'Tariffs Jan2018'!AI85&lt;='Tariffs Jan2018'!L85,($C$5*'Tariffs Jan2018'!AK85/'Tariffs Jan2018'!AI85-'Tariffs Jan2018'!K85)*('Tariffs Jan2018'!Q85/100)*'Tariffs Jan2018'!AI85,('Tariffs Jan2018'!L85-'Tariffs Jan2018'!K85)*('Tariffs Jan2018'!Q85/100)*'Tariffs Jan2018'!AI85))</f>
        <v>0</v>
      </c>
      <c r="H91" s="59">
        <f>IF($C$5*'Tariffs Jan2018'!AK85/'Tariffs Jan2018'!AI85&lt;'Tariffs Jan2018'!L85,0,IF($C$5*'Tariffs Jan2018'!AK85/'Tariffs Jan2018'!AI85&lt;='Tariffs Jan2018'!M85,($C$5*'Tariffs Jan2018'!AK85/'Tariffs Jan2018'!AI85-'Tariffs Jan2018'!L85)*('Tariffs Jan2018'!R85/100)*'Tariffs Jan2018'!AI85,('Tariffs Jan2018'!M85-'Tariffs Jan2018'!L85)*('Tariffs Jan2018'!R85/100)*'Tariffs Jan2018'!AI85))</f>
        <v>0</v>
      </c>
      <c r="I91" s="59">
        <f>IF(($C$5*'Tariffs Jan2018'!AK85/'Tariffs Jan2018'!AI85&gt;'Tariffs Jan2018'!M85),($C$5*'Tariffs Jan2018'!AK85/'Tariffs Jan2018'!AI85-'Tariffs Jan2018'!M85)*'Tariffs Jan2018'!S85/100*'Tariffs Jan2018'!AI85,0)</f>
        <v>0</v>
      </c>
      <c r="J91" s="59">
        <f>IF($C$5*'Tariffs Jan2018'!AL85/'Tariffs Jan2018'!AJ85&gt;='Tariffs Jan2018'!J85,('Tariffs Jan2018'!J85*'Tariffs Jan2018'!U85/100)* 'Tariffs Jan2018'!AJ85,($C$5*'Tariffs Jan2018'!AL85/'Tariffs Jan2018'!AJ85*'Tariffs Jan2018'!U85/100)* 'Tariffs Jan2018'!AJ85)</f>
        <v>441.6</v>
      </c>
      <c r="K91" s="59">
        <f>IF($C$5*'Tariffs Jan2018'!AL85/'Tariffs Jan2018'!AJ85&lt;'Tariffs Jan2018'!J85,0,IF($C$5*'Tariffs Jan2018'!AL85/'Tariffs Jan2018'!AJ85&lt;='Tariffs Jan2018'!K85,($C$5*'Tariffs Jan2018'!AL85/'Tariffs Jan2018'!AJ85-'Tariffs Jan2018'!J85)*('Tariffs Jan2018'!V85/100)*'Tariffs Jan2018'!AJ85,('Tariffs Jan2018'!K85-'Tariffs Jan2018'!J85)*('Tariffs Jan2018'!V85/100)*'Tariffs Jan2018'!AJ85))</f>
        <v>320.32523999999989</v>
      </c>
      <c r="L91" s="59">
        <f>IF($C$5*'Tariffs Jan2018'!AL85/'Tariffs Jan2018'!AJ85&lt;'Tariffs Jan2018'!K85,0,IF($C$5*'Tariffs Jan2018'!AL85/'Tariffs Jan2018'!AJ85&lt;='Tariffs Jan2018'!L85,($C$5*'Tariffs Jan2018'!AL85/'Tariffs Jan2018'!AJ85-'Tariffs Jan2018'!K85)*('Tariffs Jan2018'!W85/100)*'Tariffs Jan2018'!AJ85,('Tariffs Jan2018'!L85-'Tariffs Jan2018'!K85)*('Tariffs Jan2018'!W85/100)*'Tariffs Jan2018'!AJ85))</f>
        <v>0</v>
      </c>
      <c r="M91" s="59">
        <f>IF($C$5*'Tariffs Jan2018'!AL85/'Tariffs Jan2018'!AJ85&lt;'Tariffs Jan2018'!L85,0,IF($C$5*'Tariffs Jan2018'!AL85/'Tariffs Jan2018'!AJ85&lt;='Tariffs Jan2018'!M85,($C$5*'Tariffs Jan2018'!AL85/'Tariffs Jan2018'!AJ85-'Tariffs Jan2018'!L85)*('Tariffs Jan2018'!X85/100)*'Tariffs Jan2018'!AJ85,('Tariffs Jan2018'!M85-'Tariffs Jan2018'!L85)*('Tariffs Jan2018'!X85/100)*'Tariffs Jan2018'!AJ85))</f>
        <v>0</v>
      </c>
      <c r="N91" s="59">
        <f>IF(($C$5*'Tariffs Jan2018'!AL85/'Tariffs Jan2018'!AJ85&gt;'Tariffs Jan2018'!M85),($C$5*'Tariffs Jan2018'!AL85/'Tariffs Jan2018'!AJ85-'Tariffs Jan2018'!M85)*'Tariffs Jan2018'!Y85/100*'Tariffs Jan2018'!AJ85,0)</f>
        <v>0</v>
      </c>
      <c r="O91" s="59">
        <f t="shared" si="10"/>
        <v>1288.6773599999999</v>
      </c>
      <c r="P91" s="59">
        <f t="shared" si="11"/>
        <v>1578.4873600000001</v>
      </c>
      <c r="Q91" s="272">
        <f t="shared" si="12"/>
        <v>1736.3360960000002</v>
      </c>
      <c r="R91" s="40">
        <f>'Tariffs Jan2018'!AM85</f>
        <v>0</v>
      </c>
      <c r="S91" s="40">
        <f>'Tariffs Jan2018'!AN85</f>
        <v>0</v>
      </c>
      <c r="T91" s="40">
        <f>'Tariffs Jan2018'!AO85</f>
        <v>15</v>
      </c>
      <c r="U91" s="40">
        <f>'Tariffs Jan2018'!AP85</f>
        <v>0</v>
      </c>
      <c r="V91" s="273">
        <f t="shared" si="14"/>
        <v>1578.4873600000001</v>
      </c>
      <c r="W91" s="273">
        <f>V91-(P91*T91/100)</f>
        <v>1341.714256</v>
      </c>
      <c r="X91" s="272">
        <f t="shared" si="13"/>
        <v>1736.3360960000002</v>
      </c>
      <c r="Y91" s="272">
        <f t="shared" si="13"/>
        <v>1475.8856816</v>
      </c>
      <c r="Z91" s="274">
        <f>'Tariffs Jan2018'!AW85</f>
        <v>0</v>
      </c>
      <c r="AA91" s="274" t="str">
        <f>'Tariffs Jan2018'!AX85</f>
        <v>n</v>
      </c>
      <c r="AB91" s="275" t="str">
        <f>'Tariffs Jan2018'!BE85</f>
        <v>N</v>
      </c>
      <c r="AC91" s="321"/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</row>
    <row r="92" spans="1:40" x14ac:dyDescent="0.15">
      <c r="A92" s="270" t="str">
        <f>'Tariffs Jan2018'!F86</f>
        <v>Momentum Energy</v>
      </c>
      <c r="B92" s="40" t="str">
        <f>'Tariffs Jan2018'!D86</f>
        <v>Ausnet Central 2</v>
      </c>
      <c r="C92" s="40" t="str">
        <f>'Tariffs Jan2018'!G86</f>
        <v>Market offer</v>
      </c>
      <c r="D92" s="59">
        <f>365*'Tariffs Jan2018'!H86/100</f>
        <v>308.4615</v>
      </c>
      <c r="E92" s="59">
        <f>IF($C$5*'Tariffs Jan2018'!AK86/'Tariffs Jan2018'!AI86&gt;='Tariffs Jan2018'!J86,( 'Tariffs Jan2018'!J86*'Tariffs Jan2018'!O86/100)* 'Tariffs Jan2018'!AI86,($C$5*'Tariffs Jan2018'!AK86/'Tariffs Jan2018'!AI86*'Tariffs Jan2018'!O86/100)* 'Tariffs Jan2018'!AI86)</f>
        <v>294.48</v>
      </c>
      <c r="F92" s="59">
        <f>IF($C$5*'Tariffs Jan2018'!AK86/'Tariffs Jan2018'!AI86&lt;'Tariffs Jan2018'!J86,0,IF($C$5*'Tariffs Jan2018'!AK86/'Tariffs Jan2018'!AI86&lt;='Tariffs Jan2018'!K86,($C$5*'Tariffs Jan2018'!AK86/'Tariffs Jan2018'!AI86-'Tariffs Jan2018'!J86)*('Tariffs Jan2018'!P86/100)*'Tariffs Jan2018'!AI86,('Tariffs Jan2018'!K86-'Tariffs Jan2018'!J86)*('Tariffs Jan2018'!P86/100)*'Tariffs Jan2018'!AI86))</f>
        <v>182.65736999999993</v>
      </c>
      <c r="G92" s="59">
        <f>IF($C$5*'Tariffs Jan2018'!AK86/'Tariffs Jan2018'!AI86&lt;'Tariffs Jan2018'!K86,0,IF($C$5*'Tariffs Jan2018'!AK86/'Tariffs Jan2018'!AI86&lt;='Tariffs Jan2018'!L86,($C$5*'Tariffs Jan2018'!AK86/'Tariffs Jan2018'!AI86-'Tariffs Jan2018'!K86)*('Tariffs Jan2018'!Q86/100)*'Tariffs Jan2018'!AI86,('Tariffs Jan2018'!L86-'Tariffs Jan2018'!K86)*('Tariffs Jan2018'!Q86/100)*'Tariffs Jan2018'!AI86))</f>
        <v>0</v>
      </c>
      <c r="H92" s="59">
        <f>IF($C$5*'Tariffs Jan2018'!AK86/'Tariffs Jan2018'!AI86&lt;'Tariffs Jan2018'!L86,0,IF($C$5*'Tariffs Jan2018'!AK86/'Tariffs Jan2018'!AI86&lt;='Tariffs Jan2018'!M86,($C$5*'Tariffs Jan2018'!AK86/'Tariffs Jan2018'!AI86-'Tariffs Jan2018'!L86)*('Tariffs Jan2018'!R86/100)*'Tariffs Jan2018'!AI86,('Tariffs Jan2018'!M86-'Tariffs Jan2018'!L86)*('Tariffs Jan2018'!R86/100)*'Tariffs Jan2018'!AI86))</f>
        <v>0</v>
      </c>
      <c r="I92" s="59">
        <f>IF(($C$5*'Tariffs Jan2018'!AK86/'Tariffs Jan2018'!AI86&gt;'Tariffs Jan2018'!M86),($C$5*'Tariffs Jan2018'!AK86/'Tariffs Jan2018'!AI86-'Tariffs Jan2018'!M86)*'Tariffs Jan2018'!S86/100*'Tariffs Jan2018'!AI86,0)</f>
        <v>0</v>
      </c>
      <c r="J92" s="59">
        <f>IF($C$5*'Tariffs Jan2018'!AL86/'Tariffs Jan2018'!AJ86&gt;='Tariffs Jan2018'!J86,('Tariffs Jan2018'!J86*'Tariffs Jan2018'!U86/100)* 'Tariffs Jan2018'!AJ86,($C$5*'Tariffs Jan2018'!AL86/'Tariffs Jan2018'!AJ86*'Tariffs Jan2018'!U86/100)* 'Tariffs Jan2018'!AJ86)</f>
        <v>366</v>
      </c>
      <c r="K92" s="59">
        <f>IF($C$5*'Tariffs Jan2018'!AL86/'Tariffs Jan2018'!AJ86&lt;'Tariffs Jan2018'!J86,0,IF($C$5*'Tariffs Jan2018'!AL86/'Tariffs Jan2018'!AJ86&lt;='Tariffs Jan2018'!K86,($C$5*'Tariffs Jan2018'!AL86/'Tariffs Jan2018'!AJ86-'Tariffs Jan2018'!J86)*('Tariffs Jan2018'!V86/100)*'Tariffs Jan2018'!AJ86,('Tariffs Jan2018'!K86-'Tariffs Jan2018'!J86)*('Tariffs Jan2018'!V86/100)*'Tariffs Jan2018'!AJ86))</f>
        <v>266.33783999999997</v>
      </c>
      <c r="L92" s="59">
        <f>IF($C$5*'Tariffs Jan2018'!AL86/'Tariffs Jan2018'!AJ86&lt;'Tariffs Jan2018'!K86,0,IF($C$5*'Tariffs Jan2018'!AL86/'Tariffs Jan2018'!AJ86&lt;='Tariffs Jan2018'!L86,($C$5*'Tariffs Jan2018'!AL86/'Tariffs Jan2018'!AJ86-'Tariffs Jan2018'!K86)*('Tariffs Jan2018'!W86/100)*'Tariffs Jan2018'!AJ86,('Tariffs Jan2018'!L86-'Tariffs Jan2018'!K86)*('Tariffs Jan2018'!W86/100)*'Tariffs Jan2018'!AJ86))</f>
        <v>0</v>
      </c>
      <c r="M92" s="59">
        <f>IF($C$5*'Tariffs Jan2018'!AL86/'Tariffs Jan2018'!AJ86&lt;'Tariffs Jan2018'!L86,0,IF($C$5*'Tariffs Jan2018'!AL86/'Tariffs Jan2018'!AJ86&lt;='Tariffs Jan2018'!M86,($C$5*'Tariffs Jan2018'!AL86/'Tariffs Jan2018'!AJ86-'Tariffs Jan2018'!L86)*('Tariffs Jan2018'!X86/100)*'Tariffs Jan2018'!AJ86,('Tariffs Jan2018'!M86-'Tariffs Jan2018'!L86)*('Tariffs Jan2018'!X86/100)*'Tariffs Jan2018'!AJ86))</f>
        <v>0</v>
      </c>
      <c r="N92" s="59">
        <f>IF(($C$5*'Tariffs Jan2018'!AL86/'Tariffs Jan2018'!AJ86&gt;'Tariffs Jan2018'!M86),($C$5*'Tariffs Jan2018'!AL86/'Tariffs Jan2018'!AJ86-'Tariffs Jan2018'!M86)*'Tariffs Jan2018'!Y86/100*'Tariffs Jan2018'!AJ86,0)</f>
        <v>0</v>
      </c>
      <c r="O92" s="59">
        <f t="shared" si="10"/>
        <v>1109.4752099999998</v>
      </c>
      <c r="P92" s="59">
        <f t="shared" si="11"/>
        <v>1417.9367099999999</v>
      </c>
      <c r="Q92" s="272">
        <f t="shared" si="12"/>
        <v>1559.7303810000001</v>
      </c>
      <c r="R92" s="40">
        <f>'Tariffs Jan2018'!AM86</f>
        <v>0</v>
      </c>
      <c r="S92" s="40">
        <f>'Tariffs Jan2018'!AN86</f>
        <v>0</v>
      </c>
      <c r="T92" s="40">
        <f>'Tariffs Jan2018'!AO86</f>
        <v>0</v>
      </c>
      <c r="U92" s="40">
        <f>'Tariffs Jan2018'!AP86</f>
        <v>0</v>
      </c>
      <c r="V92" s="273">
        <f t="shared" si="14"/>
        <v>1417.9367099999999</v>
      </c>
      <c r="W92" s="273">
        <f>V92</f>
        <v>1417.9367099999999</v>
      </c>
      <c r="X92" s="272">
        <f t="shared" si="13"/>
        <v>1559.7303810000001</v>
      </c>
      <c r="Y92" s="272">
        <f t="shared" si="13"/>
        <v>1559.7303810000001</v>
      </c>
      <c r="Z92" s="274">
        <f>'Tariffs Jan2018'!AW86</f>
        <v>0</v>
      </c>
      <c r="AA92" s="274" t="str">
        <f>'Tariffs Jan2018'!AX86</f>
        <v>n</v>
      </c>
      <c r="AB92" s="275" t="str">
        <f>'Tariffs Jan2018'!BE86</f>
        <v>Y</v>
      </c>
      <c r="AC92" s="321"/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</row>
    <row r="93" spans="1:40" x14ac:dyDescent="0.15">
      <c r="A93" s="270" t="str">
        <f>'Tariffs Jan2018'!F87</f>
        <v>Origin Energy</v>
      </c>
      <c r="B93" s="40" t="str">
        <f>'Tariffs Jan2018'!D87</f>
        <v>Ausnet Central 2</v>
      </c>
      <c r="C93" s="40" t="str">
        <f>'Tariffs Jan2018'!G87</f>
        <v>Saver</v>
      </c>
      <c r="D93" s="59">
        <f>365*'Tariffs Jan2018'!H87/100</f>
        <v>284.7</v>
      </c>
      <c r="E93" s="59">
        <f>IF($C$5*'Tariffs Jan2018'!AK87/'Tariffs Jan2018'!AI87&gt;='Tariffs Jan2018'!J87,( 'Tariffs Jan2018'!J87*'Tariffs Jan2018'!O87/100)* 'Tariffs Jan2018'!AI87,($C$5*'Tariffs Jan2018'!AK87/'Tariffs Jan2018'!AI87*'Tariffs Jan2018'!O87/100)* 'Tariffs Jan2018'!AI87)</f>
        <v>179.2</v>
      </c>
      <c r="F93" s="59">
        <f>IF($C$5*'Tariffs Jan2018'!AK87/'Tariffs Jan2018'!AI87&lt;'Tariffs Jan2018'!J87,0,IF($C$5*'Tariffs Jan2018'!AK87/'Tariffs Jan2018'!AI87&lt;='Tariffs Jan2018'!K87,($C$5*'Tariffs Jan2018'!AK87/'Tariffs Jan2018'!AI87-'Tariffs Jan2018'!J87)*('Tariffs Jan2018'!P87/100)*'Tariffs Jan2018'!AI87,('Tariffs Jan2018'!K87-'Tariffs Jan2018'!J87)*('Tariffs Jan2018'!P87/100)*'Tariffs Jan2018'!AI87))</f>
        <v>0</v>
      </c>
      <c r="G93" s="59">
        <f>IF($C$5*'Tariffs Jan2018'!AK87/'Tariffs Jan2018'!AI87&lt;'Tariffs Jan2018'!K87,0,IF($C$5*'Tariffs Jan2018'!AK87/'Tariffs Jan2018'!AI87&lt;='Tariffs Jan2018'!L87,($C$5*'Tariffs Jan2018'!AK87/'Tariffs Jan2018'!AI87-'Tariffs Jan2018'!K87)*('Tariffs Jan2018'!Q87/100)*'Tariffs Jan2018'!AI87,('Tariffs Jan2018'!L87-'Tariffs Jan2018'!K87)*('Tariffs Jan2018'!Q87/100)*'Tariffs Jan2018'!AI87))</f>
        <v>0</v>
      </c>
      <c r="H93" s="59">
        <f>IF($C$5*'Tariffs Jan2018'!AK87/'Tariffs Jan2018'!AI87&lt;'Tariffs Jan2018'!L87,0,IF($C$5*'Tariffs Jan2018'!AK87/'Tariffs Jan2018'!AI87&lt;='Tariffs Jan2018'!M87,($C$5*'Tariffs Jan2018'!AK87/'Tariffs Jan2018'!AI87-'Tariffs Jan2018'!L87)*('Tariffs Jan2018'!R87/100)*'Tariffs Jan2018'!AI87,('Tariffs Jan2018'!M87-'Tariffs Jan2018'!L87)*('Tariffs Jan2018'!R87/100)*'Tariffs Jan2018'!AI87))</f>
        <v>0</v>
      </c>
      <c r="I93" s="59">
        <f>IF(($C$5*'Tariffs Jan2018'!AK87/'Tariffs Jan2018'!AI87&gt;'Tariffs Jan2018'!M87),($C$5*'Tariffs Jan2018'!AK87/'Tariffs Jan2018'!AI87-'Tariffs Jan2018'!M87)*'Tariffs Jan2018'!S87/100*'Tariffs Jan2018'!AI87,0)</f>
        <v>321.15379999999999</v>
      </c>
      <c r="J93" s="59">
        <f>IF($C$5*'Tariffs Jan2018'!AL87/'Tariffs Jan2018'!AJ87&gt;='Tariffs Jan2018'!J87,('Tariffs Jan2018'!J87*'Tariffs Jan2018'!U87/100)* 'Tariffs Jan2018'!AJ87,($C$5*'Tariffs Jan2018'!AL87/'Tariffs Jan2018'!AJ87*'Tariffs Jan2018'!U87/100)* 'Tariffs Jan2018'!AJ87)</f>
        <v>256</v>
      </c>
      <c r="K93" s="59">
        <f>IF($C$5*'Tariffs Jan2018'!AL87/'Tariffs Jan2018'!AJ87&lt;'Tariffs Jan2018'!J87,0,IF($C$5*'Tariffs Jan2018'!AL87/'Tariffs Jan2018'!AJ87&lt;='Tariffs Jan2018'!K87,($C$5*'Tariffs Jan2018'!AL87/'Tariffs Jan2018'!AJ87-'Tariffs Jan2018'!J87)*('Tariffs Jan2018'!V87/100)*'Tariffs Jan2018'!AJ87,('Tariffs Jan2018'!K87-'Tariffs Jan2018'!J87)*('Tariffs Jan2018'!V87/100)*'Tariffs Jan2018'!AJ87))</f>
        <v>0</v>
      </c>
      <c r="L93" s="59">
        <f>IF($C$5*'Tariffs Jan2018'!AL87/'Tariffs Jan2018'!AJ87&lt;'Tariffs Jan2018'!K87,0,IF($C$5*'Tariffs Jan2018'!AL87/'Tariffs Jan2018'!AJ87&lt;='Tariffs Jan2018'!L87,($C$5*'Tariffs Jan2018'!AL87/'Tariffs Jan2018'!AJ87-'Tariffs Jan2018'!K87)*('Tariffs Jan2018'!W87/100)*'Tariffs Jan2018'!AJ87,('Tariffs Jan2018'!L87-'Tariffs Jan2018'!K87)*('Tariffs Jan2018'!W87/100)*'Tariffs Jan2018'!AJ87))</f>
        <v>0</v>
      </c>
      <c r="M93" s="59">
        <f>IF($C$5*'Tariffs Jan2018'!AL87/'Tariffs Jan2018'!AJ87&lt;'Tariffs Jan2018'!L87,0,IF($C$5*'Tariffs Jan2018'!AL87/'Tariffs Jan2018'!AJ87&lt;='Tariffs Jan2018'!M87,($C$5*'Tariffs Jan2018'!AL87/'Tariffs Jan2018'!AJ87-'Tariffs Jan2018'!L87)*('Tariffs Jan2018'!X87/100)*'Tariffs Jan2018'!AJ87,('Tariffs Jan2018'!M87-'Tariffs Jan2018'!L87)*('Tariffs Jan2018'!X87/100)*'Tariffs Jan2018'!AJ87))</f>
        <v>0</v>
      </c>
      <c r="N93" s="59">
        <f>IF(($C$5*'Tariffs Jan2018'!AL87/'Tariffs Jan2018'!AJ87&gt;'Tariffs Jan2018'!M87),($C$5*'Tariffs Jan2018'!AL87/'Tariffs Jan2018'!AJ87-'Tariffs Jan2018'!M87)*'Tariffs Jan2018'!Y87/100*'Tariffs Jan2018'!AJ87,0)</f>
        <v>467.13279999999997</v>
      </c>
      <c r="O93" s="59">
        <f t="shared" si="10"/>
        <v>1223.4866</v>
      </c>
      <c r="P93" s="59">
        <f t="shared" si="11"/>
        <v>1508.1866</v>
      </c>
      <c r="Q93" s="272">
        <f t="shared" si="12"/>
        <v>1659.0052600000001</v>
      </c>
      <c r="R93" s="40">
        <f>'Tariffs Jan2018'!AM87</f>
        <v>0</v>
      </c>
      <c r="S93" s="40">
        <f>'Tariffs Jan2018'!AN87</f>
        <v>0</v>
      </c>
      <c r="T93" s="40">
        <f>'Tariffs Jan2018'!AO87</f>
        <v>0</v>
      </c>
      <c r="U93" s="40">
        <f>'Tariffs Jan2018'!AP87</f>
        <v>13</v>
      </c>
      <c r="V93" s="273">
        <f t="shared" si="14"/>
        <v>1508.1866</v>
      </c>
      <c r="W93" s="273">
        <f>V93-(O93*U93/100)</f>
        <v>1349.1333420000001</v>
      </c>
      <c r="X93" s="272">
        <f t="shared" si="13"/>
        <v>1659.0052600000001</v>
      </c>
      <c r="Y93" s="272">
        <f t="shared" si="13"/>
        <v>1484.0466762000003</v>
      </c>
      <c r="Z93" s="274">
        <f>'Tariffs Jan2018'!AW87</f>
        <v>0</v>
      </c>
      <c r="AA93" s="274" t="str">
        <f>'Tariffs Jan2018'!AX87</f>
        <v>n</v>
      </c>
      <c r="AB93" s="275" t="str">
        <f>'Tariffs Jan2018'!BE87</f>
        <v>N</v>
      </c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</row>
    <row r="94" spans="1:40" x14ac:dyDescent="0.15">
      <c r="A94" s="270" t="str">
        <f>'Tariffs Jan2018'!F88</f>
        <v>Red Energy</v>
      </c>
      <c r="B94" s="40" t="str">
        <f>'Tariffs Jan2018'!D88</f>
        <v>Ausnet Central 2</v>
      </c>
      <c r="C94" s="40" t="str">
        <f>'Tariffs Jan2018'!G88</f>
        <v>Living Energy Saver</v>
      </c>
      <c r="D94" s="59">
        <f>365*'Tariffs Jan2018'!H88/100</f>
        <v>311.34500000000003</v>
      </c>
      <c r="E94" s="59">
        <f>IF($C$5*'Tariffs Jan2018'!AK88/'Tariffs Jan2018'!AI88&gt;='Tariffs Jan2018'!J88,( 'Tariffs Jan2018'!J88*'Tariffs Jan2018'!O88/100)* 'Tariffs Jan2018'!AI88,($C$5*'Tariffs Jan2018'!AK88/'Tariffs Jan2018'!AI88*'Tariffs Jan2018'!O88/100)* 'Tariffs Jan2018'!AI88)</f>
        <v>153.92999999999998</v>
      </c>
      <c r="F94" s="59">
        <f>IF($C$5*'Tariffs Jan2018'!AK88/'Tariffs Jan2018'!AI88&lt;'Tariffs Jan2018'!J88,0,IF($C$5*'Tariffs Jan2018'!AK88/'Tariffs Jan2018'!AI88&lt;='Tariffs Jan2018'!K88,($C$5*'Tariffs Jan2018'!AK88/'Tariffs Jan2018'!AI88-'Tariffs Jan2018'!J88)*('Tariffs Jan2018'!P88/100)*'Tariffs Jan2018'!AI88,('Tariffs Jan2018'!K88-'Tariffs Jan2018'!J88)*('Tariffs Jan2018'!P88/100)*'Tariffs Jan2018'!AI88))</f>
        <v>0</v>
      </c>
      <c r="G94" s="59">
        <f>IF($C$5*'Tariffs Jan2018'!AK88/'Tariffs Jan2018'!AI88&lt;'Tariffs Jan2018'!K88,0,IF($C$5*'Tariffs Jan2018'!AK88/'Tariffs Jan2018'!AI88&lt;='Tariffs Jan2018'!L88,($C$5*'Tariffs Jan2018'!AK88/'Tariffs Jan2018'!AI88-'Tariffs Jan2018'!K88)*('Tariffs Jan2018'!Q88/100)*'Tariffs Jan2018'!AI88,('Tariffs Jan2018'!L88-'Tariffs Jan2018'!K88)*('Tariffs Jan2018'!Q88/100)*'Tariffs Jan2018'!AI88))</f>
        <v>0</v>
      </c>
      <c r="H94" s="59">
        <f>IF($C$5*'Tariffs Jan2018'!AK88/'Tariffs Jan2018'!AI88&lt;'Tariffs Jan2018'!L88,0,IF($C$5*'Tariffs Jan2018'!AK88/'Tariffs Jan2018'!AI88&lt;='Tariffs Jan2018'!M88,($C$5*'Tariffs Jan2018'!AK88/'Tariffs Jan2018'!AI88-'Tariffs Jan2018'!L88)*('Tariffs Jan2018'!R88/100)*'Tariffs Jan2018'!AI88,('Tariffs Jan2018'!M88-'Tariffs Jan2018'!L88)*('Tariffs Jan2018'!R88/100)*'Tariffs Jan2018'!AI88))</f>
        <v>0</v>
      </c>
      <c r="I94" s="59">
        <f>IF(($C$5*'Tariffs Jan2018'!AK88/'Tariffs Jan2018'!AI88&gt;'Tariffs Jan2018'!M88),($C$5*'Tariffs Jan2018'!AK88/'Tariffs Jan2018'!AI88-'Tariffs Jan2018'!M88)*'Tariffs Jan2018'!S88/100*'Tariffs Jan2018'!AI88,0)</f>
        <v>219.34709299999994</v>
      </c>
      <c r="J94" s="59">
        <f>IF($C$5*'Tariffs Jan2018'!AL88/'Tariffs Jan2018'!AJ88&gt;='Tariffs Jan2018'!J88,('Tariffs Jan2018'!J88*'Tariffs Jan2018'!U88/100)* 'Tariffs Jan2018'!AJ88,($C$5*'Tariffs Jan2018'!AL88/'Tariffs Jan2018'!AJ88*'Tariffs Jan2018'!U88/100)* 'Tariffs Jan2018'!AJ88)</f>
        <v>224.7</v>
      </c>
      <c r="K94" s="59">
        <f>IF($C$5*'Tariffs Jan2018'!AL88/'Tariffs Jan2018'!AJ88&lt;'Tariffs Jan2018'!J88,0,IF($C$5*'Tariffs Jan2018'!AL88/'Tariffs Jan2018'!AJ88&lt;='Tariffs Jan2018'!K88,($C$5*'Tariffs Jan2018'!AL88/'Tariffs Jan2018'!AJ88-'Tariffs Jan2018'!J88)*('Tariffs Jan2018'!V88/100)*'Tariffs Jan2018'!AJ88,('Tariffs Jan2018'!K88-'Tariffs Jan2018'!J88)*('Tariffs Jan2018'!V88/100)*'Tariffs Jan2018'!AJ88))</f>
        <v>0</v>
      </c>
      <c r="L94" s="59">
        <f>IF($C$5*'Tariffs Jan2018'!AL88/'Tariffs Jan2018'!AJ88&lt;'Tariffs Jan2018'!K88,0,IF($C$5*'Tariffs Jan2018'!AL88/'Tariffs Jan2018'!AJ88&lt;='Tariffs Jan2018'!L88,($C$5*'Tariffs Jan2018'!AL88/'Tariffs Jan2018'!AJ88-'Tariffs Jan2018'!K88)*('Tariffs Jan2018'!W88/100)*'Tariffs Jan2018'!AJ88,('Tariffs Jan2018'!L88-'Tariffs Jan2018'!K88)*('Tariffs Jan2018'!W88/100)*'Tariffs Jan2018'!AJ88))</f>
        <v>0</v>
      </c>
      <c r="M94" s="59">
        <f>IF($C$5*'Tariffs Jan2018'!AL88/'Tariffs Jan2018'!AJ88&lt;'Tariffs Jan2018'!L88,0,IF($C$5*'Tariffs Jan2018'!AL88/'Tariffs Jan2018'!AJ88&lt;='Tariffs Jan2018'!M88,($C$5*'Tariffs Jan2018'!AL88/'Tariffs Jan2018'!AJ88-'Tariffs Jan2018'!L88)*('Tariffs Jan2018'!X88/100)*'Tariffs Jan2018'!AJ88,('Tariffs Jan2018'!M88-'Tariffs Jan2018'!L88)*('Tariffs Jan2018'!X88/100)*'Tariffs Jan2018'!AJ88))</f>
        <v>0</v>
      </c>
      <c r="N94" s="59">
        <f>IF(($C$5*'Tariffs Jan2018'!AL88/'Tariffs Jan2018'!AJ88&gt;'Tariffs Jan2018'!M88),($C$5*'Tariffs Jan2018'!AL88/'Tariffs Jan2018'!AJ88-'Tariffs Jan2018'!M88)*'Tariffs Jan2018'!Y88/100*'Tariffs Jan2018'!AJ88,0)</f>
        <v>365.06523199999998</v>
      </c>
      <c r="O94" s="59">
        <f t="shared" si="10"/>
        <v>963.04232499999989</v>
      </c>
      <c r="P94" s="59">
        <f t="shared" si="11"/>
        <v>1274.3873249999999</v>
      </c>
      <c r="Q94" s="272">
        <f t="shared" si="12"/>
        <v>1401.8260574999999</v>
      </c>
      <c r="R94" s="40">
        <f>'Tariffs Jan2018'!AM88</f>
        <v>0</v>
      </c>
      <c r="S94" s="40">
        <f>'Tariffs Jan2018'!AN88</f>
        <v>0</v>
      </c>
      <c r="T94" s="40">
        <f>'Tariffs Jan2018'!AO88</f>
        <v>10</v>
      </c>
      <c r="U94" s="40">
        <f>'Tariffs Jan2018'!AP88</f>
        <v>0</v>
      </c>
      <c r="V94" s="273">
        <f t="shared" si="14"/>
        <v>1274.3873249999999</v>
      </c>
      <c r="W94" s="273">
        <f>V94-(P94*T94/100)</f>
        <v>1146.9485924999999</v>
      </c>
      <c r="X94" s="272">
        <f t="shared" si="13"/>
        <v>1401.8260574999999</v>
      </c>
      <c r="Y94" s="272">
        <f t="shared" si="13"/>
        <v>1261.6434517499999</v>
      </c>
      <c r="Z94" s="274">
        <f>'Tariffs Jan2018'!AW88</f>
        <v>0</v>
      </c>
      <c r="AA94" s="274" t="str">
        <f>'Tariffs Jan2018'!AX88</f>
        <v>n</v>
      </c>
      <c r="AB94" s="275" t="str">
        <f>'Tariffs Jan2018'!BE88</f>
        <v>Y</v>
      </c>
      <c r="AC94" s="321"/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</row>
    <row r="95" spans="1:40" x14ac:dyDescent="0.15">
      <c r="A95" s="270" t="str">
        <f>'Tariffs Jan2018'!F89</f>
        <v>Simply Energy</v>
      </c>
      <c r="B95" s="40" t="str">
        <f>'Tariffs Jan2018'!D89</f>
        <v>Ausnet Central 2</v>
      </c>
      <c r="C95" s="40" t="str">
        <f>'Tariffs Jan2018'!G89</f>
        <v>Plus</v>
      </c>
      <c r="D95" s="59">
        <f>365*'Tariffs Jan2018'!H89/100</f>
        <v>280.35650000000004</v>
      </c>
      <c r="E95" s="59">
        <f>IF($C$5*'Tariffs Jan2018'!AK89/'Tariffs Jan2018'!AI89&gt;='Tariffs Jan2018'!J89,( 'Tariffs Jan2018'!J89*'Tariffs Jan2018'!O89/100)* 'Tariffs Jan2018'!AI89,($C$5*'Tariffs Jan2018'!AK89/'Tariffs Jan2018'!AI89*'Tariffs Jan2018'!O89/100)* 'Tariffs Jan2018'!AI89)</f>
        <v>345.6</v>
      </c>
      <c r="F95" s="59">
        <f>IF($C$5*'Tariffs Jan2018'!AK89/'Tariffs Jan2018'!AI89&lt;'Tariffs Jan2018'!J89,0,IF($C$5*'Tariffs Jan2018'!AK89/'Tariffs Jan2018'!AI89&lt;='Tariffs Jan2018'!K89,($C$5*'Tariffs Jan2018'!AK89/'Tariffs Jan2018'!AI89-'Tariffs Jan2018'!J89)*('Tariffs Jan2018'!P89/100)*'Tariffs Jan2018'!AI89,('Tariffs Jan2018'!K89-'Tariffs Jan2018'!J89)*('Tariffs Jan2018'!P89/100)*'Tariffs Jan2018'!AI89))</f>
        <v>253.74077999999994</v>
      </c>
      <c r="G95" s="59">
        <f>IF($C$5*'Tariffs Jan2018'!AK89/'Tariffs Jan2018'!AI89&lt;'Tariffs Jan2018'!K89,0,IF($C$5*'Tariffs Jan2018'!AK89/'Tariffs Jan2018'!AI89&lt;='Tariffs Jan2018'!L89,($C$5*'Tariffs Jan2018'!AK89/'Tariffs Jan2018'!AI89-'Tariffs Jan2018'!K89)*('Tariffs Jan2018'!Q89/100)*'Tariffs Jan2018'!AI89,('Tariffs Jan2018'!L89-'Tariffs Jan2018'!K89)*('Tariffs Jan2018'!Q89/100)*'Tariffs Jan2018'!AI89))</f>
        <v>0</v>
      </c>
      <c r="H95" s="59">
        <f>IF($C$5*'Tariffs Jan2018'!AK89/'Tariffs Jan2018'!AI89&lt;'Tariffs Jan2018'!L89,0,IF($C$5*'Tariffs Jan2018'!AK89/'Tariffs Jan2018'!AI89&lt;='Tariffs Jan2018'!M89,($C$5*'Tariffs Jan2018'!AK89/'Tariffs Jan2018'!AI89-'Tariffs Jan2018'!L89)*('Tariffs Jan2018'!R89/100)*'Tariffs Jan2018'!AI89,('Tariffs Jan2018'!M89-'Tariffs Jan2018'!L89)*('Tariffs Jan2018'!R89/100)*'Tariffs Jan2018'!AI89))</f>
        <v>0</v>
      </c>
      <c r="I95" s="59">
        <f>IF(($C$5*'Tariffs Jan2018'!AK89/'Tariffs Jan2018'!AI89&gt;'Tariffs Jan2018'!M89),($C$5*'Tariffs Jan2018'!AK89/'Tariffs Jan2018'!AI89-'Tariffs Jan2018'!M89)*'Tariffs Jan2018'!S89/100*'Tariffs Jan2018'!AI89,0)</f>
        <v>0</v>
      </c>
      <c r="J95" s="59">
        <f>IF($C$5*'Tariffs Jan2018'!AL89/'Tariffs Jan2018'!AJ89&gt;='Tariffs Jan2018'!J89,('Tariffs Jan2018'!J89*'Tariffs Jan2018'!U89/100)* 'Tariffs Jan2018'!AJ89,($C$5*'Tariffs Jan2018'!AL89/'Tariffs Jan2018'!AJ89*'Tariffs Jan2018'!U89/100)* 'Tariffs Jan2018'!AJ89)</f>
        <v>528.00000000000011</v>
      </c>
      <c r="K95" s="59">
        <f>IF($C$5*'Tariffs Jan2018'!AL89/'Tariffs Jan2018'!AJ89&lt;'Tariffs Jan2018'!J89,0,IF($C$5*'Tariffs Jan2018'!AL89/'Tariffs Jan2018'!AJ89&lt;='Tariffs Jan2018'!K89,($C$5*'Tariffs Jan2018'!AL89/'Tariffs Jan2018'!AJ89-'Tariffs Jan2018'!J89)*('Tariffs Jan2018'!V89/100)*'Tariffs Jan2018'!AJ89,('Tariffs Jan2018'!K89-'Tariffs Jan2018'!J89)*('Tariffs Jan2018'!V89/100)*'Tariffs Jan2018'!AJ89))</f>
        <v>381.5109599999999</v>
      </c>
      <c r="L95" s="59">
        <f>IF($C$5*'Tariffs Jan2018'!AL89/'Tariffs Jan2018'!AJ89&lt;'Tariffs Jan2018'!K89,0,IF($C$5*'Tariffs Jan2018'!AL89/'Tariffs Jan2018'!AJ89&lt;='Tariffs Jan2018'!L89,($C$5*'Tariffs Jan2018'!AL89/'Tariffs Jan2018'!AJ89-'Tariffs Jan2018'!K89)*('Tariffs Jan2018'!W89/100)*'Tariffs Jan2018'!AJ89,('Tariffs Jan2018'!L89-'Tariffs Jan2018'!K89)*('Tariffs Jan2018'!W89/100)*'Tariffs Jan2018'!AJ89))</f>
        <v>0</v>
      </c>
      <c r="M95" s="59">
        <f>IF($C$5*'Tariffs Jan2018'!AL89/'Tariffs Jan2018'!AJ89&lt;'Tariffs Jan2018'!L89,0,IF($C$5*'Tariffs Jan2018'!AL89/'Tariffs Jan2018'!AJ89&lt;='Tariffs Jan2018'!M89,($C$5*'Tariffs Jan2018'!AL89/'Tariffs Jan2018'!AJ89-'Tariffs Jan2018'!L89)*('Tariffs Jan2018'!X89/100)*'Tariffs Jan2018'!AJ89,('Tariffs Jan2018'!M89-'Tariffs Jan2018'!L89)*('Tariffs Jan2018'!X89/100)*'Tariffs Jan2018'!AJ89))</f>
        <v>0</v>
      </c>
      <c r="N95" s="59">
        <f>IF(($C$5*'Tariffs Jan2018'!AL89/'Tariffs Jan2018'!AJ89&gt;'Tariffs Jan2018'!M89),($C$5*'Tariffs Jan2018'!AL89/'Tariffs Jan2018'!AJ89-'Tariffs Jan2018'!M89)*'Tariffs Jan2018'!Y89/100*'Tariffs Jan2018'!AJ89,0)</f>
        <v>0</v>
      </c>
      <c r="O95" s="59">
        <f t="shared" si="10"/>
        <v>1508.8517399999998</v>
      </c>
      <c r="P95" s="59">
        <f t="shared" si="11"/>
        <v>1789.2082399999999</v>
      </c>
      <c r="Q95" s="272">
        <f t="shared" si="12"/>
        <v>1968.129064</v>
      </c>
      <c r="R95" s="40">
        <f>'Tariffs Jan2018'!AM89</f>
        <v>0</v>
      </c>
      <c r="S95" s="40">
        <f>'Tariffs Jan2018'!AN89</f>
        <v>0</v>
      </c>
      <c r="T95" s="40">
        <f>'Tariffs Jan2018'!AO89</f>
        <v>0</v>
      </c>
      <c r="U95" s="40">
        <f>'Tariffs Jan2018'!AP89</f>
        <v>20</v>
      </c>
      <c r="V95" s="273">
        <f t="shared" si="14"/>
        <v>1789.2082399999999</v>
      </c>
      <c r="W95" s="273">
        <f>V95-(O95*U95/100)</f>
        <v>1487.4378919999999</v>
      </c>
      <c r="X95" s="272">
        <f t="shared" si="13"/>
        <v>1968.129064</v>
      </c>
      <c r="Y95" s="272">
        <f t="shared" si="13"/>
        <v>1636.1816812</v>
      </c>
      <c r="Z95" s="274">
        <f>'Tariffs Jan2018'!AW89</f>
        <v>0</v>
      </c>
      <c r="AA95" s="274" t="str">
        <f>'Tariffs Jan2018'!AX89</f>
        <v>n</v>
      </c>
      <c r="AB95" s="275" t="str">
        <f>'Tariffs Jan2018'!BE89</f>
        <v>Y</v>
      </c>
      <c r="AC95" s="321"/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</row>
    <row r="96" spans="1:40" x14ac:dyDescent="0.15">
      <c r="A96" s="270" t="str">
        <f>'Tariffs Jan2018'!F90</f>
        <v>Sumo Power</v>
      </c>
      <c r="B96" s="40" t="str">
        <f>'Tariffs Jan2018'!D90</f>
        <v>Ausnet Central 2</v>
      </c>
      <c r="C96" s="40" t="str">
        <f>'Tariffs Jan2018'!G90</f>
        <v>Pay on time</v>
      </c>
      <c r="D96" s="59">
        <f>365*'Tariffs Jan2018'!H90/100</f>
        <v>308.60750000000002</v>
      </c>
      <c r="E96" s="59">
        <f>IF($C$5*'Tariffs Jan2018'!AK90/'Tariffs Jan2018'!AI90&gt;='Tariffs Jan2018'!J90,( 'Tariffs Jan2018'!J90*'Tariffs Jan2018'!O90/100)* 'Tariffs Jan2018'!AI90,($C$5*'Tariffs Jan2018'!AK90/'Tariffs Jan2018'!AI90*'Tariffs Jan2018'!O90/100)* 'Tariffs Jan2018'!AI90)</f>
        <v>342.36</v>
      </c>
      <c r="F96" s="59">
        <f>IF($C$5*'Tariffs Jan2018'!AK90/'Tariffs Jan2018'!AI90&lt;'Tariffs Jan2018'!J90,0,IF($C$5*'Tariffs Jan2018'!AK90/'Tariffs Jan2018'!AI90&lt;='Tariffs Jan2018'!K90,($C$5*'Tariffs Jan2018'!AK90/'Tariffs Jan2018'!AI90-'Tariffs Jan2018'!J90)*('Tariffs Jan2018'!P90/100)*'Tariffs Jan2018'!AI90,('Tariffs Jan2018'!K90-'Tariffs Jan2018'!J90)*('Tariffs Jan2018'!P90/100)*'Tariffs Jan2018'!AI90))</f>
        <v>246.90237599999998</v>
      </c>
      <c r="G96" s="59">
        <f>IF($C$5*'Tariffs Jan2018'!AK90/'Tariffs Jan2018'!AI90&lt;'Tariffs Jan2018'!K90,0,IF($C$5*'Tariffs Jan2018'!AK90/'Tariffs Jan2018'!AI90&lt;='Tariffs Jan2018'!L90,($C$5*'Tariffs Jan2018'!AK90/'Tariffs Jan2018'!AI90-'Tariffs Jan2018'!K90)*('Tariffs Jan2018'!Q90/100)*'Tariffs Jan2018'!AI90,('Tariffs Jan2018'!L90-'Tariffs Jan2018'!K90)*('Tariffs Jan2018'!Q90/100)*'Tariffs Jan2018'!AI90))</f>
        <v>0</v>
      </c>
      <c r="H96" s="59">
        <f>IF($C$5*'Tariffs Jan2018'!AK90/'Tariffs Jan2018'!AI90&lt;'Tariffs Jan2018'!L90,0,IF($C$5*'Tariffs Jan2018'!AK90/'Tariffs Jan2018'!AI90&lt;='Tariffs Jan2018'!M90,($C$5*'Tariffs Jan2018'!AK90/'Tariffs Jan2018'!AI90-'Tariffs Jan2018'!L90)*('Tariffs Jan2018'!R90/100)*'Tariffs Jan2018'!AI90,('Tariffs Jan2018'!M90-'Tariffs Jan2018'!L90)*('Tariffs Jan2018'!R90/100)*'Tariffs Jan2018'!AI90))</f>
        <v>0</v>
      </c>
      <c r="I96" s="59">
        <f>IF(($C$5*'Tariffs Jan2018'!AK90/'Tariffs Jan2018'!AI90&gt;'Tariffs Jan2018'!M90),($C$5*'Tariffs Jan2018'!AK90/'Tariffs Jan2018'!AI90-'Tariffs Jan2018'!M90)*'Tariffs Jan2018'!S90/100*'Tariffs Jan2018'!AI90,0)</f>
        <v>0</v>
      </c>
      <c r="J96" s="59">
        <f>IF($C$5*'Tariffs Jan2018'!AL90/'Tariffs Jan2018'!AJ90&gt;='Tariffs Jan2018'!J90,('Tariffs Jan2018'!J90*'Tariffs Jan2018'!U90/100)* 'Tariffs Jan2018'!AJ90,($C$5*'Tariffs Jan2018'!AL90/'Tariffs Jan2018'!AJ90*'Tariffs Jan2018'!U90/100)* 'Tariffs Jan2018'!AJ90)</f>
        <v>591.12</v>
      </c>
      <c r="K96" s="59">
        <f>IF($C$5*'Tariffs Jan2018'!AL90/'Tariffs Jan2018'!AJ90&lt;'Tariffs Jan2018'!J90,0,IF($C$5*'Tariffs Jan2018'!AL90/'Tariffs Jan2018'!AJ90&lt;='Tariffs Jan2018'!K90,($C$5*'Tariffs Jan2018'!AL90/'Tariffs Jan2018'!AJ90-'Tariffs Jan2018'!J90)*('Tariffs Jan2018'!V90/100)*'Tariffs Jan2018'!AJ90,('Tariffs Jan2018'!K90-'Tariffs Jan2018'!J90)*('Tariffs Jan2018'!V90/100)*'Tariffs Jan2018'!AJ90))</f>
        <v>383.85041399999994</v>
      </c>
      <c r="L96" s="59">
        <f>IF($C$5*'Tariffs Jan2018'!AL90/'Tariffs Jan2018'!AJ90&lt;'Tariffs Jan2018'!K90,0,IF($C$5*'Tariffs Jan2018'!AL90/'Tariffs Jan2018'!AJ90&lt;='Tariffs Jan2018'!L90,($C$5*'Tariffs Jan2018'!AL90/'Tariffs Jan2018'!AJ90-'Tariffs Jan2018'!K90)*('Tariffs Jan2018'!W90/100)*'Tariffs Jan2018'!AJ90,('Tariffs Jan2018'!L90-'Tariffs Jan2018'!K90)*('Tariffs Jan2018'!W90/100)*'Tariffs Jan2018'!AJ90))</f>
        <v>0</v>
      </c>
      <c r="M96" s="59">
        <f>IF($C$5*'Tariffs Jan2018'!AL90/'Tariffs Jan2018'!AJ90&lt;'Tariffs Jan2018'!L90,0,IF($C$5*'Tariffs Jan2018'!AL90/'Tariffs Jan2018'!AJ90&lt;='Tariffs Jan2018'!M90,($C$5*'Tariffs Jan2018'!AL90/'Tariffs Jan2018'!AJ90-'Tariffs Jan2018'!L90)*('Tariffs Jan2018'!X90/100)*'Tariffs Jan2018'!AJ90,('Tariffs Jan2018'!M90-'Tariffs Jan2018'!L90)*('Tariffs Jan2018'!X90/100)*'Tariffs Jan2018'!AJ90))</f>
        <v>0</v>
      </c>
      <c r="N96" s="59">
        <f>IF(($C$5*'Tariffs Jan2018'!AL90/'Tariffs Jan2018'!AJ90&gt;'Tariffs Jan2018'!M90),($C$5*'Tariffs Jan2018'!AL90/'Tariffs Jan2018'!AJ90-'Tariffs Jan2018'!M90)*'Tariffs Jan2018'!Y90/100*'Tariffs Jan2018'!AJ90,0)</f>
        <v>0</v>
      </c>
      <c r="O96" s="59">
        <f>SUM(E96:N96)</f>
        <v>1564.23279</v>
      </c>
      <c r="P96" s="59">
        <f>D96+O96</f>
        <v>1872.8402900000001</v>
      </c>
      <c r="Q96" s="272">
        <f>P96*1.1</f>
        <v>2060.1243190000005</v>
      </c>
      <c r="R96" s="40">
        <f>'Tariffs Jan2018'!AM90</f>
        <v>0</v>
      </c>
      <c r="S96" s="40">
        <f>'Tariffs Jan2018'!AN90</f>
        <v>0</v>
      </c>
      <c r="T96" s="40">
        <f>'Tariffs Jan2018'!AO90</f>
        <v>0</v>
      </c>
      <c r="U96" s="40">
        <f>'Tariffs Jan2018'!AP90</f>
        <v>17</v>
      </c>
      <c r="V96" s="273">
        <f t="shared" si="14"/>
        <v>1872.8402900000001</v>
      </c>
      <c r="W96" s="273">
        <f>V96-(O96*U96/100)</f>
        <v>1606.9207157000001</v>
      </c>
      <c r="X96" s="272">
        <f>V96*1.1</f>
        <v>2060.1243190000005</v>
      </c>
      <c r="Y96" s="272">
        <f>W96*1.1</f>
        <v>1767.6127872700001</v>
      </c>
      <c r="Z96" s="274">
        <f>'Tariffs Jan2018'!AW90</f>
        <v>0</v>
      </c>
      <c r="AA96" s="274" t="str">
        <f>'Tariffs Jan2018'!AX90</f>
        <v>n</v>
      </c>
      <c r="AB96" s="275" t="str">
        <f>'Tariffs Jan2018'!BE90</f>
        <v>Y</v>
      </c>
      <c r="AC96" s="321"/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</row>
    <row r="97" spans="1:40" ht="14" thickBot="1" x14ac:dyDescent="0.2">
      <c r="A97" s="276" t="str">
        <f>'Tariffs Jan2018'!F91</f>
        <v>Amaysim</v>
      </c>
      <c r="B97" s="277" t="str">
        <f>'Tariffs Jan2018'!D91</f>
        <v>Ausnet Central 2</v>
      </c>
      <c r="C97" s="277" t="str">
        <f>'Tariffs Jan2018'!G91</f>
        <v>Gas 3</v>
      </c>
      <c r="D97" s="278">
        <f>365*'Tariffs Jan2018'!H91/100</f>
        <v>353.32</v>
      </c>
      <c r="E97" s="278">
        <f>IF($C$5*'Tariffs Jan2018'!AK91/'Tariffs Jan2018'!AI91&gt;='Tariffs Jan2018'!J91,( 'Tariffs Jan2018'!J91*'Tariffs Jan2018'!O91/100)* 'Tariffs Jan2018'!AI91,($C$5*'Tariffs Jan2018'!AK91/'Tariffs Jan2018'!AI91*'Tariffs Jan2018'!O91/100)* 'Tariffs Jan2018'!AI91)</f>
        <v>426</v>
      </c>
      <c r="F97" s="278">
        <f>IF($C$5*'Tariffs Jan2018'!AK91/'Tariffs Jan2018'!AI91&lt;'Tariffs Jan2018'!J91,0,IF($C$5*'Tariffs Jan2018'!AK91/'Tariffs Jan2018'!AI91&lt;='Tariffs Jan2018'!K91,($C$5*'Tariffs Jan2018'!AK91/'Tariffs Jan2018'!AI91-'Tariffs Jan2018'!J91)*('Tariffs Jan2018'!P91/100)*'Tariffs Jan2018'!AI91,('Tariffs Jan2018'!K91-'Tariffs Jan2018'!J91)*('Tariffs Jan2018'!P91/100)*'Tariffs Jan2018'!AI91))</f>
        <v>274.43594999999993</v>
      </c>
      <c r="G97" s="278">
        <f>IF($C$5*'Tariffs Jan2018'!AK91/'Tariffs Jan2018'!AI91&lt;'Tariffs Jan2018'!K91,0,IF($C$5*'Tariffs Jan2018'!AK91/'Tariffs Jan2018'!AI91&lt;='Tariffs Jan2018'!L91,($C$5*'Tariffs Jan2018'!AK91/'Tariffs Jan2018'!AI91-'Tariffs Jan2018'!K91)*('Tariffs Jan2018'!Q91/100)*'Tariffs Jan2018'!AI91,('Tariffs Jan2018'!L91-'Tariffs Jan2018'!K91)*('Tariffs Jan2018'!Q91/100)*'Tariffs Jan2018'!AI91))</f>
        <v>0</v>
      </c>
      <c r="H97" s="278">
        <f>IF($C$5*'Tariffs Jan2018'!AK91/'Tariffs Jan2018'!AI91&lt;'Tariffs Jan2018'!L91,0,IF($C$5*'Tariffs Jan2018'!AK91/'Tariffs Jan2018'!AI91&lt;='Tariffs Jan2018'!M91,($C$5*'Tariffs Jan2018'!AK91/'Tariffs Jan2018'!AI91-'Tariffs Jan2018'!L91)*('Tariffs Jan2018'!R91/100)*'Tariffs Jan2018'!AI91,('Tariffs Jan2018'!M91-'Tariffs Jan2018'!L91)*('Tariffs Jan2018'!R91/100)*'Tariffs Jan2018'!AI91))</f>
        <v>0</v>
      </c>
      <c r="I97" s="278">
        <f>IF(($C$5*'Tariffs Jan2018'!AK91/'Tariffs Jan2018'!AI91&gt;'Tariffs Jan2018'!M91),($C$5*'Tariffs Jan2018'!AK91/'Tariffs Jan2018'!AI91-'Tariffs Jan2018'!M91)*'Tariffs Jan2018'!S91/100*'Tariffs Jan2018'!AI91,0)</f>
        <v>0</v>
      </c>
      <c r="J97" s="278">
        <f>IF($C$5*'Tariffs Jan2018'!AL91/'Tariffs Jan2018'!AJ91&gt;='Tariffs Jan2018'!J91,('Tariffs Jan2018'!J91*'Tariffs Jan2018'!U91/100)* 'Tariffs Jan2018'!AJ91,($C$5*'Tariffs Jan2018'!AL91/'Tariffs Jan2018'!AJ91*'Tariffs Jan2018'!U91/100)* 'Tariffs Jan2018'!AJ91)</f>
        <v>600</v>
      </c>
      <c r="K97" s="278">
        <f>IF($C$5*'Tariffs Jan2018'!AL91/'Tariffs Jan2018'!AJ91&lt;'Tariffs Jan2018'!J91,0,IF($C$5*'Tariffs Jan2018'!AL91/'Tariffs Jan2018'!AJ91&lt;='Tariffs Jan2018'!K91,($C$5*'Tariffs Jan2018'!AL91/'Tariffs Jan2018'!AJ91-'Tariffs Jan2018'!J91)*('Tariffs Jan2018'!V91/100)*'Tariffs Jan2018'!AJ91,('Tariffs Jan2018'!K91-'Tariffs Jan2018'!J91)*('Tariffs Jan2018'!V91/100)*'Tariffs Jan2018'!AJ91))</f>
        <v>440.89709999999991</v>
      </c>
      <c r="L97" s="278">
        <f>IF($C$5*'Tariffs Jan2018'!AL91/'Tariffs Jan2018'!AJ91&lt;'Tariffs Jan2018'!K91,0,IF($C$5*'Tariffs Jan2018'!AL91/'Tariffs Jan2018'!AJ91&lt;='Tariffs Jan2018'!L91,($C$5*'Tariffs Jan2018'!AL91/'Tariffs Jan2018'!AJ91-'Tariffs Jan2018'!K91)*('Tariffs Jan2018'!W91/100)*'Tariffs Jan2018'!AJ91,('Tariffs Jan2018'!L91-'Tariffs Jan2018'!K91)*('Tariffs Jan2018'!W91/100)*'Tariffs Jan2018'!AJ91))</f>
        <v>0</v>
      </c>
      <c r="M97" s="278">
        <f>IF($C$5*'Tariffs Jan2018'!AL91/'Tariffs Jan2018'!AJ91&lt;'Tariffs Jan2018'!L91,0,IF($C$5*'Tariffs Jan2018'!AL91/'Tariffs Jan2018'!AJ91&lt;='Tariffs Jan2018'!M91,($C$5*'Tariffs Jan2018'!AL91/'Tariffs Jan2018'!AJ91-'Tariffs Jan2018'!L91)*('Tariffs Jan2018'!X91/100)*'Tariffs Jan2018'!AJ91,('Tariffs Jan2018'!M91-'Tariffs Jan2018'!L91)*('Tariffs Jan2018'!X91/100)*'Tariffs Jan2018'!AJ91))</f>
        <v>0</v>
      </c>
      <c r="N97" s="278">
        <f>IF(($C$5*'Tariffs Jan2018'!AL91/'Tariffs Jan2018'!AJ91&gt;'Tariffs Jan2018'!M91),($C$5*'Tariffs Jan2018'!AL91/'Tariffs Jan2018'!AJ91-'Tariffs Jan2018'!M91)*'Tariffs Jan2018'!Y91/100*'Tariffs Jan2018'!AJ91,0)</f>
        <v>0</v>
      </c>
      <c r="O97" s="278">
        <f>SUM(E97:N97)</f>
        <v>1741.33305</v>
      </c>
      <c r="P97" s="278">
        <f>D97+O97</f>
        <v>2094.6530499999999</v>
      </c>
      <c r="Q97" s="280">
        <f>P97*1.1</f>
        <v>2304.1183550000001</v>
      </c>
      <c r="R97" s="277">
        <f>'Tariffs Jan2018'!AM91</f>
        <v>0</v>
      </c>
      <c r="S97" s="277">
        <f>'Tariffs Jan2018'!AN91</f>
        <v>0</v>
      </c>
      <c r="T97" s="277">
        <f>'Tariffs Jan2018'!AO91</f>
        <v>28</v>
      </c>
      <c r="U97" s="277">
        <f>'Tariffs Jan2018'!AP91</f>
        <v>0</v>
      </c>
      <c r="V97" s="281">
        <f t="shared" si="14"/>
        <v>2094.6530499999999</v>
      </c>
      <c r="W97" s="281">
        <f>V97-(P97*T97/100)</f>
        <v>1508.1501960000001</v>
      </c>
      <c r="X97" s="280">
        <f>V97*1.1</f>
        <v>2304.1183550000001</v>
      </c>
      <c r="Y97" s="280">
        <f>W97*1.1</f>
        <v>1658.9652156000002</v>
      </c>
      <c r="Z97" s="282">
        <f>'Tariffs Jan2018'!AW91</f>
        <v>0</v>
      </c>
      <c r="AA97" s="282" t="str">
        <f>'Tariffs Jan2018'!AX91</f>
        <v>n</v>
      </c>
      <c r="AB97" s="283" t="str">
        <f>'Tariffs Jan2018'!BE91</f>
        <v>N</v>
      </c>
      <c r="AC97" s="321"/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</row>
    <row r="98" spans="1:40" ht="14" thickTop="1" x14ac:dyDescent="0.15">
      <c r="A98" s="270" t="str">
        <f>'Tariffs Jan2018'!F92</f>
        <v>AGL</v>
      </c>
      <c r="B98" s="40" t="str">
        <f>'Tariffs Jan2018'!D92</f>
        <v>Ausnet Central 1</v>
      </c>
      <c r="C98" s="40" t="str">
        <f>'Tariffs Jan2018'!G92</f>
        <v>Savers</v>
      </c>
      <c r="D98" s="59">
        <f>365*'Tariffs Jan2018'!H92/100</f>
        <v>313.89999999999998</v>
      </c>
      <c r="E98" s="59">
        <f>IF($C$5*'Tariffs Jan2018'!AK92/'Tariffs Jan2018'!AI92&gt;='Tariffs Jan2018'!J92,( 'Tariffs Jan2018'!J92*'Tariffs Jan2018'!O92/100)* 'Tariffs Jan2018'!AI92,($C$5*'Tariffs Jan2018'!AK92/'Tariffs Jan2018'!AI92*'Tariffs Jan2018'!O92/100)* 'Tariffs Jan2018'!AI92)</f>
        <v>303.59999999999997</v>
      </c>
      <c r="F98" s="59">
        <f>IF($C$5*'Tariffs Jan2018'!AK92/'Tariffs Jan2018'!AI92&lt;'Tariffs Jan2018'!J92,0,IF($C$5*'Tariffs Jan2018'!AK92/'Tariffs Jan2018'!AI92&lt;='Tariffs Jan2018'!K92,($C$5*'Tariffs Jan2018'!AK92/'Tariffs Jan2018'!AI92-'Tariffs Jan2018'!J92)*('Tariffs Jan2018'!P92/100)*'Tariffs Jan2018'!AI92,('Tariffs Jan2018'!K92-'Tariffs Jan2018'!J92)*('Tariffs Jan2018'!P92/100)*'Tariffs Jan2018'!AI92))</f>
        <v>215.94959999999995</v>
      </c>
      <c r="G98" s="59">
        <f>IF($C$5*'Tariffs Jan2018'!AK92/'Tariffs Jan2018'!AI92&lt;'Tariffs Jan2018'!K92,0,IF($C$5*'Tariffs Jan2018'!AK92/'Tariffs Jan2018'!AI92&lt;='Tariffs Jan2018'!L92,($C$5*'Tariffs Jan2018'!AK92/'Tariffs Jan2018'!AI92-'Tariffs Jan2018'!K92)*('Tariffs Jan2018'!Q92/100)*'Tariffs Jan2018'!AI92,('Tariffs Jan2018'!L92-'Tariffs Jan2018'!K92)*('Tariffs Jan2018'!Q92/100)*'Tariffs Jan2018'!AI92))</f>
        <v>0</v>
      </c>
      <c r="H98" s="59">
        <f>IF($C$5*'Tariffs Jan2018'!AK92/'Tariffs Jan2018'!AI92&lt;'Tariffs Jan2018'!L92,0,IF($C$5*'Tariffs Jan2018'!AK92/'Tariffs Jan2018'!AI92&lt;='Tariffs Jan2018'!M92,($C$5*'Tariffs Jan2018'!AK92/'Tariffs Jan2018'!AI92-'Tariffs Jan2018'!L92)*('Tariffs Jan2018'!R92/100)*'Tariffs Jan2018'!AI92,('Tariffs Jan2018'!M92-'Tariffs Jan2018'!L92)*('Tariffs Jan2018'!R92/100)*'Tariffs Jan2018'!AI92))</f>
        <v>0</v>
      </c>
      <c r="I98" s="59">
        <f>IF(($C$5*'Tariffs Jan2018'!AK92/'Tariffs Jan2018'!AI92&gt;'Tariffs Jan2018'!M92),($C$5*'Tariffs Jan2018'!AK92/'Tariffs Jan2018'!AI92-'Tariffs Jan2018'!M92)*'Tariffs Jan2018'!S92/100*'Tariffs Jan2018'!AI92,0)</f>
        <v>0</v>
      </c>
      <c r="J98" s="59">
        <f>IF($C$5*'Tariffs Jan2018'!AL92/'Tariffs Jan2018'!AJ92&gt;='Tariffs Jan2018'!J92,('Tariffs Jan2018'!J92*'Tariffs Jan2018'!U92/100)* 'Tariffs Jan2018'!AJ92,($C$5*'Tariffs Jan2018'!AL92/'Tariffs Jan2018'!AJ92*'Tariffs Jan2018'!U92/100)* 'Tariffs Jan2018'!AJ92)</f>
        <v>556.79999999999995</v>
      </c>
      <c r="K98" s="59">
        <f>IF($C$5*'Tariffs Jan2018'!AL92/'Tariffs Jan2018'!AJ92&lt;'Tariffs Jan2018'!J92,0,IF($C$5*'Tariffs Jan2018'!AL92/'Tariffs Jan2018'!AJ92&lt;='Tariffs Jan2018'!K92,($C$5*'Tariffs Jan2018'!AL92/'Tariffs Jan2018'!AJ92-'Tariffs Jan2018'!J92)*('Tariffs Jan2018'!V92/100)*'Tariffs Jan2018'!AJ92,('Tariffs Jan2018'!K92-'Tariffs Jan2018'!J92)*('Tariffs Jan2018'!V92/100)*'Tariffs Jan2018'!AJ92))</f>
        <v>318.5256599999999</v>
      </c>
      <c r="L98" s="59">
        <f>IF($C$5*'Tariffs Jan2018'!AL92/'Tariffs Jan2018'!AJ92&lt;'Tariffs Jan2018'!K92,0,IF($C$5*'Tariffs Jan2018'!AL92/'Tariffs Jan2018'!AJ92&lt;='Tariffs Jan2018'!L92,($C$5*'Tariffs Jan2018'!AL92/'Tariffs Jan2018'!AJ92-'Tariffs Jan2018'!K92)*('Tariffs Jan2018'!W92/100)*'Tariffs Jan2018'!AJ92,('Tariffs Jan2018'!L92-'Tariffs Jan2018'!K92)*('Tariffs Jan2018'!W92/100)*'Tariffs Jan2018'!AJ92))</f>
        <v>0</v>
      </c>
      <c r="M98" s="59">
        <f>IF($C$5*'Tariffs Jan2018'!AL92/'Tariffs Jan2018'!AJ92&lt;'Tariffs Jan2018'!L92,0,IF($C$5*'Tariffs Jan2018'!AL92/'Tariffs Jan2018'!AJ92&lt;='Tariffs Jan2018'!M92,($C$5*'Tariffs Jan2018'!AL92/'Tariffs Jan2018'!AJ92-'Tariffs Jan2018'!L92)*('Tariffs Jan2018'!X92/100)*'Tariffs Jan2018'!AJ92,('Tariffs Jan2018'!M92-'Tariffs Jan2018'!L92)*('Tariffs Jan2018'!X92/100)*'Tariffs Jan2018'!AJ92))</f>
        <v>0</v>
      </c>
      <c r="N98" s="59">
        <f>IF(($C$5*'Tariffs Jan2018'!AL92/'Tariffs Jan2018'!AJ92&gt;'Tariffs Jan2018'!M92),($C$5*'Tariffs Jan2018'!AL92/'Tariffs Jan2018'!AJ92-'Tariffs Jan2018'!M92)*'Tariffs Jan2018'!Y92/100*'Tariffs Jan2018'!AJ92,0)</f>
        <v>0</v>
      </c>
      <c r="O98" s="271">
        <f t="shared" si="10"/>
        <v>1394.8752599999998</v>
      </c>
      <c r="P98" s="59">
        <f t="shared" si="11"/>
        <v>1708.7752599999999</v>
      </c>
      <c r="Q98" s="272">
        <f t="shared" si="12"/>
        <v>1879.6527860000001</v>
      </c>
      <c r="R98" s="40">
        <f>'Tariffs Jan2018'!AM92</f>
        <v>0</v>
      </c>
      <c r="S98" s="40">
        <f>'Tariffs Jan2018'!AN92</f>
        <v>0</v>
      </c>
      <c r="T98" s="40">
        <f>'Tariffs Jan2018'!AO92</f>
        <v>0</v>
      </c>
      <c r="U98" s="40">
        <f>'Tariffs Jan2018'!AP92</f>
        <v>12</v>
      </c>
      <c r="V98" s="273">
        <f>P98</f>
        <v>1708.7752599999999</v>
      </c>
      <c r="W98" s="273">
        <f>V98-(O98*U98/100)</f>
        <v>1541.3902287999999</v>
      </c>
      <c r="X98" s="272">
        <f t="shared" si="13"/>
        <v>1879.6527860000001</v>
      </c>
      <c r="Y98" s="272">
        <f t="shared" si="13"/>
        <v>1695.52925168</v>
      </c>
      <c r="Z98" s="274">
        <f>'Tariffs Jan2018'!AW92</f>
        <v>0</v>
      </c>
      <c r="AA98" s="274" t="str">
        <f>'Tariffs Jan2018'!AX92</f>
        <v>n</v>
      </c>
      <c r="AB98" s="275" t="str">
        <f>'Tariffs Jan2018'!BE92</f>
        <v>N</v>
      </c>
      <c r="AC98" s="321"/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</row>
    <row r="99" spans="1:40" x14ac:dyDescent="0.15">
      <c r="A99" s="270" t="str">
        <f>'Tariffs Jan2018'!F93</f>
        <v>Alinta Energy</v>
      </c>
      <c r="B99" s="40" t="str">
        <f>'Tariffs Jan2018'!D93</f>
        <v>Ausnet Central 1</v>
      </c>
      <c r="C99" s="40" t="str">
        <f>'Tariffs Jan2018'!G93</f>
        <v>Fair Deal</v>
      </c>
      <c r="D99" s="59">
        <f>365*'Tariffs Jan2018'!H93/100</f>
        <v>273.38500000000005</v>
      </c>
      <c r="E99" s="59">
        <f>IF($C$5*'Tariffs Jan2018'!AK93/'Tariffs Jan2018'!AI93&gt;='Tariffs Jan2018'!J93,( 'Tariffs Jan2018'!J93*'Tariffs Jan2018'!O93/100)* 'Tariffs Jan2018'!AI93,($C$5*'Tariffs Jan2018'!AK93/'Tariffs Jan2018'!AI93*'Tariffs Jan2018'!O93/100)* 'Tariffs Jan2018'!AI93)</f>
        <v>290.39999999999998</v>
      </c>
      <c r="F99" s="59">
        <f>IF($C$5*'Tariffs Jan2018'!AK93/'Tariffs Jan2018'!AI93&lt;'Tariffs Jan2018'!J93,0,IF($C$5*'Tariffs Jan2018'!AK93/'Tariffs Jan2018'!AI93&lt;='Tariffs Jan2018'!K93,($C$5*'Tariffs Jan2018'!AK93/'Tariffs Jan2018'!AI93-'Tariffs Jan2018'!J93)*('Tariffs Jan2018'!P93/100)*'Tariffs Jan2018'!AI93,('Tariffs Jan2018'!K93-'Tariffs Jan2018'!J93)*('Tariffs Jan2018'!P93/100)*'Tariffs Jan2018'!AI93))</f>
        <v>0</v>
      </c>
      <c r="G99" s="59">
        <f>IF($C$5*'Tariffs Jan2018'!AK93/'Tariffs Jan2018'!AI93&lt;'Tariffs Jan2018'!K93,0,IF($C$5*'Tariffs Jan2018'!AK93/'Tariffs Jan2018'!AI93&lt;='Tariffs Jan2018'!L93,($C$5*'Tariffs Jan2018'!AK93/'Tariffs Jan2018'!AI93-'Tariffs Jan2018'!K93)*('Tariffs Jan2018'!Q93/100)*'Tariffs Jan2018'!AI93,('Tariffs Jan2018'!L93-'Tariffs Jan2018'!K93)*('Tariffs Jan2018'!Q93/100)*'Tariffs Jan2018'!AI93))</f>
        <v>0</v>
      </c>
      <c r="H99" s="59">
        <f>IF($C$5*'Tariffs Jan2018'!AK93/'Tariffs Jan2018'!AI93&lt;'Tariffs Jan2018'!L93,0,IF($C$5*'Tariffs Jan2018'!AK93/'Tariffs Jan2018'!AI93&lt;='Tariffs Jan2018'!M93,($C$5*'Tariffs Jan2018'!AK93/'Tariffs Jan2018'!AI93-'Tariffs Jan2018'!L93)*('Tariffs Jan2018'!R93/100)*'Tariffs Jan2018'!AI93,('Tariffs Jan2018'!M93-'Tariffs Jan2018'!L93)*('Tariffs Jan2018'!R93/100)*'Tariffs Jan2018'!AI93))</f>
        <v>0</v>
      </c>
      <c r="I99" s="59">
        <f>IF(($C$5*'Tariffs Jan2018'!AK93/'Tariffs Jan2018'!AI93&gt;'Tariffs Jan2018'!M93),($C$5*'Tariffs Jan2018'!AK93/'Tariffs Jan2018'!AI93-'Tariffs Jan2018'!M93)*'Tariffs Jan2018'!S93/100*'Tariffs Jan2018'!AI93,0)</f>
        <v>170.06030999999996</v>
      </c>
      <c r="J99" s="59">
        <f>IF($C$5*'Tariffs Jan2018'!AL93/'Tariffs Jan2018'!AJ93&gt;='Tariffs Jan2018'!J93,('Tariffs Jan2018'!J93*'Tariffs Jan2018'!U93/100)* 'Tariffs Jan2018'!AJ93,($C$5*'Tariffs Jan2018'!AL93/'Tariffs Jan2018'!AJ93*'Tariffs Jan2018'!U93/100)* 'Tariffs Jan2018'!AJ93)</f>
        <v>551.99999999999989</v>
      </c>
      <c r="K99" s="59">
        <f>IF($C$5*'Tariffs Jan2018'!AL93/'Tariffs Jan2018'!AJ93&lt;'Tariffs Jan2018'!J93,0,IF($C$5*'Tariffs Jan2018'!AL93/'Tariffs Jan2018'!AJ93&lt;='Tariffs Jan2018'!K93,($C$5*'Tariffs Jan2018'!AL93/'Tariffs Jan2018'!AJ93-'Tariffs Jan2018'!J93)*('Tariffs Jan2018'!V93/100)*'Tariffs Jan2018'!AJ93,('Tariffs Jan2018'!K93-'Tariffs Jan2018'!J93)*('Tariffs Jan2018'!V93/100)*'Tariffs Jan2018'!AJ93))</f>
        <v>0</v>
      </c>
      <c r="L99" s="59">
        <f>IF($C$5*'Tariffs Jan2018'!AL93/'Tariffs Jan2018'!AJ93&lt;'Tariffs Jan2018'!K93,0,IF($C$5*'Tariffs Jan2018'!AL93/'Tariffs Jan2018'!AJ93&lt;='Tariffs Jan2018'!L93,($C$5*'Tariffs Jan2018'!AL93/'Tariffs Jan2018'!AJ93-'Tariffs Jan2018'!K93)*('Tariffs Jan2018'!W93/100)*'Tariffs Jan2018'!AJ93,('Tariffs Jan2018'!L93-'Tariffs Jan2018'!K93)*('Tariffs Jan2018'!W93/100)*'Tariffs Jan2018'!AJ93))</f>
        <v>0</v>
      </c>
      <c r="M99" s="59">
        <f>IF($C$5*'Tariffs Jan2018'!AL93/'Tariffs Jan2018'!AJ93&lt;'Tariffs Jan2018'!L93,0,IF($C$5*'Tariffs Jan2018'!AL93/'Tariffs Jan2018'!AJ93&lt;='Tariffs Jan2018'!M93,($C$5*'Tariffs Jan2018'!AL93/'Tariffs Jan2018'!AJ93-'Tariffs Jan2018'!L93)*('Tariffs Jan2018'!X93/100)*'Tariffs Jan2018'!AJ93,('Tariffs Jan2018'!M93-'Tariffs Jan2018'!L93)*('Tariffs Jan2018'!X93/100)*'Tariffs Jan2018'!AJ93))</f>
        <v>0</v>
      </c>
      <c r="N99" s="59">
        <f>IF(($C$5*'Tariffs Jan2018'!AL93/'Tariffs Jan2018'!AJ93&gt;'Tariffs Jan2018'!M93),($C$5*'Tariffs Jan2018'!AL93/'Tariffs Jan2018'!AJ93-'Tariffs Jan2018'!M93)*'Tariffs Jan2018'!Y93/100*'Tariffs Jan2018'!AJ93,0)</f>
        <v>318.5256599999999</v>
      </c>
      <c r="O99" s="271">
        <f t="shared" si="10"/>
        <v>1330.9859699999997</v>
      </c>
      <c r="P99" s="59">
        <f t="shared" si="11"/>
        <v>1604.3709699999997</v>
      </c>
      <c r="Q99" s="272">
        <f t="shared" si="12"/>
        <v>1764.8080669999999</v>
      </c>
      <c r="R99" s="40">
        <f>'Tariffs Jan2018'!AM93</f>
        <v>0</v>
      </c>
      <c r="S99" s="40">
        <f>'Tariffs Jan2018'!AN93</f>
        <v>0</v>
      </c>
      <c r="T99" s="40">
        <f>'Tariffs Jan2018'!AO93</f>
        <v>0</v>
      </c>
      <c r="U99" s="40">
        <f>'Tariffs Jan2018'!AP93</f>
        <v>25</v>
      </c>
      <c r="V99" s="273">
        <f t="shared" ref="V99:V110" si="15">P99</f>
        <v>1604.3709699999997</v>
      </c>
      <c r="W99" s="273">
        <f>V99-(O99*U99/100)</f>
        <v>1271.6244774999998</v>
      </c>
      <c r="X99" s="272">
        <f t="shared" si="13"/>
        <v>1764.8080669999999</v>
      </c>
      <c r="Y99" s="272">
        <f t="shared" si="13"/>
        <v>1398.78692525</v>
      </c>
      <c r="Z99" s="274">
        <f>'Tariffs Jan2018'!AW93</f>
        <v>0</v>
      </c>
      <c r="AA99" s="274" t="str">
        <f>'Tariffs Jan2018'!AX93</f>
        <v>n</v>
      </c>
      <c r="AB99" s="275" t="str">
        <f>'Tariffs Jan2018'!BE93</f>
        <v>Y</v>
      </c>
      <c r="AC99" s="321"/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</row>
    <row r="100" spans="1:40" x14ac:dyDescent="0.15">
      <c r="A100" s="270" t="str">
        <f>'Tariffs Jan2018'!F94</f>
        <v>Click Energy</v>
      </c>
      <c r="B100" s="40" t="str">
        <f>'Tariffs Jan2018'!D94</f>
        <v>Ausnet Central 1</v>
      </c>
      <c r="C100" s="40" t="str">
        <f>'Tariffs Jan2018'!G94</f>
        <v>Amber</v>
      </c>
      <c r="D100" s="59">
        <f>365*'Tariffs Jan2018'!H94/100</f>
        <v>353.32</v>
      </c>
      <c r="E100" s="59">
        <f>IF($C$5*'Tariffs Jan2018'!AK94/'Tariffs Jan2018'!AI94&gt;='Tariffs Jan2018'!J94,( 'Tariffs Jan2018'!J94*'Tariffs Jan2018'!O94/100)* 'Tariffs Jan2018'!AI94,($C$5*'Tariffs Jan2018'!AK94/'Tariffs Jan2018'!AI94*'Tariffs Jan2018'!O94/100)* 'Tariffs Jan2018'!AI94)</f>
        <v>426</v>
      </c>
      <c r="F100" s="59">
        <f>IF($C$5*'Tariffs Jan2018'!AK94/'Tariffs Jan2018'!AI94&lt;'Tariffs Jan2018'!J94,0,IF($C$5*'Tariffs Jan2018'!AK94/'Tariffs Jan2018'!AI94&lt;='Tariffs Jan2018'!K94,($C$5*'Tariffs Jan2018'!AK94/'Tariffs Jan2018'!AI94-'Tariffs Jan2018'!J94)*('Tariffs Jan2018'!P94/100)*'Tariffs Jan2018'!AI94,('Tariffs Jan2018'!K94-'Tariffs Jan2018'!J94)*('Tariffs Jan2018'!P94/100)*'Tariffs Jan2018'!AI94))</f>
        <v>274.43594999999993</v>
      </c>
      <c r="G100" s="59">
        <f>IF($C$5*'Tariffs Jan2018'!AK94/'Tariffs Jan2018'!AI94&lt;'Tariffs Jan2018'!K94,0,IF($C$5*'Tariffs Jan2018'!AK94/'Tariffs Jan2018'!AI94&lt;='Tariffs Jan2018'!L94,($C$5*'Tariffs Jan2018'!AK94/'Tariffs Jan2018'!AI94-'Tariffs Jan2018'!K94)*('Tariffs Jan2018'!Q94/100)*'Tariffs Jan2018'!AI94,('Tariffs Jan2018'!L94-'Tariffs Jan2018'!K94)*('Tariffs Jan2018'!Q94/100)*'Tariffs Jan2018'!AI94))</f>
        <v>0</v>
      </c>
      <c r="H100" s="59">
        <f>IF($C$5*'Tariffs Jan2018'!AK94/'Tariffs Jan2018'!AI94&lt;'Tariffs Jan2018'!L94,0,IF($C$5*'Tariffs Jan2018'!AK94/'Tariffs Jan2018'!AI94&lt;='Tariffs Jan2018'!M94,($C$5*'Tariffs Jan2018'!AK94/'Tariffs Jan2018'!AI94-'Tariffs Jan2018'!L94)*('Tariffs Jan2018'!R94/100)*'Tariffs Jan2018'!AI94,('Tariffs Jan2018'!M94-'Tariffs Jan2018'!L94)*('Tariffs Jan2018'!R94/100)*'Tariffs Jan2018'!AI94))</f>
        <v>0</v>
      </c>
      <c r="I100" s="59">
        <f>IF(($C$5*'Tariffs Jan2018'!AK94/'Tariffs Jan2018'!AI94&gt;'Tariffs Jan2018'!M94),($C$5*'Tariffs Jan2018'!AK94/'Tariffs Jan2018'!AI94-'Tariffs Jan2018'!M94)*'Tariffs Jan2018'!S94/100*'Tariffs Jan2018'!AI94,0)</f>
        <v>0</v>
      </c>
      <c r="J100" s="59">
        <f>IF($C$5*'Tariffs Jan2018'!AL94/'Tariffs Jan2018'!AJ94&gt;='Tariffs Jan2018'!J94,('Tariffs Jan2018'!J94*'Tariffs Jan2018'!U94/100)* 'Tariffs Jan2018'!AJ94,($C$5*'Tariffs Jan2018'!AL94/'Tariffs Jan2018'!AJ94*'Tariffs Jan2018'!U94/100)* 'Tariffs Jan2018'!AJ94)</f>
        <v>600</v>
      </c>
      <c r="K100" s="59">
        <f>IF($C$5*'Tariffs Jan2018'!AL94/'Tariffs Jan2018'!AJ94&lt;'Tariffs Jan2018'!J94,0,IF($C$5*'Tariffs Jan2018'!AL94/'Tariffs Jan2018'!AJ94&lt;='Tariffs Jan2018'!K94,($C$5*'Tariffs Jan2018'!AL94/'Tariffs Jan2018'!AJ94-'Tariffs Jan2018'!J94)*('Tariffs Jan2018'!V94/100)*'Tariffs Jan2018'!AJ94,('Tariffs Jan2018'!K94-'Tariffs Jan2018'!J94)*('Tariffs Jan2018'!V94/100)*'Tariffs Jan2018'!AJ94))</f>
        <v>440.89709999999991</v>
      </c>
      <c r="L100" s="59">
        <f>IF($C$5*'Tariffs Jan2018'!AL94/'Tariffs Jan2018'!AJ94&lt;'Tariffs Jan2018'!K94,0,IF($C$5*'Tariffs Jan2018'!AL94/'Tariffs Jan2018'!AJ94&lt;='Tariffs Jan2018'!L94,($C$5*'Tariffs Jan2018'!AL94/'Tariffs Jan2018'!AJ94-'Tariffs Jan2018'!K94)*('Tariffs Jan2018'!W94/100)*'Tariffs Jan2018'!AJ94,('Tariffs Jan2018'!L94-'Tariffs Jan2018'!K94)*('Tariffs Jan2018'!W94/100)*'Tariffs Jan2018'!AJ94))</f>
        <v>0</v>
      </c>
      <c r="M100" s="59">
        <f>IF($C$5*'Tariffs Jan2018'!AL94/'Tariffs Jan2018'!AJ94&lt;'Tariffs Jan2018'!L94,0,IF($C$5*'Tariffs Jan2018'!AL94/'Tariffs Jan2018'!AJ94&lt;='Tariffs Jan2018'!M94,($C$5*'Tariffs Jan2018'!AL94/'Tariffs Jan2018'!AJ94-'Tariffs Jan2018'!L94)*('Tariffs Jan2018'!X94/100)*'Tariffs Jan2018'!AJ94,('Tariffs Jan2018'!M94-'Tariffs Jan2018'!L94)*('Tariffs Jan2018'!X94/100)*'Tariffs Jan2018'!AJ94))</f>
        <v>0</v>
      </c>
      <c r="N100" s="59">
        <f>IF(($C$5*'Tariffs Jan2018'!AL94/'Tariffs Jan2018'!AJ94&gt;'Tariffs Jan2018'!M94),($C$5*'Tariffs Jan2018'!AL94/'Tariffs Jan2018'!AJ94-'Tariffs Jan2018'!M94)*'Tariffs Jan2018'!Y94/100*'Tariffs Jan2018'!AJ94,0)</f>
        <v>0</v>
      </c>
      <c r="O100" s="271">
        <f t="shared" si="10"/>
        <v>1741.33305</v>
      </c>
      <c r="P100" s="59">
        <f t="shared" si="11"/>
        <v>2094.6530499999999</v>
      </c>
      <c r="Q100" s="272">
        <f t="shared" si="12"/>
        <v>2304.1183550000001</v>
      </c>
      <c r="R100" s="40">
        <f>'Tariffs Jan2018'!AM94</f>
        <v>0</v>
      </c>
      <c r="S100" s="40">
        <f>'Tariffs Jan2018'!AN94</f>
        <v>0</v>
      </c>
      <c r="T100" s="40">
        <f>'Tariffs Jan2018'!AO94</f>
        <v>14</v>
      </c>
      <c r="U100" s="40">
        <f>'Tariffs Jan2018'!AP94</f>
        <v>0</v>
      </c>
      <c r="V100" s="273">
        <f t="shared" si="15"/>
        <v>2094.6530499999999</v>
      </c>
      <c r="W100" s="273">
        <f>V100-(P100*T100/100)</f>
        <v>1801.401623</v>
      </c>
      <c r="X100" s="272">
        <f t="shared" si="13"/>
        <v>2304.1183550000001</v>
      </c>
      <c r="Y100" s="272">
        <f t="shared" si="13"/>
        <v>1981.5417853000001</v>
      </c>
      <c r="Z100" s="274">
        <f>'Tariffs Jan2018'!AW94</f>
        <v>0</v>
      </c>
      <c r="AA100" s="274" t="str">
        <f>'Tariffs Jan2018'!AX94</f>
        <v>n</v>
      </c>
      <c r="AB100" s="275" t="str">
        <f>'Tariffs Jan2018'!BE94</f>
        <v>N</v>
      </c>
      <c r="AC100" s="321"/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</row>
    <row r="101" spans="1:40" x14ac:dyDescent="0.15">
      <c r="A101" s="270" t="str">
        <f>'Tariffs Jan2018'!F95</f>
        <v>Covau</v>
      </c>
      <c r="B101" s="40" t="str">
        <f>'Tariffs Jan2018'!D95</f>
        <v>Ausnet Central 1</v>
      </c>
      <c r="C101" s="40" t="str">
        <f>'Tariffs Jan2018'!G95</f>
        <v>Smart Saver</v>
      </c>
      <c r="D101" s="59">
        <f>365*'Tariffs Jan2018'!H95/100</f>
        <v>299.3</v>
      </c>
      <c r="E101" s="59">
        <f>IF($C$5*'Tariffs Jan2018'!AK95/'Tariffs Jan2018'!AI95&gt;='Tariffs Jan2018'!J95,( 'Tariffs Jan2018'!J95*'Tariffs Jan2018'!O95/100)* 'Tariffs Jan2018'!AI95,($C$5*'Tariffs Jan2018'!AK95/'Tariffs Jan2018'!AI95*'Tariffs Jan2018'!O95/100)* 'Tariffs Jan2018'!AI95)</f>
        <v>477</v>
      </c>
      <c r="F101" s="59">
        <f>IF($C$5*'Tariffs Jan2018'!AK95/'Tariffs Jan2018'!AI95&lt;'Tariffs Jan2018'!J95,0,IF($C$5*'Tariffs Jan2018'!AK95/'Tariffs Jan2018'!AI95&lt;='Tariffs Jan2018'!K95,($C$5*'Tariffs Jan2018'!AK95/'Tariffs Jan2018'!AI95-'Tariffs Jan2018'!J95)*('Tariffs Jan2018'!P95/100)*'Tariffs Jan2018'!AI95,('Tariffs Jan2018'!K95-'Tariffs Jan2018'!J95)*('Tariffs Jan2018'!P95/100)*'Tariffs Jan2018'!AI95))</f>
        <v>337.5</v>
      </c>
      <c r="G101" s="59">
        <f>IF($C$5*'Tariffs Jan2018'!AK95/'Tariffs Jan2018'!AI95&lt;'Tariffs Jan2018'!K95,0,IF($C$5*'Tariffs Jan2018'!AK95/'Tariffs Jan2018'!AI95&lt;='Tariffs Jan2018'!L95,($C$5*'Tariffs Jan2018'!AK95/'Tariffs Jan2018'!AI95-'Tariffs Jan2018'!K95)*('Tariffs Jan2018'!Q95/100)*'Tariffs Jan2018'!AI95,('Tariffs Jan2018'!L95-'Tariffs Jan2018'!K95)*('Tariffs Jan2018'!Q95/100)*'Tariffs Jan2018'!AI95))</f>
        <v>0</v>
      </c>
      <c r="H101" s="59">
        <f>IF($C$5*'Tariffs Jan2018'!AK95/'Tariffs Jan2018'!AI95&lt;'Tariffs Jan2018'!L95,0,IF($C$5*'Tariffs Jan2018'!AK95/'Tariffs Jan2018'!AI95&lt;='Tariffs Jan2018'!M95,($C$5*'Tariffs Jan2018'!AK95/'Tariffs Jan2018'!AI95-'Tariffs Jan2018'!L95)*('Tariffs Jan2018'!R95/100)*'Tariffs Jan2018'!AI95,('Tariffs Jan2018'!M95-'Tariffs Jan2018'!L95)*('Tariffs Jan2018'!R95/100)*'Tariffs Jan2018'!AI95))</f>
        <v>0</v>
      </c>
      <c r="I101" s="59">
        <f>IF(($C$5*'Tariffs Jan2018'!AK95/'Tariffs Jan2018'!AI95&gt;'Tariffs Jan2018'!M95),($C$5*'Tariffs Jan2018'!AK95/'Tariffs Jan2018'!AI95-'Tariffs Jan2018'!M95)*'Tariffs Jan2018'!S95/100*'Tariffs Jan2018'!AI95,0)</f>
        <v>0</v>
      </c>
      <c r="J101" s="59">
        <f>IF($C$5*'Tariffs Jan2018'!AL95/'Tariffs Jan2018'!AJ95&gt;='Tariffs Jan2018'!J95,('Tariffs Jan2018'!J95*'Tariffs Jan2018'!U95/100)* 'Tariffs Jan2018'!AJ95,($C$5*'Tariffs Jan2018'!AL95/'Tariffs Jan2018'!AJ95*'Tariffs Jan2018'!U95/100)* 'Tariffs Jan2018'!AJ95)</f>
        <v>417.59999999999997</v>
      </c>
      <c r="K101" s="59">
        <f>IF($C$5*'Tariffs Jan2018'!AL95/'Tariffs Jan2018'!AJ95&lt;'Tariffs Jan2018'!J95,0,IF($C$5*'Tariffs Jan2018'!AL95/'Tariffs Jan2018'!AJ95&lt;='Tariffs Jan2018'!K95,($C$5*'Tariffs Jan2018'!AL95/'Tariffs Jan2018'!AJ95-'Tariffs Jan2018'!J95)*('Tariffs Jan2018'!V95/100)*'Tariffs Jan2018'!AJ95,('Tariffs Jan2018'!K95-'Tariffs Jan2018'!J95)*('Tariffs Jan2018'!V95/100)*'Tariffs Jan2018'!AJ95))</f>
        <v>256.5</v>
      </c>
      <c r="L101" s="59">
        <f>IF($C$5*'Tariffs Jan2018'!AL95/'Tariffs Jan2018'!AJ95&lt;'Tariffs Jan2018'!K95,0,IF($C$5*'Tariffs Jan2018'!AL95/'Tariffs Jan2018'!AJ95&lt;='Tariffs Jan2018'!L95,($C$5*'Tariffs Jan2018'!AL95/'Tariffs Jan2018'!AJ95-'Tariffs Jan2018'!K95)*('Tariffs Jan2018'!W95/100)*'Tariffs Jan2018'!AJ95,('Tariffs Jan2018'!L95-'Tariffs Jan2018'!K95)*('Tariffs Jan2018'!W95/100)*'Tariffs Jan2018'!AJ95))</f>
        <v>0</v>
      </c>
      <c r="M101" s="59">
        <f>IF($C$5*'Tariffs Jan2018'!AL95/'Tariffs Jan2018'!AJ95&lt;'Tariffs Jan2018'!L95,0,IF($C$5*'Tariffs Jan2018'!AL95/'Tariffs Jan2018'!AJ95&lt;='Tariffs Jan2018'!M95,($C$5*'Tariffs Jan2018'!AL95/'Tariffs Jan2018'!AJ95-'Tariffs Jan2018'!L95)*('Tariffs Jan2018'!X95/100)*'Tariffs Jan2018'!AJ95,('Tariffs Jan2018'!M95-'Tariffs Jan2018'!L95)*('Tariffs Jan2018'!X95/100)*'Tariffs Jan2018'!AJ95))</f>
        <v>0</v>
      </c>
      <c r="N101" s="59">
        <f>IF(($C$5*'Tariffs Jan2018'!AL95/'Tariffs Jan2018'!AJ95&gt;'Tariffs Jan2018'!M95),($C$5*'Tariffs Jan2018'!AL95/'Tariffs Jan2018'!AJ95-'Tariffs Jan2018'!M95)*'Tariffs Jan2018'!Y95/100*'Tariffs Jan2018'!AJ95,0)</f>
        <v>0</v>
      </c>
      <c r="O101" s="271">
        <f t="shared" si="10"/>
        <v>1488.6</v>
      </c>
      <c r="P101" s="59">
        <f t="shared" si="11"/>
        <v>1787.8999999999999</v>
      </c>
      <c r="Q101" s="272">
        <f t="shared" si="12"/>
        <v>1966.69</v>
      </c>
      <c r="R101" s="40">
        <f>'Tariffs Jan2018'!AM95</f>
        <v>0</v>
      </c>
      <c r="S101" s="40">
        <f>'Tariffs Jan2018'!AN95</f>
        <v>0</v>
      </c>
      <c r="T101" s="40">
        <f>'Tariffs Jan2018'!AO95</f>
        <v>0</v>
      </c>
      <c r="U101" s="40">
        <f>'Tariffs Jan2018'!AP95</f>
        <v>16</v>
      </c>
      <c r="V101" s="273">
        <f t="shared" si="15"/>
        <v>1787.8999999999999</v>
      </c>
      <c r="W101" s="273">
        <f>V101-(O101*U101/100)</f>
        <v>1549.7239999999999</v>
      </c>
      <c r="X101" s="272">
        <f t="shared" si="13"/>
        <v>1966.69</v>
      </c>
      <c r="Y101" s="272">
        <f t="shared" si="13"/>
        <v>1704.6964</v>
      </c>
      <c r="Z101" s="274">
        <f>'Tariffs Jan2018'!AW95</f>
        <v>12</v>
      </c>
      <c r="AA101" s="274" t="str">
        <f>'Tariffs Jan2018'!AX95</f>
        <v>y</v>
      </c>
      <c r="AB101" s="275" t="str">
        <f>'Tariffs Jan2018'!BE95</f>
        <v>N</v>
      </c>
      <c r="AC101" s="321"/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</row>
    <row r="102" spans="1:40" x14ac:dyDescent="0.15">
      <c r="A102" s="270" t="str">
        <f>'Tariffs Jan2018'!F96</f>
        <v>Dodo Power &amp; Gas</v>
      </c>
      <c r="B102" s="40" t="str">
        <f>'Tariffs Jan2018'!D96</f>
        <v>Ausnet Central 1</v>
      </c>
      <c r="C102" s="40" t="str">
        <f>'Tariffs Jan2018'!G96</f>
        <v>Market offer</v>
      </c>
      <c r="D102" s="59">
        <f>365*'Tariffs Jan2018'!H96/100</f>
        <v>291.63500000000005</v>
      </c>
      <c r="E102" s="59">
        <f>IF($C$5*'Tariffs Jan2018'!AK96/'Tariffs Jan2018'!AI96&gt;='Tariffs Jan2018'!J96,( 'Tariffs Jan2018'!J96*'Tariffs Jan2018'!O96/100)* 'Tariffs Jan2018'!AI96,($C$5*'Tariffs Jan2018'!AK96/'Tariffs Jan2018'!AI96*'Tariffs Jan2018'!O96/100)* 'Tariffs Jan2018'!AI96)</f>
        <v>180.48</v>
      </c>
      <c r="F102" s="59">
        <f>IF($C$5*'Tariffs Jan2018'!AK96/'Tariffs Jan2018'!AI96&lt;'Tariffs Jan2018'!J96,0,IF($C$5*'Tariffs Jan2018'!AK96/'Tariffs Jan2018'!AI96&lt;='Tariffs Jan2018'!K96,($C$5*'Tariffs Jan2018'!AK96/'Tariffs Jan2018'!AI96-'Tariffs Jan2018'!J96)*('Tariffs Jan2018'!P96/100)*'Tariffs Jan2018'!AI96,('Tariffs Jan2018'!K96-'Tariffs Jan2018'!J96)*('Tariffs Jan2018'!P96/100)*'Tariffs Jan2018'!AI96))</f>
        <v>0</v>
      </c>
      <c r="G102" s="59">
        <f>IF($C$5*'Tariffs Jan2018'!AK96/'Tariffs Jan2018'!AI96&lt;'Tariffs Jan2018'!K96,0,IF($C$5*'Tariffs Jan2018'!AK96/'Tariffs Jan2018'!AI96&lt;='Tariffs Jan2018'!L96,($C$5*'Tariffs Jan2018'!AK96/'Tariffs Jan2018'!AI96-'Tariffs Jan2018'!K96)*('Tariffs Jan2018'!Q96/100)*'Tariffs Jan2018'!AI96,('Tariffs Jan2018'!L96-'Tariffs Jan2018'!K96)*('Tariffs Jan2018'!Q96/100)*'Tariffs Jan2018'!AI96))</f>
        <v>0</v>
      </c>
      <c r="H102" s="59">
        <f>IF($C$5*'Tariffs Jan2018'!AK96/'Tariffs Jan2018'!AI96&lt;'Tariffs Jan2018'!L96,0,IF($C$5*'Tariffs Jan2018'!AK96/'Tariffs Jan2018'!AI96&lt;='Tariffs Jan2018'!M96,($C$5*'Tariffs Jan2018'!AK96/'Tariffs Jan2018'!AI96-'Tariffs Jan2018'!L96)*('Tariffs Jan2018'!R96/100)*'Tariffs Jan2018'!AI96,('Tariffs Jan2018'!M96-'Tariffs Jan2018'!L96)*('Tariffs Jan2018'!R96/100)*'Tariffs Jan2018'!AI96))</f>
        <v>0</v>
      </c>
      <c r="I102" s="59">
        <f>IF(($C$5*'Tariffs Jan2018'!AK96/'Tariffs Jan2018'!AI96&gt;'Tariffs Jan2018'!M96),($C$5*'Tariffs Jan2018'!AK96/'Tariffs Jan2018'!AI96-'Tariffs Jan2018'!M96)*'Tariffs Jan2018'!S96/100*'Tariffs Jan2018'!AI96,0)</f>
        <v>350.3495999999999</v>
      </c>
      <c r="J102" s="59">
        <f>IF($C$5*'Tariffs Jan2018'!AL96/'Tariffs Jan2018'!AJ96&gt;='Tariffs Jan2018'!J96,('Tariffs Jan2018'!J96*'Tariffs Jan2018'!U96/100)* 'Tariffs Jan2018'!AJ96,($C$5*'Tariffs Jan2018'!AL96/'Tariffs Jan2018'!AJ96*'Tariffs Jan2018'!U96/100)* 'Tariffs Jan2018'!AJ96)</f>
        <v>291.83999999999997</v>
      </c>
      <c r="K102" s="59">
        <f>IF($C$5*'Tariffs Jan2018'!AL96/'Tariffs Jan2018'!AJ96&lt;'Tariffs Jan2018'!J96,0,IF($C$5*'Tariffs Jan2018'!AL96/'Tariffs Jan2018'!AJ96&lt;='Tariffs Jan2018'!K96,($C$5*'Tariffs Jan2018'!AL96/'Tariffs Jan2018'!AJ96-'Tariffs Jan2018'!J96)*('Tariffs Jan2018'!V96/100)*'Tariffs Jan2018'!AJ96,('Tariffs Jan2018'!K96-'Tariffs Jan2018'!J96)*('Tariffs Jan2018'!V96/100)*'Tariffs Jan2018'!AJ96))</f>
        <v>0</v>
      </c>
      <c r="L102" s="59">
        <f>IF($C$5*'Tariffs Jan2018'!AL96/'Tariffs Jan2018'!AJ96&lt;'Tariffs Jan2018'!K96,0,IF($C$5*'Tariffs Jan2018'!AL96/'Tariffs Jan2018'!AJ96&lt;='Tariffs Jan2018'!L96,($C$5*'Tariffs Jan2018'!AL96/'Tariffs Jan2018'!AJ96-'Tariffs Jan2018'!K96)*('Tariffs Jan2018'!W96/100)*'Tariffs Jan2018'!AJ96,('Tariffs Jan2018'!L96-'Tariffs Jan2018'!K96)*('Tariffs Jan2018'!W96/100)*'Tariffs Jan2018'!AJ96))</f>
        <v>0</v>
      </c>
      <c r="M102" s="59">
        <f>IF($C$5*'Tariffs Jan2018'!AL96/'Tariffs Jan2018'!AJ96&lt;'Tariffs Jan2018'!L96,0,IF($C$5*'Tariffs Jan2018'!AL96/'Tariffs Jan2018'!AJ96&lt;='Tariffs Jan2018'!M96,($C$5*'Tariffs Jan2018'!AL96/'Tariffs Jan2018'!AJ96-'Tariffs Jan2018'!L96)*('Tariffs Jan2018'!X96/100)*'Tariffs Jan2018'!AJ96,('Tariffs Jan2018'!M96-'Tariffs Jan2018'!L96)*('Tariffs Jan2018'!X96/100)*'Tariffs Jan2018'!AJ96))</f>
        <v>0</v>
      </c>
      <c r="N102" s="59">
        <f>IF(($C$5*'Tariffs Jan2018'!AL96/'Tariffs Jan2018'!AJ96&gt;'Tariffs Jan2018'!M96),($C$5*'Tariffs Jan2018'!AL96/'Tariffs Jan2018'!AJ96-'Tariffs Jan2018'!M96)*'Tariffs Jan2018'!Y96/100*'Tariffs Jan2018'!AJ96,0)</f>
        <v>534.28313999999989</v>
      </c>
      <c r="O102" s="271">
        <f t="shared" si="10"/>
        <v>1356.9527399999997</v>
      </c>
      <c r="P102" s="59">
        <f t="shared" si="11"/>
        <v>1648.5877399999997</v>
      </c>
      <c r="Q102" s="272">
        <f t="shared" si="12"/>
        <v>1813.4465139999998</v>
      </c>
      <c r="R102" s="40">
        <f>'Tariffs Jan2018'!AM96</f>
        <v>0</v>
      </c>
      <c r="S102" s="40">
        <f>'Tariffs Jan2018'!AN96</f>
        <v>0</v>
      </c>
      <c r="T102" s="40">
        <f>'Tariffs Jan2018'!AO96</f>
        <v>0</v>
      </c>
      <c r="U102" s="40">
        <f>'Tariffs Jan2018'!AP96</f>
        <v>0</v>
      </c>
      <c r="V102" s="273">
        <f t="shared" si="15"/>
        <v>1648.5877399999997</v>
      </c>
      <c r="W102" s="273">
        <f>V102</f>
        <v>1648.5877399999997</v>
      </c>
      <c r="X102" s="272">
        <f t="shared" si="13"/>
        <v>1813.4465139999998</v>
      </c>
      <c r="Y102" s="272">
        <f t="shared" si="13"/>
        <v>1813.4465139999998</v>
      </c>
      <c r="Z102" s="274">
        <f>'Tariffs Jan2018'!AW96</f>
        <v>0</v>
      </c>
      <c r="AA102" s="274" t="str">
        <f>'Tariffs Jan2018'!AX96</f>
        <v>n</v>
      </c>
      <c r="AB102" s="275" t="str">
        <f>'Tariffs Jan2018'!BE96</f>
        <v>Y</v>
      </c>
      <c r="AC102" s="321"/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321"/>
    </row>
    <row r="103" spans="1:40" x14ac:dyDescent="0.15">
      <c r="A103" s="270" t="str">
        <f>'Tariffs Jan2018'!F97</f>
        <v>EnergyAustralia</v>
      </c>
      <c r="B103" s="40" t="str">
        <f>'Tariffs Jan2018'!D97</f>
        <v>Ausnet Central 1</v>
      </c>
      <c r="C103" s="40" t="str">
        <f>'Tariffs Jan2018'!G97</f>
        <v xml:space="preserve">Flexi Saver </v>
      </c>
      <c r="D103" s="59">
        <f>365*'Tariffs Jan2018'!H97/100</f>
        <v>321.2</v>
      </c>
      <c r="E103" s="59">
        <f>IF($C$5*'Tariffs Jan2018'!AK97/'Tariffs Jan2018'!AI97&gt;='Tariffs Jan2018'!J97,( 'Tariffs Jan2018'!J97*'Tariffs Jan2018'!O97/100)* 'Tariffs Jan2018'!AI97,($C$5*'Tariffs Jan2018'!AK97/'Tariffs Jan2018'!AI97*'Tariffs Jan2018'!O97/100)* 'Tariffs Jan2018'!AI97)</f>
        <v>571.14287999999999</v>
      </c>
      <c r="F103" s="59">
        <f>IF($C$5*'Tariffs Jan2018'!AK97/'Tariffs Jan2018'!AI97&lt;'Tariffs Jan2018'!J97,0,IF($C$5*'Tariffs Jan2018'!AK97/'Tariffs Jan2018'!AI97&lt;='Tariffs Jan2018'!K97,($C$5*'Tariffs Jan2018'!AK97/'Tariffs Jan2018'!AI97-'Tariffs Jan2018'!J97)*('Tariffs Jan2018'!P97/100)*'Tariffs Jan2018'!AI97,('Tariffs Jan2018'!K97-'Tariffs Jan2018'!J97)*('Tariffs Jan2018'!P97/100)*'Tariffs Jan2018'!AI97))</f>
        <v>0</v>
      </c>
      <c r="G103" s="59">
        <f>IF($C$5*'Tariffs Jan2018'!AK97/'Tariffs Jan2018'!AI97&lt;'Tariffs Jan2018'!K97,0,IF($C$5*'Tariffs Jan2018'!AK97/'Tariffs Jan2018'!AI97&lt;='Tariffs Jan2018'!L97,($C$5*'Tariffs Jan2018'!AK97/'Tariffs Jan2018'!AI97-'Tariffs Jan2018'!K97)*('Tariffs Jan2018'!Q97/100)*'Tariffs Jan2018'!AI97,('Tariffs Jan2018'!L97-'Tariffs Jan2018'!K97)*('Tariffs Jan2018'!Q97/100)*'Tariffs Jan2018'!AI97))</f>
        <v>0</v>
      </c>
      <c r="H103" s="59">
        <f>IF($C$5*'Tariffs Jan2018'!AK97/'Tariffs Jan2018'!AI97&lt;'Tariffs Jan2018'!L97,0,IF($C$5*'Tariffs Jan2018'!AK97/'Tariffs Jan2018'!AI97&lt;='Tariffs Jan2018'!M97,($C$5*'Tariffs Jan2018'!AK97/'Tariffs Jan2018'!AI97-'Tariffs Jan2018'!L97)*('Tariffs Jan2018'!R97/100)*'Tariffs Jan2018'!AI97,('Tariffs Jan2018'!M97-'Tariffs Jan2018'!L97)*('Tariffs Jan2018'!R97/100)*'Tariffs Jan2018'!AI97))</f>
        <v>0</v>
      </c>
      <c r="I103" s="59">
        <f>IF(($C$5*'Tariffs Jan2018'!AK97/'Tariffs Jan2018'!AI97&gt;'Tariffs Jan2018'!M97),($C$5*'Tariffs Jan2018'!AK97/'Tariffs Jan2018'!AI97-'Tariffs Jan2018'!M97)*'Tariffs Jan2018'!S97/100*'Tariffs Jan2018'!AI97,0)</f>
        <v>0</v>
      </c>
      <c r="J103" s="59">
        <f>IF($C$5*'Tariffs Jan2018'!AL97/'Tariffs Jan2018'!AJ97&gt;='Tariffs Jan2018'!J97,('Tariffs Jan2018'!J97*'Tariffs Jan2018'!U97/100)* 'Tariffs Jan2018'!AJ97,($C$5*'Tariffs Jan2018'!AL97/'Tariffs Jan2018'!AJ97*'Tariffs Jan2018'!U97/100)* 'Tariffs Jan2018'!AJ97)</f>
        <v>797.92019999999991</v>
      </c>
      <c r="K103" s="59">
        <f>IF($C$5*'Tariffs Jan2018'!AL97/'Tariffs Jan2018'!AJ97&lt;'Tariffs Jan2018'!J97,0,IF($C$5*'Tariffs Jan2018'!AL97/'Tariffs Jan2018'!AJ97&lt;='Tariffs Jan2018'!K97,($C$5*'Tariffs Jan2018'!AL97/'Tariffs Jan2018'!AJ97-'Tariffs Jan2018'!J97)*('Tariffs Jan2018'!V97/100)*'Tariffs Jan2018'!AJ97,('Tariffs Jan2018'!K97-'Tariffs Jan2018'!J97)*('Tariffs Jan2018'!V97/100)*'Tariffs Jan2018'!AJ97))</f>
        <v>0</v>
      </c>
      <c r="L103" s="59">
        <f>IF($C$5*'Tariffs Jan2018'!AL97/'Tariffs Jan2018'!AJ97&lt;'Tariffs Jan2018'!K97,0,IF($C$5*'Tariffs Jan2018'!AL97/'Tariffs Jan2018'!AJ97&lt;='Tariffs Jan2018'!L97,($C$5*'Tariffs Jan2018'!AL97/'Tariffs Jan2018'!AJ97-'Tariffs Jan2018'!K97)*('Tariffs Jan2018'!W97/100)*'Tariffs Jan2018'!AJ97,('Tariffs Jan2018'!L97-'Tariffs Jan2018'!K97)*('Tariffs Jan2018'!W97/100)*'Tariffs Jan2018'!AJ97))</f>
        <v>0</v>
      </c>
      <c r="M103" s="59">
        <f>IF($C$5*'Tariffs Jan2018'!AL97/'Tariffs Jan2018'!AJ97&lt;'Tariffs Jan2018'!L97,0,IF($C$5*'Tariffs Jan2018'!AL97/'Tariffs Jan2018'!AJ97&lt;='Tariffs Jan2018'!M97,($C$5*'Tariffs Jan2018'!AL97/'Tariffs Jan2018'!AJ97-'Tariffs Jan2018'!L97)*('Tariffs Jan2018'!X97/100)*'Tariffs Jan2018'!AJ97,('Tariffs Jan2018'!M97-'Tariffs Jan2018'!L97)*('Tariffs Jan2018'!X97/100)*'Tariffs Jan2018'!AJ97))</f>
        <v>0</v>
      </c>
      <c r="N103" s="59">
        <f>IF(($C$5*'Tariffs Jan2018'!AL97/'Tariffs Jan2018'!AJ97&gt;'Tariffs Jan2018'!M97),($C$5*'Tariffs Jan2018'!AL97/'Tariffs Jan2018'!AJ97-'Tariffs Jan2018'!M97)*'Tariffs Jan2018'!Y97/100*'Tariffs Jan2018'!AJ97,0)</f>
        <v>0</v>
      </c>
      <c r="O103" s="271">
        <f t="shared" si="10"/>
        <v>1369.0630799999999</v>
      </c>
      <c r="P103" s="59">
        <f t="shared" si="11"/>
        <v>1690.2630799999999</v>
      </c>
      <c r="Q103" s="272">
        <f t="shared" si="12"/>
        <v>1859.2893880000001</v>
      </c>
      <c r="R103" s="40">
        <f>'Tariffs Jan2018'!AM97</f>
        <v>0</v>
      </c>
      <c r="S103" s="40">
        <f>'Tariffs Jan2018'!AN97</f>
        <v>0</v>
      </c>
      <c r="T103" s="40">
        <f>'Tariffs Jan2018'!AO97</f>
        <v>0</v>
      </c>
      <c r="U103" s="40">
        <f>'Tariffs Jan2018'!AP97</f>
        <v>15</v>
      </c>
      <c r="V103" s="273">
        <f t="shared" si="15"/>
        <v>1690.2630799999999</v>
      </c>
      <c r="W103" s="273">
        <f>V103-(O103*U103/100)</f>
        <v>1484.9036180000001</v>
      </c>
      <c r="X103" s="272">
        <f t="shared" si="13"/>
        <v>1859.2893880000001</v>
      </c>
      <c r="Y103" s="272">
        <f t="shared" si="13"/>
        <v>1633.3939798000001</v>
      </c>
      <c r="Z103" s="274">
        <f>'Tariffs Jan2018'!AW97</f>
        <v>0</v>
      </c>
      <c r="AA103" s="274" t="str">
        <f>'Tariffs Jan2018'!AX97</f>
        <v>n</v>
      </c>
      <c r="AB103" s="275" t="str">
        <f>'Tariffs Jan2018'!BE97</f>
        <v>N</v>
      </c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</row>
    <row r="104" spans="1:40" x14ac:dyDescent="0.15">
      <c r="A104" s="270" t="str">
        <f>'Tariffs Jan2018'!F98</f>
        <v>Lumo Energy</v>
      </c>
      <c r="B104" s="40" t="str">
        <f>'Tariffs Jan2018'!D98</f>
        <v>Ausnet Central 1</v>
      </c>
      <c r="C104" s="40" t="str">
        <f>'Tariffs Jan2018'!G98</f>
        <v>Advantage</v>
      </c>
      <c r="D104" s="59">
        <f>365*'Tariffs Jan2018'!H98/100</f>
        <v>289.81000000000006</v>
      </c>
      <c r="E104" s="59">
        <f>IF($C$5*'Tariffs Jan2018'!AK98/'Tariffs Jan2018'!AI98&gt;='Tariffs Jan2018'!J98,( 'Tariffs Jan2018'!J98*'Tariffs Jan2018'!O98/100)* 'Tariffs Jan2018'!AI98,($C$5*'Tariffs Jan2018'!AK98/'Tariffs Jan2018'!AI98*'Tariffs Jan2018'!O98/100)* 'Tariffs Jan2018'!AI98)</f>
        <v>324.00000000000006</v>
      </c>
      <c r="F104" s="59">
        <f>IF($C$5*'Tariffs Jan2018'!AK98/'Tariffs Jan2018'!AI98&lt;'Tariffs Jan2018'!J98,0,IF($C$5*'Tariffs Jan2018'!AK98/'Tariffs Jan2018'!AI98&lt;='Tariffs Jan2018'!K98,($C$5*'Tariffs Jan2018'!AK98/'Tariffs Jan2018'!AI98-'Tariffs Jan2018'!J98)*('Tariffs Jan2018'!P98/100)*'Tariffs Jan2018'!AI98,('Tariffs Jan2018'!K98-'Tariffs Jan2018'!J98)*('Tariffs Jan2018'!P98/100)*'Tariffs Jan2018'!AI98))</f>
        <v>206.95169999999996</v>
      </c>
      <c r="G104" s="59">
        <f>IF($C$5*'Tariffs Jan2018'!AK98/'Tariffs Jan2018'!AI98&lt;'Tariffs Jan2018'!K98,0,IF($C$5*'Tariffs Jan2018'!AK98/'Tariffs Jan2018'!AI98&lt;='Tariffs Jan2018'!L98,($C$5*'Tariffs Jan2018'!AK98/'Tariffs Jan2018'!AI98-'Tariffs Jan2018'!K98)*('Tariffs Jan2018'!Q98/100)*'Tariffs Jan2018'!AI98,('Tariffs Jan2018'!L98-'Tariffs Jan2018'!K98)*('Tariffs Jan2018'!Q98/100)*'Tariffs Jan2018'!AI98))</f>
        <v>0</v>
      </c>
      <c r="H104" s="59">
        <f>IF($C$5*'Tariffs Jan2018'!AK98/'Tariffs Jan2018'!AI98&lt;'Tariffs Jan2018'!L98,0,IF($C$5*'Tariffs Jan2018'!AK98/'Tariffs Jan2018'!AI98&lt;='Tariffs Jan2018'!M98,($C$5*'Tariffs Jan2018'!AK98/'Tariffs Jan2018'!AI98-'Tariffs Jan2018'!L98)*('Tariffs Jan2018'!R98/100)*'Tariffs Jan2018'!AI98,('Tariffs Jan2018'!M98-'Tariffs Jan2018'!L98)*('Tariffs Jan2018'!R98/100)*'Tariffs Jan2018'!AI98))</f>
        <v>0</v>
      </c>
      <c r="I104" s="59">
        <f>IF(($C$5*'Tariffs Jan2018'!AK98/'Tariffs Jan2018'!AI98&gt;'Tariffs Jan2018'!M98),($C$5*'Tariffs Jan2018'!AK98/'Tariffs Jan2018'!AI98-'Tariffs Jan2018'!M98)*'Tariffs Jan2018'!S98/100*'Tariffs Jan2018'!AI98,0)</f>
        <v>0</v>
      </c>
      <c r="J104" s="59">
        <f>IF($C$5*'Tariffs Jan2018'!AL98/'Tariffs Jan2018'!AJ98&gt;='Tariffs Jan2018'!J98,('Tariffs Jan2018'!J98*'Tariffs Jan2018'!U98/100)* 'Tariffs Jan2018'!AJ98,($C$5*'Tariffs Jan2018'!AL98/'Tariffs Jan2018'!AJ98*'Tariffs Jan2018'!U98/100)* 'Tariffs Jan2018'!AJ98)</f>
        <v>446.4</v>
      </c>
      <c r="K104" s="59">
        <f>IF($C$5*'Tariffs Jan2018'!AL98/'Tariffs Jan2018'!AJ98&lt;'Tariffs Jan2018'!J98,0,IF($C$5*'Tariffs Jan2018'!AL98/'Tariffs Jan2018'!AJ98&lt;='Tariffs Jan2018'!K98,($C$5*'Tariffs Jan2018'!AL98/'Tariffs Jan2018'!AJ98-'Tariffs Jan2018'!J98)*('Tariffs Jan2018'!V98/100)*'Tariffs Jan2018'!AJ98,('Tariffs Jan2018'!K98-'Tariffs Jan2018'!J98)*('Tariffs Jan2018'!V98/100)*'Tariffs Jan2018'!AJ98))</f>
        <v>322.12481999999989</v>
      </c>
      <c r="L104" s="59">
        <f>IF($C$5*'Tariffs Jan2018'!AL98/'Tariffs Jan2018'!AJ98&lt;'Tariffs Jan2018'!K98,0,IF($C$5*'Tariffs Jan2018'!AL98/'Tariffs Jan2018'!AJ98&lt;='Tariffs Jan2018'!L98,($C$5*'Tariffs Jan2018'!AL98/'Tariffs Jan2018'!AJ98-'Tariffs Jan2018'!K98)*('Tariffs Jan2018'!W98/100)*'Tariffs Jan2018'!AJ98,('Tariffs Jan2018'!L98-'Tariffs Jan2018'!K98)*('Tariffs Jan2018'!W98/100)*'Tariffs Jan2018'!AJ98))</f>
        <v>0</v>
      </c>
      <c r="M104" s="59">
        <f>IF($C$5*'Tariffs Jan2018'!AL98/'Tariffs Jan2018'!AJ98&lt;'Tariffs Jan2018'!L98,0,IF($C$5*'Tariffs Jan2018'!AL98/'Tariffs Jan2018'!AJ98&lt;='Tariffs Jan2018'!M98,($C$5*'Tariffs Jan2018'!AL98/'Tariffs Jan2018'!AJ98-'Tariffs Jan2018'!L98)*('Tariffs Jan2018'!X98/100)*'Tariffs Jan2018'!AJ98,('Tariffs Jan2018'!M98-'Tariffs Jan2018'!L98)*('Tariffs Jan2018'!X98/100)*'Tariffs Jan2018'!AJ98))</f>
        <v>0</v>
      </c>
      <c r="N104" s="59">
        <f>IF(($C$5*'Tariffs Jan2018'!AL98/'Tariffs Jan2018'!AJ98&gt;'Tariffs Jan2018'!M98),($C$5*'Tariffs Jan2018'!AL98/'Tariffs Jan2018'!AJ98-'Tariffs Jan2018'!M98)*'Tariffs Jan2018'!Y98/100*'Tariffs Jan2018'!AJ98,0)</f>
        <v>0</v>
      </c>
      <c r="O104" s="271">
        <f t="shared" si="10"/>
        <v>1299.4765199999999</v>
      </c>
      <c r="P104" s="59">
        <f t="shared" si="11"/>
        <v>1589.2865200000001</v>
      </c>
      <c r="Q104" s="272">
        <f t="shared" si="12"/>
        <v>1748.2151720000002</v>
      </c>
      <c r="R104" s="40">
        <f>'Tariffs Jan2018'!AM98</f>
        <v>0</v>
      </c>
      <c r="S104" s="40">
        <f>'Tariffs Jan2018'!AN98</f>
        <v>0</v>
      </c>
      <c r="T104" s="40">
        <f>'Tariffs Jan2018'!AO98</f>
        <v>15</v>
      </c>
      <c r="U104" s="40">
        <f>'Tariffs Jan2018'!AP98</f>
        <v>0</v>
      </c>
      <c r="V104" s="273">
        <f t="shared" si="15"/>
        <v>1589.2865200000001</v>
      </c>
      <c r="W104" s="273">
        <f>V104-(P104*T104/100)</f>
        <v>1350.893542</v>
      </c>
      <c r="X104" s="272">
        <f t="shared" si="13"/>
        <v>1748.2151720000002</v>
      </c>
      <c r="Y104" s="272">
        <f t="shared" si="13"/>
        <v>1485.9828962000001</v>
      </c>
      <c r="Z104" s="274">
        <f>'Tariffs Jan2018'!AW98</f>
        <v>0</v>
      </c>
      <c r="AA104" s="274" t="str">
        <f>'Tariffs Jan2018'!AX98</f>
        <v>n</v>
      </c>
      <c r="AB104" s="275" t="str">
        <f>'Tariffs Jan2018'!BE98</f>
        <v>N</v>
      </c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</row>
    <row r="105" spans="1:40" x14ac:dyDescent="0.15">
      <c r="A105" s="270" t="str">
        <f>'Tariffs Jan2018'!F99</f>
        <v>Momentum Energy</v>
      </c>
      <c r="B105" s="40" t="str">
        <f>'Tariffs Jan2018'!D99</f>
        <v>Ausnet Central 1</v>
      </c>
      <c r="C105" s="40" t="str">
        <f>'Tariffs Jan2018'!G99</f>
        <v>Market offer</v>
      </c>
      <c r="D105" s="59">
        <f>365*'Tariffs Jan2018'!H99/100</f>
        <v>308.4615</v>
      </c>
      <c r="E105" s="59">
        <f>IF($C$5*'Tariffs Jan2018'!AK99/'Tariffs Jan2018'!AI99&gt;='Tariffs Jan2018'!J99,( 'Tariffs Jan2018'!J99*'Tariffs Jan2018'!O99/100)* 'Tariffs Jan2018'!AI99,($C$5*'Tariffs Jan2018'!AK99/'Tariffs Jan2018'!AI99*'Tariffs Jan2018'!O99/100)* 'Tariffs Jan2018'!AI99)</f>
        <v>294.48</v>
      </c>
      <c r="F105" s="59">
        <f>IF($C$5*'Tariffs Jan2018'!AK99/'Tariffs Jan2018'!AI99&lt;'Tariffs Jan2018'!J99,0,IF($C$5*'Tariffs Jan2018'!AK99/'Tariffs Jan2018'!AI99&lt;='Tariffs Jan2018'!K99,($C$5*'Tariffs Jan2018'!AK99/'Tariffs Jan2018'!AI99-'Tariffs Jan2018'!J99)*('Tariffs Jan2018'!P99/100)*'Tariffs Jan2018'!AI99,('Tariffs Jan2018'!K99-'Tariffs Jan2018'!J99)*('Tariffs Jan2018'!P99/100)*'Tariffs Jan2018'!AI99))</f>
        <v>182.65736999999993</v>
      </c>
      <c r="G105" s="59">
        <f>IF($C$5*'Tariffs Jan2018'!AK99/'Tariffs Jan2018'!AI99&lt;'Tariffs Jan2018'!K99,0,IF($C$5*'Tariffs Jan2018'!AK99/'Tariffs Jan2018'!AI99&lt;='Tariffs Jan2018'!L99,($C$5*'Tariffs Jan2018'!AK99/'Tariffs Jan2018'!AI99-'Tariffs Jan2018'!K99)*('Tariffs Jan2018'!Q99/100)*'Tariffs Jan2018'!AI99,('Tariffs Jan2018'!L99-'Tariffs Jan2018'!K99)*('Tariffs Jan2018'!Q99/100)*'Tariffs Jan2018'!AI99))</f>
        <v>0</v>
      </c>
      <c r="H105" s="59">
        <f>IF($C$5*'Tariffs Jan2018'!AK99/'Tariffs Jan2018'!AI99&lt;'Tariffs Jan2018'!L99,0,IF($C$5*'Tariffs Jan2018'!AK99/'Tariffs Jan2018'!AI99&lt;='Tariffs Jan2018'!M99,($C$5*'Tariffs Jan2018'!AK99/'Tariffs Jan2018'!AI99-'Tariffs Jan2018'!L99)*('Tariffs Jan2018'!R99/100)*'Tariffs Jan2018'!AI99,('Tariffs Jan2018'!M99-'Tariffs Jan2018'!L99)*('Tariffs Jan2018'!R99/100)*'Tariffs Jan2018'!AI99))</f>
        <v>0</v>
      </c>
      <c r="I105" s="59">
        <f>IF(($C$5*'Tariffs Jan2018'!AK99/'Tariffs Jan2018'!AI99&gt;'Tariffs Jan2018'!M99),($C$5*'Tariffs Jan2018'!AK99/'Tariffs Jan2018'!AI99-'Tariffs Jan2018'!M99)*'Tariffs Jan2018'!S99/100*'Tariffs Jan2018'!AI99,0)</f>
        <v>0</v>
      </c>
      <c r="J105" s="59">
        <f>IF($C$5*'Tariffs Jan2018'!AL99/'Tariffs Jan2018'!AJ99&gt;='Tariffs Jan2018'!J99,('Tariffs Jan2018'!J99*'Tariffs Jan2018'!U99/100)* 'Tariffs Jan2018'!AJ99,($C$5*'Tariffs Jan2018'!AL99/'Tariffs Jan2018'!AJ99*'Tariffs Jan2018'!U99/100)* 'Tariffs Jan2018'!AJ99)</f>
        <v>366</v>
      </c>
      <c r="K105" s="59">
        <f>IF($C$5*'Tariffs Jan2018'!AL99/'Tariffs Jan2018'!AJ99&lt;'Tariffs Jan2018'!J99,0,IF($C$5*'Tariffs Jan2018'!AL99/'Tariffs Jan2018'!AJ99&lt;='Tariffs Jan2018'!K99,($C$5*'Tariffs Jan2018'!AL99/'Tariffs Jan2018'!AJ99-'Tariffs Jan2018'!J99)*('Tariffs Jan2018'!V99/100)*'Tariffs Jan2018'!AJ99,('Tariffs Jan2018'!K99-'Tariffs Jan2018'!J99)*('Tariffs Jan2018'!V99/100)*'Tariffs Jan2018'!AJ99))</f>
        <v>266.33783999999997</v>
      </c>
      <c r="L105" s="59">
        <f>IF($C$5*'Tariffs Jan2018'!AL99/'Tariffs Jan2018'!AJ99&lt;'Tariffs Jan2018'!K99,0,IF($C$5*'Tariffs Jan2018'!AL99/'Tariffs Jan2018'!AJ99&lt;='Tariffs Jan2018'!L99,($C$5*'Tariffs Jan2018'!AL99/'Tariffs Jan2018'!AJ99-'Tariffs Jan2018'!K99)*('Tariffs Jan2018'!W99/100)*'Tariffs Jan2018'!AJ99,('Tariffs Jan2018'!L99-'Tariffs Jan2018'!K99)*('Tariffs Jan2018'!W99/100)*'Tariffs Jan2018'!AJ99))</f>
        <v>0</v>
      </c>
      <c r="M105" s="59">
        <f>IF($C$5*'Tariffs Jan2018'!AL99/'Tariffs Jan2018'!AJ99&lt;'Tariffs Jan2018'!L99,0,IF($C$5*'Tariffs Jan2018'!AL99/'Tariffs Jan2018'!AJ99&lt;='Tariffs Jan2018'!M99,($C$5*'Tariffs Jan2018'!AL99/'Tariffs Jan2018'!AJ99-'Tariffs Jan2018'!L99)*('Tariffs Jan2018'!X99/100)*'Tariffs Jan2018'!AJ99,('Tariffs Jan2018'!M99-'Tariffs Jan2018'!L99)*('Tariffs Jan2018'!X99/100)*'Tariffs Jan2018'!AJ99))</f>
        <v>0</v>
      </c>
      <c r="N105" s="59">
        <f>IF(($C$5*'Tariffs Jan2018'!AL99/'Tariffs Jan2018'!AJ99&gt;'Tariffs Jan2018'!M99),($C$5*'Tariffs Jan2018'!AL99/'Tariffs Jan2018'!AJ99-'Tariffs Jan2018'!M99)*'Tariffs Jan2018'!Y99/100*'Tariffs Jan2018'!AJ99,0)</f>
        <v>0</v>
      </c>
      <c r="O105" s="271">
        <f t="shared" si="10"/>
        <v>1109.4752099999998</v>
      </c>
      <c r="P105" s="59">
        <f t="shared" si="11"/>
        <v>1417.9367099999999</v>
      </c>
      <c r="Q105" s="272">
        <f t="shared" si="12"/>
        <v>1559.7303810000001</v>
      </c>
      <c r="R105" s="40">
        <f>'Tariffs Jan2018'!AM99</f>
        <v>0</v>
      </c>
      <c r="S105" s="40">
        <f>'Tariffs Jan2018'!AN99</f>
        <v>0</v>
      </c>
      <c r="T105" s="40">
        <f>'Tariffs Jan2018'!AO99</f>
        <v>0</v>
      </c>
      <c r="U105" s="40">
        <f>'Tariffs Jan2018'!AP99</f>
        <v>0</v>
      </c>
      <c r="V105" s="273">
        <f t="shared" si="15"/>
        <v>1417.9367099999999</v>
      </c>
      <c r="W105" s="273">
        <f>V105</f>
        <v>1417.9367099999999</v>
      </c>
      <c r="X105" s="272">
        <f t="shared" si="13"/>
        <v>1559.7303810000001</v>
      </c>
      <c r="Y105" s="272">
        <f t="shared" si="13"/>
        <v>1559.7303810000001</v>
      </c>
      <c r="Z105" s="274">
        <f>'Tariffs Jan2018'!AW99</f>
        <v>0</v>
      </c>
      <c r="AA105" s="274" t="str">
        <f>'Tariffs Jan2018'!AX99</f>
        <v>n</v>
      </c>
      <c r="AB105" s="275" t="str">
        <f>'Tariffs Jan2018'!BE99</f>
        <v>Y</v>
      </c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</row>
    <row r="106" spans="1:40" x14ac:dyDescent="0.15">
      <c r="A106" s="270" t="str">
        <f>'Tariffs Jan2018'!F100</f>
        <v>Origin Energy</v>
      </c>
      <c r="B106" s="40" t="str">
        <f>'Tariffs Jan2018'!D100</f>
        <v>Ausnet Central 1</v>
      </c>
      <c r="C106" s="40" t="str">
        <f>'Tariffs Jan2018'!G100</f>
        <v>Saver</v>
      </c>
      <c r="D106" s="59">
        <f>365*'Tariffs Jan2018'!H100/100</f>
        <v>284.7</v>
      </c>
      <c r="E106" s="59">
        <f>IF($C$5*'Tariffs Jan2018'!AK100/'Tariffs Jan2018'!AI100&gt;='Tariffs Jan2018'!J100,( 'Tariffs Jan2018'!J100*'Tariffs Jan2018'!O100/100)* 'Tariffs Jan2018'!AI100,($C$5*'Tariffs Jan2018'!AK100/'Tariffs Jan2018'!AI100*'Tariffs Jan2018'!O100/100)* 'Tariffs Jan2018'!AI100)</f>
        <v>179.2</v>
      </c>
      <c r="F106" s="59">
        <f>IF($C$5*'Tariffs Jan2018'!AK100/'Tariffs Jan2018'!AI100&lt;'Tariffs Jan2018'!J100,0,IF($C$5*'Tariffs Jan2018'!AK100/'Tariffs Jan2018'!AI100&lt;='Tariffs Jan2018'!K100,($C$5*'Tariffs Jan2018'!AK100/'Tariffs Jan2018'!AI100-'Tariffs Jan2018'!J100)*('Tariffs Jan2018'!P100/100)*'Tariffs Jan2018'!AI100,('Tariffs Jan2018'!K100-'Tariffs Jan2018'!J100)*('Tariffs Jan2018'!P100/100)*'Tariffs Jan2018'!AI100))</f>
        <v>0</v>
      </c>
      <c r="G106" s="59">
        <f>IF($C$5*'Tariffs Jan2018'!AK100/'Tariffs Jan2018'!AI100&lt;'Tariffs Jan2018'!K100,0,IF($C$5*'Tariffs Jan2018'!AK100/'Tariffs Jan2018'!AI100&lt;='Tariffs Jan2018'!L100,($C$5*'Tariffs Jan2018'!AK100/'Tariffs Jan2018'!AI100-'Tariffs Jan2018'!K100)*('Tariffs Jan2018'!Q100/100)*'Tariffs Jan2018'!AI100,('Tariffs Jan2018'!L100-'Tariffs Jan2018'!K100)*('Tariffs Jan2018'!Q100/100)*'Tariffs Jan2018'!AI100))</f>
        <v>0</v>
      </c>
      <c r="H106" s="59">
        <f>IF($C$5*'Tariffs Jan2018'!AK100/'Tariffs Jan2018'!AI100&lt;'Tariffs Jan2018'!L100,0,IF($C$5*'Tariffs Jan2018'!AK100/'Tariffs Jan2018'!AI100&lt;='Tariffs Jan2018'!M100,($C$5*'Tariffs Jan2018'!AK100/'Tariffs Jan2018'!AI100-'Tariffs Jan2018'!L100)*('Tariffs Jan2018'!R100/100)*'Tariffs Jan2018'!AI100,('Tariffs Jan2018'!M100-'Tariffs Jan2018'!L100)*('Tariffs Jan2018'!R100/100)*'Tariffs Jan2018'!AI100))</f>
        <v>0</v>
      </c>
      <c r="I106" s="59">
        <f>IF(($C$5*'Tariffs Jan2018'!AK100/'Tariffs Jan2018'!AI100&gt;'Tariffs Jan2018'!M100),($C$5*'Tariffs Jan2018'!AK100/'Tariffs Jan2018'!AI100-'Tariffs Jan2018'!M100)*'Tariffs Jan2018'!S100/100*'Tariffs Jan2018'!AI100,0)</f>
        <v>321.15379999999999</v>
      </c>
      <c r="J106" s="59">
        <f>IF($C$5*'Tariffs Jan2018'!AL100/'Tariffs Jan2018'!AJ100&gt;='Tariffs Jan2018'!J100,('Tariffs Jan2018'!J100*'Tariffs Jan2018'!U100/100)* 'Tariffs Jan2018'!AJ100,($C$5*'Tariffs Jan2018'!AL100/'Tariffs Jan2018'!AJ100*'Tariffs Jan2018'!U100/100)* 'Tariffs Jan2018'!AJ100)</f>
        <v>256</v>
      </c>
      <c r="K106" s="59">
        <f>IF($C$5*'Tariffs Jan2018'!AL100/'Tariffs Jan2018'!AJ100&lt;'Tariffs Jan2018'!J100,0,IF($C$5*'Tariffs Jan2018'!AL100/'Tariffs Jan2018'!AJ100&lt;='Tariffs Jan2018'!K100,($C$5*'Tariffs Jan2018'!AL100/'Tariffs Jan2018'!AJ100-'Tariffs Jan2018'!J100)*('Tariffs Jan2018'!V100/100)*'Tariffs Jan2018'!AJ100,('Tariffs Jan2018'!K100-'Tariffs Jan2018'!J100)*('Tariffs Jan2018'!V100/100)*'Tariffs Jan2018'!AJ100))</f>
        <v>0</v>
      </c>
      <c r="L106" s="59">
        <f>IF($C$5*'Tariffs Jan2018'!AL100/'Tariffs Jan2018'!AJ100&lt;'Tariffs Jan2018'!K100,0,IF($C$5*'Tariffs Jan2018'!AL100/'Tariffs Jan2018'!AJ100&lt;='Tariffs Jan2018'!L100,($C$5*'Tariffs Jan2018'!AL100/'Tariffs Jan2018'!AJ100-'Tariffs Jan2018'!K100)*('Tariffs Jan2018'!W100/100)*'Tariffs Jan2018'!AJ100,('Tariffs Jan2018'!L100-'Tariffs Jan2018'!K100)*('Tariffs Jan2018'!W100/100)*'Tariffs Jan2018'!AJ100))</f>
        <v>0</v>
      </c>
      <c r="M106" s="59">
        <f>IF($C$5*'Tariffs Jan2018'!AL100/'Tariffs Jan2018'!AJ100&lt;'Tariffs Jan2018'!L100,0,IF($C$5*'Tariffs Jan2018'!AL100/'Tariffs Jan2018'!AJ100&lt;='Tariffs Jan2018'!M100,($C$5*'Tariffs Jan2018'!AL100/'Tariffs Jan2018'!AJ100-'Tariffs Jan2018'!L100)*('Tariffs Jan2018'!X100/100)*'Tariffs Jan2018'!AJ100,('Tariffs Jan2018'!M100-'Tariffs Jan2018'!L100)*('Tariffs Jan2018'!X100/100)*'Tariffs Jan2018'!AJ100))</f>
        <v>0</v>
      </c>
      <c r="N106" s="59">
        <f>IF(($C$5*'Tariffs Jan2018'!AL100/'Tariffs Jan2018'!AJ100&gt;'Tariffs Jan2018'!M100),($C$5*'Tariffs Jan2018'!AL100/'Tariffs Jan2018'!AJ100-'Tariffs Jan2018'!M100)*'Tariffs Jan2018'!Y100/100*'Tariffs Jan2018'!AJ100,0)</f>
        <v>467.13279999999997</v>
      </c>
      <c r="O106" s="271">
        <f t="shared" si="10"/>
        <v>1223.4866</v>
      </c>
      <c r="P106" s="59">
        <f t="shared" si="11"/>
        <v>1508.1866</v>
      </c>
      <c r="Q106" s="272">
        <f t="shared" si="12"/>
        <v>1659.0052600000001</v>
      </c>
      <c r="R106" s="40">
        <f>'Tariffs Jan2018'!AM100</f>
        <v>0</v>
      </c>
      <c r="S106" s="40">
        <f>'Tariffs Jan2018'!AN100</f>
        <v>0</v>
      </c>
      <c r="T106" s="40">
        <f>'Tariffs Jan2018'!AO100</f>
        <v>0</v>
      </c>
      <c r="U106" s="40">
        <f>'Tariffs Jan2018'!AP100</f>
        <v>13</v>
      </c>
      <c r="V106" s="273">
        <f t="shared" si="15"/>
        <v>1508.1866</v>
      </c>
      <c r="W106" s="273">
        <f>V106-(O106*U106/100)</f>
        <v>1349.1333420000001</v>
      </c>
      <c r="X106" s="272">
        <f t="shared" si="13"/>
        <v>1659.0052600000001</v>
      </c>
      <c r="Y106" s="272">
        <f t="shared" si="13"/>
        <v>1484.0466762000003</v>
      </c>
      <c r="Z106" s="274">
        <f>'Tariffs Jan2018'!AW100</f>
        <v>0</v>
      </c>
      <c r="AA106" s="274" t="str">
        <f>'Tariffs Jan2018'!AX100</f>
        <v>n</v>
      </c>
      <c r="AB106" s="275" t="str">
        <f>'Tariffs Jan2018'!BE100</f>
        <v>N</v>
      </c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</row>
    <row r="107" spans="1:40" x14ac:dyDescent="0.15">
      <c r="A107" s="270" t="str">
        <f>'Tariffs Jan2018'!F101</f>
        <v>Red Energy</v>
      </c>
      <c r="B107" s="40" t="str">
        <f>'Tariffs Jan2018'!D101</f>
        <v>Ausnet Central 1</v>
      </c>
      <c r="C107" s="40" t="str">
        <f>'Tariffs Jan2018'!G101</f>
        <v>Living Energy Saver</v>
      </c>
      <c r="D107" s="59">
        <f>365*'Tariffs Jan2018'!H101/100</f>
        <v>311.34500000000003</v>
      </c>
      <c r="E107" s="59">
        <f>IF($C$5*'Tariffs Jan2018'!AK101/'Tariffs Jan2018'!AI101&gt;='Tariffs Jan2018'!J101,( 'Tariffs Jan2018'!J101*'Tariffs Jan2018'!O101/100)* 'Tariffs Jan2018'!AI101,($C$5*'Tariffs Jan2018'!AK101/'Tariffs Jan2018'!AI101*'Tariffs Jan2018'!O101/100)* 'Tariffs Jan2018'!AI101)</f>
        <v>151.93600000000001</v>
      </c>
      <c r="F107" s="59">
        <f>IF($C$5*'Tariffs Jan2018'!AK101/'Tariffs Jan2018'!AI101&lt;'Tariffs Jan2018'!J101,0,IF($C$5*'Tariffs Jan2018'!AK101/'Tariffs Jan2018'!AI101&lt;='Tariffs Jan2018'!K101,($C$5*'Tariffs Jan2018'!AK101/'Tariffs Jan2018'!AI101-'Tariffs Jan2018'!J101)*('Tariffs Jan2018'!P101/100)*'Tariffs Jan2018'!AI101,('Tariffs Jan2018'!K101-'Tariffs Jan2018'!J101)*('Tariffs Jan2018'!P101/100)*'Tariffs Jan2018'!AI101))</f>
        <v>0</v>
      </c>
      <c r="G107" s="59">
        <f>IF($C$5*'Tariffs Jan2018'!AK101/'Tariffs Jan2018'!AI101&lt;'Tariffs Jan2018'!K101,0,IF($C$5*'Tariffs Jan2018'!AK101/'Tariffs Jan2018'!AI101&lt;='Tariffs Jan2018'!L101,($C$5*'Tariffs Jan2018'!AK101/'Tariffs Jan2018'!AI101-'Tariffs Jan2018'!K101)*('Tariffs Jan2018'!Q101/100)*'Tariffs Jan2018'!AI101,('Tariffs Jan2018'!L101-'Tariffs Jan2018'!K101)*('Tariffs Jan2018'!Q101/100)*'Tariffs Jan2018'!AI101))</f>
        <v>0</v>
      </c>
      <c r="H107" s="59">
        <f>IF($C$5*'Tariffs Jan2018'!AK101/'Tariffs Jan2018'!AI101&lt;'Tariffs Jan2018'!L101,0,IF($C$5*'Tariffs Jan2018'!AK101/'Tariffs Jan2018'!AI101&lt;='Tariffs Jan2018'!M101,($C$5*'Tariffs Jan2018'!AK101/'Tariffs Jan2018'!AI101-'Tariffs Jan2018'!L101)*('Tariffs Jan2018'!R101/100)*'Tariffs Jan2018'!AI101,('Tariffs Jan2018'!M101-'Tariffs Jan2018'!L101)*('Tariffs Jan2018'!R101/100)*'Tariffs Jan2018'!AI101))</f>
        <v>0</v>
      </c>
      <c r="I107" s="59">
        <f>IF(($C$5*'Tariffs Jan2018'!AK101/'Tariffs Jan2018'!AI101&gt;'Tariffs Jan2018'!M101),($C$5*'Tariffs Jan2018'!AK101/'Tariffs Jan2018'!AI101-'Tariffs Jan2018'!M101)*'Tariffs Jan2018'!S101/100*'Tariffs Jan2018'!AI101,0)</f>
        <v>218.53056299999997</v>
      </c>
      <c r="J107" s="59">
        <f>IF($C$5*'Tariffs Jan2018'!AL101/'Tariffs Jan2018'!AJ101&gt;='Tariffs Jan2018'!J101,('Tariffs Jan2018'!J101*'Tariffs Jan2018'!U101/100)* 'Tariffs Jan2018'!AJ101,($C$5*'Tariffs Jan2018'!AL101/'Tariffs Jan2018'!AJ101*'Tariffs Jan2018'!U101/100)* 'Tariffs Jan2018'!AJ101)</f>
        <v>216.06399999999996</v>
      </c>
      <c r="K107" s="59">
        <f>IF($C$5*'Tariffs Jan2018'!AL101/'Tariffs Jan2018'!AJ101&lt;'Tariffs Jan2018'!J101,0,IF($C$5*'Tariffs Jan2018'!AL101/'Tariffs Jan2018'!AJ101&lt;='Tariffs Jan2018'!K101,($C$5*'Tariffs Jan2018'!AL101/'Tariffs Jan2018'!AJ101-'Tariffs Jan2018'!J101)*('Tariffs Jan2018'!V101/100)*'Tariffs Jan2018'!AJ101,('Tariffs Jan2018'!K101-'Tariffs Jan2018'!J101)*('Tariffs Jan2018'!V101/100)*'Tariffs Jan2018'!AJ101))</f>
        <v>0</v>
      </c>
      <c r="L107" s="59">
        <f>IF($C$5*'Tariffs Jan2018'!AL101/'Tariffs Jan2018'!AJ101&lt;'Tariffs Jan2018'!K101,0,IF($C$5*'Tariffs Jan2018'!AL101/'Tariffs Jan2018'!AJ101&lt;='Tariffs Jan2018'!L101,($C$5*'Tariffs Jan2018'!AL101/'Tariffs Jan2018'!AJ101-'Tariffs Jan2018'!K101)*('Tariffs Jan2018'!W101/100)*'Tariffs Jan2018'!AJ101,('Tariffs Jan2018'!L101-'Tariffs Jan2018'!K101)*('Tariffs Jan2018'!W101/100)*'Tariffs Jan2018'!AJ101))</f>
        <v>0</v>
      </c>
      <c r="M107" s="59">
        <f>IF($C$5*'Tariffs Jan2018'!AL101/'Tariffs Jan2018'!AJ101&lt;'Tariffs Jan2018'!L101,0,IF($C$5*'Tariffs Jan2018'!AL101/'Tariffs Jan2018'!AJ101&lt;='Tariffs Jan2018'!M101,($C$5*'Tariffs Jan2018'!AL101/'Tariffs Jan2018'!AJ101-'Tariffs Jan2018'!L101)*('Tariffs Jan2018'!X101/100)*'Tariffs Jan2018'!AJ101,('Tariffs Jan2018'!M101-'Tariffs Jan2018'!L101)*('Tariffs Jan2018'!X101/100)*'Tariffs Jan2018'!AJ101))</f>
        <v>0</v>
      </c>
      <c r="N107" s="59">
        <f>IF(($C$5*'Tariffs Jan2018'!AL101/'Tariffs Jan2018'!AJ101&gt;'Tariffs Jan2018'!M101),($C$5*'Tariffs Jan2018'!AL101/'Tariffs Jan2018'!AJ101-'Tariffs Jan2018'!M101)*'Tariffs Jan2018'!Y101/100*'Tariffs Jan2018'!AJ101,0)</f>
        <v>423.9230159999999</v>
      </c>
      <c r="O107" s="271">
        <f t="shared" si="10"/>
        <v>1010.4535789999998</v>
      </c>
      <c r="P107" s="59">
        <f t="shared" si="11"/>
        <v>1321.7985789999998</v>
      </c>
      <c r="Q107" s="272">
        <f t="shared" si="12"/>
        <v>1453.9784368999999</v>
      </c>
      <c r="R107" s="40">
        <f>'Tariffs Jan2018'!AM101</f>
        <v>0</v>
      </c>
      <c r="S107" s="40">
        <f>'Tariffs Jan2018'!AN101</f>
        <v>0</v>
      </c>
      <c r="T107" s="40">
        <f>'Tariffs Jan2018'!AO101</f>
        <v>10</v>
      </c>
      <c r="U107" s="40">
        <f>'Tariffs Jan2018'!AP101</f>
        <v>0</v>
      </c>
      <c r="V107" s="273">
        <f t="shared" si="15"/>
        <v>1321.7985789999998</v>
      </c>
      <c r="W107" s="273">
        <f>V107-(P107*T107/100)</f>
        <v>1189.6187210999997</v>
      </c>
      <c r="X107" s="272">
        <f t="shared" si="13"/>
        <v>1453.9784368999999</v>
      </c>
      <c r="Y107" s="272">
        <f t="shared" si="13"/>
        <v>1308.5805932099997</v>
      </c>
      <c r="Z107" s="274">
        <f>'Tariffs Jan2018'!AW101</f>
        <v>0</v>
      </c>
      <c r="AA107" s="274" t="str">
        <f>'Tariffs Jan2018'!AX101</f>
        <v>n</v>
      </c>
      <c r="AB107" s="275" t="str">
        <f>'Tariffs Jan2018'!BE101</f>
        <v>Y</v>
      </c>
      <c r="AC107" s="321"/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321"/>
    </row>
    <row r="108" spans="1:40" x14ac:dyDescent="0.15">
      <c r="A108" s="270" t="str">
        <f>'Tariffs Jan2018'!F102</f>
        <v>Simply Energy</v>
      </c>
      <c r="B108" s="40" t="str">
        <f>'Tariffs Jan2018'!D102</f>
        <v>Ausnet Central 1</v>
      </c>
      <c r="C108" s="40" t="str">
        <f>'Tariffs Jan2018'!G102</f>
        <v>Plus</v>
      </c>
      <c r="D108" s="59">
        <f>365*'Tariffs Jan2018'!H102/100</f>
        <v>280.35650000000004</v>
      </c>
      <c r="E108" s="59">
        <f>IF($C$5*'Tariffs Jan2018'!AK102/'Tariffs Jan2018'!AI102&gt;='Tariffs Jan2018'!J102,( 'Tariffs Jan2018'!J102*'Tariffs Jan2018'!O102/100)* 'Tariffs Jan2018'!AI102,($C$5*'Tariffs Jan2018'!AK102/'Tariffs Jan2018'!AI102*'Tariffs Jan2018'!O102/100)* 'Tariffs Jan2018'!AI102)</f>
        <v>345.6</v>
      </c>
      <c r="F108" s="59">
        <f>IF($C$5*'Tariffs Jan2018'!AK102/'Tariffs Jan2018'!AI102&lt;'Tariffs Jan2018'!J102,0,IF($C$5*'Tariffs Jan2018'!AK102/'Tariffs Jan2018'!AI102&lt;='Tariffs Jan2018'!K102,($C$5*'Tariffs Jan2018'!AK102/'Tariffs Jan2018'!AI102-'Tariffs Jan2018'!J102)*('Tariffs Jan2018'!P102/100)*'Tariffs Jan2018'!AI102,('Tariffs Jan2018'!K102-'Tariffs Jan2018'!J102)*('Tariffs Jan2018'!P102/100)*'Tariffs Jan2018'!AI102))</f>
        <v>253.74077999999994</v>
      </c>
      <c r="G108" s="59">
        <f>IF($C$5*'Tariffs Jan2018'!AK102/'Tariffs Jan2018'!AI102&lt;'Tariffs Jan2018'!K102,0,IF($C$5*'Tariffs Jan2018'!AK102/'Tariffs Jan2018'!AI102&lt;='Tariffs Jan2018'!L102,($C$5*'Tariffs Jan2018'!AK102/'Tariffs Jan2018'!AI102-'Tariffs Jan2018'!K102)*('Tariffs Jan2018'!Q102/100)*'Tariffs Jan2018'!AI102,('Tariffs Jan2018'!L102-'Tariffs Jan2018'!K102)*('Tariffs Jan2018'!Q102/100)*'Tariffs Jan2018'!AI102))</f>
        <v>0</v>
      </c>
      <c r="H108" s="59">
        <f>IF($C$5*'Tariffs Jan2018'!AK102/'Tariffs Jan2018'!AI102&lt;'Tariffs Jan2018'!L102,0,IF($C$5*'Tariffs Jan2018'!AK102/'Tariffs Jan2018'!AI102&lt;='Tariffs Jan2018'!M102,($C$5*'Tariffs Jan2018'!AK102/'Tariffs Jan2018'!AI102-'Tariffs Jan2018'!L102)*('Tariffs Jan2018'!R102/100)*'Tariffs Jan2018'!AI102,('Tariffs Jan2018'!M102-'Tariffs Jan2018'!L102)*('Tariffs Jan2018'!R102/100)*'Tariffs Jan2018'!AI102))</f>
        <v>0</v>
      </c>
      <c r="I108" s="59">
        <f>IF(($C$5*'Tariffs Jan2018'!AK102/'Tariffs Jan2018'!AI102&gt;'Tariffs Jan2018'!M102),($C$5*'Tariffs Jan2018'!AK102/'Tariffs Jan2018'!AI102-'Tariffs Jan2018'!M102)*'Tariffs Jan2018'!S102/100*'Tariffs Jan2018'!AI102,0)</f>
        <v>0</v>
      </c>
      <c r="J108" s="59">
        <f>IF($C$5*'Tariffs Jan2018'!AL102/'Tariffs Jan2018'!AJ102&gt;='Tariffs Jan2018'!J102,('Tariffs Jan2018'!J102*'Tariffs Jan2018'!U102/100)* 'Tariffs Jan2018'!AJ102,($C$5*'Tariffs Jan2018'!AL102/'Tariffs Jan2018'!AJ102*'Tariffs Jan2018'!U102/100)* 'Tariffs Jan2018'!AJ102)</f>
        <v>528.00000000000011</v>
      </c>
      <c r="K108" s="59">
        <f>IF($C$5*'Tariffs Jan2018'!AL102/'Tariffs Jan2018'!AJ102&lt;'Tariffs Jan2018'!J102,0,IF($C$5*'Tariffs Jan2018'!AL102/'Tariffs Jan2018'!AJ102&lt;='Tariffs Jan2018'!K102,($C$5*'Tariffs Jan2018'!AL102/'Tariffs Jan2018'!AJ102-'Tariffs Jan2018'!J102)*('Tariffs Jan2018'!V102/100)*'Tariffs Jan2018'!AJ102,('Tariffs Jan2018'!K102-'Tariffs Jan2018'!J102)*('Tariffs Jan2018'!V102/100)*'Tariffs Jan2018'!AJ102))</f>
        <v>381.5109599999999</v>
      </c>
      <c r="L108" s="59">
        <f>IF($C$5*'Tariffs Jan2018'!AL102/'Tariffs Jan2018'!AJ102&lt;'Tariffs Jan2018'!K102,0,IF($C$5*'Tariffs Jan2018'!AL102/'Tariffs Jan2018'!AJ102&lt;='Tariffs Jan2018'!L102,($C$5*'Tariffs Jan2018'!AL102/'Tariffs Jan2018'!AJ102-'Tariffs Jan2018'!K102)*('Tariffs Jan2018'!W102/100)*'Tariffs Jan2018'!AJ102,('Tariffs Jan2018'!L102-'Tariffs Jan2018'!K102)*('Tariffs Jan2018'!W102/100)*'Tariffs Jan2018'!AJ102))</f>
        <v>0</v>
      </c>
      <c r="M108" s="59">
        <f>IF($C$5*'Tariffs Jan2018'!AL102/'Tariffs Jan2018'!AJ102&lt;'Tariffs Jan2018'!L102,0,IF($C$5*'Tariffs Jan2018'!AL102/'Tariffs Jan2018'!AJ102&lt;='Tariffs Jan2018'!M102,($C$5*'Tariffs Jan2018'!AL102/'Tariffs Jan2018'!AJ102-'Tariffs Jan2018'!L102)*('Tariffs Jan2018'!X102/100)*'Tariffs Jan2018'!AJ102,('Tariffs Jan2018'!M102-'Tariffs Jan2018'!L102)*('Tariffs Jan2018'!X102/100)*'Tariffs Jan2018'!AJ102))</f>
        <v>0</v>
      </c>
      <c r="N108" s="59">
        <f>IF(($C$5*'Tariffs Jan2018'!AL102/'Tariffs Jan2018'!AJ102&gt;'Tariffs Jan2018'!M102),($C$5*'Tariffs Jan2018'!AL102/'Tariffs Jan2018'!AJ102-'Tariffs Jan2018'!M102)*'Tariffs Jan2018'!Y102/100*'Tariffs Jan2018'!AJ102,0)</f>
        <v>0</v>
      </c>
      <c r="O108" s="271">
        <f t="shared" si="10"/>
        <v>1508.8517399999998</v>
      </c>
      <c r="P108" s="59">
        <f t="shared" si="11"/>
        <v>1789.2082399999999</v>
      </c>
      <c r="Q108" s="272">
        <f t="shared" si="12"/>
        <v>1968.129064</v>
      </c>
      <c r="R108" s="40">
        <f>'Tariffs Jan2018'!AM102</f>
        <v>0</v>
      </c>
      <c r="S108" s="40">
        <f>'Tariffs Jan2018'!AN102</f>
        <v>0</v>
      </c>
      <c r="T108" s="40">
        <f>'Tariffs Jan2018'!AO102</f>
        <v>0</v>
      </c>
      <c r="U108" s="40">
        <f>'Tariffs Jan2018'!AP102</f>
        <v>20</v>
      </c>
      <c r="V108" s="273">
        <f t="shared" si="15"/>
        <v>1789.2082399999999</v>
      </c>
      <c r="W108" s="273">
        <f>V108-(O108*U108/100)</f>
        <v>1487.4378919999999</v>
      </c>
      <c r="X108" s="272">
        <f t="shared" si="13"/>
        <v>1968.129064</v>
      </c>
      <c r="Y108" s="272">
        <f t="shared" si="13"/>
        <v>1636.1816812</v>
      </c>
      <c r="Z108" s="274">
        <f>'Tariffs Jan2018'!AW102</f>
        <v>0</v>
      </c>
      <c r="AA108" s="274" t="str">
        <f>'Tariffs Jan2018'!AX102</f>
        <v>n</v>
      </c>
      <c r="AB108" s="275" t="str">
        <f>'Tariffs Jan2018'!BE102</f>
        <v>Y</v>
      </c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</row>
    <row r="109" spans="1:40" x14ac:dyDescent="0.15">
      <c r="A109" s="270" t="str">
        <f>'Tariffs Jan2018'!F103</f>
        <v>Sumo Power</v>
      </c>
      <c r="B109" s="40" t="str">
        <f>'Tariffs Jan2018'!D103</f>
        <v>Ausnet Central 1</v>
      </c>
      <c r="C109" s="40" t="str">
        <f>'Tariffs Jan2018'!G103</f>
        <v>Pay on time</v>
      </c>
      <c r="D109" s="59">
        <f>365*'Tariffs Jan2018'!H103/100</f>
        <v>301.56300000000005</v>
      </c>
      <c r="E109" s="59">
        <f>IF($C$5*'Tariffs Jan2018'!AK103/'Tariffs Jan2018'!AI103&gt;='Tariffs Jan2018'!J103,( 'Tariffs Jan2018'!J103*'Tariffs Jan2018'!O103/100)* 'Tariffs Jan2018'!AI103,($C$5*'Tariffs Jan2018'!AK103/'Tariffs Jan2018'!AI103*'Tariffs Jan2018'!O103/100)* 'Tariffs Jan2018'!AI103)</f>
        <v>345.48</v>
      </c>
      <c r="F109" s="59">
        <f>IF($C$5*'Tariffs Jan2018'!AK103/'Tariffs Jan2018'!AI103&lt;'Tariffs Jan2018'!J103,0,IF($C$5*'Tariffs Jan2018'!AK103/'Tariffs Jan2018'!AI103&lt;='Tariffs Jan2018'!K103,($C$5*'Tariffs Jan2018'!AK103/'Tariffs Jan2018'!AI103-'Tariffs Jan2018'!J103)*('Tariffs Jan2018'!P103/100)*'Tariffs Jan2018'!AI103,('Tariffs Jan2018'!K103-'Tariffs Jan2018'!J103)*('Tariffs Jan2018'!P103/100)*'Tariffs Jan2018'!AI103))</f>
        <v>246.36250199999995</v>
      </c>
      <c r="G109" s="59">
        <f>IF($C$5*'Tariffs Jan2018'!AK103/'Tariffs Jan2018'!AI103&lt;'Tariffs Jan2018'!K103,0,IF($C$5*'Tariffs Jan2018'!AK103/'Tariffs Jan2018'!AI103&lt;='Tariffs Jan2018'!L103,($C$5*'Tariffs Jan2018'!AK103/'Tariffs Jan2018'!AI103-'Tariffs Jan2018'!K103)*('Tariffs Jan2018'!Q103/100)*'Tariffs Jan2018'!AI103,('Tariffs Jan2018'!L103-'Tariffs Jan2018'!K103)*('Tariffs Jan2018'!Q103/100)*'Tariffs Jan2018'!AI103))</f>
        <v>0</v>
      </c>
      <c r="H109" s="59">
        <f>IF($C$5*'Tariffs Jan2018'!AK103/'Tariffs Jan2018'!AI103&lt;'Tariffs Jan2018'!L103,0,IF($C$5*'Tariffs Jan2018'!AK103/'Tariffs Jan2018'!AI103&lt;='Tariffs Jan2018'!M103,($C$5*'Tariffs Jan2018'!AK103/'Tariffs Jan2018'!AI103-'Tariffs Jan2018'!L103)*('Tariffs Jan2018'!R103/100)*'Tariffs Jan2018'!AI103,('Tariffs Jan2018'!M103-'Tariffs Jan2018'!L103)*('Tariffs Jan2018'!R103/100)*'Tariffs Jan2018'!AI103))</f>
        <v>0</v>
      </c>
      <c r="I109" s="59">
        <f>IF(($C$5*'Tariffs Jan2018'!AK103/'Tariffs Jan2018'!AI103&gt;'Tariffs Jan2018'!M103),($C$5*'Tariffs Jan2018'!AK103/'Tariffs Jan2018'!AI103-'Tariffs Jan2018'!M103)*'Tariffs Jan2018'!S103/100*'Tariffs Jan2018'!AI103,0)</f>
        <v>0</v>
      </c>
      <c r="J109" s="59">
        <f>IF($C$5*'Tariffs Jan2018'!AL103/'Tariffs Jan2018'!AJ103&gt;='Tariffs Jan2018'!J103,('Tariffs Jan2018'!J103*'Tariffs Jan2018'!U103/100)* 'Tariffs Jan2018'!AJ103,($C$5*'Tariffs Jan2018'!AL103/'Tariffs Jan2018'!AJ103*'Tariffs Jan2018'!U103/100)* 'Tariffs Jan2018'!AJ103)</f>
        <v>623.7600000000001</v>
      </c>
      <c r="K109" s="59">
        <f>IF($C$5*'Tariffs Jan2018'!AL103/'Tariffs Jan2018'!AJ103&lt;'Tariffs Jan2018'!J103,0,IF($C$5*'Tariffs Jan2018'!AL103/'Tariffs Jan2018'!AJ103&lt;='Tariffs Jan2018'!K103,($C$5*'Tariffs Jan2018'!AL103/'Tariffs Jan2018'!AJ103-'Tariffs Jan2018'!J103)*('Tariffs Jan2018'!V103/100)*'Tariffs Jan2018'!AJ103,('Tariffs Jan2018'!K103-'Tariffs Jan2018'!J103)*('Tariffs Jan2018'!V103/100)*'Tariffs Jan2018'!AJ103))</f>
        <v>356.49679799999996</v>
      </c>
      <c r="L109" s="59">
        <f>IF($C$5*'Tariffs Jan2018'!AL103/'Tariffs Jan2018'!AJ103&lt;'Tariffs Jan2018'!K103,0,IF($C$5*'Tariffs Jan2018'!AL103/'Tariffs Jan2018'!AJ103&lt;='Tariffs Jan2018'!L103,($C$5*'Tariffs Jan2018'!AL103/'Tariffs Jan2018'!AJ103-'Tariffs Jan2018'!K103)*('Tariffs Jan2018'!W103/100)*'Tariffs Jan2018'!AJ103,('Tariffs Jan2018'!L103-'Tariffs Jan2018'!K103)*('Tariffs Jan2018'!W103/100)*'Tariffs Jan2018'!AJ103))</f>
        <v>0</v>
      </c>
      <c r="M109" s="59">
        <f>IF($C$5*'Tariffs Jan2018'!AL103/'Tariffs Jan2018'!AJ103&lt;'Tariffs Jan2018'!L103,0,IF($C$5*'Tariffs Jan2018'!AL103/'Tariffs Jan2018'!AJ103&lt;='Tariffs Jan2018'!M103,($C$5*'Tariffs Jan2018'!AL103/'Tariffs Jan2018'!AJ103-'Tariffs Jan2018'!L103)*('Tariffs Jan2018'!X103/100)*'Tariffs Jan2018'!AJ103,('Tariffs Jan2018'!M103-'Tariffs Jan2018'!L103)*('Tariffs Jan2018'!X103/100)*'Tariffs Jan2018'!AJ103))</f>
        <v>0</v>
      </c>
      <c r="N109" s="59">
        <f>IF(($C$5*'Tariffs Jan2018'!AL103/'Tariffs Jan2018'!AJ103&gt;'Tariffs Jan2018'!M103),($C$5*'Tariffs Jan2018'!AL103/'Tariffs Jan2018'!AJ103-'Tariffs Jan2018'!M103)*'Tariffs Jan2018'!Y103/100*'Tariffs Jan2018'!AJ103,0)</f>
        <v>0</v>
      </c>
      <c r="O109" s="271">
        <f>SUM(E109:N109)</f>
        <v>1572.0993000000001</v>
      </c>
      <c r="P109" s="59">
        <f>D109+O109</f>
        <v>1873.6623000000002</v>
      </c>
      <c r="Q109" s="272">
        <f>P109*1.1</f>
        <v>2061.0285300000005</v>
      </c>
      <c r="R109" s="40">
        <f>'Tariffs Jan2018'!AM103</f>
        <v>0</v>
      </c>
      <c r="S109" s="40">
        <f>'Tariffs Jan2018'!AN103</f>
        <v>0</v>
      </c>
      <c r="T109" s="40">
        <f>'Tariffs Jan2018'!AO103</f>
        <v>0</v>
      </c>
      <c r="U109" s="40">
        <f>'Tariffs Jan2018'!AP103</f>
        <v>17</v>
      </c>
      <c r="V109" s="273">
        <f t="shared" si="15"/>
        <v>1873.6623000000002</v>
      </c>
      <c r="W109" s="273">
        <f>V109-(O109*U109/100)</f>
        <v>1606.4054190000002</v>
      </c>
      <c r="X109" s="272">
        <f>V109*1.1</f>
        <v>2061.0285300000005</v>
      </c>
      <c r="Y109" s="272">
        <f>W109*1.1</f>
        <v>1767.0459609000004</v>
      </c>
      <c r="Z109" s="274">
        <f>'Tariffs Jan2018'!AW103</f>
        <v>0</v>
      </c>
      <c r="AA109" s="274" t="str">
        <f>'Tariffs Jan2018'!AX103</f>
        <v>n</v>
      </c>
      <c r="AB109" s="275" t="str">
        <f>'Tariffs Jan2018'!BE103</f>
        <v>Y</v>
      </c>
      <c r="AC109" s="321"/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321"/>
    </row>
    <row r="110" spans="1:40" ht="14" thickBot="1" x14ac:dyDescent="0.2">
      <c r="A110" s="286" t="str">
        <f>'Tariffs Jan2018'!F104</f>
        <v>Amaysim</v>
      </c>
      <c r="B110" s="287" t="str">
        <f>'Tariffs Jan2018'!D104</f>
        <v>Ausnet Central 1</v>
      </c>
      <c r="C110" s="287" t="str">
        <f>'Tariffs Jan2018'!G104</f>
        <v>Gas 3</v>
      </c>
      <c r="D110" s="288">
        <f>365*'Tariffs Jan2018'!H104/100</f>
        <v>353.32</v>
      </c>
      <c r="E110" s="288">
        <f>IF($C$5*'Tariffs Jan2018'!AK104/'Tariffs Jan2018'!AI104&gt;='Tariffs Jan2018'!J104,( 'Tariffs Jan2018'!J104*'Tariffs Jan2018'!O104/100)* 'Tariffs Jan2018'!AI104,($C$5*'Tariffs Jan2018'!AK104/'Tariffs Jan2018'!AI104*'Tariffs Jan2018'!O104/100)* 'Tariffs Jan2018'!AI104)</f>
        <v>426</v>
      </c>
      <c r="F110" s="288">
        <f>IF($C$5*'Tariffs Jan2018'!AK104/'Tariffs Jan2018'!AI104&lt;'Tariffs Jan2018'!J104,0,IF($C$5*'Tariffs Jan2018'!AK104/'Tariffs Jan2018'!AI104&lt;='Tariffs Jan2018'!K104,($C$5*'Tariffs Jan2018'!AK104/'Tariffs Jan2018'!AI104-'Tariffs Jan2018'!J104)*('Tariffs Jan2018'!P104/100)*'Tariffs Jan2018'!AI104,('Tariffs Jan2018'!K104-'Tariffs Jan2018'!J104)*('Tariffs Jan2018'!P104/100)*'Tariffs Jan2018'!AI104))</f>
        <v>274.43594999999993</v>
      </c>
      <c r="G110" s="288">
        <f>IF($C$5*'Tariffs Jan2018'!AK104/'Tariffs Jan2018'!AI104&lt;'Tariffs Jan2018'!K104,0,IF($C$5*'Tariffs Jan2018'!AK104/'Tariffs Jan2018'!AI104&lt;='Tariffs Jan2018'!L104,($C$5*'Tariffs Jan2018'!AK104/'Tariffs Jan2018'!AI104-'Tariffs Jan2018'!K104)*('Tariffs Jan2018'!Q104/100)*'Tariffs Jan2018'!AI104,('Tariffs Jan2018'!L104-'Tariffs Jan2018'!K104)*('Tariffs Jan2018'!Q104/100)*'Tariffs Jan2018'!AI104))</f>
        <v>0</v>
      </c>
      <c r="H110" s="288">
        <f>IF($C$5*'Tariffs Jan2018'!AK104/'Tariffs Jan2018'!AI104&lt;'Tariffs Jan2018'!L104,0,IF($C$5*'Tariffs Jan2018'!AK104/'Tariffs Jan2018'!AI104&lt;='Tariffs Jan2018'!M104,($C$5*'Tariffs Jan2018'!AK104/'Tariffs Jan2018'!AI104-'Tariffs Jan2018'!L104)*('Tariffs Jan2018'!R104/100)*'Tariffs Jan2018'!AI104,('Tariffs Jan2018'!M104-'Tariffs Jan2018'!L104)*('Tariffs Jan2018'!R104/100)*'Tariffs Jan2018'!AI104))</f>
        <v>0</v>
      </c>
      <c r="I110" s="288">
        <f>IF(($C$5*'Tariffs Jan2018'!AK104/'Tariffs Jan2018'!AI104&gt;'Tariffs Jan2018'!M104),($C$5*'Tariffs Jan2018'!AK104/'Tariffs Jan2018'!AI104-'Tariffs Jan2018'!M104)*'Tariffs Jan2018'!S104/100*'Tariffs Jan2018'!AI104,0)</f>
        <v>0</v>
      </c>
      <c r="J110" s="288">
        <f>IF($C$5*'Tariffs Jan2018'!AL104/'Tariffs Jan2018'!AJ104&gt;='Tariffs Jan2018'!J104,('Tariffs Jan2018'!J104*'Tariffs Jan2018'!U104/100)* 'Tariffs Jan2018'!AJ104,($C$5*'Tariffs Jan2018'!AL104/'Tariffs Jan2018'!AJ104*'Tariffs Jan2018'!U104/100)* 'Tariffs Jan2018'!AJ104)</f>
        <v>600</v>
      </c>
      <c r="K110" s="288">
        <f>IF($C$5*'Tariffs Jan2018'!AL104/'Tariffs Jan2018'!AJ104&lt;'Tariffs Jan2018'!J104,0,IF($C$5*'Tariffs Jan2018'!AL104/'Tariffs Jan2018'!AJ104&lt;='Tariffs Jan2018'!K104,($C$5*'Tariffs Jan2018'!AL104/'Tariffs Jan2018'!AJ104-'Tariffs Jan2018'!J104)*('Tariffs Jan2018'!V104/100)*'Tariffs Jan2018'!AJ104,('Tariffs Jan2018'!K104-'Tariffs Jan2018'!J104)*('Tariffs Jan2018'!V104/100)*'Tariffs Jan2018'!AJ104))</f>
        <v>440.89709999999991</v>
      </c>
      <c r="L110" s="288">
        <f>IF($C$5*'Tariffs Jan2018'!AL104/'Tariffs Jan2018'!AJ104&lt;'Tariffs Jan2018'!K104,0,IF($C$5*'Tariffs Jan2018'!AL104/'Tariffs Jan2018'!AJ104&lt;='Tariffs Jan2018'!L104,($C$5*'Tariffs Jan2018'!AL104/'Tariffs Jan2018'!AJ104-'Tariffs Jan2018'!K104)*('Tariffs Jan2018'!W104/100)*'Tariffs Jan2018'!AJ104,('Tariffs Jan2018'!L104-'Tariffs Jan2018'!K104)*('Tariffs Jan2018'!W104/100)*'Tariffs Jan2018'!AJ104))</f>
        <v>0</v>
      </c>
      <c r="M110" s="288">
        <f>IF($C$5*'Tariffs Jan2018'!AL104/'Tariffs Jan2018'!AJ104&lt;'Tariffs Jan2018'!L104,0,IF($C$5*'Tariffs Jan2018'!AL104/'Tariffs Jan2018'!AJ104&lt;='Tariffs Jan2018'!M104,($C$5*'Tariffs Jan2018'!AL104/'Tariffs Jan2018'!AJ104-'Tariffs Jan2018'!L104)*('Tariffs Jan2018'!X104/100)*'Tariffs Jan2018'!AJ104,('Tariffs Jan2018'!M104-'Tariffs Jan2018'!L104)*('Tariffs Jan2018'!X104/100)*'Tariffs Jan2018'!AJ104))</f>
        <v>0</v>
      </c>
      <c r="N110" s="288">
        <f>IF(($C$5*'Tariffs Jan2018'!AL104/'Tariffs Jan2018'!AJ104&gt;'Tariffs Jan2018'!M104),($C$5*'Tariffs Jan2018'!AL104/'Tariffs Jan2018'!AJ104-'Tariffs Jan2018'!M104)*'Tariffs Jan2018'!Y104/100*'Tariffs Jan2018'!AJ104,0)</f>
        <v>0</v>
      </c>
      <c r="O110" s="289">
        <f>SUM(E110:N110)</f>
        <v>1741.33305</v>
      </c>
      <c r="P110" s="288">
        <f>D110+O110</f>
        <v>2094.6530499999999</v>
      </c>
      <c r="Q110" s="290">
        <f>P110*1.1</f>
        <v>2304.1183550000001</v>
      </c>
      <c r="R110" s="287">
        <f>'Tariffs Jan2018'!AM104</f>
        <v>0</v>
      </c>
      <c r="S110" s="287">
        <f>'Tariffs Jan2018'!AN104</f>
        <v>0</v>
      </c>
      <c r="T110" s="287">
        <f>'Tariffs Jan2018'!AO104</f>
        <v>28</v>
      </c>
      <c r="U110" s="287">
        <f>'Tariffs Jan2018'!AP104</f>
        <v>0</v>
      </c>
      <c r="V110" s="291">
        <f t="shared" si="15"/>
        <v>2094.6530499999999</v>
      </c>
      <c r="W110" s="291">
        <f>V110-(P110*T110/100)</f>
        <v>1508.1501960000001</v>
      </c>
      <c r="X110" s="290">
        <f>V110*1.1</f>
        <v>2304.1183550000001</v>
      </c>
      <c r="Y110" s="290">
        <f>W110*1.1</f>
        <v>1658.9652156000002</v>
      </c>
      <c r="Z110" s="292">
        <f>'Tariffs Jan2018'!AW104</f>
        <v>0</v>
      </c>
      <c r="AA110" s="292" t="str">
        <f>'Tariffs Jan2018'!AX104</f>
        <v>n</v>
      </c>
      <c r="AB110" s="293" t="str">
        <f>'Tariffs Jan2018'!BE104</f>
        <v>N</v>
      </c>
      <c r="AC110" s="321"/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</row>
    <row r="111" spans="1:40" x14ac:dyDescent="0.15">
      <c r="A111" s="321"/>
      <c r="B111" s="321"/>
      <c r="C111" s="321"/>
      <c r="D111" s="321"/>
      <c r="E111" s="321"/>
      <c r="F111" s="321"/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</row>
    <row r="112" spans="1:40" x14ac:dyDescent="0.15">
      <c r="A112" s="321"/>
      <c r="B112" s="321"/>
      <c r="C112" s="321"/>
      <c r="D112" s="321"/>
      <c r="E112" s="321"/>
      <c r="F112" s="321"/>
      <c r="G112" s="321"/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  <c r="T112" s="321"/>
      <c r="U112" s="321"/>
      <c r="V112" s="321"/>
      <c r="W112" s="321"/>
      <c r="X112" s="321"/>
      <c r="Y112" s="321"/>
      <c r="Z112" s="321"/>
      <c r="AA112" s="321"/>
      <c r="AB112" s="321"/>
      <c r="AC112" s="321"/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</row>
    <row r="113" spans="1:40" x14ac:dyDescent="0.15">
      <c r="A113" s="321"/>
      <c r="B113" s="321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321"/>
      <c r="X113" s="321"/>
      <c r="Y113" s="321"/>
      <c r="Z113" s="321"/>
      <c r="AA113" s="321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</row>
    <row r="114" spans="1:40" x14ac:dyDescent="0.15">
      <c r="A114" s="321"/>
      <c r="B114" s="321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</row>
    <row r="115" spans="1:40" x14ac:dyDescent="0.15">
      <c r="A115" s="321"/>
      <c r="B115" s="321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</row>
    <row r="116" spans="1:40" x14ac:dyDescent="0.15">
      <c r="A116" s="321"/>
      <c r="B116" s="321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</row>
    <row r="117" spans="1:40" x14ac:dyDescent="0.15">
      <c r="A117" s="321"/>
      <c r="B117" s="321"/>
      <c r="C117" s="321"/>
      <c r="D117" s="321"/>
      <c r="E117" s="321"/>
      <c r="F117" s="321"/>
      <c r="G117" s="321"/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</row>
    <row r="118" spans="1:40" x14ac:dyDescent="0.15">
      <c r="A118" s="321"/>
      <c r="B118" s="321"/>
      <c r="C118" s="321"/>
      <c r="D118" s="321"/>
      <c r="E118" s="321"/>
      <c r="F118" s="321"/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  <c r="T118" s="321"/>
      <c r="U118" s="321"/>
      <c r="V118" s="321"/>
      <c r="W118" s="321"/>
      <c r="X118" s="321"/>
      <c r="Y118" s="321"/>
      <c r="Z118" s="321"/>
      <c r="AA118" s="321"/>
      <c r="AB118" s="321"/>
      <c r="AC118" s="321"/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</row>
    <row r="119" spans="1:40" x14ac:dyDescent="0.15">
      <c r="A119" s="321"/>
      <c r="B119" s="321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321"/>
      <c r="X119" s="321"/>
      <c r="Y119" s="321"/>
      <c r="Z119" s="321"/>
      <c r="AA119" s="321"/>
      <c r="AB119" s="321"/>
      <c r="AC119" s="321"/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</row>
    <row r="120" spans="1:40" x14ac:dyDescent="0.15">
      <c r="A120" s="321"/>
      <c r="B120" s="321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  <c r="T120" s="321"/>
      <c r="U120" s="321"/>
      <c r="V120" s="321"/>
      <c r="W120" s="321"/>
      <c r="X120" s="321"/>
      <c r="Y120" s="321"/>
      <c r="Z120" s="321"/>
      <c r="AA120" s="321"/>
      <c r="AB120" s="321"/>
      <c r="AC120" s="321"/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</row>
    <row r="121" spans="1:40" x14ac:dyDescent="0.15">
      <c r="A121" s="321"/>
      <c r="B121" s="321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  <c r="T121" s="321"/>
      <c r="U121" s="321"/>
      <c r="V121" s="321"/>
      <c r="W121" s="321"/>
      <c r="X121" s="321"/>
      <c r="Y121" s="321"/>
      <c r="Z121" s="321"/>
      <c r="AA121" s="321"/>
      <c r="AB121" s="321"/>
      <c r="AC121" s="321"/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</row>
    <row r="122" spans="1:40" x14ac:dyDescent="0.15">
      <c r="A122" s="321"/>
      <c r="B122" s="321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</row>
    <row r="123" spans="1:40" x14ac:dyDescent="0.15">
      <c r="A123" s="321"/>
      <c r="B123" s="321"/>
      <c r="C123" s="321"/>
      <c r="D123" s="321"/>
      <c r="E123" s="321"/>
      <c r="F123" s="321"/>
      <c r="G123" s="321"/>
      <c r="H123" s="321"/>
      <c r="I123" s="321"/>
      <c r="J123" s="321"/>
      <c r="K123" s="321"/>
      <c r="L123" s="321"/>
      <c r="M123" s="321"/>
      <c r="N123" s="321"/>
      <c r="O123" s="321"/>
      <c r="P123" s="321"/>
      <c r="Q123" s="321"/>
      <c r="R123" s="321"/>
      <c r="S123" s="321"/>
      <c r="T123" s="321"/>
      <c r="U123" s="321"/>
      <c r="V123" s="321"/>
      <c r="W123" s="321"/>
      <c r="X123" s="321"/>
      <c r="Y123" s="321"/>
      <c r="Z123" s="321"/>
      <c r="AA123" s="321"/>
      <c r="AB123" s="321"/>
      <c r="AC123" s="321"/>
      <c r="AD123" s="321"/>
      <c r="AE123" s="321"/>
      <c r="AF123" s="321"/>
      <c r="AG123" s="321"/>
      <c r="AH123" s="321"/>
      <c r="AI123" s="321"/>
      <c r="AJ123" s="321"/>
      <c r="AK123" s="321"/>
      <c r="AL123" s="321"/>
      <c r="AM123" s="321"/>
      <c r="AN123" s="321"/>
    </row>
    <row r="124" spans="1:40" x14ac:dyDescent="0.15">
      <c r="A124" s="321"/>
      <c r="B124" s="321"/>
      <c r="C124" s="321"/>
      <c r="D124" s="321"/>
      <c r="E124" s="321"/>
      <c r="F124" s="321"/>
      <c r="G124" s="321"/>
      <c r="H124" s="321"/>
      <c r="I124" s="321"/>
      <c r="J124" s="321"/>
      <c r="K124" s="321"/>
      <c r="L124" s="321"/>
      <c r="M124" s="321"/>
      <c r="N124" s="321"/>
      <c r="O124" s="321"/>
      <c r="P124" s="321"/>
      <c r="Q124" s="321"/>
      <c r="R124" s="321"/>
      <c r="S124" s="321"/>
      <c r="T124" s="321"/>
      <c r="U124" s="321"/>
      <c r="V124" s="321"/>
      <c r="W124" s="321"/>
      <c r="X124" s="321"/>
      <c r="Y124" s="321"/>
      <c r="Z124" s="321"/>
      <c r="AA124" s="321"/>
      <c r="AB124" s="321"/>
      <c r="AC124" s="321"/>
      <c r="AD124" s="321"/>
      <c r="AE124" s="321"/>
      <c r="AF124" s="321"/>
      <c r="AG124" s="321"/>
      <c r="AH124" s="321"/>
      <c r="AI124" s="321"/>
      <c r="AJ124" s="321"/>
      <c r="AK124" s="321"/>
      <c r="AL124" s="321"/>
      <c r="AM124" s="321"/>
      <c r="AN124" s="321"/>
    </row>
    <row r="125" spans="1:40" x14ac:dyDescent="0.15">
      <c r="A125" s="321"/>
      <c r="B125" s="321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1"/>
      <c r="N125" s="321"/>
      <c r="O125" s="321"/>
      <c r="P125" s="321"/>
      <c r="Q125" s="321"/>
      <c r="R125" s="321"/>
      <c r="S125" s="321"/>
      <c r="T125" s="321"/>
      <c r="U125" s="321"/>
      <c r="V125" s="321"/>
      <c r="W125" s="321"/>
      <c r="X125" s="321"/>
      <c r="Y125" s="321"/>
      <c r="Z125" s="321"/>
      <c r="AA125" s="321"/>
      <c r="AB125" s="321"/>
      <c r="AC125" s="321"/>
      <c r="AD125" s="321"/>
      <c r="AE125" s="321"/>
      <c r="AF125" s="321"/>
      <c r="AG125" s="321"/>
      <c r="AH125" s="321"/>
      <c r="AI125" s="321"/>
      <c r="AJ125" s="321"/>
      <c r="AK125" s="321"/>
      <c r="AL125" s="321"/>
      <c r="AM125" s="321"/>
      <c r="AN125" s="321"/>
    </row>
    <row r="126" spans="1:40" x14ac:dyDescent="0.15">
      <c r="A126" s="321"/>
      <c r="B126" s="321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1"/>
      <c r="N126" s="321"/>
      <c r="O126" s="321"/>
      <c r="P126" s="321"/>
      <c r="Q126" s="321"/>
      <c r="R126" s="321"/>
      <c r="S126" s="321"/>
      <c r="T126" s="321"/>
      <c r="U126" s="321"/>
      <c r="V126" s="321"/>
      <c r="W126" s="321"/>
      <c r="X126" s="321"/>
      <c r="Y126" s="321"/>
      <c r="Z126" s="321"/>
      <c r="AA126" s="321"/>
      <c r="AB126" s="321"/>
      <c r="AC126" s="321"/>
      <c r="AD126" s="321"/>
      <c r="AE126" s="321"/>
      <c r="AF126" s="321"/>
      <c r="AG126" s="321"/>
      <c r="AH126" s="321"/>
      <c r="AI126" s="321"/>
      <c r="AJ126" s="321"/>
      <c r="AK126" s="321"/>
      <c r="AL126" s="321"/>
      <c r="AM126" s="321"/>
      <c r="AN126" s="321"/>
    </row>
    <row r="127" spans="1:40" x14ac:dyDescent="0.15">
      <c r="A127" s="321"/>
      <c r="B127" s="321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1"/>
      <c r="N127" s="321"/>
      <c r="O127" s="321"/>
      <c r="P127" s="321"/>
      <c r="Q127" s="321"/>
      <c r="R127" s="321"/>
      <c r="S127" s="321"/>
      <c r="T127" s="321"/>
      <c r="U127" s="321"/>
      <c r="V127" s="321"/>
      <c r="W127" s="321"/>
      <c r="X127" s="321"/>
      <c r="Y127" s="321"/>
      <c r="Z127" s="321"/>
      <c r="AA127" s="321"/>
      <c r="AB127" s="321"/>
      <c r="AC127" s="321"/>
      <c r="AD127" s="321"/>
      <c r="AE127" s="321"/>
      <c r="AF127" s="321"/>
      <c r="AG127" s="321"/>
      <c r="AH127" s="321"/>
      <c r="AI127" s="321"/>
      <c r="AJ127" s="321"/>
      <c r="AK127" s="321"/>
      <c r="AL127" s="321"/>
      <c r="AM127" s="321"/>
      <c r="AN127" s="321"/>
    </row>
    <row r="128" spans="1:40" x14ac:dyDescent="0.15">
      <c r="A128" s="321"/>
      <c r="B128" s="321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1"/>
      <c r="N128" s="321"/>
      <c r="O128" s="321"/>
      <c r="P128" s="321"/>
      <c r="Q128" s="321"/>
      <c r="R128" s="321"/>
      <c r="S128" s="321"/>
      <c r="T128" s="321"/>
      <c r="U128" s="321"/>
      <c r="V128" s="321"/>
      <c r="W128" s="321"/>
      <c r="X128" s="321"/>
      <c r="Y128" s="321"/>
      <c r="Z128" s="321"/>
      <c r="AA128" s="321"/>
      <c r="AB128" s="321"/>
      <c r="AC128" s="321"/>
      <c r="AD128" s="321"/>
      <c r="AE128" s="321"/>
      <c r="AF128" s="321"/>
      <c r="AG128" s="321"/>
      <c r="AH128" s="321"/>
      <c r="AI128" s="321"/>
      <c r="AJ128" s="321"/>
      <c r="AK128" s="321"/>
      <c r="AL128" s="321"/>
      <c r="AM128" s="321"/>
      <c r="AN128" s="321"/>
    </row>
    <row r="129" spans="1:40" x14ac:dyDescent="0.15">
      <c r="A129" s="321"/>
      <c r="B129" s="321"/>
      <c r="C129" s="321"/>
      <c r="D129" s="321"/>
      <c r="E129" s="321"/>
      <c r="F129" s="321"/>
      <c r="G129" s="321"/>
      <c r="H129" s="321"/>
      <c r="I129" s="321"/>
      <c r="J129" s="321"/>
      <c r="K129" s="321"/>
      <c r="L129" s="321"/>
      <c r="M129" s="321"/>
      <c r="N129" s="321"/>
      <c r="O129" s="321"/>
      <c r="P129" s="321"/>
      <c r="Q129" s="321"/>
      <c r="R129" s="321"/>
      <c r="S129" s="321"/>
      <c r="T129" s="321"/>
      <c r="U129" s="321"/>
      <c r="V129" s="321"/>
      <c r="W129" s="321"/>
      <c r="X129" s="321"/>
      <c r="Y129" s="321"/>
      <c r="Z129" s="321"/>
      <c r="AA129" s="321"/>
      <c r="AB129" s="321"/>
      <c r="AC129" s="321"/>
      <c r="AD129" s="321"/>
      <c r="AE129" s="321"/>
      <c r="AF129" s="321"/>
      <c r="AG129" s="321"/>
      <c r="AH129" s="321"/>
      <c r="AI129" s="321"/>
      <c r="AJ129" s="321"/>
      <c r="AK129" s="321"/>
      <c r="AL129" s="321"/>
      <c r="AM129" s="321"/>
      <c r="AN129" s="321"/>
    </row>
  </sheetData>
  <sheetProtection algorithmName="SHA-512" hashValue="ei+0g0Q5Wc1ocAWaGbJw0677xJ24NzCPxoBXHgwqJDnbQtkW4c5UsolZqGi4zu8dABSwbxroLzTWVAwpxDUETA==" saltValue="W0Szx7cmotuFKuN4F2VTIA==" spinCount="100000" sheet="1" objects="1" scenarios="1"/>
  <phoneticPr fontId="20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N115"/>
  <sheetViews>
    <sheetView workbookViewId="0">
      <selection activeCell="G88" sqref="G4:G88"/>
    </sheetView>
  </sheetViews>
  <sheetFormatPr baseColWidth="10" defaultColWidth="10.83203125" defaultRowHeight="13" x14ac:dyDescent="0.15"/>
  <cols>
    <col min="1" max="1" width="17.33203125" customWidth="1"/>
    <col min="2" max="2" width="17.1640625" customWidth="1"/>
    <col min="3" max="3" width="16.83203125" bestFit="1" customWidth="1"/>
    <col min="4" max="14" width="14.1640625" customWidth="1"/>
    <col min="15" max="15" width="12.33203125" hidden="1" customWidth="1"/>
    <col min="16" max="16" width="14.1640625" hidden="1" customWidth="1"/>
    <col min="17" max="21" width="14.1640625" customWidth="1"/>
    <col min="22" max="23" width="12.33203125" hidden="1" customWidth="1"/>
    <col min="24" max="27" width="14.1640625" customWidth="1"/>
    <col min="28" max="38" width="12.33203125" customWidth="1"/>
  </cols>
  <sheetData>
    <row r="1" spans="1:40" ht="14" x14ac:dyDescent="0.15">
      <c r="A1" s="316" t="s">
        <v>722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</row>
    <row r="2" spans="1:40" ht="14" x14ac:dyDescent="0.15">
      <c r="A2" s="318" t="s">
        <v>723</v>
      </c>
      <c r="B2" s="318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</row>
    <row r="3" spans="1:40" ht="15" thickBot="1" x14ac:dyDescent="0.2">
      <c r="A3" s="316"/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9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</row>
    <row r="4" spans="1:40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6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</row>
    <row r="5" spans="1:40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9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</row>
    <row r="6" spans="1:40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9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</row>
    <row r="7" spans="1:40" ht="75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493" t="s">
        <v>572</v>
      </c>
      <c r="P7" s="494" t="s">
        <v>573</v>
      </c>
      <c r="Q7" s="493" t="s">
        <v>574</v>
      </c>
      <c r="R7" s="495" t="s">
        <v>575</v>
      </c>
      <c r="S7" s="496" t="s">
        <v>576</v>
      </c>
      <c r="T7" s="496" t="s">
        <v>577</v>
      </c>
      <c r="U7" s="496" t="s">
        <v>578</v>
      </c>
      <c r="V7" s="497" t="s">
        <v>579</v>
      </c>
      <c r="W7" s="497" t="s">
        <v>580</v>
      </c>
      <c r="X7" s="497" t="s">
        <v>581</v>
      </c>
      <c r="Y7" s="497" t="s">
        <v>582</v>
      </c>
      <c r="Z7" s="498" t="s">
        <v>583</v>
      </c>
      <c r="AA7" s="499" t="s">
        <v>584</v>
      </c>
      <c r="AB7" s="500" t="s">
        <v>585</v>
      </c>
      <c r="AC7" s="317"/>
      <c r="AD7" s="317"/>
      <c r="AE7" s="317"/>
      <c r="AF7" s="317"/>
      <c r="AG7" s="317"/>
      <c r="AH7" s="317"/>
      <c r="AI7" s="317"/>
      <c r="AJ7" s="317"/>
      <c r="AK7" s="317"/>
      <c r="AL7" s="317"/>
      <c r="AM7" s="317"/>
      <c r="AN7" s="317"/>
    </row>
    <row r="8" spans="1:40" x14ac:dyDescent="0.15">
      <c r="A8" s="270" t="str">
        <f>'Tariffs Jul2017'!F2</f>
        <v>AGL</v>
      </c>
      <c r="B8" s="40" t="str">
        <f>'Tariffs Jul2017'!D2</f>
        <v>Multinet 1</v>
      </c>
      <c r="C8" s="40" t="str">
        <f>'Tariffs Jul2017'!G2</f>
        <v>Savers</v>
      </c>
      <c r="D8" s="59">
        <f>365*'Tariffs Jul2017'!H2/100</f>
        <v>270.57449999999994</v>
      </c>
      <c r="E8" s="59">
        <f>IF($C$5*'Tariffs Jul2017'!AK2/'Tariffs Jul2017'!AI2&gt;='Tariffs Jul2017'!J2,( 'Tariffs Jul2017'!J2*'Tariffs Jul2017'!O2/100)* 'Tariffs Jul2017'!AI2,($C$5*'Tariffs Jul2017'!AK2/'Tariffs Jul2017'!AI2*'Tariffs Jul2017'!O2/100)* 'Tariffs Jul2017'!AI2)</f>
        <v>208.35000000000002</v>
      </c>
      <c r="F8" s="59">
        <f>IF($C$5*'Tariffs Jul2017'!AK2/'Tariffs Jul2017'!AI2&lt;'Tariffs Jul2017'!J2,0,IF($C$5*'Tariffs Jul2017'!AK2/'Tariffs Jul2017'!AI2&lt;='Tariffs Jul2017'!K2,($C$5*'Tariffs Jul2017'!AK2/'Tariffs Jul2017'!AI2-'Tariffs Jul2017'!J2)*('Tariffs Jul2017'!P2/100)*'Tariffs Jul2017'!AI2,('Tariffs Jul2017'!K2-'Tariffs Jul2017'!J2)*('Tariffs Jul2017'!P2/100)*'Tariffs Jul2017'!AI2))</f>
        <v>181.17</v>
      </c>
      <c r="G8" s="59">
        <f>IF($C$5*'Tariffs Jul2017'!AK2/'Tariffs Jul2017'!AI2&lt;'Tariffs Jul2017'!K2,0,IF($C$5*'Tariffs Jul2017'!AK2/'Tariffs Jul2017'!AI2&lt;='Tariffs Jul2017'!L2,($C$5*'Tariffs Jul2017'!AK2/'Tariffs Jul2017'!AI2-'Tariffs Jul2017'!K2)*('Tariffs Jul2017'!Q2/100)*'Tariffs Jul2017'!AI2,('Tariffs Jul2017'!L2-'Tariffs Jul2017'!K2)*('Tariffs Jul2017'!Q2/100)*'Tariffs Jul2017'!AI2))</f>
        <v>144.36000000000001</v>
      </c>
      <c r="H8" s="59">
        <f>IF($C$5*'Tariffs Jul2017'!AK2/'Tariffs Jul2017'!AI2&lt;'Tariffs Jul2017'!L2,0,IF($C$5*'Tariffs Jul2017'!AK2/'Tariffs Jul2017'!AI2&lt;='Tariffs Jul2017'!M2,($C$5*'Tariffs Jul2017'!AK2/'Tariffs Jul2017'!AI2-'Tariffs Jul2017'!L2)*('Tariffs Jul2017'!R2/100)*'Tariffs Jul2017'!AI2,('Tariffs Jul2017'!M2-'Tariffs Jul2017'!L2)*('Tariffs Jul2017'!R2/100)*'Tariffs Jul2017'!AI2))</f>
        <v>62.414999999999999</v>
      </c>
      <c r="I8" s="59">
        <f>IF(($C$5*'Tariffs Jul2017'!AK2/'Tariffs Jul2017'!AI2&gt;'Tariffs Jul2017'!M2),($C$5*'Tariffs Jul2017'!AK2/'Tariffs Jul2017'!AI2-'Tariffs Jul2017'!M2)*'Tariffs Jul2017'!S2/100*'Tariffs Jul2017'!AI2,0)</f>
        <v>0</v>
      </c>
      <c r="J8" s="59">
        <f>IF($C$5*'Tariffs Jul2017'!AL2/'Tariffs Jul2017'!AJ2&gt;='Tariffs Jul2017'!J2,('Tariffs Jul2017'!J2*'Tariffs Jul2017'!U2/100)* 'Tariffs Jul2017'!AJ2,($C$5*'Tariffs Jul2017'!AL2/'Tariffs Jul2017'!AJ2*'Tariffs Jul2017'!U2/100)* 'Tariffs Jul2017'!AJ2)</f>
        <v>197.64000000000004</v>
      </c>
      <c r="K8" s="59">
        <f>IF($C$5*'Tariffs Jul2017'!AL2/'Tariffs Jul2017'!AJ2&lt;'Tariffs Jul2017'!J2,0,IF($C$5*'Tariffs Jul2017'!AL2/'Tariffs Jul2017'!AJ2&lt;='Tariffs Jul2017'!K2,($C$5*'Tariffs Jul2017'!AL2/'Tariffs Jul2017'!AJ2-'Tariffs Jul2017'!J2)*('Tariffs Jul2017'!V2/100)*'Tariffs Jul2017'!AJ2,('Tariffs Jul2017'!K2-'Tariffs Jul2017'!J2)*('Tariffs Jul2017'!V2/100)*'Tariffs Jul2017'!AJ2))</f>
        <v>170.64</v>
      </c>
      <c r="L8" s="59">
        <f>IF($C$5*'Tariffs Jul2017'!AL2/'Tariffs Jul2017'!AJ2&lt;'Tariffs Jul2017'!K2,0,IF($C$5*'Tariffs Jul2017'!AL2/'Tariffs Jul2017'!AJ2&lt;='Tariffs Jul2017'!L2,($C$5*'Tariffs Jul2017'!AL2/'Tariffs Jul2017'!AJ2-'Tariffs Jul2017'!K2)*('Tariffs Jul2017'!W2/100)*'Tariffs Jul2017'!AJ2,('Tariffs Jul2017'!L2-'Tariffs Jul2017'!K2)*('Tariffs Jul2017'!W2/100)*'Tariffs Jul2017'!AJ2))</f>
        <v>139.94999999999999</v>
      </c>
      <c r="M8" s="59">
        <f>IF($C$5*'Tariffs Jul2017'!AL2/'Tariffs Jul2017'!AJ2&lt;'Tariffs Jul2017'!L2,0,IF($C$5*'Tariffs Jul2017'!AL2/'Tariffs Jul2017'!AJ2&lt;='Tariffs Jul2017'!M2,($C$5*'Tariffs Jul2017'!AL2/'Tariffs Jul2017'!AJ2-'Tariffs Jul2017'!L2)*('Tariffs Jul2017'!X2/100)*'Tariffs Jul2017'!AJ2,('Tariffs Jul2017'!M2-'Tariffs Jul2017'!L2)*('Tariffs Jul2017'!X2/100)*'Tariffs Jul2017'!AJ2))</f>
        <v>61.605000000000004</v>
      </c>
      <c r="N8" s="59">
        <f>IF(($C$5*'Tariffs Jul2017'!AL2/'Tariffs Jul2017'!AJ2&gt;'Tariffs Jul2017'!M2),($C$5*'Tariffs Jul2017'!AL2/'Tariffs Jul2017'!AJ2-'Tariffs Jul2017'!M2)*'Tariffs Jul2017'!Y2/100*'Tariffs Jul2017'!AJ2,0)</f>
        <v>0</v>
      </c>
      <c r="O8" s="271">
        <f>SUM(E8:N8)</f>
        <v>1166.1299999999999</v>
      </c>
      <c r="P8" s="59">
        <f>D8+O8</f>
        <v>1436.7044999999998</v>
      </c>
      <c r="Q8" s="272">
        <f>P8*1.1</f>
        <v>1580.3749499999999</v>
      </c>
      <c r="R8" s="40">
        <f>'Tariffs Jul2017'!AM2</f>
        <v>0</v>
      </c>
      <c r="S8" s="40">
        <f>'Tariffs Jul2017'!AN2</f>
        <v>0</v>
      </c>
      <c r="T8" s="40">
        <f>'Tariffs Jul2017'!AO2</f>
        <v>0</v>
      </c>
      <c r="U8" s="40">
        <f>'Tariffs Jul2017'!AP2</f>
        <v>15</v>
      </c>
      <c r="V8" s="273">
        <f>P8</f>
        <v>1436.7044999999998</v>
      </c>
      <c r="W8" s="273">
        <f>V8-(O8*U8/100)</f>
        <v>1261.7849999999999</v>
      </c>
      <c r="X8" s="272">
        <f>V8*1.1</f>
        <v>1580.3749499999999</v>
      </c>
      <c r="Y8" s="272">
        <f>W8*1.1</f>
        <v>1387.9634999999998</v>
      </c>
      <c r="Z8" s="274">
        <f>'Tariffs Jul2017'!AW2</f>
        <v>0</v>
      </c>
      <c r="AA8" s="274" t="str">
        <f>'Tariffs Jul2017'!AX2</f>
        <v>n</v>
      </c>
      <c r="AB8" s="275" t="str">
        <f>'Tariffs Jul2017'!BD2</f>
        <v>N</v>
      </c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</row>
    <row r="9" spans="1:40" x14ac:dyDescent="0.15">
      <c r="A9" s="270" t="str">
        <f>'Tariffs Jul2017'!F3</f>
        <v>Alinta Energy</v>
      </c>
      <c r="B9" s="40" t="str">
        <f>'Tariffs Jul2017'!D3</f>
        <v>Multinet 1</v>
      </c>
      <c r="C9" s="40" t="str">
        <f>'Tariffs Jul2017'!G3</f>
        <v>Fair Deal</v>
      </c>
      <c r="D9" s="59">
        <f>365*'Tariffs Jul2017'!H3/100</f>
        <v>251.70399999999998</v>
      </c>
      <c r="E9" s="59">
        <f>IF($C$5*'Tariffs Jul2017'!AK3/'Tariffs Jul2017'!AI3&gt;='Tariffs Jul2017'!J3,( 'Tariffs Jul2017'!J3*'Tariffs Jul2017'!O3/100)* 'Tariffs Jul2017'!AI3,($C$5*'Tariffs Jul2017'!AK3/'Tariffs Jul2017'!AI3*'Tariffs Jul2017'!O3/100)* 'Tariffs Jul2017'!AI3)</f>
        <v>184.49999999999997</v>
      </c>
      <c r="F9" s="59">
        <f>IF($C$5*'Tariffs Jul2017'!AK3/'Tariffs Jul2017'!AI3&lt;'Tariffs Jul2017'!J3,0,IF($C$5*'Tariffs Jul2017'!AK3/'Tariffs Jul2017'!AI3&lt;='Tariffs Jul2017'!K3,($C$5*'Tariffs Jul2017'!AK3/'Tariffs Jul2017'!AI3-'Tariffs Jul2017'!J3)*('Tariffs Jul2017'!P3/100)*'Tariffs Jul2017'!AI3,('Tariffs Jul2017'!K3-'Tariffs Jul2017'!J3)*('Tariffs Jul2017'!P3/100)*'Tariffs Jul2017'!AI3))</f>
        <v>160.19999999999999</v>
      </c>
      <c r="G9" s="59">
        <f>IF($C$5*'Tariffs Jul2017'!AK3/'Tariffs Jul2017'!AI3&lt;'Tariffs Jul2017'!K3,0,IF($C$5*'Tariffs Jul2017'!AK3/'Tariffs Jul2017'!AI3&lt;='Tariffs Jul2017'!L3,($C$5*'Tariffs Jul2017'!AK3/'Tariffs Jul2017'!AI3-'Tariffs Jul2017'!K3)*('Tariffs Jul2017'!Q3/100)*'Tariffs Jul2017'!AI3,('Tariffs Jul2017'!L3-'Tariffs Jul2017'!K3)*('Tariffs Jul2017'!Q3/100)*'Tariffs Jul2017'!AI3))</f>
        <v>0</v>
      </c>
      <c r="H9" s="59">
        <f>IF($C$5*'Tariffs Jul2017'!AK3/'Tariffs Jul2017'!AI3&lt;'Tariffs Jul2017'!L3,0,IF($C$5*'Tariffs Jul2017'!AK3/'Tariffs Jul2017'!AI3&lt;='Tariffs Jul2017'!M3,($C$5*'Tariffs Jul2017'!AK3/'Tariffs Jul2017'!AI3-'Tariffs Jul2017'!L3)*('Tariffs Jul2017'!R3/100)*'Tariffs Jul2017'!AI3,('Tariffs Jul2017'!M3-'Tariffs Jul2017'!L3)*('Tariffs Jul2017'!R3/100)*'Tariffs Jul2017'!AI3))</f>
        <v>0</v>
      </c>
      <c r="I9" s="59">
        <f>IF(($C$5*'Tariffs Jul2017'!AK3/'Tariffs Jul2017'!AI3&gt;'Tariffs Jul2017'!M3),($C$5*'Tariffs Jul2017'!AK3/'Tariffs Jul2017'!AI3-'Tariffs Jul2017'!M3)*'Tariffs Jul2017'!S3/100*'Tariffs Jul2017'!AI3,0)</f>
        <v>194.39999999999998</v>
      </c>
      <c r="J9" s="59">
        <f>IF($C$5*'Tariffs Jul2017'!AL3/'Tariffs Jul2017'!AJ3&gt;='Tariffs Jul2017'!J3,('Tariffs Jul2017'!J3*'Tariffs Jul2017'!U3/100)* 'Tariffs Jul2017'!AJ3,($C$5*'Tariffs Jul2017'!AL3/'Tariffs Jul2017'!AJ3*'Tariffs Jul2017'!U3/100)* 'Tariffs Jul2017'!AJ3)</f>
        <v>179.10000000000002</v>
      </c>
      <c r="K9" s="59">
        <f>IF($C$5*'Tariffs Jul2017'!AL3/'Tariffs Jul2017'!AJ3&lt;'Tariffs Jul2017'!J3,0,IF($C$5*'Tariffs Jul2017'!AL3/'Tariffs Jul2017'!AJ3&lt;='Tariffs Jul2017'!K3,($C$5*'Tariffs Jul2017'!AL3/'Tariffs Jul2017'!AJ3-'Tariffs Jul2017'!J3)*('Tariffs Jul2017'!V3/100)*'Tariffs Jul2017'!AJ3,('Tariffs Jul2017'!K3-'Tariffs Jul2017'!J3)*('Tariffs Jul2017'!V3/100)*'Tariffs Jul2017'!AJ3))</f>
        <v>155.69999999999999</v>
      </c>
      <c r="L9" s="59">
        <f>IF($C$5*'Tariffs Jul2017'!AL3/'Tariffs Jul2017'!AJ3&lt;'Tariffs Jul2017'!K3,0,IF($C$5*'Tariffs Jul2017'!AL3/'Tariffs Jul2017'!AJ3&lt;='Tariffs Jul2017'!L3,($C$5*'Tariffs Jul2017'!AL3/'Tariffs Jul2017'!AJ3-'Tariffs Jul2017'!K3)*('Tariffs Jul2017'!W3/100)*'Tariffs Jul2017'!AJ3,('Tariffs Jul2017'!L3-'Tariffs Jul2017'!K3)*('Tariffs Jul2017'!W3/100)*'Tariffs Jul2017'!AJ3))</f>
        <v>0</v>
      </c>
      <c r="M9" s="59">
        <f>IF($C$5*'Tariffs Jul2017'!AL3/'Tariffs Jul2017'!AJ3&lt;'Tariffs Jul2017'!L3,0,IF($C$5*'Tariffs Jul2017'!AL3/'Tariffs Jul2017'!AJ3&lt;='Tariffs Jul2017'!M3,($C$5*'Tariffs Jul2017'!AL3/'Tariffs Jul2017'!AJ3-'Tariffs Jul2017'!L3)*('Tariffs Jul2017'!X3/100)*'Tariffs Jul2017'!AJ3,('Tariffs Jul2017'!M3-'Tariffs Jul2017'!L3)*('Tariffs Jul2017'!X3/100)*'Tariffs Jul2017'!AJ3))</f>
        <v>0</v>
      </c>
      <c r="N9" s="59">
        <f>IF(($C$5*'Tariffs Jul2017'!AL3/'Tariffs Jul2017'!AJ3&gt;'Tariffs Jul2017'!M3),($C$5*'Tariffs Jul2017'!AL3/'Tariffs Jul2017'!AJ3-'Tariffs Jul2017'!M3)*'Tariffs Jul2017'!Y3/100*'Tariffs Jul2017'!AJ3,0)</f>
        <v>193.04999999999998</v>
      </c>
      <c r="O9" s="271">
        <f t="shared" ref="O9:O72" si="0">SUM(E9:N9)</f>
        <v>1066.9499999999998</v>
      </c>
      <c r="P9" s="59">
        <f t="shared" ref="P9:P72" si="1">D9+O9</f>
        <v>1318.6539999999998</v>
      </c>
      <c r="Q9" s="272">
        <f t="shared" ref="Q9:Q72" si="2">P9*1.1</f>
        <v>1450.5193999999999</v>
      </c>
      <c r="R9" s="40">
        <f>'Tariffs Jul2017'!AM3</f>
        <v>0</v>
      </c>
      <c r="S9" s="40">
        <f>'Tariffs Jul2017'!AN3</f>
        <v>0</v>
      </c>
      <c r="T9" s="40">
        <f>'Tariffs Jul2017'!AO3</f>
        <v>0</v>
      </c>
      <c r="U9" s="40">
        <f>'Tariffs Jul2017'!AP3</f>
        <v>25</v>
      </c>
      <c r="V9" s="273">
        <f t="shared" ref="V9:V72" si="3">P9</f>
        <v>1318.6539999999998</v>
      </c>
      <c r="W9" s="273">
        <f>V9-(O9*U9/100)</f>
        <v>1051.9164999999998</v>
      </c>
      <c r="X9" s="272">
        <f t="shared" ref="X9:Y72" si="4">V9*1.1</f>
        <v>1450.5193999999999</v>
      </c>
      <c r="Y9" s="272">
        <f t="shared" si="4"/>
        <v>1157.1081499999998</v>
      </c>
      <c r="Z9" s="274">
        <f>'Tariffs Jul2017'!AW3</f>
        <v>0</v>
      </c>
      <c r="AA9" s="274" t="str">
        <f>'Tariffs Jul2017'!AX3</f>
        <v>n</v>
      </c>
      <c r="AB9" s="275" t="str">
        <f>'Tariffs Jul2017'!BD3</f>
        <v>N</v>
      </c>
      <c r="AC9" s="317"/>
      <c r="AD9" s="317"/>
      <c r="AE9" s="317"/>
      <c r="AF9" s="317"/>
      <c r="AG9" s="317"/>
      <c r="AH9" s="317"/>
      <c r="AI9" s="317"/>
      <c r="AJ9" s="317"/>
      <c r="AK9" s="317"/>
      <c r="AL9" s="317"/>
      <c r="AM9" s="317"/>
      <c r="AN9" s="317"/>
    </row>
    <row r="10" spans="1:40" x14ac:dyDescent="0.15">
      <c r="A10" s="270" t="str">
        <f>'Tariffs Jul2017'!F4</f>
        <v>Click Energy</v>
      </c>
      <c r="B10" s="40" t="str">
        <f>'Tariffs Jul2017'!D4</f>
        <v>Multinet 1</v>
      </c>
      <c r="C10" s="40" t="str">
        <f>'Tariffs Jul2017'!G4</f>
        <v>Amber</v>
      </c>
      <c r="D10" s="59">
        <f>365*'Tariffs Jul2017'!H4/100</f>
        <v>285.06499999999994</v>
      </c>
      <c r="E10" s="59">
        <f>IF($C$5*'Tariffs Jul2017'!AK4/'Tariffs Jul2017'!AI4&gt;='Tariffs Jul2017'!J4,( 'Tariffs Jul2017'!J4*'Tariffs Jul2017'!O4/100)* 'Tariffs Jul2017'!AI4,($C$5*'Tariffs Jul2017'!AK4/'Tariffs Jul2017'!AI4*'Tariffs Jul2017'!O4/100)* 'Tariffs Jul2017'!AI4)</f>
        <v>238.5</v>
      </c>
      <c r="F10" s="59">
        <f>IF($C$5*'Tariffs Jul2017'!AK4/'Tariffs Jul2017'!AI4&lt;'Tariffs Jul2017'!J4,0,IF($C$5*'Tariffs Jul2017'!AK4/'Tariffs Jul2017'!AI4&lt;='Tariffs Jul2017'!K4,($C$5*'Tariffs Jul2017'!AK4/'Tariffs Jul2017'!AI4-'Tariffs Jul2017'!J4)*('Tariffs Jul2017'!P4/100)*'Tariffs Jul2017'!AI4,('Tariffs Jul2017'!K4-'Tariffs Jul2017'!J4)*('Tariffs Jul2017'!P4/100)*'Tariffs Jul2017'!AI4))</f>
        <v>202.5</v>
      </c>
      <c r="G10" s="59">
        <f>IF($C$5*'Tariffs Jul2017'!AK4/'Tariffs Jul2017'!AI4&lt;'Tariffs Jul2017'!K4,0,IF($C$5*'Tariffs Jul2017'!AK4/'Tariffs Jul2017'!AI4&lt;='Tariffs Jul2017'!L4,($C$5*'Tariffs Jul2017'!AK4/'Tariffs Jul2017'!AI4-'Tariffs Jul2017'!K4)*('Tariffs Jul2017'!Q4/100)*'Tariffs Jul2017'!AI4,('Tariffs Jul2017'!L4-'Tariffs Jul2017'!K4)*('Tariffs Jul2017'!Q4/100)*'Tariffs Jul2017'!AI4))</f>
        <v>166.50000000000003</v>
      </c>
      <c r="H10" s="59">
        <f>IF($C$5*'Tariffs Jul2017'!AK4/'Tariffs Jul2017'!AI4&lt;'Tariffs Jul2017'!L4,0,IF($C$5*'Tariffs Jul2017'!AK4/'Tariffs Jul2017'!AI4&lt;='Tariffs Jul2017'!M4,($C$5*'Tariffs Jul2017'!AK4/'Tariffs Jul2017'!AI4-'Tariffs Jul2017'!L4)*('Tariffs Jul2017'!R4/100)*'Tariffs Jul2017'!AI4,('Tariffs Jul2017'!M4-'Tariffs Jul2017'!L4)*('Tariffs Jul2017'!R4/100)*'Tariffs Jul2017'!AI4))</f>
        <v>74.25</v>
      </c>
      <c r="I10" s="59">
        <f>IF(($C$5*'Tariffs Jul2017'!AK4/'Tariffs Jul2017'!AI4&gt;'Tariffs Jul2017'!M4),($C$5*'Tariffs Jul2017'!AK4/'Tariffs Jul2017'!AI4-'Tariffs Jul2017'!M4)*'Tariffs Jul2017'!S4/100*'Tariffs Jul2017'!AI4,0)</f>
        <v>0</v>
      </c>
      <c r="J10" s="59">
        <f>IF($C$5*'Tariffs Jul2017'!AL4/'Tariffs Jul2017'!AJ4&gt;='Tariffs Jul2017'!J4,('Tariffs Jul2017'!J4*'Tariffs Jul2017'!U4/100)* 'Tariffs Jul2017'!AJ4,($C$5*'Tariffs Jul2017'!AL4/'Tariffs Jul2017'!AJ4*'Tariffs Jul2017'!U4/100)* 'Tariffs Jul2017'!AJ4)</f>
        <v>229.49999999999994</v>
      </c>
      <c r="K10" s="59">
        <f>IF($C$5*'Tariffs Jul2017'!AL4/'Tariffs Jul2017'!AJ4&lt;'Tariffs Jul2017'!J4,0,IF($C$5*'Tariffs Jul2017'!AL4/'Tariffs Jul2017'!AJ4&lt;='Tariffs Jul2017'!K4,($C$5*'Tariffs Jul2017'!AL4/'Tariffs Jul2017'!AJ4-'Tariffs Jul2017'!J4)*('Tariffs Jul2017'!V4/100)*'Tariffs Jul2017'!AJ4,('Tariffs Jul2017'!K4-'Tariffs Jul2017'!J4)*('Tariffs Jul2017'!V4/100)*'Tariffs Jul2017'!AJ4))</f>
        <v>198</v>
      </c>
      <c r="L10" s="59">
        <f>IF($C$5*'Tariffs Jul2017'!AL4/'Tariffs Jul2017'!AJ4&lt;'Tariffs Jul2017'!K4,0,IF($C$5*'Tariffs Jul2017'!AL4/'Tariffs Jul2017'!AJ4&lt;='Tariffs Jul2017'!L4,($C$5*'Tariffs Jul2017'!AL4/'Tariffs Jul2017'!AJ4-'Tariffs Jul2017'!K4)*('Tariffs Jul2017'!W4/100)*'Tariffs Jul2017'!AJ4,('Tariffs Jul2017'!L4-'Tariffs Jul2017'!K4)*('Tariffs Jul2017'!W4/100)*'Tariffs Jul2017'!AJ4))</f>
        <v>162.00000000000003</v>
      </c>
      <c r="M10" s="59">
        <f>IF($C$5*'Tariffs Jul2017'!AL4/'Tariffs Jul2017'!AJ4&lt;'Tariffs Jul2017'!L4,0,IF($C$5*'Tariffs Jul2017'!AL4/'Tariffs Jul2017'!AJ4&lt;='Tariffs Jul2017'!M4,($C$5*'Tariffs Jul2017'!AL4/'Tariffs Jul2017'!AJ4-'Tariffs Jul2017'!L4)*('Tariffs Jul2017'!X4/100)*'Tariffs Jul2017'!AJ4,('Tariffs Jul2017'!M4-'Tariffs Jul2017'!L4)*('Tariffs Jul2017'!X4/100)*'Tariffs Jul2017'!AJ4))</f>
        <v>74.25</v>
      </c>
      <c r="N10" s="59">
        <f>IF(($C$5*'Tariffs Jul2017'!AL4/'Tariffs Jul2017'!AJ4&gt;'Tariffs Jul2017'!M4),($C$5*'Tariffs Jul2017'!AL4/'Tariffs Jul2017'!AJ4-'Tariffs Jul2017'!M4)*'Tariffs Jul2017'!Y4/100*'Tariffs Jul2017'!AJ4,0)</f>
        <v>0</v>
      </c>
      <c r="O10" s="271">
        <f t="shared" si="0"/>
        <v>1345.5</v>
      </c>
      <c r="P10" s="59">
        <f t="shared" si="1"/>
        <v>1630.5650000000001</v>
      </c>
      <c r="Q10" s="272">
        <f t="shared" si="2"/>
        <v>1793.6215000000002</v>
      </c>
      <c r="R10" s="40">
        <f>'Tariffs Jul2017'!AM4</f>
        <v>0</v>
      </c>
      <c r="S10" s="40">
        <f>'Tariffs Jul2017'!AN4</f>
        <v>0</v>
      </c>
      <c r="T10" s="40">
        <f>'Tariffs Jul2017'!AO4</f>
        <v>14</v>
      </c>
      <c r="U10" s="40">
        <f>'Tariffs Jul2017'!AP4</f>
        <v>0</v>
      </c>
      <c r="V10" s="273">
        <f t="shared" si="3"/>
        <v>1630.5650000000001</v>
      </c>
      <c r="W10" s="273">
        <f>V10-(P10*T10/100)</f>
        <v>1402.2859000000001</v>
      </c>
      <c r="X10" s="272">
        <f t="shared" si="4"/>
        <v>1793.6215000000002</v>
      </c>
      <c r="Y10" s="272">
        <f t="shared" si="4"/>
        <v>1542.5144900000003</v>
      </c>
      <c r="Z10" s="274">
        <f>'Tariffs Jul2017'!AW4</f>
        <v>0</v>
      </c>
      <c r="AA10" s="274" t="str">
        <f>'Tariffs Jul2017'!AX4</f>
        <v>n</v>
      </c>
      <c r="AB10" s="275" t="str">
        <f>'Tariffs Jul2017'!BD4</f>
        <v>N</v>
      </c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</row>
    <row r="11" spans="1:40" x14ac:dyDescent="0.15">
      <c r="A11" s="270" t="str">
        <f>'Tariffs Jul2017'!F5</f>
        <v>Covau</v>
      </c>
      <c r="B11" s="40" t="str">
        <f>'Tariffs Jul2017'!D5</f>
        <v>Multinet 1</v>
      </c>
      <c r="C11" s="40" t="str">
        <f>'Tariffs Jul2017'!G5</f>
        <v>Market offer</v>
      </c>
      <c r="D11" s="59">
        <f>365*'Tariffs Jul2017'!H5/100</f>
        <v>255.5</v>
      </c>
      <c r="E11" s="59">
        <f>IF($C$5*'Tariffs Jul2017'!AK5/'Tariffs Jul2017'!AI5&gt;='Tariffs Jul2017'!J5,( 'Tariffs Jul2017'!J5*'Tariffs Jul2017'!O5/100)* 'Tariffs Jul2017'!AI5,($C$5*'Tariffs Jul2017'!AK5/'Tariffs Jul2017'!AI5*'Tariffs Jul2017'!O5/100)* 'Tariffs Jul2017'!AI5)</f>
        <v>302.39999999999998</v>
      </c>
      <c r="F11" s="59">
        <f>IF($C$5*'Tariffs Jul2017'!AK5/'Tariffs Jul2017'!AI5&lt;'Tariffs Jul2017'!J5,0,IF($C$5*'Tariffs Jul2017'!AK5/'Tariffs Jul2017'!AI5&lt;='Tariffs Jul2017'!K5,($C$5*'Tariffs Jul2017'!AK5/'Tariffs Jul2017'!AI5-'Tariffs Jul2017'!J5)*('Tariffs Jul2017'!P5/100)*'Tariffs Jul2017'!AI5,('Tariffs Jul2017'!K5-'Tariffs Jul2017'!J5)*('Tariffs Jul2017'!P5/100)*'Tariffs Jul2017'!AI5))</f>
        <v>525.59999999999991</v>
      </c>
      <c r="G11" s="59">
        <f>IF($C$5*'Tariffs Jul2017'!AK5/'Tariffs Jul2017'!AI5&lt;'Tariffs Jul2017'!K5,0,IF($C$5*'Tariffs Jul2017'!AK5/'Tariffs Jul2017'!AI5&lt;='Tariffs Jul2017'!L5,($C$5*'Tariffs Jul2017'!AK5/'Tariffs Jul2017'!AI5-'Tariffs Jul2017'!K5)*('Tariffs Jul2017'!Q5/100)*'Tariffs Jul2017'!AI5,('Tariffs Jul2017'!L5-'Tariffs Jul2017'!K5)*('Tariffs Jul2017'!Q5/100)*'Tariffs Jul2017'!AI5))</f>
        <v>99</v>
      </c>
      <c r="H11" s="59">
        <f>IF($C$5*'Tariffs Jul2017'!AK5/'Tariffs Jul2017'!AI5&lt;'Tariffs Jul2017'!L5,0,IF($C$5*'Tariffs Jul2017'!AK5/'Tariffs Jul2017'!AI5&lt;='Tariffs Jul2017'!M5,($C$5*'Tariffs Jul2017'!AK5/'Tariffs Jul2017'!AI5-'Tariffs Jul2017'!L5)*('Tariffs Jul2017'!R5/100)*'Tariffs Jul2017'!AI5,('Tariffs Jul2017'!M5-'Tariffs Jul2017'!L5)*('Tariffs Jul2017'!R5/100)*'Tariffs Jul2017'!AI5))</f>
        <v>0</v>
      </c>
      <c r="I11" s="59">
        <f>IF(($C$5*'Tariffs Jul2017'!AK5/'Tariffs Jul2017'!AI5&gt;'Tariffs Jul2017'!M5),($C$5*'Tariffs Jul2017'!AK5/'Tariffs Jul2017'!AI5-'Tariffs Jul2017'!M5)*'Tariffs Jul2017'!S5/100*'Tariffs Jul2017'!AI5,0)</f>
        <v>0</v>
      </c>
      <c r="J11" s="59">
        <f>IF($C$5*'Tariffs Jul2017'!AL5/'Tariffs Jul2017'!AJ5&gt;='Tariffs Jul2017'!J5,('Tariffs Jul2017'!J5*'Tariffs Jul2017'!U5/100)* 'Tariffs Jul2017'!AJ5,($C$5*'Tariffs Jul2017'!AL5/'Tariffs Jul2017'!AJ5*'Tariffs Jul2017'!U5/100)* 'Tariffs Jul2017'!AJ5)</f>
        <v>242.10000000000002</v>
      </c>
      <c r="K11" s="59">
        <f>IF($C$5*'Tariffs Jul2017'!AL5/'Tariffs Jul2017'!AJ5&lt;'Tariffs Jul2017'!J5,0,IF($C$5*'Tariffs Jul2017'!AL5/'Tariffs Jul2017'!AJ5&lt;='Tariffs Jul2017'!K5,($C$5*'Tariffs Jul2017'!AL5/'Tariffs Jul2017'!AJ5-'Tariffs Jul2017'!J5)*('Tariffs Jul2017'!V5/100)*'Tariffs Jul2017'!AJ5,('Tariffs Jul2017'!K5-'Tariffs Jul2017'!J5)*('Tariffs Jul2017'!V5/100)*'Tariffs Jul2017'!AJ5))</f>
        <v>414</v>
      </c>
      <c r="L11" s="59">
        <f>IF($C$5*'Tariffs Jul2017'!AL5/'Tariffs Jul2017'!AJ5&lt;'Tariffs Jul2017'!K5,0,IF($C$5*'Tariffs Jul2017'!AL5/'Tariffs Jul2017'!AJ5&lt;='Tariffs Jul2017'!L5,($C$5*'Tariffs Jul2017'!AL5/'Tariffs Jul2017'!AJ5-'Tariffs Jul2017'!K5)*('Tariffs Jul2017'!W5/100)*'Tariffs Jul2017'!AJ5,('Tariffs Jul2017'!L5-'Tariffs Jul2017'!K5)*('Tariffs Jul2017'!W5/100)*'Tariffs Jul2017'!AJ5))</f>
        <v>87.75</v>
      </c>
      <c r="M11" s="59">
        <f>IF($C$5*'Tariffs Jul2017'!AL5/'Tariffs Jul2017'!AJ5&lt;'Tariffs Jul2017'!L5,0,IF($C$5*'Tariffs Jul2017'!AL5/'Tariffs Jul2017'!AJ5&lt;='Tariffs Jul2017'!M5,($C$5*'Tariffs Jul2017'!AL5/'Tariffs Jul2017'!AJ5-'Tariffs Jul2017'!L5)*('Tariffs Jul2017'!X5/100)*'Tariffs Jul2017'!AJ5,('Tariffs Jul2017'!M5-'Tariffs Jul2017'!L5)*('Tariffs Jul2017'!X5/100)*'Tariffs Jul2017'!AJ5))</f>
        <v>0</v>
      </c>
      <c r="N11" s="59">
        <f>IF(($C$5*'Tariffs Jul2017'!AL5/'Tariffs Jul2017'!AJ5&gt;'Tariffs Jul2017'!M5),($C$5*'Tariffs Jul2017'!AL5/'Tariffs Jul2017'!AJ5-'Tariffs Jul2017'!M5)*'Tariffs Jul2017'!Y5/100*'Tariffs Jul2017'!AJ5,0)</f>
        <v>0</v>
      </c>
      <c r="O11" s="271">
        <f t="shared" si="0"/>
        <v>1670.85</v>
      </c>
      <c r="P11" s="59">
        <f t="shared" si="1"/>
        <v>1926.35</v>
      </c>
      <c r="Q11" s="272">
        <f t="shared" si="2"/>
        <v>2118.9850000000001</v>
      </c>
      <c r="R11" s="40">
        <f>'Tariffs Jul2017'!AM5</f>
        <v>0</v>
      </c>
      <c r="S11" s="40">
        <f>'Tariffs Jul2017'!AN5</f>
        <v>0</v>
      </c>
      <c r="T11" s="40">
        <f>'Tariffs Jul2017'!AO5</f>
        <v>0</v>
      </c>
      <c r="U11" s="40">
        <f>'Tariffs Jul2017'!AP5</f>
        <v>16</v>
      </c>
      <c r="V11" s="273">
        <f t="shared" si="3"/>
        <v>1926.35</v>
      </c>
      <c r="W11" s="273">
        <f>V11-(O11*U11/100)</f>
        <v>1659.0139999999999</v>
      </c>
      <c r="X11" s="272">
        <f t="shared" si="4"/>
        <v>2118.9850000000001</v>
      </c>
      <c r="Y11" s="272">
        <f t="shared" si="4"/>
        <v>1824.9154000000001</v>
      </c>
      <c r="Z11" s="274">
        <f>'Tariffs Jul2017'!AW5</f>
        <v>12</v>
      </c>
      <c r="AA11" s="274" t="str">
        <f>'Tariffs Jul2017'!AX5</f>
        <v>y</v>
      </c>
      <c r="AB11" s="275" t="str">
        <f>'Tariffs Jul2017'!BD5</f>
        <v>N</v>
      </c>
      <c r="AC11" s="317"/>
      <c r="AD11" s="317"/>
      <c r="AE11" s="317"/>
      <c r="AF11" s="317"/>
      <c r="AG11" s="317"/>
      <c r="AH11" s="317"/>
      <c r="AI11" s="317"/>
      <c r="AJ11" s="317"/>
      <c r="AK11" s="317"/>
      <c r="AL11" s="317"/>
      <c r="AM11" s="317"/>
      <c r="AN11" s="317"/>
    </row>
    <row r="12" spans="1:40" x14ac:dyDescent="0.15">
      <c r="A12" s="270" t="str">
        <f>'Tariffs Jul2017'!F6</f>
        <v>Dodo Power &amp; Gas</v>
      </c>
      <c r="B12" s="40" t="str">
        <f>'Tariffs Jul2017'!D6</f>
        <v>Multinet 1</v>
      </c>
      <c r="C12" s="40" t="str">
        <f>'Tariffs Jul2017'!G6</f>
        <v>Market offer</v>
      </c>
      <c r="D12" s="59">
        <f>365*'Tariffs Jul2017'!H6/100</f>
        <v>224.80350000000001</v>
      </c>
      <c r="E12" s="59">
        <f>IF($C$5*'Tariffs Jul2017'!AK6/'Tariffs Jul2017'!AI6&gt;='Tariffs Jul2017'!J6,( 'Tariffs Jul2017'!J6*'Tariffs Jul2017'!O6/100)* 'Tariffs Jul2017'!AI6,($C$5*'Tariffs Jul2017'!AK6/'Tariffs Jul2017'!AI6*'Tariffs Jul2017'!O6/100)* 'Tariffs Jul2017'!AI6)</f>
        <v>397.79999999999995</v>
      </c>
      <c r="F12" s="59">
        <f>IF($C$5*'Tariffs Jul2017'!AK6/'Tariffs Jul2017'!AI6&lt;'Tariffs Jul2017'!J6,0,IF($C$5*'Tariffs Jul2017'!AK6/'Tariffs Jul2017'!AI6&lt;='Tariffs Jul2017'!K6,($C$5*'Tariffs Jul2017'!AK6/'Tariffs Jul2017'!AI6-'Tariffs Jul2017'!J6)*('Tariffs Jul2017'!P6/100)*'Tariffs Jul2017'!AI6,('Tariffs Jul2017'!K6-'Tariffs Jul2017'!J6)*('Tariffs Jul2017'!P6/100)*'Tariffs Jul2017'!AI6))</f>
        <v>150.30000000000001</v>
      </c>
      <c r="G12" s="59">
        <f>IF($C$5*'Tariffs Jul2017'!AK6/'Tariffs Jul2017'!AI6&lt;'Tariffs Jul2017'!K6,0,IF($C$5*'Tariffs Jul2017'!AK6/'Tariffs Jul2017'!AI6&lt;='Tariffs Jul2017'!L6,($C$5*'Tariffs Jul2017'!AK6/'Tariffs Jul2017'!AI6-'Tariffs Jul2017'!K6)*('Tariffs Jul2017'!Q6/100)*'Tariffs Jul2017'!AI6,('Tariffs Jul2017'!L6-'Tariffs Jul2017'!K6)*('Tariffs Jul2017'!Q6/100)*'Tariffs Jul2017'!AI6))</f>
        <v>0</v>
      </c>
      <c r="H12" s="59">
        <f>IF($C$5*'Tariffs Jul2017'!AK6/'Tariffs Jul2017'!AI6&lt;'Tariffs Jul2017'!L6,0,IF($C$5*'Tariffs Jul2017'!AK6/'Tariffs Jul2017'!AI6&lt;='Tariffs Jul2017'!M6,($C$5*'Tariffs Jul2017'!AK6/'Tariffs Jul2017'!AI6-'Tariffs Jul2017'!L6)*('Tariffs Jul2017'!R6/100)*'Tariffs Jul2017'!AI6,('Tariffs Jul2017'!M6-'Tariffs Jul2017'!L6)*('Tariffs Jul2017'!R6/100)*'Tariffs Jul2017'!AI6))</f>
        <v>0</v>
      </c>
      <c r="I12" s="59">
        <f>IF(($C$5*'Tariffs Jul2017'!AK6/'Tariffs Jul2017'!AI6&gt;'Tariffs Jul2017'!M6),($C$5*'Tariffs Jul2017'!AK6/'Tariffs Jul2017'!AI6-'Tariffs Jul2017'!M6)*'Tariffs Jul2017'!S6/100*'Tariffs Jul2017'!AI6,0)</f>
        <v>59.849999999999994</v>
      </c>
      <c r="J12" s="59">
        <f>IF($C$5*'Tariffs Jul2017'!AL6/'Tariffs Jul2017'!AJ6&gt;='Tariffs Jul2017'!J6,('Tariffs Jul2017'!J6*'Tariffs Jul2017'!U6/100)* 'Tariffs Jul2017'!AJ6,($C$5*'Tariffs Jul2017'!AL6/'Tariffs Jul2017'!AJ6*'Tariffs Jul2017'!U6/100)* 'Tariffs Jul2017'!AJ6)</f>
        <v>376.20000000000005</v>
      </c>
      <c r="K12" s="59">
        <f>IF($C$5*'Tariffs Jul2017'!AL6/'Tariffs Jul2017'!AJ6&lt;'Tariffs Jul2017'!J6,0,IF($C$5*'Tariffs Jul2017'!AL6/'Tariffs Jul2017'!AJ6&lt;='Tariffs Jul2017'!K6,($C$5*'Tariffs Jul2017'!AL6/'Tariffs Jul2017'!AJ6-'Tariffs Jul2017'!J6)*('Tariffs Jul2017'!V6/100)*'Tariffs Jul2017'!AJ6,('Tariffs Jul2017'!K6-'Tariffs Jul2017'!J6)*('Tariffs Jul2017'!V6/100)*'Tariffs Jul2017'!AJ6))</f>
        <v>143.10000000000002</v>
      </c>
      <c r="L12" s="59">
        <f>IF($C$5*'Tariffs Jul2017'!AL6/'Tariffs Jul2017'!AJ6&lt;'Tariffs Jul2017'!K6,0,IF($C$5*'Tariffs Jul2017'!AL6/'Tariffs Jul2017'!AJ6&lt;='Tariffs Jul2017'!L6,($C$5*'Tariffs Jul2017'!AL6/'Tariffs Jul2017'!AJ6-'Tariffs Jul2017'!K6)*('Tariffs Jul2017'!W6/100)*'Tariffs Jul2017'!AJ6,('Tariffs Jul2017'!L6-'Tariffs Jul2017'!K6)*('Tariffs Jul2017'!W6/100)*'Tariffs Jul2017'!AJ6))</f>
        <v>0</v>
      </c>
      <c r="M12" s="59">
        <f>IF($C$5*'Tariffs Jul2017'!AL6/'Tariffs Jul2017'!AJ6&lt;'Tariffs Jul2017'!L6,0,IF($C$5*'Tariffs Jul2017'!AL6/'Tariffs Jul2017'!AJ6&lt;='Tariffs Jul2017'!M6,($C$5*'Tariffs Jul2017'!AL6/'Tariffs Jul2017'!AJ6-'Tariffs Jul2017'!L6)*('Tariffs Jul2017'!X6/100)*'Tariffs Jul2017'!AJ6,('Tariffs Jul2017'!M6-'Tariffs Jul2017'!L6)*('Tariffs Jul2017'!X6/100)*'Tariffs Jul2017'!AJ6))</f>
        <v>0</v>
      </c>
      <c r="N12" s="59">
        <f>IF(($C$5*'Tariffs Jul2017'!AL6/'Tariffs Jul2017'!AJ6&gt;'Tariffs Jul2017'!M6),($C$5*'Tariffs Jul2017'!AL6/'Tariffs Jul2017'!AJ6-'Tariffs Jul2017'!M6)*'Tariffs Jul2017'!Y6/100*'Tariffs Jul2017'!AJ6,0)</f>
        <v>59.849999999999994</v>
      </c>
      <c r="O12" s="271">
        <f t="shared" si="0"/>
        <v>1187.0999999999999</v>
      </c>
      <c r="P12" s="59">
        <f t="shared" si="1"/>
        <v>1411.9034999999999</v>
      </c>
      <c r="Q12" s="272">
        <f t="shared" si="2"/>
        <v>1553.09385</v>
      </c>
      <c r="R12" s="40">
        <f>'Tariffs Jul2017'!AM6</f>
        <v>0</v>
      </c>
      <c r="S12" s="40">
        <f>'Tariffs Jul2017'!AN6</f>
        <v>0</v>
      </c>
      <c r="T12" s="40">
        <f>'Tariffs Jul2017'!AO6</f>
        <v>0</v>
      </c>
      <c r="U12" s="40">
        <f>'Tariffs Jul2017'!AP6</f>
        <v>0</v>
      </c>
      <c r="V12" s="273">
        <f t="shared" si="3"/>
        <v>1411.9034999999999</v>
      </c>
      <c r="W12" s="273">
        <f>V12</f>
        <v>1411.9034999999999</v>
      </c>
      <c r="X12" s="272">
        <f t="shared" si="4"/>
        <v>1553.09385</v>
      </c>
      <c r="Y12" s="272">
        <f t="shared" si="4"/>
        <v>1553.09385</v>
      </c>
      <c r="Z12" s="274">
        <f>'Tariffs Jul2017'!AW6</f>
        <v>0</v>
      </c>
      <c r="AA12" s="274" t="str">
        <f>'Tariffs Jul2017'!AX6</f>
        <v>n</v>
      </c>
      <c r="AB12" s="275" t="str">
        <f>'Tariffs Jul2017'!BD6</f>
        <v>Y</v>
      </c>
      <c r="AC12" s="317"/>
      <c r="AD12" s="317"/>
      <c r="AE12" s="317"/>
      <c r="AF12" s="317"/>
      <c r="AG12" s="317"/>
      <c r="AH12" s="317"/>
      <c r="AI12" s="317"/>
      <c r="AJ12" s="317"/>
      <c r="AK12" s="317"/>
      <c r="AL12" s="317"/>
      <c r="AM12" s="317"/>
      <c r="AN12" s="317"/>
    </row>
    <row r="13" spans="1:40" x14ac:dyDescent="0.15">
      <c r="A13" s="270" t="str">
        <f>'Tariffs Jul2017'!F7</f>
        <v>EnergyAustralia</v>
      </c>
      <c r="B13" s="40" t="str">
        <f>'Tariffs Jul2017'!D7</f>
        <v>Multinet 1</v>
      </c>
      <c r="C13" s="40" t="str">
        <f>'Tariffs Jul2017'!G7</f>
        <v xml:space="preserve">Flexi Saver </v>
      </c>
      <c r="D13" s="59">
        <f>365*'Tariffs Jul2017'!H7/100</f>
        <v>268.64</v>
      </c>
      <c r="E13" s="59">
        <f>IF($C$5*'Tariffs Jul2017'!AK7/'Tariffs Jul2017'!AI7&gt;='Tariffs Jul2017'!J7,( 'Tariffs Jul2017'!J7*'Tariffs Jul2017'!O7/100)* 'Tariffs Jul2017'!AI7,($C$5*'Tariffs Jul2017'!AK7/'Tariffs Jul2017'!AI7*'Tariffs Jul2017'!O7/100)* 'Tariffs Jul2017'!AI7)</f>
        <v>206.10000000000002</v>
      </c>
      <c r="F13" s="59">
        <f>IF($C$5*'Tariffs Jul2017'!AK7/'Tariffs Jul2017'!AI7&lt;'Tariffs Jul2017'!J7,0,IF($C$5*'Tariffs Jul2017'!AK7/'Tariffs Jul2017'!AI7&lt;='Tariffs Jul2017'!K7,($C$5*'Tariffs Jul2017'!AK7/'Tariffs Jul2017'!AI7-'Tariffs Jul2017'!J7)*('Tariffs Jul2017'!P7/100)*'Tariffs Jul2017'!AI7,('Tariffs Jul2017'!K7-'Tariffs Jul2017'!J7)*('Tariffs Jul2017'!P7/100)*'Tariffs Jul2017'!AI7))</f>
        <v>180.89999999999998</v>
      </c>
      <c r="G13" s="59">
        <f>IF($C$5*'Tariffs Jul2017'!AK7/'Tariffs Jul2017'!AI7&lt;'Tariffs Jul2017'!K7,0,IF($C$5*'Tariffs Jul2017'!AK7/'Tariffs Jul2017'!AI7&lt;='Tariffs Jul2017'!L7,($C$5*'Tariffs Jul2017'!AK7/'Tariffs Jul2017'!AI7-'Tariffs Jul2017'!K7)*('Tariffs Jul2017'!Q7/100)*'Tariffs Jul2017'!AI7,('Tariffs Jul2017'!L7-'Tariffs Jul2017'!K7)*('Tariffs Jul2017'!Q7/100)*'Tariffs Jul2017'!AI7))</f>
        <v>144.89999999999998</v>
      </c>
      <c r="H13" s="59">
        <f>IF($C$5*'Tariffs Jul2017'!AK7/'Tariffs Jul2017'!AI7&lt;'Tariffs Jul2017'!L7,0,IF($C$5*'Tariffs Jul2017'!AK7/'Tariffs Jul2017'!AI7&lt;='Tariffs Jul2017'!M7,($C$5*'Tariffs Jul2017'!AK7/'Tariffs Jul2017'!AI7-'Tariffs Jul2017'!L7)*('Tariffs Jul2017'!R7/100)*'Tariffs Jul2017'!AI7,('Tariffs Jul2017'!M7-'Tariffs Jul2017'!L7)*('Tariffs Jul2017'!R7/100)*'Tariffs Jul2017'!AI7))</f>
        <v>62.55</v>
      </c>
      <c r="I13" s="59">
        <f>IF(($C$5*'Tariffs Jul2017'!AK7/'Tariffs Jul2017'!AI7&gt;'Tariffs Jul2017'!M7),($C$5*'Tariffs Jul2017'!AK7/'Tariffs Jul2017'!AI7-'Tariffs Jul2017'!M7)*'Tariffs Jul2017'!S7/100*'Tariffs Jul2017'!AI7,0)</f>
        <v>0</v>
      </c>
      <c r="J13" s="59">
        <f>IF($C$5*'Tariffs Jul2017'!AL7/'Tariffs Jul2017'!AJ7&gt;='Tariffs Jul2017'!J7,('Tariffs Jul2017'!J7*'Tariffs Jul2017'!U7/100)* 'Tariffs Jul2017'!AJ7,($C$5*'Tariffs Jul2017'!AL7/'Tariffs Jul2017'!AJ7*'Tariffs Jul2017'!U7/100)* 'Tariffs Jul2017'!AJ7)</f>
        <v>191.7</v>
      </c>
      <c r="K13" s="59">
        <f>IF($C$5*'Tariffs Jul2017'!AL7/'Tariffs Jul2017'!AJ7&lt;'Tariffs Jul2017'!J7,0,IF($C$5*'Tariffs Jul2017'!AL7/'Tariffs Jul2017'!AJ7&lt;='Tariffs Jul2017'!K7,($C$5*'Tariffs Jul2017'!AL7/'Tariffs Jul2017'!AJ7-'Tariffs Jul2017'!J7)*('Tariffs Jul2017'!V7/100)*'Tariffs Jul2017'!AJ7,('Tariffs Jul2017'!K7-'Tariffs Jul2017'!J7)*('Tariffs Jul2017'!V7/100)*'Tariffs Jul2017'!AJ7))</f>
        <v>162.00000000000003</v>
      </c>
      <c r="L13" s="59">
        <f>IF($C$5*'Tariffs Jul2017'!AL7/'Tariffs Jul2017'!AJ7&lt;'Tariffs Jul2017'!K7,0,IF($C$5*'Tariffs Jul2017'!AL7/'Tariffs Jul2017'!AJ7&lt;='Tariffs Jul2017'!L7,($C$5*'Tariffs Jul2017'!AL7/'Tariffs Jul2017'!AJ7-'Tariffs Jul2017'!K7)*('Tariffs Jul2017'!W7/100)*'Tariffs Jul2017'!AJ7,('Tariffs Jul2017'!L7-'Tariffs Jul2017'!K7)*('Tariffs Jul2017'!W7/100)*'Tariffs Jul2017'!AJ7))</f>
        <v>132.30000000000001</v>
      </c>
      <c r="M13" s="59">
        <f>IF($C$5*'Tariffs Jul2017'!AL7/'Tariffs Jul2017'!AJ7&lt;'Tariffs Jul2017'!L7,0,IF($C$5*'Tariffs Jul2017'!AL7/'Tariffs Jul2017'!AJ7&lt;='Tariffs Jul2017'!M7,($C$5*'Tariffs Jul2017'!AL7/'Tariffs Jul2017'!AJ7-'Tariffs Jul2017'!L7)*('Tariffs Jul2017'!X7/100)*'Tariffs Jul2017'!AJ7,('Tariffs Jul2017'!M7-'Tariffs Jul2017'!L7)*('Tariffs Jul2017'!X7/100)*'Tariffs Jul2017'!AJ7))</f>
        <v>57.599999999999994</v>
      </c>
      <c r="N13" s="59">
        <f>IF(($C$5*'Tariffs Jul2017'!AL7/'Tariffs Jul2017'!AJ7&gt;'Tariffs Jul2017'!M7),($C$5*'Tariffs Jul2017'!AL7/'Tariffs Jul2017'!AJ7-'Tariffs Jul2017'!M7)*'Tariffs Jul2017'!Y7/100*'Tariffs Jul2017'!AJ7,0)</f>
        <v>0</v>
      </c>
      <c r="O13" s="271">
        <f t="shared" si="0"/>
        <v>1138.0499999999997</v>
      </c>
      <c r="P13" s="59">
        <f t="shared" si="1"/>
        <v>1406.6899999999996</v>
      </c>
      <c r="Q13" s="272">
        <f t="shared" si="2"/>
        <v>1547.3589999999997</v>
      </c>
      <c r="R13" s="40">
        <f>'Tariffs Jul2017'!AM7</f>
        <v>0</v>
      </c>
      <c r="S13" s="40">
        <f>'Tariffs Jul2017'!AN7</f>
        <v>0</v>
      </c>
      <c r="T13" s="40">
        <f>'Tariffs Jul2017'!AO7</f>
        <v>0</v>
      </c>
      <c r="U13" s="40">
        <f>'Tariffs Jul2017'!AP7</f>
        <v>20</v>
      </c>
      <c r="V13" s="273">
        <f t="shared" si="3"/>
        <v>1406.6899999999996</v>
      </c>
      <c r="W13" s="273">
        <f>V13-(O13*U13/100)</f>
        <v>1179.0799999999997</v>
      </c>
      <c r="X13" s="272">
        <f t="shared" si="4"/>
        <v>1547.3589999999997</v>
      </c>
      <c r="Y13" s="272">
        <f t="shared" si="4"/>
        <v>1296.9879999999998</v>
      </c>
      <c r="Z13" s="274">
        <f>'Tariffs Jul2017'!AW7</f>
        <v>0</v>
      </c>
      <c r="AA13" s="274" t="str">
        <f>'Tariffs Jul2017'!AX7</f>
        <v>n</v>
      </c>
      <c r="AB13" s="275" t="str">
        <f>'Tariffs Jul2017'!BD7</f>
        <v>N</v>
      </c>
      <c r="AC13" s="317"/>
      <c r="AD13" s="317"/>
      <c r="AE13" s="317"/>
      <c r="AF13" s="317"/>
      <c r="AG13" s="317"/>
      <c r="AH13" s="317"/>
      <c r="AI13" s="317"/>
      <c r="AJ13" s="317"/>
      <c r="AK13" s="317"/>
      <c r="AL13" s="317"/>
      <c r="AM13" s="317"/>
      <c r="AN13" s="317"/>
    </row>
    <row r="14" spans="1:40" x14ac:dyDescent="0.15">
      <c r="A14" s="270" t="str">
        <f>'Tariffs Jul2017'!F8</f>
        <v>Lumo Energy</v>
      </c>
      <c r="B14" s="40" t="str">
        <f>'Tariffs Jul2017'!D8</f>
        <v>Multinet 1</v>
      </c>
      <c r="C14" s="40" t="str">
        <f>'Tariffs Jul2017'!G8</f>
        <v>Advantage</v>
      </c>
      <c r="D14" s="59">
        <f>365*'Tariffs Jul2017'!H8/100</f>
        <v>232.65100000000001</v>
      </c>
      <c r="E14" s="59">
        <f>IF($C$5*'Tariffs Jul2017'!AK8/'Tariffs Jul2017'!AI8&gt;='Tariffs Jul2017'!J8,( 'Tariffs Jul2017'!J8*'Tariffs Jul2017'!O8/100)* 'Tariffs Jul2017'!AI8,($C$5*'Tariffs Jul2017'!AK8/'Tariffs Jul2017'!AI8*'Tariffs Jul2017'!O8/100)* 'Tariffs Jul2017'!AI8)</f>
        <v>201.42000000000002</v>
      </c>
      <c r="F14" s="59">
        <f>IF($C$5*'Tariffs Jul2017'!AK8/'Tariffs Jul2017'!AI8&lt;'Tariffs Jul2017'!J8,0,IF($C$5*'Tariffs Jul2017'!AK8/'Tariffs Jul2017'!AI8&lt;='Tariffs Jul2017'!K8,($C$5*'Tariffs Jul2017'!AK8/'Tariffs Jul2017'!AI8-'Tariffs Jul2017'!J8)*('Tariffs Jul2017'!P8/100)*'Tariffs Jul2017'!AI8,('Tariffs Jul2017'!K8-'Tariffs Jul2017'!J8)*('Tariffs Jul2017'!P8/100)*'Tariffs Jul2017'!AI8))</f>
        <v>175.23000000000002</v>
      </c>
      <c r="G14" s="59">
        <f>IF($C$5*'Tariffs Jul2017'!AK8/'Tariffs Jul2017'!AI8&lt;'Tariffs Jul2017'!K8,0,IF($C$5*'Tariffs Jul2017'!AK8/'Tariffs Jul2017'!AI8&lt;='Tariffs Jul2017'!L8,($C$5*'Tariffs Jul2017'!AK8/'Tariffs Jul2017'!AI8-'Tariffs Jul2017'!K8)*('Tariffs Jul2017'!Q8/100)*'Tariffs Jul2017'!AI8,('Tariffs Jul2017'!L8-'Tariffs Jul2017'!K8)*('Tariffs Jul2017'!Q8/100)*'Tariffs Jul2017'!AI8))</f>
        <v>143.54999999999998</v>
      </c>
      <c r="H14" s="59">
        <f>IF($C$5*'Tariffs Jul2017'!AK8/'Tariffs Jul2017'!AI8&lt;'Tariffs Jul2017'!L8,0,IF($C$5*'Tariffs Jul2017'!AK8/'Tariffs Jul2017'!AI8&lt;='Tariffs Jul2017'!M8,($C$5*'Tariffs Jul2017'!AK8/'Tariffs Jul2017'!AI8-'Tariffs Jul2017'!L8)*('Tariffs Jul2017'!R8/100)*'Tariffs Jul2017'!AI8,('Tariffs Jul2017'!M8-'Tariffs Jul2017'!L8)*('Tariffs Jul2017'!R8/100)*'Tariffs Jul2017'!AI8))</f>
        <v>63.405000000000001</v>
      </c>
      <c r="I14" s="59">
        <f>IF(($C$5*'Tariffs Jul2017'!AK8/'Tariffs Jul2017'!AI8&gt;'Tariffs Jul2017'!M8),($C$5*'Tariffs Jul2017'!AK8/'Tariffs Jul2017'!AI8-'Tariffs Jul2017'!M8)*'Tariffs Jul2017'!S8/100*'Tariffs Jul2017'!AI8,0)</f>
        <v>0</v>
      </c>
      <c r="J14" s="59">
        <f>IF($C$5*'Tariffs Jul2017'!AL8/'Tariffs Jul2017'!AJ8&gt;='Tariffs Jul2017'!J8,('Tariffs Jul2017'!J8*'Tariffs Jul2017'!U8/100)* 'Tariffs Jul2017'!AJ8,($C$5*'Tariffs Jul2017'!AL8/'Tariffs Jul2017'!AJ8*'Tariffs Jul2017'!U8/100)* 'Tariffs Jul2017'!AJ8)</f>
        <v>189</v>
      </c>
      <c r="K14" s="59">
        <f>IF($C$5*'Tariffs Jul2017'!AL8/'Tariffs Jul2017'!AJ8&lt;'Tariffs Jul2017'!J8,0,IF($C$5*'Tariffs Jul2017'!AL8/'Tariffs Jul2017'!AJ8&lt;='Tariffs Jul2017'!K8,($C$5*'Tariffs Jul2017'!AL8/'Tariffs Jul2017'!AJ8-'Tariffs Jul2017'!J8)*('Tariffs Jul2017'!V8/100)*'Tariffs Jul2017'!AJ8,('Tariffs Jul2017'!K8-'Tariffs Jul2017'!J8)*('Tariffs Jul2017'!V8/100)*'Tariffs Jul2017'!AJ8))</f>
        <v>166.32</v>
      </c>
      <c r="L14" s="59">
        <f>IF($C$5*'Tariffs Jul2017'!AL8/'Tariffs Jul2017'!AJ8&lt;'Tariffs Jul2017'!K8,0,IF($C$5*'Tariffs Jul2017'!AL8/'Tariffs Jul2017'!AJ8&lt;='Tariffs Jul2017'!L8,($C$5*'Tariffs Jul2017'!AL8/'Tariffs Jul2017'!AJ8-'Tariffs Jul2017'!K8)*('Tariffs Jul2017'!W8/100)*'Tariffs Jul2017'!AJ8,('Tariffs Jul2017'!L8-'Tariffs Jul2017'!K8)*('Tariffs Jul2017'!W8/100)*'Tariffs Jul2017'!AJ8))</f>
        <v>138.87</v>
      </c>
      <c r="M14" s="59">
        <f>IF($C$5*'Tariffs Jul2017'!AL8/'Tariffs Jul2017'!AJ8&lt;'Tariffs Jul2017'!L8,0,IF($C$5*'Tariffs Jul2017'!AL8/'Tariffs Jul2017'!AJ8&lt;='Tariffs Jul2017'!M8,($C$5*'Tariffs Jul2017'!AL8/'Tariffs Jul2017'!AJ8-'Tariffs Jul2017'!L8)*('Tariffs Jul2017'!X8/100)*'Tariffs Jul2017'!AJ8,('Tariffs Jul2017'!M8-'Tariffs Jul2017'!L8)*('Tariffs Jul2017'!X8/100)*'Tariffs Jul2017'!AJ8))</f>
        <v>62.189999999999991</v>
      </c>
      <c r="N14" s="59">
        <f>IF(($C$5*'Tariffs Jul2017'!AL8/'Tariffs Jul2017'!AJ8&gt;'Tariffs Jul2017'!M8),($C$5*'Tariffs Jul2017'!AL8/'Tariffs Jul2017'!AJ8-'Tariffs Jul2017'!M8)*'Tariffs Jul2017'!Y8/100*'Tariffs Jul2017'!AJ8,0)</f>
        <v>0</v>
      </c>
      <c r="O14" s="271">
        <f t="shared" si="0"/>
        <v>1139.9850000000001</v>
      </c>
      <c r="P14" s="59">
        <f t="shared" si="1"/>
        <v>1372.6360000000002</v>
      </c>
      <c r="Q14" s="272">
        <f t="shared" si="2"/>
        <v>1509.8996000000004</v>
      </c>
      <c r="R14" s="40">
        <f>'Tariffs Jul2017'!AM8</f>
        <v>0</v>
      </c>
      <c r="S14" s="40">
        <f>'Tariffs Jul2017'!AN8</f>
        <v>0</v>
      </c>
      <c r="T14" s="40">
        <f>'Tariffs Jul2017'!AO8</f>
        <v>15</v>
      </c>
      <c r="U14" s="40">
        <f>'Tariffs Jul2017'!AP8</f>
        <v>0</v>
      </c>
      <c r="V14" s="273">
        <f t="shared" si="3"/>
        <v>1372.6360000000002</v>
      </c>
      <c r="W14" s="273">
        <f>V14-(P14*T14/100)</f>
        <v>1166.7406000000001</v>
      </c>
      <c r="X14" s="272">
        <f t="shared" si="4"/>
        <v>1509.8996000000004</v>
      </c>
      <c r="Y14" s="272">
        <f t="shared" si="4"/>
        <v>1283.4146600000001</v>
      </c>
      <c r="Z14" s="274">
        <f>'Tariffs Jul2017'!AW8</f>
        <v>0</v>
      </c>
      <c r="AA14" s="274" t="str">
        <f>'Tariffs Jul2017'!AX8</f>
        <v>n</v>
      </c>
      <c r="AB14" s="275" t="str">
        <f>'Tariffs Jul2017'!BD8</f>
        <v>N</v>
      </c>
      <c r="AC14" s="317"/>
      <c r="AD14" s="317"/>
      <c r="AE14" s="317"/>
      <c r="AF14" s="317"/>
      <c r="AG14" s="317"/>
      <c r="AH14" s="317"/>
      <c r="AI14" s="317"/>
      <c r="AJ14" s="317"/>
      <c r="AK14" s="317"/>
      <c r="AL14" s="317"/>
      <c r="AM14" s="317"/>
      <c r="AN14" s="317"/>
    </row>
    <row r="15" spans="1:40" x14ac:dyDescent="0.15">
      <c r="A15" s="270" t="str">
        <f>'Tariffs Jul2017'!F9</f>
        <v>Momentum Energy</v>
      </c>
      <c r="B15" s="40" t="str">
        <f>'Tariffs Jul2017'!D9</f>
        <v>Multinet 1</v>
      </c>
      <c r="C15" s="40" t="str">
        <f>'Tariffs Jul2017'!G9</f>
        <v>Market offer</v>
      </c>
      <c r="D15" s="59">
        <f>365*'Tariffs Jul2017'!H9/100</f>
        <v>223.16099999999997</v>
      </c>
      <c r="E15" s="59">
        <f>IF($C$5*'Tariffs Jul2017'!AK9/'Tariffs Jul2017'!AI9&gt;='Tariffs Jul2017'!J9,( 'Tariffs Jul2017'!J9*'Tariffs Jul2017'!O9/100)* 'Tariffs Jul2017'!AI9,($C$5*'Tariffs Jul2017'!AK9/'Tariffs Jul2017'!AI9*'Tariffs Jul2017'!O9/100)* 'Tariffs Jul2017'!AI9)</f>
        <v>174.60000000000002</v>
      </c>
      <c r="F15" s="59">
        <f>IF($C$5*'Tariffs Jul2017'!AK9/'Tariffs Jul2017'!AI9&lt;'Tariffs Jul2017'!J9,0,IF($C$5*'Tariffs Jul2017'!AK9/'Tariffs Jul2017'!AI9&lt;='Tariffs Jul2017'!K9,($C$5*'Tariffs Jul2017'!AK9/'Tariffs Jul2017'!AI9-'Tariffs Jul2017'!J9)*('Tariffs Jul2017'!P9/100)*'Tariffs Jul2017'!AI9,('Tariffs Jul2017'!K9-'Tariffs Jul2017'!J9)*('Tariffs Jul2017'!P9/100)*'Tariffs Jul2017'!AI9))</f>
        <v>154.53000000000003</v>
      </c>
      <c r="G15" s="59">
        <f>IF($C$5*'Tariffs Jul2017'!AK9/'Tariffs Jul2017'!AI9&lt;'Tariffs Jul2017'!K9,0,IF($C$5*'Tariffs Jul2017'!AK9/'Tariffs Jul2017'!AI9&lt;='Tariffs Jul2017'!L9,($C$5*'Tariffs Jul2017'!AK9/'Tariffs Jul2017'!AI9-'Tariffs Jul2017'!K9)*('Tariffs Jul2017'!Q9/100)*'Tariffs Jul2017'!AI9,('Tariffs Jul2017'!L9-'Tariffs Jul2017'!K9)*('Tariffs Jul2017'!Q9/100)*'Tariffs Jul2017'!AI9))</f>
        <v>129.78</v>
      </c>
      <c r="H15" s="59">
        <f>IF($C$5*'Tariffs Jul2017'!AK9/'Tariffs Jul2017'!AI9&lt;'Tariffs Jul2017'!L9,0,IF($C$5*'Tariffs Jul2017'!AK9/'Tariffs Jul2017'!AI9&lt;='Tariffs Jul2017'!M9,($C$5*'Tariffs Jul2017'!AK9/'Tariffs Jul2017'!AI9-'Tariffs Jul2017'!L9)*('Tariffs Jul2017'!R9/100)*'Tariffs Jul2017'!AI9,('Tariffs Jul2017'!M9-'Tariffs Jul2017'!L9)*('Tariffs Jul2017'!R9/100)*'Tariffs Jul2017'!AI9))</f>
        <v>58.364999999999995</v>
      </c>
      <c r="I15" s="59">
        <f>IF(($C$5*'Tariffs Jul2017'!AK9/'Tariffs Jul2017'!AI9&gt;'Tariffs Jul2017'!M9),($C$5*'Tariffs Jul2017'!AK9/'Tariffs Jul2017'!AI9-'Tariffs Jul2017'!M9)*'Tariffs Jul2017'!S9/100*'Tariffs Jul2017'!AI9,0)</f>
        <v>0</v>
      </c>
      <c r="J15" s="59">
        <f>IF($C$5*'Tariffs Jul2017'!AL9/'Tariffs Jul2017'!AJ9&gt;='Tariffs Jul2017'!J9,('Tariffs Jul2017'!J9*'Tariffs Jul2017'!U9/100)* 'Tariffs Jul2017'!AJ9,($C$5*'Tariffs Jul2017'!AL9/'Tariffs Jul2017'!AJ9*'Tariffs Jul2017'!U9/100)* 'Tariffs Jul2017'!AJ9)</f>
        <v>161.10000000000002</v>
      </c>
      <c r="K15" s="59">
        <f>IF($C$5*'Tariffs Jul2017'!AL9/'Tariffs Jul2017'!AJ9&lt;'Tariffs Jul2017'!J9,0,IF($C$5*'Tariffs Jul2017'!AL9/'Tariffs Jul2017'!AJ9&lt;='Tariffs Jul2017'!K9,($C$5*'Tariffs Jul2017'!AL9/'Tariffs Jul2017'!AJ9-'Tariffs Jul2017'!J9)*('Tariffs Jul2017'!V9/100)*'Tariffs Jul2017'!AJ9,('Tariffs Jul2017'!K9-'Tariffs Jul2017'!J9)*('Tariffs Jul2017'!V9/100)*'Tariffs Jul2017'!AJ9))</f>
        <v>143.82000000000002</v>
      </c>
      <c r="L15" s="59">
        <f>IF($C$5*'Tariffs Jul2017'!AL9/'Tariffs Jul2017'!AJ9&lt;'Tariffs Jul2017'!K9,0,IF($C$5*'Tariffs Jul2017'!AL9/'Tariffs Jul2017'!AJ9&lt;='Tariffs Jul2017'!L9,($C$5*'Tariffs Jul2017'!AL9/'Tariffs Jul2017'!AJ9-'Tariffs Jul2017'!K9)*('Tariffs Jul2017'!W9/100)*'Tariffs Jul2017'!AJ9,('Tariffs Jul2017'!L9-'Tariffs Jul2017'!K9)*('Tariffs Jul2017'!W9/100)*'Tariffs Jul2017'!AJ9))</f>
        <v>122.76</v>
      </c>
      <c r="M15" s="59">
        <f>IF($C$5*'Tariffs Jul2017'!AL9/'Tariffs Jul2017'!AJ9&lt;'Tariffs Jul2017'!L9,0,IF($C$5*'Tariffs Jul2017'!AL9/'Tariffs Jul2017'!AJ9&lt;='Tariffs Jul2017'!M9,($C$5*'Tariffs Jul2017'!AL9/'Tariffs Jul2017'!AJ9-'Tariffs Jul2017'!L9)*('Tariffs Jul2017'!X9/100)*'Tariffs Jul2017'!AJ9,('Tariffs Jul2017'!M9-'Tariffs Jul2017'!L9)*('Tariffs Jul2017'!X9/100)*'Tariffs Jul2017'!AJ9))</f>
        <v>55.845000000000006</v>
      </c>
      <c r="N15" s="59">
        <f>IF(($C$5*'Tariffs Jul2017'!AL9/'Tariffs Jul2017'!AJ9&gt;'Tariffs Jul2017'!M9),($C$5*'Tariffs Jul2017'!AL9/'Tariffs Jul2017'!AJ9-'Tariffs Jul2017'!M9)*'Tariffs Jul2017'!Y9/100*'Tariffs Jul2017'!AJ9,0)</f>
        <v>0</v>
      </c>
      <c r="O15" s="271">
        <f t="shared" si="0"/>
        <v>1000.8000000000002</v>
      </c>
      <c r="P15" s="59">
        <f t="shared" si="1"/>
        <v>1223.9610000000002</v>
      </c>
      <c r="Q15" s="272">
        <f t="shared" si="2"/>
        <v>1346.3571000000004</v>
      </c>
      <c r="R15" s="40">
        <f>'Tariffs Jul2017'!AM9</f>
        <v>0</v>
      </c>
      <c r="S15" s="40">
        <f>'Tariffs Jul2017'!AN9</f>
        <v>0</v>
      </c>
      <c r="T15" s="40">
        <f>'Tariffs Jul2017'!AO9</f>
        <v>0</v>
      </c>
      <c r="U15" s="40">
        <f>'Tariffs Jul2017'!AP9</f>
        <v>0</v>
      </c>
      <c r="V15" s="273">
        <f t="shared" si="3"/>
        <v>1223.9610000000002</v>
      </c>
      <c r="W15" s="273">
        <f>V15</f>
        <v>1223.9610000000002</v>
      </c>
      <c r="X15" s="272">
        <f t="shared" si="4"/>
        <v>1346.3571000000004</v>
      </c>
      <c r="Y15" s="272">
        <f t="shared" si="4"/>
        <v>1346.3571000000004</v>
      </c>
      <c r="Z15" s="274">
        <f>'Tariffs Jul2017'!AW9</f>
        <v>0</v>
      </c>
      <c r="AA15" s="274" t="str">
        <f>'Tariffs Jul2017'!AX9</f>
        <v>n</v>
      </c>
      <c r="AB15" s="275" t="str">
        <f>'Tariffs Jul2017'!BD9</f>
        <v>Y</v>
      </c>
      <c r="AC15" s="317"/>
      <c r="AD15" s="317"/>
      <c r="AE15" s="317"/>
      <c r="AF15" s="317"/>
      <c r="AG15" s="317"/>
      <c r="AH15" s="317"/>
      <c r="AI15" s="317"/>
      <c r="AJ15" s="317"/>
      <c r="AK15" s="317"/>
      <c r="AL15" s="317"/>
      <c r="AM15" s="317"/>
      <c r="AN15" s="317"/>
    </row>
    <row r="16" spans="1:40" x14ac:dyDescent="0.15">
      <c r="A16" s="270" t="str">
        <f>'Tariffs Jul2017'!F10</f>
        <v>Origin Energy</v>
      </c>
      <c r="B16" s="40" t="str">
        <f>'Tariffs Jul2017'!D10</f>
        <v>Multinet 1</v>
      </c>
      <c r="C16" s="40" t="str">
        <f>'Tariffs Jul2017'!G10</f>
        <v>Saver</v>
      </c>
      <c r="D16" s="59">
        <f>365*'Tariffs Jul2017'!H10/100</f>
        <v>253.78450000000001</v>
      </c>
      <c r="E16" s="59">
        <f>IF($C$5*'Tariffs Jul2017'!AK10/'Tariffs Jul2017'!AI10&gt;='Tariffs Jul2017'!J10,( 'Tariffs Jul2017'!J10*'Tariffs Jul2017'!O10/100)* 'Tariffs Jul2017'!AI10,($C$5*'Tariffs Jul2017'!AK10/'Tariffs Jul2017'!AI10*'Tariffs Jul2017'!O10/100)* 'Tariffs Jul2017'!AI10)</f>
        <v>398.70000000000005</v>
      </c>
      <c r="F16" s="59">
        <f>IF($C$5*'Tariffs Jul2017'!AK10/'Tariffs Jul2017'!AI10&lt;'Tariffs Jul2017'!J10,0,IF($C$5*'Tariffs Jul2017'!AK10/'Tariffs Jul2017'!AI10&lt;='Tariffs Jul2017'!K10,($C$5*'Tariffs Jul2017'!AK10/'Tariffs Jul2017'!AI10-'Tariffs Jul2017'!J10)*('Tariffs Jul2017'!P10/100)*'Tariffs Jul2017'!AI10,('Tariffs Jul2017'!K10-'Tariffs Jul2017'!J10)*('Tariffs Jul2017'!P10/100)*'Tariffs Jul2017'!AI10))</f>
        <v>162.36000000000001</v>
      </c>
      <c r="G16" s="59">
        <f>IF($C$5*'Tariffs Jul2017'!AK10/'Tariffs Jul2017'!AI10&lt;'Tariffs Jul2017'!K10,0,IF($C$5*'Tariffs Jul2017'!AK10/'Tariffs Jul2017'!AI10&lt;='Tariffs Jul2017'!L10,($C$5*'Tariffs Jul2017'!AK10/'Tariffs Jul2017'!AI10-'Tariffs Jul2017'!K10)*('Tariffs Jul2017'!Q10/100)*'Tariffs Jul2017'!AI10,('Tariffs Jul2017'!L10-'Tariffs Jul2017'!K10)*('Tariffs Jul2017'!Q10/100)*'Tariffs Jul2017'!AI10))</f>
        <v>0</v>
      </c>
      <c r="H16" s="59">
        <f>IF($C$5*'Tariffs Jul2017'!AK10/'Tariffs Jul2017'!AI10&lt;'Tariffs Jul2017'!L10,0,IF($C$5*'Tariffs Jul2017'!AK10/'Tariffs Jul2017'!AI10&lt;='Tariffs Jul2017'!M10,($C$5*'Tariffs Jul2017'!AK10/'Tariffs Jul2017'!AI10-'Tariffs Jul2017'!L10)*('Tariffs Jul2017'!R10/100)*'Tariffs Jul2017'!AI10,('Tariffs Jul2017'!M10-'Tariffs Jul2017'!L10)*('Tariffs Jul2017'!R10/100)*'Tariffs Jul2017'!AI10))</f>
        <v>0</v>
      </c>
      <c r="I16" s="59">
        <f>IF(($C$5*'Tariffs Jul2017'!AK10/'Tariffs Jul2017'!AI10&gt;'Tariffs Jul2017'!M10),($C$5*'Tariffs Jul2017'!AK10/'Tariffs Jul2017'!AI10-'Tariffs Jul2017'!M10)*'Tariffs Jul2017'!S10/100*'Tariffs Jul2017'!AI10,0)</f>
        <v>58.454999999999998</v>
      </c>
      <c r="J16" s="59">
        <f>IF($C$5*'Tariffs Jul2017'!AL10/'Tariffs Jul2017'!AJ10&gt;='Tariffs Jul2017'!J10,('Tariffs Jul2017'!J10*'Tariffs Jul2017'!U10/100)* 'Tariffs Jul2017'!AJ10,($C$5*'Tariffs Jul2017'!AL10/'Tariffs Jul2017'!AJ10*'Tariffs Jul2017'!U10/100)* 'Tariffs Jul2017'!AJ10)</f>
        <v>361.98</v>
      </c>
      <c r="K16" s="59">
        <f>IF($C$5*'Tariffs Jul2017'!AL10/'Tariffs Jul2017'!AJ10&lt;'Tariffs Jul2017'!J10,0,IF($C$5*'Tariffs Jul2017'!AL10/'Tariffs Jul2017'!AJ10&lt;='Tariffs Jul2017'!K10,($C$5*'Tariffs Jul2017'!AL10/'Tariffs Jul2017'!AJ10-'Tariffs Jul2017'!J10)*('Tariffs Jul2017'!V10/100)*'Tariffs Jul2017'!AJ10,('Tariffs Jul2017'!K10-'Tariffs Jul2017'!J10)*('Tariffs Jul2017'!V10/100)*'Tariffs Jul2017'!AJ10))</f>
        <v>142.56</v>
      </c>
      <c r="L16" s="59">
        <f>IF($C$5*'Tariffs Jul2017'!AL10/'Tariffs Jul2017'!AJ10&lt;'Tariffs Jul2017'!K10,0,IF($C$5*'Tariffs Jul2017'!AL10/'Tariffs Jul2017'!AJ10&lt;='Tariffs Jul2017'!L10,($C$5*'Tariffs Jul2017'!AL10/'Tariffs Jul2017'!AJ10-'Tariffs Jul2017'!K10)*('Tariffs Jul2017'!W10/100)*'Tariffs Jul2017'!AJ10,('Tariffs Jul2017'!L10-'Tariffs Jul2017'!K10)*('Tariffs Jul2017'!W10/100)*'Tariffs Jul2017'!AJ10))</f>
        <v>0</v>
      </c>
      <c r="M16" s="59">
        <f>IF($C$5*'Tariffs Jul2017'!AL10/'Tariffs Jul2017'!AJ10&lt;'Tariffs Jul2017'!L10,0,IF($C$5*'Tariffs Jul2017'!AL10/'Tariffs Jul2017'!AJ10&lt;='Tariffs Jul2017'!M10,($C$5*'Tariffs Jul2017'!AL10/'Tariffs Jul2017'!AJ10-'Tariffs Jul2017'!L10)*('Tariffs Jul2017'!X10/100)*'Tariffs Jul2017'!AJ10,('Tariffs Jul2017'!M10-'Tariffs Jul2017'!L10)*('Tariffs Jul2017'!X10/100)*'Tariffs Jul2017'!AJ10))</f>
        <v>0</v>
      </c>
      <c r="N16" s="59">
        <f>IF(($C$5*'Tariffs Jul2017'!AL10/'Tariffs Jul2017'!AJ10&gt;'Tariffs Jul2017'!M10),($C$5*'Tariffs Jul2017'!AL10/'Tariffs Jul2017'!AJ10-'Tariffs Jul2017'!M10)*'Tariffs Jul2017'!Y10/100*'Tariffs Jul2017'!AJ10,0)</f>
        <v>55.08</v>
      </c>
      <c r="O16" s="271">
        <f t="shared" si="0"/>
        <v>1179.135</v>
      </c>
      <c r="P16" s="59">
        <f t="shared" si="1"/>
        <v>1432.9195</v>
      </c>
      <c r="Q16" s="272">
        <f t="shared" si="2"/>
        <v>1576.21145</v>
      </c>
      <c r="R16" s="40">
        <f>'Tariffs Jul2017'!AM10</f>
        <v>0</v>
      </c>
      <c r="S16" s="40">
        <f>'Tariffs Jul2017'!AN10</f>
        <v>0</v>
      </c>
      <c r="T16" s="40">
        <f>'Tariffs Jul2017'!AO10</f>
        <v>0</v>
      </c>
      <c r="U16" s="40">
        <f>'Tariffs Jul2017'!AP10</f>
        <v>13</v>
      </c>
      <c r="V16" s="273">
        <f t="shared" si="3"/>
        <v>1432.9195</v>
      </c>
      <c r="W16" s="273">
        <f>V16-(O16*U16/100)</f>
        <v>1279.63195</v>
      </c>
      <c r="X16" s="272">
        <f t="shared" si="4"/>
        <v>1576.21145</v>
      </c>
      <c r="Y16" s="272">
        <f t="shared" si="4"/>
        <v>1407.595145</v>
      </c>
      <c r="Z16" s="274">
        <f>'Tariffs Jul2017'!AW10</f>
        <v>0</v>
      </c>
      <c r="AA16" s="274" t="str">
        <f>'Tariffs Jul2017'!AX10</f>
        <v>n</v>
      </c>
      <c r="AB16" s="275" t="str">
        <f>'Tariffs Jul2017'!BD10</f>
        <v>N</v>
      </c>
      <c r="AC16" s="317"/>
      <c r="AD16" s="317"/>
      <c r="AE16" s="317"/>
      <c r="AF16" s="317"/>
      <c r="AG16" s="317"/>
      <c r="AH16" s="317"/>
      <c r="AI16" s="317"/>
      <c r="AJ16" s="317"/>
      <c r="AK16" s="317"/>
      <c r="AL16" s="317"/>
      <c r="AM16" s="317"/>
      <c r="AN16" s="317"/>
    </row>
    <row r="17" spans="1:40" x14ac:dyDescent="0.15">
      <c r="A17" s="270" t="str">
        <f>'Tariffs Jul2017'!F11</f>
        <v>Red Energy</v>
      </c>
      <c r="B17" s="40" t="str">
        <f>'Tariffs Jul2017'!D11</f>
        <v>Multinet 1</v>
      </c>
      <c r="C17" s="40" t="str">
        <f>'Tariffs Jul2017'!G11</f>
        <v>Living Energy Saver</v>
      </c>
      <c r="D17" s="59">
        <f>365*'Tariffs Jul2017'!H11/100</f>
        <v>255.5</v>
      </c>
      <c r="E17" s="59">
        <f>IF($C$5*'Tariffs Jul2017'!AK11/'Tariffs Jul2017'!AI11&gt;='Tariffs Jul2017'!J11,( 'Tariffs Jul2017'!J11*'Tariffs Jul2017'!O11/100)* 'Tariffs Jul2017'!AI11,($C$5*'Tariffs Jul2017'!AK11/'Tariffs Jul2017'!AI11*'Tariffs Jul2017'!O11/100)* 'Tariffs Jul2017'!AI11)</f>
        <v>356.58</v>
      </c>
      <c r="F17" s="59">
        <f>IF($C$5*'Tariffs Jul2017'!AK11/'Tariffs Jul2017'!AI11&lt;'Tariffs Jul2017'!J11,0,IF($C$5*'Tariffs Jul2017'!AK11/'Tariffs Jul2017'!AI11&lt;='Tariffs Jul2017'!K11,($C$5*'Tariffs Jul2017'!AK11/'Tariffs Jul2017'!AI11-'Tariffs Jul2017'!J11)*('Tariffs Jul2017'!P11/100)*'Tariffs Jul2017'!AI11,('Tariffs Jul2017'!K11-'Tariffs Jul2017'!J11)*('Tariffs Jul2017'!P11/100)*'Tariffs Jul2017'!AI11))</f>
        <v>138.78</v>
      </c>
      <c r="G17" s="59">
        <f>IF($C$5*'Tariffs Jul2017'!AK11/'Tariffs Jul2017'!AI11&lt;'Tariffs Jul2017'!K11,0,IF($C$5*'Tariffs Jul2017'!AK11/'Tariffs Jul2017'!AI11&lt;='Tariffs Jul2017'!L11,($C$5*'Tariffs Jul2017'!AK11/'Tariffs Jul2017'!AI11-'Tariffs Jul2017'!K11)*('Tariffs Jul2017'!S11/100)*'Tariffs Jul2017'!AI11,('Tariffs Jul2017'!L11-'Tariffs Jul2017'!K11)*('Tariffs Jul2017'!S11/100)*'Tariffs Jul2017'!AI11))</f>
        <v>0</v>
      </c>
      <c r="H17" s="59">
        <f>IF($C$5*'Tariffs Jul2017'!AK11/'Tariffs Jul2017'!AI11&lt;'Tariffs Jul2017'!L11,0,IF($C$5*'Tariffs Jul2017'!AK11/'Tariffs Jul2017'!AI11&lt;='Tariffs Jul2017'!M11,($C$5*'Tariffs Jul2017'!AK11/'Tariffs Jul2017'!AI11-'Tariffs Jul2017'!L11)*('Tariffs Jul2017'!R11/100)*'Tariffs Jul2017'!AI11,('Tariffs Jul2017'!M11-'Tariffs Jul2017'!L11)*('Tariffs Jul2017'!R11/100)*'Tariffs Jul2017'!AI11))</f>
        <v>0</v>
      </c>
      <c r="I17" s="59">
        <f>IF(($C$5*'Tariffs Jul2017'!AK11/'Tariffs Jul2017'!AI11&gt;'Tariffs Jul2017'!M11),($C$5*'Tariffs Jul2017'!AK11/'Tariffs Jul2017'!AI11-'Tariffs Jul2017'!M11)*'Tariffs Jul2017'!S11/100*'Tariffs Jul2017'!AI11,0)</f>
        <v>61.56</v>
      </c>
      <c r="J17" s="59">
        <f>IF($C$5*'Tariffs Jul2017'!AL11/'Tariffs Jul2017'!AJ11&gt;='Tariffs Jul2017'!J11,('Tariffs Jul2017'!J11*'Tariffs Jul2017'!U11/100)* 'Tariffs Jul2017'!AJ11,($C$5*'Tariffs Jul2017'!AL11/'Tariffs Jul2017'!AJ11*'Tariffs Jul2017'!U11/100)* 'Tariffs Jul2017'!AJ11)</f>
        <v>336.24</v>
      </c>
      <c r="K17" s="59">
        <f>IF($C$5*'Tariffs Jul2017'!AL11/'Tariffs Jul2017'!AJ11&lt;'Tariffs Jul2017'!J11,0,IF($C$5*'Tariffs Jul2017'!AL11/'Tariffs Jul2017'!AJ11&lt;='Tariffs Jul2017'!K11,($C$5*'Tariffs Jul2017'!AL11/'Tariffs Jul2017'!AJ11-'Tariffs Jul2017'!J11)*('Tariffs Jul2017'!V11/100)*'Tariffs Jul2017'!AJ11,('Tariffs Jul2017'!K11-'Tariffs Jul2017'!J11)*('Tariffs Jul2017'!V11/100)*'Tariffs Jul2017'!AJ11))</f>
        <v>134.82</v>
      </c>
      <c r="L17" s="59">
        <f>IF($C$5*'Tariffs Jul2017'!AL11/'Tariffs Jul2017'!AJ11&lt;'Tariffs Jul2017'!K11,0,IF($C$5*'Tariffs Jul2017'!AL11/'Tariffs Jul2017'!AJ11&lt;='Tariffs Jul2017'!L11,($C$5*'Tariffs Jul2017'!AL11/'Tariffs Jul2017'!AJ11-'Tariffs Jul2017'!K11)*('Tariffs Jul2017'!Y11/100)*'Tariffs Jul2017'!AJ11,('Tariffs Jul2017'!L11-'Tariffs Jul2017'!K11)*('Tariffs Jul2017'!Y11/100)*'Tariffs Jul2017'!AJ11))</f>
        <v>0</v>
      </c>
      <c r="M17" s="59">
        <f>IF($C$5*'Tariffs Jul2017'!AL11/'Tariffs Jul2017'!AJ11&lt;'Tariffs Jul2017'!L11,0,IF($C$5*'Tariffs Jul2017'!AL11/'Tariffs Jul2017'!AJ11&lt;='Tariffs Jul2017'!M11,($C$5*'Tariffs Jul2017'!AL11/'Tariffs Jul2017'!AJ11-'Tariffs Jul2017'!L11)*('Tariffs Jul2017'!X11/100)*'Tariffs Jul2017'!AJ11,('Tariffs Jul2017'!M11-'Tariffs Jul2017'!L11)*('Tariffs Jul2017'!X11/100)*'Tariffs Jul2017'!AJ11))</f>
        <v>0</v>
      </c>
      <c r="N17" s="59">
        <f>IF(($C$5*'Tariffs Jul2017'!AL11/'Tariffs Jul2017'!AJ11&gt;'Tariffs Jul2017'!M11),($C$5*'Tariffs Jul2017'!AL11/'Tariffs Jul2017'!AJ11-'Tariffs Jul2017'!M11)*'Tariffs Jul2017'!Y11/100*'Tariffs Jul2017'!AJ11,0)</f>
        <v>60.614999999999995</v>
      </c>
      <c r="O17" s="271">
        <f t="shared" si="0"/>
        <v>1088.595</v>
      </c>
      <c r="P17" s="59">
        <f t="shared" si="1"/>
        <v>1344.095</v>
      </c>
      <c r="Q17" s="272">
        <f t="shared" si="2"/>
        <v>1478.5045000000002</v>
      </c>
      <c r="R17" s="40">
        <f>'Tariffs Jul2017'!AM11</f>
        <v>0</v>
      </c>
      <c r="S17" s="40">
        <f>'Tariffs Jul2017'!AN11</f>
        <v>0</v>
      </c>
      <c r="T17" s="40">
        <f>'Tariffs Jul2017'!AO11</f>
        <v>10</v>
      </c>
      <c r="U17" s="40">
        <f>'Tariffs Jul2017'!AP11</f>
        <v>0</v>
      </c>
      <c r="V17" s="273">
        <f t="shared" si="3"/>
        <v>1344.095</v>
      </c>
      <c r="W17" s="273">
        <f>V17-(P17*T17/100)</f>
        <v>1209.6855</v>
      </c>
      <c r="X17" s="272">
        <f t="shared" si="4"/>
        <v>1478.5045000000002</v>
      </c>
      <c r="Y17" s="272">
        <f t="shared" si="4"/>
        <v>1330.6540500000001</v>
      </c>
      <c r="Z17" s="274">
        <f>'Tariffs Jul2017'!AW11</f>
        <v>0</v>
      </c>
      <c r="AA17" s="274" t="str">
        <f>'Tariffs Jul2017'!AX11</f>
        <v>n</v>
      </c>
      <c r="AB17" s="275" t="str">
        <f>'Tariffs Jul2017'!BD11</f>
        <v>Y</v>
      </c>
      <c r="AC17" s="317"/>
      <c r="AD17" s="317"/>
      <c r="AE17" s="317"/>
      <c r="AF17" s="317"/>
      <c r="AG17" s="317"/>
      <c r="AH17" s="317"/>
      <c r="AI17" s="317"/>
      <c r="AJ17" s="317"/>
      <c r="AK17" s="317"/>
      <c r="AL17" s="317"/>
      <c r="AM17" s="317"/>
      <c r="AN17" s="317"/>
    </row>
    <row r="18" spans="1:40" ht="14" thickBot="1" x14ac:dyDescent="0.2">
      <c r="A18" s="276" t="str">
        <f>'Tariffs Jul2017'!F12</f>
        <v>Simply Energy</v>
      </c>
      <c r="B18" s="277" t="str">
        <f>'Tariffs Jul2017'!D12</f>
        <v>Multinet 1</v>
      </c>
      <c r="C18" s="277" t="str">
        <f>'Tariffs Jul2017'!G12</f>
        <v>Plus</v>
      </c>
      <c r="D18" s="278">
        <f>365*'Tariffs Jul2017'!H12/100</f>
        <v>256.52199999999999</v>
      </c>
      <c r="E18" s="278">
        <f>IF($C$5*'Tariffs Jul2017'!AK12/'Tariffs Jul2017'!AI12&gt;='Tariffs Jul2017'!J12,( 'Tariffs Jul2017'!J12*'Tariffs Jul2017'!O12/100)* 'Tariffs Jul2017'!AI12,($C$5*'Tariffs Jul2017'!AK12/'Tariffs Jul2017'!AI12*'Tariffs Jul2017'!O12/100)* 'Tariffs Jul2017'!AI12)</f>
        <v>198.00000000000006</v>
      </c>
      <c r="F18" s="278">
        <f>IF($C$5*'Tariffs Jul2017'!AK12/'Tariffs Jul2017'!AI12&lt;'Tariffs Jul2017'!J12,0,IF($C$5*'Tariffs Jul2017'!AK12/'Tariffs Jul2017'!AI12&lt;='Tariffs Jul2017'!K12,($C$5*'Tariffs Jul2017'!AK12/'Tariffs Jul2017'!AI12-'Tariffs Jul2017'!J12)*('Tariffs Jul2017'!P12/100)*'Tariffs Jul2017'!AI12,('Tariffs Jul2017'!K12-'Tariffs Jul2017'!J12)*('Tariffs Jul2017'!P12/100)*'Tariffs Jul2017'!AI12))</f>
        <v>176.39999999999998</v>
      </c>
      <c r="G18" s="278">
        <f>IF($C$5*'Tariffs Jul2017'!AK12/'Tariffs Jul2017'!AI12&lt;'Tariffs Jul2017'!K12,0,IF($C$5*'Tariffs Jul2017'!AK12/'Tariffs Jul2017'!AI12&lt;='Tariffs Jul2017'!L12,($C$5*'Tariffs Jul2017'!AK12/'Tariffs Jul2017'!AI12-'Tariffs Jul2017'!K12)*('Tariffs Jul2017'!Q12/100)*'Tariffs Jul2017'!AI12,('Tariffs Jul2017'!L12-'Tariffs Jul2017'!K12)*('Tariffs Jul2017'!Q12/100)*'Tariffs Jul2017'!AI12))</f>
        <v>151.19999999999999</v>
      </c>
      <c r="H18" s="278">
        <f>IF($C$5*'Tariffs Jul2017'!AK12/'Tariffs Jul2017'!AI12&lt;'Tariffs Jul2017'!L12,0,IF($C$5*'Tariffs Jul2017'!AK12/'Tariffs Jul2017'!AI12&lt;='Tariffs Jul2017'!M12,($C$5*'Tariffs Jul2017'!AK12/'Tariffs Jul2017'!AI12-'Tariffs Jul2017'!L12)*('Tariffs Jul2017'!R12/100)*'Tariffs Jul2017'!AI12,('Tariffs Jul2017'!M12-'Tariffs Jul2017'!L12)*('Tariffs Jul2017'!R12/100)*'Tariffs Jul2017'!AI12))</f>
        <v>68.850000000000009</v>
      </c>
      <c r="I18" s="278">
        <f>IF(($C$5*'Tariffs Jul2017'!AK12/'Tariffs Jul2017'!AI12&gt;'Tariffs Jul2017'!M12),($C$5*'Tariffs Jul2017'!AK12/'Tariffs Jul2017'!AI12-'Tariffs Jul2017'!M12)*'Tariffs Jul2017'!S12/100*'Tariffs Jul2017'!AI12,0)</f>
        <v>0</v>
      </c>
      <c r="J18" s="278">
        <f>IF($C$5*'Tariffs Jul2017'!AL12/'Tariffs Jul2017'!AJ12&gt;='Tariffs Jul2017'!J12,('Tariffs Jul2017'!J12*'Tariffs Jul2017'!U12/100)* 'Tariffs Jul2017'!AJ12,($C$5*'Tariffs Jul2017'!AL12/'Tariffs Jul2017'!AJ12*'Tariffs Jul2017'!U12/100)* 'Tariffs Jul2017'!AJ12)</f>
        <v>187.2</v>
      </c>
      <c r="K18" s="278">
        <f>IF($C$5*'Tariffs Jul2017'!AL12/'Tariffs Jul2017'!AJ12&lt;'Tariffs Jul2017'!J12,0,IF($C$5*'Tariffs Jul2017'!AL12/'Tariffs Jul2017'!AJ12&lt;='Tariffs Jul2017'!K12,($C$5*'Tariffs Jul2017'!AL12/'Tariffs Jul2017'!AJ12-'Tariffs Jul2017'!J12)*('Tariffs Jul2017'!V12/100)*'Tariffs Jul2017'!AJ12,('Tariffs Jul2017'!K12-'Tariffs Jul2017'!J12)*('Tariffs Jul2017'!V12/100)*'Tariffs Jul2017'!AJ12))</f>
        <v>169.2</v>
      </c>
      <c r="L18" s="278">
        <f>IF($C$5*'Tariffs Jul2017'!AL12/'Tariffs Jul2017'!AJ12&lt;'Tariffs Jul2017'!K12,0,IF($C$5*'Tariffs Jul2017'!AL12/'Tariffs Jul2017'!AJ12&lt;='Tariffs Jul2017'!L12,($C$5*'Tariffs Jul2017'!AL12/'Tariffs Jul2017'!AJ12-'Tariffs Jul2017'!K12)*('Tariffs Jul2017'!W12/100)*'Tariffs Jul2017'!AJ12,('Tariffs Jul2017'!L12-'Tariffs Jul2017'!K12)*('Tariffs Jul2017'!W12/100)*'Tariffs Jul2017'!AJ12))</f>
        <v>146.69999999999999</v>
      </c>
      <c r="M18" s="278">
        <f>IF($C$5*'Tariffs Jul2017'!AL12/'Tariffs Jul2017'!AJ12&lt;'Tariffs Jul2017'!L12,0,IF($C$5*'Tariffs Jul2017'!AL12/'Tariffs Jul2017'!AJ12&lt;='Tariffs Jul2017'!M12,($C$5*'Tariffs Jul2017'!AL12/'Tariffs Jul2017'!AJ12-'Tariffs Jul2017'!L12)*('Tariffs Jul2017'!X12/100)*'Tariffs Jul2017'!AJ12,('Tariffs Jul2017'!M12-'Tariffs Jul2017'!L12)*('Tariffs Jul2017'!X12/100)*'Tariffs Jul2017'!AJ12))</f>
        <v>67.5</v>
      </c>
      <c r="N18" s="278">
        <f>IF(($C$5*'Tariffs Jul2017'!AL12/'Tariffs Jul2017'!AJ12&gt;'Tariffs Jul2017'!M12),($C$5*'Tariffs Jul2017'!AL12/'Tariffs Jul2017'!AJ12-'Tariffs Jul2017'!M12)*'Tariffs Jul2017'!Y12/100*'Tariffs Jul2017'!AJ12,0)</f>
        <v>0</v>
      </c>
      <c r="O18" s="279">
        <f t="shared" si="0"/>
        <v>1165.0500000000002</v>
      </c>
      <c r="P18" s="278">
        <f t="shared" si="1"/>
        <v>1421.5720000000001</v>
      </c>
      <c r="Q18" s="280">
        <f t="shared" si="2"/>
        <v>1563.7292000000002</v>
      </c>
      <c r="R18" s="277">
        <f>'Tariffs Jul2017'!AM12</f>
        <v>0</v>
      </c>
      <c r="S18" s="277">
        <f>'Tariffs Jul2017'!AN12</f>
        <v>0</v>
      </c>
      <c r="T18" s="277">
        <f>'Tariffs Jul2017'!AO12</f>
        <v>0</v>
      </c>
      <c r="U18" s="277">
        <f>'Tariffs Jul2017'!AP12</f>
        <v>20</v>
      </c>
      <c r="V18" s="273">
        <f t="shared" si="3"/>
        <v>1421.5720000000001</v>
      </c>
      <c r="W18" s="281">
        <f>V18-(O18*U18/100)</f>
        <v>1188.5620000000001</v>
      </c>
      <c r="X18" s="280">
        <f t="shared" si="4"/>
        <v>1563.7292000000002</v>
      </c>
      <c r="Y18" s="280">
        <f t="shared" si="4"/>
        <v>1307.4182000000003</v>
      </c>
      <c r="Z18" s="282">
        <f>'Tariffs Jul2017'!AW12</f>
        <v>24</v>
      </c>
      <c r="AA18" s="282" t="str">
        <f>'Tariffs Jul2017'!AX12</f>
        <v>n</v>
      </c>
      <c r="AB18" s="283" t="str">
        <f>'Tariffs Jul2017'!BD12</f>
        <v>Y</v>
      </c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</row>
    <row r="19" spans="1:40" ht="14" thickTop="1" x14ac:dyDescent="0.15">
      <c r="A19" s="270" t="str">
        <f>'Tariffs Jul2017'!F13</f>
        <v>AGL</v>
      </c>
      <c r="B19" s="40" t="str">
        <f>'Tariffs Jul2017'!D13</f>
        <v>Multinet 2</v>
      </c>
      <c r="C19" s="40" t="str">
        <f>'Tariffs Jul2017'!G13</f>
        <v>Savers</v>
      </c>
      <c r="D19" s="59">
        <f>365*'Tariffs Jul2017'!H13/100</f>
        <v>284.95549999999997</v>
      </c>
      <c r="E19" s="59">
        <f>IF($C$5*'Tariffs Jul2017'!AK13/'Tariffs Jul2017'!AI13&gt;='Tariffs Jul2017'!J13,( 'Tariffs Jul2017'!J13*'Tariffs Jul2017'!O13/100)* 'Tariffs Jul2017'!AI13,($C$5*'Tariffs Jul2017'!AK13/'Tariffs Jul2017'!AI13*'Tariffs Jul2017'!O13/100)* 'Tariffs Jul2017'!AI13)</f>
        <v>204.03000000000003</v>
      </c>
      <c r="F19" s="59">
        <f>IF($C$5*'Tariffs Jul2017'!AK13/'Tariffs Jul2017'!AI13&lt;'Tariffs Jul2017'!J13,0,IF($C$5*'Tariffs Jul2017'!AK13/'Tariffs Jul2017'!AI13&lt;='Tariffs Jul2017'!K13,($C$5*'Tariffs Jul2017'!AK13/'Tariffs Jul2017'!AI13-'Tariffs Jul2017'!J13)*('Tariffs Jul2017'!P13/100)*'Tariffs Jul2017'!AI13,('Tariffs Jul2017'!K13-'Tariffs Jul2017'!J13)*('Tariffs Jul2017'!P13/100)*'Tariffs Jul2017'!AI13))</f>
        <v>178.64999999999998</v>
      </c>
      <c r="G19" s="59">
        <f>IF($C$5*'Tariffs Jul2017'!AK13/'Tariffs Jul2017'!AI13&lt;'Tariffs Jul2017'!K13,0,IF($C$5*'Tariffs Jul2017'!AK13/'Tariffs Jul2017'!AI13&lt;='Tariffs Jul2017'!L13,($C$5*'Tariffs Jul2017'!AK13/'Tariffs Jul2017'!AI13-'Tariffs Jul2017'!K13)*('Tariffs Jul2017'!Q13/100)*'Tariffs Jul2017'!AI13,('Tariffs Jul2017'!L13-'Tariffs Jul2017'!K13)*('Tariffs Jul2017'!Q13/100)*'Tariffs Jul2017'!AI13))</f>
        <v>144</v>
      </c>
      <c r="H19" s="59">
        <f>IF($C$5*'Tariffs Jul2017'!AK13/'Tariffs Jul2017'!AI13&lt;'Tariffs Jul2017'!L13,0,IF($C$5*'Tariffs Jul2017'!AK13/'Tariffs Jul2017'!AI13&lt;='Tariffs Jul2017'!M13,($C$5*'Tariffs Jul2017'!AK13/'Tariffs Jul2017'!AI13-'Tariffs Jul2017'!L13)*('Tariffs Jul2017'!R13/100)*'Tariffs Jul2017'!AI13,('Tariffs Jul2017'!M13-'Tariffs Jul2017'!L13)*('Tariffs Jul2017'!R13/100)*'Tariffs Jul2017'!AI13))</f>
        <v>62.819999999999993</v>
      </c>
      <c r="I19" s="59">
        <f>IF(($C$5*'Tariffs Jul2017'!AK13/'Tariffs Jul2017'!AI13&gt;'Tariffs Jul2017'!M13),($C$5*'Tariffs Jul2017'!AK13/'Tariffs Jul2017'!AI13-'Tariffs Jul2017'!M13)*'Tariffs Jul2017'!S13/100*'Tariffs Jul2017'!AI13,0)</f>
        <v>0</v>
      </c>
      <c r="J19" s="59">
        <f>IF($C$5*'Tariffs Jul2017'!AL13/'Tariffs Jul2017'!AJ13&gt;='Tariffs Jul2017'!J13,('Tariffs Jul2017'!J13*'Tariffs Jul2017'!U13/100)* 'Tariffs Jul2017'!AJ13,($C$5*'Tariffs Jul2017'!AL13/'Tariffs Jul2017'!AJ13*'Tariffs Jul2017'!U13/100)* 'Tariffs Jul2017'!AJ13)</f>
        <v>193.68</v>
      </c>
      <c r="K19" s="59">
        <f>IF($C$5*'Tariffs Jul2017'!AL13/'Tariffs Jul2017'!AJ13&lt;'Tariffs Jul2017'!J13,0,IF($C$5*'Tariffs Jul2017'!AL13/'Tariffs Jul2017'!AJ13&lt;='Tariffs Jul2017'!K13,($C$5*'Tariffs Jul2017'!AL13/'Tariffs Jul2017'!AJ13-'Tariffs Jul2017'!J13)*('Tariffs Jul2017'!V13/100)*'Tariffs Jul2017'!AJ13,('Tariffs Jul2017'!K13-'Tariffs Jul2017'!J13)*('Tariffs Jul2017'!V13/100)*'Tariffs Jul2017'!AJ13))</f>
        <v>168.92999999999998</v>
      </c>
      <c r="L19" s="59">
        <f>IF($C$5*'Tariffs Jul2017'!AL13/'Tariffs Jul2017'!AJ13&lt;'Tariffs Jul2017'!K13,0,IF($C$5*'Tariffs Jul2017'!AL13/'Tariffs Jul2017'!AJ13&lt;='Tariffs Jul2017'!L13,($C$5*'Tariffs Jul2017'!AL13/'Tariffs Jul2017'!AJ13-'Tariffs Jul2017'!K13)*('Tariffs Jul2017'!W13/100)*'Tariffs Jul2017'!AJ13,('Tariffs Jul2017'!L13-'Tariffs Jul2017'!K13)*('Tariffs Jul2017'!W13/100)*'Tariffs Jul2017'!AJ13))</f>
        <v>138.96</v>
      </c>
      <c r="M19" s="59">
        <f>IF($C$5*'Tariffs Jul2017'!AL13/'Tariffs Jul2017'!AJ13&lt;'Tariffs Jul2017'!L13,0,IF($C$5*'Tariffs Jul2017'!AL13/'Tariffs Jul2017'!AJ13&lt;='Tariffs Jul2017'!M13,($C$5*'Tariffs Jul2017'!AL13/'Tariffs Jul2017'!AJ13-'Tariffs Jul2017'!L13)*('Tariffs Jul2017'!X13/100)*'Tariffs Jul2017'!AJ13,('Tariffs Jul2017'!M13-'Tariffs Jul2017'!L13)*('Tariffs Jul2017'!X13/100)*'Tariffs Jul2017'!AJ13))</f>
        <v>61.515000000000001</v>
      </c>
      <c r="N19" s="59">
        <f>IF(($C$5*'Tariffs Jul2017'!AL13/'Tariffs Jul2017'!AJ13&gt;'Tariffs Jul2017'!M13),($C$5*'Tariffs Jul2017'!AL13/'Tariffs Jul2017'!AJ13-'Tariffs Jul2017'!M13)*'Tariffs Jul2017'!Y13/100*'Tariffs Jul2017'!AJ13,0)</f>
        <v>0</v>
      </c>
      <c r="O19" s="271">
        <f t="shared" si="0"/>
        <v>1152.585</v>
      </c>
      <c r="P19" s="59">
        <f t="shared" si="1"/>
        <v>1437.5405000000001</v>
      </c>
      <c r="Q19" s="272">
        <f t="shared" si="2"/>
        <v>1581.2945500000003</v>
      </c>
      <c r="R19" s="40">
        <f>'Tariffs Jul2017'!AM13</f>
        <v>0</v>
      </c>
      <c r="S19" s="40">
        <f>'Tariffs Jul2017'!AN13</f>
        <v>0</v>
      </c>
      <c r="T19" s="40">
        <f>'Tariffs Jul2017'!AO13</f>
        <v>0</v>
      </c>
      <c r="U19" s="40">
        <f>'Tariffs Jul2017'!AP13</f>
        <v>15</v>
      </c>
      <c r="V19" s="273">
        <f t="shared" si="3"/>
        <v>1437.5405000000001</v>
      </c>
      <c r="W19" s="273">
        <f>V19-(O19*U19/100)</f>
        <v>1264.65275</v>
      </c>
      <c r="X19" s="272">
        <f t="shared" si="4"/>
        <v>1581.2945500000003</v>
      </c>
      <c r="Y19" s="272">
        <f t="shared" si="4"/>
        <v>1391.118025</v>
      </c>
      <c r="Z19" s="274">
        <f>'Tariffs Jul2017'!AW13</f>
        <v>0</v>
      </c>
      <c r="AA19" s="274" t="str">
        <f>'Tariffs Jul2017'!AX13</f>
        <v>n</v>
      </c>
      <c r="AB19" s="275" t="str">
        <f>'Tariffs Jul2017'!BD13</f>
        <v>N</v>
      </c>
      <c r="AC19" s="317"/>
      <c r="AD19" s="317"/>
      <c r="AE19" s="317"/>
      <c r="AF19" s="317"/>
      <c r="AG19" s="317"/>
      <c r="AH19" s="317"/>
      <c r="AI19" s="317"/>
      <c r="AJ19" s="317"/>
      <c r="AK19" s="317"/>
      <c r="AL19" s="317"/>
      <c r="AM19" s="317"/>
      <c r="AN19" s="317"/>
    </row>
    <row r="20" spans="1:40" x14ac:dyDescent="0.15">
      <c r="A20" s="270" t="str">
        <f>'Tariffs Jul2017'!F14</f>
        <v>Alinta Energy</v>
      </c>
      <c r="B20" s="40" t="str">
        <f>'Tariffs Jul2017'!D14</f>
        <v>Multinet 2</v>
      </c>
      <c r="C20" s="40" t="str">
        <f>'Tariffs Jul2017'!G14</f>
        <v>Fair Deal</v>
      </c>
      <c r="D20" s="59">
        <f>365*'Tariffs Jul2017'!H14/100</f>
        <v>240.79049999999998</v>
      </c>
      <c r="E20" s="59">
        <f>IF($C$5*'Tariffs Jul2017'!AK14/'Tariffs Jul2017'!AI14&gt;='Tariffs Jul2017'!J14,( 'Tariffs Jul2017'!J14*'Tariffs Jul2017'!O14/100)* 'Tariffs Jul2017'!AI14,($C$5*'Tariffs Jul2017'!AK14/'Tariffs Jul2017'!AI14*'Tariffs Jul2017'!O14/100)* 'Tariffs Jul2017'!AI14)</f>
        <v>189</v>
      </c>
      <c r="F20" s="59">
        <f>IF($C$5*'Tariffs Jul2017'!AK14/'Tariffs Jul2017'!AI14&lt;'Tariffs Jul2017'!J14,0,IF($C$5*'Tariffs Jul2017'!AK14/'Tariffs Jul2017'!AI14&lt;='Tariffs Jul2017'!K14,($C$5*'Tariffs Jul2017'!AK14/'Tariffs Jul2017'!AI14-'Tariffs Jul2017'!J14)*('Tariffs Jul2017'!P14/100)*'Tariffs Jul2017'!AI14,('Tariffs Jul2017'!K14-'Tariffs Jul2017'!J14)*('Tariffs Jul2017'!P14/100)*'Tariffs Jul2017'!AI14))</f>
        <v>142.20000000000002</v>
      </c>
      <c r="G20" s="59">
        <f>IF($C$5*'Tariffs Jul2017'!AK14/'Tariffs Jul2017'!AI14&lt;'Tariffs Jul2017'!K14,0,IF($C$5*'Tariffs Jul2017'!AK14/'Tariffs Jul2017'!AI14&lt;='Tariffs Jul2017'!L14,($C$5*'Tariffs Jul2017'!AK14/'Tariffs Jul2017'!AI14-'Tariffs Jul2017'!K14)*('Tariffs Jul2017'!Q14/100)*'Tariffs Jul2017'!AI14,('Tariffs Jul2017'!L14-'Tariffs Jul2017'!K14)*('Tariffs Jul2017'!Q14/100)*'Tariffs Jul2017'!AI14))</f>
        <v>0</v>
      </c>
      <c r="H20" s="59">
        <f>IF($C$5*'Tariffs Jul2017'!AK14/'Tariffs Jul2017'!AI14&lt;'Tariffs Jul2017'!L14,0,IF($C$5*'Tariffs Jul2017'!AK14/'Tariffs Jul2017'!AI14&lt;='Tariffs Jul2017'!M14,($C$5*'Tariffs Jul2017'!AK14/'Tariffs Jul2017'!AI14-'Tariffs Jul2017'!L14)*('Tariffs Jul2017'!R14/100)*'Tariffs Jul2017'!AI14,('Tariffs Jul2017'!M14-'Tariffs Jul2017'!L14)*('Tariffs Jul2017'!R14/100)*'Tariffs Jul2017'!AI14))</f>
        <v>0</v>
      </c>
      <c r="I20" s="59">
        <f>IF(($C$5*'Tariffs Jul2017'!AK14/'Tariffs Jul2017'!AI14&gt;'Tariffs Jul2017'!M14),($C$5*'Tariffs Jul2017'!AK14/'Tariffs Jul2017'!AI14-'Tariffs Jul2017'!M14)*'Tariffs Jul2017'!S14/100*'Tariffs Jul2017'!AI14,0)</f>
        <v>213.29999999999998</v>
      </c>
      <c r="J20" s="59">
        <f>IF($C$5*'Tariffs Jul2017'!AL14/'Tariffs Jul2017'!AJ14&gt;='Tariffs Jul2017'!J14,('Tariffs Jul2017'!J14*'Tariffs Jul2017'!U14/100)* 'Tariffs Jul2017'!AJ14,($C$5*'Tariffs Jul2017'!AL14/'Tariffs Jul2017'!AJ14*'Tariffs Jul2017'!U14/100)* 'Tariffs Jul2017'!AJ14)</f>
        <v>184.49999999999997</v>
      </c>
      <c r="K20" s="59">
        <f>IF($C$5*'Tariffs Jul2017'!AL14/'Tariffs Jul2017'!AJ14&lt;'Tariffs Jul2017'!J14,0,IF($C$5*'Tariffs Jul2017'!AL14/'Tariffs Jul2017'!AJ14&lt;='Tariffs Jul2017'!K14,($C$5*'Tariffs Jul2017'!AL14/'Tariffs Jul2017'!AJ14-'Tariffs Jul2017'!J14)*('Tariffs Jul2017'!V14/100)*'Tariffs Jul2017'!AJ14,('Tariffs Jul2017'!K14-'Tariffs Jul2017'!J14)*('Tariffs Jul2017'!V14/100)*'Tariffs Jul2017'!AJ14))</f>
        <v>134.10000000000002</v>
      </c>
      <c r="L20" s="59">
        <f>IF($C$5*'Tariffs Jul2017'!AL14/'Tariffs Jul2017'!AJ14&lt;'Tariffs Jul2017'!K14,0,IF($C$5*'Tariffs Jul2017'!AL14/'Tariffs Jul2017'!AJ14&lt;='Tariffs Jul2017'!L14,($C$5*'Tariffs Jul2017'!AL14/'Tariffs Jul2017'!AJ14-'Tariffs Jul2017'!K14)*('Tariffs Jul2017'!W14/100)*'Tariffs Jul2017'!AJ14,('Tariffs Jul2017'!L14-'Tariffs Jul2017'!K14)*('Tariffs Jul2017'!W14/100)*'Tariffs Jul2017'!AJ14))</f>
        <v>0</v>
      </c>
      <c r="M20" s="59">
        <f>IF($C$5*'Tariffs Jul2017'!AL14/'Tariffs Jul2017'!AJ14&lt;'Tariffs Jul2017'!L14,0,IF($C$5*'Tariffs Jul2017'!AL14/'Tariffs Jul2017'!AJ14&lt;='Tariffs Jul2017'!M14,($C$5*'Tariffs Jul2017'!AL14/'Tariffs Jul2017'!AJ14-'Tariffs Jul2017'!L14)*('Tariffs Jul2017'!X14/100)*'Tariffs Jul2017'!AJ14,('Tariffs Jul2017'!M14-'Tariffs Jul2017'!L14)*('Tariffs Jul2017'!X14/100)*'Tariffs Jul2017'!AJ14))</f>
        <v>0</v>
      </c>
      <c r="N20" s="59">
        <f>IF(($C$5*'Tariffs Jul2017'!AL14/'Tariffs Jul2017'!AJ14&gt;'Tariffs Jul2017'!M14),($C$5*'Tariffs Jul2017'!AL14/'Tariffs Jul2017'!AJ14-'Tariffs Jul2017'!M14)*'Tariffs Jul2017'!Y14/100*'Tariffs Jul2017'!AJ14,0)</f>
        <v>201.14999999999998</v>
      </c>
      <c r="O20" s="271">
        <f t="shared" si="0"/>
        <v>1064.25</v>
      </c>
      <c r="P20" s="59">
        <f t="shared" si="1"/>
        <v>1305.0405000000001</v>
      </c>
      <c r="Q20" s="272">
        <f t="shared" si="2"/>
        <v>1435.5445500000003</v>
      </c>
      <c r="R20" s="40">
        <f>'Tariffs Jul2017'!AM14</f>
        <v>0</v>
      </c>
      <c r="S20" s="40">
        <f>'Tariffs Jul2017'!AN14</f>
        <v>0</v>
      </c>
      <c r="T20" s="40">
        <f>'Tariffs Jul2017'!AO14</f>
        <v>0</v>
      </c>
      <c r="U20" s="40">
        <f>'Tariffs Jul2017'!AP14</f>
        <v>25</v>
      </c>
      <c r="V20" s="273">
        <f t="shared" si="3"/>
        <v>1305.0405000000001</v>
      </c>
      <c r="W20" s="273">
        <f>V20-(O20*U20/100)</f>
        <v>1038.9780000000001</v>
      </c>
      <c r="X20" s="272">
        <f t="shared" si="4"/>
        <v>1435.5445500000003</v>
      </c>
      <c r="Y20" s="272">
        <f t="shared" si="4"/>
        <v>1142.8758000000003</v>
      </c>
      <c r="Z20" s="274">
        <f>'Tariffs Jul2017'!AW14</f>
        <v>0</v>
      </c>
      <c r="AA20" s="274" t="str">
        <f>'Tariffs Jul2017'!AX14</f>
        <v>n</v>
      </c>
      <c r="AB20" s="275" t="str">
        <f>'Tariffs Jul2017'!BD14</f>
        <v>N</v>
      </c>
      <c r="AC20" s="317"/>
      <c r="AD20" s="317"/>
      <c r="AE20" s="317"/>
      <c r="AF20" s="317"/>
      <c r="AG20" s="317"/>
      <c r="AH20" s="317"/>
      <c r="AI20" s="317"/>
      <c r="AJ20" s="317"/>
      <c r="AK20" s="317"/>
      <c r="AL20" s="317"/>
      <c r="AM20" s="317"/>
      <c r="AN20" s="317"/>
    </row>
    <row r="21" spans="1:40" x14ac:dyDescent="0.15">
      <c r="A21" s="270" t="str">
        <f>'Tariffs Jul2017'!F15</f>
        <v>Click Energy</v>
      </c>
      <c r="B21" s="40" t="str">
        <f>'Tariffs Jul2017'!D15</f>
        <v>Multinet 2</v>
      </c>
      <c r="C21" s="40" t="str">
        <f>'Tariffs Jul2017'!G15</f>
        <v>Amber</v>
      </c>
      <c r="D21" s="59">
        <f>365*'Tariffs Jul2017'!H15/100</f>
        <v>285.06499999999994</v>
      </c>
      <c r="E21" s="59">
        <f>IF($C$5*'Tariffs Jul2017'!AK15/'Tariffs Jul2017'!AI15&gt;='Tariffs Jul2017'!J15,( 'Tariffs Jul2017'!J15*'Tariffs Jul2017'!O15/100)* 'Tariffs Jul2017'!AI15,($C$5*'Tariffs Jul2017'!AK15/'Tariffs Jul2017'!AI15*'Tariffs Jul2017'!O15/100)* 'Tariffs Jul2017'!AI15)</f>
        <v>238.5</v>
      </c>
      <c r="F21" s="59">
        <f>IF($C$5*'Tariffs Jul2017'!AK15/'Tariffs Jul2017'!AI15&lt;'Tariffs Jul2017'!J15,0,IF($C$5*'Tariffs Jul2017'!AK15/'Tariffs Jul2017'!AI15&lt;='Tariffs Jul2017'!K15,($C$5*'Tariffs Jul2017'!AK15/'Tariffs Jul2017'!AI15-'Tariffs Jul2017'!J15)*('Tariffs Jul2017'!P15/100)*'Tariffs Jul2017'!AI15,('Tariffs Jul2017'!K15-'Tariffs Jul2017'!J15)*('Tariffs Jul2017'!P15/100)*'Tariffs Jul2017'!AI15))</f>
        <v>202.5</v>
      </c>
      <c r="G21" s="59">
        <f>IF($C$5*'Tariffs Jul2017'!AK15/'Tariffs Jul2017'!AI15&lt;'Tariffs Jul2017'!K15,0,IF($C$5*'Tariffs Jul2017'!AK15/'Tariffs Jul2017'!AI15&lt;='Tariffs Jul2017'!L15,($C$5*'Tariffs Jul2017'!AK15/'Tariffs Jul2017'!AI15-'Tariffs Jul2017'!K15)*('Tariffs Jul2017'!Q15/100)*'Tariffs Jul2017'!AI15,('Tariffs Jul2017'!L15-'Tariffs Jul2017'!K15)*('Tariffs Jul2017'!Q15/100)*'Tariffs Jul2017'!AI15))</f>
        <v>166.50000000000003</v>
      </c>
      <c r="H21" s="59">
        <f>IF($C$5*'Tariffs Jul2017'!AK15/'Tariffs Jul2017'!AI15&lt;'Tariffs Jul2017'!L15,0,IF($C$5*'Tariffs Jul2017'!AK15/'Tariffs Jul2017'!AI15&lt;='Tariffs Jul2017'!M15,($C$5*'Tariffs Jul2017'!AK15/'Tariffs Jul2017'!AI15-'Tariffs Jul2017'!L15)*('Tariffs Jul2017'!R15/100)*'Tariffs Jul2017'!AI15,('Tariffs Jul2017'!M15-'Tariffs Jul2017'!L15)*('Tariffs Jul2017'!R15/100)*'Tariffs Jul2017'!AI15))</f>
        <v>74.25</v>
      </c>
      <c r="I21" s="59">
        <f>IF(($C$5*'Tariffs Jul2017'!AK15/'Tariffs Jul2017'!AI15&gt;'Tariffs Jul2017'!M15),($C$5*'Tariffs Jul2017'!AK15/'Tariffs Jul2017'!AI15-'Tariffs Jul2017'!M15)*'Tariffs Jul2017'!S15/100*'Tariffs Jul2017'!AI15,0)</f>
        <v>0</v>
      </c>
      <c r="J21" s="59">
        <f>IF($C$5*'Tariffs Jul2017'!AL15/'Tariffs Jul2017'!AJ15&gt;='Tariffs Jul2017'!J15,('Tariffs Jul2017'!J15*'Tariffs Jul2017'!U15/100)* 'Tariffs Jul2017'!AJ15,($C$5*'Tariffs Jul2017'!AL15/'Tariffs Jul2017'!AJ15*'Tariffs Jul2017'!U15/100)* 'Tariffs Jul2017'!AJ15)</f>
        <v>229.49999999999994</v>
      </c>
      <c r="K21" s="59">
        <f>IF($C$5*'Tariffs Jul2017'!AL15/'Tariffs Jul2017'!AJ15&lt;'Tariffs Jul2017'!J15,0,IF($C$5*'Tariffs Jul2017'!AL15/'Tariffs Jul2017'!AJ15&lt;='Tariffs Jul2017'!K15,($C$5*'Tariffs Jul2017'!AL15/'Tariffs Jul2017'!AJ15-'Tariffs Jul2017'!J15)*('Tariffs Jul2017'!V15/100)*'Tariffs Jul2017'!AJ15,('Tariffs Jul2017'!K15-'Tariffs Jul2017'!J15)*('Tariffs Jul2017'!V15/100)*'Tariffs Jul2017'!AJ15))</f>
        <v>198</v>
      </c>
      <c r="L21" s="59">
        <f>IF($C$5*'Tariffs Jul2017'!AL15/'Tariffs Jul2017'!AJ15&lt;'Tariffs Jul2017'!K15,0,IF($C$5*'Tariffs Jul2017'!AL15/'Tariffs Jul2017'!AJ15&lt;='Tariffs Jul2017'!L15,($C$5*'Tariffs Jul2017'!AL15/'Tariffs Jul2017'!AJ15-'Tariffs Jul2017'!K15)*('Tariffs Jul2017'!W15/100)*'Tariffs Jul2017'!AJ15,('Tariffs Jul2017'!L15-'Tariffs Jul2017'!K15)*('Tariffs Jul2017'!W15/100)*'Tariffs Jul2017'!AJ15))</f>
        <v>162.00000000000003</v>
      </c>
      <c r="M21" s="59">
        <f>IF($C$5*'Tariffs Jul2017'!AL15/'Tariffs Jul2017'!AJ15&lt;'Tariffs Jul2017'!L15,0,IF($C$5*'Tariffs Jul2017'!AL15/'Tariffs Jul2017'!AJ15&lt;='Tariffs Jul2017'!M15,($C$5*'Tariffs Jul2017'!AL15/'Tariffs Jul2017'!AJ15-'Tariffs Jul2017'!L15)*('Tariffs Jul2017'!X15/100)*'Tariffs Jul2017'!AJ15,('Tariffs Jul2017'!M15-'Tariffs Jul2017'!L15)*('Tariffs Jul2017'!X15/100)*'Tariffs Jul2017'!AJ15))</f>
        <v>74.25</v>
      </c>
      <c r="N21" s="59">
        <f>IF(($C$5*'Tariffs Jul2017'!AL15/'Tariffs Jul2017'!AJ15&gt;'Tariffs Jul2017'!M15),($C$5*'Tariffs Jul2017'!AL15/'Tariffs Jul2017'!AJ15-'Tariffs Jul2017'!M15)*'Tariffs Jul2017'!Y15/100*'Tariffs Jul2017'!AJ15,0)</f>
        <v>0</v>
      </c>
      <c r="O21" s="271">
        <f t="shared" si="0"/>
        <v>1345.5</v>
      </c>
      <c r="P21" s="59">
        <f t="shared" si="1"/>
        <v>1630.5650000000001</v>
      </c>
      <c r="Q21" s="272">
        <f t="shared" si="2"/>
        <v>1793.6215000000002</v>
      </c>
      <c r="R21" s="40">
        <f>'Tariffs Jul2017'!AM15</f>
        <v>0</v>
      </c>
      <c r="S21" s="40">
        <f>'Tariffs Jul2017'!AN15</f>
        <v>0</v>
      </c>
      <c r="T21" s="40">
        <f>'Tariffs Jul2017'!AO15</f>
        <v>14</v>
      </c>
      <c r="U21" s="40">
        <f>'Tariffs Jul2017'!AP15</f>
        <v>0</v>
      </c>
      <c r="V21" s="273">
        <f t="shared" si="3"/>
        <v>1630.5650000000001</v>
      </c>
      <c r="W21" s="273">
        <f>V21-(P21*T21/100)</f>
        <v>1402.2859000000001</v>
      </c>
      <c r="X21" s="272">
        <f t="shared" si="4"/>
        <v>1793.6215000000002</v>
      </c>
      <c r="Y21" s="272">
        <f t="shared" si="4"/>
        <v>1542.5144900000003</v>
      </c>
      <c r="Z21" s="274">
        <f>'Tariffs Jul2017'!AW15</f>
        <v>0</v>
      </c>
      <c r="AA21" s="274" t="str">
        <f>'Tariffs Jul2017'!AX15</f>
        <v>n</v>
      </c>
      <c r="AB21" s="275" t="str">
        <f>'Tariffs Jul2017'!BD15</f>
        <v>N</v>
      </c>
      <c r="AC21" s="317"/>
      <c r="AD21" s="317"/>
      <c r="AE21" s="317"/>
      <c r="AF21" s="317"/>
      <c r="AG21" s="317"/>
      <c r="AH21" s="317"/>
      <c r="AI21" s="317"/>
      <c r="AJ21" s="317"/>
      <c r="AK21" s="317"/>
      <c r="AL21" s="317"/>
      <c r="AM21" s="317"/>
      <c r="AN21" s="317"/>
    </row>
    <row r="22" spans="1:40" x14ac:dyDescent="0.15">
      <c r="A22" s="270" t="str">
        <f>'Tariffs Jul2017'!F16</f>
        <v>Covau</v>
      </c>
      <c r="B22" s="40" t="str">
        <f>'Tariffs Jul2017'!D16</f>
        <v>Multinet 2</v>
      </c>
      <c r="C22" s="40" t="str">
        <f>'Tariffs Jul2017'!G16</f>
        <v>Market offer</v>
      </c>
      <c r="D22" s="59">
        <f>365*'Tariffs Jul2017'!H16/100</f>
        <v>255.5</v>
      </c>
      <c r="E22" s="59">
        <f>IF($C$5*'Tariffs Jul2017'!AK16/'Tariffs Jul2017'!AI16&gt;='Tariffs Jul2017'!J16,( 'Tariffs Jul2017'!J16*'Tariffs Jul2017'!O16/100)* 'Tariffs Jul2017'!AI16,($C$5*'Tariffs Jul2017'!AK16/'Tariffs Jul2017'!AI16*'Tariffs Jul2017'!O16/100)* 'Tariffs Jul2017'!AI16)</f>
        <v>302.39999999999998</v>
      </c>
      <c r="F22" s="59">
        <f>IF($C$5*'Tariffs Jul2017'!AK16/'Tariffs Jul2017'!AI16&lt;'Tariffs Jul2017'!J16,0,IF($C$5*'Tariffs Jul2017'!AK16/'Tariffs Jul2017'!AI16&lt;='Tariffs Jul2017'!K16,($C$5*'Tariffs Jul2017'!AK16/'Tariffs Jul2017'!AI16-'Tariffs Jul2017'!J16)*('Tariffs Jul2017'!P16/100)*'Tariffs Jul2017'!AI16,('Tariffs Jul2017'!K16-'Tariffs Jul2017'!J16)*('Tariffs Jul2017'!P16/100)*'Tariffs Jul2017'!AI16))</f>
        <v>525.59999999999991</v>
      </c>
      <c r="G22" s="59">
        <f>IF($C$5*'Tariffs Jul2017'!AK16/'Tariffs Jul2017'!AI16&lt;'Tariffs Jul2017'!K16,0,IF($C$5*'Tariffs Jul2017'!AK16/'Tariffs Jul2017'!AI16&lt;='Tariffs Jul2017'!L16,($C$5*'Tariffs Jul2017'!AK16/'Tariffs Jul2017'!AI16-'Tariffs Jul2017'!K16)*('Tariffs Jul2017'!Q16/100)*'Tariffs Jul2017'!AI16,('Tariffs Jul2017'!L16-'Tariffs Jul2017'!K16)*('Tariffs Jul2017'!Q16/100)*'Tariffs Jul2017'!AI16))</f>
        <v>99</v>
      </c>
      <c r="H22" s="59">
        <f>IF($C$5*'Tariffs Jul2017'!AK16/'Tariffs Jul2017'!AI16&lt;'Tariffs Jul2017'!L16,0,IF($C$5*'Tariffs Jul2017'!AK16/'Tariffs Jul2017'!AI16&lt;='Tariffs Jul2017'!M16,($C$5*'Tariffs Jul2017'!AK16/'Tariffs Jul2017'!AI16-'Tariffs Jul2017'!L16)*('Tariffs Jul2017'!R16/100)*'Tariffs Jul2017'!AI16,('Tariffs Jul2017'!M16-'Tariffs Jul2017'!L16)*('Tariffs Jul2017'!R16/100)*'Tariffs Jul2017'!AI16))</f>
        <v>0</v>
      </c>
      <c r="I22" s="59">
        <f>IF(($C$5*'Tariffs Jul2017'!AK16/'Tariffs Jul2017'!AI16&gt;'Tariffs Jul2017'!M16),($C$5*'Tariffs Jul2017'!AK16/'Tariffs Jul2017'!AI16-'Tariffs Jul2017'!M16)*'Tariffs Jul2017'!S16/100*'Tariffs Jul2017'!AI16,0)</f>
        <v>0</v>
      </c>
      <c r="J22" s="59">
        <f>IF($C$5*'Tariffs Jul2017'!AL16/'Tariffs Jul2017'!AJ16&gt;='Tariffs Jul2017'!J16,('Tariffs Jul2017'!J16*'Tariffs Jul2017'!U16/100)* 'Tariffs Jul2017'!AJ16,($C$5*'Tariffs Jul2017'!AL16/'Tariffs Jul2017'!AJ16*'Tariffs Jul2017'!U16/100)* 'Tariffs Jul2017'!AJ16)</f>
        <v>242.10000000000002</v>
      </c>
      <c r="K22" s="59">
        <f>IF($C$5*'Tariffs Jul2017'!AL16/'Tariffs Jul2017'!AJ16&lt;'Tariffs Jul2017'!J16,0,IF($C$5*'Tariffs Jul2017'!AL16/'Tariffs Jul2017'!AJ16&lt;='Tariffs Jul2017'!K16,($C$5*'Tariffs Jul2017'!AL16/'Tariffs Jul2017'!AJ16-'Tariffs Jul2017'!J16)*('Tariffs Jul2017'!V16/100)*'Tariffs Jul2017'!AJ16,('Tariffs Jul2017'!K16-'Tariffs Jul2017'!J16)*('Tariffs Jul2017'!V16/100)*'Tariffs Jul2017'!AJ16))</f>
        <v>414</v>
      </c>
      <c r="L22" s="59">
        <f>IF($C$5*'Tariffs Jul2017'!AL16/'Tariffs Jul2017'!AJ16&lt;'Tariffs Jul2017'!K16,0,IF($C$5*'Tariffs Jul2017'!AL16/'Tariffs Jul2017'!AJ16&lt;='Tariffs Jul2017'!L16,($C$5*'Tariffs Jul2017'!AL16/'Tariffs Jul2017'!AJ16-'Tariffs Jul2017'!K16)*('Tariffs Jul2017'!W16/100)*'Tariffs Jul2017'!AJ16,('Tariffs Jul2017'!L16-'Tariffs Jul2017'!K16)*('Tariffs Jul2017'!W16/100)*'Tariffs Jul2017'!AJ16))</f>
        <v>87.75</v>
      </c>
      <c r="M22" s="59">
        <f>IF($C$5*'Tariffs Jul2017'!AL16/'Tariffs Jul2017'!AJ16&lt;'Tariffs Jul2017'!L16,0,IF($C$5*'Tariffs Jul2017'!AL16/'Tariffs Jul2017'!AJ16&lt;='Tariffs Jul2017'!M16,($C$5*'Tariffs Jul2017'!AL16/'Tariffs Jul2017'!AJ16-'Tariffs Jul2017'!L16)*('Tariffs Jul2017'!X16/100)*'Tariffs Jul2017'!AJ16,('Tariffs Jul2017'!M16-'Tariffs Jul2017'!L16)*('Tariffs Jul2017'!X16/100)*'Tariffs Jul2017'!AJ16))</f>
        <v>0</v>
      </c>
      <c r="N22" s="59">
        <f>IF(($C$5*'Tariffs Jul2017'!AL16/'Tariffs Jul2017'!AJ16&gt;'Tariffs Jul2017'!M16),($C$5*'Tariffs Jul2017'!AL16/'Tariffs Jul2017'!AJ16-'Tariffs Jul2017'!M16)*'Tariffs Jul2017'!Y16/100*'Tariffs Jul2017'!AJ16,0)</f>
        <v>0</v>
      </c>
      <c r="O22" s="271">
        <f t="shared" si="0"/>
        <v>1670.85</v>
      </c>
      <c r="P22" s="59">
        <f t="shared" si="1"/>
        <v>1926.35</v>
      </c>
      <c r="Q22" s="272">
        <f t="shared" si="2"/>
        <v>2118.9850000000001</v>
      </c>
      <c r="R22" s="40">
        <f>'Tariffs Jul2017'!AM16</f>
        <v>0</v>
      </c>
      <c r="S22" s="40">
        <f>'Tariffs Jul2017'!AN16</f>
        <v>0</v>
      </c>
      <c r="T22" s="40">
        <f>'Tariffs Jul2017'!AO16</f>
        <v>0</v>
      </c>
      <c r="U22" s="40">
        <f>'Tariffs Jul2017'!AP16</f>
        <v>16</v>
      </c>
      <c r="V22" s="273">
        <f t="shared" si="3"/>
        <v>1926.35</v>
      </c>
      <c r="W22" s="273">
        <f>V22-(O22*U22/100)</f>
        <v>1659.0139999999999</v>
      </c>
      <c r="X22" s="272">
        <f t="shared" si="4"/>
        <v>2118.9850000000001</v>
      </c>
      <c r="Y22" s="272">
        <f t="shared" si="4"/>
        <v>1824.9154000000001</v>
      </c>
      <c r="Z22" s="274">
        <f>'Tariffs Jul2017'!AW16</f>
        <v>12</v>
      </c>
      <c r="AA22" s="274" t="str">
        <f>'Tariffs Jul2017'!AX16</f>
        <v>y</v>
      </c>
      <c r="AB22" s="275" t="str">
        <f>'Tariffs Jul2017'!BD16</f>
        <v>N</v>
      </c>
      <c r="AC22" s="317"/>
      <c r="AD22" s="317"/>
      <c r="AE22" s="317"/>
      <c r="AF22" s="317"/>
      <c r="AG22" s="317"/>
      <c r="AH22" s="317"/>
      <c r="AI22" s="317"/>
      <c r="AJ22" s="317"/>
      <c r="AK22" s="317"/>
      <c r="AL22" s="317"/>
      <c r="AM22" s="317"/>
      <c r="AN22" s="317"/>
    </row>
    <row r="23" spans="1:40" x14ac:dyDescent="0.15">
      <c r="A23" s="270" t="str">
        <f>'Tariffs Jul2017'!F17</f>
        <v>Dodo Power &amp; Gas</v>
      </c>
      <c r="B23" s="40" t="str">
        <f>'Tariffs Jul2017'!D17</f>
        <v>Multinet 2</v>
      </c>
      <c r="C23" s="40" t="str">
        <f>'Tariffs Jul2017'!G17</f>
        <v>Market offer</v>
      </c>
      <c r="D23" s="59">
        <f>365*'Tariffs Jul2017'!H17/100</f>
        <v>115.3035</v>
      </c>
      <c r="E23" s="59">
        <f>IF($C$5*'Tariffs Jul2017'!AK17/'Tariffs Jul2017'!AI17&gt;='Tariffs Jul2017'!J17,( 'Tariffs Jul2017'!J17*'Tariffs Jul2017'!O17/100)* 'Tariffs Jul2017'!AI17,($C$5*'Tariffs Jul2017'!AK17/'Tariffs Jul2017'!AI17*'Tariffs Jul2017'!O17/100)* 'Tariffs Jul2017'!AI17)</f>
        <v>223.64999999999998</v>
      </c>
      <c r="F23" s="59">
        <f>IF($C$5*'Tariffs Jul2017'!AK17/'Tariffs Jul2017'!AI17&lt;'Tariffs Jul2017'!J17,0,IF($C$5*'Tariffs Jul2017'!AK17/'Tariffs Jul2017'!AI17&lt;='Tariffs Jul2017'!K17,($C$5*'Tariffs Jul2017'!AK17/'Tariffs Jul2017'!AI17-'Tariffs Jul2017'!J17)*('Tariffs Jul2017'!P17/100)*'Tariffs Jul2017'!AI17,('Tariffs Jul2017'!K17-'Tariffs Jul2017'!J17)*('Tariffs Jul2017'!P17/100)*'Tariffs Jul2017'!AI17))</f>
        <v>0</v>
      </c>
      <c r="G23" s="59">
        <f>IF($C$5*'Tariffs Jul2017'!AK17/'Tariffs Jul2017'!AI17&lt;'Tariffs Jul2017'!K17,0,IF($C$5*'Tariffs Jul2017'!AK17/'Tariffs Jul2017'!AI17&lt;='Tariffs Jul2017'!L17,($C$5*'Tariffs Jul2017'!AK17/'Tariffs Jul2017'!AI17-'Tariffs Jul2017'!K17)*('Tariffs Jul2017'!Q17/100)*'Tariffs Jul2017'!AI17,('Tariffs Jul2017'!L17-'Tariffs Jul2017'!K17)*('Tariffs Jul2017'!Q17/100)*'Tariffs Jul2017'!AI17))</f>
        <v>0</v>
      </c>
      <c r="H23" s="59">
        <f>IF($C$5*'Tariffs Jul2017'!AK17/'Tariffs Jul2017'!AI17&lt;'Tariffs Jul2017'!L17,0,IF($C$5*'Tariffs Jul2017'!AK17/'Tariffs Jul2017'!AI17&lt;='Tariffs Jul2017'!M17,($C$5*'Tariffs Jul2017'!AK17/'Tariffs Jul2017'!AI17-'Tariffs Jul2017'!L17)*('Tariffs Jul2017'!R17/100)*'Tariffs Jul2017'!AI17,('Tariffs Jul2017'!M17-'Tariffs Jul2017'!L17)*('Tariffs Jul2017'!R17/100)*'Tariffs Jul2017'!AI17))</f>
        <v>0</v>
      </c>
      <c r="I23" s="59">
        <f>IF(($C$5*'Tariffs Jul2017'!AK17/'Tariffs Jul2017'!AI17&gt;'Tariffs Jul2017'!M17),($C$5*'Tariffs Jul2017'!AK17/'Tariffs Jul2017'!AI17-'Tariffs Jul2017'!M17)*'Tariffs Jul2017'!S17/100*'Tariffs Jul2017'!AI17,0)</f>
        <v>361.20000000000005</v>
      </c>
      <c r="J23" s="59">
        <f>IF($C$5*'Tariffs Jul2017'!AL17/'Tariffs Jul2017'!AJ17&gt;='Tariffs Jul2017'!J17,('Tariffs Jul2017'!J17*'Tariffs Jul2017'!U17/100)* 'Tariffs Jul2017'!AJ17,($C$5*'Tariffs Jul2017'!AL17/'Tariffs Jul2017'!AJ17*'Tariffs Jul2017'!U17/100)* 'Tariffs Jul2017'!AJ17)</f>
        <v>210</v>
      </c>
      <c r="K23" s="59">
        <f>IF($C$5*'Tariffs Jul2017'!AL17/'Tariffs Jul2017'!AJ17&lt;'Tariffs Jul2017'!J17,0,IF($C$5*'Tariffs Jul2017'!AL17/'Tariffs Jul2017'!AJ17&lt;='Tariffs Jul2017'!K17,($C$5*'Tariffs Jul2017'!AL17/'Tariffs Jul2017'!AJ17-'Tariffs Jul2017'!J17)*('Tariffs Jul2017'!V17/100)*'Tariffs Jul2017'!AJ17,('Tariffs Jul2017'!K17-'Tariffs Jul2017'!J17)*('Tariffs Jul2017'!V17/100)*'Tariffs Jul2017'!AJ17))</f>
        <v>0</v>
      </c>
      <c r="L23" s="59">
        <f>IF($C$5*'Tariffs Jul2017'!AL17/'Tariffs Jul2017'!AJ17&lt;'Tariffs Jul2017'!K17,0,IF($C$5*'Tariffs Jul2017'!AL17/'Tariffs Jul2017'!AJ17&lt;='Tariffs Jul2017'!L17,($C$5*'Tariffs Jul2017'!AL17/'Tariffs Jul2017'!AJ17-'Tariffs Jul2017'!K17)*('Tariffs Jul2017'!W17/100)*'Tariffs Jul2017'!AJ17,('Tariffs Jul2017'!L17-'Tariffs Jul2017'!K17)*('Tariffs Jul2017'!W17/100)*'Tariffs Jul2017'!AJ17))</f>
        <v>0</v>
      </c>
      <c r="M23" s="59">
        <f>IF($C$5*'Tariffs Jul2017'!AL17/'Tariffs Jul2017'!AJ17&lt;'Tariffs Jul2017'!L17,0,IF($C$5*'Tariffs Jul2017'!AL17/'Tariffs Jul2017'!AJ17&lt;='Tariffs Jul2017'!M17,($C$5*'Tariffs Jul2017'!AL17/'Tariffs Jul2017'!AJ17-'Tariffs Jul2017'!L17)*('Tariffs Jul2017'!X17/100)*'Tariffs Jul2017'!AJ17,('Tariffs Jul2017'!M17-'Tariffs Jul2017'!L17)*('Tariffs Jul2017'!X17/100)*'Tariffs Jul2017'!AJ17))</f>
        <v>0</v>
      </c>
      <c r="N23" s="59">
        <f>IF(($C$5*'Tariffs Jul2017'!AL17/'Tariffs Jul2017'!AJ17&gt;'Tariffs Jul2017'!M17),($C$5*'Tariffs Jul2017'!AL17/'Tariffs Jul2017'!AJ17-'Tariffs Jul2017'!M17)*'Tariffs Jul2017'!Y17/100*'Tariffs Jul2017'!AJ17,0)</f>
        <v>350.70000000000005</v>
      </c>
      <c r="O23" s="271">
        <f t="shared" si="0"/>
        <v>1145.5500000000002</v>
      </c>
      <c r="P23" s="59">
        <f t="shared" si="1"/>
        <v>1260.8535000000002</v>
      </c>
      <c r="Q23" s="272">
        <f t="shared" si="2"/>
        <v>1386.9388500000002</v>
      </c>
      <c r="R23" s="40">
        <f>'Tariffs Jul2017'!AM17</f>
        <v>0</v>
      </c>
      <c r="S23" s="40">
        <f>'Tariffs Jul2017'!AN17</f>
        <v>0</v>
      </c>
      <c r="T23" s="40">
        <f>'Tariffs Jul2017'!AO17</f>
        <v>0</v>
      </c>
      <c r="U23" s="40">
        <f>'Tariffs Jul2017'!AP17</f>
        <v>0</v>
      </c>
      <c r="V23" s="273">
        <f t="shared" si="3"/>
        <v>1260.8535000000002</v>
      </c>
      <c r="W23" s="273">
        <f>V23-(O23*U23/100)</f>
        <v>1260.8535000000002</v>
      </c>
      <c r="X23" s="272">
        <f t="shared" si="4"/>
        <v>1386.9388500000002</v>
      </c>
      <c r="Y23" s="272">
        <f t="shared" si="4"/>
        <v>1386.9388500000002</v>
      </c>
      <c r="Z23" s="274">
        <f>'Tariffs Jul2017'!AW17</f>
        <v>0</v>
      </c>
      <c r="AA23" s="274" t="str">
        <f>'Tariffs Jul2017'!AX17</f>
        <v>n</v>
      </c>
      <c r="AB23" s="275" t="str">
        <f>'Tariffs Jul2017'!BD17</f>
        <v>Y</v>
      </c>
      <c r="AC23" s="317"/>
      <c r="AD23" s="317"/>
      <c r="AE23" s="317"/>
      <c r="AF23" s="317"/>
      <c r="AG23" s="317"/>
      <c r="AH23" s="317"/>
      <c r="AI23" s="317"/>
      <c r="AJ23" s="317"/>
      <c r="AK23" s="317"/>
      <c r="AL23" s="317"/>
      <c r="AM23" s="317"/>
      <c r="AN23" s="317"/>
    </row>
    <row r="24" spans="1:40" x14ac:dyDescent="0.15">
      <c r="A24" s="270" t="str">
        <f>'Tariffs Jul2017'!F18</f>
        <v>EnergyAustralia</v>
      </c>
      <c r="B24" s="40" t="str">
        <f>'Tariffs Jul2017'!D18</f>
        <v>Multinet 2</v>
      </c>
      <c r="C24" s="40" t="str">
        <f>'Tariffs Jul2017'!G18</f>
        <v xml:space="preserve">Flexi Saver </v>
      </c>
      <c r="D24" s="59">
        <f>365*'Tariffs Jul2017'!H18/100</f>
        <v>245.64500000000001</v>
      </c>
      <c r="E24" s="59">
        <f>IF($C$5*'Tariffs Jul2017'!AK18/'Tariffs Jul2017'!AI18&gt;='Tariffs Jul2017'!J18,( 'Tariffs Jul2017'!J18*'Tariffs Jul2017'!O18/100)* 'Tariffs Jul2017'!AI18,($C$5*'Tariffs Jul2017'!AK18/'Tariffs Jul2017'!AI18*'Tariffs Jul2017'!O18/100)* 'Tariffs Jul2017'!AI18)</f>
        <v>215.10000000000002</v>
      </c>
      <c r="F24" s="59">
        <f>IF($C$5*'Tariffs Jul2017'!AK18/'Tariffs Jul2017'!AI18&lt;'Tariffs Jul2017'!J18,0,IF($C$5*'Tariffs Jul2017'!AK18/'Tariffs Jul2017'!AI18&lt;='Tariffs Jul2017'!K18,($C$5*'Tariffs Jul2017'!AK18/'Tariffs Jul2017'!AI18-'Tariffs Jul2017'!J18)*('Tariffs Jul2017'!P18/100)*'Tariffs Jul2017'!AI18,('Tariffs Jul2017'!K18-'Tariffs Jul2017'!J18)*('Tariffs Jul2017'!P18/100)*'Tariffs Jul2017'!AI18))</f>
        <v>192.60000000000002</v>
      </c>
      <c r="G24" s="59">
        <f>IF($C$5*'Tariffs Jul2017'!AK18/'Tariffs Jul2017'!AI18&lt;'Tariffs Jul2017'!K18,0,IF($C$5*'Tariffs Jul2017'!AK18/'Tariffs Jul2017'!AI18&lt;='Tariffs Jul2017'!L18,($C$5*'Tariffs Jul2017'!AK18/'Tariffs Jul2017'!AI18-'Tariffs Jul2017'!K18)*('Tariffs Jul2017'!Q18/100)*'Tariffs Jul2017'!AI18,('Tariffs Jul2017'!L18-'Tariffs Jul2017'!K18)*('Tariffs Jul2017'!Q18/100)*'Tariffs Jul2017'!AI18))</f>
        <v>155.69999999999999</v>
      </c>
      <c r="H24" s="59">
        <f>IF($C$5*'Tariffs Jul2017'!AK18/'Tariffs Jul2017'!AI18&lt;'Tariffs Jul2017'!L18,0,IF($C$5*'Tariffs Jul2017'!AK18/'Tariffs Jul2017'!AI18&lt;='Tariffs Jul2017'!M18,($C$5*'Tariffs Jul2017'!AK18/'Tariffs Jul2017'!AI18-'Tariffs Jul2017'!L18)*('Tariffs Jul2017'!R18/100)*'Tariffs Jul2017'!AI18,('Tariffs Jul2017'!M18-'Tariffs Jul2017'!L18)*('Tariffs Jul2017'!R18/100)*'Tariffs Jul2017'!AI18))</f>
        <v>66.599999999999994</v>
      </c>
      <c r="I24" s="59">
        <f>IF(($C$5*'Tariffs Jul2017'!AK18/'Tariffs Jul2017'!AI18&gt;'Tariffs Jul2017'!M18),($C$5*'Tariffs Jul2017'!AK18/'Tariffs Jul2017'!AI18-'Tariffs Jul2017'!M18)*'Tariffs Jul2017'!S18/100*'Tariffs Jul2017'!AI18,0)</f>
        <v>0</v>
      </c>
      <c r="J24" s="59">
        <f>IF($C$5*'Tariffs Jul2017'!AL18/'Tariffs Jul2017'!AJ18&gt;='Tariffs Jul2017'!J18,('Tariffs Jul2017'!J18*'Tariffs Jul2017'!U18/100)* 'Tariffs Jul2017'!AJ18,($C$5*'Tariffs Jul2017'!AL18/'Tariffs Jul2017'!AJ18*'Tariffs Jul2017'!U18/100)* 'Tariffs Jul2017'!AJ18)</f>
        <v>186.29999999999998</v>
      </c>
      <c r="K24" s="59">
        <f>IF($C$5*'Tariffs Jul2017'!AL18/'Tariffs Jul2017'!AJ18&lt;'Tariffs Jul2017'!J18,0,IF($C$5*'Tariffs Jul2017'!AL18/'Tariffs Jul2017'!AJ18&lt;='Tariffs Jul2017'!K18,($C$5*'Tariffs Jul2017'!AL18/'Tariffs Jul2017'!AJ18-'Tariffs Jul2017'!J18)*('Tariffs Jul2017'!V18/100)*'Tariffs Jul2017'!AJ18,('Tariffs Jul2017'!K18-'Tariffs Jul2017'!J18)*('Tariffs Jul2017'!V18/100)*'Tariffs Jul2017'!AJ18))</f>
        <v>160.19999999999999</v>
      </c>
      <c r="L24" s="59">
        <f>IF($C$5*'Tariffs Jul2017'!AL18/'Tariffs Jul2017'!AJ18&lt;'Tariffs Jul2017'!K18,0,IF($C$5*'Tariffs Jul2017'!AL18/'Tariffs Jul2017'!AJ18&lt;='Tariffs Jul2017'!L18,($C$5*'Tariffs Jul2017'!AL18/'Tariffs Jul2017'!AJ18-'Tariffs Jul2017'!K18)*('Tariffs Jul2017'!W18/100)*'Tariffs Jul2017'!AJ18,('Tariffs Jul2017'!L18-'Tariffs Jul2017'!K18)*('Tariffs Jul2017'!W18/100)*'Tariffs Jul2017'!AJ18))</f>
        <v>131.39999999999998</v>
      </c>
      <c r="M24" s="59">
        <f>IF($C$5*'Tariffs Jul2017'!AL18/'Tariffs Jul2017'!AJ18&lt;'Tariffs Jul2017'!L18,0,IF($C$5*'Tariffs Jul2017'!AL18/'Tariffs Jul2017'!AJ18&lt;='Tariffs Jul2017'!M18,($C$5*'Tariffs Jul2017'!AL18/'Tariffs Jul2017'!AJ18-'Tariffs Jul2017'!L18)*('Tariffs Jul2017'!X18/100)*'Tariffs Jul2017'!AJ18,('Tariffs Jul2017'!M18-'Tariffs Jul2017'!L18)*('Tariffs Jul2017'!X18/100)*'Tariffs Jul2017'!AJ18))</f>
        <v>59.400000000000006</v>
      </c>
      <c r="N24" s="59">
        <f>IF(($C$5*'Tariffs Jul2017'!AL18/'Tariffs Jul2017'!AJ18&gt;'Tariffs Jul2017'!M18),($C$5*'Tariffs Jul2017'!AL18/'Tariffs Jul2017'!AJ18-'Tariffs Jul2017'!M18)*'Tariffs Jul2017'!Y18/100*'Tariffs Jul2017'!AJ18,0)</f>
        <v>0</v>
      </c>
      <c r="O24" s="271">
        <f t="shared" si="0"/>
        <v>1167.3000000000002</v>
      </c>
      <c r="P24" s="59">
        <f t="shared" si="1"/>
        <v>1412.9450000000002</v>
      </c>
      <c r="Q24" s="272">
        <f t="shared" si="2"/>
        <v>1554.2395000000004</v>
      </c>
      <c r="R24" s="40">
        <f>'Tariffs Jul2017'!AM18</f>
        <v>0</v>
      </c>
      <c r="S24" s="40">
        <f>'Tariffs Jul2017'!AN18</f>
        <v>0</v>
      </c>
      <c r="T24" s="40">
        <f>'Tariffs Jul2017'!AO18</f>
        <v>0</v>
      </c>
      <c r="U24" s="40">
        <f>'Tariffs Jul2017'!AP18</f>
        <v>20</v>
      </c>
      <c r="V24" s="273">
        <f t="shared" si="3"/>
        <v>1412.9450000000002</v>
      </c>
      <c r="W24" s="273">
        <f>V24-(O24*U24/100)</f>
        <v>1179.4850000000001</v>
      </c>
      <c r="X24" s="272">
        <f t="shared" si="4"/>
        <v>1554.2395000000004</v>
      </c>
      <c r="Y24" s="272">
        <f t="shared" si="4"/>
        <v>1297.4335000000003</v>
      </c>
      <c r="Z24" s="274">
        <f>'Tariffs Jul2017'!AW18</f>
        <v>0</v>
      </c>
      <c r="AA24" s="274" t="str">
        <f>'Tariffs Jul2017'!AX18</f>
        <v>n</v>
      </c>
      <c r="AB24" s="275" t="str">
        <f>'Tariffs Jul2017'!BD18</f>
        <v>N</v>
      </c>
      <c r="AC24" s="317"/>
      <c r="AD24" s="317"/>
      <c r="AE24" s="317"/>
      <c r="AF24" s="317"/>
      <c r="AG24" s="317"/>
      <c r="AH24" s="317"/>
      <c r="AI24" s="317"/>
      <c r="AJ24" s="317"/>
      <c r="AK24" s="317"/>
      <c r="AL24" s="317"/>
      <c r="AM24" s="317"/>
      <c r="AN24" s="317"/>
    </row>
    <row r="25" spans="1:40" x14ac:dyDescent="0.15">
      <c r="A25" s="270" t="str">
        <f>'Tariffs Jul2017'!F19</f>
        <v>Lumo Energy</v>
      </c>
      <c r="B25" s="40" t="str">
        <f>'Tariffs Jul2017'!D19</f>
        <v>Multinet 2</v>
      </c>
      <c r="C25" s="40" t="str">
        <f>'Tariffs Jul2017'!G19</f>
        <v>Advantage</v>
      </c>
      <c r="D25" s="59">
        <f>365*'Tariffs Jul2017'!H19/100</f>
        <v>232.65100000000001</v>
      </c>
      <c r="E25" s="59">
        <f>IF($C$5*'Tariffs Jul2017'!AK19/'Tariffs Jul2017'!AI19&gt;='Tariffs Jul2017'!J19,( 'Tariffs Jul2017'!J19*'Tariffs Jul2017'!O19/100)* 'Tariffs Jul2017'!AI19,($C$5*'Tariffs Jul2017'!AK19/'Tariffs Jul2017'!AI19*'Tariffs Jul2017'!O19/100)* 'Tariffs Jul2017'!AI19)</f>
        <v>203.03999999999996</v>
      </c>
      <c r="F25" s="59">
        <f>IF($C$5*'Tariffs Jul2017'!AK19/'Tariffs Jul2017'!AI19&lt;'Tariffs Jul2017'!J19,0,IF($C$5*'Tariffs Jul2017'!AK19/'Tariffs Jul2017'!AI19&lt;='Tariffs Jul2017'!K19,($C$5*'Tariffs Jul2017'!AK19/'Tariffs Jul2017'!AI19-'Tariffs Jul2017'!J19)*('Tariffs Jul2017'!P19/100)*'Tariffs Jul2017'!AI19,('Tariffs Jul2017'!K19-'Tariffs Jul2017'!J19)*('Tariffs Jul2017'!P19/100)*'Tariffs Jul2017'!AI19))</f>
        <v>176.94</v>
      </c>
      <c r="G25" s="59">
        <f>IF($C$5*'Tariffs Jul2017'!AK19/'Tariffs Jul2017'!AI19&lt;'Tariffs Jul2017'!K19,0,IF($C$5*'Tariffs Jul2017'!AK19/'Tariffs Jul2017'!AI19&lt;='Tariffs Jul2017'!L19,($C$5*'Tariffs Jul2017'!AK19/'Tariffs Jul2017'!AI19-'Tariffs Jul2017'!K19)*('Tariffs Jul2017'!Q19/100)*'Tariffs Jul2017'!AI19,('Tariffs Jul2017'!L19-'Tariffs Jul2017'!K19)*('Tariffs Jul2017'!Q19/100)*'Tariffs Jul2017'!AI19))</f>
        <v>145.16999999999999</v>
      </c>
      <c r="H25" s="59">
        <f>IF($C$5*'Tariffs Jul2017'!AK19/'Tariffs Jul2017'!AI19&lt;'Tariffs Jul2017'!L19,0,IF($C$5*'Tariffs Jul2017'!AK19/'Tariffs Jul2017'!AI19&lt;='Tariffs Jul2017'!M19,($C$5*'Tariffs Jul2017'!AK19/'Tariffs Jul2017'!AI19-'Tariffs Jul2017'!L19)*('Tariffs Jul2017'!R19/100)*'Tariffs Jul2017'!AI19,('Tariffs Jul2017'!M19-'Tariffs Jul2017'!L19)*('Tariffs Jul2017'!R19/100)*'Tariffs Jul2017'!AI19))</f>
        <v>64.17</v>
      </c>
      <c r="I25" s="59">
        <f>IF(($C$5*'Tariffs Jul2017'!AK19/'Tariffs Jul2017'!AI19&gt;'Tariffs Jul2017'!M19),($C$5*'Tariffs Jul2017'!AK19/'Tariffs Jul2017'!AI19-'Tariffs Jul2017'!M19)*'Tariffs Jul2017'!S19/100*'Tariffs Jul2017'!AI19,0)</f>
        <v>0</v>
      </c>
      <c r="J25" s="59">
        <f>IF($C$5*'Tariffs Jul2017'!AL19/'Tariffs Jul2017'!AJ19&gt;='Tariffs Jul2017'!J19,('Tariffs Jul2017'!J19*'Tariffs Jul2017'!U19/100)* 'Tariffs Jul2017'!AJ19,($C$5*'Tariffs Jul2017'!AL19/'Tariffs Jul2017'!AJ19*'Tariffs Jul2017'!U19/100)* 'Tariffs Jul2017'!AJ19)</f>
        <v>190.62</v>
      </c>
      <c r="K25" s="59">
        <f>IF($C$5*'Tariffs Jul2017'!AL19/'Tariffs Jul2017'!AJ19&lt;'Tariffs Jul2017'!J19,0,IF($C$5*'Tariffs Jul2017'!AL19/'Tariffs Jul2017'!AJ19&lt;='Tariffs Jul2017'!K19,($C$5*'Tariffs Jul2017'!AL19/'Tariffs Jul2017'!AJ19-'Tariffs Jul2017'!J19)*('Tariffs Jul2017'!V19/100)*'Tariffs Jul2017'!AJ19,('Tariffs Jul2017'!K19-'Tariffs Jul2017'!J19)*('Tariffs Jul2017'!V19/100)*'Tariffs Jul2017'!AJ19))</f>
        <v>167.94</v>
      </c>
      <c r="L25" s="59">
        <f>IF($C$5*'Tariffs Jul2017'!AL19/'Tariffs Jul2017'!AJ19&lt;'Tariffs Jul2017'!K19,0,IF($C$5*'Tariffs Jul2017'!AL19/'Tariffs Jul2017'!AJ19&lt;='Tariffs Jul2017'!L19,($C$5*'Tariffs Jul2017'!AL19/'Tariffs Jul2017'!AJ19-'Tariffs Jul2017'!K19)*('Tariffs Jul2017'!W19/100)*'Tariffs Jul2017'!AJ19,('Tariffs Jul2017'!L19-'Tariffs Jul2017'!K19)*('Tariffs Jul2017'!W19/100)*'Tariffs Jul2017'!AJ19))</f>
        <v>140.57999999999998</v>
      </c>
      <c r="M25" s="59">
        <f>IF($C$5*'Tariffs Jul2017'!AL19/'Tariffs Jul2017'!AJ19&lt;'Tariffs Jul2017'!L19,0,IF($C$5*'Tariffs Jul2017'!AL19/'Tariffs Jul2017'!AJ19&lt;='Tariffs Jul2017'!M19,($C$5*'Tariffs Jul2017'!AL19/'Tariffs Jul2017'!AJ19-'Tariffs Jul2017'!L19)*('Tariffs Jul2017'!X19/100)*'Tariffs Jul2017'!AJ19,('Tariffs Jul2017'!M19-'Tariffs Jul2017'!L19)*('Tariffs Jul2017'!X19/100)*'Tariffs Jul2017'!AJ19))</f>
        <v>63.045000000000002</v>
      </c>
      <c r="N25" s="59">
        <f>IF(($C$5*'Tariffs Jul2017'!AL19/'Tariffs Jul2017'!AJ19&gt;'Tariffs Jul2017'!M19),($C$5*'Tariffs Jul2017'!AL19/'Tariffs Jul2017'!AJ19-'Tariffs Jul2017'!M19)*'Tariffs Jul2017'!Y19/100*'Tariffs Jul2017'!AJ19,0)</f>
        <v>0</v>
      </c>
      <c r="O25" s="271">
        <f t="shared" si="0"/>
        <v>1151.5049999999999</v>
      </c>
      <c r="P25" s="59">
        <f t="shared" si="1"/>
        <v>1384.1559999999999</v>
      </c>
      <c r="Q25" s="272">
        <f t="shared" si="2"/>
        <v>1522.5716</v>
      </c>
      <c r="R25" s="40">
        <f>'Tariffs Jul2017'!AM19</f>
        <v>0</v>
      </c>
      <c r="S25" s="40">
        <f>'Tariffs Jul2017'!AN19</f>
        <v>0</v>
      </c>
      <c r="T25" s="40">
        <f>'Tariffs Jul2017'!AO19</f>
        <v>15</v>
      </c>
      <c r="U25" s="40">
        <f>'Tariffs Jul2017'!AP19</f>
        <v>0</v>
      </c>
      <c r="V25" s="273">
        <f t="shared" si="3"/>
        <v>1384.1559999999999</v>
      </c>
      <c r="W25" s="273">
        <f>V25-(P25*T25/100)</f>
        <v>1176.5326</v>
      </c>
      <c r="X25" s="272">
        <f t="shared" si="4"/>
        <v>1522.5716</v>
      </c>
      <c r="Y25" s="272">
        <f t="shared" si="4"/>
        <v>1294.18586</v>
      </c>
      <c r="Z25" s="274">
        <f>'Tariffs Jul2017'!AW19</f>
        <v>0</v>
      </c>
      <c r="AA25" s="274" t="str">
        <f>'Tariffs Jul2017'!AX19</f>
        <v>n</v>
      </c>
      <c r="AB25" s="275" t="str">
        <f>'Tariffs Jul2017'!BD19</f>
        <v>N</v>
      </c>
      <c r="AC25" s="317"/>
      <c r="AD25" s="317"/>
      <c r="AE25" s="317"/>
      <c r="AF25" s="317"/>
      <c r="AG25" s="317"/>
      <c r="AH25" s="317"/>
      <c r="AI25" s="317"/>
      <c r="AJ25" s="317"/>
      <c r="AK25" s="317"/>
      <c r="AL25" s="317"/>
      <c r="AM25" s="317"/>
      <c r="AN25" s="317"/>
    </row>
    <row r="26" spans="1:40" x14ac:dyDescent="0.15">
      <c r="A26" s="270" t="str">
        <f>'Tariffs Jul2017'!F20</f>
        <v>Momentum Energy</v>
      </c>
      <c r="B26" s="40" t="str">
        <f>'Tariffs Jul2017'!D20</f>
        <v>Multinet 2</v>
      </c>
      <c r="C26" s="40" t="str">
        <f>'Tariffs Jul2017'!G20</f>
        <v>Market offer</v>
      </c>
      <c r="D26" s="59">
        <f>365*'Tariffs Jul2017'!H20/100</f>
        <v>223.16099999999997</v>
      </c>
      <c r="E26" s="59">
        <f>IF($C$5*'Tariffs Jul2017'!AK20/'Tariffs Jul2017'!AI20&gt;='Tariffs Jul2017'!J20,( 'Tariffs Jul2017'!J20*'Tariffs Jul2017'!O20/100)* 'Tariffs Jul2017'!AI20,($C$5*'Tariffs Jul2017'!AK20/'Tariffs Jul2017'!AI20*'Tariffs Jul2017'!O20/100)* 'Tariffs Jul2017'!AI20)</f>
        <v>174.60000000000002</v>
      </c>
      <c r="F26" s="59">
        <f>IF($C$5*'Tariffs Jul2017'!AK20/'Tariffs Jul2017'!AI20&lt;'Tariffs Jul2017'!J20,0,IF($C$5*'Tariffs Jul2017'!AK20/'Tariffs Jul2017'!AI20&lt;='Tariffs Jul2017'!K20,($C$5*'Tariffs Jul2017'!AK20/'Tariffs Jul2017'!AI20-'Tariffs Jul2017'!J20)*('Tariffs Jul2017'!P20/100)*'Tariffs Jul2017'!AI20,('Tariffs Jul2017'!K20-'Tariffs Jul2017'!J20)*('Tariffs Jul2017'!P20/100)*'Tariffs Jul2017'!AI20))</f>
        <v>154.53000000000003</v>
      </c>
      <c r="G26" s="59">
        <f>IF($C$5*'Tariffs Jul2017'!AK20/'Tariffs Jul2017'!AI20&lt;'Tariffs Jul2017'!K20,0,IF($C$5*'Tariffs Jul2017'!AK20/'Tariffs Jul2017'!AI20&lt;='Tariffs Jul2017'!L20,($C$5*'Tariffs Jul2017'!AK20/'Tariffs Jul2017'!AI20-'Tariffs Jul2017'!K20)*('Tariffs Jul2017'!Q20/100)*'Tariffs Jul2017'!AI20,('Tariffs Jul2017'!L20-'Tariffs Jul2017'!K20)*('Tariffs Jul2017'!Q20/100)*'Tariffs Jul2017'!AI20))</f>
        <v>129.78</v>
      </c>
      <c r="H26" s="59">
        <f>IF($C$5*'Tariffs Jul2017'!AK20/'Tariffs Jul2017'!AI20&lt;'Tariffs Jul2017'!L20,0,IF($C$5*'Tariffs Jul2017'!AK20/'Tariffs Jul2017'!AI20&lt;='Tariffs Jul2017'!M20,($C$5*'Tariffs Jul2017'!AK20/'Tariffs Jul2017'!AI20-'Tariffs Jul2017'!L20)*('Tariffs Jul2017'!R20/100)*'Tariffs Jul2017'!AI20,('Tariffs Jul2017'!M20-'Tariffs Jul2017'!L20)*('Tariffs Jul2017'!R20/100)*'Tariffs Jul2017'!AI20))</f>
        <v>58.364999999999995</v>
      </c>
      <c r="I26" s="59">
        <f>IF(($C$5*'Tariffs Jul2017'!AK20/'Tariffs Jul2017'!AI20&gt;'Tariffs Jul2017'!M20),($C$5*'Tariffs Jul2017'!AK20/'Tariffs Jul2017'!AI20-'Tariffs Jul2017'!M20)*'Tariffs Jul2017'!S20/100*'Tariffs Jul2017'!AI20,0)</f>
        <v>0</v>
      </c>
      <c r="J26" s="59">
        <f>IF($C$5*'Tariffs Jul2017'!AL20/'Tariffs Jul2017'!AJ20&gt;='Tariffs Jul2017'!J20,('Tariffs Jul2017'!J20*'Tariffs Jul2017'!U20/100)* 'Tariffs Jul2017'!AJ20,($C$5*'Tariffs Jul2017'!AL20/'Tariffs Jul2017'!AJ20*'Tariffs Jul2017'!U20/100)* 'Tariffs Jul2017'!AJ20)</f>
        <v>161.10000000000002</v>
      </c>
      <c r="K26" s="59">
        <f>IF($C$5*'Tariffs Jul2017'!AL20/'Tariffs Jul2017'!AJ20&lt;'Tariffs Jul2017'!J20,0,IF($C$5*'Tariffs Jul2017'!AL20/'Tariffs Jul2017'!AJ20&lt;='Tariffs Jul2017'!K20,($C$5*'Tariffs Jul2017'!AL20/'Tariffs Jul2017'!AJ20-'Tariffs Jul2017'!J20)*('Tariffs Jul2017'!V20/100)*'Tariffs Jul2017'!AJ20,('Tariffs Jul2017'!K20-'Tariffs Jul2017'!J20)*('Tariffs Jul2017'!V20/100)*'Tariffs Jul2017'!AJ20))</f>
        <v>143.82000000000002</v>
      </c>
      <c r="L26" s="59">
        <f>IF($C$5*'Tariffs Jul2017'!AL20/'Tariffs Jul2017'!AJ20&lt;'Tariffs Jul2017'!K20,0,IF($C$5*'Tariffs Jul2017'!AL20/'Tariffs Jul2017'!AJ20&lt;='Tariffs Jul2017'!L20,($C$5*'Tariffs Jul2017'!AL20/'Tariffs Jul2017'!AJ20-'Tariffs Jul2017'!K20)*('Tariffs Jul2017'!W20/100)*'Tariffs Jul2017'!AJ20,('Tariffs Jul2017'!L20-'Tariffs Jul2017'!K20)*('Tariffs Jul2017'!W20/100)*'Tariffs Jul2017'!AJ20))</f>
        <v>122.76</v>
      </c>
      <c r="M26" s="59">
        <f>IF($C$5*'Tariffs Jul2017'!AL20/'Tariffs Jul2017'!AJ20&lt;'Tariffs Jul2017'!L20,0,IF($C$5*'Tariffs Jul2017'!AL20/'Tariffs Jul2017'!AJ20&lt;='Tariffs Jul2017'!M20,($C$5*'Tariffs Jul2017'!AL20/'Tariffs Jul2017'!AJ20-'Tariffs Jul2017'!L20)*('Tariffs Jul2017'!X20/100)*'Tariffs Jul2017'!AJ20,('Tariffs Jul2017'!M20-'Tariffs Jul2017'!L20)*('Tariffs Jul2017'!X20/100)*'Tariffs Jul2017'!AJ20))</f>
        <v>55.845000000000006</v>
      </c>
      <c r="N26" s="59">
        <f>IF(($C$5*'Tariffs Jul2017'!AL20/'Tariffs Jul2017'!AJ20&gt;'Tariffs Jul2017'!M20),($C$5*'Tariffs Jul2017'!AL20/'Tariffs Jul2017'!AJ20-'Tariffs Jul2017'!M20)*'Tariffs Jul2017'!Y20/100*'Tariffs Jul2017'!AJ20,0)</f>
        <v>0</v>
      </c>
      <c r="O26" s="271">
        <f t="shared" si="0"/>
        <v>1000.8000000000002</v>
      </c>
      <c r="P26" s="59">
        <f t="shared" si="1"/>
        <v>1223.9610000000002</v>
      </c>
      <c r="Q26" s="272">
        <f t="shared" si="2"/>
        <v>1346.3571000000004</v>
      </c>
      <c r="R26" s="40">
        <f>'Tariffs Jul2017'!AM20</f>
        <v>0</v>
      </c>
      <c r="S26" s="40">
        <f>'Tariffs Jul2017'!AN20</f>
        <v>0</v>
      </c>
      <c r="T26" s="40">
        <f>'Tariffs Jul2017'!AO20</f>
        <v>0</v>
      </c>
      <c r="U26" s="40">
        <f>'Tariffs Jul2017'!AP20</f>
        <v>0</v>
      </c>
      <c r="V26" s="273">
        <f t="shared" si="3"/>
        <v>1223.9610000000002</v>
      </c>
      <c r="W26" s="273">
        <f>V26</f>
        <v>1223.9610000000002</v>
      </c>
      <c r="X26" s="272">
        <f t="shared" si="4"/>
        <v>1346.3571000000004</v>
      </c>
      <c r="Y26" s="272">
        <f t="shared" si="4"/>
        <v>1346.3571000000004</v>
      </c>
      <c r="Z26" s="274">
        <f>'Tariffs Jul2017'!AW20</f>
        <v>0</v>
      </c>
      <c r="AA26" s="274" t="str">
        <f>'Tariffs Jul2017'!AX20</f>
        <v>n</v>
      </c>
      <c r="AB26" s="275" t="str">
        <f>'Tariffs Jul2017'!BD20</f>
        <v>Y</v>
      </c>
      <c r="AC26" s="317"/>
      <c r="AD26" s="317"/>
      <c r="AE26" s="317"/>
      <c r="AF26" s="317"/>
      <c r="AG26" s="317"/>
      <c r="AH26" s="317"/>
      <c r="AI26" s="317"/>
      <c r="AJ26" s="317"/>
      <c r="AK26" s="317"/>
      <c r="AL26" s="317"/>
      <c r="AM26" s="317"/>
      <c r="AN26" s="317"/>
    </row>
    <row r="27" spans="1:40" x14ac:dyDescent="0.15">
      <c r="A27" s="270" t="str">
        <f>'Tariffs Jul2017'!F21</f>
        <v>Origin Energy</v>
      </c>
      <c r="B27" s="40" t="str">
        <f>'Tariffs Jul2017'!D21</f>
        <v>Multinet 2</v>
      </c>
      <c r="C27" s="40" t="str">
        <f>'Tariffs Jul2017'!G21</f>
        <v>Saver</v>
      </c>
      <c r="D27" s="59">
        <f>365*'Tariffs Jul2017'!H21/100</f>
        <v>253.78450000000001</v>
      </c>
      <c r="E27" s="59">
        <f>IF($C$5*'Tariffs Jul2017'!AK21/'Tariffs Jul2017'!AI21&gt;='Tariffs Jul2017'!J21,( 'Tariffs Jul2017'!J21*'Tariffs Jul2017'!O21/100)* 'Tariffs Jul2017'!AI21,($C$5*'Tariffs Jul2017'!AK21/'Tariffs Jul2017'!AI21*'Tariffs Jul2017'!O21/100)* 'Tariffs Jul2017'!AI21)</f>
        <v>398.70000000000005</v>
      </c>
      <c r="F27" s="59">
        <f>IF($C$5*'Tariffs Jul2017'!AK21/'Tariffs Jul2017'!AI21&lt;'Tariffs Jul2017'!J21,0,IF($C$5*'Tariffs Jul2017'!AK21/'Tariffs Jul2017'!AI21&lt;='Tariffs Jul2017'!K21,($C$5*'Tariffs Jul2017'!AK21/'Tariffs Jul2017'!AI21-'Tariffs Jul2017'!J21)*('Tariffs Jul2017'!P21/100)*'Tariffs Jul2017'!AI21,('Tariffs Jul2017'!K21-'Tariffs Jul2017'!J21)*('Tariffs Jul2017'!P21/100)*'Tariffs Jul2017'!AI21))</f>
        <v>162.36000000000001</v>
      </c>
      <c r="G27" s="59">
        <f>IF($C$5*'Tariffs Jul2017'!AK21/'Tariffs Jul2017'!AI21&lt;'Tariffs Jul2017'!K21,0,IF($C$5*'Tariffs Jul2017'!AK21/'Tariffs Jul2017'!AI21&lt;='Tariffs Jul2017'!L21,($C$5*'Tariffs Jul2017'!AK21/'Tariffs Jul2017'!AI21-'Tariffs Jul2017'!K21)*('Tariffs Jul2017'!Q21/100)*'Tariffs Jul2017'!AI21,('Tariffs Jul2017'!L21-'Tariffs Jul2017'!K21)*('Tariffs Jul2017'!Q21/100)*'Tariffs Jul2017'!AI21))</f>
        <v>0</v>
      </c>
      <c r="H27" s="59">
        <f>IF($C$5*'Tariffs Jul2017'!AK21/'Tariffs Jul2017'!AI21&lt;'Tariffs Jul2017'!L21,0,IF($C$5*'Tariffs Jul2017'!AK21/'Tariffs Jul2017'!AI21&lt;='Tariffs Jul2017'!M21,($C$5*'Tariffs Jul2017'!AK21/'Tariffs Jul2017'!AI21-'Tariffs Jul2017'!L21)*('Tariffs Jul2017'!R21/100)*'Tariffs Jul2017'!AI21,('Tariffs Jul2017'!M21-'Tariffs Jul2017'!L21)*('Tariffs Jul2017'!R21/100)*'Tariffs Jul2017'!AI21))</f>
        <v>0</v>
      </c>
      <c r="I27" s="59">
        <f>IF(($C$5*'Tariffs Jul2017'!AK21/'Tariffs Jul2017'!AI21&gt;'Tariffs Jul2017'!M21),($C$5*'Tariffs Jul2017'!AK21/'Tariffs Jul2017'!AI21-'Tariffs Jul2017'!M21)*'Tariffs Jul2017'!S21/100*'Tariffs Jul2017'!AI21,0)</f>
        <v>58.454999999999998</v>
      </c>
      <c r="J27" s="59">
        <f>IF($C$5*'Tariffs Jul2017'!AL21/'Tariffs Jul2017'!AJ21&gt;='Tariffs Jul2017'!J21,('Tariffs Jul2017'!J21*'Tariffs Jul2017'!U21/100)* 'Tariffs Jul2017'!AJ21,($C$5*'Tariffs Jul2017'!AL21/'Tariffs Jul2017'!AJ21*'Tariffs Jul2017'!U21/100)* 'Tariffs Jul2017'!AJ21)</f>
        <v>361.98</v>
      </c>
      <c r="K27" s="59">
        <f>IF($C$5*'Tariffs Jul2017'!AL21/'Tariffs Jul2017'!AJ21&lt;'Tariffs Jul2017'!J21,0,IF($C$5*'Tariffs Jul2017'!AL21/'Tariffs Jul2017'!AJ21&lt;='Tariffs Jul2017'!K21,($C$5*'Tariffs Jul2017'!AL21/'Tariffs Jul2017'!AJ21-'Tariffs Jul2017'!J21)*('Tariffs Jul2017'!V21/100)*'Tariffs Jul2017'!AJ21,('Tariffs Jul2017'!K21-'Tariffs Jul2017'!J21)*('Tariffs Jul2017'!V21/100)*'Tariffs Jul2017'!AJ21))</f>
        <v>142.56</v>
      </c>
      <c r="L27" s="59">
        <f>IF($C$5*'Tariffs Jul2017'!AL21/'Tariffs Jul2017'!AJ21&lt;'Tariffs Jul2017'!K21,0,IF($C$5*'Tariffs Jul2017'!AL21/'Tariffs Jul2017'!AJ21&lt;='Tariffs Jul2017'!L21,($C$5*'Tariffs Jul2017'!AL21/'Tariffs Jul2017'!AJ21-'Tariffs Jul2017'!K21)*('Tariffs Jul2017'!W21/100)*'Tariffs Jul2017'!AJ21,('Tariffs Jul2017'!L21-'Tariffs Jul2017'!K21)*('Tariffs Jul2017'!W21/100)*'Tariffs Jul2017'!AJ21))</f>
        <v>0</v>
      </c>
      <c r="M27" s="59">
        <f>IF($C$5*'Tariffs Jul2017'!AL21/'Tariffs Jul2017'!AJ21&lt;'Tariffs Jul2017'!L21,0,IF($C$5*'Tariffs Jul2017'!AL21/'Tariffs Jul2017'!AJ21&lt;='Tariffs Jul2017'!M21,($C$5*'Tariffs Jul2017'!AL21/'Tariffs Jul2017'!AJ21-'Tariffs Jul2017'!L21)*('Tariffs Jul2017'!X21/100)*'Tariffs Jul2017'!AJ21,('Tariffs Jul2017'!M21-'Tariffs Jul2017'!L21)*('Tariffs Jul2017'!X21/100)*'Tariffs Jul2017'!AJ21))</f>
        <v>0</v>
      </c>
      <c r="N27" s="59">
        <f>IF(($C$5*'Tariffs Jul2017'!AL21/'Tariffs Jul2017'!AJ21&gt;'Tariffs Jul2017'!M21),($C$5*'Tariffs Jul2017'!AL21/'Tariffs Jul2017'!AJ21-'Tariffs Jul2017'!M21)*'Tariffs Jul2017'!Y21/100*'Tariffs Jul2017'!AJ21,0)</f>
        <v>55.08</v>
      </c>
      <c r="O27" s="271">
        <f t="shared" si="0"/>
        <v>1179.135</v>
      </c>
      <c r="P27" s="59">
        <f t="shared" si="1"/>
        <v>1432.9195</v>
      </c>
      <c r="Q27" s="272">
        <f t="shared" si="2"/>
        <v>1576.21145</v>
      </c>
      <c r="R27" s="40">
        <f>'Tariffs Jul2017'!AM21</f>
        <v>0</v>
      </c>
      <c r="S27" s="40">
        <f>'Tariffs Jul2017'!AN21</f>
        <v>0</v>
      </c>
      <c r="T27" s="40">
        <f>'Tariffs Jul2017'!AO21</f>
        <v>0</v>
      </c>
      <c r="U27" s="40">
        <f>'Tariffs Jul2017'!AP21</f>
        <v>13</v>
      </c>
      <c r="V27" s="273">
        <f t="shared" si="3"/>
        <v>1432.9195</v>
      </c>
      <c r="W27" s="273">
        <f>V27-(O27*U27/100)</f>
        <v>1279.63195</v>
      </c>
      <c r="X27" s="272">
        <f t="shared" si="4"/>
        <v>1576.21145</v>
      </c>
      <c r="Y27" s="272">
        <f t="shared" si="4"/>
        <v>1407.595145</v>
      </c>
      <c r="Z27" s="274">
        <f>'Tariffs Jul2017'!AW21</f>
        <v>0</v>
      </c>
      <c r="AA27" s="274" t="str">
        <f>'Tariffs Jul2017'!AX21</f>
        <v>n</v>
      </c>
      <c r="AB27" s="275" t="str">
        <f>'Tariffs Jul2017'!BD21</f>
        <v>N</v>
      </c>
      <c r="AC27" s="317"/>
      <c r="AD27" s="317"/>
      <c r="AE27" s="317"/>
      <c r="AF27" s="317"/>
      <c r="AG27" s="317"/>
      <c r="AH27" s="317"/>
      <c r="AI27" s="317"/>
      <c r="AJ27" s="317"/>
      <c r="AK27" s="317"/>
      <c r="AL27" s="317"/>
      <c r="AM27" s="317"/>
      <c r="AN27" s="317"/>
    </row>
    <row r="28" spans="1:40" x14ac:dyDescent="0.15">
      <c r="A28" s="270" t="str">
        <f>'Tariffs Jul2017'!F22</f>
        <v>Red Energy</v>
      </c>
      <c r="B28" s="40" t="str">
        <f>'Tariffs Jul2017'!D22</f>
        <v>Multinet 2</v>
      </c>
      <c r="C28" s="40" t="str">
        <f>'Tariffs Jul2017'!G22</f>
        <v>Living Energy Saver</v>
      </c>
      <c r="D28" s="59">
        <f>365*'Tariffs Jul2017'!H22/100</f>
        <v>255.5</v>
      </c>
      <c r="E28" s="59">
        <f>IF($C$5*'Tariffs Jul2017'!AK22/'Tariffs Jul2017'!AI22&gt;='Tariffs Jul2017'!J22,( 'Tariffs Jul2017'!J22*'Tariffs Jul2017'!O22/100)* 'Tariffs Jul2017'!AI22,($C$5*'Tariffs Jul2017'!AK22/'Tariffs Jul2017'!AI22*'Tariffs Jul2017'!O22/100)* 'Tariffs Jul2017'!AI22)</f>
        <v>198.34499999999997</v>
      </c>
      <c r="F28" s="59">
        <f>IF($C$5*'Tariffs Jul2017'!AK22/'Tariffs Jul2017'!AI22&lt;'Tariffs Jul2017'!J22,0,IF($C$5*'Tariffs Jul2017'!AK22/'Tariffs Jul2017'!AI22&lt;='Tariffs Jul2017'!K22,($C$5*'Tariffs Jul2017'!AK22/'Tariffs Jul2017'!AI22-'Tariffs Jul2017'!J22)*('Tariffs Jul2017'!P22/100)*'Tariffs Jul2017'!AI22,('Tariffs Jul2017'!K22-'Tariffs Jul2017'!J22)*('Tariffs Jul2017'!P22/100)*'Tariffs Jul2017'!AI22))</f>
        <v>0</v>
      </c>
      <c r="G28" s="59">
        <f>IF($C$5*'Tariffs Jul2017'!AK22/'Tariffs Jul2017'!AI22&lt;'Tariffs Jul2017'!K22,0,IF($C$5*'Tariffs Jul2017'!AK22/'Tariffs Jul2017'!AI22&lt;='Tariffs Jul2017'!L22,($C$5*'Tariffs Jul2017'!AK22/'Tariffs Jul2017'!AI22-'Tariffs Jul2017'!K22)*('Tariffs Jul2017'!Q22/100)*'Tariffs Jul2017'!AI22,('Tariffs Jul2017'!L22-'Tariffs Jul2017'!K22)*('Tariffs Jul2017'!Q22/100)*'Tariffs Jul2017'!AI22))</f>
        <v>0</v>
      </c>
      <c r="H28" s="59">
        <f>IF($C$5*'Tariffs Jul2017'!AK22/'Tariffs Jul2017'!AI22&lt;'Tariffs Jul2017'!L22,0,IF($C$5*'Tariffs Jul2017'!AK22/'Tariffs Jul2017'!AI22&lt;='Tariffs Jul2017'!M22,($C$5*'Tariffs Jul2017'!AK22/'Tariffs Jul2017'!AI22-'Tariffs Jul2017'!L22)*('Tariffs Jul2017'!R22/100)*'Tariffs Jul2017'!AI22,('Tariffs Jul2017'!M22-'Tariffs Jul2017'!L22)*('Tariffs Jul2017'!R22/100)*'Tariffs Jul2017'!AI22))</f>
        <v>0</v>
      </c>
      <c r="I28" s="59">
        <f>IF(($C$5*'Tariffs Jul2017'!AK22/'Tariffs Jul2017'!AI22&gt;'Tariffs Jul2017'!M22),($C$5*'Tariffs Jul2017'!AK22/'Tariffs Jul2017'!AI22-'Tariffs Jul2017'!M22)*'Tariffs Jul2017'!S22/100*'Tariffs Jul2017'!AI22,0)</f>
        <v>348.18</v>
      </c>
      <c r="J28" s="59">
        <f>IF($C$5*'Tariffs Jul2017'!AL22/'Tariffs Jul2017'!AJ22&gt;='Tariffs Jul2017'!J22,('Tariffs Jul2017'!J22*'Tariffs Jul2017'!U22/100)* 'Tariffs Jul2017'!AJ22,($C$5*'Tariffs Jul2017'!AL22/'Tariffs Jul2017'!AJ22*'Tariffs Jul2017'!U22/100)* 'Tariffs Jul2017'!AJ22)</f>
        <v>186.375</v>
      </c>
      <c r="K28" s="59">
        <f>IF($C$5*'Tariffs Jul2017'!AL22/'Tariffs Jul2017'!AJ22&lt;'Tariffs Jul2017'!J22,0,IF($C$5*'Tariffs Jul2017'!AL22/'Tariffs Jul2017'!AJ22&lt;='Tariffs Jul2017'!K22,($C$5*'Tariffs Jul2017'!AL22/'Tariffs Jul2017'!AJ22-'Tariffs Jul2017'!J22)*('Tariffs Jul2017'!V22/100)*'Tariffs Jul2017'!AJ22,('Tariffs Jul2017'!K22-'Tariffs Jul2017'!J22)*('Tariffs Jul2017'!V22/100)*'Tariffs Jul2017'!AJ22))</f>
        <v>0</v>
      </c>
      <c r="L28" s="59">
        <f>IF($C$5*'Tariffs Jul2017'!AL22/'Tariffs Jul2017'!AJ22&lt;'Tariffs Jul2017'!K22,0,IF($C$5*'Tariffs Jul2017'!AL22/'Tariffs Jul2017'!AJ22&lt;='Tariffs Jul2017'!L22,($C$5*'Tariffs Jul2017'!AL22/'Tariffs Jul2017'!AJ22-'Tariffs Jul2017'!K22)*('Tariffs Jul2017'!W22/100)*'Tariffs Jul2017'!AJ22,('Tariffs Jul2017'!L22-'Tariffs Jul2017'!K22)*('Tariffs Jul2017'!W22/100)*'Tariffs Jul2017'!AJ22))</f>
        <v>0</v>
      </c>
      <c r="M28" s="59">
        <f>IF($C$5*'Tariffs Jul2017'!AL22/'Tariffs Jul2017'!AJ22&lt;'Tariffs Jul2017'!L22,0,IF($C$5*'Tariffs Jul2017'!AL22/'Tariffs Jul2017'!AJ22&lt;='Tariffs Jul2017'!M22,($C$5*'Tariffs Jul2017'!AL22/'Tariffs Jul2017'!AJ22-'Tariffs Jul2017'!L22)*('Tariffs Jul2017'!X22/100)*'Tariffs Jul2017'!AJ22,('Tariffs Jul2017'!M22-'Tariffs Jul2017'!L22)*('Tariffs Jul2017'!X22/100)*'Tariffs Jul2017'!AJ22))</f>
        <v>0</v>
      </c>
      <c r="N28" s="59">
        <f>IF(($C$5*'Tariffs Jul2017'!AL22/'Tariffs Jul2017'!AJ22&gt;'Tariffs Jul2017'!M22),($C$5*'Tariffs Jul2017'!AL22/'Tariffs Jul2017'!AJ22-'Tariffs Jul2017'!M22)*'Tariffs Jul2017'!Y22/100*'Tariffs Jul2017'!AJ22,0)</f>
        <v>332.43</v>
      </c>
      <c r="O28" s="271">
        <f t="shared" si="0"/>
        <v>1065.33</v>
      </c>
      <c r="P28" s="59">
        <f t="shared" si="1"/>
        <v>1320.83</v>
      </c>
      <c r="Q28" s="272">
        <f t="shared" si="2"/>
        <v>1452.913</v>
      </c>
      <c r="R28" s="40">
        <f>'Tariffs Jul2017'!AM22</f>
        <v>0</v>
      </c>
      <c r="S28" s="40">
        <f>'Tariffs Jul2017'!AN22</f>
        <v>0</v>
      </c>
      <c r="T28" s="40">
        <f>'Tariffs Jul2017'!AO22</f>
        <v>10</v>
      </c>
      <c r="U28" s="40">
        <f>'Tariffs Jul2017'!AP22</f>
        <v>0</v>
      </c>
      <c r="V28" s="273">
        <f t="shared" si="3"/>
        <v>1320.83</v>
      </c>
      <c r="W28" s="273">
        <f>V28-(P28*T28/100)</f>
        <v>1188.7469999999998</v>
      </c>
      <c r="X28" s="272">
        <f t="shared" si="4"/>
        <v>1452.913</v>
      </c>
      <c r="Y28" s="272">
        <f t="shared" si="4"/>
        <v>1307.6216999999999</v>
      </c>
      <c r="Z28" s="274">
        <f>'Tariffs Jul2017'!AW22</f>
        <v>0</v>
      </c>
      <c r="AA28" s="274" t="str">
        <f>'Tariffs Jul2017'!AX22</f>
        <v>n</v>
      </c>
      <c r="AB28" s="275" t="str">
        <f>'Tariffs Jul2017'!BD22</f>
        <v>Y</v>
      </c>
      <c r="AC28" s="317"/>
      <c r="AD28" s="317"/>
      <c r="AE28" s="317"/>
      <c r="AF28" s="317"/>
      <c r="AG28" s="317"/>
      <c r="AH28" s="317"/>
      <c r="AI28" s="317"/>
      <c r="AJ28" s="317"/>
      <c r="AK28" s="317"/>
      <c r="AL28" s="317"/>
      <c r="AM28" s="317"/>
      <c r="AN28" s="317"/>
    </row>
    <row r="29" spans="1:40" ht="14" thickBot="1" x14ac:dyDescent="0.2">
      <c r="A29" s="276" t="str">
        <f>'Tariffs Jul2017'!F23</f>
        <v>Simply Energy</v>
      </c>
      <c r="B29" s="277" t="str">
        <f>'Tariffs Jul2017'!D23</f>
        <v>Multinet 2</v>
      </c>
      <c r="C29" s="277" t="str">
        <f>'Tariffs Jul2017'!G23</f>
        <v>Plus</v>
      </c>
      <c r="D29" s="278">
        <f>365*'Tariffs Jul2017'!H23/100</f>
        <v>256.52199999999999</v>
      </c>
      <c r="E29" s="278">
        <f>IF($C$5*'Tariffs Jul2017'!AK23/'Tariffs Jul2017'!AI23&gt;='Tariffs Jul2017'!J23,( 'Tariffs Jul2017'!J23*'Tariffs Jul2017'!O23/100)* 'Tariffs Jul2017'!AI23,($C$5*'Tariffs Jul2017'!AK23/'Tariffs Jul2017'!AI23*'Tariffs Jul2017'!O23/100)* 'Tariffs Jul2017'!AI23)</f>
        <v>198.00000000000006</v>
      </c>
      <c r="F29" s="278">
        <f>IF($C$5*'Tariffs Jul2017'!AK23/'Tariffs Jul2017'!AI23&lt;'Tariffs Jul2017'!J23,0,IF($C$5*'Tariffs Jul2017'!AK23/'Tariffs Jul2017'!AI23&lt;='Tariffs Jul2017'!K23,($C$5*'Tariffs Jul2017'!AK23/'Tariffs Jul2017'!AI23-'Tariffs Jul2017'!J23)*('Tariffs Jul2017'!P23/100)*'Tariffs Jul2017'!AI23,('Tariffs Jul2017'!K23-'Tariffs Jul2017'!J23)*('Tariffs Jul2017'!P23/100)*'Tariffs Jul2017'!AI23))</f>
        <v>176.39999999999998</v>
      </c>
      <c r="G29" s="278">
        <f>IF($C$5*'Tariffs Jul2017'!AK23/'Tariffs Jul2017'!AI23&lt;'Tariffs Jul2017'!K23,0,IF($C$5*'Tariffs Jul2017'!AK23/'Tariffs Jul2017'!AI23&lt;='Tariffs Jul2017'!L23,($C$5*'Tariffs Jul2017'!AK23/'Tariffs Jul2017'!AI23-'Tariffs Jul2017'!K23)*('Tariffs Jul2017'!Q23/100)*'Tariffs Jul2017'!AI23,('Tariffs Jul2017'!L23-'Tariffs Jul2017'!K23)*('Tariffs Jul2017'!Q23/100)*'Tariffs Jul2017'!AI23))</f>
        <v>151.19999999999999</v>
      </c>
      <c r="H29" s="278">
        <f>IF($C$5*'Tariffs Jul2017'!AK23/'Tariffs Jul2017'!AI23&lt;'Tariffs Jul2017'!L23,0,IF($C$5*'Tariffs Jul2017'!AK23/'Tariffs Jul2017'!AI23&lt;='Tariffs Jul2017'!M23,($C$5*'Tariffs Jul2017'!AK23/'Tariffs Jul2017'!AI23-'Tariffs Jul2017'!L23)*('Tariffs Jul2017'!R23/100)*'Tariffs Jul2017'!AI23,('Tariffs Jul2017'!M23-'Tariffs Jul2017'!L23)*('Tariffs Jul2017'!R23/100)*'Tariffs Jul2017'!AI23))</f>
        <v>68.850000000000009</v>
      </c>
      <c r="I29" s="278">
        <f>IF(($C$5*'Tariffs Jul2017'!AK23/'Tariffs Jul2017'!AI23&gt;'Tariffs Jul2017'!M23),($C$5*'Tariffs Jul2017'!AK23/'Tariffs Jul2017'!AI23-'Tariffs Jul2017'!M23)*'Tariffs Jul2017'!S23/100*'Tariffs Jul2017'!AI23,0)</f>
        <v>0</v>
      </c>
      <c r="J29" s="278">
        <f>IF($C$5*'Tariffs Jul2017'!AL23/'Tariffs Jul2017'!AJ23&gt;='Tariffs Jul2017'!J23,('Tariffs Jul2017'!J23*'Tariffs Jul2017'!U23/100)* 'Tariffs Jul2017'!AJ23,($C$5*'Tariffs Jul2017'!AL23/'Tariffs Jul2017'!AJ23*'Tariffs Jul2017'!U23/100)* 'Tariffs Jul2017'!AJ23)</f>
        <v>187.2</v>
      </c>
      <c r="K29" s="278">
        <f>IF($C$5*'Tariffs Jul2017'!AL23/'Tariffs Jul2017'!AJ23&lt;'Tariffs Jul2017'!J23,0,IF($C$5*'Tariffs Jul2017'!AL23/'Tariffs Jul2017'!AJ23&lt;='Tariffs Jul2017'!K23,($C$5*'Tariffs Jul2017'!AL23/'Tariffs Jul2017'!AJ23-'Tariffs Jul2017'!J23)*('Tariffs Jul2017'!V23/100)*'Tariffs Jul2017'!AJ23,('Tariffs Jul2017'!K23-'Tariffs Jul2017'!J23)*('Tariffs Jul2017'!V23/100)*'Tariffs Jul2017'!AJ23))</f>
        <v>169.2</v>
      </c>
      <c r="L29" s="278">
        <f>IF($C$5*'Tariffs Jul2017'!AL23/'Tariffs Jul2017'!AJ23&lt;'Tariffs Jul2017'!K23,0,IF($C$5*'Tariffs Jul2017'!AL23/'Tariffs Jul2017'!AJ23&lt;='Tariffs Jul2017'!L23,($C$5*'Tariffs Jul2017'!AL23/'Tariffs Jul2017'!AJ23-'Tariffs Jul2017'!K23)*('Tariffs Jul2017'!W23/100)*'Tariffs Jul2017'!AJ23,('Tariffs Jul2017'!L23-'Tariffs Jul2017'!K23)*('Tariffs Jul2017'!W23/100)*'Tariffs Jul2017'!AJ23))</f>
        <v>146.69999999999999</v>
      </c>
      <c r="M29" s="278">
        <f>IF($C$5*'Tariffs Jul2017'!AL23/'Tariffs Jul2017'!AJ23&lt;'Tariffs Jul2017'!L23,0,IF($C$5*'Tariffs Jul2017'!AL23/'Tariffs Jul2017'!AJ23&lt;='Tariffs Jul2017'!M23,($C$5*'Tariffs Jul2017'!AL23/'Tariffs Jul2017'!AJ23-'Tariffs Jul2017'!L23)*('Tariffs Jul2017'!X23/100)*'Tariffs Jul2017'!AJ23,('Tariffs Jul2017'!M23-'Tariffs Jul2017'!L23)*('Tariffs Jul2017'!X23/100)*'Tariffs Jul2017'!AJ23))</f>
        <v>67.5</v>
      </c>
      <c r="N29" s="278">
        <f>IF(($C$5*'Tariffs Jul2017'!AL23/'Tariffs Jul2017'!AJ23&gt;'Tariffs Jul2017'!M23),($C$5*'Tariffs Jul2017'!AL23/'Tariffs Jul2017'!AJ23-'Tariffs Jul2017'!M23)*'Tariffs Jul2017'!Y23/100*'Tariffs Jul2017'!AJ23,0)</f>
        <v>0</v>
      </c>
      <c r="O29" s="279">
        <f t="shared" si="0"/>
        <v>1165.0500000000002</v>
      </c>
      <c r="P29" s="278">
        <f t="shared" si="1"/>
        <v>1421.5720000000001</v>
      </c>
      <c r="Q29" s="280">
        <f t="shared" si="2"/>
        <v>1563.7292000000002</v>
      </c>
      <c r="R29" s="277">
        <f>'Tariffs Jul2017'!AM23</f>
        <v>0</v>
      </c>
      <c r="S29" s="277">
        <f>'Tariffs Jul2017'!AN23</f>
        <v>0</v>
      </c>
      <c r="T29" s="277">
        <f>'Tariffs Jul2017'!AO23</f>
        <v>0</v>
      </c>
      <c r="U29" s="277">
        <f>'Tariffs Jul2017'!AP23</f>
        <v>20</v>
      </c>
      <c r="V29" s="273">
        <f t="shared" si="3"/>
        <v>1421.5720000000001</v>
      </c>
      <c r="W29" s="281">
        <f>V29-(O29*U29/100)</f>
        <v>1188.5620000000001</v>
      </c>
      <c r="X29" s="280">
        <f t="shared" si="4"/>
        <v>1563.7292000000002</v>
      </c>
      <c r="Y29" s="280">
        <f t="shared" si="4"/>
        <v>1307.4182000000003</v>
      </c>
      <c r="Z29" s="282">
        <f>'Tariffs Jul2017'!AW23</f>
        <v>24</v>
      </c>
      <c r="AA29" s="282" t="str">
        <f>'Tariffs Jul2017'!AX23</f>
        <v>n</v>
      </c>
      <c r="AB29" s="283" t="str">
        <f>'Tariffs Jul2017'!BD23</f>
        <v>Y</v>
      </c>
      <c r="AC29" s="317"/>
      <c r="AD29" s="317"/>
      <c r="AE29" s="317"/>
      <c r="AF29" s="317"/>
      <c r="AG29" s="317"/>
      <c r="AH29" s="317"/>
      <c r="AI29" s="317"/>
      <c r="AJ29" s="317"/>
      <c r="AK29" s="317"/>
      <c r="AL29" s="317"/>
      <c r="AM29" s="317"/>
      <c r="AN29" s="317"/>
    </row>
    <row r="30" spans="1:40" ht="14" thickTop="1" x14ac:dyDescent="0.15">
      <c r="A30" s="270" t="str">
        <f>'Tariffs Jul2017'!F24</f>
        <v>AGL</v>
      </c>
      <c r="B30" s="40" t="str">
        <f>'Tariffs Jul2017'!D24</f>
        <v>Envestra North</v>
      </c>
      <c r="C30" s="40" t="str">
        <f>'Tariffs Jul2017'!G24</f>
        <v>Savers</v>
      </c>
      <c r="D30" s="59">
        <f>365*'Tariffs Jul2017'!H24/100</f>
        <v>261.74149999999997</v>
      </c>
      <c r="E30" s="59">
        <f>IF($C$5*'Tariffs Jul2017'!AK24/'Tariffs Jul2017'!AI24&gt;='Tariffs Jul2017'!J24,( 'Tariffs Jul2017'!J24*'Tariffs Jul2017'!O24/100)* 'Tariffs Jul2017'!AI24,($C$5*'Tariffs Jul2017'!AK24/'Tariffs Jul2017'!AI24*'Tariffs Jul2017'!O24/100)* 'Tariffs Jul2017'!AI24)</f>
        <v>76.525400000000005</v>
      </c>
      <c r="F30" s="59">
        <f>IF($C$5*'Tariffs Jul2017'!AK24/'Tariffs Jul2017'!AI24&lt;'Tariffs Jul2017'!J24,0,IF($C$5*'Tariffs Jul2017'!AK24/'Tariffs Jul2017'!AI24&lt;='Tariffs Jul2017'!K24,($C$5*'Tariffs Jul2017'!AK24/'Tariffs Jul2017'!AI24-'Tariffs Jul2017'!J24)*('Tariffs Jul2017'!P24/100)*'Tariffs Jul2017'!AI24,('Tariffs Jul2017'!K24-'Tariffs Jul2017'!J24)*('Tariffs Jul2017'!P24/100)*'Tariffs Jul2017'!AI24))</f>
        <v>57.289400000000001</v>
      </c>
      <c r="G30" s="59">
        <f>IF($C$5*'Tariffs Jul2017'!AK24/'Tariffs Jul2017'!AI24&lt;'Tariffs Jul2017'!K24,0,IF($C$5*'Tariffs Jul2017'!AK24/'Tariffs Jul2017'!AI24&lt;='Tariffs Jul2017'!L24,($C$5*'Tariffs Jul2017'!AK24/'Tariffs Jul2017'!AI24-'Tariffs Jul2017'!K24)*('Tariffs Jul2017'!Q24/100)*'Tariffs Jul2017'!AI24,('Tariffs Jul2017'!L24-'Tariffs Jul2017'!K24)*('Tariffs Jul2017'!Q24/100)*'Tariffs Jul2017'!AI24))</f>
        <v>0</v>
      </c>
      <c r="H30" s="59">
        <f>IF($C$5*'Tariffs Jul2017'!AK24/'Tariffs Jul2017'!AI24&lt;'Tariffs Jul2017'!L24,0,IF($C$5*'Tariffs Jul2017'!AK24/'Tariffs Jul2017'!AI24&lt;='Tariffs Jul2017'!M24,($C$5*'Tariffs Jul2017'!AK24/'Tariffs Jul2017'!AI24-'Tariffs Jul2017'!L24)*('Tariffs Jul2017'!R24/100)*'Tariffs Jul2017'!AI24,('Tariffs Jul2017'!M24-'Tariffs Jul2017'!L24)*('Tariffs Jul2017'!R24/100)*'Tariffs Jul2017'!AI24))</f>
        <v>0</v>
      </c>
      <c r="I30" s="59">
        <f>IF(($C$5*'Tariffs Jul2017'!AK24/'Tariffs Jul2017'!AI24&gt;'Tariffs Jul2017'!M24),($C$5*'Tariffs Jul2017'!AK24/'Tariffs Jul2017'!AI24-'Tariffs Jul2017'!M24)*'Tariffs Jul2017'!S24/100*'Tariffs Jul2017'!AI24,0)</f>
        <v>264.56295599999999</v>
      </c>
      <c r="J30" s="59">
        <f>IF($C$5*'Tariffs Jul2017'!AL24/'Tariffs Jul2017'!AJ24&gt;='Tariffs Jul2017'!J24,('Tariffs Jul2017'!J24*'Tariffs Jul2017'!U24/100)* 'Tariffs Jul2017'!AJ24,($C$5*'Tariffs Jul2017'!AL24/'Tariffs Jul2017'!AJ24*'Tariffs Jul2017'!U24/100)* 'Tariffs Jul2017'!AJ24)</f>
        <v>153.05080000000001</v>
      </c>
      <c r="K30" s="59">
        <f>IF($C$5*'Tariffs Jul2017'!AL24/'Tariffs Jul2017'!AJ24&lt;'Tariffs Jul2017'!J24,0,IF($C$5*'Tariffs Jul2017'!AL24/'Tariffs Jul2017'!AJ24&lt;='Tariffs Jul2017'!K24,($C$5*'Tariffs Jul2017'!AL24/'Tariffs Jul2017'!AJ24-'Tariffs Jul2017'!J24)*('Tariffs Jul2017'!V24/100)*'Tariffs Jul2017'!AJ24,('Tariffs Jul2017'!K24-'Tariffs Jul2017'!J24)*('Tariffs Jul2017'!V24/100)*'Tariffs Jul2017'!AJ24))</f>
        <v>114.5788</v>
      </c>
      <c r="L30" s="59">
        <f>IF($C$5*'Tariffs Jul2017'!AL24/'Tariffs Jul2017'!AJ24&lt;'Tariffs Jul2017'!K24,0,IF($C$5*'Tariffs Jul2017'!AL24/'Tariffs Jul2017'!AJ24&lt;='Tariffs Jul2017'!L24,($C$5*'Tariffs Jul2017'!AL24/'Tariffs Jul2017'!AJ24-'Tariffs Jul2017'!K24)*('Tariffs Jul2017'!W24/100)*'Tariffs Jul2017'!AJ24,('Tariffs Jul2017'!L24-'Tariffs Jul2017'!K24)*('Tariffs Jul2017'!W24/100)*'Tariffs Jul2017'!AJ24))</f>
        <v>0</v>
      </c>
      <c r="M30" s="59">
        <f>IF($C$5*'Tariffs Jul2017'!AL24/'Tariffs Jul2017'!AJ24&lt;'Tariffs Jul2017'!L24,0,IF($C$5*'Tariffs Jul2017'!AL24/'Tariffs Jul2017'!AJ24&lt;='Tariffs Jul2017'!M24,($C$5*'Tariffs Jul2017'!AL24/'Tariffs Jul2017'!AJ24-'Tariffs Jul2017'!L24)*('Tariffs Jul2017'!X24/100)*'Tariffs Jul2017'!AJ24,('Tariffs Jul2017'!M24-'Tariffs Jul2017'!L24)*('Tariffs Jul2017'!X24/100)*'Tariffs Jul2017'!AJ24))</f>
        <v>0</v>
      </c>
      <c r="N30" s="59">
        <f>IF(($C$5*'Tariffs Jul2017'!AL24/'Tariffs Jul2017'!AJ24&gt;'Tariffs Jul2017'!M24),($C$5*'Tariffs Jul2017'!AL24/'Tariffs Jul2017'!AJ24-'Tariffs Jul2017'!M24)*'Tariffs Jul2017'!Y24/100*'Tariffs Jul2017'!AJ24,0)</f>
        <v>529.12591199999997</v>
      </c>
      <c r="O30" s="271">
        <f t="shared" si="0"/>
        <v>1195.133268</v>
      </c>
      <c r="P30" s="59">
        <f t="shared" si="1"/>
        <v>1456.8747680000001</v>
      </c>
      <c r="Q30" s="272">
        <f t="shared" si="2"/>
        <v>1602.5622448000004</v>
      </c>
      <c r="R30" s="40">
        <f>'Tariffs Jul2017'!AM24</f>
        <v>0</v>
      </c>
      <c r="S30" s="40">
        <f>'Tariffs Jul2017'!AN24</f>
        <v>0</v>
      </c>
      <c r="T30" s="40">
        <f>'Tariffs Jul2017'!AO24</f>
        <v>0</v>
      </c>
      <c r="U30" s="40">
        <f>'Tariffs Jul2017'!AP24</f>
        <v>15</v>
      </c>
      <c r="V30" s="273">
        <f t="shared" si="3"/>
        <v>1456.8747680000001</v>
      </c>
      <c r="W30" s="273">
        <f>V30-(O30*U30/100)</f>
        <v>1277.6047778000002</v>
      </c>
      <c r="X30" s="272">
        <f t="shared" si="4"/>
        <v>1602.5622448000004</v>
      </c>
      <c r="Y30" s="272">
        <f t="shared" si="4"/>
        <v>1405.3652555800004</v>
      </c>
      <c r="Z30" s="274">
        <f>'Tariffs Jul2017'!AW24</f>
        <v>0</v>
      </c>
      <c r="AA30" s="274" t="str">
        <f>'Tariffs Jul2017'!AX24</f>
        <v>n</v>
      </c>
      <c r="AB30" s="275" t="str">
        <f>'Tariffs Jul2017'!BD24</f>
        <v>N</v>
      </c>
      <c r="AC30" s="317"/>
      <c r="AD30" s="317"/>
      <c r="AE30" s="317"/>
      <c r="AF30" s="317"/>
      <c r="AG30" s="317"/>
      <c r="AH30" s="317"/>
      <c r="AI30" s="317"/>
      <c r="AJ30" s="317"/>
      <c r="AK30" s="317"/>
      <c r="AL30" s="317"/>
      <c r="AM30" s="317"/>
      <c r="AN30" s="317"/>
    </row>
    <row r="31" spans="1:40" x14ac:dyDescent="0.15">
      <c r="A31" s="270" t="str">
        <f>'Tariffs Jul2017'!F25</f>
        <v>Alinta Energy</v>
      </c>
      <c r="B31" s="40" t="str">
        <f>'Tariffs Jul2017'!D25</f>
        <v>Envestra North</v>
      </c>
      <c r="C31" s="40" t="str">
        <f>'Tariffs Jul2017'!G25</f>
        <v>Fair Deal</v>
      </c>
      <c r="D31" s="59">
        <f>365*'Tariffs Jul2017'!H25/100</f>
        <v>250.71849999999998</v>
      </c>
      <c r="E31" s="59">
        <f>IF($C$5*'Tariffs Jul2017'!AK25/'Tariffs Jul2017'!AI25&gt;='Tariffs Jul2017'!J25,( 'Tariffs Jul2017'!J25*'Tariffs Jul2017'!O25/100)* 'Tariffs Jul2017'!AI25,($C$5*'Tariffs Jul2017'!AK25/'Tariffs Jul2017'!AI25*'Tariffs Jul2017'!O25/100)* 'Tariffs Jul2017'!AI25)</f>
        <v>64.813000000000002</v>
      </c>
      <c r="F31" s="59">
        <f>IF($C$5*'Tariffs Jul2017'!AK25/'Tariffs Jul2017'!AI25&lt;'Tariffs Jul2017'!J25,0,IF($C$5*'Tariffs Jul2017'!AK25/'Tariffs Jul2017'!AI25&lt;='Tariffs Jul2017'!K25,($C$5*'Tariffs Jul2017'!AK25/'Tariffs Jul2017'!AI25-'Tariffs Jul2017'!J25)*('Tariffs Jul2017'!P25/100)*'Tariffs Jul2017'!AI25,('Tariffs Jul2017'!K25-'Tariffs Jul2017'!J25)*('Tariffs Jul2017'!P25/100)*'Tariffs Jul2017'!AI25))</f>
        <v>53.386999999999993</v>
      </c>
      <c r="G31" s="59">
        <f>IF($C$5*'Tariffs Jul2017'!AK25/'Tariffs Jul2017'!AI25&lt;'Tariffs Jul2017'!K25,0,IF($C$5*'Tariffs Jul2017'!AK25/'Tariffs Jul2017'!AI25&lt;='Tariffs Jul2017'!L25,($C$5*'Tariffs Jul2017'!AK25/'Tariffs Jul2017'!AI25-'Tariffs Jul2017'!K25)*('Tariffs Jul2017'!Q25/100)*'Tariffs Jul2017'!AI25,('Tariffs Jul2017'!L25-'Tariffs Jul2017'!K25)*('Tariffs Jul2017'!Q25/100)*'Tariffs Jul2017'!AI25))</f>
        <v>0</v>
      </c>
      <c r="H31" s="59">
        <f>IF($C$5*'Tariffs Jul2017'!AK25/'Tariffs Jul2017'!AI25&lt;'Tariffs Jul2017'!L25,0,IF($C$5*'Tariffs Jul2017'!AK25/'Tariffs Jul2017'!AI25&lt;='Tariffs Jul2017'!M25,($C$5*'Tariffs Jul2017'!AK25/'Tariffs Jul2017'!AI25-'Tariffs Jul2017'!L25)*('Tariffs Jul2017'!R25/100)*'Tariffs Jul2017'!AI25,('Tariffs Jul2017'!M25-'Tariffs Jul2017'!L25)*('Tariffs Jul2017'!R25/100)*'Tariffs Jul2017'!AI25))</f>
        <v>0</v>
      </c>
      <c r="I31" s="59">
        <f>IF(($C$5*'Tariffs Jul2017'!AK25/'Tariffs Jul2017'!AI25&gt;'Tariffs Jul2017'!M25),($C$5*'Tariffs Jul2017'!AK25/'Tariffs Jul2017'!AI25-'Tariffs Jul2017'!M25)*'Tariffs Jul2017'!S25/100*'Tariffs Jul2017'!AI25,0)</f>
        <v>260.96346</v>
      </c>
      <c r="J31" s="59">
        <f>IF($C$5*'Tariffs Jul2017'!AL25/'Tariffs Jul2017'!AJ25&gt;='Tariffs Jul2017'!J25,('Tariffs Jul2017'!J25*'Tariffs Jul2017'!U25/100)* 'Tariffs Jul2017'!AJ25,($C$5*'Tariffs Jul2017'!AL25/'Tariffs Jul2017'!AJ25*'Tariffs Jul2017'!U25/100)* 'Tariffs Jul2017'!AJ25)</f>
        <v>129.626</v>
      </c>
      <c r="K31" s="59">
        <f>IF($C$5*'Tariffs Jul2017'!AL25/'Tariffs Jul2017'!AJ25&lt;'Tariffs Jul2017'!J25,0,IF($C$5*'Tariffs Jul2017'!AL25/'Tariffs Jul2017'!AJ25&lt;='Tariffs Jul2017'!K25,($C$5*'Tariffs Jul2017'!AL25/'Tariffs Jul2017'!AJ25-'Tariffs Jul2017'!J25)*('Tariffs Jul2017'!V25/100)*'Tariffs Jul2017'!AJ25,('Tariffs Jul2017'!K25-'Tariffs Jul2017'!J25)*('Tariffs Jul2017'!V25/100)*'Tariffs Jul2017'!AJ25))</f>
        <v>106.77399999999999</v>
      </c>
      <c r="L31" s="59">
        <f>IF($C$5*'Tariffs Jul2017'!AL25/'Tariffs Jul2017'!AJ25&lt;'Tariffs Jul2017'!K25,0,IF($C$5*'Tariffs Jul2017'!AL25/'Tariffs Jul2017'!AJ25&lt;='Tariffs Jul2017'!L25,($C$5*'Tariffs Jul2017'!AL25/'Tariffs Jul2017'!AJ25-'Tariffs Jul2017'!K25)*('Tariffs Jul2017'!W25/100)*'Tariffs Jul2017'!AJ25,('Tariffs Jul2017'!L25-'Tariffs Jul2017'!K25)*('Tariffs Jul2017'!W25/100)*'Tariffs Jul2017'!AJ25))</f>
        <v>0</v>
      </c>
      <c r="M31" s="59">
        <f>IF($C$5*'Tariffs Jul2017'!AL25/'Tariffs Jul2017'!AJ25&lt;'Tariffs Jul2017'!L25,0,IF($C$5*'Tariffs Jul2017'!AL25/'Tariffs Jul2017'!AJ25&lt;='Tariffs Jul2017'!M25,($C$5*'Tariffs Jul2017'!AL25/'Tariffs Jul2017'!AJ25-'Tariffs Jul2017'!L25)*('Tariffs Jul2017'!X25/100)*'Tariffs Jul2017'!AJ25,('Tariffs Jul2017'!M25-'Tariffs Jul2017'!L25)*('Tariffs Jul2017'!X25/100)*'Tariffs Jul2017'!AJ25))</f>
        <v>0</v>
      </c>
      <c r="N31" s="59">
        <f>IF(($C$5*'Tariffs Jul2017'!AL25/'Tariffs Jul2017'!AJ25&gt;'Tariffs Jul2017'!M25),($C$5*'Tariffs Jul2017'!AL25/'Tariffs Jul2017'!AJ25-'Tariffs Jul2017'!M25)*'Tariffs Jul2017'!Y25/100*'Tariffs Jul2017'!AJ25,0)</f>
        <v>521.92692</v>
      </c>
      <c r="O31" s="271">
        <f t="shared" si="0"/>
        <v>1137.49038</v>
      </c>
      <c r="P31" s="59">
        <f t="shared" si="1"/>
        <v>1388.2088799999999</v>
      </c>
      <c r="Q31" s="272">
        <f t="shared" si="2"/>
        <v>1527.0297680000001</v>
      </c>
      <c r="R31" s="40">
        <f>'Tariffs Jul2017'!AM25</f>
        <v>0</v>
      </c>
      <c r="S31" s="40">
        <f>'Tariffs Jul2017'!AN25</f>
        <v>0</v>
      </c>
      <c r="T31" s="40">
        <f>'Tariffs Jul2017'!AO25</f>
        <v>0</v>
      </c>
      <c r="U31" s="40">
        <f>'Tariffs Jul2017'!AP25</f>
        <v>25</v>
      </c>
      <c r="V31" s="273">
        <f t="shared" si="3"/>
        <v>1388.2088799999999</v>
      </c>
      <c r="W31" s="273">
        <f>V31-(O31*U31/100)</f>
        <v>1103.8362849999999</v>
      </c>
      <c r="X31" s="272">
        <f t="shared" si="4"/>
        <v>1527.0297680000001</v>
      </c>
      <c r="Y31" s="272">
        <f t="shared" si="4"/>
        <v>1214.2199134999998</v>
      </c>
      <c r="Z31" s="274">
        <f>'Tariffs Jul2017'!AW25</f>
        <v>0</v>
      </c>
      <c r="AA31" s="274" t="str">
        <f>'Tariffs Jul2017'!AX25</f>
        <v>n</v>
      </c>
      <c r="AB31" s="275" t="str">
        <f>'Tariffs Jul2017'!BD25</f>
        <v>N</v>
      </c>
      <c r="AC31" s="317"/>
      <c r="AD31" s="317"/>
      <c r="AE31" s="317"/>
      <c r="AF31" s="317"/>
      <c r="AG31" s="317"/>
      <c r="AH31" s="317"/>
      <c r="AI31" s="317"/>
      <c r="AJ31" s="317"/>
      <c r="AK31" s="317"/>
      <c r="AL31" s="317"/>
      <c r="AM31" s="317"/>
      <c r="AN31" s="317"/>
    </row>
    <row r="32" spans="1:40" x14ac:dyDescent="0.15">
      <c r="A32" s="270" t="str">
        <f>'Tariffs Jul2017'!F26</f>
        <v>Click Energy</v>
      </c>
      <c r="B32" s="40" t="str">
        <f>'Tariffs Jul2017'!D26</f>
        <v>Envestra North</v>
      </c>
      <c r="C32" s="40" t="str">
        <f>'Tariffs Jul2017'!G26</f>
        <v>Amber</v>
      </c>
      <c r="D32" s="59">
        <f>365*'Tariffs Jul2017'!H26/100</f>
        <v>292.73</v>
      </c>
      <c r="E32" s="59">
        <f>IF($C$5*'Tariffs Jul2017'!AK26/'Tariffs Jul2017'!AI26&gt;='Tariffs Jul2017'!J26,( 'Tariffs Jul2017'!J26*'Tariffs Jul2017'!O26/100)* 'Tariffs Jul2017'!AI26,($C$5*'Tariffs Jul2017'!AK26/'Tariffs Jul2017'!AI26*'Tariffs Jul2017'!O26/100)* 'Tariffs Jul2017'!AI26)</f>
        <v>97.055000000000007</v>
      </c>
      <c r="F32" s="59">
        <f>IF($C$5*'Tariffs Jul2017'!AK26/'Tariffs Jul2017'!AI26&lt;'Tariffs Jul2017'!J26,0,IF($C$5*'Tariffs Jul2017'!AK26/'Tariffs Jul2017'!AI26&lt;='Tariffs Jul2017'!K26,($C$5*'Tariffs Jul2017'!AK26/'Tariffs Jul2017'!AI26-'Tariffs Jul2017'!J26)*('Tariffs Jul2017'!P26/100)*'Tariffs Jul2017'!AI26,('Tariffs Jul2017'!K26-'Tariffs Jul2017'!J26)*('Tariffs Jul2017'!P26/100)*'Tariffs Jul2017'!AI26))</f>
        <v>65.040000000000006</v>
      </c>
      <c r="G32" s="59">
        <f>IF($C$5*'Tariffs Jul2017'!AK26/'Tariffs Jul2017'!AI26&lt;'Tariffs Jul2017'!K26,0,IF($C$5*'Tariffs Jul2017'!AK26/'Tariffs Jul2017'!AI26&lt;='Tariffs Jul2017'!L26,($C$5*'Tariffs Jul2017'!AK26/'Tariffs Jul2017'!AI26-'Tariffs Jul2017'!K26)*('Tariffs Jul2017'!Q26/100)*'Tariffs Jul2017'!AI26,('Tariffs Jul2017'!L26-'Tariffs Jul2017'!K26)*('Tariffs Jul2017'!Q26/100)*'Tariffs Jul2017'!AI26))</f>
        <v>0</v>
      </c>
      <c r="H32" s="59">
        <f>IF($C$5*'Tariffs Jul2017'!AK26/'Tariffs Jul2017'!AI26&lt;'Tariffs Jul2017'!L26,0,IF($C$5*'Tariffs Jul2017'!AK26/'Tariffs Jul2017'!AI26&lt;='Tariffs Jul2017'!M26,($C$5*'Tariffs Jul2017'!AK26/'Tariffs Jul2017'!AI26-'Tariffs Jul2017'!L26)*('Tariffs Jul2017'!R26/100)*'Tariffs Jul2017'!AI26,('Tariffs Jul2017'!M26-'Tariffs Jul2017'!L26)*('Tariffs Jul2017'!R26/100)*'Tariffs Jul2017'!AI26))</f>
        <v>0</v>
      </c>
      <c r="I32" s="59">
        <f>IF(($C$5*'Tariffs Jul2017'!AK26/'Tariffs Jul2017'!AI26&gt;'Tariffs Jul2017'!M26),($C$5*'Tariffs Jul2017'!AK26/'Tariffs Jul2017'!AI26-'Tariffs Jul2017'!M26)*'Tariffs Jul2017'!S26/100*'Tariffs Jul2017'!AI26,0)</f>
        <v>299.95799999999997</v>
      </c>
      <c r="J32" s="59">
        <f>IF($C$5*'Tariffs Jul2017'!AL26/'Tariffs Jul2017'!AJ26&gt;='Tariffs Jul2017'!J26,('Tariffs Jul2017'!J26*'Tariffs Jul2017'!U26/100)* 'Tariffs Jul2017'!AJ26,($C$5*'Tariffs Jul2017'!AL26/'Tariffs Jul2017'!AJ26*'Tariffs Jul2017'!U26/100)* 'Tariffs Jul2017'!AJ26)</f>
        <v>194.11</v>
      </c>
      <c r="K32" s="59">
        <f>IF($C$5*'Tariffs Jul2017'!AL26/'Tariffs Jul2017'!AJ26&lt;'Tariffs Jul2017'!J26,0,IF($C$5*'Tariffs Jul2017'!AL26/'Tariffs Jul2017'!AJ26&lt;='Tariffs Jul2017'!K26,($C$5*'Tariffs Jul2017'!AL26/'Tariffs Jul2017'!AJ26-'Tariffs Jul2017'!J26)*('Tariffs Jul2017'!V26/100)*'Tariffs Jul2017'!AJ26,('Tariffs Jul2017'!K26-'Tariffs Jul2017'!J26)*('Tariffs Jul2017'!V26/100)*'Tariffs Jul2017'!AJ26))</f>
        <v>130.08000000000001</v>
      </c>
      <c r="L32" s="59">
        <f>IF($C$5*'Tariffs Jul2017'!AL26/'Tariffs Jul2017'!AJ26&lt;'Tariffs Jul2017'!K26,0,IF($C$5*'Tariffs Jul2017'!AL26/'Tariffs Jul2017'!AJ26&lt;='Tariffs Jul2017'!L26,($C$5*'Tariffs Jul2017'!AL26/'Tariffs Jul2017'!AJ26-'Tariffs Jul2017'!K26)*('Tariffs Jul2017'!W26/100)*'Tariffs Jul2017'!AJ26,('Tariffs Jul2017'!L26-'Tariffs Jul2017'!K26)*('Tariffs Jul2017'!W26/100)*'Tariffs Jul2017'!AJ26))</f>
        <v>0</v>
      </c>
      <c r="M32" s="59">
        <f>IF($C$5*'Tariffs Jul2017'!AL26/'Tariffs Jul2017'!AJ26&lt;'Tariffs Jul2017'!L26,0,IF($C$5*'Tariffs Jul2017'!AL26/'Tariffs Jul2017'!AJ26&lt;='Tariffs Jul2017'!M26,($C$5*'Tariffs Jul2017'!AL26/'Tariffs Jul2017'!AJ26-'Tariffs Jul2017'!L26)*('Tariffs Jul2017'!X26/100)*'Tariffs Jul2017'!AJ26,('Tariffs Jul2017'!M26-'Tariffs Jul2017'!L26)*('Tariffs Jul2017'!X26/100)*'Tariffs Jul2017'!AJ26))</f>
        <v>0</v>
      </c>
      <c r="N32" s="59">
        <f>IF(($C$5*'Tariffs Jul2017'!AL26/'Tariffs Jul2017'!AJ26&gt;'Tariffs Jul2017'!M26),($C$5*'Tariffs Jul2017'!AL26/'Tariffs Jul2017'!AJ26-'Tariffs Jul2017'!M26)*'Tariffs Jul2017'!Y26/100*'Tariffs Jul2017'!AJ26,0)</f>
        <v>599.91599999999994</v>
      </c>
      <c r="O32" s="271">
        <f t="shared" si="0"/>
        <v>1386.1590000000001</v>
      </c>
      <c r="P32" s="59">
        <f t="shared" si="1"/>
        <v>1678.8890000000001</v>
      </c>
      <c r="Q32" s="272">
        <f t="shared" si="2"/>
        <v>1846.7779000000003</v>
      </c>
      <c r="R32" s="40">
        <f>'Tariffs Jul2017'!AM26</f>
        <v>0</v>
      </c>
      <c r="S32" s="40">
        <f>'Tariffs Jul2017'!AN26</f>
        <v>0</v>
      </c>
      <c r="T32" s="40">
        <f>'Tariffs Jul2017'!AO26</f>
        <v>14</v>
      </c>
      <c r="U32" s="40">
        <f>'Tariffs Jul2017'!AP26</f>
        <v>0</v>
      </c>
      <c r="V32" s="273">
        <f t="shared" si="3"/>
        <v>1678.8890000000001</v>
      </c>
      <c r="W32" s="273">
        <f>V32-(P32*T32/100)</f>
        <v>1443.8445400000001</v>
      </c>
      <c r="X32" s="272">
        <f t="shared" si="4"/>
        <v>1846.7779000000003</v>
      </c>
      <c r="Y32" s="272">
        <f t="shared" si="4"/>
        <v>1588.2289940000003</v>
      </c>
      <c r="Z32" s="274">
        <f>'Tariffs Jul2017'!AW26</f>
        <v>0</v>
      </c>
      <c r="AA32" s="274" t="str">
        <f>'Tariffs Jul2017'!AX26</f>
        <v>n</v>
      </c>
      <c r="AB32" s="275" t="str">
        <f>'Tariffs Jul2017'!BD26</f>
        <v>N</v>
      </c>
      <c r="AC32" s="317"/>
      <c r="AD32" s="317"/>
      <c r="AE32" s="317"/>
      <c r="AF32" s="317"/>
      <c r="AG32" s="317"/>
      <c r="AH32" s="317"/>
      <c r="AI32" s="317"/>
      <c r="AJ32" s="317"/>
      <c r="AK32" s="317"/>
      <c r="AL32" s="317"/>
      <c r="AM32" s="317"/>
      <c r="AN32" s="317"/>
    </row>
    <row r="33" spans="1:40" x14ac:dyDescent="0.15">
      <c r="A33" s="270" t="str">
        <f>'Tariffs Jul2017'!F27</f>
        <v>Covau</v>
      </c>
      <c r="B33" s="40" t="str">
        <f>'Tariffs Jul2017'!D27</f>
        <v>Envestra North</v>
      </c>
      <c r="C33" s="40" t="str">
        <f>'Tariffs Jul2017'!G27</f>
        <v>Market offer</v>
      </c>
      <c r="D33" s="59">
        <f>365*'Tariffs Jul2017'!H27/100</f>
        <v>248.2</v>
      </c>
      <c r="E33" s="59">
        <f>IF($C$5*'Tariffs Jul2017'!AK27/'Tariffs Jul2017'!AI27&gt;='Tariffs Jul2017'!J27,( 'Tariffs Jul2017'!J27*'Tariffs Jul2017'!O27/100)* 'Tariffs Jul2017'!AI27,($C$5*'Tariffs Jul2017'!AK27/'Tariffs Jul2017'!AI27*'Tariffs Jul2017'!O27/100)* 'Tariffs Jul2017'!AI27)</f>
        <v>103.306</v>
      </c>
      <c r="F33" s="59">
        <f>IF($C$5*'Tariffs Jul2017'!AK27/'Tariffs Jul2017'!AI27&lt;'Tariffs Jul2017'!J27,0,IF($C$5*'Tariffs Jul2017'!AK27/'Tariffs Jul2017'!AI27&lt;='Tariffs Jul2017'!K27,($C$5*'Tariffs Jul2017'!AK27/'Tariffs Jul2017'!AI27-'Tariffs Jul2017'!J27)*('Tariffs Jul2017'!P27/100)*'Tariffs Jul2017'!AI27,('Tariffs Jul2017'!K27-'Tariffs Jul2017'!J27)*('Tariffs Jul2017'!P27/100)*'Tariffs Jul2017'!AI27))</f>
        <v>74.795999999999992</v>
      </c>
      <c r="G33" s="59">
        <f>IF($C$5*'Tariffs Jul2017'!AK27/'Tariffs Jul2017'!AI27&lt;'Tariffs Jul2017'!K27,0,IF($C$5*'Tariffs Jul2017'!AK27/'Tariffs Jul2017'!AI27&lt;='Tariffs Jul2017'!L27,($C$5*'Tariffs Jul2017'!AK27/'Tariffs Jul2017'!AI27-'Tariffs Jul2017'!K27)*('Tariffs Jul2017'!Q27/100)*'Tariffs Jul2017'!AI27,('Tariffs Jul2017'!L27-'Tariffs Jul2017'!K27)*('Tariffs Jul2017'!Q27/100)*'Tariffs Jul2017'!AI27))</f>
        <v>0</v>
      </c>
      <c r="H33" s="59">
        <f>IF($C$5*'Tariffs Jul2017'!AK27/'Tariffs Jul2017'!AI27&lt;'Tariffs Jul2017'!L27,0,IF($C$5*'Tariffs Jul2017'!AK27/'Tariffs Jul2017'!AI27&lt;='Tariffs Jul2017'!M27,($C$5*'Tariffs Jul2017'!AK27/'Tariffs Jul2017'!AI27-'Tariffs Jul2017'!L27)*('Tariffs Jul2017'!R27/100)*'Tariffs Jul2017'!AI27,('Tariffs Jul2017'!M27-'Tariffs Jul2017'!L27)*('Tariffs Jul2017'!R27/100)*'Tariffs Jul2017'!AI27))</f>
        <v>0</v>
      </c>
      <c r="I33" s="59">
        <f>IF(($C$5*'Tariffs Jul2017'!AK27/'Tariffs Jul2017'!AI27&gt;'Tariffs Jul2017'!M27),($C$5*'Tariffs Jul2017'!AK27/'Tariffs Jul2017'!AI27-'Tariffs Jul2017'!M27)*'Tariffs Jul2017'!S27/100*'Tariffs Jul2017'!AI27,0)</f>
        <v>338.95253999999994</v>
      </c>
      <c r="J33" s="59">
        <f>IF($C$5*'Tariffs Jul2017'!AL27/'Tariffs Jul2017'!AJ27&gt;='Tariffs Jul2017'!J27,('Tariffs Jul2017'!J27*'Tariffs Jul2017'!U27/100)* 'Tariffs Jul2017'!AJ27,($C$5*'Tariffs Jul2017'!AL27/'Tariffs Jul2017'!AJ27*'Tariffs Jul2017'!U27/100)* 'Tariffs Jul2017'!AJ27)</f>
        <v>206.61199999999999</v>
      </c>
      <c r="K33" s="59">
        <f>IF($C$5*'Tariffs Jul2017'!AL27/'Tariffs Jul2017'!AJ27&lt;'Tariffs Jul2017'!J27,0,IF($C$5*'Tariffs Jul2017'!AL27/'Tariffs Jul2017'!AJ27&lt;='Tariffs Jul2017'!K27,($C$5*'Tariffs Jul2017'!AL27/'Tariffs Jul2017'!AJ27-'Tariffs Jul2017'!J27)*('Tariffs Jul2017'!V27/100)*'Tariffs Jul2017'!AJ27,('Tariffs Jul2017'!K27-'Tariffs Jul2017'!J27)*('Tariffs Jul2017'!V27/100)*'Tariffs Jul2017'!AJ27))</f>
        <v>149.59199999999998</v>
      </c>
      <c r="L33" s="59">
        <f>IF($C$5*'Tariffs Jul2017'!AL27/'Tariffs Jul2017'!AJ27&lt;'Tariffs Jul2017'!K27,0,IF($C$5*'Tariffs Jul2017'!AL27/'Tariffs Jul2017'!AJ27&lt;='Tariffs Jul2017'!L27,($C$5*'Tariffs Jul2017'!AL27/'Tariffs Jul2017'!AJ27-'Tariffs Jul2017'!K27)*('Tariffs Jul2017'!W27/100)*'Tariffs Jul2017'!AJ27,('Tariffs Jul2017'!L27-'Tariffs Jul2017'!K27)*('Tariffs Jul2017'!W27/100)*'Tariffs Jul2017'!AJ27))</f>
        <v>0</v>
      </c>
      <c r="M33" s="59">
        <f>IF($C$5*'Tariffs Jul2017'!AL27/'Tariffs Jul2017'!AJ27&lt;'Tariffs Jul2017'!L27,0,IF($C$5*'Tariffs Jul2017'!AL27/'Tariffs Jul2017'!AJ27&lt;='Tariffs Jul2017'!M27,($C$5*'Tariffs Jul2017'!AL27/'Tariffs Jul2017'!AJ27-'Tariffs Jul2017'!L27)*('Tariffs Jul2017'!X27/100)*'Tariffs Jul2017'!AJ27,('Tariffs Jul2017'!M27-'Tariffs Jul2017'!L27)*('Tariffs Jul2017'!X27/100)*'Tariffs Jul2017'!AJ27))</f>
        <v>0</v>
      </c>
      <c r="N33" s="59">
        <f>IF(($C$5*'Tariffs Jul2017'!AL27/'Tariffs Jul2017'!AJ27&gt;'Tariffs Jul2017'!M27),($C$5*'Tariffs Jul2017'!AL27/'Tariffs Jul2017'!AJ27-'Tariffs Jul2017'!M27)*'Tariffs Jul2017'!Y27/100*'Tariffs Jul2017'!AJ27,0)</f>
        <v>677.90507999999988</v>
      </c>
      <c r="O33" s="271">
        <f t="shared" si="0"/>
        <v>1551.1636199999998</v>
      </c>
      <c r="P33" s="59">
        <f t="shared" si="1"/>
        <v>1799.3636199999999</v>
      </c>
      <c r="Q33" s="272">
        <f t="shared" si="2"/>
        <v>1979.299982</v>
      </c>
      <c r="R33" s="40">
        <f>'Tariffs Jul2017'!AM27</f>
        <v>0</v>
      </c>
      <c r="S33" s="40">
        <f>'Tariffs Jul2017'!AN27</f>
        <v>0</v>
      </c>
      <c r="T33" s="40">
        <f>'Tariffs Jul2017'!AO27</f>
        <v>0</v>
      </c>
      <c r="U33" s="40">
        <f>'Tariffs Jul2017'!AP27</f>
        <v>16</v>
      </c>
      <c r="V33" s="273">
        <f t="shared" si="3"/>
        <v>1799.3636199999999</v>
      </c>
      <c r="W33" s="273">
        <f>V33-(O33*U33/100)</f>
        <v>1551.1774407999999</v>
      </c>
      <c r="X33" s="272">
        <f t="shared" si="4"/>
        <v>1979.299982</v>
      </c>
      <c r="Y33" s="272">
        <f t="shared" si="4"/>
        <v>1706.2951848800001</v>
      </c>
      <c r="Z33" s="274">
        <f>'Tariffs Jul2017'!AW27</f>
        <v>12</v>
      </c>
      <c r="AA33" s="274" t="str">
        <f>'Tariffs Jul2017'!AX27</f>
        <v>y</v>
      </c>
      <c r="AB33" s="275" t="str">
        <f>'Tariffs Jul2017'!BD27</f>
        <v>N</v>
      </c>
      <c r="AC33" s="317"/>
      <c r="AD33" s="317"/>
      <c r="AE33" s="317"/>
      <c r="AF33" s="317"/>
      <c r="AG33" s="317"/>
      <c r="AH33" s="317"/>
      <c r="AI33" s="317"/>
      <c r="AJ33" s="317"/>
      <c r="AK33" s="317"/>
      <c r="AL33" s="317"/>
      <c r="AM33" s="317"/>
      <c r="AN33" s="317"/>
    </row>
    <row r="34" spans="1:40" x14ac:dyDescent="0.15">
      <c r="A34" s="270" t="str">
        <f>'Tariffs Jul2017'!F28</f>
        <v>Dodo Power &amp; Gas</v>
      </c>
      <c r="B34" s="40" t="str">
        <f>'Tariffs Jul2017'!D28</f>
        <v>Envestra North</v>
      </c>
      <c r="C34" s="40" t="str">
        <f>'Tariffs Jul2017'!G28</f>
        <v>Market offer</v>
      </c>
      <c r="D34" s="59">
        <f>365*'Tariffs Jul2017'!H28/100</f>
        <v>247.47</v>
      </c>
      <c r="E34" s="59">
        <f>IF($C$5*'Tariffs Jul2017'!AK28/'Tariffs Jul2017'!AI28&gt;='Tariffs Jul2017'!J28,( 'Tariffs Jul2017'!J28*'Tariffs Jul2017'!O28/100)* 'Tariffs Jul2017'!AI28,($C$5*'Tariffs Jul2017'!AK28/'Tariffs Jul2017'!AI28*'Tariffs Jul2017'!O28/100)* 'Tariffs Jul2017'!AI28)</f>
        <v>174.4</v>
      </c>
      <c r="F34" s="59">
        <f>IF($C$5*'Tariffs Jul2017'!AK28/'Tariffs Jul2017'!AI28&lt;'Tariffs Jul2017'!J28,0,IF($C$5*'Tariffs Jul2017'!AK28/'Tariffs Jul2017'!AI28&lt;='Tariffs Jul2017'!K28,($C$5*'Tariffs Jul2017'!AK28/'Tariffs Jul2017'!AI28-'Tariffs Jul2017'!J28)*('Tariffs Jul2017'!P28/100)*'Tariffs Jul2017'!AI28,('Tariffs Jul2017'!K28-'Tariffs Jul2017'!J28)*('Tariffs Jul2017'!P28/100)*'Tariffs Jul2017'!AI28))</f>
        <v>245.66030999999995</v>
      </c>
      <c r="G34" s="59">
        <f>IF($C$5*'Tariffs Jul2017'!AK28/'Tariffs Jul2017'!AI28&lt;'Tariffs Jul2017'!K28,0,IF($C$5*'Tariffs Jul2017'!AK28/'Tariffs Jul2017'!AI28&lt;='Tariffs Jul2017'!L28,($C$5*'Tariffs Jul2017'!AK28/'Tariffs Jul2017'!AI28-'Tariffs Jul2017'!K28)*('Tariffs Jul2017'!Q28/100)*'Tariffs Jul2017'!AI28,('Tariffs Jul2017'!L28-'Tariffs Jul2017'!K28)*('Tariffs Jul2017'!Q28/100)*'Tariffs Jul2017'!AI28))</f>
        <v>0</v>
      </c>
      <c r="H34" s="59">
        <f>IF($C$5*'Tariffs Jul2017'!AK28/'Tariffs Jul2017'!AI28&lt;'Tariffs Jul2017'!L28,0,IF($C$5*'Tariffs Jul2017'!AK28/'Tariffs Jul2017'!AI28&lt;='Tariffs Jul2017'!M28,($C$5*'Tariffs Jul2017'!AK28/'Tariffs Jul2017'!AI28-'Tariffs Jul2017'!L28)*('Tariffs Jul2017'!R28/100)*'Tariffs Jul2017'!AI28,('Tariffs Jul2017'!M28-'Tariffs Jul2017'!L28)*('Tariffs Jul2017'!R28/100)*'Tariffs Jul2017'!AI28))</f>
        <v>0</v>
      </c>
      <c r="I34" s="59">
        <f>IF(($C$5*'Tariffs Jul2017'!AK28/'Tariffs Jul2017'!AI28&gt;'Tariffs Jul2017'!M28),($C$5*'Tariffs Jul2017'!AK28/'Tariffs Jul2017'!AI28-'Tariffs Jul2017'!M28)*'Tariffs Jul2017'!S28/100*'Tariffs Jul2017'!AI28,0)</f>
        <v>0</v>
      </c>
      <c r="J34" s="59">
        <f>IF($C$5*'Tariffs Jul2017'!AL28/'Tariffs Jul2017'!AJ28&gt;='Tariffs Jul2017'!J28,('Tariffs Jul2017'!J28*'Tariffs Jul2017'!U28/100)* 'Tariffs Jul2017'!AJ28,($C$5*'Tariffs Jul2017'!AL28/'Tariffs Jul2017'!AJ28*'Tariffs Jul2017'!U28/100)* 'Tariffs Jul2017'!AJ28)</f>
        <v>348.8</v>
      </c>
      <c r="K34" s="59">
        <f>IF($C$5*'Tariffs Jul2017'!AL28/'Tariffs Jul2017'!AJ28&lt;'Tariffs Jul2017'!J28,0,IF($C$5*'Tariffs Jul2017'!AL28/'Tariffs Jul2017'!AJ28&lt;='Tariffs Jul2017'!K28,($C$5*'Tariffs Jul2017'!AL28/'Tariffs Jul2017'!AJ28-'Tariffs Jul2017'!J28)*('Tariffs Jul2017'!V28/100)*'Tariffs Jul2017'!AJ28,('Tariffs Jul2017'!K28-'Tariffs Jul2017'!J28)*('Tariffs Jul2017'!V28/100)*'Tariffs Jul2017'!AJ28))</f>
        <v>491.32061999999991</v>
      </c>
      <c r="L34" s="59">
        <f>IF($C$5*'Tariffs Jul2017'!AL28/'Tariffs Jul2017'!AJ28&lt;'Tariffs Jul2017'!K28,0,IF($C$5*'Tariffs Jul2017'!AL28/'Tariffs Jul2017'!AJ28&lt;='Tariffs Jul2017'!L28,($C$5*'Tariffs Jul2017'!AL28/'Tariffs Jul2017'!AJ28-'Tariffs Jul2017'!K28)*('Tariffs Jul2017'!W28/100)*'Tariffs Jul2017'!AJ28,('Tariffs Jul2017'!L28-'Tariffs Jul2017'!K28)*('Tariffs Jul2017'!W28/100)*'Tariffs Jul2017'!AJ28))</f>
        <v>0</v>
      </c>
      <c r="M34" s="59">
        <f>IF($C$5*'Tariffs Jul2017'!AL28/'Tariffs Jul2017'!AJ28&lt;'Tariffs Jul2017'!L28,0,IF($C$5*'Tariffs Jul2017'!AL28/'Tariffs Jul2017'!AJ28&lt;='Tariffs Jul2017'!M28,($C$5*'Tariffs Jul2017'!AL28/'Tariffs Jul2017'!AJ28-'Tariffs Jul2017'!L28)*('Tariffs Jul2017'!X28/100)*'Tariffs Jul2017'!AJ28,('Tariffs Jul2017'!M28-'Tariffs Jul2017'!L28)*('Tariffs Jul2017'!X28/100)*'Tariffs Jul2017'!AJ28))</f>
        <v>0</v>
      </c>
      <c r="N34" s="59">
        <f>IF(($C$5*'Tariffs Jul2017'!AL28/'Tariffs Jul2017'!AJ28&gt;'Tariffs Jul2017'!M28),($C$5*'Tariffs Jul2017'!AL28/'Tariffs Jul2017'!AJ28-'Tariffs Jul2017'!M28)*'Tariffs Jul2017'!Y28/100*'Tariffs Jul2017'!AJ28,0)</f>
        <v>0</v>
      </c>
      <c r="O34" s="271">
        <f t="shared" si="0"/>
        <v>1260.18093</v>
      </c>
      <c r="P34" s="59">
        <f t="shared" si="1"/>
        <v>1507.65093</v>
      </c>
      <c r="Q34" s="272">
        <f t="shared" si="2"/>
        <v>1658.4160230000002</v>
      </c>
      <c r="R34" s="40">
        <f>'Tariffs Jul2017'!AM28</f>
        <v>0</v>
      </c>
      <c r="S34" s="40">
        <f>'Tariffs Jul2017'!AN28</f>
        <v>0</v>
      </c>
      <c r="T34" s="40">
        <f>'Tariffs Jul2017'!AO28</f>
        <v>0</v>
      </c>
      <c r="U34" s="40">
        <f>'Tariffs Jul2017'!AP28</f>
        <v>0</v>
      </c>
      <c r="V34" s="273">
        <f t="shared" si="3"/>
        <v>1507.65093</v>
      </c>
      <c r="W34" s="273">
        <f>V34-(O34*U34/100)</f>
        <v>1507.65093</v>
      </c>
      <c r="X34" s="272">
        <f t="shared" si="4"/>
        <v>1658.4160230000002</v>
      </c>
      <c r="Y34" s="272">
        <f t="shared" si="4"/>
        <v>1658.4160230000002</v>
      </c>
      <c r="Z34" s="274">
        <f>'Tariffs Jul2017'!AW28</f>
        <v>0</v>
      </c>
      <c r="AA34" s="274" t="str">
        <f>'Tariffs Jul2017'!AX28</f>
        <v>n</v>
      </c>
      <c r="AB34" s="275" t="str">
        <f>'Tariffs Jul2017'!BD28</f>
        <v>Y</v>
      </c>
      <c r="AC34" s="317"/>
      <c r="AD34" s="317"/>
      <c r="AE34" s="317"/>
      <c r="AF34" s="317"/>
      <c r="AG34" s="317"/>
      <c r="AH34" s="317"/>
      <c r="AI34" s="317"/>
      <c r="AJ34" s="317"/>
      <c r="AK34" s="317"/>
      <c r="AL34" s="317"/>
      <c r="AM34" s="317"/>
      <c r="AN34" s="317"/>
    </row>
    <row r="35" spans="1:40" x14ac:dyDescent="0.15">
      <c r="A35" s="270" t="str">
        <f>'Tariffs Jul2017'!F29</f>
        <v>EnergyAustralia</v>
      </c>
      <c r="B35" s="40" t="str">
        <f>'Tariffs Jul2017'!D29</f>
        <v>Envestra North</v>
      </c>
      <c r="C35" s="40" t="str">
        <f>'Tariffs Jul2017'!G29</f>
        <v xml:space="preserve">Flexi Saver </v>
      </c>
      <c r="D35" s="59">
        <f>365*'Tariffs Jul2017'!H29/100</f>
        <v>270.83</v>
      </c>
      <c r="E35" s="59">
        <f>IF($C$5*'Tariffs Jul2017'!AK29/'Tariffs Jul2017'!AI29&gt;='Tariffs Jul2017'!J29,( 'Tariffs Jul2017'!J29*'Tariffs Jul2017'!O29/100)* 'Tariffs Jul2017'!AI29,($C$5*'Tariffs Jul2017'!AK29/'Tariffs Jul2017'!AI29*'Tariffs Jul2017'!O29/100)* 'Tariffs Jul2017'!AI29)</f>
        <v>88.172000000000011</v>
      </c>
      <c r="F35" s="59">
        <f>IF($C$5*'Tariffs Jul2017'!AK29/'Tariffs Jul2017'!AI29&lt;'Tariffs Jul2017'!J29,0,IF($C$5*'Tariffs Jul2017'!AK29/'Tariffs Jul2017'!AI29&lt;='Tariffs Jul2017'!K29,($C$5*'Tariffs Jul2017'!AK29/'Tariffs Jul2017'!AI29-'Tariffs Jul2017'!J29)*('Tariffs Jul2017'!P29/100)*'Tariffs Jul2017'!AI29,('Tariffs Jul2017'!K29-'Tariffs Jul2017'!J29)*('Tariffs Jul2017'!P29/100)*'Tariffs Jul2017'!AI29))</f>
        <v>58.807000000000002</v>
      </c>
      <c r="G35" s="59">
        <f>IF($C$5*'Tariffs Jul2017'!AK29/'Tariffs Jul2017'!AI29&lt;'Tariffs Jul2017'!K29,0,IF($C$5*'Tariffs Jul2017'!AK29/'Tariffs Jul2017'!AI29&lt;='Tariffs Jul2017'!L29,($C$5*'Tariffs Jul2017'!AK29/'Tariffs Jul2017'!AI29-'Tariffs Jul2017'!K29)*('Tariffs Jul2017'!Q29/100)*'Tariffs Jul2017'!AI29,('Tariffs Jul2017'!L29-'Tariffs Jul2017'!K29)*('Tariffs Jul2017'!Q29/100)*'Tariffs Jul2017'!AI29))</f>
        <v>0</v>
      </c>
      <c r="H35" s="59">
        <f>IF($C$5*'Tariffs Jul2017'!AK29/'Tariffs Jul2017'!AI29&lt;'Tariffs Jul2017'!L29,0,IF($C$5*'Tariffs Jul2017'!AK29/'Tariffs Jul2017'!AI29&lt;='Tariffs Jul2017'!M29,($C$5*'Tariffs Jul2017'!AK29/'Tariffs Jul2017'!AI29-'Tariffs Jul2017'!L29)*('Tariffs Jul2017'!R29/100)*'Tariffs Jul2017'!AI29,('Tariffs Jul2017'!M29-'Tariffs Jul2017'!L29)*('Tariffs Jul2017'!R29/100)*'Tariffs Jul2017'!AI29))</f>
        <v>0</v>
      </c>
      <c r="I35" s="59">
        <f>IF(($C$5*'Tariffs Jul2017'!AK29/'Tariffs Jul2017'!AI29&gt;'Tariffs Jul2017'!M29),($C$5*'Tariffs Jul2017'!AK29/'Tariffs Jul2017'!AI29-'Tariffs Jul2017'!M29)*'Tariffs Jul2017'!S29/100*'Tariffs Jul2017'!AI29,0)</f>
        <v>256.46408999999994</v>
      </c>
      <c r="J35" s="59">
        <f>IF($C$5*'Tariffs Jul2017'!AL29/'Tariffs Jul2017'!AJ29&gt;='Tariffs Jul2017'!J29,('Tariffs Jul2017'!J29*'Tariffs Jul2017'!U29/100)* 'Tariffs Jul2017'!AJ29,($C$5*'Tariffs Jul2017'!AL29/'Tariffs Jul2017'!AJ29*'Tariffs Jul2017'!U29/100)* 'Tariffs Jul2017'!AJ29)</f>
        <v>175.02799999999999</v>
      </c>
      <c r="K35" s="59">
        <f>IF($C$5*'Tariffs Jul2017'!AL29/'Tariffs Jul2017'!AJ29&lt;'Tariffs Jul2017'!J29,0,IF($C$5*'Tariffs Jul2017'!AL29/'Tariffs Jul2017'!AJ29&lt;='Tariffs Jul2017'!K29,($C$5*'Tariffs Jul2017'!AL29/'Tariffs Jul2017'!AJ29-'Tariffs Jul2017'!J29)*('Tariffs Jul2017'!V29/100)*'Tariffs Jul2017'!AJ29,('Tariffs Jul2017'!K29-'Tariffs Jul2017'!J29)*('Tariffs Jul2017'!V29/100)*'Tariffs Jul2017'!AJ29))</f>
        <v>116.52999999999999</v>
      </c>
      <c r="L35" s="59">
        <f>IF($C$5*'Tariffs Jul2017'!AL29/'Tariffs Jul2017'!AJ29&lt;'Tariffs Jul2017'!K29,0,IF($C$5*'Tariffs Jul2017'!AL29/'Tariffs Jul2017'!AJ29&lt;='Tariffs Jul2017'!L29,($C$5*'Tariffs Jul2017'!AL29/'Tariffs Jul2017'!AJ29-'Tariffs Jul2017'!K29)*('Tariffs Jul2017'!W29/100)*'Tariffs Jul2017'!AJ29,('Tariffs Jul2017'!L29-'Tariffs Jul2017'!K29)*('Tariffs Jul2017'!W29/100)*'Tariffs Jul2017'!AJ29))</f>
        <v>0</v>
      </c>
      <c r="M35" s="59">
        <f>IF($C$5*'Tariffs Jul2017'!AL29/'Tariffs Jul2017'!AJ29&lt;'Tariffs Jul2017'!L29,0,IF($C$5*'Tariffs Jul2017'!AL29/'Tariffs Jul2017'!AJ29&lt;='Tariffs Jul2017'!M29,($C$5*'Tariffs Jul2017'!AL29/'Tariffs Jul2017'!AJ29-'Tariffs Jul2017'!L29)*('Tariffs Jul2017'!X29/100)*'Tariffs Jul2017'!AJ29,('Tariffs Jul2017'!M29-'Tariffs Jul2017'!L29)*('Tariffs Jul2017'!X29/100)*'Tariffs Jul2017'!AJ29))</f>
        <v>0</v>
      </c>
      <c r="N35" s="59">
        <f>IF(($C$5*'Tariffs Jul2017'!AL29/'Tariffs Jul2017'!AJ29&gt;'Tariffs Jul2017'!M29),($C$5*'Tariffs Jul2017'!AL29/'Tariffs Jul2017'!AJ29-'Tariffs Jul2017'!M29)*'Tariffs Jul2017'!Y29/100*'Tariffs Jul2017'!AJ29,0)</f>
        <v>506.92901999999992</v>
      </c>
      <c r="O35" s="271">
        <f t="shared" si="0"/>
        <v>1201.9301099999998</v>
      </c>
      <c r="P35" s="59">
        <f t="shared" si="1"/>
        <v>1472.7601099999997</v>
      </c>
      <c r="Q35" s="272">
        <f t="shared" si="2"/>
        <v>1620.0361209999999</v>
      </c>
      <c r="R35" s="40">
        <f>'Tariffs Jul2017'!AM29</f>
        <v>0</v>
      </c>
      <c r="S35" s="40">
        <f>'Tariffs Jul2017'!AN29</f>
        <v>0</v>
      </c>
      <c r="T35" s="40">
        <f>'Tariffs Jul2017'!AO29</f>
        <v>0</v>
      </c>
      <c r="U35" s="40">
        <f>'Tariffs Jul2017'!AP29</f>
        <v>20</v>
      </c>
      <c r="V35" s="273">
        <f t="shared" si="3"/>
        <v>1472.7601099999997</v>
      </c>
      <c r="W35" s="273">
        <f>V35-(O35*U35/100)</f>
        <v>1232.3740879999998</v>
      </c>
      <c r="X35" s="272">
        <f t="shared" si="4"/>
        <v>1620.0361209999999</v>
      </c>
      <c r="Y35" s="272">
        <f t="shared" si="4"/>
        <v>1355.6114967999999</v>
      </c>
      <c r="Z35" s="274">
        <f>'Tariffs Jul2017'!AW29</f>
        <v>0</v>
      </c>
      <c r="AA35" s="274" t="str">
        <f>'Tariffs Jul2017'!AX29</f>
        <v>n</v>
      </c>
      <c r="AB35" s="275" t="str">
        <f>'Tariffs Jul2017'!BD29</f>
        <v>N</v>
      </c>
      <c r="AC35" s="317"/>
      <c r="AD35" s="317"/>
      <c r="AE35" s="317"/>
      <c r="AF35" s="317"/>
      <c r="AG35" s="317"/>
      <c r="AH35" s="317"/>
      <c r="AI35" s="317"/>
      <c r="AJ35" s="317"/>
      <c r="AK35" s="317"/>
      <c r="AL35" s="317"/>
      <c r="AM35" s="317"/>
      <c r="AN35" s="317"/>
    </row>
    <row r="36" spans="1:40" x14ac:dyDescent="0.15">
      <c r="A36" s="270" t="str">
        <f>'Tariffs Jul2017'!F30</f>
        <v>Lumo Energy</v>
      </c>
      <c r="B36" s="40" t="str">
        <f>'Tariffs Jul2017'!D30</f>
        <v>Envestra North</v>
      </c>
      <c r="C36" s="40" t="str">
        <f>'Tariffs Jul2017'!G30</f>
        <v>Advantage</v>
      </c>
      <c r="D36" s="59">
        <f>365*'Tariffs Jul2017'!H30/100</f>
        <v>240.24299999999999</v>
      </c>
      <c r="E36" s="59">
        <f>IF($C$5*'Tariffs Jul2017'!AK30/'Tariffs Jul2017'!AI30&gt;='Tariffs Jul2017'!J30,( 'Tariffs Jul2017'!J30*'Tariffs Jul2017'!O30/100)* 'Tariffs Jul2017'!AI30,($C$5*'Tariffs Jul2017'!AK30/'Tariffs Jul2017'!AI30*'Tariffs Jul2017'!O30/100)* 'Tariffs Jul2017'!AI30)</f>
        <v>87.28370000000001</v>
      </c>
      <c r="F36" s="59">
        <f>IF($C$5*'Tariffs Jul2017'!AK30/'Tariffs Jul2017'!AI30&lt;'Tariffs Jul2017'!J30,0,IF($C$5*'Tariffs Jul2017'!AK30/'Tariffs Jul2017'!AI30&lt;='Tariffs Jul2017'!K30,($C$5*'Tariffs Jul2017'!AK30/'Tariffs Jul2017'!AI30-'Tariffs Jul2017'!J30)*('Tariffs Jul2017'!P30/100)*'Tariffs Jul2017'!AI30,('Tariffs Jul2017'!K30-'Tariffs Jul2017'!J30)*('Tariffs Jul2017'!P30/100)*'Tariffs Jul2017'!AI30))</f>
        <v>59.078000000000003</v>
      </c>
      <c r="G36" s="59">
        <f>IF($C$5*'Tariffs Jul2017'!AK30/'Tariffs Jul2017'!AI30&lt;'Tariffs Jul2017'!K30,0,IF($C$5*'Tariffs Jul2017'!AK30/'Tariffs Jul2017'!AI30&lt;='Tariffs Jul2017'!L30,($C$5*'Tariffs Jul2017'!AK30/'Tariffs Jul2017'!AI30-'Tariffs Jul2017'!K30)*('Tariffs Jul2017'!Q30/100)*'Tariffs Jul2017'!AI30,('Tariffs Jul2017'!L30-'Tariffs Jul2017'!K30)*('Tariffs Jul2017'!Q30/100)*'Tariffs Jul2017'!AI30))</f>
        <v>0</v>
      </c>
      <c r="H36" s="59">
        <f>IF($C$5*'Tariffs Jul2017'!AK30/'Tariffs Jul2017'!AI30&lt;'Tariffs Jul2017'!L30,0,IF($C$5*'Tariffs Jul2017'!AK30/'Tariffs Jul2017'!AI30&lt;='Tariffs Jul2017'!M30,($C$5*'Tariffs Jul2017'!AK30/'Tariffs Jul2017'!AI30-'Tariffs Jul2017'!L30)*('Tariffs Jul2017'!R30/100)*'Tariffs Jul2017'!AI30,('Tariffs Jul2017'!M30-'Tariffs Jul2017'!L30)*('Tariffs Jul2017'!R30/100)*'Tariffs Jul2017'!AI30))</f>
        <v>0</v>
      </c>
      <c r="I36" s="59">
        <f>IF(($C$5*'Tariffs Jul2017'!AK30/'Tariffs Jul2017'!AI30&gt;'Tariffs Jul2017'!M30),($C$5*'Tariffs Jul2017'!AK30/'Tariffs Jul2017'!AI30-'Tariffs Jul2017'!M30)*'Tariffs Jul2017'!S30/100*'Tariffs Jul2017'!AI30,0)</f>
        <v>272.06190599999996</v>
      </c>
      <c r="J36" s="59">
        <f>IF($C$5*'Tariffs Jul2017'!AL30/'Tariffs Jul2017'!AJ30&gt;='Tariffs Jul2017'!J30,('Tariffs Jul2017'!J30*'Tariffs Jul2017'!U30/100)* 'Tariffs Jul2017'!AJ30,($C$5*'Tariffs Jul2017'!AL30/'Tariffs Jul2017'!AJ30*'Tariffs Jul2017'!U30/100)* 'Tariffs Jul2017'!AJ30)</f>
        <v>174.56740000000002</v>
      </c>
      <c r="K36" s="59">
        <f>IF($C$5*'Tariffs Jul2017'!AL30/'Tariffs Jul2017'!AJ30&lt;'Tariffs Jul2017'!J30,0,IF($C$5*'Tariffs Jul2017'!AL30/'Tariffs Jul2017'!AJ30&lt;='Tariffs Jul2017'!K30,($C$5*'Tariffs Jul2017'!AL30/'Tariffs Jul2017'!AJ30-'Tariffs Jul2017'!J30)*('Tariffs Jul2017'!V30/100)*'Tariffs Jul2017'!AJ30,('Tariffs Jul2017'!K30-'Tariffs Jul2017'!J30)*('Tariffs Jul2017'!V30/100)*'Tariffs Jul2017'!AJ30))</f>
        <v>118.15600000000001</v>
      </c>
      <c r="L36" s="59">
        <f>IF($C$5*'Tariffs Jul2017'!AL30/'Tariffs Jul2017'!AJ30&lt;'Tariffs Jul2017'!K30,0,IF($C$5*'Tariffs Jul2017'!AL30/'Tariffs Jul2017'!AJ30&lt;='Tariffs Jul2017'!L30,($C$5*'Tariffs Jul2017'!AL30/'Tariffs Jul2017'!AJ30-'Tariffs Jul2017'!K30)*('Tariffs Jul2017'!W30/100)*'Tariffs Jul2017'!AJ30,('Tariffs Jul2017'!L30-'Tariffs Jul2017'!K30)*('Tariffs Jul2017'!W30/100)*'Tariffs Jul2017'!AJ30))</f>
        <v>0</v>
      </c>
      <c r="M36" s="59">
        <f>IF($C$5*'Tariffs Jul2017'!AL30/'Tariffs Jul2017'!AJ30&lt;'Tariffs Jul2017'!L30,0,IF($C$5*'Tariffs Jul2017'!AL30/'Tariffs Jul2017'!AJ30&lt;='Tariffs Jul2017'!M30,($C$5*'Tariffs Jul2017'!AL30/'Tariffs Jul2017'!AJ30-'Tariffs Jul2017'!L30)*('Tariffs Jul2017'!X30/100)*'Tariffs Jul2017'!AJ30,('Tariffs Jul2017'!M30-'Tariffs Jul2017'!L30)*('Tariffs Jul2017'!X30/100)*'Tariffs Jul2017'!AJ30))</f>
        <v>0</v>
      </c>
      <c r="N36" s="59">
        <f>IF(($C$5*'Tariffs Jul2017'!AL30/'Tariffs Jul2017'!AJ30&gt;'Tariffs Jul2017'!M30),($C$5*'Tariffs Jul2017'!AL30/'Tariffs Jul2017'!AJ30-'Tariffs Jul2017'!M30)*'Tariffs Jul2017'!Y30/100*'Tariffs Jul2017'!AJ30,0)</f>
        <v>544.12381199999993</v>
      </c>
      <c r="O36" s="271">
        <f t="shared" si="0"/>
        <v>1255.270818</v>
      </c>
      <c r="P36" s="59">
        <f t="shared" si="1"/>
        <v>1495.5138179999999</v>
      </c>
      <c r="Q36" s="272">
        <f t="shared" si="2"/>
        <v>1645.0651998000001</v>
      </c>
      <c r="R36" s="40">
        <f>'Tariffs Jul2017'!AM30</f>
        <v>0</v>
      </c>
      <c r="S36" s="40">
        <f>'Tariffs Jul2017'!AN30</f>
        <v>0</v>
      </c>
      <c r="T36" s="40">
        <f>'Tariffs Jul2017'!AO30</f>
        <v>15</v>
      </c>
      <c r="U36" s="40">
        <f>'Tariffs Jul2017'!AP30</f>
        <v>0</v>
      </c>
      <c r="V36" s="273">
        <f t="shared" si="3"/>
        <v>1495.5138179999999</v>
      </c>
      <c r="W36" s="273">
        <f>V36-(P36*T36/100)</f>
        <v>1271.1867453</v>
      </c>
      <c r="X36" s="272">
        <f t="shared" si="4"/>
        <v>1645.0651998000001</v>
      </c>
      <c r="Y36" s="272">
        <f t="shared" si="4"/>
        <v>1398.3054198300001</v>
      </c>
      <c r="Z36" s="274">
        <f>'Tariffs Jul2017'!AW30</f>
        <v>0</v>
      </c>
      <c r="AA36" s="274" t="str">
        <f>'Tariffs Jul2017'!AX30</f>
        <v>n</v>
      </c>
      <c r="AB36" s="275" t="str">
        <f>'Tariffs Jul2017'!BD30</f>
        <v>N</v>
      </c>
      <c r="AC36" s="317"/>
      <c r="AD36" s="317"/>
      <c r="AE36" s="317"/>
      <c r="AF36" s="317"/>
      <c r="AG36" s="317"/>
      <c r="AH36" s="317"/>
      <c r="AI36" s="317"/>
      <c r="AJ36" s="317"/>
      <c r="AK36" s="317"/>
      <c r="AL36" s="317"/>
      <c r="AM36" s="317"/>
      <c r="AN36" s="317"/>
    </row>
    <row r="37" spans="1:40" x14ac:dyDescent="0.15">
      <c r="A37" s="270" t="str">
        <f>'Tariffs Jul2017'!F31</f>
        <v>Momentum Energy</v>
      </c>
      <c r="B37" s="40" t="str">
        <f>'Tariffs Jul2017'!D31</f>
        <v>Envestra North</v>
      </c>
      <c r="C37" s="40" t="str">
        <f>'Tariffs Jul2017'!G31</f>
        <v>Market offer</v>
      </c>
      <c r="D37" s="59">
        <f>365*'Tariffs Jul2017'!H31/100</f>
        <v>244.87850000000003</v>
      </c>
      <c r="E37" s="59">
        <f>IF($C$5*'Tariffs Jul2017'!AK31/'Tariffs Jul2017'!AI31&gt;='Tariffs Jul2017'!J31,( 'Tariffs Jul2017'!J31*'Tariffs Jul2017'!O31/100)* 'Tariffs Jul2017'!AI31,($C$5*'Tariffs Jul2017'!AK31/'Tariffs Jul2017'!AI31*'Tariffs Jul2017'!O31/100)* 'Tariffs Jul2017'!AI31)</f>
        <v>71.952299999999994</v>
      </c>
      <c r="F37" s="59">
        <f>IF($C$5*'Tariffs Jul2017'!AK31/'Tariffs Jul2017'!AI31&lt;'Tariffs Jul2017'!J31,0,IF($C$5*'Tariffs Jul2017'!AK31/'Tariffs Jul2017'!AI31&lt;='Tariffs Jul2017'!K31,($C$5*'Tariffs Jul2017'!AK31/'Tariffs Jul2017'!AI31-'Tariffs Jul2017'!J31)*('Tariffs Jul2017'!P31/100)*'Tariffs Jul2017'!AI31,('Tariffs Jul2017'!K31-'Tariffs Jul2017'!J31)*('Tariffs Jul2017'!P31/100)*'Tariffs Jul2017'!AI31))</f>
        <v>49.2136</v>
      </c>
      <c r="G37" s="59">
        <f>IF($C$5*'Tariffs Jul2017'!AK31/'Tariffs Jul2017'!AI31&lt;'Tariffs Jul2017'!K31,0,IF($C$5*'Tariffs Jul2017'!AK31/'Tariffs Jul2017'!AI31&lt;='Tariffs Jul2017'!L31,($C$5*'Tariffs Jul2017'!AK31/'Tariffs Jul2017'!AI31-'Tariffs Jul2017'!K31)*('Tariffs Jul2017'!Q31/100)*'Tariffs Jul2017'!AI31,('Tariffs Jul2017'!L31-'Tariffs Jul2017'!K31)*('Tariffs Jul2017'!Q31/100)*'Tariffs Jul2017'!AI31))</f>
        <v>0</v>
      </c>
      <c r="H37" s="59">
        <f>IF($C$5*'Tariffs Jul2017'!AK31/'Tariffs Jul2017'!AI31&lt;'Tariffs Jul2017'!L31,0,IF($C$5*'Tariffs Jul2017'!AK31/'Tariffs Jul2017'!AI31&lt;='Tariffs Jul2017'!M31,($C$5*'Tariffs Jul2017'!AK31/'Tariffs Jul2017'!AI31-'Tariffs Jul2017'!L31)*('Tariffs Jul2017'!R31/100)*'Tariffs Jul2017'!AI31,('Tariffs Jul2017'!M31-'Tariffs Jul2017'!L31)*('Tariffs Jul2017'!R31/100)*'Tariffs Jul2017'!AI31))</f>
        <v>0</v>
      </c>
      <c r="I37" s="59">
        <f>IF(($C$5*'Tariffs Jul2017'!AK31/'Tariffs Jul2017'!AI31&gt;'Tariffs Jul2017'!M31),($C$5*'Tariffs Jul2017'!AK31/'Tariffs Jul2017'!AI31-'Tariffs Jul2017'!M31)*'Tariffs Jul2017'!S31/100*'Tariffs Jul2017'!AI31,0)</f>
        <v>230.36774399999999</v>
      </c>
      <c r="J37" s="59">
        <f>IF($C$5*'Tariffs Jul2017'!AL31/'Tariffs Jul2017'!AJ31&gt;='Tariffs Jul2017'!J31,('Tariffs Jul2017'!J31*'Tariffs Jul2017'!U31/100)* 'Tariffs Jul2017'!AJ31,($C$5*'Tariffs Jul2017'!AL31/'Tariffs Jul2017'!AJ31*'Tariffs Jul2017'!U31/100)* 'Tariffs Jul2017'!AJ31)</f>
        <v>141.66739999999999</v>
      </c>
      <c r="K37" s="59">
        <f>IF($C$5*'Tariffs Jul2017'!AL31/'Tariffs Jul2017'!AJ31&lt;'Tariffs Jul2017'!J31,0,IF($C$5*'Tariffs Jul2017'!AL31/'Tariffs Jul2017'!AJ31&lt;='Tariffs Jul2017'!K31,($C$5*'Tariffs Jul2017'!AL31/'Tariffs Jul2017'!AJ31-'Tariffs Jul2017'!J31)*('Tariffs Jul2017'!V31/100)*'Tariffs Jul2017'!AJ31,('Tariffs Jul2017'!K31-'Tariffs Jul2017'!J31)*('Tariffs Jul2017'!V31/100)*'Tariffs Jul2017'!AJ31))</f>
        <v>96.584399999999988</v>
      </c>
      <c r="L37" s="59">
        <f>IF($C$5*'Tariffs Jul2017'!AL31/'Tariffs Jul2017'!AJ31&lt;'Tariffs Jul2017'!K31,0,IF($C$5*'Tariffs Jul2017'!AL31/'Tariffs Jul2017'!AJ31&lt;='Tariffs Jul2017'!L31,($C$5*'Tariffs Jul2017'!AL31/'Tariffs Jul2017'!AJ31-'Tariffs Jul2017'!K31)*('Tariffs Jul2017'!W31/100)*'Tariffs Jul2017'!AJ31,('Tariffs Jul2017'!L31-'Tariffs Jul2017'!K31)*('Tariffs Jul2017'!W31/100)*'Tariffs Jul2017'!AJ31))</f>
        <v>0</v>
      </c>
      <c r="M37" s="59">
        <f>IF($C$5*'Tariffs Jul2017'!AL31/'Tariffs Jul2017'!AJ31&lt;'Tariffs Jul2017'!L31,0,IF($C$5*'Tariffs Jul2017'!AL31/'Tariffs Jul2017'!AJ31&lt;='Tariffs Jul2017'!M31,($C$5*'Tariffs Jul2017'!AL31/'Tariffs Jul2017'!AJ31-'Tariffs Jul2017'!L31)*('Tariffs Jul2017'!X31/100)*'Tariffs Jul2017'!AJ31,('Tariffs Jul2017'!M31-'Tariffs Jul2017'!L31)*('Tariffs Jul2017'!X31/100)*'Tariffs Jul2017'!AJ31))</f>
        <v>0</v>
      </c>
      <c r="N37" s="59">
        <f>IF(($C$5*'Tariffs Jul2017'!AL31/'Tariffs Jul2017'!AJ31&gt;'Tariffs Jul2017'!M31),($C$5*'Tariffs Jul2017'!AL31/'Tariffs Jul2017'!AJ31-'Tariffs Jul2017'!M31)*'Tariffs Jul2017'!Y31/100*'Tariffs Jul2017'!AJ31,0)</f>
        <v>450.53691599999991</v>
      </c>
      <c r="O37" s="271">
        <f t="shared" si="0"/>
        <v>1040.3223599999999</v>
      </c>
      <c r="P37" s="59">
        <f t="shared" si="1"/>
        <v>1285.2008599999999</v>
      </c>
      <c r="Q37" s="272">
        <f t="shared" si="2"/>
        <v>1413.7209460000001</v>
      </c>
      <c r="R37" s="40">
        <f>'Tariffs Jul2017'!AM31</f>
        <v>0</v>
      </c>
      <c r="S37" s="40">
        <f>'Tariffs Jul2017'!AN31</f>
        <v>0</v>
      </c>
      <c r="T37" s="40">
        <f>'Tariffs Jul2017'!AO31</f>
        <v>0</v>
      </c>
      <c r="U37" s="40">
        <f>'Tariffs Jul2017'!AP31</f>
        <v>0</v>
      </c>
      <c r="V37" s="273">
        <f t="shared" si="3"/>
        <v>1285.2008599999999</v>
      </c>
      <c r="W37" s="273">
        <f>V37</f>
        <v>1285.2008599999999</v>
      </c>
      <c r="X37" s="272">
        <f t="shared" si="4"/>
        <v>1413.7209460000001</v>
      </c>
      <c r="Y37" s="272">
        <f t="shared" si="4"/>
        <v>1413.7209460000001</v>
      </c>
      <c r="Z37" s="274">
        <f>'Tariffs Jul2017'!AW31</f>
        <v>0</v>
      </c>
      <c r="AA37" s="274" t="str">
        <f>'Tariffs Jul2017'!AX31</f>
        <v>n</v>
      </c>
      <c r="AB37" s="275" t="str">
        <f>'Tariffs Jul2017'!BD31</f>
        <v>Y</v>
      </c>
      <c r="AC37" s="317"/>
      <c r="AD37" s="317"/>
      <c r="AE37" s="317"/>
      <c r="AF37" s="317"/>
      <c r="AG37" s="317"/>
      <c r="AH37" s="317"/>
      <c r="AI37" s="317"/>
      <c r="AJ37" s="317"/>
      <c r="AK37" s="317"/>
      <c r="AL37" s="317"/>
      <c r="AM37" s="317"/>
      <c r="AN37" s="317"/>
    </row>
    <row r="38" spans="1:40" x14ac:dyDescent="0.15">
      <c r="A38" s="270" t="str">
        <f>'Tariffs Jul2017'!F32</f>
        <v>Origin Energy</v>
      </c>
      <c r="B38" s="40" t="str">
        <f>'Tariffs Jul2017'!D32</f>
        <v>Envestra North</v>
      </c>
      <c r="C38" s="40" t="str">
        <f>'Tariffs Jul2017'!G32</f>
        <v>Saver</v>
      </c>
      <c r="D38" s="59">
        <f>365*'Tariffs Jul2017'!H32/100</f>
        <v>251.41199999999998</v>
      </c>
      <c r="E38" s="59">
        <f>IF($C$5*'Tariffs Jul2017'!AK32/'Tariffs Jul2017'!AI32&gt;='Tariffs Jul2017'!J32,( 'Tariffs Jul2017'!J32*'Tariffs Jul2017'!O32/100)* 'Tariffs Jul2017'!AI32,($C$5*'Tariffs Jul2017'!AK32/'Tariffs Jul2017'!AI32*'Tariffs Jul2017'!O32/100)* 'Tariffs Jul2017'!AI32)</f>
        <v>165.2</v>
      </c>
      <c r="F38" s="59">
        <f>IF($C$5*'Tariffs Jul2017'!AK32/'Tariffs Jul2017'!AI32&lt;'Tariffs Jul2017'!J32,0,IF($C$5*'Tariffs Jul2017'!AK32/'Tariffs Jul2017'!AI32&lt;='Tariffs Jul2017'!K32,($C$5*'Tariffs Jul2017'!AK32/'Tariffs Jul2017'!AI32-'Tariffs Jul2017'!J32)*('Tariffs Jul2017'!P32/100)*'Tariffs Jul2017'!AI32,('Tariffs Jul2017'!K32-'Tariffs Jul2017'!J32)*('Tariffs Jul2017'!P32/100)*'Tariffs Jul2017'!AI32))</f>
        <v>258.78818899999999</v>
      </c>
      <c r="G38" s="59">
        <f>IF($C$5*'Tariffs Jul2017'!AK32/'Tariffs Jul2017'!AI32&lt;'Tariffs Jul2017'!K32,0,IF($C$5*'Tariffs Jul2017'!AK32/'Tariffs Jul2017'!AI32&lt;='Tariffs Jul2017'!L32,($C$5*'Tariffs Jul2017'!AK32/'Tariffs Jul2017'!AI32-'Tariffs Jul2017'!K32)*('Tariffs Jul2017'!Q32/100)*'Tariffs Jul2017'!AI32,('Tariffs Jul2017'!L32-'Tariffs Jul2017'!K32)*('Tariffs Jul2017'!Q32/100)*'Tariffs Jul2017'!AI32))</f>
        <v>0</v>
      </c>
      <c r="H38" s="59">
        <f>IF($C$5*'Tariffs Jul2017'!AK32/'Tariffs Jul2017'!AI32&lt;'Tariffs Jul2017'!L32,0,IF($C$5*'Tariffs Jul2017'!AK32/'Tariffs Jul2017'!AI32&lt;='Tariffs Jul2017'!M32,($C$5*'Tariffs Jul2017'!AK32/'Tariffs Jul2017'!AI32-'Tariffs Jul2017'!L32)*('Tariffs Jul2017'!R32/100)*'Tariffs Jul2017'!AI32,('Tariffs Jul2017'!M32-'Tariffs Jul2017'!L32)*('Tariffs Jul2017'!R32/100)*'Tariffs Jul2017'!AI32))</f>
        <v>0</v>
      </c>
      <c r="I38" s="59">
        <f>IF(($C$5*'Tariffs Jul2017'!AK32/'Tariffs Jul2017'!AI32&gt;'Tariffs Jul2017'!M32),($C$5*'Tariffs Jul2017'!AK32/'Tariffs Jul2017'!AI32-'Tariffs Jul2017'!M32)*'Tariffs Jul2017'!S32/100*'Tariffs Jul2017'!AI32,0)</f>
        <v>0</v>
      </c>
      <c r="J38" s="59">
        <f>IF($C$5*'Tariffs Jul2017'!AL32/'Tariffs Jul2017'!AJ32&gt;='Tariffs Jul2017'!J32,('Tariffs Jul2017'!J32*'Tariffs Jul2017'!U32/100)* 'Tariffs Jul2017'!AJ32,($C$5*'Tariffs Jul2017'!AL32/'Tariffs Jul2017'!AJ32*'Tariffs Jul2017'!U32/100)* 'Tariffs Jul2017'!AJ32)</f>
        <v>330.4</v>
      </c>
      <c r="K38" s="59">
        <f>IF($C$5*'Tariffs Jul2017'!AL32/'Tariffs Jul2017'!AJ32&lt;'Tariffs Jul2017'!J32,0,IF($C$5*'Tariffs Jul2017'!AL32/'Tariffs Jul2017'!AJ32&lt;='Tariffs Jul2017'!K32,($C$5*'Tariffs Jul2017'!AL32/'Tariffs Jul2017'!AJ32-'Tariffs Jul2017'!J32)*('Tariffs Jul2017'!V32/100)*'Tariffs Jul2017'!AJ32,('Tariffs Jul2017'!K32-'Tariffs Jul2017'!J32)*('Tariffs Jul2017'!V32/100)*'Tariffs Jul2017'!AJ32))</f>
        <v>517.57637799999998</v>
      </c>
      <c r="L38" s="59">
        <f>IF($C$5*'Tariffs Jul2017'!AL32/'Tariffs Jul2017'!AJ32&lt;'Tariffs Jul2017'!K32,0,IF($C$5*'Tariffs Jul2017'!AL32/'Tariffs Jul2017'!AJ32&lt;='Tariffs Jul2017'!L32,($C$5*'Tariffs Jul2017'!AL32/'Tariffs Jul2017'!AJ32-'Tariffs Jul2017'!K32)*('Tariffs Jul2017'!W32/100)*'Tariffs Jul2017'!AJ32,('Tariffs Jul2017'!L32-'Tariffs Jul2017'!K32)*('Tariffs Jul2017'!W32/100)*'Tariffs Jul2017'!AJ32))</f>
        <v>0</v>
      </c>
      <c r="M38" s="59">
        <f>IF($C$5*'Tariffs Jul2017'!AL32/'Tariffs Jul2017'!AJ32&lt;'Tariffs Jul2017'!L32,0,IF($C$5*'Tariffs Jul2017'!AL32/'Tariffs Jul2017'!AJ32&lt;='Tariffs Jul2017'!M32,($C$5*'Tariffs Jul2017'!AL32/'Tariffs Jul2017'!AJ32-'Tariffs Jul2017'!L32)*('Tariffs Jul2017'!X32/100)*'Tariffs Jul2017'!AJ32,('Tariffs Jul2017'!M32-'Tariffs Jul2017'!L32)*('Tariffs Jul2017'!X32/100)*'Tariffs Jul2017'!AJ32))</f>
        <v>0</v>
      </c>
      <c r="N38" s="59">
        <f>IF(($C$5*'Tariffs Jul2017'!AL32/'Tariffs Jul2017'!AJ32&gt;'Tariffs Jul2017'!M32),($C$5*'Tariffs Jul2017'!AL32/'Tariffs Jul2017'!AJ32-'Tariffs Jul2017'!M32)*'Tariffs Jul2017'!Y32/100*'Tariffs Jul2017'!AJ32,0)</f>
        <v>0</v>
      </c>
      <c r="O38" s="271">
        <f t="shared" si="0"/>
        <v>1271.964567</v>
      </c>
      <c r="P38" s="59">
        <f t="shared" si="1"/>
        <v>1523.376567</v>
      </c>
      <c r="Q38" s="272">
        <f t="shared" si="2"/>
        <v>1675.7142237</v>
      </c>
      <c r="R38" s="40">
        <f>'Tariffs Jul2017'!AM32</f>
        <v>0</v>
      </c>
      <c r="S38" s="40">
        <f>'Tariffs Jul2017'!AN32</f>
        <v>0</v>
      </c>
      <c r="T38" s="40">
        <f>'Tariffs Jul2017'!AO32</f>
        <v>0</v>
      </c>
      <c r="U38" s="40">
        <f>'Tariffs Jul2017'!AP32</f>
        <v>13</v>
      </c>
      <c r="V38" s="273">
        <f t="shared" si="3"/>
        <v>1523.376567</v>
      </c>
      <c r="W38" s="273">
        <f>V38-(O38*U38/100)</f>
        <v>1358.02117329</v>
      </c>
      <c r="X38" s="272">
        <f t="shared" si="4"/>
        <v>1675.7142237</v>
      </c>
      <c r="Y38" s="272">
        <f t="shared" si="4"/>
        <v>1493.8232906190001</v>
      </c>
      <c r="Z38" s="274">
        <f>'Tariffs Jul2017'!AW32</f>
        <v>0</v>
      </c>
      <c r="AA38" s="274" t="str">
        <f>'Tariffs Jul2017'!AX32</f>
        <v>n</v>
      </c>
      <c r="AB38" s="275" t="str">
        <f>'Tariffs Jul2017'!BD32</f>
        <v>N</v>
      </c>
      <c r="AC38" s="317"/>
      <c r="AD38" s="317"/>
      <c r="AE38" s="317"/>
      <c r="AF38" s="317"/>
      <c r="AG38" s="317"/>
      <c r="AH38" s="317"/>
      <c r="AI38" s="317"/>
      <c r="AJ38" s="317"/>
      <c r="AK38" s="317"/>
      <c r="AL38" s="317"/>
      <c r="AM38" s="317"/>
      <c r="AN38" s="317"/>
    </row>
    <row r="39" spans="1:40" x14ac:dyDescent="0.15">
      <c r="A39" s="270" t="str">
        <f>'Tariffs Jul2017'!F33</f>
        <v>Red Energy</v>
      </c>
      <c r="B39" s="40" t="str">
        <f>'Tariffs Jul2017'!D33</f>
        <v>Envestra North</v>
      </c>
      <c r="C39" s="40" t="str">
        <f>'Tariffs Jul2017'!G33</f>
        <v>Living Energy Saver</v>
      </c>
      <c r="D39" s="59">
        <f>365*'Tariffs Jul2017'!H33/100</f>
        <v>259.14999999999998</v>
      </c>
      <c r="E39" s="59">
        <f>IF($C$5*'Tariffs Jul2017'!AK33/'Tariffs Jul2017'!AI33&gt;='Tariffs Jul2017'!J33,( 'Tariffs Jul2017'!J33*'Tariffs Jul2017'!O33/100)* 'Tariffs Jul2017'!AI33,($C$5*'Tariffs Jul2017'!AK33/'Tariffs Jul2017'!AI33*'Tariffs Jul2017'!O33/100)* 'Tariffs Jul2017'!AI33)</f>
        <v>130.32000000000002</v>
      </c>
      <c r="F39" s="59">
        <f>IF($C$5*'Tariffs Jul2017'!AK33/'Tariffs Jul2017'!AI33&lt;'Tariffs Jul2017'!J33,0,IF($C$5*'Tariffs Jul2017'!AK33/'Tariffs Jul2017'!AI33&lt;='Tariffs Jul2017'!K33,($C$5*'Tariffs Jul2017'!AK33/'Tariffs Jul2017'!AI33-'Tariffs Jul2017'!J33)*('Tariffs Jul2017'!S33/100)*'Tariffs Jul2017'!AI33,('Tariffs Jul2017'!K33-'Tariffs Jul2017'!J33)*('Tariffs Jul2017'!S33/100)*'Tariffs Jul2017'!AI33))</f>
        <v>0</v>
      </c>
      <c r="G39" s="59">
        <f>IF($C$5*'Tariffs Jul2017'!AK33/'Tariffs Jul2017'!AI33&lt;'Tariffs Jul2017'!K33,0,IF($C$5*'Tariffs Jul2017'!AK33/'Tariffs Jul2017'!AI33&lt;='Tariffs Jul2017'!L33,($C$5*'Tariffs Jul2017'!AK33/'Tariffs Jul2017'!AI33-'Tariffs Jul2017'!K33)*('Tariffs Jul2017'!Q33/100)*'Tariffs Jul2017'!AI33,('Tariffs Jul2017'!L33-'Tariffs Jul2017'!K33)*('Tariffs Jul2017'!Q33/100)*'Tariffs Jul2017'!AI33))</f>
        <v>0</v>
      </c>
      <c r="H39" s="59">
        <f>IF($C$5*'Tariffs Jul2017'!AK33/'Tariffs Jul2017'!AI33&lt;'Tariffs Jul2017'!L33,0,IF($C$5*'Tariffs Jul2017'!AK33/'Tariffs Jul2017'!AI33&lt;='Tariffs Jul2017'!M33,($C$5*'Tariffs Jul2017'!AK33/'Tariffs Jul2017'!AI33-'Tariffs Jul2017'!L33)*('Tariffs Jul2017'!R33/100)*'Tariffs Jul2017'!AI33,('Tariffs Jul2017'!M33-'Tariffs Jul2017'!L33)*('Tariffs Jul2017'!R33/100)*'Tariffs Jul2017'!AI33))</f>
        <v>0</v>
      </c>
      <c r="I39" s="59">
        <f>IF(($C$5*'Tariffs Jul2017'!AK33/'Tariffs Jul2017'!AI33&gt;'Tariffs Jul2017'!M33),($C$5*'Tariffs Jul2017'!AK33/'Tariffs Jul2017'!AI33-'Tariffs Jul2017'!M33)*'Tariffs Jul2017'!S33/100*'Tariffs Jul2017'!AI33,0)</f>
        <v>244.46576999999994</v>
      </c>
      <c r="J39" s="59">
        <f>IF($C$5*'Tariffs Jul2017'!AL33/'Tariffs Jul2017'!AJ33&gt;='Tariffs Jul2017'!J33,('Tariffs Jul2017'!J33*'Tariffs Jul2017'!U33/100)* 'Tariffs Jul2017'!AJ33,($C$5*'Tariffs Jul2017'!AL33/'Tariffs Jul2017'!AJ33*'Tariffs Jul2017'!U33/100)* 'Tariffs Jul2017'!AJ33)</f>
        <v>260.64000000000004</v>
      </c>
      <c r="K39" s="59">
        <f>IF($C$5*'Tariffs Jul2017'!AL33/'Tariffs Jul2017'!AJ33&lt;'Tariffs Jul2017'!J33,0,IF($C$5*'Tariffs Jul2017'!AL33/'Tariffs Jul2017'!AJ33&lt;='Tariffs Jul2017'!K33,($C$5*'Tariffs Jul2017'!AL33/'Tariffs Jul2017'!AJ33-'Tariffs Jul2017'!J33)*('Tariffs Jul2017'!V33/100)*'Tariffs Jul2017'!AJ33,('Tariffs Jul2017'!K33-'Tariffs Jul2017'!J33)*('Tariffs Jul2017'!V33/100)*'Tariffs Jul2017'!AJ33))</f>
        <v>0</v>
      </c>
      <c r="L39" s="59">
        <f>IF($C$5*'Tariffs Jul2017'!AL33/'Tariffs Jul2017'!AJ33&lt;'Tariffs Jul2017'!K33,0,IF($C$5*'Tariffs Jul2017'!AL33/'Tariffs Jul2017'!AJ33&lt;='Tariffs Jul2017'!L33,($C$5*'Tariffs Jul2017'!AL33/'Tariffs Jul2017'!AJ33-'Tariffs Jul2017'!K33)*('Tariffs Jul2017'!W33/100)*'Tariffs Jul2017'!AJ33,('Tariffs Jul2017'!L33-'Tariffs Jul2017'!K33)*('Tariffs Jul2017'!W33/100)*'Tariffs Jul2017'!AJ33))</f>
        <v>0</v>
      </c>
      <c r="M39" s="59">
        <f>IF($C$5*'Tariffs Jul2017'!AL33/'Tariffs Jul2017'!AJ33&lt;'Tariffs Jul2017'!L33,0,IF($C$5*'Tariffs Jul2017'!AL33/'Tariffs Jul2017'!AJ33&lt;='Tariffs Jul2017'!M33,($C$5*'Tariffs Jul2017'!AL33/'Tariffs Jul2017'!AJ33-'Tariffs Jul2017'!L33)*('Tariffs Jul2017'!X33/100)*'Tariffs Jul2017'!AJ33,('Tariffs Jul2017'!M33-'Tariffs Jul2017'!L33)*('Tariffs Jul2017'!X33/100)*'Tariffs Jul2017'!AJ33))</f>
        <v>0</v>
      </c>
      <c r="N39" s="59">
        <f>IF(($C$5*'Tariffs Jul2017'!AL33/'Tariffs Jul2017'!AJ33&gt;'Tariffs Jul2017'!M33),($C$5*'Tariffs Jul2017'!AL33/'Tariffs Jul2017'!AJ33-'Tariffs Jul2017'!M33)*'Tariffs Jul2017'!Y33/100*'Tariffs Jul2017'!AJ33,0)</f>
        <v>488.93153999999987</v>
      </c>
      <c r="O39" s="271">
        <f t="shared" si="0"/>
        <v>1124.3573099999999</v>
      </c>
      <c r="P39" s="59">
        <f t="shared" si="1"/>
        <v>1383.50731</v>
      </c>
      <c r="Q39" s="272">
        <f t="shared" si="2"/>
        <v>1521.8580410000002</v>
      </c>
      <c r="R39" s="40">
        <f>'Tariffs Jul2017'!AM33</f>
        <v>0</v>
      </c>
      <c r="S39" s="40">
        <f>'Tariffs Jul2017'!AN33</f>
        <v>0</v>
      </c>
      <c r="T39" s="40">
        <f>'Tariffs Jul2017'!AO33</f>
        <v>10</v>
      </c>
      <c r="U39" s="40">
        <f>'Tariffs Jul2017'!AP33</f>
        <v>0</v>
      </c>
      <c r="V39" s="273">
        <f t="shared" si="3"/>
        <v>1383.50731</v>
      </c>
      <c r="W39" s="273">
        <f>V39-(P39*T39/100)</f>
        <v>1245.156579</v>
      </c>
      <c r="X39" s="272">
        <f t="shared" si="4"/>
        <v>1521.8580410000002</v>
      </c>
      <c r="Y39" s="272">
        <f t="shared" si="4"/>
        <v>1369.6722369000001</v>
      </c>
      <c r="Z39" s="274">
        <f>'Tariffs Jul2017'!AW33</f>
        <v>0</v>
      </c>
      <c r="AA39" s="274" t="str">
        <f>'Tariffs Jul2017'!AX33</f>
        <v>n</v>
      </c>
      <c r="AB39" s="275" t="str">
        <f>'Tariffs Jul2017'!BD33</f>
        <v>Y</v>
      </c>
      <c r="AC39" s="317"/>
      <c r="AD39" s="317"/>
      <c r="AE39" s="317"/>
      <c r="AF39" s="317"/>
      <c r="AG39" s="317"/>
      <c r="AH39" s="317"/>
      <c r="AI39" s="317"/>
      <c r="AJ39" s="317"/>
      <c r="AK39" s="317"/>
      <c r="AL39" s="317"/>
      <c r="AM39" s="317"/>
      <c r="AN39" s="317"/>
    </row>
    <row r="40" spans="1:40" ht="14" thickBot="1" x14ac:dyDescent="0.2">
      <c r="A40" s="276" t="str">
        <f>'Tariffs Jul2017'!F34</f>
        <v>Simply Energy</v>
      </c>
      <c r="B40" s="277" t="str">
        <f>'Tariffs Jul2017'!D34</f>
        <v>Envestra North</v>
      </c>
      <c r="C40" s="277" t="str">
        <f>'Tariffs Jul2017'!G34</f>
        <v>Plus</v>
      </c>
      <c r="D40" s="278">
        <f>365*'Tariffs Jul2017'!H34/100</f>
        <v>263.09199999999998</v>
      </c>
      <c r="E40" s="278">
        <f>IF($C$5*'Tariffs Jul2017'!AK34/'Tariffs Jul2017'!AI34&gt;='Tariffs Jul2017'!J34,( 'Tariffs Jul2017'!J34*'Tariffs Jul2017'!O34/100)* 'Tariffs Jul2017'!AI34,($C$5*'Tariffs Jul2017'!AK34/'Tariffs Jul2017'!AI34*'Tariffs Jul2017'!O34/100)* 'Tariffs Jul2017'!AI34)</f>
        <v>75.999000000000009</v>
      </c>
      <c r="F40" s="278">
        <f>IF($C$5*'Tariffs Jul2017'!AK34/'Tariffs Jul2017'!AI34&lt;'Tariffs Jul2017'!J34,0,IF($C$5*'Tariffs Jul2017'!AK34/'Tariffs Jul2017'!AI34&lt;='Tariffs Jul2017'!K34,($C$5*'Tariffs Jul2017'!AK34/'Tariffs Jul2017'!AI34-'Tariffs Jul2017'!J34)*('Tariffs Jul2017'!P34/100)*'Tariffs Jul2017'!AI34,('Tariffs Jul2017'!K34-'Tariffs Jul2017'!J34)*('Tariffs Jul2017'!P34/100)*'Tariffs Jul2017'!AI34))</f>
        <v>53.657999999999994</v>
      </c>
      <c r="G40" s="278">
        <f>IF($C$5*'Tariffs Jul2017'!AK34/'Tariffs Jul2017'!AI34&lt;'Tariffs Jul2017'!K34,0,IF($C$5*'Tariffs Jul2017'!AK34/'Tariffs Jul2017'!AI34&lt;='Tariffs Jul2017'!L34,($C$5*'Tariffs Jul2017'!AK34/'Tariffs Jul2017'!AI34-'Tariffs Jul2017'!K34)*('Tariffs Jul2017'!Q34/100)*'Tariffs Jul2017'!AI34,('Tariffs Jul2017'!L34-'Tariffs Jul2017'!K34)*('Tariffs Jul2017'!Q34/100)*'Tariffs Jul2017'!AI34))</f>
        <v>0</v>
      </c>
      <c r="H40" s="278">
        <f>IF($C$5*'Tariffs Jul2017'!AK34/'Tariffs Jul2017'!AI34&lt;'Tariffs Jul2017'!L34,0,IF($C$5*'Tariffs Jul2017'!AK34/'Tariffs Jul2017'!AI34&lt;='Tariffs Jul2017'!M34,($C$5*'Tariffs Jul2017'!AK34/'Tariffs Jul2017'!AI34-'Tariffs Jul2017'!L34)*('Tariffs Jul2017'!R34/100)*'Tariffs Jul2017'!AI34,('Tariffs Jul2017'!M34-'Tariffs Jul2017'!L34)*('Tariffs Jul2017'!R34/100)*'Tariffs Jul2017'!AI34))</f>
        <v>0</v>
      </c>
      <c r="I40" s="278">
        <f>IF(($C$5*'Tariffs Jul2017'!AK34/'Tariffs Jul2017'!AI34&gt;'Tariffs Jul2017'!M34),($C$5*'Tariffs Jul2017'!AK34/'Tariffs Jul2017'!AI34-'Tariffs Jul2017'!M34)*'Tariffs Jul2017'!S34/100*'Tariffs Jul2017'!AI34,0)</f>
        <v>253.46450999999996</v>
      </c>
      <c r="J40" s="278">
        <f>IF($C$5*'Tariffs Jul2017'!AL34/'Tariffs Jul2017'!AJ34&gt;='Tariffs Jul2017'!J34,('Tariffs Jul2017'!J34*'Tariffs Jul2017'!U34/100)* 'Tariffs Jul2017'!AJ34,($C$5*'Tariffs Jul2017'!AL34/'Tariffs Jul2017'!AJ34*'Tariffs Jul2017'!U34/100)* 'Tariffs Jul2017'!AJ34)</f>
        <v>151.99800000000002</v>
      </c>
      <c r="K40" s="278">
        <f>IF($C$5*'Tariffs Jul2017'!AL34/'Tariffs Jul2017'!AJ34&lt;'Tariffs Jul2017'!J34,0,IF($C$5*'Tariffs Jul2017'!AL34/'Tariffs Jul2017'!AJ34&lt;='Tariffs Jul2017'!K34,($C$5*'Tariffs Jul2017'!AL34/'Tariffs Jul2017'!AJ34-'Tariffs Jul2017'!J34)*('Tariffs Jul2017'!V34/100)*'Tariffs Jul2017'!AJ34,('Tariffs Jul2017'!K34-'Tariffs Jul2017'!J34)*('Tariffs Jul2017'!V34/100)*'Tariffs Jul2017'!AJ34))</f>
        <v>107.31599999999999</v>
      </c>
      <c r="L40" s="278">
        <f>IF($C$5*'Tariffs Jul2017'!AL34/'Tariffs Jul2017'!AJ34&lt;'Tariffs Jul2017'!K34,0,IF($C$5*'Tariffs Jul2017'!AL34/'Tariffs Jul2017'!AJ34&lt;='Tariffs Jul2017'!L34,($C$5*'Tariffs Jul2017'!AL34/'Tariffs Jul2017'!AJ34-'Tariffs Jul2017'!K34)*('Tariffs Jul2017'!W34/100)*'Tariffs Jul2017'!AJ34,('Tariffs Jul2017'!L34-'Tariffs Jul2017'!K34)*('Tariffs Jul2017'!W34/100)*'Tariffs Jul2017'!AJ34))</f>
        <v>0</v>
      </c>
      <c r="M40" s="278">
        <f>IF($C$5*'Tariffs Jul2017'!AL34/'Tariffs Jul2017'!AJ34&lt;'Tariffs Jul2017'!L34,0,IF($C$5*'Tariffs Jul2017'!AL34/'Tariffs Jul2017'!AJ34&lt;='Tariffs Jul2017'!M34,($C$5*'Tariffs Jul2017'!AL34/'Tariffs Jul2017'!AJ34-'Tariffs Jul2017'!L34)*('Tariffs Jul2017'!X34/100)*'Tariffs Jul2017'!AJ34,('Tariffs Jul2017'!M34-'Tariffs Jul2017'!L34)*('Tariffs Jul2017'!X34/100)*'Tariffs Jul2017'!AJ34))</f>
        <v>0</v>
      </c>
      <c r="N40" s="278">
        <f>IF(($C$5*'Tariffs Jul2017'!AL34/'Tariffs Jul2017'!AJ34&gt;'Tariffs Jul2017'!M34),($C$5*'Tariffs Jul2017'!AL34/'Tariffs Jul2017'!AJ34-'Tariffs Jul2017'!M34)*'Tariffs Jul2017'!Y34/100*'Tariffs Jul2017'!AJ34,0)</f>
        <v>506.92901999999992</v>
      </c>
      <c r="O40" s="279">
        <f t="shared" si="0"/>
        <v>1149.3645299999998</v>
      </c>
      <c r="P40" s="278">
        <f t="shared" si="1"/>
        <v>1412.4565299999999</v>
      </c>
      <c r="Q40" s="280">
        <f t="shared" si="2"/>
        <v>1553.7021830000001</v>
      </c>
      <c r="R40" s="277">
        <f>'Tariffs Jul2017'!AM34</f>
        <v>0</v>
      </c>
      <c r="S40" s="277">
        <f>'Tariffs Jul2017'!AN34</f>
        <v>0</v>
      </c>
      <c r="T40" s="277">
        <f>'Tariffs Jul2017'!AO34</f>
        <v>0</v>
      </c>
      <c r="U40" s="277">
        <f>'Tariffs Jul2017'!AP34</f>
        <v>20</v>
      </c>
      <c r="V40" s="273">
        <f t="shared" si="3"/>
        <v>1412.4565299999999</v>
      </c>
      <c r="W40" s="281">
        <f>V40-(O40*U40/100)</f>
        <v>1182.5836239999999</v>
      </c>
      <c r="X40" s="280">
        <f t="shared" si="4"/>
        <v>1553.7021830000001</v>
      </c>
      <c r="Y40" s="280">
        <f t="shared" si="4"/>
        <v>1300.8419864</v>
      </c>
      <c r="Z40" s="282">
        <f>'Tariffs Jul2017'!AW34</f>
        <v>24</v>
      </c>
      <c r="AA40" s="282" t="str">
        <f>'Tariffs Jul2017'!AX34</f>
        <v>n</v>
      </c>
      <c r="AB40" s="283" t="str">
        <f>'Tariffs Jul2017'!BD34</f>
        <v>Y</v>
      </c>
      <c r="AC40" s="317"/>
      <c r="AD40" s="317"/>
      <c r="AE40" s="317"/>
      <c r="AF40" s="317"/>
      <c r="AG40" s="317"/>
      <c r="AH40" s="317"/>
      <c r="AI40" s="317"/>
      <c r="AJ40" s="317"/>
      <c r="AK40" s="317"/>
      <c r="AL40" s="317"/>
      <c r="AM40" s="317"/>
      <c r="AN40" s="317"/>
    </row>
    <row r="41" spans="1:40" ht="14" thickTop="1" x14ac:dyDescent="0.15">
      <c r="A41" s="270" t="str">
        <f>'Tariffs Jul2017'!F35</f>
        <v>AGL</v>
      </c>
      <c r="B41" s="40" t="str">
        <f>'Tariffs Jul2017'!D35</f>
        <v>Envestra Central 2</v>
      </c>
      <c r="C41" s="40" t="str">
        <f>'Tariffs Jul2017'!G35</f>
        <v>Savers</v>
      </c>
      <c r="D41" s="59">
        <f>365*'Tariffs Jul2017'!H35/100</f>
        <v>260.79250000000002</v>
      </c>
      <c r="E41" s="59">
        <f>IF($C$5*'Tariffs Jul2017'!AK35/'Tariffs Jul2017'!AI35&gt;='Tariffs Jul2017'!J35,( 'Tariffs Jul2017'!J35*'Tariffs Jul2017'!O35/100)* 'Tariffs Jul2017'!AI35,($C$5*'Tariffs Jul2017'!AK35/'Tariffs Jul2017'!AI35*'Tariffs Jul2017'!O35/100)* 'Tariffs Jul2017'!AI35)</f>
        <v>78.992899999999992</v>
      </c>
      <c r="F41" s="59">
        <f>IF($C$5*'Tariffs Jul2017'!AK35/'Tariffs Jul2017'!AI35&lt;'Tariffs Jul2017'!J35,0,IF($C$5*'Tariffs Jul2017'!AK35/'Tariffs Jul2017'!AI35&lt;='Tariffs Jul2017'!K35,($C$5*'Tariffs Jul2017'!AK35/'Tariffs Jul2017'!AI35-'Tariffs Jul2017'!J35)*('Tariffs Jul2017'!P35/100)*'Tariffs Jul2017'!AI35,('Tariffs Jul2017'!K35-'Tariffs Jul2017'!J35)*('Tariffs Jul2017'!P35/100)*'Tariffs Jul2017'!AI35))</f>
        <v>62.140300000000003</v>
      </c>
      <c r="G41" s="59">
        <f>IF($C$5*'Tariffs Jul2017'!AK35/'Tariffs Jul2017'!AI35&lt;'Tariffs Jul2017'!K35,0,IF($C$5*'Tariffs Jul2017'!AK35/'Tariffs Jul2017'!AI35&lt;='Tariffs Jul2017'!L35,($C$5*'Tariffs Jul2017'!AK35/'Tariffs Jul2017'!AI35-'Tariffs Jul2017'!K35)*('Tariffs Jul2017'!Q35/100)*'Tariffs Jul2017'!AI35,('Tariffs Jul2017'!L35-'Tariffs Jul2017'!K35)*('Tariffs Jul2017'!Q35/100)*'Tariffs Jul2017'!AI35))</f>
        <v>0</v>
      </c>
      <c r="H41" s="59">
        <f>IF($C$5*'Tariffs Jul2017'!AK35/'Tariffs Jul2017'!AI35&lt;'Tariffs Jul2017'!L35,0,IF($C$5*'Tariffs Jul2017'!AK35/'Tariffs Jul2017'!AI35&lt;='Tariffs Jul2017'!M35,($C$5*'Tariffs Jul2017'!AK35/'Tariffs Jul2017'!AI35-'Tariffs Jul2017'!L35)*('Tariffs Jul2017'!R35/100)*'Tariffs Jul2017'!AI35,('Tariffs Jul2017'!M35-'Tariffs Jul2017'!L35)*('Tariffs Jul2017'!R35/100)*'Tariffs Jul2017'!AI35))</f>
        <v>0</v>
      </c>
      <c r="I41" s="59">
        <f>IF(($C$5*'Tariffs Jul2017'!AK35/'Tariffs Jul2017'!AI35&gt;'Tariffs Jul2017'!M35),($C$5*'Tariffs Jul2017'!AK35/'Tariffs Jul2017'!AI35-'Tariffs Jul2017'!M35)*'Tariffs Jul2017'!S35/100*'Tariffs Jul2017'!AI35,0)</f>
        <v>232.61742899999993</v>
      </c>
      <c r="J41" s="59">
        <f>IF($C$5*'Tariffs Jul2017'!AL35/'Tariffs Jul2017'!AJ35&gt;='Tariffs Jul2017'!J35,('Tariffs Jul2017'!J35*'Tariffs Jul2017'!U35/100)* 'Tariffs Jul2017'!AJ35,($C$5*'Tariffs Jul2017'!AL35/'Tariffs Jul2017'!AJ35*'Tariffs Jul2017'!U35/100)* 'Tariffs Jul2017'!AJ35)</f>
        <v>157.98579999999998</v>
      </c>
      <c r="K41" s="59">
        <f>IF($C$5*'Tariffs Jul2017'!AL35/'Tariffs Jul2017'!AJ35&lt;'Tariffs Jul2017'!J35,0,IF($C$5*'Tariffs Jul2017'!AL35/'Tariffs Jul2017'!AJ35&lt;='Tariffs Jul2017'!K35,($C$5*'Tariffs Jul2017'!AL35/'Tariffs Jul2017'!AJ35-'Tariffs Jul2017'!J35)*('Tariffs Jul2017'!V35/100)*'Tariffs Jul2017'!AJ35,('Tariffs Jul2017'!K35-'Tariffs Jul2017'!J35)*('Tariffs Jul2017'!V35/100)*'Tariffs Jul2017'!AJ35))</f>
        <v>124.28060000000001</v>
      </c>
      <c r="L41" s="59">
        <f>IF($C$5*'Tariffs Jul2017'!AL35/'Tariffs Jul2017'!AJ35&lt;'Tariffs Jul2017'!K35,0,IF($C$5*'Tariffs Jul2017'!AL35/'Tariffs Jul2017'!AJ35&lt;='Tariffs Jul2017'!L35,($C$5*'Tariffs Jul2017'!AL35/'Tariffs Jul2017'!AJ35-'Tariffs Jul2017'!K35)*('Tariffs Jul2017'!W35/100)*'Tariffs Jul2017'!AJ35,('Tariffs Jul2017'!L35-'Tariffs Jul2017'!K35)*('Tariffs Jul2017'!W35/100)*'Tariffs Jul2017'!AJ35))</f>
        <v>0</v>
      </c>
      <c r="M41" s="59">
        <f>IF($C$5*'Tariffs Jul2017'!AL35/'Tariffs Jul2017'!AJ35&lt;'Tariffs Jul2017'!L35,0,IF($C$5*'Tariffs Jul2017'!AL35/'Tariffs Jul2017'!AJ35&lt;='Tariffs Jul2017'!M35,($C$5*'Tariffs Jul2017'!AL35/'Tariffs Jul2017'!AJ35-'Tariffs Jul2017'!L35)*('Tariffs Jul2017'!X35/100)*'Tariffs Jul2017'!AJ35,('Tariffs Jul2017'!M35-'Tariffs Jul2017'!L35)*('Tariffs Jul2017'!X35/100)*'Tariffs Jul2017'!AJ35))</f>
        <v>0</v>
      </c>
      <c r="N41" s="59">
        <f>IF(($C$5*'Tariffs Jul2017'!AL35/'Tariffs Jul2017'!AJ35&gt;'Tariffs Jul2017'!M35),($C$5*'Tariffs Jul2017'!AL35/'Tariffs Jul2017'!AJ35-'Tariffs Jul2017'!M35)*'Tariffs Jul2017'!Y35/100*'Tariffs Jul2017'!AJ35,0)</f>
        <v>465.23485799999986</v>
      </c>
      <c r="O41" s="271">
        <f t="shared" si="0"/>
        <v>1121.2518869999997</v>
      </c>
      <c r="P41" s="59">
        <f t="shared" si="1"/>
        <v>1382.0443869999997</v>
      </c>
      <c r="Q41" s="272">
        <f t="shared" si="2"/>
        <v>1520.2488256999998</v>
      </c>
      <c r="R41" s="40">
        <f>'Tariffs Jul2017'!AM35</f>
        <v>0</v>
      </c>
      <c r="S41" s="40">
        <f>'Tariffs Jul2017'!AN35</f>
        <v>0</v>
      </c>
      <c r="T41" s="40">
        <f>'Tariffs Jul2017'!AO35</f>
        <v>0</v>
      </c>
      <c r="U41" s="40">
        <f>'Tariffs Jul2017'!AP35</f>
        <v>15</v>
      </c>
      <c r="V41" s="273">
        <f t="shared" si="3"/>
        <v>1382.0443869999997</v>
      </c>
      <c r="W41" s="273">
        <f>V41-(O41*U41/100)</f>
        <v>1213.8566039499997</v>
      </c>
      <c r="X41" s="272">
        <f t="shared" si="4"/>
        <v>1520.2488256999998</v>
      </c>
      <c r="Y41" s="272">
        <f t="shared" si="4"/>
        <v>1335.2422643449997</v>
      </c>
      <c r="Z41" s="274">
        <f>'Tariffs Jul2017'!AW35</f>
        <v>0</v>
      </c>
      <c r="AA41" s="274" t="str">
        <f>'Tariffs Jul2017'!AX35</f>
        <v>n</v>
      </c>
      <c r="AB41" s="275" t="str">
        <f>'Tariffs Jul2017'!BD35</f>
        <v>N</v>
      </c>
      <c r="AC41" s="317"/>
      <c r="AD41" s="317"/>
      <c r="AE41" s="317"/>
      <c r="AF41" s="317"/>
      <c r="AG41" s="317"/>
      <c r="AH41" s="317"/>
      <c r="AI41" s="317"/>
      <c r="AJ41" s="317"/>
      <c r="AK41" s="317"/>
      <c r="AL41" s="317"/>
      <c r="AM41" s="317"/>
      <c r="AN41" s="317"/>
    </row>
    <row r="42" spans="1:40" x14ac:dyDescent="0.15">
      <c r="A42" s="270" t="str">
        <f>'Tariffs Jul2017'!F36</f>
        <v>Alinta Energy</v>
      </c>
      <c r="B42" s="40" t="str">
        <f>'Tariffs Jul2017'!D36</f>
        <v>Envestra Central 2</v>
      </c>
      <c r="C42" s="40" t="str">
        <f>'Tariffs Jul2017'!G36</f>
        <v>Fair Deal</v>
      </c>
      <c r="D42" s="59">
        <f>365*'Tariffs Jul2017'!H36/100</f>
        <v>259.80700000000002</v>
      </c>
      <c r="E42" s="59">
        <f>IF($C$5*'Tariffs Jul2017'!AK36/'Tariffs Jul2017'!AI36&gt;='Tariffs Jul2017'!J36,( 'Tariffs Jul2017'!J36*'Tariffs Jul2017'!O36/100)* 'Tariffs Jul2017'!AI36,($C$5*'Tariffs Jul2017'!AK36/'Tariffs Jul2017'!AI36*'Tariffs Jul2017'!O36/100)* 'Tariffs Jul2017'!AI36)</f>
        <v>70.734999999999999</v>
      </c>
      <c r="F42" s="59">
        <f>IF($C$5*'Tariffs Jul2017'!AK36/'Tariffs Jul2017'!AI36&lt;'Tariffs Jul2017'!J36,0,IF($C$5*'Tariffs Jul2017'!AK36/'Tariffs Jul2017'!AI36&lt;='Tariffs Jul2017'!K36,($C$5*'Tariffs Jul2017'!AK36/'Tariffs Jul2017'!AI36-'Tariffs Jul2017'!J36)*('Tariffs Jul2017'!P36/100)*'Tariffs Jul2017'!AI36,('Tariffs Jul2017'!K36-'Tariffs Jul2017'!J36)*('Tariffs Jul2017'!P36/100)*'Tariffs Jul2017'!AI36))</f>
        <v>58.264999999999993</v>
      </c>
      <c r="G42" s="59">
        <f>IF($C$5*'Tariffs Jul2017'!AK36/'Tariffs Jul2017'!AI36&lt;'Tariffs Jul2017'!K36,0,IF($C$5*'Tariffs Jul2017'!AK36/'Tariffs Jul2017'!AI36&lt;='Tariffs Jul2017'!L36,($C$5*'Tariffs Jul2017'!AK36/'Tariffs Jul2017'!AI36-'Tariffs Jul2017'!K36)*('Tariffs Jul2017'!Q36/100)*'Tariffs Jul2017'!AI36,('Tariffs Jul2017'!L36-'Tariffs Jul2017'!K36)*('Tariffs Jul2017'!Q36/100)*'Tariffs Jul2017'!AI36))</f>
        <v>0</v>
      </c>
      <c r="H42" s="59">
        <f>IF($C$5*'Tariffs Jul2017'!AK36/'Tariffs Jul2017'!AI36&lt;'Tariffs Jul2017'!L36,0,IF($C$5*'Tariffs Jul2017'!AK36/'Tariffs Jul2017'!AI36&lt;='Tariffs Jul2017'!M36,($C$5*'Tariffs Jul2017'!AK36/'Tariffs Jul2017'!AI36-'Tariffs Jul2017'!L36)*('Tariffs Jul2017'!R36/100)*'Tariffs Jul2017'!AI36,('Tariffs Jul2017'!M36-'Tariffs Jul2017'!L36)*('Tariffs Jul2017'!R36/100)*'Tariffs Jul2017'!AI36))</f>
        <v>0</v>
      </c>
      <c r="I42" s="59">
        <f>IF(($C$5*'Tariffs Jul2017'!AK36/'Tariffs Jul2017'!AI36&gt;'Tariffs Jul2017'!M36),($C$5*'Tariffs Jul2017'!AK36/'Tariffs Jul2017'!AI36-'Tariffs Jul2017'!M36)*'Tariffs Jul2017'!S36/100*'Tariffs Jul2017'!AI36,0)</f>
        <v>254.96429999999998</v>
      </c>
      <c r="J42" s="59">
        <f>IF($C$5*'Tariffs Jul2017'!AL36/'Tariffs Jul2017'!AJ36&gt;='Tariffs Jul2017'!J36,('Tariffs Jul2017'!J36*'Tariffs Jul2017'!U36/100)* 'Tariffs Jul2017'!AJ36,($C$5*'Tariffs Jul2017'!AL36/'Tariffs Jul2017'!AJ36*'Tariffs Jul2017'!U36/100)* 'Tariffs Jul2017'!AJ36)</f>
        <v>141.47</v>
      </c>
      <c r="K42" s="59">
        <f>IF($C$5*'Tariffs Jul2017'!AL36/'Tariffs Jul2017'!AJ36&lt;'Tariffs Jul2017'!J36,0,IF($C$5*'Tariffs Jul2017'!AL36/'Tariffs Jul2017'!AJ36&lt;='Tariffs Jul2017'!K36,($C$5*'Tariffs Jul2017'!AL36/'Tariffs Jul2017'!AJ36-'Tariffs Jul2017'!J36)*('Tariffs Jul2017'!V36/100)*'Tariffs Jul2017'!AJ36,('Tariffs Jul2017'!K36-'Tariffs Jul2017'!J36)*('Tariffs Jul2017'!V36/100)*'Tariffs Jul2017'!AJ36))</f>
        <v>116.52999999999999</v>
      </c>
      <c r="L42" s="59">
        <f>IF($C$5*'Tariffs Jul2017'!AL36/'Tariffs Jul2017'!AJ36&lt;'Tariffs Jul2017'!K36,0,IF($C$5*'Tariffs Jul2017'!AL36/'Tariffs Jul2017'!AJ36&lt;='Tariffs Jul2017'!L36,($C$5*'Tariffs Jul2017'!AL36/'Tariffs Jul2017'!AJ36-'Tariffs Jul2017'!K36)*('Tariffs Jul2017'!W36/100)*'Tariffs Jul2017'!AJ36,('Tariffs Jul2017'!L36-'Tariffs Jul2017'!K36)*('Tariffs Jul2017'!W36/100)*'Tariffs Jul2017'!AJ36))</f>
        <v>0</v>
      </c>
      <c r="M42" s="59">
        <f>IF($C$5*'Tariffs Jul2017'!AL36/'Tariffs Jul2017'!AJ36&lt;'Tariffs Jul2017'!L36,0,IF($C$5*'Tariffs Jul2017'!AL36/'Tariffs Jul2017'!AJ36&lt;='Tariffs Jul2017'!M36,($C$5*'Tariffs Jul2017'!AL36/'Tariffs Jul2017'!AJ36-'Tariffs Jul2017'!L36)*('Tariffs Jul2017'!X36/100)*'Tariffs Jul2017'!AJ36,('Tariffs Jul2017'!M36-'Tariffs Jul2017'!L36)*('Tariffs Jul2017'!X36/100)*'Tariffs Jul2017'!AJ36))</f>
        <v>0</v>
      </c>
      <c r="N42" s="59">
        <f>IF(($C$5*'Tariffs Jul2017'!AL36/'Tariffs Jul2017'!AJ36&gt;'Tariffs Jul2017'!M36),($C$5*'Tariffs Jul2017'!AL36/'Tariffs Jul2017'!AJ36-'Tariffs Jul2017'!M36)*'Tariffs Jul2017'!Y36/100*'Tariffs Jul2017'!AJ36,0)</f>
        <v>509.92859999999996</v>
      </c>
      <c r="O42" s="271">
        <f t="shared" si="0"/>
        <v>1151.8928999999998</v>
      </c>
      <c r="P42" s="59">
        <f t="shared" si="1"/>
        <v>1411.6998999999998</v>
      </c>
      <c r="Q42" s="272">
        <f t="shared" si="2"/>
        <v>1552.8698899999999</v>
      </c>
      <c r="R42" s="40">
        <f>'Tariffs Jul2017'!AM36</f>
        <v>0</v>
      </c>
      <c r="S42" s="40">
        <f>'Tariffs Jul2017'!AN36</f>
        <v>0</v>
      </c>
      <c r="T42" s="40">
        <f>'Tariffs Jul2017'!AO36</f>
        <v>0</v>
      </c>
      <c r="U42" s="40">
        <f>'Tariffs Jul2017'!AP36</f>
        <v>25</v>
      </c>
      <c r="V42" s="273">
        <f t="shared" si="3"/>
        <v>1411.6998999999998</v>
      </c>
      <c r="W42" s="273">
        <f>V42-(O42*U42/100)</f>
        <v>1123.7266749999999</v>
      </c>
      <c r="X42" s="272">
        <f t="shared" si="4"/>
        <v>1552.8698899999999</v>
      </c>
      <c r="Y42" s="272">
        <f t="shared" si="4"/>
        <v>1236.0993424999999</v>
      </c>
      <c r="Z42" s="274">
        <f>'Tariffs Jul2017'!AW36</f>
        <v>0</v>
      </c>
      <c r="AA42" s="274" t="str">
        <f>'Tariffs Jul2017'!AX36</f>
        <v>n</v>
      </c>
      <c r="AB42" s="275" t="str">
        <f>'Tariffs Jul2017'!BD36</f>
        <v>N</v>
      </c>
      <c r="AC42" s="317"/>
      <c r="AD42" s="317"/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</row>
    <row r="43" spans="1:40" x14ac:dyDescent="0.15">
      <c r="A43" s="270" t="str">
        <f>'Tariffs Jul2017'!F37</f>
        <v>Click Energy</v>
      </c>
      <c r="B43" s="40" t="str">
        <f>'Tariffs Jul2017'!D37</f>
        <v>Envestra Central 2</v>
      </c>
      <c r="C43" s="40" t="str">
        <f>'Tariffs Jul2017'!G37</f>
        <v>Amber</v>
      </c>
      <c r="D43" s="59">
        <f>365*'Tariffs Jul2017'!H37/100</f>
        <v>292.73</v>
      </c>
      <c r="E43" s="59">
        <f>IF($C$5*'Tariffs Jul2017'!AK37/'Tariffs Jul2017'!AI37&gt;='Tariffs Jul2017'!J37,( 'Tariffs Jul2017'!J37*'Tariffs Jul2017'!O37/100)* 'Tariffs Jul2017'!AI37,($C$5*'Tariffs Jul2017'!AK37/'Tariffs Jul2017'!AI37*'Tariffs Jul2017'!O37/100)* 'Tariffs Jul2017'!AI37)</f>
        <v>97.055000000000007</v>
      </c>
      <c r="F43" s="59">
        <f>IF($C$5*'Tariffs Jul2017'!AK37/'Tariffs Jul2017'!AI37&lt;'Tariffs Jul2017'!J37,0,IF($C$5*'Tariffs Jul2017'!AK37/'Tariffs Jul2017'!AI37&lt;='Tariffs Jul2017'!K37,($C$5*'Tariffs Jul2017'!AK37/'Tariffs Jul2017'!AI37-'Tariffs Jul2017'!J37)*('Tariffs Jul2017'!P37/100)*'Tariffs Jul2017'!AI37,('Tariffs Jul2017'!K37-'Tariffs Jul2017'!J37)*('Tariffs Jul2017'!P37/100)*'Tariffs Jul2017'!AI37))</f>
        <v>65.040000000000006</v>
      </c>
      <c r="G43" s="59">
        <f>IF($C$5*'Tariffs Jul2017'!AK37/'Tariffs Jul2017'!AI37&lt;'Tariffs Jul2017'!K37,0,IF($C$5*'Tariffs Jul2017'!AK37/'Tariffs Jul2017'!AI37&lt;='Tariffs Jul2017'!L37,($C$5*'Tariffs Jul2017'!AK37/'Tariffs Jul2017'!AI37-'Tariffs Jul2017'!K37)*('Tariffs Jul2017'!Q37/100)*'Tariffs Jul2017'!AI37,('Tariffs Jul2017'!L37-'Tariffs Jul2017'!K37)*('Tariffs Jul2017'!Q37/100)*'Tariffs Jul2017'!AI37))</f>
        <v>0</v>
      </c>
      <c r="H43" s="59">
        <f>IF($C$5*'Tariffs Jul2017'!AK37/'Tariffs Jul2017'!AI37&lt;'Tariffs Jul2017'!L37,0,IF($C$5*'Tariffs Jul2017'!AK37/'Tariffs Jul2017'!AI37&lt;='Tariffs Jul2017'!M37,($C$5*'Tariffs Jul2017'!AK37/'Tariffs Jul2017'!AI37-'Tariffs Jul2017'!L37)*('Tariffs Jul2017'!R37/100)*'Tariffs Jul2017'!AI37,('Tariffs Jul2017'!M37-'Tariffs Jul2017'!L37)*('Tariffs Jul2017'!R37/100)*'Tariffs Jul2017'!AI37))</f>
        <v>0</v>
      </c>
      <c r="I43" s="59">
        <f>IF(($C$5*'Tariffs Jul2017'!AK37/'Tariffs Jul2017'!AI37&gt;'Tariffs Jul2017'!M37),($C$5*'Tariffs Jul2017'!AK37/'Tariffs Jul2017'!AI37-'Tariffs Jul2017'!M37)*'Tariffs Jul2017'!S37/100*'Tariffs Jul2017'!AI37,0)</f>
        <v>284.96009999999995</v>
      </c>
      <c r="J43" s="59">
        <f>IF($C$5*'Tariffs Jul2017'!AL37/'Tariffs Jul2017'!AJ37&gt;='Tariffs Jul2017'!J37,('Tariffs Jul2017'!J37*'Tariffs Jul2017'!U37/100)* 'Tariffs Jul2017'!AJ37,($C$5*'Tariffs Jul2017'!AL37/'Tariffs Jul2017'!AJ37*'Tariffs Jul2017'!U37/100)* 'Tariffs Jul2017'!AJ37)</f>
        <v>194.11</v>
      </c>
      <c r="K43" s="59">
        <f>IF($C$5*'Tariffs Jul2017'!AL37/'Tariffs Jul2017'!AJ37&lt;'Tariffs Jul2017'!J37,0,IF($C$5*'Tariffs Jul2017'!AL37/'Tariffs Jul2017'!AJ37&lt;='Tariffs Jul2017'!K37,($C$5*'Tariffs Jul2017'!AL37/'Tariffs Jul2017'!AJ37-'Tariffs Jul2017'!J37)*('Tariffs Jul2017'!V37/100)*'Tariffs Jul2017'!AJ37,('Tariffs Jul2017'!K37-'Tariffs Jul2017'!J37)*('Tariffs Jul2017'!V37/100)*'Tariffs Jul2017'!AJ37))</f>
        <v>130.08000000000001</v>
      </c>
      <c r="L43" s="59">
        <f>IF($C$5*'Tariffs Jul2017'!AL37/'Tariffs Jul2017'!AJ37&lt;'Tariffs Jul2017'!K37,0,IF($C$5*'Tariffs Jul2017'!AL37/'Tariffs Jul2017'!AJ37&lt;='Tariffs Jul2017'!L37,($C$5*'Tariffs Jul2017'!AL37/'Tariffs Jul2017'!AJ37-'Tariffs Jul2017'!K37)*('Tariffs Jul2017'!W37/100)*'Tariffs Jul2017'!AJ37,('Tariffs Jul2017'!L37-'Tariffs Jul2017'!K37)*('Tariffs Jul2017'!W37/100)*'Tariffs Jul2017'!AJ37))</f>
        <v>0</v>
      </c>
      <c r="M43" s="59">
        <f>IF($C$5*'Tariffs Jul2017'!AL37/'Tariffs Jul2017'!AJ37&lt;'Tariffs Jul2017'!L37,0,IF($C$5*'Tariffs Jul2017'!AL37/'Tariffs Jul2017'!AJ37&lt;='Tariffs Jul2017'!M37,($C$5*'Tariffs Jul2017'!AL37/'Tariffs Jul2017'!AJ37-'Tariffs Jul2017'!L37)*('Tariffs Jul2017'!X37/100)*'Tariffs Jul2017'!AJ37,('Tariffs Jul2017'!M37-'Tariffs Jul2017'!L37)*('Tariffs Jul2017'!X37/100)*'Tariffs Jul2017'!AJ37))</f>
        <v>0</v>
      </c>
      <c r="N43" s="59">
        <f>IF(($C$5*'Tariffs Jul2017'!AL37/'Tariffs Jul2017'!AJ37&gt;'Tariffs Jul2017'!M37),($C$5*'Tariffs Jul2017'!AL37/'Tariffs Jul2017'!AJ37-'Tariffs Jul2017'!M37)*'Tariffs Jul2017'!Y37/100*'Tariffs Jul2017'!AJ37,0)</f>
        <v>569.92019999999991</v>
      </c>
      <c r="O43" s="271">
        <f t="shared" si="0"/>
        <v>1341.1652999999999</v>
      </c>
      <c r="P43" s="59">
        <f t="shared" si="1"/>
        <v>1633.8952999999999</v>
      </c>
      <c r="Q43" s="272">
        <f t="shared" si="2"/>
        <v>1797.2848300000001</v>
      </c>
      <c r="R43" s="40">
        <f>'Tariffs Jul2017'!AM37</f>
        <v>0</v>
      </c>
      <c r="S43" s="40">
        <f>'Tariffs Jul2017'!AN37</f>
        <v>0</v>
      </c>
      <c r="T43" s="40">
        <f>'Tariffs Jul2017'!AO37</f>
        <v>14</v>
      </c>
      <c r="U43" s="40">
        <f>'Tariffs Jul2017'!AP37</f>
        <v>0</v>
      </c>
      <c r="V43" s="273">
        <f t="shared" si="3"/>
        <v>1633.8952999999999</v>
      </c>
      <c r="W43" s="273">
        <f>V43-(P43*T43/100)</f>
        <v>1405.149958</v>
      </c>
      <c r="X43" s="272">
        <f t="shared" si="4"/>
        <v>1797.2848300000001</v>
      </c>
      <c r="Y43" s="272">
        <f t="shared" si="4"/>
        <v>1545.6649538000001</v>
      </c>
      <c r="Z43" s="274">
        <f>'Tariffs Jul2017'!AW37</f>
        <v>0</v>
      </c>
      <c r="AA43" s="274" t="str">
        <f>'Tariffs Jul2017'!AX37</f>
        <v>n</v>
      </c>
      <c r="AB43" s="275" t="str">
        <f>'Tariffs Jul2017'!BD37</f>
        <v>N</v>
      </c>
      <c r="AC43" s="317"/>
      <c r="AD43" s="317"/>
      <c r="AE43" s="317"/>
      <c r="AF43" s="317"/>
      <c r="AG43" s="317"/>
      <c r="AH43" s="317"/>
      <c r="AI43" s="317"/>
      <c r="AJ43" s="317"/>
      <c r="AK43" s="317"/>
      <c r="AL43" s="317"/>
      <c r="AM43" s="317"/>
      <c r="AN43" s="317"/>
    </row>
    <row r="44" spans="1:40" x14ac:dyDescent="0.15">
      <c r="A44" s="270" t="str">
        <f>'Tariffs Jul2017'!F38</f>
        <v>Covau</v>
      </c>
      <c r="B44" s="40" t="str">
        <f>'Tariffs Jul2017'!D38</f>
        <v>Envestra Central 2</v>
      </c>
      <c r="C44" s="40" t="str">
        <f>'Tariffs Jul2017'!G38</f>
        <v>Market offer</v>
      </c>
      <c r="D44" s="59">
        <f>365*'Tariffs Jul2017'!H38/100</f>
        <v>251.85</v>
      </c>
      <c r="E44" s="59">
        <f>IF($C$5*'Tariffs Jul2017'!AK38/'Tariffs Jul2017'!AI38&gt;='Tariffs Jul2017'!J38,( 'Tariffs Jul2017'!J38*'Tariffs Jul2017'!O38/100)* 'Tariffs Jul2017'!AI38,($C$5*'Tariffs Jul2017'!AK38/'Tariffs Jul2017'!AI38*'Tariffs Jul2017'!O38/100)* 'Tariffs Jul2017'!AI38)</f>
        <v>114.16300000000001</v>
      </c>
      <c r="F44" s="59">
        <f>IF($C$5*'Tariffs Jul2017'!AK38/'Tariffs Jul2017'!AI38&lt;'Tariffs Jul2017'!J38,0,IF($C$5*'Tariffs Jul2017'!AK38/'Tariffs Jul2017'!AI38&lt;='Tariffs Jul2017'!K38,($C$5*'Tariffs Jul2017'!AK38/'Tariffs Jul2017'!AI38-'Tariffs Jul2017'!J38)*('Tariffs Jul2017'!P38/100)*'Tariffs Jul2017'!AI38,('Tariffs Jul2017'!K38-'Tariffs Jul2017'!J38)*('Tariffs Jul2017'!P38/100)*'Tariffs Jul2017'!AI38))</f>
        <v>78.319000000000003</v>
      </c>
      <c r="G44" s="59">
        <f>IF($C$5*'Tariffs Jul2017'!AK38/'Tariffs Jul2017'!AI38&lt;'Tariffs Jul2017'!K38,0,IF($C$5*'Tariffs Jul2017'!AK38/'Tariffs Jul2017'!AI38&lt;='Tariffs Jul2017'!L38,($C$5*'Tariffs Jul2017'!AK38/'Tariffs Jul2017'!AI38-'Tariffs Jul2017'!K38)*('Tariffs Jul2017'!Q38/100)*'Tariffs Jul2017'!AI38,('Tariffs Jul2017'!L38-'Tariffs Jul2017'!K38)*('Tariffs Jul2017'!Q38/100)*'Tariffs Jul2017'!AI38))</f>
        <v>0</v>
      </c>
      <c r="H44" s="59">
        <f>IF($C$5*'Tariffs Jul2017'!AK38/'Tariffs Jul2017'!AI38&lt;'Tariffs Jul2017'!L38,0,IF($C$5*'Tariffs Jul2017'!AK38/'Tariffs Jul2017'!AI38&lt;='Tariffs Jul2017'!M38,($C$5*'Tariffs Jul2017'!AK38/'Tariffs Jul2017'!AI38-'Tariffs Jul2017'!L38)*('Tariffs Jul2017'!R38/100)*'Tariffs Jul2017'!AI38,('Tariffs Jul2017'!M38-'Tariffs Jul2017'!L38)*('Tariffs Jul2017'!R38/100)*'Tariffs Jul2017'!AI38))</f>
        <v>0</v>
      </c>
      <c r="I44" s="59">
        <f>IF(($C$5*'Tariffs Jul2017'!AK38/'Tariffs Jul2017'!AI38&gt;'Tariffs Jul2017'!M38),($C$5*'Tariffs Jul2017'!AK38/'Tariffs Jul2017'!AI38-'Tariffs Jul2017'!M38)*'Tariffs Jul2017'!S38/100*'Tariffs Jul2017'!AI38,0)</f>
        <v>341.95211999999992</v>
      </c>
      <c r="J44" s="59">
        <f>IF($C$5*'Tariffs Jul2017'!AL38/'Tariffs Jul2017'!AJ38&gt;='Tariffs Jul2017'!J38,('Tariffs Jul2017'!J38*'Tariffs Jul2017'!U38/100)* 'Tariffs Jul2017'!AJ38,($C$5*'Tariffs Jul2017'!AL38/'Tariffs Jul2017'!AJ38*'Tariffs Jul2017'!U38/100)* 'Tariffs Jul2017'!AJ38)</f>
        <v>228.32600000000002</v>
      </c>
      <c r="K44" s="59">
        <f>IF($C$5*'Tariffs Jul2017'!AL38/'Tariffs Jul2017'!AJ38&lt;'Tariffs Jul2017'!J38,0,IF($C$5*'Tariffs Jul2017'!AL38/'Tariffs Jul2017'!AJ38&lt;='Tariffs Jul2017'!K38,($C$5*'Tariffs Jul2017'!AL38/'Tariffs Jul2017'!AJ38-'Tariffs Jul2017'!J38)*('Tariffs Jul2017'!V38/100)*'Tariffs Jul2017'!AJ38,('Tariffs Jul2017'!K38-'Tariffs Jul2017'!J38)*('Tariffs Jul2017'!V38/100)*'Tariffs Jul2017'!AJ38))</f>
        <v>156.63800000000001</v>
      </c>
      <c r="L44" s="59">
        <f>IF($C$5*'Tariffs Jul2017'!AL38/'Tariffs Jul2017'!AJ38&lt;'Tariffs Jul2017'!K38,0,IF($C$5*'Tariffs Jul2017'!AL38/'Tariffs Jul2017'!AJ38&lt;='Tariffs Jul2017'!L38,($C$5*'Tariffs Jul2017'!AL38/'Tariffs Jul2017'!AJ38-'Tariffs Jul2017'!K38)*('Tariffs Jul2017'!W38/100)*'Tariffs Jul2017'!AJ38,('Tariffs Jul2017'!L38-'Tariffs Jul2017'!K38)*('Tariffs Jul2017'!W38/100)*'Tariffs Jul2017'!AJ38))</f>
        <v>0</v>
      </c>
      <c r="M44" s="59">
        <f>IF($C$5*'Tariffs Jul2017'!AL38/'Tariffs Jul2017'!AJ38&lt;'Tariffs Jul2017'!L38,0,IF($C$5*'Tariffs Jul2017'!AL38/'Tariffs Jul2017'!AJ38&lt;='Tariffs Jul2017'!M38,($C$5*'Tariffs Jul2017'!AL38/'Tariffs Jul2017'!AJ38-'Tariffs Jul2017'!L38)*('Tariffs Jul2017'!X38/100)*'Tariffs Jul2017'!AJ38,('Tariffs Jul2017'!M38-'Tariffs Jul2017'!L38)*('Tariffs Jul2017'!X38/100)*'Tariffs Jul2017'!AJ38))</f>
        <v>0</v>
      </c>
      <c r="N44" s="59">
        <f>IF(($C$5*'Tariffs Jul2017'!AL38/'Tariffs Jul2017'!AJ38&gt;'Tariffs Jul2017'!M38),($C$5*'Tariffs Jul2017'!AL38/'Tariffs Jul2017'!AJ38-'Tariffs Jul2017'!M38)*'Tariffs Jul2017'!Y38/100*'Tariffs Jul2017'!AJ38,0)</f>
        <v>683.90423999999985</v>
      </c>
      <c r="O44" s="271">
        <f t="shared" si="0"/>
        <v>1603.3023599999997</v>
      </c>
      <c r="P44" s="59">
        <f t="shared" si="1"/>
        <v>1855.1523599999996</v>
      </c>
      <c r="Q44" s="272">
        <f t="shared" si="2"/>
        <v>2040.6675959999998</v>
      </c>
      <c r="R44" s="40">
        <f>'Tariffs Jul2017'!AM38</f>
        <v>0</v>
      </c>
      <c r="S44" s="40">
        <f>'Tariffs Jul2017'!AN38</f>
        <v>0</v>
      </c>
      <c r="T44" s="40">
        <f>'Tariffs Jul2017'!AO38</f>
        <v>0</v>
      </c>
      <c r="U44" s="40">
        <f>'Tariffs Jul2017'!AP38</f>
        <v>16</v>
      </c>
      <c r="V44" s="273">
        <f t="shared" si="3"/>
        <v>1855.1523599999996</v>
      </c>
      <c r="W44" s="273">
        <f>V44-(O44*U44/100)</f>
        <v>1598.6239823999997</v>
      </c>
      <c r="X44" s="272">
        <f t="shared" si="4"/>
        <v>2040.6675959999998</v>
      </c>
      <c r="Y44" s="272">
        <f t="shared" si="4"/>
        <v>1758.4863806399999</v>
      </c>
      <c r="Z44" s="274">
        <f>'Tariffs Jul2017'!AW38</f>
        <v>12</v>
      </c>
      <c r="AA44" s="274" t="str">
        <f>'Tariffs Jul2017'!AX38</f>
        <v>y</v>
      </c>
      <c r="AB44" s="275" t="str">
        <f>'Tariffs Jul2017'!BD38</f>
        <v>N</v>
      </c>
      <c r="AC44" s="317"/>
      <c r="AD44" s="317"/>
      <c r="AE44" s="317"/>
      <c r="AF44" s="317"/>
      <c r="AG44" s="317"/>
      <c r="AH44" s="317"/>
      <c r="AI44" s="317"/>
      <c r="AJ44" s="317"/>
      <c r="AK44" s="317"/>
      <c r="AL44" s="317"/>
      <c r="AM44" s="317"/>
      <c r="AN44" s="317"/>
    </row>
    <row r="45" spans="1:40" x14ac:dyDescent="0.15">
      <c r="A45" s="270" t="str">
        <f>'Tariffs Jul2017'!F39</f>
        <v>Dodo Power &amp; Gas</v>
      </c>
      <c r="B45" s="40" t="str">
        <f>'Tariffs Jul2017'!D39</f>
        <v>Envestra Central 2</v>
      </c>
      <c r="C45" s="40" t="str">
        <f>'Tariffs Jul2017'!G39</f>
        <v>Market offer</v>
      </c>
      <c r="D45" s="59">
        <f>365*'Tariffs Jul2017'!H39/100</f>
        <v>247.47</v>
      </c>
      <c r="E45" s="59">
        <f>IF($C$5*'Tariffs Jul2017'!AK39/'Tariffs Jul2017'!AI39&gt;='Tariffs Jul2017'!J39,( 'Tariffs Jul2017'!J39*'Tariffs Jul2017'!O39/100)* 'Tariffs Jul2017'!AI39,($C$5*'Tariffs Jul2017'!AK39/'Tariffs Jul2017'!AI39*'Tariffs Jul2017'!O39/100)* 'Tariffs Jul2017'!AI39)</f>
        <v>138.88</v>
      </c>
      <c r="F45" s="59">
        <f>IF($C$5*'Tariffs Jul2017'!AK39/'Tariffs Jul2017'!AI39&lt;'Tariffs Jul2017'!J39,0,IF($C$5*'Tariffs Jul2017'!AK39/'Tariffs Jul2017'!AI39&lt;='Tariffs Jul2017'!K39,($C$5*'Tariffs Jul2017'!AK39/'Tariffs Jul2017'!AI39-'Tariffs Jul2017'!J39)*('Tariffs Jul2017'!P39/100)*'Tariffs Jul2017'!AI39,('Tariffs Jul2017'!K39-'Tariffs Jul2017'!J39)*('Tariffs Jul2017'!P39/100)*'Tariffs Jul2017'!AI39))</f>
        <v>0</v>
      </c>
      <c r="G45" s="59">
        <f>IF($C$5*'Tariffs Jul2017'!AK39/'Tariffs Jul2017'!AI39&lt;'Tariffs Jul2017'!K39,0,IF($C$5*'Tariffs Jul2017'!AK39/'Tariffs Jul2017'!AI39&lt;='Tariffs Jul2017'!L39,($C$5*'Tariffs Jul2017'!AK39/'Tariffs Jul2017'!AI39-'Tariffs Jul2017'!K39)*('Tariffs Jul2017'!Q39/100)*'Tariffs Jul2017'!AI39,('Tariffs Jul2017'!L39-'Tariffs Jul2017'!K39)*('Tariffs Jul2017'!Q39/100)*'Tariffs Jul2017'!AI39))</f>
        <v>0</v>
      </c>
      <c r="H45" s="59">
        <f>IF($C$5*'Tariffs Jul2017'!AK39/'Tariffs Jul2017'!AI39&lt;'Tariffs Jul2017'!L39,0,IF($C$5*'Tariffs Jul2017'!AK39/'Tariffs Jul2017'!AI39&lt;='Tariffs Jul2017'!M39,($C$5*'Tariffs Jul2017'!AK39/'Tariffs Jul2017'!AI39-'Tariffs Jul2017'!L39)*('Tariffs Jul2017'!R39/100)*'Tariffs Jul2017'!AI39,('Tariffs Jul2017'!M39-'Tariffs Jul2017'!L39)*('Tariffs Jul2017'!R39/100)*'Tariffs Jul2017'!AI39))</f>
        <v>0</v>
      </c>
      <c r="I45" s="59">
        <f>IF(($C$5*'Tariffs Jul2017'!AK39/'Tariffs Jul2017'!AI39&gt;'Tariffs Jul2017'!M39),($C$5*'Tariffs Jul2017'!AK39/'Tariffs Jul2017'!AI39-'Tariffs Jul2017'!M39)*'Tariffs Jul2017'!S39/100*'Tariffs Jul2017'!AI39,0)</f>
        <v>251.08387999999997</v>
      </c>
      <c r="J45" s="59">
        <f>IF($C$5*'Tariffs Jul2017'!AL39/'Tariffs Jul2017'!AJ39&gt;='Tariffs Jul2017'!J39,('Tariffs Jul2017'!J39*'Tariffs Jul2017'!U39/100)* 'Tariffs Jul2017'!AJ39,($C$5*'Tariffs Jul2017'!AL39/'Tariffs Jul2017'!AJ39*'Tariffs Jul2017'!U39/100)* 'Tariffs Jul2017'!AJ39)</f>
        <v>277.76</v>
      </c>
      <c r="K45" s="59">
        <f>IF($C$5*'Tariffs Jul2017'!AL39/'Tariffs Jul2017'!AJ39&lt;'Tariffs Jul2017'!J39,0,IF($C$5*'Tariffs Jul2017'!AL39/'Tariffs Jul2017'!AJ39&lt;='Tariffs Jul2017'!K39,($C$5*'Tariffs Jul2017'!AL39/'Tariffs Jul2017'!AJ39-'Tariffs Jul2017'!J39)*('Tariffs Jul2017'!V39/100)*'Tariffs Jul2017'!AJ39,('Tariffs Jul2017'!K39-'Tariffs Jul2017'!J39)*('Tariffs Jul2017'!V39/100)*'Tariffs Jul2017'!AJ39))</f>
        <v>0</v>
      </c>
      <c r="L45" s="59">
        <f>IF($C$5*'Tariffs Jul2017'!AL39/'Tariffs Jul2017'!AJ39&lt;'Tariffs Jul2017'!K39,0,IF($C$5*'Tariffs Jul2017'!AL39/'Tariffs Jul2017'!AJ39&lt;='Tariffs Jul2017'!L39,($C$5*'Tariffs Jul2017'!AL39/'Tariffs Jul2017'!AJ39-'Tariffs Jul2017'!K39)*('Tariffs Jul2017'!W39/100)*'Tariffs Jul2017'!AJ39,('Tariffs Jul2017'!L39-'Tariffs Jul2017'!K39)*('Tariffs Jul2017'!W39/100)*'Tariffs Jul2017'!AJ39))</f>
        <v>0</v>
      </c>
      <c r="M45" s="59">
        <f>IF($C$5*'Tariffs Jul2017'!AL39/'Tariffs Jul2017'!AJ39&lt;'Tariffs Jul2017'!L39,0,IF($C$5*'Tariffs Jul2017'!AL39/'Tariffs Jul2017'!AJ39&lt;='Tariffs Jul2017'!M39,($C$5*'Tariffs Jul2017'!AL39/'Tariffs Jul2017'!AJ39-'Tariffs Jul2017'!L39)*('Tariffs Jul2017'!X39/100)*'Tariffs Jul2017'!AJ39,('Tariffs Jul2017'!M39-'Tariffs Jul2017'!L39)*('Tariffs Jul2017'!X39/100)*'Tariffs Jul2017'!AJ39))</f>
        <v>0</v>
      </c>
      <c r="N45" s="59">
        <f>IF(($C$5*'Tariffs Jul2017'!AL39/'Tariffs Jul2017'!AJ39&gt;'Tariffs Jul2017'!M39),($C$5*'Tariffs Jul2017'!AL39/'Tariffs Jul2017'!AJ39-'Tariffs Jul2017'!M39)*'Tariffs Jul2017'!Y39/100*'Tariffs Jul2017'!AJ39,0)</f>
        <v>502.16775999999993</v>
      </c>
      <c r="O45" s="271">
        <f t="shared" si="0"/>
        <v>1169.8916399999998</v>
      </c>
      <c r="P45" s="59">
        <f t="shared" si="1"/>
        <v>1417.3616399999999</v>
      </c>
      <c r="Q45" s="272">
        <f t="shared" si="2"/>
        <v>1559.097804</v>
      </c>
      <c r="R45" s="40">
        <f>'Tariffs Jul2017'!AM39</f>
        <v>0</v>
      </c>
      <c r="S45" s="40">
        <f>'Tariffs Jul2017'!AN39</f>
        <v>0</v>
      </c>
      <c r="T45" s="40">
        <f>'Tariffs Jul2017'!AO39</f>
        <v>0</v>
      </c>
      <c r="U45" s="40">
        <f>'Tariffs Jul2017'!AP39</f>
        <v>0</v>
      </c>
      <c r="V45" s="273">
        <f t="shared" si="3"/>
        <v>1417.3616399999999</v>
      </c>
      <c r="W45" s="273">
        <f>V45-(O45*U45/100)</f>
        <v>1417.3616399999999</v>
      </c>
      <c r="X45" s="272">
        <f t="shared" si="4"/>
        <v>1559.097804</v>
      </c>
      <c r="Y45" s="272">
        <f t="shared" si="4"/>
        <v>1559.097804</v>
      </c>
      <c r="Z45" s="274">
        <f>'Tariffs Jul2017'!AW39</f>
        <v>0</v>
      </c>
      <c r="AA45" s="274" t="str">
        <f>'Tariffs Jul2017'!AX39</f>
        <v>n</v>
      </c>
      <c r="AB45" s="275" t="str">
        <f>'Tariffs Jul2017'!BD39</f>
        <v>Y</v>
      </c>
      <c r="AC45" s="317"/>
      <c r="AD45" s="317"/>
      <c r="AE45" s="317"/>
      <c r="AF45" s="317"/>
      <c r="AG45" s="317"/>
      <c r="AH45" s="317"/>
      <c r="AI45" s="317"/>
      <c r="AJ45" s="317"/>
      <c r="AK45" s="317"/>
      <c r="AL45" s="317"/>
      <c r="AM45" s="317"/>
      <c r="AN45" s="317"/>
    </row>
    <row r="46" spans="1:40" x14ac:dyDescent="0.15">
      <c r="A46" s="270" t="str">
        <f>'Tariffs Jul2017'!F40</f>
        <v>EnergyAustralia</v>
      </c>
      <c r="B46" s="40" t="str">
        <f>'Tariffs Jul2017'!D40</f>
        <v>Envestra Central 2</v>
      </c>
      <c r="C46" s="40" t="str">
        <f>'Tariffs Jul2017'!G40</f>
        <v xml:space="preserve">Flexi Saver </v>
      </c>
      <c r="D46" s="59">
        <f>365*'Tariffs Jul2017'!H40/100</f>
        <v>270.10000000000002</v>
      </c>
      <c r="E46" s="59">
        <f>IF($C$5*'Tariffs Jul2017'!AK40/'Tariffs Jul2017'!AI40&gt;='Tariffs Jul2017'!J40,( 'Tariffs Jul2017'!J40*'Tariffs Jul2017'!O40/100)* 'Tariffs Jul2017'!AI40,($C$5*'Tariffs Jul2017'!AK40/'Tariffs Jul2017'!AI40*'Tariffs Jul2017'!O40/100)* 'Tariffs Jul2017'!AI40)</f>
        <v>91.790999999999997</v>
      </c>
      <c r="F46" s="59">
        <f>IF($C$5*'Tariffs Jul2017'!AK40/'Tariffs Jul2017'!AI40&lt;'Tariffs Jul2017'!J40,0,IF($C$5*'Tariffs Jul2017'!AK40/'Tariffs Jul2017'!AI40&lt;='Tariffs Jul2017'!K40,($C$5*'Tariffs Jul2017'!AK40/'Tariffs Jul2017'!AI40-'Tariffs Jul2017'!J40)*('Tariffs Jul2017'!P40/100)*'Tariffs Jul2017'!AI40,('Tariffs Jul2017'!K40-'Tariffs Jul2017'!J40)*('Tariffs Jul2017'!P40/100)*'Tariffs Jul2017'!AI40))</f>
        <v>59.078000000000003</v>
      </c>
      <c r="G46" s="59">
        <f>IF($C$5*'Tariffs Jul2017'!AK40/'Tariffs Jul2017'!AI40&lt;'Tariffs Jul2017'!K40,0,IF($C$5*'Tariffs Jul2017'!AK40/'Tariffs Jul2017'!AI40&lt;='Tariffs Jul2017'!L40,($C$5*'Tariffs Jul2017'!AK40/'Tariffs Jul2017'!AI40-'Tariffs Jul2017'!K40)*('Tariffs Jul2017'!Q40/100)*'Tariffs Jul2017'!AI40,('Tariffs Jul2017'!L40-'Tariffs Jul2017'!K40)*('Tariffs Jul2017'!Q40/100)*'Tariffs Jul2017'!AI40))</f>
        <v>0</v>
      </c>
      <c r="H46" s="59">
        <f>IF($C$5*'Tariffs Jul2017'!AK40/'Tariffs Jul2017'!AI40&lt;'Tariffs Jul2017'!L40,0,IF($C$5*'Tariffs Jul2017'!AK40/'Tariffs Jul2017'!AI40&lt;='Tariffs Jul2017'!M40,($C$5*'Tariffs Jul2017'!AK40/'Tariffs Jul2017'!AI40-'Tariffs Jul2017'!L40)*('Tariffs Jul2017'!R40/100)*'Tariffs Jul2017'!AI40,('Tariffs Jul2017'!M40-'Tariffs Jul2017'!L40)*('Tariffs Jul2017'!R40/100)*'Tariffs Jul2017'!AI40))</f>
        <v>0</v>
      </c>
      <c r="I46" s="59">
        <f>IF(($C$5*'Tariffs Jul2017'!AK40/'Tariffs Jul2017'!AI40&gt;'Tariffs Jul2017'!M40),($C$5*'Tariffs Jul2017'!AK40/'Tariffs Jul2017'!AI40-'Tariffs Jul2017'!M40)*'Tariffs Jul2017'!S40/100*'Tariffs Jul2017'!AI40,0)</f>
        <v>241.46618999999998</v>
      </c>
      <c r="J46" s="59">
        <f>IF($C$5*'Tariffs Jul2017'!AL40/'Tariffs Jul2017'!AJ40&gt;='Tariffs Jul2017'!J40,('Tariffs Jul2017'!J40*'Tariffs Jul2017'!U40/100)* 'Tariffs Jul2017'!AJ40,($C$5*'Tariffs Jul2017'!AL40/'Tariffs Jul2017'!AJ40*'Tariffs Jul2017'!U40/100)* 'Tariffs Jul2017'!AJ40)</f>
        <v>183.58199999999999</v>
      </c>
      <c r="K46" s="59">
        <f>IF($C$5*'Tariffs Jul2017'!AL40/'Tariffs Jul2017'!AJ40&lt;'Tariffs Jul2017'!J40,0,IF($C$5*'Tariffs Jul2017'!AL40/'Tariffs Jul2017'!AJ40&lt;='Tariffs Jul2017'!K40,($C$5*'Tariffs Jul2017'!AL40/'Tariffs Jul2017'!AJ40-'Tariffs Jul2017'!J40)*('Tariffs Jul2017'!V40/100)*'Tariffs Jul2017'!AJ40,('Tariffs Jul2017'!K40-'Tariffs Jul2017'!J40)*('Tariffs Jul2017'!V40/100)*'Tariffs Jul2017'!AJ40))</f>
        <v>118.15600000000001</v>
      </c>
      <c r="L46" s="59">
        <f>IF($C$5*'Tariffs Jul2017'!AL40/'Tariffs Jul2017'!AJ40&lt;'Tariffs Jul2017'!K40,0,IF($C$5*'Tariffs Jul2017'!AL40/'Tariffs Jul2017'!AJ40&lt;='Tariffs Jul2017'!L40,($C$5*'Tariffs Jul2017'!AL40/'Tariffs Jul2017'!AJ40-'Tariffs Jul2017'!K40)*('Tariffs Jul2017'!W40/100)*'Tariffs Jul2017'!AJ40,('Tariffs Jul2017'!L40-'Tariffs Jul2017'!K40)*('Tariffs Jul2017'!W40/100)*'Tariffs Jul2017'!AJ40))</f>
        <v>0</v>
      </c>
      <c r="M46" s="59">
        <f>IF($C$5*'Tariffs Jul2017'!AL40/'Tariffs Jul2017'!AJ40&lt;'Tariffs Jul2017'!L40,0,IF($C$5*'Tariffs Jul2017'!AL40/'Tariffs Jul2017'!AJ40&lt;='Tariffs Jul2017'!M40,($C$5*'Tariffs Jul2017'!AL40/'Tariffs Jul2017'!AJ40-'Tariffs Jul2017'!L40)*('Tariffs Jul2017'!X40/100)*'Tariffs Jul2017'!AJ40,('Tariffs Jul2017'!M40-'Tariffs Jul2017'!L40)*('Tariffs Jul2017'!X40/100)*'Tariffs Jul2017'!AJ40))</f>
        <v>0</v>
      </c>
      <c r="N46" s="59">
        <f>IF(($C$5*'Tariffs Jul2017'!AL40/'Tariffs Jul2017'!AJ40&gt;'Tariffs Jul2017'!M40),($C$5*'Tariffs Jul2017'!AL40/'Tariffs Jul2017'!AJ40-'Tariffs Jul2017'!M40)*'Tariffs Jul2017'!Y40/100*'Tariffs Jul2017'!AJ40,0)</f>
        <v>482.93237999999997</v>
      </c>
      <c r="O46" s="271">
        <f t="shared" si="0"/>
        <v>1177.00557</v>
      </c>
      <c r="P46" s="59">
        <f t="shared" si="1"/>
        <v>1447.1055700000002</v>
      </c>
      <c r="Q46" s="272">
        <f t="shared" si="2"/>
        <v>1591.8161270000003</v>
      </c>
      <c r="R46" s="40">
        <f>'Tariffs Jul2017'!AM40</f>
        <v>0</v>
      </c>
      <c r="S46" s="40">
        <f>'Tariffs Jul2017'!AN40</f>
        <v>0</v>
      </c>
      <c r="T46" s="40">
        <f>'Tariffs Jul2017'!AO40</f>
        <v>0</v>
      </c>
      <c r="U46" s="40">
        <f>'Tariffs Jul2017'!AP40</f>
        <v>20</v>
      </c>
      <c r="V46" s="273">
        <f t="shared" si="3"/>
        <v>1447.1055700000002</v>
      </c>
      <c r="W46" s="273">
        <f>V46-(O46*U46/100)</f>
        <v>1211.7044560000002</v>
      </c>
      <c r="X46" s="272">
        <f t="shared" si="4"/>
        <v>1591.8161270000003</v>
      </c>
      <c r="Y46" s="272">
        <f t="shared" si="4"/>
        <v>1332.8749016000004</v>
      </c>
      <c r="Z46" s="274">
        <f>'Tariffs Jul2017'!AW40</f>
        <v>0</v>
      </c>
      <c r="AA46" s="274" t="str">
        <f>'Tariffs Jul2017'!AX40</f>
        <v>n</v>
      </c>
      <c r="AB46" s="275" t="str">
        <f>'Tariffs Jul2017'!BD40</f>
        <v>N</v>
      </c>
      <c r="AC46" s="317"/>
      <c r="AD46" s="317"/>
      <c r="AE46" s="317"/>
      <c r="AF46" s="317"/>
      <c r="AG46" s="317"/>
      <c r="AH46" s="317"/>
      <c r="AI46" s="317"/>
      <c r="AJ46" s="317"/>
      <c r="AK46" s="317"/>
      <c r="AL46" s="317"/>
      <c r="AM46" s="317"/>
      <c r="AN46" s="317"/>
    </row>
    <row r="47" spans="1:40" x14ac:dyDescent="0.15">
      <c r="A47" s="270" t="str">
        <f>'Tariffs Jul2017'!F41</f>
        <v>Lumo Energy</v>
      </c>
      <c r="B47" s="40" t="str">
        <f>'Tariffs Jul2017'!D41</f>
        <v>Envestra Central 2</v>
      </c>
      <c r="C47" s="40" t="str">
        <f>'Tariffs Jul2017'!G41</f>
        <v>Advantage</v>
      </c>
      <c r="D47" s="59">
        <f>365*'Tariffs Jul2017'!H41/100</f>
        <v>240.24299999999999</v>
      </c>
      <c r="E47" s="59">
        <f>IF($C$5*'Tariffs Jul2017'!AK41/'Tariffs Jul2017'!AI41&gt;='Tariffs Jul2017'!J41,( 'Tariffs Jul2017'!J41*'Tariffs Jul2017'!O41/100)* 'Tariffs Jul2017'!AI41,($C$5*'Tariffs Jul2017'!AK41/'Tariffs Jul2017'!AI41*'Tariffs Jul2017'!O41/100)* 'Tariffs Jul2017'!AI41)</f>
        <v>89.2577</v>
      </c>
      <c r="F47" s="59">
        <f>IF($C$5*'Tariffs Jul2017'!AK41/'Tariffs Jul2017'!AI41&lt;'Tariffs Jul2017'!J41,0,IF($C$5*'Tariffs Jul2017'!AK41/'Tariffs Jul2017'!AI41&lt;='Tariffs Jul2017'!K41,($C$5*'Tariffs Jul2017'!AK41/'Tariffs Jul2017'!AI41-'Tariffs Jul2017'!J41)*('Tariffs Jul2017'!P41/100)*'Tariffs Jul2017'!AI41,('Tariffs Jul2017'!K41-'Tariffs Jul2017'!J41)*('Tariffs Jul2017'!P41/100)*'Tariffs Jul2017'!AI41))</f>
        <v>59.430300000000003</v>
      </c>
      <c r="G47" s="59">
        <f>IF($C$5*'Tariffs Jul2017'!AK41/'Tariffs Jul2017'!AI41&lt;'Tariffs Jul2017'!K41,0,IF($C$5*'Tariffs Jul2017'!AK41/'Tariffs Jul2017'!AI41&lt;='Tariffs Jul2017'!L41,($C$5*'Tariffs Jul2017'!AK41/'Tariffs Jul2017'!AI41-'Tariffs Jul2017'!K41)*('Tariffs Jul2017'!Q41/100)*'Tariffs Jul2017'!AI41,('Tariffs Jul2017'!L41-'Tariffs Jul2017'!K41)*('Tariffs Jul2017'!Q41/100)*'Tariffs Jul2017'!AI41))</f>
        <v>0</v>
      </c>
      <c r="H47" s="59">
        <f>IF($C$5*'Tariffs Jul2017'!AK41/'Tariffs Jul2017'!AI41&lt;'Tariffs Jul2017'!L41,0,IF($C$5*'Tariffs Jul2017'!AK41/'Tariffs Jul2017'!AI41&lt;='Tariffs Jul2017'!M41,($C$5*'Tariffs Jul2017'!AK41/'Tariffs Jul2017'!AI41-'Tariffs Jul2017'!L41)*('Tariffs Jul2017'!R41/100)*'Tariffs Jul2017'!AI41,('Tariffs Jul2017'!M41-'Tariffs Jul2017'!L41)*('Tariffs Jul2017'!R41/100)*'Tariffs Jul2017'!AI41))</f>
        <v>0</v>
      </c>
      <c r="I47" s="59">
        <f>IF(($C$5*'Tariffs Jul2017'!AK41/'Tariffs Jul2017'!AI41&gt;'Tariffs Jul2017'!M41),($C$5*'Tariffs Jul2017'!AK41/'Tariffs Jul2017'!AI41-'Tariffs Jul2017'!M41)*'Tariffs Jul2017'!S41/100*'Tariffs Jul2017'!AI41,0)</f>
        <v>267.26257799999996</v>
      </c>
      <c r="J47" s="59">
        <f>IF($C$5*'Tariffs Jul2017'!AL41/'Tariffs Jul2017'!AJ41&gt;='Tariffs Jul2017'!J41,('Tariffs Jul2017'!J41*'Tariffs Jul2017'!U41/100)* 'Tariffs Jul2017'!AJ41,($C$5*'Tariffs Jul2017'!AL41/'Tariffs Jul2017'!AJ41*'Tariffs Jul2017'!U41/100)* 'Tariffs Jul2017'!AJ41)</f>
        <v>178.5154</v>
      </c>
      <c r="K47" s="59">
        <f>IF($C$5*'Tariffs Jul2017'!AL41/'Tariffs Jul2017'!AJ41&lt;'Tariffs Jul2017'!J41,0,IF($C$5*'Tariffs Jul2017'!AL41/'Tariffs Jul2017'!AJ41&lt;='Tariffs Jul2017'!K41,($C$5*'Tariffs Jul2017'!AL41/'Tariffs Jul2017'!AJ41-'Tariffs Jul2017'!J41)*('Tariffs Jul2017'!V41/100)*'Tariffs Jul2017'!AJ41,('Tariffs Jul2017'!K41-'Tariffs Jul2017'!J41)*('Tariffs Jul2017'!V41/100)*'Tariffs Jul2017'!AJ41))</f>
        <v>118.86060000000001</v>
      </c>
      <c r="L47" s="59">
        <f>IF($C$5*'Tariffs Jul2017'!AL41/'Tariffs Jul2017'!AJ41&lt;'Tariffs Jul2017'!K41,0,IF($C$5*'Tariffs Jul2017'!AL41/'Tariffs Jul2017'!AJ41&lt;='Tariffs Jul2017'!L41,($C$5*'Tariffs Jul2017'!AL41/'Tariffs Jul2017'!AJ41-'Tariffs Jul2017'!K41)*('Tariffs Jul2017'!W41/100)*'Tariffs Jul2017'!AJ41,('Tariffs Jul2017'!L41-'Tariffs Jul2017'!K41)*('Tariffs Jul2017'!W41/100)*'Tariffs Jul2017'!AJ41))</f>
        <v>0</v>
      </c>
      <c r="M47" s="59">
        <f>IF($C$5*'Tariffs Jul2017'!AL41/'Tariffs Jul2017'!AJ41&lt;'Tariffs Jul2017'!L41,0,IF($C$5*'Tariffs Jul2017'!AL41/'Tariffs Jul2017'!AJ41&lt;='Tariffs Jul2017'!M41,($C$5*'Tariffs Jul2017'!AL41/'Tariffs Jul2017'!AJ41-'Tariffs Jul2017'!L41)*('Tariffs Jul2017'!X41/100)*'Tariffs Jul2017'!AJ41,('Tariffs Jul2017'!M41-'Tariffs Jul2017'!L41)*('Tariffs Jul2017'!X41/100)*'Tariffs Jul2017'!AJ41))</f>
        <v>0</v>
      </c>
      <c r="N47" s="59">
        <f>IF(($C$5*'Tariffs Jul2017'!AL41/'Tariffs Jul2017'!AJ41&gt;'Tariffs Jul2017'!M41),($C$5*'Tariffs Jul2017'!AL41/'Tariffs Jul2017'!AJ41-'Tariffs Jul2017'!M41)*'Tariffs Jul2017'!Y41/100*'Tariffs Jul2017'!AJ41,0)</f>
        <v>534.52515599999992</v>
      </c>
      <c r="O47" s="271">
        <f t="shared" si="0"/>
        <v>1247.8517339999999</v>
      </c>
      <c r="P47" s="59">
        <f t="shared" si="1"/>
        <v>1488.0947339999998</v>
      </c>
      <c r="Q47" s="272">
        <f t="shared" si="2"/>
        <v>1636.9042073999999</v>
      </c>
      <c r="R47" s="40">
        <f>'Tariffs Jul2017'!AM41</f>
        <v>0</v>
      </c>
      <c r="S47" s="40">
        <f>'Tariffs Jul2017'!AN41</f>
        <v>0</v>
      </c>
      <c r="T47" s="40">
        <f>'Tariffs Jul2017'!AO41</f>
        <v>15</v>
      </c>
      <c r="U47" s="40">
        <f>'Tariffs Jul2017'!AP41</f>
        <v>0</v>
      </c>
      <c r="V47" s="273">
        <f t="shared" si="3"/>
        <v>1488.0947339999998</v>
      </c>
      <c r="W47" s="273">
        <f>V47-(P47*T47/100)</f>
        <v>1264.8805238999998</v>
      </c>
      <c r="X47" s="272">
        <f t="shared" si="4"/>
        <v>1636.9042073999999</v>
      </c>
      <c r="Y47" s="272">
        <f t="shared" si="4"/>
        <v>1391.36857629</v>
      </c>
      <c r="Z47" s="274">
        <f>'Tariffs Jul2017'!AW41</f>
        <v>0</v>
      </c>
      <c r="AA47" s="274" t="str">
        <f>'Tariffs Jul2017'!AX41</f>
        <v>n</v>
      </c>
      <c r="AB47" s="275" t="str">
        <f>'Tariffs Jul2017'!BD41</f>
        <v>N</v>
      </c>
      <c r="AC47" s="317"/>
      <c r="AD47" s="317"/>
      <c r="AE47" s="317"/>
      <c r="AF47" s="317"/>
      <c r="AG47" s="317"/>
      <c r="AH47" s="317"/>
      <c r="AI47" s="317"/>
      <c r="AJ47" s="317"/>
      <c r="AK47" s="317"/>
      <c r="AL47" s="317"/>
      <c r="AM47" s="317"/>
      <c r="AN47" s="317"/>
    </row>
    <row r="48" spans="1:40" x14ac:dyDescent="0.15">
      <c r="A48" s="270" t="str">
        <f>'Tariffs Jul2017'!F42</f>
        <v>Momentum Energy</v>
      </c>
      <c r="B48" s="40" t="str">
        <f>'Tariffs Jul2017'!D42</f>
        <v>Envestra Central 2</v>
      </c>
      <c r="C48" s="40" t="str">
        <f>'Tariffs Jul2017'!G42</f>
        <v>Market offer</v>
      </c>
      <c r="D48" s="59">
        <f>365*'Tariffs Jul2017'!H42/100</f>
        <v>238.63699999999997</v>
      </c>
      <c r="E48" s="59">
        <f>IF($C$5*'Tariffs Jul2017'!AK42/'Tariffs Jul2017'!AI42&gt;='Tariffs Jul2017'!J42,( 'Tariffs Jul2017'!J42*'Tariffs Jul2017'!O42/100)* 'Tariffs Jul2017'!AI42,($C$5*'Tariffs Jul2017'!AK42/'Tariffs Jul2017'!AI42*'Tariffs Jul2017'!O42/100)* 'Tariffs Jul2017'!AI42)</f>
        <v>74.781700000000001</v>
      </c>
      <c r="F48" s="59">
        <f>IF($C$5*'Tariffs Jul2017'!AK42/'Tariffs Jul2017'!AI42&lt;'Tariffs Jul2017'!J42,0,IF($C$5*'Tariffs Jul2017'!AK42/'Tariffs Jul2017'!AI42&lt;='Tariffs Jul2017'!K42,($C$5*'Tariffs Jul2017'!AK42/'Tariffs Jul2017'!AI42-'Tariffs Jul2017'!J42)*('Tariffs Jul2017'!P42/100)*'Tariffs Jul2017'!AI42,('Tariffs Jul2017'!K42-'Tariffs Jul2017'!J42)*('Tariffs Jul2017'!P42/100)*'Tariffs Jul2017'!AI42))</f>
        <v>49.809800000000003</v>
      </c>
      <c r="G48" s="59">
        <f>IF($C$5*'Tariffs Jul2017'!AK42/'Tariffs Jul2017'!AI42&lt;'Tariffs Jul2017'!K42,0,IF($C$5*'Tariffs Jul2017'!AK42/'Tariffs Jul2017'!AI42&lt;='Tariffs Jul2017'!L42,($C$5*'Tariffs Jul2017'!AK42/'Tariffs Jul2017'!AI42-'Tariffs Jul2017'!K42)*('Tariffs Jul2017'!Q42/100)*'Tariffs Jul2017'!AI42,('Tariffs Jul2017'!L42-'Tariffs Jul2017'!K42)*('Tariffs Jul2017'!Q42/100)*'Tariffs Jul2017'!AI42))</f>
        <v>0</v>
      </c>
      <c r="H48" s="59">
        <f>IF($C$5*'Tariffs Jul2017'!AK42/'Tariffs Jul2017'!AI42&lt;'Tariffs Jul2017'!L42,0,IF($C$5*'Tariffs Jul2017'!AK42/'Tariffs Jul2017'!AI42&lt;='Tariffs Jul2017'!M42,($C$5*'Tariffs Jul2017'!AK42/'Tariffs Jul2017'!AI42-'Tariffs Jul2017'!L42)*('Tariffs Jul2017'!R42/100)*'Tariffs Jul2017'!AI42,('Tariffs Jul2017'!M42-'Tariffs Jul2017'!L42)*('Tariffs Jul2017'!R42/100)*'Tariffs Jul2017'!AI42))</f>
        <v>0</v>
      </c>
      <c r="I48" s="59">
        <f>IF(($C$5*'Tariffs Jul2017'!AK42/'Tariffs Jul2017'!AI42&gt;'Tariffs Jul2017'!M42),($C$5*'Tariffs Jul2017'!AK42/'Tariffs Jul2017'!AI42-'Tariffs Jul2017'!M42)*'Tariffs Jul2017'!S42/100*'Tariffs Jul2017'!AI42,0)</f>
        <v>228.86795399999994</v>
      </c>
      <c r="J48" s="59">
        <f>IF($C$5*'Tariffs Jul2017'!AL42/'Tariffs Jul2017'!AJ42&gt;='Tariffs Jul2017'!J42,('Tariffs Jul2017'!J42*'Tariffs Jul2017'!U42/100)* 'Tariffs Jul2017'!AJ42,($C$5*'Tariffs Jul2017'!AL42/'Tariffs Jul2017'!AJ42*'Tariffs Jul2017'!U42/100)* 'Tariffs Jul2017'!AJ42)</f>
        <v>147.3262</v>
      </c>
      <c r="K48" s="59">
        <f>IF($C$5*'Tariffs Jul2017'!AL42/'Tariffs Jul2017'!AJ42&lt;'Tariffs Jul2017'!J42,0,IF($C$5*'Tariffs Jul2017'!AL42/'Tariffs Jul2017'!AJ42&lt;='Tariffs Jul2017'!K42,($C$5*'Tariffs Jul2017'!AL42/'Tariffs Jul2017'!AJ42-'Tariffs Jul2017'!J42)*('Tariffs Jul2017'!V42/100)*'Tariffs Jul2017'!AJ42,('Tariffs Jul2017'!K42-'Tariffs Jul2017'!J42)*('Tariffs Jul2017'!V42/100)*'Tariffs Jul2017'!AJ42))</f>
        <v>97.831000000000003</v>
      </c>
      <c r="L48" s="59">
        <f>IF($C$5*'Tariffs Jul2017'!AL42/'Tariffs Jul2017'!AJ42&lt;'Tariffs Jul2017'!K42,0,IF($C$5*'Tariffs Jul2017'!AL42/'Tariffs Jul2017'!AJ42&lt;='Tariffs Jul2017'!L42,($C$5*'Tariffs Jul2017'!AL42/'Tariffs Jul2017'!AJ42-'Tariffs Jul2017'!K42)*('Tariffs Jul2017'!W42/100)*'Tariffs Jul2017'!AJ42,('Tariffs Jul2017'!L42-'Tariffs Jul2017'!K42)*('Tariffs Jul2017'!W42/100)*'Tariffs Jul2017'!AJ42))</f>
        <v>0</v>
      </c>
      <c r="M48" s="59">
        <f>IF($C$5*'Tariffs Jul2017'!AL42/'Tariffs Jul2017'!AJ42&lt;'Tariffs Jul2017'!L42,0,IF($C$5*'Tariffs Jul2017'!AL42/'Tariffs Jul2017'!AJ42&lt;='Tariffs Jul2017'!M42,($C$5*'Tariffs Jul2017'!AL42/'Tariffs Jul2017'!AJ42-'Tariffs Jul2017'!L42)*('Tariffs Jul2017'!X42/100)*'Tariffs Jul2017'!AJ42,('Tariffs Jul2017'!M42-'Tariffs Jul2017'!L42)*('Tariffs Jul2017'!X42/100)*'Tariffs Jul2017'!AJ42))</f>
        <v>0</v>
      </c>
      <c r="N48" s="59">
        <f>IF(($C$5*'Tariffs Jul2017'!AL42/'Tariffs Jul2017'!AJ42&gt;'Tariffs Jul2017'!M42),($C$5*'Tariffs Jul2017'!AL42/'Tariffs Jul2017'!AJ42-'Tariffs Jul2017'!M42)*'Tariffs Jul2017'!Y42/100*'Tariffs Jul2017'!AJ42,0)</f>
        <v>447.53733599999993</v>
      </c>
      <c r="O48" s="271">
        <f t="shared" si="0"/>
        <v>1046.1539899999998</v>
      </c>
      <c r="P48" s="59">
        <f t="shared" si="1"/>
        <v>1284.7909899999997</v>
      </c>
      <c r="Q48" s="272">
        <f t="shared" si="2"/>
        <v>1413.2700889999999</v>
      </c>
      <c r="R48" s="40">
        <f>'Tariffs Jul2017'!AM42</f>
        <v>0</v>
      </c>
      <c r="S48" s="40">
        <f>'Tariffs Jul2017'!AN42</f>
        <v>0</v>
      </c>
      <c r="T48" s="40">
        <f>'Tariffs Jul2017'!AO42</f>
        <v>0</v>
      </c>
      <c r="U48" s="40">
        <f>'Tariffs Jul2017'!AP42</f>
        <v>0</v>
      </c>
      <c r="V48" s="273">
        <f t="shared" si="3"/>
        <v>1284.7909899999997</v>
      </c>
      <c r="W48" s="273">
        <f>V48</f>
        <v>1284.7909899999997</v>
      </c>
      <c r="X48" s="272">
        <f t="shared" si="4"/>
        <v>1413.2700889999999</v>
      </c>
      <c r="Y48" s="272">
        <f t="shared" si="4"/>
        <v>1413.2700889999999</v>
      </c>
      <c r="Z48" s="274">
        <f>'Tariffs Jul2017'!AW42</f>
        <v>0</v>
      </c>
      <c r="AA48" s="274" t="str">
        <f>'Tariffs Jul2017'!AX42</f>
        <v>n</v>
      </c>
      <c r="AB48" s="275" t="str">
        <f>'Tariffs Jul2017'!BD42</f>
        <v>Y</v>
      </c>
      <c r="AC48" s="317"/>
      <c r="AD48" s="317"/>
      <c r="AE48" s="317"/>
      <c r="AF48" s="317"/>
      <c r="AG48" s="317"/>
      <c r="AH48" s="317"/>
      <c r="AI48" s="317"/>
      <c r="AJ48" s="317"/>
      <c r="AK48" s="317"/>
      <c r="AL48" s="317"/>
      <c r="AM48" s="317"/>
      <c r="AN48" s="317"/>
    </row>
    <row r="49" spans="1:40" x14ac:dyDescent="0.15">
      <c r="A49" s="270" t="str">
        <f>'Tariffs Jul2017'!F43</f>
        <v>Origin Energy</v>
      </c>
      <c r="B49" s="40" t="str">
        <f>'Tariffs Jul2017'!D43</f>
        <v>Envestra Central 2</v>
      </c>
      <c r="C49" s="40" t="str">
        <f>'Tariffs Jul2017'!G43</f>
        <v>Saver</v>
      </c>
      <c r="D49" s="59">
        <f>365*'Tariffs Jul2017'!H43/100</f>
        <v>251.52149999999997</v>
      </c>
      <c r="E49" s="59">
        <f>IF($C$5*'Tariffs Jul2017'!AK43/'Tariffs Jul2017'!AI43&gt;='Tariffs Jul2017'!J43,( 'Tariffs Jul2017'!J43*'Tariffs Jul2017'!O43/100)* 'Tariffs Jul2017'!AI43,($C$5*'Tariffs Jul2017'!AK43/'Tariffs Jul2017'!AI43*'Tariffs Jul2017'!O43/100)* 'Tariffs Jul2017'!AI43)</f>
        <v>171.44</v>
      </c>
      <c r="F49" s="59">
        <f>IF($C$5*'Tariffs Jul2017'!AK43/'Tariffs Jul2017'!AI43&lt;'Tariffs Jul2017'!J43,0,IF($C$5*'Tariffs Jul2017'!AK43/'Tariffs Jul2017'!AI43&lt;='Tariffs Jul2017'!K43,($C$5*'Tariffs Jul2017'!AK43/'Tariffs Jul2017'!AI43-'Tariffs Jul2017'!J43)*('Tariffs Jul2017'!P43/100)*'Tariffs Jul2017'!AI43,('Tariffs Jul2017'!K43-'Tariffs Jul2017'!J43)*('Tariffs Jul2017'!P43/100)*'Tariffs Jul2017'!AI43))</f>
        <v>250.72949099999997</v>
      </c>
      <c r="G49" s="59">
        <f>IF($C$5*'Tariffs Jul2017'!AK43/'Tariffs Jul2017'!AI43&lt;'Tariffs Jul2017'!K43,0,IF($C$5*'Tariffs Jul2017'!AK43/'Tariffs Jul2017'!AI43&lt;='Tariffs Jul2017'!L43,($C$5*'Tariffs Jul2017'!AK43/'Tariffs Jul2017'!AI43-'Tariffs Jul2017'!K43)*('Tariffs Jul2017'!Q43/100)*'Tariffs Jul2017'!AI43,('Tariffs Jul2017'!L43-'Tariffs Jul2017'!K43)*('Tariffs Jul2017'!Q43/100)*'Tariffs Jul2017'!AI43))</f>
        <v>0</v>
      </c>
      <c r="H49" s="59">
        <f>IF($C$5*'Tariffs Jul2017'!AK43/'Tariffs Jul2017'!AI43&lt;'Tariffs Jul2017'!L43,0,IF($C$5*'Tariffs Jul2017'!AK43/'Tariffs Jul2017'!AI43&lt;='Tariffs Jul2017'!M43,($C$5*'Tariffs Jul2017'!AK43/'Tariffs Jul2017'!AI43-'Tariffs Jul2017'!L43)*('Tariffs Jul2017'!R43/100)*'Tariffs Jul2017'!AI43,('Tariffs Jul2017'!M43-'Tariffs Jul2017'!L43)*('Tariffs Jul2017'!R43/100)*'Tariffs Jul2017'!AI43))</f>
        <v>0</v>
      </c>
      <c r="I49" s="59">
        <f>IF(($C$5*'Tariffs Jul2017'!AK43/'Tariffs Jul2017'!AI43&gt;'Tariffs Jul2017'!M43),($C$5*'Tariffs Jul2017'!AK43/'Tariffs Jul2017'!AI43-'Tariffs Jul2017'!M43)*'Tariffs Jul2017'!S43/100*'Tariffs Jul2017'!AI43,0)</f>
        <v>0</v>
      </c>
      <c r="J49" s="59">
        <f>IF($C$5*'Tariffs Jul2017'!AL43/'Tariffs Jul2017'!AJ43&gt;='Tariffs Jul2017'!J43,('Tariffs Jul2017'!J43*'Tariffs Jul2017'!U43/100)* 'Tariffs Jul2017'!AJ43,($C$5*'Tariffs Jul2017'!AL43/'Tariffs Jul2017'!AJ43*'Tariffs Jul2017'!U43/100)* 'Tariffs Jul2017'!AJ43)</f>
        <v>342.88</v>
      </c>
      <c r="K49" s="59">
        <f>IF($C$5*'Tariffs Jul2017'!AL43/'Tariffs Jul2017'!AJ43&lt;'Tariffs Jul2017'!J43,0,IF($C$5*'Tariffs Jul2017'!AL43/'Tariffs Jul2017'!AJ43&lt;='Tariffs Jul2017'!K43,($C$5*'Tariffs Jul2017'!AL43/'Tariffs Jul2017'!AJ43-'Tariffs Jul2017'!J43)*('Tariffs Jul2017'!V43/100)*'Tariffs Jul2017'!AJ43,('Tariffs Jul2017'!K43-'Tariffs Jul2017'!J43)*('Tariffs Jul2017'!V43/100)*'Tariffs Jul2017'!AJ43))</f>
        <v>501.45898199999993</v>
      </c>
      <c r="L49" s="59">
        <f>IF($C$5*'Tariffs Jul2017'!AL43/'Tariffs Jul2017'!AJ43&lt;'Tariffs Jul2017'!K43,0,IF($C$5*'Tariffs Jul2017'!AL43/'Tariffs Jul2017'!AJ43&lt;='Tariffs Jul2017'!L43,($C$5*'Tariffs Jul2017'!AL43/'Tariffs Jul2017'!AJ43-'Tariffs Jul2017'!K43)*('Tariffs Jul2017'!W43/100)*'Tariffs Jul2017'!AJ43,('Tariffs Jul2017'!L43-'Tariffs Jul2017'!K43)*('Tariffs Jul2017'!W43/100)*'Tariffs Jul2017'!AJ43))</f>
        <v>0</v>
      </c>
      <c r="M49" s="59">
        <f>IF($C$5*'Tariffs Jul2017'!AL43/'Tariffs Jul2017'!AJ43&lt;'Tariffs Jul2017'!L43,0,IF($C$5*'Tariffs Jul2017'!AL43/'Tariffs Jul2017'!AJ43&lt;='Tariffs Jul2017'!M43,($C$5*'Tariffs Jul2017'!AL43/'Tariffs Jul2017'!AJ43-'Tariffs Jul2017'!L43)*('Tariffs Jul2017'!X43/100)*'Tariffs Jul2017'!AJ43,('Tariffs Jul2017'!M43-'Tariffs Jul2017'!L43)*('Tariffs Jul2017'!X43/100)*'Tariffs Jul2017'!AJ43))</f>
        <v>0</v>
      </c>
      <c r="N49" s="59">
        <f>IF(($C$5*'Tariffs Jul2017'!AL43/'Tariffs Jul2017'!AJ43&gt;'Tariffs Jul2017'!M43),($C$5*'Tariffs Jul2017'!AL43/'Tariffs Jul2017'!AJ43-'Tariffs Jul2017'!M43)*'Tariffs Jul2017'!Y43/100*'Tariffs Jul2017'!AJ43,0)</f>
        <v>0</v>
      </c>
      <c r="O49" s="271">
        <f t="shared" si="0"/>
        <v>1266.5084729999999</v>
      </c>
      <c r="P49" s="59">
        <f t="shared" si="1"/>
        <v>1518.0299729999999</v>
      </c>
      <c r="Q49" s="272">
        <f t="shared" si="2"/>
        <v>1669.8329702999999</v>
      </c>
      <c r="R49" s="40">
        <f>'Tariffs Jul2017'!AM43</f>
        <v>0</v>
      </c>
      <c r="S49" s="40">
        <f>'Tariffs Jul2017'!AN43</f>
        <v>0</v>
      </c>
      <c r="T49" s="40">
        <f>'Tariffs Jul2017'!AO43</f>
        <v>0</v>
      </c>
      <c r="U49" s="40">
        <f>'Tariffs Jul2017'!AP43</f>
        <v>13</v>
      </c>
      <c r="V49" s="273">
        <f t="shared" si="3"/>
        <v>1518.0299729999999</v>
      </c>
      <c r="W49" s="273">
        <f>V49-(O49*U49/100)</f>
        <v>1353.3838715099998</v>
      </c>
      <c r="X49" s="272">
        <f t="shared" si="4"/>
        <v>1669.8329702999999</v>
      </c>
      <c r="Y49" s="272">
        <f t="shared" si="4"/>
        <v>1488.7222586609998</v>
      </c>
      <c r="Z49" s="274">
        <f>'Tariffs Jul2017'!AW43</f>
        <v>0</v>
      </c>
      <c r="AA49" s="274" t="str">
        <f>'Tariffs Jul2017'!AX43</f>
        <v>n</v>
      </c>
      <c r="AB49" s="275" t="str">
        <f>'Tariffs Jul2017'!BD43</f>
        <v>N</v>
      </c>
      <c r="AC49" s="317"/>
      <c r="AD49" s="317"/>
      <c r="AE49" s="317"/>
      <c r="AF49" s="317"/>
      <c r="AG49" s="317"/>
      <c r="AH49" s="317"/>
      <c r="AI49" s="317"/>
      <c r="AJ49" s="317"/>
      <c r="AK49" s="317"/>
      <c r="AL49" s="317"/>
      <c r="AM49" s="317"/>
      <c r="AN49" s="317"/>
    </row>
    <row r="50" spans="1:40" x14ac:dyDescent="0.15">
      <c r="A50" s="270" t="str">
        <f>'Tariffs Jul2017'!F44</f>
        <v>Red Energy</v>
      </c>
      <c r="B50" s="40" t="str">
        <f>'Tariffs Jul2017'!D44</f>
        <v>Envestra Central 2</v>
      </c>
      <c r="C50" s="40" t="str">
        <f>'Tariffs Jul2017'!G44</f>
        <v>Living Energy Saver</v>
      </c>
      <c r="D50" s="59">
        <f>365*'Tariffs Jul2017'!H44/100</f>
        <v>259.14999999999998</v>
      </c>
      <c r="E50" s="59">
        <f>IF($C$5*'Tariffs Jul2017'!AK44/'Tariffs Jul2017'!AI44&gt;='Tariffs Jul2017'!J44,( 'Tariffs Jul2017'!J44*'Tariffs Jul2017'!O44/100)* 'Tariffs Jul2017'!AI44,($C$5*'Tariffs Jul2017'!AK44/'Tariffs Jul2017'!AI44*'Tariffs Jul2017'!O44/100)* 'Tariffs Jul2017'!AI44)</f>
        <v>130.73999999999998</v>
      </c>
      <c r="F50" s="59">
        <f>IF($C$5*'Tariffs Jul2017'!AK44/'Tariffs Jul2017'!AI44&lt;'Tariffs Jul2017'!J44,0,IF($C$5*'Tariffs Jul2017'!AK44/'Tariffs Jul2017'!AI44&lt;='Tariffs Jul2017'!K44,($C$5*'Tariffs Jul2017'!AK44/'Tariffs Jul2017'!AI44-'Tariffs Jul2017'!J44)*('Tariffs Jul2017'!S44/100)*'Tariffs Jul2017'!AI44,('Tariffs Jul2017'!K44-'Tariffs Jul2017'!J44)*('Tariffs Jul2017'!S44/100)*'Tariffs Jul2017'!AI44))</f>
        <v>0</v>
      </c>
      <c r="G50" s="59">
        <f>IF($C$5*'Tariffs Jul2017'!AK44/'Tariffs Jul2017'!AI44&lt;'Tariffs Jul2017'!K44,0,IF($C$5*'Tariffs Jul2017'!AK44/'Tariffs Jul2017'!AI44&lt;='Tariffs Jul2017'!L44,($C$5*'Tariffs Jul2017'!AK44/'Tariffs Jul2017'!AI44-'Tariffs Jul2017'!K44)*('Tariffs Jul2017'!Q44/100)*'Tariffs Jul2017'!AI44,('Tariffs Jul2017'!L44-'Tariffs Jul2017'!K44)*('Tariffs Jul2017'!Q44/100)*'Tariffs Jul2017'!AI44))</f>
        <v>0</v>
      </c>
      <c r="H50" s="59">
        <f>IF($C$5*'Tariffs Jul2017'!AK44/'Tariffs Jul2017'!AI44&lt;'Tariffs Jul2017'!L44,0,IF($C$5*'Tariffs Jul2017'!AK44/'Tariffs Jul2017'!AI44&lt;='Tariffs Jul2017'!M44,($C$5*'Tariffs Jul2017'!AK44/'Tariffs Jul2017'!AI44-'Tariffs Jul2017'!L44)*('Tariffs Jul2017'!R44/100)*'Tariffs Jul2017'!AI44,('Tariffs Jul2017'!M44-'Tariffs Jul2017'!L44)*('Tariffs Jul2017'!R44/100)*'Tariffs Jul2017'!AI44))</f>
        <v>0</v>
      </c>
      <c r="I50" s="59">
        <f>IF(($C$5*'Tariffs Jul2017'!AK44/'Tariffs Jul2017'!AI44&gt;'Tariffs Jul2017'!M44),($C$5*'Tariffs Jul2017'!AK44/'Tariffs Jul2017'!AI44-'Tariffs Jul2017'!M44)*'Tariffs Jul2017'!S44/100*'Tariffs Jul2017'!AI44,0)</f>
        <v>236.81684099999995</v>
      </c>
      <c r="J50" s="59">
        <f>IF($C$5*'Tariffs Jul2017'!AL44/'Tariffs Jul2017'!AJ44&gt;='Tariffs Jul2017'!J44,('Tariffs Jul2017'!J44*'Tariffs Jul2017'!U44/100)* 'Tariffs Jul2017'!AJ44,($C$5*'Tariffs Jul2017'!AL44/'Tariffs Jul2017'!AJ44*'Tariffs Jul2017'!U44/100)* 'Tariffs Jul2017'!AJ44)</f>
        <v>261.47999999999996</v>
      </c>
      <c r="K50" s="59">
        <f>IF($C$5*'Tariffs Jul2017'!AL44/'Tariffs Jul2017'!AJ44&lt;'Tariffs Jul2017'!J44,0,IF($C$5*'Tariffs Jul2017'!AL44/'Tariffs Jul2017'!AJ44&lt;='Tariffs Jul2017'!K44,($C$5*'Tariffs Jul2017'!AL44/'Tariffs Jul2017'!AJ44-'Tariffs Jul2017'!J44)*('Tariffs Jul2017'!V44/100)*'Tariffs Jul2017'!AJ44,('Tariffs Jul2017'!K44-'Tariffs Jul2017'!J44)*('Tariffs Jul2017'!V44/100)*'Tariffs Jul2017'!AJ44))</f>
        <v>0</v>
      </c>
      <c r="L50" s="59">
        <f>IF($C$5*'Tariffs Jul2017'!AL44/'Tariffs Jul2017'!AJ44&lt;'Tariffs Jul2017'!K44,0,IF($C$5*'Tariffs Jul2017'!AL44/'Tariffs Jul2017'!AJ44&lt;='Tariffs Jul2017'!L44,($C$5*'Tariffs Jul2017'!AL44/'Tariffs Jul2017'!AJ44-'Tariffs Jul2017'!K44)*('Tariffs Jul2017'!W44/100)*'Tariffs Jul2017'!AJ44,('Tariffs Jul2017'!L44-'Tariffs Jul2017'!K44)*('Tariffs Jul2017'!W44/100)*'Tariffs Jul2017'!AJ44))</f>
        <v>0</v>
      </c>
      <c r="M50" s="59">
        <f>IF($C$5*'Tariffs Jul2017'!AL44/'Tariffs Jul2017'!AJ44&lt;'Tariffs Jul2017'!L44,0,IF($C$5*'Tariffs Jul2017'!AL44/'Tariffs Jul2017'!AJ44&lt;='Tariffs Jul2017'!M44,($C$5*'Tariffs Jul2017'!AL44/'Tariffs Jul2017'!AJ44-'Tariffs Jul2017'!L44)*('Tariffs Jul2017'!X44/100)*'Tariffs Jul2017'!AJ44,('Tariffs Jul2017'!M44-'Tariffs Jul2017'!L44)*('Tariffs Jul2017'!X44/100)*'Tariffs Jul2017'!AJ44))</f>
        <v>0</v>
      </c>
      <c r="N50" s="59">
        <f>IF(($C$5*'Tariffs Jul2017'!AL44/'Tariffs Jul2017'!AJ44&gt;'Tariffs Jul2017'!M44),($C$5*'Tariffs Jul2017'!AL44/'Tariffs Jul2017'!AJ44-'Tariffs Jul2017'!M44)*'Tariffs Jul2017'!Y44/100*'Tariffs Jul2017'!AJ44,0)</f>
        <v>473.63368199999991</v>
      </c>
      <c r="O50" s="271">
        <f t="shared" si="0"/>
        <v>1102.6705229999998</v>
      </c>
      <c r="P50" s="59">
        <f t="shared" si="1"/>
        <v>1361.8205229999999</v>
      </c>
      <c r="Q50" s="272">
        <f t="shared" si="2"/>
        <v>1498.0025753</v>
      </c>
      <c r="R50" s="40">
        <f>'Tariffs Jul2017'!AM44</f>
        <v>0</v>
      </c>
      <c r="S50" s="40">
        <f>'Tariffs Jul2017'!AN44</f>
        <v>0</v>
      </c>
      <c r="T50" s="40">
        <f>'Tariffs Jul2017'!AO44</f>
        <v>10</v>
      </c>
      <c r="U50" s="40">
        <f>'Tariffs Jul2017'!AP44</f>
        <v>0</v>
      </c>
      <c r="V50" s="273">
        <f t="shared" si="3"/>
        <v>1361.8205229999999</v>
      </c>
      <c r="W50" s="273">
        <f>V50-(P50*T50/100)</f>
        <v>1225.6384706999997</v>
      </c>
      <c r="X50" s="272">
        <f t="shared" si="4"/>
        <v>1498.0025753</v>
      </c>
      <c r="Y50" s="272">
        <f t="shared" si="4"/>
        <v>1348.2023177699998</v>
      </c>
      <c r="Z50" s="274">
        <f>'Tariffs Jul2017'!AW44</f>
        <v>0</v>
      </c>
      <c r="AA50" s="274" t="str">
        <f>'Tariffs Jul2017'!AX44</f>
        <v>n</v>
      </c>
      <c r="AB50" s="275" t="str">
        <f>'Tariffs Jul2017'!BD44</f>
        <v>Y</v>
      </c>
      <c r="AC50" s="317"/>
      <c r="AD50" s="317"/>
      <c r="AE50" s="317"/>
      <c r="AF50" s="317"/>
      <c r="AG50" s="317"/>
      <c r="AH50" s="317"/>
      <c r="AI50" s="317"/>
      <c r="AJ50" s="317"/>
      <c r="AK50" s="317"/>
      <c r="AL50" s="317"/>
      <c r="AM50" s="317"/>
      <c r="AN50" s="317"/>
    </row>
    <row r="51" spans="1:40" ht="14" thickBot="1" x14ac:dyDescent="0.2">
      <c r="A51" s="276" t="str">
        <f>'Tariffs Jul2017'!F45</f>
        <v>Simply Energy</v>
      </c>
      <c r="B51" s="277" t="str">
        <f>'Tariffs Jul2017'!D45</f>
        <v>Envestra Central 2</v>
      </c>
      <c r="C51" s="277" t="str">
        <f>'Tariffs Jul2017'!G45</f>
        <v>Plus</v>
      </c>
      <c r="D51" s="278">
        <f>365*'Tariffs Jul2017'!H45/100</f>
        <v>263.09199999999998</v>
      </c>
      <c r="E51" s="278">
        <f>IF($C$5*'Tariffs Jul2017'!AK45/'Tariffs Jul2017'!AI45&gt;='Tariffs Jul2017'!J45,( 'Tariffs Jul2017'!J45*'Tariffs Jul2017'!O45/100)* 'Tariffs Jul2017'!AI45,($C$5*'Tariffs Jul2017'!AK45/'Tariffs Jul2017'!AI45*'Tariffs Jul2017'!O45/100)* 'Tariffs Jul2017'!AI45)</f>
        <v>76.98599999999999</v>
      </c>
      <c r="F51" s="278">
        <f>IF($C$5*'Tariffs Jul2017'!AK45/'Tariffs Jul2017'!AI45&lt;'Tariffs Jul2017'!J45,0,IF($C$5*'Tariffs Jul2017'!AK45/'Tariffs Jul2017'!AI45&lt;='Tariffs Jul2017'!K45,($C$5*'Tariffs Jul2017'!AK45/'Tariffs Jul2017'!AI45-'Tariffs Jul2017'!J45)*('Tariffs Jul2017'!P45/100)*'Tariffs Jul2017'!AI45,('Tariffs Jul2017'!K45-'Tariffs Jul2017'!J45)*('Tariffs Jul2017'!P45/100)*'Tariffs Jul2017'!AI45))</f>
        <v>53.386999999999993</v>
      </c>
      <c r="G51" s="278">
        <f>IF($C$5*'Tariffs Jul2017'!AK45/'Tariffs Jul2017'!AI45&lt;'Tariffs Jul2017'!K45,0,IF($C$5*'Tariffs Jul2017'!AK45/'Tariffs Jul2017'!AI45&lt;='Tariffs Jul2017'!L45,($C$5*'Tariffs Jul2017'!AK45/'Tariffs Jul2017'!AI45-'Tariffs Jul2017'!K45)*('Tariffs Jul2017'!Q45/100)*'Tariffs Jul2017'!AI45,('Tariffs Jul2017'!L45-'Tariffs Jul2017'!K45)*('Tariffs Jul2017'!Q45/100)*'Tariffs Jul2017'!AI45))</f>
        <v>0</v>
      </c>
      <c r="H51" s="278">
        <f>IF($C$5*'Tariffs Jul2017'!AK45/'Tariffs Jul2017'!AI45&lt;'Tariffs Jul2017'!L45,0,IF($C$5*'Tariffs Jul2017'!AK45/'Tariffs Jul2017'!AI45&lt;='Tariffs Jul2017'!M45,($C$5*'Tariffs Jul2017'!AK45/'Tariffs Jul2017'!AI45-'Tariffs Jul2017'!L45)*('Tariffs Jul2017'!R45/100)*'Tariffs Jul2017'!AI45,('Tariffs Jul2017'!M45-'Tariffs Jul2017'!L45)*('Tariffs Jul2017'!R45/100)*'Tariffs Jul2017'!AI45))</f>
        <v>0</v>
      </c>
      <c r="I51" s="278">
        <f>IF(($C$5*'Tariffs Jul2017'!AK45/'Tariffs Jul2017'!AI45&gt;'Tariffs Jul2017'!M45),($C$5*'Tariffs Jul2017'!AK45/'Tariffs Jul2017'!AI45-'Tariffs Jul2017'!M45)*'Tariffs Jul2017'!S45/100*'Tariffs Jul2017'!AI45,0)</f>
        <v>247.46534999999997</v>
      </c>
      <c r="J51" s="278">
        <f>IF($C$5*'Tariffs Jul2017'!AL45/'Tariffs Jul2017'!AJ45&gt;='Tariffs Jul2017'!J45,('Tariffs Jul2017'!J45*'Tariffs Jul2017'!U45/100)* 'Tariffs Jul2017'!AJ45,($C$5*'Tariffs Jul2017'!AL45/'Tariffs Jul2017'!AJ45*'Tariffs Jul2017'!U45/100)* 'Tariffs Jul2017'!AJ45)</f>
        <v>153.97199999999998</v>
      </c>
      <c r="K51" s="278">
        <f>IF($C$5*'Tariffs Jul2017'!AL45/'Tariffs Jul2017'!AJ45&lt;'Tariffs Jul2017'!J45,0,IF($C$5*'Tariffs Jul2017'!AL45/'Tariffs Jul2017'!AJ45&lt;='Tariffs Jul2017'!K45,($C$5*'Tariffs Jul2017'!AL45/'Tariffs Jul2017'!AJ45-'Tariffs Jul2017'!J45)*('Tariffs Jul2017'!V45/100)*'Tariffs Jul2017'!AJ45,('Tariffs Jul2017'!K45-'Tariffs Jul2017'!J45)*('Tariffs Jul2017'!V45/100)*'Tariffs Jul2017'!AJ45))</f>
        <v>106.77399999999999</v>
      </c>
      <c r="L51" s="278">
        <f>IF($C$5*'Tariffs Jul2017'!AL45/'Tariffs Jul2017'!AJ45&lt;'Tariffs Jul2017'!K45,0,IF($C$5*'Tariffs Jul2017'!AL45/'Tariffs Jul2017'!AJ45&lt;='Tariffs Jul2017'!L45,($C$5*'Tariffs Jul2017'!AL45/'Tariffs Jul2017'!AJ45-'Tariffs Jul2017'!K45)*('Tariffs Jul2017'!W45/100)*'Tariffs Jul2017'!AJ45,('Tariffs Jul2017'!L45-'Tariffs Jul2017'!K45)*('Tariffs Jul2017'!W45/100)*'Tariffs Jul2017'!AJ45))</f>
        <v>0</v>
      </c>
      <c r="M51" s="278">
        <f>IF($C$5*'Tariffs Jul2017'!AL45/'Tariffs Jul2017'!AJ45&lt;'Tariffs Jul2017'!L45,0,IF($C$5*'Tariffs Jul2017'!AL45/'Tariffs Jul2017'!AJ45&lt;='Tariffs Jul2017'!M45,($C$5*'Tariffs Jul2017'!AL45/'Tariffs Jul2017'!AJ45-'Tariffs Jul2017'!L45)*('Tariffs Jul2017'!X45/100)*'Tariffs Jul2017'!AJ45,('Tariffs Jul2017'!M45-'Tariffs Jul2017'!L45)*('Tariffs Jul2017'!X45/100)*'Tariffs Jul2017'!AJ45))</f>
        <v>0</v>
      </c>
      <c r="N51" s="278">
        <f>IF(($C$5*'Tariffs Jul2017'!AL45/'Tariffs Jul2017'!AJ45&gt;'Tariffs Jul2017'!M45),($C$5*'Tariffs Jul2017'!AL45/'Tariffs Jul2017'!AJ45-'Tariffs Jul2017'!M45)*'Tariffs Jul2017'!Y45/100*'Tariffs Jul2017'!AJ45,0)</f>
        <v>494.93069999999994</v>
      </c>
      <c r="O51" s="279">
        <f t="shared" si="0"/>
        <v>1133.51505</v>
      </c>
      <c r="P51" s="278">
        <f t="shared" si="1"/>
        <v>1396.6070500000001</v>
      </c>
      <c r="Q51" s="280">
        <f t="shared" si="2"/>
        <v>1536.2677550000003</v>
      </c>
      <c r="R51" s="277">
        <f>'Tariffs Jul2017'!AM45</f>
        <v>0</v>
      </c>
      <c r="S51" s="277">
        <f>'Tariffs Jul2017'!AN45</f>
        <v>0</v>
      </c>
      <c r="T51" s="277">
        <f>'Tariffs Jul2017'!AO45</f>
        <v>0</v>
      </c>
      <c r="U51" s="277">
        <f>'Tariffs Jul2017'!AP45</f>
        <v>20</v>
      </c>
      <c r="V51" s="273">
        <f t="shared" si="3"/>
        <v>1396.6070500000001</v>
      </c>
      <c r="W51" s="281">
        <f>V51-(O51*U51/100)</f>
        <v>1169.9040400000001</v>
      </c>
      <c r="X51" s="280">
        <f t="shared" si="4"/>
        <v>1536.2677550000003</v>
      </c>
      <c r="Y51" s="280">
        <f t="shared" si="4"/>
        <v>1286.8944440000002</v>
      </c>
      <c r="Z51" s="282">
        <f>'Tariffs Jul2017'!AW45</f>
        <v>24</v>
      </c>
      <c r="AA51" s="282" t="str">
        <f>'Tariffs Jul2017'!AX45</f>
        <v>n</v>
      </c>
      <c r="AB51" s="283" t="str">
        <f>'Tariffs Jul2017'!BD45</f>
        <v>Y</v>
      </c>
      <c r="AC51" s="317"/>
      <c r="AD51" s="317"/>
      <c r="AE51" s="317"/>
      <c r="AF51" s="317"/>
      <c r="AG51" s="317"/>
      <c r="AH51" s="317"/>
      <c r="AI51" s="317"/>
      <c r="AJ51" s="317"/>
      <c r="AK51" s="317"/>
      <c r="AL51" s="317"/>
      <c r="AM51" s="317"/>
      <c r="AN51" s="317"/>
    </row>
    <row r="52" spans="1:40" ht="14" thickTop="1" x14ac:dyDescent="0.15">
      <c r="A52" s="270" t="str">
        <f>'Tariffs Jul2017'!F46</f>
        <v>AGL</v>
      </c>
      <c r="B52" s="40" t="str">
        <f>'Tariffs Jul2017'!D46</f>
        <v>Envestra Central 1</v>
      </c>
      <c r="C52" s="40" t="str">
        <f>'Tariffs Jul2017'!G46</f>
        <v>Savers</v>
      </c>
      <c r="D52" s="59">
        <f>365*'Tariffs Jul2017'!H46/100</f>
        <v>268.53050000000002</v>
      </c>
      <c r="E52" s="59">
        <f>IF($C$5*'Tariffs Jul2017'!AK46/'Tariffs Jul2017'!AI46&gt;='Tariffs Jul2017'!J46,( 'Tariffs Jul2017'!J46*'Tariffs Jul2017'!O46/100)* 'Tariffs Jul2017'!AI46,($C$5*'Tariffs Jul2017'!AK46/'Tariffs Jul2017'!AI46*'Tariffs Jul2017'!O46/100)* 'Tariffs Jul2017'!AI46)</f>
        <v>80.2102</v>
      </c>
      <c r="F52" s="59">
        <f>IF($C$5*'Tariffs Jul2017'!AK46/'Tariffs Jul2017'!AI46&lt;'Tariffs Jul2017'!J46,0,IF($C$5*'Tariffs Jul2017'!AK46/'Tariffs Jul2017'!AI46&lt;='Tariffs Jul2017'!K46,($C$5*'Tariffs Jul2017'!AK46/'Tariffs Jul2017'!AI46-'Tariffs Jul2017'!J46)*('Tariffs Jul2017'!P46/100)*'Tariffs Jul2017'!AI46,('Tariffs Jul2017'!K46-'Tariffs Jul2017'!J46)*('Tariffs Jul2017'!P46/100)*'Tariffs Jul2017'!AI46))</f>
        <v>56.557700000000011</v>
      </c>
      <c r="G52" s="59">
        <f>IF($C$5*'Tariffs Jul2017'!AK46/'Tariffs Jul2017'!AI46&lt;'Tariffs Jul2017'!K46,0,IF($C$5*'Tariffs Jul2017'!AK46/'Tariffs Jul2017'!AI46&lt;='Tariffs Jul2017'!L46,($C$5*'Tariffs Jul2017'!AK46/'Tariffs Jul2017'!AI46-'Tariffs Jul2017'!K46)*('Tariffs Jul2017'!Q46/100)*'Tariffs Jul2017'!AI46,('Tariffs Jul2017'!L46-'Tariffs Jul2017'!K46)*('Tariffs Jul2017'!Q46/100)*'Tariffs Jul2017'!AI46))</f>
        <v>0</v>
      </c>
      <c r="H52" s="59">
        <f>IF($C$5*'Tariffs Jul2017'!AK46/'Tariffs Jul2017'!AI46&lt;'Tariffs Jul2017'!L46,0,IF($C$5*'Tariffs Jul2017'!AK46/'Tariffs Jul2017'!AI46&lt;='Tariffs Jul2017'!M46,($C$5*'Tariffs Jul2017'!AK46/'Tariffs Jul2017'!AI46-'Tariffs Jul2017'!L46)*('Tariffs Jul2017'!R46/100)*'Tariffs Jul2017'!AI46,('Tariffs Jul2017'!M46-'Tariffs Jul2017'!L46)*('Tariffs Jul2017'!R46/100)*'Tariffs Jul2017'!AI46))</f>
        <v>0</v>
      </c>
      <c r="I52" s="59">
        <f>IF(($C$5*'Tariffs Jul2017'!AK46/'Tariffs Jul2017'!AI46&gt;'Tariffs Jul2017'!M46),($C$5*'Tariffs Jul2017'!AK46/'Tariffs Jul2017'!AI46-'Tariffs Jul2017'!M46)*'Tariffs Jul2017'!S46/100*'Tariffs Jul2017'!AI46,0)</f>
        <v>249.11511899999996</v>
      </c>
      <c r="J52" s="59">
        <f>IF($C$5*'Tariffs Jul2017'!AL46/'Tariffs Jul2017'!AJ46&gt;='Tariffs Jul2017'!J46,('Tariffs Jul2017'!J46*'Tariffs Jul2017'!U46/100)* 'Tariffs Jul2017'!AJ46,($C$5*'Tariffs Jul2017'!AL46/'Tariffs Jul2017'!AJ46*'Tariffs Jul2017'!U46/100)* 'Tariffs Jul2017'!AJ46)</f>
        <v>160.4204</v>
      </c>
      <c r="K52" s="59">
        <f>IF($C$5*'Tariffs Jul2017'!AL46/'Tariffs Jul2017'!AJ46&lt;'Tariffs Jul2017'!J46,0,IF($C$5*'Tariffs Jul2017'!AL46/'Tariffs Jul2017'!AJ46&lt;='Tariffs Jul2017'!K46,($C$5*'Tariffs Jul2017'!AL46/'Tariffs Jul2017'!AJ46-'Tariffs Jul2017'!J46)*('Tariffs Jul2017'!V46/100)*'Tariffs Jul2017'!AJ46,('Tariffs Jul2017'!K46-'Tariffs Jul2017'!J46)*('Tariffs Jul2017'!V46/100)*'Tariffs Jul2017'!AJ46))</f>
        <v>113.11540000000002</v>
      </c>
      <c r="L52" s="59">
        <f>IF($C$5*'Tariffs Jul2017'!AL46/'Tariffs Jul2017'!AJ46&lt;'Tariffs Jul2017'!K46,0,IF($C$5*'Tariffs Jul2017'!AL46/'Tariffs Jul2017'!AJ46&lt;='Tariffs Jul2017'!L46,($C$5*'Tariffs Jul2017'!AL46/'Tariffs Jul2017'!AJ46-'Tariffs Jul2017'!K46)*('Tariffs Jul2017'!W46/100)*'Tariffs Jul2017'!AJ46,('Tariffs Jul2017'!L46-'Tariffs Jul2017'!K46)*('Tariffs Jul2017'!W46/100)*'Tariffs Jul2017'!AJ46))</f>
        <v>0</v>
      </c>
      <c r="M52" s="59">
        <f>IF($C$5*'Tariffs Jul2017'!AL46/'Tariffs Jul2017'!AJ46&lt;'Tariffs Jul2017'!L46,0,IF($C$5*'Tariffs Jul2017'!AL46/'Tariffs Jul2017'!AJ46&lt;='Tariffs Jul2017'!M46,($C$5*'Tariffs Jul2017'!AL46/'Tariffs Jul2017'!AJ46-'Tariffs Jul2017'!L46)*('Tariffs Jul2017'!X46/100)*'Tariffs Jul2017'!AJ46,('Tariffs Jul2017'!M46-'Tariffs Jul2017'!L46)*('Tariffs Jul2017'!X46/100)*'Tariffs Jul2017'!AJ46))</f>
        <v>0</v>
      </c>
      <c r="N52" s="59">
        <f>IF(($C$5*'Tariffs Jul2017'!AL46/'Tariffs Jul2017'!AJ46&gt;'Tariffs Jul2017'!M46),($C$5*'Tariffs Jul2017'!AL46/'Tariffs Jul2017'!AJ46-'Tariffs Jul2017'!M46)*'Tariffs Jul2017'!Y46/100*'Tariffs Jul2017'!AJ46,0)</f>
        <v>498.23023799999993</v>
      </c>
      <c r="O52" s="271">
        <f t="shared" si="0"/>
        <v>1157.6490569999999</v>
      </c>
      <c r="P52" s="59">
        <f t="shared" si="1"/>
        <v>1426.1795569999999</v>
      </c>
      <c r="Q52" s="272">
        <f t="shared" si="2"/>
        <v>1568.7975127</v>
      </c>
      <c r="R52" s="40">
        <f>'Tariffs Jul2017'!AM46</f>
        <v>0</v>
      </c>
      <c r="S52" s="40">
        <f>'Tariffs Jul2017'!AN46</f>
        <v>0</v>
      </c>
      <c r="T52" s="40">
        <f>'Tariffs Jul2017'!AO46</f>
        <v>0</v>
      </c>
      <c r="U52" s="40">
        <f>'Tariffs Jul2017'!AP46</f>
        <v>15</v>
      </c>
      <c r="V52" s="273">
        <f t="shared" si="3"/>
        <v>1426.1795569999999</v>
      </c>
      <c r="W52" s="273">
        <f>V52-(O52*U52/100)</f>
        <v>1252.5321984499999</v>
      </c>
      <c r="X52" s="272">
        <f t="shared" si="4"/>
        <v>1568.7975127</v>
      </c>
      <c r="Y52" s="272">
        <f t="shared" si="4"/>
        <v>1377.785418295</v>
      </c>
      <c r="Z52" s="274">
        <f>'Tariffs Jul2017'!AW46</f>
        <v>0</v>
      </c>
      <c r="AA52" s="274" t="str">
        <f>'Tariffs Jul2017'!AX46</f>
        <v>n</v>
      </c>
      <c r="AB52" s="275" t="str">
        <f>'Tariffs Jul2017'!BD46</f>
        <v>N</v>
      </c>
      <c r="AC52" s="317"/>
      <c r="AD52" s="317"/>
      <c r="AE52" s="317"/>
      <c r="AF52" s="317"/>
      <c r="AG52" s="317"/>
      <c r="AH52" s="317"/>
      <c r="AI52" s="317"/>
      <c r="AJ52" s="317"/>
      <c r="AK52" s="317"/>
      <c r="AL52" s="317"/>
      <c r="AM52" s="317"/>
      <c r="AN52" s="317"/>
    </row>
    <row r="53" spans="1:40" x14ac:dyDescent="0.15">
      <c r="A53" s="270" t="str">
        <f>'Tariffs Jul2017'!F47</f>
        <v>Alinta Energy</v>
      </c>
      <c r="B53" s="40" t="str">
        <f>'Tariffs Jul2017'!D47</f>
        <v>Envestra Central 1</v>
      </c>
      <c r="C53" s="40" t="str">
        <f>'Tariffs Jul2017'!G47</f>
        <v>Fair Deal</v>
      </c>
      <c r="D53" s="59">
        <f>365*'Tariffs Jul2017'!H47/100</f>
        <v>255.3905</v>
      </c>
      <c r="E53" s="59">
        <f>IF($C$5*'Tariffs Jul2017'!AK47/'Tariffs Jul2017'!AI47&gt;='Tariffs Jul2017'!J47,( 'Tariffs Jul2017'!J47*'Tariffs Jul2017'!O47/100)* 'Tariffs Jul2017'!AI47,($C$5*'Tariffs Jul2017'!AK47/'Tariffs Jul2017'!AI47*'Tariffs Jul2017'!O47/100)* 'Tariffs Jul2017'!AI47)</f>
        <v>81.591999999999999</v>
      </c>
      <c r="F53" s="59">
        <f>IF($C$5*'Tariffs Jul2017'!AK47/'Tariffs Jul2017'!AI47&lt;'Tariffs Jul2017'!J47,0,IF($C$5*'Tariffs Jul2017'!AK47/'Tariffs Jul2017'!AI47&lt;='Tariffs Jul2017'!K47,($C$5*'Tariffs Jul2017'!AK47/'Tariffs Jul2017'!AI47-'Tariffs Jul2017'!J47)*('Tariffs Jul2017'!P47/100)*'Tariffs Jul2017'!AI47,('Tariffs Jul2017'!K47-'Tariffs Jul2017'!J47)*('Tariffs Jul2017'!P47/100)*'Tariffs Jul2017'!AI47))</f>
        <v>57.451999999999998</v>
      </c>
      <c r="G53" s="59">
        <f>IF($C$5*'Tariffs Jul2017'!AK47/'Tariffs Jul2017'!AI47&lt;'Tariffs Jul2017'!K47,0,IF($C$5*'Tariffs Jul2017'!AK47/'Tariffs Jul2017'!AI47&lt;='Tariffs Jul2017'!L47,($C$5*'Tariffs Jul2017'!AK47/'Tariffs Jul2017'!AI47-'Tariffs Jul2017'!K47)*('Tariffs Jul2017'!Q47/100)*'Tariffs Jul2017'!AI47,('Tariffs Jul2017'!L47-'Tariffs Jul2017'!K47)*('Tariffs Jul2017'!Q47/100)*'Tariffs Jul2017'!AI47))</f>
        <v>0</v>
      </c>
      <c r="H53" s="59">
        <f>IF($C$5*'Tariffs Jul2017'!AK47/'Tariffs Jul2017'!AI47&lt;'Tariffs Jul2017'!L47,0,IF($C$5*'Tariffs Jul2017'!AK47/'Tariffs Jul2017'!AI47&lt;='Tariffs Jul2017'!M47,($C$5*'Tariffs Jul2017'!AK47/'Tariffs Jul2017'!AI47-'Tariffs Jul2017'!L47)*('Tariffs Jul2017'!R47/100)*'Tariffs Jul2017'!AI47,('Tariffs Jul2017'!M47-'Tariffs Jul2017'!L47)*('Tariffs Jul2017'!R47/100)*'Tariffs Jul2017'!AI47))</f>
        <v>0</v>
      </c>
      <c r="I53" s="59">
        <f>IF(($C$5*'Tariffs Jul2017'!AK47/'Tariffs Jul2017'!AI47&gt;'Tariffs Jul2017'!M47),($C$5*'Tariffs Jul2017'!AK47/'Tariffs Jul2017'!AI47-'Tariffs Jul2017'!M47)*'Tariffs Jul2017'!S47/100*'Tariffs Jul2017'!AI47,0)</f>
        <v>250.46492999999995</v>
      </c>
      <c r="J53" s="59">
        <f>IF($C$5*'Tariffs Jul2017'!AL47/'Tariffs Jul2017'!AJ47&gt;='Tariffs Jul2017'!J47,('Tariffs Jul2017'!J47*'Tariffs Jul2017'!U47/100)* 'Tariffs Jul2017'!AJ47,($C$5*'Tariffs Jul2017'!AL47/'Tariffs Jul2017'!AJ47*'Tariffs Jul2017'!U47/100)* 'Tariffs Jul2017'!AJ47)</f>
        <v>163.184</v>
      </c>
      <c r="K53" s="59">
        <f>IF($C$5*'Tariffs Jul2017'!AL47/'Tariffs Jul2017'!AJ47&lt;'Tariffs Jul2017'!J47,0,IF($C$5*'Tariffs Jul2017'!AL47/'Tariffs Jul2017'!AJ47&lt;='Tariffs Jul2017'!K47,($C$5*'Tariffs Jul2017'!AL47/'Tariffs Jul2017'!AJ47-'Tariffs Jul2017'!J47)*('Tariffs Jul2017'!V47/100)*'Tariffs Jul2017'!AJ47,('Tariffs Jul2017'!K47-'Tariffs Jul2017'!J47)*('Tariffs Jul2017'!V47/100)*'Tariffs Jul2017'!AJ47))</f>
        <v>114.904</v>
      </c>
      <c r="L53" s="59">
        <f>IF($C$5*'Tariffs Jul2017'!AL47/'Tariffs Jul2017'!AJ47&lt;'Tariffs Jul2017'!K47,0,IF($C$5*'Tariffs Jul2017'!AL47/'Tariffs Jul2017'!AJ47&lt;='Tariffs Jul2017'!L47,($C$5*'Tariffs Jul2017'!AL47/'Tariffs Jul2017'!AJ47-'Tariffs Jul2017'!K47)*('Tariffs Jul2017'!W47/100)*'Tariffs Jul2017'!AJ47,('Tariffs Jul2017'!L47-'Tariffs Jul2017'!K47)*('Tariffs Jul2017'!W47/100)*'Tariffs Jul2017'!AJ47))</f>
        <v>0</v>
      </c>
      <c r="M53" s="59">
        <f>IF($C$5*'Tariffs Jul2017'!AL47/'Tariffs Jul2017'!AJ47&lt;'Tariffs Jul2017'!L47,0,IF($C$5*'Tariffs Jul2017'!AL47/'Tariffs Jul2017'!AJ47&lt;='Tariffs Jul2017'!M47,($C$5*'Tariffs Jul2017'!AL47/'Tariffs Jul2017'!AJ47-'Tariffs Jul2017'!L47)*('Tariffs Jul2017'!X47/100)*'Tariffs Jul2017'!AJ47,('Tariffs Jul2017'!M47-'Tariffs Jul2017'!L47)*('Tariffs Jul2017'!X47/100)*'Tariffs Jul2017'!AJ47))</f>
        <v>0</v>
      </c>
      <c r="N53" s="59">
        <f>IF(($C$5*'Tariffs Jul2017'!AL47/'Tariffs Jul2017'!AJ47&gt;'Tariffs Jul2017'!M47),($C$5*'Tariffs Jul2017'!AL47/'Tariffs Jul2017'!AJ47-'Tariffs Jul2017'!M47)*'Tariffs Jul2017'!Y47/100*'Tariffs Jul2017'!AJ47,0)</f>
        <v>500.92985999999991</v>
      </c>
      <c r="O53" s="271">
        <f t="shared" si="0"/>
        <v>1168.5267899999999</v>
      </c>
      <c r="P53" s="59">
        <f t="shared" si="1"/>
        <v>1423.9172899999999</v>
      </c>
      <c r="Q53" s="272">
        <f t="shared" si="2"/>
        <v>1566.309019</v>
      </c>
      <c r="R53" s="40">
        <f>'Tariffs Jul2017'!AM47</f>
        <v>0</v>
      </c>
      <c r="S53" s="40">
        <f>'Tariffs Jul2017'!AN47</f>
        <v>0</v>
      </c>
      <c r="T53" s="40">
        <f>'Tariffs Jul2017'!AO47</f>
        <v>0</v>
      </c>
      <c r="U53" s="40">
        <f>'Tariffs Jul2017'!AP47</f>
        <v>25</v>
      </c>
      <c r="V53" s="273">
        <f t="shared" si="3"/>
        <v>1423.9172899999999</v>
      </c>
      <c r="W53" s="273">
        <f>V53-(O53*U53/100)</f>
        <v>1131.7855924999999</v>
      </c>
      <c r="X53" s="272">
        <f t="shared" si="4"/>
        <v>1566.309019</v>
      </c>
      <c r="Y53" s="272">
        <f t="shared" si="4"/>
        <v>1244.9641517499999</v>
      </c>
      <c r="Z53" s="274">
        <f>'Tariffs Jul2017'!AW47</f>
        <v>0</v>
      </c>
      <c r="AA53" s="274" t="str">
        <f>'Tariffs Jul2017'!AX47</f>
        <v>n</v>
      </c>
      <c r="AB53" s="275" t="str">
        <f>'Tariffs Jul2017'!BD47</f>
        <v>N</v>
      </c>
      <c r="AC53" s="317"/>
      <c r="AD53" s="317"/>
      <c r="AE53" s="317"/>
      <c r="AF53" s="317"/>
      <c r="AG53" s="317"/>
      <c r="AH53" s="317"/>
      <c r="AI53" s="317"/>
      <c r="AJ53" s="317"/>
      <c r="AK53" s="317"/>
      <c r="AL53" s="317"/>
      <c r="AM53" s="317"/>
      <c r="AN53" s="317"/>
    </row>
    <row r="54" spans="1:40" x14ac:dyDescent="0.15">
      <c r="A54" s="270" t="str">
        <f>'Tariffs Jul2017'!F48</f>
        <v>Click Energy</v>
      </c>
      <c r="B54" s="40" t="str">
        <f>'Tariffs Jul2017'!D48</f>
        <v>Envestra Central 1</v>
      </c>
      <c r="C54" s="40" t="str">
        <f>'Tariffs Jul2017'!G48</f>
        <v>Amber</v>
      </c>
      <c r="D54" s="59">
        <f>365*'Tariffs Jul2017'!H48/100</f>
        <v>292.73</v>
      </c>
      <c r="E54" s="59">
        <f>IF($C$5*'Tariffs Jul2017'!AK48/'Tariffs Jul2017'!AI48&gt;='Tariffs Jul2017'!J48,( 'Tariffs Jul2017'!J48*'Tariffs Jul2017'!O48/100)* 'Tariffs Jul2017'!AI48,($C$5*'Tariffs Jul2017'!AK48/'Tariffs Jul2017'!AI48*'Tariffs Jul2017'!O48/100)* 'Tariffs Jul2017'!AI48)</f>
        <v>97.055000000000007</v>
      </c>
      <c r="F54" s="59">
        <f>IF($C$5*'Tariffs Jul2017'!AK48/'Tariffs Jul2017'!AI48&lt;'Tariffs Jul2017'!J48,0,IF($C$5*'Tariffs Jul2017'!AK48/'Tariffs Jul2017'!AI48&lt;='Tariffs Jul2017'!K48,($C$5*'Tariffs Jul2017'!AK48/'Tariffs Jul2017'!AI48-'Tariffs Jul2017'!J48)*('Tariffs Jul2017'!P48/100)*'Tariffs Jul2017'!AI48,('Tariffs Jul2017'!K48-'Tariffs Jul2017'!J48)*('Tariffs Jul2017'!P48/100)*'Tariffs Jul2017'!AI48))</f>
        <v>65.040000000000006</v>
      </c>
      <c r="G54" s="59">
        <f>IF($C$5*'Tariffs Jul2017'!AK48/'Tariffs Jul2017'!AI48&lt;'Tariffs Jul2017'!K48,0,IF($C$5*'Tariffs Jul2017'!AK48/'Tariffs Jul2017'!AI48&lt;='Tariffs Jul2017'!L48,($C$5*'Tariffs Jul2017'!AK48/'Tariffs Jul2017'!AI48-'Tariffs Jul2017'!K48)*('Tariffs Jul2017'!Q48/100)*'Tariffs Jul2017'!AI48,('Tariffs Jul2017'!L48-'Tariffs Jul2017'!K48)*('Tariffs Jul2017'!Q48/100)*'Tariffs Jul2017'!AI48))</f>
        <v>0</v>
      </c>
      <c r="H54" s="59">
        <f>IF($C$5*'Tariffs Jul2017'!AK48/'Tariffs Jul2017'!AI48&lt;'Tariffs Jul2017'!L48,0,IF($C$5*'Tariffs Jul2017'!AK48/'Tariffs Jul2017'!AI48&lt;='Tariffs Jul2017'!M48,($C$5*'Tariffs Jul2017'!AK48/'Tariffs Jul2017'!AI48-'Tariffs Jul2017'!L48)*('Tariffs Jul2017'!R48/100)*'Tariffs Jul2017'!AI48,('Tariffs Jul2017'!M48-'Tariffs Jul2017'!L48)*('Tariffs Jul2017'!R48/100)*'Tariffs Jul2017'!AI48))</f>
        <v>0</v>
      </c>
      <c r="I54" s="59">
        <f>IF(($C$5*'Tariffs Jul2017'!AK48/'Tariffs Jul2017'!AI48&gt;'Tariffs Jul2017'!M48),($C$5*'Tariffs Jul2017'!AK48/'Tariffs Jul2017'!AI48-'Tariffs Jul2017'!M48)*'Tariffs Jul2017'!S48/100*'Tariffs Jul2017'!AI48,0)</f>
        <v>284.96009999999995</v>
      </c>
      <c r="J54" s="59">
        <f>IF($C$5*'Tariffs Jul2017'!AL48/'Tariffs Jul2017'!AJ48&gt;='Tariffs Jul2017'!J48,('Tariffs Jul2017'!J48*'Tariffs Jul2017'!U48/100)* 'Tariffs Jul2017'!AJ48,($C$5*'Tariffs Jul2017'!AL48/'Tariffs Jul2017'!AJ48*'Tariffs Jul2017'!U48/100)* 'Tariffs Jul2017'!AJ48)</f>
        <v>194.11</v>
      </c>
      <c r="K54" s="59">
        <f>IF($C$5*'Tariffs Jul2017'!AL48/'Tariffs Jul2017'!AJ48&lt;'Tariffs Jul2017'!J48,0,IF($C$5*'Tariffs Jul2017'!AL48/'Tariffs Jul2017'!AJ48&lt;='Tariffs Jul2017'!K48,($C$5*'Tariffs Jul2017'!AL48/'Tariffs Jul2017'!AJ48-'Tariffs Jul2017'!J48)*('Tariffs Jul2017'!V48/100)*'Tariffs Jul2017'!AJ48,('Tariffs Jul2017'!K48-'Tariffs Jul2017'!J48)*('Tariffs Jul2017'!V48/100)*'Tariffs Jul2017'!AJ48))</f>
        <v>130.08000000000001</v>
      </c>
      <c r="L54" s="59">
        <f>IF($C$5*'Tariffs Jul2017'!AL48/'Tariffs Jul2017'!AJ48&lt;'Tariffs Jul2017'!K48,0,IF($C$5*'Tariffs Jul2017'!AL48/'Tariffs Jul2017'!AJ48&lt;='Tariffs Jul2017'!L48,($C$5*'Tariffs Jul2017'!AL48/'Tariffs Jul2017'!AJ48-'Tariffs Jul2017'!K48)*('Tariffs Jul2017'!W48/100)*'Tariffs Jul2017'!AJ48,('Tariffs Jul2017'!L48-'Tariffs Jul2017'!K48)*('Tariffs Jul2017'!W48/100)*'Tariffs Jul2017'!AJ48))</f>
        <v>0</v>
      </c>
      <c r="M54" s="59">
        <f>IF($C$5*'Tariffs Jul2017'!AL48/'Tariffs Jul2017'!AJ48&lt;'Tariffs Jul2017'!L48,0,IF($C$5*'Tariffs Jul2017'!AL48/'Tariffs Jul2017'!AJ48&lt;='Tariffs Jul2017'!M48,($C$5*'Tariffs Jul2017'!AL48/'Tariffs Jul2017'!AJ48-'Tariffs Jul2017'!L48)*('Tariffs Jul2017'!X48/100)*'Tariffs Jul2017'!AJ48,('Tariffs Jul2017'!M48-'Tariffs Jul2017'!L48)*('Tariffs Jul2017'!X48/100)*'Tariffs Jul2017'!AJ48))</f>
        <v>0</v>
      </c>
      <c r="N54" s="59">
        <f>IF(($C$5*'Tariffs Jul2017'!AL48/'Tariffs Jul2017'!AJ48&gt;'Tariffs Jul2017'!M48),($C$5*'Tariffs Jul2017'!AL48/'Tariffs Jul2017'!AJ48-'Tariffs Jul2017'!M48)*'Tariffs Jul2017'!Y48/100*'Tariffs Jul2017'!AJ48,0)</f>
        <v>569.92019999999991</v>
      </c>
      <c r="O54" s="271">
        <f t="shared" si="0"/>
        <v>1341.1652999999999</v>
      </c>
      <c r="P54" s="59">
        <f t="shared" si="1"/>
        <v>1633.8952999999999</v>
      </c>
      <c r="Q54" s="272">
        <f t="shared" si="2"/>
        <v>1797.2848300000001</v>
      </c>
      <c r="R54" s="40">
        <f>'Tariffs Jul2017'!AM48</f>
        <v>0</v>
      </c>
      <c r="S54" s="40">
        <f>'Tariffs Jul2017'!AN48</f>
        <v>0</v>
      </c>
      <c r="T54" s="40">
        <f>'Tariffs Jul2017'!AO48</f>
        <v>14</v>
      </c>
      <c r="U54" s="40">
        <f>'Tariffs Jul2017'!AP48</f>
        <v>0</v>
      </c>
      <c r="V54" s="273">
        <f t="shared" si="3"/>
        <v>1633.8952999999999</v>
      </c>
      <c r="W54" s="273">
        <f>V54-(P54*T54/100)</f>
        <v>1405.149958</v>
      </c>
      <c r="X54" s="272">
        <f t="shared" si="4"/>
        <v>1797.2848300000001</v>
      </c>
      <c r="Y54" s="272">
        <f t="shared" si="4"/>
        <v>1545.6649538000001</v>
      </c>
      <c r="Z54" s="274">
        <f>'Tariffs Jul2017'!AW48</f>
        <v>0</v>
      </c>
      <c r="AA54" s="274" t="str">
        <f>'Tariffs Jul2017'!AX48</f>
        <v>n</v>
      </c>
      <c r="AB54" s="275" t="str">
        <f>'Tariffs Jul2017'!BD48</f>
        <v>N</v>
      </c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</row>
    <row r="55" spans="1:40" x14ac:dyDescent="0.15">
      <c r="A55" s="270" t="str">
        <f>'Tariffs Jul2017'!F49</f>
        <v>Covau</v>
      </c>
      <c r="B55" s="40" t="str">
        <f>'Tariffs Jul2017'!D49</f>
        <v>Envestra Central 1</v>
      </c>
      <c r="C55" s="40" t="str">
        <f>'Tariffs Jul2017'!G49</f>
        <v>Market offer</v>
      </c>
      <c r="D55" s="59">
        <f>365*'Tariffs Jul2017'!H49/100</f>
        <v>251.85</v>
      </c>
      <c r="E55" s="59">
        <f>IF($C$5*'Tariffs Jul2017'!AK49/'Tariffs Jul2017'!AI49&gt;='Tariffs Jul2017'!J49,( 'Tariffs Jul2017'!J49*'Tariffs Jul2017'!O49/100)* 'Tariffs Jul2017'!AI49,($C$5*'Tariffs Jul2017'!AK49/'Tariffs Jul2017'!AI49*'Tariffs Jul2017'!O49/100)* 'Tariffs Jul2017'!AI49)</f>
        <v>114.16300000000001</v>
      </c>
      <c r="F55" s="59">
        <f>IF($C$5*'Tariffs Jul2017'!AK49/'Tariffs Jul2017'!AI49&lt;'Tariffs Jul2017'!J49,0,IF($C$5*'Tariffs Jul2017'!AK49/'Tariffs Jul2017'!AI49&lt;='Tariffs Jul2017'!K49,($C$5*'Tariffs Jul2017'!AK49/'Tariffs Jul2017'!AI49-'Tariffs Jul2017'!J49)*('Tariffs Jul2017'!P49/100)*'Tariffs Jul2017'!AI49,('Tariffs Jul2017'!K49-'Tariffs Jul2017'!J49)*('Tariffs Jul2017'!P49/100)*'Tariffs Jul2017'!AI49))</f>
        <v>78.319000000000003</v>
      </c>
      <c r="G55" s="59">
        <f>IF($C$5*'Tariffs Jul2017'!AK49/'Tariffs Jul2017'!AI49&lt;'Tariffs Jul2017'!K49,0,IF($C$5*'Tariffs Jul2017'!AK49/'Tariffs Jul2017'!AI49&lt;='Tariffs Jul2017'!L49,($C$5*'Tariffs Jul2017'!AK49/'Tariffs Jul2017'!AI49-'Tariffs Jul2017'!K49)*('Tariffs Jul2017'!Q49/100)*'Tariffs Jul2017'!AI49,('Tariffs Jul2017'!L49-'Tariffs Jul2017'!K49)*('Tariffs Jul2017'!Q49/100)*'Tariffs Jul2017'!AI49))</f>
        <v>0</v>
      </c>
      <c r="H55" s="59">
        <f>IF($C$5*'Tariffs Jul2017'!AK49/'Tariffs Jul2017'!AI49&lt;'Tariffs Jul2017'!L49,0,IF($C$5*'Tariffs Jul2017'!AK49/'Tariffs Jul2017'!AI49&lt;='Tariffs Jul2017'!M49,($C$5*'Tariffs Jul2017'!AK49/'Tariffs Jul2017'!AI49-'Tariffs Jul2017'!L49)*('Tariffs Jul2017'!R49/100)*'Tariffs Jul2017'!AI49,('Tariffs Jul2017'!M49-'Tariffs Jul2017'!L49)*('Tariffs Jul2017'!R49/100)*'Tariffs Jul2017'!AI49))</f>
        <v>0</v>
      </c>
      <c r="I55" s="59">
        <f>IF(($C$5*'Tariffs Jul2017'!AK49/'Tariffs Jul2017'!AI49&gt;'Tariffs Jul2017'!M49),($C$5*'Tariffs Jul2017'!AK49/'Tariffs Jul2017'!AI49-'Tariffs Jul2017'!M49)*'Tariffs Jul2017'!S49/100*'Tariffs Jul2017'!AI49,0)</f>
        <v>341.95211999999992</v>
      </c>
      <c r="J55" s="59">
        <f>IF($C$5*'Tariffs Jul2017'!AL49/'Tariffs Jul2017'!AJ49&gt;='Tariffs Jul2017'!J49,('Tariffs Jul2017'!J49*'Tariffs Jul2017'!U49/100)* 'Tariffs Jul2017'!AJ49,($C$5*'Tariffs Jul2017'!AL49/'Tariffs Jul2017'!AJ49*'Tariffs Jul2017'!U49/100)* 'Tariffs Jul2017'!AJ49)</f>
        <v>228.32600000000002</v>
      </c>
      <c r="K55" s="59">
        <f>IF($C$5*'Tariffs Jul2017'!AL49/'Tariffs Jul2017'!AJ49&lt;'Tariffs Jul2017'!J49,0,IF($C$5*'Tariffs Jul2017'!AL49/'Tariffs Jul2017'!AJ49&lt;='Tariffs Jul2017'!K49,($C$5*'Tariffs Jul2017'!AL49/'Tariffs Jul2017'!AJ49-'Tariffs Jul2017'!J49)*('Tariffs Jul2017'!V49/100)*'Tariffs Jul2017'!AJ49,('Tariffs Jul2017'!K49-'Tariffs Jul2017'!J49)*('Tariffs Jul2017'!V49/100)*'Tariffs Jul2017'!AJ49))</f>
        <v>156.63800000000001</v>
      </c>
      <c r="L55" s="59">
        <f>IF($C$5*'Tariffs Jul2017'!AL49/'Tariffs Jul2017'!AJ49&lt;'Tariffs Jul2017'!K49,0,IF($C$5*'Tariffs Jul2017'!AL49/'Tariffs Jul2017'!AJ49&lt;='Tariffs Jul2017'!L49,($C$5*'Tariffs Jul2017'!AL49/'Tariffs Jul2017'!AJ49-'Tariffs Jul2017'!K49)*('Tariffs Jul2017'!W49/100)*'Tariffs Jul2017'!AJ49,('Tariffs Jul2017'!L49-'Tariffs Jul2017'!K49)*('Tariffs Jul2017'!W49/100)*'Tariffs Jul2017'!AJ49))</f>
        <v>0</v>
      </c>
      <c r="M55" s="59">
        <f>IF($C$5*'Tariffs Jul2017'!AL49/'Tariffs Jul2017'!AJ49&lt;'Tariffs Jul2017'!L49,0,IF($C$5*'Tariffs Jul2017'!AL49/'Tariffs Jul2017'!AJ49&lt;='Tariffs Jul2017'!M49,($C$5*'Tariffs Jul2017'!AL49/'Tariffs Jul2017'!AJ49-'Tariffs Jul2017'!L49)*('Tariffs Jul2017'!X49/100)*'Tariffs Jul2017'!AJ49,('Tariffs Jul2017'!M49-'Tariffs Jul2017'!L49)*('Tariffs Jul2017'!X49/100)*'Tariffs Jul2017'!AJ49))</f>
        <v>0</v>
      </c>
      <c r="N55" s="59">
        <f>IF(($C$5*'Tariffs Jul2017'!AL49/'Tariffs Jul2017'!AJ49&gt;'Tariffs Jul2017'!M49),($C$5*'Tariffs Jul2017'!AL49/'Tariffs Jul2017'!AJ49-'Tariffs Jul2017'!M49)*'Tariffs Jul2017'!Y49/100*'Tariffs Jul2017'!AJ49,0)</f>
        <v>683.90423999999985</v>
      </c>
      <c r="O55" s="271">
        <f t="shared" si="0"/>
        <v>1603.3023599999997</v>
      </c>
      <c r="P55" s="59">
        <f t="shared" si="1"/>
        <v>1855.1523599999996</v>
      </c>
      <c r="Q55" s="272">
        <f t="shared" si="2"/>
        <v>2040.6675959999998</v>
      </c>
      <c r="R55" s="40">
        <f>'Tariffs Jul2017'!AM49</f>
        <v>0</v>
      </c>
      <c r="S55" s="40">
        <f>'Tariffs Jul2017'!AN49</f>
        <v>0</v>
      </c>
      <c r="T55" s="40">
        <f>'Tariffs Jul2017'!AO49</f>
        <v>0</v>
      </c>
      <c r="U55" s="40">
        <f>'Tariffs Jul2017'!AP49</f>
        <v>16</v>
      </c>
      <c r="V55" s="273">
        <f t="shared" si="3"/>
        <v>1855.1523599999996</v>
      </c>
      <c r="W55" s="273">
        <f>V55-(O55*U55/100)</f>
        <v>1598.6239823999997</v>
      </c>
      <c r="X55" s="272">
        <f t="shared" si="4"/>
        <v>2040.6675959999998</v>
      </c>
      <c r="Y55" s="272">
        <f t="shared" si="4"/>
        <v>1758.4863806399999</v>
      </c>
      <c r="Z55" s="274">
        <f>'Tariffs Jul2017'!AW49</f>
        <v>12</v>
      </c>
      <c r="AA55" s="274" t="str">
        <f>'Tariffs Jul2017'!AX49</f>
        <v>y</v>
      </c>
      <c r="AB55" s="275" t="str">
        <f>'Tariffs Jul2017'!BD49</f>
        <v>N</v>
      </c>
      <c r="AC55" s="317"/>
      <c r="AD55" s="317"/>
      <c r="AE55" s="317"/>
      <c r="AF55" s="317"/>
      <c r="AG55" s="317"/>
      <c r="AH55" s="317"/>
      <c r="AI55" s="317"/>
      <c r="AJ55" s="317"/>
      <c r="AK55" s="317"/>
      <c r="AL55" s="317"/>
      <c r="AM55" s="317"/>
      <c r="AN55" s="317"/>
    </row>
    <row r="56" spans="1:40" x14ac:dyDescent="0.15">
      <c r="A56" s="270" t="str">
        <f>'Tariffs Jul2017'!F50</f>
        <v>Dodo Power &amp; Gas</v>
      </c>
      <c r="B56" s="40" t="str">
        <f>'Tariffs Jul2017'!D50</f>
        <v>Envestra Central 1</v>
      </c>
      <c r="C56" s="40" t="str">
        <f>'Tariffs Jul2017'!G50</f>
        <v>Market offer</v>
      </c>
      <c r="D56" s="59">
        <f>365*'Tariffs Jul2017'!H50/100</f>
        <v>247.47</v>
      </c>
      <c r="E56" s="59">
        <f>IF($C$5*'Tariffs Jul2017'!AK50/'Tariffs Jul2017'!AI50&gt;='Tariffs Jul2017'!J50,( 'Tariffs Jul2017'!J50*'Tariffs Jul2017'!O50/100)* 'Tariffs Jul2017'!AI50,($C$5*'Tariffs Jul2017'!AK50/'Tariffs Jul2017'!AI50*'Tariffs Jul2017'!O50/100)* 'Tariffs Jul2017'!AI50)</f>
        <v>176.8</v>
      </c>
      <c r="F56" s="59">
        <f>IF($C$5*'Tariffs Jul2017'!AK50/'Tariffs Jul2017'!AI50&lt;'Tariffs Jul2017'!J50,0,IF($C$5*'Tariffs Jul2017'!AK50/'Tariffs Jul2017'!AI50&lt;='Tariffs Jul2017'!K50,($C$5*'Tariffs Jul2017'!AK50/'Tariffs Jul2017'!AI50-'Tariffs Jul2017'!J50)*('Tariffs Jul2017'!P50/100)*'Tariffs Jul2017'!AI50,('Tariffs Jul2017'!K50-'Tariffs Jul2017'!J50)*('Tariffs Jul2017'!P50/100)*'Tariffs Jul2017'!AI50))</f>
        <v>235.26198999999997</v>
      </c>
      <c r="G56" s="59">
        <f>IF($C$5*'Tariffs Jul2017'!AK50/'Tariffs Jul2017'!AI50&lt;'Tariffs Jul2017'!K50,0,IF($C$5*'Tariffs Jul2017'!AK50/'Tariffs Jul2017'!AI50&lt;='Tariffs Jul2017'!L50,($C$5*'Tariffs Jul2017'!AK50/'Tariffs Jul2017'!AI50-'Tariffs Jul2017'!K50)*('Tariffs Jul2017'!Q50/100)*'Tariffs Jul2017'!AI50,('Tariffs Jul2017'!L50-'Tariffs Jul2017'!K50)*('Tariffs Jul2017'!Q50/100)*'Tariffs Jul2017'!AI50))</f>
        <v>0</v>
      </c>
      <c r="H56" s="59">
        <f>IF($C$5*'Tariffs Jul2017'!AK50/'Tariffs Jul2017'!AI50&lt;'Tariffs Jul2017'!L50,0,IF($C$5*'Tariffs Jul2017'!AK50/'Tariffs Jul2017'!AI50&lt;='Tariffs Jul2017'!M50,($C$5*'Tariffs Jul2017'!AK50/'Tariffs Jul2017'!AI50-'Tariffs Jul2017'!L50)*('Tariffs Jul2017'!R50/100)*'Tariffs Jul2017'!AI50,('Tariffs Jul2017'!M50-'Tariffs Jul2017'!L50)*('Tariffs Jul2017'!R50/100)*'Tariffs Jul2017'!AI50))</f>
        <v>0</v>
      </c>
      <c r="I56" s="59">
        <f>IF(($C$5*'Tariffs Jul2017'!AK50/'Tariffs Jul2017'!AI50&gt;'Tariffs Jul2017'!M50),($C$5*'Tariffs Jul2017'!AK50/'Tariffs Jul2017'!AI50-'Tariffs Jul2017'!M50)*'Tariffs Jul2017'!S50/100*'Tariffs Jul2017'!AI50,0)</f>
        <v>0</v>
      </c>
      <c r="J56" s="59">
        <f>IF($C$5*'Tariffs Jul2017'!AL50/'Tariffs Jul2017'!AJ50&gt;='Tariffs Jul2017'!J50,('Tariffs Jul2017'!J50*'Tariffs Jul2017'!U50/100)* 'Tariffs Jul2017'!AJ50,($C$5*'Tariffs Jul2017'!AL50/'Tariffs Jul2017'!AJ50*'Tariffs Jul2017'!U50/100)* 'Tariffs Jul2017'!AJ50)</f>
        <v>353.6</v>
      </c>
      <c r="K56" s="59">
        <f>IF($C$5*'Tariffs Jul2017'!AL50/'Tariffs Jul2017'!AJ50&lt;'Tariffs Jul2017'!J50,0,IF($C$5*'Tariffs Jul2017'!AL50/'Tariffs Jul2017'!AJ50&lt;='Tariffs Jul2017'!K50,($C$5*'Tariffs Jul2017'!AL50/'Tariffs Jul2017'!AJ50-'Tariffs Jul2017'!J50)*('Tariffs Jul2017'!V50/100)*'Tariffs Jul2017'!AJ50,('Tariffs Jul2017'!K50-'Tariffs Jul2017'!J50)*('Tariffs Jul2017'!V50/100)*'Tariffs Jul2017'!AJ50))</f>
        <v>470.52397999999994</v>
      </c>
      <c r="L56" s="59">
        <f>IF($C$5*'Tariffs Jul2017'!AL50/'Tariffs Jul2017'!AJ50&lt;'Tariffs Jul2017'!K50,0,IF($C$5*'Tariffs Jul2017'!AL50/'Tariffs Jul2017'!AJ50&lt;='Tariffs Jul2017'!L50,($C$5*'Tariffs Jul2017'!AL50/'Tariffs Jul2017'!AJ50-'Tariffs Jul2017'!K50)*('Tariffs Jul2017'!W50/100)*'Tariffs Jul2017'!AJ50,('Tariffs Jul2017'!L50-'Tariffs Jul2017'!K50)*('Tariffs Jul2017'!W50/100)*'Tariffs Jul2017'!AJ50))</f>
        <v>0</v>
      </c>
      <c r="M56" s="59">
        <f>IF($C$5*'Tariffs Jul2017'!AL50/'Tariffs Jul2017'!AJ50&lt;'Tariffs Jul2017'!L50,0,IF($C$5*'Tariffs Jul2017'!AL50/'Tariffs Jul2017'!AJ50&lt;='Tariffs Jul2017'!M50,($C$5*'Tariffs Jul2017'!AL50/'Tariffs Jul2017'!AJ50-'Tariffs Jul2017'!L50)*('Tariffs Jul2017'!X50/100)*'Tariffs Jul2017'!AJ50,('Tariffs Jul2017'!M50-'Tariffs Jul2017'!L50)*('Tariffs Jul2017'!X50/100)*'Tariffs Jul2017'!AJ50))</f>
        <v>0</v>
      </c>
      <c r="N56" s="59">
        <f>IF(($C$5*'Tariffs Jul2017'!AL50/'Tariffs Jul2017'!AJ50&gt;'Tariffs Jul2017'!M50),($C$5*'Tariffs Jul2017'!AL50/'Tariffs Jul2017'!AJ50-'Tariffs Jul2017'!M50)*'Tariffs Jul2017'!Y50/100*'Tariffs Jul2017'!AJ50,0)</f>
        <v>0</v>
      </c>
      <c r="O56" s="271">
        <f t="shared" si="0"/>
        <v>1236.18597</v>
      </c>
      <c r="P56" s="59">
        <f t="shared" si="1"/>
        <v>1483.65597</v>
      </c>
      <c r="Q56" s="272">
        <f t="shared" si="2"/>
        <v>1632.0215670000002</v>
      </c>
      <c r="R56" s="40">
        <f>'Tariffs Jul2017'!AM50</f>
        <v>0</v>
      </c>
      <c r="S56" s="40">
        <f>'Tariffs Jul2017'!AN50</f>
        <v>0</v>
      </c>
      <c r="T56" s="40">
        <f>'Tariffs Jul2017'!AO50</f>
        <v>0</v>
      </c>
      <c r="U56" s="40">
        <f>'Tariffs Jul2017'!AP50</f>
        <v>0</v>
      </c>
      <c r="V56" s="273">
        <f t="shared" si="3"/>
        <v>1483.65597</v>
      </c>
      <c r="W56" s="273">
        <f>V56-(O56*U56/100)</f>
        <v>1483.65597</v>
      </c>
      <c r="X56" s="272">
        <f t="shared" si="4"/>
        <v>1632.0215670000002</v>
      </c>
      <c r="Y56" s="272">
        <f t="shared" si="4"/>
        <v>1632.0215670000002</v>
      </c>
      <c r="Z56" s="274">
        <f>'Tariffs Jul2017'!AW50</f>
        <v>0</v>
      </c>
      <c r="AA56" s="274" t="str">
        <f>'Tariffs Jul2017'!AX50</f>
        <v>n</v>
      </c>
      <c r="AB56" s="275" t="str">
        <f>'Tariffs Jul2017'!BD50</f>
        <v>Y</v>
      </c>
      <c r="AC56" s="317"/>
      <c r="AD56" s="317"/>
      <c r="AE56" s="317"/>
      <c r="AF56" s="317"/>
      <c r="AG56" s="317"/>
      <c r="AH56" s="317"/>
      <c r="AI56" s="317"/>
      <c r="AJ56" s="317"/>
      <c r="AK56" s="317"/>
      <c r="AL56" s="317"/>
      <c r="AM56" s="317"/>
      <c r="AN56" s="317"/>
    </row>
    <row r="57" spans="1:40" x14ac:dyDescent="0.15">
      <c r="A57" s="270" t="str">
        <f>'Tariffs Jul2017'!F51</f>
        <v>EnergyAustralia</v>
      </c>
      <c r="B57" s="40" t="str">
        <f>'Tariffs Jul2017'!D51</f>
        <v>Envestra Central 1</v>
      </c>
      <c r="C57" s="40" t="str">
        <f>'Tariffs Jul2017'!G51</f>
        <v xml:space="preserve">Flexi Saver </v>
      </c>
      <c r="D57" s="59">
        <f>365*'Tariffs Jul2017'!H51/100</f>
        <v>268.27499999999998</v>
      </c>
      <c r="E57" s="59">
        <f>IF($C$5*'Tariffs Jul2017'!AK51/'Tariffs Jul2017'!AI51&gt;='Tariffs Jul2017'!J51,( 'Tariffs Jul2017'!J51*'Tariffs Jul2017'!O51/100)* 'Tariffs Jul2017'!AI51,($C$5*'Tariffs Jul2017'!AK51/'Tariffs Jul2017'!AI51*'Tariffs Jul2017'!O51/100)* 'Tariffs Jul2017'!AI51)</f>
        <v>92.777999999999992</v>
      </c>
      <c r="F57" s="59">
        <f>IF($C$5*'Tariffs Jul2017'!AK51/'Tariffs Jul2017'!AI51&lt;'Tariffs Jul2017'!J51,0,IF($C$5*'Tariffs Jul2017'!AK51/'Tariffs Jul2017'!AI51&lt;='Tariffs Jul2017'!K51,($C$5*'Tariffs Jul2017'!AK51/'Tariffs Jul2017'!AI51-'Tariffs Jul2017'!J51)*('Tariffs Jul2017'!P51/100)*'Tariffs Jul2017'!AI51,('Tariffs Jul2017'!K51-'Tariffs Jul2017'!J51)*('Tariffs Jul2017'!P51/100)*'Tariffs Jul2017'!AI51))</f>
        <v>58.807000000000002</v>
      </c>
      <c r="G57" s="59">
        <f>IF($C$5*'Tariffs Jul2017'!AK51/'Tariffs Jul2017'!AI51&lt;'Tariffs Jul2017'!K51,0,IF($C$5*'Tariffs Jul2017'!AK51/'Tariffs Jul2017'!AI51&lt;='Tariffs Jul2017'!L51,($C$5*'Tariffs Jul2017'!AK51/'Tariffs Jul2017'!AI51-'Tariffs Jul2017'!K51)*('Tariffs Jul2017'!Q51/100)*'Tariffs Jul2017'!AI51,('Tariffs Jul2017'!L51-'Tariffs Jul2017'!K51)*('Tariffs Jul2017'!Q51/100)*'Tariffs Jul2017'!AI51))</f>
        <v>0</v>
      </c>
      <c r="H57" s="59">
        <f>IF($C$5*'Tariffs Jul2017'!AK51/'Tariffs Jul2017'!AI51&lt;'Tariffs Jul2017'!L51,0,IF($C$5*'Tariffs Jul2017'!AK51/'Tariffs Jul2017'!AI51&lt;='Tariffs Jul2017'!M51,($C$5*'Tariffs Jul2017'!AK51/'Tariffs Jul2017'!AI51-'Tariffs Jul2017'!L51)*('Tariffs Jul2017'!R51/100)*'Tariffs Jul2017'!AI51,('Tariffs Jul2017'!M51-'Tariffs Jul2017'!L51)*('Tariffs Jul2017'!R51/100)*'Tariffs Jul2017'!AI51))</f>
        <v>0</v>
      </c>
      <c r="I57" s="59">
        <f>IF(($C$5*'Tariffs Jul2017'!AK51/'Tariffs Jul2017'!AI51&gt;'Tariffs Jul2017'!M51),($C$5*'Tariffs Jul2017'!AK51/'Tariffs Jul2017'!AI51-'Tariffs Jul2017'!M51)*'Tariffs Jul2017'!S51/100*'Tariffs Jul2017'!AI51,0)</f>
        <v>254.96429999999998</v>
      </c>
      <c r="J57" s="59">
        <f>IF($C$5*'Tariffs Jul2017'!AL51/'Tariffs Jul2017'!AJ51&gt;='Tariffs Jul2017'!J51,('Tariffs Jul2017'!J51*'Tariffs Jul2017'!U51/100)* 'Tariffs Jul2017'!AJ51,($C$5*'Tariffs Jul2017'!AL51/'Tariffs Jul2017'!AJ51*'Tariffs Jul2017'!U51/100)* 'Tariffs Jul2017'!AJ51)</f>
        <v>185.55599999999998</v>
      </c>
      <c r="K57" s="59">
        <f>IF($C$5*'Tariffs Jul2017'!AL51/'Tariffs Jul2017'!AJ51&lt;'Tariffs Jul2017'!J51,0,IF($C$5*'Tariffs Jul2017'!AL51/'Tariffs Jul2017'!AJ51&lt;='Tariffs Jul2017'!K51,($C$5*'Tariffs Jul2017'!AL51/'Tariffs Jul2017'!AJ51-'Tariffs Jul2017'!J51)*('Tariffs Jul2017'!V51/100)*'Tariffs Jul2017'!AJ51,('Tariffs Jul2017'!K51-'Tariffs Jul2017'!J51)*('Tariffs Jul2017'!V51/100)*'Tariffs Jul2017'!AJ51))</f>
        <v>117.614</v>
      </c>
      <c r="L57" s="59">
        <f>IF($C$5*'Tariffs Jul2017'!AL51/'Tariffs Jul2017'!AJ51&lt;'Tariffs Jul2017'!K51,0,IF($C$5*'Tariffs Jul2017'!AL51/'Tariffs Jul2017'!AJ51&lt;='Tariffs Jul2017'!L51,($C$5*'Tariffs Jul2017'!AL51/'Tariffs Jul2017'!AJ51-'Tariffs Jul2017'!K51)*('Tariffs Jul2017'!W51/100)*'Tariffs Jul2017'!AJ51,('Tariffs Jul2017'!L51-'Tariffs Jul2017'!K51)*('Tariffs Jul2017'!W51/100)*'Tariffs Jul2017'!AJ51))</f>
        <v>0</v>
      </c>
      <c r="M57" s="59">
        <f>IF($C$5*'Tariffs Jul2017'!AL51/'Tariffs Jul2017'!AJ51&lt;'Tariffs Jul2017'!L51,0,IF($C$5*'Tariffs Jul2017'!AL51/'Tariffs Jul2017'!AJ51&lt;='Tariffs Jul2017'!M51,($C$5*'Tariffs Jul2017'!AL51/'Tariffs Jul2017'!AJ51-'Tariffs Jul2017'!L51)*('Tariffs Jul2017'!X51/100)*'Tariffs Jul2017'!AJ51,('Tariffs Jul2017'!M51-'Tariffs Jul2017'!L51)*('Tariffs Jul2017'!X51/100)*'Tariffs Jul2017'!AJ51))</f>
        <v>0</v>
      </c>
      <c r="N57" s="59">
        <f>IF(($C$5*'Tariffs Jul2017'!AL51/'Tariffs Jul2017'!AJ51&gt;'Tariffs Jul2017'!M51),($C$5*'Tariffs Jul2017'!AL51/'Tariffs Jul2017'!AJ51-'Tariffs Jul2017'!M51)*'Tariffs Jul2017'!Y51/100*'Tariffs Jul2017'!AJ51,0)</f>
        <v>509.92859999999996</v>
      </c>
      <c r="O57" s="271">
        <f t="shared" si="0"/>
        <v>1219.6478999999999</v>
      </c>
      <c r="P57" s="59">
        <f t="shared" si="1"/>
        <v>1487.9229</v>
      </c>
      <c r="Q57" s="272">
        <f t="shared" si="2"/>
        <v>1636.7151900000001</v>
      </c>
      <c r="R57" s="40">
        <f>'Tariffs Jul2017'!AM51</f>
        <v>0</v>
      </c>
      <c r="S57" s="40">
        <f>'Tariffs Jul2017'!AN51</f>
        <v>0</v>
      </c>
      <c r="T57" s="40">
        <f>'Tariffs Jul2017'!AO51</f>
        <v>0</v>
      </c>
      <c r="U57" s="40">
        <f>'Tariffs Jul2017'!AP51</f>
        <v>20</v>
      </c>
      <c r="V57" s="273">
        <f t="shared" si="3"/>
        <v>1487.9229</v>
      </c>
      <c r="W57" s="273">
        <f>V57-(O57*U57/100)</f>
        <v>1243.99332</v>
      </c>
      <c r="X57" s="272">
        <f t="shared" si="4"/>
        <v>1636.7151900000001</v>
      </c>
      <c r="Y57" s="272">
        <f t="shared" si="4"/>
        <v>1368.3926520000002</v>
      </c>
      <c r="Z57" s="274">
        <f>'Tariffs Jul2017'!AW51</f>
        <v>0</v>
      </c>
      <c r="AA57" s="274" t="str">
        <f>'Tariffs Jul2017'!AX51</f>
        <v>n</v>
      </c>
      <c r="AB57" s="275" t="str">
        <f>'Tariffs Jul2017'!BD51</f>
        <v>N</v>
      </c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</row>
    <row r="58" spans="1:40" x14ac:dyDescent="0.15">
      <c r="A58" s="270" t="str">
        <f>'Tariffs Jul2017'!F52</f>
        <v>Lumo Energy</v>
      </c>
      <c r="B58" s="40" t="str">
        <f>'Tariffs Jul2017'!D52</f>
        <v>Envestra Central 1</v>
      </c>
      <c r="C58" s="40" t="str">
        <f>'Tariffs Jul2017'!G52</f>
        <v>Advantage</v>
      </c>
      <c r="D58" s="59">
        <f>365*'Tariffs Jul2017'!H52/100</f>
        <v>240.24299999999999</v>
      </c>
      <c r="E58" s="59">
        <f>IF($C$5*'Tariffs Jul2017'!AK52/'Tariffs Jul2017'!AI52&gt;='Tariffs Jul2017'!J52,( 'Tariffs Jul2017'!J52*'Tariffs Jul2017'!O52/100)* 'Tariffs Jul2017'!AI52,($C$5*'Tariffs Jul2017'!AK52/'Tariffs Jul2017'!AI52*'Tariffs Jul2017'!O52/100)* 'Tariffs Jul2017'!AI52)</f>
        <v>89.488000000000014</v>
      </c>
      <c r="F58" s="59">
        <f>IF($C$5*'Tariffs Jul2017'!AK52/'Tariffs Jul2017'!AI52&lt;'Tariffs Jul2017'!J52,0,IF($C$5*'Tariffs Jul2017'!AK52/'Tariffs Jul2017'!AI52&lt;='Tariffs Jul2017'!K52,($C$5*'Tariffs Jul2017'!AK52/'Tariffs Jul2017'!AI52-'Tariffs Jul2017'!J52)*('Tariffs Jul2017'!P52/100)*'Tariffs Jul2017'!AI52,('Tariffs Jul2017'!K52-'Tariffs Jul2017'!J52)*('Tariffs Jul2017'!P52/100)*'Tariffs Jul2017'!AI52))</f>
        <v>58.807000000000002</v>
      </c>
      <c r="G58" s="59">
        <f>IF($C$5*'Tariffs Jul2017'!AK52/'Tariffs Jul2017'!AI52&lt;'Tariffs Jul2017'!K52,0,IF($C$5*'Tariffs Jul2017'!AK52/'Tariffs Jul2017'!AI52&lt;='Tariffs Jul2017'!L52,($C$5*'Tariffs Jul2017'!AK52/'Tariffs Jul2017'!AI52-'Tariffs Jul2017'!K52)*('Tariffs Jul2017'!Q52/100)*'Tariffs Jul2017'!AI52,('Tariffs Jul2017'!L52-'Tariffs Jul2017'!K52)*('Tariffs Jul2017'!Q52/100)*'Tariffs Jul2017'!AI52))</f>
        <v>0</v>
      </c>
      <c r="H58" s="59">
        <f>IF($C$5*'Tariffs Jul2017'!AK52/'Tariffs Jul2017'!AI52&lt;'Tariffs Jul2017'!L52,0,IF($C$5*'Tariffs Jul2017'!AK52/'Tariffs Jul2017'!AI52&lt;='Tariffs Jul2017'!M52,($C$5*'Tariffs Jul2017'!AK52/'Tariffs Jul2017'!AI52-'Tariffs Jul2017'!L52)*('Tariffs Jul2017'!R52/100)*'Tariffs Jul2017'!AI52,('Tariffs Jul2017'!M52-'Tariffs Jul2017'!L52)*('Tariffs Jul2017'!R52/100)*'Tariffs Jul2017'!AI52))</f>
        <v>0</v>
      </c>
      <c r="I58" s="59">
        <f>IF(($C$5*'Tariffs Jul2017'!AK52/'Tariffs Jul2017'!AI52&gt;'Tariffs Jul2017'!M52),($C$5*'Tariffs Jul2017'!AK52/'Tariffs Jul2017'!AI52-'Tariffs Jul2017'!M52)*'Tariffs Jul2017'!S52/100*'Tariffs Jul2017'!AI52,0)</f>
        <v>263.96303999999998</v>
      </c>
      <c r="J58" s="59">
        <f>IF($C$5*'Tariffs Jul2017'!AL52/'Tariffs Jul2017'!AJ52&gt;='Tariffs Jul2017'!J52,('Tariffs Jul2017'!J52*'Tariffs Jul2017'!U52/100)* 'Tariffs Jul2017'!AJ52,($C$5*'Tariffs Jul2017'!AL52/'Tariffs Jul2017'!AJ52*'Tariffs Jul2017'!U52/100)* 'Tariffs Jul2017'!AJ52)</f>
        <v>178.97600000000003</v>
      </c>
      <c r="K58" s="59">
        <f>IF($C$5*'Tariffs Jul2017'!AL52/'Tariffs Jul2017'!AJ52&lt;'Tariffs Jul2017'!J52,0,IF($C$5*'Tariffs Jul2017'!AL52/'Tariffs Jul2017'!AJ52&lt;='Tariffs Jul2017'!K52,($C$5*'Tariffs Jul2017'!AL52/'Tariffs Jul2017'!AJ52-'Tariffs Jul2017'!J52)*('Tariffs Jul2017'!V52/100)*'Tariffs Jul2017'!AJ52,('Tariffs Jul2017'!K52-'Tariffs Jul2017'!J52)*('Tariffs Jul2017'!V52/100)*'Tariffs Jul2017'!AJ52))</f>
        <v>117.614</v>
      </c>
      <c r="L58" s="59">
        <f>IF($C$5*'Tariffs Jul2017'!AL52/'Tariffs Jul2017'!AJ52&lt;'Tariffs Jul2017'!K52,0,IF($C$5*'Tariffs Jul2017'!AL52/'Tariffs Jul2017'!AJ52&lt;='Tariffs Jul2017'!L52,($C$5*'Tariffs Jul2017'!AL52/'Tariffs Jul2017'!AJ52-'Tariffs Jul2017'!K52)*('Tariffs Jul2017'!W52/100)*'Tariffs Jul2017'!AJ52,('Tariffs Jul2017'!L52-'Tariffs Jul2017'!K52)*('Tariffs Jul2017'!W52/100)*'Tariffs Jul2017'!AJ52))</f>
        <v>0</v>
      </c>
      <c r="M58" s="59">
        <f>IF($C$5*'Tariffs Jul2017'!AL52/'Tariffs Jul2017'!AJ52&lt;'Tariffs Jul2017'!L52,0,IF($C$5*'Tariffs Jul2017'!AL52/'Tariffs Jul2017'!AJ52&lt;='Tariffs Jul2017'!M52,($C$5*'Tariffs Jul2017'!AL52/'Tariffs Jul2017'!AJ52-'Tariffs Jul2017'!L52)*('Tariffs Jul2017'!X52/100)*'Tariffs Jul2017'!AJ52,('Tariffs Jul2017'!M52-'Tariffs Jul2017'!L52)*('Tariffs Jul2017'!X52/100)*'Tariffs Jul2017'!AJ52))</f>
        <v>0</v>
      </c>
      <c r="N58" s="59">
        <f>IF(($C$5*'Tariffs Jul2017'!AL52/'Tariffs Jul2017'!AJ52&gt;'Tariffs Jul2017'!M52),($C$5*'Tariffs Jul2017'!AL52/'Tariffs Jul2017'!AJ52-'Tariffs Jul2017'!M52)*'Tariffs Jul2017'!Y52/100*'Tariffs Jul2017'!AJ52,0)</f>
        <v>527.92607999999996</v>
      </c>
      <c r="O58" s="271">
        <f t="shared" si="0"/>
        <v>1236.77412</v>
      </c>
      <c r="P58" s="59">
        <f t="shared" si="1"/>
        <v>1477.01712</v>
      </c>
      <c r="Q58" s="272">
        <f t="shared" si="2"/>
        <v>1624.718832</v>
      </c>
      <c r="R58" s="40">
        <f>'Tariffs Jul2017'!AM52</f>
        <v>0</v>
      </c>
      <c r="S58" s="40">
        <f>'Tariffs Jul2017'!AN52</f>
        <v>0</v>
      </c>
      <c r="T58" s="40">
        <f>'Tariffs Jul2017'!AO52</f>
        <v>15</v>
      </c>
      <c r="U58" s="40">
        <f>'Tariffs Jul2017'!AP52</f>
        <v>0</v>
      </c>
      <c r="V58" s="273">
        <f t="shared" si="3"/>
        <v>1477.01712</v>
      </c>
      <c r="W58" s="273">
        <f>V58-(P58*T58/100)</f>
        <v>1255.4645519999999</v>
      </c>
      <c r="X58" s="272">
        <f t="shared" si="4"/>
        <v>1624.718832</v>
      </c>
      <c r="Y58" s="272">
        <f t="shared" si="4"/>
        <v>1381.0110072</v>
      </c>
      <c r="Z58" s="274">
        <f>'Tariffs Jul2017'!AW52</f>
        <v>0</v>
      </c>
      <c r="AA58" s="274" t="str">
        <f>'Tariffs Jul2017'!AX52</f>
        <v>n</v>
      </c>
      <c r="AB58" s="275" t="str">
        <f>'Tariffs Jul2017'!BD52</f>
        <v>N</v>
      </c>
      <c r="AC58" s="317"/>
      <c r="AD58" s="317"/>
      <c r="AE58" s="317"/>
      <c r="AF58" s="317"/>
      <c r="AG58" s="317"/>
      <c r="AH58" s="317"/>
      <c r="AI58" s="317"/>
      <c r="AJ58" s="317"/>
      <c r="AK58" s="317"/>
      <c r="AL58" s="317"/>
      <c r="AM58" s="317"/>
      <c r="AN58" s="317"/>
    </row>
    <row r="59" spans="1:40" x14ac:dyDescent="0.15">
      <c r="A59" s="270" t="str">
        <f>'Tariffs Jul2017'!F53</f>
        <v>Momentum Energy</v>
      </c>
      <c r="B59" s="40" t="str">
        <f>'Tariffs Jul2017'!D53</f>
        <v>Envestra Central 1</v>
      </c>
      <c r="C59" s="40" t="str">
        <f>'Tariffs Jul2017'!G53</f>
        <v>Market offer</v>
      </c>
      <c r="D59" s="59">
        <f>365*'Tariffs Jul2017'!H53/100</f>
        <v>238.63699999999997</v>
      </c>
      <c r="E59" s="59">
        <f>IF($C$5*'Tariffs Jul2017'!AK53/'Tariffs Jul2017'!AI53&gt;='Tariffs Jul2017'!J53,( 'Tariffs Jul2017'!J53*'Tariffs Jul2017'!O53/100)* 'Tariffs Jul2017'!AI53,($C$5*'Tariffs Jul2017'!AK53/'Tariffs Jul2017'!AI53*'Tariffs Jul2017'!O53/100)* 'Tariffs Jul2017'!AI53)</f>
        <v>74.781700000000001</v>
      </c>
      <c r="F59" s="59">
        <f>IF($C$5*'Tariffs Jul2017'!AK53/'Tariffs Jul2017'!AI53&lt;'Tariffs Jul2017'!J53,0,IF($C$5*'Tariffs Jul2017'!AK53/'Tariffs Jul2017'!AI53&lt;='Tariffs Jul2017'!K53,($C$5*'Tariffs Jul2017'!AK53/'Tariffs Jul2017'!AI53-'Tariffs Jul2017'!J53)*('Tariffs Jul2017'!P53/100)*'Tariffs Jul2017'!AI53,('Tariffs Jul2017'!K53-'Tariffs Jul2017'!J53)*('Tariffs Jul2017'!P53/100)*'Tariffs Jul2017'!AI53))</f>
        <v>49.809800000000003</v>
      </c>
      <c r="G59" s="59">
        <f>IF($C$5*'Tariffs Jul2017'!AK53/'Tariffs Jul2017'!AI53&lt;'Tariffs Jul2017'!K53,0,IF($C$5*'Tariffs Jul2017'!AK53/'Tariffs Jul2017'!AI53&lt;='Tariffs Jul2017'!L53,($C$5*'Tariffs Jul2017'!AK53/'Tariffs Jul2017'!AI53-'Tariffs Jul2017'!K53)*('Tariffs Jul2017'!Q53/100)*'Tariffs Jul2017'!AI53,('Tariffs Jul2017'!L53-'Tariffs Jul2017'!K53)*('Tariffs Jul2017'!Q53/100)*'Tariffs Jul2017'!AI53))</f>
        <v>0</v>
      </c>
      <c r="H59" s="59">
        <f>IF($C$5*'Tariffs Jul2017'!AK53/'Tariffs Jul2017'!AI53&lt;'Tariffs Jul2017'!L53,0,IF($C$5*'Tariffs Jul2017'!AK53/'Tariffs Jul2017'!AI53&lt;='Tariffs Jul2017'!M53,($C$5*'Tariffs Jul2017'!AK53/'Tariffs Jul2017'!AI53-'Tariffs Jul2017'!L53)*('Tariffs Jul2017'!R53/100)*'Tariffs Jul2017'!AI53,('Tariffs Jul2017'!M53-'Tariffs Jul2017'!L53)*('Tariffs Jul2017'!R53/100)*'Tariffs Jul2017'!AI53))</f>
        <v>0</v>
      </c>
      <c r="I59" s="59">
        <f>IF(($C$5*'Tariffs Jul2017'!AK53/'Tariffs Jul2017'!AI53&gt;'Tariffs Jul2017'!M53),($C$5*'Tariffs Jul2017'!AK53/'Tariffs Jul2017'!AI53-'Tariffs Jul2017'!M53)*'Tariffs Jul2017'!S53/100*'Tariffs Jul2017'!AI53,0)</f>
        <v>228.86795399999994</v>
      </c>
      <c r="J59" s="59">
        <f>IF($C$5*'Tariffs Jul2017'!AL53/'Tariffs Jul2017'!AJ53&gt;='Tariffs Jul2017'!J53,('Tariffs Jul2017'!J53*'Tariffs Jul2017'!U53/100)* 'Tariffs Jul2017'!AJ53,($C$5*'Tariffs Jul2017'!AL53/'Tariffs Jul2017'!AJ53*'Tariffs Jul2017'!U53/100)* 'Tariffs Jul2017'!AJ53)</f>
        <v>147.3262</v>
      </c>
      <c r="K59" s="59">
        <f>IF($C$5*'Tariffs Jul2017'!AL53/'Tariffs Jul2017'!AJ53&lt;'Tariffs Jul2017'!J53,0,IF($C$5*'Tariffs Jul2017'!AL53/'Tariffs Jul2017'!AJ53&lt;='Tariffs Jul2017'!K53,($C$5*'Tariffs Jul2017'!AL53/'Tariffs Jul2017'!AJ53-'Tariffs Jul2017'!J53)*('Tariffs Jul2017'!V53/100)*'Tariffs Jul2017'!AJ53,('Tariffs Jul2017'!K53-'Tariffs Jul2017'!J53)*('Tariffs Jul2017'!V53/100)*'Tariffs Jul2017'!AJ53))</f>
        <v>97.831000000000003</v>
      </c>
      <c r="L59" s="59">
        <f>IF($C$5*'Tariffs Jul2017'!AL53/'Tariffs Jul2017'!AJ53&lt;'Tariffs Jul2017'!K53,0,IF($C$5*'Tariffs Jul2017'!AL53/'Tariffs Jul2017'!AJ53&lt;='Tariffs Jul2017'!L53,($C$5*'Tariffs Jul2017'!AL53/'Tariffs Jul2017'!AJ53-'Tariffs Jul2017'!K53)*('Tariffs Jul2017'!W53/100)*'Tariffs Jul2017'!AJ53,('Tariffs Jul2017'!L53-'Tariffs Jul2017'!K53)*('Tariffs Jul2017'!W53/100)*'Tariffs Jul2017'!AJ53))</f>
        <v>0</v>
      </c>
      <c r="M59" s="59">
        <f>IF($C$5*'Tariffs Jul2017'!AL53/'Tariffs Jul2017'!AJ53&lt;'Tariffs Jul2017'!L53,0,IF($C$5*'Tariffs Jul2017'!AL53/'Tariffs Jul2017'!AJ53&lt;='Tariffs Jul2017'!M53,($C$5*'Tariffs Jul2017'!AL53/'Tariffs Jul2017'!AJ53-'Tariffs Jul2017'!L53)*('Tariffs Jul2017'!X53/100)*'Tariffs Jul2017'!AJ53,('Tariffs Jul2017'!M53-'Tariffs Jul2017'!L53)*('Tariffs Jul2017'!X53/100)*'Tariffs Jul2017'!AJ53))</f>
        <v>0</v>
      </c>
      <c r="N59" s="59">
        <f>IF(($C$5*'Tariffs Jul2017'!AL53/'Tariffs Jul2017'!AJ53&gt;'Tariffs Jul2017'!M53),($C$5*'Tariffs Jul2017'!AL53/'Tariffs Jul2017'!AJ53-'Tariffs Jul2017'!M53)*'Tariffs Jul2017'!Y53/100*'Tariffs Jul2017'!AJ53,0)</f>
        <v>447.53733599999993</v>
      </c>
      <c r="O59" s="271">
        <f t="shared" si="0"/>
        <v>1046.1539899999998</v>
      </c>
      <c r="P59" s="59">
        <f t="shared" si="1"/>
        <v>1284.7909899999997</v>
      </c>
      <c r="Q59" s="272">
        <f t="shared" si="2"/>
        <v>1413.2700889999999</v>
      </c>
      <c r="R59" s="40">
        <f>'Tariffs Jul2017'!AM53</f>
        <v>0</v>
      </c>
      <c r="S59" s="40">
        <f>'Tariffs Jul2017'!AN53</f>
        <v>0</v>
      </c>
      <c r="T59" s="40">
        <f>'Tariffs Jul2017'!AO53</f>
        <v>0</v>
      </c>
      <c r="U59" s="40">
        <f>'Tariffs Jul2017'!AP53</f>
        <v>0</v>
      </c>
      <c r="V59" s="273">
        <f t="shared" si="3"/>
        <v>1284.7909899999997</v>
      </c>
      <c r="W59" s="273">
        <f>V59</f>
        <v>1284.7909899999997</v>
      </c>
      <c r="X59" s="272">
        <f t="shared" si="4"/>
        <v>1413.2700889999999</v>
      </c>
      <c r="Y59" s="272">
        <f t="shared" si="4"/>
        <v>1413.2700889999999</v>
      </c>
      <c r="Z59" s="274">
        <f>'Tariffs Jul2017'!AW53</f>
        <v>0</v>
      </c>
      <c r="AA59" s="274" t="str">
        <f>'Tariffs Jul2017'!AX53</f>
        <v>n</v>
      </c>
      <c r="AB59" s="275" t="str">
        <f>'Tariffs Jul2017'!BD53</f>
        <v>Y</v>
      </c>
      <c r="AC59" s="317"/>
      <c r="AD59" s="317"/>
      <c r="AE59" s="317"/>
      <c r="AF59" s="317"/>
      <c r="AG59" s="317"/>
      <c r="AH59" s="317"/>
      <c r="AI59" s="317"/>
      <c r="AJ59" s="317"/>
      <c r="AK59" s="317"/>
      <c r="AL59" s="317"/>
      <c r="AM59" s="317"/>
      <c r="AN59" s="317"/>
    </row>
    <row r="60" spans="1:40" x14ac:dyDescent="0.15">
      <c r="A60" s="270" t="str">
        <f>'Tariffs Jul2017'!F54</f>
        <v>Origin Energy</v>
      </c>
      <c r="B60" s="40" t="str">
        <f>'Tariffs Jul2017'!D54</f>
        <v>Envestra Central 1</v>
      </c>
      <c r="C60" s="40" t="str">
        <f>'Tariffs Jul2017'!G54</f>
        <v>Saver</v>
      </c>
      <c r="D60" s="59">
        <f>365*'Tariffs Jul2017'!H54/100</f>
        <v>251.52149999999997</v>
      </c>
      <c r="E60" s="59">
        <f>IF($C$5*'Tariffs Jul2017'!AK54/'Tariffs Jul2017'!AI54&gt;='Tariffs Jul2017'!J54,( 'Tariffs Jul2017'!J54*'Tariffs Jul2017'!O54/100)* 'Tariffs Jul2017'!AI54,($C$5*'Tariffs Jul2017'!AK54/'Tariffs Jul2017'!AI54*'Tariffs Jul2017'!O54/100)* 'Tariffs Jul2017'!AI54)</f>
        <v>171.44</v>
      </c>
      <c r="F60" s="59">
        <f>IF($C$5*'Tariffs Jul2017'!AK54/'Tariffs Jul2017'!AI54&lt;'Tariffs Jul2017'!J54,0,IF($C$5*'Tariffs Jul2017'!AK54/'Tariffs Jul2017'!AI54&lt;='Tariffs Jul2017'!K54,($C$5*'Tariffs Jul2017'!AK54/'Tariffs Jul2017'!AI54-'Tariffs Jul2017'!J54)*('Tariffs Jul2017'!P54/100)*'Tariffs Jul2017'!AI54,('Tariffs Jul2017'!K54-'Tariffs Jul2017'!J54)*('Tariffs Jul2017'!P54/100)*'Tariffs Jul2017'!AI54))</f>
        <v>250.72949099999997</v>
      </c>
      <c r="G60" s="59">
        <f>IF($C$5*'Tariffs Jul2017'!AK54/'Tariffs Jul2017'!AI54&lt;'Tariffs Jul2017'!K54,0,IF($C$5*'Tariffs Jul2017'!AK54/'Tariffs Jul2017'!AI54&lt;='Tariffs Jul2017'!L54,($C$5*'Tariffs Jul2017'!AK54/'Tariffs Jul2017'!AI54-'Tariffs Jul2017'!K54)*('Tariffs Jul2017'!Q54/100)*'Tariffs Jul2017'!AI54,('Tariffs Jul2017'!L54-'Tariffs Jul2017'!K54)*('Tariffs Jul2017'!Q54/100)*'Tariffs Jul2017'!AI54))</f>
        <v>0</v>
      </c>
      <c r="H60" s="59">
        <f>IF($C$5*'Tariffs Jul2017'!AK54/'Tariffs Jul2017'!AI54&lt;'Tariffs Jul2017'!L54,0,IF($C$5*'Tariffs Jul2017'!AK54/'Tariffs Jul2017'!AI54&lt;='Tariffs Jul2017'!M54,($C$5*'Tariffs Jul2017'!AK54/'Tariffs Jul2017'!AI54-'Tariffs Jul2017'!L54)*('Tariffs Jul2017'!R54/100)*'Tariffs Jul2017'!AI54,('Tariffs Jul2017'!M54-'Tariffs Jul2017'!L54)*('Tariffs Jul2017'!R54/100)*'Tariffs Jul2017'!AI54))</f>
        <v>0</v>
      </c>
      <c r="I60" s="59">
        <f>IF(($C$5*'Tariffs Jul2017'!AK54/'Tariffs Jul2017'!AI54&gt;'Tariffs Jul2017'!M54),($C$5*'Tariffs Jul2017'!AK54/'Tariffs Jul2017'!AI54-'Tariffs Jul2017'!M54)*'Tariffs Jul2017'!S54/100*'Tariffs Jul2017'!AI54,0)</f>
        <v>0</v>
      </c>
      <c r="J60" s="59">
        <f>IF($C$5*'Tariffs Jul2017'!AL54/'Tariffs Jul2017'!AJ54&gt;='Tariffs Jul2017'!J54,('Tariffs Jul2017'!J54*'Tariffs Jul2017'!U54/100)* 'Tariffs Jul2017'!AJ54,($C$5*'Tariffs Jul2017'!AL54/'Tariffs Jul2017'!AJ54*'Tariffs Jul2017'!U54/100)* 'Tariffs Jul2017'!AJ54)</f>
        <v>342.88</v>
      </c>
      <c r="K60" s="59">
        <f>IF($C$5*'Tariffs Jul2017'!AL54/'Tariffs Jul2017'!AJ54&lt;'Tariffs Jul2017'!J54,0,IF($C$5*'Tariffs Jul2017'!AL54/'Tariffs Jul2017'!AJ54&lt;='Tariffs Jul2017'!K54,($C$5*'Tariffs Jul2017'!AL54/'Tariffs Jul2017'!AJ54-'Tariffs Jul2017'!J54)*('Tariffs Jul2017'!V54/100)*'Tariffs Jul2017'!AJ54,('Tariffs Jul2017'!K54-'Tariffs Jul2017'!J54)*('Tariffs Jul2017'!V54/100)*'Tariffs Jul2017'!AJ54))</f>
        <v>501.45898199999993</v>
      </c>
      <c r="L60" s="59">
        <f>IF($C$5*'Tariffs Jul2017'!AL54/'Tariffs Jul2017'!AJ54&lt;'Tariffs Jul2017'!K54,0,IF($C$5*'Tariffs Jul2017'!AL54/'Tariffs Jul2017'!AJ54&lt;='Tariffs Jul2017'!L54,($C$5*'Tariffs Jul2017'!AL54/'Tariffs Jul2017'!AJ54-'Tariffs Jul2017'!K54)*('Tariffs Jul2017'!W54/100)*'Tariffs Jul2017'!AJ54,('Tariffs Jul2017'!L54-'Tariffs Jul2017'!K54)*('Tariffs Jul2017'!W54/100)*'Tariffs Jul2017'!AJ54))</f>
        <v>0</v>
      </c>
      <c r="M60" s="59">
        <f>IF($C$5*'Tariffs Jul2017'!AL54/'Tariffs Jul2017'!AJ54&lt;'Tariffs Jul2017'!L54,0,IF($C$5*'Tariffs Jul2017'!AL54/'Tariffs Jul2017'!AJ54&lt;='Tariffs Jul2017'!M54,($C$5*'Tariffs Jul2017'!AL54/'Tariffs Jul2017'!AJ54-'Tariffs Jul2017'!L54)*('Tariffs Jul2017'!X54/100)*'Tariffs Jul2017'!AJ54,('Tariffs Jul2017'!M54-'Tariffs Jul2017'!L54)*('Tariffs Jul2017'!X54/100)*'Tariffs Jul2017'!AJ54))</f>
        <v>0</v>
      </c>
      <c r="N60" s="59">
        <f>IF(($C$5*'Tariffs Jul2017'!AL54/'Tariffs Jul2017'!AJ54&gt;'Tariffs Jul2017'!M54),($C$5*'Tariffs Jul2017'!AL54/'Tariffs Jul2017'!AJ54-'Tariffs Jul2017'!M54)*'Tariffs Jul2017'!Y54/100*'Tariffs Jul2017'!AJ54,0)</f>
        <v>0</v>
      </c>
      <c r="O60" s="271">
        <f t="shared" si="0"/>
        <v>1266.5084729999999</v>
      </c>
      <c r="P60" s="59">
        <f t="shared" si="1"/>
        <v>1518.0299729999999</v>
      </c>
      <c r="Q60" s="272">
        <f t="shared" si="2"/>
        <v>1669.8329702999999</v>
      </c>
      <c r="R60" s="40">
        <f>'Tariffs Jul2017'!AM54</f>
        <v>0</v>
      </c>
      <c r="S60" s="40">
        <f>'Tariffs Jul2017'!AN54</f>
        <v>0</v>
      </c>
      <c r="T60" s="40">
        <f>'Tariffs Jul2017'!AO54</f>
        <v>0</v>
      </c>
      <c r="U60" s="40">
        <f>'Tariffs Jul2017'!AP54</f>
        <v>13</v>
      </c>
      <c r="V60" s="273">
        <f t="shared" si="3"/>
        <v>1518.0299729999999</v>
      </c>
      <c r="W60" s="273">
        <f>V60-(O60*U60/100)</f>
        <v>1353.3838715099998</v>
      </c>
      <c r="X60" s="272">
        <f t="shared" si="4"/>
        <v>1669.8329702999999</v>
      </c>
      <c r="Y60" s="272">
        <f t="shared" si="4"/>
        <v>1488.7222586609998</v>
      </c>
      <c r="Z60" s="274">
        <f>'Tariffs Jul2017'!AW54</f>
        <v>0</v>
      </c>
      <c r="AA60" s="274" t="str">
        <f>'Tariffs Jul2017'!AX54</f>
        <v>n</v>
      </c>
      <c r="AB60" s="275" t="str">
        <f>'Tariffs Jul2017'!BD54</f>
        <v>N</v>
      </c>
      <c r="AC60" s="317"/>
      <c r="AD60" s="317"/>
      <c r="AE60" s="317"/>
      <c r="AF60" s="317"/>
      <c r="AG60" s="317"/>
      <c r="AH60" s="317"/>
      <c r="AI60" s="317"/>
      <c r="AJ60" s="317"/>
      <c r="AK60" s="317"/>
      <c r="AL60" s="317"/>
      <c r="AM60" s="317"/>
      <c r="AN60" s="317"/>
    </row>
    <row r="61" spans="1:40" x14ac:dyDescent="0.15">
      <c r="A61" s="270" t="str">
        <f>'Tariffs Jul2017'!F55</f>
        <v>Red Energy</v>
      </c>
      <c r="B61" s="40" t="str">
        <f>'Tariffs Jul2017'!D55</f>
        <v>Envestra Central 1</v>
      </c>
      <c r="C61" s="40" t="str">
        <f>'Tariffs Jul2017'!G55</f>
        <v>Living Energy Saver</v>
      </c>
      <c r="D61" s="59">
        <f>365*'Tariffs Jul2017'!H55/100</f>
        <v>259.14999999999998</v>
      </c>
      <c r="E61" s="59">
        <f>IF($C$5*'Tariffs Jul2017'!AK55/'Tariffs Jul2017'!AI55&gt;='Tariffs Jul2017'!J55,( 'Tariffs Jul2017'!J55*'Tariffs Jul2017'!O55/100)* 'Tariffs Jul2017'!AI55,($C$5*'Tariffs Jul2017'!AK55/'Tariffs Jul2017'!AI55*'Tariffs Jul2017'!O55/100)* 'Tariffs Jul2017'!AI55)</f>
        <v>134.82</v>
      </c>
      <c r="F61" s="59">
        <f>IF($C$5*'Tariffs Jul2017'!AK55/'Tariffs Jul2017'!AI55&lt;'Tariffs Jul2017'!J55,0,IF($C$5*'Tariffs Jul2017'!AK55/'Tariffs Jul2017'!AI55&lt;='Tariffs Jul2017'!K55,($C$5*'Tariffs Jul2017'!AK55/'Tariffs Jul2017'!AI55-'Tariffs Jul2017'!J55)*('Tariffs Jul2017'!S55/100)*'Tariffs Jul2017'!AI55,('Tariffs Jul2017'!K55-'Tariffs Jul2017'!J55)*('Tariffs Jul2017'!S55/100)*'Tariffs Jul2017'!AI55))</f>
        <v>0</v>
      </c>
      <c r="G61" s="59">
        <f>IF($C$5*'Tariffs Jul2017'!AK55/'Tariffs Jul2017'!AI55&lt;'Tariffs Jul2017'!K55,0,IF($C$5*'Tariffs Jul2017'!AK55/'Tariffs Jul2017'!AI55&lt;='Tariffs Jul2017'!L55,($C$5*'Tariffs Jul2017'!AK55/'Tariffs Jul2017'!AI55-'Tariffs Jul2017'!K55)*('Tariffs Jul2017'!Q55/100)*'Tariffs Jul2017'!AI55,('Tariffs Jul2017'!L55-'Tariffs Jul2017'!K55)*('Tariffs Jul2017'!Q55/100)*'Tariffs Jul2017'!AI55))</f>
        <v>0</v>
      </c>
      <c r="H61" s="59">
        <f>IF($C$5*'Tariffs Jul2017'!AK55/'Tariffs Jul2017'!AI55&lt;'Tariffs Jul2017'!L55,0,IF($C$5*'Tariffs Jul2017'!AK55/'Tariffs Jul2017'!AI55&lt;='Tariffs Jul2017'!M55,($C$5*'Tariffs Jul2017'!AK55/'Tariffs Jul2017'!AI55-'Tariffs Jul2017'!L55)*('Tariffs Jul2017'!R55/100)*'Tariffs Jul2017'!AI55,('Tariffs Jul2017'!M55-'Tariffs Jul2017'!L55)*('Tariffs Jul2017'!R55/100)*'Tariffs Jul2017'!AI55))</f>
        <v>0</v>
      </c>
      <c r="I61" s="59">
        <f>IF(($C$5*'Tariffs Jul2017'!AK55/'Tariffs Jul2017'!AI55&gt;'Tariffs Jul2017'!M55),($C$5*'Tariffs Jul2017'!AK55/'Tariffs Jul2017'!AI55-'Tariffs Jul2017'!M55)*'Tariffs Jul2017'!S55/100*'Tariffs Jul2017'!AI55,0)</f>
        <v>240.56631599999997</v>
      </c>
      <c r="J61" s="59">
        <f>IF($C$5*'Tariffs Jul2017'!AL55/'Tariffs Jul2017'!AJ55&gt;='Tariffs Jul2017'!J55,('Tariffs Jul2017'!J55*'Tariffs Jul2017'!U55/100)* 'Tariffs Jul2017'!AJ55,($C$5*'Tariffs Jul2017'!AL55/'Tariffs Jul2017'!AJ55*'Tariffs Jul2017'!U55/100)* 'Tariffs Jul2017'!AJ55)</f>
        <v>269.64</v>
      </c>
      <c r="K61" s="59">
        <f>IF($C$5*'Tariffs Jul2017'!AL55/'Tariffs Jul2017'!AJ55&lt;'Tariffs Jul2017'!J55,0,IF($C$5*'Tariffs Jul2017'!AL55/'Tariffs Jul2017'!AJ55&lt;='Tariffs Jul2017'!K55,($C$5*'Tariffs Jul2017'!AL55/'Tariffs Jul2017'!AJ55-'Tariffs Jul2017'!J55)*('Tariffs Jul2017'!V55/100)*'Tariffs Jul2017'!AJ55,('Tariffs Jul2017'!K55-'Tariffs Jul2017'!J55)*('Tariffs Jul2017'!V55/100)*'Tariffs Jul2017'!AJ55))</f>
        <v>0</v>
      </c>
      <c r="L61" s="59">
        <f>IF($C$5*'Tariffs Jul2017'!AL55/'Tariffs Jul2017'!AJ55&lt;'Tariffs Jul2017'!K55,0,IF($C$5*'Tariffs Jul2017'!AL55/'Tariffs Jul2017'!AJ55&lt;='Tariffs Jul2017'!L55,($C$5*'Tariffs Jul2017'!AL55/'Tariffs Jul2017'!AJ55-'Tariffs Jul2017'!K55)*('Tariffs Jul2017'!W55/100)*'Tariffs Jul2017'!AJ55,('Tariffs Jul2017'!L55-'Tariffs Jul2017'!K55)*('Tariffs Jul2017'!W55/100)*'Tariffs Jul2017'!AJ55))</f>
        <v>0</v>
      </c>
      <c r="M61" s="59">
        <f>IF($C$5*'Tariffs Jul2017'!AL55/'Tariffs Jul2017'!AJ55&lt;'Tariffs Jul2017'!L55,0,IF($C$5*'Tariffs Jul2017'!AL55/'Tariffs Jul2017'!AJ55&lt;='Tariffs Jul2017'!M55,($C$5*'Tariffs Jul2017'!AL55/'Tariffs Jul2017'!AJ55-'Tariffs Jul2017'!L55)*('Tariffs Jul2017'!X55/100)*'Tariffs Jul2017'!AJ55,('Tariffs Jul2017'!M55-'Tariffs Jul2017'!L55)*('Tariffs Jul2017'!X55/100)*'Tariffs Jul2017'!AJ55))</f>
        <v>0</v>
      </c>
      <c r="N61" s="59">
        <f>IF(($C$5*'Tariffs Jul2017'!AL55/'Tariffs Jul2017'!AJ55&gt;'Tariffs Jul2017'!M55),($C$5*'Tariffs Jul2017'!AL55/'Tariffs Jul2017'!AJ55-'Tariffs Jul2017'!M55)*'Tariffs Jul2017'!Y55/100*'Tariffs Jul2017'!AJ55,0)</f>
        <v>481.13263199999994</v>
      </c>
      <c r="O61" s="271">
        <f t="shared" si="0"/>
        <v>1126.1589479999998</v>
      </c>
      <c r="P61" s="59">
        <f t="shared" si="1"/>
        <v>1385.3089479999999</v>
      </c>
      <c r="Q61" s="272">
        <f t="shared" si="2"/>
        <v>1523.8398428</v>
      </c>
      <c r="R61" s="40">
        <f>'Tariffs Jul2017'!AM55</f>
        <v>0</v>
      </c>
      <c r="S61" s="40">
        <f>'Tariffs Jul2017'!AN55</f>
        <v>0</v>
      </c>
      <c r="T61" s="40">
        <f>'Tariffs Jul2017'!AO55</f>
        <v>10</v>
      </c>
      <c r="U61" s="40">
        <f>'Tariffs Jul2017'!AP55</f>
        <v>0</v>
      </c>
      <c r="V61" s="273">
        <f t="shared" si="3"/>
        <v>1385.3089479999999</v>
      </c>
      <c r="W61" s="273">
        <f>V61-(P61*T61/100)</f>
        <v>1246.7780531999999</v>
      </c>
      <c r="X61" s="272">
        <f t="shared" si="4"/>
        <v>1523.8398428</v>
      </c>
      <c r="Y61" s="272">
        <f t="shared" si="4"/>
        <v>1371.45585852</v>
      </c>
      <c r="Z61" s="274">
        <f>'Tariffs Jul2017'!AW55</f>
        <v>0</v>
      </c>
      <c r="AA61" s="274" t="str">
        <f>'Tariffs Jul2017'!AX55</f>
        <v>n</v>
      </c>
      <c r="AB61" s="275" t="str">
        <f>'Tariffs Jul2017'!BD55</f>
        <v>Y</v>
      </c>
      <c r="AC61" s="317"/>
      <c r="AD61" s="317"/>
      <c r="AE61" s="317"/>
      <c r="AF61" s="317"/>
      <c r="AG61" s="317"/>
      <c r="AH61" s="317"/>
      <c r="AI61" s="317"/>
      <c r="AJ61" s="317"/>
      <c r="AK61" s="317"/>
      <c r="AL61" s="317"/>
      <c r="AM61" s="317"/>
      <c r="AN61" s="317"/>
    </row>
    <row r="62" spans="1:40" ht="14" thickBot="1" x14ac:dyDescent="0.2">
      <c r="A62" s="276" t="str">
        <f>'Tariffs Jul2017'!F56</f>
        <v>Simply Energy</v>
      </c>
      <c r="B62" s="277" t="str">
        <f>'Tariffs Jul2017'!D56</f>
        <v>Envestra Central 1</v>
      </c>
      <c r="C62" s="277" t="str">
        <f>'Tariffs Jul2017'!G56</f>
        <v>Plus</v>
      </c>
      <c r="D62" s="278">
        <f>365*'Tariffs Jul2017'!H56/100</f>
        <v>263.09199999999998</v>
      </c>
      <c r="E62" s="278">
        <f>IF($C$5*'Tariffs Jul2017'!AK56/'Tariffs Jul2017'!AI56&gt;='Tariffs Jul2017'!J56,( 'Tariffs Jul2017'!J56*'Tariffs Jul2017'!O56/100)* 'Tariffs Jul2017'!AI56,($C$5*'Tariffs Jul2017'!AK56/'Tariffs Jul2017'!AI56*'Tariffs Jul2017'!O56/100)* 'Tariffs Jul2017'!AI56)</f>
        <v>76.98599999999999</v>
      </c>
      <c r="F62" s="278">
        <f>IF($C$5*'Tariffs Jul2017'!AK56/'Tariffs Jul2017'!AI56&lt;'Tariffs Jul2017'!J56,0,IF($C$5*'Tariffs Jul2017'!AK56/'Tariffs Jul2017'!AI56&lt;='Tariffs Jul2017'!K56,($C$5*'Tariffs Jul2017'!AK56/'Tariffs Jul2017'!AI56-'Tariffs Jul2017'!J56)*('Tariffs Jul2017'!P56/100)*'Tariffs Jul2017'!AI56,('Tariffs Jul2017'!K56-'Tariffs Jul2017'!J56)*('Tariffs Jul2017'!P56/100)*'Tariffs Jul2017'!AI56))</f>
        <v>53.386999999999993</v>
      </c>
      <c r="G62" s="278">
        <f>IF($C$5*'Tariffs Jul2017'!AK56/'Tariffs Jul2017'!AI56&lt;'Tariffs Jul2017'!K56,0,IF($C$5*'Tariffs Jul2017'!AK56/'Tariffs Jul2017'!AI56&lt;='Tariffs Jul2017'!L56,($C$5*'Tariffs Jul2017'!AK56/'Tariffs Jul2017'!AI56-'Tariffs Jul2017'!K56)*('Tariffs Jul2017'!Q56/100)*'Tariffs Jul2017'!AI56,('Tariffs Jul2017'!L56-'Tariffs Jul2017'!K56)*('Tariffs Jul2017'!Q56/100)*'Tariffs Jul2017'!AI56))</f>
        <v>0</v>
      </c>
      <c r="H62" s="278">
        <f>IF($C$5*'Tariffs Jul2017'!AK56/'Tariffs Jul2017'!AI56&lt;'Tariffs Jul2017'!L56,0,IF($C$5*'Tariffs Jul2017'!AK56/'Tariffs Jul2017'!AI56&lt;='Tariffs Jul2017'!M56,($C$5*'Tariffs Jul2017'!AK56/'Tariffs Jul2017'!AI56-'Tariffs Jul2017'!L56)*('Tariffs Jul2017'!R56/100)*'Tariffs Jul2017'!AI56,('Tariffs Jul2017'!M56-'Tariffs Jul2017'!L56)*('Tariffs Jul2017'!R56/100)*'Tariffs Jul2017'!AI56))</f>
        <v>0</v>
      </c>
      <c r="I62" s="278">
        <f>IF(($C$5*'Tariffs Jul2017'!AK56/'Tariffs Jul2017'!AI56&gt;'Tariffs Jul2017'!M56),($C$5*'Tariffs Jul2017'!AK56/'Tariffs Jul2017'!AI56-'Tariffs Jul2017'!M56)*'Tariffs Jul2017'!S56/100*'Tariffs Jul2017'!AI56,0)</f>
        <v>247.46534999999997</v>
      </c>
      <c r="J62" s="278">
        <f>IF($C$5*'Tariffs Jul2017'!AL56/'Tariffs Jul2017'!AJ56&gt;='Tariffs Jul2017'!J56,('Tariffs Jul2017'!J56*'Tariffs Jul2017'!U56/100)* 'Tariffs Jul2017'!AJ56,($C$5*'Tariffs Jul2017'!AL56/'Tariffs Jul2017'!AJ56*'Tariffs Jul2017'!U56/100)* 'Tariffs Jul2017'!AJ56)</f>
        <v>153.97199999999998</v>
      </c>
      <c r="K62" s="278">
        <f>IF($C$5*'Tariffs Jul2017'!AL56/'Tariffs Jul2017'!AJ56&lt;'Tariffs Jul2017'!J56,0,IF($C$5*'Tariffs Jul2017'!AL56/'Tariffs Jul2017'!AJ56&lt;='Tariffs Jul2017'!K56,($C$5*'Tariffs Jul2017'!AL56/'Tariffs Jul2017'!AJ56-'Tariffs Jul2017'!J56)*('Tariffs Jul2017'!V56/100)*'Tariffs Jul2017'!AJ56,('Tariffs Jul2017'!K56-'Tariffs Jul2017'!J56)*('Tariffs Jul2017'!V56/100)*'Tariffs Jul2017'!AJ56))</f>
        <v>106.77399999999999</v>
      </c>
      <c r="L62" s="278">
        <f>IF($C$5*'Tariffs Jul2017'!AL56/'Tariffs Jul2017'!AJ56&lt;'Tariffs Jul2017'!K56,0,IF($C$5*'Tariffs Jul2017'!AL56/'Tariffs Jul2017'!AJ56&lt;='Tariffs Jul2017'!L56,($C$5*'Tariffs Jul2017'!AL56/'Tariffs Jul2017'!AJ56-'Tariffs Jul2017'!K56)*('Tariffs Jul2017'!W56/100)*'Tariffs Jul2017'!AJ56,('Tariffs Jul2017'!L56-'Tariffs Jul2017'!K56)*('Tariffs Jul2017'!W56/100)*'Tariffs Jul2017'!AJ56))</f>
        <v>0</v>
      </c>
      <c r="M62" s="278">
        <f>IF($C$5*'Tariffs Jul2017'!AL56/'Tariffs Jul2017'!AJ56&lt;'Tariffs Jul2017'!L56,0,IF($C$5*'Tariffs Jul2017'!AL56/'Tariffs Jul2017'!AJ56&lt;='Tariffs Jul2017'!M56,($C$5*'Tariffs Jul2017'!AL56/'Tariffs Jul2017'!AJ56-'Tariffs Jul2017'!L56)*('Tariffs Jul2017'!X56/100)*'Tariffs Jul2017'!AJ56,('Tariffs Jul2017'!M56-'Tariffs Jul2017'!L56)*('Tariffs Jul2017'!X56/100)*'Tariffs Jul2017'!AJ56))</f>
        <v>0</v>
      </c>
      <c r="N62" s="278">
        <f>IF(($C$5*'Tariffs Jul2017'!AL56/'Tariffs Jul2017'!AJ56&gt;'Tariffs Jul2017'!M56),($C$5*'Tariffs Jul2017'!AL56/'Tariffs Jul2017'!AJ56-'Tariffs Jul2017'!M56)*'Tariffs Jul2017'!Y56/100*'Tariffs Jul2017'!AJ56,0)</f>
        <v>494.93069999999994</v>
      </c>
      <c r="O62" s="279">
        <f t="shared" si="0"/>
        <v>1133.51505</v>
      </c>
      <c r="P62" s="278">
        <f t="shared" si="1"/>
        <v>1396.6070500000001</v>
      </c>
      <c r="Q62" s="280">
        <f t="shared" si="2"/>
        <v>1536.2677550000003</v>
      </c>
      <c r="R62" s="277">
        <f>'Tariffs Jul2017'!AM56</f>
        <v>0</v>
      </c>
      <c r="S62" s="277">
        <f>'Tariffs Jul2017'!AN56</f>
        <v>0</v>
      </c>
      <c r="T62" s="277">
        <f>'Tariffs Jul2017'!AO56</f>
        <v>0</v>
      </c>
      <c r="U62" s="277">
        <f>'Tariffs Jul2017'!AP56</f>
        <v>20</v>
      </c>
      <c r="V62" s="273">
        <f t="shared" si="3"/>
        <v>1396.6070500000001</v>
      </c>
      <c r="W62" s="281">
        <f>V62-(O62*U62/100)</f>
        <v>1169.9040400000001</v>
      </c>
      <c r="X62" s="280">
        <f t="shared" si="4"/>
        <v>1536.2677550000003</v>
      </c>
      <c r="Y62" s="280">
        <f t="shared" si="4"/>
        <v>1286.8944440000002</v>
      </c>
      <c r="Z62" s="282">
        <f>'Tariffs Jul2017'!AW56</f>
        <v>24</v>
      </c>
      <c r="AA62" s="282" t="str">
        <f>'Tariffs Jul2017'!AX56</f>
        <v>n</v>
      </c>
      <c r="AB62" s="283" t="str">
        <f>'Tariffs Jul2017'!BD56</f>
        <v>Y</v>
      </c>
      <c r="AC62" s="317"/>
      <c r="AD62" s="317"/>
      <c r="AE62" s="317"/>
      <c r="AF62" s="317"/>
      <c r="AG62" s="317"/>
      <c r="AH62" s="317"/>
      <c r="AI62" s="317"/>
      <c r="AJ62" s="317"/>
      <c r="AK62" s="317"/>
      <c r="AL62" s="317"/>
      <c r="AM62" s="317"/>
      <c r="AN62" s="317"/>
    </row>
    <row r="63" spans="1:40" ht="14" thickTop="1" x14ac:dyDescent="0.15">
      <c r="A63" s="270" t="str">
        <f>'Tariffs Jul2017'!F57</f>
        <v>AGL</v>
      </c>
      <c r="B63" s="40" t="str">
        <f>'Tariffs Jul2017'!D57</f>
        <v>Ausnet West</v>
      </c>
      <c r="C63" s="40" t="str">
        <f>'Tariffs Jul2017'!G57</f>
        <v>Savers</v>
      </c>
      <c r="D63" s="59">
        <f>365*'Tariffs Jul2017'!H57/100</f>
        <v>286.37899999999996</v>
      </c>
      <c r="E63" s="59">
        <f>IF($C$5*'Tariffs Jul2017'!AK57/'Tariffs Jul2017'!AI57&gt;='Tariffs Jul2017'!J57,( 'Tariffs Jul2017'!J57*'Tariffs Jul2017'!O57/100)* 'Tariffs Jul2017'!AI57,($C$5*'Tariffs Jul2017'!AK57/'Tariffs Jul2017'!AI57*'Tariffs Jul2017'!O57/100)* 'Tariffs Jul2017'!AI57)</f>
        <v>234.36</v>
      </c>
      <c r="F63" s="59">
        <f>IF($C$5*'Tariffs Jul2017'!AK57/'Tariffs Jul2017'!AI57&lt;'Tariffs Jul2017'!J57,0,IF($C$5*'Tariffs Jul2017'!AK57/'Tariffs Jul2017'!AI57&lt;='Tariffs Jul2017'!K57,($C$5*'Tariffs Jul2017'!AK57/'Tariffs Jul2017'!AI57-'Tariffs Jul2017'!J57)*('Tariffs Jul2017'!P57/100)*'Tariffs Jul2017'!AI57,('Tariffs Jul2017'!K57-'Tariffs Jul2017'!J57)*('Tariffs Jul2017'!P57/100)*'Tariffs Jul2017'!AI57))</f>
        <v>168.71062499999996</v>
      </c>
      <c r="G63" s="59">
        <f>IF($C$5*'Tariffs Jul2017'!AK57/'Tariffs Jul2017'!AI57&lt;'Tariffs Jul2017'!K57,0,IF($C$5*'Tariffs Jul2017'!AK57/'Tariffs Jul2017'!AI57&lt;='Tariffs Jul2017'!L57,($C$5*'Tariffs Jul2017'!AK57/'Tariffs Jul2017'!AI57-'Tariffs Jul2017'!K57)*('Tariffs Jul2017'!Q57/100)*'Tariffs Jul2017'!AI57,('Tariffs Jul2017'!L57-'Tariffs Jul2017'!K57)*('Tariffs Jul2017'!Q57/100)*'Tariffs Jul2017'!AI57))</f>
        <v>0</v>
      </c>
      <c r="H63" s="59">
        <f>IF($C$5*'Tariffs Jul2017'!AK57/'Tariffs Jul2017'!AI57&lt;'Tariffs Jul2017'!L57,0,IF($C$5*'Tariffs Jul2017'!AK57/'Tariffs Jul2017'!AI57&lt;='Tariffs Jul2017'!M57,($C$5*'Tariffs Jul2017'!AK57/'Tariffs Jul2017'!AI57-'Tariffs Jul2017'!L57)*('Tariffs Jul2017'!R57/100)*'Tariffs Jul2017'!AI57,('Tariffs Jul2017'!M57-'Tariffs Jul2017'!L57)*('Tariffs Jul2017'!R57/100)*'Tariffs Jul2017'!AI57))</f>
        <v>0</v>
      </c>
      <c r="I63" s="59">
        <f>IF(($C$5*'Tariffs Jul2017'!AK57/'Tariffs Jul2017'!AI57&gt;'Tariffs Jul2017'!M57),($C$5*'Tariffs Jul2017'!AK57/'Tariffs Jul2017'!AI57-'Tariffs Jul2017'!M57)*'Tariffs Jul2017'!S57/100*'Tariffs Jul2017'!AI57,0)</f>
        <v>58.728620999999968</v>
      </c>
      <c r="J63" s="59">
        <f>IF($C$5*'Tariffs Jul2017'!AL57/'Tariffs Jul2017'!AJ57&gt;='Tariffs Jul2017'!J57,('Tariffs Jul2017'!J57*'Tariffs Jul2017'!U57/100)* 'Tariffs Jul2017'!AJ57,($C$5*'Tariffs Jul2017'!AL57/'Tariffs Jul2017'!AJ57*'Tariffs Jul2017'!U57/100)* 'Tariffs Jul2017'!AJ57)</f>
        <v>426</v>
      </c>
      <c r="K63" s="59">
        <f>IF($C$5*'Tariffs Jul2017'!AL57/'Tariffs Jul2017'!AJ57&lt;'Tariffs Jul2017'!J57,0,IF($C$5*'Tariffs Jul2017'!AL57/'Tariffs Jul2017'!AJ57&lt;='Tariffs Jul2017'!K57,($C$5*'Tariffs Jul2017'!AL57/'Tariffs Jul2017'!AJ57-'Tariffs Jul2017'!J57)*('Tariffs Jul2017'!V57/100)*'Tariffs Jul2017'!AJ57,('Tariffs Jul2017'!K57-'Tariffs Jul2017'!J57)*('Tariffs Jul2017'!V57/100)*'Tariffs Jul2017'!AJ57))</f>
        <v>257.69985599999995</v>
      </c>
      <c r="L63" s="59">
        <f>IF($C$5*'Tariffs Jul2017'!AL57/'Tariffs Jul2017'!AJ57&lt;'Tariffs Jul2017'!K57,0,IF($C$5*'Tariffs Jul2017'!AL57/'Tariffs Jul2017'!AJ57&lt;='Tariffs Jul2017'!L57,($C$5*'Tariffs Jul2017'!AL57/'Tariffs Jul2017'!AJ57-'Tariffs Jul2017'!K57)*('Tariffs Jul2017'!W57/100)*'Tariffs Jul2017'!AJ57,('Tariffs Jul2017'!L57-'Tariffs Jul2017'!K57)*('Tariffs Jul2017'!W57/100)*'Tariffs Jul2017'!AJ57))</f>
        <v>0</v>
      </c>
      <c r="M63" s="59">
        <f>IF($C$5*'Tariffs Jul2017'!AL57/'Tariffs Jul2017'!AJ57&lt;'Tariffs Jul2017'!L57,0,IF($C$5*'Tariffs Jul2017'!AL57/'Tariffs Jul2017'!AJ57&lt;='Tariffs Jul2017'!M57,($C$5*'Tariffs Jul2017'!AL57/'Tariffs Jul2017'!AJ57-'Tariffs Jul2017'!L57)*('Tariffs Jul2017'!X57/100)*'Tariffs Jul2017'!AJ57,('Tariffs Jul2017'!M57-'Tariffs Jul2017'!L57)*('Tariffs Jul2017'!X57/100)*'Tariffs Jul2017'!AJ57))</f>
        <v>0</v>
      </c>
      <c r="N63" s="59">
        <f>IF(($C$5*'Tariffs Jul2017'!AL57/'Tariffs Jul2017'!AJ57&gt;'Tariffs Jul2017'!M57),($C$5*'Tariffs Jul2017'!AL57/'Tariffs Jul2017'!AJ57-'Tariffs Jul2017'!M57)*'Tariffs Jul2017'!Y57/100*'Tariffs Jul2017'!AJ57,0)</f>
        <v>110.06893799999995</v>
      </c>
      <c r="O63" s="271">
        <f t="shared" si="0"/>
        <v>1255.5680399999997</v>
      </c>
      <c r="P63" s="59">
        <f t="shared" si="1"/>
        <v>1541.9470399999996</v>
      </c>
      <c r="Q63" s="272">
        <f t="shared" si="2"/>
        <v>1696.1417439999996</v>
      </c>
      <c r="R63" s="40">
        <f>'Tariffs Jul2017'!AM57</f>
        <v>0</v>
      </c>
      <c r="S63" s="40">
        <f>'Tariffs Jul2017'!AN57</f>
        <v>0</v>
      </c>
      <c r="T63" s="40">
        <f>'Tariffs Jul2017'!AO57</f>
        <v>0</v>
      </c>
      <c r="U63" s="40">
        <f>'Tariffs Jul2017'!AP57</f>
        <v>15</v>
      </c>
      <c r="V63" s="273">
        <f t="shared" si="3"/>
        <v>1541.9470399999996</v>
      </c>
      <c r="W63" s="273">
        <f>V63-(O63*U63/100)</f>
        <v>1353.6118339999996</v>
      </c>
      <c r="X63" s="272">
        <f t="shared" si="4"/>
        <v>1696.1417439999996</v>
      </c>
      <c r="Y63" s="272">
        <f t="shared" si="4"/>
        <v>1488.9730173999997</v>
      </c>
      <c r="Z63" s="274">
        <f>'Tariffs Jul2017'!AW57</f>
        <v>0</v>
      </c>
      <c r="AA63" s="274" t="str">
        <f>'Tariffs Jul2017'!AX57</f>
        <v>n</v>
      </c>
      <c r="AB63" s="275" t="str">
        <f>'Tariffs Jul2017'!BD57</f>
        <v>N</v>
      </c>
      <c r="AC63" s="317"/>
      <c r="AD63" s="317"/>
      <c r="AE63" s="317"/>
      <c r="AF63" s="317"/>
      <c r="AG63" s="317"/>
      <c r="AH63" s="317"/>
      <c r="AI63" s="317"/>
      <c r="AJ63" s="317"/>
      <c r="AK63" s="317"/>
      <c r="AL63" s="317"/>
      <c r="AM63" s="317"/>
      <c r="AN63" s="317"/>
    </row>
    <row r="64" spans="1:40" x14ac:dyDescent="0.15">
      <c r="A64" s="270" t="str">
        <f>'Tariffs Jul2017'!F58</f>
        <v>Alinta Energy</v>
      </c>
      <c r="B64" s="40" t="str">
        <f>'Tariffs Jul2017'!D58</f>
        <v>Ausnet West</v>
      </c>
      <c r="C64" s="40" t="str">
        <f>'Tariffs Jul2017'!G58</f>
        <v>Fair Deal</v>
      </c>
      <c r="D64" s="59">
        <f>365*'Tariffs Jul2017'!H58/100</f>
        <v>231.62900000000002</v>
      </c>
      <c r="E64" s="59">
        <f>IF($C$5*'Tariffs Jul2017'!AK58/'Tariffs Jul2017'!AI58&gt;='Tariffs Jul2017'!J58,( 'Tariffs Jul2017'!J58*'Tariffs Jul2017'!O58/100)* 'Tariffs Jul2017'!AI58,($C$5*'Tariffs Jul2017'!AK58/'Tariffs Jul2017'!AI58*'Tariffs Jul2017'!O58/100)* 'Tariffs Jul2017'!AI58)</f>
        <v>238.8</v>
      </c>
      <c r="F64" s="59">
        <f>IF($C$5*'Tariffs Jul2017'!AK58/'Tariffs Jul2017'!AI58&lt;'Tariffs Jul2017'!J58,0,IF($C$5*'Tariffs Jul2017'!AK58/'Tariffs Jul2017'!AI58&lt;='Tariffs Jul2017'!K58,($C$5*'Tariffs Jul2017'!AK58/'Tariffs Jul2017'!AI58-'Tariffs Jul2017'!J58)*('Tariffs Jul2017'!P58/100)*'Tariffs Jul2017'!AI58,('Tariffs Jul2017'!K58-'Tariffs Jul2017'!J58)*('Tariffs Jul2017'!P58/100)*'Tariffs Jul2017'!AI58))</f>
        <v>0</v>
      </c>
      <c r="G64" s="59">
        <f>IF($C$5*'Tariffs Jul2017'!AK58/'Tariffs Jul2017'!AI58&lt;'Tariffs Jul2017'!K58,0,IF($C$5*'Tariffs Jul2017'!AK58/'Tariffs Jul2017'!AI58&lt;='Tariffs Jul2017'!L58,($C$5*'Tariffs Jul2017'!AK58/'Tariffs Jul2017'!AI58-'Tariffs Jul2017'!K58)*('Tariffs Jul2017'!Q58/100)*'Tariffs Jul2017'!AI58,('Tariffs Jul2017'!L58-'Tariffs Jul2017'!K58)*('Tariffs Jul2017'!Q58/100)*'Tariffs Jul2017'!AI58))</f>
        <v>0</v>
      </c>
      <c r="H64" s="59">
        <f>IF($C$5*'Tariffs Jul2017'!AK58/'Tariffs Jul2017'!AI58&lt;'Tariffs Jul2017'!L58,0,IF($C$5*'Tariffs Jul2017'!AK58/'Tariffs Jul2017'!AI58&lt;='Tariffs Jul2017'!M58,($C$5*'Tariffs Jul2017'!AK58/'Tariffs Jul2017'!AI58-'Tariffs Jul2017'!L58)*('Tariffs Jul2017'!R58/100)*'Tariffs Jul2017'!AI58,('Tariffs Jul2017'!M58-'Tariffs Jul2017'!L58)*('Tariffs Jul2017'!R58/100)*'Tariffs Jul2017'!AI58))</f>
        <v>0</v>
      </c>
      <c r="I64" s="59">
        <f>IF(($C$5*'Tariffs Jul2017'!AK58/'Tariffs Jul2017'!AI58&gt;'Tariffs Jul2017'!M58),($C$5*'Tariffs Jul2017'!AK58/'Tariffs Jul2017'!AI58-'Tariffs Jul2017'!M58)*'Tariffs Jul2017'!S58/100*'Tariffs Jul2017'!AI58,0)</f>
        <v>161.06240999999997</v>
      </c>
      <c r="J64" s="59">
        <f>IF($C$5*'Tariffs Jul2017'!AL58/'Tariffs Jul2017'!AJ58&gt;='Tariffs Jul2017'!J58,('Tariffs Jul2017'!J58*'Tariffs Jul2017'!U58/100)* 'Tariffs Jul2017'!AJ58,($C$5*'Tariffs Jul2017'!AL58/'Tariffs Jul2017'!AJ58*'Tariffs Jul2017'!U58/100)* 'Tariffs Jul2017'!AJ58)</f>
        <v>424.8</v>
      </c>
      <c r="K64" s="59">
        <f>IF($C$5*'Tariffs Jul2017'!AL58/'Tariffs Jul2017'!AJ58&lt;'Tariffs Jul2017'!J58,0,IF($C$5*'Tariffs Jul2017'!AL58/'Tariffs Jul2017'!AJ58&lt;='Tariffs Jul2017'!K58,($C$5*'Tariffs Jul2017'!AL58/'Tariffs Jul2017'!AJ58-'Tariffs Jul2017'!J58)*('Tariffs Jul2017'!V58/100)*'Tariffs Jul2017'!AJ58,('Tariffs Jul2017'!K58-'Tariffs Jul2017'!J58)*('Tariffs Jul2017'!V58/100)*'Tariffs Jul2017'!AJ58))</f>
        <v>0</v>
      </c>
      <c r="L64" s="59">
        <f>IF($C$5*'Tariffs Jul2017'!AL58/'Tariffs Jul2017'!AJ58&lt;'Tariffs Jul2017'!K58,0,IF($C$5*'Tariffs Jul2017'!AL58/'Tariffs Jul2017'!AJ58&lt;='Tariffs Jul2017'!L58,($C$5*'Tariffs Jul2017'!AL58/'Tariffs Jul2017'!AJ58-'Tariffs Jul2017'!K58)*('Tariffs Jul2017'!W58/100)*'Tariffs Jul2017'!AJ58,('Tariffs Jul2017'!L58-'Tariffs Jul2017'!K58)*('Tariffs Jul2017'!W58/100)*'Tariffs Jul2017'!AJ58))</f>
        <v>0</v>
      </c>
      <c r="M64" s="59">
        <f>IF($C$5*'Tariffs Jul2017'!AL58/'Tariffs Jul2017'!AJ58&lt;'Tariffs Jul2017'!L58,0,IF($C$5*'Tariffs Jul2017'!AL58/'Tariffs Jul2017'!AJ58&lt;='Tariffs Jul2017'!M58,($C$5*'Tariffs Jul2017'!AL58/'Tariffs Jul2017'!AJ58-'Tariffs Jul2017'!L58)*('Tariffs Jul2017'!X58/100)*'Tariffs Jul2017'!AJ58,('Tariffs Jul2017'!M58-'Tariffs Jul2017'!L58)*('Tariffs Jul2017'!X58/100)*'Tariffs Jul2017'!AJ58))</f>
        <v>0</v>
      </c>
      <c r="N64" s="59">
        <f>IF(($C$5*'Tariffs Jul2017'!AL58/'Tariffs Jul2017'!AJ58&gt;'Tariffs Jul2017'!M58),($C$5*'Tariffs Jul2017'!AL58/'Tariffs Jul2017'!AJ58-'Tariffs Jul2017'!M58)*'Tariffs Jul2017'!Y58/100*'Tariffs Jul2017'!AJ58,0)</f>
        <v>266.33783999999991</v>
      </c>
      <c r="O64" s="271">
        <f t="shared" si="0"/>
        <v>1091.0002499999998</v>
      </c>
      <c r="P64" s="59">
        <f t="shared" si="1"/>
        <v>1322.62925</v>
      </c>
      <c r="Q64" s="272">
        <f t="shared" si="2"/>
        <v>1454.8921750000002</v>
      </c>
      <c r="R64" s="40">
        <f>'Tariffs Jul2017'!AM58</f>
        <v>0</v>
      </c>
      <c r="S64" s="40">
        <f>'Tariffs Jul2017'!AN58</f>
        <v>0</v>
      </c>
      <c r="T64" s="40">
        <f>'Tariffs Jul2017'!AO58</f>
        <v>0</v>
      </c>
      <c r="U64" s="40">
        <f>'Tariffs Jul2017'!AP58</f>
        <v>25</v>
      </c>
      <c r="V64" s="273">
        <f t="shared" si="3"/>
        <v>1322.62925</v>
      </c>
      <c r="W64" s="273">
        <f>V64-(O64*U64/100)</f>
        <v>1049.8791874999999</v>
      </c>
      <c r="X64" s="272">
        <f t="shared" si="4"/>
        <v>1454.8921750000002</v>
      </c>
      <c r="Y64" s="272">
        <f t="shared" si="4"/>
        <v>1154.86710625</v>
      </c>
      <c r="Z64" s="274">
        <f>'Tariffs Jul2017'!AW58</f>
        <v>0</v>
      </c>
      <c r="AA64" s="274" t="str">
        <f>'Tariffs Jul2017'!AX58</f>
        <v>n</v>
      </c>
      <c r="AB64" s="275" t="str">
        <f>'Tariffs Jul2017'!BD58</f>
        <v>N</v>
      </c>
      <c r="AC64" s="317"/>
      <c r="AD64" s="317"/>
      <c r="AE64" s="317"/>
      <c r="AF64" s="317"/>
      <c r="AG64" s="317"/>
      <c r="AH64" s="317"/>
      <c r="AI64" s="317"/>
      <c r="AJ64" s="317"/>
      <c r="AK64" s="317"/>
      <c r="AL64" s="317"/>
      <c r="AM64" s="317"/>
      <c r="AN64" s="317"/>
    </row>
    <row r="65" spans="1:40" x14ac:dyDescent="0.15">
      <c r="A65" s="270" t="str">
        <f>'Tariffs Jul2017'!F59</f>
        <v>Click Energy</v>
      </c>
      <c r="B65" s="40" t="str">
        <f>'Tariffs Jul2017'!D59</f>
        <v>Ausnet West</v>
      </c>
      <c r="C65" s="40" t="str">
        <f>'Tariffs Jul2017'!G59</f>
        <v>Amber</v>
      </c>
      <c r="D65" s="59">
        <f>365*'Tariffs Jul2017'!H59/100</f>
        <v>353.32</v>
      </c>
      <c r="E65" s="59">
        <f>IF($C$5*'Tariffs Jul2017'!AK59/'Tariffs Jul2017'!AI59&gt;='Tariffs Jul2017'!J59,( 'Tariffs Jul2017'!J59*'Tariffs Jul2017'!O59/100)* 'Tariffs Jul2017'!AI59,($C$5*'Tariffs Jul2017'!AK59/'Tariffs Jul2017'!AI59*'Tariffs Jul2017'!O59/100)* 'Tariffs Jul2017'!AI59)</f>
        <v>282</v>
      </c>
      <c r="F65" s="59">
        <f>IF($C$5*'Tariffs Jul2017'!AK59/'Tariffs Jul2017'!AI59&lt;'Tariffs Jul2017'!J59,0,IF($C$5*'Tariffs Jul2017'!AK59/'Tariffs Jul2017'!AI59&lt;='Tariffs Jul2017'!K59,($C$5*'Tariffs Jul2017'!AK59/'Tariffs Jul2017'!AI59-'Tariffs Jul2017'!J59)*('Tariffs Jul2017'!P59/100)*'Tariffs Jul2017'!AI59,('Tariffs Jul2017'!K59-'Tariffs Jul2017'!J59)*('Tariffs Jul2017'!P59/100)*'Tariffs Jul2017'!AI59))</f>
        <v>197.95379999999997</v>
      </c>
      <c r="G65" s="59">
        <f>IF($C$5*'Tariffs Jul2017'!AK59/'Tariffs Jul2017'!AI59&lt;'Tariffs Jul2017'!K59,0,IF($C$5*'Tariffs Jul2017'!AK59/'Tariffs Jul2017'!AI59&lt;='Tariffs Jul2017'!L59,($C$5*'Tariffs Jul2017'!AK59/'Tariffs Jul2017'!AI59-'Tariffs Jul2017'!K59)*('Tariffs Jul2017'!Q59/100)*'Tariffs Jul2017'!AI59,('Tariffs Jul2017'!L59-'Tariffs Jul2017'!K59)*('Tariffs Jul2017'!Q59/100)*'Tariffs Jul2017'!AI59))</f>
        <v>0</v>
      </c>
      <c r="H65" s="59">
        <f>IF($C$5*'Tariffs Jul2017'!AK59/'Tariffs Jul2017'!AI59&lt;'Tariffs Jul2017'!L59,0,IF($C$5*'Tariffs Jul2017'!AK59/'Tariffs Jul2017'!AI59&lt;='Tariffs Jul2017'!M59,($C$5*'Tariffs Jul2017'!AK59/'Tariffs Jul2017'!AI59-'Tariffs Jul2017'!L59)*('Tariffs Jul2017'!R59/100)*'Tariffs Jul2017'!AI59,('Tariffs Jul2017'!M59-'Tariffs Jul2017'!L59)*('Tariffs Jul2017'!R59/100)*'Tariffs Jul2017'!AI59))</f>
        <v>0</v>
      </c>
      <c r="I65" s="59">
        <f>IF(($C$5*'Tariffs Jul2017'!AK59/'Tariffs Jul2017'!AI59&gt;'Tariffs Jul2017'!M59),($C$5*'Tariffs Jul2017'!AK59/'Tariffs Jul2017'!AI59-'Tariffs Jul2017'!M59)*'Tariffs Jul2017'!S59/100*'Tariffs Jul2017'!AI59,0)</f>
        <v>0</v>
      </c>
      <c r="J65" s="59">
        <f>IF($C$5*'Tariffs Jul2017'!AL59/'Tariffs Jul2017'!AJ59&gt;='Tariffs Jul2017'!J59,('Tariffs Jul2017'!J59*'Tariffs Jul2017'!U59/100)* 'Tariffs Jul2017'!AJ59,($C$5*'Tariffs Jul2017'!AL59/'Tariffs Jul2017'!AJ59*'Tariffs Jul2017'!U59/100)* 'Tariffs Jul2017'!AJ59)</f>
        <v>432</v>
      </c>
      <c r="K65" s="59">
        <f>IF($C$5*'Tariffs Jul2017'!AL59/'Tariffs Jul2017'!AJ59&lt;'Tariffs Jul2017'!J59,0,IF($C$5*'Tariffs Jul2017'!AL59/'Tariffs Jul2017'!AJ59&lt;='Tariffs Jul2017'!K59,($C$5*'Tariffs Jul2017'!AL59/'Tariffs Jul2017'!AJ59-'Tariffs Jul2017'!J59)*('Tariffs Jul2017'!V59/100)*'Tariffs Jul2017'!AJ59,('Tariffs Jul2017'!K59-'Tariffs Jul2017'!J59)*('Tariffs Jul2017'!V59/100)*'Tariffs Jul2017'!AJ59))</f>
        <v>314.92649999999998</v>
      </c>
      <c r="L65" s="59">
        <f>IF($C$5*'Tariffs Jul2017'!AL59/'Tariffs Jul2017'!AJ59&lt;'Tariffs Jul2017'!K59,0,IF($C$5*'Tariffs Jul2017'!AL59/'Tariffs Jul2017'!AJ59&lt;='Tariffs Jul2017'!L59,($C$5*'Tariffs Jul2017'!AL59/'Tariffs Jul2017'!AJ59-'Tariffs Jul2017'!K59)*('Tariffs Jul2017'!W59/100)*'Tariffs Jul2017'!AJ59,('Tariffs Jul2017'!L59-'Tariffs Jul2017'!K59)*('Tariffs Jul2017'!W59/100)*'Tariffs Jul2017'!AJ59))</f>
        <v>0</v>
      </c>
      <c r="M65" s="59">
        <f>IF($C$5*'Tariffs Jul2017'!AL59/'Tariffs Jul2017'!AJ59&lt;'Tariffs Jul2017'!L59,0,IF($C$5*'Tariffs Jul2017'!AL59/'Tariffs Jul2017'!AJ59&lt;='Tariffs Jul2017'!M59,($C$5*'Tariffs Jul2017'!AL59/'Tariffs Jul2017'!AJ59-'Tariffs Jul2017'!L59)*('Tariffs Jul2017'!X59/100)*'Tariffs Jul2017'!AJ59,('Tariffs Jul2017'!M59-'Tariffs Jul2017'!L59)*('Tariffs Jul2017'!X59/100)*'Tariffs Jul2017'!AJ59))</f>
        <v>0</v>
      </c>
      <c r="N65" s="59">
        <f>IF(($C$5*'Tariffs Jul2017'!AL59/'Tariffs Jul2017'!AJ59&gt;'Tariffs Jul2017'!M59),($C$5*'Tariffs Jul2017'!AL59/'Tariffs Jul2017'!AJ59-'Tariffs Jul2017'!M59)*'Tariffs Jul2017'!Y59/100*'Tariffs Jul2017'!AJ59,0)</f>
        <v>0</v>
      </c>
      <c r="O65" s="271">
        <f t="shared" si="0"/>
        <v>1226.8803</v>
      </c>
      <c r="P65" s="59">
        <f t="shared" si="1"/>
        <v>1580.2003</v>
      </c>
      <c r="Q65" s="272">
        <f t="shared" si="2"/>
        <v>1738.2203300000001</v>
      </c>
      <c r="R65" s="40">
        <f>'Tariffs Jul2017'!AM59</f>
        <v>0</v>
      </c>
      <c r="S65" s="40">
        <f>'Tariffs Jul2017'!AN59</f>
        <v>0</v>
      </c>
      <c r="T65" s="40">
        <f>'Tariffs Jul2017'!AO59</f>
        <v>14</v>
      </c>
      <c r="U65" s="40">
        <f>'Tariffs Jul2017'!AP59</f>
        <v>0</v>
      </c>
      <c r="V65" s="273">
        <f t="shared" si="3"/>
        <v>1580.2003</v>
      </c>
      <c r="W65" s="273">
        <f>V65-(P65*T65/100)</f>
        <v>1358.972258</v>
      </c>
      <c r="X65" s="272">
        <f t="shared" si="4"/>
        <v>1738.2203300000001</v>
      </c>
      <c r="Y65" s="272">
        <f t="shared" si="4"/>
        <v>1494.8694838000001</v>
      </c>
      <c r="Z65" s="274">
        <f>'Tariffs Jul2017'!AW59</f>
        <v>0</v>
      </c>
      <c r="AA65" s="274" t="str">
        <f>'Tariffs Jul2017'!AX59</f>
        <v>n</v>
      </c>
      <c r="AB65" s="275" t="str">
        <f>'Tariffs Jul2017'!BD59</f>
        <v>N</v>
      </c>
      <c r="AC65" s="317"/>
      <c r="AD65" s="317"/>
      <c r="AE65" s="317"/>
      <c r="AF65" s="317"/>
      <c r="AG65" s="317"/>
      <c r="AH65" s="317"/>
      <c r="AI65" s="317"/>
      <c r="AJ65" s="317"/>
      <c r="AK65" s="317"/>
      <c r="AL65" s="317"/>
      <c r="AM65" s="317"/>
      <c r="AN65" s="317"/>
    </row>
    <row r="66" spans="1:40" x14ac:dyDescent="0.15">
      <c r="A66" s="270" t="str">
        <f>'Tariffs Jul2017'!F60</f>
        <v>Covau</v>
      </c>
      <c r="B66" s="40" t="str">
        <f>'Tariffs Jul2017'!D60</f>
        <v>Ausnet West</v>
      </c>
      <c r="C66" s="40" t="str">
        <f>'Tariffs Jul2017'!G60</f>
        <v>Market offer</v>
      </c>
      <c r="D66" s="59">
        <f>365*'Tariffs Jul2017'!H60/100</f>
        <v>302.95</v>
      </c>
      <c r="E66" s="59">
        <f>IF($C$5*'Tariffs Jul2017'!AK60/'Tariffs Jul2017'!AI60&gt;='Tariffs Jul2017'!J60,( 'Tariffs Jul2017'!J60*'Tariffs Jul2017'!O60/100)* 'Tariffs Jul2017'!AI60,($C$5*'Tariffs Jul2017'!AK60/'Tariffs Jul2017'!AI60*'Tariffs Jul2017'!O60/100)* 'Tariffs Jul2017'!AI60)</f>
        <v>491.40000000000003</v>
      </c>
      <c r="F66" s="59">
        <f>IF($C$5*'Tariffs Jul2017'!AK60/'Tariffs Jul2017'!AI60&lt;'Tariffs Jul2017'!J60,0,IF($C$5*'Tariffs Jul2017'!AK60/'Tariffs Jul2017'!AI60&lt;='Tariffs Jul2017'!K60,($C$5*'Tariffs Jul2017'!AK60/'Tariffs Jul2017'!AI60-'Tariffs Jul2017'!J60)*('Tariffs Jul2017'!P60/100)*'Tariffs Jul2017'!AI60,('Tariffs Jul2017'!K60-'Tariffs Jul2017'!J60)*('Tariffs Jul2017'!P60/100)*'Tariffs Jul2017'!AI60))</f>
        <v>340.20000000000005</v>
      </c>
      <c r="G66" s="59">
        <f>IF($C$5*'Tariffs Jul2017'!AK60/'Tariffs Jul2017'!AI60&lt;'Tariffs Jul2017'!K60,0,IF($C$5*'Tariffs Jul2017'!AK60/'Tariffs Jul2017'!AI60&lt;='Tariffs Jul2017'!L60,($C$5*'Tariffs Jul2017'!AK60/'Tariffs Jul2017'!AI60-'Tariffs Jul2017'!K60)*('Tariffs Jul2017'!Q60/100)*'Tariffs Jul2017'!AI60,('Tariffs Jul2017'!L60-'Tariffs Jul2017'!K60)*('Tariffs Jul2017'!Q60/100)*'Tariffs Jul2017'!AI60))</f>
        <v>0</v>
      </c>
      <c r="H66" s="59">
        <f>IF($C$5*'Tariffs Jul2017'!AK60/'Tariffs Jul2017'!AI60&lt;'Tariffs Jul2017'!L60,0,IF($C$5*'Tariffs Jul2017'!AK60/'Tariffs Jul2017'!AI60&lt;='Tariffs Jul2017'!M60,($C$5*'Tariffs Jul2017'!AK60/'Tariffs Jul2017'!AI60-'Tariffs Jul2017'!L60)*('Tariffs Jul2017'!R60/100)*'Tariffs Jul2017'!AI60,('Tariffs Jul2017'!M60-'Tariffs Jul2017'!L60)*('Tariffs Jul2017'!R60/100)*'Tariffs Jul2017'!AI60))</f>
        <v>0</v>
      </c>
      <c r="I66" s="59">
        <f>IF(($C$5*'Tariffs Jul2017'!AK60/'Tariffs Jul2017'!AI60&gt;'Tariffs Jul2017'!M60),($C$5*'Tariffs Jul2017'!AK60/'Tariffs Jul2017'!AI60-'Tariffs Jul2017'!M60)*'Tariffs Jul2017'!S60/100*'Tariffs Jul2017'!AI60,0)</f>
        <v>0</v>
      </c>
      <c r="J66" s="59">
        <f>IF($C$5*'Tariffs Jul2017'!AL60/'Tariffs Jul2017'!AJ60&gt;='Tariffs Jul2017'!J60,('Tariffs Jul2017'!J60*'Tariffs Jul2017'!U60/100)* 'Tariffs Jul2017'!AJ60,($C$5*'Tariffs Jul2017'!AL60/'Tariffs Jul2017'!AJ60*'Tariffs Jul2017'!U60/100)* 'Tariffs Jul2017'!AJ60)</f>
        <v>352.79999999999995</v>
      </c>
      <c r="K66" s="59">
        <f>IF($C$5*'Tariffs Jul2017'!AL60/'Tariffs Jul2017'!AJ60&lt;'Tariffs Jul2017'!J60,0,IF($C$5*'Tariffs Jul2017'!AL60/'Tariffs Jul2017'!AJ60&lt;='Tariffs Jul2017'!K60,($C$5*'Tariffs Jul2017'!AL60/'Tariffs Jul2017'!AJ60-'Tariffs Jul2017'!J60)*('Tariffs Jul2017'!V60/100)*'Tariffs Jul2017'!AJ60,('Tariffs Jul2017'!K60-'Tariffs Jul2017'!J60)*('Tariffs Jul2017'!V60/100)*'Tariffs Jul2017'!AJ60))</f>
        <v>249.75000000000006</v>
      </c>
      <c r="L66" s="59">
        <f>IF($C$5*'Tariffs Jul2017'!AL60/'Tariffs Jul2017'!AJ60&lt;'Tariffs Jul2017'!K60,0,IF($C$5*'Tariffs Jul2017'!AL60/'Tariffs Jul2017'!AJ60&lt;='Tariffs Jul2017'!L60,($C$5*'Tariffs Jul2017'!AL60/'Tariffs Jul2017'!AJ60-'Tariffs Jul2017'!K60)*('Tariffs Jul2017'!W60/100)*'Tariffs Jul2017'!AJ60,('Tariffs Jul2017'!L60-'Tariffs Jul2017'!K60)*('Tariffs Jul2017'!W60/100)*'Tariffs Jul2017'!AJ60))</f>
        <v>0</v>
      </c>
      <c r="M66" s="59">
        <f>IF($C$5*'Tariffs Jul2017'!AL60/'Tariffs Jul2017'!AJ60&lt;'Tariffs Jul2017'!L60,0,IF($C$5*'Tariffs Jul2017'!AL60/'Tariffs Jul2017'!AJ60&lt;='Tariffs Jul2017'!M60,($C$5*'Tariffs Jul2017'!AL60/'Tariffs Jul2017'!AJ60-'Tariffs Jul2017'!L60)*('Tariffs Jul2017'!X60/100)*'Tariffs Jul2017'!AJ60,('Tariffs Jul2017'!M60-'Tariffs Jul2017'!L60)*('Tariffs Jul2017'!X60/100)*'Tariffs Jul2017'!AJ60))</f>
        <v>0</v>
      </c>
      <c r="N66" s="59">
        <f>IF(($C$5*'Tariffs Jul2017'!AL60/'Tariffs Jul2017'!AJ60&gt;'Tariffs Jul2017'!M60),($C$5*'Tariffs Jul2017'!AL60/'Tariffs Jul2017'!AJ60-'Tariffs Jul2017'!M60)*'Tariffs Jul2017'!Y60/100*'Tariffs Jul2017'!AJ60,0)</f>
        <v>0</v>
      </c>
      <c r="O66" s="271">
        <f t="shared" si="0"/>
        <v>1434.15</v>
      </c>
      <c r="P66" s="59">
        <f t="shared" si="1"/>
        <v>1737.1000000000001</v>
      </c>
      <c r="Q66" s="272">
        <f t="shared" si="2"/>
        <v>1910.8100000000004</v>
      </c>
      <c r="R66" s="40">
        <f>'Tariffs Jul2017'!AM60</f>
        <v>0</v>
      </c>
      <c r="S66" s="40">
        <f>'Tariffs Jul2017'!AN60</f>
        <v>0</v>
      </c>
      <c r="T66" s="40">
        <f>'Tariffs Jul2017'!AO60</f>
        <v>0</v>
      </c>
      <c r="U66" s="40">
        <f>'Tariffs Jul2017'!AP60</f>
        <v>16</v>
      </c>
      <c r="V66" s="273">
        <f t="shared" si="3"/>
        <v>1737.1000000000001</v>
      </c>
      <c r="W66" s="273">
        <f>V66-(O66*U66/100)</f>
        <v>1507.6360000000002</v>
      </c>
      <c r="X66" s="272">
        <f t="shared" si="4"/>
        <v>1910.8100000000004</v>
      </c>
      <c r="Y66" s="272">
        <f t="shared" si="4"/>
        <v>1658.3996000000004</v>
      </c>
      <c r="Z66" s="274">
        <f>'Tariffs Jul2017'!AW60</f>
        <v>12</v>
      </c>
      <c r="AA66" s="274" t="str">
        <f>'Tariffs Jul2017'!AX60</f>
        <v>y</v>
      </c>
      <c r="AB66" s="275" t="str">
        <f>'Tariffs Jul2017'!BD60</f>
        <v>N</v>
      </c>
      <c r="AC66" s="317"/>
      <c r="AD66" s="317"/>
      <c r="AE66" s="317"/>
      <c r="AF66" s="317"/>
      <c r="AG66" s="317"/>
      <c r="AH66" s="317"/>
      <c r="AI66" s="317"/>
      <c r="AJ66" s="317"/>
      <c r="AK66" s="317"/>
      <c r="AL66" s="317"/>
      <c r="AM66" s="317"/>
      <c r="AN66" s="317"/>
    </row>
    <row r="67" spans="1:40" x14ac:dyDescent="0.15">
      <c r="A67" s="270" t="str">
        <f>'Tariffs Jul2017'!F61</f>
        <v>EnergyAustralia</v>
      </c>
      <c r="B67" s="40" t="str">
        <f>'Tariffs Jul2017'!D61</f>
        <v>Ausnet West</v>
      </c>
      <c r="C67" s="40" t="str">
        <f>'Tariffs Jul2017'!G61</f>
        <v xml:space="preserve">Flexi Saver </v>
      </c>
      <c r="D67" s="59">
        <f>365*'Tariffs Jul2017'!H61/100</f>
        <v>305.14</v>
      </c>
      <c r="E67" s="59">
        <f>IF($C$5*'Tariffs Jul2017'!AK61/'Tariffs Jul2017'!AI61&gt;='Tariffs Jul2017'!J61,( 'Tariffs Jul2017'!J61*'Tariffs Jul2017'!O61/100)* 'Tariffs Jul2017'!AI61,($C$5*'Tariffs Jul2017'!AK61/'Tariffs Jul2017'!AI61*'Tariffs Jul2017'!O61/100)* 'Tariffs Jul2017'!AI61)</f>
        <v>260.39999999999998</v>
      </c>
      <c r="F67" s="59">
        <f>IF($C$5*'Tariffs Jul2017'!AK61/'Tariffs Jul2017'!AI61&lt;'Tariffs Jul2017'!J61,0,IF($C$5*'Tariffs Jul2017'!AK61/'Tariffs Jul2017'!AI61&lt;='Tariffs Jul2017'!K61,($C$5*'Tariffs Jul2017'!AK61/'Tariffs Jul2017'!AI61-'Tariffs Jul2017'!J61)*('Tariffs Jul2017'!P61/100)*'Tariffs Jul2017'!AI61,('Tariffs Jul2017'!K61-'Tariffs Jul2017'!J61)*('Tariffs Jul2017'!P61/100)*'Tariffs Jul2017'!AI61))</f>
        <v>186.25652999999994</v>
      </c>
      <c r="G67" s="59">
        <f>IF($C$5*'Tariffs Jul2017'!AK61/'Tariffs Jul2017'!AI61&lt;'Tariffs Jul2017'!K61,0,IF($C$5*'Tariffs Jul2017'!AK61/'Tariffs Jul2017'!AI61&lt;='Tariffs Jul2017'!L61,($C$5*'Tariffs Jul2017'!AK61/'Tariffs Jul2017'!AI61-'Tariffs Jul2017'!K61)*('Tariffs Jul2017'!Q61/100)*'Tariffs Jul2017'!AI61,('Tariffs Jul2017'!L61-'Tariffs Jul2017'!K61)*('Tariffs Jul2017'!Q61/100)*'Tariffs Jul2017'!AI61))</f>
        <v>0</v>
      </c>
      <c r="H67" s="59">
        <f>IF($C$5*'Tariffs Jul2017'!AK61/'Tariffs Jul2017'!AI61&lt;'Tariffs Jul2017'!L61,0,IF($C$5*'Tariffs Jul2017'!AK61/'Tariffs Jul2017'!AI61&lt;='Tariffs Jul2017'!M61,($C$5*'Tariffs Jul2017'!AK61/'Tariffs Jul2017'!AI61-'Tariffs Jul2017'!L61)*('Tariffs Jul2017'!R61/100)*'Tariffs Jul2017'!AI61,('Tariffs Jul2017'!M61-'Tariffs Jul2017'!L61)*('Tariffs Jul2017'!R61/100)*'Tariffs Jul2017'!AI61))</f>
        <v>0</v>
      </c>
      <c r="I67" s="59">
        <f>IF(($C$5*'Tariffs Jul2017'!AK61/'Tariffs Jul2017'!AI61&gt;'Tariffs Jul2017'!M61),($C$5*'Tariffs Jul2017'!AK61/'Tariffs Jul2017'!AI61-'Tariffs Jul2017'!M61)*'Tariffs Jul2017'!S61/100*'Tariffs Jul2017'!AI61,0)</f>
        <v>0</v>
      </c>
      <c r="J67" s="59">
        <f>IF($C$5*'Tariffs Jul2017'!AL61/'Tariffs Jul2017'!AJ61&gt;='Tariffs Jul2017'!J61,('Tariffs Jul2017'!J61*'Tariffs Jul2017'!U61/100)* 'Tariffs Jul2017'!AJ61,($C$5*'Tariffs Jul2017'!AL61/'Tariffs Jul2017'!AJ61*'Tariffs Jul2017'!U61/100)* 'Tariffs Jul2017'!AJ61)</f>
        <v>376.8</v>
      </c>
      <c r="K67" s="59">
        <f>IF($C$5*'Tariffs Jul2017'!AL61/'Tariffs Jul2017'!AJ61&lt;'Tariffs Jul2017'!J61,0,IF($C$5*'Tariffs Jul2017'!AL61/'Tariffs Jul2017'!AJ61&lt;='Tariffs Jul2017'!K61,($C$5*'Tariffs Jul2017'!AL61/'Tariffs Jul2017'!AJ61-'Tariffs Jul2017'!J61)*('Tariffs Jul2017'!V61/100)*'Tariffs Jul2017'!AJ61,('Tariffs Jul2017'!K61-'Tariffs Jul2017'!J61)*('Tariffs Jul2017'!V61/100)*'Tariffs Jul2017'!AJ61))</f>
        <v>268.13741999999996</v>
      </c>
      <c r="L67" s="59">
        <f>IF($C$5*'Tariffs Jul2017'!AL61/'Tariffs Jul2017'!AJ61&lt;'Tariffs Jul2017'!K61,0,IF($C$5*'Tariffs Jul2017'!AL61/'Tariffs Jul2017'!AJ61&lt;='Tariffs Jul2017'!L61,($C$5*'Tariffs Jul2017'!AL61/'Tariffs Jul2017'!AJ61-'Tariffs Jul2017'!K61)*('Tariffs Jul2017'!W61/100)*'Tariffs Jul2017'!AJ61,('Tariffs Jul2017'!L61-'Tariffs Jul2017'!K61)*('Tariffs Jul2017'!W61/100)*'Tariffs Jul2017'!AJ61))</f>
        <v>0</v>
      </c>
      <c r="M67" s="59">
        <f>IF($C$5*'Tariffs Jul2017'!AL61/'Tariffs Jul2017'!AJ61&lt;'Tariffs Jul2017'!L61,0,IF($C$5*'Tariffs Jul2017'!AL61/'Tariffs Jul2017'!AJ61&lt;='Tariffs Jul2017'!M61,($C$5*'Tariffs Jul2017'!AL61/'Tariffs Jul2017'!AJ61-'Tariffs Jul2017'!L61)*('Tariffs Jul2017'!X61/100)*'Tariffs Jul2017'!AJ61,('Tariffs Jul2017'!M61-'Tariffs Jul2017'!L61)*('Tariffs Jul2017'!X61/100)*'Tariffs Jul2017'!AJ61))</f>
        <v>0</v>
      </c>
      <c r="N67" s="59">
        <f>IF(($C$5*'Tariffs Jul2017'!AL61/'Tariffs Jul2017'!AJ61&gt;'Tariffs Jul2017'!M61),($C$5*'Tariffs Jul2017'!AL61/'Tariffs Jul2017'!AJ61-'Tariffs Jul2017'!M61)*'Tariffs Jul2017'!Y61/100*'Tariffs Jul2017'!AJ61,0)</f>
        <v>0</v>
      </c>
      <c r="O67" s="271">
        <f t="shared" si="0"/>
        <v>1091.5939499999999</v>
      </c>
      <c r="P67" s="59">
        <f t="shared" si="1"/>
        <v>1396.7339499999998</v>
      </c>
      <c r="Q67" s="272">
        <f t="shared" si="2"/>
        <v>1536.4073449999999</v>
      </c>
      <c r="R67" s="40">
        <f>'Tariffs Jul2017'!AM61</f>
        <v>0</v>
      </c>
      <c r="S67" s="40">
        <f>'Tariffs Jul2017'!AN61</f>
        <v>0</v>
      </c>
      <c r="T67" s="40">
        <f>'Tariffs Jul2017'!AO61</f>
        <v>0</v>
      </c>
      <c r="U67" s="40">
        <f>'Tariffs Jul2017'!AP61</f>
        <v>20</v>
      </c>
      <c r="V67" s="273">
        <f t="shared" si="3"/>
        <v>1396.7339499999998</v>
      </c>
      <c r="W67" s="273">
        <f>V67-(O67*U67/100)</f>
        <v>1178.4151599999998</v>
      </c>
      <c r="X67" s="272">
        <f t="shared" si="4"/>
        <v>1536.4073449999999</v>
      </c>
      <c r="Y67" s="272">
        <f t="shared" si="4"/>
        <v>1296.256676</v>
      </c>
      <c r="Z67" s="274">
        <f>'Tariffs Jul2017'!AW61</f>
        <v>0</v>
      </c>
      <c r="AA67" s="274" t="str">
        <f>'Tariffs Jul2017'!AX61</f>
        <v>n</v>
      </c>
      <c r="AB67" s="275" t="str">
        <f>'Tariffs Jul2017'!BD61</f>
        <v>N</v>
      </c>
      <c r="AC67" s="317"/>
      <c r="AD67" s="317"/>
      <c r="AE67" s="317"/>
      <c r="AF67" s="317"/>
      <c r="AG67" s="317"/>
      <c r="AH67" s="317"/>
      <c r="AI67" s="317"/>
      <c r="AJ67" s="317"/>
      <c r="AK67" s="317"/>
      <c r="AL67" s="317"/>
      <c r="AM67" s="317"/>
      <c r="AN67" s="317"/>
    </row>
    <row r="68" spans="1:40" x14ac:dyDescent="0.15">
      <c r="A68" s="270" t="str">
        <f>'Tariffs Jul2017'!F62</f>
        <v>Lumo Energy</v>
      </c>
      <c r="B68" s="40" t="str">
        <f>'Tariffs Jul2017'!D62</f>
        <v>Ausnet West</v>
      </c>
      <c r="C68" s="40" t="str">
        <f>'Tariffs Jul2017'!G62</f>
        <v>Advantage</v>
      </c>
      <c r="D68" s="59">
        <f>365*'Tariffs Jul2017'!H62/100</f>
        <v>288.67850000000004</v>
      </c>
      <c r="E68" s="59">
        <f>IF($C$5*'Tariffs Jul2017'!AK62/'Tariffs Jul2017'!AI62&gt;='Tariffs Jul2017'!J62,( 'Tariffs Jul2017'!J62*'Tariffs Jul2017'!O62/100)* 'Tariffs Jul2017'!AI62,($C$5*'Tariffs Jul2017'!AK62/'Tariffs Jul2017'!AI62*'Tariffs Jul2017'!O62/100)* 'Tariffs Jul2017'!AI62)</f>
        <v>245.88</v>
      </c>
      <c r="F68" s="59">
        <f>IF($C$5*'Tariffs Jul2017'!AK62/'Tariffs Jul2017'!AI62&lt;'Tariffs Jul2017'!J62,0,IF($C$5*'Tariffs Jul2017'!AK62/'Tariffs Jul2017'!AI62&lt;='Tariffs Jul2017'!K62,($C$5*'Tariffs Jul2017'!AK62/'Tariffs Jul2017'!AI62-'Tariffs Jul2017'!J62)*('Tariffs Jul2017'!P62/100)*'Tariffs Jul2017'!AI62,('Tariffs Jul2017'!K62-'Tariffs Jul2017'!J62)*('Tariffs Jul2017'!P62/100)*'Tariffs Jul2017'!AI62))</f>
        <v>169.34047799999996</v>
      </c>
      <c r="G68" s="59">
        <f>IF($C$5*'Tariffs Jul2017'!AK62/'Tariffs Jul2017'!AI62&lt;'Tariffs Jul2017'!K62,0,IF($C$5*'Tariffs Jul2017'!AK62/'Tariffs Jul2017'!AI62&lt;='Tariffs Jul2017'!L62,($C$5*'Tariffs Jul2017'!AK62/'Tariffs Jul2017'!AI62-'Tariffs Jul2017'!K62)*('Tariffs Jul2017'!Q62/100)*'Tariffs Jul2017'!AI62,('Tariffs Jul2017'!L62-'Tariffs Jul2017'!K62)*('Tariffs Jul2017'!Q62/100)*'Tariffs Jul2017'!AI62))</f>
        <v>0</v>
      </c>
      <c r="H68" s="59">
        <f>IF($C$5*'Tariffs Jul2017'!AK62/'Tariffs Jul2017'!AI62&lt;'Tariffs Jul2017'!L62,0,IF($C$5*'Tariffs Jul2017'!AK62/'Tariffs Jul2017'!AI62&lt;='Tariffs Jul2017'!M62,($C$5*'Tariffs Jul2017'!AK62/'Tariffs Jul2017'!AI62-'Tariffs Jul2017'!L62)*('Tariffs Jul2017'!R62/100)*'Tariffs Jul2017'!AI62,('Tariffs Jul2017'!M62-'Tariffs Jul2017'!L62)*('Tariffs Jul2017'!R62/100)*'Tariffs Jul2017'!AI62))</f>
        <v>0</v>
      </c>
      <c r="I68" s="59">
        <f>IF(($C$5*'Tariffs Jul2017'!AK62/'Tariffs Jul2017'!AI62&gt;'Tariffs Jul2017'!M62),($C$5*'Tariffs Jul2017'!AK62/'Tariffs Jul2017'!AI62-'Tariffs Jul2017'!M62)*'Tariffs Jul2017'!S62/100*'Tariffs Jul2017'!AI62,0)</f>
        <v>0</v>
      </c>
      <c r="J68" s="59">
        <f>IF($C$5*'Tariffs Jul2017'!AL62/'Tariffs Jul2017'!AJ62&gt;='Tariffs Jul2017'!J62,('Tariffs Jul2017'!J62*'Tariffs Jul2017'!U62/100)* 'Tariffs Jul2017'!AJ62,($C$5*'Tariffs Jul2017'!AL62/'Tariffs Jul2017'!AJ62*'Tariffs Jul2017'!U62/100)* 'Tariffs Jul2017'!AJ62)</f>
        <v>377.76</v>
      </c>
      <c r="K68" s="59">
        <f>IF($C$5*'Tariffs Jul2017'!AL62/'Tariffs Jul2017'!AJ62&lt;'Tariffs Jul2017'!J62,0,IF($C$5*'Tariffs Jul2017'!AL62/'Tariffs Jul2017'!AJ62&lt;='Tariffs Jul2017'!K62,($C$5*'Tariffs Jul2017'!AL62/'Tariffs Jul2017'!AJ62-'Tariffs Jul2017'!J62)*('Tariffs Jul2017'!V62/100)*'Tariffs Jul2017'!AJ62,('Tariffs Jul2017'!K62-'Tariffs Jul2017'!J62)*('Tariffs Jul2017'!V62/100)*'Tariffs Jul2017'!AJ62))</f>
        <v>278.21506799999992</v>
      </c>
      <c r="L68" s="59">
        <f>IF($C$5*'Tariffs Jul2017'!AL62/'Tariffs Jul2017'!AJ62&lt;'Tariffs Jul2017'!K62,0,IF($C$5*'Tariffs Jul2017'!AL62/'Tariffs Jul2017'!AJ62&lt;='Tariffs Jul2017'!L62,($C$5*'Tariffs Jul2017'!AL62/'Tariffs Jul2017'!AJ62-'Tariffs Jul2017'!K62)*('Tariffs Jul2017'!W62/100)*'Tariffs Jul2017'!AJ62,('Tariffs Jul2017'!L62-'Tariffs Jul2017'!K62)*('Tariffs Jul2017'!W62/100)*'Tariffs Jul2017'!AJ62))</f>
        <v>0</v>
      </c>
      <c r="M68" s="59">
        <f>IF($C$5*'Tariffs Jul2017'!AL62/'Tariffs Jul2017'!AJ62&lt;'Tariffs Jul2017'!L62,0,IF($C$5*'Tariffs Jul2017'!AL62/'Tariffs Jul2017'!AJ62&lt;='Tariffs Jul2017'!M62,($C$5*'Tariffs Jul2017'!AL62/'Tariffs Jul2017'!AJ62-'Tariffs Jul2017'!L62)*('Tariffs Jul2017'!X62/100)*'Tariffs Jul2017'!AJ62,('Tariffs Jul2017'!M62-'Tariffs Jul2017'!L62)*('Tariffs Jul2017'!X62/100)*'Tariffs Jul2017'!AJ62))</f>
        <v>0</v>
      </c>
      <c r="N68" s="59">
        <f>IF(($C$5*'Tariffs Jul2017'!AL62/'Tariffs Jul2017'!AJ62&gt;'Tariffs Jul2017'!M62),($C$5*'Tariffs Jul2017'!AL62/'Tariffs Jul2017'!AJ62-'Tariffs Jul2017'!M62)*'Tariffs Jul2017'!Y62/100*'Tariffs Jul2017'!AJ62,0)</f>
        <v>0</v>
      </c>
      <c r="O68" s="271">
        <f t="shared" si="0"/>
        <v>1071.1955459999999</v>
      </c>
      <c r="P68" s="59">
        <f t="shared" si="1"/>
        <v>1359.8740459999999</v>
      </c>
      <c r="Q68" s="272">
        <f t="shared" si="2"/>
        <v>1495.8614506000001</v>
      </c>
      <c r="R68" s="40">
        <f>'Tariffs Jul2017'!AM62</f>
        <v>0</v>
      </c>
      <c r="S68" s="40">
        <f>'Tariffs Jul2017'!AN62</f>
        <v>0</v>
      </c>
      <c r="T68" s="40">
        <f>'Tariffs Jul2017'!AO62</f>
        <v>15</v>
      </c>
      <c r="U68" s="40">
        <f>'Tariffs Jul2017'!AP62</f>
        <v>0</v>
      </c>
      <c r="V68" s="273">
        <f t="shared" si="3"/>
        <v>1359.8740459999999</v>
      </c>
      <c r="W68" s="273">
        <f>V68-(P68*T68/100)</f>
        <v>1155.8929390999999</v>
      </c>
      <c r="X68" s="272">
        <f t="shared" si="4"/>
        <v>1495.8614506000001</v>
      </c>
      <c r="Y68" s="272">
        <f t="shared" si="4"/>
        <v>1271.4822330100001</v>
      </c>
      <c r="Z68" s="274">
        <f>'Tariffs Jul2017'!AW62</f>
        <v>0</v>
      </c>
      <c r="AA68" s="274" t="str">
        <f>'Tariffs Jul2017'!AX62</f>
        <v>n</v>
      </c>
      <c r="AB68" s="275" t="str">
        <f>'Tariffs Jul2017'!BD62</f>
        <v>N</v>
      </c>
      <c r="AC68" s="317"/>
      <c r="AD68" s="317"/>
      <c r="AE68" s="317"/>
      <c r="AF68" s="317"/>
      <c r="AG68" s="317"/>
      <c r="AH68" s="317"/>
      <c r="AI68" s="317"/>
      <c r="AJ68" s="317"/>
      <c r="AK68" s="317"/>
      <c r="AL68" s="317"/>
      <c r="AM68" s="317"/>
      <c r="AN68" s="317"/>
    </row>
    <row r="69" spans="1:40" x14ac:dyDescent="0.15">
      <c r="A69" s="270" t="str">
        <f>'Tariffs Jul2017'!F63</f>
        <v>Momentum Energy</v>
      </c>
      <c r="B69" s="40" t="str">
        <f>'Tariffs Jul2017'!D63</f>
        <v>Ausnet West</v>
      </c>
      <c r="C69" s="40" t="str">
        <f>'Tariffs Jul2017'!G63</f>
        <v>Market offer</v>
      </c>
      <c r="D69" s="59">
        <f>365*'Tariffs Jul2017'!H63/100</f>
        <v>255.02550000000002</v>
      </c>
      <c r="E69" s="59">
        <f>IF($C$5*'Tariffs Jul2017'!AK63/'Tariffs Jul2017'!AI63&gt;='Tariffs Jul2017'!J63,( 'Tariffs Jul2017'!J63*'Tariffs Jul2017'!O63/100)* 'Tariffs Jul2017'!AI63,($C$5*'Tariffs Jul2017'!AK63/'Tariffs Jul2017'!AI63*'Tariffs Jul2017'!O63/100)* 'Tariffs Jul2017'!AI63)</f>
        <v>217.44</v>
      </c>
      <c r="F69" s="59">
        <f>IF($C$5*'Tariffs Jul2017'!AK63/'Tariffs Jul2017'!AI63&lt;'Tariffs Jul2017'!J63,0,IF($C$5*'Tariffs Jul2017'!AK63/'Tariffs Jul2017'!AI63&lt;='Tariffs Jul2017'!K63,($C$5*'Tariffs Jul2017'!AK63/'Tariffs Jul2017'!AI63-'Tariffs Jul2017'!J63)*('Tariffs Jul2017'!P63/100)*'Tariffs Jul2017'!AI63,('Tariffs Jul2017'!K63-'Tariffs Jul2017'!J63)*('Tariffs Jul2017'!P63/100)*'Tariffs Jul2017'!AI63))</f>
        <v>149.45511899999997</v>
      </c>
      <c r="G69" s="59">
        <f>IF($C$5*'Tariffs Jul2017'!AK63/'Tariffs Jul2017'!AI63&lt;'Tariffs Jul2017'!K63,0,IF($C$5*'Tariffs Jul2017'!AK63/'Tariffs Jul2017'!AI63&lt;='Tariffs Jul2017'!L63,($C$5*'Tariffs Jul2017'!AK63/'Tariffs Jul2017'!AI63-'Tariffs Jul2017'!K63)*('Tariffs Jul2017'!Q63/100)*'Tariffs Jul2017'!AI63,('Tariffs Jul2017'!L63-'Tariffs Jul2017'!K63)*('Tariffs Jul2017'!Q63/100)*'Tariffs Jul2017'!AI63))</f>
        <v>0</v>
      </c>
      <c r="H69" s="59">
        <f>IF($C$5*'Tariffs Jul2017'!AK63/'Tariffs Jul2017'!AI63&lt;'Tariffs Jul2017'!L63,0,IF($C$5*'Tariffs Jul2017'!AK63/'Tariffs Jul2017'!AI63&lt;='Tariffs Jul2017'!M63,($C$5*'Tariffs Jul2017'!AK63/'Tariffs Jul2017'!AI63-'Tariffs Jul2017'!L63)*('Tariffs Jul2017'!R63/100)*'Tariffs Jul2017'!AI63,('Tariffs Jul2017'!M63-'Tariffs Jul2017'!L63)*('Tariffs Jul2017'!R63/100)*'Tariffs Jul2017'!AI63))</f>
        <v>0</v>
      </c>
      <c r="I69" s="59">
        <f>IF(($C$5*'Tariffs Jul2017'!AK63/'Tariffs Jul2017'!AI63&gt;'Tariffs Jul2017'!M63),($C$5*'Tariffs Jul2017'!AK63/'Tariffs Jul2017'!AI63-'Tariffs Jul2017'!M63)*'Tariffs Jul2017'!S63/100*'Tariffs Jul2017'!AI63,0)</f>
        <v>0</v>
      </c>
      <c r="J69" s="59">
        <f>IF($C$5*'Tariffs Jul2017'!AL63/'Tariffs Jul2017'!AJ63&gt;='Tariffs Jul2017'!J63,('Tariffs Jul2017'!J63*'Tariffs Jul2017'!U63/100)* 'Tariffs Jul2017'!AJ63,($C$5*'Tariffs Jul2017'!AL63/'Tariffs Jul2017'!AJ63*'Tariffs Jul2017'!U63/100)* 'Tariffs Jul2017'!AJ63)</f>
        <v>338.64</v>
      </c>
      <c r="K69" s="59">
        <f>IF($C$5*'Tariffs Jul2017'!AL63/'Tariffs Jul2017'!AJ63&lt;'Tariffs Jul2017'!J63,0,IF($C$5*'Tariffs Jul2017'!AL63/'Tariffs Jul2017'!AJ63&lt;='Tariffs Jul2017'!K63,($C$5*'Tariffs Jul2017'!AL63/'Tariffs Jul2017'!AJ63-'Tariffs Jul2017'!J63)*('Tariffs Jul2017'!V63/100)*'Tariffs Jul2017'!AJ63,('Tariffs Jul2017'!K63-'Tariffs Jul2017'!J63)*('Tariffs Jul2017'!V63/100)*'Tariffs Jul2017'!AJ63))</f>
        <v>250.5015359999999</v>
      </c>
      <c r="L69" s="59">
        <f>IF($C$5*'Tariffs Jul2017'!AL63/'Tariffs Jul2017'!AJ63&lt;'Tariffs Jul2017'!K63,0,IF($C$5*'Tariffs Jul2017'!AL63/'Tariffs Jul2017'!AJ63&lt;='Tariffs Jul2017'!L63,($C$5*'Tariffs Jul2017'!AL63/'Tariffs Jul2017'!AJ63-'Tariffs Jul2017'!K63)*('Tariffs Jul2017'!W63/100)*'Tariffs Jul2017'!AJ63,('Tariffs Jul2017'!L63-'Tariffs Jul2017'!K63)*('Tariffs Jul2017'!W63/100)*'Tariffs Jul2017'!AJ63))</f>
        <v>0</v>
      </c>
      <c r="M69" s="59">
        <f>IF($C$5*'Tariffs Jul2017'!AL63/'Tariffs Jul2017'!AJ63&lt;'Tariffs Jul2017'!L63,0,IF($C$5*'Tariffs Jul2017'!AL63/'Tariffs Jul2017'!AJ63&lt;='Tariffs Jul2017'!M63,($C$5*'Tariffs Jul2017'!AL63/'Tariffs Jul2017'!AJ63-'Tariffs Jul2017'!L63)*('Tariffs Jul2017'!X63/100)*'Tariffs Jul2017'!AJ63,('Tariffs Jul2017'!M63-'Tariffs Jul2017'!L63)*('Tariffs Jul2017'!X63/100)*'Tariffs Jul2017'!AJ63))</f>
        <v>0</v>
      </c>
      <c r="N69" s="59">
        <f>IF(($C$5*'Tariffs Jul2017'!AL63/'Tariffs Jul2017'!AJ63&gt;'Tariffs Jul2017'!M63),($C$5*'Tariffs Jul2017'!AL63/'Tariffs Jul2017'!AJ63-'Tariffs Jul2017'!M63)*'Tariffs Jul2017'!Y63/100*'Tariffs Jul2017'!AJ63,0)</f>
        <v>0</v>
      </c>
      <c r="O69" s="271">
        <f t="shared" si="0"/>
        <v>956.03665499999977</v>
      </c>
      <c r="P69" s="59">
        <f t="shared" si="1"/>
        <v>1211.0621549999998</v>
      </c>
      <c r="Q69" s="272">
        <f t="shared" si="2"/>
        <v>1332.1683705</v>
      </c>
      <c r="R69" s="40">
        <f>'Tariffs Jul2017'!AM63</f>
        <v>0</v>
      </c>
      <c r="S69" s="40">
        <f>'Tariffs Jul2017'!AN63</f>
        <v>0</v>
      </c>
      <c r="T69" s="40">
        <f>'Tariffs Jul2017'!AO63</f>
        <v>0</v>
      </c>
      <c r="U69" s="40">
        <f>'Tariffs Jul2017'!AP63</f>
        <v>0</v>
      </c>
      <c r="V69" s="273">
        <f t="shared" si="3"/>
        <v>1211.0621549999998</v>
      </c>
      <c r="W69" s="273">
        <f>V69</f>
        <v>1211.0621549999998</v>
      </c>
      <c r="X69" s="272">
        <f t="shared" si="4"/>
        <v>1332.1683705</v>
      </c>
      <c r="Y69" s="272">
        <f t="shared" si="4"/>
        <v>1332.1683705</v>
      </c>
      <c r="Z69" s="274">
        <f>'Tariffs Jul2017'!AW63</f>
        <v>0</v>
      </c>
      <c r="AA69" s="274" t="str">
        <f>'Tariffs Jul2017'!AX63</f>
        <v>n</v>
      </c>
      <c r="AB69" s="275" t="str">
        <f>'Tariffs Jul2017'!BD63</f>
        <v>Y</v>
      </c>
      <c r="AC69" s="317"/>
      <c r="AD69" s="317"/>
      <c r="AE69" s="317"/>
      <c r="AF69" s="317"/>
      <c r="AG69" s="317"/>
      <c r="AH69" s="317"/>
      <c r="AI69" s="317"/>
      <c r="AJ69" s="317"/>
      <c r="AK69" s="317"/>
      <c r="AL69" s="317"/>
      <c r="AM69" s="317"/>
      <c r="AN69" s="317"/>
    </row>
    <row r="70" spans="1:40" x14ac:dyDescent="0.15">
      <c r="A70" s="270" t="str">
        <f>'Tariffs Jul2017'!F64</f>
        <v>Origin Energy</v>
      </c>
      <c r="B70" s="40" t="str">
        <f>'Tariffs Jul2017'!D64</f>
        <v>Ausnet West</v>
      </c>
      <c r="C70" s="40" t="str">
        <f>'Tariffs Jul2017'!G64</f>
        <v>Saver</v>
      </c>
      <c r="D70" s="59">
        <f>365*'Tariffs Jul2017'!H64/100</f>
        <v>300.10300000000001</v>
      </c>
      <c r="E70" s="59">
        <f>IF($C$5*'Tariffs Jul2017'!AK64/'Tariffs Jul2017'!AI64&gt;='Tariffs Jul2017'!J64,( 'Tariffs Jul2017'!J64*'Tariffs Jul2017'!O64/100)* 'Tariffs Jul2017'!AI64,($C$5*'Tariffs Jul2017'!AK64/'Tariffs Jul2017'!AI64*'Tariffs Jul2017'!O64/100)* 'Tariffs Jul2017'!AI64)</f>
        <v>143.744</v>
      </c>
      <c r="F70" s="59">
        <f>IF($C$5*'Tariffs Jul2017'!AK64/'Tariffs Jul2017'!AI64&lt;'Tariffs Jul2017'!J64,0,IF($C$5*'Tariffs Jul2017'!AK64/'Tariffs Jul2017'!AI64&lt;='Tariffs Jul2017'!K64,($C$5*'Tariffs Jul2017'!AK64/'Tariffs Jul2017'!AI64-'Tariffs Jul2017'!J64)*('Tariffs Jul2017'!P64/100)*'Tariffs Jul2017'!AI64,('Tariffs Jul2017'!K64-'Tariffs Jul2017'!J64)*('Tariffs Jul2017'!P64/100)*'Tariffs Jul2017'!AI64))</f>
        <v>0</v>
      </c>
      <c r="G70" s="59">
        <f>IF($C$5*'Tariffs Jul2017'!AK64/'Tariffs Jul2017'!AI64&lt;'Tariffs Jul2017'!K64,0,IF($C$5*'Tariffs Jul2017'!AK64/'Tariffs Jul2017'!AI64&lt;='Tariffs Jul2017'!L64,($C$5*'Tariffs Jul2017'!AK64/'Tariffs Jul2017'!AI64-'Tariffs Jul2017'!K64)*('Tariffs Jul2017'!Q64/100)*'Tariffs Jul2017'!AI64,('Tariffs Jul2017'!L64-'Tariffs Jul2017'!K64)*('Tariffs Jul2017'!Q64/100)*'Tariffs Jul2017'!AI64))</f>
        <v>0</v>
      </c>
      <c r="H70" s="59">
        <f>IF($C$5*'Tariffs Jul2017'!AK64/'Tariffs Jul2017'!AI64&lt;'Tariffs Jul2017'!L64,0,IF($C$5*'Tariffs Jul2017'!AK64/'Tariffs Jul2017'!AI64&lt;='Tariffs Jul2017'!M64,($C$5*'Tariffs Jul2017'!AK64/'Tariffs Jul2017'!AI64-'Tariffs Jul2017'!L64)*('Tariffs Jul2017'!R64/100)*'Tariffs Jul2017'!AI64,('Tariffs Jul2017'!M64-'Tariffs Jul2017'!L64)*('Tariffs Jul2017'!R64/100)*'Tariffs Jul2017'!AI64))</f>
        <v>0</v>
      </c>
      <c r="I70" s="59">
        <f>IF(($C$5*'Tariffs Jul2017'!AK64/'Tariffs Jul2017'!AI64&gt;'Tariffs Jul2017'!M64),($C$5*'Tariffs Jul2017'!AK64/'Tariffs Jul2017'!AI64-'Tariffs Jul2017'!M64)*'Tariffs Jul2017'!S64/100*'Tariffs Jul2017'!AI64,0)</f>
        <v>287.14069299999994</v>
      </c>
      <c r="J70" s="59">
        <f>IF($C$5*'Tariffs Jul2017'!AL64/'Tariffs Jul2017'!AJ64&gt;='Tariffs Jul2017'!J64,('Tariffs Jul2017'!J64*'Tariffs Jul2017'!U64/100)* 'Tariffs Jul2017'!AJ64,($C$5*'Tariffs Jul2017'!AL64/'Tariffs Jul2017'!AJ64*'Tariffs Jul2017'!U64/100)* 'Tariffs Jul2017'!AJ64)</f>
        <v>208.25599999999997</v>
      </c>
      <c r="K70" s="59">
        <f>IF($C$5*'Tariffs Jul2017'!AL64/'Tariffs Jul2017'!AJ64&lt;'Tariffs Jul2017'!J64,0,IF($C$5*'Tariffs Jul2017'!AL64/'Tariffs Jul2017'!AJ64&lt;='Tariffs Jul2017'!K64,($C$5*'Tariffs Jul2017'!AL64/'Tariffs Jul2017'!AJ64-'Tariffs Jul2017'!J64)*('Tariffs Jul2017'!V64/100)*'Tariffs Jul2017'!AJ64,('Tariffs Jul2017'!K64-'Tariffs Jul2017'!J64)*('Tariffs Jul2017'!V64/100)*'Tariffs Jul2017'!AJ64))</f>
        <v>0</v>
      </c>
      <c r="L70" s="59">
        <f>IF($C$5*'Tariffs Jul2017'!AL64/'Tariffs Jul2017'!AJ64&lt;'Tariffs Jul2017'!K64,0,IF($C$5*'Tariffs Jul2017'!AL64/'Tariffs Jul2017'!AJ64&lt;='Tariffs Jul2017'!L64,($C$5*'Tariffs Jul2017'!AL64/'Tariffs Jul2017'!AJ64-'Tariffs Jul2017'!K64)*('Tariffs Jul2017'!W64/100)*'Tariffs Jul2017'!AJ64,('Tariffs Jul2017'!L64-'Tariffs Jul2017'!K64)*('Tariffs Jul2017'!W64/100)*'Tariffs Jul2017'!AJ64))</f>
        <v>0</v>
      </c>
      <c r="M70" s="59">
        <f>IF($C$5*'Tariffs Jul2017'!AL64/'Tariffs Jul2017'!AJ64&lt;'Tariffs Jul2017'!L64,0,IF($C$5*'Tariffs Jul2017'!AL64/'Tariffs Jul2017'!AJ64&lt;='Tariffs Jul2017'!M64,($C$5*'Tariffs Jul2017'!AL64/'Tariffs Jul2017'!AJ64-'Tariffs Jul2017'!L64)*('Tariffs Jul2017'!X64/100)*'Tariffs Jul2017'!AJ64,('Tariffs Jul2017'!M64-'Tariffs Jul2017'!L64)*('Tariffs Jul2017'!X64/100)*'Tariffs Jul2017'!AJ64))</f>
        <v>0</v>
      </c>
      <c r="N70" s="59">
        <f>IF(($C$5*'Tariffs Jul2017'!AL64/'Tariffs Jul2017'!AJ64&gt;'Tariffs Jul2017'!M64),($C$5*'Tariffs Jul2017'!AL64/'Tariffs Jul2017'!AJ64-'Tariffs Jul2017'!M64)*'Tariffs Jul2017'!Y64/100*'Tariffs Jul2017'!AJ64,0)</f>
        <v>417.49993999999992</v>
      </c>
      <c r="O70" s="271">
        <f t="shared" si="0"/>
        <v>1056.640633</v>
      </c>
      <c r="P70" s="59">
        <f t="shared" si="1"/>
        <v>1356.743633</v>
      </c>
      <c r="Q70" s="272">
        <f t="shared" si="2"/>
        <v>1492.4179963000001</v>
      </c>
      <c r="R70" s="40">
        <f>'Tariffs Jul2017'!AM64</f>
        <v>0</v>
      </c>
      <c r="S70" s="40">
        <f>'Tariffs Jul2017'!AN64</f>
        <v>0</v>
      </c>
      <c r="T70" s="40">
        <f>'Tariffs Jul2017'!AO64</f>
        <v>0</v>
      </c>
      <c r="U70" s="40">
        <f>'Tariffs Jul2017'!AP64</f>
        <v>13</v>
      </c>
      <c r="V70" s="273">
        <f t="shared" si="3"/>
        <v>1356.743633</v>
      </c>
      <c r="W70" s="273">
        <f>V70-(O70*U70/100)</f>
        <v>1219.3803507100001</v>
      </c>
      <c r="X70" s="272">
        <f t="shared" si="4"/>
        <v>1492.4179963000001</v>
      </c>
      <c r="Y70" s="272">
        <f t="shared" si="4"/>
        <v>1341.3183857810002</v>
      </c>
      <c r="Z70" s="274">
        <f>'Tariffs Jul2017'!AW64</f>
        <v>0</v>
      </c>
      <c r="AA70" s="274" t="str">
        <f>'Tariffs Jul2017'!AX64</f>
        <v>n</v>
      </c>
      <c r="AB70" s="275" t="str">
        <f>'Tariffs Jul2017'!BD64</f>
        <v>N</v>
      </c>
      <c r="AC70" s="317"/>
      <c r="AD70" s="317"/>
      <c r="AE70" s="317"/>
      <c r="AF70" s="317"/>
      <c r="AG70" s="317"/>
      <c r="AH70" s="317"/>
      <c r="AI70" s="317"/>
      <c r="AJ70" s="317"/>
      <c r="AK70" s="317"/>
      <c r="AL70" s="317"/>
      <c r="AM70" s="317"/>
      <c r="AN70" s="317"/>
    </row>
    <row r="71" spans="1:40" x14ac:dyDescent="0.15">
      <c r="A71" s="270" t="str">
        <f>'Tariffs Jul2017'!F65</f>
        <v>Red Energy</v>
      </c>
      <c r="B71" s="40" t="str">
        <f>'Tariffs Jul2017'!D65</f>
        <v>Ausnet West</v>
      </c>
      <c r="C71" s="40" t="str">
        <f>'Tariffs Jul2017'!G65</f>
        <v>Living Energy Saver</v>
      </c>
      <c r="D71" s="59">
        <f>365*'Tariffs Jul2017'!H65/100</f>
        <v>306.60000000000002</v>
      </c>
      <c r="E71" s="59">
        <f>IF($C$5*'Tariffs Jul2017'!AK65/'Tariffs Jul2017'!AI65&gt;='Tariffs Jul2017'!J65,( 'Tariffs Jul2017'!J65*'Tariffs Jul2017'!O65/100)* 'Tariffs Jul2017'!AI65,($C$5*'Tariffs Jul2017'!AK65/'Tariffs Jul2017'!AI65*'Tariffs Jul2017'!O65/100)* 'Tariffs Jul2017'!AI65)</f>
        <v>136.96</v>
      </c>
      <c r="F71" s="59">
        <f>IF($C$5*'Tariffs Jul2017'!AK65/'Tariffs Jul2017'!AI65&lt;'Tariffs Jul2017'!J65,0,IF($C$5*'Tariffs Jul2017'!AK65/'Tariffs Jul2017'!AI65&lt;='Tariffs Jul2017'!K65,($C$5*'Tariffs Jul2017'!AK65/'Tariffs Jul2017'!AI65-'Tariffs Jul2017'!J65)*('Tariffs Jul2017'!P65/100)*'Tariffs Jul2017'!AI65,('Tariffs Jul2017'!K65-'Tariffs Jul2017'!J65)*('Tariffs Jul2017'!P65/100)*'Tariffs Jul2017'!AI65))</f>
        <v>0</v>
      </c>
      <c r="G71" s="59">
        <f>IF($C$5*'Tariffs Jul2017'!AK65/'Tariffs Jul2017'!AI65&lt;'Tariffs Jul2017'!K65,0,IF($C$5*'Tariffs Jul2017'!AK65/'Tariffs Jul2017'!AI65&lt;='Tariffs Jul2017'!L65,($C$5*'Tariffs Jul2017'!AK65/'Tariffs Jul2017'!AI65-'Tariffs Jul2017'!K65)*('Tariffs Jul2017'!Q65/100)*'Tariffs Jul2017'!AI65,('Tariffs Jul2017'!L65-'Tariffs Jul2017'!K65)*('Tariffs Jul2017'!Q65/100)*'Tariffs Jul2017'!AI65))</f>
        <v>0</v>
      </c>
      <c r="H71" s="59">
        <f>IF($C$5*'Tariffs Jul2017'!AK65/'Tariffs Jul2017'!AI65&lt;'Tariffs Jul2017'!L65,0,IF($C$5*'Tariffs Jul2017'!AK65/'Tariffs Jul2017'!AI65&lt;='Tariffs Jul2017'!M65,($C$5*'Tariffs Jul2017'!AK65/'Tariffs Jul2017'!AI65-'Tariffs Jul2017'!L65)*('Tariffs Jul2017'!R65/100)*'Tariffs Jul2017'!AI65,('Tariffs Jul2017'!M65-'Tariffs Jul2017'!L65)*('Tariffs Jul2017'!R65/100)*'Tariffs Jul2017'!AI65))</f>
        <v>0</v>
      </c>
      <c r="I71" s="59">
        <f>IF(($C$5*'Tariffs Jul2017'!AK65/'Tariffs Jul2017'!AI65&gt;'Tariffs Jul2017'!M65),($C$5*'Tariffs Jul2017'!AK65/'Tariffs Jul2017'!AI65-'Tariffs Jul2017'!M65)*'Tariffs Jul2017'!S65/100*'Tariffs Jul2017'!AI65,0)</f>
        <v>231.814652</v>
      </c>
      <c r="J71" s="59">
        <f>IF($C$5*'Tariffs Jul2017'!AL65/'Tariffs Jul2017'!AJ65&gt;='Tariffs Jul2017'!J65,('Tariffs Jul2017'!J65*'Tariffs Jul2017'!U65/100)* 'Tariffs Jul2017'!AJ65,($C$5*'Tariffs Jul2017'!AL65/'Tariffs Jul2017'!AJ65*'Tariffs Jul2017'!U65/100)* 'Tariffs Jul2017'!AJ65)</f>
        <v>224.512</v>
      </c>
      <c r="K71" s="59">
        <f>IF($C$5*'Tariffs Jul2017'!AL65/'Tariffs Jul2017'!AJ65&lt;'Tariffs Jul2017'!J65,0,IF($C$5*'Tariffs Jul2017'!AL65/'Tariffs Jul2017'!AJ65&lt;='Tariffs Jul2017'!K65,($C$5*'Tariffs Jul2017'!AL65/'Tariffs Jul2017'!AJ65-'Tariffs Jul2017'!J65)*('Tariffs Jul2017'!V65/100)*'Tariffs Jul2017'!AJ65,('Tariffs Jul2017'!K65-'Tariffs Jul2017'!J65)*('Tariffs Jul2017'!V65/100)*'Tariffs Jul2017'!AJ65))</f>
        <v>0</v>
      </c>
      <c r="L71" s="59">
        <f>IF($C$5*'Tariffs Jul2017'!AL65/'Tariffs Jul2017'!AJ65&lt;'Tariffs Jul2017'!K65,0,IF($C$5*'Tariffs Jul2017'!AL65/'Tariffs Jul2017'!AJ65&lt;='Tariffs Jul2017'!L65,($C$5*'Tariffs Jul2017'!AL65/'Tariffs Jul2017'!AJ65-'Tariffs Jul2017'!K65)*('Tariffs Jul2017'!W65/100)*'Tariffs Jul2017'!AJ65,('Tariffs Jul2017'!L65-'Tariffs Jul2017'!K65)*('Tariffs Jul2017'!W65/100)*'Tariffs Jul2017'!AJ65))</f>
        <v>0</v>
      </c>
      <c r="M71" s="59">
        <f>IF($C$5*'Tariffs Jul2017'!AL65/'Tariffs Jul2017'!AJ65&lt;'Tariffs Jul2017'!L65,0,IF($C$5*'Tariffs Jul2017'!AL65/'Tariffs Jul2017'!AJ65&lt;='Tariffs Jul2017'!M65,($C$5*'Tariffs Jul2017'!AL65/'Tariffs Jul2017'!AJ65-'Tariffs Jul2017'!L65)*('Tariffs Jul2017'!X65/100)*'Tariffs Jul2017'!AJ65,('Tariffs Jul2017'!M65-'Tariffs Jul2017'!L65)*('Tariffs Jul2017'!X65/100)*'Tariffs Jul2017'!AJ65))</f>
        <v>0</v>
      </c>
      <c r="N71" s="59">
        <f>IF(($C$5*'Tariffs Jul2017'!AL65/'Tariffs Jul2017'!AJ65&gt;'Tariffs Jul2017'!M65),($C$5*'Tariffs Jul2017'!AL65/'Tariffs Jul2017'!AJ65-'Tariffs Jul2017'!M65)*'Tariffs Jul2017'!Y65/100*'Tariffs Jul2017'!AJ65,0)</f>
        <v>413.41252799999995</v>
      </c>
      <c r="O71" s="271">
        <f t="shared" si="0"/>
        <v>1006.69918</v>
      </c>
      <c r="P71" s="59">
        <f t="shared" si="1"/>
        <v>1313.29918</v>
      </c>
      <c r="Q71" s="272">
        <f t="shared" si="2"/>
        <v>1444.6290980000001</v>
      </c>
      <c r="R71" s="40">
        <f>'Tariffs Jul2017'!AM65</f>
        <v>0</v>
      </c>
      <c r="S71" s="40">
        <f>'Tariffs Jul2017'!AN65</f>
        <v>0</v>
      </c>
      <c r="T71" s="40">
        <f>'Tariffs Jul2017'!AO65</f>
        <v>10</v>
      </c>
      <c r="U71" s="40">
        <f>'Tariffs Jul2017'!AP65</f>
        <v>0</v>
      </c>
      <c r="V71" s="273">
        <f t="shared" si="3"/>
        <v>1313.29918</v>
      </c>
      <c r="W71" s="273">
        <f>V71-(P71*T71/100)</f>
        <v>1181.9692620000001</v>
      </c>
      <c r="X71" s="272">
        <f t="shared" si="4"/>
        <v>1444.6290980000001</v>
      </c>
      <c r="Y71" s="272">
        <f t="shared" si="4"/>
        <v>1300.1661882000001</v>
      </c>
      <c r="Z71" s="274">
        <f>'Tariffs Jul2017'!AW65</f>
        <v>0</v>
      </c>
      <c r="AA71" s="274" t="str">
        <f>'Tariffs Jul2017'!AX65</f>
        <v>n</v>
      </c>
      <c r="AB71" s="275" t="str">
        <f>'Tariffs Jul2017'!BD65</f>
        <v>Y</v>
      </c>
      <c r="AC71" s="317"/>
      <c r="AD71" s="317"/>
      <c r="AE71" s="317"/>
      <c r="AF71" s="317"/>
      <c r="AG71" s="317"/>
      <c r="AH71" s="317"/>
      <c r="AI71" s="317"/>
      <c r="AJ71" s="317"/>
      <c r="AK71" s="317"/>
      <c r="AL71" s="317"/>
      <c r="AM71" s="317"/>
      <c r="AN71" s="317"/>
    </row>
    <row r="72" spans="1:40" ht="14" thickBot="1" x14ac:dyDescent="0.2">
      <c r="A72" s="276" t="str">
        <f>'Tariffs Jul2017'!F66</f>
        <v>Simply Energy</v>
      </c>
      <c r="B72" s="277" t="str">
        <f>'Tariffs Jul2017'!D66</f>
        <v>Ausnet West</v>
      </c>
      <c r="C72" s="277" t="str">
        <f>'Tariffs Jul2017'!G66</f>
        <v>Plus</v>
      </c>
      <c r="D72" s="278">
        <f>365*'Tariffs Jul2017'!H66/100</f>
        <v>291.67149999999998</v>
      </c>
      <c r="E72" s="278">
        <f>IF($C$5*'Tariffs Jul2017'!AK66/'Tariffs Jul2017'!AI66&gt;='Tariffs Jul2017'!J66,( 'Tariffs Jul2017'!J66*'Tariffs Jul2017'!O66/100)* 'Tariffs Jul2017'!AI66,($C$5*'Tariffs Jul2017'!AK66/'Tariffs Jul2017'!AI66*'Tariffs Jul2017'!O66/100)* 'Tariffs Jul2017'!AI66)</f>
        <v>226.8</v>
      </c>
      <c r="F72" s="278">
        <f>IF($C$5*'Tariffs Jul2017'!AK66/'Tariffs Jul2017'!AI66&lt;'Tariffs Jul2017'!J66,0,IF($C$5*'Tariffs Jul2017'!AK66/'Tariffs Jul2017'!AI66&lt;='Tariffs Jul2017'!K66,($C$5*'Tariffs Jul2017'!AK66/'Tariffs Jul2017'!AI66-'Tariffs Jul2017'!J66)*('Tariffs Jul2017'!P66/100)*'Tariffs Jul2017'!AI66,('Tariffs Jul2017'!K66-'Tariffs Jul2017'!J66)*('Tariffs Jul2017'!P66/100)*'Tariffs Jul2017'!AI66))</f>
        <v>167.36093999999997</v>
      </c>
      <c r="G72" s="278">
        <f>IF($C$5*'Tariffs Jul2017'!AK66/'Tariffs Jul2017'!AI66&lt;'Tariffs Jul2017'!K66,0,IF($C$5*'Tariffs Jul2017'!AK66/'Tariffs Jul2017'!AI66&lt;='Tariffs Jul2017'!L66,($C$5*'Tariffs Jul2017'!AK66/'Tariffs Jul2017'!AI66-'Tariffs Jul2017'!K66)*('Tariffs Jul2017'!Q66/100)*'Tariffs Jul2017'!AI66,('Tariffs Jul2017'!L66-'Tariffs Jul2017'!K66)*('Tariffs Jul2017'!Q66/100)*'Tariffs Jul2017'!AI66))</f>
        <v>0</v>
      </c>
      <c r="H72" s="278">
        <f>IF($C$5*'Tariffs Jul2017'!AK66/'Tariffs Jul2017'!AI66&lt;'Tariffs Jul2017'!L66,0,IF($C$5*'Tariffs Jul2017'!AK66/'Tariffs Jul2017'!AI66&lt;='Tariffs Jul2017'!M66,($C$5*'Tariffs Jul2017'!AK66/'Tariffs Jul2017'!AI66-'Tariffs Jul2017'!L66)*('Tariffs Jul2017'!R66/100)*'Tariffs Jul2017'!AI66,('Tariffs Jul2017'!M66-'Tariffs Jul2017'!L66)*('Tariffs Jul2017'!R66/100)*'Tariffs Jul2017'!AI66))</f>
        <v>0</v>
      </c>
      <c r="I72" s="278">
        <f>IF(($C$5*'Tariffs Jul2017'!AK66/'Tariffs Jul2017'!AI66&gt;'Tariffs Jul2017'!M66),($C$5*'Tariffs Jul2017'!AK66/'Tariffs Jul2017'!AI66-'Tariffs Jul2017'!M66)*'Tariffs Jul2017'!S66/100*'Tariffs Jul2017'!AI66,0)</f>
        <v>0</v>
      </c>
      <c r="J72" s="278">
        <f>IF($C$5*'Tariffs Jul2017'!AL66/'Tariffs Jul2017'!AJ66&gt;='Tariffs Jul2017'!J66,('Tariffs Jul2017'!J66*'Tariffs Jul2017'!U66/100)* 'Tariffs Jul2017'!AJ66,($C$5*'Tariffs Jul2017'!AL66/'Tariffs Jul2017'!AJ66*'Tariffs Jul2017'!U66/100)* 'Tariffs Jul2017'!AJ66)</f>
        <v>369.6</v>
      </c>
      <c r="K72" s="278">
        <f>IF($C$5*'Tariffs Jul2017'!AL66/'Tariffs Jul2017'!AJ66&lt;'Tariffs Jul2017'!J66,0,IF($C$5*'Tariffs Jul2017'!AL66/'Tariffs Jul2017'!AJ66&lt;='Tariffs Jul2017'!K66,($C$5*'Tariffs Jul2017'!AL66/'Tariffs Jul2017'!AJ66-'Tariffs Jul2017'!J66)*('Tariffs Jul2017'!V66/100)*'Tariffs Jul2017'!AJ66,('Tariffs Jul2017'!K66-'Tariffs Jul2017'!J66)*('Tariffs Jul2017'!V66/100)*'Tariffs Jul2017'!AJ66))</f>
        <v>271.73657999999995</v>
      </c>
      <c r="L72" s="278">
        <f>IF($C$5*'Tariffs Jul2017'!AL66/'Tariffs Jul2017'!AJ66&lt;'Tariffs Jul2017'!K66,0,IF($C$5*'Tariffs Jul2017'!AL66/'Tariffs Jul2017'!AJ66&lt;='Tariffs Jul2017'!L66,($C$5*'Tariffs Jul2017'!AL66/'Tariffs Jul2017'!AJ66-'Tariffs Jul2017'!K66)*('Tariffs Jul2017'!W66/100)*'Tariffs Jul2017'!AJ66,('Tariffs Jul2017'!L66-'Tariffs Jul2017'!K66)*('Tariffs Jul2017'!W66/100)*'Tariffs Jul2017'!AJ66))</f>
        <v>0</v>
      </c>
      <c r="M72" s="278">
        <f>IF($C$5*'Tariffs Jul2017'!AL66/'Tariffs Jul2017'!AJ66&lt;'Tariffs Jul2017'!L66,0,IF($C$5*'Tariffs Jul2017'!AL66/'Tariffs Jul2017'!AJ66&lt;='Tariffs Jul2017'!M66,($C$5*'Tariffs Jul2017'!AL66/'Tariffs Jul2017'!AJ66-'Tariffs Jul2017'!L66)*('Tariffs Jul2017'!X66/100)*'Tariffs Jul2017'!AJ66,('Tariffs Jul2017'!M66-'Tariffs Jul2017'!L66)*('Tariffs Jul2017'!X66/100)*'Tariffs Jul2017'!AJ66))</f>
        <v>0</v>
      </c>
      <c r="N72" s="278">
        <f>IF(($C$5*'Tariffs Jul2017'!AL66/'Tariffs Jul2017'!AJ66&gt;'Tariffs Jul2017'!M66),($C$5*'Tariffs Jul2017'!AL66/'Tariffs Jul2017'!AJ66-'Tariffs Jul2017'!M66)*'Tariffs Jul2017'!Y66/100*'Tariffs Jul2017'!AJ66,0)</f>
        <v>0</v>
      </c>
      <c r="O72" s="279">
        <f t="shared" si="0"/>
        <v>1035.4975199999999</v>
      </c>
      <c r="P72" s="278">
        <f t="shared" si="1"/>
        <v>1327.1690199999998</v>
      </c>
      <c r="Q72" s="280">
        <f t="shared" si="2"/>
        <v>1459.8859219999999</v>
      </c>
      <c r="R72" s="277">
        <f>'Tariffs Jul2017'!AM66</f>
        <v>0</v>
      </c>
      <c r="S72" s="277">
        <f>'Tariffs Jul2017'!AN66</f>
        <v>0</v>
      </c>
      <c r="T72" s="277">
        <f>'Tariffs Jul2017'!AO66</f>
        <v>0</v>
      </c>
      <c r="U72" s="277">
        <f>'Tariffs Jul2017'!AP66</f>
        <v>20</v>
      </c>
      <c r="V72" s="273">
        <f t="shared" si="3"/>
        <v>1327.1690199999998</v>
      </c>
      <c r="W72" s="281">
        <f>V72-(O72*U72/100)</f>
        <v>1120.0695159999998</v>
      </c>
      <c r="X72" s="280">
        <f t="shared" si="4"/>
        <v>1459.8859219999999</v>
      </c>
      <c r="Y72" s="280">
        <f t="shared" si="4"/>
        <v>1232.0764675999999</v>
      </c>
      <c r="Z72" s="282">
        <f>'Tariffs Jul2017'!AW66</f>
        <v>24</v>
      </c>
      <c r="AA72" s="282" t="str">
        <f>'Tariffs Jul2017'!AX66</f>
        <v>n</v>
      </c>
      <c r="AB72" s="283" t="str">
        <f>'Tariffs Jul2017'!BD66</f>
        <v>Y</v>
      </c>
      <c r="AC72" s="317"/>
      <c r="AD72" s="317"/>
      <c r="AE72" s="317"/>
      <c r="AF72" s="317"/>
      <c r="AG72" s="317"/>
      <c r="AH72" s="317"/>
      <c r="AI72" s="317"/>
      <c r="AJ72" s="317"/>
      <c r="AK72" s="317"/>
      <c r="AL72" s="317"/>
      <c r="AM72" s="317"/>
      <c r="AN72" s="317"/>
    </row>
    <row r="73" spans="1:40" ht="14" thickTop="1" x14ac:dyDescent="0.15">
      <c r="A73" s="270" t="str">
        <f>'Tariffs Jul2017'!F67</f>
        <v>AGL</v>
      </c>
      <c r="B73" s="40" t="str">
        <f>'Tariffs Jul2017'!D67</f>
        <v>Ausnet Central 2</v>
      </c>
      <c r="C73" s="40" t="str">
        <f>'Tariffs Jul2017'!G67</f>
        <v>Savers</v>
      </c>
      <c r="D73" s="59">
        <f>365*'Tariffs Jul2017'!H67/100</f>
        <v>293.89799999999997</v>
      </c>
      <c r="E73" s="59">
        <f>IF($C$5*'Tariffs Jul2017'!AK67/'Tariffs Jul2017'!AI67&gt;='Tariffs Jul2017'!J67,( 'Tariffs Jul2017'!J67*'Tariffs Jul2017'!O67/100)* 'Tariffs Jul2017'!AI67,($C$5*'Tariffs Jul2017'!AK67/'Tariffs Jul2017'!AI67*'Tariffs Jul2017'!O67/100)* 'Tariffs Jul2017'!AI67)</f>
        <v>259.92</v>
      </c>
      <c r="F73" s="59">
        <f>IF($C$5*'Tariffs Jul2017'!AK67/'Tariffs Jul2017'!AI67&lt;'Tariffs Jul2017'!J67,0,IF($C$5*'Tariffs Jul2017'!AK67/'Tariffs Jul2017'!AI67&lt;='Tariffs Jul2017'!K67,($C$5*'Tariffs Jul2017'!AK67/'Tariffs Jul2017'!AI67-'Tariffs Jul2017'!J67)*('Tariffs Jul2017'!P67/100)*'Tariffs Jul2017'!AI67,('Tariffs Jul2017'!K67-'Tariffs Jul2017'!J67)*('Tariffs Jul2017'!P67/100)*'Tariffs Jul2017'!AI67))</f>
        <v>185.62667699999997</v>
      </c>
      <c r="G73" s="59">
        <f>IF($C$5*'Tariffs Jul2017'!AK67/'Tariffs Jul2017'!AI67&lt;'Tariffs Jul2017'!K67,0,IF($C$5*'Tariffs Jul2017'!AK67/'Tariffs Jul2017'!AI67&lt;='Tariffs Jul2017'!L67,($C$5*'Tariffs Jul2017'!AK67/'Tariffs Jul2017'!AI67-'Tariffs Jul2017'!K67)*('Tariffs Jul2017'!Q67/100)*'Tariffs Jul2017'!AI67,('Tariffs Jul2017'!L67-'Tariffs Jul2017'!K67)*('Tariffs Jul2017'!Q67/100)*'Tariffs Jul2017'!AI67))</f>
        <v>0</v>
      </c>
      <c r="H73" s="59">
        <f>IF($C$5*'Tariffs Jul2017'!AK67/'Tariffs Jul2017'!AI67&lt;'Tariffs Jul2017'!L67,0,IF($C$5*'Tariffs Jul2017'!AK67/'Tariffs Jul2017'!AI67&lt;='Tariffs Jul2017'!M67,($C$5*'Tariffs Jul2017'!AK67/'Tariffs Jul2017'!AI67-'Tariffs Jul2017'!L67)*('Tariffs Jul2017'!R67/100)*'Tariffs Jul2017'!AI67,('Tariffs Jul2017'!M67-'Tariffs Jul2017'!L67)*('Tariffs Jul2017'!R67/100)*'Tariffs Jul2017'!AI67))</f>
        <v>0</v>
      </c>
      <c r="I73" s="59">
        <f>IF(($C$5*'Tariffs Jul2017'!AK67/'Tariffs Jul2017'!AI67&gt;'Tariffs Jul2017'!M67),($C$5*'Tariffs Jul2017'!AK67/'Tariffs Jul2017'!AI67-'Tariffs Jul2017'!M67)*'Tariffs Jul2017'!S67/100*'Tariffs Jul2017'!AI67,0)</f>
        <v>0</v>
      </c>
      <c r="J73" s="59">
        <f>IF($C$5*'Tariffs Jul2017'!AL67/'Tariffs Jul2017'!AJ67&gt;='Tariffs Jul2017'!J67,('Tariffs Jul2017'!J67*'Tariffs Jul2017'!U67/100)* 'Tariffs Jul2017'!AJ67,($C$5*'Tariffs Jul2017'!AL67/'Tariffs Jul2017'!AJ67*'Tariffs Jul2017'!U67/100)* 'Tariffs Jul2017'!AJ67)</f>
        <v>447.12</v>
      </c>
      <c r="K73" s="59">
        <f>IF($C$5*'Tariffs Jul2017'!AL67/'Tariffs Jul2017'!AJ67&lt;'Tariffs Jul2017'!J67,0,IF($C$5*'Tariffs Jul2017'!AL67/'Tariffs Jul2017'!AJ67&lt;='Tariffs Jul2017'!K67,($C$5*'Tariffs Jul2017'!AL67/'Tariffs Jul2017'!AJ67-'Tariffs Jul2017'!J67)*('Tariffs Jul2017'!V67/100)*'Tariffs Jul2017'!AJ67,('Tariffs Jul2017'!K67-'Tariffs Jul2017'!J67)*('Tariffs Jul2017'!V67/100)*'Tariffs Jul2017'!AJ67))</f>
        <v>292.07183399999997</v>
      </c>
      <c r="L73" s="59">
        <f>IF($C$5*'Tariffs Jul2017'!AL67/'Tariffs Jul2017'!AJ67&lt;'Tariffs Jul2017'!K67,0,IF($C$5*'Tariffs Jul2017'!AL67/'Tariffs Jul2017'!AJ67&lt;='Tariffs Jul2017'!L67,($C$5*'Tariffs Jul2017'!AL67/'Tariffs Jul2017'!AJ67-'Tariffs Jul2017'!K67)*('Tariffs Jul2017'!W67/100)*'Tariffs Jul2017'!AJ67,('Tariffs Jul2017'!L67-'Tariffs Jul2017'!K67)*('Tariffs Jul2017'!W67/100)*'Tariffs Jul2017'!AJ67))</f>
        <v>0</v>
      </c>
      <c r="M73" s="59">
        <f>IF($C$5*'Tariffs Jul2017'!AL67/'Tariffs Jul2017'!AJ67&lt;'Tariffs Jul2017'!L67,0,IF($C$5*'Tariffs Jul2017'!AL67/'Tariffs Jul2017'!AJ67&lt;='Tariffs Jul2017'!M67,($C$5*'Tariffs Jul2017'!AL67/'Tariffs Jul2017'!AJ67-'Tariffs Jul2017'!L67)*('Tariffs Jul2017'!X67/100)*'Tariffs Jul2017'!AJ67,('Tariffs Jul2017'!M67-'Tariffs Jul2017'!L67)*('Tariffs Jul2017'!X67/100)*'Tariffs Jul2017'!AJ67))</f>
        <v>0</v>
      </c>
      <c r="N73" s="59">
        <f>IF(($C$5*'Tariffs Jul2017'!AL67/'Tariffs Jul2017'!AJ67&gt;'Tariffs Jul2017'!M67),($C$5*'Tariffs Jul2017'!AL67/'Tariffs Jul2017'!AJ67-'Tariffs Jul2017'!M67)*'Tariffs Jul2017'!Y67/100*'Tariffs Jul2017'!AJ67,0)</f>
        <v>0</v>
      </c>
      <c r="O73" s="59">
        <f t="shared" ref="O73:O94" si="5">SUM(E73:N73)</f>
        <v>1184.738511</v>
      </c>
      <c r="P73" s="59">
        <f t="shared" ref="P73:P94" si="6">D73+O73</f>
        <v>1478.6365109999999</v>
      </c>
      <c r="Q73" s="272">
        <f t="shared" ref="Q73:Q94" si="7">P73*1.1</f>
        <v>1626.5001621000001</v>
      </c>
      <c r="R73" s="40">
        <f>'Tariffs Jul2017'!AM67</f>
        <v>0</v>
      </c>
      <c r="S73" s="40">
        <f>'Tariffs Jul2017'!AN67</f>
        <v>0</v>
      </c>
      <c r="T73" s="40">
        <f>'Tariffs Jul2017'!AO67</f>
        <v>0</v>
      </c>
      <c r="U73" s="40">
        <f>'Tariffs Jul2017'!AP67</f>
        <v>15</v>
      </c>
      <c r="V73" s="273">
        <f t="shared" ref="V73:V94" si="8">P73</f>
        <v>1478.6365109999999</v>
      </c>
      <c r="W73" s="284">
        <f>V73-(O73*U73/100)</f>
        <v>1300.9257343499999</v>
      </c>
      <c r="X73" s="272">
        <f t="shared" ref="X73:Y94" si="9">V73*1.1</f>
        <v>1626.5001621000001</v>
      </c>
      <c r="Y73" s="272">
        <f t="shared" si="9"/>
        <v>1431.0183077849999</v>
      </c>
      <c r="Z73" s="274">
        <f>'Tariffs Jul2017'!AW67</f>
        <v>0</v>
      </c>
      <c r="AA73" s="274" t="str">
        <f>'Tariffs Jul2017'!AX67</f>
        <v>n</v>
      </c>
      <c r="AB73" s="275" t="str">
        <f>'Tariffs Jul2017'!BD67</f>
        <v>N</v>
      </c>
      <c r="AC73" s="317"/>
      <c r="AD73" s="317"/>
      <c r="AE73" s="317"/>
      <c r="AF73" s="317"/>
      <c r="AG73" s="317"/>
      <c r="AH73" s="317"/>
      <c r="AI73" s="317"/>
      <c r="AJ73" s="317"/>
      <c r="AK73" s="317"/>
      <c r="AL73" s="317"/>
      <c r="AM73" s="317"/>
      <c r="AN73" s="317"/>
    </row>
    <row r="74" spans="1:40" x14ac:dyDescent="0.15">
      <c r="A74" s="270" t="str">
        <f>'Tariffs Jul2017'!F68</f>
        <v>Alinta Energy</v>
      </c>
      <c r="B74" s="40" t="str">
        <f>'Tariffs Jul2017'!D68</f>
        <v>Ausnet Central 2</v>
      </c>
      <c r="C74" s="40" t="str">
        <f>'Tariffs Jul2017'!G68</f>
        <v>Fair Deal</v>
      </c>
      <c r="D74" s="59">
        <f>365*'Tariffs Jul2017'!H68/100</f>
        <v>240.46199999999996</v>
      </c>
      <c r="E74" s="59">
        <f>IF($C$5*'Tariffs Jul2017'!AK68/'Tariffs Jul2017'!AI68&gt;='Tariffs Jul2017'!J68,( 'Tariffs Jul2017'!J68*'Tariffs Jul2017'!O68/100)* 'Tariffs Jul2017'!AI68,($C$5*'Tariffs Jul2017'!AK68/'Tariffs Jul2017'!AI68*'Tariffs Jul2017'!O68/100)* 'Tariffs Jul2017'!AI68)</f>
        <v>271.2</v>
      </c>
      <c r="F74" s="59">
        <f>IF($C$5*'Tariffs Jul2017'!AK68/'Tariffs Jul2017'!AI68&lt;'Tariffs Jul2017'!J68,0,IF($C$5*'Tariffs Jul2017'!AK68/'Tariffs Jul2017'!AI68&lt;='Tariffs Jul2017'!K68,($C$5*'Tariffs Jul2017'!AK68/'Tariffs Jul2017'!AI68-'Tariffs Jul2017'!J68)*('Tariffs Jul2017'!P68/100)*'Tariffs Jul2017'!AI68,('Tariffs Jul2017'!K68-'Tariffs Jul2017'!J68)*('Tariffs Jul2017'!P68/100)*'Tariffs Jul2017'!AI68))</f>
        <v>0</v>
      </c>
      <c r="G74" s="59">
        <f>IF($C$5*'Tariffs Jul2017'!AK68/'Tariffs Jul2017'!AI68&lt;'Tariffs Jul2017'!K68,0,IF($C$5*'Tariffs Jul2017'!AK68/'Tariffs Jul2017'!AI68&lt;='Tariffs Jul2017'!L68,($C$5*'Tariffs Jul2017'!AK68/'Tariffs Jul2017'!AI68-'Tariffs Jul2017'!K68)*('Tariffs Jul2017'!Q68/100)*'Tariffs Jul2017'!AI68,('Tariffs Jul2017'!L68-'Tariffs Jul2017'!K68)*('Tariffs Jul2017'!Q68/100)*'Tariffs Jul2017'!AI68))</f>
        <v>0</v>
      </c>
      <c r="H74" s="59">
        <f>IF($C$5*'Tariffs Jul2017'!AK68/'Tariffs Jul2017'!AI68&lt;'Tariffs Jul2017'!L68,0,IF($C$5*'Tariffs Jul2017'!AK68/'Tariffs Jul2017'!AI68&lt;='Tariffs Jul2017'!M68,($C$5*'Tariffs Jul2017'!AK68/'Tariffs Jul2017'!AI68-'Tariffs Jul2017'!L68)*('Tariffs Jul2017'!R68/100)*'Tariffs Jul2017'!AI68,('Tariffs Jul2017'!M68-'Tariffs Jul2017'!L68)*('Tariffs Jul2017'!R68/100)*'Tariffs Jul2017'!AI68))</f>
        <v>0</v>
      </c>
      <c r="I74" s="59">
        <f>IF(($C$5*'Tariffs Jul2017'!AK68/'Tariffs Jul2017'!AI68&gt;'Tariffs Jul2017'!M68),($C$5*'Tariffs Jul2017'!AK68/'Tariffs Jul2017'!AI68-'Tariffs Jul2017'!M68)*'Tariffs Jul2017'!S68/100*'Tariffs Jul2017'!AI68,0)</f>
        <v>161.96219999999997</v>
      </c>
      <c r="J74" s="59">
        <f>IF($C$5*'Tariffs Jul2017'!AL68/'Tariffs Jul2017'!AJ68&gt;='Tariffs Jul2017'!J68,('Tariffs Jul2017'!J68*'Tariffs Jul2017'!U68/100)* 'Tariffs Jul2017'!AJ68,($C$5*'Tariffs Jul2017'!AL68/'Tariffs Jul2017'!AJ68*'Tariffs Jul2017'!U68/100)* 'Tariffs Jul2017'!AJ68)</f>
        <v>489.6</v>
      </c>
      <c r="K74" s="59">
        <f>IF($C$5*'Tariffs Jul2017'!AL68/'Tariffs Jul2017'!AJ68&lt;'Tariffs Jul2017'!J68,0,IF($C$5*'Tariffs Jul2017'!AL68/'Tariffs Jul2017'!AJ68&lt;='Tariffs Jul2017'!K68,($C$5*'Tariffs Jul2017'!AL68/'Tariffs Jul2017'!AJ68-'Tariffs Jul2017'!J68)*('Tariffs Jul2017'!V68/100)*'Tariffs Jul2017'!AJ68,('Tariffs Jul2017'!K68-'Tariffs Jul2017'!J68)*('Tariffs Jul2017'!V68/100)*'Tariffs Jul2017'!AJ68))</f>
        <v>0</v>
      </c>
      <c r="L74" s="59">
        <f>IF($C$5*'Tariffs Jul2017'!AL68/'Tariffs Jul2017'!AJ68&lt;'Tariffs Jul2017'!K68,0,IF($C$5*'Tariffs Jul2017'!AL68/'Tariffs Jul2017'!AJ68&lt;='Tariffs Jul2017'!L68,($C$5*'Tariffs Jul2017'!AL68/'Tariffs Jul2017'!AJ68-'Tariffs Jul2017'!K68)*('Tariffs Jul2017'!W68/100)*'Tariffs Jul2017'!AJ68,('Tariffs Jul2017'!L68-'Tariffs Jul2017'!K68)*('Tariffs Jul2017'!W68/100)*'Tariffs Jul2017'!AJ68))</f>
        <v>0</v>
      </c>
      <c r="M74" s="59">
        <f>IF($C$5*'Tariffs Jul2017'!AL68/'Tariffs Jul2017'!AJ68&lt;'Tariffs Jul2017'!L68,0,IF($C$5*'Tariffs Jul2017'!AL68/'Tariffs Jul2017'!AJ68&lt;='Tariffs Jul2017'!M68,($C$5*'Tariffs Jul2017'!AL68/'Tariffs Jul2017'!AJ68-'Tariffs Jul2017'!L68)*('Tariffs Jul2017'!X68/100)*'Tariffs Jul2017'!AJ68,('Tariffs Jul2017'!M68-'Tariffs Jul2017'!L68)*('Tariffs Jul2017'!X68/100)*'Tariffs Jul2017'!AJ68))</f>
        <v>0</v>
      </c>
      <c r="N74" s="59">
        <f>IF(($C$5*'Tariffs Jul2017'!AL68/'Tariffs Jul2017'!AJ68&gt;'Tariffs Jul2017'!M68),($C$5*'Tariffs Jul2017'!AL68/'Tariffs Jul2017'!AJ68-'Tariffs Jul2017'!M68)*'Tariffs Jul2017'!Y68/100*'Tariffs Jul2017'!AJ68,0)</f>
        <v>296.93069999999994</v>
      </c>
      <c r="O74" s="59">
        <f t="shared" si="5"/>
        <v>1219.6929</v>
      </c>
      <c r="P74" s="59">
        <f t="shared" si="6"/>
        <v>1460.1549</v>
      </c>
      <c r="Q74" s="272">
        <f t="shared" si="7"/>
        <v>1606.1703900000002</v>
      </c>
      <c r="R74" s="40">
        <f>'Tariffs Jul2017'!AM68</f>
        <v>0</v>
      </c>
      <c r="S74" s="40">
        <f>'Tariffs Jul2017'!AN68</f>
        <v>0</v>
      </c>
      <c r="T74" s="40">
        <f>'Tariffs Jul2017'!AO68</f>
        <v>0</v>
      </c>
      <c r="U74" s="40">
        <f>'Tariffs Jul2017'!AP68</f>
        <v>25</v>
      </c>
      <c r="V74" s="273">
        <f t="shared" si="8"/>
        <v>1460.1549</v>
      </c>
      <c r="W74" s="284">
        <f>V74-(O74*U74/100)</f>
        <v>1155.231675</v>
      </c>
      <c r="X74" s="272">
        <f t="shared" si="9"/>
        <v>1606.1703900000002</v>
      </c>
      <c r="Y74" s="272">
        <f t="shared" si="9"/>
        <v>1270.7548425</v>
      </c>
      <c r="Z74" s="274">
        <f>'Tariffs Jul2017'!AW68</f>
        <v>0</v>
      </c>
      <c r="AA74" s="274" t="str">
        <f>'Tariffs Jul2017'!AX68</f>
        <v>n</v>
      </c>
      <c r="AB74" s="275" t="str">
        <f>'Tariffs Jul2017'!BD68</f>
        <v>N</v>
      </c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</row>
    <row r="75" spans="1:40" x14ac:dyDescent="0.15">
      <c r="A75" s="270" t="str">
        <f>'Tariffs Jul2017'!F69</f>
        <v>Click Energy</v>
      </c>
      <c r="B75" s="40" t="str">
        <f>'Tariffs Jul2017'!D69</f>
        <v>Ausnet Central 2</v>
      </c>
      <c r="C75" s="40" t="str">
        <f>'Tariffs Jul2017'!G69</f>
        <v>Amber</v>
      </c>
      <c r="D75" s="59">
        <f>365*'Tariffs Jul2017'!H69/100</f>
        <v>353.32</v>
      </c>
      <c r="E75" s="59">
        <f>IF($C$5*'Tariffs Jul2017'!AK69/'Tariffs Jul2017'!AI69&gt;='Tariffs Jul2017'!J69,( 'Tariffs Jul2017'!J69*'Tariffs Jul2017'!O69/100)* 'Tariffs Jul2017'!AI69,($C$5*'Tariffs Jul2017'!AK69/'Tariffs Jul2017'!AI69*'Tariffs Jul2017'!O69/100)* 'Tariffs Jul2017'!AI69)</f>
        <v>342</v>
      </c>
      <c r="F75" s="59">
        <f>IF($C$5*'Tariffs Jul2017'!AK69/'Tariffs Jul2017'!AI69&lt;'Tariffs Jul2017'!J69,0,IF($C$5*'Tariffs Jul2017'!AK69/'Tariffs Jul2017'!AI69&lt;='Tariffs Jul2017'!K69,($C$5*'Tariffs Jul2017'!AK69/'Tariffs Jul2017'!AI69-'Tariffs Jul2017'!J69)*('Tariffs Jul2017'!P69/100)*'Tariffs Jul2017'!AI69,('Tariffs Jul2017'!K69-'Tariffs Jul2017'!J69)*('Tariffs Jul2017'!P69/100)*'Tariffs Jul2017'!AI69))</f>
        <v>211.45064999999994</v>
      </c>
      <c r="G75" s="59">
        <f>IF($C$5*'Tariffs Jul2017'!AK69/'Tariffs Jul2017'!AI69&lt;'Tariffs Jul2017'!K69,0,IF($C$5*'Tariffs Jul2017'!AK69/'Tariffs Jul2017'!AI69&lt;='Tariffs Jul2017'!L69,($C$5*'Tariffs Jul2017'!AK69/'Tariffs Jul2017'!AI69-'Tariffs Jul2017'!K69)*('Tariffs Jul2017'!Q69/100)*'Tariffs Jul2017'!AI69,('Tariffs Jul2017'!L69-'Tariffs Jul2017'!K69)*('Tariffs Jul2017'!Q69/100)*'Tariffs Jul2017'!AI69))</f>
        <v>0</v>
      </c>
      <c r="H75" s="59">
        <f>IF($C$5*'Tariffs Jul2017'!AK69/'Tariffs Jul2017'!AI69&lt;'Tariffs Jul2017'!L69,0,IF($C$5*'Tariffs Jul2017'!AK69/'Tariffs Jul2017'!AI69&lt;='Tariffs Jul2017'!M69,($C$5*'Tariffs Jul2017'!AK69/'Tariffs Jul2017'!AI69-'Tariffs Jul2017'!L69)*('Tariffs Jul2017'!R69/100)*'Tariffs Jul2017'!AI69,('Tariffs Jul2017'!M69-'Tariffs Jul2017'!L69)*('Tariffs Jul2017'!R69/100)*'Tariffs Jul2017'!AI69))</f>
        <v>0</v>
      </c>
      <c r="I75" s="59">
        <f>IF(($C$5*'Tariffs Jul2017'!AK69/'Tariffs Jul2017'!AI69&gt;'Tariffs Jul2017'!M69),($C$5*'Tariffs Jul2017'!AK69/'Tariffs Jul2017'!AI69-'Tariffs Jul2017'!M69)*'Tariffs Jul2017'!S69/100*'Tariffs Jul2017'!AI69,0)</f>
        <v>0</v>
      </c>
      <c r="J75" s="59">
        <f>IF($C$5*'Tariffs Jul2017'!AL69/'Tariffs Jul2017'!AJ69&gt;='Tariffs Jul2017'!J69,('Tariffs Jul2017'!J69*'Tariffs Jul2017'!U69/100)* 'Tariffs Jul2017'!AJ69,($C$5*'Tariffs Jul2017'!AL69/'Tariffs Jul2017'!AJ69*'Tariffs Jul2017'!U69/100)* 'Tariffs Jul2017'!AJ69)</f>
        <v>432</v>
      </c>
      <c r="K75" s="59">
        <f>IF($C$5*'Tariffs Jul2017'!AL69/'Tariffs Jul2017'!AJ69&lt;'Tariffs Jul2017'!J69,0,IF($C$5*'Tariffs Jul2017'!AL69/'Tariffs Jul2017'!AJ69&lt;='Tariffs Jul2017'!K69,($C$5*'Tariffs Jul2017'!AL69/'Tariffs Jul2017'!AJ69-'Tariffs Jul2017'!J69)*('Tariffs Jul2017'!V69/100)*'Tariffs Jul2017'!AJ69,('Tariffs Jul2017'!K69-'Tariffs Jul2017'!J69)*('Tariffs Jul2017'!V69/100)*'Tariffs Jul2017'!AJ69))</f>
        <v>314.92649999999998</v>
      </c>
      <c r="L75" s="59">
        <f>IF($C$5*'Tariffs Jul2017'!AL69/'Tariffs Jul2017'!AJ69&lt;'Tariffs Jul2017'!K69,0,IF($C$5*'Tariffs Jul2017'!AL69/'Tariffs Jul2017'!AJ69&lt;='Tariffs Jul2017'!L69,($C$5*'Tariffs Jul2017'!AL69/'Tariffs Jul2017'!AJ69-'Tariffs Jul2017'!K69)*('Tariffs Jul2017'!W69/100)*'Tariffs Jul2017'!AJ69,('Tariffs Jul2017'!L69-'Tariffs Jul2017'!K69)*('Tariffs Jul2017'!W69/100)*'Tariffs Jul2017'!AJ69))</f>
        <v>0</v>
      </c>
      <c r="M75" s="59">
        <f>IF($C$5*'Tariffs Jul2017'!AL69/'Tariffs Jul2017'!AJ69&lt;'Tariffs Jul2017'!L69,0,IF($C$5*'Tariffs Jul2017'!AL69/'Tariffs Jul2017'!AJ69&lt;='Tariffs Jul2017'!M69,($C$5*'Tariffs Jul2017'!AL69/'Tariffs Jul2017'!AJ69-'Tariffs Jul2017'!L69)*('Tariffs Jul2017'!X69/100)*'Tariffs Jul2017'!AJ69,('Tariffs Jul2017'!M69-'Tariffs Jul2017'!L69)*('Tariffs Jul2017'!X69/100)*'Tariffs Jul2017'!AJ69))</f>
        <v>0</v>
      </c>
      <c r="N75" s="59">
        <f>IF(($C$5*'Tariffs Jul2017'!AL69/'Tariffs Jul2017'!AJ69&gt;'Tariffs Jul2017'!M69),($C$5*'Tariffs Jul2017'!AL69/'Tariffs Jul2017'!AJ69-'Tariffs Jul2017'!M69)*'Tariffs Jul2017'!Y69/100*'Tariffs Jul2017'!AJ69,0)</f>
        <v>0</v>
      </c>
      <c r="O75" s="59">
        <f t="shared" si="5"/>
        <v>1300.37715</v>
      </c>
      <c r="P75" s="59">
        <f t="shared" si="6"/>
        <v>1653.69715</v>
      </c>
      <c r="Q75" s="272">
        <f t="shared" si="7"/>
        <v>1819.066865</v>
      </c>
      <c r="R75" s="40">
        <f>'Tariffs Jul2017'!AM69</f>
        <v>0</v>
      </c>
      <c r="S75" s="40">
        <f>'Tariffs Jul2017'!AN69</f>
        <v>0</v>
      </c>
      <c r="T75" s="40">
        <f>'Tariffs Jul2017'!AO69</f>
        <v>14</v>
      </c>
      <c r="U75" s="40">
        <f>'Tariffs Jul2017'!AP69</f>
        <v>0</v>
      </c>
      <c r="V75" s="273">
        <f t="shared" si="8"/>
        <v>1653.69715</v>
      </c>
      <c r="W75" s="284">
        <f>V75-(P75*T75/100)</f>
        <v>1422.179549</v>
      </c>
      <c r="X75" s="272">
        <f t="shared" si="9"/>
        <v>1819.066865</v>
      </c>
      <c r="Y75" s="272">
        <f t="shared" si="9"/>
        <v>1564.3975039000002</v>
      </c>
      <c r="Z75" s="274">
        <f>'Tariffs Jul2017'!AW69</f>
        <v>0</v>
      </c>
      <c r="AA75" s="274" t="str">
        <f>'Tariffs Jul2017'!AX69</f>
        <v>n</v>
      </c>
      <c r="AB75" s="275" t="str">
        <f>'Tariffs Jul2017'!BD69</f>
        <v>N</v>
      </c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</row>
    <row r="76" spans="1:40" x14ac:dyDescent="0.15">
      <c r="A76" s="270" t="str">
        <f>'Tariffs Jul2017'!F70</f>
        <v>Covau</v>
      </c>
      <c r="B76" s="40" t="str">
        <f>'Tariffs Jul2017'!D70</f>
        <v>Ausnet Central 2</v>
      </c>
      <c r="C76" s="40" t="str">
        <f>'Tariffs Jul2017'!G70</f>
        <v>Market offer</v>
      </c>
      <c r="D76" s="59">
        <f>365*'Tariffs Jul2017'!H70/100</f>
        <v>299.3</v>
      </c>
      <c r="E76" s="59">
        <f>IF($C$5*'Tariffs Jul2017'!AK70/'Tariffs Jul2017'!AI70&gt;='Tariffs Jul2017'!J70,( 'Tariffs Jul2017'!J70*'Tariffs Jul2017'!O70/100)* 'Tariffs Jul2017'!AI70,($C$5*'Tariffs Jul2017'!AK70/'Tariffs Jul2017'!AI70*'Tariffs Jul2017'!O70/100)* 'Tariffs Jul2017'!AI70)</f>
        <v>558</v>
      </c>
      <c r="F76" s="59">
        <f>IF($C$5*'Tariffs Jul2017'!AK70/'Tariffs Jul2017'!AI70&lt;'Tariffs Jul2017'!J70,0,IF($C$5*'Tariffs Jul2017'!AK70/'Tariffs Jul2017'!AI70&lt;='Tariffs Jul2017'!K70,($C$5*'Tariffs Jul2017'!AK70/'Tariffs Jul2017'!AI70-'Tariffs Jul2017'!J70)*('Tariffs Jul2017'!P70/100)*'Tariffs Jul2017'!AI70,('Tariffs Jul2017'!K70-'Tariffs Jul2017'!J70)*('Tariffs Jul2017'!P70/100)*'Tariffs Jul2017'!AI70))</f>
        <v>359.1</v>
      </c>
      <c r="G76" s="59">
        <f>IF($C$5*'Tariffs Jul2017'!AK70/'Tariffs Jul2017'!AI70&lt;'Tariffs Jul2017'!K70,0,IF($C$5*'Tariffs Jul2017'!AK70/'Tariffs Jul2017'!AI70&lt;='Tariffs Jul2017'!L70,($C$5*'Tariffs Jul2017'!AK70/'Tariffs Jul2017'!AI70-'Tariffs Jul2017'!K70)*('Tariffs Jul2017'!Q70/100)*'Tariffs Jul2017'!AI70,('Tariffs Jul2017'!L70-'Tariffs Jul2017'!K70)*('Tariffs Jul2017'!Q70/100)*'Tariffs Jul2017'!AI70))</f>
        <v>0</v>
      </c>
      <c r="H76" s="59">
        <f>IF($C$5*'Tariffs Jul2017'!AK70/'Tariffs Jul2017'!AI70&lt;'Tariffs Jul2017'!L70,0,IF($C$5*'Tariffs Jul2017'!AK70/'Tariffs Jul2017'!AI70&lt;='Tariffs Jul2017'!M70,($C$5*'Tariffs Jul2017'!AK70/'Tariffs Jul2017'!AI70-'Tariffs Jul2017'!L70)*('Tariffs Jul2017'!R70/100)*'Tariffs Jul2017'!AI70,('Tariffs Jul2017'!M70-'Tariffs Jul2017'!L70)*('Tariffs Jul2017'!R70/100)*'Tariffs Jul2017'!AI70))</f>
        <v>0</v>
      </c>
      <c r="I76" s="59">
        <f>IF(($C$5*'Tariffs Jul2017'!AK70/'Tariffs Jul2017'!AI70&gt;'Tariffs Jul2017'!M70),($C$5*'Tariffs Jul2017'!AK70/'Tariffs Jul2017'!AI70-'Tariffs Jul2017'!M70)*'Tariffs Jul2017'!S70/100*'Tariffs Jul2017'!AI70,0)</f>
        <v>0</v>
      </c>
      <c r="J76" s="59">
        <f>IF($C$5*'Tariffs Jul2017'!AL70/'Tariffs Jul2017'!AJ70&gt;='Tariffs Jul2017'!J70,('Tariffs Jul2017'!J70*'Tariffs Jul2017'!U70/100)* 'Tariffs Jul2017'!AJ70,($C$5*'Tariffs Jul2017'!AL70/'Tariffs Jul2017'!AJ70*'Tariffs Jul2017'!U70/100)* 'Tariffs Jul2017'!AJ70)</f>
        <v>383.4</v>
      </c>
      <c r="K76" s="59">
        <f>IF($C$5*'Tariffs Jul2017'!AL70/'Tariffs Jul2017'!AJ70&lt;'Tariffs Jul2017'!J70,0,IF($C$5*'Tariffs Jul2017'!AL70/'Tariffs Jul2017'!AJ70&lt;='Tariffs Jul2017'!K70,($C$5*'Tariffs Jul2017'!AL70/'Tariffs Jul2017'!AJ70-'Tariffs Jul2017'!J70)*('Tariffs Jul2017'!V70/100)*'Tariffs Jul2017'!AJ70,('Tariffs Jul2017'!K70-'Tariffs Jul2017'!J70)*('Tariffs Jul2017'!V70/100)*'Tariffs Jul2017'!AJ70))</f>
        <v>260.54999999999995</v>
      </c>
      <c r="L76" s="59">
        <f>IF($C$5*'Tariffs Jul2017'!AL70/'Tariffs Jul2017'!AJ70&lt;'Tariffs Jul2017'!K70,0,IF($C$5*'Tariffs Jul2017'!AL70/'Tariffs Jul2017'!AJ70&lt;='Tariffs Jul2017'!L70,($C$5*'Tariffs Jul2017'!AL70/'Tariffs Jul2017'!AJ70-'Tariffs Jul2017'!K70)*('Tariffs Jul2017'!W70/100)*'Tariffs Jul2017'!AJ70,('Tariffs Jul2017'!L70-'Tariffs Jul2017'!K70)*('Tariffs Jul2017'!W70/100)*'Tariffs Jul2017'!AJ70))</f>
        <v>0</v>
      </c>
      <c r="M76" s="59">
        <f>IF($C$5*'Tariffs Jul2017'!AL70/'Tariffs Jul2017'!AJ70&lt;'Tariffs Jul2017'!L70,0,IF($C$5*'Tariffs Jul2017'!AL70/'Tariffs Jul2017'!AJ70&lt;='Tariffs Jul2017'!M70,($C$5*'Tariffs Jul2017'!AL70/'Tariffs Jul2017'!AJ70-'Tariffs Jul2017'!L70)*('Tariffs Jul2017'!X70/100)*'Tariffs Jul2017'!AJ70,('Tariffs Jul2017'!M70-'Tariffs Jul2017'!L70)*('Tariffs Jul2017'!X70/100)*'Tariffs Jul2017'!AJ70))</f>
        <v>0</v>
      </c>
      <c r="N76" s="59">
        <f>IF(($C$5*'Tariffs Jul2017'!AL70/'Tariffs Jul2017'!AJ70&gt;'Tariffs Jul2017'!M70),($C$5*'Tariffs Jul2017'!AL70/'Tariffs Jul2017'!AJ70-'Tariffs Jul2017'!M70)*'Tariffs Jul2017'!Y70/100*'Tariffs Jul2017'!AJ70,0)</f>
        <v>0</v>
      </c>
      <c r="O76" s="59">
        <f t="shared" si="5"/>
        <v>1561.05</v>
      </c>
      <c r="P76" s="59">
        <f t="shared" si="6"/>
        <v>1860.35</v>
      </c>
      <c r="Q76" s="272">
        <f t="shared" si="7"/>
        <v>2046.385</v>
      </c>
      <c r="R76" s="40">
        <f>'Tariffs Jul2017'!AM70</f>
        <v>0</v>
      </c>
      <c r="S76" s="40">
        <f>'Tariffs Jul2017'!AN70</f>
        <v>0</v>
      </c>
      <c r="T76" s="40">
        <f>'Tariffs Jul2017'!AO70</f>
        <v>0</v>
      </c>
      <c r="U76" s="40">
        <f>'Tariffs Jul2017'!AP70</f>
        <v>16</v>
      </c>
      <c r="V76" s="273">
        <f t="shared" si="8"/>
        <v>1860.35</v>
      </c>
      <c r="W76" s="284">
        <f>V76-(O76*U76/100)</f>
        <v>1610.5819999999999</v>
      </c>
      <c r="X76" s="272">
        <f t="shared" si="9"/>
        <v>2046.385</v>
      </c>
      <c r="Y76" s="272">
        <f t="shared" si="9"/>
        <v>1771.6402</v>
      </c>
      <c r="Z76" s="274">
        <f>'Tariffs Jul2017'!AW70</f>
        <v>12</v>
      </c>
      <c r="AA76" s="274" t="str">
        <f>'Tariffs Jul2017'!AX70</f>
        <v>y</v>
      </c>
      <c r="AB76" s="275" t="str">
        <f>'Tariffs Jul2017'!BD70</f>
        <v>N</v>
      </c>
      <c r="AC76" s="317"/>
      <c r="AD76" s="317"/>
      <c r="AE76" s="317"/>
      <c r="AF76" s="317"/>
      <c r="AG76" s="317"/>
      <c r="AH76" s="317"/>
      <c r="AI76" s="317"/>
      <c r="AJ76" s="317"/>
      <c r="AK76" s="317"/>
      <c r="AL76" s="317"/>
      <c r="AM76" s="317"/>
      <c r="AN76" s="317"/>
    </row>
    <row r="77" spans="1:40" x14ac:dyDescent="0.15">
      <c r="A77" s="270" t="str">
        <f>'Tariffs Jul2017'!F71</f>
        <v>Dodo Power &amp; Gas</v>
      </c>
      <c r="B77" s="40" t="str">
        <f>'Tariffs Jul2017'!D71</f>
        <v>Ausnet Central 2</v>
      </c>
      <c r="C77" s="40" t="str">
        <f>'Tariffs Jul2017'!G71</f>
        <v>Market offer</v>
      </c>
      <c r="D77" s="59">
        <f>365*'Tariffs Jul2017'!H71/100</f>
        <v>251.81349999999998</v>
      </c>
      <c r="E77" s="59">
        <f>IF($C$5*'Tariffs Jul2017'!AK71/'Tariffs Jul2017'!AI71&gt;='Tariffs Jul2017'!J71,( 'Tariffs Jul2017'!J71*'Tariffs Jul2017'!O71/100)* 'Tariffs Jul2017'!AI71,($C$5*'Tariffs Jul2017'!AK71/'Tariffs Jul2017'!AI71*'Tariffs Jul2017'!O71/100)* 'Tariffs Jul2017'!AI71)</f>
        <v>168</v>
      </c>
      <c r="F77" s="59">
        <f>IF($C$5*'Tariffs Jul2017'!AK71/'Tariffs Jul2017'!AI71&lt;'Tariffs Jul2017'!J71,0,IF($C$5*'Tariffs Jul2017'!AK71/'Tariffs Jul2017'!AI71&lt;='Tariffs Jul2017'!K71,($C$5*'Tariffs Jul2017'!AK71/'Tariffs Jul2017'!AI71-'Tariffs Jul2017'!J71)*('Tariffs Jul2017'!P71/100)*'Tariffs Jul2017'!AI71,('Tariffs Jul2017'!K71-'Tariffs Jul2017'!J71)*('Tariffs Jul2017'!P71/100)*'Tariffs Jul2017'!AI71))</f>
        <v>0</v>
      </c>
      <c r="G77" s="59">
        <f>IF($C$5*'Tariffs Jul2017'!AK71/'Tariffs Jul2017'!AI71&lt;'Tariffs Jul2017'!K71,0,IF($C$5*'Tariffs Jul2017'!AK71/'Tariffs Jul2017'!AI71&lt;='Tariffs Jul2017'!L71,($C$5*'Tariffs Jul2017'!AK71/'Tariffs Jul2017'!AI71-'Tariffs Jul2017'!K71)*('Tariffs Jul2017'!Q71/100)*'Tariffs Jul2017'!AI71,('Tariffs Jul2017'!L71-'Tariffs Jul2017'!K71)*('Tariffs Jul2017'!Q71/100)*'Tariffs Jul2017'!AI71))</f>
        <v>0</v>
      </c>
      <c r="H77" s="59">
        <f>IF($C$5*'Tariffs Jul2017'!AK71/'Tariffs Jul2017'!AI71&lt;'Tariffs Jul2017'!L71,0,IF($C$5*'Tariffs Jul2017'!AK71/'Tariffs Jul2017'!AI71&lt;='Tariffs Jul2017'!M71,($C$5*'Tariffs Jul2017'!AK71/'Tariffs Jul2017'!AI71-'Tariffs Jul2017'!L71)*('Tariffs Jul2017'!R71/100)*'Tariffs Jul2017'!AI71,('Tariffs Jul2017'!M71-'Tariffs Jul2017'!L71)*('Tariffs Jul2017'!R71/100)*'Tariffs Jul2017'!AI71))</f>
        <v>0</v>
      </c>
      <c r="I77" s="59">
        <f>IF(($C$5*'Tariffs Jul2017'!AK71/'Tariffs Jul2017'!AI71&gt;'Tariffs Jul2017'!M71),($C$5*'Tariffs Jul2017'!AK71/'Tariffs Jul2017'!AI71-'Tariffs Jul2017'!M71)*'Tariffs Jul2017'!S71/100*'Tariffs Jul2017'!AI71,0)</f>
        <v>285.55715999999995</v>
      </c>
      <c r="J77" s="59">
        <f>IF($C$5*'Tariffs Jul2017'!AL71/'Tariffs Jul2017'!AJ71&gt;='Tariffs Jul2017'!J71,('Tariffs Jul2017'!J71*'Tariffs Jul2017'!U71/100)* 'Tariffs Jul2017'!AJ71,($C$5*'Tariffs Jul2017'!AL71/'Tariffs Jul2017'!AJ71*'Tariffs Jul2017'!U71/100)* 'Tariffs Jul2017'!AJ71)</f>
        <v>270.2</v>
      </c>
      <c r="K77" s="59">
        <f>IF($C$5*'Tariffs Jul2017'!AL71/'Tariffs Jul2017'!AJ71&lt;'Tariffs Jul2017'!J71,0,IF($C$5*'Tariffs Jul2017'!AL71/'Tariffs Jul2017'!AJ71&lt;='Tariffs Jul2017'!K71,($C$5*'Tariffs Jul2017'!AL71/'Tariffs Jul2017'!AJ71-'Tariffs Jul2017'!J71)*('Tariffs Jul2017'!V71/100)*'Tariffs Jul2017'!AJ71,('Tariffs Jul2017'!K71-'Tariffs Jul2017'!J71)*('Tariffs Jul2017'!V71/100)*'Tariffs Jul2017'!AJ71))</f>
        <v>0</v>
      </c>
      <c r="L77" s="59">
        <f>IF($C$5*'Tariffs Jul2017'!AL71/'Tariffs Jul2017'!AJ71&lt;'Tariffs Jul2017'!K71,0,IF($C$5*'Tariffs Jul2017'!AL71/'Tariffs Jul2017'!AJ71&lt;='Tariffs Jul2017'!L71,($C$5*'Tariffs Jul2017'!AL71/'Tariffs Jul2017'!AJ71-'Tariffs Jul2017'!K71)*('Tariffs Jul2017'!W71/100)*'Tariffs Jul2017'!AJ71,('Tariffs Jul2017'!L71-'Tariffs Jul2017'!K71)*('Tariffs Jul2017'!W71/100)*'Tariffs Jul2017'!AJ71))</f>
        <v>0</v>
      </c>
      <c r="M77" s="59">
        <f>IF($C$5*'Tariffs Jul2017'!AL71/'Tariffs Jul2017'!AJ71&lt;'Tariffs Jul2017'!L71,0,IF($C$5*'Tariffs Jul2017'!AL71/'Tariffs Jul2017'!AJ71&lt;='Tariffs Jul2017'!M71,($C$5*'Tariffs Jul2017'!AL71/'Tariffs Jul2017'!AJ71-'Tariffs Jul2017'!L71)*('Tariffs Jul2017'!X71/100)*'Tariffs Jul2017'!AJ71,('Tariffs Jul2017'!M71-'Tariffs Jul2017'!L71)*('Tariffs Jul2017'!X71/100)*'Tariffs Jul2017'!AJ71))</f>
        <v>0</v>
      </c>
      <c r="N77" s="59">
        <f>IF(($C$5*'Tariffs Jul2017'!AL71/'Tariffs Jul2017'!AJ71&gt;'Tariffs Jul2017'!M71),($C$5*'Tariffs Jul2017'!AL71/'Tariffs Jul2017'!AJ71-'Tariffs Jul2017'!M71)*'Tariffs Jul2017'!Y71/100*'Tariffs Jul2017'!AJ71,0)</f>
        <v>445.13321999999994</v>
      </c>
      <c r="O77" s="59">
        <f t="shared" si="5"/>
        <v>1168.8903799999998</v>
      </c>
      <c r="P77" s="59">
        <f t="shared" si="6"/>
        <v>1420.7038799999998</v>
      </c>
      <c r="Q77" s="272">
        <f t="shared" si="7"/>
        <v>1562.7742679999999</v>
      </c>
      <c r="R77" s="40">
        <f>'Tariffs Jul2017'!AM71</f>
        <v>0</v>
      </c>
      <c r="S77" s="40">
        <f>'Tariffs Jul2017'!AN71</f>
        <v>0</v>
      </c>
      <c r="T77" s="40">
        <f>'Tariffs Jul2017'!AO71</f>
        <v>0</v>
      </c>
      <c r="U77" s="40">
        <f>'Tariffs Jul2017'!AP71</f>
        <v>0</v>
      </c>
      <c r="V77" s="273">
        <f t="shared" si="8"/>
        <v>1420.7038799999998</v>
      </c>
      <c r="W77" s="284">
        <f>V77-(O77*U77/100)</f>
        <v>1420.7038799999998</v>
      </c>
      <c r="X77" s="272">
        <f t="shared" si="9"/>
        <v>1562.7742679999999</v>
      </c>
      <c r="Y77" s="272">
        <f t="shared" si="9"/>
        <v>1562.7742679999999</v>
      </c>
      <c r="Z77" s="274">
        <f>'Tariffs Jul2017'!AW71</f>
        <v>0</v>
      </c>
      <c r="AA77" s="274" t="str">
        <f>'Tariffs Jul2017'!AX71</f>
        <v>n</v>
      </c>
      <c r="AB77" s="275" t="str">
        <f>'Tariffs Jul2017'!BD71</f>
        <v>Y</v>
      </c>
      <c r="AC77" s="317"/>
      <c r="AD77" s="317"/>
      <c r="AE77" s="317"/>
      <c r="AF77" s="317"/>
      <c r="AG77" s="317"/>
      <c r="AH77" s="317"/>
      <c r="AI77" s="317"/>
      <c r="AJ77" s="317"/>
      <c r="AK77" s="317"/>
      <c r="AL77" s="317"/>
      <c r="AM77" s="317"/>
      <c r="AN77" s="317"/>
    </row>
    <row r="78" spans="1:40" x14ac:dyDescent="0.15">
      <c r="A78" s="270" t="str">
        <f>'Tariffs Jul2017'!F72</f>
        <v>EnergyAustralia</v>
      </c>
      <c r="B78" s="40" t="str">
        <f>'Tariffs Jul2017'!D72</f>
        <v>Ausnet Central 2</v>
      </c>
      <c r="C78" s="40" t="str">
        <f>'Tariffs Jul2017'!G72</f>
        <v xml:space="preserve">Flexi Saver </v>
      </c>
      <c r="D78" s="59">
        <f>365*'Tariffs Jul2017'!H72/100</f>
        <v>297.47500000000002</v>
      </c>
      <c r="E78" s="59">
        <f>IF($C$5*'Tariffs Jul2017'!AK72/'Tariffs Jul2017'!AI72&gt;='Tariffs Jul2017'!J72,( 'Tariffs Jul2017'!J72*'Tariffs Jul2017'!O72/100)* 'Tariffs Jul2017'!AI72,($C$5*'Tariffs Jul2017'!AK72/'Tariffs Jul2017'!AI72*'Tariffs Jul2017'!O72/100)* 'Tariffs Jul2017'!AI72)</f>
        <v>321.60000000000002</v>
      </c>
      <c r="F78" s="59">
        <f>IF($C$5*'Tariffs Jul2017'!AK72/'Tariffs Jul2017'!AI72&lt;'Tariffs Jul2017'!J72,0,IF($C$5*'Tariffs Jul2017'!AK72/'Tariffs Jul2017'!AI72&lt;='Tariffs Jul2017'!K72,($C$5*'Tariffs Jul2017'!AK72/'Tariffs Jul2017'!AI72-'Tariffs Jul2017'!J72)*('Tariffs Jul2017'!P72/100)*'Tariffs Jul2017'!AI72,('Tariffs Jul2017'!K72-'Tariffs Jul2017'!J72)*('Tariffs Jul2017'!P72/100)*'Tariffs Jul2017'!AI72))</f>
        <v>193.45484999999994</v>
      </c>
      <c r="G78" s="59">
        <f>IF($C$5*'Tariffs Jul2017'!AK72/'Tariffs Jul2017'!AI72&lt;'Tariffs Jul2017'!K72,0,IF($C$5*'Tariffs Jul2017'!AK72/'Tariffs Jul2017'!AI72&lt;='Tariffs Jul2017'!L72,($C$5*'Tariffs Jul2017'!AK72/'Tariffs Jul2017'!AI72-'Tariffs Jul2017'!K72)*('Tariffs Jul2017'!Q72/100)*'Tariffs Jul2017'!AI72,('Tariffs Jul2017'!L72-'Tariffs Jul2017'!K72)*('Tariffs Jul2017'!Q72/100)*'Tariffs Jul2017'!AI72))</f>
        <v>0</v>
      </c>
      <c r="H78" s="59">
        <f>IF($C$5*'Tariffs Jul2017'!AK72/'Tariffs Jul2017'!AI72&lt;'Tariffs Jul2017'!L72,0,IF($C$5*'Tariffs Jul2017'!AK72/'Tariffs Jul2017'!AI72&lt;='Tariffs Jul2017'!M72,($C$5*'Tariffs Jul2017'!AK72/'Tariffs Jul2017'!AI72-'Tariffs Jul2017'!L72)*('Tariffs Jul2017'!R72/100)*'Tariffs Jul2017'!AI72,('Tariffs Jul2017'!M72-'Tariffs Jul2017'!L72)*('Tariffs Jul2017'!R72/100)*'Tariffs Jul2017'!AI72))</f>
        <v>0</v>
      </c>
      <c r="I78" s="59">
        <f>IF(($C$5*'Tariffs Jul2017'!AK72/'Tariffs Jul2017'!AI72&gt;'Tariffs Jul2017'!M72),($C$5*'Tariffs Jul2017'!AK72/'Tariffs Jul2017'!AI72-'Tariffs Jul2017'!M72)*'Tariffs Jul2017'!S72/100*'Tariffs Jul2017'!AI72,0)</f>
        <v>0</v>
      </c>
      <c r="J78" s="59">
        <f>IF($C$5*'Tariffs Jul2017'!AL72/'Tariffs Jul2017'!AJ72&gt;='Tariffs Jul2017'!J72,('Tariffs Jul2017'!J72*'Tariffs Jul2017'!U72/100)* 'Tariffs Jul2017'!AJ72,($C$5*'Tariffs Jul2017'!AL72/'Tariffs Jul2017'!AJ72*'Tariffs Jul2017'!U72/100)* 'Tariffs Jul2017'!AJ72)</f>
        <v>403.2</v>
      </c>
      <c r="K78" s="59">
        <f>IF($C$5*'Tariffs Jul2017'!AL72/'Tariffs Jul2017'!AJ72&lt;'Tariffs Jul2017'!J72,0,IF($C$5*'Tariffs Jul2017'!AL72/'Tariffs Jul2017'!AJ72&lt;='Tariffs Jul2017'!K72,($C$5*'Tariffs Jul2017'!AL72/'Tariffs Jul2017'!AJ72-'Tariffs Jul2017'!J72)*('Tariffs Jul2017'!V72/100)*'Tariffs Jul2017'!AJ72,('Tariffs Jul2017'!K72-'Tariffs Jul2017'!J72)*('Tariffs Jul2017'!V72/100)*'Tariffs Jul2017'!AJ72))</f>
        <v>284.33363999999995</v>
      </c>
      <c r="L78" s="59">
        <f>IF($C$5*'Tariffs Jul2017'!AL72/'Tariffs Jul2017'!AJ72&lt;'Tariffs Jul2017'!K72,0,IF($C$5*'Tariffs Jul2017'!AL72/'Tariffs Jul2017'!AJ72&lt;='Tariffs Jul2017'!L72,($C$5*'Tariffs Jul2017'!AL72/'Tariffs Jul2017'!AJ72-'Tariffs Jul2017'!K72)*('Tariffs Jul2017'!W72/100)*'Tariffs Jul2017'!AJ72,('Tariffs Jul2017'!L72-'Tariffs Jul2017'!K72)*('Tariffs Jul2017'!W72/100)*'Tariffs Jul2017'!AJ72))</f>
        <v>0</v>
      </c>
      <c r="M78" s="59">
        <f>IF($C$5*'Tariffs Jul2017'!AL72/'Tariffs Jul2017'!AJ72&lt;'Tariffs Jul2017'!L72,0,IF($C$5*'Tariffs Jul2017'!AL72/'Tariffs Jul2017'!AJ72&lt;='Tariffs Jul2017'!M72,($C$5*'Tariffs Jul2017'!AL72/'Tariffs Jul2017'!AJ72-'Tariffs Jul2017'!L72)*('Tariffs Jul2017'!X72/100)*'Tariffs Jul2017'!AJ72,('Tariffs Jul2017'!M72-'Tariffs Jul2017'!L72)*('Tariffs Jul2017'!X72/100)*'Tariffs Jul2017'!AJ72))</f>
        <v>0</v>
      </c>
      <c r="N78" s="59">
        <f>IF(($C$5*'Tariffs Jul2017'!AL72/'Tariffs Jul2017'!AJ72&gt;'Tariffs Jul2017'!M72),($C$5*'Tariffs Jul2017'!AL72/'Tariffs Jul2017'!AJ72-'Tariffs Jul2017'!M72)*'Tariffs Jul2017'!Y72/100*'Tariffs Jul2017'!AJ72,0)</f>
        <v>0</v>
      </c>
      <c r="O78" s="59">
        <f t="shared" si="5"/>
        <v>1202.5884900000001</v>
      </c>
      <c r="P78" s="59">
        <f t="shared" si="6"/>
        <v>1500.06349</v>
      </c>
      <c r="Q78" s="272">
        <f t="shared" si="7"/>
        <v>1650.0698390000002</v>
      </c>
      <c r="R78" s="40">
        <f>'Tariffs Jul2017'!AM72</f>
        <v>0</v>
      </c>
      <c r="S78" s="40">
        <f>'Tariffs Jul2017'!AN72</f>
        <v>0</v>
      </c>
      <c r="T78" s="40">
        <f>'Tariffs Jul2017'!AO72</f>
        <v>0</v>
      </c>
      <c r="U78" s="40">
        <f>'Tariffs Jul2017'!AP72</f>
        <v>20</v>
      </c>
      <c r="V78" s="273">
        <f t="shared" si="8"/>
        <v>1500.06349</v>
      </c>
      <c r="W78" s="284">
        <f>V78-(O78*U78/100)</f>
        <v>1259.5457919999999</v>
      </c>
      <c r="X78" s="272">
        <f t="shared" si="9"/>
        <v>1650.0698390000002</v>
      </c>
      <c r="Y78" s="272">
        <f t="shared" si="9"/>
        <v>1385.5003712</v>
      </c>
      <c r="Z78" s="274">
        <f>'Tariffs Jul2017'!AW72</f>
        <v>0</v>
      </c>
      <c r="AA78" s="274" t="str">
        <f>'Tariffs Jul2017'!AX72</f>
        <v>n</v>
      </c>
      <c r="AB78" s="275" t="str">
        <f>'Tariffs Jul2017'!BD72</f>
        <v>N</v>
      </c>
      <c r="AC78" s="317"/>
      <c r="AD78" s="317"/>
      <c r="AE78" s="317"/>
      <c r="AF78" s="317"/>
      <c r="AG78" s="317"/>
      <c r="AH78" s="317"/>
      <c r="AI78" s="317"/>
      <c r="AJ78" s="317"/>
      <c r="AK78" s="317"/>
      <c r="AL78" s="317"/>
      <c r="AM78" s="317"/>
      <c r="AN78" s="317"/>
    </row>
    <row r="79" spans="1:40" x14ac:dyDescent="0.15">
      <c r="A79" s="270" t="str">
        <f>'Tariffs Jul2017'!F73</f>
        <v>Lumo Energy</v>
      </c>
      <c r="B79" s="40" t="str">
        <f>'Tariffs Jul2017'!D73</f>
        <v>Ausnet Central 2</v>
      </c>
      <c r="C79" s="40" t="str">
        <f>'Tariffs Jul2017'!G73</f>
        <v>Advantage</v>
      </c>
      <c r="D79" s="59">
        <f>365*'Tariffs Jul2017'!H73/100</f>
        <v>288.67850000000004</v>
      </c>
      <c r="E79" s="59">
        <f>IF($C$5*'Tariffs Jul2017'!AK73/'Tariffs Jul2017'!AI73&gt;='Tariffs Jul2017'!J73,( 'Tariffs Jul2017'!J73*'Tariffs Jul2017'!O73/100)* 'Tariffs Jul2017'!AI73,($C$5*'Tariffs Jul2017'!AK73/'Tariffs Jul2017'!AI73*'Tariffs Jul2017'!O73/100)* 'Tariffs Jul2017'!AI73)</f>
        <v>296.76</v>
      </c>
      <c r="F79" s="59">
        <f>IF($C$5*'Tariffs Jul2017'!AK73/'Tariffs Jul2017'!AI73&lt;'Tariffs Jul2017'!J73,0,IF($C$5*'Tariffs Jul2017'!AK73/'Tariffs Jul2017'!AI73&lt;='Tariffs Jul2017'!K73,($C$5*'Tariffs Jul2017'!AK73/'Tariffs Jul2017'!AI73-'Tariffs Jul2017'!J73)*('Tariffs Jul2017'!P73/100)*'Tariffs Jul2017'!AI73,('Tariffs Jul2017'!K73-'Tariffs Jul2017'!J73)*('Tariffs Jul2017'!P73/100)*'Tariffs Jul2017'!AI73))</f>
        <v>185.98659299999997</v>
      </c>
      <c r="G79" s="59">
        <f>IF($C$5*'Tariffs Jul2017'!AK73/'Tariffs Jul2017'!AI73&lt;'Tariffs Jul2017'!K73,0,IF($C$5*'Tariffs Jul2017'!AK73/'Tariffs Jul2017'!AI73&lt;='Tariffs Jul2017'!L73,($C$5*'Tariffs Jul2017'!AK73/'Tariffs Jul2017'!AI73-'Tariffs Jul2017'!K73)*('Tariffs Jul2017'!Q73/100)*'Tariffs Jul2017'!AI73,('Tariffs Jul2017'!L73-'Tariffs Jul2017'!K73)*('Tariffs Jul2017'!Q73/100)*'Tariffs Jul2017'!AI73))</f>
        <v>0</v>
      </c>
      <c r="H79" s="59">
        <f>IF($C$5*'Tariffs Jul2017'!AK73/'Tariffs Jul2017'!AI73&lt;'Tariffs Jul2017'!L73,0,IF($C$5*'Tariffs Jul2017'!AK73/'Tariffs Jul2017'!AI73&lt;='Tariffs Jul2017'!M73,($C$5*'Tariffs Jul2017'!AK73/'Tariffs Jul2017'!AI73-'Tariffs Jul2017'!L73)*('Tariffs Jul2017'!R73/100)*'Tariffs Jul2017'!AI73,('Tariffs Jul2017'!M73-'Tariffs Jul2017'!L73)*('Tariffs Jul2017'!R73/100)*'Tariffs Jul2017'!AI73))</f>
        <v>0</v>
      </c>
      <c r="I79" s="59">
        <f>IF(($C$5*'Tariffs Jul2017'!AK73/'Tariffs Jul2017'!AI73&gt;'Tariffs Jul2017'!M73),($C$5*'Tariffs Jul2017'!AK73/'Tariffs Jul2017'!AI73-'Tariffs Jul2017'!M73)*'Tariffs Jul2017'!S73/100*'Tariffs Jul2017'!AI73,0)</f>
        <v>0</v>
      </c>
      <c r="J79" s="59">
        <f>IF($C$5*'Tariffs Jul2017'!AL73/'Tariffs Jul2017'!AJ73&gt;='Tariffs Jul2017'!J73,('Tariffs Jul2017'!J73*'Tariffs Jul2017'!U73/100)* 'Tariffs Jul2017'!AJ73,($C$5*'Tariffs Jul2017'!AL73/'Tariffs Jul2017'!AJ73*'Tariffs Jul2017'!U73/100)* 'Tariffs Jul2017'!AJ73)</f>
        <v>387.6</v>
      </c>
      <c r="K79" s="59">
        <f>IF($C$5*'Tariffs Jul2017'!AL73/'Tariffs Jul2017'!AJ73&lt;'Tariffs Jul2017'!J73,0,IF($C$5*'Tariffs Jul2017'!AL73/'Tariffs Jul2017'!AJ73&lt;='Tariffs Jul2017'!K73,($C$5*'Tariffs Jul2017'!AL73/'Tariffs Jul2017'!AJ73-'Tariffs Jul2017'!J73)*('Tariffs Jul2017'!V73/100)*'Tariffs Jul2017'!AJ73,('Tariffs Jul2017'!K73-'Tariffs Jul2017'!J73)*('Tariffs Jul2017'!V73/100)*'Tariffs Jul2017'!AJ73))</f>
        <v>279.83468999999991</v>
      </c>
      <c r="L79" s="59">
        <f>IF($C$5*'Tariffs Jul2017'!AL73/'Tariffs Jul2017'!AJ73&lt;'Tariffs Jul2017'!K73,0,IF($C$5*'Tariffs Jul2017'!AL73/'Tariffs Jul2017'!AJ73&lt;='Tariffs Jul2017'!L73,($C$5*'Tariffs Jul2017'!AL73/'Tariffs Jul2017'!AJ73-'Tariffs Jul2017'!K73)*('Tariffs Jul2017'!W73/100)*'Tariffs Jul2017'!AJ73,('Tariffs Jul2017'!L73-'Tariffs Jul2017'!K73)*('Tariffs Jul2017'!W73/100)*'Tariffs Jul2017'!AJ73))</f>
        <v>0</v>
      </c>
      <c r="M79" s="59">
        <f>IF($C$5*'Tariffs Jul2017'!AL73/'Tariffs Jul2017'!AJ73&lt;'Tariffs Jul2017'!L73,0,IF($C$5*'Tariffs Jul2017'!AL73/'Tariffs Jul2017'!AJ73&lt;='Tariffs Jul2017'!M73,($C$5*'Tariffs Jul2017'!AL73/'Tariffs Jul2017'!AJ73-'Tariffs Jul2017'!L73)*('Tariffs Jul2017'!X73/100)*'Tariffs Jul2017'!AJ73,('Tariffs Jul2017'!M73-'Tariffs Jul2017'!L73)*('Tariffs Jul2017'!X73/100)*'Tariffs Jul2017'!AJ73))</f>
        <v>0</v>
      </c>
      <c r="N79" s="59">
        <f>IF(($C$5*'Tariffs Jul2017'!AL73/'Tariffs Jul2017'!AJ73&gt;'Tariffs Jul2017'!M73),($C$5*'Tariffs Jul2017'!AL73/'Tariffs Jul2017'!AJ73-'Tariffs Jul2017'!M73)*'Tariffs Jul2017'!Y73/100*'Tariffs Jul2017'!AJ73,0)</f>
        <v>0</v>
      </c>
      <c r="O79" s="59">
        <f t="shared" si="5"/>
        <v>1150.1812829999999</v>
      </c>
      <c r="P79" s="59">
        <f t="shared" si="6"/>
        <v>1438.8597829999999</v>
      </c>
      <c r="Q79" s="272">
        <f t="shared" si="7"/>
        <v>1582.7457612999999</v>
      </c>
      <c r="R79" s="40">
        <f>'Tariffs Jul2017'!AM73</f>
        <v>0</v>
      </c>
      <c r="S79" s="40">
        <f>'Tariffs Jul2017'!AN73</f>
        <v>0</v>
      </c>
      <c r="T79" s="40">
        <f>'Tariffs Jul2017'!AO73</f>
        <v>15</v>
      </c>
      <c r="U79" s="40">
        <f>'Tariffs Jul2017'!AP73</f>
        <v>0</v>
      </c>
      <c r="V79" s="273">
        <f t="shared" si="8"/>
        <v>1438.8597829999999</v>
      </c>
      <c r="W79" s="284">
        <f>V79-(P79*T79/100)</f>
        <v>1223.0308155499999</v>
      </c>
      <c r="X79" s="272">
        <f t="shared" si="9"/>
        <v>1582.7457612999999</v>
      </c>
      <c r="Y79" s="272">
        <f t="shared" si="9"/>
        <v>1345.333897105</v>
      </c>
      <c r="Z79" s="274">
        <f>'Tariffs Jul2017'!AW73</f>
        <v>0</v>
      </c>
      <c r="AA79" s="274" t="str">
        <f>'Tariffs Jul2017'!AX73</f>
        <v>n</v>
      </c>
      <c r="AB79" s="275" t="str">
        <f>'Tariffs Jul2017'!BD73</f>
        <v>N</v>
      </c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</row>
    <row r="80" spans="1:40" x14ac:dyDescent="0.15">
      <c r="A80" s="270" t="str">
        <f>'Tariffs Jul2017'!F74</f>
        <v>Momentum Energy</v>
      </c>
      <c r="B80" s="40" t="str">
        <f>'Tariffs Jul2017'!D74</f>
        <v>Ausnet Central 2</v>
      </c>
      <c r="C80" s="40" t="str">
        <f>'Tariffs Jul2017'!G74</f>
        <v>Market offer</v>
      </c>
      <c r="D80" s="59">
        <f>365*'Tariffs Jul2017'!H74/100</f>
        <v>242.06799999999998</v>
      </c>
      <c r="E80" s="59">
        <f>IF($C$5*'Tariffs Jul2017'!AK74/'Tariffs Jul2017'!AI74&gt;='Tariffs Jul2017'!J74,( 'Tariffs Jul2017'!J74*'Tariffs Jul2017'!O74/100)* 'Tariffs Jul2017'!AI74,($C$5*'Tariffs Jul2017'!AK74/'Tariffs Jul2017'!AI74*'Tariffs Jul2017'!O74/100)* 'Tariffs Jul2017'!AI74)</f>
        <v>260.03999999999996</v>
      </c>
      <c r="F80" s="59">
        <f>IF($C$5*'Tariffs Jul2017'!AK74/'Tariffs Jul2017'!AI74&lt;'Tariffs Jul2017'!J74,0,IF($C$5*'Tariffs Jul2017'!AK74/'Tariffs Jul2017'!AI74&lt;='Tariffs Jul2017'!K74,($C$5*'Tariffs Jul2017'!AK74/'Tariffs Jul2017'!AI74-'Tariffs Jul2017'!J74)*('Tariffs Jul2017'!P74/100)*'Tariffs Jul2017'!AI74,('Tariffs Jul2017'!K74-'Tariffs Jul2017'!J74)*('Tariffs Jul2017'!P74/100)*'Tariffs Jul2017'!AI74))</f>
        <v>161.24236799999997</v>
      </c>
      <c r="G80" s="59">
        <f>IF($C$5*'Tariffs Jul2017'!AK74/'Tariffs Jul2017'!AI74&lt;'Tariffs Jul2017'!K74,0,IF($C$5*'Tariffs Jul2017'!AK74/'Tariffs Jul2017'!AI74&lt;='Tariffs Jul2017'!L74,($C$5*'Tariffs Jul2017'!AK74/'Tariffs Jul2017'!AI74-'Tariffs Jul2017'!K74)*('Tariffs Jul2017'!Q74/100)*'Tariffs Jul2017'!AI74,('Tariffs Jul2017'!L74-'Tariffs Jul2017'!K74)*('Tariffs Jul2017'!Q74/100)*'Tariffs Jul2017'!AI74))</f>
        <v>0</v>
      </c>
      <c r="H80" s="59">
        <f>IF($C$5*'Tariffs Jul2017'!AK74/'Tariffs Jul2017'!AI74&lt;'Tariffs Jul2017'!L74,0,IF($C$5*'Tariffs Jul2017'!AK74/'Tariffs Jul2017'!AI74&lt;='Tariffs Jul2017'!M74,($C$5*'Tariffs Jul2017'!AK74/'Tariffs Jul2017'!AI74-'Tariffs Jul2017'!L74)*('Tariffs Jul2017'!R74/100)*'Tariffs Jul2017'!AI74,('Tariffs Jul2017'!M74-'Tariffs Jul2017'!L74)*('Tariffs Jul2017'!R74/100)*'Tariffs Jul2017'!AI74))</f>
        <v>0</v>
      </c>
      <c r="I80" s="59">
        <f>IF(($C$5*'Tariffs Jul2017'!AK74/'Tariffs Jul2017'!AI74&gt;'Tariffs Jul2017'!M74),($C$5*'Tariffs Jul2017'!AK74/'Tariffs Jul2017'!AI74-'Tariffs Jul2017'!M74)*'Tariffs Jul2017'!S74/100*'Tariffs Jul2017'!AI74,0)</f>
        <v>0</v>
      </c>
      <c r="J80" s="59">
        <f>IF($C$5*'Tariffs Jul2017'!AL74/'Tariffs Jul2017'!AJ74&gt;='Tariffs Jul2017'!J74,('Tariffs Jul2017'!J74*'Tariffs Jul2017'!U74/100)* 'Tariffs Jul2017'!AJ74,($C$5*'Tariffs Jul2017'!AL74/'Tariffs Jul2017'!AJ74*'Tariffs Jul2017'!U74/100)* 'Tariffs Jul2017'!AJ74)</f>
        <v>345.84</v>
      </c>
      <c r="K80" s="59">
        <f>IF($C$5*'Tariffs Jul2017'!AL74/'Tariffs Jul2017'!AJ74&lt;'Tariffs Jul2017'!J74,0,IF($C$5*'Tariffs Jul2017'!AL74/'Tariffs Jul2017'!AJ74&lt;='Tariffs Jul2017'!K74,($C$5*'Tariffs Jul2017'!AL74/'Tariffs Jul2017'!AJ74-'Tariffs Jul2017'!J74)*('Tariffs Jul2017'!V74/100)*'Tariffs Jul2017'!AJ74,('Tariffs Jul2017'!K74-'Tariffs Jul2017'!J74)*('Tariffs Jul2017'!V74/100)*'Tariffs Jul2017'!AJ74))</f>
        <v>251.76124199999995</v>
      </c>
      <c r="L80" s="59">
        <f>IF($C$5*'Tariffs Jul2017'!AL74/'Tariffs Jul2017'!AJ74&lt;'Tariffs Jul2017'!K74,0,IF($C$5*'Tariffs Jul2017'!AL74/'Tariffs Jul2017'!AJ74&lt;='Tariffs Jul2017'!L74,($C$5*'Tariffs Jul2017'!AL74/'Tariffs Jul2017'!AJ74-'Tariffs Jul2017'!K74)*('Tariffs Jul2017'!W74/100)*'Tariffs Jul2017'!AJ74,('Tariffs Jul2017'!L74-'Tariffs Jul2017'!K74)*('Tariffs Jul2017'!W74/100)*'Tariffs Jul2017'!AJ74))</f>
        <v>0</v>
      </c>
      <c r="M80" s="59">
        <f>IF($C$5*'Tariffs Jul2017'!AL74/'Tariffs Jul2017'!AJ74&lt;'Tariffs Jul2017'!L74,0,IF($C$5*'Tariffs Jul2017'!AL74/'Tariffs Jul2017'!AJ74&lt;='Tariffs Jul2017'!M74,($C$5*'Tariffs Jul2017'!AL74/'Tariffs Jul2017'!AJ74-'Tariffs Jul2017'!L74)*('Tariffs Jul2017'!X74/100)*'Tariffs Jul2017'!AJ74,('Tariffs Jul2017'!M74-'Tariffs Jul2017'!L74)*('Tariffs Jul2017'!X74/100)*'Tariffs Jul2017'!AJ74))</f>
        <v>0</v>
      </c>
      <c r="N80" s="59">
        <f>IF(($C$5*'Tariffs Jul2017'!AL74/'Tariffs Jul2017'!AJ74&gt;'Tariffs Jul2017'!M74),($C$5*'Tariffs Jul2017'!AL74/'Tariffs Jul2017'!AJ74-'Tariffs Jul2017'!M74)*'Tariffs Jul2017'!Y74/100*'Tariffs Jul2017'!AJ74,0)</f>
        <v>0</v>
      </c>
      <c r="O80" s="59">
        <f t="shared" si="5"/>
        <v>1018.8836099999997</v>
      </c>
      <c r="P80" s="59">
        <f t="shared" si="6"/>
        <v>1260.9516099999996</v>
      </c>
      <c r="Q80" s="272">
        <f t="shared" si="7"/>
        <v>1387.0467709999996</v>
      </c>
      <c r="R80" s="40">
        <f>'Tariffs Jul2017'!AM74</f>
        <v>0</v>
      </c>
      <c r="S80" s="40">
        <f>'Tariffs Jul2017'!AN74</f>
        <v>0</v>
      </c>
      <c r="T80" s="40">
        <f>'Tariffs Jul2017'!AO74</f>
        <v>0</v>
      </c>
      <c r="U80" s="40">
        <f>'Tariffs Jul2017'!AP74</f>
        <v>0</v>
      </c>
      <c r="V80" s="273">
        <f t="shared" si="8"/>
        <v>1260.9516099999996</v>
      </c>
      <c r="W80" s="284">
        <f>V80</f>
        <v>1260.9516099999996</v>
      </c>
      <c r="X80" s="272">
        <f t="shared" si="9"/>
        <v>1387.0467709999996</v>
      </c>
      <c r="Y80" s="272">
        <f t="shared" si="9"/>
        <v>1387.0467709999996</v>
      </c>
      <c r="Z80" s="274">
        <f>'Tariffs Jul2017'!AW74</f>
        <v>0</v>
      </c>
      <c r="AA80" s="274" t="str">
        <f>'Tariffs Jul2017'!AX74</f>
        <v>n</v>
      </c>
      <c r="AB80" s="275" t="str">
        <f>'Tariffs Jul2017'!BD74</f>
        <v>Y</v>
      </c>
      <c r="AC80" s="317"/>
      <c r="AD80" s="317"/>
      <c r="AE80" s="317"/>
      <c r="AF80" s="317"/>
      <c r="AG80" s="317"/>
      <c r="AH80" s="317"/>
      <c r="AI80" s="317"/>
      <c r="AJ80" s="317"/>
      <c r="AK80" s="317"/>
      <c r="AL80" s="317"/>
      <c r="AM80" s="317"/>
      <c r="AN80" s="317"/>
    </row>
    <row r="81" spans="1:40" x14ac:dyDescent="0.15">
      <c r="A81" s="270" t="str">
        <f>'Tariffs Jul2017'!F75</f>
        <v>Origin Energy</v>
      </c>
      <c r="B81" s="40" t="str">
        <f>'Tariffs Jul2017'!D75</f>
        <v>Ausnet Central 2</v>
      </c>
      <c r="C81" s="40" t="str">
        <f>'Tariffs Jul2017'!G75</f>
        <v>Saver</v>
      </c>
      <c r="D81" s="59">
        <f>365*'Tariffs Jul2017'!H75/100</f>
        <v>297.767</v>
      </c>
      <c r="E81" s="59">
        <f>IF($C$5*'Tariffs Jul2017'!AK75/'Tariffs Jul2017'!AI75&gt;='Tariffs Jul2017'!J75,( 'Tariffs Jul2017'!J75*'Tariffs Jul2017'!O75/100)* 'Tariffs Jul2017'!AI75,($C$5*'Tariffs Jul2017'!AK75/'Tariffs Jul2017'!AI75*'Tariffs Jul2017'!O75/100)* 'Tariffs Jul2017'!AI75)</f>
        <v>168.25599999999997</v>
      </c>
      <c r="F81" s="59">
        <f>IF($C$5*'Tariffs Jul2017'!AK75/'Tariffs Jul2017'!AI75&lt;'Tariffs Jul2017'!J75,0,IF($C$5*'Tariffs Jul2017'!AK75/'Tariffs Jul2017'!AI75&lt;='Tariffs Jul2017'!K75,($C$5*'Tariffs Jul2017'!AK75/'Tariffs Jul2017'!AI75-'Tariffs Jul2017'!J75)*('Tariffs Jul2017'!P75/100)*'Tariffs Jul2017'!AI75,('Tariffs Jul2017'!K75-'Tariffs Jul2017'!J75)*('Tariffs Jul2017'!P75/100)*'Tariffs Jul2017'!AI75))</f>
        <v>0</v>
      </c>
      <c r="G81" s="59">
        <f>IF($C$5*'Tariffs Jul2017'!AK75/'Tariffs Jul2017'!AI75&lt;'Tariffs Jul2017'!K75,0,IF($C$5*'Tariffs Jul2017'!AK75/'Tariffs Jul2017'!AI75&lt;='Tariffs Jul2017'!L75,($C$5*'Tariffs Jul2017'!AK75/'Tariffs Jul2017'!AI75-'Tariffs Jul2017'!K75)*('Tariffs Jul2017'!Q75/100)*'Tariffs Jul2017'!AI75,('Tariffs Jul2017'!L75-'Tariffs Jul2017'!K75)*('Tariffs Jul2017'!Q75/100)*'Tariffs Jul2017'!AI75))</f>
        <v>0</v>
      </c>
      <c r="H81" s="59">
        <f>IF($C$5*'Tariffs Jul2017'!AK75/'Tariffs Jul2017'!AI75&lt;'Tariffs Jul2017'!L75,0,IF($C$5*'Tariffs Jul2017'!AK75/'Tariffs Jul2017'!AI75&lt;='Tariffs Jul2017'!M75,($C$5*'Tariffs Jul2017'!AK75/'Tariffs Jul2017'!AI75-'Tariffs Jul2017'!L75)*('Tariffs Jul2017'!R75/100)*'Tariffs Jul2017'!AI75,('Tariffs Jul2017'!M75-'Tariffs Jul2017'!L75)*('Tariffs Jul2017'!R75/100)*'Tariffs Jul2017'!AI75))</f>
        <v>0</v>
      </c>
      <c r="I81" s="59">
        <f>IF(($C$5*'Tariffs Jul2017'!AK75/'Tariffs Jul2017'!AI75&gt;'Tariffs Jul2017'!M75),($C$5*'Tariffs Jul2017'!AK75/'Tariffs Jul2017'!AI75-'Tariffs Jul2017'!M75)*'Tariffs Jul2017'!S75/100*'Tariffs Jul2017'!AI75,0)</f>
        <v>304.65817299999998</v>
      </c>
      <c r="J81" s="59">
        <f>IF($C$5*'Tariffs Jul2017'!AL75/'Tariffs Jul2017'!AJ75&gt;='Tariffs Jul2017'!J75,('Tariffs Jul2017'!J75*'Tariffs Jul2017'!U75/100)* 'Tariffs Jul2017'!AJ75,($C$5*'Tariffs Jul2017'!AL75/'Tariffs Jul2017'!AJ75*'Tariffs Jul2017'!U75/100)* 'Tariffs Jul2017'!AJ75)</f>
        <v>235.77600000000001</v>
      </c>
      <c r="K81" s="59">
        <f>IF($C$5*'Tariffs Jul2017'!AL75/'Tariffs Jul2017'!AJ75&lt;'Tariffs Jul2017'!J75,0,IF($C$5*'Tariffs Jul2017'!AL75/'Tariffs Jul2017'!AJ75&lt;='Tariffs Jul2017'!K75,($C$5*'Tariffs Jul2017'!AL75/'Tariffs Jul2017'!AJ75-'Tariffs Jul2017'!J75)*('Tariffs Jul2017'!V75/100)*'Tariffs Jul2017'!AJ75,('Tariffs Jul2017'!K75-'Tariffs Jul2017'!J75)*('Tariffs Jul2017'!V75/100)*'Tariffs Jul2017'!AJ75))</f>
        <v>0</v>
      </c>
      <c r="L81" s="59">
        <f>IF($C$5*'Tariffs Jul2017'!AL75/'Tariffs Jul2017'!AJ75&lt;'Tariffs Jul2017'!K75,0,IF($C$5*'Tariffs Jul2017'!AL75/'Tariffs Jul2017'!AJ75&lt;='Tariffs Jul2017'!L75,($C$5*'Tariffs Jul2017'!AL75/'Tariffs Jul2017'!AJ75-'Tariffs Jul2017'!K75)*('Tariffs Jul2017'!W75/100)*'Tariffs Jul2017'!AJ75,('Tariffs Jul2017'!L75-'Tariffs Jul2017'!K75)*('Tariffs Jul2017'!W75/100)*'Tariffs Jul2017'!AJ75))</f>
        <v>0</v>
      </c>
      <c r="M81" s="59">
        <f>IF($C$5*'Tariffs Jul2017'!AL75/'Tariffs Jul2017'!AJ75&lt;'Tariffs Jul2017'!L75,0,IF($C$5*'Tariffs Jul2017'!AL75/'Tariffs Jul2017'!AJ75&lt;='Tariffs Jul2017'!M75,($C$5*'Tariffs Jul2017'!AL75/'Tariffs Jul2017'!AJ75-'Tariffs Jul2017'!L75)*('Tariffs Jul2017'!X75/100)*'Tariffs Jul2017'!AJ75,('Tariffs Jul2017'!M75-'Tariffs Jul2017'!L75)*('Tariffs Jul2017'!X75/100)*'Tariffs Jul2017'!AJ75))</f>
        <v>0</v>
      </c>
      <c r="N81" s="59">
        <f>IF(($C$5*'Tariffs Jul2017'!AL75/'Tariffs Jul2017'!AJ75&gt;'Tariffs Jul2017'!M75),($C$5*'Tariffs Jul2017'!AL75/'Tariffs Jul2017'!AJ75-'Tariffs Jul2017'!M75)*'Tariffs Jul2017'!Y75/100*'Tariffs Jul2017'!AJ75,0)</f>
        <v>427.71846999999997</v>
      </c>
      <c r="O81" s="59">
        <f t="shared" si="5"/>
        <v>1136.408643</v>
      </c>
      <c r="P81" s="59">
        <f t="shared" si="6"/>
        <v>1434.175643</v>
      </c>
      <c r="Q81" s="272">
        <f t="shared" si="7"/>
        <v>1577.5932073000001</v>
      </c>
      <c r="R81" s="40">
        <f>'Tariffs Jul2017'!AM75</f>
        <v>0</v>
      </c>
      <c r="S81" s="40">
        <f>'Tariffs Jul2017'!AN75</f>
        <v>0</v>
      </c>
      <c r="T81" s="40">
        <f>'Tariffs Jul2017'!AO75</f>
        <v>0</v>
      </c>
      <c r="U81" s="40">
        <f>'Tariffs Jul2017'!AP75</f>
        <v>13</v>
      </c>
      <c r="V81" s="273">
        <f t="shared" si="8"/>
        <v>1434.175643</v>
      </c>
      <c r="W81" s="284">
        <f>V81-(O81*U81/100)</f>
        <v>1286.4425194099999</v>
      </c>
      <c r="X81" s="272">
        <f t="shared" si="9"/>
        <v>1577.5932073000001</v>
      </c>
      <c r="Y81" s="272">
        <f t="shared" si="9"/>
        <v>1415.0867713510002</v>
      </c>
      <c r="Z81" s="274">
        <f>'Tariffs Jul2017'!AW75</f>
        <v>0</v>
      </c>
      <c r="AA81" s="274" t="str">
        <f>'Tariffs Jul2017'!AX75</f>
        <v>n</v>
      </c>
      <c r="AB81" s="275" t="str">
        <f>'Tariffs Jul2017'!BD75</f>
        <v>N</v>
      </c>
      <c r="AC81" s="317"/>
      <c r="AD81" s="317"/>
      <c r="AE81" s="317"/>
      <c r="AF81" s="317"/>
      <c r="AG81" s="317"/>
      <c r="AH81" s="317"/>
      <c r="AI81" s="317"/>
      <c r="AJ81" s="317"/>
      <c r="AK81" s="317"/>
      <c r="AL81" s="317"/>
      <c r="AM81" s="317"/>
      <c r="AN81" s="317"/>
    </row>
    <row r="82" spans="1:40" x14ac:dyDescent="0.15">
      <c r="A82" s="270" t="str">
        <f>'Tariffs Jul2017'!F76</f>
        <v>Red Energy</v>
      </c>
      <c r="B82" s="40" t="str">
        <f>'Tariffs Jul2017'!D76</f>
        <v>Ausnet Central 2</v>
      </c>
      <c r="C82" s="40" t="str">
        <f>'Tariffs Jul2017'!G76</f>
        <v>Living Energy Saver</v>
      </c>
      <c r="D82" s="59">
        <f>365*'Tariffs Jul2017'!H76/100</f>
        <v>306.60000000000002</v>
      </c>
      <c r="E82" s="59">
        <f>IF($C$5*'Tariffs Jul2017'!AK76/'Tariffs Jul2017'!AI76&gt;='Tariffs Jul2017'!J76,( 'Tariffs Jul2017'!J76*'Tariffs Jul2017'!O76/100)* 'Tariffs Jul2017'!AI76,($C$5*'Tariffs Jul2017'!AK76/'Tariffs Jul2017'!AI76*'Tariffs Jul2017'!O76/100)* 'Tariffs Jul2017'!AI76)</f>
        <v>171.01</v>
      </c>
      <c r="F82" s="59">
        <f>IF($C$5*'Tariffs Jul2017'!AK76/'Tariffs Jul2017'!AI76&lt;'Tariffs Jul2017'!J76,0,IF($C$5*'Tariffs Jul2017'!AK76/'Tariffs Jul2017'!AI76&lt;='Tariffs Jul2017'!K76,($C$5*'Tariffs Jul2017'!AK76/'Tariffs Jul2017'!AI76-'Tariffs Jul2017'!J76)*('Tariffs Jul2017'!P76/100)*'Tariffs Jul2017'!AI76,('Tariffs Jul2017'!K76-'Tariffs Jul2017'!J76)*('Tariffs Jul2017'!P76/100)*'Tariffs Jul2017'!AI76))</f>
        <v>0</v>
      </c>
      <c r="G82" s="59">
        <f>IF($C$5*'Tariffs Jul2017'!AK76/'Tariffs Jul2017'!AI76&lt;'Tariffs Jul2017'!K76,0,IF($C$5*'Tariffs Jul2017'!AK76/'Tariffs Jul2017'!AI76&lt;='Tariffs Jul2017'!L76,($C$5*'Tariffs Jul2017'!AK76/'Tariffs Jul2017'!AI76-'Tariffs Jul2017'!K76)*('Tariffs Jul2017'!Q76/100)*'Tariffs Jul2017'!AI76,('Tariffs Jul2017'!L76-'Tariffs Jul2017'!K76)*('Tariffs Jul2017'!Q76/100)*'Tariffs Jul2017'!AI76))</f>
        <v>0</v>
      </c>
      <c r="H82" s="59">
        <f>IF($C$5*'Tariffs Jul2017'!AK76/'Tariffs Jul2017'!AI76&lt;'Tariffs Jul2017'!L76,0,IF($C$5*'Tariffs Jul2017'!AK76/'Tariffs Jul2017'!AI76&lt;='Tariffs Jul2017'!M76,($C$5*'Tariffs Jul2017'!AK76/'Tariffs Jul2017'!AI76-'Tariffs Jul2017'!L76)*('Tariffs Jul2017'!R76/100)*'Tariffs Jul2017'!AI76,('Tariffs Jul2017'!M76-'Tariffs Jul2017'!L76)*('Tariffs Jul2017'!R76/100)*'Tariffs Jul2017'!AI76))</f>
        <v>0</v>
      </c>
      <c r="I82" s="59">
        <f>IF(($C$5*'Tariffs Jul2017'!AK76/'Tariffs Jul2017'!AI76&gt;'Tariffs Jul2017'!M76),($C$5*'Tariffs Jul2017'!AK76/'Tariffs Jul2017'!AI76-'Tariffs Jul2017'!M76)*'Tariffs Jul2017'!S76/100*'Tariffs Jul2017'!AI76,0)</f>
        <v>257.98129699999993</v>
      </c>
      <c r="J82" s="59">
        <f>IF($C$5*'Tariffs Jul2017'!AL76/'Tariffs Jul2017'!AJ76&gt;='Tariffs Jul2017'!J76,('Tariffs Jul2017'!J76*'Tariffs Jul2017'!U76/100)* 'Tariffs Jul2017'!AJ76,($C$5*'Tariffs Jul2017'!AL76/'Tariffs Jul2017'!AJ76*'Tariffs Jul2017'!U76/100)* 'Tariffs Jul2017'!AJ76)</f>
        <v>237.86</v>
      </c>
      <c r="K82" s="59">
        <f>IF($C$5*'Tariffs Jul2017'!AL76/'Tariffs Jul2017'!AJ76&lt;'Tariffs Jul2017'!J76,0,IF($C$5*'Tariffs Jul2017'!AL76/'Tariffs Jul2017'!AJ76&lt;='Tariffs Jul2017'!K76,($C$5*'Tariffs Jul2017'!AL76/'Tariffs Jul2017'!AJ76-'Tariffs Jul2017'!J76)*('Tariffs Jul2017'!V76/100)*'Tariffs Jul2017'!AJ76,('Tariffs Jul2017'!K76-'Tariffs Jul2017'!J76)*('Tariffs Jul2017'!V76/100)*'Tariffs Jul2017'!AJ76))</f>
        <v>0</v>
      </c>
      <c r="L82" s="59">
        <f>IF($C$5*'Tariffs Jul2017'!AL76/'Tariffs Jul2017'!AJ76&lt;'Tariffs Jul2017'!K76,0,IF($C$5*'Tariffs Jul2017'!AL76/'Tariffs Jul2017'!AJ76&lt;='Tariffs Jul2017'!L76,($C$5*'Tariffs Jul2017'!AL76/'Tariffs Jul2017'!AJ76-'Tariffs Jul2017'!K76)*('Tariffs Jul2017'!W76/100)*'Tariffs Jul2017'!AJ76,('Tariffs Jul2017'!L76-'Tariffs Jul2017'!K76)*('Tariffs Jul2017'!W76/100)*'Tariffs Jul2017'!AJ76))</f>
        <v>0</v>
      </c>
      <c r="M82" s="59">
        <f>IF($C$5*'Tariffs Jul2017'!AL76/'Tariffs Jul2017'!AJ76&lt;'Tariffs Jul2017'!L76,0,IF($C$5*'Tariffs Jul2017'!AL76/'Tariffs Jul2017'!AJ76&lt;='Tariffs Jul2017'!M76,($C$5*'Tariffs Jul2017'!AL76/'Tariffs Jul2017'!AJ76-'Tariffs Jul2017'!L76)*('Tariffs Jul2017'!X76/100)*'Tariffs Jul2017'!AJ76,('Tariffs Jul2017'!M76-'Tariffs Jul2017'!L76)*('Tariffs Jul2017'!X76/100)*'Tariffs Jul2017'!AJ76))</f>
        <v>0</v>
      </c>
      <c r="N82" s="59">
        <f>IF(($C$5*'Tariffs Jul2017'!AL76/'Tariffs Jul2017'!AJ76&gt;'Tariffs Jul2017'!M76),($C$5*'Tariffs Jul2017'!AL76/'Tariffs Jul2017'!AJ76-'Tariffs Jul2017'!M76)*'Tariffs Jul2017'!Y76/100*'Tariffs Jul2017'!AJ76,0)</f>
        <v>372.0641819999999</v>
      </c>
      <c r="O82" s="59">
        <f t="shared" si="5"/>
        <v>1038.9154789999998</v>
      </c>
      <c r="P82" s="59">
        <f t="shared" si="6"/>
        <v>1345.5154789999997</v>
      </c>
      <c r="Q82" s="272">
        <f t="shared" si="7"/>
        <v>1480.0670268999997</v>
      </c>
      <c r="R82" s="40">
        <f>'Tariffs Jul2017'!AM76</f>
        <v>0</v>
      </c>
      <c r="S82" s="40">
        <f>'Tariffs Jul2017'!AN76</f>
        <v>0</v>
      </c>
      <c r="T82" s="40">
        <f>'Tariffs Jul2017'!AO76</f>
        <v>10</v>
      </c>
      <c r="U82" s="40">
        <f>'Tariffs Jul2017'!AP76</f>
        <v>0</v>
      </c>
      <c r="V82" s="273">
        <f t="shared" si="8"/>
        <v>1345.5154789999997</v>
      </c>
      <c r="W82" s="284">
        <f>V82-(P82*T82/100)</f>
        <v>1210.9639310999996</v>
      </c>
      <c r="X82" s="272">
        <f t="shared" si="9"/>
        <v>1480.0670268999997</v>
      </c>
      <c r="Y82" s="272">
        <f t="shared" si="9"/>
        <v>1332.0603242099996</v>
      </c>
      <c r="Z82" s="274">
        <f>'Tariffs Jul2017'!AW76</f>
        <v>0</v>
      </c>
      <c r="AA82" s="274" t="str">
        <f>'Tariffs Jul2017'!AX76</f>
        <v>n</v>
      </c>
      <c r="AB82" s="275" t="str">
        <f>'Tariffs Jul2017'!BD76</f>
        <v>Y</v>
      </c>
      <c r="AC82" s="317"/>
      <c r="AD82" s="317"/>
      <c r="AE82" s="317"/>
      <c r="AF82" s="317"/>
      <c r="AG82" s="317"/>
      <c r="AH82" s="317"/>
      <c r="AI82" s="317"/>
      <c r="AJ82" s="317"/>
      <c r="AK82" s="317"/>
      <c r="AL82" s="317"/>
      <c r="AM82" s="317"/>
      <c r="AN82" s="317"/>
    </row>
    <row r="83" spans="1:40" ht="14" thickBot="1" x14ac:dyDescent="0.2">
      <c r="A83" s="276" t="str">
        <f>'Tariffs Jul2017'!F77</f>
        <v>Simply Energy</v>
      </c>
      <c r="B83" s="277" t="str">
        <f>'Tariffs Jul2017'!D77</f>
        <v>Ausnet Central 2</v>
      </c>
      <c r="C83" s="277" t="str">
        <f>'Tariffs Jul2017'!G77</f>
        <v>Plus</v>
      </c>
      <c r="D83" s="278">
        <f>365*'Tariffs Jul2017'!H77/100</f>
        <v>291.67149999999998</v>
      </c>
      <c r="E83" s="278">
        <f>IF($C$5*'Tariffs Jul2017'!AK77/'Tariffs Jul2017'!AI77&gt;='Tariffs Jul2017'!J77,( 'Tariffs Jul2017'!J77*'Tariffs Jul2017'!O77/100)* 'Tariffs Jul2017'!AI77,($C$5*'Tariffs Jul2017'!AK77/'Tariffs Jul2017'!AI77*'Tariffs Jul2017'!O77/100)* 'Tariffs Jul2017'!AI77)</f>
        <v>262.8</v>
      </c>
      <c r="F83" s="278">
        <f>IF($C$5*'Tariffs Jul2017'!AK77/'Tariffs Jul2017'!AI77&lt;'Tariffs Jul2017'!J77,0,IF($C$5*'Tariffs Jul2017'!AK77/'Tariffs Jul2017'!AI77&lt;='Tariffs Jul2017'!K77,($C$5*'Tariffs Jul2017'!AK77/'Tariffs Jul2017'!AI77-'Tariffs Jul2017'!J77)*('Tariffs Jul2017'!P77/100)*'Tariffs Jul2017'!AI77,('Tariffs Jul2017'!K77-'Tariffs Jul2017'!J77)*('Tariffs Jul2017'!P77/100)*'Tariffs Jul2017'!AI77))</f>
        <v>193.45484999999994</v>
      </c>
      <c r="G83" s="278">
        <f>IF($C$5*'Tariffs Jul2017'!AK77/'Tariffs Jul2017'!AI77&lt;'Tariffs Jul2017'!K77,0,IF($C$5*'Tariffs Jul2017'!AK77/'Tariffs Jul2017'!AI77&lt;='Tariffs Jul2017'!L77,($C$5*'Tariffs Jul2017'!AK77/'Tariffs Jul2017'!AI77-'Tariffs Jul2017'!K77)*('Tariffs Jul2017'!Q77/100)*'Tariffs Jul2017'!AI77,('Tariffs Jul2017'!L77-'Tariffs Jul2017'!K77)*('Tariffs Jul2017'!Q77/100)*'Tariffs Jul2017'!AI77))</f>
        <v>0</v>
      </c>
      <c r="H83" s="278">
        <f>IF($C$5*'Tariffs Jul2017'!AK77/'Tariffs Jul2017'!AI77&lt;'Tariffs Jul2017'!L77,0,IF($C$5*'Tariffs Jul2017'!AK77/'Tariffs Jul2017'!AI77&lt;='Tariffs Jul2017'!M77,($C$5*'Tariffs Jul2017'!AK77/'Tariffs Jul2017'!AI77-'Tariffs Jul2017'!L77)*('Tariffs Jul2017'!R77/100)*'Tariffs Jul2017'!AI77,('Tariffs Jul2017'!M77-'Tariffs Jul2017'!L77)*('Tariffs Jul2017'!R77/100)*'Tariffs Jul2017'!AI77))</f>
        <v>0</v>
      </c>
      <c r="I83" s="278">
        <f>IF(($C$5*'Tariffs Jul2017'!AK77/'Tariffs Jul2017'!AI77&gt;'Tariffs Jul2017'!M77),($C$5*'Tariffs Jul2017'!AK77/'Tariffs Jul2017'!AI77-'Tariffs Jul2017'!M77)*'Tariffs Jul2017'!S77/100*'Tariffs Jul2017'!AI77,0)</f>
        <v>0</v>
      </c>
      <c r="J83" s="278">
        <f>IF($C$5*'Tariffs Jul2017'!AL77/'Tariffs Jul2017'!AJ77&gt;='Tariffs Jul2017'!J77,('Tariffs Jul2017'!J77*'Tariffs Jul2017'!U77/100)* 'Tariffs Jul2017'!AJ77,($C$5*'Tariffs Jul2017'!AL77/'Tariffs Jul2017'!AJ77*'Tariffs Jul2017'!U77/100)* 'Tariffs Jul2017'!AJ77)</f>
        <v>403.2</v>
      </c>
      <c r="K83" s="278">
        <f>IF($C$5*'Tariffs Jul2017'!AL77/'Tariffs Jul2017'!AJ77&lt;'Tariffs Jul2017'!J77,0,IF($C$5*'Tariffs Jul2017'!AL77/'Tariffs Jul2017'!AJ77&lt;='Tariffs Jul2017'!K77,($C$5*'Tariffs Jul2017'!AL77/'Tariffs Jul2017'!AJ77-'Tariffs Jul2017'!J77)*('Tariffs Jul2017'!V77/100)*'Tariffs Jul2017'!AJ77,('Tariffs Jul2017'!K77-'Tariffs Jul2017'!J77)*('Tariffs Jul2017'!V77/100)*'Tariffs Jul2017'!AJ77))</f>
        <v>289.73237999999992</v>
      </c>
      <c r="L83" s="278">
        <f>IF($C$5*'Tariffs Jul2017'!AL77/'Tariffs Jul2017'!AJ77&lt;'Tariffs Jul2017'!K77,0,IF($C$5*'Tariffs Jul2017'!AL77/'Tariffs Jul2017'!AJ77&lt;='Tariffs Jul2017'!L77,($C$5*'Tariffs Jul2017'!AL77/'Tariffs Jul2017'!AJ77-'Tariffs Jul2017'!K77)*('Tariffs Jul2017'!W77/100)*'Tariffs Jul2017'!AJ77,('Tariffs Jul2017'!L77-'Tariffs Jul2017'!K77)*('Tariffs Jul2017'!W77/100)*'Tariffs Jul2017'!AJ77))</f>
        <v>0</v>
      </c>
      <c r="M83" s="278">
        <f>IF($C$5*'Tariffs Jul2017'!AL77/'Tariffs Jul2017'!AJ77&lt;'Tariffs Jul2017'!L77,0,IF($C$5*'Tariffs Jul2017'!AL77/'Tariffs Jul2017'!AJ77&lt;='Tariffs Jul2017'!M77,($C$5*'Tariffs Jul2017'!AL77/'Tariffs Jul2017'!AJ77-'Tariffs Jul2017'!L77)*('Tariffs Jul2017'!X77/100)*'Tariffs Jul2017'!AJ77,('Tariffs Jul2017'!M77-'Tariffs Jul2017'!L77)*('Tariffs Jul2017'!X77/100)*'Tariffs Jul2017'!AJ77))</f>
        <v>0</v>
      </c>
      <c r="N83" s="278">
        <f>IF(($C$5*'Tariffs Jul2017'!AL77/'Tariffs Jul2017'!AJ77&gt;'Tariffs Jul2017'!M77),($C$5*'Tariffs Jul2017'!AL77/'Tariffs Jul2017'!AJ77-'Tariffs Jul2017'!M77)*'Tariffs Jul2017'!Y77/100*'Tariffs Jul2017'!AJ77,0)</f>
        <v>0</v>
      </c>
      <c r="O83" s="278">
        <f t="shared" si="5"/>
        <v>1149.1872299999998</v>
      </c>
      <c r="P83" s="278">
        <f t="shared" si="6"/>
        <v>1440.8587299999997</v>
      </c>
      <c r="Q83" s="280">
        <f t="shared" si="7"/>
        <v>1584.9446029999997</v>
      </c>
      <c r="R83" s="277">
        <f>'Tariffs Jul2017'!AM77</f>
        <v>0</v>
      </c>
      <c r="S83" s="277">
        <f>'Tariffs Jul2017'!AN77</f>
        <v>0</v>
      </c>
      <c r="T83" s="277">
        <f>'Tariffs Jul2017'!AO77</f>
        <v>0</v>
      </c>
      <c r="U83" s="277">
        <f>'Tariffs Jul2017'!AP77</f>
        <v>20</v>
      </c>
      <c r="V83" s="273">
        <f t="shared" si="8"/>
        <v>1440.8587299999997</v>
      </c>
      <c r="W83" s="285">
        <f>V83-(O83*U83/100)</f>
        <v>1211.0212839999997</v>
      </c>
      <c r="X83" s="280">
        <f t="shared" si="9"/>
        <v>1584.9446029999997</v>
      </c>
      <c r="Y83" s="280">
        <f t="shared" si="9"/>
        <v>1332.1234123999998</v>
      </c>
      <c r="Z83" s="282">
        <f>'Tariffs Jul2017'!AW77</f>
        <v>24</v>
      </c>
      <c r="AA83" s="282" t="str">
        <f>'Tariffs Jul2017'!AX77</f>
        <v>n</v>
      </c>
      <c r="AB83" s="283" t="str">
        <f>'Tariffs Jul2017'!BD77</f>
        <v>Y</v>
      </c>
      <c r="AC83" s="317"/>
      <c r="AD83" s="317"/>
      <c r="AE83" s="317"/>
      <c r="AF83" s="317"/>
      <c r="AG83" s="317"/>
      <c r="AH83" s="317"/>
      <c r="AI83" s="317"/>
      <c r="AJ83" s="317"/>
      <c r="AK83" s="317"/>
      <c r="AL83" s="317"/>
      <c r="AM83" s="317"/>
      <c r="AN83" s="317"/>
    </row>
    <row r="84" spans="1:40" ht="14" thickTop="1" x14ac:dyDescent="0.15">
      <c r="A84" s="270" t="str">
        <f>'Tariffs Jul2017'!F78</f>
        <v>AGL</v>
      </c>
      <c r="B84" s="40" t="str">
        <f>'Tariffs Jul2017'!D78</f>
        <v>Ausnet Central 1</v>
      </c>
      <c r="C84" s="40" t="str">
        <f>'Tariffs Jul2017'!G78</f>
        <v>Savers</v>
      </c>
      <c r="D84" s="59">
        <f>365*'Tariffs Jul2017'!H78/100</f>
        <v>287.18200000000002</v>
      </c>
      <c r="E84" s="59">
        <f>IF($C$5*'Tariffs Jul2017'!AK78/'Tariffs Jul2017'!AI78&gt;='Tariffs Jul2017'!J78,( 'Tariffs Jul2017'!J78*'Tariffs Jul2017'!O78/100)* 'Tariffs Jul2017'!AI78,($C$5*'Tariffs Jul2017'!AK78/'Tariffs Jul2017'!AI78*'Tariffs Jul2017'!O78/100)* 'Tariffs Jul2017'!AI78)</f>
        <v>261.72000000000003</v>
      </c>
      <c r="F84" s="59">
        <f>IF($C$5*'Tariffs Jul2017'!AK78/'Tariffs Jul2017'!AI78&lt;'Tariffs Jul2017'!J78,0,IF($C$5*'Tariffs Jul2017'!AK78/'Tariffs Jul2017'!AI78&lt;='Tariffs Jul2017'!K78,($C$5*'Tariffs Jul2017'!AK78/'Tariffs Jul2017'!AI78-'Tariffs Jul2017'!J78)*('Tariffs Jul2017'!P78/100)*'Tariffs Jul2017'!AI78,('Tariffs Jul2017'!K78-'Tariffs Jul2017'!J78)*('Tariffs Jul2017'!P78/100)*'Tariffs Jul2017'!AI78))</f>
        <v>185.62667699999997</v>
      </c>
      <c r="G84" s="59">
        <f>IF($C$5*'Tariffs Jul2017'!AK78/'Tariffs Jul2017'!AI78&lt;'Tariffs Jul2017'!K78,0,IF($C$5*'Tariffs Jul2017'!AK78/'Tariffs Jul2017'!AI78&lt;='Tariffs Jul2017'!L78,($C$5*'Tariffs Jul2017'!AK78/'Tariffs Jul2017'!AI78-'Tariffs Jul2017'!K78)*('Tariffs Jul2017'!Q78/100)*'Tariffs Jul2017'!AI78,('Tariffs Jul2017'!L78-'Tariffs Jul2017'!K78)*('Tariffs Jul2017'!Q78/100)*'Tariffs Jul2017'!AI78))</f>
        <v>0</v>
      </c>
      <c r="H84" s="59">
        <f>IF($C$5*'Tariffs Jul2017'!AK78/'Tariffs Jul2017'!AI78&lt;'Tariffs Jul2017'!L78,0,IF($C$5*'Tariffs Jul2017'!AK78/'Tariffs Jul2017'!AI78&lt;='Tariffs Jul2017'!M78,($C$5*'Tariffs Jul2017'!AK78/'Tariffs Jul2017'!AI78-'Tariffs Jul2017'!L78)*('Tariffs Jul2017'!R78/100)*'Tariffs Jul2017'!AI78,('Tariffs Jul2017'!M78-'Tariffs Jul2017'!L78)*('Tariffs Jul2017'!R78/100)*'Tariffs Jul2017'!AI78))</f>
        <v>0</v>
      </c>
      <c r="I84" s="59">
        <f>IF(($C$5*'Tariffs Jul2017'!AK78/'Tariffs Jul2017'!AI78&gt;'Tariffs Jul2017'!M78),($C$5*'Tariffs Jul2017'!AK78/'Tariffs Jul2017'!AI78-'Tariffs Jul2017'!M78)*'Tariffs Jul2017'!S78/100*'Tariffs Jul2017'!AI78,0)</f>
        <v>0</v>
      </c>
      <c r="J84" s="59">
        <f>IF($C$5*'Tariffs Jul2017'!AL78/'Tariffs Jul2017'!AJ78&gt;='Tariffs Jul2017'!J78,('Tariffs Jul2017'!J78*'Tariffs Jul2017'!U78/100)* 'Tariffs Jul2017'!AJ78,($C$5*'Tariffs Jul2017'!AL78/'Tariffs Jul2017'!AJ78*'Tariffs Jul2017'!U78/100)* 'Tariffs Jul2017'!AJ78)</f>
        <v>478.56</v>
      </c>
      <c r="K84" s="59">
        <f>IF($C$5*'Tariffs Jul2017'!AL78/'Tariffs Jul2017'!AJ78&lt;'Tariffs Jul2017'!J78,0,IF($C$5*'Tariffs Jul2017'!AL78/'Tariffs Jul2017'!AJ78&lt;='Tariffs Jul2017'!K78,($C$5*'Tariffs Jul2017'!AL78/'Tariffs Jul2017'!AJ78-'Tariffs Jul2017'!J78)*('Tariffs Jul2017'!V78/100)*'Tariffs Jul2017'!AJ78,('Tariffs Jul2017'!K78-'Tariffs Jul2017'!J78)*('Tariffs Jul2017'!V78/100)*'Tariffs Jul2017'!AJ78))</f>
        <v>273.53615999999994</v>
      </c>
      <c r="L84" s="59">
        <f>IF($C$5*'Tariffs Jul2017'!AL78/'Tariffs Jul2017'!AJ78&lt;'Tariffs Jul2017'!K78,0,IF($C$5*'Tariffs Jul2017'!AL78/'Tariffs Jul2017'!AJ78&lt;='Tariffs Jul2017'!L78,($C$5*'Tariffs Jul2017'!AL78/'Tariffs Jul2017'!AJ78-'Tariffs Jul2017'!K78)*('Tariffs Jul2017'!W78/100)*'Tariffs Jul2017'!AJ78,('Tariffs Jul2017'!L78-'Tariffs Jul2017'!K78)*('Tariffs Jul2017'!W78/100)*'Tariffs Jul2017'!AJ78))</f>
        <v>0</v>
      </c>
      <c r="M84" s="59">
        <f>IF($C$5*'Tariffs Jul2017'!AL78/'Tariffs Jul2017'!AJ78&lt;'Tariffs Jul2017'!L78,0,IF($C$5*'Tariffs Jul2017'!AL78/'Tariffs Jul2017'!AJ78&lt;='Tariffs Jul2017'!M78,($C$5*'Tariffs Jul2017'!AL78/'Tariffs Jul2017'!AJ78-'Tariffs Jul2017'!L78)*('Tariffs Jul2017'!X78/100)*'Tariffs Jul2017'!AJ78,('Tariffs Jul2017'!M78-'Tariffs Jul2017'!L78)*('Tariffs Jul2017'!X78/100)*'Tariffs Jul2017'!AJ78))</f>
        <v>0</v>
      </c>
      <c r="N84" s="59">
        <f>IF(($C$5*'Tariffs Jul2017'!AL78/'Tariffs Jul2017'!AJ78&gt;'Tariffs Jul2017'!M78),($C$5*'Tariffs Jul2017'!AL78/'Tariffs Jul2017'!AJ78-'Tariffs Jul2017'!M78)*'Tariffs Jul2017'!Y78/100*'Tariffs Jul2017'!AJ78,0)</f>
        <v>0</v>
      </c>
      <c r="O84" s="271">
        <f t="shared" si="5"/>
        <v>1199.4428369999998</v>
      </c>
      <c r="P84" s="59">
        <f t="shared" si="6"/>
        <v>1486.6248369999998</v>
      </c>
      <c r="Q84" s="272">
        <f t="shared" si="7"/>
        <v>1635.2873207</v>
      </c>
      <c r="R84" s="40">
        <f>'Tariffs Jul2017'!AM78</f>
        <v>0</v>
      </c>
      <c r="S84" s="40">
        <f>'Tariffs Jul2017'!AN78</f>
        <v>0</v>
      </c>
      <c r="T84" s="40">
        <f>'Tariffs Jul2017'!AO78</f>
        <v>0</v>
      </c>
      <c r="U84" s="40">
        <f>'Tariffs Jul2017'!AP78</f>
        <v>15</v>
      </c>
      <c r="V84" s="273">
        <f t="shared" si="8"/>
        <v>1486.6248369999998</v>
      </c>
      <c r="W84" s="273">
        <f>V84-(O84*U84/100)</f>
        <v>1306.7084114499999</v>
      </c>
      <c r="X84" s="272">
        <f t="shared" si="9"/>
        <v>1635.2873207</v>
      </c>
      <c r="Y84" s="272">
        <f t="shared" si="9"/>
        <v>1437.379252595</v>
      </c>
      <c r="Z84" s="274">
        <f>'Tariffs Jul2017'!AW78</f>
        <v>0</v>
      </c>
      <c r="AA84" s="274" t="str">
        <f>'Tariffs Jul2017'!AX78</f>
        <v>n</v>
      </c>
      <c r="AB84" s="275" t="str">
        <f>'Tariffs Jul2017'!BD78</f>
        <v>N</v>
      </c>
      <c r="AC84" s="317"/>
      <c r="AD84" s="317"/>
      <c r="AE84" s="317"/>
      <c r="AF84" s="317"/>
      <c r="AG84" s="317"/>
      <c r="AH84" s="317"/>
      <c r="AI84" s="317"/>
      <c r="AJ84" s="317"/>
      <c r="AK84" s="317"/>
      <c r="AL84" s="317"/>
      <c r="AM84" s="317"/>
      <c r="AN84" s="317"/>
    </row>
    <row r="85" spans="1:40" x14ac:dyDescent="0.15">
      <c r="A85" s="270" t="str">
        <f>'Tariffs Jul2017'!F79</f>
        <v>Alinta Energy</v>
      </c>
      <c r="B85" s="40" t="str">
        <f>'Tariffs Jul2017'!D79</f>
        <v>Ausnet Central 1</v>
      </c>
      <c r="C85" s="40" t="str">
        <f>'Tariffs Jul2017'!G79</f>
        <v>Fair Deal</v>
      </c>
      <c r="D85" s="59">
        <f>365*'Tariffs Jul2017'!H79/100</f>
        <v>240.93650000000002</v>
      </c>
      <c r="E85" s="59">
        <f>IF($C$5*'Tariffs Jul2017'!AK79/'Tariffs Jul2017'!AI79&gt;='Tariffs Jul2017'!J79,( 'Tariffs Jul2017'!J79*'Tariffs Jul2017'!O79/100)* 'Tariffs Jul2017'!AI79,($C$5*'Tariffs Jul2017'!AK79/'Tariffs Jul2017'!AI79*'Tariffs Jul2017'!O79/100)* 'Tariffs Jul2017'!AI79)</f>
        <v>268.8</v>
      </c>
      <c r="F85" s="59">
        <f>IF($C$5*'Tariffs Jul2017'!AK79/'Tariffs Jul2017'!AI79&lt;'Tariffs Jul2017'!J79,0,IF($C$5*'Tariffs Jul2017'!AK79/'Tariffs Jul2017'!AI79&lt;='Tariffs Jul2017'!K79,($C$5*'Tariffs Jul2017'!AK79/'Tariffs Jul2017'!AI79-'Tariffs Jul2017'!J79)*('Tariffs Jul2017'!P79/100)*'Tariffs Jul2017'!AI79,('Tariffs Jul2017'!K79-'Tariffs Jul2017'!J79)*('Tariffs Jul2017'!P79/100)*'Tariffs Jul2017'!AI79))</f>
        <v>0</v>
      </c>
      <c r="G85" s="59">
        <f>IF($C$5*'Tariffs Jul2017'!AK79/'Tariffs Jul2017'!AI79&lt;'Tariffs Jul2017'!K79,0,IF($C$5*'Tariffs Jul2017'!AK79/'Tariffs Jul2017'!AI79&lt;='Tariffs Jul2017'!L79,($C$5*'Tariffs Jul2017'!AK79/'Tariffs Jul2017'!AI79-'Tariffs Jul2017'!K79)*('Tariffs Jul2017'!Q79/100)*'Tariffs Jul2017'!AI79,('Tariffs Jul2017'!L79-'Tariffs Jul2017'!K79)*('Tariffs Jul2017'!Q79/100)*'Tariffs Jul2017'!AI79))</f>
        <v>0</v>
      </c>
      <c r="H85" s="59">
        <f>IF($C$5*'Tariffs Jul2017'!AK79/'Tariffs Jul2017'!AI79&lt;'Tariffs Jul2017'!L79,0,IF($C$5*'Tariffs Jul2017'!AK79/'Tariffs Jul2017'!AI79&lt;='Tariffs Jul2017'!M79,($C$5*'Tariffs Jul2017'!AK79/'Tariffs Jul2017'!AI79-'Tariffs Jul2017'!L79)*('Tariffs Jul2017'!R79/100)*'Tariffs Jul2017'!AI79,('Tariffs Jul2017'!M79-'Tariffs Jul2017'!L79)*('Tariffs Jul2017'!R79/100)*'Tariffs Jul2017'!AI79))</f>
        <v>0</v>
      </c>
      <c r="I85" s="59">
        <f>IF(($C$5*'Tariffs Jul2017'!AK79/'Tariffs Jul2017'!AI79&gt;'Tariffs Jul2017'!M79),($C$5*'Tariffs Jul2017'!AK79/'Tariffs Jul2017'!AI79-'Tariffs Jul2017'!M79)*'Tariffs Jul2017'!S79/100*'Tariffs Jul2017'!AI79,0)</f>
        <v>157.46324999999996</v>
      </c>
      <c r="J85" s="59">
        <f>IF($C$5*'Tariffs Jul2017'!AL79/'Tariffs Jul2017'!AJ79&gt;='Tariffs Jul2017'!J79,('Tariffs Jul2017'!J79*'Tariffs Jul2017'!U79/100)* 'Tariffs Jul2017'!AJ79,($C$5*'Tariffs Jul2017'!AL79/'Tariffs Jul2017'!AJ79*'Tariffs Jul2017'!U79/100)* 'Tariffs Jul2017'!AJ79)</f>
        <v>511.2</v>
      </c>
      <c r="K85" s="59">
        <f>IF($C$5*'Tariffs Jul2017'!AL79/'Tariffs Jul2017'!AJ79&lt;'Tariffs Jul2017'!J79,0,IF($C$5*'Tariffs Jul2017'!AL79/'Tariffs Jul2017'!AJ79&lt;='Tariffs Jul2017'!K79,($C$5*'Tariffs Jul2017'!AL79/'Tariffs Jul2017'!AJ79-'Tariffs Jul2017'!J79)*('Tariffs Jul2017'!V79/100)*'Tariffs Jul2017'!AJ79,('Tariffs Jul2017'!K79-'Tariffs Jul2017'!J79)*('Tariffs Jul2017'!V79/100)*'Tariffs Jul2017'!AJ79))</f>
        <v>0</v>
      </c>
      <c r="L85" s="59">
        <f>IF($C$5*'Tariffs Jul2017'!AL79/'Tariffs Jul2017'!AJ79&lt;'Tariffs Jul2017'!K79,0,IF($C$5*'Tariffs Jul2017'!AL79/'Tariffs Jul2017'!AJ79&lt;='Tariffs Jul2017'!L79,($C$5*'Tariffs Jul2017'!AL79/'Tariffs Jul2017'!AJ79-'Tariffs Jul2017'!K79)*('Tariffs Jul2017'!W79/100)*'Tariffs Jul2017'!AJ79,('Tariffs Jul2017'!L79-'Tariffs Jul2017'!K79)*('Tariffs Jul2017'!W79/100)*'Tariffs Jul2017'!AJ79))</f>
        <v>0</v>
      </c>
      <c r="M85" s="59">
        <f>IF($C$5*'Tariffs Jul2017'!AL79/'Tariffs Jul2017'!AJ79&lt;'Tariffs Jul2017'!L79,0,IF($C$5*'Tariffs Jul2017'!AL79/'Tariffs Jul2017'!AJ79&lt;='Tariffs Jul2017'!M79,($C$5*'Tariffs Jul2017'!AL79/'Tariffs Jul2017'!AJ79-'Tariffs Jul2017'!L79)*('Tariffs Jul2017'!X79/100)*'Tariffs Jul2017'!AJ79,('Tariffs Jul2017'!M79-'Tariffs Jul2017'!L79)*('Tariffs Jul2017'!X79/100)*'Tariffs Jul2017'!AJ79))</f>
        <v>0</v>
      </c>
      <c r="N85" s="59">
        <f>IF(($C$5*'Tariffs Jul2017'!AL79/'Tariffs Jul2017'!AJ79&gt;'Tariffs Jul2017'!M79),($C$5*'Tariffs Jul2017'!AL79/'Tariffs Jul2017'!AJ79-'Tariffs Jul2017'!M79)*'Tariffs Jul2017'!Y79/100*'Tariffs Jul2017'!AJ79,0)</f>
        <v>293.3315399999999</v>
      </c>
      <c r="O85" s="271">
        <f t="shared" si="5"/>
        <v>1230.7947899999999</v>
      </c>
      <c r="P85" s="59">
        <f t="shared" si="6"/>
        <v>1471.7312899999999</v>
      </c>
      <c r="Q85" s="272">
        <f t="shared" si="7"/>
        <v>1618.904419</v>
      </c>
      <c r="R85" s="40">
        <f>'Tariffs Jul2017'!AM79</f>
        <v>0</v>
      </c>
      <c r="S85" s="40">
        <f>'Tariffs Jul2017'!AN79</f>
        <v>0</v>
      </c>
      <c r="T85" s="40">
        <f>'Tariffs Jul2017'!AO79</f>
        <v>0</v>
      </c>
      <c r="U85" s="40">
        <f>'Tariffs Jul2017'!AP79</f>
        <v>25</v>
      </c>
      <c r="V85" s="273">
        <f t="shared" si="8"/>
        <v>1471.7312899999999</v>
      </c>
      <c r="W85" s="273">
        <f>V85-(O85*U85/100)</f>
        <v>1164.0325925</v>
      </c>
      <c r="X85" s="272">
        <f t="shared" si="9"/>
        <v>1618.904419</v>
      </c>
      <c r="Y85" s="272">
        <f t="shared" si="9"/>
        <v>1280.43585175</v>
      </c>
      <c r="Z85" s="274">
        <f>'Tariffs Jul2017'!AW79</f>
        <v>0</v>
      </c>
      <c r="AA85" s="274" t="str">
        <f>'Tariffs Jul2017'!AX79</f>
        <v>n</v>
      </c>
      <c r="AB85" s="275" t="str">
        <f>'Tariffs Jul2017'!BD79</f>
        <v>N</v>
      </c>
      <c r="AC85" s="317"/>
      <c r="AD85" s="317"/>
      <c r="AE85" s="317"/>
      <c r="AF85" s="317"/>
      <c r="AG85" s="317"/>
      <c r="AH85" s="317"/>
      <c r="AI85" s="317"/>
      <c r="AJ85" s="317"/>
      <c r="AK85" s="317"/>
      <c r="AL85" s="317"/>
      <c r="AM85" s="317"/>
      <c r="AN85" s="317"/>
    </row>
    <row r="86" spans="1:40" x14ac:dyDescent="0.15">
      <c r="A86" s="270" t="str">
        <f>'Tariffs Jul2017'!F80</f>
        <v>Click Energy</v>
      </c>
      <c r="B86" s="40" t="str">
        <f>'Tariffs Jul2017'!D80</f>
        <v>Ausnet Central 1</v>
      </c>
      <c r="C86" s="40" t="str">
        <f>'Tariffs Jul2017'!G80</f>
        <v>Amber</v>
      </c>
      <c r="D86" s="59">
        <f>365*'Tariffs Jul2017'!H80/100</f>
        <v>353.32</v>
      </c>
      <c r="E86" s="59">
        <f>IF($C$5*'Tariffs Jul2017'!AK80/'Tariffs Jul2017'!AI80&gt;='Tariffs Jul2017'!J80,( 'Tariffs Jul2017'!J80*'Tariffs Jul2017'!O80/100)* 'Tariffs Jul2017'!AI80,($C$5*'Tariffs Jul2017'!AK80/'Tariffs Jul2017'!AI80*'Tariffs Jul2017'!O80/100)* 'Tariffs Jul2017'!AI80)</f>
        <v>342</v>
      </c>
      <c r="F86" s="59">
        <f>IF($C$5*'Tariffs Jul2017'!AK80/'Tariffs Jul2017'!AI80&lt;'Tariffs Jul2017'!J80,0,IF($C$5*'Tariffs Jul2017'!AK80/'Tariffs Jul2017'!AI80&lt;='Tariffs Jul2017'!K80,($C$5*'Tariffs Jul2017'!AK80/'Tariffs Jul2017'!AI80-'Tariffs Jul2017'!J80)*('Tariffs Jul2017'!P80/100)*'Tariffs Jul2017'!AI80,('Tariffs Jul2017'!K80-'Tariffs Jul2017'!J80)*('Tariffs Jul2017'!P80/100)*'Tariffs Jul2017'!AI80))</f>
        <v>211.45064999999994</v>
      </c>
      <c r="G86" s="59">
        <f>IF($C$5*'Tariffs Jul2017'!AK80/'Tariffs Jul2017'!AI80&lt;'Tariffs Jul2017'!K80,0,IF($C$5*'Tariffs Jul2017'!AK80/'Tariffs Jul2017'!AI80&lt;='Tariffs Jul2017'!L80,($C$5*'Tariffs Jul2017'!AK80/'Tariffs Jul2017'!AI80-'Tariffs Jul2017'!K80)*('Tariffs Jul2017'!Q80/100)*'Tariffs Jul2017'!AI80,('Tariffs Jul2017'!L80-'Tariffs Jul2017'!K80)*('Tariffs Jul2017'!Q80/100)*'Tariffs Jul2017'!AI80))</f>
        <v>0</v>
      </c>
      <c r="H86" s="59">
        <f>IF($C$5*'Tariffs Jul2017'!AK80/'Tariffs Jul2017'!AI80&lt;'Tariffs Jul2017'!L80,0,IF($C$5*'Tariffs Jul2017'!AK80/'Tariffs Jul2017'!AI80&lt;='Tariffs Jul2017'!M80,($C$5*'Tariffs Jul2017'!AK80/'Tariffs Jul2017'!AI80-'Tariffs Jul2017'!L80)*('Tariffs Jul2017'!R80/100)*'Tariffs Jul2017'!AI80,('Tariffs Jul2017'!M80-'Tariffs Jul2017'!L80)*('Tariffs Jul2017'!R80/100)*'Tariffs Jul2017'!AI80))</f>
        <v>0</v>
      </c>
      <c r="I86" s="59">
        <f>IF(($C$5*'Tariffs Jul2017'!AK80/'Tariffs Jul2017'!AI80&gt;'Tariffs Jul2017'!M80),($C$5*'Tariffs Jul2017'!AK80/'Tariffs Jul2017'!AI80-'Tariffs Jul2017'!M80)*'Tariffs Jul2017'!S80/100*'Tariffs Jul2017'!AI80,0)</f>
        <v>0</v>
      </c>
      <c r="J86" s="59">
        <f>IF($C$5*'Tariffs Jul2017'!AL80/'Tariffs Jul2017'!AJ80&gt;='Tariffs Jul2017'!J80,('Tariffs Jul2017'!J80*'Tariffs Jul2017'!U80/100)* 'Tariffs Jul2017'!AJ80,($C$5*'Tariffs Jul2017'!AL80/'Tariffs Jul2017'!AJ80*'Tariffs Jul2017'!U80/100)* 'Tariffs Jul2017'!AJ80)</f>
        <v>432</v>
      </c>
      <c r="K86" s="59">
        <f>IF($C$5*'Tariffs Jul2017'!AL80/'Tariffs Jul2017'!AJ80&lt;'Tariffs Jul2017'!J80,0,IF($C$5*'Tariffs Jul2017'!AL80/'Tariffs Jul2017'!AJ80&lt;='Tariffs Jul2017'!K80,($C$5*'Tariffs Jul2017'!AL80/'Tariffs Jul2017'!AJ80-'Tariffs Jul2017'!J80)*('Tariffs Jul2017'!V80/100)*'Tariffs Jul2017'!AJ80,('Tariffs Jul2017'!K80-'Tariffs Jul2017'!J80)*('Tariffs Jul2017'!V80/100)*'Tariffs Jul2017'!AJ80))</f>
        <v>314.92649999999998</v>
      </c>
      <c r="L86" s="59">
        <f>IF($C$5*'Tariffs Jul2017'!AL80/'Tariffs Jul2017'!AJ80&lt;'Tariffs Jul2017'!K80,0,IF($C$5*'Tariffs Jul2017'!AL80/'Tariffs Jul2017'!AJ80&lt;='Tariffs Jul2017'!L80,($C$5*'Tariffs Jul2017'!AL80/'Tariffs Jul2017'!AJ80-'Tariffs Jul2017'!K80)*('Tariffs Jul2017'!W80/100)*'Tariffs Jul2017'!AJ80,('Tariffs Jul2017'!L80-'Tariffs Jul2017'!K80)*('Tariffs Jul2017'!W80/100)*'Tariffs Jul2017'!AJ80))</f>
        <v>0</v>
      </c>
      <c r="M86" s="59">
        <f>IF($C$5*'Tariffs Jul2017'!AL80/'Tariffs Jul2017'!AJ80&lt;'Tariffs Jul2017'!L80,0,IF($C$5*'Tariffs Jul2017'!AL80/'Tariffs Jul2017'!AJ80&lt;='Tariffs Jul2017'!M80,($C$5*'Tariffs Jul2017'!AL80/'Tariffs Jul2017'!AJ80-'Tariffs Jul2017'!L80)*('Tariffs Jul2017'!X80/100)*'Tariffs Jul2017'!AJ80,('Tariffs Jul2017'!M80-'Tariffs Jul2017'!L80)*('Tariffs Jul2017'!X80/100)*'Tariffs Jul2017'!AJ80))</f>
        <v>0</v>
      </c>
      <c r="N86" s="59">
        <f>IF(($C$5*'Tariffs Jul2017'!AL80/'Tariffs Jul2017'!AJ80&gt;'Tariffs Jul2017'!M80),($C$5*'Tariffs Jul2017'!AL80/'Tariffs Jul2017'!AJ80-'Tariffs Jul2017'!M80)*'Tariffs Jul2017'!Y80/100*'Tariffs Jul2017'!AJ80,0)</f>
        <v>0</v>
      </c>
      <c r="O86" s="271">
        <f t="shared" si="5"/>
        <v>1300.37715</v>
      </c>
      <c r="P86" s="59">
        <f t="shared" si="6"/>
        <v>1653.69715</v>
      </c>
      <c r="Q86" s="272">
        <f t="shared" si="7"/>
        <v>1819.066865</v>
      </c>
      <c r="R86" s="40">
        <f>'Tariffs Jul2017'!AM80</f>
        <v>0</v>
      </c>
      <c r="S86" s="40">
        <f>'Tariffs Jul2017'!AN80</f>
        <v>0</v>
      </c>
      <c r="T86" s="40">
        <f>'Tariffs Jul2017'!AO80</f>
        <v>14</v>
      </c>
      <c r="U86" s="40">
        <f>'Tariffs Jul2017'!AP80</f>
        <v>0</v>
      </c>
      <c r="V86" s="273">
        <f t="shared" si="8"/>
        <v>1653.69715</v>
      </c>
      <c r="W86" s="273">
        <f>V86-(P86*T86/100)</f>
        <v>1422.179549</v>
      </c>
      <c r="X86" s="272">
        <f t="shared" si="9"/>
        <v>1819.066865</v>
      </c>
      <c r="Y86" s="272">
        <f t="shared" si="9"/>
        <v>1564.3975039000002</v>
      </c>
      <c r="Z86" s="274">
        <f>'Tariffs Jul2017'!AW80</f>
        <v>0</v>
      </c>
      <c r="AA86" s="274" t="str">
        <f>'Tariffs Jul2017'!AX80</f>
        <v>n</v>
      </c>
      <c r="AB86" s="275" t="str">
        <f>'Tariffs Jul2017'!BD80</f>
        <v>N</v>
      </c>
      <c r="AC86" s="317"/>
      <c r="AD86" s="317"/>
      <c r="AE86" s="317"/>
      <c r="AF86" s="317"/>
      <c r="AG86" s="317"/>
      <c r="AH86" s="317"/>
      <c r="AI86" s="317"/>
      <c r="AJ86" s="317"/>
      <c r="AK86" s="317"/>
      <c r="AL86" s="317"/>
      <c r="AM86" s="317"/>
      <c r="AN86" s="317"/>
    </row>
    <row r="87" spans="1:40" x14ac:dyDescent="0.15">
      <c r="A87" s="270" t="str">
        <f>'Tariffs Jul2017'!F81</f>
        <v>Covau</v>
      </c>
      <c r="B87" s="40" t="str">
        <f>'Tariffs Jul2017'!D81</f>
        <v>Ausnet Central 1</v>
      </c>
      <c r="C87" s="40" t="str">
        <f>'Tariffs Jul2017'!G81</f>
        <v>Market offer</v>
      </c>
      <c r="D87" s="59">
        <f>365*'Tariffs Jul2017'!H81/100</f>
        <v>299.3</v>
      </c>
      <c r="E87" s="59">
        <f>IF($C$5*'Tariffs Jul2017'!AK81/'Tariffs Jul2017'!AI81&gt;='Tariffs Jul2017'!J81,( 'Tariffs Jul2017'!J81*'Tariffs Jul2017'!O81/100)* 'Tariffs Jul2017'!AI81,($C$5*'Tariffs Jul2017'!AK81/'Tariffs Jul2017'!AI81*'Tariffs Jul2017'!O81/100)* 'Tariffs Jul2017'!AI81)</f>
        <v>558</v>
      </c>
      <c r="F87" s="59">
        <f>IF($C$5*'Tariffs Jul2017'!AK81/'Tariffs Jul2017'!AI81&lt;'Tariffs Jul2017'!J81,0,IF($C$5*'Tariffs Jul2017'!AK81/'Tariffs Jul2017'!AI81&lt;='Tariffs Jul2017'!K81,($C$5*'Tariffs Jul2017'!AK81/'Tariffs Jul2017'!AI81-'Tariffs Jul2017'!J81)*('Tariffs Jul2017'!P81/100)*'Tariffs Jul2017'!AI81,('Tariffs Jul2017'!K81-'Tariffs Jul2017'!J81)*('Tariffs Jul2017'!P81/100)*'Tariffs Jul2017'!AI81))</f>
        <v>359.1</v>
      </c>
      <c r="G87" s="59">
        <f>IF($C$5*'Tariffs Jul2017'!AK81/'Tariffs Jul2017'!AI81&lt;'Tariffs Jul2017'!K81,0,IF($C$5*'Tariffs Jul2017'!AK81/'Tariffs Jul2017'!AI81&lt;='Tariffs Jul2017'!L81,($C$5*'Tariffs Jul2017'!AK81/'Tariffs Jul2017'!AI81-'Tariffs Jul2017'!K81)*('Tariffs Jul2017'!Q81/100)*'Tariffs Jul2017'!AI81,('Tariffs Jul2017'!L81-'Tariffs Jul2017'!K81)*('Tariffs Jul2017'!Q81/100)*'Tariffs Jul2017'!AI81))</f>
        <v>0</v>
      </c>
      <c r="H87" s="59">
        <f>IF($C$5*'Tariffs Jul2017'!AK81/'Tariffs Jul2017'!AI81&lt;'Tariffs Jul2017'!L81,0,IF($C$5*'Tariffs Jul2017'!AK81/'Tariffs Jul2017'!AI81&lt;='Tariffs Jul2017'!M81,($C$5*'Tariffs Jul2017'!AK81/'Tariffs Jul2017'!AI81-'Tariffs Jul2017'!L81)*('Tariffs Jul2017'!R81/100)*'Tariffs Jul2017'!AI81,('Tariffs Jul2017'!M81-'Tariffs Jul2017'!L81)*('Tariffs Jul2017'!R81/100)*'Tariffs Jul2017'!AI81))</f>
        <v>0</v>
      </c>
      <c r="I87" s="59">
        <f>IF(($C$5*'Tariffs Jul2017'!AK81/'Tariffs Jul2017'!AI81&gt;'Tariffs Jul2017'!M81),($C$5*'Tariffs Jul2017'!AK81/'Tariffs Jul2017'!AI81-'Tariffs Jul2017'!M81)*'Tariffs Jul2017'!S81/100*'Tariffs Jul2017'!AI81,0)</f>
        <v>0</v>
      </c>
      <c r="J87" s="59">
        <f>IF($C$5*'Tariffs Jul2017'!AL81/'Tariffs Jul2017'!AJ81&gt;='Tariffs Jul2017'!J81,('Tariffs Jul2017'!J81*'Tariffs Jul2017'!U81/100)* 'Tariffs Jul2017'!AJ81,($C$5*'Tariffs Jul2017'!AL81/'Tariffs Jul2017'!AJ81*'Tariffs Jul2017'!U81/100)* 'Tariffs Jul2017'!AJ81)</f>
        <v>383.4</v>
      </c>
      <c r="K87" s="59">
        <f>IF($C$5*'Tariffs Jul2017'!AL81/'Tariffs Jul2017'!AJ81&lt;'Tariffs Jul2017'!J81,0,IF($C$5*'Tariffs Jul2017'!AL81/'Tariffs Jul2017'!AJ81&lt;='Tariffs Jul2017'!K81,($C$5*'Tariffs Jul2017'!AL81/'Tariffs Jul2017'!AJ81-'Tariffs Jul2017'!J81)*('Tariffs Jul2017'!V81/100)*'Tariffs Jul2017'!AJ81,('Tariffs Jul2017'!K81-'Tariffs Jul2017'!J81)*('Tariffs Jul2017'!V81/100)*'Tariffs Jul2017'!AJ81))</f>
        <v>260.54999999999995</v>
      </c>
      <c r="L87" s="59">
        <f>IF($C$5*'Tariffs Jul2017'!AL81/'Tariffs Jul2017'!AJ81&lt;'Tariffs Jul2017'!K81,0,IF($C$5*'Tariffs Jul2017'!AL81/'Tariffs Jul2017'!AJ81&lt;='Tariffs Jul2017'!L81,($C$5*'Tariffs Jul2017'!AL81/'Tariffs Jul2017'!AJ81-'Tariffs Jul2017'!K81)*('Tariffs Jul2017'!W81/100)*'Tariffs Jul2017'!AJ81,('Tariffs Jul2017'!L81-'Tariffs Jul2017'!K81)*('Tariffs Jul2017'!W81/100)*'Tariffs Jul2017'!AJ81))</f>
        <v>0</v>
      </c>
      <c r="M87" s="59">
        <f>IF($C$5*'Tariffs Jul2017'!AL81/'Tariffs Jul2017'!AJ81&lt;'Tariffs Jul2017'!L81,0,IF($C$5*'Tariffs Jul2017'!AL81/'Tariffs Jul2017'!AJ81&lt;='Tariffs Jul2017'!M81,($C$5*'Tariffs Jul2017'!AL81/'Tariffs Jul2017'!AJ81-'Tariffs Jul2017'!L81)*('Tariffs Jul2017'!X81/100)*'Tariffs Jul2017'!AJ81,('Tariffs Jul2017'!M81-'Tariffs Jul2017'!L81)*('Tariffs Jul2017'!X81/100)*'Tariffs Jul2017'!AJ81))</f>
        <v>0</v>
      </c>
      <c r="N87" s="59">
        <f>IF(($C$5*'Tariffs Jul2017'!AL81/'Tariffs Jul2017'!AJ81&gt;'Tariffs Jul2017'!M81),($C$5*'Tariffs Jul2017'!AL81/'Tariffs Jul2017'!AJ81-'Tariffs Jul2017'!M81)*'Tariffs Jul2017'!Y81/100*'Tariffs Jul2017'!AJ81,0)</f>
        <v>0</v>
      </c>
      <c r="O87" s="271">
        <f t="shared" si="5"/>
        <v>1561.05</v>
      </c>
      <c r="P87" s="59">
        <f t="shared" si="6"/>
        <v>1860.35</v>
      </c>
      <c r="Q87" s="272">
        <f t="shared" si="7"/>
        <v>2046.385</v>
      </c>
      <c r="R87" s="40">
        <f>'Tariffs Jul2017'!AM81</f>
        <v>0</v>
      </c>
      <c r="S87" s="40">
        <f>'Tariffs Jul2017'!AN81</f>
        <v>0</v>
      </c>
      <c r="T87" s="40">
        <f>'Tariffs Jul2017'!AO81</f>
        <v>0</v>
      </c>
      <c r="U87" s="40">
        <f>'Tariffs Jul2017'!AP81</f>
        <v>16</v>
      </c>
      <c r="V87" s="273">
        <f t="shared" si="8"/>
        <v>1860.35</v>
      </c>
      <c r="W87" s="273">
        <f>V87-(O87*U87/100)</f>
        <v>1610.5819999999999</v>
      </c>
      <c r="X87" s="272">
        <f t="shared" si="9"/>
        <v>2046.385</v>
      </c>
      <c r="Y87" s="272">
        <f t="shared" si="9"/>
        <v>1771.6402</v>
      </c>
      <c r="Z87" s="274">
        <f>'Tariffs Jul2017'!AW81</f>
        <v>12</v>
      </c>
      <c r="AA87" s="274" t="str">
        <f>'Tariffs Jul2017'!AX81</f>
        <v>y</v>
      </c>
      <c r="AB87" s="275" t="str">
        <f>'Tariffs Jul2017'!BD81</f>
        <v>N</v>
      </c>
      <c r="AC87" s="317"/>
      <c r="AD87" s="317"/>
      <c r="AE87" s="317"/>
      <c r="AF87" s="317"/>
      <c r="AG87" s="317"/>
      <c r="AH87" s="317"/>
      <c r="AI87" s="317"/>
      <c r="AJ87" s="317"/>
      <c r="AK87" s="317"/>
      <c r="AL87" s="317"/>
      <c r="AM87" s="317"/>
      <c r="AN87" s="317"/>
    </row>
    <row r="88" spans="1:40" x14ac:dyDescent="0.15">
      <c r="A88" s="270" t="str">
        <f>'Tariffs Jul2017'!F82</f>
        <v>Dodo Power &amp; Gas</v>
      </c>
      <c r="B88" s="40" t="str">
        <f>'Tariffs Jul2017'!D82</f>
        <v>Ausnet Central 1</v>
      </c>
      <c r="C88" s="40" t="str">
        <f>'Tariffs Jul2017'!G82</f>
        <v>Market offer</v>
      </c>
      <c r="D88" s="59">
        <f>365*'Tariffs Jul2017'!H82/100</f>
        <v>240.86349999999999</v>
      </c>
      <c r="E88" s="59">
        <f>IF($C$5*'Tariffs Jul2017'!AK82/'Tariffs Jul2017'!AI82&gt;='Tariffs Jul2017'!J82,( 'Tariffs Jul2017'!J82*'Tariffs Jul2017'!O82/100)* 'Tariffs Jul2017'!AI82,($C$5*'Tariffs Jul2017'!AK82/'Tariffs Jul2017'!AI82*'Tariffs Jul2017'!O82/100)* 'Tariffs Jul2017'!AI82)</f>
        <v>156.80000000000001</v>
      </c>
      <c r="F88" s="59">
        <f>IF($C$5*'Tariffs Jul2017'!AK82/'Tariffs Jul2017'!AI82&lt;'Tariffs Jul2017'!J82,0,IF($C$5*'Tariffs Jul2017'!AK82/'Tariffs Jul2017'!AI82&lt;='Tariffs Jul2017'!K82,($C$5*'Tariffs Jul2017'!AK82/'Tariffs Jul2017'!AI82-'Tariffs Jul2017'!J82)*('Tariffs Jul2017'!P82/100)*'Tariffs Jul2017'!AI82,('Tariffs Jul2017'!K82-'Tariffs Jul2017'!J82)*('Tariffs Jul2017'!P82/100)*'Tariffs Jul2017'!AI82))</f>
        <v>0</v>
      </c>
      <c r="G88" s="59">
        <f>IF($C$5*'Tariffs Jul2017'!AK82/'Tariffs Jul2017'!AI82&lt;'Tariffs Jul2017'!K82,0,IF($C$5*'Tariffs Jul2017'!AK82/'Tariffs Jul2017'!AI82&lt;='Tariffs Jul2017'!L82,($C$5*'Tariffs Jul2017'!AK82/'Tariffs Jul2017'!AI82-'Tariffs Jul2017'!K82)*('Tariffs Jul2017'!Q82/100)*'Tariffs Jul2017'!AI82,('Tariffs Jul2017'!L82-'Tariffs Jul2017'!K82)*('Tariffs Jul2017'!Q82/100)*'Tariffs Jul2017'!AI82))</f>
        <v>0</v>
      </c>
      <c r="H88" s="59">
        <f>IF($C$5*'Tariffs Jul2017'!AK82/'Tariffs Jul2017'!AI82&lt;'Tariffs Jul2017'!L82,0,IF($C$5*'Tariffs Jul2017'!AK82/'Tariffs Jul2017'!AI82&lt;='Tariffs Jul2017'!M82,($C$5*'Tariffs Jul2017'!AK82/'Tariffs Jul2017'!AI82-'Tariffs Jul2017'!L82)*('Tariffs Jul2017'!R82/100)*'Tariffs Jul2017'!AI82,('Tariffs Jul2017'!M82-'Tariffs Jul2017'!L82)*('Tariffs Jul2017'!R82/100)*'Tariffs Jul2017'!AI82))</f>
        <v>0</v>
      </c>
      <c r="I88" s="59">
        <f>IF(($C$5*'Tariffs Jul2017'!AK82/'Tariffs Jul2017'!AI82&gt;'Tariffs Jul2017'!M82),($C$5*'Tariffs Jul2017'!AK82/'Tariffs Jul2017'!AI82-'Tariffs Jul2017'!M82)*'Tariffs Jul2017'!S82/100*'Tariffs Jul2017'!AI82,0)</f>
        <v>305.09610999999995</v>
      </c>
      <c r="J88" s="59">
        <f>IF($C$5*'Tariffs Jul2017'!AL82/'Tariffs Jul2017'!AJ82&gt;='Tariffs Jul2017'!J82,('Tariffs Jul2017'!J82*'Tariffs Jul2017'!U82/100)* 'Tariffs Jul2017'!AJ82,($C$5*'Tariffs Jul2017'!AL82/'Tariffs Jul2017'!AJ82*'Tariffs Jul2017'!U82/100)* 'Tariffs Jul2017'!AJ82)</f>
        <v>253.44</v>
      </c>
      <c r="K88" s="59">
        <f>IF($C$5*'Tariffs Jul2017'!AL82/'Tariffs Jul2017'!AJ82&lt;'Tariffs Jul2017'!J82,0,IF($C$5*'Tariffs Jul2017'!AL82/'Tariffs Jul2017'!AJ82&lt;='Tariffs Jul2017'!K82,($C$5*'Tariffs Jul2017'!AL82/'Tariffs Jul2017'!AJ82-'Tariffs Jul2017'!J82)*('Tariffs Jul2017'!V82/100)*'Tariffs Jul2017'!AJ82,('Tariffs Jul2017'!K82-'Tariffs Jul2017'!J82)*('Tariffs Jul2017'!V82/100)*'Tariffs Jul2017'!AJ82))</f>
        <v>0</v>
      </c>
      <c r="L88" s="59">
        <f>IF($C$5*'Tariffs Jul2017'!AL82/'Tariffs Jul2017'!AJ82&lt;'Tariffs Jul2017'!K82,0,IF($C$5*'Tariffs Jul2017'!AL82/'Tariffs Jul2017'!AJ82&lt;='Tariffs Jul2017'!L82,($C$5*'Tariffs Jul2017'!AL82/'Tariffs Jul2017'!AJ82-'Tariffs Jul2017'!K82)*('Tariffs Jul2017'!W82/100)*'Tariffs Jul2017'!AJ82,('Tariffs Jul2017'!L82-'Tariffs Jul2017'!K82)*('Tariffs Jul2017'!W82/100)*'Tariffs Jul2017'!AJ82))</f>
        <v>0</v>
      </c>
      <c r="M88" s="59">
        <f>IF($C$5*'Tariffs Jul2017'!AL82/'Tariffs Jul2017'!AJ82&lt;'Tariffs Jul2017'!L82,0,IF($C$5*'Tariffs Jul2017'!AL82/'Tariffs Jul2017'!AJ82&lt;='Tariffs Jul2017'!M82,($C$5*'Tariffs Jul2017'!AL82/'Tariffs Jul2017'!AJ82-'Tariffs Jul2017'!L82)*('Tariffs Jul2017'!X82/100)*'Tariffs Jul2017'!AJ82,('Tariffs Jul2017'!M82-'Tariffs Jul2017'!L82)*('Tariffs Jul2017'!X82/100)*'Tariffs Jul2017'!AJ82))</f>
        <v>0</v>
      </c>
      <c r="N88" s="59">
        <f>IF(($C$5*'Tariffs Jul2017'!AL82/'Tariffs Jul2017'!AJ82&gt;'Tariffs Jul2017'!M82),($C$5*'Tariffs Jul2017'!AL82/'Tariffs Jul2017'!AJ82-'Tariffs Jul2017'!M82)*'Tariffs Jul2017'!Y82/100*'Tariffs Jul2017'!AJ82,0)</f>
        <v>464.21321999999992</v>
      </c>
      <c r="O88" s="271">
        <f t="shared" si="5"/>
        <v>1179.5493299999998</v>
      </c>
      <c r="P88" s="59">
        <f t="shared" si="6"/>
        <v>1420.4128299999998</v>
      </c>
      <c r="Q88" s="272">
        <f t="shared" si="7"/>
        <v>1562.4541129999998</v>
      </c>
      <c r="R88" s="40">
        <f>'Tariffs Jul2017'!AM82</f>
        <v>0</v>
      </c>
      <c r="S88" s="40">
        <f>'Tariffs Jul2017'!AN82</f>
        <v>0</v>
      </c>
      <c r="T88" s="40">
        <f>'Tariffs Jul2017'!AO82</f>
        <v>0</v>
      </c>
      <c r="U88" s="40">
        <f>'Tariffs Jul2017'!AP82</f>
        <v>0</v>
      </c>
      <c r="V88" s="273">
        <f t="shared" si="8"/>
        <v>1420.4128299999998</v>
      </c>
      <c r="W88" s="273">
        <f>V88-(O88*U88/100)</f>
        <v>1420.4128299999998</v>
      </c>
      <c r="X88" s="272">
        <f t="shared" si="9"/>
        <v>1562.4541129999998</v>
      </c>
      <c r="Y88" s="272">
        <f t="shared" si="9"/>
        <v>1562.4541129999998</v>
      </c>
      <c r="Z88" s="274">
        <f>'Tariffs Jul2017'!AW82</f>
        <v>0</v>
      </c>
      <c r="AA88" s="274" t="str">
        <f>'Tariffs Jul2017'!AX82</f>
        <v>n</v>
      </c>
      <c r="AB88" s="275" t="str">
        <f>'Tariffs Jul2017'!BD82</f>
        <v>Y</v>
      </c>
      <c r="AC88" s="317"/>
      <c r="AD88" s="317"/>
      <c r="AE88" s="317"/>
      <c r="AF88" s="317"/>
      <c r="AG88" s="317"/>
      <c r="AH88" s="317"/>
      <c r="AI88" s="317"/>
      <c r="AJ88" s="317"/>
      <c r="AK88" s="317"/>
      <c r="AL88" s="317"/>
      <c r="AM88" s="317"/>
      <c r="AN88" s="317"/>
    </row>
    <row r="89" spans="1:40" x14ac:dyDescent="0.15">
      <c r="A89" s="270" t="str">
        <f>'Tariffs Jul2017'!F83</f>
        <v>EnergyAustralia</v>
      </c>
      <c r="B89" s="40" t="str">
        <f>'Tariffs Jul2017'!D83</f>
        <v>Ausnet Central 1</v>
      </c>
      <c r="C89" s="40" t="str">
        <f>'Tariffs Jul2017'!G83</f>
        <v xml:space="preserve">Flexi Saver </v>
      </c>
      <c r="D89" s="59">
        <f>365*'Tariffs Jul2017'!H83/100</f>
        <v>314.26499999999999</v>
      </c>
      <c r="E89" s="59">
        <f>IF($C$5*'Tariffs Jul2017'!AK83/'Tariffs Jul2017'!AI83&gt;='Tariffs Jul2017'!J83,( 'Tariffs Jul2017'!J83*'Tariffs Jul2017'!O83/100)* 'Tariffs Jul2017'!AI83,($C$5*'Tariffs Jul2017'!AK83/'Tariffs Jul2017'!AI83*'Tariffs Jul2017'!O83/100)* 'Tariffs Jul2017'!AI83)</f>
        <v>319.2</v>
      </c>
      <c r="F89" s="59">
        <f>IF($C$5*'Tariffs Jul2017'!AK83/'Tariffs Jul2017'!AI83&lt;'Tariffs Jul2017'!J83,0,IF($C$5*'Tariffs Jul2017'!AK83/'Tariffs Jul2017'!AI83&lt;='Tariffs Jul2017'!K83,($C$5*'Tariffs Jul2017'!AK83/'Tariffs Jul2017'!AI83-'Tariffs Jul2017'!J83)*('Tariffs Jul2017'!P83/100)*'Tariffs Jul2017'!AI83,('Tariffs Jul2017'!K83-'Tariffs Jul2017'!J83)*('Tariffs Jul2017'!P83/100)*'Tariffs Jul2017'!AI83))</f>
        <v>184.45694999999992</v>
      </c>
      <c r="G89" s="59">
        <f>IF($C$5*'Tariffs Jul2017'!AK83/'Tariffs Jul2017'!AI83&lt;'Tariffs Jul2017'!K83,0,IF($C$5*'Tariffs Jul2017'!AK83/'Tariffs Jul2017'!AI83&lt;='Tariffs Jul2017'!L83,($C$5*'Tariffs Jul2017'!AK83/'Tariffs Jul2017'!AI83-'Tariffs Jul2017'!K83)*('Tariffs Jul2017'!Q83/100)*'Tariffs Jul2017'!AI83,('Tariffs Jul2017'!L83-'Tariffs Jul2017'!K83)*('Tariffs Jul2017'!Q83/100)*'Tariffs Jul2017'!AI83))</f>
        <v>0</v>
      </c>
      <c r="H89" s="59">
        <f>IF($C$5*'Tariffs Jul2017'!AK83/'Tariffs Jul2017'!AI83&lt;'Tariffs Jul2017'!L83,0,IF($C$5*'Tariffs Jul2017'!AK83/'Tariffs Jul2017'!AI83&lt;='Tariffs Jul2017'!M83,($C$5*'Tariffs Jul2017'!AK83/'Tariffs Jul2017'!AI83-'Tariffs Jul2017'!L83)*('Tariffs Jul2017'!R83/100)*'Tariffs Jul2017'!AI83,('Tariffs Jul2017'!M83-'Tariffs Jul2017'!L83)*('Tariffs Jul2017'!R83/100)*'Tariffs Jul2017'!AI83))</f>
        <v>0</v>
      </c>
      <c r="I89" s="59">
        <f>IF(($C$5*'Tariffs Jul2017'!AK83/'Tariffs Jul2017'!AI83&gt;'Tariffs Jul2017'!M83),($C$5*'Tariffs Jul2017'!AK83/'Tariffs Jul2017'!AI83-'Tariffs Jul2017'!M83)*'Tariffs Jul2017'!S83/100*'Tariffs Jul2017'!AI83,0)</f>
        <v>0</v>
      </c>
      <c r="J89" s="59">
        <f>IF($C$5*'Tariffs Jul2017'!AL83/'Tariffs Jul2017'!AJ83&gt;='Tariffs Jul2017'!J83,('Tariffs Jul2017'!J83*'Tariffs Jul2017'!U83/100)* 'Tariffs Jul2017'!AJ83,($C$5*'Tariffs Jul2017'!AL83/'Tariffs Jul2017'!AJ83*'Tariffs Jul2017'!U83/100)* 'Tariffs Jul2017'!AJ83)</f>
        <v>427.2</v>
      </c>
      <c r="K89" s="59">
        <f>IF($C$5*'Tariffs Jul2017'!AL83/'Tariffs Jul2017'!AJ83&lt;'Tariffs Jul2017'!J83,0,IF($C$5*'Tariffs Jul2017'!AL83/'Tariffs Jul2017'!AJ83&lt;='Tariffs Jul2017'!K83,($C$5*'Tariffs Jul2017'!AL83/'Tariffs Jul2017'!AJ83-'Tariffs Jul2017'!J83)*('Tariffs Jul2017'!V83/100)*'Tariffs Jul2017'!AJ83,('Tariffs Jul2017'!K83-'Tariffs Jul2017'!J83)*('Tariffs Jul2017'!V83/100)*'Tariffs Jul2017'!AJ83))</f>
        <v>275.33573999999993</v>
      </c>
      <c r="L89" s="59">
        <f>IF($C$5*'Tariffs Jul2017'!AL83/'Tariffs Jul2017'!AJ83&lt;'Tariffs Jul2017'!K83,0,IF($C$5*'Tariffs Jul2017'!AL83/'Tariffs Jul2017'!AJ83&lt;='Tariffs Jul2017'!L83,($C$5*'Tariffs Jul2017'!AL83/'Tariffs Jul2017'!AJ83-'Tariffs Jul2017'!K83)*('Tariffs Jul2017'!W83/100)*'Tariffs Jul2017'!AJ83,('Tariffs Jul2017'!L83-'Tariffs Jul2017'!K83)*('Tariffs Jul2017'!W83/100)*'Tariffs Jul2017'!AJ83))</f>
        <v>0</v>
      </c>
      <c r="M89" s="59">
        <f>IF($C$5*'Tariffs Jul2017'!AL83/'Tariffs Jul2017'!AJ83&lt;'Tariffs Jul2017'!L83,0,IF($C$5*'Tariffs Jul2017'!AL83/'Tariffs Jul2017'!AJ83&lt;='Tariffs Jul2017'!M83,($C$5*'Tariffs Jul2017'!AL83/'Tariffs Jul2017'!AJ83-'Tariffs Jul2017'!L83)*('Tariffs Jul2017'!X83/100)*'Tariffs Jul2017'!AJ83,('Tariffs Jul2017'!M83-'Tariffs Jul2017'!L83)*('Tariffs Jul2017'!X83/100)*'Tariffs Jul2017'!AJ83))</f>
        <v>0</v>
      </c>
      <c r="N89" s="59">
        <f>IF(($C$5*'Tariffs Jul2017'!AL83/'Tariffs Jul2017'!AJ83&gt;'Tariffs Jul2017'!M83),($C$5*'Tariffs Jul2017'!AL83/'Tariffs Jul2017'!AJ83-'Tariffs Jul2017'!M83)*'Tariffs Jul2017'!Y83/100*'Tariffs Jul2017'!AJ83,0)</f>
        <v>0</v>
      </c>
      <c r="O89" s="271">
        <f t="shared" si="5"/>
        <v>1206.1926899999999</v>
      </c>
      <c r="P89" s="59">
        <f t="shared" si="6"/>
        <v>1520.4576899999997</v>
      </c>
      <c r="Q89" s="272">
        <f t="shared" si="7"/>
        <v>1672.5034589999998</v>
      </c>
      <c r="R89" s="40">
        <f>'Tariffs Jul2017'!AM83</f>
        <v>0</v>
      </c>
      <c r="S89" s="40">
        <f>'Tariffs Jul2017'!AN83</f>
        <v>0</v>
      </c>
      <c r="T89" s="40">
        <f>'Tariffs Jul2017'!AO83</f>
        <v>0</v>
      </c>
      <c r="U89" s="40">
        <f>'Tariffs Jul2017'!AP83</f>
        <v>20</v>
      </c>
      <c r="V89" s="273">
        <f t="shared" si="8"/>
        <v>1520.4576899999997</v>
      </c>
      <c r="W89" s="273">
        <f>V89-(O89*U89/100)</f>
        <v>1279.2191519999997</v>
      </c>
      <c r="X89" s="272">
        <f t="shared" si="9"/>
        <v>1672.5034589999998</v>
      </c>
      <c r="Y89" s="272">
        <f t="shared" si="9"/>
        <v>1407.1410671999997</v>
      </c>
      <c r="Z89" s="274">
        <f>'Tariffs Jul2017'!AW83</f>
        <v>0</v>
      </c>
      <c r="AA89" s="274" t="str">
        <f>'Tariffs Jul2017'!AX83</f>
        <v>n</v>
      </c>
      <c r="AB89" s="275" t="str">
        <f>'Tariffs Jul2017'!BD83</f>
        <v>N</v>
      </c>
      <c r="AC89" s="317"/>
      <c r="AD89" s="317"/>
      <c r="AE89" s="317"/>
      <c r="AF89" s="317"/>
      <c r="AG89" s="317"/>
      <c r="AH89" s="317"/>
      <c r="AI89" s="317"/>
      <c r="AJ89" s="317"/>
      <c r="AK89" s="317"/>
      <c r="AL89" s="317"/>
      <c r="AM89" s="317"/>
      <c r="AN89" s="317"/>
    </row>
    <row r="90" spans="1:40" x14ac:dyDescent="0.15">
      <c r="A90" s="270" t="str">
        <f>'Tariffs Jul2017'!F84</f>
        <v>Lumo Energy</v>
      </c>
      <c r="B90" s="40" t="str">
        <f>'Tariffs Jul2017'!D84</f>
        <v>Ausnet Central 1</v>
      </c>
      <c r="C90" s="40" t="str">
        <f>'Tariffs Jul2017'!G84</f>
        <v>Advantage</v>
      </c>
      <c r="D90" s="59">
        <f>365*'Tariffs Jul2017'!H84/100</f>
        <v>288.67850000000004</v>
      </c>
      <c r="E90" s="59">
        <f>IF($C$5*'Tariffs Jul2017'!AK84/'Tariffs Jul2017'!AI84&gt;='Tariffs Jul2017'!J84,( 'Tariffs Jul2017'!J84*'Tariffs Jul2017'!O84/100)* 'Tariffs Jul2017'!AI84,($C$5*'Tariffs Jul2017'!AK84/'Tariffs Jul2017'!AI84*'Tariffs Jul2017'!O84/100)* 'Tariffs Jul2017'!AI84)</f>
        <v>299.39999999999998</v>
      </c>
      <c r="F90" s="59">
        <f>IF($C$5*'Tariffs Jul2017'!AK84/'Tariffs Jul2017'!AI84&lt;'Tariffs Jul2017'!J84,0,IF($C$5*'Tariffs Jul2017'!AK84/'Tariffs Jul2017'!AI84&lt;='Tariffs Jul2017'!K84,($C$5*'Tariffs Jul2017'!AK84/'Tariffs Jul2017'!AI84-'Tariffs Jul2017'!J84)*('Tariffs Jul2017'!P84/100)*'Tariffs Jul2017'!AI84,('Tariffs Jul2017'!K84-'Tariffs Jul2017'!J84)*('Tariffs Jul2017'!P84/100)*'Tariffs Jul2017'!AI84))</f>
        <v>188.05610999999993</v>
      </c>
      <c r="G90" s="59">
        <f>IF($C$5*'Tariffs Jul2017'!AK84/'Tariffs Jul2017'!AI84&lt;'Tariffs Jul2017'!K84,0,IF($C$5*'Tariffs Jul2017'!AK84/'Tariffs Jul2017'!AI84&lt;='Tariffs Jul2017'!L84,($C$5*'Tariffs Jul2017'!AK84/'Tariffs Jul2017'!AI84-'Tariffs Jul2017'!K84)*('Tariffs Jul2017'!Q84/100)*'Tariffs Jul2017'!AI84,('Tariffs Jul2017'!L84-'Tariffs Jul2017'!K84)*('Tariffs Jul2017'!Q84/100)*'Tariffs Jul2017'!AI84))</f>
        <v>0</v>
      </c>
      <c r="H90" s="59">
        <f>IF($C$5*'Tariffs Jul2017'!AK84/'Tariffs Jul2017'!AI84&lt;'Tariffs Jul2017'!L84,0,IF($C$5*'Tariffs Jul2017'!AK84/'Tariffs Jul2017'!AI84&lt;='Tariffs Jul2017'!M84,($C$5*'Tariffs Jul2017'!AK84/'Tariffs Jul2017'!AI84-'Tariffs Jul2017'!L84)*('Tariffs Jul2017'!R84/100)*'Tariffs Jul2017'!AI84,('Tariffs Jul2017'!M84-'Tariffs Jul2017'!L84)*('Tariffs Jul2017'!R84/100)*'Tariffs Jul2017'!AI84))</f>
        <v>0</v>
      </c>
      <c r="I90" s="59">
        <f>IF(($C$5*'Tariffs Jul2017'!AK84/'Tariffs Jul2017'!AI84&gt;'Tariffs Jul2017'!M84),($C$5*'Tariffs Jul2017'!AK84/'Tariffs Jul2017'!AI84-'Tariffs Jul2017'!M84)*'Tariffs Jul2017'!S84/100*'Tariffs Jul2017'!AI84,0)</f>
        <v>0</v>
      </c>
      <c r="J90" s="59">
        <f>IF($C$5*'Tariffs Jul2017'!AL84/'Tariffs Jul2017'!AJ84&gt;='Tariffs Jul2017'!J84,('Tariffs Jul2017'!J84*'Tariffs Jul2017'!U84/100)* 'Tariffs Jul2017'!AJ84,($C$5*'Tariffs Jul2017'!AL84/'Tariffs Jul2017'!AJ84*'Tariffs Jul2017'!U84/100)* 'Tariffs Jul2017'!AJ84)</f>
        <v>392.88</v>
      </c>
      <c r="K90" s="59">
        <f>IF($C$5*'Tariffs Jul2017'!AL84/'Tariffs Jul2017'!AJ84&lt;'Tariffs Jul2017'!J84,0,IF($C$5*'Tariffs Jul2017'!AL84/'Tariffs Jul2017'!AJ84&lt;='Tariffs Jul2017'!K84,($C$5*'Tariffs Jul2017'!AL84/'Tariffs Jul2017'!AJ84-'Tariffs Jul2017'!J84)*('Tariffs Jul2017'!V84/100)*'Tariffs Jul2017'!AJ84,('Tariffs Jul2017'!K84-'Tariffs Jul2017'!J84)*('Tariffs Jul2017'!V84/100)*'Tariffs Jul2017'!AJ84))</f>
        <v>283.61380799999995</v>
      </c>
      <c r="L90" s="59">
        <f>IF($C$5*'Tariffs Jul2017'!AL84/'Tariffs Jul2017'!AJ84&lt;'Tariffs Jul2017'!K84,0,IF($C$5*'Tariffs Jul2017'!AL84/'Tariffs Jul2017'!AJ84&lt;='Tariffs Jul2017'!L84,($C$5*'Tariffs Jul2017'!AL84/'Tariffs Jul2017'!AJ84-'Tariffs Jul2017'!K84)*('Tariffs Jul2017'!W84/100)*'Tariffs Jul2017'!AJ84,('Tariffs Jul2017'!L84-'Tariffs Jul2017'!K84)*('Tariffs Jul2017'!W84/100)*'Tariffs Jul2017'!AJ84))</f>
        <v>0</v>
      </c>
      <c r="M90" s="59">
        <f>IF($C$5*'Tariffs Jul2017'!AL84/'Tariffs Jul2017'!AJ84&lt;'Tariffs Jul2017'!L84,0,IF($C$5*'Tariffs Jul2017'!AL84/'Tariffs Jul2017'!AJ84&lt;='Tariffs Jul2017'!M84,($C$5*'Tariffs Jul2017'!AL84/'Tariffs Jul2017'!AJ84-'Tariffs Jul2017'!L84)*('Tariffs Jul2017'!X84/100)*'Tariffs Jul2017'!AJ84,('Tariffs Jul2017'!M84-'Tariffs Jul2017'!L84)*('Tariffs Jul2017'!X84/100)*'Tariffs Jul2017'!AJ84))</f>
        <v>0</v>
      </c>
      <c r="N90" s="59">
        <f>IF(($C$5*'Tariffs Jul2017'!AL84/'Tariffs Jul2017'!AJ84&gt;'Tariffs Jul2017'!M84),($C$5*'Tariffs Jul2017'!AL84/'Tariffs Jul2017'!AJ84-'Tariffs Jul2017'!M84)*'Tariffs Jul2017'!Y84/100*'Tariffs Jul2017'!AJ84,0)</f>
        <v>0</v>
      </c>
      <c r="O90" s="271">
        <f t="shared" si="5"/>
        <v>1163.9499179999998</v>
      </c>
      <c r="P90" s="59">
        <f t="shared" si="6"/>
        <v>1452.6284179999998</v>
      </c>
      <c r="Q90" s="272">
        <f t="shared" si="7"/>
        <v>1597.8912597999999</v>
      </c>
      <c r="R90" s="40">
        <f>'Tariffs Jul2017'!AM84</f>
        <v>0</v>
      </c>
      <c r="S90" s="40">
        <f>'Tariffs Jul2017'!AN84</f>
        <v>0</v>
      </c>
      <c r="T90" s="40">
        <f>'Tariffs Jul2017'!AO84</f>
        <v>15</v>
      </c>
      <c r="U90" s="40">
        <f>'Tariffs Jul2017'!AP84</f>
        <v>0</v>
      </c>
      <c r="V90" s="273">
        <f t="shared" si="8"/>
        <v>1452.6284179999998</v>
      </c>
      <c r="W90" s="273">
        <f>V90-(P90*T90/100)</f>
        <v>1234.7341552999999</v>
      </c>
      <c r="X90" s="272">
        <f t="shared" si="9"/>
        <v>1597.8912597999999</v>
      </c>
      <c r="Y90" s="272">
        <f t="shared" si="9"/>
        <v>1358.2075708299999</v>
      </c>
      <c r="Z90" s="274">
        <f>'Tariffs Jul2017'!AW84</f>
        <v>0</v>
      </c>
      <c r="AA90" s="274" t="str">
        <f>'Tariffs Jul2017'!AX84</f>
        <v>n</v>
      </c>
      <c r="AB90" s="275" t="str">
        <f>'Tariffs Jul2017'!BD84</f>
        <v>N</v>
      </c>
      <c r="AC90" s="317"/>
      <c r="AD90" s="317"/>
      <c r="AE90" s="317"/>
      <c r="AF90" s="317"/>
      <c r="AG90" s="317"/>
      <c r="AH90" s="317"/>
      <c r="AI90" s="317"/>
      <c r="AJ90" s="317"/>
      <c r="AK90" s="317"/>
      <c r="AL90" s="317"/>
      <c r="AM90" s="317"/>
      <c r="AN90" s="317"/>
    </row>
    <row r="91" spans="1:40" x14ac:dyDescent="0.15">
      <c r="A91" s="270" t="str">
        <f>'Tariffs Jul2017'!F85</f>
        <v>Momentum Energy</v>
      </c>
      <c r="B91" s="40" t="str">
        <f>'Tariffs Jul2017'!D85</f>
        <v>Ausnet Central 1</v>
      </c>
      <c r="C91" s="40" t="str">
        <f>'Tariffs Jul2017'!G85</f>
        <v>Market offer</v>
      </c>
      <c r="D91" s="59">
        <f>365*'Tariffs Jul2017'!H85/100</f>
        <v>242.06799999999998</v>
      </c>
      <c r="E91" s="59">
        <f>IF($C$5*'Tariffs Jul2017'!AK85/'Tariffs Jul2017'!AI85&gt;='Tariffs Jul2017'!J85,( 'Tariffs Jul2017'!J85*'Tariffs Jul2017'!O85/100)* 'Tariffs Jul2017'!AI85,($C$5*'Tariffs Jul2017'!AK85/'Tariffs Jul2017'!AI85*'Tariffs Jul2017'!O85/100)* 'Tariffs Jul2017'!AI85)</f>
        <v>260.03999999999996</v>
      </c>
      <c r="F91" s="59">
        <f>IF($C$5*'Tariffs Jul2017'!AK85/'Tariffs Jul2017'!AI85&lt;'Tariffs Jul2017'!J85,0,IF($C$5*'Tariffs Jul2017'!AK85/'Tariffs Jul2017'!AI85&lt;='Tariffs Jul2017'!K85,($C$5*'Tariffs Jul2017'!AK85/'Tariffs Jul2017'!AI85-'Tariffs Jul2017'!J85)*('Tariffs Jul2017'!P85/100)*'Tariffs Jul2017'!AI85,('Tariffs Jul2017'!K85-'Tariffs Jul2017'!J85)*('Tariffs Jul2017'!P85/100)*'Tariffs Jul2017'!AI85))</f>
        <v>161.24236799999997</v>
      </c>
      <c r="G91" s="59">
        <f>IF($C$5*'Tariffs Jul2017'!AK85/'Tariffs Jul2017'!AI85&lt;'Tariffs Jul2017'!K85,0,IF($C$5*'Tariffs Jul2017'!AK85/'Tariffs Jul2017'!AI85&lt;='Tariffs Jul2017'!L85,($C$5*'Tariffs Jul2017'!AK85/'Tariffs Jul2017'!AI85-'Tariffs Jul2017'!K85)*('Tariffs Jul2017'!Q85/100)*'Tariffs Jul2017'!AI85,('Tariffs Jul2017'!L85-'Tariffs Jul2017'!K85)*('Tariffs Jul2017'!Q85/100)*'Tariffs Jul2017'!AI85))</f>
        <v>0</v>
      </c>
      <c r="H91" s="59">
        <f>IF($C$5*'Tariffs Jul2017'!AK85/'Tariffs Jul2017'!AI85&lt;'Tariffs Jul2017'!L85,0,IF($C$5*'Tariffs Jul2017'!AK85/'Tariffs Jul2017'!AI85&lt;='Tariffs Jul2017'!M85,($C$5*'Tariffs Jul2017'!AK85/'Tariffs Jul2017'!AI85-'Tariffs Jul2017'!L85)*('Tariffs Jul2017'!R85/100)*'Tariffs Jul2017'!AI85,('Tariffs Jul2017'!M85-'Tariffs Jul2017'!L85)*('Tariffs Jul2017'!R85/100)*'Tariffs Jul2017'!AI85))</f>
        <v>0</v>
      </c>
      <c r="I91" s="59">
        <f>IF(($C$5*'Tariffs Jul2017'!AK85/'Tariffs Jul2017'!AI85&gt;'Tariffs Jul2017'!M85),($C$5*'Tariffs Jul2017'!AK85/'Tariffs Jul2017'!AI85-'Tariffs Jul2017'!M85)*'Tariffs Jul2017'!S85/100*'Tariffs Jul2017'!AI85,0)</f>
        <v>0</v>
      </c>
      <c r="J91" s="59">
        <f>IF($C$5*'Tariffs Jul2017'!AL85/'Tariffs Jul2017'!AJ85&gt;='Tariffs Jul2017'!J85,('Tariffs Jul2017'!J85*'Tariffs Jul2017'!U85/100)* 'Tariffs Jul2017'!AJ85,($C$5*'Tariffs Jul2017'!AL85/'Tariffs Jul2017'!AJ85*'Tariffs Jul2017'!U85/100)* 'Tariffs Jul2017'!AJ85)</f>
        <v>345.84</v>
      </c>
      <c r="K91" s="59">
        <f>IF($C$5*'Tariffs Jul2017'!AL85/'Tariffs Jul2017'!AJ85&lt;'Tariffs Jul2017'!J85,0,IF($C$5*'Tariffs Jul2017'!AL85/'Tariffs Jul2017'!AJ85&lt;='Tariffs Jul2017'!K85,($C$5*'Tariffs Jul2017'!AL85/'Tariffs Jul2017'!AJ85-'Tariffs Jul2017'!J85)*('Tariffs Jul2017'!V85/100)*'Tariffs Jul2017'!AJ85,('Tariffs Jul2017'!K85-'Tariffs Jul2017'!J85)*('Tariffs Jul2017'!V85/100)*'Tariffs Jul2017'!AJ85))</f>
        <v>251.76124199999995</v>
      </c>
      <c r="L91" s="59">
        <f>IF($C$5*'Tariffs Jul2017'!AL85/'Tariffs Jul2017'!AJ85&lt;'Tariffs Jul2017'!K85,0,IF($C$5*'Tariffs Jul2017'!AL85/'Tariffs Jul2017'!AJ85&lt;='Tariffs Jul2017'!L85,($C$5*'Tariffs Jul2017'!AL85/'Tariffs Jul2017'!AJ85-'Tariffs Jul2017'!K85)*('Tariffs Jul2017'!W85/100)*'Tariffs Jul2017'!AJ85,('Tariffs Jul2017'!L85-'Tariffs Jul2017'!K85)*('Tariffs Jul2017'!W85/100)*'Tariffs Jul2017'!AJ85))</f>
        <v>0</v>
      </c>
      <c r="M91" s="59">
        <f>IF($C$5*'Tariffs Jul2017'!AL85/'Tariffs Jul2017'!AJ85&lt;'Tariffs Jul2017'!L85,0,IF($C$5*'Tariffs Jul2017'!AL85/'Tariffs Jul2017'!AJ85&lt;='Tariffs Jul2017'!M85,($C$5*'Tariffs Jul2017'!AL85/'Tariffs Jul2017'!AJ85-'Tariffs Jul2017'!L85)*('Tariffs Jul2017'!X85/100)*'Tariffs Jul2017'!AJ85,('Tariffs Jul2017'!M85-'Tariffs Jul2017'!L85)*('Tariffs Jul2017'!X85/100)*'Tariffs Jul2017'!AJ85))</f>
        <v>0</v>
      </c>
      <c r="N91" s="59">
        <f>IF(($C$5*'Tariffs Jul2017'!AL85/'Tariffs Jul2017'!AJ85&gt;'Tariffs Jul2017'!M85),($C$5*'Tariffs Jul2017'!AL85/'Tariffs Jul2017'!AJ85-'Tariffs Jul2017'!M85)*'Tariffs Jul2017'!Y85/100*'Tariffs Jul2017'!AJ85,0)</f>
        <v>0</v>
      </c>
      <c r="O91" s="271">
        <f t="shared" si="5"/>
        <v>1018.8836099999997</v>
      </c>
      <c r="P91" s="59">
        <f t="shared" si="6"/>
        <v>1260.9516099999996</v>
      </c>
      <c r="Q91" s="272">
        <f t="shared" si="7"/>
        <v>1387.0467709999996</v>
      </c>
      <c r="R91" s="40">
        <f>'Tariffs Jul2017'!AM85</f>
        <v>0</v>
      </c>
      <c r="S91" s="40">
        <f>'Tariffs Jul2017'!AN85</f>
        <v>0</v>
      </c>
      <c r="T91" s="40">
        <f>'Tariffs Jul2017'!AO85</f>
        <v>0</v>
      </c>
      <c r="U91" s="40">
        <f>'Tariffs Jul2017'!AP85</f>
        <v>0</v>
      </c>
      <c r="V91" s="273">
        <f t="shared" si="8"/>
        <v>1260.9516099999996</v>
      </c>
      <c r="W91" s="273">
        <f>V91</f>
        <v>1260.9516099999996</v>
      </c>
      <c r="X91" s="272">
        <f t="shared" si="9"/>
        <v>1387.0467709999996</v>
      </c>
      <c r="Y91" s="272">
        <f t="shared" si="9"/>
        <v>1387.0467709999996</v>
      </c>
      <c r="Z91" s="274">
        <f>'Tariffs Jul2017'!AW85</f>
        <v>0</v>
      </c>
      <c r="AA91" s="274" t="str">
        <f>'Tariffs Jul2017'!AX85</f>
        <v>n</v>
      </c>
      <c r="AB91" s="275" t="str">
        <f>'Tariffs Jul2017'!BD85</f>
        <v>Y</v>
      </c>
      <c r="AC91" s="317"/>
      <c r="AD91" s="317"/>
      <c r="AE91" s="317"/>
      <c r="AF91" s="317"/>
      <c r="AG91" s="317"/>
      <c r="AH91" s="317"/>
      <c r="AI91" s="317"/>
      <c r="AJ91" s="317"/>
      <c r="AK91" s="317"/>
      <c r="AL91" s="317"/>
      <c r="AM91" s="317"/>
      <c r="AN91" s="317"/>
    </row>
    <row r="92" spans="1:40" x14ac:dyDescent="0.15">
      <c r="A92" s="270" t="str">
        <f>'Tariffs Jul2017'!F86</f>
        <v>Origin Energy</v>
      </c>
      <c r="B92" s="40" t="str">
        <f>'Tariffs Jul2017'!D86</f>
        <v>Ausnet Central 1</v>
      </c>
      <c r="C92" s="40" t="str">
        <f>'Tariffs Jul2017'!G86</f>
        <v>Saver</v>
      </c>
      <c r="D92" s="59">
        <f>365*'Tariffs Jul2017'!H86/100</f>
        <v>297.767</v>
      </c>
      <c r="E92" s="59">
        <f>IF($C$5*'Tariffs Jul2017'!AK86/'Tariffs Jul2017'!AI86&gt;='Tariffs Jul2017'!J86,( 'Tariffs Jul2017'!J86*'Tariffs Jul2017'!O86/100)* 'Tariffs Jul2017'!AI86,($C$5*'Tariffs Jul2017'!AK86/'Tariffs Jul2017'!AI86*'Tariffs Jul2017'!O86/100)* 'Tariffs Jul2017'!AI86)</f>
        <v>168.25599999999997</v>
      </c>
      <c r="F92" s="59">
        <f>IF($C$5*'Tariffs Jul2017'!AK86/'Tariffs Jul2017'!AI86&lt;'Tariffs Jul2017'!J86,0,IF($C$5*'Tariffs Jul2017'!AK86/'Tariffs Jul2017'!AI86&lt;='Tariffs Jul2017'!K86,($C$5*'Tariffs Jul2017'!AK86/'Tariffs Jul2017'!AI86-'Tariffs Jul2017'!J86)*('Tariffs Jul2017'!P86/100)*'Tariffs Jul2017'!AI86,('Tariffs Jul2017'!K86-'Tariffs Jul2017'!J86)*('Tariffs Jul2017'!P86/100)*'Tariffs Jul2017'!AI86))</f>
        <v>0</v>
      </c>
      <c r="G92" s="59">
        <f>IF($C$5*'Tariffs Jul2017'!AK86/'Tariffs Jul2017'!AI86&lt;'Tariffs Jul2017'!K86,0,IF($C$5*'Tariffs Jul2017'!AK86/'Tariffs Jul2017'!AI86&lt;='Tariffs Jul2017'!L86,($C$5*'Tariffs Jul2017'!AK86/'Tariffs Jul2017'!AI86-'Tariffs Jul2017'!K86)*('Tariffs Jul2017'!Q86/100)*'Tariffs Jul2017'!AI86,('Tariffs Jul2017'!L86-'Tariffs Jul2017'!K86)*('Tariffs Jul2017'!Q86/100)*'Tariffs Jul2017'!AI86))</f>
        <v>0</v>
      </c>
      <c r="H92" s="59">
        <f>IF($C$5*'Tariffs Jul2017'!AK86/'Tariffs Jul2017'!AI86&lt;'Tariffs Jul2017'!L86,0,IF($C$5*'Tariffs Jul2017'!AK86/'Tariffs Jul2017'!AI86&lt;='Tariffs Jul2017'!M86,($C$5*'Tariffs Jul2017'!AK86/'Tariffs Jul2017'!AI86-'Tariffs Jul2017'!L86)*('Tariffs Jul2017'!R86/100)*'Tariffs Jul2017'!AI86,('Tariffs Jul2017'!M86-'Tariffs Jul2017'!L86)*('Tariffs Jul2017'!R86/100)*'Tariffs Jul2017'!AI86))</f>
        <v>0</v>
      </c>
      <c r="I92" s="59">
        <f>IF(($C$5*'Tariffs Jul2017'!AK86/'Tariffs Jul2017'!AI86&gt;'Tariffs Jul2017'!M86),($C$5*'Tariffs Jul2017'!AK86/'Tariffs Jul2017'!AI86-'Tariffs Jul2017'!M86)*'Tariffs Jul2017'!S86/100*'Tariffs Jul2017'!AI86,0)</f>
        <v>304.65817299999998</v>
      </c>
      <c r="J92" s="59">
        <f>IF($C$5*'Tariffs Jul2017'!AL86/'Tariffs Jul2017'!AJ86&gt;='Tariffs Jul2017'!J86,('Tariffs Jul2017'!J86*'Tariffs Jul2017'!U86/100)* 'Tariffs Jul2017'!AJ86,($C$5*'Tariffs Jul2017'!AL86/'Tariffs Jul2017'!AJ86*'Tariffs Jul2017'!U86/100)* 'Tariffs Jul2017'!AJ86)</f>
        <v>235.77600000000001</v>
      </c>
      <c r="K92" s="59">
        <f>IF($C$5*'Tariffs Jul2017'!AL86/'Tariffs Jul2017'!AJ86&lt;'Tariffs Jul2017'!J86,0,IF($C$5*'Tariffs Jul2017'!AL86/'Tariffs Jul2017'!AJ86&lt;='Tariffs Jul2017'!K86,($C$5*'Tariffs Jul2017'!AL86/'Tariffs Jul2017'!AJ86-'Tariffs Jul2017'!J86)*('Tariffs Jul2017'!V86/100)*'Tariffs Jul2017'!AJ86,('Tariffs Jul2017'!K86-'Tariffs Jul2017'!J86)*('Tariffs Jul2017'!V86/100)*'Tariffs Jul2017'!AJ86))</f>
        <v>0</v>
      </c>
      <c r="L92" s="59">
        <f>IF($C$5*'Tariffs Jul2017'!AL86/'Tariffs Jul2017'!AJ86&lt;'Tariffs Jul2017'!K86,0,IF($C$5*'Tariffs Jul2017'!AL86/'Tariffs Jul2017'!AJ86&lt;='Tariffs Jul2017'!L86,($C$5*'Tariffs Jul2017'!AL86/'Tariffs Jul2017'!AJ86-'Tariffs Jul2017'!K86)*('Tariffs Jul2017'!W86/100)*'Tariffs Jul2017'!AJ86,('Tariffs Jul2017'!L86-'Tariffs Jul2017'!K86)*('Tariffs Jul2017'!W86/100)*'Tariffs Jul2017'!AJ86))</f>
        <v>0</v>
      </c>
      <c r="M92" s="59">
        <f>IF($C$5*'Tariffs Jul2017'!AL86/'Tariffs Jul2017'!AJ86&lt;'Tariffs Jul2017'!L86,0,IF($C$5*'Tariffs Jul2017'!AL86/'Tariffs Jul2017'!AJ86&lt;='Tariffs Jul2017'!M86,($C$5*'Tariffs Jul2017'!AL86/'Tariffs Jul2017'!AJ86-'Tariffs Jul2017'!L86)*('Tariffs Jul2017'!X86/100)*'Tariffs Jul2017'!AJ86,('Tariffs Jul2017'!M86-'Tariffs Jul2017'!L86)*('Tariffs Jul2017'!X86/100)*'Tariffs Jul2017'!AJ86))</f>
        <v>0</v>
      </c>
      <c r="N92" s="59">
        <f>IF(($C$5*'Tariffs Jul2017'!AL86/'Tariffs Jul2017'!AJ86&gt;'Tariffs Jul2017'!M86),($C$5*'Tariffs Jul2017'!AL86/'Tariffs Jul2017'!AJ86-'Tariffs Jul2017'!M86)*'Tariffs Jul2017'!Y86/100*'Tariffs Jul2017'!AJ86,0)</f>
        <v>427.71846999999997</v>
      </c>
      <c r="O92" s="271">
        <f t="shared" si="5"/>
        <v>1136.408643</v>
      </c>
      <c r="P92" s="59">
        <f t="shared" si="6"/>
        <v>1434.175643</v>
      </c>
      <c r="Q92" s="272">
        <f t="shared" si="7"/>
        <v>1577.5932073000001</v>
      </c>
      <c r="R92" s="40">
        <f>'Tariffs Jul2017'!AM86</f>
        <v>0</v>
      </c>
      <c r="S92" s="40">
        <f>'Tariffs Jul2017'!AN86</f>
        <v>0</v>
      </c>
      <c r="T92" s="40">
        <f>'Tariffs Jul2017'!AO86</f>
        <v>0</v>
      </c>
      <c r="U92" s="40">
        <f>'Tariffs Jul2017'!AP86</f>
        <v>13</v>
      </c>
      <c r="V92" s="273">
        <f t="shared" si="8"/>
        <v>1434.175643</v>
      </c>
      <c r="W92" s="273">
        <f>V92-(O92*U92/100)</f>
        <v>1286.4425194099999</v>
      </c>
      <c r="X92" s="272">
        <f t="shared" si="9"/>
        <v>1577.5932073000001</v>
      </c>
      <c r="Y92" s="272">
        <f t="shared" si="9"/>
        <v>1415.0867713510002</v>
      </c>
      <c r="Z92" s="274">
        <f>'Tariffs Jul2017'!AW86</f>
        <v>0</v>
      </c>
      <c r="AA92" s="274" t="str">
        <f>'Tariffs Jul2017'!AX86</f>
        <v>n</v>
      </c>
      <c r="AB92" s="275" t="str">
        <f>'Tariffs Jul2017'!BD86</f>
        <v>N</v>
      </c>
      <c r="AC92" s="317"/>
      <c r="AD92" s="317"/>
      <c r="AE92" s="317"/>
      <c r="AF92" s="317"/>
      <c r="AG92" s="317"/>
      <c r="AH92" s="317"/>
      <c r="AI92" s="317"/>
      <c r="AJ92" s="317"/>
      <c r="AK92" s="317"/>
      <c r="AL92" s="317"/>
      <c r="AM92" s="317"/>
      <c r="AN92" s="317"/>
    </row>
    <row r="93" spans="1:40" x14ac:dyDescent="0.15">
      <c r="A93" s="270" t="str">
        <f>'Tariffs Jul2017'!F87</f>
        <v>Red Energy</v>
      </c>
      <c r="B93" s="40" t="str">
        <f>'Tariffs Jul2017'!D87</f>
        <v>Ausnet Central 1</v>
      </c>
      <c r="C93" s="40" t="str">
        <f>'Tariffs Jul2017'!G87</f>
        <v>Living Energy Saver</v>
      </c>
      <c r="D93" s="59">
        <f>365*'Tariffs Jul2017'!H87/100</f>
        <v>306.60000000000002</v>
      </c>
      <c r="E93" s="59">
        <f>IF($C$5*'Tariffs Jul2017'!AK87/'Tariffs Jul2017'!AI87&gt;='Tariffs Jul2017'!J87,( 'Tariffs Jul2017'!J87*'Tariffs Jul2017'!O87/100)* 'Tariffs Jul2017'!AI87,($C$5*'Tariffs Jul2017'!AK87/'Tariffs Jul2017'!AI87*'Tariffs Jul2017'!O87/100)* 'Tariffs Jul2017'!AI87)</f>
        <v>168.83199999999999</v>
      </c>
      <c r="F93" s="59">
        <f>IF($C$5*'Tariffs Jul2017'!AK87/'Tariffs Jul2017'!AI87&lt;'Tariffs Jul2017'!J87,0,IF($C$5*'Tariffs Jul2017'!AK87/'Tariffs Jul2017'!AI87&lt;='Tariffs Jul2017'!K87,($C$5*'Tariffs Jul2017'!AK87/'Tariffs Jul2017'!AI87-'Tariffs Jul2017'!J87)*('Tariffs Jul2017'!P87/100)*'Tariffs Jul2017'!AI87,('Tariffs Jul2017'!K87-'Tariffs Jul2017'!J87)*('Tariffs Jul2017'!P87/100)*'Tariffs Jul2017'!AI87))</f>
        <v>0</v>
      </c>
      <c r="G93" s="59">
        <f>IF($C$5*'Tariffs Jul2017'!AK87/'Tariffs Jul2017'!AI87&lt;'Tariffs Jul2017'!K87,0,IF($C$5*'Tariffs Jul2017'!AK87/'Tariffs Jul2017'!AI87&lt;='Tariffs Jul2017'!L87,($C$5*'Tariffs Jul2017'!AK87/'Tariffs Jul2017'!AI87-'Tariffs Jul2017'!K87)*('Tariffs Jul2017'!Q87/100)*'Tariffs Jul2017'!AI87,('Tariffs Jul2017'!L87-'Tariffs Jul2017'!K87)*('Tariffs Jul2017'!Q87/100)*'Tariffs Jul2017'!AI87))</f>
        <v>0</v>
      </c>
      <c r="H93" s="59">
        <f>IF($C$5*'Tariffs Jul2017'!AK87/'Tariffs Jul2017'!AI87&lt;'Tariffs Jul2017'!L87,0,IF($C$5*'Tariffs Jul2017'!AK87/'Tariffs Jul2017'!AI87&lt;='Tariffs Jul2017'!M87,($C$5*'Tariffs Jul2017'!AK87/'Tariffs Jul2017'!AI87-'Tariffs Jul2017'!L87)*('Tariffs Jul2017'!R87/100)*'Tariffs Jul2017'!AI87,('Tariffs Jul2017'!M87-'Tariffs Jul2017'!L87)*('Tariffs Jul2017'!R87/100)*'Tariffs Jul2017'!AI87))</f>
        <v>0</v>
      </c>
      <c r="I93" s="59">
        <f>IF(($C$5*'Tariffs Jul2017'!AK87/'Tariffs Jul2017'!AI87&gt;'Tariffs Jul2017'!M87),($C$5*'Tariffs Jul2017'!AK87/'Tariffs Jul2017'!AI87-'Tariffs Jul2017'!M87)*'Tariffs Jul2017'!S87/100*'Tariffs Jul2017'!AI87,0)</f>
        <v>254.29541799999996</v>
      </c>
      <c r="J93" s="59">
        <f>IF($C$5*'Tariffs Jul2017'!AL87/'Tariffs Jul2017'!AJ87&gt;='Tariffs Jul2017'!J87,('Tariffs Jul2017'!J87*'Tariffs Jul2017'!U87/100)* 'Tariffs Jul2017'!AJ87,($C$5*'Tariffs Jul2017'!AL87/'Tariffs Jul2017'!AJ87*'Tariffs Jul2017'!U87/100)* 'Tariffs Jul2017'!AJ87)</f>
        <v>222.59200000000001</v>
      </c>
      <c r="K93" s="59">
        <f>IF($C$5*'Tariffs Jul2017'!AL87/'Tariffs Jul2017'!AJ87&lt;'Tariffs Jul2017'!J87,0,IF($C$5*'Tariffs Jul2017'!AL87/'Tariffs Jul2017'!AJ87&lt;='Tariffs Jul2017'!K87,($C$5*'Tariffs Jul2017'!AL87/'Tariffs Jul2017'!AJ87-'Tariffs Jul2017'!J87)*('Tariffs Jul2017'!V87/100)*'Tariffs Jul2017'!AJ87,('Tariffs Jul2017'!K87-'Tariffs Jul2017'!J87)*('Tariffs Jul2017'!V87/100)*'Tariffs Jul2017'!AJ87))</f>
        <v>0</v>
      </c>
      <c r="L93" s="59">
        <f>IF($C$5*'Tariffs Jul2017'!AL87/'Tariffs Jul2017'!AJ87&lt;'Tariffs Jul2017'!K87,0,IF($C$5*'Tariffs Jul2017'!AL87/'Tariffs Jul2017'!AJ87&lt;='Tariffs Jul2017'!L87,($C$5*'Tariffs Jul2017'!AL87/'Tariffs Jul2017'!AJ87-'Tariffs Jul2017'!K87)*('Tariffs Jul2017'!W87/100)*'Tariffs Jul2017'!AJ87,('Tariffs Jul2017'!L87-'Tariffs Jul2017'!K87)*('Tariffs Jul2017'!W87/100)*'Tariffs Jul2017'!AJ87))</f>
        <v>0</v>
      </c>
      <c r="M93" s="59">
        <f>IF($C$5*'Tariffs Jul2017'!AL87/'Tariffs Jul2017'!AJ87&lt;'Tariffs Jul2017'!L87,0,IF($C$5*'Tariffs Jul2017'!AL87/'Tariffs Jul2017'!AJ87&lt;='Tariffs Jul2017'!M87,($C$5*'Tariffs Jul2017'!AL87/'Tariffs Jul2017'!AJ87-'Tariffs Jul2017'!L87)*('Tariffs Jul2017'!X87/100)*'Tariffs Jul2017'!AJ87,('Tariffs Jul2017'!M87-'Tariffs Jul2017'!L87)*('Tariffs Jul2017'!X87/100)*'Tariffs Jul2017'!AJ87))</f>
        <v>0</v>
      </c>
      <c r="N93" s="59">
        <f>IF(($C$5*'Tariffs Jul2017'!AL87/'Tariffs Jul2017'!AJ87&gt;'Tariffs Jul2017'!M87),($C$5*'Tariffs Jul2017'!AL87/'Tariffs Jul2017'!AJ87-'Tariffs Jul2017'!M87)*'Tariffs Jul2017'!Y87/100*'Tariffs Jul2017'!AJ87,0)</f>
        <v>461.0016819999999</v>
      </c>
      <c r="O93" s="271">
        <f t="shared" si="5"/>
        <v>1106.7210999999998</v>
      </c>
      <c r="P93" s="59">
        <f t="shared" si="6"/>
        <v>1413.3210999999997</v>
      </c>
      <c r="Q93" s="272">
        <f t="shared" si="7"/>
        <v>1554.6532099999997</v>
      </c>
      <c r="R93" s="40">
        <f>'Tariffs Jul2017'!AM87</f>
        <v>0</v>
      </c>
      <c r="S93" s="40">
        <f>'Tariffs Jul2017'!AN87</f>
        <v>0</v>
      </c>
      <c r="T93" s="40">
        <f>'Tariffs Jul2017'!AO87</f>
        <v>10</v>
      </c>
      <c r="U93" s="40">
        <f>'Tariffs Jul2017'!AP87</f>
        <v>0</v>
      </c>
      <c r="V93" s="273">
        <f t="shared" si="8"/>
        <v>1413.3210999999997</v>
      </c>
      <c r="W93" s="273">
        <f>V93-(P93*T93/100)</f>
        <v>1271.9889899999998</v>
      </c>
      <c r="X93" s="272">
        <f t="shared" si="9"/>
        <v>1554.6532099999997</v>
      </c>
      <c r="Y93" s="272">
        <f t="shared" si="9"/>
        <v>1399.1878889999998</v>
      </c>
      <c r="Z93" s="274">
        <f>'Tariffs Jul2017'!AW87</f>
        <v>0</v>
      </c>
      <c r="AA93" s="274" t="str">
        <f>'Tariffs Jul2017'!AX87</f>
        <v>n</v>
      </c>
      <c r="AB93" s="275" t="str">
        <f>'Tariffs Jul2017'!BD87</f>
        <v>Y</v>
      </c>
      <c r="AC93" s="317"/>
      <c r="AD93" s="317"/>
      <c r="AE93" s="317"/>
      <c r="AF93" s="317"/>
      <c r="AG93" s="317"/>
      <c r="AH93" s="317"/>
      <c r="AI93" s="317"/>
      <c r="AJ93" s="317"/>
      <c r="AK93" s="317"/>
      <c r="AL93" s="317"/>
      <c r="AM93" s="317"/>
      <c r="AN93" s="317"/>
    </row>
    <row r="94" spans="1:40" ht="14" thickBot="1" x14ac:dyDescent="0.2">
      <c r="A94" s="286" t="str">
        <f>'Tariffs Jul2017'!F88</f>
        <v>Simply Energy</v>
      </c>
      <c r="B94" s="287" t="str">
        <f>'Tariffs Jul2017'!D88</f>
        <v>Ausnet Central 1</v>
      </c>
      <c r="C94" s="287" t="str">
        <f>'Tariffs Jul2017'!G88</f>
        <v>Plus</v>
      </c>
      <c r="D94" s="288">
        <f>365*'Tariffs Jul2017'!H88/100</f>
        <v>291.67149999999998</v>
      </c>
      <c r="E94" s="288">
        <f>IF($C$5*'Tariffs Jul2017'!AK88/'Tariffs Jul2017'!AI88&gt;='Tariffs Jul2017'!J88,( 'Tariffs Jul2017'!J88*'Tariffs Jul2017'!O88/100)* 'Tariffs Jul2017'!AI88,($C$5*'Tariffs Jul2017'!AK88/'Tariffs Jul2017'!AI88*'Tariffs Jul2017'!O88/100)* 'Tariffs Jul2017'!AI88)</f>
        <v>262.8</v>
      </c>
      <c r="F94" s="288">
        <f>IF($C$5*'Tariffs Jul2017'!AK88/'Tariffs Jul2017'!AI88&lt;'Tariffs Jul2017'!J88,0,IF($C$5*'Tariffs Jul2017'!AK88/'Tariffs Jul2017'!AI88&lt;='Tariffs Jul2017'!K88,($C$5*'Tariffs Jul2017'!AK88/'Tariffs Jul2017'!AI88-'Tariffs Jul2017'!J88)*('Tariffs Jul2017'!P88/100)*'Tariffs Jul2017'!AI88,('Tariffs Jul2017'!K88-'Tariffs Jul2017'!J88)*('Tariffs Jul2017'!P88/100)*'Tariffs Jul2017'!AI88))</f>
        <v>193.45484999999994</v>
      </c>
      <c r="G94" s="288">
        <f>IF($C$5*'Tariffs Jul2017'!AK88/'Tariffs Jul2017'!AI88&lt;'Tariffs Jul2017'!K88,0,IF($C$5*'Tariffs Jul2017'!AK88/'Tariffs Jul2017'!AI88&lt;='Tariffs Jul2017'!L88,($C$5*'Tariffs Jul2017'!AK88/'Tariffs Jul2017'!AI88-'Tariffs Jul2017'!K88)*('Tariffs Jul2017'!Q88/100)*'Tariffs Jul2017'!AI88,('Tariffs Jul2017'!L88-'Tariffs Jul2017'!K88)*('Tariffs Jul2017'!Q88/100)*'Tariffs Jul2017'!AI88))</f>
        <v>0</v>
      </c>
      <c r="H94" s="288">
        <f>IF($C$5*'Tariffs Jul2017'!AK88/'Tariffs Jul2017'!AI88&lt;'Tariffs Jul2017'!L88,0,IF($C$5*'Tariffs Jul2017'!AK88/'Tariffs Jul2017'!AI88&lt;='Tariffs Jul2017'!M88,($C$5*'Tariffs Jul2017'!AK88/'Tariffs Jul2017'!AI88-'Tariffs Jul2017'!L88)*('Tariffs Jul2017'!R88/100)*'Tariffs Jul2017'!AI88,('Tariffs Jul2017'!M88-'Tariffs Jul2017'!L88)*('Tariffs Jul2017'!R88/100)*'Tariffs Jul2017'!AI88))</f>
        <v>0</v>
      </c>
      <c r="I94" s="288">
        <f>IF(($C$5*'Tariffs Jul2017'!AK88/'Tariffs Jul2017'!AI88&gt;'Tariffs Jul2017'!M88),($C$5*'Tariffs Jul2017'!AK88/'Tariffs Jul2017'!AI88-'Tariffs Jul2017'!M88)*'Tariffs Jul2017'!S88/100*'Tariffs Jul2017'!AI88,0)</f>
        <v>0</v>
      </c>
      <c r="J94" s="288">
        <f>IF($C$5*'Tariffs Jul2017'!AL88/'Tariffs Jul2017'!AJ88&gt;='Tariffs Jul2017'!J88,('Tariffs Jul2017'!J88*'Tariffs Jul2017'!U88/100)* 'Tariffs Jul2017'!AJ88,($C$5*'Tariffs Jul2017'!AL88/'Tariffs Jul2017'!AJ88*'Tariffs Jul2017'!U88/100)* 'Tariffs Jul2017'!AJ88)</f>
        <v>403.2</v>
      </c>
      <c r="K94" s="288">
        <f>IF($C$5*'Tariffs Jul2017'!AL88/'Tariffs Jul2017'!AJ88&lt;'Tariffs Jul2017'!J88,0,IF($C$5*'Tariffs Jul2017'!AL88/'Tariffs Jul2017'!AJ88&lt;='Tariffs Jul2017'!K88,($C$5*'Tariffs Jul2017'!AL88/'Tariffs Jul2017'!AJ88-'Tariffs Jul2017'!J88)*('Tariffs Jul2017'!V88/100)*'Tariffs Jul2017'!AJ88,('Tariffs Jul2017'!K88-'Tariffs Jul2017'!J88)*('Tariffs Jul2017'!V88/100)*'Tariffs Jul2017'!AJ88))</f>
        <v>289.73237999999992</v>
      </c>
      <c r="L94" s="288">
        <f>IF($C$5*'Tariffs Jul2017'!AL88/'Tariffs Jul2017'!AJ88&lt;'Tariffs Jul2017'!K88,0,IF($C$5*'Tariffs Jul2017'!AL88/'Tariffs Jul2017'!AJ88&lt;='Tariffs Jul2017'!L88,($C$5*'Tariffs Jul2017'!AL88/'Tariffs Jul2017'!AJ88-'Tariffs Jul2017'!K88)*('Tariffs Jul2017'!W88/100)*'Tariffs Jul2017'!AJ88,('Tariffs Jul2017'!L88-'Tariffs Jul2017'!K88)*('Tariffs Jul2017'!W88/100)*'Tariffs Jul2017'!AJ88))</f>
        <v>0</v>
      </c>
      <c r="M94" s="288">
        <f>IF($C$5*'Tariffs Jul2017'!AL88/'Tariffs Jul2017'!AJ88&lt;'Tariffs Jul2017'!L88,0,IF($C$5*'Tariffs Jul2017'!AL88/'Tariffs Jul2017'!AJ88&lt;='Tariffs Jul2017'!M88,($C$5*'Tariffs Jul2017'!AL88/'Tariffs Jul2017'!AJ88-'Tariffs Jul2017'!L88)*('Tariffs Jul2017'!X88/100)*'Tariffs Jul2017'!AJ88,('Tariffs Jul2017'!M88-'Tariffs Jul2017'!L88)*('Tariffs Jul2017'!X88/100)*'Tariffs Jul2017'!AJ88))</f>
        <v>0</v>
      </c>
      <c r="N94" s="288">
        <f>IF(($C$5*'Tariffs Jul2017'!AL88/'Tariffs Jul2017'!AJ88&gt;'Tariffs Jul2017'!M88),($C$5*'Tariffs Jul2017'!AL88/'Tariffs Jul2017'!AJ88-'Tariffs Jul2017'!M88)*'Tariffs Jul2017'!Y88/100*'Tariffs Jul2017'!AJ88,0)</f>
        <v>0</v>
      </c>
      <c r="O94" s="289">
        <f t="shared" si="5"/>
        <v>1149.1872299999998</v>
      </c>
      <c r="P94" s="288">
        <f t="shared" si="6"/>
        <v>1440.8587299999997</v>
      </c>
      <c r="Q94" s="290">
        <f t="shared" si="7"/>
        <v>1584.9446029999997</v>
      </c>
      <c r="R94" s="287">
        <f>'Tariffs Jul2017'!AM88</f>
        <v>0</v>
      </c>
      <c r="S94" s="287">
        <f>'Tariffs Jul2017'!AN88</f>
        <v>0</v>
      </c>
      <c r="T94" s="287">
        <f>'Tariffs Jul2017'!AO88</f>
        <v>0</v>
      </c>
      <c r="U94" s="287">
        <f>'Tariffs Jul2017'!AP88</f>
        <v>20</v>
      </c>
      <c r="V94" s="273">
        <f t="shared" si="8"/>
        <v>1440.8587299999997</v>
      </c>
      <c r="W94" s="291">
        <f>V94-(O94*U94/100)</f>
        <v>1211.0212839999997</v>
      </c>
      <c r="X94" s="290">
        <f t="shared" si="9"/>
        <v>1584.9446029999997</v>
      </c>
      <c r="Y94" s="290">
        <f t="shared" si="9"/>
        <v>1332.1234123999998</v>
      </c>
      <c r="Z94" s="292">
        <f>'Tariffs Jul2017'!AW88</f>
        <v>24</v>
      </c>
      <c r="AA94" s="292" t="str">
        <f>'Tariffs Jul2017'!AX88</f>
        <v>n</v>
      </c>
      <c r="AB94" s="293" t="str">
        <f>'Tariffs Jul2017'!BD88</f>
        <v>Y</v>
      </c>
      <c r="AC94" s="317"/>
      <c r="AD94" s="317"/>
      <c r="AE94" s="317"/>
      <c r="AF94" s="317"/>
      <c r="AG94" s="317"/>
      <c r="AH94" s="317"/>
      <c r="AI94" s="317"/>
      <c r="AJ94" s="317"/>
      <c r="AK94" s="317"/>
      <c r="AL94" s="317"/>
      <c r="AM94" s="317"/>
      <c r="AN94" s="317"/>
    </row>
    <row r="95" spans="1:40" x14ac:dyDescent="0.15">
      <c r="A95" s="317"/>
      <c r="B95" s="317"/>
      <c r="C95" s="317"/>
      <c r="D95" s="317"/>
      <c r="E95" s="317"/>
      <c r="F95" s="317"/>
      <c r="G95" s="317"/>
      <c r="H95" s="317"/>
      <c r="I95" s="317"/>
      <c r="J95" s="317"/>
      <c r="K95" s="317"/>
      <c r="L95" s="317"/>
      <c r="M95" s="317"/>
      <c r="N95" s="317"/>
      <c r="O95" s="317"/>
      <c r="P95" s="317"/>
      <c r="Q95" s="317"/>
      <c r="R95" s="317"/>
      <c r="S95" s="317"/>
      <c r="T95" s="317"/>
      <c r="U95" s="317"/>
      <c r="V95" s="317"/>
      <c r="W95" s="317"/>
      <c r="X95" s="317"/>
      <c r="Y95" s="317"/>
      <c r="Z95" s="317"/>
      <c r="AA95" s="317"/>
      <c r="AB95" s="317"/>
      <c r="AC95" s="317"/>
      <c r="AD95" s="317"/>
      <c r="AE95" s="317"/>
      <c r="AF95" s="317"/>
      <c r="AG95" s="317"/>
      <c r="AH95" s="317"/>
      <c r="AI95" s="317"/>
      <c r="AJ95" s="317"/>
      <c r="AK95" s="317"/>
      <c r="AL95" s="317"/>
      <c r="AM95" s="317"/>
      <c r="AN95" s="317"/>
    </row>
    <row r="96" spans="1:40" x14ac:dyDescent="0.15">
      <c r="A96" s="317"/>
      <c r="B96" s="317"/>
      <c r="C96" s="317"/>
      <c r="D96" s="317"/>
      <c r="E96" s="317"/>
      <c r="F96" s="317"/>
      <c r="G96" s="317"/>
      <c r="H96" s="317"/>
      <c r="I96" s="317"/>
      <c r="J96" s="317"/>
      <c r="K96" s="317"/>
      <c r="L96" s="317"/>
      <c r="M96" s="317"/>
      <c r="N96" s="317"/>
      <c r="O96" s="317"/>
      <c r="P96" s="317"/>
      <c r="Q96" s="317"/>
      <c r="R96" s="317"/>
      <c r="S96" s="317"/>
      <c r="T96" s="317"/>
      <c r="U96" s="317"/>
      <c r="V96" s="317"/>
      <c r="W96" s="317"/>
      <c r="X96" s="317"/>
      <c r="Y96" s="317"/>
      <c r="Z96" s="317"/>
      <c r="AA96" s="317"/>
      <c r="AB96" s="317"/>
      <c r="AC96" s="317"/>
      <c r="AD96" s="317"/>
      <c r="AE96" s="317"/>
      <c r="AF96" s="317"/>
      <c r="AG96" s="317"/>
      <c r="AH96" s="317"/>
      <c r="AI96" s="317"/>
      <c r="AJ96" s="317"/>
      <c r="AK96" s="317"/>
      <c r="AL96" s="317"/>
      <c r="AM96" s="317"/>
      <c r="AN96" s="317"/>
    </row>
    <row r="97" spans="1:40" x14ac:dyDescent="0.15">
      <c r="A97" s="317"/>
      <c r="B97" s="317"/>
      <c r="C97" s="317"/>
      <c r="D97" s="317"/>
      <c r="E97" s="317"/>
      <c r="F97" s="317"/>
      <c r="G97" s="317"/>
      <c r="H97" s="317"/>
      <c r="I97" s="317"/>
      <c r="J97" s="317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317"/>
      <c r="AB97" s="317"/>
      <c r="AC97" s="317"/>
      <c r="AD97" s="317"/>
      <c r="AE97" s="317"/>
      <c r="AF97" s="317"/>
      <c r="AG97" s="317"/>
      <c r="AH97" s="317"/>
      <c r="AI97" s="317"/>
      <c r="AJ97" s="317"/>
      <c r="AK97" s="317"/>
      <c r="AL97" s="317"/>
      <c r="AM97" s="317"/>
      <c r="AN97" s="317"/>
    </row>
    <row r="98" spans="1:40" x14ac:dyDescent="0.15">
      <c r="A98" s="317"/>
      <c r="B98" s="317"/>
      <c r="C98" s="317"/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17"/>
      <c r="AI98" s="317"/>
      <c r="AJ98" s="317"/>
      <c r="AK98" s="317"/>
      <c r="AL98" s="317"/>
      <c r="AM98" s="317"/>
      <c r="AN98" s="317"/>
    </row>
    <row r="99" spans="1:40" x14ac:dyDescent="0.15">
      <c r="A99" s="317"/>
      <c r="B99" s="317"/>
      <c r="C99" s="317"/>
      <c r="D99" s="317"/>
      <c r="E99" s="317"/>
      <c r="F99" s="317"/>
      <c r="G99" s="317"/>
      <c r="H99" s="317"/>
      <c r="I99" s="317"/>
      <c r="J99" s="317"/>
      <c r="K99" s="317"/>
      <c r="L99" s="317"/>
      <c r="M99" s="317"/>
      <c r="N99" s="317"/>
      <c r="O99" s="317"/>
      <c r="P99" s="317"/>
      <c r="Q99" s="317"/>
      <c r="R99" s="317"/>
      <c r="S99" s="317"/>
      <c r="T99" s="317"/>
      <c r="U99" s="317"/>
      <c r="V99" s="317"/>
      <c r="W99" s="317"/>
      <c r="X99" s="317"/>
      <c r="Y99" s="317"/>
      <c r="Z99" s="317"/>
      <c r="AA99" s="317"/>
      <c r="AB99" s="317"/>
      <c r="AC99" s="317"/>
      <c r="AD99" s="317"/>
      <c r="AE99" s="317"/>
      <c r="AF99" s="317"/>
      <c r="AG99" s="317"/>
      <c r="AH99" s="317"/>
      <c r="AI99" s="317"/>
      <c r="AJ99" s="317"/>
      <c r="AK99" s="317"/>
      <c r="AL99" s="317"/>
      <c r="AM99" s="317"/>
      <c r="AN99" s="317"/>
    </row>
    <row r="100" spans="1:40" x14ac:dyDescent="0.15">
      <c r="A100" s="317"/>
      <c r="B100" s="317"/>
      <c r="C100" s="317"/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317"/>
      <c r="O100" s="317"/>
      <c r="P100" s="317"/>
      <c r="Q100" s="317"/>
      <c r="R100" s="317"/>
      <c r="S100" s="317"/>
      <c r="T100" s="317"/>
      <c r="U100" s="317"/>
      <c r="V100" s="317"/>
      <c r="W100" s="317"/>
      <c r="X100" s="317"/>
      <c r="Y100" s="317"/>
      <c r="Z100" s="317"/>
      <c r="AA100" s="317"/>
      <c r="AB100" s="317"/>
      <c r="AC100" s="317"/>
      <c r="AD100" s="317"/>
      <c r="AE100" s="317"/>
      <c r="AF100" s="317"/>
      <c r="AG100" s="317"/>
      <c r="AH100" s="317"/>
      <c r="AI100" s="317"/>
      <c r="AJ100" s="317"/>
      <c r="AK100" s="317"/>
      <c r="AL100" s="317"/>
      <c r="AM100" s="317"/>
      <c r="AN100" s="317"/>
    </row>
    <row r="101" spans="1:40" x14ac:dyDescent="0.15">
      <c r="A101" s="317"/>
      <c r="B101" s="317"/>
      <c r="C101" s="317"/>
      <c r="D101" s="317"/>
      <c r="E101" s="317"/>
      <c r="F101" s="317"/>
      <c r="G101" s="317"/>
      <c r="H101" s="317"/>
      <c r="I101" s="317"/>
      <c r="J101" s="317"/>
      <c r="K101" s="317"/>
      <c r="L101" s="317"/>
      <c r="M101" s="317"/>
      <c r="N101" s="317"/>
      <c r="O101" s="317"/>
      <c r="P101" s="317"/>
      <c r="Q101" s="317"/>
      <c r="R101" s="317"/>
      <c r="S101" s="317"/>
      <c r="T101" s="317"/>
      <c r="U101" s="317"/>
      <c r="V101" s="317"/>
      <c r="W101" s="317"/>
      <c r="X101" s="317"/>
      <c r="Y101" s="317"/>
      <c r="Z101" s="317"/>
      <c r="AA101" s="317"/>
      <c r="AB101" s="317"/>
      <c r="AC101" s="317"/>
      <c r="AD101" s="317"/>
      <c r="AE101" s="317"/>
      <c r="AF101" s="317"/>
      <c r="AG101" s="317"/>
      <c r="AH101" s="317"/>
      <c r="AI101" s="317"/>
      <c r="AJ101" s="317"/>
      <c r="AK101" s="317"/>
      <c r="AL101" s="317"/>
      <c r="AM101" s="317"/>
      <c r="AN101" s="317"/>
    </row>
    <row r="102" spans="1:40" x14ac:dyDescent="0.15">
      <c r="A102" s="317"/>
      <c r="B102" s="317"/>
      <c r="C102" s="317"/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317"/>
      <c r="O102" s="317"/>
      <c r="P102" s="317"/>
      <c r="Q102" s="317"/>
      <c r="R102" s="317"/>
      <c r="S102" s="317"/>
      <c r="T102" s="317"/>
      <c r="U102" s="317"/>
      <c r="V102" s="317"/>
      <c r="W102" s="317"/>
      <c r="X102" s="317"/>
      <c r="Y102" s="317"/>
      <c r="Z102" s="317"/>
      <c r="AA102" s="317"/>
      <c r="AB102" s="317"/>
      <c r="AC102" s="317"/>
      <c r="AD102" s="317"/>
      <c r="AE102" s="317"/>
      <c r="AF102" s="317"/>
      <c r="AG102" s="317"/>
      <c r="AH102" s="317"/>
      <c r="AI102" s="317"/>
      <c r="AJ102" s="317"/>
      <c r="AK102" s="317"/>
      <c r="AL102" s="317"/>
      <c r="AM102" s="317"/>
      <c r="AN102" s="317"/>
    </row>
    <row r="103" spans="1:40" x14ac:dyDescent="0.15">
      <c r="A103" s="317"/>
      <c r="B103" s="317"/>
      <c r="C103" s="317"/>
      <c r="D103" s="317"/>
      <c r="E103" s="317"/>
      <c r="F103" s="317"/>
      <c r="G103" s="317"/>
      <c r="H103" s="317"/>
      <c r="I103" s="317"/>
      <c r="J103" s="317"/>
      <c r="K103" s="317"/>
      <c r="L103" s="317"/>
      <c r="M103" s="317"/>
      <c r="N103" s="317"/>
      <c r="O103" s="317"/>
      <c r="P103" s="317"/>
      <c r="Q103" s="317"/>
      <c r="R103" s="317"/>
      <c r="S103" s="317"/>
      <c r="T103" s="317"/>
      <c r="U103" s="317"/>
      <c r="V103" s="317"/>
      <c r="W103" s="317"/>
      <c r="X103" s="317"/>
      <c r="Y103" s="317"/>
      <c r="Z103" s="317"/>
      <c r="AA103" s="317"/>
      <c r="AB103" s="317"/>
      <c r="AC103" s="317"/>
      <c r="AD103" s="317"/>
      <c r="AE103" s="317"/>
      <c r="AF103" s="317"/>
      <c r="AG103" s="317"/>
      <c r="AH103" s="317"/>
      <c r="AI103" s="317"/>
      <c r="AJ103" s="317"/>
      <c r="AK103" s="317"/>
      <c r="AL103" s="317"/>
      <c r="AM103" s="317"/>
      <c r="AN103" s="317"/>
    </row>
    <row r="104" spans="1:40" x14ac:dyDescent="0.15">
      <c r="A104" s="317"/>
      <c r="B104" s="317"/>
      <c r="C104" s="317"/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317"/>
      <c r="O104" s="317"/>
      <c r="P104" s="317"/>
      <c r="Q104" s="317"/>
      <c r="R104" s="317"/>
      <c r="S104" s="317"/>
      <c r="T104" s="317"/>
      <c r="U104" s="317"/>
      <c r="V104" s="317"/>
      <c r="W104" s="317"/>
      <c r="X104" s="317"/>
      <c r="Y104" s="317"/>
      <c r="Z104" s="317"/>
      <c r="AA104" s="317"/>
      <c r="AB104" s="317"/>
      <c r="AC104" s="317"/>
      <c r="AD104" s="317"/>
      <c r="AE104" s="317"/>
      <c r="AF104" s="317"/>
      <c r="AG104" s="317"/>
      <c r="AH104" s="317"/>
      <c r="AI104" s="317"/>
      <c r="AJ104" s="317"/>
      <c r="AK104" s="317"/>
      <c r="AL104" s="317"/>
      <c r="AM104" s="317"/>
      <c r="AN104" s="317"/>
    </row>
    <row r="105" spans="1:40" x14ac:dyDescent="0.15">
      <c r="A105" s="317"/>
      <c r="B105" s="317"/>
      <c r="C105" s="317"/>
      <c r="D105" s="317"/>
      <c r="E105" s="317"/>
      <c r="F105" s="317"/>
      <c r="G105" s="317"/>
      <c r="H105" s="317"/>
      <c r="I105" s="317"/>
      <c r="J105" s="317"/>
      <c r="K105" s="317"/>
      <c r="L105" s="317"/>
      <c r="M105" s="317"/>
      <c r="N105" s="317"/>
      <c r="O105" s="317"/>
      <c r="P105" s="317"/>
      <c r="Q105" s="317"/>
      <c r="R105" s="317"/>
      <c r="S105" s="317"/>
      <c r="T105" s="317"/>
      <c r="U105" s="317"/>
      <c r="V105" s="317"/>
      <c r="W105" s="317"/>
      <c r="X105" s="317"/>
      <c r="Y105" s="317"/>
      <c r="Z105" s="317"/>
      <c r="AA105" s="317"/>
      <c r="AB105" s="317"/>
      <c r="AC105" s="317"/>
      <c r="AD105" s="317"/>
      <c r="AE105" s="317"/>
      <c r="AF105" s="317"/>
      <c r="AG105" s="317"/>
      <c r="AH105" s="317"/>
      <c r="AI105" s="317"/>
      <c r="AJ105" s="317"/>
      <c r="AK105" s="317"/>
      <c r="AL105" s="317"/>
      <c r="AM105" s="317"/>
      <c r="AN105" s="317"/>
    </row>
    <row r="106" spans="1:40" x14ac:dyDescent="0.15">
      <c r="A106" s="317"/>
      <c r="B106" s="317"/>
      <c r="C106" s="317"/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317"/>
      <c r="O106" s="317"/>
      <c r="P106" s="317"/>
      <c r="Q106" s="317"/>
      <c r="R106" s="317"/>
      <c r="S106" s="317"/>
      <c r="T106" s="317"/>
      <c r="U106" s="317"/>
      <c r="V106" s="317"/>
      <c r="W106" s="317"/>
      <c r="X106" s="317"/>
      <c r="Y106" s="317"/>
      <c r="Z106" s="317"/>
      <c r="AA106" s="317"/>
      <c r="AB106" s="317"/>
      <c r="AC106" s="317"/>
      <c r="AD106" s="317"/>
      <c r="AE106" s="317"/>
      <c r="AF106" s="317"/>
      <c r="AG106" s="317"/>
      <c r="AH106" s="317"/>
      <c r="AI106" s="317"/>
      <c r="AJ106" s="317"/>
      <c r="AK106" s="317"/>
      <c r="AL106" s="317"/>
      <c r="AM106" s="317"/>
      <c r="AN106" s="317"/>
    </row>
    <row r="107" spans="1:40" x14ac:dyDescent="0.15">
      <c r="A107" s="317"/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</row>
    <row r="108" spans="1:40" x14ac:dyDescent="0.15">
      <c r="A108" s="317"/>
      <c r="B108" s="317"/>
      <c r="C108" s="317"/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317"/>
      <c r="O108" s="317"/>
      <c r="P108" s="317"/>
      <c r="Q108" s="317"/>
      <c r="R108" s="317"/>
      <c r="S108" s="317"/>
      <c r="T108" s="317"/>
      <c r="U108" s="317"/>
      <c r="V108" s="317"/>
      <c r="W108" s="317"/>
      <c r="X108" s="317"/>
      <c r="Y108" s="317"/>
      <c r="Z108" s="317"/>
      <c r="AA108" s="317"/>
      <c r="AB108" s="317"/>
      <c r="AC108" s="317"/>
      <c r="AD108" s="317"/>
      <c r="AE108" s="317"/>
      <c r="AF108" s="317"/>
      <c r="AG108" s="317"/>
      <c r="AH108" s="317"/>
      <c r="AI108" s="317"/>
      <c r="AJ108" s="317"/>
      <c r="AK108" s="317"/>
      <c r="AL108" s="317"/>
      <c r="AM108" s="317"/>
      <c r="AN108" s="317"/>
    </row>
    <row r="109" spans="1:40" x14ac:dyDescent="0.15">
      <c r="A109" s="317"/>
      <c r="B109" s="317"/>
      <c r="C109" s="317"/>
      <c r="D109" s="317"/>
      <c r="E109" s="317"/>
      <c r="F109" s="317"/>
      <c r="G109" s="317"/>
      <c r="H109" s="317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  <c r="S109" s="317"/>
      <c r="T109" s="317"/>
      <c r="U109" s="317"/>
      <c r="V109" s="317"/>
      <c r="W109" s="317"/>
      <c r="X109" s="317"/>
      <c r="Y109" s="317"/>
      <c r="Z109" s="317"/>
      <c r="AA109" s="317"/>
      <c r="AB109" s="317"/>
      <c r="AC109" s="317"/>
      <c r="AD109" s="317"/>
      <c r="AE109" s="317"/>
      <c r="AF109" s="317"/>
      <c r="AG109" s="317"/>
      <c r="AH109" s="317"/>
      <c r="AI109" s="317"/>
      <c r="AJ109" s="317"/>
      <c r="AK109" s="317"/>
      <c r="AL109" s="317"/>
      <c r="AM109" s="317"/>
      <c r="AN109" s="317"/>
    </row>
    <row r="110" spans="1:40" x14ac:dyDescent="0.15">
      <c r="A110" s="317"/>
      <c r="B110" s="317"/>
      <c r="C110" s="317"/>
      <c r="D110" s="317"/>
      <c r="E110" s="317"/>
      <c r="F110" s="317"/>
      <c r="G110" s="317"/>
      <c r="H110" s="317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  <c r="S110" s="317"/>
      <c r="T110" s="317"/>
      <c r="U110" s="317"/>
      <c r="V110" s="317"/>
      <c r="W110" s="317"/>
      <c r="X110" s="317"/>
      <c r="Y110" s="317"/>
      <c r="Z110" s="317"/>
      <c r="AA110" s="317"/>
      <c r="AB110" s="317"/>
      <c r="AC110" s="317"/>
      <c r="AD110" s="317"/>
      <c r="AE110" s="317"/>
      <c r="AF110" s="317"/>
      <c r="AG110" s="317"/>
      <c r="AH110" s="317"/>
      <c r="AI110" s="317"/>
      <c r="AJ110" s="317"/>
      <c r="AK110" s="317"/>
      <c r="AL110" s="317"/>
      <c r="AM110" s="317"/>
      <c r="AN110" s="317"/>
    </row>
    <row r="111" spans="1:40" x14ac:dyDescent="0.15">
      <c r="A111" s="317"/>
      <c r="B111" s="317"/>
      <c r="C111" s="317"/>
      <c r="D111" s="317"/>
      <c r="E111" s="317"/>
      <c r="F111" s="317"/>
      <c r="G111" s="317"/>
      <c r="H111" s="317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  <c r="S111" s="317"/>
      <c r="T111" s="317"/>
      <c r="U111" s="317"/>
      <c r="V111" s="317"/>
      <c r="W111" s="317"/>
      <c r="X111" s="317"/>
      <c r="Y111" s="317"/>
      <c r="Z111" s="317"/>
      <c r="AA111" s="317"/>
      <c r="AB111" s="317"/>
      <c r="AC111" s="317"/>
      <c r="AD111" s="317"/>
      <c r="AE111" s="317"/>
      <c r="AF111" s="317"/>
      <c r="AG111" s="317"/>
      <c r="AH111" s="317"/>
      <c r="AI111" s="317"/>
      <c r="AJ111" s="317"/>
      <c r="AK111" s="317"/>
      <c r="AL111" s="317"/>
      <c r="AM111" s="317"/>
      <c r="AN111" s="317"/>
    </row>
    <row r="112" spans="1:40" x14ac:dyDescent="0.15">
      <c r="A112" s="317"/>
      <c r="B112" s="317"/>
      <c r="C112" s="317"/>
      <c r="D112" s="317"/>
      <c r="E112" s="317"/>
      <c r="F112" s="317"/>
      <c r="G112" s="317"/>
      <c r="H112" s="317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7"/>
      <c r="V112" s="317"/>
      <c r="W112" s="317"/>
      <c r="X112" s="317"/>
      <c r="Y112" s="317"/>
      <c r="Z112" s="317"/>
      <c r="AA112" s="317"/>
      <c r="AB112" s="317"/>
      <c r="AC112" s="317"/>
      <c r="AD112" s="317"/>
      <c r="AE112" s="317"/>
      <c r="AF112" s="317"/>
      <c r="AG112" s="317"/>
      <c r="AH112" s="317"/>
      <c r="AI112" s="317"/>
      <c r="AJ112" s="317"/>
      <c r="AK112" s="317"/>
      <c r="AL112" s="317"/>
      <c r="AM112" s="317"/>
      <c r="AN112" s="317"/>
    </row>
    <row r="113" spans="1:40" x14ac:dyDescent="0.15">
      <c r="A113" s="317"/>
      <c r="B113" s="317"/>
      <c r="C113" s="317"/>
      <c r="D113" s="317"/>
      <c r="E113" s="317"/>
      <c r="F113" s="317"/>
      <c r="G113" s="317"/>
      <c r="H113" s="317"/>
      <c r="I113" s="317"/>
      <c r="J113" s="317"/>
      <c r="K113" s="317"/>
      <c r="L113" s="317"/>
      <c r="M113" s="317"/>
      <c r="N113" s="317"/>
      <c r="O113" s="317"/>
      <c r="P113" s="317"/>
      <c r="Q113" s="317"/>
      <c r="R113" s="317"/>
      <c r="S113" s="317"/>
      <c r="T113" s="317"/>
      <c r="U113" s="317"/>
      <c r="V113" s="317"/>
      <c r="W113" s="317"/>
      <c r="X113" s="317"/>
      <c r="Y113" s="317"/>
      <c r="Z113" s="317"/>
      <c r="AA113" s="317"/>
      <c r="AB113" s="317"/>
      <c r="AC113" s="317"/>
      <c r="AD113" s="317"/>
      <c r="AE113" s="317"/>
      <c r="AF113" s="317"/>
      <c r="AG113" s="317"/>
      <c r="AH113" s="317"/>
      <c r="AI113" s="317"/>
      <c r="AJ113" s="317"/>
      <c r="AK113" s="317"/>
      <c r="AL113" s="317"/>
      <c r="AM113" s="317"/>
      <c r="AN113" s="317"/>
    </row>
    <row r="114" spans="1:40" x14ac:dyDescent="0.15">
      <c r="A114" s="317"/>
      <c r="B114" s="317"/>
      <c r="C114" s="317"/>
      <c r="D114" s="317"/>
      <c r="E114" s="317"/>
      <c r="F114" s="317"/>
      <c r="G114" s="317"/>
      <c r="H114" s="317"/>
      <c r="I114" s="317"/>
      <c r="J114" s="317"/>
      <c r="K114" s="317"/>
      <c r="L114" s="317"/>
      <c r="M114" s="317"/>
      <c r="N114" s="317"/>
      <c r="O114" s="317"/>
      <c r="P114" s="317"/>
      <c r="Q114" s="317"/>
      <c r="R114" s="317"/>
      <c r="S114" s="317"/>
      <c r="T114" s="317"/>
      <c r="U114" s="317"/>
      <c r="V114" s="317"/>
      <c r="W114" s="317"/>
      <c r="X114" s="317"/>
      <c r="Y114" s="317"/>
      <c r="Z114" s="317"/>
      <c r="AA114" s="317"/>
      <c r="AB114" s="317"/>
      <c r="AC114" s="317"/>
      <c r="AD114" s="317"/>
      <c r="AE114" s="317"/>
      <c r="AF114" s="317"/>
      <c r="AG114" s="317"/>
      <c r="AH114" s="317"/>
      <c r="AI114" s="317"/>
      <c r="AJ114" s="317"/>
      <c r="AK114" s="317"/>
      <c r="AL114" s="317"/>
      <c r="AM114" s="317"/>
      <c r="AN114" s="317"/>
    </row>
    <row r="115" spans="1:40" x14ac:dyDescent="0.15">
      <c r="A115" s="317"/>
      <c r="B115" s="317"/>
      <c r="C115" s="317"/>
      <c r="D115" s="317"/>
      <c r="E115" s="317"/>
      <c r="F115" s="317"/>
      <c r="G115" s="317"/>
      <c r="H115" s="317"/>
      <c r="I115" s="317"/>
      <c r="J115" s="317"/>
      <c r="K115" s="317"/>
      <c r="L115" s="317"/>
      <c r="M115" s="317"/>
      <c r="N115" s="317"/>
      <c r="O115" s="317"/>
      <c r="P115" s="317"/>
      <c r="Q115" s="317"/>
      <c r="R115" s="317"/>
      <c r="S115" s="317"/>
      <c r="T115" s="317"/>
      <c r="U115" s="317"/>
      <c r="V115" s="317"/>
      <c r="W115" s="317"/>
      <c r="X115" s="317"/>
      <c r="Y115" s="317"/>
      <c r="Z115" s="317"/>
      <c r="AA115" s="317"/>
      <c r="AB115" s="317"/>
      <c r="AC115" s="317"/>
      <c r="AD115" s="317"/>
      <c r="AE115" s="317"/>
      <c r="AF115" s="317"/>
      <c r="AG115" s="317"/>
      <c r="AH115" s="317"/>
      <c r="AI115" s="317"/>
      <c r="AJ115" s="317"/>
      <c r="AK115" s="317"/>
      <c r="AL115" s="317"/>
      <c r="AM115" s="317"/>
      <c r="AN115" s="317"/>
    </row>
  </sheetData>
  <sheetProtection algorithmName="SHA-512" hashValue="+yZQbTdea39Ss64bQyBmncwKlZ8ywVTWS3stlmx1iWJej9lgULAprgdtQlFsJgdXMnkp7F6em8aHOa4kqiOEvA==" saltValue="IWGvho+a0WRe0CJNnIby8w==" spinCount="100000" sheet="1" objects="1" scenarios="1"/>
  <phoneticPr fontId="20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AN114"/>
  <sheetViews>
    <sheetView workbookViewId="0">
      <selection activeCell="J88" sqref="J88"/>
    </sheetView>
  </sheetViews>
  <sheetFormatPr baseColWidth="10" defaultColWidth="10.83203125" defaultRowHeight="13" x14ac:dyDescent="0.15"/>
  <cols>
    <col min="1" max="1" width="17.33203125" customWidth="1"/>
    <col min="2" max="2" width="17.1640625" customWidth="1"/>
    <col min="3" max="3" width="16.83203125" bestFit="1" customWidth="1"/>
    <col min="4" max="14" width="14.1640625" customWidth="1"/>
    <col min="15" max="15" width="12.33203125" hidden="1" customWidth="1"/>
    <col min="16" max="16" width="14.1640625" hidden="1" customWidth="1"/>
    <col min="17" max="21" width="14.1640625" customWidth="1"/>
    <col min="22" max="23" width="12.33203125" hidden="1" customWidth="1"/>
    <col min="24" max="27" width="14.1640625" customWidth="1"/>
    <col min="28" max="38" width="12.33203125" customWidth="1"/>
  </cols>
  <sheetData>
    <row r="1" spans="1:40" ht="14" x14ac:dyDescent="0.15">
      <c r="A1" s="304" t="s">
        <v>722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</row>
    <row r="2" spans="1:40" ht="14" x14ac:dyDescent="0.15">
      <c r="A2" s="306" t="s">
        <v>723</v>
      </c>
      <c r="B2" s="306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</row>
    <row r="3" spans="1:40" ht="15" thickBot="1" x14ac:dyDescent="0.2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7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</row>
    <row r="4" spans="1:40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6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</row>
    <row r="5" spans="1:40" ht="14" x14ac:dyDescent="0.15">
      <c r="A5" s="267" t="s">
        <v>1394</v>
      </c>
      <c r="B5" s="268"/>
      <c r="C5" s="294">
        <v>40000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9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</row>
    <row r="6" spans="1:40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9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</row>
    <row r="7" spans="1:40" ht="75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493" t="s">
        <v>572</v>
      </c>
      <c r="P7" s="494" t="s">
        <v>573</v>
      </c>
      <c r="Q7" s="493" t="s">
        <v>574</v>
      </c>
      <c r="R7" s="495" t="s">
        <v>575</v>
      </c>
      <c r="S7" s="496" t="s">
        <v>576</v>
      </c>
      <c r="T7" s="496" t="s">
        <v>577</v>
      </c>
      <c r="U7" s="496" t="s">
        <v>578</v>
      </c>
      <c r="V7" s="497" t="s">
        <v>579</v>
      </c>
      <c r="W7" s="497" t="s">
        <v>580</v>
      </c>
      <c r="X7" s="497" t="s">
        <v>581</v>
      </c>
      <c r="Y7" s="497" t="s">
        <v>582</v>
      </c>
      <c r="Z7" s="498" t="s">
        <v>583</v>
      </c>
      <c r="AA7" s="499" t="s">
        <v>584</v>
      </c>
      <c r="AB7" s="500" t="s">
        <v>585</v>
      </c>
      <c r="AC7" s="305"/>
      <c r="AD7" s="305"/>
      <c r="AE7" s="305"/>
      <c r="AF7" s="305"/>
      <c r="AG7" s="305"/>
      <c r="AH7" s="305"/>
      <c r="AI7" s="305"/>
      <c r="AJ7" s="305"/>
      <c r="AK7" s="305"/>
      <c r="AL7" s="305"/>
      <c r="AM7" s="305"/>
      <c r="AN7" s="305"/>
    </row>
    <row r="8" spans="1:40" x14ac:dyDescent="0.15">
      <c r="A8" s="270" t="str">
        <f>'Tariffs Jan2017'!F2</f>
        <v>AGL</v>
      </c>
      <c r="B8" s="40" t="str">
        <f>'Tariffs Jan2017'!D2</f>
        <v>Multinet 1</v>
      </c>
      <c r="C8" s="40" t="str">
        <f>'Tariffs Jan2017'!G2</f>
        <v>Savers</v>
      </c>
      <c r="D8" s="59">
        <f>365*'Tariffs Jan2017'!H2/100</f>
        <v>270.57449999999994</v>
      </c>
      <c r="E8" s="59">
        <f>IF($C$5*'Tariffs Jan2017'!AK2/'Tariffs Jan2017'!AI2&gt;='Tariffs Jan2017'!J2,( 'Tariffs Jan2017'!J2*'Tariffs Jan2017'!O2/100)* 'Tariffs Jan2017'!AI2,($C$5*'Tariffs Jan2017'!AK2/'Tariffs Jan2017'!AI2*'Tariffs Jan2017'!O2/100)* 'Tariffs Jan2017'!AI2)</f>
        <v>208.35000000000002</v>
      </c>
      <c r="F8" s="59">
        <f>IF($C$5*'Tariffs Jan2017'!AK2/'Tariffs Jan2017'!AI2&lt;'Tariffs Jan2017'!J2,0,IF($C$5*'Tariffs Jan2017'!AK2/'Tariffs Jan2017'!AI2&lt;='Tariffs Jan2017'!K2,($C$5*'Tariffs Jan2017'!AK2/'Tariffs Jan2017'!AI2-'Tariffs Jan2017'!J2)*('Tariffs Jan2017'!P2/100)*'Tariffs Jan2017'!AI2,('Tariffs Jan2017'!K2-'Tariffs Jan2017'!J2)*('Tariffs Jan2017'!P2/100)*'Tariffs Jan2017'!AI2))</f>
        <v>181.17</v>
      </c>
      <c r="G8" s="59">
        <f>IF($C$5*'Tariffs Jan2017'!AK2/'Tariffs Jan2017'!AI2&lt;'Tariffs Jan2017'!K2,0,IF($C$5*'Tariffs Jan2017'!AK2/'Tariffs Jan2017'!AI2&lt;='Tariffs Jan2017'!L2,($C$5*'Tariffs Jan2017'!AK2/'Tariffs Jan2017'!AI2-'Tariffs Jan2017'!K2)*('Tariffs Jan2017'!Q2/100)*'Tariffs Jan2017'!AI2,('Tariffs Jan2017'!L2-'Tariffs Jan2017'!K2)*('Tariffs Jan2017'!Q2/100)*'Tariffs Jan2017'!AI2))</f>
        <v>32.08000000000002</v>
      </c>
      <c r="H8" s="59">
        <f>IF($C$5*'Tariffs Jan2017'!AK2/'Tariffs Jan2017'!AI2&lt;'Tariffs Jan2017'!L2,0,IF($C$5*'Tariffs Jan2017'!AK2/'Tariffs Jan2017'!AI2&lt;='Tariffs Jan2017'!M2,($C$5*'Tariffs Jan2017'!AK2/'Tariffs Jan2017'!AI2-'Tariffs Jan2017'!L2)*('Tariffs Jan2017'!R2/100)*'Tariffs Jan2017'!AI2,('Tariffs Jan2017'!M2-'Tariffs Jan2017'!L2)*('Tariffs Jan2017'!R2/100)*'Tariffs Jan2017'!AI2))</f>
        <v>0</v>
      </c>
      <c r="I8" s="59">
        <f>IF(($C$5*'Tariffs Jan2017'!AK2/'Tariffs Jan2017'!AI2&gt;'Tariffs Jan2017'!M2),($C$5*'Tariffs Jan2017'!AK2/'Tariffs Jan2017'!AI2-'Tariffs Jan2017'!M2)*'Tariffs Jan2017'!S2/100*'Tariffs Jan2017'!AI2,0)</f>
        <v>0</v>
      </c>
      <c r="J8" s="59">
        <f>IF($C$5*'Tariffs Jan2017'!AL2/'Tariffs Jan2017'!AJ2&gt;='Tariffs Jan2017'!J2,('Tariffs Jan2017'!J2*'Tariffs Jan2017'!U2/100)* 'Tariffs Jan2017'!AJ2,($C$5*'Tariffs Jan2017'!AL2/'Tariffs Jan2017'!AJ2*'Tariffs Jan2017'!U2/100)* 'Tariffs Jan2017'!AJ2)</f>
        <v>197.64000000000004</v>
      </c>
      <c r="K8" s="59">
        <f>IF($C$5*'Tariffs Jan2017'!AL2/'Tariffs Jan2017'!AJ2&lt;'Tariffs Jan2017'!J2,0,IF($C$5*'Tariffs Jan2017'!AL2/'Tariffs Jan2017'!AJ2&lt;='Tariffs Jan2017'!K2,($C$5*'Tariffs Jan2017'!AL2/'Tariffs Jan2017'!AJ2-'Tariffs Jan2017'!J2)*('Tariffs Jan2017'!V2/100)*'Tariffs Jan2017'!AJ2,('Tariffs Jan2017'!K2-'Tariffs Jan2017'!J2)*('Tariffs Jan2017'!V2/100)*'Tariffs Jan2017'!AJ2))</f>
        <v>170.64</v>
      </c>
      <c r="L8" s="59">
        <f>IF($C$5*'Tariffs Jan2017'!AL2/'Tariffs Jan2017'!AJ2&lt;'Tariffs Jan2017'!K2,0,IF($C$5*'Tariffs Jan2017'!AL2/'Tariffs Jan2017'!AJ2&lt;='Tariffs Jan2017'!L2,($C$5*'Tariffs Jan2017'!AL2/'Tariffs Jan2017'!AJ2-'Tariffs Jan2017'!K2)*('Tariffs Jan2017'!W2/100)*'Tariffs Jan2017'!AJ2,('Tariffs Jan2017'!L2-'Tariffs Jan2017'!K2)*('Tariffs Jan2017'!W2/100)*'Tariffs Jan2017'!AJ2))</f>
        <v>31.100000000000012</v>
      </c>
      <c r="M8" s="59">
        <f>IF($C$5*'Tariffs Jan2017'!AL2/'Tariffs Jan2017'!AJ2&lt;'Tariffs Jan2017'!L2,0,IF($C$5*'Tariffs Jan2017'!AL2/'Tariffs Jan2017'!AJ2&lt;='Tariffs Jan2017'!M2,($C$5*'Tariffs Jan2017'!AL2/'Tariffs Jan2017'!AJ2-'Tariffs Jan2017'!L2)*('Tariffs Jan2017'!X2/100)*'Tariffs Jan2017'!AJ2,('Tariffs Jan2017'!M2-'Tariffs Jan2017'!L2)*('Tariffs Jan2017'!X2/100)*'Tariffs Jan2017'!AJ2))</f>
        <v>0</v>
      </c>
      <c r="N8" s="59">
        <f>IF(($C$5*'Tariffs Jan2017'!AL2/'Tariffs Jan2017'!AJ2&gt;'Tariffs Jan2017'!M2),($C$5*'Tariffs Jan2017'!AL2/'Tariffs Jan2017'!AJ2-'Tariffs Jan2017'!M2)*'Tariffs Jan2017'!Y2/100*'Tariffs Jan2017'!AJ2,0)</f>
        <v>0</v>
      </c>
      <c r="O8" s="271">
        <f>SUM(E8:N8)</f>
        <v>820.98</v>
      </c>
      <c r="P8" s="59">
        <f>D8+O8</f>
        <v>1091.5545</v>
      </c>
      <c r="Q8" s="272">
        <f>P8*1.1</f>
        <v>1200.7099500000002</v>
      </c>
      <c r="R8" s="40">
        <f>'Tariffs Jan2017'!AM2</f>
        <v>0</v>
      </c>
      <c r="S8" s="40">
        <f>'Tariffs Jan2017'!AN2</f>
        <v>0</v>
      </c>
      <c r="T8" s="40">
        <f>'Tariffs Jan2017'!AO2</f>
        <v>0</v>
      </c>
      <c r="U8" s="40">
        <f>'Tariffs Jan2017'!AP2</f>
        <v>15</v>
      </c>
      <c r="V8" s="273">
        <f>P8</f>
        <v>1091.5545</v>
      </c>
      <c r="W8" s="273">
        <f>V8-(O8*U8/100)</f>
        <v>968.40749999999991</v>
      </c>
      <c r="X8" s="272">
        <f>V8*1.1</f>
        <v>1200.7099500000002</v>
      </c>
      <c r="Y8" s="272">
        <f>W8*1.1</f>
        <v>1065.2482500000001</v>
      </c>
      <c r="Z8" s="274">
        <f>'Tariffs Jan2017'!AW2</f>
        <v>0</v>
      </c>
      <c r="AA8" s="274" t="str">
        <f>'Tariffs Jan2017'!AX2</f>
        <v>n</v>
      </c>
      <c r="AB8" s="275" t="str">
        <f>'Tariffs Jan2017'!BD2</f>
        <v>N</v>
      </c>
      <c r="AC8" s="305"/>
      <c r="AD8" s="305"/>
      <c r="AE8" s="305"/>
      <c r="AF8" s="305"/>
      <c r="AG8" s="305"/>
      <c r="AH8" s="305"/>
      <c r="AI8" s="305"/>
      <c r="AJ8" s="305"/>
      <c r="AK8" s="305"/>
      <c r="AL8" s="305"/>
      <c r="AM8" s="305"/>
      <c r="AN8" s="305"/>
    </row>
    <row r="9" spans="1:40" x14ac:dyDescent="0.15">
      <c r="A9" s="270" t="str">
        <f>'Tariffs Jan2017'!F3</f>
        <v>Alinta Energy</v>
      </c>
      <c r="B9" s="40" t="str">
        <f>'Tariffs Jan2017'!D3</f>
        <v>Multinet 1</v>
      </c>
      <c r="C9" s="40" t="str">
        <f>'Tariffs Jan2017'!G3</f>
        <v>Fair Deal</v>
      </c>
      <c r="D9" s="59">
        <f>365*'Tariffs Jan2017'!H3/100</f>
        <v>251.70399999999998</v>
      </c>
      <c r="E9" s="59">
        <f>IF($C$5*'Tariffs Jan2017'!AK3/'Tariffs Jan2017'!AI3&gt;='Tariffs Jan2017'!J3,( 'Tariffs Jan2017'!J3*'Tariffs Jan2017'!O3/100)* 'Tariffs Jan2017'!AI3,($C$5*'Tariffs Jan2017'!AK3/'Tariffs Jan2017'!AI3*'Tariffs Jan2017'!O3/100)* 'Tariffs Jan2017'!AI3)</f>
        <v>184.49999999999997</v>
      </c>
      <c r="F9" s="59">
        <f>IF($C$5*'Tariffs Jan2017'!AK3/'Tariffs Jan2017'!AI3&lt;'Tariffs Jan2017'!J3,0,IF($C$5*'Tariffs Jan2017'!AK3/'Tariffs Jan2017'!AI3&lt;='Tariffs Jan2017'!K3,($C$5*'Tariffs Jan2017'!AK3/'Tariffs Jan2017'!AI3-'Tariffs Jan2017'!J3)*('Tariffs Jan2017'!P3/100)*'Tariffs Jan2017'!AI3,('Tariffs Jan2017'!K3-'Tariffs Jan2017'!J3)*('Tariffs Jan2017'!P3/100)*'Tariffs Jan2017'!AI3))</f>
        <v>160.19999999999999</v>
      </c>
      <c r="G9" s="59">
        <f>IF($C$5*'Tariffs Jan2017'!AK3/'Tariffs Jan2017'!AI3&lt;'Tariffs Jan2017'!K3,0,IF($C$5*'Tariffs Jan2017'!AK3/'Tariffs Jan2017'!AI3&lt;='Tariffs Jan2017'!L3,($C$5*'Tariffs Jan2017'!AK3/'Tariffs Jan2017'!AI3-'Tariffs Jan2017'!K3)*('Tariffs Jan2017'!Q3/100)*'Tariffs Jan2017'!AI3,('Tariffs Jan2017'!L3-'Tariffs Jan2017'!K3)*('Tariffs Jan2017'!Q3/100)*'Tariffs Jan2017'!AI3))</f>
        <v>0</v>
      </c>
      <c r="H9" s="59">
        <f>IF($C$5*'Tariffs Jan2017'!AK3/'Tariffs Jan2017'!AI3&lt;'Tariffs Jan2017'!L3,0,IF($C$5*'Tariffs Jan2017'!AK3/'Tariffs Jan2017'!AI3&lt;='Tariffs Jan2017'!M3,($C$5*'Tariffs Jan2017'!AK3/'Tariffs Jan2017'!AI3-'Tariffs Jan2017'!L3)*('Tariffs Jan2017'!R3/100)*'Tariffs Jan2017'!AI3,('Tariffs Jan2017'!M3-'Tariffs Jan2017'!L3)*('Tariffs Jan2017'!R3/100)*'Tariffs Jan2017'!AI3))</f>
        <v>0</v>
      </c>
      <c r="I9" s="59">
        <f>IF(($C$5*'Tariffs Jan2017'!AK3/'Tariffs Jan2017'!AI3&gt;'Tariffs Jan2017'!M3),($C$5*'Tariffs Jan2017'!AK3/'Tariffs Jan2017'!AI3-'Tariffs Jan2017'!M3)*'Tariffs Jan2017'!S3/100*'Tariffs Jan2017'!AI3,0)</f>
        <v>28.800000000000015</v>
      </c>
      <c r="J9" s="59">
        <f>IF($C$5*'Tariffs Jan2017'!AL3/'Tariffs Jan2017'!AJ3&gt;='Tariffs Jan2017'!J3,('Tariffs Jan2017'!J3*'Tariffs Jan2017'!U3/100)* 'Tariffs Jan2017'!AJ3,($C$5*'Tariffs Jan2017'!AL3/'Tariffs Jan2017'!AJ3*'Tariffs Jan2017'!U3/100)* 'Tariffs Jan2017'!AJ3)</f>
        <v>179.10000000000002</v>
      </c>
      <c r="K9" s="59">
        <f>IF($C$5*'Tariffs Jan2017'!AL3/'Tariffs Jan2017'!AJ3&lt;'Tariffs Jan2017'!J3,0,IF($C$5*'Tariffs Jan2017'!AL3/'Tariffs Jan2017'!AJ3&lt;='Tariffs Jan2017'!K3,($C$5*'Tariffs Jan2017'!AL3/'Tariffs Jan2017'!AJ3-'Tariffs Jan2017'!J3)*('Tariffs Jan2017'!V3/100)*'Tariffs Jan2017'!AJ3,('Tariffs Jan2017'!K3-'Tariffs Jan2017'!J3)*('Tariffs Jan2017'!V3/100)*'Tariffs Jan2017'!AJ3))</f>
        <v>155.69999999999999</v>
      </c>
      <c r="L9" s="59">
        <f>IF($C$5*'Tariffs Jan2017'!AL3/'Tariffs Jan2017'!AJ3&lt;'Tariffs Jan2017'!K3,0,IF($C$5*'Tariffs Jan2017'!AL3/'Tariffs Jan2017'!AJ3&lt;='Tariffs Jan2017'!L3,($C$5*'Tariffs Jan2017'!AL3/'Tariffs Jan2017'!AJ3-'Tariffs Jan2017'!K3)*('Tariffs Jan2017'!W3/100)*'Tariffs Jan2017'!AJ3,('Tariffs Jan2017'!L3-'Tariffs Jan2017'!K3)*('Tariffs Jan2017'!W3/100)*'Tariffs Jan2017'!AJ3))</f>
        <v>0</v>
      </c>
      <c r="M9" s="59">
        <f>IF($C$5*'Tariffs Jan2017'!AL3/'Tariffs Jan2017'!AJ3&lt;'Tariffs Jan2017'!L3,0,IF($C$5*'Tariffs Jan2017'!AL3/'Tariffs Jan2017'!AJ3&lt;='Tariffs Jan2017'!M3,($C$5*'Tariffs Jan2017'!AL3/'Tariffs Jan2017'!AJ3-'Tariffs Jan2017'!L3)*('Tariffs Jan2017'!X3/100)*'Tariffs Jan2017'!AJ3,('Tariffs Jan2017'!M3-'Tariffs Jan2017'!L3)*('Tariffs Jan2017'!X3/100)*'Tariffs Jan2017'!AJ3))</f>
        <v>0</v>
      </c>
      <c r="N9" s="59">
        <f>IF(($C$5*'Tariffs Jan2017'!AL3/'Tariffs Jan2017'!AJ3&gt;'Tariffs Jan2017'!M3),($C$5*'Tariffs Jan2017'!AL3/'Tariffs Jan2017'!AJ3-'Tariffs Jan2017'!M3)*'Tariffs Jan2017'!Y3/100*'Tariffs Jan2017'!AJ3,0)</f>
        <v>28.600000000000009</v>
      </c>
      <c r="O9" s="271">
        <f t="shared" ref="O9:O72" si="0">SUM(E9:N9)</f>
        <v>736.9</v>
      </c>
      <c r="P9" s="59">
        <f t="shared" ref="P9:P72" si="1">D9+O9</f>
        <v>988.60399999999993</v>
      </c>
      <c r="Q9" s="272">
        <f t="shared" ref="Q9:Q72" si="2">P9*1.1</f>
        <v>1087.4644000000001</v>
      </c>
      <c r="R9" s="40">
        <f>'Tariffs Jan2017'!AM3</f>
        <v>0</v>
      </c>
      <c r="S9" s="40">
        <f>'Tariffs Jan2017'!AN3</f>
        <v>0</v>
      </c>
      <c r="T9" s="40">
        <f>'Tariffs Jan2017'!AO3</f>
        <v>0</v>
      </c>
      <c r="U9" s="40">
        <f>'Tariffs Jan2017'!AP3</f>
        <v>15</v>
      </c>
      <c r="V9" s="273">
        <f t="shared" ref="V9:V72" si="3">P9</f>
        <v>988.60399999999993</v>
      </c>
      <c r="W9" s="273">
        <f>V9-(O9*U9/100)</f>
        <v>878.06899999999996</v>
      </c>
      <c r="X9" s="272">
        <f t="shared" ref="X9:Y72" si="4">V9*1.1</f>
        <v>1087.4644000000001</v>
      </c>
      <c r="Y9" s="272">
        <f t="shared" si="4"/>
        <v>965.8759</v>
      </c>
      <c r="Z9" s="274">
        <f>'Tariffs Jan2017'!AW3</f>
        <v>0</v>
      </c>
      <c r="AA9" s="274" t="str">
        <f>'Tariffs Jan2017'!AX3</f>
        <v>n</v>
      </c>
      <c r="AB9" s="275" t="str">
        <f>'Tariffs Jan2017'!BD3</f>
        <v>Y</v>
      </c>
      <c r="AC9" s="305"/>
      <c r="AD9" s="305"/>
      <c r="AE9" s="305"/>
      <c r="AF9" s="305"/>
      <c r="AG9" s="305"/>
      <c r="AH9" s="305"/>
      <c r="AI9" s="305"/>
      <c r="AJ9" s="305"/>
      <c r="AK9" s="305"/>
      <c r="AL9" s="305"/>
      <c r="AM9" s="305"/>
      <c r="AN9" s="305"/>
    </row>
    <row r="10" spans="1:40" x14ac:dyDescent="0.15">
      <c r="A10" s="270" t="str">
        <f>'Tariffs Jan2017'!F4</f>
        <v>Click Energy</v>
      </c>
      <c r="B10" s="40" t="str">
        <f>'Tariffs Jan2017'!D4</f>
        <v>Multinet 1</v>
      </c>
      <c r="C10" s="40" t="str">
        <f>'Tariffs Jan2017'!G4</f>
        <v>Amber</v>
      </c>
      <c r="D10" s="59">
        <f>365*'Tariffs Jan2017'!H4/100</f>
        <v>259.14999999999998</v>
      </c>
      <c r="E10" s="59">
        <f>IF($C$5*'Tariffs Jan2017'!AK4/'Tariffs Jan2017'!AI4&gt;='Tariffs Jan2017'!J4,( 'Tariffs Jan2017'!J4*'Tariffs Jan2017'!O4/100)* 'Tariffs Jan2017'!AI4,($C$5*'Tariffs Jan2017'!AK4/'Tariffs Jan2017'!AI4*'Tariffs Jan2017'!O4/100)* 'Tariffs Jan2017'!AI4)</f>
        <v>216</v>
      </c>
      <c r="F10" s="59">
        <f>IF($C$5*'Tariffs Jan2017'!AK4/'Tariffs Jan2017'!AI4&lt;'Tariffs Jan2017'!J4,0,IF($C$5*'Tariffs Jan2017'!AK4/'Tariffs Jan2017'!AI4&lt;='Tariffs Jan2017'!K4,($C$5*'Tariffs Jan2017'!AK4/'Tariffs Jan2017'!AI4-'Tariffs Jan2017'!J4)*('Tariffs Jan2017'!P4/100)*'Tariffs Jan2017'!AI4,('Tariffs Jan2017'!K4-'Tariffs Jan2017'!J4)*('Tariffs Jan2017'!P4/100)*'Tariffs Jan2017'!AI4))</f>
        <v>184.49999999999997</v>
      </c>
      <c r="G10" s="59">
        <f>IF($C$5*'Tariffs Jan2017'!AK4/'Tariffs Jan2017'!AI4&lt;'Tariffs Jan2017'!K4,0,IF($C$5*'Tariffs Jan2017'!AK4/'Tariffs Jan2017'!AI4&lt;='Tariffs Jan2017'!L4,($C$5*'Tariffs Jan2017'!AK4/'Tariffs Jan2017'!AI4-'Tariffs Jan2017'!K4)*('Tariffs Jan2017'!Q4/100)*'Tariffs Jan2017'!AI4,('Tariffs Jan2017'!L4-'Tariffs Jan2017'!K4)*('Tariffs Jan2017'!Q4/100)*'Tariffs Jan2017'!AI4))</f>
        <v>34.000000000000014</v>
      </c>
      <c r="H10" s="59">
        <f>IF($C$5*'Tariffs Jan2017'!AK4/'Tariffs Jan2017'!AI4&lt;'Tariffs Jan2017'!L4,0,IF($C$5*'Tariffs Jan2017'!AK4/'Tariffs Jan2017'!AI4&lt;='Tariffs Jan2017'!M4,($C$5*'Tariffs Jan2017'!AK4/'Tariffs Jan2017'!AI4-'Tariffs Jan2017'!L4)*('Tariffs Jan2017'!R4/100)*'Tariffs Jan2017'!AI4,('Tariffs Jan2017'!M4-'Tariffs Jan2017'!L4)*('Tariffs Jan2017'!R4/100)*'Tariffs Jan2017'!AI4))</f>
        <v>0</v>
      </c>
      <c r="I10" s="59">
        <f>IF(($C$5*'Tariffs Jan2017'!AK4/'Tariffs Jan2017'!AI4&gt;'Tariffs Jan2017'!M4),($C$5*'Tariffs Jan2017'!AK4/'Tariffs Jan2017'!AI4-'Tariffs Jan2017'!M4)*'Tariffs Jan2017'!S4/100*'Tariffs Jan2017'!AI4,0)</f>
        <v>0</v>
      </c>
      <c r="J10" s="59">
        <f>IF($C$5*'Tariffs Jan2017'!AL4/'Tariffs Jan2017'!AJ4&gt;='Tariffs Jan2017'!J4,('Tariffs Jan2017'!J4*'Tariffs Jan2017'!U4/100)* 'Tariffs Jan2017'!AJ4,($C$5*'Tariffs Jan2017'!AL4/'Tariffs Jan2017'!AJ4*'Tariffs Jan2017'!U4/100)* 'Tariffs Jan2017'!AJ4)</f>
        <v>206.99999999999994</v>
      </c>
      <c r="K10" s="59">
        <f>IF($C$5*'Tariffs Jan2017'!AL4/'Tariffs Jan2017'!AJ4&lt;'Tariffs Jan2017'!J4,0,IF($C$5*'Tariffs Jan2017'!AL4/'Tariffs Jan2017'!AJ4&lt;='Tariffs Jan2017'!K4,($C$5*'Tariffs Jan2017'!AL4/'Tariffs Jan2017'!AJ4-'Tariffs Jan2017'!J4)*('Tariffs Jan2017'!V4/100)*'Tariffs Jan2017'!AJ4,('Tariffs Jan2017'!K4-'Tariffs Jan2017'!J4)*('Tariffs Jan2017'!V4/100)*'Tariffs Jan2017'!AJ4))</f>
        <v>180</v>
      </c>
      <c r="L10" s="59">
        <f>IF($C$5*'Tariffs Jan2017'!AL4/'Tariffs Jan2017'!AJ4&lt;'Tariffs Jan2017'!K4,0,IF($C$5*'Tariffs Jan2017'!AL4/'Tariffs Jan2017'!AJ4&lt;='Tariffs Jan2017'!L4,($C$5*'Tariffs Jan2017'!AL4/'Tariffs Jan2017'!AJ4-'Tariffs Jan2017'!K4)*('Tariffs Jan2017'!W4/100)*'Tariffs Jan2017'!AJ4,('Tariffs Jan2017'!L4-'Tariffs Jan2017'!K4)*('Tariffs Jan2017'!W4/100)*'Tariffs Jan2017'!AJ4))</f>
        <v>33.000000000000014</v>
      </c>
      <c r="M10" s="59">
        <f>IF($C$5*'Tariffs Jan2017'!AL4/'Tariffs Jan2017'!AJ4&lt;'Tariffs Jan2017'!L4,0,IF($C$5*'Tariffs Jan2017'!AL4/'Tariffs Jan2017'!AJ4&lt;='Tariffs Jan2017'!M4,($C$5*'Tariffs Jan2017'!AL4/'Tariffs Jan2017'!AJ4-'Tariffs Jan2017'!L4)*('Tariffs Jan2017'!X4/100)*'Tariffs Jan2017'!AJ4,('Tariffs Jan2017'!M4-'Tariffs Jan2017'!L4)*('Tariffs Jan2017'!X4/100)*'Tariffs Jan2017'!AJ4))</f>
        <v>0</v>
      </c>
      <c r="N10" s="59">
        <f>IF(($C$5*'Tariffs Jan2017'!AL4/'Tariffs Jan2017'!AJ4&gt;'Tariffs Jan2017'!M4),($C$5*'Tariffs Jan2017'!AL4/'Tariffs Jan2017'!AJ4-'Tariffs Jan2017'!M4)*'Tariffs Jan2017'!Y4/100*'Tariffs Jan2017'!AJ4,0)</f>
        <v>0</v>
      </c>
      <c r="O10" s="271">
        <f t="shared" si="0"/>
        <v>854.5</v>
      </c>
      <c r="P10" s="59">
        <f t="shared" si="1"/>
        <v>1113.6500000000001</v>
      </c>
      <c r="Q10" s="272">
        <f t="shared" si="2"/>
        <v>1225.0150000000001</v>
      </c>
      <c r="R10" s="40">
        <f>'Tariffs Jan2017'!AM4</f>
        <v>0</v>
      </c>
      <c r="S10" s="40">
        <f>'Tariffs Jan2017'!AN4</f>
        <v>0</v>
      </c>
      <c r="T10" s="40">
        <f>'Tariffs Jan2017'!AO4</f>
        <v>14</v>
      </c>
      <c r="U10" s="40">
        <f>'Tariffs Jan2017'!AP4</f>
        <v>0</v>
      </c>
      <c r="V10" s="273">
        <f t="shared" si="3"/>
        <v>1113.6500000000001</v>
      </c>
      <c r="W10" s="273">
        <f>V10-(P10*T10/100)</f>
        <v>957.73900000000003</v>
      </c>
      <c r="X10" s="272">
        <f t="shared" si="4"/>
        <v>1225.0150000000001</v>
      </c>
      <c r="Y10" s="272">
        <f t="shared" si="4"/>
        <v>1053.5129000000002</v>
      </c>
      <c r="Z10" s="274">
        <f>'Tariffs Jan2017'!AW4</f>
        <v>0</v>
      </c>
      <c r="AA10" s="274" t="str">
        <f>'Tariffs Jan2017'!AX4</f>
        <v>n</v>
      </c>
      <c r="AB10" s="275" t="str">
        <f>'Tariffs Jan2017'!BD4</f>
        <v>N</v>
      </c>
      <c r="AC10" s="305"/>
      <c r="AD10" s="305"/>
      <c r="AE10" s="305"/>
      <c r="AF10" s="305"/>
      <c r="AG10" s="305"/>
      <c r="AH10" s="305"/>
      <c r="AI10" s="305"/>
      <c r="AJ10" s="305"/>
      <c r="AK10" s="305"/>
      <c r="AL10" s="305"/>
      <c r="AM10" s="305"/>
      <c r="AN10" s="305"/>
    </row>
    <row r="11" spans="1:40" x14ac:dyDescent="0.15">
      <c r="A11" s="270" t="str">
        <f>'Tariffs Jan2017'!F5</f>
        <v>Covau</v>
      </c>
      <c r="B11" s="40" t="str">
        <f>'Tariffs Jan2017'!D5</f>
        <v>Multinet 1</v>
      </c>
      <c r="C11" s="40" t="str">
        <f>'Tariffs Jan2017'!G5</f>
        <v>Market offer</v>
      </c>
      <c r="D11" s="59">
        <f>365*'Tariffs Jan2017'!H5/100</f>
        <v>255.5</v>
      </c>
      <c r="E11" s="59">
        <f>IF($C$5*'Tariffs Jan2017'!AK5/'Tariffs Jan2017'!AI5&gt;='Tariffs Jan2017'!J5,( 'Tariffs Jan2017'!J5*'Tariffs Jan2017'!O5/100)* 'Tariffs Jan2017'!AI5,($C$5*'Tariffs Jan2017'!AK5/'Tariffs Jan2017'!AI5*'Tariffs Jan2017'!O5/100)* 'Tariffs Jan2017'!AI5)</f>
        <v>302.39999999999998</v>
      </c>
      <c r="F11" s="59">
        <f>IF($C$5*'Tariffs Jan2017'!AK5/'Tariffs Jan2017'!AI5&lt;'Tariffs Jan2017'!J5,0,IF($C$5*'Tariffs Jan2017'!AK5/'Tariffs Jan2017'!AI5&lt;='Tariffs Jan2017'!K5,($C$5*'Tariffs Jan2017'!AK5/'Tariffs Jan2017'!AI5-'Tariffs Jan2017'!J5)*('Tariffs Jan2017'!P5/100)*'Tariffs Jan2017'!AI5,('Tariffs Jan2017'!K5-'Tariffs Jan2017'!J5)*('Tariffs Jan2017'!P5/100)*'Tariffs Jan2017'!AI5))</f>
        <v>321.20000000000005</v>
      </c>
      <c r="G11" s="59">
        <f>IF($C$5*'Tariffs Jan2017'!AK5/'Tariffs Jan2017'!AI5&lt;'Tariffs Jan2017'!K5,0,IF($C$5*'Tariffs Jan2017'!AK5/'Tariffs Jan2017'!AI5&lt;='Tariffs Jan2017'!L5,($C$5*'Tariffs Jan2017'!AK5/'Tariffs Jan2017'!AI5-'Tariffs Jan2017'!K5)*('Tariffs Jan2017'!Q5/100)*'Tariffs Jan2017'!AI5,('Tariffs Jan2017'!L5-'Tariffs Jan2017'!K5)*('Tariffs Jan2017'!Q5/100)*'Tariffs Jan2017'!AI5))</f>
        <v>0</v>
      </c>
      <c r="H11" s="59">
        <f>IF($C$5*'Tariffs Jan2017'!AK5/'Tariffs Jan2017'!AI5&lt;'Tariffs Jan2017'!L5,0,IF($C$5*'Tariffs Jan2017'!AK5/'Tariffs Jan2017'!AI5&lt;='Tariffs Jan2017'!M5,($C$5*'Tariffs Jan2017'!AK5/'Tariffs Jan2017'!AI5-'Tariffs Jan2017'!L5)*('Tariffs Jan2017'!R5/100)*'Tariffs Jan2017'!AI5,('Tariffs Jan2017'!M5-'Tariffs Jan2017'!L5)*('Tariffs Jan2017'!R5/100)*'Tariffs Jan2017'!AI5))</f>
        <v>0</v>
      </c>
      <c r="I11" s="59">
        <f>IF(($C$5*'Tariffs Jan2017'!AK5/'Tariffs Jan2017'!AI5&gt;'Tariffs Jan2017'!M5),($C$5*'Tariffs Jan2017'!AK5/'Tariffs Jan2017'!AI5-'Tariffs Jan2017'!M5)*'Tariffs Jan2017'!S5/100*'Tariffs Jan2017'!AI5,0)</f>
        <v>0</v>
      </c>
      <c r="J11" s="59">
        <f>IF($C$5*'Tariffs Jan2017'!AL5/'Tariffs Jan2017'!AJ5&gt;='Tariffs Jan2017'!J5,('Tariffs Jan2017'!J5*'Tariffs Jan2017'!U5/100)* 'Tariffs Jan2017'!AJ5,($C$5*'Tariffs Jan2017'!AL5/'Tariffs Jan2017'!AJ5*'Tariffs Jan2017'!U5/100)* 'Tariffs Jan2017'!AJ5)</f>
        <v>242.10000000000002</v>
      </c>
      <c r="K11" s="59">
        <f>IF($C$5*'Tariffs Jan2017'!AL5/'Tariffs Jan2017'!AJ5&lt;'Tariffs Jan2017'!J5,0,IF($C$5*'Tariffs Jan2017'!AL5/'Tariffs Jan2017'!AJ5&lt;='Tariffs Jan2017'!K5,($C$5*'Tariffs Jan2017'!AL5/'Tariffs Jan2017'!AJ5-'Tariffs Jan2017'!J5)*('Tariffs Jan2017'!V5/100)*'Tariffs Jan2017'!AJ5,('Tariffs Jan2017'!K5-'Tariffs Jan2017'!J5)*('Tariffs Jan2017'!V5/100)*'Tariffs Jan2017'!AJ5))</f>
        <v>253.00000000000003</v>
      </c>
      <c r="L11" s="59">
        <f>IF($C$5*'Tariffs Jan2017'!AL5/'Tariffs Jan2017'!AJ5&lt;'Tariffs Jan2017'!K5,0,IF($C$5*'Tariffs Jan2017'!AL5/'Tariffs Jan2017'!AJ5&lt;='Tariffs Jan2017'!L5,($C$5*'Tariffs Jan2017'!AL5/'Tariffs Jan2017'!AJ5-'Tariffs Jan2017'!K5)*('Tariffs Jan2017'!W5/100)*'Tariffs Jan2017'!AJ5,('Tariffs Jan2017'!L5-'Tariffs Jan2017'!K5)*('Tariffs Jan2017'!W5/100)*'Tariffs Jan2017'!AJ5))</f>
        <v>0</v>
      </c>
      <c r="M11" s="59">
        <f>IF($C$5*'Tariffs Jan2017'!AL5/'Tariffs Jan2017'!AJ5&lt;'Tariffs Jan2017'!L5,0,IF($C$5*'Tariffs Jan2017'!AL5/'Tariffs Jan2017'!AJ5&lt;='Tariffs Jan2017'!M5,($C$5*'Tariffs Jan2017'!AL5/'Tariffs Jan2017'!AJ5-'Tariffs Jan2017'!L5)*('Tariffs Jan2017'!X5/100)*'Tariffs Jan2017'!AJ5,('Tariffs Jan2017'!M5-'Tariffs Jan2017'!L5)*('Tariffs Jan2017'!X5/100)*'Tariffs Jan2017'!AJ5))</f>
        <v>0</v>
      </c>
      <c r="N11" s="59">
        <f>IF(($C$5*'Tariffs Jan2017'!AL5/'Tariffs Jan2017'!AJ5&gt;'Tariffs Jan2017'!M5),($C$5*'Tariffs Jan2017'!AL5/'Tariffs Jan2017'!AJ5-'Tariffs Jan2017'!M5)*'Tariffs Jan2017'!Y5/100*'Tariffs Jan2017'!AJ5,0)</f>
        <v>0</v>
      </c>
      <c r="O11" s="271">
        <f t="shared" si="0"/>
        <v>1118.7</v>
      </c>
      <c r="P11" s="59">
        <f t="shared" si="1"/>
        <v>1374.2</v>
      </c>
      <c r="Q11" s="272">
        <f t="shared" si="2"/>
        <v>1511.6200000000001</v>
      </c>
      <c r="R11" s="40">
        <f>'Tariffs Jan2017'!AM5</f>
        <v>0</v>
      </c>
      <c r="S11" s="40">
        <f>'Tariffs Jan2017'!AN5</f>
        <v>0</v>
      </c>
      <c r="T11" s="40">
        <f>'Tariffs Jan2017'!AO5</f>
        <v>0</v>
      </c>
      <c r="U11" s="40">
        <f>'Tariffs Jan2017'!AP5</f>
        <v>16</v>
      </c>
      <c r="V11" s="273">
        <f t="shared" si="3"/>
        <v>1374.2</v>
      </c>
      <c r="W11" s="273">
        <f>V11-(O11*U11/100)</f>
        <v>1195.2080000000001</v>
      </c>
      <c r="X11" s="272">
        <f t="shared" si="4"/>
        <v>1511.6200000000001</v>
      </c>
      <c r="Y11" s="272">
        <f t="shared" si="4"/>
        <v>1314.7288000000001</v>
      </c>
      <c r="Z11" s="274">
        <f>'Tariffs Jan2017'!AW5</f>
        <v>12</v>
      </c>
      <c r="AA11" s="274" t="str">
        <f>'Tariffs Jan2017'!AX5</f>
        <v>y</v>
      </c>
      <c r="AB11" s="275" t="str">
        <f>'Tariffs Jan2017'!BD5</f>
        <v>Y</v>
      </c>
      <c r="AC11" s="305"/>
      <c r="AD11" s="305"/>
      <c r="AE11" s="305"/>
      <c r="AF11" s="305"/>
      <c r="AG11" s="305"/>
      <c r="AH11" s="305"/>
      <c r="AI11" s="305"/>
      <c r="AJ11" s="305"/>
      <c r="AK11" s="305"/>
      <c r="AL11" s="305"/>
      <c r="AM11" s="305"/>
      <c r="AN11" s="305"/>
    </row>
    <row r="12" spans="1:40" x14ac:dyDescent="0.15">
      <c r="A12" s="270" t="str">
        <f>'Tariffs Jan2017'!F6</f>
        <v>Dodo Power &amp; Gas</v>
      </c>
      <c r="B12" s="40" t="str">
        <f>'Tariffs Jan2017'!D6</f>
        <v>Multinet 1</v>
      </c>
      <c r="C12" s="40" t="str">
        <f>'Tariffs Jan2017'!G6</f>
        <v>Market offer</v>
      </c>
      <c r="D12" s="59">
        <f>365*'Tariffs Jan2017'!H6/100</f>
        <v>224.80350000000001</v>
      </c>
      <c r="E12" s="59">
        <f>IF($C$5*'Tariffs Jan2017'!AK6/'Tariffs Jan2017'!AI6&gt;='Tariffs Jan2017'!J6,( 'Tariffs Jan2017'!J6*'Tariffs Jan2017'!O6/100)* 'Tariffs Jan2017'!AI6,($C$5*'Tariffs Jan2017'!AK6/'Tariffs Jan2017'!AI6*'Tariffs Jan2017'!O6/100)* 'Tariffs Jan2017'!AI6)</f>
        <v>397.79999999999995</v>
      </c>
      <c r="F12" s="59">
        <f>IF($C$5*'Tariffs Jan2017'!AK6/'Tariffs Jan2017'!AI6&lt;'Tariffs Jan2017'!J6,0,IF($C$5*'Tariffs Jan2017'!AK6/'Tariffs Jan2017'!AI6&lt;='Tariffs Jan2017'!K6,($C$5*'Tariffs Jan2017'!AK6/'Tariffs Jan2017'!AI6-'Tariffs Jan2017'!J6)*('Tariffs Jan2017'!P6/100)*'Tariffs Jan2017'!AI6,('Tariffs Jan2017'!K6-'Tariffs Jan2017'!J6)*('Tariffs Jan2017'!P6/100)*'Tariffs Jan2017'!AI6))</f>
        <v>33.400000000000013</v>
      </c>
      <c r="G12" s="59">
        <f>IF($C$5*'Tariffs Jan2017'!AK6/'Tariffs Jan2017'!AI6&lt;'Tariffs Jan2017'!K6,0,IF($C$5*'Tariffs Jan2017'!AK6/'Tariffs Jan2017'!AI6&lt;='Tariffs Jan2017'!L6,($C$5*'Tariffs Jan2017'!AK6/'Tariffs Jan2017'!AI6-'Tariffs Jan2017'!K6)*('Tariffs Jan2017'!Q6/100)*'Tariffs Jan2017'!AI6,('Tariffs Jan2017'!L6-'Tariffs Jan2017'!K6)*('Tariffs Jan2017'!Q6/100)*'Tariffs Jan2017'!AI6))</f>
        <v>0</v>
      </c>
      <c r="H12" s="59">
        <f>IF($C$5*'Tariffs Jan2017'!AK6/'Tariffs Jan2017'!AI6&lt;'Tariffs Jan2017'!L6,0,IF($C$5*'Tariffs Jan2017'!AK6/'Tariffs Jan2017'!AI6&lt;='Tariffs Jan2017'!M6,($C$5*'Tariffs Jan2017'!AK6/'Tariffs Jan2017'!AI6-'Tariffs Jan2017'!L6)*('Tariffs Jan2017'!R6/100)*'Tariffs Jan2017'!AI6,('Tariffs Jan2017'!M6-'Tariffs Jan2017'!L6)*('Tariffs Jan2017'!R6/100)*'Tariffs Jan2017'!AI6))</f>
        <v>0</v>
      </c>
      <c r="I12" s="59">
        <f>IF(($C$5*'Tariffs Jan2017'!AK6/'Tariffs Jan2017'!AI6&gt;'Tariffs Jan2017'!M6),($C$5*'Tariffs Jan2017'!AK6/'Tariffs Jan2017'!AI6-'Tariffs Jan2017'!M6)*'Tariffs Jan2017'!S6/100*'Tariffs Jan2017'!AI6,0)</f>
        <v>0</v>
      </c>
      <c r="J12" s="59">
        <f>IF($C$5*'Tariffs Jan2017'!AL6/'Tariffs Jan2017'!AJ6&gt;='Tariffs Jan2017'!J6,('Tariffs Jan2017'!J6*'Tariffs Jan2017'!U6/100)* 'Tariffs Jan2017'!AJ6,($C$5*'Tariffs Jan2017'!AL6/'Tariffs Jan2017'!AJ6*'Tariffs Jan2017'!U6/100)* 'Tariffs Jan2017'!AJ6)</f>
        <v>376.20000000000005</v>
      </c>
      <c r="K12" s="59">
        <f>IF($C$5*'Tariffs Jan2017'!AL6/'Tariffs Jan2017'!AJ6&lt;'Tariffs Jan2017'!J6,0,IF($C$5*'Tariffs Jan2017'!AL6/'Tariffs Jan2017'!AJ6&lt;='Tariffs Jan2017'!K6,($C$5*'Tariffs Jan2017'!AL6/'Tariffs Jan2017'!AJ6-'Tariffs Jan2017'!J6)*('Tariffs Jan2017'!V6/100)*'Tariffs Jan2017'!AJ6,('Tariffs Jan2017'!K6-'Tariffs Jan2017'!J6)*('Tariffs Jan2017'!V6/100)*'Tariffs Jan2017'!AJ6))</f>
        <v>31.800000000000015</v>
      </c>
      <c r="L12" s="59">
        <f>IF($C$5*'Tariffs Jan2017'!AL6/'Tariffs Jan2017'!AJ6&lt;'Tariffs Jan2017'!K6,0,IF($C$5*'Tariffs Jan2017'!AL6/'Tariffs Jan2017'!AJ6&lt;='Tariffs Jan2017'!L6,($C$5*'Tariffs Jan2017'!AL6/'Tariffs Jan2017'!AJ6-'Tariffs Jan2017'!K6)*('Tariffs Jan2017'!W6/100)*'Tariffs Jan2017'!AJ6,('Tariffs Jan2017'!L6-'Tariffs Jan2017'!K6)*('Tariffs Jan2017'!W6/100)*'Tariffs Jan2017'!AJ6))</f>
        <v>0</v>
      </c>
      <c r="M12" s="59">
        <f>IF($C$5*'Tariffs Jan2017'!AL6/'Tariffs Jan2017'!AJ6&lt;'Tariffs Jan2017'!L6,0,IF($C$5*'Tariffs Jan2017'!AL6/'Tariffs Jan2017'!AJ6&lt;='Tariffs Jan2017'!M6,($C$5*'Tariffs Jan2017'!AL6/'Tariffs Jan2017'!AJ6-'Tariffs Jan2017'!L6)*('Tariffs Jan2017'!X6/100)*'Tariffs Jan2017'!AJ6,('Tariffs Jan2017'!M6-'Tariffs Jan2017'!L6)*('Tariffs Jan2017'!X6/100)*'Tariffs Jan2017'!AJ6))</f>
        <v>0</v>
      </c>
      <c r="N12" s="59">
        <f>IF(($C$5*'Tariffs Jan2017'!AL6/'Tariffs Jan2017'!AJ6&gt;'Tariffs Jan2017'!M6),($C$5*'Tariffs Jan2017'!AL6/'Tariffs Jan2017'!AJ6-'Tariffs Jan2017'!M6)*'Tariffs Jan2017'!Y6/100*'Tariffs Jan2017'!AJ6,0)</f>
        <v>0</v>
      </c>
      <c r="O12" s="271">
        <f t="shared" si="0"/>
        <v>839.20000000000016</v>
      </c>
      <c r="P12" s="59">
        <f t="shared" si="1"/>
        <v>1064.0035000000003</v>
      </c>
      <c r="Q12" s="272">
        <f t="shared" si="2"/>
        <v>1170.4038500000004</v>
      </c>
      <c r="R12" s="40">
        <f>'Tariffs Jan2017'!AM6</f>
        <v>0</v>
      </c>
      <c r="S12" s="40">
        <f>'Tariffs Jan2017'!AN6</f>
        <v>0</v>
      </c>
      <c r="T12" s="40">
        <f>'Tariffs Jan2017'!AO6</f>
        <v>0</v>
      </c>
      <c r="U12" s="40">
        <f>'Tariffs Jan2017'!AP6</f>
        <v>0</v>
      </c>
      <c r="V12" s="273">
        <f t="shared" si="3"/>
        <v>1064.0035000000003</v>
      </c>
      <c r="W12" s="273">
        <f>V12</f>
        <v>1064.0035000000003</v>
      </c>
      <c r="X12" s="272">
        <f t="shared" si="4"/>
        <v>1170.4038500000004</v>
      </c>
      <c r="Y12" s="272">
        <f t="shared" si="4"/>
        <v>1170.4038500000004</v>
      </c>
      <c r="Z12" s="274">
        <f>'Tariffs Jan2017'!AW6</f>
        <v>0</v>
      </c>
      <c r="AA12" s="274" t="str">
        <f>'Tariffs Jan2017'!AX6</f>
        <v>n</v>
      </c>
      <c r="AB12" s="275" t="str">
        <f>'Tariffs Jan2017'!BD6</f>
        <v>Y</v>
      </c>
      <c r="AC12" s="305"/>
      <c r="AD12" s="305"/>
      <c r="AE12" s="305"/>
      <c r="AF12" s="305"/>
      <c r="AG12" s="305"/>
      <c r="AH12" s="305"/>
      <c r="AI12" s="305"/>
      <c r="AJ12" s="305"/>
      <c r="AK12" s="305"/>
      <c r="AL12" s="305"/>
      <c r="AM12" s="305"/>
      <c r="AN12" s="305"/>
    </row>
    <row r="13" spans="1:40" x14ac:dyDescent="0.15">
      <c r="A13" s="270" t="str">
        <f>'Tariffs Jan2017'!F7</f>
        <v>EnergyAustralia</v>
      </c>
      <c r="B13" s="40" t="str">
        <f>'Tariffs Jan2017'!D7</f>
        <v>Multinet 1</v>
      </c>
      <c r="C13" s="40" t="str">
        <f>'Tariffs Jan2017'!G7</f>
        <v xml:space="preserve">Flexi Saver </v>
      </c>
      <c r="D13" s="59">
        <f>365*'Tariffs Jan2017'!H7/100</f>
        <v>268.64</v>
      </c>
      <c r="E13" s="59">
        <f>IF($C$5*'Tariffs Jan2017'!AK7/'Tariffs Jan2017'!AI7&gt;='Tariffs Jan2017'!J7,( 'Tariffs Jan2017'!J7*'Tariffs Jan2017'!O7/100)* 'Tariffs Jan2017'!AI7,($C$5*'Tariffs Jan2017'!AK7/'Tariffs Jan2017'!AI7*'Tariffs Jan2017'!O7/100)* 'Tariffs Jan2017'!AI7)</f>
        <v>206.10000000000002</v>
      </c>
      <c r="F13" s="59">
        <f>IF($C$5*'Tariffs Jan2017'!AK7/'Tariffs Jan2017'!AI7&lt;'Tariffs Jan2017'!J7,0,IF($C$5*'Tariffs Jan2017'!AK7/'Tariffs Jan2017'!AI7&lt;='Tariffs Jan2017'!K7,($C$5*'Tariffs Jan2017'!AK7/'Tariffs Jan2017'!AI7-'Tariffs Jan2017'!J7)*('Tariffs Jan2017'!P7/100)*'Tariffs Jan2017'!AI7,('Tariffs Jan2017'!K7-'Tariffs Jan2017'!J7)*('Tariffs Jan2017'!P7/100)*'Tariffs Jan2017'!AI7))</f>
        <v>180.89999999999998</v>
      </c>
      <c r="G13" s="59">
        <f>IF($C$5*'Tariffs Jan2017'!AK7/'Tariffs Jan2017'!AI7&lt;'Tariffs Jan2017'!K7,0,IF($C$5*'Tariffs Jan2017'!AK7/'Tariffs Jan2017'!AI7&lt;='Tariffs Jan2017'!L7,($C$5*'Tariffs Jan2017'!AK7/'Tariffs Jan2017'!AI7-'Tariffs Jan2017'!K7)*('Tariffs Jan2017'!Q7/100)*'Tariffs Jan2017'!AI7,('Tariffs Jan2017'!L7-'Tariffs Jan2017'!K7)*('Tariffs Jan2017'!Q7/100)*'Tariffs Jan2017'!AI7))</f>
        <v>32.200000000000017</v>
      </c>
      <c r="H13" s="59">
        <f>IF($C$5*'Tariffs Jan2017'!AK7/'Tariffs Jan2017'!AI7&lt;'Tariffs Jan2017'!L7,0,IF($C$5*'Tariffs Jan2017'!AK7/'Tariffs Jan2017'!AI7&lt;='Tariffs Jan2017'!M7,($C$5*'Tariffs Jan2017'!AK7/'Tariffs Jan2017'!AI7-'Tariffs Jan2017'!L7)*('Tariffs Jan2017'!R7/100)*'Tariffs Jan2017'!AI7,('Tariffs Jan2017'!M7-'Tariffs Jan2017'!L7)*('Tariffs Jan2017'!R7/100)*'Tariffs Jan2017'!AI7))</f>
        <v>0</v>
      </c>
      <c r="I13" s="59">
        <f>IF(($C$5*'Tariffs Jan2017'!AK7/'Tariffs Jan2017'!AI7&gt;'Tariffs Jan2017'!M7),($C$5*'Tariffs Jan2017'!AK7/'Tariffs Jan2017'!AI7-'Tariffs Jan2017'!M7)*'Tariffs Jan2017'!S7/100*'Tariffs Jan2017'!AI7,0)</f>
        <v>0</v>
      </c>
      <c r="J13" s="59">
        <f>IF($C$5*'Tariffs Jan2017'!AL7/'Tariffs Jan2017'!AJ7&gt;='Tariffs Jan2017'!J7,('Tariffs Jan2017'!J7*'Tariffs Jan2017'!U7/100)* 'Tariffs Jan2017'!AJ7,($C$5*'Tariffs Jan2017'!AL7/'Tariffs Jan2017'!AJ7*'Tariffs Jan2017'!U7/100)* 'Tariffs Jan2017'!AJ7)</f>
        <v>191.7</v>
      </c>
      <c r="K13" s="59">
        <f>IF($C$5*'Tariffs Jan2017'!AL7/'Tariffs Jan2017'!AJ7&lt;'Tariffs Jan2017'!J7,0,IF($C$5*'Tariffs Jan2017'!AL7/'Tariffs Jan2017'!AJ7&lt;='Tariffs Jan2017'!K7,($C$5*'Tariffs Jan2017'!AL7/'Tariffs Jan2017'!AJ7-'Tariffs Jan2017'!J7)*('Tariffs Jan2017'!V7/100)*'Tariffs Jan2017'!AJ7,('Tariffs Jan2017'!K7-'Tariffs Jan2017'!J7)*('Tariffs Jan2017'!V7/100)*'Tariffs Jan2017'!AJ7))</f>
        <v>162.00000000000003</v>
      </c>
      <c r="L13" s="59">
        <f>IF($C$5*'Tariffs Jan2017'!AL7/'Tariffs Jan2017'!AJ7&lt;'Tariffs Jan2017'!K7,0,IF($C$5*'Tariffs Jan2017'!AL7/'Tariffs Jan2017'!AJ7&lt;='Tariffs Jan2017'!L7,($C$5*'Tariffs Jan2017'!AL7/'Tariffs Jan2017'!AJ7-'Tariffs Jan2017'!K7)*('Tariffs Jan2017'!W7/100)*'Tariffs Jan2017'!AJ7,('Tariffs Jan2017'!L7-'Tariffs Jan2017'!K7)*('Tariffs Jan2017'!W7/100)*'Tariffs Jan2017'!AJ7))</f>
        <v>29.400000000000013</v>
      </c>
      <c r="M13" s="59">
        <f>IF($C$5*'Tariffs Jan2017'!AL7/'Tariffs Jan2017'!AJ7&lt;'Tariffs Jan2017'!L7,0,IF($C$5*'Tariffs Jan2017'!AL7/'Tariffs Jan2017'!AJ7&lt;='Tariffs Jan2017'!M7,($C$5*'Tariffs Jan2017'!AL7/'Tariffs Jan2017'!AJ7-'Tariffs Jan2017'!L7)*('Tariffs Jan2017'!X7/100)*'Tariffs Jan2017'!AJ7,('Tariffs Jan2017'!M7-'Tariffs Jan2017'!L7)*('Tariffs Jan2017'!X7/100)*'Tariffs Jan2017'!AJ7))</f>
        <v>0</v>
      </c>
      <c r="N13" s="59">
        <f>IF(($C$5*'Tariffs Jan2017'!AL7/'Tariffs Jan2017'!AJ7&gt;'Tariffs Jan2017'!M7),($C$5*'Tariffs Jan2017'!AL7/'Tariffs Jan2017'!AJ7-'Tariffs Jan2017'!M7)*'Tariffs Jan2017'!Y7/100*'Tariffs Jan2017'!AJ7,0)</f>
        <v>0</v>
      </c>
      <c r="O13" s="271">
        <f t="shared" si="0"/>
        <v>802.30000000000007</v>
      </c>
      <c r="P13" s="59">
        <f t="shared" si="1"/>
        <v>1070.94</v>
      </c>
      <c r="Q13" s="272">
        <f t="shared" si="2"/>
        <v>1178.0340000000001</v>
      </c>
      <c r="R13" s="40">
        <f>'Tariffs Jan2017'!AM7</f>
        <v>0</v>
      </c>
      <c r="S13" s="40">
        <f>'Tariffs Jan2017'!AN7</f>
        <v>0</v>
      </c>
      <c r="T13" s="40">
        <f>'Tariffs Jan2017'!AO7</f>
        <v>0</v>
      </c>
      <c r="U13" s="40">
        <f>'Tariffs Jan2017'!AP7</f>
        <v>16</v>
      </c>
      <c r="V13" s="273">
        <f t="shared" si="3"/>
        <v>1070.94</v>
      </c>
      <c r="W13" s="273">
        <f>V13-(O13*U13/100)</f>
        <v>942.572</v>
      </c>
      <c r="X13" s="272">
        <f t="shared" si="4"/>
        <v>1178.0340000000001</v>
      </c>
      <c r="Y13" s="272">
        <f t="shared" si="4"/>
        <v>1036.8292000000001</v>
      </c>
      <c r="Z13" s="274">
        <f>'Tariffs Jan2017'!AW7</f>
        <v>0</v>
      </c>
      <c r="AA13" s="274" t="str">
        <f>'Tariffs Jan2017'!AX7</f>
        <v>n</v>
      </c>
      <c r="AB13" s="275" t="str">
        <f>'Tariffs Jan2017'!BD7</f>
        <v>N</v>
      </c>
      <c r="AC13" s="305"/>
      <c r="AD13" s="305"/>
      <c r="AE13" s="305"/>
      <c r="AF13" s="305"/>
      <c r="AG13" s="305"/>
      <c r="AH13" s="305"/>
      <c r="AI13" s="305"/>
      <c r="AJ13" s="305"/>
      <c r="AK13" s="305"/>
      <c r="AL13" s="305"/>
      <c r="AM13" s="305"/>
      <c r="AN13" s="305"/>
    </row>
    <row r="14" spans="1:40" x14ac:dyDescent="0.15">
      <c r="A14" s="270" t="str">
        <f>'Tariffs Jan2017'!F8</f>
        <v>Lumo Energy</v>
      </c>
      <c r="B14" s="40" t="str">
        <f>'Tariffs Jan2017'!D8</f>
        <v>Multinet 1</v>
      </c>
      <c r="C14" s="40" t="str">
        <f>'Tariffs Jan2017'!G8</f>
        <v>Advantage</v>
      </c>
      <c r="D14" s="59">
        <f>365*'Tariffs Jan2017'!H8/100</f>
        <v>232.65100000000001</v>
      </c>
      <c r="E14" s="59">
        <f>IF($C$5*'Tariffs Jan2017'!AK8/'Tariffs Jan2017'!AI8&gt;='Tariffs Jan2017'!J8,( 'Tariffs Jan2017'!J8*'Tariffs Jan2017'!O8/100)* 'Tariffs Jan2017'!AI8,($C$5*'Tariffs Jan2017'!AK8/'Tariffs Jan2017'!AI8*'Tariffs Jan2017'!O8/100)* 'Tariffs Jan2017'!AI8)</f>
        <v>201.42000000000002</v>
      </c>
      <c r="F14" s="59">
        <f>IF($C$5*'Tariffs Jan2017'!AK8/'Tariffs Jan2017'!AI8&lt;'Tariffs Jan2017'!J8,0,IF($C$5*'Tariffs Jan2017'!AK8/'Tariffs Jan2017'!AI8&lt;='Tariffs Jan2017'!K8,($C$5*'Tariffs Jan2017'!AK8/'Tariffs Jan2017'!AI8-'Tariffs Jan2017'!J8)*('Tariffs Jan2017'!P8/100)*'Tariffs Jan2017'!AI8,('Tariffs Jan2017'!K8-'Tariffs Jan2017'!J8)*('Tariffs Jan2017'!P8/100)*'Tariffs Jan2017'!AI8))</f>
        <v>175.23000000000002</v>
      </c>
      <c r="G14" s="59">
        <f>IF($C$5*'Tariffs Jan2017'!AK8/'Tariffs Jan2017'!AI8&lt;'Tariffs Jan2017'!K8,0,IF($C$5*'Tariffs Jan2017'!AK8/'Tariffs Jan2017'!AI8&lt;='Tariffs Jan2017'!L8,($C$5*'Tariffs Jan2017'!AK8/'Tariffs Jan2017'!AI8-'Tariffs Jan2017'!K8)*('Tariffs Jan2017'!Q8/100)*'Tariffs Jan2017'!AI8,('Tariffs Jan2017'!L8-'Tariffs Jan2017'!K8)*('Tariffs Jan2017'!Q8/100)*'Tariffs Jan2017'!AI8))</f>
        <v>31.900000000000013</v>
      </c>
      <c r="H14" s="59">
        <f>IF($C$5*'Tariffs Jan2017'!AK8/'Tariffs Jan2017'!AI8&lt;'Tariffs Jan2017'!L8,0,IF($C$5*'Tariffs Jan2017'!AK8/'Tariffs Jan2017'!AI8&lt;='Tariffs Jan2017'!M8,($C$5*'Tariffs Jan2017'!AK8/'Tariffs Jan2017'!AI8-'Tariffs Jan2017'!L8)*('Tariffs Jan2017'!R8/100)*'Tariffs Jan2017'!AI8,('Tariffs Jan2017'!M8-'Tariffs Jan2017'!L8)*('Tariffs Jan2017'!R8/100)*'Tariffs Jan2017'!AI8))</f>
        <v>0</v>
      </c>
      <c r="I14" s="59">
        <f>IF(($C$5*'Tariffs Jan2017'!AK8/'Tariffs Jan2017'!AI8&gt;'Tariffs Jan2017'!M8),($C$5*'Tariffs Jan2017'!AK8/'Tariffs Jan2017'!AI8-'Tariffs Jan2017'!M8)*'Tariffs Jan2017'!S8/100*'Tariffs Jan2017'!AI8,0)</f>
        <v>0</v>
      </c>
      <c r="J14" s="59">
        <f>IF($C$5*'Tariffs Jan2017'!AL8/'Tariffs Jan2017'!AJ8&gt;='Tariffs Jan2017'!J8,('Tariffs Jan2017'!J8*'Tariffs Jan2017'!U8/100)* 'Tariffs Jan2017'!AJ8,($C$5*'Tariffs Jan2017'!AL8/'Tariffs Jan2017'!AJ8*'Tariffs Jan2017'!U8/100)* 'Tariffs Jan2017'!AJ8)</f>
        <v>189</v>
      </c>
      <c r="K14" s="59">
        <f>IF($C$5*'Tariffs Jan2017'!AL8/'Tariffs Jan2017'!AJ8&lt;'Tariffs Jan2017'!J8,0,IF($C$5*'Tariffs Jan2017'!AL8/'Tariffs Jan2017'!AJ8&lt;='Tariffs Jan2017'!K8,($C$5*'Tariffs Jan2017'!AL8/'Tariffs Jan2017'!AJ8-'Tariffs Jan2017'!J8)*('Tariffs Jan2017'!V8/100)*'Tariffs Jan2017'!AJ8,('Tariffs Jan2017'!K8-'Tariffs Jan2017'!J8)*('Tariffs Jan2017'!V8/100)*'Tariffs Jan2017'!AJ8))</f>
        <v>166.32</v>
      </c>
      <c r="L14" s="59">
        <f>IF($C$5*'Tariffs Jan2017'!AL8/'Tariffs Jan2017'!AJ8&lt;'Tariffs Jan2017'!K8,0,IF($C$5*'Tariffs Jan2017'!AL8/'Tariffs Jan2017'!AJ8&lt;='Tariffs Jan2017'!L8,($C$5*'Tariffs Jan2017'!AL8/'Tariffs Jan2017'!AJ8-'Tariffs Jan2017'!K8)*('Tariffs Jan2017'!W8/100)*'Tariffs Jan2017'!AJ8,('Tariffs Jan2017'!L8-'Tariffs Jan2017'!K8)*('Tariffs Jan2017'!W8/100)*'Tariffs Jan2017'!AJ8))</f>
        <v>30.860000000000014</v>
      </c>
      <c r="M14" s="59">
        <f>IF($C$5*'Tariffs Jan2017'!AL8/'Tariffs Jan2017'!AJ8&lt;'Tariffs Jan2017'!L8,0,IF($C$5*'Tariffs Jan2017'!AL8/'Tariffs Jan2017'!AJ8&lt;='Tariffs Jan2017'!M8,($C$5*'Tariffs Jan2017'!AL8/'Tariffs Jan2017'!AJ8-'Tariffs Jan2017'!L8)*('Tariffs Jan2017'!X8/100)*'Tariffs Jan2017'!AJ8,('Tariffs Jan2017'!M8-'Tariffs Jan2017'!L8)*('Tariffs Jan2017'!X8/100)*'Tariffs Jan2017'!AJ8))</f>
        <v>0</v>
      </c>
      <c r="N14" s="59">
        <f>IF(($C$5*'Tariffs Jan2017'!AL8/'Tariffs Jan2017'!AJ8&gt;'Tariffs Jan2017'!M8),($C$5*'Tariffs Jan2017'!AL8/'Tariffs Jan2017'!AJ8-'Tariffs Jan2017'!M8)*'Tariffs Jan2017'!Y8/100*'Tariffs Jan2017'!AJ8,0)</f>
        <v>0</v>
      </c>
      <c r="O14" s="271">
        <f t="shared" si="0"/>
        <v>794.73000000000013</v>
      </c>
      <c r="P14" s="59">
        <f t="shared" si="1"/>
        <v>1027.3810000000001</v>
      </c>
      <c r="Q14" s="272">
        <f t="shared" si="2"/>
        <v>1130.1191000000001</v>
      </c>
      <c r="R14" s="40">
        <f>'Tariffs Jan2017'!AM8</f>
        <v>0</v>
      </c>
      <c r="S14" s="40">
        <f>'Tariffs Jan2017'!AN8</f>
        <v>0</v>
      </c>
      <c r="T14" s="40">
        <f>'Tariffs Jan2017'!AO8</f>
        <v>15</v>
      </c>
      <c r="U14" s="40">
        <f>'Tariffs Jan2017'!AP8</f>
        <v>0</v>
      </c>
      <c r="V14" s="273">
        <f t="shared" si="3"/>
        <v>1027.3810000000001</v>
      </c>
      <c r="W14" s="273">
        <f>V14-(P14*T14/100)</f>
        <v>873.27385000000004</v>
      </c>
      <c r="X14" s="272">
        <f t="shared" si="4"/>
        <v>1130.1191000000001</v>
      </c>
      <c r="Y14" s="272">
        <f t="shared" si="4"/>
        <v>960.60123500000009</v>
      </c>
      <c r="Z14" s="274">
        <f>'Tariffs Jan2017'!AW8</f>
        <v>24</v>
      </c>
      <c r="AA14" s="274" t="str">
        <f>'Tariffs Jan2017'!AX8</f>
        <v>n</v>
      </c>
      <c r="AB14" s="275" t="str">
        <f>'Tariffs Jan2017'!BD8</f>
        <v>Y</v>
      </c>
      <c r="AC14" s="305"/>
      <c r="AD14" s="305"/>
      <c r="AE14" s="305"/>
      <c r="AF14" s="305"/>
      <c r="AG14" s="305"/>
      <c r="AH14" s="305"/>
      <c r="AI14" s="305"/>
      <c r="AJ14" s="305"/>
      <c r="AK14" s="305"/>
      <c r="AL14" s="305"/>
      <c r="AM14" s="305"/>
      <c r="AN14" s="305"/>
    </row>
    <row r="15" spans="1:40" x14ac:dyDescent="0.15">
      <c r="A15" s="270" t="str">
        <f>'Tariffs Jan2017'!F9</f>
        <v>Momentum Energy</v>
      </c>
      <c r="B15" s="40" t="str">
        <f>'Tariffs Jan2017'!D9</f>
        <v>Multinet 1</v>
      </c>
      <c r="C15" s="40" t="str">
        <f>'Tariffs Jan2017'!G9</f>
        <v>Market offer</v>
      </c>
      <c r="D15" s="59">
        <f>365*'Tariffs Jan2017'!H9/100</f>
        <v>223.16099999999997</v>
      </c>
      <c r="E15" s="59">
        <f>IF($C$5*'Tariffs Jan2017'!AK9/'Tariffs Jan2017'!AI9&gt;='Tariffs Jan2017'!J9,( 'Tariffs Jan2017'!J9*'Tariffs Jan2017'!O9/100)* 'Tariffs Jan2017'!AI9,($C$5*'Tariffs Jan2017'!AK9/'Tariffs Jan2017'!AI9*'Tariffs Jan2017'!O9/100)* 'Tariffs Jan2017'!AI9)</f>
        <v>174.60000000000002</v>
      </c>
      <c r="F15" s="59">
        <f>IF($C$5*'Tariffs Jan2017'!AK9/'Tariffs Jan2017'!AI9&lt;'Tariffs Jan2017'!J9,0,IF($C$5*'Tariffs Jan2017'!AK9/'Tariffs Jan2017'!AI9&lt;='Tariffs Jan2017'!K9,($C$5*'Tariffs Jan2017'!AK9/'Tariffs Jan2017'!AI9-'Tariffs Jan2017'!J9)*('Tariffs Jan2017'!P9/100)*'Tariffs Jan2017'!AI9,('Tariffs Jan2017'!K9-'Tariffs Jan2017'!J9)*('Tariffs Jan2017'!P9/100)*'Tariffs Jan2017'!AI9))</f>
        <v>154.53000000000003</v>
      </c>
      <c r="G15" s="59">
        <f>IF($C$5*'Tariffs Jan2017'!AK9/'Tariffs Jan2017'!AI9&lt;'Tariffs Jan2017'!K9,0,IF($C$5*'Tariffs Jan2017'!AK9/'Tariffs Jan2017'!AI9&lt;='Tariffs Jan2017'!L9,($C$5*'Tariffs Jan2017'!AK9/'Tariffs Jan2017'!AI9-'Tariffs Jan2017'!K9)*('Tariffs Jan2017'!Q9/100)*'Tariffs Jan2017'!AI9,('Tariffs Jan2017'!L9-'Tariffs Jan2017'!K9)*('Tariffs Jan2017'!Q9/100)*'Tariffs Jan2017'!AI9))</f>
        <v>28.840000000000011</v>
      </c>
      <c r="H15" s="59">
        <f>IF($C$5*'Tariffs Jan2017'!AK9/'Tariffs Jan2017'!AI9&lt;'Tariffs Jan2017'!L9,0,IF($C$5*'Tariffs Jan2017'!AK9/'Tariffs Jan2017'!AI9&lt;='Tariffs Jan2017'!M9,($C$5*'Tariffs Jan2017'!AK9/'Tariffs Jan2017'!AI9-'Tariffs Jan2017'!L9)*('Tariffs Jan2017'!R9/100)*'Tariffs Jan2017'!AI9,('Tariffs Jan2017'!M9-'Tariffs Jan2017'!L9)*('Tariffs Jan2017'!R9/100)*'Tariffs Jan2017'!AI9))</f>
        <v>0</v>
      </c>
      <c r="I15" s="59">
        <f>IF(($C$5*'Tariffs Jan2017'!AK9/'Tariffs Jan2017'!AI9&gt;'Tariffs Jan2017'!M9),($C$5*'Tariffs Jan2017'!AK9/'Tariffs Jan2017'!AI9-'Tariffs Jan2017'!M9)*'Tariffs Jan2017'!S9/100*'Tariffs Jan2017'!AI9,0)</f>
        <v>0</v>
      </c>
      <c r="J15" s="59">
        <f>IF($C$5*'Tariffs Jan2017'!AL9/'Tariffs Jan2017'!AJ9&gt;='Tariffs Jan2017'!J9,('Tariffs Jan2017'!J9*'Tariffs Jan2017'!U9/100)* 'Tariffs Jan2017'!AJ9,($C$5*'Tariffs Jan2017'!AL9/'Tariffs Jan2017'!AJ9*'Tariffs Jan2017'!U9/100)* 'Tariffs Jan2017'!AJ9)</f>
        <v>161.10000000000002</v>
      </c>
      <c r="K15" s="59">
        <f>IF($C$5*'Tariffs Jan2017'!AL9/'Tariffs Jan2017'!AJ9&lt;'Tariffs Jan2017'!J9,0,IF($C$5*'Tariffs Jan2017'!AL9/'Tariffs Jan2017'!AJ9&lt;='Tariffs Jan2017'!K9,($C$5*'Tariffs Jan2017'!AL9/'Tariffs Jan2017'!AJ9-'Tariffs Jan2017'!J9)*('Tariffs Jan2017'!V9/100)*'Tariffs Jan2017'!AJ9,('Tariffs Jan2017'!K9-'Tariffs Jan2017'!J9)*('Tariffs Jan2017'!V9/100)*'Tariffs Jan2017'!AJ9))</f>
        <v>143.82000000000002</v>
      </c>
      <c r="L15" s="59">
        <f>IF($C$5*'Tariffs Jan2017'!AL9/'Tariffs Jan2017'!AJ9&lt;'Tariffs Jan2017'!K9,0,IF($C$5*'Tariffs Jan2017'!AL9/'Tariffs Jan2017'!AJ9&lt;='Tariffs Jan2017'!L9,($C$5*'Tariffs Jan2017'!AL9/'Tariffs Jan2017'!AJ9-'Tariffs Jan2017'!K9)*('Tariffs Jan2017'!W9/100)*'Tariffs Jan2017'!AJ9,('Tariffs Jan2017'!L9-'Tariffs Jan2017'!K9)*('Tariffs Jan2017'!W9/100)*'Tariffs Jan2017'!AJ9))</f>
        <v>27.280000000000015</v>
      </c>
      <c r="M15" s="59">
        <f>IF($C$5*'Tariffs Jan2017'!AL9/'Tariffs Jan2017'!AJ9&lt;'Tariffs Jan2017'!L9,0,IF($C$5*'Tariffs Jan2017'!AL9/'Tariffs Jan2017'!AJ9&lt;='Tariffs Jan2017'!M9,($C$5*'Tariffs Jan2017'!AL9/'Tariffs Jan2017'!AJ9-'Tariffs Jan2017'!L9)*('Tariffs Jan2017'!X9/100)*'Tariffs Jan2017'!AJ9,('Tariffs Jan2017'!M9-'Tariffs Jan2017'!L9)*('Tariffs Jan2017'!X9/100)*'Tariffs Jan2017'!AJ9))</f>
        <v>0</v>
      </c>
      <c r="N15" s="59">
        <f>IF(($C$5*'Tariffs Jan2017'!AL9/'Tariffs Jan2017'!AJ9&gt;'Tariffs Jan2017'!M9),($C$5*'Tariffs Jan2017'!AL9/'Tariffs Jan2017'!AJ9-'Tariffs Jan2017'!M9)*'Tariffs Jan2017'!Y9/100*'Tariffs Jan2017'!AJ9,0)</f>
        <v>0</v>
      </c>
      <c r="O15" s="271">
        <f t="shared" si="0"/>
        <v>690.17000000000019</v>
      </c>
      <c r="P15" s="59">
        <f t="shared" si="1"/>
        <v>913.33100000000013</v>
      </c>
      <c r="Q15" s="272">
        <f t="shared" si="2"/>
        <v>1004.6641000000002</v>
      </c>
      <c r="R15" s="40">
        <f>'Tariffs Jan2017'!AM9</f>
        <v>0</v>
      </c>
      <c r="S15" s="40">
        <f>'Tariffs Jan2017'!AN9</f>
        <v>0</v>
      </c>
      <c r="T15" s="40">
        <f>'Tariffs Jan2017'!AO9</f>
        <v>0</v>
      </c>
      <c r="U15" s="40">
        <f>'Tariffs Jan2017'!AP9</f>
        <v>0</v>
      </c>
      <c r="V15" s="273">
        <f t="shared" si="3"/>
        <v>913.33100000000013</v>
      </c>
      <c r="W15" s="273">
        <f>V15</f>
        <v>913.33100000000013</v>
      </c>
      <c r="X15" s="272">
        <f t="shared" si="4"/>
        <v>1004.6641000000002</v>
      </c>
      <c r="Y15" s="272">
        <f t="shared" si="4"/>
        <v>1004.6641000000002</v>
      </c>
      <c r="Z15" s="274">
        <f>'Tariffs Jan2017'!AW9</f>
        <v>0</v>
      </c>
      <c r="AA15" s="274" t="str">
        <f>'Tariffs Jan2017'!AX9</f>
        <v>n</v>
      </c>
      <c r="AB15" s="275" t="str">
        <f>'Tariffs Jan2017'!BD9</f>
        <v>Y</v>
      </c>
      <c r="AC15" s="305"/>
      <c r="AD15" s="305"/>
      <c r="AE15" s="305"/>
      <c r="AF15" s="305"/>
      <c r="AG15" s="305"/>
      <c r="AH15" s="305"/>
      <c r="AI15" s="305"/>
      <c r="AJ15" s="305"/>
      <c r="AK15" s="305"/>
      <c r="AL15" s="305"/>
      <c r="AM15" s="305"/>
      <c r="AN15" s="305"/>
    </row>
    <row r="16" spans="1:40" x14ac:dyDescent="0.15">
      <c r="A16" s="270" t="str">
        <f>'Tariffs Jan2017'!F10</f>
        <v>Origin Energy</v>
      </c>
      <c r="B16" s="40" t="str">
        <f>'Tariffs Jan2017'!D10</f>
        <v>Multinet 1</v>
      </c>
      <c r="C16" s="40" t="str">
        <f>'Tariffs Jan2017'!G10</f>
        <v>Saver</v>
      </c>
      <c r="D16" s="59">
        <f>365*'Tariffs Jan2017'!H10/100</f>
        <v>253.78450000000001</v>
      </c>
      <c r="E16" s="59">
        <f>IF($C$5*'Tariffs Jan2017'!AK10/'Tariffs Jan2017'!AI10&gt;='Tariffs Jan2017'!J10,( 'Tariffs Jan2017'!J10*'Tariffs Jan2017'!O10/100)* 'Tariffs Jan2017'!AI10,($C$5*'Tariffs Jan2017'!AK10/'Tariffs Jan2017'!AI10*'Tariffs Jan2017'!O10/100)* 'Tariffs Jan2017'!AI10)</f>
        <v>398.70000000000005</v>
      </c>
      <c r="F16" s="59">
        <f>IF($C$5*'Tariffs Jan2017'!AK10/'Tariffs Jan2017'!AI10&lt;'Tariffs Jan2017'!J10,0,IF($C$5*'Tariffs Jan2017'!AK10/'Tariffs Jan2017'!AI10&lt;='Tariffs Jan2017'!K10,($C$5*'Tariffs Jan2017'!AK10/'Tariffs Jan2017'!AI10-'Tariffs Jan2017'!J10)*('Tariffs Jan2017'!P10/100)*'Tariffs Jan2017'!AI10,('Tariffs Jan2017'!K10-'Tariffs Jan2017'!J10)*('Tariffs Jan2017'!P10/100)*'Tariffs Jan2017'!AI10))</f>
        <v>36.08000000000002</v>
      </c>
      <c r="G16" s="59">
        <f>IF($C$5*'Tariffs Jan2017'!AK10/'Tariffs Jan2017'!AI10&lt;'Tariffs Jan2017'!K10,0,IF($C$5*'Tariffs Jan2017'!AK10/'Tariffs Jan2017'!AI10&lt;='Tariffs Jan2017'!L10,($C$5*'Tariffs Jan2017'!AK10/'Tariffs Jan2017'!AI10-'Tariffs Jan2017'!K10)*('Tariffs Jan2017'!Q10/100)*'Tariffs Jan2017'!AI10,('Tariffs Jan2017'!L10-'Tariffs Jan2017'!K10)*('Tariffs Jan2017'!Q10/100)*'Tariffs Jan2017'!AI10))</f>
        <v>0</v>
      </c>
      <c r="H16" s="59">
        <f>IF($C$5*'Tariffs Jan2017'!AK10/'Tariffs Jan2017'!AI10&lt;'Tariffs Jan2017'!L10,0,IF($C$5*'Tariffs Jan2017'!AK10/'Tariffs Jan2017'!AI10&lt;='Tariffs Jan2017'!M10,($C$5*'Tariffs Jan2017'!AK10/'Tariffs Jan2017'!AI10-'Tariffs Jan2017'!L10)*('Tariffs Jan2017'!R10/100)*'Tariffs Jan2017'!AI10,('Tariffs Jan2017'!M10-'Tariffs Jan2017'!L10)*('Tariffs Jan2017'!R10/100)*'Tariffs Jan2017'!AI10))</f>
        <v>0</v>
      </c>
      <c r="I16" s="59">
        <f>IF(($C$5*'Tariffs Jan2017'!AK10/'Tariffs Jan2017'!AI10&gt;'Tariffs Jan2017'!M10),($C$5*'Tariffs Jan2017'!AK10/'Tariffs Jan2017'!AI10-'Tariffs Jan2017'!M10)*'Tariffs Jan2017'!S10/100*'Tariffs Jan2017'!AI10,0)</f>
        <v>0</v>
      </c>
      <c r="J16" s="59">
        <f>IF($C$5*'Tariffs Jan2017'!AL10/'Tariffs Jan2017'!AJ10&gt;='Tariffs Jan2017'!J10,('Tariffs Jan2017'!J10*'Tariffs Jan2017'!U10/100)* 'Tariffs Jan2017'!AJ10,($C$5*'Tariffs Jan2017'!AL10/'Tariffs Jan2017'!AJ10*'Tariffs Jan2017'!U10/100)* 'Tariffs Jan2017'!AJ10)</f>
        <v>361.98</v>
      </c>
      <c r="K16" s="59">
        <f>IF($C$5*'Tariffs Jan2017'!AL10/'Tariffs Jan2017'!AJ10&lt;'Tariffs Jan2017'!J10,0,IF($C$5*'Tariffs Jan2017'!AL10/'Tariffs Jan2017'!AJ10&lt;='Tariffs Jan2017'!K10,($C$5*'Tariffs Jan2017'!AL10/'Tariffs Jan2017'!AJ10-'Tariffs Jan2017'!J10)*('Tariffs Jan2017'!V10/100)*'Tariffs Jan2017'!AJ10,('Tariffs Jan2017'!K10-'Tariffs Jan2017'!J10)*('Tariffs Jan2017'!V10/100)*'Tariffs Jan2017'!AJ10))</f>
        <v>31.680000000000014</v>
      </c>
      <c r="L16" s="59">
        <f>IF($C$5*'Tariffs Jan2017'!AL10/'Tariffs Jan2017'!AJ10&lt;'Tariffs Jan2017'!K10,0,IF($C$5*'Tariffs Jan2017'!AL10/'Tariffs Jan2017'!AJ10&lt;='Tariffs Jan2017'!L10,($C$5*'Tariffs Jan2017'!AL10/'Tariffs Jan2017'!AJ10-'Tariffs Jan2017'!K10)*('Tariffs Jan2017'!W10/100)*'Tariffs Jan2017'!AJ10,('Tariffs Jan2017'!L10-'Tariffs Jan2017'!K10)*('Tariffs Jan2017'!W10/100)*'Tariffs Jan2017'!AJ10))</f>
        <v>0</v>
      </c>
      <c r="M16" s="59">
        <f>IF($C$5*'Tariffs Jan2017'!AL10/'Tariffs Jan2017'!AJ10&lt;'Tariffs Jan2017'!L10,0,IF($C$5*'Tariffs Jan2017'!AL10/'Tariffs Jan2017'!AJ10&lt;='Tariffs Jan2017'!M10,($C$5*'Tariffs Jan2017'!AL10/'Tariffs Jan2017'!AJ10-'Tariffs Jan2017'!L10)*('Tariffs Jan2017'!X10/100)*'Tariffs Jan2017'!AJ10,('Tariffs Jan2017'!M10-'Tariffs Jan2017'!L10)*('Tariffs Jan2017'!X10/100)*'Tariffs Jan2017'!AJ10))</f>
        <v>0</v>
      </c>
      <c r="N16" s="59">
        <f>IF(($C$5*'Tariffs Jan2017'!AL10/'Tariffs Jan2017'!AJ10&gt;'Tariffs Jan2017'!M10),($C$5*'Tariffs Jan2017'!AL10/'Tariffs Jan2017'!AJ10-'Tariffs Jan2017'!M10)*'Tariffs Jan2017'!Y10/100*'Tariffs Jan2017'!AJ10,0)</f>
        <v>0</v>
      </c>
      <c r="O16" s="271">
        <f t="shared" si="0"/>
        <v>828.44000000000017</v>
      </c>
      <c r="P16" s="59">
        <f t="shared" si="1"/>
        <v>1082.2245000000003</v>
      </c>
      <c r="Q16" s="272">
        <f t="shared" si="2"/>
        <v>1190.4469500000005</v>
      </c>
      <c r="R16" s="40">
        <f>'Tariffs Jan2017'!AM10</f>
        <v>0</v>
      </c>
      <c r="S16" s="40">
        <f>'Tariffs Jan2017'!AN10</f>
        <v>0</v>
      </c>
      <c r="T16" s="40">
        <f>'Tariffs Jan2017'!AO10</f>
        <v>0</v>
      </c>
      <c r="U16" s="40">
        <f>'Tariffs Jan2017'!AP10</f>
        <v>13</v>
      </c>
      <c r="V16" s="273">
        <f t="shared" si="3"/>
        <v>1082.2245000000003</v>
      </c>
      <c r="W16" s="273">
        <f>V16-(O16*U16/100)</f>
        <v>974.5273000000002</v>
      </c>
      <c r="X16" s="272">
        <f t="shared" si="4"/>
        <v>1190.4469500000005</v>
      </c>
      <c r="Y16" s="272">
        <f t="shared" si="4"/>
        <v>1071.9800300000004</v>
      </c>
      <c r="Z16" s="274">
        <f>'Tariffs Jan2017'!AW10</f>
        <v>0</v>
      </c>
      <c r="AA16" s="274" t="str">
        <f>'Tariffs Jan2017'!AX10</f>
        <v>n</v>
      </c>
      <c r="AB16" s="275" t="str">
        <f>'Tariffs Jan2017'!BD10</f>
        <v>N</v>
      </c>
      <c r="AC16" s="305"/>
      <c r="AD16" s="305"/>
      <c r="AE16" s="305"/>
      <c r="AF16" s="305"/>
      <c r="AG16" s="305"/>
      <c r="AH16" s="305"/>
      <c r="AI16" s="305"/>
      <c r="AJ16" s="305"/>
      <c r="AK16" s="305"/>
      <c r="AL16" s="305"/>
      <c r="AM16" s="305"/>
      <c r="AN16" s="305"/>
    </row>
    <row r="17" spans="1:40" x14ac:dyDescent="0.15">
      <c r="A17" s="270" t="str">
        <f>'Tariffs Jan2017'!F11</f>
        <v>Red Energy</v>
      </c>
      <c r="B17" s="40" t="str">
        <f>'Tariffs Jan2017'!D11</f>
        <v>Multinet 1</v>
      </c>
      <c r="C17" s="40" t="str">
        <f>'Tariffs Jan2017'!G11</f>
        <v>Living Energy Saver</v>
      </c>
      <c r="D17" s="59">
        <f>365*'Tariffs Jan2017'!H11/100</f>
        <v>255.5</v>
      </c>
      <c r="E17" s="59">
        <f>IF($C$5*'Tariffs Jan2017'!AK11/'Tariffs Jan2017'!AI11&gt;='Tariffs Jan2017'!J11,( 'Tariffs Jan2017'!J11*'Tariffs Jan2017'!O11/100)* 'Tariffs Jan2017'!AI11,($C$5*'Tariffs Jan2017'!AK11/'Tariffs Jan2017'!AI11*'Tariffs Jan2017'!O11/100)* 'Tariffs Jan2017'!AI11)</f>
        <v>356.58</v>
      </c>
      <c r="F17" s="59">
        <f>IF($C$5*'Tariffs Jan2017'!AK11/'Tariffs Jan2017'!AI11&lt;'Tariffs Jan2017'!J11,0,IF($C$5*'Tariffs Jan2017'!AK11/'Tariffs Jan2017'!AI11&lt;='Tariffs Jan2017'!K11,($C$5*'Tariffs Jan2017'!AK11/'Tariffs Jan2017'!AI11-'Tariffs Jan2017'!J11)*('Tariffs Jan2017'!P11/100)*'Tariffs Jan2017'!AI11,('Tariffs Jan2017'!K11-'Tariffs Jan2017'!J11)*('Tariffs Jan2017'!P11/100)*'Tariffs Jan2017'!AI11))</f>
        <v>30.840000000000014</v>
      </c>
      <c r="G17" s="59">
        <f>IF($C$5*'Tariffs Jan2017'!AK11/'Tariffs Jan2017'!AI11&lt;'Tariffs Jan2017'!K11,0,IF($C$5*'Tariffs Jan2017'!AK11/'Tariffs Jan2017'!AI11&lt;='Tariffs Jan2017'!L11,($C$5*'Tariffs Jan2017'!AK11/'Tariffs Jan2017'!AI11-'Tariffs Jan2017'!K11)*('Tariffs Jan2017'!S11/100)*'Tariffs Jan2017'!AI11,('Tariffs Jan2017'!L11-'Tariffs Jan2017'!K11)*('Tariffs Jan2017'!S11/100)*'Tariffs Jan2017'!AI11))</f>
        <v>0</v>
      </c>
      <c r="H17" s="59">
        <f>IF($C$5*'Tariffs Jan2017'!AK11/'Tariffs Jan2017'!AI11&lt;'Tariffs Jan2017'!L11,0,IF($C$5*'Tariffs Jan2017'!AK11/'Tariffs Jan2017'!AI11&lt;='Tariffs Jan2017'!M11,($C$5*'Tariffs Jan2017'!AK11/'Tariffs Jan2017'!AI11-'Tariffs Jan2017'!L11)*('Tariffs Jan2017'!R11/100)*'Tariffs Jan2017'!AI11,('Tariffs Jan2017'!M11-'Tariffs Jan2017'!L11)*('Tariffs Jan2017'!R11/100)*'Tariffs Jan2017'!AI11))</f>
        <v>0</v>
      </c>
      <c r="I17" s="59">
        <f>IF(($C$5*'Tariffs Jan2017'!AK11/'Tariffs Jan2017'!AI11&gt;'Tariffs Jan2017'!M11),($C$5*'Tariffs Jan2017'!AK11/'Tariffs Jan2017'!AI11-'Tariffs Jan2017'!M11)*'Tariffs Jan2017'!S11/100*'Tariffs Jan2017'!AI11,0)</f>
        <v>0</v>
      </c>
      <c r="J17" s="59">
        <f>IF($C$5*'Tariffs Jan2017'!AL11/'Tariffs Jan2017'!AJ11&gt;='Tariffs Jan2017'!J11,('Tariffs Jan2017'!J11*'Tariffs Jan2017'!U11/100)* 'Tariffs Jan2017'!AJ11,($C$5*'Tariffs Jan2017'!AL11/'Tariffs Jan2017'!AJ11*'Tariffs Jan2017'!U11/100)* 'Tariffs Jan2017'!AJ11)</f>
        <v>336.24</v>
      </c>
      <c r="K17" s="59">
        <f>IF($C$5*'Tariffs Jan2017'!AL11/'Tariffs Jan2017'!AJ11&lt;'Tariffs Jan2017'!J11,0,IF($C$5*'Tariffs Jan2017'!AL11/'Tariffs Jan2017'!AJ11&lt;='Tariffs Jan2017'!K11,($C$5*'Tariffs Jan2017'!AL11/'Tariffs Jan2017'!AJ11-'Tariffs Jan2017'!J11)*('Tariffs Jan2017'!V11/100)*'Tariffs Jan2017'!AJ11,('Tariffs Jan2017'!K11-'Tariffs Jan2017'!J11)*('Tariffs Jan2017'!V11/100)*'Tariffs Jan2017'!AJ11))</f>
        <v>29.960000000000015</v>
      </c>
      <c r="L17" s="59">
        <f>IF($C$5*'Tariffs Jan2017'!AL11/'Tariffs Jan2017'!AJ11&lt;'Tariffs Jan2017'!K11,0,IF($C$5*'Tariffs Jan2017'!AL11/'Tariffs Jan2017'!AJ11&lt;='Tariffs Jan2017'!L11,($C$5*'Tariffs Jan2017'!AL11/'Tariffs Jan2017'!AJ11-'Tariffs Jan2017'!K11)*('Tariffs Jan2017'!Y11/100)*'Tariffs Jan2017'!AJ11,('Tariffs Jan2017'!L11-'Tariffs Jan2017'!K11)*('Tariffs Jan2017'!Y11/100)*'Tariffs Jan2017'!AJ11))</f>
        <v>0</v>
      </c>
      <c r="M17" s="59">
        <f>IF($C$5*'Tariffs Jan2017'!AL11/'Tariffs Jan2017'!AJ11&lt;'Tariffs Jan2017'!L11,0,IF($C$5*'Tariffs Jan2017'!AL11/'Tariffs Jan2017'!AJ11&lt;='Tariffs Jan2017'!M11,($C$5*'Tariffs Jan2017'!AL11/'Tariffs Jan2017'!AJ11-'Tariffs Jan2017'!L11)*('Tariffs Jan2017'!X11/100)*'Tariffs Jan2017'!AJ11,('Tariffs Jan2017'!M11-'Tariffs Jan2017'!L11)*('Tariffs Jan2017'!X11/100)*'Tariffs Jan2017'!AJ11))</f>
        <v>0</v>
      </c>
      <c r="N17" s="59">
        <f>IF(($C$5*'Tariffs Jan2017'!AL11/'Tariffs Jan2017'!AJ11&gt;'Tariffs Jan2017'!M11),($C$5*'Tariffs Jan2017'!AL11/'Tariffs Jan2017'!AJ11-'Tariffs Jan2017'!M11)*'Tariffs Jan2017'!Y11/100*'Tariffs Jan2017'!AJ11,0)</f>
        <v>0</v>
      </c>
      <c r="O17" s="271">
        <f t="shared" si="0"/>
        <v>753.62000000000012</v>
      </c>
      <c r="P17" s="59">
        <f t="shared" si="1"/>
        <v>1009.1200000000001</v>
      </c>
      <c r="Q17" s="272">
        <f t="shared" si="2"/>
        <v>1110.0320000000002</v>
      </c>
      <c r="R17" s="40">
        <f>'Tariffs Jan2017'!AM11</f>
        <v>0</v>
      </c>
      <c r="S17" s="40">
        <f>'Tariffs Jan2017'!AN11</f>
        <v>0</v>
      </c>
      <c r="T17" s="40">
        <f>'Tariffs Jan2017'!AO11</f>
        <v>10</v>
      </c>
      <c r="U17" s="40">
        <f>'Tariffs Jan2017'!AP11</f>
        <v>0</v>
      </c>
      <c r="V17" s="273">
        <f t="shared" si="3"/>
        <v>1009.1200000000001</v>
      </c>
      <c r="W17" s="273">
        <f>V17-(P17*T17/100)</f>
        <v>908.20800000000008</v>
      </c>
      <c r="X17" s="272">
        <f t="shared" si="4"/>
        <v>1110.0320000000002</v>
      </c>
      <c r="Y17" s="272">
        <f t="shared" si="4"/>
        <v>999.02880000000016</v>
      </c>
      <c r="Z17" s="274">
        <f>'Tariffs Jan2017'!AW11</f>
        <v>0</v>
      </c>
      <c r="AA17" s="274" t="str">
        <f>'Tariffs Jan2017'!AX11</f>
        <v>n</v>
      </c>
      <c r="AB17" s="275" t="str">
        <f>'Tariffs Jan2017'!BD11</f>
        <v>Y</v>
      </c>
      <c r="AC17" s="305"/>
      <c r="AD17" s="305"/>
      <c r="AE17" s="305"/>
      <c r="AF17" s="305"/>
      <c r="AG17" s="305"/>
      <c r="AH17" s="305"/>
      <c r="AI17" s="305"/>
      <c r="AJ17" s="305"/>
      <c r="AK17" s="305"/>
      <c r="AL17" s="305"/>
      <c r="AM17" s="305"/>
      <c r="AN17" s="305"/>
    </row>
    <row r="18" spans="1:40" ht="14" thickBot="1" x14ac:dyDescent="0.2">
      <c r="A18" s="276" t="str">
        <f>'Tariffs Jan2017'!F12</f>
        <v>Simply Energy</v>
      </c>
      <c r="B18" s="277" t="str">
        <f>'Tariffs Jan2017'!D12</f>
        <v>Multinet 1</v>
      </c>
      <c r="C18" s="277" t="str">
        <f>'Tariffs Jan2017'!G12</f>
        <v>Plus</v>
      </c>
      <c r="D18" s="278">
        <f>365*'Tariffs Jan2017'!H12/100</f>
        <v>256.52199999999999</v>
      </c>
      <c r="E18" s="278">
        <f>IF($C$5*'Tariffs Jan2017'!AK12/'Tariffs Jan2017'!AI12&gt;='Tariffs Jan2017'!J12,( 'Tariffs Jan2017'!J12*'Tariffs Jan2017'!O12/100)* 'Tariffs Jan2017'!AI12,($C$5*'Tariffs Jan2017'!AK12/'Tariffs Jan2017'!AI12*'Tariffs Jan2017'!O12/100)* 'Tariffs Jan2017'!AI12)</f>
        <v>198.00000000000006</v>
      </c>
      <c r="F18" s="278">
        <f>IF($C$5*'Tariffs Jan2017'!AK12/'Tariffs Jan2017'!AI12&lt;'Tariffs Jan2017'!J12,0,IF($C$5*'Tariffs Jan2017'!AK12/'Tariffs Jan2017'!AI12&lt;='Tariffs Jan2017'!K12,($C$5*'Tariffs Jan2017'!AK12/'Tariffs Jan2017'!AI12-'Tariffs Jan2017'!J12)*('Tariffs Jan2017'!P12/100)*'Tariffs Jan2017'!AI12,('Tariffs Jan2017'!K12-'Tariffs Jan2017'!J12)*('Tariffs Jan2017'!P12/100)*'Tariffs Jan2017'!AI12))</f>
        <v>176.39999999999998</v>
      </c>
      <c r="G18" s="278">
        <f>IF($C$5*'Tariffs Jan2017'!AK12/'Tariffs Jan2017'!AI12&lt;'Tariffs Jan2017'!K12,0,IF($C$5*'Tariffs Jan2017'!AK12/'Tariffs Jan2017'!AI12&lt;='Tariffs Jan2017'!L12,($C$5*'Tariffs Jan2017'!AK12/'Tariffs Jan2017'!AI12-'Tariffs Jan2017'!K12)*('Tariffs Jan2017'!Q12/100)*'Tariffs Jan2017'!AI12,('Tariffs Jan2017'!L12-'Tariffs Jan2017'!K12)*('Tariffs Jan2017'!Q12/100)*'Tariffs Jan2017'!AI12))</f>
        <v>33.600000000000016</v>
      </c>
      <c r="H18" s="278">
        <f>IF($C$5*'Tariffs Jan2017'!AK12/'Tariffs Jan2017'!AI12&lt;'Tariffs Jan2017'!L12,0,IF($C$5*'Tariffs Jan2017'!AK12/'Tariffs Jan2017'!AI12&lt;='Tariffs Jan2017'!M12,($C$5*'Tariffs Jan2017'!AK12/'Tariffs Jan2017'!AI12-'Tariffs Jan2017'!L12)*('Tariffs Jan2017'!R12/100)*'Tariffs Jan2017'!AI12,('Tariffs Jan2017'!M12-'Tariffs Jan2017'!L12)*('Tariffs Jan2017'!R12/100)*'Tariffs Jan2017'!AI12))</f>
        <v>0</v>
      </c>
      <c r="I18" s="278">
        <f>IF(($C$5*'Tariffs Jan2017'!AK12/'Tariffs Jan2017'!AI12&gt;'Tariffs Jan2017'!M12),($C$5*'Tariffs Jan2017'!AK12/'Tariffs Jan2017'!AI12-'Tariffs Jan2017'!M12)*'Tariffs Jan2017'!S12/100*'Tariffs Jan2017'!AI12,0)</f>
        <v>0</v>
      </c>
      <c r="J18" s="278">
        <f>IF($C$5*'Tariffs Jan2017'!AL12/'Tariffs Jan2017'!AJ12&gt;='Tariffs Jan2017'!J12,('Tariffs Jan2017'!J12*'Tariffs Jan2017'!U12/100)* 'Tariffs Jan2017'!AJ12,($C$5*'Tariffs Jan2017'!AL12/'Tariffs Jan2017'!AJ12*'Tariffs Jan2017'!U12/100)* 'Tariffs Jan2017'!AJ12)</f>
        <v>187.2</v>
      </c>
      <c r="K18" s="278">
        <f>IF($C$5*'Tariffs Jan2017'!AL12/'Tariffs Jan2017'!AJ12&lt;'Tariffs Jan2017'!J12,0,IF($C$5*'Tariffs Jan2017'!AL12/'Tariffs Jan2017'!AJ12&lt;='Tariffs Jan2017'!K12,($C$5*'Tariffs Jan2017'!AL12/'Tariffs Jan2017'!AJ12-'Tariffs Jan2017'!J12)*('Tariffs Jan2017'!V12/100)*'Tariffs Jan2017'!AJ12,('Tariffs Jan2017'!K12-'Tariffs Jan2017'!J12)*('Tariffs Jan2017'!V12/100)*'Tariffs Jan2017'!AJ12))</f>
        <v>169.2</v>
      </c>
      <c r="L18" s="278">
        <f>IF($C$5*'Tariffs Jan2017'!AL12/'Tariffs Jan2017'!AJ12&lt;'Tariffs Jan2017'!K12,0,IF($C$5*'Tariffs Jan2017'!AL12/'Tariffs Jan2017'!AJ12&lt;='Tariffs Jan2017'!L12,($C$5*'Tariffs Jan2017'!AL12/'Tariffs Jan2017'!AJ12-'Tariffs Jan2017'!K12)*('Tariffs Jan2017'!W12/100)*'Tariffs Jan2017'!AJ12,('Tariffs Jan2017'!L12-'Tariffs Jan2017'!K12)*('Tariffs Jan2017'!W12/100)*'Tariffs Jan2017'!AJ12))</f>
        <v>32.600000000000009</v>
      </c>
      <c r="M18" s="278">
        <f>IF($C$5*'Tariffs Jan2017'!AL12/'Tariffs Jan2017'!AJ12&lt;'Tariffs Jan2017'!L12,0,IF($C$5*'Tariffs Jan2017'!AL12/'Tariffs Jan2017'!AJ12&lt;='Tariffs Jan2017'!M12,($C$5*'Tariffs Jan2017'!AL12/'Tariffs Jan2017'!AJ12-'Tariffs Jan2017'!L12)*('Tariffs Jan2017'!X12/100)*'Tariffs Jan2017'!AJ12,('Tariffs Jan2017'!M12-'Tariffs Jan2017'!L12)*('Tariffs Jan2017'!X12/100)*'Tariffs Jan2017'!AJ12))</f>
        <v>0</v>
      </c>
      <c r="N18" s="278">
        <f>IF(($C$5*'Tariffs Jan2017'!AL12/'Tariffs Jan2017'!AJ12&gt;'Tariffs Jan2017'!M12),($C$5*'Tariffs Jan2017'!AL12/'Tariffs Jan2017'!AJ12-'Tariffs Jan2017'!M12)*'Tariffs Jan2017'!Y12/100*'Tariffs Jan2017'!AJ12,0)</f>
        <v>0</v>
      </c>
      <c r="O18" s="279">
        <f t="shared" si="0"/>
        <v>797.00000000000011</v>
      </c>
      <c r="P18" s="278">
        <f t="shared" si="1"/>
        <v>1053.5220000000002</v>
      </c>
      <c r="Q18" s="280">
        <f t="shared" si="2"/>
        <v>1158.8742000000002</v>
      </c>
      <c r="R18" s="277">
        <f>'Tariffs Jan2017'!AM12</f>
        <v>0</v>
      </c>
      <c r="S18" s="277">
        <f>'Tariffs Jan2017'!AN12</f>
        <v>0</v>
      </c>
      <c r="T18" s="277">
        <f>'Tariffs Jan2017'!AO12</f>
        <v>0</v>
      </c>
      <c r="U18" s="277">
        <f>'Tariffs Jan2017'!AP12</f>
        <v>15</v>
      </c>
      <c r="V18" s="273">
        <f t="shared" si="3"/>
        <v>1053.5220000000002</v>
      </c>
      <c r="W18" s="281">
        <f>V18-(O18*U18/100)</f>
        <v>933.97200000000021</v>
      </c>
      <c r="X18" s="280">
        <f t="shared" si="4"/>
        <v>1158.8742000000002</v>
      </c>
      <c r="Y18" s="280">
        <f t="shared" si="4"/>
        <v>1027.3692000000003</v>
      </c>
      <c r="Z18" s="282">
        <f>'Tariffs Jan2017'!AW12</f>
        <v>24</v>
      </c>
      <c r="AA18" s="282" t="str">
        <f>'Tariffs Jan2017'!AX12</f>
        <v>n</v>
      </c>
      <c r="AB18" s="283" t="str">
        <f>'Tariffs Jan2017'!BD12</f>
        <v>Y</v>
      </c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</row>
    <row r="19" spans="1:40" ht="14" thickTop="1" x14ac:dyDescent="0.15">
      <c r="A19" s="270" t="str">
        <f>'Tariffs Jan2017'!F13</f>
        <v>AGL</v>
      </c>
      <c r="B19" s="40" t="str">
        <f>'Tariffs Jan2017'!D13</f>
        <v>Multinet 2</v>
      </c>
      <c r="C19" s="40" t="str">
        <f>'Tariffs Jan2017'!G13</f>
        <v>Savers</v>
      </c>
      <c r="D19" s="59">
        <f>365*'Tariffs Jan2017'!H13/100</f>
        <v>284.95549999999997</v>
      </c>
      <c r="E19" s="59">
        <f>IF($C$5*'Tariffs Jan2017'!AK13/'Tariffs Jan2017'!AI13&gt;='Tariffs Jan2017'!J13,( 'Tariffs Jan2017'!J13*'Tariffs Jan2017'!O13/100)* 'Tariffs Jan2017'!AI13,($C$5*'Tariffs Jan2017'!AK13/'Tariffs Jan2017'!AI13*'Tariffs Jan2017'!O13/100)* 'Tariffs Jan2017'!AI13)</f>
        <v>204.03000000000003</v>
      </c>
      <c r="F19" s="59">
        <f>IF($C$5*'Tariffs Jan2017'!AK13/'Tariffs Jan2017'!AI13&lt;'Tariffs Jan2017'!J13,0,IF($C$5*'Tariffs Jan2017'!AK13/'Tariffs Jan2017'!AI13&lt;='Tariffs Jan2017'!K13,($C$5*'Tariffs Jan2017'!AK13/'Tariffs Jan2017'!AI13-'Tariffs Jan2017'!J13)*('Tariffs Jan2017'!P13/100)*'Tariffs Jan2017'!AI13,('Tariffs Jan2017'!K13-'Tariffs Jan2017'!J13)*('Tariffs Jan2017'!P13/100)*'Tariffs Jan2017'!AI13))</f>
        <v>178.64999999999998</v>
      </c>
      <c r="G19" s="59">
        <f>IF($C$5*'Tariffs Jan2017'!AK13/'Tariffs Jan2017'!AI13&lt;'Tariffs Jan2017'!K13,0,IF($C$5*'Tariffs Jan2017'!AK13/'Tariffs Jan2017'!AI13&lt;='Tariffs Jan2017'!L13,($C$5*'Tariffs Jan2017'!AK13/'Tariffs Jan2017'!AI13-'Tariffs Jan2017'!K13)*('Tariffs Jan2017'!Q13/100)*'Tariffs Jan2017'!AI13,('Tariffs Jan2017'!L13-'Tariffs Jan2017'!K13)*('Tariffs Jan2017'!Q13/100)*'Tariffs Jan2017'!AI13))</f>
        <v>32.000000000000014</v>
      </c>
      <c r="H19" s="59">
        <f>IF($C$5*'Tariffs Jan2017'!AK13/'Tariffs Jan2017'!AI13&lt;'Tariffs Jan2017'!L13,0,IF($C$5*'Tariffs Jan2017'!AK13/'Tariffs Jan2017'!AI13&lt;='Tariffs Jan2017'!M13,($C$5*'Tariffs Jan2017'!AK13/'Tariffs Jan2017'!AI13-'Tariffs Jan2017'!L13)*('Tariffs Jan2017'!R13/100)*'Tariffs Jan2017'!AI13,('Tariffs Jan2017'!M13-'Tariffs Jan2017'!L13)*('Tariffs Jan2017'!R13/100)*'Tariffs Jan2017'!AI13))</f>
        <v>0</v>
      </c>
      <c r="I19" s="59">
        <f>IF(($C$5*'Tariffs Jan2017'!AK13/'Tariffs Jan2017'!AI13&gt;'Tariffs Jan2017'!M13),($C$5*'Tariffs Jan2017'!AK13/'Tariffs Jan2017'!AI13-'Tariffs Jan2017'!M13)*'Tariffs Jan2017'!S13/100*'Tariffs Jan2017'!AI13,0)</f>
        <v>0</v>
      </c>
      <c r="J19" s="59">
        <f>IF($C$5*'Tariffs Jan2017'!AL13/'Tariffs Jan2017'!AJ13&gt;='Tariffs Jan2017'!J13,('Tariffs Jan2017'!J13*'Tariffs Jan2017'!U13/100)* 'Tariffs Jan2017'!AJ13,($C$5*'Tariffs Jan2017'!AL13/'Tariffs Jan2017'!AJ13*'Tariffs Jan2017'!U13/100)* 'Tariffs Jan2017'!AJ13)</f>
        <v>193.68</v>
      </c>
      <c r="K19" s="59">
        <f>IF($C$5*'Tariffs Jan2017'!AL13/'Tariffs Jan2017'!AJ13&lt;'Tariffs Jan2017'!J13,0,IF($C$5*'Tariffs Jan2017'!AL13/'Tariffs Jan2017'!AJ13&lt;='Tariffs Jan2017'!K13,($C$5*'Tariffs Jan2017'!AL13/'Tariffs Jan2017'!AJ13-'Tariffs Jan2017'!J13)*('Tariffs Jan2017'!V13/100)*'Tariffs Jan2017'!AJ13,('Tariffs Jan2017'!K13-'Tariffs Jan2017'!J13)*('Tariffs Jan2017'!V13/100)*'Tariffs Jan2017'!AJ13))</f>
        <v>168.92999999999998</v>
      </c>
      <c r="L19" s="59">
        <f>IF($C$5*'Tariffs Jan2017'!AL13/'Tariffs Jan2017'!AJ13&lt;'Tariffs Jan2017'!K13,0,IF($C$5*'Tariffs Jan2017'!AL13/'Tariffs Jan2017'!AJ13&lt;='Tariffs Jan2017'!L13,($C$5*'Tariffs Jan2017'!AL13/'Tariffs Jan2017'!AJ13-'Tariffs Jan2017'!K13)*('Tariffs Jan2017'!W13/100)*'Tariffs Jan2017'!AJ13,('Tariffs Jan2017'!L13-'Tariffs Jan2017'!K13)*('Tariffs Jan2017'!W13/100)*'Tariffs Jan2017'!AJ13))</f>
        <v>30.880000000000017</v>
      </c>
      <c r="M19" s="59">
        <f>IF($C$5*'Tariffs Jan2017'!AL13/'Tariffs Jan2017'!AJ13&lt;'Tariffs Jan2017'!L13,0,IF($C$5*'Tariffs Jan2017'!AL13/'Tariffs Jan2017'!AJ13&lt;='Tariffs Jan2017'!M13,($C$5*'Tariffs Jan2017'!AL13/'Tariffs Jan2017'!AJ13-'Tariffs Jan2017'!L13)*('Tariffs Jan2017'!X13/100)*'Tariffs Jan2017'!AJ13,('Tariffs Jan2017'!M13-'Tariffs Jan2017'!L13)*('Tariffs Jan2017'!X13/100)*'Tariffs Jan2017'!AJ13))</f>
        <v>0</v>
      </c>
      <c r="N19" s="59">
        <f>IF(($C$5*'Tariffs Jan2017'!AL13/'Tariffs Jan2017'!AJ13&gt;'Tariffs Jan2017'!M13),($C$5*'Tariffs Jan2017'!AL13/'Tariffs Jan2017'!AJ13-'Tariffs Jan2017'!M13)*'Tariffs Jan2017'!Y13/100*'Tariffs Jan2017'!AJ13,0)</f>
        <v>0</v>
      </c>
      <c r="O19" s="271">
        <f t="shared" si="0"/>
        <v>808.17</v>
      </c>
      <c r="P19" s="59">
        <f t="shared" si="1"/>
        <v>1093.1254999999999</v>
      </c>
      <c r="Q19" s="272">
        <f t="shared" si="2"/>
        <v>1202.43805</v>
      </c>
      <c r="R19" s="40">
        <f>'Tariffs Jan2017'!AM13</f>
        <v>0</v>
      </c>
      <c r="S19" s="40">
        <f>'Tariffs Jan2017'!AN13</f>
        <v>0</v>
      </c>
      <c r="T19" s="40">
        <f>'Tariffs Jan2017'!AO13</f>
        <v>0</v>
      </c>
      <c r="U19" s="40">
        <f>'Tariffs Jan2017'!AP13</f>
        <v>15</v>
      </c>
      <c r="V19" s="273">
        <f t="shared" si="3"/>
        <v>1093.1254999999999</v>
      </c>
      <c r="W19" s="273">
        <f>V19-(O19*U19/100)</f>
        <v>971.89999999999986</v>
      </c>
      <c r="X19" s="272">
        <f t="shared" si="4"/>
        <v>1202.43805</v>
      </c>
      <c r="Y19" s="272">
        <f t="shared" si="4"/>
        <v>1069.0899999999999</v>
      </c>
      <c r="Z19" s="274">
        <f>'Tariffs Jan2017'!AW13</f>
        <v>0</v>
      </c>
      <c r="AA19" s="274" t="str">
        <f>'Tariffs Jan2017'!AX13</f>
        <v>n</v>
      </c>
      <c r="AB19" s="275" t="str">
        <f>'Tariffs Jan2017'!BD13</f>
        <v>N</v>
      </c>
      <c r="AC19" s="305"/>
      <c r="AD19" s="305"/>
      <c r="AE19" s="305"/>
      <c r="AF19" s="305"/>
      <c r="AG19" s="305"/>
      <c r="AH19" s="305"/>
      <c r="AI19" s="305"/>
      <c r="AJ19" s="305"/>
      <c r="AK19" s="305"/>
      <c r="AL19" s="305"/>
      <c r="AM19" s="305"/>
      <c r="AN19" s="305"/>
    </row>
    <row r="20" spans="1:40" x14ac:dyDescent="0.15">
      <c r="A20" s="270" t="str">
        <f>'Tariffs Jan2017'!F14</f>
        <v>Alinta Energy</v>
      </c>
      <c r="B20" s="40" t="str">
        <f>'Tariffs Jan2017'!D14</f>
        <v>Multinet 2</v>
      </c>
      <c r="C20" s="40" t="str">
        <f>'Tariffs Jan2017'!G14</f>
        <v>Fair Deal</v>
      </c>
      <c r="D20" s="59">
        <f>365*'Tariffs Jan2017'!H14/100</f>
        <v>240.79049999999998</v>
      </c>
      <c r="E20" s="59">
        <f>IF($C$5*'Tariffs Jan2017'!AK14/'Tariffs Jan2017'!AI14&gt;='Tariffs Jan2017'!J14,( 'Tariffs Jan2017'!J14*'Tariffs Jan2017'!O14/100)* 'Tariffs Jan2017'!AI14,($C$5*'Tariffs Jan2017'!AK14/'Tariffs Jan2017'!AI14*'Tariffs Jan2017'!O14/100)* 'Tariffs Jan2017'!AI14)</f>
        <v>189</v>
      </c>
      <c r="F20" s="59">
        <f>IF($C$5*'Tariffs Jan2017'!AK14/'Tariffs Jan2017'!AI14&lt;'Tariffs Jan2017'!J14,0,IF($C$5*'Tariffs Jan2017'!AK14/'Tariffs Jan2017'!AI14&lt;='Tariffs Jan2017'!K14,($C$5*'Tariffs Jan2017'!AK14/'Tariffs Jan2017'!AI14-'Tariffs Jan2017'!J14)*('Tariffs Jan2017'!P14/100)*'Tariffs Jan2017'!AI14,('Tariffs Jan2017'!K14-'Tariffs Jan2017'!J14)*('Tariffs Jan2017'!P14/100)*'Tariffs Jan2017'!AI14))</f>
        <v>142.20000000000002</v>
      </c>
      <c r="G20" s="59">
        <f>IF($C$5*'Tariffs Jan2017'!AK14/'Tariffs Jan2017'!AI14&lt;'Tariffs Jan2017'!K14,0,IF($C$5*'Tariffs Jan2017'!AK14/'Tariffs Jan2017'!AI14&lt;='Tariffs Jan2017'!L14,($C$5*'Tariffs Jan2017'!AK14/'Tariffs Jan2017'!AI14-'Tariffs Jan2017'!K14)*('Tariffs Jan2017'!Q14/100)*'Tariffs Jan2017'!AI14,('Tariffs Jan2017'!L14-'Tariffs Jan2017'!K14)*('Tariffs Jan2017'!Q14/100)*'Tariffs Jan2017'!AI14))</f>
        <v>0</v>
      </c>
      <c r="H20" s="59">
        <f>IF($C$5*'Tariffs Jan2017'!AK14/'Tariffs Jan2017'!AI14&lt;'Tariffs Jan2017'!L14,0,IF($C$5*'Tariffs Jan2017'!AK14/'Tariffs Jan2017'!AI14&lt;='Tariffs Jan2017'!M14,($C$5*'Tariffs Jan2017'!AK14/'Tariffs Jan2017'!AI14-'Tariffs Jan2017'!L14)*('Tariffs Jan2017'!R14/100)*'Tariffs Jan2017'!AI14,('Tariffs Jan2017'!M14-'Tariffs Jan2017'!L14)*('Tariffs Jan2017'!R14/100)*'Tariffs Jan2017'!AI14))</f>
        <v>0</v>
      </c>
      <c r="I20" s="59">
        <f>IF(($C$5*'Tariffs Jan2017'!AK14/'Tariffs Jan2017'!AI14&gt;'Tariffs Jan2017'!M14),($C$5*'Tariffs Jan2017'!AK14/'Tariffs Jan2017'!AI14-'Tariffs Jan2017'!M14)*'Tariffs Jan2017'!S14/100*'Tariffs Jan2017'!AI14,0)</f>
        <v>31.600000000000016</v>
      </c>
      <c r="J20" s="59">
        <f>IF($C$5*'Tariffs Jan2017'!AL14/'Tariffs Jan2017'!AJ14&gt;='Tariffs Jan2017'!J14,('Tariffs Jan2017'!J14*'Tariffs Jan2017'!U14/100)* 'Tariffs Jan2017'!AJ14,($C$5*'Tariffs Jan2017'!AL14/'Tariffs Jan2017'!AJ14*'Tariffs Jan2017'!U14/100)* 'Tariffs Jan2017'!AJ14)</f>
        <v>184.49999999999997</v>
      </c>
      <c r="K20" s="59">
        <f>IF($C$5*'Tariffs Jan2017'!AL14/'Tariffs Jan2017'!AJ14&lt;'Tariffs Jan2017'!J14,0,IF($C$5*'Tariffs Jan2017'!AL14/'Tariffs Jan2017'!AJ14&lt;='Tariffs Jan2017'!K14,($C$5*'Tariffs Jan2017'!AL14/'Tariffs Jan2017'!AJ14-'Tariffs Jan2017'!J14)*('Tariffs Jan2017'!V14/100)*'Tariffs Jan2017'!AJ14,('Tariffs Jan2017'!K14-'Tariffs Jan2017'!J14)*('Tariffs Jan2017'!V14/100)*'Tariffs Jan2017'!AJ14))</f>
        <v>134.10000000000002</v>
      </c>
      <c r="L20" s="59">
        <f>IF($C$5*'Tariffs Jan2017'!AL14/'Tariffs Jan2017'!AJ14&lt;'Tariffs Jan2017'!K14,0,IF($C$5*'Tariffs Jan2017'!AL14/'Tariffs Jan2017'!AJ14&lt;='Tariffs Jan2017'!L14,($C$5*'Tariffs Jan2017'!AL14/'Tariffs Jan2017'!AJ14-'Tariffs Jan2017'!K14)*('Tariffs Jan2017'!W14/100)*'Tariffs Jan2017'!AJ14,('Tariffs Jan2017'!L14-'Tariffs Jan2017'!K14)*('Tariffs Jan2017'!W14/100)*'Tariffs Jan2017'!AJ14))</f>
        <v>0</v>
      </c>
      <c r="M20" s="59">
        <f>IF($C$5*'Tariffs Jan2017'!AL14/'Tariffs Jan2017'!AJ14&lt;'Tariffs Jan2017'!L14,0,IF($C$5*'Tariffs Jan2017'!AL14/'Tariffs Jan2017'!AJ14&lt;='Tariffs Jan2017'!M14,($C$5*'Tariffs Jan2017'!AL14/'Tariffs Jan2017'!AJ14-'Tariffs Jan2017'!L14)*('Tariffs Jan2017'!X14/100)*'Tariffs Jan2017'!AJ14,('Tariffs Jan2017'!M14-'Tariffs Jan2017'!L14)*('Tariffs Jan2017'!X14/100)*'Tariffs Jan2017'!AJ14))</f>
        <v>0</v>
      </c>
      <c r="N20" s="59">
        <f>IF(($C$5*'Tariffs Jan2017'!AL14/'Tariffs Jan2017'!AJ14&gt;'Tariffs Jan2017'!M14),($C$5*'Tariffs Jan2017'!AL14/'Tariffs Jan2017'!AJ14-'Tariffs Jan2017'!M14)*'Tariffs Jan2017'!Y14/100*'Tariffs Jan2017'!AJ14,0)</f>
        <v>29.800000000000018</v>
      </c>
      <c r="O20" s="271">
        <f t="shared" si="0"/>
        <v>711.20000000000016</v>
      </c>
      <c r="P20" s="59">
        <f t="shared" si="1"/>
        <v>951.99050000000011</v>
      </c>
      <c r="Q20" s="272">
        <f t="shared" si="2"/>
        <v>1047.1895500000003</v>
      </c>
      <c r="R20" s="40">
        <f>'Tariffs Jan2017'!AM14</f>
        <v>0</v>
      </c>
      <c r="S20" s="40">
        <f>'Tariffs Jan2017'!AN14</f>
        <v>0</v>
      </c>
      <c r="T20" s="40">
        <f>'Tariffs Jan2017'!AO14</f>
        <v>0</v>
      </c>
      <c r="U20" s="40">
        <f>'Tariffs Jan2017'!AP14</f>
        <v>15</v>
      </c>
      <c r="V20" s="273">
        <f t="shared" si="3"/>
        <v>951.99050000000011</v>
      </c>
      <c r="W20" s="273">
        <f>V20-(O20*U20/100)</f>
        <v>845.31050000000005</v>
      </c>
      <c r="X20" s="272">
        <f t="shared" si="4"/>
        <v>1047.1895500000003</v>
      </c>
      <c r="Y20" s="272">
        <f t="shared" si="4"/>
        <v>929.8415500000001</v>
      </c>
      <c r="Z20" s="274">
        <f>'Tariffs Jan2017'!AW14</f>
        <v>0</v>
      </c>
      <c r="AA20" s="274" t="str">
        <f>'Tariffs Jan2017'!AX14</f>
        <v>n</v>
      </c>
      <c r="AB20" s="275" t="str">
        <f>'Tariffs Jan2017'!BD14</f>
        <v>Y</v>
      </c>
      <c r="AC20" s="305"/>
      <c r="AD20" s="305"/>
      <c r="AE20" s="305"/>
      <c r="AF20" s="305"/>
      <c r="AG20" s="305"/>
      <c r="AH20" s="305"/>
      <c r="AI20" s="305"/>
      <c r="AJ20" s="305"/>
      <c r="AK20" s="305"/>
      <c r="AL20" s="305"/>
      <c r="AM20" s="305"/>
      <c r="AN20" s="305"/>
    </row>
    <row r="21" spans="1:40" x14ac:dyDescent="0.15">
      <c r="A21" s="270" t="str">
        <f>'Tariffs Jan2017'!F15</f>
        <v>Click Energy</v>
      </c>
      <c r="B21" s="40" t="str">
        <f>'Tariffs Jan2017'!D15</f>
        <v>Multinet 2</v>
      </c>
      <c r="C21" s="40" t="str">
        <f>'Tariffs Jan2017'!G15</f>
        <v>Amber</v>
      </c>
      <c r="D21" s="59">
        <f>365*'Tariffs Jan2017'!H15/100</f>
        <v>259.14999999999998</v>
      </c>
      <c r="E21" s="59">
        <f>IF($C$5*'Tariffs Jan2017'!AK15/'Tariffs Jan2017'!AI15&gt;='Tariffs Jan2017'!J15,( 'Tariffs Jan2017'!J15*'Tariffs Jan2017'!O15/100)* 'Tariffs Jan2017'!AI15,($C$5*'Tariffs Jan2017'!AK15/'Tariffs Jan2017'!AI15*'Tariffs Jan2017'!O15/100)* 'Tariffs Jan2017'!AI15)</f>
        <v>216</v>
      </c>
      <c r="F21" s="59">
        <f>IF($C$5*'Tariffs Jan2017'!AK15/'Tariffs Jan2017'!AI15&lt;'Tariffs Jan2017'!J15,0,IF($C$5*'Tariffs Jan2017'!AK15/'Tariffs Jan2017'!AI15&lt;='Tariffs Jan2017'!K15,($C$5*'Tariffs Jan2017'!AK15/'Tariffs Jan2017'!AI15-'Tariffs Jan2017'!J15)*('Tariffs Jan2017'!P15/100)*'Tariffs Jan2017'!AI15,('Tariffs Jan2017'!K15-'Tariffs Jan2017'!J15)*('Tariffs Jan2017'!P15/100)*'Tariffs Jan2017'!AI15))</f>
        <v>184.49999999999997</v>
      </c>
      <c r="G21" s="59">
        <f>IF($C$5*'Tariffs Jan2017'!AK15/'Tariffs Jan2017'!AI15&lt;'Tariffs Jan2017'!K15,0,IF($C$5*'Tariffs Jan2017'!AK15/'Tariffs Jan2017'!AI15&lt;='Tariffs Jan2017'!L15,($C$5*'Tariffs Jan2017'!AK15/'Tariffs Jan2017'!AI15-'Tariffs Jan2017'!K15)*('Tariffs Jan2017'!Q15/100)*'Tariffs Jan2017'!AI15,('Tariffs Jan2017'!L15-'Tariffs Jan2017'!K15)*('Tariffs Jan2017'!Q15/100)*'Tariffs Jan2017'!AI15))</f>
        <v>34.000000000000014</v>
      </c>
      <c r="H21" s="59">
        <f>IF($C$5*'Tariffs Jan2017'!AK15/'Tariffs Jan2017'!AI15&lt;'Tariffs Jan2017'!L15,0,IF($C$5*'Tariffs Jan2017'!AK15/'Tariffs Jan2017'!AI15&lt;='Tariffs Jan2017'!M15,($C$5*'Tariffs Jan2017'!AK15/'Tariffs Jan2017'!AI15-'Tariffs Jan2017'!L15)*('Tariffs Jan2017'!R15/100)*'Tariffs Jan2017'!AI15,('Tariffs Jan2017'!M15-'Tariffs Jan2017'!L15)*('Tariffs Jan2017'!R15/100)*'Tariffs Jan2017'!AI15))</f>
        <v>0</v>
      </c>
      <c r="I21" s="59">
        <f>IF(($C$5*'Tariffs Jan2017'!AK15/'Tariffs Jan2017'!AI15&gt;'Tariffs Jan2017'!M15),($C$5*'Tariffs Jan2017'!AK15/'Tariffs Jan2017'!AI15-'Tariffs Jan2017'!M15)*'Tariffs Jan2017'!S15/100*'Tariffs Jan2017'!AI15,0)</f>
        <v>0</v>
      </c>
      <c r="J21" s="59">
        <f>IF($C$5*'Tariffs Jan2017'!AL15/'Tariffs Jan2017'!AJ15&gt;='Tariffs Jan2017'!J15,('Tariffs Jan2017'!J15*'Tariffs Jan2017'!U15/100)* 'Tariffs Jan2017'!AJ15,($C$5*'Tariffs Jan2017'!AL15/'Tariffs Jan2017'!AJ15*'Tariffs Jan2017'!U15/100)* 'Tariffs Jan2017'!AJ15)</f>
        <v>206.99999999999994</v>
      </c>
      <c r="K21" s="59">
        <f>IF($C$5*'Tariffs Jan2017'!AL15/'Tariffs Jan2017'!AJ15&lt;'Tariffs Jan2017'!J15,0,IF($C$5*'Tariffs Jan2017'!AL15/'Tariffs Jan2017'!AJ15&lt;='Tariffs Jan2017'!K15,($C$5*'Tariffs Jan2017'!AL15/'Tariffs Jan2017'!AJ15-'Tariffs Jan2017'!J15)*('Tariffs Jan2017'!V15/100)*'Tariffs Jan2017'!AJ15,('Tariffs Jan2017'!K15-'Tariffs Jan2017'!J15)*('Tariffs Jan2017'!V15/100)*'Tariffs Jan2017'!AJ15))</f>
        <v>180</v>
      </c>
      <c r="L21" s="59">
        <f>IF($C$5*'Tariffs Jan2017'!AL15/'Tariffs Jan2017'!AJ15&lt;'Tariffs Jan2017'!K15,0,IF($C$5*'Tariffs Jan2017'!AL15/'Tariffs Jan2017'!AJ15&lt;='Tariffs Jan2017'!L15,($C$5*'Tariffs Jan2017'!AL15/'Tariffs Jan2017'!AJ15-'Tariffs Jan2017'!K15)*('Tariffs Jan2017'!W15/100)*'Tariffs Jan2017'!AJ15,('Tariffs Jan2017'!L15-'Tariffs Jan2017'!K15)*('Tariffs Jan2017'!W15/100)*'Tariffs Jan2017'!AJ15))</f>
        <v>33.000000000000014</v>
      </c>
      <c r="M21" s="59">
        <f>IF($C$5*'Tariffs Jan2017'!AL15/'Tariffs Jan2017'!AJ15&lt;'Tariffs Jan2017'!L15,0,IF($C$5*'Tariffs Jan2017'!AL15/'Tariffs Jan2017'!AJ15&lt;='Tariffs Jan2017'!M15,($C$5*'Tariffs Jan2017'!AL15/'Tariffs Jan2017'!AJ15-'Tariffs Jan2017'!L15)*('Tariffs Jan2017'!X15/100)*'Tariffs Jan2017'!AJ15,('Tariffs Jan2017'!M15-'Tariffs Jan2017'!L15)*('Tariffs Jan2017'!X15/100)*'Tariffs Jan2017'!AJ15))</f>
        <v>0</v>
      </c>
      <c r="N21" s="59">
        <f>IF(($C$5*'Tariffs Jan2017'!AL15/'Tariffs Jan2017'!AJ15&gt;'Tariffs Jan2017'!M15),($C$5*'Tariffs Jan2017'!AL15/'Tariffs Jan2017'!AJ15-'Tariffs Jan2017'!M15)*'Tariffs Jan2017'!Y15/100*'Tariffs Jan2017'!AJ15,0)</f>
        <v>0</v>
      </c>
      <c r="O21" s="271">
        <f t="shared" si="0"/>
        <v>854.5</v>
      </c>
      <c r="P21" s="59">
        <f t="shared" si="1"/>
        <v>1113.6500000000001</v>
      </c>
      <c r="Q21" s="272">
        <f t="shared" si="2"/>
        <v>1225.0150000000001</v>
      </c>
      <c r="R21" s="40">
        <f>'Tariffs Jan2017'!AM15</f>
        <v>0</v>
      </c>
      <c r="S21" s="40">
        <f>'Tariffs Jan2017'!AN15</f>
        <v>0</v>
      </c>
      <c r="T21" s="40">
        <f>'Tariffs Jan2017'!AO15</f>
        <v>14</v>
      </c>
      <c r="U21" s="40">
        <f>'Tariffs Jan2017'!AP15</f>
        <v>0</v>
      </c>
      <c r="V21" s="273">
        <f t="shared" si="3"/>
        <v>1113.6500000000001</v>
      </c>
      <c r="W21" s="273">
        <f>V21-(P21*T21/100)</f>
        <v>957.73900000000003</v>
      </c>
      <c r="X21" s="272">
        <f t="shared" si="4"/>
        <v>1225.0150000000001</v>
      </c>
      <c r="Y21" s="272">
        <f t="shared" si="4"/>
        <v>1053.5129000000002</v>
      </c>
      <c r="Z21" s="274">
        <f>'Tariffs Jan2017'!AW15</f>
        <v>0</v>
      </c>
      <c r="AA21" s="274" t="str">
        <f>'Tariffs Jan2017'!AX15</f>
        <v>n</v>
      </c>
      <c r="AB21" s="275" t="str">
        <f>'Tariffs Jan2017'!BD15</f>
        <v>N</v>
      </c>
      <c r="AC21" s="305"/>
      <c r="AD21" s="305"/>
      <c r="AE21" s="305"/>
      <c r="AF21" s="305"/>
      <c r="AG21" s="305"/>
      <c r="AH21" s="305"/>
      <c r="AI21" s="305"/>
      <c r="AJ21" s="305"/>
      <c r="AK21" s="305"/>
      <c r="AL21" s="305"/>
      <c r="AM21" s="305"/>
      <c r="AN21" s="305"/>
    </row>
    <row r="22" spans="1:40" x14ac:dyDescent="0.15">
      <c r="A22" s="270" t="str">
        <f>'Tariffs Jan2017'!F16</f>
        <v>Covau</v>
      </c>
      <c r="B22" s="40" t="str">
        <f>'Tariffs Jan2017'!D16</f>
        <v>Multinet 2</v>
      </c>
      <c r="C22" s="40" t="str">
        <f>'Tariffs Jan2017'!G16</f>
        <v>Market offer</v>
      </c>
      <c r="D22" s="59">
        <f>365*'Tariffs Jan2017'!H16/100</f>
        <v>255.5</v>
      </c>
      <c r="E22" s="59">
        <f>IF($C$5*'Tariffs Jan2017'!AK16/'Tariffs Jan2017'!AI16&gt;='Tariffs Jan2017'!J16,( 'Tariffs Jan2017'!J16*'Tariffs Jan2017'!O16/100)* 'Tariffs Jan2017'!AI16,($C$5*'Tariffs Jan2017'!AK16/'Tariffs Jan2017'!AI16*'Tariffs Jan2017'!O16/100)* 'Tariffs Jan2017'!AI16)</f>
        <v>302.39999999999998</v>
      </c>
      <c r="F22" s="59">
        <f>IF($C$5*'Tariffs Jan2017'!AK16/'Tariffs Jan2017'!AI16&lt;'Tariffs Jan2017'!J16,0,IF($C$5*'Tariffs Jan2017'!AK16/'Tariffs Jan2017'!AI16&lt;='Tariffs Jan2017'!K16,($C$5*'Tariffs Jan2017'!AK16/'Tariffs Jan2017'!AI16-'Tariffs Jan2017'!J16)*('Tariffs Jan2017'!P16/100)*'Tariffs Jan2017'!AI16,('Tariffs Jan2017'!K16-'Tariffs Jan2017'!J16)*('Tariffs Jan2017'!P16/100)*'Tariffs Jan2017'!AI16))</f>
        <v>321.20000000000005</v>
      </c>
      <c r="G22" s="59">
        <f>IF($C$5*'Tariffs Jan2017'!AK16/'Tariffs Jan2017'!AI16&lt;'Tariffs Jan2017'!K16,0,IF($C$5*'Tariffs Jan2017'!AK16/'Tariffs Jan2017'!AI16&lt;='Tariffs Jan2017'!L16,($C$5*'Tariffs Jan2017'!AK16/'Tariffs Jan2017'!AI16-'Tariffs Jan2017'!K16)*('Tariffs Jan2017'!Q16/100)*'Tariffs Jan2017'!AI16,('Tariffs Jan2017'!L16-'Tariffs Jan2017'!K16)*('Tariffs Jan2017'!Q16/100)*'Tariffs Jan2017'!AI16))</f>
        <v>0</v>
      </c>
      <c r="H22" s="59">
        <f>IF($C$5*'Tariffs Jan2017'!AK16/'Tariffs Jan2017'!AI16&lt;'Tariffs Jan2017'!L16,0,IF($C$5*'Tariffs Jan2017'!AK16/'Tariffs Jan2017'!AI16&lt;='Tariffs Jan2017'!M16,($C$5*'Tariffs Jan2017'!AK16/'Tariffs Jan2017'!AI16-'Tariffs Jan2017'!L16)*('Tariffs Jan2017'!R16/100)*'Tariffs Jan2017'!AI16,('Tariffs Jan2017'!M16-'Tariffs Jan2017'!L16)*('Tariffs Jan2017'!R16/100)*'Tariffs Jan2017'!AI16))</f>
        <v>0</v>
      </c>
      <c r="I22" s="59">
        <f>IF(($C$5*'Tariffs Jan2017'!AK16/'Tariffs Jan2017'!AI16&gt;'Tariffs Jan2017'!M16),($C$5*'Tariffs Jan2017'!AK16/'Tariffs Jan2017'!AI16-'Tariffs Jan2017'!M16)*'Tariffs Jan2017'!S16/100*'Tariffs Jan2017'!AI16,0)</f>
        <v>0</v>
      </c>
      <c r="J22" s="59">
        <f>IF($C$5*'Tariffs Jan2017'!AL16/'Tariffs Jan2017'!AJ16&gt;='Tariffs Jan2017'!J16,('Tariffs Jan2017'!J16*'Tariffs Jan2017'!U16/100)* 'Tariffs Jan2017'!AJ16,($C$5*'Tariffs Jan2017'!AL16/'Tariffs Jan2017'!AJ16*'Tariffs Jan2017'!U16/100)* 'Tariffs Jan2017'!AJ16)</f>
        <v>242.10000000000002</v>
      </c>
      <c r="K22" s="59">
        <f>IF($C$5*'Tariffs Jan2017'!AL16/'Tariffs Jan2017'!AJ16&lt;'Tariffs Jan2017'!J16,0,IF($C$5*'Tariffs Jan2017'!AL16/'Tariffs Jan2017'!AJ16&lt;='Tariffs Jan2017'!K16,($C$5*'Tariffs Jan2017'!AL16/'Tariffs Jan2017'!AJ16-'Tariffs Jan2017'!J16)*('Tariffs Jan2017'!V16/100)*'Tariffs Jan2017'!AJ16,('Tariffs Jan2017'!K16-'Tariffs Jan2017'!J16)*('Tariffs Jan2017'!V16/100)*'Tariffs Jan2017'!AJ16))</f>
        <v>253.00000000000003</v>
      </c>
      <c r="L22" s="59">
        <f>IF($C$5*'Tariffs Jan2017'!AL16/'Tariffs Jan2017'!AJ16&lt;'Tariffs Jan2017'!K16,0,IF($C$5*'Tariffs Jan2017'!AL16/'Tariffs Jan2017'!AJ16&lt;='Tariffs Jan2017'!L16,($C$5*'Tariffs Jan2017'!AL16/'Tariffs Jan2017'!AJ16-'Tariffs Jan2017'!K16)*('Tariffs Jan2017'!W16/100)*'Tariffs Jan2017'!AJ16,('Tariffs Jan2017'!L16-'Tariffs Jan2017'!K16)*('Tariffs Jan2017'!W16/100)*'Tariffs Jan2017'!AJ16))</f>
        <v>0</v>
      </c>
      <c r="M22" s="59">
        <f>IF($C$5*'Tariffs Jan2017'!AL16/'Tariffs Jan2017'!AJ16&lt;'Tariffs Jan2017'!L16,0,IF($C$5*'Tariffs Jan2017'!AL16/'Tariffs Jan2017'!AJ16&lt;='Tariffs Jan2017'!M16,($C$5*'Tariffs Jan2017'!AL16/'Tariffs Jan2017'!AJ16-'Tariffs Jan2017'!L16)*('Tariffs Jan2017'!X16/100)*'Tariffs Jan2017'!AJ16,('Tariffs Jan2017'!M16-'Tariffs Jan2017'!L16)*('Tariffs Jan2017'!X16/100)*'Tariffs Jan2017'!AJ16))</f>
        <v>0</v>
      </c>
      <c r="N22" s="59">
        <f>IF(($C$5*'Tariffs Jan2017'!AL16/'Tariffs Jan2017'!AJ16&gt;'Tariffs Jan2017'!M16),($C$5*'Tariffs Jan2017'!AL16/'Tariffs Jan2017'!AJ16-'Tariffs Jan2017'!M16)*'Tariffs Jan2017'!Y16/100*'Tariffs Jan2017'!AJ16,0)</f>
        <v>0</v>
      </c>
      <c r="O22" s="271">
        <f t="shared" si="0"/>
        <v>1118.7</v>
      </c>
      <c r="P22" s="59">
        <f t="shared" si="1"/>
        <v>1374.2</v>
      </c>
      <c r="Q22" s="272">
        <f t="shared" si="2"/>
        <v>1511.6200000000001</v>
      </c>
      <c r="R22" s="40">
        <f>'Tariffs Jan2017'!AM16</f>
        <v>0</v>
      </c>
      <c r="S22" s="40">
        <f>'Tariffs Jan2017'!AN16</f>
        <v>0</v>
      </c>
      <c r="T22" s="40">
        <f>'Tariffs Jan2017'!AO16</f>
        <v>0</v>
      </c>
      <c r="U22" s="40">
        <f>'Tariffs Jan2017'!AP16</f>
        <v>16</v>
      </c>
      <c r="V22" s="273">
        <f t="shared" si="3"/>
        <v>1374.2</v>
      </c>
      <c r="W22" s="273">
        <f>V22-(O22*U22/100)</f>
        <v>1195.2080000000001</v>
      </c>
      <c r="X22" s="272">
        <f t="shared" si="4"/>
        <v>1511.6200000000001</v>
      </c>
      <c r="Y22" s="272">
        <f t="shared" si="4"/>
        <v>1314.7288000000001</v>
      </c>
      <c r="Z22" s="274">
        <f>'Tariffs Jan2017'!AW16</f>
        <v>12</v>
      </c>
      <c r="AA22" s="274" t="str">
        <f>'Tariffs Jan2017'!AX16</f>
        <v>y</v>
      </c>
      <c r="AB22" s="275" t="str">
        <f>'Tariffs Jan2017'!BD16</f>
        <v>Y</v>
      </c>
      <c r="AC22" s="305"/>
      <c r="AD22" s="305"/>
      <c r="AE22" s="305"/>
      <c r="AF22" s="305"/>
      <c r="AG22" s="305"/>
      <c r="AH22" s="305"/>
      <c r="AI22" s="305"/>
      <c r="AJ22" s="305"/>
      <c r="AK22" s="305"/>
      <c r="AL22" s="305"/>
      <c r="AM22" s="305"/>
      <c r="AN22" s="305"/>
    </row>
    <row r="23" spans="1:40" x14ac:dyDescent="0.15">
      <c r="A23" s="270" t="str">
        <f>'Tariffs Jan2017'!F17</f>
        <v>Dodo Power &amp; Gas</v>
      </c>
      <c r="B23" s="40" t="str">
        <f>'Tariffs Jan2017'!D17</f>
        <v>Multinet 2</v>
      </c>
      <c r="C23" s="40" t="str">
        <f>'Tariffs Jan2017'!G17</f>
        <v>Market offer</v>
      </c>
      <c r="D23" s="59">
        <f>365*'Tariffs Jan2017'!H17/100</f>
        <v>115.3035</v>
      </c>
      <c r="E23" s="59">
        <f>IF($C$5*'Tariffs Jan2017'!AK17/'Tariffs Jan2017'!AI17&gt;='Tariffs Jan2017'!J17,( 'Tariffs Jan2017'!J17*'Tariffs Jan2017'!O17/100)* 'Tariffs Jan2017'!AI17,($C$5*'Tariffs Jan2017'!AK17/'Tariffs Jan2017'!AI17*'Tariffs Jan2017'!O17/100)* 'Tariffs Jan2017'!AI17)</f>
        <v>223.64999999999998</v>
      </c>
      <c r="F23" s="59">
        <f>IF($C$5*'Tariffs Jan2017'!AK17/'Tariffs Jan2017'!AI17&lt;'Tariffs Jan2017'!J17,0,IF($C$5*'Tariffs Jan2017'!AK17/'Tariffs Jan2017'!AI17&lt;='Tariffs Jan2017'!K17,($C$5*'Tariffs Jan2017'!AK17/'Tariffs Jan2017'!AI17-'Tariffs Jan2017'!J17)*('Tariffs Jan2017'!P17/100)*'Tariffs Jan2017'!AI17,('Tariffs Jan2017'!K17-'Tariffs Jan2017'!J17)*('Tariffs Jan2017'!P17/100)*'Tariffs Jan2017'!AI17))</f>
        <v>0</v>
      </c>
      <c r="G23" s="59">
        <f>IF($C$5*'Tariffs Jan2017'!AK17/'Tariffs Jan2017'!AI17&lt;'Tariffs Jan2017'!K17,0,IF($C$5*'Tariffs Jan2017'!AK17/'Tariffs Jan2017'!AI17&lt;='Tariffs Jan2017'!L17,($C$5*'Tariffs Jan2017'!AK17/'Tariffs Jan2017'!AI17-'Tariffs Jan2017'!K17)*('Tariffs Jan2017'!Q17/100)*'Tariffs Jan2017'!AI17,('Tariffs Jan2017'!L17-'Tariffs Jan2017'!K17)*('Tariffs Jan2017'!Q17/100)*'Tariffs Jan2017'!AI17))</f>
        <v>0</v>
      </c>
      <c r="H23" s="59">
        <f>IF($C$5*'Tariffs Jan2017'!AK17/'Tariffs Jan2017'!AI17&lt;'Tariffs Jan2017'!L17,0,IF($C$5*'Tariffs Jan2017'!AK17/'Tariffs Jan2017'!AI17&lt;='Tariffs Jan2017'!M17,($C$5*'Tariffs Jan2017'!AK17/'Tariffs Jan2017'!AI17-'Tariffs Jan2017'!L17)*('Tariffs Jan2017'!R17/100)*'Tariffs Jan2017'!AI17,('Tariffs Jan2017'!M17-'Tariffs Jan2017'!L17)*('Tariffs Jan2017'!R17/100)*'Tariffs Jan2017'!AI17))</f>
        <v>0</v>
      </c>
      <c r="I23" s="59">
        <f>IF(($C$5*'Tariffs Jan2017'!AK17/'Tariffs Jan2017'!AI17&gt;'Tariffs Jan2017'!M17),($C$5*'Tariffs Jan2017'!AK17/'Tariffs Jan2017'!AI17-'Tariffs Jan2017'!M17)*'Tariffs Jan2017'!S17/100*'Tariffs Jan2017'!AI17,0)</f>
        <v>163.4</v>
      </c>
      <c r="J23" s="59">
        <f>IF($C$5*'Tariffs Jan2017'!AL17/'Tariffs Jan2017'!AJ17&gt;='Tariffs Jan2017'!J17,('Tariffs Jan2017'!J17*'Tariffs Jan2017'!U17/100)* 'Tariffs Jan2017'!AJ17,($C$5*'Tariffs Jan2017'!AL17/'Tariffs Jan2017'!AJ17*'Tariffs Jan2017'!U17/100)* 'Tariffs Jan2017'!AJ17)</f>
        <v>210</v>
      </c>
      <c r="K23" s="59">
        <f>IF($C$5*'Tariffs Jan2017'!AL17/'Tariffs Jan2017'!AJ17&lt;'Tariffs Jan2017'!J17,0,IF($C$5*'Tariffs Jan2017'!AL17/'Tariffs Jan2017'!AJ17&lt;='Tariffs Jan2017'!K17,($C$5*'Tariffs Jan2017'!AL17/'Tariffs Jan2017'!AJ17-'Tariffs Jan2017'!J17)*('Tariffs Jan2017'!V17/100)*'Tariffs Jan2017'!AJ17,('Tariffs Jan2017'!K17-'Tariffs Jan2017'!J17)*('Tariffs Jan2017'!V17/100)*'Tariffs Jan2017'!AJ17))</f>
        <v>0</v>
      </c>
      <c r="L23" s="59">
        <f>IF($C$5*'Tariffs Jan2017'!AL17/'Tariffs Jan2017'!AJ17&lt;'Tariffs Jan2017'!K17,0,IF($C$5*'Tariffs Jan2017'!AL17/'Tariffs Jan2017'!AJ17&lt;='Tariffs Jan2017'!L17,($C$5*'Tariffs Jan2017'!AL17/'Tariffs Jan2017'!AJ17-'Tariffs Jan2017'!K17)*('Tariffs Jan2017'!W17/100)*'Tariffs Jan2017'!AJ17,('Tariffs Jan2017'!L17-'Tariffs Jan2017'!K17)*('Tariffs Jan2017'!W17/100)*'Tariffs Jan2017'!AJ17))</f>
        <v>0</v>
      </c>
      <c r="M23" s="59">
        <f>IF($C$5*'Tariffs Jan2017'!AL17/'Tariffs Jan2017'!AJ17&lt;'Tariffs Jan2017'!L17,0,IF($C$5*'Tariffs Jan2017'!AL17/'Tariffs Jan2017'!AJ17&lt;='Tariffs Jan2017'!M17,($C$5*'Tariffs Jan2017'!AL17/'Tariffs Jan2017'!AJ17-'Tariffs Jan2017'!L17)*('Tariffs Jan2017'!X17/100)*'Tariffs Jan2017'!AJ17,('Tariffs Jan2017'!M17-'Tariffs Jan2017'!L17)*('Tariffs Jan2017'!X17/100)*'Tariffs Jan2017'!AJ17))</f>
        <v>0</v>
      </c>
      <c r="N23" s="59">
        <f>IF(($C$5*'Tariffs Jan2017'!AL17/'Tariffs Jan2017'!AJ17&gt;'Tariffs Jan2017'!M17),($C$5*'Tariffs Jan2017'!AL17/'Tariffs Jan2017'!AJ17-'Tariffs Jan2017'!M17)*'Tariffs Jan2017'!Y17/100*'Tariffs Jan2017'!AJ17,0)</f>
        <v>158.65000000000003</v>
      </c>
      <c r="O23" s="271">
        <f t="shared" si="0"/>
        <v>755.7</v>
      </c>
      <c r="P23" s="59">
        <f t="shared" si="1"/>
        <v>871.00350000000003</v>
      </c>
      <c r="Q23" s="272">
        <f t="shared" si="2"/>
        <v>958.10385000000008</v>
      </c>
      <c r="R23" s="40">
        <f>'Tariffs Jan2017'!AM17</f>
        <v>0</v>
      </c>
      <c r="S23" s="40">
        <f>'Tariffs Jan2017'!AN17</f>
        <v>0</v>
      </c>
      <c r="T23" s="40">
        <f>'Tariffs Jan2017'!AO17</f>
        <v>0</v>
      </c>
      <c r="U23" s="40">
        <f>'Tariffs Jan2017'!AP17</f>
        <v>0</v>
      </c>
      <c r="V23" s="273">
        <f t="shared" si="3"/>
        <v>871.00350000000003</v>
      </c>
      <c r="W23" s="273">
        <f>V23-(O23*U23/100)</f>
        <v>871.00350000000003</v>
      </c>
      <c r="X23" s="272">
        <f t="shared" si="4"/>
        <v>958.10385000000008</v>
      </c>
      <c r="Y23" s="272">
        <f t="shared" si="4"/>
        <v>958.10385000000008</v>
      </c>
      <c r="Z23" s="274">
        <f>'Tariffs Jan2017'!AW17</f>
        <v>0</v>
      </c>
      <c r="AA23" s="274" t="str">
        <f>'Tariffs Jan2017'!AX17</f>
        <v>n</v>
      </c>
      <c r="AB23" s="275" t="str">
        <f>'Tariffs Jan2017'!BD17</f>
        <v>Y</v>
      </c>
      <c r="AC23" s="305"/>
      <c r="AD23" s="305"/>
      <c r="AE23" s="305"/>
      <c r="AF23" s="305"/>
      <c r="AG23" s="305"/>
      <c r="AH23" s="305"/>
      <c r="AI23" s="305"/>
      <c r="AJ23" s="305"/>
      <c r="AK23" s="305"/>
      <c r="AL23" s="305"/>
      <c r="AM23" s="305"/>
      <c r="AN23" s="305"/>
    </row>
    <row r="24" spans="1:40" x14ac:dyDescent="0.15">
      <c r="A24" s="270" t="str">
        <f>'Tariffs Jan2017'!F18</f>
        <v>EnergyAustralia</v>
      </c>
      <c r="B24" s="40" t="str">
        <f>'Tariffs Jan2017'!D18</f>
        <v>Multinet 2</v>
      </c>
      <c r="C24" s="40" t="str">
        <f>'Tariffs Jan2017'!G18</f>
        <v xml:space="preserve">Flexi Saver </v>
      </c>
      <c r="D24" s="59">
        <f>365*'Tariffs Jan2017'!H18/100</f>
        <v>245.64500000000001</v>
      </c>
      <c r="E24" s="59">
        <f>IF($C$5*'Tariffs Jan2017'!AK18/'Tariffs Jan2017'!AI18&gt;='Tariffs Jan2017'!J18,( 'Tariffs Jan2017'!J18*'Tariffs Jan2017'!O18/100)* 'Tariffs Jan2017'!AI18,($C$5*'Tariffs Jan2017'!AK18/'Tariffs Jan2017'!AI18*'Tariffs Jan2017'!O18/100)* 'Tariffs Jan2017'!AI18)</f>
        <v>215.10000000000002</v>
      </c>
      <c r="F24" s="59">
        <f>IF($C$5*'Tariffs Jan2017'!AK18/'Tariffs Jan2017'!AI18&lt;'Tariffs Jan2017'!J18,0,IF($C$5*'Tariffs Jan2017'!AK18/'Tariffs Jan2017'!AI18&lt;='Tariffs Jan2017'!K18,($C$5*'Tariffs Jan2017'!AK18/'Tariffs Jan2017'!AI18-'Tariffs Jan2017'!J18)*('Tariffs Jan2017'!P18/100)*'Tariffs Jan2017'!AI18,('Tariffs Jan2017'!K18-'Tariffs Jan2017'!J18)*('Tariffs Jan2017'!P18/100)*'Tariffs Jan2017'!AI18))</f>
        <v>192.60000000000002</v>
      </c>
      <c r="G24" s="59">
        <f>IF($C$5*'Tariffs Jan2017'!AK18/'Tariffs Jan2017'!AI18&lt;'Tariffs Jan2017'!K18,0,IF($C$5*'Tariffs Jan2017'!AK18/'Tariffs Jan2017'!AI18&lt;='Tariffs Jan2017'!L18,($C$5*'Tariffs Jan2017'!AK18/'Tariffs Jan2017'!AI18-'Tariffs Jan2017'!K18)*('Tariffs Jan2017'!Q18/100)*'Tariffs Jan2017'!AI18,('Tariffs Jan2017'!L18-'Tariffs Jan2017'!K18)*('Tariffs Jan2017'!Q18/100)*'Tariffs Jan2017'!AI18))</f>
        <v>34.600000000000016</v>
      </c>
      <c r="H24" s="59">
        <f>IF($C$5*'Tariffs Jan2017'!AK18/'Tariffs Jan2017'!AI18&lt;'Tariffs Jan2017'!L18,0,IF($C$5*'Tariffs Jan2017'!AK18/'Tariffs Jan2017'!AI18&lt;='Tariffs Jan2017'!M18,($C$5*'Tariffs Jan2017'!AK18/'Tariffs Jan2017'!AI18-'Tariffs Jan2017'!L18)*('Tariffs Jan2017'!R18/100)*'Tariffs Jan2017'!AI18,('Tariffs Jan2017'!M18-'Tariffs Jan2017'!L18)*('Tariffs Jan2017'!R18/100)*'Tariffs Jan2017'!AI18))</f>
        <v>0</v>
      </c>
      <c r="I24" s="59">
        <f>IF(($C$5*'Tariffs Jan2017'!AK18/'Tariffs Jan2017'!AI18&gt;'Tariffs Jan2017'!M18),($C$5*'Tariffs Jan2017'!AK18/'Tariffs Jan2017'!AI18-'Tariffs Jan2017'!M18)*'Tariffs Jan2017'!S18/100*'Tariffs Jan2017'!AI18,0)</f>
        <v>0</v>
      </c>
      <c r="J24" s="59">
        <f>IF($C$5*'Tariffs Jan2017'!AL18/'Tariffs Jan2017'!AJ18&gt;='Tariffs Jan2017'!J18,('Tariffs Jan2017'!J18*'Tariffs Jan2017'!U18/100)* 'Tariffs Jan2017'!AJ18,($C$5*'Tariffs Jan2017'!AL18/'Tariffs Jan2017'!AJ18*'Tariffs Jan2017'!U18/100)* 'Tariffs Jan2017'!AJ18)</f>
        <v>186.29999999999998</v>
      </c>
      <c r="K24" s="59">
        <f>IF($C$5*'Tariffs Jan2017'!AL18/'Tariffs Jan2017'!AJ18&lt;'Tariffs Jan2017'!J18,0,IF($C$5*'Tariffs Jan2017'!AL18/'Tariffs Jan2017'!AJ18&lt;='Tariffs Jan2017'!K18,($C$5*'Tariffs Jan2017'!AL18/'Tariffs Jan2017'!AJ18-'Tariffs Jan2017'!J18)*('Tariffs Jan2017'!V18/100)*'Tariffs Jan2017'!AJ18,('Tariffs Jan2017'!K18-'Tariffs Jan2017'!J18)*('Tariffs Jan2017'!V18/100)*'Tariffs Jan2017'!AJ18))</f>
        <v>160.19999999999999</v>
      </c>
      <c r="L24" s="59">
        <f>IF($C$5*'Tariffs Jan2017'!AL18/'Tariffs Jan2017'!AJ18&lt;'Tariffs Jan2017'!K18,0,IF($C$5*'Tariffs Jan2017'!AL18/'Tariffs Jan2017'!AJ18&lt;='Tariffs Jan2017'!L18,($C$5*'Tariffs Jan2017'!AL18/'Tariffs Jan2017'!AJ18-'Tariffs Jan2017'!K18)*('Tariffs Jan2017'!W18/100)*'Tariffs Jan2017'!AJ18,('Tariffs Jan2017'!L18-'Tariffs Jan2017'!K18)*('Tariffs Jan2017'!W18/100)*'Tariffs Jan2017'!AJ18))</f>
        <v>29.200000000000014</v>
      </c>
      <c r="M24" s="59">
        <f>IF($C$5*'Tariffs Jan2017'!AL18/'Tariffs Jan2017'!AJ18&lt;'Tariffs Jan2017'!L18,0,IF($C$5*'Tariffs Jan2017'!AL18/'Tariffs Jan2017'!AJ18&lt;='Tariffs Jan2017'!M18,($C$5*'Tariffs Jan2017'!AL18/'Tariffs Jan2017'!AJ18-'Tariffs Jan2017'!L18)*('Tariffs Jan2017'!X18/100)*'Tariffs Jan2017'!AJ18,('Tariffs Jan2017'!M18-'Tariffs Jan2017'!L18)*('Tariffs Jan2017'!X18/100)*'Tariffs Jan2017'!AJ18))</f>
        <v>0</v>
      </c>
      <c r="N24" s="59">
        <f>IF(($C$5*'Tariffs Jan2017'!AL18/'Tariffs Jan2017'!AJ18&gt;'Tariffs Jan2017'!M18),($C$5*'Tariffs Jan2017'!AL18/'Tariffs Jan2017'!AJ18-'Tariffs Jan2017'!M18)*'Tariffs Jan2017'!Y18/100*'Tariffs Jan2017'!AJ18,0)</f>
        <v>0</v>
      </c>
      <c r="O24" s="271">
        <f t="shared" si="0"/>
        <v>818</v>
      </c>
      <c r="P24" s="59">
        <f t="shared" si="1"/>
        <v>1063.645</v>
      </c>
      <c r="Q24" s="272">
        <f t="shared" si="2"/>
        <v>1170.0095000000001</v>
      </c>
      <c r="R24" s="40">
        <f>'Tariffs Jan2017'!AM18</f>
        <v>0</v>
      </c>
      <c r="S24" s="40">
        <f>'Tariffs Jan2017'!AN18</f>
        <v>0</v>
      </c>
      <c r="T24" s="40">
        <f>'Tariffs Jan2017'!AO18</f>
        <v>0</v>
      </c>
      <c r="U24" s="40">
        <f>'Tariffs Jan2017'!AP18</f>
        <v>16</v>
      </c>
      <c r="V24" s="273">
        <f t="shared" si="3"/>
        <v>1063.645</v>
      </c>
      <c r="W24" s="273">
        <f>V24-(O24*U24/100)</f>
        <v>932.76499999999999</v>
      </c>
      <c r="X24" s="272">
        <f t="shared" si="4"/>
        <v>1170.0095000000001</v>
      </c>
      <c r="Y24" s="272">
        <f t="shared" si="4"/>
        <v>1026.0415</v>
      </c>
      <c r="Z24" s="274">
        <f>'Tariffs Jan2017'!AW18</f>
        <v>0</v>
      </c>
      <c r="AA24" s="274" t="str">
        <f>'Tariffs Jan2017'!AX18</f>
        <v>n</v>
      </c>
      <c r="AB24" s="275" t="str">
        <f>'Tariffs Jan2017'!BD18</f>
        <v>N</v>
      </c>
      <c r="AC24" s="305"/>
      <c r="AD24" s="305"/>
      <c r="AE24" s="305"/>
      <c r="AF24" s="305"/>
      <c r="AG24" s="305"/>
      <c r="AH24" s="305"/>
      <c r="AI24" s="305"/>
      <c r="AJ24" s="305"/>
      <c r="AK24" s="305"/>
      <c r="AL24" s="305"/>
      <c r="AM24" s="305"/>
      <c r="AN24" s="305"/>
    </row>
    <row r="25" spans="1:40" x14ac:dyDescent="0.15">
      <c r="A25" s="270" t="str">
        <f>'Tariffs Jan2017'!F19</f>
        <v>Lumo Energy</v>
      </c>
      <c r="B25" s="40" t="str">
        <f>'Tariffs Jan2017'!D19</f>
        <v>Multinet 2</v>
      </c>
      <c r="C25" s="40" t="str">
        <f>'Tariffs Jan2017'!G19</f>
        <v>Advantage</v>
      </c>
      <c r="D25" s="59">
        <f>365*'Tariffs Jan2017'!H19/100</f>
        <v>232.65100000000001</v>
      </c>
      <c r="E25" s="59">
        <f>IF($C$5*'Tariffs Jan2017'!AK19/'Tariffs Jan2017'!AI19&gt;='Tariffs Jan2017'!J19,( 'Tariffs Jan2017'!J19*'Tariffs Jan2017'!O19/100)* 'Tariffs Jan2017'!AI19,($C$5*'Tariffs Jan2017'!AK19/'Tariffs Jan2017'!AI19*'Tariffs Jan2017'!O19/100)* 'Tariffs Jan2017'!AI19)</f>
        <v>203.03999999999996</v>
      </c>
      <c r="F25" s="59">
        <f>IF($C$5*'Tariffs Jan2017'!AK19/'Tariffs Jan2017'!AI19&lt;'Tariffs Jan2017'!J19,0,IF($C$5*'Tariffs Jan2017'!AK19/'Tariffs Jan2017'!AI19&lt;='Tariffs Jan2017'!K19,($C$5*'Tariffs Jan2017'!AK19/'Tariffs Jan2017'!AI19-'Tariffs Jan2017'!J19)*('Tariffs Jan2017'!P19/100)*'Tariffs Jan2017'!AI19,('Tariffs Jan2017'!K19-'Tariffs Jan2017'!J19)*('Tariffs Jan2017'!P19/100)*'Tariffs Jan2017'!AI19))</f>
        <v>176.94</v>
      </c>
      <c r="G25" s="59">
        <f>IF($C$5*'Tariffs Jan2017'!AK19/'Tariffs Jan2017'!AI19&lt;'Tariffs Jan2017'!K19,0,IF($C$5*'Tariffs Jan2017'!AK19/'Tariffs Jan2017'!AI19&lt;='Tariffs Jan2017'!L19,($C$5*'Tariffs Jan2017'!AK19/'Tariffs Jan2017'!AI19-'Tariffs Jan2017'!K19)*('Tariffs Jan2017'!Q19/100)*'Tariffs Jan2017'!AI19,('Tariffs Jan2017'!L19-'Tariffs Jan2017'!K19)*('Tariffs Jan2017'!Q19/100)*'Tariffs Jan2017'!AI19))</f>
        <v>32.260000000000012</v>
      </c>
      <c r="H25" s="59">
        <f>IF($C$5*'Tariffs Jan2017'!AK19/'Tariffs Jan2017'!AI19&lt;'Tariffs Jan2017'!L19,0,IF($C$5*'Tariffs Jan2017'!AK19/'Tariffs Jan2017'!AI19&lt;='Tariffs Jan2017'!M19,($C$5*'Tariffs Jan2017'!AK19/'Tariffs Jan2017'!AI19-'Tariffs Jan2017'!L19)*('Tariffs Jan2017'!R19/100)*'Tariffs Jan2017'!AI19,('Tariffs Jan2017'!M19-'Tariffs Jan2017'!L19)*('Tariffs Jan2017'!R19/100)*'Tariffs Jan2017'!AI19))</f>
        <v>0</v>
      </c>
      <c r="I25" s="59">
        <f>IF(($C$5*'Tariffs Jan2017'!AK19/'Tariffs Jan2017'!AI19&gt;'Tariffs Jan2017'!M19),($C$5*'Tariffs Jan2017'!AK19/'Tariffs Jan2017'!AI19-'Tariffs Jan2017'!M19)*'Tariffs Jan2017'!S19/100*'Tariffs Jan2017'!AI19,0)</f>
        <v>0</v>
      </c>
      <c r="J25" s="59">
        <f>IF($C$5*'Tariffs Jan2017'!AL19/'Tariffs Jan2017'!AJ19&gt;='Tariffs Jan2017'!J19,('Tariffs Jan2017'!J19*'Tariffs Jan2017'!U19/100)* 'Tariffs Jan2017'!AJ19,($C$5*'Tariffs Jan2017'!AL19/'Tariffs Jan2017'!AJ19*'Tariffs Jan2017'!U19/100)* 'Tariffs Jan2017'!AJ19)</f>
        <v>190.62</v>
      </c>
      <c r="K25" s="59">
        <f>IF($C$5*'Tariffs Jan2017'!AL19/'Tariffs Jan2017'!AJ19&lt;'Tariffs Jan2017'!J19,0,IF($C$5*'Tariffs Jan2017'!AL19/'Tariffs Jan2017'!AJ19&lt;='Tariffs Jan2017'!K19,($C$5*'Tariffs Jan2017'!AL19/'Tariffs Jan2017'!AJ19-'Tariffs Jan2017'!J19)*('Tariffs Jan2017'!V19/100)*'Tariffs Jan2017'!AJ19,('Tariffs Jan2017'!K19-'Tariffs Jan2017'!J19)*('Tariffs Jan2017'!V19/100)*'Tariffs Jan2017'!AJ19))</f>
        <v>167.94</v>
      </c>
      <c r="L25" s="59">
        <f>IF($C$5*'Tariffs Jan2017'!AL19/'Tariffs Jan2017'!AJ19&lt;'Tariffs Jan2017'!K19,0,IF($C$5*'Tariffs Jan2017'!AL19/'Tariffs Jan2017'!AJ19&lt;='Tariffs Jan2017'!L19,($C$5*'Tariffs Jan2017'!AL19/'Tariffs Jan2017'!AJ19-'Tariffs Jan2017'!K19)*('Tariffs Jan2017'!W19/100)*'Tariffs Jan2017'!AJ19,('Tariffs Jan2017'!L19-'Tariffs Jan2017'!K19)*('Tariffs Jan2017'!W19/100)*'Tariffs Jan2017'!AJ19))</f>
        <v>31.240000000000013</v>
      </c>
      <c r="M25" s="59">
        <f>IF($C$5*'Tariffs Jan2017'!AL19/'Tariffs Jan2017'!AJ19&lt;'Tariffs Jan2017'!L19,0,IF($C$5*'Tariffs Jan2017'!AL19/'Tariffs Jan2017'!AJ19&lt;='Tariffs Jan2017'!M19,($C$5*'Tariffs Jan2017'!AL19/'Tariffs Jan2017'!AJ19-'Tariffs Jan2017'!L19)*('Tariffs Jan2017'!X19/100)*'Tariffs Jan2017'!AJ19,('Tariffs Jan2017'!M19-'Tariffs Jan2017'!L19)*('Tariffs Jan2017'!X19/100)*'Tariffs Jan2017'!AJ19))</f>
        <v>0</v>
      </c>
      <c r="N25" s="59">
        <f>IF(($C$5*'Tariffs Jan2017'!AL19/'Tariffs Jan2017'!AJ19&gt;'Tariffs Jan2017'!M19),($C$5*'Tariffs Jan2017'!AL19/'Tariffs Jan2017'!AJ19-'Tariffs Jan2017'!M19)*'Tariffs Jan2017'!Y19/100*'Tariffs Jan2017'!AJ19,0)</f>
        <v>0</v>
      </c>
      <c r="O25" s="271">
        <f t="shared" si="0"/>
        <v>802.04</v>
      </c>
      <c r="P25" s="59">
        <f t="shared" si="1"/>
        <v>1034.691</v>
      </c>
      <c r="Q25" s="272">
        <f t="shared" si="2"/>
        <v>1138.1601000000001</v>
      </c>
      <c r="R25" s="40">
        <f>'Tariffs Jan2017'!AM19</f>
        <v>0</v>
      </c>
      <c r="S25" s="40">
        <f>'Tariffs Jan2017'!AN19</f>
        <v>0</v>
      </c>
      <c r="T25" s="40">
        <f>'Tariffs Jan2017'!AO19</f>
        <v>15</v>
      </c>
      <c r="U25" s="40">
        <f>'Tariffs Jan2017'!AP19</f>
        <v>0</v>
      </c>
      <c r="V25" s="273">
        <f t="shared" si="3"/>
        <v>1034.691</v>
      </c>
      <c r="W25" s="273">
        <f>V25-(P25*T25/100)</f>
        <v>879.48734999999999</v>
      </c>
      <c r="X25" s="272">
        <f t="shared" si="4"/>
        <v>1138.1601000000001</v>
      </c>
      <c r="Y25" s="272">
        <f t="shared" si="4"/>
        <v>967.43608500000005</v>
      </c>
      <c r="Z25" s="274">
        <f>'Tariffs Jan2017'!AW19</f>
        <v>24</v>
      </c>
      <c r="AA25" s="274" t="str">
        <f>'Tariffs Jan2017'!AX19</f>
        <v>n</v>
      </c>
      <c r="AB25" s="275" t="str">
        <f>'Tariffs Jan2017'!BD19</f>
        <v>Y</v>
      </c>
      <c r="AC25" s="305"/>
      <c r="AD25" s="305"/>
      <c r="AE25" s="305"/>
      <c r="AF25" s="305"/>
      <c r="AG25" s="305"/>
      <c r="AH25" s="305"/>
      <c r="AI25" s="305"/>
      <c r="AJ25" s="305"/>
      <c r="AK25" s="305"/>
      <c r="AL25" s="305"/>
      <c r="AM25" s="305"/>
      <c r="AN25" s="305"/>
    </row>
    <row r="26" spans="1:40" x14ac:dyDescent="0.15">
      <c r="A26" s="270" t="str">
        <f>'Tariffs Jan2017'!F20</f>
        <v>Momentum Energy</v>
      </c>
      <c r="B26" s="40" t="str">
        <f>'Tariffs Jan2017'!D20</f>
        <v>Multinet 2</v>
      </c>
      <c r="C26" s="40" t="str">
        <f>'Tariffs Jan2017'!G20</f>
        <v>Market offer</v>
      </c>
      <c r="D26" s="59">
        <f>365*'Tariffs Jan2017'!H20/100</f>
        <v>223.16099999999997</v>
      </c>
      <c r="E26" s="59">
        <f>IF($C$5*'Tariffs Jan2017'!AK20/'Tariffs Jan2017'!AI20&gt;='Tariffs Jan2017'!J20,( 'Tariffs Jan2017'!J20*'Tariffs Jan2017'!O20/100)* 'Tariffs Jan2017'!AI20,($C$5*'Tariffs Jan2017'!AK20/'Tariffs Jan2017'!AI20*'Tariffs Jan2017'!O20/100)* 'Tariffs Jan2017'!AI20)</f>
        <v>174.60000000000002</v>
      </c>
      <c r="F26" s="59">
        <f>IF($C$5*'Tariffs Jan2017'!AK20/'Tariffs Jan2017'!AI20&lt;'Tariffs Jan2017'!J20,0,IF($C$5*'Tariffs Jan2017'!AK20/'Tariffs Jan2017'!AI20&lt;='Tariffs Jan2017'!K20,($C$5*'Tariffs Jan2017'!AK20/'Tariffs Jan2017'!AI20-'Tariffs Jan2017'!J20)*('Tariffs Jan2017'!P20/100)*'Tariffs Jan2017'!AI20,('Tariffs Jan2017'!K20-'Tariffs Jan2017'!J20)*('Tariffs Jan2017'!P20/100)*'Tariffs Jan2017'!AI20))</f>
        <v>154.53000000000003</v>
      </c>
      <c r="G26" s="59">
        <f>IF($C$5*'Tariffs Jan2017'!AK20/'Tariffs Jan2017'!AI20&lt;'Tariffs Jan2017'!K20,0,IF($C$5*'Tariffs Jan2017'!AK20/'Tariffs Jan2017'!AI20&lt;='Tariffs Jan2017'!L20,($C$5*'Tariffs Jan2017'!AK20/'Tariffs Jan2017'!AI20-'Tariffs Jan2017'!K20)*('Tariffs Jan2017'!Q20/100)*'Tariffs Jan2017'!AI20,('Tariffs Jan2017'!L20-'Tariffs Jan2017'!K20)*('Tariffs Jan2017'!Q20/100)*'Tariffs Jan2017'!AI20))</f>
        <v>28.840000000000011</v>
      </c>
      <c r="H26" s="59">
        <f>IF($C$5*'Tariffs Jan2017'!AK20/'Tariffs Jan2017'!AI20&lt;'Tariffs Jan2017'!L20,0,IF($C$5*'Tariffs Jan2017'!AK20/'Tariffs Jan2017'!AI20&lt;='Tariffs Jan2017'!M20,($C$5*'Tariffs Jan2017'!AK20/'Tariffs Jan2017'!AI20-'Tariffs Jan2017'!L20)*('Tariffs Jan2017'!R20/100)*'Tariffs Jan2017'!AI20,('Tariffs Jan2017'!M20-'Tariffs Jan2017'!L20)*('Tariffs Jan2017'!R20/100)*'Tariffs Jan2017'!AI20))</f>
        <v>0</v>
      </c>
      <c r="I26" s="59">
        <f>IF(($C$5*'Tariffs Jan2017'!AK20/'Tariffs Jan2017'!AI20&gt;'Tariffs Jan2017'!M20),($C$5*'Tariffs Jan2017'!AK20/'Tariffs Jan2017'!AI20-'Tariffs Jan2017'!M20)*'Tariffs Jan2017'!S20/100*'Tariffs Jan2017'!AI20,0)</f>
        <v>0</v>
      </c>
      <c r="J26" s="59">
        <f>IF($C$5*'Tariffs Jan2017'!AL20/'Tariffs Jan2017'!AJ20&gt;='Tariffs Jan2017'!J20,('Tariffs Jan2017'!J20*'Tariffs Jan2017'!U20/100)* 'Tariffs Jan2017'!AJ20,($C$5*'Tariffs Jan2017'!AL20/'Tariffs Jan2017'!AJ20*'Tariffs Jan2017'!U20/100)* 'Tariffs Jan2017'!AJ20)</f>
        <v>161.10000000000002</v>
      </c>
      <c r="K26" s="59">
        <f>IF($C$5*'Tariffs Jan2017'!AL20/'Tariffs Jan2017'!AJ20&lt;'Tariffs Jan2017'!J20,0,IF($C$5*'Tariffs Jan2017'!AL20/'Tariffs Jan2017'!AJ20&lt;='Tariffs Jan2017'!K20,($C$5*'Tariffs Jan2017'!AL20/'Tariffs Jan2017'!AJ20-'Tariffs Jan2017'!J20)*('Tariffs Jan2017'!V20/100)*'Tariffs Jan2017'!AJ20,('Tariffs Jan2017'!K20-'Tariffs Jan2017'!J20)*('Tariffs Jan2017'!V20/100)*'Tariffs Jan2017'!AJ20))</f>
        <v>143.82000000000002</v>
      </c>
      <c r="L26" s="59">
        <f>IF($C$5*'Tariffs Jan2017'!AL20/'Tariffs Jan2017'!AJ20&lt;'Tariffs Jan2017'!K20,0,IF($C$5*'Tariffs Jan2017'!AL20/'Tariffs Jan2017'!AJ20&lt;='Tariffs Jan2017'!L20,($C$5*'Tariffs Jan2017'!AL20/'Tariffs Jan2017'!AJ20-'Tariffs Jan2017'!K20)*('Tariffs Jan2017'!W20/100)*'Tariffs Jan2017'!AJ20,('Tariffs Jan2017'!L20-'Tariffs Jan2017'!K20)*('Tariffs Jan2017'!W20/100)*'Tariffs Jan2017'!AJ20))</f>
        <v>27.280000000000015</v>
      </c>
      <c r="M26" s="59">
        <f>IF($C$5*'Tariffs Jan2017'!AL20/'Tariffs Jan2017'!AJ20&lt;'Tariffs Jan2017'!L20,0,IF($C$5*'Tariffs Jan2017'!AL20/'Tariffs Jan2017'!AJ20&lt;='Tariffs Jan2017'!M20,($C$5*'Tariffs Jan2017'!AL20/'Tariffs Jan2017'!AJ20-'Tariffs Jan2017'!L20)*('Tariffs Jan2017'!X20/100)*'Tariffs Jan2017'!AJ20,('Tariffs Jan2017'!M20-'Tariffs Jan2017'!L20)*('Tariffs Jan2017'!X20/100)*'Tariffs Jan2017'!AJ20))</f>
        <v>0</v>
      </c>
      <c r="N26" s="59">
        <f>IF(($C$5*'Tariffs Jan2017'!AL20/'Tariffs Jan2017'!AJ20&gt;'Tariffs Jan2017'!M20),($C$5*'Tariffs Jan2017'!AL20/'Tariffs Jan2017'!AJ20-'Tariffs Jan2017'!M20)*'Tariffs Jan2017'!Y20/100*'Tariffs Jan2017'!AJ20,0)</f>
        <v>0</v>
      </c>
      <c r="O26" s="271">
        <f t="shared" si="0"/>
        <v>690.17000000000019</v>
      </c>
      <c r="P26" s="59">
        <f t="shared" si="1"/>
        <v>913.33100000000013</v>
      </c>
      <c r="Q26" s="272">
        <f t="shared" si="2"/>
        <v>1004.6641000000002</v>
      </c>
      <c r="R26" s="40">
        <f>'Tariffs Jan2017'!AM20</f>
        <v>0</v>
      </c>
      <c r="S26" s="40">
        <f>'Tariffs Jan2017'!AN20</f>
        <v>0</v>
      </c>
      <c r="T26" s="40">
        <f>'Tariffs Jan2017'!AO20</f>
        <v>0</v>
      </c>
      <c r="U26" s="40">
        <f>'Tariffs Jan2017'!AP20</f>
        <v>0</v>
      </c>
      <c r="V26" s="273">
        <f t="shared" si="3"/>
        <v>913.33100000000013</v>
      </c>
      <c r="W26" s="273">
        <f>V26</f>
        <v>913.33100000000013</v>
      </c>
      <c r="X26" s="272">
        <f t="shared" si="4"/>
        <v>1004.6641000000002</v>
      </c>
      <c r="Y26" s="272">
        <f t="shared" si="4"/>
        <v>1004.6641000000002</v>
      </c>
      <c r="Z26" s="274">
        <f>'Tariffs Jan2017'!AW20</f>
        <v>0</v>
      </c>
      <c r="AA26" s="274" t="str">
        <f>'Tariffs Jan2017'!AX20</f>
        <v>n</v>
      </c>
      <c r="AB26" s="275" t="str">
        <f>'Tariffs Jan2017'!BD20</f>
        <v>Y</v>
      </c>
      <c r="AC26" s="305"/>
      <c r="AD26" s="305"/>
      <c r="AE26" s="305"/>
      <c r="AF26" s="305"/>
      <c r="AG26" s="305"/>
      <c r="AH26" s="305"/>
      <c r="AI26" s="305"/>
      <c r="AJ26" s="305"/>
      <c r="AK26" s="305"/>
      <c r="AL26" s="305"/>
      <c r="AM26" s="305"/>
      <c r="AN26" s="305"/>
    </row>
    <row r="27" spans="1:40" x14ac:dyDescent="0.15">
      <c r="A27" s="270" t="str">
        <f>'Tariffs Jan2017'!F21</f>
        <v>Origin Energy</v>
      </c>
      <c r="B27" s="40" t="str">
        <f>'Tariffs Jan2017'!D21</f>
        <v>Multinet 2</v>
      </c>
      <c r="C27" s="40" t="str">
        <f>'Tariffs Jan2017'!G21</f>
        <v>Saver</v>
      </c>
      <c r="D27" s="59">
        <f>365*'Tariffs Jan2017'!H21/100</f>
        <v>253.78450000000001</v>
      </c>
      <c r="E27" s="59">
        <f>IF($C$5*'Tariffs Jan2017'!AK21/'Tariffs Jan2017'!AI21&gt;='Tariffs Jan2017'!J21,( 'Tariffs Jan2017'!J21*'Tariffs Jan2017'!O21/100)* 'Tariffs Jan2017'!AI21,($C$5*'Tariffs Jan2017'!AK21/'Tariffs Jan2017'!AI21*'Tariffs Jan2017'!O21/100)* 'Tariffs Jan2017'!AI21)</f>
        <v>398.70000000000005</v>
      </c>
      <c r="F27" s="59">
        <f>IF($C$5*'Tariffs Jan2017'!AK21/'Tariffs Jan2017'!AI21&lt;'Tariffs Jan2017'!J21,0,IF($C$5*'Tariffs Jan2017'!AK21/'Tariffs Jan2017'!AI21&lt;='Tariffs Jan2017'!K21,($C$5*'Tariffs Jan2017'!AK21/'Tariffs Jan2017'!AI21-'Tariffs Jan2017'!J21)*('Tariffs Jan2017'!P21/100)*'Tariffs Jan2017'!AI21,('Tariffs Jan2017'!K21-'Tariffs Jan2017'!J21)*('Tariffs Jan2017'!P21/100)*'Tariffs Jan2017'!AI21))</f>
        <v>36.08000000000002</v>
      </c>
      <c r="G27" s="59">
        <f>IF($C$5*'Tariffs Jan2017'!AK21/'Tariffs Jan2017'!AI21&lt;'Tariffs Jan2017'!K21,0,IF($C$5*'Tariffs Jan2017'!AK21/'Tariffs Jan2017'!AI21&lt;='Tariffs Jan2017'!L21,($C$5*'Tariffs Jan2017'!AK21/'Tariffs Jan2017'!AI21-'Tariffs Jan2017'!K21)*('Tariffs Jan2017'!Q21/100)*'Tariffs Jan2017'!AI21,('Tariffs Jan2017'!L21-'Tariffs Jan2017'!K21)*('Tariffs Jan2017'!Q21/100)*'Tariffs Jan2017'!AI21))</f>
        <v>0</v>
      </c>
      <c r="H27" s="59">
        <f>IF($C$5*'Tariffs Jan2017'!AK21/'Tariffs Jan2017'!AI21&lt;'Tariffs Jan2017'!L21,0,IF($C$5*'Tariffs Jan2017'!AK21/'Tariffs Jan2017'!AI21&lt;='Tariffs Jan2017'!M21,($C$5*'Tariffs Jan2017'!AK21/'Tariffs Jan2017'!AI21-'Tariffs Jan2017'!L21)*('Tariffs Jan2017'!R21/100)*'Tariffs Jan2017'!AI21,('Tariffs Jan2017'!M21-'Tariffs Jan2017'!L21)*('Tariffs Jan2017'!R21/100)*'Tariffs Jan2017'!AI21))</f>
        <v>0</v>
      </c>
      <c r="I27" s="59">
        <f>IF(($C$5*'Tariffs Jan2017'!AK21/'Tariffs Jan2017'!AI21&gt;'Tariffs Jan2017'!M21),($C$5*'Tariffs Jan2017'!AK21/'Tariffs Jan2017'!AI21-'Tariffs Jan2017'!M21)*'Tariffs Jan2017'!S21/100*'Tariffs Jan2017'!AI21,0)</f>
        <v>0</v>
      </c>
      <c r="J27" s="59">
        <f>IF($C$5*'Tariffs Jan2017'!AL21/'Tariffs Jan2017'!AJ21&gt;='Tariffs Jan2017'!J21,('Tariffs Jan2017'!J21*'Tariffs Jan2017'!U21/100)* 'Tariffs Jan2017'!AJ21,($C$5*'Tariffs Jan2017'!AL21/'Tariffs Jan2017'!AJ21*'Tariffs Jan2017'!U21/100)* 'Tariffs Jan2017'!AJ21)</f>
        <v>361.98</v>
      </c>
      <c r="K27" s="59">
        <f>IF($C$5*'Tariffs Jan2017'!AL21/'Tariffs Jan2017'!AJ21&lt;'Tariffs Jan2017'!J21,0,IF($C$5*'Tariffs Jan2017'!AL21/'Tariffs Jan2017'!AJ21&lt;='Tariffs Jan2017'!K21,($C$5*'Tariffs Jan2017'!AL21/'Tariffs Jan2017'!AJ21-'Tariffs Jan2017'!J21)*('Tariffs Jan2017'!V21/100)*'Tariffs Jan2017'!AJ21,('Tariffs Jan2017'!K21-'Tariffs Jan2017'!J21)*('Tariffs Jan2017'!V21/100)*'Tariffs Jan2017'!AJ21))</f>
        <v>31.680000000000014</v>
      </c>
      <c r="L27" s="59">
        <f>IF($C$5*'Tariffs Jan2017'!AL21/'Tariffs Jan2017'!AJ21&lt;'Tariffs Jan2017'!K21,0,IF($C$5*'Tariffs Jan2017'!AL21/'Tariffs Jan2017'!AJ21&lt;='Tariffs Jan2017'!L21,($C$5*'Tariffs Jan2017'!AL21/'Tariffs Jan2017'!AJ21-'Tariffs Jan2017'!K21)*('Tariffs Jan2017'!W21/100)*'Tariffs Jan2017'!AJ21,('Tariffs Jan2017'!L21-'Tariffs Jan2017'!K21)*('Tariffs Jan2017'!W21/100)*'Tariffs Jan2017'!AJ21))</f>
        <v>0</v>
      </c>
      <c r="M27" s="59">
        <f>IF($C$5*'Tariffs Jan2017'!AL21/'Tariffs Jan2017'!AJ21&lt;'Tariffs Jan2017'!L21,0,IF($C$5*'Tariffs Jan2017'!AL21/'Tariffs Jan2017'!AJ21&lt;='Tariffs Jan2017'!M21,($C$5*'Tariffs Jan2017'!AL21/'Tariffs Jan2017'!AJ21-'Tariffs Jan2017'!L21)*('Tariffs Jan2017'!X21/100)*'Tariffs Jan2017'!AJ21,('Tariffs Jan2017'!M21-'Tariffs Jan2017'!L21)*('Tariffs Jan2017'!X21/100)*'Tariffs Jan2017'!AJ21))</f>
        <v>0</v>
      </c>
      <c r="N27" s="59">
        <f>IF(($C$5*'Tariffs Jan2017'!AL21/'Tariffs Jan2017'!AJ21&gt;'Tariffs Jan2017'!M21),($C$5*'Tariffs Jan2017'!AL21/'Tariffs Jan2017'!AJ21-'Tariffs Jan2017'!M21)*'Tariffs Jan2017'!Y21/100*'Tariffs Jan2017'!AJ21,0)</f>
        <v>0</v>
      </c>
      <c r="O27" s="271">
        <f t="shared" si="0"/>
        <v>828.44000000000017</v>
      </c>
      <c r="P27" s="59">
        <f t="shared" si="1"/>
        <v>1082.2245000000003</v>
      </c>
      <c r="Q27" s="272">
        <f t="shared" si="2"/>
        <v>1190.4469500000005</v>
      </c>
      <c r="R27" s="40">
        <f>'Tariffs Jan2017'!AM21</f>
        <v>0</v>
      </c>
      <c r="S27" s="40">
        <f>'Tariffs Jan2017'!AN21</f>
        <v>0</v>
      </c>
      <c r="T27" s="40">
        <f>'Tariffs Jan2017'!AO21</f>
        <v>0</v>
      </c>
      <c r="U27" s="40">
        <f>'Tariffs Jan2017'!AP21</f>
        <v>13</v>
      </c>
      <c r="V27" s="273">
        <f t="shared" si="3"/>
        <v>1082.2245000000003</v>
      </c>
      <c r="W27" s="273">
        <f>V27-(O27*U27/100)</f>
        <v>974.5273000000002</v>
      </c>
      <c r="X27" s="272">
        <f t="shared" si="4"/>
        <v>1190.4469500000005</v>
      </c>
      <c r="Y27" s="272">
        <f t="shared" si="4"/>
        <v>1071.9800300000004</v>
      </c>
      <c r="Z27" s="274">
        <f>'Tariffs Jan2017'!AW21</f>
        <v>0</v>
      </c>
      <c r="AA27" s="274" t="str">
        <f>'Tariffs Jan2017'!AX21</f>
        <v>n</v>
      </c>
      <c r="AB27" s="275" t="str">
        <f>'Tariffs Jan2017'!BD21</f>
        <v>N</v>
      </c>
      <c r="AC27" s="305"/>
      <c r="AD27" s="305"/>
      <c r="AE27" s="305"/>
      <c r="AF27" s="305"/>
      <c r="AG27" s="305"/>
      <c r="AH27" s="305"/>
      <c r="AI27" s="305"/>
      <c r="AJ27" s="305"/>
      <c r="AK27" s="305"/>
      <c r="AL27" s="305"/>
      <c r="AM27" s="305"/>
      <c r="AN27" s="305"/>
    </row>
    <row r="28" spans="1:40" x14ac:dyDescent="0.15">
      <c r="A28" s="270" t="str">
        <f>'Tariffs Jan2017'!F22</f>
        <v>Red Energy</v>
      </c>
      <c r="B28" s="40" t="str">
        <f>'Tariffs Jan2017'!D22</f>
        <v>Multinet 2</v>
      </c>
      <c r="C28" s="40" t="str">
        <f>'Tariffs Jan2017'!G22</f>
        <v>Living Energy Saver</v>
      </c>
      <c r="D28" s="59">
        <f>365*'Tariffs Jan2017'!H22/100</f>
        <v>255.5</v>
      </c>
      <c r="E28" s="59">
        <f>IF($C$5*'Tariffs Jan2017'!AK22/'Tariffs Jan2017'!AI22&gt;='Tariffs Jan2017'!J22,( 'Tariffs Jan2017'!J22*'Tariffs Jan2017'!O22/100)* 'Tariffs Jan2017'!AI22,($C$5*'Tariffs Jan2017'!AK22/'Tariffs Jan2017'!AI22*'Tariffs Jan2017'!O22/100)* 'Tariffs Jan2017'!AI22)</f>
        <v>198.34499999999997</v>
      </c>
      <c r="F28" s="59">
        <f>IF($C$5*'Tariffs Jan2017'!AK22/'Tariffs Jan2017'!AI22&lt;'Tariffs Jan2017'!J22,0,IF($C$5*'Tariffs Jan2017'!AK22/'Tariffs Jan2017'!AI22&lt;='Tariffs Jan2017'!K22,($C$5*'Tariffs Jan2017'!AK22/'Tariffs Jan2017'!AI22-'Tariffs Jan2017'!J22)*('Tariffs Jan2017'!P22/100)*'Tariffs Jan2017'!AI22,('Tariffs Jan2017'!K22-'Tariffs Jan2017'!J22)*('Tariffs Jan2017'!P22/100)*'Tariffs Jan2017'!AI22))</f>
        <v>0</v>
      </c>
      <c r="G28" s="59">
        <f>IF($C$5*'Tariffs Jan2017'!AK22/'Tariffs Jan2017'!AI22&lt;'Tariffs Jan2017'!K22,0,IF($C$5*'Tariffs Jan2017'!AK22/'Tariffs Jan2017'!AI22&lt;='Tariffs Jan2017'!L22,($C$5*'Tariffs Jan2017'!AK22/'Tariffs Jan2017'!AI22-'Tariffs Jan2017'!K22)*('Tariffs Jan2017'!Q22/100)*'Tariffs Jan2017'!AI22,('Tariffs Jan2017'!L22-'Tariffs Jan2017'!K22)*('Tariffs Jan2017'!Q22/100)*'Tariffs Jan2017'!AI22))</f>
        <v>0</v>
      </c>
      <c r="H28" s="59">
        <f>IF($C$5*'Tariffs Jan2017'!AK22/'Tariffs Jan2017'!AI22&lt;'Tariffs Jan2017'!L22,0,IF($C$5*'Tariffs Jan2017'!AK22/'Tariffs Jan2017'!AI22&lt;='Tariffs Jan2017'!M22,($C$5*'Tariffs Jan2017'!AK22/'Tariffs Jan2017'!AI22-'Tariffs Jan2017'!L22)*('Tariffs Jan2017'!R22/100)*'Tariffs Jan2017'!AI22,('Tariffs Jan2017'!M22-'Tariffs Jan2017'!L22)*('Tariffs Jan2017'!R22/100)*'Tariffs Jan2017'!AI22))</f>
        <v>0</v>
      </c>
      <c r="I28" s="59">
        <f>IF(($C$5*'Tariffs Jan2017'!AK22/'Tariffs Jan2017'!AI22&gt;'Tariffs Jan2017'!M22),($C$5*'Tariffs Jan2017'!AK22/'Tariffs Jan2017'!AI22-'Tariffs Jan2017'!M22)*'Tariffs Jan2017'!S22/100*'Tariffs Jan2017'!AI22,0)</f>
        <v>157.51000000000002</v>
      </c>
      <c r="J28" s="59">
        <f>IF($C$5*'Tariffs Jan2017'!AL22/'Tariffs Jan2017'!AJ22&gt;='Tariffs Jan2017'!J22,('Tariffs Jan2017'!J22*'Tariffs Jan2017'!U22/100)* 'Tariffs Jan2017'!AJ22,($C$5*'Tariffs Jan2017'!AL22/'Tariffs Jan2017'!AJ22*'Tariffs Jan2017'!U22/100)* 'Tariffs Jan2017'!AJ22)</f>
        <v>186.375</v>
      </c>
      <c r="K28" s="59">
        <f>IF($C$5*'Tariffs Jan2017'!AL22/'Tariffs Jan2017'!AJ22&lt;'Tariffs Jan2017'!J22,0,IF($C$5*'Tariffs Jan2017'!AL22/'Tariffs Jan2017'!AJ22&lt;='Tariffs Jan2017'!K22,($C$5*'Tariffs Jan2017'!AL22/'Tariffs Jan2017'!AJ22-'Tariffs Jan2017'!J22)*('Tariffs Jan2017'!V22/100)*'Tariffs Jan2017'!AJ22,('Tariffs Jan2017'!K22-'Tariffs Jan2017'!J22)*('Tariffs Jan2017'!V22/100)*'Tariffs Jan2017'!AJ22))</f>
        <v>0</v>
      </c>
      <c r="L28" s="59">
        <f>IF($C$5*'Tariffs Jan2017'!AL22/'Tariffs Jan2017'!AJ22&lt;'Tariffs Jan2017'!K22,0,IF($C$5*'Tariffs Jan2017'!AL22/'Tariffs Jan2017'!AJ22&lt;='Tariffs Jan2017'!L22,($C$5*'Tariffs Jan2017'!AL22/'Tariffs Jan2017'!AJ22-'Tariffs Jan2017'!K22)*('Tariffs Jan2017'!W22/100)*'Tariffs Jan2017'!AJ22,('Tariffs Jan2017'!L22-'Tariffs Jan2017'!K22)*('Tariffs Jan2017'!W22/100)*'Tariffs Jan2017'!AJ22))</f>
        <v>0</v>
      </c>
      <c r="M28" s="59">
        <f>IF($C$5*'Tariffs Jan2017'!AL22/'Tariffs Jan2017'!AJ22&lt;'Tariffs Jan2017'!L22,0,IF($C$5*'Tariffs Jan2017'!AL22/'Tariffs Jan2017'!AJ22&lt;='Tariffs Jan2017'!M22,($C$5*'Tariffs Jan2017'!AL22/'Tariffs Jan2017'!AJ22-'Tariffs Jan2017'!L22)*('Tariffs Jan2017'!X22/100)*'Tariffs Jan2017'!AJ22,('Tariffs Jan2017'!M22-'Tariffs Jan2017'!L22)*('Tariffs Jan2017'!X22/100)*'Tariffs Jan2017'!AJ22))</f>
        <v>0</v>
      </c>
      <c r="N28" s="59">
        <f>IF(($C$5*'Tariffs Jan2017'!AL22/'Tariffs Jan2017'!AJ22&gt;'Tariffs Jan2017'!M22),($C$5*'Tariffs Jan2017'!AL22/'Tariffs Jan2017'!AJ22-'Tariffs Jan2017'!M22)*'Tariffs Jan2017'!Y22/100*'Tariffs Jan2017'!AJ22,0)</f>
        <v>150.38500000000002</v>
      </c>
      <c r="O28" s="271">
        <f t="shared" si="0"/>
        <v>692.61500000000001</v>
      </c>
      <c r="P28" s="59">
        <f t="shared" si="1"/>
        <v>948.11500000000001</v>
      </c>
      <c r="Q28" s="272">
        <f t="shared" si="2"/>
        <v>1042.9265</v>
      </c>
      <c r="R28" s="40">
        <f>'Tariffs Jan2017'!AM22</f>
        <v>0</v>
      </c>
      <c r="S28" s="40">
        <f>'Tariffs Jan2017'!AN22</f>
        <v>0</v>
      </c>
      <c r="T28" s="40">
        <f>'Tariffs Jan2017'!AO22</f>
        <v>10</v>
      </c>
      <c r="U28" s="40">
        <f>'Tariffs Jan2017'!AP22</f>
        <v>0</v>
      </c>
      <c r="V28" s="273">
        <f t="shared" si="3"/>
        <v>948.11500000000001</v>
      </c>
      <c r="W28" s="273">
        <f>V28-(P28*T28/100)</f>
        <v>853.30349999999999</v>
      </c>
      <c r="X28" s="272">
        <f t="shared" si="4"/>
        <v>1042.9265</v>
      </c>
      <c r="Y28" s="272">
        <f t="shared" si="4"/>
        <v>938.63385000000005</v>
      </c>
      <c r="Z28" s="274">
        <f>'Tariffs Jan2017'!AW22</f>
        <v>0</v>
      </c>
      <c r="AA28" s="274" t="str">
        <f>'Tariffs Jan2017'!AX22</f>
        <v>n</v>
      </c>
      <c r="AB28" s="275" t="str">
        <f>'Tariffs Jan2017'!BD22</f>
        <v>Y</v>
      </c>
      <c r="AC28" s="305"/>
      <c r="AD28" s="305"/>
      <c r="AE28" s="305"/>
      <c r="AF28" s="305"/>
      <c r="AG28" s="305"/>
      <c r="AH28" s="305"/>
      <c r="AI28" s="305"/>
      <c r="AJ28" s="305"/>
      <c r="AK28" s="305"/>
      <c r="AL28" s="305"/>
      <c r="AM28" s="305"/>
      <c r="AN28" s="305"/>
    </row>
    <row r="29" spans="1:40" ht="14" thickBot="1" x14ac:dyDescent="0.2">
      <c r="A29" s="276" t="str">
        <f>'Tariffs Jan2017'!F23</f>
        <v>Simply Energy</v>
      </c>
      <c r="B29" s="277" t="str">
        <f>'Tariffs Jan2017'!D23</f>
        <v>Multinet 2</v>
      </c>
      <c r="C29" s="277" t="str">
        <f>'Tariffs Jan2017'!G23</f>
        <v>Plus</v>
      </c>
      <c r="D29" s="278">
        <f>365*'Tariffs Jan2017'!H23/100</f>
        <v>256.52199999999999</v>
      </c>
      <c r="E29" s="278">
        <f>IF($C$5*'Tariffs Jan2017'!AK23/'Tariffs Jan2017'!AI23&gt;='Tariffs Jan2017'!J23,( 'Tariffs Jan2017'!J23*'Tariffs Jan2017'!O23/100)* 'Tariffs Jan2017'!AI23,($C$5*'Tariffs Jan2017'!AK23/'Tariffs Jan2017'!AI23*'Tariffs Jan2017'!O23/100)* 'Tariffs Jan2017'!AI23)</f>
        <v>198.00000000000006</v>
      </c>
      <c r="F29" s="278">
        <f>IF($C$5*'Tariffs Jan2017'!AK23/'Tariffs Jan2017'!AI23&lt;'Tariffs Jan2017'!J23,0,IF($C$5*'Tariffs Jan2017'!AK23/'Tariffs Jan2017'!AI23&lt;='Tariffs Jan2017'!K23,($C$5*'Tariffs Jan2017'!AK23/'Tariffs Jan2017'!AI23-'Tariffs Jan2017'!J23)*('Tariffs Jan2017'!P23/100)*'Tariffs Jan2017'!AI23,('Tariffs Jan2017'!K23-'Tariffs Jan2017'!J23)*('Tariffs Jan2017'!P23/100)*'Tariffs Jan2017'!AI23))</f>
        <v>176.39999999999998</v>
      </c>
      <c r="G29" s="278">
        <f>IF($C$5*'Tariffs Jan2017'!AK23/'Tariffs Jan2017'!AI23&lt;'Tariffs Jan2017'!K23,0,IF($C$5*'Tariffs Jan2017'!AK23/'Tariffs Jan2017'!AI23&lt;='Tariffs Jan2017'!L23,($C$5*'Tariffs Jan2017'!AK23/'Tariffs Jan2017'!AI23-'Tariffs Jan2017'!K23)*('Tariffs Jan2017'!Q23/100)*'Tariffs Jan2017'!AI23,('Tariffs Jan2017'!L23-'Tariffs Jan2017'!K23)*('Tariffs Jan2017'!Q23/100)*'Tariffs Jan2017'!AI23))</f>
        <v>33.600000000000016</v>
      </c>
      <c r="H29" s="278">
        <f>IF($C$5*'Tariffs Jan2017'!AK23/'Tariffs Jan2017'!AI23&lt;'Tariffs Jan2017'!L23,0,IF($C$5*'Tariffs Jan2017'!AK23/'Tariffs Jan2017'!AI23&lt;='Tariffs Jan2017'!M23,($C$5*'Tariffs Jan2017'!AK23/'Tariffs Jan2017'!AI23-'Tariffs Jan2017'!L23)*('Tariffs Jan2017'!R23/100)*'Tariffs Jan2017'!AI23,('Tariffs Jan2017'!M23-'Tariffs Jan2017'!L23)*('Tariffs Jan2017'!R23/100)*'Tariffs Jan2017'!AI23))</f>
        <v>0</v>
      </c>
      <c r="I29" s="278">
        <f>IF(($C$5*'Tariffs Jan2017'!AK23/'Tariffs Jan2017'!AI23&gt;'Tariffs Jan2017'!M23),($C$5*'Tariffs Jan2017'!AK23/'Tariffs Jan2017'!AI23-'Tariffs Jan2017'!M23)*'Tariffs Jan2017'!S23/100*'Tariffs Jan2017'!AI23,0)</f>
        <v>0</v>
      </c>
      <c r="J29" s="278">
        <f>IF($C$5*'Tariffs Jan2017'!AL23/'Tariffs Jan2017'!AJ23&gt;='Tariffs Jan2017'!J23,('Tariffs Jan2017'!J23*'Tariffs Jan2017'!U23/100)* 'Tariffs Jan2017'!AJ23,($C$5*'Tariffs Jan2017'!AL23/'Tariffs Jan2017'!AJ23*'Tariffs Jan2017'!U23/100)* 'Tariffs Jan2017'!AJ23)</f>
        <v>187.2</v>
      </c>
      <c r="K29" s="278">
        <f>IF($C$5*'Tariffs Jan2017'!AL23/'Tariffs Jan2017'!AJ23&lt;'Tariffs Jan2017'!J23,0,IF($C$5*'Tariffs Jan2017'!AL23/'Tariffs Jan2017'!AJ23&lt;='Tariffs Jan2017'!K23,($C$5*'Tariffs Jan2017'!AL23/'Tariffs Jan2017'!AJ23-'Tariffs Jan2017'!J23)*('Tariffs Jan2017'!V23/100)*'Tariffs Jan2017'!AJ23,('Tariffs Jan2017'!K23-'Tariffs Jan2017'!J23)*('Tariffs Jan2017'!V23/100)*'Tariffs Jan2017'!AJ23))</f>
        <v>169.2</v>
      </c>
      <c r="L29" s="278">
        <f>IF($C$5*'Tariffs Jan2017'!AL23/'Tariffs Jan2017'!AJ23&lt;'Tariffs Jan2017'!K23,0,IF($C$5*'Tariffs Jan2017'!AL23/'Tariffs Jan2017'!AJ23&lt;='Tariffs Jan2017'!L23,($C$5*'Tariffs Jan2017'!AL23/'Tariffs Jan2017'!AJ23-'Tariffs Jan2017'!K23)*('Tariffs Jan2017'!W23/100)*'Tariffs Jan2017'!AJ23,('Tariffs Jan2017'!L23-'Tariffs Jan2017'!K23)*('Tariffs Jan2017'!W23/100)*'Tariffs Jan2017'!AJ23))</f>
        <v>32.600000000000009</v>
      </c>
      <c r="M29" s="278">
        <f>IF($C$5*'Tariffs Jan2017'!AL23/'Tariffs Jan2017'!AJ23&lt;'Tariffs Jan2017'!L23,0,IF($C$5*'Tariffs Jan2017'!AL23/'Tariffs Jan2017'!AJ23&lt;='Tariffs Jan2017'!M23,($C$5*'Tariffs Jan2017'!AL23/'Tariffs Jan2017'!AJ23-'Tariffs Jan2017'!L23)*('Tariffs Jan2017'!X23/100)*'Tariffs Jan2017'!AJ23,('Tariffs Jan2017'!M23-'Tariffs Jan2017'!L23)*('Tariffs Jan2017'!X23/100)*'Tariffs Jan2017'!AJ23))</f>
        <v>0</v>
      </c>
      <c r="N29" s="278">
        <f>IF(($C$5*'Tariffs Jan2017'!AL23/'Tariffs Jan2017'!AJ23&gt;'Tariffs Jan2017'!M23),($C$5*'Tariffs Jan2017'!AL23/'Tariffs Jan2017'!AJ23-'Tariffs Jan2017'!M23)*'Tariffs Jan2017'!Y23/100*'Tariffs Jan2017'!AJ23,0)</f>
        <v>0</v>
      </c>
      <c r="O29" s="279">
        <f t="shared" si="0"/>
        <v>797.00000000000011</v>
      </c>
      <c r="P29" s="278">
        <f t="shared" si="1"/>
        <v>1053.5220000000002</v>
      </c>
      <c r="Q29" s="280">
        <f t="shared" si="2"/>
        <v>1158.8742000000002</v>
      </c>
      <c r="R29" s="277">
        <f>'Tariffs Jan2017'!AM23</f>
        <v>0</v>
      </c>
      <c r="S29" s="277">
        <f>'Tariffs Jan2017'!AN23</f>
        <v>0</v>
      </c>
      <c r="T29" s="277">
        <f>'Tariffs Jan2017'!AO23</f>
        <v>0</v>
      </c>
      <c r="U29" s="277">
        <f>'Tariffs Jan2017'!AP23</f>
        <v>15</v>
      </c>
      <c r="V29" s="273">
        <f t="shared" si="3"/>
        <v>1053.5220000000002</v>
      </c>
      <c r="W29" s="281">
        <f>V29-(O29*U29/100)</f>
        <v>933.97200000000021</v>
      </c>
      <c r="X29" s="280">
        <f t="shared" si="4"/>
        <v>1158.8742000000002</v>
      </c>
      <c r="Y29" s="280">
        <f t="shared" si="4"/>
        <v>1027.3692000000003</v>
      </c>
      <c r="Z29" s="282">
        <f>'Tariffs Jan2017'!AW23</f>
        <v>24</v>
      </c>
      <c r="AA29" s="282" t="str">
        <f>'Tariffs Jan2017'!AX23</f>
        <v>n</v>
      </c>
      <c r="AB29" s="283" t="str">
        <f>'Tariffs Jan2017'!BD23</f>
        <v>Y</v>
      </c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</row>
    <row r="30" spans="1:40" ht="14" thickTop="1" x14ac:dyDescent="0.15">
      <c r="A30" s="270" t="str">
        <f>'Tariffs Jan2017'!F24</f>
        <v>AGL</v>
      </c>
      <c r="B30" s="40" t="str">
        <f>'Tariffs Jan2017'!D24</f>
        <v>Envestra North</v>
      </c>
      <c r="C30" s="40" t="str">
        <f>'Tariffs Jan2017'!G24</f>
        <v>Savers</v>
      </c>
      <c r="D30" s="59">
        <f>365*'Tariffs Jan2017'!H24/100</f>
        <v>261.74149999999997</v>
      </c>
      <c r="E30" s="59">
        <f>IF($C$5*'Tariffs Jan2017'!AK24/'Tariffs Jan2017'!AI24&gt;='Tariffs Jan2017'!J24,( 'Tariffs Jan2017'!J24*'Tariffs Jan2017'!O24/100)* 'Tariffs Jan2017'!AI24,($C$5*'Tariffs Jan2017'!AK24/'Tariffs Jan2017'!AI24*'Tariffs Jan2017'!O24/100)* 'Tariffs Jan2017'!AI24)</f>
        <v>76.525400000000005</v>
      </c>
      <c r="F30" s="59">
        <f>IF($C$5*'Tariffs Jan2017'!AK24/'Tariffs Jan2017'!AI24&lt;'Tariffs Jan2017'!J24,0,IF($C$5*'Tariffs Jan2017'!AK24/'Tariffs Jan2017'!AI24&lt;='Tariffs Jan2017'!K24,($C$5*'Tariffs Jan2017'!AK24/'Tariffs Jan2017'!AI24-'Tariffs Jan2017'!J24)*('Tariffs Jan2017'!P24/100)*'Tariffs Jan2017'!AI24,('Tariffs Jan2017'!K24-'Tariffs Jan2017'!J24)*('Tariffs Jan2017'!P24/100)*'Tariffs Jan2017'!AI24))</f>
        <v>57.289400000000001</v>
      </c>
      <c r="G30" s="59">
        <f>IF($C$5*'Tariffs Jan2017'!AK24/'Tariffs Jan2017'!AI24&lt;'Tariffs Jan2017'!K24,0,IF($C$5*'Tariffs Jan2017'!AK24/'Tariffs Jan2017'!AI24&lt;='Tariffs Jan2017'!L24,($C$5*'Tariffs Jan2017'!AK24/'Tariffs Jan2017'!AI24-'Tariffs Jan2017'!K24)*('Tariffs Jan2017'!Q24/100)*'Tariffs Jan2017'!AI24,('Tariffs Jan2017'!L24-'Tariffs Jan2017'!K24)*('Tariffs Jan2017'!Q24/100)*'Tariffs Jan2017'!AI24))</f>
        <v>0</v>
      </c>
      <c r="H30" s="59">
        <f>IF($C$5*'Tariffs Jan2017'!AK24/'Tariffs Jan2017'!AI24&lt;'Tariffs Jan2017'!L24,0,IF($C$5*'Tariffs Jan2017'!AK24/'Tariffs Jan2017'!AI24&lt;='Tariffs Jan2017'!M24,($C$5*'Tariffs Jan2017'!AK24/'Tariffs Jan2017'!AI24-'Tariffs Jan2017'!L24)*('Tariffs Jan2017'!R24/100)*'Tariffs Jan2017'!AI24,('Tariffs Jan2017'!M24-'Tariffs Jan2017'!L24)*('Tariffs Jan2017'!R24/100)*'Tariffs Jan2017'!AI24))</f>
        <v>0</v>
      </c>
      <c r="I30" s="59">
        <f>IF(($C$5*'Tariffs Jan2017'!AK24/'Tariffs Jan2017'!AI24&gt;'Tariffs Jan2017'!M24),($C$5*'Tariffs Jan2017'!AK24/'Tariffs Jan2017'!AI24-'Tariffs Jan2017'!M24)*'Tariffs Jan2017'!S24/100*'Tariffs Jan2017'!AI24,0)</f>
        <v>129.33647999999999</v>
      </c>
      <c r="J30" s="59">
        <f>IF($C$5*'Tariffs Jan2017'!AL24/'Tariffs Jan2017'!AJ24&gt;='Tariffs Jan2017'!J24,('Tariffs Jan2017'!J24*'Tariffs Jan2017'!U24/100)* 'Tariffs Jan2017'!AJ24,($C$5*'Tariffs Jan2017'!AL24/'Tariffs Jan2017'!AJ24*'Tariffs Jan2017'!U24/100)* 'Tariffs Jan2017'!AJ24)</f>
        <v>153.05080000000001</v>
      </c>
      <c r="K30" s="59">
        <f>IF($C$5*'Tariffs Jan2017'!AL24/'Tariffs Jan2017'!AJ24&lt;'Tariffs Jan2017'!J24,0,IF($C$5*'Tariffs Jan2017'!AL24/'Tariffs Jan2017'!AJ24&lt;='Tariffs Jan2017'!K24,($C$5*'Tariffs Jan2017'!AL24/'Tariffs Jan2017'!AJ24-'Tariffs Jan2017'!J24)*('Tariffs Jan2017'!V24/100)*'Tariffs Jan2017'!AJ24,('Tariffs Jan2017'!K24-'Tariffs Jan2017'!J24)*('Tariffs Jan2017'!V24/100)*'Tariffs Jan2017'!AJ24))</f>
        <v>114.5788</v>
      </c>
      <c r="L30" s="59">
        <f>IF($C$5*'Tariffs Jan2017'!AL24/'Tariffs Jan2017'!AJ24&lt;'Tariffs Jan2017'!K24,0,IF($C$5*'Tariffs Jan2017'!AL24/'Tariffs Jan2017'!AJ24&lt;='Tariffs Jan2017'!L24,($C$5*'Tariffs Jan2017'!AL24/'Tariffs Jan2017'!AJ24-'Tariffs Jan2017'!K24)*('Tariffs Jan2017'!W24/100)*'Tariffs Jan2017'!AJ24,('Tariffs Jan2017'!L24-'Tariffs Jan2017'!K24)*('Tariffs Jan2017'!W24/100)*'Tariffs Jan2017'!AJ24))</f>
        <v>0</v>
      </c>
      <c r="M30" s="59">
        <f>IF($C$5*'Tariffs Jan2017'!AL24/'Tariffs Jan2017'!AJ24&lt;'Tariffs Jan2017'!L24,0,IF($C$5*'Tariffs Jan2017'!AL24/'Tariffs Jan2017'!AJ24&lt;='Tariffs Jan2017'!M24,($C$5*'Tariffs Jan2017'!AL24/'Tariffs Jan2017'!AJ24-'Tariffs Jan2017'!L24)*('Tariffs Jan2017'!X24/100)*'Tariffs Jan2017'!AJ24,('Tariffs Jan2017'!M24-'Tariffs Jan2017'!L24)*('Tariffs Jan2017'!X24/100)*'Tariffs Jan2017'!AJ24))</f>
        <v>0</v>
      </c>
      <c r="N30" s="59">
        <f>IF(($C$5*'Tariffs Jan2017'!AL24/'Tariffs Jan2017'!AJ24&gt;'Tariffs Jan2017'!M24),($C$5*'Tariffs Jan2017'!AL24/'Tariffs Jan2017'!AJ24-'Tariffs Jan2017'!M24)*'Tariffs Jan2017'!Y24/100*'Tariffs Jan2017'!AJ24,0)</f>
        <v>258.67295999999999</v>
      </c>
      <c r="O30" s="271">
        <f t="shared" si="0"/>
        <v>789.45384000000001</v>
      </c>
      <c r="P30" s="59">
        <f t="shared" si="1"/>
        <v>1051.19534</v>
      </c>
      <c r="Q30" s="272">
        <f t="shared" si="2"/>
        <v>1156.3148740000001</v>
      </c>
      <c r="R30" s="40">
        <f>'Tariffs Jan2017'!AM24</f>
        <v>0</v>
      </c>
      <c r="S30" s="40">
        <f>'Tariffs Jan2017'!AN24</f>
        <v>0</v>
      </c>
      <c r="T30" s="40">
        <f>'Tariffs Jan2017'!AO24</f>
        <v>0</v>
      </c>
      <c r="U30" s="40">
        <f>'Tariffs Jan2017'!AP24</f>
        <v>15</v>
      </c>
      <c r="V30" s="273">
        <f t="shared" si="3"/>
        <v>1051.19534</v>
      </c>
      <c r="W30" s="273">
        <f>V30-(O30*U30/100)</f>
        <v>932.77726399999995</v>
      </c>
      <c r="X30" s="272">
        <f t="shared" si="4"/>
        <v>1156.3148740000001</v>
      </c>
      <c r="Y30" s="272">
        <f t="shared" si="4"/>
        <v>1026.0549904</v>
      </c>
      <c r="Z30" s="274">
        <f>'Tariffs Jan2017'!AW24</f>
        <v>0</v>
      </c>
      <c r="AA30" s="274" t="str">
        <f>'Tariffs Jan2017'!AX24</f>
        <v>n</v>
      </c>
      <c r="AB30" s="275" t="str">
        <f>'Tariffs Jan2017'!BD24</f>
        <v>N</v>
      </c>
      <c r="AC30" s="305"/>
      <c r="AD30" s="305"/>
      <c r="AE30" s="305"/>
      <c r="AF30" s="305"/>
      <c r="AG30" s="305"/>
      <c r="AH30" s="305"/>
      <c r="AI30" s="305"/>
      <c r="AJ30" s="305"/>
      <c r="AK30" s="305"/>
      <c r="AL30" s="305"/>
      <c r="AM30" s="305"/>
      <c r="AN30" s="305"/>
    </row>
    <row r="31" spans="1:40" x14ac:dyDescent="0.15">
      <c r="A31" s="270" t="str">
        <f>'Tariffs Jan2017'!F25</f>
        <v>Alinta Energy</v>
      </c>
      <c r="B31" s="40" t="str">
        <f>'Tariffs Jan2017'!D25</f>
        <v>Envestra North</v>
      </c>
      <c r="C31" s="40" t="str">
        <f>'Tariffs Jan2017'!G25</f>
        <v>Fair Deal</v>
      </c>
      <c r="D31" s="59">
        <f>365*'Tariffs Jan2017'!H25/100</f>
        <v>250.71849999999998</v>
      </c>
      <c r="E31" s="59">
        <f>IF($C$5*'Tariffs Jan2017'!AK25/'Tariffs Jan2017'!AI25&gt;='Tariffs Jan2017'!J25,( 'Tariffs Jan2017'!J25*'Tariffs Jan2017'!O25/100)* 'Tariffs Jan2017'!AI25,($C$5*'Tariffs Jan2017'!AK25/'Tariffs Jan2017'!AI25*'Tariffs Jan2017'!O25/100)* 'Tariffs Jan2017'!AI25)</f>
        <v>64.813000000000002</v>
      </c>
      <c r="F31" s="59">
        <f>IF($C$5*'Tariffs Jan2017'!AK25/'Tariffs Jan2017'!AI25&lt;'Tariffs Jan2017'!J25,0,IF($C$5*'Tariffs Jan2017'!AK25/'Tariffs Jan2017'!AI25&lt;='Tariffs Jan2017'!K25,($C$5*'Tariffs Jan2017'!AK25/'Tariffs Jan2017'!AI25-'Tariffs Jan2017'!J25)*('Tariffs Jan2017'!P25/100)*'Tariffs Jan2017'!AI25,('Tariffs Jan2017'!K25-'Tariffs Jan2017'!J25)*('Tariffs Jan2017'!P25/100)*'Tariffs Jan2017'!AI25))</f>
        <v>53.386999999999993</v>
      </c>
      <c r="G31" s="59">
        <f>IF($C$5*'Tariffs Jan2017'!AK25/'Tariffs Jan2017'!AI25&lt;'Tariffs Jan2017'!K25,0,IF($C$5*'Tariffs Jan2017'!AK25/'Tariffs Jan2017'!AI25&lt;='Tariffs Jan2017'!L25,($C$5*'Tariffs Jan2017'!AK25/'Tariffs Jan2017'!AI25-'Tariffs Jan2017'!K25)*('Tariffs Jan2017'!Q25/100)*'Tariffs Jan2017'!AI25,('Tariffs Jan2017'!L25-'Tariffs Jan2017'!K25)*('Tariffs Jan2017'!Q25/100)*'Tariffs Jan2017'!AI25))</f>
        <v>0</v>
      </c>
      <c r="H31" s="59">
        <f>IF($C$5*'Tariffs Jan2017'!AK25/'Tariffs Jan2017'!AI25&lt;'Tariffs Jan2017'!L25,0,IF($C$5*'Tariffs Jan2017'!AK25/'Tariffs Jan2017'!AI25&lt;='Tariffs Jan2017'!M25,($C$5*'Tariffs Jan2017'!AK25/'Tariffs Jan2017'!AI25-'Tariffs Jan2017'!L25)*('Tariffs Jan2017'!R25/100)*'Tariffs Jan2017'!AI25,('Tariffs Jan2017'!M25-'Tariffs Jan2017'!L25)*('Tariffs Jan2017'!R25/100)*'Tariffs Jan2017'!AI25))</f>
        <v>0</v>
      </c>
      <c r="I31" s="59">
        <f>IF(($C$5*'Tariffs Jan2017'!AK25/'Tariffs Jan2017'!AI25&gt;'Tariffs Jan2017'!M25),($C$5*'Tariffs Jan2017'!AK25/'Tariffs Jan2017'!AI25-'Tariffs Jan2017'!M25)*'Tariffs Jan2017'!S25/100*'Tariffs Jan2017'!AI25,0)</f>
        <v>127.57680000000001</v>
      </c>
      <c r="J31" s="59">
        <f>IF($C$5*'Tariffs Jan2017'!AL25/'Tariffs Jan2017'!AJ25&gt;='Tariffs Jan2017'!J25,('Tariffs Jan2017'!J25*'Tariffs Jan2017'!U25/100)* 'Tariffs Jan2017'!AJ25,($C$5*'Tariffs Jan2017'!AL25/'Tariffs Jan2017'!AJ25*'Tariffs Jan2017'!U25/100)* 'Tariffs Jan2017'!AJ25)</f>
        <v>129.626</v>
      </c>
      <c r="K31" s="59">
        <f>IF($C$5*'Tariffs Jan2017'!AL25/'Tariffs Jan2017'!AJ25&lt;'Tariffs Jan2017'!J25,0,IF($C$5*'Tariffs Jan2017'!AL25/'Tariffs Jan2017'!AJ25&lt;='Tariffs Jan2017'!K25,($C$5*'Tariffs Jan2017'!AL25/'Tariffs Jan2017'!AJ25-'Tariffs Jan2017'!J25)*('Tariffs Jan2017'!V25/100)*'Tariffs Jan2017'!AJ25,('Tariffs Jan2017'!K25-'Tariffs Jan2017'!J25)*('Tariffs Jan2017'!V25/100)*'Tariffs Jan2017'!AJ25))</f>
        <v>106.77399999999999</v>
      </c>
      <c r="L31" s="59">
        <f>IF($C$5*'Tariffs Jan2017'!AL25/'Tariffs Jan2017'!AJ25&lt;'Tariffs Jan2017'!K25,0,IF($C$5*'Tariffs Jan2017'!AL25/'Tariffs Jan2017'!AJ25&lt;='Tariffs Jan2017'!L25,($C$5*'Tariffs Jan2017'!AL25/'Tariffs Jan2017'!AJ25-'Tariffs Jan2017'!K25)*('Tariffs Jan2017'!W25/100)*'Tariffs Jan2017'!AJ25,('Tariffs Jan2017'!L25-'Tariffs Jan2017'!K25)*('Tariffs Jan2017'!W25/100)*'Tariffs Jan2017'!AJ25))</f>
        <v>0</v>
      </c>
      <c r="M31" s="59">
        <f>IF($C$5*'Tariffs Jan2017'!AL25/'Tariffs Jan2017'!AJ25&lt;'Tariffs Jan2017'!L25,0,IF($C$5*'Tariffs Jan2017'!AL25/'Tariffs Jan2017'!AJ25&lt;='Tariffs Jan2017'!M25,($C$5*'Tariffs Jan2017'!AL25/'Tariffs Jan2017'!AJ25-'Tariffs Jan2017'!L25)*('Tariffs Jan2017'!X25/100)*'Tariffs Jan2017'!AJ25,('Tariffs Jan2017'!M25-'Tariffs Jan2017'!L25)*('Tariffs Jan2017'!X25/100)*'Tariffs Jan2017'!AJ25))</f>
        <v>0</v>
      </c>
      <c r="N31" s="59">
        <f>IF(($C$5*'Tariffs Jan2017'!AL25/'Tariffs Jan2017'!AJ25&gt;'Tariffs Jan2017'!M25),($C$5*'Tariffs Jan2017'!AL25/'Tariffs Jan2017'!AJ25-'Tariffs Jan2017'!M25)*'Tariffs Jan2017'!Y25/100*'Tariffs Jan2017'!AJ25,0)</f>
        <v>255.15360000000001</v>
      </c>
      <c r="O31" s="271">
        <f t="shared" si="0"/>
        <v>737.33039999999994</v>
      </c>
      <c r="P31" s="59">
        <f t="shared" si="1"/>
        <v>988.04889999999989</v>
      </c>
      <c r="Q31" s="272">
        <f t="shared" si="2"/>
        <v>1086.8537899999999</v>
      </c>
      <c r="R31" s="40">
        <f>'Tariffs Jan2017'!AM25</f>
        <v>0</v>
      </c>
      <c r="S31" s="40">
        <f>'Tariffs Jan2017'!AN25</f>
        <v>0</v>
      </c>
      <c r="T31" s="40">
        <f>'Tariffs Jan2017'!AO25</f>
        <v>0</v>
      </c>
      <c r="U31" s="40">
        <f>'Tariffs Jan2017'!AP25</f>
        <v>15</v>
      </c>
      <c r="V31" s="273">
        <f t="shared" si="3"/>
        <v>988.04889999999989</v>
      </c>
      <c r="W31" s="273">
        <f>V31-(O31*U31/100)</f>
        <v>877.44933999999989</v>
      </c>
      <c r="X31" s="272">
        <f t="shared" si="4"/>
        <v>1086.8537899999999</v>
      </c>
      <c r="Y31" s="272">
        <f t="shared" si="4"/>
        <v>965.19427399999995</v>
      </c>
      <c r="Z31" s="274">
        <f>'Tariffs Jan2017'!AW25</f>
        <v>0</v>
      </c>
      <c r="AA31" s="274" t="str">
        <f>'Tariffs Jan2017'!AX25</f>
        <v>n</v>
      </c>
      <c r="AB31" s="275" t="str">
        <f>'Tariffs Jan2017'!BD25</f>
        <v>Y</v>
      </c>
      <c r="AC31" s="305"/>
      <c r="AD31" s="305"/>
      <c r="AE31" s="305"/>
      <c r="AF31" s="305"/>
      <c r="AG31" s="305"/>
      <c r="AH31" s="305"/>
      <c r="AI31" s="305"/>
      <c r="AJ31" s="305"/>
      <c r="AK31" s="305"/>
      <c r="AL31" s="305"/>
      <c r="AM31" s="305"/>
      <c r="AN31" s="305"/>
    </row>
    <row r="32" spans="1:40" x14ac:dyDescent="0.15">
      <c r="A32" s="270" t="str">
        <f>'Tariffs Jan2017'!F26</f>
        <v>Click Energy</v>
      </c>
      <c r="B32" s="40" t="str">
        <f>'Tariffs Jan2017'!D26</f>
        <v>Envestra North</v>
      </c>
      <c r="C32" s="40" t="str">
        <f>'Tariffs Jan2017'!G26</f>
        <v>Amber</v>
      </c>
      <c r="D32" s="59">
        <f>365*'Tariffs Jan2017'!H26/100</f>
        <v>266.45</v>
      </c>
      <c r="E32" s="59">
        <f>IF($C$5*'Tariffs Jan2017'!AK26/'Tariffs Jan2017'!AI26&gt;='Tariffs Jan2017'!J26,( 'Tariffs Jan2017'!J26*'Tariffs Jan2017'!O26/100)* 'Tariffs Jan2017'!AI26,($C$5*'Tariffs Jan2017'!AK26/'Tariffs Jan2017'!AI26*'Tariffs Jan2017'!O26/100)* 'Tariffs Jan2017'!AI26)</f>
        <v>88.83</v>
      </c>
      <c r="F32" s="59">
        <f>IF($C$5*'Tariffs Jan2017'!AK26/'Tariffs Jan2017'!AI26&lt;'Tariffs Jan2017'!J26,0,IF($C$5*'Tariffs Jan2017'!AK26/'Tariffs Jan2017'!AI26&lt;='Tariffs Jan2017'!K26,($C$5*'Tariffs Jan2017'!AK26/'Tariffs Jan2017'!AI26-'Tariffs Jan2017'!J26)*('Tariffs Jan2017'!P26/100)*'Tariffs Jan2017'!AI26,('Tariffs Jan2017'!K26-'Tariffs Jan2017'!J26)*('Tariffs Jan2017'!P26/100)*'Tariffs Jan2017'!AI26))</f>
        <v>59.620000000000005</v>
      </c>
      <c r="G32" s="59">
        <f>IF($C$5*'Tariffs Jan2017'!AK26/'Tariffs Jan2017'!AI26&lt;'Tariffs Jan2017'!K26,0,IF($C$5*'Tariffs Jan2017'!AK26/'Tariffs Jan2017'!AI26&lt;='Tariffs Jan2017'!L26,($C$5*'Tariffs Jan2017'!AK26/'Tariffs Jan2017'!AI26-'Tariffs Jan2017'!K26)*('Tariffs Jan2017'!Q26/100)*'Tariffs Jan2017'!AI26,('Tariffs Jan2017'!L26-'Tariffs Jan2017'!K26)*('Tariffs Jan2017'!Q26/100)*'Tariffs Jan2017'!AI26))</f>
        <v>0</v>
      </c>
      <c r="H32" s="59">
        <f>IF($C$5*'Tariffs Jan2017'!AK26/'Tariffs Jan2017'!AI26&lt;'Tariffs Jan2017'!L26,0,IF($C$5*'Tariffs Jan2017'!AK26/'Tariffs Jan2017'!AI26&lt;='Tariffs Jan2017'!M26,($C$5*'Tariffs Jan2017'!AK26/'Tariffs Jan2017'!AI26-'Tariffs Jan2017'!L26)*('Tariffs Jan2017'!R26/100)*'Tariffs Jan2017'!AI26,('Tariffs Jan2017'!M26-'Tariffs Jan2017'!L26)*('Tariffs Jan2017'!R26/100)*'Tariffs Jan2017'!AI26))</f>
        <v>0</v>
      </c>
      <c r="I32" s="59">
        <f>IF(($C$5*'Tariffs Jan2017'!AK26/'Tariffs Jan2017'!AI26&gt;'Tariffs Jan2017'!M26),($C$5*'Tariffs Jan2017'!AK26/'Tariffs Jan2017'!AI26-'Tariffs Jan2017'!M26)*'Tariffs Jan2017'!S26/100*'Tariffs Jan2017'!AI26,0)</f>
        <v>131.976</v>
      </c>
      <c r="J32" s="59">
        <f>IF($C$5*'Tariffs Jan2017'!AL26/'Tariffs Jan2017'!AJ26&gt;='Tariffs Jan2017'!J26,('Tariffs Jan2017'!J26*'Tariffs Jan2017'!U26/100)* 'Tariffs Jan2017'!AJ26,($C$5*'Tariffs Jan2017'!AL26/'Tariffs Jan2017'!AJ26*'Tariffs Jan2017'!U26/100)* 'Tariffs Jan2017'!AJ26)</f>
        <v>177.66</v>
      </c>
      <c r="K32" s="59">
        <f>IF($C$5*'Tariffs Jan2017'!AL26/'Tariffs Jan2017'!AJ26&lt;'Tariffs Jan2017'!J26,0,IF($C$5*'Tariffs Jan2017'!AL26/'Tariffs Jan2017'!AJ26&lt;='Tariffs Jan2017'!K26,($C$5*'Tariffs Jan2017'!AL26/'Tariffs Jan2017'!AJ26-'Tariffs Jan2017'!J26)*('Tariffs Jan2017'!V26/100)*'Tariffs Jan2017'!AJ26,('Tariffs Jan2017'!K26-'Tariffs Jan2017'!J26)*('Tariffs Jan2017'!V26/100)*'Tariffs Jan2017'!AJ26))</f>
        <v>119.24000000000001</v>
      </c>
      <c r="L32" s="59">
        <f>IF($C$5*'Tariffs Jan2017'!AL26/'Tariffs Jan2017'!AJ26&lt;'Tariffs Jan2017'!K26,0,IF($C$5*'Tariffs Jan2017'!AL26/'Tariffs Jan2017'!AJ26&lt;='Tariffs Jan2017'!L26,($C$5*'Tariffs Jan2017'!AL26/'Tariffs Jan2017'!AJ26-'Tariffs Jan2017'!K26)*('Tariffs Jan2017'!W26/100)*'Tariffs Jan2017'!AJ26,('Tariffs Jan2017'!L26-'Tariffs Jan2017'!K26)*('Tariffs Jan2017'!W26/100)*'Tariffs Jan2017'!AJ26))</f>
        <v>0</v>
      </c>
      <c r="M32" s="59">
        <f>IF($C$5*'Tariffs Jan2017'!AL26/'Tariffs Jan2017'!AJ26&lt;'Tariffs Jan2017'!L26,0,IF($C$5*'Tariffs Jan2017'!AL26/'Tariffs Jan2017'!AJ26&lt;='Tariffs Jan2017'!M26,($C$5*'Tariffs Jan2017'!AL26/'Tariffs Jan2017'!AJ26-'Tariffs Jan2017'!L26)*('Tariffs Jan2017'!X26/100)*'Tariffs Jan2017'!AJ26,('Tariffs Jan2017'!M26-'Tariffs Jan2017'!L26)*('Tariffs Jan2017'!X26/100)*'Tariffs Jan2017'!AJ26))</f>
        <v>0</v>
      </c>
      <c r="N32" s="59">
        <f>IF(($C$5*'Tariffs Jan2017'!AL26/'Tariffs Jan2017'!AJ26&gt;'Tariffs Jan2017'!M26),($C$5*'Tariffs Jan2017'!AL26/'Tariffs Jan2017'!AJ26-'Tariffs Jan2017'!M26)*'Tariffs Jan2017'!Y26/100*'Tariffs Jan2017'!AJ26,0)</f>
        <v>263.952</v>
      </c>
      <c r="O32" s="271">
        <f t="shared" si="0"/>
        <v>841.27800000000002</v>
      </c>
      <c r="P32" s="59">
        <f t="shared" si="1"/>
        <v>1107.7280000000001</v>
      </c>
      <c r="Q32" s="272">
        <f t="shared" si="2"/>
        <v>1218.5008000000003</v>
      </c>
      <c r="R32" s="40">
        <f>'Tariffs Jan2017'!AM26</f>
        <v>0</v>
      </c>
      <c r="S32" s="40">
        <f>'Tariffs Jan2017'!AN26</f>
        <v>0</v>
      </c>
      <c r="T32" s="40">
        <f>'Tariffs Jan2017'!AO26</f>
        <v>14</v>
      </c>
      <c r="U32" s="40">
        <f>'Tariffs Jan2017'!AP26</f>
        <v>0</v>
      </c>
      <c r="V32" s="273">
        <f t="shared" si="3"/>
        <v>1107.7280000000001</v>
      </c>
      <c r="W32" s="273">
        <f>V32-(P32*T32/100)</f>
        <v>952.6460800000001</v>
      </c>
      <c r="X32" s="272">
        <f t="shared" si="4"/>
        <v>1218.5008000000003</v>
      </c>
      <c r="Y32" s="272">
        <f t="shared" si="4"/>
        <v>1047.9106880000002</v>
      </c>
      <c r="Z32" s="274">
        <f>'Tariffs Jan2017'!AW26</f>
        <v>0</v>
      </c>
      <c r="AA32" s="274" t="str">
        <f>'Tariffs Jan2017'!AX26</f>
        <v>n</v>
      </c>
      <c r="AB32" s="275" t="str">
        <f>'Tariffs Jan2017'!BD26</f>
        <v>N</v>
      </c>
      <c r="AC32" s="305"/>
      <c r="AD32" s="305"/>
      <c r="AE32" s="305"/>
      <c r="AF32" s="305"/>
      <c r="AG32" s="305"/>
      <c r="AH32" s="305"/>
      <c r="AI32" s="305"/>
      <c r="AJ32" s="305"/>
      <c r="AK32" s="305"/>
      <c r="AL32" s="305"/>
      <c r="AM32" s="305"/>
      <c r="AN32" s="305"/>
    </row>
    <row r="33" spans="1:40" x14ac:dyDescent="0.15">
      <c r="A33" s="270" t="str">
        <f>'Tariffs Jan2017'!F27</f>
        <v>Covau</v>
      </c>
      <c r="B33" s="40" t="str">
        <f>'Tariffs Jan2017'!D27</f>
        <v>Envestra North</v>
      </c>
      <c r="C33" s="40" t="str">
        <f>'Tariffs Jan2017'!G27</f>
        <v>Market offer</v>
      </c>
      <c r="D33" s="59">
        <f>365*'Tariffs Jan2017'!H27/100</f>
        <v>248.2</v>
      </c>
      <c r="E33" s="59">
        <f>IF($C$5*'Tariffs Jan2017'!AK27/'Tariffs Jan2017'!AI27&gt;='Tariffs Jan2017'!J27,( 'Tariffs Jan2017'!J27*'Tariffs Jan2017'!O27/100)* 'Tariffs Jan2017'!AI27,($C$5*'Tariffs Jan2017'!AK27/'Tariffs Jan2017'!AI27*'Tariffs Jan2017'!O27/100)* 'Tariffs Jan2017'!AI27)</f>
        <v>103.306</v>
      </c>
      <c r="F33" s="59">
        <f>IF($C$5*'Tariffs Jan2017'!AK27/'Tariffs Jan2017'!AI27&lt;'Tariffs Jan2017'!J27,0,IF($C$5*'Tariffs Jan2017'!AK27/'Tariffs Jan2017'!AI27&lt;='Tariffs Jan2017'!K27,($C$5*'Tariffs Jan2017'!AK27/'Tariffs Jan2017'!AI27-'Tariffs Jan2017'!J27)*('Tariffs Jan2017'!P27/100)*'Tariffs Jan2017'!AI27,('Tariffs Jan2017'!K27-'Tariffs Jan2017'!J27)*('Tariffs Jan2017'!P27/100)*'Tariffs Jan2017'!AI27))</f>
        <v>74.795999999999992</v>
      </c>
      <c r="G33" s="59">
        <f>IF($C$5*'Tariffs Jan2017'!AK27/'Tariffs Jan2017'!AI27&lt;'Tariffs Jan2017'!K27,0,IF($C$5*'Tariffs Jan2017'!AK27/'Tariffs Jan2017'!AI27&lt;='Tariffs Jan2017'!L27,($C$5*'Tariffs Jan2017'!AK27/'Tariffs Jan2017'!AI27-'Tariffs Jan2017'!K27)*('Tariffs Jan2017'!Q27/100)*'Tariffs Jan2017'!AI27,('Tariffs Jan2017'!L27-'Tariffs Jan2017'!K27)*('Tariffs Jan2017'!Q27/100)*'Tariffs Jan2017'!AI27))</f>
        <v>0</v>
      </c>
      <c r="H33" s="59">
        <f>IF($C$5*'Tariffs Jan2017'!AK27/'Tariffs Jan2017'!AI27&lt;'Tariffs Jan2017'!L27,0,IF($C$5*'Tariffs Jan2017'!AK27/'Tariffs Jan2017'!AI27&lt;='Tariffs Jan2017'!M27,($C$5*'Tariffs Jan2017'!AK27/'Tariffs Jan2017'!AI27-'Tariffs Jan2017'!L27)*('Tariffs Jan2017'!R27/100)*'Tariffs Jan2017'!AI27,('Tariffs Jan2017'!M27-'Tariffs Jan2017'!L27)*('Tariffs Jan2017'!R27/100)*'Tariffs Jan2017'!AI27))</f>
        <v>0</v>
      </c>
      <c r="I33" s="59">
        <f>IF(($C$5*'Tariffs Jan2017'!AK27/'Tariffs Jan2017'!AI27&gt;'Tariffs Jan2017'!M27),($C$5*'Tariffs Jan2017'!AK27/'Tariffs Jan2017'!AI27-'Tariffs Jan2017'!M27)*'Tariffs Jan2017'!S27/100*'Tariffs Jan2017'!AI27,0)</f>
        <v>165.70320000000001</v>
      </c>
      <c r="J33" s="59">
        <f>IF($C$5*'Tariffs Jan2017'!AL27/'Tariffs Jan2017'!AJ27&gt;='Tariffs Jan2017'!J27,('Tariffs Jan2017'!J27*'Tariffs Jan2017'!U27/100)* 'Tariffs Jan2017'!AJ27,($C$5*'Tariffs Jan2017'!AL27/'Tariffs Jan2017'!AJ27*'Tariffs Jan2017'!U27/100)* 'Tariffs Jan2017'!AJ27)</f>
        <v>206.61199999999999</v>
      </c>
      <c r="K33" s="59">
        <f>IF($C$5*'Tariffs Jan2017'!AL27/'Tariffs Jan2017'!AJ27&lt;'Tariffs Jan2017'!J27,0,IF($C$5*'Tariffs Jan2017'!AL27/'Tariffs Jan2017'!AJ27&lt;='Tariffs Jan2017'!K27,($C$5*'Tariffs Jan2017'!AL27/'Tariffs Jan2017'!AJ27-'Tariffs Jan2017'!J27)*('Tariffs Jan2017'!V27/100)*'Tariffs Jan2017'!AJ27,('Tariffs Jan2017'!K27-'Tariffs Jan2017'!J27)*('Tariffs Jan2017'!V27/100)*'Tariffs Jan2017'!AJ27))</f>
        <v>149.59199999999998</v>
      </c>
      <c r="L33" s="59">
        <f>IF($C$5*'Tariffs Jan2017'!AL27/'Tariffs Jan2017'!AJ27&lt;'Tariffs Jan2017'!K27,0,IF($C$5*'Tariffs Jan2017'!AL27/'Tariffs Jan2017'!AJ27&lt;='Tariffs Jan2017'!L27,($C$5*'Tariffs Jan2017'!AL27/'Tariffs Jan2017'!AJ27-'Tariffs Jan2017'!K27)*('Tariffs Jan2017'!W27/100)*'Tariffs Jan2017'!AJ27,('Tariffs Jan2017'!L27-'Tariffs Jan2017'!K27)*('Tariffs Jan2017'!W27/100)*'Tariffs Jan2017'!AJ27))</f>
        <v>0</v>
      </c>
      <c r="M33" s="59">
        <f>IF($C$5*'Tariffs Jan2017'!AL27/'Tariffs Jan2017'!AJ27&lt;'Tariffs Jan2017'!L27,0,IF($C$5*'Tariffs Jan2017'!AL27/'Tariffs Jan2017'!AJ27&lt;='Tariffs Jan2017'!M27,($C$5*'Tariffs Jan2017'!AL27/'Tariffs Jan2017'!AJ27-'Tariffs Jan2017'!L27)*('Tariffs Jan2017'!X27/100)*'Tariffs Jan2017'!AJ27,('Tariffs Jan2017'!M27-'Tariffs Jan2017'!L27)*('Tariffs Jan2017'!X27/100)*'Tariffs Jan2017'!AJ27))</f>
        <v>0</v>
      </c>
      <c r="N33" s="59">
        <f>IF(($C$5*'Tariffs Jan2017'!AL27/'Tariffs Jan2017'!AJ27&gt;'Tariffs Jan2017'!M27),($C$5*'Tariffs Jan2017'!AL27/'Tariffs Jan2017'!AJ27-'Tariffs Jan2017'!M27)*'Tariffs Jan2017'!Y27/100*'Tariffs Jan2017'!AJ27,0)</f>
        <v>331.40640000000002</v>
      </c>
      <c r="O33" s="271">
        <f t="shared" si="0"/>
        <v>1031.4156</v>
      </c>
      <c r="P33" s="59">
        <f t="shared" si="1"/>
        <v>1279.6156000000001</v>
      </c>
      <c r="Q33" s="272">
        <f t="shared" si="2"/>
        <v>1407.5771600000003</v>
      </c>
      <c r="R33" s="40">
        <f>'Tariffs Jan2017'!AM27</f>
        <v>0</v>
      </c>
      <c r="S33" s="40">
        <f>'Tariffs Jan2017'!AN27</f>
        <v>0</v>
      </c>
      <c r="T33" s="40">
        <f>'Tariffs Jan2017'!AO27</f>
        <v>0</v>
      </c>
      <c r="U33" s="40">
        <f>'Tariffs Jan2017'!AP27</f>
        <v>16</v>
      </c>
      <c r="V33" s="273">
        <f t="shared" si="3"/>
        <v>1279.6156000000001</v>
      </c>
      <c r="W33" s="273">
        <f>V33-(O33*U33/100)</f>
        <v>1114.5891040000001</v>
      </c>
      <c r="X33" s="272">
        <f t="shared" si="4"/>
        <v>1407.5771600000003</v>
      </c>
      <c r="Y33" s="272">
        <f t="shared" si="4"/>
        <v>1226.0480144000003</v>
      </c>
      <c r="Z33" s="274">
        <f>'Tariffs Jan2017'!AW27</f>
        <v>12</v>
      </c>
      <c r="AA33" s="274" t="str">
        <f>'Tariffs Jan2017'!AX27</f>
        <v>y</v>
      </c>
      <c r="AB33" s="275" t="str">
        <f>'Tariffs Jan2017'!BD27</f>
        <v>Y</v>
      </c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</row>
    <row r="34" spans="1:40" x14ac:dyDescent="0.15">
      <c r="A34" s="270" t="str">
        <f>'Tariffs Jan2017'!F28</f>
        <v>Dodo Power &amp; Gas</v>
      </c>
      <c r="B34" s="40" t="str">
        <f>'Tariffs Jan2017'!D28</f>
        <v>Envestra North</v>
      </c>
      <c r="C34" s="40" t="str">
        <f>'Tariffs Jan2017'!G28</f>
        <v>Market offer</v>
      </c>
      <c r="D34" s="59">
        <f>365*'Tariffs Jan2017'!H28/100</f>
        <v>247.47</v>
      </c>
      <c r="E34" s="59">
        <f>IF($C$5*'Tariffs Jan2017'!AK28/'Tariffs Jan2017'!AI28&gt;='Tariffs Jan2017'!J28,( 'Tariffs Jan2017'!J28*'Tariffs Jan2017'!O28/100)* 'Tariffs Jan2017'!AI28,($C$5*'Tariffs Jan2017'!AK28/'Tariffs Jan2017'!AI28*'Tariffs Jan2017'!O28/100)* 'Tariffs Jan2017'!AI28)</f>
        <v>174.4</v>
      </c>
      <c r="F34" s="59">
        <f>IF($C$5*'Tariffs Jan2017'!AK28/'Tariffs Jan2017'!AI28&lt;'Tariffs Jan2017'!J28,0,IF($C$5*'Tariffs Jan2017'!AK28/'Tariffs Jan2017'!AI28&lt;='Tariffs Jan2017'!K28,($C$5*'Tariffs Jan2017'!AK28/'Tariffs Jan2017'!AI28-'Tariffs Jan2017'!J28)*('Tariffs Jan2017'!P28/100)*'Tariffs Jan2017'!AI28,('Tariffs Jan2017'!K28-'Tariffs Jan2017'!J28)*('Tariffs Jan2017'!P28/100)*'Tariffs Jan2017'!AI28))</f>
        <v>100.7748</v>
      </c>
      <c r="G34" s="59">
        <f>IF($C$5*'Tariffs Jan2017'!AK28/'Tariffs Jan2017'!AI28&lt;'Tariffs Jan2017'!K28,0,IF($C$5*'Tariffs Jan2017'!AK28/'Tariffs Jan2017'!AI28&lt;='Tariffs Jan2017'!L28,($C$5*'Tariffs Jan2017'!AK28/'Tariffs Jan2017'!AI28-'Tariffs Jan2017'!K28)*('Tariffs Jan2017'!Q28/100)*'Tariffs Jan2017'!AI28,('Tariffs Jan2017'!L28-'Tariffs Jan2017'!K28)*('Tariffs Jan2017'!Q28/100)*'Tariffs Jan2017'!AI28))</f>
        <v>0</v>
      </c>
      <c r="H34" s="59">
        <f>IF($C$5*'Tariffs Jan2017'!AK28/'Tariffs Jan2017'!AI28&lt;'Tariffs Jan2017'!L28,0,IF($C$5*'Tariffs Jan2017'!AK28/'Tariffs Jan2017'!AI28&lt;='Tariffs Jan2017'!M28,($C$5*'Tariffs Jan2017'!AK28/'Tariffs Jan2017'!AI28-'Tariffs Jan2017'!L28)*('Tariffs Jan2017'!R28/100)*'Tariffs Jan2017'!AI28,('Tariffs Jan2017'!M28-'Tariffs Jan2017'!L28)*('Tariffs Jan2017'!R28/100)*'Tariffs Jan2017'!AI28))</f>
        <v>0</v>
      </c>
      <c r="I34" s="59">
        <f>IF(($C$5*'Tariffs Jan2017'!AK28/'Tariffs Jan2017'!AI28&gt;'Tariffs Jan2017'!M28),($C$5*'Tariffs Jan2017'!AK28/'Tariffs Jan2017'!AI28-'Tariffs Jan2017'!M28)*'Tariffs Jan2017'!S28/100*'Tariffs Jan2017'!AI28,0)</f>
        <v>0</v>
      </c>
      <c r="J34" s="59">
        <f>IF($C$5*'Tariffs Jan2017'!AL28/'Tariffs Jan2017'!AJ28&gt;='Tariffs Jan2017'!J28,('Tariffs Jan2017'!J28*'Tariffs Jan2017'!U28/100)* 'Tariffs Jan2017'!AJ28,($C$5*'Tariffs Jan2017'!AL28/'Tariffs Jan2017'!AJ28*'Tariffs Jan2017'!U28/100)* 'Tariffs Jan2017'!AJ28)</f>
        <v>348.8</v>
      </c>
      <c r="K34" s="59">
        <f>IF($C$5*'Tariffs Jan2017'!AL28/'Tariffs Jan2017'!AJ28&lt;'Tariffs Jan2017'!J28,0,IF($C$5*'Tariffs Jan2017'!AL28/'Tariffs Jan2017'!AJ28&lt;='Tariffs Jan2017'!K28,($C$5*'Tariffs Jan2017'!AL28/'Tariffs Jan2017'!AJ28-'Tariffs Jan2017'!J28)*('Tariffs Jan2017'!V28/100)*'Tariffs Jan2017'!AJ28,('Tariffs Jan2017'!K28-'Tariffs Jan2017'!J28)*('Tariffs Jan2017'!V28/100)*'Tariffs Jan2017'!AJ28))</f>
        <v>201.5496</v>
      </c>
      <c r="L34" s="59">
        <f>IF($C$5*'Tariffs Jan2017'!AL28/'Tariffs Jan2017'!AJ28&lt;'Tariffs Jan2017'!K28,0,IF($C$5*'Tariffs Jan2017'!AL28/'Tariffs Jan2017'!AJ28&lt;='Tariffs Jan2017'!L28,($C$5*'Tariffs Jan2017'!AL28/'Tariffs Jan2017'!AJ28-'Tariffs Jan2017'!K28)*('Tariffs Jan2017'!W28/100)*'Tariffs Jan2017'!AJ28,('Tariffs Jan2017'!L28-'Tariffs Jan2017'!K28)*('Tariffs Jan2017'!W28/100)*'Tariffs Jan2017'!AJ28))</f>
        <v>0</v>
      </c>
      <c r="M34" s="59">
        <f>IF($C$5*'Tariffs Jan2017'!AL28/'Tariffs Jan2017'!AJ28&lt;'Tariffs Jan2017'!L28,0,IF($C$5*'Tariffs Jan2017'!AL28/'Tariffs Jan2017'!AJ28&lt;='Tariffs Jan2017'!M28,($C$5*'Tariffs Jan2017'!AL28/'Tariffs Jan2017'!AJ28-'Tariffs Jan2017'!L28)*('Tariffs Jan2017'!X28/100)*'Tariffs Jan2017'!AJ28,('Tariffs Jan2017'!M28-'Tariffs Jan2017'!L28)*('Tariffs Jan2017'!X28/100)*'Tariffs Jan2017'!AJ28))</f>
        <v>0</v>
      </c>
      <c r="N34" s="59">
        <f>IF(($C$5*'Tariffs Jan2017'!AL28/'Tariffs Jan2017'!AJ28&gt;'Tariffs Jan2017'!M28),($C$5*'Tariffs Jan2017'!AL28/'Tariffs Jan2017'!AJ28-'Tariffs Jan2017'!M28)*'Tariffs Jan2017'!Y28/100*'Tariffs Jan2017'!AJ28,0)</f>
        <v>0</v>
      </c>
      <c r="O34" s="271">
        <f t="shared" si="0"/>
        <v>825.52440000000001</v>
      </c>
      <c r="P34" s="59">
        <f t="shared" si="1"/>
        <v>1072.9944</v>
      </c>
      <c r="Q34" s="272">
        <f t="shared" si="2"/>
        <v>1180.29384</v>
      </c>
      <c r="R34" s="40">
        <f>'Tariffs Jan2017'!AM28</f>
        <v>0</v>
      </c>
      <c r="S34" s="40">
        <f>'Tariffs Jan2017'!AN28</f>
        <v>0</v>
      </c>
      <c r="T34" s="40">
        <f>'Tariffs Jan2017'!AO28</f>
        <v>0</v>
      </c>
      <c r="U34" s="40">
        <f>'Tariffs Jan2017'!AP28</f>
        <v>0</v>
      </c>
      <c r="V34" s="273">
        <f t="shared" si="3"/>
        <v>1072.9944</v>
      </c>
      <c r="W34" s="273">
        <f>V34-(O34*U34/100)</f>
        <v>1072.9944</v>
      </c>
      <c r="X34" s="272">
        <f t="shared" si="4"/>
        <v>1180.29384</v>
      </c>
      <c r="Y34" s="272">
        <f t="shared" si="4"/>
        <v>1180.29384</v>
      </c>
      <c r="Z34" s="274">
        <f>'Tariffs Jan2017'!AW28</f>
        <v>0</v>
      </c>
      <c r="AA34" s="274" t="str">
        <f>'Tariffs Jan2017'!AX28</f>
        <v>n</v>
      </c>
      <c r="AB34" s="275" t="str">
        <f>'Tariffs Jan2017'!BD28</f>
        <v>Y</v>
      </c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</row>
    <row r="35" spans="1:40" x14ac:dyDescent="0.15">
      <c r="A35" s="270" t="str">
        <f>'Tariffs Jan2017'!F29</f>
        <v>EnergyAustralia</v>
      </c>
      <c r="B35" s="40" t="str">
        <f>'Tariffs Jan2017'!D29</f>
        <v>Envestra North</v>
      </c>
      <c r="C35" s="40" t="str">
        <f>'Tariffs Jan2017'!G29</f>
        <v xml:space="preserve">Flexi Saver </v>
      </c>
      <c r="D35" s="59">
        <f>365*'Tariffs Jan2017'!H29/100</f>
        <v>270.83</v>
      </c>
      <c r="E35" s="59">
        <f>IF($C$5*'Tariffs Jan2017'!AK29/'Tariffs Jan2017'!AI29&gt;='Tariffs Jan2017'!J29,( 'Tariffs Jan2017'!J29*'Tariffs Jan2017'!O29/100)* 'Tariffs Jan2017'!AI29,($C$5*'Tariffs Jan2017'!AK29/'Tariffs Jan2017'!AI29*'Tariffs Jan2017'!O29/100)* 'Tariffs Jan2017'!AI29)</f>
        <v>88.172000000000011</v>
      </c>
      <c r="F35" s="59">
        <f>IF($C$5*'Tariffs Jan2017'!AK29/'Tariffs Jan2017'!AI29&lt;'Tariffs Jan2017'!J29,0,IF($C$5*'Tariffs Jan2017'!AK29/'Tariffs Jan2017'!AI29&lt;='Tariffs Jan2017'!K29,($C$5*'Tariffs Jan2017'!AK29/'Tariffs Jan2017'!AI29-'Tariffs Jan2017'!J29)*('Tariffs Jan2017'!P29/100)*'Tariffs Jan2017'!AI29,('Tariffs Jan2017'!K29-'Tariffs Jan2017'!J29)*('Tariffs Jan2017'!P29/100)*'Tariffs Jan2017'!AI29))</f>
        <v>58.807000000000002</v>
      </c>
      <c r="G35" s="59">
        <f>IF($C$5*'Tariffs Jan2017'!AK29/'Tariffs Jan2017'!AI29&lt;'Tariffs Jan2017'!K29,0,IF($C$5*'Tariffs Jan2017'!AK29/'Tariffs Jan2017'!AI29&lt;='Tariffs Jan2017'!L29,($C$5*'Tariffs Jan2017'!AK29/'Tariffs Jan2017'!AI29-'Tariffs Jan2017'!K29)*('Tariffs Jan2017'!Q29/100)*'Tariffs Jan2017'!AI29,('Tariffs Jan2017'!L29-'Tariffs Jan2017'!K29)*('Tariffs Jan2017'!Q29/100)*'Tariffs Jan2017'!AI29))</f>
        <v>0</v>
      </c>
      <c r="H35" s="59">
        <f>IF($C$5*'Tariffs Jan2017'!AK29/'Tariffs Jan2017'!AI29&lt;'Tariffs Jan2017'!L29,0,IF($C$5*'Tariffs Jan2017'!AK29/'Tariffs Jan2017'!AI29&lt;='Tariffs Jan2017'!M29,($C$5*'Tariffs Jan2017'!AK29/'Tariffs Jan2017'!AI29-'Tariffs Jan2017'!L29)*('Tariffs Jan2017'!R29/100)*'Tariffs Jan2017'!AI29,('Tariffs Jan2017'!M29-'Tariffs Jan2017'!L29)*('Tariffs Jan2017'!R29/100)*'Tariffs Jan2017'!AI29))</f>
        <v>0</v>
      </c>
      <c r="I35" s="59">
        <f>IF(($C$5*'Tariffs Jan2017'!AK29/'Tariffs Jan2017'!AI29&gt;'Tariffs Jan2017'!M29),($C$5*'Tariffs Jan2017'!AK29/'Tariffs Jan2017'!AI29-'Tariffs Jan2017'!M29)*'Tariffs Jan2017'!S29/100*'Tariffs Jan2017'!AI29,0)</f>
        <v>125.37719999999999</v>
      </c>
      <c r="J35" s="59">
        <f>IF($C$5*'Tariffs Jan2017'!AL29/'Tariffs Jan2017'!AJ29&gt;='Tariffs Jan2017'!J29,('Tariffs Jan2017'!J29*'Tariffs Jan2017'!U29/100)* 'Tariffs Jan2017'!AJ29,($C$5*'Tariffs Jan2017'!AL29/'Tariffs Jan2017'!AJ29*'Tariffs Jan2017'!U29/100)* 'Tariffs Jan2017'!AJ29)</f>
        <v>175.02799999999999</v>
      </c>
      <c r="K35" s="59">
        <f>IF($C$5*'Tariffs Jan2017'!AL29/'Tariffs Jan2017'!AJ29&lt;'Tariffs Jan2017'!J29,0,IF($C$5*'Tariffs Jan2017'!AL29/'Tariffs Jan2017'!AJ29&lt;='Tariffs Jan2017'!K29,($C$5*'Tariffs Jan2017'!AL29/'Tariffs Jan2017'!AJ29-'Tariffs Jan2017'!J29)*('Tariffs Jan2017'!V29/100)*'Tariffs Jan2017'!AJ29,('Tariffs Jan2017'!K29-'Tariffs Jan2017'!J29)*('Tariffs Jan2017'!V29/100)*'Tariffs Jan2017'!AJ29))</f>
        <v>116.52999999999999</v>
      </c>
      <c r="L35" s="59">
        <f>IF($C$5*'Tariffs Jan2017'!AL29/'Tariffs Jan2017'!AJ29&lt;'Tariffs Jan2017'!K29,0,IF($C$5*'Tariffs Jan2017'!AL29/'Tariffs Jan2017'!AJ29&lt;='Tariffs Jan2017'!L29,($C$5*'Tariffs Jan2017'!AL29/'Tariffs Jan2017'!AJ29-'Tariffs Jan2017'!K29)*('Tariffs Jan2017'!W29/100)*'Tariffs Jan2017'!AJ29,('Tariffs Jan2017'!L29-'Tariffs Jan2017'!K29)*('Tariffs Jan2017'!W29/100)*'Tariffs Jan2017'!AJ29))</f>
        <v>0</v>
      </c>
      <c r="M35" s="59">
        <f>IF($C$5*'Tariffs Jan2017'!AL29/'Tariffs Jan2017'!AJ29&lt;'Tariffs Jan2017'!L29,0,IF($C$5*'Tariffs Jan2017'!AL29/'Tariffs Jan2017'!AJ29&lt;='Tariffs Jan2017'!M29,($C$5*'Tariffs Jan2017'!AL29/'Tariffs Jan2017'!AJ29-'Tariffs Jan2017'!L29)*('Tariffs Jan2017'!X29/100)*'Tariffs Jan2017'!AJ29,('Tariffs Jan2017'!M29-'Tariffs Jan2017'!L29)*('Tariffs Jan2017'!X29/100)*'Tariffs Jan2017'!AJ29))</f>
        <v>0</v>
      </c>
      <c r="N35" s="59">
        <f>IF(($C$5*'Tariffs Jan2017'!AL29/'Tariffs Jan2017'!AJ29&gt;'Tariffs Jan2017'!M29),($C$5*'Tariffs Jan2017'!AL29/'Tariffs Jan2017'!AJ29-'Tariffs Jan2017'!M29)*'Tariffs Jan2017'!Y29/100*'Tariffs Jan2017'!AJ29,0)</f>
        <v>247.82159999999999</v>
      </c>
      <c r="O35" s="271">
        <f t="shared" si="0"/>
        <v>811.73579999999993</v>
      </c>
      <c r="P35" s="59">
        <f t="shared" si="1"/>
        <v>1082.5657999999999</v>
      </c>
      <c r="Q35" s="272">
        <f t="shared" si="2"/>
        <v>1190.8223799999998</v>
      </c>
      <c r="R35" s="40">
        <f>'Tariffs Jan2017'!AM29</f>
        <v>0</v>
      </c>
      <c r="S35" s="40">
        <f>'Tariffs Jan2017'!AN29</f>
        <v>0</v>
      </c>
      <c r="T35" s="40">
        <f>'Tariffs Jan2017'!AO29</f>
        <v>0</v>
      </c>
      <c r="U35" s="40">
        <f>'Tariffs Jan2017'!AP29</f>
        <v>16</v>
      </c>
      <c r="V35" s="273">
        <f t="shared" si="3"/>
        <v>1082.5657999999999</v>
      </c>
      <c r="W35" s="273">
        <f>V35-(O35*U35/100)</f>
        <v>952.68807199999992</v>
      </c>
      <c r="X35" s="272">
        <f t="shared" si="4"/>
        <v>1190.8223799999998</v>
      </c>
      <c r="Y35" s="272">
        <f t="shared" si="4"/>
        <v>1047.9568792</v>
      </c>
      <c r="Z35" s="274">
        <f>'Tariffs Jan2017'!AW29</f>
        <v>0</v>
      </c>
      <c r="AA35" s="274" t="str">
        <f>'Tariffs Jan2017'!AX29</f>
        <v>n</v>
      </c>
      <c r="AB35" s="275" t="str">
        <f>'Tariffs Jan2017'!BD29</f>
        <v>N</v>
      </c>
      <c r="AC35" s="305"/>
      <c r="AD35" s="305"/>
      <c r="AE35" s="305"/>
      <c r="AF35" s="305"/>
      <c r="AG35" s="305"/>
      <c r="AH35" s="305"/>
      <c r="AI35" s="305"/>
      <c r="AJ35" s="305"/>
      <c r="AK35" s="305"/>
      <c r="AL35" s="305"/>
      <c r="AM35" s="305"/>
      <c r="AN35" s="305"/>
    </row>
    <row r="36" spans="1:40" x14ac:dyDescent="0.15">
      <c r="A36" s="270" t="str">
        <f>'Tariffs Jan2017'!F30</f>
        <v>Lumo Energy</v>
      </c>
      <c r="B36" s="40" t="str">
        <f>'Tariffs Jan2017'!D30</f>
        <v>Envestra North</v>
      </c>
      <c r="C36" s="40" t="str">
        <f>'Tariffs Jan2017'!G30</f>
        <v>Advantage</v>
      </c>
      <c r="D36" s="59">
        <f>365*'Tariffs Jan2017'!H30/100</f>
        <v>240.24299999999999</v>
      </c>
      <c r="E36" s="59">
        <f>IF($C$5*'Tariffs Jan2017'!AK30/'Tariffs Jan2017'!AI30&gt;='Tariffs Jan2017'!J30,( 'Tariffs Jan2017'!J30*'Tariffs Jan2017'!O30/100)* 'Tariffs Jan2017'!AI30,($C$5*'Tariffs Jan2017'!AK30/'Tariffs Jan2017'!AI30*'Tariffs Jan2017'!O30/100)* 'Tariffs Jan2017'!AI30)</f>
        <v>87.28370000000001</v>
      </c>
      <c r="F36" s="59">
        <f>IF($C$5*'Tariffs Jan2017'!AK30/'Tariffs Jan2017'!AI30&lt;'Tariffs Jan2017'!J30,0,IF($C$5*'Tariffs Jan2017'!AK30/'Tariffs Jan2017'!AI30&lt;='Tariffs Jan2017'!K30,($C$5*'Tariffs Jan2017'!AK30/'Tariffs Jan2017'!AI30-'Tariffs Jan2017'!J30)*('Tariffs Jan2017'!P30/100)*'Tariffs Jan2017'!AI30,('Tariffs Jan2017'!K30-'Tariffs Jan2017'!J30)*('Tariffs Jan2017'!P30/100)*'Tariffs Jan2017'!AI30))</f>
        <v>59.078000000000003</v>
      </c>
      <c r="G36" s="59">
        <f>IF($C$5*'Tariffs Jan2017'!AK30/'Tariffs Jan2017'!AI30&lt;'Tariffs Jan2017'!K30,0,IF($C$5*'Tariffs Jan2017'!AK30/'Tariffs Jan2017'!AI30&lt;='Tariffs Jan2017'!L30,($C$5*'Tariffs Jan2017'!AK30/'Tariffs Jan2017'!AI30-'Tariffs Jan2017'!K30)*('Tariffs Jan2017'!Q30/100)*'Tariffs Jan2017'!AI30,('Tariffs Jan2017'!L30-'Tariffs Jan2017'!K30)*('Tariffs Jan2017'!Q30/100)*'Tariffs Jan2017'!AI30))</f>
        <v>0</v>
      </c>
      <c r="H36" s="59">
        <f>IF($C$5*'Tariffs Jan2017'!AK30/'Tariffs Jan2017'!AI30&lt;'Tariffs Jan2017'!L30,0,IF($C$5*'Tariffs Jan2017'!AK30/'Tariffs Jan2017'!AI30&lt;='Tariffs Jan2017'!M30,($C$5*'Tariffs Jan2017'!AK30/'Tariffs Jan2017'!AI30-'Tariffs Jan2017'!L30)*('Tariffs Jan2017'!R30/100)*'Tariffs Jan2017'!AI30,('Tariffs Jan2017'!M30-'Tariffs Jan2017'!L30)*('Tariffs Jan2017'!R30/100)*'Tariffs Jan2017'!AI30))</f>
        <v>0</v>
      </c>
      <c r="I36" s="59">
        <f>IF(($C$5*'Tariffs Jan2017'!AK30/'Tariffs Jan2017'!AI30&gt;'Tariffs Jan2017'!M30),($C$5*'Tariffs Jan2017'!AK30/'Tariffs Jan2017'!AI30-'Tariffs Jan2017'!M30)*'Tariffs Jan2017'!S30/100*'Tariffs Jan2017'!AI30,0)</f>
        <v>133.00247999999999</v>
      </c>
      <c r="J36" s="59">
        <f>IF($C$5*'Tariffs Jan2017'!AL30/'Tariffs Jan2017'!AJ30&gt;='Tariffs Jan2017'!J30,('Tariffs Jan2017'!J30*'Tariffs Jan2017'!U30/100)* 'Tariffs Jan2017'!AJ30,($C$5*'Tariffs Jan2017'!AL30/'Tariffs Jan2017'!AJ30*'Tariffs Jan2017'!U30/100)* 'Tariffs Jan2017'!AJ30)</f>
        <v>174.56740000000002</v>
      </c>
      <c r="K36" s="59">
        <f>IF($C$5*'Tariffs Jan2017'!AL30/'Tariffs Jan2017'!AJ30&lt;'Tariffs Jan2017'!J30,0,IF($C$5*'Tariffs Jan2017'!AL30/'Tariffs Jan2017'!AJ30&lt;='Tariffs Jan2017'!K30,($C$5*'Tariffs Jan2017'!AL30/'Tariffs Jan2017'!AJ30-'Tariffs Jan2017'!J30)*('Tariffs Jan2017'!V30/100)*'Tariffs Jan2017'!AJ30,('Tariffs Jan2017'!K30-'Tariffs Jan2017'!J30)*('Tariffs Jan2017'!V30/100)*'Tariffs Jan2017'!AJ30))</f>
        <v>118.15600000000001</v>
      </c>
      <c r="L36" s="59">
        <f>IF($C$5*'Tariffs Jan2017'!AL30/'Tariffs Jan2017'!AJ30&lt;'Tariffs Jan2017'!K30,0,IF($C$5*'Tariffs Jan2017'!AL30/'Tariffs Jan2017'!AJ30&lt;='Tariffs Jan2017'!L30,($C$5*'Tariffs Jan2017'!AL30/'Tariffs Jan2017'!AJ30-'Tariffs Jan2017'!K30)*('Tariffs Jan2017'!W30/100)*'Tariffs Jan2017'!AJ30,('Tariffs Jan2017'!L30-'Tariffs Jan2017'!K30)*('Tariffs Jan2017'!W30/100)*'Tariffs Jan2017'!AJ30))</f>
        <v>0</v>
      </c>
      <c r="M36" s="59">
        <f>IF($C$5*'Tariffs Jan2017'!AL30/'Tariffs Jan2017'!AJ30&lt;'Tariffs Jan2017'!L30,0,IF($C$5*'Tariffs Jan2017'!AL30/'Tariffs Jan2017'!AJ30&lt;='Tariffs Jan2017'!M30,($C$5*'Tariffs Jan2017'!AL30/'Tariffs Jan2017'!AJ30-'Tariffs Jan2017'!L30)*('Tariffs Jan2017'!X30/100)*'Tariffs Jan2017'!AJ30,('Tariffs Jan2017'!M30-'Tariffs Jan2017'!L30)*('Tariffs Jan2017'!X30/100)*'Tariffs Jan2017'!AJ30))</f>
        <v>0</v>
      </c>
      <c r="N36" s="59">
        <f>IF(($C$5*'Tariffs Jan2017'!AL30/'Tariffs Jan2017'!AJ30&gt;'Tariffs Jan2017'!M30),($C$5*'Tariffs Jan2017'!AL30/'Tariffs Jan2017'!AJ30-'Tariffs Jan2017'!M30)*'Tariffs Jan2017'!Y30/100*'Tariffs Jan2017'!AJ30,0)</f>
        <v>266.00495999999998</v>
      </c>
      <c r="O36" s="271">
        <f t="shared" si="0"/>
        <v>838.0925400000001</v>
      </c>
      <c r="P36" s="59">
        <f t="shared" si="1"/>
        <v>1078.33554</v>
      </c>
      <c r="Q36" s="272">
        <f t="shared" si="2"/>
        <v>1186.1690940000001</v>
      </c>
      <c r="R36" s="40">
        <f>'Tariffs Jan2017'!AM30</f>
        <v>0</v>
      </c>
      <c r="S36" s="40">
        <f>'Tariffs Jan2017'!AN30</f>
        <v>0</v>
      </c>
      <c r="T36" s="40">
        <f>'Tariffs Jan2017'!AO30</f>
        <v>15</v>
      </c>
      <c r="U36" s="40">
        <f>'Tariffs Jan2017'!AP30</f>
        <v>0</v>
      </c>
      <c r="V36" s="273">
        <f t="shared" si="3"/>
        <v>1078.33554</v>
      </c>
      <c r="W36" s="273">
        <f>V36-(P36*T36/100)</f>
        <v>916.58520900000008</v>
      </c>
      <c r="X36" s="272">
        <f t="shared" si="4"/>
        <v>1186.1690940000001</v>
      </c>
      <c r="Y36" s="272">
        <f t="shared" si="4"/>
        <v>1008.2437299000002</v>
      </c>
      <c r="Z36" s="274">
        <f>'Tariffs Jan2017'!AW30</f>
        <v>24</v>
      </c>
      <c r="AA36" s="274" t="str">
        <f>'Tariffs Jan2017'!AX30</f>
        <v>n</v>
      </c>
      <c r="AB36" s="275" t="str">
        <f>'Tariffs Jan2017'!BD30</f>
        <v>Y</v>
      </c>
      <c r="AC36" s="305"/>
      <c r="AD36" s="305"/>
      <c r="AE36" s="305"/>
      <c r="AF36" s="305"/>
      <c r="AG36" s="305"/>
      <c r="AH36" s="305"/>
      <c r="AI36" s="305"/>
      <c r="AJ36" s="305"/>
      <c r="AK36" s="305"/>
      <c r="AL36" s="305"/>
      <c r="AM36" s="305"/>
      <c r="AN36" s="305"/>
    </row>
    <row r="37" spans="1:40" x14ac:dyDescent="0.15">
      <c r="A37" s="270" t="str">
        <f>'Tariffs Jan2017'!F31</f>
        <v>Momentum Energy</v>
      </c>
      <c r="B37" s="40" t="str">
        <f>'Tariffs Jan2017'!D31</f>
        <v>Envestra North</v>
      </c>
      <c r="C37" s="40" t="str">
        <f>'Tariffs Jan2017'!G31</f>
        <v>Market offer</v>
      </c>
      <c r="D37" s="59">
        <f>365*'Tariffs Jan2017'!H31/100</f>
        <v>244.87850000000003</v>
      </c>
      <c r="E37" s="59">
        <f>IF($C$5*'Tariffs Jan2017'!AK31/'Tariffs Jan2017'!AI31&gt;='Tariffs Jan2017'!J31,( 'Tariffs Jan2017'!J31*'Tariffs Jan2017'!O31/100)* 'Tariffs Jan2017'!AI31,($C$5*'Tariffs Jan2017'!AK31/'Tariffs Jan2017'!AI31*'Tariffs Jan2017'!O31/100)* 'Tariffs Jan2017'!AI31)</f>
        <v>71.952299999999994</v>
      </c>
      <c r="F37" s="59">
        <f>IF($C$5*'Tariffs Jan2017'!AK31/'Tariffs Jan2017'!AI31&lt;'Tariffs Jan2017'!J31,0,IF($C$5*'Tariffs Jan2017'!AK31/'Tariffs Jan2017'!AI31&lt;='Tariffs Jan2017'!K31,($C$5*'Tariffs Jan2017'!AK31/'Tariffs Jan2017'!AI31-'Tariffs Jan2017'!J31)*('Tariffs Jan2017'!P31/100)*'Tariffs Jan2017'!AI31,('Tariffs Jan2017'!K31-'Tariffs Jan2017'!J31)*('Tariffs Jan2017'!P31/100)*'Tariffs Jan2017'!AI31))</f>
        <v>49.2136</v>
      </c>
      <c r="G37" s="59">
        <f>IF($C$5*'Tariffs Jan2017'!AK31/'Tariffs Jan2017'!AI31&lt;'Tariffs Jan2017'!K31,0,IF($C$5*'Tariffs Jan2017'!AK31/'Tariffs Jan2017'!AI31&lt;='Tariffs Jan2017'!L31,($C$5*'Tariffs Jan2017'!AK31/'Tariffs Jan2017'!AI31-'Tariffs Jan2017'!K31)*('Tariffs Jan2017'!Q31/100)*'Tariffs Jan2017'!AI31,('Tariffs Jan2017'!L31-'Tariffs Jan2017'!K31)*('Tariffs Jan2017'!Q31/100)*'Tariffs Jan2017'!AI31))</f>
        <v>0</v>
      </c>
      <c r="H37" s="59">
        <f>IF($C$5*'Tariffs Jan2017'!AK31/'Tariffs Jan2017'!AI31&lt;'Tariffs Jan2017'!L31,0,IF($C$5*'Tariffs Jan2017'!AK31/'Tariffs Jan2017'!AI31&lt;='Tariffs Jan2017'!M31,($C$5*'Tariffs Jan2017'!AK31/'Tariffs Jan2017'!AI31-'Tariffs Jan2017'!L31)*('Tariffs Jan2017'!R31/100)*'Tariffs Jan2017'!AI31,('Tariffs Jan2017'!M31-'Tariffs Jan2017'!L31)*('Tariffs Jan2017'!R31/100)*'Tariffs Jan2017'!AI31))</f>
        <v>0</v>
      </c>
      <c r="I37" s="59">
        <f>IF(($C$5*'Tariffs Jan2017'!AK31/'Tariffs Jan2017'!AI31&gt;'Tariffs Jan2017'!M31),($C$5*'Tariffs Jan2017'!AK31/'Tariffs Jan2017'!AI31-'Tariffs Jan2017'!M31)*'Tariffs Jan2017'!S31/100*'Tariffs Jan2017'!AI31,0)</f>
        <v>112.61952000000001</v>
      </c>
      <c r="J37" s="59">
        <f>IF($C$5*'Tariffs Jan2017'!AL31/'Tariffs Jan2017'!AJ31&gt;='Tariffs Jan2017'!J31,('Tariffs Jan2017'!J31*'Tariffs Jan2017'!U31/100)* 'Tariffs Jan2017'!AJ31,($C$5*'Tariffs Jan2017'!AL31/'Tariffs Jan2017'!AJ31*'Tariffs Jan2017'!U31/100)* 'Tariffs Jan2017'!AJ31)</f>
        <v>141.66739999999999</v>
      </c>
      <c r="K37" s="59">
        <f>IF($C$5*'Tariffs Jan2017'!AL31/'Tariffs Jan2017'!AJ31&lt;'Tariffs Jan2017'!J31,0,IF($C$5*'Tariffs Jan2017'!AL31/'Tariffs Jan2017'!AJ31&lt;='Tariffs Jan2017'!K31,($C$5*'Tariffs Jan2017'!AL31/'Tariffs Jan2017'!AJ31-'Tariffs Jan2017'!J31)*('Tariffs Jan2017'!V31/100)*'Tariffs Jan2017'!AJ31,('Tariffs Jan2017'!K31-'Tariffs Jan2017'!J31)*('Tariffs Jan2017'!V31/100)*'Tariffs Jan2017'!AJ31))</f>
        <v>96.584399999999988</v>
      </c>
      <c r="L37" s="59">
        <f>IF($C$5*'Tariffs Jan2017'!AL31/'Tariffs Jan2017'!AJ31&lt;'Tariffs Jan2017'!K31,0,IF($C$5*'Tariffs Jan2017'!AL31/'Tariffs Jan2017'!AJ31&lt;='Tariffs Jan2017'!L31,($C$5*'Tariffs Jan2017'!AL31/'Tariffs Jan2017'!AJ31-'Tariffs Jan2017'!K31)*('Tariffs Jan2017'!W31/100)*'Tariffs Jan2017'!AJ31,('Tariffs Jan2017'!L31-'Tariffs Jan2017'!K31)*('Tariffs Jan2017'!W31/100)*'Tariffs Jan2017'!AJ31))</f>
        <v>0</v>
      </c>
      <c r="M37" s="59">
        <f>IF($C$5*'Tariffs Jan2017'!AL31/'Tariffs Jan2017'!AJ31&lt;'Tariffs Jan2017'!L31,0,IF($C$5*'Tariffs Jan2017'!AL31/'Tariffs Jan2017'!AJ31&lt;='Tariffs Jan2017'!M31,($C$5*'Tariffs Jan2017'!AL31/'Tariffs Jan2017'!AJ31-'Tariffs Jan2017'!L31)*('Tariffs Jan2017'!X31/100)*'Tariffs Jan2017'!AJ31,('Tariffs Jan2017'!M31-'Tariffs Jan2017'!L31)*('Tariffs Jan2017'!X31/100)*'Tariffs Jan2017'!AJ31))</f>
        <v>0</v>
      </c>
      <c r="N37" s="59">
        <f>IF(($C$5*'Tariffs Jan2017'!AL31/'Tariffs Jan2017'!AJ31&gt;'Tariffs Jan2017'!M31),($C$5*'Tariffs Jan2017'!AL31/'Tariffs Jan2017'!AJ31-'Tariffs Jan2017'!M31)*'Tariffs Jan2017'!Y31/100*'Tariffs Jan2017'!AJ31,0)</f>
        <v>220.25328000000002</v>
      </c>
      <c r="O37" s="271">
        <f t="shared" si="0"/>
        <v>692.29049999999995</v>
      </c>
      <c r="P37" s="59">
        <f t="shared" si="1"/>
        <v>937.16899999999998</v>
      </c>
      <c r="Q37" s="272">
        <f t="shared" si="2"/>
        <v>1030.8859</v>
      </c>
      <c r="R37" s="40">
        <f>'Tariffs Jan2017'!AM31</f>
        <v>0</v>
      </c>
      <c r="S37" s="40">
        <f>'Tariffs Jan2017'!AN31</f>
        <v>0</v>
      </c>
      <c r="T37" s="40">
        <f>'Tariffs Jan2017'!AO31</f>
        <v>0</v>
      </c>
      <c r="U37" s="40">
        <f>'Tariffs Jan2017'!AP31</f>
        <v>0</v>
      </c>
      <c r="V37" s="273">
        <f t="shared" si="3"/>
        <v>937.16899999999998</v>
      </c>
      <c r="W37" s="273">
        <f>V37</f>
        <v>937.16899999999998</v>
      </c>
      <c r="X37" s="272">
        <f t="shared" si="4"/>
        <v>1030.8859</v>
      </c>
      <c r="Y37" s="272">
        <f t="shared" si="4"/>
        <v>1030.8859</v>
      </c>
      <c r="Z37" s="274">
        <f>'Tariffs Jan2017'!AW31</f>
        <v>0</v>
      </c>
      <c r="AA37" s="274" t="str">
        <f>'Tariffs Jan2017'!AX31</f>
        <v>n</v>
      </c>
      <c r="AB37" s="275" t="str">
        <f>'Tariffs Jan2017'!BD31</f>
        <v>Y</v>
      </c>
      <c r="AC37" s="305"/>
      <c r="AD37" s="305"/>
      <c r="AE37" s="305"/>
      <c r="AF37" s="305"/>
      <c r="AG37" s="305"/>
      <c r="AH37" s="305"/>
      <c r="AI37" s="305"/>
      <c r="AJ37" s="305"/>
      <c r="AK37" s="305"/>
      <c r="AL37" s="305"/>
      <c r="AM37" s="305"/>
      <c r="AN37" s="305"/>
    </row>
    <row r="38" spans="1:40" x14ac:dyDescent="0.15">
      <c r="A38" s="270" t="str">
        <f>'Tariffs Jan2017'!F32</f>
        <v>Origin Energy</v>
      </c>
      <c r="B38" s="40" t="str">
        <f>'Tariffs Jan2017'!D32</f>
        <v>Envestra North</v>
      </c>
      <c r="C38" s="40" t="str">
        <f>'Tariffs Jan2017'!G32</f>
        <v>Saver</v>
      </c>
      <c r="D38" s="59">
        <f>365*'Tariffs Jan2017'!H32/100</f>
        <v>251.41199999999998</v>
      </c>
      <c r="E38" s="59">
        <f>IF($C$5*'Tariffs Jan2017'!AK32/'Tariffs Jan2017'!AI32&gt;='Tariffs Jan2017'!J32,( 'Tariffs Jan2017'!J32*'Tariffs Jan2017'!O32/100)* 'Tariffs Jan2017'!AI32,($C$5*'Tariffs Jan2017'!AK32/'Tariffs Jan2017'!AI32*'Tariffs Jan2017'!O32/100)* 'Tariffs Jan2017'!AI32)</f>
        <v>165.2</v>
      </c>
      <c r="F38" s="59">
        <f>IF($C$5*'Tariffs Jan2017'!AK32/'Tariffs Jan2017'!AI32&lt;'Tariffs Jan2017'!J32,0,IF($C$5*'Tariffs Jan2017'!AK32/'Tariffs Jan2017'!AI32&lt;='Tariffs Jan2017'!K32,($C$5*'Tariffs Jan2017'!AK32/'Tariffs Jan2017'!AI32-'Tariffs Jan2017'!J32)*('Tariffs Jan2017'!P32/100)*'Tariffs Jan2017'!AI32,('Tariffs Jan2017'!K32-'Tariffs Jan2017'!J32)*('Tariffs Jan2017'!P32/100)*'Tariffs Jan2017'!AI32))</f>
        <v>106.16012000000001</v>
      </c>
      <c r="G38" s="59">
        <f>IF($C$5*'Tariffs Jan2017'!AK32/'Tariffs Jan2017'!AI32&lt;'Tariffs Jan2017'!K32,0,IF($C$5*'Tariffs Jan2017'!AK32/'Tariffs Jan2017'!AI32&lt;='Tariffs Jan2017'!L32,($C$5*'Tariffs Jan2017'!AK32/'Tariffs Jan2017'!AI32-'Tariffs Jan2017'!K32)*('Tariffs Jan2017'!Q32/100)*'Tariffs Jan2017'!AI32,('Tariffs Jan2017'!L32-'Tariffs Jan2017'!K32)*('Tariffs Jan2017'!Q32/100)*'Tariffs Jan2017'!AI32))</f>
        <v>0</v>
      </c>
      <c r="H38" s="59">
        <f>IF($C$5*'Tariffs Jan2017'!AK32/'Tariffs Jan2017'!AI32&lt;'Tariffs Jan2017'!L32,0,IF($C$5*'Tariffs Jan2017'!AK32/'Tariffs Jan2017'!AI32&lt;='Tariffs Jan2017'!M32,($C$5*'Tariffs Jan2017'!AK32/'Tariffs Jan2017'!AI32-'Tariffs Jan2017'!L32)*('Tariffs Jan2017'!R32/100)*'Tariffs Jan2017'!AI32,('Tariffs Jan2017'!M32-'Tariffs Jan2017'!L32)*('Tariffs Jan2017'!R32/100)*'Tariffs Jan2017'!AI32))</f>
        <v>0</v>
      </c>
      <c r="I38" s="59">
        <f>IF(($C$5*'Tariffs Jan2017'!AK32/'Tariffs Jan2017'!AI32&gt;'Tariffs Jan2017'!M32),($C$5*'Tariffs Jan2017'!AK32/'Tariffs Jan2017'!AI32-'Tariffs Jan2017'!M32)*'Tariffs Jan2017'!S32/100*'Tariffs Jan2017'!AI32,0)</f>
        <v>0</v>
      </c>
      <c r="J38" s="59">
        <f>IF($C$5*'Tariffs Jan2017'!AL32/'Tariffs Jan2017'!AJ32&gt;='Tariffs Jan2017'!J32,('Tariffs Jan2017'!J32*'Tariffs Jan2017'!U32/100)* 'Tariffs Jan2017'!AJ32,($C$5*'Tariffs Jan2017'!AL32/'Tariffs Jan2017'!AJ32*'Tariffs Jan2017'!U32/100)* 'Tariffs Jan2017'!AJ32)</f>
        <v>330.4</v>
      </c>
      <c r="K38" s="59">
        <f>IF($C$5*'Tariffs Jan2017'!AL32/'Tariffs Jan2017'!AJ32&lt;'Tariffs Jan2017'!J32,0,IF($C$5*'Tariffs Jan2017'!AL32/'Tariffs Jan2017'!AJ32&lt;='Tariffs Jan2017'!K32,($C$5*'Tariffs Jan2017'!AL32/'Tariffs Jan2017'!AJ32-'Tariffs Jan2017'!J32)*('Tariffs Jan2017'!V32/100)*'Tariffs Jan2017'!AJ32,('Tariffs Jan2017'!K32-'Tariffs Jan2017'!J32)*('Tariffs Jan2017'!V32/100)*'Tariffs Jan2017'!AJ32))</f>
        <v>212.32024000000001</v>
      </c>
      <c r="L38" s="59">
        <f>IF($C$5*'Tariffs Jan2017'!AL32/'Tariffs Jan2017'!AJ32&lt;'Tariffs Jan2017'!K32,0,IF($C$5*'Tariffs Jan2017'!AL32/'Tariffs Jan2017'!AJ32&lt;='Tariffs Jan2017'!L32,($C$5*'Tariffs Jan2017'!AL32/'Tariffs Jan2017'!AJ32-'Tariffs Jan2017'!K32)*('Tariffs Jan2017'!W32/100)*'Tariffs Jan2017'!AJ32,('Tariffs Jan2017'!L32-'Tariffs Jan2017'!K32)*('Tariffs Jan2017'!W32/100)*'Tariffs Jan2017'!AJ32))</f>
        <v>0</v>
      </c>
      <c r="M38" s="59">
        <f>IF($C$5*'Tariffs Jan2017'!AL32/'Tariffs Jan2017'!AJ32&lt;'Tariffs Jan2017'!L32,0,IF($C$5*'Tariffs Jan2017'!AL32/'Tariffs Jan2017'!AJ32&lt;='Tariffs Jan2017'!M32,($C$5*'Tariffs Jan2017'!AL32/'Tariffs Jan2017'!AJ32-'Tariffs Jan2017'!L32)*('Tariffs Jan2017'!X32/100)*'Tariffs Jan2017'!AJ32,('Tariffs Jan2017'!M32-'Tariffs Jan2017'!L32)*('Tariffs Jan2017'!X32/100)*'Tariffs Jan2017'!AJ32))</f>
        <v>0</v>
      </c>
      <c r="N38" s="59">
        <f>IF(($C$5*'Tariffs Jan2017'!AL32/'Tariffs Jan2017'!AJ32&gt;'Tariffs Jan2017'!M32),($C$5*'Tariffs Jan2017'!AL32/'Tariffs Jan2017'!AJ32-'Tariffs Jan2017'!M32)*'Tariffs Jan2017'!Y32/100*'Tariffs Jan2017'!AJ32,0)</f>
        <v>0</v>
      </c>
      <c r="O38" s="271">
        <f t="shared" si="0"/>
        <v>814.08035999999993</v>
      </c>
      <c r="P38" s="59">
        <f t="shared" si="1"/>
        <v>1065.49236</v>
      </c>
      <c r="Q38" s="272">
        <f t="shared" si="2"/>
        <v>1172.041596</v>
      </c>
      <c r="R38" s="40">
        <f>'Tariffs Jan2017'!AM32</f>
        <v>0</v>
      </c>
      <c r="S38" s="40">
        <f>'Tariffs Jan2017'!AN32</f>
        <v>0</v>
      </c>
      <c r="T38" s="40">
        <f>'Tariffs Jan2017'!AO32</f>
        <v>0</v>
      </c>
      <c r="U38" s="40">
        <f>'Tariffs Jan2017'!AP32</f>
        <v>13</v>
      </c>
      <c r="V38" s="273">
        <f t="shared" si="3"/>
        <v>1065.49236</v>
      </c>
      <c r="W38" s="273">
        <f>V38-(O38*U38/100)</f>
        <v>959.66191319999996</v>
      </c>
      <c r="X38" s="272">
        <f t="shared" si="4"/>
        <v>1172.041596</v>
      </c>
      <c r="Y38" s="272">
        <f t="shared" si="4"/>
        <v>1055.6281045200001</v>
      </c>
      <c r="Z38" s="274">
        <f>'Tariffs Jan2017'!AW32</f>
        <v>0</v>
      </c>
      <c r="AA38" s="274" t="str">
        <f>'Tariffs Jan2017'!AX32</f>
        <v>n</v>
      </c>
      <c r="AB38" s="275" t="str">
        <f>'Tariffs Jan2017'!BD32</f>
        <v>N</v>
      </c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</row>
    <row r="39" spans="1:40" x14ac:dyDescent="0.15">
      <c r="A39" s="270" t="str">
        <f>'Tariffs Jan2017'!F33</f>
        <v>Red Energy</v>
      </c>
      <c r="B39" s="40" t="str">
        <f>'Tariffs Jan2017'!D33</f>
        <v>Envestra North</v>
      </c>
      <c r="C39" s="40" t="str">
        <f>'Tariffs Jan2017'!G33</f>
        <v>Living Energy Saver</v>
      </c>
      <c r="D39" s="59">
        <f>365*'Tariffs Jan2017'!H33/100</f>
        <v>259.14999999999998</v>
      </c>
      <c r="E39" s="59">
        <f>IF($C$5*'Tariffs Jan2017'!AK33/'Tariffs Jan2017'!AI33&gt;='Tariffs Jan2017'!J33,( 'Tariffs Jan2017'!J33*'Tariffs Jan2017'!O33/100)* 'Tariffs Jan2017'!AI33,($C$5*'Tariffs Jan2017'!AK33/'Tariffs Jan2017'!AI33*'Tariffs Jan2017'!O33/100)* 'Tariffs Jan2017'!AI33)</f>
        <v>130.32000000000002</v>
      </c>
      <c r="F39" s="59">
        <f>IF($C$5*'Tariffs Jan2017'!AK33/'Tariffs Jan2017'!AI33&lt;'Tariffs Jan2017'!J33,0,IF($C$5*'Tariffs Jan2017'!AK33/'Tariffs Jan2017'!AI33&lt;='Tariffs Jan2017'!K33,($C$5*'Tariffs Jan2017'!AK33/'Tariffs Jan2017'!AI33-'Tariffs Jan2017'!J33)*('Tariffs Jan2017'!S33/100)*'Tariffs Jan2017'!AI33,('Tariffs Jan2017'!K33-'Tariffs Jan2017'!J33)*('Tariffs Jan2017'!S33/100)*'Tariffs Jan2017'!AI33))</f>
        <v>0</v>
      </c>
      <c r="G39" s="59">
        <f>IF($C$5*'Tariffs Jan2017'!AK33/'Tariffs Jan2017'!AI33&lt;'Tariffs Jan2017'!K33,0,IF($C$5*'Tariffs Jan2017'!AK33/'Tariffs Jan2017'!AI33&lt;='Tariffs Jan2017'!L33,($C$5*'Tariffs Jan2017'!AK33/'Tariffs Jan2017'!AI33-'Tariffs Jan2017'!K33)*('Tariffs Jan2017'!Q33/100)*'Tariffs Jan2017'!AI33,('Tariffs Jan2017'!L33-'Tariffs Jan2017'!K33)*('Tariffs Jan2017'!Q33/100)*'Tariffs Jan2017'!AI33))</f>
        <v>0</v>
      </c>
      <c r="H39" s="59">
        <f>IF($C$5*'Tariffs Jan2017'!AK33/'Tariffs Jan2017'!AI33&lt;'Tariffs Jan2017'!L33,0,IF($C$5*'Tariffs Jan2017'!AK33/'Tariffs Jan2017'!AI33&lt;='Tariffs Jan2017'!M33,($C$5*'Tariffs Jan2017'!AK33/'Tariffs Jan2017'!AI33-'Tariffs Jan2017'!L33)*('Tariffs Jan2017'!R33/100)*'Tariffs Jan2017'!AI33,('Tariffs Jan2017'!M33-'Tariffs Jan2017'!L33)*('Tariffs Jan2017'!R33/100)*'Tariffs Jan2017'!AI33))</f>
        <v>0</v>
      </c>
      <c r="I39" s="59">
        <f>IF(($C$5*'Tariffs Jan2017'!AK33/'Tariffs Jan2017'!AI33&gt;'Tariffs Jan2017'!M33),($C$5*'Tariffs Jan2017'!AK33/'Tariffs Jan2017'!AI33-'Tariffs Jan2017'!M33)*'Tariffs Jan2017'!S33/100*'Tariffs Jan2017'!AI33,0)</f>
        <v>119.5116</v>
      </c>
      <c r="J39" s="59">
        <f>IF($C$5*'Tariffs Jan2017'!AL33/'Tariffs Jan2017'!AJ33&gt;='Tariffs Jan2017'!J33,('Tariffs Jan2017'!J33*'Tariffs Jan2017'!U33/100)* 'Tariffs Jan2017'!AJ33,($C$5*'Tariffs Jan2017'!AL33/'Tariffs Jan2017'!AJ33*'Tariffs Jan2017'!U33/100)* 'Tariffs Jan2017'!AJ33)</f>
        <v>260.64000000000004</v>
      </c>
      <c r="K39" s="59">
        <f>IF($C$5*'Tariffs Jan2017'!AL33/'Tariffs Jan2017'!AJ33&lt;'Tariffs Jan2017'!J33,0,IF($C$5*'Tariffs Jan2017'!AL33/'Tariffs Jan2017'!AJ33&lt;='Tariffs Jan2017'!K33,($C$5*'Tariffs Jan2017'!AL33/'Tariffs Jan2017'!AJ33-'Tariffs Jan2017'!J33)*('Tariffs Jan2017'!V33/100)*'Tariffs Jan2017'!AJ33,('Tariffs Jan2017'!K33-'Tariffs Jan2017'!J33)*('Tariffs Jan2017'!V33/100)*'Tariffs Jan2017'!AJ33))</f>
        <v>0</v>
      </c>
      <c r="L39" s="59">
        <f>IF($C$5*'Tariffs Jan2017'!AL33/'Tariffs Jan2017'!AJ33&lt;'Tariffs Jan2017'!K33,0,IF($C$5*'Tariffs Jan2017'!AL33/'Tariffs Jan2017'!AJ33&lt;='Tariffs Jan2017'!L33,($C$5*'Tariffs Jan2017'!AL33/'Tariffs Jan2017'!AJ33-'Tariffs Jan2017'!K33)*('Tariffs Jan2017'!W33/100)*'Tariffs Jan2017'!AJ33,('Tariffs Jan2017'!L33-'Tariffs Jan2017'!K33)*('Tariffs Jan2017'!W33/100)*'Tariffs Jan2017'!AJ33))</f>
        <v>0</v>
      </c>
      <c r="M39" s="59">
        <f>IF($C$5*'Tariffs Jan2017'!AL33/'Tariffs Jan2017'!AJ33&lt;'Tariffs Jan2017'!L33,0,IF($C$5*'Tariffs Jan2017'!AL33/'Tariffs Jan2017'!AJ33&lt;='Tariffs Jan2017'!M33,($C$5*'Tariffs Jan2017'!AL33/'Tariffs Jan2017'!AJ33-'Tariffs Jan2017'!L33)*('Tariffs Jan2017'!X33/100)*'Tariffs Jan2017'!AJ33,('Tariffs Jan2017'!M33-'Tariffs Jan2017'!L33)*('Tariffs Jan2017'!X33/100)*'Tariffs Jan2017'!AJ33))</f>
        <v>0</v>
      </c>
      <c r="N39" s="59">
        <f>IF(($C$5*'Tariffs Jan2017'!AL33/'Tariffs Jan2017'!AJ33&gt;'Tariffs Jan2017'!M33),($C$5*'Tariffs Jan2017'!AL33/'Tariffs Jan2017'!AJ33-'Tariffs Jan2017'!M33)*'Tariffs Jan2017'!Y33/100*'Tariffs Jan2017'!AJ33,0)</f>
        <v>239.0232</v>
      </c>
      <c r="O39" s="271">
        <f t="shared" si="0"/>
        <v>749.49480000000005</v>
      </c>
      <c r="P39" s="59">
        <f t="shared" si="1"/>
        <v>1008.6448</v>
      </c>
      <c r="Q39" s="272">
        <f t="shared" si="2"/>
        <v>1109.5092800000002</v>
      </c>
      <c r="R39" s="40">
        <f>'Tariffs Jan2017'!AM33</f>
        <v>0</v>
      </c>
      <c r="S39" s="40">
        <f>'Tariffs Jan2017'!AN33</f>
        <v>0</v>
      </c>
      <c r="T39" s="40">
        <f>'Tariffs Jan2017'!AO33</f>
        <v>10</v>
      </c>
      <c r="U39" s="40">
        <f>'Tariffs Jan2017'!AP33</f>
        <v>0</v>
      </c>
      <c r="V39" s="273">
        <f t="shared" si="3"/>
        <v>1008.6448</v>
      </c>
      <c r="W39" s="273">
        <f>V39-(P39*T39/100)</f>
        <v>907.78032000000007</v>
      </c>
      <c r="X39" s="272">
        <f t="shared" si="4"/>
        <v>1109.5092800000002</v>
      </c>
      <c r="Y39" s="272">
        <f t="shared" si="4"/>
        <v>998.55835200000013</v>
      </c>
      <c r="Z39" s="274">
        <f>'Tariffs Jan2017'!AW33</f>
        <v>0</v>
      </c>
      <c r="AA39" s="274" t="str">
        <f>'Tariffs Jan2017'!AX33</f>
        <v>n</v>
      </c>
      <c r="AB39" s="275" t="str">
        <f>'Tariffs Jan2017'!BD33</f>
        <v>Y</v>
      </c>
      <c r="AC39" s="305"/>
      <c r="AD39" s="305"/>
      <c r="AE39" s="305"/>
      <c r="AF39" s="305"/>
      <c r="AG39" s="305"/>
      <c r="AH39" s="305"/>
      <c r="AI39" s="305"/>
      <c r="AJ39" s="305"/>
      <c r="AK39" s="305"/>
      <c r="AL39" s="305"/>
      <c r="AM39" s="305"/>
      <c r="AN39" s="305"/>
    </row>
    <row r="40" spans="1:40" ht="14" thickBot="1" x14ac:dyDescent="0.2">
      <c r="A40" s="276" t="str">
        <f>'Tariffs Jan2017'!F34</f>
        <v>Simply Energy</v>
      </c>
      <c r="B40" s="277" t="str">
        <f>'Tariffs Jan2017'!D34</f>
        <v>Envestra North</v>
      </c>
      <c r="C40" s="277" t="str">
        <f>'Tariffs Jan2017'!G34</f>
        <v>Plus</v>
      </c>
      <c r="D40" s="278">
        <f>365*'Tariffs Jan2017'!H34/100</f>
        <v>263.09199999999998</v>
      </c>
      <c r="E40" s="278">
        <f>IF($C$5*'Tariffs Jan2017'!AK34/'Tariffs Jan2017'!AI34&gt;='Tariffs Jan2017'!J34,( 'Tariffs Jan2017'!J34*'Tariffs Jan2017'!O34/100)* 'Tariffs Jan2017'!AI34,($C$5*'Tariffs Jan2017'!AK34/'Tariffs Jan2017'!AI34*'Tariffs Jan2017'!O34/100)* 'Tariffs Jan2017'!AI34)</f>
        <v>75.999000000000009</v>
      </c>
      <c r="F40" s="278">
        <f>IF($C$5*'Tariffs Jan2017'!AK34/'Tariffs Jan2017'!AI34&lt;'Tariffs Jan2017'!J34,0,IF($C$5*'Tariffs Jan2017'!AK34/'Tariffs Jan2017'!AI34&lt;='Tariffs Jan2017'!K34,($C$5*'Tariffs Jan2017'!AK34/'Tariffs Jan2017'!AI34-'Tariffs Jan2017'!J34)*('Tariffs Jan2017'!P34/100)*'Tariffs Jan2017'!AI34,('Tariffs Jan2017'!K34-'Tariffs Jan2017'!J34)*('Tariffs Jan2017'!P34/100)*'Tariffs Jan2017'!AI34))</f>
        <v>53.657999999999994</v>
      </c>
      <c r="G40" s="278">
        <f>IF($C$5*'Tariffs Jan2017'!AK34/'Tariffs Jan2017'!AI34&lt;'Tariffs Jan2017'!K34,0,IF($C$5*'Tariffs Jan2017'!AK34/'Tariffs Jan2017'!AI34&lt;='Tariffs Jan2017'!L34,($C$5*'Tariffs Jan2017'!AK34/'Tariffs Jan2017'!AI34-'Tariffs Jan2017'!K34)*('Tariffs Jan2017'!Q34/100)*'Tariffs Jan2017'!AI34,('Tariffs Jan2017'!L34-'Tariffs Jan2017'!K34)*('Tariffs Jan2017'!Q34/100)*'Tariffs Jan2017'!AI34))</f>
        <v>0</v>
      </c>
      <c r="H40" s="278">
        <f>IF($C$5*'Tariffs Jan2017'!AK34/'Tariffs Jan2017'!AI34&lt;'Tariffs Jan2017'!L34,0,IF($C$5*'Tariffs Jan2017'!AK34/'Tariffs Jan2017'!AI34&lt;='Tariffs Jan2017'!M34,($C$5*'Tariffs Jan2017'!AK34/'Tariffs Jan2017'!AI34-'Tariffs Jan2017'!L34)*('Tariffs Jan2017'!R34/100)*'Tariffs Jan2017'!AI34,('Tariffs Jan2017'!M34-'Tariffs Jan2017'!L34)*('Tariffs Jan2017'!R34/100)*'Tariffs Jan2017'!AI34))</f>
        <v>0</v>
      </c>
      <c r="I40" s="278">
        <f>IF(($C$5*'Tariffs Jan2017'!AK34/'Tariffs Jan2017'!AI34&gt;'Tariffs Jan2017'!M34),($C$5*'Tariffs Jan2017'!AK34/'Tariffs Jan2017'!AI34-'Tariffs Jan2017'!M34)*'Tariffs Jan2017'!S34/100*'Tariffs Jan2017'!AI34,0)</f>
        <v>123.91079999999999</v>
      </c>
      <c r="J40" s="278">
        <f>IF($C$5*'Tariffs Jan2017'!AL34/'Tariffs Jan2017'!AJ34&gt;='Tariffs Jan2017'!J34,('Tariffs Jan2017'!J34*'Tariffs Jan2017'!U34/100)* 'Tariffs Jan2017'!AJ34,($C$5*'Tariffs Jan2017'!AL34/'Tariffs Jan2017'!AJ34*'Tariffs Jan2017'!U34/100)* 'Tariffs Jan2017'!AJ34)</f>
        <v>151.99800000000002</v>
      </c>
      <c r="K40" s="278">
        <f>IF($C$5*'Tariffs Jan2017'!AL34/'Tariffs Jan2017'!AJ34&lt;'Tariffs Jan2017'!J34,0,IF($C$5*'Tariffs Jan2017'!AL34/'Tariffs Jan2017'!AJ34&lt;='Tariffs Jan2017'!K34,($C$5*'Tariffs Jan2017'!AL34/'Tariffs Jan2017'!AJ34-'Tariffs Jan2017'!J34)*('Tariffs Jan2017'!V34/100)*'Tariffs Jan2017'!AJ34,('Tariffs Jan2017'!K34-'Tariffs Jan2017'!J34)*('Tariffs Jan2017'!V34/100)*'Tariffs Jan2017'!AJ34))</f>
        <v>107.31599999999999</v>
      </c>
      <c r="L40" s="278">
        <f>IF($C$5*'Tariffs Jan2017'!AL34/'Tariffs Jan2017'!AJ34&lt;'Tariffs Jan2017'!K34,0,IF($C$5*'Tariffs Jan2017'!AL34/'Tariffs Jan2017'!AJ34&lt;='Tariffs Jan2017'!L34,($C$5*'Tariffs Jan2017'!AL34/'Tariffs Jan2017'!AJ34-'Tariffs Jan2017'!K34)*('Tariffs Jan2017'!W34/100)*'Tariffs Jan2017'!AJ34,('Tariffs Jan2017'!L34-'Tariffs Jan2017'!K34)*('Tariffs Jan2017'!W34/100)*'Tariffs Jan2017'!AJ34))</f>
        <v>0</v>
      </c>
      <c r="M40" s="278">
        <f>IF($C$5*'Tariffs Jan2017'!AL34/'Tariffs Jan2017'!AJ34&lt;'Tariffs Jan2017'!L34,0,IF($C$5*'Tariffs Jan2017'!AL34/'Tariffs Jan2017'!AJ34&lt;='Tariffs Jan2017'!M34,($C$5*'Tariffs Jan2017'!AL34/'Tariffs Jan2017'!AJ34-'Tariffs Jan2017'!L34)*('Tariffs Jan2017'!X34/100)*'Tariffs Jan2017'!AJ34,('Tariffs Jan2017'!M34-'Tariffs Jan2017'!L34)*('Tariffs Jan2017'!X34/100)*'Tariffs Jan2017'!AJ34))</f>
        <v>0</v>
      </c>
      <c r="N40" s="278">
        <f>IF(($C$5*'Tariffs Jan2017'!AL34/'Tariffs Jan2017'!AJ34&gt;'Tariffs Jan2017'!M34),($C$5*'Tariffs Jan2017'!AL34/'Tariffs Jan2017'!AJ34-'Tariffs Jan2017'!M34)*'Tariffs Jan2017'!Y34/100*'Tariffs Jan2017'!AJ34,0)</f>
        <v>247.82159999999999</v>
      </c>
      <c r="O40" s="279">
        <f t="shared" si="0"/>
        <v>760.70339999999999</v>
      </c>
      <c r="P40" s="278">
        <f t="shared" si="1"/>
        <v>1023.7954</v>
      </c>
      <c r="Q40" s="280">
        <f t="shared" si="2"/>
        <v>1126.1749400000001</v>
      </c>
      <c r="R40" s="277">
        <f>'Tariffs Jan2017'!AM34</f>
        <v>0</v>
      </c>
      <c r="S40" s="277">
        <f>'Tariffs Jan2017'!AN34</f>
        <v>0</v>
      </c>
      <c r="T40" s="277">
        <f>'Tariffs Jan2017'!AO34</f>
        <v>0</v>
      </c>
      <c r="U40" s="277">
        <f>'Tariffs Jan2017'!AP34</f>
        <v>15</v>
      </c>
      <c r="V40" s="273">
        <f t="shared" si="3"/>
        <v>1023.7954</v>
      </c>
      <c r="W40" s="281">
        <f>V40-(O40*U40/100)</f>
        <v>909.68988999999999</v>
      </c>
      <c r="X40" s="280">
        <f t="shared" si="4"/>
        <v>1126.1749400000001</v>
      </c>
      <c r="Y40" s="280">
        <f t="shared" si="4"/>
        <v>1000.6588790000001</v>
      </c>
      <c r="Z40" s="282">
        <f>'Tariffs Jan2017'!AW34</f>
        <v>24</v>
      </c>
      <c r="AA40" s="282" t="str">
        <f>'Tariffs Jan2017'!AX34</f>
        <v>n</v>
      </c>
      <c r="AB40" s="283" t="str">
        <f>'Tariffs Jan2017'!BD34</f>
        <v>Y</v>
      </c>
      <c r="AC40" s="305"/>
      <c r="AD40" s="305"/>
      <c r="AE40" s="305"/>
      <c r="AF40" s="305"/>
      <c r="AG40" s="305"/>
      <c r="AH40" s="305"/>
      <c r="AI40" s="305"/>
      <c r="AJ40" s="305"/>
      <c r="AK40" s="305"/>
      <c r="AL40" s="305"/>
      <c r="AM40" s="305"/>
      <c r="AN40" s="305"/>
    </row>
    <row r="41" spans="1:40" ht="14" thickTop="1" x14ac:dyDescent="0.15">
      <c r="A41" s="270" t="str">
        <f>'Tariffs Jan2017'!F35</f>
        <v>AGL</v>
      </c>
      <c r="B41" s="40" t="str">
        <f>'Tariffs Jan2017'!D35</f>
        <v>Envestra Central 2</v>
      </c>
      <c r="C41" s="40" t="str">
        <f>'Tariffs Jan2017'!G35</f>
        <v>Savers</v>
      </c>
      <c r="D41" s="59">
        <f>365*'Tariffs Jan2017'!H35/100</f>
        <v>260.79250000000002</v>
      </c>
      <c r="E41" s="59">
        <f>IF($C$5*'Tariffs Jan2017'!AK35/'Tariffs Jan2017'!AI35&gt;='Tariffs Jan2017'!J35,( 'Tariffs Jan2017'!J35*'Tariffs Jan2017'!O35/100)* 'Tariffs Jan2017'!AI35,($C$5*'Tariffs Jan2017'!AK35/'Tariffs Jan2017'!AI35*'Tariffs Jan2017'!O35/100)* 'Tariffs Jan2017'!AI35)</f>
        <v>78.992899999999992</v>
      </c>
      <c r="F41" s="59">
        <f>IF($C$5*'Tariffs Jan2017'!AK35/'Tariffs Jan2017'!AI35&lt;'Tariffs Jan2017'!J35,0,IF($C$5*'Tariffs Jan2017'!AK35/'Tariffs Jan2017'!AI35&lt;='Tariffs Jan2017'!K35,($C$5*'Tariffs Jan2017'!AK35/'Tariffs Jan2017'!AI35-'Tariffs Jan2017'!J35)*('Tariffs Jan2017'!P35/100)*'Tariffs Jan2017'!AI35,('Tariffs Jan2017'!K35-'Tariffs Jan2017'!J35)*('Tariffs Jan2017'!P35/100)*'Tariffs Jan2017'!AI35))</f>
        <v>62.140300000000003</v>
      </c>
      <c r="G41" s="59">
        <f>IF($C$5*'Tariffs Jan2017'!AK35/'Tariffs Jan2017'!AI35&lt;'Tariffs Jan2017'!K35,0,IF($C$5*'Tariffs Jan2017'!AK35/'Tariffs Jan2017'!AI35&lt;='Tariffs Jan2017'!L35,($C$5*'Tariffs Jan2017'!AK35/'Tariffs Jan2017'!AI35-'Tariffs Jan2017'!K35)*('Tariffs Jan2017'!Q35/100)*'Tariffs Jan2017'!AI35,('Tariffs Jan2017'!L35-'Tariffs Jan2017'!K35)*('Tariffs Jan2017'!Q35/100)*'Tariffs Jan2017'!AI35))</f>
        <v>0</v>
      </c>
      <c r="H41" s="59">
        <f>IF($C$5*'Tariffs Jan2017'!AK35/'Tariffs Jan2017'!AI35&lt;'Tariffs Jan2017'!L35,0,IF($C$5*'Tariffs Jan2017'!AK35/'Tariffs Jan2017'!AI35&lt;='Tariffs Jan2017'!M35,($C$5*'Tariffs Jan2017'!AK35/'Tariffs Jan2017'!AI35-'Tariffs Jan2017'!L35)*('Tariffs Jan2017'!R35/100)*'Tariffs Jan2017'!AI35,('Tariffs Jan2017'!M35-'Tariffs Jan2017'!L35)*('Tariffs Jan2017'!R35/100)*'Tariffs Jan2017'!AI35))</f>
        <v>0</v>
      </c>
      <c r="I41" s="59">
        <f>IF(($C$5*'Tariffs Jan2017'!AK35/'Tariffs Jan2017'!AI35&gt;'Tariffs Jan2017'!M35),($C$5*'Tariffs Jan2017'!AK35/'Tariffs Jan2017'!AI35-'Tariffs Jan2017'!M35)*'Tariffs Jan2017'!S35/100*'Tariffs Jan2017'!AI35,0)</f>
        <v>113.71931999999998</v>
      </c>
      <c r="J41" s="59">
        <f>IF($C$5*'Tariffs Jan2017'!AL35/'Tariffs Jan2017'!AJ35&gt;='Tariffs Jan2017'!J35,('Tariffs Jan2017'!J35*'Tariffs Jan2017'!U35/100)* 'Tariffs Jan2017'!AJ35,($C$5*'Tariffs Jan2017'!AL35/'Tariffs Jan2017'!AJ35*'Tariffs Jan2017'!U35/100)* 'Tariffs Jan2017'!AJ35)</f>
        <v>157.98579999999998</v>
      </c>
      <c r="K41" s="59">
        <f>IF($C$5*'Tariffs Jan2017'!AL35/'Tariffs Jan2017'!AJ35&lt;'Tariffs Jan2017'!J35,0,IF($C$5*'Tariffs Jan2017'!AL35/'Tariffs Jan2017'!AJ35&lt;='Tariffs Jan2017'!K35,($C$5*'Tariffs Jan2017'!AL35/'Tariffs Jan2017'!AJ35-'Tariffs Jan2017'!J35)*('Tariffs Jan2017'!V35/100)*'Tariffs Jan2017'!AJ35,('Tariffs Jan2017'!K35-'Tariffs Jan2017'!J35)*('Tariffs Jan2017'!V35/100)*'Tariffs Jan2017'!AJ35))</f>
        <v>124.28060000000001</v>
      </c>
      <c r="L41" s="59">
        <f>IF($C$5*'Tariffs Jan2017'!AL35/'Tariffs Jan2017'!AJ35&lt;'Tariffs Jan2017'!K35,0,IF($C$5*'Tariffs Jan2017'!AL35/'Tariffs Jan2017'!AJ35&lt;='Tariffs Jan2017'!L35,($C$5*'Tariffs Jan2017'!AL35/'Tariffs Jan2017'!AJ35-'Tariffs Jan2017'!K35)*('Tariffs Jan2017'!W35/100)*'Tariffs Jan2017'!AJ35,('Tariffs Jan2017'!L35-'Tariffs Jan2017'!K35)*('Tariffs Jan2017'!W35/100)*'Tariffs Jan2017'!AJ35))</f>
        <v>0</v>
      </c>
      <c r="M41" s="59">
        <f>IF($C$5*'Tariffs Jan2017'!AL35/'Tariffs Jan2017'!AJ35&lt;'Tariffs Jan2017'!L35,0,IF($C$5*'Tariffs Jan2017'!AL35/'Tariffs Jan2017'!AJ35&lt;='Tariffs Jan2017'!M35,($C$5*'Tariffs Jan2017'!AL35/'Tariffs Jan2017'!AJ35-'Tariffs Jan2017'!L35)*('Tariffs Jan2017'!X35/100)*'Tariffs Jan2017'!AJ35,('Tariffs Jan2017'!M35-'Tariffs Jan2017'!L35)*('Tariffs Jan2017'!X35/100)*'Tariffs Jan2017'!AJ35))</f>
        <v>0</v>
      </c>
      <c r="N41" s="59">
        <f>IF(($C$5*'Tariffs Jan2017'!AL35/'Tariffs Jan2017'!AJ35&gt;'Tariffs Jan2017'!M35),($C$5*'Tariffs Jan2017'!AL35/'Tariffs Jan2017'!AJ35-'Tariffs Jan2017'!M35)*'Tariffs Jan2017'!Y35/100*'Tariffs Jan2017'!AJ35,0)</f>
        <v>227.43863999999996</v>
      </c>
      <c r="O41" s="271">
        <f t="shared" si="0"/>
        <v>764.55755999999997</v>
      </c>
      <c r="P41" s="59">
        <f t="shared" si="1"/>
        <v>1025.35006</v>
      </c>
      <c r="Q41" s="272">
        <f t="shared" si="2"/>
        <v>1127.8850660000001</v>
      </c>
      <c r="R41" s="40">
        <f>'Tariffs Jan2017'!AM35</f>
        <v>0</v>
      </c>
      <c r="S41" s="40">
        <f>'Tariffs Jan2017'!AN35</f>
        <v>0</v>
      </c>
      <c r="T41" s="40">
        <f>'Tariffs Jan2017'!AO35</f>
        <v>0</v>
      </c>
      <c r="U41" s="40">
        <f>'Tariffs Jan2017'!AP35</f>
        <v>15</v>
      </c>
      <c r="V41" s="273">
        <f t="shared" si="3"/>
        <v>1025.35006</v>
      </c>
      <c r="W41" s="273">
        <f>V41-(O41*U41/100)</f>
        <v>910.666426</v>
      </c>
      <c r="X41" s="272">
        <f t="shared" si="4"/>
        <v>1127.8850660000001</v>
      </c>
      <c r="Y41" s="272">
        <f t="shared" si="4"/>
        <v>1001.7330686000001</v>
      </c>
      <c r="Z41" s="274">
        <f>'Tariffs Jan2017'!AW35</f>
        <v>0</v>
      </c>
      <c r="AA41" s="274" t="str">
        <f>'Tariffs Jan2017'!AX35</f>
        <v>n</v>
      </c>
      <c r="AB41" s="275" t="str">
        <f>'Tariffs Jan2017'!BD35</f>
        <v>N</v>
      </c>
      <c r="AC41" s="305"/>
      <c r="AD41" s="305"/>
      <c r="AE41" s="305"/>
      <c r="AF41" s="305"/>
      <c r="AG41" s="305"/>
      <c r="AH41" s="305"/>
      <c r="AI41" s="305"/>
      <c r="AJ41" s="305"/>
      <c r="AK41" s="305"/>
      <c r="AL41" s="305"/>
      <c r="AM41" s="305"/>
      <c r="AN41" s="305"/>
    </row>
    <row r="42" spans="1:40" x14ac:dyDescent="0.15">
      <c r="A42" s="270" t="str">
        <f>'Tariffs Jan2017'!F36</f>
        <v>Alinta Energy</v>
      </c>
      <c r="B42" s="40" t="str">
        <f>'Tariffs Jan2017'!D36</f>
        <v>Envestra Central 2</v>
      </c>
      <c r="C42" s="40" t="str">
        <f>'Tariffs Jan2017'!G36</f>
        <v>Fair Deal</v>
      </c>
      <c r="D42" s="59">
        <f>365*'Tariffs Jan2017'!H36/100</f>
        <v>259.80700000000002</v>
      </c>
      <c r="E42" s="59">
        <f>IF($C$5*'Tariffs Jan2017'!AK36/'Tariffs Jan2017'!AI36&gt;='Tariffs Jan2017'!J36,( 'Tariffs Jan2017'!J36*'Tariffs Jan2017'!O36/100)* 'Tariffs Jan2017'!AI36,($C$5*'Tariffs Jan2017'!AK36/'Tariffs Jan2017'!AI36*'Tariffs Jan2017'!O36/100)* 'Tariffs Jan2017'!AI36)</f>
        <v>70.734999999999999</v>
      </c>
      <c r="F42" s="59">
        <f>IF($C$5*'Tariffs Jan2017'!AK36/'Tariffs Jan2017'!AI36&lt;'Tariffs Jan2017'!J36,0,IF($C$5*'Tariffs Jan2017'!AK36/'Tariffs Jan2017'!AI36&lt;='Tariffs Jan2017'!K36,($C$5*'Tariffs Jan2017'!AK36/'Tariffs Jan2017'!AI36-'Tariffs Jan2017'!J36)*('Tariffs Jan2017'!P36/100)*'Tariffs Jan2017'!AI36,('Tariffs Jan2017'!K36-'Tariffs Jan2017'!J36)*('Tariffs Jan2017'!P36/100)*'Tariffs Jan2017'!AI36))</f>
        <v>58.264999999999993</v>
      </c>
      <c r="G42" s="59">
        <f>IF($C$5*'Tariffs Jan2017'!AK36/'Tariffs Jan2017'!AI36&lt;'Tariffs Jan2017'!K36,0,IF($C$5*'Tariffs Jan2017'!AK36/'Tariffs Jan2017'!AI36&lt;='Tariffs Jan2017'!L36,($C$5*'Tariffs Jan2017'!AK36/'Tariffs Jan2017'!AI36-'Tariffs Jan2017'!K36)*('Tariffs Jan2017'!Q36/100)*'Tariffs Jan2017'!AI36,('Tariffs Jan2017'!L36-'Tariffs Jan2017'!K36)*('Tariffs Jan2017'!Q36/100)*'Tariffs Jan2017'!AI36))</f>
        <v>0</v>
      </c>
      <c r="H42" s="59">
        <f>IF($C$5*'Tariffs Jan2017'!AK36/'Tariffs Jan2017'!AI36&lt;'Tariffs Jan2017'!L36,0,IF($C$5*'Tariffs Jan2017'!AK36/'Tariffs Jan2017'!AI36&lt;='Tariffs Jan2017'!M36,($C$5*'Tariffs Jan2017'!AK36/'Tariffs Jan2017'!AI36-'Tariffs Jan2017'!L36)*('Tariffs Jan2017'!R36/100)*'Tariffs Jan2017'!AI36,('Tariffs Jan2017'!M36-'Tariffs Jan2017'!L36)*('Tariffs Jan2017'!R36/100)*'Tariffs Jan2017'!AI36))</f>
        <v>0</v>
      </c>
      <c r="I42" s="59">
        <f>IF(($C$5*'Tariffs Jan2017'!AK36/'Tariffs Jan2017'!AI36&gt;'Tariffs Jan2017'!M36),($C$5*'Tariffs Jan2017'!AK36/'Tariffs Jan2017'!AI36-'Tariffs Jan2017'!M36)*'Tariffs Jan2017'!S36/100*'Tariffs Jan2017'!AI36,0)</f>
        <v>124.64399999999999</v>
      </c>
      <c r="J42" s="59">
        <f>IF($C$5*'Tariffs Jan2017'!AL36/'Tariffs Jan2017'!AJ36&gt;='Tariffs Jan2017'!J36,('Tariffs Jan2017'!J36*'Tariffs Jan2017'!U36/100)* 'Tariffs Jan2017'!AJ36,($C$5*'Tariffs Jan2017'!AL36/'Tariffs Jan2017'!AJ36*'Tariffs Jan2017'!U36/100)* 'Tariffs Jan2017'!AJ36)</f>
        <v>141.47</v>
      </c>
      <c r="K42" s="59">
        <f>IF($C$5*'Tariffs Jan2017'!AL36/'Tariffs Jan2017'!AJ36&lt;'Tariffs Jan2017'!J36,0,IF($C$5*'Tariffs Jan2017'!AL36/'Tariffs Jan2017'!AJ36&lt;='Tariffs Jan2017'!K36,($C$5*'Tariffs Jan2017'!AL36/'Tariffs Jan2017'!AJ36-'Tariffs Jan2017'!J36)*('Tariffs Jan2017'!V36/100)*'Tariffs Jan2017'!AJ36,('Tariffs Jan2017'!K36-'Tariffs Jan2017'!J36)*('Tariffs Jan2017'!V36/100)*'Tariffs Jan2017'!AJ36))</f>
        <v>116.52999999999999</v>
      </c>
      <c r="L42" s="59">
        <f>IF($C$5*'Tariffs Jan2017'!AL36/'Tariffs Jan2017'!AJ36&lt;'Tariffs Jan2017'!K36,0,IF($C$5*'Tariffs Jan2017'!AL36/'Tariffs Jan2017'!AJ36&lt;='Tariffs Jan2017'!L36,($C$5*'Tariffs Jan2017'!AL36/'Tariffs Jan2017'!AJ36-'Tariffs Jan2017'!K36)*('Tariffs Jan2017'!W36/100)*'Tariffs Jan2017'!AJ36,('Tariffs Jan2017'!L36-'Tariffs Jan2017'!K36)*('Tariffs Jan2017'!W36/100)*'Tariffs Jan2017'!AJ36))</f>
        <v>0</v>
      </c>
      <c r="M42" s="59">
        <f>IF($C$5*'Tariffs Jan2017'!AL36/'Tariffs Jan2017'!AJ36&lt;'Tariffs Jan2017'!L36,0,IF($C$5*'Tariffs Jan2017'!AL36/'Tariffs Jan2017'!AJ36&lt;='Tariffs Jan2017'!M36,($C$5*'Tariffs Jan2017'!AL36/'Tariffs Jan2017'!AJ36-'Tariffs Jan2017'!L36)*('Tariffs Jan2017'!X36/100)*'Tariffs Jan2017'!AJ36,('Tariffs Jan2017'!M36-'Tariffs Jan2017'!L36)*('Tariffs Jan2017'!X36/100)*'Tariffs Jan2017'!AJ36))</f>
        <v>0</v>
      </c>
      <c r="N42" s="59">
        <f>IF(($C$5*'Tariffs Jan2017'!AL36/'Tariffs Jan2017'!AJ36&gt;'Tariffs Jan2017'!M36),($C$5*'Tariffs Jan2017'!AL36/'Tariffs Jan2017'!AJ36-'Tariffs Jan2017'!M36)*'Tariffs Jan2017'!Y36/100*'Tariffs Jan2017'!AJ36,0)</f>
        <v>249.28799999999998</v>
      </c>
      <c r="O42" s="271">
        <f t="shared" si="0"/>
        <v>760.93200000000002</v>
      </c>
      <c r="P42" s="59">
        <f t="shared" si="1"/>
        <v>1020.739</v>
      </c>
      <c r="Q42" s="272">
        <f t="shared" si="2"/>
        <v>1122.8129000000001</v>
      </c>
      <c r="R42" s="40">
        <f>'Tariffs Jan2017'!AM36</f>
        <v>0</v>
      </c>
      <c r="S42" s="40">
        <f>'Tariffs Jan2017'!AN36</f>
        <v>0</v>
      </c>
      <c r="T42" s="40">
        <f>'Tariffs Jan2017'!AO36</f>
        <v>0</v>
      </c>
      <c r="U42" s="40">
        <f>'Tariffs Jan2017'!AP36</f>
        <v>15</v>
      </c>
      <c r="V42" s="273">
        <f t="shared" si="3"/>
        <v>1020.739</v>
      </c>
      <c r="W42" s="273">
        <f>V42-(O42*U42/100)</f>
        <v>906.5992</v>
      </c>
      <c r="X42" s="272">
        <f t="shared" si="4"/>
        <v>1122.8129000000001</v>
      </c>
      <c r="Y42" s="272">
        <f t="shared" si="4"/>
        <v>997.25912000000005</v>
      </c>
      <c r="Z42" s="274">
        <f>'Tariffs Jan2017'!AW36</f>
        <v>0</v>
      </c>
      <c r="AA42" s="274" t="str">
        <f>'Tariffs Jan2017'!AX36</f>
        <v>n</v>
      </c>
      <c r="AB42" s="275" t="str">
        <f>'Tariffs Jan2017'!BD36</f>
        <v>Y</v>
      </c>
      <c r="AC42" s="305"/>
      <c r="AD42" s="305"/>
      <c r="AE42" s="305"/>
      <c r="AF42" s="305"/>
      <c r="AG42" s="305"/>
      <c r="AH42" s="305"/>
      <c r="AI42" s="305"/>
      <c r="AJ42" s="305"/>
      <c r="AK42" s="305"/>
      <c r="AL42" s="305"/>
      <c r="AM42" s="305"/>
      <c r="AN42" s="305"/>
    </row>
    <row r="43" spans="1:40" x14ac:dyDescent="0.15">
      <c r="A43" s="270" t="str">
        <f>'Tariffs Jan2017'!F37</f>
        <v>Click Energy</v>
      </c>
      <c r="B43" s="40" t="str">
        <f>'Tariffs Jan2017'!D37</f>
        <v>Envestra Central 2</v>
      </c>
      <c r="C43" s="40" t="str">
        <f>'Tariffs Jan2017'!G37</f>
        <v>Amber</v>
      </c>
      <c r="D43" s="59">
        <f>365*'Tariffs Jan2017'!H37/100</f>
        <v>266.45</v>
      </c>
      <c r="E43" s="59">
        <f>IF($C$5*'Tariffs Jan2017'!AK37/'Tariffs Jan2017'!AI37&gt;='Tariffs Jan2017'!J37,( 'Tariffs Jan2017'!J37*'Tariffs Jan2017'!O37/100)* 'Tariffs Jan2017'!AI37,($C$5*'Tariffs Jan2017'!AK37/'Tariffs Jan2017'!AI37*'Tariffs Jan2017'!O37/100)* 'Tariffs Jan2017'!AI37)</f>
        <v>88.83</v>
      </c>
      <c r="F43" s="59">
        <f>IF($C$5*'Tariffs Jan2017'!AK37/'Tariffs Jan2017'!AI37&lt;'Tariffs Jan2017'!J37,0,IF($C$5*'Tariffs Jan2017'!AK37/'Tariffs Jan2017'!AI37&lt;='Tariffs Jan2017'!K37,($C$5*'Tariffs Jan2017'!AK37/'Tariffs Jan2017'!AI37-'Tariffs Jan2017'!J37)*('Tariffs Jan2017'!P37/100)*'Tariffs Jan2017'!AI37,('Tariffs Jan2017'!K37-'Tariffs Jan2017'!J37)*('Tariffs Jan2017'!P37/100)*'Tariffs Jan2017'!AI37))</f>
        <v>59.620000000000005</v>
      </c>
      <c r="G43" s="59">
        <f>IF($C$5*'Tariffs Jan2017'!AK37/'Tariffs Jan2017'!AI37&lt;'Tariffs Jan2017'!K37,0,IF($C$5*'Tariffs Jan2017'!AK37/'Tariffs Jan2017'!AI37&lt;='Tariffs Jan2017'!L37,($C$5*'Tariffs Jan2017'!AK37/'Tariffs Jan2017'!AI37-'Tariffs Jan2017'!K37)*('Tariffs Jan2017'!Q37/100)*'Tariffs Jan2017'!AI37,('Tariffs Jan2017'!L37-'Tariffs Jan2017'!K37)*('Tariffs Jan2017'!Q37/100)*'Tariffs Jan2017'!AI37))</f>
        <v>0</v>
      </c>
      <c r="H43" s="59">
        <f>IF($C$5*'Tariffs Jan2017'!AK37/'Tariffs Jan2017'!AI37&lt;'Tariffs Jan2017'!L37,0,IF($C$5*'Tariffs Jan2017'!AK37/'Tariffs Jan2017'!AI37&lt;='Tariffs Jan2017'!M37,($C$5*'Tariffs Jan2017'!AK37/'Tariffs Jan2017'!AI37-'Tariffs Jan2017'!L37)*('Tariffs Jan2017'!R37/100)*'Tariffs Jan2017'!AI37,('Tariffs Jan2017'!M37-'Tariffs Jan2017'!L37)*('Tariffs Jan2017'!R37/100)*'Tariffs Jan2017'!AI37))</f>
        <v>0</v>
      </c>
      <c r="I43" s="59">
        <f>IF(($C$5*'Tariffs Jan2017'!AK37/'Tariffs Jan2017'!AI37&gt;'Tariffs Jan2017'!M37),($C$5*'Tariffs Jan2017'!AK37/'Tariffs Jan2017'!AI37-'Tariffs Jan2017'!M37)*'Tariffs Jan2017'!S37/100*'Tariffs Jan2017'!AI37,0)</f>
        <v>128.31</v>
      </c>
      <c r="J43" s="59">
        <f>IF($C$5*'Tariffs Jan2017'!AL37/'Tariffs Jan2017'!AJ37&gt;='Tariffs Jan2017'!J37,('Tariffs Jan2017'!J37*'Tariffs Jan2017'!U37/100)* 'Tariffs Jan2017'!AJ37,($C$5*'Tariffs Jan2017'!AL37/'Tariffs Jan2017'!AJ37*'Tariffs Jan2017'!U37/100)* 'Tariffs Jan2017'!AJ37)</f>
        <v>177.66</v>
      </c>
      <c r="K43" s="59">
        <f>IF($C$5*'Tariffs Jan2017'!AL37/'Tariffs Jan2017'!AJ37&lt;'Tariffs Jan2017'!J37,0,IF($C$5*'Tariffs Jan2017'!AL37/'Tariffs Jan2017'!AJ37&lt;='Tariffs Jan2017'!K37,($C$5*'Tariffs Jan2017'!AL37/'Tariffs Jan2017'!AJ37-'Tariffs Jan2017'!J37)*('Tariffs Jan2017'!V37/100)*'Tariffs Jan2017'!AJ37,('Tariffs Jan2017'!K37-'Tariffs Jan2017'!J37)*('Tariffs Jan2017'!V37/100)*'Tariffs Jan2017'!AJ37))</f>
        <v>119.24000000000001</v>
      </c>
      <c r="L43" s="59">
        <f>IF($C$5*'Tariffs Jan2017'!AL37/'Tariffs Jan2017'!AJ37&lt;'Tariffs Jan2017'!K37,0,IF($C$5*'Tariffs Jan2017'!AL37/'Tariffs Jan2017'!AJ37&lt;='Tariffs Jan2017'!L37,($C$5*'Tariffs Jan2017'!AL37/'Tariffs Jan2017'!AJ37-'Tariffs Jan2017'!K37)*('Tariffs Jan2017'!W37/100)*'Tariffs Jan2017'!AJ37,('Tariffs Jan2017'!L37-'Tariffs Jan2017'!K37)*('Tariffs Jan2017'!W37/100)*'Tariffs Jan2017'!AJ37))</f>
        <v>0</v>
      </c>
      <c r="M43" s="59">
        <f>IF($C$5*'Tariffs Jan2017'!AL37/'Tariffs Jan2017'!AJ37&lt;'Tariffs Jan2017'!L37,0,IF($C$5*'Tariffs Jan2017'!AL37/'Tariffs Jan2017'!AJ37&lt;='Tariffs Jan2017'!M37,($C$5*'Tariffs Jan2017'!AL37/'Tariffs Jan2017'!AJ37-'Tariffs Jan2017'!L37)*('Tariffs Jan2017'!X37/100)*'Tariffs Jan2017'!AJ37,('Tariffs Jan2017'!M37-'Tariffs Jan2017'!L37)*('Tariffs Jan2017'!X37/100)*'Tariffs Jan2017'!AJ37))</f>
        <v>0</v>
      </c>
      <c r="N43" s="59">
        <f>IF(($C$5*'Tariffs Jan2017'!AL37/'Tariffs Jan2017'!AJ37&gt;'Tariffs Jan2017'!M37),($C$5*'Tariffs Jan2017'!AL37/'Tariffs Jan2017'!AJ37-'Tariffs Jan2017'!M37)*'Tariffs Jan2017'!Y37/100*'Tariffs Jan2017'!AJ37,0)</f>
        <v>256.62</v>
      </c>
      <c r="O43" s="271">
        <f t="shared" si="0"/>
        <v>830.28</v>
      </c>
      <c r="P43" s="59">
        <f t="shared" si="1"/>
        <v>1096.73</v>
      </c>
      <c r="Q43" s="272">
        <f t="shared" si="2"/>
        <v>1206.403</v>
      </c>
      <c r="R43" s="40">
        <f>'Tariffs Jan2017'!AM37</f>
        <v>0</v>
      </c>
      <c r="S43" s="40">
        <f>'Tariffs Jan2017'!AN37</f>
        <v>0</v>
      </c>
      <c r="T43" s="40">
        <f>'Tariffs Jan2017'!AO37</f>
        <v>14</v>
      </c>
      <c r="U43" s="40">
        <f>'Tariffs Jan2017'!AP37</f>
        <v>0</v>
      </c>
      <c r="V43" s="273">
        <f t="shared" si="3"/>
        <v>1096.73</v>
      </c>
      <c r="W43" s="273">
        <f>V43-(P43*T43/100)</f>
        <v>943.18780000000004</v>
      </c>
      <c r="X43" s="272">
        <f t="shared" si="4"/>
        <v>1206.403</v>
      </c>
      <c r="Y43" s="272">
        <f t="shared" si="4"/>
        <v>1037.5065800000002</v>
      </c>
      <c r="Z43" s="274">
        <f>'Tariffs Jan2017'!AW37</f>
        <v>0</v>
      </c>
      <c r="AA43" s="274" t="str">
        <f>'Tariffs Jan2017'!AX37</f>
        <v>n</v>
      </c>
      <c r="AB43" s="275" t="str">
        <f>'Tariffs Jan2017'!BD37</f>
        <v>N</v>
      </c>
      <c r="AC43" s="305"/>
      <c r="AD43" s="305"/>
      <c r="AE43" s="305"/>
      <c r="AF43" s="305"/>
      <c r="AG43" s="305"/>
      <c r="AH43" s="305"/>
      <c r="AI43" s="305"/>
      <c r="AJ43" s="305"/>
      <c r="AK43" s="305"/>
      <c r="AL43" s="305"/>
      <c r="AM43" s="305"/>
      <c r="AN43" s="305"/>
    </row>
    <row r="44" spans="1:40" x14ac:dyDescent="0.15">
      <c r="A44" s="270" t="str">
        <f>'Tariffs Jan2017'!F38</f>
        <v>Covau</v>
      </c>
      <c r="B44" s="40" t="str">
        <f>'Tariffs Jan2017'!D38</f>
        <v>Envestra Central 2</v>
      </c>
      <c r="C44" s="40" t="str">
        <f>'Tariffs Jan2017'!G38</f>
        <v>Market offer</v>
      </c>
      <c r="D44" s="59">
        <f>365*'Tariffs Jan2017'!H38/100</f>
        <v>251.85</v>
      </c>
      <c r="E44" s="59">
        <f>IF($C$5*'Tariffs Jan2017'!AK38/'Tariffs Jan2017'!AI38&gt;='Tariffs Jan2017'!J38,( 'Tariffs Jan2017'!J38*'Tariffs Jan2017'!O38/100)* 'Tariffs Jan2017'!AI38,($C$5*'Tariffs Jan2017'!AK38/'Tariffs Jan2017'!AI38*'Tariffs Jan2017'!O38/100)* 'Tariffs Jan2017'!AI38)</f>
        <v>114.16300000000001</v>
      </c>
      <c r="F44" s="59">
        <f>IF($C$5*'Tariffs Jan2017'!AK38/'Tariffs Jan2017'!AI38&lt;'Tariffs Jan2017'!J38,0,IF($C$5*'Tariffs Jan2017'!AK38/'Tariffs Jan2017'!AI38&lt;='Tariffs Jan2017'!K38,($C$5*'Tariffs Jan2017'!AK38/'Tariffs Jan2017'!AI38-'Tariffs Jan2017'!J38)*('Tariffs Jan2017'!P38/100)*'Tariffs Jan2017'!AI38,('Tariffs Jan2017'!K38-'Tariffs Jan2017'!J38)*('Tariffs Jan2017'!P38/100)*'Tariffs Jan2017'!AI38))</f>
        <v>78.319000000000003</v>
      </c>
      <c r="G44" s="59">
        <f>IF($C$5*'Tariffs Jan2017'!AK38/'Tariffs Jan2017'!AI38&lt;'Tariffs Jan2017'!K38,0,IF($C$5*'Tariffs Jan2017'!AK38/'Tariffs Jan2017'!AI38&lt;='Tariffs Jan2017'!L38,($C$5*'Tariffs Jan2017'!AK38/'Tariffs Jan2017'!AI38-'Tariffs Jan2017'!K38)*('Tariffs Jan2017'!Q38/100)*'Tariffs Jan2017'!AI38,('Tariffs Jan2017'!L38-'Tariffs Jan2017'!K38)*('Tariffs Jan2017'!Q38/100)*'Tariffs Jan2017'!AI38))</f>
        <v>0</v>
      </c>
      <c r="H44" s="59">
        <f>IF($C$5*'Tariffs Jan2017'!AK38/'Tariffs Jan2017'!AI38&lt;'Tariffs Jan2017'!L38,0,IF($C$5*'Tariffs Jan2017'!AK38/'Tariffs Jan2017'!AI38&lt;='Tariffs Jan2017'!M38,($C$5*'Tariffs Jan2017'!AK38/'Tariffs Jan2017'!AI38-'Tariffs Jan2017'!L38)*('Tariffs Jan2017'!R38/100)*'Tariffs Jan2017'!AI38,('Tariffs Jan2017'!M38-'Tariffs Jan2017'!L38)*('Tariffs Jan2017'!R38/100)*'Tariffs Jan2017'!AI38))</f>
        <v>0</v>
      </c>
      <c r="I44" s="59">
        <f>IF(($C$5*'Tariffs Jan2017'!AK38/'Tariffs Jan2017'!AI38&gt;'Tariffs Jan2017'!M38),($C$5*'Tariffs Jan2017'!AK38/'Tariffs Jan2017'!AI38-'Tariffs Jan2017'!M38)*'Tariffs Jan2017'!S38/100*'Tariffs Jan2017'!AI38,0)</f>
        <v>167.1696</v>
      </c>
      <c r="J44" s="59">
        <f>IF($C$5*'Tariffs Jan2017'!AL38/'Tariffs Jan2017'!AJ38&gt;='Tariffs Jan2017'!J38,('Tariffs Jan2017'!J38*'Tariffs Jan2017'!U38/100)* 'Tariffs Jan2017'!AJ38,($C$5*'Tariffs Jan2017'!AL38/'Tariffs Jan2017'!AJ38*'Tariffs Jan2017'!U38/100)* 'Tariffs Jan2017'!AJ38)</f>
        <v>228.32600000000002</v>
      </c>
      <c r="K44" s="59">
        <f>IF($C$5*'Tariffs Jan2017'!AL38/'Tariffs Jan2017'!AJ38&lt;'Tariffs Jan2017'!J38,0,IF($C$5*'Tariffs Jan2017'!AL38/'Tariffs Jan2017'!AJ38&lt;='Tariffs Jan2017'!K38,($C$5*'Tariffs Jan2017'!AL38/'Tariffs Jan2017'!AJ38-'Tariffs Jan2017'!J38)*('Tariffs Jan2017'!V38/100)*'Tariffs Jan2017'!AJ38,('Tariffs Jan2017'!K38-'Tariffs Jan2017'!J38)*('Tariffs Jan2017'!V38/100)*'Tariffs Jan2017'!AJ38))</f>
        <v>156.63800000000001</v>
      </c>
      <c r="L44" s="59">
        <f>IF($C$5*'Tariffs Jan2017'!AL38/'Tariffs Jan2017'!AJ38&lt;'Tariffs Jan2017'!K38,0,IF($C$5*'Tariffs Jan2017'!AL38/'Tariffs Jan2017'!AJ38&lt;='Tariffs Jan2017'!L38,($C$5*'Tariffs Jan2017'!AL38/'Tariffs Jan2017'!AJ38-'Tariffs Jan2017'!K38)*('Tariffs Jan2017'!W38/100)*'Tariffs Jan2017'!AJ38,('Tariffs Jan2017'!L38-'Tariffs Jan2017'!K38)*('Tariffs Jan2017'!W38/100)*'Tariffs Jan2017'!AJ38))</f>
        <v>0</v>
      </c>
      <c r="M44" s="59">
        <f>IF($C$5*'Tariffs Jan2017'!AL38/'Tariffs Jan2017'!AJ38&lt;'Tariffs Jan2017'!L38,0,IF($C$5*'Tariffs Jan2017'!AL38/'Tariffs Jan2017'!AJ38&lt;='Tariffs Jan2017'!M38,($C$5*'Tariffs Jan2017'!AL38/'Tariffs Jan2017'!AJ38-'Tariffs Jan2017'!L38)*('Tariffs Jan2017'!X38/100)*'Tariffs Jan2017'!AJ38,('Tariffs Jan2017'!M38-'Tariffs Jan2017'!L38)*('Tariffs Jan2017'!X38/100)*'Tariffs Jan2017'!AJ38))</f>
        <v>0</v>
      </c>
      <c r="N44" s="59">
        <f>IF(($C$5*'Tariffs Jan2017'!AL38/'Tariffs Jan2017'!AJ38&gt;'Tariffs Jan2017'!M38),($C$5*'Tariffs Jan2017'!AL38/'Tariffs Jan2017'!AJ38-'Tariffs Jan2017'!M38)*'Tariffs Jan2017'!Y38/100*'Tariffs Jan2017'!AJ38,0)</f>
        <v>334.33920000000001</v>
      </c>
      <c r="O44" s="271">
        <f t="shared" si="0"/>
        <v>1078.9548</v>
      </c>
      <c r="P44" s="59">
        <f t="shared" si="1"/>
        <v>1330.8047999999999</v>
      </c>
      <c r="Q44" s="272">
        <f t="shared" si="2"/>
        <v>1463.88528</v>
      </c>
      <c r="R44" s="40">
        <f>'Tariffs Jan2017'!AM38</f>
        <v>0</v>
      </c>
      <c r="S44" s="40">
        <f>'Tariffs Jan2017'!AN38</f>
        <v>0</v>
      </c>
      <c r="T44" s="40">
        <f>'Tariffs Jan2017'!AO38</f>
        <v>0</v>
      </c>
      <c r="U44" s="40">
        <f>'Tariffs Jan2017'!AP38</f>
        <v>16</v>
      </c>
      <c r="V44" s="273">
        <f t="shared" si="3"/>
        <v>1330.8047999999999</v>
      </c>
      <c r="W44" s="273">
        <f>V44-(O44*U44/100)</f>
        <v>1158.1720319999999</v>
      </c>
      <c r="X44" s="272">
        <f t="shared" si="4"/>
        <v>1463.88528</v>
      </c>
      <c r="Y44" s="272">
        <f t="shared" si="4"/>
        <v>1273.9892351999999</v>
      </c>
      <c r="Z44" s="274">
        <f>'Tariffs Jan2017'!AW38</f>
        <v>12</v>
      </c>
      <c r="AA44" s="274" t="str">
        <f>'Tariffs Jan2017'!AX38</f>
        <v>y</v>
      </c>
      <c r="AB44" s="275" t="str">
        <f>'Tariffs Jan2017'!BD38</f>
        <v>Y</v>
      </c>
      <c r="AC44" s="305"/>
      <c r="AD44" s="305"/>
      <c r="AE44" s="305"/>
      <c r="AF44" s="305"/>
      <c r="AG44" s="305"/>
      <c r="AH44" s="305"/>
      <c r="AI44" s="305"/>
      <c r="AJ44" s="305"/>
      <c r="AK44" s="305"/>
      <c r="AL44" s="305"/>
      <c r="AM44" s="305"/>
      <c r="AN44" s="305"/>
    </row>
    <row r="45" spans="1:40" x14ac:dyDescent="0.15">
      <c r="A45" s="270" t="str">
        <f>'Tariffs Jan2017'!F39</f>
        <v>Dodo Power &amp; Gas</v>
      </c>
      <c r="B45" s="40" t="str">
        <f>'Tariffs Jan2017'!D39</f>
        <v>Envestra Central 2</v>
      </c>
      <c r="C45" s="40" t="str">
        <f>'Tariffs Jan2017'!G39</f>
        <v>Market offer</v>
      </c>
      <c r="D45" s="59">
        <f>365*'Tariffs Jan2017'!H39/100</f>
        <v>247.47</v>
      </c>
      <c r="E45" s="59">
        <f>IF($C$5*'Tariffs Jan2017'!AK39/'Tariffs Jan2017'!AI39&gt;='Tariffs Jan2017'!J39,( 'Tariffs Jan2017'!J39*'Tariffs Jan2017'!O39/100)* 'Tariffs Jan2017'!AI39,($C$5*'Tariffs Jan2017'!AK39/'Tariffs Jan2017'!AI39*'Tariffs Jan2017'!O39/100)* 'Tariffs Jan2017'!AI39)</f>
        <v>138.88</v>
      </c>
      <c r="F45" s="59">
        <f>IF($C$5*'Tariffs Jan2017'!AK39/'Tariffs Jan2017'!AI39&lt;'Tariffs Jan2017'!J39,0,IF($C$5*'Tariffs Jan2017'!AK39/'Tariffs Jan2017'!AI39&lt;='Tariffs Jan2017'!K39,($C$5*'Tariffs Jan2017'!AK39/'Tariffs Jan2017'!AI39-'Tariffs Jan2017'!J39)*('Tariffs Jan2017'!P39/100)*'Tariffs Jan2017'!AI39,('Tariffs Jan2017'!K39-'Tariffs Jan2017'!J39)*('Tariffs Jan2017'!P39/100)*'Tariffs Jan2017'!AI39))</f>
        <v>0</v>
      </c>
      <c r="G45" s="59">
        <f>IF($C$5*'Tariffs Jan2017'!AK39/'Tariffs Jan2017'!AI39&lt;'Tariffs Jan2017'!K39,0,IF($C$5*'Tariffs Jan2017'!AK39/'Tariffs Jan2017'!AI39&lt;='Tariffs Jan2017'!L39,($C$5*'Tariffs Jan2017'!AK39/'Tariffs Jan2017'!AI39-'Tariffs Jan2017'!K39)*('Tariffs Jan2017'!Q39/100)*'Tariffs Jan2017'!AI39,('Tariffs Jan2017'!L39-'Tariffs Jan2017'!K39)*('Tariffs Jan2017'!Q39/100)*'Tariffs Jan2017'!AI39))</f>
        <v>0</v>
      </c>
      <c r="H45" s="59">
        <f>IF($C$5*'Tariffs Jan2017'!AK39/'Tariffs Jan2017'!AI39&lt;'Tariffs Jan2017'!L39,0,IF($C$5*'Tariffs Jan2017'!AK39/'Tariffs Jan2017'!AI39&lt;='Tariffs Jan2017'!M39,($C$5*'Tariffs Jan2017'!AK39/'Tariffs Jan2017'!AI39-'Tariffs Jan2017'!L39)*('Tariffs Jan2017'!R39/100)*'Tariffs Jan2017'!AI39,('Tariffs Jan2017'!M39-'Tariffs Jan2017'!L39)*('Tariffs Jan2017'!R39/100)*'Tariffs Jan2017'!AI39))</f>
        <v>0</v>
      </c>
      <c r="I45" s="59">
        <f>IF(($C$5*'Tariffs Jan2017'!AK39/'Tariffs Jan2017'!AI39&gt;'Tariffs Jan2017'!M39),($C$5*'Tariffs Jan2017'!AK39/'Tariffs Jan2017'!AI39-'Tariffs Jan2017'!M39)*'Tariffs Jan2017'!S39/100*'Tariffs Jan2017'!AI39,0)</f>
        <v>119.23039999999999</v>
      </c>
      <c r="J45" s="59">
        <f>IF($C$5*'Tariffs Jan2017'!AL39/'Tariffs Jan2017'!AJ39&gt;='Tariffs Jan2017'!J39,('Tariffs Jan2017'!J39*'Tariffs Jan2017'!U39/100)* 'Tariffs Jan2017'!AJ39,($C$5*'Tariffs Jan2017'!AL39/'Tariffs Jan2017'!AJ39*'Tariffs Jan2017'!U39/100)* 'Tariffs Jan2017'!AJ39)</f>
        <v>277.76</v>
      </c>
      <c r="K45" s="59">
        <f>IF($C$5*'Tariffs Jan2017'!AL39/'Tariffs Jan2017'!AJ39&lt;'Tariffs Jan2017'!J39,0,IF($C$5*'Tariffs Jan2017'!AL39/'Tariffs Jan2017'!AJ39&lt;='Tariffs Jan2017'!K39,($C$5*'Tariffs Jan2017'!AL39/'Tariffs Jan2017'!AJ39-'Tariffs Jan2017'!J39)*('Tariffs Jan2017'!V39/100)*'Tariffs Jan2017'!AJ39,('Tariffs Jan2017'!K39-'Tariffs Jan2017'!J39)*('Tariffs Jan2017'!V39/100)*'Tariffs Jan2017'!AJ39))</f>
        <v>0</v>
      </c>
      <c r="L45" s="59">
        <f>IF($C$5*'Tariffs Jan2017'!AL39/'Tariffs Jan2017'!AJ39&lt;'Tariffs Jan2017'!K39,0,IF($C$5*'Tariffs Jan2017'!AL39/'Tariffs Jan2017'!AJ39&lt;='Tariffs Jan2017'!L39,($C$5*'Tariffs Jan2017'!AL39/'Tariffs Jan2017'!AJ39-'Tariffs Jan2017'!K39)*('Tariffs Jan2017'!W39/100)*'Tariffs Jan2017'!AJ39,('Tariffs Jan2017'!L39-'Tariffs Jan2017'!K39)*('Tariffs Jan2017'!W39/100)*'Tariffs Jan2017'!AJ39))</f>
        <v>0</v>
      </c>
      <c r="M45" s="59">
        <f>IF($C$5*'Tariffs Jan2017'!AL39/'Tariffs Jan2017'!AJ39&lt;'Tariffs Jan2017'!L39,0,IF($C$5*'Tariffs Jan2017'!AL39/'Tariffs Jan2017'!AJ39&lt;='Tariffs Jan2017'!M39,($C$5*'Tariffs Jan2017'!AL39/'Tariffs Jan2017'!AJ39-'Tariffs Jan2017'!L39)*('Tariffs Jan2017'!X39/100)*'Tariffs Jan2017'!AJ39,('Tariffs Jan2017'!M39-'Tariffs Jan2017'!L39)*('Tariffs Jan2017'!X39/100)*'Tariffs Jan2017'!AJ39))</f>
        <v>0</v>
      </c>
      <c r="N45" s="59">
        <f>IF(($C$5*'Tariffs Jan2017'!AL39/'Tariffs Jan2017'!AJ39&gt;'Tariffs Jan2017'!M39),($C$5*'Tariffs Jan2017'!AL39/'Tariffs Jan2017'!AJ39-'Tariffs Jan2017'!M39)*'Tariffs Jan2017'!Y39/100*'Tariffs Jan2017'!AJ39,0)</f>
        <v>238.46079999999998</v>
      </c>
      <c r="O45" s="271">
        <f t="shared" si="0"/>
        <v>774.33119999999997</v>
      </c>
      <c r="P45" s="59">
        <f t="shared" si="1"/>
        <v>1021.8012</v>
      </c>
      <c r="Q45" s="272">
        <f t="shared" si="2"/>
        <v>1123.9813200000001</v>
      </c>
      <c r="R45" s="40">
        <f>'Tariffs Jan2017'!AM39</f>
        <v>0</v>
      </c>
      <c r="S45" s="40">
        <f>'Tariffs Jan2017'!AN39</f>
        <v>0</v>
      </c>
      <c r="T45" s="40">
        <f>'Tariffs Jan2017'!AO39</f>
        <v>0</v>
      </c>
      <c r="U45" s="40">
        <f>'Tariffs Jan2017'!AP39</f>
        <v>0</v>
      </c>
      <c r="V45" s="273">
        <f t="shared" si="3"/>
        <v>1021.8012</v>
      </c>
      <c r="W45" s="273">
        <f>V45-(O45*U45/100)</f>
        <v>1021.8012</v>
      </c>
      <c r="X45" s="272">
        <f t="shared" si="4"/>
        <v>1123.9813200000001</v>
      </c>
      <c r="Y45" s="272">
        <f t="shared" si="4"/>
        <v>1123.9813200000001</v>
      </c>
      <c r="Z45" s="274">
        <f>'Tariffs Jan2017'!AW39</f>
        <v>0</v>
      </c>
      <c r="AA45" s="274" t="str">
        <f>'Tariffs Jan2017'!AX39</f>
        <v>n</v>
      </c>
      <c r="AB45" s="275" t="str">
        <f>'Tariffs Jan2017'!BD39</f>
        <v>Y</v>
      </c>
      <c r="AC45" s="305"/>
      <c r="AD45" s="305"/>
      <c r="AE45" s="305"/>
      <c r="AF45" s="305"/>
      <c r="AG45" s="305"/>
      <c r="AH45" s="305"/>
      <c r="AI45" s="305"/>
      <c r="AJ45" s="305"/>
      <c r="AK45" s="305"/>
      <c r="AL45" s="305"/>
      <c r="AM45" s="305"/>
      <c r="AN45" s="305"/>
    </row>
    <row r="46" spans="1:40" x14ac:dyDescent="0.15">
      <c r="A46" s="270" t="str">
        <f>'Tariffs Jan2017'!F40</f>
        <v>EnergyAustralia</v>
      </c>
      <c r="B46" s="40" t="str">
        <f>'Tariffs Jan2017'!D40</f>
        <v>Envestra Central 2</v>
      </c>
      <c r="C46" s="40" t="str">
        <f>'Tariffs Jan2017'!G40</f>
        <v xml:space="preserve">Flexi Saver </v>
      </c>
      <c r="D46" s="59">
        <f>365*'Tariffs Jan2017'!H40/100</f>
        <v>270.10000000000002</v>
      </c>
      <c r="E46" s="59">
        <f>IF($C$5*'Tariffs Jan2017'!AK40/'Tariffs Jan2017'!AI40&gt;='Tariffs Jan2017'!J40,( 'Tariffs Jan2017'!J40*'Tariffs Jan2017'!O40/100)* 'Tariffs Jan2017'!AI40,($C$5*'Tariffs Jan2017'!AK40/'Tariffs Jan2017'!AI40*'Tariffs Jan2017'!O40/100)* 'Tariffs Jan2017'!AI40)</f>
        <v>91.790999999999997</v>
      </c>
      <c r="F46" s="59">
        <f>IF($C$5*'Tariffs Jan2017'!AK40/'Tariffs Jan2017'!AI40&lt;'Tariffs Jan2017'!J40,0,IF($C$5*'Tariffs Jan2017'!AK40/'Tariffs Jan2017'!AI40&lt;='Tariffs Jan2017'!K40,($C$5*'Tariffs Jan2017'!AK40/'Tariffs Jan2017'!AI40-'Tariffs Jan2017'!J40)*('Tariffs Jan2017'!P40/100)*'Tariffs Jan2017'!AI40,('Tariffs Jan2017'!K40-'Tariffs Jan2017'!J40)*('Tariffs Jan2017'!P40/100)*'Tariffs Jan2017'!AI40))</f>
        <v>59.078000000000003</v>
      </c>
      <c r="G46" s="59">
        <f>IF($C$5*'Tariffs Jan2017'!AK40/'Tariffs Jan2017'!AI40&lt;'Tariffs Jan2017'!K40,0,IF($C$5*'Tariffs Jan2017'!AK40/'Tariffs Jan2017'!AI40&lt;='Tariffs Jan2017'!L40,($C$5*'Tariffs Jan2017'!AK40/'Tariffs Jan2017'!AI40-'Tariffs Jan2017'!K40)*('Tariffs Jan2017'!Q40/100)*'Tariffs Jan2017'!AI40,('Tariffs Jan2017'!L40-'Tariffs Jan2017'!K40)*('Tariffs Jan2017'!Q40/100)*'Tariffs Jan2017'!AI40))</f>
        <v>0</v>
      </c>
      <c r="H46" s="59">
        <f>IF($C$5*'Tariffs Jan2017'!AK40/'Tariffs Jan2017'!AI40&lt;'Tariffs Jan2017'!L40,0,IF($C$5*'Tariffs Jan2017'!AK40/'Tariffs Jan2017'!AI40&lt;='Tariffs Jan2017'!M40,($C$5*'Tariffs Jan2017'!AK40/'Tariffs Jan2017'!AI40-'Tariffs Jan2017'!L40)*('Tariffs Jan2017'!R40/100)*'Tariffs Jan2017'!AI40,('Tariffs Jan2017'!M40-'Tariffs Jan2017'!L40)*('Tariffs Jan2017'!R40/100)*'Tariffs Jan2017'!AI40))</f>
        <v>0</v>
      </c>
      <c r="I46" s="59">
        <f>IF(($C$5*'Tariffs Jan2017'!AK40/'Tariffs Jan2017'!AI40&gt;'Tariffs Jan2017'!M40),($C$5*'Tariffs Jan2017'!AK40/'Tariffs Jan2017'!AI40-'Tariffs Jan2017'!M40)*'Tariffs Jan2017'!S40/100*'Tariffs Jan2017'!AI40,0)</f>
        <v>118.04520000000001</v>
      </c>
      <c r="J46" s="59">
        <f>IF($C$5*'Tariffs Jan2017'!AL40/'Tariffs Jan2017'!AJ40&gt;='Tariffs Jan2017'!J40,('Tariffs Jan2017'!J40*'Tariffs Jan2017'!U40/100)* 'Tariffs Jan2017'!AJ40,($C$5*'Tariffs Jan2017'!AL40/'Tariffs Jan2017'!AJ40*'Tariffs Jan2017'!U40/100)* 'Tariffs Jan2017'!AJ40)</f>
        <v>183.58199999999999</v>
      </c>
      <c r="K46" s="59">
        <f>IF($C$5*'Tariffs Jan2017'!AL40/'Tariffs Jan2017'!AJ40&lt;'Tariffs Jan2017'!J40,0,IF($C$5*'Tariffs Jan2017'!AL40/'Tariffs Jan2017'!AJ40&lt;='Tariffs Jan2017'!K40,($C$5*'Tariffs Jan2017'!AL40/'Tariffs Jan2017'!AJ40-'Tariffs Jan2017'!J40)*('Tariffs Jan2017'!V40/100)*'Tariffs Jan2017'!AJ40,('Tariffs Jan2017'!K40-'Tariffs Jan2017'!J40)*('Tariffs Jan2017'!V40/100)*'Tariffs Jan2017'!AJ40))</f>
        <v>118.15600000000001</v>
      </c>
      <c r="L46" s="59">
        <f>IF($C$5*'Tariffs Jan2017'!AL40/'Tariffs Jan2017'!AJ40&lt;'Tariffs Jan2017'!K40,0,IF($C$5*'Tariffs Jan2017'!AL40/'Tariffs Jan2017'!AJ40&lt;='Tariffs Jan2017'!L40,($C$5*'Tariffs Jan2017'!AL40/'Tariffs Jan2017'!AJ40-'Tariffs Jan2017'!K40)*('Tariffs Jan2017'!W40/100)*'Tariffs Jan2017'!AJ40,('Tariffs Jan2017'!L40-'Tariffs Jan2017'!K40)*('Tariffs Jan2017'!W40/100)*'Tariffs Jan2017'!AJ40))</f>
        <v>0</v>
      </c>
      <c r="M46" s="59">
        <f>IF($C$5*'Tariffs Jan2017'!AL40/'Tariffs Jan2017'!AJ40&lt;'Tariffs Jan2017'!L40,0,IF($C$5*'Tariffs Jan2017'!AL40/'Tariffs Jan2017'!AJ40&lt;='Tariffs Jan2017'!M40,($C$5*'Tariffs Jan2017'!AL40/'Tariffs Jan2017'!AJ40-'Tariffs Jan2017'!L40)*('Tariffs Jan2017'!X40/100)*'Tariffs Jan2017'!AJ40,('Tariffs Jan2017'!M40-'Tariffs Jan2017'!L40)*('Tariffs Jan2017'!X40/100)*'Tariffs Jan2017'!AJ40))</f>
        <v>0</v>
      </c>
      <c r="N46" s="59">
        <f>IF(($C$5*'Tariffs Jan2017'!AL40/'Tariffs Jan2017'!AJ40&gt;'Tariffs Jan2017'!M40),($C$5*'Tariffs Jan2017'!AL40/'Tariffs Jan2017'!AJ40-'Tariffs Jan2017'!M40)*'Tariffs Jan2017'!Y40/100*'Tariffs Jan2017'!AJ40,0)</f>
        <v>236.09040000000002</v>
      </c>
      <c r="O46" s="271">
        <f t="shared" si="0"/>
        <v>806.74260000000004</v>
      </c>
      <c r="P46" s="59">
        <f t="shared" si="1"/>
        <v>1076.8425999999999</v>
      </c>
      <c r="Q46" s="272">
        <f t="shared" si="2"/>
        <v>1184.5268599999999</v>
      </c>
      <c r="R46" s="40">
        <f>'Tariffs Jan2017'!AM40</f>
        <v>0</v>
      </c>
      <c r="S46" s="40">
        <f>'Tariffs Jan2017'!AN40</f>
        <v>0</v>
      </c>
      <c r="T46" s="40">
        <f>'Tariffs Jan2017'!AO40</f>
        <v>0</v>
      </c>
      <c r="U46" s="40">
        <f>'Tariffs Jan2017'!AP40</f>
        <v>16</v>
      </c>
      <c r="V46" s="273">
        <f t="shared" si="3"/>
        <v>1076.8425999999999</v>
      </c>
      <c r="W46" s="273">
        <f>V46-(O46*U46/100)</f>
        <v>947.76378399999999</v>
      </c>
      <c r="X46" s="272">
        <f t="shared" si="4"/>
        <v>1184.5268599999999</v>
      </c>
      <c r="Y46" s="272">
        <f t="shared" si="4"/>
        <v>1042.5401624000001</v>
      </c>
      <c r="Z46" s="274">
        <f>'Tariffs Jan2017'!AW40</f>
        <v>0</v>
      </c>
      <c r="AA46" s="274" t="str">
        <f>'Tariffs Jan2017'!AX40</f>
        <v>n</v>
      </c>
      <c r="AB46" s="275" t="str">
        <f>'Tariffs Jan2017'!BD40</f>
        <v>N</v>
      </c>
      <c r="AC46" s="305"/>
      <c r="AD46" s="305"/>
      <c r="AE46" s="305"/>
      <c r="AF46" s="305"/>
      <c r="AG46" s="305"/>
      <c r="AH46" s="305"/>
      <c r="AI46" s="305"/>
      <c r="AJ46" s="305"/>
      <c r="AK46" s="305"/>
      <c r="AL46" s="305"/>
      <c r="AM46" s="305"/>
      <c r="AN46" s="305"/>
    </row>
    <row r="47" spans="1:40" x14ac:dyDescent="0.15">
      <c r="A47" s="270" t="str">
        <f>'Tariffs Jan2017'!F41</f>
        <v>Lumo Energy</v>
      </c>
      <c r="B47" s="40" t="str">
        <f>'Tariffs Jan2017'!D41</f>
        <v>Envestra Central 2</v>
      </c>
      <c r="C47" s="40" t="str">
        <f>'Tariffs Jan2017'!G41</f>
        <v>Advantage</v>
      </c>
      <c r="D47" s="59">
        <f>365*'Tariffs Jan2017'!H41/100</f>
        <v>240.24299999999999</v>
      </c>
      <c r="E47" s="59">
        <f>IF($C$5*'Tariffs Jan2017'!AK41/'Tariffs Jan2017'!AI41&gt;='Tariffs Jan2017'!J41,( 'Tariffs Jan2017'!J41*'Tariffs Jan2017'!O41/100)* 'Tariffs Jan2017'!AI41,($C$5*'Tariffs Jan2017'!AK41/'Tariffs Jan2017'!AI41*'Tariffs Jan2017'!O41/100)* 'Tariffs Jan2017'!AI41)</f>
        <v>89.2577</v>
      </c>
      <c r="F47" s="59">
        <f>IF($C$5*'Tariffs Jan2017'!AK41/'Tariffs Jan2017'!AI41&lt;'Tariffs Jan2017'!J41,0,IF($C$5*'Tariffs Jan2017'!AK41/'Tariffs Jan2017'!AI41&lt;='Tariffs Jan2017'!K41,($C$5*'Tariffs Jan2017'!AK41/'Tariffs Jan2017'!AI41-'Tariffs Jan2017'!J41)*('Tariffs Jan2017'!P41/100)*'Tariffs Jan2017'!AI41,('Tariffs Jan2017'!K41-'Tariffs Jan2017'!J41)*('Tariffs Jan2017'!P41/100)*'Tariffs Jan2017'!AI41))</f>
        <v>59.430300000000003</v>
      </c>
      <c r="G47" s="59">
        <f>IF($C$5*'Tariffs Jan2017'!AK41/'Tariffs Jan2017'!AI41&lt;'Tariffs Jan2017'!K41,0,IF($C$5*'Tariffs Jan2017'!AK41/'Tariffs Jan2017'!AI41&lt;='Tariffs Jan2017'!L41,($C$5*'Tariffs Jan2017'!AK41/'Tariffs Jan2017'!AI41-'Tariffs Jan2017'!K41)*('Tariffs Jan2017'!Q41/100)*'Tariffs Jan2017'!AI41,('Tariffs Jan2017'!L41-'Tariffs Jan2017'!K41)*('Tariffs Jan2017'!Q41/100)*'Tariffs Jan2017'!AI41))</f>
        <v>0</v>
      </c>
      <c r="H47" s="59">
        <f>IF($C$5*'Tariffs Jan2017'!AK41/'Tariffs Jan2017'!AI41&lt;'Tariffs Jan2017'!L41,0,IF($C$5*'Tariffs Jan2017'!AK41/'Tariffs Jan2017'!AI41&lt;='Tariffs Jan2017'!M41,($C$5*'Tariffs Jan2017'!AK41/'Tariffs Jan2017'!AI41-'Tariffs Jan2017'!L41)*('Tariffs Jan2017'!R41/100)*'Tariffs Jan2017'!AI41,('Tariffs Jan2017'!M41-'Tariffs Jan2017'!L41)*('Tariffs Jan2017'!R41/100)*'Tariffs Jan2017'!AI41))</f>
        <v>0</v>
      </c>
      <c r="I47" s="59">
        <f>IF(($C$5*'Tariffs Jan2017'!AK41/'Tariffs Jan2017'!AI41&gt;'Tariffs Jan2017'!M41),($C$5*'Tariffs Jan2017'!AK41/'Tariffs Jan2017'!AI41-'Tariffs Jan2017'!M41)*'Tariffs Jan2017'!S41/100*'Tariffs Jan2017'!AI41,0)</f>
        <v>130.65624</v>
      </c>
      <c r="J47" s="59">
        <f>IF($C$5*'Tariffs Jan2017'!AL41/'Tariffs Jan2017'!AJ41&gt;='Tariffs Jan2017'!J41,('Tariffs Jan2017'!J41*'Tariffs Jan2017'!U41/100)* 'Tariffs Jan2017'!AJ41,($C$5*'Tariffs Jan2017'!AL41/'Tariffs Jan2017'!AJ41*'Tariffs Jan2017'!U41/100)* 'Tariffs Jan2017'!AJ41)</f>
        <v>178.5154</v>
      </c>
      <c r="K47" s="59">
        <f>IF($C$5*'Tariffs Jan2017'!AL41/'Tariffs Jan2017'!AJ41&lt;'Tariffs Jan2017'!J41,0,IF($C$5*'Tariffs Jan2017'!AL41/'Tariffs Jan2017'!AJ41&lt;='Tariffs Jan2017'!K41,($C$5*'Tariffs Jan2017'!AL41/'Tariffs Jan2017'!AJ41-'Tariffs Jan2017'!J41)*('Tariffs Jan2017'!V41/100)*'Tariffs Jan2017'!AJ41,('Tariffs Jan2017'!K41-'Tariffs Jan2017'!J41)*('Tariffs Jan2017'!V41/100)*'Tariffs Jan2017'!AJ41))</f>
        <v>118.86060000000001</v>
      </c>
      <c r="L47" s="59">
        <f>IF($C$5*'Tariffs Jan2017'!AL41/'Tariffs Jan2017'!AJ41&lt;'Tariffs Jan2017'!K41,0,IF($C$5*'Tariffs Jan2017'!AL41/'Tariffs Jan2017'!AJ41&lt;='Tariffs Jan2017'!L41,($C$5*'Tariffs Jan2017'!AL41/'Tariffs Jan2017'!AJ41-'Tariffs Jan2017'!K41)*('Tariffs Jan2017'!W41/100)*'Tariffs Jan2017'!AJ41,('Tariffs Jan2017'!L41-'Tariffs Jan2017'!K41)*('Tariffs Jan2017'!W41/100)*'Tariffs Jan2017'!AJ41))</f>
        <v>0</v>
      </c>
      <c r="M47" s="59">
        <f>IF($C$5*'Tariffs Jan2017'!AL41/'Tariffs Jan2017'!AJ41&lt;'Tariffs Jan2017'!L41,0,IF($C$5*'Tariffs Jan2017'!AL41/'Tariffs Jan2017'!AJ41&lt;='Tariffs Jan2017'!M41,($C$5*'Tariffs Jan2017'!AL41/'Tariffs Jan2017'!AJ41-'Tariffs Jan2017'!L41)*('Tariffs Jan2017'!X41/100)*'Tariffs Jan2017'!AJ41,('Tariffs Jan2017'!M41-'Tariffs Jan2017'!L41)*('Tariffs Jan2017'!X41/100)*'Tariffs Jan2017'!AJ41))</f>
        <v>0</v>
      </c>
      <c r="N47" s="59">
        <f>IF(($C$5*'Tariffs Jan2017'!AL41/'Tariffs Jan2017'!AJ41&gt;'Tariffs Jan2017'!M41),($C$5*'Tariffs Jan2017'!AL41/'Tariffs Jan2017'!AJ41-'Tariffs Jan2017'!M41)*'Tariffs Jan2017'!Y41/100*'Tariffs Jan2017'!AJ41,0)</f>
        <v>261.31247999999999</v>
      </c>
      <c r="O47" s="271">
        <f t="shared" si="0"/>
        <v>838.03271999999993</v>
      </c>
      <c r="P47" s="59">
        <f t="shared" si="1"/>
        <v>1078.2757199999999</v>
      </c>
      <c r="Q47" s="272">
        <f t="shared" si="2"/>
        <v>1186.103292</v>
      </c>
      <c r="R47" s="40">
        <f>'Tariffs Jan2017'!AM41</f>
        <v>0</v>
      </c>
      <c r="S47" s="40">
        <f>'Tariffs Jan2017'!AN41</f>
        <v>0</v>
      </c>
      <c r="T47" s="40">
        <f>'Tariffs Jan2017'!AO41</f>
        <v>15</v>
      </c>
      <c r="U47" s="40">
        <f>'Tariffs Jan2017'!AP41</f>
        <v>0</v>
      </c>
      <c r="V47" s="273">
        <f t="shared" si="3"/>
        <v>1078.2757199999999</v>
      </c>
      <c r="W47" s="273">
        <f>V47-(P47*T47/100)</f>
        <v>916.53436199999987</v>
      </c>
      <c r="X47" s="272">
        <f t="shared" si="4"/>
        <v>1186.103292</v>
      </c>
      <c r="Y47" s="272">
        <f t="shared" si="4"/>
        <v>1008.1877982</v>
      </c>
      <c r="Z47" s="274">
        <f>'Tariffs Jan2017'!AW41</f>
        <v>24</v>
      </c>
      <c r="AA47" s="274" t="str">
        <f>'Tariffs Jan2017'!AX41</f>
        <v>n</v>
      </c>
      <c r="AB47" s="275" t="str">
        <f>'Tariffs Jan2017'!BD41</f>
        <v>Y</v>
      </c>
      <c r="AC47" s="305"/>
      <c r="AD47" s="305"/>
      <c r="AE47" s="305"/>
      <c r="AF47" s="305"/>
      <c r="AG47" s="305"/>
      <c r="AH47" s="305"/>
      <c r="AI47" s="305"/>
      <c r="AJ47" s="305"/>
      <c r="AK47" s="305"/>
      <c r="AL47" s="305"/>
      <c r="AM47" s="305"/>
      <c r="AN47" s="305"/>
    </row>
    <row r="48" spans="1:40" x14ac:dyDescent="0.15">
      <c r="A48" s="270" t="str">
        <f>'Tariffs Jan2017'!F42</f>
        <v>Momentum Energy</v>
      </c>
      <c r="B48" s="40" t="str">
        <f>'Tariffs Jan2017'!D42</f>
        <v>Envestra Central 2</v>
      </c>
      <c r="C48" s="40" t="str">
        <f>'Tariffs Jan2017'!G42</f>
        <v>Market offer</v>
      </c>
      <c r="D48" s="59">
        <f>365*'Tariffs Jan2017'!H42/100</f>
        <v>238.63699999999997</v>
      </c>
      <c r="E48" s="59">
        <f>IF($C$5*'Tariffs Jan2017'!AK42/'Tariffs Jan2017'!AI42&gt;='Tariffs Jan2017'!J42,( 'Tariffs Jan2017'!J42*'Tariffs Jan2017'!O42/100)* 'Tariffs Jan2017'!AI42,($C$5*'Tariffs Jan2017'!AK42/'Tariffs Jan2017'!AI42*'Tariffs Jan2017'!O42/100)* 'Tariffs Jan2017'!AI42)</f>
        <v>74.781700000000001</v>
      </c>
      <c r="F48" s="59">
        <f>IF($C$5*'Tariffs Jan2017'!AK42/'Tariffs Jan2017'!AI42&lt;'Tariffs Jan2017'!J42,0,IF($C$5*'Tariffs Jan2017'!AK42/'Tariffs Jan2017'!AI42&lt;='Tariffs Jan2017'!K42,($C$5*'Tariffs Jan2017'!AK42/'Tariffs Jan2017'!AI42-'Tariffs Jan2017'!J42)*('Tariffs Jan2017'!P42/100)*'Tariffs Jan2017'!AI42,('Tariffs Jan2017'!K42-'Tariffs Jan2017'!J42)*('Tariffs Jan2017'!P42/100)*'Tariffs Jan2017'!AI42))</f>
        <v>49.809800000000003</v>
      </c>
      <c r="G48" s="59">
        <f>IF($C$5*'Tariffs Jan2017'!AK42/'Tariffs Jan2017'!AI42&lt;'Tariffs Jan2017'!K42,0,IF($C$5*'Tariffs Jan2017'!AK42/'Tariffs Jan2017'!AI42&lt;='Tariffs Jan2017'!L42,($C$5*'Tariffs Jan2017'!AK42/'Tariffs Jan2017'!AI42-'Tariffs Jan2017'!K42)*('Tariffs Jan2017'!Q42/100)*'Tariffs Jan2017'!AI42,('Tariffs Jan2017'!L42-'Tariffs Jan2017'!K42)*('Tariffs Jan2017'!Q42/100)*'Tariffs Jan2017'!AI42))</f>
        <v>0</v>
      </c>
      <c r="H48" s="59">
        <f>IF($C$5*'Tariffs Jan2017'!AK42/'Tariffs Jan2017'!AI42&lt;'Tariffs Jan2017'!L42,0,IF($C$5*'Tariffs Jan2017'!AK42/'Tariffs Jan2017'!AI42&lt;='Tariffs Jan2017'!M42,($C$5*'Tariffs Jan2017'!AK42/'Tariffs Jan2017'!AI42-'Tariffs Jan2017'!L42)*('Tariffs Jan2017'!R42/100)*'Tariffs Jan2017'!AI42,('Tariffs Jan2017'!M42-'Tariffs Jan2017'!L42)*('Tariffs Jan2017'!R42/100)*'Tariffs Jan2017'!AI42))</f>
        <v>0</v>
      </c>
      <c r="I48" s="59">
        <f>IF(($C$5*'Tariffs Jan2017'!AK42/'Tariffs Jan2017'!AI42&gt;'Tariffs Jan2017'!M42),($C$5*'Tariffs Jan2017'!AK42/'Tariffs Jan2017'!AI42-'Tariffs Jan2017'!M42)*'Tariffs Jan2017'!S42/100*'Tariffs Jan2017'!AI42,0)</f>
        <v>111.88632</v>
      </c>
      <c r="J48" s="59">
        <f>IF($C$5*'Tariffs Jan2017'!AL42/'Tariffs Jan2017'!AJ42&gt;='Tariffs Jan2017'!J42,('Tariffs Jan2017'!J42*'Tariffs Jan2017'!U42/100)* 'Tariffs Jan2017'!AJ42,($C$5*'Tariffs Jan2017'!AL42/'Tariffs Jan2017'!AJ42*'Tariffs Jan2017'!U42/100)* 'Tariffs Jan2017'!AJ42)</f>
        <v>147.3262</v>
      </c>
      <c r="K48" s="59">
        <f>IF($C$5*'Tariffs Jan2017'!AL42/'Tariffs Jan2017'!AJ42&lt;'Tariffs Jan2017'!J42,0,IF($C$5*'Tariffs Jan2017'!AL42/'Tariffs Jan2017'!AJ42&lt;='Tariffs Jan2017'!K42,($C$5*'Tariffs Jan2017'!AL42/'Tariffs Jan2017'!AJ42-'Tariffs Jan2017'!J42)*('Tariffs Jan2017'!V42/100)*'Tariffs Jan2017'!AJ42,('Tariffs Jan2017'!K42-'Tariffs Jan2017'!J42)*('Tariffs Jan2017'!V42/100)*'Tariffs Jan2017'!AJ42))</f>
        <v>97.831000000000003</v>
      </c>
      <c r="L48" s="59">
        <f>IF($C$5*'Tariffs Jan2017'!AL42/'Tariffs Jan2017'!AJ42&lt;'Tariffs Jan2017'!K42,0,IF($C$5*'Tariffs Jan2017'!AL42/'Tariffs Jan2017'!AJ42&lt;='Tariffs Jan2017'!L42,($C$5*'Tariffs Jan2017'!AL42/'Tariffs Jan2017'!AJ42-'Tariffs Jan2017'!K42)*('Tariffs Jan2017'!W42/100)*'Tariffs Jan2017'!AJ42,('Tariffs Jan2017'!L42-'Tariffs Jan2017'!K42)*('Tariffs Jan2017'!W42/100)*'Tariffs Jan2017'!AJ42))</f>
        <v>0</v>
      </c>
      <c r="M48" s="59">
        <f>IF($C$5*'Tariffs Jan2017'!AL42/'Tariffs Jan2017'!AJ42&lt;'Tariffs Jan2017'!L42,0,IF($C$5*'Tariffs Jan2017'!AL42/'Tariffs Jan2017'!AJ42&lt;='Tariffs Jan2017'!M42,($C$5*'Tariffs Jan2017'!AL42/'Tariffs Jan2017'!AJ42-'Tariffs Jan2017'!L42)*('Tariffs Jan2017'!X42/100)*'Tariffs Jan2017'!AJ42,('Tariffs Jan2017'!M42-'Tariffs Jan2017'!L42)*('Tariffs Jan2017'!X42/100)*'Tariffs Jan2017'!AJ42))</f>
        <v>0</v>
      </c>
      <c r="N48" s="59">
        <f>IF(($C$5*'Tariffs Jan2017'!AL42/'Tariffs Jan2017'!AJ42&gt;'Tariffs Jan2017'!M42),($C$5*'Tariffs Jan2017'!AL42/'Tariffs Jan2017'!AJ42-'Tariffs Jan2017'!M42)*'Tariffs Jan2017'!Y42/100*'Tariffs Jan2017'!AJ42,0)</f>
        <v>218.78688</v>
      </c>
      <c r="O48" s="271">
        <f t="shared" si="0"/>
        <v>700.42190000000005</v>
      </c>
      <c r="P48" s="59">
        <f t="shared" si="1"/>
        <v>939.05889999999999</v>
      </c>
      <c r="Q48" s="272">
        <f t="shared" si="2"/>
        <v>1032.96479</v>
      </c>
      <c r="R48" s="40">
        <f>'Tariffs Jan2017'!AM42</f>
        <v>0</v>
      </c>
      <c r="S48" s="40">
        <f>'Tariffs Jan2017'!AN42</f>
        <v>0</v>
      </c>
      <c r="T48" s="40">
        <f>'Tariffs Jan2017'!AO42</f>
        <v>0</v>
      </c>
      <c r="U48" s="40">
        <f>'Tariffs Jan2017'!AP42</f>
        <v>0</v>
      </c>
      <c r="V48" s="273">
        <f t="shared" si="3"/>
        <v>939.05889999999999</v>
      </c>
      <c r="W48" s="273">
        <f>V48</f>
        <v>939.05889999999999</v>
      </c>
      <c r="X48" s="272">
        <f t="shared" si="4"/>
        <v>1032.96479</v>
      </c>
      <c r="Y48" s="272">
        <f t="shared" si="4"/>
        <v>1032.96479</v>
      </c>
      <c r="Z48" s="274">
        <f>'Tariffs Jan2017'!AW42</f>
        <v>0</v>
      </c>
      <c r="AA48" s="274" t="str">
        <f>'Tariffs Jan2017'!AX42</f>
        <v>n</v>
      </c>
      <c r="AB48" s="275" t="str">
        <f>'Tariffs Jan2017'!BD42</f>
        <v>Y</v>
      </c>
      <c r="AC48" s="305"/>
      <c r="AD48" s="305"/>
      <c r="AE48" s="305"/>
      <c r="AF48" s="305"/>
      <c r="AG48" s="305"/>
      <c r="AH48" s="305"/>
      <c r="AI48" s="305"/>
      <c r="AJ48" s="305"/>
      <c r="AK48" s="305"/>
      <c r="AL48" s="305"/>
      <c r="AM48" s="305"/>
      <c r="AN48" s="305"/>
    </row>
    <row r="49" spans="1:40" x14ac:dyDescent="0.15">
      <c r="A49" s="270" t="str">
        <f>'Tariffs Jan2017'!F43</f>
        <v>Origin Energy</v>
      </c>
      <c r="B49" s="40" t="str">
        <f>'Tariffs Jan2017'!D43</f>
        <v>Envestra Central 2</v>
      </c>
      <c r="C49" s="40" t="str">
        <f>'Tariffs Jan2017'!G43</f>
        <v>Saver</v>
      </c>
      <c r="D49" s="59">
        <f>365*'Tariffs Jan2017'!H43/100</f>
        <v>251.52149999999997</v>
      </c>
      <c r="E49" s="59">
        <f>IF($C$5*'Tariffs Jan2017'!AK43/'Tariffs Jan2017'!AI43&gt;='Tariffs Jan2017'!J43,( 'Tariffs Jan2017'!J43*'Tariffs Jan2017'!O43/100)* 'Tariffs Jan2017'!AI43,($C$5*'Tariffs Jan2017'!AK43/'Tariffs Jan2017'!AI43*'Tariffs Jan2017'!O43/100)* 'Tariffs Jan2017'!AI43)</f>
        <v>171.44</v>
      </c>
      <c r="F49" s="59">
        <f>IF($C$5*'Tariffs Jan2017'!AK43/'Tariffs Jan2017'!AI43&lt;'Tariffs Jan2017'!J43,0,IF($C$5*'Tariffs Jan2017'!AK43/'Tariffs Jan2017'!AI43&lt;='Tariffs Jan2017'!K43,($C$5*'Tariffs Jan2017'!AK43/'Tariffs Jan2017'!AI43-'Tariffs Jan2017'!J43)*('Tariffs Jan2017'!P43/100)*'Tariffs Jan2017'!AI43,('Tariffs Jan2017'!K43-'Tariffs Jan2017'!J43)*('Tariffs Jan2017'!P43/100)*'Tariffs Jan2017'!AI43))</f>
        <v>102.85428</v>
      </c>
      <c r="G49" s="59">
        <f>IF($C$5*'Tariffs Jan2017'!AK43/'Tariffs Jan2017'!AI43&lt;'Tariffs Jan2017'!K43,0,IF($C$5*'Tariffs Jan2017'!AK43/'Tariffs Jan2017'!AI43&lt;='Tariffs Jan2017'!L43,($C$5*'Tariffs Jan2017'!AK43/'Tariffs Jan2017'!AI43-'Tariffs Jan2017'!K43)*('Tariffs Jan2017'!Q43/100)*'Tariffs Jan2017'!AI43,('Tariffs Jan2017'!L43-'Tariffs Jan2017'!K43)*('Tariffs Jan2017'!Q43/100)*'Tariffs Jan2017'!AI43))</f>
        <v>0</v>
      </c>
      <c r="H49" s="59">
        <f>IF($C$5*'Tariffs Jan2017'!AK43/'Tariffs Jan2017'!AI43&lt;'Tariffs Jan2017'!L43,0,IF($C$5*'Tariffs Jan2017'!AK43/'Tariffs Jan2017'!AI43&lt;='Tariffs Jan2017'!M43,($C$5*'Tariffs Jan2017'!AK43/'Tariffs Jan2017'!AI43-'Tariffs Jan2017'!L43)*('Tariffs Jan2017'!R43/100)*'Tariffs Jan2017'!AI43,('Tariffs Jan2017'!M43-'Tariffs Jan2017'!L43)*('Tariffs Jan2017'!R43/100)*'Tariffs Jan2017'!AI43))</f>
        <v>0</v>
      </c>
      <c r="I49" s="59">
        <f>IF(($C$5*'Tariffs Jan2017'!AK43/'Tariffs Jan2017'!AI43&gt;'Tariffs Jan2017'!M43),($C$5*'Tariffs Jan2017'!AK43/'Tariffs Jan2017'!AI43-'Tariffs Jan2017'!M43)*'Tariffs Jan2017'!S43/100*'Tariffs Jan2017'!AI43,0)</f>
        <v>0</v>
      </c>
      <c r="J49" s="59">
        <f>IF($C$5*'Tariffs Jan2017'!AL43/'Tariffs Jan2017'!AJ43&gt;='Tariffs Jan2017'!J43,('Tariffs Jan2017'!J43*'Tariffs Jan2017'!U43/100)* 'Tariffs Jan2017'!AJ43,($C$5*'Tariffs Jan2017'!AL43/'Tariffs Jan2017'!AJ43*'Tariffs Jan2017'!U43/100)* 'Tariffs Jan2017'!AJ43)</f>
        <v>342.88</v>
      </c>
      <c r="K49" s="59">
        <f>IF($C$5*'Tariffs Jan2017'!AL43/'Tariffs Jan2017'!AJ43&lt;'Tariffs Jan2017'!J43,0,IF($C$5*'Tariffs Jan2017'!AL43/'Tariffs Jan2017'!AJ43&lt;='Tariffs Jan2017'!K43,($C$5*'Tariffs Jan2017'!AL43/'Tariffs Jan2017'!AJ43-'Tariffs Jan2017'!J43)*('Tariffs Jan2017'!V43/100)*'Tariffs Jan2017'!AJ43,('Tariffs Jan2017'!K43-'Tariffs Jan2017'!J43)*('Tariffs Jan2017'!V43/100)*'Tariffs Jan2017'!AJ43))</f>
        <v>205.70856000000001</v>
      </c>
      <c r="L49" s="59">
        <f>IF($C$5*'Tariffs Jan2017'!AL43/'Tariffs Jan2017'!AJ43&lt;'Tariffs Jan2017'!K43,0,IF($C$5*'Tariffs Jan2017'!AL43/'Tariffs Jan2017'!AJ43&lt;='Tariffs Jan2017'!L43,($C$5*'Tariffs Jan2017'!AL43/'Tariffs Jan2017'!AJ43-'Tariffs Jan2017'!K43)*('Tariffs Jan2017'!W43/100)*'Tariffs Jan2017'!AJ43,('Tariffs Jan2017'!L43-'Tariffs Jan2017'!K43)*('Tariffs Jan2017'!W43/100)*'Tariffs Jan2017'!AJ43))</f>
        <v>0</v>
      </c>
      <c r="M49" s="59">
        <f>IF($C$5*'Tariffs Jan2017'!AL43/'Tariffs Jan2017'!AJ43&lt;'Tariffs Jan2017'!L43,0,IF($C$5*'Tariffs Jan2017'!AL43/'Tariffs Jan2017'!AJ43&lt;='Tariffs Jan2017'!M43,($C$5*'Tariffs Jan2017'!AL43/'Tariffs Jan2017'!AJ43-'Tariffs Jan2017'!L43)*('Tariffs Jan2017'!X43/100)*'Tariffs Jan2017'!AJ43,('Tariffs Jan2017'!M43-'Tariffs Jan2017'!L43)*('Tariffs Jan2017'!X43/100)*'Tariffs Jan2017'!AJ43))</f>
        <v>0</v>
      </c>
      <c r="N49" s="59">
        <f>IF(($C$5*'Tariffs Jan2017'!AL43/'Tariffs Jan2017'!AJ43&gt;'Tariffs Jan2017'!M43),($C$5*'Tariffs Jan2017'!AL43/'Tariffs Jan2017'!AJ43-'Tariffs Jan2017'!M43)*'Tariffs Jan2017'!Y43/100*'Tariffs Jan2017'!AJ43,0)</f>
        <v>0</v>
      </c>
      <c r="O49" s="271">
        <f t="shared" si="0"/>
        <v>822.88283999999999</v>
      </c>
      <c r="P49" s="59">
        <f t="shared" si="1"/>
        <v>1074.40434</v>
      </c>
      <c r="Q49" s="272">
        <f t="shared" si="2"/>
        <v>1181.8447740000001</v>
      </c>
      <c r="R49" s="40">
        <f>'Tariffs Jan2017'!AM43</f>
        <v>0</v>
      </c>
      <c r="S49" s="40">
        <f>'Tariffs Jan2017'!AN43</f>
        <v>0</v>
      </c>
      <c r="T49" s="40">
        <f>'Tariffs Jan2017'!AO43</f>
        <v>0</v>
      </c>
      <c r="U49" s="40">
        <f>'Tariffs Jan2017'!AP43</f>
        <v>13</v>
      </c>
      <c r="V49" s="273">
        <f t="shared" si="3"/>
        <v>1074.40434</v>
      </c>
      <c r="W49" s="273">
        <f>V49-(O49*U49/100)</f>
        <v>967.42957080000008</v>
      </c>
      <c r="X49" s="272">
        <f t="shared" si="4"/>
        <v>1181.8447740000001</v>
      </c>
      <c r="Y49" s="272">
        <f t="shared" si="4"/>
        <v>1064.1725278800002</v>
      </c>
      <c r="Z49" s="274">
        <f>'Tariffs Jan2017'!AW43</f>
        <v>0</v>
      </c>
      <c r="AA49" s="274" t="str">
        <f>'Tariffs Jan2017'!AX43</f>
        <v>n</v>
      </c>
      <c r="AB49" s="275" t="str">
        <f>'Tariffs Jan2017'!BD43</f>
        <v>N</v>
      </c>
      <c r="AC49" s="305"/>
      <c r="AD49" s="305"/>
      <c r="AE49" s="305"/>
      <c r="AF49" s="305"/>
      <c r="AG49" s="305"/>
      <c r="AH49" s="305"/>
      <c r="AI49" s="305"/>
      <c r="AJ49" s="305"/>
      <c r="AK49" s="305"/>
      <c r="AL49" s="305"/>
      <c r="AM49" s="305"/>
      <c r="AN49" s="305"/>
    </row>
    <row r="50" spans="1:40" x14ac:dyDescent="0.15">
      <c r="A50" s="270" t="str">
        <f>'Tariffs Jan2017'!F44</f>
        <v>Red Energy</v>
      </c>
      <c r="B50" s="40" t="str">
        <f>'Tariffs Jan2017'!D44</f>
        <v>Envestra Central 2</v>
      </c>
      <c r="C50" s="40" t="str">
        <f>'Tariffs Jan2017'!G44</f>
        <v>Living Energy Saver</v>
      </c>
      <c r="D50" s="59">
        <f>365*'Tariffs Jan2017'!H44/100</f>
        <v>259.14999999999998</v>
      </c>
      <c r="E50" s="59">
        <f>IF($C$5*'Tariffs Jan2017'!AK44/'Tariffs Jan2017'!AI44&gt;='Tariffs Jan2017'!J44,( 'Tariffs Jan2017'!J44*'Tariffs Jan2017'!O44/100)* 'Tariffs Jan2017'!AI44,($C$5*'Tariffs Jan2017'!AK44/'Tariffs Jan2017'!AI44*'Tariffs Jan2017'!O44/100)* 'Tariffs Jan2017'!AI44)</f>
        <v>130.73999999999998</v>
      </c>
      <c r="F50" s="59">
        <f>IF($C$5*'Tariffs Jan2017'!AK44/'Tariffs Jan2017'!AI44&lt;'Tariffs Jan2017'!J44,0,IF($C$5*'Tariffs Jan2017'!AK44/'Tariffs Jan2017'!AI44&lt;='Tariffs Jan2017'!K44,($C$5*'Tariffs Jan2017'!AK44/'Tariffs Jan2017'!AI44-'Tariffs Jan2017'!J44)*('Tariffs Jan2017'!S44/100)*'Tariffs Jan2017'!AI44,('Tariffs Jan2017'!K44-'Tariffs Jan2017'!J44)*('Tariffs Jan2017'!S44/100)*'Tariffs Jan2017'!AI44))</f>
        <v>0</v>
      </c>
      <c r="G50" s="59">
        <f>IF($C$5*'Tariffs Jan2017'!AK44/'Tariffs Jan2017'!AI44&lt;'Tariffs Jan2017'!K44,0,IF($C$5*'Tariffs Jan2017'!AK44/'Tariffs Jan2017'!AI44&lt;='Tariffs Jan2017'!L44,($C$5*'Tariffs Jan2017'!AK44/'Tariffs Jan2017'!AI44-'Tariffs Jan2017'!K44)*('Tariffs Jan2017'!Q44/100)*'Tariffs Jan2017'!AI44,('Tariffs Jan2017'!L44-'Tariffs Jan2017'!K44)*('Tariffs Jan2017'!Q44/100)*'Tariffs Jan2017'!AI44))</f>
        <v>0</v>
      </c>
      <c r="H50" s="59">
        <f>IF($C$5*'Tariffs Jan2017'!AK44/'Tariffs Jan2017'!AI44&lt;'Tariffs Jan2017'!L44,0,IF($C$5*'Tariffs Jan2017'!AK44/'Tariffs Jan2017'!AI44&lt;='Tariffs Jan2017'!M44,($C$5*'Tariffs Jan2017'!AK44/'Tariffs Jan2017'!AI44-'Tariffs Jan2017'!L44)*('Tariffs Jan2017'!R44/100)*'Tariffs Jan2017'!AI44,('Tariffs Jan2017'!M44-'Tariffs Jan2017'!L44)*('Tariffs Jan2017'!R44/100)*'Tariffs Jan2017'!AI44))</f>
        <v>0</v>
      </c>
      <c r="I50" s="59">
        <f>IF(($C$5*'Tariffs Jan2017'!AK44/'Tariffs Jan2017'!AI44&gt;'Tariffs Jan2017'!M44),($C$5*'Tariffs Jan2017'!AK44/'Tariffs Jan2017'!AI44-'Tariffs Jan2017'!M44)*'Tariffs Jan2017'!S44/100*'Tariffs Jan2017'!AI44,0)</f>
        <v>115.77227999999999</v>
      </c>
      <c r="J50" s="59">
        <f>IF($C$5*'Tariffs Jan2017'!AL44/'Tariffs Jan2017'!AJ44&gt;='Tariffs Jan2017'!J44,('Tariffs Jan2017'!J44*'Tariffs Jan2017'!U44/100)* 'Tariffs Jan2017'!AJ44,($C$5*'Tariffs Jan2017'!AL44/'Tariffs Jan2017'!AJ44*'Tariffs Jan2017'!U44/100)* 'Tariffs Jan2017'!AJ44)</f>
        <v>261.47999999999996</v>
      </c>
      <c r="K50" s="59">
        <f>IF($C$5*'Tariffs Jan2017'!AL44/'Tariffs Jan2017'!AJ44&lt;'Tariffs Jan2017'!J44,0,IF($C$5*'Tariffs Jan2017'!AL44/'Tariffs Jan2017'!AJ44&lt;='Tariffs Jan2017'!K44,($C$5*'Tariffs Jan2017'!AL44/'Tariffs Jan2017'!AJ44-'Tariffs Jan2017'!J44)*('Tariffs Jan2017'!V44/100)*'Tariffs Jan2017'!AJ44,('Tariffs Jan2017'!K44-'Tariffs Jan2017'!J44)*('Tariffs Jan2017'!V44/100)*'Tariffs Jan2017'!AJ44))</f>
        <v>0</v>
      </c>
      <c r="L50" s="59">
        <f>IF($C$5*'Tariffs Jan2017'!AL44/'Tariffs Jan2017'!AJ44&lt;'Tariffs Jan2017'!K44,0,IF($C$5*'Tariffs Jan2017'!AL44/'Tariffs Jan2017'!AJ44&lt;='Tariffs Jan2017'!L44,($C$5*'Tariffs Jan2017'!AL44/'Tariffs Jan2017'!AJ44-'Tariffs Jan2017'!K44)*('Tariffs Jan2017'!W44/100)*'Tariffs Jan2017'!AJ44,('Tariffs Jan2017'!L44-'Tariffs Jan2017'!K44)*('Tariffs Jan2017'!W44/100)*'Tariffs Jan2017'!AJ44))</f>
        <v>0</v>
      </c>
      <c r="M50" s="59">
        <f>IF($C$5*'Tariffs Jan2017'!AL44/'Tariffs Jan2017'!AJ44&lt;'Tariffs Jan2017'!L44,0,IF($C$5*'Tariffs Jan2017'!AL44/'Tariffs Jan2017'!AJ44&lt;='Tariffs Jan2017'!M44,($C$5*'Tariffs Jan2017'!AL44/'Tariffs Jan2017'!AJ44-'Tariffs Jan2017'!L44)*('Tariffs Jan2017'!X44/100)*'Tariffs Jan2017'!AJ44,('Tariffs Jan2017'!M44-'Tariffs Jan2017'!L44)*('Tariffs Jan2017'!X44/100)*'Tariffs Jan2017'!AJ44))</f>
        <v>0</v>
      </c>
      <c r="N50" s="59">
        <f>IF(($C$5*'Tariffs Jan2017'!AL44/'Tariffs Jan2017'!AJ44&gt;'Tariffs Jan2017'!M44),($C$5*'Tariffs Jan2017'!AL44/'Tariffs Jan2017'!AJ44-'Tariffs Jan2017'!M44)*'Tariffs Jan2017'!Y44/100*'Tariffs Jan2017'!AJ44,0)</f>
        <v>231.54455999999999</v>
      </c>
      <c r="O50" s="271">
        <f t="shared" si="0"/>
        <v>739.53683999999998</v>
      </c>
      <c r="P50" s="59">
        <f t="shared" si="1"/>
        <v>998.68683999999996</v>
      </c>
      <c r="Q50" s="272">
        <f t="shared" si="2"/>
        <v>1098.5555240000001</v>
      </c>
      <c r="R50" s="40">
        <f>'Tariffs Jan2017'!AM44</f>
        <v>0</v>
      </c>
      <c r="S50" s="40">
        <f>'Tariffs Jan2017'!AN44</f>
        <v>0</v>
      </c>
      <c r="T50" s="40">
        <f>'Tariffs Jan2017'!AO44</f>
        <v>10</v>
      </c>
      <c r="U50" s="40">
        <f>'Tariffs Jan2017'!AP44</f>
        <v>0</v>
      </c>
      <c r="V50" s="273">
        <f t="shared" si="3"/>
        <v>998.68683999999996</v>
      </c>
      <c r="W50" s="273">
        <f>V50-(P50*T50/100)</f>
        <v>898.81815599999993</v>
      </c>
      <c r="X50" s="272">
        <f t="shared" si="4"/>
        <v>1098.5555240000001</v>
      </c>
      <c r="Y50" s="272">
        <f t="shared" si="4"/>
        <v>988.69997160000003</v>
      </c>
      <c r="Z50" s="274">
        <f>'Tariffs Jan2017'!AW44</f>
        <v>0</v>
      </c>
      <c r="AA50" s="274" t="str">
        <f>'Tariffs Jan2017'!AX44</f>
        <v>n</v>
      </c>
      <c r="AB50" s="275" t="str">
        <f>'Tariffs Jan2017'!BD44</f>
        <v>Y</v>
      </c>
      <c r="AC50" s="305"/>
      <c r="AD50" s="305"/>
      <c r="AE50" s="305"/>
      <c r="AF50" s="305"/>
      <c r="AG50" s="305"/>
      <c r="AH50" s="305"/>
      <c r="AI50" s="305"/>
      <c r="AJ50" s="305"/>
      <c r="AK50" s="305"/>
      <c r="AL50" s="305"/>
      <c r="AM50" s="305"/>
      <c r="AN50" s="305"/>
    </row>
    <row r="51" spans="1:40" ht="14" thickBot="1" x14ac:dyDescent="0.2">
      <c r="A51" s="276" t="str">
        <f>'Tariffs Jan2017'!F45</f>
        <v>Simply Energy</v>
      </c>
      <c r="B51" s="277" t="str">
        <f>'Tariffs Jan2017'!D45</f>
        <v>Envestra Central 2</v>
      </c>
      <c r="C51" s="277" t="str">
        <f>'Tariffs Jan2017'!G45</f>
        <v>Plus</v>
      </c>
      <c r="D51" s="278">
        <f>365*'Tariffs Jan2017'!H45/100</f>
        <v>263.09199999999998</v>
      </c>
      <c r="E51" s="278">
        <f>IF($C$5*'Tariffs Jan2017'!AK45/'Tariffs Jan2017'!AI45&gt;='Tariffs Jan2017'!J45,( 'Tariffs Jan2017'!J45*'Tariffs Jan2017'!O45/100)* 'Tariffs Jan2017'!AI45,($C$5*'Tariffs Jan2017'!AK45/'Tariffs Jan2017'!AI45*'Tariffs Jan2017'!O45/100)* 'Tariffs Jan2017'!AI45)</f>
        <v>76.98599999999999</v>
      </c>
      <c r="F51" s="278">
        <f>IF($C$5*'Tariffs Jan2017'!AK45/'Tariffs Jan2017'!AI45&lt;'Tariffs Jan2017'!J45,0,IF($C$5*'Tariffs Jan2017'!AK45/'Tariffs Jan2017'!AI45&lt;='Tariffs Jan2017'!K45,($C$5*'Tariffs Jan2017'!AK45/'Tariffs Jan2017'!AI45-'Tariffs Jan2017'!J45)*('Tariffs Jan2017'!P45/100)*'Tariffs Jan2017'!AI45,('Tariffs Jan2017'!K45-'Tariffs Jan2017'!J45)*('Tariffs Jan2017'!P45/100)*'Tariffs Jan2017'!AI45))</f>
        <v>53.386999999999993</v>
      </c>
      <c r="G51" s="278">
        <f>IF($C$5*'Tariffs Jan2017'!AK45/'Tariffs Jan2017'!AI45&lt;'Tariffs Jan2017'!K45,0,IF($C$5*'Tariffs Jan2017'!AK45/'Tariffs Jan2017'!AI45&lt;='Tariffs Jan2017'!L45,($C$5*'Tariffs Jan2017'!AK45/'Tariffs Jan2017'!AI45-'Tariffs Jan2017'!K45)*('Tariffs Jan2017'!Q45/100)*'Tariffs Jan2017'!AI45,('Tariffs Jan2017'!L45-'Tariffs Jan2017'!K45)*('Tariffs Jan2017'!Q45/100)*'Tariffs Jan2017'!AI45))</f>
        <v>0</v>
      </c>
      <c r="H51" s="278">
        <f>IF($C$5*'Tariffs Jan2017'!AK45/'Tariffs Jan2017'!AI45&lt;'Tariffs Jan2017'!L45,0,IF($C$5*'Tariffs Jan2017'!AK45/'Tariffs Jan2017'!AI45&lt;='Tariffs Jan2017'!M45,($C$5*'Tariffs Jan2017'!AK45/'Tariffs Jan2017'!AI45-'Tariffs Jan2017'!L45)*('Tariffs Jan2017'!R45/100)*'Tariffs Jan2017'!AI45,('Tariffs Jan2017'!M45-'Tariffs Jan2017'!L45)*('Tariffs Jan2017'!R45/100)*'Tariffs Jan2017'!AI45))</f>
        <v>0</v>
      </c>
      <c r="I51" s="278">
        <f>IF(($C$5*'Tariffs Jan2017'!AK45/'Tariffs Jan2017'!AI45&gt;'Tariffs Jan2017'!M45),($C$5*'Tariffs Jan2017'!AK45/'Tariffs Jan2017'!AI45-'Tariffs Jan2017'!M45)*'Tariffs Jan2017'!S45/100*'Tariffs Jan2017'!AI45,0)</f>
        <v>120.97799999999999</v>
      </c>
      <c r="J51" s="278">
        <f>IF($C$5*'Tariffs Jan2017'!AL45/'Tariffs Jan2017'!AJ45&gt;='Tariffs Jan2017'!J45,('Tariffs Jan2017'!J45*'Tariffs Jan2017'!U45/100)* 'Tariffs Jan2017'!AJ45,($C$5*'Tariffs Jan2017'!AL45/'Tariffs Jan2017'!AJ45*'Tariffs Jan2017'!U45/100)* 'Tariffs Jan2017'!AJ45)</f>
        <v>153.97199999999998</v>
      </c>
      <c r="K51" s="278">
        <f>IF($C$5*'Tariffs Jan2017'!AL45/'Tariffs Jan2017'!AJ45&lt;'Tariffs Jan2017'!J45,0,IF($C$5*'Tariffs Jan2017'!AL45/'Tariffs Jan2017'!AJ45&lt;='Tariffs Jan2017'!K45,($C$5*'Tariffs Jan2017'!AL45/'Tariffs Jan2017'!AJ45-'Tariffs Jan2017'!J45)*('Tariffs Jan2017'!V45/100)*'Tariffs Jan2017'!AJ45,('Tariffs Jan2017'!K45-'Tariffs Jan2017'!J45)*('Tariffs Jan2017'!V45/100)*'Tariffs Jan2017'!AJ45))</f>
        <v>106.77399999999999</v>
      </c>
      <c r="L51" s="278">
        <f>IF($C$5*'Tariffs Jan2017'!AL45/'Tariffs Jan2017'!AJ45&lt;'Tariffs Jan2017'!K45,0,IF($C$5*'Tariffs Jan2017'!AL45/'Tariffs Jan2017'!AJ45&lt;='Tariffs Jan2017'!L45,($C$5*'Tariffs Jan2017'!AL45/'Tariffs Jan2017'!AJ45-'Tariffs Jan2017'!K45)*('Tariffs Jan2017'!W45/100)*'Tariffs Jan2017'!AJ45,('Tariffs Jan2017'!L45-'Tariffs Jan2017'!K45)*('Tariffs Jan2017'!W45/100)*'Tariffs Jan2017'!AJ45))</f>
        <v>0</v>
      </c>
      <c r="M51" s="278">
        <f>IF($C$5*'Tariffs Jan2017'!AL45/'Tariffs Jan2017'!AJ45&lt;'Tariffs Jan2017'!L45,0,IF($C$5*'Tariffs Jan2017'!AL45/'Tariffs Jan2017'!AJ45&lt;='Tariffs Jan2017'!M45,($C$5*'Tariffs Jan2017'!AL45/'Tariffs Jan2017'!AJ45-'Tariffs Jan2017'!L45)*('Tariffs Jan2017'!X45/100)*'Tariffs Jan2017'!AJ45,('Tariffs Jan2017'!M45-'Tariffs Jan2017'!L45)*('Tariffs Jan2017'!X45/100)*'Tariffs Jan2017'!AJ45))</f>
        <v>0</v>
      </c>
      <c r="N51" s="278">
        <f>IF(($C$5*'Tariffs Jan2017'!AL45/'Tariffs Jan2017'!AJ45&gt;'Tariffs Jan2017'!M45),($C$5*'Tariffs Jan2017'!AL45/'Tariffs Jan2017'!AJ45-'Tariffs Jan2017'!M45)*'Tariffs Jan2017'!Y45/100*'Tariffs Jan2017'!AJ45,0)</f>
        <v>241.95599999999999</v>
      </c>
      <c r="O51" s="279">
        <f t="shared" si="0"/>
        <v>754.053</v>
      </c>
      <c r="P51" s="278">
        <f t="shared" si="1"/>
        <v>1017.145</v>
      </c>
      <c r="Q51" s="280">
        <f t="shared" si="2"/>
        <v>1118.8595</v>
      </c>
      <c r="R51" s="277">
        <f>'Tariffs Jan2017'!AM45</f>
        <v>0</v>
      </c>
      <c r="S51" s="277">
        <f>'Tariffs Jan2017'!AN45</f>
        <v>0</v>
      </c>
      <c r="T51" s="277">
        <f>'Tariffs Jan2017'!AO45</f>
        <v>0</v>
      </c>
      <c r="U51" s="277">
        <f>'Tariffs Jan2017'!AP45</f>
        <v>15</v>
      </c>
      <c r="V51" s="273">
        <f t="shared" si="3"/>
        <v>1017.145</v>
      </c>
      <c r="W51" s="281">
        <f>V51-(O51*U51/100)</f>
        <v>904.03705000000002</v>
      </c>
      <c r="X51" s="280">
        <f t="shared" si="4"/>
        <v>1118.8595</v>
      </c>
      <c r="Y51" s="280">
        <f t="shared" si="4"/>
        <v>994.44075500000008</v>
      </c>
      <c r="Z51" s="282">
        <f>'Tariffs Jan2017'!AW45</f>
        <v>24</v>
      </c>
      <c r="AA51" s="282" t="str">
        <f>'Tariffs Jan2017'!AX45</f>
        <v>n</v>
      </c>
      <c r="AB51" s="283" t="str">
        <f>'Tariffs Jan2017'!BD45</f>
        <v>Y</v>
      </c>
      <c r="AC51" s="305"/>
      <c r="AD51" s="305"/>
      <c r="AE51" s="305"/>
      <c r="AF51" s="305"/>
      <c r="AG51" s="305"/>
      <c r="AH51" s="305"/>
      <c r="AI51" s="305"/>
      <c r="AJ51" s="305"/>
      <c r="AK51" s="305"/>
      <c r="AL51" s="305"/>
      <c r="AM51" s="305"/>
      <c r="AN51" s="305"/>
    </row>
    <row r="52" spans="1:40" ht="14" thickTop="1" x14ac:dyDescent="0.15">
      <c r="A52" s="270" t="str">
        <f>'Tariffs Jan2017'!F46</f>
        <v>AGL</v>
      </c>
      <c r="B52" s="40" t="str">
        <f>'Tariffs Jan2017'!D46</f>
        <v>Envestra Central 1</v>
      </c>
      <c r="C52" s="40" t="str">
        <f>'Tariffs Jan2017'!G46</f>
        <v>Savers</v>
      </c>
      <c r="D52" s="59">
        <f>365*'Tariffs Jan2017'!H46/100</f>
        <v>268.53050000000002</v>
      </c>
      <c r="E52" s="59">
        <f>IF($C$5*'Tariffs Jan2017'!AK46/'Tariffs Jan2017'!AI46&gt;='Tariffs Jan2017'!J46,( 'Tariffs Jan2017'!J46*'Tariffs Jan2017'!O46/100)* 'Tariffs Jan2017'!AI46,($C$5*'Tariffs Jan2017'!AK46/'Tariffs Jan2017'!AI46*'Tariffs Jan2017'!O46/100)* 'Tariffs Jan2017'!AI46)</f>
        <v>80.2102</v>
      </c>
      <c r="F52" s="59">
        <f>IF($C$5*'Tariffs Jan2017'!AK46/'Tariffs Jan2017'!AI46&lt;'Tariffs Jan2017'!J46,0,IF($C$5*'Tariffs Jan2017'!AK46/'Tariffs Jan2017'!AI46&lt;='Tariffs Jan2017'!K46,($C$5*'Tariffs Jan2017'!AK46/'Tariffs Jan2017'!AI46-'Tariffs Jan2017'!J46)*('Tariffs Jan2017'!P46/100)*'Tariffs Jan2017'!AI46,('Tariffs Jan2017'!K46-'Tariffs Jan2017'!J46)*('Tariffs Jan2017'!P46/100)*'Tariffs Jan2017'!AI46))</f>
        <v>56.557700000000011</v>
      </c>
      <c r="G52" s="59">
        <f>IF($C$5*'Tariffs Jan2017'!AK46/'Tariffs Jan2017'!AI46&lt;'Tariffs Jan2017'!K46,0,IF($C$5*'Tariffs Jan2017'!AK46/'Tariffs Jan2017'!AI46&lt;='Tariffs Jan2017'!L46,($C$5*'Tariffs Jan2017'!AK46/'Tariffs Jan2017'!AI46-'Tariffs Jan2017'!K46)*('Tariffs Jan2017'!Q46/100)*'Tariffs Jan2017'!AI46,('Tariffs Jan2017'!L46-'Tariffs Jan2017'!K46)*('Tariffs Jan2017'!Q46/100)*'Tariffs Jan2017'!AI46))</f>
        <v>0</v>
      </c>
      <c r="H52" s="59">
        <f>IF($C$5*'Tariffs Jan2017'!AK46/'Tariffs Jan2017'!AI46&lt;'Tariffs Jan2017'!L46,0,IF($C$5*'Tariffs Jan2017'!AK46/'Tariffs Jan2017'!AI46&lt;='Tariffs Jan2017'!M46,($C$5*'Tariffs Jan2017'!AK46/'Tariffs Jan2017'!AI46-'Tariffs Jan2017'!L46)*('Tariffs Jan2017'!R46/100)*'Tariffs Jan2017'!AI46,('Tariffs Jan2017'!M46-'Tariffs Jan2017'!L46)*('Tariffs Jan2017'!R46/100)*'Tariffs Jan2017'!AI46))</f>
        <v>0</v>
      </c>
      <c r="I52" s="59">
        <f>IF(($C$5*'Tariffs Jan2017'!AK46/'Tariffs Jan2017'!AI46&gt;'Tariffs Jan2017'!M46),($C$5*'Tariffs Jan2017'!AK46/'Tariffs Jan2017'!AI46-'Tariffs Jan2017'!M46)*'Tariffs Jan2017'!S46/100*'Tariffs Jan2017'!AI46,0)</f>
        <v>121.78452000000001</v>
      </c>
      <c r="J52" s="59">
        <f>IF($C$5*'Tariffs Jan2017'!AL46/'Tariffs Jan2017'!AJ46&gt;='Tariffs Jan2017'!J46,('Tariffs Jan2017'!J46*'Tariffs Jan2017'!U46/100)* 'Tariffs Jan2017'!AJ46,($C$5*'Tariffs Jan2017'!AL46/'Tariffs Jan2017'!AJ46*'Tariffs Jan2017'!U46/100)* 'Tariffs Jan2017'!AJ46)</f>
        <v>160.4204</v>
      </c>
      <c r="K52" s="59">
        <f>IF($C$5*'Tariffs Jan2017'!AL46/'Tariffs Jan2017'!AJ46&lt;'Tariffs Jan2017'!J46,0,IF($C$5*'Tariffs Jan2017'!AL46/'Tariffs Jan2017'!AJ46&lt;='Tariffs Jan2017'!K46,($C$5*'Tariffs Jan2017'!AL46/'Tariffs Jan2017'!AJ46-'Tariffs Jan2017'!J46)*('Tariffs Jan2017'!V46/100)*'Tariffs Jan2017'!AJ46,('Tariffs Jan2017'!K46-'Tariffs Jan2017'!J46)*('Tariffs Jan2017'!V46/100)*'Tariffs Jan2017'!AJ46))</f>
        <v>113.11540000000002</v>
      </c>
      <c r="L52" s="59">
        <f>IF($C$5*'Tariffs Jan2017'!AL46/'Tariffs Jan2017'!AJ46&lt;'Tariffs Jan2017'!K46,0,IF($C$5*'Tariffs Jan2017'!AL46/'Tariffs Jan2017'!AJ46&lt;='Tariffs Jan2017'!L46,($C$5*'Tariffs Jan2017'!AL46/'Tariffs Jan2017'!AJ46-'Tariffs Jan2017'!K46)*('Tariffs Jan2017'!W46/100)*'Tariffs Jan2017'!AJ46,('Tariffs Jan2017'!L46-'Tariffs Jan2017'!K46)*('Tariffs Jan2017'!W46/100)*'Tariffs Jan2017'!AJ46))</f>
        <v>0</v>
      </c>
      <c r="M52" s="59">
        <f>IF($C$5*'Tariffs Jan2017'!AL46/'Tariffs Jan2017'!AJ46&lt;'Tariffs Jan2017'!L46,0,IF($C$5*'Tariffs Jan2017'!AL46/'Tariffs Jan2017'!AJ46&lt;='Tariffs Jan2017'!M46,($C$5*'Tariffs Jan2017'!AL46/'Tariffs Jan2017'!AJ46-'Tariffs Jan2017'!L46)*('Tariffs Jan2017'!X46/100)*'Tariffs Jan2017'!AJ46,('Tariffs Jan2017'!M46-'Tariffs Jan2017'!L46)*('Tariffs Jan2017'!X46/100)*'Tariffs Jan2017'!AJ46))</f>
        <v>0</v>
      </c>
      <c r="N52" s="59">
        <f>IF(($C$5*'Tariffs Jan2017'!AL46/'Tariffs Jan2017'!AJ46&gt;'Tariffs Jan2017'!M46),($C$5*'Tariffs Jan2017'!AL46/'Tariffs Jan2017'!AJ46-'Tariffs Jan2017'!M46)*'Tariffs Jan2017'!Y46/100*'Tariffs Jan2017'!AJ46,0)</f>
        <v>243.56904000000003</v>
      </c>
      <c r="O52" s="271">
        <f t="shared" si="0"/>
        <v>775.65725999999995</v>
      </c>
      <c r="P52" s="59">
        <f t="shared" si="1"/>
        <v>1044.18776</v>
      </c>
      <c r="Q52" s="272">
        <f t="shared" si="2"/>
        <v>1148.6065360000002</v>
      </c>
      <c r="R52" s="40">
        <f>'Tariffs Jan2017'!AM46</f>
        <v>0</v>
      </c>
      <c r="S52" s="40">
        <f>'Tariffs Jan2017'!AN46</f>
        <v>0</v>
      </c>
      <c r="T52" s="40">
        <f>'Tariffs Jan2017'!AO46</f>
        <v>0</v>
      </c>
      <c r="U52" s="40">
        <f>'Tariffs Jan2017'!AP46</f>
        <v>15</v>
      </c>
      <c r="V52" s="273">
        <f t="shared" si="3"/>
        <v>1044.18776</v>
      </c>
      <c r="W52" s="273">
        <f>V52-(O52*U52/100)</f>
        <v>927.83917100000008</v>
      </c>
      <c r="X52" s="272">
        <f t="shared" si="4"/>
        <v>1148.6065360000002</v>
      </c>
      <c r="Y52" s="272">
        <f t="shared" si="4"/>
        <v>1020.6230881000001</v>
      </c>
      <c r="Z52" s="274">
        <f>'Tariffs Jan2017'!AW46</f>
        <v>0</v>
      </c>
      <c r="AA52" s="274" t="str">
        <f>'Tariffs Jan2017'!AX46</f>
        <v>n</v>
      </c>
      <c r="AB52" s="275" t="str">
        <f>'Tariffs Jan2017'!BD46</f>
        <v>N</v>
      </c>
      <c r="AC52" s="305"/>
      <c r="AD52" s="305"/>
      <c r="AE52" s="305"/>
      <c r="AF52" s="305"/>
      <c r="AG52" s="305"/>
      <c r="AH52" s="305"/>
      <c r="AI52" s="305"/>
      <c r="AJ52" s="305"/>
      <c r="AK52" s="305"/>
      <c r="AL52" s="305"/>
      <c r="AM52" s="305"/>
      <c r="AN52" s="305"/>
    </row>
    <row r="53" spans="1:40" x14ac:dyDescent="0.15">
      <c r="A53" s="270" t="str">
        <f>'Tariffs Jan2017'!F47</f>
        <v>Alinta Energy</v>
      </c>
      <c r="B53" s="40" t="str">
        <f>'Tariffs Jan2017'!D47</f>
        <v>Envestra Central 1</v>
      </c>
      <c r="C53" s="40" t="str">
        <f>'Tariffs Jan2017'!G47</f>
        <v>Fair Deal</v>
      </c>
      <c r="D53" s="59">
        <f>365*'Tariffs Jan2017'!H47/100</f>
        <v>255.3905</v>
      </c>
      <c r="E53" s="59">
        <f>IF($C$5*'Tariffs Jan2017'!AK47/'Tariffs Jan2017'!AI47&gt;='Tariffs Jan2017'!J47,( 'Tariffs Jan2017'!J47*'Tariffs Jan2017'!O47/100)* 'Tariffs Jan2017'!AI47,($C$5*'Tariffs Jan2017'!AK47/'Tariffs Jan2017'!AI47*'Tariffs Jan2017'!O47/100)* 'Tariffs Jan2017'!AI47)</f>
        <v>81.591999999999999</v>
      </c>
      <c r="F53" s="59">
        <f>IF($C$5*'Tariffs Jan2017'!AK47/'Tariffs Jan2017'!AI47&lt;'Tariffs Jan2017'!J47,0,IF($C$5*'Tariffs Jan2017'!AK47/'Tariffs Jan2017'!AI47&lt;='Tariffs Jan2017'!K47,($C$5*'Tariffs Jan2017'!AK47/'Tariffs Jan2017'!AI47-'Tariffs Jan2017'!J47)*('Tariffs Jan2017'!P47/100)*'Tariffs Jan2017'!AI47,('Tariffs Jan2017'!K47-'Tariffs Jan2017'!J47)*('Tariffs Jan2017'!P47/100)*'Tariffs Jan2017'!AI47))</f>
        <v>57.451999999999998</v>
      </c>
      <c r="G53" s="59">
        <f>IF($C$5*'Tariffs Jan2017'!AK47/'Tariffs Jan2017'!AI47&lt;'Tariffs Jan2017'!K47,0,IF($C$5*'Tariffs Jan2017'!AK47/'Tariffs Jan2017'!AI47&lt;='Tariffs Jan2017'!L47,($C$5*'Tariffs Jan2017'!AK47/'Tariffs Jan2017'!AI47-'Tariffs Jan2017'!K47)*('Tariffs Jan2017'!Q47/100)*'Tariffs Jan2017'!AI47,('Tariffs Jan2017'!L47-'Tariffs Jan2017'!K47)*('Tariffs Jan2017'!Q47/100)*'Tariffs Jan2017'!AI47))</f>
        <v>0</v>
      </c>
      <c r="H53" s="59">
        <f>IF($C$5*'Tariffs Jan2017'!AK47/'Tariffs Jan2017'!AI47&lt;'Tariffs Jan2017'!L47,0,IF($C$5*'Tariffs Jan2017'!AK47/'Tariffs Jan2017'!AI47&lt;='Tariffs Jan2017'!M47,($C$5*'Tariffs Jan2017'!AK47/'Tariffs Jan2017'!AI47-'Tariffs Jan2017'!L47)*('Tariffs Jan2017'!R47/100)*'Tariffs Jan2017'!AI47,('Tariffs Jan2017'!M47-'Tariffs Jan2017'!L47)*('Tariffs Jan2017'!R47/100)*'Tariffs Jan2017'!AI47))</f>
        <v>0</v>
      </c>
      <c r="I53" s="59">
        <f>IF(($C$5*'Tariffs Jan2017'!AK47/'Tariffs Jan2017'!AI47&gt;'Tariffs Jan2017'!M47),($C$5*'Tariffs Jan2017'!AK47/'Tariffs Jan2017'!AI47-'Tariffs Jan2017'!M47)*'Tariffs Jan2017'!S47/100*'Tariffs Jan2017'!AI47,0)</f>
        <v>122.44439999999999</v>
      </c>
      <c r="J53" s="59">
        <f>IF($C$5*'Tariffs Jan2017'!AL47/'Tariffs Jan2017'!AJ47&gt;='Tariffs Jan2017'!J47,('Tariffs Jan2017'!J47*'Tariffs Jan2017'!U47/100)* 'Tariffs Jan2017'!AJ47,($C$5*'Tariffs Jan2017'!AL47/'Tariffs Jan2017'!AJ47*'Tariffs Jan2017'!U47/100)* 'Tariffs Jan2017'!AJ47)</f>
        <v>163.184</v>
      </c>
      <c r="K53" s="59">
        <f>IF($C$5*'Tariffs Jan2017'!AL47/'Tariffs Jan2017'!AJ47&lt;'Tariffs Jan2017'!J47,0,IF($C$5*'Tariffs Jan2017'!AL47/'Tariffs Jan2017'!AJ47&lt;='Tariffs Jan2017'!K47,($C$5*'Tariffs Jan2017'!AL47/'Tariffs Jan2017'!AJ47-'Tariffs Jan2017'!J47)*('Tariffs Jan2017'!V47/100)*'Tariffs Jan2017'!AJ47,('Tariffs Jan2017'!K47-'Tariffs Jan2017'!J47)*('Tariffs Jan2017'!V47/100)*'Tariffs Jan2017'!AJ47))</f>
        <v>114.904</v>
      </c>
      <c r="L53" s="59">
        <f>IF($C$5*'Tariffs Jan2017'!AL47/'Tariffs Jan2017'!AJ47&lt;'Tariffs Jan2017'!K47,0,IF($C$5*'Tariffs Jan2017'!AL47/'Tariffs Jan2017'!AJ47&lt;='Tariffs Jan2017'!L47,($C$5*'Tariffs Jan2017'!AL47/'Tariffs Jan2017'!AJ47-'Tariffs Jan2017'!K47)*('Tariffs Jan2017'!W47/100)*'Tariffs Jan2017'!AJ47,('Tariffs Jan2017'!L47-'Tariffs Jan2017'!K47)*('Tariffs Jan2017'!W47/100)*'Tariffs Jan2017'!AJ47))</f>
        <v>0</v>
      </c>
      <c r="M53" s="59">
        <f>IF($C$5*'Tariffs Jan2017'!AL47/'Tariffs Jan2017'!AJ47&lt;'Tariffs Jan2017'!L47,0,IF($C$5*'Tariffs Jan2017'!AL47/'Tariffs Jan2017'!AJ47&lt;='Tariffs Jan2017'!M47,($C$5*'Tariffs Jan2017'!AL47/'Tariffs Jan2017'!AJ47-'Tariffs Jan2017'!L47)*('Tariffs Jan2017'!X47/100)*'Tariffs Jan2017'!AJ47,('Tariffs Jan2017'!M47-'Tariffs Jan2017'!L47)*('Tariffs Jan2017'!X47/100)*'Tariffs Jan2017'!AJ47))</f>
        <v>0</v>
      </c>
      <c r="N53" s="59">
        <f>IF(($C$5*'Tariffs Jan2017'!AL47/'Tariffs Jan2017'!AJ47&gt;'Tariffs Jan2017'!M47),($C$5*'Tariffs Jan2017'!AL47/'Tariffs Jan2017'!AJ47-'Tariffs Jan2017'!M47)*'Tariffs Jan2017'!Y47/100*'Tariffs Jan2017'!AJ47,0)</f>
        <v>244.88879999999997</v>
      </c>
      <c r="O53" s="271">
        <f t="shared" si="0"/>
        <v>784.46519999999987</v>
      </c>
      <c r="P53" s="59">
        <f t="shared" si="1"/>
        <v>1039.8556999999998</v>
      </c>
      <c r="Q53" s="272">
        <f t="shared" si="2"/>
        <v>1143.8412699999999</v>
      </c>
      <c r="R53" s="40">
        <f>'Tariffs Jan2017'!AM47</f>
        <v>0</v>
      </c>
      <c r="S53" s="40">
        <f>'Tariffs Jan2017'!AN47</f>
        <v>0</v>
      </c>
      <c r="T53" s="40">
        <f>'Tariffs Jan2017'!AO47</f>
        <v>0</v>
      </c>
      <c r="U53" s="40">
        <f>'Tariffs Jan2017'!AP47</f>
        <v>15</v>
      </c>
      <c r="V53" s="273">
        <f t="shared" si="3"/>
        <v>1039.8556999999998</v>
      </c>
      <c r="W53" s="273">
        <f>V53-(O53*U53/100)</f>
        <v>922.1859199999999</v>
      </c>
      <c r="X53" s="272">
        <f t="shared" si="4"/>
        <v>1143.8412699999999</v>
      </c>
      <c r="Y53" s="272">
        <f t="shared" si="4"/>
        <v>1014.404512</v>
      </c>
      <c r="Z53" s="274">
        <f>'Tariffs Jan2017'!AW47</f>
        <v>0</v>
      </c>
      <c r="AA53" s="274" t="str">
        <f>'Tariffs Jan2017'!AX47</f>
        <v>n</v>
      </c>
      <c r="AB53" s="275" t="str">
        <f>'Tariffs Jan2017'!BD47</f>
        <v>Y</v>
      </c>
      <c r="AC53" s="305"/>
      <c r="AD53" s="305"/>
      <c r="AE53" s="305"/>
      <c r="AF53" s="305"/>
      <c r="AG53" s="305"/>
      <c r="AH53" s="305"/>
      <c r="AI53" s="305"/>
      <c r="AJ53" s="305"/>
      <c r="AK53" s="305"/>
      <c r="AL53" s="305"/>
      <c r="AM53" s="305"/>
      <c r="AN53" s="305"/>
    </row>
    <row r="54" spans="1:40" x14ac:dyDescent="0.15">
      <c r="A54" s="270" t="str">
        <f>'Tariffs Jan2017'!F48</f>
        <v>Click Energy</v>
      </c>
      <c r="B54" s="40" t="str">
        <f>'Tariffs Jan2017'!D48</f>
        <v>Envestra Central 1</v>
      </c>
      <c r="C54" s="40" t="str">
        <f>'Tariffs Jan2017'!G48</f>
        <v>Amber</v>
      </c>
      <c r="D54" s="59">
        <f>365*'Tariffs Jan2017'!H48/100</f>
        <v>266.45</v>
      </c>
      <c r="E54" s="59">
        <f>IF($C$5*'Tariffs Jan2017'!AK48/'Tariffs Jan2017'!AI48&gt;='Tariffs Jan2017'!J48,( 'Tariffs Jan2017'!J48*'Tariffs Jan2017'!O48/100)* 'Tariffs Jan2017'!AI48,($C$5*'Tariffs Jan2017'!AK48/'Tariffs Jan2017'!AI48*'Tariffs Jan2017'!O48/100)* 'Tariffs Jan2017'!AI48)</f>
        <v>88.83</v>
      </c>
      <c r="F54" s="59">
        <f>IF($C$5*'Tariffs Jan2017'!AK48/'Tariffs Jan2017'!AI48&lt;'Tariffs Jan2017'!J48,0,IF($C$5*'Tariffs Jan2017'!AK48/'Tariffs Jan2017'!AI48&lt;='Tariffs Jan2017'!K48,($C$5*'Tariffs Jan2017'!AK48/'Tariffs Jan2017'!AI48-'Tariffs Jan2017'!J48)*('Tariffs Jan2017'!P48/100)*'Tariffs Jan2017'!AI48,('Tariffs Jan2017'!K48-'Tariffs Jan2017'!J48)*('Tariffs Jan2017'!P48/100)*'Tariffs Jan2017'!AI48))</f>
        <v>59.620000000000005</v>
      </c>
      <c r="G54" s="59">
        <f>IF($C$5*'Tariffs Jan2017'!AK48/'Tariffs Jan2017'!AI48&lt;'Tariffs Jan2017'!K48,0,IF($C$5*'Tariffs Jan2017'!AK48/'Tariffs Jan2017'!AI48&lt;='Tariffs Jan2017'!L48,($C$5*'Tariffs Jan2017'!AK48/'Tariffs Jan2017'!AI48-'Tariffs Jan2017'!K48)*('Tariffs Jan2017'!Q48/100)*'Tariffs Jan2017'!AI48,('Tariffs Jan2017'!L48-'Tariffs Jan2017'!K48)*('Tariffs Jan2017'!Q48/100)*'Tariffs Jan2017'!AI48))</f>
        <v>0</v>
      </c>
      <c r="H54" s="59">
        <f>IF($C$5*'Tariffs Jan2017'!AK48/'Tariffs Jan2017'!AI48&lt;'Tariffs Jan2017'!L48,0,IF($C$5*'Tariffs Jan2017'!AK48/'Tariffs Jan2017'!AI48&lt;='Tariffs Jan2017'!M48,($C$5*'Tariffs Jan2017'!AK48/'Tariffs Jan2017'!AI48-'Tariffs Jan2017'!L48)*('Tariffs Jan2017'!R48/100)*'Tariffs Jan2017'!AI48,('Tariffs Jan2017'!M48-'Tariffs Jan2017'!L48)*('Tariffs Jan2017'!R48/100)*'Tariffs Jan2017'!AI48))</f>
        <v>0</v>
      </c>
      <c r="I54" s="59">
        <f>IF(($C$5*'Tariffs Jan2017'!AK48/'Tariffs Jan2017'!AI48&gt;'Tariffs Jan2017'!M48),($C$5*'Tariffs Jan2017'!AK48/'Tariffs Jan2017'!AI48-'Tariffs Jan2017'!M48)*'Tariffs Jan2017'!S48/100*'Tariffs Jan2017'!AI48,0)</f>
        <v>128.31</v>
      </c>
      <c r="J54" s="59">
        <f>IF($C$5*'Tariffs Jan2017'!AL48/'Tariffs Jan2017'!AJ48&gt;='Tariffs Jan2017'!J48,('Tariffs Jan2017'!J48*'Tariffs Jan2017'!U48/100)* 'Tariffs Jan2017'!AJ48,($C$5*'Tariffs Jan2017'!AL48/'Tariffs Jan2017'!AJ48*'Tariffs Jan2017'!U48/100)* 'Tariffs Jan2017'!AJ48)</f>
        <v>177.66</v>
      </c>
      <c r="K54" s="59">
        <f>IF($C$5*'Tariffs Jan2017'!AL48/'Tariffs Jan2017'!AJ48&lt;'Tariffs Jan2017'!J48,0,IF($C$5*'Tariffs Jan2017'!AL48/'Tariffs Jan2017'!AJ48&lt;='Tariffs Jan2017'!K48,($C$5*'Tariffs Jan2017'!AL48/'Tariffs Jan2017'!AJ48-'Tariffs Jan2017'!J48)*('Tariffs Jan2017'!V48/100)*'Tariffs Jan2017'!AJ48,('Tariffs Jan2017'!K48-'Tariffs Jan2017'!J48)*('Tariffs Jan2017'!V48/100)*'Tariffs Jan2017'!AJ48))</f>
        <v>119.24000000000001</v>
      </c>
      <c r="L54" s="59">
        <f>IF($C$5*'Tariffs Jan2017'!AL48/'Tariffs Jan2017'!AJ48&lt;'Tariffs Jan2017'!K48,0,IF($C$5*'Tariffs Jan2017'!AL48/'Tariffs Jan2017'!AJ48&lt;='Tariffs Jan2017'!L48,($C$5*'Tariffs Jan2017'!AL48/'Tariffs Jan2017'!AJ48-'Tariffs Jan2017'!K48)*('Tariffs Jan2017'!W48/100)*'Tariffs Jan2017'!AJ48,('Tariffs Jan2017'!L48-'Tariffs Jan2017'!K48)*('Tariffs Jan2017'!W48/100)*'Tariffs Jan2017'!AJ48))</f>
        <v>0</v>
      </c>
      <c r="M54" s="59">
        <f>IF($C$5*'Tariffs Jan2017'!AL48/'Tariffs Jan2017'!AJ48&lt;'Tariffs Jan2017'!L48,0,IF($C$5*'Tariffs Jan2017'!AL48/'Tariffs Jan2017'!AJ48&lt;='Tariffs Jan2017'!M48,($C$5*'Tariffs Jan2017'!AL48/'Tariffs Jan2017'!AJ48-'Tariffs Jan2017'!L48)*('Tariffs Jan2017'!X48/100)*'Tariffs Jan2017'!AJ48,('Tariffs Jan2017'!M48-'Tariffs Jan2017'!L48)*('Tariffs Jan2017'!X48/100)*'Tariffs Jan2017'!AJ48))</f>
        <v>0</v>
      </c>
      <c r="N54" s="59">
        <f>IF(($C$5*'Tariffs Jan2017'!AL48/'Tariffs Jan2017'!AJ48&gt;'Tariffs Jan2017'!M48),($C$5*'Tariffs Jan2017'!AL48/'Tariffs Jan2017'!AJ48-'Tariffs Jan2017'!M48)*'Tariffs Jan2017'!Y48/100*'Tariffs Jan2017'!AJ48,0)</f>
        <v>256.62</v>
      </c>
      <c r="O54" s="271">
        <f t="shared" si="0"/>
        <v>830.28</v>
      </c>
      <c r="P54" s="59">
        <f t="shared" si="1"/>
        <v>1096.73</v>
      </c>
      <c r="Q54" s="272">
        <f t="shared" si="2"/>
        <v>1206.403</v>
      </c>
      <c r="R54" s="40">
        <f>'Tariffs Jan2017'!AM48</f>
        <v>0</v>
      </c>
      <c r="S54" s="40">
        <f>'Tariffs Jan2017'!AN48</f>
        <v>0</v>
      </c>
      <c r="T54" s="40">
        <f>'Tariffs Jan2017'!AO48</f>
        <v>14</v>
      </c>
      <c r="U54" s="40">
        <f>'Tariffs Jan2017'!AP48</f>
        <v>0</v>
      </c>
      <c r="V54" s="273">
        <f t="shared" si="3"/>
        <v>1096.73</v>
      </c>
      <c r="W54" s="273">
        <f>V54-(P54*T54/100)</f>
        <v>943.18780000000004</v>
      </c>
      <c r="X54" s="272">
        <f t="shared" si="4"/>
        <v>1206.403</v>
      </c>
      <c r="Y54" s="272">
        <f t="shared" si="4"/>
        <v>1037.5065800000002</v>
      </c>
      <c r="Z54" s="274">
        <f>'Tariffs Jan2017'!AW48</f>
        <v>0</v>
      </c>
      <c r="AA54" s="274" t="str">
        <f>'Tariffs Jan2017'!AX48</f>
        <v>n</v>
      </c>
      <c r="AB54" s="275" t="str">
        <f>'Tariffs Jan2017'!BD48</f>
        <v>N</v>
      </c>
      <c r="AC54" s="305"/>
      <c r="AD54" s="305"/>
      <c r="AE54" s="305"/>
      <c r="AF54" s="305"/>
      <c r="AG54" s="305"/>
      <c r="AH54" s="305"/>
      <c r="AI54" s="305"/>
      <c r="AJ54" s="305"/>
      <c r="AK54" s="305"/>
      <c r="AL54" s="305"/>
      <c r="AM54" s="305"/>
      <c r="AN54" s="305"/>
    </row>
    <row r="55" spans="1:40" x14ac:dyDescent="0.15">
      <c r="A55" s="270" t="str">
        <f>'Tariffs Jan2017'!F49</f>
        <v>Covau</v>
      </c>
      <c r="B55" s="40" t="str">
        <f>'Tariffs Jan2017'!D49</f>
        <v>Envestra Central 1</v>
      </c>
      <c r="C55" s="40" t="str">
        <f>'Tariffs Jan2017'!G49</f>
        <v>Market offer</v>
      </c>
      <c r="D55" s="59">
        <f>365*'Tariffs Jan2017'!H49/100</f>
        <v>251.85</v>
      </c>
      <c r="E55" s="59">
        <f>IF($C$5*'Tariffs Jan2017'!AK49/'Tariffs Jan2017'!AI49&gt;='Tariffs Jan2017'!J49,( 'Tariffs Jan2017'!J49*'Tariffs Jan2017'!O49/100)* 'Tariffs Jan2017'!AI49,($C$5*'Tariffs Jan2017'!AK49/'Tariffs Jan2017'!AI49*'Tariffs Jan2017'!O49/100)* 'Tariffs Jan2017'!AI49)</f>
        <v>114.16300000000001</v>
      </c>
      <c r="F55" s="59">
        <f>IF($C$5*'Tariffs Jan2017'!AK49/'Tariffs Jan2017'!AI49&lt;'Tariffs Jan2017'!J49,0,IF($C$5*'Tariffs Jan2017'!AK49/'Tariffs Jan2017'!AI49&lt;='Tariffs Jan2017'!K49,($C$5*'Tariffs Jan2017'!AK49/'Tariffs Jan2017'!AI49-'Tariffs Jan2017'!J49)*('Tariffs Jan2017'!P49/100)*'Tariffs Jan2017'!AI49,('Tariffs Jan2017'!K49-'Tariffs Jan2017'!J49)*('Tariffs Jan2017'!P49/100)*'Tariffs Jan2017'!AI49))</f>
        <v>78.319000000000003</v>
      </c>
      <c r="G55" s="59">
        <f>IF($C$5*'Tariffs Jan2017'!AK49/'Tariffs Jan2017'!AI49&lt;'Tariffs Jan2017'!K49,0,IF($C$5*'Tariffs Jan2017'!AK49/'Tariffs Jan2017'!AI49&lt;='Tariffs Jan2017'!L49,($C$5*'Tariffs Jan2017'!AK49/'Tariffs Jan2017'!AI49-'Tariffs Jan2017'!K49)*('Tariffs Jan2017'!Q49/100)*'Tariffs Jan2017'!AI49,('Tariffs Jan2017'!L49-'Tariffs Jan2017'!K49)*('Tariffs Jan2017'!Q49/100)*'Tariffs Jan2017'!AI49))</f>
        <v>0</v>
      </c>
      <c r="H55" s="59">
        <f>IF($C$5*'Tariffs Jan2017'!AK49/'Tariffs Jan2017'!AI49&lt;'Tariffs Jan2017'!L49,0,IF($C$5*'Tariffs Jan2017'!AK49/'Tariffs Jan2017'!AI49&lt;='Tariffs Jan2017'!M49,($C$5*'Tariffs Jan2017'!AK49/'Tariffs Jan2017'!AI49-'Tariffs Jan2017'!L49)*('Tariffs Jan2017'!R49/100)*'Tariffs Jan2017'!AI49,('Tariffs Jan2017'!M49-'Tariffs Jan2017'!L49)*('Tariffs Jan2017'!R49/100)*'Tariffs Jan2017'!AI49))</f>
        <v>0</v>
      </c>
      <c r="I55" s="59">
        <f>IF(($C$5*'Tariffs Jan2017'!AK49/'Tariffs Jan2017'!AI49&gt;'Tariffs Jan2017'!M49),($C$5*'Tariffs Jan2017'!AK49/'Tariffs Jan2017'!AI49-'Tariffs Jan2017'!M49)*'Tariffs Jan2017'!S49/100*'Tariffs Jan2017'!AI49,0)</f>
        <v>167.1696</v>
      </c>
      <c r="J55" s="59">
        <f>IF($C$5*'Tariffs Jan2017'!AL49/'Tariffs Jan2017'!AJ49&gt;='Tariffs Jan2017'!J49,('Tariffs Jan2017'!J49*'Tariffs Jan2017'!U49/100)* 'Tariffs Jan2017'!AJ49,($C$5*'Tariffs Jan2017'!AL49/'Tariffs Jan2017'!AJ49*'Tariffs Jan2017'!U49/100)* 'Tariffs Jan2017'!AJ49)</f>
        <v>228.32600000000002</v>
      </c>
      <c r="K55" s="59">
        <f>IF($C$5*'Tariffs Jan2017'!AL49/'Tariffs Jan2017'!AJ49&lt;'Tariffs Jan2017'!J49,0,IF($C$5*'Tariffs Jan2017'!AL49/'Tariffs Jan2017'!AJ49&lt;='Tariffs Jan2017'!K49,($C$5*'Tariffs Jan2017'!AL49/'Tariffs Jan2017'!AJ49-'Tariffs Jan2017'!J49)*('Tariffs Jan2017'!V49/100)*'Tariffs Jan2017'!AJ49,('Tariffs Jan2017'!K49-'Tariffs Jan2017'!J49)*('Tariffs Jan2017'!V49/100)*'Tariffs Jan2017'!AJ49))</f>
        <v>156.63800000000001</v>
      </c>
      <c r="L55" s="59">
        <f>IF($C$5*'Tariffs Jan2017'!AL49/'Tariffs Jan2017'!AJ49&lt;'Tariffs Jan2017'!K49,0,IF($C$5*'Tariffs Jan2017'!AL49/'Tariffs Jan2017'!AJ49&lt;='Tariffs Jan2017'!L49,($C$5*'Tariffs Jan2017'!AL49/'Tariffs Jan2017'!AJ49-'Tariffs Jan2017'!K49)*('Tariffs Jan2017'!W49/100)*'Tariffs Jan2017'!AJ49,('Tariffs Jan2017'!L49-'Tariffs Jan2017'!K49)*('Tariffs Jan2017'!W49/100)*'Tariffs Jan2017'!AJ49))</f>
        <v>0</v>
      </c>
      <c r="M55" s="59">
        <f>IF($C$5*'Tariffs Jan2017'!AL49/'Tariffs Jan2017'!AJ49&lt;'Tariffs Jan2017'!L49,0,IF($C$5*'Tariffs Jan2017'!AL49/'Tariffs Jan2017'!AJ49&lt;='Tariffs Jan2017'!M49,($C$5*'Tariffs Jan2017'!AL49/'Tariffs Jan2017'!AJ49-'Tariffs Jan2017'!L49)*('Tariffs Jan2017'!X49/100)*'Tariffs Jan2017'!AJ49,('Tariffs Jan2017'!M49-'Tariffs Jan2017'!L49)*('Tariffs Jan2017'!X49/100)*'Tariffs Jan2017'!AJ49))</f>
        <v>0</v>
      </c>
      <c r="N55" s="59">
        <f>IF(($C$5*'Tariffs Jan2017'!AL49/'Tariffs Jan2017'!AJ49&gt;'Tariffs Jan2017'!M49),($C$5*'Tariffs Jan2017'!AL49/'Tariffs Jan2017'!AJ49-'Tariffs Jan2017'!M49)*'Tariffs Jan2017'!Y49/100*'Tariffs Jan2017'!AJ49,0)</f>
        <v>334.33920000000001</v>
      </c>
      <c r="O55" s="271">
        <f t="shared" si="0"/>
        <v>1078.9548</v>
      </c>
      <c r="P55" s="59">
        <f t="shared" si="1"/>
        <v>1330.8047999999999</v>
      </c>
      <c r="Q55" s="272">
        <f t="shared" si="2"/>
        <v>1463.88528</v>
      </c>
      <c r="R55" s="40">
        <f>'Tariffs Jan2017'!AM49</f>
        <v>0</v>
      </c>
      <c r="S55" s="40">
        <f>'Tariffs Jan2017'!AN49</f>
        <v>0</v>
      </c>
      <c r="T55" s="40">
        <f>'Tariffs Jan2017'!AO49</f>
        <v>0</v>
      </c>
      <c r="U55" s="40">
        <f>'Tariffs Jan2017'!AP49</f>
        <v>16</v>
      </c>
      <c r="V55" s="273">
        <f t="shared" si="3"/>
        <v>1330.8047999999999</v>
      </c>
      <c r="W55" s="273">
        <f>V55-(O55*U55/100)</f>
        <v>1158.1720319999999</v>
      </c>
      <c r="X55" s="272">
        <f t="shared" si="4"/>
        <v>1463.88528</v>
      </c>
      <c r="Y55" s="272">
        <f t="shared" si="4"/>
        <v>1273.9892351999999</v>
      </c>
      <c r="Z55" s="274">
        <f>'Tariffs Jan2017'!AW49</f>
        <v>12</v>
      </c>
      <c r="AA55" s="274" t="str">
        <f>'Tariffs Jan2017'!AX49</f>
        <v>y</v>
      </c>
      <c r="AB55" s="275" t="str">
        <f>'Tariffs Jan2017'!BD49</f>
        <v>Y</v>
      </c>
      <c r="AC55" s="305"/>
      <c r="AD55" s="305"/>
      <c r="AE55" s="305"/>
      <c r="AF55" s="305"/>
      <c r="AG55" s="305"/>
      <c r="AH55" s="305"/>
      <c r="AI55" s="305"/>
      <c r="AJ55" s="305"/>
      <c r="AK55" s="305"/>
      <c r="AL55" s="305"/>
      <c r="AM55" s="305"/>
      <c r="AN55" s="305"/>
    </row>
    <row r="56" spans="1:40" x14ac:dyDescent="0.15">
      <c r="A56" s="270" t="str">
        <f>'Tariffs Jan2017'!F50</f>
        <v>Dodo Power &amp; Gas</v>
      </c>
      <c r="B56" s="40" t="str">
        <f>'Tariffs Jan2017'!D50</f>
        <v>Envestra Central 1</v>
      </c>
      <c r="C56" s="40" t="str">
        <f>'Tariffs Jan2017'!G50</f>
        <v>Market offer</v>
      </c>
      <c r="D56" s="59">
        <f>365*'Tariffs Jan2017'!H50/100</f>
        <v>247.47</v>
      </c>
      <c r="E56" s="59">
        <f>IF($C$5*'Tariffs Jan2017'!AK50/'Tariffs Jan2017'!AI50&gt;='Tariffs Jan2017'!J50,( 'Tariffs Jan2017'!J50*'Tariffs Jan2017'!O50/100)* 'Tariffs Jan2017'!AI50,($C$5*'Tariffs Jan2017'!AK50/'Tariffs Jan2017'!AI50*'Tariffs Jan2017'!O50/100)* 'Tariffs Jan2017'!AI50)</f>
        <v>176.8</v>
      </c>
      <c r="F56" s="59">
        <f>IF($C$5*'Tariffs Jan2017'!AK50/'Tariffs Jan2017'!AI50&lt;'Tariffs Jan2017'!J50,0,IF($C$5*'Tariffs Jan2017'!AK50/'Tariffs Jan2017'!AI50&lt;='Tariffs Jan2017'!K50,($C$5*'Tariffs Jan2017'!AK50/'Tariffs Jan2017'!AI50-'Tariffs Jan2017'!J50)*('Tariffs Jan2017'!P50/100)*'Tariffs Jan2017'!AI50,('Tariffs Jan2017'!K50-'Tariffs Jan2017'!J50)*('Tariffs Jan2017'!P50/100)*'Tariffs Jan2017'!AI50))</f>
        <v>96.509200000000007</v>
      </c>
      <c r="G56" s="59">
        <f>IF($C$5*'Tariffs Jan2017'!AK50/'Tariffs Jan2017'!AI50&lt;'Tariffs Jan2017'!K50,0,IF($C$5*'Tariffs Jan2017'!AK50/'Tariffs Jan2017'!AI50&lt;='Tariffs Jan2017'!L50,($C$5*'Tariffs Jan2017'!AK50/'Tariffs Jan2017'!AI50-'Tariffs Jan2017'!K50)*('Tariffs Jan2017'!Q50/100)*'Tariffs Jan2017'!AI50,('Tariffs Jan2017'!L50-'Tariffs Jan2017'!K50)*('Tariffs Jan2017'!Q50/100)*'Tariffs Jan2017'!AI50))</f>
        <v>0</v>
      </c>
      <c r="H56" s="59">
        <f>IF($C$5*'Tariffs Jan2017'!AK50/'Tariffs Jan2017'!AI50&lt;'Tariffs Jan2017'!L50,0,IF($C$5*'Tariffs Jan2017'!AK50/'Tariffs Jan2017'!AI50&lt;='Tariffs Jan2017'!M50,($C$5*'Tariffs Jan2017'!AK50/'Tariffs Jan2017'!AI50-'Tariffs Jan2017'!L50)*('Tariffs Jan2017'!R50/100)*'Tariffs Jan2017'!AI50,('Tariffs Jan2017'!M50-'Tariffs Jan2017'!L50)*('Tariffs Jan2017'!R50/100)*'Tariffs Jan2017'!AI50))</f>
        <v>0</v>
      </c>
      <c r="I56" s="59">
        <f>IF(($C$5*'Tariffs Jan2017'!AK50/'Tariffs Jan2017'!AI50&gt;'Tariffs Jan2017'!M50),($C$5*'Tariffs Jan2017'!AK50/'Tariffs Jan2017'!AI50-'Tariffs Jan2017'!M50)*'Tariffs Jan2017'!S50/100*'Tariffs Jan2017'!AI50,0)</f>
        <v>0</v>
      </c>
      <c r="J56" s="59">
        <f>IF($C$5*'Tariffs Jan2017'!AL50/'Tariffs Jan2017'!AJ50&gt;='Tariffs Jan2017'!J50,('Tariffs Jan2017'!J50*'Tariffs Jan2017'!U50/100)* 'Tariffs Jan2017'!AJ50,($C$5*'Tariffs Jan2017'!AL50/'Tariffs Jan2017'!AJ50*'Tariffs Jan2017'!U50/100)* 'Tariffs Jan2017'!AJ50)</f>
        <v>353.6</v>
      </c>
      <c r="K56" s="59">
        <f>IF($C$5*'Tariffs Jan2017'!AL50/'Tariffs Jan2017'!AJ50&lt;'Tariffs Jan2017'!J50,0,IF($C$5*'Tariffs Jan2017'!AL50/'Tariffs Jan2017'!AJ50&lt;='Tariffs Jan2017'!K50,($C$5*'Tariffs Jan2017'!AL50/'Tariffs Jan2017'!AJ50-'Tariffs Jan2017'!J50)*('Tariffs Jan2017'!V50/100)*'Tariffs Jan2017'!AJ50,('Tariffs Jan2017'!K50-'Tariffs Jan2017'!J50)*('Tariffs Jan2017'!V50/100)*'Tariffs Jan2017'!AJ50))</f>
        <v>193.01840000000001</v>
      </c>
      <c r="L56" s="59">
        <f>IF($C$5*'Tariffs Jan2017'!AL50/'Tariffs Jan2017'!AJ50&lt;'Tariffs Jan2017'!K50,0,IF($C$5*'Tariffs Jan2017'!AL50/'Tariffs Jan2017'!AJ50&lt;='Tariffs Jan2017'!L50,($C$5*'Tariffs Jan2017'!AL50/'Tariffs Jan2017'!AJ50-'Tariffs Jan2017'!K50)*('Tariffs Jan2017'!W50/100)*'Tariffs Jan2017'!AJ50,('Tariffs Jan2017'!L50-'Tariffs Jan2017'!K50)*('Tariffs Jan2017'!W50/100)*'Tariffs Jan2017'!AJ50))</f>
        <v>0</v>
      </c>
      <c r="M56" s="59">
        <f>IF($C$5*'Tariffs Jan2017'!AL50/'Tariffs Jan2017'!AJ50&lt;'Tariffs Jan2017'!L50,0,IF($C$5*'Tariffs Jan2017'!AL50/'Tariffs Jan2017'!AJ50&lt;='Tariffs Jan2017'!M50,($C$5*'Tariffs Jan2017'!AL50/'Tariffs Jan2017'!AJ50-'Tariffs Jan2017'!L50)*('Tariffs Jan2017'!X50/100)*'Tariffs Jan2017'!AJ50,('Tariffs Jan2017'!M50-'Tariffs Jan2017'!L50)*('Tariffs Jan2017'!X50/100)*'Tariffs Jan2017'!AJ50))</f>
        <v>0</v>
      </c>
      <c r="N56" s="59">
        <f>IF(($C$5*'Tariffs Jan2017'!AL50/'Tariffs Jan2017'!AJ50&gt;'Tariffs Jan2017'!M50),($C$5*'Tariffs Jan2017'!AL50/'Tariffs Jan2017'!AJ50-'Tariffs Jan2017'!M50)*'Tariffs Jan2017'!Y50/100*'Tariffs Jan2017'!AJ50,0)</f>
        <v>0</v>
      </c>
      <c r="O56" s="271">
        <f t="shared" si="0"/>
        <v>819.9276000000001</v>
      </c>
      <c r="P56" s="59">
        <f t="shared" si="1"/>
        <v>1067.3976</v>
      </c>
      <c r="Q56" s="272">
        <f t="shared" si="2"/>
        <v>1174.1373600000002</v>
      </c>
      <c r="R56" s="40">
        <f>'Tariffs Jan2017'!AM50</f>
        <v>0</v>
      </c>
      <c r="S56" s="40">
        <f>'Tariffs Jan2017'!AN50</f>
        <v>0</v>
      </c>
      <c r="T56" s="40">
        <f>'Tariffs Jan2017'!AO50</f>
        <v>0</v>
      </c>
      <c r="U56" s="40">
        <f>'Tariffs Jan2017'!AP50</f>
        <v>0</v>
      </c>
      <c r="V56" s="273">
        <f t="shared" si="3"/>
        <v>1067.3976</v>
      </c>
      <c r="W56" s="273">
        <f>V56-(O56*U56/100)</f>
        <v>1067.3976</v>
      </c>
      <c r="X56" s="272">
        <f t="shared" si="4"/>
        <v>1174.1373600000002</v>
      </c>
      <c r="Y56" s="272">
        <f t="shared" si="4"/>
        <v>1174.1373600000002</v>
      </c>
      <c r="Z56" s="274">
        <f>'Tariffs Jan2017'!AW50</f>
        <v>0</v>
      </c>
      <c r="AA56" s="274" t="str">
        <f>'Tariffs Jan2017'!AX50</f>
        <v>n</v>
      </c>
      <c r="AB56" s="275" t="str">
        <f>'Tariffs Jan2017'!BD50</f>
        <v>Y</v>
      </c>
      <c r="AC56" s="305"/>
      <c r="AD56" s="305"/>
      <c r="AE56" s="305"/>
      <c r="AF56" s="305"/>
      <c r="AG56" s="305"/>
      <c r="AH56" s="305"/>
      <c r="AI56" s="305"/>
      <c r="AJ56" s="305"/>
      <c r="AK56" s="305"/>
      <c r="AL56" s="305"/>
      <c r="AM56" s="305"/>
      <c r="AN56" s="305"/>
    </row>
    <row r="57" spans="1:40" x14ac:dyDescent="0.15">
      <c r="A57" s="270" t="str">
        <f>'Tariffs Jan2017'!F51</f>
        <v>EnergyAustralia</v>
      </c>
      <c r="B57" s="40" t="str">
        <f>'Tariffs Jan2017'!D51</f>
        <v>Envestra Central 1</v>
      </c>
      <c r="C57" s="40" t="str">
        <f>'Tariffs Jan2017'!G51</f>
        <v xml:space="preserve">Flexi Saver </v>
      </c>
      <c r="D57" s="59">
        <f>365*'Tariffs Jan2017'!H51/100</f>
        <v>268.27499999999998</v>
      </c>
      <c r="E57" s="59">
        <f>IF($C$5*'Tariffs Jan2017'!AK51/'Tariffs Jan2017'!AI51&gt;='Tariffs Jan2017'!J51,( 'Tariffs Jan2017'!J51*'Tariffs Jan2017'!O51/100)* 'Tariffs Jan2017'!AI51,($C$5*'Tariffs Jan2017'!AK51/'Tariffs Jan2017'!AI51*'Tariffs Jan2017'!O51/100)* 'Tariffs Jan2017'!AI51)</f>
        <v>92.777999999999992</v>
      </c>
      <c r="F57" s="59">
        <f>IF($C$5*'Tariffs Jan2017'!AK51/'Tariffs Jan2017'!AI51&lt;'Tariffs Jan2017'!J51,0,IF($C$5*'Tariffs Jan2017'!AK51/'Tariffs Jan2017'!AI51&lt;='Tariffs Jan2017'!K51,($C$5*'Tariffs Jan2017'!AK51/'Tariffs Jan2017'!AI51-'Tariffs Jan2017'!J51)*('Tariffs Jan2017'!P51/100)*'Tariffs Jan2017'!AI51,('Tariffs Jan2017'!K51-'Tariffs Jan2017'!J51)*('Tariffs Jan2017'!P51/100)*'Tariffs Jan2017'!AI51))</f>
        <v>58.807000000000002</v>
      </c>
      <c r="G57" s="59">
        <f>IF($C$5*'Tariffs Jan2017'!AK51/'Tariffs Jan2017'!AI51&lt;'Tariffs Jan2017'!K51,0,IF($C$5*'Tariffs Jan2017'!AK51/'Tariffs Jan2017'!AI51&lt;='Tariffs Jan2017'!L51,($C$5*'Tariffs Jan2017'!AK51/'Tariffs Jan2017'!AI51-'Tariffs Jan2017'!K51)*('Tariffs Jan2017'!Q51/100)*'Tariffs Jan2017'!AI51,('Tariffs Jan2017'!L51-'Tariffs Jan2017'!K51)*('Tariffs Jan2017'!Q51/100)*'Tariffs Jan2017'!AI51))</f>
        <v>0</v>
      </c>
      <c r="H57" s="59">
        <f>IF($C$5*'Tariffs Jan2017'!AK51/'Tariffs Jan2017'!AI51&lt;'Tariffs Jan2017'!L51,0,IF($C$5*'Tariffs Jan2017'!AK51/'Tariffs Jan2017'!AI51&lt;='Tariffs Jan2017'!M51,($C$5*'Tariffs Jan2017'!AK51/'Tariffs Jan2017'!AI51-'Tariffs Jan2017'!L51)*('Tariffs Jan2017'!R51/100)*'Tariffs Jan2017'!AI51,('Tariffs Jan2017'!M51-'Tariffs Jan2017'!L51)*('Tariffs Jan2017'!R51/100)*'Tariffs Jan2017'!AI51))</f>
        <v>0</v>
      </c>
      <c r="I57" s="59">
        <f>IF(($C$5*'Tariffs Jan2017'!AK51/'Tariffs Jan2017'!AI51&gt;'Tariffs Jan2017'!M51),($C$5*'Tariffs Jan2017'!AK51/'Tariffs Jan2017'!AI51-'Tariffs Jan2017'!M51)*'Tariffs Jan2017'!S51/100*'Tariffs Jan2017'!AI51,0)</f>
        <v>124.64399999999999</v>
      </c>
      <c r="J57" s="59">
        <f>IF($C$5*'Tariffs Jan2017'!AL51/'Tariffs Jan2017'!AJ51&gt;='Tariffs Jan2017'!J51,('Tariffs Jan2017'!J51*'Tariffs Jan2017'!U51/100)* 'Tariffs Jan2017'!AJ51,($C$5*'Tariffs Jan2017'!AL51/'Tariffs Jan2017'!AJ51*'Tariffs Jan2017'!U51/100)* 'Tariffs Jan2017'!AJ51)</f>
        <v>185.55599999999998</v>
      </c>
      <c r="K57" s="59">
        <f>IF($C$5*'Tariffs Jan2017'!AL51/'Tariffs Jan2017'!AJ51&lt;'Tariffs Jan2017'!J51,0,IF($C$5*'Tariffs Jan2017'!AL51/'Tariffs Jan2017'!AJ51&lt;='Tariffs Jan2017'!K51,($C$5*'Tariffs Jan2017'!AL51/'Tariffs Jan2017'!AJ51-'Tariffs Jan2017'!J51)*('Tariffs Jan2017'!V51/100)*'Tariffs Jan2017'!AJ51,('Tariffs Jan2017'!K51-'Tariffs Jan2017'!J51)*('Tariffs Jan2017'!V51/100)*'Tariffs Jan2017'!AJ51))</f>
        <v>117.614</v>
      </c>
      <c r="L57" s="59">
        <f>IF($C$5*'Tariffs Jan2017'!AL51/'Tariffs Jan2017'!AJ51&lt;'Tariffs Jan2017'!K51,0,IF($C$5*'Tariffs Jan2017'!AL51/'Tariffs Jan2017'!AJ51&lt;='Tariffs Jan2017'!L51,($C$5*'Tariffs Jan2017'!AL51/'Tariffs Jan2017'!AJ51-'Tariffs Jan2017'!K51)*('Tariffs Jan2017'!W51/100)*'Tariffs Jan2017'!AJ51,('Tariffs Jan2017'!L51-'Tariffs Jan2017'!K51)*('Tariffs Jan2017'!W51/100)*'Tariffs Jan2017'!AJ51))</f>
        <v>0</v>
      </c>
      <c r="M57" s="59">
        <f>IF($C$5*'Tariffs Jan2017'!AL51/'Tariffs Jan2017'!AJ51&lt;'Tariffs Jan2017'!L51,0,IF($C$5*'Tariffs Jan2017'!AL51/'Tariffs Jan2017'!AJ51&lt;='Tariffs Jan2017'!M51,($C$5*'Tariffs Jan2017'!AL51/'Tariffs Jan2017'!AJ51-'Tariffs Jan2017'!L51)*('Tariffs Jan2017'!X51/100)*'Tariffs Jan2017'!AJ51,('Tariffs Jan2017'!M51-'Tariffs Jan2017'!L51)*('Tariffs Jan2017'!X51/100)*'Tariffs Jan2017'!AJ51))</f>
        <v>0</v>
      </c>
      <c r="N57" s="59">
        <f>IF(($C$5*'Tariffs Jan2017'!AL51/'Tariffs Jan2017'!AJ51&gt;'Tariffs Jan2017'!M51),($C$5*'Tariffs Jan2017'!AL51/'Tariffs Jan2017'!AJ51-'Tariffs Jan2017'!M51)*'Tariffs Jan2017'!Y51/100*'Tariffs Jan2017'!AJ51,0)</f>
        <v>249.28799999999998</v>
      </c>
      <c r="O57" s="271">
        <f t="shared" si="0"/>
        <v>828.68700000000001</v>
      </c>
      <c r="P57" s="59">
        <f t="shared" si="1"/>
        <v>1096.962</v>
      </c>
      <c r="Q57" s="272">
        <f t="shared" si="2"/>
        <v>1206.6582000000001</v>
      </c>
      <c r="R57" s="40">
        <f>'Tariffs Jan2017'!AM51</f>
        <v>0</v>
      </c>
      <c r="S57" s="40">
        <f>'Tariffs Jan2017'!AN51</f>
        <v>0</v>
      </c>
      <c r="T57" s="40">
        <f>'Tariffs Jan2017'!AO51</f>
        <v>0</v>
      </c>
      <c r="U57" s="40">
        <f>'Tariffs Jan2017'!AP51</f>
        <v>16</v>
      </c>
      <c r="V57" s="273">
        <f t="shared" si="3"/>
        <v>1096.962</v>
      </c>
      <c r="W57" s="273">
        <f>V57-(O57*U57/100)</f>
        <v>964.37207999999998</v>
      </c>
      <c r="X57" s="272">
        <f t="shared" si="4"/>
        <v>1206.6582000000001</v>
      </c>
      <c r="Y57" s="272">
        <f t="shared" si="4"/>
        <v>1060.8092880000002</v>
      </c>
      <c r="Z57" s="274">
        <f>'Tariffs Jan2017'!AW51</f>
        <v>0</v>
      </c>
      <c r="AA57" s="274" t="str">
        <f>'Tariffs Jan2017'!AX51</f>
        <v>n</v>
      </c>
      <c r="AB57" s="275" t="str">
        <f>'Tariffs Jan2017'!BD51</f>
        <v>N</v>
      </c>
      <c r="AC57" s="305"/>
      <c r="AD57" s="305"/>
      <c r="AE57" s="305"/>
      <c r="AF57" s="305"/>
      <c r="AG57" s="305"/>
      <c r="AH57" s="305"/>
      <c r="AI57" s="305"/>
      <c r="AJ57" s="305"/>
      <c r="AK57" s="305"/>
      <c r="AL57" s="305"/>
      <c r="AM57" s="305"/>
      <c r="AN57" s="305"/>
    </row>
    <row r="58" spans="1:40" x14ac:dyDescent="0.15">
      <c r="A58" s="270" t="str">
        <f>'Tariffs Jan2017'!F52</f>
        <v>Lumo Energy</v>
      </c>
      <c r="B58" s="40" t="str">
        <f>'Tariffs Jan2017'!D52</f>
        <v>Envestra Central 1</v>
      </c>
      <c r="C58" s="40" t="str">
        <f>'Tariffs Jan2017'!G52</f>
        <v>Advantage</v>
      </c>
      <c r="D58" s="59">
        <f>365*'Tariffs Jan2017'!H52/100</f>
        <v>240.24299999999999</v>
      </c>
      <c r="E58" s="59">
        <f>IF($C$5*'Tariffs Jan2017'!AK52/'Tariffs Jan2017'!AI52&gt;='Tariffs Jan2017'!J52,( 'Tariffs Jan2017'!J52*'Tariffs Jan2017'!O52/100)* 'Tariffs Jan2017'!AI52,($C$5*'Tariffs Jan2017'!AK52/'Tariffs Jan2017'!AI52*'Tariffs Jan2017'!O52/100)* 'Tariffs Jan2017'!AI52)</f>
        <v>89.488000000000014</v>
      </c>
      <c r="F58" s="59">
        <f>IF($C$5*'Tariffs Jan2017'!AK52/'Tariffs Jan2017'!AI52&lt;'Tariffs Jan2017'!J52,0,IF($C$5*'Tariffs Jan2017'!AK52/'Tariffs Jan2017'!AI52&lt;='Tariffs Jan2017'!K52,($C$5*'Tariffs Jan2017'!AK52/'Tariffs Jan2017'!AI52-'Tariffs Jan2017'!J52)*('Tariffs Jan2017'!P52/100)*'Tariffs Jan2017'!AI52,('Tariffs Jan2017'!K52-'Tariffs Jan2017'!J52)*('Tariffs Jan2017'!P52/100)*'Tariffs Jan2017'!AI52))</f>
        <v>58.807000000000002</v>
      </c>
      <c r="G58" s="59">
        <f>IF($C$5*'Tariffs Jan2017'!AK52/'Tariffs Jan2017'!AI52&lt;'Tariffs Jan2017'!K52,0,IF($C$5*'Tariffs Jan2017'!AK52/'Tariffs Jan2017'!AI52&lt;='Tariffs Jan2017'!L52,($C$5*'Tariffs Jan2017'!AK52/'Tariffs Jan2017'!AI52-'Tariffs Jan2017'!K52)*('Tariffs Jan2017'!Q52/100)*'Tariffs Jan2017'!AI52,('Tariffs Jan2017'!L52-'Tariffs Jan2017'!K52)*('Tariffs Jan2017'!Q52/100)*'Tariffs Jan2017'!AI52))</f>
        <v>0</v>
      </c>
      <c r="H58" s="59">
        <f>IF($C$5*'Tariffs Jan2017'!AK52/'Tariffs Jan2017'!AI52&lt;'Tariffs Jan2017'!L52,0,IF($C$5*'Tariffs Jan2017'!AK52/'Tariffs Jan2017'!AI52&lt;='Tariffs Jan2017'!M52,($C$5*'Tariffs Jan2017'!AK52/'Tariffs Jan2017'!AI52-'Tariffs Jan2017'!L52)*('Tariffs Jan2017'!R52/100)*'Tariffs Jan2017'!AI52,('Tariffs Jan2017'!M52-'Tariffs Jan2017'!L52)*('Tariffs Jan2017'!R52/100)*'Tariffs Jan2017'!AI52))</f>
        <v>0</v>
      </c>
      <c r="I58" s="59">
        <f>IF(($C$5*'Tariffs Jan2017'!AK52/'Tariffs Jan2017'!AI52&gt;'Tariffs Jan2017'!M52),($C$5*'Tariffs Jan2017'!AK52/'Tariffs Jan2017'!AI52-'Tariffs Jan2017'!M52)*'Tariffs Jan2017'!S52/100*'Tariffs Jan2017'!AI52,0)</f>
        <v>129.04319999999998</v>
      </c>
      <c r="J58" s="59">
        <f>IF($C$5*'Tariffs Jan2017'!AL52/'Tariffs Jan2017'!AJ52&gt;='Tariffs Jan2017'!J52,('Tariffs Jan2017'!J52*'Tariffs Jan2017'!U52/100)* 'Tariffs Jan2017'!AJ52,($C$5*'Tariffs Jan2017'!AL52/'Tariffs Jan2017'!AJ52*'Tariffs Jan2017'!U52/100)* 'Tariffs Jan2017'!AJ52)</f>
        <v>178.97600000000003</v>
      </c>
      <c r="K58" s="59">
        <f>IF($C$5*'Tariffs Jan2017'!AL52/'Tariffs Jan2017'!AJ52&lt;'Tariffs Jan2017'!J52,0,IF($C$5*'Tariffs Jan2017'!AL52/'Tariffs Jan2017'!AJ52&lt;='Tariffs Jan2017'!K52,($C$5*'Tariffs Jan2017'!AL52/'Tariffs Jan2017'!AJ52-'Tariffs Jan2017'!J52)*('Tariffs Jan2017'!V52/100)*'Tariffs Jan2017'!AJ52,('Tariffs Jan2017'!K52-'Tariffs Jan2017'!J52)*('Tariffs Jan2017'!V52/100)*'Tariffs Jan2017'!AJ52))</f>
        <v>117.614</v>
      </c>
      <c r="L58" s="59">
        <f>IF($C$5*'Tariffs Jan2017'!AL52/'Tariffs Jan2017'!AJ52&lt;'Tariffs Jan2017'!K52,0,IF($C$5*'Tariffs Jan2017'!AL52/'Tariffs Jan2017'!AJ52&lt;='Tariffs Jan2017'!L52,($C$5*'Tariffs Jan2017'!AL52/'Tariffs Jan2017'!AJ52-'Tariffs Jan2017'!K52)*('Tariffs Jan2017'!W52/100)*'Tariffs Jan2017'!AJ52,('Tariffs Jan2017'!L52-'Tariffs Jan2017'!K52)*('Tariffs Jan2017'!W52/100)*'Tariffs Jan2017'!AJ52))</f>
        <v>0</v>
      </c>
      <c r="M58" s="59">
        <f>IF($C$5*'Tariffs Jan2017'!AL52/'Tariffs Jan2017'!AJ52&lt;'Tariffs Jan2017'!L52,0,IF($C$5*'Tariffs Jan2017'!AL52/'Tariffs Jan2017'!AJ52&lt;='Tariffs Jan2017'!M52,($C$5*'Tariffs Jan2017'!AL52/'Tariffs Jan2017'!AJ52-'Tariffs Jan2017'!L52)*('Tariffs Jan2017'!X52/100)*'Tariffs Jan2017'!AJ52,('Tariffs Jan2017'!M52-'Tariffs Jan2017'!L52)*('Tariffs Jan2017'!X52/100)*'Tariffs Jan2017'!AJ52))</f>
        <v>0</v>
      </c>
      <c r="N58" s="59">
        <f>IF(($C$5*'Tariffs Jan2017'!AL52/'Tariffs Jan2017'!AJ52&gt;'Tariffs Jan2017'!M52),($C$5*'Tariffs Jan2017'!AL52/'Tariffs Jan2017'!AJ52-'Tariffs Jan2017'!M52)*'Tariffs Jan2017'!Y52/100*'Tariffs Jan2017'!AJ52,0)</f>
        <v>258.08639999999997</v>
      </c>
      <c r="O58" s="271">
        <f t="shared" si="0"/>
        <v>832.01459999999997</v>
      </c>
      <c r="P58" s="59">
        <f t="shared" si="1"/>
        <v>1072.2575999999999</v>
      </c>
      <c r="Q58" s="272">
        <f t="shared" si="2"/>
        <v>1179.4833599999999</v>
      </c>
      <c r="R58" s="40">
        <f>'Tariffs Jan2017'!AM52</f>
        <v>0</v>
      </c>
      <c r="S58" s="40">
        <f>'Tariffs Jan2017'!AN52</f>
        <v>0</v>
      </c>
      <c r="T58" s="40">
        <f>'Tariffs Jan2017'!AO52</f>
        <v>15</v>
      </c>
      <c r="U58" s="40">
        <f>'Tariffs Jan2017'!AP52</f>
        <v>0</v>
      </c>
      <c r="V58" s="273">
        <f t="shared" si="3"/>
        <v>1072.2575999999999</v>
      </c>
      <c r="W58" s="273">
        <f>V58-(P58*T58/100)</f>
        <v>911.41895999999997</v>
      </c>
      <c r="X58" s="272">
        <f t="shared" si="4"/>
        <v>1179.4833599999999</v>
      </c>
      <c r="Y58" s="272">
        <f t="shared" si="4"/>
        <v>1002.5608560000001</v>
      </c>
      <c r="Z58" s="274">
        <f>'Tariffs Jan2017'!AW52</f>
        <v>24</v>
      </c>
      <c r="AA58" s="274" t="str">
        <f>'Tariffs Jan2017'!AX52</f>
        <v>n</v>
      </c>
      <c r="AB58" s="275" t="str">
        <f>'Tariffs Jan2017'!BD52</f>
        <v>Y</v>
      </c>
      <c r="AC58" s="305"/>
      <c r="AD58" s="305"/>
      <c r="AE58" s="305"/>
      <c r="AF58" s="305"/>
      <c r="AG58" s="305"/>
      <c r="AH58" s="305"/>
      <c r="AI58" s="305"/>
      <c r="AJ58" s="305"/>
      <c r="AK58" s="305"/>
      <c r="AL58" s="305"/>
      <c r="AM58" s="305"/>
      <c r="AN58" s="305"/>
    </row>
    <row r="59" spans="1:40" x14ac:dyDescent="0.15">
      <c r="A59" s="270" t="str">
        <f>'Tariffs Jan2017'!F53</f>
        <v>Momentum Energy</v>
      </c>
      <c r="B59" s="40" t="str">
        <f>'Tariffs Jan2017'!D53</f>
        <v>Envestra Central 1</v>
      </c>
      <c r="C59" s="40" t="str">
        <f>'Tariffs Jan2017'!G53</f>
        <v>Market offer</v>
      </c>
      <c r="D59" s="59">
        <f>365*'Tariffs Jan2017'!H53/100</f>
        <v>238.63699999999997</v>
      </c>
      <c r="E59" s="59">
        <f>IF($C$5*'Tariffs Jan2017'!AK53/'Tariffs Jan2017'!AI53&gt;='Tariffs Jan2017'!J53,( 'Tariffs Jan2017'!J53*'Tariffs Jan2017'!O53/100)* 'Tariffs Jan2017'!AI53,($C$5*'Tariffs Jan2017'!AK53/'Tariffs Jan2017'!AI53*'Tariffs Jan2017'!O53/100)* 'Tariffs Jan2017'!AI53)</f>
        <v>74.781700000000001</v>
      </c>
      <c r="F59" s="59">
        <f>IF($C$5*'Tariffs Jan2017'!AK53/'Tariffs Jan2017'!AI53&lt;'Tariffs Jan2017'!J53,0,IF($C$5*'Tariffs Jan2017'!AK53/'Tariffs Jan2017'!AI53&lt;='Tariffs Jan2017'!K53,($C$5*'Tariffs Jan2017'!AK53/'Tariffs Jan2017'!AI53-'Tariffs Jan2017'!J53)*('Tariffs Jan2017'!P53/100)*'Tariffs Jan2017'!AI53,('Tariffs Jan2017'!K53-'Tariffs Jan2017'!J53)*('Tariffs Jan2017'!P53/100)*'Tariffs Jan2017'!AI53))</f>
        <v>49.809800000000003</v>
      </c>
      <c r="G59" s="59">
        <f>IF($C$5*'Tariffs Jan2017'!AK53/'Tariffs Jan2017'!AI53&lt;'Tariffs Jan2017'!K53,0,IF($C$5*'Tariffs Jan2017'!AK53/'Tariffs Jan2017'!AI53&lt;='Tariffs Jan2017'!L53,($C$5*'Tariffs Jan2017'!AK53/'Tariffs Jan2017'!AI53-'Tariffs Jan2017'!K53)*('Tariffs Jan2017'!Q53/100)*'Tariffs Jan2017'!AI53,('Tariffs Jan2017'!L53-'Tariffs Jan2017'!K53)*('Tariffs Jan2017'!Q53/100)*'Tariffs Jan2017'!AI53))</f>
        <v>0</v>
      </c>
      <c r="H59" s="59">
        <f>IF($C$5*'Tariffs Jan2017'!AK53/'Tariffs Jan2017'!AI53&lt;'Tariffs Jan2017'!L53,0,IF($C$5*'Tariffs Jan2017'!AK53/'Tariffs Jan2017'!AI53&lt;='Tariffs Jan2017'!M53,($C$5*'Tariffs Jan2017'!AK53/'Tariffs Jan2017'!AI53-'Tariffs Jan2017'!L53)*('Tariffs Jan2017'!R53/100)*'Tariffs Jan2017'!AI53,('Tariffs Jan2017'!M53-'Tariffs Jan2017'!L53)*('Tariffs Jan2017'!R53/100)*'Tariffs Jan2017'!AI53))</f>
        <v>0</v>
      </c>
      <c r="I59" s="59">
        <f>IF(($C$5*'Tariffs Jan2017'!AK53/'Tariffs Jan2017'!AI53&gt;'Tariffs Jan2017'!M53),($C$5*'Tariffs Jan2017'!AK53/'Tariffs Jan2017'!AI53-'Tariffs Jan2017'!M53)*'Tariffs Jan2017'!S53/100*'Tariffs Jan2017'!AI53,0)</f>
        <v>111.88632</v>
      </c>
      <c r="J59" s="59">
        <f>IF($C$5*'Tariffs Jan2017'!AL53/'Tariffs Jan2017'!AJ53&gt;='Tariffs Jan2017'!J53,('Tariffs Jan2017'!J53*'Tariffs Jan2017'!U53/100)* 'Tariffs Jan2017'!AJ53,($C$5*'Tariffs Jan2017'!AL53/'Tariffs Jan2017'!AJ53*'Tariffs Jan2017'!U53/100)* 'Tariffs Jan2017'!AJ53)</f>
        <v>147.3262</v>
      </c>
      <c r="K59" s="59">
        <f>IF($C$5*'Tariffs Jan2017'!AL53/'Tariffs Jan2017'!AJ53&lt;'Tariffs Jan2017'!J53,0,IF($C$5*'Tariffs Jan2017'!AL53/'Tariffs Jan2017'!AJ53&lt;='Tariffs Jan2017'!K53,($C$5*'Tariffs Jan2017'!AL53/'Tariffs Jan2017'!AJ53-'Tariffs Jan2017'!J53)*('Tariffs Jan2017'!V53/100)*'Tariffs Jan2017'!AJ53,('Tariffs Jan2017'!K53-'Tariffs Jan2017'!J53)*('Tariffs Jan2017'!V53/100)*'Tariffs Jan2017'!AJ53))</f>
        <v>97.831000000000003</v>
      </c>
      <c r="L59" s="59">
        <f>IF($C$5*'Tariffs Jan2017'!AL53/'Tariffs Jan2017'!AJ53&lt;'Tariffs Jan2017'!K53,0,IF($C$5*'Tariffs Jan2017'!AL53/'Tariffs Jan2017'!AJ53&lt;='Tariffs Jan2017'!L53,($C$5*'Tariffs Jan2017'!AL53/'Tariffs Jan2017'!AJ53-'Tariffs Jan2017'!K53)*('Tariffs Jan2017'!W53/100)*'Tariffs Jan2017'!AJ53,('Tariffs Jan2017'!L53-'Tariffs Jan2017'!K53)*('Tariffs Jan2017'!W53/100)*'Tariffs Jan2017'!AJ53))</f>
        <v>0</v>
      </c>
      <c r="M59" s="59">
        <f>IF($C$5*'Tariffs Jan2017'!AL53/'Tariffs Jan2017'!AJ53&lt;'Tariffs Jan2017'!L53,0,IF($C$5*'Tariffs Jan2017'!AL53/'Tariffs Jan2017'!AJ53&lt;='Tariffs Jan2017'!M53,($C$5*'Tariffs Jan2017'!AL53/'Tariffs Jan2017'!AJ53-'Tariffs Jan2017'!L53)*('Tariffs Jan2017'!X53/100)*'Tariffs Jan2017'!AJ53,('Tariffs Jan2017'!M53-'Tariffs Jan2017'!L53)*('Tariffs Jan2017'!X53/100)*'Tariffs Jan2017'!AJ53))</f>
        <v>0</v>
      </c>
      <c r="N59" s="59">
        <f>IF(($C$5*'Tariffs Jan2017'!AL53/'Tariffs Jan2017'!AJ53&gt;'Tariffs Jan2017'!M53),($C$5*'Tariffs Jan2017'!AL53/'Tariffs Jan2017'!AJ53-'Tariffs Jan2017'!M53)*'Tariffs Jan2017'!Y53/100*'Tariffs Jan2017'!AJ53,0)</f>
        <v>218.78688</v>
      </c>
      <c r="O59" s="271">
        <f t="shared" si="0"/>
        <v>700.42190000000005</v>
      </c>
      <c r="P59" s="59">
        <f t="shared" si="1"/>
        <v>939.05889999999999</v>
      </c>
      <c r="Q59" s="272">
        <f t="shared" si="2"/>
        <v>1032.96479</v>
      </c>
      <c r="R59" s="40">
        <f>'Tariffs Jan2017'!AM53</f>
        <v>0</v>
      </c>
      <c r="S59" s="40">
        <f>'Tariffs Jan2017'!AN53</f>
        <v>0</v>
      </c>
      <c r="T59" s="40">
        <f>'Tariffs Jan2017'!AO53</f>
        <v>0</v>
      </c>
      <c r="U59" s="40">
        <f>'Tariffs Jan2017'!AP53</f>
        <v>0</v>
      </c>
      <c r="V59" s="273">
        <f t="shared" si="3"/>
        <v>939.05889999999999</v>
      </c>
      <c r="W59" s="273">
        <f>V59</f>
        <v>939.05889999999999</v>
      </c>
      <c r="X59" s="272">
        <f t="shared" si="4"/>
        <v>1032.96479</v>
      </c>
      <c r="Y59" s="272">
        <f t="shared" si="4"/>
        <v>1032.96479</v>
      </c>
      <c r="Z59" s="274">
        <f>'Tariffs Jan2017'!AW53</f>
        <v>0</v>
      </c>
      <c r="AA59" s="274" t="str">
        <f>'Tariffs Jan2017'!AX53</f>
        <v>n</v>
      </c>
      <c r="AB59" s="275" t="str">
        <f>'Tariffs Jan2017'!BD53</f>
        <v>Y</v>
      </c>
      <c r="AC59" s="305"/>
      <c r="AD59" s="305"/>
      <c r="AE59" s="305"/>
      <c r="AF59" s="305"/>
      <c r="AG59" s="305"/>
      <c r="AH59" s="305"/>
      <c r="AI59" s="305"/>
      <c r="AJ59" s="305"/>
      <c r="AK59" s="305"/>
      <c r="AL59" s="305"/>
      <c r="AM59" s="305"/>
      <c r="AN59" s="305"/>
    </row>
    <row r="60" spans="1:40" x14ac:dyDescent="0.15">
      <c r="A60" s="270" t="str">
        <f>'Tariffs Jan2017'!F54</f>
        <v>Origin Energy</v>
      </c>
      <c r="B60" s="40" t="str">
        <f>'Tariffs Jan2017'!D54</f>
        <v>Envestra Central 1</v>
      </c>
      <c r="C60" s="40" t="str">
        <f>'Tariffs Jan2017'!G54</f>
        <v>Saver</v>
      </c>
      <c r="D60" s="59">
        <f>365*'Tariffs Jan2017'!H54/100</f>
        <v>251.52149999999997</v>
      </c>
      <c r="E60" s="59">
        <f>IF($C$5*'Tariffs Jan2017'!AK54/'Tariffs Jan2017'!AI54&gt;='Tariffs Jan2017'!J54,( 'Tariffs Jan2017'!J54*'Tariffs Jan2017'!O54/100)* 'Tariffs Jan2017'!AI54,($C$5*'Tariffs Jan2017'!AK54/'Tariffs Jan2017'!AI54*'Tariffs Jan2017'!O54/100)* 'Tariffs Jan2017'!AI54)</f>
        <v>171.44</v>
      </c>
      <c r="F60" s="59">
        <f>IF($C$5*'Tariffs Jan2017'!AK54/'Tariffs Jan2017'!AI54&lt;'Tariffs Jan2017'!J54,0,IF($C$5*'Tariffs Jan2017'!AK54/'Tariffs Jan2017'!AI54&lt;='Tariffs Jan2017'!K54,($C$5*'Tariffs Jan2017'!AK54/'Tariffs Jan2017'!AI54-'Tariffs Jan2017'!J54)*('Tariffs Jan2017'!P54/100)*'Tariffs Jan2017'!AI54,('Tariffs Jan2017'!K54-'Tariffs Jan2017'!J54)*('Tariffs Jan2017'!P54/100)*'Tariffs Jan2017'!AI54))</f>
        <v>102.85428</v>
      </c>
      <c r="G60" s="59">
        <f>IF($C$5*'Tariffs Jan2017'!AK54/'Tariffs Jan2017'!AI54&lt;'Tariffs Jan2017'!K54,0,IF($C$5*'Tariffs Jan2017'!AK54/'Tariffs Jan2017'!AI54&lt;='Tariffs Jan2017'!L54,($C$5*'Tariffs Jan2017'!AK54/'Tariffs Jan2017'!AI54-'Tariffs Jan2017'!K54)*('Tariffs Jan2017'!Q54/100)*'Tariffs Jan2017'!AI54,('Tariffs Jan2017'!L54-'Tariffs Jan2017'!K54)*('Tariffs Jan2017'!Q54/100)*'Tariffs Jan2017'!AI54))</f>
        <v>0</v>
      </c>
      <c r="H60" s="59">
        <f>IF($C$5*'Tariffs Jan2017'!AK54/'Tariffs Jan2017'!AI54&lt;'Tariffs Jan2017'!L54,0,IF($C$5*'Tariffs Jan2017'!AK54/'Tariffs Jan2017'!AI54&lt;='Tariffs Jan2017'!M54,($C$5*'Tariffs Jan2017'!AK54/'Tariffs Jan2017'!AI54-'Tariffs Jan2017'!L54)*('Tariffs Jan2017'!R54/100)*'Tariffs Jan2017'!AI54,('Tariffs Jan2017'!M54-'Tariffs Jan2017'!L54)*('Tariffs Jan2017'!R54/100)*'Tariffs Jan2017'!AI54))</f>
        <v>0</v>
      </c>
      <c r="I60" s="59">
        <f>IF(($C$5*'Tariffs Jan2017'!AK54/'Tariffs Jan2017'!AI54&gt;'Tariffs Jan2017'!M54),($C$5*'Tariffs Jan2017'!AK54/'Tariffs Jan2017'!AI54-'Tariffs Jan2017'!M54)*'Tariffs Jan2017'!S54/100*'Tariffs Jan2017'!AI54,0)</f>
        <v>0</v>
      </c>
      <c r="J60" s="59">
        <f>IF($C$5*'Tariffs Jan2017'!AL54/'Tariffs Jan2017'!AJ54&gt;='Tariffs Jan2017'!J54,('Tariffs Jan2017'!J54*'Tariffs Jan2017'!U54/100)* 'Tariffs Jan2017'!AJ54,($C$5*'Tariffs Jan2017'!AL54/'Tariffs Jan2017'!AJ54*'Tariffs Jan2017'!U54/100)* 'Tariffs Jan2017'!AJ54)</f>
        <v>342.88</v>
      </c>
      <c r="K60" s="59">
        <f>IF($C$5*'Tariffs Jan2017'!AL54/'Tariffs Jan2017'!AJ54&lt;'Tariffs Jan2017'!J54,0,IF($C$5*'Tariffs Jan2017'!AL54/'Tariffs Jan2017'!AJ54&lt;='Tariffs Jan2017'!K54,($C$5*'Tariffs Jan2017'!AL54/'Tariffs Jan2017'!AJ54-'Tariffs Jan2017'!J54)*('Tariffs Jan2017'!V54/100)*'Tariffs Jan2017'!AJ54,('Tariffs Jan2017'!K54-'Tariffs Jan2017'!J54)*('Tariffs Jan2017'!V54/100)*'Tariffs Jan2017'!AJ54))</f>
        <v>205.70856000000001</v>
      </c>
      <c r="L60" s="59">
        <f>IF($C$5*'Tariffs Jan2017'!AL54/'Tariffs Jan2017'!AJ54&lt;'Tariffs Jan2017'!K54,0,IF($C$5*'Tariffs Jan2017'!AL54/'Tariffs Jan2017'!AJ54&lt;='Tariffs Jan2017'!L54,($C$5*'Tariffs Jan2017'!AL54/'Tariffs Jan2017'!AJ54-'Tariffs Jan2017'!K54)*('Tariffs Jan2017'!W54/100)*'Tariffs Jan2017'!AJ54,('Tariffs Jan2017'!L54-'Tariffs Jan2017'!K54)*('Tariffs Jan2017'!W54/100)*'Tariffs Jan2017'!AJ54))</f>
        <v>0</v>
      </c>
      <c r="M60" s="59">
        <f>IF($C$5*'Tariffs Jan2017'!AL54/'Tariffs Jan2017'!AJ54&lt;'Tariffs Jan2017'!L54,0,IF($C$5*'Tariffs Jan2017'!AL54/'Tariffs Jan2017'!AJ54&lt;='Tariffs Jan2017'!M54,($C$5*'Tariffs Jan2017'!AL54/'Tariffs Jan2017'!AJ54-'Tariffs Jan2017'!L54)*('Tariffs Jan2017'!X54/100)*'Tariffs Jan2017'!AJ54,('Tariffs Jan2017'!M54-'Tariffs Jan2017'!L54)*('Tariffs Jan2017'!X54/100)*'Tariffs Jan2017'!AJ54))</f>
        <v>0</v>
      </c>
      <c r="N60" s="59">
        <f>IF(($C$5*'Tariffs Jan2017'!AL54/'Tariffs Jan2017'!AJ54&gt;'Tariffs Jan2017'!M54),($C$5*'Tariffs Jan2017'!AL54/'Tariffs Jan2017'!AJ54-'Tariffs Jan2017'!M54)*'Tariffs Jan2017'!Y54/100*'Tariffs Jan2017'!AJ54,0)</f>
        <v>0</v>
      </c>
      <c r="O60" s="271">
        <f t="shared" si="0"/>
        <v>822.88283999999999</v>
      </c>
      <c r="P60" s="59">
        <f t="shared" si="1"/>
        <v>1074.40434</v>
      </c>
      <c r="Q60" s="272">
        <f t="shared" si="2"/>
        <v>1181.8447740000001</v>
      </c>
      <c r="R60" s="40">
        <f>'Tariffs Jan2017'!AM54</f>
        <v>0</v>
      </c>
      <c r="S60" s="40">
        <f>'Tariffs Jan2017'!AN54</f>
        <v>0</v>
      </c>
      <c r="T60" s="40">
        <f>'Tariffs Jan2017'!AO54</f>
        <v>0</v>
      </c>
      <c r="U60" s="40">
        <f>'Tariffs Jan2017'!AP54</f>
        <v>13</v>
      </c>
      <c r="V60" s="273">
        <f t="shared" si="3"/>
        <v>1074.40434</v>
      </c>
      <c r="W60" s="273">
        <f>V60-(O60*U60/100)</f>
        <v>967.42957080000008</v>
      </c>
      <c r="X60" s="272">
        <f t="shared" si="4"/>
        <v>1181.8447740000001</v>
      </c>
      <c r="Y60" s="272">
        <f t="shared" si="4"/>
        <v>1064.1725278800002</v>
      </c>
      <c r="Z60" s="274">
        <f>'Tariffs Jan2017'!AW54</f>
        <v>0</v>
      </c>
      <c r="AA60" s="274" t="str">
        <f>'Tariffs Jan2017'!AX54</f>
        <v>n</v>
      </c>
      <c r="AB60" s="275" t="str">
        <f>'Tariffs Jan2017'!BD54</f>
        <v>N</v>
      </c>
      <c r="AC60" s="305"/>
      <c r="AD60" s="305"/>
      <c r="AE60" s="305"/>
      <c r="AF60" s="305"/>
      <c r="AG60" s="305"/>
      <c r="AH60" s="305"/>
      <c r="AI60" s="305"/>
      <c r="AJ60" s="305"/>
      <c r="AK60" s="305"/>
      <c r="AL60" s="305"/>
      <c r="AM60" s="305"/>
      <c r="AN60" s="305"/>
    </row>
    <row r="61" spans="1:40" x14ac:dyDescent="0.15">
      <c r="A61" s="270" t="str">
        <f>'Tariffs Jan2017'!F55</f>
        <v>Red Energy</v>
      </c>
      <c r="B61" s="40" t="str">
        <f>'Tariffs Jan2017'!D55</f>
        <v>Envestra Central 1</v>
      </c>
      <c r="C61" s="40" t="str">
        <f>'Tariffs Jan2017'!G55</f>
        <v>Living Energy Saver</v>
      </c>
      <c r="D61" s="59">
        <f>365*'Tariffs Jan2017'!H55/100</f>
        <v>259.14999999999998</v>
      </c>
      <c r="E61" s="59">
        <f>IF($C$5*'Tariffs Jan2017'!AK55/'Tariffs Jan2017'!AI55&gt;='Tariffs Jan2017'!J55,( 'Tariffs Jan2017'!J55*'Tariffs Jan2017'!O55/100)* 'Tariffs Jan2017'!AI55,($C$5*'Tariffs Jan2017'!AK55/'Tariffs Jan2017'!AI55*'Tariffs Jan2017'!O55/100)* 'Tariffs Jan2017'!AI55)</f>
        <v>134.82</v>
      </c>
      <c r="F61" s="59">
        <f>IF($C$5*'Tariffs Jan2017'!AK55/'Tariffs Jan2017'!AI55&lt;'Tariffs Jan2017'!J55,0,IF($C$5*'Tariffs Jan2017'!AK55/'Tariffs Jan2017'!AI55&lt;='Tariffs Jan2017'!K55,($C$5*'Tariffs Jan2017'!AK55/'Tariffs Jan2017'!AI55-'Tariffs Jan2017'!J55)*('Tariffs Jan2017'!S55/100)*'Tariffs Jan2017'!AI55,('Tariffs Jan2017'!K55-'Tariffs Jan2017'!J55)*('Tariffs Jan2017'!S55/100)*'Tariffs Jan2017'!AI55))</f>
        <v>0</v>
      </c>
      <c r="G61" s="59">
        <f>IF($C$5*'Tariffs Jan2017'!AK55/'Tariffs Jan2017'!AI55&lt;'Tariffs Jan2017'!K55,0,IF($C$5*'Tariffs Jan2017'!AK55/'Tariffs Jan2017'!AI55&lt;='Tariffs Jan2017'!L55,($C$5*'Tariffs Jan2017'!AK55/'Tariffs Jan2017'!AI55-'Tariffs Jan2017'!K55)*('Tariffs Jan2017'!Q55/100)*'Tariffs Jan2017'!AI55,('Tariffs Jan2017'!L55-'Tariffs Jan2017'!K55)*('Tariffs Jan2017'!Q55/100)*'Tariffs Jan2017'!AI55))</f>
        <v>0</v>
      </c>
      <c r="H61" s="59">
        <f>IF($C$5*'Tariffs Jan2017'!AK55/'Tariffs Jan2017'!AI55&lt;'Tariffs Jan2017'!L55,0,IF($C$5*'Tariffs Jan2017'!AK55/'Tariffs Jan2017'!AI55&lt;='Tariffs Jan2017'!M55,($C$5*'Tariffs Jan2017'!AK55/'Tariffs Jan2017'!AI55-'Tariffs Jan2017'!L55)*('Tariffs Jan2017'!R55/100)*'Tariffs Jan2017'!AI55,('Tariffs Jan2017'!M55-'Tariffs Jan2017'!L55)*('Tariffs Jan2017'!R55/100)*'Tariffs Jan2017'!AI55))</f>
        <v>0</v>
      </c>
      <c r="I61" s="59">
        <f>IF(($C$5*'Tariffs Jan2017'!AK55/'Tariffs Jan2017'!AI55&gt;'Tariffs Jan2017'!M55),($C$5*'Tariffs Jan2017'!AK55/'Tariffs Jan2017'!AI55-'Tariffs Jan2017'!M55)*'Tariffs Jan2017'!S55/100*'Tariffs Jan2017'!AI55,0)</f>
        <v>117.60528000000001</v>
      </c>
      <c r="J61" s="59">
        <f>IF($C$5*'Tariffs Jan2017'!AL55/'Tariffs Jan2017'!AJ55&gt;='Tariffs Jan2017'!J55,('Tariffs Jan2017'!J55*'Tariffs Jan2017'!U55/100)* 'Tariffs Jan2017'!AJ55,($C$5*'Tariffs Jan2017'!AL55/'Tariffs Jan2017'!AJ55*'Tariffs Jan2017'!U55/100)* 'Tariffs Jan2017'!AJ55)</f>
        <v>269.64</v>
      </c>
      <c r="K61" s="59">
        <f>IF($C$5*'Tariffs Jan2017'!AL55/'Tariffs Jan2017'!AJ55&lt;'Tariffs Jan2017'!J55,0,IF($C$5*'Tariffs Jan2017'!AL55/'Tariffs Jan2017'!AJ55&lt;='Tariffs Jan2017'!K55,($C$5*'Tariffs Jan2017'!AL55/'Tariffs Jan2017'!AJ55-'Tariffs Jan2017'!J55)*('Tariffs Jan2017'!V55/100)*'Tariffs Jan2017'!AJ55,('Tariffs Jan2017'!K55-'Tariffs Jan2017'!J55)*('Tariffs Jan2017'!V55/100)*'Tariffs Jan2017'!AJ55))</f>
        <v>0</v>
      </c>
      <c r="L61" s="59">
        <f>IF($C$5*'Tariffs Jan2017'!AL55/'Tariffs Jan2017'!AJ55&lt;'Tariffs Jan2017'!K55,0,IF($C$5*'Tariffs Jan2017'!AL55/'Tariffs Jan2017'!AJ55&lt;='Tariffs Jan2017'!L55,($C$5*'Tariffs Jan2017'!AL55/'Tariffs Jan2017'!AJ55-'Tariffs Jan2017'!K55)*('Tariffs Jan2017'!W55/100)*'Tariffs Jan2017'!AJ55,('Tariffs Jan2017'!L55-'Tariffs Jan2017'!K55)*('Tariffs Jan2017'!W55/100)*'Tariffs Jan2017'!AJ55))</f>
        <v>0</v>
      </c>
      <c r="M61" s="59">
        <f>IF($C$5*'Tariffs Jan2017'!AL55/'Tariffs Jan2017'!AJ55&lt;'Tariffs Jan2017'!L55,0,IF($C$5*'Tariffs Jan2017'!AL55/'Tariffs Jan2017'!AJ55&lt;='Tariffs Jan2017'!M55,($C$5*'Tariffs Jan2017'!AL55/'Tariffs Jan2017'!AJ55-'Tariffs Jan2017'!L55)*('Tariffs Jan2017'!X55/100)*'Tariffs Jan2017'!AJ55,('Tariffs Jan2017'!M55-'Tariffs Jan2017'!L55)*('Tariffs Jan2017'!X55/100)*'Tariffs Jan2017'!AJ55))</f>
        <v>0</v>
      </c>
      <c r="N61" s="59">
        <f>IF(($C$5*'Tariffs Jan2017'!AL55/'Tariffs Jan2017'!AJ55&gt;'Tariffs Jan2017'!M55),($C$5*'Tariffs Jan2017'!AL55/'Tariffs Jan2017'!AJ55-'Tariffs Jan2017'!M55)*'Tariffs Jan2017'!Y55/100*'Tariffs Jan2017'!AJ55,0)</f>
        <v>235.21056000000002</v>
      </c>
      <c r="O61" s="271">
        <f t="shared" si="0"/>
        <v>757.27584000000002</v>
      </c>
      <c r="P61" s="59">
        <f t="shared" si="1"/>
        <v>1016.42584</v>
      </c>
      <c r="Q61" s="272">
        <f t="shared" si="2"/>
        <v>1118.0684240000001</v>
      </c>
      <c r="R61" s="40">
        <f>'Tariffs Jan2017'!AM55</f>
        <v>0</v>
      </c>
      <c r="S61" s="40">
        <f>'Tariffs Jan2017'!AN55</f>
        <v>0</v>
      </c>
      <c r="T61" s="40">
        <f>'Tariffs Jan2017'!AO55</f>
        <v>10</v>
      </c>
      <c r="U61" s="40">
        <f>'Tariffs Jan2017'!AP55</f>
        <v>0</v>
      </c>
      <c r="V61" s="273">
        <f t="shared" si="3"/>
        <v>1016.42584</v>
      </c>
      <c r="W61" s="273">
        <f>V61-(P61*T61/100)</f>
        <v>914.78325599999994</v>
      </c>
      <c r="X61" s="272">
        <f t="shared" si="4"/>
        <v>1118.0684240000001</v>
      </c>
      <c r="Y61" s="272">
        <f t="shared" si="4"/>
        <v>1006.2615816</v>
      </c>
      <c r="Z61" s="274">
        <f>'Tariffs Jan2017'!AW55</f>
        <v>0</v>
      </c>
      <c r="AA61" s="274" t="str">
        <f>'Tariffs Jan2017'!AX55</f>
        <v>n</v>
      </c>
      <c r="AB61" s="275" t="str">
        <f>'Tariffs Jan2017'!BD55</f>
        <v>Y</v>
      </c>
      <c r="AC61" s="305"/>
      <c r="AD61" s="305"/>
      <c r="AE61" s="305"/>
      <c r="AF61" s="305"/>
      <c r="AG61" s="305"/>
      <c r="AH61" s="305"/>
      <c r="AI61" s="305"/>
      <c r="AJ61" s="305"/>
      <c r="AK61" s="305"/>
      <c r="AL61" s="305"/>
      <c r="AM61" s="305"/>
      <c r="AN61" s="305"/>
    </row>
    <row r="62" spans="1:40" ht="14" thickBot="1" x14ac:dyDescent="0.2">
      <c r="A62" s="276" t="str">
        <f>'Tariffs Jan2017'!F56</f>
        <v>Simply Energy</v>
      </c>
      <c r="B62" s="277" t="str">
        <f>'Tariffs Jan2017'!D56</f>
        <v>Envestra Central 1</v>
      </c>
      <c r="C62" s="277" t="str">
        <f>'Tariffs Jan2017'!G56</f>
        <v>Plus</v>
      </c>
      <c r="D62" s="278">
        <f>365*'Tariffs Jan2017'!H56/100</f>
        <v>263.09199999999998</v>
      </c>
      <c r="E62" s="278">
        <f>IF($C$5*'Tariffs Jan2017'!AK56/'Tariffs Jan2017'!AI56&gt;='Tariffs Jan2017'!J56,( 'Tariffs Jan2017'!J56*'Tariffs Jan2017'!O56/100)* 'Tariffs Jan2017'!AI56,($C$5*'Tariffs Jan2017'!AK56/'Tariffs Jan2017'!AI56*'Tariffs Jan2017'!O56/100)* 'Tariffs Jan2017'!AI56)</f>
        <v>76.98599999999999</v>
      </c>
      <c r="F62" s="278">
        <f>IF($C$5*'Tariffs Jan2017'!AK56/'Tariffs Jan2017'!AI56&lt;'Tariffs Jan2017'!J56,0,IF($C$5*'Tariffs Jan2017'!AK56/'Tariffs Jan2017'!AI56&lt;='Tariffs Jan2017'!K56,($C$5*'Tariffs Jan2017'!AK56/'Tariffs Jan2017'!AI56-'Tariffs Jan2017'!J56)*('Tariffs Jan2017'!P56/100)*'Tariffs Jan2017'!AI56,('Tariffs Jan2017'!K56-'Tariffs Jan2017'!J56)*('Tariffs Jan2017'!P56/100)*'Tariffs Jan2017'!AI56))</f>
        <v>53.386999999999993</v>
      </c>
      <c r="G62" s="278">
        <f>IF($C$5*'Tariffs Jan2017'!AK56/'Tariffs Jan2017'!AI56&lt;'Tariffs Jan2017'!K56,0,IF($C$5*'Tariffs Jan2017'!AK56/'Tariffs Jan2017'!AI56&lt;='Tariffs Jan2017'!L56,($C$5*'Tariffs Jan2017'!AK56/'Tariffs Jan2017'!AI56-'Tariffs Jan2017'!K56)*('Tariffs Jan2017'!Q56/100)*'Tariffs Jan2017'!AI56,('Tariffs Jan2017'!L56-'Tariffs Jan2017'!K56)*('Tariffs Jan2017'!Q56/100)*'Tariffs Jan2017'!AI56))</f>
        <v>0</v>
      </c>
      <c r="H62" s="278">
        <f>IF($C$5*'Tariffs Jan2017'!AK56/'Tariffs Jan2017'!AI56&lt;'Tariffs Jan2017'!L56,0,IF($C$5*'Tariffs Jan2017'!AK56/'Tariffs Jan2017'!AI56&lt;='Tariffs Jan2017'!M56,($C$5*'Tariffs Jan2017'!AK56/'Tariffs Jan2017'!AI56-'Tariffs Jan2017'!L56)*('Tariffs Jan2017'!R56/100)*'Tariffs Jan2017'!AI56,('Tariffs Jan2017'!M56-'Tariffs Jan2017'!L56)*('Tariffs Jan2017'!R56/100)*'Tariffs Jan2017'!AI56))</f>
        <v>0</v>
      </c>
      <c r="I62" s="278">
        <f>IF(($C$5*'Tariffs Jan2017'!AK56/'Tariffs Jan2017'!AI56&gt;'Tariffs Jan2017'!M56),($C$5*'Tariffs Jan2017'!AK56/'Tariffs Jan2017'!AI56-'Tariffs Jan2017'!M56)*'Tariffs Jan2017'!S56/100*'Tariffs Jan2017'!AI56,0)</f>
        <v>120.97799999999999</v>
      </c>
      <c r="J62" s="278">
        <f>IF($C$5*'Tariffs Jan2017'!AL56/'Tariffs Jan2017'!AJ56&gt;='Tariffs Jan2017'!J56,('Tariffs Jan2017'!J56*'Tariffs Jan2017'!U56/100)* 'Tariffs Jan2017'!AJ56,($C$5*'Tariffs Jan2017'!AL56/'Tariffs Jan2017'!AJ56*'Tariffs Jan2017'!U56/100)* 'Tariffs Jan2017'!AJ56)</f>
        <v>153.97199999999998</v>
      </c>
      <c r="K62" s="278">
        <f>IF($C$5*'Tariffs Jan2017'!AL56/'Tariffs Jan2017'!AJ56&lt;'Tariffs Jan2017'!J56,0,IF($C$5*'Tariffs Jan2017'!AL56/'Tariffs Jan2017'!AJ56&lt;='Tariffs Jan2017'!K56,($C$5*'Tariffs Jan2017'!AL56/'Tariffs Jan2017'!AJ56-'Tariffs Jan2017'!J56)*('Tariffs Jan2017'!V56/100)*'Tariffs Jan2017'!AJ56,('Tariffs Jan2017'!K56-'Tariffs Jan2017'!J56)*('Tariffs Jan2017'!V56/100)*'Tariffs Jan2017'!AJ56))</f>
        <v>106.77399999999999</v>
      </c>
      <c r="L62" s="278">
        <f>IF($C$5*'Tariffs Jan2017'!AL56/'Tariffs Jan2017'!AJ56&lt;'Tariffs Jan2017'!K56,0,IF($C$5*'Tariffs Jan2017'!AL56/'Tariffs Jan2017'!AJ56&lt;='Tariffs Jan2017'!L56,($C$5*'Tariffs Jan2017'!AL56/'Tariffs Jan2017'!AJ56-'Tariffs Jan2017'!K56)*('Tariffs Jan2017'!W56/100)*'Tariffs Jan2017'!AJ56,('Tariffs Jan2017'!L56-'Tariffs Jan2017'!K56)*('Tariffs Jan2017'!W56/100)*'Tariffs Jan2017'!AJ56))</f>
        <v>0</v>
      </c>
      <c r="M62" s="278">
        <f>IF($C$5*'Tariffs Jan2017'!AL56/'Tariffs Jan2017'!AJ56&lt;'Tariffs Jan2017'!L56,0,IF($C$5*'Tariffs Jan2017'!AL56/'Tariffs Jan2017'!AJ56&lt;='Tariffs Jan2017'!M56,($C$5*'Tariffs Jan2017'!AL56/'Tariffs Jan2017'!AJ56-'Tariffs Jan2017'!L56)*('Tariffs Jan2017'!X56/100)*'Tariffs Jan2017'!AJ56,('Tariffs Jan2017'!M56-'Tariffs Jan2017'!L56)*('Tariffs Jan2017'!X56/100)*'Tariffs Jan2017'!AJ56))</f>
        <v>0</v>
      </c>
      <c r="N62" s="278">
        <f>IF(($C$5*'Tariffs Jan2017'!AL56/'Tariffs Jan2017'!AJ56&gt;'Tariffs Jan2017'!M56),($C$5*'Tariffs Jan2017'!AL56/'Tariffs Jan2017'!AJ56-'Tariffs Jan2017'!M56)*'Tariffs Jan2017'!Y56/100*'Tariffs Jan2017'!AJ56,0)</f>
        <v>241.95599999999999</v>
      </c>
      <c r="O62" s="279">
        <f t="shared" si="0"/>
        <v>754.053</v>
      </c>
      <c r="P62" s="278">
        <f t="shared" si="1"/>
        <v>1017.145</v>
      </c>
      <c r="Q62" s="280">
        <f t="shared" si="2"/>
        <v>1118.8595</v>
      </c>
      <c r="R62" s="277">
        <f>'Tariffs Jan2017'!AM56</f>
        <v>0</v>
      </c>
      <c r="S62" s="277">
        <f>'Tariffs Jan2017'!AN56</f>
        <v>0</v>
      </c>
      <c r="T62" s="277">
        <f>'Tariffs Jan2017'!AO56</f>
        <v>0</v>
      </c>
      <c r="U62" s="277">
        <f>'Tariffs Jan2017'!AP56</f>
        <v>15</v>
      </c>
      <c r="V62" s="273">
        <f t="shared" si="3"/>
        <v>1017.145</v>
      </c>
      <c r="W62" s="281">
        <f>V62-(O62*U62/100)</f>
        <v>904.03705000000002</v>
      </c>
      <c r="X62" s="280">
        <f t="shared" si="4"/>
        <v>1118.8595</v>
      </c>
      <c r="Y62" s="280">
        <f t="shared" si="4"/>
        <v>994.44075500000008</v>
      </c>
      <c r="Z62" s="282">
        <f>'Tariffs Jan2017'!AW56</f>
        <v>24</v>
      </c>
      <c r="AA62" s="282" t="str">
        <f>'Tariffs Jan2017'!AX56</f>
        <v>n</v>
      </c>
      <c r="AB62" s="283" t="str">
        <f>'Tariffs Jan2017'!BD56</f>
        <v>Y</v>
      </c>
      <c r="AC62" s="305"/>
      <c r="AD62" s="305"/>
      <c r="AE62" s="305"/>
      <c r="AF62" s="305"/>
      <c r="AG62" s="305"/>
      <c r="AH62" s="305"/>
      <c r="AI62" s="305"/>
      <c r="AJ62" s="305"/>
      <c r="AK62" s="305"/>
      <c r="AL62" s="305"/>
      <c r="AM62" s="305"/>
      <c r="AN62" s="305"/>
    </row>
    <row r="63" spans="1:40" ht="14" thickTop="1" x14ac:dyDescent="0.15">
      <c r="A63" s="270" t="str">
        <f>'Tariffs Jan2017'!F57</f>
        <v>AGL</v>
      </c>
      <c r="B63" s="40" t="str">
        <f>'Tariffs Jan2017'!D57</f>
        <v>Ausnet West</v>
      </c>
      <c r="C63" s="40" t="str">
        <f>'Tariffs Jan2017'!G57</f>
        <v>Savers</v>
      </c>
      <c r="D63" s="59">
        <f>365*'Tariffs Jan2017'!H57/100</f>
        <v>286.37899999999996</v>
      </c>
      <c r="E63" s="59">
        <f>IF($C$5*'Tariffs Jan2017'!AK57/'Tariffs Jan2017'!AI57&gt;='Tariffs Jan2017'!J57,( 'Tariffs Jan2017'!J57*'Tariffs Jan2017'!O57/100)* 'Tariffs Jan2017'!AI57,($C$5*'Tariffs Jan2017'!AK57/'Tariffs Jan2017'!AI57*'Tariffs Jan2017'!O57/100)* 'Tariffs Jan2017'!AI57)</f>
        <v>234.36</v>
      </c>
      <c r="F63" s="59">
        <f>IF($C$5*'Tariffs Jan2017'!AK57/'Tariffs Jan2017'!AI57&lt;'Tariffs Jan2017'!J57,0,IF($C$5*'Tariffs Jan2017'!AK57/'Tariffs Jan2017'!AI57&lt;='Tariffs Jan2017'!K57,($C$5*'Tariffs Jan2017'!AK57/'Tariffs Jan2017'!AI57-'Tariffs Jan2017'!J57)*('Tariffs Jan2017'!P57/100)*'Tariffs Jan2017'!AI57,('Tariffs Jan2017'!K57-'Tariffs Jan2017'!J57)*('Tariffs Jan2017'!P57/100)*'Tariffs Jan2017'!AI57))</f>
        <v>24.974999999999998</v>
      </c>
      <c r="G63" s="59">
        <f>IF($C$5*'Tariffs Jan2017'!AK57/'Tariffs Jan2017'!AI57&lt;'Tariffs Jan2017'!K57,0,IF($C$5*'Tariffs Jan2017'!AK57/'Tariffs Jan2017'!AI57&lt;='Tariffs Jan2017'!L57,($C$5*'Tariffs Jan2017'!AK57/'Tariffs Jan2017'!AI57-'Tariffs Jan2017'!K57)*('Tariffs Jan2017'!Q57/100)*'Tariffs Jan2017'!AI57,('Tariffs Jan2017'!L57-'Tariffs Jan2017'!K57)*('Tariffs Jan2017'!Q57/100)*'Tariffs Jan2017'!AI57))</f>
        <v>0</v>
      </c>
      <c r="H63" s="59">
        <f>IF($C$5*'Tariffs Jan2017'!AK57/'Tariffs Jan2017'!AI57&lt;'Tariffs Jan2017'!L57,0,IF($C$5*'Tariffs Jan2017'!AK57/'Tariffs Jan2017'!AI57&lt;='Tariffs Jan2017'!M57,($C$5*'Tariffs Jan2017'!AK57/'Tariffs Jan2017'!AI57-'Tariffs Jan2017'!L57)*('Tariffs Jan2017'!R57/100)*'Tariffs Jan2017'!AI57,('Tariffs Jan2017'!M57-'Tariffs Jan2017'!L57)*('Tariffs Jan2017'!R57/100)*'Tariffs Jan2017'!AI57))</f>
        <v>0</v>
      </c>
      <c r="I63" s="59">
        <f>IF(($C$5*'Tariffs Jan2017'!AK57/'Tariffs Jan2017'!AI57&gt;'Tariffs Jan2017'!M57),($C$5*'Tariffs Jan2017'!AK57/'Tariffs Jan2017'!AI57-'Tariffs Jan2017'!M57)*'Tariffs Jan2017'!S57/100*'Tariffs Jan2017'!AI57,0)</f>
        <v>0</v>
      </c>
      <c r="J63" s="59">
        <f>IF($C$5*'Tariffs Jan2017'!AL57/'Tariffs Jan2017'!AJ57&gt;='Tariffs Jan2017'!J57,('Tariffs Jan2017'!J57*'Tariffs Jan2017'!U57/100)* 'Tariffs Jan2017'!AJ57,($C$5*'Tariffs Jan2017'!AL57/'Tariffs Jan2017'!AJ57*'Tariffs Jan2017'!U57/100)* 'Tariffs Jan2017'!AJ57)</f>
        <v>426</v>
      </c>
      <c r="K63" s="59">
        <f>IF($C$5*'Tariffs Jan2017'!AL57/'Tariffs Jan2017'!AJ57&lt;'Tariffs Jan2017'!J57,0,IF($C$5*'Tariffs Jan2017'!AL57/'Tariffs Jan2017'!AJ57&lt;='Tariffs Jan2017'!K57,($C$5*'Tariffs Jan2017'!AL57/'Tariffs Jan2017'!AJ57-'Tariffs Jan2017'!J57)*('Tariffs Jan2017'!V57/100)*'Tariffs Jan2017'!AJ57,('Tariffs Jan2017'!K57-'Tariffs Jan2017'!J57)*('Tariffs Jan2017'!V57/100)*'Tariffs Jan2017'!AJ57))</f>
        <v>38.148479999999999</v>
      </c>
      <c r="L63" s="59">
        <f>IF($C$5*'Tariffs Jan2017'!AL57/'Tariffs Jan2017'!AJ57&lt;'Tariffs Jan2017'!K57,0,IF($C$5*'Tariffs Jan2017'!AL57/'Tariffs Jan2017'!AJ57&lt;='Tariffs Jan2017'!L57,($C$5*'Tariffs Jan2017'!AL57/'Tariffs Jan2017'!AJ57-'Tariffs Jan2017'!K57)*('Tariffs Jan2017'!W57/100)*'Tariffs Jan2017'!AJ57,('Tariffs Jan2017'!L57-'Tariffs Jan2017'!K57)*('Tariffs Jan2017'!W57/100)*'Tariffs Jan2017'!AJ57))</f>
        <v>0</v>
      </c>
      <c r="M63" s="59">
        <f>IF($C$5*'Tariffs Jan2017'!AL57/'Tariffs Jan2017'!AJ57&lt;'Tariffs Jan2017'!L57,0,IF($C$5*'Tariffs Jan2017'!AL57/'Tariffs Jan2017'!AJ57&lt;='Tariffs Jan2017'!M57,($C$5*'Tariffs Jan2017'!AL57/'Tariffs Jan2017'!AJ57-'Tariffs Jan2017'!L57)*('Tariffs Jan2017'!X57/100)*'Tariffs Jan2017'!AJ57,('Tariffs Jan2017'!M57-'Tariffs Jan2017'!L57)*('Tariffs Jan2017'!X57/100)*'Tariffs Jan2017'!AJ57))</f>
        <v>0</v>
      </c>
      <c r="N63" s="59">
        <f>IF(($C$5*'Tariffs Jan2017'!AL57/'Tariffs Jan2017'!AJ57&gt;'Tariffs Jan2017'!M57),($C$5*'Tariffs Jan2017'!AL57/'Tariffs Jan2017'!AJ57-'Tariffs Jan2017'!M57)*'Tariffs Jan2017'!Y57/100*'Tariffs Jan2017'!AJ57,0)</f>
        <v>0</v>
      </c>
      <c r="O63" s="271">
        <f t="shared" si="0"/>
        <v>723.48347999999999</v>
      </c>
      <c r="P63" s="59">
        <f t="shared" si="1"/>
        <v>1009.86248</v>
      </c>
      <c r="Q63" s="272">
        <f t="shared" si="2"/>
        <v>1110.8487280000002</v>
      </c>
      <c r="R63" s="40">
        <f>'Tariffs Jan2017'!AM57</f>
        <v>0</v>
      </c>
      <c r="S63" s="40">
        <f>'Tariffs Jan2017'!AN57</f>
        <v>0</v>
      </c>
      <c r="T63" s="40">
        <f>'Tariffs Jan2017'!AO57</f>
        <v>0</v>
      </c>
      <c r="U63" s="40">
        <f>'Tariffs Jan2017'!AP57</f>
        <v>15</v>
      </c>
      <c r="V63" s="273">
        <f t="shared" si="3"/>
        <v>1009.86248</v>
      </c>
      <c r="W63" s="273">
        <f>V63-(O63*U63/100)</f>
        <v>901.33995800000002</v>
      </c>
      <c r="X63" s="272">
        <f t="shared" si="4"/>
        <v>1110.8487280000002</v>
      </c>
      <c r="Y63" s="272">
        <f t="shared" si="4"/>
        <v>991.47395380000012</v>
      </c>
      <c r="Z63" s="274">
        <f>'Tariffs Jan2017'!AW57</f>
        <v>0</v>
      </c>
      <c r="AA63" s="274" t="str">
        <f>'Tariffs Jan2017'!AX57</f>
        <v>n</v>
      </c>
      <c r="AB63" s="275" t="str">
        <f>'Tariffs Jan2017'!BD57</f>
        <v>N</v>
      </c>
      <c r="AC63" s="305"/>
      <c r="AD63" s="305"/>
      <c r="AE63" s="305"/>
      <c r="AF63" s="305"/>
      <c r="AG63" s="305"/>
      <c r="AH63" s="305"/>
      <c r="AI63" s="305"/>
      <c r="AJ63" s="305"/>
      <c r="AK63" s="305"/>
      <c r="AL63" s="305"/>
      <c r="AM63" s="305"/>
      <c r="AN63" s="305"/>
    </row>
    <row r="64" spans="1:40" x14ac:dyDescent="0.15">
      <c r="A64" s="270" t="str">
        <f>'Tariffs Jan2017'!F58</f>
        <v>Alinta Energy</v>
      </c>
      <c r="B64" s="40" t="str">
        <f>'Tariffs Jan2017'!D58</f>
        <v>Ausnet West</v>
      </c>
      <c r="C64" s="40" t="str">
        <f>'Tariffs Jan2017'!G58</f>
        <v>Fair Deal</v>
      </c>
      <c r="D64" s="59">
        <f>365*'Tariffs Jan2017'!H58/100</f>
        <v>231.62900000000002</v>
      </c>
      <c r="E64" s="59">
        <f>IF($C$5*'Tariffs Jan2017'!AK58/'Tariffs Jan2017'!AI58&gt;='Tariffs Jan2017'!J58,( 'Tariffs Jan2017'!J58*'Tariffs Jan2017'!O58/100)* 'Tariffs Jan2017'!AI58,($C$5*'Tariffs Jan2017'!AK58/'Tariffs Jan2017'!AI58*'Tariffs Jan2017'!O58/100)* 'Tariffs Jan2017'!AI58)</f>
        <v>238.8</v>
      </c>
      <c r="F64" s="59">
        <f>IF($C$5*'Tariffs Jan2017'!AK58/'Tariffs Jan2017'!AI58&lt;'Tariffs Jan2017'!J58,0,IF($C$5*'Tariffs Jan2017'!AK58/'Tariffs Jan2017'!AI58&lt;='Tariffs Jan2017'!K58,($C$5*'Tariffs Jan2017'!AK58/'Tariffs Jan2017'!AI58-'Tariffs Jan2017'!J58)*('Tariffs Jan2017'!P58/100)*'Tariffs Jan2017'!AI58,('Tariffs Jan2017'!K58-'Tariffs Jan2017'!J58)*('Tariffs Jan2017'!P58/100)*'Tariffs Jan2017'!AI58))</f>
        <v>0</v>
      </c>
      <c r="G64" s="59">
        <f>IF($C$5*'Tariffs Jan2017'!AK58/'Tariffs Jan2017'!AI58&lt;'Tariffs Jan2017'!K58,0,IF($C$5*'Tariffs Jan2017'!AK58/'Tariffs Jan2017'!AI58&lt;='Tariffs Jan2017'!L58,($C$5*'Tariffs Jan2017'!AK58/'Tariffs Jan2017'!AI58-'Tariffs Jan2017'!K58)*('Tariffs Jan2017'!Q58/100)*'Tariffs Jan2017'!AI58,('Tariffs Jan2017'!L58-'Tariffs Jan2017'!K58)*('Tariffs Jan2017'!Q58/100)*'Tariffs Jan2017'!AI58))</f>
        <v>0</v>
      </c>
      <c r="H64" s="59">
        <f>IF($C$5*'Tariffs Jan2017'!AK58/'Tariffs Jan2017'!AI58&lt;'Tariffs Jan2017'!L58,0,IF($C$5*'Tariffs Jan2017'!AK58/'Tariffs Jan2017'!AI58&lt;='Tariffs Jan2017'!M58,($C$5*'Tariffs Jan2017'!AK58/'Tariffs Jan2017'!AI58-'Tariffs Jan2017'!L58)*('Tariffs Jan2017'!R58/100)*'Tariffs Jan2017'!AI58,('Tariffs Jan2017'!M58-'Tariffs Jan2017'!L58)*('Tariffs Jan2017'!R58/100)*'Tariffs Jan2017'!AI58))</f>
        <v>0</v>
      </c>
      <c r="I64" s="59">
        <f>IF(($C$5*'Tariffs Jan2017'!AK58/'Tariffs Jan2017'!AI58&gt;'Tariffs Jan2017'!M58),($C$5*'Tariffs Jan2017'!AK58/'Tariffs Jan2017'!AI58-'Tariffs Jan2017'!M58)*'Tariffs Jan2017'!S58/100*'Tariffs Jan2017'!AI58,0)</f>
        <v>23.8428</v>
      </c>
      <c r="J64" s="59">
        <f>IF($C$5*'Tariffs Jan2017'!AL58/'Tariffs Jan2017'!AJ58&gt;='Tariffs Jan2017'!J58,('Tariffs Jan2017'!J58*'Tariffs Jan2017'!U58/100)* 'Tariffs Jan2017'!AJ58,($C$5*'Tariffs Jan2017'!AL58/'Tariffs Jan2017'!AJ58*'Tariffs Jan2017'!U58/100)* 'Tariffs Jan2017'!AJ58)</f>
        <v>424.8</v>
      </c>
      <c r="K64" s="59">
        <f>IF($C$5*'Tariffs Jan2017'!AL58/'Tariffs Jan2017'!AJ58&lt;'Tariffs Jan2017'!J58,0,IF($C$5*'Tariffs Jan2017'!AL58/'Tariffs Jan2017'!AJ58&lt;='Tariffs Jan2017'!K58,($C$5*'Tariffs Jan2017'!AL58/'Tariffs Jan2017'!AJ58-'Tariffs Jan2017'!J58)*('Tariffs Jan2017'!V58/100)*'Tariffs Jan2017'!AJ58,('Tariffs Jan2017'!K58-'Tariffs Jan2017'!J58)*('Tariffs Jan2017'!V58/100)*'Tariffs Jan2017'!AJ58))</f>
        <v>0</v>
      </c>
      <c r="L64" s="59">
        <f>IF($C$5*'Tariffs Jan2017'!AL58/'Tariffs Jan2017'!AJ58&lt;'Tariffs Jan2017'!K58,0,IF($C$5*'Tariffs Jan2017'!AL58/'Tariffs Jan2017'!AJ58&lt;='Tariffs Jan2017'!L58,($C$5*'Tariffs Jan2017'!AL58/'Tariffs Jan2017'!AJ58-'Tariffs Jan2017'!K58)*('Tariffs Jan2017'!W58/100)*'Tariffs Jan2017'!AJ58,('Tariffs Jan2017'!L58-'Tariffs Jan2017'!K58)*('Tariffs Jan2017'!W58/100)*'Tariffs Jan2017'!AJ58))</f>
        <v>0</v>
      </c>
      <c r="M64" s="59">
        <f>IF($C$5*'Tariffs Jan2017'!AL58/'Tariffs Jan2017'!AJ58&lt;'Tariffs Jan2017'!L58,0,IF($C$5*'Tariffs Jan2017'!AL58/'Tariffs Jan2017'!AJ58&lt;='Tariffs Jan2017'!M58,($C$5*'Tariffs Jan2017'!AL58/'Tariffs Jan2017'!AJ58-'Tariffs Jan2017'!L58)*('Tariffs Jan2017'!X58/100)*'Tariffs Jan2017'!AJ58,('Tariffs Jan2017'!M58-'Tariffs Jan2017'!L58)*('Tariffs Jan2017'!X58/100)*'Tariffs Jan2017'!AJ58))</f>
        <v>0</v>
      </c>
      <c r="N64" s="59">
        <f>IF(($C$5*'Tariffs Jan2017'!AL58/'Tariffs Jan2017'!AJ58&gt;'Tariffs Jan2017'!M58),($C$5*'Tariffs Jan2017'!AL58/'Tariffs Jan2017'!AJ58-'Tariffs Jan2017'!M58)*'Tariffs Jan2017'!Y58/100*'Tariffs Jan2017'!AJ58,0)</f>
        <v>39.427199999999999</v>
      </c>
      <c r="O64" s="271">
        <f t="shared" si="0"/>
        <v>726.87</v>
      </c>
      <c r="P64" s="59">
        <f t="shared" si="1"/>
        <v>958.49900000000002</v>
      </c>
      <c r="Q64" s="272">
        <f t="shared" si="2"/>
        <v>1054.3489000000002</v>
      </c>
      <c r="R64" s="40">
        <f>'Tariffs Jan2017'!AM58</f>
        <v>0</v>
      </c>
      <c r="S64" s="40">
        <f>'Tariffs Jan2017'!AN58</f>
        <v>0</v>
      </c>
      <c r="T64" s="40">
        <f>'Tariffs Jan2017'!AO58</f>
        <v>0</v>
      </c>
      <c r="U64" s="40">
        <f>'Tariffs Jan2017'!AP58</f>
        <v>15</v>
      </c>
      <c r="V64" s="273">
        <f t="shared" si="3"/>
        <v>958.49900000000002</v>
      </c>
      <c r="W64" s="273">
        <f>V64-(O64*U64/100)</f>
        <v>849.46850000000006</v>
      </c>
      <c r="X64" s="272">
        <f t="shared" si="4"/>
        <v>1054.3489000000002</v>
      </c>
      <c r="Y64" s="272">
        <f t="shared" si="4"/>
        <v>934.4153500000001</v>
      </c>
      <c r="Z64" s="274">
        <f>'Tariffs Jan2017'!AW58</f>
        <v>0</v>
      </c>
      <c r="AA64" s="274" t="str">
        <f>'Tariffs Jan2017'!AX58</f>
        <v>n</v>
      </c>
      <c r="AB64" s="275" t="str">
        <f>'Tariffs Jan2017'!BD58</f>
        <v>Y</v>
      </c>
      <c r="AC64" s="305"/>
      <c r="AD64" s="305"/>
      <c r="AE64" s="305"/>
      <c r="AF64" s="305"/>
      <c r="AG64" s="305"/>
      <c r="AH64" s="305"/>
      <c r="AI64" s="305"/>
      <c r="AJ64" s="305"/>
      <c r="AK64" s="305"/>
      <c r="AL64" s="305"/>
      <c r="AM64" s="305"/>
      <c r="AN64" s="305"/>
    </row>
    <row r="65" spans="1:40" x14ac:dyDescent="0.15">
      <c r="A65" s="270" t="str">
        <f>'Tariffs Jan2017'!F59</f>
        <v>Click Energy</v>
      </c>
      <c r="B65" s="40" t="str">
        <f>'Tariffs Jan2017'!D59</f>
        <v>Ausnet West</v>
      </c>
      <c r="C65" s="40" t="str">
        <f>'Tariffs Jan2017'!G59</f>
        <v>Amber</v>
      </c>
      <c r="D65" s="59">
        <f>365*'Tariffs Jan2017'!H59/100</f>
        <v>321.2</v>
      </c>
      <c r="E65" s="59">
        <f>IF($C$5*'Tariffs Jan2017'!AK59/'Tariffs Jan2017'!AI59&gt;='Tariffs Jan2017'!J59,( 'Tariffs Jan2017'!J59*'Tariffs Jan2017'!O59/100)* 'Tariffs Jan2017'!AI59,($C$5*'Tariffs Jan2017'!AK59/'Tariffs Jan2017'!AI59*'Tariffs Jan2017'!O59/100)* 'Tariffs Jan2017'!AI59)</f>
        <v>258</v>
      </c>
      <c r="F65" s="59">
        <f>IF($C$5*'Tariffs Jan2017'!AK59/'Tariffs Jan2017'!AI59&lt;'Tariffs Jan2017'!J59,0,IF($C$5*'Tariffs Jan2017'!AK59/'Tariffs Jan2017'!AI59&lt;='Tariffs Jan2017'!K59,($C$5*'Tariffs Jan2017'!AK59/'Tariffs Jan2017'!AI59-'Tariffs Jan2017'!J59)*('Tariffs Jan2017'!P59/100)*'Tariffs Jan2017'!AI59,('Tariffs Jan2017'!K59-'Tariffs Jan2017'!J59)*('Tariffs Jan2017'!P59/100)*'Tariffs Jan2017'!AI59))</f>
        <v>26.64</v>
      </c>
      <c r="G65" s="59">
        <f>IF($C$5*'Tariffs Jan2017'!AK59/'Tariffs Jan2017'!AI59&lt;'Tariffs Jan2017'!K59,0,IF($C$5*'Tariffs Jan2017'!AK59/'Tariffs Jan2017'!AI59&lt;='Tariffs Jan2017'!L59,($C$5*'Tariffs Jan2017'!AK59/'Tariffs Jan2017'!AI59-'Tariffs Jan2017'!K59)*('Tariffs Jan2017'!Q59/100)*'Tariffs Jan2017'!AI59,('Tariffs Jan2017'!L59-'Tariffs Jan2017'!K59)*('Tariffs Jan2017'!Q59/100)*'Tariffs Jan2017'!AI59))</f>
        <v>0</v>
      </c>
      <c r="H65" s="59">
        <f>IF($C$5*'Tariffs Jan2017'!AK59/'Tariffs Jan2017'!AI59&lt;'Tariffs Jan2017'!L59,0,IF($C$5*'Tariffs Jan2017'!AK59/'Tariffs Jan2017'!AI59&lt;='Tariffs Jan2017'!M59,($C$5*'Tariffs Jan2017'!AK59/'Tariffs Jan2017'!AI59-'Tariffs Jan2017'!L59)*('Tariffs Jan2017'!R59/100)*'Tariffs Jan2017'!AI59,('Tariffs Jan2017'!M59-'Tariffs Jan2017'!L59)*('Tariffs Jan2017'!R59/100)*'Tariffs Jan2017'!AI59))</f>
        <v>0</v>
      </c>
      <c r="I65" s="59">
        <f>IF(($C$5*'Tariffs Jan2017'!AK59/'Tariffs Jan2017'!AI59&gt;'Tariffs Jan2017'!M59),($C$5*'Tariffs Jan2017'!AK59/'Tariffs Jan2017'!AI59-'Tariffs Jan2017'!M59)*'Tariffs Jan2017'!S59/100*'Tariffs Jan2017'!AI59,0)</f>
        <v>0</v>
      </c>
      <c r="J65" s="59">
        <f>IF($C$5*'Tariffs Jan2017'!AL59/'Tariffs Jan2017'!AJ59&gt;='Tariffs Jan2017'!J59,('Tariffs Jan2017'!J59*'Tariffs Jan2017'!U59/100)* 'Tariffs Jan2017'!AJ59,($C$5*'Tariffs Jan2017'!AL59/'Tariffs Jan2017'!AJ59*'Tariffs Jan2017'!U59/100)* 'Tariffs Jan2017'!AJ59)</f>
        <v>396</v>
      </c>
      <c r="K65" s="59">
        <f>IF($C$5*'Tariffs Jan2017'!AL59/'Tariffs Jan2017'!AJ59&lt;'Tariffs Jan2017'!J59,0,IF($C$5*'Tariffs Jan2017'!AL59/'Tariffs Jan2017'!AJ59&lt;='Tariffs Jan2017'!K59,($C$5*'Tariffs Jan2017'!AL59/'Tariffs Jan2017'!AJ59-'Tariffs Jan2017'!J59)*('Tariffs Jan2017'!V59/100)*'Tariffs Jan2017'!AJ59,('Tariffs Jan2017'!K59-'Tariffs Jan2017'!J59)*('Tariffs Jan2017'!V59/100)*'Tariffs Jan2017'!AJ59))</f>
        <v>42.624000000000002</v>
      </c>
      <c r="L65" s="59">
        <f>IF($C$5*'Tariffs Jan2017'!AL59/'Tariffs Jan2017'!AJ59&lt;'Tariffs Jan2017'!K59,0,IF($C$5*'Tariffs Jan2017'!AL59/'Tariffs Jan2017'!AJ59&lt;='Tariffs Jan2017'!L59,($C$5*'Tariffs Jan2017'!AL59/'Tariffs Jan2017'!AJ59-'Tariffs Jan2017'!K59)*('Tariffs Jan2017'!W59/100)*'Tariffs Jan2017'!AJ59,('Tariffs Jan2017'!L59-'Tariffs Jan2017'!K59)*('Tariffs Jan2017'!W59/100)*'Tariffs Jan2017'!AJ59))</f>
        <v>0</v>
      </c>
      <c r="M65" s="59">
        <f>IF($C$5*'Tariffs Jan2017'!AL59/'Tariffs Jan2017'!AJ59&lt;'Tariffs Jan2017'!L59,0,IF($C$5*'Tariffs Jan2017'!AL59/'Tariffs Jan2017'!AJ59&lt;='Tariffs Jan2017'!M59,($C$5*'Tariffs Jan2017'!AL59/'Tariffs Jan2017'!AJ59-'Tariffs Jan2017'!L59)*('Tariffs Jan2017'!X59/100)*'Tariffs Jan2017'!AJ59,('Tariffs Jan2017'!M59-'Tariffs Jan2017'!L59)*('Tariffs Jan2017'!X59/100)*'Tariffs Jan2017'!AJ59))</f>
        <v>0</v>
      </c>
      <c r="N65" s="59">
        <f>IF(($C$5*'Tariffs Jan2017'!AL59/'Tariffs Jan2017'!AJ59&gt;'Tariffs Jan2017'!M59),($C$5*'Tariffs Jan2017'!AL59/'Tariffs Jan2017'!AJ59-'Tariffs Jan2017'!M59)*'Tariffs Jan2017'!Y59/100*'Tariffs Jan2017'!AJ59,0)</f>
        <v>0</v>
      </c>
      <c r="O65" s="271">
        <f t="shared" si="0"/>
        <v>723.26400000000001</v>
      </c>
      <c r="P65" s="59">
        <f t="shared" si="1"/>
        <v>1044.4639999999999</v>
      </c>
      <c r="Q65" s="272">
        <f t="shared" si="2"/>
        <v>1148.9104</v>
      </c>
      <c r="R65" s="40">
        <f>'Tariffs Jan2017'!AM59</f>
        <v>0</v>
      </c>
      <c r="S65" s="40">
        <f>'Tariffs Jan2017'!AN59</f>
        <v>0</v>
      </c>
      <c r="T65" s="40">
        <f>'Tariffs Jan2017'!AO59</f>
        <v>14</v>
      </c>
      <c r="U65" s="40">
        <f>'Tariffs Jan2017'!AP59</f>
        <v>0</v>
      </c>
      <c r="V65" s="273">
        <f t="shared" si="3"/>
        <v>1044.4639999999999</v>
      </c>
      <c r="W65" s="273">
        <f>V65-(P65*T65/100)</f>
        <v>898.23903999999993</v>
      </c>
      <c r="X65" s="272">
        <f t="shared" si="4"/>
        <v>1148.9104</v>
      </c>
      <c r="Y65" s="272">
        <f t="shared" si="4"/>
        <v>988.06294400000002</v>
      </c>
      <c r="Z65" s="274">
        <f>'Tariffs Jan2017'!AW59</f>
        <v>0</v>
      </c>
      <c r="AA65" s="274" t="str">
        <f>'Tariffs Jan2017'!AX59</f>
        <v>n</v>
      </c>
      <c r="AB65" s="275" t="str">
        <f>'Tariffs Jan2017'!BD59</f>
        <v>N</v>
      </c>
      <c r="AC65" s="305"/>
      <c r="AD65" s="305"/>
      <c r="AE65" s="305"/>
      <c r="AF65" s="305"/>
      <c r="AG65" s="305"/>
      <c r="AH65" s="305"/>
      <c r="AI65" s="305"/>
      <c r="AJ65" s="305"/>
      <c r="AK65" s="305"/>
      <c r="AL65" s="305"/>
      <c r="AM65" s="305"/>
      <c r="AN65" s="305"/>
    </row>
    <row r="66" spans="1:40" x14ac:dyDescent="0.15">
      <c r="A66" s="270" t="str">
        <f>'Tariffs Jan2017'!F60</f>
        <v>Covau</v>
      </c>
      <c r="B66" s="40" t="str">
        <f>'Tariffs Jan2017'!D60</f>
        <v>Ausnet West</v>
      </c>
      <c r="C66" s="40" t="str">
        <f>'Tariffs Jan2017'!G60</f>
        <v>Market offer</v>
      </c>
      <c r="D66" s="59">
        <f>365*'Tariffs Jan2017'!H60/100</f>
        <v>302.95</v>
      </c>
      <c r="E66" s="59">
        <f>IF($C$5*'Tariffs Jan2017'!AK60/'Tariffs Jan2017'!AI60&gt;='Tariffs Jan2017'!J60,( 'Tariffs Jan2017'!J60*'Tariffs Jan2017'!O60/100)* 'Tariffs Jan2017'!AI60,($C$5*'Tariffs Jan2017'!AK60/'Tariffs Jan2017'!AI60*'Tariffs Jan2017'!O60/100)* 'Tariffs Jan2017'!AI60)</f>
        <v>491.40000000000003</v>
      </c>
      <c r="F66" s="59">
        <f>IF($C$5*'Tariffs Jan2017'!AK60/'Tariffs Jan2017'!AI60&lt;'Tariffs Jan2017'!J60,0,IF($C$5*'Tariffs Jan2017'!AK60/'Tariffs Jan2017'!AI60&lt;='Tariffs Jan2017'!K60,($C$5*'Tariffs Jan2017'!AK60/'Tariffs Jan2017'!AI60-'Tariffs Jan2017'!J60)*('Tariffs Jan2017'!P60/100)*'Tariffs Jan2017'!AI60,('Tariffs Jan2017'!K60-'Tariffs Jan2017'!J60)*('Tariffs Jan2017'!P60/100)*'Tariffs Jan2017'!AI60))</f>
        <v>50.40000000000002</v>
      </c>
      <c r="G66" s="59">
        <f>IF($C$5*'Tariffs Jan2017'!AK60/'Tariffs Jan2017'!AI60&lt;'Tariffs Jan2017'!K60,0,IF($C$5*'Tariffs Jan2017'!AK60/'Tariffs Jan2017'!AI60&lt;='Tariffs Jan2017'!L60,($C$5*'Tariffs Jan2017'!AK60/'Tariffs Jan2017'!AI60-'Tariffs Jan2017'!K60)*('Tariffs Jan2017'!Q60/100)*'Tariffs Jan2017'!AI60,('Tariffs Jan2017'!L60-'Tariffs Jan2017'!K60)*('Tariffs Jan2017'!Q60/100)*'Tariffs Jan2017'!AI60))</f>
        <v>0</v>
      </c>
      <c r="H66" s="59">
        <f>IF($C$5*'Tariffs Jan2017'!AK60/'Tariffs Jan2017'!AI60&lt;'Tariffs Jan2017'!L60,0,IF($C$5*'Tariffs Jan2017'!AK60/'Tariffs Jan2017'!AI60&lt;='Tariffs Jan2017'!M60,($C$5*'Tariffs Jan2017'!AK60/'Tariffs Jan2017'!AI60-'Tariffs Jan2017'!L60)*('Tariffs Jan2017'!R60/100)*'Tariffs Jan2017'!AI60,('Tariffs Jan2017'!M60-'Tariffs Jan2017'!L60)*('Tariffs Jan2017'!R60/100)*'Tariffs Jan2017'!AI60))</f>
        <v>0</v>
      </c>
      <c r="I66" s="59">
        <f>IF(($C$5*'Tariffs Jan2017'!AK60/'Tariffs Jan2017'!AI60&gt;'Tariffs Jan2017'!M60),($C$5*'Tariffs Jan2017'!AK60/'Tariffs Jan2017'!AI60-'Tariffs Jan2017'!M60)*'Tariffs Jan2017'!S60/100*'Tariffs Jan2017'!AI60,0)</f>
        <v>0</v>
      </c>
      <c r="J66" s="59">
        <f>IF($C$5*'Tariffs Jan2017'!AL60/'Tariffs Jan2017'!AJ60&gt;='Tariffs Jan2017'!J60,('Tariffs Jan2017'!J60*'Tariffs Jan2017'!U60/100)* 'Tariffs Jan2017'!AJ60,($C$5*'Tariffs Jan2017'!AL60/'Tariffs Jan2017'!AJ60*'Tariffs Jan2017'!U60/100)* 'Tariffs Jan2017'!AJ60)</f>
        <v>352.79999999999995</v>
      </c>
      <c r="K66" s="59">
        <f>IF($C$5*'Tariffs Jan2017'!AL60/'Tariffs Jan2017'!AJ60&lt;'Tariffs Jan2017'!J60,0,IF($C$5*'Tariffs Jan2017'!AL60/'Tariffs Jan2017'!AJ60&lt;='Tariffs Jan2017'!K60,($C$5*'Tariffs Jan2017'!AL60/'Tariffs Jan2017'!AJ60-'Tariffs Jan2017'!J60)*('Tariffs Jan2017'!V60/100)*'Tariffs Jan2017'!AJ60,('Tariffs Jan2017'!K60-'Tariffs Jan2017'!J60)*('Tariffs Jan2017'!V60/100)*'Tariffs Jan2017'!AJ60))</f>
        <v>37.000000000000021</v>
      </c>
      <c r="L66" s="59">
        <f>IF($C$5*'Tariffs Jan2017'!AL60/'Tariffs Jan2017'!AJ60&lt;'Tariffs Jan2017'!K60,0,IF($C$5*'Tariffs Jan2017'!AL60/'Tariffs Jan2017'!AJ60&lt;='Tariffs Jan2017'!L60,($C$5*'Tariffs Jan2017'!AL60/'Tariffs Jan2017'!AJ60-'Tariffs Jan2017'!K60)*('Tariffs Jan2017'!W60/100)*'Tariffs Jan2017'!AJ60,('Tariffs Jan2017'!L60-'Tariffs Jan2017'!K60)*('Tariffs Jan2017'!W60/100)*'Tariffs Jan2017'!AJ60))</f>
        <v>0</v>
      </c>
      <c r="M66" s="59">
        <f>IF($C$5*'Tariffs Jan2017'!AL60/'Tariffs Jan2017'!AJ60&lt;'Tariffs Jan2017'!L60,0,IF($C$5*'Tariffs Jan2017'!AL60/'Tariffs Jan2017'!AJ60&lt;='Tariffs Jan2017'!M60,($C$5*'Tariffs Jan2017'!AL60/'Tariffs Jan2017'!AJ60-'Tariffs Jan2017'!L60)*('Tariffs Jan2017'!X60/100)*'Tariffs Jan2017'!AJ60,('Tariffs Jan2017'!M60-'Tariffs Jan2017'!L60)*('Tariffs Jan2017'!X60/100)*'Tariffs Jan2017'!AJ60))</f>
        <v>0</v>
      </c>
      <c r="N66" s="59">
        <f>IF(($C$5*'Tariffs Jan2017'!AL60/'Tariffs Jan2017'!AJ60&gt;'Tariffs Jan2017'!M60),($C$5*'Tariffs Jan2017'!AL60/'Tariffs Jan2017'!AJ60-'Tariffs Jan2017'!M60)*'Tariffs Jan2017'!Y60/100*'Tariffs Jan2017'!AJ60,0)</f>
        <v>0</v>
      </c>
      <c r="O66" s="271">
        <f t="shared" si="0"/>
        <v>931.6</v>
      </c>
      <c r="P66" s="59">
        <f t="shared" si="1"/>
        <v>1234.55</v>
      </c>
      <c r="Q66" s="272">
        <f t="shared" si="2"/>
        <v>1358.0050000000001</v>
      </c>
      <c r="R66" s="40">
        <f>'Tariffs Jan2017'!AM60</f>
        <v>0</v>
      </c>
      <c r="S66" s="40">
        <f>'Tariffs Jan2017'!AN60</f>
        <v>0</v>
      </c>
      <c r="T66" s="40">
        <f>'Tariffs Jan2017'!AO60</f>
        <v>0</v>
      </c>
      <c r="U66" s="40">
        <f>'Tariffs Jan2017'!AP60</f>
        <v>16</v>
      </c>
      <c r="V66" s="273">
        <f t="shared" si="3"/>
        <v>1234.55</v>
      </c>
      <c r="W66" s="273">
        <f>V66-(O66*U66/100)</f>
        <v>1085.4939999999999</v>
      </c>
      <c r="X66" s="272">
        <f t="shared" si="4"/>
        <v>1358.0050000000001</v>
      </c>
      <c r="Y66" s="272">
        <f t="shared" si="4"/>
        <v>1194.0434</v>
      </c>
      <c r="Z66" s="274">
        <f>'Tariffs Jan2017'!AW60</f>
        <v>12</v>
      </c>
      <c r="AA66" s="274" t="str">
        <f>'Tariffs Jan2017'!AX60</f>
        <v>y</v>
      </c>
      <c r="AB66" s="275" t="str">
        <f>'Tariffs Jan2017'!BD60</f>
        <v>Y</v>
      </c>
      <c r="AC66" s="305"/>
      <c r="AD66" s="305"/>
      <c r="AE66" s="305"/>
      <c r="AF66" s="305"/>
      <c r="AG66" s="305"/>
      <c r="AH66" s="305"/>
      <c r="AI66" s="305"/>
      <c r="AJ66" s="305"/>
      <c r="AK66" s="305"/>
      <c r="AL66" s="305"/>
      <c r="AM66" s="305"/>
      <c r="AN66" s="305"/>
    </row>
    <row r="67" spans="1:40" x14ac:dyDescent="0.15">
      <c r="A67" s="270" t="str">
        <f>'Tariffs Jan2017'!F61</f>
        <v>EnergyAustralia</v>
      </c>
      <c r="B67" s="40" t="str">
        <f>'Tariffs Jan2017'!D61</f>
        <v>Ausnet West</v>
      </c>
      <c r="C67" s="40" t="str">
        <f>'Tariffs Jan2017'!G61</f>
        <v xml:space="preserve">Flexi Saver </v>
      </c>
      <c r="D67" s="59">
        <f>365*'Tariffs Jan2017'!H61/100</f>
        <v>305.14</v>
      </c>
      <c r="E67" s="59">
        <f>IF($C$5*'Tariffs Jan2017'!AK61/'Tariffs Jan2017'!AI61&gt;='Tariffs Jan2017'!J61,( 'Tariffs Jan2017'!J61*'Tariffs Jan2017'!O61/100)* 'Tariffs Jan2017'!AI61,($C$5*'Tariffs Jan2017'!AK61/'Tariffs Jan2017'!AI61*'Tariffs Jan2017'!O61/100)* 'Tariffs Jan2017'!AI61)</f>
        <v>260.39999999999998</v>
      </c>
      <c r="F67" s="59">
        <f>IF($C$5*'Tariffs Jan2017'!AK61/'Tariffs Jan2017'!AI61&lt;'Tariffs Jan2017'!J61,0,IF($C$5*'Tariffs Jan2017'!AK61/'Tariffs Jan2017'!AI61&lt;='Tariffs Jan2017'!K61,($C$5*'Tariffs Jan2017'!AK61/'Tariffs Jan2017'!AI61-'Tariffs Jan2017'!J61)*('Tariffs Jan2017'!P61/100)*'Tariffs Jan2017'!AI61,('Tariffs Jan2017'!K61-'Tariffs Jan2017'!J61)*('Tariffs Jan2017'!P61/100)*'Tariffs Jan2017'!AI61))</f>
        <v>27.572399999999998</v>
      </c>
      <c r="G67" s="59">
        <f>IF($C$5*'Tariffs Jan2017'!AK61/'Tariffs Jan2017'!AI61&lt;'Tariffs Jan2017'!K61,0,IF($C$5*'Tariffs Jan2017'!AK61/'Tariffs Jan2017'!AI61&lt;='Tariffs Jan2017'!L61,($C$5*'Tariffs Jan2017'!AK61/'Tariffs Jan2017'!AI61-'Tariffs Jan2017'!K61)*('Tariffs Jan2017'!Q61/100)*'Tariffs Jan2017'!AI61,('Tariffs Jan2017'!L61-'Tariffs Jan2017'!K61)*('Tariffs Jan2017'!Q61/100)*'Tariffs Jan2017'!AI61))</f>
        <v>0</v>
      </c>
      <c r="H67" s="59">
        <f>IF($C$5*'Tariffs Jan2017'!AK61/'Tariffs Jan2017'!AI61&lt;'Tariffs Jan2017'!L61,0,IF($C$5*'Tariffs Jan2017'!AK61/'Tariffs Jan2017'!AI61&lt;='Tariffs Jan2017'!M61,($C$5*'Tariffs Jan2017'!AK61/'Tariffs Jan2017'!AI61-'Tariffs Jan2017'!L61)*('Tariffs Jan2017'!R61/100)*'Tariffs Jan2017'!AI61,('Tariffs Jan2017'!M61-'Tariffs Jan2017'!L61)*('Tariffs Jan2017'!R61/100)*'Tariffs Jan2017'!AI61))</f>
        <v>0</v>
      </c>
      <c r="I67" s="59">
        <f>IF(($C$5*'Tariffs Jan2017'!AK61/'Tariffs Jan2017'!AI61&gt;'Tariffs Jan2017'!M61),($C$5*'Tariffs Jan2017'!AK61/'Tariffs Jan2017'!AI61-'Tariffs Jan2017'!M61)*'Tariffs Jan2017'!S61/100*'Tariffs Jan2017'!AI61,0)</f>
        <v>0</v>
      </c>
      <c r="J67" s="59">
        <f>IF($C$5*'Tariffs Jan2017'!AL61/'Tariffs Jan2017'!AJ61&gt;='Tariffs Jan2017'!J61,('Tariffs Jan2017'!J61*'Tariffs Jan2017'!U61/100)* 'Tariffs Jan2017'!AJ61,($C$5*'Tariffs Jan2017'!AL61/'Tariffs Jan2017'!AJ61*'Tariffs Jan2017'!U61/100)* 'Tariffs Jan2017'!AJ61)</f>
        <v>376.8</v>
      </c>
      <c r="K67" s="59">
        <f>IF($C$5*'Tariffs Jan2017'!AL61/'Tariffs Jan2017'!AJ61&lt;'Tariffs Jan2017'!J61,0,IF($C$5*'Tariffs Jan2017'!AL61/'Tariffs Jan2017'!AJ61&lt;='Tariffs Jan2017'!K61,($C$5*'Tariffs Jan2017'!AL61/'Tariffs Jan2017'!AJ61-'Tariffs Jan2017'!J61)*('Tariffs Jan2017'!V61/100)*'Tariffs Jan2017'!AJ61,('Tariffs Jan2017'!K61-'Tariffs Jan2017'!J61)*('Tariffs Jan2017'!V61/100)*'Tariffs Jan2017'!AJ61))</f>
        <v>39.693600000000004</v>
      </c>
      <c r="L67" s="59">
        <f>IF($C$5*'Tariffs Jan2017'!AL61/'Tariffs Jan2017'!AJ61&lt;'Tariffs Jan2017'!K61,0,IF($C$5*'Tariffs Jan2017'!AL61/'Tariffs Jan2017'!AJ61&lt;='Tariffs Jan2017'!L61,($C$5*'Tariffs Jan2017'!AL61/'Tariffs Jan2017'!AJ61-'Tariffs Jan2017'!K61)*('Tariffs Jan2017'!W61/100)*'Tariffs Jan2017'!AJ61,('Tariffs Jan2017'!L61-'Tariffs Jan2017'!K61)*('Tariffs Jan2017'!W61/100)*'Tariffs Jan2017'!AJ61))</f>
        <v>0</v>
      </c>
      <c r="M67" s="59">
        <f>IF($C$5*'Tariffs Jan2017'!AL61/'Tariffs Jan2017'!AJ61&lt;'Tariffs Jan2017'!L61,0,IF($C$5*'Tariffs Jan2017'!AL61/'Tariffs Jan2017'!AJ61&lt;='Tariffs Jan2017'!M61,($C$5*'Tariffs Jan2017'!AL61/'Tariffs Jan2017'!AJ61-'Tariffs Jan2017'!L61)*('Tariffs Jan2017'!X61/100)*'Tariffs Jan2017'!AJ61,('Tariffs Jan2017'!M61-'Tariffs Jan2017'!L61)*('Tariffs Jan2017'!X61/100)*'Tariffs Jan2017'!AJ61))</f>
        <v>0</v>
      </c>
      <c r="N67" s="59">
        <f>IF(($C$5*'Tariffs Jan2017'!AL61/'Tariffs Jan2017'!AJ61&gt;'Tariffs Jan2017'!M61),($C$5*'Tariffs Jan2017'!AL61/'Tariffs Jan2017'!AJ61-'Tariffs Jan2017'!M61)*'Tariffs Jan2017'!Y61/100*'Tariffs Jan2017'!AJ61,0)</f>
        <v>0</v>
      </c>
      <c r="O67" s="271">
        <f t="shared" si="0"/>
        <v>704.46600000000012</v>
      </c>
      <c r="P67" s="59">
        <f t="shared" si="1"/>
        <v>1009.6060000000001</v>
      </c>
      <c r="Q67" s="272">
        <f t="shared" si="2"/>
        <v>1110.5666000000001</v>
      </c>
      <c r="R67" s="40">
        <f>'Tariffs Jan2017'!AM61</f>
        <v>0</v>
      </c>
      <c r="S67" s="40">
        <f>'Tariffs Jan2017'!AN61</f>
        <v>0</v>
      </c>
      <c r="T67" s="40">
        <f>'Tariffs Jan2017'!AO61</f>
        <v>0</v>
      </c>
      <c r="U67" s="40">
        <f>'Tariffs Jan2017'!AP61</f>
        <v>16</v>
      </c>
      <c r="V67" s="273">
        <f t="shared" si="3"/>
        <v>1009.6060000000001</v>
      </c>
      <c r="W67" s="273">
        <f>V67-(O67*U67/100)</f>
        <v>896.8914400000001</v>
      </c>
      <c r="X67" s="272">
        <f t="shared" si="4"/>
        <v>1110.5666000000001</v>
      </c>
      <c r="Y67" s="272">
        <f t="shared" si="4"/>
        <v>986.58058400000016</v>
      </c>
      <c r="Z67" s="274">
        <f>'Tariffs Jan2017'!AW61</f>
        <v>0</v>
      </c>
      <c r="AA67" s="274" t="str">
        <f>'Tariffs Jan2017'!AX61</f>
        <v>n</v>
      </c>
      <c r="AB67" s="275" t="str">
        <f>'Tariffs Jan2017'!BD61</f>
        <v>N</v>
      </c>
      <c r="AC67" s="305"/>
      <c r="AD67" s="305"/>
      <c r="AE67" s="305"/>
      <c r="AF67" s="305"/>
      <c r="AG67" s="305"/>
      <c r="AH67" s="305"/>
      <c r="AI67" s="305"/>
      <c r="AJ67" s="305"/>
      <c r="AK67" s="305"/>
      <c r="AL67" s="305"/>
      <c r="AM67" s="305"/>
      <c r="AN67" s="305"/>
    </row>
    <row r="68" spans="1:40" x14ac:dyDescent="0.15">
      <c r="A68" s="270" t="str">
        <f>'Tariffs Jan2017'!F62</f>
        <v>Lumo Energy</v>
      </c>
      <c r="B68" s="40" t="str">
        <f>'Tariffs Jan2017'!D62</f>
        <v>Ausnet West</v>
      </c>
      <c r="C68" s="40" t="str">
        <f>'Tariffs Jan2017'!G62</f>
        <v>Advantage</v>
      </c>
      <c r="D68" s="59">
        <f>365*'Tariffs Jan2017'!H62/100</f>
        <v>288.67850000000004</v>
      </c>
      <c r="E68" s="59">
        <f>IF($C$5*'Tariffs Jan2017'!AK62/'Tariffs Jan2017'!AI62&gt;='Tariffs Jan2017'!J62,( 'Tariffs Jan2017'!J62*'Tariffs Jan2017'!O62/100)* 'Tariffs Jan2017'!AI62,($C$5*'Tariffs Jan2017'!AK62/'Tariffs Jan2017'!AI62*'Tariffs Jan2017'!O62/100)* 'Tariffs Jan2017'!AI62)</f>
        <v>245.88</v>
      </c>
      <c r="F68" s="59">
        <f>IF($C$5*'Tariffs Jan2017'!AK62/'Tariffs Jan2017'!AI62&lt;'Tariffs Jan2017'!J62,0,IF($C$5*'Tariffs Jan2017'!AK62/'Tariffs Jan2017'!AI62&lt;='Tariffs Jan2017'!K62,($C$5*'Tariffs Jan2017'!AK62/'Tariffs Jan2017'!AI62-'Tariffs Jan2017'!J62)*('Tariffs Jan2017'!P62/100)*'Tariffs Jan2017'!AI62,('Tariffs Jan2017'!K62-'Tariffs Jan2017'!J62)*('Tariffs Jan2017'!P62/100)*'Tariffs Jan2017'!AI62))</f>
        <v>25.068239999999999</v>
      </c>
      <c r="G68" s="59">
        <f>IF($C$5*'Tariffs Jan2017'!AK62/'Tariffs Jan2017'!AI62&lt;'Tariffs Jan2017'!K62,0,IF($C$5*'Tariffs Jan2017'!AK62/'Tariffs Jan2017'!AI62&lt;='Tariffs Jan2017'!L62,($C$5*'Tariffs Jan2017'!AK62/'Tariffs Jan2017'!AI62-'Tariffs Jan2017'!K62)*('Tariffs Jan2017'!Q62/100)*'Tariffs Jan2017'!AI62,('Tariffs Jan2017'!L62-'Tariffs Jan2017'!K62)*('Tariffs Jan2017'!Q62/100)*'Tariffs Jan2017'!AI62))</f>
        <v>0</v>
      </c>
      <c r="H68" s="59">
        <f>IF($C$5*'Tariffs Jan2017'!AK62/'Tariffs Jan2017'!AI62&lt;'Tariffs Jan2017'!L62,0,IF($C$5*'Tariffs Jan2017'!AK62/'Tariffs Jan2017'!AI62&lt;='Tariffs Jan2017'!M62,($C$5*'Tariffs Jan2017'!AK62/'Tariffs Jan2017'!AI62-'Tariffs Jan2017'!L62)*('Tariffs Jan2017'!R62/100)*'Tariffs Jan2017'!AI62,('Tariffs Jan2017'!M62-'Tariffs Jan2017'!L62)*('Tariffs Jan2017'!R62/100)*'Tariffs Jan2017'!AI62))</f>
        <v>0</v>
      </c>
      <c r="I68" s="59">
        <f>IF(($C$5*'Tariffs Jan2017'!AK62/'Tariffs Jan2017'!AI62&gt;'Tariffs Jan2017'!M62),($C$5*'Tariffs Jan2017'!AK62/'Tariffs Jan2017'!AI62-'Tariffs Jan2017'!M62)*'Tariffs Jan2017'!S62/100*'Tariffs Jan2017'!AI62,0)</f>
        <v>0</v>
      </c>
      <c r="J68" s="59">
        <f>IF($C$5*'Tariffs Jan2017'!AL62/'Tariffs Jan2017'!AJ62&gt;='Tariffs Jan2017'!J62,('Tariffs Jan2017'!J62*'Tariffs Jan2017'!U62/100)* 'Tariffs Jan2017'!AJ62,($C$5*'Tariffs Jan2017'!AL62/'Tariffs Jan2017'!AJ62*'Tariffs Jan2017'!U62/100)* 'Tariffs Jan2017'!AJ62)</f>
        <v>377.76</v>
      </c>
      <c r="K68" s="59">
        <f>IF($C$5*'Tariffs Jan2017'!AL62/'Tariffs Jan2017'!AJ62&lt;'Tariffs Jan2017'!J62,0,IF($C$5*'Tariffs Jan2017'!AL62/'Tariffs Jan2017'!AJ62&lt;='Tariffs Jan2017'!K62,($C$5*'Tariffs Jan2017'!AL62/'Tariffs Jan2017'!AJ62-'Tariffs Jan2017'!J62)*('Tariffs Jan2017'!V62/100)*'Tariffs Jan2017'!AJ62,('Tariffs Jan2017'!K62-'Tariffs Jan2017'!J62)*('Tariffs Jan2017'!V62/100)*'Tariffs Jan2017'!AJ62))</f>
        <v>41.18544</v>
      </c>
      <c r="L68" s="59">
        <f>IF($C$5*'Tariffs Jan2017'!AL62/'Tariffs Jan2017'!AJ62&lt;'Tariffs Jan2017'!K62,0,IF($C$5*'Tariffs Jan2017'!AL62/'Tariffs Jan2017'!AJ62&lt;='Tariffs Jan2017'!L62,($C$5*'Tariffs Jan2017'!AL62/'Tariffs Jan2017'!AJ62-'Tariffs Jan2017'!K62)*('Tariffs Jan2017'!W62/100)*'Tariffs Jan2017'!AJ62,('Tariffs Jan2017'!L62-'Tariffs Jan2017'!K62)*('Tariffs Jan2017'!W62/100)*'Tariffs Jan2017'!AJ62))</f>
        <v>0</v>
      </c>
      <c r="M68" s="59">
        <f>IF($C$5*'Tariffs Jan2017'!AL62/'Tariffs Jan2017'!AJ62&lt;'Tariffs Jan2017'!L62,0,IF($C$5*'Tariffs Jan2017'!AL62/'Tariffs Jan2017'!AJ62&lt;='Tariffs Jan2017'!M62,($C$5*'Tariffs Jan2017'!AL62/'Tariffs Jan2017'!AJ62-'Tariffs Jan2017'!L62)*('Tariffs Jan2017'!X62/100)*'Tariffs Jan2017'!AJ62,('Tariffs Jan2017'!M62-'Tariffs Jan2017'!L62)*('Tariffs Jan2017'!X62/100)*'Tariffs Jan2017'!AJ62))</f>
        <v>0</v>
      </c>
      <c r="N68" s="59">
        <f>IF(($C$5*'Tariffs Jan2017'!AL62/'Tariffs Jan2017'!AJ62&gt;'Tariffs Jan2017'!M62),($C$5*'Tariffs Jan2017'!AL62/'Tariffs Jan2017'!AJ62-'Tariffs Jan2017'!M62)*'Tariffs Jan2017'!Y62/100*'Tariffs Jan2017'!AJ62,0)</f>
        <v>0</v>
      </c>
      <c r="O68" s="271">
        <f t="shared" si="0"/>
        <v>689.8936799999999</v>
      </c>
      <c r="P68" s="59">
        <f t="shared" si="1"/>
        <v>978.57217999999989</v>
      </c>
      <c r="Q68" s="272">
        <f t="shared" si="2"/>
        <v>1076.429398</v>
      </c>
      <c r="R68" s="40">
        <f>'Tariffs Jan2017'!AM62</f>
        <v>0</v>
      </c>
      <c r="S68" s="40">
        <f>'Tariffs Jan2017'!AN62</f>
        <v>0</v>
      </c>
      <c r="T68" s="40">
        <f>'Tariffs Jan2017'!AO62</f>
        <v>15</v>
      </c>
      <c r="U68" s="40">
        <f>'Tariffs Jan2017'!AP62</f>
        <v>0</v>
      </c>
      <c r="V68" s="273">
        <f t="shared" si="3"/>
        <v>978.57217999999989</v>
      </c>
      <c r="W68" s="273">
        <f>V68-(P68*T68/100)</f>
        <v>831.78635299999996</v>
      </c>
      <c r="X68" s="272">
        <f t="shared" si="4"/>
        <v>1076.429398</v>
      </c>
      <c r="Y68" s="272">
        <f t="shared" si="4"/>
        <v>914.96498830000007</v>
      </c>
      <c r="Z68" s="274">
        <f>'Tariffs Jan2017'!AW62</f>
        <v>24</v>
      </c>
      <c r="AA68" s="274" t="str">
        <f>'Tariffs Jan2017'!AX62</f>
        <v>n</v>
      </c>
      <c r="AB68" s="275" t="str">
        <f>'Tariffs Jan2017'!BD62</f>
        <v>Y</v>
      </c>
      <c r="AC68" s="305"/>
      <c r="AD68" s="305"/>
      <c r="AE68" s="305"/>
      <c r="AF68" s="305"/>
      <c r="AG68" s="305"/>
      <c r="AH68" s="305"/>
      <c r="AI68" s="305"/>
      <c r="AJ68" s="305"/>
      <c r="AK68" s="305"/>
      <c r="AL68" s="305"/>
      <c r="AM68" s="305"/>
      <c r="AN68" s="305"/>
    </row>
    <row r="69" spans="1:40" x14ac:dyDescent="0.15">
      <c r="A69" s="270" t="str">
        <f>'Tariffs Jan2017'!F63</f>
        <v>Momentum Energy</v>
      </c>
      <c r="B69" s="40" t="str">
        <f>'Tariffs Jan2017'!D63</f>
        <v>Ausnet West</v>
      </c>
      <c r="C69" s="40" t="str">
        <f>'Tariffs Jan2017'!G63</f>
        <v>Market offer</v>
      </c>
      <c r="D69" s="59">
        <f>365*'Tariffs Jan2017'!H63/100</f>
        <v>255.02550000000002</v>
      </c>
      <c r="E69" s="59">
        <f>IF($C$5*'Tariffs Jan2017'!AK63/'Tariffs Jan2017'!AI63&gt;='Tariffs Jan2017'!J63,( 'Tariffs Jan2017'!J63*'Tariffs Jan2017'!O63/100)* 'Tariffs Jan2017'!AI63,($C$5*'Tariffs Jan2017'!AK63/'Tariffs Jan2017'!AI63*'Tariffs Jan2017'!O63/100)* 'Tariffs Jan2017'!AI63)</f>
        <v>217.44</v>
      </c>
      <c r="F69" s="59">
        <f>IF($C$5*'Tariffs Jan2017'!AK63/'Tariffs Jan2017'!AI63&lt;'Tariffs Jan2017'!J63,0,IF($C$5*'Tariffs Jan2017'!AK63/'Tariffs Jan2017'!AI63&lt;='Tariffs Jan2017'!K63,($C$5*'Tariffs Jan2017'!AK63/'Tariffs Jan2017'!AI63-'Tariffs Jan2017'!J63)*('Tariffs Jan2017'!P63/100)*'Tariffs Jan2017'!AI63,('Tariffs Jan2017'!K63-'Tariffs Jan2017'!J63)*('Tariffs Jan2017'!P63/100)*'Tariffs Jan2017'!AI63))</f>
        <v>22.12452</v>
      </c>
      <c r="G69" s="59">
        <f>IF($C$5*'Tariffs Jan2017'!AK63/'Tariffs Jan2017'!AI63&lt;'Tariffs Jan2017'!K63,0,IF($C$5*'Tariffs Jan2017'!AK63/'Tariffs Jan2017'!AI63&lt;='Tariffs Jan2017'!L63,($C$5*'Tariffs Jan2017'!AK63/'Tariffs Jan2017'!AI63-'Tariffs Jan2017'!K63)*('Tariffs Jan2017'!Q63/100)*'Tariffs Jan2017'!AI63,('Tariffs Jan2017'!L63-'Tariffs Jan2017'!K63)*('Tariffs Jan2017'!Q63/100)*'Tariffs Jan2017'!AI63))</f>
        <v>0</v>
      </c>
      <c r="H69" s="59">
        <f>IF($C$5*'Tariffs Jan2017'!AK63/'Tariffs Jan2017'!AI63&lt;'Tariffs Jan2017'!L63,0,IF($C$5*'Tariffs Jan2017'!AK63/'Tariffs Jan2017'!AI63&lt;='Tariffs Jan2017'!M63,($C$5*'Tariffs Jan2017'!AK63/'Tariffs Jan2017'!AI63-'Tariffs Jan2017'!L63)*('Tariffs Jan2017'!R63/100)*'Tariffs Jan2017'!AI63,('Tariffs Jan2017'!M63-'Tariffs Jan2017'!L63)*('Tariffs Jan2017'!R63/100)*'Tariffs Jan2017'!AI63))</f>
        <v>0</v>
      </c>
      <c r="I69" s="59">
        <f>IF(($C$5*'Tariffs Jan2017'!AK63/'Tariffs Jan2017'!AI63&gt;'Tariffs Jan2017'!M63),($C$5*'Tariffs Jan2017'!AK63/'Tariffs Jan2017'!AI63-'Tariffs Jan2017'!M63)*'Tariffs Jan2017'!S63/100*'Tariffs Jan2017'!AI63,0)</f>
        <v>0</v>
      </c>
      <c r="J69" s="59">
        <f>IF($C$5*'Tariffs Jan2017'!AL63/'Tariffs Jan2017'!AJ63&gt;='Tariffs Jan2017'!J63,('Tariffs Jan2017'!J63*'Tariffs Jan2017'!U63/100)* 'Tariffs Jan2017'!AJ63,($C$5*'Tariffs Jan2017'!AL63/'Tariffs Jan2017'!AJ63*'Tariffs Jan2017'!U63/100)* 'Tariffs Jan2017'!AJ63)</f>
        <v>338.64</v>
      </c>
      <c r="K69" s="59">
        <f>IF($C$5*'Tariffs Jan2017'!AL63/'Tariffs Jan2017'!AJ63&lt;'Tariffs Jan2017'!J63,0,IF($C$5*'Tariffs Jan2017'!AL63/'Tariffs Jan2017'!AJ63&lt;='Tariffs Jan2017'!K63,($C$5*'Tariffs Jan2017'!AL63/'Tariffs Jan2017'!AJ63-'Tariffs Jan2017'!J63)*('Tariffs Jan2017'!V63/100)*'Tariffs Jan2017'!AJ63,('Tariffs Jan2017'!K63-'Tariffs Jan2017'!J63)*('Tariffs Jan2017'!V63/100)*'Tariffs Jan2017'!AJ63))</f>
        <v>37.082879999999996</v>
      </c>
      <c r="L69" s="59">
        <f>IF($C$5*'Tariffs Jan2017'!AL63/'Tariffs Jan2017'!AJ63&lt;'Tariffs Jan2017'!K63,0,IF($C$5*'Tariffs Jan2017'!AL63/'Tariffs Jan2017'!AJ63&lt;='Tariffs Jan2017'!L63,($C$5*'Tariffs Jan2017'!AL63/'Tariffs Jan2017'!AJ63-'Tariffs Jan2017'!K63)*('Tariffs Jan2017'!W63/100)*'Tariffs Jan2017'!AJ63,('Tariffs Jan2017'!L63-'Tariffs Jan2017'!K63)*('Tariffs Jan2017'!W63/100)*'Tariffs Jan2017'!AJ63))</f>
        <v>0</v>
      </c>
      <c r="M69" s="59">
        <f>IF($C$5*'Tariffs Jan2017'!AL63/'Tariffs Jan2017'!AJ63&lt;'Tariffs Jan2017'!L63,0,IF($C$5*'Tariffs Jan2017'!AL63/'Tariffs Jan2017'!AJ63&lt;='Tariffs Jan2017'!M63,($C$5*'Tariffs Jan2017'!AL63/'Tariffs Jan2017'!AJ63-'Tariffs Jan2017'!L63)*('Tariffs Jan2017'!X63/100)*'Tariffs Jan2017'!AJ63,('Tariffs Jan2017'!M63-'Tariffs Jan2017'!L63)*('Tariffs Jan2017'!X63/100)*'Tariffs Jan2017'!AJ63))</f>
        <v>0</v>
      </c>
      <c r="N69" s="59">
        <f>IF(($C$5*'Tariffs Jan2017'!AL63/'Tariffs Jan2017'!AJ63&gt;'Tariffs Jan2017'!M63),($C$5*'Tariffs Jan2017'!AL63/'Tariffs Jan2017'!AJ63-'Tariffs Jan2017'!M63)*'Tariffs Jan2017'!Y63/100*'Tariffs Jan2017'!AJ63,0)</f>
        <v>0</v>
      </c>
      <c r="O69" s="271">
        <f t="shared" si="0"/>
        <v>615.28740000000005</v>
      </c>
      <c r="P69" s="59">
        <f t="shared" si="1"/>
        <v>870.31290000000013</v>
      </c>
      <c r="Q69" s="272">
        <f t="shared" si="2"/>
        <v>957.34419000000025</v>
      </c>
      <c r="R69" s="40">
        <f>'Tariffs Jan2017'!AM63</f>
        <v>0</v>
      </c>
      <c r="S69" s="40">
        <f>'Tariffs Jan2017'!AN63</f>
        <v>0</v>
      </c>
      <c r="T69" s="40">
        <f>'Tariffs Jan2017'!AO63</f>
        <v>0</v>
      </c>
      <c r="U69" s="40">
        <f>'Tariffs Jan2017'!AP63</f>
        <v>0</v>
      </c>
      <c r="V69" s="273">
        <f t="shared" si="3"/>
        <v>870.31290000000013</v>
      </c>
      <c r="W69" s="273">
        <f>V69</f>
        <v>870.31290000000013</v>
      </c>
      <c r="X69" s="272">
        <f t="shared" si="4"/>
        <v>957.34419000000025</v>
      </c>
      <c r="Y69" s="272">
        <f t="shared" si="4"/>
        <v>957.34419000000025</v>
      </c>
      <c r="Z69" s="274">
        <f>'Tariffs Jan2017'!AW63</f>
        <v>0</v>
      </c>
      <c r="AA69" s="274" t="str">
        <f>'Tariffs Jan2017'!AX63</f>
        <v>n</v>
      </c>
      <c r="AB69" s="275" t="str">
        <f>'Tariffs Jan2017'!BD63</f>
        <v>Y</v>
      </c>
      <c r="AC69" s="305"/>
      <c r="AD69" s="305"/>
      <c r="AE69" s="305"/>
      <c r="AF69" s="305"/>
      <c r="AG69" s="305"/>
      <c r="AH69" s="305"/>
      <c r="AI69" s="305"/>
      <c r="AJ69" s="305"/>
      <c r="AK69" s="305"/>
      <c r="AL69" s="305"/>
      <c r="AM69" s="305"/>
      <c r="AN69" s="305"/>
    </row>
    <row r="70" spans="1:40" x14ac:dyDescent="0.15">
      <c r="A70" s="270" t="str">
        <f>'Tariffs Jan2017'!F64</f>
        <v>Origin Energy</v>
      </c>
      <c r="B70" s="40" t="str">
        <f>'Tariffs Jan2017'!D64</f>
        <v>Ausnet West</v>
      </c>
      <c r="C70" s="40" t="str">
        <f>'Tariffs Jan2017'!G64</f>
        <v>Saver</v>
      </c>
      <c r="D70" s="59">
        <f>365*'Tariffs Jan2017'!H64/100</f>
        <v>300.10300000000001</v>
      </c>
      <c r="E70" s="59">
        <f>IF($C$5*'Tariffs Jan2017'!AK64/'Tariffs Jan2017'!AI64&gt;='Tariffs Jan2017'!J64,( 'Tariffs Jan2017'!J64*'Tariffs Jan2017'!O64/100)* 'Tariffs Jan2017'!AI64,($C$5*'Tariffs Jan2017'!AK64/'Tariffs Jan2017'!AI64*'Tariffs Jan2017'!O64/100)* 'Tariffs Jan2017'!AI64)</f>
        <v>143.744</v>
      </c>
      <c r="F70" s="59">
        <f>IF($C$5*'Tariffs Jan2017'!AK64/'Tariffs Jan2017'!AI64&lt;'Tariffs Jan2017'!J64,0,IF($C$5*'Tariffs Jan2017'!AK64/'Tariffs Jan2017'!AI64&lt;='Tariffs Jan2017'!K64,($C$5*'Tariffs Jan2017'!AK64/'Tariffs Jan2017'!AI64-'Tariffs Jan2017'!J64)*('Tariffs Jan2017'!P64/100)*'Tariffs Jan2017'!AI64,('Tariffs Jan2017'!K64-'Tariffs Jan2017'!J64)*('Tariffs Jan2017'!P64/100)*'Tariffs Jan2017'!AI64))</f>
        <v>0</v>
      </c>
      <c r="G70" s="59">
        <f>IF($C$5*'Tariffs Jan2017'!AK64/'Tariffs Jan2017'!AI64&lt;'Tariffs Jan2017'!K64,0,IF($C$5*'Tariffs Jan2017'!AK64/'Tariffs Jan2017'!AI64&lt;='Tariffs Jan2017'!L64,($C$5*'Tariffs Jan2017'!AK64/'Tariffs Jan2017'!AI64-'Tariffs Jan2017'!K64)*('Tariffs Jan2017'!Q64/100)*'Tariffs Jan2017'!AI64,('Tariffs Jan2017'!L64-'Tariffs Jan2017'!K64)*('Tariffs Jan2017'!Q64/100)*'Tariffs Jan2017'!AI64))</f>
        <v>0</v>
      </c>
      <c r="H70" s="59">
        <f>IF($C$5*'Tariffs Jan2017'!AK64/'Tariffs Jan2017'!AI64&lt;'Tariffs Jan2017'!L64,0,IF($C$5*'Tariffs Jan2017'!AK64/'Tariffs Jan2017'!AI64&lt;='Tariffs Jan2017'!M64,($C$5*'Tariffs Jan2017'!AK64/'Tariffs Jan2017'!AI64-'Tariffs Jan2017'!L64)*('Tariffs Jan2017'!R64/100)*'Tariffs Jan2017'!AI64,('Tariffs Jan2017'!M64-'Tariffs Jan2017'!L64)*('Tariffs Jan2017'!R64/100)*'Tariffs Jan2017'!AI64))</f>
        <v>0</v>
      </c>
      <c r="I70" s="59">
        <f>IF(($C$5*'Tariffs Jan2017'!AK64/'Tariffs Jan2017'!AI64&gt;'Tariffs Jan2017'!M64),($C$5*'Tariffs Jan2017'!AK64/'Tariffs Jan2017'!AI64-'Tariffs Jan2017'!M64)*'Tariffs Jan2017'!S64/100*'Tariffs Jan2017'!AI64,0)</f>
        <v>136.35244</v>
      </c>
      <c r="J70" s="59">
        <f>IF($C$5*'Tariffs Jan2017'!AL64/'Tariffs Jan2017'!AJ64&gt;='Tariffs Jan2017'!J64,('Tariffs Jan2017'!J64*'Tariffs Jan2017'!U64/100)* 'Tariffs Jan2017'!AJ64,($C$5*'Tariffs Jan2017'!AL64/'Tariffs Jan2017'!AJ64*'Tariffs Jan2017'!U64/100)* 'Tariffs Jan2017'!AJ64)</f>
        <v>208.25599999999997</v>
      </c>
      <c r="K70" s="59">
        <f>IF($C$5*'Tariffs Jan2017'!AL64/'Tariffs Jan2017'!AJ64&lt;'Tariffs Jan2017'!J64,0,IF($C$5*'Tariffs Jan2017'!AL64/'Tariffs Jan2017'!AJ64&lt;='Tariffs Jan2017'!K64,($C$5*'Tariffs Jan2017'!AL64/'Tariffs Jan2017'!AJ64-'Tariffs Jan2017'!J64)*('Tariffs Jan2017'!V64/100)*'Tariffs Jan2017'!AJ64,('Tariffs Jan2017'!K64-'Tariffs Jan2017'!J64)*('Tariffs Jan2017'!V64/100)*'Tariffs Jan2017'!AJ64))</f>
        <v>0</v>
      </c>
      <c r="L70" s="59">
        <f>IF($C$5*'Tariffs Jan2017'!AL64/'Tariffs Jan2017'!AJ64&lt;'Tariffs Jan2017'!K64,0,IF($C$5*'Tariffs Jan2017'!AL64/'Tariffs Jan2017'!AJ64&lt;='Tariffs Jan2017'!L64,($C$5*'Tariffs Jan2017'!AL64/'Tariffs Jan2017'!AJ64-'Tariffs Jan2017'!K64)*('Tariffs Jan2017'!W64/100)*'Tariffs Jan2017'!AJ64,('Tariffs Jan2017'!L64-'Tariffs Jan2017'!K64)*('Tariffs Jan2017'!W64/100)*'Tariffs Jan2017'!AJ64))</f>
        <v>0</v>
      </c>
      <c r="M70" s="59">
        <f>IF($C$5*'Tariffs Jan2017'!AL64/'Tariffs Jan2017'!AJ64&lt;'Tariffs Jan2017'!L64,0,IF($C$5*'Tariffs Jan2017'!AL64/'Tariffs Jan2017'!AJ64&lt;='Tariffs Jan2017'!M64,($C$5*'Tariffs Jan2017'!AL64/'Tariffs Jan2017'!AJ64-'Tariffs Jan2017'!L64)*('Tariffs Jan2017'!X64/100)*'Tariffs Jan2017'!AJ64,('Tariffs Jan2017'!M64-'Tariffs Jan2017'!L64)*('Tariffs Jan2017'!X64/100)*'Tariffs Jan2017'!AJ64))</f>
        <v>0</v>
      </c>
      <c r="N70" s="59">
        <f>IF(($C$5*'Tariffs Jan2017'!AL64/'Tariffs Jan2017'!AJ64&gt;'Tariffs Jan2017'!M64),($C$5*'Tariffs Jan2017'!AL64/'Tariffs Jan2017'!AJ64-'Tariffs Jan2017'!M64)*'Tariffs Jan2017'!Y64/100*'Tariffs Jan2017'!AJ64,0)</f>
        <v>198.2552</v>
      </c>
      <c r="O70" s="271">
        <f t="shared" si="0"/>
        <v>686.60763999999995</v>
      </c>
      <c r="P70" s="59">
        <f t="shared" si="1"/>
        <v>986.71064000000001</v>
      </c>
      <c r="Q70" s="272">
        <f t="shared" si="2"/>
        <v>1085.3817040000001</v>
      </c>
      <c r="R70" s="40">
        <f>'Tariffs Jan2017'!AM64</f>
        <v>0</v>
      </c>
      <c r="S70" s="40">
        <f>'Tariffs Jan2017'!AN64</f>
        <v>0</v>
      </c>
      <c r="T70" s="40">
        <f>'Tariffs Jan2017'!AO64</f>
        <v>0</v>
      </c>
      <c r="U70" s="40">
        <f>'Tariffs Jan2017'!AP64</f>
        <v>13</v>
      </c>
      <c r="V70" s="273">
        <f t="shared" si="3"/>
        <v>986.71064000000001</v>
      </c>
      <c r="W70" s="273">
        <f>V70-(O70*U70/100)</f>
        <v>897.45164680000005</v>
      </c>
      <c r="X70" s="272">
        <f t="shared" si="4"/>
        <v>1085.3817040000001</v>
      </c>
      <c r="Y70" s="272">
        <f t="shared" si="4"/>
        <v>987.19681148000018</v>
      </c>
      <c r="Z70" s="274">
        <f>'Tariffs Jan2017'!AW64</f>
        <v>0</v>
      </c>
      <c r="AA70" s="274" t="str">
        <f>'Tariffs Jan2017'!AX64</f>
        <v>n</v>
      </c>
      <c r="AB70" s="275" t="str">
        <f>'Tariffs Jan2017'!BD64</f>
        <v>N</v>
      </c>
      <c r="AC70" s="305"/>
      <c r="AD70" s="305"/>
      <c r="AE70" s="305"/>
      <c r="AF70" s="305"/>
      <c r="AG70" s="305"/>
      <c r="AH70" s="305"/>
      <c r="AI70" s="305"/>
      <c r="AJ70" s="305"/>
      <c r="AK70" s="305"/>
      <c r="AL70" s="305"/>
      <c r="AM70" s="305"/>
      <c r="AN70" s="305"/>
    </row>
    <row r="71" spans="1:40" x14ac:dyDescent="0.15">
      <c r="A71" s="270" t="str">
        <f>'Tariffs Jan2017'!F65</f>
        <v>Red Energy</v>
      </c>
      <c r="B71" s="40" t="str">
        <f>'Tariffs Jan2017'!D65</f>
        <v>Ausnet West</v>
      </c>
      <c r="C71" s="40" t="str">
        <f>'Tariffs Jan2017'!G65</f>
        <v>Living Energy Saver</v>
      </c>
      <c r="D71" s="59">
        <f>365*'Tariffs Jan2017'!H65/100</f>
        <v>306.60000000000002</v>
      </c>
      <c r="E71" s="59">
        <f>IF($C$5*'Tariffs Jan2017'!AK65/'Tariffs Jan2017'!AI65&gt;='Tariffs Jan2017'!J65,( 'Tariffs Jan2017'!J65*'Tariffs Jan2017'!O65/100)* 'Tariffs Jan2017'!AI65,($C$5*'Tariffs Jan2017'!AK65/'Tariffs Jan2017'!AI65*'Tariffs Jan2017'!O65/100)* 'Tariffs Jan2017'!AI65)</f>
        <v>136.96</v>
      </c>
      <c r="F71" s="59">
        <f>IF($C$5*'Tariffs Jan2017'!AK65/'Tariffs Jan2017'!AI65&lt;'Tariffs Jan2017'!J65,0,IF($C$5*'Tariffs Jan2017'!AK65/'Tariffs Jan2017'!AI65&lt;='Tariffs Jan2017'!K65,($C$5*'Tariffs Jan2017'!AK65/'Tariffs Jan2017'!AI65-'Tariffs Jan2017'!J65)*('Tariffs Jan2017'!P65/100)*'Tariffs Jan2017'!AI65,('Tariffs Jan2017'!K65-'Tariffs Jan2017'!J65)*('Tariffs Jan2017'!P65/100)*'Tariffs Jan2017'!AI65))</f>
        <v>0</v>
      </c>
      <c r="G71" s="59">
        <f>IF($C$5*'Tariffs Jan2017'!AK65/'Tariffs Jan2017'!AI65&lt;'Tariffs Jan2017'!K65,0,IF($C$5*'Tariffs Jan2017'!AK65/'Tariffs Jan2017'!AI65&lt;='Tariffs Jan2017'!L65,($C$5*'Tariffs Jan2017'!AK65/'Tariffs Jan2017'!AI65-'Tariffs Jan2017'!K65)*('Tariffs Jan2017'!Q65/100)*'Tariffs Jan2017'!AI65,('Tariffs Jan2017'!L65-'Tariffs Jan2017'!K65)*('Tariffs Jan2017'!Q65/100)*'Tariffs Jan2017'!AI65))</f>
        <v>0</v>
      </c>
      <c r="H71" s="59">
        <f>IF($C$5*'Tariffs Jan2017'!AK65/'Tariffs Jan2017'!AI65&lt;'Tariffs Jan2017'!L65,0,IF($C$5*'Tariffs Jan2017'!AK65/'Tariffs Jan2017'!AI65&lt;='Tariffs Jan2017'!M65,($C$5*'Tariffs Jan2017'!AK65/'Tariffs Jan2017'!AI65-'Tariffs Jan2017'!L65)*('Tariffs Jan2017'!R65/100)*'Tariffs Jan2017'!AI65,('Tariffs Jan2017'!M65-'Tariffs Jan2017'!L65)*('Tariffs Jan2017'!R65/100)*'Tariffs Jan2017'!AI65))</f>
        <v>0</v>
      </c>
      <c r="I71" s="59">
        <f>IF(($C$5*'Tariffs Jan2017'!AK65/'Tariffs Jan2017'!AI65&gt;'Tariffs Jan2017'!M65),($C$5*'Tariffs Jan2017'!AK65/'Tariffs Jan2017'!AI65-'Tariffs Jan2017'!M65)*'Tariffs Jan2017'!S65/100*'Tariffs Jan2017'!AI65,0)</f>
        <v>110.08016000000002</v>
      </c>
      <c r="J71" s="59">
        <f>IF($C$5*'Tariffs Jan2017'!AL65/'Tariffs Jan2017'!AJ65&gt;='Tariffs Jan2017'!J65,('Tariffs Jan2017'!J65*'Tariffs Jan2017'!U65/100)* 'Tariffs Jan2017'!AJ65,($C$5*'Tariffs Jan2017'!AL65/'Tariffs Jan2017'!AJ65*'Tariffs Jan2017'!U65/100)* 'Tariffs Jan2017'!AJ65)</f>
        <v>224.512</v>
      </c>
      <c r="K71" s="59">
        <f>IF($C$5*'Tariffs Jan2017'!AL65/'Tariffs Jan2017'!AJ65&lt;'Tariffs Jan2017'!J65,0,IF($C$5*'Tariffs Jan2017'!AL65/'Tariffs Jan2017'!AJ65&lt;='Tariffs Jan2017'!K65,($C$5*'Tariffs Jan2017'!AL65/'Tariffs Jan2017'!AJ65-'Tariffs Jan2017'!J65)*('Tariffs Jan2017'!V65/100)*'Tariffs Jan2017'!AJ65,('Tariffs Jan2017'!K65-'Tariffs Jan2017'!J65)*('Tariffs Jan2017'!V65/100)*'Tariffs Jan2017'!AJ65))</f>
        <v>0</v>
      </c>
      <c r="L71" s="59">
        <f>IF($C$5*'Tariffs Jan2017'!AL65/'Tariffs Jan2017'!AJ65&lt;'Tariffs Jan2017'!K65,0,IF($C$5*'Tariffs Jan2017'!AL65/'Tariffs Jan2017'!AJ65&lt;='Tariffs Jan2017'!L65,($C$5*'Tariffs Jan2017'!AL65/'Tariffs Jan2017'!AJ65-'Tariffs Jan2017'!K65)*('Tariffs Jan2017'!W65/100)*'Tariffs Jan2017'!AJ65,('Tariffs Jan2017'!L65-'Tariffs Jan2017'!K65)*('Tariffs Jan2017'!W65/100)*'Tariffs Jan2017'!AJ65))</f>
        <v>0</v>
      </c>
      <c r="M71" s="59">
        <f>IF($C$5*'Tariffs Jan2017'!AL65/'Tariffs Jan2017'!AJ65&lt;'Tariffs Jan2017'!L65,0,IF($C$5*'Tariffs Jan2017'!AL65/'Tariffs Jan2017'!AJ65&lt;='Tariffs Jan2017'!M65,($C$5*'Tariffs Jan2017'!AL65/'Tariffs Jan2017'!AJ65-'Tariffs Jan2017'!L65)*('Tariffs Jan2017'!X65/100)*'Tariffs Jan2017'!AJ65,('Tariffs Jan2017'!M65-'Tariffs Jan2017'!L65)*('Tariffs Jan2017'!X65/100)*'Tariffs Jan2017'!AJ65))</f>
        <v>0</v>
      </c>
      <c r="N71" s="59">
        <f>IF(($C$5*'Tariffs Jan2017'!AL65/'Tariffs Jan2017'!AJ65&gt;'Tariffs Jan2017'!M65),($C$5*'Tariffs Jan2017'!AL65/'Tariffs Jan2017'!AJ65-'Tariffs Jan2017'!M65)*'Tariffs Jan2017'!Y65/100*'Tariffs Jan2017'!AJ65,0)</f>
        <v>196.31423999999998</v>
      </c>
      <c r="O71" s="271">
        <f t="shared" si="0"/>
        <v>667.8664</v>
      </c>
      <c r="P71" s="59">
        <f t="shared" si="1"/>
        <v>974.46640000000002</v>
      </c>
      <c r="Q71" s="272">
        <f t="shared" si="2"/>
        <v>1071.9130400000001</v>
      </c>
      <c r="R71" s="40">
        <f>'Tariffs Jan2017'!AM65</f>
        <v>0</v>
      </c>
      <c r="S71" s="40">
        <f>'Tariffs Jan2017'!AN65</f>
        <v>0</v>
      </c>
      <c r="T71" s="40">
        <f>'Tariffs Jan2017'!AO65</f>
        <v>10</v>
      </c>
      <c r="U71" s="40">
        <f>'Tariffs Jan2017'!AP65</f>
        <v>0</v>
      </c>
      <c r="V71" s="273">
        <f t="shared" si="3"/>
        <v>974.46640000000002</v>
      </c>
      <c r="W71" s="273">
        <f>V71-(P71*T71/100)</f>
        <v>877.01976000000002</v>
      </c>
      <c r="X71" s="272">
        <f t="shared" si="4"/>
        <v>1071.9130400000001</v>
      </c>
      <c r="Y71" s="272">
        <f t="shared" si="4"/>
        <v>964.72173600000008</v>
      </c>
      <c r="Z71" s="274">
        <f>'Tariffs Jan2017'!AW65</f>
        <v>0</v>
      </c>
      <c r="AA71" s="274" t="str">
        <f>'Tariffs Jan2017'!AX65</f>
        <v>n</v>
      </c>
      <c r="AB71" s="275" t="str">
        <f>'Tariffs Jan2017'!BD65</f>
        <v>Y</v>
      </c>
      <c r="AC71" s="305"/>
      <c r="AD71" s="305"/>
      <c r="AE71" s="305"/>
      <c r="AF71" s="305"/>
      <c r="AG71" s="305"/>
      <c r="AH71" s="305"/>
      <c r="AI71" s="305"/>
      <c r="AJ71" s="305"/>
      <c r="AK71" s="305"/>
      <c r="AL71" s="305"/>
      <c r="AM71" s="305"/>
      <c r="AN71" s="305"/>
    </row>
    <row r="72" spans="1:40" ht="14" thickBot="1" x14ac:dyDescent="0.2">
      <c r="A72" s="276" t="str">
        <f>'Tariffs Jan2017'!F66</f>
        <v>Simply Energy</v>
      </c>
      <c r="B72" s="277" t="str">
        <f>'Tariffs Jan2017'!D66</f>
        <v>Ausnet West</v>
      </c>
      <c r="C72" s="277" t="str">
        <f>'Tariffs Jan2017'!G66</f>
        <v>Plus</v>
      </c>
      <c r="D72" s="278">
        <f>365*'Tariffs Jan2017'!H66/100</f>
        <v>291.67149999999998</v>
      </c>
      <c r="E72" s="278">
        <f>IF($C$5*'Tariffs Jan2017'!AK66/'Tariffs Jan2017'!AI66&gt;='Tariffs Jan2017'!J66,( 'Tariffs Jan2017'!J66*'Tariffs Jan2017'!O66/100)* 'Tariffs Jan2017'!AI66,($C$5*'Tariffs Jan2017'!AK66/'Tariffs Jan2017'!AI66*'Tariffs Jan2017'!O66/100)* 'Tariffs Jan2017'!AI66)</f>
        <v>226.8</v>
      </c>
      <c r="F72" s="278">
        <f>IF($C$5*'Tariffs Jan2017'!AK66/'Tariffs Jan2017'!AI66&lt;'Tariffs Jan2017'!J66,0,IF($C$5*'Tariffs Jan2017'!AK66/'Tariffs Jan2017'!AI66&lt;='Tariffs Jan2017'!K66,($C$5*'Tariffs Jan2017'!AK66/'Tariffs Jan2017'!AI66-'Tariffs Jan2017'!J66)*('Tariffs Jan2017'!P66/100)*'Tariffs Jan2017'!AI66,('Tariffs Jan2017'!K66-'Tariffs Jan2017'!J66)*('Tariffs Jan2017'!P66/100)*'Tariffs Jan2017'!AI66))</f>
        <v>24.775200000000002</v>
      </c>
      <c r="G72" s="278">
        <f>IF($C$5*'Tariffs Jan2017'!AK66/'Tariffs Jan2017'!AI66&lt;'Tariffs Jan2017'!K66,0,IF($C$5*'Tariffs Jan2017'!AK66/'Tariffs Jan2017'!AI66&lt;='Tariffs Jan2017'!L66,($C$5*'Tariffs Jan2017'!AK66/'Tariffs Jan2017'!AI66-'Tariffs Jan2017'!K66)*('Tariffs Jan2017'!Q66/100)*'Tariffs Jan2017'!AI66,('Tariffs Jan2017'!L66-'Tariffs Jan2017'!K66)*('Tariffs Jan2017'!Q66/100)*'Tariffs Jan2017'!AI66))</f>
        <v>0</v>
      </c>
      <c r="H72" s="278">
        <f>IF($C$5*'Tariffs Jan2017'!AK66/'Tariffs Jan2017'!AI66&lt;'Tariffs Jan2017'!L66,0,IF($C$5*'Tariffs Jan2017'!AK66/'Tariffs Jan2017'!AI66&lt;='Tariffs Jan2017'!M66,($C$5*'Tariffs Jan2017'!AK66/'Tariffs Jan2017'!AI66-'Tariffs Jan2017'!L66)*('Tariffs Jan2017'!R66/100)*'Tariffs Jan2017'!AI66,('Tariffs Jan2017'!M66-'Tariffs Jan2017'!L66)*('Tariffs Jan2017'!R66/100)*'Tariffs Jan2017'!AI66))</f>
        <v>0</v>
      </c>
      <c r="I72" s="278">
        <f>IF(($C$5*'Tariffs Jan2017'!AK66/'Tariffs Jan2017'!AI66&gt;'Tariffs Jan2017'!M66),($C$5*'Tariffs Jan2017'!AK66/'Tariffs Jan2017'!AI66-'Tariffs Jan2017'!M66)*'Tariffs Jan2017'!S66/100*'Tariffs Jan2017'!AI66,0)</f>
        <v>0</v>
      </c>
      <c r="J72" s="278">
        <f>IF($C$5*'Tariffs Jan2017'!AL66/'Tariffs Jan2017'!AJ66&gt;='Tariffs Jan2017'!J66,('Tariffs Jan2017'!J66*'Tariffs Jan2017'!U66/100)* 'Tariffs Jan2017'!AJ66,($C$5*'Tariffs Jan2017'!AL66/'Tariffs Jan2017'!AJ66*'Tariffs Jan2017'!U66/100)* 'Tariffs Jan2017'!AJ66)</f>
        <v>369.6</v>
      </c>
      <c r="K72" s="278">
        <f>IF($C$5*'Tariffs Jan2017'!AL66/'Tariffs Jan2017'!AJ66&lt;'Tariffs Jan2017'!J66,0,IF($C$5*'Tariffs Jan2017'!AL66/'Tariffs Jan2017'!AJ66&lt;='Tariffs Jan2017'!K66,($C$5*'Tariffs Jan2017'!AL66/'Tariffs Jan2017'!AJ66-'Tariffs Jan2017'!J66)*('Tariffs Jan2017'!V66/100)*'Tariffs Jan2017'!AJ66,('Tariffs Jan2017'!K66-'Tariffs Jan2017'!J66)*('Tariffs Jan2017'!V66/100)*'Tariffs Jan2017'!AJ66))</f>
        <v>40.226399999999998</v>
      </c>
      <c r="L72" s="278">
        <f>IF($C$5*'Tariffs Jan2017'!AL66/'Tariffs Jan2017'!AJ66&lt;'Tariffs Jan2017'!K66,0,IF($C$5*'Tariffs Jan2017'!AL66/'Tariffs Jan2017'!AJ66&lt;='Tariffs Jan2017'!L66,($C$5*'Tariffs Jan2017'!AL66/'Tariffs Jan2017'!AJ66-'Tariffs Jan2017'!K66)*('Tariffs Jan2017'!W66/100)*'Tariffs Jan2017'!AJ66,('Tariffs Jan2017'!L66-'Tariffs Jan2017'!K66)*('Tariffs Jan2017'!W66/100)*'Tariffs Jan2017'!AJ66))</f>
        <v>0</v>
      </c>
      <c r="M72" s="278">
        <f>IF($C$5*'Tariffs Jan2017'!AL66/'Tariffs Jan2017'!AJ66&lt;'Tariffs Jan2017'!L66,0,IF($C$5*'Tariffs Jan2017'!AL66/'Tariffs Jan2017'!AJ66&lt;='Tariffs Jan2017'!M66,($C$5*'Tariffs Jan2017'!AL66/'Tariffs Jan2017'!AJ66-'Tariffs Jan2017'!L66)*('Tariffs Jan2017'!X66/100)*'Tariffs Jan2017'!AJ66,('Tariffs Jan2017'!M66-'Tariffs Jan2017'!L66)*('Tariffs Jan2017'!X66/100)*'Tariffs Jan2017'!AJ66))</f>
        <v>0</v>
      </c>
      <c r="N72" s="278">
        <f>IF(($C$5*'Tariffs Jan2017'!AL66/'Tariffs Jan2017'!AJ66&gt;'Tariffs Jan2017'!M66),($C$5*'Tariffs Jan2017'!AL66/'Tariffs Jan2017'!AJ66-'Tariffs Jan2017'!M66)*'Tariffs Jan2017'!Y66/100*'Tariffs Jan2017'!AJ66,0)</f>
        <v>0</v>
      </c>
      <c r="O72" s="279">
        <f t="shared" si="0"/>
        <v>661.40160000000003</v>
      </c>
      <c r="P72" s="278">
        <f t="shared" si="1"/>
        <v>953.07310000000007</v>
      </c>
      <c r="Q72" s="280">
        <f t="shared" si="2"/>
        <v>1048.3804100000002</v>
      </c>
      <c r="R72" s="277">
        <f>'Tariffs Jan2017'!AM66</f>
        <v>0</v>
      </c>
      <c r="S72" s="277">
        <f>'Tariffs Jan2017'!AN66</f>
        <v>0</v>
      </c>
      <c r="T72" s="277">
        <f>'Tariffs Jan2017'!AO66</f>
        <v>0</v>
      </c>
      <c r="U72" s="277">
        <f>'Tariffs Jan2017'!AP66</f>
        <v>15</v>
      </c>
      <c r="V72" s="273">
        <f t="shared" si="3"/>
        <v>953.07310000000007</v>
      </c>
      <c r="W72" s="281">
        <f>V72-(O72*U72/100)</f>
        <v>853.86286000000007</v>
      </c>
      <c r="X72" s="280">
        <f t="shared" si="4"/>
        <v>1048.3804100000002</v>
      </c>
      <c r="Y72" s="280">
        <f t="shared" si="4"/>
        <v>939.24914600000011</v>
      </c>
      <c r="Z72" s="282">
        <f>'Tariffs Jan2017'!AW66</f>
        <v>24</v>
      </c>
      <c r="AA72" s="282" t="str">
        <f>'Tariffs Jan2017'!AX66</f>
        <v>n</v>
      </c>
      <c r="AB72" s="283" t="str">
        <f>'Tariffs Jan2017'!BD66</f>
        <v>Y</v>
      </c>
      <c r="AC72" s="305"/>
      <c r="AD72" s="305"/>
      <c r="AE72" s="305"/>
      <c r="AF72" s="305"/>
      <c r="AG72" s="305"/>
      <c r="AH72" s="305"/>
      <c r="AI72" s="305"/>
      <c r="AJ72" s="305"/>
      <c r="AK72" s="305"/>
      <c r="AL72" s="305"/>
      <c r="AM72" s="305"/>
      <c r="AN72" s="305"/>
    </row>
    <row r="73" spans="1:40" ht="14" thickTop="1" x14ac:dyDescent="0.15">
      <c r="A73" s="270" t="str">
        <f>'Tariffs Jan2017'!F67</f>
        <v>AGL</v>
      </c>
      <c r="B73" s="40" t="str">
        <f>'Tariffs Jan2017'!D67</f>
        <v>Ausnet Central 2</v>
      </c>
      <c r="C73" s="40" t="str">
        <f>'Tariffs Jan2017'!G67</f>
        <v>Savers</v>
      </c>
      <c r="D73" s="59">
        <f>365*'Tariffs Jan2017'!H67/100</f>
        <v>293.89799999999997</v>
      </c>
      <c r="E73" s="59">
        <f>IF($C$5*'Tariffs Jan2017'!AK67/'Tariffs Jan2017'!AI67&gt;='Tariffs Jan2017'!J67,( 'Tariffs Jan2017'!J67*'Tariffs Jan2017'!O67/100)* 'Tariffs Jan2017'!AI67,($C$5*'Tariffs Jan2017'!AK67/'Tariffs Jan2017'!AI67*'Tariffs Jan2017'!O67/100)* 'Tariffs Jan2017'!AI67)</f>
        <v>259.92</v>
      </c>
      <c r="F73" s="59">
        <f>IF($C$5*'Tariffs Jan2017'!AK67/'Tariffs Jan2017'!AI67&lt;'Tariffs Jan2017'!J67,0,IF($C$5*'Tariffs Jan2017'!AK67/'Tariffs Jan2017'!AI67&lt;='Tariffs Jan2017'!K67,($C$5*'Tariffs Jan2017'!AK67/'Tariffs Jan2017'!AI67-'Tariffs Jan2017'!J67)*('Tariffs Jan2017'!P67/100)*'Tariffs Jan2017'!AI67,('Tariffs Jan2017'!K67-'Tariffs Jan2017'!J67)*('Tariffs Jan2017'!P67/100)*'Tariffs Jan2017'!AI67))</f>
        <v>27.479160000000004</v>
      </c>
      <c r="G73" s="59">
        <f>IF($C$5*'Tariffs Jan2017'!AK67/'Tariffs Jan2017'!AI67&lt;'Tariffs Jan2017'!K67,0,IF($C$5*'Tariffs Jan2017'!AK67/'Tariffs Jan2017'!AI67&lt;='Tariffs Jan2017'!L67,($C$5*'Tariffs Jan2017'!AK67/'Tariffs Jan2017'!AI67-'Tariffs Jan2017'!K67)*('Tariffs Jan2017'!Q67/100)*'Tariffs Jan2017'!AI67,('Tariffs Jan2017'!L67-'Tariffs Jan2017'!K67)*('Tariffs Jan2017'!Q67/100)*'Tariffs Jan2017'!AI67))</f>
        <v>0</v>
      </c>
      <c r="H73" s="59">
        <f>IF($C$5*'Tariffs Jan2017'!AK67/'Tariffs Jan2017'!AI67&lt;'Tariffs Jan2017'!L67,0,IF($C$5*'Tariffs Jan2017'!AK67/'Tariffs Jan2017'!AI67&lt;='Tariffs Jan2017'!M67,($C$5*'Tariffs Jan2017'!AK67/'Tariffs Jan2017'!AI67-'Tariffs Jan2017'!L67)*('Tariffs Jan2017'!R67/100)*'Tariffs Jan2017'!AI67,('Tariffs Jan2017'!M67-'Tariffs Jan2017'!L67)*('Tariffs Jan2017'!R67/100)*'Tariffs Jan2017'!AI67))</f>
        <v>0</v>
      </c>
      <c r="I73" s="59">
        <f>IF(($C$5*'Tariffs Jan2017'!AK67/'Tariffs Jan2017'!AI67&gt;'Tariffs Jan2017'!M67),($C$5*'Tariffs Jan2017'!AK67/'Tariffs Jan2017'!AI67-'Tariffs Jan2017'!M67)*'Tariffs Jan2017'!S67/100*'Tariffs Jan2017'!AI67,0)</f>
        <v>0</v>
      </c>
      <c r="J73" s="59">
        <f>IF($C$5*'Tariffs Jan2017'!AL67/'Tariffs Jan2017'!AJ67&gt;='Tariffs Jan2017'!J67,('Tariffs Jan2017'!J67*'Tariffs Jan2017'!U67/100)* 'Tariffs Jan2017'!AJ67,($C$5*'Tariffs Jan2017'!AL67/'Tariffs Jan2017'!AJ67*'Tariffs Jan2017'!U67/100)* 'Tariffs Jan2017'!AJ67)</f>
        <v>447.12</v>
      </c>
      <c r="K73" s="59">
        <f>IF($C$5*'Tariffs Jan2017'!AL67/'Tariffs Jan2017'!AJ67&lt;'Tariffs Jan2017'!J67,0,IF($C$5*'Tariffs Jan2017'!AL67/'Tariffs Jan2017'!AJ67&lt;='Tariffs Jan2017'!K67,($C$5*'Tariffs Jan2017'!AL67/'Tariffs Jan2017'!AJ67-'Tariffs Jan2017'!J67)*('Tariffs Jan2017'!V67/100)*'Tariffs Jan2017'!AJ67,('Tariffs Jan2017'!K67-'Tariffs Jan2017'!J67)*('Tariffs Jan2017'!V67/100)*'Tariffs Jan2017'!AJ67))</f>
        <v>43.236720000000005</v>
      </c>
      <c r="L73" s="59">
        <f>IF($C$5*'Tariffs Jan2017'!AL67/'Tariffs Jan2017'!AJ67&lt;'Tariffs Jan2017'!K67,0,IF($C$5*'Tariffs Jan2017'!AL67/'Tariffs Jan2017'!AJ67&lt;='Tariffs Jan2017'!L67,($C$5*'Tariffs Jan2017'!AL67/'Tariffs Jan2017'!AJ67-'Tariffs Jan2017'!K67)*('Tariffs Jan2017'!W67/100)*'Tariffs Jan2017'!AJ67,('Tariffs Jan2017'!L67-'Tariffs Jan2017'!K67)*('Tariffs Jan2017'!W67/100)*'Tariffs Jan2017'!AJ67))</f>
        <v>0</v>
      </c>
      <c r="M73" s="59">
        <f>IF($C$5*'Tariffs Jan2017'!AL67/'Tariffs Jan2017'!AJ67&lt;'Tariffs Jan2017'!L67,0,IF($C$5*'Tariffs Jan2017'!AL67/'Tariffs Jan2017'!AJ67&lt;='Tariffs Jan2017'!M67,($C$5*'Tariffs Jan2017'!AL67/'Tariffs Jan2017'!AJ67-'Tariffs Jan2017'!L67)*('Tariffs Jan2017'!X67/100)*'Tariffs Jan2017'!AJ67,('Tariffs Jan2017'!M67-'Tariffs Jan2017'!L67)*('Tariffs Jan2017'!X67/100)*'Tariffs Jan2017'!AJ67))</f>
        <v>0</v>
      </c>
      <c r="N73" s="59">
        <f>IF(($C$5*'Tariffs Jan2017'!AL67/'Tariffs Jan2017'!AJ67&gt;'Tariffs Jan2017'!M67),($C$5*'Tariffs Jan2017'!AL67/'Tariffs Jan2017'!AJ67-'Tariffs Jan2017'!M67)*'Tariffs Jan2017'!Y67/100*'Tariffs Jan2017'!AJ67,0)</f>
        <v>0</v>
      </c>
      <c r="O73" s="59">
        <f t="shared" ref="O73:O94" si="5">SUM(E73:N73)</f>
        <v>777.75588000000005</v>
      </c>
      <c r="P73" s="59">
        <f t="shared" ref="P73:P94" si="6">D73+O73</f>
        <v>1071.6538800000001</v>
      </c>
      <c r="Q73" s="272">
        <f t="shared" ref="Q73:Q94" si="7">P73*1.1</f>
        <v>1178.8192680000002</v>
      </c>
      <c r="R73" s="40">
        <f>'Tariffs Jan2017'!AM67</f>
        <v>0</v>
      </c>
      <c r="S73" s="40">
        <f>'Tariffs Jan2017'!AN67</f>
        <v>0</v>
      </c>
      <c r="T73" s="40">
        <f>'Tariffs Jan2017'!AO67</f>
        <v>0</v>
      </c>
      <c r="U73" s="40">
        <f>'Tariffs Jan2017'!AP67</f>
        <v>15</v>
      </c>
      <c r="V73" s="273">
        <f t="shared" ref="V73:V94" si="8">P73</f>
        <v>1071.6538800000001</v>
      </c>
      <c r="W73" s="284">
        <f>V73-(O73*U73/100)</f>
        <v>954.99049800000012</v>
      </c>
      <c r="X73" s="272">
        <f t="shared" ref="X73:Y94" si="9">V73*1.1</f>
        <v>1178.8192680000002</v>
      </c>
      <c r="Y73" s="272">
        <f t="shared" si="9"/>
        <v>1050.4895478000003</v>
      </c>
      <c r="Z73" s="274">
        <f>'Tariffs Jan2017'!AW67</f>
        <v>0</v>
      </c>
      <c r="AA73" s="274" t="str">
        <f>'Tariffs Jan2017'!AX67</f>
        <v>n</v>
      </c>
      <c r="AB73" s="275" t="str">
        <f>'Tariffs Jan2017'!BD67</f>
        <v>N</v>
      </c>
      <c r="AC73" s="305"/>
      <c r="AD73" s="305"/>
      <c r="AE73" s="305"/>
      <c r="AF73" s="305"/>
      <c r="AG73" s="305"/>
      <c r="AH73" s="305"/>
      <c r="AI73" s="305"/>
      <c r="AJ73" s="305"/>
      <c r="AK73" s="305"/>
      <c r="AL73" s="305"/>
      <c r="AM73" s="305"/>
      <c r="AN73" s="305"/>
    </row>
    <row r="74" spans="1:40" x14ac:dyDescent="0.15">
      <c r="A74" s="270" t="str">
        <f>'Tariffs Jan2017'!F68</f>
        <v>Alinta Energy</v>
      </c>
      <c r="B74" s="40" t="str">
        <f>'Tariffs Jan2017'!D68</f>
        <v>Ausnet Central 2</v>
      </c>
      <c r="C74" s="40" t="str">
        <f>'Tariffs Jan2017'!G68</f>
        <v>Fair Deal</v>
      </c>
      <c r="D74" s="59">
        <f>365*'Tariffs Jan2017'!H68/100</f>
        <v>240.46199999999996</v>
      </c>
      <c r="E74" s="59">
        <f>IF($C$5*'Tariffs Jan2017'!AK68/'Tariffs Jan2017'!AI68&gt;='Tariffs Jan2017'!J68,( 'Tariffs Jan2017'!J68*'Tariffs Jan2017'!O68/100)* 'Tariffs Jan2017'!AI68,($C$5*'Tariffs Jan2017'!AK68/'Tariffs Jan2017'!AI68*'Tariffs Jan2017'!O68/100)* 'Tariffs Jan2017'!AI68)</f>
        <v>271.2</v>
      </c>
      <c r="F74" s="59">
        <f>IF($C$5*'Tariffs Jan2017'!AK68/'Tariffs Jan2017'!AI68&lt;'Tariffs Jan2017'!J68,0,IF($C$5*'Tariffs Jan2017'!AK68/'Tariffs Jan2017'!AI68&lt;='Tariffs Jan2017'!K68,($C$5*'Tariffs Jan2017'!AK68/'Tariffs Jan2017'!AI68-'Tariffs Jan2017'!J68)*('Tariffs Jan2017'!P68/100)*'Tariffs Jan2017'!AI68,('Tariffs Jan2017'!K68-'Tariffs Jan2017'!J68)*('Tariffs Jan2017'!P68/100)*'Tariffs Jan2017'!AI68))</f>
        <v>0</v>
      </c>
      <c r="G74" s="59">
        <f>IF($C$5*'Tariffs Jan2017'!AK68/'Tariffs Jan2017'!AI68&lt;'Tariffs Jan2017'!K68,0,IF($C$5*'Tariffs Jan2017'!AK68/'Tariffs Jan2017'!AI68&lt;='Tariffs Jan2017'!L68,($C$5*'Tariffs Jan2017'!AK68/'Tariffs Jan2017'!AI68-'Tariffs Jan2017'!K68)*('Tariffs Jan2017'!Q68/100)*'Tariffs Jan2017'!AI68,('Tariffs Jan2017'!L68-'Tariffs Jan2017'!K68)*('Tariffs Jan2017'!Q68/100)*'Tariffs Jan2017'!AI68))</f>
        <v>0</v>
      </c>
      <c r="H74" s="59">
        <f>IF($C$5*'Tariffs Jan2017'!AK68/'Tariffs Jan2017'!AI68&lt;'Tariffs Jan2017'!L68,0,IF($C$5*'Tariffs Jan2017'!AK68/'Tariffs Jan2017'!AI68&lt;='Tariffs Jan2017'!M68,($C$5*'Tariffs Jan2017'!AK68/'Tariffs Jan2017'!AI68-'Tariffs Jan2017'!L68)*('Tariffs Jan2017'!R68/100)*'Tariffs Jan2017'!AI68,('Tariffs Jan2017'!M68-'Tariffs Jan2017'!L68)*('Tariffs Jan2017'!R68/100)*'Tariffs Jan2017'!AI68))</f>
        <v>0</v>
      </c>
      <c r="I74" s="59">
        <f>IF(($C$5*'Tariffs Jan2017'!AK68/'Tariffs Jan2017'!AI68&gt;'Tariffs Jan2017'!M68),($C$5*'Tariffs Jan2017'!AK68/'Tariffs Jan2017'!AI68-'Tariffs Jan2017'!M68)*'Tariffs Jan2017'!S68/100*'Tariffs Jan2017'!AI68,0)</f>
        <v>23.975999999999999</v>
      </c>
      <c r="J74" s="59">
        <f>IF($C$5*'Tariffs Jan2017'!AL68/'Tariffs Jan2017'!AJ68&gt;='Tariffs Jan2017'!J68,('Tariffs Jan2017'!J68*'Tariffs Jan2017'!U68/100)* 'Tariffs Jan2017'!AJ68,($C$5*'Tariffs Jan2017'!AL68/'Tariffs Jan2017'!AJ68*'Tariffs Jan2017'!U68/100)* 'Tariffs Jan2017'!AJ68)</f>
        <v>489.6</v>
      </c>
      <c r="K74" s="59">
        <f>IF($C$5*'Tariffs Jan2017'!AL68/'Tariffs Jan2017'!AJ68&lt;'Tariffs Jan2017'!J68,0,IF($C$5*'Tariffs Jan2017'!AL68/'Tariffs Jan2017'!AJ68&lt;='Tariffs Jan2017'!K68,($C$5*'Tariffs Jan2017'!AL68/'Tariffs Jan2017'!AJ68-'Tariffs Jan2017'!J68)*('Tariffs Jan2017'!V68/100)*'Tariffs Jan2017'!AJ68,('Tariffs Jan2017'!K68-'Tariffs Jan2017'!J68)*('Tariffs Jan2017'!V68/100)*'Tariffs Jan2017'!AJ68))</f>
        <v>0</v>
      </c>
      <c r="L74" s="59">
        <f>IF($C$5*'Tariffs Jan2017'!AL68/'Tariffs Jan2017'!AJ68&lt;'Tariffs Jan2017'!K68,0,IF($C$5*'Tariffs Jan2017'!AL68/'Tariffs Jan2017'!AJ68&lt;='Tariffs Jan2017'!L68,($C$5*'Tariffs Jan2017'!AL68/'Tariffs Jan2017'!AJ68-'Tariffs Jan2017'!K68)*('Tariffs Jan2017'!W68/100)*'Tariffs Jan2017'!AJ68,('Tariffs Jan2017'!L68-'Tariffs Jan2017'!K68)*('Tariffs Jan2017'!W68/100)*'Tariffs Jan2017'!AJ68))</f>
        <v>0</v>
      </c>
      <c r="M74" s="59">
        <f>IF($C$5*'Tariffs Jan2017'!AL68/'Tariffs Jan2017'!AJ68&lt;'Tariffs Jan2017'!L68,0,IF($C$5*'Tariffs Jan2017'!AL68/'Tariffs Jan2017'!AJ68&lt;='Tariffs Jan2017'!M68,($C$5*'Tariffs Jan2017'!AL68/'Tariffs Jan2017'!AJ68-'Tariffs Jan2017'!L68)*('Tariffs Jan2017'!X68/100)*'Tariffs Jan2017'!AJ68,('Tariffs Jan2017'!M68-'Tariffs Jan2017'!L68)*('Tariffs Jan2017'!X68/100)*'Tariffs Jan2017'!AJ68))</f>
        <v>0</v>
      </c>
      <c r="N74" s="59">
        <f>IF(($C$5*'Tariffs Jan2017'!AL68/'Tariffs Jan2017'!AJ68&gt;'Tariffs Jan2017'!M68),($C$5*'Tariffs Jan2017'!AL68/'Tariffs Jan2017'!AJ68-'Tariffs Jan2017'!M68)*'Tariffs Jan2017'!Y68/100*'Tariffs Jan2017'!AJ68,0)</f>
        <v>43.955999999999996</v>
      </c>
      <c r="O74" s="59">
        <f t="shared" si="5"/>
        <v>828.73200000000008</v>
      </c>
      <c r="P74" s="59">
        <f t="shared" si="6"/>
        <v>1069.194</v>
      </c>
      <c r="Q74" s="272">
        <f t="shared" si="7"/>
        <v>1176.1134</v>
      </c>
      <c r="R74" s="40">
        <f>'Tariffs Jan2017'!AM68</f>
        <v>0</v>
      </c>
      <c r="S74" s="40">
        <f>'Tariffs Jan2017'!AN68</f>
        <v>0</v>
      </c>
      <c r="T74" s="40">
        <f>'Tariffs Jan2017'!AO68</f>
        <v>0</v>
      </c>
      <c r="U74" s="40">
        <f>'Tariffs Jan2017'!AP68</f>
        <v>15</v>
      </c>
      <c r="V74" s="273">
        <f t="shared" si="8"/>
        <v>1069.194</v>
      </c>
      <c r="W74" s="284">
        <f>V74-(O74*U74/100)</f>
        <v>944.88419999999996</v>
      </c>
      <c r="X74" s="272">
        <f t="shared" si="9"/>
        <v>1176.1134</v>
      </c>
      <c r="Y74" s="272">
        <f t="shared" si="9"/>
        <v>1039.3726200000001</v>
      </c>
      <c r="Z74" s="274">
        <f>'Tariffs Jan2017'!AW68</f>
        <v>0</v>
      </c>
      <c r="AA74" s="274" t="str">
        <f>'Tariffs Jan2017'!AX68</f>
        <v>n</v>
      </c>
      <c r="AB74" s="275" t="str">
        <f>'Tariffs Jan2017'!BD68</f>
        <v>Y</v>
      </c>
      <c r="AC74" s="305"/>
      <c r="AD74" s="305"/>
      <c r="AE74" s="305"/>
      <c r="AF74" s="305"/>
      <c r="AG74" s="305"/>
      <c r="AH74" s="305"/>
      <c r="AI74" s="305"/>
      <c r="AJ74" s="305"/>
      <c r="AK74" s="305"/>
      <c r="AL74" s="305"/>
      <c r="AM74" s="305"/>
      <c r="AN74" s="305"/>
    </row>
    <row r="75" spans="1:40" x14ac:dyDescent="0.15">
      <c r="A75" s="270" t="str">
        <f>'Tariffs Jan2017'!F69</f>
        <v>Click Energy</v>
      </c>
      <c r="B75" s="40" t="str">
        <f>'Tariffs Jan2017'!D69</f>
        <v>Ausnet Central 2</v>
      </c>
      <c r="C75" s="40" t="str">
        <f>'Tariffs Jan2017'!G69</f>
        <v>Amber</v>
      </c>
      <c r="D75" s="59">
        <f>365*'Tariffs Jan2017'!H69/100</f>
        <v>321.2</v>
      </c>
      <c r="E75" s="59">
        <f>IF($C$5*'Tariffs Jan2017'!AK69/'Tariffs Jan2017'!AI69&gt;='Tariffs Jan2017'!J69,( 'Tariffs Jan2017'!J69*'Tariffs Jan2017'!O69/100)* 'Tariffs Jan2017'!AI69,($C$5*'Tariffs Jan2017'!AK69/'Tariffs Jan2017'!AI69*'Tariffs Jan2017'!O69/100)* 'Tariffs Jan2017'!AI69)</f>
        <v>312</v>
      </c>
      <c r="F75" s="59">
        <f>IF($C$5*'Tariffs Jan2017'!AK69/'Tariffs Jan2017'!AI69&lt;'Tariffs Jan2017'!J69,0,IF($C$5*'Tariffs Jan2017'!AK69/'Tariffs Jan2017'!AI69&lt;='Tariffs Jan2017'!K69,($C$5*'Tariffs Jan2017'!AK69/'Tariffs Jan2017'!AI69-'Tariffs Jan2017'!J69)*('Tariffs Jan2017'!P69/100)*'Tariffs Jan2017'!AI69,('Tariffs Jan2017'!K69-'Tariffs Jan2017'!J69)*('Tariffs Jan2017'!P69/100)*'Tariffs Jan2017'!AI69))</f>
        <v>28.637999999999998</v>
      </c>
      <c r="G75" s="59">
        <f>IF($C$5*'Tariffs Jan2017'!AK69/'Tariffs Jan2017'!AI69&lt;'Tariffs Jan2017'!K69,0,IF($C$5*'Tariffs Jan2017'!AK69/'Tariffs Jan2017'!AI69&lt;='Tariffs Jan2017'!L69,($C$5*'Tariffs Jan2017'!AK69/'Tariffs Jan2017'!AI69-'Tariffs Jan2017'!K69)*('Tariffs Jan2017'!Q69/100)*'Tariffs Jan2017'!AI69,('Tariffs Jan2017'!L69-'Tariffs Jan2017'!K69)*('Tariffs Jan2017'!Q69/100)*'Tariffs Jan2017'!AI69))</f>
        <v>0</v>
      </c>
      <c r="H75" s="59">
        <f>IF($C$5*'Tariffs Jan2017'!AK69/'Tariffs Jan2017'!AI69&lt;'Tariffs Jan2017'!L69,0,IF($C$5*'Tariffs Jan2017'!AK69/'Tariffs Jan2017'!AI69&lt;='Tariffs Jan2017'!M69,($C$5*'Tariffs Jan2017'!AK69/'Tariffs Jan2017'!AI69-'Tariffs Jan2017'!L69)*('Tariffs Jan2017'!R69/100)*'Tariffs Jan2017'!AI69,('Tariffs Jan2017'!M69-'Tariffs Jan2017'!L69)*('Tariffs Jan2017'!R69/100)*'Tariffs Jan2017'!AI69))</f>
        <v>0</v>
      </c>
      <c r="I75" s="59">
        <f>IF(($C$5*'Tariffs Jan2017'!AK69/'Tariffs Jan2017'!AI69&gt;'Tariffs Jan2017'!M69),($C$5*'Tariffs Jan2017'!AK69/'Tariffs Jan2017'!AI69-'Tariffs Jan2017'!M69)*'Tariffs Jan2017'!S69/100*'Tariffs Jan2017'!AI69,0)</f>
        <v>0</v>
      </c>
      <c r="J75" s="59">
        <f>IF($C$5*'Tariffs Jan2017'!AL69/'Tariffs Jan2017'!AJ69&gt;='Tariffs Jan2017'!J69,('Tariffs Jan2017'!J69*'Tariffs Jan2017'!U69/100)* 'Tariffs Jan2017'!AJ69,($C$5*'Tariffs Jan2017'!AL69/'Tariffs Jan2017'!AJ69*'Tariffs Jan2017'!U69/100)* 'Tariffs Jan2017'!AJ69)</f>
        <v>396</v>
      </c>
      <c r="K75" s="59">
        <f>IF($C$5*'Tariffs Jan2017'!AL69/'Tariffs Jan2017'!AJ69&lt;'Tariffs Jan2017'!J69,0,IF($C$5*'Tariffs Jan2017'!AL69/'Tariffs Jan2017'!AJ69&lt;='Tariffs Jan2017'!K69,($C$5*'Tariffs Jan2017'!AL69/'Tariffs Jan2017'!AJ69-'Tariffs Jan2017'!J69)*('Tariffs Jan2017'!V69/100)*'Tariffs Jan2017'!AJ69,('Tariffs Jan2017'!K69-'Tariffs Jan2017'!J69)*('Tariffs Jan2017'!V69/100)*'Tariffs Jan2017'!AJ69))</f>
        <v>42.624000000000002</v>
      </c>
      <c r="L75" s="59">
        <f>IF($C$5*'Tariffs Jan2017'!AL69/'Tariffs Jan2017'!AJ69&lt;'Tariffs Jan2017'!K69,0,IF($C$5*'Tariffs Jan2017'!AL69/'Tariffs Jan2017'!AJ69&lt;='Tariffs Jan2017'!L69,($C$5*'Tariffs Jan2017'!AL69/'Tariffs Jan2017'!AJ69-'Tariffs Jan2017'!K69)*('Tariffs Jan2017'!W69/100)*'Tariffs Jan2017'!AJ69,('Tariffs Jan2017'!L69-'Tariffs Jan2017'!K69)*('Tariffs Jan2017'!W69/100)*'Tariffs Jan2017'!AJ69))</f>
        <v>0</v>
      </c>
      <c r="M75" s="59">
        <f>IF($C$5*'Tariffs Jan2017'!AL69/'Tariffs Jan2017'!AJ69&lt;'Tariffs Jan2017'!L69,0,IF($C$5*'Tariffs Jan2017'!AL69/'Tariffs Jan2017'!AJ69&lt;='Tariffs Jan2017'!M69,($C$5*'Tariffs Jan2017'!AL69/'Tariffs Jan2017'!AJ69-'Tariffs Jan2017'!L69)*('Tariffs Jan2017'!X69/100)*'Tariffs Jan2017'!AJ69,('Tariffs Jan2017'!M69-'Tariffs Jan2017'!L69)*('Tariffs Jan2017'!X69/100)*'Tariffs Jan2017'!AJ69))</f>
        <v>0</v>
      </c>
      <c r="N75" s="59">
        <f>IF(($C$5*'Tariffs Jan2017'!AL69/'Tariffs Jan2017'!AJ69&gt;'Tariffs Jan2017'!M69),($C$5*'Tariffs Jan2017'!AL69/'Tariffs Jan2017'!AJ69-'Tariffs Jan2017'!M69)*'Tariffs Jan2017'!Y69/100*'Tariffs Jan2017'!AJ69,0)</f>
        <v>0</v>
      </c>
      <c r="O75" s="59">
        <f t="shared" si="5"/>
        <v>779.26199999999994</v>
      </c>
      <c r="P75" s="59">
        <f t="shared" si="6"/>
        <v>1100.462</v>
      </c>
      <c r="Q75" s="272">
        <f t="shared" si="7"/>
        <v>1210.5082</v>
      </c>
      <c r="R75" s="40">
        <f>'Tariffs Jan2017'!AM69</f>
        <v>0</v>
      </c>
      <c r="S75" s="40">
        <f>'Tariffs Jan2017'!AN69</f>
        <v>0</v>
      </c>
      <c r="T75" s="40">
        <f>'Tariffs Jan2017'!AO69</f>
        <v>14</v>
      </c>
      <c r="U75" s="40">
        <f>'Tariffs Jan2017'!AP69</f>
        <v>0</v>
      </c>
      <c r="V75" s="273">
        <f t="shared" si="8"/>
        <v>1100.462</v>
      </c>
      <c r="W75" s="284">
        <f>V75-(P75*T75/100)</f>
        <v>946.39732000000004</v>
      </c>
      <c r="X75" s="272">
        <f t="shared" si="9"/>
        <v>1210.5082</v>
      </c>
      <c r="Y75" s="272">
        <f t="shared" si="9"/>
        <v>1041.0370520000001</v>
      </c>
      <c r="Z75" s="274">
        <f>'Tariffs Jan2017'!AW69</f>
        <v>0</v>
      </c>
      <c r="AA75" s="274" t="str">
        <f>'Tariffs Jan2017'!AX69</f>
        <v>n</v>
      </c>
      <c r="AB75" s="275" t="str">
        <f>'Tariffs Jan2017'!BD69</f>
        <v>N</v>
      </c>
      <c r="AC75" s="305"/>
      <c r="AD75" s="305"/>
      <c r="AE75" s="305"/>
      <c r="AF75" s="305"/>
      <c r="AG75" s="305"/>
      <c r="AH75" s="305"/>
      <c r="AI75" s="305"/>
      <c r="AJ75" s="305"/>
      <c r="AK75" s="305"/>
      <c r="AL75" s="305"/>
      <c r="AM75" s="305"/>
      <c r="AN75" s="305"/>
    </row>
    <row r="76" spans="1:40" x14ac:dyDescent="0.15">
      <c r="A76" s="270" t="str">
        <f>'Tariffs Jan2017'!F70</f>
        <v>Covau</v>
      </c>
      <c r="B76" s="40" t="str">
        <f>'Tariffs Jan2017'!D70</f>
        <v>Ausnet Central 2</v>
      </c>
      <c r="C76" s="40" t="str">
        <f>'Tariffs Jan2017'!G70</f>
        <v>Market offer</v>
      </c>
      <c r="D76" s="59">
        <f>365*'Tariffs Jan2017'!H70/100</f>
        <v>299.3</v>
      </c>
      <c r="E76" s="59">
        <f>IF($C$5*'Tariffs Jan2017'!AK70/'Tariffs Jan2017'!AI70&gt;='Tariffs Jan2017'!J70,( 'Tariffs Jan2017'!J70*'Tariffs Jan2017'!O70/100)* 'Tariffs Jan2017'!AI70,($C$5*'Tariffs Jan2017'!AK70/'Tariffs Jan2017'!AI70*'Tariffs Jan2017'!O70/100)* 'Tariffs Jan2017'!AI70)</f>
        <v>558</v>
      </c>
      <c r="F76" s="59">
        <f>IF($C$5*'Tariffs Jan2017'!AK70/'Tariffs Jan2017'!AI70&lt;'Tariffs Jan2017'!J70,0,IF($C$5*'Tariffs Jan2017'!AK70/'Tariffs Jan2017'!AI70&lt;='Tariffs Jan2017'!K70,($C$5*'Tariffs Jan2017'!AK70/'Tariffs Jan2017'!AI70-'Tariffs Jan2017'!J70)*('Tariffs Jan2017'!P70/100)*'Tariffs Jan2017'!AI70,('Tariffs Jan2017'!K70-'Tariffs Jan2017'!J70)*('Tariffs Jan2017'!P70/100)*'Tariffs Jan2017'!AI70))</f>
        <v>53.200000000000024</v>
      </c>
      <c r="G76" s="59">
        <f>IF($C$5*'Tariffs Jan2017'!AK70/'Tariffs Jan2017'!AI70&lt;'Tariffs Jan2017'!K70,0,IF($C$5*'Tariffs Jan2017'!AK70/'Tariffs Jan2017'!AI70&lt;='Tariffs Jan2017'!L70,($C$5*'Tariffs Jan2017'!AK70/'Tariffs Jan2017'!AI70-'Tariffs Jan2017'!K70)*('Tariffs Jan2017'!Q70/100)*'Tariffs Jan2017'!AI70,('Tariffs Jan2017'!L70-'Tariffs Jan2017'!K70)*('Tariffs Jan2017'!Q70/100)*'Tariffs Jan2017'!AI70))</f>
        <v>0</v>
      </c>
      <c r="H76" s="59">
        <f>IF($C$5*'Tariffs Jan2017'!AK70/'Tariffs Jan2017'!AI70&lt;'Tariffs Jan2017'!L70,0,IF($C$5*'Tariffs Jan2017'!AK70/'Tariffs Jan2017'!AI70&lt;='Tariffs Jan2017'!M70,($C$5*'Tariffs Jan2017'!AK70/'Tariffs Jan2017'!AI70-'Tariffs Jan2017'!L70)*('Tariffs Jan2017'!R70/100)*'Tariffs Jan2017'!AI70,('Tariffs Jan2017'!M70-'Tariffs Jan2017'!L70)*('Tariffs Jan2017'!R70/100)*'Tariffs Jan2017'!AI70))</f>
        <v>0</v>
      </c>
      <c r="I76" s="59">
        <f>IF(($C$5*'Tariffs Jan2017'!AK70/'Tariffs Jan2017'!AI70&gt;'Tariffs Jan2017'!M70),($C$5*'Tariffs Jan2017'!AK70/'Tariffs Jan2017'!AI70-'Tariffs Jan2017'!M70)*'Tariffs Jan2017'!S70/100*'Tariffs Jan2017'!AI70,0)</f>
        <v>0</v>
      </c>
      <c r="J76" s="59">
        <f>IF($C$5*'Tariffs Jan2017'!AL70/'Tariffs Jan2017'!AJ70&gt;='Tariffs Jan2017'!J70,('Tariffs Jan2017'!J70*'Tariffs Jan2017'!U70/100)* 'Tariffs Jan2017'!AJ70,($C$5*'Tariffs Jan2017'!AL70/'Tariffs Jan2017'!AJ70*'Tariffs Jan2017'!U70/100)* 'Tariffs Jan2017'!AJ70)</f>
        <v>383.4</v>
      </c>
      <c r="K76" s="59">
        <f>IF($C$5*'Tariffs Jan2017'!AL70/'Tariffs Jan2017'!AJ70&lt;'Tariffs Jan2017'!J70,0,IF($C$5*'Tariffs Jan2017'!AL70/'Tariffs Jan2017'!AJ70&lt;='Tariffs Jan2017'!K70,($C$5*'Tariffs Jan2017'!AL70/'Tariffs Jan2017'!AJ70-'Tariffs Jan2017'!J70)*('Tariffs Jan2017'!V70/100)*'Tariffs Jan2017'!AJ70,('Tariffs Jan2017'!K70-'Tariffs Jan2017'!J70)*('Tariffs Jan2017'!V70/100)*'Tariffs Jan2017'!AJ70))</f>
        <v>38.600000000000009</v>
      </c>
      <c r="L76" s="59">
        <f>IF($C$5*'Tariffs Jan2017'!AL70/'Tariffs Jan2017'!AJ70&lt;'Tariffs Jan2017'!K70,0,IF($C$5*'Tariffs Jan2017'!AL70/'Tariffs Jan2017'!AJ70&lt;='Tariffs Jan2017'!L70,($C$5*'Tariffs Jan2017'!AL70/'Tariffs Jan2017'!AJ70-'Tariffs Jan2017'!K70)*('Tariffs Jan2017'!W70/100)*'Tariffs Jan2017'!AJ70,('Tariffs Jan2017'!L70-'Tariffs Jan2017'!K70)*('Tariffs Jan2017'!W70/100)*'Tariffs Jan2017'!AJ70))</f>
        <v>0</v>
      </c>
      <c r="M76" s="59">
        <f>IF($C$5*'Tariffs Jan2017'!AL70/'Tariffs Jan2017'!AJ70&lt;'Tariffs Jan2017'!L70,0,IF($C$5*'Tariffs Jan2017'!AL70/'Tariffs Jan2017'!AJ70&lt;='Tariffs Jan2017'!M70,($C$5*'Tariffs Jan2017'!AL70/'Tariffs Jan2017'!AJ70-'Tariffs Jan2017'!L70)*('Tariffs Jan2017'!X70/100)*'Tariffs Jan2017'!AJ70,('Tariffs Jan2017'!M70-'Tariffs Jan2017'!L70)*('Tariffs Jan2017'!X70/100)*'Tariffs Jan2017'!AJ70))</f>
        <v>0</v>
      </c>
      <c r="N76" s="59">
        <f>IF(($C$5*'Tariffs Jan2017'!AL70/'Tariffs Jan2017'!AJ70&gt;'Tariffs Jan2017'!M70),($C$5*'Tariffs Jan2017'!AL70/'Tariffs Jan2017'!AJ70-'Tariffs Jan2017'!M70)*'Tariffs Jan2017'!Y70/100*'Tariffs Jan2017'!AJ70,0)</f>
        <v>0</v>
      </c>
      <c r="O76" s="59">
        <f t="shared" si="5"/>
        <v>1033.2</v>
      </c>
      <c r="P76" s="59">
        <f t="shared" si="6"/>
        <v>1332.5</v>
      </c>
      <c r="Q76" s="272">
        <f t="shared" si="7"/>
        <v>1465.7500000000002</v>
      </c>
      <c r="R76" s="40">
        <f>'Tariffs Jan2017'!AM70</f>
        <v>0</v>
      </c>
      <c r="S76" s="40">
        <f>'Tariffs Jan2017'!AN70</f>
        <v>0</v>
      </c>
      <c r="T76" s="40">
        <f>'Tariffs Jan2017'!AO70</f>
        <v>0</v>
      </c>
      <c r="U76" s="40">
        <f>'Tariffs Jan2017'!AP70</f>
        <v>16</v>
      </c>
      <c r="V76" s="273">
        <f t="shared" si="8"/>
        <v>1332.5</v>
      </c>
      <c r="W76" s="284">
        <f>V76-(O76*U76/100)</f>
        <v>1167.1880000000001</v>
      </c>
      <c r="X76" s="272">
        <f t="shared" si="9"/>
        <v>1465.7500000000002</v>
      </c>
      <c r="Y76" s="272">
        <f t="shared" si="9"/>
        <v>1283.9068000000002</v>
      </c>
      <c r="Z76" s="274">
        <f>'Tariffs Jan2017'!AW70</f>
        <v>12</v>
      </c>
      <c r="AA76" s="274" t="str">
        <f>'Tariffs Jan2017'!AX70</f>
        <v>y</v>
      </c>
      <c r="AB76" s="275" t="str">
        <f>'Tariffs Jan2017'!BD70</f>
        <v>Y</v>
      </c>
      <c r="AC76" s="305"/>
      <c r="AD76" s="305"/>
      <c r="AE76" s="305"/>
      <c r="AF76" s="305"/>
      <c r="AG76" s="305"/>
      <c r="AH76" s="305"/>
      <c r="AI76" s="305"/>
      <c r="AJ76" s="305"/>
      <c r="AK76" s="305"/>
      <c r="AL76" s="305"/>
      <c r="AM76" s="305"/>
      <c r="AN76" s="305"/>
    </row>
    <row r="77" spans="1:40" x14ac:dyDescent="0.15">
      <c r="A77" s="270" t="str">
        <f>'Tariffs Jan2017'!F71</f>
        <v>Dodo Power &amp; Gas</v>
      </c>
      <c r="B77" s="40" t="str">
        <f>'Tariffs Jan2017'!D71</f>
        <v>Ausnet Central 2</v>
      </c>
      <c r="C77" s="40" t="str">
        <f>'Tariffs Jan2017'!G71</f>
        <v>Market offer</v>
      </c>
      <c r="D77" s="59">
        <f>365*'Tariffs Jan2017'!H71/100</f>
        <v>251.81349999999998</v>
      </c>
      <c r="E77" s="59">
        <f>IF($C$5*'Tariffs Jan2017'!AK71/'Tariffs Jan2017'!AI71&gt;='Tariffs Jan2017'!J71,( 'Tariffs Jan2017'!J71*'Tariffs Jan2017'!O71/100)* 'Tariffs Jan2017'!AI71,($C$5*'Tariffs Jan2017'!AK71/'Tariffs Jan2017'!AI71*'Tariffs Jan2017'!O71/100)* 'Tariffs Jan2017'!AI71)</f>
        <v>168</v>
      </c>
      <c r="F77" s="59">
        <f>IF($C$5*'Tariffs Jan2017'!AK71/'Tariffs Jan2017'!AI71&lt;'Tariffs Jan2017'!J71,0,IF($C$5*'Tariffs Jan2017'!AK71/'Tariffs Jan2017'!AI71&lt;='Tariffs Jan2017'!K71,($C$5*'Tariffs Jan2017'!AK71/'Tariffs Jan2017'!AI71-'Tariffs Jan2017'!J71)*('Tariffs Jan2017'!P71/100)*'Tariffs Jan2017'!AI71,('Tariffs Jan2017'!K71-'Tariffs Jan2017'!J71)*('Tariffs Jan2017'!P71/100)*'Tariffs Jan2017'!AI71))</f>
        <v>0</v>
      </c>
      <c r="G77" s="59">
        <f>IF($C$5*'Tariffs Jan2017'!AK71/'Tariffs Jan2017'!AI71&lt;'Tariffs Jan2017'!K71,0,IF($C$5*'Tariffs Jan2017'!AK71/'Tariffs Jan2017'!AI71&lt;='Tariffs Jan2017'!L71,($C$5*'Tariffs Jan2017'!AK71/'Tariffs Jan2017'!AI71-'Tariffs Jan2017'!K71)*('Tariffs Jan2017'!Q71/100)*'Tariffs Jan2017'!AI71,('Tariffs Jan2017'!L71-'Tariffs Jan2017'!K71)*('Tariffs Jan2017'!Q71/100)*'Tariffs Jan2017'!AI71))</f>
        <v>0</v>
      </c>
      <c r="H77" s="59">
        <f>IF($C$5*'Tariffs Jan2017'!AK71/'Tariffs Jan2017'!AI71&lt;'Tariffs Jan2017'!L71,0,IF($C$5*'Tariffs Jan2017'!AK71/'Tariffs Jan2017'!AI71&lt;='Tariffs Jan2017'!M71,($C$5*'Tariffs Jan2017'!AK71/'Tariffs Jan2017'!AI71-'Tariffs Jan2017'!L71)*('Tariffs Jan2017'!R71/100)*'Tariffs Jan2017'!AI71,('Tariffs Jan2017'!M71-'Tariffs Jan2017'!L71)*('Tariffs Jan2017'!R71/100)*'Tariffs Jan2017'!AI71))</f>
        <v>0</v>
      </c>
      <c r="I77" s="59">
        <f>IF(($C$5*'Tariffs Jan2017'!AK71/'Tariffs Jan2017'!AI71&gt;'Tariffs Jan2017'!M71),($C$5*'Tariffs Jan2017'!AK71/'Tariffs Jan2017'!AI71-'Tariffs Jan2017'!M71)*'Tariffs Jan2017'!S71/100*'Tariffs Jan2017'!AI71,0)</f>
        <v>129.1728</v>
      </c>
      <c r="J77" s="59">
        <f>IF($C$5*'Tariffs Jan2017'!AL71/'Tariffs Jan2017'!AJ71&gt;='Tariffs Jan2017'!J71,('Tariffs Jan2017'!J71*'Tariffs Jan2017'!U71/100)* 'Tariffs Jan2017'!AJ71,($C$5*'Tariffs Jan2017'!AL71/'Tariffs Jan2017'!AJ71*'Tariffs Jan2017'!U71/100)* 'Tariffs Jan2017'!AJ71)</f>
        <v>270.2</v>
      </c>
      <c r="K77" s="59">
        <f>IF($C$5*'Tariffs Jan2017'!AL71/'Tariffs Jan2017'!AJ71&lt;'Tariffs Jan2017'!J71,0,IF($C$5*'Tariffs Jan2017'!AL71/'Tariffs Jan2017'!AJ71&lt;='Tariffs Jan2017'!K71,($C$5*'Tariffs Jan2017'!AL71/'Tariffs Jan2017'!AJ71-'Tariffs Jan2017'!J71)*('Tariffs Jan2017'!V71/100)*'Tariffs Jan2017'!AJ71,('Tariffs Jan2017'!K71-'Tariffs Jan2017'!J71)*('Tariffs Jan2017'!V71/100)*'Tariffs Jan2017'!AJ71))</f>
        <v>0</v>
      </c>
      <c r="L77" s="59">
        <f>IF($C$5*'Tariffs Jan2017'!AL71/'Tariffs Jan2017'!AJ71&lt;'Tariffs Jan2017'!K71,0,IF($C$5*'Tariffs Jan2017'!AL71/'Tariffs Jan2017'!AJ71&lt;='Tariffs Jan2017'!L71,($C$5*'Tariffs Jan2017'!AL71/'Tariffs Jan2017'!AJ71-'Tariffs Jan2017'!K71)*('Tariffs Jan2017'!W71/100)*'Tariffs Jan2017'!AJ71,('Tariffs Jan2017'!L71-'Tariffs Jan2017'!K71)*('Tariffs Jan2017'!W71/100)*'Tariffs Jan2017'!AJ71))</f>
        <v>0</v>
      </c>
      <c r="M77" s="59">
        <f>IF($C$5*'Tariffs Jan2017'!AL71/'Tariffs Jan2017'!AJ71&lt;'Tariffs Jan2017'!L71,0,IF($C$5*'Tariffs Jan2017'!AL71/'Tariffs Jan2017'!AJ71&lt;='Tariffs Jan2017'!M71,($C$5*'Tariffs Jan2017'!AL71/'Tariffs Jan2017'!AJ71-'Tariffs Jan2017'!L71)*('Tariffs Jan2017'!X71/100)*'Tariffs Jan2017'!AJ71,('Tariffs Jan2017'!M71-'Tariffs Jan2017'!L71)*('Tariffs Jan2017'!X71/100)*'Tariffs Jan2017'!AJ71))</f>
        <v>0</v>
      </c>
      <c r="N77" s="59">
        <f>IF(($C$5*'Tariffs Jan2017'!AL71/'Tariffs Jan2017'!AJ71&gt;'Tariffs Jan2017'!M71),($C$5*'Tariffs Jan2017'!AL71/'Tariffs Jan2017'!AJ71-'Tariffs Jan2017'!M71)*'Tariffs Jan2017'!Y71/100*'Tariffs Jan2017'!AJ71,0)</f>
        <v>201.35760000000002</v>
      </c>
      <c r="O77" s="59">
        <f t="shared" si="5"/>
        <v>768.73040000000003</v>
      </c>
      <c r="P77" s="59">
        <f t="shared" si="6"/>
        <v>1020.5439</v>
      </c>
      <c r="Q77" s="272">
        <f t="shared" si="7"/>
        <v>1122.5982900000001</v>
      </c>
      <c r="R77" s="40">
        <f>'Tariffs Jan2017'!AM71</f>
        <v>0</v>
      </c>
      <c r="S77" s="40">
        <f>'Tariffs Jan2017'!AN71</f>
        <v>0</v>
      </c>
      <c r="T77" s="40">
        <f>'Tariffs Jan2017'!AO71</f>
        <v>0</v>
      </c>
      <c r="U77" s="40">
        <f>'Tariffs Jan2017'!AP71</f>
        <v>0</v>
      </c>
      <c r="V77" s="273">
        <f t="shared" si="8"/>
        <v>1020.5439</v>
      </c>
      <c r="W77" s="284">
        <f>V77-(O77*U77/100)</f>
        <v>1020.5439</v>
      </c>
      <c r="X77" s="272">
        <f t="shared" si="9"/>
        <v>1122.5982900000001</v>
      </c>
      <c r="Y77" s="272">
        <f t="shared" si="9"/>
        <v>1122.5982900000001</v>
      </c>
      <c r="Z77" s="274">
        <f>'Tariffs Jan2017'!AW71</f>
        <v>0</v>
      </c>
      <c r="AA77" s="274" t="str">
        <f>'Tariffs Jan2017'!AX71</f>
        <v>n</v>
      </c>
      <c r="AB77" s="275" t="str">
        <f>'Tariffs Jan2017'!BD71</f>
        <v>Y</v>
      </c>
      <c r="AC77" s="305"/>
      <c r="AD77" s="305"/>
      <c r="AE77" s="305"/>
      <c r="AF77" s="305"/>
      <c r="AG77" s="305"/>
      <c r="AH77" s="305"/>
      <c r="AI77" s="305"/>
      <c r="AJ77" s="305"/>
      <c r="AK77" s="305"/>
      <c r="AL77" s="305"/>
      <c r="AM77" s="305"/>
      <c r="AN77" s="305"/>
    </row>
    <row r="78" spans="1:40" x14ac:dyDescent="0.15">
      <c r="A78" s="270" t="str">
        <f>'Tariffs Jan2017'!F72</f>
        <v>EnergyAustralia</v>
      </c>
      <c r="B78" s="40" t="str">
        <f>'Tariffs Jan2017'!D72</f>
        <v>Ausnet Central 2</v>
      </c>
      <c r="C78" s="40" t="str">
        <f>'Tariffs Jan2017'!G72</f>
        <v xml:space="preserve">Flexi Saver </v>
      </c>
      <c r="D78" s="59">
        <f>365*'Tariffs Jan2017'!H72/100</f>
        <v>297.47500000000002</v>
      </c>
      <c r="E78" s="59">
        <f>IF($C$5*'Tariffs Jan2017'!AK72/'Tariffs Jan2017'!AI72&gt;='Tariffs Jan2017'!J72,( 'Tariffs Jan2017'!J72*'Tariffs Jan2017'!O72/100)* 'Tariffs Jan2017'!AI72,($C$5*'Tariffs Jan2017'!AK72/'Tariffs Jan2017'!AI72*'Tariffs Jan2017'!O72/100)* 'Tariffs Jan2017'!AI72)</f>
        <v>321.60000000000002</v>
      </c>
      <c r="F78" s="59">
        <f>IF($C$5*'Tariffs Jan2017'!AK72/'Tariffs Jan2017'!AI72&lt;'Tariffs Jan2017'!J72,0,IF($C$5*'Tariffs Jan2017'!AK72/'Tariffs Jan2017'!AI72&lt;='Tariffs Jan2017'!K72,($C$5*'Tariffs Jan2017'!AK72/'Tariffs Jan2017'!AI72-'Tariffs Jan2017'!J72)*('Tariffs Jan2017'!P72/100)*'Tariffs Jan2017'!AI72,('Tariffs Jan2017'!K72-'Tariffs Jan2017'!J72)*('Tariffs Jan2017'!P72/100)*'Tariffs Jan2017'!AI72))</f>
        <v>28.637999999999998</v>
      </c>
      <c r="G78" s="59">
        <f>IF($C$5*'Tariffs Jan2017'!AK72/'Tariffs Jan2017'!AI72&lt;'Tariffs Jan2017'!K72,0,IF($C$5*'Tariffs Jan2017'!AK72/'Tariffs Jan2017'!AI72&lt;='Tariffs Jan2017'!L72,($C$5*'Tariffs Jan2017'!AK72/'Tariffs Jan2017'!AI72-'Tariffs Jan2017'!K72)*('Tariffs Jan2017'!Q72/100)*'Tariffs Jan2017'!AI72,('Tariffs Jan2017'!L72-'Tariffs Jan2017'!K72)*('Tariffs Jan2017'!Q72/100)*'Tariffs Jan2017'!AI72))</f>
        <v>0</v>
      </c>
      <c r="H78" s="59">
        <f>IF($C$5*'Tariffs Jan2017'!AK72/'Tariffs Jan2017'!AI72&lt;'Tariffs Jan2017'!L72,0,IF($C$5*'Tariffs Jan2017'!AK72/'Tariffs Jan2017'!AI72&lt;='Tariffs Jan2017'!M72,($C$5*'Tariffs Jan2017'!AK72/'Tariffs Jan2017'!AI72-'Tariffs Jan2017'!L72)*('Tariffs Jan2017'!R72/100)*'Tariffs Jan2017'!AI72,('Tariffs Jan2017'!M72-'Tariffs Jan2017'!L72)*('Tariffs Jan2017'!R72/100)*'Tariffs Jan2017'!AI72))</f>
        <v>0</v>
      </c>
      <c r="I78" s="59">
        <f>IF(($C$5*'Tariffs Jan2017'!AK72/'Tariffs Jan2017'!AI72&gt;'Tariffs Jan2017'!M72),($C$5*'Tariffs Jan2017'!AK72/'Tariffs Jan2017'!AI72-'Tariffs Jan2017'!M72)*'Tariffs Jan2017'!S72/100*'Tariffs Jan2017'!AI72,0)</f>
        <v>0</v>
      </c>
      <c r="J78" s="59">
        <f>IF($C$5*'Tariffs Jan2017'!AL72/'Tariffs Jan2017'!AJ72&gt;='Tariffs Jan2017'!J72,('Tariffs Jan2017'!J72*'Tariffs Jan2017'!U72/100)* 'Tariffs Jan2017'!AJ72,($C$5*'Tariffs Jan2017'!AL72/'Tariffs Jan2017'!AJ72*'Tariffs Jan2017'!U72/100)* 'Tariffs Jan2017'!AJ72)</f>
        <v>403.2</v>
      </c>
      <c r="K78" s="59">
        <f>IF($C$5*'Tariffs Jan2017'!AL72/'Tariffs Jan2017'!AJ72&lt;'Tariffs Jan2017'!J72,0,IF($C$5*'Tariffs Jan2017'!AL72/'Tariffs Jan2017'!AJ72&lt;='Tariffs Jan2017'!K72,($C$5*'Tariffs Jan2017'!AL72/'Tariffs Jan2017'!AJ72-'Tariffs Jan2017'!J72)*('Tariffs Jan2017'!V72/100)*'Tariffs Jan2017'!AJ72,('Tariffs Jan2017'!K72-'Tariffs Jan2017'!J72)*('Tariffs Jan2017'!V72/100)*'Tariffs Jan2017'!AJ72))</f>
        <v>42.091200000000001</v>
      </c>
      <c r="L78" s="59">
        <f>IF($C$5*'Tariffs Jan2017'!AL72/'Tariffs Jan2017'!AJ72&lt;'Tariffs Jan2017'!K72,0,IF($C$5*'Tariffs Jan2017'!AL72/'Tariffs Jan2017'!AJ72&lt;='Tariffs Jan2017'!L72,($C$5*'Tariffs Jan2017'!AL72/'Tariffs Jan2017'!AJ72-'Tariffs Jan2017'!K72)*('Tariffs Jan2017'!W72/100)*'Tariffs Jan2017'!AJ72,('Tariffs Jan2017'!L72-'Tariffs Jan2017'!K72)*('Tariffs Jan2017'!W72/100)*'Tariffs Jan2017'!AJ72))</f>
        <v>0</v>
      </c>
      <c r="M78" s="59">
        <f>IF($C$5*'Tariffs Jan2017'!AL72/'Tariffs Jan2017'!AJ72&lt;'Tariffs Jan2017'!L72,0,IF($C$5*'Tariffs Jan2017'!AL72/'Tariffs Jan2017'!AJ72&lt;='Tariffs Jan2017'!M72,($C$5*'Tariffs Jan2017'!AL72/'Tariffs Jan2017'!AJ72-'Tariffs Jan2017'!L72)*('Tariffs Jan2017'!X72/100)*'Tariffs Jan2017'!AJ72,('Tariffs Jan2017'!M72-'Tariffs Jan2017'!L72)*('Tariffs Jan2017'!X72/100)*'Tariffs Jan2017'!AJ72))</f>
        <v>0</v>
      </c>
      <c r="N78" s="59">
        <f>IF(($C$5*'Tariffs Jan2017'!AL72/'Tariffs Jan2017'!AJ72&gt;'Tariffs Jan2017'!M72),($C$5*'Tariffs Jan2017'!AL72/'Tariffs Jan2017'!AJ72-'Tariffs Jan2017'!M72)*'Tariffs Jan2017'!Y72/100*'Tariffs Jan2017'!AJ72,0)</f>
        <v>0</v>
      </c>
      <c r="O78" s="59">
        <f t="shared" si="5"/>
        <v>795.52919999999995</v>
      </c>
      <c r="P78" s="59">
        <f t="shared" si="6"/>
        <v>1093.0041999999999</v>
      </c>
      <c r="Q78" s="272">
        <f t="shared" si="7"/>
        <v>1202.3046199999999</v>
      </c>
      <c r="R78" s="40">
        <f>'Tariffs Jan2017'!AM72</f>
        <v>0</v>
      </c>
      <c r="S78" s="40">
        <f>'Tariffs Jan2017'!AN72</f>
        <v>0</v>
      </c>
      <c r="T78" s="40">
        <f>'Tariffs Jan2017'!AO72</f>
        <v>0</v>
      </c>
      <c r="U78" s="40">
        <f>'Tariffs Jan2017'!AP72</f>
        <v>16</v>
      </c>
      <c r="V78" s="273">
        <f t="shared" si="8"/>
        <v>1093.0041999999999</v>
      </c>
      <c r="W78" s="284">
        <f>V78-(O78*U78/100)</f>
        <v>965.71952799999985</v>
      </c>
      <c r="X78" s="272">
        <f t="shared" si="9"/>
        <v>1202.3046199999999</v>
      </c>
      <c r="Y78" s="272">
        <f t="shared" si="9"/>
        <v>1062.2914807999998</v>
      </c>
      <c r="Z78" s="274">
        <f>'Tariffs Jan2017'!AW72</f>
        <v>0</v>
      </c>
      <c r="AA78" s="274" t="str">
        <f>'Tariffs Jan2017'!AX72</f>
        <v>n</v>
      </c>
      <c r="AB78" s="275" t="str">
        <f>'Tariffs Jan2017'!BD72</f>
        <v>N</v>
      </c>
      <c r="AC78" s="305"/>
      <c r="AD78" s="305"/>
      <c r="AE78" s="305"/>
      <c r="AF78" s="305"/>
      <c r="AG78" s="305"/>
      <c r="AH78" s="305"/>
      <c r="AI78" s="305"/>
      <c r="AJ78" s="305"/>
      <c r="AK78" s="305"/>
      <c r="AL78" s="305"/>
      <c r="AM78" s="305"/>
      <c r="AN78" s="305"/>
    </row>
    <row r="79" spans="1:40" x14ac:dyDescent="0.15">
      <c r="A79" s="270" t="str">
        <f>'Tariffs Jan2017'!F73</f>
        <v>Lumo Energy</v>
      </c>
      <c r="B79" s="40" t="str">
        <f>'Tariffs Jan2017'!D73</f>
        <v>Ausnet Central 2</v>
      </c>
      <c r="C79" s="40" t="str">
        <f>'Tariffs Jan2017'!G73</f>
        <v>Advantage</v>
      </c>
      <c r="D79" s="59">
        <f>365*'Tariffs Jan2017'!H73/100</f>
        <v>288.67850000000004</v>
      </c>
      <c r="E79" s="59">
        <f>IF($C$5*'Tariffs Jan2017'!AK73/'Tariffs Jan2017'!AI73&gt;='Tariffs Jan2017'!J73,( 'Tariffs Jan2017'!J73*'Tariffs Jan2017'!O73/100)* 'Tariffs Jan2017'!AI73,($C$5*'Tariffs Jan2017'!AK73/'Tariffs Jan2017'!AI73*'Tariffs Jan2017'!O73/100)* 'Tariffs Jan2017'!AI73)</f>
        <v>296.76</v>
      </c>
      <c r="F79" s="59">
        <f>IF($C$5*'Tariffs Jan2017'!AK73/'Tariffs Jan2017'!AI73&lt;'Tariffs Jan2017'!J73,0,IF($C$5*'Tariffs Jan2017'!AK73/'Tariffs Jan2017'!AI73&lt;='Tariffs Jan2017'!K73,($C$5*'Tariffs Jan2017'!AK73/'Tariffs Jan2017'!AI73-'Tariffs Jan2017'!J73)*('Tariffs Jan2017'!P73/100)*'Tariffs Jan2017'!AI73,('Tariffs Jan2017'!K73-'Tariffs Jan2017'!J73)*('Tariffs Jan2017'!P73/100)*'Tariffs Jan2017'!AI73))</f>
        <v>27.532440000000001</v>
      </c>
      <c r="G79" s="59">
        <f>IF($C$5*'Tariffs Jan2017'!AK73/'Tariffs Jan2017'!AI73&lt;'Tariffs Jan2017'!K73,0,IF($C$5*'Tariffs Jan2017'!AK73/'Tariffs Jan2017'!AI73&lt;='Tariffs Jan2017'!L73,($C$5*'Tariffs Jan2017'!AK73/'Tariffs Jan2017'!AI73-'Tariffs Jan2017'!K73)*('Tariffs Jan2017'!Q73/100)*'Tariffs Jan2017'!AI73,('Tariffs Jan2017'!L73-'Tariffs Jan2017'!K73)*('Tariffs Jan2017'!Q73/100)*'Tariffs Jan2017'!AI73))</f>
        <v>0</v>
      </c>
      <c r="H79" s="59">
        <f>IF($C$5*'Tariffs Jan2017'!AK73/'Tariffs Jan2017'!AI73&lt;'Tariffs Jan2017'!L73,0,IF($C$5*'Tariffs Jan2017'!AK73/'Tariffs Jan2017'!AI73&lt;='Tariffs Jan2017'!M73,($C$5*'Tariffs Jan2017'!AK73/'Tariffs Jan2017'!AI73-'Tariffs Jan2017'!L73)*('Tariffs Jan2017'!R73/100)*'Tariffs Jan2017'!AI73,('Tariffs Jan2017'!M73-'Tariffs Jan2017'!L73)*('Tariffs Jan2017'!R73/100)*'Tariffs Jan2017'!AI73))</f>
        <v>0</v>
      </c>
      <c r="I79" s="59">
        <f>IF(($C$5*'Tariffs Jan2017'!AK73/'Tariffs Jan2017'!AI73&gt;'Tariffs Jan2017'!M73),($C$5*'Tariffs Jan2017'!AK73/'Tariffs Jan2017'!AI73-'Tariffs Jan2017'!M73)*'Tariffs Jan2017'!S73/100*'Tariffs Jan2017'!AI73,0)</f>
        <v>0</v>
      </c>
      <c r="J79" s="59">
        <f>IF($C$5*'Tariffs Jan2017'!AL73/'Tariffs Jan2017'!AJ73&gt;='Tariffs Jan2017'!J73,('Tariffs Jan2017'!J73*'Tariffs Jan2017'!U73/100)* 'Tariffs Jan2017'!AJ73,($C$5*'Tariffs Jan2017'!AL73/'Tariffs Jan2017'!AJ73*'Tariffs Jan2017'!U73/100)* 'Tariffs Jan2017'!AJ73)</f>
        <v>387.6</v>
      </c>
      <c r="K79" s="59">
        <f>IF($C$5*'Tariffs Jan2017'!AL73/'Tariffs Jan2017'!AJ73&lt;'Tariffs Jan2017'!J73,0,IF($C$5*'Tariffs Jan2017'!AL73/'Tariffs Jan2017'!AJ73&lt;='Tariffs Jan2017'!K73,($C$5*'Tariffs Jan2017'!AL73/'Tariffs Jan2017'!AJ73-'Tariffs Jan2017'!J73)*('Tariffs Jan2017'!V73/100)*'Tariffs Jan2017'!AJ73,('Tariffs Jan2017'!K73-'Tariffs Jan2017'!J73)*('Tariffs Jan2017'!V73/100)*'Tariffs Jan2017'!AJ73))</f>
        <v>41.425199999999997</v>
      </c>
      <c r="L79" s="59">
        <f>IF($C$5*'Tariffs Jan2017'!AL73/'Tariffs Jan2017'!AJ73&lt;'Tariffs Jan2017'!K73,0,IF($C$5*'Tariffs Jan2017'!AL73/'Tariffs Jan2017'!AJ73&lt;='Tariffs Jan2017'!L73,($C$5*'Tariffs Jan2017'!AL73/'Tariffs Jan2017'!AJ73-'Tariffs Jan2017'!K73)*('Tariffs Jan2017'!W73/100)*'Tariffs Jan2017'!AJ73,('Tariffs Jan2017'!L73-'Tariffs Jan2017'!K73)*('Tariffs Jan2017'!W73/100)*'Tariffs Jan2017'!AJ73))</f>
        <v>0</v>
      </c>
      <c r="M79" s="59">
        <f>IF($C$5*'Tariffs Jan2017'!AL73/'Tariffs Jan2017'!AJ73&lt;'Tariffs Jan2017'!L73,0,IF($C$5*'Tariffs Jan2017'!AL73/'Tariffs Jan2017'!AJ73&lt;='Tariffs Jan2017'!M73,($C$5*'Tariffs Jan2017'!AL73/'Tariffs Jan2017'!AJ73-'Tariffs Jan2017'!L73)*('Tariffs Jan2017'!X73/100)*'Tariffs Jan2017'!AJ73,('Tariffs Jan2017'!M73-'Tariffs Jan2017'!L73)*('Tariffs Jan2017'!X73/100)*'Tariffs Jan2017'!AJ73))</f>
        <v>0</v>
      </c>
      <c r="N79" s="59">
        <f>IF(($C$5*'Tariffs Jan2017'!AL73/'Tariffs Jan2017'!AJ73&gt;'Tariffs Jan2017'!M73),($C$5*'Tariffs Jan2017'!AL73/'Tariffs Jan2017'!AJ73-'Tariffs Jan2017'!M73)*'Tariffs Jan2017'!Y73/100*'Tariffs Jan2017'!AJ73,0)</f>
        <v>0</v>
      </c>
      <c r="O79" s="59">
        <f t="shared" si="5"/>
        <v>753.3176400000001</v>
      </c>
      <c r="P79" s="59">
        <f t="shared" si="6"/>
        <v>1041.9961400000002</v>
      </c>
      <c r="Q79" s="272">
        <f t="shared" si="7"/>
        <v>1146.1957540000003</v>
      </c>
      <c r="R79" s="40">
        <f>'Tariffs Jan2017'!AM73</f>
        <v>0</v>
      </c>
      <c r="S79" s="40">
        <f>'Tariffs Jan2017'!AN73</f>
        <v>0</v>
      </c>
      <c r="T79" s="40">
        <f>'Tariffs Jan2017'!AO73</f>
        <v>15</v>
      </c>
      <c r="U79" s="40">
        <f>'Tariffs Jan2017'!AP73</f>
        <v>0</v>
      </c>
      <c r="V79" s="273">
        <f t="shared" si="8"/>
        <v>1041.9961400000002</v>
      </c>
      <c r="W79" s="284">
        <f>V79-(P79*T79/100)</f>
        <v>885.69671900000014</v>
      </c>
      <c r="X79" s="272">
        <f t="shared" si="9"/>
        <v>1146.1957540000003</v>
      </c>
      <c r="Y79" s="272">
        <f t="shared" si="9"/>
        <v>974.26639090000026</v>
      </c>
      <c r="Z79" s="274">
        <f>'Tariffs Jan2017'!AW73</f>
        <v>24</v>
      </c>
      <c r="AA79" s="274" t="str">
        <f>'Tariffs Jan2017'!AX73</f>
        <v>n</v>
      </c>
      <c r="AB79" s="275" t="str">
        <f>'Tariffs Jan2017'!BD73</f>
        <v>Y</v>
      </c>
      <c r="AC79" s="305"/>
      <c r="AD79" s="305"/>
      <c r="AE79" s="305"/>
      <c r="AF79" s="305"/>
      <c r="AG79" s="305"/>
      <c r="AH79" s="305"/>
      <c r="AI79" s="305"/>
      <c r="AJ79" s="305"/>
      <c r="AK79" s="305"/>
      <c r="AL79" s="305"/>
      <c r="AM79" s="305"/>
      <c r="AN79" s="305"/>
    </row>
    <row r="80" spans="1:40" x14ac:dyDescent="0.15">
      <c r="A80" s="270" t="str">
        <f>'Tariffs Jan2017'!F74</f>
        <v>Momentum Energy</v>
      </c>
      <c r="B80" s="40" t="str">
        <f>'Tariffs Jan2017'!D74</f>
        <v>Ausnet Central 2</v>
      </c>
      <c r="C80" s="40" t="str">
        <f>'Tariffs Jan2017'!G74</f>
        <v>Market offer</v>
      </c>
      <c r="D80" s="59">
        <f>365*'Tariffs Jan2017'!H74/100</f>
        <v>242.06799999999998</v>
      </c>
      <c r="E80" s="59">
        <f>IF($C$5*'Tariffs Jan2017'!AK74/'Tariffs Jan2017'!AI74&gt;='Tariffs Jan2017'!J74,( 'Tariffs Jan2017'!J74*'Tariffs Jan2017'!O74/100)* 'Tariffs Jan2017'!AI74,($C$5*'Tariffs Jan2017'!AK74/'Tariffs Jan2017'!AI74*'Tariffs Jan2017'!O74/100)* 'Tariffs Jan2017'!AI74)</f>
        <v>260.03999999999996</v>
      </c>
      <c r="F80" s="59">
        <f>IF($C$5*'Tariffs Jan2017'!AK74/'Tariffs Jan2017'!AI74&lt;'Tariffs Jan2017'!J74,0,IF($C$5*'Tariffs Jan2017'!AK74/'Tariffs Jan2017'!AI74&lt;='Tariffs Jan2017'!K74,($C$5*'Tariffs Jan2017'!AK74/'Tariffs Jan2017'!AI74-'Tariffs Jan2017'!J74)*('Tariffs Jan2017'!P74/100)*'Tariffs Jan2017'!AI74,('Tariffs Jan2017'!K74-'Tariffs Jan2017'!J74)*('Tariffs Jan2017'!P74/100)*'Tariffs Jan2017'!AI74))</f>
        <v>23.869440000000001</v>
      </c>
      <c r="G80" s="59">
        <f>IF($C$5*'Tariffs Jan2017'!AK74/'Tariffs Jan2017'!AI74&lt;'Tariffs Jan2017'!K74,0,IF($C$5*'Tariffs Jan2017'!AK74/'Tariffs Jan2017'!AI74&lt;='Tariffs Jan2017'!L74,($C$5*'Tariffs Jan2017'!AK74/'Tariffs Jan2017'!AI74-'Tariffs Jan2017'!K74)*('Tariffs Jan2017'!Q74/100)*'Tariffs Jan2017'!AI74,('Tariffs Jan2017'!L74-'Tariffs Jan2017'!K74)*('Tariffs Jan2017'!Q74/100)*'Tariffs Jan2017'!AI74))</f>
        <v>0</v>
      </c>
      <c r="H80" s="59">
        <f>IF($C$5*'Tariffs Jan2017'!AK74/'Tariffs Jan2017'!AI74&lt;'Tariffs Jan2017'!L74,0,IF($C$5*'Tariffs Jan2017'!AK74/'Tariffs Jan2017'!AI74&lt;='Tariffs Jan2017'!M74,($C$5*'Tariffs Jan2017'!AK74/'Tariffs Jan2017'!AI74-'Tariffs Jan2017'!L74)*('Tariffs Jan2017'!R74/100)*'Tariffs Jan2017'!AI74,('Tariffs Jan2017'!M74-'Tariffs Jan2017'!L74)*('Tariffs Jan2017'!R74/100)*'Tariffs Jan2017'!AI74))</f>
        <v>0</v>
      </c>
      <c r="I80" s="59">
        <f>IF(($C$5*'Tariffs Jan2017'!AK74/'Tariffs Jan2017'!AI74&gt;'Tariffs Jan2017'!M74),($C$5*'Tariffs Jan2017'!AK74/'Tariffs Jan2017'!AI74-'Tariffs Jan2017'!M74)*'Tariffs Jan2017'!S74/100*'Tariffs Jan2017'!AI74,0)</f>
        <v>0</v>
      </c>
      <c r="J80" s="59">
        <f>IF($C$5*'Tariffs Jan2017'!AL74/'Tariffs Jan2017'!AJ74&gt;='Tariffs Jan2017'!J74,('Tariffs Jan2017'!J74*'Tariffs Jan2017'!U74/100)* 'Tariffs Jan2017'!AJ74,($C$5*'Tariffs Jan2017'!AL74/'Tariffs Jan2017'!AJ74*'Tariffs Jan2017'!U74/100)* 'Tariffs Jan2017'!AJ74)</f>
        <v>345.84</v>
      </c>
      <c r="K80" s="59">
        <f>IF($C$5*'Tariffs Jan2017'!AL74/'Tariffs Jan2017'!AJ74&lt;'Tariffs Jan2017'!J74,0,IF($C$5*'Tariffs Jan2017'!AL74/'Tariffs Jan2017'!AJ74&lt;='Tariffs Jan2017'!K74,($C$5*'Tariffs Jan2017'!AL74/'Tariffs Jan2017'!AJ74-'Tariffs Jan2017'!J74)*('Tariffs Jan2017'!V74/100)*'Tariffs Jan2017'!AJ74,('Tariffs Jan2017'!K74-'Tariffs Jan2017'!J74)*('Tariffs Jan2017'!V74/100)*'Tariffs Jan2017'!AJ74))</f>
        <v>37.269359999999999</v>
      </c>
      <c r="L80" s="59">
        <f>IF($C$5*'Tariffs Jan2017'!AL74/'Tariffs Jan2017'!AJ74&lt;'Tariffs Jan2017'!K74,0,IF($C$5*'Tariffs Jan2017'!AL74/'Tariffs Jan2017'!AJ74&lt;='Tariffs Jan2017'!L74,($C$5*'Tariffs Jan2017'!AL74/'Tariffs Jan2017'!AJ74-'Tariffs Jan2017'!K74)*('Tariffs Jan2017'!W74/100)*'Tariffs Jan2017'!AJ74,('Tariffs Jan2017'!L74-'Tariffs Jan2017'!K74)*('Tariffs Jan2017'!W74/100)*'Tariffs Jan2017'!AJ74))</f>
        <v>0</v>
      </c>
      <c r="M80" s="59">
        <f>IF($C$5*'Tariffs Jan2017'!AL74/'Tariffs Jan2017'!AJ74&lt;'Tariffs Jan2017'!L74,0,IF($C$5*'Tariffs Jan2017'!AL74/'Tariffs Jan2017'!AJ74&lt;='Tariffs Jan2017'!M74,($C$5*'Tariffs Jan2017'!AL74/'Tariffs Jan2017'!AJ74-'Tariffs Jan2017'!L74)*('Tariffs Jan2017'!X74/100)*'Tariffs Jan2017'!AJ74,('Tariffs Jan2017'!M74-'Tariffs Jan2017'!L74)*('Tariffs Jan2017'!X74/100)*'Tariffs Jan2017'!AJ74))</f>
        <v>0</v>
      </c>
      <c r="N80" s="59">
        <f>IF(($C$5*'Tariffs Jan2017'!AL74/'Tariffs Jan2017'!AJ74&gt;'Tariffs Jan2017'!M74),($C$5*'Tariffs Jan2017'!AL74/'Tariffs Jan2017'!AJ74-'Tariffs Jan2017'!M74)*'Tariffs Jan2017'!Y74/100*'Tariffs Jan2017'!AJ74,0)</f>
        <v>0</v>
      </c>
      <c r="O80" s="59">
        <f t="shared" si="5"/>
        <v>667.01879999999994</v>
      </c>
      <c r="P80" s="59">
        <f t="shared" si="6"/>
        <v>909.08679999999993</v>
      </c>
      <c r="Q80" s="272">
        <f t="shared" si="7"/>
        <v>999.99548000000004</v>
      </c>
      <c r="R80" s="40">
        <f>'Tariffs Jan2017'!AM74</f>
        <v>0</v>
      </c>
      <c r="S80" s="40">
        <f>'Tariffs Jan2017'!AN74</f>
        <v>0</v>
      </c>
      <c r="T80" s="40">
        <f>'Tariffs Jan2017'!AO74</f>
        <v>0</v>
      </c>
      <c r="U80" s="40">
        <f>'Tariffs Jan2017'!AP74</f>
        <v>0</v>
      </c>
      <c r="V80" s="273">
        <f t="shared" si="8"/>
        <v>909.08679999999993</v>
      </c>
      <c r="W80" s="284">
        <f>V80</f>
        <v>909.08679999999993</v>
      </c>
      <c r="X80" s="272">
        <f t="shared" si="9"/>
        <v>999.99548000000004</v>
      </c>
      <c r="Y80" s="272">
        <f t="shared" si="9"/>
        <v>999.99548000000004</v>
      </c>
      <c r="Z80" s="274">
        <f>'Tariffs Jan2017'!AW74</f>
        <v>0</v>
      </c>
      <c r="AA80" s="274" t="str">
        <f>'Tariffs Jan2017'!AX74</f>
        <v>n</v>
      </c>
      <c r="AB80" s="275" t="str">
        <f>'Tariffs Jan2017'!BD74</f>
        <v>Y</v>
      </c>
      <c r="AC80" s="305"/>
      <c r="AD80" s="305"/>
      <c r="AE80" s="305"/>
      <c r="AF80" s="305"/>
      <c r="AG80" s="305"/>
      <c r="AH80" s="305"/>
      <c r="AI80" s="305"/>
      <c r="AJ80" s="305"/>
      <c r="AK80" s="305"/>
      <c r="AL80" s="305"/>
      <c r="AM80" s="305"/>
      <c r="AN80" s="305"/>
    </row>
    <row r="81" spans="1:40" x14ac:dyDescent="0.15">
      <c r="A81" s="270" t="str">
        <f>'Tariffs Jan2017'!F75</f>
        <v>Origin Energy</v>
      </c>
      <c r="B81" s="40" t="str">
        <f>'Tariffs Jan2017'!D75</f>
        <v>Ausnet Central 2</v>
      </c>
      <c r="C81" s="40" t="str">
        <f>'Tariffs Jan2017'!G75</f>
        <v>Saver</v>
      </c>
      <c r="D81" s="59">
        <f>365*'Tariffs Jan2017'!H75/100</f>
        <v>297.767</v>
      </c>
      <c r="E81" s="59">
        <f>IF($C$5*'Tariffs Jan2017'!AK75/'Tariffs Jan2017'!AI75&gt;='Tariffs Jan2017'!J75,( 'Tariffs Jan2017'!J75*'Tariffs Jan2017'!O75/100)* 'Tariffs Jan2017'!AI75,($C$5*'Tariffs Jan2017'!AK75/'Tariffs Jan2017'!AI75*'Tariffs Jan2017'!O75/100)* 'Tariffs Jan2017'!AI75)</f>
        <v>168.25599999999997</v>
      </c>
      <c r="F81" s="59">
        <f>IF($C$5*'Tariffs Jan2017'!AK75/'Tariffs Jan2017'!AI75&lt;'Tariffs Jan2017'!J75,0,IF($C$5*'Tariffs Jan2017'!AK75/'Tariffs Jan2017'!AI75&lt;='Tariffs Jan2017'!K75,($C$5*'Tariffs Jan2017'!AK75/'Tariffs Jan2017'!AI75-'Tariffs Jan2017'!J75)*('Tariffs Jan2017'!P75/100)*'Tariffs Jan2017'!AI75,('Tariffs Jan2017'!K75-'Tariffs Jan2017'!J75)*('Tariffs Jan2017'!P75/100)*'Tariffs Jan2017'!AI75))</f>
        <v>0</v>
      </c>
      <c r="G81" s="59">
        <f>IF($C$5*'Tariffs Jan2017'!AK75/'Tariffs Jan2017'!AI75&lt;'Tariffs Jan2017'!K75,0,IF($C$5*'Tariffs Jan2017'!AK75/'Tariffs Jan2017'!AI75&lt;='Tariffs Jan2017'!L75,($C$5*'Tariffs Jan2017'!AK75/'Tariffs Jan2017'!AI75-'Tariffs Jan2017'!K75)*('Tariffs Jan2017'!Q75/100)*'Tariffs Jan2017'!AI75,('Tariffs Jan2017'!L75-'Tariffs Jan2017'!K75)*('Tariffs Jan2017'!Q75/100)*'Tariffs Jan2017'!AI75))</f>
        <v>0</v>
      </c>
      <c r="H81" s="59">
        <f>IF($C$5*'Tariffs Jan2017'!AK75/'Tariffs Jan2017'!AI75&lt;'Tariffs Jan2017'!L75,0,IF($C$5*'Tariffs Jan2017'!AK75/'Tariffs Jan2017'!AI75&lt;='Tariffs Jan2017'!M75,($C$5*'Tariffs Jan2017'!AK75/'Tariffs Jan2017'!AI75-'Tariffs Jan2017'!L75)*('Tariffs Jan2017'!R75/100)*'Tariffs Jan2017'!AI75,('Tariffs Jan2017'!M75-'Tariffs Jan2017'!L75)*('Tariffs Jan2017'!R75/100)*'Tariffs Jan2017'!AI75))</f>
        <v>0</v>
      </c>
      <c r="I81" s="59">
        <f>IF(($C$5*'Tariffs Jan2017'!AK75/'Tariffs Jan2017'!AI75&gt;'Tariffs Jan2017'!M75),($C$5*'Tariffs Jan2017'!AK75/'Tariffs Jan2017'!AI75-'Tariffs Jan2017'!M75)*'Tariffs Jan2017'!S75/100*'Tariffs Jan2017'!AI75,0)</f>
        <v>144.67084</v>
      </c>
      <c r="J81" s="59">
        <f>IF($C$5*'Tariffs Jan2017'!AL75/'Tariffs Jan2017'!AJ75&gt;='Tariffs Jan2017'!J75,('Tariffs Jan2017'!J75*'Tariffs Jan2017'!U75/100)* 'Tariffs Jan2017'!AJ75,($C$5*'Tariffs Jan2017'!AL75/'Tariffs Jan2017'!AJ75*'Tariffs Jan2017'!U75/100)* 'Tariffs Jan2017'!AJ75)</f>
        <v>235.77600000000001</v>
      </c>
      <c r="K81" s="59">
        <f>IF($C$5*'Tariffs Jan2017'!AL75/'Tariffs Jan2017'!AJ75&lt;'Tariffs Jan2017'!J75,0,IF($C$5*'Tariffs Jan2017'!AL75/'Tariffs Jan2017'!AJ75&lt;='Tariffs Jan2017'!K75,($C$5*'Tariffs Jan2017'!AL75/'Tariffs Jan2017'!AJ75-'Tariffs Jan2017'!J75)*('Tariffs Jan2017'!V75/100)*'Tariffs Jan2017'!AJ75,('Tariffs Jan2017'!K75-'Tariffs Jan2017'!J75)*('Tariffs Jan2017'!V75/100)*'Tariffs Jan2017'!AJ75))</f>
        <v>0</v>
      </c>
      <c r="L81" s="59">
        <f>IF($C$5*'Tariffs Jan2017'!AL75/'Tariffs Jan2017'!AJ75&lt;'Tariffs Jan2017'!K75,0,IF($C$5*'Tariffs Jan2017'!AL75/'Tariffs Jan2017'!AJ75&lt;='Tariffs Jan2017'!L75,($C$5*'Tariffs Jan2017'!AL75/'Tariffs Jan2017'!AJ75-'Tariffs Jan2017'!K75)*('Tariffs Jan2017'!W75/100)*'Tariffs Jan2017'!AJ75,('Tariffs Jan2017'!L75-'Tariffs Jan2017'!K75)*('Tariffs Jan2017'!W75/100)*'Tariffs Jan2017'!AJ75))</f>
        <v>0</v>
      </c>
      <c r="M81" s="59">
        <f>IF($C$5*'Tariffs Jan2017'!AL75/'Tariffs Jan2017'!AJ75&lt;'Tariffs Jan2017'!L75,0,IF($C$5*'Tariffs Jan2017'!AL75/'Tariffs Jan2017'!AJ75&lt;='Tariffs Jan2017'!M75,($C$5*'Tariffs Jan2017'!AL75/'Tariffs Jan2017'!AJ75-'Tariffs Jan2017'!L75)*('Tariffs Jan2017'!X75/100)*'Tariffs Jan2017'!AJ75,('Tariffs Jan2017'!M75-'Tariffs Jan2017'!L75)*('Tariffs Jan2017'!X75/100)*'Tariffs Jan2017'!AJ75))</f>
        <v>0</v>
      </c>
      <c r="N81" s="59">
        <f>IF(($C$5*'Tariffs Jan2017'!AL75/'Tariffs Jan2017'!AJ75&gt;'Tariffs Jan2017'!M75),($C$5*'Tariffs Jan2017'!AL75/'Tariffs Jan2017'!AJ75-'Tariffs Jan2017'!M75)*'Tariffs Jan2017'!Y75/100*'Tariffs Jan2017'!AJ75,0)</f>
        <v>203.10760000000002</v>
      </c>
      <c r="O81" s="59">
        <f t="shared" si="5"/>
        <v>751.81043999999997</v>
      </c>
      <c r="P81" s="59">
        <f t="shared" si="6"/>
        <v>1049.57744</v>
      </c>
      <c r="Q81" s="272">
        <f t="shared" si="7"/>
        <v>1154.5351840000001</v>
      </c>
      <c r="R81" s="40">
        <f>'Tariffs Jan2017'!AM75</f>
        <v>0</v>
      </c>
      <c r="S81" s="40">
        <f>'Tariffs Jan2017'!AN75</f>
        <v>0</v>
      </c>
      <c r="T81" s="40">
        <f>'Tariffs Jan2017'!AO75</f>
        <v>0</v>
      </c>
      <c r="U81" s="40">
        <f>'Tariffs Jan2017'!AP75</f>
        <v>13</v>
      </c>
      <c r="V81" s="273">
        <f t="shared" si="8"/>
        <v>1049.57744</v>
      </c>
      <c r="W81" s="284">
        <f>V81-(O81*U81/100)</f>
        <v>951.84208280000007</v>
      </c>
      <c r="X81" s="272">
        <f t="shared" si="9"/>
        <v>1154.5351840000001</v>
      </c>
      <c r="Y81" s="272">
        <f t="shared" si="9"/>
        <v>1047.0262910800002</v>
      </c>
      <c r="Z81" s="274">
        <f>'Tariffs Jan2017'!AW75</f>
        <v>0</v>
      </c>
      <c r="AA81" s="274" t="str">
        <f>'Tariffs Jan2017'!AX75</f>
        <v>n</v>
      </c>
      <c r="AB81" s="275" t="str">
        <f>'Tariffs Jan2017'!BD75</f>
        <v>N</v>
      </c>
      <c r="AC81" s="305"/>
      <c r="AD81" s="305"/>
      <c r="AE81" s="305"/>
      <c r="AF81" s="305"/>
      <c r="AG81" s="305"/>
      <c r="AH81" s="305"/>
      <c r="AI81" s="305"/>
      <c r="AJ81" s="305"/>
      <c r="AK81" s="305"/>
      <c r="AL81" s="305"/>
      <c r="AM81" s="305"/>
      <c r="AN81" s="305"/>
    </row>
    <row r="82" spans="1:40" x14ac:dyDescent="0.15">
      <c r="A82" s="270" t="str">
        <f>'Tariffs Jan2017'!F76</f>
        <v>Red Energy</v>
      </c>
      <c r="B82" s="40" t="str">
        <f>'Tariffs Jan2017'!D76</f>
        <v>Ausnet Central 2</v>
      </c>
      <c r="C82" s="40" t="str">
        <f>'Tariffs Jan2017'!G76</f>
        <v>Living Energy Saver</v>
      </c>
      <c r="D82" s="59">
        <f>365*'Tariffs Jan2017'!H76/100</f>
        <v>306.60000000000002</v>
      </c>
      <c r="E82" s="59">
        <f>IF($C$5*'Tariffs Jan2017'!AK76/'Tariffs Jan2017'!AI76&gt;='Tariffs Jan2017'!J76,( 'Tariffs Jan2017'!J76*'Tariffs Jan2017'!O76/100)* 'Tariffs Jan2017'!AI76,($C$5*'Tariffs Jan2017'!AK76/'Tariffs Jan2017'!AI76*'Tariffs Jan2017'!O76/100)* 'Tariffs Jan2017'!AI76)</f>
        <v>171.01</v>
      </c>
      <c r="F82" s="59">
        <f>IF($C$5*'Tariffs Jan2017'!AK76/'Tariffs Jan2017'!AI76&lt;'Tariffs Jan2017'!J76,0,IF($C$5*'Tariffs Jan2017'!AK76/'Tariffs Jan2017'!AI76&lt;='Tariffs Jan2017'!K76,($C$5*'Tariffs Jan2017'!AK76/'Tariffs Jan2017'!AI76-'Tariffs Jan2017'!J76)*('Tariffs Jan2017'!P76/100)*'Tariffs Jan2017'!AI76,('Tariffs Jan2017'!K76-'Tariffs Jan2017'!J76)*('Tariffs Jan2017'!P76/100)*'Tariffs Jan2017'!AI76))</f>
        <v>0</v>
      </c>
      <c r="G82" s="59">
        <f>IF($C$5*'Tariffs Jan2017'!AK76/'Tariffs Jan2017'!AI76&lt;'Tariffs Jan2017'!K76,0,IF($C$5*'Tariffs Jan2017'!AK76/'Tariffs Jan2017'!AI76&lt;='Tariffs Jan2017'!L76,($C$5*'Tariffs Jan2017'!AK76/'Tariffs Jan2017'!AI76-'Tariffs Jan2017'!K76)*('Tariffs Jan2017'!Q76/100)*'Tariffs Jan2017'!AI76,('Tariffs Jan2017'!L76-'Tariffs Jan2017'!K76)*('Tariffs Jan2017'!Q76/100)*'Tariffs Jan2017'!AI76))</f>
        <v>0</v>
      </c>
      <c r="H82" s="59">
        <f>IF($C$5*'Tariffs Jan2017'!AK76/'Tariffs Jan2017'!AI76&lt;'Tariffs Jan2017'!L76,0,IF($C$5*'Tariffs Jan2017'!AK76/'Tariffs Jan2017'!AI76&lt;='Tariffs Jan2017'!M76,($C$5*'Tariffs Jan2017'!AK76/'Tariffs Jan2017'!AI76-'Tariffs Jan2017'!L76)*('Tariffs Jan2017'!R76/100)*'Tariffs Jan2017'!AI76,('Tariffs Jan2017'!M76-'Tariffs Jan2017'!L76)*('Tariffs Jan2017'!R76/100)*'Tariffs Jan2017'!AI76))</f>
        <v>0</v>
      </c>
      <c r="I82" s="59">
        <f>IF(($C$5*'Tariffs Jan2017'!AK76/'Tariffs Jan2017'!AI76&gt;'Tariffs Jan2017'!M76),($C$5*'Tariffs Jan2017'!AK76/'Tariffs Jan2017'!AI76-'Tariffs Jan2017'!M76)*'Tariffs Jan2017'!S76/100*'Tariffs Jan2017'!AI76,0)</f>
        <v>116.69876000000001</v>
      </c>
      <c r="J82" s="59">
        <f>IF($C$5*'Tariffs Jan2017'!AL76/'Tariffs Jan2017'!AJ76&gt;='Tariffs Jan2017'!J76,('Tariffs Jan2017'!J76*'Tariffs Jan2017'!U76/100)* 'Tariffs Jan2017'!AJ76,($C$5*'Tariffs Jan2017'!AL76/'Tariffs Jan2017'!AJ76*'Tariffs Jan2017'!U76/100)* 'Tariffs Jan2017'!AJ76)</f>
        <v>237.86</v>
      </c>
      <c r="K82" s="59">
        <f>IF($C$5*'Tariffs Jan2017'!AL76/'Tariffs Jan2017'!AJ76&lt;'Tariffs Jan2017'!J76,0,IF($C$5*'Tariffs Jan2017'!AL76/'Tariffs Jan2017'!AJ76&lt;='Tariffs Jan2017'!K76,($C$5*'Tariffs Jan2017'!AL76/'Tariffs Jan2017'!AJ76-'Tariffs Jan2017'!J76)*('Tariffs Jan2017'!V76/100)*'Tariffs Jan2017'!AJ76,('Tariffs Jan2017'!K76-'Tariffs Jan2017'!J76)*('Tariffs Jan2017'!V76/100)*'Tariffs Jan2017'!AJ76))</f>
        <v>0</v>
      </c>
      <c r="L82" s="59">
        <f>IF($C$5*'Tariffs Jan2017'!AL76/'Tariffs Jan2017'!AJ76&lt;'Tariffs Jan2017'!K76,0,IF($C$5*'Tariffs Jan2017'!AL76/'Tariffs Jan2017'!AJ76&lt;='Tariffs Jan2017'!L76,($C$5*'Tariffs Jan2017'!AL76/'Tariffs Jan2017'!AJ76-'Tariffs Jan2017'!K76)*('Tariffs Jan2017'!W76/100)*'Tariffs Jan2017'!AJ76,('Tariffs Jan2017'!L76-'Tariffs Jan2017'!K76)*('Tariffs Jan2017'!W76/100)*'Tariffs Jan2017'!AJ76))</f>
        <v>0</v>
      </c>
      <c r="M82" s="59">
        <f>IF($C$5*'Tariffs Jan2017'!AL76/'Tariffs Jan2017'!AJ76&lt;'Tariffs Jan2017'!L76,0,IF($C$5*'Tariffs Jan2017'!AL76/'Tariffs Jan2017'!AJ76&lt;='Tariffs Jan2017'!M76,($C$5*'Tariffs Jan2017'!AL76/'Tariffs Jan2017'!AJ76-'Tariffs Jan2017'!L76)*('Tariffs Jan2017'!X76/100)*'Tariffs Jan2017'!AJ76,('Tariffs Jan2017'!M76-'Tariffs Jan2017'!L76)*('Tariffs Jan2017'!X76/100)*'Tariffs Jan2017'!AJ76))</f>
        <v>0</v>
      </c>
      <c r="N82" s="59">
        <f>IF(($C$5*'Tariffs Jan2017'!AL76/'Tariffs Jan2017'!AJ76&gt;'Tariffs Jan2017'!M76),($C$5*'Tariffs Jan2017'!AL76/'Tariffs Jan2017'!AJ76-'Tariffs Jan2017'!M76)*'Tariffs Jan2017'!Y76/100*'Tariffs Jan2017'!AJ76,0)</f>
        <v>168.30455999999998</v>
      </c>
      <c r="O82" s="59">
        <f t="shared" si="5"/>
        <v>693.87331999999992</v>
      </c>
      <c r="P82" s="59">
        <f t="shared" si="6"/>
        <v>1000.4733199999999</v>
      </c>
      <c r="Q82" s="272">
        <f t="shared" si="7"/>
        <v>1100.5206519999999</v>
      </c>
      <c r="R82" s="40">
        <f>'Tariffs Jan2017'!AM76</f>
        <v>0</v>
      </c>
      <c r="S82" s="40">
        <f>'Tariffs Jan2017'!AN76</f>
        <v>0</v>
      </c>
      <c r="T82" s="40">
        <f>'Tariffs Jan2017'!AO76</f>
        <v>10</v>
      </c>
      <c r="U82" s="40">
        <f>'Tariffs Jan2017'!AP76</f>
        <v>0</v>
      </c>
      <c r="V82" s="273">
        <f t="shared" si="8"/>
        <v>1000.4733199999999</v>
      </c>
      <c r="W82" s="284">
        <f>V82-(P82*T82/100)</f>
        <v>900.42598799999996</v>
      </c>
      <c r="X82" s="272">
        <f t="shared" si="9"/>
        <v>1100.5206519999999</v>
      </c>
      <c r="Y82" s="272">
        <f t="shared" si="9"/>
        <v>990.46858680000003</v>
      </c>
      <c r="Z82" s="274">
        <f>'Tariffs Jan2017'!AW76</f>
        <v>0</v>
      </c>
      <c r="AA82" s="274" t="str">
        <f>'Tariffs Jan2017'!AX76</f>
        <v>n</v>
      </c>
      <c r="AB82" s="275" t="str">
        <f>'Tariffs Jan2017'!BD76</f>
        <v>Y</v>
      </c>
      <c r="AC82" s="305"/>
      <c r="AD82" s="305"/>
      <c r="AE82" s="305"/>
      <c r="AF82" s="305"/>
      <c r="AG82" s="305"/>
      <c r="AH82" s="305"/>
      <c r="AI82" s="305"/>
      <c r="AJ82" s="305"/>
      <c r="AK82" s="305"/>
      <c r="AL82" s="305"/>
      <c r="AM82" s="305"/>
      <c r="AN82" s="305"/>
    </row>
    <row r="83" spans="1:40" ht="14" thickBot="1" x14ac:dyDescent="0.2">
      <c r="A83" s="276" t="str">
        <f>'Tariffs Jan2017'!F77</f>
        <v>Simply Energy</v>
      </c>
      <c r="B83" s="277" t="str">
        <f>'Tariffs Jan2017'!D77</f>
        <v>Ausnet Central 2</v>
      </c>
      <c r="C83" s="277" t="str">
        <f>'Tariffs Jan2017'!G77</f>
        <v>Plus</v>
      </c>
      <c r="D83" s="278">
        <f>365*'Tariffs Jan2017'!H77/100</f>
        <v>291.67149999999998</v>
      </c>
      <c r="E83" s="278">
        <f>IF($C$5*'Tariffs Jan2017'!AK77/'Tariffs Jan2017'!AI77&gt;='Tariffs Jan2017'!J77,( 'Tariffs Jan2017'!J77*'Tariffs Jan2017'!O77/100)* 'Tariffs Jan2017'!AI77,($C$5*'Tariffs Jan2017'!AK77/'Tariffs Jan2017'!AI77*'Tariffs Jan2017'!O77/100)* 'Tariffs Jan2017'!AI77)</f>
        <v>262.8</v>
      </c>
      <c r="F83" s="278">
        <f>IF($C$5*'Tariffs Jan2017'!AK77/'Tariffs Jan2017'!AI77&lt;'Tariffs Jan2017'!J77,0,IF($C$5*'Tariffs Jan2017'!AK77/'Tariffs Jan2017'!AI77&lt;='Tariffs Jan2017'!K77,($C$5*'Tariffs Jan2017'!AK77/'Tariffs Jan2017'!AI77-'Tariffs Jan2017'!J77)*('Tariffs Jan2017'!P77/100)*'Tariffs Jan2017'!AI77,('Tariffs Jan2017'!K77-'Tariffs Jan2017'!J77)*('Tariffs Jan2017'!P77/100)*'Tariffs Jan2017'!AI77))</f>
        <v>28.637999999999998</v>
      </c>
      <c r="G83" s="278">
        <f>IF($C$5*'Tariffs Jan2017'!AK77/'Tariffs Jan2017'!AI77&lt;'Tariffs Jan2017'!K77,0,IF($C$5*'Tariffs Jan2017'!AK77/'Tariffs Jan2017'!AI77&lt;='Tariffs Jan2017'!L77,($C$5*'Tariffs Jan2017'!AK77/'Tariffs Jan2017'!AI77-'Tariffs Jan2017'!K77)*('Tariffs Jan2017'!Q77/100)*'Tariffs Jan2017'!AI77,('Tariffs Jan2017'!L77-'Tariffs Jan2017'!K77)*('Tariffs Jan2017'!Q77/100)*'Tariffs Jan2017'!AI77))</f>
        <v>0</v>
      </c>
      <c r="H83" s="278">
        <f>IF($C$5*'Tariffs Jan2017'!AK77/'Tariffs Jan2017'!AI77&lt;'Tariffs Jan2017'!L77,0,IF($C$5*'Tariffs Jan2017'!AK77/'Tariffs Jan2017'!AI77&lt;='Tariffs Jan2017'!M77,($C$5*'Tariffs Jan2017'!AK77/'Tariffs Jan2017'!AI77-'Tariffs Jan2017'!L77)*('Tariffs Jan2017'!R77/100)*'Tariffs Jan2017'!AI77,('Tariffs Jan2017'!M77-'Tariffs Jan2017'!L77)*('Tariffs Jan2017'!R77/100)*'Tariffs Jan2017'!AI77))</f>
        <v>0</v>
      </c>
      <c r="I83" s="278">
        <f>IF(($C$5*'Tariffs Jan2017'!AK77/'Tariffs Jan2017'!AI77&gt;'Tariffs Jan2017'!M77),($C$5*'Tariffs Jan2017'!AK77/'Tariffs Jan2017'!AI77-'Tariffs Jan2017'!M77)*'Tariffs Jan2017'!S77/100*'Tariffs Jan2017'!AI77,0)</f>
        <v>0</v>
      </c>
      <c r="J83" s="278">
        <f>IF($C$5*'Tariffs Jan2017'!AL77/'Tariffs Jan2017'!AJ77&gt;='Tariffs Jan2017'!J77,('Tariffs Jan2017'!J77*'Tariffs Jan2017'!U77/100)* 'Tariffs Jan2017'!AJ77,($C$5*'Tariffs Jan2017'!AL77/'Tariffs Jan2017'!AJ77*'Tariffs Jan2017'!U77/100)* 'Tariffs Jan2017'!AJ77)</f>
        <v>403.2</v>
      </c>
      <c r="K83" s="278">
        <f>IF($C$5*'Tariffs Jan2017'!AL77/'Tariffs Jan2017'!AJ77&lt;'Tariffs Jan2017'!J77,0,IF($C$5*'Tariffs Jan2017'!AL77/'Tariffs Jan2017'!AJ77&lt;='Tariffs Jan2017'!K77,($C$5*'Tariffs Jan2017'!AL77/'Tariffs Jan2017'!AJ77-'Tariffs Jan2017'!J77)*('Tariffs Jan2017'!V77/100)*'Tariffs Jan2017'!AJ77,('Tariffs Jan2017'!K77-'Tariffs Jan2017'!J77)*('Tariffs Jan2017'!V77/100)*'Tariffs Jan2017'!AJ77))</f>
        <v>42.8904</v>
      </c>
      <c r="L83" s="278">
        <f>IF($C$5*'Tariffs Jan2017'!AL77/'Tariffs Jan2017'!AJ77&lt;'Tariffs Jan2017'!K77,0,IF($C$5*'Tariffs Jan2017'!AL77/'Tariffs Jan2017'!AJ77&lt;='Tariffs Jan2017'!L77,($C$5*'Tariffs Jan2017'!AL77/'Tariffs Jan2017'!AJ77-'Tariffs Jan2017'!K77)*('Tariffs Jan2017'!W77/100)*'Tariffs Jan2017'!AJ77,('Tariffs Jan2017'!L77-'Tariffs Jan2017'!K77)*('Tariffs Jan2017'!W77/100)*'Tariffs Jan2017'!AJ77))</f>
        <v>0</v>
      </c>
      <c r="M83" s="278">
        <f>IF($C$5*'Tariffs Jan2017'!AL77/'Tariffs Jan2017'!AJ77&lt;'Tariffs Jan2017'!L77,0,IF($C$5*'Tariffs Jan2017'!AL77/'Tariffs Jan2017'!AJ77&lt;='Tariffs Jan2017'!M77,($C$5*'Tariffs Jan2017'!AL77/'Tariffs Jan2017'!AJ77-'Tariffs Jan2017'!L77)*('Tariffs Jan2017'!X77/100)*'Tariffs Jan2017'!AJ77,('Tariffs Jan2017'!M77-'Tariffs Jan2017'!L77)*('Tariffs Jan2017'!X77/100)*'Tariffs Jan2017'!AJ77))</f>
        <v>0</v>
      </c>
      <c r="N83" s="278">
        <f>IF(($C$5*'Tariffs Jan2017'!AL77/'Tariffs Jan2017'!AJ77&gt;'Tariffs Jan2017'!M77),($C$5*'Tariffs Jan2017'!AL77/'Tariffs Jan2017'!AJ77-'Tariffs Jan2017'!M77)*'Tariffs Jan2017'!Y77/100*'Tariffs Jan2017'!AJ77,0)</f>
        <v>0</v>
      </c>
      <c r="O83" s="278">
        <f t="shared" si="5"/>
        <v>737.52839999999992</v>
      </c>
      <c r="P83" s="278">
        <f t="shared" si="6"/>
        <v>1029.1998999999998</v>
      </c>
      <c r="Q83" s="280">
        <f t="shared" si="7"/>
        <v>1132.1198899999999</v>
      </c>
      <c r="R83" s="277">
        <f>'Tariffs Jan2017'!AM77</f>
        <v>0</v>
      </c>
      <c r="S83" s="277">
        <f>'Tariffs Jan2017'!AN77</f>
        <v>0</v>
      </c>
      <c r="T83" s="277">
        <f>'Tariffs Jan2017'!AO77</f>
        <v>0</v>
      </c>
      <c r="U83" s="277">
        <f>'Tariffs Jan2017'!AP77</f>
        <v>15</v>
      </c>
      <c r="V83" s="273">
        <f t="shared" si="8"/>
        <v>1029.1998999999998</v>
      </c>
      <c r="W83" s="285">
        <f>V83-(O83*U83/100)</f>
        <v>918.57063999999991</v>
      </c>
      <c r="X83" s="280">
        <f t="shared" si="9"/>
        <v>1132.1198899999999</v>
      </c>
      <c r="Y83" s="280">
        <f t="shared" si="9"/>
        <v>1010.4277039999999</v>
      </c>
      <c r="Z83" s="282">
        <f>'Tariffs Jan2017'!AW77</f>
        <v>24</v>
      </c>
      <c r="AA83" s="282" t="str">
        <f>'Tariffs Jan2017'!AX77</f>
        <v>n</v>
      </c>
      <c r="AB83" s="283" t="str">
        <f>'Tariffs Jan2017'!BD77</f>
        <v>Y</v>
      </c>
      <c r="AC83" s="305"/>
      <c r="AD83" s="305"/>
      <c r="AE83" s="305"/>
      <c r="AF83" s="305"/>
      <c r="AG83" s="305"/>
      <c r="AH83" s="305"/>
      <c r="AI83" s="305"/>
      <c r="AJ83" s="305"/>
      <c r="AK83" s="305"/>
      <c r="AL83" s="305"/>
      <c r="AM83" s="305"/>
      <c r="AN83" s="305"/>
    </row>
    <row r="84" spans="1:40" ht="14" thickTop="1" x14ac:dyDescent="0.15">
      <c r="A84" s="270" t="str">
        <f>'Tariffs Jan2017'!F78</f>
        <v>AGL</v>
      </c>
      <c r="B84" s="40" t="str">
        <f>'Tariffs Jan2017'!D78</f>
        <v>Ausnet Central 1</v>
      </c>
      <c r="C84" s="40" t="str">
        <f>'Tariffs Jan2017'!G78</f>
        <v>Savers</v>
      </c>
      <c r="D84" s="59">
        <f>365*'Tariffs Jan2017'!H78/100</f>
        <v>287.18200000000002</v>
      </c>
      <c r="E84" s="59">
        <f>IF($C$5*'Tariffs Jan2017'!AK78/'Tariffs Jan2017'!AI78&gt;='Tariffs Jan2017'!J78,( 'Tariffs Jan2017'!J78*'Tariffs Jan2017'!O78/100)* 'Tariffs Jan2017'!AI78,($C$5*'Tariffs Jan2017'!AK78/'Tariffs Jan2017'!AI78*'Tariffs Jan2017'!O78/100)* 'Tariffs Jan2017'!AI78)</f>
        <v>261.72000000000003</v>
      </c>
      <c r="F84" s="59">
        <f>IF($C$5*'Tariffs Jan2017'!AK78/'Tariffs Jan2017'!AI78&lt;'Tariffs Jan2017'!J78,0,IF($C$5*'Tariffs Jan2017'!AK78/'Tariffs Jan2017'!AI78&lt;='Tariffs Jan2017'!K78,($C$5*'Tariffs Jan2017'!AK78/'Tariffs Jan2017'!AI78-'Tariffs Jan2017'!J78)*('Tariffs Jan2017'!P78/100)*'Tariffs Jan2017'!AI78,('Tariffs Jan2017'!K78-'Tariffs Jan2017'!J78)*('Tariffs Jan2017'!P78/100)*'Tariffs Jan2017'!AI78))</f>
        <v>27.479160000000004</v>
      </c>
      <c r="G84" s="59">
        <f>IF($C$5*'Tariffs Jan2017'!AK78/'Tariffs Jan2017'!AI78&lt;'Tariffs Jan2017'!K78,0,IF($C$5*'Tariffs Jan2017'!AK78/'Tariffs Jan2017'!AI78&lt;='Tariffs Jan2017'!L78,($C$5*'Tariffs Jan2017'!AK78/'Tariffs Jan2017'!AI78-'Tariffs Jan2017'!K78)*('Tariffs Jan2017'!Q78/100)*'Tariffs Jan2017'!AI78,('Tariffs Jan2017'!L78-'Tariffs Jan2017'!K78)*('Tariffs Jan2017'!Q78/100)*'Tariffs Jan2017'!AI78))</f>
        <v>0</v>
      </c>
      <c r="H84" s="59">
        <f>IF($C$5*'Tariffs Jan2017'!AK78/'Tariffs Jan2017'!AI78&lt;'Tariffs Jan2017'!L78,0,IF($C$5*'Tariffs Jan2017'!AK78/'Tariffs Jan2017'!AI78&lt;='Tariffs Jan2017'!M78,($C$5*'Tariffs Jan2017'!AK78/'Tariffs Jan2017'!AI78-'Tariffs Jan2017'!L78)*('Tariffs Jan2017'!R78/100)*'Tariffs Jan2017'!AI78,('Tariffs Jan2017'!M78-'Tariffs Jan2017'!L78)*('Tariffs Jan2017'!R78/100)*'Tariffs Jan2017'!AI78))</f>
        <v>0</v>
      </c>
      <c r="I84" s="59">
        <f>IF(($C$5*'Tariffs Jan2017'!AK78/'Tariffs Jan2017'!AI78&gt;'Tariffs Jan2017'!M78),($C$5*'Tariffs Jan2017'!AK78/'Tariffs Jan2017'!AI78-'Tariffs Jan2017'!M78)*'Tariffs Jan2017'!S78/100*'Tariffs Jan2017'!AI78,0)</f>
        <v>0</v>
      </c>
      <c r="J84" s="59">
        <f>IF($C$5*'Tariffs Jan2017'!AL78/'Tariffs Jan2017'!AJ78&gt;='Tariffs Jan2017'!J78,('Tariffs Jan2017'!J78*'Tariffs Jan2017'!U78/100)* 'Tariffs Jan2017'!AJ78,($C$5*'Tariffs Jan2017'!AL78/'Tariffs Jan2017'!AJ78*'Tariffs Jan2017'!U78/100)* 'Tariffs Jan2017'!AJ78)</f>
        <v>478.56</v>
      </c>
      <c r="K84" s="59">
        <f>IF($C$5*'Tariffs Jan2017'!AL78/'Tariffs Jan2017'!AJ78&lt;'Tariffs Jan2017'!J78,0,IF($C$5*'Tariffs Jan2017'!AL78/'Tariffs Jan2017'!AJ78&lt;='Tariffs Jan2017'!K78,($C$5*'Tariffs Jan2017'!AL78/'Tariffs Jan2017'!AJ78-'Tariffs Jan2017'!J78)*('Tariffs Jan2017'!V78/100)*'Tariffs Jan2017'!AJ78,('Tariffs Jan2017'!K78-'Tariffs Jan2017'!J78)*('Tariffs Jan2017'!V78/100)*'Tariffs Jan2017'!AJ78))</f>
        <v>40.492800000000003</v>
      </c>
      <c r="L84" s="59">
        <f>IF($C$5*'Tariffs Jan2017'!AL78/'Tariffs Jan2017'!AJ78&lt;'Tariffs Jan2017'!K78,0,IF($C$5*'Tariffs Jan2017'!AL78/'Tariffs Jan2017'!AJ78&lt;='Tariffs Jan2017'!L78,($C$5*'Tariffs Jan2017'!AL78/'Tariffs Jan2017'!AJ78-'Tariffs Jan2017'!K78)*('Tariffs Jan2017'!W78/100)*'Tariffs Jan2017'!AJ78,('Tariffs Jan2017'!L78-'Tariffs Jan2017'!K78)*('Tariffs Jan2017'!W78/100)*'Tariffs Jan2017'!AJ78))</f>
        <v>0</v>
      </c>
      <c r="M84" s="59">
        <f>IF($C$5*'Tariffs Jan2017'!AL78/'Tariffs Jan2017'!AJ78&lt;'Tariffs Jan2017'!L78,0,IF($C$5*'Tariffs Jan2017'!AL78/'Tariffs Jan2017'!AJ78&lt;='Tariffs Jan2017'!M78,($C$5*'Tariffs Jan2017'!AL78/'Tariffs Jan2017'!AJ78-'Tariffs Jan2017'!L78)*('Tariffs Jan2017'!X78/100)*'Tariffs Jan2017'!AJ78,('Tariffs Jan2017'!M78-'Tariffs Jan2017'!L78)*('Tariffs Jan2017'!X78/100)*'Tariffs Jan2017'!AJ78))</f>
        <v>0</v>
      </c>
      <c r="N84" s="59">
        <f>IF(($C$5*'Tariffs Jan2017'!AL78/'Tariffs Jan2017'!AJ78&gt;'Tariffs Jan2017'!M78),($C$5*'Tariffs Jan2017'!AL78/'Tariffs Jan2017'!AJ78-'Tariffs Jan2017'!M78)*'Tariffs Jan2017'!Y78/100*'Tariffs Jan2017'!AJ78,0)</f>
        <v>0</v>
      </c>
      <c r="O84" s="271">
        <f t="shared" si="5"/>
        <v>808.25196000000005</v>
      </c>
      <c r="P84" s="59">
        <f t="shared" si="6"/>
        <v>1095.4339600000001</v>
      </c>
      <c r="Q84" s="272">
        <f t="shared" si="7"/>
        <v>1204.9773560000001</v>
      </c>
      <c r="R84" s="40">
        <f>'Tariffs Jan2017'!AM78</f>
        <v>0</v>
      </c>
      <c r="S84" s="40">
        <f>'Tariffs Jan2017'!AN78</f>
        <v>0</v>
      </c>
      <c r="T84" s="40">
        <f>'Tariffs Jan2017'!AO78</f>
        <v>0</v>
      </c>
      <c r="U84" s="40">
        <f>'Tariffs Jan2017'!AP78</f>
        <v>15</v>
      </c>
      <c r="V84" s="273">
        <f t="shared" si="8"/>
        <v>1095.4339600000001</v>
      </c>
      <c r="W84" s="273">
        <f>V84-(O84*U84/100)</f>
        <v>974.19616600000006</v>
      </c>
      <c r="X84" s="272">
        <f t="shared" si="9"/>
        <v>1204.9773560000001</v>
      </c>
      <c r="Y84" s="272">
        <f t="shared" si="9"/>
        <v>1071.6157826000001</v>
      </c>
      <c r="Z84" s="274">
        <f>'Tariffs Jan2017'!AW78</f>
        <v>0</v>
      </c>
      <c r="AA84" s="274" t="str">
        <f>'Tariffs Jan2017'!AX78</f>
        <v>n</v>
      </c>
      <c r="AB84" s="275" t="str">
        <f>'Tariffs Jan2017'!BD78</f>
        <v>N</v>
      </c>
      <c r="AC84" s="305"/>
      <c r="AD84" s="305"/>
      <c r="AE84" s="305"/>
      <c r="AF84" s="305"/>
      <c r="AG84" s="305"/>
      <c r="AH84" s="305"/>
      <c r="AI84" s="305"/>
      <c r="AJ84" s="305"/>
      <c r="AK84" s="305"/>
      <c r="AL84" s="305"/>
      <c r="AM84" s="305"/>
      <c r="AN84" s="305"/>
    </row>
    <row r="85" spans="1:40" x14ac:dyDescent="0.15">
      <c r="A85" s="270" t="str">
        <f>'Tariffs Jan2017'!F79</f>
        <v>Alinta Energy</v>
      </c>
      <c r="B85" s="40" t="str">
        <f>'Tariffs Jan2017'!D79</f>
        <v>Ausnet Central 1</v>
      </c>
      <c r="C85" s="40" t="str">
        <f>'Tariffs Jan2017'!G79</f>
        <v>Fair Deal</v>
      </c>
      <c r="D85" s="59">
        <f>365*'Tariffs Jan2017'!H79/100</f>
        <v>240.93650000000002</v>
      </c>
      <c r="E85" s="59">
        <f>IF($C$5*'Tariffs Jan2017'!AK79/'Tariffs Jan2017'!AI79&gt;='Tariffs Jan2017'!J79,( 'Tariffs Jan2017'!J79*'Tariffs Jan2017'!O79/100)* 'Tariffs Jan2017'!AI79,($C$5*'Tariffs Jan2017'!AK79/'Tariffs Jan2017'!AI79*'Tariffs Jan2017'!O79/100)* 'Tariffs Jan2017'!AI79)</f>
        <v>268.8</v>
      </c>
      <c r="F85" s="59">
        <f>IF($C$5*'Tariffs Jan2017'!AK79/'Tariffs Jan2017'!AI79&lt;'Tariffs Jan2017'!J79,0,IF($C$5*'Tariffs Jan2017'!AK79/'Tariffs Jan2017'!AI79&lt;='Tariffs Jan2017'!K79,($C$5*'Tariffs Jan2017'!AK79/'Tariffs Jan2017'!AI79-'Tariffs Jan2017'!J79)*('Tariffs Jan2017'!P79/100)*'Tariffs Jan2017'!AI79,('Tariffs Jan2017'!K79-'Tariffs Jan2017'!J79)*('Tariffs Jan2017'!P79/100)*'Tariffs Jan2017'!AI79))</f>
        <v>0</v>
      </c>
      <c r="G85" s="59">
        <f>IF($C$5*'Tariffs Jan2017'!AK79/'Tariffs Jan2017'!AI79&lt;'Tariffs Jan2017'!K79,0,IF($C$5*'Tariffs Jan2017'!AK79/'Tariffs Jan2017'!AI79&lt;='Tariffs Jan2017'!L79,($C$5*'Tariffs Jan2017'!AK79/'Tariffs Jan2017'!AI79-'Tariffs Jan2017'!K79)*('Tariffs Jan2017'!Q79/100)*'Tariffs Jan2017'!AI79,('Tariffs Jan2017'!L79-'Tariffs Jan2017'!K79)*('Tariffs Jan2017'!Q79/100)*'Tariffs Jan2017'!AI79))</f>
        <v>0</v>
      </c>
      <c r="H85" s="59">
        <f>IF($C$5*'Tariffs Jan2017'!AK79/'Tariffs Jan2017'!AI79&lt;'Tariffs Jan2017'!L79,0,IF($C$5*'Tariffs Jan2017'!AK79/'Tariffs Jan2017'!AI79&lt;='Tariffs Jan2017'!M79,($C$5*'Tariffs Jan2017'!AK79/'Tariffs Jan2017'!AI79-'Tariffs Jan2017'!L79)*('Tariffs Jan2017'!R79/100)*'Tariffs Jan2017'!AI79,('Tariffs Jan2017'!M79-'Tariffs Jan2017'!L79)*('Tariffs Jan2017'!R79/100)*'Tariffs Jan2017'!AI79))</f>
        <v>0</v>
      </c>
      <c r="I85" s="59">
        <f>IF(($C$5*'Tariffs Jan2017'!AK79/'Tariffs Jan2017'!AI79&gt;'Tariffs Jan2017'!M79),($C$5*'Tariffs Jan2017'!AK79/'Tariffs Jan2017'!AI79-'Tariffs Jan2017'!M79)*'Tariffs Jan2017'!S79/100*'Tariffs Jan2017'!AI79,0)</f>
        <v>23.31</v>
      </c>
      <c r="J85" s="59">
        <f>IF($C$5*'Tariffs Jan2017'!AL79/'Tariffs Jan2017'!AJ79&gt;='Tariffs Jan2017'!J79,('Tariffs Jan2017'!J79*'Tariffs Jan2017'!U79/100)* 'Tariffs Jan2017'!AJ79,($C$5*'Tariffs Jan2017'!AL79/'Tariffs Jan2017'!AJ79*'Tariffs Jan2017'!U79/100)* 'Tariffs Jan2017'!AJ79)</f>
        <v>511.2</v>
      </c>
      <c r="K85" s="59">
        <f>IF($C$5*'Tariffs Jan2017'!AL79/'Tariffs Jan2017'!AJ79&lt;'Tariffs Jan2017'!J79,0,IF($C$5*'Tariffs Jan2017'!AL79/'Tariffs Jan2017'!AJ79&lt;='Tariffs Jan2017'!K79,($C$5*'Tariffs Jan2017'!AL79/'Tariffs Jan2017'!AJ79-'Tariffs Jan2017'!J79)*('Tariffs Jan2017'!V79/100)*'Tariffs Jan2017'!AJ79,('Tariffs Jan2017'!K79-'Tariffs Jan2017'!J79)*('Tariffs Jan2017'!V79/100)*'Tariffs Jan2017'!AJ79))</f>
        <v>0</v>
      </c>
      <c r="L85" s="59">
        <f>IF($C$5*'Tariffs Jan2017'!AL79/'Tariffs Jan2017'!AJ79&lt;'Tariffs Jan2017'!K79,0,IF($C$5*'Tariffs Jan2017'!AL79/'Tariffs Jan2017'!AJ79&lt;='Tariffs Jan2017'!L79,($C$5*'Tariffs Jan2017'!AL79/'Tariffs Jan2017'!AJ79-'Tariffs Jan2017'!K79)*('Tariffs Jan2017'!W79/100)*'Tariffs Jan2017'!AJ79,('Tariffs Jan2017'!L79-'Tariffs Jan2017'!K79)*('Tariffs Jan2017'!W79/100)*'Tariffs Jan2017'!AJ79))</f>
        <v>0</v>
      </c>
      <c r="M85" s="59">
        <f>IF($C$5*'Tariffs Jan2017'!AL79/'Tariffs Jan2017'!AJ79&lt;'Tariffs Jan2017'!L79,0,IF($C$5*'Tariffs Jan2017'!AL79/'Tariffs Jan2017'!AJ79&lt;='Tariffs Jan2017'!M79,($C$5*'Tariffs Jan2017'!AL79/'Tariffs Jan2017'!AJ79-'Tariffs Jan2017'!L79)*('Tariffs Jan2017'!X79/100)*'Tariffs Jan2017'!AJ79,('Tariffs Jan2017'!M79-'Tariffs Jan2017'!L79)*('Tariffs Jan2017'!X79/100)*'Tariffs Jan2017'!AJ79))</f>
        <v>0</v>
      </c>
      <c r="N85" s="59">
        <f>IF(($C$5*'Tariffs Jan2017'!AL79/'Tariffs Jan2017'!AJ79&gt;'Tariffs Jan2017'!M79),($C$5*'Tariffs Jan2017'!AL79/'Tariffs Jan2017'!AJ79-'Tariffs Jan2017'!M79)*'Tariffs Jan2017'!Y79/100*'Tariffs Jan2017'!AJ79,0)</f>
        <v>43.423199999999994</v>
      </c>
      <c r="O85" s="271">
        <f t="shared" si="5"/>
        <v>846.7331999999999</v>
      </c>
      <c r="P85" s="59">
        <f t="shared" si="6"/>
        <v>1087.6696999999999</v>
      </c>
      <c r="Q85" s="272">
        <f t="shared" si="7"/>
        <v>1196.43667</v>
      </c>
      <c r="R85" s="40">
        <f>'Tariffs Jan2017'!AM79</f>
        <v>0</v>
      </c>
      <c r="S85" s="40">
        <f>'Tariffs Jan2017'!AN79</f>
        <v>0</v>
      </c>
      <c r="T85" s="40">
        <f>'Tariffs Jan2017'!AO79</f>
        <v>0</v>
      </c>
      <c r="U85" s="40">
        <f>'Tariffs Jan2017'!AP79</f>
        <v>15</v>
      </c>
      <c r="V85" s="273">
        <f t="shared" si="8"/>
        <v>1087.6696999999999</v>
      </c>
      <c r="W85" s="273">
        <f>V85-(O85*U85/100)</f>
        <v>960.65971999999988</v>
      </c>
      <c r="X85" s="272">
        <f t="shared" si="9"/>
        <v>1196.43667</v>
      </c>
      <c r="Y85" s="272">
        <f t="shared" si="9"/>
        <v>1056.725692</v>
      </c>
      <c r="Z85" s="274">
        <f>'Tariffs Jan2017'!AW79</f>
        <v>0</v>
      </c>
      <c r="AA85" s="274" t="str">
        <f>'Tariffs Jan2017'!AX79</f>
        <v>n</v>
      </c>
      <c r="AB85" s="275" t="str">
        <f>'Tariffs Jan2017'!BD79</f>
        <v>Y</v>
      </c>
      <c r="AC85" s="305"/>
      <c r="AD85" s="305"/>
      <c r="AE85" s="305"/>
      <c r="AF85" s="305"/>
      <c r="AG85" s="305"/>
      <c r="AH85" s="305"/>
      <c r="AI85" s="305"/>
      <c r="AJ85" s="305"/>
      <c r="AK85" s="305"/>
      <c r="AL85" s="305"/>
      <c r="AM85" s="305"/>
      <c r="AN85" s="305"/>
    </row>
    <row r="86" spans="1:40" x14ac:dyDescent="0.15">
      <c r="A86" s="270" t="str">
        <f>'Tariffs Jan2017'!F80</f>
        <v>Click Energy</v>
      </c>
      <c r="B86" s="40" t="str">
        <f>'Tariffs Jan2017'!D80</f>
        <v>Ausnet Central 1</v>
      </c>
      <c r="C86" s="40" t="str">
        <f>'Tariffs Jan2017'!G80</f>
        <v>Amber</v>
      </c>
      <c r="D86" s="59">
        <f>365*'Tariffs Jan2017'!H80/100</f>
        <v>321.2</v>
      </c>
      <c r="E86" s="59">
        <f>IF($C$5*'Tariffs Jan2017'!AK80/'Tariffs Jan2017'!AI80&gt;='Tariffs Jan2017'!J80,( 'Tariffs Jan2017'!J80*'Tariffs Jan2017'!O80/100)* 'Tariffs Jan2017'!AI80,($C$5*'Tariffs Jan2017'!AK80/'Tariffs Jan2017'!AI80*'Tariffs Jan2017'!O80/100)* 'Tariffs Jan2017'!AI80)</f>
        <v>312</v>
      </c>
      <c r="F86" s="59">
        <f>IF($C$5*'Tariffs Jan2017'!AK80/'Tariffs Jan2017'!AI80&lt;'Tariffs Jan2017'!J80,0,IF($C$5*'Tariffs Jan2017'!AK80/'Tariffs Jan2017'!AI80&lt;='Tariffs Jan2017'!K80,($C$5*'Tariffs Jan2017'!AK80/'Tariffs Jan2017'!AI80-'Tariffs Jan2017'!J80)*('Tariffs Jan2017'!P80/100)*'Tariffs Jan2017'!AI80,('Tariffs Jan2017'!K80-'Tariffs Jan2017'!J80)*('Tariffs Jan2017'!P80/100)*'Tariffs Jan2017'!AI80))</f>
        <v>28.637999999999998</v>
      </c>
      <c r="G86" s="59">
        <f>IF($C$5*'Tariffs Jan2017'!AK80/'Tariffs Jan2017'!AI80&lt;'Tariffs Jan2017'!K80,0,IF($C$5*'Tariffs Jan2017'!AK80/'Tariffs Jan2017'!AI80&lt;='Tariffs Jan2017'!L80,($C$5*'Tariffs Jan2017'!AK80/'Tariffs Jan2017'!AI80-'Tariffs Jan2017'!K80)*('Tariffs Jan2017'!Q80/100)*'Tariffs Jan2017'!AI80,('Tariffs Jan2017'!L80-'Tariffs Jan2017'!K80)*('Tariffs Jan2017'!Q80/100)*'Tariffs Jan2017'!AI80))</f>
        <v>0</v>
      </c>
      <c r="H86" s="59">
        <f>IF($C$5*'Tariffs Jan2017'!AK80/'Tariffs Jan2017'!AI80&lt;'Tariffs Jan2017'!L80,0,IF($C$5*'Tariffs Jan2017'!AK80/'Tariffs Jan2017'!AI80&lt;='Tariffs Jan2017'!M80,($C$5*'Tariffs Jan2017'!AK80/'Tariffs Jan2017'!AI80-'Tariffs Jan2017'!L80)*('Tariffs Jan2017'!R80/100)*'Tariffs Jan2017'!AI80,('Tariffs Jan2017'!M80-'Tariffs Jan2017'!L80)*('Tariffs Jan2017'!R80/100)*'Tariffs Jan2017'!AI80))</f>
        <v>0</v>
      </c>
      <c r="I86" s="59">
        <f>IF(($C$5*'Tariffs Jan2017'!AK80/'Tariffs Jan2017'!AI80&gt;'Tariffs Jan2017'!M80),($C$5*'Tariffs Jan2017'!AK80/'Tariffs Jan2017'!AI80-'Tariffs Jan2017'!M80)*'Tariffs Jan2017'!S80/100*'Tariffs Jan2017'!AI80,0)</f>
        <v>0</v>
      </c>
      <c r="J86" s="59">
        <f>IF($C$5*'Tariffs Jan2017'!AL80/'Tariffs Jan2017'!AJ80&gt;='Tariffs Jan2017'!J80,('Tariffs Jan2017'!J80*'Tariffs Jan2017'!U80/100)* 'Tariffs Jan2017'!AJ80,($C$5*'Tariffs Jan2017'!AL80/'Tariffs Jan2017'!AJ80*'Tariffs Jan2017'!U80/100)* 'Tariffs Jan2017'!AJ80)</f>
        <v>396</v>
      </c>
      <c r="K86" s="59">
        <f>IF($C$5*'Tariffs Jan2017'!AL80/'Tariffs Jan2017'!AJ80&lt;'Tariffs Jan2017'!J80,0,IF($C$5*'Tariffs Jan2017'!AL80/'Tariffs Jan2017'!AJ80&lt;='Tariffs Jan2017'!K80,($C$5*'Tariffs Jan2017'!AL80/'Tariffs Jan2017'!AJ80-'Tariffs Jan2017'!J80)*('Tariffs Jan2017'!V80/100)*'Tariffs Jan2017'!AJ80,('Tariffs Jan2017'!K80-'Tariffs Jan2017'!J80)*('Tariffs Jan2017'!V80/100)*'Tariffs Jan2017'!AJ80))</f>
        <v>42.624000000000002</v>
      </c>
      <c r="L86" s="59">
        <f>IF($C$5*'Tariffs Jan2017'!AL80/'Tariffs Jan2017'!AJ80&lt;'Tariffs Jan2017'!K80,0,IF($C$5*'Tariffs Jan2017'!AL80/'Tariffs Jan2017'!AJ80&lt;='Tariffs Jan2017'!L80,($C$5*'Tariffs Jan2017'!AL80/'Tariffs Jan2017'!AJ80-'Tariffs Jan2017'!K80)*('Tariffs Jan2017'!W80/100)*'Tariffs Jan2017'!AJ80,('Tariffs Jan2017'!L80-'Tariffs Jan2017'!K80)*('Tariffs Jan2017'!W80/100)*'Tariffs Jan2017'!AJ80))</f>
        <v>0</v>
      </c>
      <c r="M86" s="59">
        <f>IF($C$5*'Tariffs Jan2017'!AL80/'Tariffs Jan2017'!AJ80&lt;'Tariffs Jan2017'!L80,0,IF($C$5*'Tariffs Jan2017'!AL80/'Tariffs Jan2017'!AJ80&lt;='Tariffs Jan2017'!M80,($C$5*'Tariffs Jan2017'!AL80/'Tariffs Jan2017'!AJ80-'Tariffs Jan2017'!L80)*('Tariffs Jan2017'!X80/100)*'Tariffs Jan2017'!AJ80,('Tariffs Jan2017'!M80-'Tariffs Jan2017'!L80)*('Tariffs Jan2017'!X80/100)*'Tariffs Jan2017'!AJ80))</f>
        <v>0</v>
      </c>
      <c r="N86" s="59">
        <f>IF(($C$5*'Tariffs Jan2017'!AL80/'Tariffs Jan2017'!AJ80&gt;'Tariffs Jan2017'!M80),($C$5*'Tariffs Jan2017'!AL80/'Tariffs Jan2017'!AJ80-'Tariffs Jan2017'!M80)*'Tariffs Jan2017'!Y80/100*'Tariffs Jan2017'!AJ80,0)</f>
        <v>0</v>
      </c>
      <c r="O86" s="271">
        <f t="shared" si="5"/>
        <v>779.26199999999994</v>
      </c>
      <c r="P86" s="59">
        <f t="shared" si="6"/>
        <v>1100.462</v>
      </c>
      <c r="Q86" s="272">
        <f t="shared" si="7"/>
        <v>1210.5082</v>
      </c>
      <c r="R86" s="40">
        <f>'Tariffs Jan2017'!AM80</f>
        <v>0</v>
      </c>
      <c r="S86" s="40">
        <f>'Tariffs Jan2017'!AN80</f>
        <v>0</v>
      </c>
      <c r="T86" s="40">
        <f>'Tariffs Jan2017'!AO80</f>
        <v>14</v>
      </c>
      <c r="U86" s="40">
        <f>'Tariffs Jan2017'!AP80</f>
        <v>0</v>
      </c>
      <c r="V86" s="273">
        <f t="shared" si="8"/>
        <v>1100.462</v>
      </c>
      <c r="W86" s="273">
        <f>V86-(P86*T86/100)</f>
        <v>946.39732000000004</v>
      </c>
      <c r="X86" s="272">
        <f t="shared" si="9"/>
        <v>1210.5082</v>
      </c>
      <c r="Y86" s="272">
        <f t="shared" si="9"/>
        <v>1041.0370520000001</v>
      </c>
      <c r="Z86" s="274">
        <f>'Tariffs Jan2017'!AW80</f>
        <v>0</v>
      </c>
      <c r="AA86" s="274" t="str">
        <f>'Tariffs Jan2017'!AX80</f>
        <v>n</v>
      </c>
      <c r="AB86" s="275" t="str">
        <f>'Tariffs Jan2017'!BD80</f>
        <v>N</v>
      </c>
      <c r="AC86" s="305"/>
      <c r="AD86" s="305"/>
      <c r="AE86" s="305"/>
      <c r="AF86" s="305"/>
      <c r="AG86" s="305"/>
      <c r="AH86" s="305"/>
      <c r="AI86" s="305"/>
      <c r="AJ86" s="305"/>
      <c r="AK86" s="305"/>
      <c r="AL86" s="305"/>
      <c r="AM86" s="305"/>
      <c r="AN86" s="305"/>
    </row>
    <row r="87" spans="1:40" x14ac:dyDescent="0.15">
      <c r="A87" s="270" t="str">
        <f>'Tariffs Jan2017'!F81</f>
        <v>Covau</v>
      </c>
      <c r="B87" s="40" t="str">
        <f>'Tariffs Jan2017'!D81</f>
        <v>Ausnet Central 1</v>
      </c>
      <c r="C87" s="40" t="str">
        <f>'Tariffs Jan2017'!G81</f>
        <v>Market offer</v>
      </c>
      <c r="D87" s="59">
        <f>365*'Tariffs Jan2017'!H81/100</f>
        <v>299.3</v>
      </c>
      <c r="E87" s="59">
        <f>IF($C$5*'Tariffs Jan2017'!AK81/'Tariffs Jan2017'!AI81&gt;='Tariffs Jan2017'!J81,( 'Tariffs Jan2017'!J81*'Tariffs Jan2017'!O81/100)* 'Tariffs Jan2017'!AI81,($C$5*'Tariffs Jan2017'!AK81/'Tariffs Jan2017'!AI81*'Tariffs Jan2017'!O81/100)* 'Tariffs Jan2017'!AI81)</f>
        <v>558</v>
      </c>
      <c r="F87" s="59">
        <f>IF($C$5*'Tariffs Jan2017'!AK81/'Tariffs Jan2017'!AI81&lt;'Tariffs Jan2017'!J81,0,IF($C$5*'Tariffs Jan2017'!AK81/'Tariffs Jan2017'!AI81&lt;='Tariffs Jan2017'!K81,($C$5*'Tariffs Jan2017'!AK81/'Tariffs Jan2017'!AI81-'Tariffs Jan2017'!J81)*('Tariffs Jan2017'!P81/100)*'Tariffs Jan2017'!AI81,('Tariffs Jan2017'!K81-'Tariffs Jan2017'!J81)*('Tariffs Jan2017'!P81/100)*'Tariffs Jan2017'!AI81))</f>
        <v>53.200000000000024</v>
      </c>
      <c r="G87" s="59">
        <f>IF($C$5*'Tariffs Jan2017'!AK81/'Tariffs Jan2017'!AI81&lt;'Tariffs Jan2017'!K81,0,IF($C$5*'Tariffs Jan2017'!AK81/'Tariffs Jan2017'!AI81&lt;='Tariffs Jan2017'!L81,($C$5*'Tariffs Jan2017'!AK81/'Tariffs Jan2017'!AI81-'Tariffs Jan2017'!K81)*('Tariffs Jan2017'!Q81/100)*'Tariffs Jan2017'!AI81,('Tariffs Jan2017'!L81-'Tariffs Jan2017'!K81)*('Tariffs Jan2017'!Q81/100)*'Tariffs Jan2017'!AI81))</f>
        <v>0</v>
      </c>
      <c r="H87" s="59">
        <f>IF($C$5*'Tariffs Jan2017'!AK81/'Tariffs Jan2017'!AI81&lt;'Tariffs Jan2017'!L81,0,IF($C$5*'Tariffs Jan2017'!AK81/'Tariffs Jan2017'!AI81&lt;='Tariffs Jan2017'!M81,($C$5*'Tariffs Jan2017'!AK81/'Tariffs Jan2017'!AI81-'Tariffs Jan2017'!L81)*('Tariffs Jan2017'!R81/100)*'Tariffs Jan2017'!AI81,('Tariffs Jan2017'!M81-'Tariffs Jan2017'!L81)*('Tariffs Jan2017'!R81/100)*'Tariffs Jan2017'!AI81))</f>
        <v>0</v>
      </c>
      <c r="I87" s="59">
        <f>IF(($C$5*'Tariffs Jan2017'!AK81/'Tariffs Jan2017'!AI81&gt;'Tariffs Jan2017'!M81),($C$5*'Tariffs Jan2017'!AK81/'Tariffs Jan2017'!AI81-'Tariffs Jan2017'!M81)*'Tariffs Jan2017'!S81/100*'Tariffs Jan2017'!AI81,0)</f>
        <v>0</v>
      </c>
      <c r="J87" s="59">
        <f>IF($C$5*'Tariffs Jan2017'!AL81/'Tariffs Jan2017'!AJ81&gt;='Tariffs Jan2017'!J81,('Tariffs Jan2017'!J81*'Tariffs Jan2017'!U81/100)* 'Tariffs Jan2017'!AJ81,($C$5*'Tariffs Jan2017'!AL81/'Tariffs Jan2017'!AJ81*'Tariffs Jan2017'!U81/100)* 'Tariffs Jan2017'!AJ81)</f>
        <v>383.4</v>
      </c>
      <c r="K87" s="59">
        <f>IF($C$5*'Tariffs Jan2017'!AL81/'Tariffs Jan2017'!AJ81&lt;'Tariffs Jan2017'!J81,0,IF($C$5*'Tariffs Jan2017'!AL81/'Tariffs Jan2017'!AJ81&lt;='Tariffs Jan2017'!K81,($C$5*'Tariffs Jan2017'!AL81/'Tariffs Jan2017'!AJ81-'Tariffs Jan2017'!J81)*('Tariffs Jan2017'!V81/100)*'Tariffs Jan2017'!AJ81,('Tariffs Jan2017'!K81-'Tariffs Jan2017'!J81)*('Tariffs Jan2017'!V81/100)*'Tariffs Jan2017'!AJ81))</f>
        <v>38.600000000000009</v>
      </c>
      <c r="L87" s="59">
        <f>IF($C$5*'Tariffs Jan2017'!AL81/'Tariffs Jan2017'!AJ81&lt;'Tariffs Jan2017'!K81,0,IF($C$5*'Tariffs Jan2017'!AL81/'Tariffs Jan2017'!AJ81&lt;='Tariffs Jan2017'!L81,($C$5*'Tariffs Jan2017'!AL81/'Tariffs Jan2017'!AJ81-'Tariffs Jan2017'!K81)*('Tariffs Jan2017'!W81/100)*'Tariffs Jan2017'!AJ81,('Tariffs Jan2017'!L81-'Tariffs Jan2017'!K81)*('Tariffs Jan2017'!W81/100)*'Tariffs Jan2017'!AJ81))</f>
        <v>0</v>
      </c>
      <c r="M87" s="59">
        <f>IF($C$5*'Tariffs Jan2017'!AL81/'Tariffs Jan2017'!AJ81&lt;'Tariffs Jan2017'!L81,0,IF($C$5*'Tariffs Jan2017'!AL81/'Tariffs Jan2017'!AJ81&lt;='Tariffs Jan2017'!M81,($C$5*'Tariffs Jan2017'!AL81/'Tariffs Jan2017'!AJ81-'Tariffs Jan2017'!L81)*('Tariffs Jan2017'!X81/100)*'Tariffs Jan2017'!AJ81,('Tariffs Jan2017'!M81-'Tariffs Jan2017'!L81)*('Tariffs Jan2017'!X81/100)*'Tariffs Jan2017'!AJ81))</f>
        <v>0</v>
      </c>
      <c r="N87" s="59">
        <f>IF(($C$5*'Tariffs Jan2017'!AL81/'Tariffs Jan2017'!AJ81&gt;'Tariffs Jan2017'!M81),($C$5*'Tariffs Jan2017'!AL81/'Tariffs Jan2017'!AJ81-'Tariffs Jan2017'!M81)*'Tariffs Jan2017'!Y81/100*'Tariffs Jan2017'!AJ81,0)</f>
        <v>0</v>
      </c>
      <c r="O87" s="271">
        <f t="shared" si="5"/>
        <v>1033.2</v>
      </c>
      <c r="P87" s="59">
        <f t="shared" si="6"/>
        <v>1332.5</v>
      </c>
      <c r="Q87" s="272">
        <f t="shared" si="7"/>
        <v>1465.7500000000002</v>
      </c>
      <c r="R87" s="40">
        <f>'Tariffs Jan2017'!AM81</f>
        <v>0</v>
      </c>
      <c r="S87" s="40">
        <f>'Tariffs Jan2017'!AN81</f>
        <v>0</v>
      </c>
      <c r="T87" s="40">
        <f>'Tariffs Jan2017'!AO81</f>
        <v>0</v>
      </c>
      <c r="U87" s="40">
        <f>'Tariffs Jan2017'!AP81</f>
        <v>16</v>
      </c>
      <c r="V87" s="273">
        <f t="shared" si="8"/>
        <v>1332.5</v>
      </c>
      <c r="W87" s="273">
        <f>V87-(O87*U87/100)</f>
        <v>1167.1880000000001</v>
      </c>
      <c r="X87" s="272">
        <f t="shared" si="9"/>
        <v>1465.7500000000002</v>
      </c>
      <c r="Y87" s="272">
        <f t="shared" si="9"/>
        <v>1283.9068000000002</v>
      </c>
      <c r="Z87" s="274">
        <f>'Tariffs Jan2017'!AW81</f>
        <v>12</v>
      </c>
      <c r="AA87" s="274" t="str">
        <f>'Tariffs Jan2017'!AX81</f>
        <v>y</v>
      </c>
      <c r="AB87" s="275" t="str">
        <f>'Tariffs Jan2017'!BD81</f>
        <v>Y</v>
      </c>
      <c r="AC87" s="305"/>
      <c r="AD87" s="305"/>
      <c r="AE87" s="305"/>
      <c r="AF87" s="305"/>
      <c r="AG87" s="305"/>
      <c r="AH87" s="305"/>
      <c r="AI87" s="305"/>
      <c r="AJ87" s="305"/>
      <c r="AK87" s="305"/>
      <c r="AL87" s="305"/>
      <c r="AM87" s="305"/>
      <c r="AN87" s="305"/>
    </row>
    <row r="88" spans="1:40" x14ac:dyDescent="0.15">
      <c r="A88" s="270" t="str">
        <f>'Tariffs Jan2017'!F82</f>
        <v>Dodo Power &amp; Gas</v>
      </c>
      <c r="B88" s="40" t="str">
        <f>'Tariffs Jan2017'!D82</f>
        <v>Ausnet Central 1</v>
      </c>
      <c r="C88" s="40" t="str">
        <f>'Tariffs Jan2017'!G82</f>
        <v>Market offer</v>
      </c>
      <c r="D88" s="59">
        <f>365*'Tariffs Jan2017'!H82/100</f>
        <v>240.86349999999999</v>
      </c>
      <c r="E88" s="59">
        <f>IF($C$5*'Tariffs Jan2017'!AK82/'Tariffs Jan2017'!AI82&gt;='Tariffs Jan2017'!J82,( 'Tariffs Jan2017'!J82*'Tariffs Jan2017'!O82/100)* 'Tariffs Jan2017'!AI82,($C$5*'Tariffs Jan2017'!AK82/'Tariffs Jan2017'!AI82*'Tariffs Jan2017'!O82/100)* 'Tariffs Jan2017'!AI82)</f>
        <v>156.80000000000001</v>
      </c>
      <c r="F88" s="59">
        <f>IF($C$5*'Tariffs Jan2017'!AK82/'Tariffs Jan2017'!AI82&lt;'Tariffs Jan2017'!J82,0,IF($C$5*'Tariffs Jan2017'!AK82/'Tariffs Jan2017'!AI82&lt;='Tariffs Jan2017'!K82,($C$5*'Tariffs Jan2017'!AK82/'Tariffs Jan2017'!AI82-'Tariffs Jan2017'!J82)*('Tariffs Jan2017'!P82/100)*'Tariffs Jan2017'!AI82,('Tariffs Jan2017'!K82-'Tariffs Jan2017'!J82)*('Tariffs Jan2017'!P82/100)*'Tariffs Jan2017'!AI82))</f>
        <v>0</v>
      </c>
      <c r="G88" s="59">
        <f>IF($C$5*'Tariffs Jan2017'!AK82/'Tariffs Jan2017'!AI82&lt;'Tariffs Jan2017'!K82,0,IF($C$5*'Tariffs Jan2017'!AK82/'Tariffs Jan2017'!AI82&lt;='Tariffs Jan2017'!L82,($C$5*'Tariffs Jan2017'!AK82/'Tariffs Jan2017'!AI82-'Tariffs Jan2017'!K82)*('Tariffs Jan2017'!Q82/100)*'Tariffs Jan2017'!AI82,('Tariffs Jan2017'!L82-'Tariffs Jan2017'!K82)*('Tariffs Jan2017'!Q82/100)*'Tariffs Jan2017'!AI82))</f>
        <v>0</v>
      </c>
      <c r="H88" s="59">
        <f>IF($C$5*'Tariffs Jan2017'!AK82/'Tariffs Jan2017'!AI82&lt;'Tariffs Jan2017'!L82,0,IF($C$5*'Tariffs Jan2017'!AK82/'Tariffs Jan2017'!AI82&lt;='Tariffs Jan2017'!M82,($C$5*'Tariffs Jan2017'!AK82/'Tariffs Jan2017'!AI82-'Tariffs Jan2017'!L82)*('Tariffs Jan2017'!R82/100)*'Tariffs Jan2017'!AI82,('Tariffs Jan2017'!M82-'Tariffs Jan2017'!L82)*('Tariffs Jan2017'!R82/100)*'Tariffs Jan2017'!AI82))</f>
        <v>0</v>
      </c>
      <c r="I88" s="59">
        <f>IF(($C$5*'Tariffs Jan2017'!AK82/'Tariffs Jan2017'!AI82&gt;'Tariffs Jan2017'!M82),($C$5*'Tariffs Jan2017'!AK82/'Tariffs Jan2017'!AI82-'Tariffs Jan2017'!M82)*'Tariffs Jan2017'!S82/100*'Tariffs Jan2017'!AI82,0)</f>
        <v>144.87879999999998</v>
      </c>
      <c r="J88" s="59">
        <f>IF($C$5*'Tariffs Jan2017'!AL82/'Tariffs Jan2017'!AJ82&gt;='Tariffs Jan2017'!J82,('Tariffs Jan2017'!J82*'Tariffs Jan2017'!U82/100)* 'Tariffs Jan2017'!AJ82,($C$5*'Tariffs Jan2017'!AL82/'Tariffs Jan2017'!AJ82*'Tariffs Jan2017'!U82/100)* 'Tariffs Jan2017'!AJ82)</f>
        <v>253.44</v>
      </c>
      <c r="K88" s="59">
        <f>IF($C$5*'Tariffs Jan2017'!AL82/'Tariffs Jan2017'!AJ82&lt;'Tariffs Jan2017'!J82,0,IF($C$5*'Tariffs Jan2017'!AL82/'Tariffs Jan2017'!AJ82&lt;='Tariffs Jan2017'!K82,($C$5*'Tariffs Jan2017'!AL82/'Tariffs Jan2017'!AJ82-'Tariffs Jan2017'!J82)*('Tariffs Jan2017'!V82/100)*'Tariffs Jan2017'!AJ82,('Tariffs Jan2017'!K82-'Tariffs Jan2017'!J82)*('Tariffs Jan2017'!V82/100)*'Tariffs Jan2017'!AJ82))</f>
        <v>0</v>
      </c>
      <c r="L88" s="59">
        <f>IF($C$5*'Tariffs Jan2017'!AL82/'Tariffs Jan2017'!AJ82&lt;'Tariffs Jan2017'!K82,0,IF($C$5*'Tariffs Jan2017'!AL82/'Tariffs Jan2017'!AJ82&lt;='Tariffs Jan2017'!L82,($C$5*'Tariffs Jan2017'!AL82/'Tariffs Jan2017'!AJ82-'Tariffs Jan2017'!K82)*('Tariffs Jan2017'!W82/100)*'Tariffs Jan2017'!AJ82,('Tariffs Jan2017'!L82-'Tariffs Jan2017'!K82)*('Tariffs Jan2017'!W82/100)*'Tariffs Jan2017'!AJ82))</f>
        <v>0</v>
      </c>
      <c r="M88" s="59">
        <f>IF($C$5*'Tariffs Jan2017'!AL82/'Tariffs Jan2017'!AJ82&lt;'Tariffs Jan2017'!L82,0,IF($C$5*'Tariffs Jan2017'!AL82/'Tariffs Jan2017'!AJ82&lt;='Tariffs Jan2017'!M82,($C$5*'Tariffs Jan2017'!AL82/'Tariffs Jan2017'!AJ82-'Tariffs Jan2017'!L82)*('Tariffs Jan2017'!X82/100)*'Tariffs Jan2017'!AJ82,('Tariffs Jan2017'!M82-'Tariffs Jan2017'!L82)*('Tariffs Jan2017'!X82/100)*'Tariffs Jan2017'!AJ82))</f>
        <v>0</v>
      </c>
      <c r="N88" s="59">
        <f>IF(($C$5*'Tariffs Jan2017'!AL82/'Tariffs Jan2017'!AJ82&gt;'Tariffs Jan2017'!M82),($C$5*'Tariffs Jan2017'!AL82/'Tariffs Jan2017'!AJ82-'Tariffs Jan2017'!M82)*'Tariffs Jan2017'!Y82/100*'Tariffs Jan2017'!AJ82,0)</f>
        <v>220.43760000000003</v>
      </c>
      <c r="O88" s="271">
        <f t="shared" si="5"/>
        <v>775.55639999999994</v>
      </c>
      <c r="P88" s="59">
        <f t="shared" si="6"/>
        <v>1016.4198999999999</v>
      </c>
      <c r="Q88" s="272">
        <f t="shared" si="7"/>
        <v>1118.0618899999999</v>
      </c>
      <c r="R88" s="40">
        <f>'Tariffs Jan2017'!AM82</f>
        <v>0</v>
      </c>
      <c r="S88" s="40">
        <f>'Tariffs Jan2017'!AN82</f>
        <v>0</v>
      </c>
      <c r="T88" s="40">
        <f>'Tariffs Jan2017'!AO82</f>
        <v>0</v>
      </c>
      <c r="U88" s="40">
        <f>'Tariffs Jan2017'!AP82</f>
        <v>0</v>
      </c>
      <c r="V88" s="273">
        <f t="shared" si="8"/>
        <v>1016.4198999999999</v>
      </c>
      <c r="W88" s="273">
        <f>V88-(O88*U88/100)</f>
        <v>1016.4198999999999</v>
      </c>
      <c r="X88" s="272">
        <f t="shared" si="9"/>
        <v>1118.0618899999999</v>
      </c>
      <c r="Y88" s="272">
        <f t="shared" si="9"/>
        <v>1118.0618899999999</v>
      </c>
      <c r="Z88" s="274">
        <f>'Tariffs Jan2017'!AW82</f>
        <v>0</v>
      </c>
      <c r="AA88" s="274" t="str">
        <f>'Tariffs Jan2017'!AX82</f>
        <v>n</v>
      </c>
      <c r="AB88" s="275" t="str">
        <f>'Tariffs Jan2017'!BD82</f>
        <v>Y</v>
      </c>
      <c r="AC88" s="305"/>
      <c r="AD88" s="305"/>
      <c r="AE88" s="305"/>
      <c r="AF88" s="305"/>
      <c r="AG88" s="305"/>
      <c r="AH88" s="305"/>
      <c r="AI88" s="305"/>
      <c r="AJ88" s="305"/>
      <c r="AK88" s="305"/>
      <c r="AL88" s="305"/>
      <c r="AM88" s="305"/>
      <c r="AN88" s="305"/>
    </row>
    <row r="89" spans="1:40" x14ac:dyDescent="0.15">
      <c r="A89" s="270" t="str">
        <f>'Tariffs Jan2017'!F83</f>
        <v>EnergyAustralia</v>
      </c>
      <c r="B89" s="40" t="str">
        <f>'Tariffs Jan2017'!D83</f>
        <v>Ausnet Central 1</v>
      </c>
      <c r="C89" s="40" t="str">
        <f>'Tariffs Jan2017'!G83</f>
        <v xml:space="preserve">Flexi Saver </v>
      </c>
      <c r="D89" s="59">
        <f>365*'Tariffs Jan2017'!H83/100</f>
        <v>314.26499999999999</v>
      </c>
      <c r="E89" s="59">
        <f>IF($C$5*'Tariffs Jan2017'!AK83/'Tariffs Jan2017'!AI83&gt;='Tariffs Jan2017'!J83,( 'Tariffs Jan2017'!J83*'Tariffs Jan2017'!O83/100)* 'Tariffs Jan2017'!AI83,($C$5*'Tariffs Jan2017'!AK83/'Tariffs Jan2017'!AI83*'Tariffs Jan2017'!O83/100)* 'Tariffs Jan2017'!AI83)</f>
        <v>319.2</v>
      </c>
      <c r="F89" s="59">
        <f>IF($C$5*'Tariffs Jan2017'!AK83/'Tariffs Jan2017'!AI83&lt;'Tariffs Jan2017'!J83,0,IF($C$5*'Tariffs Jan2017'!AK83/'Tariffs Jan2017'!AI83&lt;='Tariffs Jan2017'!K83,($C$5*'Tariffs Jan2017'!AK83/'Tariffs Jan2017'!AI83-'Tariffs Jan2017'!J83)*('Tariffs Jan2017'!P83/100)*'Tariffs Jan2017'!AI83,('Tariffs Jan2017'!K83-'Tariffs Jan2017'!J83)*('Tariffs Jan2017'!P83/100)*'Tariffs Jan2017'!AI83))</f>
        <v>27.305999999999997</v>
      </c>
      <c r="G89" s="59">
        <f>IF($C$5*'Tariffs Jan2017'!AK83/'Tariffs Jan2017'!AI83&lt;'Tariffs Jan2017'!K83,0,IF($C$5*'Tariffs Jan2017'!AK83/'Tariffs Jan2017'!AI83&lt;='Tariffs Jan2017'!L83,($C$5*'Tariffs Jan2017'!AK83/'Tariffs Jan2017'!AI83-'Tariffs Jan2017'!K83)*('Tariffs Jan2017'!Q83/100)*'Tariffs Jan2017'!AI83,('Tariffs Jan2017'!L83-'Tariffs Jan2017'!K83)*('Tariffs Jan2017'!Q83/100)*'Tariffs Jan2017'!AI83))</f>
        <v>0</v>
      </c>
      <c r="H89" s="59">
        <f>IF($C$5*'Tariffs Jan2017'!AK83/'Tariffs Jan2017'!AI83&lt;'Tariffs Jan2017'!L83,0,IF($C$5*'Tariffs Jan2017'!AK83/'Tariffs Jan2017'!AI83&lt;='Tariffs Jan2017'!M83,($C$5*'Tariffs Jan2017'!AK83/'Tariffs Jan2017'!AI83-'Tariffs Jan2017'!L83)*('Tariffs Jan2017'!R83/100)*'Tariffs Jan2017'!AI83,('Tariffs Jan2017'!M83-'Tariffs Jan2017'!L83)*('Tariffs Jan2017'!R83/100)*'Tariffs Jan2017'!AI83))</f>
        <v>0</v>
      </c>
      <c r="I89" s="59">
        <f>IF(($C$5*'Tariffs Jan2017'!AK83/'Tariffs Jan2017'!AI83&gt;'Tariffs Jan2017'!M83),($C$5*'Tariffs Jan2017'!AK83/'Tariffs Jan2017'!AI83-'Tariffs Jan2017'!M83)*'Tariffs Jan2017'!S83/100*'Tariffs Jan2017'!AI83,0)</f>
        <v>0</v>
      </c>
      <c r="J89" s="59">
        <f>IF($C$5*'Tariffs Jan2017'!AL83/'Tariffs Jan2017'!AJ83&gt;='Tariffs Jan2017'!J83,('Tariffs Jan2017'!J83*'Tariffs Jan2017'!U83/100)* 'Tariffs Jan2017'!AJ83,($C$5*'Tariffs Jan2017'!AL83/'Tariffs Jan2017'!AJ83*'Tariffs Jan2017'!U83/100)* 'Tariffs Jan2017'!AJ83)</f>
        <v>427.2</v>
      </c>
      <c r="K89" s="59">
        <f>IF($C$5*'Tariffs Jan2017'!AL83/'Tariffs Jan2017'!AJ83&lt;'Tariffs Jan2017'!J83,0,IF($C$5*'Tariffs Jan2017'!AL83/'Tariffs Jan2017'!AJ83&lt;='Tariffs Jan2017'!K83,($C$5*'Tariffs Jan2017'!AL83/'Tariffs Jan2017'!AJ83-'Tariffs Jan2017'!J83)*('Tariffs Jan2017'!V83/100)*'Tariffs Jan2017'!AJ83,('Tariffs Jan2017'!K83-'Tariffs Jan2017'!J83)*('Tariffs Jan2017'!V83/100)*'Tariffs Jan2017'!AJ83))</f>
        <v>40.7592</v>
      </c>
      <c r="L89" s="59">
        <f>IF($C$5*'Tariffs Jan2017'!AL83/'Tariffs Jan2017'!AJ83&lt;'Tariffs Jan2017'!K83,0,IF($C$5*'Tariffs Jan2017'!AL83/'Tariffs Jan2017'!AJ83&lt;='Tariffs Jan2017'!L83,($C$5*'Tariffs Jan2017'!AL83/'Tariffs Jan2017'!AJ83-'Tariffs Jan2017'!K83)*('Tariffs Jan2017'!W83/100)*'Tariffs Jan2017'!AJ83,('Tariffs Jan2017'!L83-'Tariffs Jan2017'!K83)*('Tariffs Jan2017'!W83/100)*'Tariffs Jan2017'!AJ83))</f>
        <v>0</v>
      </c>
      <c r="M89" s="59">
        <f>IF($C$5*'Tariffs Jan2017'!AL83/'Tariffs Jan2017'!AJ83&lt;'Tariffs Jan2017'!L83,0,IF($C$5*'Tariffs Jan2017'!AL83/'Tariffs Jan2017'!AJ83&lt;='Tariffs Jan2017'!M83,($C$5*'Tariffs Jan2017'!AL83/'Tariffs Jan2017'!AJ83-'Tariffs Jan2017'!L83)*('Tariffs Jan2017'!X83/100)*'Tariffs Jan2017'!AJ83,('Tariffs Jan2017'!M83-'Tariffs Jan2017'!L83)*('Tariffs Jan2017'!X83/100)*'Tariffs Jan2017'!AJ83))</f>
        <v>0</v>
      </c>
      <c r="N89" s="59">
        <f>IF(($C$5*'Tariffs Jan2017'!AL83/'Tariffs Jan2017'!AJ83&gt;'Tariffs Jan2017'!M83),($C$5*'Tariffs Jan2017'!AL83/'Tariffs Jan2017'!AJ83-'Tariffs Jan2017'!M83)*'Tariffs Jan2017'!Y83/100*'Tariffs Jan2017'!AJ83,0)</f>
        <v>0</v>
      </c>
      <c r="O89" s="271">
        <f t="shared" si="5"/>
        <v>814.46519999999987</v>
      </c>
      <c r="P89" s="59">
        <f t="shared" si="6"/>
        <v>1128.7302</v>
      </c>
      <c r="Q89" s="272">
        <f t="shared" si="7"/>
        <v>1241.60322</v>
      </c>
      <c r="R89" s="40">
        <f>'Tariffs Jan2017'!AM83</f>
        <v>0</v>
      </c>
      <c r="S89" s="40">
        <f>'Tariffs Jan2017'!AN83</f>
        <v>0</v>
      </c>
      <c r="T89" s="40">
        <f>'Tariffs Jan2017'!AO83</f>
        <v>0</v>
      </c>
      <c r="U89" s="40">
        <f>'Tariffs Jan2017'!AP83</f>
        <v>16</v>
      </c>
      <c r="V89" s="273">
        <f t="shared" si="8"/>
        <v>1128.7302</v>
      </c>
      <c r="W89" s="273">
        <f>V89-(O89*U89/100)</f>
        <v>998.41576799999996</v>
      </c>
      <c r="X89" s="272">
        <f t="shared" si="9"/>
        <v>1241.60322</v>
      </c>
      <c r="Y89" s="272">
        <f t="shared" si="9"/>
        <v>1098.2573448000001</v>
      </c>
      <c r="Z89" s="274">
        <f>'Tariffs Jan2017'!AW83</f>
        <v>0</v>
      </c>
      <c r="AA89" s="274" t="str">
        <f>'Tariffs Jan2017'!AX83</f>
        <v>n</v>
      </c>
      <c r="AB89" s="275" t="str">
        <f>'Tariffs Jan2017'!BD83</f>
        <v>N</v>
      </c>
      <c r="AC89" s="305"/>
      <c r="AD89" s="305"/>
      <c r="AE89" s="305"/>
      <c r="AF89" s="305"/>
      <c r="AG89" s="305"/>
      <c r="AH89" s="305"/>
      <c r="AI89" s="305"/>
      <c r="AJ89" s="305"/>
      <c r="AK89" s="305"/>
      <c r="AL89" s="305"/>
      <c r="AM89" s="305"/>
      <c r="AN89" s="305"/>
    </row>
    <row r="90" spans="1:40" x14ac:dyDescent="0.15">
      <c r="A90" s="270" t="str">
        <f>'Tariffs Jan2017'!F84</f>
        <v>Lumo Energy</v>
      </c>
      <c r="B90" s="40" t="str">
        <f>'Tariffs Jan2017'!D84</f>
        <v>Ausnet Central 1</v>
      </c>
      <c r="C90" s="40" t="str">
        <f>'Tariffs Jan2017'!G84</f>
        <v>Advantage</v>
      </c>
      <c r="D90" s="59">
        <f>365*'Tariffs Jan2017'!H84/100</f>
        <v>288.67850000000004</v>
      </c>
      <c r="E90" s="59">
        <f>IF($C$5*'Tariffs Jan2017'!AK84/'Tariffs Jan2017'!AI84&gt;='Tariffs Jan2017'!J84,( 'Tariffs Jan2017'!J84*'Tariffs Jan2017'!O84/100)* 'Tariffs Jan2017'!AI84,($C$5*'Tariffs Jan2017'!AK84/'Tariffs Jan2017'!AI84*'Tariffs Jan2017'!O84/100)* 'Tariffs Jan2017'!AI84)</f>
        <v>299.39999999999998</v>
      </c>
      <c r="F90" s="59">
        <f>IF($C$5*'Tariffs Jan2017'!AK84/'Tariffs Jan2017'!AI84&lt;'Tariffs Jan2017'!J84,0,IF($C$5*'Tariffs Jan2017'!AK84/'Tariffs Jan2017'!AI84&lt;='Tariffs Jan2017'!K84,($C$5*'Tariffs Jan2017'!AK84/'Tariffs Jan2017'!AI84-'Tariffs Jan2017'!J84)*('Tariffs Jan2017'!P84/100)*'Tariffs Jan2017'!AI84,('Tariffs Jan2017'!K84-'Tariffs Jan2017'!J84)*('Tariffs Jan2017'!P84/100)*'Tariffs Jan2017'!AI84))</f>
        <v>27.838799999999999</v>
      </c>
      <c r="G90" s="59">
        <f>IF($C$5*'Tariffs Jan2017'!AK84/'Tariffs Jan2017'!AI84&lt;'Tariffs Jan2017'!K84,0,IF($C$5*'Tariffs Jan2017'!AK84/'Tariffs Jan2017'!AI84&lt;='Tariffs Jan2017'!L84,($C$5*'Tariffs Jan2017'!AK84/'Tariffs Jan2017'!AI84-'Tariffs Jan2017'!K84)*('Tariffs Jan2017'!Q84/100)*'Tariffs Jan2017'!AI84,('Tariffs Jan2017'!L84-'Tariffs Jan2017'!K84)*('Tariffs Jan2017'!Q84/100)*'Tariffs Jan2017'!AI84))</f>
        <v>0</v>
      </c>
      <c r="H90" s="59">
        <f>IF($C$5*'Tariffs Jan2017'!AK84/'Tariffs Jan2017'!AI84&lt;'Tariffs Jan2017'!L84,0,IF($C$5*'Tariffs Jan2017'!AK84/'Tariffs Jan2017'!AI84&lt;='Tariffs Jan2017'!M84,($C$5*'Tariffs Jan2017'!AK84/'Tariffs Jan2017'!AI84-'Tariffs Jan2017'!L84)*('Tariffs Jan2017'!R84/100)*'Tariffs Jan2017'!AI84,('Tariffs Jan2017'!M84-'Tariffs Jan2017'!L84)*('Tariffs Jan2017'!R84/100)*'Tariffs Jan2017'!AI84))</f>
        <v>0</v>
      </c>
      <c r="I90" s="59">
        <f>IF(($C$5*'Tariffs Jan2017'!AK84/'Tariffs Jan2017'!AI84&gt;'Tariffs Jan2017'!M84),($C$5*'Tariffs Jan2017'!AK84/'Tariffs Jan2017'!AI84-'Tariffs Jan2017'!M84)*'Tariffs Jan2017'!S84/100*'Tariffs Jan2017'!AI84,0)</f>
        <v>0</v>
      </c>
      <c r="J90" s="59">
        <f>IF($C$5*'Tariffs Jan2017'!AL84/'Tariffs Jan2017'!AJ84&gt;='Tariffs Jan2017'!J84,('Tariffs Jan2017'!J84*'Tariffs Jan2017'!U84/100)* 'Tariffs Jan2017'!AJ84,($C$5*'Tariffs Jan2017'!AL84/'Tariffs Jan2017'!AJ84*'Tariffs Jan2017'!U84/100)* 'Tariffs Jan2017'!AJ84)</f>
        <v>392.88</v>
      </c>
      <c r="K90" s="59">
        <f>IF($C$5*'Tariffs Jan2017'!AL84/'Tariffs Jan2017'!AJ84&lt;'Tariffs Jan2017'!J84,0,IF($C$5*'Tariffs Jan2017'!AL84/'Tariffs Jan2017'!AJ84&lt;='Tariffs Jan2017'!K84,($C$5*'Tariffs Jan2017'!AL84/'Tariffs Jan2017'!AJ84-'Tariffs Jan2017'!J84)*('Tariffs Jan2017'!V84/100)*'Tariffs Jan2017'!AJ84,('Tariffs Jan2017'!K84-'Tariffs Jan2017'!J84)*('Tariffs Jan2017'!V84/100)*'Tariffs Jan2017'!AJ84))</f>
        <v>41.984639999999999</v>
      </c>
      <c r="L90" s="59">
        <f>IF($C$5*'Tariffs Jan2017'!AL84/'Tariffs Jan2017'!AJ84&lt;'Tariffs Jan2017'!K84,0,IF($C$5*'Tariffs Jan2017'!AL84/'Tariffs Jan2017'!AJ84&lt;='Tariffs Jan2017'!L84,($C$5*'Tariffs Jan2017'!AL84/'Tariffs Jan2017'!AJ84-'Tariffs Jan2017'!K84)*('Tariffs Jan2017'!W84/100)*'Tariffs Jan2017'!AJ84,('Tariffs Jan2017'!L84-'Tariffs Jan2017'!K84)*('Tariffs Jan2017'!W84/100)*'Tariffs Jan2017'!AJ84))</f>
        <v>0</v>
      </c>
      <c r="M90" s="59">
        <f>IF($C$5*'Tariffs Jan2017'!AL84/'Tariffs Jan2017'!AJ84&lt;'Tariffs Jan2017'!L84,0,IF($C$5*'Tariffs Jan2017'!AL84/'Tariffs Jan2017'!AJ84&lt;='Tariffs Jan2017'!M84,($C$5*'Tariffs Jan2017'!AL84/'Tariffs Jan2017'!AJ84-'Tariffs Jan2017'!L84)*('Tariffs Jan2017'!X84/100)*'Tariffs Jan2017'!AJ84,('Tariffs Jan2017'!M84-'Tariffs Jan2017'!L84)*('Tariffs Jan2017'!X84/100)*'Tariffs Jan2017'!AJ84))</f>
        <v>0</v>
      </c>
      <c r="N90" s="59">
        <f>IF(($C$5*'Tariffs Jan2017'!AL84/'Tariffs Jan2017'!AJ84&gt;'Tariffs Jan2017'!M84),($C$5*'Tariffs Jan2017'!AL84/'Tariffs Jan2017'!AJ84-'Tariffs Jan2017'!M84)*'Tariffs Jan2017'!Y84/100*'Tariffs Jan2017'!AJ84,0)</f>
        <v>0</v>
      </c>
      <c r="O90" s="271">
        <f t="shared" si="5"/>
        <v>762.10343999999998</v>
      </c>
      <c r="P90" s="59">
        <f t="shared" si="6"/>
        <v>1050.7819400000001</v>
      </c>
      <c r="Q90" s="272">
        <f t="shared" si="7"/>
        <v>1155.8601340000002</v>
      </c>
      <c r="R90" s="40">
        <f>'Tariffs Jan2017'!AM84</f>
        <v>0</v>
      </c>
      <c r="S90" s="40">
        <f>'Tariffs Jan2017'!AN84</f>
        <v>0</v>
      </c>
      <c r="T90" s="40">
        <f>'Tariffs Jan2017'!AO84</f>
        <v>15</v>
      </c>
      <c r="U90" s="40">
        <f>'Tariffs Jan2017'!AP84</f>
        <v>0</v>
      </c>
      <c r="V90" s="273">
        <f t="shared" si="8"/>
        <v>1050.7819400000001</v>
      </c>
      <c r="W90" s="273">
        <f>V90-(P90*T90/100)</f>
        <v>893.16464900000005</v>
      </c>
      <c r="X90" s="272">
        <f t="shared" si="9"/>
        <v>1155.8601340000002</v>
      </c>
      <c r="Y90" s="272">
        <f t="shared" si="9"/>
        <v>982.48111390000008</v>
      </c>
      <c r="Z90" s="274">
        <f>'Tariffs Jan2017'!AW84</f>
        <v>24</v>
      </c>
      <c r="AA90" s="274" t="str">
        <f>'Tariffs Jan2017'!AX84</f>
        <v>n</v>
      </c>
      <c r="AB90" s="275" t="str">
        <f>'Tariffs Jan2017'!BD84</f>
        <v>Y</v>
      </c>
      <c r="AC90" s="305"/>
      <c r="AD90" s="305"/>
      <c r="AE90" s="305"/>
      <c r="AF90" s="305"/>
      <c r="AG90" s="305"/>
      <c r="AH90" s="305"/>
      <c r="AI90" s="305"/>
      <c r="AJ90" s="305"/>
      <c r="AK90" s="305"/>
      <c r="AL90" s="305"/>
      <c r="AM90" s="305"/>
      <c r="AN90" s="305"/>
    </row>
    <row r="91" spans="1:40" x14ac:dyDescent="0.15">
      <c r="A91" s="270" t="str">
        <f>'Tariffs Jan2017'!F85</f>
        <v>Momentum Energy</v>
      </c>
      <c r="B91" s="40" t="str">
        <f>'Tariffs Jan2017'!D85</f>
        <v>Ausnet Central 1</v>
      </c>
      <c r="C91" s="40" t="str">
        <f>'Tariffs Jan2017'!G85</f>
        <v>Market offer</v>
      </c>
      <c r="D91" s="59">
        <f>365*'Tariffs Jan2017'!H85/100</f>
        <v>242.06799999999998</v>
      </c>
      <c r="E91" s="59">
        <f>IF($C$5*'Tariffs Jan2017'!AK85/'Tariffs Jan2017'!AI85&gt;='Tariffs Jan2017'!J85,( 'Tariffs Jan2017'!J85*'Tariffs Jan2017'!O85/100)* 'Tariffs Jan2017'!AI85,($C$5*'Tariffs Jan2017'!AK85/'Tariffs Jan2017'!AI85*'Tariffs Jan2017'!O85/100)* 'Tariffs Jan2017'!AI85)</f>
        <v>260.03999999999996</v>
      </c>
      <c r="F91" s="59">
        <f>IF($C$5*'Tariffs Jan2017'!AK85/'Tariffs Jan2017'!AI85&lt;'Tariffs Jan2017'!J85,0,IF($C$5*'Tariffs Jan2017'!AK85/'Tariffs Jan2017'!AI85&lt;='Tariffs Jan2017'!K85,($C$5*'Tariffs Jan2017'!AK85/'Tariffs Jan2017'!AI85-'Tariffs Jan2017'!J85)*('Tariffs Jan2017'!P85/100)*'Tariffs Jan2017'!AI85,('Tariffs Jan2017'!K85-'Tariffs Jan2017'!J85)*('Tariffs Jan2017'!P85/100)*'Tariffs Jan2017'!AI85))</f>
        <v>23.869440000000001</v>
      </c>
      <c r="G91" s="59">
        <f>IF($C$5*'Tariffs Jan2017'!AK85/'Tariffs Jan2017'!AI85&lt;'Tariffs Jan2017'!K85,0,IF($C$5*'Tariffs Jan2017'!AK85/'Tariffs Jan2017'!AI85&lt;='Tariffs Jan2017'!L85,($C$5*'Tariffs Jan2017'!AK85/'Tariffs Jan2017'!AI85-'Tariffs Jan2017'!K85)*('Tariffs Jan2017'!Q85/100)*'Tariffs Jan2017'!AI85,('Tariffs Jan2017'!L85-'Tariffs Jan2017'!K85)*('Tariffs Jan2017'!Q85/100)*'Tariffs Jan2017'!AI85))</f>
        <v>0</v>
      </c>
      <c r="H91" s="59">
        <f>IF($C$5*'Tariffs Jan2017'!AK85/'Tariffs Jan2017'!AI85&lt;'Tariffs Jan2017'!L85,0,IF($C$5*'Tariffs Jan2017'!AK85/'Tariffs Jan2017'!AI85&lt;='Tariffs Jan2017'!M85,($C$5*'Tariffs Jan2017'!AK85/'Tariffs Jan2017'!AI85-'Tariffs Jan2017'!L85)*('Tariffs Jan2017'!R85/100)*'Tariffs Jan2017'!AI85,('Tariffs Jan2017'!M85-'Tariffs Jan2017'!L85)*('Tariffs Jan2017'!R85/100)*'Tariffs Jan2017'!AI85))</f>
        <v>0</v>
      </c>
      <c r="I91" s="59">
        <f>IF(($C$5*'Tariffs Jan2017'!AK85/'Tariffs Jan2017'!AI85&gt;'Tariffs Jan2017'!M85),($C$5*'Tariffs Jan2017'!AK85/'Tariffs Jan2017'!AI85-'Tariffs Jan2017'!M85)*'Tariffs Jan2017'!S85/100*'Tariffs Jan2017'!AI85,0)</f>
        <v>0</v>
      </c>
      <c r="J91" s="59">
        <f>IF($C$5*'Tariffs Jan2017'!AL85/'Tariffs Jan2017'!AJ85&gt;='Tariffs Jan2017'!J85,('Tariffs Jan2017'!J85*'Tariffs Jan2017'!U85/100)* 'Tariffs Jan2017'!AJ85,($C$5*'Tariffs Jan2017'!AL85/'Tariffs Jan2017'!AJ85*'Tariffs Jan2017'!U85/100)* 'Tariffs Jan2017'!AJ85)</f>
        <v>345.84</v>
      </c>
      <c r="K91" s="59">
        <f>IF($C$5*'Tariffs Jan2017'!AL85/'Tariffs Jan2017'!AJ85&lt;'Tariffs Jan2017'!J85,0,IF($C$5*'Tariffs Jan2017'!AL85/'Tariffs Jan2017'!AJ85&lt;='Tariffs Jan2017'!K85,($C$5*'Tariffs Jan2017'!AL85/'Tariffs Jan2017'!AJ85-'Tariffs Jan2017'!J85)*('Tariffs Jan2017'!V85/100)*'Tariffs Jan2017'!AJ85,('Tariffs Jan2017'!K85-'Tariffs Jan2017'!J85)*('Tariffs Jan2017'!V85/100)*'Tariffs Jan2017'!AJ85))</f>
        <v>37.269359999999999</v>
      </c>
      <c r="L91" s="59">
        <f>IF($C$5*'Tariffs Jan2017'!AL85/'Tariffs Jan2017'!AJ85&lt;'Tariffs Jan2017'!K85,0,IF($C$5*'Tariffs Jan2017'!AL85/'Tariffs Jan2017'!AJ85&lt;='Tariffs Jan2017'!L85,($C$5*'Tariffs Jan2017'!AL85/'Tariffs Jan2017'!AJ85-'Tariffs Jan2017'!K85)*('Tariffs Jan2017'!W85/100)*'Tariffs Jan2017'!AJ85,('Tariffs Jan2017'!L85-'Tariffs Jan2017'!K85)*('Tariffs Jan2017'!W85/100)*'Tariffs Jan2017'!AJ85))</f>
        <v>0</v>
      </c>
      <c r="M91" s="59">
        <f>IF($C$5*'Tariffs Jan2017'!AL85/'Tariffs Jan2017'!AJ85&lt;'Tariffs Jan2017'!L85,0,IF($C$5*'Tariffs Jan2017'!AL85/'Tariffs Jan2017'!AJ85&lt;='Tariffs Jan2017'!M85,($C$5*'Tariffs Jan2017'!AL85/'Tariffs Jan2017'!AJ85-'Tariffs Jan2017'!L85)*('Tariffs Jan2017'!X85/100)*'Tariffs Jan2017'!AJ85,('Tariffs Jan2017'!M85-'Tariffs Jan2017'!L85)*('Tariffs Jan2017'!X85/100)*'Tariffs Jan2017'!AJ85))</f>
        <v>0</v>
      </c>
      <c r="N91" s="59">
        <f>IF(($C$5*'Tariffs Jan2017'!AL85/'Tariffs Jan2017'!AJ85&gt;'Tariffs Jan2017'!M85),($C$5*'Tariffs Jan2017'!AL85/'Tariffs Jan2017'!AJ85-'Tariffs Jan2017'!M85)*'Tariffs Jan2017'!Y85/100*'Tariffs Jan2017'!AJ85,0)</f>
        <v>0</v>
      </c>
      <c r="O91" s="271">
        <f t="shared" si="5"/>
        <v>667.01879999999994</v>
      </c>
      <c r="P91" s="59">
        <f t="shared" si="6"/>
        <v>909.08679999999993</v>
      </c>
      <c r="Q91" s="272">
        <f t="shared" si="7"/>
        <v>999.99548000000004</v>
      </c>
      <c r="R91" s="40">
        <f>'Tariffs Jan2017'!AM85</f>
        <v>0</v>
      </c>
      <c r="S91" s="40">
        <f>'Tariffs Jan2017'!AN85</f>
        <v>0</v>
      </c>
      <c r="T91" s="40">
        <f>'Tariffs Jan2017'!AO85</f>
        <v>0</v>
      </c>
      <c r="U91" s="40">
        <f>'Tariffs Jan2017'!AP85</f>
        <v>0</v>
      </c>
      <c r="V91" s="273">
        <f t="shared" si="8"/>
        <v>909.08679999999993</v>
      </c>
      <c r="W91" s="273">
        <f>V91</f>
        <v>909.08679999999993</v>
      </c>
      <c r="X91" s="272">
        <f t="shared" si="9"/>
        <v>999.99548000000004</v>
      </c>
      <c r="Y91" s="272">
        <f t="shared" si="9"/>
        <v>999.99548000000004</v>
      </c>
      <c r="Z91" s="274">
        <f>'Tariffs Jan2017'!AW85</f>
        <v>0</v>
      </c>
      <c r="AA91" s="274" t="str">
        <f>'Tariffs Jan2017'!AX85</f>
        <v>n</v>
      </c>
      <c r="AB91" s="275" t="str">
        <f>'Tariffs Jan2017'!BD85</f>
        <v>Y</v>
      </c>
      <c r="AC91" s="305"/>
      <c r="AD91" s="305"/>
      <c r="AE91" s="305"/>
      <c r="AF91" s="305"/>
      <c r="AG91" s="305"/>
      <c r="AH91" s="305"/>
      <c r="AI91" s="305"/>
      <c r="AJ91" s="305"/>
      <c r="AK91" s="305"/>
      <c r="AL91" s="305"/>
      <c r="AM91" s="305"/>
      <c r="AN91" s="305"/>
    </row>
    <row r="92" spans="1:40" x14ac:dyDescent="0.15">
      <c r="A92" s="270" t="str">
        <f>'Tariffs Jan2017'!F86</f>
        <v>Origin Energy</v>
      </c>
      <c r="B92" s="40" t="str">
        <f>'Tariffs Jan2017'!D86</f>
        <v>Ausnet Central 1</v>
      </c>
      <c r="C92" s="40" t="str">
        <f>'Tariffs Jan2017'!G86</f>
        <v>Saver</v>
      </c>
      <c r="D92" s="59">
        <f>365*'Tariffs Jan2017'!H86/100</f>
        <v>297.767</v>
      </c>
      <c r="E92" s="59">
        <f>IF($C$5*'Tariffs Jan2017'!AK86/'Tariffs Jan2017'!AI86&gt;='Tariffs Jan2017'!J86,( 'Tariffs Jan2017'!J86*'Tariffs Jan2017'!O86/100)* 'Tariffs Jan2017'!AI86,($C$5*'Tariffs Jan2017'!AK86/'Tariffs Jan2017'!AI86*'Tariffs Jan2017'!O86/100)* 'Tariffs Jan2017'!AI86)</f>
        <v>168.25599999999997</v>
      </c>
      <c r="F92" s="59">
        <f>IF($C$5*'Tariffs Jan2017'!AK86/'Tariffs Jan2017'!AI86&lt;'Tariffs Jan2017'!J86,0,IF($C$5*'Tariffs Jan2017'!AK86/'Tariffs Jan2017'!AI86&lt;='Tariffs Jan2017'!K86,($C$5*'Tariffs Jan2017'!AK86/'Tariffs Jan2017'!AI86-'Tariffs Jan2017'!J86)*('Tariffs Jan2017'!P86/100)*'Tariffs Jan2017'!AI86,('Tariffs Jan2017'!K86-'Tariffs Jan2017'!J86)*('Tariffs Jan2017'!P86/100)*'Tariffs Jan2017'!AI86))</f>
        <v>0</v>
      </c>
      <c r="G92" s="59">
        <f>IF($C$5*'Tariffs Jan2017'!AK86/'Tariffs Jan2017'!AI86&lt;'Tariffs Jan2017'!K86,0,IF($C$5*'Tariffs Jan2017'!AK86/'Tariffs Jan2017'!AI86&lt;='Tariffs Jan2017'!L86,($C$5*'Tariffs Jan2017'!AK86/'Tariffs Jan2017'!AI86-'Tariffs Jan2017'!K86)*('Tariffs Jan2017'!Q86/100)*'Tariffs Jan2017'!AI86,('Tariffs Jan2017'!L86-'Tariffs Jan2017'!K86)*('Tariffs Jan2017'!Q86/100)*'Tariffs Jan2017'!AI86))</f>
        <v>0</v>
      </c>
      <c r="H92" s="59">
        <f>IF($C$5*'Tariffs Jan2017'!AK86/'Tariffs Jan2017'!AI86&lt;'Tariffs Jan2017'!L86,0,IF($C$5*'Tariffs Jan2017'!AK86/'Tariffs Jan2017'!AI86&lt;='Tariffs Jan2017'!M86,($C$5*'Tariffs Jan2017'!AK86/'Tariffs Jan2017'!AI86-'Tariffs Jan2017'!L86)*('Tariffs Jan2017'!R86/100)*'Tariffs Jan2017'!AI86,('Tariffs Jan2017'!M86-'Tariffs Jan2017'!L86)*('Tariffs Jan2017'!R86/100)*'Tariffs Jan2017'!AI86))</f>
        <v>0</v>
      </c>
      <c r="I92" s="59">
        <f>IF(($C$5*'Tariffs Jan2017'!AK86/'Tariffs Jan2017'!AI86&gt;'Tariffs Jan2017'!M86),($C$5*'Tariffs Jan2017'!AK86/'Tariffs Jan2017'!AI86-'Tariffs Jan2017'!M86)*'Tariffs Jan2017'!S86/100*'Tariffs Jan2017'!AI86,0)</f>
        <v>144.67084</v>
      </c>
      <c r="J92" s="59">
        <f>IF($C$5*'Tariffs Jan2017'!AL86/'Tariffs Jan2017'!AJ86&gt;='Tariffs Jan2017'!J86,('Tariffs Jan2017'!J86*'Tariffs Jan2017'!U86/100)* 'Tariffs Jan2017'!AJ86,($C$5*'Tariffs Jan2017'!AL86/'Tariffs Jan2017'!AJ86*'Tariffs Jan2017'!U86/100)* 'Tariffs Jan2017'!AJ86)</f>
        <v>235.77600000000001</v>
      </c>
      <c r="K92" s="59">
        <f>IF($C$5*'Tariffs Jan2017'!AL86/'Tariffs Jan2017'!AJ86&lt;'Tariffs Jan2017'!J86,0,IF($C$5*'Tariffs Jan2017'!AL86/'Tariffs Jan2017'!AJ86&lt;='Tariffs Jan2017'!K86,($C$5*'Tariffs Jan2017'!AL86/'Tariffs Jan2017'!AJ86-'Tariffs Jan2017'!J86)*('Tariffs Jan2017'!V86/100)*'Tariffs Jan2017'!AJ86,('Tariffs Jan2017'!K86-'Tariffs Jan2017'!J86)*('Tariffs Jan2017'!V86/100)*'Tariffs Jan2017'!AJ86))</f>
        <v>0</v>
      </c>
      <c r="L92" s="59">
        <f>IF($C$5*'Tariffs Jan2017'!AL86/'Tariffs Jan2017'!AJ86&lt;'Tariffs Jan2017'!K86,0,IF($C$5*'Tariffs Jan2017'!AL86/'Tariffs Jan2017'!AJ86&lt;='Tariffs Jan2017'!L86,($C$5*'Tariffs Jan2017'!AL86/'Tariffs Jan2017'!AJ86-'Tariffs Jan2017'!K86)*('Tariffs Jan2017'!W86/100)*'Tariffs Jan2017'!AJ86,('Tariffs Jan2017'!L86-'Tariffs Jan2017'!K86)*('Tariffs Jan2017'!W86/100)*'Tariffs Jan2017'!AJ86))</f>
        <v>0</v>
      </c>
      <c r="M92" s="59">
        <f>IF($C$5*'Tariffs Jan2017'!AL86/'Tariffs Jan2017'!AJ86&lt;'Tariffs Jan2017'!L86,0,IF($C$5*'Tariffs Jan2017'!AL86/'Tariffs Jan2017'!AJ86&lt;='Tariffs Jan2017'!M86,($C$5*'Tariffs Jan2017'!AL86/'Tariffs Jan2017'!AJ86-'Tariffs Jan2017'!L86)*('Tariffs Jan2017'!X86/100)*'Tariffs Jan2017'!AJ86,('Tariffs Jan2017'!M86-'Tariffs Jan2017'!L86)*('Tariffs Jan2017'!X86/100)*'Tariffs Jan2017'!AJ86))</f>
        <v>0</v>
      </c>
      <c r="N92" s="59">
        <f>IF(($C$5*'Tariffs Jan2017'!AL86/'Tariffs Jan2017'!AJ86&gt;'Tariffs Jan2017'!M86),($C$5*'Tariffs Jan2017'!AL86/'Tariffs Jan2017'!AJ86-'Tariffs Jan2017'!M86)*'Tariffs Jan2017'!Y86/100*'Tariffs Jan2017'!AJ86,0)</f>
        <v>203.10760000000002</v>
      </c>
      <c r="O92" s="271">
        <f t="shared" si="5"/>
        <v>751.81043999999997</v>
      </c>
      <c r="P92" s="59">
        <f t="shared" si="6"/>
        <v>1049.57744</v>
      </c>
      <c r="Q92" s="272">
        <f t="shared" si="7"/>
        <v>1154.5351840000001</v>
      </c>
      <c r="R92" s="40">
        <f>'Tariffs Jan2017'!AM86</f>
        <v>0</v>
      </c>
      <c r="S92" s="40">
        <f>'Tariffs Jan2017'!AN86</f>
        <v>0</v>
      </c>
      <c r="T92" s="40">
        <f>'Tariffs Jan2017'!AO86</f>
        <v>0</v>
      </c>
      <c r="U92" s="40">
        <f>'Tariffs Jan2017'!AP86</f>
        <v>13</v>
      </c>
      <c r="V92" s="273">
        <f t="shared" si="8"/>
        <v>1049.57744</v>
      </c>
      <c r="W92" s="273">
        <f>V92-(O92*U92/100)</f>
        <v>951.84208280000007</v>
      </c>
      <c r="X92" s="272">
        <f t="shared" si="9"/>
        <v>1154.5351840000001</v>
      </c>
      <c r="Y92" s="272">
        <f t="shared" si="9"/>
        <v>1047.0262910800002</v>
      </c>
      <c r="Z92" s="274">
        <f>'Tariffs Jan2017'!AW86</f>
        <v>0</v>
      </c>
      <c r="AA92" s="274" t="str">
        <f>'Tariffs Jan2017'!AX86</f>
        <v>n</v>
      </c>
      <c r="AB92" s="275" t="str">
        <f>'Tariffs Jan2017'!BD86</f>
        <v>N</v>
      </c>
      <c r="AC92" s="305"/>
      <c r="AD92" s="305"/>
      <c r="AE92" s="305"/>
      <c r="AF92" s="305"/>
      <c r="AG92" s="305"/>
      <c r="AH92" s="305"/>
      <c r="AI92" s="305"/>
      <c r="AJ92" s="305"/>
      <c r="AK92" s="305"/>
      <c r="AL92" s="305"/>
      <c r="AM92" s="305"/>
      <c r="AN92" s="305"/>
    </row>
    <row r="93" spans="1:40" x14ac:dyDescent="0.15">
      <c r="A93" s="270" t="str">
        <f>'Tariffs Jan2017'!F87</f>
        <v>Red Energy</v>
      </c>
      <c r="B93" s="40" t="str">
        <f>'Tariffs Jan2017'!D87</f>
        <v>Ausnet Central 1</v>
      </c>
      <c r="C93" s="40" t="str">
        <f>'Tariffs Jan2017'!G87</f>
        <v>Living Energy Saver</v>
      </c>
      <c r="D93" s="59">
        <f>365*'Tariffs Jan2017'!H87/100</f>
        <v>306.60000000000002</v>
      </c>
      <c r="E93" s="59">
        <f>IF($C$5*'Tariffs Jan2017'!AK87/'Tariffs Jan2017'!AI87&gt;='Tariffs Jan2017'!J87,( 'Tariffs Jan2017'!J87*'Tariffs Jan2017'!O87/100)* 'Tariffs Jan2017'!AI87,($C$5*'Tariffs Jan2017'!AK87/'Tariffs Jan2017'!AI87*'Tariffs Jan2017'!O87/100)* 'Tariffs Jan2017'!AI87)</f>
        <v>168.83199999999999</v>
      </c>
      <c r="F93" s="59">
        <f>IF($C$5*'Tariffs Jan2017'!AK87/'Tariffs Jan2017'!AI87&lt;'Tariffs Jan2017'!J87,0,IF($C$5*'Tariffs Jan2017'!AK87/'Tariffs Jan2017'!AI87&lt;='Tariffs Jan2017'!K87,($C$5*'Tariffs Jan2017'!AK87/'Tariffs Jan2017'!AI87-'Tariffs Jan2017'!J87)*('Tariffs Jan2017'!P87/100)*'Tariffs Jan2017'!AI87,('Tariffs Jan2017'!K87-'Tariffs Jan2017'!J87)*('Tariffs Jan2017'!P87/100)*'Tariffs Jan2017'!AI87))</f>
        <v>0</v>
      </c>
      <c r="G93" s="59">
        <f>IF($C$5*'Tariffs Jan2017'!AK87/'Tariffs Jan2017'!AI87&lt;'Tariffs Jan2017'!K87,0,IF($C$5*'Tariffs Jan2017'!AK87/'Tariffs Jan2017'!AI87&lt;='Tariffs Jan2017'!L87,($C$5*'Tariffs Jan2017'!AK87/'Tariffs Jan2017'!AI87-'Tariffs Jan2017'!K87)*('Tariffs Jan2017'!Q87/100)*'Tariffs Jan2017'!AI87,('Tariffs Jan2017'!L87-'Tariffs Jan2017'!K87)*('Tariffs Jan2017'!Q87/100)*'Tariffs Jan2017'!AI87))</f>
        <v>0</v>
      </c>
      <c r="H93" s="59">
        <f>IF($C$5*'Tariffs Jan2017'!AK87/'Tariffs Jan2017'!AI87&lt;'Tariffs Jan2017'!L87,0,IF($C$5*'Tariffs Jan2017'!AK87/'Tariffs Jan2017'!AI87&lt;='Tariffs Jan2017'!M87,($C$5*'Tariffs Jan2017'!AK87/'Tariffs Jan2017'!AI87-'Tariffs Jan2017'!L87)*('Tariffs Jan2017'!R87/100)*'Tariffs Jan2017'!AI87,('Tariffs Jan2017'!M87-'Tariffs Jan2017'!L87)*('Tariffs Jan2017'!R87/100)*'Tariffs Jan2017'!AI87))</f>
        <v>0</v>
      </c>
      <c r="I93" s="59">
        <f>IF(($C$5*'Tariffs Jan2017'!AK87/'Tariffs Jan2017'!AI87&gt;'Tariffs Jan2017'!M87),($C$5*'Tariffs Jan2017'!AK87/'Tariffs Jan2017'!AI87-'Tariffs Jan2017'!M87)*'Tariffs Jan2017'!S87/100*'Tariffs Jan2017'!AI87,0)</f>
        <v>120.75543999999999</v>
      </c>
      <c r="J93" s="59">
        <f>IF($C$5*'Tariffs Jan2017'!AL87/'Tariffs Jan2017'!AJ87&gt;='Tariffs Jan2017'!J87,('Tariffs Jan2017'!J87*'Tariffs Jan2017'!U87/100)* 'Tariffs Jan2017'!AJ87,($C$5*'Tariffs Jan2017'!AL87/'Tariffs Jan2017'!AJ87*'Tariffs Jan2017'!U87/100)* 'Tariffs Jan2017'!AJ87)</f>
        <v>222.59200000000001</v>
      </c>
      <c r="K93" s="59">
        <f>IF($C$5*'Tariffs Jan2017'!AL87/'Tariffs Jan2017'!AJ87&lt;'Tariffs Jan2017'!J87,0,IF($C$5*'Tariffs Jan2017'!AL87/'Tariffs Jan2017'!AJ87&lt;='Tariffs Jan2017'!K87,($C$5*'Tariffs Jan2017'!AL87/'Tariffs Jan2017'!AJ87-'Tariffs Jan2017'!J87)*('Tariffs Jan2017'!V87/100)*'Tariffs Jan2017'!AJ87,('Tariffs Jan2017'!K87-'Tariffs Jan2017'!J87)*('Tariffs Jan2017'!V87/100)*'Tariffs Jan2017'!AJ87))</f>
        <v>0</v>
      </c>
      <c r="L93" s="59">
        <f>IF($C$5*'Tariffs Jan2017'!AL87/'Tariffs Jan2017'!AJ87&lt;'Tariffs Jan2017'!K87,0,IF($C$5*'Tariffs Jan2017'!AL87/'Tariffs Jan2017'!AJ87&lt;='Tariffs Jan2017'!L87,($C$5*'Tariffs Jan2017'!AL87/'Tariffs Jan2017'!AJ87-'Tariffs Jan2017'!K87)*('Tariffs Jan2017'!W87/100)*'Tariffs Jan2017'!AJ87,('Tariffs Jan2017'!L87-'Tariffs Jan2017'!K87)*('Tariffs Jan2017'!W87/100)*'Tariffs Jan2017'!AJ87))</f>
        <v>0</v>
      </c>
      <c r="M93" s="59">
        <f>IF($C$5*'Tariffs Jan2017'!AL87/'Tariffs Jan2017'!AJ87&lt;'Tariffs Jan2017'!L87,0,IF($C$5*'Tariffs Jan2017'!AL87/'Tariffs Jan2017'!AJ87&lt;='Tariffs Jan2017'!M87,($C$5*'Tariffs Jan2017'!AL87/'Tariffs Jan2017'!AJ87-'Tariffs Jan2017'!L87)*('Tariffs Jan2017'!X87/100)*'Tariffs Jan2017'!AJ87,('Tariffs Jan2017'!M87-'Tariffs Jan2017'!L87)*('Tariffs Jan2017'!X87/100)*'Tariffs Jan2017'!AJ87))</f>
        <v>0</v>
      </c>
      <c r="N93" s="59">
        <f>IF(($C$5*'Tariffs Jan2017'!AL87/'Tariffs Jan2017'!AJ87&gt;'Tariffs Jan2017'!M87),($C$5*'Tariffs Jan2017'!AL87/'Tariffs Jan2017'!AJ87-'Tariffs Jan2017'!M87)*'Tariffs Jan2017'!Y87/100*'Tariffs Jan2017'!AJ87,0)</f>
        <v>218.91256000000001</v>
      </c>
      <c r="O93" s="271">
        <f t="shared" si="5"/>
        <v>731.09199999999998</v>
      </c>
      <c r="P93" s="59">
        <f t="shared" si="6"/>
        <v>1037.692</v>
      </c>
      <c r="Q93" s="272">
        <f t="shared" si="7"/>
        <v>1141.4612000000002</v>
      </c>
      <c r="R93" s="40">
        <f>'Tariffs Jan2017'!AM87</f>
        <v>0</v>
      </c>
      <c r="S93" s="40">
        <f>'Tariffs Jan2017'!AN87</f>
        <v>0</v>
      </c>
      <c r="T93" s="40">
        <f>'Tariffs Jan2017'!AO87</f>
        <v>10</v>
      </c>
      <c r="U93" s="40">
        <f>'Tariffs Jan2017'!AP87</f>
        <v>0</v>
      </c>
      <c r="V93" s="273">
        <f t="shared" si="8"/>
        <v>1037.692</v>
      </c>
      <c r="W93" s="273">
        <f>V93-(P93*T93/100)</f>
        <v>933.92280000000005</v>
      </c>
      <c r="X93" s="272">
        <f t="shared" si="9"/>
        <v>1141.4612000000002</v>
      </c>
      <c r="Y93" s="272">
        <f t="shared" si="9"/>
        <v>1027.3150800000001</v>
      </c>
      <c r="Z93" s="274">
        <f>'Tariffs Jan2017'!AW87</f>
        <v>0</v>
      </c>
      <c r="AA93" s="274" t="str">
        <f>'Tariffs Jan2017'!AX87</f>
        <v>n</v>
      </c>
      <c r="AB93" s="275" t="str">
        <f>'Tariffs Jan2017'!BD87</f>
        <v>Y</v>
      </c>
      <c r="AC93" s="305"/>
      <c r="AD93" s="305"/>
      <c r="AE93" s="305"/>
      <c r="AF93" s="305"/>
      <c r="AG93" s="305"/>
      <c r="AH93" s="305"/>
      <c r="AI93" s="305"/>
      <c r="AJ93" s="305"/>
      <c r="AK93" s="305"/>
      <c r="AL93" s="305"/>
      <c r="AM93" s="305"/>
      <c r="AN93" s="305"/>
    </row>
    <row r="94" spans="1:40" ht="14" thickBot="1" x14ac:dyDescent="0.2">
      <c r="A94" s="286" t="str">
        <f>'Tariffs Jan2017'!F88</f>
        <v>Simply Energy</v>
      </c>
      <c r="B94" s="287" t="str">
        <f>'Tariffs Jan2017'!D88</f>
        <v>Ausnet Central 1</v>
      </c>
      <c r="C94" s="287" t="str">
        <f>'Tariffs Jan2017'!G88</f>
        <v>Plus</v>
      </c>
      <c r="D94" s="288">
        <f>365*'Tariffs Jan2017'!H88/100</f>
        <v>291.67149999999998</v>
      </c>
      <c r="E94" s="288">
        <f>IF($C$5*'Tariffs Jan2017'!AK88/'Tariffs Jan2017'!AI88&gt;='Tariffs Jan2017'!J88,( 'Tariffs Jan2017'!J88*'Tariffs Jan2017'!O88/100)* 'Tariffs Jan2017'!AI88,($C$5*'Tariffs Jan2017'!AK88/'Tariffs Jan2017'!AI88*'Tariffs Jan2017'!O88/100)* 'Tariffs Jan2017'!AI88)</f>
        <v>262.8</v>
      </c>
      <c r="F94" s="288">
        <f>IF($C$5*'Tariffs Jan2017'!AK88/'Tariffs Jan2017'!AI88&lt;'Tariffs Jan2017'!J88,0,IF($C$5*'Tariffs Jan2017'!AK88/'Tariffs Jan2017'!AI88&lt;='Tariffs Jan2017'!K88,($C$5*'Tariffs Jan2017'!AK88/'Tariffs Jan2017'!AI88-'Tariffs Jan2017'!J88)*('Tariffs Jan2017'!P88/100)*'Tariffs Jan2017'!AI88,('Tariffs Jan2017'!K88-'Tariffs Jan2017'!J88)*('Tariffs Jan2017'!P88/100)*'Tariffs Jan2017'!AI88))</f>
        <v>28.637999999999998</v>
      </c>
      <c r="G94" s="288">
        <f>IF($C$5*'Tariffs Jan2017'!AK88/'Tariffs Jan2017'!AI88&lt;'Tariffs Jan2017'!K88,0,IF($C$5*'Tariffs Jan2017'!AK88/'Tariffs Jan2017'!AI88&lt;='Tariffs Jan2017'!L88,($C$5*'Tariffs Jan2017'!AK88/'Tariffs Jan2017'!AI88-'Tariffs Jan2017'!K88)*('Tariffs Jan2017'!Q88/100)*'Tariffs Jan2017'!AI88,('Tariffs Jan2017'!L88-'Tariffs Jan2017'!K88)*('Tariffs Jan2017'!Q88/100)*'Tariffs Jan2017'!AI88))</f>
        <v>0</v>
      </c>
      <c r="H94" s="288">
        <f>IF($C$5*'Tariffs Jan2017'!AK88/'Tariffs Jan2017'!AI88&lt;'Tariffs Jan2017'!L88,0,IF($C$5*'Tariffs Jan2017'!AK88/'Tariffs Jan2017'!AI88&lt;='Tariffs Jan2017'!M88,($C$5*'Tariffs Jan2017'!AK88/'Tariffs Jan2017'!AI88-'Tariffs Jan2017'!L88)*('Tariffs Jan2017'!R88/100)*'Tariffs Jan2017'!AI88,('Tariffs Jan2017'!M88-'Tariffs Jan2017'!L88)*('Tariffs Jan2017'!R88/100)*'Tariffs Jan2017'!AI88))</f>
        <v>0</v>
      </c>
      <c r="I94" s="288">
        <f>IF(($C$5*'Tariffs Jan2017'!AK88/'Tariffs Jan2017'!AI88&gt;'Tariffs Jan2017'!M88),($C$5*'Tariffs Jan2017'!AK88/'Tariffs Jan2017'!AI88-'Tariffs Jan2017'!M88)*'Tariffs Jan2017'!S88/100*'Tariffs Jan2017'!AI88,0)</f>
        <v>0</v>
      </c>
      <c r="J94" s="288">
        <f>IF($C$5*'Tariffs Jan2017'!AL88/'Tariffs Jan2017'!AJ88&gt;='Tariffs Jan2017'!J88,('Tariffs Jan2017'!J88*'Tariffs Jan2017'!U88/100)* 'Tariffs Jan2017'!AJ88,($C$5*'Tariffs Jan2017'!AL88/'Tariffs Jan2017'!AJ88*'Tariffs Jan2017'!U88/100)* 'Tariffs Jan2017'!AJ88)</f>
        <v>403.2</v>
      </c>
      <c r="K94" s="288">
        <f>IF($C$5*'Tariffs Jan2017'!AL88/'Tariffs Jan2017'!AJ88&lt;'Tariffs Jan2017'!J88,0,IF($C$5*'Tariffs Jan2017'!AL88/'Tariffs Jan2017'!AJ88&lt;='Tariffs Jan2017'!K88,($C$5*'Tariffs Jan2017'!AL88/'Tariffs Jan2017'!AJ88-'Tariffs Jan2017'!J88)*('Tariffs Jan2017'!V88/100)*'Tariffs Jan2017'!AJ88,('Tariffs Jan2017'!K88-'Tariffs Jan2017'!J88)*('Tariffs Jan2017'!V88/100)*'Tariffs Jan2017'!AJ88))</f>
        <v>42.8904</v>
      </c>
      <c r="L94" s="288">
        <f>IF($C$5*'Tariffs Jan2017'!AL88/'Tariffs Jan2017'!AJ88&lt;'Tariffs Jan2017'!K88,0,IF($C$5*'Tariffs Jan2017'!AL88/'Tariffs Jan2017'!AJ88&lt;='Tariffs Jan2017'!L88,($C$5*'Tariffs Jan2017'!AL88/'Tariffs Jan2017'!AJ88-'Tariffs Jan2017'!K88)*('Tariffs Jan2017'!W88/100)*'Tariffs Jan2017'!AJ88,('Tariffs Jan2017'!L88-'Tariffs Jan2017'!K88)*('Tariffs Jan2017'!W88/100)*'Tariffs Jan2017'!AJ88))</f>
        <v>0</v>
      </c>
      <c r="M94" s="288">
        <f>IF($C$5*'Tariffs Jan2017'!AL88/'Tariffs Jan2017'!AJ88&lt;'Tariffs Jan2017'!L88,0,IF($C$5*'Tariffs Jan2017'!AL88/'Tariffs Jan2017'!AJ88&lt;='Tariffs Jan2017'!M88,($C$5*'Tariffs Jan2017'!AL88/'Tariffs Jan2017'!AJ88-'Tariffs Jan2017'!L88)*('Tariffs Jan2017'!X88/100)*'Tariffs Jan2017'!AJ88,('Tariffs Jan2017'!M88-'Tariffs Jan2017'!L88)*('Tariffs Jan2017'!X88/100)*'Tariffs Jan2017'!AJ88))</f>
        <v>0</v>
      </c>
      <c r="N94" s="288">
        <f>IF(($C$5*'Tariffs Jan2017'!AL88/'Tariffs Jan2017'!AJ88&gt;'Tariffs Jan2017'!M88),($C$5*'Tariffs Jan2017'!AL88/'Tariffs Jan2017'!AJ88-'Tariffs Jan2017'!M88)*'Tariffs Jan2017'!Y88/100*'Tariffs Jan2017'!AJ88,0)</f>
        <v>0</v>
      </c>
      <c r="O94" s="289">
        <f t="shared" si="5"/>
        <v>737.52839999999992</v>
      </c>
      <c r="P94" s="288">
        <f t="shared" si="6"/>
        <v>1029.1998999999998</v>
      </c>
      <c r="Q94" s="290">
        <f t="shared" si="7"/>
        <v>1132.1198899999999</v>
      </c>
      <c r="R94" s="287">
        <f>'Tariffs Jan2017'!AM88</f>
        <v>0</v>
      </c>
      <c r="S94" s="287">
        <f>'Tariffs Jan2017'!AN88</f>
        <v>0</v>
      </c>
      <c r="T94" s="287">
        <f>'Tariffs Jan2017'!AO88</f>
        <v>0</v>
      </c>
      <c r="U94" s="287">
        <f>'Tariffs Jan2017'!AP88</f>
        <v>15</v>
      </c>
      <c r="V94" s="273">
        <f t="shared" si="8"/>
        <v>1029.1998999999998</v>
      </c>
      <c r="W94" s="291">
        <f>V94-(O94*U94/100)</f>
        <v>918.57063999999991</v>
      </c>
      <c r="X94" s="290">
        <f t="shared" si="9"/>
        <v>1132.1198899999999</v>
      </c>
      <c r="Y94" s="290">
        <f t="shared" si="9"/>
        <v>1010.4277039999999</v>
      </c>
      <c r="Z94" s="292">
        <f>'Tariffs Jan2017'!AW88</f>
        <v>24</v>
      </c>
      <c r="AA94" s="292" t="str">
        <f>'Tariffs Jan2017'!AX88</f>
        <v>n</v>
      </c>
      <c r="AB94" s="293" t="str">
        <f>'Tariffs Jan2017'!BD88</f>
        <v>Y</v>
      </c>
      <c r="AC94" s="305"/>
      <c r="AD94" s="305"/>
      <c r="AE94" s="305"/>
      <c r="AF94" s="305"/>
      <c r="AG94" s="305"/>
      <c r="AH94" s="305"/>
      <c r="AI94" s="305"/>
      <c r="AJ94" s="305"/>
      <c r="AK94" s="305"/>
      <c r="AL94" s="305"/>
      <c r="AM94" s="305"/>
      <c r="AN94" s="305"/>
    </row>
    <row r="95" spans="1:40" x14ac:dyDescent="0.15">
      <c r="A95" s="305"/>
      <c r="B95" s="305"/>
      <c r="C95" s="305"/>
      <c r="D95" s="305"/>
      <c r="E95" s="305"/>
      <c r="F95" s="305"/>
      <c r="G95" s="305"/>
      <c r="H95" s="305"/>
      <c r="I95" s="305"/>
      <c r="J95" s="305"/>
      <c r="K95" s="305"/>
      <c r="L95" s="305"/>
      <c r="M95" s="305"/>
      <c r="N95" s="305"/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05"/>
      <c r="AI95" s="305"/>
      <c r="AJ95" s="305"/>
      <c r="AK95" s="305"/>
      <c r="AL95" s="305"/>
      <c r="AM95" s="305"/>
      <c r="AN95" s="305"/>
    </row>
    <row r="96" spans="1:40" x14ac:dyDescent="0.15">
      <c r="A96" s="305"/>
      <c r="B96" s="305"/>
      <c r="C96" s="305"/>
      <c r="D96" s="305"/>
      <c r="E96" s="305"/>
      <c r="F96" s="305"/>
      <c r="G96" s="305"/>
      <c r="H96" s="305"/>
      <c r="I96" s="305"/>
      <c r="J96" s="305"/>
      <c r="K96" s="305"/>
      <c r="L96" s="305"/>
      <c r="M96" s="305"/>
      <c r="N96" s="305"/>
      <c r="O96" s="305"/>
      <c r="P96" s="30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05"/>
      <c r="AI96" s="305"/>
      <c r="AJ96" s="305"/>
      <c r="AK96" s="305"/>
      <c r="AL96" s="305"/>
      <c r="AM96" s="305"/>
      <c r="AN96" s="305"/>
    </row>
    <row r="97" spans="1:40" x14ac:dyDescent="0.15">
      <c r="A97" s="305"/>
      <c r="B97" s="305"/>
      <c r="C97" s="305"/>
      <c r="D97" s="305"/>
      <c r="E97" s="305"/>
      <c r="F97" s="305"/>
      <c r="G97" s="305"/>
      <c r="H97" s="305"/>
      <c r="I97" s="305"/>
      <c r="J97" s="305"/>
      <c r="K97" s="305"/>
      <c r="L97" s="305"/>
      <c r="M97" s="305"/>
      <c r="N97" s="305"/>
      <c r="O97" s="305"/>
      <c r="P97" s="305"/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05"/>
      <c r="AI97" s="305"/>
      <c r="AJ97" s="305"/>
      <c r="AK97" s="305"/>
      <c r="AL97" s="305"/>
      <c r="AM97" s="305"/>
      <c r="AN97" s="305"/>
    </row>
    <row r="98" spans="1:40" x14ac:dyDescent="0.15">
      <c r="A98" s="305"/>
      <c r="B98" s="305"/>
      <c r="C98" s="305"/>
      <c r="D98" s="305"/>
      <c r="E98" s="305"/>
      <c r="F98" s="305"/>
      <c r="G98" s="305"/>
      <c r="H98" s="305"/>
      <c r="I98" s="305"/>
      <c r="J98" s="305"/>
      <c r="K98" s="305"/>
      <c r="L98" s="305"/>
      <c r="M98" s="305"/>
      <c r="N98" s="305"/>
      <c r="O98" s="305"/>
      <c r="P98" s="305"/>
      <c r="Q98" s="305"/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05"/>
      <c r="AI98" s="305"/>
      <c r="AJ98" s="305"/>
      <c r="AK98" s="305"/>
      <c r="AL98" s="305"/>
      <c r="AM98" s="305"/>
      <c r="AN98" s="305"/>
    </row>
    <row r="99" spans="1:40" x14ac:dyDescent="0.15">
      <c r="A99" s="305"/>
      <c r="B99" s="305"/>
      <c r="C99" s="305"/>
      <c r="D99" s="305"/>
      <c r="E99" s="305"/>
      <c r="F99" s="305"/>
      <c r="G99" s="305"/>
      <c r="H99" s="305"/>
      <c r="I99" s="305"/>
      <c r="J99" s="305"/>
      <c r="K99" s="305"/>
      <c r="L99" s="305"/>
      <c r="M99" s="305"/>
      <c r="N99" s="305"/>
      <c r="O99" s="305"/>
      <c r="P99" s="305"/>
      <c r="Q99" s="305"/>
      <c r="R99" s="305"/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05"/>
      <c r="AI99" s="305"/>
      <c r="AJ99" s="305"/>
      <c r="AK99" s="305"/>
      <c r="AL99" s="305"/>
      <c r="AM99" s="305"/>
      <c r="AN99" s="305"/>
    </row>
    <row r="100" spans="1:40" x14ac:dyDescent="0.15">
      <c r="A100" s="305"/>
      <c r="B100" s="305"/>
      <c r="C100" s="305"/>
      <c r="D100" s="305"/>
      <c r="E100" s="305"/>
      <c r="F100" s="305"/>
      <c r="G100" s="305"/>
      <c r="H100" s="305"/>
      <c r="I100" s="305"/>
      <c r="J100" s="305"/>
      <c r="K100" s="305"/>
      <c r="L100" s="305"/>
      <c r="M100" s="305"/>
      <c r="N100" s="305"/>
      <c r="O100" s="305"/>
      <c r="P100" s="305"/>
      <c r="Q100" s="305"/>
      <c r="R100" s="305"/>
      <c r="S100" s="305"/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05"/>
      <c r="AI100" s="305"/>
      <c r="AJ100" s="305"/>
      <c r="AK100" s="305"/>
      <c r="AL100" s="305"/>
      <c r="AM100" s="305"/>
      <c r="AN100" s="305"/>
    </row>
    <row r="101" spans="1:40" x14ac:dyDescent="0.15">
      <c r="A101" s="305"/>
      <c r="B101" s="305"/>
      <c r="C101" s="305"/>
      <c r="D101" s="305"/>
      <c r="E101" s="305"/>
      <c r="F101" s="305"/>
      <c r="G101" s="305"/>
      <c r="H101" s="305"/>
      <c r="I101" s="305"/>
      <c r="J101" s="305"/>
      <c r="K101" s="305"/>
      <c r="L101" s="305"/>
      <c r="M101" s="305"/>
      <c r="N101" s="305"/>
      <c r="O101" s="305"/>
      <c r="P101" s="305"/>
      <c r="Q101" s="305"/>
      <c r="R101" s="305"/>
      <c r="S101" s="305"/>
      <c r="T101" s="305"/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05"/>
      <c r="AI101" s="305"/>
      <c r="AJ101" s="305"/>
      <c r="AK101" s="305"/>
      <c r="AL101" s="305"/>
      <c r="AM101" s="305"/>
      <c r="AN101" s="305"/>
    </row>
    <row r="102" spans="1:40" x14ac:dyDescent="0.15">
      <c r="A102" s="305"/>
      <c r="B102" s="305"/>
      <c r="C102" s="305"/>
      <c r="D102" s="305"/>
      <c r="E102" s="305"/>
      <c r="F102" s="305"/>
      <c r="G102" s="305"/>
      <c r="H102" s="305"/>
      <c r="I102" s="305"/>
      <c r="J102" s="305"/>
      <c r="K102" s="305"/>
      <c r="L102" s="305"/>
      <c r="M102" s="305"/>
      <c r="N102" s="305"/>
      <c r="O102" s="305"/>
      <c r="P102" s="305"/>
      <c r="Q102" s="305"/>
      <c r="R102" s="305"/>
      <c r="S102" s="305"/>
      <c r="T102" s="305"/>
      <c r="U102" s="305"/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05"/>
      <c r="AI102" s="305"/>
      <c r="AJ102" s="305"/>
      <c r="AK102" s="305"/>
      <c r="AL102" s="305"/>
      <c r="AM102" s="305"/>
      <c r="AN102" s="305"/>
    </row>
    <row r="103" spans="1:40" x14ac:dyDescent="0.15">
      <c r="A103" s="305"/>
      <c r="B103" s="305"/>
      <c r="C103" s="305"/>
      <c r="D103" s="305"/>
      <c r="E103" s="305"/>
      <c r="F103" s="305"/>
      <c r="G103" s="305"/>
      <c r="H103" s="305"/>
      <c r="I103" s="305"/>
      <c r="J103" s="305"/>
      <c r="K103" s="305"/>
      <c r="L103" s="305"/>
      <c r="M103" s="305"/>
      <c r="N103" s="305"/>
      <c r="O103" s="305"/>
      <c r="P103" s="305"/>
      <c r="Q103" s="305"/>
      <c r="R103" s="305"/>
      <c r="S103" s="305"/>
      <c r="T103" s="305"/>
      <c r="U103" s="305"/>
      <c r="V103" s="305"/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05"/>
      <c r="AI103" s="305"/>
      <c r="AJ103" s="305"/>
      <c r="AK103" s="305"/>
      <c r="AL103" s="305"/>
      <c r="AM103" s="305"/>
      <c r="AN103" s="305"/>
    </row>
    <row r="104" spans="1:40" x14ac:dyDescent="0.15">
      <c r="A104" s="305"/>
      <c r="B104" s="305"/>
      <c r="C104" s="305"/>
      <c r="D104" s="305"/>
      <c r="E104" s="305"/>
      <c r="F104" s="305"/>
      <c r="G104" s="305"/>
      <c r="H104" s="305"/>
      <c r="I104" s="305"/>
      <c r="J104" s="305"/>
      <c r="K104" s="305"/>
      <c r="L104" s="305"/>
      <c r="M104" s="305"/>
      <c r="N104" s="305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05"/>
      <c r="AI104" s="305"/>
      <c r="AJ104" s="305"/>
      <c r="AK104" s="305"/>
      <c r="AL104" s="305"/>
      <c r="AM104" s="305"/>
      <c r="AN104" s="305"/>
    </row>
    <row r="105" spans="1:40" x14ac:dyDescent="0.15">
      <c r="A105" s="305"/>
      <c r="B105" s="305"/>
      <c r="C105" s="305"/>
      <c r="D105" s="305"/>
      <c r="E105" s="305"/>
      <c r="F105" s="305"/>
      <c r="G105" s="305"/>
      <c r="H105" s="305"/>
      <c r="I105" s="305"/>
      <c r="J105" s="305"/>
      <c r="K105" s="305"/>
      <c r="L105" s="305"/>
      <c r="M105" s="305"/>
      <c r="N105" s="305"/>
      <c r="O105" s="305"/>
      <c r="P105" s="305"/>
      <c r="Q105" s="305"/>
      <c r="R105" s="305"/>
      <c r="S105" s="305"/>
      <c r="T105" s="305"/>
      <c r="U105" s="305"/>
      <c r="V105" s="305"/>
      <c r="W105" s="305"/>
      <c r="X105" s="305"/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05"/>
      <c r="AI105" s="305"/>
      <c r="AJ105" s="305"/>
      <c r="AK105" s="305"/>
      <c r="AL105" s="305"/>
      <c r="AM105" s="305"/>
      <c r="AN105" s="305"/>
    </row>
    <row r="106" spans="1:40" x14ac:dyDescent="0.15">
      <c r="A106" s="305"/>
      <c r="B106" s="305"/>
      <c r="C106" s="305"/>
      <c r="D106" s="305"/>
      <c r="E106" s="305"/>
      <c r="F106" s="305"/>
      <c r="G106" s="305"/>
      <c r="H106" s="305"/>
      <c r="I106" s="305"/>
      <c r="J106" s="305"/>
      <c r="K106" s="305"/>
      <c r="L106" s="305"/>
      <c r="M106" s="305"/>
      <c r="N106" s="305"/>
      <c r="O106" s="305"/>
      <c r="P106" s="305"/>
      <c r="Q106" s="305"/>
      <c r="R106" s="305"/>
      <c r="S106" s="305"/>
      <c r="T106" s="305"/>
      <c r="U106" s="305"/>
      <c r="V106" s="305"/>
      <c r="W106" s="305"/>
      <c r="X106" s="305"/>
      <c r="Y106" s="305"/>
      <c r="Z106" s="305"/>
      <c r="AA106" s="305"/>
      <c r="AB106" s="305"/>
      <c r="AC106" s="305"/>
      <c r="AD106" s="305"/>
      <c r="AE106" s="305"/>
      <c r="AF106" s="305"/>
      <c r="AG106" s="305"/>
      <c r="AH106" s="305"/>
      <c r="AI106" s="305"/>
      <c r="AJ106" s="305"/>
      <c r="AK106" s="305"/>
      <c r="AL106" s="305"/>
      <c r="AM106" s="305"/>
      <c r="AN106" s="305"/>
    </row>
    <row r="107" spans="1:40" x14ac:dyDescent="0.15">
      <c r="A107" s="305"/>
      <c r="B107" s="305"/>
      <c r="C107" s="305"/>
      <c r="D107" s="305"/>
      <c r="E107" s="305"/>
      <c r="F107" s="305"/>
      <c r="G107" s="305"/>
      <c r="H107" s="305"/>
      <c r="I107" s="305"/>
      <c r="J107" s="305"/>
      <c r="K107" s="305"/>
      <c r="L107" s="305"/>
      <c r="M107" s="305"/>
      <c r="N107" s="305"/>
      <c r="O107" s="305"/>
      <c r="P107" s="305"/>
      <c r="Q107" s="305"/>
      <c r="R107" s="305"/>
      <c r="S107" s="305"/>
      <c r="T107" s="305"/>
      <c r="U107" s="305"/>
      <c r="V107" s="305"/>
      <c r="W107" s="305"/>
      <c r="X107" s="305"/>
      <c r="Y107" s="305"/>
      <c r="Z107" s="305"/>
      <c r="AA107" s="305"/>
      <c r="AB107" s="305"/>
      <c r="AC107" s="305"/>
      <c r="AD107" s="305"/>
      <c r="AE107" s="305"/>
      <c r="AF107" s="305"/>
      <c r="AG107" s="305"/>
      <c r="AH107" s="305"/>
      <c r="AI107" s="305"/>
      <c r="AJ107" s="305"/>
      <c r="AK107" s="305"/>
      <c r="AL107" s="305"/>
      <c r="AM107" s="305"/>
      <c r="AN107" s="305"/>
    </row>
    <row r="108" spans="1:40" x14ac:dyDescent="0.15">
      <c r="A108" s="305"/>
      <c r="B108" s="305"/>
      <c r="C108" s="305"/>
      <c r="D108" s="305"/>
      <c r="E108" s="305"/>
      <c r="F108" s="305"/>
      <c r="G108" s="305"/>
      <c r="H108" s="305"/>
      <c r="I108" s="305"/>
      <c r="J108" s="305"/>
      <c r="K108" s="305"/>
      <c r="L108" s="305"/>
      <c r="M108" s="305"/>
      <c r="N108" s="305"/>
      <c r="O108" s="305"/>
      <c r="P108" s="305"/>
      <c r="Q108" s="305"/>
      <c r="R108" s="305"/>
      <c r="S108" s="305"/>
      <c r="T108" s="305"/>
      <c r="U108" s="305"/>
      <c r="V108" s="305"/>
      <c r="W108" s="305"/>
      <c r="X108" s="305"/>
      <c r="Y108" s="305"/>
      <c r="Z108" s="305"/>
      <c r="AA108" s="305"/>
      <c r="AB108" s="305"/>
      <c r="AC108" s="305"/>
      <c r="AD108" s="305"/>
      <c r="AE108" s="305"/>
      <c r="AF108" s="305"/>
      <c r="AG108" s="305"/>
      <c r="AH108" s="305"/>
      <c r="AI108" s="305"/>
      <c r="AJ108" s="305"/>
      <c r="AK108" s="305"/>
      <c r="AL108" s="305"/>
      <c r="AM108" s="305"/>
      <c r="AN108" s="305"/>
    </row>
    <row r="109" spans="1:40" x14ac:dyDescent="0.15">
      <c r="A109" s="305"/>
      <c r="B109" s="305"/>
      <c r="C109" s="305"/>
      <c r="D109" s="305"/>
      <c r="E109" s="305"/>
      <c r="F109" s="305"/>
      <c r="G109" s="305"/>
      <c r="H109" s="305"/>
      <c r="I109" s="305"/>
      <c r="J109" s="305"/>
      <c r="K109" s="305"/>
      <c r="L109" s="305"/>
      <c r="M109" s="305"/>
      <c r="N109" s="305"/>
      <c r="O109" s="305"/>
      <c r="P109" s="305"/>
      <c r="Q109" s="305"/>
      <c r="R109" s="305"/>
      <c r="S109" s="305"/>
      <c r="T109" s="305"/>
      <c r="U109" s="305"/>
      <c r="V109" s="305"/>
      <c r="W109" s="305"/>
      <c r="X109" s="305"/>
      <c r="Y109" s="305"/>
      <c r="Z109" s="305"/>
      <c r="AA109" s="305"/>
      <c r="AB109" s="305"/>
      <c r="AC109" s="305"/>
      <c r="AD109" s="305"/>
      <c r="AE109" s="305"/>
      <c r="AF109" s="305"/>
      <c r="AG109" s="305"/>
      <c r="AH109" s="305"/>
      <c r="AI109" s="305"/>
      <c r="AJ109" s="305"/>
      <c r="AK109" s="305"/>
      <c r="AL109" s="305"/>
      <c r="AM109" s="305"/>
      <c r="AN109" s="305"/>
    </row>
    <row r="110" spans="1:40" x14ac:dyDescent="0.15">
      <c r="A110" s="305"/>
      <c r="B110" s="305"/>
      <c r="C110" s="305"/>
      <c r="D110" s="305"/>
      <c r="E110" s="305"/>
      <c r="F110" s="305"/>
      <c r="G110" s="305"/>
      <c r="H110" s="305"/>
      <c r="I110" s="305"/>
      <c r="J110" s="305"/>
      <c r="K110" s="305"/>
      <c r="L110" s="305"/>
      <c r="M110" s="305"/>
      <c r="N110" s="305"/>
      <c r="O110" s="305"/>
      <c r="P110" s="305"/>
      <c r="Q110" s="305"/>
      <c r="R110" s="305"/>
      <c r="S110" s="305"/>
      <c r="T110" s="305"/>
      <c r="U110" s="305"/>
      <c r="V110" s="305"/>
      <c r="W110" s="305"/>
      <c r="X110" s="305"/>
      <c r="Y110" s="305"/>
      <c r="Z110" s="305"/>
      <c r="AA110" s="305"/>
      <c r="AB110" s="305"/>
      <c r="AC110" s="305"/>
      <c r="AD110" s="305"/>
      <c r="AE110" s="305"/>
      <c r="AF110" s="305"/>
      <c r="AG110" s="305"/>
      <c r="AH110" s="305"/>
      <c r="AI110" s="305"/>
      <c r="AJ110" s="305"/>
      <c r="AK110" s="305"/>
      <c r="AL110" s="305"/>
      <c r="AM110" s="305"/>
      <c r="AN110" s="305"/>
    </row>
    <row r="111" spans="1:40" x14ac:dyDescent="0.15">
      <c r="A111" s="305"/>
      <c r="B111" s="305"/>
      <c r="C111" s="305"/>
      <c r="D111" s="305"/>
      <c r="E111" s="305"/>
      <c r="F111" s="305"/>
      <c r="G111" s="305"/>
      <c r="H111" s="305"/>
      <c r="I111" s="305"/>
      <c r="J111" s="305"/>
      <c r="K111" s="305"/>
      <c r="L111" s="305"/>
      <c r="M111" s="305"/>
      <c r="N111" s="305"/>
      <c r="O111" s="305"/>
      <c r="P111" s="305"/>
      <c r="Q111" s="305"/>
      <c r="R111" s="305"/>
      <c r="S111" s="305"/>
      <c r="T111" s="305"/>
      <c r="U111" s="305"/>
      <c r="V111" s="305"/>
      <c r="W111" s="305"/>
      <c r="X111" s="305"/>
      <c r="Y111" s="305"/>
      <c r="Z111" s="305"/>
      <c r="AA111" s="305"/>
      <c r="AB111" s="305"/>
      <c r="AC111" s="305"/>
      <c r="AD111" s="305"/>
      <c r="AE111" s="305"/>
      <c r="AF111" s="305"/>
      <c r="AG111" s="305"/>
      <c r="AH111" s="305"/>
      <c r="AI111" s="305"/>
      <c r="AJ111" s="305"/>
      <c r="AK111" s="305"/>
      <c r="AL111" s="305"/>
      <c r="AM111" s="305"/>
      <c r="AN111" s="305"/>
    </row>
    <row r="112" spans="1:40" x14ac:dyDescent="0.15">
      <c r="A112" s="305"/>
      <c r="B112" s="305"/>
      <c r="C112" s="305"/>
      <c r="D112" s="305"/>
      <c r="E112" s="305"/>
      <c r="F112" s="305"/>
      <c r="G112" s="305"/>
      <c r="H112" s="305"/>
      <c r="I112" s="305"/>
      <c r="J112" s="305"/>
      <c r="K112" s="305"/>
      <c r="L112" s="305"/>
      <c r="M112" s="305"/>
      <c r="N112" s="305"/>
      <c r="O112" s="305"/>
      <c r="P112" s="305"/>
      <c r="Q112" s="305"/>
      <c r="R112" s="305"/>
      <c r="S112" s="305"/>
      <c r="T112" s="305"/>
      <c r="U112" s="305"/>
      <c r="V112" s="305"/>
      <c r="W112" s="305"/>
      <c r="X112" s="305"/>
      <c r="Y112" s="305"/>
      <c r="Z112" s="305"/>
      <c r="AA112" s="305"/>
      <c r="AB112" s="305"/>
      <c r="AC112" s="305"/>
      <c r="AD112" s="305"/>
      <c r="AE112" s="305"/>
      <c r="AF112" s="305"/>
      <c r="AG112" s="305"/>
      <c r="AH112" s="305"/>
      <c r="AI112" s="305"/>
      <c r="AJ112" s="305"/>
      <c r="AK112" s="305"/>
      <c r="AL112" s="305"/>
      <c r="AM112" s="305"/>
      <c r="AN112" s="305"/>
    </row>
    <row r="113" spans="1:40" x14ac:dyDescent="0.15">
      <c r="A113" s="305"/>
      <c r="B113" s="305"/>
      <c r="C113" s="305"/>
      <c r="D113" s="305"/>
      <c r="E113" s="305"/>
      <c r="F113" s="305"/>
      <c r="G113" s="305"/>
      <c r="H113" s="305"/>
      <c r="I113" s="305"/>
      <c r="J113" s="305"/>
      <c r="K113" s="305"/>
      <c r="L113" s="305"/>
      <c r="M113" s="305"/>
      <c r="N113" s="305"/>
      <c r="O113" s="305"/>
      <c r="P113" s="305"/>
      <c r="Q113" s="305"/>
      <c r="R113" s="305"/>
      <c r="S113" s="305"/>
      <c r="T113" s="305"/>
      <c r="U113" s="305"/>
      <c r="V113" s="305"/>
      <c r="W113" s="305"/>
      <c r="X113" s="305"/>
      <c r="Y113" s="305"/>
      <c r="Z113" s="305"/>
      <c r="AA113" s="305"/>
      <c r="AB113" s="305"/>
      <c r="AC113" s="305"/>
      <c r="AD113" s="305"/>
      <c r="AE113" s="305"/>
      <c r="AF113" s="305"/>
      <c r="AG113" s="305"/>
      <c r="AH113" s="305"/>
      <c r="AI113" s="305"/>
      <c r="AJ113" s="305"/>
      <c r="AK113" s="305"/>
      <c r="AL113" s="305"/>
      <c r="AM113" s="305"/>
      <c r="AN113" s="305"/>
    </row>
    <row r="114" spans="1:40" x14ac:dyDescent="0.1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  <c r="Z114" s="305"/>
      <c r="AA114" s="305"/>
      <c r="AB114" s="305"/>
      <c r="AC114" s="305"/>
      <c r="AD114" s="305"/>
      <c r="AE114" s="305"/>
      <c r="AF114" s="305"/>
      <c r="AG114" s="305"/>
      <c r="AH114" s="305"/>
      <c r="AI114" s="305"/>
      <c r="AJ114" s="305"/>
      <c r="AK114" s="305"/>
      <c r="AL114" s="305"/>
      <c r="AM114" s="305"/>
      <c r="AN114" s="305"/>
    </row>
  </sheetData>
  <sheetProtection algorithmName="SHA-512" hashValue="Bxp6JcuuSff4GGxrDWjzLLmZqosPGY7cVfXVafTGlKa8D7JZxMhw65KPzm+bnxxZkX97uSODJ06NKeNJMsXnYg==" saltValue="EgJ4dPWWzganEMhXhecHfQ==" spinCount="100000" sheet="1" objects="1" scenarios="1"/>
  <phoneticPr fontId="20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N115"/>
  <sheetViews>
    <sheetView workbookViewId="0">
      <selection activeCell="F9" sqref="F9"/>
    </sheetView>
  </sheetViews>
  <sheetFormatPr baseColWidth="10" defaultColWidth="10.83203125" defaultRowHeight="13" x14ac:dyDescent="0.15"/>
  <cols>
    <col min="1" max="1" width="17.33203125" customWidth="1"/>
    <col min="2" max="2" width="17.1640625" customWidth="1"/>
    <col min="3" max="3" width="16" customWidth="1"/>
    <col min="4" max="14" width="14.1640625" customWidth="1"/>
    <col min="15" max="15" width="12.33203125" hidden="1" customWidth="1"/>
    <col min="16" max="16" width="14.1640625" hidden="1" customWidth="1"/>
    <col min="17" max="21" width="14.1640625" customWidth="1"/>
    <col min="22" max="23" width="12.33203125" hidden="1" customWidth="1"/>
    <col min="24" max="27" width="14.1640625" customWidth="1"/>
    <col min="28" max="38" width="12.33203125" customWidth="1"/>
  </cols>
  <sheetData>
    <row r="1" spans="1:40" ht="14" x14ac:dyDescent="0.15">
      <c r="A1" s="259" t="s">
        <v>722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</row>
    <row r="2" spans="1:40" ht="14" x14ac:dyDescent="0.15">
      <c r="A2" s="261" t="s">
        <v>723</v>
      </c>
      <c r="B2" s="261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</row>
    <row r="3" spans="1:40" ht="15" thickBot="1" x14ac:dyDescent="0.2">
      <c r="A3" s="259"/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62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</row>
    <row r="4" spans="1:40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6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</row>
    <row r="5" spans="1:40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9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</row>
    <row r="6" spans="1:40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9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</row>
    <row r="7" spans="1:40" ht="75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493" t="s">
        <v>572</v>
      </c>
      <c r="P7" s="494" t="s">
        <v>573</v>
      </c>
      <c r="Q7" s="493" t="s">
        <v>574</v>
      </c>
      <c r="R7" s="495" t="s">
        <v>575</v>
      </c>
      <c r="S7" s="496" t="s">
        <v>576</v>
      </c>
      <c r="T7" s="496" t="s">
        <v>577</v>
      </c>
      <c r="U7" s="496" t="s">
        <v>578</v>
      </c>
      <c r="V7" s="497" t="s">
        <v>579</v>
      </c>
      <c r="W7" s="497" t="s">
        <v>580</v>
      </c>
      <c r="X7" s="497" t="s">
        <v>581</v>
      </c>
      <c r="Y7" s="497" t="s">
        <v>582</v>
      </c>
      <c r="Z7" s="498" t="s">
        <v>583</v>
      </c>
      <c r="AA7" s="499" t="s">
        <v>584</v>
      </c>
      <c r="AB7" s="500" t="s">
        <v>585</v>
      </c>
      <c r="AC7" s="260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</row>
    <row r="8" spans="1:40" x14ac:dyDescent="0.15">
      <c r="A8" s="270" t="str">
        <f>'Tariffs July2016'!F2</f>
        <v>AGL</v>
      </c>
      <c r="B8" s="40" t="str">
        <f>'Tariffs July2016'!D2</f>
        <v>Multinet 1</v>
      </c>
      <c r="C8" s="40" t="str">
        <f>'Tariffs July2016'!G2</f>
        <v>Savers</v>
      </c>
      <c r="D8" s="59">
        <f>365*'Tariffs July2016'!H2/100</f>
        <v>249.149</v>
      </c>
      <c r="E8" s="59">
        <f>IF($C$5*'Tariffs July2016'!AK2/'Tariffs July2016'!AI2&gt;='Tariffs July2016'!J2,( 'Tariffs July2016'!J2*'Tariffs July2016'!O2/100)* 'Tariffs July2016'!AI2,($C$5*'Tariffs July2016'!AK2/'Tariffs July2016'!AI2*'Tariffs July2016'!O2/100)* 'Tariffs July2016'!AI2)</f>
        <v>191.88</v>
      </c>
      <c r="F8" s="59">
        <f>IF($C$5*'Tariffs July2016'!AK2/'Tariffs July2016'!AI2&lt;'Tariffs July2016'!J2,0,IF($C$5*'Tariffs July2016'!AK2/'Tariffs July2016'!AI2&lt;='Tariffs July2016'!K2,($C$5*'Tariffs July2016'!AK2/'Tariffs July2016'!AI2-'Tariffs July2016'!J2)*('Tariffs July2016'!P2/100)*'Tariffs July2016'!AI2,('Tariffs July2016'!K2-'Tariffs July2016'!J2)*('Tariffs July2016'!P2/100)*'Tariffs July2016'!AI2))</f>
        <v>166.86</v>
      </c>
      <c r="G8" s="59">
        <f>IF($C$5*'Tariffs July2016'!AK2/'Tariffs July2016'!AI2&lt;'Tariffs July2016'!K2,0,IF($C$5*'Tariffs July2016'!AK2/'Tariffs July2016'!AI2&lt;='Tariffs July2016'!L2,($C$5*'Tariffs July2016'!AK2/'Tariffs July2016'!AI2-'Tariffs July2016'!K2)*('Tariffs July2016'!Q2/100)*'Tariffs July2016'!AI2,('Tariffs July2016'!L2-'Tariffs July2016'!K2)*('Tariffs July2016'!Q2/100)*'Tariffs July2016'!AI2))</f>
        <v>132.93</v>
      </c>
      <c r="H8" s="59">
        <f>IF($C$5*'Tariffs July2016'!AK2/'Tariffs July2016'!AI2&lt;'Tariffs July2016'!L2,0,IF($C$5*'Tariffs July2016'!AK2/'Tariffs July2016'!AI2&lt;='Tariffs July2016'!M2,($C$5*'Tariffs July2016'!AK2/'Tariffs July2016'!AI2-'Tariffs July2016'!L2)*('Tariffs July2016'!R2/100)*'Tariffs July2016'!AI2,('Tariffs July2016'!M2-'Tariffs July2016'!L2)*('Tariffs July2016'!R2/100)*'Tariffs July2016'!AI2))</f>
        <v>57.509999999999991</v>
      </c>
      <c r="I8" s="59">
        <f>IF(($C$5*'Tariffs July2016'!AK2/'Tariffs July2016'!AI2&gt;'Tariffs July2016'!M2),($C$5*'Tariffs July2016'!AK2/'Tariffs July2016'!AI2-'Tariffs July2016'!M2)*'Tariffs July2016'!S2/100*'Tariffs July2016'!AI2,0)</f>
        <v>0</v>
      </c>
      <c r="J8" s="59">
        <f>IF($C$5*'Tariffs July2016'!AL2/'Tariffs July2016'!AJ2&gt;='Tariffs July2016'!J2,('Tariffs July2016'!J2*'Tariffs July2016'!U2/100)* 'Tariffs July2016'!AJ2,($C$5*'Tariffs July2016'!AL2/'Tariffs July2016'!AJ2*'Tariffs July2016'!U2/100)* 'Tariffs July2016'!AJ2)</f>
        <v>182.07</v>
      </c>
      <c r="K8" s="59">
        <f>IF($C$5*'Tariffs July2016'!AL2/'Tariffs July2016'!AJ2&lt;'Tariffs July2016'!J2,0,IF($C$5*'Tariffs July2016'!AL2/'Tariffs July2016'!AJ2&lt;='Tariffs July2016'!K2,($C$5*'Tariffs July2016'!AL2/'Tariffs July2016'!AJ2-'Tariffs July2016'!J2)*('Tariffs July2016'!V2/100)*'Tariffs July2016'!AJ2,('Tariffs July2016'!K2-'Tariffs July2016'!J2)*('Tariffs July2016'!V2/100)*'Tariffs July2016'!AJ2))</f>
        <v>157.14000000000001</v>
      </c>
      <c r="L8" s="59">
        <f>IF($C$5*'Tariffs July2016'!AL2/'Tariffs July2016'!AJ2&lt;'Tariffs July2016'!K2,0,IF($C$5*'Tariffs July2016'!AL2/'Tariffs July2016'!AJ2&lt;='Tariffs July2016'!L2,($C$5*'Tariffs July2016'!AL2/'Tariffs July2016'!AJ2-'Tariffs July2016'!K2)*('Tariffs July2016'!W2/100)*'Tariffs July2016'!AJ2,('Tariffs July2016'!L2-'Tariffs July2016'!K2)*('Tariffs July2016'!W2/100)*'Tariffs July2016'!AJ2))</f>
        <v>128.88</v>
      </c>
      <c r="M8" s="59">
        <f>IF($C$5*'Tariffs July2016'!AL2/'Tariffs July2016'!AJ2&lt;'Tariffs July2016'!L2,0,IF($C$5*'Tariffs July2016'!AL2/'Tariffs July2016'!AJ2&lt;='Tariffs July2016'!M2,($C$5*'Tariffs July2016'!AL2/'Tariffs July2016'!AJ2-'Tariffs July2016'!L2)*('Tariffs July2016'!X2/100)*'Tariffs July2016'!AJ2,('Tariffs July2016'!M2-'Tariffs July2016'!L2)*('Tariffs July2016'!X2/100)*'Tariffs July2016'!AJ2))</f>
        <v>56.744999999999997</v>
      </c>
      <c r="N8" s="59">
        <f>IF(($C$5*'Tariffs July2016'!AL2/'Tariffs July2016'!AJ2&gt;'Tariffs July2016'!M2),($C$5*'Tariffs July2016'!AL2/'Tariffs July2016'!AJ2-'Tariffs July2016'!M2)*'Tariffs July2016'!Y2/100*'Tariffs July2016'!AJ2,0)</f>
        <v>0</v>
      </c>
      <c r="O8" s="271">
        <f>SUM(E8:N8)</f>
        <v>1074.0149999999999</v>
      </c>
      <c r="P8" s="59">
        <f>D8+O8</f>
        <v>1323.1639999999998</v>
      </c>
      <c r="Q8" s="272">
        <f>P8*1.1</f>
        <v>1455.4803999999999</v>
      </c>
      <c r="R8" s="40">
        <f>'Tariffs July2016'!AM2</f>
        <v>0</v>
      </c>
      <c r="S8" s="40">
        <f>'Tariffs July2016'!AN2</f>
        <v>0</v>
      </c>
      <c r="T8" s="40">
        <f>'Tariffs July2016'!AO2</f>
        <v>0</v>
      </c>
      <c r="U8" s="40">
        <f>'Tariffs July2016'!AP2</f>
        <v>13</v>
      </c>
      <c r="V8" s="273">
        <f>P8</f>
        <v>1323.1639999999998</v>
      </c>
      <c r="W8" s="273">
        <f>V8-(O8*U8/100)</f>
        <v>1183.5420499999998</v>
      </c>
      <c r="X8" s="272">
        <f>V8*1.1</f>
        <v>1455.4803999999999</v>
      </c>
      <c r="Y8" s="272">
        <f>W8*1.1</f>
        <v>1301.8962549999999</v>
      </c>
      <c r="Z8" s="274">
        <f>'Tariffs July2016'!AW2</f>
        <v>0</v>
      </c>
      <c r="AA8" s="274" t="str">
        <f>'Tariffs July2016'!AX2</f>
        <v>n</v>
      </c>
      <c r="AB8" s="275" t="str">
        <f>'Tariffs July2016'!BD2</f>
        <v>N</v>
      </c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</row>
    <row r="9" spans="1:40" x14ac:dyDescent="0.15">
      <c r="A9" s="270" t="str">
        <f>'Tariffs July2016'!F3</f>
        <v>Alinta Energy</v>
      </c>
      <c r="B9" s="40" t="str">
        <f>'Tariffs July2016'!D3</f>
        <v>Multinet 1</v>
      </c>
      <c r="C9" s="40" t="str">
        <f>'Tariffs July2016'!G3</f>
        <v>Fair Deal</v>
      </c>
      <c r="D9" s="59">
        <f>365*'Tariffs July2016'!H3/100</f>
        <v>236.62950000000001</v>
      </c>
      <c r="E9" s="59">
        <f>IF($C$5*'Tariffs July2016'!AK3/'Tariffs July2016'!AI3&gt;='Tariffs July2016'!J3,( 'Tariffs July2016'!J3*'Tariffs July2016'!O3/100)* 'Tariffs July2016'!AI3,($C$5*'Tariffs July2016'!AK3/'Tariffs July2016'!AI3*'Tariffs July2016'!O3/100)* 'Tariffs July2016'!AI3)</f>
        <v>173.7</v>
      </c>
      <c r="F9" s="59">
        <f>IF($C$5*'Tariffs July2016'!AK3/'Tariffs July2016'!AI3&lt;'Tariffs July2016'!J3,0,IF($C$5*'Tariffs July2016'!AK3/'Tariffs July2016'!AI3&lt;='Tariffs July2016'!K3,($C$5*'Tariffs July2016'!AK3/'Tariffs July2016'!AI3-'Tariffs July2016'!J3)*('Tariffs July2016'!P3/100)*'Tariffs July2016'!AI3,('Tariffs July2016'!K3-'Tariffs July2016'!J3)*('Tariffs July2016'!P3/100)*'Tariffs July2016'!AI3))</f>
        <v>150.30000000000001</v>
      </c>
      <c r="G9" s="59">
        <f>IF($C$5*'Tariffs July2016'!AK3/'Tariffs July2016'!AI3&lt;'Tariffs July2016'!K3,0,IF($C$5*'Tariffs July2016'!AK3/'Tariffs July2016'!AI3&lt;='Tariffs July2016'!L3,($C$5*'Tariffs July2016'!AK3/'Tariffs July2016'!AI3-'Tariffs July2016'!K3)*('Tariffs July2016'!Q3/100)*'Tariffs July2016'!AI3,('Tariffs July2016'!L3-'Tariffs July2016'!K3)*('Tariffs July2016'!Q3/100)*'Tariffs July2016'!AI3))</f>
        <v>0</v>
      </c>
      <c r="H9" s="59">
        <f>IF($C$5*'Tariffs July2016'!AK3/'Tariffs July2016'!AI3&lt;'Tariffs July2016'!L3,0,IF($C$5*'Tariffs July2016'!AK3/'Tariffs July2016'!AI3&lt;='Tariffs July2016'!M3,($C$5*'Tariffs July2016'!AK3/'Tariffs July2016'!AI3-'Tariffs July2016'!L3)*('Tariffs July2016'!R3/100)*'Tariffs July2016'!AI3,('Tariffs July2016'!M3-'Tariffs July2016'!L3)*('Tariffs July2016'!R3/100)*'Tariffs July2016'!AI3))</f>
        <v>0</v>
      </c>
      <c r="I9" s="59">
        <f>IF(($C$5*'Tariffs July2016'!AK3/'Tariffs July2016'!AI3&gt;'Tariffs July2016'!M3),($C$5*'Tariffs July2016'!AK3/'Tariffs July2016'!AI3-'Tariffs July2016'!M3)*'Tariffs July2016'!S3/100*'Tariffs July2016'!AI3,0)</f>
        <v>182.25</v>
      </c>
      <c r="J9" s="59">
        <f>IF($C$5*'Tariffs July2016'!AL3/'Tariffs July2016'!AJ3&gt;='Tariffs July2016'!J3,('Tariffs July2016'!J3*'Tariffs July2016'!U3/100)* 'Tariffs July2016'!AJ3,($C$5*'Tariffs July2016'!AL3/'Tariffs July2016'!AJ3*'Tariffs July2016'!U3/100)* 'Tariffs July2016'!AJ3)</f>
        <v>168.3</v>
      </c>
      <c r="K9" s="59">
        <f>IF($C$5*'Tariffs July2016'!AL3/'Tariffs July2016'!AJ3&lt;'Tariffs July2016'!J3,0,IF($C$5*'Tariffs July2016'!AL3/'Tariffs July2016'!AJ3&lt;='Tariffs July2016'!K3,($C$5*'Tariffs July2016'!AL3/'Tariffs July2016'!AJ3-'Tariffs July2016'!J3)*('Tariffs July2016'!V3/100)*'Tariffs July2016'!AJ3,('Tariffs July2016'!K3-'Tariffs July2016'!J3)*('Tariffs July2016'!V3/100)*'Tariffs July2016'!AJ3))</f>
        <v>146.69999999999999</v>
      </c>
      <c r="L9" s="59">
        <f>IF($C$5*'Tariffs July2016'!AL3/'Tariffs July2016'!AJ3&lt;'Tariffs July2016'!K3,0,IF($C$5*'Tariffs July2016'!AL3/'Tariffs July2016'!AJ3&lt;='Tariffs July2016'!L3,($C$5*'Tariffs July2016'!AL3/'Tariffs July2016'!AJ3-'Tariffs July2016'!K3)*('Tariffs July2016'!W3/100)*'Tariffs July2016'!AJ3,('Tariffs July2016'!L3-'Tariffs July2016'!K3)*('Tariffs July2016'!W3/100)*'Tariffs July2016'!AJ3))</f>
        <v>0</v>
      </c>
      <c r="M9" s="59">
        <f>IF($C$5*'Tariffs July2016'!AL3/'Tariffs July2016'!AJ3&lt;'Tariffs July2016'!L3,0,IF($C$5*'Tariffs July2016'!AL3/'Tariffs July2016'!AJ3&lt;='Tariffs July2016'!M3,($C$5*'Tariffs July2016'!AL3/'Tariffs July2016'!AJ3-'Tariffs July2016'!L3)*('Tariffs July2016'!X3/100)*'Tariffs July2016'!AJ3,('Tariffs July2016'!M3-'Tariffs July2016'!L3)*('Tariffs July2016'!X3/100)*'Tariffs July2016'!AJ3))</f>
        <v>0</v>
      </c>
      <c r="N9" s="59">
        <f>IF(($C$5*'Tariffs July2016'!AL3/'Tariffs July2016'!AJ3&gt;'Tariffs July2016'!M3),($C$5*'Tariffs July2016'!AL3/'Tariffs July2016'!AJ3-'Tariffs July2016'!M3)*'Tariffs July2016'!Y3/100*'Tariffs July2016'!AJ3,0)</f>
        <v>180.89999999999998</v>
      </c>
      <c r="O9" s="271">
        <f t="shared" ref="O9:O72" si="0">SUM(E9:N9)</f>
        <v>1002.15</v>
      </c>
      <c r="P9" s="59">
        <f t="shared" ref="P9:P72" si="1">D9+O9</f>
        <v>1238.7795000000001</v>
      </c>
      <c r="Q9" s="272">
        <f t="shared" ref="Q9:Q72" si="2">P9*1.1</f>
        <v>1362.6574500000002</v>
      </c>
      <c r="R9" s="40">
        <f>'Tariffs July2016'!AM3</f>
        <v>0</v>
      </c>
      <c r="S9" s="40">
        <f>'Tariffs July2016'!AN3</f>
        <v>0</v>
      </c>
      <c r="T9" s="40">
        <f>'Tariffs July2016'!AO3</f>
        <v>0</v>
      </c>
      <c r="U9" s="40">
        <f>'Tariffs July2016'!AP3</f>
        <v>15</v>
      </c>
      <c r="V9" s="273">
        <f t="shared" ref="V9:V71" si="3">P9</f>
        <v>1238.7795000000001</v>
      </c>
      <c r="W9" s="273">
        <f>V9-(O9*U9/100)</f>
        <v>1088.4570000000001</v>
      </c>
      <c r="X9" s="272">
        <f t="shared" ref="X9:X72" si="4">V9*1.1</f>
        <v>1362.6574500000002</v>
      </c>
      <c r="Y9" s="272">
        <f t="shared" ref="Y9:Y72" si="5">W9*1.1</f>
        <v>1197.3027000000002</v>
      </c>
      <c r="Z9" s="274">
        <f>'Tariffs July2016'!AW3</f>
        <v>0</v>
      </c>
      <c r="AA9" s="274" t="str">
        <f>'Tariffs July2016'!AX3</f>
        <v>n</v>
      </c>
      <c r="AB9" s="275" t="str">
        <f>'Tariffs July2016'!BD3</f>
        <v>Y</v>
      </c>
      <c r="AC9" s="260"/>
      <c r="AD9" s="260"/>
      <c r="AE9" s="260"/>
      <c r="AF9" s="260"/>
      <c r="AG9" s="260"/>
      <c r="AH9" s="260"/>
      <c r="AI9" s="260"/>
      <c r="AJ9" s="260"/>
      <c r="AK9" s="260"/>
      <c r="AL9" s="260"/>
      <c r="AM9" s="260"/>
      <c r="AN9" s="260"/>
    </row>
    <row r="10" spans="1:40" x14ac:dyDescent="0.15">
      <c r="A10" s="270" t="str">
        <f>'Tariffs July2016'!F4</f>
        <v>Click Energy</v>
      </c>
      <c r="B10" s="40" t="str">
        <f>'Tariffs July2016'!D4</f>
        <v>Multinet 1</v>
      </c>
      <c r="C10" s="40" t="str">
        <f>'Tariffs July2016'!G4</f>
        <v>Amber</v>
      </c>
      <c r="D10" s="59">
        <f>365*'Tariffs July2016'!H4/100</f>
        <v>242.72499999999999</v>
      </c>
      <c r="E10" s="59">
        <f>IF($C$5*'Tariffs July2016'!AK4/'Tariffs July2016'!AI4&gt;='Tariffs July2016'!J4,( 'Tariffs July2016'!J4*'Tariffs July2016'!O4/100)* 'Tariffs July2016'!AI4,($C$5*'Tariffs July2016'!AK4/'Tariffs July2016'!AI4*'Tariffs July2016'!O4/100)* 'Tariffs July2016'!AI4)</f>
        <v>198.00000000000006</v>
      </c>
      <c r="F10" s="59">
        <f>IF($C$5*'Tariffs July2016'!AK4/'Tariffs July2016'!AI4&lt;'Tariffs July2016'!J4,0,IF($C$5*'Tariffs July2016'!AK4/'Tariffs July2016'!AI4&lt;='Tariffs July2016'!K4,($C$5*'Tariffs July2016'!AK4/'Tariffs July2016'!AI4-'Tariffs July2016'!J4)*('Tariffs July2016'!P4/100)*'Tariffs July2016'!AI4,('Tariffs July2016'!K4-'Tariffs July2016'!J4)*('Tariffs July2016'!P4/100)*'Tariffs July2016'!AI4))</f>
        <v>171</v>
      </c>
      <c r="G10" s="59">
        <f>IF($C$5*'Tariffs July2016'!AK4/'Tariffs July2016'!AI4&lt;'Tariffs July2016'!K4,0,IF($C$5*'Tariffs July2016'!AK4/'Tariffs July2016'!AI4&lt;='Tariffs July2016'!L4,($C$5*'Tariffs July2016'!AK4/'Tariffs July2016'!AI4-'Tariffs July2016'!K4)*('Tariffs July2016'!Q4/100)*'Tariffs July2016'!AI4,('Tariffs July2016'!L4-'Tariffs July2016'!K4)*('Tariffs July2016'!Q4/100)*'Tariffs July2016'!AI4))</f>
        <v>139.5</v>
      </c>
      <c r="H10" s="59">
        <f>IF($C$5*'Tariffs July2016'!AK4/'Tariffs July2016'!AI4&lt;'Tariffs July2016'!L4,0,IF($C$5*'Tariffs July2016'!AK4/'Tariffs July2016'!AI4&lt;='Tariffs July2016'!M4,($C$5*'Tariffs July2016'!AK4/'Tariffs July2016'!AI4-'Tariffs July2016'!L4)*('Tariffs July2016'!R4/100)*'Tariffs July2016'!AI4,('Tariffs July2016'!M4-'Tariffs July2016'!L4)*('Tariffs July2016'!R4/100)*'Tariffs July2016'!AI4))</f>
        <v>60.750000000000014</v>
      </c>
      <c r="I10" s="59">
        <f>IF(($C$5*'Tariffs July2016'!AK4/'Tariffs July2016'!AI4&gt;'Tariffs July2016'!M4),($C$5*'Tariffs July2016'!AK4/'Tariffs July2016'!AI4-'Tariffs July2016'!M4)*'Tariffs July2016'!S4/100*'Tariffs July2016'!AI4,0)</f>
        <v>0</v>
      </c>
      <c r="J10" s="59">
        <f>IF($C$5*'Tariffs July2016'!AL4/'Tariffs July2016'!AJ4&gt;='Tariffs July2016'!J4,('Tariffs July2016'!J4*'Tariffs July2016'!U4/100)* 'Tariffs July2016'!AJ4,($C$5*'Tariffs July2016'!AL4/'Tariffs July2016'!AJ4*'Tariffs July2016'!U4/100)* 'Tariffs July2016'!AJ4)</f>
        <v>184.49999999999997</v>
      </c>
      <c r="K10" s="59">
        <f>IF($C$5*'Tariffs July2016'!AL4/'Tariffs July2016'!AJ4&lt;'Tariffs July2016'!J4,0,IF($C$5*'Tariffs July2016'!AL4/'Tariffs July2016'!AJ4&lt;='Tariffs July2016'!K4,($C$5*'Tariffs July2016'!AL4/'Tariffs July2016'!AJ4-'Tariffs July2016'!J4)*('Tariffs July2016'!V4/100)*'Tariffs July2016'!AJ4,('Tariffs July2016'!K4-'Tariffs July2016'!J4)*('Tariffs July2016'!V4/100)*'Tariffs July2016'!AJ4))</f>
        <v>162.00000000000003</v>
      </c>
      <c r="L10" s="59">
        <f>IF($C$5*'Tariffs July2016'!AL4/'Tariffs July2016'!AJ4&lt;'Tariffs July2016'!K4,0,IF($C$5*'Tariffs July2016'!AL4/'Tariffs July2016'!AJ4&lt;='Tariffs July2016'!L4,($C$5*'Tariffs July2016'!AL4/'Tariffs July2016'!AJ4-'Tariffs July2016'!K4)*('Tariffs July2016'!W4/100)*'Tariffs July2016'!AJ4,('Tariffs July2016'!L4-'Tariffs July2016'!K4)*('Tariffs July2016'!W4/100)*'Tariffs July2016'!AJ4))</f>
        <v>135</v>
      </c>
      <c r="M10" s="59">
        <f>IF($C$5*'Tariffs July2016'!AL4/'Tariffs July2016'!AJ4&lt;'Tariffs July2016'!L4,0,IF($C$5*'Tariffs July2016'!AL4/'Tariffs July2016'!AJ4&lt;='Tariffs July2016'!M4,($C$5*'Tariffs July2016'!AL4/'Tariffs July2016'!AJ4-'Tariffs July2016'!L4)*('Tariffs July2016'!X4/100)*'Tariffs July2016'!AJ4,('Tariffs July2016'!M4-'Tariffs July2016'!L4)*('Tariffs July2016'!X4/100)*'Tariffs July2016'!AJ4))</f>
        <v>60.750000000000014</v>
      </c>
      <c r="N10" s="59">
        <f>IF(($C$5*'Tariffs July2016'!AL4/'Tariffs July2016'!AJ4&gt;'Tariffs July2016'!M4),($C$5*'Tariffs July2016'!AL4/'Tariffs July2016'!AJ4-'Tariffs July2016'!M4)*'Tariffs July2016'!Y4/100*'Tariffs July2016'!AJ4,0)</f>
        <v>0</v>
      </c>
      <c r="O10" s="271">
        <f t="shared" si="0"/>
        <v>1111.5</v>
      </c>
      <c r="P10" s="59">
        <f t="shared" si="1"/>
        <v>1354.2249999999999</v>
      </c>
      <c r="Q10" s="272">
        <f t="shared" si="2"/>
        <v>1489.6475</v>
      </c>
      <c r="R10" s="40">
        <f>'Tariffs July2016'!AM4</f>
        <v>0</v>
      </c>
      <c r="S10" s="40">
        <f>'Tariffs July2016'!AN4</f>
        <v>0</v>
      </c>
      <c r="T10" s="40">
        <f>'Tariffs July2016'!AO4</f>
        <v>14</v>
      </c>
      <c r="U10" s="40">
        <f>'Tariffs July2016'!AP4</f>
        <v>0</v>
      </c>
      <c r="V10" s="273">
        <f t="shared" si="3"/>
        <v>1354.2249999999999</v>
      </c>
      <c r="W10" s="273">
        <f>V10-(P10*T10/100)</f>
        <v>1164.6334999999999</v>
      </c>
      <c r="X10" s="272">
        <f t="shared" si="4"/>
        <v>1489.6475</v>
      </c>
      <c r="Y10" s="272">
        <f t="shared" si="5"/>
        <v>1281.0968499999999</v>
      </c>
      <c r="Z10" s="274">
        <f>'Tariffs July2016'!AW4</f>
        <v>0</v>
      </c>
      <c r="AA10" s="274" t="str">
        <f>'Tariffs July2016'!AX4</f>
        <v>n</v>
      </c>
      <c r="AB10" s="275" t="str">
        <f>'Tariffs July2016'!BD4</f>
        <v>N</v>
      </c>
      <c r="AC10" s="260"/>
      <c r="AD10" s="260"/>
      <c r="AE10" s="260"/>
      <c r="AF10" s="260"/>
      <c r="AG10" s="260"/>
      <c r="AH10" s="260"/>
      <c r="AI10" s="260"/>
      <c r="AJ10" s="260"/>
      <c r="AK10" s="260"/>
      <c r="AL10" s="260"/>
      <c r="AM10" s="260"/>
      <c r="AN10" s="260"/>
    </row>
    <row r="11" spans="1:40" x14ac:dyDescent="0.15">
      <c r="A11" s="270" t="str">
        <f>'Tariffs July2016'!F5</f>
        <v>Covau</v>
      </c>
      <c r="B11" s="40" t="str">
        <f>'Tariffs July2016'!D5</f>
        <v>Multinet 1</v>
      </c>
      <c r="C11" s="40" t="str">
        <f>'Tariffs July2016'!G5</f>
        <v>Market offer</v>
      </c>
      <c r="D11" s="59">
        <f>365*'Tariffs July2016'!H5/100</f>
        <v>244.55</v>
      </c>
      <c r="E11" s="59">
        <f>IF($C$5*'Tariffs July2016'!AK5/'Tariffs July2016'!AI5&gt;='Tariffs July2016'!J5,( 'Tariffs July2016'!J5*'Tariffs July2016'!O5/100)* 'Tariffs July2016'!AI5,($C$5*'Tariffs July2016'!AK5/'Tariffs July2016'!AI5*'Tariffs July2016'!O5/100)* 'Tariffs July2016'!AI5)</f>
        <v>191.7</v>
      </c>
      <c r="F11" s="59">
        <f>IF($C$5*'Tariffs July2016'!AK5/'Tariffs July2016'!AI5&lt;'Tariffs July2016'!J5,0,IF($C$5*'Tariffs July2016'!AK5/'Tariffs July2016'!AI5&lt;='Tariffs July2016'!K5,($C$5*'Tariffs July2016'!AK5/'Tariffs July2016'!AI5-'Tariffs July2016'!J5)*('Tariffs July2016'!P5/100)*'Tariffs July2016'!AI5,('Tariffs July2016'!K5-'Tariffs July2016'!J5)*('Tariffs July2016'!P5/100)*'Tariffs July2016'!AI5))</f>
        <v>163.80000000000001</v>
      </c>
      <c r="G11" s="59">
        <f>IF($C$5*'Tariffs July2016'!AK5/'Tariffs July2016'!AI5&lt;'Tariffs July2016'!K5,0,IF($C$5*'Tariffs July2016'!AK5/'Tariffs July2016'!AI5&lt;='Tariffs July2016'!L5,($C$5*'Tariffs July2016'!AK5/'Tariffs July2016'!AI5-'Tariffs July2016'!K5)*('Tariffs July2016'!Q5/100)*'Tariffs July2016'!AI5,('Tariffs July2016'!L5-'Tariffs July2016'!K5)*('Tariffs July2016'!Q5/100)*'Tariffs July2016'!AI5))</f>
        <v>129.6</v>
      </c>
      <c r="H11" s="59">
        <f>IF($C$5*'Tariffs July2016'!AK5/'Tariffs July2016'!AI5&lt;'Tariffs July2016'!L5,0,IF($C$5*'Tariffs July2016'!AK5/'Tariffs July2016'!AI5&lt;='Tariffs July2016'!M5,($C$5*'Tariffs July2016'!AK5/'Tariffs July2016'!AI5-'Tariffs July2016'!L5)*('Tariffs July2016'!R5/100)*'Tariffs July2016'!AI5,('Tariffs July2016'!M5-'Tariffs July2016'!L5)*('Tariffs July2016'!R5/100)*'Tariffs July2016'!AI5))</f>
        <v>56.25</v>
      </c>
      <c r="I11" s="59">
        <f>IF(($C$5*'Tariffs July2016'!AK5/'Tariffs July2016'!AI5&gt;'Tariffs July2016'!M5),($C$5*'Tariffs July2016'!AK5/'Tariffs July2016'!AI5-'Tariffs July2016'!M5)*'Tariffs July2016'!S5/100*'Tariffs July2016'!AI5,0)</f>
        <v>0</v>
      </c>
      <c r="J11" s="59">
        <f>IF($C$5*'Tariffs July2016'!AL5/'Tariffs July2016'!AJ5&gt;='Tariffs July2016'!J5,('Tariffs July2016'!J5*'Tariffs July2016'!U5/100)* 'Tariffs July2016'!AJ5,($C$5*'Tariffs July2016'!AL5/'Tariffs July2016'!AJ5*'Tariffs July2016'!U5/100)* 'Tariffs July2016'!AJ5)</f>
        <v>164.7</v>
      </c>
      <c r="K11" s="59">
        <f>IF($C$5*'Tariffs July2016'!AL5/'Tariffs July2016'!AJ5&lt;'Tariffs July2016'!J5,0,IF($C$5*'Tariffs July2016'!AL5/'Tariffs July2016'!AJ5&lt;='Tariffs July2016'!K5,($C$5*'Tariffs July2016'!AL5/'Tariffs July2016'!AJ5-'Tariffs July2016'!J5)*('Tariffs July2016'!V5/100)*'Tariffs July2016'!AJ5,('Tariffs July2016'!K5-'Tariffs July2016'!J5)*('Tariffs July2016'!V5/100)*'Tariffs July2016'!AJ5))</f>
        <v>141.30000000000001</v>
      </c>
      <c r="L11" s="59">
        <f>IF($C$5*'Tariffs July2016'!AL5/'Tariffs July2016'!AJ5&lt;'Tariffs July2016'!K5,0,IF($C$5*'Tariffs July2016'!AL5/'Tariffs July2016'!AJ5&lt;='Tariffs July2016'!L5,($C$5*'Tariffs July2016'!AL5/'Tariffs July2016'!AJ5-'Tariffs July2016'!K5)*('Tariffs July2016'!W5/100)*'Tariffs July2016'!AJ5,('Tariffs July2016'!L5-'Tariffs July2016'!K5)*('Tariffs July2016'!W5/100)*'Tariffs July2016'!AJ5))</f>
        <v>112.5</v>
      </c>
      <c r="M11" s="59">
        <f>IF($C$5*'Tariffs July2016'!AL5/'Tariffs July2016'!AJ5&lt;'Tariffs July2016'!L5,0,IF($C$5*'Tariffs July2016'!AL5/'Tariffs July2016'!AJ5&lt;='Tariffs July2016'!M5,($C$5*'Tariffs July2016'!AL5/'Tariffs July2016'!AJ5-'Tariffs July2016'!L5)*('Tariffs July2016'!X5/100)*'Tariffs July2016'!AJ5,('Tariffs July2016'!M5-'Tariffs July2016'!L5)*('Tariffs July2016'!X5/100)*'Tariffs July2016'!AJ5))</f>
        <v>48.599999999999994</v>
      </c>
      <c r="N11" s="59">
        <f>IF(($C$5*'Tariffs July2016'!AL5/'Tariffs July2016'!AJ5&gt;'Tariffs July2016'!M5),($C$5*'Tariffs July2016'!AL5/'Tariffs July2016'!AJ5-'Tariffs July2016'!M5)*'Tariffs July2016'!Y5/100*'Tariffs July2016'!AJ5,0)</f>
        <v>0</v>
      </c>
      <c r="O11" s="271">
        <f t="shared" si="0"/>
        <v>1008.4499999999999</v>
      </c>
      <c r="P11" s="59">
        <f t="shared" si="1"/>
        <v>1253</v>
      </c>
      <c r="Q11" s="272">
        <f t="shared" si="2"/>
        <v>1378.3000000000002</v>
      </c>
      <c r="R11" s="40">
        <f>'Tariffs July2016'!AM5</f>
        <v>0</v>
      </c>
      <c r="S11" s="40">
        <f>'Tariffs July2016'!AN5</f>
        <v>0</v>
      </c>
      <c r="T11" s="40">
        <f>'Tariffs July2016'!AO5</f>
        <v>0</v>
      </c>
      <c r="U11" s="40">
        <f>'Tariffs July2016'!AP5</f>
        <v>12</v>
      </c>
      <c r="V11" s="273">
        <f t="shared" si="3"/>
        <v>1253</v>
      </c>
      <c r="W11" s="273">
        <f>V11-(O11*U11/100)</f>
        <v>1131.9860000000001</v>
      </c>
      <c r="X11" s="272">
        <f t="shared" si="4"/>
        <v>1378.3000000000002</v>
      </c>
      <c r="Y11" s="272">
        <f t="shared" si="5"/>
        <v>1245.1846000000003</v>
      </c>
      <c r="Z11" s="274">
        <f>'Tariffs July2016'!AW5</f>
        <v>12</v>
      </c>
      <c r="AA11" s="274" t="str">
        <f>'Tariffs July2016'!AX5</f>
        <v>y</v>
      </c>
      <c r="AB11" s="275" t="str">
        <f>'Tariffs July2016'!BD5</f>
        <v>Y</v>
      </c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</row>
    <row r="12" spans="1:40" x14ac:dyDescent="0.15">
      <c r="A12" s="270" t="str">
        <f>'Tariffs July2016'!F6</f>
        <v>Dodo Power &amp; Gas</v>
      </c>
      <c r="B12" s="40" t="str">
        <f>'Tariffs July2016'!D6</f>
        <v>Multinet 1</v>
      </c>
      <c r="C12" s="40" t="str">
        <f>'Tariffs July2016'!G6</f>
        <v>Market offer</v>
      </c>
      <c r="D12" s="59">
        <f>365*'Tariffs July2016'!H6/100</f>
        <v>200.71350000000001</v>
      </c>
      <c r="E12" s="59">
        <f>IF($C$5*'Tariffs July2016'!AK6/'Tariffs July2016'!AI6&gt;='Tariffs July2016'!J6,( 'Tariffs July2016'!J6*'Tariffs July2016'!O6/100)* 'Tariffs July2016'!AI6,($C$5*'Tariffs July2016'!AK6/'Tariffs July2016'!AI6*'Tariffs July2016'!O6/100)* 'Tariffs July2016'!AI6)</f>
        <v>354.6</v>
      </c>
      <c r="F12" s="59">
        <f>IF($C$5*'Tariffs July2016'!AK6/'Tariffs July2016'!AI6&lt;'Tariffs July2016'!J6,0,IF($C$5*'Tariffs July2016'!AK6/'Tariffs July2016'!AI6&lt;='Tariffs July2016'!K6,($C$5*'Tariffs July2016'!AK6/'Tariffs July2016'!AI6-'Tariffs July2016'!J6)*('Tariffs July2016'!P6/100)*'Tariffs July2016'!AI6,('Tariffs July2016'!K6-'Tariffs July2016'!J6)*('Tariffs July2016'!P6/100)*'Tariffs July2016'!AI6))</f>
        <v>171</v>
      </c>
      <c r="G12" s="59">
        <f>IF($C$5*'Tariffs July2016'!AK6/'Tariffs July2016'!AI6&lt;'Tariffs July2016'!K6,0,IF($C$5*'Tariffs July2016'!AK6/'Tariffs July2016'!AI6&lt;='Tariffs July2016'!L6,($C$5*'Tariffs July2016'!AK6/'Tariffs July2016'!AI6-'Tariffs July2016'!K6)*('Tariffs July2016'!Q6/100)*'Tariffs July2016'!AI6,('Tariffs July2016'!L6-'Tariffs July2016'!K6)*('Tariffs July2016'!Q6/100)*'Tariffs July2016'!AI6))</f>
        <v>0</v>
      </c>
      <c r="H12" s="59">
        <f>IF($C$5*'Tariffs July2016'!AK6/'Tariffs July2016'!AI6&lt;'Tariffs July2016'!L6,0,IF($C$5*'Tariffs July2016'!AK6/'Tariffs July2016'!AI6&lt;='Tariffs July2016'!M6,($C$5*'Tariffs July2016'!AK6/'Tariffs July2016'!AI6-'Tariffs July2016'!L6)*('Tariffs July2016'!R6/100)*'Tariffs July2016'!AI6,('Tariffs July2016'!M6-'Tariffs July2016'!L6)*('Tariffs July2016'!R6/100)*'Tariffs July2016'!AI6))</f>
        <v>0</v>
      </c>
      <c r="I12" s="59">
        <f>IF(($C$5*'Tariffs July2016'!AK6/'Tariffs July2016'!AI6&gt;'Tariffs July2016'!M6),($C$5*'Tariffs July2016'!AK6/'Tariffs July2016'!AI6-'Tariffs July2016'!M6)*'Tariffs July2016'!S6/100*'Tariffs July2016'!AI6,0)</f>
        <v>53.550000000000004</v>
      </c>
      <c r="J12" s="59">
        <f>IF($C$5*'Tariffs July2016'!AL6/'Tariffs July2016'!AJ6&gt;='Tariffs July2016'!J6,('Tariffs July2016'!J6*'Tariffs July2016'!U6/100)* 'Tariffs July2016'!AJ6,($C$5*'Tariffs July2016'!AL6/'Tariffs July2016'!AJ6*'Tariffs July2016'!U6/100)* 'Tariffs July2016'!AJ6)</f>
        <v>336.6</v>
      </c>
      <c r="K12" s="59">
        <f>IF($C$5*'Tariffs July2016'!AL6/'Tariffs July2016'!AJ6&lt;'Tariffs July2016'!J6,0,IF($C$5*'Tariffs July2016'!AL6/'Tariffs July2016'!AJ6&lt;='Tariffs July2016'!K6,($C$5*'Tariffs July2016'!AL6/'Tariffs July2016'!AJ6-'Tariffs July2016'!J6)*('Tariffs July2016'!V6/100)*'Tariffs July2016'!AJ6,('Tariffs July2016'!K6-'Tariffs July2016'!J6)*('Tariffs July2016'!V6/100)*'Tariffs July2016'!AJ6))</f>
        <v>127.79999999999998</v>
      </c>
      <c r="L12" s="59">
        <f>IF($C$5*'Tariffs July2016'!AL6/'Tariffs July2016'!AJ6&lt;'Tariffs July2016'!K6,0,IF($C$5*'Tariffs July2016'!AL6/'Tariffs July2016'!AJ6&lt;='Tariffs July2016'!L6,($C$5*'Tariffs July2016'!AL6/'Tariffs July2016'!AJ6-'Tariffs July2016'!K6)*('Tariffs July2016'!W6/100)*'Tariffs July2016'!AJ6,('Tariffs July2016'!L6-'Tariffs July2016'!K6)*('Tariffs July2016'!W6/100)*'Tariffs July2016'!AJ6))</f>
        <v>0</v>
      </c>
      <c r="M12" s="59">
        <f>IF($C$5*'Tariffs July2016'!AL6/'Tariffs July2016'!AJ6&lt;'Tariffs July2016'!L6,0,IF($C$5*'Tariffs July2016'!AL6/'Tariffs July2016'!AJ6&lt;='Tariffs July2016'!M6,($C$5*'Tariffs July2016'!AL6/'Tariffs July2016'!AJ6-'Tariffs July2016'!L6)*('Tariffs July2016'!X6/100)*'Tariffs July2016'!AJ6,('Tariffs July2016'!M6-'Tariffs July2016'!L6)*('Tariffs July2016'!X6/100)*'Tariffs July2016'!AJ6))</f>
        <v>0</v>
      </c>
      <c r="N12" s="59">
        <f>IF(($C$5*'Tariffs July2016'!AL6/'Tariffs July2016'!AJ6&gt;'Tariffs July2016'!M6),($C$5*'Tariffs July2016'!AL6/'Tariffs July2016'!AJ6-'Tariffs July2016'!M6)*'Tariffs July2016'!Y6/100*'Tariffs July2016'!AJ6,0)</f>
        <v>53.550000000000004</v>
      </c>
      <c r="O12" s="271">
        <f t="shared" si="0"/>
        <v>1097.0999999999999</v>
      </c>
      <c r="P12" s="59">
        <f t="shared" si="1"/>
        <v>1297.8135</v>
      </c>
      <c r="Q12" s="272">
        <f t="shared" si="2"/>
        <v>1427.5948500000002</v>
      </c>
      <c r="R12" s="40">
        <f>'Tariffs July2016'!AM6</f>
        <v>0</v>
      </c>
      <c r="S12" s="40">
        <f>'Tariffs July2016'!AN6</f>
        <v>0</v>
      </c>
      <c r="T12" s="40">
        <f>'Tariffs July2016'!AO6</f>
        <v>0</v>
      </c>
      <c r="U12" s="40">
        <f>'Tariffs July2016'!AP6</f>
        <v>0</v>
      </c>
      <c r="V12" s="273">
        <f t="shared" si="3"/>
        <v>1297.8135</v>
      </c>
      <c r="W12" s="273">
        <f>V12-(O12*U12/100)</f>
        <v>1297.8135</v>
      </c>
      <c r="X12" s="272">
        <f t="shared" si="4"/>
        <v>1427.5948500000002</v>
      </c>
      <c r="Y12" s="272">
        <f t="shared" si="5"/>
        <v>1427.5948500000002</v>
      </c>
      <c r="Z12" s="274">
        <f>'Tariffs July2016'!AW6</f>
        <v>0</v>
      </c>
      <c r="AA12" s="274" t="str">
        <f>'Tariffs July2016'!AX6</f>
        <v>n</v>
      </c>
      <c r="AB12" s="275" t="str">
        <f>'Tariffs July2016'!BD6</f>
        <v>Y</v>
      </c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260"/>
      <c r="AN12" s="260"/>
    </row>
    <row r="13" spans="1:40" x14ac:dyDescent="0.15">
      <c r="A13" s="270" t="str">
        <f>'Tariffs July2016'!F7</f>
        <v>EnergyAustralia</v>
      </c>
      <c r="B13" s="40" t="str">
        <f>'Tariffs July2016'!D7</f>
        <v>Multinet 1</v>
      </c>
      <c r="C13" s="40" t="str">
        <f>'Tariffs July2016'!G7</f>
        <v xml:space="preserve">Flexi Saver </v>
      </c>
      <c r="D13" s="59">
        <f>365*'Tariffs July2016'!H7/100</f>
        <v>259.14999999999998</v>
      </c>
      <c r="E13" s="59">
        <f>IF($C$5*'Tariffs July2016'!AK7/'Tariffs July2016'!AI7&gt;='Tariffs July2016'!J7,( 'Tariffs July2016'!J7*'Tariffs July2016'!O7/100)* 'Tariffs July2016'!AI7,($C$5*'Tariffs July2016'!AK7/'Tariffs July2016'!AI7*'Tariffs July2016'!O7/100)* 'Tariffs July2016'!AI7)</f>
        <v>189</v>
      </c>
      <c r="F13" s="59">
        <f>IF($C$5*'Tariffs July2016'!AK7/'Tariffs July2016'!AI7&lt;'Tariffs July2016'!J7,0,IF($C$5*'Tariffs July2016'!AK7/'Tariffs July2016'!AI7&lt;='Tariffs July2016'!K7,($C$5*'Tariffs July2016'!AK7/'Tariffs July2016'!AI7-'Tariffs July2016'!J7)*('Tariffs July2016'!P7/100)*'Tariffs July2016'!AI7,('Tariffs July2016'!K7-'Tariffs July2016'!J7)*('Tariffs July2016'!P7/100)*'Tariffs July2016'!AI7))</f>
        <v>166.50000000000003</v>
      </c>
      <c r="G13" s="59">
        <f>IF($C$5*'Tariffs July2016'!AK7/'Tariffs July2016'!AI7&lt;'Tariffs July2016'!K7,0,IF($C$5*'Tariffs July2016'!AK7/'Tariffs July2016'!AI7&lt;='Tariffs July2016'!L7,($C$5*'Tariffs July2016'!AK7/'Tariffs July2016'!AI7-'Tariffs July2016'!K7)*('Tariffs July2016'!Q7/100)*'Tariffs July2016'!AI7,('Tariffs July2016'!L7-'Tariffs July2016'!K7)*('Tariffs July2016'!Q7/100)*'Tariffs July2016'!AI7))</f>
        <v>133.19999999999999</v>
      </c>
      <c r="H13" s="59">
        <f>IF($C$5*'Tariffs July2016'!AK7/'Tariffs July2016'!AI7&lt;'Tariffs July2016'!L7,0,IF($C$5*'Tariffs July2016'!AK7/'Tariffs July2016'!AI7&lt;='Tariffs July2016'!M7,($C$5*'Tariffs July2016'!AK7/'Tariffs July2016'!AI7-'Tariffs July2016'!L7)*('Tariffs July2016'!R7/100)*'Tariffs July2016'!AI7,('Tariffs July2016'!M7-'Tariffs July2016'!L7)*('Tariffs July2016'!R7/100)*'Tariffs July2016'!AI7))</f>
        <v>57.599999999999994</v>
      </c>
      <c r="I13" s="59">
        <f>IF(($C$5*'Tariffs July2016'!AK7/'Tariffs July2016'!AI7&gt;'Tariffs July2016'!M7),($C$5*'Tariffs July2016'!AK7/'Tariffs July2016'!AI7-'Tariffs July2016'!M7)*'Tariffs July2016'!S7/100*'Tariffs July2016'!AI7,0)</f>
        <v>0</v>
      </c>
      <c r="J13" s="59">
        <f>IF($C$5*'Tariffs July2016'!AL7/'Tariffs July2016'!AJ7&gt;='Tariffs July2016'!J7,('Tariffs July2016'!J7*'Tariffs July2016'!U7/100)* 'Tariffs July2016'!AJ7,($C$5*'Tariffs July2016'!AL7/'Tariffs July2016'!AJ7*'Tariffs July2016'!U7/100)* 'Tariffs July2016'!AJ7)</f>
        <v>175.5</v>
      </c>
      <c r="K13" s="59">
        <f>IF($C$5*'Tariffs July2016'!AL7/'Tariffs July2016'!AJ7&lt;'Tariffs July2016'!J7,0,IF($C$5*'Tariffs July2016'!AL7/'Tariffs July2016'!AJ7&lt;='Tariffs July2016'!K7,($C$5*'Tariffs July2016'!AL7/'Tariffs July2016'!AJ7-'Tariffs July2016'!J7)*('Tariffs July2016'!V7/100)*'Tariffs July2016'!AJ7,('Tariffs July2016'!K7-'Tariffs July2016'!J7)*('Tariffs July2016'!V7/100)*'Tariffs July2016'!AJ7))</f>
        <v>148.5</v>
      </c>
      <c r="L13" s="59">
        <f>IF($C$5*'Tariffs July2016'!AL7/'Tariffs July2016'!AJ7&lt;'Tariffs July2016'!K7,0,IF($C$5*'Tariffs July2016'!AL7/'Tariffs July2016'!AJ7&lt;='Tariffs July2016'!L7,($C$5*'Tariffs July2016'!AL7/'Tariffs July2016'!AJ7-'Tariffs July2016'!K7)*('Tariffs July2016'!W7/100)*'Tariffs July2016'!AJ7,('Tariffs July2016'!L7-'Tariffs July2016'!K7)*('Tariffs July2016'!W7/100)*'Tariffs July2016'!AJ7))</f>
        <v>120.60000000000001</v>
      </c>
      <c r="M13" s="59">
        <f>IF($C$5*'Tariffs July2016'!AL7/'Tariffs July2016'!AJ7&lt;'Tariffs July2016'!L7,0,IF($C$5*'Tariffs July2016'!AL7/'Tariffs July2016'!AJ7&lt;='Tariffs July2016'!M7,($C$5*'Tariffs July2016'!AL7/'Tariffs July2016'!AJ7-'Tariffs July2016'!L7)*('Tariffs July2016'!X7/100)*'Tariffs July2016'!AJ7,('Tariffs July2016'!M7-'Tariffs July2016'!L7)*('Tariffs July2016'!X7/100)*'Tariffs July2016'!AJ7))</f>
        <v>53.099999999999994</v>
      </c>
      <c r="N13" s="59">
        <f>IF(($C$5*'Tariffs July2016'!AL7/'Tariffs July2016'!AJ7&gt;'Tariffs July2016'!M7),($C$5*'Tariffs July2016'!AL7/'Tariffs July2016'!AJ7-'Tariffs July2016'!M7)*'Tariffs July2016'!Y7/100*'Tariffs July2016'!AJ7,0)</f>
        <v>0</v>
      </c>
      <c r="O13" s="271">
        <f t="shared" si="0"/>
        <v>1044</v>
      </c>
      <c r="P13" s="59">
        <f t="shared" si="1"/>
        <v>1303.1500000000001</v>
      </c>
      <c r="Q13" s="272">
        <f t="shared" si="2"/>
        <v>1433.4650000000001</v>
      </c>
      <c r="R13" s="40">
        <f>'Tariffs July2016'!AM7</f>
        <v>0</v>
      </c>
      <c r="S13" s="40">
        <f>'Tariffs July2016'!AN7</f>
        <v>0</v>
      </c>
      <c r="T13" s="40">
        <f>'Tariffs July2016'!AO7</f>
        <v>0</v>
      </c>
      <c r="U13" s="40">
        <f>'Tariffs July2016'!AP7</f>
        <v>16</v>
      </c>
      <c r="V13" s="273">
        <f t="shared" si="3"/>
        <v>1303.1500000000001</v>
      </c>
      <c r="W13" s="273">
        <f>V13-(O13*U13/100)</f>
        <v>1136.1100000000001</v>
      </c>
      <c r="X13" s="272">
        <f t="shared" si="4"/>
        <v>1433.4650000000001</v>
      </c>
      <c r="Y13" s="272">
        <f t="shared" si="5"/>
        <v>1249.7210000000002</v>
      </c>
      <c r="Z13" s="274">
        <f>'Tariffs July2016'!AW7</f>
        <v>0</v>
      </c>
      <c r="AA13" s="274" t="str">
        <f>'Tariffs July2016'!AX7</f>
        <v>n</v>
      </c>
      <c r="AB13" s="275" t="str">
        <f>'Tariffs July2016'!BD7</f>
        <v>N</v>
      </c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</row>
    <row r="14" spans="1:40" x14ac:dyDescent="0.15">
      <c r="A14" s="270" t="str">
        <f>'Tariffs July2016'!F8</f>
        <v>Lumo Energy</v>
      </c>
      <c r="B14" s="40" t="str">
        <f>'Tariffs July2016'!D8</f>
        <v>Multinet 1</v>
      </c>
      <c r="C14" s="40" t="str">
        <f>'Tariffs July2016'!G8</f>
        <v>Advantage</v>
      </c>
      <c r="D14" s="59">
        <f>365*'Tariffs July2016'!H8/100</f>
        <v>229.62149999999997</v>
      </c>
      <c r="E14" s="59">
        <f>IF($C$5*'Tariffs July2016'!AK8/'Tariffs July2016'!AI8&gt;='Tariffs July2016'!J8,( 'Tariffs July2016'!J8*'Tariffs July2016'!O8/100)* 'Tariffs July2016'!AI8,($C$5*'Tariffs July2016'!AK8/'Tariffs July2016'!AI8*'Tariffs July2016'!O8/100)* 'Tariffs July2016'!AI8)</f>
        <v>188.01</v>
      </c>
      <c r="F14" s="59">
        <f>IF($C$5*'Tariffs July2016'!AK8/'Tariffs July2016'!AI8&lt;'Tariffs July2016'!J8,0,IF($C$5*'Tariffs July2016'!AK8/'Tariffs July2016'!AI8&lt;='Tariffs July2016'!K8,($C$5*'Tariffs July2016'!AK8/'Tariffs July2016'!AI8-'Tariffs July2016'!J8)*('Tariffs July2016'!P8/100)*'Tariffs July2016'!AI8,('Tariffs July2016'!K8-'Tariffs July2016'!J8)*('Tariffs July2016'!P8/100)*'Tariffs July2016'!AI8))</f>
        <v>164.07</v>
      </c>
      <c r="G14" s="59">
        <f>IF($C$5*'Tariffs July2016'!AK8/'Tariffs July2016'!AI8&lt;'Tariffs July2016'!K8,0,IF($C$5*'Tariffs July2016'!AK8/'Tariffs July2016'!AI8&lt;='Tariffs July2016'!L8,($C$5*'Tariffs July2016'!AK8/'Tariffs July2016'!AI8-'Tariffs July2016'!K8)*('Tariffs July2016'!Q8/100)*'Tariffs July2016'!AI8,('Tariffs July2016'!L8-'Tariffs July2016'!K8)*('Tariffs July2016'!Q8/100)*'Tariffs July2016'!AI8))</f>
        <v>135.08999999999997</v>
      </c>
      <c r="H14" s="59">
        <f>IF($C$5*'Tariffs July2016'!AK8/'Tariffs July2016'!AI8&lt;'Tariffs July2016'!L8,0,IF($C$5*'Tariffs July2016'!AK8/'Tariffs July2016'!AI8&lt;='Tariffs July2016'!M8,($C$5*'Tariffs July2016'!AK8/'Tariffs July2016'!AI8-'Tariffs July2016'!L8)*('Tariffs July2016'!R8/100)*'Tariffs July2016'!AI8,('Tariffs July2016'!M8-'Tariffs July2016'!L8)*('Tariffs July2016'!R8/100)*'Tariffs July2016'!AI8))</f>
        <v>59.894999999999996</v>
      </c>
      <c r="I14" s="59">
        <f>IF(($C$5*'Tariffs July2016'!AK8/'Tariffs July2016'!AI8&gt;'Tariffs July2016'!M8),($C$5*'Tariffs July2016'!AK8/'Tariffs July2016'!AI8-'Tariffs July2016'!M8)*'Tariffs July2016'!S8/100*'Tariffs July2016'!AI8,0)</f>
        <v>0</v>
      </c>
      <c r="J14" s="59">
        <f>IF($C$5*'Tariffs July2016'!AL8/'Tariffs July2016'!AJ8&gt;='Tariffs July2016'!J8,('Tariffs July2016'!J8*'Tariffs July2016'!U8/100)* 'Tariffs July2016'!AJ8,($C$5*'Tariffs July2016'!AL8/'Tariffs July2016'!AJ8*'Tariffs July2016'!U8/100)* 'Tariffs July2016'!AJ8)</f>
        <v>176.67000000000002</v>
      </c>
      <c r="K14" s="59">
        <f>IF($C$5*'Tariffs July2016'!AL8/'Tariffs July2016'!AJ8&lt;'Tariffs July2016'!J8,0,IF($C$5*'Tariffs July2016'!AL8/'Tariffs July2016'!AJ8&lt;='Tariffs July2016'!K8,($C$5*'Tariffs July2016'!AL8/'Tariffs July2016'!AJ8-'Tariffs July2016'!J8)*('Tariffs July2016'!V8/100)*'Tariffs July2016'!AJ8,('Tariffs July2016'!K8-'Tariffs July2016'!J8)*('Tariffs July2016'!V8/100)*'Tariffs July2016'!AJ8))</f>
        <v>155.97</v>
      </c>
      <c r="L14" s="59">
        <f>IF($C$5*'Tariffs July2016'!AL8/'Tariffs July2016'!AJ8&lt;'Tariffs July2016'!K8,0,IF($C$5*'Tariffs July2016'!AL8/'Tariffs July2016'!AJ8&lt;='Tariffs July2016'!L8,($C$5*'Tariffs July2016'!AL8/'Tariffs July2016'!AJ8-'Tariffs July2016'!K8)*('Tariffs July2016'!W8/100)*'Tariffs July2016'!AJ8,('Tariffs July2016'!L8-'Tariffs July2016'!K8)*('Tariffs July2016'!W8/100)*'Tariffs July2016'!AJ8))</f>
        <v>130.85999999999999</v>
      </c>
      <c r="M14" s="59">
        <f>IF($C$5*'Tariffs July2016'!AL8/'Tariffs July2016'!AJ8&lt;'Tariffs July2016'!L8,0,IF($C$5*'Tariffs July2016'!AL8/'Tariffs July2016'!AJ8&lt;='Tariffs July2016'!M8,($C$5*'Tariffs July2016'!AL8/'Tariffs July2016'!AJ8-'Tariffs July2016'!L8)*('Tariffs July2016'!X8/100)*'Tariffs July2016'!AJ8,('Tariffs July2016'!M8-'Tariffs July2016'!L8)*('Tariffs July2016'!X8/100)*'Tariffs July2016'!AJ8))</f>
        <v>58.814999999999998</v>
      </c>
      <c r="N14" s="59">
        <f>IF(($C$5*'Tariffs July2016'!AL8/'Tariffs July2016'!AJ8&gt;'Tariffs July2016'!M8),($C$5*'Tariffs July2016'!AL8/'Tariffs July2016'!AJ8-'Tariffs July2016'!M8)*'Tariffs July2016'!Y8/100*'Tariffs July2016'!AJ8,0)</f>
        <v>0</v>
      </c>
      <c r="O14" s="271">
        <f t="shared" si="0"/>
        <v>1069.3799999999999</v>
      </c>
      <c r="P14" s="59">
        <f t="shared" si="1"/>
        <v>1299.0014999999999</v>
      </c>
      <c r="Q14" s="272">
        <f t="shared" si="2"/>
        <v>1428.90165</v>
      </c>
      <c r="R14" s="40">
        <f>'Tariffs July2016'!AM8</f>
        <v>0</v>
      </c>
      <c r="S14" s="40">
        <f>'Tariffs July2016'!AN8</f>
        <v>0</v>
      </c>
      <c r="T14" s="40">
        <f>'Tariffs July2016'!AO8</f>
        <v>15</v>
      </c>
      <c r="U14" s="40">
        <f>'Tariffs July2016'!AP8</f>
        <v>0</v>
      </c>
      <c r="V14" s="273">
        <f t="shared" si="3"/>
        <v>1299.0014999999999</v>
      </c>
      <c r="W14" s="273">
        <f>V14-(P14*T14/100)</f>
        <v>1104.1512749999999</v>
      </c>
      <c r="X14" s="272">
        <f t="shared" si="4"/>
        <v>1428.90165</v>
      </c>
      <c r="Y14" s="272">
        <f t="shared" si="5"/>
        <v>1214.5664025000001</v>
      </c>
      <c r="Z14" s="274">
        <f>'Tariffs July2016'!AW8</f>
        <v>24</v>
      </c>
      <c r="AA14" s="274" t="str">
        <f>'Tariffs July2016'!AX8</f>
        <v>n</v>
      </c>
      <c r="AB14" s="275" t="str">
        <f>'Tariffs July2016'!BD8</f>
        <v>Y</v>
      </c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</row>
    <row r="15" spans="1:40" x14ac:dyDescent="0.15">
      <c r="A15" s="270" t="str">
        <f>'Tariffs July2016'!F9</f>
        <v>Momentum Energy</v>
      </c>
      <c r="B15" s="40" t="str">
        <f>'Tariffs July2016'!D9</f>
        <v>Multinet 1</v>
      </c>
      <c r="C15" s="40" t="str">
        <f>'Tariffs July2016'!G9</f>
        <v>Market offer</v>
      </c>
      <c r="D15" s="59">
        <f>365*'Tariffs July2016'!H9/100</f>
        <v>212.21099999999998</v>
      </c>
      <c r="E15" s="59">
        <f>IF($C$5*'Tariffs July2016'!AK9/'Tariffs July2016'!AI9&gt;='Tariffs July2016'!J9,( 'Tariffs July2016'!J9*'Tariffs July2016'!O9/100)* 'Tariffs July2016'!AI9,($C$5*'Tariffs July2016'!AK9/'Tariffs July2016'!AI9*'Tariffs July2016'!O9/100)* 'Tariffs July2016'!AI9)</f>
        <v>147.96</v>
      </c>
      <c r="F15" s="59">
        <f>IF($C$5*'Tariffs July2016'!AK9/'Tariffs July2016'!AI9&lt;'Tariffs July2016'!J9,0,IF($C$5*'Tariffs July2016'!AK9/'Tariffs July2016'!AI9&lt;='Tariffs July2016'!K9,($C$5*'Tariffs July2016'!AK9/'Tariffs July2016'!AI9-'Tariffs July2016'!J9)*('Tariffs July2016'!P9/100)*'Tariffs July2016'!AI9,('Tariffs July2016'!K9-'Tariffs July2016'!J9)*('Tariffs July2016'!P9/100)*'Tariffs July2016'!AI9))</f>
        <v>132.03000000000003</v>
      </c>
      <c r="G15" s="59">
        <f>IF($C$5*'Tariffs July2016'!AK9/'Tariffs July2016'!AI9&lt;'Tariffs July2016'!K9,0,IF($C$5*'Tariffs July2016'!AK9/'Tariffs July2016'!AI9&lt;='Tariffs July2016'!L9,($C$5*'Tariffs July2016'!AK9/'Tariffs July2016'!AI9-'Tariffs July2016'!K9)*('Tariffs July2016'!Q9/100)*'Tariffs July2016'!AI9,('Tariffs July2016'!L9-'Tariffs July2016'!K9)*('Tariffs July2016'!Q9/100)*'Tariffs July2016'!AI9))</f>
        <v>108.44999999999999</v>
      </c>
      <c r="H15" s="59">
        <f>IF($C$5*'Tariffs July2016'!AK9/'Tariffs July2016'!AI9&lt;'Tariffs July2016'!L9,0,IF($C$5*'Tariffs July2016'!AK9/'Tariffs July2016'!AI9&lt;='Tariffs July2016'!M9,($C$5*'Tariffs July2016'!AK9/'Tariffs July2016'!AI9-'Tariffs July2016'!L9)*('Tariffs July2016'!R9/100)*'Tariffs July2016'!AI9,('Tariffs July2016'!M9-'Tariffs July2016'!L9)*('Tariffs July2016'!R9/100)*'Tariffs July2016'!AI9))</f>
        <v>48.015000000000001</v>
      </c>
      <c r="I15" s="59">
        <f>IF(($C$5*'Tariffs July2016'!AK9/'Tariffs July2016'!AI9&gt;'Tariffs July2016'!M9),($C$5*'Tariffs July2016'!AK9/'Tariffs July2016'!AI9-'Tariffs July2016'!M9)*'Tariffs July2016'!S9/100*'Tariffs July2016'!AI9,0)</f>
        <v>0</v>
      </c>
      <c r="J15" s="59">
        <f>IF($C$5*'Tariffs July2016'!AL9/'Tariffs July2016'!AJ9&gt;='Tariffs July2016'!J9,('Tariffs July2016'!J9*'Tariffs July2016'!U9/100)* 'Tariffs July2016'!AJ9,($C$5*'Tariffs July2016'!AL9/'Tariffs July2016'!AJ9*'Tariffs July2016'!U9/100)* 'Tariffs July2016'!AJ9)</f>
        <v>134.01</v>
      </c>
      <c r="K15" s="59">
        <f>IF($C$5*'Tariffs July2016'!AL9/'Tariffs July2016'!AJ9&lt;'Tariffs July2016'!J9,0,IF($C$5*'Tariffs July2016'!AL9/'Tariffs July2016'!AJ9&lt;='Tariffs July2016'!K9,($C$5*'Tariffs July2016'!AL9/'Tariffs July2016'!AJ9-'Tariffs July2016'!J9)*('Tariffs July2016'!V9/100)*'Tariffs July2016'!AJ9,('Tariffs July2016'!K9-'Tariffs July2016'!J9)*('Tariffs July2016'!V9/100)*'Tariffs July2016'!AJ9))</f>
        <v>120.96000000000001</v>
      </c>
      <c r="L15" s="59">
        <f>IF($C$5*'Tariffs July2016'!AL9/'Tariffs July2016'!AJ9&lt;'Tariffs July2016'!K9,0,IF($C$5*'Tariffs July2016'!AL9/'Tariffs July2016'!AJ9&lt;='Tariffs July2016'!L9,($C$5*'Tariffs July2016'!AL9/'Tariffs July2016'!AJ9-'Tariffs July2016'!K9)*('Tariffs July2016'!W9/100)*'Tariffs July2016'!AJ9,('Tariffs July2016'!L9-'Tariffs July2016'!K9)*('Tariffs July2016'!W9/100)*'Tariffs July2016'!AJ9))</f>
        <v>100.98000000000002</v>
      </c>
      <c r="M15" s="59">
        <f>IF($C$5*'Tariffs July2016'!AL9/'Tariffs July2016'!AJ9&lt;'Tariffs July2016'!L9,0,IF($C$5*'Tariffs July2016'!AL9/'Tariffs July2016'!AJ9&lt;='Tariffs July2016'!M9,($C$5*'Tariffs July2016'!AL9/'Tariffs July2016'!AJ9-'Tariffs July2016'!L9)*('Tariffs July2016'!X9/100)*'Tariffs July2016'!AJ9,('Tariffs July2016'!M9-'Tariffs July2016'!L9)*('Tariffs July2016'!X9/100)*'Tariffs July2016'!AJ9))</f>
        <v>45.18</v>
      </c>
      <c r="N15" s="59">
        <f>IF(($C$5*'Tariffs July2016'!AL9/'Tariffs July2016'!AJ9&gt;'Tariffs July2016'!M9),($C$5*'Tariffs July2016'!AL9/'Tariffs July2016'!AJ9-'Tariffs July2016'!M9)*'Tariffs July2016'!Y9/100*'Tariffs July2016'!AJ9,0)</f>
        <v>0</v>
      </c>
      <c r="O15" s="271">
        <f t="shared" si="0"/>
        <v>837.58499999999992</v>
      </c>
      <c r="P15" s="59">
        <f t="shared" si="1"/>
        <v>1049.7959999999998</v>
      </c>
      <c r="Q15" s="272">
        <f t="shared" si="2"/>
        <v>1154.7755999999999</v>
      </c>
      <c r="R15" s="40">
        <f>'Tariffs July2016'!AM9</f>
        <v>0</v>
      </c>
      <c r="S15" s="40">
        <f>'Tariffs July2016'!AN9</f>
        <v>0</v>
      </c>
      <c r="T15" s="40">
        <f>'Tariffs July2016'!AO9</f>
        <v>0</v>
      </c>
      <c r="U15" s="40">
        <f>'Tariffs July2016'!AP9</f>
        <v>0</v>
      </c>
      <c r="V15" s="273">
        <f t="shared" si="3"/>
        <v>1049.7959999999998</v>
      </c>
      <c r="W15" s="273">
        <f>V15</f>
        <v>1049.7959999999998</v>
      </c>
      <c r="X15" s="272">
        <f t="shared" si="4"/>
        <v>1154.7755999999999</v>
      </c>
      <c r="Y15" s="272">
        <f t="shared" si="5"/>
        <v>1154.7755999999999</v>
      </c>
      <c r="Z15" s="274">
        <f>'Tariffs July2016'!AW9</f>
        <v>0</v>
      </c>
      <c r="AA15" s="274" t="str">
        <f>'Tariffs July2016'!AX9</f>
        <v>n</v>
      </c>
      <c r="AB15" s="275" t="str">
        <f>'Tariffs July2016'!BD9</f>
        <v>Y</v>
      </c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</row>
    <row r="16" spans="1:40" x14ac:dyDescent="0.15">
      <c r="A16" s="270" t="str">
        <f>'Tariffs July2016'!F10</f>
        <v>Origin Energy</v>
      </c>
      <c r="B16" s="40" t="str">
        <f>'Tariffs July2016'!D10</f>
        <v>Multinet 1</v>
      </c>
      <c r="C16" s="40" t="str">
        <f>'Tariffs July2016'!G10</f>
        <v>Saver</v>
      </c>
      <c r="D16" s="59">
        <f>365*'Tariffs July2016'!H10/100</f>
        <v>250.755</v>
      </c>
      <c r="E16" s="59">
        <f>IF($C$5*'Tariffs July2016'!AK10/'Tariffs July2016'!AI10&gt;='Tariffs July2016'!J10,( 'Tariffs July2016'!J10*'Tariffs July2016'!O10/100)* 'Tariffs July2016'!AI10,($C$5*'Tariffs July2016'!AK10/'Tariffs July2016'!AI10*'Tariffs July2016'!O10/100)* 'Tariffs July2016'!AI10)</f>
        <v>373.68</v>
      </c>
      <c r="F16" s="59">
        <f>IF($C$5*'Tariffs July2016'!AK10/'Tariffs July2016'!AI10&lt;'Tariffs July2016'!J10,0,IF($C$5*'Tariffs July2016'!AK10/'Tariffs July2016'!AI10&lt;='Tariffs July2016'!K10,($C$5*'Tariffs July2016'!AK10/'Tariffs July2016'!AI10-'Tariffs July2016'!J10)*('Tariffs July2016'!P10/100)*'Tariffs July2016'!AI10,('Tariffs July2016'!K10-'Tariffs July2016'!J10)*('Tariffs July2016'!P10/100)*'Tariffs July2016'!AI10))</f>
        <v>149.85000000000002</v>
      </c>
      <c r="G16" s="59">
        <f>IF($C$5*'Tariffs July2016'!AK10/'Tariffs July2016'!AI10&lt;'Tariffs July2016'!K10,0,IF($C$5*'Tariffs July2016'!AK10/'Tariffs July2016'!AI10&lt;='Tariffs July2016'!L10,($C$5*'Tariffs July2016'!AK10/'Tariffs July2016'!AI10-'Tariffs July2016'!K10)*('Tariffs July2016'!Q10/100)*'Tariffs July2016'!AI10,('Tariffs July2016'!L10-'Tariffs July2016'!K10)*('Tariffs July2016'!Q10/100)*'Tariffs July2016'!AI10))</f>
        <v>0</v>
      </c>
      <c r="H16" s="59">
        <f>IF($C$5*'Tariffs July2016'!AK10/'Tariffs July2016'!AI10&lt;'Tariffs July2016'!L10,0,IF($C$5*'Tariffs July2016'!AK10/'Tariffs July2016'!AI10&lt;='Tariffs July2016'!M10,($C$5*'Tariffs July2016'!AK10/'Tariffs July2016'!AI10-'Tariffs July2016'!L10)*('Tariffs July2016'!R10/100)*'Tariffs July2016'!AI10,('Tariffs July2016'!M10-'Tariffs July2016'!L10)*('Tariffs July2016'!R10/100)*'Tariffs July2016'!AI10))</f>
        <v>0</v>
      </c>
      <c r="I16" s="59">
        <f>IF(($C$5*'Tariffs July2016'!AK10/'Tariffs July2016'!AI10&gt;'Tariffs July2016'!M10),($C$5*'Tariffs July2016'!AK10/'Tariffs July2016'!AI10-'Tariffs July2016'!M10)*'Tariffs July2016'!S10/100*'Tariffs July2016'!AI10,0)</f>
        <v>52.199999999999996</v>
      </c>
      <c r="J16" s="59">
        <f>IF($C$5*'Tariffs July2016'!AL10/'Tariffs July2016'!AJ10&gt;='Tariffs July2016'!J10,('Tariffs July2016'!J10*'Tariffs July2016'!U10/100)* 'Tariffs July2016'!AJ10,($C$5*'Tariffs July2016'!AL10/'Tariffs July2016'!AJ10*'Tariffs July2016'!U10/100)* 'Tariffs July2016'!AJ10)</f>
        <v>336.96</v>
      </c>
      <c r="K16" s="59">
        <f>IF($C$5*'Tariffs July2016'!AL10/'Tariffs July2016'!AJ10&lt;'Tariffs July2016'!J10,0,IF($C$5*'Tariffs July2016'!AL10/'Tariffs July2016'!AJ10&lt;='Tariffs July2016'!K10,($C$5*'Tariffs July2016'!AL10/'Tariffs July2016'!AJ10-'Tariffs July2016'!J10)*('Tariffs July2016'!V10/100)*'Tariffs July2016'!AJ10,('Tariffs July2016'!K10-'Tariffs July2016'!J10)*('Tariffs July2016'!V10/100)*'Tariffs July2016'!AJ10))</f>
        <v>130.05000000000001</v>
      </c>
      <c r="L16" s="59">
        <f>IF($C$5*'Tariffs July2016'!AL10/'Tariffs July2016'!AJ10&lt;'Tariffs July2016'!K10,0,IF($C$5*'Tariffs July2016'!AL10/'Tariffs July2016'!AJ10&lt;='Tariffs July2016'!L10,($C$5*'Tariffs July2016'!AL10/'Tariffs July2016'!AJ10-'Tariffs July2016'!K10)*('Tariffs July2016'!W10/100)*'Tariffs July2016'!AJ10,('Tariffs July2016'!L10-'Tariffs July2016'!K10)*('Tariffs July2016'!W10/100)*'Tariffs July2016'!AJ10))</f>
        <v>0</v>
      </c>
      <c r="M16" s="59">
        <f>IF($C$5*'Tariffs July2016'!AL10/'Tariffs July2016'!AJ10&lt;'Tariffs July2016'!L10,0,IF($C$5*'Tariffs July2016'!AL10/'Tariffs July2016'!AJ10&lt;='Tariffs July2016'!M10,($C$5*'Tariffs July2016'!AL10/'Tariffs July2016'!AJ10-'Tariffs July2016'!L10)*('Tariffs July2016'!X10/100)*'Tariffs July2016'!AJ10,('Tariffs July2016'!M10-'Tariffs July2016'!L10)*('Tariffs July2016'!X10/100)*'Tariffs July2016'!AJ10))</f>
        <v>0</v>
      </c>
      <c r="N16" s="59">
        <f>IF(($C$5*'Tariffs July2016'!AL10/'Tariffs July2016'!AJ10&gt;'Tariffs July2016'!M10),($C$5*'Tariffs July2016'!AL10/'Tariffs July2016'!AJ10-'Tariffs July2016'!M10)*'Tariffs July2016'!Y10/100*'Tariffs July2016'!AJ10,0)</f>
        <v>48.824999999999996</v>
      </c>
      <c r="O16" s="271">
        <f t="shared" si="0"/>
        <v>1091.5650000000001</v>
      </c>
      <c r="P16" s="59">
        <f t="shared" si="1"/>
        <v>1342.3200000000002</v>
      </c>
      <c r="Q16" s="272">
        <f t="shared" si="2"/>
        <v>1476.5520000000004</v>
      </c>
      <c r="R16" s="40">
        <f>'Tariffs July2016'!AM10</f>
        <v>0</v>
      </c>
      <c r="S16" s="40">
        <f>'Tariffs July2016'!AN10</f>
        <v>0</v>
      </c>
      <c r="T16" s="40">
        <f>'Tariffs July2016'!AO10</f>
        <v>0</v>
      </c>
      <c r="U16" s="40">
        <f>'Tariffs July2016'!AP10</f>
        <v>13</v>
      </c>
      <c r="V16" s="273">
        <f t="shared" si="3"/>
        <v>1342.3200000000002</v>
      </c>
      <c r="W16" s="273">
        <f>V16-(O16*U16/100)</f>
        <v>1200.4165500000001</v>
      </c>
      <c r="X16" s="272">
        <f t="shared" si="4"/>
        <v>1476.5520000000004</v>
      </c>
      <c r="Y16" s="272">
        <f t="shared" si="5"/>
        <v>1320.4582050000004</v>
      </c>
      <c r="Z16" s="274">
        <f>'Tariffs July2016'!AW10</f>
        <v>0</v>
      </c>
      <c r="AA16" s="274" t="str">
        <f>'Tariffs July2016'!AX10</f>
        <v>n</v>
      </c>
      <c r="AB16" s="275" t="str">
        <f>'Tariffs July2016'!BD10</f>
        <v>N</v>
      </c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</row>
    <row r="17" spans="1:40" x14ac:dyDescent="0.15">
      <c r="A17" s="270" t="str">
        <f>'Tariffs July2016'!F11</f>
        <v>Red Energy</v>
      </c>
      <c r="B17" s="40" t="str">
        <f>'Tariffs July2016'!D11</f>
        <v>Multinet 1</v>
      </c>
      <c r="C17" s="40" t="str">
        <f>'Tariffs July2016'!G11</f>
        <v>Living Energy Saver</v>
      </c>
      <c r="D17" s="59">
        <f>365*'Tariffs July2016'!H11/100</f>
        <v>248.2</v>
      </c>
      <c r="E17" s="59">
        <f>IF($C$5*'Tariffs July2016'!AK11/'Tariffs July2016'!AI11&gt;='Tariffs July2016'!J11,( 'Tariffs July2016'!J11*'Tariffs July2016'!O11/100)* 'Tariffs July2016'!AI11,($C$5*'Tariffs July2016'!AK11/'Tariffs July2016'!AI11*'Tariffs July2016'!O11/100)* 'Tariffs July2016'!AI11)</f>
        <v>307.26</v>
      </c>
      <c r="F17" s="59">
        <f>IF($C$5*'Tariffs July2016'!AK11/'Tariffs July2016'!AI11&lt;'Tariffs July2016'!J11,0,IF($C$5*'Tariffs July2016'!AK11/'Tariffs July2016'!AI11&lt;='Tariffs July2016'!K11,($C$5*'Tariffs July2016'!AK11/'Tariffs July2016'!AI11-'Tariffs July2016'!J11)*('Tariffs July2016'!P11/100)*'Tariffs July2016'!AI11,('Tariffs July2016'!K11-'Tariffs July2016'!J11)*('Tariffs July2016'!P11/100)*'Tariffs July2016'!AI11))</f>
        <v>119.52000000000001</v>
      </c>
      <c r="G17" s="59">
        <f>IF($C$5*'Tariffs July2016'!AK11/'Tariffs July2016'!AI11&lt;'Tariffs July2016'!K11,0,IF($C$5*'Tariffs July2016'!AK11/'Tariffs July2016'!AI11&lt;='Tariffs July2016'!L11,($C$5*'Tariffs July2016'!AK11/'Tariffs July2016'!AI11-'Tariffs July2016'!K11)*('Tariffs July2016'!S11/100)*'Tariffs July2016'!AI11,('Tariffs July2016'!L11-'Tariffs July2016'!K11)*('Tariffs July2016'!S11/100)*'Tariffs July2016'!AI11))</f>
        <v>0</v>
      </c>
      <c r="H17" s="59">
        <f>IF($C$5*'Tariffs July2016'!AK11/'Tariffs July2016'!AI11&lt;'Tariffs July2016'!L11,0,IF($C$5*'Tariffs July2016'!AK11/'Tariffs July2016'!AI11&lt;='Tariffs July2016'!M11,($C$5*'Tariffs July2016'!AK11/'Tariffs July2016'!AI11-'Tariffs July2016'!L11)*('Tariffs July2016'!R11/100)*'Tariffs July2016'!AI11,('Tariffs July2016'!M11-'Tariffs July2016'!L11)*('Tariffs July2016'!R11/100)*'Tariffs July2016'!AI11))</f>
        <v>0</v>
      </c>
      <c r="I17" s="59">
        <f>IF(($C$5*'Tariffs July2016'!AK11/'Tariffs July2016'!AI11&gt;'Tariffs July2016'!M11),($C$5*'Tariffs July2016'!AK11/'Tariffs July2016'!AI11-'Tariffs July2016'!M11)*'Tariffs July2016'!S11/100*'Tariffs July2016'!AI11,0)</f>
        <v>53.414999999999999</v>
      </c>
      <c r="J17" s="59">
        <f>IF($C$5*'Tariffs July2016'!AL11/'Tariffs July2016'!AJ11&gt;='Tariffs July2016'!J11,('Tariffs July2016'!J11*'Tariffs July2016'!U11/100)* 'Tariffs July2016'!AJ11,($C$5*'Tariffs July2016'!AL11/'Tariffs July2016'!AJ11*'Tariffs July2016'!U11/100)* 'Tariffs July2016'!AJ11)</f>
        <v>289.62</v>
      </c>
      <c r="K17" s="59">
        <f>IF($C$5*'Tariffs July2016'!AL11/'Tariffs July2016'!AJ11&lt;'Tariffs July2016'!J11,0,IF($C$5*'Tariffs July2016'!AL11/'Tariffs July2016'!AJ11&lt;='Tariffs July2016'!K11,($C$5*'Tariffs July2016'!AL11/'Tariffs July2016'!AJ11-'Tariffs July2016'!J11)*('Tariffs July2016'!V11/100)*'Tariffs July2016'!AJ11,('Tariffs July2016'!K11-'Tariffs July2016'!J11)*('Tariffs July2016'!V11/100)*'Tariffs July2016'!AJ11))</f>
        <v>116.37</v>
      </c>
      <c r="L17" s="59">
        <f>IF($C$5*'Tariffs July2016'!AL11/'Tariffs July2016'!AJ11&lt;'Tariffs July2016'!K11,0,IF($C$5*'Tariffs July2016'!AL11/'Tariffs July2016'!AJ11&lt;='Tariffs July2016'!L11,($C$5*'Tariffs July2016'!AL11/'Tariffs July2016'!AJ11-'Tariffs July2016'!K11)*('Tariffs July2016'!Y11/100)*'Tariffs July2016'!AJ11,('Tariffs July2016'!L11-'Tariffs July2016'!K11)*('Tariffs July2016'!Y11/100)*'Tariffs July2016'!AJ11))</f>
        <v>0</v>
      </c>
      <c r="M17" s="59">
        <f>IF($C$5*'Tariffs July2016'!AL11/'Tariffs July2016'!AJ11&lt;'Tariffs July2016'!L11,0,IF($C$5*'Tariffs July2016'!AL11/'Tariffs July2016'!AJ11&lt;='Tariffs July2016'!M11,($C$5*'Tariffs July2016'!AL11/'Tariffs July2016'!AJ11-'Tariffs July2016'!L11)*('Tariffs July2016'!X11/100)*'Tariffs July2016'!AJ11,('Tariffs July2016'!M11-'Tariffs July2016'!L11)*('Tariffs July2016'!X11/100)*'Tariffs July2016'!AJ11))</f>
        <v>0</v>
      </c>
      <c r="N17" s="59">
        <f>IF(($C$5*'Tariffs July2016'!AL11/'Tariffs July2016'!AJ11&gt;'Tariffs July2016'!M11),($C$5*'Tariffs July2016'!AL11/'Tariffs July2016'!AJ11-'Tariffs July2016'!M11)*'Tariffs July2016'!Y11/100*'Tariffs July2016'!AJ11,0)</f>
        <v>52.650000000000006</v>
      </c>
      <c r="O17" s="271">
        <f t="shared" si="0"/>
        <v>938.83500000000004</v>
      </c>
      <c r="P17" s="59">
        <f t="shared" si="1"/>
        <v>1187.0350000000001</v>
      </c>
      <c r="Q17" s="272">
        <f t="shared" si="2"/>
        <v>1305.7385000000002</v>
      </c>
      <c r="R17" s="40">
        <f>'Tariffs July2016'!AM11</f>
        <v>0</v>
      </c>
      <c r="S17" s="40">
        <f>'Tariffs July2016'!AN11</f>
        <v>0</v>
      </c>
      <c r="T17" s="40">
        <f>'Tariffs July2016'!AO11</f>
        <v>10</v>
      </c>
      <c r="U17" s="40">
        <f>'Tariffs July2016'!AP11</f>
        <v>0</v>
      </c>
      <c r="V17" s="273">
        <f t="shared" si="3"/>
        <v>1187.0350000000001</v>
      </c>
      <c r="W17" s="273">
        <f>V17-(P17*T17/100)</f>
        <v>1068.3315</v>
      </c>
      <c r="X17" s="272">
        <f t="shared" si="4"/>
        <v>1305.7385000000002</v>
      </c>
      <c r="Y17" s="272">
        <f t="shared" si="5"/>
        <v>1175.1646500000002</v>
      </c>
      <c r="Z17" s="274">
        <f>'Tariffs July2016'!AW11</f>
        <v>0</v>
      </c>
      <c r="AA17" s="274" t="str">
        <f>'Tariffs July2016'!AX11</f>
        <v>n</v>
      </c>
      <c r="AB17" s="275" t="str">
        <f>'Tariffs July2016'!BD11</f>
        <v>Y</v>
      </c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</row>
    <row r="18" spans="1:40" ht="14" thickBot="1" x14ac:dyDescent="0.2">
      <c r="A18" s="276" t="str">
        <f>'Tariffs July2016'!F12</f>
        <v>Simply Energy</v>
      </c>
      <c r="B18" s="277" t="str">
        <f>'Tariffs July2016'!D12</f>
        <v>Multinet 1</v>
      </c>
      <c r="C18" s="277" t="str">
        <f>'Tariffs July2016'!G12</f>
        <v>Plus</v>
      </c>
      <c r="D18" s="278">
        <f>365*'Tariffs July2016'!H12/100</f>
        <v>203.48750000000001</v>
      </c>
      <c r="E18" s="278">
        <f>IF($C$5*'Tariffs July2016'!AK12/'Tariffs July2016'!AI12&gt;='Tariffs July2016'!J12,( 'Tariffs July2016'!J12*'Tariffs July2016'!O12/100)* 'Tariffs July2016'!AI12,($C$5*'Tariffs July2016'!AK12/'Tariffs July2016'!AI12*'Tariffs July2016'!O12/100)* 'Tariffs July2016'!AI12)</f>
        <v>184.13999999999996</v>
      </c>
      <c r="F18" s="278">
        <f>IF($C$5*'Tariffs July2016'!AK12/'Tariffs July2016'!AI12&lt;'Tariffs July2016'!J12,0,IF($C$5*'Tariffs July2016'!AK12/'Tariffs July2016'!AI12&lt;='Tariffs July2016'!K12,($C$5*'Tariffs July2016'!AK12/'Tariffs July2016'!AI12-'Tariffs July2016'!J12)*('Tariffs July2016'!P12/100)*'Tariffs July2016'!AI12,('Tariffs July2016'!K12-'Tariffs July2016'!J12)*('Tariffs July2016'!P12/100)*'Tariffs July2016'!AI12))</f>
        <v>164.7</v>
      </c>
      <c r="G18" s="278">
        <f>IF($C$5*'Tariffs July2016'!AK12/'Tariffs July2016'!AI12&lt;'Tariffs July2016'!K12,0,IF($C$5*'Tariffs July2016'!AK12/'Tariffs July2016'!AI12&lt;='Tariffs July2016'!L12,($C$5*'Tariffs July2016'!AK12/'Tariffs July2016'!AI12-'Tariffs July2016'!K12)*('Tariffs July2016'!Q12/100)*'Tariffs July2016'!AI12,('Tariffs July2016'!L12-'Tariffs July2016'!K12)*('Tariffs July2016'!Q12/100)*'Tariffs July2016'!AI12))</f>
        <v>140.4</v>
      </c>
      <c r="H18" s="278">
        <f>IF($C$5*'Tariffs July2016'!AK12/'Tariffs July2016'!AI12&lt;'Tariffs July2016'!L12,0,IF($C$5*'Tariffs July2016'!AK12/'Tariffs July2016'!AI12&lt;='Tariffs July2016'!M12,($C$5*'Tariffs July2016'!AK12/'Tariffs July2016'!AI12-'Tariffs July2016'!L12)*('Tariffs July2016'!R12/100)*'Tariffs July2016'!AI12,('Tariffs July2016'!M12-'Tariffs July2016'!L12)*('Tariffs July2016'!R12/100)*'Tariffs July2016'!AI12))</f>
        <v>64.17</v>
      </c>
      <c r="I18" s="278">
        <f>IF(($C$5*'Tariffs July2016'!AK12/'Tariffs July2016'!AI12&gt;'Tariffs July2016'!M12),($C$5*'Tariffs July2016'!AK12/'Tariffs July2016'!AI12-'Tariffs July2016'!M12)*'Tariffs July2016'!S12/100*'Tariffs July2016'!AI12,0)</f>
        <v>0</v>
      </c>
      <c r="J18" s="278">
        <f>IF($C$5*'Tariffs July2016'!AL12/'Tariffs July2016'!AJ12&gt;='Tariffs July2016'!J12,('Tariffs July2016'!J12*'Tariffs July2016'!U12/100)* 'Tariffs July2016'!AJ12,($C$5*'Tariffs July2016'!AL12/'Tariffs July2016'!AJ12*'Tariffs July2016'!U12/100)* 'Tariffs July2016'!AJ12)</f>
        <v>174.60000000000002</v>
      </c>
      <c r="K18" s="278">
        <f>IF($C$5*'Tariffs July2016'!AL12/'Tariffs July2016'!AJ12&lt;'Tariffs July2016'!J12,0,IF($C$5*'Tariffs July2016'!AL12/'Tariffs July2016'!AJ12&lt;='Tariffs July2016'!K12,($C$5*'Tariffs July2016'!AL12/'Tariffs July2016'!AJ12-'Tariffs July2016'!J12)*('Tariffs July2016'!V12/100)*'Tariffs July2016'!AJ12,('Tariffs July2016'!K12-'Tariffs July2016'!J12)*('Tariffs July2016'!V12/100)*'Tariffs July2016'!AJ12))</f>
        <v>157.50000000000003</v>
      </c>
      <c r="L18" s="278">
        <f>IF($C$5*'Tariffs July2016'!AL12/'Tariffs July2016'!AJ12&lt;'Tariffs July2016'!K12,0,IF($C$5*'Tariffs July2016'!AL12/'Tariffs July2016'!AJ12&lt;='Tariffs July2016'!L12,($C$5*'Tariffs July2016'!AL12/'Tariffs July2016'!AJ12-'Tariffs July2016'!K12)*('Tariffs July2016'!W12/100)*'Tariffs July2016'!AJ12,('Tariffs July2016'!L12-'Tariffs July2016'!K12)*('Tariffs July2016'!W12/100)*'Tariffs July2016'!AJ12))</f>
        <v>137.70000000000002</v>
      </c>
      <c r="M18" s="278">
        <f>IF($C$5*'Tariffs July2016'!AL12/'Tariffs July2016'!AJ12&lt;'Tariffs July2016'!L12,0,IF($C$5*'Tariffs July2016'!AL12/'Tariffs July2016'!AJ12&lt;='Tariffs July2016'!M12,($C$5*'Tariffs July2016'!AL12/'Tariffs July2016'!AJ12-'Tariffs July2016'!L12)*('Tariffs July2016'!X12/100)*'Tariffs July2016'!AJ12,('Tariffs July2016'!M12-'Tariffs July2016'!L12)*('Tariffs July2016'!X12/100)*'Tariffs July2016'!AJ12))</f>
        <v>62.999999999999986</v>
      </c>
      <c r="N18" s="278">
        <f>IF(($C$5*'Tariffs July2016'!AL12/'Tariffs July2016'!AJ12&gt;'Tariffs July2016'!M12),($C$5*'Tariffs July2016'!AL12/'Tariffs July2016'!AJ12-'Tariffs July2016'!M12)*'Tariffs July2016'!Y12/100*'Tariffs July2016'!AJ12,0)</f>
        <v>0</v>
      </c>
      <c r="O18" s="279">
        <f t="shared" si="0"/>
        <v>1086.2099999999998</v>
      </c>
      <c r="P18" s="278">
        <f t="shared" si="1"/>
        <v>1289.6974999999998</v>
      </c>
      <c r="Q18" s="280">
        <f t="shared" si="2"/>
        <v>1418.66725</v>
      </c>
      <c r="R18" s="277">
        <f>'Tariffs July2016'!AM12</f>
        <v>0</v>
      </c>
      <c r="S18" s="277">
        <f>'Tariffs July2016'!AN12</f>
        <v>15</v>
      </c>
      <c r="T18" s="277">
        <f>'Tariffs July2016'!AO12</f>
        <v>0</v>
      </c>
      <c r="U18" s="277">
        <f>'Tariffs July2016'!AP12</f>
        <v>5</v>
      </c>
      <c r="V18" s="281">
        <f>P18-(O18*S18/100)</f>
        <v>1126.7659999999998</v>
      </c>
      <c r="W18" s="281">
        <f>V18-(O18*U18/100)</f>
        <v>1072.4554999999998</v>
      </c>
      <c r="X18" s="280">
        <f t="shared" si="4"/>
        <v>1239.4425999999999</v>
      </c>
      <c r="Y18" s="280">
        <f t="shared" si="5"/>
        <v>1179.7010499999999</v>
      </c>
      <c r="Z18" s="282">
        <f>'Tariffs July2016'!AW12</f>
        <v>24</v>
      </c>
      <c r="AA18" s="282" t="str">
        <f>'Tariffs July2016'!AX12</f>
        <v>n</v>
      </c>
      <c r="AB18" s="283" t="str">
        <f>'Tariffs July2016'!BD12</f>
        <v>Y</v>
      </c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</row>
    <row r="19" spans="1:40" x14ac:dyDescent="0.15">
      <c r="A19" s="270" t="str">
        <f>'Tariffs July2016'!F13</f>
        <v>AGL</v>
      </c>
      <c r="B19" s="40" t="str">
        <f>'Tariffs July2016'!D13</f>
        <v>Multinet 2</v>
      </c>
      <c r="C19" s="40" t="str">
        <f>'Tariffs July2016'!G13</f>
        <v>Savers</v>
      </c>
      <c r="D19" s="59">
        <f>365*'Tariffs July2016'!H13/100</f>
        <v>262.39850000000001</v>
      </c>
      <c r="E19" s="59">
        <f>IF($C$5*'Tariffs July2016'!AK13/'Tariffs July2016'!AI13&gt;='Tariffs July2016'!J13,( 'Tariffs July2016'!J13*'Tariffs July2016'!O13/100)* 'Tariffs July2016'!AI13,($C$5*'Tariffs July2016'!AK13/'Tariffs July2016'!AI13*'Tariffs July2016'!O13/100)* 'Tariffs July2016'!AI13)</f>
        <v>187.92000000000002</v>
      </c>
      <c r="F19" s="59">
        <f>IF($C$5*'Tariffs July2016'!AK13/'Tariffs July2016'!AI13&lt;'Tariffs July2016'!J13,0,IF($C$5*'Tariffs July2016'!AK13/'Tariffs July2016'!AI13&lt;='Tariffs July2016'!K13,($C$5*'Tariffs July2016'!AK13/'Tariffs July2016'!AI13-'Tariffs July2016'!J13)*('Tariffs July2016'!P13/100)*'Tariffs July2016'!AI13,('Tariffs July2016'!K13-'Tariffs July2016'!J13)*('Tariffs July2016'!P13/100)*'Tariffs July2016'!AI13))</f>
        <v>164.52</v>
      </c>
      <c r="G19" s="59">
        <f>IF($C$5*'Tariffs July2016'!AK13/'Tariffs July2016'!AI13&lt;'Tariffs July2016'!K13,0,IF($C$5*'Tariffs July2016'!AK13/'Tariffs July2016'!AI13&lt;='Tariffs July2016'!L13,($C$5*'Tariffs July2016'!AK13/'Tariffs July2016'!AI13-'Tariffs July2016'!K13)*('Tariffs July2016'!Q13/100)*'Tariffs July2016'!AI13,('Tariffs July2016'!L13-'Tariffs July2016'!K13)*('Tariffs July2016'!Q13/100)*'Tariffs July2016'!AI13))</f>
        <v>132.66</v>
      </c>
      <c r="H19" s="59">
        <f>IF($C$5*'Tariffs July2016'!AK13/'Tariffs July2016'!AI13&lt;'Tariffs July2016'!L13,0,IF($C$5*'Tariffs July2016'!AK13/'Tariffs July2016'!AI13&lt;='Tariffs July2016'!M13,($C$5*'Tariffs July2016'!AK13/'Tariffs July2016'!AI13-'Tariffs July2016'!L13)*('Tariffs July2016'!R13/100)*'Tariffs July2016'!AI13,('Tariffs July2016'!M13-'Tariffs July2016'!L13)*('Tariffs July2016'!R13/100)*'Tariffs July2016'!AI13))</f>
        <v>57.87</v>
      </c>
      <c r="I19" s="59">
        <f>IF(($C$5*'Tariffs July2016'!AK13/'Tariffs July2016'!AI13&gt;'Tariffs July2016'!M13),($C$5*'Tariffs July2016'!AK13/'Tariffs July2016'!AI13-'Tariffs July2016'!M13)*'Tariffs July2016'!S13/100*'Tariffs July2016'!AI13,0)</f>
        <v>0</v>
      </c>
      <c r="J19" s="59">
        <f>IF($C$5*'Tariffs July2016'!AL13/'Tariffs July2016'!AJ13&gt;='Tariffs July2016'!J13,('Tariffs July2016'!J13*'Tariffs July2016'!U13/100)* 'Tariffs July2016'!AJ13,($C$5*'Tariffs July2016'!AL13/'Tariffs July2016'!AJ13*'Tariffs July2016'!U13/100)* 'Tariffs July2016'!AJ13)</f>
        <v>178.38</v>
      </c>
      <c r="K19" s="59">
        <f>IF($C$5*'Tariffs July2016'!AL13/'Tariffs July2016'!AJ13&lt;'Tariffs July2016'!J13,0,IF($C$5*'Tariffs July2016'!AL13/'Tariffs July2016'!AJ13&lt;='Tariffs July2016'!K13,($C$5*'Tariffs July2016'!AL13/'Tariffs July2016'!AJ13-'Tariffs July2016'!J13)*('Tariffs July2016'!V13/100)*'Tariffs July2016'!AJ13,('Tariffs July2016'!K13-'Tariffs July2016'!J13)*('Tariffs July2016'!V13/100)*'Tariffs July2016'!AJ13))</f>
        <v>155.60999999999999</v>
      </c>
      <c r="L19" s="59">
        <f>IF($C$5*'Tariffs July2016'!AL13/'Tariffs July2016'!AJ13&lt;'Tariffs July2016'!K13,0,IF($C$5*'Tariffs July2016'!AL13/'Tariffs July2016'!AJ13&lt;='Tariffs July2016'!L13,($C$5*'Tariffs July2016'!AL13/'Tariffs July2016'!AJ13-'Tariffs July2016'!K13)*('Tariffs July2016'!W13/100)*'Tariffs July2016'!AJ13,('Tariffs July2016'!L13-'Tariffs July2016'!K13)*('Tariffs July2016'!W13/100)*'Tariffs July2016'!AJ13))</f>
        <v>127.97999999999999</v>
      </c>
      <c r="M19" s="59">
        <f>IF($C$5*'Tariffs July2016'!AL13/'Tariffs July2016'!AJ13&lt;'Tariffs July2016'!L13,0,IF($C$5*'Tariffs July2016'!AL13/'Tariffs July2016'!AJ13&lt;='Tariffs July2016'!M13,($C$5*'Tariffs July2016'!AL13/'Tariffs July2016'!AJ13-'Tariffs July2016'!L13)*('Tariffs July2016'!X13/100)*'Tariffs July2016'!AJ13,('Tariffs July2016'!M13-'Tariffs July2016'!L13)*('Tariffs July2016'!X13/100)*'Tariffs July2016'!AJ13))</f>
        <v>56.654999999999994</v>
      </c>
      <c r="N19" s="59">
        <f>IF(($C$5*'Tariffs July2016'!AL13/'Tariffs July2016'!AJ13&gt;'Tariffs July2016'!M13),($C$5*'Tariffs July2016'!AL13/'Tariffs July2016'!AJ13-'Tariffs July2016'!M13)*'Tariffs July2016'!Y13/100*'Tariffs July2016'!AJ13,0)</f>
        <v>0</v>
      </c>
      <c r="O19" s="271">
        <f t="shared" si="0"/>
        <v>1061.595</v>
      </c>
      <c r="P19" s="59">
        <f t="shared" si="1"/>
        <v>1323.9935</v>
      </c>
      <c r="Q19" s="272">
        <f t="shared" si="2"/>
        <v>1456.3928500000002</v>
      </c>
      <c r="R19" s="40">
        <f>'Tariffs July2016'!AM13</f>
        <v>0</v>
      </c>
      <c r="S19" s="40">
        <f>'Tariffs July2016'!AN13</f>
        <v>0</v>
      </c>
      <c r="T19" s="40">
        <f>'Tariffs July2016'!AO13</f>
        <v>0</v>
      </c>
      <c r="U19" s="40">
        <f>'Tariffs July2016'!AP13</f>
        <v>13</v>
      </c>
      <c r="V19" s="273">
        <f t="shared" si="3"/>
        <v>1323.9935</v>
      </c>
      <c r="W19" s="273">
        <f>V19-(O19*U19/100)</f>
        <v>1185.98615</v>
      </c>
      <c r="X19" s="272">
        <f t="shared" si="4"/>
        <v>1456.3928500000002</v>
      </c>
      <c r="Y19" s="272">
        <f t="shared" si="5"/>
        <v>1304.5847650000001</v>
      </c>
      <c r="Z19" s="274">
        <f>'Tariffs July2016'!AW13</f>
        <v>0</v>
      </c>
      <c r="AA19" s="274" t="str">
        <f>'Tariffs July2016'!AX13</f>
        <v>n</v>
      </c>
      <c r="AB19" s="275" t="str">
        <f>'Tariffs July2016'!BD13</f>
        <v>N</v>
      </c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</row>
    <row r="20" spans="1:40" x14ac:dyDescent="0.15">
      <c r="A20" s="270" t="str">
        <f>'Tariffs July2016'!F14</f>
        <v>Alinta Energy</v>
      </c>
      <c r="B20" s="40" t="str">
        <f>'Tariffs July2016'!D14</f>
        <v>Multinet 2</v>
      </c>
      <c r="C20" s="40" t="str">
        <f>'Tariffs July2016'!G14</f>
        <v>Fair Deal</v>
      </c>
      <c r="D20" s="59">
        <f>365*'Tariffs July2016'!H14/100</f>
        <v>230.86250000000001</v>
      </c>
      <c r="E20" s="59">
        <f>IF($C$5*'Tariffs July2016'!AK14/'Tariffs July2016'!AI14&gt;='Tariffs July2016'!J14,( 'Tariffs July2016'!J14*'Tariffs July2016'!O14/100)* 'Tariffs July2016'!AI14,($C$5*'Tariffs July2016'!AK14/'Tariffs July2016'!AI14*'Tariffs July2016'!O14/100)* 'Tariffs July2016'!AI14)</f>
        <v>180.89999999999998</v>
      </c>
      <c r="F20" s="59">
        <f>IF($C$5*'Tariffs July2016'!AK14/'Tariffs July2016'!AI14&lt;'Tariffs July2016'!J14,0,IF($C$5*'Tariffs July2016'!AK14/'Tariffs July2016'!AI14&lt;='Tariffs July2016'!K14,($C$5*'Tariffs July2016'!AK14/'Tariffs July2016'!AI14-'Tariffs July2016'!J14)*('Tariffs July2016'!P14/100)*'Tariffs July2016'!AI14,('Tariffs July2016'!K14-'Tariffs July2016'!J14)*('Tariffs July2016'!P14/100)*'Tariffs July2016'!AI14))</f>
        <v>135.9</v>
      </c>
      <c r="G20" s="59">
        <f>IF($C$5*'Tariffs July2016'!AK14/'Tariffs July2016'!AI14&lt;'Tariffs July2016'!K14,0,IF($C$5*'Tariffs July2016'!AK14/'Tariffs July2016'!AI14&lt;='Tariffs July2016'!L14,($C$5*'Tariffs July2016'!AK14/'Tariffs July2016'!AI14-'Tariffs July2016'!K14)*('Tariffs July2016'!Q14/100)*'Tariffs July2016'!AI14,('Tariffs July2016'!L14-'Tariffs July2016'!K14)*('Tariffs July2016'!Q14/100)*'Tariffs July2016'!AI14))</f>
        <v>0</v>
      </c>
      <c r="H20" s="59">
        <f>IF($C$5*'Tariffs July2016'!AK14/'Tariffs July2016'!AI14&lt;'Tariffs July2016'!L14,0,IF($C$5*'Tariffs July2016'!AK14/'Tariffs July2016'!AI14&lt;='Tariffs July2016'!M14,($C$5*'Tariffs July2016'!AK14/'Tariffs July2016'!AI14-'Tariffs July2016'!L14)*('Tariffs July2016'!R14/100)*'Tariffs July2016'!AI14,('Tariffs July2016'!M14-'Tariffs July2016'!L14)*('Tariffs July2016'!R14/100)*'Tariffs July2016'!AI14))</f>
        <v>0</v>
      </c>
      <c r="I20" s="59">
        <f>IF(($C$5*'Tariffs July2016'!AK14/'Tariffs July2016'!AI14&gt;'Tariffs July2016'!M14),($C$5*'Tariffs July2016'!AK14/'Tariffs July2016'!AI14-'Tariffs July2016'!M14)*'Tariffs July2016'!S14/100*'Tariffs July2016'!AI14,0)</f>
        <v>203.85000000000002</v>
      </c>
      <c r="J20" s="59">
        <f>IF($C$5*'Tariffs July2016'!AL14/'Tariffs July2016'!AJ14&gt;='Tariffs July2016'!J14,('Tariffs July2016'!J14*'Tariffs July2016'!U14/100)* 'Tariffs July2016'!AJ14,($C$5*'Tariffs July2016'!AL14/'Tariffs July2016'!AJ14*'Tariffs July2016'!U14/100)* 'Tariffs July2016'!AJ14)</f>
        <v>177.3</v>
      </c>
      <c r="K20" s="59">
        <f>IF($C$5*'Tariffs July2016'!AL14/'Tariffs July2016'!AJ14&lt;'Tariffs July2016'!J14,0,IF($C$5*'Tariffs July2016'!AL14/'Tariffs July2016'!AJ14&lt;='Tariffs July2016'!K14,($C$5*'Tariffs July2016'!AL14/'Tariffs July2016'!AJ14-'Tariffs July2016'!J14)*('Tariffs July2016'!V14/100)*'Tariffs July2016'!AJ14,('Tariffs July2016'!K14-'Tariffs July2016'!J14)*('Tariffs July2016'!V14/100)*'Tariffs July2016'!AJ14))</f>
        <v>128.69999999999999</v>
      </c>
      <c r="L20" s="59">
        <f>IF($C$5*'Tariffs July2016'!AL14/'Tariffs July2016'!AJ14&lt;'Tariffs July2016'!K14,0,IF($C$5*'Tariffs July2016'!AL14/'Tariffs July2016'!AJ14&lt;='Tariffs July2016'!L14,($C$5*'Tariffs July2016'!AL14/'Tariffs July2016'!AJ14-'Tariffs July2016'!K14)*('Tariffs July2016'!W14/100)*'Tariffs July2016'!AJ14,('Tariffs July2016'!L14-'Tariffs July2016'!K14)*('Tariffs July2016'!W14/100)*'Tariffs July2016'!AJ14))</f>
        <v>0</v>
      </c>
      <c r="M20" s="59">
        <f>IF($C$5*'Tariffs July2016'!AL14/'Tariffs July2016'!AJ14&lt;'Tariffs July2016'!L14,0,IF($C$5*'Tariffs July2016'!AL14/'Tariffs July2016'!AJ14&lt;='Tariffs July2016'!M14,($C$5*'Tariffs July2016'!AL14/'Tariffs July2016'!AJ14-'Tariffs July2016'!L14)*('Tariffs July2016'!X14/100)*'Tariffs July2016'!AJ14,('Tariffs July2016'!M14-'Tariffs July2016'!L14)*('Tariffs July2016'!X14/100)*'Tariffs July2016'!AJ14))</f>
        <v>0</v>
      </c>
      <c r="N20" s="59">
        <f>IF(($C$5*'Tariffs July2016'!AL14/'Tariffs July2016'!AJ14&gt;'Tariffs July2016'!M14),($C$5*'Tariffs July2016'!AL14/'Tariffs July2016'!AJ14-'Tariffs July2016'!M14)*'Tariffs July2016'!Y14/100*'Tariffs July2016'!AJ14,0)</f>
        <v>193.04999999999998</v>
      </c>
      <c r="O20" s="271">
        <f t="shared" si="0"/>
        <v>1019.7</v>
      </c>
      <c r="P20" s="59">
        <f t="shared" si="1"/>
        <v>1250.5625</v>
      </c>
      <c r="Q20" s="272">
        <f t="shared" si="2"/>
        <v>1375.6187500000001</v>
      </c>
      <c r="R20" s="40">
        <f>'Tariffs July2016'!AM14</f>
        <v>0</v>
      </c>
      <c r="S20" s="40">
        <f>'Tariffs July2016'!AN14</f>
        <v>0</v>
      </c>
      <c r="T20" s="40">
        <f>'Tariffs July2016'!AO14</f>
        <v>0</v>
      </c>
      <c r="U20" s="40">
        <f>'Tariffs July2016'!AP14</f>
        <v>15</v>
      </c>
      <c r="V20" s="273">
        <f t="shared" si="3"/>
        <v>1250.5625</v>
      </c>
      <c r="W20" s="273">
        <f>V20-(O20*U20/100)</f>
        <v>1097.6075000000001</v>
      </c>
      <c r="X20" s="272">
        <f t="shared" si="4"/>
        <v>1375.6187500000001</v>
      </c>
      <c r="Y20" s="272">
        <f t="shared" si="5"/>
        <v>1207.3682500000002</v>
      </c>
      <c r="Z20" s="274">
        <f>'Tariffs July2016'!AW14</f>
        <v>0</v>
      </c>
      <c r="AA20" s="274" t="str">
        <f>'Tariffs July2016'!AX14</f>
        <v>n</v>
      </c>
      <c r="AB20" s="275" t="str">
        <f>'Tariffs July2016'!BD14</f>
        <v>Y</v>
      </c>
      <c r="AC20" s="260"/>
      <c r="AD20" s="260"/>
      <c r="AE20" s="260"/>
      <c r="AF20" s="260"/>
      <c r="AG20" s="260"/>
      <c r="AH20" s="260"/>
      <c r="AI20" s="260"/>
      <c r="AJ20" s="260"/>
      <c r="AK20" s="260"/>
      <c r="AL20" s="260"/>
      <c r="AM20" s="260"/>
      <c r="AN20" s="260"/>
    </row>
    <row r="21" spans="1:40" x14ac:dyDescent="0.15">
      <c r="A21" s="270" t="str">
        <f>'Tariffs July2016'!F15</f>
        <v>Click Energy</v>
      </c>
      <c r="B21" s="40" t="str">
        <f>'Tariffs July2016'!D15</f>
        <v>Multinet 2</v>
      </c>
      <c r="C21" s="40" t="str">
        <f>'Tariffs July2016'!G15</f>
        <v>Amber</v>
      </c>
      <c r="D21" s="59">
        <f>365*'Tariffs July2016'!H15/100</f>
        <v>242.72499999999999</v>
      </c>
      <c r="E21" s="59">
        <f>IF($C$5*'Tariffs July2016'!AK15/'Tariffs July2016'!AI15&gt;='Tariffs July2016'!J15,( 'Tariffs July2016'!J15*'Tariffs July2016'!O15/100)* 'Tariffs July2016'!AI15,($C$5*'Tariffs July2016'!AK15/'Tariffs July2016'!AI15*'Tariffs July2016'!O15/100)* 'Tariffs July2016'!AI15)</f>
        <v>198.00000000000006</v>
      </c>
      <c r="F21" s="59">
        <f>IF($C$5*'Tariffs July2016'!AK15/'Tariffs July2016'!AI15&lt;'Tariffs July2016'!J15,0,IF($C$5*'Tariffs July2016'!AK15/'Tariffs July2016'!AI15&lt;='Tariffs July2016'!K15,($C$5*'Tariffs July2016'!AK15/'Tariffs July2016'!AI15-'Tariffs July2016'!J15)*('Tariffs July2016'!P15/100)*'Tariffs July2016'!AI15,('Tariffs July2016'!K15-'Tariffs July2016'!J15)*('Tariffs July2016'!P15/100)*'Tariffs July2016'!AI15))</f>
        <v>171</v>
      </c>
      <c r="G21" s="59">
        <f>IF($C$5*'Tariffs July2016'!AK15/'Tariffs July2016'!AI15&lt;'Tariffs July2016'!K15,0,IF($C$5*'Tariffs July2016'!AK15/'Tariffs July2016'!AI15&lt;='Tariffs July2016'!L15,($C$5*'Tariffs July2016'!AK15/'Tariffs July2016'!AI15-'Tariffs July2016'!K15)*('Tariffs July2016'!Q15/100)*'Tariffs July2016'!AI15,('Tariffs July2016'!L15-'Tariffs July2016'!K15)*('Tariffs July2016'!Q15/100)*'Tariffs July2016'!AI15))</f>
        <v>139.5</v>
      </c>
      <c r="H21" s="59">
        <f>IF($C$5*'Tariffs July2016'!AK15/'Tariffs July2016'!AI15&lt;'Tariffs July2016'!L15,0,IF($C$5*'Tariffs July2016'!AK15/'Tariffs July2016'!AI15&lt;='Tariffs July2016'!M15,($C$5*'Tariffs July2016'!AK15/'Tariffs July2016'!AI15-'Tariffs July2016'!L15)*('Tariffs July2016'!R15/100)*'Tariffs July2016'!AI15,('Tariffs July2016'!M15-'Tariffs July2016'!L15)*('Tariffs July2016'!R15/100)*'Tariffs July2016'!AI15))</f>
        <v>60.750000000000014</v>
      </c>
      <c r="I21" s="59">
        <f>IF(($C$5*'Tariffs July2016'!AK15/'Tariffs July2016'!AI15&gt;'Tariffs July2016'!M15),($C$5*'Tariffs July2016'!AK15/'Tariffs July2016'!AI15-'Tariffs July2016'!M15)*'Tariffs July2016'!S15/100*'Tariffs July2016'!AI15,0)</f>
        <v>0</v>
      </c>
      <c r="J21" s="59">
        <f>IF($C$5*'Tariffs July2016'!AL15/'Tariffs July2016'!AJ15&gt;='Tariffs July2016'!J15,('Tariffs July2016'!J15*'Tariffs July2016'!U15/100)* 'Tariffs July2016'!AJ15,($C$5*'Tariffs July2016'!AL15/'Tariffs July2016'!AJ15*'Tariffs July2016'!U15/100)* 'Tariffs July2016'!AJ15)</f>
        <v>184.49999999999997</v>
      </c>
      <c r="K21" s="59">
        <f>IF($C$5*'Tariffs July2016'!AL15/'Tariffs July2016'!AJ15&lt;'Tariffs July2016'!J15,0,IF($C$5*'Tariffs July2016'!AL15/'Tariffs July2016'!AJ15&lt;='Tariffs July2016'!K15,($C$5*'Tariffs July2016'!AL15/'Tariffs July2016'!AJ15-'Tariffs July2016'!J15)*('Tariffs July2016'!V15/100)*'Tariffs July2016'!AJ15,('Tariffs July2016'!K15-'Tariffs July2016'!J15)*('Tariffs July2016'!V15/100)*'Tariffs July2016'!AJ15))</f>
        <v>162.00000000000003</v>
      </c>
      <c r="L21" s="59">
        <f>IF($C$5*'Tariffs July2016'!AL15/'Tariffs July2016'!AJ15&lt;'Tariffs July2016'!K15,0,IF($C$5*'Tariffs July2016'!AL15/'Tariffs July2016'!AJ15&lt;='Tariffs July2016'!L15,($C$5*'Tariffs July2016'!AL15/'Tariffs July2016'!AJ15-'Tariffs July2016'!K15)*('Tariffs July2016'!W15/100)*'Tariffs July2016'!AJ15,('Tariffs July2016'!L15-'Tariffs July2016'!K15)*('Tariffs July2016'!W15/100)*'Tariffs July2016'!AJ15))</f>
        <v>135</v>
      </c>
      <c r="M21" s="59">
        <f>IF($C$5*'Tariffs July2016'!AL15/'Tariffs July2016'!AJ15&lt;'Tariffs July2016'!L15,0,IF($C$5*'Tariffs July2016'!AL15/'Tariffs July2016'!AJ15&lt;='Tariffs July2016'!M15,($C$5*'Tariffs July2016'!AL15/'Tariffs July2016'!AJ15-'Tariffs July2016'!L15)*('Tariffs July2016'!X15/100)*'Tariffs July2016'!AJ15,('Tariffs July2016'!M15-'Tariffs July2016'!L15)*('Tariffs July2016'!X15/100)*'Tariffs July2016'!AJ15))</f>
        <v>60.750000000000014</v>
      </c>
      <c r="N21" s="59">
        <f>IF(($C$5*'Tariffs July2016'!AL15/'Tariffs July2016'!AJ15&gt;'Tariffs July2016'!M15),($C$5*'Tariffs July2016'!AL15/'Tariffs July2016'!AJ15-'Tariffs July2016'!M15)*'Tariffs July2016'!Y15/100*'Tariffs July2016'!AJ15,0)</f>
        <v>0</v>
      </c>
      <c r="O21" s="271">
        <f t="shared" si="0"/>
        <v>1111.5</v>
      </c>
      <c r="P21" s="59">
        <f t="shared" si="1"/>
        <v>1354.2249999999999</v>
      </c>
      <c r="Q21" s="272">
        <f t="shared" si="2"/>
        <v>1489.6475</v>
      </c>
      <c r="R21" s="40">
        <f>'Tariffs July2016'!AM15</f>
        <v>0</v>
      </c>
      <c r="S21" s="40">
        <f>'Tariffs July2016'!AN15</f>
        <v>0</v>
      </c>
      <c r="T21" s="40">
        <f>'Tariffs July2016'!AO15</f>
        <v>14</v>
      </c>
      <c r="U21" s="40">
        <f>'Tariffs July2016'!AP15</f>
        <v>0</v>
      </c>
      <c r="V21" s="273">
        <f t="shared" si="3"/>
        <v>1354.2249999999999</v>
      </c>
      <c r="W21" s="273">
        <f>V21-(P21*T21/100)</f>
        <v>1164.6334999999999</v>
      </c>
      <c r="X21" s="272">
        <f t="shared" si="4"/>
        <v>1489.6475</v>
      </c>
      <c r="Y21" s="272">
        <f t="shared" si="5"/>
        <v>1281.0968499999999</v>
      </c>
      <c r="Z21" s="274">
        <f>'Tariffs July2016'!AW15</f>
        <v>0</v>
      </c>
      <c r="AA21" s="274" t="str">
        <f>'Tariffs July2016'!AX15</f>
        <v>n</v>
      </c>
      <c r="AB21" s="275" t="str">
        <f>'Tariffs July2016'!BD15</f>
        <v>N</v>
      </c>
      <c r="AC21" s="260"/>
      <c r="AD21" s="260"/>
      <c r="AE21" s="260"/>
      <c r="AF21" s="260"/>
      <c r="AG21" s="260"/>
      <c r="AH21" s="260"/>
      <c r="AI21" s="260"/>
      <c r="AJ21" s="260"/>
      <c r="AK21" s="260"/>
      <c r="AL21" s="260"/>
      <c r="AM21" s="260"/>
      <c r="AN21" s="260"/>
    </row>
    <row r="22" spans="1:40" x14ac:dyDescent="0.15">
      <c r="A22" s="270" t="str">
        <f>'Tariffs July2016'!F16</f>
        <v>Covau</v>
      </c>
      <c r="B22" s="40" t="str">
        <f>'Tariffs July2016'!D16</f>
        <v>Multinet 2</v>
      </c>
      <c r="C22" s="40" t="str">
        <f>'Tariffs July2016'!G16</f>
        <v>Market offer</v>
      </c>
      <c r="D22" s="59">
        <f>365*'Tariffs July2016'!H16/100</f>
        <v>244.55</v>
      </c>
      <c r="E22" s="59">
        <f>IF($C$5*'Tariffs July2016'!AK16/'Tariffs July2016'!AI16&gt;='Tariffs July2016'!J16,( 'Tariffs July2016'!J16*'Tariffs July2016'!O16/100)* 'Tariffs July2016'!AI16,($C$5*'Tariffs July2016'!AK16/'Tariffs July2016'!AI16*'Tariffs July2016'!O16/100)* 'Tariffs July2016'!AI16)</f>
        <v>191.7</v>
      </c>
      <c r="F22" s="59">
        <f>IF($C$5*'Tariffs July2016'!AK16/'Tariffs July2016'!AI16&lt;'Tariffs July2016'!J16,0,IF($C$5*'Tariffs July2016'!AK16/'Tariffs July2016'!AI16&lt;='Tariffs July2016'!K16,($C$5*'Tariffs July2016'!AK16/'Tariffs July2016'!AI16-'Tariffs July2016'!J16)*('Tariffs July2016'!P16/100)*'Tariffs July2016'!AI16,('Tariffs July2016'!K16-'Tariffs July2016'!J16)*('Tariffs July2016'!P16/100)*'Tariffs July2016'!AI16))</f>
        <v>163.80000000000001</v>
      </c>
      <c r="G22" s="59">
        <f>IF($C$5*'Tariffs July2016'!AK16/'Tariffs July2016'!AI16&lt;'Tariffs July2016'!K16,0,IF($C$5*'Tariffs July2016'!AK16/'Tariffs July2016'!AI16&lt;='Tariffs July2016'!L16,($C$5*'Tariffs July2016'!AK16/'Tariffs July2016'!AI16-'Tariffs July2016'!K16)*('Tariffs July2016'!Q16/100)*'Tariffs July2016'!AI16,('Tariffs July2016'!L16-'Tariffs July2016'!K16)*('Tariffs July2016'!Q16/100)*'Tariffs July2016'!AI16))</f>
        <v>129.6</v>
      </c>
      <c r="H22" s="59">
        <f>IF($C$5*'Tariffs July2016'!AK16/'Tariffs July2016'!AI16&lt;'Tariffs July2016'!L16,0,IF($C$5*'Tariffs July2016'!AK16/'Tariffs July2016'!AI16&lt;='Tariffs July2016'!M16,($C$5*'Tariffs July2016'!AK16/'Tariffs July2016'!AI16-'Tariffs July2016'!L16)*('Tariffs July2016'!R16/100)*'Tariffs July2016'!AI16,('Tariffs July2016'!M16-'Tariffs July2016'!L16)*('Tariffs July2016'!R16/100)*'Tariffs July2016'!AI16))</f>
        <v>56.25</v>
      </c>
      <c r="I22" s="59">
        <f>IF(($C$5*'Tariffs July2016'!AK16/'Tariffs July2016'!AI16&gt;'Tariffs July2016'!M16),($C$5*'Tariffs July2016'!AK16/'Tariffs July2016'!AI16-'Tariffs July2016'!M16)*'Tariffs July2016'!S16/100*'Tariffs July2016'!AI16,0)</f>
        <v>0</v>
      </c>
      <c r="J22" s="59">
        <f>IF($C$5*'Tariffs July2016'!AL16/'Tariffs July2016'!AJ16&gt;='Tariffs July2016'!J16,('Tariffs July2016'!J16*'Tariffs July2016'!U16/100)* 'Tariffs July2016'!AJ16,($C$5*'Tariffs July2016'!AL16/'Tariffs July2016'!AJ16*'Tariffs July2016'!U16/100)* 'Tariffs July2016'!AJ16)</f>
        <v>164.7</v>
      </c>
      <c r="K22" s="59">
        <f>IF($C$5*'Tariffs July2016'!AL16/'Tariffs July2016'!AJ16&lt;'Tariffs July2016'!J16,0,IF($C$5*'Tariffs July2016'!AL16/'Tariffs July2016'!AJ16&lt;='Tariffs July2016'!K16,($C$5*'Tariffs July2016'!AL16/'Tariffs July2016'!AJ16-'Tariffs July2016'!J16)*('Tariffs July2016'!V16/100)*'Tariffs July2016'!AJ16,('Tariffs July2016'!K16-'Tariffs July2016'!J16)*('Tariffs July2016'!V16/100)*'Tariffs July2016'!AJ16))</f>
        <v>141.30000000000001</v>
      </c>
      <c r="L22" s="59">
        <f>IF($C$5*'Tariffs July2016'!AL16/'Tariffs July2016'!AJ16&lt;'Tariffs July2016'!K16,0,IF($C$5*'Tariffs July2016'!AL16/'Tariffs July2016'!AJ16&lt;='Tariffs July2016'!L16,($C$5*'Tariffs July2016'!AL16/'Tariffs July2016'!AJ16-'Tariffs July2016'!K16)*('Tariffs July2016'!W16/100)*'Tariffs July2016'!AJ16,('Tariffs July2016'!L16-'Tariffs July2016'!K16)*('Tariffs July2016'!W16/100)*'Tariffs July2016'!AJ16))</f>
        <v>112.5</v>
      </c>
      <c r="M22" s="59">
        <f>IF($C$5*'Tariffs July2016'!AL16/'Tariffs July2016'!AJ16&lt;'Tariffs July2016'!L16,0,IF($C$5*'Tariffs July2016'!AL16/'Tariffs July2016'!AJ16&lt;='Tariffs July2016'!M16,($C$5*'Tariffs July2016'!AL16/'Tariffs July2016'!AJ16-'Tariffs July2016'!L16)*('Tariffs July2016'!X16/100)*'Tariffs July2016'!AJ16,('Tariffs July2016'!M16-'Tariffs July2016'!L16)*('Tariffs July2016'!X16/100)*'Tariffs July2016'!AJ16))</f>
        <v>48.599999999999994</v>
      </c>
      <c r="N22" s="59">
        <f>IF(($C$5*'Tariffs July2016'!AL16/'Tariffs July2016'!AJ16&gt;'Tariffs July2016'!M16),($C$5*'Tariffs July2016'!AL16/'Tariffs July2016'!AJ16-'Tariffs July2016'!M16)*'Tariffs July2016'!Y16/100*'Tariffs July2016'!AJ16,0)</f>
        <v>0</v>
      </c>
      <c r="O22" s="271">
        <f t="shared" si="0"/>
        <v>1008.4499999999999</v>
      </c>
      <c r="P22" s="59">
        <f t="shared" si="1"/>
        <v>1253</v>
      </c>
      <c r="Q22" s="272">
        <f t="shared" si="2"/>
        <v>1378.3000000000002</v>
      </c>
      <c r="R22" s="40">
        <f>'Tariffs July2016'!AM16</f>
        <v>0</v>
      </c>
      <c r="S22" s="40">
        <f>'Tariffs July2016'!AN16</f>
        <v>0</v>
      </c>
      <c r="T22" s="40">
        <f>'Tariffs July2016'!AO16</f>
        <v>0</v>
      </c>
      <c r="U22" s="40">
        <f>'Tariffs July2016'!AP16</f>
        <v>12</v>
      </c>
      <c r="V22" s="273">
        <f t="shared" si="3"/>
        <v>1253</v>
      </c>
      <c r="W22" s="273">
        <f>V22-(O22*U22/100)</f>
        <v>1131.9860000000001</v>
      </c>
      <c r="X22" s="272">
        <f t="shared" si="4"/>
        <v>1378.3000000000002</v>
      </c>
      <c r="Y22" s="272">
        <f t="shared" si="5"/>
        <v>1245.1846000000003</v>
      </c>
      <c r="Z22" s="274">
        <f>'Tariffs July2016'!AW16</f>
        <v>12</v>
      </c>
      <c r="AA22" s="274" t="str">
        <f>'Tariffs July2016'!AX16</f>
        <v>y</v>
      </c>
      <c r="AB22" s="275" t="str">
        <f>'Tariffs July2016'!BD16</f>
        <v>Y</v>
      </c>
      <c r="AC22" s="260"/>
      <c r="AD22" s="260"/>
      <c r="AE22" s="260"/>
      <c r="AF22" s="260"/>
      <c r="AG22" s="260"/>
      <c r="AH22" s="260"/>
      <c r="AI22" s="260"/>
      <c r="AJ22" s="260"/>
      <c r="AK22" s="260"/>
      <c r="AL22" s="260"/>
      <c r="AM22" s="260"/>
      <c r="AN22" s="260"/>
    </row>
    <row r="23" spans="1:40" x14ac:dyDescent="0.15">
      <c r="A23" s="270" t="str">
        <f>'Tariffs July2016'!F17</f>
        <v>Dodo Power &amp; Gas</v>
      </c>
      <c r="B23" s="40" t="str">
        <f>'Tariffs July2016'!D17</f>
        <v>Multinet 2</v>
      </c>
      <c r="C23" s="40" t="str">
        <f>'Tariffs July2016'!G17</f>
        <v>Market offer</v>
      </c>
      <c r="D23" s="59">
        <f>365*'Tariffs July2016'!H17/100</f>
        <v>200.71350000000001</v>
      </c>
      <c r="E23" s="59">
        <f>IF($C$5*'Tariffs July2016'!AK17/'Tariffs July2016'!AI17&gt;='Tariffs July2016'!J17,( 'Tariffs July2016'!J17*'Tariffs July2016'!O17/100)* 'Tariffs July2016'!AI17,($C$5*'Tariffs July2016'!AK17/'Tariffs July2016'!AI17*'Tariffs July2016'!O17/100)* 'Tariffs July2016'!AI17)</f>
        <v>198.45000000000002</v>
      </c>
      <c r="F23" s="59">
        <f>IF($C$5*'Tariffs July2016'!AK17/'Tariffs July2016'!AI17&lt;'Tariffs July2016'!J17,0,IF($C$5*'Tariffs July2016'!AK17/'Tariffs July2016'!AI17&lt;='Tariffs July2016'!K17,($C$5*'Tariffs July2016'!AK17/'Tariffs July2016'!AI17-'Tariffs July2016'!J17)*('Tariffs July2016'!P17/100)*'Tariffs July2016'!AI17,('Tariffs July2016'!K17-'Tariffs July2016'!J17)*('Tariffs July2016'!P17/100)*'Tariffs July2016'!AI17))</f>
        <v>0</v>
      </c>
      <c r="G23" s="59">
        <f>IF($C$5*'Tariffs July2016'!AK17/'Tariffs July2016'!AI17&lt;'Tariffs July2016'!K17,0,IF($C$5*'Tariffs July2016'!AK17/'Tariffs July2016'!AI17&lt;='Tariffs July2016'!L17,($C$5*'Tariffs July2016'!AK17/'Tariffs July2016'!AI17-'Tariffs July2016'!K17)*('Tariffs July2016'!Q17/100)*'Tariffs July2016'!AI17,('Tariffs July2016'!L17-'Tariffs July2016'!K17)*('Tariffs July2016'!Q17/100)*'Tariffs July2016'!AI17))</f>
        <v>0</v>
      </c>
      <c r="H23" s="59">
        <f>IF($C$5*'Tariffs July2016'!AK17/'Tariffs July2016'!AI17&lt;'Tariffs July2016'!L17,0,IF($C$5*'Tariffs July2016'!AK17/'Tariffs July2016'!AI17&lt;='Tariffs July2016'!M17,($C$5*'Tariffs July2016'!AK17/'Tariffs July2016'!AI17-'Tariffs July2016'!L17)*('Tariffs July2016'!R17/100)*'Tariffs July2016'!AI17,('Tariffs July2016'!M17-'Tariffs July2016'!L17)*('Tariffs July2016'!R17/100)*'Tariffs July2016'!AI17))</f>
        <v>0</v>
      </c>
      <c r="I23" s="59">
        <f>IF(($C$5*'Tariffs July2016'!AK17/'Tariffs July2016'!AI17&gt;'Tariffs July2016'!M17),($C$5*'Tariffs July2016'!AK17/'Tariffs July2016'!AI17-'Tariffs July2016'!M17)*'Tariffs July2016'!S17/100*'Tariffs July2016'!AI17,0)</f>
        <v>323.39999999999998</v>
      </c>
      <c r="J23" s="59">
        <f>IF($C$5*'Tariffs July2016'!AL17/'Tariffs July2016'!AJ17&gt;='Tariffs July2016'!J17,('Tariffs July2016'!J17*'Tariffs July2016'!U17/100)* 'Tariffs July2016'!AJ17,($C$5*'Tariffs July2016'!AL17/'Tariffs July2016'!AJ17*'Tariffs July2016'!U17/100)* 'Tariffs July2016'!AJ17)</f>
        <v>187.95</v>
      </c>
      <c r="K23" s="59">
        <f>IF($C$5*'Tariffs July2016'!AL17/'Tariffs July2016'!AJ17&lt;'Tariffs July2016'!J17,0,IF($C$5*'Tariffs July2016'!AL17/'Tariffs July2016'!AJ17&lt;='Tariffs July2016'!K17,($C$5*'Tariffs July2016'!AL17/'Tariffs July2016'!AJ17-'Tariffs July2016'!J17)*('Tariffs July2016'!V17/100)*'Tariffs July2016'!AJ17,('Tariffs July2016'!K17-'Tariffs July2016'!J17)*('Tariffs July2016'!V17/100)*'Tariffs July2016'!AJ17))</f>
        <v>0</v>
      </c>
      <c r="L23" s="59">
        <f>IF($C$5*'Tariffs July2016'!AL17/'Tariffs July2016'!AJ17&lt;'Tariffs July2016'!K17,0,IF($C$5*'Tariffs July2016'!AL17/'Tariffs July2016'!AJ17&lt;='Tariffs July2016'!L17,($C$5*'Tariffs July2016'!AL17/'Tariffs July2016'!AJ17-'Tariffs July2016'!K17)*('Tariffs July2016'!W17/100)*'Tariffs July2016'!AJ17,('Tariffs July2016'!L17-'Tariffs July2016'!K17)*('Tariffs July2016'!W17/100)*'Tariffs July2016'!AJ17))</f>
        <v>0</v>
      </c>
      <c r="M23" s="59">
        <f>IF($C$5*'Tariffs July2016'!AL17/'Tariffs July2016'!AJ17&lt;'Tariffs July2016'!L17,0,IF($C$5*'Tariffs July2016'!AL17/'Tariffs July2016'!AJ17&lt;='Tariffs July2016'!M17,($C$5*'Tariffs July2016'!AL17/'Tariffs July2016'!AJ17-'Tariffs July2016'!L17)*('Tariffs July2016'!X17/100)*'Tariffs July2016'!AJ17,('Tariffs July2016'!M17-'Tariffs July2016'!L17)*('Tariffs July2016'!X17/100)*'Tariffs July2016'!AJ17))</f>
        <v>0</v>
      </c>
      <c r="N23" s="59">
        <f>IF(($C$5*'Tariffs July2016'!AL17/'Tariffs July2016'!AJ17&gt;'Tariffs July2016'!M17),($C$5*'Tariffs July2016'!AL17/'Tariffs July2016'!AJ17-'Tariffs July2016'!M17)*'Tariffs July2016'!Y17/100*'Tariffs July2016'!AJ17,0)</f>
        <v>312.89999999999998</v>
      </c>
      <c r="O23" s="271">
        <f t="shared" si="0"/>
        <v>1022.6999999999999</v>
      </c>
      <c r="P23" s="59">
        <f t="shared" si="1"/>
        <v>1223.4134999999999</v>
      </c>
      <c r="Q23" s="272">
        <f t="shared" si="2"/>
        <v>1345.75485</v>
      </c>
      <c r="R23" s="40">
        <f>'Tariffs July2016'!AM17</f>
        <v>0</v>
      </c>
      <c r="S23" s="40">
        <f>'Tariffs July2016'!AN17</f>
        <v>0</v>
      </c>
      <c r="T23" s="40">
        <f>'Tariffs July2016'!AO17</f>
        <v>0</v>
      </c>
      <c r="U23" s="40">
        <f>'Tariffs July2016'!AP17</f>
        <v>0</v>
      </c>
      <c r="V23" s="273">
        <f t="shared" si="3"/>
        <v>1223.4134999999999</v>
      </c>
      <c r="W23" s="273">
        <f>V23-(O23*U23/100)</f>
        <v>1223.4134999999999</v>
      </c>
      <c r="X23" s="272">
        <f t="shared" si="4"/>
        <v>1345.75485</v>
      </c>
      <c r="Y23" s="272">
        <f t="shared" si="5"/>
        <v>1345.75485</v>
      </c>
      <c r="Z23" s="274">
        <f>'Tariffs July2016'!AW17</f>
        <v>0</v>
      </c>
      <c r="AA23" s="274" t="str">
        <f>'Tariffs July2016'!AX17</f>
        <v>n</v>
      </c>
      <c r="AB23" s="275" t="str">
        <f>'Tariffs July2016'!BD17</f>
        <v>Y</v>
      </c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</row>
    <row r="24" spans="1:40" x14ac:dyDescent="0.15">
      <c r="A24" s="270" t="str">
        <f>'Tariffs July2016'!F18</f>
        <v>EnergyAustralia</v>
      </c>
      <c r="B24" s="40" t="str">
        <f>'Tariffs July2016'!D18</f>
        <v>Multinet 2</v>
      </c>
      <c r="C24" s="40" t="str">
        <f>'Tariffs July2016'!G18</f>
        <v xml:space="preserve">Flexi Saver </v>
      </c>
      <c r="D24" s="59">
        <f>365*'Tariffs July2016'!H18/100</f>
        <v>222.65</v>
      </c>
      <c r="E24" s="59">
        <f>IF($C$5*'Tariffs July2016'!AK18/'Tariffs July2016'!AI18&gt;='Tariffs July2016'!J18,( 'Tariffs July2016'!J18*'Tariffs July2016'!O18/100)* 'Tariffs July2016'!AI18,($C$5*'Tariffs July2016'!AK18/'Tariffs July2016'!AI18*'Tariffs July2016'!O18/100)* 'Tariffs July2016'!AI18)</f>
        <v>198.00000000000006</v>
      </c>
      <c r="F24" s="59">
        <f>IF($C$5*'Tariffs July2016'!AK18/'Tariffs July2016'!AI18&lt;'Tariffs July2016'!J18,0,IF($C$5*'Tariffs July2016'!AK18/'Tariffs July2016'!AI18&lt;='Tariffs July2016'!K18,($C$5*'Tariffs July2016'!AK18/'Tariffs July2016'!AI18-'Tariffs July2016'!J18)*('Tariffs July2016'!P18/100)*'Tariffs July2016'!AI18,('Tariffs July2016'!K18-'Tariffs July2016'!J18)*('Tariffs July2016'!P18/100)*'Tariffs July2016'!AI18))</f>
        <v>180</v>
      </c>
      <c r="G24" s="59">
        <f>IF($C$5*'Tariffs July2016'!AK18/'Tariffs July2016'!AI18&lt;'Tariffs July2016'!K18,0,IF($C$5*'Tariffs July2016'!AK18/'Tariffs July2016'!AI18&lt;='Tariffs July2016'!L18,($C$5*'Tariffs July2016'!AK18/'Tariffs July2016'!AI18-'Tariffs July2016'!K18)*('Tariffs July2016'!Q18/100)*'Tariffs July2016'!AI18,('Tariffs July2016'!L18-'Tariffs July2016'!K18)*('Tariffs July2016'!Q18/100)*'Tariffs July2016'!AI18))</f>
        <v>148.5</v>
      </c>
      <c r="H24" s="59">
        <f>IF($C$5*'Tariffs July2016'!AK18/'Tariffs July2016'!AI18&lt;'Tariffs July2016'!L18,0,IF($C$5*'Tariffs July2016'!AK18/'Tariffs July2016'!AI18&lt;='Tariffs July2016'!M18,($C$5*'Tariffs July2016'!AK18/'Tariffs July2016'!AI18-'Tariffs July2016'!L18)*('Tariffs July2016'!R18/100)*'Tariffs July2016'!AI18,('Tariffs July2016'!M18-'Tariffs July2016'!L18)*('Tariffs July2016'!R18/100)*'Tariffs July2016'!AI18))</f>
        <v>65.385000000000005</v>
      </c>
      <c r="I24" s="59">
        <f>IF(($C$5*'Tariffs July2016'!AK18/'Tariffs July2016'!AI18&gt;'Tariffs July2016'!M18),($C$5*'Tariffs July2016'!AK18/'Tariffs July2016'!AI18-'Tariffs July2016'!M18)*'Tariffs July2016'!S18/100*'Tariffs July2016'!AI18,0)</f>
        <v>0</v>
      </c>
      <c r="J24" s="59">
        <f>IF($C$5*'Tariffs July2016'!AL18/'Tariffs July2016'!AJ18&gt;='Tariffs July2016'!J18,('Tariffs July2016'!J18*'Tariffs July2016'!U18/100)* 'Tariffs July2016'!AJ18,($C$5*'Tariffs July2016'!AL18/'Tariffs July2016'!AJ18*'Tariffs July2016'!U18/100)* 'Tariffs July2016'!AJ18)</f>
        <v>166.5</v>
      </c>
      <c r="K24" s="59">
        <f>IF($C$5*'Tariffs July2016'!AL18/'Tariffs July2016'!AJ18&lt;'Tariffs July2016'!J18,0,IF($C$5*'Tariffs July2016'!AL18/'Tariffs July2016'!AJ18&lt;='Tariffs July2016'!K18,($C$5*'Tariffs July2016'!AL18/'Tariffs July2016'!AJ18-'Tariffs July2016'!J18)*('Tariffs July2016'!V18/100)*'Tariffs July2016'!AJ18,('Tariffs July2016'!K18-'Tariffs July2016'!J18)*('Tariffs July2016'!V18/100)*'Tariffs July2016'!AJ18))</f>
        <v>148.5</v>
      </c>
      <c r="L24" s="59">
        <f>IF($C$5*'Tariffs July2016'!AL18/'Tariffs July2016'!AJ18&lt;'Tariffs July2016'!K18,0,IF($C$5*'Tariffs July2016'!AL18/'Tariffs July2016'!AJ18&lt;='Tariffs July2016'!L18,($C$5*'Tariffs July2016'!AL18/'Tariffs July2016'!AJ18-'Tariffs July2016'!K18)*('Tariffs July2016'!W18/100)*'Tariffs July2016'!AJ18,('Tariffs July2016'!L18-'Tariffs July2016'!K18)*('Tariffs July2016'!W18/100)*'Tariffs July2016'!AJ18))</f>
        <v>125.99999999999997</v>
      </c>
      <c r="M24" s="59">
        <f>IF($C$5*'Tariffs July2016'!AL18/'Tariffs July2016'!AJ18&lt;'Tariffs July2016'!L18,0,IF($C$5*'Tariffs July2016'!AL18/'Tariffs July2016'!AJ18&lt;='Tariffs July2016'!M18,($C$5*'Tariffs July2016'!AL18/'Tariffs July2016'!AJ18-'Tariffs July2016'!L18)*('Tariffs July2016'!X18/100)*'Tariffs July2016'!AJ18,('Tariffs July2016'!M18-'Tariffs July2016'!L18)*('Tariffs July2016'!X18/100)*'Tariffs July2016'!AJ18))</f>
        <v>55.215000000000003</v>
      </c>
      <c r="N24" s="59">
        <f>IF(($C$5*'Tariffs July2016'!AL18/'Tariffs July2016'!AJ18&gt;'Tariffs July2016'!M18),($C$5*'Tariffs July2016'!AL18/'Tariffs July2016'!AJ18-'Tariffs July2016'!M18)*'Tariffs July2016'!Y18/100*'Tariffs July2016'!AJ18,0)</f>
        <v>0</v>
      </c>
      <c r="O24" s="271">
        <f t="shared" si="0"/>
        <v>1088.0999999999999</v>
      </c>
      <c r="P24" s="59">
        <f t="shared" si="1"/>
        <v>1310.75</v>
      </c>
      <c r="Q24" s="272">
        <f t="shared" si="2"/>
        <v>1441.825</v>
      </c>
      <c r="R24" s="40">
        <f>'Tariffs July2016'!AM18</f>
        <v>0</v>
      </c>
      <c r="S24" s="40">
        <f>'Tariffs July2016'!AN18</f>
        <v>0</v>
      </c>
      <c r="T24" s="40">
        <f>'Tariffs July2016'!AO18</f>
        <v>0</v>
      </c>
      <c r="U24" s="40">
        <f>'Tariffs July2016'!AP18</f>
        <v>16</v>
      </c>
      <c r="V24" s="273">
        <f t="shared" si="3"/>
        <v>1310.75</v>
      </c>
      <c r="W24" s="273">
        <f>V24-(O24*U24/100)</f>
        <v>1136.654</v>
      </c>
      <c r="X24" s="272">
        <f t="shared" si="4"/>
        <v>1441.825</v>
      </c>
      <c r="Y24" s="272">
        <f t="shared" si="5"/>
        <v>1250.3194000000001</v>
      </c>
      <c r="Z24" s="274">
        <f>'Tariffs July2016'!AW18</f>
        <v>0</v>
      </c>
      <c r="AA24" s="274" t="str">
        <f>'Tariffs July2016'!AX18</f>
        <v>n</v>
      </c>
      <c r="AB24" s="275" t="str">
        <f>'Tariffs July2016'!BD18</f>
        <v>N</v>
      </c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</row>
    <row r="25" spans="1:40" x14ac:dyDescent="0.15">
      <c r="A25" s="270" t="str">
        <f>'Tariffs July2016'!F19</f>
        <v>Lumo Energy</v>
      </c>
      <c r="B25" s="40" t="str">
        <f>'Tariffs July2016'!D19</f>
        <v>Multinet 2</v>
      </c>
      <c r="C25" s="40" t="str">
        <f>'Tariffs July2016'!G19</f>
        <v>Advantage</v>
      </c>
      <c r="D25" s="59">
        <f>365*'Tariffs July2016'!H19/100</f>
        <v>229.62149999999997</v>
      </c>
      <c r="E25" s="59">
        <f>IF($C$5*'Tariffs July2016'!AK19/'Tariffs July2016'!AI19&gt;='Tariffs July2016'!J19,( 'Tariffs July2016'!J19*'Tariffs July2016'!O19/100)* 'Tariffs July2016'!AI19,($C$5*'Tariffs July2016'!AK19/'Tariffs July2016'!AI19*'Tariffs July2016'!O19/100)* 'Tariffs July2016'!AI19)</f>
        <v>189.35999999999999</v>
      </c>
      <c r="F25" s="59">
        <f>IF($C$5*'Tariffs July2016'!AK19/'Tariffs July2016'!AI19&lt;'Tariffs July2016'!J19,0,IF($C$5*'Tariffs July2016'!AK19/'Tariffs July2016'!AI19&lt;='Tariffs July2016'!K19,($C$5*'Tariffs July2016'!AK19/'Tariffs July2016'!AI19-'Tariffs July2016'!J19)*('Tariffs July2016'!P19/100)*'Tariffs July2016'!AI19,('Tariffs July2016'!K19-'Tariffs July2016'!J19)*('Tariffs July2016'!P19/100)*'Tariffs July2016'!AI19))</f>
        <v>165.51</v>
      </c>
      <c r="G25" s="59">
        <f>IF($C$5*'Tariffs July2016'!AK19/'Tariffs July2016'!AI19&lt;'Tariffs July2016'!K19,0,IF($C$5*'Tariffs July2016'!AK19/'Tariffs July2016'!AI19&lt;='Tariffs July2016'!L19,($C$5*'Tariffs July2016'!AK19/'Tariffs July2016'!AI19-'Tariffs July2016'!K19)*('Tariffs July2016'!Q19/100)*'Tariffs July2016'!AI19,('Tariffs July2016'!L19-'Tariffs July2016'!K19)*('Tariffs July2016'!Q19/100)*'Tariffs July2016'!AI19))</f>
        <v>136.53</v>
      </c>
      <c r="H25" s="59">
        <f>IF($C$5*'Tariffs July2016'!AK19/'Tariffs July2016'!AI19&lt;'Tariffs July2016'!L19,0,IF($C$5*'Tariffs July2016'!AK19/'Tariffs July2016'!AI19&lt;='Tariffs July2016'!M19,($C$5*'Tariffs July2016'!AK19/'Tariffs July2016'!AI19-'Tariffs July2016'!L19)*('Tariffs July2016'!R19/100)*'Tariffs July2016'!AI19,('Tariffs July2016'!M19-'Tariffs July2016'!L19)*('Tariffs July2016'!R19/100)*'Tariffs July2016'!AI19))</f>
        <v>60.570000000000007</v>
      </c>
      <c r="I25" s="59">
        <f>IF(($C$5*'Tariffs July2016'!AK19/'Tariffs July2016'!AI19&gt;'Tariffs July2016'!M19),($C$5*'Tariffs July2016'!AK19/'Tariffs July2016'!AI19-'Tariffs July2016'!M19)*'Tariffs July2016'!S19/100*'Tariffs July2016'!AI19,0)</f>
        <v>0</v>
      </c>
      <c r="J25" s="59">
        <f>IF($C$5*'Tariffs July2016'!AL19/'Tariffs July2016'!AJ19&gt;='Tariffs July2016'!J19,('Tariffs July2016'!J19*'Tariffs July2016'!U19/100)* 'Tariffs July2016'!AJ19,($C$5*'Tariffs July2016'!AL19/'Tariffs July2016'!AJ19*'Tariffs July2016'!U19/100)* 'Tariffs July2016'!AJ19)</f>
        <v>178.02</v>
      </c>
      <c r="K25" s="59">
        <f>IF($C$5*'Tariffs July2016'!AL19/'Tariffs July2016'!AJ19&lt;'Tariffs July2016'!J19,0,IF($C$5*'Tariffs July2016'!AL19/'Tariffs July2016'!AJ19&lt;='Tariffs July2016'!K19,($C$5*'Tariffs July2016'!AL19/'Tariffs July2016'!AJ19-'Tariffs July2016'!J19)*('Tariffs July2016'!V19/100)*'Tariffs July2016'!AJ19,('Tariffs July2016'!K19-'Tariffs July2016'!J19)*('Tariffs July2016'!V19/100)*'Tariffs July2016'!AJ19))</f>
        <v>157.32</v>
      </c>
      <c r="L25" s="59">
        <f>IF($C$5*'Tariffs July2016'!AL19/'Tariffs July2016'!AJ19&lt;'Tariffs July2016'!K19,0,IF($C$5*'Tariffs July2016'!AL19/'Tariffs July2016'!AJ19&lt;='Tariffs July2016'!L19,($C$5*'Tariffs July2016'!AL19/'Tariffs July2016'!AJ19-'Tariffs July2016'!K19)*('Tariffs July2016'!W19/100)*'Tariffs July2016'!AJ19,('Tariffs July2016'!L19-'Tariffs July2016'!K19)*('Tariffs July2016'!W19/100)*'Tariffs July2016'!AJ19))</f>
        <v>132.30000000000001</v>
      </c>
      <c r="M25" s="59">
        <f>IF($C$5*'Tariffs July2016'!AL19/'Tariffs July2016'!AJ19&lt;'Tariffs July2016'!L19,0,IF($C$5*'Tariffs July2016'!AL19/'Tariffs July2016'!AJ19&lt;='Tariffs July2016'!M19,($C$5*'Tariffs July2016'!AL19/'Tariffs July2016'!AJ19-'Tariffs July2016'!L19)*('Tariffs July2016'!X19/100)*'Tariffs July2016'!AJ19,('Tariffs July2016'!M19-'Tariffs July2016'!L19)*('Tariffs July2016'!X19/100)*'Tariffs July2016'!AJ19))</f>
        <v>59.534999999999997</v>
      </c>
      <c r="N25" s="59">
        <f>IF(($C$5*'Tariffs July2016'!AL19/'Tariffs July2016'!AJ19&gt;'Tariffs July2016'!M19),($C$5*'Tariffs July2016'!AL19/'Tariffs July2016'!AJ19-'Tariffs July2016'!M19)*'Tariffs July2016'!Y19/100*'Tariffs July2016'!AJ19,0)</f>
        <v>0</v>
      </c>
      <c r="O25" s="271">
        <f t="shared" si="0"/>
        <v>1079.145</v>
      </c>
      <c r="P25" s="59">
        <f t="shared" si="1"/>
        <v>1308.7665</v>
      </c>
      <c r="Q25" s="272">
        <f t="shared" si="2"/>
        <v>1439.6431500000001</v>
      </c>
      <c r="R25" s="40">
        <f>'Tariffs July2016'!AM19</f>
        <v>0</v>
      </c>
      <c r="S25" s="40">
        <f>'Tariffs July2016'!AN19</f>
        <v>0</v>
      </c>
      <c r="T25" s="40">
        <f>'Tariffs July2016'!AO19</f>
        <v>15</v>
      </c>
      <c r="U25" s="40">
        <f>'Tariffs July2016'!AP19</f>
        <v>0</v>
      </c>
      <c r="V25" s="273">
        <f t="shared" si="3"/>
        <v>1308.7665</v>
      </c>
      <c r="W25" s="273">
        <f>V25-(P25*T25/100)</f>
        <v>1112.4515249999999</v>
      </c>
      <c r="X25" s="272">
        <f t="shared" si="4"/>
        <v>1439.6431500000001</v>
      </c>
      <c r="Y25" s="272">
        <f t="shared" si="5"/>
        <v>1223.6966775000001</v>
      </c>
      <c r="Z25" s="274">
        <f>'Tariffs July2016'!AW19</f>
        <v>24</v>
      </c>
      <c r="AA25" s="274" t="str">
        <f>'Tariffs July2016'!AX19</f>
        <v>n</v>
      </c>
      <c r="AB25" s="275" t="str">
        <f>'Tariffs July2016'!BD19</f>
        <v>Y</v>
      </c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</row>
    <row r="26" spans="1:40" x14ac:dyDescent="0.15">
      <c r="A26" s="270" t="str">
        <f>'Tariffs July2016'!F20</f>
        <v>Momentum Energy</v>
      </c>
      <c r="B26" s="40" t="str">
        <f>'Tariffs July2016'!D20</f>
        <v>Multinet 2</v>
      </c>
      <c r="C26" s="40" t="str">
        <f>'Tariffs July2016'!G20</f>
        <v>Market offer</v>
      </c>
      <c r="D26" s="59">
        <f>365*'Tariffs July2016'!H20/100</f>
        <v>212.21099999999998</v>
      </c>
      <c r="E26" s="59">
        <f>IF($C$5*'Tariffs July2016'!AK20/'Tariffs July2016'!AI20&gt;='Tariffs July2016'!J20,( 'Tariffs July2016'!J20*'Tariffs July2016'!O20/100)* 'Tariffs July2016'!AI20,($C$5*'Tariffs July2016'!AK20/'Tariffs July2016'!AI20*'Tariffs July2016'!O20/100)* 'Tariffs July2016'!AI20)</f>
        <v>147.96</v>
      </c>
      <c r="F26" s="59">
        <f>IF($C$5*'Tariffs July2016'!AK20/'Tariffs July2016'!AI20&lt;'Tariffs July2016'!J20,0,IF($C$5*'Tariffs July2016'!AK20/'Tariffs July2016'!AI20&lt;='Tariffs July2016'!K20,($C$5*'Tariffs July2016'!AK20/'Tariffs July2016'!AI20-'Tariffs July2016'!J20)*('Tariffs July2016'!P20/100)*'Tariffs July2016'!AI20,('Tariffs July2016'!K20-'Tariffs July2016'!J20)*('Tariffs July2016'!P20/100)*'Tariffs July2016'!AI20))</f>
        <v>132.03000000000003</v>
      </c>
      <c r="G26" s="59">
        <f>IF($C$5*'Tariffs July2016'!AK20/'Tariffs July2016'!AI20&lt;'Tariffs July2016'!K20,0,IF($C$5*'Tariffs July2016'!AK20/'Tariffs July2016'!AI20&lt;='Tariffs July2016'!L20,($C$5*'Tariffs July2016'!AK20/'Tariffs July2016'!AI20-'Tariffs July2016'!K20)*('Tariffs July2016'!Q20/100)*'Tariffs July2016'!AI20,('Tariffs July2016'!L20-'Tariffs July2016'!K20)*('Tariffs July2016'!Q20/100)*'Tariffs July2016'!AI20))</f>
        <v>108.44999999999999</v>
      </c>
      <c r="H26" s="59">
        <f>IF($C$5*'Tariffs July2016'!AK20/'Tariffs July2016'!AI20&lt;'Tariffs July2016'!L20,0,IF($C$5*'Tariffs July2016'!AK20/'Tariffs July2016'!AI20&lt;='Tariffs July2016'!M20,($C$5*'Tariffs July2016'!AK20/'Tariffs July2016'!AI20-'Tariffs July2016'!L20)*('Tariffs July2016'!R20/100)*'Tariffs July2016'!AI20,('Tariffs July2016'!M20-'Tariffs July2016'!L20)*('Tariffs July2016'!R20/100)*'Tariffs July2016'!AI20))</f>
        <v>48.015000000000001</v>
      </c>
      <c r="I26" s="59">
        <f>IF(($C$5*'Tariffs July2016'!AK20/'Tariffs July2016'!AI20&gt;'Tariffs July2016'!M20),($C$5*'Tariffs July2016'!AK20/'Tariffs July2016'!AI20-'Tariffs July2016'!M20)*'Tariffs July2016'!S20/100*'Tariffs July2016'!AI20,0)</f>
        <v>0</v>
      </c>
      <c r="J26" s="59">
        <f>IF($C$5*'Tariffs July2016'!AL20/'Tariffs July2016'!AJ20&gt;='Tariffs July2016'!J20,('Tariffs July2016'!J20*'Tariffs July2016'!U20/100)* 'Tariffs July2016'!AJ20,($C$5*'Tariffs July2016'!AL20/'Tariffs July2016'!AJ20*'Tariffs July2016'!U20/100)* 'Tariffs July2016'!AJ20)</f>
        <v>134.01</v>
      </c>
      <c r="K26" s="59">
        <f>IF($C$5*'Tariffs July2016'!AL20/'Tariffs July2016'!AJ20&lt;'Tariffs July2016'!J20,0,IF($C$5*'Tariffs July2016'!AL20/'Tariffs July2016'!AJ20&lt;='Tariffs July2016'!K20,($C$5*'Tariffs July2016'!AL20/'Tariffs July2016'!AJ20-'Tariffs July2016'!J20)*('Tariffs July2016'!V20/100)*'Tariffs July2016'!AJ20,('Tariffs July2016'!K20-'Tariffs July2016'!J20)*('Tariffs July2016'!V20/100)*'Tariffs July2016'!AJ20))</f>
        <v>120.96000000000001</v>
      </c>
      <c r="L26" s="59">
        <f>IF($C$5*'Tariffs July2016'!AL20/'Tariffs July2016'!AJ20&lt;'Tariffs July2016'!K20,0,IF($C$5*'Tariffs July2016'!AL20/'Tariffs July2016'!AJ20&lt;='Tariffs July2016'!L20,($C$5*'Tariffs July2016'!AL20/'Tariffs July2016'!AJ20-'Tariffs July2016'!K20)*('Tariffs July2016'!W20/100)*'Tariffs July2016'!AJ20,('Tariffs July2016'!L20-'Tariffs July2016'!K20)*('Tariffs July2016'!W20/100)*'Tariffs July2016'!AJ20))</f>
        <v>100.98000000000002</v>
      </c>
      <c r="M26" s="59">
        <f>IF($C$5*'Tariffs July2016'!AL20/'Tariffs July2016'!AJ20&lt;'Tariffs July2016'!L20,0,IF($C$5*'Tariffs July2016'!AL20/'Tariffs July2016'!AJ20&lt;='Tariffs July2016'!M20,($C$5*'Tariffs July2016'!AL20/'Tariffs July2016'!AJ20-'Tariffs July2016'!L20)*('Tariffs July2016'!X20/100)*'Tariffs July2016'!AJ20,('Tariffs July2016'!M20-'Tariffs July2016'!L20)*('Tariffs July2016'!X20/100)*'Tariffs July2016'!AJ20))</f>
        <v>45.18</v>
      </c>
      <c r="N26" s="59">
        <f>IF(($C$5*'Tariffs July2016'!AL20/'Tariffs July2016'!AJ20&gt;'Tariffs July2016'!M20),($C$5*'Tariffs July2016'!AL20/'Tariffs July2016'!AJ20-'Tariffs July2016'!M20)*'Tariffs July2016'!Y20/100*'Tariffs July2016'!AJ20,0)</f>
        <v>0</v>
      </c>
      <c r="O26" s="271">
        <f t="shared" si="0"/>
        <v>837.58499999999992</v>
      </c>
      <c r="P26" s="59">
        <f t="shared" si="1"/>
        <v>1049.7959999999998</v>
      </c>
      <c r="Q26" s="272">
        <f t="shared" si="2"/>
        <v>1154.7755999999999</v>
      </c>
      <c r="R26" s="40">
        <f>'Tariffs July2016'!AM20</f>
        <v>0</v>
      </c>
      <c r="S26" s="40">
        <f>'Tariffs July2016'!AN20</f>
        <v>0</v>
      </c>
      <c r="T26" s="40">
        <f>'Tariffs July2016'!AO20</f>
        <v>0</v>
      </c>
      <c r="U26" s="40">
        <f>'Tariffs July2016'!AP20</f>
        <v>0</v>
      </c>
      <c r="V26" s="273">
        <f t="shared" si="3"/>
        <v>1049.7959999999998</v>
      </c>
      <c r="W26" s="273">
        <f>V26</f>
        <v>1049.7959999999998</v>
      </c>
      <c r="X26" s="272">
        <f t="shared" si="4"/>
        <v>1154.7755999999999</v>
      </c>
      <c r="Y26" s="272">
        <f t="shared" si="5"/>
        <v>1154.7755999999999</v>
      </c>
      <c r="Z26" s="274">
        <f>'Tariffs July2016'!AW20</f>
        <v>0</v>
      </c>
      <c r="AA26" s="274" t="str">
        <f>'Tariffs July2016'!AX20</f>
        <v>n</v>
      </c>
      <c r="AB26" s="275" t="str">
        <f>'Tariffs July2016'!BD20</f>
        <v>Y</v>
      </c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</row>
    <row r="27" spans="1:40" x14ac:dyDescent="0.15">
      <c r="A27" s="270" t="str">
        <f>'Tariffs July2016'!F21</f>
        <v>Origin Energy</v>
      </c>
      <c r="B27" s="40" t="str">
        <f>'Tariffs July2016'!D21</f>
        <v>Multinet 2</v>
      </c>
      <c r="C27" s="40" t="str">
        <f>'Tariffs July2016'!G21</f>
        <v>Saver</v>
      </c>
      <c r="D27" s="59">
        <f>365*'Tariffs July2016'!H21/100</f>
        <v>250.755</v>
      </c>
      <c r="E27" s="59">
        <f>IF($C$5*'Tariffs July2016'!AK21/'Tariffs July2016'!AI21&gt;='Tariffs July2016'!J21,( 'Tariffs July2016'!J21*'Tariffs July2016'!O21/100)* 'Tariffs July2016'!AI21,($C$5*'Tariffs July2016'!AK21/'Tariffs July2016'!AI21*'Tariffs July2016'!O21/100)* 'Tariffs July2016'!AI21)</f>
        <v>373.68</v>
      </c>
      <c r="F27" s="59">
        <f>IF($C$5*'Tariffs July2016'!AK21/'Tariffs July2016'!AI21&lt;'Tariffs July2016'!J21,0,IF($C$5*'Tariffs July2016'!AK21/'Tariffs July2016'!AI21&lt;='Tariffs July2016'!K21,($C$5*'Tariffs July2016'!AK21/'Tariffs July2016'!AI21-'Tariffs July2016'!J21)*('Tariffs July2016'!P21/100)*'Tariffs July2016'!AI21,('Tariffs July2016'!K21-'Tariffs July2016'!J21)*('Tariffs July2016'!P21/100)*'Tariffs July2016'!AI21))</f>
        <v>149.85000000000002</v>
      </c>
      <c r="G27" s="59">
        <f>IF($C$5*'Tariffs July2016'!AK21/'Tariffs July2016'!AI21&lt;'Tariffs July2016'!K21,0,IF($C$5*'Tariffs July2016'!AK21/'Tariffs July2016'!AI21&lt;='Tariffs July2016'!L21,($C$5*'Tariffs July2016'!AK21/'Tariffs July2016'!AI21-'Tariffs July2016'!K21)*('Tariffs July2016'!Q21/100)*'Tariffs July2016'!AI21,('Tariffs July2016'!L21-'Tariffs July2016'!K21)*('Tariffs July2016'!Q21/100)*'Tariffs July2016'!AI21))</f>
        <v>0</v>
      </c>
      <c r="H27" s="59">
        <f>IF($C$5*'Tariffs July2016'!AK21/'Tariffs July2016'!AI21&lt;'Tariffs July2016'!L21,0,IF($C$5*'Tariffs July2016'!AK21/'Tariffs July2016'!AI21&lt;='Tariffs July2016'!M21,($C$5*'Tariffs July2016'!AK21/'Tariffs July2016'!AI21-'Tariffs July2016'!L21)*('Tariffs July2016'!R21/100)*'Tariffs July2016'!AI21,('Tariffs July2016'!M21-'Tariffs July2016'!L21)*('Tariffs July2016'!R21/100)*'Tariffs July2016'!AI21))</f>
        <v>0</v>
      </c>
      <c r="I27" s="59">
        <f>IF(($C$5*'Tariffs July2016'!AK21/'Tariffs July2016'!AI21&gt;'Tariffs July2016'!M21),($C$5*'Tariffs July2016'!AK21/'Tariffs July2016'!AI21-'Tariffs July2016'!M21)*'Tariffs July2016'!S21/100*'Tariffs July2016'!AI21,0)</f>
        <v>52.199999999999996</v>
      </c>
      <c r="J27" s="59">
        <f>IF($C$5*'Tariffs July2016'!AL21/'Tariffs July2016'!AJ21&gt;='Tariffs July2016'!J21,('Tariffs July2016'!J21*'Tariffs July2016'!U21/100)* 'Tariffs July2016'!AJ21,($C$5*'Tariffs July2016'!AL21/'Tariffs July2016'!AJ21*'Tariffs July2016'!U21/100)* 'Tariffs July2016'!AJ21)</f>
        <v>336.96</v>
      </c>
      <c r="K27" s="59">
        <f>IF($C$5*'Tariffs July2016'!AL21/'Tariffs July2016'!AJ21&lt;'Tariffs July2016'!J21,0,IF($C$5*'Tariffs July2016'!AL21/'Tariffs July2016'!AJ21&lt;='Tariffs July2016'!K21,($C$5*'Tariffs July2016'!AL21/'Tariffs July2016'!AJ21-'Tariffs July2016'!J21)*('Tariffs July2016'!V21/100)*'Tariffs July2016'!AJ21,('Tariffs July2016'!K21-'Tariffs July2016'!J21)*('Tariffs July2016'!V21/100)*'Tariffs July2016'!AJ21))</f>
        <v>130.05000000000001</v>
      </c>
      <c r="L27" s="59">
        <f>IF($C$5*'Tariffs July2016'!AL21/'Tariffs July2016'!AJ21&lt;'Tariffs July2016'!K21,0,IF($C$5*'Tariffs July2016'!AL21/'Tariffs July2016'!AJ21&lt;='Tariffs July2016'!L21,($C$5*'Tariffs July2016'!AL21/'Tariffs July2016'!AJ21-'Tariffs July2016'!K21)*('Tariffs July2016'!W21/100)*'Tariffs July2016'!AJ21,('Tariffs July2016'!L21-'Tariffs July2016'!K21)*('Tariffs July2016'!W21/100)*'Tariffs July2016'!AJ21))</f>
        <v>0</v>
      </c>
      <c r="M27" s="59">
        <f>IF($C$5*'Tariffs July2016'!AL21/'Tariffs July2016'!AJ21&lt;'Tariffs July2016'!L21,0,IF($C$5*'Tariffs July2016'!AL21/'Tariffs July2016'!AJ21&lt;='Tariffs July2016'!M21,($C$5*'Tariffs July2016'!AL21/'Tariffs July2016'!AJ21-'Tariffs July2016'!L21)*('Tariffs July2016'!X21/100)*'Tariffs July2016'!AJ21,('Tariffs July2016'!M21-'Tariffs July2016'!L21)*('Tariffs July2016'!X21/100)*'Tariffs July2016'!AJ21))</f>
        <v>0</v>
      </c>
      <c r="N27" s="59">
        <f>IF(($C$5*'Tariffs July2016'!AL21/'Tariffs July2016'!AJ21&gt;'Tariffs July2016'!M21),($C$5*'Tariffs July2016'!AL21/'Tariffs July2016'!AJ21-'Tariffs July2016'!M21)*'Tariffs July2016'!Y21/100*'Tariffs July2016'!AJ21,0)</f>
        <v>48.824999999999996</v>
      </c>
      <c r="O27" s="271">
        <f t="shared" si="0"/>
        <v>1091.5650000000001</v>
      </c>
      <c r="P27" s="59">
        <f t="shared" si="1"/>
        <v>1342.3200000000002</v>
      </c>
      <c r="Q27" s="272">
        <f t="shared" si="2"/>
        <v>1476.5520000000004</v>
      </c>
      <c r="R27" s="40">
        <f>'Tariffs July2016'!AM21</f>
        <v>0</v>
      </c>
      <c r="S27" s="40">
        <f>'Tariffs July2016'!AN21</f>
        <v>0</v>
      </c>
      <c r="T27" s="40">
        <f>'Tariffs July2016'!AO21</f>
        <v>0</v>
      </c>
      <c r="U27" s="40">
        <f>'Tariffs July2016'!AP21</f>
        <v>13</v>
      </c>
      <c r="V27" s="273">
        <f t="shared" si="3"/>
        <v>1342.3200000000002</v>
      </c>
      <c r="W27" s="273">
        <f>V27-(O27*U27/100)</f>
        <v>1200.4165500000001</v>
      </c>
      <c r="X27" s="272">
        <f t="shared" si="4"/>
        <v>1476.5520000000004</v>
      </c>
      <c r="Y27" s="272">
        <f t="shared" si="5"/>
        <v>1320.4582050000004</v>
      </c>
      <c r="Z27" s="274">
        <f>'Tariffs July2016'!AW21</f>
        <v>0</v>
      </c>
      <c r="AA27" s="274" t="str">
        <f>'Tariffs July2016'!AX21</f>
        <v>n</v>
      </c>
      <c r="AB27" s="275" t="str">
        <f>'Tariffs July2016'!BD21</f>
        <v>N</v>
      </c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</row>
    <row r="28" spans="1:40" x14ac:dyDescent="0.15">
      <c r="A28" s="270" t="str">
        <f>'Tariffs July2016'!F22</f>
        <v>Red Energy</v>
      </c>
      <c r="B28" s="40" t="str">
        <f>'Tariffs July2016'!D22</f>
        <v>Multinet 2</v>
      </c>
      <c r="C28" s="40" t="str">
        <f>'Tariffs July2016'!G22</f>
        <v>Living Energy Saver</v>
      </c>
      <c r="D28" s="59">
        <f>365*'Tariffs July2016'!H22/100</f>
        <v>248.2</v>
      </c>
      <c r="E28" s="59">
        <f>IF($C$5*'Tariffs July2016'!AK22/'Tariffs July2016'!AI22&gt;='Tariffs July2016'!J22,( 'Tariffs July2016'!J22*'Tariffs July2016'!O22/100)* 'Tariffs July2016'!AI22,($C$5*'Tariffs July2016'!AK22/'Tariffs July2016'!AI22*'Tariffs July2016'!O22/100)* 'Tariffs July2016'!AI22)</f>
        <v>166.95</v>
      </c>
      <c r="F28" s="59">
        <f>IF($C$5*'Tariffs July2016'!AK22/'Tariffs July2016'!AI22&lt;'Tariffs July2016'!J22,0,IF($C$5*'Tariffs July2016'!AK22/'Tariffs July2016'!AI22&lt;='Tariffs July2016'!K22,($C$5*'Tariffs July2016'!AK22/'Tariffs July2016'!AI22-'Tariffs July2016'!J22)*('Tariffs July2016'!S22/100)*'Tariffs July2016'!AI22,('Tariffs July2016'!K22-'Tariffs July2016'!J22)*('Tariffs July2016'!S22/100)*'Tariffs July2016'!AI22))</f>
        <v>0</v>
      </c>
      <c r="G28" s="59">
        <f>IF($C$5*'Tariffs July2016'!AK22/'Tariffs July2016'!AI22&lt;'Tariffs July2016'!K22,0,IF($C$5*'Tariffs July2016'!AK22/'Tariffs July2016'!AI22&lt;='Tariffs July2016'!L22,($C$5*'Tariffs July2016'!AK22/'Tariffs July2016'!AI22-'Tariffs July2016'!K22)*('Tariffs July2016'!Q22/100)*'Tariffs July2016'!AI22,('Tariffs July2016'!L22-'Tariffs July2016'!K22)*('Tariffs July2016'!Q22/100)*'Tariffs July2016'!AI22))</f>
        <v>0</v>
      </c>
      <c r="H28" s="59">
        <f>IF($C$5*'Tariffs July2016'!AK22/'Tariffs July2016'!AI22&lt;'Tariffs July2016'!L22,0,IF($C$5*'Tariffs July2016'!AK22/'Tariffs July2016'!AI22&lt;='Tariffs July2016'!M22,($C$5*'Tariffs July2016'!AK22/'Tariffs July2016'!AI22-'Tariffs July2016'!L22)*('Tariffs July2016'!R22/100)*'Tariffs July2016'!AI22,('Tariffs July2016'!M22-'Tariffs July2016'!L22)*('Tariffs July2016'!R22/100)*'Tariffs July2016'!AI22))</f>
        <v>0</v>
      </c>
      <c r="I28" s="59">
        <f>IF(($C$5*'Tariffs July2016'!AK22/'Tariffs July2016'!AI22&gt;'Tariffs July2016'!M22),($C$5*'Tariffs July2016'!AK22/'Tariffs July2016'!AI22-'Tariffs July2016'!M22)*'Tariffs July2016'!S22/100*'Tariffs July2016'!AI22,0)</f>
        <v>293.37</v>
      </c>
      <c r="J28" s="59">
        <f>IF($C$5*'Tariffs July2016'!AL22/'Tariffs July2016'!AJ22&gt;='Tariffs July2016'!J22,('Tariffs July2016'!J22*'Tariffs July2016'!U22/100)* 'Tariffs July2016'!AJ22,($C$5*'Tariffs July2016'!AL22/'Tariffs July2016'!AJ22*'Tariffs July2016'!U22/100)* 'Tariffs July2016'!AJ22)</f>
        <v>156.76500000000001</v>
      </c>
      <c r="K28" s="59">
        <f>IF($C$5*'Tariffs July2016'!AL22/'Tariffs July2016'!AJ22&lt;'Tariffs July2016'!J22,0,IF($C$5*'Tariffs July2016'!AL22/'Tariffs July2016'!AJ22&lt;='Tariffs July2016'!K22,($C$5*'Tariffs July2016'!AL22/'Tariffs July2016'!AJ22-'Tariffs July2016'!J22)*('Tariffs July2016'!Y22/100)*'Tariffs July2016'!AJ22,('Tariffs July2016'!K22-'Tariffs July2016'!J22)*('Tariffs July2016'!Y22/100)*'Tariffs July2016'!AJ22))</f>
        <v>0</v>
      </c>
      <c r="L28" s="59">
        <f>IF($C$5*'Tariffs July2016'!AL22/'Tariffs July2016'!AJ22&lt;'Tariffs July2016'!K22,0,IF($C$5*'Tariffs July2016'!AL22/'Tariffs July2016'!AJ22&lt;='Tariffs July2016'!L22,($C$5*'Tariffs July2016'!AL22/'Tariffs July2016'!AJ22-'Tariffs July2016'!K22)*('Tariffs July2016'!W22/100)*'Tariffs July2016'!AJ22,('Tariffs July2016'!L22-'Tariffs July2016'!K22)*('Tariffs July2016'!W22/100)*'Tariffs July2016'!AJ22))</f>
        <v>0</v>
      </c>
      <c r="M28" s="59">
        <f>IF($C$5*'Tariffs July2016'!AL22/'Tariffs July2016'!AJ22&lt;'Tariffs July2016'!L22,0,IF($C$5*'Tariffs July2016'!AL22/'Tariffs July2016'!AJ22&lt;='Tariffs July2016'!M22,($C$5*'Tariffs July2016'!AL22/'Tariffs July2016'!AJ22-'Tariffs July2016'!L22)*('Tariffs July2016'!X22/100)*'Tariffs July2016'!AJ22,('Tariffs July2016'!M22-'Tariffs July2016'!L22)*('Tariffs July2016'!X22/100)*'Tariffs July2016'!AJ22))</f>
        <v>0</v>
      </c>
      <c r="N28" s="59">
        <f>IF(($C$5*'Tariffs July2016'!AL22/'Tariffs July2016'!AJ22&gt;'Tariffs July2016'!M22),($C$5*'Tariffs July2016'!AL22/'Tariffs July2016'!AJ22-'Tariffs July2016'!M22)*'Tariffs July2016'!Y22/100*'Tariffs July2016'!AJ22,0)</f>
        <v>280.56</v>
      </c>
      <c r="O28" s="271">
        <f t="shared" si="0"/>
        <v>897.64499999999998</v>
      </c>
      <c r="P28" s="59">
        <f t="shared" si="1"/>
        <v>1145.845</v>
      </c>
      <c r="Q28" s="272">
        <f t="shared" si="2"/>
        <v>1260.4295000000002</v>
      </c>
      <c r="R28" s="40">
        <f>'Tariffs July2016'!AM22</f>
        <v>0</v>
      </c>
      <c r="S28" s="40">
        <f>'Tariffs July2016'!AN22</f>
        <v>0</v>
      </c>
      <c r="T28" s="40">
        <f>'Tariffs July2016'!AO22</f>
        <v>10</v>
      </c>
      <c r="U28" s="40">
        <f>'Tariffs July2016'!AP22</f>
        <v>0</v>
      </c>
      <c r="V28" s="273">
        <f t="shared" si="3"/>
        <v>1145.845</v>
      </c>
      <c r="W28" s="273">
        <f>V28-(P28*T28/100)</f>
        <v>1031.2605000000001</v>
      </c>
      <c r="X28" s="272">
        <f t="shared" si="4"/>
        <v>1260.4295000000002</v>
      </c>
      <c r="Y28" s="272">
        <f t="shared" si="5"/>
        <v>1134.3865500000002</v>
      </c>
      <c r="Z28" s="274">
        <f>'Tariffs July2016'!AW22</f>
        <v>0</v>
      </c>
      <c r="AA28" s="274" t="str">
        <f>'Tariffs July2016'!AX22</f>
        <v>n</v>
      </c>
      <c r="AB28" s="275" t="str">
        <f>'Tariffs July2016'!BD22</f>
        <v>Y</v>
      </c>
      <c r="AC28" s="260"/>
      <c r="AD28" s="260"/>
      <c r="AE28" s="260"/>
      <c r="AF28" s="260"/>
      <c r="AG28" s="260"/>
      <c r="AH28" s="260"/>
      <c r="AI28" s="260"/>
      <c r="AJ28" s="260"/>
      <c r="AK28" s="260"/>
      <c r="AL28" s="260"/>
      <c r="AM28" s="260"/>
      <c r="AN28" s="260"/>
    </row>
    <row r="29" spans="1:40" ht="14" thickBot="1" x14ac:dyDescent="0.2">
      <c r="A29" s="276" t="str">
        <f>'Tariffs July2016'!F23</f>
        <v>Simply Energy</v>
      </c>
      <c r="B29" s="277" t="str">
        <f>'Tariffs July2016'!D23</f>
        <v>Multinet 2</v>
      </c>
      <c r="C29" s="277" t="str">
        <f>'Tariffs July2016'!G23</f>
        <v>Plus</v>
      </c>
      <c r="D29" s="278">
        <f>365*'Tariffs July2016'!H23/100</f>
        <v>203.48750000000001</v>
      </c>
      <c r="E29" s="278">
        <f>IF($C$5*'Tariffs July2016'!AK23/'Tariffs July2016'!AI23&gt;='Tariffs July2016'!J23,( 'Tariffs July2016'!J23*'Tariffs July2016'!O23/100)* 'Tariffs July2016'!AI23,($C$5*'Tariffs July2016'!AK23/'Tariffs July2016'!AI23*'Tariffs July2016'!O23/100)* 'Tariffs July2016'!AI23)</f>
        <v>184.13999999999996</v>
      </c>
      <c r="F29" s="278">
        <f>IF($C$5*'Tariffs July2016'!AK23/'Tariffs July2016'!AI23&lt;'Tariffs July2016'!J23,0,IF($C$5*'Tariffs July2016'!AK23/'Tariffs July2016'!AI23&lt;='Tariffs July2016'!K23,($C$5*'Tariffs July2016'!AK23/'Tariffs July2016'!AI23-'Tariffs July2016'!J23)*('Tariffs July2016'!P23/100)*'Tariffs July2016'!AI23,('Tariffs July2016'!K23-'Tariffs July2016'!J23)*('Tariffs July2016'!P23/100)*'Tariffs July2016'!AI23))</f>
        <v>164.7</v>
      </c>
      <c r="G29" s="278">
        <f>IF($C$5*'Tariffs July2016'!AK23/'Tariffs July2016'!AI23&lt;'Tariffs July2016'!K23,0,IF($C$5*'Tariffs July2016'!AK23/'Tariffs July2016'!AI23&lt;='Tariffs July2016'!L23,($C$5*'Tariffs July2016'!AK23/'Tariffs July2016'!AI23-'Tariffs July2016'!K23)*('Tariffs July2016'!Q23/100)*'Tariffs July2016'!AI23,('Tariffs July2016'!L23-'Tariffs July2016'!K23)*('Tariffs July2016'!Q23/100)*'Tariffs July2016'!AI23))</f>
        <v>140.4</v>
      </c>
      <c r="H29" s="278">
        <f>IF($C$5*'Tariffs July2016'!AK23/'Tariffs July2016'!AI23&lt;'Tariffs July2016'!L23,0,IF($C$5*'Tariffs July2016'!AK23/'Tariffs July2016'!AI23&lt;='Tariffs July2016'!M23,($C$5*'Tariffs July2016'!AK23/'Tariffs July2016'!AI23-'Tariffs July2016'!L23)*('Tariffs July2016'!R23/100)*'Tariffs July2016'!AI23,('Tariffs July2016'!M23-'Tariffs July2016'!L23)*('Tariffs July2016'!R23/100)*'Tariffs July2016'!AI23))</f>
        <v>64.17</v>
      </c>
      <c r="I29" s="278">
        <f>IF(($C$5*'Tariffs July2016'!AK23/'Tariffs July2016'!AI23&gt;'Tariffs July2016'!M23),($C$5*'Tariffs July2016'!AK23/'Tariffs July2016'!AI23-'Tariffs July2016'!M23)*'Tariffs July2016'!S23/100*'Tariffs July2016'!AI23,0)</f>
        <v>0</v>
      </c>
      <c r="J29" s="278">
        <f>IF($C$5*'Tariffs July2016'!AL23/'Tariffs July2016'!AJ23&gt;='Tariffs July2016'!J23,('Tariffs July2016'!J23*'Tariffs July2016'!U23/100)* 'Tariffs July2016'!AJ23,($C$5*'Tariffs July2016'!AL23/'Tariffs July2016'!AJ23*'Tariffs July2016'!U23/100)* 'Tariffs July2016'!AJ23)</f>
        <v>174.60000000000002</v>
      </c>
      <c r="K29" s="278">
        <f>IF($C$5*'Tariffs July2016'!AL23/'Tariffs July2016'!AJ23&lt;'Tariffs July2016'!J23,0,IF($C$5*'Tariffs July2016'!AL23/'Tariffs July2016'!AJ23&lt;='Tariffs July2016'!K23,($C$5*'Tariffs July2016'!AL23/'Tariffs July2016'!AJ23-'Tariffs July2016'!J23)*('Tariffs July2016'!V23/100)*'Tariffs July2016'!AJ23,('Tariffs July2016'!K23-'Tariffs July2016'!J23)*('Tariffs July2016'!V23/100)*'Tariffs July2016'!AJ23))</f>
        <v>157.50000000000003</v>
      </c>
      <c r="L29" s="278">
        <f>IF($C$5*'Tariffs July2016'!AL23/'Tariffs July2016'!AJ23&lt;'Tariffs July2016'!K23,0,IF($C$5*'Tariffs July2016'!AL23/'Tariffs July2016'!AJ23&lt;='Tariffs July2016'!L23,($C$5*'Tariffs July2016'!AL23/'Tariffs July2016'!AJ23-'Tariffs July2016'!K23)*('Tariffs July2016'!W23/100)*'Tariffs July2016'!AJ23,('Tariffs July2016'!L23-'Tariffs July2016'!K23)*('Tariffs July2016'!W23/100)*'Tariffs July2016'!AJ23))</f>
        <v>137.70000000000002</v>
      </c>
      <c r="M29" s="278">
        <f>IF($C$5*'Tariffs July2016'!AL23/'Tariffs July2016'!AJ23&lt;'Tariffs July2016'!L23,0,IF($C$5*'Tariffs July2016'!AL23/'Tariffs July2016'!AJ23&lt;='Tariffs July2016'!M23,($C$5*'Tariffs July2016'!AL23/'Tariffs July2016'!AJ23-'Tariffs July2016'!L23)*('Tariffs July2016'!X23/100)*'Tariffs July2016'!AJ23,('Tariffs July2016'!M23-'Tariffs July2016'!L23)*('Tariffs July2016'!X23/100)*'Tariffs July2016'!AJ23))</f>
        <v>62.999999999999986</v>
      </c>
      <c r="N29" s="278">
        <f>IF(($C$5*'Tariffs July2016'!AL23/'Tariffs July2016'!AJ23&gt;'Tariffs July2016'!M23),($C$5*'Tariffs July2016'!AL23/'Tariffs July2016'!AJ23-'Tariffs July2016'!M23)*'Tariffs July2016'!Y23/100*'Tariffs July2016'!AJ23,0)</f>
        <v>0</v>
      </c>
      <c r="O29" s="279">
        <f t="shared" si="0"/>
        <v>1086.2099999999998</v>
      </c>
      <c r="P29" s="278">
        <f t="shared" si="1"/>
        <v>1289.6974999999998</v>
      </c>
      <c r="Q29" s="280">
        <f t="shared" si="2"/>
        <v>1418.66725</v>
      </c>
      <c r="R29" s="277">
        <f>'Tariffs July2016'!AM23</f>
        <v>0</v>
      </c>
      <c r="S29" s="277">
        <f>'Tariffs July2016'!AN23</f>
        <v>15</v>
      </c>
      <c r="T29" s="277">
        <f>'Tariffs July2016'!AO23</f>
        <v>0</v>
      </c>
      <c r="U29" s="277">
        <f>'Tariffs July2016'!AP23</f>
        <v>5</v>
      </c>
      <c r="V29" s="281">
        <f>P29-(O29*S29/100)</f>
        <v>1126.7659999999998</v>
      </c>
      <c r="W29" s="281">
        <f>V29-(O29*U29/100)</f>
        <v>1072.4554999999998</v>
      </c>
      <c r="X29" s="280">
        <f t="shared" si="4"/>
        <v>1239.4425999999999</v>
      </c>
      <c r="Y29" s="280">
        <f t="shared" si="5"/>
        <v>1179.7010499999999</v>
      </c>
      <c r="Z29" s="282">
        <f>'Tariffs July2016'!AW23</f>
        <v>24</v>
      </c>
      <c r="AA29" s="282" t="str">
        <f>'Tariffs July2016'!AX23</f>
        <v>n</v>
      </c>
      <c r="AB29" s="283" t="str">
        <f>'Tariffs July2016'!BD23</f>
        <v>Y</v>
      </c>
      <c r="AC29" s="260"/>
      <c r="AD29" s="260"/>
      <c r="AE29" s="260"/>
      <c r="AF29" s="260"/>
      <c r="AG29" s="260"/>
      <c r="AH29" s="260"/>
      <c r="AI29" s="260"/>
      <c r="AJ29" s="260"/>
      <c r="AK29" s="260"/>
      <c r="AL29" s="260"/>
      <c r="AM29" s="260"/>
      <c r="AN29" s="260"/>
    </row>
    <row r="30" spans="1:40" x14ac:dyDescent="0.15">
      <c r="A30" s="270" t="str">
        <f>'Tariffs July2016'!F24</f>
        <v>AGL</v>
      </c>
      <c r="B30" s="40" t="str">
        <f>'Tariffs July2016'!D24</f>
        <v>Envestra North</v>
      </c>
      <c r="C30" s="40" t="str">
        <f>'Tariffs July2016'!G24</f>
        <v>Savers</v>
      </c>
      <c r="D30" s="59">
        <f>365*'Tariffs July2016'!H24/100</f>
        <v>241.04600000000002</v>
      </c>
      <c r="E30" s="59">
        <f>IF($C$5*'Tariffs July2016'!AK24/'Tariffs July2016'!AI24&gt;='Tariffs July2016'!J24,( 'Tariffs July2016'!J24*'Tariffs July2016'!O24/100)* 'Tariffs July2016'!AI24,($C$5*'Tariffs July2016'!AK24/'Tariffs July2016'!AI24*'Tariffs July2016'!O24/100)* 'Tariffs July2016'!AI24)</f>
        <v>70.471799999999988</v>
      </c>
      <c r="F30" s="59">
        <f>IF($C$5*'Tariffs July2016'!AK24/'Tariffs July2016'!AI24&lt;'Tariffs July2016'!J24,0,IF($C$5*'Tariffs July2016'!AK24/'Tariffs July2016'!AI24&lt;='Tariffs July2016'!K24,($C$5*'Tariffs July2016'!AK24/'Tariffs July2016'!AI24-'Tariffs July2016'!J24)*('Tariffs July2016'!P24/100)*'Tariffs July2016'!AI24,('Tariffs July2016'!K24-'Tariffs July2016'!J24)*('Tariffs July2016'!P24/100)*'Tariffs July2016'!AI24))</f>
        <v>52.7637</v>
      </c>
      <c r="G30" s="59">
        <f>IF($C$5*'Tariffs July2016'!AK24/'Tariffs July2016'!AI24&lt;'Tariffs July2016'!K24,0,IF($C$5*'Tariffs July2016'!AK24/'Tariffs July2016'!AI24&lt;='Tariffs July2016'!L24,($C$5*'Tariffs July2016'!AK24/'Tariffs July2016'!AI24-'Tariffs July2016'!K24)*('Tariffs July2016'!Q24/100)*'Tariffs July2016'!AI24,('Tariffs July2016'!L24-'Tariffs July2016'!K24)*('Tariffs July2016'!Q24/100)*'Tariffs July2016'!AI24))</f>
        <v>0</v>
      </c>
      <c r="H30" s="59">
        <f>IF($C$5*'Tariffs July2016'!AK24/'Tariffs July2016'!AI24&lt;'Tariffs July2016'!L24,0,IF($C$5*'Tariffs July2016'!AK24/'Tariffs July2016'!AI24&lt;='Tariffs July2016'!M24,($C$5*'Tariffs July2016'!AK24/'Tariffs July2016'!AI24-'Tariffs July2016'!L24)*('Tariffs July2016'!R24/100)*'Tariffs July2016'!AI24,('Tariffs July2016'!M24-'Tariffs July2016'!L24)*('Tariffs July2016'!R24/100)*'Tariffs July2016'!AI24))</f>
        <v>0</v>
      </c>
      <c r="I30" s="59">
        <f>IF(($C$5*'Tariffs July2016'!AK24/'Tariffs July2016'!AI24&gt;'Tariffs July2016'!M24),($C$5*'Tariffs July2016'!AK24/'Tariffs July2016'!AI24-'Tariffs July2016'!M24)*'Tariffs July2016'!S24/100*'Tariffs July2016'!AI24,0)</f>
        <v>243.71587499999998</v>
      </c>
      <c r="J30" s="59">
        <f>IF($C$5*'Tariffs July2016'!AL24/'Tariffs July2016'!AJ24&gt;='Tariffs July2016'!J24,('Tariffs July2016'!J24*'Tariffs July2016'!U24/100)* 'Tariffs July2016'!AJ24,($C$5*'Tariffs July2016'!AL24/'Tariffs July2016'!AJ24*'Tariffs July2016'!U24/100)* 'Tariffs July2016'!AJ24)</f>
        <v>140.94359999999998</v>
      </c>
      <c r="K30" s="59">
        <f>IF($C$5*'Tariffs July2016'!AL24/'Tariffs July2016'!AJ24&lt;'Tariffs July2016'!J24,0,IF($C$5*'Tariffs July2016'!AL24/'Tariffs July2016'!AJ24&lt;='Tariffs July2016'!K24,($C$5*'Tariffs July2016'!AL24/'Tariffs July2016'!AJ24-'Tariffs July2016'!J24)*('Tariffs July2016'!V24/100)*'Tariffs July2016'!AJ24,('Tariffs July2016'!K24-'Tariffs July2016'!J24)*('Tariffs July2016'!V24/100)*'Tariffs July2016'!AJ24))</f>
        <v>105.5274</v>
      </c>
      <c r="L30" s="59">
        <f>IF($C$5*'Tariffs July2016'!AL24/'Tariffs July2016'!AJ24&lt;'Tariffs July2016'!K24,0,IF($C$5*'Tariffs July2016'!AL24/'Tariffs July2016'!AJ24&lt;='Tariffs July2016'!L24,($C$5*'Tariffs July2016'!AL24/'Tariffs July2016'!AJ24-'Tariffs July2016'!K24)*('Tariffs July2016'!W24/100)*'Tariffs July2016'!AJ24,('Tariffs July2016'!L24-'Tariffs July2016'!K24)*('Tariffs July2016'!W24/100)*'Tariffs July2016'!AJ24))</f>
        <v>0</v>
      </c>
      <c r="M30" s="59">
        <f>IF($C$5*'Tariffs July2016'!AL24/'Tariffs July2016'!AJ24&lt;'Tariffs July2016'!L24,0,IF($C$5*'Tariffs July2016'!AL24/'Tariffs July2016'!AJ24&lt;='Tariffs July2016'!M24,($C$5*'Tariffs July2016'!AL24/'Tariffs July2016'!AJ24-'Tariffs July2016'!L24)*('Tariffs July2016'!X24/100)*'Tariffs July2016'!AJ24,('Tariffs July2016'!M24-'Tariffs July2016'!L24)*('Tariffs July2016'!X24/100)*'Tariffs July2016'!AJ24))</f>
        <v>0</v>
      </c>
      <c r="N30" s="59">
        <f>IF(($C$5*'Tariffs July2016'!AL24/'Tariffs July2016'!AJ24&gt;'Tariffs July2016'!M24),($C$5*'Tariffs July2016'!AL24/'Tariffs July2016'!AJ24-'Tariffs July2016'!M24)*'Tariffs July2016'!Y24/100*'Tariffs July2016'!AJ24,0)</f>
        <v>487.43174999999997</v>
      </c>
      <c r="O30" s="271">
        <f t="shared" si="0"/>
        <v>1100.8541249999998</v>
      </c>
      <c r="P30" s="59">
        <f t="shared" si="1"/>
        <v>1341.9001249999999</v>
      </c>
      <c r="Q30" s="272">
        <f t="shared" si="2"/>
        <v>1476.0901375000001</v>
      </c>
      <c r="R30" s="40">
        <f>'Tariffs July2016'!AM24</f>
        <v>0</v>
      </c>
      <c r="S30" s="40">
        <f>'Tariffs July2016'!AN24</f>
        <v>0</v>
      </c>
      <c r="T30" s="40">
        <f>'Tariffs July2016'!AO24</f>
        <v>0</v>
      </c>
      <c r="U30" s="40">
        <f>'Tariffs July2016'!AP24</f>
        <v>13</v>
      </c>
      <c r="V30" s="273">
        <f t="shared" si="3"/>
        <v>1341.9001249999999</v>
      </c>
      <c r="W30" s="273">
        <f>V30-(O30*U30/100)</f>
        <v>1198.7890887499998</v>
      </c>
      <c r="X30" s="272">
        <f t="shared" si="4"/>
        <v>1476.0901375000001</v>
      </c>
      <c r="Y30" s="272">
        <f t="shared" si="5"/>
        <v>1318.6679976249998</v>
      </c>
      <c r="Z30" s="274">
        <f>'Tariffs July2016'!AW24</f>
        <v>0</v>
      </c>
      <c r="AA30" s="274" t="str">
        <f>'Tariffs July2016'!AX24</f>
        <v>n</v>
      </c>
      <c r="AB30" s="275" t="str">
        <f>'Tariffs July2016'!BD24</f>
        <v>N</v>
      </c>
      <c r="AC30" s="260"/>
      <c r="AD30" s="260"/>
      <c r="AE30" s="260"/>
      <c r="AF30" s="260"/>
      <c r="AG30" s="260"/>
      <c r="AH30" s="260"/>
      <c r="AI30" s="260"/>
      <c r="AJ30" s="260"/>
      <c r="AK30" s="260"/>
      <c r="AL30" s="260"/>
      <c r="AM30" s="260"/>
      <c r="AN30" s="260"/>
    </row>
    <row r="31" spans="1:40" x14ac:dyDescent="0.15">
      <c r="A31" s="270" t="str">
        <f>'Tariffs July2016'!F25</f>
        <v>Alinta Energy</v>
      </c>
      <c r="B31" s="40" t="str">
        <f>'Tariffs July2016'!D25</f>
        <v>Envestra North</v>
      </c>
      <c r="C31" s="40" t="str">
        <f>'Tariffs July2016'!G25</f>
        <v>Fair Deal</v>
      </c>
      <c r="D31" s="59">
        <f>365*'Tariffs July2016'!H25/100</f>
        <v>235.68049999999999</v>
      </c>
      <c r="E31" s="59">
        <f>IF($C$5*'Tariffs July2016'!AK25/'Tariffs July2016'!AI25&gt;='Tariffs July2016'!J25,( 'Tariffs July2016'!J25*'Tariffs July2016'!O25/100)* 'Tariffs July2016'!AI25,($C$5*'Tariffs July2016'!AK25/'Tariffs July2016'!AI25*'Tariffs July2016'!O25/100)* 'Tariffs July2016'!AI25)</f>
        <v>60.865000000000002</v>
      </c>
      <c r="F31" s="59">
        <f>IF($C$5*'Tariffs July2016'!AK25/'Tariffs July2016'!AI25&lt;'Tariffs July2016'!J25,0,IF($C$5*'Tariffs July2016'!AK25/'Tariffs July2016'!AI25&lt;='Tariffs July2016'!K25,($C$5*'Tariffs July2016'!AK25/'Tariffs July2016'!AI25-'Tariffs July2016'!J25)*('Tariffs July2016'!P25/100)*'Tariffs July2016'!AI25,('Tariffs July2016'!K25-'Tariffs July2016'!J25)*('Tariffs July2016'!P25/100)*'Tariffs July2016'!AI25))</f>
        <v>50.135000000000005</v>
      </c>
      <c r="G31" s="59">
        <f>IF($C$5*'Tariffs July2016'!AK25/'Tariffs July2016'!AI25&lt;'Tariffs July2016'!K25,0,IF($C$5*'Tariffs July2016'!AK25/'Tariffs July2016'!AI25&lt;='Tariffs July2016'!L25,($C$5*'Tariffs July2016'!AK25/'Tariffs July2016'!AI25-'Tariffs July2016'!K25)*('Tariffs July2016'!Q25/100)*'Tariffs July2016'!AI25,('Tariffs July2016'!L25-'Tariffs July2016'!K25)*('Tariffs July2016'!Q25/100)*'Tariffs July2016'!AI25))</f>
        <v>0</v>
      </c>
      <c r="H31" s="59">
        <f>IF($C$5*'Tariffs July2016'!AK25/'Tariffs July2016'!AI25&lt;'Tariffs July2016'!L25,0,IF($C$5*'Tariffs July2016'!AK25/'Tariffs July2016'!AI25&lt;='Tariffs July2016'!M25,($C$5*'Tariffs July2016'!AK25/'Tariffs July2016'!AI25-'Tariffs July2016'!L25)*('Tariffs July2016'!R25/100)*'Tariffs July2016'!AI25,('Tariffs July2016'!M25-'Tariffs July2016'!L25)*('Tariffs July2016'!R25/100)*'Tariffs July2016'!AI25))</f>
        <v>0</v>
      </c>
      <c r="I31" s="59">
        <f>IF(($C$5*'Tariffs July2016'!AK25/'Tariffs July2016'!AI25&gt;'Tariffs July2016'!M25),($C$5*'Tariffs July2016'!AK25/'Tariffs July2016'!AI25-'Tariffs July2016'!M25)*'Tariffs July2016'!S25/100*'Tariffs July2016'!AI25,0)</f>
        <v>245.96555999999993</v>
      </c>
      <c r="J31" s="59">
        <f>IF($C$5*'Tariffs July2016'!AL25/'Tariffs July2016'!AJ25&gt;='Tariffs July2016'!J25,('Tariffs July2016'!J25*'Tariffs July2016'!U25/100)* 'Tariffs July2016'!AJ25,($C$5*'Tariffs July2016'!AL25/'Tariffs July2016'!AJ25*'Tariffs July2016'!U25/100)* 'Tariffs July2016'!AJ25)</f>
        <v>121.73</v>
      </c>
      <c r="K31" s="59">
        <f>IF($C$5*'Tariffs July2016'!AL25/'Tariffs July2016'!AJ25&lt;'Tariffs July2016'!J25,0,IF($C$5*'Tariffs July2016'!AL25/'Tariffs July2016'!AJ25&lt;='Tariffs July2016'!K25,($C$5*'Tariffs July2016'!AL25/'Tariffs July2016'!AJ25-'Tariffs July2016'!J25)*('Tariffs July2016'!V25/100)*'Tariffs July2016'!AJ25,('Tariffs July2016'!K25-'Tariffs July2016'!J25)*('Tariffs July2016'!V25/100)*'Tariffs July2016'!AJ25))</f>
        <v>100.27000000000001</v>
      </c>
      <c r="L31" s="59">
        <f>IF($C$5*'Tariffs July2016'!AL25/'Tariffs July2016'!AJ25&lt;'Tariffs July2016'!K25,0,IF($C$5*'Tariffs July2016'!AL25/'Tariffs July2016'!AJ25&lt;='Tariffs July2016'!L25,($C$5*'Tariffs July2016'!AL25/'Tariffs July2016'!AJ25-'Tariffs July2016'!K25)*('Tariffs July2016'!W25/100)*'Tariffs July2016'!AJ25,('Tariffs July2016'!L25-'Tariffs July2016'!K25)*('Tariffs July2016'!W25/100)*'Tariffs July2016'!AJ25))</f>
        <v>0</v>
      </c>
      <c r="M31" s="59">
        <f>IF($C$5*'Tariffs July2016'!AL25/'Tariffs July2016'!AJ25&lt;'Tariffs July2016'!L25,0,IF($C$5*'Tariffs July2016'!AL25/'Tariffs July2016'!AJ25&lt;='Tariffs July2016'!M25,($C$5*'Tariffs July2016'!AL25/'Tariffs July2016'!AJ25-'Tariffs July2016'!L25)*('Tariffs July2016'!X25/100)*'Tariffs July2016'!AJ25,('Tariffs July2016'!M25-'Tariffs July2016'!L25)*('Tariffs July2016'!X25/100)*'Tariffs July2016'!AJ25))</f>
        <v>0</v>
      </c>
      <c r="N31" s="59">
        <f>IF(($C$5*'Tariffs July2016'!AL25/'Tariffs July2016'!AJ25&gt;'Tariffs July2016'!M25),($C$5*'Tariffs July2016'!AL25/'Tariffs July2016'!AJ25-'Tariffs July2016'!M25)*'Tariffs July2016'!Y25/100*'Tariffs July2016'!AJ25,0)</f>
        <v>491.93111999999985</v>
      </c>
      <c r="O31" s="271">
        <f t="shared" si="0"/>
        <v>1070.8966799999998</v>
      </c>
      <c r="P31" s="59">
        <f t="shared" si="1"/>
        <v>1306.5771799999998</v>
      </c>
      <c r="Q31" s="272">
        <f t="shared" si="2"/>
        <v>1437.2348979999999</v>
      </c>
      <c r="R31" s="40">
        <f>'Tariffs July2016'!AM25</f>
        <v>0</v>
      </c>
      <c r="S31" s="40">
        <f>'Tariffs July2016'!AN25</f>
        <v>0</v>
      </c>
      <c r="T31" s="40">
        <f>'Tariffs July2016'!AO25</f>
        <v>0</v>
      </c>
      <c r="U31" s="40">
        <f>'Tariffs July2016'!AP25</f>
        <v>15</v>
      </c>
      <c r="V31" s="273">
        <f t="shared" si="3"/>
        <v>1306.5771799999998</v>
      </c>
      <c r="W31" s="273">
        <f>V31-(O31*U31/100)</f>
        <v>1145.9426779999999</v>
      </c>
      <c r="X31" s="272">
        <f t="shared" si="4"/>
        <v>1437.2348979999999</v>
      </c>
      <c r="Y31" s="272">
        <f t="shared" si="5"/>
        <v>1260.5369458</v>
      </c>
      <c r="Z31" s="274">
        <f>'Tariffs July2016'!AW25</f>
        <v>0</v>
      </c>
      <c r="AA31" s="274" t="str">
        <f>'Tariffs July2016'!AX25</f>
        <v>n</v>
      </c>
      <c r="AB31" s="275" t="str">
        <f>'Tariffs July2016'!BD25</f>
        <v>Y</v>
      </c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</row>
    <row r="32" spans="1:40" x14ac:dyDescent="0.15">
      <c r="A32" s="270" t="str">
        <f>'Tariffs July2016'!F26</f>
        <v>Click Energy</v>
      </c>
      <c r="B32" s="40" t="str">
        <f>'Tariffs July2016'!D26</f>
        <v>Envestra North</v>
      </c>
      <c r="C32" s="40" t="str">
        <f>'Tariffs July2016'!G26</f>
        <v>Amber</v>
      </c>
      <c r="D32" s="59">
        <f>365*'Tariffs July2016'!H26/100</f>
        <v>242.72499999999999</v>
      </c>
      <c r="E32" s="59">
        <f>IF($C$5*'Tariffs July2016'!AK26/'Tariffs July2016'!AI26&gt;='Tariffs July2016'!J26,( 'Tariffs July2016'!J26*'Tariffs July2016'!O26/100)* 'Tariffs July2016'!AI26,($C$5*'Tariffs July2016'!AK26/'Tariffs July2016'!AI26*'Tariffs July2016'!O26/100)* 'Tariffs July2016'!AI26)</f>
        <v>78.301999999999992</v>
      </c>
      <c r="F32" s="59">
        <f>IF($C$5*'Tariffs July2016'!AK26/'Tariffs July2016'!AI26&lt;'Tariffs July2016'!J26,0,IF($C$5*'Tariffs July2016'!AK26/'Tariffs July2016'!AI26&lt;='Tariffs July2016'!K26,($C$5*'Tariffs July2016'!AK26/'Tariffs July2016'!AI26-'Tariffs July2016'!J26)*('Tariffs July2016'!P26/100)*'Tariffs July2016'!AI26,('Tariffs July2016'!K26-'Tariffs July2016'!J26)*('Tariffs July2016'!P26/100)*'Tariffs July2016'!AI26))</f>
        <v>53.657999999999994</v>
      </c>
      <c r="G32" s="59">
        <f>IF($C$5*'Tariffs July2016'!AK26/'Tariffs July2016'!AI26&lt;'Tariffs July2016'!K26,0,IF($C$5*'Tariffs July2016'!AK26/'Tariffs July2016'!AI26&lt;='Tariffs July2016'!L26,($C$5*'Tariffs July2016'!AK26/'Tariffs July2016'!AI26-'Tariffs July2016'!K26)*('Tariffs July2016'!Q26/100)*'Tariffs July2016'!AI26,('Tariffs July2016'!L26-'Tariffs July2016'!K26)*('Tariffs July2016'!Q26/100)*'Tariffs July2016'!AI26))</f>
        <v>0</v>
      </c>
      <c r="H32" s="59">
        <f>IF($C$5*'Tariffs July2016'!AK26/'Tariffs July2016'!AI26&lt;'Tariffs July2016'!L26,0,IF($C$5*'Tariffs July2016'!AK26/'Tariffs July2016'!AI26&lt;='Tariffs July2016'!M26,($C$5*'Tariffs July2016'!AK26/'Tariffs July2016'!AI26-'Tariffs July2016'!L26)*('Tariffs July2016'!R26/100)*'Tariffs July2016'!AI26,('Tariffs July2016'!M26-'Tariffs July2016'!L26)*('Tariffs July2016'!R26/100)*'Tariffs July2016'!AI26))</f>
        <v>0</v>
      </c>
      <c r="I32" s="59">
        <f>IF(($C$5*'Tariffs July2016'!AK26/'Tariffs July2016'!AI26&gt;'Tariffs July2016'!M26),($C$5*'Tariffs July2016'!AK26/'Tariffs July2016'!AI26-'Tariffs July2016'!M26)*'Tariffs July2016'!S26/100*'Tariffs July2016'!AI26,0)</f>
        <v>245.96555999999993</v>
      </c>
      <c r="J32" s="59">
        <f>IF($C$5*'Tariffs July2016'!AL26/'Tariffs July2016'!AJ26&gt;='Tariffs July2016'!J26,('Tariffs July2016'!J26*'Tariffs July2016'!U26/100)* 'Tariffs July2016'!AJ26,($C$5*'Tariffs July2016'!AL26/'Tariffs July2016'!AJ26*'Tariffs July2016'!U26/100)* 'Tariffs July2016'!AJ26)</f>
        <v>156.60399999999998</v>
      </c>
      <c r="K32" s="59">
        <f>IF($C$5*'Tariffs July2016'!AL26/'Tariffs July2016'!AJ26&lt;'Tariffs July2016'!J26,0,IF($C$5*'Tariffs July2016'!AL26/'Tariffs July2016'!AJ26&lt;='Tariffs July2016'!K26,($C$5*'Tariffs July2016'!AL26/'Tariffs July2016'!AJ26-'Tariffs July2016'!J26)*('Tariffs July2016'!V26/100)*'Tariffs July2016'!AJ26,('Tariffs July2016'!K26-'Tariffs July2016'!J26)*('Tariffs July2016'!V26/100)*'Tariffs July2016'!AJ26))</f>
        <v>107.31599999999999</v>
      </c>
      <c r="L32" s="59">
        <f>IF($C$5*'Tariffs July2016'!AL26/'Tariffs July2016'!AJ26&lt;'Tariffs July2016'!K26,0,IF($C$5*'Tariffs July2016'!AL26/'Tariffs July2016'!AJ26&lt;='Tariffs July2016'!L26,($C$5*'Tariffs July2016'!AL26/'Tariffs July2016'!AJ26-'Tariffs July2016'!K26)*('Tariffs July2016'!W26/100)*'Tariffs July2016'!AJ26,('Tariffs July2016'!L26-'Tariffs July2016'!K26)*('Tariffs July2016'!W26/100)*'Tariffs July2016'!AJ26))</f>
        <v>0</v>
      </c>
      <c r="M32" s="59">
        <f>IF($C$5*'Tariffs July2016'!AL26/'Tariffs July2016'!AJ26&lt;'Tariffs July2016'!L26,0,IF($C$5*'Tariffs July2016'!AL26/'Tariffs July2016'!AJ26&lt;='Tariffs July2016'!M26,($C$5*'Tariffs July2016'!AL26/'Tariffs July2016'!AJ26-'Tariffs July2016'!L26)*('Tariffs July2016'!X26/100)*'Tariffs July2016'!AJ26,('Tariffs July2016'!M26-'Tariffs July2016'!L26)*('Tariffs July2016'!X26/100)*'Tariffs July2016'!AJ26))</f>
        <v>0</v>
      </c>
      <c r="N32" s="59">
        <f>IF(($C$5*'Tariffs July2016'!AL26/'Tariffs July2016'!AJ26&gt;'Tariffs July2016'!M26),($C$5*'Tariffs July2016'!AL26/'Tariffs July2016'!AJ26-'Tariffs July2016'!M26)*'Tariffs July2016'!Y26/100*'Tariffs July2016'!AJ26,0)</f>
        <v>491.93111999999985</v>
      </c>
      <c r="O32" s="271">
        <f t="shared" si="0"/>
        <v>1133.7766799999999</v>
      </c>
      <c r="P32" s="59">
        <f t="shared" si="1"/>
        <v>1376.5016799999999</v>
      </c>
      <c r="Q32" s="272">
        <f t="shared" si="2"/>
        <v>1514.151848</v>
      </c>
      <c r="R32" s="40">
        <f>'Tariffs July2016'!AM26</f>
        <v>0</v>
      </c>
      <c r="S32" s="40">
        <f>'Tariffs July2016'!AN26</f>
        <v>0</v>
      </c>
      <c r="T32" s="40">
        <f>'Tariffs July2016'!AO26</f>
        <v>14</v>
      </c>
      <c r="U32" s="40">
        <f>'Tariffs July2016'!AP26</f>
        <v>0</v>
      </c>
      <c r="V32" s="273">
        <f t="shared" si="3"/>
        <v>1376.5016799999999</v>
      </c>
      <c r="W32" s="273">
        <f>V32-(P32*T32/100)</f>
        <v>1183.7914447999999</v>
      </c>
      <c r="X32" s="272">
        <f t="shared" si="4"/>
        <v>1514.151848</v>
      </c>
      <c r="Y32" s="272">
        <f t="shared" si="5"/>
        <v>1302.1705892800001</v>
      </c>
      <c r="Z32" s="274">
        <f>'Tariffs July2016'!AW26</f>
        <v>0</v>
      </c>
      <c r="AA32" s="274" t="str">
        <f>'Tariffs July2016'!AX26</f>
        <v>n</v>
      </c>
      <c r="AB32" s="275" t="str">
        <f>'Tariffs July2016'!BD26</f>
        <v>N</v>
      </c>
      <c r="AC32" s="260"/>
      <c r="AD32" s="260"/>
      <c r="AE32" s="260"/>
      <c r="AF32" s="260"/>
      <c r="AG32" s="260"/>
      <c r="AH32" s="260"/>
      <c r="AI32" s="260"/>
      <c r="AJ32" s="260"/>
      <c r="AK32" s="260"/>
      <c r="AL32" s="260"/>
      <c r="AM32" s="260"/>
      <c r="AN32" s="260"/>
    </row>
    <row r="33" spans="1:40" x14ac:dyDescent="0.15">
      <c r="A33" s="270" t="str">
        <f>'Tariffs July2016'!F27</f>
        <v>Covau</v>
      </c>
      <c r="B33" s="40" t="str">
        <f>'Tariffs July2016'!D27</f>
        <v>Envestra North</v>
      </c>
      <c r="C33" s="40" t="str">
        <f>'Tariffs July2016'!G27</f>
        <v>Market offer</v>
      </c>
      <c r="D33" s="59">
        <f>365*'Tariffs July2016'!H27/100</f>
        <v>226.3</v>
      </c>
      <c r="E33" s="59">
        <f>IF($C$5*'Tariffs July2016'!AK27/'Tariffs July2016'!AI27&gt;='Tariffs July2016'!J27,( 'Tariffs July2016'!J27*'Tariffs July2016'!O27/100)* 'Tariffs July2016'!AI27,($C$5*'Tariffs July2016'!AK27/'Tariffs July2016'!AI27*'Tariffs July2016'!O27/100)* 'Tariffs July2016'!AI27)</f>
        <v>76.98599999999999</v>
      </c>
      <c r="F33" s="59">
        <f>IF($C$5*'Tariffs July2016'!AK27/'Tariffs July2016'!AI27&lt;'Tariffs July2016'!J27,0,IF($C$5*'Tariffs July2016'!AK27/'Tariffs July2016'!AI27&lt;='Tariffs July2016'!K27,($C$5*'Tariffs July2016'!AK27/'Tariffs July2016'!AI27-'Tariffs July2016'!J27)*('Tariffs July2016'!P27/100)*'Tariffs July2016'!AI27,('Tariffs July2016'!K27-'Tariffs July2016'!J27)*('Tariffs July2016'!P27/100)*'Tariffs July2016'!AI27))</f>
        <v>51.219000000000001</v>
      </c>
      <c r="G33" s="59">
        <f>IF($C$5*'Tariffs July2016'!AK27/'Tariffs July2016'!AI27&lt;'Tariffs July2016'!K27,0,IF($C$5*'Tariffs July2016'!AK27/'Tariffs July2016'!AI27&lt;='Tariffs July2016'!L27,($C$5*'Tariffs July2016'!AK27/'Tariffs July2016'!AI27-'Tariffs July2016'!K27)*('Tariffs July2016'!Q27/100)*'Tariffs July2016'!AI27,('Tariffs July2016'!L27-'Tariffs July2016'!K27)*('Tariffs July2016'!Q27/100)*'Tariffs July2016'!AI27))</f>
        <v>0</v>
      </c>
      <c r="H33" s="59">
        <f>IF($C$5*'Tariffs July2016'!AK27/'Tariffs July2016'!AI27&lt;'Tariffs July2016'!L27,0,IF($C$5*'Tariffs July2016'!AK27/'Tariffs July2016'!AI27&lt;='Tariffs July2016'!M27,($C$5*'Tariffs July2016'!AK27/'Tariffs July2016'!AI27-'Tariffs July2016'!L27)*('Tariffs July2016'!R27/100)*'Tariffs July2016'!AI27,('Tariffs July2016'!M27-'Tariffs July2016'!L27)*('Tariffs July2016'!R27/100)*'Tariffs July2016'!AI27))</f>
        <v>0</v>
      </c>
      <c r="I33" s="59">
        <f>IF(($C$5*'Tariffs July2016'!AK27/'Tariffs July2016'!AI27&gt;'Tariffs July2016'!M27),($C$5*'Tariffs July2016'!AK27/'Tariffs July2016'!AI27-'Tariffs July2016'!M27)*'Tariffs July2016'!S27/100*'Tariffs July2016'!AI27,0)</f>
        <v>230.96765999999997</v>
      </c>
      <c r="J33" s="59">
        <f>IF($C$5*'Tariffs July2016'!AL27/'Tariffs July2016'!AJ27&gt;='Tariffs July2016'!J27,('Tariffs July2016'!J27*'Tariffs July2016'!U27/100)* 'Tariffs July2016'!AJ27,($C$5*'Tariffs July2016'!AL27/'Tariffs July2016'!AJ27*'Tariffs July2016'!U27/100)* 'Tariffs July2016'!AJ27)</f>
        <v>153.97199999999998</v>
      </c>
      <c r="K33" s="59">
        <f>IF($C$5*'Tariffs July2016'!AL27/'Tariffs July2016'!AJ27&lt;'Tariffs July2016'!J27,0,IF($C$5*'Tariffs July2016'!AL27/'Tariffs July2016'!AJ27&lt;='Tariffs July2016'!K27,($C$5*'Tariffs July2016'!AL27/'Tariffs July2016'!AJ27-'Tariffs July2016'!J27)*('Tariffs July2016'!V27/100)*'Tariffs July2016'!AJ27,('Tariffs July2016'!K27-'Tariffs July2016'!J27)*('Tariffs July2016'!V27/100)*'Tariffs July2016'!AJ27))</f>
        <v>102.438</v>
      </c>
      <c r="L33" s="59">
        <f>IF($C$5*'Tariffs July2016'!AL27/'Tariffs July2016'!AJ27&lt;'Tariffs July2016'!K27,0,IF($C$5*'Tariffs July2016'!AL27/'Tariffs July2016'!AJ27&lt;='Tariffs July2016'!L27,($C$5*'Tariffs July2016'!AL27/'Tariffs July2016'!AJ27-'Tariffs July2016'!K27)*('Tariffs July2016'!W27/100)*'Tariffs July2016'!AJ27,('Tariffs July2016'!L27-'Tariffs July2016'!K27)*('Tariffs July2016'!W27/100)*'Tariffs July2016'!AJ27))</f>
        <v>0</v>
      </c>
      <c r="M33" s="59">
        <f>IF($C$5*'Tariffs July2016'!AL27/'Tariffs July2016'!AJ27&lt;'Tariffs July2016'!L27,0,IF($C$5*'Tariffs July2016'!AL27/'Tariffs July2016'!AJ27&lt;='Tariffs July2016'!M27,($C$5*'Tariffs July2016'!AL27/'Tariffs July2016'!AJ27-'Tariffs July2016'!L27)*('Tariffs July2016'!X27/100)*'Tariffs July2016'!AJ27,('Tariffs July2016'!M27-'Tariffs July2016'!L27)*('Tariffs July2016'!X27/100)*'Tariffs July2016'!AJ27))</f>
        <v>0</v>
      </c>
      <c r="N33" s="59">
        <f>IF(($C$5*'Tariffs July2016'!AL27/'Tariffs July2016'!AJ27&gt;'Tariffs July2016'!M27),($C$5*'Tariffs July2016'!AL27/'Tariffs July2016'!AJ27-'Tariffs July2016'!M27)*'Tariffs July2016'!Y27/100*'Tariffs July2016'!AJ27,0)</f>
        <v>461.93531999999993</v>
      </c>
      <c r="O33" s="271">
        <f t="shared" si="0"/>
        <v>1077.5179799999999</v>
      </c>
      <c r="P33" s="59">
        <f t="shared" si="1"/>
        <v>1303.8179799999998</v>
      </c>
      <c r="Q33" s="272">
        <f t="shared" si="2"/>
        <v>1434.1997779999999</v>
      </c>
      <c r="R33" s="40">
        <f>'Tariffs July2016'!AM27</f>
        <v>0</v>
      </c>
      <c r="S33" s="40">
        <f>'Tariffs July2016'!AN27</f>
        <v>0</v>
      </c>
      <c r="T33" s="40">
        <f>'Tariffs July2016'!AO27</f>
        <v>0</v>
      </c>
      <c r="U33" s="40">
        <f>'Tariffs July2016'!AP27</f>
        <v>12</v>
      </c>
      <c r="V33" s="273">
        <f t="shared" si="3"/>
        <v>1303.8179799999998</v>
      </c>
      <c r="W33" s="273">
        <f>V33-(O33*U33/100)</f>
        <v>1174.5158223999997</v>
      </c>
      <c r="X33" s="272">
        <f t="shared" si="4"/>
        <v>1434.1997779999999</v>
      </c>
      <c r="Y33" s="272">
        <f t="shared" si="5"/>
        <v>1291.9674046399998</v>
      </c>
      <c r="Z33" s="274">
        <f>'Tariffs July2016'!AW27</f>
        <v>12</v>
      </c>
      <c r="AA33" s="274" t="str">
        <f>'Tariffs July2016'!AX27</f>
        <v>y</v>
      </c>
      <c r="AB33" s="275" t="str">
        <f>'Tariffs July2016'!BD27</f>
        <v>Y</v>
      </c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</row>
    <row r="34" spans="1:40" x14ac:dyDescent="0.15">
      <c r="A34" s="270" t="str">
        <f>'Tariffs July2016'!F28</f>
        <v>Dodo Power &amp; Gas</v>
      </c>
      <c r="B34" s="40" t="str">
        <f>'Tariffs July2016'!D28</f>
        <v>Envestra North</v>
      </c>
      <c r="C34" s="40" t="str">
        <f>'Tariffs July2016'!G28</f>
        <v>Market offer</v>
      </c>
      <c r="D34" s="59">
        <f>365*'Tariffs July2016'!H28/100</f>
        <v>218.8175</v>
      </c>
      <c r="E34" s="59">
        <f>IF($C$5*'Tariffs July2016'!AK28/'Tariffs July2016'!AI28&gt;='Tariffs July2016'!J28,( 'Tariffs July2016'!J28*'Tariffs July2016'!O28/100)* 'Tariffs July2016'!AI28,($C$5*'Tariffs July2016'!AK28/'Tariffs July2016'!AI28*'Tariffs July2016'!O28/100)* 'Tariffs July2016'!AI28)</f>
        <v>156</v>
      </c>
      <c r="F34" s="59">
        <f>IF($C$5*'Tariffs July2016'!AK28/'Tariffs July2016'!AI28&lt;'Tariffs July2016'!J28,0,IF($C$5*'Tariffs July2016'!AK28/'Tariffs July2016'!AI28&lt;='Tariffs July2016'!K28,($C$5*'Tariffs July2016'!AK28/'Tariffs July2016'!AI28-'Tariffs July2016'!J28)*('Tariffs July2016'!P28/100)*'Tariffs July2016'!AI28,('Tariffs July2016'!K28-'Tariffs July2016'!J28)*('Tariffs July2016'!P28/100)*'Tariffs July2016'!AI28))</f>
        <v>219.66450999999995</v>
      </c>
      <c r="G34" s="59">
        <f>IF($C$5*'Tariffs July2016'!AK28/'Tariffs July2016'!AI28&lt;'Tariffs July2016'!K28,0,IF($C$5*'Tariffs July2016'!AK28/'Tariffs July2016'!AI28&lt;='Tariffs July2016'!L28,($C$5*'Tariffs July2016'!AK28/'Tariffs July2016'!AI28-'Tariffs July2016'!K28)*('Tariffs July2016'!Q28/100)*'Tariffs July2016'!AI28,('Tariffs July2016'!L28-'Tariffs July2016'!K28)*('Tariffs July2016'!Q28/100)*'Tariffs July2016'!AI28))</f>
        <v>0</v>
      </c>
      <c r="H34" s="59">
        <f>IF($C$5*'Tariffs July2016'!AK28/'Tariffs July2016'!AI28&lt;'Tariffs July2016'!L28,0,IF($C$5*'Tariffs July2016'!AK28/'Tariffs July2016'!AI28&lt;='Tariffs July2016'!M28,($C$5*'Tariffs July2016'!AK28/'Tariffs July2016'!AI28-'Tariffs July2016'!L28)*('Tariffs July2016'!R28/100)*'Tariffs July2016'!AI28,('Tariffs July2016'!M28-'Tariffs July2016'!L28)*('Tariffs July2016'!R28/100)*'Tariffs July2016'!AI28))</f>
        <v>0</v>
      </c>
      <c r="I34" s="59">
        <f>IF(($C$5*'Tariffs July2016'!AK28/'Tariffs July2016'!AI28&gt;'Tariffs July2016'!M28),($C$5*'Tariffs July2016'!AK28/'Tariffs July2016'!AI28-'Tariffs July2016'!M28)*'Tariffs July2016'!S28/100*'Tariffs July2016'!AI28,0)</f>
        <v>0</v>
      </c>
      <c r="J34" s="59">
        <f>IF($C$5*'Tariffs July2016'!AL28/'Tariffs July2016'!AJ28&gt;='Tariffs July2016'!J28,('Tariffs July2016'!J28*'Tariffs July2016'!U28/100)* 'Tariffs July2016'!AJ28,($C$5*'Tariffs July2016'!AL28/'Tariffs July2016'!AJ28*'Tariffs July2016'!U28/100)* 'Tariffs July2016'!AJ28)</f>
        <v>307.2</v>
      </c>
      <c r="K34" s="59">
        <f>IF($C$5*'Tariffs July2016'!AL28/'Tariffs July2016'!AJ28&lt;'Tariffs July2016'!J28,0,IF($C$5*'Tariffs July2016'!AL28/'Tariffs July2016'!AJ28&lt;='Tariffs July2016'!K28,($C$5*'Tariffs July2016'!AL28/'Tariffs July2016'!AJ28-'Tariffs July2016'!J28)*('Tariffs July2016'!V28/100)*'Tariffs July2016'!AJ28,('Tariffs July2016'!K28-'Tariffs July2016'!J28)*('Tariffs July2016'!V28/100)*'Tariffs July2016'!AJ28))</f>
        <v>439.3290199999999</v>
      </c>
      <c r="L34" s="59">
        <f>IF($C$5*'Tariffs July2016'!AL28/'Tariffs July2016'!AJ28&lt;'Tariffs July2016'!K28,0,IF($C$5*'Tariffs July2016'!AL28/'Tariffs July2016'!AJ28&lt;='Tariffs July2016'!L28,($C$5*'Tariffs July2016'!AL28/'Tariffs July2016'!AJ28-'Tariffs July2016'!K28)*('Tariffs July2016'!W28/100)*'Tariffs July2016'!AJ28,('Tariffs July2016'!L28-'Tariffs July2016'!K28)*('Tariffs July2016'!W28/100)*'Tariffs July2016'!AJ28))</f>
        <v>0</v>
      </c>
      <c r="M34" s="59">
        <f>IF($C$5*'Tariffs July2016'!AL28/'Tariffs July2016'!AJ28&lt;'Tariffs July2016'!L28,0,IF($C$5*'Tariffs July2016'!AL28/'Tariffs July2016'!AJ28&lt;='Tariffs July2016'!M28,($C$5*'Tariffs July2016'!AL28/'Tariffs July2016'!AJ28-'Tariffs July2016'!L28)*('Tariffs July2016'!X28/100)*'Tariffs July2016'!AJ28,('Tariffs July2016'!M28-'Tariffs July2016'!L28)*('Tariffs July2016'!X28/100)*'Tariffs July2016'!AJ28))</f>
        <v>0</v>
      </c>
      <c r="N34" s="59">
        <f>IF(($C$5*'Tariffs July2016'!AL28/'Tariffs July2016'!AJ28&gt;'Tariffs July2016'!M28),($C$5*'Tariffs July2016'!AL28/'Tariffs July2016'!AJ28-'Tariffs July2016'!M28)*'Tariffs July2016'!Y28/100*'Tariffs July2016'!AJ28,0)</f>
        <v>0</v>
      </c>
      <c r="O34" s="271">
        <f t="shared" si="0"/>
        <v>1122.1935299999998</v>
      </c>
      <c r="P34" s="59">
        <f t="shared" si="1"/>
        <v>1341.0110299999997</v>
      </c>
      <c r="Q34" s="272">
        <f t="shared" si="2"/>
        <v>1475.1121329999999</v>
      </c>
      <c r="R34" s="40">
        <f>'Tariffs July2016'!AM28</f>
        <v>0</v>
      </c>
      <c r="S34" s="40">
        <f>'Tariffs July2016'!AN28</f>
        <v>0</v>
      </c>
      <c r="T34" s="40">
        <f>'Tariffs July2016'!AO28</f>
        <v>0</v>
      </c>
      <c r="U34" s="40">
        <f>'Tariffs July2016'!AP28</f>
        <v>0</v>
      </c>
      <c r="V34" s="273">
        <f t="shared" si="3"/>
        <v>1341.0110299999997</v>
      </c>
      <c r="W34" s="273">
        <f>V34-(O34*U34/100)</f>
        <v>1341.0110299999997</v>
      </c>
      <c r="X34" s="272">
        <f t="shared" si="4"/>
        <v>1475.1121329999999</v>
      </c>
      <c r="Y34" s="272">
        <f t="shared" si="5"/>
        <v>1475.1121329999999</v>
      </c>
      <c r="Z34" s="274">
        <f>'Tariffs July2016'!AW28</f>
        <v>0</v>
      </c>
      <c r="AA34" s="274" t="str">
        <f>'Tariffs July2016'!AX28</f>
        <v>n</v>
      </c>
      <c r="AB34" s="275" t="str">
        <f>'Tariffs July2016'!BD28</f>
        <v>Y</v>
      </c>
      <c r="AC34" s="260"/>
      <c r="AD34" s="260"/>
      <c r="AE34" s="260"/>
      <c r="AF34" s="260"/>
      <c r="AG34" s="260"/>
      <c r="AH34" s="260"/>
      <c r="AI34" s="260"/>
      <c r="AJ34" s="260"/>
      <c r="AK34" s="260"/>
      <c r="AL34" s="260"/>
      <c r="AM34" s="260"/>
      <c r="AN34" s="260"/>
    </row>
    <row r="35" spans="1:40" x14ac:dyDescent="0.15">
      <c r="A35" s="270" t="str">
        <f>'Tariffs July2016'!F29</f>
        <v>EnergyAustralia</v>
      </c>
      <c r="B35" s="40" t="str">
        <f>'Tariffs July2016'!D29</f>
        <v>Envestra North</v>
      </c>
      <c r="C35" s="40" t="str">
        <f>'Tariffs July2016'!G29</f>
        <v xml:space="preserve">Flexi Saver </v>
      </c>
      <c r="D35" s="59">
        <f>365*'Tariffs July2016'!H29/100</f>
        <v>255.5</v>
      </c>
      <c r="E35" s="59">
        <f>IF($C$5*'Tariffs July2016'!AK29/'Tariffs July2016'!AI29&gt;='Tariffs July2016'!J29,( 'Tariffs July2016'!J29*'Tariffs July2016'!O29/100)* 'Tariffs July2016'!AI29,($C$5*'Tariffs July2016'!AK29/'Tariffs July2016'!AI29*'Tariffs July2016'!O29/100)* 'Tariffs July2016'!AI29)</f>
        <v>82.25</v>
      </c>
      <c r="F35" s="59">
        <f>IF($C$5*'Tariffs July2016'!AK29/'Tariffs July2016'!AI29&lt;'Tariffs July2016'!J29,0,IF($C$5*'Tariffs July2016'!AK29/'Tariffs July2016'!AI29&lt;='Tariffs July2016'!K29,($C$5*'Tariffs July2016'!AK29/'Tariffs July2016'!AI29-'Tariffs July2016'!J29)*('Tariffs July2016'!P29/100)*'Tariffs July2016'!AI29,('Tariffs July2016'!K29-'Tariffs July2016'!J29)*('Tariffs July2016'!P29/100)*'Tariffs July2016'!AI29))</f>
        <v>54.2</v>
      </c>
      <c r="G35" s="59">
        <f>IF($C$5*'Tariffs July2016'!AK29/'Tariffs July2016'!AI29&lt;'Tariffs July2016'!K29,0,IF($C$5*'Tariffs July2016'!AK29/'Tariffs July2016'!AI29&lt;='Tariffs July2016'!L29,($C$5*'Tariffs July2016'!AK29/'Tariffs July2016'!AI29-'Tariffs July2016'!K29)*('Tariffs July2016'!Q29/100)*'Tariffs July2016'!AI29,('Tariffs July2016'!L29-'Tariffs July2016'!K29)*('Tariffs July2016'!Q29/100)*'Tariffs July2016'!AI29))</f>
        <v>0</v>
      </c>
      <c r="H35" s="59">
        <f>IF($C$5*'Tariffs July2016'!AK29/'Tariffs July2016'!AI29&lt;'Tariffs July2016'!L29,0,IF($C$5*'Tariffs July2016'!AK29/'Tariffs July2016'!AI29&lt;='Tariffs July2016'!M29,($C$5*'Tariffs July2016'!AK29/'Tariffs July2016'!AI29-'Tariffs July2016'!L29)*('Tariffs July2016'!R29/100)*'Tariffs July2016'!AI29,('Tariffs July2016'!M29-'Tariffs July2016'!L29)*('Tariffs July2016'!R29/100)*'Tariffs July2016'!AI29))</f>
        <v>0</v>
      </c>
      <c r="I35" s="59">
        <f>IF(($C$5*'Tariffs July2016'!AK29/'Tariffs July2016'!AI29&gt;'Tariffs July2016'!M29),($C$5*'Tariffs July2016'!AK29/'Tariffs July2016'!AI29-'Tariffs July2016'!M29)*'Tariffs July2016'!S29/100*'Tariffs July2016'!AI29,0)</f>
        <v>236.96681999999998</v>
      </c>
      <c r="J35" s="59">
        <f>IF($C$5*'Tariffs July2016'!AL29/'Tariffs July2016'!AJ29&gt;='Tariffs July2016'!J29,('Tariffs July2016'!J29*'Tariffs July2016'!U29/100)* 'Tariffs July2016'!AJ29,($C$5*'Tariffs July2016'!AL29/'Tariffs July2016'!AJ29*'Tariffs July2016'!U29/100)* 'Tariffs July2016'!AJ29)</f>
        <v>163.184</v>
      </c>
      <c r="K35" s="59">
        <f>IF($C$5*'Tariffs July2016'!AL29/'Tariffs July2016'!AJ29&lt;'Tariffs July2016'!J29,0,IF($C$5*'Tariffs July2016'!AL29/'Tariffs July2016'!AJ29&lt;='Tariffs July2016'!K29,($C$5*'Tariffs July2016'!AL29/'Tariffs July2016'!AJ29-'Tariffs July2016'!J29)*('Tariffs July2016'!V29/100)*'Tariffs July2016'!AJ29,('Tariffs July2016'!K29-'Tariffs July2016'!J29)*('Tariffs July2016'!V29/100)*'Tariffs July2016'!AJ29))</f>
        <v>107.31599999999999</v>
      </c>
      <c r="L35" s="59">
        <f>IF($C$5*'Tariffs July2016'!AL29/'Tariffs July2016'!AJ29&lt;'Tariffs July2016'!K29,0,IF($C$5*'Tariffs July2016'!AL29/'Tariffs July2016'!AJ29&lt;='Tariffs July2016'!L29,($C$5*'Tariffs July2016'!AL29/'Tariffs July2016'!AJ29-'Tariffs July2016'!K29)*('Tariffs July2016'!W29/100)*'Tariffs July2016'!AJ29,('Tariffs July2016'!L29-'Tariffs July2016'!K29)*('Tariffs July2016'!W29/100)*'Tariffs July2016'!AJ29))</f>
        <v>0</v>
      </c>
      <c r="M35" s="59">
        <f>IF($C$5*'Tariffs July2016'!AL29/'Tariffs July2016'!AJ29&lt;'Tariffs July2016'!L29,0,IF($C$5*'Tariffs July2016'!AL29/'Tariffs July2016'!AJ29&lt;='Tariffs July2016'!M29,($C$5*'Tariffs July2016'!AL29/'Tariffs July2016'!AJ29-'Tariffs July2016'!L29)*('Tariffs July2016'!X29/100)*'Tariffs July2016'!AJ29,('Tariffs July2016'!M29-'Tariffs July2016'!L29)*('Tariffs July2016'!X29/100)*'Tariffs July2016'!AJ29))</f>
        <v>0</v>
      </c>
      <c r="N35" s="59">
        <f>IF(($C$5*'Tariffs July2016'!AL29/'Tariffs July2016'!AJ29&gt;'Tariffs July2016'!M29),($C$5*'Tariffs July2016'!AL29/'Tariffs July2016'!AJ29-'Tariffs July2016'!M29)*'Tariffs July2016'!Y29/100*'Tariffs July2016'!AJ29,0)</f>
        <v>467.93447999999995</v>
      </c>
      <c r="O35" s="271">
        <f t="shared" si="0"/>
        <v>1111.8513</v>
      </c>
      <c r="P35" s="59">
        <f t="shared" si="1"/>
        <v>1367.3513</v>
      </c>
      <c r="Q35" s="272">
        <f t="shared" si="2"/>
        <v>1504.0864300000001</v>
      </c>
      <c r="R35" s="40">
        <f>'Tariffs July2016'!AM29</f>
        <v>0</v>
      </c>
      <c r="S35" s="40">
        <f>'Tariffs July2016'!AN29</f>
        <v>0</v>
      </c>
      <c r="T35" s="40">
        <f>'Tariffs July2016'!AO29</f>
        <v>0</v>
      </c>
      <c r="U35" s="40">
        <f>'Tariffs July2016'!AP29</f>
        <v>16</v>
      </c>
      <c r="V35" s="273">
        <f t="shared" si="3"/>
        <v>1367.3513</v>
      </c>
      <c r="W35" s="273">
        <f>V35-(O35*U35/100)</f>
        <v>1189.4550920000001</v>
      </c>
      <c r="X35" s="272">
        <f t="shared" si="4"/>
        <v>1504.0864300000001</v>
      </c>
      <c r="Y35" s="272">
        <f t="shared" si="5"/>
        <v>1308.4006012000002</v>
      </c>
      <c r="Z35" s="274">
        <f>'Tariffs July2016'!AW29</f>
        <v>0</v>
      </c>
      <c r="AA35" s="274" t="str">
        <f>'Tariffs July2016'!AX29</f>
        <v>n</v>
      </c>
      <c r="AB35" s="275" t="str">
        <f>'Tariffs July2016'!BD29</f>
        <v>N</v>
      </c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</row>
    <row r="36" spans="1:40" x14ac:dyDescent="0.15">
      <c r="A36" s="270" t="str">
        <f>'Tariffs July2016'!F30</f>
        <v>Lumo Energy</v>
      </c>
      <c r="B36" s="40" t="str">
        <f>'Tariffs July2016'!D30</f>
        <v>Envestra North</v>
      </c>
      <c r="C36" s="40" t="str">
        <f>'Tariffs July2016'!G30</f>
        <v>Advantage</v>
      </c>
      <c r="D36" s="59">
        <f>365*'Tariffs July2016'!H30/100</f>
        <v>235.27899999999997</v>
      </c>
      <c r="E36" s="59">
        <f>IF($C$5*'Tariffs July2016'!AK30/'Tariffs July2016'!AI30&gt;='Tariffs July2016'!J30,( 'Tariffs July2016'!J30*'Tariffs July2016'!O30/100)* 'Tariffs July2016'!AI30,($C$5*'Tariffs July2016'!AK30/'Tariffs July2016'!AI30*'Tariffs July2016'!O30/100)* 'Tariffs July2016'!AI30)</f>
        <v>80.045699999999997</v>
      </c>
      <c r="F36" s="59">
        <f>IF($C$5*'Tariffs July2016'!AK30/'Tariffs July2016'!AI30&lt;'Tariffs July2016'!J30,0,IF($C$5*'Tariffs July2016'!AK30/'Tariffs July2016'!AI30&lt;='Tariffs July2016'!K30,($C$5*'Tariffs July2016'!AK30/'Tariffs July2016'!AI30-'Tariffs July2016'!J30)*('Tariffs July2016'!P30/100)*'Tariffs July2016'!AI30,('Tariffs July2016'!K30-'Tariffs July2016'!J30)*('Tariffs July2016'!P30/100)*'Tariffs July2016'!AI30))</f>
        <v>55.473700000000008</v>
      </c>
      <c r="G36" s="59">
        <f>IF($C$5*'Tariffs July2016'!AK30/'Tariffs July2016'!AI30&lt;'Tariffs July2016'!K30,0,IF($C$5*'Tariffs July2016'!AK30/'Tariffs July2016'!AI30&lt;='Tariffs July2016'!L30,($C$5*'Tariffs July2016'!AK30/'Tariffs July2016'!AI30-'Tariffs July2016'!K30)*('Tariffs July2016'!Q30/100)*'Tariffs July2016'!AI30,('Tariffs July2016'!L30-'Tariffs July2016'!K30)*('Tariffs July2016'!Q30/100)*'Tariffs July2016'!AI30))</f>
        <v>0</v>
      </c>
      <c r="H36" s="59">
        <f>IF($C$5*'Tariffs July2016'!AK30/'Tariffs July2016'!AI30&lt;'Tariffs July2016'!L30,0,IF($C$5*'Tariffs July2016'!AK30/'Tariffs July2016'!AI30&lt;='Tariffs July2016'!M30,($C$5*'Tariffs July2016'!AK30/'Tariffs July2016'!AI30-'Tariffs July2016'!L30)*('Tariffs July2016'!R30/100)*'Tariffs July2016'!AI30,('Tariffs July2016'!M30-'Tariffs July2016'!L30)*('Tariffs July2016'!R30/100)*'Tariffs July2016'!AI30))</f>
        <v>0</v>
      </c>
      <c r="I36" s="59">
        <f>IF(($C$5*'Tariffs July2016'!AK30/'Tariffs July2016'!AI30&gt;'Tariffs July2016'!M30),($C$5*'Tariffs July2016'!AK30/'Tariffs July2016'!AI30-'Tariffs July2016'!M30)*'Tariffs July2016'!S30/100*'Tariffs July2016'!AI30,0)</f>
        <v>256.46408999999994</v>
      </c>
      <c r="J36" s="59">
        <f>IF($C$5*'Tariffs July2016'!AL30/'Tariffs July2016'!AJ30&gt;='Tariffs July2016'!J30,('Tariffs July2016'!J30*'Tariffs July2016'!U30/100)* 'Tariffs July2016'!AJ30,($C$5*'Tariffs July2016'!AL30/'Tariffs July2016'!AJ30*'Tariffs July2016'!U30/100)* 'Tariffs July2016'!AJ30)</f>
        <v>160.09139999999999</v>
      </c>
      <c r="K36" s="59">
        <f>IF($C$5*'Tariffs July2016'!AL30/'Tariffs July2016'!AJ30&lt;'Tariffs July2016'!J30,0,IF($C$5*'Tariffs July2016'!AL30/'Tariffs July2016'!AJ30&lt;='Tariffs July2016'!K30,($C$5*'Tariffs July2016'!AL30/'Tariffs July2016'!AJ30-'Tariffs July2016'!J30)*('Tariffs July2016'!V30/100)*'Tariffs July2016'!AJ30,('Tariffs July2016'!K30-'Tariffs July2016'!J30)*('Tariffs July2016'!V30/100)*'Tariffs July2016'!AJ30))</f>
        <v>110.94740000000002</v>
      </c>
      <c r="L36" s="59">
        <f>IF($C$5*'Tariffs July2016'!AL30/'Tariffs July2016'!AJ30&lt;'Tariffs July2016'!K30,0,IF($C$5*'Tariffs July2016'!AL30/'Tariffs July2016'!AJ30&lt;='Tariffs July2016'!L30,($C$5*'Tariffs July2016'!AL30/'Tariffs July2016'!AJ30-'Tariffs July2016'!K30)*('Tariffs July2016'!W30/100)*'Tariffs July2016'!AJ30,('Tariffs July2016'!L30-'Tariffs July2016'!K30)*('Tariffs July2016'!W30/100)*'Tariffs July2016'!AJ30))</f>
        <v>0</v>
      </c>
      <c r="M36" s="59">
        <f>IF($C$5*'Tariffs July2016'!AL30/'Tariffs July2016'!AJ30&lt;'Tariffs July2016'!L30,0,IF($C$5*'Tariffs July2016'!AL30/'Tariffs July2016'!AJ30&lt;='Tariffs July2016'!M30,($C$5*'Tariffs July2016'!AL30/'Tariffs July2016'!AJ30-'Tariffs July2016'!L30)*('Tariffs July2016'!X30/100)*'Tariffs July2016'!AJ30,('Tariffs July2016'!M30-'Tariffs July2016'!L30)*('Tariffs July2016'!X30/100)*'Tariffs July2016'!AJ30))</f>
        <v>0</v>
      </c>
      <c r="N36" s="59">
        <f>IF(($C$5*'Tariffs July2016'!AL30/'Tariffs July2016'!AJ30&gt;'Tariffs July2016'!M30),($C$5*'Tariffs July2016'!AL30/'Tariffs July2016'!AJ30-'Tariffs July2016'!M30)*'Tariffs July2016'!Y30/100*'Tariffs July2016'!AJ30,0)</f>
        <v>512.92817999999988</v>
      </c>
      <c r="O36" s="271">
        <f t="shared" si="0"/>
        <v>1175.9504699999998</v>
      </c>
      <c r="P36" s="59">
        <f t="shared" si="1"/>
        <v>1411.2294699999998</v>
      </c>
      <c r="Q36" s="272">
        <f t="shared" si="2"/>
        <v>1552.3524169999998</v>
      </c>
      <c r="R36" s="40">
        <f>'Tariffs July2016'!AM30</f>
        <v>0</v>
      </c>
      <c r="S36" s="40">
        <f>'Tariffs July2016'!AN30</f>
        <v>0</v>
      </c>
      <c r="T36" s="40">
        <f>'Tariffs July2016'!AO30</f>
        <v>15</v>
      </c>
      <c r="U36" s="40">
        <f>'Tariffs July2016'!AP30</f>
        <v>0</v>
      </c>
      <c r="V36" s="273">
        <f t="shared" si="3"/>
        <v>1411.2294699999998</v>
      </c>
      <c r="W36" s="273">
        <f>V36-(P36*T36/100)</f>
        <v>1199.5450494999998</v>
      </c>
      <c r="X36" s="272">
        <f t="shared" si="4"/>
        <v>1552.3524169999998</v>
      </c>
      <c r="Y36" s="272">
        <f t="shared" si="5"/>
        <v>1319.4995544499998</v>
      </c>
      <c r="Z36" s="274">
        <f>'Tariffs July2016'!AW30</f>
        <v>24</v>
      </c>
      <c r="AA36" s="274" t="str">
        <f>'Tariffs July2016'!AX30</f>
        <v>n</v>
      </c>
      <c r="AB36" s="275" t="str">
        <f>'Tariffs July2016'!BD30</f>
        <v>Y</v>
      </c>
      <c r="AC36" s="260"/>
      <c r="AD36" s="260"/>
      <c r="AE36" s="260"/>
      <c r="AF36" s="260"/>
      <c r="AG36" s="260"/>
      <c r="AH36" s="260"/>
      <c r="AI36" s="260"/>
      <c r="AJ36" s="260"/>
      <c r="AK36" s="260"/>
      <c r="AL36" s="260"/>
      <c r="AM36" s="260"/>
      <c r="AN36" s="260"/>
    </row>
    <row r="37" spans="1:40" x14ac:dyDescent="0.15">
      <c r="A37" s="270" t="str">
        <f>'Tariffs July2016'!F31</f>
        <v>Momentum Energy</v>
      </c>
      <c r="B37" s="40" t="str">
        <f>'Tariffs July2016'!D31</f>
        <v>Envestra North</v>
      </c>
      <c r="C37" s="40" t="str">
        <f>'Tariffs July2016'!G31</f>
        <v>Market offer</v>
      </c>
      <c r="D37" s="59">
        <f>365*'Tariffs July2016'!H31/100</f>
        <v>233.92850000000001</v>
      </c>
      <c r="E37" s="59">
        <f>IF($C$5*'Tariffs July2016'!AK31/'Tariffs July2016'!AI31&gt;='Tariffs July2016'!J31,( 'Tariffs July2016'!J31*'Tariffs July2016'!O31/100)* 'Tariffs July2016'!AI31,($C$5*'Tariffs July2016'!AK31/'Tariffs July2016'!AI31*'Tariffs July2016'!O31/100)* 'Tariffs July2016'!AI31)</f>
        <v>58.956800000000001</v>
      </c>
      <c r="F37" s="59">
        <f>IF($C$5*'Tariffs July2016'!AK31/'Tariffs July2016'!AI31&lt;'Tariffs July2016'!J31,0,IF($C$5*'Tariffs July2016'!AK31/'Tariffs July2016'!AI31&lt;='Tariffs July2016'!K31,($C$5*'Tariffs July2016'!AK31/'Tariffs July2016'!AI31-'Tariffs July2016'!J31)*('Tariffs July2016'!P31/100)*'Tariffs July2016'!AI31,('Tariffs July2016'!K31-'Tariffs July2016'!J31)*('Tariffs July2016'!P31/100)*'Tariffs July2016'!AI31))</f>
        <v>41.273299999999999</v>
      </c>
      <c r="G37" s="59">
        <f>IF($C$5*'Tariffs July2016'!AK31/'Tariffs July2016'!AI31&lt;'Tariffs July2016'!K31,0,IF($C$5*'Tariffs July2016'!AK31/'Tariffs July2016'!AI31&lt;='Tariffs July2016'!L31,($C$5*'Tariffs July2016'!AK31/'Tariffs July2016'!AI31-'Tariffs July2016'!K31)*('Tariffs July2016'!Q31/100)*'Tariffs July2016'!AI31,('Tariffs July2016'!L31-'Tariffs July2016'!K31)*('Tariffs July2016'!Q31/100)*'Tariffs July2016'!AI31))</f>
        <v>0</v>
      </c>
      <c r="H37" s="59">
        <f>IF($C$5*'Tariffs July2016'!AK31/'Tariffs July2016'!AI31&lt;'Tariffs July2016'!L31,0,IF($C$5*'Tariffs July2016'!AK31/'Tariffs July2016'!AI31&lt;='Tariffs July2016'!M31,($C$5*'Tariffs July2016'!AK31/'Tariffs July2016'!AI31-'Tariffs July2016'!L31)*('Tariffs July2016'!R31/100)*'Tariffs July2016'!AI31,('Tariffs July2016'!M31-'Tariffs July2016'!L31)*('Tariffs July2016'!R31/100)*'Tariffs July2016'!AI31))</f>
        <v>0</v>
      </c>
      <c r="I37" s="59">
        <f>IF(($C$5*'Tariffs July2016'!AK31/'Tariffs July2016'!AI31&gt;'Tariffs July2016'!M31),($C$5*'Tariffs July2016'!AK31/'Tariffs July2016'!AI31-'Tariffs July2016'!M31)*'Tariffs July2016'!S31/100*'Tariffs July2016'!AI31,0)</f>
        <v>188.07366599999997</v>
      </c>
      <c r="J37" s="59">
        <f>IF($C$5*'Tariffs July2016'!AL31/'Tariffs July2016'!AJ31&gt;='Tariffs July2016'!J31,('Tariffs July2016'!J31*'Tariffs July2016'!U31/100)* 'Tariffs July2016'!AJ31,($C$5*'Tariffs July2016'!AL31/'Tariffs July2016'!AJ31*'Tariffs July2016'!U31/100)* 'Tariffs July2016'!AJ31)</f>
        <v>115.2158</v>
      </c>
      <c r="K37" s="59">
        <f>IF($C$5*'Tariffs July2016'!AL31/'Tariffs July2016'!AJ31&lt;'Tariffs July2016'!J31,0,IF($C$5*'Tariffs July2016'!AL31/'Tariffs July2016'!AJ31&lt;='Tariffs July2016'!K31,($C$5*'Tariffs July2016'!AL31/'Tariffs July2016'!AJ31-'Tariffs July2016'!J31)*('Tariffs July2016'!V31/100)*'Tariffs July2016'!AJ31,('Tariffs July2016'!K31-'Tariffs July2016'!J31)*('Tariffs July2016'!V31/100)*'Tariffs July2016'!AJ31))</f>
        <v>80.324399999999997</v>
      </c>
      <c r="L37" s="59">
        <f>IF($C$5*'Tariffs July2016'!AL31/'Tariffs July2016'!AJ31&lt;'Tariffs July2016'!K31,0,IF($C$5*'Tariffs July2016'!AL31/'Tariffs July2016'!AJ31&lt;='Tariffs July2016'!L31,($C$5*'Tariffs July2016'!AL31/'Tariffs July2016'!AJ31-'Tariffs July2016'!K31)*('Tariffs July2016'!W31/100)*'Tariffs July2016'!AJ31,('Tariffs July2016'!L31-'Tariffs July2016'!K31)*('Tariffs July2016'!W31/100)*'Tariffs July2016'!AJ31))</f>
        <v>0</v>
      </c>
      <c r="M37" s="59">
        <f>IF($C$5*'Tariffs July2016'!AL31/'Tariffs July2016'!AJ31&lt;'Tariffs July2016'!L31,0,IF($C$5*'Tariffs July2016'!AL31/'Tariffs July2016'!AJ31&lt;='Tariffs July2016'!M31,($C$5*'Tariffs July2016'!AL31/'Tariffs July2016'!AJ31-'Tariffs July2016'!L31)*('Tariffs July2016'!X31/100)*'Tariffs July2016'!AJ31,('Tariffs July2016'!M31-'Tariffs July2016'!L31)*('Tariffs July2016'!X31/100)*'Tariffs July2016'!AJ31))</f>
        <v>0</v>
      </c>
      <c r="N37" s="59">
        <f>IF(($C$5*'Tariffs July2016'!AL31/'Tariffs July2016'!AJ31&gt;'Tariffs July2016'!M31),($C$5*'Tariffs July2016'!AL31/'Tariffs July2016'!AJ31-'Tariffs July2016'!M31)*'Tariffs July2016'!Y31/100*'Tariffs July2016'!AJ31,0)</f>
        <v>363.54909599999991</v>
      </c>
      <c r="O37" s="271">
        <f t="shared" si="0"/>
        <v>847.39306199999987</v>
      </c>
      <c r="P37" s="59">
        <f t="shared" si="1"/>
        <v>1081.3215619999999</v>
      </c>
      <c r="Q37" s="272">
        <f t="shared" si="2"/>
        <v>1189.4537181999999</v>
      </c>
      <c r="R37" s="40">
        <f>'Tariffs July2016'!AM31</f>
        <v>0</v>
      </c>
      <c r="S37" s="40">
        <f>'Tariffs July2016'!AN31</f>
        <v>0</v>
      </c>
      <c r="T37" s="40">
        <f>'Tariffs July2016'!AO31</f>
        <v>0</v>
      </c>
      <c r="U37" s="40">
        <f>'Tariffs July2016'!AP31</f>
        <v>0</v>
      </c>
      <c r="V37" s="273">
        <f t="shared" si="3"/>
        <v>1081.3215619999999</v>
      </c>
      <c r="W37" s="273">
        <f>V37</f>
        <v>1081.3215619999999</v>
      </c>
      <c r="X37" s="272">
        <f t="shared" si="4"/>
        <v>1189.4537181999999</v>
      </c>
      <c r="Y37" s="272">
        <f t="shared" si="5"/>
        <v>1189.4537181999999</v>
      </c>
      <c r="Z37" s="274">
        <f>'Tariffs July2016'!AW31</f>
        <v>0</v>
      </c>
      <c r="AA37" s="274" t="str">
        <f>'Tariffs July2016'!AX31</f>
        <v>n</v>
      </c>
      <c r="AB37" s="275" t="str">
        <f>'Tariffs July2016'!BD31</f>
        <v>Y</v>
      </c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</row>
    <row r="38" spans="1:40" x14ac:dyDescent="0.15">
      <c r="A38" s="270" t="str">
        <f>'Tariffs July2016'!F32</f>
        <v>Origin Energy</v>
      </c>
      <c r="B38" s="40" t="str">
        <f>'Tariffs July2016'!D32</f>
        <v>Envestra North</v>
      </c>
      <c r="C38" s="40" t="str">
        <f>'Tariffs July2016'!G32</f>
        <v>Saver</v>
      </c>
      <c r="D38" s="59">
        <f>365*'Tariffs July2016'!H32/100</f>
        <v>234.40299999999999</v>
      </c>
      <c r="E38" s="59">
        <f>IF($C$5*'Tariffs July2016'!AK32/'Tariffs July2016'!AI32&gt;='Tariffs July2016'!J32,( 'Tariffs July2016'!J32*'Tariffs July2016'!O32/100)* 'Tariffs July2016'!AI32,($C$5*'Tariffs July2016'!AK32/'Tariffs July2016'!AI32*'Tariffs July2016'!O32/100)* 'Tariffs July2016'!AI32)</f>
        <v>153.19999999999999</v>
      </c>
      <c r="F38" s="59">
        <f>IF($C$5*'Tariffs July2016'!AK32/'Tariffs July2016'!AI32&lt;'Tariffs July2016'!J32,0,IF($C$5*'Tariffs July2016'!AK32/'Tariffs July2016'!AI32&lt;='Tariffs July2016'!K32,($C$5*'Tariffs July2016'!AK32/'Tariffs July2016'!AI32-'Tariffs July2016'!J32)*('Tariffs July2016'!P32/100)*'Tariffs July2016'!AI32,('Tariffs July2016'!K32-'Tariffs July2016'!J32)*('Tariffs July2016'!P32/100)*'Tariffs July2016'!AI32))</f>
        <v>239.29133899999994</v>
      </c>
      <c r="G38" s="59">
        <f>IF($C$5*'Tariffs July2016'!AK32/'Tariffs July2016'!AI32&lt;'Tariffs July2016'!K32,0,IF($C$5*'Tariffs July2016'!AK32/'Tariffs July2016'!AI32&lt;='Tariffs July2016'!L32,($C$5*'Tariffs July2016'!AK32/'Tariffs July2016'!AI32-'Tariffs July2016'!K32)*('Tariffs July2016'!Q32/100)*'Tariffs July2016'!AI32,('Tariffs July2016'!L32-'Tariffs July2016'!K32)*('Tariffs July2016'!Q32/100)*'Tariffs July2016'!AI32))</f>
        <v>0</v>
      </c>
      <c r="H38" s="59">
        <f>IF($C$5*'Tariffs July2016'!AK32/'Tariffs July2016'!AI32&lt;'Tariffs July2016'!L32,0,IF($C$5*'Tariffs July2016'!AK32/'Tariffs July2016'!AI32&lt;='Tariffs July2016'!M32,($C$5*'Tariffs July2016'!AK32/'Tariffs July2016'!AI32-'Tariffs July2016'!L32)*('Tariffs July2016'!R32/100)*'Tariffs July2016'!AI32,('Tariffs July2016'!M32-'Tariffs July2016'!L32)*('Tariffs July2016'!R32/100)*'Tariffs July2016'!AI32))</f>
        <v>0</v>
      </c>
      <c r="I38" s="59">
        <f>IF(($C$5*'Tariffs July2016'!AK32/'Tariffs July2016'!AI32&gt;'Tariffs July2016'!M32),($C$5*'Tariffs July2016'!AK32/'Tariffs July2016'!AI32-'Tariffs July2016'!M32)*'Tariffs July2016'!S32/100*'Tariffs July2016'!AI32,0)</f>
        <v>0</v>
      </c>
      <c r="J38" s="59">
        <f>IF($C$5*'Tariffs July2016'!AL32/'Tariffs July2016'!AJ32&gt;='Tariffs July2016'!J32,('Tariffs July2016'!J32*'Tariffs July2016'!U32/100)* 'Tariffs July2016'!AJ32,($C$5*'Tariffs July2016'!AL32/'Tariffs July2016'!AJ32*'Tariffs July2016'!U32/100)* 'Tariffs July2016'!AJ32)</f>
        <v>306.39999999999998</v>
      </c>
      <c r="K38" s="59">
        <f>IF($C$5*'Tariffs July2016'!AL32/'Tariffs July2016'!AJ32&lt;'Tariffs July2016'!J32,0,IF($C$5*'Tariffs July2016'!AL32/'Tariffs July2016'!AJ32&lt;='Tariffs July2016'!K32,($C$5*'Tariffs July2016'!AL32/'Tariffs July2016'!AJ32-'Tariffs July2016'!J32)*('Tariffs July2016'!V32/100)*'Tariffs July2016'!AJ32,('Tariffs July2016'!K32-'Tariffs July2016'!J32)*('Tariffs July2016'!V32/100)*'Tariffs July2016'!AJ32))</f>
        <v>478.58267799999987</v>
      </c>
      <c r="L38" s="59">
        <f>IF($C$5*'Tariffs July2016'!AL32/'Tariffs July2016'!AJ32&lt;'Tariffs July2016'!K32,0,IF($C$5*'Tariffs July2016'!AL32/'Tariffs July2016'!AJ32&lt;='Tariffs July2016'!L32,($C$5*'Tariffs July2016'!AL32/'Tariffs July2016'!AJ32-'Tariffs July2016'!K32)*('Tariffs July2016'!W32/100)*'Tariffs July2016'!AJ32,('Tariffs July2016'!L32-'Tariffs July2016'!K32)*('Tariffs July2016'!W32/100)*'Tariffs July2016'!AJ32))</f>
        <v>0</v>
      </c>
      <c r="M38" s="59">
        <f>IF($C$5*'Tariffs July2016'!AL32/'Tariffs July2016'!AJ32&lt;'Tariffs July2016'!L32,0,IF($C$5*'Tariffs July2016'!AL32/'Tariffs July2016'!AJ32&lt;='Tariffs July2016'!M32,($C$5*'Tariffs July2016'!AL32/'Tariffs July2016'!AJ32-'Tariffs July2016'!L32)*('Tariffs July2016'!X32/100)*'Tariffs July2016'!AJ32,('Tariffs July2016'!M32-'Tariffs July2016'!L32)*('Tariffs July2016'!X32/100)*'Tariffs July2016'!AJ32))</f>
        <v>0</v>
      </c>
      <c r="N38" s="59">
        <f>IF(($C$5*'Tariffs July2016'!AL32/'Tariffs July2016'!AJ32&gt;'Tariffs July2016'!M32),($C$5*'Tariffs July2016'!AL32/'Tariffs July2016'!AJ32-'Tariffs July2016'!M32)*'Tariffs July2016'!Y32/100*'Tariffs July2016'!AJ32,0)</f>
        <v>0</v>
      </c>
      <c r="O38" s="271">
        <f t="shared" si="0"/>
        <v>1177.4740169999998</v>
      </c>
      <c r="P38" s="59">
        <f t="shared" si="1"/>
        <v>1411.8770169999998</v>
      </c>
      <c r="Q38" s="272">
        <f t="shared" si="2"/>
        <v>1553.0647187</v>
      </c>
      <c r="R38" s="40">
        <f>'Tariffs July2016'!AM32</f>
        <v>0</v>
      </c>
      <c r="S38" s="40">
        <f>'Tariffs July2016'!AN32</f>
        <v>0</v>
      </c>
      <c r="T38" s="40">
        <f>'Tariffs July2016'!AO32</f>
        <v>0</v>
      </c>
      <c r="U38" s="40">
        <f>'Tariffs July2016'!AP32</f>
        <v>13</v>
      </c>
      <c r="V38" s="273">
        <f t="shared" si="3"/>
        <v>1411.8770169999998</v>
      </c>
      <c r="W38" s="273">
        <f>V38-(O38*U38/100)</f>
        <v>1258.8053947899998</v>
      </c>
      <c r="X38" s="272">
        <f t="shared" si="4"/>
        <v>1553.0647187</v>
      </c>
      <c r="Y38" s="272">
        <f t="shared" si="5"/>
        <v>1384.685934269</v>
      </c>
      <c r="Z38" s="274">
        <f>'Tariffs July2016'!AW32</f>
        <v>0</v>
      </c>
      <c r="AA38" s="274" t="str">
        <f>'Tariffs July2016'!AX32</f>
        <v>n</v>
      </c>
      <c r="AB38" s="275" t="str">
        <f>'Tariffs July2016'!BD32</f>
        <v>N</v>
      </c>
      <c r="AC38" s="260"/>
      <c r="AD38" s="260"/>
      <c r="AE38" s="260"/>
      <c r="AF38" s="260"/>
      <c r="AG38" s="260"/>
      <c r="AH38" s="260"/>
      <c r="AI38" s="260"/>
      <c r="AJ38" s="260"/>
      <c r="AK38" s="260"/>
      <c r="AL38" s="260"/>
      <c r="AM38" s="260"/>
      <c r="AN38" s="260"/>
    </row>
    <row r="39" spans="1:40" x14ac:dyDescent="0.15">
      <c r="A39" s="270" t="str">
        <f>'Tariffs July2016'!F33</f>
        <v>Red Energy</v>
      </c>
      <c r="B39" s="40" t="str">
        <f>'Tariffs July2016'!D33</f>
        <v>Envestra North</v>
      </c>
      <c r="C39" s="40" t="str">
        <f>'Tariffs July2016'!G33</f>
        <v>Living Energy Saver</v>
      </c>
      <c r="D39" s="59">
        <f>365*'Tariffs July2016'!H33/100</f>
        <v>248.2</v>
      </c>
      <c r="E39" s="59">
        <f>IF($C$5*'Tariffs July2016'!AK33/'Tariffs July2016'!AI33&gt;='Tariffs July2016'!J33,( 'Tariffs July2016'!J33*'Tariffs July2016'!O33/100)* 'Tariffs July2016'!AI33,($C$5*'Tariffs July2016'!AK33/'Tariffs July2016'!AI33*'Tariffs July2016'!O33/100)* 'Tariffs July2016'!AI33)</f>
        <v>110.16</v>
      </c>
      <c r="F39" s="59">
        <f>IF($C$5*'Tariffs July2016'!AK33/'Tariffs July2016'!AI33&lt;'Tariffs July2016'!J33,0,IF($C$5*'Tariffs July2016'!AK33/'Tariffs July2016'!AI33&lt;='Tariffs July2016'!K33,($C$5*'Tariffs July2016'!AK33/'Tariffs July2016'!AI33-'Tariffs July2016'!J33)*('Tariffs July2016'!S33/100)*'Tariffs July2016'!AI33,('Tariffs July2016'!K33-'Tariffs July2016'!J33)*('Tariffs July2016'!S33/100)*'Tariffs July2016'!AI33))</f>
        <v>0</v>
      </c>
      <c r="G39" s="59">
        <f>IF($C$5*'Tariffs July2016'!AK33/'Tariffs July2016'!AI33&lt;'Tariffs July2016'!K33,0,IF($C$5*'Tariffs July2016'!AK33/'Tariffs July2016'!AI33&lt;='Tariffs July2016'!L33,($C$5*'Tariffs July2016'!AK33/'Tariffs July2016'!AI33-'Tariffs July2016'!K33)*('Tariffs July2016'!Q33/100)*'Tariffs July2016'!AI33,('Tariffs July2016'!L33-'Tariffs July2016'!K33)*('Tariffs July2016'!Q33/100)*'Tariffs July2016'!AI33))</f>
        <v>0</v>
      </c>
      <c r="H39" s="59">
        <f>IF($C$5*'Tariffs July2016'!AK33/'Tariffs July2016'!AI33&lt;'Tariffs July2016'!L33,0,IF($C$5*'Tariffs July2016'!AK33/'Tariffs July2016'!AI33&lt;='Tariffs July2016'!M33,($C$5*'Tariffs July2016'!AK33/'Tariffs July2016'!AI33-'Tariffs July2016'!L33)*('Tariffs July2016'!R33/100)*'Tariffs July2016'!AI33,('Tariffs July2016'!M33-'Tariffs July2016'!L33)*('Tariffs July2016'!R33/100)*'Tariffs July2016'!AI33))</f>
        <v>0</v>
      </c>
      <c r="I39" s="59">
        <f>IF(($C$5*'Tariffs July2016'!AK33/'Tariffs July2016'!AI33&gt;'Tariffs July2016'!M33),($C$5*'Tariffs July2016'!AK33/'Tariffs July2016'!AI33-'Tariffs July2016'!M33)*'Tariffs July2016'!S33/100*'Tariffs July2016'!AI33,0)</f>
        <v>203.671482</v>
      </c>
      <c r="J39" s="59">
        <f>IF($C$5*'Tariffs July2016'!AL33/'Tariffs July2016'!AJ33&gt;='Tariffs July2016'!J33,('Tariffs July2016'!J33*'Tariffs July2016'!U33/100)* 'Tariffs July2016'!AJ33,($C$5*'Tariffs July2016'!AL33/'Tariffs July2016'!AJ33*'Tariffs July2016'!U33/100)* 'Tariffs July2016'!AJ33)</f>
        <v>220.32</v>
      </c>
      <c r="K39" s="59">
        <f>IF($C$5*'Tariffs July2016'!AL33/'Tariffs July2016'!AJ33&lt;'Tariffs July2016'!J33,0,IF($C$5*'Tariffs July2016'!AL33/'Tariffs July2016'!AJ33&lt;='Tariffs July2016'!K33,($C$5*'Tariffs July2016'!AL33/'Tariffs July2016'!AJ33-'Tariffs July2016'!J33)*('Tariffs July2016'!V33/100)*'Tariffs July2016'!AJ33,('Tariffs July2016'!K33-'Tariffs July2016'!J33)*('Tariffs July2016'!V33/100)*'Tariffs July2016'!AJ33))</f>
        <v>0</v>
      </c>
      <c r="L39" s="59">
        <f>IF($C$5*'Tariffs July2016'!AL33/'Tariffs July2016'!AJ33&lt;'Tariffs July2016'!K33,0,IF($C$5*'Tariffs July2016'!AL33/'Tariffs July2016'!AJ33&lt;='Tariffs July2016'!L33,($C$5*'Tariffs July2016'!AL33/'Tariffs July2016'!AJ33-'Tariffs July2016'!K33)*('Tariffs July2016'!W33/100)*'Tariffs July2016'!AJ33,('Tariffs July2016'!L33-'Tariffs July2016'!K33)*('Tariffs July2016'!W33/100)*'Tariffs July2016'!AJ33))</f>
        <v>0</v>
      </c>
      <c r="M39" s="59">
        <f>IF($C$5*'Tariffs July2016'!AL33/'Tariffs July2016'!AJ33&lt;'Tariffs July2016'!L33,0,IF($C$5*'Tariffs July2016'!AL33/'Tariffs July2016'!AJ33&lt;='Tariffs July2016'!M33,($C$5*'Tariffs July2016'!AL33/'Tariffs July2016'!AJ33-'Tariffs July2016'!L33)*('Tariffs July2016'!X33/100)*'Tariffs July2016'!AJ33,('Tariffs July2016'!M33-'Tariffs July2016'!L33)*('Tariffs July2016'!X33/100)*'Tariffs July2016'!AJ33))</f>
        <v>0</v>
      </c>
      <c r="N39" s="59">
        <f>IF(($C$5*'Tariffs July2016'!AL33/'Tariffs July2016'!AJ33&gt;'Tariffs July2016'!M33),($C$5*'Tariffs July2016'!AL33/'Tariffs July2016'!AJ33-'Tariffs July2016'!M33)*'Tariffs July2016'!Y33/100*'Tariffs July2016'!AJ33,0)</f>
        <v>407.34296399999999</v>
      </c>
      <c r="O39" s="271">
        <f t="shared" si="0"/>
        <v>941.49444599999993</v>
      </c>
      <c r="P39" s="59">
        <f t="shared" si="1"/>
        <v>1189.694446</v>
      </c>
      <c r="Q39" s="272">
        <f t="shared" si="2"/>
        <v>1308.6638906000001</v>
      </c>
      <c r="R39" s="40">
        <f>'Tariffs July2016'!AM33</f>
        <v>0</v>
      </c>
      <c r="S39" s="40">
        <f>'Tariffs July2016'!AN33</f>
        <v>0</v>
      </c>
      <c r="T39" s="40">
        <f>'Tariffs July2016'!AO33</f>
        <v>10</v>
      </c>
      <c r="U39" s="40">
        <f>'Tariffs July2016'!AP33</f>
        <v>0</v>
      </c>
      <c r="V39" s="273">
        <f t="shared" si="3"/>
        <v>1189.694446</v>
      </c>
      <c r="W39" s="273">
        <f>V39-(P39*T39/100)</f>
        <v>1070.7250013999999</v>
      </c>
      <c r="X39" s="272">
        <f t="shared" si="4"/>
        <v>1308.6638906000001</v>
      </c>
      <c r="Y39" s="272">
        <f t="shared" si="5"/>
        <v>1177.79750154</v>
      </c>
      <c r="Z39" s="274">
        <f>'Tariffs July2016'!AW33</f>
        <v>0</v>
      </c>
      <c r="AA39" s="274" t="str">
        <f>'Tariffs July2016'!AX33</f>
        <v>n</v>
      </c>
      <c r="AB39" s="275" t="str">
        <f>'Tariffs July2016'!BD33</f>
        <v>Y</v>
      </c>
      <c r="AC39" s="260"/>
      <c r="AD39" s="260"/>
      <c r="AE39" s="260"/>
      <c r="AF39" s="260"/>
      <c r="AG39" s="260"/>
      <c r="AH39" s="260"/>
      <c r="AI39" s="260"/>
      <c r="AJ39" s="260"/>
      <c r="AK39" s="260"/>
      <c r="AL39" s="260"/>
      <c r="AM39" s="260"/>
      <c r="AN39" s="260"/>
    </row>
    <row r="40" spans="1:40" ht="14" thickBot="1" x14ac:dyDescent="0.2">
      <c r="A40" s="276" t="str">
        <f>'Tariffs July2016'!F34</f>
        <v>Simply Energy</v>
      </c>
      <c r="B40" s="277" t="str">
        <f>'Tariffs July2016'!D34</f>
        <v>Envestra North</v>
      </c>
      <c r="C40" s="277" t="str">
        <f>'Tariffs July2016'!G34</f>
        <v>Plus</v>
      </c>
      <c r="D40" s="278">
        <f>365*'Tariffs July2016'!H34/100</f>
        <v>208.12300000000002</v>
      </c>
      <c r="E40" s="278">
        <f>IF($C$5*'Tariffs July2016'!AK34/'Tariffs July2016'!AI34&gt;='Tariffs July2016'!J34,( 'Tariffs July2016'!J34*'Tariffs July2016'!O34/100)* 'Tariffs July2016'!AI34,($C$5*'Tariffs July2016'!AK34/'Tariffs July2016'!AI34*'Tariffs July2016'!O34/100)* 'Tariffs July2016'!AI34)</f>
        <v>72.709000000000003</v>
      </c>
      <c r="F40" s="278">
        <f>IF($C$5*'Tariffs July2016'!AK34/'Tariffs July2016'!AI34&lt;'Tariffs July2016'!J34,0,IF($C$5*'Tariffs July2016'!AK34/'Tariffs July2016'!AI34&lt;='Tariffs July2016'!K34,($C$5*'Tariffs July2016'!AK34/'Tariffs July2016'!AI34-'Tariffs July2016'!J34)*('Tariffs July2016'!P34/100)*'Tariffs July2016'!AI34,('Tariffs July2016'!K34-'Tariffs July2016'!J34)*('Tariffs July2016'!P34/100)*'Tariffs July2016'!AI34))</f>
        <v>51.219000000000001</v>
      </c>
      <c r="G40" s="278">
        <f>IF($C$5*'Tariffs July2016'!AK34/'Tariffs July2016'!AI34&lt;'Tariffs July2016'!K34,0,IF($C$5*'Tariffs July2016'!AK34/'Tariffs July2016'!AI34&lt;='Tariffs July2016'!L34,($C$5*'Tariffs July2016'!AK34/'Tariffs July2016'!AI34-'Tariffs July2016'!K34)*('Tariffs July2016'!Q34/100)*'Tariffs July2016'!AI34,('Tariffs July2016'!L34-'Tariffs July2016'!K34)*('Tariffs July2016'!Q34/100)*'Tariffs July2016'!AI34))</f>
        <v>0</v>
      </c>
      <c r="H40" s="278">
        <f>IF($C$5*'Tariffs July2016'!AK34/'Tariffs July2016'!AI34&lt;'Tariffs July2016'!L34,0,IF($C$5*'Tariffs July2016'!AK34/'Tariffs July2016'!AI34&lt;='Tariffs July2016'!M34,($C$5*'Tariffs July2016'!AK34/'Tariffs July2016'!AI34-'Tariffs July2016'!L34)*('Tariffs July2016'!R34/100)*'Tariffs July2016'!AI34,('Tariffs July2016'!M34-'Tariffs July2016'!L34)*('Tariffs July2016'!R34/100)*'Tariffs July2016'!AI34))</f>
        <v>0</v>
      </c>
      <c r="I40" s="278">
        <f>IF(($C$5*'Tariffs July2016'!AK34/'Tariffs July2016'!AI34&gt;'Tariffs July2016'!M34),($C$5*'Tariffs July2016'!AK34/'Tariffs July2016'!AI34-'Tariffs July2016'!M34)*'Tariffs July2016'!S34/100*'Tariffs July2016'!AI34,0)</f>
        <v>242.96597999999997</v>
      </c>
      <c r="J40" s="278">
        <f>IF($C$5*'Tariffs July2016'!AL34/'Tariffs July2016'!AJ34&gt;='Tariffs July2016'!J34,('Tariffs July2016'!J34*'Tariffs July2016'!U34/100)* 'Tariffs July2016'!AJ34,($C$5*'Tariffs July2016'!AL34/'Tariffs July2016'!AJ34*'Tariffs July2016'!U34/100)* 'Tariffs July2016'!AJ34)</f>
        <v>145.41800000000001</v>
      </c>
      <c r="K40" s="278">
        <f>IF($C$5*'Tariffs July2016'!AL34/'Tariffs July2016'!AJ34&lt;'Tariffs July2016'!J34,0,IF($C$5*'Tariffs July2016'!AL34/'Tariffs July2016'!AJ34&lt;='Tariffs July2016'!K34,($C$5*'Tariffs July2016'!AL34/'Tariffs July2016'!AJ34-'Tariffs July2016'!J34)*('Tariffs July2016'!V34/100)*'Tariffs July2016'!AJ34,('Tariffs July2016'!K34-'Tariffs July2016'!J34)*('Tariffs July2016'!V34/100)*'Tariffs July2016'!AJ34))</f>
        <v>102.438</v>
      </c>
      <c r="L40" s="278">
        <f>IF($C$5*'Tariffs July2016'!AL34/'Tariffs July2016'!AJ34&lt;'Tariffs July2016'!K34,0,IF($C$5*'Tariffs July2016'!AL34/'Tariffs July2016'!AJ34&lt;='Tariffs July2016'!L34,($C$5*'Tariffs July2016'!AL34/'Tariffs July2016'!AJ34-'Tariffs July2016'!K34)*('Tariffs July2016'!W34/100)*'Tariffs July2016'!AJ34,('Tariffs July2016'!L34-'Tariffs July2016'!K34)*('Tariffs July2016'!W34/100)*'Tariffs July2016'!AJ34))</f>
        <v>0</v>
      </c>
      <c r="M40" s="278">
        <f>IF($C$5*'Tariffs July2016'!AL34/'Tariffs July2016'!AJ34&lt;'Tariffs July2016'!L34,0,IF($C$5*'Tariffs July2016'!AL34/'Tariffs July2016'!AJ34&lt;='Tariffs July2016'!M34,($C$5*'Tariffs July2016'!AL34/'Tariffs July2016'!AJ34-'Tariffs July2016'!L34)*('Tariffs July2016'!X34/100)*'Tariffs July2016'!AJ34,('Tariffs July2016'!M34-'Tariffs July2016'!L34)*('Tariffs July2016'!X34/100)*'Tariffs July2016'!AJ34))</f>
        <v>0</v>
      </c>
      <c r="N40" s="278">
        <f>IF(($C$5*'Tariffs July2016'!AL34/'Tariffs July2016'!AJ34&gt;'Tariffs July2016'!M34),($C$5*'Tariffs July2016'!AL34/'Tariffs July2016'!AJ34-'Tariffs July2016'!M34)*'Tariffs July2016'!Y34/100*'Tariffs July2016'!AJ34,0)</f>
        <v>485.93195999999995</v>
      </c>
      <c r="O40" s="279">
        <f t="shared" si="0"/>
        <v>1100.6819399999999</v>
      </c>
      <c r="P40" s="278">
        <f t="shared" si="1"/>
        <v>1308.80494</v>
      </c>
      <c r="Q40" s="280">
        <f t="shared" si="2"/>
        <v>1439.6854340000002</v>
      </c>
      <c r="R40" s="277">
        <f>'Tariffs July2016'!AM34</f>
        <v>0</v>
      </c>
      <c r="S40" s="277">
        <f>'Tariffs July2016'!AN34</f>
        <v>15</v>
      </c>
      <c r="T40" s="277">
        <f>'Tariffs July2016'!AO34</f>
        <v>0</v>
      </c>
      <c r="U40" s="277">
        <f>'Tariffs July2016'!AP34</f>
        <v>5</v>
      </c>
      <c r="V40" s="281">
        <f>P40-(O40*S40/100)</f>
        <v>1143.7026490000001</v>
      </c>
      <c r="W40" s="281">
        <f>V40-(O40*U40/100)</f>
        <v>1088.6685520000001</v>
      </c>
      <c r="X40" s="280">
        <f t="shared" si="4"/>
        <v>1258.0729139000002</v>
      </c>
      <c r="Y40" s="280">
        <f t="shared" si="5"/>
        <v>1197.5354072000002</v>
      </c>
      <c r="Z40" s="282">
        <f>'Tariffs July2016'!AW34</f>
        <v>24</v>
      </c>
      <c r="AA40" s="282" t="str">
        <f>'Tariffs July2016'!AX34</f>
        <v>n</v>
      </c>
      <c r="AB40" s="283" t="str">
        <f>'Tariffs July2016'!BD34</f>
        <v>Y</v>
      </c>
      <c r="AC40" s="260"/>
      <c r="AD40" s="260"/>
      <c r="AE40" s="260"/>
      <c r="AF40" s="260"/>
      <c r="AG40" s="260"/>
      <c r="AH40" s="260"/>
      <c r="AI40" s="260"/>
      <c r="AJ40" s="260"/>
      <c r="AK40" s="260"/>
      <c r="AL40" s="260"/>
      <c r="AM40" s="260"/>
      <c r="AN40" s="260"/>
    </row>
    <row r="41" spans="1:40" x14ac:dyDescent="0.15">
      <c r="A41" s="270" t="str">
        <f>'Tariffs July2016'!F35</f>
        <v>AGL</v>
      </c>
      <c r="B41" s="40" t="str">
        <f>'Tariffs July2016'!D35</f>
        <v>Envestra Central 2</v>
      </c>
      <c r="C41" s="40" t="str">
        <f>'Tariffs July2016'!G35</f>
        <v>Savers</v>
      </c>
      <c r="D41" s="59">
        <f>365*'Tariffs July2016'!H35/100</f>
        <v>240.17</v>
      </c>
      <c r="E41" s="59">
        <f>IF($C$5*'Tariffs July2016'!AK35/'Tariffs July2016'!AI35&gt;='Tariffs July2016'!J35,( 'Tariffs July2016'!J35*'Tariffs July2016'!O35/100)* 'Tariffs July2016'!AI35,($C$5*'Tariffs July2016'!AK35/'Tariffs July2016'!AI35*'Tariffs July2016'!O35/100)* 'Tariffs July2016'!AI35)</f>
        <v>72.741900000000001</v>
      </c>
      <c r="F41" s="59">
        <f>IF($C$5*'Tariffs July2016'!AK35/'Tariffs July2016'!AI35&lt;'Tariffs July2016'!J35,0,IF($C$5*'Tariffs July2016'!AK35/'Tariffs July2016'!AI35&lt;='Tariffs July2016'!K35,($C$5*'Tariffs July2016'!AK35/'Tariffs July2016'!AI35-'Tariffs July2016'!J35)*('Tariffs July2016'!P35/100)*'Tariffs July2016'!AI35,('Tariffs July2016'!K35-'Tariffs July2016'!J35)*('Tariffs July2016'!P35/100)*'Tariffs July2016'!AI35))</f>
        <v>57.235199999999999</v>
      </c>
      <c r="G41" s="59">
        <f>IF($C$5*'Tariffs July2016'!AK35/'Tariffs July2016'!AI35&lt;'Tariffs July2016'!K35,0,IF($C$5*'Tariffs July2016'!AK35/'Tariffs July2016'!AI35&lt;='Tariffs July2016'!L35,($C$5*'Tariffs July2016'!AK35/'Tariffs July2016'!AI35-'Tariffs July2016'!K35)*('Tariffs July2016'!Q35/100)*'Tariffs July2016'!AI35,('Tariffs July2016'!L35-'Tariffs July2016'!K35)*('Tariffs July2016'!Q35/100)*'Tariffs July2016'!AI35))</f>
        <v>0</v>
      </c>
      <c r="H41" s="59">
        <f>IF($C$5*'Tariffs July2016'!AK35/'Tariffs July2016'!AI35&lt;'Tariffs July2016'!L35,0,IF($C$5*'Tariffs July2016'!AK35/'Tariffs July2016'!AI35&lt;='Tariffs July2016'!M35,($C$5*'Tariffs July2016'!AK35/'Tariffs July2016'!AI35-'Tariffs July2016'!L35)*('Tariffs July2016'!R35/100)*'Tariffs July2016'!AI35,('Tariffs July2016'!M35-'Tariffs July2016'!L35)*('Tariffs July2016'!R35/100)*'Tariffs July2016'!AI35))</f>
        <v>0</v>
      </c>
      <c r="I41" s="59">
        <f>IF(($C$5*'Tariffs July2016'!AK35/'Tariffs July2016'!AI35&gt;'Tariffs July2016'!M35),($C$5*'Tariffs July2016'!AK35/'Tariffs July2016'!AI35-'Tariffs July2016'!M35)*'Tariffs July2016'!S35/100*'Tariffs July2016'!AI35,0)</f>
        <v>214.31999099999996</v>
      </c>
      <c r="J41" s="59">
        <f>IF($C$5*'Tariffs July2016'!AL35/'Tariffs July2016'!AJ35&gt;='Tariffs July2016'!J35,('Tariffs July2016'!J35*'Tariffs July2016'!U35/100)* 'Tariffs July2016'!AJ35,($C$5*'Tariffs July2016'!AL35/'Tariffs July2016'!AJ35*'Tariffs July2016'!U35/100)* 'Tariffs July2016'!AJ35)</f>
        <v>145.4838</v>
      </c>
      <c r="K41" s="59">
        <f>IF($C$5*'Tariffs July2016'!AL35/'Tariffs July2016'!AJ35&lt;'Tariffs July2016'!J35,0,IF($C$5*'Tariffs July2016'!AL35/'Tariffs July2016'!AJ35&lt;='Tariffs July2016'!K35,($C$5*'Tariffs July2016'!AL35/'Tariffs July2016'!AJ35-'Tariffs July2016'!J35)*('Tariffs July2016'!V35/100)*'Tariffs July2016'!AJ35,('Tariffs July2016'!K35-'Tariffs July2016'!J35)*('Tariffs July2016'!V35/100)*'Tariffs July2016'!AJ35))</f>
        <v>114.4704</v>
      </c>
      <c r="L41" s="59">
        <f>IF($C$5*'Tariffs July2016'!AL35/'Tariffs July2016'!AJ35&lt;'Tariffs July2016'!K35,0,IF($C$5*'Tariffs July2016'!AL35/'Tariffs July2016'!AJ35&lt;='Tariffs July2016'!L35,($C$5*'Tariffs July2016'!AL35/'Tariffs July2016'!AJ35-'Tariffs July2016'!K35)*('Tariffs July2016'!W35/100)*'Tariffs July2016'!AJ35,('Tariffs July2016'!L35-'Tariffs July2016'!K35)*('Tariffs July2016'!W35/100)*'Tariffs July2016'!AJ35))</f>
        <v>0</v>
      </c>
      <c r="M41" s="59">
        <f>IF($C$5*'Tariffs July2016'!AL35/'Tariffs July2016'!AJ35&lt;'Tariffs July2016'!L35,0,IF($C$5*'Tariffs July2016'!AL35/'Tariffs July2016'!AJ35&lt;='Tariffs July2016'!M35,($C$5*'Tariffs July2016'!AL35/'Tariffs July2016'!AJ35-'Tariffs July2016'!L35)*('Tariffs July2016'!X35/100)*'Tariffs July2016'!AJ35,('Tariffs July2016'!M35-'Tariffs July2016'!L35)*('Tariffs July2016'!X35/100)*'Tariffs July2016'!AJ35))</f>
        <v>0</v>
      </c>
      <c r="N41" s="59">
        <f>IF(($C$5*'Tariffs July2016'!AL35/'Tariffs July2016'!AJ35&gt;'Tariffs July2016'!M35),($C$5*'Tariffs July2016'!AL35/'Tariffs July2016'!AJ35-'Tariffs July2016'!M35)*'Tariffs July2016'!Y35/100*'Tariffs July2016'!AJ35,0)</f>
        <v>428.63998199999992</v>
      </c>
      <c r="O41" s="271">
        <f t="shared" si="0"/>
        <v>1032.891273</v>
      </c>
      <c r="P41" s="59">
        <f t="shared" si="1"/>
        <v>1273.061273</v>
      </c>
      <c r="Q41" s="272">
        <f t="shared" si="2"/>
        <v>1400.3674003000001</v>
      </c>
      <c r="R41" s="40">
        <f>'Tariffs July2016'!AM35</f>
        <v>0</v>
      </c>
      <c r="S41" s="40">
        <f>'Tariffs July2016'!AN35</f>
        <v>0</v>
      </c>
      <c r="T41" s="40">
        <f>'Tariffs July2016'!AO35</f>
        <v>0</v>
      </c>
      <c r="U41" s="40">
        <f>'Tariffs July2016'!AP35</f>
        <v>13</v>
      </c>
      <c r="V41" s="273">
        <f t="shared" si="3"/>
        <v>1273.061273</v>
      </c>
      <c r="W41" s="273">
        <f>V41-(O41*U41/100)</f>
        <v>1138.7854075099999</v>
      </c>
      <c r="X41" s="272">
        <f t="shared" si="4"/>
        <v>1400.3674003000001</v>
      </c>
      <c r="Y41" s="272">
        <f t="shared" si="5"/>
        <v>1252.6639482610001</v>
      </c>
      <c r="Z41" s="274">
        <f>'Tariffs July2016'!AW35</f>
        <v>0</v>
      </c>
      <c r="AA41" s="274" t="str">
        <f>'Tariffs July2016'!AX35</f>
        <v>n</v>
      </c>
      <c r="AB41" s="275" t="str">
        <f>'Tariffs July2016'!BD35</f>
        <v>N</v>
      </c>
      <c r="AC41" s="260"/>
      <c r="AD41" s="260"/>
      <c r="AE41" s="260"/>
      <c r="AF41" s="260"/>
      <c r="AG41" s="260"/>
      <c r="AH41" s="260"/>
      <c r="AI41" s="260"/>
      <c r="AJ41" s="260"/>
      <c r="AK41" s="260"/>
      <c r="AL41" s="260"/>
      <c r="AM41" s="260"/>
      <c r="AN41" s="260"/>
    </row>
    <row r="42" spans="1:40" x14ac:dyDescent="0.15">
      <c r="A42" s="270" t="str">
        <f>'Tariffs July2016'!F36</f>
        <v>Alinta Energy</v>
      </c>
      <c r="B42" s="40" t="str">
        <f>'Tariffs July2016'!D36</f>
        <v>Envestra Central 2</v>
      </c>
      <c r="C42" s="40" t="str">
        <f>'Tariffs July2016'!G36</f>
        <v>Fair Deal</v>
      </c>
      <c r="D42" s="59">
        <f>365*'Tariffs July2016'!H36/100</f>
        <v>232.90650000000002</v>
      </c>
      <c r="E42" s="59">
        <f>IF($C$5*'Tariffs July2016'!AK36/'Tariffs July2016'!AI36&gt;='Tariffs July2016'!J36,( 'Tariffs July2016'!J36*'Tariffs July2016'!O36/100)* 'Tariffs July2016'!AI36,($C$5*'Tariffs July2016'!AK36/'Tariffs July2016'!AI36*'Tariffs July2016'!O36/100)* 'Tariffs July2016'!AI36)</f>
        <v>63.497</v>
      </c>
      <c r="F42" s="59">
        <f>IF($C$5*'Tariffs July2016'!AK36/'Tariffs July2016'!AI36&lt;'Tariffs July2016'!J36,0,IF($C$5*'Tariffs July2016'!AK36/'Tariffs July2016'!AI36&lt;='Tariffs July2016'!K36,($C$5*'Tariffs July2016'!AK36/'Tariffs July2016'!AI36-'Tariffs July2016'!J36)*('Tariffs July2016'!P36/100)*'Tariffs July2016'!AI36,('Tariffs July2016'!K36-'Tariffs July2016'!J36)*('Tariffs July2016'!P36/100)*'Tariffs July2016'!AI36))</f>
        <v>52.302999999999997</v>
      </c>
      <c r="G42" s="59">
        <f>IF($C$5*'Tariffs July2016'!AK36/'Tariffs July2016'!AI36&lt;'Tariffs July2016'!K36,0,IF($C$5*'Tariffs July2016'!AK36/'Tariffs July2016'!AI36&lt;='Tariffs July2016'!L36,($C$5*'Tariffs July2016'!AK36/'Tariffs July2016'!AI36-'Tariffs July2016'!K36)*('Tariffs July2016'!Q36/100)*'Tariffs July2016'!AI36,('Tariffs July2016'!L36-'Tariffs July2016'!K36)*('Tariffs July2016'!Q36/100)*'Tariffs July2016'!AI36))</f>
        <v>0</v>
      </c>
      <c r="H42" s="59">
        <f>IF($C$5*'Tariffs July2016'!AK36/'Tariffs July2016'!AI36&lt;'Tariffs July2016'!L36,0,IF($C$5*'Tariffs July2016'!AK36/'Tariffs July2016'!AI36&lt;='Tariffs July2016'!M36,($C$5*'Tariffs July2016'!AK36/'Tariffs July2016'!AI36-'Tariffs July2016'!L36)*('Tariffs July2016'!R36/100)*'Tariffs July2016'!AI36,('Tariffs July2016'!M36-'Tariffs July2016'!L36)*('Tariffs July2016'!R36/100)*'Tariffs July2016'!AI36))</f>
        <v>0</v>
      </c>
      <c r="I42" s="59">
        <f>IF(($C$5*'Tariffs July2016'!AK36/'Tariffs July2016'!AI36&gt;'Tariffs July2016'!M36),($C$5*'Tariffs July2016'!AK36/'Tariffs July2016'!AI36-'Tariffs July2016'!M36)*'Tariffs July2016'!S36/100*'Tariffs July2016'!AI36,0)</f>
        <v>227.96807999999999</v>
      </c>
      <c r="J42" s="59">
        <f>IF($C$5*'Tariffs July2016'!AL36/'Tariffs July2016'!AJ36&gt;='Tariffs July2016'!J36,('Tariffs July2016'!J36*'Tariffs July2016'!U36/100)* 'Tariffs July2016'!AJ36,($C$5*'Tariffs July2016'!AL36/'Tariffs July2016'!AJ36*'Tariffs July2016'!U36/100)* 'Tariffs July2016'!AJ36)</f>
        <v>126.994</v>
      </c>
      <c r="K42" s="59">
        <f>IF($C$5*'Tariffs July2016'!AL36/'Tariffs July2016'!AJ36&lt;'Tariffs July2016'!J36,0,IF($C$5*'Tariffs July2016'!AL36/'Tariffs July2016'!AJ36&lt;='Tariffs July2016'!K36,($C$5*'Tariffs July2016'!AL36/'Tariffs July2016'!AJ36-'Tariffs July2016'!J36)*('Tariffs July2016'!V36/100)*'Tariffs July2016'!AJ36,('Tariffs July2016'!K36-'Tariffs July2016'!J36)*('Tariffs July2016'!V36/100)*'Tariffs July2016'!AJ36))</f>
        <v>104.60599999999999</v>
      </c>
      <c r="L42" s="59">
        <f>IF($C$5*'Tariffs July2016'!AL36/'Tariffs July2016'!AJ36&lt;'Tariffs July2016'!K36,0,IF($C$5*'Tariffs July2016'!AL36/'Tariffs July2016'!AJ36&lt;='Tariffs July2016'!L36,($C$5*'Tariffs July2016'!AL36/'Tariffs July2016'!AJ36-'Tariffs July2016'!K36)*('Tariffs July2016'!W36/100)*'Tariffs July2016'!AJ36,('Tariffs July2016'!L36-'Tariffs July2016'!K36)*('Tariffs July2016'!W36/100)*'Tariffs July2016'!AJ36))</f>
        <v>0</v>
      </c>
      <c r="M42" s="59">
        <f>IF($C$5*'Tariffs July2016'!AL36/'Tariffs July2016'!AJ36&lt;'Tariffs July2016'!L36,0,IF($C$5*'Tariffs July2016'!AL36/'Tariffs July2016'!AJ36&lt;='Tariffs July2016'!M36,($C$5*'Tariffs July2016'!AL36/'Tariffs July2016'!AJ36-'Tariffs July2016'!L36)*('Tariffs July2016'!X36/100)*'Tariffs July2016'!AJ36,('Tariffs July2016'!M36-'Tariffs July2016'!L36)*('Tariffs July2016'!X36/100)*'Tariffs July2016'!AJ36))</f>
        <v>0</v>
      </c>
      <c r="N42" s="59">
        <f>IF(($C$5*'Tariffs July2016'!AL36/'Tariffs July2016'!AJ36&gt;'Tariffs July2016'!M36),($C$5*'Tariffs July2016'!AL36/'Tariffs July2016'!AJ36-'Tariffs July2016'!M36)*'Tariffs July2016'!Y36/100*'Tariffs July2016'!AJ36,0)</f>
        <v>455.93615999999997</v>
      </c>
      <c r="O42" s="271">
        <f t="shared" si="0"/>
        <v>1031.3042399999999</v>
      </c>
      <c r="P42" s="59">
        <f t="shared" si="1"/>
        <v>1264.21074</v>
      </c>
      <c r="Q42" s="272">
        <f t="shared" si="2"/>
        <v>1390.6318140000001</v>
      </c>
      <c r="R42" s="40">
        <f>'Tariffs July2016'!AM36</f>
        <v>0</v>
      </c>
      <c r="S42" s="40">
        <f>'Tariffs July2016'!AN36</f>
        <v>0</v>
      </c>
      <c r="T42" s="40">
        <f>'Tariffs July2016'!AO36</f>
        <v>0</v>
      </c>
      <c r="U42" s="40">
        <f>'Tariffs July2016'!AP36</f>
        <v>15</v>
      </c>
      <c r="V42" s="273">
        <f t="shared" si="3"/>
        <v>1264.21074</v>
      </c>
      <c r="W42" s="273">
        <f>V42-(O42*U42/100)</f>
        <v>1109.5151040000001</v>
      </c>
      <c r="X42" s="272">
        <f t="shared" si="4"/>
        <v>1390.6318140000001</v>
      </c>
      <c r="Y42" s="272">
        <f t="shared" si="5"/>
        <v>1220.4666144000003</v>
      </c>
      <c r="Z42" s="274">
        <f>'Tariffs July2016'!AW36</f>
        <v>0</v>
      </c>
      <c r="AA42" s="274" t="str">
        <f>'Tariffs July2016'!AX36</f>
        <v>n</v>
      </c>
      <c r="AB42" s="275" t="str">
        <f>'Tariffs July2016'!BD36</f>
        <v>Y</v>
      </c>
      <c r="AC42" s="260"/>
      <c r="AD42" s="260"/>
      <c r="AE42" s="260"/>
      <c r="AF42" s="260"/>
      <c r="AG42" s="260"/>
      <c r="AH42" s="260"/>
      <c r="AI42" s="260"/>
      <c r="AJ42" s="260"/>
      <c r="AK42" s="260"/>
      <c r="AL42" s="260"/>
      <c r="AM42" s="260"/>
      <c r="AN42" s="260"/>
    </row>
    <row r="43" spans="1:40" x14ac:dyDescent="0.15">
      <c r="A43" s="270" t="str">
        <f>'Tariffs July2016'!F37</f>
        <v>Click Energy</v>
      </c>
      <c r="B43" s="40" t="str">
        <f>'Tariffs July2016'!D37</f>
        <v>Envestra Central 2</v>
      </c>
      <c r="C43" s="40" t="str">
        <f>'Tariffs July2016'!G37</f>
        <v>Amber</v>
      </c>
      <c r="D43" s="59">
        <f>365*'Tariffs July2016'!H37/100</f>
        <v>242.72499999999999</v>
      </c>
      <c r="E43" s="59">
        <f>IF($C$5*'Tariffs July2016'!AK37/'Tariffs July2016'!AI37&gt;='Tariffs July2016'!J37,( 'Tariffs July2016'!J37*'Tariffs July2016'!O37/100)* 'Tariffs July2016'!AI37,($C$5*'Tariffs July2016'!AK37/'Tariffs July2016'!AI37*'Tariffs July2016'!O37/100)* 'Tariffs July2016'!AI37)</f>
        <v>80.275999999999996</v>
      </c>
      <c r="F43" s="59">
        <f>IF($C$5*'Tariffs July2016'!AK37/'Tariffs July2016'!AI37&lt;'Tariffs July2016'!J37,0,IF($C$5*'Tariffs July2016'!AK37/'Tariffs July2016'!AI37&lt;='Tariffs July2016'!K37,($C$5*'Tariffs July2016'!AK37/'Tariffs July2016'!AI37-'Tariffs July2016'!J37)*('Tariffs July2016'!P37/100)*'Tariffs July2016'!AI37,('Tariffs July2016'!K37-'Tariffs July2016'!J37)*('Tariffs July2016'!P37/100)*'Tariffs July2016'!AI37))</f>
        <v>53.657999999999994</v>
      </c>
      <c r="G43" s="59">
        <f>IF($C$5*'Tariffs July2016'!AK37/'Tariffs July2016'!AI37&lt;'Tariffs July2016'!K37,0,IF($C$5*'Tariffs July2016'!AK37/'Tariffs July2016'!AI37&lt;='Tariffs July2016'!L37,($C$5*'Tariffs July2016'!AK37/'Tariffs July2016'!AI37-'Tariffs July2016'!K37)*('Tariffs July2016'!Q37/100)*'Tariffs July2016'!AI37,('Tariffs July2016'!L37-'Tariffs July2016'!K37)*('Tariffs July2016'!Q37/100)*'Tariffs July2016'!AI37))</f>
        <v>0</v>
      </c>
      <c r="H43" s="59">
        <f>IF($C$5*'Tariffs July2016'!AK37/'Tariffs July2016'!AI37&lt;'Tariffs July2016'!L37,0,IF($C$5*'Tariffs July2016'!AK37/'Tariffs July2016'!AI37&lt;='Tariffs July2016'!M37,($C$5*'Tariffs July2016'!AK37/'Tariffs July2016'!AI37-'Tariffs July2016'!L37)*('Tariffs July2016'!R37/100)*'Tariffs July2016'!AI37,('Tariffs July2016'!M37-'Tariffs July2016'!L37)*('Tariffs July2016'!R37/100)*'Tariffs July2016'!AI37))</f>
        <v>0</v>
      </c>
      <c r="I43" s="59">
        <f>IF(($C$5*'Tariffs July2016'!AK37/'Tariffs July2016'!AI37&gt;'Tariffs July2016'!M37),($C$5*'Tariffs July2016'!AK37/'Tariffs July2016'!AI37-'Tariffs July2016'!M37)*'Tariffs July2016'!S37/100*'Tariffs July2016'!AI37,0)</f>
        <v>236.96681999999998</v>
      </c>
      <c r="J43" s="59">
        <f>IF($C$5*'Tariffs July2016'!AL37/'Tariffs July2016'!AJ37&gt;='Tariffs July2016'!J37,('Tariffs July2016'!J37*'Tariffs July2016'!U37/100)* 'Tariffs July2016'!AJ37,($C$5*'Tariffs July2016'!AL37/'Tariffs July2016'!AJ37*'Tariffs July2016'!U37/100)* 'Tariffs July2016'!AJ37)</f>
        <v>160.55199999999999</v>
      </c>
      <c r="K43" s="59">
        <f>IF($C$5*'Tariffs July2016'!AL37/'Tariffs July2016'!AJ37&lt;'Tariffs July2016'!J37,0,IF($C$5*'Tariffs July2016'!AL37/'Tariffs July2016'!AJ37&lt;='Tariffs July2016'!K37,($C$5*'Tariffs July2016'!AL37/'Tariffs July2016'!AJ37-'Tariffs July2016'!J37)*('Tariffs July2016'!V37/100)*'Tariffs July2016'!AJ37,('Tariffs July2016'!K37-'Tariffs July2016'!J37)*('Tariffs July2016'!V37/100)*'Tariffs July2016'!AJ37))</f>
        <v>107.31599999999999</v>
      </c>
      <c r="L43" s="59">
        <f>IF($C$5*'Tariffs July2016'!AL37/'Tariffs July2016'!AJ37&lt;'Tariffs July2016'!K37,0,IF($C$5*'Tariffs July2016'!AL37/'Tariffs July2016'!AJ37&lt;='Tariffs July2016'!L37,($C$5*'Tariffs July2016'!AL37/'Tariffs July2016'!AJ37-'Tariffs July2016'!K37)*('Tariffs July2016'!W37/100)*'Tariffs July2016'!AJ37,('Tariffs July2016'!L37-'Tariffs July2016'!K37)*('Tariffs July2016'!W37/100)*'Tariffs July2016'!AJ37))</f>
        <v>0</v>
      </c>
      <c r="M43" s="59">
        <f>IF($C$5*'Tariffs July2016'!AL37/'Tariffs July2016'!AJ37&lt;'Tariffs July2016'!L37,0,IF($C$5*'Tariffs July2016'!AL37/'Tariffs July2016'!AJ37&lt;='Tariffs July2016'!M37,($C$5*'Tariffs July2016'!AL37/'Tariffs July2016'!AJ37-'Tariffs July2016'!L37)*('Tariffs July2016'!X37/100)*'Tariffs July2016'!AJ37,('Tariffs July2016'!M37-'Tariffs July2016'!L37)*('Tariffs July2016'!X37/100)*'Tariffs July2016'!AJ37))</f>
        <v>0</v>
      </c>
      <c r="N43" s="59">
        <f>IF(($C$5*'Tariffs July2016'!AL37/'Tariffs July2016'!AJ37&gt;'Tariffs July2016'!M37),($C$5*'Tariffs July2016'!AL37/'Tariffs July2016'!AJ37-'Tariffs July2016'!M37)*'Tariffs July2016'!Y37/100*'Tariffs July2016'!AJ37,0)</f>
        <v>473.93363999999997</v>
      </c>
      <c r="O43" s="271">
        <f t="shared" si="0"/>
        <v>1112.70246</v>
      </c>
      <c r="P43" s="59">
        <f t="shared" si="1"/>
        <v>1355.4274599999999</v>
      </c>
      <c r="Q43" s="272">
        <f t="shared" si="2"/>
        <v>1490.970206</v>
      </c>
      <c r="R43" s="40">
        <f>'Tariffs July2016'!AM37</f>
        <v>0</v>
      </c>
      <c r="S43" s="40">
        <f>'Tariffs July2016'!AN37</f>
        <v>0</v>
      </c>
      <c r="T43" s="40">
        <f>'Tariffs July2016'!AO37</f>
        <v>14</v>
      </c>
      <c r="U43" s="40">
        <f>'Tariffs July2016'!AP37</f>
        <v>0</v>
      </c>
      <c r="V43" s="273">
        <f t="shared" si="3"/>
        <v>1355.4274599999999</v>
      </c>
      <c r="W43" s="273">
        <f>V43-(P43*T43/100)</f>
        <v>1165.6676155999999</v>
      </c>
      <c r="X43" s="272">
        <f t="shared" si="4"/>
        <v>1490.970206</v>
      </c>
      <c r="Y43" s="272">
        <f t="shared" si="5"/>
        <v>1282.2343771599999</v>
      </c>
      <c r="Z43" s="274">
        <f>'Tariffs July2016'!AW37</f>
        <v>0</v>
      </c>
      <c r="AA43" s="274" t="str">
        <f>'Tariffs July2016'!AX37</f>
        <v>n</v>
      </c>
      <c r="AB43" s="275" t="str">
        <f>'Tariffs July2016'!BD37</f>
        <v>N</v>
      </c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</row>
    <row r="44" spans="1:40" x14ac:dyDescent="0.15">
      <c r="A44" s="270" t="str">
        <f>'Tariffs July2016'!F38</f>
        <v>Covau</v>
      </c>
      <c r="B44" s="40" t="str">
        <f>'Tariffs July2016'!D38</f>
        <v>Envestra Central 2</v>
      </c>
      <c r="C44" s="40" t="str">
        <f>'Tariffs July2016'!G38</f>
        <v>Market offer</v>
      </c>
      <c r="D44" s="59">
        <f>365*'Tariffs July2016'!H38/100</f>
        <v>242.72499999999999</v>
      </c>
      <c r="E44" s="59">
        <f>IF($C$5*'Tariffs July2016'!AK38/'Tariffs July2016'!AI38&gt;='Tariffs July2016'!J38,( 'Tariffs July2016'!J38*'Tariffs July2016'!O38/100)* 'Tariffs July2016'!AI38,($C$5*'Tariffs July2016'!AK38/'Tariffs July2016'!AI38*'Tariffs July2016'!O38/100)* 'Tariffs July2016'!AI38)</f>
        <v>83.236999999999995</v>
      </c>
      <c r="F44" s="59">
        <f>IF($C$5*'Tariffs July2016'!AK38/'Tariffs July2016'!AI38&lt;'Tariffs July2016'!J38,0,IF($C$5*'Tariffs July2016'!AK38/'Tariffs July2016'!AI38&lt;='Tariffs July2016'!K38,($C$5*'Tariffs July2016'!AK38/'Tariffs July2016'!AI38-'Tariffs July2016'!J38)*('Tariffs July2016'!P38/100)*'Tariffs July2016'!AI38,('Tariffs July2016'!K38-'Tariffs July2016'!J38)*('Tariffs July2016'!P38/100)*'Tariffs July2016'!AI38))</f>
        <v>54.741999999999997</v>
      </c>
      <c r="G44" s="59">
        <f>IF($C$5*'Tariffs July2016'!AK38/'Tariffs July2016'!AI38&lt;'Tariffs July2016'!K38,0,IF($C$5*'Tariffs July2016'!AK38/'Tariffs July2016'!AI38&lt;='Tariffs July2016'!L38,($C$5*'Tariffs July2016'!AK38/'Tariffs July2016'!AI38-'Tariffs July2016'!K38)*('Tariffs July2016'!Q38/100)*'Tariffs July2016'!AI38,('Tariffs July2016'!L38-'Tariffs July2016'!K38)*('Tariffs July2016'!Q38/100)*'Tariffs July2016'!AI38))</f>
        <v>0</v>
      </c>
      <c r="H44" s="59">
        <f>IF($C$5*'Tariffs July2016'!AK38/'Tariffs July2016'!AI38&lt;'Tariffs July2016'!L38,0,IF($C$5*'Tariffs July2016'!AK38/'Tariffs July2016'!AI38&lt;='Tariffs July2016'!M38,($C$5*'Tariffs July2016'!AK38/'Tariffs July2016'!AI38-'Tariffs July2016'!L38)*('Tariffs July2016'!R38/100)*'Tariffs July2016'!AI38,('Tariffs July2016'!M38-'Tariffs July2016'!L38)*('Tariffs July2016'!R38/100)*'Tariffs July2016'!AI38))</f>
        <v>0</v>
      </c>
      <c r="I44" s="59">
        <f>IF(($C$5*'Tariffs July2016'!AK38/'Tariffs July2016'!AI38&gt;'Tariffs July2016'!M38),($C$5*'Tariffs July2016'!AK38/'Tariffs July2016'!AI38-'Tariffs July2016'!M38)*'Tariffs July2016'!S38/100*'Tariffs July2016'!AI38,0)</f>
        <v>236.96681999999998</v>
      </c>
      <c r="J44" s="59">
        <f>IF($C$5*'Tariffs July2016'!AL38/'Tariffs July2016'!AJ38&gt;='Tariffs July2016'!J38,('Tariffs July2016'!J38*'Tariffs July2016'!U38/100)* 'Tariffs July2016'!AJ38,($C$5*'Tariffs July2016'!AL38/'Tariffs July2016'!AJ38*'Tariffs July2016'!U38/100)* 'Tariffs July2016'!AJ38)</f>
        <v>166.47399999999999</v>
      </c>
      <c r="K44" s="59">
        <f>IF($C$5*'Tariffs July2016'!AL38/'Tariffs July2016'!AJ38&lt;'Tariffs July2016'!J38,0,IF($C$5*'Tariffs July2016'!AL38/'Tariffs July2016'!AJ38&lt;='Tariffs July2016'!K38,($C$5*'Tariffs July2016'!AL38/'Tariffs July2016'!AJ38-'Tariffs July2016'!J38)*('Tariffs July2016'!V38/100)*'Tariffs July2016'!AJ38,('Tariffs July2016'!K38-'Tariffs July2016'!J38)*('Tariffs July2016'!V38/100)*'Tariffs July2016'!AJ38))</f>
        <v>109.48399999999999</v>
      </c>
      <c r="L44" s="59">
        <f>IF($C$5*'Tariffs July2016'!AL38/'Tariffs July2016'!AJ38&lt;'Tariffs July2016'!K38,0,IF($C$5*'Tariffs July2016'!AL38/'Tariffs July2016'!AJ38&lt;='Tariffs July2016'!L38,($C$5*'Tariffs July2016'!AL38/'Tariffs July2016'!AJ38-'Tariffs July2016'!K38)*('Tariffs July2016'!W38/100)*'Tariffs July2016'!AJ38,('Tariffs July2016'!L38-'Tariffs July2016'!K38)*('Tariffs July2016'!W38/100)*'Tariffs July2016'!AJ38))</f>
        <v>0</v>
      </c>
      <c r="M44" s="59">
        <f>IF($C$5*'Tariffs July2016'!AL38/'Tariffs July2016'!AJ38&lt;'Tariffs July2016'!L38,0,IF($C$5*'Tariffs July2016'!AL38/'Tariffs July2016'!AJ38&lt;='Tariffs July2016'!M38,($C$5*'Tariffs July2016'!AL38/'Tariffs July2016'!AJ38-'Tariffs July2016'!L38)*('Tariffs July2016'!X38/100)*'Tariffs July2016'!AJ38,('Tariffs July2016'!M38-'Tariffs July2016'!L38)*('Tariffs July2016'!X38/100)*'Tariffs July2016'!AJ38))</f>
        <v>0</v>
      </c>
      <c r="N44" s="59">
        <f>IF(($C$5*'Tariffs July2016'!AL38/'Tariffs July2016'!AJ38&gt;'Tariffs July2016'!M38),($C$5*'Tariffs July2016'!AL38/'Tariffs July2016'!AJ38-'Tariffs July2016'!M38)*'Tariffs July2016'!Y38/100*'Tariffs July2016'!AJ38,0)</f>
        <v>473.93363999999997</v>
      </c>
      <c r="O44" s="271">
        <f t="shared" si="0"/>
        <v>1124.83746</v>
      </c>
      <c r="P44" s="59">
        <f t="shared" si="1"/>
        <v>1367.5624599999999</v>
      </c>
      <c r="Q44" s="272">
        <f t="shared" si="2"/>
        <v>1504.318706</v>
      </c>
      <c r="R44" s="40">
        <f>'Tariffs July2016'!AM38</f>
        <v>0</v>
      </c>
      <c r="S44" s="40">
        <f>'Tariffs July2016'!AN38</f>
        <v>0</v>
      </c>
      <c r="T44" s="40">
        <f>'Tariffs July2016'!AO38</f>
        <v>0</v>
      </c>
      <c r="U44" s="40">
        <f>'Tariffs July2016'!AP38</f>
        <v>12</v>
      </c>
      <c r="V44" s="273">
        <f t="shared" si="3"/>
        <v>1367.5624599999999</v>
      </c>
      <c r="W44" s="273">
        <f>V44-(O44*U44/100)</f>
        <v>1232.5819647999999</v>
      </c>
      <c r="X44" s="272">
        <f t="shared" si="4"/>
        <v>1504.318706</v>
      </c>
      <c r="Y44" s="272">
        <f t="shared" si="5"/>
        <v>1355.8401612800001</v>
      </c>
      <c r="Z44" s="274">
        <f>'Tariffs July2016'!AW38</f>
        <v>12</v>
      </c>
      <c r="AA44" s="274" t="str">
        <f>'Tariffs July2016'!AX38</f>
        <v>y</v>
      </c>
      <c r="AB44" s="275" t="str">
        <f>'Tariffs July2016'!BD38</f>
        <v>Y</v>
      </c>
      <c r="AC44" s="260"/>
      <c r="AD44" s="260"/>
      <c r="AE44" s="260"/>
      <c r="AF44" s="260"/>
      <c r="AG44" s="260"/>
      <c r="AH44" s="260"/>
      <c r="AI44" s="260"/>
      <c r="AJ44" s="260"/>
      <c r="AK44" s="260"/>
      <c r="AL44" s="260"/>
      <c r="AM44" s="260"/>
      <c r="AN44" s="260"/>
    </row>
    <row r="45" spans="1:40" x14ac:dyDescent="0.15">
      <c r="A45" s="270" t="str">
        <f>'Tariffs July2016'!F39</f>
        <v>Dodo Power &amp; Gas</v>
      </c>
      <c r="B45" s="40" t="str">
        <f>'Tariffs July2016'!D39</f>
        <v>Envestra Central 2</v>
      </c>
      <c r="C45" s="40" t="str">
        <f>'Tariffs July2016'!G39</f>
        <v>Market offer</v>
      </c>
      <c r="D45" s="59">
        <f>365*'Tariffs July2016'!H39/100</f>
        <v>218.8175</v>
      </c>
      <c r="E45" s="59">
        <f>IF($C$5*'Tariffs July2016'!AK39/'Tariffs July2016'!AI39&gt;='Tariffs July2016'!J39,( 'Tariffs July2016'!J39*'Tariffs July2016'!O39/100)* 'Tariffs July2016'!AI39,($C$5*'Tariffs July2016'!AK39/'Tariffs July2016'!AI39*'Tariffs July2016'!O39/100)* 'Tariffs July2016'!AI39)</f>
        <v>124.16</v>
      </c>
      <c r="F45" s="59">
        <f>IF($C$5*'Tariffs July2016'!AK39/'Tariffs July2016'!AI39&lt;'Tariffs July2016'!J39,0,IF($C$5*'Tariffs July2016'!AK39/'Tariffs July2016'!AI39&lt;='Tariffs July2016'!K39,($C$5*'Tariffs July2016'!AK39/'Tariffs July2016'!AI39-'Tariffs July2016'!J39)*('Tariffs July2016'!P39/100)*'Tariffs July2016'!AI39,('Tariffs July2016'!K39-'Tariffs July2016'!J39)*('Tariffs July2016'!P39/100)*'Tariffs July2016'!AI39))</f>
        <v>0</v>
      </c>
      <c r="G45" s="59">
        <f>IF($C$5*'Tariffs July2016'!AK39/'Tariffs July2016'!AI39&lt;'Tariffs July2016'!K39,0,IF($C$5*'Tariffs July2016'!AK39/'Tariffs July2016'!AI39&lt;='Tariffs July2016'!L39,($C$5*'Tariffs July2016'!AK39/'Tariffs July2016'!AI39-'Tariffs July2016'!K39)*('Tariffs July2016'!Q39/100)*'Tariffs July2016'!AI39,('Tariffs July2016'!L39-'Tariffs July2016'!K39)*('Tariffs July2016'!Q39/100)*'Tariffs July2016'!AI39))</f>
        <v>0</v>
      </c>
      <c r="H45" s="59">
        <f>IF($C$5*'Tariffs July2016'!AK39/'Tariffs July2016'!AI39&lt;'Tariffs July2016'!L39,0,IF($C$5*'Tariffs July2016'!AK39/'Tariffs July2016'!AI39&lt;='Tariffs July2016'!M39,($C$5*'Tariffs July2016'!AK39/'Tariffs July2016'!AI39-'Tariffs July2016'!L39)*('Tariffs July2016'!R39/100)*'Tariffs July2016'!AI39,('Tariffs July2016'!M39-'Tariffs July2016'!L39)*('Tariffs July2016'!R39/100)*'Tariffs July2016'!AI39))</f>
        <v>0</v>
      </c>
      <c r="I45" s="59">
        <f>IF(($C$5*'Tariffs July2016'!AK39/'Tariffs July2016'!AI39&gt;'Tariffs July2016'!M39),($C$5*'Tariffs July2016'!AK39/'Tariffs July2016'!AI39-'Tariffs July2016'!M39)*'Tariffs July2016'!S39/100*'Tariffs July2016'!AI39,0)</f>
        <v>224.80765999999997</v>
      </c>
      <c r="J45" s="59">
        <f>IF($C$5*'Tariffs July2016'!AL39/'Tariffs July2016'!AJ39&gt;='Tariffs July2016'!J39,('Tariffs July2016'!J39*'Tariffs July2016'!U39/100)* 'Tariffs July2016'!AJ39,($C$5*'Tariffs July2016'!AL39/'Tariffs July2016'!AJ39*'Tariffs July2016'!U39/100)* 'Tariffs July2016'!AJ39)</f>
        <v>241.92</v>
      </c>
      <c r="K45" s="59">
        <f>IF($C$5*'Tariffs July2016'!AL39/'Tariffs July2016'!AJ39&lt;'Tariffs July2016'!J39,0,IF($C$5*'Tariffs July2016'!AL39/'Tariffs July2016'!AJ39&lt;='Tariffs July2016'!K39,($C$5*'Tariffs July2016'!AL39/'Tariffs July2016'!AJ39-'Tariffs July2016'!J39)*('Tariffs July2016'!V39/100)*'Tariffs July2016'!AJ39,('Tariffs July2016'!K39-'Tariffs July2016'!J39)*('Tariffs July2016'!V39/100)*'Tariffs July2016'!AJ39))</f>
        <v>0</v>
      </c>
      <c r="L45" s="59">
        <f>IF($C$5*'Tariffs July2016'!AL39/'Tariffs July2016'!AJ39&lt;'Tariffs July2016'!K39,0,IF($C$5*'Tariffs July2016'!AL39/'Tariffs July2016'!AJ39&lt;='Tariffs July2016'!L39,($C$5*'Tariffs July2016'!AL39/'Tariffs July2016'!AJ39-'Tariffs July2016'!K39)*('Tariffs July2016'!W39/100)*'Tariffs July2016'!AJ39,('Tariffs July2016'!L39-'Tariffs July2016'!K39)*('Tariffs July2016'!W39/100)*'Tariffs July2016'!AJ39))</f>
        <v>0</v>
      </c>
      <c r="M45" s="59">
        <f>IF($C$5*'Tariffs July2016'!AL39/'Tariffs July2016'!AJ39&lt;'Tariffs July2016'!L39,0,IF($C$5*'Tariffs July2016'!AL39/'Tariffs July2016'!AJ39&lt;='Tariffs July2016'!M39,($C$5*'Tariffs July2016'!AL39/'Tariffs July2016'!AJ39-'Tariffs July2016'!L39)*('Tariffs July2016'!X39/100)*'Tariffs July2016'!AJ39,('Tariffs July2016'!M39-'Tariffs July2016'!L39)*('Tariffs July2016'!X39/100)*'Tariffs July2016'!AJ39))</f>
        <v>0</v>
      </c>
      <c r="N45" s="59">
        <f>IF(($C$5*'Tariffs July2016'!AL39/'Tariffs July2016'!AJ39&gt;'Tariffs July2016'!M39),($C$5*'Tariffs July2016'!AL39/'Tariffs July2016'!AJ39-'Tariffs July2016'!M39)*'Tariffs July2016'!Y39/100*'Tariffs July2016'!AJ39,0)</f>
        <v>449.61531999999994</v>
      </c>
      <c r="O45" s="271">
        <f t="shared" si="0"/>
        <v>1040.50298</v>
      </c>
      <c r="P45" s="59">
        <f t="shared" si="1"/>
        <v>1259.3204799999999</v>
      </c>
      <c r="Q45" s="272">
        <f t="shared" si="2"/>
        <v>1385.252528</v>
      </c>
      <c r="R45" s="40">
        <f>'Tariffs July2016'!AM39</f>
        <v>0</v>
      </c>
      <c r="S45" s="40">
        <f>'Tariffs July2016'!AN39</f>
        <v>0</v>
      </c>
      <c r="T45" s="40">
        <f>'Tariffs July2016'!AO39</f>
        <v>0</v>
      </c>
      <c r="U45" s="40">
        <f>'Tariffs July2016'!AP39</f>
        <v>0</v>
      </c>
      <c r="V45" s="273">
        <f t="shared" si="3"/>
        <v>1259.3204799999999</v>
      </c>
      <c r="W45" s="273">
        <f>V45-(O45*U45/100)</f>
        <v>1259.3204799999999</v>
      </c>
      <c r="X45" s="272">
        <f t="shared" si="4"/>
        <v>1385.252528</v>
      </c>
      <c r="Y45" s="272">
        <f t="shared" si="5"/>
        <v>1385.252528</v>
      </c>
      <c r="Z45" s="274">
        <f>'Tariffs July2016'!AW39</f>
        <v>0</v>
      </c>
      <c r="AA45" s="274" t="str">
        <f>'Tariffs July2016'!AX39</f>
        <v>n</v>
      </c>
      <c r="AB45" s="275" t="str">
        <f>'Tariffs July2016'!BD39</f>
        <v>Y</v>
      </c>
      <c r="AC45" s="260"/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</row>
    <row r="46" spans="1:40" x14ac:dyDescent="0.15">
      <c r="A46" s="270" t="str">
        <f>'Tariffs July2016'!F40</f>
        <v>EnergyAustralia</v>
      </c>
      <c r="B46" s="40" t="str">
        <f>'Tariffs July2016'!D40</f>
        <v>Envestra Central 2</v>
      </c>
      <c r="C46" s="40" t="str">
        <f>'Tariffs July2016'!G40</f>
        <v xml:space="preserve">Flexi Saver </v>
      </c>
      <c r="D46" s="59">
        <f>365*'Tariffs July2016'!H40/100</f>
        <v>259.14999999999998</v>
      </c>
      <c r="E46" s="59">
        <f>IF($C$5*'Tariffs July2016'!AK40/'Tariffs July2016'!AI40&gt;='Tariffs July2016'!J40,( 'Tariffs July2016'!J40*'Tariffs July2016'!O40/100)* 'Tariffs July2016'!AI40,($C$5*'Tariffs July2016'!AK40/'Tariffs July2016'!AI40*'Tariffs July2016'!O40/100)* 'Tariffs July2016'!AI40)</f>
        <v>85.210999999999999</v>
      </c>
      <c r="F46" s="59">
        <f>IF($C$5*'Tariffs July2016'!AK40/'Tariffs July2016'!AI40&lt;'Tariffs July2016'!J40,0,IF($C$5*'Tariffs July2016'!AK40/'Tariffs July2016'!AI40&lt;='Tariffs July2016'!K40,($C$5*'Tariffs July2016'!AK40/'Tariffs July2016'!AI40-'Tariffs July2016'!J40)*('Tariffs July2016'!P40/100)*'Tariffs July2016'!AI40,('Tariffs July2016'!K40-'Tariffs July2016'!J40)*('Tariffs July2016'!P40/100)*'Tariffs July2016'!AI40))</f>
        <v>55.554999999999993</v>
      </c>
      <c r="G46" s="59">
        <f>IF($C$5*'Tariffs July2016'!AK40/'Tariffs July2016'!AI40&lt;'Tariffs July2016'!K40,0,IF($C$5*'Tariffs July2016'!AK40/'Tariffs July2016'!AI40&lt;='Tariffs July2016'!L40,($C$5*'Tariffs July2016'!AK40/'Tariffs July2016'!AI40-'Tariffs July2016'!K40)*('Tariffs July2016'!Q40/100)*'Tariffs July2016'!AI40,('Tariffs July2016'!L40-'Tariffs July2016'!K40)*('Tariffs July2016'!Q40/100)*'Tariffs July2016'!AI40))</f>
        <v>0</v>
      </c>
      <c r="H46" s="59">
        <f>IF($C$5*'Tariffs July2016'!AK40/'Tariffs July2016'!AI40&lt;'Tariffs July2016'!L40,0,IF($C$5*'Tariffs July2016'!AK40/'Tariffs July2016'!AI40&lt;='Tariffs July2016'!M40,($C$5*'Tariffs July2016'!AK40/'Tariffs July2016'!AI40-'Tariffs July2016'!L40)*('Tariffs July2016'!R40/100)*'Tariffs July2016'!AI40,('Tariffs July2016'!M40-'Tariffs July2016'!L40)*('Tariffs July2016'!R40/100)*'Tariffs July2016'!AI40))</f>
        <v>0</v>
      </c>
      <c r="I46" s="59">
        <f>IF(($C$5*'Tariffs July2016'!AK40/'Tariffs July2016'!AI40&gt;'Tariffs July2016'!M40),($C$5*'Tariffs July2016'!AK40/'Tariffs July2016'!AI40-'Tariffs July2016'!M40)*'Tariffs July2016'!S40/100*'Tariffs July2016'!AI40,0)</f>
        <v>221.96891999999997</v>
      </c>
      <c r="J46" s="59">
        <f>IF($C$5*'Tariffs July2016'!AL40/'Tariffs July2016'!AJ40&gt;='Tariffs July2016'!J40,('Tariffs July2016'!J40*'Tariffs July2016'!U40/100)* 'Tariffs July2016'!AJ40,($C$5*'Tariffs July2016'!AL40/'Tariffs July2016'!AJ40*'Tariffs July2016'!U40/100)* 'Tariffs July2016'!AJ40)</f>
        <v>170.422</v>
      </c>
      <c r="K46" s="59">
        <f>IF($C$5*'Tariffs July2016'!AL40/'Tariffs July2016'!AJ40&lt;'Tariffs July2016'!J40,0,IF($C$5*'Tariffs July2016'!AL40/'Tariffs July2016'!AJ40&lt;='Tariffs July2016'!K40,($C$5*'Tariffs July2016'!AL40/'Tariffs July2016'!AJ40-'Tariffs July2016'!J40)*('Tariffs July2016'!V40/100)*'Tariffs July2016'!AJ40,('Tariffs July2016'!K40-'Tariffs July2016'!J40)*('Tariffs July2016'!V40/100)*'Tariffs July2016'!AJ40))</f>
        <v>111.10999999999999</v>
      </c>
      <c r="L46" s="59">
        <f>IF($C$5*'Tariffs July2016'!AL40/'Tariffs July2016'!AJ40&lt;'Tariffs July2016'!K40,0,IF($C$5*'Tariffs July2016'!AL40/'Tariffs July2016'!AJ40&lt;='Tariffs July2016'!L40,($C$5*'Tariffs July2016'!AL40/'Tariffs July2016'!AJ40-'Tariffs July2016'!K40)*('Tariffs July2016'!W40/100)*'Tariffs July2016'!AJ40,('Tariffs July2016'!L40-'Tariffs July2016'!K40)*('Tariffs July2016'!W40/100)*'Tariffs July2016'!AJ40))</f>
        <v>0</v>
      </c>
      <c r="M46" s="59">
        <f>IF($C$5*'Tariffs July2016'!AL40/'Tariffs July2016'!AJ40&lt;'Tariffs July2016'!L40,0,IF($C$5*'Tariffs July2016'!AL40/'Tariffs July2016'!AJ40&lt;='Tariffs July2016'!M40,($C$5*'Tariffs July2016'!AL40/'Tariffs July2016'!AJ40-'Tariffs July2016'!L40)*('Tariffs July2016'!X40/100)*'Tariffs July2016'!AJ40,('Tariffs July2016'!M40-'Tariffs July2016'!L40)*('Tariffs July2016'!X40/100)*'Tariffs July2016'!AJ40))</f>
        <v>0</v>
      </c>
      <c r="N46" s="59">
        <f>IF(($C$5*'Tariffs July2016'!AL40/'Tariffs July2016'!AJ40&gt;'Tariffs July2016'!M40),($C$5*'Tariffs July2016'!AL40/'Tariffs July2016'!AJ40-'Tariffs July2016'!M40)*'Tariffs July2016'!Y40/100*'Tariffs July2016'!AJ40,0)</f>
        <v>443.93783999999994</v>
      </c>
      <c r="O46" s="271">
        <f t="shared" si="0"/>
        <v>1088.2047600000001</v>
      </c>
      <c r="P46" s="59">
        <f t="shared" si="1"/>
        <v>1347.3547600000002</v>
      </c>
      <c r="Q46" s="272">
        <f t="shared" si="2"/>
        <v>1482.0902360000002</v>
      </c>
      <c r="R46" s="40">
        <f>'Tariffs July2016'!AM40</f>
        <v>0</v>
      </c>
      <c r="S46" s="40">
        <f>'Tariffs July2016'!AN40</f>
        <v>0</v>
      </c>
      <c r="T46" s="40">
        <f>'Tariffs July2016'!AO40</f>
        <v>0</v>
      </c>
      <c r="U46" s="40">
        <f>'Tariffs July2016'!AP40</f>
        <v>16</v>
      </c>
      <c r="V46" s="273">
        <f t="shared" si="3"/>
        <v>1347.3547600000002</v>
      </c>
      <c r="W46" s="273">
        <f>V46-(O46*U46/100)</f>
        <v>1173.2419984000003</v>
      </c>
      <c r="X46" s="272">
        <f t="shared" si="4"/>
        <v>1482.0902360000002</v>
      </c>
      <c r="Y46" s="272">
        <f t="shared" si="5"/>
        <v>1290.5661982400004</v>
      </c>
      <c r="Z46" s="274">
        <f>'Tariffs July2016'!AW40</f>
        <v>0</v>
      </c>
      <c r="AA46" s="274" t="str">
        <f>'Tariffs July2016'!AX40</f>
        <v>n</v>
      </c>
      <c r="AB46" s="275" t="str">
        <f>'Tariffs July2016'!BD40</f>
        <v>N</v>
      </c>
      <c r="AC46" s="260"/>
      <c r="AD46" s="260"/>
      <c r="AE46" s="260"/>
      <c r="AF46" s="260"/>
      <c r="AG46" s="260"/>
      <c r="AH46" s="260"/>
      <c r="AI46" s="260"/>
      <c r="AJ46" s="260"/>
      <c r="AK46" s="260"/>
      <c r="AL46" s="260"/>
      <c r="AM46" s="260"/>
      <c r="AN46" s="260"/>
    </row>
    <row r="47" spans="1:40" x14ac:dyDescent="0.15">
      <c r="A47" s="270" t="str">
        <f>'Tariffs July2016'!F41</f>
        <v>Lumo Energy</v>
      </c>
      <c r="B47" s="40" t="str">
        <f>'Tariffs July2016'!D41</f>
        <v>Envestra Central 2</v>
      </c>
      <c r="C47" s="40" t="str">
        <f>'Tariffs July2016'!G41</f>
        <v>Advantage</v>
      </c>
      <c r="D47" s="59">
        <f>365*'Tariffs July2016'!H41/100</f>
        <v>235.24250000000001</v>
      </c>
      <c r="E47" s="59">
        <f>IF($C$5*'Tariffs July2016'!AK41/'Tariffs July2016'!AI41&gt;='Tariffs July2016'!J41,( 'Tariffs July2016'!J41*'Tariffs July2016'!O41/100)* 'Tariffs July2016'!AI41,($C$5*'Tariffs July2016'!AK41/'Tariffs July2016'!AI41*'Tariffs July2016'!O41/100)* 'Tariffs July2016'!AI41)</f>
        <v>82.743499999999997</v>
      </c>
      <c r="F47" s="59">
        <f>IF($C$5*'Tariffs July2016'!AK41/'Tariffs July2016'!AI41&lt;'Tariffs July2016'!J41,0,IF($C$5*'Tariffs July2016'!AK41/'Tariffs July2016'!AI41&lt;='Tariffs July2016'!K41,($C$5*'Tariffs July2016'!AK41/'Tariffs July2016'!AI41-'Tariffs July2016'!J41)*('Tariffs July2016'!P41/100)*'Tariffs July2016'!AI41,('Tariffs July2016'!K41-'Tariffs July2016'!J41)*('Tariffs July2016'!P41/100)*'Tariffs July2016'!AI41))</f>
        <v>56.151200000000003</v>
      </c>
      <c r="G47" s="59">
        <f>IF($C$5*'Tariffs July2016'!AK41/'Tariffs July2016'!AI41&lt;'Tariffs July2016'!K41,0,IF($C$5*'Tariffs July2016'!AK41/'Tariffs July2016'!AI41&lt;='Tariffs July2016'!L41,($C$5*'Tariffs July2016'!AK41/'Tariffs July2016'!AI41-'Tariffs July2016'!K41)*('Tariffs July2016'!Q41/100)*'Tariffs July2016'!AI41,('Tariffs July2016'!L41-'Tariffs July2016'!K41)*('Tariffs July2016'!Q41/100)*'Tariffs July2016'!AI41))</f>
        <v>0</v>
      </c>
      <c r="H47" s="59">
        <f>IF($C$5*'Tariffs July2016'!AK41/'Tariffs July2016'!AI41&lt;'Tariffs July2016'!L41,0,IF($C$5*'Tariffs July2016'!AK41/'Tariffs July2016'!AI41&lt;='Tariffs July2016'!M41,($C$5*'Tariffs July2016'!AK41/'Tariffs July2016'!AI41-'Tariffs July2016'!L41)*('Tariffs July2016'!R41/100)*'Tariffs July2016'!AI41,('Tariffs July2016'!M41-'Tariffs July2016'!L41)*('Tariffs July2016'!R41/100)*'Tariffs July2016'!AI41))</f>
        <v>0</v>
      </c>
      <c r="I47" s="59">
        <f>IF(($C$5*'Tariffs July2016'!AK41/'Tariffs July2016'!AI41&gt;'Tariffs July2016'!M41),($C$5*'Tariffs July2016'!AK41/'Tariffs July2016'!AI41-'Tariffs July2016'!M41)*'Tariffs July2016'!S41/100*'Tariffs July2016'!AI41,0)</f>
        <v>252.56463599999995</v>
      </c>
      <c r="J47" s="59">
        <f>IF($C$5*'Tariffs July2016'!AL41/'Tariffs July2016'!AJ41&gt;='Tariffs July2016'!J41,('Tariffs July2016'!J41*'Tariffs July2016'!U41/100)* 'Tariffs July2016'!AJ41,($C$5*'Tariffs July2016'!AL41/'Tariffs July2016'!AJ41*'Tariffs July2016'!U41/100)* 'Tariffs July2016'!AJ41)</f>
        <v>165.48699999999999</v>
      </c>
      <c r="K47" s="59">
        <f>IF($C$5*'Tariffs July2016'!AL41/'Tariffs July2016'!AJ41&lt;'Tariffs July2016'!J41,0,IF($C$5*'Tariffs July2016'!AL41/'Tariffs July2016'!AJ41&lt;='Tariffs July2016'!K41,($C$5*'Tariffs July2016'!AL41/'Tariffs July2016'!AJ41-'Tariffs July2016'!J41)*('Tariffs July2016'!V41/100)*'Tariffs July2016'!AJ41,('Tariffs July2016'!K41-'Tariffs July2016'!J41)*('Tariffs July2016'!V41/100)*'Tariffs July2016'!AJ41))</f>
        <v>112.30240000000001</v>
      </c>
      <c r="L47" s="59">
        <f>IF($C$5*'Tariffs July2016'!AL41/'Tariffs July2016'!AJ41&lt;'Tariffs July2016'!K41,0,IF($C$5*'Tariffs July2016'!AL41/'Tariffs July2016'!AJ41&lt;='Tariffs July2016'!L41,($C$5*'Tariffs July2016'!AL41/'Tariffs July2016'!AJ41-'Tariffs July2016'!K41)*('Tariffs July2016'!W41/100)*'Tariffs July2016'!AJ41,('Tariffs July2016'!L41-'Tariffs July2016'!K41)*('Tariffs July2016'!W41/100)*'Tariffs July2016'!AJ41))</f>
        <v>0</v>
      </c>
      <c r="M47" s="59">
        <f>IF($C$5*'Tariffs July2016'!AL41/'Tariffs July2016'!AJ41&lt;'Tariffs July2016'!L41,0,IF($C$5*'Tariffs July2016'!AL41/'Tariffs July2016'!AJ41&lt;='Tariffs July2016'!M41,($C$5*'Tariffs July2016'!AL41/'Tariffs July2016'!AJ41-'Tariffs July2016'!L41)*('Tariffs July2016'!X41/100)*'Tariffs July2016'!AJ41,('Tariffs July2016'!M41-'Tariffs July2016'!L41)*('Tariffs July2016'!X41/100)*'Tariffs July2016'!AJ41))</f>
        <v>0</v>
      </c>
      <c r="N47" s="59">
        <f>IF(($C$5*'Tariffs July2016'!AL41/'Tariffs July2016'!AJ41&gt;'Tariffs July2016'!M41),($C$5*'Tariffs July2016'!AL41/'Tariffs July2016'!AJ41-'Tariffs July2016'!M41)*'Tariffs July2016'!Y41/100*'Tariffs July2016'!AJ41,0)</f>
        <v>505.1292719999999</v>
      </c>
      <c r="O47" s="271">
        <f t="shared" si="0"/>
        <v>1174.3780079999999</v>
      </c>
      <c r="P47" s="59">
        <f t="shared" si="1"/>
        <v>1409.620508</v>
      </c>
      <c r="Q47" s="272">
        <f t="shared" si="2"/>
        <v>1550.5825588</v>
      </c>
      <c r="R47" s="40">
        <f>'Tariffs July2016'!AM41</f>
        <v>0</v>
      </c>
      <c r="S47" s="40">
        <f>'Tariffs July2016'!AN41</f>
        <v>0</v>
      </c>
      <c r="T47" s="40">
        <f>'Tariffs July2016'!AO41</f>
        <v>15</v>
      </c>
      <c r="U47" s="40">
        <f>'Tariffs July2016'!AP41</f>
        <v>0</v>
      </c>
      <c r="V47" s="273">
        <f t="shared" si="3"/>
        <v>1409.620508</v>
      </c>
      <c r="W47" s="273">
        <f>V47-(P47*T47/100)</f>
        <v>1198.1774318</v>
      </c>
      <c r="X47" s="272">
        <f t="shared" si="4"/>
        <v>1550.5825588</v>
      </c>
      <c r="Y47" s="272">
        <f t="shared" si="5"/>
        <v>1317.9951749800002</v>
      </c>
      <c r="Z47" s="274">
        <f>'Tariffs July2016'!AW41</f>
        <v>24</v>
      </c>
      <c r="AA47" s="274" t="str">
        <f>'Tariffs July2016'!AX41</f>
        <v>n</v>
      </c>
      <c r="AB47" s="275" t="str">
        <f>'Tariffs July2016'!BD41</f>
        <v>Y</v>
      </c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</row>
    <row r="48" spans="1:40" x14ac:dyDescent="0.15">
      <c r="A48" s="270" t="str">
        <f>'Tariffs July2016'!F42</f>
        <v>Momentum Energy</v>
      </c>
      <c r="B48" s="40" t="str">
        <f>'Tariffs July2016'!D42</f>
        <v>Envestra Central 2</v>
      </c>
      <c r="C48" s="40" t="str">
        <f>'Tariffs July2016'!G42</f>
        <v>Market offer</v>
      </c>
      <c r="D48" s="59">
        <f>365*'Tariffs July2016'!H42/100</f>
        <v>227.68700000000001</v>
      </c>
      <c r="E48" s="59">
        <f>IF($C$5*'Tariffs July2016'!AK42/'Tariffs July2016'!AI42&gt;='Tariffs July2016'!J42,( 'Tariffs July2016'!J42*'Tariffs July2016'!O42/100)* 'Tariffs July2016'!AI42,($C$5*'Tariffs July2016'!AK42/'Tariffs July2016'!AI42*'Tariffs July2016'!O42/100)* 'Tariffs July2016'!AI42)</f>
        <v>63.398299999999999</v>
      </c>
      <c r="F48" s="59">
        <f>IF($C$5*'Tariffs July2016'!AK42/'Tariffs July2016'!AI42&lt;'Tariffs July2016'!J42,0,IF($C$5*'Tariffs July2016'!AK42/'Tariffs July2016'!AI42&lt;='Tariffs July2016'!K42,($C$5*'Tariffs July2016'!AK42/'Tariffs July2016'!AI42-'Tariffs July2016'!J42)*('Tariffs July2016'!P42/100)*'Tariffs July2016'!AI42,('Tariffs July2016'!K42-'Tariffs July2016'!J42)*('Tariffs July2016'!P42/100)*'Tariffs July2016'!AI42))</f>
        <v>43.685200000000009</v>
      </c>
      <c r="G48" s="59">
        <f>IF($C$5*'Tariffs July2016'!AK42/'Tariffs July2016'!AI42&lt;'Tariffs July2016'!K42,0,IF($C$5*'Tariffs July2016'!AK42/'Tariffs July2016'!AI42&lt;='Tariffs July2016'!L42,($C$5*'Tariffs July2016'!AK42/'Tariffs July2016'!AI42-'Tariffs July2016'!K42)*('Tariffs July2016'!Q42/100)*'Tariffs July2016'!AI42,('Tariffs July2016'!L42-'Tariffs July2016'!K42)*('Tariffs July2016'!Q42/100)*'Tariffs July2016'!AI42))</f>
        <v>0</v>
      </c>
      <c r="H48" s="59">
        <f>IF($C$5*'Tariffs July2016'!AK42/'Tariffs July2016'!AI42&lt;'Tariffs July2016'!L42,0,IF($C$5*'Tariffs July2016'!AK42/'Tariffs July2016'!AI42&lt;='Tariffs July2016'!M42,($C$5*'Tariffs July2016'!AK42/'Tariffs July2016'!AI42-'Tariffs July2016'!L42)*('Tariffs July2016'!R42/100)*'Tariffs July2016'!AI42,('Tariffs July2016'!M42-'Tariffs July2016'!L42)*('Tariffs July2016'!R42/100)*'Tariffs July2016'!AI42))</f>
        <v>0</v>
      </c>
      <c r="I48" s="59">
        <f>IF(($C$5*'Tariffs July2016'!AK42/'Tariffs July2016'!AI42&gt;'Tariffs July2016'!M42),($C$5*'Tariffs July2016'!AK42/'Tariffs July2016'!AI42-'Tariffs July2016'!M42)*'Tariffs July2016'!S42/100*'Tariffs July2016'!AI42,0)</f>
        <v>195.27265799999998</v>
      </c>
      <c r="J48" s="59">
        <f>IF($C$5*'Tariffs July2016'!AL42/'Tariffs July2016'!AJ42&gt;='Tariffs July2016'!J42,('Tariffs July2016'!J42*'Tariffs July2016'!U42/100)* 'Tariffs July2016'!AJ42,($C$5*'Tariffs July2016'!AL42/'Tariffs July2016'!AJ42*'Tariffs July2016'!U42/100)* 'Tariffs July2016'!AJ42)</f>
        <v>124.0988</v>
      </c>
      <c r="K48" s="59">
        <f>IF($C$5*'Tariffs July2016'!AL42/'Tariffs July2016'!AJ42&lt;'Tariffs July2016'!J42,0,IF($C$5*'Tariffs July2016'!AL42/'Tariffs July2016'!AJ42&lt;='Tariffs July2016'!K42,($C$5*'Tariffs July2016'!AL42/'Tariffs July2016'!AJ42-'Tariffs July2016'!J42)*('Tariffs July2016'!V42/100)*'Tariffs July2016'!AJ42,('Tariffs July2016'!K42-'Tariffs July2016'!J42)*('Tariffs July2016'!V42/100)*'Tariffs July2016'!AJ42))</f>
        <v>85.094000000000008</v>
      </c>
      <c r="L48" s="59">
        <f>IF($C$5*'Tariffs July2016'!AL42/'Tariffs July2016'!AJ42&lt;'Tariffs July2016'!K42,0,IF($C$5*'Tariffs July2016'!AL42/'Tariffs July2016'!AJ42&lt;='Tariffs July2016'!L42,($C$5*'Tariffs July2016'!AL42/'Tariffs July2016'!AJ42-'Tariffs July2016'!K42)*('Tariffs July2016'!W42/100)*'Tariffs July2016'!AJ42,('Tariffs July2016'!L42-'Tariffs July2016'!K42)*('Tariffs July2016'!W42/100)*'Tariffs July2016'!AJ42))</f>
        <v>0</v>
      </c>
      <c r="M48" s="59">
        <f>IF($C$5*'Tariffs July2016'!AL42/'Tariffs July2016'!AJ42&lt;'Tariffs July2016'!L42,0,IF($C$5*'Tariffs July2016'!AL42/'Tariffs July2016'!AJ42&lt;='Tariffs July2016'!M42,($C$5*'Tariffs July2016'!AL42/'Tariffs July2016'!AJ42-'Tariffs July2016'!L42)*('Tariffs July2016'!X42/100)*'Tariffs July2016'!AJ42,('Tariffs July2016'!M42-'Tariffs July2016'!L42)*('Tariffs July2016'!X42/100)*'Tariffs July2016'!AJ42))</f>
        <v>0</v>
      </c>
      <c r="N48" s="59">
        <f>IF(($C$5*'Tariffs July2016'!AL42/'Tariffs July2016'!AJ42&gt;'Tariffs July2016'!M42),($C$5*'Tariffs July2016'!AL42/'Tariffs July2016'!AJ42-'Tariffs July2016'!M42)*'Tariffs July2016'!Y42/100*'Tariffs July2016'!AJ42,0)</f>
        <v>378.24703799999986</v>
      </c>
      <c r="O48" s="271">
        <f t="shared" si="0"/>
        <v>889.79599599999983</v>
      </c>
      <c r="P48" s="59">
        <f t="shared" si="1"/>
        <v>1117.4829959999997</v>
      </c>
      <c r="Q48" s="272">
        <f t="shared" si="2"/>
        <v>1229.2312955999998</v>
      </c>
      <c r="R48" s="40">
        <f>'Tariffs July2016'!AM42</f>
        <v>0</v>
      </c>
      <c r="S48" s="40">
        <f>'Tariffs July2016'!AN42</f>
        <v>0</v>
      </c>
      <c r="T48" s="40">
        <f>'Tariffs July2016'!AO42</f>
        <v>0</v>
      </c>
      <c r="U48" s="40">
        <f>'Tariffs July2016'!AP42</f>
        <v>0</v>
      </c>
      <c r="V48" s="273">
        <f t="shared" si="3"/>
        <v>1117.4829959999997</v>
      </c>
      <c r="W48" s="273">
        <f>V48</f>
        <v>1117.4829959999997</v>
      </c>
      <c r="X48" s="272">
        <f t="shared" si="4"/>
        <v>1229.2312955999998</v>
      </c>
      <c r="Y48" s="272">
        <f t="shared" si="5"/>
        <v>1229.2312955999998</v>
      </c>
      <c r="Z48" s="274">
        <f>'Tariffs July2016'!AW42</f>
        <v>0</v>
      </c>
      <c r="AA48" s="274" t="str">
        <f>'Tariffs July2016'!AX42</f>
        <v>n</v>
      </c>
      <c r="AB48" s="275" t="str">
        <f>'Tariffs July2016'!BD42</f>
        <v>Y</v>
      </c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</row>
    <row r="49" spans="1:40" x14ac:dyDescent="0.15">
      <c r="A49" s="270" t="str">
        <f>'Tariffs July2016'!F43</f>
        <v>Origin Energy</v>
      </c>
      <c r="B49" s="40" t="str">
        <f>'Tariffs July2016'!D43</f>
        <v>Envestra Central 2</v>
      </c>
      <c r="C49" s="40" t="str">
        <f>'Tariffs July2016'!G43</f>
        <v>Saver</v>
      </c>
      <c r="D49" s="59">
        <f>365*'Tariffs July2016'!H43/100</f>
        <v>234.07449999999997</v>
      </c>
      <c r="E49" s="59">
        <f>IF($C$5*'Tariffs July2016'!AK43/'Tariffs July2016'!AI43&gt;='Tariffs July2016'!J43,( 'Tariffs July2016'!J43*'Tariffs July2016'!O43/100)* 'Tariffs July2016'!AI43,($C$5*'Tariffs July2016'!AK43/'Tariffs July2016'!AI43*'Tariffs July2016'!O43/100)* 'Tariffs July2016'!AI43)</f>
        <v>160.15999999999997</v>
      </c>
      <c r="F49" s="59">
        <f>IF($C$5*'Tariffs July2016'!AK43/'Tariffs July2016'!AI43&lt;'Tariffs July2016'!J43,0,IF($C$5*'Tariffs July2016'!AK43/'Tariffs July2016'!AI43&lt;='Tariffs July2016'!K43,($C$5*'Tariffs July2016'!AK43/'Tariffs July2016'!AI43-'Tariffs July2016'!J43)*('Tariffs July2016'!P43/100)*'Tariffs July2016'!AI43,('Tariffs July2016'!K43-'Tariffs July2016'!J43)*('Tariffs July2016'!P43/100)*'Tariffs July2016'!AI43))</f>
        <v>232.40245199999995</v>
      </c>
      <c r="G49" s="59">
        <f>IF($C$5*'Tariffs July2016'!AK43/'Tariffs July2016'!AI43&lt;'Tariffs July2016'!K43,0,IF($C$5*'Tariffs July2016'!AK43/'Tariffs July2016'!AI43&lt;='Tariffs July2016'!L43,($C$5*'Tariffs July2016'!AK43/'Tariffs July2016'!AI43-'Tariffs July2016'!K43)*('Tariffs July2016'!Q43/100)*'Tariffs July2016'!AI43,('Tariffs July2016'!L43-'Tariffs July2016'!K43)*('Tariffs July2016'!Q43/100)*'Tariffs July2016'!AI43))</f>
        <v>0</v>
      </c>
      <c r="H49" s="59">
        <f>IF($C$5*'Tariffs July2016'!AK43/'Tariffs July2016'!AI43&lt;'Tariffs July2016'!L43,0,IF($C$5*'Tariffs July2016'!AK43/'Tariffs July2016'!AI43&lt;='Tariffs July2016'!M43,($C$5*'Tariffs July2016'!AK43/'Tariffs July2016'!AI43-'Tariffs July2016'!L43)*('Tariffs July2016'!R43/100)*'Tariffs July2016'!AI43,('Tariffs July2016'!M43-'Tariffs July2016'!L43)*('Tariffs July2016'!R43/100)*'Tariffs July2016'!AI43))</f>
        <v>0</v>
      </c>
      <c r="I49" s="59">
        <f>IF(($C$5*'Tariffs July2016'!AK43/'Tariffs July2016'!AI43&gt;'Tariffs July2016'!M43),($C$5*'Tariffs July2016'!AK43/'Tariffs July2016'!AI43-'Tariffs July2016'!M43)*'Tariffs July2016'!S43/100*'Tariffs July2016'!AI43,0)</f>
        <v>0</v>
      </c>
      <c r="J49" s="59">
        <f>IF($C$5*'Tariffs July2016'!AL43/'Tariffs July2016'!AJ43&gt;='Tariffs July2016'!J43,('Tariffs July2016'!J43*'Tariffs July2016'!U43/100)* 'Tariffs July2016'!AJ43,($C$5*'Tariffs July2016'!AL43/'Tariffs July2016'!AJ43*'Tariffs July2016'!U43/100)* 'Tariffs July2016'!AJ43)</f>
        <v>320.31999999999994</v>
      </c>
      <c r="K49" s="59">
        <f>IF($C$5*'Tariffs July2016'!AL43/'Tariffs July2016'!AJ43&lt;'Tariffs July2016'!J43,0,IF($C$5*'Tariffs July2016'!AL43/'Tariffs July2016'!AJ43&lt;='Tariffs July2016'!K43,($C$5*'Tariffs July2016'!AL43/'Tariffs July2016'!AJ43-'Tariffs July2016'!J43)*('Tariffs July2016'!V43/100)*'Tariffs July2016'!AJ43,('Tariffs July2016'!K43-'Tariffs July2016'!J43)*('Tariffs July2016'!V43/100)*'Tariffs July2016'!AJ43))</f>
        <v>464.80490399999991</v>
      </c>
      <c r="L49" s="59">
        <f>IF($C$5*'Tariffs July2016'!AL43/'Tariffs July2016'!AJ43&lt;'Tariffs July2016'!K43,0,IF($C$5*'Tariffs July2016'!AL43/'Tariffs July2016'!AJ43&lt;='Tariffs July2016'!L43,($C$5*'Tariffs July2016'!AL43/'Tariffs July2016'!AJ43-'Tariffs July2016'!K43)*('Tariffs July2016'!W43/100)*'Tariffs July2016'!AJ43,('Tariffs July2016'!L43-'Tariffs July2016'!K43)*('Tariffs July2016'!W43/100)*'Tariffs July2016'!AJ43))</f>
        <v>0</v>
      </c>
      <c r="M49" s="59">
        <f>IF($C$5*'Tariffs July2016'!AL43/'Tariffs July2016'!AJ43&lt;'Tariffs July2016'!L43,0,IF($C$5*'Tariffs July2016'!AL43/'Tariffs July2016'!AJ43&lt;='Tariffs July2016'!M43,($C$5*'Tariffs July2016'!AL43/'Tariffs July2016'!AJ43-'Tariffs July2016'!L43)*('Tariffs July2016'!X43/100)*'Tariffs July2016'!AJ43,('Tariffs July2016'!M43-'Tariffs July2016'!L43)*('Tariffs July2016'!X43/100)*'Tariffs July2016'!AJ43))</f>
        <v>0</v>
      </c>
      <c r="N49" s="59">
        <f>IF(($C$5*'Tariffs July2016'!AL43/'Tariffs July2016'!AJ43&gt;'Tariffs July2016'!M43),($C$5*'Tariffs July2016'!AL43/'Tariffs July2016'!AJ43-'Tariffs July2016'!M43)*'Tariffs July2016'!Y43/100*'Tariffs July2016'!AJ43,0)</f>
        <v>0</v>
      </c>
      <c r="O49" s="271">
        <f t="shared" si="0"/>
        <v>1177.6873559999997</v>
      </c>
      <c r="P49" s="59">
        <f t="shared" si="1"/>
        <v>1411.7618559999996</v>
      </c>
      <c r="Q49" s="272">
        <f t="shared" si="2"/>
        <v>1552.9380415999997</v>
      </c>
      <c r="R49" s="40">
        <f>'Tariffs July2016'!AM43</f>
        <v>0</v>
      </c>
      <c r="S49" s="40">
        <f>'Tariffs July2016'!AN43</f>
        <v>0</v>
      </c>
      <c r="T49" s="40">
        <f>'Tariffs July2016'!AO43</f>
        <v>0</v>
      </c>
      <c r="U49" s="40">
        <f>'Tariffs July2016'!AP43</f>
        <v>13</v>
      </c>
      <c r="V49" s="273">
        <f t="shared" si="3"/>
        <v>1411.7618559999996</v>
      </c>
      <c r="W49" s="273">
        <f>V49-(O49*U49/100)</f>
        <v>1258.6624997199997</v>
      </c>
      <c r="X49" s="272">
        <f t="shared" si="4"/>
        <v>1552.9380415999997</v>
      </c>
      <c r="Y49" s="272">
        <f t="shared" si="5"/>
        <v>1384.5287496919998</v>
      </c>
      <c r="Z49" s="274">
        <f>'Tariffs July2016'!AW43</f>
        <v>0</v>
      </c>
      <c r="AA49" s="274" t="str">
        <f>'Tariffs July2016'!AX43</f>
        <v>n</v>
      </c>
      <c r="AB49" s="275" t="str">
        <f>'Tariffs July2016'!BD43</f>
        <v>N</v>
      </c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</row>
    <row r="50" spans="1:40" x14ac:dyDescent="0.15">
      <c r="A50" s="270" t="str">
        <f>'Tariffs July2016'!F44</f>
        <v>Red Energy</v>
      </c>
      <c r="B50" s="40" t="str">
        <f>'Tariffs July2016'!D44</f>
        <v>Envestra Central 2</v>
      </c>
      <c r="C50" s="40" t="str">
        <f>'Tariffs July2016'!G44</f>
        <v>Living Energy Saver</v>
      </c>
      <c r="D50" s="59">
        <f>365*'Tariffs July2016'!H44/100</f>
        <v>248.2</v>
      </c>
      <c r="E50" s="59">
        <f>IF($C$5*'Tariffs July2016'!AK44/'Tariffs July2016'!AI44&gt;='Tariffs July2016'!J44,( 'Tariffs July2016'!J44*'Tariffs July2016'!O44/100)* 'Tariffs July2016'!AI44,($C$5*'Tariffs July2016'!AK44/'Tariffs July2016'!AI44*'Tariffs July2016'!O44/100)* 'Tariffs July2016'!AI44)</f>
        <v>112.68</v>
      </c>
      <c r="F50" s="59">
        <f>IF($C$5*'Tariffs July2016'!AK44/'Tariffs July2016'!AI44&lt;'Tariffs July2016'!J44,0,IF($C$5*'Tariffs July2016'!AK44/'Tariffs July2016'!AI44&lt;='Tariffs July2016'!K44,($C$5*'Tariffs July2016'!AK44/'Tariffs July2016'!AI44-'Tariffs July2016'!J44)*('Tariffs July2016'!S44/100)*'Tariffs July2016'!AI44,('Tariffs July2016'!K44-'Tariffs July2016'!J44)*('Tariffs July2016'!S44/100)*'Tariffs July2016'!AI44))</f>
        <v>0</v>
      </c>
      <c r="G50" s="59">
        <f>IF($C$5*'Tariffs July2016'!AK44/'Tariffs July2016'!AI44&lt;'Tariffs July2016'!K44,0,IF($C$5*'Tariffs July2016'!AK44/'Tariffs July2016'!AI44&lt;='Tariffs July2016'!L44,($C$5*'Tariffs July2016'!AK44/'Tariffs July2016'!AI44-'Tariffs July2016'!K44)*('Tariffs July2016'!Q44/100)*'Tariffs July2016'!AI44,('Tariffs July2016'!L44-'Tariffs July2016'!K44)*('Tariffs July2016'!Q44/100)*'Tariffs July2016'!AI44))</f>
        <v>0</v>
      </c>
      <c r="H50" s="59">
        <f>IF($C$5*'Tariffs July2016'!AK44/'Tariffs July2016'!AI44&lt;'Tariffs July2016'!L44,0,IF($C$5*'Tariffs July2016'!AK44/'Tariffs July2016'!AI44&lt;='Tariffs July2016'!M44,($C$5*'Tariffs July2016'!AK44/'Tariffs July2016'!AI44-'Tariffs July2016'!L44)*('Tariffs July2016'!R44/100)*'Tariffs July2016'!AI44,('Tariffs July2016'!M44-'Tariffs July2016'!L44)*('Tariffs July2016'!R44/100)*'Tariffs July2016'!AI44))</f>
        <v>0</v>
      </c>
      <c r="I50" s="59">
        <f>IF(($C$5*'Tariffs July2016'!AK44/'Tariffs July2016'!AI44&gt;'Tariffs July2016'!M44),($C$5*'Tariffs July2016'!AK44/'Tariffs July2016'!AI44-'Tariffs July2016'!M44)*'Tariffs July2016'!S44/100*'Tariffs July2016'!AI44,0)</f>
        <v>208.47080999999994</v>
      </c>
      <c r="J50" s="59">
        <f>IF($C$5*'Tariffs July2016'!AL44/'Tariffs July2016'!AJ44&gt;='Tariffs July2016'!J44,('Tariffs July2016'!J44*'Tariffs July2016'!U44/100)* 'Tariffs July2016'!AJ44,($C$5*'Tariffs July2016'!AL44/'Tariffs July2016'!AJ44*'Tariffs July2016'!U44/100)* 'Tariffs July2016'!AJ44)</f>
        <v>225.36</v>
      </c>
      <c r="K50" s="59">
        <f>IF($C$5*'Tariffs July2016'!AL44/'Tariffs July2016'!AJ44&lt;'Tariffs July2016'!J44,0,IF($C$5*'Tariffs July2016'!AL44/'Tariffs July2016'!AJ44&lt;='Tariffs July2016'!K44,($C$5*'Tariffs July2016'!AL44/'Tariffs July2016'!AJ44-'Tariffs July2016'!J44)*('Tariffs July2016'!V44/100)*'Tariffs July2016'!AJ44,('Tariffs July2016'!K44-'Tariffs July2016'!J44)*('Tariffs July2016'!V44/100)*'Tariffs July2016'!AJ44))</f>
        <v>0</v>
      </c>
      <c r="L50" s="59">
        <f>IF($C$5*'Tariffs July2016'!AL44/'Tariffs July2016'!AJ44&lt;'Tariffs July2016'!K44,0,IF($C$5*'Tariffs July2016'!AL44/'Tariffs July2016'!AJ44&lt;='Tariffs July2016'!L44,($C$5*'Tariffs July2016'!AL44/'Tariffs July2016'!AJ44-'Tariffs July2016'!K44)*('Tariffs July2016'!W44/100)*'Tariffs July2016'!AJ44,('Tariffs July2016'!L44-'Tariffs July2016'!K44)*('Tariffs July2016'!W44/100)*'Tariffs July2016'!AJ44))</f>
        <v>0</v>
      </c>
      <c r="M50" s="59">
        <f>IF($C$5*'Tariffs July2016'!AL44/'Tariffs July2016'!AJ44&lt;'Tariffs July2016'!L44,0,IF($C$5*'Tariffs July2016'!AL44/'Tariffs July2016'!AJ44&lt;='Tariffs July2016'!M44,($C$5*'Tariffs July2016'!AL44/'Tariffs July2016'!AJ44-'Tariffs July2016'!L44)*('Tariffs July2016'!X44/100)*'Tariffs July2016'!AJ44,('Tariffs July2016'!M44-'Tariffs July2016'!L44)*('Tariffs July2016'!X44/100)*'Tariffs July2016'!AJ44))</f>
        <v>0</v>
      </c>
      <c r="N50" s="59">
        <f>IF(($C$5*'Tariffs July2016'!AL44/'Tariffs July2016'!AJ44&gt;'Tariffs July2016'!M44),($C$5*'Tariffs July2016'!AL44/'Tariffs July2016'!AJ44-'Tariffs July2016'!M44)*'Tariffs July2016'!Y44/100*'Tariffs July2016'!AJ44,0)</f>
        <v>416.94161999999989</v>
      </c>
      <c r="O50" s="271">
        <f t="shared" si="0"/>
        <v>963.45242999999982</v>
      </c>
      <c r="P50" s="59">
        <f t="shared" si="1"/>
        <v>1211.6524299999999</v>
      </c>
      <c r="Q50" s="272">
        <f t="shared" si="2"/>
        <v>1332.817673</v>
      </c>
      <c r="R50" s="40">
        <f>'Tariffs July2016'!AM44</f>
        <v>0</v>
      </c>
      <c r="S50" s="40">
        <f>'Tariffs July2016'!AN44</f>
        <v>0</v>
      </c>
      <c r="T50" s="40">
        <f>'Tariffs July2016'!AO44</f>
        <v>10</v>
      </c>
      <c r="U50" s="40">
        <f>'Tariffs July2016'!AP44</f>
        <v>0</v>
      </c>
      <c r="V50" s="273">
        <f t="shared" si="3"/>
        <v>1211.6524299999999</v>
      </c>
      <c r="W50" s="273">
        <f>V50-(P50*T50/100)</f>
        <v>1090.4871869999999</v>
      </c>
      <c r="X50" s="272">
        <f t="shared" si="4"/>
        <v>1332.817673</v>
      </c>
      <c r="Y50" s="272">
        <f t="shared" si="5"/>
        <v>1199.5359057000001</v>
      </c>
      <c r="Z50" s="274">
        <f>'Tariffs July2016'!AW44</f>
        <v>0</v>
      </c>
      <c r="AA50" s="274" t="str">
        <f>'Tariffs July2016'!AX44</f>
        <v>n</v>
      </c>
      <c r="AB50" s="275" t="str">
        <f>'Tariffs July2016'!BD44</f>
        <v>Y</v>
      </c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</row>
    <row r="51" spans="1:40" ht="14" thickBot="1" x14ac:dyDescent="0.2">
      <c r="A51" s="276" t="str">
        <f>'Tariffs July2016'!F45</f>
        <v>Simply Energy</v>
      </c>
      <c r="B51" s="277" t="str">
        <f>'Tariffs July2016'!D45</f>
        <v>Envestra Central 2</v>
      </c>
      <c r="C51" s="277" t="str">
        <f>'Tariffs July2016'!G45</f>
        <v>Plus</v>
      </c>
      <c r="D51" s="278">
        <f>365*'Tariffs July2016'!H45/100</f>
        <v>208.12300000000002</v>
      </c>
      <c r="E51" s="278">
        <f>IF($C$5*'Tariffs July2016'!AK45/'Tariffs July2016'!AI45&gt;='Tariffs July2016'!J45,( 'Tariffs July2016'!J45*'Tariffs July2016'!O45/100)* 'Tariffs July2016'!AI45,($C$5*'Tariffs July2016'!AK45/'Tariffs July2016'!AI45*'Tariffs July2016'!O45/100)* 'Tariffs July2016'!AI45)</f>
        <v>75.669999999999987</v>
      </c>
      <c r="F51" s="278">
        <f>IF($C$5*'Tariffs July2016'!AK45/'Tariffs July2016'!AI45&lt;'Tariffs July2016'!J45,0,IF($C$5*'Tariffs July2016'!AK45/'Tariffs July2016'!AI45&lt;='Tariffs July2016'!K45,($C$5*'Tariffs July2016'!AK45/'Tariffs July2016'!AI45-'Tariffs July2016'!J45)*('Tariffs July2016'!P45/100)*'Tariffs July2016'!AI45,('Tariffs July2016'!K45-'Tariffs July2016'!J45)*('Tariffs July2016'!P45/100)*'Tariffs July2016'!AI45))</f>
        <v>52.302999999999997</v>
      </c>
      <c r="G51" s="278">
        <f>IF($C$5*'Tariffs July2016'!AK45/'Tariffs July2016'!AI45&lt;'Tariffs July2016'!K45,0,IF($C$5*'Tariffs July2016'!AK45/'Tariffs July2016'!AI45&lt;='Tariffs July2016'!L45,($C$5*'Tariffs July2016'!AK45/'Tariffs July2016'!AI45-'Tariffs July2016'!K45)*('Tariffs July2016'!Q45/100)*'Tariffs July2016'!AI45,('Tariffs July2016'!L45-'Tariffs July2016'!K45)*('Tariffs July2016'!Q45/100)*'Tariffs July2016'!AI45))</f>
        <v>0</v>
      </c>
      <c r="H51" s="278">
        <f>IF($C$5*'Tariffs July2016'!AK45/'Tariffs July2016'!AI45&lt;'Tariffs July2016'!L45,0,IF($C$5*'Tariffs July2016'!AK45/'Tariffs July2016'!AI45&lt;='Tariffs July2016'!M45,($C$5*'Tariffs July2016'!AK45/'Tariffs July2016'!AI45-'Tariffs July2016'!L45)*('Tariffs July2016'!R45/100)*'Tariffs July2016'!AI45,('Tariffs July2016'!M45-'Tariffs July2016'!L45)*('Tariffs July2016'!R45/100)*'Tariffs July2016'!AI45))</f>
        <v>0</v>
      </c>
      <c r="I51" s="278">
        <f>IF(($C$5*'Tariffs July2016'!AK45/'Tariffs July2016'!AI45&gt;'Tariffs July2016'!M45),($C$5*'Tariffs July2016'!AK45/'Tariffs July2016'!AI45-'Tariffs July2016'!M45)*'Tariffs July2016'!S45/100*'Tariffs July2016'!AI45,0)</f>
        <v>242.96597999999997</v>
      </c>
      <c r="J51" s="278">
        <f>IF($C$5*'Tariffs July2016'!AL45/'Tariffs July2016'!AJ45&gt;='Tariffs July2016'!J45,('Tariffs July2016'!J45*'Tariffs July2016'!U45/100)* 'Tariffs July2016'!AJ45,($C$5*'Tariffs July2016'!AL45/'Tariffs July2016'!AJ45*'Tariffs July2016'!U45/100)* 'Tariffs July2016'!AJ45)</f>
        <v>151.33999999999997</v>
      </c>
      <c r="K51" s="278">
        <f>IF($C$5*'Tariffs July2016'!AL45/'Tariffs July2016'!AJ45&lt;'Tariffs July2016'!J45,0,IF($C$5*'Tariffs July2016'!AL45/'Tariffs July2016'!AJ45&lt;='Tariffs July2016'!K45,($C$5*'Tariffs July2016'!AL45/'Tariffs July2016'!AJ45-'Tariffs July2016'!J45)*('Tariffs July2016'!V45/100)*'Tariffs July2016'!AJ45,('Tariffs July2016'!K45-'Tariffs July2016'!J45)*('Tariffs July2016'!V45/100)*'Tariffs July2016'!AJ45))</f>
        <v>104.60599999999999</v>
      </c>
      <c r="L51" s="278">
        <f>IF($C$5*'Tariffs July2016'!AL45/'Tariffs July2016'!AJ45&lt;'Tariffs July2016'!K45,0,IF($C$5*'Tariffs July2016'!AL45/'Tariffs July2016'!AJ45&lt;='Tariffs July2016'!L45,($C$5*'Tariffs July2016'!AL45/'Tariffs July2016'!AJ45-'Tariffs July2016'!K45)*('Tariffs July2016'!W45/100)*'Tariffs July2016'!AJ45,('Tariffs July2016'!L45-'Tariffs July2016'!K45)*('Tariffs July2016'!W45/100)*'Tariffs July2016'!AJ45))</f>
        <v>0</v>
      </c>
      <c r="M51" s="278">
        <f>IF($C$5*'Tariffs July2016'!AL45/'Tariffs July2016'!AJ45&lt;'Tariffs July2016'!L45,0,IF($C$5*'Tariffs July2016'!AL45/'Tariffs July2016'!AJ45&lt;='Tariffs July2016'!M45,($C$5*'Tariffs July2016'!AL45/'Tariffs July2016'!AJ45-'Tariffs July2016'!L45)*('Tariffs July2016'!X45/100)*'Tariffs July2016'!AJ45,('Tariffs July2016'!M45-'Tariffs July2016'!L45)*('Tariffs July2016'!X45/100)*'Tariffs July2016'!AJ45))</f>
        <v>0</v>
      </c>
      <c r="N51" s="278">
        <f>IF(($C$5*'Tariffs July2016'!AL45/'Tariffs July2016'!AJ45&gt;'Tariffs July2016'!M45),($C$5*'Tariffs July2016'!AL45/'Tariffs July2016'!AJ45-'Tariffs July2016'!M45)*'Tariffs July2016'!Y45/100*'Tariffs July2016'!AJ45,0)</f>
        <v>485.93195999999995</v>
      </c>
      <c r="O51" s="279">
        <f t="shared" si="0"/>
        <v>1112.8169399999999</v>
      </c>
      <c r="P51" s="278">
        <f t="shared" si="1"/>
        <v>1320.93994</v>
      </c>
      <c r="Q51" s="280">
        <f t="shared" si="2"/>
        <v>1453.033934</v>
      </c>
      <c r="R51" s="277">
        <f>'Tariffs July2016'!AM45</f>
        <v>0</v>
      </c>
      <c r="S51" s="277">
        <f>'Tariffs July2016'!AN45</f>
        <v>15</v>
      </c>
      <c r="T51" s="277">
        <f>'Tariffs July2016'!AO45</f>
        <v>0</v>
      </c>
      <c r="U51" s="277">
        <f>'Tariffs July2016'!AP45</f>
        <v>5</v>
      </c>
      <c r="V51" s="281">
        <f>P51-(O51*S51/100)</f>
        <v>1154.0173990000001</v>
      </c>
      <c r="W51" s="281">
        <f>V51-(O51*U51/100)</f>
        <v>1098.3765520000002</v>
      </c>
      <c r="X51" s="280">
        <f t="shared" si="4"/>
        <v>1269.4191389000002</v>
      </c>
      <c r="Y51" s="280">
        <f t="shared" si="5"/>
        <v>1208.2142072000004</v>
      </c>
      <c r="Z51" s="282">
        <f>'Tariffs July2016'!AW45</f>
        <v>24</v>
      </c>
      <c r="AA51" s="282" t="str">
        <f>'Tariffs July2016'!AX45</f>
        <v>n</v>
      </c>
      <c r="AB51" s="283" t="str">
        <f>'Tariffs July2016'!BD45</f>
        <v>Y</v>
      </c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</row>
    <row r="52" spans="1:40" x14ac:dyDescent="0.15">
      <c r="A52" s="270" t="str">
        <f>'Tariffs July2016'!F46</f>
        <v>AGL</v>
      </c>
      <c r="B52" s="40" t="str">
        <f>'Tariffs July2016'!D46</f>
        <v>Envestra Central 1</v>
      </c>
      <c r="C52" s="40" t="str">
        <f>'Tariffs July2016'!G46</f>
        <v>Savers</v>
      </c>
      <c r="D52" s="59">
        <f>365*'Tariffs July2016'!H46/100</f>
        <v>247.28749999999999</v>
      </c>
      <c r="E52" s="59">
        <f>IF($C$5*'Tariffs July2016'!AK46/'Tariffs July2016'!AI46&gt;='Tariffs July2016'!J46,( 'Tariffs July2016'!J46*'Tariffs July2016'!O46/100)* 'Tariffs July2016'!AI46,($C$5*'Tariffs July2016'!AK46/'Tariffs July2016'!AI46*'Tariffs July2016'!O46/100)* 'Tariffs July2016'!AI46)</f>
        <v>73.860500000000002</v>
      </c>
      <c r="F52" s="59">
        <f>IF($C$5*'Tariffs July2016'!AK46/'Tariffs July2016'!AI46&lt;'Tariffs July2016'!J46,0,IF($C$5*'Tariffs July2016'!AK46/'Tariffs July2016'!AI46&lt;='Tariffs July2016'!K46,($C$5*'Tariffs July2016'!AK46/'Tariffs July2016'!AI46-'Tariffs July2016'!J46)*('Tariffs July2016'!P46/100)*'Tariffs July2016'!AI46,('Tariffs July2016'!K46-'Tariffs July2016'!J46)*('Tariffs July2016'!P46/100)*'Tariffs July2016'!AI46))</f>
        <v>52.086200000000005</v>
      </c>
      <c r="G52" s="59">
        <f>IF($C$5*'Tariffs July2016'!AK46/'Tariffs July2016'!AI46&lt;'Tariffs July2016'!K46,0,IF($C$5*'Tariffs July2016'!AK46/'Tariffs July2016'!AI46&lt;='Tariffs July2016'!L46,($C$5*'Tariffs July2016'!AK46/'Tariffs July2016'!AI46-'Tariffs July2016'!K46)*('Tariffs July2016'!Q46/100)*'Tariffs July2016'!AI46,('Tariffs July2016'!L46-'Tariffs July2016'!K46)*('Tariffs July2016'!Q46/100)*'Tariffs July2016'!AI46))</f>
        <v>0</v>
      </c>
      <c r="H52" s="59">
        <f>IF($C$5*'Tariffs July2016'!AK46/'Tariffs July2016'!AI46&lt;'Tariffs July2016'!L46,0,IF($C$5*'Tariffs July2016'!AK46/'Tariffs July2016'!AI46&lt;='Tariffs July2016'!M46,($C$5*'Tariffs July2016'!AK46/'Tariffs July2016'!AI46-'Tariffs July2016'!L46)*('Tariffs July2016'!R46/100)*'Tariffs July2016'!AI46,('Tariffs July2016'!M46-'Tariffs July2016'!L46)*('Tariffs July2016'!R46/100)*'Tariffs July2016'!AI46))</f>
        <v>0</v>
      </c>
      <c r="I52" s="59">
        <f>IF(($C$5*'Tariffs July2016'!AK46/'Tariffs July2016'!AI46&gt;'Tariffs July2016'!M46),($C$5*'Tariffs July2016'!AK46/'Tariffs July2016'!AI46-'Tariffs July2016'!M46)*'Tariffs July2016'!S46/100*'Tariffs July2016'!AI46,0)</f>
        <v>229.46786999999998</v>
      </c>
      <c r="J52" s="59">
        <f>IF($C$5*'Tariffs July2016'!AL46/'Tariffs July2016'!AJ46&gt;='Tariffs July2016'!J46,('Tariffs July2016'!J46*'Tariffs July2016'!U46/100)* 'Tariffs July2016'!AJ46,($C$5*'Tariffs July2016'!AL46/'Tariffs July2016'!AJ46*'Tariffs July2016'!U46/100)* 'Tariffs July2016'!AJ46)</f>
        <v>147.721</v>
      </c>
      <c r="K52" s="59">
        <f>IF($C$5*'Tariffs July2016'!AL46/'Tariffs July2016'!AJ46&lt;'Tariffs July2016'!J46,0,IF($C$5*'Tariffs July2016'!AL46/'Tariffs July2016'!AJ46&lt;='Tariffs July2016'!K46,($C$5*'Tariffs July2016'!AL46/'Tariffs July2016'!AJ46-'Tariffs July2016'!J46)*('Tariffs July2016'!V46/100)*'Tariffs July2016'!AJ46,('Tariffs July2016'!K46-'Tariffs July2016'!J46)*('Tariffs July2016'!V46/100)*'Tariffs July2016'!AJ46))</f>
        <v>104.17240000000001</v>
      </c>
      <c r="L52" s="59">
        <f>IF($C$5*'Tariffs July2016'!AL46/'Tariffs July2016'!AJ46&lt;'Tariffs July2016'!K46,0,IF($C$5*'Tariffs July2016'!AL46/'Tariffs July2016'!AJ46&lt;='Tariffs July2016'!L46,($C$5*'Tariffs July2016'!AL46/'Tariffs July2016'!AJ46-'Tariffs July2016'!K46)*('Tariffs July2016'!W46/100)*'Tariffs July2016'!AJ46,('Tariffs July2016'!L46-'Tariffs July2016'!K46)*('Tariffs July2016'!W46/100)*'Tariffs July2016'!AJ46))</f>
        <v>0</v>
      </c>
      <c r="M52" s="59">
        <f>IF($C$5*'Tariffs July2016'!AL46/'Tariffs July2016'!AJ46&lt;'Tariffs July2016'!L46,0,IF($C$5*'Tariffs July2016'!AL46/'Tariffs July2016'!AJ46&lt;='Tariffs July2016'!M46,($C$5*'Tariffs July2016'!AL46/'Tariffs July2016'!AJ46-'Tariffs July2016'!L46)*('Tariffs July2016'!X46/100)*'Tariffs July2016'!AJ46,('Tariffs July2016'!M46-'Tariffs July2016'!L46)*('Tariffs July2016'!X46/100)*'Tariffs July2016'!AJ46))</f>
        <v>0</v>
      </c>
      <c r="N52" s="59">
        <f>IF(($C$5*'Tariffs July2016'!AL46/'Tariffs July2016'!AJ46&gt;'Tariffs July2016'!M46),($C$5*'Tariffs July2016'!AL46/'Tariffs July2016'!AJ46-'Tariffs July2016'!M46)*'Tariffs July2016'!Y46/100*'Tariffs July2016'!AJ46,0)</f>
        <v>458.93573999999995</v>
      </c>
      <c r="O52" s="271">
        <f t="shared" si="0"/>
        <v>1066.24371</v>
      </c>
      <c r="P52" s="59">
        <f t="shared" si="1"/>
        <v>1313.5312099999999</v>
      </c>
      <c r="Q52" s="272">
        <f t="shared" si="2"/>
        <v>1444.884331</v>
      </c>
      <c r="R52" s="40">
        <f>'Tariffs July2016'!AM46</f>
        <v>0</v>
      </c>
      <c r="S52" s="40">
        <f>'Tariffs July2016'!AN46</f>
        <v>0</v>
      </c>
      <c r="T52" s="40">
        <f>'Tariffs July2016'!AO46</f>
        <v>0</v>
      </c>
      <c r="U52" s="40">
        <f>'Tariffs July2016'!AP46</f>
        <v>13</v>
      </c>
      <c r="V52" s="273">
        <f t="shared" si="3"/>
        <v>1313.5312099999999</v>
      </c>
      <c r="W52" s="273">
        <f>V52-(O52*U52/100)</f>
        <v>1174.9195276999999</v>
      </c>
      <c r="X52" s="272">
        <f t="shared" si="4"/>
        <v>1444.884331</v>
      </c>
      <c r="Y52" s="272">
        <f t="shared" si="5"/>
        <v>1292.41148047</v>
      </c>
      <c r="Z52" s="274">
        <f>'Tariffs July2016'!AW46</f>
        <v>0</v>
      </c>
      <c r="AA52" s="274" t="str">
        <f>'Tariffs July2016'!AX46</f>
        <v>n</v>
      </c>
      <c r="AB52" s="275" t="str">
        <f>'Tariffs July2016'!BD46</f>
        <v>N</v>
      </c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</row>
    <row r="53" spans="1:40" x14ac:dyDescent="0.15">
      <c r="A53" s="270" t="str">
        <f>'Tariffs July2016'!F47</f>
        <v>Alinta Energy</v>
      </c>
      <c r="B53" s="40" t="str">
        <f>'Tariffs July2016'!D47</f>
        <v>Envestra Central 1</v>
      </c>
      <c r="C53" s="40" t="str">
        <f>'Tariffs July2016'!G47</f>
        <v>Fair Deal</v>
      </c>
      <c r="D53" s="59">
        <f>365*'Tariffs July2016'!H47/100</f>
        <v>235.68049999999999</v>
      </c>
      <c r="E53" s="59">
        <f>IF($C$5*'Tariffs July2016'!AK47/'Tariffs July2016'!AI47&gt;='Tariffs July2016'!J47,( 'Tariffs July2016'!J47*'Tariffs July2016'!O47/100)* 'Tariffs July2016'!AI47,($C$5*'Tariffs July2016'!AK47/'Tariffs July2016'!AI47*'Tariffs July2016'!O47/100)* 'Tariffs July2016'!AI47)</f>
        <v>75.341000000000008</v>
      </c>
      <c r="F53" s="59">
        <f>IF($C$5*'Tariffs July2016'!AK47/'Tariffs July2016'!AI47&lt;'Tariffs July2016'!J47,0,IF($C$5*'Tariffs July2016'!AK47/'Tariffs July2016'!AI47&lt;='Tariffs July2016'!K47,($C$5*'Tariffs July2016'!AK47/'Tariffs July2016'!AI47-'Tariffs July2016'!J47)*('Tariffs July2016'!P47/100)*'Tariffs July2016'!AI47,('Tariffs July2016'!K47-'Tariffs July2016'!J47)*('Tariffs July2016'!P47/100)*'Tariffs July2016'!AI47))</f>
        <v>53.116</v>
      </c>
      <c r="G53" s="59">
        <f>IF($C$5*'Tariffs July2016'!AK47/'Tariffs July2016'!AI47&lt;'Tariffs July2016'!K47,0,IF($C$5*'Tariffs July2016'!AK47/'Tariffs July2016'!AI47&lt;='Tariffs July2016'!L47,($C$5*'Tariffs July2016'!AK47/'Tariffs July2016'!AI47-'Tariffs July2016'!K47)*('Tariffs July2016'!Q47/100)*'Tariffs July2016'!AI47,('Tariffs July2016'!L47-'Tariffs July2016'!K47)*('Tariffs July2016'!Q47/100)*'Tariffs July2016'!AI47))</f>
        <v>0</v>
      </c>
      <c r="H53" s="59">
        <f>IF($C$5*'Tariffs July2016'!AK47/'Tariffs July2016'!AI47&lt;'Tariffs July2016'!L47,0,IF($C$5*'Tariffs July2016'!AK47/'Tariffs July2016'!AI47&lt;='Tariffs July2016'!M47,($C$5*'Tariffs July2016'!AK47/'Tariffs July2016'!AI47-'Tariffs July2016'!L47)*('Tariffs July2016'!R47/100)*'Tariffs July2016'!AI47,('Tariffs July2016'!M47-'Tariffs July2016'!L47)*('Tariffs July2016'!R47/100)*'Tariffs July2016'!AI47))</f>
        <v>0</v>
      </c>
      <c r="I53" s="59">
        <f>IF(($C$5*'Tariffs July2016'!AK47/'Tariffs July2016'!AI47&gt;'Tariffs July2016'!M47),($C$5*'Tariffs July2016'!AK47/'Tariffs July2016'!AI47-'Tariffs July2016'!M47)*'Tariffs July2016'!S47/100*'Tariffs July2016'!AI47,0)</f>
        <v>230.96765999999997</v>
      </c>
      <c r="J53" s="59">
        <f>IF($C$5*'Tariffs July2016'!AL47/'Tariffs July2016'!AJ47&gt;='Tariffs July2016'!J47,('Tariffs July2016'!J47*'Tariffs July2016'!U47/100)* 'Tariffs July2016'!AJ47,($C$5*'Tariffs July2016'!AL47/'Tariffs July2016'!AJ47*'Tariffs July2016'!U47/100)* 'Tariffs July2016'!AJ47)</f>
        <v>150.68200000000002</v>
      </c>
      <c r="K53" s="59">
        <f>IF($C$5*'Tariffs July2016'!AL47/'Tariffs July2016'!AJ47&lt;'Tariffs July2016'!J47,0,IF($C$5*'Tariffs July2016'!AL47/'Tariffs July2016'!AJ47&lt;='Tariffs July2016'!K47,($C$5*'Tariffs July2016'!AL47/'Tariffs July2016'!AJ47-'Tariffs July2016'!J47)*('Tariffs July2016'!V47/100)*'Tariffs July2016'!AJ47,('Tariffs July2016'!K47-'Tariffs July2016'!J47)*('Tariffs July2016'!V47/100)*'Tariffs July2016'!AJ47))</f>
        <v>106.232</v>
      </c>
      <c r="L53" s="59">
        <f>IF($C$5*'Tariffs July2016'!AL47/'Tariffs July2016'!AJ47&lt;'Tariffs July2016'!K47,0,IF($C$5*'Tariffs July2016'!AL47/'Tariffs July2016'!AJ47&lt;='Tariffs July2016'!L47,($C$5*'Tariffs July2016'!AL47/'Tariffs July2016'!AJ47-'Tariffs July2016'!K47)*('Tariffs July2016'!W47/100)*'Tariffs July2016'!AJ47,('Tariffs July2016'!L47-'Tariffs July2016'!K47)*('Tariffs July2016'!W47/100)*'Tariffs July2016'!AJ47))</f>
        <v>0</v>
      </c>
      <c r="M53" s="59">
        <f>IF($C$5*'Tariffs July2016'!AL47/'Tariffs July2016'!AJ47&lt;'Tariffs July2016'!L47,0,IF($C$5*'Tariffs July2016'!AL47/'Tariffs July2016'!AJ47&lt;='Tariffs July2016'!M47,($C$5*'Tariffs July2016'!AL47/'Tariffs July2016'!AJ47-'Tariffs July2016'!L47)*('Tariffs July2016'!X47/100)*'Tariffs July2016'!AJ47,('Tariffs July2016'!M47-'Tariffs July2016'!L47)*('Tariffs July2016'!X47/100)*'Tariffs July2016'!AJ47))</f>
        <v>0</v>
      </c>
      <c r="N53" s="59">
        <f>IF(($C$5*'Tariffs July2016'!AL47/'Tariffs July2016'!AJ47&gt;'Tariffs July2016'!M47),($C$5*'Tariffs July2016'!AL47/'Tariffs July2016'!AJ47-'Tariffs July2016'!M47)*'Tariffs July2016'!Y47/100*'Tariffs July2016'!AJ47,0)</f>
        <v>461.93531999999993</v>
      </c>
      <c r="O53" s="271">
        <f t="shared" si="0"/>
        <v>1078.2739799999999</v>
      </c>
      <c r="P53" s="59">
        <f t="shared" si="1"/>
        <v>1313.9544799999999</v>
      </c>
      <c r="Q53" s="272">
        <f t="shared" si="2"/>
        <v>1445.3499280000001</v>
      </c>
      <c r="R53" s="40">
        <f>'Tariffs July2016'!AM47</f>
        <v>0</v>
      </c>
      <c r="S53" s="40">
        <f>'Tariffs July2016'!AN47</f>
        <v>0</v>
      </c>
      <c r="T53" s="40">
        <f>'Tariffs July2016'!AO47</f>
        <v>0</v>
      </c>
      <c r="U53" s="40">
        <f>'Tariffs July2016'!AP47</f>
        <v>15</v>
      </c>
      <c r="V53" s="273">
        <f t="shared" si="3"/>
        <v>1313.9544799999999</v>
      </c>
      <c r="W53" s="273">
        <f>V53-(O53*U53/100)</f>
        <v>1152.2133829999998</v>
      </c>
      <c r="X53" s="272">
        <f t="shared" si="4"/>
        <v>1445.3499280000001</v>
      </c>
      <c r="Y53" s="272">
        <f t="shared" si="5"/>
        <v>1267.4347212999999</v>
      </c>
      <c r="Z53" s="274">
        <f>'Tariffs July2016'!AW47</f>
        <v>0</v>
      </c>
      <c r="AA53" s="274" t="str">
        <f>'Tariffs July2016'!AX47</f>
        <v>n</v>
      </c>
      <c r="AB53" s="275" t="str">
        <f>'Tariffs July2016'!BD47</f>
        <v>Y</v>
      </c>
      <c r="AC53" s="260"/>
      <c r="AD53" s="260"/>
      <c r="AE53" s="260"/>
      <c r="AF53" s="260"/>
      <c r="AG53" s="260"/>
      <c r="AH53" s="260"/>
      <c r="AI53" s="260"/>
      <c r="AJ53" s="260"/>
      <c r="AK53" s="260"/>
      <c r="AL53" s="260"/>
      <c r="AM53" s="260"/>
      <c r="AN53" s="260"/>
    </row>
    <row r="54" spans="1:40" x14ac:dyDescent="0.15">
      <c r="A54" s="270" t="str">
        <f>'Tariffs July2016'!F48</f>
        <v>Click Energy</v>
      </c>
      <c r="B54" s="40" t="str">
        <f>'Tariffs July2016'!D48</f>
        <v>Envestra Central 1</v>
      </c>
      <c r="C54" s="40" t="str">
        <f>'Tariffs July2016'!G48</f>
        <v>Amber</v>
      </c>
      <c r="D54" s="59">
        <f>365*'Tariffs July2016'!H48/100</f>
        <v>242.72499999999999</v>
      </c>
      <c r="E54" s="59">
        <f>IF($C$5*'Tariffs July2016'!AK48/'Tariffs July2016'!AI48&gt;='Tariffs July2016'!J48,( 'Tariffs July2016'!J48*'Tariffs July2016'!O48/100)* 'Tariffs July2016'!AI48,($C$5*'Tariffs July2016'!AK48/'Tariffs July2016'!AI48*'Tariffs July2016'!O48/100)* 'Tariffs July2016'!AI48)</f>
        <v>80.275999999999996</v>
      </c>
      <c r="F54" s="59">
        <f>IF($C$5*'Tariffs July2016'!AK48/'Tariffs July2016'!AI48&lt;'Tariffs July2016'!J48,0,IF($C$5*'Tariffs July2016'!AK48/'Tariffs July2016'!AI48&lt;='Tariffs July2016'!K48,($C$5*'Tariffs July2016'!AK48/'Tariffs July2016'!AI48-'Tariffs July2016'!J48)*('Tariffs July2016'!P48/100)*'Tariffs July2016'!AI48,('Tariffs July2016'!K48-'Tariffs July2016'!J48)*('Tariffs July2016'!P48/100)*'Tariffs July2016'!AI48))</f>
        <v>53.657999999999994</v>
      </c>
      <c r="G54" s="59">
        <f>IF($C$5*'Tariffs July2016'!AK48/'Tariffs July2016'!AI48&lt;'Tariffs July2016'!K48,0,IF($C$5*'Tariffs July2016'!AK48/'Tariffs July2016'!AI48&lt;='Tariffs July2016'!L48,($C$5*'Tariffs July2016'!AK48/'Tariffs July2016'!AI48-'Tariffs July2016'!K48)*('Tariffs July2016'!Q48/100)*'Tariffs July2016'!AI48,('Tariffs July2016'!L48-'Tariffs July2016'!K48)*('Tariffs July2016'!Q48/100)*'Tariffs July2016'!AI48))</f>
        <v>0</v>
      </c>
      <c r="H54" s="59">
        <f>IF($C$5*'Tariffs July2016'!AK48/'Tariffs July2016'!AI48&lt;'Tariffs July2016'!L48,0,IF($C$5*'Tariffs July2016'!AK48/'Tariffs July2016'!AI48&lt;='Tariffs July2016'!M48,($C$5*'Tariffs July2016'!AK48/'Tariffs July2016'!AI48-'Tariffs July2016'!L48)*('Tariffs July2016'!R48/100)*'Tariffs July2016'!AI48,('Tariffs July2016'!M48-'Tariffs July2016'!L48)*('Tariffs July2016'!R48/100)*'Tariffs July2016'!AI48))</f>
        <v>0</v>
      </c>
      <c r="I54" s="59">
        <f>IF(($C$5*'Tariffs July2016'!AK48/'Tariffs July2016'!AI48&gt;'Tariffs July2016'!M48),($C$5*'Tariffs July2016'!AK48/'Tariffs July2016'!AI48-'Tariffs July2016'!M48)*'Tariffs July2016'!S48/100*'Tariffs July2016'!AI48,0)</f>
        <v>236.96681999999998</v>
      </c>
      <c r="J54" s="59">
        <f>IF($C$5*'Tariffs July2016'!AL48/'Tariffs July2016'!AJ48&gt;='Tariffs July2016'!J48,('Tariffs July2016'!J48*'Tariffs July2016'!U48/100)* 'Tariffs July2016'!AJ48,($C$5*'Tariffs July2016'!AL48/'Tariffs July2016'!AJ48*'Tariffs July2016'!U48/100)* 'Tariffs July2016'!AJ48)</f>
        <v>160.55199999999999</v>
      </c>
      <c r="K54" s="59">
        <f>IF($C$5*'Tariffs July2016'!AL48/'Tariffs July2016'!AJ48&lt;'Tariffs July2016'!J48,0,IF($C$5*'Tariffs July2016'!AL48/'Tariffs July2016'!AJ48&lt;='Tariffs July2016'!K48,($C$5*'Tariffs July2016'!AL48/'Tariffs July2016'!AJ48-'Tariffs July2016'!J48)*('Tariffs July2016'!V48/100)*'Tariffs July2016'!AJ48,('Tariffs July2016'!K48-'Tariffs July2016'!J48)*('Tariffs July2016'!V48/100)*'Tariffs July2016'!AJ48))</f>
        <v>107.31599999999999</v>
      </c>
      <c r="L54" s="59">
        <f>IF($C$5*'Tariffs July2016'!AL48/'Tariffs July2016'!AJ48&lt;'Tariffs July2016'!K48,0,IF($C$5*'Tariffs July2016'!AL48/'Tariffs July2016'!AJ48&lt;='Tariffs July2016'!L48,($C$5*'Tariffs July2016'!AL48/'Tariffs July2016'!AJ48-'Tariffs July2016'!K48)*('Tariffs July2016'!W48/100)*'Tariffs July2016'!AJ48,('Tariffs July2016'!L48-'Tariffs July2016'!K48)*('Tariffs July2016'!W48/100)*'Tariffs July2016'!AJ48))</f>
        <v>0</v>
      </c>
      <c r="M54" s="59">
        <f>IF($C$5*'Tariffs July2016'!AL48/'Tariffs July2016'!AJ48&lt;'Tariffs July2016'!L48,0,IF($C$5*'Tariffs July2016'!AL48/'Tariffs July2016'!AJ48&lt;='Tariffs July2016'!M48,($C$5*'Tariffs July2016'!AL48/'Tariffs July2016'!AJ48-'Tariffs July2016'!L48)*('Tariffs July2016'!X48/100)*'Tariffs July2016'!AJ48,('Tariffs July2016'!M48-'Tariffs July2016'!L48)*('Tariffs July2016'!X48/100)*'Tariffs July2016'!AJ48))</f>
        <v>0</v>
      </c>
      <c r="N54" s="59">
        <f>IF(($C$5*'Tariffs July2016'!AL48/'Tariffs July2016'!AJ48&gt;'Tariffs July2016'!M48),($C$5*'Tariffs July2016'!AL48/'Tariffs July2016'!AJ48-'Tariffs July2016'!M48)*'Tariffs July2016'!Y48/100*'Tariffs July2016'!AJ48,0)</f>
        <v>473.93363999999997</v>
      </c>
      <c r="O54" s="271">
        <f t="shared" si="0"/>
        <v>1112.70246</v>
      </c>
      <c r="P54" s="59">
        <f t="shared" si="1"/>
        <v>1355.4274599999999</v>
      </c>
      <c r="Q54" s="272">
        <f t="shared" si="2"/>
        <v>1490.970206</v>
      </c>
      <c r="R54" s="40">
        <f>'Tariffs July2016'!AM48</f>
        <v>0</v>
      </c>
      <c r="S54" s="40">
        <f>'Tariffs July2016'!AN48</f>
        <v>0</v>
      </c>
      <c r="T54" s="40">
        <f>'Tariffs July2016'!AO48</f>
        <v>14</v>
      </c>
      <c r="U54" s="40">
        <f>'Tariffs July2016'!AP48</f>
        <v>0</v>
      </c>
      <c r="V54" s="273">
        <f t="shared" si="3"/>
        <v>1355.4274599999999</v>
      </c>
      <c r="W54" s="273">
        <f>V54-(P54*T54/100)</f>
        <v>1165.6676155999999</v>
      </c>
      <c r="X54" s="272">
        <f t="shared" si="4"/>
        <v>1490.970206</v>
      </c>
      <c r="Y54" s="272">
        <f t="shared" si="5"/>
        <v>1282.2343771599999</v>
      </c>
      <c r="Z54" s="274">
        <f>'Tariffs July2016'!AW48</f>
        <v>0</v>
      </c>
      <c r="AA54" s="274" t="str">
        <f>'Tariffs July2016'!AX48</f>
        <v>n</v>
      </c>
      <c r="AB54" s="275" t="str">
        <f>'Tariffs July2016'!BD48</f>
        <v>N</v>
      </c>
      <c r="AC54" s="260"/>
      <c r="AD54" s="260"/>
      <c r="AE54" s="260"/>
      <c r="AF54" s="260"/>
      <c r="AG54" s="260"/>
      <c r="AH54" s="260"/>
      <c r="AI54" s="260"/>
      <c r="AJ54" s="260"/>
      <c r="AK54" s="260"/>
      <c r="AL54" s="260"/>
      <c r="AM54" s="260"/>
      <c r="AN54" s="260"/>
    </row>
    <row r="55" spans="1:40" x14ac:dyDescent="0.15">
      <c r="A55" s="270" t="str">
        <f>'Tariffs July2016'!F49</f>
        <v>Covau</v>
      </c>
      <c r="B55" s="40" t="str">
        <f>'Tariffs July2016'!D49</f>
        <v>Envestra Central 1</v>
      </c>
      <c r="C55" s="40" t="str">
        <f>'Tariffs July2016'!G49</f>
        <v>Market offer</v>
      </c>
      <c r="D55" s="59">
        <f>365*'Tariffs July2016'!H49/100</f>
        <v>242.72499999999999</v>
      </c>
      <c r="E55" s="59">
        <f>IF($C$5*'Tariffs July2016'!AK49/'Tariffs July2016'!AI49&gt;='Tariffs July2016'!J49,( 'Tariffs July2016'!J49*'Tariffs July2016'!O49/100)* 'Tariffs July2016'!AI49,($C$5*'Tariffs July2016'!AK49/'Tariffs July2016'!AI49*'Tariffs July2016'!O49/100)* 'Tariffs July2016'!AI49)</f>
        <v>83.236999999999995</v>
      </c>
      <c r="F55" s="59">
        <f>IF($C$5*'Tariffs July2016'!AK49/'Tariffs July2016'!AI49&lt;'Tariffs July2016'!J49,0,IF($C$5*'Tariffs July2016'!AK49/'Tariffs July2016'!AI49&lt;='Tariffs July2016'!K49,($C$5*'Tariffs July2016'!AK49/'Tariffs July2016'!AI49-'Tariffs July2016'!J49)*('Tariffs July2016'!P49/100)*'Tariffs July2016'!AI49,('Tariffs July2016'!K49-'Tariffs July2016'!J49)*('Tariffs July2016'!P49/100)*'Tariffs July2016'!AI49))</f>
        <v>54.741999999999997</v>
      </c>
      <c r="G55" s="59">
        <f>IF($C$5*'Tariffs July2016'!AK49/'Tariffs July2016'!AI49&lt;'Tariffs July2016'!K49,0,IF($C$5*'Tariffs July2016'!AK49/'Tariffs July2016'!AI49&lt;='Tariffs July2016'!L49,($C$5*'Tariffs July2016'!AK49/'Tariffs July2016'!AI49-'Tariffs July2016'!K49)*('Tariffs July2016'!Q49/100)*'Tariffs July2016'!AI49,('Tariffs July2016'!L49-'Tariffs July2016'!K49)*('Tariffs July2016'!Q49/100)*'Tariffs July2016'!AI49))</f>
        <v>0</v>
      </c>
      <c r="H55" s="59">
        <f>IF($C$5*'Tariffs July2016'!AK49/'Tariffs July2016'!AI49&lt;'Tariffs July2016'!L49,0,IF($C$5*'Tariffs July2016'!AK49/'Tariffs July2016'!AI49&lt;='Tariffs July2016'!M49,($C$5*'Tariffs July2016'!AK49/'Tariffs July2016'!AI49-'Tariffs July2016'!L49)*('Tariffs July2016'!R49/100)*'Tariffs July2016'!AI49,('Tariffs July2016'!M49-'Tariffs July2016'!L49)*('Tariffs July2016'!R49/100)*'Tariffs July2016'!AI49))</f>
        <v>0</v>
      </c>
      <c r="I55" s="59">
        <f>IF(($C$5*'Tariffs July2016'!AK49/'Tariffs July2016'!AI49&gt;'Tariffs July2016'!M49),($C$5*'Tariffs July2016'!AK49/'Tariffs July2016'!AI49-'Tariffs July2016'!M49)*'Tariffs July2016'!S49/100*'Tariffs July2016'!AI49,0)</f>
        <v>236.96681999999998</v>
      </c>
      <c r="J55" s="59">
        <f>IF($C$5*'Tariffs July2016'!AL49/'Tariffs July2016'!AJ49&gt;='Tariffs July2016'!J49,('Tariffs July2016'!J49*'Tariffs July2016'!U49/100)* 'Tariffs July2016'!AJ49,($C$5*'Tariffs July2016'!AL49/'Tariffs July2016'!AJ49*'Tariffs July2016'!U49/100)* 'Tariffs July2016'!AJ49)</f>
        <v>166.47399999999999</v>
      </c>
      <c r="K55" s="59">
        <f>IF($C$5*'Tariffs July2016'!AL49/'Tariffs July2016'!AJ49&lt;'Tariffs July2016'!J49,0,IF($C$5*'Tariffs July2016'!AL49/'Tariffs July2016'!AJ49&lt;='Tariffs July2016'!K49,($C$5*'Tariffs July2016'!AL49/'Tariffs July2016'!AJ49-'Tariffs July2016'!J49)*('Tariffs July2016'!V49/100)*'Tariffs July2016'!AJ49,('Tariffs July2016'!K49-'Tariffs July2016'!J49)*('Tariffs July2016'!V49/100)*'Tariffs July2016'!AJ49))</f>
        <v>109.48399999999999</v>
      </c>
      <c r="L55" s="59">
        <f>IF($C$5*'Tariffs July2016'!AL49/'Tariffs July2016'!AJ49&lt;'Tariffs July2016'!K49,0,IF($C$5*'Tariffs July2016'!AL49/'Tariffs July2016'!AJ49&lt;='Tariffs July2016'!L49,($C$5*'Tariffs July2016'!AL49/'Tariffs July2016'!AJ49-'Tariffs July2016'!K49)*('Tariffs July2016'!W49/100)*'Tariffs July2016'!AJ49,('Tariffs July2016'!L49-'Tariffs July2016'!K49)*('Tariffs July2016'!W49/100)*'Tariffs July2016'!AJ49))</f>
        <v>0</v>
      </c>
      <c r="M55" s="59">
        <f>IF($C$5*'Tariffs July2016'!AL49/'Tariffs July2016'!AJ49&lt;'Tariffs July2016'!L49,0,IF($C$5*'Tariffs July2016'!AL49/'Tariffs July2016'!AJ49&lt;='Tariffs July2016'!M49,($C$5*'Tariffs July2016'!AL49/'Tariffs July2016'!AJ49-'Tariffs July2016'!L49)*('Tariffs July2016'!X49/100)*'Tariffs July2016'!AJ49,('Tariffs July2016'!M49-'Tariffs July2016'!L49)*('Tariffs July2016'!X49/100)*'Tariffs July2016'!AJ49))</f>
        <v>0</v>
      </c>
      <c r="N55" s="59">
        <f>IF(($C$5*'Tariffs July2016'!AL49/'Tariffs July2016'!AJ49&gt;'Tariffs July2016'!M49),($C$5*'Tariffs July2016'!AL49/'Tariffs July2016'!AJ49-'Tariffs July2016'!M49)*'Tariffs July2016'!Y49/100*'Tariffs July2016'!AJ49,0)</f>
        <v>473.93363999999997</v>
      </c>
      <c r="O55" s="271">
        <f t="shared" si="0"/>
        <v>1124.83746</v>
      </c>
      <c r="P55" s="59">
        <f t="shared" si="1"/>
        <v>1367.5624599999999</v>
      </c>
      <c r="Q55" s="272">
        <f t="shared" si="2"/>
        <v>1504.318706</v>
      </c>
      <c r="R55" s="40">
        <f>'Tariffs July2016'!AM49</f>
        <v>0</v>
      </c>
      <c r="S55" s="40">
        <f>'Tariffs July2016'!AN49</f>
        <v>0</v>
      </c>
      <c r="T55" s="40">
        <f>'Tariffs July2016'!AO49</f>
        <v>0</v>
      </c>
      <c r="U55" s="40">
        <f>'Tariffs July2016'!AP49</f>
        <v>12</v>
      </c>
      <c r="V55" s="273">
        <f t="shared" si="3"/>
        <v>1367.5624599999999</v>
      </c>
      <c r="W55" s="273">
        <f>V55-(O55*U55/100)</f>
        <v>1232.5819647999999</v>
      </c>
      <c r="X55" s="272">
        <f t="shared" si="4"/>
        <v>1504.318706</v>
      </c>
      <c r="Y55" s="272">
        <f t="shared" si="5"/>
        <v>1355.8401612800001</v>
      </c>
      <c r="Z55" s="274">
        <f>'Tariffs July2016'!AW49</f>
        <v>12</v>
      </c>
      <c r="AA55" s="274" t="str">
        <f>'Tariffs July2016'!AX49</f>
        <v>y</v>
      </c>
      <c r="AB55" s="275" t="str">
        <f>'Tariffs July2016'!BD49</f>
        <v>Y</v>
      </c>
      <c r="AC55" s="260"/>
      <c r="AD55" s="260"/>
      <c r="AE55" s="260"/>
      <c r="AF55" s="260"/>
      <c r="AG55" s="260"/>
      <c r="AH55" s="260"/>
      <c r="AI55" s="260"/>
      <c r="AJ55" s="260"/>
      <c r="AK55" s="260"/>
      <c r="AL55" s="260"/>
      <c r="AM55" s="260"/>
      <c r="AN55" s="260"/>
    </row>
    <row r="56" spans="1:40" x14ac:dyDescent="0.15">
      <c r="A56" s="270" t="str">
        <f>'Tariffs July2016'!F50</f>
        <v>Dodo Power &amp; Gas</v>
      </c>
      <c r="B56" s="40" t="str">
        <f>'Tariffs July2016'!D50</f>
        <v>Envestra Central 1</v>
      </c>
      <c r="C56" s="40" t="str">
        <f>'Tariffs July2016'!G50</f>
        <v>Market offer</v>
      </c>
      <c r="D56" s="59">
        <f>365*'Tariffs July2016'!H50/100</f>
        <v>218.8175</v>
      </c>
      <c r="E56" s="59">
        <f>IF($C$5*'Tariffs July2016'!AK50/'Tariffs July2016'!AI50&gt;='Tariffs July2016'!J50,( 'Tariffs July2016'!J50*'Tariffs July2016'!O50/100)* 'Tariffs July2016'!AI50,($C$5*'Tariffs July2016'!AK50/'Tariffs July2016'!AI50*'Tariffs July2016'!O50/100)* 'Tariffs July2016'!AI50)</f>
        <v>157.6</v>
      </c>
      <c r="F56" s="59">
        <f>IF($C$5*'Tariffs July2016'!AK50/'Tariffs July2016'!AI50&lt;'Tariffs July2016'!J50,0,IF($C$5*'Tariffs July2016'!AK50/'Tariffs July2016'!AI50&lt;='Tariffs July2016'!K50,($C$5*'Tariffs July2016'!AK50/'Tariffs July2016'!AI50-'Tariffs July2016'!J50)*('Tariffs July2016'!P50/100)*'Tariffs July2016'!AI50,('Tariffs July2016'!K50-'Tariffs July2016'!J50)*('Tariffs July2016'!P50/100)*'Tariffs July2016'!AI50))</f>
        <v>210.56598</v>
      </c>
      <c r="G56" s="59">
        <f>IF($C$5*'Tariffs July2016'!AK50/'Tariffs July2016'!AI50&lt;'Tariffs July2016'!K50,0,IF($C$5*'Tariffs July2016'!AK50/'Tariffs July2016'!AI50&lt;='Tariffs July2016'!L50,($C$5*'Tariffs July2016'!AK50/'Tariffs July2016'!AI50-'Tariffs July2016'!K50)*('Tariffs July2016'!Q50/100)*'Tariffs July2016'!AI50,('Tariffs July2016'!L50-'Tariffs July2016'!K50)*('Tariffs July2016'!Q50/100)*'Tariffs July2016'!AI50))</f>
        <v>0</v>
      </c>
      <c r="H56" s="59">
        <f>IF($C$5*'Tariffs July2016'!AK50/'Tariffs July2016'!AI50&lt;'Tariffs July2016'!L50,0,IF($C$5*'Tariffs July2016'!AK50/'Tariffs July2016'!AI50&lt;='Tariffs July2016'!M50,($C$5*'Tariffs July2016'!AK50/'Tariffs July2016'!AI50-'Tariffs July2016'!L50)*('Tariffs July2016'!R50/100)*'Tariffs July2016'!AI50,('Tariffs July2016'!M50-'Tariffs July2016'!L50)*('Tariffs July2016'!R50/100)*'Tariffs July2016'!AI50))</f>
        <v>0</v>
      </c>
      <c r="I56" s="59">
        <f>IF(($C$5*'Tariffs July2016'!AK50/'Tariffs July2016'!AI50&gt;'Tariffs July2016'!M50),($C$5*'Tariffs July2016'!AK50/'Tariffs July2016'!AI50-'Tariffs July2016'!M50)*'Tariffs July2016'!S50/100*'Tariffs July2016'!AI50,0)</f>
        <v>0</v>
      </c>
      <c r="J56" s="59">
        <f>IF($C$5*'Tariffs July2016'!AL50/'Tariffs July2016'!AJ50&gt;='Tariffs July2016'!J50,('Tariffs July2016'!J50*'Tariffs July2016'!U50/100)* 'Tariffs July2016'!AJ50,($C$5*'Tariffs July2016'!AL50/'Tariffs July2016'!AJ50*'Tariffs July2016'!U50/100)* 'Tariffs July2016'!AJ50)</f>
        <v>310.39999999999998</v>
      </c>
      <c r="K56" s="59">
        <f>IF($C$5*'Tariffs July2016'!AL50/'Tariffs July2016'!AJ50&lt;'Tariffs July2016'!J50,0,IF($C$5*'Tariffs July2016'!AL50/'Tariffs July2016'!AJ50&lt;='Tariffs July2016'!K50,($C$5*'Tariffs July2016'!AL50/'Tariffs July2016'!AJ50-'Tariffs July2016'!J50)*('Tariffs July2016'!V50/100)*'Tariffs July2016'!AJ50,('Tariffs July2016'!K50-'Tariffs July2016'!J50)*('Tariffs July2016'!V50/100)*'Tariffs July2016'!AJ50))</f>
        <v>413.33321999999998</v>
      </c>
      <c r="L56" s="59">
        <f>IF($C$5*'Tariffs July2016'!AL50/'Tariffs July2016'!AJ50&lt;'Tariffs July2016'!K50,0,IF($C$5*'Tariffs July2016'!AL50/'Tariffs July2016'!AJ50&lt;='Tariffs July2016'!L50,($C$5*'Tariffs July2016'!AL50/'Tariffs July2016'!AJ50-'Tariffs July2016'!K50)*('Tariffs July2016'!W50/100)*'Tariffs July2016'!AJ50,('Tariffs July2016'!L50-'Tariffs July2016'!K50)*('Tariffs July2016'!W50/100)*'Tariffs July2016'!AJ50))</f>
        <v>0</v>
      </c>
      <c r="M56" s="59">
        <f>IF($C$5*'Tariffs July2016'!AL50/'Tariffs July2016'!AJ50&lt;'Tariffs July2016'!L50,0,IF($C$5*'Tariffs July2016'!AL50/'Tariffs July2016'!AJ50&lt;='Tariffs July2016'!M50,($C$5*'Tariffs July2016'!AL50/'Tariffs July2016'!AJ50-'Tariffs July2016'!L50)*('Tariffs July2016'!X50/100)*'Tariffs July2016'!AJ50,('Tariffs July2016'!M50-'Tariffs July2016'!L50)*('Tariffs July2016'!X50/100)*'Tariffs July2016'!AJ50))</f>
        <v>0</v>
      </c>
      <c r="N56" s="59">
        <f>IF(($C$5*'Tariffs July2016'!AL50/'Tariffs July2016'!AJ50&gt;'Tariffs July2016'!M50),($C$5*'Tariffs July2016'!AL50/'Tariffs July2016'!AJ50-'Tariffs July2016'!M50)*'Tariffs July2016'!Y50/100*'Tariffs July2016'!AJ50,0)</f>
        <v>0</v>
      </c>
      <c r="O56" s="271">
        <f t="shared" si="0"/>
        <v>1091.8991999999998</v>
      </c>
      <c r="P56" s="59">
        <f t="shared" si="1"/>
        <v>1310.7166999999999</v>
      </c>
      <c r="Q56" s="272">
        <f t="shared" si="2"/>
        <v>1441.78837</v>
      </c>
      <c r="R56" s="40">
        <f>'Tariffs July2016'!AM50</f>
        <v>0</v>
      </c>
      <c r="S56" s="40">
        <f>'Tariffs July2016'!AN50</f>
        <v>0</v>
      </c>
      <c r="T56" s="40">
        <f>'Tariffs July2016'!AO50</f>
        <v>0</v>
      </c>
      <c r="U56" s="40">
        <f>'Tariffs July2016'!AP50</f>
        <v>0</v>
      </c>
      <c r="V56" s="273">
        <f t="shared" si="3"/>
        <v>1310.7166999999999</v>
      </c>
      <c r="W56" s="273">
        <f>V56-(O56*U56/100)</f>
        <v>1310.7166999999999</v>
      </c>
      <c r="X56" s="272">
        <f t="shared" si="4"/>
        <v>1441.78837</v>
      </c>
      <c r="Y56" s="272">
        <f t="shared" si="5"/>
        <v>1441.78837</v>
      </c>
      <c r="Z56" s="274">
        <f>'Tariffs July2016'!AW50</f>
        <v>0</v>
      </c>
      <c r="AA56" s="274" t="str">
        <f>'Tariffs July2016'!AX50</f>
        <v>n</v>
      </c>
      <c r="AB56" s="275" t="str">
        <f>'Tariffs July2016'!BD50</f>
        <v>Y</v>
      </c>
      <c r="AC56" s="260"/>
      <c r="AD56" s="260"/>
      <c r="AE56" s="260"/>
      <c r="AF56" s="260"/>
      <c r="AG56" s="260"/>
      <c r="AH56" s="260"/>
      <c r="AI56" s="260"/>
      <c r="AJ56" s="260"/>
      <c r="AK56" s="260"/>
      <c r="AL56" s="260"/>
      <c r="AM56" s="260"/>
      <c r="AN56" s="260"/>
    </row>
    <row r="57" spans="1:40" x14ac:dyDescent="0.15">
      <c r="A57" s="270" t="str">
        <f>'Tariffs July2016'!F51</f>
        <v>EnergyAustralia</v>
      </c>
      <c r="B57" s="40" t="str">
        <f>'Tariffs July2016'!D51</f>
        <v>Envestra Central 1</v>
      </c>
      <c r="C57" s="40" t="str">
        <f>'Tariffs July2016'!G51</f>
        <v xml:space="preserve">Flexi Saver </v>
      </c>
      <c r="D57" s="59">
        <f>365*'Tariffs July2016'!H51/100</f>
        <v>259.14999999999998</v>
      </c>
      <c r="E57" s="59">
        <f>IF($C$5*'Tariffs July2016'!AK51/'Tariffs July2016'!AI51&gt;='Tariffs July2016'!J51,( 'Tariffs July2016'!J51*'Tariffs July2016'!O51/100)* 'Tariffs July2016'!AI51,($C$5*'Tariffs July2016'!AK51/'Tariffs July2016'!AI51*'Tariffs July2016'!O51/100)* 'Tariffs July2016'!AI51)</f>
        <v>85.54</v>
      </c>
      <c r="F57" s="59">
        <f>IF($C$5*'Tariffs July2016'!AK51/'Tariffs July2016'!AI51&lt;'Tariffs July2016'!J51,0,IF($C$5*'Tariffs July2016'!AK51/'Tariffs July2016'!AI51&lt;='Tariffs July2016'!K51,($C$5*'Tariffs July2016'!AK51/'Tariffs July2016'!AI51-'Tariffs July2016'!J51)*('Tariffs July2016'!P51/100)*'Tariffs July2016'!AI51,('Tariffs July2016'!K51-'Tariffs July2016'!J51)*('Tariffs July2016'!P51/100)*'Tariffs July2016'!AI51))</f>
        <v>55.554999999999993</v>
      </c>
      <c r="G57" s="59">
        <f>IF($C$5*'Tariffs July2016'!AK51/'Tariffs July2016'!AI51&lt;'Tariffs July2016'!K51,0,IF($C$5*'Tariffs July2016'!AK51/'Tariffs July2016'!AI51&lt;='Tariffs July2016'!L51,($C$5*'Tariffs July2016'!AK51/'Tariffs July2016'!AI51-'Tariffs July2016'!K51)*('Tariffs July2016'!Q51/100)*'Tariffs July2016'!AI51,('Tariffs July2016'!L51-'Tariffs July2016'!K51)*('Tariffs July2016'!Q51/100)*'Tariffs July2016'!AI51))</f>
        <v>0</v>
      </c>
      <c r="H57" s="59">
        <f>IF($C$5*'Tariffs July2016'!AK51/'Tariffs July2016'!AI51&lt;'Tariffs July2016'!L51,0,IF($C$5*'Tariffs July2016'!AK51/'Tariffs July2016'!AI51&lt;='Tariffs July2016'!M51,($C$5*'Tariffs July2016'!AK51/'Tariffs July2016'!AI51-'Tariffs July2016'!L51)*('Tariffs July2016'!R51/100)*'Tariffs July2016'!AI51,('Tariffs July2016'!M51-'Tariffs July2016'!L51)*('Tariffs July2016'!R51/100)*'Tariffs July2016'!AI51))</f>
        <v>0</v>
      </c>
      <c r="I57" s="59">
        <f>IF(($C$5*'Tariffs July2016'!AK51/'Tariffs July2016'!AI51&gt;'Tariffs July2016'!M51),($C$5*'Tariffs July2016'!AK51/'Tariffs July2016'!AI51-'Tariffs July2016'!M51)*'Tariffs July2016'!S51/100*'Tariffs July2016'!AI51,0)</f>
        <v>237.26677799999999</v>
      </c>
      <c r="J57" s="59">
        <f>IF($C$5*'Tariffs July2016'!AL51/'Tariffs July2016'!AJ51&gt;='Tariffs July2016'!J51,('Tariffs July2016'!J51*'Tariffs July2016'!U51/100)* 'Tariffs July2016'!AJ51,($C$5*'Tariffs July2016'!AL51/'Tariffs July2016'!AJ51*'Tariffs July2016'!U51/100)* 'Tariffs July2016'!AJ51)</f>
        <v>171.08</v>
      </c>
      <c r="K57" s="59">
        <f>IF($C$5*'Tariffs July2016'!AL51/'Tariffs July2016'!AJ51&lt;'Tariffs July2016'!J51,0,IF($C$5*'Tariffs July2016'!AL51/'Tariffs July2016'!AJ51&lt;='Tariffs July2016'!K51,($C$5*'Tariffs July2016'!AL51/'Tariffs July2016'!AJ51-'Tariffs July2016'!J51)*('Tariffs July2016'!V51/100)*'Tariffs July2016'!AJ51,('Tariffs July2016'!K51-'Tariffs July2016'!J51)*('Tariffs July2016'!V51/100)*'Tariffs July2016'!AJ51))</f>
        <v>111.10999999999999</v>
      </c>
      <c r="L57" s="59">
        <f>IF($C$5*'Tariffs July2016'!AL51/'Tariffs July2016'!AJ51&lt;'Tariffs July2016'!K51,0,IF($C$5*'Tariffs July2016'!AL51/'Tariffs July2016'!AJ51&lt;='Tariffs July2016'!L51,($C$5*'Tariffs July2016'!AL51/'Tariffs July2016'!AJ51-'Tariffs July2016'!K51)*('Tariffs July2016'!W51/100)*'Tariffs July2016'!AJ51,('Tariffs July2016'!L51-'Tariffs July2016'!K51)*('Tariffs July2016'!W51/100)*'Tariffs July2016'!AJ51))</f>
        <v>0</v>
      </c>
      <c r="M57" s="59">
        <f>IF($C$5*'Tariffs July2016'!AL51/'Tariffs July2016'!AJ51&lt;'Tariffs July2016'!L51,0,IF($C$5*'Tariffs July2016'!AL51/'Tariffs July2016'!AJ51&lt;='Tariffs July2016'!M51,($C$5*'Tariffs July2016'!AL51/'Tariffs July2016'!AJ51-'Tariffs July2016'!L51)*('Tariffs July2016'!X51/100)*'Tariffs July2016'!AJ51,('Tariffs July2016'!M51-'Tariffs July2016'!L51)*('Tariffs July2016'!X51/100)*'Tariffs July2016'!AJ51))</f>
        <v>0</v>
      </c>
      <c r="N57" s="59">
        <f>IF(($C$5*'Tariffs July2016'!AL51/'Tariffs July2016'!AJ51&gt;'Tariffs July2016'!M51),($C$5*'Tariffs July2016'!AL51/'Tariffs July2016'!AJ51-'Tariffs July2016'!M51)*'Tariffs July2016'!Y51/100*'Tariffs July2016'!AJ51,0)</f>
        <v>474.53355599999998</v>
      </c>
      <c r="O57" s="271">
        <f t="shared" si="0"/>
        <v>1135.0853339999999</v>
      </c>
      <c r="P57" s="59">
        <f t="shared" si="1"/>
        <v>1394.235334</v>
      </c>
      <c r="Q57" s="272">
        <f t="shared" si="2"/>
        <v>1533.6588674000002</v>
      </c>
      <c r="R57" s="40">
        <f>'Tariffs July2016'!AM51</f>
        <v>0</v>
      </c>
      <c r="S57" s="40">
        <f>'Tariffs July2016'!AN51</f>
        <v>0</v>
      </c>
      <c r="T57" s="40">
        <f>'Tariffs July2016'!AO51</f>
        <v>0</v>
      </c>
      <c r="U57" s="40">
        <f>'Tariffs July2016'!AP51</f>
        <v>16</v>
      </c>
      <c r="V57" s="273">
        <f t="shared" si="3"/>
        <v>1394.235334</v>
      </c>
      <c r="W57" s="273">
        <f>V57-(O57*U57/100)</f>
        <v>1212.62168056</v>
      </c>
      <c r="X57" s="272">
        <f t="shared" si="4"/>
        <v>1533.6588674000002</v>
      </c>
      <c r="Y57" s="272">
        <f t="shared" si="5"/>
        <v>1333.883848616</v>
      </c>
      <c r="Z57" s="274">
        <f>'Tariffs July2016'!AW51</f>
        <v>0</v>
      </c>
      <c r="AA57" s="274" t="str">
        <f>'Tariffs July2016'!AX51</f>
        <v>n</v>
      </c>
      <c r="AB57" s="275" t="str">
        <f>'Tariffs July2016'!BD51</f>
        <v>N</v>
      </c>
      <c r="AC57" s="260"/>
      <c r="AD57" s="260"/>
      <c r="AE57" s="260"/>
      <c r="AF57" s="260"/>
      <c r="AG57" s="260"/>
      <c r="AH57" s="260"/>
      <c r="AI57" s="260"/>
      <c r="AJ57" s="260"/>
      <c r="AK57" s="260"/>
      <c r="AL57" s="260"/>
      <c r="AM57" s="260"/>
      <c r="AN57" s="260"/>
    </row>
    <row r="58" spans="1:40" x14ac:dyDescent="0.15">
      <c r="A58" s="270" t="str">
        <f>'Tariffs July2016'!F52</f>
        <v>Lumo Energy</v>
      </c>
      <c r="B58" s="40" t="str">
        <f>'Tariffs July2016'!D52</f>
        <v>Envestra Central 1</v>
      </c>
      <c r="C58" s="40" t="str">
        <f>'Tariffs July2016'!G52</f>
        <v>Advantage</v>
      </c>
      <c r="D58" s="59">
        <f>365*'Tariffs July2016'!H52/100</f>
        <v>235.27899999999997</v>
      </c>
      <c r="E58" s="59">
        <f>IF($C$5*'Tariffs July2016'!AK52/'Tariffs July2016'!AI52&gt;='Tariffs July2016'!J52,( 'Tariffs July2016'!J52*'Tariffs July2016'!O52/100)* 'Tariffs July2016'!AI52,($C$5*'Tariffs July2016'!AK52/'Tariffs July2016'!AI52*'Tariffs July2016'!O52/100)* 'Tariffs July2016'!AI52)</f>
        <v>82.282899999999984</v>
      </c>
      <c r="F58" s="59">
        <f>IF($C$5*'Tariffs July2016'!AK52/'Tariffs July2016'!AI52&lt;'Tariffs July2016'!J52,0,IF($C$5*'Tariffs July2016'!AK52/'Tariffs July2016'!AI52&lt;='Tariffs July2016'!K52,($C$5*'Tariffs July2016'!AK52/'Tariffs July2016'!AI52-'Tariffs July2016'!J52)*('Tariffs July2016'!P52/100)*'Tariffs July2016'!AI52,('Tariffs July2016'!K52-'Tariffs July2016'!J52)*('Tariffs July2016'!P52/100)*'Tariffs July2016'!AI52))</f>
        <v>55.771799999999992</v>
      </c>
      <c r="G58" s="59">
        <f>IF($C$5*'Tariffs July2016'!AK52/'Tariffs July2016'!AI52&lt;'Tariffs July2016'!K52,0,IF($C$5*'Tariffs July2016'!AK52/'Tariffs July2016'!AI52&lt;='Tariffs July2016'!L52,($C$5*'Tariffs July2016'!AK52/'Tariffs July2016'!AI52-'Tariffs July2016'!K52)*('Tariffs July2016'!Q52/100)*'Tariffs July2016'!AI52,('Tariffs July2016'!L52-'Tariffs July2016'!K52)*('Tariffs July2016'!Q52/100)*'Tariffs July2016'!AI52))</f>
        <v>0</v>
      </c>
      <c r="H58" s="59">
        <f>IF($C$5*'Tariffs July2016'!AK52/'Tariffs July2016'!AI52&lt;'Tariffs July2016'!L52,0,IF($C$5*'Tariffs July2016'!AK52/'Tariffs July2016'!AI52&lt;='Tariffs July2016'!M52,($C$5*'Tariffs July2016'!AK52/'Tariffs July2016'!AI52-'Tariffs July2016'!L52)*('Tariffs July2016'!R52/100)*'Tariffs July2016'!AI52,('Tariffs July2016'!M52-'Tariffs July2016'!L52)*('Tariffs July2016'!R52/100)*'Tariffs July2016'!AI52))</f>
        <v>0</v>
      </c>
      <c r="I58" s="59">
        <f>IF(($C$5*'Tariffs July2016'!AK52/'Tariffs July2016'!AI52&gt;'Tariffs July2016'!M52),($C$5*'Tariffs July2016'!AK52/'Tariffs July2016'!AI52-'Tariffs July2016'!M52)*'Tariffs July2016'!S52/100*'Tariffs July2016'!AI52,0)</f>
        <v>250.61490899999998</v>
      </c>
      <c r="J58" s="59">
        <f>IF($C$5*'Tariffs July2016'!AL52/'Tariffs July2016'!AJ52&gt;='Tariffs July2016'!J52,('Tariffs July2016'!J52*'Tariffs July2016'!U52/100)* 'Tariffs July2016'!AJ52,($C$5*'Tariffs July2016'!AL52/'Tariffs July2016'!AJ52*'Tariffs July2016'!U52/100)* 'Tariffs July2016'!AJ52)</f>
        <v>164.56579999999997</v>
      </c>
      <c r="K58" s="59">
        <f>IF($C$5*'Tariffs July2016'!AL52/'Tariffs July2016'!AJ52&lt;'Tariffs July2016'!J52,0,IF($C$5*'Tariffs July2016'!AL52/'Tariffs July2016'!AJ52&lt;='Tariffs July2016'!K52,($C$5*'Tariffs July2016'!AL52/'Tariffs July2016'!AJ52-'Tariffs July2016'!J52)*('Tariffs July2016'!V52/100)*'Tariffs July2016'!AJ52,('Tariffs July2016'!K52-'Tariffs July2016'!J52)*('Tariffs July2016'!V52/100)*'Tariffs July2016'!AJ52))</f>
        <v>111.54359999999998</v>
      </c>
      <c r="L58" s="59">
        <f>IF($C$5*'Tariffs July2016'!AL52/'Tariffs July2016'!AJ52&lt;'Tariffs July2016'!K52,0,IF($C$5*'Tariffs July2016'!AL52/'Tariffs July2016'!AJ52&lt;='Tariffs July2016'!L52,($C$5*'Tariffs July2016'!AL52/'Tariffs July2016'!AJ52-'Tariffs July2016'!K52)*('Tariffs July2016'!W52/100)*'Tariffs July2016'!AJ52,('Tariffs July2016'!L52-'Tariffs July2016'!K52)*('Tariffs July2016'!W52/100)*'Tariffs July2016'!AJ52))</f>
        <v>0</v>
      </c>
      <c r="M58" s="59">
        <f>IF($C$5*'Tariffs July2016'!AL52/'Tariffs July2016'!AJ52&lt;'Tariffs July2016'!L52,0,IF($C$5*'Tariffs July2016'!AL52/'Tariffs July2016'!AJ52&lt;='Tariffs July2016'!M52,($C$5*'Tariffs July2016'!AL52/'Tariffs July2016'!AJ52-'Tariffs July2016'!L52)*('Tariffs July2016'!X52/100)*'Tariffs July2016'!AJ52,('Tariffs July2016'!M52-'Tariffs July2016'!L52)*('Tariffs July2016'!X52/100)*'Tariffs July2016'!AJ52))</f>
        <v>0</v>
      </c>
      <c r="N58" s="59">
        <f>IF(($C$5*'Tariffs July2016'!AL52/'Tariffs July2016'!AJ52&gt;'Tariffs July2016'!M52),($C$5*'Tariffs July2016'!AL52/'Tariffs July2016'!AJ52-'Tariffs July2016'!M52)*'Tariffs July2016'!Y52/100*'Tariffs July2016'!AJ52,0)</f>
        <v>501.22981799999997</v>
      </c>
      <c r="O58" s="271">
        <f t="shared" si="0"/>
        <v>1166.0088269999999</v>
      </c>
      <c r="P58" s="59">
        <f t="shared" si="1"/>
        <v>1401.2878269999999</v>
      </c>
      <c r="Q58" s="272">
        <f t="shared" si="2"/>
        <v>1541.4166097</v>
      </c>
      <c r="R58" s="40">
        <f>'Tariffs July2016'!AM52</f>
        <v>0</v>
      </c>
      <c r="S58" s="40">
        <f>'Tariffs July2016'!AN52</f>
        <v>0</v>
      </c>
      <c r="T58" s="40">
        <f>'Tariffs July2016'!AO52</f>
        <v>15</v>
      </c>
      <c r="U58" s="40">
        <f>'Tariffs July2016'!AP52</f>
        <v>0</v>
      </c>
      <c r="V58" s="273">
        <f t="shared" si="3"/>
        <v>1401.2878269999999</v>
      </c>
      <c r="W58" s="273">
        <f>V58-(P58*T58/100)</f>
        <v>1191.09465295</v>
      </c>
      <c r="X58" s="272">
        <f t="shared" si="4"/>
        <v>1541.4166097</v>
      </c>
      <c r="Y58" s="272">
        <f t="shared" si="5"/>
        <v>1310.204118245</v>
      </c>
      <c r="Z58" s="274">
        <f>'Tariffs July2016'!AW52</f>
        <v>24</v>
      </c>
      <c r="AA58" s="274" t="str">
        <f>'Tariffs July2016'!AX52</f>
        <v>n</v>
      </c>
      <c r="AB58" s="275" t="str">
        <f>'Tariffs July2016'!BD52</f>
        <v>Y</v>
      </c>
      <c r="AC58" s="260"/>
      <c r="AD58" s="260"/>
      <c r="AE58" s="260"/>
      <c r="AF58" s="260"/>
      <c r="AG58" s="260"/>
      <c r="AH58" s="260"/>
      <c r="AI58" s="260"/>
      <c r="AJ58" s="260"/>
      <c r="AK58" s="260"/>
      <c r="AL58" s="260"/>
      <c r="AM58" s="260"/>
      <c r="AN58" s="260"/>
    </row>
    <row r="59" spans="1:40" x14ac:dyDescent="0.15">
      <c r="A59" s="270" t="str">
        <f>'Tariffs July2016'!F53</f>
        <v>Momentum Energy</v>
      </c>
      <c r="B59" s="40" t="str">
        <f>'Tariffs July2016'!D53</f>
        <v>Envestra Central 1</v>
      </c>
      <c r="C59" s="40" t="str">
        <f>'Tariffs July2016'!G53</f>
        <v>Market offer</v>
      </c>
      <c r="D59" s="59">
        <f>365*'Tariffs July2016'!H53/100</f>
        <v>227.68700000000001</v>
      </c>
      <c r="E59" s="59">
        <f>IF($C$5*'Tariffs July2016'!AK53/'Tariffs July2016'!AI53&gt;='Tariffs July2016'!J53,( 'Tariffs July2016'!J53*'Tariffs July2016'!O53/100)* 'Tariffs July2016'!AI53,($C$5*'Tariffs July2016'!AK53/'Tariffs July2016'!AI53*'Tariffs July2016'!O53/100)* 'Tariffs July2016'!AI53)</f>
        <v>63.398299999999999</v>
      </c>
      <c r="F59" s="59">
        <f>IF($C$5*'Tariffs July2016'!AK53/'Tariffs July2016'!AI53&lt;'Tariffs July2016'!J53,0,IF($C$5*'Tariffs July2016'!AK53/'Tariffs July2016'!AI53&lt;='Tariffs July2016'!K53,($C$5*'Tariffs July2016'!AK53/'Tariffs July2016'!AI53-'Tariffs July2016'!J53)*('Tariffs July2016'!P53/100)*'Tariffs July2016'!AI53,('Tariffs July2016'!K53-'Tariffs July2016'!J53)*('Tariffs July2016'!P53/100)*'Tariffs July2016'!AI53))</f>
        <v>43.685200000000009</v>
      </c>
      <c r="G59" s="59">
        <f>IF($C$5*'Tariffs July2016'!AK53/'Tariffs July2016'!AI53&lt;'Tariffs July2016'!K53,0,IF($C$5*'Tariffs July2016'!AK53/'Tariffs July2016'!AI53&lt;='Tariffs July2016'!L53,($C$5*'Tariffs July2016'!AK53/'Tariffs July2016'!AI53-'Tariffs July2016'!K53)*('Tariffs July2016'!Q53/100)*'Tariffs July2016'!AI53,('Tariffs July2016'!L53-'Tariffs July2016'!K53)*('Tariffs July2016'!Q53/100)*'Tariffs July2016'!AI53))</f>
        <v>0</v>
      </c>
      <c r="H59" s="59">
        <f>IF($C$5*'Tariffs July2016'!AK53/'Tariffs July2016'!AI53&lt;'Tariffs July2016'!L53,0,IF($C$5*'Tariffs July2016'!AK53/'Tariffs July2016'!AI53&lt;='Tariffs July2016'!M53,($C$5*'Tariffs July2016'!AK53/'Tariffs July2016'!AI53-'Tariffs July2016'!L53)*('Tariffs July2016'!R53/100)*'Tariffs July2016'!AI53,('Tariffs July2016'!M53-'Tariffs July2016'!L53)*('Tariffs July2016'!R53/100)*'Tariffs July2016'!AI53))</f>
        <v>0</v>
      </c>
      <c r="I59" s="59">
        <f>IF(($C$5*'Tariffs July2016'!AK53/'Tariffs July2016'!AI53&gt;'Tariffs July2016'!M53),($C$5*'Tariffs July2016'!AK53/'Tariffs July2016'!AI53-'Tariffs July2016'!M53)*'Tariffs July2016'!S53/100*'Tariffs July2016'!AI53,0)</f>
        <v>195.27265799999998</v>
      </c>
      <c r="J59" s="59">
        <f>IF($C$5*'Tariffs July2016'!AL53/'Tariffs July2016'!AJ53&gt;='Tariffs July2016'!J53,('Tariffs July2016'!J53*'Tariffs July2016'!U53/100)* 'Tariffs July2016'!AJ53,($C$5*'Tariffs July2016'!AL53/'Tariffs July2016'!AJ53*'Tariffs July2016'!U53/100)* 'Tariffs July2016'!AJ53)</f>
        <v>124.0988</v>
      </c>
      <c r="K59" s="59">
        <f>IF($C$5*'Tariffs July2016'!AL53/'Tariffs July2016'!AJ53&lt;'Tariffs July2016'!J53,0,IF($C$5*'Tariffs July2016'!AL53/'Tariffs July2016'!AJ53&lt;='Tariffs July2016'!K53,($C$5*'Tariffs July2016'!AL53/'Tariffs July2016'!AJ53-'Tariffs July2016'!J53)*('Tariffs July2016'!V53/100)*'Tariffs July2016'!AJ53,('Tariffs July2016'!K53-'Tariffs July2016'!J53)*('Tariffs July2016'!V53/100)*'Tariffs July2016'!AJ53))</f>
        <v>85.094000000000008</v>
      </c>
      <c r="L59" s="59">
        <f>IF($C$5*'Tariffs July2016'!AL53/'Tariffs July2016'!AJ53&lt;'Tariffs July2016'!K53,0,IF($C$5*'Tariffs July2016'!AL53/'Tariffs July2016'!AJ53&lt;='Tariffs July2016'!L53,($C$5*'Tariffs July2016'!AL53/'Tariffs July2016'!AJ53-'Tariffs July2016'!K53)*('Tariffs July2016'!W53/100)*'Tariffs July2016'!AJ53,('Tariffs July2016'!L53-'Tariffs July2016'!K53)*('Tariffs July2016'!W53/100)*'Tariffs July2016'!AJ53))</f>
        <v>0</v>
      </c>
      <c r="M59" s="59">
        <f>IF($C$5*'Tariffs July2016'!AL53/'Tariffs July2016'!AJ53&lt;'Tariffs July2016'!L53,0,IF($C$5*'Tariffs July2016'!AL53/'Tariffs July2016'!AJ53&lt;='Tariffs July2016'!M53,($C$5*'Tariffs July2016'!AL53/'Tariffs July2016'!AJ53-'Tariffs July2016'!L53)*('Tariffs July2016'!X53/100)*'Tariffs July2016'!AJ53,('Tariffs July2016'!M53-'Tariffs July2016'!L53)*('Tariffs July2016'!X53/100)*'Tariffs July2016'!AJ53))</f>
        <v>0</v>
      </c>
      <c r="N59" s="59">
        <f>IF(($C$5*'Tariffs July2016'!AL53/'Tariffs July2016'!AJ53&gt;'Tariffs July2016'!M53),($C$5*'Tariffs July2016'!AL53/'Tariffs July2016'!AJ53-'Tariffs July2016'!M53)*'Tariffs July2016'!Y53/100*'Tariffs July2016'!AJ53,0)</f>
        <v>378.24703799999986</v>
      </c>
      <c r="O59" s="271">
        <f t="shared" si="0"/>
        <v>889.79599599999983</v>
      </c>
      <c r="P59" s="59">
        <f t="shared" si="1"/>
        <v>1117.4829959999997</v>
      </c>
      <c r="Q59" s="272">
        <f t="shared" si="2"/>
        <v>1229.2312955999998</v>
      </c>
      <c r="R59" s="40">
        <f>'Tariffs July2016'!AM53</f>
        <v>0</v>
      </c>
      <c r="S59" s="40">
        <f>'Tariffs July2016'!AN53</f>
        <v>0</v>
      </c>
      <c r="T59" s="40">
        <f>'Tariffs July2016'!AO53</f>
        <v>0</v>
      </c>
      <c r="U59" s="40">
        <f>'Tariffs July2016'!AP53</f>
        <v>0</v>
      </c>
      <c r="V59" s="273">
        <f t="shared" si="3"/>
        <v>1117.4829959999997</v>
      </c>
      <c r="W59" s="273">
        <f>V59</f>
        <v>1117.4829959999997</v>
      </c>
      <c r="X59" s="272">
        <f t="shared" si="4"/>
        <v>1229.2312955999998</v>
      </c>
      <c r="Y59" s="272">
        <f t="shared" si="5"/>
        <v>1229.2312955999998</v>
      </c>
      <c r="Z59" s="274">
        <f>'Tariffs July2016'!AW53</f>
        <v>0</v>
      </c>
      <c r="AA59" s="274" t="str">
        <f>'Tariffs July2016'!AX53</f>
        <v>n</v>
      </c>
      <c r="AB59" s="275" t="str">
        <f>'Tariffs July2016'!BD53</f>
        <v>Y</v>
      </c>
      <c r="AC59" s="260"/>
      <c r="AD59" s="260"/>
      <c r="AE59" s="260"/>
      <c r="AF59" s="260"/>
      <c r="AG59" s="260"/>
      <c r="AH59" s="260"/>
      <c r="AI59" s="260"/>
      <c r="AJ59" s="260"/>
      <c r="AK59" s="260"/>
      <c r="AL59" s="260"/>
      <c r="AM59" s="260"/>
      <c r="AN59" s="260"/>
    </row>
    <row r="60" spans="1:40" x14ac:dyDescent="0.15">
      <c r="A60" s="270" t="str">
        <f>'Tariffs July2016'!F54</f>
        <v>Origin Energy</v>
      </c>
      <c r="B60" s="40" t="str">
        <f>'Tariffs July2016'!D54</f>
        <v>Envestra Central 1</v>
      </c>
      <c r="C60" s="40" t="str">
        <f>'Tariffs July2016'!G54</f>
        <v>Saver</v>
      </c>
      <c r="D60" s="59">
        <f>365*'Tariffs July2016'!H54/100</f>
        <v>234.07449999999997</v>
      </c>
      <c r="E60" s="59">
        <f>IF($C$5*'Tariffs July2016'!AK54/'Tariffs July2016'!AI54&gt;='Tariffs July2016'!J54,( 'Tariffs July2016'!J54*'Tariffs July2016'!O54/100)* 'Tariffs July2016'!AI54,($C$5*'Tariffs July2016'!AK54/'Tariffs July2016'!AI54*'Tariffs July2016'!O54/100)* 'Tariffs July2016'!AI54)</f>
        <v>160.15999999999997</v>
      </c>
      <c r="F60" s="59">
        <f>IF($C$5*'Tariffs July2016'!AK54/'Tariffs July2016'!AI54&lt;'Tariffs July2016'!J54,0,IF($C$5*'Tariffs July2016'!AK54/'Tariffs July2016'!AI54&lt;='Tariffs July2016'!K54,($C$5*'Tariffs July2016'!AK54/'Tariffs July2016'!AI54-'Tariffs July2016'!J54)*('Tariffs July2016'!P54/100)*'Tariffs July2016'!AI54,('Tariffs July2016'!K54-'Tariffs July2016'!J54)*('Tariffs July2016'!P54/100)*'Tariffs July2016'!AI54))</f>
        <v>232.40245199999995</v>
      </c>
      <c r="G60" s="59">
        <f>IF($C$5*'Tariffs July2016'!AK54/'Tariffs July2016'!AI54&lt;'Tariffs July2016'!K54,0,IF($C$5*'Tariffs July2016'!AK54/'Tariffs July2016'!AI54&lt;='Tariffs July2016'!L54,($C$5*'Tariffs July2016'!AK54/'Tariffs July2016'!AI54-'Tariffs July2016'!K54)*('Tariffs July2016'!Q54/100)*'Tariffs July2016'!AI54,('Tariffs July2016'!L54-'Tariffs July2016'!K54)*('Tariffs July2016'!Q54/100)*'Tariffs July2016'!AI54))</f>
        <v>0</v>
      </c>
      <c r="H60" s="59">
        <f>IF($C$5*'Tariffs July2016'!AK54/'Tariffs July2016'!AI54&lt;'Tariffs July2016'!L54,0,IF($C$5*'Tariffs July2016'!AK54/'Tariffs July2016'!AI54&lt;='Tariffs July2016'!M54,($C$5*'Tariffs July2016'!AK54/'Tariffs July2016'!AI54-'Tariffs July2016'!L54)*('Tariffs July2016'!R54/100)*'Tariffs July2016'!AI54,('Tariffs July2016'!M54-'Tariffs July2016'!L54)*('Tariffs July2016'!R54/100)*'Tariffs July2016'!AI54))</f>
        <v>0</v>
      </c>
      <c r="I60" s="59">
        <f>IF(($C$5*'Tariffs July2016'!AK54/'Tariffs July2016'!AI54&gt;'Tariffs July2016'!M54),($C$5*'Tariffs July2016'!AK54/'Tariffs July2016'!AI54-'Tariffs July2016'!M54)*'Tariffs July2016'!S54/100*'Tariffs July2016'!AI54,0)</f>
        <v>0</v>
      </c>
      <c r="J60" s="59">
        <f>IF($C$5*'Tariffs July2016'!AL54/'Tariffs July2016'!AJ54&gt;='Tariffs July2016'!J54,('Tariffs July2016'!J54*'Tariffs July2016'!U54/100)* 'Tariffs July2016'!AJ54,($C$5*'Tariffs July2016'!AL54/'Tariffs July2016'!AJ54*'Tariffs July2016'!U54/100)* 'Tariffs July2016'!AJ54)</f>
        <v>320.31999999999994</v>
      </c>
      <c r="K60" s="59">
        <f>IF($C$5*'Tariffs July2016'!AL54/'Tariffs July2016'!AJ54&lt;'Tariffs July2016'!J54,0,IF($C$5*'Tariffs July2016'!AL54/'Tariffs July2016'!AJ54&lt;='Tariffs July2016'!K54,($C$5*'Tariffs July2016'!AL54/'Tariffs July2016'!AJ54-'Tariffs July2016'!J54)*('Tariffs July2016'!V54/100)*'Tariffs July2016'!AJ54,('Tariffs July2016'!K54-'Tariffs July2016'!J54)*('Tariffs July2016'!V54/100)*'Tariffs July2016'!AJ54))</f>
        <v>464.80490399999991</v>
      </c>
      <c r="L60" s="59">
        <f>IF($C$5*'Tariffs July2016'!AL54/'Tariffs July2016'!AJ54&lt;'Tariffs July2016'!K54,0,IF($C$5*'Tariffs July2016'!AL54/'Tariffs July2016'!AJ54&lt;='Tariffs July2016'!L54,($C$5*'Tariffs July2016'!AL54/'Tariffs July2016'!AJ54-'Tariffs July2016'!K54)*('Tariffs July2016'!W54/100)*'Tariffs July2016'!AJ54,('Tariffs July2016'!L54-'Tariffs July2016'!K54)*('Tariffs July2016'!W54/100)*'Tariffs July2016'!AJ54))</f>
        <v>0</v>
      </c>
      <c r="M60" s="59">
        <f>IF($C$5*'Tariffs July2016'!AL54/'Tariffs July2016'!AJ54&lt;'Tariffs July2016'!L54,0,IF($C$5*'Tariffs July2016'!AL54/'Tariffs July2016'!AJ54&lt;='Tariffs July2016'!M54,($C$5*'Tariffs July2016'!AL54/'Tariffs July2016'!AJ54-'Tariffs July2016'!L54)*('Tariffs July2016'!X54/100)*'Tariffs July2016'!AJ54,('Tariffs July2016'!M54-'Tariffs July2016'!L54)*('Tariffs July2016'!X54/100)*'Tariffs July2016'!AJ54))</f>
        <v>0</v>
      </c>
      <c r="N60" s="59">
        <f>IF(($C$5*'Tariffs July2016'!AL54/'Tariffs July2016'!AJ54&gt;'Tariffs July2016'!M54),($C$5*'Tariffs July2016'!AL54/'Tariffs July2016'!AJ54-'Tariffs July2016'!M54)*'Tariffs July2016'!Y54/100*'Tariffs July2016'!AJ54,0)</f>
        <v>0</v>
      </c>
      <c r="O60" s="271">
        <f t="shared" si="0"/>
        <v>1177.6873559999997</v>
      </c>
      <c r="P60" s="59">
        <f t="shared" si="1"/>
        <v>1411.7618559999996</v>
      </c>
      <c r="Q60" s="272">
        <f t="shared" si="2"/>
        <v>1552.9380415999997</v>
      </c>
      <c r="R60" s="40">
        <f>'Tariffs July2016'!AM54</f>
        <v>0</v>
      </c>
      <c r="S60" s="40">
        <f>'Tariffs July2016'!AN54</f>
        <v>0</v>
      </c>
      <c r="T60" s="40">
        <f>'Tariffs July2016'!AO54</f>
        <v>0</v>
      </c>
      <c r="U60" s="40">
        <f>'Tariffs July2016'!AP54</f>
        <v>13</v>
      </c>
      <c r="V60" s="273">
        <f t="shared" si="3"/>
        <v>1411.7618559999996</v>
      </c>
      <c r="W60" s="273">
        <f>V60-(O60*U60/100)</f>
        <v>1258.6624997199997</v>
      </c>
      <c r="X60" s="272">
        <f t="shared" si="4"/>
        <v>1552.9380415999997</v>
      </c>
      <c r="Y60" s="272">
        <f t="shared" si="5"/>
        <v>1384.5287496919998</v>
      </c>
      <c r="Z60" s="274">
        <f>'Tariffs July2016'!AW54</f>
        <v>0</v>
      </c>
      <c r="AA60" s="274" t="str">
        <f>'Tariffs July2016'!AX54</f>
        <v>n</v>
      </c>
      <c r="AB60" s="275" t="str">
        <f>'Tariffs July2016'!BD54</f>
        <v>N</v>
      </c>
      <c r="AC60" s="260"/>
      <c r="AD60" s="260"/>
      <c r="AE60" s="260"/>
      <c r="AF60" s="260"/>
      <c r="AG60" s="260"/>
      <c r="AH60" s="260"/>
      <c r="AI60" s="260"/>
      <c r="AJ60" s="260"/>
      <c r="AK60" s="260"/>
      <c r="AL60" s="260"/>
      <c r="AM60" s="260"/>
      <c r="AN60" s="260"/>
    </row>
    <row r="61" spans="1:40" x14ac:dyDescent="0.15">
      <c r="A61" s="270" t="str">
        <f>'Tariffs July2016'!F55</f>
        <v>Red Energy</v>
      </c>
      <c r="B61" s="40" t="str">
        <f>'Tariffs July2016'!D55</f>
        <v>Envestra Central 1</v>
      </c>
      <c r="C61" s="40" t="str">
        <f>'Tariffs July2016'!G55</f>
        <v>Living Energy Saver</v>
      </c>
      <c r="D61" s="59">
        <f>365*'Tariffs July2016'!H55/100</f>
        <v>248.2</v>
      </c>
      <c r="E61" s="59">
        <f>IF($C$5*'Tariffs July2016'!AK55/'Tariffs July2016'!AI55&gt;='Tariffs July2016'!J55,( 'Tariffs July2016'!J55*'Tariffs July2016'!O55/100)* 'Tariffs July2016'!AI55,($C$5*'Tariffs July2016'!AK55/'Tariffs July2016'!AI55*'Tariffs July2016'!O55/100)* 'Tariffs July2016'!AI55)</f>
        <v>111.6</v>
      </c>
      <c r="F61" s="59">
        <f>IF($C$5*'Tariffs July2016'!AK55/'Tariffs July2016'!AI55&lt;'Tariffs July2016'!J55,0,IF($C$5*'Tariffs July2016'!AK55/'Tariffs July2016'!AI55&lt;='Tariffs July2016'!K55,($C$5*'Tariffs July2016'!AK55/'Tariffs July2016'!AI55-'Tariffs July2016'!J55)*('Tariffs July2016'!S55/100)*'Tariffs July2016'!AI55,('Tariffs July2016'!K55-'Tariffs July2016'!J55)*('Tariffs July2016'!S55/100)*'Tariffs July2016'!AI55))</f>
        <v>0</v>
      </c>
      <c r="G61" s="59">
        <f>IF($C$5*'Tariffs July2016'!AK55/'Tariffs July2016'!AI55&lt;'Tariffs July2016'!K55,0,IF($C$5*'Tariffs July2016'!AK55/'Tariffs July2016'!AI55&lt;='Tariffs July2016'!L55,($C$5*'Tariffs July2016'!AK55/'Tariffs July2016'!AI55-'Tariffs July2016'!K55)*('Tariffs July2016'!Q55/100)*'Tariffs July2016'!AI55,('Tariffs July2016'!L55-'Tariffs July2016'!K55)*('Tariffs July2016'!Q55/100)*'Tariffs July2016'!AI55))</f>
        <v>0</v>
      </c>
      <c r="H61" s="59">
        <f>IF($C$5*'Tariffs July2016'!AK55/'Tariffs July2016'!AI55&lt;'Tariffs July2016'!L55,0,IF($C$5*'Tariffs July2016'!AK55/'Tariffs July2016'!AI55&lt;='Tariffs July2016'!M55,($C$5*'Tariffs July2016'!AK55/'Tariffs July2016'!AI55-'Tariffs July2016'!L55)*('Tariffs July2016'!R55/100)*'Tariffs July2016'!AI55,('Tariffs July2016'!M55-'Tariffs July2016'!L55)*('Tariffs July2016'!R55/100)*'Tariffs July2016'!AI55))</f>
        <v>0</v>
      </c>
      <c r="I61" s="59">
        <f>IF(($C$5*'Tariffs July2016'!AK55/'Tariffs July2016'!AI55&gt;'Tariffs July2016'!M55),($C$5*'Tariffs July2016'!AK55/'Tariffs July2016'!AI55-'Tariffs July2016'!M55)*'Tariffs July2016'!S55/100*'Tariffs July2016'!AI55,0)</f>
        <v>214.76992799999996</v>
      </c>
      <c r="J61" s="59">
        <f>IF($C$5*'Tariffs July2016'!AL55/'Tariffs July2016'!AJ55&gt;='Tariffs July2016'!J55,('Tariffs July2016'!J55*'Tariffs July2016'!U55/100)* 'Tariffs July2016'!AJ55,($C$5*'Tariffs July2016'!AL55/'Tariffs July2016'!AJ55*'Tariffs July2016'!U55/100)* 'Tariffs July2016'!AJ55)</f>
        <v>223.2</v>
      </c>
      <c r="K61" s="59">
        <f>IF($C$5*'Tariffs July2016'!AL55/'Tariffs July2016'!AJ55&lt;'Tariffs July2016'!J55,0,IF($C$5*'Tariffs July2016'!AL55/'Tariffs July2016'!AJ55&lt;='Tariffs July2016'!K55,($C$5*'Tariffs July2016'!AL55/'Tariffs July2016'!AJ55-'Tariffs July2016'!J55)*('Tariffs July2016'!V55/100)*'Tariffs July2016'!AJ55,('Tariffs July2016'!K55-'Tariffs July2016'!J55)*('Tariffs July2016'!V55/100)*'Tariffs July2016'!AJ55))</f>
        <v>0</v>
      </c>
      <c r="L61" s="59">
        <f>IF($C$5*'Tariffs July2016'!AL55/'Tariffs July2016'!AJ55&lt;'Tariffs July2016'!K55,0,IF($C$5*'Tariffs July2016'!AL55/'Tariffs July2016'!AJ55&lt;='Tariffs July2016'!L55,($C$5*'Tariffs July2016'!AL55/'Tariffs July2016'!AJ55-'Tariffs July2016'!K55)*('Tariffs July2016'!W55/100)*'Tariffs July2016'!AJ55,('Tariffs July2016'!L55-'Tariffs July2016'!K55)*('Tariffs July2016'!W55/100)*'Tariffs July2016'!AJ55))</f>
        <v>0</v>
      </c>
      <c r="M61" s="59">
        <f>IF($C$5*'Tariffs July2016'!AL55/'Tariffs July2016'!AJ55&lt;'Tariffs July2016'!L55,0,IF($C$5*'Tariffs July2016'!AL55/'Tariffs July2016'!AJ55&lt;='Tariffs July2016'!M55,($C$5*'Tariffs July2016'!AL55/'Tariffs July2016'!AJ55-'Tariffs July2016'!L55)*('Tariffs July2016'!X55/100)*'Tariffs July2016'!AJ55,('Tariffs July2016'!M55-'Tariffs July2016'!L55)*('Tariffs July2016'!X55/100)*'Tariffs July2016'!AJ55))</f>
        <v>0</v>
      </c>
      <c r="N61" s="59">
        <f>IF(($C$5*'Tariffs July2016'!AL55/'Tariffs July2016'!AJ55&gt;'Tariffs July2016'!M55),($C$5*'Tariffs July2016'!AL55/'Tariffs July2016'!AJ55-'Tariffs July2016'!M55)*'Tariffs July2016'!Y55/100*'Tariffs July2016'!AJ55,0)</f>
        <v>429.53985599999993</v>
      </c>
      <c r="O61" s="271">
        <f t="shared" si="0"/>
        <v>979.10978399999976</v>
      </c>
      <c r="P61" s="59">
        <f t="shared" si="1"/>
        <v>1227.3097839999998</v>
      </c>
      <c r="Q61" s="272">
        <f t="shared" si="2"/>
        <v>1350.0407623999999</v>
      </c>
      <c r="R61" s="40">
        <f>'Tariffs July2016'!AM55</f>
        <v>0</v>
      </c>
      <c r="S61" s="40">
        <f>'Tariffs July2016'!AN55</f>
        <v>0</v>
      </c>
      <c r="T61" s="40">
        <f>'Tariffs July2016'!AO55</f>
        <v>10</v>
      </c>
      <c r="U61" s="40">
        <f>'Tariffs July2016'!AP55</f>
        <v>0</v>
      </c>
      <c r="V61" s="273">
        <f t="shared" si="3"/>
        <v>1227.3097839999998</v>
      </c>
      <c r="W61" s="273">
        <f>V61-(P61*T61/100)</f>
        <v>1104.5788055999999</v>
      </c>
      <c r="X61" s="272">
        <f t="shared" si="4"/>
        <v>1350.0407623999999</v>
      </c>
      <c r="Y61" s="272">
        <f t="shared" si="5"/>
        <v>1215.03668616</v>
      </c>
      <c r="Z61" s="274">
        <f>'Tariffs July2016'!AW55</f>
        <v>0</v>
      </c>
      <c r="AA61" s="274" t="str">
        <f>'Tariffs July2016'!AX55</f>
        <v>n</v>
      </c>
      <c r="AB61" s="275" t="str">
        <f>'Tariffs July2016'!BD55</f>
        <v>Y</v>
      </c>
      <c r="AC61" s="260"/>
      <c r="AD61" s="260"/>
      <c r="AE61" s="260"/>
      <c r="AF61" s="260"/>
      <c r="AG61" s="260"/>
      <c r="AH61" s="260"/>
      <c r="AI61" s="260"/>
      <c r="AJ61" s="260"/>
      <c r="AK61" s="260"/>
      <c r="AL61" s="260"/>
      <c r="AM61" s="260"/>
      <c r="AN61" s="260"/>
    </row>
    <row r="62" spans="1:40" ht="14" thickBot="1" x14ac:dyDescent="0.2">
      <c r="A62" s="276" t="str">
        <f>'Tariffs July2016'!F56</f>
        <v>Simply Energy</v>
      </c>
      <c r="B62" s="277" t="str">
        <f>'Tariffs July2016'!D56</f>
        <v>Envestra Central 1</v>
      </c>
      <c r="C62" s="277" t="str">
        <f>'Tariffs July2016'!G56</f>
        <v>Plus</v>
      </c>
      <c r="D62" s="278">
        <f>365*'Tariffs July2016'!H56/100</f>
        <v>208.12300000000002</v>
      </c>
      <c r="E62" s="278">
        <f>IF($C$5*'Tariffs July2016'!AK56/'Tariffs July2016'!AI56&gt;='Tariffs July2016'!J56,( 'Tariffs July2016'!J56*'Tariffs July2016'!O56/100)* 'Tariffs July2016'!AI56,($C$5*'Tariffs July2016'!AK56/'Tariffs July2016'!AI56*'Tariffs July2016'!O56/100)* 'Tariffs July2016'!AI56)</f>
        <v>75.669999999999987</v>
      </c>
      <c r="F62" s="278">
        <f>IF($C$5*'Tariffs July2016'!AK56/'Tariffs July2016'!AI56&lt;'Tariffs July2016'!J56,0,IF($C$5*'Tariffs July2016'!AK56/'Tariffs July2016'!AI56&lt;='Tariffs July2016'!K56,($C$5*'Tariffs July2016'!AK56/'Tariffs July2016'!AI56-'Tariffs July2016'!J56)*('Tariffs July2016'!P56/100)*'Tariffs July2016'!AI56,('Tariffs July2016'!K56-'Tariffs July2016'!J56)*('Tariffs July2016'!P56/100)*'Tariffs July2016'!AI56))</f>
        <v>52.302999999999997</v>
      </c>
      <c r="G62" s="278">
        <f>IF($C$5*'Tariffs July2016'!AK56/'Tariffs July2016'!AI56&lt;'Tariffs July2016'!K56,0,IF($C$5*'Tariffs July2016'!AK56/'Tariffs July2016'!AI56&lt;='Tariffs July2016'!L56,($C$5*'Tariffs July2016'!AK56/'Tariffs July2016'!AI56-'Tariffs July2016'!K56)*('Tariffs July2016'!Q56/100)*'Tariffs July2016'!AI56,('Tariffs July2016'!L56-'Tariffs July2016'!K56)*('Tariffs July2016'!Q56/100)*'Tariffs July2016'!AI56))</f>
        <v>0</v>
      </c>
      <c r="H62" s="278">
        <f>IF($C$5*'Tariffs July2016'!AK56/'Tariffs July2016'!AI56&lt;'Tariffs July2016'!L56,0,IF($C$5*'Tariffs July2016'!AK56/'Tariffs July2016'!AI56&lt;='Tariffs July2016'!M56,($C$5*'Tariffs July2016'!AK56/'Tariffs July2016'!AI56-'Tariffs July2016'!L56)*('Tariffs July2016'!R56/100)*'Tariffs July2016'!AI56,('Tariffs July2016'!M56-'Tariffs July2016'!L56)*('Tariffs July2016'!R56/100)*'Tariffs July2016'!AI56))</f>
        <v>0</v>
      </c>
      <c r="I62" s="278">
        <f>IF(($C$5*'Tariffs July2016'!AK56/'Tariffs July2016'!AI56&gt;'Tariffs July2016'!M56),($C$5*'Tariffs July2016'!AK56/'Tariffs July2016'!AI56-'Tariffs July2016'!M56)*'Tariffs July2016'!S56/100*'Tariffs July2016'!AI56,0)</f>
        <v>242.96597999999997</v>
      </c>
      <c r="J62" s="278">
        <f>IF($C$5*'Tariffs July2016'!AL56/'Tariffs July2016'!AJ56&gt;='Tariffs July2016'!J56,('Tariffs July2016'!J56*'Tariffs July2016'!U56/100)* 'Tariffs July2016'!AJ56,($C$5*'Tariffs July2016'!AL56/'Tariffs July2016'!AJ56*'Tariffs July2016'!U56/100)* 'Tariffs July2016'!AJ56)</f>
        <v>151.33999999999997</v>
      </c>
      <c r="K62" s="278">
        <f>IF($C$5*'Tariffs July2016'!AL56/'Tariffs July2016'!AJ56&lt;'Tariffs July2016'!J56,0,IF($C$5*'Tariffs July2016'!AL56/'Tariffs July2016'!AJ56&lt;='Tariffs July2016'!K56,($C$5*'Tariffs July2016'!AL56/'Tariffs July2016'!AJ56-'Tariffs July2016'!J56)*('Tariffs July2016'!V56/100)*'Tariffs July2016'!AJ56,('Tariffs July2016'!K56-'Tariffs July2016'!J56)*('Tariffs July2016'!V56/100)*'Tariffs July2016'!AJ56))</f>
        <v>104.60599999999999</v>
      </c>
      <c r="L62" s="278">
        <f>IF($C$5*'Tariffs July2016'!AL56/'Tariffs July2016'!AJ56&lt;'Tariffs July2016'!K56,0,IF($C$5*'Tariffs July2016'!AL56/'Tariffs July2016'!AJ56&lt;='Tariffs July2016'!L56,($C$5*'Tariffs July2016'!AL56/'Tariffs July2016'!AJ56-'Tariffs July2016'!K56)*('Tariffs July2016'!W56/100)*'Tariffs July2016'!AJ56,('Tariffs July2016'!L56-'Tariffs July2016'!K56)*('Tariffs July2016'!W56/100)*'Tariffs July2016'!AJ56))</f>
        <v>0</v>
      </c>
      <c r="M62" s="278">
        <f>IF($C$5*'Tariffs July2016'!AL56/'Tariffs July2016'!AJ56&lt;'Tariffs July2016'!L56,0,IF($C$5*'Tariffs July2016'!AL56/'Tariffs July2016'!AJ56&lt;='Tariffs July2016'!M56,($C$5*'Tariffs July2016'!AL56/'Tariffs July2016'!AJ56-'Tariffs July2016'!L56)*('Tariffs July2016'!X56/100)*'Tariffs July2016'!AJ56,('Tariffs July2016'!M56-'Tariffs July2016'!L56)*('Tariffs July2016'!X56/100)*'Tariffs July2016'!AJ56))</f>
        <v>0</v>
      </c>
      <c r="N62" s="278">
        <f>IF(($C$5*'Tariffs July2016'!AL56/'Tariffs July2016'!AJ56&gt;'Tariffs July2016'!M56),($C$5*'Tariffs July2016'!AL56/'Tariffs July2016'!AJ56-'Tariffs July2016'!M56)*'Tariffs July2016'!Y56/100*'Tariffs July2016'!AJ56,0)</f>
        <v>485.93195999999995</v>
      </c>
      <c r="O62" s="279">
        <f t="shared" si="0"/>
        <v>1112.8169399999999</v>
      </c>
      <c r="P62" s="278">
        <f t="shared" si="1"/>
        <v>1320.93994</v>
      </c>
      <c r="Q62" s="280">
        <f t="shared" si="2"/>
        <v>1453.033934</v>
      </c>
      <c r="R62" s="277">
        <f>'Tariffs July2016'!AM56</f>
        <v>0</v>
      </c>
      <c r="S62" s="277">
        <f>'Tariffs July2016'!AN56</f>
        <v>15</v>
      </c>
      <c r="T62" s="277">
        <f>'Tariffs July2016'!AO56</f>
        <v>0</v>
      </c>
      <c r="U62" s="277">
        <f>'Tariffs July2016'!AP56</f>
        <v>5</v>
      </c>
      <c r="V62" s="281">
        <f>P62-(O62*S62/100)</f>
        <v>1154.0173990000001</v>
      </c>
      <c r="W62" s="281">
        <f>V62-(O62*U62/100)</f>
        <v>1098.3765520000002</v>
      </c>
      <c r="X62" s="280">
        <f t="shared" si="4"/>
        <v>1269.4191389000002</v>
      </c>
      <c r="Y62" s="280">
        <f t="shared" si="5"/>
        <v>1208.2142072000004</v>
      </c>
      <c r="Z62" s="282">
        <f>'Tariffs July2016'!AW56</f>
        <v>24</v>
      </c>
      <c r="AA62" s="282" t="str">
        <f>'Tariffs July2016'!AX56</f>
        <v>n</v>
      </c>
      <c r="AB62" s="283" t="str">
        <f>'Tariffs July2016'!BD56</f>
        <v>Y</v>
      </c>
      <c r="AC62" s="260"/>
      <c r="AD62" s="260"/>
      <c r="AE62" s="260"/>
      <c r="AF62" s="260"/>
      <c r="AG62" s="260"/>
      <c r="AH62" s="260"/>
      <c r="AI62" s="260"/>
      <c r="AJ62" s="260"/>
      <c r="AK62" s="260"/>
      <c r="AL62" s="260"/>
      <c r="AM62" s="260"/>
      <c r="AN62" s="260"/>
    </row>
    <row r="63" spans="1:40" x14ac:dyDescent="0.15">
      <c r="A63" s="270" t="str">
        <f>'Tariffs July2016'!F57</f>
        <v>AGL</v>
      </c>
      <c r="B63" s="40" t="str">
        <f>'Tariffs July2016'!D57</f>
        <v>Ausnet West</v>
      </c>
      <c r="C63" s="40" t="str">
        <f>'Tariffs July2016'!G57</f>
        <v>Savers</v>
      </c>
      <c r="D63" s="59">
        <f>365*'Tariffs July2016'!H57/100</f>
        <v>263.71249999999998</v>
      </c>
      <c r="E63" s="59">
        <f>IF($C$5*'Tariffs July2016'!AK57/'Tariffs July2016'!AI57&gt;='Tariffs July2016'!J57,( 'Tariffs July2016'!J57*'Tariffs July2016'!O57/100)* 'Tariffs July2016'!AI57,($C$5*'Tariffs July2016'!AK57/'Tariffs July2016'!AI57*'Tariffs July2016'!O57/100)* 'Tariffs July2016'!AI57)</f>
        <v>215.88</v>
      </c>
      <c r="F63" s="59">
        <f>IF($C$5*'Tariffs July2016'!AK57/'Tariffs July2016'!AI57&lt;'Tariffs July2016'!J57,0,IF($C$5*'Tariffs July2016'!AK57/'Tariffs July2016'!AI57&lt;='Tariffs July2016'!K57,($C$5*'Tariffs July2016'!AK57/'Tariffs July2016'!AI57-'Tariffs July2016'!J57)*('Tariffs July2016'!P57/100)*'Tariffs July2016'!AI57,('Tariffs July2016'!K57-'Tariffs July2016'!J57)*('Tariffs July2016'!P57/100)*'Tariffs July2016'!AI57))</f>
        <v>155.39373299999997</v>
      </c>
      <c r="G63" s="59">
        <f>IF($C$5*'Tariffs July2016'!AK57/'Tariffs July2016'!AI57&lt;'Tariffs July2016'!K57,0,IF($C$5*'Tariffs July2016'!AK57/'Tariffs July2016'!AI57&lt;='Tariffs July2016'!L57,($C$5*'Tariffs July2016'!AK57/'Tariffs July2016'!AI57-'Tariffs July2016'!K57)*('Tariffs July2016'!Q57/100)*'Tariffs July2016'!AI57,('Tariffs July2016'!L57-'Tariffs July2016'!K57)*('Tariffs July2016'!Q57/100)*'Tariffs July2016'!AI57))</f>
        <v>0</v>
      </c>
      <c r="H63" s="59">
        <f>IF($C$5*'Tariffs July2016'!AK57/'Tariffs July2016'!AI57&lt;'Tariffs July2016'!L57,0,IF($C$5*'Tariffs July2016'!AK57/'Tariffs July2016'!AI57&lt;='Tariffs July2016'!M57,($C$5*'Tariffs July2016'!AK57/'Tariffs July2016'!AI57-'Tariffs July2016'!L57)*('Tariffs July2016'!R57/100)*'Tariffs July2016'!AI57,('Tariffs July2016'!M57-'Tariffs July2016'!L57)*('Tariffs July2016'!R57/100)*'Tariffs July2016'!AI57))</f>
        <v>0</v>
      </c>
      <c r="I63" s="59">
        <f>IF(($C$5*'Tariffs July2016'!AK57/'Tariffs July2016'!AI57&gt;'Tariffs July2016'!M57),($C$5*'Tariffs July2016'!AK57/'Tariffs July2016'!AI57-'Tariffs July2016'!M57)*'Tariffs July2016'!S57/100*'Tariffs July2016'!AI57,0)</f>
        <v>0</v>
      </c>
      <c r="J63" s="59">
        <f>IF($C$5*'Tariffs July2016'!AL57/'Tariffs July2016'!AJ57&gt;='Tariffs July2016'!J57,('Tariffs July2016'!J57*'Tariffs July2016'!U57/100)* 'Tariffs July2016'!AJ57,($C$5*'Tariffs July2016'!AL57/'Tariffs July2016'!AJ57*'Tariffs July2016'!U57/100)* 'Tariffs July2016'!AJ57)</f>
        <v>392.4</v>
      </c>
      <c r="K63" s="59">
        <f>IF($C$5*'Tariffs July2016'!AL57/'Tariffs July2016'!AJ57&lt;'Tariffs July2016'!J57,0,IF($C$5*'Tariffs July2016'!AL57/'Tariffs July2016'!AJ57&lt;='Tariffs July2016'!K57,($C$5*'Tariffs July2016'!AL57/'Tariffs July2016'!AJ57-'Tariffs July2016'!J57)*('Tariffs July2016'!V57/100)*'Tariffs July2016'!AJ57,('Tariffs July2016'!K57-'Tariffs July2016'!J57)*('Tariffs July2016'!V57/100)*'Tariffs July2016'!AJ57))</f>
        <v>237.36460199999996</v>
      </c>
      <c r="L63" s="59">
        <f>IF($C$5*'Tariffs July2016'!AL57/'Tariffs July2016'!AJ57&lt;'Tariffs July2016'!K57,0,IF($C$5*'Tariffs July2016'!AL57/'Tariffs July2016'!AJ57&lt;='Tariffs July2016'!L57,($C$5*'Tariffs July2016'!AL57/'Tariffs July2016'!AJ57-'Tariffs July2016'!K57)*('Tariffs July2016'!W57/100)*'Tariffs July2016'!AJ57,('Tariffs July2016'!L57-'Tariffs July2016'!K57)*('Tariffs July2016'!W57/100)*'Tariffs July2016'!AJ57))</f>
        <v>0</v>
      </c>
      <c r="M63" s="59">
        <f>IF($C$5*'Tariffs July2016'!AL57/'Tariffs July2016'!AJ57&lt;'Tariffs July2016'!L57,0,IF($C$5*'Tariffs July2016'!AL57/'Tariffs July2016'!AJ57&lt;='Tariffs July2016'!M57,($C$5*'Tariffs July2016'!AL57/'Tariffs July2016'!AJ57-'Tariffs July2016'!L57)*('Tariffs July2016'!X57/100)*'Tariffs July2016'!AJ57,('Tariffs July2016'!M57-'Tariffs July2016'!L57)*('Tariffs July2016'!X57/100)*'Tariffs July2016'!AJ57))</f>
        <v>0</v>
      </c>
      <c r="N63" s="59">
        <f>IF(($C$5*'Tariffs July2016'!AL57/'Tariffs July2016'!AJ57&gt;'Tariffs July2016'!M57),($C$5*'Tariffs July2016'!AL57/'Tariffs July2016'!AJ57-'Tariffs July2016'!M57)*'Tariffs July2016'!Y57/100*'Tariffs July2016'!AJ57,0)</f>
        <v>0</v>
      </c>
      <c r="O63" s="271">
        <f t="shared" si="0"/>
        <v>1001.038335</v>
      </c>
      <c r="P63" s="59">
        <f t="shared" si="1"/>
        <v>1264.7508349999998</v>
      </c>
      <c r="Q63" s="272">
        <f t="shared" si="2"/>
        <v>1391.2259184999998</v>
      </c>
      <c r="R63" s="40">
        <f>'Tariffs July2016'!AM57</f>
        <v>0</v>
      </c>
      <c r="S63" s="40">
        <f>'Tariffs July2016'!AN57</f>
        <v>0</v>
      </c>
      <c r="T63" s="40">
        <f>'Tariffs July2016'!AO57</f>
        <v>0</v>
      </c>
      <c r="U63" s="40">
        <f>'Tariffs July2016'!AP57</f>
        <v>13</v>
      </c>
      <c r="V63" s="273">
        <f t="shared" si="3"/>
        <v>1264.7508349999998</v>
      </c>
      <c r="W63" s="273">
        <f>V63-(O63*U63/100)</f>
        <v>1134.6158514499998</v>
      </c>
      <c r="X63" s="272">
        <f t="shared" si="4"/>
        <v>1391.2259184999998</v>
      </c>
      <c r="Y63" s="272">
        <f t="shared" si="5"/>
        <v>1248.0774365949999</v>
      </c>
      <c r="Z63" s="274">
        <f>'Tariffs July2016'!AW57</f>
        <v>0</v>
      </c>
      <c r="AA63" s="274" t="str">
        <f>'Tariffs July2016'!AX57</f>
        <v>n</v>
      </c>
      <c r="AB63" s="275" t="str">
        <f>'Tariffs July2016'!BD57</f>
        <v>N</v>
      </c>
      <c r="AC63" s="260"/>
      <c r="AD63" s="260"/>
      <c r="AE63" s="260"/>
      <c r="AF63" s="260"/>
      <c r="AG63" s="260"/>
      <c r="AH63" s="260"/>
      <c r="AI63" s="260"/>
      <c r="AJ63" s="260"/>
      <c r="AK63" s="260"/>
      <c r="AL63" s="260"/>
      <c r="AM63" s="260"/>
      <c r="AN63" s="260"/>
    </row>
    <row r="64" spans="1:40" x14ac:dyDescent="0.15">
      <c r="A64" s="270" t="str">
        <f>'Tariffs July2016'!F58</f>
        <v>Alinta Energy</v>
      </c>
      <c r="B64" s="40" t="str">
        <f>'Tariffs July2016'!D58</f>
        <v>Ausnet West</v>
      </c>
      <c r="C64" s="40" t="str">
        <f>'Tariffs July2016'!G58</f>
        <v>Fair Deal</v>
      </c>
      <c r="D64" s="59">
        <f>365*'Tariffs July2016'!H58/100</f>
        <v>224.0735</v>
      </c>
      <c r="E64" s="59">
        <f>IF($C$5*'Tariffs July2016'!AK58/'Tariffs July2016'!AI58&gt;='Tariffs July2016'!J58,( 'Tariffs July2016'!J58*'Tariffs July2016'!O58/100)* 'Tariffs July2016'!AI58,($C$5*'Tariffs July2016'!AK58/'Tariffs July2016'!AI58*'Tariffs July2016'!O58/100)* 'Tariffs July2016'!AI58)</f>
        <v>231.6</v>
      </c>
      <c r="F64" s="59">
        <f>IF($C$5*'Tariffs July2016'!AK58/'Tariffs July2016'!AI58&lt;'Tariffs July2016'!J58,0,IF($C$5*'Tariffs July2016'!AK58/'Tariffs July2016'!AI58&lt;='Tariffs July2016'!K58,($C$5*'Tariffs July2016'!AK58/'Tariffs July2016'!AI58-'Tariffs July2016'!J58)*('Tariffs July2016'!P58/100)*'Tariffs July2016'!AI58,('Tariffs July2016'!K58-'Tariffs July2016'!J58)*('Tariffs July2016'!P58/100)*'Tariffs July2016'!AI58))</f>
        <v>0</v>
      </c>
      <c r="G64" s="59">
        <f>IF($C$5*'Tariffs July2016'!AK58/'Tariffs July2016'!AI58&lt;'Tariffs July2016'!K58,0,IF($C$5*'Tariffs July2016'!AK58/'Tariffs July2016'!AI58&lt;='Tariffs July2016'!L58,($C$5*'Tariffs July2016'!AK58/'Tariffs July2016'!AI58-'Tariffs July2016'!K58)*('Tariffs July2016'!Q58/100)*'Tariffs July2016'!AI58,('Tariffs July2016'!L58-'Tariffs July2016'!K58)*('Tariffs July2016'!Q58/100)*'Tariffs July2016'!AI58))</f>
        <v>0</v>
      </c>
      <c r="H64" s="59">
        <f>IF($C$5*'Tariffs July2016'!AK58/'Tariffs July2016'!AI58&lt;'Tariffs July2016'!L58,0,IF($C$5*'Tariffs July2016'!AK58/'Tariffs July2016'!AI58&lt;='Tariffs July2016'!M58,($C$5*'Tariffs July2016'!AK58/'Tariffs July2016'!AI58-'Tariffs July2016'!L58)*('Tariffs July2016'!R58/100)*'Tariffs July2016'!AI58,('Tariffs July2016'!M58-'Tariffs July2016'!L58)*('Tariffs July2016'!R58/100)*'Tariffs July2016'!AI58))</f>
        <v>0</v>
      </c>
      <c r="I64" s="59">
        <f>IF(($C$5*'Tariffs July2016'!AK58/'Tariffs July2016'!AI58&gt;'Tariffs July2016'!M58),($C$5*'Tariffs July2016'!AK58/'Tariffs July2016'!AI58-'Tariffs July2016'!M58)*'Tariffs July2016'!S58/100*'Tariffs July2016'!AI58,0)</f>
        <v>155.66366999999997</v>
      </c>
      <c r="J64" s="59">
        <f>IF($C$5*'Tariffs July2016'!AL58/'Tariffs July2016'!AJ58&gt;='Tariffs July2016'!J58,('Tariffs July2016'!J58*'Tariffs July2016'!U58/100)* 'Tariffs July2016'!AJ58,($C$5*'Tariffs July2016'!AL58/'Tariffs July2016'!AJ58*'Tariffs July2016'!U58/100)* 'Tariffs July2016'!AJ58)</f>
        <v>410.4</v>
      </c>
      <c r="K64" s="59">
        <f>IF($C$5*'Tariffs July2016'!AL58/'Tariffs July2016'!AJ58&lt;'Tariffs July2016'!J58,0,IF($C$5*'Tariffs July2016'!AL58/'Tariffs July2016'!AJ58&lt;='Tariffs July2016'!K58,($C$5*'Tariffs July2016'!AL58/'Tariffs July2016'!AJ58-'Tariffs July2016'!J58)*('Tariffs July2016'!V58/100)*'Tariffs July2016'!AJ58,('Tariffs July2016'!K58-'Tariffs July2016'!J58)*('Tariffs July2016'!V58/100)*'Tariffs July2016'!AJ58))</f>
        <v>0</v>
      </c>
      <c r="L64" s="59">
        <f>IF($C$5*'Tariffs July2016'!AL58/'Tariffs July2016'!AJ58&lt;'Tariffs July2016'!K58,0,IF($C$5*'Tariffs July2016'!AL58/'Tariffs July2016'!AJ58&lt;='Tariffs July2016'!L58,($C$5*'Tariffs July2016'!AL58/'Tariffs July2016'!AJ58-'Tariffs July2016'!K58)*('Tariffs July2016'!W58/100)*'Tariffs July2016'!AJ58,('Tariffs July2016'!L58-'Tariffs July2016'!K58)*('Tariffs July2016'!W58/100)*'Tariffs July2016'!AJ58))</f>
        <v>0</v>
      </c>
      <c r="M64" s="59">
        <f>IF($C$5*'Tariffs July2016'!AL58/'Tariffs July2016'!AJ58&lt;'Tariffs July2016'!L58,0,IF($C$5*'Tariffs July2016'!AL58/'Tariffs July2016'!AJ58&lt;='Tariffs July2016'!M58,($C$5*'Tariffs July2016'!AL58/'Tariffs July2016'!AJ58-'Tariffs July2016'!L58)*('Tariffs July2016'!X58/100)*'Tariffs July2016'!AJ58,('Tariffs July2016'!M58-'Tariffs July2016'!L58)*('Tariffs July2016'!X58/100)*'Tariffs July2016'!AJ58))</f>
        <v>0</v>
      </c>
      <c r="N64" s="59">
        <f>IF(($C$5*'Tariffs July2016'!AL58/'Tariffs July2016'!AJ58&gt;'Tariffs July2016'!M58),($C$5*'Tariffs July2016'!AL58/'Tariffs July2016'!AJ58-'Tariffs July2016'!M58)*'Tariffs July2016'!Y58/100*'Tariffs July2016'!AJ58,0)</f>
        <v>257.3399399999999</v>
      </c>
      <c r="O64" s="271">
        <f t="shared" si="0"/>
        <v>1055.0036099999998</v>
      </c>
      <c r="P64" s="59">
        <f t="shared" si="1"/>
        <v>1279.0771099999997</v>
      </c>
      <c r="Q64" s="272">
        <f t="shared" si="2"/>
        <v>1406.9848209999998</v>
      </c>
      <c r="R64" s="40">
        <f>'Tariffs July2016'!AM58</f>
        <v>0</v>
      </c>
      <c r="S64" s="40">
        <f>'Tariffs July2016'!AN58</f>
        <v>0</v>
      </c>
      <c r="T64" s="40">
        <f>'Tariffs July2016'!AO58</f>
        <v>0</v>
      </c>
      <c r="U64" s="40">
        <f>'Tariffs July2016'!AP58</f>
        <v>15</v>
      </c>
      <c r="V64" s="273">
        <f t="shared" si="3"/>
        <v>1279.0771099999997</v>
      </c>
      <c r="W64" s="273">
        <f>V64-(O64*U64/100)</f>
        <v>1120.8265684999997</v>
      </c>
      <c r="X64" s="272">
        <f t="shared" si="4"/>
        <v>1406.9848209999998</v>
      </c>
      <c r="Y64" s="272">
        <f t="shared" si="5"/>
        <v>1232.9092253499998</v>
      </c>
      <c r="Z64" s="274">
        <f>'Tariffs July2016'!AW58</f>
        <v>0</v>
      </c>
      <c r="AA64" s="274" t="str">
        <f>'Tariffs July2016'!AX58</f>
        <v>n</v>
      </c>
      <c r="AB64" s="275" t="str">
        <f>'Tariffs July2016'!BD58</f>
        <v>Y</v>
      </c>
      <c r="AC64" s="260"/>
      <c r="AD64" s="260"/>
      <c r="AE64" s="260"/>
      <c r="AF64" s="260"/>
      <c r="AG64" s="260"/>
      <c r="AH64" s="260"/>
      <c r="AI64" s="260"/>
      <c r="AJ64" s="260"/>
      <c r="AK64" s="260"/>
      <c r="AL64" s="260"/>
      <c r="AM64" s="260"/>
      <c r="AN64" s="260"/>
    </row>
    <row r="65" spans="1:40" x14ac:dyDescent="0.15">
      <c r="A65" s="270" t="str">
        <f>'Tariffs July2016'!F59</f>
        <v>Click Energy</v>
      </c>
      <c r="B65" s="40" t="str">
        <f>'Tariffs July2016'!D59</f>
        <v>Ausnet West</v>
      </c>
      <c r="C65" s="40" t="str">
        <f>'Tariffs July2016'!G59</f>
        <v>Amber</v>
      </c>
      <c r="D65" s="59">
        <f>365*'Tariffs July2016'!H59/100</f>
        <v>242.72499999999999</v>
      </c>
      <c r="E65" s="59">
        <f>IF($C$5*'Tariffs July2016'!AK59/'Tariffs July2016'!AI59&gt;='Tariffs July2016'!J59,( 'Tariffs July2016'!J59*'Tariffs July2016'!O59/100)* 'Tariffs July2016'!AI59,($C$5*'Tariffs July2016'!AK59/'Tariffs July2016'!AI59*'Tariffs July2016'!O59/100)* 'Tariffs July2016'!AI59)</f>
        <v>244.8</v>
      </c>
      <c r="F65" s="59">
        <f>IF($C$5*'Tariffs July2016'!AK59/'Tariffs July2016'!AI59&lt;'Tariffs July2016'!J59,0,IF($C$5*'Tariffs July2016'!AK59/'Tariffs July2016'!AI59&lt;='Tariffs July2016'!K59,($C$5*'Tariffs July2016'!AK59/'Tariffs July2016'!AI59-'Tariffs July2016'!J59)*('Tariffs July2016'!P59/100)*'Tariffs July2016'!AI59,('Tariffs July2016'!K59-'Tariffs July2016'!J59)*('Tariffs July2016'!P59/100)*'Tariffs July2016'!AI59))</f>
        <v>179.95799999999997</v>
      </c>
      <c r="G65" s="59">
        <f>IF($C$5*'Tariffs July2016'!AK59/'Tariffs July2016'!AI59&lt;'Tariffs July2016'!K59,0,IF($C$5*'Tariffs July2016'!AK59/'Tariffs July2016'!AI59&lt;='Tariffs July2016'!L59,($C$5*'Tariffs July2016'!AK59/'Tariffs July2016'!AI59-'Tariffs July2016'!K59)*('Tariffs July2016'!Q59/100)*'Tariffs July2016'!AI59,('Tariffs July2016'!L59-'Tariffs July2016'!K59)*('Tariffs July2016'!Q59/100)*'Tariffs July2016'!AI59))</f>
        <v>0</v>
      </c>
      <c r="H65" s="59">
        <f>IF($C$5*'Tariffs July2016'!AK59/'Tariffs July2016'!AI59&lt;'Tariffs July2016'!L59,0,IF($C$5*'Tariffs July2016'!AK59/'Tariffs July2016'!AI59&lt;='Tariffs July2016'!M59,($C$5*'Tariffs July2016'!AK59/'Tariffs July2016'!AI59-'Tariffs July2016'!L59)*('Tariffs July2016'!R59/100)*'Tariffs July2016'!AI59,('Tariffs July2016'!M59-'Tariffs July2016'!L59)*('Tariffs July2016'!R59/100)*'Tariffs July2016'!AI59))</f>
        <v>0</v>
      </c>
      <c r="I65" s="59">
        <f>IF(($C$5*'Tariffs July2016'!AK59/'Tariffs July2016'!AI59&gt;'Tariffs July2016'!M59),($C$5*'Tariffs July2016'!AK59/'Tariffs July2016'!AI59-'Tariffs July2016'!M59)*'Tariffs July2016'!S59/100*'Tariffs July2016'!AI59,0)</f>
        <v>0</v>
      </c>
      <c r="J65" s="59">
        <f>IF($C$5*'Tariffs July2016'!AL59/'Tariffs July2016'!AJ59&gt;='Tariffs July2016'!J59,('Tariffs July2016'!J59*'Tariffs July2016'!U59/100)* 'Tariffs July2016'!AJ59,($C$5*'Tariffs July2016'!AL59/'Tariffs July2016'!AJ59*'Tariffs July2016'!U59/100)* 'Tariffs July2016'!AJ59)</f>
        <v>379.2</v>
      </c>
      <c r="K65" s="59">
        <f>IF($C$5*'Tariffs July2016'!AL59/'Tariffs July2016'!AJ59&lt;'Tariffs July2016'!J59,0,IF($C$5*'Tariffs July2016'!AL59/'Tariffs July2016'!AJ59&lt;='Tariffs July2016'!K59,($C$5*'Tariffs July2016'!AL59/'Tariffs July2016'!AJ59-'Tariffs July2016'!J59)*('Tariffs July2016'!V59/100)*'Tariffs July2016'!AJ59,('Tariffs July2016'!K59-'Tariffs July2016'!J59)*('Tariffs July2016'!V59/100)*'Tariffs July2016'!AJ59))</f>
        <v>277.13531999999992</v>
      </c>
      <c r="L65" s="59">
        <f>IF($C$5*'Tariffs July2016'!AL59/'Tariffs July2016'!AJ59&lt;'Tariffs July2016'!K59,0,IF($C$5*'Tariffs July2016'!AL59/'Tariffs July2016'!AJ59&lt;='Tariffs July2016'!L59,($C$5*'Tariffs July2016'!AL59/'Tariffs July2016'!AJ59-'Tariffs July2016'!K59)*('Tariffs July2016'!W59/100)*'Tariffs July2016'!AJ59,('Tariffs July2016'!L59-'Tariffs July2016'!K59)*('Tariffs July2016'!W59/100)*'Tariffs July2016'!AJ59))</f>
        <v>0</v>
      </c>
      <c r="M65" s="59">
        <f>IF($C$5*'Tariffs July2016'!AL59/'Tariffs July2016'!AJ59&lt;'Tariffs July2016'!L59,0,IF($C$5*'Tariffs July2016'!AL59/'Tariffs July2016'!AJ59&lt;='Tariffs July2016'!M59,($C$5*'Tariffs July2016'!AL59/'Tariffs July2016'!AJ59-'Tariffs July2016'!L59)*('Tariffs July2016'!X59/100)*'Tariffs July2016'!AJ59,('Tariffs July2016'!M59-'Tariffs July2016'!L59)*('Tariffs July2016'!X59/100)*'Tariffs July2016'!AJ59))</f>
        <v>0</v>
      </c>
      <c r="N65" s="59">
        <f>IF(($C$5*'Tariffs July2016'!AL59/'Tariffs July2016'!AJ59&gt;'Tariffs July2016'!M59),($C$5*'Tariffs July2016'!AL59/'Tariffs July2016'!AJ59-'Tariffs July2016'!M59)*'Tariffs July2016'!Y59/100*'Tariffs July2016'!AJ59,0)</f>
        <v>0</v>
      </c>
      <c r="O65" s="271">
        <f t="shared" si="0"/>
        <v>1081.0933199999999</v>
      </c>
      <c r="P65" s="59">
        <f t="shared" si="1"/>
        <v>1323.8183199999999</v>
      </c>
      <c r="Q65" s="272">
        <f t="shared" si="2"/>
        <v>1456.2001519999999</v>
      </c>
      <c r="R65" s="40">
        <f>'Tariffs July2016'!AM59</f>
        <v>0</v>
      </c>
      <c r="S65" s="40">
        <f>'Tariffs July2016'!AN59</f>
        <v>0</v>
      </c>
      <c r="T65" s="40">
        <f>'Tariffs July2016'!AO59</f>
        <v>14</v>
      </c>
      <c r="U65" s="40">
        <f>'Tariffs July2016'!AP59</f>
        <v>0</v>
      </c>
      <c r="V65" s="273">
        <f t="shared" si="3"/>
        <v>1323.8183199999999</v>
      </c>
      <c r="W65" s="273">
        <f>V65-(P65*T65/100)</f>
        <v>1138.4837551999999</v>
      </c>
      <c r="X65" s="272">
        <f t="shared" si="4"/>
        <v>1456.2001519999999</v>
      </c>
      <c r="Y65" s="272">
        <f t="shared" si="5"/>
        <v>1252.3321307199999</v>
      </c>
      <c r="Z65" s="274">
        <f>'Tariffs July2016'!AW59</f>
        <v>0</v>
      </c>
      <c r="AA65" s="274" t="str">
        <f>'Tariffs July2016'!AX59</f>
        <v>n</v>
      </c>
      <c r="AB65" s="275" t="str">
        <f>'Tariffs July2016'!BD59</f>
        <v>N</v>
      </c>
      <c r="AC65" s="260"/>
      <c r="AD65" s="260"/>
      <c r="AE65" s="260"/>
      <c r="AF65" s="260"/>
      <c r="AG65" s="260"/>
      <c r="AH65" s="260"/>
      <c r="AI65" s="260"/>
      <c r="AJ65" s="260"/>
      <c r="AK65" s="260"/>
      <c r="AL65" s="260"/>
      <c r="AM65" s="260"/>
      <c r="AN65" s="260"/>
    </row>
    <row r="66" spans="1:40" x14ac:dyDescent="0.15">
      <c r="A66" s="270" t="str">
        <f>'Tariffs July2016'!F60</f>
        <v>Covau</v>
      </c>
      <c r="B66" s="40" t="str">
        <f>'Tariffs July2016'!D60</f>
        <v>Ausnet West</v>
      </c>
      <c r="C66" s="40" t="str">
        <f>'Tariffs July2016'!G60</f>
        <v>Market offer</v>
      </c>
      <c r="D66" s="59">
        <f>365*'Tariffs July2016'!H60/100</f>
        <v>240.9</v>
      </c>
      <c r="E66" s="59">
        <f>IF($C$5*'Tariffs July2016'!AK60/'Tariffs July2016'!AI60&gt;='Tariffs July2016'!J60,( 'Tariffs July2016'!J60*'Tariffs July2016'!O60/100)* 'Tariffs July2016'!AI60,($C$5*'Tariffs July2016'!AK60/'Tariffs July2016'!AI60*'Tariffs July2016'!O60/100)* 'Tariffs July2016'!AI60)</f>
        <v>340.20000000000005</v>
      </c>
      <c r="F66" s="59">
        <f>IF($C$5*'Tariffs July2016'!AK60/'Tariffs July2016'!AI60&lt;'Tariffs July2016'!J60,0,IF($C$5*'Tariffs July2016'!AK60/'Tariffs July2016'!AI60&lt;='Tariffs July2016'!K60,($C$5*'Tariffs July2016'!AK60/'Tariffs July2016'!AI60-'Tariffs July2016'!J60)*('Tariffs July2016'!P60/100)*'Tariffs July2016'!AI60,('Tariffs July2016'!K60-'Tariffs July2016'!J60)*('Tariffs July2016'!P60/100)*'Tariffs July2016'!AI60))</f>
        <v>251.10000000000002</v>
      </c>
      <c r="G66" s="59">
        <f>IF($C$5*'Tariffs July2016'!AK60/'Tariffs July2016'!AI60&lt;'Tariffs July2016'!K60,0,IF($C$5*'Tariffs July2016'!AK60/'Tariffs July2016'!AI60&lt;='Tariffs July2016'!L60,($C$5*'Tariffs July2016'!AK60/'Tariffs July2016'!AI60-'Tariffs July2016'!K60)*('Tariffs July2016'!Q60/100)*'Tariffs July2016'!AI60,('Tariffs July2016'!L60-'Tariffs July2016'!K60)*('Tariffs July2016'!Q60/100)*'Tariffs July2016'!AI60))</f>
        <v>0</v>
      </c>
      <c r="H66" s="59">
        <f>IF($C$5*'Tariffs July2016'!AK60/'Tariffs July2016'!AI60&lt;'Tariffs July2016'!L60,0,IF($C$5*'Tariffs July2016'!AK60/'Tariffs July2016'!AI60&lt;='Tariffs July2016'!M60,($C$5*'Tariffs July2016'!AK60/'Tariffs July2016'!AI60-'Tariffs July2016'!L60)*('Tariffs July2016'!R60/100)*'Tariffs July2016'!AI60,('Tariffs July2016'!M60-'Tariffs July2016'!L60)*('Tariffs July2016'!R60/100)*'Tariffs July2016'!AI60))</f>
        <v>0</v>
      </c>
      <c r="I66" s="59">
        <f>IF(($C$5*'Tariffs July2016'!AK60/'Tariffs July2016'!AI60&gt;'Tariffs July2016'!M60),($C$5*'Tariffs July2016'!AK60/'Tariffs July2016'!AI60-'Tariffs July2016'!M60)*'Tariffs July2016'!S60/100*'Tariffs July2016'!AI60,0)</f>
        <v>0</v>
      </c>
      <c r="J66" s="59">
        <f>IF($C$5*'Tariffs July2016'!AL60/'Tariffs July2016'!AJ60&gt;='Tariffs July2016'!J60,('Tariffs July2016'!J60*'Tariffs July2016'!U60/100)* 'Tariffs July2016'!AJ60,($C$5*'Tariffs July2016'!AL60/'Tariffs July2016'!AJ60*'Tariffs July2016'!U60/100)* 'Tariffs July2016'!AJ60)</f>
        <v>226.79999999999998</v>
      </c>
      <c r="K66" s="59">
        <f>IF($C$5*'Tariffs July2016'!AL60/'Tariffs July2016'!AJ60&lt;'Tariffs July2016'!J60,0,IF($C$5*'Tariffs July2016'!AL60/'Tariffs July2016'!AJ60&lt;='Tariffs July2016'!K60,($C$5*'Tariffs July2016'!AL60/'Tariffs July2016'!AJ60-'Tariffs July2016'!J60)*('Tariffs July2016'!V60/100)*'Tariffs July2016'!AJ60,('Tariffs July2016'!K60-'Tariffs July2016'!J60)*('Tariffs July2016'!V60/100)*'Tariffs July2016'!AJ60))</f>
        <v>164.7</v>
      </c>
      <c r="L66" s="59">
        <f>IF($C$5*'Tariffs July2016'!AL60/'Tariffs July2016'!AJ60&lt;'Tariffs July2016'!K60,0,IF($C$5*'Tariffs July2016'!AL60/'Tariffs July2016'!AJ60&lt;='Tariffs July2016'!L60,($C$5*'Tariffs July2016'!AL60/'Tariffs July2016'!AJ60-'Tariffs July2016'!K60)*('Tariffs July2016'!W60/100)*'Tariffs July2016'!AJ60,('Tariffs July2016'!L60-'Tariffs July2016'!K60)*('Tariffs July2016'!W60/100)*'Tariffs July2016'!AJ60))</f>
        <v>0</v>
      </c>
      <c r="M66" s="59">
        <f>IF($C$5*'Tariffs July2016'!AL60/'Tariffs July2016'!AJ60&lt;'Tariffs July2016'!L60,0,IF($C$5*'Tariffs July2016'!AL60/'Tariffs July2016'!AJ60&lt;='Tariffs July2016'!M60,($C$5*'Tariffs July2016'!AL60/'Tariffs July2016'!AJ60-'Tariffs July2016'!L60)*('Tariffs July2016'!X60/100)*'Tariffs July2016'!AJ60,('Tariffs July2016'!M60-'Tariffs July2016'!L60)*('Tariffs July2016'!X60/100)*'Tariffs July2016'!AJ60))</f>
        <v>0</v>
      </c>
      <c r="N66" s="59">
        <f>IF(($C$5*'Tariffs July2016'!AL60/'Tariffs July2016'!AJ60&gt;'Tariffs July2016'!M60),($C$5*'Tariffs July2016'!AL60/'Tariffs July2016'!AJ60-'Tariffs July2016'!M60)*'Tariffs July2016'!Y60/100*'Tariffs July2016'!AJ60,0)</f>
        <v>0</v>
      </c>
      <c r="O66" s="271">
        <f t="shared" si="0"/>
        <v>982.8</v>
      </c>
      <c r="P66" s="59">
        <f t="shared" si="1"/>
        <v>1223.7</v>
      </c>
      <c r="Q66" s="272">
        <f t="shared" si="2"/>
        <v>1346.0700000000002</v>
      </c>
      <c r="R66" s="40">
        <f>'Tariffs July2016'!AM60</f>
        <v>0</v>
      </c>
      <c r="S66" s="40">
        <f>'Tariffs July2016'!AN60</f>
        <v>0</v>
      </c>
      <c r="T66" s="40">
        <f>'Tariffs July2016'!AO60</f>
        <v>0</v>
      </c>
      <c r="U66" s="40">
        <f>'Tariffs July2016'!AP60</f>
        <v>12</v>
      </c>
      <c r="V66" s="273">
        <f t="shared" si="3"/>
        <v>1223.7</v>
      </c>
      <c r="W66" s="273">
        <f>V66-(O66*U66/100)</f>
        <v>1105.7640000000001</v>
      </c>
      <c r="X66" s="272">
        <f t="shared" si="4"/>
        <v>1346.0700000000002</v>
      </c>
      <c r="Y66" s="272">
        <f t="shared" si="5"/>
        <v>1216.3404000000003</v>
      </c>
      <c r="Z66" s="274">
        <f>'Tariffs July2016'!AW60</f>
        <v>12</v>
      </c>
      <c r="AA66" s="274" t="str">
        <f>'Tariffs July2016'!AX60</f>
        <v>y</v>
      </c>
      <c r="AB66" s="275" t="str">
        <f>'Tariffs July2016'!BD60</f>
        <v>Y</v>
      </c>
      <c r="AC66" s="260"/>
      <c r="AD66" s="260"/>
      <c r="AE66" s="260"/>
      <c r="AF66" s="260"/>
      <c r="AG66" s="260"/>
      <c r="AH66" s="260"/>
      <c r="AI66" s="260"/>
      <c r="AJ66" s="260"/>
      <c r="AK66" s="260"/>
      <c r="AL66" s="260"/>
      <c r="AM66" s="260"/>
      <c r="AN66" s="260"/>
    </row>
    <row r="67" spans="1:40" x14ac:dyDescent="0.15">
      <c r="A67" s="270" t="str">
        <f>'Tariffs July2016'!F61</f>
        <v>EnergyAustralia</v>
      </c>
      <c r="B67" s="40" t="str">
        <f>'Tariffs July2016'!D61</f>
        <v>Ausnet West</v>
      </c>
      <c r="C67" s="40" t="str">
        <f>'Tariffs July2016'!G61</f>
        <v xml:space="preserve">Flexi Saver </v>
      </c>
      <c r="D67" s="59">
        <f>365*'Tariffs July2016'!H61/100</f>
        <v>244.55</v>
      </c>
      <c r="E67" s="59">
        <f>IF($C$5*'Tariffs July2016'!AK61/'Tariffs July2016'!AI61&gt;='Tariffs July2016'!J61,( 'Tariffs July2016'!J61*'Tariffs July2016'!O61/100)* 'Tariffs July2016'!AI61,($C$5*'Tariffs July2016'!AK61/'Tariffs July2016'!AI61*'Tariffs July2016'!O61/100)* 'Tariffs July2016'!AI61)</f>
        <v>250.92000000000004</v>
      </c>
      <c r="F67" s="59">
        <f>IF($C$5*'Tariffs July2016'!AK61/'Tariffs July2016'!AI61&lt;'Tariffs July2016'!J61,0,IF($C$5*'Tariffs July2016'!AK61/'Tariffs July2016'!AI61&lt;='Tariffs July2016'!K61,($C$5*'Tariffs July2016'!AK61/'Tariffs July2016'!AI61-'Tariffs July2016'!J61)*('Tariffs July2016'!P61/100)*'Tariffs July2016'!AI61,('Tariffs July2016'!K61-'Tariffs July2016'!J61)*('Tariffs July2016'!P61/100)*'Tariffs July2016'!AI61))</f>
        <v>184.72688699999995</v>
      </c>
      <c r="G67" s="59">
        <f>IF($C$5*'Tariffs July2016'!AK61/'Tariffs July2016'!AI61&lt;'Tariffs July2016'!K61,0,IF($C$5*'Tariffs July2016'!AK61/'Tariffs July2016'!AI61&lt;='Tariffs July2016'!L61,($C$5*'Tariffs July2016'!AK61/'Tariffs July2016'!AI61-'Tariffs July2016'!K61)*('Tariffs July2016'!Q61/100)*'Tariffs July2016'!AI61,('Tariffs July2016'!L61-'Tariffs July2016'!K61)*('Tariffs July2016'!Q61/100)*'Tariffs July2016'!AI61))</f>
        <v>0</v>
      </c>
      <c r="H67" s="59">
        <f>IF($C$5*'Tariffs July2016'!AK61/'Tariffs July2016'!AI61&lt;'Tariffs July2016'!L61,0,IF($C$5*'Tariffs July2016'!AK61/'Tariffs July2016'!AI61&lt;='Tariffs July2016'!M61,($C$5*'Tariffs July2016'!AK61/'Tariffs July2016'!AI61-'Tariffs July2016'!L61)*('Tariffs July2016'!R61/100)*'Tariffs July2016'!AI61,('Tariffs July2016'!M61-'Tariffs July2016'!L61)*('Tariffs July2016'!R61/100)*'Tariffs July2016'!AI61))</f>
        <v>0</v>
      </c>
      <c r="I67" s="59">
        <f>IF(($C$5*'Tariffs July2016'!AK61/'Tariffs July2016'!AI61&gt;'Tariffs July2016'!M61),($C$5*'Tariffs July2016'!AK61/'Tariffs July2016'!AI61-'Tariffs July2016'!M61)*'Tariffs July2016'!S61/100*'Tariffs July2016'!AI61,0)</f>
        <v>0</v>
      </c>
      <c r="J67" s="59">
        <f>IF($C$5*'Tariffs July2016'!AL61/'Tariffs July2016'!AJ61&gt;='Tariffs July2016'!J61,('Tariffs July2016'!J61*'Tariffs July2016'!U61/100)* 'Tariffs July2016'!AJ61,($C$5*'Tariffs July2016'!AL61/'Tariffs July2016'!AJ61*'Tariffs July2016'!U61/100)* 'Tariffs July2016'!AJ61)</f>
        <v>364.32</v>
      </c>
      <c r="K67" s="59">
        <f>IF($C$5*'Tariffs July2016'!AL61/'Tariffs July2016'!AJ61&lt;'Tariffs July2016'!J61,0,IF($C$5*'Tariffs July2016'!AL61/'Tariffs July2016'!AJ61&lt;='Tariffs July2016'!K61,($C$5*'Tariffs July2016'!AL61/'Tariffs July2016'!AJ61-'Tariffs July2016'!J61)*('Tariffs July2016'!V61/100)*'Tariffs July2016'!AJ61,('Tariffs July2016'!K61-'Tariffs July2016'!J61)*('Tariffs July2016'!V61/100)*'Tariffs July2016'!AJ61))</f>
        <v>263.27855399999993</v>
      </c>
      <c r="L67" s="59">
        <f>IF($C$5*'Tariffs July2016'!AL61/'Tariffs July2016'!AJ61&lt;'Tariffs July2016'!K61,0,IF($C$5*'Tariffs July2016'!AL61/'Tariffs July2016'!AJ61&lt;='Tariffs July2016'!L61,($C$5*'Tariffs July2016'!AL61/'Tariffs July2016'!AJ61-'Tariffs July2016'!K61)*('Tariffs July2016'!W61/100)*'Tariffs July2016'!AJ61,('Tariffs July2016'!L61-'Tariffs July2016'!K61)*('Tariffs July2016'!W61/100)*'Tariffs July2016'!AJ61))</f>
        <v>0</v>
      </c>
      <c r="M67" s="59">
        <f>IF($C$5*'Tariffs July2016'!AL61/'Tariffs July2016'!AJ61&lt;'Tariffs July2016'!L61,0,IF($C$5*'Tariffs July2016'!AL61/'Tariffs July2016'!AJ61&lt;='Tariffs July2016'!M61,($C$5*'Tariffs July2016'!AL61/'Tariffs July2016'!AJ61-'Tariffs July2016'!L61)*('Tariffs July2016'!X61/100)*'Tariffs July2016'!AJ61,('Tariffs July2016'!M61-'Tariffs July2016'!L61)*('Tariffs July2016'!X61/100)*'Tariffs July2016'!AJ61))</f>
        <v>0</v>
      </c>
      <c r="N67" s="59">
        <f>IF(($C$5*'Tariffs July2016'!AL61/'Tariffs July2016'!AJ61&gt;'Tariffs July2016'!M61),($C$5*'Tariffs July2016'!AL61/'Tariffs July2016'!AJ61-'Tariffs July2016'!M61)*'Tariffs July2016'!Y61/100*'Tariffs July2016'!AJ61,0)</f>
        <v>0</v>
      </c>
      <c r="O67" s="271">
        <f t="shared" si="0"/>
        <v>1063.245441</v>
      </c>
      <c r="P67" s="59">
        <f t="shared" si="1"/>
        <v>1307.795441</v>
      </c>
      <c r="Q67" s="272">
        <f t="shared" si="2"/>
        <v>1438.5749851</v>
      </c>
      <c r="R67" s="40">
        <f>'Tariffs July2016'!AM61</f>
        <v>0</v>
      </c>
      <c r="S67" s="40">
        <f>'Tariffs July2016'!AN61</f>
        <v>0</v>
      </c>
      <c r="T67" s="40">
        <f>'Tariffs July2016'!AO61</f>
        <v>0</v>
      </c>
      <c r="U67" s="40">
        <f>'Tariffs July2016'!AP61</f>
        <v>16</v>
      </c>
      <c r="V67" s="273">
        <f t="shared" si="3"/>
        <v>1307.795441</v>
      </c>
      <c r="W67" s="273">
        <f>V67-(O67*U67/100)</f>
        <v>1137.6761704400001</v>
      </c>
      <c r="X67" s="272">
        <f t="shared" si="4"/>
        <v>1438.5749851</v>
      </c>
      <c r="Y67" s="272">
        <f t="shared" si="5"/>
        <v>1251.4437874840003</v>
      </c>
      <c r="Z67" s="274">
        <f>'Tariffs July2016'!AW61</f>
        <v>0</v>
      </c>
      <c r="AA67" s="274" t="str">
        <f>'Tariffs July2016'!AX61</f>
        <v>n</v>
      </c>
      <c r="AB67" s="275" t="str">
        <f>'Tariffs July2016'!BD61</f>
        <v>N</v>
      </c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</row>
    <row r="68" spans="1:40" x14ac:dyDescent="0.15">
      <c r="A68" s="270" t="str">
        <f>'Tariffs July2016'!F62</f>
        <v>Lumo Energy</v>
      </c>
      <c r="B68" s="40" t="str">
        <f>'Tariffs July2016'!D62</f>
        <v>Ausnet West</v>
      </c>
      <c r="C68" s="40" t="str">
        <f>'Tariffs July2016'!G62</f>
        <v>Advantage</v>
      </c>
      <c r="D68" s="59">
        <f>365*'Tariffs July2016'!H62/100</f>
        <v>234.51249999999999</v>
      </c>
      <c r="E68" s="59">
        <f>IF($C$5*'Tariffs July2016'!AK62/'Tariffs July2016'!AI62&gt;='Tariffs July2016'!J62,( 'Tariffs July2016'!J62*'Tariffs July2016'!O62/100)* 'Tariffs July2016'!AI62,($C$5*'Tariffs July2016'!AK62/'Tariffs July2016'!AI62*'Tariffs July2016'!O62/100)* 'Tariffs July2016'!AI62)</f>
        <v>237.24</v>
      </c>
      <c r="F68" s="59">
        <f>IF($C$5*'Tariffs July2016'!AK62/'Tariffs July2016'!AI62&lt;'Tariffs July2016'!J62,0,IF($C$5*'Tariffs July2016'!AK62/'Tariffs July2016'!AI62&lt;='Tariffs July2016'!K62,($C$5*'Tariffs July2016'!AK62/'Tariffs July2016'!AI62-'Tariffs July2016'!J62)*('Tariffs July2016'!P62/100)*'Tariffs July2016'!AI62,('Tariffs July2016'!K62-'Tariffs July2016'!J62)*('Tariffs July2016'!P62/100)*'Tariffs July2016'!AI62))</f>
        <v>174.82919699999997</v>
      </c>
      <c r="G68" s="59">
        <f>IF($C$5*'Tariffs July2016'!AK62/'Tariffs July2016'!AI62&lt;'Tariffs July2016'!K62,0,IF($C$5*'Tariffs July2016'!AK62/'Tariffs July2016'!AI62&lt;='Tariffs July2016'!L62,($C$5*'Tariffs July2016'!AK62/'Tariffs July2016'!AI62-'Tariffs July2016'!K62)*('Tariffs July2016'!Q62/100)*'Tariffs July2016'!AI62,('Tariffs July2016'!L62-'Tariffs July2016'!K62)*('Tariffs July2016'!Q62/100)*'Tariffs July2016'!AI62))</f>
        <v>0</v>
      </c>
      <c r="H68" s="59">
        <f>IF($C$5*'Tariffs July2016'!AK62/'Tariffs July2016'!AI62&lt;'Tariffs July2016'!L62,0,IF($C$5*'Tariffs July2016'!AK62/'Tariffs July2016'!AI62&lt;='Tariffs July2016'!M62,($C$5*'Tariffs July2016'!AK62/'Tariffs July2016'!AI62-'Tariffs July2016'!L62)*('Tariffs July2016'!R62/100)*'Tariffs July2016'!AI62,('Tariffs July2016'!M62-'Tariffs July2016'!L62)*('Tariffs July2016'!R62/100)*'Tariffs July2016'!AI62))</f>
        <v>0</v>
      </c>
      <c r="I68" s="59">
        <f>IF(($C$5*'Tariffs July2016'!AK62/'Tariffs July2016'!AI62&gt;'Tariffs July2016'!M62),($C$5*'Tariffs July2016'!AK62/'Tariffs July2016'!AI62-'Tariffs July2016'!M62)*'Tariffs July2016'!S62/100*'Tariffs July2016'!AI62,0)</f>
        <v>0</v>
      </c>
      <c r="J68" s="59">
        <f>IF($C$5*'Tariffs July2016'!AL62/'Tariffs July2016'!AJ62&gt;='Tariffs July2016'!J62,('Tariffs July2016'!J62*'Tariffs July2016'!U62/100)* 'Tariffs July2016'!AJ62,($C$5*'Tariffs July2016'!AL62/'Tariffs July2016'!AJ62*'Tariffs July2016'!U62/100)* 'Tariffs July2016'!AJ62)</f>
        <v>374.16</v>
      </c>
      <c r="K68" s="59">
        <f>IF($C$5*'Tariffs July2016'!AL62/'Tariffs July2016'!AJ62&lt;'Tariffs July2016'!J62,0,IF($C$5*'Tariffs July2016'!AL62/'Tariffs July2016'!AJ62&lt;='Tariffs July2016'!K62,($C$5*'Tariffs July2016'!AL62/'Tariffs July2016'!AJ62-'Tariffs July2016'!J62)*('Tariffs July2016'!V62/100)*'Tariffs July2016'!AJ62,('Tariffs July2016'!K62-'Tariffs July2016'!J62)*('Tariffs July2016'!V62/100)*'Tariffs July2016'!AJ62))</f>
        <v>274.43594999999993</v>
      </c>
      <c r="L68" s="59">
        <f>IF($C$5*'Tariffs July2016'!AL62/'Tariffs July2016'!AJ62&lt;'Tariffs July2016'!K62,0,IF($C$5*'Tariffs July2016'!AL62/'Tariffs July2016'!AJ62&lt;='Tariffs July2016'!L62,($C$5*'Tariffs July2016'!AL62/'Tariffs July2016'!AJ62-'Tariffs July2016'!K62)*('Tariffs July2016'!W62/100)*'Tariffs July2016'!AJ62,('Tariffs July2016'!L62-'Tariffs July2016'!K62)*('Tariffs July2016'!W62/100)*'Tariffs July2016'!AJ62))</f>
        <v>0</v>
      </c>
      <c r="M68" s="59">
        <f>IF($C$5*'Tariffs July2016'!AL62/'Tariffs July2016'!AJ62&lt;'Tariffs July2016'!L62,0,IF($C$5*'Tariffs July2016'!AL62/'Tariffs July2016'!AJ62&lt;='Tariffs July2016'!M62,($C$5*'Tariffs July2016'!AL62/'Tariffs July2016'!AJ62-'Tariffs July2016'!L62)*('Tariffs July2016'!X62/100)*'Tariffs July2016'!AJ62,('Tariffs July2016'!M62-'Tariffs July2016'!L62)*('Tariffs July2016'!X62/100)*'Tariffs July2016'!AJ62))</f>
        <v>0</v>
      </c>
      <c r="N68" s="59">
        <f>IF(($C$5*'Tariffs July2016'!AL62/'Tariffs July2016'!AJ62&gt;'Tariffs July2016'!M62),($C$5*'Tariffs July2016'!AL62/'Tariffs July2016'!AJ62-'Tariffs July2016'!M62)*'Tariffs July2016'!Y62/100*'Tariffs July2016'!AJ62,0)</f>
        <v>0</v>
      </c>
      <c r="O68" s="271">
        <f t="shared" si="0"/>
        <v>1060.6651469999999</v>
      </c>
      <c r="P68" s="59">
        <f t="shared" si="1"/>
        <v>1295.177647</v>
      </c>
      <c r="Q68" s="272">
        <f t="shared" si="2"/>
        <v>1424.6954117</v>
      </c>
      <c r="R68" s="40">
        <f>'Tariffs July2016'!AM62</f>
        <v>0</v>
      </c>
      <c r="S68" s="40">
        <f>'Tariffs July2016'!AN62</f>
        <v>0</v>
      </c>
      <c r="T68" s="40">
        <f>'Tariffs July2016'!AO62</f>
        <v>15</v>
      </c>
      <c r="U68" s="40">
        <f>'Tariffs July2016'!AP62</f>
        <v>0</v>
      </c>
      <c r="V68" s="273">
        <f t="shared" si="3"/>
        <v>1295.177647</v>
      </c>
      <c r="W68" s="273">
        <f>V68-(P68*T68/100)</f>
        <v>1100.9009999499999</v>
      </c>
      <c r="X68" s="272">
        <f t="shared" si="4"/>
        <v>1424.6954117</v>
      </c>
      <c r="Y68" s="272">
        <f t="shared" si="5"/>
        <v>1210.9910999450001</v>
      </c>
      <c r="Z68" s="274">
        <f>'Tariffs July2016'!AW62</f>
        <v>24</v>
      </c>
      <c r="AA68" s="274" t="str">
        <f>'Tariffs July2016'!AX62</f>
        <v>n</v>
      </c>
      <c r="AB68" s="275" t="str">
        <f>'Tariffs July2016'!BD62</f>
        <v>Y</v>
      </c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</row>
    <row r="69" spans="1:40" x14ac:dyDescent="0.15">
      <c r="A69" s="270" t="str">
        <f>'Tariffs July2016'!F63</f>
        <v>Momentum Energy</v>
      </c>
      <c r="B69" s="40" t="str">
        <f>'Tariffs July2016'!D63</f>
        <v>Ausnet West</v>
      </c>
      <c r="C69" s="40" t="str">
        <f>'Tariffs July2016'!G63</f>
        <v>Market offer</v>
      </c>
      <c r="D69" s="59">
        <f>365*'Tariffs July2016'!H63/100</f>
        <v>244.07550000000003</v>
      </c>
      <c r="E69" s="59">
        <f>IF($C$5*'Tariffs July2016'!AK63/'Tariffs July2016'!AI63&gt;='Tariffs July2016'!J63,( 'Tariffs July2016'!J63*'Tariffs July2016'!O63/100)* 'Tariffs July2016'!AI63,($C$5*'Tariffs July2016'!AK63/'Tariffs July2016'!AI63*'Tariffs July2016'!O63/100)* 'Tariffs July2016'!AI63)</f>
        <v>183.36</v>
      </c>
      <c r="F69" s="59">
        <f>IF($C$5*'Tariffs July2016'!AK63/'Tariffs July2016'!AI63&lt;'Tariffs July2016'!J63,0,IF($C$5*'Tariffs July2016'!AK63/'Tariffs July2016'!AI63&lt;='Tariffs July2016'!K63,($C$5*'Tariffs July2016'!AK63/'Tariffs July2016'!AI63-'Tariffs July2016'!J63)*('Tariffs July2016'!P63/100)*'Tariffs July2016'!AI63,('Tariffs July2016'!K63-'Tariffs July2016'!J63)*('Tariffs July2016'!P63/100)*'Tariffs July2016'!AI63))</f>
        <v>138.47768099999996</v>
      </c>
      <c r="G69" s="59">
        <f>IF($C$5*'Tariffs July2016'!AK63/'Tariffs July2016'!AI63&lt;'Tariffs July2016'!K63,0,IF($C$5*'Tariffs July2016'!AK63/'Tariffs July2016'!AI63&lt;='Tariffs July2016'!L63,($C$5*'Tariffs July2016'!AK63/'Tariffs July2016'!AI63-'Tariffs July2016'!K63)*('Tariffs July2016'!Q63/100)*'Tariffs July2016'!AI63,('Tariffs July2016'!L63-'Tariffs July2016'!K63)*('Tariffs July2016'!Q63/100)*'Tariffs July2016'!AI63))</f>
        <v>0</v>
      </c>
      <c r="H69" s="59">
        <f>IF($C$5*'Tariffs July2016'!AK63/'Tariffs July2016'!AI63&lt;'Tariffs July2016'!L63,0,IF($C$5*'Tariffs July2016'!AK63/'Tariffs July2016'!AI63&lt;='Tariffs July2016'!M63,($C$5*'Tariffs July2016'!AK63/'Tariffs July2016'!AI63-'Tariffs July2016'!L63)*('Tariffs July2016'!R63/100)*'Tariffs July2016'!AI63,('Tariffs July2016'!M63-'Tariffs July2016'!L63)*('Tariffs July2016'!R63/100)*'Tariffs July2016'!AI63))</f>
        <v>0</v>
      </c>
      <c r="I69" s="59">
        <f>IF(($C$5*'Tariffs July2016'!AK63/'Tariffs July2016'!AI63&gt;'Tariffs July2016'!M63),($C$5*'Tariffs July2016'!AK63/'Tariffs July2016'!AI63-'Tariffs July2016'!M63)*'Tariffs July2016'!S63/100*'Tariffs July2016'!AI63,0)</f>
        <v>0</v>
      </c>
      <c r="J69" s="59">
        <f>IF($C$5*'Tariffs July2016'!AL63/'Tariffs July2016'!AJ63&gt;='Tariffs July2016'!J63,('Tariffs July2016'!J63*'Tariffs July2016'!U63/100)* 'Tariffs July2016'!AJ63,($C$5*'Tariffs July2016'!AL63/'Tariffs July2016'!AJ63*'Tariffs July2016'!U63/100)* 'Tariffs July2016'!AJ63)</f>
        <v>276.24</v>
      </c>
      <c r="K69" s="59">
        <f>IF($C$5*'Tariffs July2016'!AL63/'Tariffs July2016'!AJ63&lt;'Tariffs July2016'!J63,0,IF($C$5*'Tariffs July2016'!AL63/'Tariffs July2016'!AJ63&lt;='Tariffs July2016'!K63,($C$5*'Tariffs July2016'!AL63/'Tariffs July2016'!AJ63-'Tariffs July2016'!J63)*('Tariffs July2016'!V63/100)*'Tariffs July2016'!AJ63,('Tariffs July2016'!K63-'Tariffs July2016'!J63)*('Tariffs July2016'!V63/100)*'Tariffs July2016'!AJ63))</f>
        <v>209.29115399999995</v>
      </c>
      <c r="L69" s="59">
        <f>IF($C$5*'Tariffs July2016'!AL63/'Tariffs July2016'!AJ63&lt;'Tariffs July2016'!K63,0,IF($C$5*'Tariffs July2016'!AL63/'Tariffs July2016'!AJ63&lt;='Tariffs July2016'!L63,($C$5*'Tariffs July2016'!AL63/'Tariffs July2016'!AJ63-'Tariffs July2016'!K63)*('Tariffs July2016'!W63/100)*'Tariffs July2016'!AJ63,('Tariffs July2016'!L63-'Tariffs July2016'!K63)*('Tariffs July2016'!W63/100)*'Tariffs July2016'!AJ63))</f>
        <v>0</v>
      </c>
      <c r="M69" s="59">
        <f>IF($C$5*'Tariffs July2016'!AL63/'Tariffs July2016'!AJ63&lt;'Tariffs July2016'!L63,0,IF($C$5*'Tariffs July2016'!AL63/'Tariffs July2016'!AJ63&lt;='Tariffs July2016'!M63,($C$5*'Tariffs July2016'!AL63/'Tariffs July2016'!AJ63-'Tariffs July2016'!L63)*('Tariffs July2016'!X63/100)*'Tariffs July2016'!AJ63,('Tariffs July2016'!M63-'Tariffs July2016'!L63)*('Tariffs July2016'!X63/100)*'Tariffs July2016'!AJ63))</f>
        <v>0</v>
      </c>
      <c r="N69" s="59">
        <f>IF(($C$5*'Tariffs July2016'!AL63/'Tariffs July2016'!AJ63&gt;'Tariffs July2016'!M63),($C$5*'Tariffs July2016'!AL63/'Tariffs July2016'!AJ63-'Tariffs July2016'!M63)*'Tariffs July2016'!Y63/100*'Tariffs July2016'!AJ63,0)</f>
        <v>0</v>
      </c>
      <c r="O69" s="271">
        <f t="shared" si="0"/>
        <v>807.36883499999999</v>
      </c>
      <c r="P69" s="59">
        <f t="shared" si="1"/>
        <v>1051.4443350000001</v>
      </c>
      <c r="Q69" s="272">
        <f t="shared" si="2"/>
        <v>1156.5887685000002</v>
      </c>
      <c r="R69" s="40">
        <f>'Tariffs July2016'!AM63</f>
        <v>0</v>
      </c>
      <c r="S69" s="40">
        <f>'Tariffs July2016'!AN63</f>
        <v>0</v>
      </c>
      <c r="T69" s="40">
        <f>'Tariffs July2016'!AO63</f>
        <v>0</v>
      </c>
      <c r="U69" s="40">
        <f>'Tariffs July2016'!AP63</f>
        <v>0</v>
      </c>
      <c r="V69" s="273">
        <f t="shared" si="3"/>
        <v>1051.4443350000001</v>
      </c>
      <c r="W69" s="273">
        <f>V69</f>
        <v>1051.4443350000001</v>
      </c>
      <c r="X69" s="272">
        <f t="shared" si="4"/>
        <v>1156.5887685000002</v>
      </c>
      <c r="Y69" s="272">
        <f t="shared" si="5"/>
        <v>1156.5887685000002</v>
      </c>
      <c r="Z69" s="274">
        <f>'Tariffs July2016'!AW63</f>
        <v>0</v>
      </c>
      <c r="AA69" s="274" t="str">
        <f>'Tariffs July2016'!AX63</f>
        <v>n</v>
      </c>
      <c r="AB69" s="275" t="str">
        <f>'Tariffs July2016'!BD63</f>
        <v>Y</v>
      </c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</row>
    <row r="70" spans="1:40" x14ac:dyDescent="0.15">
      <c r="A70" s="270" t="str">
        <f>'Tariffs July2016'!F64</f>
        <v>Origin Energy</v>
      </c>
      <c r="B70" s="40" t="str">
        <f>'Tariffs July2016'!D64</f>
        <v>Ausnet West</v>
      </c>
      <c r="C70" s="40" t="str">
        <f>'Tariffs July2016'!G64</f>
        <v>Saver</v>
      </c>
      <c r="D70" s="59">
        <f>365*'Tariffs July2016'!H64/100</f>
        <v>230.64349999999999</v>
      </c>
      <c r="E70" s="59">
        <f>IF($C$5*'Tariffs July2016'!AK64/'Tariffs July2016'!AI64&gt;='Tariffs July2016'!J64,( 'Tariffs July2016'!J64*'Tariffs July2016'!O64/100)* 'Tariffs July2016'!AI64,($C$5*'Tariffs July2016'!AK64/'Tariffs July2016'!AI64*'Tariffs July2016'!O64/100)* 'Tariffs July2016'!AI64)</f>
        <v>140.864</v>
      </c>
      <c r="F70" s="59">
        <f>IF($C$5*'Tariffs July2016'!AK64/'Tariffs July2016'!AI64&lt;'Tariffs July2016'!J64,0,IF($C$5*'Tariffs July2016'!AK64/'Tariffs July2016'!AI64&lt;='Tariffs July2016'!K64,($C$5*'Tariffs July2016'!AK64/'Tariffs July2016'!AI64-'Tariffs July2016'!J64)*('Tariffs July2016'!P64/100)*'Tariffs July2016'!AI64,('Tariffs July2016'!K64-'Tariffs July2016'!J64)*('Tariffs July2016'!P64/100)*'Tariffs July2016'!AI64))</f>
        <v>0</v>
      </c>
      <c r="G70" s="59">
        <f>IF($C$5*'Tariffs July2016'!AK64/'Tariffs July2016'!AI64&lt;'Tariffs July2016'!K64,0,IF($C$5*'Tariffs July2016'!AK64/'Tariffs July2016'!AI64&lt;='Tariffs July2016'!L64,($C$5*'Tariffs July2016'!AK64/'Tariffs July2016'!AI64-'Tariffs July2016'!K64)*('Tariffs July2016'!Q64/100)*'Tariffs July2016'!AI64,('Tariffs July2016'!L64-'Tariffs July2016'!K64)*('Tariffs July2016'!Q64/100)*'Tariffs July2016'!AI64))</f>
        <v>0</v>
      </c>
      <c r="H70" s="59">
        <f>IF($C$5*'Tariffs July2016'!AK64/'Tariffs July2016'!AI64&lt;'Tariffs July2016'!L64,0,IF($C$5*'Tariffs July2016'!AK64/'Tariffs July2016'!AI64&lt;='Tariffs July2016'!M64,($C$5*'Tariffs July2016'!AK64/'Tariffs July2016'!AI64-'Tariffs July2016'!L64)*('Tariffs July2016'!R64/100)*'Tariffs July2016'!AI64,('Tariffs July2016'!M64-'Tariffs July2016'!L64)*('Tariffs July2016'!R64/100)*'Tariffs July2016'!AI64))</f>
        <v>0</v>
      </c>
      <c r="I70" s="59">
        <f>IF(($C$5*'Tariffs July2016'!AK64/'Tariffs July2016'!AI64&gt;'Tariffs July2016'!M64),($C$5*'Tariffs July2016'!AK64/'Tariffs July2016'!AI64-'Tariffs July2016'!M64)*'Tariffs July2016'!S64/100*'Tariffs July2016'!AI64,0)</f>
        <v>280.57163799999995</v>
      </c>
      <c r="J70" s="59">
        <f>IF($C$5*'Tariffs July2016'!AL64/'Tariffs July2016'!AJ64&gt;='Tariffs July2016'!J64,('Tariffs July2016'!J64*'Tariffs July2016'!U64/100)* 'Tariffs July2016'!AJ64,($C$5*'Tariffs July2016'!AL64/'Tariffs July2016'!AJ64*'Tariffs July2016'!U64/100)* 'Tariffs July2016'!AJ64)</f>
        <v>200.96</v>
      </c>
      <c r="K70" s="59">
        <f>IF($C$5*'Tariffs July2016'!AL64/'Tariffs July2016'!AJ64&lt;'Tariffs July2016'!J64,0,IF($C$5*'Tariffs July2016'!AL64/'Tariffs July2016'!AJ64&lt;='Tariffs July2016'!K64,($C$5*'Tariffs July2016'!AL64/'Tariffs July2016'!AJ64-'Tariffs July2016'!J64)*('Tariffs July2016'!V64/100)*'Tariffs July2016'!AJ64,('Tariffs July2016'!K64-'Tariffs July2016'!J64)*('Tariffs July2016'!V64/100)*'Tariffs July2016'!AJ64))</f>
        <v>0</v>
      </c>
      <c r="L70" s="59">
        <f>IF($C$5*'Tariffs July2016'!AL64/'Tariffs July2016'!AJ64&lt;'Tariffs July2016'!K64,0,IF($C$5*'Tariffs July2016'!AL64/'Tariffs July2016'!AJ64&lt;='Tariffs July2016'!L64,($C$5*'Tariffs July2016'!AL64/'Tariffs July2016'!AJ64-'Tariffs July2016'!K64)*('Tariffs July2016'!W64/100)*'Tariffs July2016'!AJ64,('Tariffs July2016'!L64-'Tariffs July2016'!K64)*('Tariffs July2016'!W64/100)*'Tariffs July2016'!AJ64))</f>
        <v>0</v>
      </c>
      <c r="M70" s="59">
        <f>IF($C$5*'Tariffs July2016'!AL64/'Tariffs July2016'!AJ64&lt;'Tariffs July2016'!L64,0,IF($C$5*'Tariffs July2016'!AL64/'Tariffs July2016'!AJ64&lt;='Tariffs July2016'!M64,($C$5*'Tariffs July2016'!AL64/'Tariffs July2016'!AJ64-'Tariffs July2016'!L64)*('Tariffs July2016'!X64/100)*'Tariffs July2016'!AJ64,('Tariffs July2016'!M64-'Tariffs July2016'!L64)*('Tariffs July2016'!X64/100)*'Tariffs July2016'!AJ64))</f>
        <v>0</v>
      </c>
      <c r="N70" s="59">
        <f>IF(($C$5*'Tariffs July2016'!AL64/'Tariffs July2016'!AJ64&gt;'Tariffs July2016'!M64),($C$5*'Tariffs July2016'!AL64/'Tariffs July2016'!AJ64-'Tariffs July2016'!M64)*'Tariffs July2016'!Y64/100*'Tariffs July2016'!AJ64,0)</f>
        <v>400.85833399999996</v>
      </c>
      <c r="O70" s="271">
        <f t="shared" si="0"/>
        <v>1023.253972</v>
      </c>
      <c r="P70" s="59">
        <f t="shared" si="1"/>
        <v>1253.8974719999999</v>
      </c>
      <c r="Q70" s="272">
        <f t="shared" si="2"/>
        <v>1379.2872192</v>
      </c>
      <c r="R70" s="40">
        <f>'Tariffs July2016'!AM64</f>
        <v>0</v>
      </c>
      <c r="S70" s="40">
        <f>'Tariffs July2016'!AN64</f>
        <v>0</v>
      </c>
      <c r="T70" s="40">
        <f>'Tariffs July2016'!AO64</f>
        <v>0</v>
      </c>
      <c r="U70" s="40">
        <f>'Tariffs July2016'!AP64</f>
        <v>13</v>
      </c>
      <c r="V70" s="273">
        <f t="shared" si="3"/>
        <v>1253.8974719999999</v>
      </c>
      <c r="W70" s="273">
        <f>V70-(O70*U70/100)</f>
        <v>1120.87445564</v>
      </c>
      <c r="X70" s="272">
        <f t="shared" si="4"/>
        <v>1379.2872192</v>
      </c>
      <c r="Y70" s="272">
        <f t="shared" si="5"/>
        <v>1232.961901204</v>
      </c>
      <c r="Z70" s="274">
        <f>'Tariffs July2016'!AW64</f>
        <v>0</v>
      </c>
      <c r="AA70" s="274" t="str">
        <f>'Tariffs July2016'!AX64</f>
        <v>n</v>
      </c>
      <c r="AB70" s="275" t="str">
        <f>'Tariffs July2016'!BD64</f>
        <v>N</v>
      </c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</row>
    <row r="71" spans="1:40" x14ac:dyDescent="0.15">
      <c r="A71" s="270" t="str">
        <f>'Tariffs July2016'!F65</f>
        <v>Red Energy</v>
      </c>
      <c r="B71" s="40" t="str">
        <f>'Tariffs July2016'!D65</f>
        <v>Ausnet West</v>
      </c>
      <c r="C71" s="40" t="str">
        <f>'Tariffs July2016'!G65</f>
        <v>Living Energy Saver</v>
      </c>
      <c r="D71" s="59">
        <f>365*'Tariffs July2016'!H65/100</f>
        <v>248.2</v>
      </c>
      <c r="E71" s="59">
        <f>IF($C$5*'Tariffs July2016'!AK65/'Tariffs July2016'!AI65&gt;='Tariffs July2016'!J65,( 'Tariffs July2016'!J65*'Tariffs July2016'!O65/100)* 'Tariffs July2016'!AI65,($C$5*'Tariffs July2016'!AK65/'Tariffs July2016'!AI65*'Tariffs July2016'!O65/100)* 'Tariffs July2016'!AI65)</f>
        <v>118.52800000000001</v>
      </c>
      <c r="F71" s="59">
        <f>IF($C$5*'Tariffs July2016'!AK65/'Tariffs July2016'!AI65&lt;'Tariffs July2016'!J65,0,IF($C$5*'Tariffs July2016'!AK65/'Tariffs July2016'!AI65&lt;='Tariffs July2016'!K65,($C$5*'Tariffs July2016'!AK65/'Tariffs July2016'!AI65-'Tariffs July2016'!J65)*('Tariffs July2016'!S65/100)*'Tariffs July2016'!AI65,('Tariffs July2016'!K65-'Tariffs July2016'!J65)*('Tariffs July2016'!S65/100)*'Tariffs July2016'!AI65))</f>
        <v>0</v>
      </c>
      <c r="G71" s="59">
        <f>IF($C$5*'Tariffs July2016'!AK65/'Tariffs July2016'!AI65&lt;'Tariffs July2016'!K65,0,IF($C$5*'Tariffs July2016'!AK65/'Tariffs July2016'!AI65&lt;='Tariffs July2016'!L65,($C$5*'Tariffs July2016'!AK65/'Tariffs July2016'!AI65-'Tariffs July2016'!K65)*('Tariffs July2016'!Q65/100)*'Tariffs July2016'!AI65,('Tariffs July2016'!L65-'Tariffs July2016'!K65)*('Tariffs July2016'!Q65/100)*'Tariffs July2016'!AI65))</f>
        <v>0</v>
      </c>
      <c r="H71" s="59">
        <f>IF($C$5*'Tariffs July2016'!AK65/'Tariffs July2016'!AI65&lt;'Tariffs July2016'!L65,0,IF($C$5*'Tariffs July2016'!AK65/'Tariffs July2016'!AI65&lt;='Tariffs July2016'!M65,($C$5*'Tariffs July2016'!AK65/'Tariffs July2016'!AI65-'Tariffs July2016'!L65)*('Tariffs July2016'!R65/100)*'Tariffs July2016'!AI65,('Tariffs July2016'!M65-'Tariffs July2016'!L65)*('Tariffs July2016'!R65/100)*'Tariffs July2016'!AI65))</f>
        <v>0</v>
      </c>
      <c r="I71" s="59">
        <f>IF(($C$5*'Tariffs July2016'!AK65/'Tariffs July2016'!AI65&gt;'Tariffs July2016'!M65),($C$5*'Tariffs July2016'!AK65/'Tariffs July2016'!AI65-'Tariffs July2016'!M65)*'Tariffs July2016'!S65/100*'Tariffs July2016'!AI65,0)</f>
        <v>219.40643699999998</v>
      </c>
      <c r="J71" s="59">
        <f>IF($C$5*'Tariffs July2016'!AL65/'Tariffs July2016'!AJ65&gt;='Tariffs July2016'!J65,('Tariffs July2016'!J65*'Tariffs July2016'!U65/100)* 'Tariffs July2016'!AJ65,($C$5*'Tariffs July2016'!AL65/'Tariffs July2016'!AJ65*'Tariffs July2016'!U65/100)* 'Tariffs July2016'!AJ65)</f>
        <v>199.16800000000001</v>
      </c>
      <c r="K71" s="59">
        <f>IF($C$5*'Tariffs July2016'!AL65/'Tariffs July2016'!AJ65&lt;'Tariffs July2016'!J65,0,IF($C$5*'Tariffs July2016'!AL65/'Tariffs July2016'!AJ65&lt;='Tariffs July2016'!K65,($C$5*'Tariffs July2016'!AL65/'Tariffs July2016'!AJ65-'Tariffs July2016'!J65)*('Tariffs July2016'!Y65/100)*'Tariffs July2016'!AJ65,('Tariffs July2016'!K65-'Tariffs July2016'!J65)*('Tariffs July2016'!Y65/100)*'Tariffs July2016'!AJ65))</f>
        <v>0</v>
      </c>
      <c r="L71" s="59">
        <f>IF($C$5*'Tariffs July2016'!AL65/'Tariffs July2016'!AJ65&lt;'Tariffs July2016'!K65,0,IF($C$5*'Tariffs July2016'!AL65/'Tariffs July2016'!AJ65&lt;='Tariffs July2016'!L65,($C$5*'Tariffs July2016'!AL65/'Tariffs July2016'!AJ65-'Tariffs July2016'!K65)*('Tariffs July2016'!W65/100)*'Tariffs July2016'!AJ65,('Tariffs July2016'!L65-'Tariffs July2016'!K65)*('Tariffs July2016'!W65/100)*'Tariffs July2016'!AJ65))</f>
        <v>0</v>
      </c>
      <c r="M71" s="59">
        <f>IF($C$5*'Tariffs July2016'!AL65/'Tariffs July2016'!AJ65&lt;'Tariffs July2016'!L65,0,IF($C$5*'Tariffs July2016'!AL65/'Tariffs July2016'!AJ65&lt;='Tariffs July2016'!M65,($C$5*'Tariffs July2016'!AL65/'Tariffs July2016'!AJ65-'Tariffs July2016'!L65)*('Tariffs July2016'!X65/100)*'Tariffs July2016'!AJ65,('Tariffs July2016'!M65-'Tariffs July2016'!L65)*('Tariffs July2016'!X65/100)*'Tariffs July2016'!AJ65))</f>
        <v>0</v>
      </c>
      <c r="N71" s="59">
        <f>IF(($C$5*'Tariffs July2016'!AL65/'Tariffs July2016'!AJ65&gt;'Tariffs July2016'!M65),($C$5*'Tariffs July2016'!AL65/'Tariffs July2016'!AJ65-'Tariffs July2016'!M65)*'Tariffs July2016'!Y65/100*'Tariffs July2016'!AJ65,0)</f>
        <v>368.15903799999995</v>
      </c>
      <c r="O71" s="271">
        <f t="shared" si="0"/>
        <v>905.26147500000002</v>
      </c>
      <c r="P71" s="59">
        <f t="shared" si="1"/>
        <v>1153.4614750000001</v>
      </c>
      <c r="Q71" s="272">
        <f t="shared" si="2"/>
        <v>1268.8076225000002</v>
      </c>
      <c r="R71" s="40">
        <f>'Tariffs July2016'!AM65</f>
        <v>0</v>
      </c>
      <c r="S71" s="40">
        <f>'Tariffs July2016'!AN65</f>
        <v>0</v>
      </c>
      <c r="T71" s="40">
        <f>'Tariffs July2016'!AO65</f>
        <v>10</v>
      </c>
      <c r="U71" s="40">
        <f>'Tariffs July2016'!AP65</f>
        <v>0</v>
      </c>
      <c r="V71" s="273">
        <f t="shared" si="3"/>
        <v>1153.4614750000001</v>
      </c>
      <c r="W71" s="273">
        <f>V71-(P71*T71/100)</f>
        <v>1038.1153275000001</v>
      </c>
      <c r="X71" s="272">
        <f t="shared" si="4"/>
        <v>1268.8076225000002</v>
      </c>
      <c r="Y71" s="272">
        <f t="shared" si="5"/>
        <v>1141.9268602500003</v>
      </c>
      <c r="Z71" s="274">
        <f>'Tariffs July2016'!AW65</f>
        <v>0</v>
      </c>
      <c r="AA71" s="274" t="str">
        <f>'Tariffs July2016'!AX65</f>
        <v>n</v>
      </c>
      <c r="AB71" s="275" t="str">
        <f>'Tariffs July2016'!BD65</f>
        <v>Y</v>
      </c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</row>
    <row r="72" spans="1:40" ht="14" thickBot="1" x14ac:dyDescent="0.2">
      <c r="A72" s="276" t="str">
        <f>'Tariffs July2016'!F66</f>
        <v>Simply Energy</v>
      </c>
      <c r="B72" s="277" t="str">
        <f>'Tariffs July2016'!D66</f>
        <v>Ausnet West</v>
      </c>
      <c r="C72" s="277" t="str">
        <f>'Tariffs July2016'!G66</f>
        <v>Plus</v>
      </c>
      <c r="D72" s="278">
        <f>365*'Tariffs July2016'!H66/100</f>
        <v>207.5025</v>
      </c>
      <c r="E72" s="278">
        <f>IF($C$5*'Tariffs July2016'!AK66/'Tariffs July2016'!AI66&gt;='Tariffs July2016'!J66,( 'Tariffs July2016'!J66*'Tariffs July2016'!O66/100)* 'Tariffs July2016'!AI66,($C$5*'Tariffs July2016'!AK66/'Tariffs July2016'!AI66*'Tariffs July2016'!O66/100)* 'Tariffs July2016'!AI66)</f>
        <v>224.4</v>
      </c>
      <c r="F72" s="278">
        <f>IF($C$5*'Tariffs July2016'!AK66/'Tariffs July2016'!AI66&lt;'Tariffs July2016'!J66,0,IF($C$5*'Tariffs July2016'!AK66/'Tariffs July2016'!AI66&lt;='Tariffs July2016'!K66,($C$5*'Tariffs July2016'!AK66/'Tariffs July2016'!AI66-'Tariffs July2016'!J66)*('Tariffs July2016'!P66/100)*'Tariffs July2016'!AI66,('Tariffs July2016'!K66-'Tariffs July2016'!J66)*('Tariffs July2016'!P66/100)*'Tariffs July2016'!AI66))</f>
        <v>165.56135999999995</v>
      </c>
      <c r="G72" s="278">
        <f>IF($C$5*'Tariffs July2016'!AK66/'Tariffs July2016'!AI66&lt;'Tariffs July2016'!K66,0,IF($C$5*'Tariffs July2016'!AK66/'Tariffs July2016'!AI66&lt;='Tariffs July2016'!L66,($C$5*'Tariffs July2016'!AK66/'Tariffs July2016'!AI66-'Tariffs July2016'!K66)*('Tariffs July2016'!Q66/100)*'Tariffs July2016'!AI66,('Tariffs July2016'!L66-'Tariffs July2016'!K66)*('Tariffs July2016'!Q66/100)*'Tariffs July2016'!AI66))</f>
        <v>0</v>
      </c>
      <c r="H72" s="278">
        <f>IF($C$5*'Tariffs July2016'!AK66/'Tariffs July2016'!AI66&lt;'Tariffs July2016'!L66,0,IF($C$5*'Tariffs July2016'!AK66/'Tariffs July2016'!AI66&lt;='Tariffs July2016'!M66,($C$5*'Tariffs July2016'!AK66/'Tariffs July2016'!AI66-'Tariffs July2016'!L66)*('Tariffs July2016'!R66/100)*'Tariffs July2016'!AI66,('Tariffs July2016'!M66-'Tariffs July2016'!L66)*('Tariffs July2016'!R66/100)*'Tariffs July2016'!AI66))</f>
        <v>0</v>
      </c>
      <c r="I72" s="278">
        <f>IF(($C$5*'Tariffs July2016'!AK66/'Tariffs July2016'!AI66&gt;'Tariffs July2016'!M66),($C$5*'Tariffs July2016'!AK66/'Tariffs July2016'!AI66-'Tariffs July2016'!M66)*'Tariffs July2016'!S66/100*'Tariffs July2016'!AI66,0)</f>
        <v>0</v>
      </c>
      <c r="J72" s="278">
        <f>IF($C$5*'Tariffs July2016'!AL66/'Tariffs July2016'!AJ66&gt;='Tariffs July2016'!J66,('Tariffs July2016'!J66*'Tariffs July2016'!U66/100)* 'Tariffs July2016'!AJ66,($C$5*'Tariffs July2016'!AL66/'Tariffs July2016'!AJ66*'Tariffs July2016'!U66/100)* 'Tariffs July2016'!AJ66)</f>
        <v>360</v>
      </c>
      <c r="K72" s="278">
        <f>IF($C$5*'Tariffs July2016'!AL66/'Tariffs July2016'!AJ66&lt;'Tariffs July2016'!J66,0,IF($C$5*'Tariffs July2016'!AL66/'Tariffs July2016'!AJ66&lt;='Tariffs July2016'!K66,($C$5*'Tariffs July2016'!AL66/'Tariffs July2016'!AJ66-'Tariffs July2016'!J66)*('Tariffs July2016'!V66/100)*'Tariffs July2016'!AJ66,('Tariffs July2016'!K66-'Tariffs July2016'!J66)*('Tariffs July2016'!V66/100)*'Tariffs July2016'!AJ66))</f>
        <v>253.74077999999994</v>
      </c>
      <c r="L72" s="278">
        <f>IF($C$5*'Tariffs July2016'!AL66/'Tariffs July2016'!AJ66&lt;'Tariffs July2016'!K66,0,IF($C$5*'Tariffs July2016'!AL66/'Tariffs July2016'!AJ66&lt;='Tariffs July2016'!L66,($C$5*'Tariffs July2016'!AL66/'Tariffs July2016'!AJ66-'Tariffs July2016'!K66)*('Tariffs July2016'!W66/100)*'Tariffs July2016'!AJ66,('Tariffs July2016'!L66-'Tariffs July2016'!K66)*('Tariffs July2016'!W66/100)*'Tariffs July2016'!AJ66))</f>
        <v>0</v>
      </c>
      <c r="M72" s="278">
        <f>IF($C$5*'Tariffs July2016'!AL66/'Tariffs July2016'!AJ66&lt;'Tariffs July2016'!L66,0,IF($C$5*'Tariffs July2016'!AL66/'Tariffs July2016'!AJ66&lt;='Tariffs July2016'!M66,($C$5*'Tariffs July2016'!AL66/'Tariffs July2016'!AJ66-'Tariffs July2016'!L66)*('Tariffs July2016'!X66/100)*'Tariffs July2016'!AJ66,('Tariffs July2016'!M66-'Tariffs July2016'!L66)*('Tariffs July2016'!X66/100)*'Tariffs July2016'!AJ66))</f>
        <v>0</v>
      </c>
      <c r="N72" s="278">
        <f>IF(($C$5*'Tariffs July2016'!AL66/'Tariffs July2016'!AJ66&gt;'Tariffs July2016'!M66),($C$5*'Tariffs July2016'!AL66/'Tariffs July2016'!AJ66-'Tariffs July2016'!M66)*'Tariffs July2016'!Y66/100*'Tariffs July2016'!AJ66,0)</f>
        <v>0</v>
      </c>
      <c r="O72" s="279">
        <f t="shared" si="0"/>
        <v>1003.70214</v>
      </c>
      <c r="P72" s="278">
        <f t="shared" si="1"/>
        <v>1211.2046399999999</v>
      </c>
      <c r="Q72" s="280">
        <f t="shared" si="2"/>
        <v>1332.325104</v>
      </c>
      <c r="R72" s="277">
        <f>'Tariffs July2016'!AM66</f>
        <v>0</v>
      </c>
      <c r="S72" s="277">
        <f>'Tariffs July2016'!AN66</f>
        <v>15</v>
      </c>
      <c r="T72" s="277">
        <f>'Tariffs July2016'!AO66</f>
        <v>0</v>
      </c>
      <c r="U72" s="277">
        <f>'Tariffs July2016'!AP66</f>
        <v>5</v>
      </c>
      <c r="V72" s="281">
        <f>P72-(O72*S72/100)</f>
        <v>1060.6493189999999</v>
      </c>
      <c r="W72" s="281">
        <f>V72-(O72*U72/100)</f>
        <v>1010.4642119999999</v>
      </c>
      <c r="X72" s="280">
        <f t="shared" si="4"/>
        <v>1166.7142509</v>
      </c>
      <c r="Y72" s="280">
        <f t="shared" si="5"/>
        <v>1111.5106332</v>
      </c>
      <c r="Z72" s="282">
        <f>'Tariffs July2016'!AW66</f>
        <v>24</v>
      </c>
      <c r="AA72" s="282" t="str">
        <f>'Tariffs July2016'!AX66</f>
        <v>n</v>
      </c>
      <c r="AB72" s="283" t="str">
        <f>'Tariffs July2016'!BD66</f>
        <v>Y</v>
      </c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</row>
    <row r="73" spans="1:40" x14ac:dyDescent="0.15">
      <c r="A73" s="270" t="str">
        <f>'Tariffs July2016'!F67</f>
        <v>AGL</v>
      </c>
      <c r="B73" s="40" t="str">
        <f>'Tariffs July2016'!D67</f>
        <v>Ausnet Central 2</v>
      </c>
      <c r="C73" s="40" t="str">
        <f>'Tariffs July2016'!G67</f>
        <v>Savers</v>
      </c>
      <c r="D73" s="59">
        <f>365*'Tariffs July2016'!H67/100</f>
        <v>270.64750000000004</v>
      </c>
      <c r="E73" s="59">
        <f>IF($C$5*'Tariffs July2016'!AK67/'Tariffs July2016'!AI67&gt;='Tariffs July2016'!J67,( 'Tariffs July2016'!J67*'Tariffs July2016'!O67/100)* 'Tariffs July2016'!AI67,($C$5*'Tariffs July2016'!AK67/'Tariffs July2016'!AI67*'Tariffs July2016'!O67/100)* 'Tariffs July2016'!AI67)</f>
        <v>239.4</v>
      </c>
      <c r="F73" s="59">
        <f>IF($C$5*'Tariffs July2016'!AK67/'Tariffs July2016'!AI67&lt;'Tariffs July2016'!J67,0,IF($C$5*'Tariffs July2016'!AK67/'Tariffs July2016'!AI67&lt;='Tariffs July2016'!K67,($C$5*'Tariffs July2016'!AK67/'Tariffs July2016'!AI67-'Tariffs July2016'!J67)*('Tariffs July2016'!P67/100)*'Tariffs July2016'!AI67,('Tariffs July2016'!K67-'Tariffs July2016'!J67)*('Tariffs July2016'!P67/100)*'Tariffs July2016'!AI67))</f>
        <v>170.96009999999995</v>
      </c>
      <c r="G73" s="59">
        <f>IF($C$5*'Tariffs July2016'!AK67/'Tariffs July2016'!AI67&lt;'Tariffs July2016'!K67,0,IF($C$5*'Tariffs July2016'!AK67/'Tariffs July2016'!AI67&lt;='Tariffs July2016'!L67,($C$5*'Tariffs July2016'!AK67/'Tariffs July2016'!AI67-'Tariffs July2016'!K67)*('Tariffs July2016'!Q67/100)*'Tariffs July2016'!AI67,('Tariffs July2016'!L67-'Tariffs July2016'!K67)*('Tariffs July2016'!Q67/100)*'Tariffs July2016'!AI67))</f>
        <v>0</v>
      </c>
      <c r="H73" s="59">
        <f>IF($C$5*'Tariffs July2016'!AK67/'Tariffs July2016'!AI67&lt;'Tariffs July2016'!L67,0,IF($C$5*'Tariffs July2016'!AK67/'Tariffs July2016'!AI67&lt;='Tariffs July2016'!M67,($C$5*'Tariffs July2016'!AK67/'Tariffs July2016'!AI67-'Tariffs July2016'!L67)*('Tariffs July2016'!R67/100)*'Tariffs July2016'!AI67,('Tariffs July2016'!M67-'Tariffs July2016'!L67)*('Tariffs July2016'!R67/100)*'Tariffs July2016'!AI67))</f>
        <v>0</v>
      </c>
      <c r="I73" s="59">
        <f>IF(($C$5*'Tariffs July2016'!AK67/'Tariffs July2016'!AI67&gt;'Tariffs July2016'!M67),($C$5*'Tariffs July2016'!AK67/'Tariffs July2016'!AI67-'Tariffs July2016'!M67)*'Tariffs July2016'!S67/100*'Tariffs July2016'!AI67,0)</f>
        <v>0</v>
      </c>
      <c r="J73" s="59">
        <f>IF($C$5*'Tariffs July2016'!AL67/'Tariffs July2016'!AJ67&gt;='Tariffs July2016'!J67,('Tariffs July2016'!J67*'Tariffs July2016'!U67/100)* 'Tariffs July2016'!AJ67,($C$5*'Tariffs July2016'!AL67/'Tariffs July2016'!AJ67*'Tariffs July2016'!U67/100)* 'Tariffs July2016'!AJ67)</f>
        <v>411.84</v>
      </c>
      <c r="K73" s="59">
        <f>IF($C$5*'Tariffs July2016'!AL67/'Tariffs July2016'!AJ67&lt;'Tariffs July2016'!J67,0,IF($C$5*'Tariffs July2016'!AL67/'Tariffs July2016'!AJ67&lt;='Tariffs July2016'!K67,($C$5*'Tariffs July2016'!AL67/'Tariffs July2016'!AJ67-'Tariffs July2016'!J67)*('Tariffs July2016'!V67/100)*'Tariffs July2016'!AJ67,('Tariffs July2016'!K67-'Tariffs July2016'!J67)*('Tariffs July2016'!V67/100)*'Tariffs July2016'!AJ67))</f>
        <v>269.03720999999996</v>
      </c>
      <c r="L73" s="59">
        <f>IF($C$5*'Tariffs July2016'!AL67/'Tariffs July2016'!AJ67&lt;'Tariffs July2016'!K67,0,IF($C$5*'Tariffs July2016'!AL67/'Tariffs July2016'!AJ67&lt;='Tariffs July2016'!L67,($C$5*'Tariffs July2016'!AL67/'Tariffs July2016'!AJ67-'Tariffs July2016'!K67)*('Tariffs July2016'!W67/100)*'Tariffs July2016'!AJ67,('Tariffs July2016'!L67-'Tariffs July2016'!K67)*('Tariffs July2016'!W67/100)*'Tariffs July2016'!AJ67))</f>
        <v>0</v>
      </c>
      <c r="M73" s="59">
        <f>IF($C$5*'Tariffs July2016'!AL67/'Tariffs July2016'!AJ67&lt;'Tariffs July2016'!L67,0,IF($C$5*'Tariffs July2016'!AL67/'Tariffs July2016'!AJ67&lt;='Tariffs July2016'!M67,($C$5*'Tariffs July2016'!AL67/'Tariffs July2016'!AJ67-'Tariffs July2016'!L67)*('Tariffs July2016'!X67/100)*'Tariffs July2016'!AJ67,('Tariffs July2016'!M67-'Tariffs July2016'!L67)*('Tariffs July2016'!X67/100)*'Tariffs July2016'!AJ67))</f>
        <v>0</v>
      </c>
      <c r="N73" s="59">
        <f>IF(($C$5*'Tariffs July2016'!AL67/'Tariffs July2016'!AJ67&gt;'Tariffs July2016'!M67),($C$5*'Tariffs July2016'!AL67/'Tariffs July2016'!AJ67-'Tariffs July2016'!M67)*'Tariffs July2016'!Y67/100*'Tariffs July2016'!AJ67,0)</f>
        <v>0</v>
      </c>
      <c r="O73" s="59">
        <f t="shared" ref="O73:O94" si="6">SUM(E73:N73)</f>
        <v>1091.23731</v>
      </c>
      <c r="P73" s="59">
        <f t="shared" ref="P73:P94" si="7">D73+O73</f>
        <v>1361.88481</v>
      </c>
      <c r="Q73" s="272">
        <f t="shared" ref="Q73:Q94" si="8">P73*1.1</f>
        <v>1498.0732910000002</v>
      </c>
      <c r="R73" s="40">
        <f>'Tariffs July2016'!AM67</f>
        <v>0</v>
      </c>
      <c r="S73" s="40">
        <f>'Tariffs July2016'!AN67</f>
        <v>0</v>
      </c>
      <c r="T73" s="40">
        <f>'Tariffs July2016'!AO67</f>
        <v>0</v>
      </c>
      <c r="U73" s="40">
        <f>'Tariffs July2016'!AP67</f>
        <v>13</v>
      </c>
      <c r="V73" s="284">
        <f t="shared" ref="V73:V93" si="9">P73</f>
        <v>1361.88481</v>
      </c>
      <c r="W73" s="284">
        <f>V73-(O73*U73/100)</f>
        <v>1220.0239597</v>
      </c>
      <c r="X73" s="272">
        <f t="shared" ref="X73:X94" si="10">V73*1.1</f>
        <v>1498.0732910000002</v>
      </c>
      <c r="Y73" s="272">
        <f t="shared" ref="Y73:Y94" si="11">W73*1.1</f>
        <v>1342.0263556700002</v>
      </c>
      <c r="Z73" s="274">
        <f>'Tariffs July2016'!AW67</f>
        <v>0</v>
      </c>
      <c r="AA73" s="274" t="str">
        <f>'Tariffs July2016'!AX67</f>
        <v>n</v>
      </c>
      <c r="AB73" s="275" t="str">
        <f>'Tariffs July2016'!BD67</f>
        <v>N</v>
      </c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</row>
    <row r="74" spans="1:40" x14ac:dyDescent="0.15">
      <c r="A74" s="270" t="str">
        <f>'Tariffs July2016'!F68</f>
        <v>Alinta Energy</v>
      </c>
      <c r="B74" s="40" t="str">
        <f>'Tariffs July2016'!D68</f>
        <v>Ausnet Central 2</v>
      </c>
      <c r="C74" s="40" t="str">
        <f>'Tariffs July2016'!G68</f>
        <v>Fair Deal</v>
      </c>
      <c r="D74" s="59">
        <f>365*'Tariffs July2016'!H68/100</f>
        <v>226.0445</v>
      </c>
      <c r="E74" s="59">
        <f>IF($C$5*'Tariffs July2016'!AK68/'Tariffs July2016'!AI68&gt;='Tariffs July2016'!J68,( 'Tariffs July2016'!J68*'Tariffs July2016'!O68/100)* 'Tariffs July2016'!AI68,($C$5*'Tariffs July2016'!AK68/'Tariffs July2016'!AI68*'Tariffs July2016'!O68/100)* 'Tariffs July2016'!AI68)</f>
        <v>254.4</v>
      </c>
      <c r="F74" s="59">
        <f>IF($C$5*'Tariffs July2016'!AK68/'Tariffs July2016'!AI68&lt;'Tariffs July2016'!J68,0,IF($C$5*'Tariffs July2016'!AK68/'Tariffs July2016'!AI68&lt;='Tariffs July2016'!K68,($C$5*'Tariffs July2016'!AK68/'Tariffs July2016'!AI68-'Tariffs July2016'!J68)*('Tariffs July2016'!P68/100)*'Tariffs July2016'!AI68,('Tariffs July2016'!K68-'Tariffs July2016'!J68)*('Tariffs July2016'!P68/100)*'Tariffs July2016'!AI68))</f>
        <v>0</v>
      </c>
      <c r="G74" s="59">
        <f>IF($C$5*'Tariffs July2016'!AK68/'Tariffs July2016'!AI68&lt;'Tariffs July2016'!K68,0,IF($C$5*'Tariffs July2016'!AK68/'Tariffs July2016'!AI68&lt;='Tariffs July2016'!L68,($C$5*'Tariffs July2016'!AK68/'Tariffs July2016'!AI68-'Tariffs July2016'!K68)*('Tariffs July2016'!Q68/100)*'Tariffs July2016'!AI68,('Tariffs July2016'!L68-'Tariffs July2016'!K68)*('Tariffs July2016'!Q68/100)*'Tariffs July2016'!AI68))</f>
        <v>0</v>
      </c>
      <c r="H74" s="59">
        <f>IF($C$5*'Tariffs July2016'!AK68/'Tariffs July2016'!AI68&lt;'Tariffs July2016'!L68,0,IF($C$5*'Tariffs July2016'!AK68/'Tariffs July2016'!AI68&lt;='Tariffs July2016'!M68,($C$5*'Tariffs July2016'!AK68/'Tariffs July2016'!AI68-'Tariffs July2016'!L68)*('Tariffs July2016'!R68/100)*'Tariffs July2016'!AI68,('Tariffs July2016'!M68-'Tariffs July2016'!L68)*('Tariffs July2016'!R68/100)*'Tariffs July2016'!AI68))</f>
        <v>0</v>
      </c>
      <c r="I74" s="59">
        <f>IF(($C$5*'Tariffs July2016'!AK68/'Tariffs July2016'!AI68&gt;'Tariffs July2016'!M68),($C$5*'Tariffs July2016'!AK68/'Tariffs July2016'!AI68-'Tariffs July2016'!M68)*'Tariffs July2016'!S68/100*'Tariffs July2016'!AI68,0)</f>
        <v>152.06450999999996</v>
      </c>
      <c r="J74" s="59">
        <f>IF($C$5*'Tariffs July2016'!AL68/'Tariffs July2016'!AJ68&gt;='Tariffs July2016'!J68,('Tariffs July2016'!J68*'Tariffs July2016'!U68/100)* 'Tariffs July2016'!AJ68,($C$5*'Tariffs July2016'!AL68/'Tariffs July2016'!AJ68*'Tariffs July2016'!U68/100)* 'Tariffs July2016'!AJ68)</f>
        <v>460.8</v>
      </c>
      <c r="K74" s="59">
        <f>IF($C$5*'Tariffs July2016'!AL68/'Tariffs July2016'!AJ68&lt;'Tariffs July2016'!J68,0,IF($C$5*'Tariffs July2016'!AL68/'Tariffs July2016'!AJ68&lt;='Tariffs July2016'!K68,($C$5*'Tariffs July2016'!AL68/'Tariffs July2016'!AJ68-'Tariffs July2016'!J68)*('Tariffs July2016'!V68/100)*'Tariffs July2016'!AJ68,('Tariffs July2016'!K68-'Tariffs July2016'!J68)*('Tariffs July2016'!V68/100)*'Tariffs July2016'!AJ68))</f>
        <v>0</v>
      </c>
      <c r="L74" s="59">
        <f>IF($C$5*'Tariffs July2016'!AL68/'Tariffs July2016'!AJ68&lt;'Tariffs July2016'!K68,0,IF($C$5*'Tariffs July2016'!AL68/'Tariffs July2016'!AJ68&lt;='Tariffs July2016'!L68,($C$5*'Tariffs July2016'!AL68/'Tariffs July2016'!AJ68-'Tariffs July2016'!K68)*('Tariffs July2016'!W68/100)*'Tariffs July2016'!AJ68,('Tariffs July2016'!L68-'Tariffs July2016'!K68)*('Tariffs July2016'!W68/100)*'Tariffs July2016'!AJ68))</f>
        <v>0</v>
      </c>
      <c r="M74" s="59">
        <f>IF($C$5*'Tariffs July2016'!AL68/'Tariffs July2016'!AJ68&lt;'Tariffs July2016'!L68,0,IF($C$5*'Tariffs July2016'!AL68/'Tariffs July2016'!AJ68&lt;='Tariffs July2016'!M68,($C$5*'Tariffs July2016'!AL68/'Tariffs July2016'!AJ68-'Tariffs July2016'!L68)*('Tariffs July2016'!X68/100)*'Tariffs July2016'!AJ68,('Tariffs July2016'!M68-'Tariffs July2016'!L68)*('Tariffs July2016'!X68/100)*'Tariffs July2016'!AJ68))</f>
        <v>0</v>
      </c>
      <c r="N74" s="59">
        <f>IF(($C$5*'Tariffs July2016'!AL68/'Tariffs July2016'!AJ68&gt;'Tariffs July2016'!M68),($C$5*'Tariffs July2016'!AL68/'Tariffs July2016'!AJ68-'Tariffs July2016'!M68)*'Tariffs July2016'!Y68/100*'Tariffs July2016'!AJ68,0)</f>
        <v>278.93489999999997</v>
      </c>
      <c r="O74" s="59">
        <f t="shared" si="6"/>
        <v>1146.1994099999999</v>
      </c>
      <c r="P74" s="59">
        <f t="shared" si="7"/>
        <v>1372.2439099999999</v>
      </c>
      <c r="Q74" s="272">
        <f t="shared" si="8"/>
        <v>1509.4683010000001</v>
      </c>
      <c r="R74" s="40">
        <f>'Tariffs July2016'!AM68</f>
        <v>0</v>
      </c>
      <c r="S74" s="40">
        <f>'Tariffs July2016'!AN68</f>
        <v>0</v>
      </c>
      <c r="T74" s="40">
        <f>'Tariffs July2016'!AO68</f>
        <v>0</v>
      </c>
      <c r="U74" s="40">
        <f>'Tariffs July2016'!AP68</f>
        <v>15</v>
      </c>
      <c r="V74" s="284">
        <f t="shared" si="9"/>
        <v>1372.2439099999999</v>
      </c>
      <c r="W74" s="284">
        <f>V74-(O74*U74/100)</f>
        <v>1200.3139985</v>
      </c>
      <c r="X74" s="272">
        <f t="shared" si="10"/>
        <v>1509.4683010000001</v>
      </c>
      <c r="Y74" s="272">
        <f t="shared" si="11"/>
        <v>1320.3453983500001</v>
      </c>
      <c r="Z74" s="274">
        <f>'Tariffs July2016'!AW68</f>
        <v>0</v>
      </c>
      <c r="AA74" s="274" t="str">
        <f>'Tariffs July2016'!AX68</f>
        <v>n</v>
      </c>
      <c r="AB74" s="275" t="str">
        <f>'Tariffs July2016'!BD68</f>
        <v>Y</v>
      </c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</row>
    <row r="75" spans="1:40" x14ac:dyDescent="0.15">
      <c r="A75" s="270" t="str">
        <f>'Tariffs July2016'!F69</f>
        <v>Click Energy</v>
      </c>
      <c r="B75" s="40" t="str">
        <f>'Tariffs July2016'!D69</f>
        <v>Ausnet Central 2</v>
      </c>
      <c r="C75" s="40" t="str">
        <f>'Tariffs July2016'!G69</f>
        <v>Amber</v>
      </c>
      <c r="D75" s="59">
        <f>365*'Tariffs July2016'!H69/100</f>
        <v>242.72499999999999</v>
      </c>
      <c r="E75" s="59">
        <f>IF($C$5*'Tariffs July2016'!AK69/'Tariffs July2016'!AI69&gt;='Tariffs July2016'!J69,( 'Tariffs July2016'!J69*'Tariffs July2016'!O69/100)* 'Tariffs July2016'!AI69,($C$5*'Tariffs July2016'!AK69/'Tariffs July2016'!AI69*'Tariffs July2016'!O69/100)* 'Tariffs July2016'!AI69)</f>
        <v>275.99999999999994</v>
      </c>
      <c r="F75" s="59">
        <f>IF($C$5*'Tariffs July2016'!AK69/'Tariffs July2016'!AI69&lt;'Tariffs July2016'!J69,0,IF($C$5*'Tariffs July2016'!AK69/'Tariffs July2016'!AI69&lt;='Tariffs July2016'!K69,($C$5*'Tariffs July2016'!AK69/'Tariffs July2016'!AI69-'Tariffs July2016'!J69)*('Tariffs July2016'!P69/100)*'Tariffs July2016'!AI69,('Tariffs July2016'!K69-'Tariffs July2016'!J69)*('Tariffs July2016'!P69/100)*'Tariffs July2016'!AI69))</f>
        <v>202.45274999999995</v>
      </c>
      <c r="G75" s="59">
        <f>IF($C$5*'Tariffs July2016'!AK69/'Tariffs July2016'!AI69&lt;'Tariffs July2016'!K69,0,IF($C$5*'Tariffs July2016'!AK69/'Tariffs July2016'!AI69&lt;='Tariffs July2016'!L69,($C$5*'Tariffs July2016'!AK69/'Tariffs July2016'!AI69-'Tariffs July2016'!K69)*('Tariffs July2016'!Q69/100)*'Tariffs July2016'!AI69,('Tariffs July2016'!L69-'Tariffs July2016'!K69)*('Tariffs July2016'!Q69/100)*'Tariffs July2016'!AI69))</f>
        <v>0</v>
      </c>
      <c r="H75" s="59">
        <f>IF($C$5*'Tariffs July2016'!AK69/'Tariffs July2016'!AI69&lt;'Tariffs July2016'!L69,0,IF($C$5*'Tariffs July2016'!AK69/'Tariffs July2016'!AI69&lt;='Tariffs July2016'!M69,($C$5*'Tariffs July2016'!AK69/'Tariffs July2016'!AI69-'Tariffs July2016'!L69)*('Tariffs July2016'!R69/100)*'Tariffs July2016'!AI69,('Tariffs July2016'!M69-'Tariffs July2016'!L69)*('Tariffs July2016'!R69/100)*'Tariffs July2016'!AI69))</f>
        <v>0</v>
      </c>
      <c r="I75" s="59">
        <f>IF(($C$5*'Tariffs July2016'!AK69/'Tariffs July2016'!AI69&gt;'Tariffs July2016'!M69),($C$5*'Tariffs July2016'!AK69/'Tariffs July2016'!AI69-'Tariffs July2016'!M69)*'Tariffs July2016'!S69/100*'Tariffs July2016'!AI69,0)</f>
        <v>0</v>
      </c>
      <c r="J75" s="59">
        <f>IF($C$5*'Tariffs July2016'!AL69/'Tariffs July2016'!AJ69&gt;='Tariffs July2016'!J69,('Tariffs July2016'!J69*'Tariffs July2016'!U69/100)* 'Tariffs July2016'!AJ69,($C$5*'Tariffs July2016'!AL69/'Tariffs July2016'!AJ69*'Tariffs July2016'!U69/100)* 'Tariffs July2016'!AJ69)</f>
        <v>393.6</v>
      </c>
      <c r="K75" s="59">
        <f>IF($C$5*'Tariffs July2016'!AL69/'Tariffs July2016'!AJ69&lt;'Tariffs July2016'!J69,0,IF($C$5*'Tariffs July2016'!AL69/'Tariffs July2016'!AJ69&lt;='Tariffs July2016'!K69,($C$5*'Tariffs July2016'!AL69/'Tariffs July2016'!AJ69-'Tariffs July2016'!J69)*('Tariffs July2016'!V69/100)*'Tariffs July2016'!AJ69,('Tariffs July2016'!K69-'Tariffs July2016'!J69)*('Tariffs July2016'!V69/100)*'Tariffs July2016'!AJ69))</f>
        <v>278.93489999999991</v>
      </c>
      <c r="L75" s="59">
        <f>IF($C$5*'Tariffs July2016'!AL69/'Tariffs July2016'!AJ69&lt;'Tariffs July2016'!K69,0,IF($C$5*'Tariffs July2016'!AL69/'Tariffs July2016'!AJ69&lt;='Tariffs July2016'!L69,($C$5*'Tariffs July2016'!AL69/'Tariffs July2016'!AJ69-'Tariffs July2016'!K69)*('Tariffs July2016'!W69/100)*'Tariffs July2016'!AJ69,('Tariffs July2016'!L69-'Tariffs July2016'!K69)*('Tariffs July2016'!W69/100)*'Tariffs July2016'!AJ69))</f>
        <v>0</v>
      </c>
      <c r="M75" s="59">
        <f>IF($C$5*'Tariffs July2016'!AL69/'Tariffs July2016'!AJ69&lt;'Tariffs July2016'!L69,0,IF($C$5*'Tariffs July2016'!AL69/'Tariffs July2016'!AJ69&lt;='Tariffs July2016'!M69,($C$5*'Tariffs July2016'!AL69/'Tariffs July2016'!AJ69-'Tariffs July2016'!L69)*('Tariffs July2016'!X69/100)*'Tariffs July2016'!AJ69,('Tariffs July2016'!M69-'Tariffs July2016'!L69)*('Tariffs July2016'!X69/100)*'Tariffs July2016'!AJ69))</f>
        <v>0</v>
      </c>
      <c r="N75" s="59">
        <f>IF(($C$5*'Tariffs July2016'!AL69/'Tariffs July2016'!AJ69&gt;'Tariffs July2016'!M69),($C$5*'Tariffs July2016'!AL69/'Tariffs July2016'!AJ69-'Tariffs July2016'!M69)*'Tariffs July2016'!Y69/100*'Tariffs July2016'!AJ69,0)</f>
        <v>0</v>
      </c>
      <c r="O75" s="59">
        <f t="shared" si="6"/>
        <v>1150.9876499999998</v>
      </c>
      <c r="P75" s="59">
        <f t="shared" si="7"/>
        <v>1393.7126499999997</v>
      </c>
      <c r="Q75" s="272">
        <f t="shared" si="8"/>
        <v>1533.0839149999997</v>
      </c>
      <c r="R75" s="40">
        <f>'Tariffs July2016'!AM69</f>
        <v>0</v>
      </c>
      <c r="S75" s="40">
        <f>'Tariffs July2016'!AN69</f>
        <v>0</v>
      </c>
      <c r="T75" s="40">
        <f>'Tariffs July2016'!AO69</f>
        <v>14</v>
      </c>
      <c r="U75" s="40">
        <f>'Tariffs July2016'!AP69</f>
        <v>0</v>
      </c>
      <c r="V75" s="284">
        <f t="shared" si="9"/>
        <v>1393.7126499999997</v>
      </c>
      <c r="W75" s="284">
        <f>V75-(P75*T75/100)</f>
        <v>1198.5928789999998</v>
      </c>
      <c r="X75" s="272">
        <f t="shared" si="10"/>
        <v>1533.0839149999997</v>
      </c>
      <c r="Y75" s="272">
        <f t="shared" si="11"/>
        <v>1318.4521668999998</v>
      </c>
      <c r="Z75" s="274">
        <f>'Tariffs July2016'!AW69</f>
        <v>0</v>
      </c>
      <c r="AA75" s="274" t="str">
        <f>'Tariffs July2016'!AX69</f>
        <v>n</v>
      </c>
      <c r="AB75" s="275" t="str">
        <f>'Tariffs July2016'!BD69</f>
        <v>N</v>
      </c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</row>
    <row r="76" spans="1:40" x14ac:dyDescent="0.15">
      <c r="A76" s="270" t="str">
        <f>'Tariffs July2016'!F70</f>
        <v>Covau</v>
      </c>
      <c r="B76" s="40" t="str">
        <f>'Tariffs July2016'!D70</f>
        <v>Ausnet Central 2</v>
      </c>
      <c r="C76" s="40" t="str">
        <f>'Tariffs July2016'!G70</f>
        <v>Market offer</v>
      </c>
      <c r="D76" s="59">
        <f>365*'Tariffs July2016'!H70/100</f>
        <v>240.9</v>
      </c>
      <c r="E76" s="59">
        <f>IF($C$5*'Tariffs July2016'!AK70/'Tariffs July2016'!AI70&gt;='Tariffs July2016'!J70,( 'Tariffs July2016'!J70*'Tariffs July2016'!O70/100)* 'Tariffs July2016'!AI70,($C$5*'Tariffs July2016'!AK70/'Tariffs July2016'!AI70*'Tariffs July2016'!O70/100)* 'Tariffs July2016'!AI70)</f>
        <v>408.59999999999997</v>
      </c>
      <c r="F76" s="59">
        <f>IF($C$5*'Tariffs July2016'!AK70/'Tariffs July2016'!AI70&lt;'Tariffs July2016'!J70,0,IF($C$5*'Tariffs July2016'!AK70/'Tariffs July2016'!AI70&lt;='Tariffs July2016'!K70,($C$5*'Tariffs July2016'!AK70/'Tariffs July2016'!AI70-'Tariffs July2016'!J70)*('Tariffs July2016'!P70/100)*'Tariffs July2016'!AI70,('Tariffs July2016'!K70-'Tariffs July2016'!J70)*('Tariffs July2016'!P70/100)*'Tariffs July2016'!AI70))</f>
        <v>298.34999999999997</v>
      </c>
      <c r="G76" s="59">
        <f>IF($C$5*'Tariffs July2016'!AK70/'Tariffs July2016'!AI70&lt;'Tariffs July2016'!K70,0,IF($C$5*'Tariffs July2016'!AK70/'Tariffs July2016'!AI70&lt;='Tariffs July2016'!L70,($C$5*'Tariffs July2016'!AK70/'Tariffs July2016'!AI70-'Tariffs July2016'!K70)*('Tariffs July2016'!Q70/100)*'Tariffs July2016'!AI70,('Tariffs July2016'!L70-'Tariffs July2016'!K70)*('Tariffs July2016'!Q70/100)*'Tariffs July2016'!AI70))</f>
        <v>0</v>
      </c>
      <c r="H76" s="59">
        <f>IF($C$5*'Tariffs July2016'!AK70/'Tariffs July2016'!AI70&lt;'Tariffs July2016'!L70,0,IF($C$5*'Tariffs July2016'!AK70/'Tariffs July2016'!AI70&lt;='Tariffs July2016'!M70,($C$5*'Tariffs July2016'!AK70/'Tariffs July2016'!AI70-'Tariffs July2016'!L70)*('Tariffs July2016'!R70/100)*'Tariffs July2016'!AI70,('Tariffs July2016'!M70-'Tariffs July2016'!L70)*('Tariffs July2016'!R70/100)*'Tariffs July2016'!AI70))</f>
        <v>0</v>
      </c>
      <c r="I76" s="59">
        <f>IF(($C$5*'Tariffs July2016'!AK70/'Tariffs July2016'!AI70&gt;'Tariffs July2016'!M70),($C$5*'Tariffs July2016'!AK70/'Tariffs July2016'!AI70-'Tariffs July2016'!M70)*'Tariffs July2016'!S70/100*'Tariffs July2016'!AI70,0)</f>
        <v>0</v>
      </c>
      <c r="J76" s="59">
        <f>IF($C$5*'Tariffs July2016'!AL70/'Tariffs July2016'!AJ70&gt;='Tariffs July2016'!J70,('Tariffs July2016'!J70*'Tariffs July2016'!U70/100)* 'Tariffs July2016'!AJ70,($C$5*'Tariffs July2016'!AL70/'Tariffs July2016'!AJ70*'Tariffs July2016'!U70/100)* 'Tariffs July2016'!AJ70)</f>
        <v>253.79999999999998</v>
      </c>
      <c r="K76" s="59">
        <f>IF($C$5*'Tariffs July2016'!AL70/'Tariffs July2016'!AJ70&lt;'Tariffs July2016'!J70,0,IF($C$5*'Tariffs July2016'!AL70/'Tariffs July2016'!AJ70&lt;='Tariffs July2016'!K70,($C$5*'Tariffs July2016'!AL70/'Tariffs July2016'!AJ70-'Tariffs July2016'!J70)*('Tariffs July2016'!V70/100)*'Tariffs July2016'!AJ70,('Tariffs July2016'!K70-'Tariffs July2016'!J70)*('Tariffs July2016'!V70/100)*'Tariffs July2016'!AJ70))</f>
        <v>178.2</v>
      </c>
      <c r="L76" s="59">
        <f>IF($C$5*'Tariffs July2016'!AL70/'Tariffs July2016'!AJ70&lt;'Tariffs July2016'!K70,0,IF($C$5*'Tariffs July2016'!AL70/'Tariffs July2016'!AJ70&lt;='Tariffs July2016'!L70,($C$5*'Tariffs July2016'!AL70/'Tariffs July2016'!AJ70-'Tariffs July2016'!K70)*('Tariffs July2016'!W70/100)*'Tariffs July2016'!AJ70,('Tariffs July2016'!L70-'Tariffs July2016'!K70)*('Tariffs July2016'!W70/100)*'Tariffs July2016'!AJ70))</f>
        <v>0</v>
      </c>
      <c r="M76" s="59">
        <f>IF($C$5*'Tariffs July2016'!AL70/'Tariffs July2016'!AJ70&lt;'Tariffs July2016'!L70,0,IF($C$5*'Tariffs July2016'!AL70/'Tariffs July2016'!AJ70&lt;='Tariffs July2016'!M70,($C$5*'Tariffs July2016'!AL70/'Tariffs July2016'!AJ70-'Tariffs July2016'!L70)*('Tariffs July2016'!X70/100)*'Tariffs July2016'!AJ70,('Tariffs July2016'!M70-'Tariffs July2016'!L70)*('Tariffs July2016'!X70/100)*'Tariffs July2016'!AJ70))</f>
        <v>0</v>
      </c>
      <c r="N76" s="59">
        <f>IF(($C$5*'Tariffs July2016'!AL70/'Tariffs July2016'!AJ70&gt;'Tariffs July2016'!M70),($C$5*'Tariffs July2016'!AL70/'Tariffs July2016'!AJ70-'Tariffs July2016'!M70)*'Tariffs July2016'!Y70/100*'Tariffs July2016'!AJ70,0)</f>
        <v>0</v>
      </c>
      <c r="O76" s="59">
        <f t="shared" si="6"/>
        <v>1138.9499999999998</v>
      </c>
      <c r="P76" s="59">
        <f t="shared" si="7"/>
        <v>1379.85</v>
      </c>
      <c r="Q76" s="272">
        <f t="shared" si="8"/>
        <v>1517.835</v>
      </c>
      <c r="R76" s="40">
        <f>'Tariffs July2016'!AM70</f>
        <v>0</v>
      </c>
      <c r="S76" s="40">
        <f>'Tariffs July2016'!AN70</f>
        <v>0</v>
      </c>
      <c r="T76" s="40">
        <f>'Tariffs July2016'!AO70</f>
        <v>0</v>
      </c>
      <c r="U76" s="40">
        <f>'Tariffs July2016'!AP70</f>
        <v>12</v>
      </c>
      <c r="V76" s="284">
        <f t="shared" si="9"/>
        <v>1379.85</v>
      </c>
      <c r="W76" s="284">
        <f>V76-(O76*U76/100)</f>
        <v>1243.1759999999999</v>
      </c>
      <c r="X76" s="272">
        <f t="shared" si="10"/>
        <v>1517.835</v>
      </c>
      <c r="Y76" s="272">
        <f t="shared" si="11"/>
        <v>1367.4936</v>
      </c>
      <c r="Z76" s="274">
        <f>'Tariffs July2016'!AW70</f>
        <v>12</v>
      </c>
      <c r="AA76" s="274" t="str">
        <f>'Tariffs July2016'!AX70</f>
        <v>y</v>
      </c>
      <c r="AB76" s="275" t="str">
        <f>'Tariffs July2016'!BD70</f>
        <v>Y</v>
      </c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</row>
    <row r="77" spans="1:40" x14ac:dyDescent="0.15">
      <c r="A77" s="270" t="str">
        <f>'Tariffs July2016'!F71</f>
        <v>Dodo Power &amp; Gas</v>
      </c>
      <c r="B77" s="40" t="str">
        <f>'Tariffs July2016'!D71</f>
        <v>Ausnet Central 2</v>
      </c>
      <c r="C77" s="40" t="str">
        <f>'Tariffs July2016'!G71</f>
        <v>Market offer</v>
      </c>
      <c r="D77" s="59">
        <f>365*'Tariffs July2016'!H71/100</f>
        <v>200.71350000000001</v>
      </c>
      <c r="E77" s="59">
        <f>IF($C$5*'Tariffs July2016'!AK71/'Tariffs July2016'!AI71&gt;='Tariffs July2016'!J71,( 'Tariffs July2016'!J71*'Tariffs July2016'!O71/100)* 'Tariffs July2016'!AI71,($C$5*'Tariffs July2016'!AK71/'Tariffs July2016'!AI71*'Tariffs July2016'!O71/100)* 'Tariffs July2016'!AI71)</f>
        <v>142.80000000000001</v>
      </c>
      <c r="F77" s="59">
        <f>IF($C$5*'Tariffs July2016'!AK71/'Tariffs July2016'!AI71&lt;'Tariffs July2016'!J71,0,IF($C$5*'Tariffs July2016'!AK71/'Tariffs July2016'!AI71&lt;='Tariffs July2016'!K71,($C$5*'Tariffs July2016'!AK71/'Tariffs July2016'!AI71-'Tariffs July2016'!J71)*('Tariffs July2016'!P71/100)*'Tariffs July2016'!AI71,('Tariffs July2016'!K71-'Tariffs July2016'!J71)*('Tariffs July2016'!P71/100)*'Tariffs July2016'!AI71))</f>
        <v>0</v>
      </c>
      <c r="G77" s="59">
        <f>IF($C$5*'Tariffs July2016'!AK71/'Tariffs July2016'!AI71&lt;'Tariffs July2016'!K71,0,IF($C$5*'Tariffs July2016'!AK71/'Tariffs July2016'!AI71&lt;='Tariffs July2016'!L71,($C$5*'Tariffs July2016'!AK71/'Tariffs July2016'!AI71-'Tariffs July2016'!K71)*('Tariffs July2016'!Q71/100)*'Tariffs July2016'!AI71,('Tariffs July2016'!L71-'Tariffs July2016'!K71)*('Tariffs July2016'!Q71/100)*'Tariffs July2016'!AI71))</f>
        <v>0</v>
      </c>
      <c r="H77" s="59">
        <f>IF($C$5*'Tariffs July2016'!AK71/'Tariffs July2016'!AI71&lt;'Tariffs July2016'!L71,0,IF($C$5*'Tariffs July2016'!AK71/'Tariffs July2016'!AI71&lt;='Tariffs July2016'!M71,($C$5*'Tariffs July2016'!AK71/'Tariffs July2016'!AI71-'Tariffs July2016'!L71)*('Tariffs July2016'!R71/100)*'Tariffs July2016'!AI71,('Tariffs July2016'!M71-'Tariffs July2016'!L71)*('Tariffs July2016'!R71/100)*'Tariffs July2016'!AI71))</f>
        <v>0</v>
      </c>
      <c r="I77" s="59">
        <f>IF(($C$5*'Tariffs July2016'!AK71/'Tariffs July2016'!AI71&gt;'Tariffs July2016'!M71),($C$5*'Tariffs July2016'!AK71/'Tariffs July2016'!AI71-'Tariffs July2016'!M71)*'Tariffs July2016'!S71/100*'Tariffs July2016'!AI71,0)</f>
        <v>250.56240999999997</v>
      </c>
      <c r="J77" s="59">
        <f>IF($C$5*'Tariffs July2016'!AL71/'Tariffs July2016'!AJ71&gt;='Tariffs July2016'!J71,('Tariffs July2016'!J71*'Tariffs July2016'!U71/100)* 'Tariffs July2016'!AJ71,($C$5*'Tariffs July2016'!AL71/'Tariffs July2016'!AJ71*'Tariffs July2016'!U71/100)* 'Tariffs July2016'!AJ71)</f>
        <v>243.6</v>
      </c>
      <c r="K77" s="59">
        <f>IF($C$5*'Tariffs July2016'!AL71/'Tariffs July2016'!AJ71&lt;'Tariffs July2016'!J71,0,IF($C$5*'Tariffs July2016'!AL71/'Tariffs July2016'!AJ71&lt;='Tariffs July2016'!K71,($C$5*'Tariffs July2016'!AL71/'Tariffs July2016'!AJ71-'Tariffs July2016'!J71)*('Tariffs July2016'!V71/100)*'Tariffs July2016'!AJ71,('Tariffs July2016'!K71-'Tariffs July2016'!J71)*('Tariffs July2016'!V71/100)*'Tariffs July2016'!AJ71))</f>
        <v>0</v>
      </c>
      <c r="L77" s="59">
        <f>IF($C$5*'Tariffs July2016'!AL71/'Tariffs July2016'!AJ71&lt;'Tariffs July2016'!K71,0,IF($C$5*'Tariffs July2016'!AL71/'Tariffs July2016'!AJ71&lt;='Tariffs July2016'!L71,($C$5*'Tariffs July2016'!AL71/'Tariffs July2016'!AJ71-'Tariffs July2016'!K71)*('Tariffs July2016'!W71/100)*'Tariffs July2016'!AJ71,('Tariffs July2016'!L71-'Tariffs July2016'!K71)*('Tariffs July2016'!W71/100)*'Tariffs July2016'!AJ71))</f>
        <v>0</v>
      </c>
      <c r="M77" s="59">
        <f>IF($C$5*'Tariffs July2016'!AL71/'Tariffs July2016'!AJ71&lt;'Tariffs July2016'!L71,0,IF($C$5*'Tariffs July2016'!AL71/'Tariffs July2016'!AJ71&lt;='Tariffs July2016'!M71,($C$5*'Tariffs July2016'!AL71/'Tariffs July2016'!AJ71-'Tariffs July2016'!L71)*('Tariffs July2016'!X71/100)*'Tariffs July2016'!AJ71,('Tariffs July2016'!M71-'Tariffs July2016'!L71)*('Tariffs July2016'!X71/100)*'Tariffs July2016'!AJ71))</f>
        <v>0</v>
      </c>
      <c r="N77" s="59">
        <f>IF(($C$5*'Tariffs July2016'!AL71/'Tariffs July2016'!AJ71&gt;'Tariffs July2016'!M71),($C$5*'Tariffs July2016'!AL71/'Tariffs July2016'!AJ71-'Tariffs July2016'!M71)*'Tariffs July2016'!Y71/100*'Tariffs July2016'!AJ71,0)</f>
        <v>445.13321999999994</v>
      </c>
      <c r="O77" s="59">
        <f t="shared" si="6"/>
        <v>1082.0956299999998</v>
      </c>
      <c r="P77" s="59">
        <f t="shared" si="7"/>
        <v>1282.8091299999999</v>
      </c>
      <c r="Q77" s="272">
        <f t="shared" si="8"/>
        <v>1411.0900429999999</v>
      </c>
      <c r="R77" s="40">
        <f>'Tariffs July2016'!AM71</f>
        <v>0</v>
      </c>
      <c r="S77" s="40">
        <f>'Tariffs July2016'!AN71</f>
        <v>0</v>
      </c>
      <c r="T77" s="40">
        <f>'Tariffs July2016'!AO71</f>
        <v>0</v>
      </c>
      <c r="U77" s="40">
        <f>'Tariffs July2016'!AP71</f>
        <v>0</v>
      </c>
      <c r="V77" s="284">
        <f t="shared" si="9"/>
        <v>1282.8091299999999</v>
      </c>
      <c r="W77" s="284">
        <f>V77-(O77*U77/100)</f>
        <v>1282.8091299999999</v>
      </c>
      <c r="X77" s="272">
        <f t="shared" si="10"/>
        <v>1411.0900429999999</v>
      </c>
      <c r="Y77" s="272">
        <f t="shared" si="11"/>
        <v>1411.0900429999999</v>
      </c>
      <c r="Z77" s="274">
        <f>'Tariffs July2016'!AW71</f>
        <v>0</v>
      </c>
      <c r="AA77" s="274" t="str">
        <f>'Tariffs July2016'!AX71</f>
        <v>n</v>
      </c>
      <c r="AB77" s="275" t="str">
        <f>'Tariffs July2016'!BD71</f>
        <v>Y</v>
      </c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</row>
    <row r="78" spans="1:40" x14ac:dyDescent="0.15">
      <c r="A78" s="270" t="str">
        <f>'Tariffs July2016'!F72</f>
        <v>EnergyAustralia</v>
      </c>
      <c r="B78" s="40" t="str">
        <f>'Tariffs July2016'!D72</f>
        <v>Ausnet Central 2</v>
      </c>
      <c r="C78" s="40" t="str">
        <f>'Tariffs July2016'!G72</f>
        <v xml:space="preserve">Flexi Saver </v>
      </c>
      <c r="D78" s="59">
        <f>365*'Tariffs July2016'!H72/100</f>
        <v>237.25</v>
      </c>
      <c r="E78" s="59">
        <f>IF($C$5*'Tariffs July2016'!AK72/'Tariffs July2016'!AI72&gt;='Tariffs July2016'!J72,( 'Tariffs July2016'!J72*'Tariffs July2016'!O72/100)* 'Tariffs July2016'!AI72,($C$5*'Tariffs July2016'!AK72/'Tariffs July2016'!AI72*'Tariffs July2016'!O72/100)* 'Tariffs July2016'!AI72)</f>
        <v>290.39999999999998</v>
      </c>
      <c r="F78" s="59">
        <f>IF($C$5*'Tariffs July2016'!AK72/'Tariffs July2016'!AI72&lt;'Tariffs July2016'!J72,0,IF($C$5*'Tariffs July2016'!AK72/'Tariffs July2016'!AI72&lt;='Tariffs July2016'!K72,($C$5*'Tariffs July2016'!AK72/'Tariffs July2016'!AI72-'Tariffs July2016'!J72)*('Tariffs July2016'!P72/100)*'Tariffs July2016'!AI72,('Tariffs July2016'!K72-'Tariffs July2016'!J72)*('Tariffs July2016'!P72/100)*'Tariffs July2016'!AI72))</f>
        <v>202.45274999999995</v>
      </c>
      <c r="G78" s="59">
        <f>IF($C$5*'Tariffs July2016'!AK72/'Tariffs July2016'!AI72&lt;'Tariffs July2016'!K72,0,IF($C$5*'Tariffs July2016'!AK72/'Tariffs July2016'!AI72&lt;='Tariffs July2016'!L72,($C$5*'Tariffs July2016'!AK72/'Tariffs July2016'!AI72-'Tariffs July2016'!K72)*('Tariffs July2016'!Q72/100)*'Tariffs July2016'!AI72,('Tariffs July2016'!L72-'Tariffs July2016'!K72)*('Tariffs July2016'!Q72/100)*'Tariffs July2016'!AI72))</f>
        <v>0</v>
      </c>
      <c r="H78" s="59">
        <f>IF($C$5*'Tariffs July2016'!AK72/'Tariffs July2016'!AI72&lt;'Tariffs July2016'!L72,0,IF($C$5*'Tariffs July2016'!AK72/'Tariffs July2016'!AI72&lt;='Tariffs July2016'!M72,($C$5*'Tariffs July2016'!AK72/'Tariffs July2016'!AI72-'Tariffs July2016'!L72)*('Tariffs July2016'!R72/100)*'Tariffs July2016'!AI72,('Tariffs July2016'!M72-'Tariffs July2016'!L72)*('Tariffs July2016'!R72/100)*'Tariffs July2016'!AI72))</f>
        <v>0</v>
      </c>
      <c r="I78" s="59">
        <f>IF(($C$5*'Tariffs July2016'!AK72/'Tariffs July2016'!AI72&gt;'Tariffs July2016'!M72),($C$5*'Tariffs July2016'!AK72/'Tariffs July2016'!AI72-'Tariffs July2016'!M72)*'Tariffs July2016'!S72/100*'Tariffs July2016'!AI72,0)</f>
        <v>0</v>
      </c>
      <c r="J78" s="59">
        <f>IF($C$5*'Tariffs July2016'!AL72/'Tariffs July2016'!AJ72&gt;='Tariffs July2016'!J72,('Tariffs July2016'!J72*'Tariffs July2016'!U72/100)* 'Tariffs July2016'!AJ72,($C$5*'Tariffs July2016'!AL72/'Tariffs July2016'!AJ72*'Tariffs July2016'!U72/100)* 'Tariffs July2016'!AJ72)</f>
        <v>403.2</v>
      </c>
      <c r="K78" s="59">
        <f>IF($C$5*'Tariffs July2016'!AL72/'Tariffs July2016'!AJ72&lt;'Tariffs July2016'!J72,0,IF($C$5*'Tariffs July2016'!AL72/'Tariffs July2016'!AJ72&lt;='Tariffs July2016'!K72,($C$5*'Tariffs July2016'!AL72/'Tariffs July2016'!AJ72-'Tariffs July2016'!J72)*('Tariffs July2016'!V72/100)*'Tariffs July2016'!AJ72,('Tariffs July2016'!K72-'Tariffs July2016'!J72)*('Tariffs July2016'!V72/100)*'Tariffs July2016'!AJ72))</f>
        <v>277.13531999999992</v>
      </c>
      <c r="L78" s="59">
        <f>IF($C$5*'Tariffs July2016'!AL72/'Tariffs July2016'!AJ72&lt;'Tariffs July2016'!K72,0,IF($C$5*'Tariffs July2016'!AL72/'Tariffs July2016'!AJ72&lt;='Tariffs July2016'!L72,($C$5*'Tariffs July2016'!AL72/'Tariffs July2016'!AJ72-'Tariffs July2016'!K72)*('Tariffs July2016'!W72/100)*'Tariffs July2016'!AJ72,('Tariffs July2016'!L72-'Tariffs July2016'!K72)*('Tariffs July2016'!W72/100)*'Tariffs July2016'!AJ72))</f>
        <v>0</v>
      </c>
      <c r="M78" s="59">
        <f>IF($C$5*'Tariffs July2016'!AL72/'Tariffs July2016'!AJ72&lt;'Tariffs July2016'!L72,0,IF($C$5*'Tariffs July2016'!AL72/'Tariffs July2016'!AJ72&lt;='Tariffs July2016'!M72,($C$5*'Tariffs July2016'!AL72/'Tariffs July2016'!AJ72-'Tariffs July2016'!L72)*('Tariffs July2016'!X72/100)*'Tariffs July2016'!AJ72,('Tariffs July2016'!M72-'Tariffs July2016'!L72)*('Tariffs July2016'!X72/100)*'Tariffs July2016'!AJ72))</f>
        <v>0</v>
      </c>
      <c r="N78" s="59">
        <f>IF(($C$5*'Tariffs July2016'!AL72/'Tariffs July2016'!AJ72&gt;'Tariffs July2016'!M72),($C$5*'Tariffs July2016'!AL72/'Tariffs July2016'!AJ72-'Tariffs July2016'!M72)*'Tariffs July2016'!Y72/100*'Tariffs July2016'!AJ72,0)</f>
        <v>0</v>
      </c>
      <c r="O78" s="59">
        <f t="shared" si="6"/>
        <v>1173.1880699999997</v>
      </c>
      <c r="P78" s="59">
        <f t="shared" si="7"/>
        <v>1410.4380699999997</v>
      </c>
      <c r="Q78" s="272">
        <f t="shared" si="8"/>
        <v>1551.4818769999997</v>
      </c>
      <c r="R78" s="40">
        <f>'Tariffs July2016'!AM72</f>
        <v>0</v>
      </c>
      <c r="S78" s="40">
        <f>'Tariffs July2016'!AN72</f>
        <v>0</v>
      </c>
      <c r="T78" s="40">
        <f>'Tariffs July2016'!AO72</f>
        <v>0</v>
      </c>
      <c r="U78" s="40">
        <f>'Tariffs July2016'!AP72</f>
        <v>16</v>
      </c>
      <c r="V78" s="284">
        <f t="shared" si="9"/>
        <v>1410.4380699999997</v>
      </c>
      <c r="W78" s="284">
        <f>V78-(O78*U78/100)</f>
        <v>1222.7279787999996</v>
      </c>
      <c r="X78" s="272">
        <f t="shared" si="10"/>
        <v>1551.4818769999997</v>
      </c>
      <c r="Y78" s="272">
        <f t="shared" si="11"/>
        <v>1345.0007766799997</v>
      </c>
      <c r="Z78" s="274">
        <f>'Tariffs July2016'!AW72</f>
        <v>0</v>
      </c>
      <c r="AA78" s="274" t="str">
        <f>'Tariffs July2016'!AX72</f>
        <v>n</v>
      </c>
      <c r="AB78" s="275" t="str">
        <f>'Tariffs July2016'!BD72</f>
        <v>N</v>
      </c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</row>
    <row r="79" spans="1:40" x14ac:dyDescent="0.15">
      <c r="A79" s="270" t="str">
        <f>'Tariffs July2016'!F73</f>
        <v>Lumo Energy</v>
      </c>
      <c r="B79" s="40" t="str">
        <f>'Tariffs July2016'!D73</f>
        <v>Ausnet Central 2</v>
      </c>
      <c r="C79" s="40" t="str">
        <f>'Tariffs July2016'!G73</f>
        <v>Advantage</v>
      </c>
      <c r="D79" s="59">
        <f>365*'Tariffs July2016'!H73/100</f>
        <v>234.51249999999999</v>
      </c>
      <c r="E79" s="59">
        <f>IF($C$5*'Tariffs July2016'!AK73/'Tariffs July2016'!AI73&gt;='Tariffs July2016'!J73,( 'Tariffs July2016'!J73*'Tariffs July2016'!O73/100)* 'Tariffs July2016'!AI73,($C$5*'Tariffs July2016'!AK73/'Tariffs July2016'!AI73*'Tariffs July2016'!O73/100)* 'Tariffs July2016'!AI73)</f>
        <v>270.60000000000002</v>
      </c>
      <c r="F79" s="59">
        <f>IF($C$5*'Tariffs July2016'!AK73/'Tariffs July2016'!AI73&lt;'Tariffs July2016'!J73,0,IF($C$5*'Tariffs July2016'!AK73/'Tariffs July2016'!AI73&lt;='Tariffs July2016'!K73,($C$5*'Tariffs July2016'!AK73/'Tariffs July2016'!AI73-'Tariffs July2016'!J73)*('Tariffs July2016'!P73/100)*'Tariffs July2016'!AI73,('Tariffs July2016'!K73-'Tariffs July2016'!J73)*('Tariffs July2016'!P73/100)*'Tariffs July2016'!AI73))</f>
        <v>198.31371599999997</v>
      </c>
      <c r="G79" s="59">
        <f>IF($C$5*'Tariffs July2016'!AK73/'Tariffs July2016'!AI73&lt;'Tariffs July2016'!K73,0,IF($C$5*'Tariffs July2016'!AK73/'Tariffs July2016'!AI73&lt;='Tariffs July2016'!L73,($C$5*'Tariffs July2016'!AK73/'Tariffs July2016'!AI73-'Tariffs July2016'!K73)*('Tariffs July2016'!Q73/100)*'Tariffs July2016'!AI73,('Tariffs July2016'!L73-'Tariffs July2016'!K73)*('Tariffs July2016'!Q73/100)*'Tariffs July2016'!AI73))</f>
        <v>0</v>
      </c>
      <c r="H79" s="59">
        <f>IF($C$5*'Tariffs July2016'!AK73/'Tariffs July2016'!AI73&lt;'Tariffs July2016'!L73,0,IF($C$5*'Tariffs July2016'!AK73/'Tariffs July2016'!AI73&lt;='Tariffs July2016'!M73,($C$5*'Tariffs July2016'!AK73/'Tariffs July2016'!AI73-'Tariffs July2016'!L73)*('Tariffs July2016'!R73/100)*'Tariffs July2016'!AI73,('Tariffs July2016'!M73-'Tariffs July2016'!L73)*('Tariffs July2016'!R73/100)*'Tariffs July2016'!AI73))</f>
        <v>0</v>
      </c>
      <c r="I79" s="59">
        <f>IF(($C$5*'Tariffs July2016'!AK73/'Tariffs July2016'!AI73&gt;'Tariffs July2016'!M73),($C$5*'Tariffs July2016'!AK73/'Tariffs July2016'!AI73-'Tariffs July2016'!M73)*'Tariffs July2016'!S73/100*'Tariffs July2016'!AI73,0)</f>
        <v>0</v>
      </c>
      <c r="J79" s="59">
        <f>IF($C$5*'Tariffs July2016'!AL73/'Tariffs July2016'!AJ73&gt;='Tariffs July2016'!J73,('Tariffs July2016'!J73*'Tariffs July2016'!U73/100)* 'Tariffs July2016'!AJ73,($C$5*'Tariffs July2016'!AL73/'Tariffs July2016'!AJ73*'Tariffs July2016'!U73/100)* 'Tariffs July2016'!AJ73)</f>
        <v>393.36</v>
      </c>
      <c r="K79" s="59">
        <f>IF($C$5*'Tariffs July2016'!AL73/'Tariffs July2016'!AJ73&lt;'Tariffs July2016'!J73,0,IF($C$5*'Tariffs July2016'!AL73/'Tariffs July2016'!AJ73&lt;='Tariffs July2016'!K73,($C$5*'Tariffs July2016'!AL73/'Tariffs July2016'!AJ73-'Tariffs July2016'!J73)*('Tariffs July2016'!V73/100)*'Tariffs July2016'!AJ73,('Tariffs July2016'!K73-'Tariffs July2016'!J73)*('Tariffs July2016'!V73/100)*'Tariffs July2016'!AJ73))</f>
        <v>281.45431199999996</v>
      </c>
      <c r="L79" s="59">
        <f>IF($C$5*'Tariffs July2016'!AL73/'Tariffs July2016'!AJ73&lt;'Tariffs July2016'!K73,0,IF($C$5*'Tariffs July2016'!AL73/'Tariffs July2016'!AJ73&lt;='Tariffs July2016'!L73,($C$5*'Tariffs July2016'!AL73/'Tariffs July2016'!AJ73-'Tariffs July2016'!K73)*('Tariffs July2016'!W73/100)*'Tariffs July2016'!AJ73,('Tariffs July2016'!L73-'Tariffs July2016'!K73)*('Tariffs July2016'!W73/100)*'Tariffs July2016'!AJ73))</f>
        <v>0</v>
      </c>
      <c r="M79" s="59">
        <f>IF($C$5*'Tariffs July2016'!AL73/'Tariffs July2016'!AJ73&lt;'Tariffs July2016'!L73,0,IF($C$5*'Tariffs July2016'!AL73/'Tariffs July2016'!AJ73&lt;='Tariffs July2016'!M73,($C$5*'Tariffs July2016'!AL73/'Tariffs July2016'!AJ73-'Tariffs July2016'!L73)*('Tariffs July2016'!X73/100)*'Tariffs July2016'!AJ73,('Tariffs July2016'!M73-'Tariffs July2016'!L73)*('Tariffs July2016'!X73/100)*'Tariffs July2016'!AJ73))</f>
        <v>0</v>
      </c>
      <c r="N79" s="59">
        <f>IF(($C$5*'Tariffs July2016'!AL73/'Tariffs July2016'!AJ73&gt;'Tariffs July2016'!M73),($C$5*'Tariffs July2016'!AL73/'Tariffs July2016'!AJ73-'Tariffs July2016'!M73)*'Tariffs July2016'!Y73/100*'Tariffs July2016'!AJ73,0)</f>
        <v>0</v>
      </c>
      <c r="O79" s="59">
        <f t="shared" si="6"/>
        <v>1143.728028</v>
      </c>
      <c r="P79" s="59">
        <f t="shared" si="7"/>
        <v>1378.240528</v>
      </c>
      <c r="Q79" s="272">
        <f t="shared" si="8"/>
        <v>1516.0645808000002</v>
      </c>
      <c r="R79" s="40">
        <f>'Tariffs July2016'!AM73</f>
        <v>0</v>
      </c>
      <c r="S79" s="40">
        <f>'Tariffs July2016'!AN73</f>
        <v>0</v>
      </c>
      <c r="T79" s="40">
        <f>'Tariffs July2016'!AO73</f>
        <v>15</v>
      </c>
      <c r="U79" s="40">
        <f>'Tariffs July2016'!AP73</f>
        <v>0</v>
      </c>
      <c r="V79" s="284">
        <f t="shared" si="9"/>
        <v>1378.240528</v>
      </c>
      <c r="W79" s="284">
        <f>V79-(P79*T79/100)</f>
        <v>1171.5044488000001</v>
      </c>
      <c r="X79" s="272">
        <f t="shared" si="10"/>
        <v>1516.0645808000002</v>
      </c>
      <c r="Y79" s="272">
        <f t="shared" si="11"/>
        <v>1288.6548936800002</v>
      </c>
      <c r="Z79" s="274">
        <f>'Tariffs July2016'!AW73</f>
        <v>24</v>
      </c>
      <c r="AA79" s="274" t="str">
        <f>'Tariffs July2016'!AX73</f>
        <v>n</v>
      </c>
      <c r="AB79" s="275" t="str">
        <f>'Tariffs July2016'!BD73</f>
        <v>Y</v>
      </c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</row>
    <row r="80" spans="1:40" x14ac:dyDescent="0.15">
      <c r="A80" s="270" t="str">
        <f>'Tariffs July2016'!F74</f>
        <v>Momentum Energy</v>
      </c>
      <c r="B80" s="40" t="str">
        <f>'Tariffs July2016'!D74</f>
        <v>Ausnet Central 2</v>
      </c>
      <c r="C80" s="40" t="str">
        <f>'Tariffs July2016'!G74</f>
        <v>Market offer</v>
      </c>
      <c r="D80" s="59">
        <f>365*'Tariffs July2016'!H74/100</f>
        <v>231.11799999999999</v>
      </c>
      <c r="E80" s="59">
        <f>IF($C$5*'Tariffs July2016'!AK74/'Tariffs July2016'!AI74&gt;='Tariffs July2016'!J74,( 'Tariffs July2016'!J74*'Tariffs July2016'!O74/100)* 'Tariffs July2016'!AI74,($C$5*'Tariffs July2016'!AK74/'Tariffs July2016'!AI74*'Tariffs July2016'!O74/100)* 'Tariffs July2016'!AI74)</f>
        <v>209.28</v>
      </c>
      <c r="F80" s="59">
        <f>IF($C$5*'Tariffs July2016'!AK74/'Tariffs July2016'!AI74&lt;'Tariffs July2016'!J74,0,IF($C$5*'Tariffs July2016'!AK74/'Tariffs July2016'!AI74&lt;='Tariffs July2016'!K74,($C$5*'Tariffs July2016'!AK74/'Tariffs July2016'!AI74-'Tariffs July2016'!J74)*('Tariffs July2016'!P74/100)*'Tariffs July2016'!AI74,('Tariffs July2016'!K74-'Tariffs July2016'!J74)*('Tariffs July2016'!P74/100)*'Tariffs July2016'!AI74))</f>
        <v>156.74341799999996</v>
      </c>
      <c r="G80" s="59">
        <f>IF($C$5*'Tariffs July2016'!AK74/'Tariffs July2016'!AI74&lt;'Tariffs July2016'!K74,0,IF($C$5*'Tariffs July2016'!AK74/'Tariffs July2016'!AI74&lt;='Tariffs July2016'!L74,($C$5*'Tariffs July2016'!AK74/'Tariffs July2016'!AI74-'Tariffs July2016'!K74)*('Tariffs July2016'!Q74/100)*'Tariffs July2016'!AI74,('Tariffs July2016'!L74-'Tariffs July2016'!K74)*('Tariffs July2016'!Q74/100)*'Tariffs July2016'!AI74))</f>
        <v>0</v>
      </c>
      <c r="H80" s="59">
        <f>IF($C$5*'Tariffs July2016'!AK74/'Tariffs July2016'!AI74&lt;'Tariffs July2016'!L74,0,IF($C$5*'Tariffs July2016'!AK74/'Tariffs July2016'!AI74&lt;='Tariffs July2016'!M74,($C$5*'Tariffs July2016'!AK74/'Tariffs July2016'!AI74-'Tariffs July2016'!L74)*('Tariffs July2016'!R74/100)*'Tariffs July2016'!AI74,('Tariffs July2016'!M74-'Tariffs July2016'!L74)*('Tariffs July2016'!R74/100)*'Tariffs July2016'!AI74))</f>
        <v>0</v>
      </c>
      <c r="I80" s="59">
        <f>IF(($C$5*'Tariffs July2016'!AK74/'Tariffs July2016'!AI74&gt;'Tariffs July2016'!M74),($C$5*'Tariffs July2016'!AK74/'Tariffs July2016'!AI74-'Tariffs July2016'!M74)*'Tariffs July2016'!S74/100*'Tariffs July2016'!AI74,0)</f>
        <v>0</v>
      </c>
      <c r="J80" s="59">
        <f>IF($C$5*'Tariffs July2016'!AL74/'Tariffs July2016'!AJ74&gt;='Tariffs July2016'!J74,('Tariffs July2016'!J74*'Tariffs July2016'!U74/100)* 'Tariffs July2016'!AJ74,($C$5*'Tariffs July2016'!AL74/'Tariffs July2016'!AJ74*'Tariffs July2016'!U74/100)* 'Tariffs July2016'!AJ74)</f>
        <v>290.16000000000003</v>
      </c>
      <c r="K80" s="59">
        <f>IF($C$5*'Tariffs July2016'!AL74/'Tariffs July2016'!AJ74&lt;'Tariffs July2016'!J74,0,IF($C$5*'Tariffs July2016'!AL74/'Tariffs July2016'!AJ74&lt;='Tariffs July2016'!K74,($C$5*'Tariffs July2016'!AL74/'Tariffs July2016'!AJ74-'Tariffs July2016'!J74)*('Tariffs July2016'!V74/100)*'Tariffs July2016'!AJ74,('Tariffs July2016'!K74-'Tariffs July2016'!J74)*('Tariffs July2016'!V74/100)*'Tariffs July2016'!AJ74))</f>
        <v>213.79010399999996</v>
      </c>
      <c r="L80" s="59">
        <f>IF($C$5*'Tariffs July2016'!AL74/'Tariffs July2016'!AJ74&lt;'Tariffs July2016'!K74,0,IF($C$5*'Tariffs July2016'!AL74/'Tariffs July2016'!AJ74&lt;='Tariffs July2016'!L74,($C$5*'Tariffs July2016'!AL74/'Tariffs July2016'!AJ74-'Tariffs July2016'!K74)*('Tariffs July2016'!W74/100)*'Tariffs July2016'!AJ74,('Tariffs July2016'!L74-'Tariffs July2016'!K74)*('Tariffs July2016'!W74/100)*'Tariffs July2016'!AJ74))</f>
        <v>0</v>
      </c>
      <c r="M80" s="59">
        <f>IF($C$5*'Tariffs July2016'!AL74/'Tariffs July2016'!AJ74&lt;'Tariffs July2016'!L74,0,IF($C$5*'Tariffs July2016'!AL74/'Tariffs July2016'!AJ74&lt;='Tariffs July2016'!M74,($C$5*'Tariffs July2016'!AL74/'Tariffs July2016'!AJ74-'Tariffs July2016'!L74)*('Tariffs July2016'!X74/100)*'Tariffs July2016'!AJ74,('Tariffs July2016'!M74-'Tariffs July2016'!L74)*('Tariffs July2016'!X74/100)*'Tariffs July2016'!AJ74))</f>
        <v>0</v>
      </c>
      <c r="N80" s="59">
        <f>IF(($C$5*'Tariffs July2016'!AL74/'Tariffs July2016'!AJ74&gt;'Tariffs July2016'!M74),($C$5*'Tariffs July2016'!AL74/'Tariffs July2016'!AJ74-'Tariffs July2016'!M74)*'Tariffs July2016'!Y74/100*'Tariffs July2016'!AJ74,0)</f>
        <v>0</v>
      </c>
      <c r="O80" s="59">
        <f t="shared" si="6"/>
        <v>869.973522</v>
      </c>
      <c r="P80" s="59">
        <f t="shared" si="7"/>
        <v>1101.0915219999999</v>
      </c>
      <c r="Q80" s="272">
        <f t="shared" si="8"/>
        <v>1211.2006742000001</v>
      </c>
      <c r="R80" s="40">
        <f>'Tariffs July2016'!AM74</f>
        <v>0</v>
      </c>
      <c r="S80" s="40">
        <f>'Tariffs July2016'!AN74</f>
        <v>0</v>
      </c>
      <c r="T80" s="40">
        <f>'Tariffs July2016'!AO74</f>
        <v>0</v>
      </c>
      <c r="U80" s="40">
        <f>'Tariffs July2016'!AP74</f>
        <v>0</v>
      </c>
      <c r="V80" s="284">
        <f t="shared" si="9"/>
        <v>1101.0915219999999</v>
      </c>
      <c r="W80" s="284">
        <f>V80</f>
        <v>1101.0915219999999</v>
      </c>
      <c r="X80" s="272">
        <f t="shared" si="10"/>
        <v>1211.2006742000001</v>
      </c>
      <c r="Y80" s="272">
        <f t="shared" si="11"/>
        <v>1211.2006742000001</v>
      </c>
      <c r="Z80" s="274">
        <f>'Tariffs July2016'!AW74</f>
        <v>0</v>
      </c>
      <c r="AA80" s="274" t="str">
        <f>'Tariffs July2016'!AX74</f>
        <v>n</v>
      </c>
      <c r="AB80" s="275" t="str">
        <f>'Tariffs July2016'!BD74</f>
        <v>Y</v>
      </c>
      <c r="AC80" s="260"/>
      <c r="AD80" s="260"/>
      <c r="AE80" s="260"/>
      <c r="AF80" s="260"/>
      <c r="AG80" s="260"/>
      <c r="AH80" s="260"/>
      <c r="AI80" s="260"/>
      <c r="AJ80" s="260"/>
      <c r="AK80" s="260"/>
      <c r="AL80" s="260"/>
      <c r="AM80" s="260"/>
      <c r="AN80" s="260"/>
    </row>
    <row r="81" spans="1:40" x14ac:dyDescent="0.15">
      <c r="A81" s="270" t="str">
        <f>'Tariffs July2016'!F75</f>
        <v>Origin Energy</v>
      </c>
      <c r="B81" s="40" t="str">
        <f>'Tariffs July2016'!D75</f>
        <v>Ausnet Central 2</v>
      </c>
      <c r="C81" s="40" t="str">
        <f>'Tariffs July2016'!G75</f>
        <v>Saver</v>
      </c>
      <c r="D81" s="59">
        <f>365*'Tariffs July2016'!H75/100</f>
        <v>225.35100000000003</v>
      </c>
      <c r="E81" s="59">
        <f>IF($C$5*'Tariffs July2016'!AK75/'Tariffs July2016'!AI75&gt;='Tariffs July2016'!J75,( 'Tariffs July2016'!J75*'Tariffs July2016'!O75/100)* 'Tariffs July2016'!AI75,($C$5*'Tariffs July2016'!AK75/'Tariffs July2016'!AI75*'Tariffs July2016'!O75/100)* 'Tariffs July2016'!AI75)</f>
        <v>163.19999999999999</v>
      </c>
      <c r="F81" s="59">
        <f>IF($C$5*'Tariffs July2016'!AK75/'Tariffs July2016'!AI75&lt;'Tariffs July2016'!J75,0,IF($C$5*'Tariffs July2016'!AK75/'Tariffs July2016'!AI75&lt;='Tariffs July2016'!K75,($C$5*'Tariffs July2016'!AK75/'Tariffs July2016'!AI75-'Tariffs July2016'!J75)*('Tariffs July2016'!P75/100)*'Tariffs July2016'!AI75,('Tariffs July2016'!K75-'Tariffs July2016'!J75)*('Tariffs July2016'!P75/100)*'Tariffs July2016'!AI75))</f>
        <v>0</v>
      </c>
      <c r="G81" s="59">
        <f>IF($C$5*'Tariffs July2016'!AK75/'Tariffs July2016'!AI75&lt;'Tariffs July2016'!K75,0,IF($C$5*'Tariffs July2016'!AK75/'Tariffs July2016'!AI75&lt;='Tariffs July2016'!L75,($C$5*'Tariffs July2016'!AK75/'Tariffs July2016'!AI75-'Tariffs July2016'!K75)*('Tariffs July2016'!Q75/100)*'Tariffs July2016'!AI75,('Tariffs July2016'!L75-'Tariffs July2016'!K75)*('Tariffs July2016'!Q75/100)*'Tariffs July2016'!AI75))</f>
        <v>0</v>
      </c>
      <c r="H81" s="59">
        <f>IF($C$5*'Tariffs July2016'!AK75/'Tariffs July2016'!AI75&lt;'Tariffs July2016'!L75,0,IF($C$5*'Tariffs July2016'!AK75/'Tariffs July2016'!AI75&lt;='Tariffs July2016'!M75,($C$5*'Tariffs July2016'!AK75/'Tariffs July2016'!AI75-'Tariffs July2016'!L75)*('Tariffs July2016'!R75/100)*'Tariffs July2016'!AI75,('Tariffs July2016'!M75-'Tariffs July2016'!L75)*('Tariffs July2016'!R75/100)*'Tariffs July2016'!AI75))</f>
        <v>0</v>
      </c>
      <c r="I81" s="59">
        <f>IF(($C$5*'Tariffs July2016'!AK75/'Tariffs July2016'!AI75&gt;'Tariffs July2016'!M75),($C$5*'Tariffs July2016'!AK75/'Tariffs July2016'!AI75-'Tariffs July2016'!M75)*'Tariffs July2016'!S75/100*'Tariffs July2016'!AI75,0)</f>
        <v>293.12583199999995</v>
      </c>
      <c r="J81" s="59">
        <f>IF($C$5*'Tariffs July2016'!AL75/'Tariffs July2016'!AJ75&gt;='Tariffs July2016'!J75,('Tariffs July2016'!J75*'Tariffs July2016'!U75/100)* 'Tariffs July2016'!AJ75,($C$5*'Tariffs July2016'!AL75/'Tariffs July2016'!AJ75*'Tariffs July2016'!U75/100)* 'Tariffs July2016'!AJ75)</f>
        <v>232.19200000000001</v>
      </c>
      <c r="K81" s="59">
        <f>IF($C$5*'Tariffs July2016'!AL75/'Tariffs July2016'!AJ75&lt;'Tariffs July2016'!J75,0,IF($C$5*'Tariffs July2016'!AL75/'Tariffs July2016'!AJ75&lt;='Tariffs July2016'!K75,($C$5*'Tariffs July2016'!AL75/'Tariffs July2016'!AJ75-'Tariffs July2016'!J75)*('Tariffs July2016'!V75/100)*'Tariffs July2016'!AJ75,('Tariffs July2016'!K75-'Tariffs July2016'!J75)*('Tariffs July2016'!V75/100)*'Tariffs July2016'!AJ75))</f>
        <v>0</v>
      </c>
      <c r="L81" s="59">
        <f>IF($C$5*'Tariffs July2016'!AL75/'Tariffs July2016'!AJ75&lt;'Tariffs July2016'!K75,0,IF($C$5*'Tariffs July2016'!AL75/'Tariffs July2016'!AJ75&lt;='Tariffs July2016'!L75,($C$5*'Tariffs July2016'!AL75/'Tariffs July2016'!AJ75-'Tariffs July2016'!K75)*('Tariffs July2016'!W75/100)*'Tariffs July2016'!AJ75,('Tariffs July2016'!L75-'Tariffs July2016'!K75)*('Tariffs July2016'!W75/100)*'Tariffs July2016'!AJ75))</f>
        <v>0</v>
      </c>
      <c r="M81" s="59">
        <f>IF($C$5*'Tariffs July2016'!AL75/'Tariffs July2016'!AJ75&lt;'Tariffs July2016'!L75,0,IF($C$5*'Tariffs July2016'!AL75/'Tariffs July2016'!AJ75&lt;='Tariffs July2016'!M75,($C$5*'Tariffs July2016'!AL75/'Tariffs July2016'!AJ75-'Tariffs July2016'!L75)*('Tariffs July2016'!X75/100)*'Tariffs July2016'!AJ75,('Tariffs July2016'!M75-'Tariffs July2016'!L75)*('Tariffs July2016'!X75/100)*'Tariffs July2016'!AJ75))</f>
        <v>0</v>
      </c>
      <c r="N81" s="59">
        <f>IF(($C$5*'Tariffs July2016'!AL75/'Tariffs July2016'!AJ75&gt;'Tariffs July2016'!M75),($C$5*'Tariffs July2016'!AL75/'Tariffs July2016'!AJ75-'Tariffs July2016'!M75)*'Tariffs July2016'!Y75/100*'Tariffs July2016'!AJ75,0)</f>
        <v>419.54364599999991</v>
      </c>
      <c r="O81" s="59">
        <f t="shared" si="6"/>
        <v>1108.0614779999999</v>
      </c>
      <c r="P81" s="59">
        <f t="shared" si="7"/>
        <v>1333.412478</v>
      </c>
      <c r="Q81" s="272">
        <f t="shared" si="8"/>
        <v>1466.7537258</v>
      </c>
      <c r="R81" s="40">
        <f>'Tariffs July2016'!AM75</f>
        <v>0</v>
      </c>
      <c r="S81" s="40">
        <f>'Tariffs July2016'!AN75</f>
        <v>0</v>
      </c>
      <c r="T81" s="40">
        <f>'Tariffs July2016'!AO75</f>
        <v>0</v>
      </c>
      <c r="U81" s="40">
        <f>'Tariffs July2016'!AP75</f>
        <v>13</v>
      </c>
      <c r="V81" s="284">
        <f t="shared" si="9"/>
        <v>1333.412478</v>
      </c>
      <c r="W81" s="284">
        <f>V81-(O81*U81/100)</f>
        <v>1189.3644858600001</v>
      </c>
      <c r="X81" s="272">
        <f t="shared" si="10"/>
        <v>1466.7537258</v>
      </c>
      <c r="Y81" s="272">
        <f t="shared" si="11"/>
        <v>1308.3009344460002</v>
      </c>
      <c r="Z81" s="274">
        <f>'Tariffs July2016'!AW75</f>
        <v>0</v>
      </c>
      <c r="AA81" s="274" t="str">
        <f>'Tariffs July2016'!AX75</f>
        <v>n</v>
      </c>
      <c r="AB81" s="275" t="str">
        <f>'Tariffs July2016'!BD75</f>
        <v>N</v>
      </c>
      <c r="AC81" s="260"/>
      <c r="AD81" s="260"/>
      <c r="AE81" s="260"/>
      <c r="AF81" s="260"/>
      <c r="AG81" s="260"/>
      <c r="AH81" s="260"/>
      <c r="AI81" s="260"/>
      <c r="AJ81" s="260"/>
      <c r="AK81" s="260"/>
      <c r="AL81" s="260"/>
      <c r="AM81" s="260"/>
      <c r="AN81" s="260"/>
    </row>
    <row r="82" spans="1:40" x14ac:dyDescent="0.15">
      <c r="A82" s="270" t="str">
        <f>'Tariffs July2016'!F76</f>
        <v>Red Energy</v>
      </c>
      <c r="B82" s="40" t="str">
        <f>'Tariffs July2016'!D76</f>
        <v>Ausnet Central 2</v>
      </c>
      <c r="C82" s="40" t="str">
        <f>'Tariffs July2016'!G76</f>
        <v>Living Energy Saver</v>
      </c>
      <c r="D82" s="59">
        <f>365*'Tariffs July2016'!H76/100</f>
        <v>248.2</v>
      </c>
      <c r="E82" s="59">
        <f>IF($C$5*'Tariffs July2016'!AK76/'Tariffs July2016'!AI76&gt;='Tariffs July2016'!J76,( 'Tariffs July2016'!J76*'Tariffs July2016'!O76/100)* 'Tariffs July2016'!AI76,($C$5*'Tariffs July2016'!AK76/'Tariffs July2016'!AI76*'Tariffs July2016'!O76/100)* 'Tariffs July2016'!AI76)</f>
        <v>143.77999999999997</v>
      </c>
      <c r="F82" s="59">
        <f>IF($C$5*'Tariffs July2016'!AK76/'Tariffs July2016'!AI76&lt;'Tariffs July2016'!J76,0,IF($C$5*'Tariffs July2016'!AK76/'Tariffs July2016'!AI76&lt;='Tariffs July2016'!K76,($C$5*'Tariffs July2016'!AK76/'Tariffs July2016'!AI76-'Tariffs July2016'!J76)*('Tariffs July2016'!S76/100)*'Tariffs July2016'!AI76,('Tariffs July2016'!K76-'Tariffs July2016'!J76)*('Tariffs July2016'!S76/100)*'Tariffs July2016'!AI76))</f>
        <v>0</v>
      </c>
      <c r="G82" s="59">
        <f>IF($C$5*'Tariffs July2016'!AK76/'Tariffs July2016'!AI76&lt;'Tariffs July2016'!K76,0,IF($C$5*'Tariffs July2016'!AK76/'Tariffs July2016'!AI76&lt;='Tariffs July2016'!L76,($C$5*'Tariffs July2016'!AK76/'Tariffs July2016'!AI76-'Tariffs July2016'!K76)*('Tariffs July2016'!Q76/100)*'Tariffs July2016'!AI76,('Tariffs July2016'!L76-'Tariffs July2016'!K76)*('Tariffs July2016'!Q76/100)*'Tariffs July2016'!AI76))</f>
        <v>0</v>
      </c>
      <c r="H82" s="59">
        <f>IF($C$5*'Tariffs July2016'!AK76/'Tariffs July2016'!AI76&lt;'Tariffs July2016'!L76,0,IF($C$5*'Tariffs July2016'!AK76/'Tariffs July2016'!AI76&lt;='Tariffs July2016'!M76,($C$5*'Tariffs July2016'!AK76/'Tariffs July2016'!AI76-'Tariffs July2016'!L76)*('Tariffs July2016'!R76/100)*'Tariffs July2016'!AI76,('Tariffs July2016'!M76-'Tariffs July2016'!L76)*('Tariffs July2016'!R76/100)*'Tariffs July2016'!AI76))</f>
        <v>0</v>
      </c>
      <c r="I82" s="59">
        <f>IF(($C$5*'Tariffs July2016'!AK76/'Tariffs July2016'!AI76&gt;'Tariffs July2016'!M76),($C$5*'Tariffs July2016'!AK76/'Tariffs July2016'!AI76-'Tariffs July2016'!M76)*'Tariffs July2016'!S76/100*'Tariffs July2016'!AI76,0)</f>
        <v>230.26545499999997</v>
      </c>
      <c r="J82" s="59">
        <f>IF($C$5*'Tariffs July2016'!AL76/'Tariffs July2016'!AJ76&gt;='Tariffs July2016'!J76,('Tariffs July2016'!J76*'Tariffs July2016'!U76/100)* 'Tariffs July2016'!AJ76,($C$5*'Tariffs July2016'!AL76/'Tariffs July2016'!AJ76*'Tariffs July2016'!U76/100)* 'Tariffs July2016'!AJ76)</f>
        <v>211.68</v>
      </c>
      <c r="K82" s="59">
        <f>IF($C$5*'Tariffs July2016'!AL76/'Tariffs July2016'!AJ76&lt;'Tariffs July2016'!J76,0,IF($C$5*'Tariffs July2016'!AL76/'Tariffs July2016'!AJ76&lt;='Tariffs July2016'!K76,($C$5*'Tariffs July2016'!AL76/'Tariffs July2016'!AJ76-'Tariffs July2016'!J76)*('Tariffs July2016'!Y76/100)*'Tariffs July2016'!AJ76,('Tariffs July2016'!K76-'Tariffs July2016'!J76)*('Tariffs July2016'!Y76/100)*'Tariffs July2016'!AJ76))</f>
        <v>0</v>
      </c>
      <c r="L82" s="59">
        <f>IF($C$5*'Tariffs July2016'!AL76/'Tariffs July2016'!AJ76&lt;'Tariffs July2016'!K76,0,IF($C$5*'Tariffs July2016'!AL76/'Tariffs July2016'!AJ76&lt;='Tariffs July2016'!L76,($C$5*'Tariffs July2016'!AL76/'Tariffs July2016'!AJ76-'Tariffs July2016'!K76)*('Tariffs July2016'!W76/100)*'Tariffs July2016'!AJ76,('Tariffs July2016'!L76-'Tariffs July2016'!K76)*('Tariffs July2016'!W76/100)*'Tariffs July2016'!AJ76))</f>
        <v>0</v>
      </c>
      <c r="M82" s="59">
        <f>IF($C$5*'Tariffs July2016'!AL76/'Tariffs July2016'!AJ76&lt;'Tariffs July2016'!L76,0,IF($C$5*'Tariffs July2016'!AL76/'Tariffs July2016'!AJ76&lt;='Tariffs July2016'!M76,($C$5*'Tariffs July2016'!AL76/'Tariffs July2016'!AJ76-'Tariffs July2016'!L76)*('Tariffs July2016'!X76/100)*'Tariffs July2016'!AJ76,('Tariffs July2016'!M76-'Tariffs July2016'!L76)*('Tariffs July2016'!X76/100)*'Tariffs July2016'!AJ76))</f>
        <v>0</v>
      </c>
      <c r="N82" s="59">
        <f>IF(($C$5*'Tariffs July2016'!AL76/'Tariffs July2016'!AJ76&gt;'Tariffs July2016'!M76),($C$5*'Tariffs July2016'!AL76/'Tariffs July2016'!AJ76-'Tariffs July2016'!M76)*'Tariffs July2016'!Y76/100*'Tariffs July2016'!AJ76,0)</f>
        <v>381.02283799999992</v>
      </c>
      <c r="O82" s="59">
        <f t="shared" si="6"/>
        <v>966.74829299999988</v>
      </c>
      <c r="P82" s="59">
        <f t="shared" si="7"/>
        <v>1214.9482929999999</v>
      </c>
      <c r="Q82" s="272">
        <f t="shared" si="8"/>
        <v>1336.4431222999999</v>
      </c>
      <c r="R82" s="40">
        <f>'Tariffs July2016'!AM76</f>
        <v>0</v>
      </c>
      <c r="S82" s="40">
        <f>'Tariffs July2016'!AN76</f>
        <v>0</v>
      </c>
      <c r="T82" s="40">
        <f>'Tariffs July2016'!AO76</f>
        <v>10</v>
      </c>
      <c r="U82" s="40">
        <f>'Tariffs July2016'!AP76</f>
        <v>0</v>
      </c>
      <c r="V82" s="284">
        <f t="shared" si="9"/>
        <v>1214.9482929999999</v>
      </c>
      <c r="W82" s="284">
        <f>V82-(P82*T82/100)</f>
        <v>1093.4534636999999</v>
      </c>
      <c r="X82" s="272">
        <f t="shared" si="10"/>
        <v>1336.4431222999999</v>
      </c>
      <c r="Y82" s="272">
        <f t="shared" si="11"/>
        <v>1202.7988100699999</v>
      </c>
      <c r="Z82" s="274">
        <f>'Tariffs July2016'!AW76</f>
        <v>0</v>
      </c>
      <c r="AA82" s="274" t="str">
        <f>'Tariffs July2016'!AX76</f>
        <v>n</v>
      </c>
      <c r="AB82" s="275" t="str">
        <f>'Tariffs July2016'!BD76</f>
        <v>Y</v>
      </c>
      <c r="AC82" s="260"/>
      <c r="AD82" s="260"/>
      <c r="AE82" s="260"/>
      <c r="AF82" s="260"/>
      <c r="AG82" s="260"/>
      <c r="AH82" s="260"/>
      <c r="AI82" s="260"/>
      <c r="AJ82" s="260"/>
      <c r="AK82" s="260"/>
      <c r="AL82" s="260"/>
      <c r="AM82" s="260"/>
      <c r="AN82" s="260"/>
    </row>
    <row r="83" spans="1:40" ht="14" thickBot="1" x14ac:dyDescent="0.2">
      <c r="A83" s="276" t="str">
        <f>'Tariffs July2016'!F77</f>
        <v>Simply Energy</v>
      </c>
      <c r="B83" s="277" t="str">
        <f>'Tariffs July2016'!D77</f>
        <v>Ausnet Central 2</v>
      </c>
      <c r="C83" s="277" t="str">
        <f>'Tariffs July2016'!G77</f>
        <v>Plus</v>
      </c>
      <c r="D83" s="278">
        <f>365*'Tariffs July2016'!H77/100</f>
        <v>207.5025</v>
      </c>
      <c r="E83" s="278">
        <f>IF($C$5*'Tariffs July2016'!AK77/'Tariffs July2016'!AI77&gt;='Tariffs July2016'!J77,( 'Tariffs July2016'!J77*'Tariffs July2016'!O77/100)* 'Tariffs July2016'!AI77,($C$5*'Tariffs July2016'!AK77/'Tariffs July2016'!AI77*'Tariffs July2016'!O77/100)* 'Tariffs July2016'!AI77)</f>
        <v>258</v>
      </c>
      <c r="F83" s="278">
        <f>IF($C$5*'Tariffs July2016'!AK77/'Tariffs July2016'!AI77&lt;'Tariffs July2016'!J77,0,IF($C$5*'Tariffs July2016'!AK77/'Tariffs July2016'!AI77&lt;='Tariffs July2016'!K77,($C$5*'Tariffs July2016'!AK77/'Tariffs July2016'!AI77-'Tariffs July2016'!J77)*('Tariffs July2016'!P77/100)*'Tariffs July2016'!AI77,('Tariffs July2016'!K77-'Tariffs July2016'!J77)*('Tariffs July2016'!P77/100)*'Tariffs July2016'!AI77))</f>
        <v>189.85568999999992</v>
      </c>
      <c r="G83" s="278">
        <f>IF($C$5*'Tariffs July2016'!AK77/'Tariffs July2016'!AI77&lt;'Tariffs July2016'!K77,0,IF($C$5*'Tariffs July2016'!AK77/'Tariffs July2016'!AI77&lt;='Tariffs July2016'!L77,($C$5*'Tariffs July2016'!AK77/'Tariffs July2016'!AI77-'Tariffs July2016'!K77)*('Tariffs July2016'!Q77/100)*'Tariffs July2016'!AI77,('Tariffs July2016'!L77-'Tariffs July2016'!K77)*('Tariffs July2016'!Q77/100)*'Tariffs July2016'!AI77))</f>
        <v>0</v>
      </c>
      <c r="H83" s="278">
        <f>IF($C$5*'Tariffs July2016'!AK77/'Tariffs July2016'!AI77&lt;'Tariffs July2016'!L77,0,IF($C$5*'Tariffs July2016'!AK77/'Tariffs July2016'!AI77&lt;='Tariffs July2016'!M77,($C$5*'Tariffs July2016'!AK77/'Tariffs July2016'!AI77-'Tariffs July2016'!L77)*('Tariffs July2016'!R77/100)*'Tariffs July2016'!AI77,('Tariffs July2016'!M77-'Tariffs July2016'!L77)*('Tariffs July2016'!R77/100)*'Tariffs July2016'!AI77))</f>
        <v>0</v>
      </c>
      <c r="I83" s="278">
        <f>IF(($C$5*'Tariffs July2016'!AK77/'Tariffs July2016'!AI77&gt;'Tariffs July2016'!M77),($C$5*'Tariffs July2016'!AK77/'Tariffs July2016'!AI77-'Tariffs July2016'!M77)*'Tariffs July2016'!S77/100*'Tariffs July2016'!AI77,0)</f>
        <v>0</v>
      </c>
      <c r="J83" s="278">
        <f>IF($C$5*'Tariffs July2016'!AL77/'Tariffs July2016'!AJ77&gt;='Tariffs July2016'!J77,('Tariffs July2016'!J77*'Tariffs July2016'!U77/100)* 'Tariffs July2016'!AJ77,($C$5*'Tariffs July2016'!AL77/'Tariffs July2016'!AJ77*'Tariffs July2016'!U77/100)* 'Tariffs July2016'!AJ77)</f>
        <v>393.6</v>
      </c>
      <c r="K83" s="278">
        <f>IF($C$5*'Tariffs July2016'!AL77/'Tariffs July2016'!AJ77&lt;'Tariffs July2016'!J77,0,IF($C$5*'Tariffs July2016'!AL77/'Tariffs July2016'!AJ77&lt;='Tariffs July2016'!K77,($C$5*'Tariffs July2016'!AL77/'Tariffs July2016'!AJ77-'Tariffs July2016'!J77)*('Tariffs July2016'!V77/100)*'Tariffs July2016'!AJ77,('Tariffs July2016'!K77-'Tariffs July2016'!J77)*('Tariffs July2016'!V77/100)*'Tariffs July2016'!AJ77))</f>
        <v>284.33363999999995</v>
      </c>
      <c r="L83" s="278">
        <f>IF($C$5*'Tariffs July2016'!AL77/'Tariffs July2016'!AJ77&lt;'Tariffs July2016'!K77,0,IF($C$5*'Tariffs July2016'!AL77/'Tariffs July2016'!AJ77&lt;='Tariffs July2016'!L77,($C$5*'Tariffs July2016'!AL77/'Tariffs July2016'!AJ77-'Tariffs July2016'!K77)*('Tariffs July2016'!W77/100)*'Tariffs July2016'!AJ77,('Tariffs July2016'!L77-'Tariffs July2016'!K77)*('Tariffs July2016'!W77/100)*'Tariffs July2016'!AJ77))</f>
        <v>0</v>
      </c>
      <c r="M83" s="278">
        <f>IF($C$5*'Tariffs July2016'!AL77/'Tariffs July2016'!AJ77&lt;'Tariffs July2016'!L77,0,IF($C$5*'Tariffs July2016'!AL77/'Tariffs July2016'!AJ77&lt;='Tariffs July2016'!M77,($C$5*'Tariffs July2016'!AL77/'Tariffs July2016'!AJ77-'Tariffs July2016'!L77)*('Tariffs July2016'!X77/100)*'Tariffs July2016'!AJ77,('Tariffs July2016'!M77-'Tariffs July2016'!L77)*('Tariffs July2016'!X77/100)*'Tariffs July2016'!AJ77))</f>
        <v>0</v>
      </c>
      <c r="N83" s="278">
        <f>IF(($C$5*'Tariffs July2016'!AL77/'Tariffs July2016'!AJ77&gt;'Tariffs July2016'!M77),($C$5*'Tariffs July2016'!AL77/'Tariffs July2016'!AJ77-'Tariffs July2016'!M77)*'Tariffs July2016'!Y77/100*'Tariffs July2016'!AJ77,0)</f>
        <v>0</v>
      </c>
      <c r="O83" s="278">
        <f t="shared" si="6"/>
        <v>1125.7893300000001</v>
      </c>
      <c r="P83" s="278">
        <f t="shared" si="7"/>
        <v>1333.2918300000001</v>
      </c>
      <c r="Q83" s="280">
        <f t="shared" si="8"/>
        <v>1466.6210130000002</v>
      </c>
      <c r="R83" s="277">
        <f>'Tariffs July2016'!AM77</f>
        <v>0</v>
      </c>
      <c r="S83" s="277">
        <f>'Tariffs July2016'!AN77</f>
        <v>15</v>
      </c>
      <c r="T83" s="277">
        <f>'Tariffs July2016'!AO77</f>
        <v>0</v>
      </c>
      <c r="U83" s="277">
        <f>'Tariffs July2016'!AP77</f>
        <v>5</v>
      </c>
      <c r="V83" s="285">
        <f>P83-(O83*S83/100)</f>
        <v>1164.4234305</v>
      </c>
      <c r="W83" s="285">
        <f>V83-(O83*U83/100)</f>
        <v>1108.1339640000001</v>
      </c>
      <c r="X83" s="280">
        <f t="shared" si="10"/>
        <v>1280.8657735500001</v>
      </c>
      <c r="Y83" s="280">
        <f t="shared" si="11"/>
        <v>1218.9473604000002</v>
      </c>
      <c r="Z83" s="282">
        <f>'Tariffs July2016'!AW77</f>
        <v>24</v>
      </c>
      <c r="AA83" s="282" t="str">
        <f>'Tariffs July2016'!AX77</f>
        <v>n</v>
      </c>
      <c r="AB83" s="283" t="str">
        <f>'Tariffs July2016'!BD77</f>
        <v>Y</v>
      </c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</row>
    <row r="84" spans="1:40" x14ac:dyDescent="0.15">
      <c r="A84" s="270" t="str">
        <f>'Tariffs July2016'!F78</f>
        <v>AGL</v>
      </c>
      <c r="B84" s="40" t="str">
        <f>'Tariffs July2016'!D78</f>
        <v>Ausnet Central 1</v>
      </c>
      <c r="C84" s="40" t="str">
        <f>'Tariffs July2016'!G78</f>
        <v>Savers</v>
      </c>
      <c r="D84" s="59">
        <f>365*'Tariffs July2016'!H78/100</f>
        <v>264.4425</v>
      </c>
      <c r="E84" s="59">
        <f>IF($C$5*'Tariffs July2016'!AK78/'Tariffs July2016'!AI78&gt;='Tariffs July2016'!J78,( 'Tariffs July2016'!J78*'Tariffs July2016'!O78/100)* 'Tariffs July2016'!AI78,($C$5*'Tariffs July2016'!AK78/'Tariffs July2016'!AI78*'Tariffs July2016'!O78/100)* 'Tariffs July2016'!AI78)</f>
        <v>241.08</v>
      </c>
      <c r="F84" s="59">
        <f>IF($C$5*'Tariffs July2016'!AK78/'Tariffs July2016'!AI78&lt;'Tariffs July2016'!J78,0,IF($C$5*'Tariffs July2016'!AK78/'Tariffs July2016'!AI78&lt;='Tariffs July2016'!K78,($C$5*'Tariffs July2016'!AK78/'Tariffs July2016'!AI78-'Tariffs July2016'!J78)*('Tariffs July2016'!P78/100)*'Tariffs July2016'!AI78,('Tariffs July2016'!K78-'Tariffs July2016'!J78)*('Tariffs July2016'!P78/100)*'Tariffs July2016'!AI78))</f>
        <v>170.96009999999995</v>
      </c>
      <c r="G84" s="59">
        <f>IF($C$5*'Tariffs July2016'!AK78/'Tariffs July2016'!AI78&lt;'Tariffs July2016'!K78,0,IF($C$5*'Tariffs July2016'!AK78/'Tariffs July2016'!AI78&lt;='Tariffs July2016'!L78,($C$5*'Tariffs July2016'!AK78/'Tariffs July2016'!AI78-'Tariffs July2016'!K78)*('Tariffs July2016'!Q78/100)*'Tariffs July2016'!AI78,('Tariffs July2016'!L78-'Tariffs July2016'!K78)*('Tariffs July2016'!Q78/100)*'Tariffs July2016'!AI78))</f>
        <v>0</v>
      </c>
      <c r="H84" s="59">
        <f>IF($C$5*'Tariffs July2016'!AK78/'Tariffs July2016'!AI78&lt;'Tariffs July2016'!L78,0,IF($C$5*'Tariffs July2016'!AK78/'Tariffs July2016'!AI78&lt;='Tariffs July2016'!M78,($C$5*'Tariffs July2016'!AK78/'Tariffs July2016'!AI78-'Tariffs July2016'!L78)*('Tariffs July2016'!R78/100)*'Tariffs July2016'!AI78,('Tariffs July2016'!M78-'Tariffs July2016'!L78)*('Tariffs July2016'!R78/100)*'Tariffs July2016'!AI78))</f>
        <v>0</v>
      </c>
      <c r="I84" s="59">
        <f>IF(($C$5*'Tariffs July2016'!AK78/'Tariffs July2016'!AI78&gt;'Tariffs July2016'!M78),($C$5*'Tariffs July2016'!AK78/'Tariffs July2016'!AI78-'Tariffs July2016'!M78)*'Tariffs July2016'!S78/100*'Tariffs July2016'!AI78,0)</f>
        <v>0</v>
      </c>
      <c r="J84" s="59">
        <f>IF($C$5*'Tariffs July2016'!AL78/'Tariffs July2016'!AJ78&gt;='Tariffs July2016'!J78,('Tariffs July2016'!J78*'Tariffs July2016'!U78/100)* 'Tariffs July2016'!AJ78,($C$5*'Tariffs July2016'!AL78/'Tariffs July2016'!AJ78*'Tariffs July2016'!U78/100)* 'Tariffs July2016'!AJ78)</f>
        <v>440.88</v>
      </c>
      <c r="K84" s="59">
        <f>IF($C$5*'Tariffs July2016'!AL78/'Tariffs July2016'!AJ78&lt;'Tariffs July2016'!J78,0,IF($C$5*'Tariffs July2016'!AL78/'Tariffs July2016'!AJ78&lt;='Tariffs July2016'!K78,($C$5*'Tariffs July2016'!AL78/'Tariffs July2016'!AJ78-'Tariffs July2016'!J78)*('Tariffs July2016'!V78/100)*'Tariffs July2016'!AJ78,('Tariffs July2016'!K78-'Tariffs July2016'!J78)*('Tariffs July2016'!V78/100)*'Tariffs July2016'!AJ78))</f>
        <v>251.94119999999992</v>
      </c>
      <c r="L84" s="59">
        <f>IF($C$5*'Tariffs July2016'!AL78/'Tariffs July2016'!AJ78&lt;'Tariffs July2016'!K78,0,IF($C$5*'Tariffs July2016'!AL78/'Tariffs July2016'!AJ78&lt;='Tariffs July2016'!L78,($C$5*'Tariffs July2016'!AL78/'Tariffs July2016'!AJ78-'Tariffs July2016'!K78)*('Tariffs July2016'!W78/100)*'Tariffs July2016'!AJ78,('Tariffs July2016'!L78-'Tariffs July2016'!K78)*('Tariffs July2016'!W78/100)*'Tariffs July2016'!AJ78))</f>
        <v>0</v>
      </c>
      <c r="M84" s="59">
        <f>IF($C$5*'Tariffs July2016'!AL78/'Tariffs July2016'!AJ78&lt;'Tariffs July2016'!L78,0,IF($C$5*'Tariffs July2016'!AL78/'Tariffs July2016'!AJ78&lt;='Tariffs July2016'!M78,($C$5*'Tariffs July2016'!AL78/'Tariffs July2016'!AJ78-'Tariffs July2016'!L78)*('Tariffs July2016'!X78/100)*'Tariffs July2016'!AJ78,('Tariffs July2016'!M78-'Tariffs July2016'!L78)*('Tariffs July2016'!X78/100)*'Tariffs July2016'!AJ78))</f>
        <v>0</v>
      </c>
      <c r="N84" s="59">
        <f>IF(($C$5*'Tariffs July2016'!AL78/'Tariffs July2016'!AJ78&gt;'Tariffs July2016'!M78),($C$5*'Tariffs July2016'!AL78/'Tariffs July2016'!AJ78-'Tariffs July2016'!M78)*'Tariffs July2016'!Y78/100*'Tariffs July2016'!AJ78,0)</f>
        <v>0</v>
      </c>
      <c r="O84" s="271">
        <f t="shared" si="6"/>
        <v>1104.8612999999998</v>
      </c>
      <c r="P84" s="59">
        <f t="shared" si="7"/>
        <v>1369.3037999999997</v>
      </c>
      <c r="Q84" s="272">
        <f t="shared" si="8"/>
        <v>1506.2341799999997</v>
      </c>
      <c r="R84" s="40">
        <f>'Tariffs July2016'!AM78</f>
        <v>0</v>
      </c>
      <c r="S84" s="40">
        <f>'Tariffs July2016'!AN78</f>
        <v>0</v>
      </c>
      <c r="T84" s="40">
        <f>'Tariffs July2016'!AO78</f>
        <v>0</v>
      </c>
      <c r="U84" s="40">
        <f>'Tariffs July2016'!AP78</f>
        <v>13</v>
      </c>
      <c r="V84" s="273">
        <f t="shared" si="9"/>
        <v>1369.3037999999997</v>
      </c>
      <c r="W84" s="273">
        <f>V84-(O84*U84/100)</f>
        <v>1225.6718309999997</v>
      </c>
      <c r="X84" s="272">
        <f t="shared" si="10"/>
        <v>1506.2341799999997</v>
      </c>
      <c r="Y84" s="272">
        <f t="shared" si="11"/>
        <v>1348.2390140999996</v>
      </c>
      <c r="Z84" s="274">
        <f>'Tariffs July2016'!AW78</f>
        <v>0</v>
      </c>
      <c r="AA84" s="274" t="str">
        <f>'Tariffs July2016'!AX78</f>
        <v>n</v>
      </c>
      <c r="AB84" s="275" t="str">
        <f>'Tariffs July2016'!BD78</f>
        <v>N</v>
      </c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</row>
    <row r="85" spans="1:40" x14ac:dyDescent="0.15">
      <c r="A85" s="270" t="str">
        <f>'Tariffs July2016'!F79</f>
        <v>Alinta Energy</v>
      </c>
      <c r="B85" s="40" t="str">
        <f>'Tariffs July2016'!D79</f>
        <v>Ausnet Central 1</v>
      </c>
      <c r="C85" s="40" t="str">
        <f>'Tariffs July2016'!G79</f>
        <v>Fair Deal</v>
      </c>
      <c r="D85" s="59">
        <f>365*'Tariffs July2016'!H79/100</f>
        <v>228.52650000000003</v>
      </c>
      <c r="E85" s="59">
        <f>IF($C$5*'Tariffs July2016'!AK79/'Tariffs July2016'!AI79&gt;='Tariffs July2016'!J79,( 'Tariffs July2016'!J79*'Tariffs July2016'!O79/100)* 'Tariffs July2016'!AI79,($C$5*'Tariffs July2016'!AK79/'Tariffs July2016'!AI79*'Tariffs July2016'!O79/100)* 'Tariffs July2016'!AI79)</f>
        <v>254.4</v>
      </c>
      <c r="F85" s="59">
        <f>IF($C$5*'Tariffs July2016'!AK79/'Tariffs July2016'!AI79&lt;'Tariffs July2016'!J79,0,IF($C$5*'Tariffs July2016'!AK79/'Tariffs July2016'!AI79&lt;='Tariffs July2016'!K79,($C$5*'Tariffs July2016'!AK79/'Tariffs July2016'!AI79-'Tariffs July2016'!J79)*('Tariffs July2016'!P79/100)*'Tariffs July2016'!AI79,('Tariffs July2016'!K79-'Tariffs July2016'!J79)*('Tariffs July2016'!P79/100)*'Tariffs July2016'!AI79))</f>
        <v>0</v>
      </c>
      <c r="G85" s="59">
        <f>IF($C$5*'Tariffs July2016'!AK79/'Tariffs July2016'!AI79&lt;'Tariffs July2016'!K79,0,IF($C$5*'Tariffs July2016'!AK79/'Tariffs July2016'!AI79&lt;='Tariffs July2016'!L79,($C$5*'Tariffs July2016'!AK79/'Tariffs July2016'!AI79-'Tariffs July2016'!K79)*('Tariffs July2016'!Q79/100)*'Tariffs July2016'!AI79,('Tariffs July2016'!L79-'Tariffs July2016'!K79)*('Tariffs July2016'!Q79/100)*'Tariffs July2016'!AI79))</f>
        <v>0</v>
      </c>
      <c r="H85" s="59">
        <f>IF($C$5*'Tariffs July2016'!AK79/'Tariffs July2016'!AI79&lt;'Tariffs July2016'!L79,0,IF($C$5*'Tariffs July2016'!AK79/'Tariffs July2016'!AI79&lt;='Tariffs July2016'!M79,($C$5*'Tariffs July2016'!AK79/'Tariffs July2016'!AI79-'Tariffs July2016'!L79)*('Tariffs July2016'!R79/100)*'Tariffs July2016'!AI79,('Tariffs July2016'!M79-'Tariffs July2016'!L79)*('Tariffs July2016'!R79/100)*'Tariffs July2016'!AI79))</f>
        <v>0</v>
      </c>
      <c r="I85" s="59">
        <f>IF(($C$5*'Tariffs July2016'!AK79/'Tariffs July2016'!AI79&gt;'Tariffs July2016'!M79),($C$5*'Tariffs July2016'!AK79/'Tariffs July2016'!AI79-'Tariffs July2016'!M79)*'Tariffs July2016'!S79/100*'Tariffs July2016'!AI79,0)</f>
        <v>149.36513999999997</v>
      </c>
      <c r="J85" s="59">
        <f>IF($C$5*'Tariffs July2016'!AL79/'Tariffs July2016'!AJ79&gt;='Tariffs July2016'!J79,('Tariffs July2016'!J79*'Tariffs July2016'!U79/100)* 'Tariffs July2016'!AJ79,($C$5*'Tariffs July2016'!AL79/'Tariffs July2016'!AJ79*'Tariffs July2016'!U79/100)* 'Tariffs July2016'!AJ79)</f>
        <v>484.8</v>
      </c>
      <c r="K85" s="59">
        <f>IF($C$5*'Tariffs July2016'!AL79/'Tariffs July2016'!AJ79&lt;'Tariffs July2016'!J79,0,IF($C$5*'Tariffs July2016'!AL79/'Tariffs July2016'!AJ79&lt;='Tariffs July2016'!K79,($C$5*'Tariffs July2016'!AL79/'Tariffs July2016'!AJ79-'Tariffs July2016'!J79)*('Tariffs July2016'!V79/100)*'Tariffs July2016'!AJ79,('Tariffs July2016'!K79-'Tariffs July2016'!J79)*('Tariffs July2016'!V79/100)*'Tariffs July2016'!AJ79))</f>
        <v>0</v>
      </c>
      <c r="L85" s="59">
        <f>IF($C$5*'Tariffs July2016'!AL79/'Tariffs July2016'!AJ79&lt;'Tariffs July2016'!K79,0,IF($C$5*'Tariffs July2016'!AL79/'Tariffs July2016'!AJ79&lt;='Tariffs July2016'!L79,($C$5*'Tariffs July2016'!AL79/'Tariffs July2016'!AJ79-'Tariffs July2016'!K79)*('Tariffs July2016'!W79/100)*'Tariffs July2016'!AJ79,('Tariffs July2016'!L79-'Tariffs July2016'!K79)*('Tariffs July2016'!W79/100)*'Tariffs July2016'!AJ79))</f>
        <v>0</v>
      </c>
      <c r="M85" s="59">
        <f>IF($C$5*'Tariffs July2016'!AL79/'Tariffs July2016'!AJ79&lt;'Tariffs July2016'!L79,0,IF($C$5*'Tariffs July2016'!AL79/'Tariffs July2016'!AJ79&lt;='Tariffs July2016'!M79,($C$5*'Tariffs July2016'!AL79/'Tariffs July2016'!AJ79-'Tariffs July2016'!L79)*('Tariffs July2016'!X79/100)*'Tariffs July2016'!AJ79,('Tariffs July2016'!M79-'Tariffs July2016'!L79)*('Tariffs July2016'!X79/100)*'Tariffs July2016'!AJ79))</f>
        <v>0</v>
      </c>
      <c r="N85" s="59">
        <f>IF(($C$5*'Tariffs July2016'!AL79/'Tariffs July2016'!AJ79&gt;'Tariffs July2016'!M79),($C$5*'Tariffs July2016'!AL79/'Tariffs July2016'!AJ79-'Tariffs July2016'!M79)*'Tariffs July2016'!Y79/100*'Tariffs July2016'!AJ79,0)</f>
        <v>278.93489999999997</v>
      </c>
      <c r="O85" s="271">
        <f t="shared" si="6"/>
        <v>1167.5000399999999</v>
      </c>
      <c r="P85" s="59">
        <f t="shared" si="7"/>
        <v>1396.0265399999998</v>
      </c>
      <c r="Q85" s="272">
        <f t="shared" si="8"/>
        <v>1535.6291939999999</v>
      </c>
      <c r="R85" s="40">
        <f>'Tariffs July2016'!AM79</f>
        <v>0</v>
      </c>
      <c r="S85" s="40">
        <f>'Tariffs July2016'!AN79</f>
        <v>0</v>
      </c>
      <c r="T85" s="40">
        <f>'Tariffs July2016'!AO79</f>
        <v>0</v>
      </c>
      <c r="U85" s="40">
        <f>'Tariffs July2016'!AP79</f>
        <v>15</v>
      </c>
      <c r="V85" s="273">
        <f t="shared" si="9"/>
        <v>1396.0265399999998</v>
      </c>
      <c r="W85" s="273">
        <f>V85-(O85*U85/100)</f>
        <v>1220.9015339999999</v>
      </c>
      <c r="X85" s="272">
        <f t="shared" si="10"/>
        <v>1535.6291939999999</v>
      </c>
      <c r="Y85" s="272">
        <f t="shared" si="11"/>
        <v>1342.9916874</v>
      </c>
      <c r="Z85" s="274">
        <f>'Tariffs July2016'!AW79</f>
        <v>0</v>
      </c>
      <c r="AA85" s="274" t="str">
        <f>'Tariffs July2016'!AX79</f>
        <v>n</v>
      </c>
      <c r="AB85" s="275" t="str">
        <f>'Tariffs July2016'!BD79</f>
        <v>Y</v>
      </c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</row>
    <row r="86" spans="1:40" x14ac:dyDescent="0.15">
      <c r="A86" s="270" t="str">
        <f>'Tariffs July2016'!F80</f>
        <v>Click Energy</v>
      </c>
      <c r="B86" s="40" t="str">
        <f>'Tariffs July2016'!D80</f>
        <v>Ausnet Central 1</v>
      </c>
      <c r="C86" s="40" t="str">
        <f>'Tariffs July2016'!G80</f>
        <v>Amber</v>
      </c>
      <c r="D86" s="59">
        <f>365*'Tariffs July2016'!H80/100</f>
        <v>242.72499999999999</v>
      </c>
      <c r="E86" s="59">
        <f>IF($C$5*'Tariffs July2016'!AK80/'Tariffs July2016'!AI80&gt;='Tariffs July2016'!J80,( 'Tariffs July2016'!J80*'Tariffs July2016'!O80/100)* 'Tariffs July2016'!AI80,($C$5*'Tariffs July2016'!AK80/'Tariffs July2016'!AI80*'Tariffs July2016'!O80/100)* 'Tariffs July2016'!AI80)</f>
        <v>275.99999999999994</v>
      </c>
      <c r="F86" s="59">
        <f>IF($C$5*'Tariffs July2016'!AK80/'Tariffs July2016'!AI80&lt;'Tariffs July2016'!J80,0,IF($C$5*'Tariffs July2016'!AK80/'Tariffs July2016'!AI80&lt;='Tariffs July2016'!K80,($C$5*'Tariffs July2016'!AK80/'Tariffs July2016'!AI80-'Tariffs July2016'!J80)*('Tariffs July2016'!P80/100)*'Tariffs July2016'!AI80,('Tariffs July2016'!K80-'Tariffs July2016'!J80)*('Tariffs July2016'!P80/100)*'Tariffs July2016'!AI80))</f>
        <v>202.45274999999995</v>
      </c>
      <c r="G86" s="59">
        <f>IF($C$5*'Tariffs July2016'!AK80/'Tariffs July2016'!AI80&lt;'Tariffs July2016'!K80,0,IF($C$5*'Tariffs July2016'!AK80/'Tariffs July2016'!AI80&lt;='Tariffs July2016'!L80,($C$5*'Tariffs July2016'!AK80/'Tariffs July2016'!AI80-'Tariffs July2016'!K80)*('Tariffs July2016'!Q80/100)*'Tariffs July2016'!AI80,('Tariffs July2016'!L80-'Tariffs July2016'!K80)*('Tariffs July2016'!Q80/100)*'Tariffs July2016'!AI80))</f>
        <v>0</v>
      </c>
      <c r="H86" s="59">
        <f>IF($C$5*'Tariffs July2016'!AK80/'Tariffs July2016'!AI80&lt;'Tariffs July2016'!L80,0,IF($C$5*'Tariffs July2016'!AK80/'Tariffs July2016'!AI80&lt;='Tariffs July2016'!M80,($C$5*'Tariffs July2016'!AK80/'Tariffs July2016'!AI80-'Tariffs July2016'!L80)*('Tariffs July2016'!R80/100)*'Tariffs July2016'!AI80,('Tariffs July2016'!M80-'Tariffs July2016'!L80)*('Tariffs July2016'!R80/100)*'Tariffs July2016'!AI80))</f>
        <v>0</v>
      </c>
      <c r="I86" s="59">
        <f>IF(($C$5*'Tariffs July2016'!AK80/'Tariffs July2016'!AI80&gt;'Tariffs July2016'!M80),($C$5*'Tariffs July2016'!AK80/'Tariffs July2016'!AI80-'Tariffs July2016'!M80)*'Tariffs July2016'!S80/100*'Tariffs July2016'!AI80,0)</f>
        <v>0</v>
      </c>
      <c r="J86" s="59">
        <f>IF($C$5*'Tariffs July2016'!AL80/'Tariffs July2016'!AJ80&gt;='Tariffs July2016'!J80,('Tariffs July2016'!J80*'Tariffs July2016'!U80/100)* 'Tariffs July2016'!AJ80,($C$5*'Tariffs July2016'!AL80/'Tariffs July2016'!AJ80*'Tariffs July2016'!U80/100)* 'Tariffs July2016'!AJ80)</f>
        <v>393.6</v>
      </c>
      <c r="K86" s="59">
        <f>IF($C$5*'Tariffs July2016'!AL80/'Tariffs July2016'!AJ80&lt;'Tariffs July2016'!J80,0,IF($C$5*'Tariffs July2016'!AL80/'Tariffs July2016'!AJ80&lt;='Tariffs July2016'!K80,($C$5*'Tariffs July2016'!AL80/'Tariffs July2016'!AJ80-'Tariffs July2016'!J80)*('Tariffs July2016'!V80/100)*'Tariffs July2016'!AJ80,('Tariffs July2016'!K80-'Tariffs July2016'!J80)*('Tariffs July2016'!V80/100)*'Tariffs July2016'!AJ80))</f>
        <v>278.93489999999991</v>
      </c>
      <c r="L86" s="59">
        <f>IF($C$5*'Tariffs July2016'!AL80/'Tariffs July2016'!AJ80&lt;'Tariffs July2016'!K80,0,IF($C$5*'Tariffs July2016'!AL80/'Tariffs July2016'!AJ80&lt;='Tariffs July2016'!L80,($C$5*'Tariffs July2016'!AL80/'Tariffs July2016'!AJ80-'Tariffs July2016'!K80)*('Tariffs July2016'!W80/100)*'Tariffs July2016'!AJ80,('Tariffs July2016'!L80-'Tariffs July2016'!K80)*('Tariffs July2016'!W80/100)*'Tariffs July2016'!AJ80))</f>
        <v>0</v>
      </c>
      <c r="M86" s="59">
        <f>IF($C$5*'Tariffs July2016'!AL80/'Tariffs July2016'!AJ80&lt;'Tariffs July2016'!L80,0,IF($C$5*'Tariffs July2016'!AL80/'Tariffs July2016'!AJ80&lt;='Tariffs July2016'!M80,($C$5*'Tariffs July2016'!AL80/'Tariffs July2016'!AJ80-'Tariffs July2016'!L80)*('Tariffs July2016'!X80/100)*'Tariffs July2016'!AJ80,('Tariffs July2016'!M80-'Tariffs July2016'!L80)*('Tariffs July2016'!X80/100)*'Tariffs July2016'!AJ80))</f>
        <v>0</v>
      </c>
      <c r="N86" s="59">
        <f>IF(($C$5*'Tariffs July2016'!AL80/'Tariffs July2016'!AJ80&gt;'Tariffs July2016'!M80),($C$5*'Tariffs July2016'!AL80/'Tariffs July2016'!AJ80-'Tariffs July2016'!M80)*'Tariffs July2016'!Y80/100*'Tariffs July2016'!AJ80,0)</f>
        <v>0</v>
      </c>
      <c r="O86" s="271">
        <f t="shared" si="6"/>
        <v>1150.9876499999998</v>
      </c>
      <c r="P86" s="59">
        <f t="shared" si="7"/>
        <v>1393.7126499999997</v>
      </c>
      <c r="Q86" s="272">
        <f t="shared" si="8"/>
        <v>1533.0839149999997</v>
      </c>
      <c r="R86" s="40">
        <f>'Tariffs July2016'!AM80</f>
        <v>0</v>
      </c>
      <c r="S86" s="40">
        <f>'Tariffs July2016'!AN80</f>
        <v>0</v>
      </c>
      <c r="T86" s="40">
        <f>'Tariffs July2016'!AO80</f>
        <v>14</v>
      </c>
      <c r="U86" s="40">
        <f>'Tariffs July2016'!AP80</f>
        <v>0</v>
      </c>
      <c r="V86" s="273">
        <f t="shared" si="9"/>
        <v>1393.7126499999997</v>
      </c>
      <c r="W86" s="273">
        <f>V86-(P86*T86/100)</f>
        <v>1198.5928789999998</v>
      </c>
      <c r="X86" s="272">
        <f t="shared" si="10"/>
        <v>1533.0839149999997</v>
      </c>
      <c r="Y86" s="272">
        <f t="shared" si="11"/>
        <v>1318.4521668999998</v>
      </c>
      <c r="Z86" s="274">
        <f>'Tariffs July2016'!AW80</f>
        <v>0</v>
      </c>
      <c r="AA86" s="274" t="str">
        <f>'Tariffs July2016'!AX80</f>
        <v>n</v>
      </c>
      <c r="AB86" s="275" t="str">
        <f>'Tariffs July2016'!BD80</f>
        <v>N</v>
      </c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</row>
    <row r="87" spans="1:40" x14ac:dyDescent="0.15">
      <c r="A87" s="270" t="str">
        <f>'Tariffs July2016'!F81</f>
        <v>Covau</v>
      </c>
      <c r="B87" s="40" t="str">
        <f>'Tariffs July2016'!D81</f>
        <v>Ausnet Central 1</v>
      </c>
      <c r="C87" s="40" t="str">
        <f>'Tariffs July2016'!G81</f>
        <v>Market offer</v>
      </c>
      <c r="D87" s="59">
        <f>365*'Tariffs July2016'!H81/100</f>
        <v>240.9</v>
      </c>
      <c r="E87" s="59">
        <f>IF($C$5*'Tariffs July2016'!AK81/'Tariffs July2016'!AI81&gt;='Tariffs July2016'!J81,( 'Tariffs July2016'!J81*'Tariffs July2016'!O81/100)* 'Tariffs July2016'!AI81,($C$5*'Tariffs July2016'!AK81/'Tariffs July2016'!AI81*'Tariffs July2016'!O81/100)* 'Tariffs July2016'!AI81)</f>
        <v>408.59999999999997</v>
      </c>
      <c r="F87" s="59">
        <f>IF($C$5*'Tariffs July2016'!AK81/'Tariffs July2016'!AI81&lt;'Tariffs July2016'!J81,0,IF($C$5*'Tariffs July2016'!AK81/'Tariffs July2016'!AI81&lt;='Tariffs July2016'!K81,($C$5*'Tariffs July2016'!AK81/'Tariffs July2016'!AI81-'Tariffs July2016'!J81)*('Tariffs July2016'!P81/100)*'Tariffs July2016'!AI81,('Tariffs July2016'!K81-'Tariffs July2016'!J81)*('Tariffs July2016'!P81/100)*'Tariffs July2016'!AI81))</f>
        <v>298.34999999999997</v>
      </c>
      <c r="G87" s="59">
        <f>IF($C$5*'Tariffs July2016'!AK81/'Tariffs July2016'!AI81&lt;'Tariffs July2016'!K81,0,IF($C$5*'Tariffs July2016'!AK81/'Tariffs July2016'!AI81&lt;='Tariffs July2016'!L81,($C$5*'Tariffs July2016'!AK81/'Tariffs July2016'!AI81-'Tariffs July2016'!K81)*('Tariffs July2016'!Q81/100)*'Tariffs July2016'!AI81,('Tariffs July2016'!L81-'Tariffs July2016'!K81)*('Tariffs July2016'!Q81/100)*'Tariffs July2016'!AI81))</f>
        <v>0</v>
      </c>
      <c r="H87" s="59">
        <f>IF($C$5*'Tariffs July2016'!AK81/'Tariffs July2016'!AI81&lt;'Tariffs July2016'!L81,0,IF($C$5*'Tariffs July2016'!AK81/'Tariffs July2016'!AI81&lt;='Tariffs July2016'!M81,($C$5*'Tariffs July2016'!AK81/'Tariffs July2016'!AI81-'Tariffs July2016'!L81)*('Tariffs July2016'!R81/100)*'Tariffs July2016'!AI81,('Tariffs July2016'!M81-'Tariffs July2016'!L81)*('Tariffs July2016'!R81/100)*'Tariffs July2016'!AI81))</f>
        <v>0</v>
      </c>
      <c r="I87" s="59">
        <f>IF(($C$5*'Tariffs July2016'!AK81/'Tariffs July2016'!AI81&gt;'Tariffs July2016'!M81),($C$5*'Tariffs July2016'!AK81/'Tariffs July2016'!AI81-'Tariffs July2016'!M81)*'Tariffs July2016'!S81/100*'Tariffs July2016'!AI81,0)</f>
        <v>0</v>
      </c>
      <c r="J87" s="59">
        <f>IF($C$5*'Tariffs July2016'!AL81/'Tariffs July2016'!AJ81&gt;='Tariffs July2016'!J81,('Tariffs July2016'!J81*'Tariffs July2016'!U81/100)* 'Tariffs July2016'!AJ81,($C$5*'Tariffs July2016'!AL81/'Tariffs July2016'!AJ81*'Tariffs July2016'!U81/100)* 'Tariffs July2016'!AJ81)</f>
        <v>253.79999999999998</v>
      </c>
      <c r="K87" s="59">
        <f>IF($C$5*'Tariffs July2016'!AL81/'Tariffs July2016'!AJ81&lt;'Tariffs July2016'!J81,0,IF($C$5*'Tariffs July2016'!AL81/'Tariffs July2016'!AJ81&lt;='Tariffs July2016'!K81,($C$5*'Tariffs July2016'!AL81/'Tariffs July2016'!AJ81-'Tariffs July2016'!J81)*('Tariffs July2016'!V81/100)*'Tariffs July2016'!AJ81,('Tariffs July2016'!K81-'Tariffs July2016'!J81)*('Tariffs July2016'!V81/100)*'Tariffs July2016'!AJ81))</f>
        <v>178.2</v>
      </c>
      <c r="L87" s="59">
        <f>IF($C$5*'Tariffs July2016'!AL81/'Tariffs July2016'!AJ81&lt;'Tariffs July2016'!K81,0,IF($C$5*'Tariffs July2016'!AL81/'Tariffs July2016'!AJ81&lt;='Tariffs July2016'!L81,($C$5*'Tariffs July2016'!AL81/'Tariffs July2016'!AJ81-'Tariffs July2016'!K81)*('Tariffs July2016'!W81/100)*'Tariffs July2016'!AJ81,('Tariffs July2016'!L81-'Tariffs July2016'!K81)*('Tariffs July2016'!W81/100)*'Tariffs July2016'!AJ81))</f>
        <v>0</v>
      </c>
      <c r="M87" s="59">
        <f>IF($C$5*'Tariffs July2016'!AL81/'Tariffs July2016'!AJ81&lt;'Tariffs July2016'!L81,0,IF($C$5*'Tariffs July2016'!AL81/'Tariffs July2016'!AJ81&lt;='Tariffs July2016'!M81,($C$5*'Tariffs July2016'!AL81/'Tariffs July2016'!AJ81-'Tariffs July2016'!L81)*('Tariffs July2016'!X81/100)*'Tariffs July2016'!AJ81,('Tariffs July2016'!M81-'Tariffs July2016'!L81)*('Tariffs July2016'!X81/100)*'Tariffs July2016'!AJ81))</f>
        <v>0</v>
      </c>
      <c r="N87" s="59">
        <f>IF(($C$5*'Tariffs July2016'!AL81/'Tariffs July2016'!AJ81&gt;'Tariffs July2016'!M81),($C$5*'Tariffs July2016'!AL81/'Tariffs July2016'!AJ81-'Tariffs July2016'!M81)*'Tariffs July2016'!Y81/100*'Tariffs July2016'!AJ81,0)</f>
        <v>0</v>
      </c>
      <c r="O87" s="271">
        <f t="shared" si="6"/>
        <v>1138.9499999999998</v>
      </c>
      <c r="P87" s="59">
        <f t="shared" si="7"/>
        <v>1379.85</v>
      </c>
      <c r="Q87" s="272">
        <f t="shared" si="8"/>
        <v>1517.835</v>
      </c>
      <c r="R87" s="40">
        <f>'Tariffs July2016'!AM81</f>
        <v>0</v>
      </c>
      <c r="S87" s="40">
        <f>'Tariffs July2016'!AN81</f>
        <v>0</v>
      </c>
      <c r="T87" s="40">
        <f>'Tariffs July2016'!AO81</f>
        <v>0</v>
      </c>
      <c r="U87" s="40">
        <f>'Tariffs July2016'!AP81</f>
        <v>12</v>
      </c>
      <c r="V87" s="273">
        <f t="shared" si="9"/>
        <v>1379.85</v>
      </c>
      <c r="W87" s="273">
        <f>V87-(O87*U87/100)</f>
        <v>1243.1759999999999</v>
      </c>
      <c r="X87" s="272">
        <f t="shared" si="10"/>
        <v>1517.835</v>
      </c>
      <c r="Y87" s="272">
        <f t="shared" si="11"/>
        <v>1367.4936</v>
      </c>
      <c r="Z87" s="274">
        <f>'Tariffs July2016'!AW81</f>
        <v>12</v>
      </c>
      <c r="AA87" s="274" t="str">
        <f>'Tariffs July2016'!AX81</f>
        <v>y</v>
      </c>
      <c r="AB87" s="275" t="str">
        <f>'Tariffs July2016'!BD81</f>
        <v>Y</v>
      </c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</row>
    <row r="88" spans="1:40" x14ac:dyDescent="0.15">
      <c r="A88" s="270" t="str">
        <f>'Tariffs July2016'!F82</f>
        <v>Dodo Power &amp; Gas</v>
      </c>
      <c r="B88" s="40" t="str">
        <f>'Tariffs July2016'!D82</f>
        <v>Ausnet Central 1</v>
      </c>
      <c r="C88" s="40" t="str">
        <f>'Tariffs July2016'!G82</f>
        <v>Market offer</v>
      </c>
      <c r="D88" s="59">
        <f>365*'Tariffs July2016'!H82/100</f>
        <v>200.71350000000001</v>
      </c>
      <c r="E88" s="59">
        <f>IF($C$5*'Tariffs July2016'!AK82/'Tariffs July2016'!AI82&gt;='Tariffs July2016'!J82,( 'Tariffs July2016'!J82*'Tariffs July2016'!O82/100)* 'Tariffs July2016'!AI82,($C$5*'Tariffs July2016'!AK82/'Tariffs July2016'!AI82*'Tariffs July2016'!O82/100)* 'Tariffs July2016'!AI82)</f>
        <v>133.76</v>
      </c>
      <c r="F88" s="59">
        <f>IF($C$5*'Tariffs July2016'!AK82/'Tariffs July2016'!AI82&lt;'Tariffs July2016'!J82,0,IF($C$5*'Tariffs July2016'!AK82/'Tariffs July2016'!AI82&lt;='Tariffs July2016'!K82,($C$5*'Tariffs July2016'!AK82/'Tariffs July2016'!AI82-'Tariffs July2016'!J82)*('Tariffs July2016'!P82/100)*'Tariffs July2016'!AI82,('Tariffs July2016'!K82-'Tariffs July2016'!J82)*('Tariffs July2016'!P82/100)*'Tariffs July2016'!AI82))</f>
        <v>0</v>
      </c>
      <c r="G88" s="59">
        <f>IF($C$5*'Tariffs July2016'!AK82/'Tariffs July2016'!AI82&lt;'Tariffs July2016'!K82,0,IF($C$5*'Tariffs July2016'!AK82/'Tariffs July2016'!AI82&lt;='Tariffs July2016'!L82,($C$5*'Tariffs July2016'!AK82/'Tariffs July2016'!AI82-'Tariffs July2016'!K82)*('Tariffs July2016'!Q82/100)*'Tariffs July2016'!AI82,('Tariffs July2016'!L82-'Tariffs July2016'!K82)*('Tariffs July2016'!Q82/100)*'Tariffs July2016'!AI82))</f>
        <v>0</v>
      </c>
      <c r="H88" s="59">
        <f>IF($C$5*'Tariffs July2016'!AK82/'Tariffs July2016'!AI82&lt;'Tariffs July2016'!L82,0,IF($C$5*'Tariffs July2016'!AK82/'Tariffs July2016'!AI82&lt;='Tariffs July2016'!M82,($C$5*'Tariffs July2016'!AK82/'Tariffs July2016'!AI82-'Tariffs July2016'!L82)*('Tariffs July2016'!R82/100)*'Tariffs July2016'!AI82,('Tariffs July2016'!M82-'Tariffs July2016'!L82)*('Tariffs July2016'!R82/100)*'Tariffs July2016'!AI82))</f>
        <v>0</v>
      </c>
      <c r="I88" s="59">
        <f>IF(($C$5*'Tariffs July2016'!AK82/'Tariffs July2016'!AI82&gt;'Tariffs July2016'!M82),($C$5*'Tariffs July2016'!AK82/'Tariffs July2016'!AI82-'Tariffs July2016'!M82)*'Tariffs July2016'!S82/100*'Tariffs July2016'!AI82,0)</f>
        <v>224.80765999999997</v>
      </c>
      <c r="J88" s="59">
        <f>IF($C$5*'Tariffs July2016'!AL82/'Tariffs July2016'!AJ82&gt;='Tariffs July2016'!J82,('Tariffs July2016'!J82*'Tariffs July2016'!U82/100)* 'Tariffs July2016'!AJ82,($C$5*'Tariffs July2016'!AL82/'Tariffs July2016'!AJ82*'Tariffs July2016'!U82/100)* 'Tariffs July2016'!AJ82)</f>
        <v>229.12</v>
      </c>
      <c r="K88" s="59">
        <f>IF($C$5*'Tariffs July2016'!AL82/'Tariffs July2016'!AJ82&lt;'Tariffs July2016'!J82,0,IF($C$5*'Tariffs July2016'!AL82/'Tariffs July2016'!AJ82&lt;='Tariffs July2016'!K82,($C$5*'Tariffs July2016'!AL82/'Tariffs July2016'!AJ82-'Tariffs July2016'!J82)*('Tariffs July2016'!V82/100)*'Tariffs July2016'!AJ82,('Tariffs July2016'!K82-'Tariffs July2016'!J82)*('Tariffs July2016'!V82/100)*'Tariffs July2016'!AJ82))</f>
        <v>0</v>
      </c>
      <c r="L88" s="59">
        <f>IF($C$5*'Tariffs July2016'!AL82/'Tariffs July2016'!AJ82&lt;'Tariffs July2016'!K82,0,IF($C$5*'Tariffs July2016'!AL82/'Tariffs July2016'!AJ82&lt;='Tariffs July2016'!L82,($C$5*'Tariffs July2016'!AL82/'Tariffs July2016'!AJ82-'Tariffs July2016'!K82)*('Tariffs July2016'!W82/100)*'Tariffs July2016'!AJ82,('Tariffs July2016'!L82-'Tariffs July2016'!K82)*('Tariffs July2016'!W82/100)*'Tariffs July2016'!AJ82))</f>
        <v>0</v>
      </c>
      <c r="M88" s="59">
        <f>IF($C$5*'Tariffs July2016'!AL82/'Tariffs July2016'!AJ82&lt;'Tariffs July2016'!L82,0,IF($C$5*'Tariffs July2016'!AL82/'Tariffs July2016'!AJ82&lt;='Tariffs July2016'!M82,($C$5*'Tariffs July2016'!AL82/'Tariffs July2016'!AJ82-'Tariffs July2016'!L82)*('Tariffs July2016'!X82/100)*'Tariffs July2016'!AJ82,('Tariffs July2016'!M82-'Tariffs July2016'!L82)*('Tariffs July2016'!X82/100)*'Tariffs July2016'!AJ82))</f>
        <v>0</v>
      </c>
      <c r="N88" s="59">
        <f>IF(($C$5*'Tariffs July2016'!AL82/'Tariffs July2016'!AJ82&gt;'Tariffs July2016'!M82),($C$5*'Tariffs July2016'!AL82/'Tariffs July2016'!AJ82-'Tariffs July2016'!M82)*'Tariffs July2016'!Y82/100*'Tariffs July2016'!AJ82,0)</f>
        <v>464.21321999999992</v>
      </c>
      <c r="O88" s="271">
        <f t="shared" si="6"/>
        <v>1051.9008799999999</v>
      </c>
      <c r="P88" s="59">
        <f t="shared" si="7"/>
        <v>1252.61438</v>
      </c>
      <c r="Q88" s="272">
        <f t="shared" si="8"/>
        <v>1377.875818</v>
      </c>
      <c r="R88" s="40">
        <f>'Tariffs July2016'!AM82</f>
        <v>0</v>
      </c>
      <c r="S88" s="40">
        <f>'Tariffs July2016'!AN82</f>
        <v>0</v>
      </c>
      <c r="T88" s="40">
        <f>'Tariffs July2016'!AO82</f>
        <v>0</v>
      </c>
      <c r="U88" s="40">
        <f>'Tariffs July2016'!AP82</f>
        <v>0</v>
      </c>
      <c r="V88" s="273">
        <f t="shared" si="9"/>
        <v>1252.61438</v>
      </c>
      <c r="W88" s="273">
        <f>V88-(O88*U88/100)</f>
        <v>1252.61438</v>
      </c>
      <c r="X88" s="272">
        <f t="shared" si="10"/>
        <v>1377.875818</v>
      </c>
      <c r="Y88" s="272">
        <f t="shared" si="11"/>
        <v>1377.875818</v>
      </c>
      <c r="Z88" s="274">
        <f>'Tariffs July2016'!AW82</f>
        <v>0</v>
      </c>
      <c r="AA88" s="274" t="str">
        <f>'Tariffs July2016'!AX82</f>
        <v>n</v>
      </c>
      <c r="AB88" s="275" t="str">
        <f>'Tariffs July2016'!BD82</f>
        <v>Y</v>
      </c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</row>
    <row r="89" spans="1:40" x14ac:dyDescent="0.15">
      <c r="A89" s="270" t="str">
        <f>'Tariffs July2016'!F83</f>
        <v>EnergyAustralia</v>
      </c>
      <c r="B89" s="40" t="str">
        <f>'Tariffs July2016'!D83</f>
        <v>Ausnet Central 1</v>
      </c>
      <c r="C89" s="40" t="str">
        <f>'Tariffs July2016'!G83</f>
        <v xml:space="preserve">Flexi Saver </v>
      </c>
      <c r="D89" s="59">
        <f>365*'Tariffs July2016'!H83/100</f>
        <v>257.32499999999999</v>
      </c>
      <c r="E89" s="59">
        <f>IF($C$5*'Tariffs July2016'!AK83/'Tariffs July2016'!AI83&gt;='Tariffs July2016'!J83,( 'Tariffs July2016'!J83*'Tariffs July2016'!O83/100)* 'Tariffs July2016'!AI83,($C$5*'Tariffs July2016'!AK83/'Tariffs July2016'!AI83*'Tariffs July2016'!O83/100)* 'Tariffs July2016'!AI83)</f>
        <v>291.60000000000002</v>
      </c>
      <c r="F89" s="59">
        <f>IF($C$5*'Tariffs July2016'!AK83/'Tariffs July2016'!AI83&lt;'Tariffs July2016'!J83,0,IF($C$5*'Tariffs July2016'!AK83/'Tariffs July2016'!AI83&lt;='Tariffs July2016'!K83,($C$5*'Tariffs July2016'!AK83/'Tariffs July2016'!AI83-'Tariffs July2016'!J83)*('Tariffs July2016'!P83/100)*'Tariffs July2016'!AI83,('Tariffs July2016'!K83-'Tariffs July2016'!J83)*('Tariffs July2016'!P83/100)*'Tariffs July2016'!AI83))</f>
        <v>197.95379999999997</v>
      </c>
      <c r="G89" s="59">
        <f>IF($C$5*'Tariffs July2016'!AK83/'Tariffs July2016'!AI83&lt;'Tariffs July2016'!K83,0,IF($C$5*'Tariffs July2016'!AK83/'Tariffs July2016'!AI83&lt;='Tariffs July2016'!L83,($C$5*'Tariffs July2016'!AK83/'Tariffs July2016'!AI83-'Tariffs July2016'!K83)*('Tariffs July2016'!Q83/100)*'Tariffs July2016'!AI83,('Tariffs July2016'!L83-'Tariffs July2016'!K83)*('Tariffs July2016'!Q83/100)*'Tariffs July2016'!AI83))</f>
        <v>0</v>
      </c>
      <c r="H89" s="59">
        <f>IF($C$5*'Tariffs July2016'!AK83/'Tariffs July2016'!AI83&lt;'Tariffs July2016'!L83,0,IF($C$5*'Tariffs July2016'!AK83/'Tariffs July2016'!AI83&lt;='Tariffs July2016'!M83,($C$5*'Tariffs July2016'!AK83/'Tariffs July2016'!AI83-'Tariffs July2016'!L83)*('Tariffs July2016'!R83/100)*'Tariffs July2016'!AI83,('Tariffs July2016'!M83-'Tariffs July2016'!L83)*('Tariffs July2016'!R83/100)*'Tariffs July2016'!AI83))</f>
        <v>0</v>
      </c>
      <c r="I89" s="59">
        <f>IF(($C$5*'Tariffs July2016'!AK83/'Tariffs July2016'!AI83&gt;'Tariffs July2016'!M83),($C$5*'Tariffs July2016'!AK83/'Tariffs July2016'!AI83-'Tariffs July2016'!M83)*'Tariffs July2016'!S83/100*'Tariffs July2016'!AI83,0)</f>
        <v>0</v>
      </c>
      <c r="J89" s="59">
        <f>IF($C$5*'Tariffs July2016'!AL83/'Tariffs July2016'!AJ83&gt;='Tariffs July2016'!J83,('Tariffs July2016'!J83*'Tariffs July2016'!U83/100)* 'Tariffs July2016'!AJ83,($C$5*'Tariffs July2016'!AL83/'Tariffs July2016'!AJ83*'Tariffs July2016'!U83/100)* 'Tariffs July2016'!AJ83)</f>
        <v>412.8</v>
      </c>
      <c r="K89" s="59">
        <f>IF($C$5*'Tariffs July2016'!AL83/'Tariffs July2016'!AJ83&lt;'Tariffs July2016'!J83,0,IF($C$5*'Tariffs July2016'!AL83/'Tariffs July2016'!AJ83&lt;='Tariffs July2016'!K83,($C$5*'Tariffs July2016'!AL83/'Tariffs July2016'!AJ83-'Tariffs July2016'!J83)*('Tariffs July2016'!V83/100)*'Tariffs July2016'!AJ83,('Tariffs July2016'!K83-'Tariffs July2016'!J83)*('Tariffs July2016'!V83/100)*'Tariffs July2016'!AJ83))</f>
        <v>266.33783999999997</v>
      </c>
      <c r="L89" s="59">
        <f>IF($C$5*'Tariffs July2016'!AL83/'Tariffs July2016'!AJ83&lt;'Tariffs July2016'!K83,0,IF($C$5*'Tariffs July2016'!AL83/'Tariffs July2016'!AJ83&lt;='Tariffs July2016'!L83,($C$5*'Tariffs July2016'!AL83/'Tariffs July2016'!AJ83-'Tariffs July2016'!K83)*('Tariffs July2016'!W83/100)*'Tariffs July2016'!AJ83,('Tariffs July2016'!L83-'Tariffs July2016'!K83)*('Tariffs July2016'!W83/100)*'Tariffs July2016'!AJ83))</f>
        <v>0</v>
      </c>
      <c r="M89" s="59">
        <f>IF($C$5*'Tariffs July2016'!AL83/'Tariffs July2016'!AJ83&lt;'Tariffs July2016'!L83,0,IF($C$5*'Tariffs July2016'!AL83/'Tariffs July2016'!AJ83&lt;='Tariffs July2016'!M83,($C$5*'Tariffs July2016'!AL83/'Tariffs July2016'!AJ83-'Tariffs July2016'!L83)*('Tariffs July2016'!X83/100)*'Tariffs July2016'!AJ83,('Tariffs July2016'!M83-'Tariffs July2016'!L83)*('Tariffs July2016'!X83/100)*'Tariffs July2016'!AJ83))</f>
        <v>0</v>
      </c>
      <c r="N89" s="59">
        <f>IF(($C$5*'Tariffs July2016'!AL83/'Tariffs July2016'!AJ83&gt;'Tariffs July2016'!M83),($C$5*'Tariffs July2016'!AL83/'Tariffs July2016'!AJ83-'Tariffs July2016'!M83)*'Tariffs July2016'!Y83/100*'Tariffs July2016'!AJ83,0)</f>
        <v>0</v>
      </c>
      <c r="O89" s="271">
        <f t="shared" si="6"/>
        <v>1168.69164</v>
      </c>
      <c r="P89" s="59">
        <f t="shared" si="7"/>
        <v>1426.0166400000001</v>
      </c>
      <c r="Q89" s="272">
        <f t="shared" si="8"/>
        <v>1568.6183040000001</v>
      </c>
      <c r="R89" s="40">
        <f>'Tariffs July2016'!AM83</f>
        <v>0</v>
      </c>
      <c r="S89" s="40">
        <f>'Tariffs July2016'!AN83</f>
        <v>0</v>
      </c>
      <c r="T89" s="40">
        <f>'Tariffs July2016'!AO83</f>
        <v>0</v>
      </c>
      <c r="U89" s="40">
        <f>'Tariffs July2016'!AP83</f>
        <v>16</v>
      </c>
      <c r="V89" s="273">
        <f t="shared" si="9"/>
        <v>1426.0166400000001</v>
      </c>
      <c r="W89" s="273">
        <f>V89-(O89*U89/100)</f>
        <v>1239.0259776</v>
      </c>
      <c r="X89" s="272">
        <f t="shared" si="10"/>
        <v>1568.6183040000001</v>
      </c>
      <c r="Y89" s="272">
        <f t="shared" si="11"/>
        <v>1362.9285753600002</v>
      </c>
      <c r="Z89" s="274">
        <f>'Tariffs July2016'!AW83</f>
        <v>0</v>
      </c>
      <c r="AA89" s="274" t="str">
        <f>'Tariffs July2016'!AX83</f>
        <v>n</v>
      </c>
      <c r="AB89" s="275" t="str">
        <f>'Tariffs July2016'!BD83</f>
        <v>N</v>
      </c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</row>
    <row r="90" spans="1:40" x14ac:dyDescent="0.15">
      <c r="A90" s="270" t="str">
        <f>'Tariffs July2016'!F84</f>
        <v>Lumo Energy</v>
      </c>
      <c r="B90" s="40" t="str">
        <f>'Tariffs July2016'!D84</f>
        <v>Ausnet Central 1</v>
      </c>
      <c r="C90" s="40" t="str">
        <f>'Tariffs July2016'!G84</f>
        <v>Advantage</v>
      </c>
      <c r="D90" s="59">
        <f>365*'Tariffs July2016'!H84/100</f>
        <v>234.51249999999999</v>
      </c>
      <c r="E90" s="59">
        <f>IF($C$5*'Tariffs July2016'!AK84/'Tariffs July2016'!AI84&gt;='Tariffs July2016'!J84,( 'Tariffs July2016'!J84*'Tariffs July2016'!O84/100)* 'Tariffs July2016'!AI84,($C$5*'Tariffs July2016'!AK84/'Tariffs July2016'!AI84*'Tariffs July2016'!O84/100)* 'Tariffs July2016'!AI84)</f>
        <v>272.88</v>
      </c>
      <c r="F90" s="59">
        <f>IF($C$5*'Tariffs July2016'!AK84/'Tariffs July2016'!AI84&lt;'Tariffs July2016'!J84,0,IF($C$5*'Tariffs July2016'!AK84/'Tariffs July2016'!AI84&lt;='Tariffs July2016'!K84,($C$5*'Tariffs July2016'!AK84/'Tariffs July2016'!AI84-'Tariffs July2016'!J84)*('Tariffs July2016'!P84/100)*'Tariffs July2016'!AI84,('Tariffs July2016'!K84-'Tariffs July2016'!J84)*('Tariffs July2016'!P84/100)*'Tariffs July2016'!AI84))</f>
        <v>200.11329599999996</v>
      </c>
      <c r="G90" s="59">
        <f>IF($C$5*'Tariffs July2016'!AK84/'Tariffs July2016'!AI84&lt;'Tariffs July2016'!K84,0,IF($C$5*'Tariffs July2016'!AK84/'Tariffs July2016'!AI84&lt;='Tariffs July2016'!L84,($C$5*'Tariffs July2016'!AK84/'Tariffs July2016'!AI84-'Tariffs July2016'!K84)*('Tariffs July2016'!Q84/100)*'Tariffs July2016'!AI84,('Tariffs July2016'!L84-'Tariffs July2016'!K84)*('Tariffs July2016'!Q84/100)*'Tariffs July2016'!AI84))</f>
        <v>0</v>
      </c>
      <c r="H90" s="59">
        <f>IF($C$5*'Tariffs July2016'!AK84/'Tariffs July2016'!AI84&lt;'Tariffs July2016'!L84,0,IF($C$5*'Tariffs July2016'!AK84/'Tariffs July2016'!AI84&lt;='Tariffs July2016'!M84,($C$5*'Tariffs July2016'!AK84/'Tariffs July2016'!AI84-'Tariffs July2016'!L84)*('Tariffs July2016'!R84/100)*'Tariffs July2016'!AI84,('Tariffs July2016'!M84-'Tariffs July2016'!L84)*('Tariffs July2016'!R84/100)*'Tariffs July2016'!AI84))</f>
        <v>0</v>
      </c>
      <c r="I90" s="59">
        <f>IF(($C$5*'Tariffs July2016'!AK84/'Tariffs July2016'!AI84&gt;'Tariffs July2016'!M84),($C$5*'Tariffs July2016'!AK84/'Tariffs July2016'!AI84-'Tariffs July2016'!M84)*'Tariffs July2016'!S84/100*'Tariffs July2016'!AI84,0)</f>
        <v>0</v>
      </c>
      <c r="J90" s="59">
        <f>IF($C$5*'Tariffs July2016'!AL84/'Tariffs July2016'!AJ84&gt;='Tariffs July2016'!J84,('Tariffs July2016'!J84*'Tariffs July2016'!U84/100)* 'Tariffs July2016'!AJ84,($C$5*'Tariffs July2016'!AL84/'Tariffs July2016'!AJ84*'Tariffs July2016'!U84/100)* 'Tariffs July2016'!AJ84)</f>
        <v>397.92</v>
      </c>
      <c r="K90" s="59">
        <f>IF($C$5*'Tariffs July2016'!AL84/'Tariffs July2016'!AJ84&lt;'Tariffs July2016'!J84,0,IF($C$5*'Tariffs July2016'!AL84/'Tariffs July2016'!AJ84&lt;='Tariffs July2016'!K84,($C$5*'Tariffs July2016'!AL84/'Tariffs July2016'!AJ84-'Tariffs July2016'!J84)*('Tariffs July2016'!V84/100)*'Tariffs July2016'!AJ84,('Tariffs July2016'!K84-'Tariffs July2016'!J84)*('Tariffs July2016'!V84/100)*'Tariffs July2016'!AJ84))</f>
        <v>284.87351399999994</v>
      </c>
      <c r="L90" s="59">
        <f>IF($C$5*'Tariffs July2016'!AL84/'Tariffs July2016'!AJ84&lt;'Tariffs July2016'!K84,0,IF($C$5*'Tariffs July2016'!AL84/'Tariffs July2016'!AJ84&lt;='Tariffs July2016'!L84,($C$5*'Tariffs July2016'!AL84/'Tariffs July2016'!AJ84-'Tariffs July2016'!K84)*('Tariffs July2016'!W84/100)*'Tariffs July2016'!AJ84,('Tariffs July2016'!L84-'Tariffs July2016'!K84)*('Tariffs July2016'!W84/100)*'Tariffs July2016'!AJ84))</f>
        <v>0</v>
      </c>
      <c r="M90" s="59">
        <f>IF($C$5*'Tariffs July2016'!AL84/'Tariffs July2016'!AJ84&lt;'Tariffs July2016'!L84,0,IF($C$5*'Tariffs July2016'!AL84/'Tariffs July2016'!AJ84&lt;='Tariffs July2016'!M84,($C$5*'Tariffs July2016'!AL84/'Tariffs July2016'!AJ84-'Tariffs July2016'!L84)*('Tariffs July2016'!X84/100)*'Tariffs July2016'!AJ84,('Tariffs July2016'!M84-'Tariffs July2016'!L84)*('Tariffs July2016'!X84/100)*'Tariffs July2016'!AJ84))</f>
        <v>0</v>
      </c>
      <c r="N90" s="59">
        <f>IF(($C$5*'Tariffs July2016'!AL84/'Tariffs July2016'!AJ84&gt;'Tariffs July2016'!M84),($C$5*'Tariffs July2016'!AL84/'Tariffs July2016'!AJ84-'Tariffs July2016'!M84)*'Tariffs July2016'!Y84/100*'Tariffs July2016'!AJ84,0)</f>
        <v>0</v>
      </c>
      <c r="O90" s="271">
        <f t="shared" si="6"/>
        <v>1155.7868099999998</v>
      </c>
      <c r="P90" s="59">
        <f t="shared" si="7"/>
        <v>1390.2993099999999</v>
      </c>
      <c r="Q90" s="272">
        <f t="shared" si="8"/>
        <v>1529.3292409999999</v>
      </c>
      <c r="R90" s="40">
        <f>'Tariffs July2016'!AM84</f>
        <v>0</v>
      </c>
      <c r="S90" s="40">
        <f>'Tariffs July2016'!AN84</f>
        <v>0</v>
      </c>
      <c r="T90" s="40">
        <f>'Tariffs July2016'!AO84</f>
        <v>15</v>
      </c>
      <c r="U90" s="40">
        <f>'Tariffs July2016'!AP84</f>
        <v>0</v>
      </c>
      <c r="V90" s="273">
        <f t="shared" si="9"/>
        <v>1390.2993099999999</v>
      </c>
      <c r="W90" s="273">
        <f>V90-(P90*T90/100)</f>
        <v>1181.7544134999998</v>
      </c>
      <c r="X90" s="272">
        <f t="shared" si="10"/>
        <v>1529.3292409999999</v>
      </c>
      <c r="Y90" s="272">
        <f t="shared" si="11"/>
        <v>1299.9298548499999</v>
      </c>
      <c r="Z90" s="274">
        <f>'Tariffs July2016'!AW84</f>
        <v>24</v>
      </c>
      <c r="AA90" s="274" t="str">
        <f>'Tariffs July2016'!AX84</f>
        <v>n</v>
      </c>
      <c r="AB90" s="275" t="str">
        <f>'Tariffs July2016'!BD84</f>
        <v>Y</v>
      </c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</row>
    <row r="91" spans="1:40" x14ac:dyDescent="0.15">
      <c r="A91" s="270" t="str">
        <f>'Tariffs July2016'!F85</f>
        <v>Momentum Energy</v>
      </c>
      <c r="B91" s="40" t="str">
        <f>'Tariffs July2016'!D85</f>
        <v>Ausnet Central 1</v>
      </c>
      <c r="C91" s="40" t="str">
        <f>'Tariffs July2016'!G85</f>
        <v>Market offer</v>
      </c>
      <c r="D91" s="59">
        <f>365*'Tariffs July2016'!H85/100</f>
        <v>231.11799999999999</v>
      </c>
      <c r="E91" s="59">
        <f>IF($C$5*'Tariffs July2016'!AK85/'Tariffs July2016'!AI85&gt;='Tariffs July2016'!J85,( 'Tariffs July2016'!J85*'Tariffs July2016'!O85/100)* 'Tariffs July2016'!AI85,($C$5*'Tariffs July2016'!AK85/'Tariffs July2016'!AI85*'Tariffs July2016'!O85/100)* 'Tariffs July2016'!AI85)</f>
        <v>209.28</v>
      </c>
      <c r="F91" s="59">
        <f>IF($C$5*'Tariffs July2016'!AK85/'Tariffs July2016'!AI85&lt;'Tariffs July2016'!J85,0,IF($C$5*'Tariffs July2016'!AK85/'Tariffs July2016'!AI85&lt;='Tariffs July2016'!K85,($C$5*'Tariffs July2016'!AK85/'Tariffs July2016'!AI85-'Tariffs July2016'!J85)*('Tariffs July2016'!P85/100)*'Tariffs July2016'!AI85,('Tariffs July2016'!K85-'Tariffs July2016'!J85)*('Tariffs July2016'!P85/100)*'Tariffs July2016'!AI85))</f>
        <v>156.74341799999996</v>
      </c>
      <c r="G91" s="59">
        <f>IF($C$5*'Tariffs July2016'!AK85/'Tariffs July2016'!AI85&lt;'Tariffs July2016'!K85,0,IF($C$5*'Tariffs July2016'!AK85/'Tariffs July2016'!AI85&lt;='Tariffs July2016'!L85,($C$5*'Tariffs July2016'!AK85/'Tariffs July2016'!AI85-'Tariffs July2016'!K85)*('Tariffs July2016'!Q85/100)*'Tariffs July2016'!AI85,('Tariffs July2016'!L85-'Tariffs July2016'!K85)*('Tariffs July2016'!Q85/100)*'Tariffs July2016'!AI85))</f>
        <v>0</v>
      </c>
      <c r="H91" s="59">
        <f>IF($C$5*'Tariffs July2016'!AK85/'Tariffs July2016'!AI85&lt;'Tariffs July2016'!L85,0,IF($C$5*'Tariffs July2016'!AK85/'Tariffs July2016'!AI85&lt;='Tariffs July2016'!M85,($C$5*'Tariffs July2016'!AK85/'Tariffs July2016'!AI85-'Tariffs July2016'!L85)*('Tariffs July2016'!R85/100)*'Tariffs July2016'!AI85,('Tariffs July2016'!M85-'Tariffs July2016'!L85)*('Tariffs July2016'!R85/100)*'Tariffs July2016'!AI85))</f>
        <v>0</v>
      </c>
      <c r="I91" s="59">
        <f>IF(($C$5*'Tariffs July2016'!AK85/'Tariffs July2016'!AI85&gt;'Tariffs July2016'!M85),($C$5*'Tariffs July2016'!AK85/'Tariffs July2016'!AI85-'Tariffs July2016'!M85)*'Tariffs July2016'!S85/100*'Tariffs July2016'!AI85,0)</f>
        <v>0</v>
      </c>
      <c r="J91" s="59">
        <f>IF($C$5*'Tariffs July2016'!AL85/'Tariffs July2016'!AJ85&gt;='Tariffs July2016'!J85,('Tariffs July2016'!J85*'Tariffs July2016'!U85/100)* 'Tariffs July2016'!AJ85,($C$5*'Tariffs July2016'!AL85/'Tariffs July2016'!AJ85*'Tariffs July2016'!U85/100)* 'Tariffs July2016'!AJ85)</f>
        <v>290.16000000000003</v>
      </c>
      <c r="K91" s="59">
        <f>IF($C$5*'Tariffs July2016'!AL85/'Tariffs July2016'!AJ85&lt;'Tariffs July2016'!J85,0,IF($C$5*'Tariffs July2016'!AL85/'Tariffs July2016'!AJ85&lt;='Tariffs July2016'!K85,($C$5*'Tariffs July2016'!AL85/'Tariffs July2016'!AJ85-'Tariffs July2016'!J85)*('Tariffs July2016'!V85/100)*'Tariffs July2016'!AJ85,('Tariffs July2016'!K85-'Tariffs July2016'!J85)*('Tariffs July2016'!V85/100)*'Tariffs July2016'!AJ85))</f>
        <v>213.79010399999996</v>
      </c>
      <c r="L91" s="59">
        <f>IF($C$5*'Tariffs July2016'!AL85/'Tariffs July2016'!AJ85&lt;'Tariffs July2016'!K85,0,IF($C$5*'Tariffs July2016'!AL85/'Tariffs July2016'!AJ85&lt;='Tariffs July2016'!L85,($C$5*'Tariffs July2016'!AL85/'Tariffs July2016'!AJ85-'Tariffs July2016'!K85)*('Tariffs July2016'!W85/100)*'Tariffs July2016'!AJ85,('Tariffs July2016'!L85-'Tariffs July2016'!K85)*('Tariffs July2016'!W85/100)*'Tariffs July2016'!AJ85))</f>
        <v>0</v>
      </c>
      <c r="M91" s="59">
        <f>IF($C$5*'Tariffs July2016'!AL85/'Tariffs July2016'!AJ85&lt;'Tariffs July2016'!L85,0,IF($C$5*'Tariffs July2016'!AL85/'Tariffs July2016'!AJ85&lt;='Tariffs July2016'!M85,($C$5*'Tariffs July2016'!AL85/'Tariffs July2016'!AJ85-'Tariffs July2016'!L85)*('Tariffs July2016'!X85/100)*'Tariffs July2016'!AJ85,('Tariffs July2016'!M85-'Tariffs July2016'!L85)*('Tariffs July2016'!X85/100)*'Tariffs July2016'!AJ85))</f>
        <v>0</v>
      </c>
      <c r="N91" s="59">
        <f>IF(($C$5*'Tariffs July2016'!AL85/'Tariffs July2016'!AJ85&gt;'Tariffs July2016'!M85),($C$5*'Tariffs July2016'!AL85/'Tariffs July2016'!AJ85-'Tariffs July2016'!M85)*'Tariffs July2016'!Y85/100*'Tariffs July2016'!AJ85,0)</f>
        <v>0</v>
      </c>
      <c r="O91" s="271">
        <f t="shared" si="6"/>
        <v>869.973522</v>
      </c>
      <c r="P91" s="59">
        <f t="shared" si="7"/>
        <v>1101.0915219999999</v>
      </c>
      <c r="Q91" s="272">
        <f t="shared" si="8"/>
        <v>1211.2006742000001</v>
      </c>
      <c r="R91" s="40">
        <f>'Tariffs July2016'!AM85</f>
        <v>0</v>
      </c>
      <c r="S91" s="40">
        <f>'Tariffs July2016'!AN85</f>
        <v>0</v>
      </c>
      <c r="T91" s="40">
        <f>'Tariffs July2016'!AO85</f>
        <v>0</v>
      </c>
      <c r="U91" s="40">
        <f>'Tariffs July2016'!AP85</f>
        <v>0</v>
      </c>
      <c r="V91" s="273">
        <f t="shared" si="9"/>
        <v>1101.0915219999999</v>
      </c>
      <c r="W91" s="273">
        <f>V91</f>
        <v>1101.0915219999999</v>
      </c>
      <c r="X91" s="272">
        <f t="shared" si="10"/>
        <v>1211.2006742000001</v>
      </c>
      <c r="Y91" s="272">
        <f t="shared" si="11"/>
        <v>1211.2006742000001</v>
      </c>
      <c r="Z91" s="274">
        <f>'Tariffs July2016'!AW85</f>
        <v>0</v>
      </c>
      <c r="AA91" s="274" t="str">
        <f>'Tariffs July2016'!AX85</f>
        <v>n</v>
      </c>
      <c r="AB91" s="275" t="str">
        <f>'Tariffs July2016'!BD85</f>
        <v>Y</v>
      </c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</row>
    <row r="92" spans="1:40" x14ac:dyDescent="0.15">
      <c r="A92" s="270" t="str">
        <f>'Tariffs July2016'!F86</f>
        <v>Origin Energy</v>
      </c>
      <c r="B92" s="40" t="str">
        <f>'Tariffs July2016'!D86</f>
        <v>Ausnet Central 1</v>
      </c>
      <c r="C92" s="40" t="str">
        <f>'Tariffs July2016'!G86</f>
        <v>Saver</v>
      </c>
      <c r="D92" s="59">
        <f>365*'Tariffs July2016'!H86/100</f>
        <v>225.35100000000003</v>
      </c>
      <c r="E92" s="59">
        <f>IF($C$5*'Tariffs July2016'!AK86/'Tariffs July2016'!AI86&gt;='Tariffs July2016'!J86,( 'Tariffs July2016'!J86*'Tariffs July2016'!O86/100)* 'Tariffs July2016'!AI86,($C$5*'Tariffs July2016'!AK86/'Tariffs July2016'!AI86*'Tariffs July2016'!O86/100)* 'Tariffs July2016'!AI86)</f>
        <v>163.19999999999999</v>
      </c>
      <c r="F92" s="59">
        <f>IF($C$5*'Tariffs July2016'!AK86/'Tariffs July2016'!AI86&lt;'Tariffs July2016'!J86,0,IF($C$5*'Tariffs July2016'!AK86/'Tariffs July2016'!AI86&lt;='Tariffs July2016'!K86,($C$5*'Tariffs July2016'!AK86/'Tariffs July2016'!AI86-'Tariffs July2016'!J86)*('Tariffs July2016'!P86/100)*'Tariffs July2016'!AI86,('Tariffs July2016'!K86-'Tariffs July2016'!J86)*('Tariffs July2016'!P86/100)*'Tariffs July2016'!AI86))</f>
        <v>0</v>
      </c>
      <c r="G92" s="59">
        <f>IF($C$5*'Tariffs July2016'!AK86/'Tariffs July2016'!AI86&lt;'Tariffs July2016'!K86,0,IF($C$5*'Tariffs July2016'!AK86/'Tariffs July2016'!AI86&lt;='Tariffs July2016'!L86,($C$5*'Tariffs July2016'!AK86/'Tariffs July2016'!AI86-'Tariffs July2016'!K86)*('Tariffs July2016'!Q86/100)*'Tariffs July2016'!AI86,('Tariffs July2016'!L86-'Tariffs July2016'!K86)*('Tariffs July2016'!Q86/100)*'Tariffs July2016'!AI86))</f>
        <v>0</v>
      </c>
      <c r="H92" s="59">
        <f>IF($C$5*'Tariffs July2016'!AK86/'Tariffs July2016'!AI86&lt;'Tariffs July2016'!L86,0,IF($C$5*'Tariffs July2016'!AK86/'Tariffs July2016'!AI86&lt;='Tariffs July2016'!M86,($C$5*'Tariffs July2016'!AK86/'Tariffs July2016'!AI86-'Tariffs July2016'!L86)*('Tariffs July2016'!R86/100)*'Tariffs July2016'!AI86,('Tariffs July2016'!M86-'Tariffs July2016'!L86)*('Tariffs July2016'!R86/100)*'Tariffs July2016'!AI86))</f>
        <v>0</v>
      </c>
      <c r="I92" s="59">
        <f>IF(($C$5*'Tariffs July2016'!AK86/'Tariffs July2016'!AI86&gt;'Tariffs July2016'!M86),($C$5*'Tariffs July2016'!AK86/'Tariffs July2016'!AI86-'Tariffs July2016'!M86)*'Tariffs July2016'!S86/100*'Tariffs July2016'!AI86,0)</f>
        <v>293.12583199999995</v>
      </c>
      <c r="J92" s="59">
        <f>IF($C$5*'Tariffs July2016'!AL86/'Tariffs July2016'!AJ86&gt;='Tariffs July2016'!J86,('Tariffs July2016'!J86*'Tariffs July2016'!U86/100)* 'Tariffs July2016'!AJ86,($C$5*'Tariffs July2016'!AL86/'Tariffs July2016'!AJ86*'Tariffs July2016'!U86/100)* 'Tariffs July2016'!AJ86)</f>
        <v>232.19200000000001</v>
      </c>
      <c r="K92" s="59">
        <f>IF($C$5*'Tariffs July2016'!AL86/'Tariffs July2016'!AJ86&lt;'Tariffs July2016'!J86,0,IF($C$5*'Tariffs July2016'!AL86/'Tariffs July2016'!AJ86&lt;='Tariffs July2016'!K86,($C$5*'Tariffs July2016'!AL86/'Tariffs July2016'!AJ86-'Tariffs July2016'!J86)*('Tariffs July2016'!V86/100)*'Tariffs July2016'!AJ86,('Tariffs July2016'!K86-'Tariffs July2016'!J86)*('Tariffs July2016'!V86/100)*'Tariffs July2016'!AJ86))</f>
        <v>0</v>
      </c>
      <c r="L92" s="59">
        <f>IF($C$5*'Tariffs July2016'!AL86/'Tariffs July2016'!AJ86&lt;'Tariffs July2016'!K86,0,IF($C$5*'Tariffs July2016'!AL86/'Tariffs July2016'!AJ86&lt;='Tariffs July2016'!L86,($C$5*'Tariffs July2016'!AL86/'Tariffs July2016'!AJ86-'Tariffs July2016'!K86)*('Tariffs July2016'!W86/100)*'Tariffs July2016'!AJ86,('Tariffs July2016'!L86-'Tariffs July2016'!K86)*('Tariffs July2016'!W86/100)*'Tariffs July2016'!AJ86))</f>
        <v>0</v>
      </c>
      <c r="M92" s="59">
        <f>IF($C$5*'Tariffs July2016'!AL86/'Tariffs July2016'!AJ86&lt;'Tariffs July2016'!L86,0,IF($C$5*'Tariffs July2016'!AL86/'Tariffs July2016'!AJ86&lt;='Tariffs July2016'!M86,($C$5*'Tariffs July2016'!AL86/'Tariffs July2016'!AJ86-'Tariffs July2016'!L86)*('Tariffs July2016'!X86/100)*'Tariffs July2016'!AJ86,('Tariffs July2016'!M86-'Tariffs July2016'!L86)*('Tariffs July2016'!X86/100)*'Tariffs July2016'!AJ86))</f>
        <v>0</v>
      </c>
      <c r="N92" s="59">
        <f>IF(($C$5*'Tariffs July2016'!AL86/'Tariffs July2016'!AJ86&gt;'Tariffs July2016'!M86),($C$5*'Tariffs July2016'!AL86/'Tariffs July2016'!AJ86-'Tariffs July2016'!M86)*'Tariffs July2016'!Y86/100*'Tariffs July2016'!AJ86,0)</f>
        <v>419.54364599999991</v>
      </c>
      <c r="O92" s="271">
        <f t="shared" si="6"/>
        <v>1108.0614779999999</v>
      </c>
      <c r="P92" s="59">
        <f t="shared" si="7"/>
        <v>1333.412478</v>
      </c>
      <c r="Q92" s="272">
        <f t="shared" si="8"/>
        <v>1466.7537258</v>
      </c>
      <c r="R92" s="40">
        <f>'Tariffs July2016'!AM86</f>
        <v>0</v>
      </c>
      <c r="S92" s="40">
        <f>'Tariffs July2016'!AN86</f>
        <v>0</v>
      </c>
      <c r="T92" s="40">
        <f>'Tariffs July2016'!AO86</f>
        <v>0</v>
      </c>
      <c r="U92" s="40">
        <f>'Tariffs July2016'!AP86</f>
        <v>13</v>
      </c>
      <c r="V92" s="273">
        <f t="shared" si="9"/>
        <v>1333.412478</v>
      </c>
      <c r="W92" s="273">
        <f>V92-(O92*U92/100)</f>
        <v>1189.3644858600001</v>
      </c>
      <c r="X92" s="272">
        <f t="shared" si="10"/>
        <v>1466.7537258</v>
      </c>
      <c r="Y92" s="272">
        <f t="shared" si="11"/>
        <v>1308.3009344460002</v>
      </c>
      <c r="Z92" s="274">
        <f>'Tariffs July2016'!AW86</f>
        <v>0</v>
      </c>
      <c r="AA92" s="274" t="str">
        <f>'Tariffs July2016'!AX86</f>
        <v>n</v>
      </c>
      <c r="AB92" s="275" t="str">
        <f>'Tariffs July2016'!BD86</f>
        <v>N</v>
      </c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</row>
    <row r="93" spans="1:40" x14ac:dyDescent="0.15">
      <c r="A93" s="270" t="str">
        <f>'Tariffs July2016'!F87</f>
        <v>Red Energy</v>
      </c>
      <c r="B93" s="40" t="str">
        <f>'Tariffs July2016'!D87</f>
        <v>Ausnet Central 1</v>
      </c>
      <c r="C93" s="40" t="str">
        <f>'Tariffs July2016'!G87</f>
        <v>Living Energy Saver</v>
      </c>
      <c r="D93" s="59">
        <f>365*'Tariffs July2016'!H87/100</f>
        <v>248.2</v>
      </c>
      <c r="E93" s="59">
        <f>IF($C$5*'Tariffs July2016'!AK87/'Tariffs July2016'!AI87&gt;='Tariffs July2016'!J87,( 'Tariffs July2016'!J87*'Tariffs July2016'!O87/100)* 'Tariffs July2016'!AI87,($C$5*'Tariffs July2016'!AK87/'Tariffs July2016'!AI87*'Tariffs July2016'!O87/100)* 'Tariffs July2016'!AI87)</f>
        <v>126.4</v>
      </c>
      <c r="F93" s="59">
        <f>IF($C$5*'Tariffs July2016'!AK87/'Tariffs July2016'!AI87&lt;'Tariffs July2016'!J87,0,IF($C$5*'Tariffs July2016'!AK87/'Tariffs July2016'!AI87&lt;='Tariffs July2016'!K87,($C$5*'Tariffs July2016'!AK87/'Tariffs July2016'!AI87-'Tariffs July2016'!J87)*('Tariffs July2016'!P87/100)*'Tariffs July2016'!AI87,('Tariffs July2016'!K87-'Tariffs July2016'!J87)*('Tariffs July2016'!P87/100)*'Tariffs July2016'!AI87))</f>
        <v>0</v>
      </c>
      <c r="G93" s="59">
        <f>IF($C$5*'Tariffs July2016'!AK87/'Tariffs July2016'!AI87&lt;'Tariffs July2016'!K87,0,IF($C$5*'Tariffs July2016'!AK87/'Tariffs July2016'!AI87&lt;='Tariffs July2016'!L87,($C$5*'Tariffs July2016'!AK87/'Tariffs July2016'!AI87-'Tariffs July2016'!K87)*('Tariffs July2016'!Q87/100)*'Tariffs July2016'!AI87,('Tariffs July2016'!L87-'Tariffs July2016'!K87)*('Tariffs July2016'!Q87/100)*'Tariffs July2016'!AI87))</f>
        <v>0</v>
      </c>
      <c r="H93" s="59">
        <f>IF($C$5*'Tariffs July2016'!AK87/'Tariffs July2016'!AI87&lt;'Tariffs July2016'!L87,0,IF($C$5*'Tariffs July2016'!AK87/'Tariffs July2016'!AI87&lt;='Tariffs July2016'!M87,($C$5*'Tariffs July2016'!AK87/'Tariffs July2016'!AI87-'Tariffs July2016'!L87)*('Tariffs July2016'!R87/100)*'Tariffs July2016'!AI87,('Tariffs July2016'!M87-'Tariffs July2016'!L87)*('Tariffs July2016'!R87/100)*'Tariffs July2016'!AI87))</f>
        <v>0</v>
      </c>
      <c r="I93" s="59">
        <f>IF(($C$5*'Tariffs July2016'!AK87/'Tariffs July2016'!AI87&gt;'Tariffs July2016'!M87),($C$5*'Tariffs July2016'!AK87/'Tariffs July2016'!AI87-'Tariffs July2016'!M87)*'Tariffs July2016'!S87/100*'Tariffs July2016'!AI87,0)</f>
        <v>257.36097699999993</v>
      </c>
      <c r="J93" s="59">
        <f>IF($C$5*'Tariffs July2016'!AL87/'Tariffs July2016'!AJ87&gt;='Tariffs July2016'!J87,('Tariffs July2016'!J87*'Tariffs July2016'!U87/100)* 'Tariffs July2016'!AJ87,($C$5*'Tariffs July2016'!AL87/'Tariffs July2016'!AJ87*'Tariffs July2016'!U87/100)* 'Tariffs July2016'!AJ87)</f>
        <v>195.072</v>
      </c>
      <c r="K93" s="59">
        <f>IF($C$5*'Tariffs July2016'!AL87/'Tariffs July2016'!AJ87&lt;'Tariffs July2016'!J87,0,IF($C$5*'Tariffs July2016'!AL87/'Tariffs July2016'!AJ87&lt;='Tariffs July2016'!K87,($C$5*'Tariffs July2016'!AL87/'Tariffs July2016'!AJ87-'Tariffs July2016'!J87)*('Tariffs July2016'!V87/100)*'Tariffs July2016'!AJ87,('Tariffs July2016'!K87-'Tariffs July2016'!J87)*('Tariffs July2016'!V87/100)*'Tariffs July2016'!AJ87))</f>
        <v>0</v>
      </c>
      <c r="L93" s="59">
        <f>IF($C$5*'Tariffs July2016'!AL87/'Tariffs July2016'!AJ87&lt;'Tariffs July2016'!K87,0,IF($C$5*'Tariffs July2016'!AL87/'Tariffs July2016'!AJ87&lt;='Tariffs July2016'!L87,($C$5*'Tariffs July2016'!AL87/'Tariffs July2016'!AJ87-'Tariffs July2016'!K87)*('Tariffs July2016'!W87/100)*'Tariffs July2016'!AJ87,('Tariffs July2016'!L87-'Tariffs July2016'!K87)*('Tariffs July2016'!W87/100)*'Tariffs July2016'!AJ87))</f>
        <v>0</v>
      </c>
      <c r="M93" s="59">
        <f>IF($C$5*'Tariffs July2016'!AL87/'Tariffs July2016'!AJ87&lt;'Tariffs July2016'!L87,0,IF($C$5*'Tariffs July2016'!AL87/'Tariffs July2016'!AJ87&lt;='Tariffs July2016'!M87,($C$5*'Tariffs July2016'!AL87/'Tariffs July2016'!AJ87-'Tariffs July2016'!L87)*('Tariffs July2016'!X87/100)*'Tariffs July2016'!AJ87,('Tariffs July2016'!M87-'Tariffs July2016'!L87)*('Tariffs July2016'!X87/100)*'Tariffs July2016'!AJ87))</f>
        <v>0</v>
      </c>
      <c r="N93" s="59">
        <f>IF(($C$5*'Tariffs July2016'!AL87/'Tariffs July2016'!AJ87&gt;'Tariffs July2016'!M87),($C$5*'Tariffs July2016'!AL87/'Tariffs July2016'!AJ87-'Tariffs July2016'!M87)*'Tariffs July2016'!Y87/100*'Tariffs July2016'!AJ87,0)</f>
        <v>389.76392999999996</v>
      </c>
      <c r="O93" s="271">
        <f t="shared" si="6"/>
        <v>968.59690699999987</v>
      </c>
      <c r="P93" s="59">
        <f t="shared" si="7"/>
        <v>1216.7969069999999</v>
      </c>
      <c r="Q93" s="272">
        <f t="shared" si="8"/>
        <v>1338.4765977</v>
      </c>
      <c r="R93" s="40">
        <f>'Tariffs July2016'!AM87</f>
        <v>0</v>
      </c>
      <c r="S93" s="40">
        <f>'Tariffs July2016'!AN87</f>
        <v>0</v>
      </c>
      <c r="T93" s="40">
        <f>'Tariffs July2016'!AO87</f>
        <v>10</v>
      </c>
      <c r="U93" s="40">
        <f>'Tariffs July2016'!AP87</f>
        <v>0</v>
      </c>
      <c r="V93" s="273">
        <f t="shared" si="9"/>
        <v>1216.7969069999999</v>
      </c>
      <c r="W93" s="273">
        <f>V93-(P93*T93/100)</f>
        <v>1095.1172162999999</v>
      </c>
      <c r="X93" s="272">
        <f t="shared" si="10"/>
        <v>1338.4765977</v>
      </c>
      <c r="Y93" s="272">
        <f t="shared" si="11"/>
        <v>1204.6289379299999</v>
      </c>
      <c r="Z93" s="274">
        <f>'Tariffs July2016'!AW87</f>
        <v>0</v>
      </c>
      <c r="AA93" s="274" t="str">
        <f>'Tariffs July2016'!AX87</f>
        <v>n</v>
      </c>
      <c r="AB93" s="275" t="str">
        <f>'Tariffs July2016'!BD87</f>
        <v>Y</v>
      </c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</row>
    <row r="94" spans="1:40" ht="14" thickBot="1" x14ac:dyDescent="0.2">
      <c r="A94" s="286" t="str">
        <f>'Tariffs July2016'!F88</f>
        <v>Simply Energy</v>
      </c>
      <c r="B94" s="287" t="str">
        <f>'Tariffs July2016'!D88</f>
        <v>Ausnet Central 1</v>
      </c>
      <c r="C94" s="287" t="str">
        <f>'Tariffs July2016'!G88</f>
        <v>Plus</v>
      </c>
      <c r="D94" s="288">
        <f>365*'Tariffs July2016'!H88/100</f>
        <v>207.5025</v>
      </c>
      <c r="E94" s="288">
        <f>IF($C$5*'Tariffs July2016'!AK88/'Tariffs July2016'!AI88&gt;='Tariffs July2016'!J88,( 'Tariffs July2016'!J88*'Tariffs July2016'!O88/100)* 'Tariffs July2016'!AI88,($C$5*'Tariffs July2016'!AK88/'Tariffs July2016'!AI88*'Tariffs July2016'!O88/100)* 'Tariffs July2016'!AI88)</f>
        <v>258</v>
      </c>
      <c r="F94" s="288">
        <f>IF($C$5*'Tariffs July2016'!AK88/'Tariffs July2016'!AI88&lt;'Tariffs July2016'!J88,0,IF($C$5*'Tariffs July2016'!AK88/'Tariffs July2016'!AI88&lt;='Tariffs July2016'!K88,($C$5*'Tariffs July2016'!AK88/'Tariffs July2016'!AI88-'Tariffs July2016'!J88)*('Tariffs July2016'!P88/100)*'Tariffs July2016'!AI88,('Tariffs July2016'!K88-'Tariffs July2016'!J88)*('Tariffs July2016'!P88/100)*'Tariffs July2016'!AI88))</f>
        <v>189.85568999999992</v>
      </c>
      <c r="G94" s="288">
        <f>IF($C$5*'Tariffs July2016'!AK88/'Tariffs July2016'!AI88&lt;'Tariffs July2016'!K88,0,IF($C$5*'Tariffs July2016'!AK88/'Tariffs July2016'!AI88&lt;='Tariffs July2016'!L88,($C$5*'Tariffs July2016'!AK88/'Tariffs July2016'!AI88-'Tariffs July2016'!K88)*('Tariffs July2016'!Q88/100)*'Tariffs July2016'!AI88,('Tariffs July2016'!L88-'Tariffs July2016'!K88)*('Tariffs July2016'!Q88/100)*'Tariffs July2016'!AI88))</f>
        <v>0</v>
      </c>
      <c r="H94" s="288">
        <f>IF($C$5*'Tariffs July2016'!AK88/'Tariffs July2016'!AI88&lt;'Tariffs July2016'!L88,0,IF($C$5*'Tariffs July2016'!AK88/'Tariffs July2016'!AI88&lt;='Tariffs July2016'!M88,($C$5*'Tariffs July2016'!AK88/'Tariffs July2016'!AI88-'Tariffs July2016'!L88)*('Tariffs July2016'!R88/100)*'Tariffs July2016'!AI88,('Tariffs July2016'!M88-'Tariffs July2016'!L88)*('Tariffs July2016'!R88/100)*'Tariffs July2016'!AI88))</f>
        <v>0</v>
      </c>
      <c r="I94" s="288">
        <f>IF(($C$5*'Tariffs July2016'!AK88/'Tariffs July2016'!AI88&gt;'Tariffs July2016'!M88),($C$5*'Tariffs July2016'!AK88/'Tariffs July2016'!AI88-'Tariffs July2016'!M88)*'Tariffs July2016'!S88/100*'Tariffs July2016'!AI88,0)</f>
        <v>0</v>
      </c>
      <c r="J94" s="288">
        <f>IF($C$5*'Tariffs July2016'!AL88/'Tariffs July2016'!AJ88&gt;='Tariffs July2016'!J88,('Tariffs July2016'!J88*'Tariffs July2016'!U88/100)* 'Tariffs July2016'!AJ88,($C$5*'Tariffs July2016'!AL88/'Tariffs July2016'!AJ88*'Tariffs July2016'!U88/100)* 'Tariffs July2016'!AJ88)</f>
        <v>393.6</v>
      </c>
      <c r="K94" s="288">
        <f>IF($C$5*'Tariffs July2016'!AL88/'Tariffs July2016'!AJ88&lt;'Tariffs July2016'!J88,0,IF($C$5*'Tariffs July2016'!AL88/'Tariffs July2016'!AJ88&lt;='Tariffs July2016'!K88,($C$5*'Tariffs July2016'!AL88/'Tariffs July2016'!AJ88-'Tariffs July2016'!J88)*('Tariffs July2016'!V88/100)*'Tariffs July2016'!AJ88,('Tariffs July2016'!K88-'Tariffs July2016'!J88)*('Tariffs July2016'!V88/100)*'Tariffs July2016'!AJ88))</f>
        <v>284.33363999999995</v>
      </c>
      <c r="L94" s="288">
        <f>IF($C$5*'Tariffs July2016'!AL88/'Tariffs July2016'!AJ88&lt;'Tariffs July2016'!K88,0,IF($C$5*'Tariffs July2016'!AL88/'Tariffs July2016'!AJ88&lt;='Tariffs July2016'!L88,($C$5*'Tariffs July2016'!AL88/'Tariffs July2016'!AJ88-'Tariffs July2016'!K88)*('Tariffs July2016'!W88/100)*'Tariffs July2016'!AJ88,('Tariffs July2016'!L88-'Tariffs July2016'!K88)*('Tariffs July2016'!W88/100)*'Tariffs July2016'!AJ88))</f>
        <v>0</v>
      </c>
      <c r="M94" s="288">
        <f>IF($C$5*'Tariffs July2016'!AL88/'Tariffs July2016'!AJ88&lt;'Tariffs July2016'!L88,0,IF($C$5*'Tariffs July2016'!AL88/'Tariffs July2016'!AJ88&lt;='Tariffs July2016'!M88,($C$5*'Tariffs July2016'!AL88/'Tariffs July2016'!AJ88-'Tariffs July2016'!L88)*('Tariffs July2016'!X88/100)*'Tariffs July2016'!AJ88,('Tariffs July2016'!M88-'Tariffs July2016'!L88)*('Tariffs July2016'!X88/100)*'Tariffs July2016'!AJ88))</f>
        <v>0</v>
      </c>
      <c r="N94" s="288">
        <f>IF(($C$5*'Tariffs July2016'!AL88/'Tariffs July2016'!AJ88&gt;'Tariffs July2016'!M88),($C$5*'Tariffs July2016'!AL88/'Tariffs July2016'!AJ88-'Tariffs July2016'!M88)*'Tariffs July2016'!Y88/100*'Tariffs July2016'!AJ88,0)</f>
        <v>0</v>
      </c>
      <c r="O94" s="289">
        <f t="shared" si="6"/>
        <v>1125.7893300000001</v>
      </c>
      <c r="P94" s="288">
        <f t="shared" si="7"/>
        <v>1333.2918300000001</v>
      </c>
      <c r="Q94" s="290">
        <f t="shared" si="8"/>
        <v>1466.6210130000002</v>
      </c>
      <c r="R94" s="287">
        <f>'Tariffs July2016'!AM88</f>
        <v>0</v>
      </c>
      <c r="S94" s="287">
        <f>'Tariffs July2016'!AN88</f>
        <v>15</v>
      </c>
      <c r="T94" s="287">
        <f>'Tariffs July2016'!AO88</f>
        <v>0</v>
      </c>
      <c r="U94" s="287">
        <f>'Tariffs July2016'!AP88</f>
        <v>5</v>
      </c>
      <c r="V94" s="291">
        <f>P94-(O94*S94/100)</f>
        <v>1164.4234305</v>
      </c>
      <c r="W94" s="291">
        <f>V94-(O94*U94/100)</f>
        <v>1108.1339640000001</v>
      </c>
      <c r="X94" s="290">
        <f t="shared" si="10"/>
        <v>1280.8657735500001</v>
      </c>
      <c r="Y94" s="290">
        <f t="shared" si="11"/>
        <v>1218.9473604000002</v>
      </c>
      <c r="Z94" s="292">
        <f>'Tariffs July2016'!AW88</f>
        <v>24</v>
      </c>
      <c r="AA94" s="292" t="str">
        <f>'Tariffs July2016'!AX88</f>
        <v>n</v>
      </c>
      <c r="AB94" s="293" t="str">
        <f>'Tariffs July2016'!BD88</f>
        <v>Y</v>
      </c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</row>
    <row r="95" spans="1:40" x14ac:dyDescent="0.15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</row>
    <row r="96" spans="1:40" x14ac:dyDescent="0.15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</row>
    <row r="97" spans="1:40" x14ac:dyDescent="0.15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</row>
    <row r="98" spans="1:40" x14ac:dyDescent="0.15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</row>
    <row r="99" spans="1:40" x14ac:dyDescent="0.15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</row>
    <row r="100" spans="1:40" x14ac:dyDescent="0.15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</row>
    <row r="101" spans="1:40" x14ac:dyDescent="0.15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</row>
    <row r="102" spans="1:40" x14ac:dyDescent="0.15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</row>
    <row r="103" spans="1:40" x14ac:dyDescent="0.15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</row>
    <row r="104" spans="1:40" x14ac:dyDescent="0.15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</row>
    <row r="105" spans="1:40" x14ac:dyDescent="0.15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</row>
    <row r="106" spans="1:40" x14ac:dyDescent="0.15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</row>
    <row r="107" spans="1:40" x14ac:dyDescent="0.15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</row>
    <row r="108" spans="1:40" x14ac:dyDescent="0.15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</row>
    <row r="109" spans="1:40" x14ac:dyDescent="0.15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</row>
    <row r="110" spans="1:40" x14ac:dyDescent="0.15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</row>
    <row r="111" spans="1:40" x14ac:dyDescent="0.15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</row>
    <row r="112" spans="1:40" x14ac:dyDescent="0.15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</row>
    <row r="113" spans="1:40" x14ac:dyDescent="0.15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</row>
    <row r="114" spans="1:40" x14ac:dyDescent="0.15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</row>
    <row r="115" spans="1:40" x14ac:dyDescent="0.15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</row>
  </sheetData>
  <sheetProtection algorithmName="SHA-512" hashValue="ZGm/ZWPKuD8lrCzg2i0elezqsSVk15XV7F5D3mI3P2W1VBtQjgzwAwT8A7I6fpgrB2o6TByUCBvHnpGhS36uEg==" saltValue="8Ow1sAcgenWoQ4Inqv/Jpg==" spinCount="100000" sheet="1" objects="1" scenarios="1"/>
  <phoneticPr fontId="20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P108"/>
  <sheetViews>
    <sheetView workbookViewId="0">
      <selection activeCell="H5" sqref="H5"/>
    </sheetView>
  </sheetViews>
  <sheetFormatPr baseColWidth="10" defaultColWidth="10.83203125" defaultRowHeight="13" x14ac:dyDescent="0.15"/>
  <cols>
    <col min="1" max="1" width="26.1640625" style="40" customWidth="1"/>
    <col min="2" max="2" width="3.1640625" style="40" customWidth="1"/>
    <col min="3" max="10" width="11.6640625" style="40" customWidth="1"/>
    <col min="11" max="15" width="13.33203125" style="40" customWidth="1"/>
    <col min="16" max="16" width="15" style="40" customWidth="1"/>
    <col min="17" max="16384" width="10.83203125" style="40"/>
  </cols>
  <sheetData>
    <row r="1" spans="1:16" x14ac:dyDescent="0.15">
      <c r="A1" s="48" t="s">
        <v>586</v>
      </c>
    </row>
    <row r="2" spans="1:16" x14ac:dyDescent="0.15">
      <c r="A2" s="142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</row>
    <row r="3" spans="1:16" x14ac:dyDescent="0.15">
      <c r="A3" s="52" t="s">
        <v>587</v>
      </c>
      <c r="D3" s="137"/>
      <c r="E3" s="137"/>
      <c r="F3" s="137"/>
    </row>
    <row r="4" spans="1:16" x14ac:dyDescent="0.15">
      <c r="D4" s="137"/>
      <c r="E4" s="137"/>
      <c r="F4" s="137"/>
    </row>
    <row r="5" spans="1:16" x14ac:dyDescent="0.15">
      <c r="A5" s="53" t="s">
        <v>588</v>
      </c>
      <c r="B5" s="53"/>
      <c r="E5" s="53" t="s">
        <v>1394</v>
      </c>
      <c r="H5" s="66">
        <v>63000</v>
      </c>
    </row>
    <row r="6" spans="1:16" x14ac:dyDescent="0.15">
      <c r="E6" s="54" t="s">
        <v>589</v>
      </c>
    </row>
    <row r="7" spans="1:16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</row>
    <row r="8" spans="1:16" x14ac:dyDescent="0.15">
      <c r="O8" s="23"/>
      <c r="P8" s="58"/>
    </row>
    <row r="9" spans="1:16" x14ac:dyDescent="0.15">
      <c r="A9" s="53" t="s">
        <v>1074</v>
      </c>
      <c r="C9" s="23" t="s">
        <v>1044</v>
      </c>
      <c r="D9" s="23" t="s">
        <v>591</v>
      </c>
      <c r="E9" s="23" t="s">
        <v>592</v>
      </c>
      <c r="F9" s="23" t="s">
        <v>593</v>
      </c>
      <c r="G9" s="23" t="s">
        <v>594</v>
      </c>
      <c r="H9" s="23" t="s">
        <v>595</v>
      </c>
      <c r="I9" s="23" t="s">
        <v>596</v>
      </c>
      <c r="J9" s="23" t="s">
        <v>597</v>
      </c>
      <c r="K9" s="23" t="s">
        <v>598</v>
      </c>
      <c r="L9" s="23" t="s">
        <v>599</v>
      </c>
      <c r="M9" s="23" t="s">
        <v>600</v>
      </c>
      <c r="N9" s="57" t="s">
        <v>601</v>
      </c>
    </row>
    <row r="10" spans="1:16" x14ac:dyDescent="0.15">
      <c r="A10" s="40" t="s">
        <v>602</v>
      </c>
      <c r="C10" s="59">
        <f>IF($H5*'Jan''16 Multi'!E7/'Jan''16 Multi'!E8&gt;='Jan''16 Multi'!E11,('Jan''16 Multi'!E11*'Jan''16 Multi'!E15/100*1.1)*'Jan''16 Multi'!E8,($H5*'Jan''16 Multi'!E7/'Jan''16 Multi'!E8*'Jan''16 Multi'!E15/100*1.1)*'Jan''16 Multi'!E8)</f>
        <v>211.06800000000004</v>
      </c>
      <c r="D10" s="59">
        <f>IF($H5*'Jan''16 Multi'!F7/'Jan''16 Multi'!F8&gt;='Jan''16 Multi'!F11,('Jan''16 Multi'!F11*'Jan''16 Multi'!F15/100*1.1)*'Jan''16 Multi'!F8,($H5*'Jan''16 Multi'!F7/'Jan''16 Multi'!F8*'Jan''16 Multi'!F15/100*1.1)*'Jan''16 Multi'!F8)</f>
        <v>411.04800000000006</v>
      </c>
      <c r="E10" s="59">
        <f>IF($H5*'Jan''16 Multi'!G7/'Jan''16 Multi'!G8&gt;='Jan''16 Multi'!G11,('Jan''16 Multi'!G11*'Jan''16 Multi'!G15/100*1.1)*'Jan''16 Multi'!G8,($H5*'Jan''16 Multi'!G7/'Jan''16 Multi'!G8*'Jan''16 Multi'!G15/100*1.1)*'Jan''16 Multi'!G8)</f>
        <v>207.90000000000003</v>
      </c>
      <c r="F10" s="59">
        <f>IF($H5*'Jan''16 Multi'!H7/'Jan''16 Multi'!H8&gt;='Jan''16 Multi'!H11,('Jan''16 Multi'!H11*'Jan''16 Multi'!H15/100*1.1)*'Jan''16 Multi'!H8,($H5*'Jan''16 Multi'!H7/'Jan''16 Multi'!H8*'Jan''16 Multi'!H15/100*1.1)*'Jan''16 Multi'!H8)</f>
        <v>162.756</v>
      </c>
      <c r="G10" s="59">
        <f>IF($H5*'Jan''16 Multi'!I7/'Jan''16 Multi'!I8&gt;='Jan''16 Multi'!I11,('Jan''16 Multi'!I11*'Jan''16 Multi'!I15/100*1.1)*'Jan''16 Multi'!I8,($H5*'Jan''16 Multi'!I7/'Jan''16 Multi'!I8*'Jan''16 Multi'!I15/100*1.1)*'Jan''16 Multi'!I8)</f>
        <v>386.1</v>
      </c>
      <c r="H10" s="59">
        <f>IF($H5*'Jan''16 Multi'!J7/'Jan''16 Multi'!J8&gt;='Jan''16 Multi'!J11,('Jan''16 Multi'!J11*'Jan''16 Multi'!J15/100*1.1)*'Jan''16 Multi'!J8,($H5*'Jan''16 Multi'!J7/'Jan''16 Multi'!J8*'Jan''16 Multi'!J15/100*1.1)*'Jan''16 Multi'!J8)</f>
        <v>206.81100000000004</v>
      </c>
      <c r="I10" s="59">
        <f>IF($H5*'Jan''16 Multi'!K7/'Jan''16 Multi'!K8&gt;='Jan''16 Multi'!K11,('Jan''16 Multi'!K11*'Jan''16 Multi'!K15/100*1.1)*'Jan''16 Multi'!K8,($H5*'Jan''16 Multi'!K7/'Jan''16 Multi'!K8*'Jan''16 Multi'!K15/100*1.1)*'Jan''16 Multi'!K8)</f>
        <v>363.52800000000002</v>
      </c>
      <c r="J10" s="59">
        <f>IF($H5*'Jan''16 Multi'!L7/'Jan''16 Multi'!L8&gt;='Jan''16 Multi'!L11,('Jan''16 Multi'!L11*'Jan''16 Multi'!L15/100*1.1)*'Jan''16 Multi'!L8,($H5*'Jan''16 Multi'!L7/'Jan''16 Multi'!L8*'Jan''16 Multi'!L15/100*1.1)*'Jan''16 Multi'!L8)</f>
        <v>191.07000000000005</v>
      </c>
      <c r="K10" s="59">
        <f>IF($H5*'Jan''16 Multi'!M7/'Jan''16 Multi'!M8&gt;='Jan''16 Multi'!M11,('Jan''16 Multi'!M11*'Jan''16 Multi'!M15/100*1.1)*'Jan''16 Multi'!M8,($H5*'Jan''16 Multi'!M7/'Jan''16 Multi'!M8*'Jan''16 Multi'!M15/100*1.1)*'Jan''16 Multi'!M8)</f>
        <v>356.40000000000003</v>
      </c>
      <c r="L10" s="59">
        <f>IF($H5*'Jan''16 Multi'!N7/'Jan''16 Multi'!N8&gt;='Jan''16 Multi'!N11,('Jan''16 Multi'!N11*'Jan''16 Multi'!N15/100*1.1)*'Jan''16 Multi'!N8,($H5*'Jan''16 Multi'!N7/'Jan''16 Multi'!N8*'Jan''16 Multi'!N15/100*1.1)*'Jan''16 Multi'!N8)</f>
        <v>217.80000000000007</v>
      </c>
      <c r="M10" s="59">
        <f>IF($H5*'Jan''16 Multi'!O7/'Jan''16 Multi'!O8&gt;='Jan''16 Multi'!O11,('Jan''16 Multi'!O11*'Jan''16 Multi'!O15/100*1.1)*'Jan''16 Multi'!O8,($H5*'Jan''16 Multi'!O7/'Jan''16 Multi'!O8*'Jan''16 Multi'!O15/100*1.1)*'Jan''16 Multi'!O8)</f>
        <v>210.87</v>
      </c>
      <c r="N10" s="63"/>
    </row>
    <row r="11" spans="1:16" x14ac:dyDescent="0.15">
      <c r="A11" s="40" t="s">
        <v>603</v>
      </c>
      <c r="C11" s="59">
        <f>IF($H5*'Jan''16 Multi'!E7/'Jan''16 Multi'!E8&lt;'Jan''16 Multi'!E11,0,IF($H5*'Jan''16 Multi'!E7/'Jan''16 Multi'!E8&lt;='Jan''16 Multi'!E12,($H5*'Jan''16 Multi'!E7/'Jan''16 Multi'!E8-'Jan''16 Multi'!E11)*('Jan''16 Multi'!E16/100*1.1)*'Jan''16 Multi'!E8,('Jan''16 Multi'!E12-'Jan''16 Multi'!E11)*('Jan''16 Multi'!E16/100*1.1)*'Jan''16 Multi'!E8))</f>
        <v>183.54600000000002</v>
      </c>
      <c r="D11" s="59">
        <f>IF($H5*'Jan''16 Multi'!F7/'Jan''16 Multi'!F8&lt;'Jan''16 Multi'!F11,0,IF($H5*'Jan''16 Multi'!F7/'Jan''16 Multi'!F8&lt;='Jan''16 Multi'!F12,($H5*'Jan''16 Multi'!F7/'Jan''16 Multi'!F8-'Jan''16 Multi'!F11)*('Jan''16 Multi'!F16/100*1.1)*'Jan''16 Multi'!F8,('Jan''16 Multi'!F12-'Jan''16 Multi'!F11)*('Jan''16 Multi'!F16/100*1.1)*'Jan''16 Multi'!F8))</f>
        <v>164.83500000000004</v>
      </c>
      <c r="E11" s="59">
        <f>IF($H5*'Jan''16 Multi'!G7/'Jan''16 Multi'!G8&lt;'Jan''16 Multi'!G11,0,IF($H5*'Jan''16 Multi'!G7/'Jan''16 Multi'!G8&lt;='Jan''16 Multi'!G12,($H5*'Jan''16 Multi'!G7/'Jan''16 Multi'!G8-'Jan''16 Multi'!G11)*('Jan''16 Multi'!G16/100*1.1)*'Jan''16 Multi'!G8,('Jan''16 Multi'!G12-'Jan''16 Multi'!G11)*('Jan''16 Multi'!G16/100*1.1)*'Jan''16 Multi'!G8))</f>
        <v>183.15000000000003</v>
      </c>
      <c r="F11" s="59">
        <f>IF($H5*'Jan''16 Multi'!H7/'Jan''16 Multi'!H8&lt;'Jan''16 Multi'!H11,0,IF($H5*'Jan''16 Multi'!H7/'Jan''16 Multi'!H8&lt;='Jan''16 Multi'!H12,($H5*'Jan''16 Multi'!H7/'Jan''16 Multi'!H8-'Jan''16 Multi'!H11)*('Jan''16 Multi'!H16/100*1.1)*'Jan''16 Multi'!H8,('Jan''16 Multi'!H12-'Jan''16 Multi'!H11)*('Jan''16 Multi'!H16/100*1.1)*'Jan''16 Multi'!H8))</f>
        <v>145.23300000000003</v>
      </c>
      <c r="G11" s="59">
        <f>IF($H5*'Jan''16 Multi'!I7/'Jan''16 Multi'!I8&lt;'Jan''16 Multi'!I11,0,IF($H5*'Jan''16 Multi'!I7/'Jan''16 Multi'!I8&lt;='Jan''16 Multi'!I12,($H5*'Jan''16 Multi'!I7/'Jan''16 Multi'!I8-'Jan''16 Multi'!I11)*('Jan''16 Multi'!I16/100*1.1)*'Jan''16 Multi'!I8,('Jan''16 Multi'!I12-'Jan''16 Multi'!I11)*('Jan''16 Multi'!I16/100*1.1)*'Jan''16 Multi'!I8))</f>
        <v>140.57999999999998</v>
      </c>
      <c r="H11" s="59">
        <f>IF($H5*'Jan''16 Multi'!J7/'Jan''16 Multi'!J8&lt;'Jan''16 Multi'!J11,0,IF($H5*'Jan''16 Multi'!J7/'Jan''16 Multi'!J8&lt;='Jan''16 Multi'!J12,($H5*'Jan''16 Multi'!J7/'Jan''16 Multi'!J8-'Jan''16 Multi'!J11)*('Jan''16 Multi'!J16/100*1.1)*'Jan''16 Multi'!J8,('Jan''16 Multi'!J12-'Jan''16 Multi'!J11)*('Jan''16 Multi'!J16/100*1.1)*'Jan''16 Multi'!J8))</f>
        <v>180.47700000000003</v>
      </c>
      <c r="I11" s="59">
        <f>IF($H5*'Jan''16 Multi'!K7/'Jan''16 Multi'!K8&lt;'Jan''16 Multi'!K11,0,IF($H5*'Jan''16 Multi'!K7/'Jan''16 Multi'!K8&lt;='Jan''16 Multi'!K12,($H5*'Jan''16 Multi'!K7/'Jan''16 Multi'!K8-'Jan''16 Multi'!K11)*('Jan''16 Multi'!K16/100*1.1)*'Jan''16 Multi'!K8,('Jan''16 Multi'!K12-'Jan''16 Multi'!K11)*('Jan''16 Multi'!K16/100*1.1)*'Jan''16 Multi'!K8))</f>
        <v>141.471</v>
      </c>
      <c r="J11" s="59">
        <f>IF($H5*'Jan''16 Multi'!L7/'Jan''16 Multi'!L8&lt;'Jan''16 Multi'!L11,0,IF($H5*'Jan''16 Multi'!L7/'Jan''16 Multi'!L8&lt;='Jan''16 Multi'!L12,($H5*'Jan''16 Multi'!L7/'Jan''16 Multi'!L8-'Jan''16 Multi'!L11)*('Jan''16 Multi'!L16/100*1.1)*'Jan''16 Multi'!L8,('Jan''16 Multi'!L12-'Jan''16 Multi'!L11)*('Jan''16 Multi'!L16/100*1.1)*'Jan''16 Multi'!L8))</f>
        <v>165.32999999999998</v>
      </c>
      <c r="K11" s="59">
        <f>IF($H5*'Jan''16 Multi'!M7/'Jan''16 Multi'!M8&lt;'Jan''16 Multi'!M11,0,IF($H5*'Jan''16 Multi'!M7/'Jan''16 Multi'!M8&lt;='Jan''16 Multi'!M12,($H5*'Jan''16 Multi'!M7/'Jan''16 Multi'!M8-'Jan''16 Multi'!M11)*('Jan''16 Multi'!M16/100*1.1)*'Jan''16 Multi'!M8,('Jan''16 Multi'!M12-'Jan''16 Multi'!M11)*('Jan''16 Multi'!M16/100*1.1)*'Jan''16 Multi'!M8))</f>
        <v>130.68</v>
      </c>
      <c r="L11" s="59">
        <f>IF($H5*'Jan''16 Multi'!N7/'Jan''16 Multi'!N8&lt;'Jan''16 Multi'!N11,0,IF($H5*'Jan''16 Multi'!N7/'Jan''16 Multi'!N8&lt;='Jan''16 Multi'!N12,($H5*'Jan''16 Multi'!N7/'Jan''16 Multi'!N8-'Jan''16 Multi'!N11)*('Jan''16 Multi'!N16/100*1.1)*'Jan''16 Multi'!N8,('Jan''16 Multi'!N12-'Jan''16 Multi'!N11)*('Jan''16 Multi'!N16/100*1.1)*'Jan''16 Multi'!N8))</f>
        <v>188.10000000000002</v>
      </c>
      <c r="M11" s="59">
        <f>IF($H5*'Jan''16 Multi'!O7/'Jan''16 Multi'!O8&lt;'Jan''16 Multi'!O11,0,IF($H5*'Jan''16 Multi'!O7/'Jan''16 Multi'!O8&lt;='Jan''16 Multi'!O12,($H5*'Jan''16 Multi'!O7/'Jan''16 Multi'!O8-'Jan''16 Multi'!O11)*('Jan''16 Multi'!O16/100*1.1)*'Jan''16 Multi'!O8,('Jan''16 Multi'!O12-'Jan''16 Multi'!O11)*('Jan''16 Multi'!O16/100*1.1)*'Jan''16 Multi'!O8))</f>
        <v>180.18000000000004</v>
      </c>
      <c r="N11" s="63"/>
    </row>
    <row r="12" spans="1:16" x14ac:dyDescent="0.15">
      <c r="A12" s="40" t="s">
        <v>604</v>
      </c>
      <c r="C12" s="59">
        <f>IF($H5*'Jan''16 Multi'!E7/'Jan''16 Multi'!E8&lt;'Jan''16 Multi'!E12,0,IF($H5*'Jan''16 Multi'!E7/'Jan''16 Multi'!E8&lt;='Jan''16 Multi'!E13,($H5*'Jan''16 Multi'!E7/'Jan''16 Multi'!E8-'Jan''16 Multi'!E12)*('Jan''16 Multi'!E17/100*1.1)*'Jan''16 Multi'!E8,('Jan''16 Multi'!E13-'Jan''16 Multi'!E12)*('Jan''16 Multi'!E17/100*1.1)*'Jan''16 Multi'!E8))</f>
        <v>146.22300000000001</v>
      </c>
      <c r="D12" s="59">
        <v>0</v>
      </c>
      <c r="E12" s="59">
        <f>IF($H5*'Jan''16 Multi'!G7/'Jan''16 Multi'!G8&lt;'Jan''16 Multi'!G12,0,IF($H5*'Jan''16 Multi'!G7/'Jan''16 Multi'!G8&lt;='Jan''16 Multi'!G13,($H5*'Jan''16 Multi'!G7/'Jan''16 Multi'!G8-'Jan''16 Multi'!G12)*('Jan''16 Multi'!G17/100*1.1)*'Jan''16 Multi'!G8,('Jan''16 Multi'!G13-'Jan''16 Multi'!G12)*('Jan''16 Multi'!G17/100*1.1)*'Jan''16 Multi'!G8))</f>
        <v>146.52000000000004</v>
      </c>
      <c r="F12" s="59">
        <f>IF($H5*'Jan''16 Multi'!H7/'Jan''16 Multi'!H8&lt;'Jan''16 Multi'!H12,0,IF($H5*'Jan''16 Multi'!H7/'Jan''16 Multi'!H8&lt;='Jan''16 Multi'!H13,($H5*'Jan''16 Multi'!H7/'Jan''16 Multi'!H8-'Jan''16 Multi'!H12)*('Jan''16 Multi'!H17/100*1.1)*'Jan''16 Multi'!H8,('Jan''16 Multi'!H13-'Jan''16 Multi'!H12)*('Jan''16 Multi'!H17/100*1.1)*'Jan''16 Multi'!H8))</f>
        <v>119.295</v>
      </c>
      <c r="G12" s="59">
        <v>0</v>
      </c>
      <c r="H12" s="59">
        <f>IF($H5*'Jan''16 Multi'!J7/'Jan''16 Multi'!J8&lt;'Jan''16 Multi'!J12,0,IF($H5*'Jan''16 Multi'!J7/'Jan''16 Multi'!J8&lt;='Jan''16 Multi'!J13,($H5*'Jan''16 Multi'!J7/'Jan''16 Multi'!J8-'Jan''16 Multi'!J12)*('Jan''16 Multi'!J17/100*1.1)*'Jan''16 Multi'!J8,('Jan''16 Multi'!J13-'Jan''16 Multi'!J12)*('Jan''16 Multi'!J17/100*1.1)*'Jan''16 Multi'!J8))</f>
        <v>148.59899999999999</v>
      </c>
      <c r="I12" s="59">
        <v>0</v>
      </c>
      <c r="J12" s="59">
        <v>0</v>
      </c>
      <c r="K12" s="59">
        <v>0</v>
      </c>
      <c r="L12" s="59">
        <f>IF($H5*'Jan''16 Multi'!N7/'Jan''16 Multi'!N8&lt;'Jan''16 Multi'!N12,0,IF($H5*'Jan''16 Multi'!N7/'Jan''16 Multi'!N8&lt;='Jan''16 Multi'!N13,($H5*'Jan''16 Multi'!N7/'Jan''16 Multi'!N8-'Jan''16 Multi'!N12)*('Jan''16 Multi'!N17/100*1.1)*'Jan''16 Multi'!N8,('Jan''16 Multi'!N13-'Jan''16 Multi'!N12)*('Jan''16 Multi'!N17/100*1.1)*'Jan''16 Multi'!N8))</f>
        <v>153.45000000000002</v>
      </c>
      <c r="M12" s="59">
        <f>IF($H5*'Jan''16 Multi'!O7/'Jan''16 Multi'!O8&lt;'Jan''16 Multi'!O12,0,IF($H5*'Jan''16 Multi'!O7/'Jan''16 Multi'!O8&lt;='Jan''16 Multi'!O13,($H5*'Jan''16 Multi'!O7/'Jan''16 Multi'!O8-'Jan''16 Multi'!O12)*('Jan''16 Multi'!O17/100*1.1)*'Jan''16 Multi'!O8,('Jan''16 Multi'!O13-'Jan''16 Multi'!O12)*('Jan''16 Multi'!O17/100*1.1)*'Jan''16 Multi'!O8))</f>
        <v>142.56</v>
      </c>
      <c r="N12" s="63"/>
    </row>
    <row r="13" spans="1:16" x14ac:dyDescent="0.15">
      <c r="A13" s="40" t="s">
        <v>605</v>
      </c>
      <c r="C13" s="59">
        <f>IF($H5*'Jan''16 Multi'!E7/'Jan''16 Multi'!E8&lt;'Jan''16 Multi'!E13,0,IF($H5*'Jan''16 Multi'!E7/'Jan''16 Multi'!E8&lt;='Jan''16 Multi'!E14,($H5*'Jan''16 Multi'!E7/'Jan''16 Multi'!E8-'Jan''16 Multi'!E13)*('Jan''16 Multi'!E18/100*1.1)*'Jan''16 Multi'!E8,('Jan''16 Multi'!E14-'Jan''16 Multi'!E13)*('Jan''16 Multi'!E18/100*1.1)*'Jan''16 Multi'!E8))</f>
        <v>63.26100000000001</v>
      </c>
      <c r="D13" s="59">
        <v>0</v>
      </c>
      <c r="E13" s="59">
        <f>IF($H5*'Jan''16 Multi'!G7/'Jan''16 Multi'!G8&lt;'Jan''16 Multi'!G13,0,IF($H5*'Jan''16 Multi'!G7/'Jan''16 Multi'!G8&lt;='Jan''16 Multi'!G14,($H5*'Jan''16 Multi'!G7/'Jan''16 Multi'!G8-'Jan''16 Multi'!G13)*('Jan''16 Multi'!G18/100*1.1)*'Jan''16 Multi'!G8,('Jan''16 Multi'!G14-'Jan''16 Multi'!G13)*('Jan''16 Multi'!G18/100*1.1)*'Jan''16 Multi'!G8))</f>
        <v>63.360000000000014</v>
      </c>
      <c r="F13" s="59">
        <f>IF($H5*'Jan''16 Multi'!H7/'Jan''16 Multi'!H8&lt;'Jan''16 Multi'!H13,0,IF($H5*'Jan''16 Multi'!H7/'Jan''16 Multi'!H8&lt;='Jan''16 Multi'!H14,($H5*'Jan''16 Multi'!H7/'Jan''16 Multi'!H8-'Jan''16 Multi'!H13)*('Jan''16 Multi'!H18/100*1.1)*'Jan''16 Multi'!H8,('Jan''16 Multi'!H14-'Jan''16 Multi'!H13)*('Jan''16 Multi'!H18/100*1.1)*'Jan''16 Multi'!H8))</f>
        <v>57.766500000000008</v>
      </c>
      <c r="G13" s="59">
        <v>0</v>
      </c>
      <c r="H13" s="59">
        <f>IF($H5*'Jan''16 Multi'!J7/'Jan''16 Multi'!J8&lt;'Jan''16 Multi'!J13,0,IF($H5*'Jan''16 Multi'!J7/'Jan''16 Multi'!J8&lt;='Jan''16 Multi'!J14,($H5*'Jan''16 Multi'!J7/'Jan''16 Multi'!J8-'Jan''16 Multi'!J13)*('Jan''16 Multi'!J18/100*1.1)*'Jan''16 Multi'!J8,('Jan''16 Multi'!J14-'Jan''16 Multi'!J13)*('Jan''16 Multi'!J18/100*1.1)*'Jan''16 Multi'!J8))</f>
        <v>65.884500000000003</v>
      </c>
      <c r="I13" s="59">
        <v>0</v>
      </c>
      <c r="J13" s="59">
        <v>0</v>
      </c>
      <c r="K13" s="59">
        <v>0</v>
      </c>
      <c r="L13" s="59">
        <f>IF($H5*'Jan''16 Multi'!N7/'Jan''16 Multi'!N8&lt;'Jan''16 Multi'!N13,0,IF($H5*'Jan''16 Multi'!N7/'Jan''16 Multi'!N8&lt;='Jan''16 Multi'!N14,($H5*'Jan''16 Multi'!N7/'Jan''16 Multi'!N8-'Jan''16 Multi'!N13)*('Jan''16 Multi'!N18/100*1.1)*'Jan''16 Multi'!N8,('Jan''16 Multi'!N14-'Jan''16 Multi'!N13)*('Jan''16 Multi'!N18/100*1.1)*'Jan''16 Multi'!N8))</f>
        <v>66.825000000000003</v>
      </c>
      <c r="M13" s="59">
        <f>IF($H5*'Jan''16 Multi'!O7/'Jan''16 Multi'!O8&lt;'Jan''16 Multi'!O13,0,IF($H5*'Jan''16 Multi'!O7/'Jan''16 Multi'!O8&lt;='Jan''16 Multi'!O14,($H5*'Jan''16 Multi'!O7/'Jan''16 Multi'!O8-'Jan''16 Multi'!O13)*('Jan''16 Multi'!O18/100*1.1)*'Jan''16 Multi'!O8,('Jan''16 Multi'!O14-'Jan''16 Multi'!O13)*('Jan''16 Multi'!O18/100*1.1)*'Jan''16 Multi'!O8))</f>
        <v>61.875000000000014</v>
      </c>
      <c r="N13" s="63"/>
    </row>
    <row r="14" spans="1:16" x14ac:dyDescent="0.15">
      <c r="A14" s="40" t="s">
        <v>606</v>
      </c>
      <c r="C14" s="59">
        <f>IF(($H5*'Jan''16 Multi'!E7/'Jan''16 Multi'!E8&gt;'Jan''16 Multi'!E14),($H5*'Jan''16 Multi'!E7/'Jan''16 Multi'!E8-'Jan''16 Multi'!E14)*'Jan''16 Multi'!E19/100*1.1*'Jan''16 Multi'!E8,0)</f>
        <v>0</v>
      </c>
      <c r="D14" s="59">
        <f>IF(($H5*'Jan''16 Multi'!F7/'Jan''16 Multi'!F8&gt;'Jan''16 Multi'!F12),($H5*'Jan''16 Multi'!F7/'Jan''16 Multi'!F8-'Jan''16 Multi'!F12)*'Jan''16 Multi'!F19/100*1.1)*'Jan''16 Multi'!F8</f>
        <v>57.42</v>
      </c>
      <c r="E14" s="59">
        <f>IF(($H5*'Jan''16 Multi'!G7/'Jan''16 Multi'!G8&gt;'Jan''16 Multi'!G14),($H5*'Jan''16 Multi'!G7/'Jan''16 Multi'!G8-'Jan''16 Multi'!G14)*'Jan''16 Multi'!G19/100*1.1*'Jan''16 Multi'!G8,0)</f>
        <v>0</v>
      </c>
      <c r="F14" s="59">
        <f>IF(($H5*'Jan''16 Multi'!H7/'Jan''16 Multi'!H8&gt;'Jan''16 Multi'!H14),($H5*'Jan''16 Multi'!H7/'Jan''16 Multi'!H8-'Jan''16 Multi'!H14)*'Jan''16 Multi'!H19/100*1.1*'Jan''16 Multi'!H8,0)</f>
        <v>0</v>
      </c>
      <c r="G14" s="59">
        <f>IF(($H5*'Jan''16 Multi'!I7/'Jan''16 Multi'!I8&gt;'Jan''16 Multi'!I12),($H5*'Jan''16 Multi'!I7/'Jan''16 Multi'!I8-'Jan''16 Multi'!I12)*'Jan''16 Multi'!I19/100*1.1)*'Jan''16 Multi'!I8</f>
        <v>48.015000000000008</v>
      </c>
      <c r="H14" s="59">
        <f>IF(($H5*'Jan''16 Multi'!J7/'Jan''16 Multi'!J8&gt;'Jan''16 Multi'!J14),($H5*'Jan''16 Multi'!J7/'Jan''16 Multi'!J8-'Jan''16 Multi'!J14)*'Jan''16 Multi'!J19/100*1.1*'Jan''16 Multi'!J8,0)</f>
        <v>0</v>
      </c>
      <c r="I14" s="59">
        <f>IF(($H5*'Jan''16 Multi'!K7/'Jan''16 Multi'!K8&gt;'Jan''16 Multi'!K12),($H5*'Jan''16 Multi'!K7/'Jan''16 Multi'!K8-'Jan''16 Multi'!K12)*'Jan''16 Multi'!K19/100*1.1)*'Jan''16 Multi'!K8</f>
        <v>63.211500000000001</v>
      </c>
      <c r="J14" s="59">
        <f>IF(($H5*'Jan''16 Multi'!L7/'Jan''16 Multi'!L8&gt;'Jan''16 Multi'!L12),($H5*'Jan''16 Multi'!L7/'Jan''16 Multi'!L8-'Jan''16 Multi'!L12)*'Jan''16 Multi'!L19/100*1.1)*'Jan''16 Multi'!L8</f>
        <v>200.47500000000002</v>
      </c>
      <c r="K14" s="59">
        <f>IF(($H5*'Jan''16 Multi'!M7/'Jan''16 Multi'!M8&gt;'Jan''16 Multi'!M12),($H5*'Jan''16 Multi'!M7/'Jan''16 Multi'!M8-'Jan''16 Multi'!M12)*'Jan''16 Multi'!M19/100*1.1)*'Jan''16 Multi'!M8</f>
        <v>50.984999999999999</v>
      </c>
      <c r="L14" s="59">
        <f>IF(($H5*'Jan''16 Multi'!N7/'Jan''16 Multi'!N8&gt;'Jan''16 Multi'!N14),($H5*'Jan''16 Multi'!N7/'Jan''16 Multi'!N8-'Jan''16 Multi'!N14)*'Jan''16 Multi'!N19/100*1.1*'Jan''16 Multi'!N8,0)</f>
        <v>0</v>
      </c>
      <c r="M14" s="59">
        <f>IF(($H5*'Jan''16 Multi'!O7/'Jan''16 Multi'!O8&gt;'Jan''16 Multi'!O14),($H5*'Jan''16 Multi'!O7/'Jan''16 Multi'!O8-'Jan''16 Multi'!O14)*'Jan''16 Multi'!O19/100*1.1*'Jan''16 Multi'!O8,0)</f>
        <v>0</v>
      </c>
      <c r="N14" s="63"/>
    </row>
    <row r="15" spans="1:16" x14ac:dyDescent="0.15">
      <c r="A15" s="40" t="s">
        <v>607</v>
      </c>
      <c r="C15" s="59">
        <f>IF($H5*'Jan''16 Multi'!E9/'Jan''16 Multi'!E10&gt;='Jan''16 Multi'!E11,('Jan''16 Multi'!E11*'Jan''16 Multi'!E20/100*1.1)*'Jan''16 Multi'!E10,($H5*'Jan''16 Multi'!E9/'Jan''16 Multi'!E10*'Jan''16 Multi'!E20/100*1.1)*'Jan''16 Multi'!E10)</f>
        <v>200.27699999999999</v>
      </c>
      <c r="D15" s="59">
        <f>IF($H5*'Jan''16 Multi'!F9/'Jan''16 Multi'!F10&gt;='Jan''16 Multi'!F11,('Jan''16 Multi'!F11*'Jan''16 Multi'!F20/100*1.1)*'Jan''16 Multi'!F10,($H5*'Jan''16 Multi'!F9/'Jan''16 Multi'!F10*'Jan''16 Multi'!F20/100*1.1)*'Jan''16 Multi'!F10)</f>
        <v>370.65600000000001</v>
      </c>
      <c r="E15" s="59">
        <f>IF($H5*'Jan''16 Multi'!G9/'Jan''16 Multi'!G10&gt;='Jan''16 Multi'!G11,('Jan''16 Multi'!G11*'Jan''16 Multi'!G20/100*1.1)*'Jan''16 Multi'!G10,($H5*'Jan''16 Multi'!G9/'Jan''16 Multi'!G10*'Jan''16 Multi'!G20/100*1.1)*'Jan''16 Multi'!G10)</f>
        <v>193.05</v>
      </c>
      <c r="F15" s="59">
        <f>IF($H5*'Jan''16 Multi'!H9/'Jan''16 Multi'!H10&gt;='Jan''16 Multi'!H11,('Jan''16 Multi'!H11*'Jan''16 Multi'!H20/100*1.1)*'Jan''16 Multi'!H10,($H5*'Jan''16 Multi'!H9/'Jan''16 Multi'!H10*'Jan''16 Multi'!H20/100*1.1)*'Jan''16 Multi'!H10)</f>
        <v>147.41100000000003</v>
      </c>
      <c r="G15" s="59">
        <f>IF($H5*'Jan''16 Multi'!I9/'Jan''16 Multi'!I10&gt;='Jan''16 Multi'!I11,('Jan''16 Multi'!I11*'Jan''16 Multi'!I20/100*1.1)*'Jan''16 Multi'!I10,($H5*'Jan''16 Multi'!I9/'Jan''16 Multi'!I10*'Jan''16 Multi'!I20/100*1.1)*'Jan''16 Multi'!I10)</f>
        <v>358.38</v>
      </c>
      <c r="H15" s="59">
        <f>IF($H5*'Jan''16 Multi'!J9/'Jan''16 Multi'!J10&gt;='Jan''16 Multi'!J11,('Jan''16 Multi'!J11*'Jan''16 Multi'!J20/100*1.1)*'Jan''16 Multi'!J10,($H5*'Jan''16 Multi'!J9/'Jan''16 Multi'!J10*'Jan''16 Multi'!J20/100*1.1)*'Jan''16 Multi'!J10)</f>
        <v>194.33700000000005</v>
      </c>
      <c r="I15" s="59">
        <f>IF($H5*'Jan''16 Multi'!K9/'Jan''16 Multi'!K10&gt;='Jan''16 Multi'!K11,('Jan''16 Multi'!K11*'Jan''16 Multi'!K20/100*1.1)*'Jan''16 Multi'!K10,($H5*'Jan''16 Multi'!K9/'Jan''16 Multi'!K10*'Jan''16 Multi'!K20/100*1.1)*'Jan''16 Multi'!K10)</f>
        <v>342.73800000000006</v>
      </c>
      <c r="J15" s="59">
        <f>IF($H5*'Jan''16 Multi'!L9/'Jan''16 Multi'!L10&gt;='Jan''16 Multi'!L11,('Jan''16 Multi'!L11*'Jan''16 Multi'!L20/100*1.1)*'Jan''16 Multi'!L10,($H5*'Jan''16 Multi'!L9/'Jan''16 Multi'!L10*'Jan''16 Multi'!L20/100*1.1)*'Jan''16 Multi'!L10)</f>
        <v>185.13000000000002</v>
      </c>
      <c r="K15" s="59">
        <f>IF($H5*'Jan''16 Multi'!M9/'Jan''16 Multi'!M10&gt;='Jan''16 Multi'!M11,('Jan''16 Multi'!M11*'Jan''16 Multi'!M20/100*1.1)*'Jan''16 Multi'!M10,($H5*'Jan''16 Multi'!M9/'Jan''16 Multi'!M10*'Jan''16 Multi'!M20/100*1.1)*'Jan''16 Multi'!M10)</f>
        <v>346.50000000000006</v>
      </c>
      <c r="L15" s="59">
        <f>IF($H5*'Jan''16 Multi'!N9/'Jan''16 Multi'!N10&gt;='Jan''16 Multi'!N11,('Jan''16 Multi'!N11*'Jan''16 Multi'!N20/100*1.1)*'Jan''16 Multi'!N10,($H5*'Jan''16 Multi'!N9/'Jan''16 Multi'!N10*'Jan''16 Multi'!N20/100*1.1)*'Jan''16 Multi'!N10)</f>
        <v>202.95</v>
      </c>
      <c r="M15" s="59">
        <f>IF($H5*'Jan''16 Multi'!O9/'Jan''16 Multi'!O10&gt;='Jan''16 Multi'!O11,('Jan''16 Multi'!O11*'Jan''16 Multi'!O20/100*1.1)*'Jan''16 Multi'!O10,($H5*'Jan''16 Multi'!O9/'Jan''16 Multi'!O10*'Jan''16 Multi'!O20/100*1.1)*'Jan''16 Multi'!O10)</f>
        <v>181.17000000000002</v>
      </c>
      <c r="N15" s="63"/>
    </row>
    <row r="16" spans="1:16" x14ac:dyDescent="0.15">
      <c r="A16" s="40" t="s">
        <v>608</v>
      </c>
      <c r="C16" s="59">
        <f>IF($H5*'Jan''16 Multi'!E9/'Jan''16 Multi'!E10&lt;'Jan''16 Multi'!E11,0,IF($H5*'Jan''16 Multi'!E9/'Jan''16 Multi'!E10&lt;='Jan''16 Multi'!E12,($H5*'Jan''16 Multi'!E9/'Jan''16 Multi'!E10-'Jan''16 Multi'!E11)*('Jan''16 Multi'!E21/100*1.1)*'Jan''16 Multi'!E10,('Jan''16 Multi'!E12-'Jan''16 Multi'!E11)*('Jan''16 Multi'!E21/100*1.1)*'Jan''16 Multi'!E10))</f>
        <v>172.85400000000001</v>
      </c>
      <c r="D16" s="59">
        <f>IF($H5*'Jan''16 Multi'!F9/'Jan''16 Multi'!F10&lt;'Jan''16 Multi'!F11,0,IF($H5*'Jan''16 Multi'!F9/'Jan''16 Multi'!F10&lt;='Jan''16 Multi'!F12,($H5*'Jan''16 Multi'!F9/'Jan''16 Multi'!F10-'Jan''16 Multi'!F11)*('Jan''16 Multi'!F21/100*1.1)*'Jan''16 Multi'!F10,('Jan''16 Multi'!F12-'Jan''16 Multi'!F11)*('Jan''16 Multi'!F21/100*1.1)*'Jan''16 Multi'!F10))</f>
        <v>143.05500000000004</v>
      </c>
      <c r="E16" s="59">
        <f>IF($H5*'Jan''16 Multi'!G9/'Jan''16 Multi'!G10&lt;'Jan''16 Multi'!G11,0,IF($H5*'Jan''16 Multi'!G9/'Jan''16 Multi'!G10&lt;='Jan''16 Multi'!G12,($H5*'Jan''16 Multi'!G9/'Jan''16 Multi'!G10-'Jan''16 Multi'!G11)*('Jan''16 Multi'!G21/100*1.1)*'Jan''16 Multi'!G10,('Jan''16 Multi'!G12-'Jan''16 Multi'!G11)*('Jan''16 Multi'!G21/100*1.1)*'Jan''16 Multi'!G10))</f>
        <v>163.35000000000002</v>
      </c>
      <c r="F16" s="59">
        <f>IF($H5*'Jan''16 Multi'!H9/'Jan''16 Multi'!H10&lt;'Jan''16 Multi'!H11,0,IF($H5*'Jan''16 Multi'!H9/'Jan''16 Multi'!H10&lt;='Jan''16 Multi'!H12,($H5*'Jan''16 Multi'!H9/'Jan''16 Multi'!H10-'Jan''16 Multi'!H11)*('Jan''16 Multi'!H21/100*1.1)*'Jan''16 Multi'!H10,('Jan''16 Multi'!H12-'Jan''16 Multi'!H11)*('Jan''16 Multi'!H21/100*1.1)*'Jan''16 Multi'!H10))</f>
        <v>133.05600000000001</v>
      </c>
      <c r="G16" s="59">
        <f>IF($H5*'Jan''16 Multi'!I9/'Jan''16 Multi'!I10&lt;'Jan''16 Multi'!I11,0,IF($H5*'Jan''16 Multi'!I9/'Jan''16 Multi'!I10&lt;='Jan''16 Multi'!I12,($H5*'Jan''16 Multi'!I9/'Jan''16 Multi'!I10-'Jan''16 Multi'!I11)*('Jan''16 Multi'!I21/100*1.1)*'Jan''16 Multi'!I10,('Jan''16 Multi'!I12-'Jan''16 Multi'!I11)*('Jan''16 Multi'!I21/100*1.1)*'Jan''16 Multi'!I10))</f>
        <v>121.77000000000001</v>
      </c>
      <c r="H16" s="59">
        <f>IF($H5*'Jan''16 Multi'!J9/'Jan''16 Multi'!J10&lt;'Jan''16 Multi'!J11,0,IF($H5*'Jan''16 Multi'!J9/'Jan''16 Multi'!J10&lt;='Jan''16 Multi'!J12,($H5*'Jan''16 Multi'!J9/'Jan''16 Multi'!J10-'Jan''16 Multi'!J11)*('Jan''16 Multi'!J21/100*1.1)*'Jan''16 Multi'!J10,('Jan''16 Multi'!J12-'Jan''16 Multi'!J11)*('Jan''16 Multi'!J21/100*1.1)*'Jan''16 Multi'!J10))</f>
        <v>171.56700000000001</v>
      </c>
      <c r="I16" s="59">
        <f>IF($H5*'Jan''16 Multi'!K9/'Jan''16 Multi'!K10&lt;'Jan''16 Multi'!K11,0,IF($H5*'Jan''16 Multi'!K9/'Jan''16 Multi'!K10&lt;='Jan''16 Multi'!K12,($H5*'Jan''16 Multi'!K9/'Jan''16 Multi'!K10-'Jan''16 Multi'!K11)*('Jan''16 Multi'!K21/100*1.1)*'Jan''16 Multi'!K10,('Jan''16 Multi'!K12-'Jan''16 Multi'!K11)*('Jan''16 Multi'!K21/100*1.1)*'Jan''16 Multi'!K10))</f>
        <v>137.709</v>
      </c>
      <c r="J16" s="59">
        <f>IF($H5*'Jan''16 Multi'!L9/'Jan''16 Multi'!L10&lt;'Jan''16 Multi'!L11,0,IF($H5*'Jan''16 Multi'!L9/'Jan''16 Multi'!L10&lt;='Jan''16 Multi'!L12,($H5*'Jan''16 Multi'!L9/'Jan''16 Multi'!L10-'Jan''16 Multi'!L11)*('Jan''16 Multi'!L21/100*1.1)*'Jan''16 Multi'!L10,('Jan''16 Multi'!L12-'Jan''16 Multi'!L11)*('Jan''16 Multi'!L21/100*1.1)*'Jan''16 Multi'!L10))</f>
        <v>161.37</v>
      </c>
      <c r="K16" s="59">
        <f>IF($H5*'Jan''16 Multi'!M9/'Jan''16 Multi'!M10&lt;'Jan''16 Multi'!M11,0,IF($H5*'Jan''16 Multi'!M9/'Jan''16 Multi'!M10&lt;='Jan''16 Multi'!M12,($H5*'Jan''16 Multi'!M9/'Jan''16 Multi'!M10-'Jan''16 Multi'!M11)*('Jan''16 Multi'!M21/100*1.1)*'Jan''16 Multi'!M10,('Jan''16 Multi'!M12-'Jan''16 Multi'!M11)*('Jan''16 Multi'!M21/100*1.1)*'Jan''16 Multi'!M10))</f>
        <v>124.74</v>
      </c>
      <c r="L16" s="59">
        <f>IF($H5*'Jan''16 Multi'!N9/'Jan''16 Multi'!N10&lt;'Jan''16 Multi'!N11,0,IF($H5*'Jan''16 Multi'!N9/'Jan''16 Multi'!N10&lt;='Jan''16 Multi'!N12,($H5*'Jan''16 Multi'!N9/'Jan''16 Multi'!N10-'Jan''16 Multi'!N11)*('Jan''16 Multi'!N21/100*1.1)*'Jan''16 Multi'!N10,('Jan''16 Multi'!N12-'Jan''16 Multi'!N11)*('Jan''16 Multi'!N21/100*1.1)*'Jan''16 Multi'!N10))</f>
        <v>178.20000000000005</v>
      </c>
      <c r="M16" s="59">
        <f>IF($H5*'Jan''16 Multi'!O9/'Jan''16 Multi'!O10&lt;'Jan''16 Multi'!O11,0,IF($H5*'Jan''16 Multi'!O9/'Jan''16 Multi'!O10&lt;='Jan''16 Multi'!O12,($H5*'Jan''16 Multi'!O9/'Jan''16 Multi'!O10-'Jan''16 Multi'!O11)*('Jan''16 Multi'!O21/100*1.1)*'Jan''16 Multi'!O10,('Jan''16 Multi'!O12-'Jan''16 Multi'!O11)*('Jan''16 Multi'!O21/100*1.1)*'Jan''16 Multi'!O10))</f>
        <v>155.43000000000004</v>
      </c>
      <c r="N16" s="63"/>
    </row>
    <row r="17" spans="1:14" x14ac:dyDescent="0.15">
      <c r="A17" s="40" t="s">
        <v>609</v>
      </c>
      <c r="C17" s="59">
        <f>IF($H5*'Jan''16 Multi'!E9/'Jan''16 Multi'!E10&lt;'Jan''16 Multi'!E12,0,IF($H5*'Jan''16 Multi'!E9/'Jan''16 Multi'!E10&lt;='Jan''16 Multi'!E13,($H5*'Jan''16 Multi'!E9/'Jan''16 Multi'!E10-'Jan''16 Multi'!E12)*('Jan''16 Multi'!E22/100*1.1)*'Jan''16 Multi'!E10,('Jan''16 Multi'!E13-'Jan''16 Multi'!E12)*('Jan''16 Multi'!E22/100*1.1)*'Jan''16 Multi'!E10))</f>
        <v>141.76800000000003</v>
      </c>
      <c r="D17" s="59">
        <v>0</v>
      </c>
      <c r="E17" s="59">
        <f>IF($H5*'Jan''16 Multi'!G9/'Jan''16 Multi'!G10&lt;'Jan''16 Multi'!G12,0,IF($H5*'Jan''16 Multi'!G9/'Jan''16 Multi'!G10&lt;='Jan''16 Multi'!G13,($H5*'Jan''16 Multi'!G9/'Jan''16 Multi'!G10-'Jan''16 Multi'!G12)*('Jan''16 Multi'!G22/100*1.1)*'Jan''16 Multi'!G10,('Jan''16 Multi'!G13-'Jan''16 Multi'!G12)*('Jan''16 Multi'!G22/100*1.1)*'Jan''16 Multi'!G10))</f>
        <v>132.66000000000003</v>
      </c>
      <c r="F17" s="59">
        <f>IF($H5*'Jan''16 Multi'!H9/'Jan''16 Multi'!H10&lt;'Jan''16 Multi'!H12,0,IF($H5*'Jan''16 Multi'!H9/'Jan''16 Multi'!H10&lt;='Jan''16 Multi'!H13,($H5*'Jan''16 Multi'!H9/'Jan''16 Multi'!H10-'Jan''16 Multi'!H12)*('Jan''16 Multi'!H22/100*1.1)*'Jan''16 Multi'!H10,('Jan''16 Multi'!H13-'Jan''16 Multi'!H12)*('Jan''16 Multi'!H22/100*1.1)*'Jan''16 Multi'!H10))</f>
        <v>111.078</v>
      </c>
      <c r="G17" s="59">
        <v>0</v>
      </c>
      <c r="H17" s="59">
        <f>IF($H5*'Jan''16 Multi'!J9/'Jan''16 Multi'!J10&lt;'Jan''16 Multi'!J12,0,IF($H5*'Jan''16 Multi'!J9/'Jan''16 Multi'!J10&lt;='Jan''16 Multi'!J13,($H5*'Jan''16 Multi'!J9/'Jan''16 Multi'!J10-'Jan''16 Multi'!J12)*('Jan''16 Multi'!J22/100*1.1)*'Jan''16 Multi'!J10,('Jan''16 Multi'!J13-'Jan''16 Multi'!J12)*('Jan''16 Multi'!J22/100*1.1)*'Jan''16 Multi'!J10))</f>
        <v>143.94600000000003</v>
      </c>
      <c r="I17" s="59">
        <v>0</v>
      </c>
      <c r="J17" s="59">
        <v>0</v>
      </c>
      <c r="K17" s="59">
        <v>0</v>
      </c>
      <c r="L17" s="59">
        <f>IF($H5*'Jan''16 Multi'!N9/'Jan''16 Multi'!N10&lt;'Jan''16 Multi'!N12,0,IF($H5*'Jan''16 Multi'!N9/'Jan''16 Multi'!N10&lt;='Jan''16 Multi'!N13,($H5*'Jan''16 Multi'!N9/'Jan''16 Multi'!N10-'Jan''16 Multi'!N12)*('Jan''16 Multi'!N22/100*1.1)*'Jan''16 Multi'!N10,('Jan''16 Multi'!N13-'Jan''16 Multi'!N12)*('Jan''16 Multi'!N22/100*1.1)*'Jan''16 Multi'!N10))</f>
        <v>148.5</v>
      </c>
      <c r="M17" s="59">
        <f>IF($H5*'Jan''16 Multi'!O9/'Jan''16 Multi'!O10&lt;'Jan''16 Multi'!O12,0,IF($H5*'Jan''16 Multi'!O9/'Jan''16 Multi'!O10&lt;='Jan''16 Multi'!O13,($H5*'Jan''16 Multi'!O9/'Jan''16 Multi'!O10-'Jan''16 Multi'!O12)*('Jan''16 Multi'!O22/100*1.1)*'Jan''16 Multi'!O10,('Jan''16 Multi'!O13-'Jan''16 Multi'!O12)*('Jan''16 Multi'!O22/100*1.1)*'Jan''16 Multi'!O10))</f>
        <v>123.75000000000003</v>
      </c>
      <c r="N17" s="63"/>
    </row>
    <row r="18" spans="1:14" x14ac:dyDescent="0.15">
      <c r="A18" s="40" t="s">
        <v>610</v>
      </c>
      <c r="C18" s="59">
        <f>IF($H5*'Jan''16 Multi'!E9/'Jan''16 Multi'!E10&lt;'Jan''16 Multi'!E13,0,IF($H5*'Jan''16 Multi'!E9/'Jan''16 Multi'!E10&lt;='Jan''16 Multi'!E14,($H5*'Jan''16 Multi'!E9/'Jan''16 Multi'!E10-'Jan''16 Multi'!E13)*('Jan''16 Multi'!E23/100*1.1)*'Jan''16 Multi'!E10,('Jan''16 Multi'!E14-'Jan''16 Multi'!E13)*('Jan''16 Multi'!E23/100*1.1)*'Jan''16 Multi'!E10))</f>
        <v>62.419500000000014</v>
      </c>
      <c r="D18" s="59">
        <v>0</v>
      </c>
      <c r="E18" s="59">
        <f>IF($H5*'Jan''16 Multi'!G9/'Jan''16 Multi'!G10&lt;'Jan''16 Multi'!G13,0,IF($H5*'Jan''16 Multi'!G9/'Jan''16 Multi'!G10&lt;='Jan''16 Multi'!G14,($H5*'Jan''16 Multi'!G9/'Jan''16 Multi'!G10-'Jan''16 Multi'!G13)*('Jan''16 Multi'!G23/100*1.1)*'Jan''16 Multi'!G10,('Jan''16 Multi'!G14-'Jan''16 Multi'!G13)*('Jan''16 Multi'!G23/100*1.1)*'Jan''16 Multi'!G10))</f>
        <v>58.41</v>
      </c>
      <c r="F18" s="59">
        <f>IF($H5*'Jan''16 Multi'!H9/'Jan''16 Multi'!H10&lt;'Jan''16 Multi'!H13,0,IF($H5*'Jan''16 Multi'!H9/'Jan''16 Multi'!H10&lt;='Jan''16 Multi'!H14,($H5*'Jan''16 Multi'!H9/'Jan''16 Multi'!H10-'Jan''16 Multi'!H13)*('Jan''16 Multi'!H23/100*1.1)*'Jan''16 Multi'!H10,('Jan''16 Multi'!H14-'Jan''16 Multi'!H13)*('Jan''16 Multi'!H23/100*1.1)*'Jan''16 Multi'!H10))</f>
        <v>49.698000000000008</v>
      </c>
      <c r="G18" s="59">
        <v>0</v>
      </c>
      <c r="H18" s="59">
        <f>IF($H5*'Jan''16 Multi'!J9/'Jan''16 Multi'!J10&lt;'Jan''16 Multi'!J13,0,IF($H5*'Jan''16 Multi'!J9/'Jan''16 Multi'!J10&lt;='Jan''16 Multi'!J14,($H5*'Jan''16 Multi'!J9/'Jan''16 Multi'!J10-'Jan''16 Multi'!J13)*('Jan''16 Multi'!J23/100*1.1)*'Jan''16 Multi'!J10,('Jan''16 Multi'!J14-'Jan''16 Multi'!J13)*('Jan''16 Multi'!J23/100*1.1)*'Jan''16 Multi'!J10))</f>
        <v>64.6965</v>
      </c>
      <c r="I18" s="59">
        <v>0</v>
      </c>
      <c r="J18" s="59">
        <v>0</v>
      </c>
      <c r="K18" s="59">
        <v>0</v>
      </c>
      <c r="L18" s="59">
        <f>IF($H5*'Jan''16 Multi'!N9/'Jan''16 Multi'!N10&lt;'Jan''16 Multi'!N13,0,IF($H5*'Jan''16 Multi'!N9/'Jan''16 Multi'!N10&lt;='Jan''16 Multi'!N14,($H5*'Jan''16 Multi'!N9/'Jan''16 Multi'!N10-'Jan''16 Multi'!N13)*('Jan''16 Multi'!N23/100*1.1)*'Jan''16 Multi'!N10,('Jan''16 Multi'!N14-'Jan''16 Multi'!N13)*('Jan''16 Multi'!N23/100*1.1)*'Jan''16 Multi'!N10))</f>
        <v>66.825000000000003</v>
      </c>
      <c r="M18" s="59">
        <f>IF($H5*'Jan''16 Multi'!O9/'Jan''16 Multi'!O10&lt;'Jan''16 Multi'!O13,0,IF($H5*'Jan''16 Multi'!O9/'Jan''16 Multi'!O10&lt;='Jan''16 Multi'!O14,($H5*'Jan''16 Multi'!O9/'Jan''16 Multi'!O10-'Jan''16 Multi'!O13)*('Jan''16 Multi'!O23/100*1.1)*'Jan''16 Multi'!O10,('Jan''16 Multi'!O14-'Jan''16 Multi'!O13)*('Jan''16 Multi'!O23/100*1.1)*'Jan''16 Multi'!O10))</f>
        <v>53.460000000000008</v>
      </c>
      <c r="N18" s="63"/>
    </row>
    <row r="19" spans="1:14" x14ac:dyDescent="0.15">
      <c r="A19" s="40" t="s">
        <v>611</v>
      </c>
      <c r="C19" s="59">
        <f>IF(($H5*'Jan''16 Multi'!E9/'Jan''16 Multi'!E10&gt;'Jan''16 Multi'!E14),($H5*'Jan''16 Multi'!E9/'Jan''16 Multi'!E10-'Jan''16 Multi'!E14)*'Jan''16 Multi'!E24/100*1.1*'Jan''16 Multi'!E10,0)</f>
        <v>0</v>
      </c>
      <c r="D19" s="59">
        <f>IF(($H5*'Jan''16 Multi'!F9/'Jan''16 Multi'!F10&gt;'Jan''16 Multi'!F12),($H5*'Jan''16 Multi'!F9/'Jan''16 Multi'!F10-'Jan''16 Multi'!F12)*'Jan''16 Multi'!F24/100*1.1)*'Jan''16 Multi'!F10</f>
        <v>53.707499999999996</v>
      </c>
      <c r="E19" s="59">
        <f>IF(($H5*'Jan''16 Multi'!G9/'Jan''16 Multi'!G10&gt;'Jan''16 Multi'!G14),($H5*'Jan''16 Multi'!G9/'Jan''16 Multi'!G10-'Jan''16 Multi'!G14)*'Jan''16 Multi'!G24/100*1.1*'Jan''16 Multi'!G10,0)</f>
        <v>0</v>
      </c>
      <c r="F19" s="59">
        <f>IF(($H5*'Jan''16 Multi'!H9/'Jan''16 Multi'!H10&gt;'Jan''16 Multi'!H14),($H5*'Jan''16 Multi'!H9/'Jan''16 Multi'!H10-'Jan''16 Multi'!H14)*'Jan''16 Multi'!H24/100*1.1*'Jan''16 Multi'!H10,0)</f>
        <v>0</v>
      </c>
      <c r="G19" s="59">
        <f>IF(($H5*'Jan''16 Multi'!I9/'Jan''16 Multi'!I10&gt;'Jan''16 Multi'!I12),($H5*'Jan''16 Multi'!I9/'Jan''16 Multi'!I10-'Jan''16 Multi'!I12)*'Jan''16 Multi'!I24/100*1.1)*'Jan''16 Multi'!I10</f>
        <v>45.540000000000006</v>
      </c>
      <c r="H19" s="59">
        <f>IF(($H5*'Jan''16 Multi'!J9/'Jan''16 Multi'!J10&gt;'Jan''16 Multi'!J14),($H5*'Jan''16 Multi'!J9/'Jan''16 Multi'!J10-'Jan''16 Multi'!J14)*'Jan''16 Multi'!J24/100*1.1*'Jan''16 Multi'!J10,0)</f>
        <v>0</v>
      </c>
      <c r="I19" s="59">
        <f>IF(($H5*'Jan''16 Multi'!K9/'Jan''16 Multi'!K10&gt;'Jan''16 Multi'!K12),($H5*'Jan''16 Multi'!K9/'Jan''16 Multi'!K10-'Jan''16 Multi'!K12)*'Jan''16 Multi'!K24/100*1.1)*'Jan''16 Multi'!K10</f>
        <v>62.320499999999996</v>
      </c>
      <c r="J19" s="59">
        <f>IF(($H5*'Jan''16 Multi'!L9/'Jan''16 Multi'!L10&gt;'Jan''16 Multi'!L12),($H5*'Jan''16 Multi'!L9/'Jan''16 Multi'!L10-'Jan''16 Multi'!L12)*'Jan''16 Multi'!L24/100*1.1)*'Jan''16 Multi'!L10</f>
        <v>198.99</v>
      </c>
      <c r="K19" s="59">
        <f>IF(($H5*'Jan''16 Multi'!M9/'Jan''16 Multi'!M10&gt;'Jan''16 Multi'!M12),($H5*'Jan''16 Multi'!M9/'Jan''16 Multi'!M10-'Jan''16 Multi'!M12)*'Jan''16 Multi'!M24/100*1.1)*'Jan''16 Multi'!M10</f>
        <v>47.52</v>
      </c>
      <c r="L19" s="59">
        <f>IF(($H5*'Jan''16 Multi'!N9/'Jan''16 Multi'!N10&gt;'Jan''16 Multi'!N14),($H5*'Jan''16 Multi'!N9/'Jan''16 Multi'!N10-'Jan''16 Multi'!N14)*'Jan''16 Multi'!N24/100*1.1*'Jan''16 Multi'!N10,0)</f>
        <v>0</v>
      </c>
      <c r="M19" s="59">
        <f>IF(($H5*'Jan''16 Multi'!O9/'Jan''16 Multi'!O10&gt;'Jan''16 Multi'!O14),($H5*'Jan''16 Multi'!O9/'Jan''16 Multi'!O10-'Jan''16 Multi'!O14)*'Jan''16 Multi'!O24/100*1.1*'Jan''16 Multi'!O10,0)</f>
        <v>0</v>
      </c>
      <c r="N19" s="63"/>
    </row>
    <row r="20" spans="1:14" x14ac:dyDescent="0.15">
      <c r="A20" s="40" t="s">
        <v>612</v>
      </c>
      <c r="C20" s="59">
        <f>365*'Jan''16 Multi'!E25/100*1.1</f>
        <v>274.06390000000005</v>
      </c>
      <c r="D20" s="59">
        <f>365*'Jan''16 Multi'!F25/100*1.1</f>
        <v>275.83050000000003</v>
      </c>
      <c r="E20" s="59">
        <f>365*'Jan''16 Multi'!G25/100*1.1</f>
        <v>285.065</v>
      </c>
      <c r="F20" s="59">
        <f>365*'Jan''16 Multi'!H25/100*1.1</f>
        <v>233.43209999999999</v>
      </c>
      <c r="G20" s="59">
        <f>365*'Jan''16 Multi'!I25/100*1.1</f>
        <v>264.58850000000007</v>
      </c>
      <c r="H20" s="59">
        <f>365*'Jan''16 Multi'!J25/100*1.1</f>
        <v>252.58364999999998</v>
      </c>
      <c r="I20" s="59">
        <f>365*'Jan''16 Multi'!K25/100*1.1</f>
        <v>273.02</v>
      </c>
      <c r="J20" s="59">
        <f>365*'Jan''16 Multi'!L25/100*1.1</f>
        <v>260.29245000000003</v>
      </c>
      <c r="K20" s="59">
        <f>365*'Jan''16 Multi'!M25/100*1.1</f>
        <v>212.75485000000006</v>
      </c>
      <c r="L20" s="59">
        <f>365*'Jan''16 Multi'!N25/100*1.1</f>
        <v>266.9975</v>
      </c>
      <c r="M20" s="59">
        <f>365*'Jan''16 Multi'!O25/100*1.1</f>
        <v>269.00500000000005</v>
      </c>
      <c r="N20" s="60">
        <f>AVERAGE(C20:M20)</f>
        <v>260.69395000000009</v>
      </c>
    </row>
    <row r="21" spans="1:14" x14ac:dyDescent="0.15">
      <c r="A21" s="62" t="s">
        <v>613</v>
      </c>
      <c r="B21" s="63"/>
      <c r="C21" s="61">
        <f t="shared" ref="C21:L21" si="0">SUM(C10:C20)</f>
        <v>1455.4804000000001</v>
      </c>
      <c r="D21" s="61">
        <f t="shared" si="0"/>
        <v>1476.5520000000001</v>
      </c>
      <c r="E21" s="61">
        <f t="shared" si="0"/>
        <v>1433.4650000000004</v>
      </c>
      <c r="F21" s="61">
        <f>SUM(F10:F20)</f>
        <v>1159.7256000000002</v>
      </c>
      <c r="G21" s="61">
        <f>SUM(G10:G20)</f>
        <v>1364.9735000000001</v>
      </c>
      <c r="H21" s="61">
        <f t="shared" si="0"/>
        <v>1428.9016500000002</v>
      </c>
      <c r="I21" s="61">
        <f t="shared" si="0"/>
        <v>1383.998</v>
      </c>
      <c r="J21" s="61">
        <f t="shared" si="0"/>
        <v>1362.6574500000002</v>
      </c>
      <c r="K21" s="61">
        <f t="shared" si="0"/>
        <v>1269.5798500000001</v>
      </c>
      <c r="L21" s="61">
        <f t="shared" si="0"/>
        <v>1489.6475000000003</v>
      </c>
      <c r="M21" s="61">
        <f>SUM(M10:M20)</f>
        <v>1378.3000000000004</v>
      </c>
      <c r="N21" s="64">
        <f>AVERAGE(C21:M21)</f>
        <v>1382.1164500000002</v>
      </c>
    </row>
    <row r="23" spans="1:14" x14ac:dyDescent="0.15">
      <c r="A23" s="53" t="s">
        <v>1076</v>
      </c>
      <c r="C23" s="23" t="s">
        <v>1044</v>
      </c>
      <c r="D23" s="23" t="s">
        <v>591</v>
      </c>
      <c r="E23" s="23" t="s">
        <v>592</v>
      </c>
      <c r="F23" s="23" t="s">
        <v>614</v>
      </c>
      <c r="G23" s="23" t="s">
        <v>615</v>
      </c>
      <c r="H23" s="23" t="s">
        <v>595</v>
      </c>
      <c r="I23" s="23" t="s">
        <v>596</v>
      </c>
      <c r="J23" s="23" t="s">
        <v>486</v>
      </c>
      <c r="K23" s="23" t="s">
        <v>487</v>
      </c>
      <c r="L23" s="23" t="s">
        <v>599</v>
      </c>
      <c r="M23" s="23" t="s">
        <v>600</v>
      </c>
      <c r="N23" s="57" t="s">
        <v>601</v>
      </c>
    </row>
    <row r="24" spans="1:14" x14ac:dyDescent="0.15">
      <c r="A24" s="40" t="s">
        <v>602</v>
      </c>
      <c r="C24" s="59">
        <f>IF($H5*'Jan''16 Multi'!E29/'Jan''16 Multi'!E30&gt;='Jan''16 Multi'!E33,('Jan''16 Multi'!E33*'Jan''16 Multi'!E37/100*1.1)*'Jan''16 Multi'!E30,($H5*'Jan''16 Multi'!E29/'Jan''16 Multi'!E30*'Jan''16 Multi'!E37/100*1.1)*'Jan''16 Multi'!E30)</f>
        <v>206.71200000000005</v>
      </c>
      <c r="D24" s="59">
        <f>IF($H5*'Jan''16 Multi'!F29/'Jan''16 Multi'!F30&gt;='Jan''16 Multi'!F33,('Jan''16 Multi'!F33*'Jan''16 Multi'!F37/100*1.1)*'Jan''16 Multi'!F30,('Bills Jan''16'!$H5*'Jan''16 Multi'!F29/'Jan''16 Multi'!F30*'Jan''16 Multi'!F37/100*1.1)*'Jan''16 Multi'!F30)</f>
        <v>411.04800000000006</v>
      </c>
      <c r="E24" s="59">
        <f>IF($H5*'Jan''16 Multi'!G29/'Jan''16 Multi'!G30&gt;='Jan''16 Multi'!G33,('Jan''16 Multi'!G33*'Jan''16 Multi'!G37/100*1.1)*'Jan''16 Multi'!G30,($H5*'Jan''16 Multi'!G29/'Jan''16 Multi'!G30*'Jan''16 Multi'!G37/100*1.1)*'Jan''16 Multi'!G30)</f>
        <v>217.80000000000007</v>
      </c>
      <c r="F24" s="59">
        <f>IF($H5*'Jan''16 Multi'!H29/'Jan''16 Multi'!H30&gt;='Jan''16 Multi'!H33,('Jan''16 Multi'!H33*'Jan''16 Multi'!H37/100*1.1)*'Jan''16 Multi'!H30,($H5*'Jan''16 Multi'!H29/'Jan''16 Multi'!H30*'Jan''16 Multi'!H37/100*1.1)*'Jan''16 Multi'!H30)</f>
        <v>162.756</v>
      </c>
      <c r="G24" s="59">
        <f>IF($H5*'Jan''16 Multi'!I29/'Jan''16 Multi'!I30&gt;='Jan''16 Multi'!I33,('Jan''16 Multi'!I33*'Jan''16 Multi'!I37/100*1.1)*'Jan''16 Multi'!I30,('Bills Jan''16'!$H5*'Jan''16 Multi'!I29/'Jan''16 Multi'!I30*'Jan''16 Multi'!I37/100*1.1)*'Jan''16 Multi'!I30)</f>
        <v>133.98000000000002</v>
      </c>
      <c r="H24" s="59">
        <f>IF($H5*'Jan''16 Multi'!J29/'Jan''16 Multi'!J30&gt;='Jan''16 Multi'!J33,('Jan''16 Multi'!J33*'Jan''16 Multi'!J37/100*1.1)*'Jan''16 Multi'!J30,($H5*'Jan''16 Multi'!J29/'Jan''16 Multi'!J30*'Jan''16 Multi'!J37/100*1.1)*'Jan''16 Multi'!J30)</f>
        <v>208.29599999999999</v>
      </c>
      <c r="I24" s="59">
        <f>IF($H5*'Jan''16 Multi'!K29/'Jan''16 Multi'!K30&gt;='Jan''16 Multi'!K33,('Jan''16 Multi'!K33*'Jan''16 Multi'!K37/100*1.1)*'Jan''16 Multi'!K30,('Bills Jan''16'!$H5*'Jan''16 Multi'!K29/'Jan''16 Multi'!K30*'Jan''16 Multi'!K37/100*1.1)*'Jan''16 Multi'!K30)</f>
        <v>199.00650000000002</v>
      </c>
      <c r="J24" s="59">
        <f>IF($H5*'Jan''16 Multi'!L29/'Jan''16 Multi'!L30&gt;='Jan''16 Multi'!L33,('Jan''16 Multi'!L33*'Jan''16 Multi'!L37/100*1.1)*'Jan''16 Multi'!L30,('Bills Jan''16'!$H5*'Jan''16 Multi'!L29/'Jan''16 Multi'!L30*'Jan''16 Multi'!L37/100*1.1)*'Jan''16 Multi'!L30)</f>
        <v>198.99</v>
      </c>
      <c r="K24" s="59">
        <f>IF($H5*'Jan''16 Multi'!M29/'Jan''16 Multi'!M30&gt;='Jan''16 Multi'!M33,('Jan''16 Multi'!M33*'Jan''16 Multi'!M37/100*1.1)*'Jan''16 Multi'!M30,('Bills Jan''16'!$H5*'Jan''16 Multi'!M29/'Jan''16 Multi'!M30*'Jan''16 Multi'!M37/100*1.1)*'Jan''16 Multi'!M30)</f>
        <v>197.50500000000002</v>
      </c>
      <c r="L24" s="59">
        <f>IF($H5*'Jan''16 Multi'!N29/'Jan''16 Multi'!N30&gt;='Jan''16 Multi'!N33,('Jan''16 Multi'!N33*'Jan''16 Multi'!N37/100*1.1)*'Jan''16 Multi'!N30,($H5*'Jan''16 Multi'!N29/'Jan''16 Multi'!N30*'Jan''16 Multi'!N37/100*1.1)*'Jan''16 Multi'!N30)</f>
        <v>217.80000000000007</v>
      </c>
      <c r="M24" s="59">
        <f>IF($H5*'Jan''16 Multi'!O29/'Jan''16 Multi'!O30&gt;='Jan''16 Multi'!O33,('Jan''16 Multi'!O33*'Jan''16 Multi'!O37/100*1.1)*'Jan''16 Multi'!O30,($H5*'Jan''16 Multi'!O29/'Jan''16 Multi'!O30*'Jan''16 Multi'!O37/100*1.1)*'Jan''16 Multi'!O30)</f>
        <v>210.87</v>
      </c>
      <c r="N24" s="63"/>
    </row>
    <row r="25" spans="1:14" x14ac:dyDescent="0.15">
      <c r="A25" s="40" t="s">
        <v>603</v>
      </c>
      <c r="C25" s="59">
        <f>IF($H5*'Jan''16 Multi'!E29/'Jan''16 Multi'!E30&lt;'Jan''16 Multi'!E33,0,IF($H5*'Jan''16 Multi'!E29/'Jan''16 Multi'!E30&lt;='Jan''16 Multi'!E34,($H5*'Jan''16 Multi'!E29/'Jan''16 Multi'!E30-'Jan''16 Multi'!E33)*('Jan''16 Multi'!E38/100*1.1)*'Jan''16 Multi'!E30,('Jan''16 Multi'!E34-'Jan''16 Multi'!E33)*('Jan''16 Multi'!E38/100*1.1)*'Jan''16 Multi'!E30))</f>
        <v>180.97200000000004</v>
      </c>
      <c r="D25" s="59">
        <f>IF($H5*'Jan''16 Multi'!F29/'Jan''16 Multi'!F30&lt;'Jan''16 Multi'!F33,0,IF($H5*'Jan''16 Multi'!F29/'Jan''16 Multi'!F30&lt;='Jan''16 Multi'!F34,($H5*'Jan''16 Multi'!F29/'Jan''16 Multi'!F30-'Jan''16 Multi'!F33)*('Jan''16 Multi'!F38/100*1.1)*'Jan''16 Multi'!F30,('Jan''16 Multi'!F34-'Jan''16 Multi'!F33)*('Jan''16 Multi'!F38/100*1.1)*'Jan''16 Multi'!F30))</f>
        <v>164.83500000000004</v>
      </c>
      <c r="E25" s="59">
        <f>IF($H5*'Jan''16 Multi'!G29/'Jan''16 Multi'!G30&lt;'Jan''16 Multi'!G33,0,IF($H5*'Jan''16 Multi'!G29/'Jan''16 Multi'!G30&lt;='Jan''16 Multi'!G34,($H5*'Jan''16 Multi'!G29/'Jan''16 Multi'!G30-'Jan''16 Multi'!G33)*('Jan''16 Multi'!G38/100*1.1)*'Jan''16 Multi'!G30,('Jan''16 Multi'!G34-'Jan''16 Multi'!G33)*('Jan''16 Multi'!G38/100*1.1)*'Jan''16 Multi'!G30))</f>
        <v>198</v>
      </c>
      <c r="F25" s="59">
        <f>IF($H5*'Jan''16 Multi'!H29/'Jan''16 Multi'!H30&lt;'Jan''16 Multi'!H33,0,IF($H5*'Jan''16 Multi'!H29/'Jan''16 Multi'!H30&lt;='Jan''16 Multi'!H34,($H5*'Jan''16 Multi'!H29/'Jan''16 Multi'!H30-'Jan''16 Multi'!H33)*('Jan''16 Multi'!H38/100*1.1)*'Jan''16 Multi'!H30,('Jan''16 Multi'!H34-'Jan''16 Multi'!H33)*('Jan''16 Multi'!H38/100*1.1)*'Jan''16 Multi'!H30))</f>
        <v>145.23300000000003</v>
      </c>
      <c r="G25" s="59">
        <v>0</v>
      </c>
      <c r="H25" s="59">
        <f>IF($H5*'Jan''16 Multi'!J29/'Jan''16 Multi'!J30&lt;'Jan''16 Multi'!J33,0,IF($H5*'Jan''16 Multi'!J29/'Jan''16 Multi'!J30&lt;='Jan''16 Multi'!J34,($H5*'Jan''16 Multi'!J29/'Jan''16 Multi'!J30-'Jan''16 Multi'!J33)*('Jan''16 Multi'!J38/100*1.1)*'Jan''16 Multi'!J30,('Jan''16 Multi'!J34-'Jan''16 Multi'!J33)*('Jan''16 Multi'!J38/100*1.1)*'Jan''16 Multi'!J30))</f>
        <v>182.06100000000001</v>
      </c>
      <c r="I25" s="59">
        <v>0</v>
      </c>
      <c r="J25" s="59">
        <v>0</v>
      </c>
      <c r="K25" s="59">
        <v>0</v>
      </c>
      <c r="L25" s="59">
        <f>IF($H5*'Jan''16 Multi'!N29/'Jan''16 Multi'!N30&lt;'Jan''16 Multi'!N33,0,IF($H5*'Jan''16 Multi'!N29/'Jan''16 Multi'!N30&lt;='Jan''16 Multi'!N34,($H5*'Jan''16 Multi'!N29/'Jan''16 Multi'!N30-'Jan''16 Multi'!N33)*('Jan''16 Multi'!N38/100*1.1)*'Jan''16 Multi'!N30,('Jan''16 Multi'!N34-'Jan''16 Multi'!N33)*('Jan''16 Multi'!N38/100*1.1)*'Jan''16 Multi'!N30))</f>
        <v>188.10000000000002</v>
      </c>
      <c r="M25" s="59">
        <f>IF($H5*'Jan''16 Multi'!O29/'Jan''16 Multi'!O30&lt;'Jan''16 Multi'!O33,0,IF($H5*'Jan''16 Multi'!O29/'Jan''16 Multi'!O30&lt;='Jan''16 Multi'!O34,($H5*'Jan''16 Multi'!O29/'Jan''16 Multi'!O30-'Jan''16 Multi'!O33)*('Jan''16 Multi'!O38/100*1.1)*'Jan''16 Multi'!O30,('Jan''16 Multi'!O34-'Jan''16 Multi'!O33)*('Jan''16 Multi'!O38/100*1.1)*'Jan''16 Multi'!O30))</f>
        <v>180.18000000000004</v>
      </c>
      <c r="N25" s="63"/>
    </row>
    <row r="26" spans="1:14" x14ac:dyDescent="0.15">
      <c r="A26" s="40" t="s">
        <v>604</v>
      </c>
      <c r="C26" s="59">
        <f>IF($H5*'Jan''16 Multi'!E29/'Jan''16 Multi'!E30&lt;'Jan''16 Multi'!E34,0,IF($H5*'Jan''16 Multi'!E29/'Jan''16 Multi'!E30&lt;='Jan''16 Multi'!E35,($H5*'Jan''16 Multi'!E29/'Jan''16 Multi'!E30-'Jan''16 Multi'!E34)*('Jan''16 Multi'!E39/100*1.1)*'Jan''16 Multi'!E30,('Jan''16 Multi'!E35-'Jan''16 Multi'!E34)*('Jan''16 Multi'!E39/100*1.1)*'Jan''16 Multi'!E30))</f>
        <v>145.92599999999999</v>
      </c>
      <c r="D26" s="59">
        <v>0</v>
      </c>
      <c r="E26" s="59">
        <f>IF($H5*'Jan''16 Multi'!G29/'Jan''16 Multi'!G30&lt;'Jan''16 Multi'!G34,0,IF($H5*'Jan''16 Multi'!G29/'Jan''16 Multi'!G30&lt;='Jan''16 Multi'!G35,($H5*'Jan''16 Multi'!G29/'Jan''16 Multi'!G30-'Jan''16 Multi'!G34)*('Jan''16 Multi'!G39/100*1.1)*'Jan''16 Multi'!G30,('Jan''16 Multi'!G35-'Jan''16 Multi'!G34)*('Jan''16 Multi'!G39/100*1.1)*'Jan''16 Multi'!G30))</f>
        <v>163.35000000000002</v>
      </c>
      <c r="F26" s="59">
        <f>IF($H5*'Jan''16 Multi'!H29/'Jan''16 Multi'!H30&lt;'Jan''16 Multi'!H34,0,IF($H5*'Jan''16 Multi'!H29/'Jan''16 Multi'!H30&lt;='Jan''16 Multi'!H35,($H5*'Jan''16 Multi'!H29/'Jan''16 Multi'!H30-'Jan''16 Multi'!H34)*('Jan''16 Multi'!H39/100*1.1)*'Jan''16 Multi'!H30,('Jan''16 Multi'!H35-'Jan''16 Multi'!H34)*('Jan''16 Multi'!H39/100*1.1)*'Jan''16 Multi'!H30))</f>
        <v>119.295</v>
      </c>
      <c r="G26" s="59">
        <v>0</v>
      </c>
      <c r="H26" s="59">
        <f>IF($H5*'Jan''16 Multi'!J29/'Jan''16 Multi'!J30&lt;'Jan''16 Multi'!J34,0,IF($H5*'Jan''16 Multi'!J29/'Jan''16 Multi'!J30&lt;='Jan''16 Multi'!J35,($H5*'Jan''16 Multi'!J29/'Jan''16 Multi'!J30-'Jan''16 Multi'!J34)*('Jan''16 Multi'!J39/100*1.1)*'Jan''16 Multi'!J30,('Jan''16 Multi'!J35-'Jan''16 Multi'!J34)*('Jan''16 Multi'!J39/100*1.1)*'Jan''16 Multi'!J30))</f>
        <v>150.18299999999999</v>
      </c>
      <c r="I26" s="59">
        <v>0</v>
      </c>
      <c r="J26" s="59">
        <v>0</v>
      </c>
      <c r="K26" s="59">
        <v>0</v>
      </c>
      <c r="L26" s="59">
        <f>IF($H5*'Jan''16 Multi'!N29/'Jan''16 Multi'!N30&lt;'Jan''16 Multi'!N34,0,IF($H5*'Jan''16 Multi'!N29/'Jan''16 Multi'!N30&lt;='Jan''16 Multi'!N35,($H5*'Jan''16 Multi'!N29/'Jan''16 Multi'!N30-'Jan''16 Multi'!N34)*('Jan''16 Multi'!N39/100*1.1)*'Jan''16 Multi'!N30,('Jan''16 Multi'!N35-'Jan''16 Multi'!N34)*('Jan''16 Multi'!N39/100*1.1)*'Jan''16 Multi'!N30))</f>
        <v>153.45000000000002</v>
      </c>
      <c r="M26" s="59">
        <f>IF($H5*'Jan''16 Multi'!O29/'Jan''16 Multi'!O30&lt;'Jan''16 Multi'!O34,0,IF($H5*'Jan''16 Multi'!O29/'Jan''16 Multi'!O30&lt;='Jan''16 Multi'!O35,($H5*'Jan''16 Multi'!O29/'Jan''16 Multi'!O30-'Jan''16 Multi'!O34)*('Jan''16 Multi'!O39/100*1.1)*'Jan''16 Multi'!O30,('Jan''16 Multi'!O35-'Jan''16 Multi'!O34)*('Jan''16 Multi'!O39/100*1.1)*'Jan''16 Multi'!O30))</f>
        <v>142.56</v>
      </c>
      <c r="N26" s="63"/>
    </row>
    <row r="27" spans="1:14" x14ac:dyDescent="0.15">
      <c r="A27" s="40" t="s">
        <v>605</v>
      </c>
      <c r="C27" s="59">
        <f>IF($H5*'Jan''16 Multi'!E29/'Jan''16 Multi'!E30&lt;'Jan''16 Multi'!E35,0,IF($H5*'Jan''16 Multi'!E29/'Jan''16 Multi'!E30&lt;='Jan''16 Multi'!E36,($H5*'Jan''16 Multi'!E29/'Jan''16 Multi'!E30-'Jan''16 Multi'!E35)*('Jan''16 Multi'!E40/100*1.1)*'Jan''16 Multi'!E30,('Jan''16 Multi'!E36-'Jan''16 Multi'!E35)*('Jan''16 Multi'!E40/100*1.1)*'Jan''16 Multi'!E30))</f>
        <v>63.657000000000004</v>
      </c>
      <c r="D27" s="59">
        <v>0</v>
      </c>
      <c r="E27" s="59">
        <f>IF($H5*'Jan''16 Multi'!G29/'Jan''16 Multi'!G30&lt;'Jan''16 Multi'!G35,0,IF($H5*'Jan''16 Multi'!G29/'Jan''16 Multi'!G30&lt;='Jan''16 Multi'!G36,($H5*'Jan''16 Multi'!G29/'Jan''16 Multi'!G30-'Jan''16 Multi'!G35)*('Jan''16 Multi'!G40/100*1.1)*'Jan''16 Multi'!G30,('Jan''16 Multi'!G36-'Jan''16 Multi'!G35)*('Jan''16 Multi'!G40/100*1.1)*'Jan''16 Multi'!G30))</f>
        <v>71.923500000000018</v>
      </c>
      <c r="F27" s="59">
        <f>IF($H5*'Jan''16 Multi'!H29/'Jan''16 Multi'!H30&lt;'Jan''16 Multi'!H35,0,IF($H5*'Jan''16 Multi'!H29/'Jan''16 Multi'!H30&lt;='Jan''16 Multi'!H36,($H5*'Jan''16 Multi'!H29/'Jan''16 Multi'!H30-'Jan''16 Multi'!H35)*('Jan''16 Multi'!H40/100*1.1)*'Jan''16 Multi'!H30,('Jan''16 Multi'!H36-'Jan''16 Multi'!H35)*('Jan''16 Multi'!H40/100*1.1)*'Jan''16 Multi'!H30))</f>
        <v>57.766500000000008</v>
      </c>
      <c r="G27" s="59">
        <v>0</v>
      </c>
      <c r="H27" s="59">
        <f>IF($H5*'Jan''16 Multi'!J29/'Jan''16 Multi'!J30&lt;'Jan''16 Multi'!J35,0,IF($H5*'Jan''16 Multi'!J29/'Jan''16 Multi'!J30&lt;='Jan''16 Multi'!J36,($H5*'Jan''16 Multi'!J29/'Jan''16 Multi'!J30-'Jan''16 Multi'!J35)*('Jan''16 Multi'!J40/100*1.1)*'Jan''16 Multi'!J30,('Jan''16 Multi'!J36-'Jan''16 Multi'!J35)*('Jan''16 Multi'!J40/100*1.1)*'Jan''16 Multi'!J30))</f>
        <v>66.62700000000001</v>
      </c>
      <c r="I27" s="59">
        <v>0</v>
      </c>
      <c r="J27" s="59">
        <v>0</v>
      </c>
      <c r="K27" s="59">
        <v>0</v>
      </c>
      <c r="L27" s="59">
        <f>IF($H5*'Jan''16 Multi'!N29/'Jan''16 Multi'!N30&lt;'Jan''16 Multi'!N35,0,IF($H5*'Jan''16 Multi'!N29/'Jan''16 Multi'!N30&lt;='Jan''16 Multi'!N36,($H5*'Jan''16 Multi'!N29/'Jan''16 Multi'!N30-'Jan''16 Multi'!N35)*('Jan''16 Multi'!N40/100*1.1)*'Jan''16 Multi'!N30,('Jan''16 Multi'!N36-'Jan''16 Multi'!N35)*('Jan''16 Multi'!N40/100*1.1)*'Jan''16 Multi'!N30))</f>
        <v>66.825000000000003</v>
      </c>
      <c r="M27" s="59">
        <f>IF($H5*'Jan''16 Multi'!O29/'Jan''16 Multi'!O30&lt;'Jan''16 Multi'!O35,0,IF($H5*'Jan''16 Multi'!O29/'Jan''16 Multi'!O30&lt;='Jan''16 Multi'!O36,($H5*'Jan''16 Multi'!O29/'Jan''16 Multi'!O30-'Jan''16 Multi'!O35)*('Jan''16 Multi'!O40/100*1.1)*'Jan''16 Multi'!O30,('Jan''16 Multi'!O36-'Jan''16 Multi'!O35)*('Jan''16 Multi'!O40/100*1.1)*'Jan''16 Multi'!O30))</f>
        <v>61.875000000000014</v>
      </c>
      <c r="N27" s="63"/>
    </row>
    <row r="28" spans="1:14" x14ac:dyDescent="0.15">
      <c r="A28" s="40" t="s">
        <v>606</v>
      </c>
      <c r="C28" s="59">
        <f>IF(($H5*'Jan''16 Multi'!E29/'Jan''16 Multi'!E30&gt;'Jan''16 Multi'!E36),($H5*'Jan''16 Multi'!E29/'Jan''16 Multi'!E30-'Jan''16 Multi'!E36)*'Jan''16 Multi'!E41/100*1.1*'Jan''16 Multi'!E30,0)</f>
        <v>0</v>
      </c>
      <c r="D28" s="59">
        <f>IF(($H5*'Jan''16 Multi'!F29/'Jan''16 Multi'!F30&gt;'Jan''16 Multi'!F34),('Bills Jan''16'!$H5*'Jan''16 Multi'!F29/'Jan''16 Multi'!F30-'Jan''16 Multi'!F34)*'Jan''16 Multi'!F41/100*1.1)*'Jan''16 Multi'!F30</f>
        <v>57.42</v>
      </c>
      <c r="E28" s="59">
        <f>IF(($H5*'Jan''16 Multi'!G29/'Jan''16 Multi'!G30&gt;'Jan''16 Multi'!G36),($H5*'Jan''16 Multi'!G29/'Jan''16 Multi'!G30-'Jan''16 Multi'!G36)*'Jan''16 Multi'!G41/100*1.1*'Jan''16 Multi'!G30,0)</f>
        <v>0</v>
      </c>
      <c r="F28" s="59">
        <f>IF(($H5*'Jan''16 Multi'!H29/'Jan''16 Multi'!H30&gt;'Jan''16 Multi'!H36),($H5*'Jan''16 Multi'!H29/'Jan''16 Multi'!H30-'Jan''16 Multi'!H36)*'Jan''16 Multi'!H41/100*1.1*'Jan''16 Multi'!H30,0)</f>
        <v>0</v>
      </c>
      <c r="G28" s="59">
        <f>IF(($H5*'Jan''16 Multi'!I29/'Jan''16 Multi'!I30&gt;'Jan''16 Multi'!I33),('Bills Jan''16'!$H5*'Jan''16 Multi'!I29/'Jan''16 Multi'!I30-'Jan''16 Multi'!I33)*'Jan''16 Multi'!I41/100*1.1)*'Jan''16 Multi'!I30</f>
        <v>230.96535</v>
      </c>
      <c r="H28" s="59">
        <f>IF(($H5*'Jan''16 Multi'!J29/'Jan''16 Multi'!J30&gt;'Jan''16 Multi'!J36),($H5*'Jan''16 Multi'!J29/'Jan''16 Multi'!J30-'Jan''16 Multi'!J36)*'Jan''16 Multi'!J41/100*1.1*'Jan''16 Multi'!J30,0)</f>
        <v>0</v>
      </c>
      <c r="I28" s="59">
        <f>IF(($H5*'Jan''16 Multi'!K29/'Jan''16 Multi'!K30&gt;'Jan''16 Multi'!K33),('Bills Jan''16'!$H5*'Jan''16 Multi'!K29/'Jan''16 Multi'!K30-'Jan''16 Multi'!K33)*'Jan''16 Multi'!K41/100*1.1)*'Jan''16 Multi'!K30</f>
        <v>349.73400000000004</v>
      </c>
      <c r="J28" s="59">
        <f>IF(($H5*'Jan''16 Multi'!L29/'Jan''16 Multi'!L30&gt;'Jan''16 Multi'!L33),('Bills Jan''16'!$H5*'Jan''16 Multi'!L29/'Jan''16 Multi'!L30-'Jan''16 Multi'!L33)*'Jan''16 Multi'!L41/100*1.1)*'Jan''16 Multi'!L30</f>
        <v>373.72500000000002</v>
      </c>
      <c r="K28" s="59">
        <f>IF(($H5*'Jan''16 Multi'!M29/'Jan''16 Multi'!M30&gt;'Jan''16 Multi'!M33),('Bills Jan''16'!$H5*'Jan''16 Multi'!M29/'Jan''16 Multi'!M30-'Jan''16 Multi'!M33)*'Jan''16 Multi'!M41/100*1.1)*'Jan''16 Multi'!M30</f>
        <v>323.40000000000003</v>
      </c>
      <c r="L28" s="59">
        <f>IF(($H5*'Jan''16 Multi'!N29/'Jan''16 Multi'!N30&gt;'Jan''16 Multi'!N36),($H5*'Jan''16 Multi'!N29/'Jan''16 Multi'!N30-'Jan''16 Multi'!N36)*'Jan''16 Multi'!N41/100*1.1*'Jan''16 Multi'!N30,0)</f>
        <v>0</v>
      </c>
      <c r="M28" s="59">
        <f>IF(($H5*'Jan''16 Multi'!O29/'Jan''16 Multi'!O30&gt;'Jan''16 Multi'!O36),($H5*'Jan''16 Multi'!O29/'Jan''16 Multi'!O30-'Jan''16 Multi'!O36)*'Jan''16 Multi'!O41/100*1.1*'Jan''16 Multi'!O30,0)</f>
        <v>0</v>
      </c>
      <c r="N28" s="63"/>
    </row>
    <row r="29" spans="1:14" x14ac:dyDescent="0.15">
      <c r="A29" s="40" t="s">
        <v>607</v>
      </c>
      <c r="C29" s="59">
        <f>IF($H5*'Jan''16 Multi'!E31/'Jan''16 Multi'!E32&gt;='Jan''16 Multi'!E33,('Jan''16 Multi'!E33*'Jan''16 Multi'!E42/100*1.1)*'Jan''16 Multi'!E32,($H5*'Jan''16 Multi'!E31/'Jan''16 Multi'!E32*'Jan''16 Multi'!E42/100*1.1)*'Jan''16 Multi'!E32)</f>
        <v>196.21800000000002</v>
      </c>
      <c r="D29" s="59">
        <f>IF($H5*'Jan''16 Multi'!F31/'Jan''16 Multi'!F32&gt;='Jan''16 Multi'!F33,('Jan''16 Multi'!F33*'Jan''16 Multi'!F42/100*1.1)*'Jan''16 Multi'!F32,('Bills Jan''16'!$H5*'Jan''16 Multi'!F31/'Jan''16 Multi'!F32*'Jan''16 Multi'!F42/100*1.1)*'Jan''16 Multi'!F32)</f>
        <v>370.65600000000001</v>
      </c>
      <c r="E29" s="59">
        <f>IF($H5*'Jan''16 Multi'!G31/'Jan''16 Multi'!G32&gt;='Jan''16 Multi'!G33,('Jan''16 Multi'!G33*'Jan''16 Multi'!G42/100*1.1)*'Jan''16 Multi'!G32,($H5*'Jan''16 Multi'!G31/'Jan''16 Multi'!G32*'Jan''16 Multi'!G42/100*1.1)*'Jan''16 Multi'!G32)</f>
        <v>183.15</v>
      </c>
      <c r="F29" s="59">
        <f>IF($H5*'Jan''16 Multi'!H31/'Jan''16 Multi'!H32&gt;='Jan''16 Multi'!H33,('Jan''16 Multi'!H33*'Jan''16 Multi'!H42/100*1.1)*'Jan''16 Multi'!H32,($H5*'Jan''16 Multi'!H31/'Jan''16 Multi'!H32*'Jan''16 Multi'!H42/100*1.1)*'Jan''16 Multi'!H32)</f>
        <v>147.41100000000003</v>
      </c>
      <c r="G29" s="59">
        <f>IF($H5*'Jan''16 Multi'!I31/'Jan''16 Multi'!I32&gt;='Jan''16 Multi'!I33,('Jan''16 Multi'!I33*'Jan''16 Multi'!I42/100*1.1)*'Jan''16 Multi'!I32,('Bills Jan''16'!$H5*'Jan''16 Multi'!I31/'Jan''16 Multi'!I32*'Jan''16 Multi'!I42/100*1.1)*'Jan''16 Multi'!I32)</f>
        <v>257.18</v>
      </c>
      <c r="H29" s="59">
        <f>IF($H5*'Jan''16 Multi'!J31/'Jan''16 Multi'!J32&gt;='Jan''16 Multi'!J33,('Jan''16 Multi'!J33*'Jan''16 Multi'!J42/100*1.1)*'Jan''16 Multi'!J32,($H5*'Jan''16 Multi'!J31/'Jan''16 Multi'!J32*'Jan''16 Multi'!J42/100*1.1)*'Jan''16 Multi'!J32)</f>
        <v>195.82200000000006</v>
      </c>
      <c r="I29" s="59">
        <f>IF($H5*'Jan''16 Multi'!K31/'Jan''16 Multi'!K32&gt;='Jan''16 Multi'!K33,('Jan''16 Multi'!K33*'Jan''16 Multi'!K42/100*1.1)*'Jan''16 Multi'!K32,('Bills Jan''16'!$H5*'Jan''16 Multi'!K31/'Jan''16 Multi'!K32*'Jan''16 Multi'!K42/100*1.1)*'Jan''16 Multi'!K32)</f>
        <v>186.87900000000002</v>
      </c>
      <c r="J29" s="59">
        <f>IF($H5*'Jan''16 Multi'!L31/'Jan''16 Multi'!L32&gt;='Jan''16 Multi'!L33,('Jan''16 Multi'!L33*'Jan''16 Multi'!L42/100*1.1)*'Jan''16 Multi'!L32,('Bills Jan''16'!$H5*'Jan''16 Multi'!L31/'Jan''16 Multi'!L32*'Jan''16 Multi'!L42/100*1.1)*'Jan''16 Multi'!L32)</f>
        <v>195.03000000000003</v>
      </c>
      <c r="K29" s="59">
        <f>IF($H5*'Jan''16 Multi'!M31/'Jan''16 Multi'!M32&gt;='Jan''16 Multi'!M33,('Jan''16 Multi'!M33*'Jan''16 Multi'!M42/100*1.1)*'Jan''16 Multi'!M32,('Bills Jan''16'!$H5*'Jan''16 Multi'!M31/'Jan''16 Multi'!M32*'Jan''16 Multi'!M42/100*1.1)*'Jan''16 Multi'!M32)</f>
        <v>189.42000000000002</v>
      </c>
      <c r="L29" s="59">
        <f>IF($H5*'Jan''16 Multi'!N31/'Jan''16 Multi'!N32&gt;='Jan''16 Multi'!N33,('Jan''16 Multi'!N33*'Jan''16 Multi'!N42/100*1.1)*'Jan''16 Multi'!N32,($H5*'Jan''16 Multi'!N31/'Jan''16 Multi'!N32*'Jan''16 Multi'!N42/100*1.1)*'Jan''16 Multi'!N32)</f>
        <v>202.95</v>
      </c>
      <c r="M29" s="59">
        <f>IF($H5*'Jan''16 Multi'!O31/'Jan''16 Multi'!O32&gt;='Jan''16 Multi'!O33,('Jan''16 Multi'!O33*'Jan''16 Multi'!O42/100*1.1)*'Jan''16 Multi'!O32,($H5*'Jan''16 Multi'!O31/'Jan''16 Multi'!O32*'Jan''16 Multi'!O42/100*1.1)*'Jan''16 Multi'!O32)</f>
        <v>181.17000000000002</v>
      </c>
      <c r="N29" s="63"/>
    </row>
    <row r="30" spans="1:14" x14ac:dyDescent="0.15">
      <c r="A30" s="40" t="s">
        <v>608</v>
      </c>
      <c r="C30" s="59">
        <f>IF($H5*'Jan''16 Multi'!E31/'Jan''16 Multi'!E32&lt;'Jan''16 Multi'!E33,0,IF($H5*'Jan''16 Multi'!E31/'Jan''16 Multi'!E32&lt;='Jan''16 Multi'!E34,($H5*'Jan''16 Multi'!E31/'Jan''16 Multi'!E32-'Jan''16 Multi'!E33)*('Jan''16 Multi'!E43/100*1.1)*'Jan''16 Multi'!E32,('Jan''16 Multi'!E34-'Jan''16 Multi'!E33)*('Jan''16 Multi'!E43/100*1.1)*'Jan''16 Multi'!E32))</f>
        <v>171.17099999999999</v>
      </c>
      <c r="D30" s="59">
        <f>IF($H5*'Jan''16 Multi'!F31/'Jan''16 Multi'!F32&lt;'Jan''16 Multi'!F33,0,IF($H5*'Jan''16 Multi'!F31/'Jan''16 Multi'!F32&lt;='Jan''16 Multi'!F34,($H5*'Jan''16 Multi'!F31/'Jan''16 Multi'!F32-'Jan''16 Multi'!F33)*('Jan''16 Multi'!F43/100*1.1)*'Jan''16 Multi'!F32,('Jan''16 Multi'!F34-'Jan''16 Multi'!F33)*('Jan''16 Multi'!F43/100*1.1)*'Jan''16 Multi'!F32))</f>
        <v>143.05500000000004</v>
      </c>
      <c r="E30" s="59">
        <f>IF($H5*'Jan''16 Multi'!G31/'Jan''16 Multi'!G32&lt;'Jan''16 Multi'!G33,0,IF($H5*'Jan''16 Multi'!G31/'Jan''16 Multi'!G32&lt;='Jan''16 Multi'!G34,($H5*'Jan''16 Multi'!G31/'Jan''16 Multi'!G32-'Jan''16 Multi'!G33)*('Jan''16 Multi'!G43/100*1.1)*'Jan''16 Multi'!G32,('Jan''16 Multi'!G34-'Jan''16 Multi'!G33)*('Jan''16 Multi'!G43/100*1.1)*'Jan''16 Multi'!G32))</f>
        <v>163.35000000000002</v>
      </c>
      <c r="F30" s="59">
        <f>IF($H5*'Jan''16 Multi'!H31/'Jan''16 Multi'!H32&lt;'Jan''16 Multi'!H33,0,IF($H5*'Jan''16 Multi'!H31/'Jan''16 Multi'!H32&lt;='Jan''16 Multi'!H34,($H5*'Jan''16 Multi'!H31/'Jan''16 Multi'!H32-'Jan''16 Multi'!H33)*('Jan''16 Multi'!H43/100*1.1)*'Jan''16 Multi'!H32,('Jan''16 Multi'!H34-'Jan''16 Multi'!H33)*('Jan''16 Multi'!H43/100*1.1)*'Jan''16 Multi'!H32))</f>
        <v>133.05600000000001</v>
      </c>
      <c r="G30" s="59">
        <v>0</v>
      </c>
      <c r="H30" s="59">
        <f>IF($H5*'Jan''16 Multi'!J31/'Jan''16 Multi'!J32&lt;'Jan''16 Multi'!J33,0,IF($H5*'Jan''16 Multi'!J31/'Jan''16 Multi'!J32&lt;='Jan''16 Multi'!J34,($H5*'Jan''16 Multi'!J31/'Jan''16 Multi'!J32-'Jan''16 Multi'!J33)*('Jan''16 Multi'!J43/100*1.1)*'Jan''16 Multi'!J32,('Jan''16 Multi'!J34-'Jan''16 Multi'!J33)*('Jan''16 Multi'!J43/100*1.1)*'Jan''16 Multi'!J32))</f>
        <v>173.05200000000002</v>
      </c>
      <c r="I30" s="59">
        <v>0</v>
      </c>
      <c r="J30" s="59">
        <v>0</v>
      </c>
      <c r="K30" s="59">
        <v>0</v>
      </c>
      <c r="L30" s="59">
        <f>IF($H5*'Jan''16 Multi'!N31/'Jan''16 Multi'!N32&lt;'Jan''16 Multi'!N33,0,IF($H5*'Jan''16 Multi'!N31/'Jan''16 Multi'!N32&lt;='Jan''16 Multi'!N34,($H5*'Jan''16 Multi'!N31/'Jan''16 Multi'!N32-'Jan''16 Multi'!N33)*('Jan''16 Multi'!N43/100*1.1)*'Jan''16 Multi'!N32,('Jan''16 Multi'!N34-'Jan''16 Multi'!N33)*('Jan''16 Multi'!N43/100*1.1)*'Jan''16 Multi'!N32))</f>
        <v>178.20000000000005</v>
      </c>
      <c r="M30" s="59">
        <f>IF($H5*'Jan''16 Multi'!O31/'Jan''16 Multi'!O32&lt;'Jan''16 Multi'!O33,0,IF($H5*'Jan''16 Multi'!O31/'Jan''16 Multi'!O32&lt;='Jan''16 Multi'!O34,($H5*'Jan''16 Multi'!O31/'Jan''16 Multi'!O32-'Jan''16 Multi'!O33)*('Jan''16 Multi'!O43/100*1.1)*'Jan''16 Multi'!O32,('Jan''16 Multi'!O34-'Jan''16 Multi'!O33)*('Jan''16 Multi'!O43/100*1.1)*'Jan''16 Multi'!O32))</f>
        <v>155.43000000000004</v>
      </c>
      <c r="N30" s="63"/>
    </row>
    <row r="31" spans="1:14" x14ac:dyDescent="0.15">
      <c r="A31" s="40" t="s">
        <v>609</v>
      </c>
      <c r="C31" s="59">
        <f>IF($H5*'Jan''16 Multi'!E31/'Jan''16 Multi'!E32&lt;'Jan''16 Multi'!E34,0,IF($H5*'Jan''16 Multi'!E31/'Jan''16 Multi'!E32&lt;='Jan''16 Multi'!E35,($H5*'Jan''16 Multi'!E31/'Jan''16 Multi'!E32-'Jan''16 Multi'!E34)*('Jan''16 Multi'!E44/100*1.1)*'Jan''16 Multi'!E32,('Jan''16 Multi'!E35-'Jan''16 Multi'!E34)*('Jan''16 Multi'!E44/100*1.1)*'Jan''16 Multi'!E32))</f>
        <v>140.77800000000002</v>
      </c>
      <c r="D31" s="59">
        <v>0</v>
      </c>
      <c r="E31" s="59">
        <f>IF($H5*'Jan''16 Multi'!G31/'Jan''16 Multi'!G32&lt;'Jan''16 Multi'!G34,0,IF($H5*'Jan''16 Multi'!G31/'Jan''16 Multi'!G32&lt;='Jan''16 Multi'!G35,($H5*'Jan''16 Multi'!G31/'Jan''16 Multi'!G32-'Jan''16 Multi'!G34)*('Jan''16 Multi'!G44/100*1.1)*'Jan''16 Multi'!G32,('Jan''16 Multi'!G35-'Jan''16 Multi'!G34)*('Jan''16 Multi'!G44/100*1.1)*'Jan''16 Multi'!G32))</f>
        <v>138.60000000000002</v>
      </c>
      <c r="F31" s="59">
        <f>IF($H5*'Jan''16 Multi'!H31/'Jan''16 Multi'!H32&lt;'Jan''16 Multi'!H34,0,IF($H5*'Jan''16 Multi'!H31/'Jan''16 Multi'!H32&lt;='Jan''16 Multi'!H35,($H5*'Jan''16 Multi'!H31/'Jan''16 Multi'!H32-'Jan''16 Multi'!H34)*('Jan''16 Multi'!H44/100*1.1)*'Jan''16 Multi'!H32,('Jan''16 Multi'!H35-'Jan''16 Multi'!H34)*('Jan''16 Multi'!H44/100*1.1)*'Jan''16 Multi'!H32))</f>
        <v>111.078</v>
      </c>
      <c r="G31" s="59">
        <v>0</v>
      </c>
      <c r="H31" s="59">
        <f>IF($H5*'Jan''16 Multi'!J31/'Jan''16 Multi'!J32&lt;'Jan''16 Multi'!J34,0,IF($H5*'Jan''16 Multi'!J31/'Jan''16 Multi'!J32&lt;='Jan''16 Multi'!J35,($H5*'Jan''16 Multi'!J31/'Jan''16 Multi'!J32-'Jan''16 Multi'!J34)*('Jan''16 Multi'!J44/100*1.1)*'Jan''16 Multi'!J32,('Jan''16 Multi'!J35-'Jan''16 Multi'!J34)*('Jan''16 Multi'!J44/100*1.1)*'Jan''16 Multi'!J32))</f>
        <v>145.53</v>
      </c>
      <c r="I31" s="59">
        <v>0</v>
      </c>
      <c r="J31" s="59">
        <v>0</v>
      </c>
      <c r="K31" s="59">
        <v>0</v>
      </c>
      <c r="L31" s="59">
        <f>IF($H5*'Jan''16 Multi'!N31/'Jan''16 Multi'!N32&lt;'Jan''16 Multi'!N34,0,IF($H5*'Jan''16 Multi'!N31/'Jan''16 Multi'!N32&lt;='Jan''16 Multi'!N35,($H5*'Jan''16 Multi'!N31/'Jan''16 Multi'!N32-'Jan''16 Multi'!N34)*('Jan''16 Multi'!N44/100*1.1)*'Jan''16 Multi'!N32,('Jan''16 Multi'!N35-'Jan''16 Multi'!N34)*('Jan''16 Multi'!N44/100*1.1)*'Jan''16 Multi'!N32))</f>
        <v>148.5</v>
      </c>
      <c r="M31" s="59">
        <f>IF($H5*'Jan''16 Multi'!O31/'Jan''16 Multi'!O32&lt;'Jan''16 Multi'!O34,0,IF($H5*'Jan''16 Multi'!O31/'Jan''16 Multi'!O32&lt;='Jan''16 Multi'!O35,($H5*'Jan''16 Multi'!O31/'Jan''16 Multi'!O32-'Jan''16 Multi'!O34)*('Jan''16 Multi'!O44/100*1.1)*'Jan''16 Multi'!O32,('Jan''16 Multi'!O35-'Jan''16 Multi'!O34)*('Jan''16 Multi'!O44/100*1.1)*'Jan''16 Multi'!O32))</f>
        <v>123.75000000000003</v>
      </c>
      <c r="N31" s="63"/>
    </row>
    <row r="32" spans="1:14" x14ac:dyDescent="0.15">
      <c r="A32" s="40" t="s">
        <v>610</v>
      </c>
      <c r="C32" s="59">
        <f>IF($H5*'Jan''16 Multi'!E31/'Jan''16 Multi'!E32&lt;'Jan''16 Multi'!E35,0,IF($H5*'Jan''16 Multi'!E31/'Jan''16 Multi'!E32&lt;='Jan''16 Multi'!E36,($H5*'Jan''16 Multi'!E31/'Jan''16 Multi'!E32-'Jan''16 Multi'!E35)*('Jan''16 Multi'!E45/100*1.1)*'Jan''16 Multi'!E32,('Jan''16 Multi'!E36-'Jan''16 Multi'!E35)*('Jan''16 Multi'!E45/100*1.1)*'Jan''16 Multi'!E32))</f>
        <v>62.320499999999996</v>
      </c>
      <c r="D32" s="59">
        <v>0</v>
      </c>
      <c r="E32" s="59">
        <f>IF($H5*'Jan''16 Multi'!G31/'Jan''16 Multi'!G32&lt;'Jan''16 Multi'!G35,0,IF($H5*'Jan''16 Multi'!G31/'Jan''16 Multi'!G32&lt;='Jan''16 Multi'!G36,($H5*'Jan''16 Multi'!G31/'Jan''16 Multi'!G32-'Jan''16 Multi'!G35)*('Jan''16 Multi'!G45/100*1.1)*'Jan''16 Multi'!G32,('Jan''16 Multi'!G36-'Jan''16 Multi'!G35)*('Jan''16 Multi'!G45/100*1.1)*'Jan''16 Multi'!G32))</f>
        <v>60.736500000000007</v>
      </c>
      <c r="F32" s="59">
        <f>IF($H5*'Jan''16 Multi'!H31/'Jan''16 Multi'!H32&lt;'Jan''16 Multi'!H35,0,IF($H5*'Jan''16 Multi'!H31/'Jan''16 Multi'!H32&lt;='Jan''16 Multi'!H36,($H5*'Jan''16 Multi'!H31/'Jan''16 Multi'!H32-'Jan''16 Multi'!H35)*('Jan''16 Multi'!H45/100*1.1)*'Jan''16 Multi'!H32,('Jan''16 Multi'!H36-'Jan''16 Multi'!H35)*('Jan''16 Multi'!H45/100*1.1)*'Jan''16 Multi'!H32))</f>
        <v>49.698000000000008</v>
      </c>
      <c r="G32" s="59">
        <v>0</v>
      </c>
      <c r="H32" s="59">
        <f>IF($H5*'Jan''16 Multi'!J31/'Jan''16 Multi'!J32&lt;'Jan''16 Multi'!J35,0,IF($H5*'Jan''16 Multi'!J31/'Jan''16 Multi'!J32&lt;='Jan''16 Multi'!J36,($H5*'Jan''16 Multi'!J31/'Jan''16 Multi'!J32-'Jan''16 Multi'!J35)*('Jan''16 Multi'!J45/100*1.1)*'Jan''16 Multi'!J32,('Jan''16 Multi'!J36-'Jan''16 Multi'!J35)*('Jan''16 Multi'!J45/100*1.1)*'Jan''16 Multi'!J32))</f>
        <v>65.488500000000002</v>
      </c>
      <c r="I32" s="59">
        <v>0</v>
      </c>
      <c r="J32" s="59">
        <v>0</v>
      </c>
      <c r="K32" s="59">
        <v>0</v>
      </c>
      <c r="L32" s="59">
        <f>IF($H5*'Jan''16 Multi'!N31/'Jan''16 Multi'!N32&lt;'Jan''16 Multi'!N35,0,IF($H5*'Jan''16 Multi'!N31/'Jan''16 Multi'!N32&lt;='Jan''16 Multi'!N36,($H5*'Jan''16 Multi'!N31/'Jan''16 Multi'!N32-'Jan''16 Multi'!N35)*('Jan''16 Multi'!N45/100*1.1)*'Jan''16 Multi'!N32,('Jan''16 Multi'!N36-'Jan''16 Multi'!N35)*('Jan''16 Multi'!N45/100*1.1)*'Jan''16 Multi'!N32))</f>
        <v>66.825000000000003</v>
      </c>
      <c r="M32" s="59">
        <f>IF($H5*'Jan''16 Multi'!O31/'Jan''16 Multi'!O32&lt;'Jan''16 Multi'!O35,0,IF($H5*'Jan''16 Multi'!O31/'Jan''16 Multi'!O32&lt;='Jan''16 Multi'!O36,($H5*'Jan''16 Multi'!O31/'Jan''16 Multi'!O32-'Jan''16 Multi'!O35)*('Jan''16 Multi'!O45/100*1.1)*'Jan''16 Multi'!O32,('Jan''16 Multi'!O36-'Jan''16 Multi'!O35)*('Jan''16 Multi'!O45/100*1.1)*'Jan''16 Multi'!O32))</f>
        <v>53.460000000000008</v>
      </c>
      <c r="N32" s="63"/>
    </row>
    <row r="33" spans="1:14" x14ac:dyDescent="0.15">
      <c r="A33" s="40" t="s">
        <v>611</v>
      </c>
      <c r="C33" s="59">
        <f>IF(($H5*'Jan''16 Multi'!E31/'Jan''16 Multi'!E32&gt;'Jan''16 Multi'!E36),($H5*'Jan''16 Multi'!E31/'Jan''16 Multi'!E32-'Jan''16 Multi'!E36)*'Jan''16 Multi'!E46/100*1.1*'Jan''16 Multi'!E32,0)</f>
        <v>0</v>
      </c>
      <c r="D33" s="59">
        <f>IF(($H5*'Jan''16 Multi'!F31/'Jan''16 Multi'!F32&gt;'Jan''16 Multi'!F34),('Bills Jan''16'!$H5*'Jan''16 Multi'!F31/'Jan''16 Multi'!F32-'Jan''16 Multi'!F34)*'Jan''16 Multi'!F46/100*1.1)*'Jan''16 Multi'!F32</f>
        <v>53.707499999999996</v>
      </c>
      <c r="E33" s="59">
        <f>IF(($H5*'Jan''16 Multi'!G31/'Jan''16 Multi'!G32&gt;'Jan''16 Multi'!G36),($H5*'Jan''16 Multi'!G31/'Jan''16 Multi'!G32-'Jan''16 Multi'!G36)*'Jan''16 Multi'!G46/100*1.1*'Jan''16 Multi'!G32,0)</f>
        <v>0</v>
      </c>
      <c r="F33" s="59">
        <f>IF(($H5*'Jan''16 Multi'!H31/'Jan''16 Multi'!H32&gt;'Jan''16 Multi'!H36),($H5*'Jan''16 Multi'!H31/'Jan''16 Multi'!H32-'Jan''16 Multi'!H36)*'Jan''16 Multi'!H46/100*1.1*'Jan''16 Multi'!H32,0)</f>
        <v>0</v>
      </c>
      <c r="G33" s="59">
        <f>IF(($H5*'Jan''16 Multi'!I31/'Jan''16 Multi'!I32&gt;'Jan''16 Multi'!I33),('Bills Jan''16'!$H5*'Jan''16 Multi'!I31/'Jan''16 Multi'!I32-'Jan''16 Multi'!I33)*'Jan''16 Multi'!I46/100*1.1)*'Jan''16 Multi'!I32</f>
        <v>400.33993999999996</v>
      </c>
      <c r="H33" s="59">
        <f>IF(($H5*'Jan''16 Multi'!J31/'Jan''16 Multi'!J32&gt;'Jan''16 Multi'!J36),($H5*'Jan''16 Multi'!J31/'Jan''16 Multi'!J32-'Jan''16 Multi'!J36)*'Jan''16 Multi'!J46/100*1.1*'Jan''16 Multi'!J32,0)</f>
        <v>0</v>
      </c>
      <c r="I33" s="59">
        <f>IF(($H5*'Jan''16 Multi'!K31/'Jan''16 Multi'!K32&gt;'Jan''16 Multi'!K33),('Bills Jan''16'!$H5*'Jan''16 Multi'!K31/'Jan''16 Multi'!K32-'Jan''16 Multi'!K33)*'Jan''16 Multi'!K46/100*1.1)*'Jan''16 Multi'!K32</f>
        <v>334.48800000000006</v>
      </c>
      <c r="J33" s="59">
        <f>IF(($H5*'Jan''16 Multi'!L31/'Jan''16 Multi'!L32&gt;'Jan''16 Multi'!L33),('Bills Jan''16'!$H5*'Jan''16 Multi'!L31/'Jan''16 Multi'!L32-'Jan''16 Multi'!L33)*'Jan''16 Multi'!L46/100*1.1)*'Jan''16 Multi'!L32</f>
        <v>353.92500000000001</v>
      </c>
      <c r="K33" s="59">
        <f>IF(($H5*'Jan''16 Multi'!M31/'Jan''16 Multi'!M32&gt;'Jan''16 Multi'!M33),('Bills Jan''16'!$H5*'Jan''16 Multi'!M31/'Jan''16 Multi'!M32-'Jan''16 Multi'!M33)*'Jan''16 Multi'!M46/100*1.1)*'Jan''16 Multi'!M32</f>
        <v>288.75000000000006</v>
      </c>
      <c r="L33" s="59">
        <f>IF(($H5*'Jan''16 Multi'!N31/'Jan''16 Multi'!N32&gt;'Jan''16 Multi'!N36),($H5*'Jan''16 Multi'!N31/'Jan''16 Multi'!N32-'Jan''16 Multi'!N36)*'Jan''16 Multi'!N46/100*1.1*'Jan''16 Multi'!N32,0)</f>
        <v>0</v>
      </c>
      <c r="M33" s="59">
        <f>IF(($H5*'Jan''16 Multi'!O31/'Jan''16 Multi'!O32&gt;'Jan''16 Multi'!O36),($H5*'Jan''16 Multi'!O31/'Jan''16 Multi'!O32-'Jan''16 Multi'!O36)*'Jan''16 Multi'!O46/100*1.1*'Jan''16 Multi'!O32,0)</f>
        <v>0</v>
      </c>
      <c r="N33" s="63"/>
    </row>
    <row r="34" spans="1:14" x14ac:dyDescent="0.15">
      <c r="A34" s="40" t="s">
        <v>612</v>
      </c>
      <c r="C34" s="59">
        <f>365*'Jan''16 Multi'!E47/100*1.1</f>
        <v>288.63835000000006</v>
      </c>
      <c r="D34" s="59">
        <f>365*'Jan''16 Multi'!F47/100*1.1</f>
        <v>275.83050000000003</v>
      </c>
      <c r="E34" s="59">
        <f>365*'Jan''16 Multi'!G47/100*1.1</f>
        <v>244.91500000000002</v>
      </c>
      <c r="F34" s="59">
        <f>365*'Jan''16 Multi'!H47/100*1.1</f>
        <v>233.43209999999999</v>
      </c>
      <c r="G34" s="59">
        <f>365*'Jan''16 Multi'!I47/100*1.1</f>
        <v>240.9</v>
      </c>
      <c r="H34" s="59">
        <f>365*'Jan''16 Multi'!J47/100*1.1</f>
        <v>252.58364999999998</v>
      </c>
      <c r="I34" s="59">
        <f>365*'Jan''16 Multi'!K47/100*1.1</f>
        <v>273.02</v>
      </c>
      <c r="J34" s="59">
        <f>365*'Jan''16 Multi'!L47/100*1.1</f>
        <v>253.94875000000005</v>
      </c>
      <c r="K34" s="59">
        <f>365*'Jan''16 Multi'!M47/100*1.1</f>
        <v>208.73985000000005</v>
      </c>
      <c r="L34" s="59">
        <f>365*'Jan''16 Multi'!N47/100*1.1</f>
        <v>266.9975</v>
      </c>
      <c r="M34" s="59">
        <f>365*'Jan''16 Multi'!O47/100*1.1</f>
        <v>269.00500000000005</v>
      </c>
      <c r="N34" s="60">
        <f>AVERAGE(C34:M34)</f>
        <v>255.27370000000002</v>
      </c>
    </row>
    <row r="35" spans="1:14" x14ac:dyDescent="0.15">
      <c r="A35" s="62" t="s">
        <v>613</v>
      </c>
      <c r="B35" s="63"/>
      <c r="C35" s="61">
        <f t="shared" ref="C35:L35" si="1">SUM(C24:C34)</f>
        <v>1456.3928500000002</v>
      </c>
      <c r="D35" s="61">
        <f t="shared" si="1"/>
        <v>1476.5520000000001</v>
      </c>
      <c r="E35" s="61">
        <f t="shared" si="1"/>
        <v>1441.825</v>
      </c>
      <c r="F35" s="61">
        <f>SUM(F24:F34)</f>
        <v>1159.7256000000002</v>
      </c>
      <c r="G35" s="61">
        <f>SUM(G24:G34)</f>
        <v>1263.36529</v>
      </c>
      <c r="H35" s="61">
        <f t="shared" si="1"/>
        <v>1439.6431500000001</v>
      </c>
      <c r="I35" s="61">
        <f t="shared" si="1"/>
        <v>1343.1275000000001</v>
      </c>
      <c r="J35" s="61">
        <f t="shared" si="1"/>
        <v>1375.6187500000001</v>
      </c>
      <c r="K35" s="61">
        <f t="shared" si="1"/>
        <v>1207.8148500000002</v>
      </c>
      <c r="L35" s="61">
        <f t="shared" si="1"/>
        <v>1489.6475000000003</v>
      </c>
      <c r="M35" s="61">
        <f>SUM(M24:M34)</f>
        <v>1378.3000000000004</v>
      </c>
      <c r="N35" s="64">
        <f>AVERAGE(C35:M35)</f>
        <v>1366.5465900000002</v>
      </c>
    </row>
    <row r="37" spans="1:14" x14ac:dyDescent="0.15">
      <c r="A37" s="55" t="s">
        <v>1042</v>
      </c>
    </row>
    <row r="39" spans="1:14" x14ac:dyDescent="0.15">
      <c r="A39" s="53" t="s">
        <v>1024</v>
      </c>
      <c r="C39" s="23" t="s">
        <v>1044</v>
      </c>
      <c r="D39" s="23" t="s">
        <v>591</v>
      </c>
      <c r="E39" s="23" t="s">
        <v>592</v>
      </c>
      <c r="F39" s="23" t="s">
        <v>614</v>
      </c>
      <c r="G39" s="23" t="s">
        <v>615</v>
      </c>
      <c r="H39" s="23" t="s">
        <v>595</v>
      </c>
      <c r="I39" s="23" t="s">
        <v>596</v>
      </c>
      <c r="J39" s="23" t="s">
        <v>486</v>
      </c>
      <c r="K39" s="23" t="s">
        <v>487</v>
      </c>
      <c r="L39" s="23" t="s">
        <v>599</v>
      </c>
      <c r="M39" s="23" t="s">
        <v>600</v>
      </c>
      <c r="N39" s="57" t="s">
        <v>601</v>
      </c>
    </row>
    <row r="40" spans="1:14" x14ac:dyDescent="0.15">
      <c r="A40" s="40" t="s">
        <v>602</v>
      </c>
      <c r="C40" s="59">
        <f>IF($H5*'Jan''16 Envestra'!E7/'Jan''16 Envestra'!E8&gt;='Jan''16 Envestra'!E11,('Jan''16 Envestra'!E11*'Jan''16 Envestra'!E13/100*1.1)*'Jan''16 Envestra'!E8,($H5*'Jan''16 Envestra'!E7/'Jan''16 Envestra'!E8*'Jan''16 Envestra'!E13/100*1.1)*'Jan''16 Envestra'!E8)</f>
        <v>77.518979999999999</v>
      </c>
      <c r="D40" s="59">
        <f>IF($H5*'Jan''16 Envestra'!F7/'Jan''16 Envestra'!F8&gt;='Jan''16 Envestra'!F11,('Jan''16 Envestra'!F11*'Jan''16 Envestra'!F13/100*1.1)*'Jan''16 Envestra'!F8,($H5*'Jan''16 Envestra'!F7/'Jan''16 Envestra'!F8*'Jan''16 Envestra'!F13/100*1.1)*'Jan''16 Envestra'!F8)</f>
        <v>168.52</v>
      </c>
      <c r="E40" s="59">
        <f>IF($H5*'Jan''16 Envestra'!G7/'Jan''16 Envestra'!G8&gt;='Jan''16 Envestra'!G11,('Jan''16 Envestra'!G11*'Jan''16 Envestra'!G13/100*1.1)*'Jan''16 Envestra'!G8,($H5*'Jan''16 Envestra'!G7/'Jan''16 Envestra'!G8*'Jan''16 Envestra'!G13/100*1.1)*'Jan''16 Envestra'!G8)</f>
        <v>90.475000000000009</v>
      </c>
      <c r="F40" s="59">
        <f>IF($H5*'Jan''16 Envestra'!H7/'Jan''16 Envestra'!H8&gt;='Jan''16 Envestra'!H11,('Jan''16 Envestra'!H11*'Jan''16 Envestra'!H13/100*1.1)*'Jan''16 Envestra'!H8,($H5*'Jan''16 Envestra'!H7/'Jan''16 Envestra'!H8*'Jan''16 Envestra'!H13/100*1.1)*'Jan''16 Envestra'!H8)</f>
        <v>64.85248</v>
      </c>
      <c r="G40" s="59">
        <f>IF($H5*'Jan''16 Envestra'!I7/'Jan''16 Envestra'!I8&gt;='Jan''16 Envestra'!I11,('Jan''16 Envestra'!I11*'Jan''16 Envestra'!I13/100*1.1)*'Jan''16 Envestra'!I8,($H5*'Jan''16 Envestra'!I7/'Jan''16 Envestra'!I8*'Jan''16 Envestra'!I13/100*1.1)*'Jan''16 Envestra'!I8)</f>
        <v>159.28000000000003</v>
      </c>
      <c r="H40" s="59">
        <f>IF($H5*'Jan''16 Envestra'!J7/'Jan''16 Envestra'!J8&gt;='Jan''16 Envestra'!J11,('Jan''16 Envestra'!J11*'Jan''16 Envestra'!J13/100*1.1)*'Jan''16 Envestra'!J8,($H5*'Jan''16 Envestra'!J7/'Jan''16 Envestra'!J8*'Jan''16 Envestra'!J13/100*1.1)*'Jan''16 Envestra'!J8)</f>
        <v>88.050269999999998</v>
      </c>
      <c r="I40" s="59">
        <f>IF($H5*'Jan''16 Envestra'!K7/'Jan''16 Envestra'!K8&gt;='Jan''16 Envestra'!K11,('Jan''16 Envestra'!K11*'Jan''16 Envestra'!K13/100*1.1)*'Jan''16 Envestra'!K8,($H5*'Jan''16 Envestra'!K7/'Jan''16 Envestra'!K8*'Jan''16 Envestra'!K13/100*1.1)*'Jan''16 Envestra'!K8)</f>
        <v>141.17399999999998</v>
      </c>
      <c r="J40" s="59">
        <f>IF($H5*'Jan''16 Envestra'!L7/'Jan''16 Envestra'!L8&gt;='Jan''16 Envestra'!L11,('Jan''16 Envestra'!L11*'Jan''16 Envestra'!L13/100*1.1)*'Jan''16 Envestra'!L8,($H5*'Jan''16 Envestra'!L7/'Jan''16 Envestra'!L8*'Jan''16 Envestra'!L13/100*1.1)*'Jan''16 Envestra'!L8)</f>
        <v>66.95150000000001</v>
      </c>
      <c r="K40" s="59">
        <f>IF($H5*'Jan''16 Envestra'!M7/'Jan''16 Envestra'!M8&gt;='Jan''16 Envestra'!M11,('Jan''16 Envestra'!M11*'Jan''16 Envestra'!M13/100*1.1)*'Jan''16 Envestra'!M8,($H5*'Jan''16 Envestra'!M7/'Jan''16 Envestra'!M8*'Jan''16 Envestra'!M13/100*1.1)*'Jan''16 Envestra'!M8)</f>
        <v>156.64000000000001</v>
      </c>
      <c r="L40" s="59">
        <f>IF($H5*'Jan''16 Envestra'!N7/'Jan''16 Envestra'!N8&gt;='Jan''16 Envestra'!N11,('Jan''16 Envestra'!N11*'Jan''16 Envestra'!N13/100*1.1)*'Jan''16 Envestra'!N8,($H5*'Jan''16 Envestra'!N7/'Jan''16 Envestra'!N8*'Jan''16 Envestra'!N13/100*1.1)*'Jan''16 Envestra'!N8)</f>
        <v>86.132199999999997</v>
      </c>
      <c r="M40" s="59">
        <f>IF($H5*'Jan''16 Envestra'!O7/'Jan''16 Envestra'!O8&gt;='Jan''16 Envestra'!O11,('Jan''16 Envestra'!O11*'Jan''16 Envestra'!O13/100*1.1)*'Jan''16 Envestra'!O8,($H5*'Jan''16 Envestra'!O7/'Jan''16 Envestra'!O8*'Jan''16 Envestra'!O13/100*1.1)*'Jan''16 Envestra'!O8)</f>
        <v>84.684599999999989</v>
      </c>
      <c r="N40" s="63"/>
    </row>
    <row r="41" spans="1:14" x14ac:dyDescent="0.15">
      <c r="A41" s="40" t="s">
        <v>603</v>
      </c>
      <c r="C41" s="59">
        <f>IF($H5*'Jan''16 Envestra'!E7/'Jan''16 Envestra'!E8&lt;'Jan''16 Envestra'!E11,0,IF($H5*'Jan''16 Envestra'!E7/'Jan''16 Envestra'!E8&lt;='Jan''16 Envestra'!E12,($H5*'Jan''16 Envestra'!E7/'Jan''16 Envestra'!E8-'Jan''16 Envestra'!E11)*('Jan''16 Envestra'!E14/100*1.1)*'Jan''16 Envestra'!E8,('Jan''16 Envestra'!E12-'Jan''16 Envestra'!E11)*('Jan''16 Envestra'!E14/100*1.1)*'Jan''16 Envestra'!E8))</f>
        <v>58.040070000000007</v>
      </c>
      <c r="D41" s="59">
        <f>IF($H5*'Jan''16 Envestra'!F7/'Jan''16 Envestra'!F8&lt;'Jan''16 Envestra'!F11,0,IF($H5*'Jan''16 Envestra'!F7/'Jan''16 Envestra'!F8&lt;='Jan''16 Envestra'!F12,($H5*'Jan''16 Envestra'!F7/'Jan''16 Envestra'!F8-'Jan''16 Envestra'!F11)*('Jan''16 Envestra'!F14/100*1.1)*'Jan''16 Envestra'!F8,('Jan''16 Envestra'!F12-'Jan''16 Envestra'!F11)*('Jan''16 Envestra'!F14/100*1.1)*'Jan''16 Envestra'!F8))</f>
        <v>263.2204729</v>
      </c>
      <c r="E41" s="59">
        <f>IF($H5*'Jan''16 Envestra'!G7/'Jan''16 Envestra'!G8&lt;'Jan''16 Envestra'!G11,0,IF($H5*'Jan''16 Envestra'!G7/'Jan''16 Envestra'!G8&lt;='Jan''16 Envestra'!G12,($H5*'Jan''16 Envestra'!G7/'Jan''16 Envestra'!G8-'Jan''16 Envestra'!G11)*('Jan''16 Envestra'!G14/100*1.1)*'Jan''16 Envestra'!G8,('Jan''16 Envestra'!G12-'Jan''16 Envestra'!G11)*('Jan''16 Envestra'!G14/100*1.1)*'Jan''16 Envestra'!G8))</f>
        <v>59.620000000000005</v>
      </c>
      <c r="F41" s="59">
        <f>IF($H5*'Jan''16 Envestra'!H7/'Jan''16 Envestra'!H8&lt;'Jan''16 Envestra'!H11,0,IF($H5*'Jan''16 Envestra'!H7/'Jan''16 Envestra'!H8&lt;='Jan''16 Envestra'!H12,($H5*'Jan''16 Envestra'!H7/'Jan''16 Envestra'!H8-'Jan''16 Envestra'!H11)*('Jan''16 Envestra'!H14/100*1.1)*'Jan''16 Envestra'!H8,('Jan''16 Envestra'!H12-'Jan''16 Envestra'!H11)*('Jan''16 Envestra'!H14/100*1.1)*'Jan''16 Envestra'!H8))</f>
        <v>45.40063</v>
      </c>
      <c r="G41" s="59">
        <f>IF($H5*'Jan''16 Envestra'!I7/'Jan''16 Envestra'!I8&lt;'Jan''16 Envestra'!I11,0,IF($H5*'Jan''16 Envestra'!I7/'Jan''16 Envestra'!I8&lt;='Jan''16 Envestra'!I12,($H5*'Jan''16 Envestra'!I7/'Jan''16 Envestra'!I8-'Jan''16 Envestra'!I11)*('Jan''16 Envestra'!I14/100*1.1)*'Jan''16 Envestra'!I8,('Jan''16 Envestra'!I12-'Jan''16 Envestra'!I11)*('Jan''16 Envestra'!I14/100*1.1)*'Jan''16 Envestra'!I8))</f>
        <v>244.490499</v>
      </c>
      <c r="H41" s="59">
        <f>IF($H5*'Jan''16 Envestra'!J7/'Jan''16 Envestra'!J8&lt;'Jan''16 Envestra'!J11,0,IF($H5*'Jan''16 Envestra'!J7/'Jan''16 Envestra'!J8&lt;='Jan''16 Envestra'!J12,($H5*'Jan''16 Envestra'!J7/'Jan''16 Envestra'!J8-'Jan''16 Envestra'!J11)*('Jan''16 Envestra'!J14/100*1.1)*'Jan''16 Envestra'!J8,('Jan''16 Envestra'!J12-'Jan''16 Envestra'!J11)*('Jan''16 Envestra'!J14/100*1.1)*'Jan''16 Envestra'!J8))</f>
        <v>60.991260000000004</v>
      </c>
      <c r="I41" s="59">
        <f>IF($H5*'Jan''16 Envestra'!K7/'Jan''16 Envestra'!K8&lt;'Jan''16 Envestra'!K11,0,IF($H5*'Jan''16 Envestra'!K7/'Jan''16 Envestra'!K8&lt;='Jan''16 Envestra'!K12,($H5*'Jan''16 Envestra'!K7/'Jan''16 Envestra'!K8-'Jan''16 Envestra'!K11)*('Jan''16 Envestra'!K14/100*1.1)*'Jan''16 Envestra'!K8,('Jan''16 Envestra'!K12-'Jan''16 Envestra'!K11)*('Jan''16 Envestra'!K14/100*1.1)*'Jan''16 Envestra'!K8))</f>
        <v>0</v>
      </c>
      <c r="J41" s="59">
        <f>IF($H5*'Jan''16 Envestra'!L7/'Jan''16 Envestra'!L8&lt;'Jan''16 Envestra'!L11,0,IF($H5*'Jan''16 Envestra'!L7/'Jan''16 Envestra'!L8&lt;='Jan''16 Envestra'!L12,($H5*'Jan''16 Envestra'!L7/'Jan''16 Envestra'!L8-'Jan''16 Envestra'!L11)*('Jan''16 Envestra'!L14/100*1.1)*'Jan''16 Envestra'!L8,('Jan''16 Envestra'!L12-'Jan''16 Envestra'!L11)*('Jan''16 Envestra'!L14/100*1.1)*'Jan''16 Envestra'!L8))</f>
        <v>55.148500000000013</v>
      </c>
      <c r="K41" s="59">
        <f>IF($H5*'Jan''16 Envestra'!M7/'Jan''16 Envestra'!M8&lt;'Jan''16 Envestra'!M11,0,IF($H5*'Jan''16 Envestra'!M7/'Jan''16 Envestra'!M8&lt;='Jan''16 Envestra'!M12,($H5*'Jan''16 Envestra'!M7/'Jan''16 Envestra'!M8-'Jan''16 Envestra'!M11)*('Jan''16 Envestra'!M14/100*1.1)*'Jan''16 Envestra'!M8,('Jan''16 Envestra'!M12-'Jan''16 Envestra'!M11)*('Jan''16 Envestra'!M14/100*1.1)*'Jan''16 Envestra'!M8))</f>
        <v>233.05234699999997</v>
      </c>
      <c r="L41" s="59">
        <f>IF($H5*'Jan''16 Envestra'!N7/'Jan''16 Envestra'!N8&lt;'Jan''16 Envestra'!N11,0,IF($H5*'Jan''16 Envestra'!N7/'Jan''16 Envestra'!N8&lt;='Jan''16 Envestra'!N12,($H5*'Jan''16 Envestra'!N7/'Jan''16 Envestra'!N8-'Jan''16 Envestra'!N11)*('Jan''16 Envestra'!N14/100*1.1)*'Jan''16 Envestra'!N8,('Jan''16 Envestra'!N12-'Jan''16 Envestra'!N11)*('Jan''16 Envestra'!N14/100*1.1)*'Jan''16 Envestra'!N8))</f>
        <v>59.023800000000001</v>
      </c>
      <c r="M41" s="59">
        <f>IF($H5*'Jan''16 Envestra'!O7/'Jan''16 Envestra'!O8&lt;'Jan''16 Envestra'!O11,0,IF($H5*'Jan''16 Envestra'!O7/'Jan''16 Envestra'!O8&lt;='Jan''16 Envestra'!O12,($H5*'Jan''16 Envestra'!O7/'Jan''16 Envestra'!O8-'Jan''16 Envestra'!O11)*('Jan''16 Envestra'!O14/100*1.1)*'Jan''16 Envestra'!O8,('Jan''16 Envestra'!O12-'Jan''16 Envestra'!O11)*('Jan''16 Envestra'!O14/100*1.1)*'Jan''16 Envestra'!O8))</f>
        <v>56.340900000000005</v>
      </c>
      <c r="N41" s="63"/>
    </row>
    <row r="42" spans="1:14" x14ac:dyDescent="0.15">
      <c r="A42" s="40" t="s">
        <v>606</v>
      </c>
      <c r="C42" s="59">
        <f>IF(($H5*'Jan''16 Envestra'!E7/'Jan''16 Envestra'!E8&gt;'Jan''16 Envestra'!E12),($H5*'Jan''16 Envestra'!E7/'Jan''16 Envestra'!E8-'Jan''16 Envestra'!E12)*'Jan''16 Envestra'!E15/100*1.1)*'Jan''16 Envestra'!E8</f>
        <v>268.08746250000002</v>
      </c>
      <c r="D42" s="59">
        <f>IF(($H5*'Jan''16 Envestra'!F7/'Jan''16 Envestra'!F8&gt;'Jan''16 Envestra'!F12),($H5*'Jan''16 Envestra'!F7/'Jan''16 Envestra'!F8-'Jan''16 Envestra'!F12)*'Jan''16 Envestra'!F15/100*1.1)*'Jan''16 Envestra'!F8</f>
        <v>0</v>
      </c>
      <c r="E42" s="59">
        <f>IF(($H5*'Jan''16 Envestra'!G7/'Jan''16 Envestra'!G8&gt;'Jan''16 Envestra'!G12),($H5*'Jan''16 Envestra'!G7/'Jan''16 Envestra'!G8-'Jan''16 Envestra'!G12)*'Jan''16 Envestra'!G15/100*1.1)*'Jan''16 Envestra'!G8</f>
        <v>260.66350199999999</v>
      </c>
      <c r="F42" s="59">
        <f>IF(($H5*'Jan''16 Envestra'!H7/'Jan''16 Envestra'!H8&gt;'Jan''16 Envestra'!H12),($H5*'Jan''16 Envestra'!H7/'Jan''16 Envestra'!H8-'Jan''16 Envestra'!H12)*'Jan''16 Envestra'!H15/100*1.1)*'Jan''16 Envestra'!H8</f>
        <v>206.8810326</v>
      </c>
      <c r="G42" s="59">
        <f>IF(($H5*'Jan''16 Envestra'!I7/'Jan''16 Envestra'!I8&gt;'Jan''16 Envestra'!I12),($H5*'Jan''16 Envestra'!I7/'Jan''16 Envestra'!I8-'Jan''16 Envestra'!I12)*'Jan''16 Envestra'!I15/100*1.1)*'Jan''16 Envestra'!I8</f>
        <v>0</v>
      </c>
      <c r="H42" s="59">
        <f>IF(($H5*'Jan''16 Envestra'!J7/'Jan''16 Envestra'!J8&gt;'Jan''16 Envestra'!J12),($H5*'Jan''16 Envestra'!J7/'Jan''16 Envestra'!J8-'Jan''16 Envestra'!J12)*'Jan''16 Envestra'!J15/100*1.1)*'Jan''16 Envestra'!J8</f>
        <v>282.11049899999995</v>
      </c>
      <c r="I42" s="59">
        <f>IF(($H5*'Jan''16 Envestra'!K7/'Jan''16 Envestra'!K8&gt;'Jan''16 Envestra'!K12),($H5*'Jan''16 Envestra'!K7/'Jan''16 Envestra'!K8-'Jan''16 Envestra'!K12)*'Jan''16 Envestra'!K15/100*1.1)*'Jan''16 Envestra'!K8</f>
        <v>271.7169543</v>
      </c>
      <c r="J42" s="59">
        <f>IF(($H5*'Jan''16 Envestra'!L7/'Jan''16 Envestra'!L8&gt;'Jan''16 Envestra'!L12),($H5*'Jan''16 Envestra'!L7/'Jan''16 Envestra'!L8-'Jan''16 Envestra'!L12)*'Jan''16 Envestra'!L15/100*1.1)*'Jan''16 Envestra'!L8</f>
        <v>270.562116</v>
      </c>
      <c r="K42" s="59">
        <f>IF(($H5*'Jan''16 Envestra'!M7/'Jan''16 Envestra'!M8&gt;'Jan''16 Envestra'!M12),($H5*'Jan''16 Envestra'!M7/'Jan''16 Envestra'!M8-'Jan''16 Envestra'!M12)*'Jan''16 Envestra'!M15/100*1.1)*'Jan''16 Envestra'!M8</f>
        <v>0</v>
      </c>
      <c r="L42" s="59">
        <f>IF(($H5*'Jan''16 Envestra'!N7/'Jan''16 Envestra'!N8&gt;'Jan''16 Envestra'!N12),($H5*'Jan''16 Envestra'!N7/'Jan''16 Envestra'!N8-'Jan''16 Envestra'!N12)*'Jan''16 Envestra'!N15/100*1.1)*'Jan''16 Envestra'!N8</f>
        <v>270.56211599999995</v>
      </c>
      <c r="M42" s="59">
        <f>IF(($H5*'Jan''16 Envestra'!O7/'Jan''16 Envestra'!O8&gt;'Jan''16 Envestra'!O12),($H5*'Jan''16 Envestra'!O7/'Jan''16 Envestra'!O8-'Jan''16 Envestra'!O12)*'Jan''16 Envestra'!O15/100*1.1)*'Jan''16 Envestra'!O8</f>
        <v>254.064426</v>
      </c>
      <c r="N42" s="63"/>
    </row>
    <row r="43" spans="1:14" x14ac:dyDescent="0.15">
      <c r="A43" s="40" t="s">
        <v>607</v>
      </c>
      <c r="C43" s="59">
        <f>IF($H5*'Jan''16 Envestra'!E9/'Jan''16 Envestra'!E10&gt;='Jan''16 Envestra'!E11,('Jan''16 Envestra'!E11*'Jan''16 Envestra'!E16/100*1.1)*'Jan''16 Envestra'!E10,($H5*'Jan''16 Envestra'!E9/'Jan''16 Envestra'!E10*'Jan''16 Envestra'!E16/100*1.1)*'Jan''16 Envestra'!E10)</f>
        <v>155.03796</v>
      </c>
      <c r="D43" s="59">
        <f>IF($H5*'Jan''16 Envestra'!F9/'Jan''16 Envestra'!F10&gt;='Jan''16 Envestra'!F11,('Jan''16 Envestra'!F11*'Jan''16 Envestra'!F16/100*1.1)*'Jan''16 Envestra'!F10,($H5*'Jan''16 Envestra'!F9/'Jan''16 Envestra'!F10*'Jan''16 Envestra'!F16/100*1.1)*'Jan''16 Envestra'!F10)</f>
        <v>337.04</v>
      </c>
      <c r="E43" s="59">
        <f>IF($H5*'Jan''16 Envestra'!G9/'Jan''16 Envestra'!G10&gt;='Jan''16 Envestra'!G11,('Jan''16 Envestra'!G11*'Jan''16 Envestra'!G16/100*1.1)*'Jan''16 Envestra'!G10,($H5*'Jan''16 Envestra'!G9/'Jan''16 Envestra'!G10*'Jan''16 Envestra'!G16/100*1.1)*'Jan''16 Envestra'!G10)</f>
        <v>179.50240000000002</v>
      </c>
      <c r="F43" s="59">
        <f>IF($H5*'Jan''16 Envestra'!H9/'Jan''16 Envestra'!H10&gt;='Jan''16 Envestra'!H11,('Jan''16 Envestra'!H11*'Jan''16 Envestra'!H16/100*1.1)*'Jan''16 Envestra'!H10,($H5*'Jan''16 Envestra'!H9/'Jan''16 Envestra'!H10*'Jan''16 Envestra'!H16/100*1.1)*'Jan''16 Envestra'!H10)</f>
        <v>126.73738000000002</v>
      </c>
      <c r="G43" s="59">
        <f>IF($H5*'Jan''16 Envestra'!I9/'Jan''16 Envestra'!I10&gt;='Jan''16 Envestra'!I11,('Jan''16 Envestra'!I11*'Jan''16 Envestra'!I16/100*1.1)*'Jan''16 Envestra'!I10,($H5*'Jan''16 Envestra'!I9/'Jan''16 Envestra'!I10*'Jan''16 Envestra'!I16/100*1.1)*'Jan''16 Envestra'!I10)</f>
        <v>304.48</v>
      </c>
      <c r="H43" s="59">
        <f>IF($H5*'Jan''16 Envestra'!J9/'Jan''16 Envestra'!J10&gt;='Jan''16 Envestra'!J11,('Jan''16 Envestra'!J11*'Jan''16 Envestra'!J16/100*1.1)*'Jan''16 Envestra'!J10,($H5*'Jan''16 Envestra'!J9/'Jan''16 Envestra'!J10*'Jan''16 Envestra'!J16/100*1.1)*'Jan''16 Envestra'!J10)</f>
        <v>176.10054</v>
      </c>
      <c r="I43" s="59">
        <f>IF($H5*'Jan''16 Envestra'!K9/'Jan''16 Envestra'!K10&gt;='Jan''16 Envestra'!K11,('Jan''16 Envestra'!K11*'Jan''16 Envestra'!K16/100*1.1)*'Jan''16 Envestra'!K10,($H5*'Jan''16 Envestra'!K9/'Jan''16 Envestra'!K10*'Jan''16 Envestra'!K16/100*1.1)*'Jan''16 Envestra'!K10)</f>
        <v>282.34799999999996</v>
      </c>
      <c r="J43" s="59">
        <f>IF($H5*'Jan''16 Envestra'!L9/'Jan''16 Envestra'!L10&gt;='Jan''16 Envestra'!L11,('Jan''16 Envestra'!L11*'Jan''16 Envestra'!L16/100*1.1)*'Jan''16 Envestra'!L10,($H5*'Jan''16 Envestra'!L9/'Jan''16 Envestra'!L10*'Jan''16 Envestra'!L16/100*1.1)*'Jan''16 Envestra'!L10)</f>
        <v>133.90300000000002</v>
      </c>
      <c r="K43" s="59">
        <f>IF($H5*'Jan''16 Envestra'!M9/'Jan''16 Envestra'!M10&gt;='Jan''16 Envestra'!M11,('Jan''16 Envestra'!M11*'Jan''16 Envestra'!M16/100*1.1)*'Jan''16 Envestra'!M10,($H5*'Jan''16 Envestra'!M9/'Jan''16 Envestra'!M10*'Jan''16 Envestra'!M16/100*1.1)*'Jan''16 Envestra'!M10)</f>
        <v>299.2000000000001</v>
      </c>
      <c r="L43" s="59">
        <f>IF($H5*'Jan''16 Envestra'!N9/'Jan''16 Envestra'!N10&gt;='Jan''16 Envestra'!N11,('Jan''16 Envestra'!N11*'Jan''16 Envestra'!N16/100*1.1)*'Jan''16 Envestra'!N10,($H5*'Jan''16 Envestra'!N9/'Jan''16 Envestra'!N10*'Jan''16 Envestra'!N16/100*1.1)*'Jan''16 Envestra'!N10)</f>
        <v>172.26439999999999</v>
      </c>
      <c r="M43" s="59">
        <f>IF($H5*'Jan''16 Envestra'!O9/'Jan''16 Envestra'!O10&gt;='Jan''16 Envestra'!O11,('Jan''16 Envestra'!O11*'Jan''16 Envestra'!O16/100*1.1)*'Jan''16 Envestra'!O10,($H5*'Jan''16 Envestra'!O9/'Jan''16 Envestra'!O10*'Jan''16 Envestra'!O16/100*1.1)*'Jan''16 Envestra'!O10)</f>
        <v>169.36919999999998</v>
      </c>
      <c r="N43" s="63"/>
    </row>
    <row r="44" spans="1:14" x14ac:dyDescent="0.15">
      <c r="A44" s="40" t="s">
        <v>608</v>
      </c>
      <c r="C44" s="59">
        <f>IF($H5*'Jan''16 Envestra'!E9/'Jan''16 Envestra'!E10&lt;'Jan''16 Envestra'!E11,0,IF($H5*'Jan''16 Envestra'!E9/'Jan''16 Envestra'!E10&lt;='Jan''16 Envestra'!E12,($H5*'Jan''16 Envestra'!E9/'Jan''16 Envestra'!E10-'Jan''16 Envestra'!E11)*('Jan''16 Envestra'!E17/100*1.1)*'Jan''16 Envestra'!E10,('Jan''16 Envestra'!E12-'Jan''16 Envestra'!E11)*('Jan''16 Envestra'!E17/100*1.1)*'Jan''16 Envestra'!E10))</f>
        <v>116.08014000000001</v>
      </c>
      <c r="D44" s="59">
        <f>IF($H5*'Jan''16 Envestra'!F9/'Jan''16 Envestra'!F10&lt;'Jan''16 Envestra'!F11,0,IF($H5*'Jan''16 Envestra'!F9/'Jan''16 Envestra'!F10&lt;='Jan''16 Envestra'!F12,($H5*'Jan''16 Envestra'!F9/'Jan''16 Envestra'!F10-'Jan''16 Envestra'!F11)*('Jan''16 Envestra'!F17/100*1.1)*'Jan''16 Envestra'!F10,('Jan''16 Envestra'!F12-'Jan''16 Envestra'!F11)*('Jan''16 Envestra'!F17/100*1.1)*'Jan''16 Envestra'!F10))</f>
        <v>526.44094580000001</v>
      </c>
      <c r="E44" s="59">
        <f>IF($H5*'Jan''16 Envestra'!G9/'Jan''16 Envestra'!G10&lt;'Jan''16 Envestra'!G11,0,IF($H5*'Jan''16 Envestra'!G9/'Jan''16 Envestra'!G10&lt;='Jan''16 Envestra'!G12,($H5*'Jan''16 Envestra'!G9/'Jan''16 Envestra'!G10-'Jan''16 Envestra'!G11)*('Jan''16 Envestra'!G17/100*1.1)*'Jan''16 Envestra'!G10,('Jan''16 Envestra'!G12-'Jan''16 Envestra'!G11)*('Jan''16 Envestra'!G17/100*1.1)*'Jan''16 Envestra'!G10))</f>
        <v>118.0476</v>
      </c>
      <c r="F44" s="59">
        <f>IF($H5*'Jan''16 Envestra'!H9/'Jan''16 Envestra'!H10&lt;'Jan''16 Envestra'!H11,0,IF($H5*'Jan''16 Envestra'!H9/'Jan''16 Envestra'!H10&lt;='Jan''16 Envestra'!H12,($H5*'Jan''16 Envestra'!H9/'Jan''16 Envestra'!H10-'Jan''16 Envestra'!H11)*('Jan''16 Envestra'!H17/100*1.1)*'Jan''16 Envestra'!H10,('Jan''16 Envestra'!H12-'Jan''16 Envestra'!H11)*('Jan''16 Envestra'!H17/100*1.1)*'Jan''16 Envestra'!H10))</f>
        <v>88.356840000000005</v>
      </c>
      <c r="G44" s="59">
        <f>IF($H5*'Jan''16 Envestra'!I9/'Jan''16 Envestra'!I10&lt;'Jan''16 Envestra'!I11,0,IF($H5*'Jan''16 Envestra'!I9/'Jan''16 Envestra'!I10&lt;='Jan''16 Envestra'!I12,($H5*'Jan''16 Envestra'!I9/'Jan''16 Envestra'!I10-'Jan''16 Envestra'!I11)*('Jan''16 Envestra'!I17/100*1.1)*'Jan''16 Envestra'!I10,('Jan''16 Envestra'!I12-'Jan''16 Envestra'!I11)*('Jan''16 Envestra'!I17/100*1.1)*'Jan''16 Envestra'!I10))</f>
        <v>474.68330799999995</v>
      </c>
      <c r="H44" s="59">
        <f>IF($H5*'Jan''16 Envestra'!J9/'Jan''16 Envestra'!J10&lt;'Jan''16 Envestra'!J11,0,IF($H5*'Jan''16 Envestra'!J9/'Jan''16 Envestra'!J10&lt;='Jan''16 Envestra'!J12,($H5*'Jan''16 Envestra'!J9/'Jan''16 Envestra'!J10-'Jan''16 Envestra'!J11)*('Jan''16 Envestra'!J17/100*1.1)*'Jan''16 Envestra'!J10,('Jan''16 Envestra'!J12-'Jan''16 Envestra'!J11)*('Jan''16 Envestra'!J17/100*1.1)*'Jan''16 Envestra'!J10))</f>
        <v>121.98252000000001</v>
      </c>
      <c r="I44" s="59">
        <f>IF($H5*'Jan''16 Envestra'!K9/'Jan''16 Envestra'!K10&lt;'Jan''16 Envestra'!K11,0,IF($H5*'Jan''16 Envestra'!K9/'Jan''16 Envestra'!K10&lt;='Jan''16 Envestra'!K12,($H5*'Jan''16 Envestra'!K9/'Jan''16 Envestra'!K10-'Jan''16 Envestra'!K11)*('Jan''16 Envestra'!K17/100*1.1)*'Jan''16 Envestra'!K10,('Jan''16 Envestra'!K12-'Jan''16 Envestra'!K11)*('Jan''16 Envestra'!K17/100*1.1)*'Jan''16 Envestra'!K10))</f>
        <v>0</v>
      </c>
      <c r="J44" s="59">
        <f>IF($H5*'Jan''16 Envestra'!L9/'Jan''16 Envestra'!L10&lt;'Jan''16 Envestra'!L11,0,IF($H5*'Jan''16 Envestra'!L9/'Jan''16 Envestra'!L10&lt;='Jan''16 Envestra'!L12,($H5*'Jan''16 Envestra'!L9/'Jan''16 Envestra'!L10-'Jan''16 Envestra'!L11)*('Jan''16 Envestra'!L17/100*1.1)*'Jan''16 Envestra'!L10,('Jan''16 Envestra'!L12-'Jan''16 Envestra'!L11)*('Jan''16 Envestra'!L17/100*1.1)*'Jan''16 Envestra'!L10))</f>
        <v>110.29700000000003</v>
      </c>
      <c r="K44" s="59">
        <f>IF($H5*'Jan''16 Envestra'!M9/'Jan''16 Envestra'!M10&lt;'Jan''16 Envestra'!M11,0,IF($H5*'Jan''16 Envestra'!M9/'Jan''16 Envestra'!M10&lt;='Jan''16 Envestra'!M12,($H5*'Jan''16 Envestra'!M9/'Jan''16 Envestra'!M10-'Jan''16 Envestra'!M11)*('Jan''16 Envestra'!M17/100*1.1)*'Jan''16 Envestra'!M10,('Jan''16 Envestra'!M12-'Jan''16 Envestra'!M11)*('Jan''16 Envestra'!M17/100*1.1)*'Jan''16 Envestra'!M10))</f>
        <v>460.38561799999991</v>
      </c>
      <c r="L44" s="59">
        <f>IF($H5*'Jan''16 Envestra'!N9/'Jan''16 Envestra'!N10&lt;'Jan''16 Envestra'!N11,0,IF($H5*'Jan''16 Envestra'!N9/'Jan''16 Envestra'!N10&lt;='Jan''16 Envestra'!N12,($H5*'Jan''16 Envestra'!N9/'Jan''16 Envestra'!N10-'Jan''16 Envestra'!N11)*('Jan''16 Envestra'!N17/100*1.1)*'Jan''16 Envestra'!N10,('Jan''16 Envestra'!N12-'Jan''16 Envestra'!N11)*('Jan''16 Envestra'!N17/100*1.1)*'Jan''16 Envestra'!N10))</f>
        <v>118.0476</v>
      </c>
      <c r="M44" s="59">
        <f>IF($H5*'Jan''16 Envestra'!O9/'Jan''16 Envestra'!O10&lt;'Jan''16 Envestra'!O11,0,IF($H5*'Jan''16 Envestra'!O9/'Jan''16 Envestra'!O10&lt;='Jan''16 Envestra'!O12,($H5*'Jan''16 Envestra'!O9/'Jan''16 Envestra'!O10-'Jan''16 Envestra'!O11)*('Jan''16 Envestra'!O17/100*1.1)*'Jan''16 Envestra'!O10,('Jan''16 Envestra'!O12-'Jan''16 Envestra'!O11)*('Jan''16 Envestra'!O17/100*1.1)*'Jan''16 Envestra'!O10))</f>
        <v>112.68180000000001</v>
      </c>
      <c r="N44" s="63"/>
    </row>
    <row r="45" spans="1:14" x14ac:dyDescent="0.15">
      <c r="A45" s="40" t="s">
        <v>611</v>
      </c>
      <c r="C45" s="59">
        <f>IF(($H5*'Jan''16 Envestra'!E9/'Jan''16 Envestra'!E10&gt;'Jan''16 Envestra'!E12),($H5*'Jan''16 Envestra'!E9/'Jan''16 Envestra'!E10-'Jan''16 Envestra'!E12)*'Jan''16 Envestra'!E18/100*1.1)*'Jan''16 Envestra'!E10</f>
        <v>536.17492500000003</v>
      </c>
      <c r="D45" s="59">
        <f>IF(($H5*'Jan''16 Envestra'!F9/'Jan''16 Envestra'!F10&gt;'Jan''16 Envestra'!F12),($H5*'Jan''16 Envestra'!F9/'Jan''16 Envestra'!F10-'Jan''16 Envestra'!F12)*'Jan''16 Envestra'!F18/100*1.1)*'Jan''16 Envestra'!F10</f>
        <v>0</v>
      </c>
      <c r="E45" s="59">
        <f>IF(($H5*'Jan''16 Envestra'!G9/'Jan''16 Envestra'!G10&gt;'Jan''16 Envestra'!G12),($H5*'Jan''16 Envestra'!G9/'Jan''16 Envestra'!G10-'Jan''16 Envestra'!G12)*'Jan''16 Envestra'!G18/100*1.1)*'Jan''16 Envestra'!G10</f>
        <v>514.72792800000002</v>
      </c>
      <c r="F45" s="59">
        <f>IF(($H5*'Jan''16 Envestra'!H9/'Jan''16 Envestra'!H10&gt;'Jan''16 Envestra'!H12),($H5*'Jan''16 Envestra'!H9/'Jan''16 Envestra'!H10-'Jan''16 Envestra'!H12)*'Jan''16 Envestra'!H18/100*1.1)*'Jan''16 Envestra'!H10</f>
        <v>399.90400559999995</v>
      </c>
      <c r="G45" s="59">
        <f>IF(($H5*'Jan''16 Envestra'!I9/'Jan''16 Envestra'!I10&gt;'Jan''16 Envestra'!I12),($H5*'Jan''16 Envestra'!I9/'Jan''16 Envestra'!I10-'Jan''16 Envestra'!I12)*'Jan''16 Envestra'!I18/100*1.1)*'Jan''16 Envestra'!I10</f>
        <v>0</v>
      </c>
      <c r="H45" s="59">
        <f>IF(($H5*'Jan''16 Envestra'!J9/'Jan''16 Envestra'!J10&gt;'Jan''16 Envestra'!J12),($H5*'Jan''16 Envestra'!J9/'Jan''16 Envestra'!J10-'Jan''16 Envestra'!J12)*'Jan''16 Envestra'!J18/100*1.1)*'Jan''16 Envestra'!J10</f>
        <v>564.2209979999999</v>
      </c>
      <c r="I45" s="59">
        <f>IF(($H5*'Jan''16 Envestra'!K9/'Jan''16 Envestra'!K10&gt;'Jan''16 Envestra'!K12),($H5*'Jan''16 Envestra'!K9/'Jan''16 Envestra'!K10-'Jan''16 Envestra'!K12)*'Jan''16 Envestra'!K18/100*1.1)*'Jan''16 Envestra'!K10</f>
        <v>543.4339086</v>
      </c>
      <c r="J45" s="59">
        <f>IF(($H5*'Jan''16 Envestra'!L9/'Jan''16 Envestra'!L10&gt;'Jan''16 Envestra'!L12),($H5*'Jan''16 Envestra'!L9/'Jan''16 Envestra'!L10-'Jan''16 Envestra'!L12)*'Jan''16 Envestra'!L18/100*1.1)*'Jan''16 Envestra'!L10</f>
        <v>541.12423200000001</v>
      </c>
      <c r="K45" s="59">
        <f>IF(($H5*'Jan''16 Envestra'!M9/'Jan''16 Envestra'!M10&gt;'Jan''16 Envestra'!M12),($H5*'Jan''16 Envestra'!M9/'Jan''16 Envestra'!M10-'Jan''16 Envestra'!M12)*'Jan''16 Envestra'!M18/100*1.1)*'Jan''16 Envestra'!M10</f>
        <v>0</v>
      </c>
      <c r="L45" s="59">
        <f>IF(($H5*'Jan''16 Envestra'!N9/'Jan''16 Envestra'!N10&gt;'Jan''16 Envestra'!N12),($H5*'Jan''16 Envestra'!N9/'Jan''16 Envestra'!N10-'Jan''16 Envestra'!N12)*'Jan''16 Envestra'!N18/100*1.1)*'Jan''16 Envestra'!N10</f>
        <v>541.12423199999989</v>
      </c>
      <c r="M45" s="59">
        <f>IF(($H5*'Jan''16 Envestra'!O9/'Jan''16 Envestra'!O10&gt;'Jan''16 Envestra'!O12),($H5*'Jan''16 Envestra'!O9/'Jan''16 Envestra'!O10-'Jan''16 Envestra'!O12)*'Jan''16 Envestra'!O18/100*1.1)*'Jan''16 Envestra'!O10</f>
        <v>508.12885199999999</v>
      </c>
      <c r="N45" s="63"/>
    </row>
    <row r="46" spans="1:14" x14ac:dyDescent="0.15">
      <c r="A46" s="40" t="s">
        <v>612</v>
      </c>
      <c r="C46" s="59">
        <f>365*'Jan''16 Envestra'!E19/100*1.1</f>
        <v>265.15060000000005</v>
      </c>
      <c r="D46" s="59">
        <f>365*'Jan''16 Envestra'!F19/100*1.1</f>
        <v>257.8433</v>
      </c>
      <c r="E46" s="59">
        <f>365*'Jan''16 Envestra'!G19/100*1.1</f>
        <v>281.05</v>
      </c>
      <c r="F46" s="59">
        <f>365*'Jan''16 Envestra'!H19/100*1.1</f>
        <v>257.32135</v>
      </c>
      <c r="G46" s="59">
        <f>365*'Jan''16 Envestra'!I19/100*1.1</f>
        <v>245.47709999999998</v>
      </c>
      <c r="H46" s="59">
        <f>365*'Jan''16 Envestra'!J19/100*1.1</f>
        <v>258.80689999999998</v>
      </c>
      <c r="I46" s="59">
        <f>365*'Jan''16 Envestra'!K19/100*1.1</f>
        <v>273.02</v>
      </c>
      <c r="J46" s="59">
        <f>365*'Jan''16 Envestra'!L19/100*1.1</f>
        <v>259.24855000000002</v>
      </c>
      <c r="K46" s="59">
        <f>365*'Jan''16 Envestra'!M19/100*1.1</f>
        <v>228.65425000000002</v>
      </c>
      <c r="L46" s="59">
        <f>365*'Jan''16 Envestra'!N19/100*1.1</f>
        <v>266.9975</v>
      </c>
      <c r="M46" s="59">
        <f>365*'Jan''16 Envestra'!O19/100*1.1</f>
        <v>248.93000000000004</v>
      </c>
      <c r="N46" s="60">
        <f>AVERAGE(C46:M46)</f>
        <v>258.40904999999998</v>
      </c>
    </row>
    <row r="47" spans="1:14" x14ac:dyDescent="0.15">
      <c r="A47" s="62" t="s">
        <v>613</v>
      </c>
      <c r="B47" s="63"/>
      <c r="C47" s="61">
        <f t="shared" ref="C47:L47" si="2">SUM(C40:C46)</f>
        <v>1476.0901375000003</v>
      </c>
      <c r="D47" s="61">
        <f t="shared" si="2"/>
        <v>1553.0647187</v>
      </c>
      <c r="E47" s="61">
        <f t="shared" si="2"/>
        <v>1504.0864300000001</v>
      </c>
      <c r="F47" s="61">
        <f>SUM(F40:F46)</f>
        <v>1189.4537181999999</v>
      </c>
      <c r="G47" s="61">
        <f>SUM(G40:G46)</f>
        <v>1428.410907</v>
      </c>
      <c r="H47" s="61">
        <f t="shared" si="2"/>
        <v>1552.2629870000001</v>
      </c>
      <c r="I47" s="61">
        <f t="shared" si="2"/>
        <v>1511.6928628999999</v>
      </c>
      <c r="J47" s="61">
        <f t="shared" si="2"/>
        <v>1437.2348979999999</v>
      </c>
      <c r="K47" s="61">
        <f t="shared" si="2"/>
        <v>1377.932215</v>
      </c>
      <c r="L47" s="61">
        <f t="shared" si="2"/>
        <v>1514.1518479999997</v>
      </c>
      <c r="M47" s="61">
        <f>SUM(M40:M46)</f>
        <v>1434.1997780000002</v>
      </c>
      <c r="N47" s="64">
        <f>AVERAGE(C47:M47)</f>
        <v>1452.5982273</v>
      </c>
    </row>
    <row r="49" spans="1:14" x14ac:dyDescent="0.15">
      <c r="A49" s="53" t="s">
        <v>488</v>
      </c>
      <c r="C49" s="23" t="s">
        <v>1044</v>
      </c>
      <c r="D49" s="23" t="s">
        <v>591</v>
      </c>
      <c r="E49" s="23" t="s">
        <v>592</v>
      </c>
      <c r="F49" s="23" t="s">
        <v>614</v>
      </c>
      <c r="G49" s="23" t="s">
        <v>615</v>
      </c>
      <c r="H49" s="23" t="s">
        <v>595</v>
      </c>
      <c r="I49" s="23" t="s">
        <v>596</v>
      </c>
      <c r="J49" s="23" t="s">
        <v>486</v>
      </c>
      <c r="K49" s="23" t="s">
        <v>487</v>
      </c>
      <c r="L49" s="23" t="s">
        <v>599</v>
      </c>
      <c r="M49" s="23" t="s">
        <v>600</v>
      </c>
      <c r="N49" s="57" t="s">
        <v>601</v>
      </c>
    </row>
    <row r="50" spans="1:14" x14ac:dyDescent="0.15">
      <c r="A50" s="40" t="s">
        <v>602</v>
      </c>
      <c r="C50" s="59">
        <f>IF($H5*'Jan''16 Envestra'!E23/'Jan''16 Envestra'!E24&gt;='Jan''16 Envestra'!E27,('Jan''16 Envestra'!E27*'Jan''16 Envestra'!E29/100*1.1)*'Jan''16 Envestra'!E24,($H5*'Jan''16 Envestra'!E23/'Jan''16 Envestra'!E24*'Jan''16 Envestra'!E29/100*1.1)*'Jan''16 Envestra'!E24)</f>
        <v>80.016090000000005</v>
      </c>
      <c r="D50" s="59">
        <f>IF($H5*'Jan''16 Envestra'!F23/'Jan''16 Envestra'!F24&gt;='Jan''16 Envestra'!F27,('Jan''16 Envestra'!F27*'Jan''16 Envestra'!F29/100*1.1)*'Jan''16 Envestra'!F24,($H5*'Jan''16 Envestra'!F23/'Jan''16 Envestra'!F24*'Jan''16 Envestra'!F29/100*1.1)*'Jan''16 Envestra'!F24)</f>
        <v>176.17599999999999</v>
      </c>
      <c r="E50" s="59">
        <f>IF($H5*'Jan''16 Envestra'!G23/'Jan''16 Envestra'!G24&gt;='Jan''16 Envestra'!G27,('Jan''16 Envestra'!G27*'Jan''16 Envestra'!G29/100*1.1)*'Jan''16 Envestra'!G24,($H5*'Jan''16 Envestra'!G23/'Jan''16 Envestra'!G24*'Jan''16 Envestra'!G29/100*1.1)*'Jan''16 Envestra'!G24)</f>
        <v>93.732100000000003</v>
      </c>
      <c r="F50" s="59">
        <f>IF($H5*'Jan''16 Envestra'!H23/'Jan''16 Envestra'!H24&gt;='Jan''16 Envestra'!H27,('Jan''16 Envestra'!H27*'Jan''16 Envestra'!H29/100*1.1)*'Jan''16 Envestra'!H24,($H5*'Jan''16 Envestra'!H23/'Jan''16 Envestra'!H24*'Jan''16 Envestra'!H29/100*1.1)*'Jan''16 Envestra'!H24)</f>
        <v>69.738129999999998</v>
      </c>
      <c r="G50" s="59">
        <f>IF($H5*'Jan''16 Envestra'!I23/'Jan''16 Envestra'!I24&gt;='Jan''16 Envestra'!I27,('Jan''16 Envestra'!I27*'Jan''16 Envestra'!I29/100*1.1)*'Jan''16 Envestra'!I24,($H5*'Jan''16 Envestra'!I23/'Jan''16 Envestra'!I24*'Jan''16 Envestra'!I29/100*1.1)*'Jan''16 Envestra'!I24)</f>
        <v>126.72000000000001</v>
      </c>
      <c r="H50" s="59">
        <f>IF($H5*'Jan''16 Envestra'!J23/'Jan''16 Envestra'!J24&gt;='Jan''16 Envestra'!J27,('Jan''16 Envestra'!J27*'Jan''16 Envestra'!J29/100*1.1)*'Jan''16 Envestra'!J24,($H5*'Jan''16 Envestra'!J23/'Jan''16 Envestra'!J24*'Jan''16 Envestra'!J29/100*1.1)*'Jan''16 Envestra'!J24)</f>
        <v>91.01785000000001</v>
      </c>
      <c r="I50" s="59">
        <f>IF($H5*'Jan''16 Envestra'!K23/'Jan''16 Envestra'!K24&gt;='Jan''16 Envestra'!K27,('Jan''16 Envestra'!K27*'Jan''16 Envestra'!K29/100*1.1)*'Jan''16 Envestra'!K24,($H5*'Jan''16 Envestra'!K23/'Jan''16 Envestra'!K24*'Jan''16 Envestra'!K29/100*1.1)*'Jan''16 Envestra'!K24)</f>
        <v>139.32600000000005</v>
      </c>
      <c r="J50" s="59">
        <f>IF($H5*'Jan''16 Envestra'!L23/'Jan''16 Envestra'!L24&gt;='Jan''16 Envestra'!L27,('Jan''16 Envestra'!L27*'Jan''16 Envestra'!L29/100*1.1)*'Jan''16 Envestra'!L24,($H5*'Jan''16 Envestra'!L23/'Jan''16 Envestra'!L24*'Jan''16 Envestra'!L29/100*1.1)*'Jan''16 Envestra'!L24)</f>
        <v>69.804240000000007</v>
      </c>
      <c r="K50" s="59">
        <f>IF($H5*'Jan''16 Envestra'!M23/'Jan''16 Envestra'!M24&gt;='Jan''16 Envestra'!M27,('Jan''16 Envestra'!M27*'Jan''16 Envestra'!M29/100*1.1)*'Jan''16 Envestra'!M24,($H5*'Jan''16 Envestra'!M23/'Jan''16 Envestra'!M24*'Jan''16 Envestra'!M29/100*1.1)*'Jan''16 Envestra'!M24)</f>
        <v>123.90400000000001</v>
      </c>
      <c r="L50" s="59">
        <f>IF($H5*'Jan''16 Envestra'!N23/'Jan''16 Envestra'!N24&gt;='Jan''16 Envestra'!N27,('Jan''16 Envestra'!N27*'Jan''16 Envestra'!N29/100*1.1)*'Jan''16 Envestra'!N24,($H5*'Jan''16 Envestra'!N23/'Jan''16 Envestra'!N24*'Jan''16 Envestra'!N29/100*1.1)*'Jan''16 Envestra'!N24)</f>
        <v>88.303600000000003</v>
      </c>
      <c r="M50" s="59">
        <f>IF($H5*'Jan''16 Envestra'!O23/'Jan''16 Envestra'!O24&gt;='Jan''16 Envestra'!O27,('Jan''16 Envestra'!O27*'Jan''16 Envestra'!O29/100*1.1)*'Jan''16 Envestra'!O24,($H5*'Jan''16 Envestra'!O23/'Jan''16 Envestra'!O24*'Jan''16 Envestra'!O29/100*1.1)*'Jan''16 Envestra'!O24)</f>
        <v>91.560699999999997</v>
      </c>
      <c r="N50" s="63"/>
    </row>
    <row r="51" spans="1:14" x14ac:dyDescent="0.15">
      <c r="A51" s="40" t="s">
        <v>603</v>
      </c>
      <c r="C51" s="59">
        <f>IF($H5*'Jan''16 Envestra'!E23/'Jan''16 Envestra'!E24&lt;'Jan''16 Envestra'!E27,0,IF($H5*'Jan''16 Envestra'!E23/'Jan''16 Envestra'!E24&lt;='Jan''16 Envestra'!E28,($H5*'Jan''16 Envestra'!E23/'Jan''16 Envestra'!E24-'Jan''16 Envestra'!E27)*('Jan''16 Envestra'!E30/100*1.1)*'Jan''16 Envestra'!E24,('Jan''16 Envestra'!E28-'Jan''16 Envestra'!E27)*('Jan''16 Envestra'!E30/100*1.1)*'Jan''16 Envestra'!E24))</f>
        <v>62.958720000000007</v>
      </c>
      <c r="D51" s="59">
        <f>IF($H5*'Jan''16 Envestra'!F23/'Jan''16 Envestra'!F24&lt;'Jan''16 Envestra'!F27,0,IF($H5*'Jan''16 Envestra'!F23/'Jan''16 Envestra'!F24&lt;='Jan''16 Envestra'!F28,($H5*'Jan''16 Envestra'!F23/'Jan''16 Envestra'!F24-'Jan''16 Envestra'!F27)*('Jan''16 Envestra'!F30/100*1.1)*'Jan''16 Envestra'!F24,('Jan''16 Envestra'!F28-'Jan''16 Envestra'!F27)*('Jan''16 Envestra'!F30/100*1.1)*'Jan''16 Envestra'!F24))</f>
        <v>255.64269719999999</v>
      </c>
      <c r="E51" s="59">
        <f>IF($H5*'Jan''16 Envestra'!G23/'Jan''16 Envestra'!G24&lt;'Jan''16 Envestra'!G27,0,IF($H5*'Jan''16 Envestra'!G23/'Jan''16 Envestra'!G24&lt;='Jan''16 Envestra'!G28,($H5*'Jan''16 Envestra'!G23/'Jan''16 Envestra'!G24-'Jan''16 Envestra'!G27)*('Jan''16 Envestra'!G30/100*1.1)*'Jan''16 Envestra'!G24,('Jan''16 Envestra'!G28-'Jan''16 Envestra'!G27)*('Jan''16 Envestra'!G30/100*1.1)*'Jan''16 Envestra'!G24))</f>
        <v>61.110500000000002</v>
      </c>
      <c r="F51" s="59">
        <f>IF($H5*'Jan''16 Envestra'!H23/'Jan''16 Envestra'!H24&lt;'Jan''16 Envestra'!H27,0,IF($H5*'Jan''16 Envestra'!H23/'Jan''16 Envestra'!H24&lt;='Jan''16 Envestra'!H28,($H5*'Jan''16 Envestra'!H23/'Jan''16 Envestra'!H24-'Jan''16 Envestra'!H27)*('Jan''16 Envestra'!H30/100*1.1)*'Jan''16 Envestra'!H24,('Jan''16 Envestra'!H28-'Jan''16 Envestra'!H27)*('Jan''16 Envestra'!H30/100*1.1)*'Jan''16 Envestra'!H24))</f>
        <v>48.053720000000013</v>
      </c>
      <c r="G51" s="59">
        <f>IF($H5*'Jan''16 Envestra'!I23/'Jan''16 Envestra'!I24&lt;'Jan''16 Envestra'!I27,0,IF($H5*'Jan''16 Envestra'!I23/'Jan''16 Envestra'!I24&lt;='Jan''16 Envestra'!I28,($H5*'Jan''16 Envestra'!I23/'Jan''16 Envestra'!I24-'Jan''16 Envestra'!I27)*('Jan''16 Envestra'!I30/100*1.1)*'Jan''16 Envestra'!I24,('Jan''16 Envestra'!I28-'Jan''16 Envestra'!I27)*('Jan''16 Envestra'!I30/100*1.1)*'Jan''16 Envestra'!I24))</f>
        <v>0</v>
      </c>
      <c r="H51" s="59">
        <f>IF($H5*'Jan''16 Envestra'!J23/'Jan''16 Envestra'!J24&lt;'Jan''16 Envestra'!J27,0,IF($H5*'Jan''16 Envestra'!J23/'Jan''16 Envestra'!J24&lt;='Jan''16 Envestra'!J28,($H5*'Jan''16 Envestra'!J23/'Jan''16 Envestra'!J24-'Jan''16 Envestra'!J27)*('Jan''16 Envestra'!J30/100*1.1)*'Jan''16 Envestra'!J24,('Jan''16 Envestra'!J28-'Jan''16 Envestra'!J27)*('Jan''16 Envestra'!J30/100*1.1)*'Jan''16 Envestra'!J24))</f>
        <v>61.766320000000007</v>
      </c>
      <c r="I51" s="59">
        <f>IF($H5*'Jan''16 Envestra'!K23/'Jan''16 Envestra'!K24&lt;'Jan''16 Envestra'!K27,0,IF($H5*'Jan''16 Envestra'!K23/'Jan''16 Envestra'!K24&lt;='Jan''16 Envestra'!K28,($H5*'Jan''16 Envestra'!K23/'Jan''16 Envestra'!K24-'Jan''16 Envestra'!K27)*('Jan''16 Envestra'!K30/100*1.1)*'Jan''16 Envestra'!K24,('Jan''16 Envestra'!K28-'Jan''16 Envestra'!K27)*('Jan''16 Envestra'!K30/100*1.1)*'Jan''16 Envestra'!K24))</f>
        <v>0</v>
      </c>
      <c r="J51" s="59">
        <f>IF($H5*'Jan''16 Envestra'!L23/'Jan''16 Envestra'!L24&lt;'Jan''16 Envestra'!L27,0,IF($H5*'Jan''16 Envestra'!L23/'Jan''16 Envestra'!L24&lt;='Jan''16 Envestra'!L28,($H5*'Jan''16 Envestra'!L23/'Jan''16 Envestra'!L24-'Jan''16 Envestra'!L27)*('Jan''16 Envestra'!L30/100*1.1)*'Jan''16 Envestra'!L24,('Jan''16 Envestra'!L28-'Jan''16 Envestra'!L27)*('Jan''16 Envestra'!L30/100*1.1)*'Jan''16 Envestra'!L24))</f>
        <v>0</v>
      </c>
      <c r="K51" s="59">
        <f>IF($H5*'Jan''16 Envestra'!M23/'Jan''16 Envestra'!M24&lt;'Jan''16 Envestra'!M27,0,IF($H5*'Jan''16 Envestra'!M23/'Jan''16 Envestra'!M24&lt;='Jan''16 Envestra'!M28,($H5*'Jan''16 Envestra'!M23/'Jan''16 Envestra'!M24-'Jan''16 Envestra'!M27)*('Jan''16 Envestra'!M30/100*1.1)*'Jan''16 Envestra'!M24,('Jan''16 Envestra'!M28-'Jan''16 Envestra'!M27)*('Jan''16 Envestra'!M30/100*1.1)*'Jan''16 Envestra'!M24))</f>
        <v>0</v>
      </c>
      <c r="L51" s="59">
        <f>IF($H5*'Jan''16 Envestra'!N23/'Jan''16 Envestra'!N24&lt;'Jan''16 Envestra'!N27,0,IF($H5*'Jan''16 Envestra'!N23/'Jan''16 Envestra'!N24&lt;='Jan''16 Envestra'!N28,($H5*'Jan''16 Envestra'!N23/'Jan''16 Envestra'!N24-'Jan''16 Envestra'!N27)*('Jan''16 Envestra'!N30/100*1.1)*'Jan''16 Envestra'!N24,('Jan''16 Envestra'!N28-'Jan''16 Envestra'!N27)*('Jan''16 Envestra'!N30/100*1.1)*'Jan''16 Envestra'!N24))</f>
        <v>59.023800000000001</v>
      </c>
      <c r="M51" s="59">
        <f>IF($H5*'Jan''16 Envestra'!O23/'Jan''16 Envestra'!O24&lt;'Jan''16 Envestra'!O27,0,IF($H5*'Jan''16 Envestra'!O23/'Jan''16 Envestra'!O24&lt;='Jan''16 Envestra'!O28,($H5*'Jan''16 Envestra'!O23/'Jan''16 Envestra'!O24-'Jan''16 Envestra'!O27)*('Jan''16 Envestra'!O30/100*1.1)*'Jan''16 Envestra'!O24,('Jan''16 Envestra'!O28-'Jan''16 Envestra'!O27)*('Jan''16 Envestra'!O30/100*1.1)*'Jan''16 Envestra'!O24))</f>
        <v>60.216200000000001</v>
      </c>
      <c r="N51" s="63"/>
    </row>
    <row r="52" spans="1:14" x14ac:dyDescent="0.15">
      <c r="A52" s="40" t="s">
        <v>606</v>
      </c>
      <c r="C52" s="59">
        <f>IF(($H5*'Jan''16 Envestra'!E23/'Jan''16 Envestra'!E24&gt;'Jan''16 Envestra'!E28),($H5*'Jan''16 Envestra'!E23/'Jan''16 Envestra'!E24-'Jan''16 Envestra'!E28)*'Jan''16 Envestra'!E31/100*1.1*'Jan''16 Envestra'!E24,0)</f>
        <v>235.75199009999997</v>
      </c>
      <c r="D52" s="59">
        <f>IF(($H5*'Jan''16 Envestra'!F23/'Jan''16 Envestra'!F24&gt;'Jan''16 Envestra'!F28),($H5*'Jan''16 Envestra'!F23/'Jan''16 Envestra'!F24-'Jan''16 Envestra'!F28)*'Jan''16 Envestra'!F31/100*1.1*'Jan''16 Envestra'!F24,0)</f>
        <v>0</v>
      </c>
      <c r="E52" s="59">
        <f>IF(($H5*'Jan''16 Envestra'!G23/'Jan''16 Envestra'!G24&gt;'Jan''16 Envestra'!G28),($H5*'Jan''16 Envestra'!G23/'Jan''16 Envestra'!G24-'Jan''16 Envestra'!G28)*'Jan''16 Envestra'!G31/100*1.1*'Jan''16 Envestra'!G24,0)</f>
        <v>244.16581199999999</v>
      </c>
      <c r="F52" s="59">
        <f>IF(($H5*'Jan''16 Envestra'!H23/'Jan''16 Envestra'!H24&gt;'Jan''16 Envestra'!H28),($H5*'Jan''16 Envestra'!H23/'Jan''16 Envestra'!H24-'Jan''16 Envestra'!H28)*'Jan''16 Envestra'!H31/100*1.1*'Jan''16 Envestra'!H24,0)</f>
        <v>214.79992379999999</v>
      </c>
      <c r="G52" s="59">
        <f>IF(($H5*'Jan''16 Envestra'!I23/'Jan''16 Envestra'!I24&gt;'Jan''16 Envestra'!I28),($H5*'Jan''16 Envestra'!I23/'Jan''16 Envestra'!I24-'Jan''16 Envestra'!I28)*'Jan''16 Envestra'!I31/100*1.1*'Jan''16 Envestra'!I24,0)</f>
        <v>255.31727099999998</v>
      </c>
      <c r="H52" s="59">
        <f>IF(($H5*'Jan''16 Envestra'!J23/'Jan''16 Envestra'!J24&gt;'Jan''16 Envestra'!J28),($H5*'Jan''16 Envestra'!J23/'Jan''16 Envestra'!J24-'Jan''16 Envestra'!J28)*'Jan''16 Envestra'!J31/100*1.1*'Jan''16 Envestra'!J24,0)</f>
        <v>277.82109959999997</v>
      </c>
      <c r="I52" s="59">
        <f>IF(($H5*'Jan''16 Envestra'!K23/'Jan''16 Envestra'!K24&gt;'Jan''16 Envestra'!K28),($H5*'Jan''16 Envestra'!K23/'Jan''16 Envestra'!K24-'Jan''16 Envestra'!K28)*'Jan''16 Envestra'!K31/100*1.1*'Jan''16 Envestra'!K24,0)</f>
        <v>257.69391780000001</v>
      </c>
      <c r="J52" s="59">
        <f>IF(($H5*'Jan''16 Envestra'!L23/'Jan''16 Envestra'!L24&gt;'Jan''16 Envestra'!L28),($H5*'Jan''16 Envestra'!L23/'Jan''16 Envestra'!L24-'Jan''16 Envestra'!L28)*'Jan''16 Envestra'!L31/100*1.1*'Jan''16 Envestra'!L24,0)</f>
        <v>296.10952800000001</v>
      </c>
      <c r="K52" s="59">
        <f>IF(($H5*'Jan''16 Envestra'!M23/'Jan''16 Envestra'!M24&gt;'Jan''16 Envestra'!M28),($H5*'Jan''16 Envestra'!M23/'Jan''16 Envestra'!M24-'Jan''16 Envestra'!M28)*'Jan''16 Envestra'!M31/100*1.1*'Jan''16 Envestra'!M24,0)</f>
        <v>239.25958099999997</v>
      </c>
      <c r="L52" s="59">
        <f>IF(($H5*'Jan''16 Envestra'!N23/'Jan''16 Envestra'!N24&gt;'Jan''16 Envestra'!N28),($H5*'Jan''16 Envestra'!N23/'Jan''16 Envestra'!N24-'Jan''16 Envestra'!N28)*'Jan''16 Envestra'!N31/100*1.1*'Jan''16 Envestra'!N24,0)</f>
        <v>260.66350199999999</v>
      </c>
      <c r="M52" s="59">
        <f>IF(($H5*'Jan''16 Envestra'!O23/'Jan''16 Envestra'!O24&gt;'Jan''16 Envestra'!O28),($H5*'Jan''16 Envestra'!O23/'Jan''16 Envestra'!O24-'Jan''16 Envestra'!O28)*'Jan''16 Envestra'!O31/100*1.1*'Jan''16 Envestra'!O24,0)</f>
        <v>260.66350199999999</v>
      </c>
      <c r="N52" s="63"/>
    </row>
    <row r="53" spans="1:14" x14ac:dyDescent="0.15">
      <c r="A53" s="40" t="s">
        <v>607</v>
      </c>
      <c r="C53" s="59">
        <f>IF($H5*'Jan''16 Envestra'!E25/'Jan''16 Envestra'!E26&gt;='Jan''16 Envestra'!E27,('Jan''16 Envestra'!E27*'Jan''16 Envestra'!E32/100*1.1)*'Jan''16 Envestra'!E26,($H5*'Jan''16 Envestra'!E25/'Jan''16 Envestra'!E26*'Jan''16 Envestra'!E32/100*1.1*'Jan''16 Envestra'!E26))</f>
        <v>160.03218000000001</v>
      </c>
      <c r="D53" s="59">
        <f>IF($H5*'Jan''16 Envestra'!F25/'Jan''16 Envestra'!F26&gt;='Jan''16 Envestra'!F27,('Jan''16 Envestra'!F27*'Jan''16 Envestra'!F32/100*1.1)*'Jan''16 Envestra'!F26,($H5*'Jan''16 Envestra'!F25/'Jan''16 Envestra'!F26*'Jan''16 Envestra'!F32/100*1.1*'Jan''16 Envestra'!F26))</f>
        <v>352.35199999999998</v>
      </c>
      <c r="E53" s="59">
        <f>IF($H5*'Jan''16 Envestra'!G25/'Jan''16 Envestra'!G26&gt;='Jan''16 Envestra'!G27,('Jan''16 Envestra'!G27*'Jan''16 Envestra'!G32/100*1.1)*'Jan''16 Envestra'!G26,($H5*'Jan''16 Envestra'!G25/'Jan''16 Envestra'!G26*'Jan''16 Envestra'!G32/100*1.1*'Jan''16 Envestra'!G26))</f>
        <v>187.46420000000001</v>
      </c>
      <c r="F53" s="59">
        <f>IF($H5*'Jan''16 Envestra'!H25/'Jan''16 Envestra'!H26&gt;='Jan''16 Envestra'!H27,('Jan''16 Envestra'!H27*'Jan''16 Envestra'!H32/100*1.1)*'Jan''16 Envestra'!H26,($H5*'Jan''16 Envestra'!H25/'Jan''16 Envestra'!H26*'Jan''16 Envestra'!H32/100*1.1*'Jan''16 Envestra'!H26))</f>
        <v>136.50868</v>
      </c>
      <c r="G53" s="59">
        <f>IF($H5*'Jan''16 Envestra'!I25/'Jan''16 Envestra'!I26&gt;='Jan''16 Envestra'!I27,('Jan''16 Envestra'!I27*'Jan''16 Envestra'!I32/100*1.1)*'Jan''16 Envestra'!I26,($H5*'Jan''16 Envestra'!I25/'Jan''16 Envestra'!I26*'Jan''16 Envestra'!I32/100*1.1*'Jan''16 Envestra'!I26))</f>
        <v>237.952</v>
      </c>
      <c r="H53" s="59">
        <f>IF($H5*'Jan''16 Envestra'!J25/'Jan''16 Envestra'!J26&gt;='Jan''16 Envestra'!J27,('Jan''16 Envestra'!J27*'Jan''16 Envestra'!J32/100*1.1)*'Jan''16 Envestra'!J26,($H5*'Jan''16 Envestra'!J25/'Jan''16 Envestra'!J26*'Jan''16 Envestra'!J32/100*1.1*'Jan''16 Envestra'!J26))</f>
        <v>182.03570000000002</v>
      </c>
      <c r="I53" s="59">
        <f>IF($H5*'Jan''16 Envestra'!K25/'Jan''16 Envestra'!K26&gt;='Jan''16 Envestra'!K27,('Jan''16 Envestra'!K27*'Jan''16 Envestra'!K32/100*1.1)*'Jan''16 Envestra'!K26,($H5*'Jan''16 Envestra'!K25/'Jan''16 Envestra'!K26*'Jan''16 Envestra'!K32/100*1.1*'Jan''16 Envestra'!K26))</f>
        <v>278.6520000000001</v>
      </c>
      <c r="J53" s="59">
        <f>IF($H5*'Jan''16 Envestra'!L25/'Jan''16 Envestra'!L26&gt;='Jan''16 Envestra'!L27,('Jan''16 Envestra'!L27*'Jan''16 Envestra'!L32/100*1.1)*'Jan''16 Envestra'!L26,($H5*'Jan''16 Envestra'!L25/'Jan''16 Envestra'!L26*'Jan''16 Envestra'!L32/100*1.1*'Jan''16 Envestra'!L26))</f>
        <v>139.60848000000001</v>
      </c>
      <c r="K53" s="59">
        <f>IF($H5*'Jan''16 Envestra'!M25/'Jan''16 Envestra'!M26&gt;='Jan''16 Envestra'!M27,('Jan''16 Envestra'!M27*'Jan''16 Envestra'!M32/100*1.1)*'Jan''16 Envestra'!M26,($H5*'Jan''16 Envestra'!M25/'Jan''16 Envestra'!M26*'Jan''16 Envestra'!M32/100*1.1*'Jan''16 Envestra'!M26))</f>
        <v>229.50399999999999</v>
      </c>
      <c r="L53" s="59">
        <f>IF($H5*'Jan''16 Envestra'!N25/'Jan''16 Envestra'!N26&gt;='Jan''16 Envestra'!N27,('Jan''16 Envestra'!N27*'Jan''16 Envestra'!N32/100*1.1)*'Jan''16 Envestra'!N26,($H5*'Jan''16 Envestra'!N25/'Jan''16 Envestra'!N26*'Jan''16 Envestra'!N32/100*1.1*'Jan''16 Envestra'!N26))</f>
        <v>176.60720000000001</v>
      </c>
      <c r="M53" s="59">
        <f>IF($H5*'Jan''16 Envestra'!O25/'Jan''16 Envestra'!O26&gt;='Jan''16 Envestra'!O27,('Jan''16 Envestra'!O27*'Jan''16 Envestra'!O32/100*1.1)*'Jan''16 Envestra'!O26,($H5*'Jan''16 Envestra'!O25/'Jan''16 Envestra'!O26*'Jan''16 Envestra'!O32/100*1.1*'Jan''16 Envestra'!O26))</f>
        <v>183.12139999999999</v>
      </c>
      <c r="N53" s="63"/>
    </row>
    <row r="54" spans="1:14" x14ac:dyDescent="0.15">
      <c r="A54" s="40" t="s">
        <v>608</v>
      </c>
      <c r="C54" s="59">
        <f>IF($H5*'Jan''16 Envestra'!E25/'Jan''16 Envestra'!E26&lt;'Jan''16 Envestra'!E27,0,IF($H5*'Jan''16 Envestra'!E25/'Jan''16 Envestra'!E26&lt;='Jan''16 Envestra'!E28,($H5*'Jan''16 Envestra'!E25/'Jan''16 Envestra'!E26-'Jan''16 Envestra'!E27)*('Jan''16 Envestra'!E33/100*1.1)*'Jan''16 Envestra'!E26,('Jan''16 Envestra'!E28-'Jan''16 Envestra'!E27)*('Jan''16 Envestra'!E33/100*1.1)*'Jan''16 Envestra'!E26))</f>
        <v>125.91744000000001</v>
      </c>
      <c r="D54" s="59">
        <f>IF($H5*'Jan''16 Envestra'!F25/'Jan''16 Envestra'!F26&lt;'Jan''16 Envestra'!F27,0,IF($H5*'Jan''16 Envestra'!F25/'Jan''16 Envestra'!F26&lt;='Jan''16 Envestra'!F28,($H5*'Jan''16 Envestra'!F25/'Jan''16 Envestra'!F26-'Jan''16 Envestra'!F27)*('Jan''16 Envestra'!F33/100*1.1)*'Jan''16 Envestra'!F26,('Jan''16 Envestra'!F28-'Jan''16 Envestra'!F27)*('Jan''16 Envestra'!F33/100*1.1)*'Jan''16 Envestra'!F26))</f>
        <v>511.28539439999997</v>
      </c>
      <c r="E54" s="59">
        <f>IF($H5*'Jan''16 Envestra'!G25/'Jan''16 Envestra'!G26&lt;'Jan''16 Envestra'!G27,0,IF($H5*'Jan''16 Envestra'!G25/'Jan''16 Envestra'!G26&lt;='Jan''16 Envestra'!G28,($H5*'Jan''16 Envestra'!G25/'Jan''16 Envestra'!G26-'Jan''16 Envestra'!G27)*('Jan''16 Envestra'!G33/100*1.1)*'Jan''16 Envestra'!G26,('Jan''16 Envestra'!G28-'Jan''16 Envestra'!G27)*('Jan''16 Envestra'!G33/100*1.1)*'Jan''16 Envestra'!G26))</f>
        <v>122.221</v>
      </c>
      <c r="F54" s="59">
        <f>IF($H5*'Jan''16 Envestra'!H25/'Jan''16 Envestra'!H26&lt;'Jan''16 Envestra'!H27,0,IF($H5*'Jan''16 Envestra'!H25/'Jan''16 Envestra'!H26&lt;='Jan''16 Envestra'!H28,($H5*'Jan''16 Envestra'!H25/'Jan''16 Envestra'!H26-'Jan''16 Envestra'!H27)*('Jan''16 Envestra'!H33/100*1.1)*'Jan''16 Envestra'!H26,('Jan''16 Envestra'!H28-'Jan''16 Envestra'!H27)*('Jan''16 Envestra'!H33/100*1.1)*'Jan''16 Envestra'!H26))</f>
        <v>93.603400000000022</v>
      </c>
      <c r="G54" s="59">
        <f>IF($H5*'Jan''16 Envestra'!I25/'Jan''16 Envestra'!I26&lt;'Jan''16 Envestra'!I27,0,IF($H5*'Jan''16 Envestra'!I25/'Jan''16 Envestra'!I26&lt;='Jan''16 Envestra'!I28,($H5*'Jan''16 Envestra'!I25/'Jan''16 Envestra'!I26-'Jan''16 Envestra'!I27)*('Jan''16 Envestra'!I33/100*1.1)*'Jan''16 Envestra'!I26,('Jan''16 Envestra'!I28-'Jan''16 Envestra'!I27)*('Jan''16 Envestra'!I33/100*1.1)*'Jan''16 Envestra'!I26))</f>
        <v>0</v>
      </c>
      <c r="H54" s="59">
        <f>IF($H5*'Jan''16 Envestra'!J25/'Jan''16 Envestra'!J26&lt;'Jan''16 Envestra'!J27,0,IF($H5*'Jan''16 Envestra'!J25/'Jan''16 Envestra'!J26&lt;='Jan''16 Envestra'!J28,($H5*'Jan''16 Envestra'!J25/'Jan''16 Envestra'!J26-'Jan''16 Envestra'!J27)*('Jan''16 Envestra'!J33/100*1.1)*'Jan''16 Envestra'!J26,('Jan''16 Envestra'!J28-'Jan''16 Envestra'!J27)*('Jan''16 Envestra'!J33/100*1.1)*'Jan''16 Envestra'!J26))</f>
        <v>123.53264000000001</v>
      </c>
      <c r="I54" s="59">
        <f>IF($H5*'Jan''16 Envestra'!K25/'Jan''16 Envestra'!K26&lt;'Jan''16 Envestra'!K27,0,IF($H5*'Jan''16 Envestra'!K25/'Jan''16 Envestra'!K26&lt;='Jan''16 Envestra'!K28,($H5*'Jan''16 Envestra'!K25/'Jan''16 Envestra'!K26-'Jan''16 Envestra'!K27)*('Jan''16 Envestra'!K33/100*1.1)*'Jan''16 Envestra'!K26,('Jan''16 Envestra'!K28-'Jan''16 Envestra'!K27)*('Jan''16 Envestra'!K33/100*1.1)*'Jan''16 Envestra'!K26))</f>
        <v>0</v>
      </c>
      <c r="J54" s="59">
        <f>IF($H5*'Jan''16 Envestra'!L25/'Jan''16 Envestra'!L26&lt;'Jan''16 Envestra'!L27,0,IF($H5*'Jan''16 Envestra'!L25/'Jan''16 Envestra'!L26&lt;='Jan''16 Envestra'!L28,($H5*'Jan''16 Envestra'!L25/'Jan''16 Envestra'!L26-'Jan''16 Envestra'!L27)*('Jan''16 Envestra'!L33/100*1.1)*'Jan''16 Envestra'!L26,('Jan''16 Envestra'!L28-'Jan''16 Envestra'!L27)*('Jan''16 Envestra'!L33/100*1.1)*'Jan''16 Envestra'!L26))</f>
        <v>0</v>
      </c>
      <c r="K54" s="59">
        <f>IF($H5*'Jan''16 Envestra'!M25/'Jan''16 Envestra'!M26&lt;'Jan''16 Envestra'!M27,0,IF($H5*'Jan''16 Envestra'!M25/'Jan''16 Envestra'!M26&lt;='Jan''16 Envestra'!M28,($H5*'Jan''16 Envestra'!M25/'Jan''16 Envestra'!M26-'Jan''16 Envestra'!M27)*('Jan''16 Envestra'!M33/100*1.1)*'Jan''16 Envestra'!M26,('Jan''16 Envestra'!M28-'Jan''16 Envestra'!M27)*('Jan''16 Envestra'!M33/100*1.1)*'Jan''16 Envestra'!M26))</f>
        <v>0</v>
      </c>
      <c r="L54" s="59">
        <f>IF($H5*'Jan''16 Envestra'!N25/'Jan''16 Envestra'!N26&lt;'Jan''16 Envestra'!N27,0,IF($H5*'Jan''16 Envestra'!N25/'Jan''16 Envestra'!N26&lt;='Jan''16 Envestra'!N28,($H5*'Jan''16 Envestra'!N25/'Jan''16 Envestra'!N26-'Jan''16 Envestra'!N27)*('Jan''16 Envestra'!N33/100*1.1)*'Jan''16 Envestra'!N26,('Jan''16 Envestra'!N28-'Jan''16 Envestra'!N27)*('Jan''16 Envestra'!N33/100*1.1)*'Jan''16 Envestra'!N26))</f>
        <v>118.0476</v>
      </c>
      <c r="M54" s="59">
        <f>IF($H5*'Jan''16 Envestra'!O25/'Jan''16 Envestra'!O26&lt;'Jan''16 Envestra'!O27,0,IF($H5*'Jan''16 Envestra'!O25/'Jan''16 Envestra'!O26&lt;='Jan''16 Envestra'!O28,($H5*'Jan''16 Envestra'!O25/'Jan''16 Envestra'!O26-'Jan''16 Envestra'!O27)*('Jan''16 Envestra'!O33/100*1.1)*'Jan''16 Envestra'!O26,('Jan''16 Envestra'!O28-'Jan''16 Envestra'!O27)*('Jan''16 Envestra'!O33/100*1.1)*'Jan''16 Envestra'!O26))</f>
        <v>120.4324</v>
      </c>
      <c r="N54" s="63"/>
    </row>
    <row r="55" spans="1:14" x14ac:dyDescent="0.15">
      <c r="A55" s="40" t="s">
        <v>611</v>
      </c>
      <c r="C55" s="59">
        <f>IF(($H5*'Jan''16 Envestra'!E25/'Jan''16 Envestra'!E26&gt;'Jan''16 Envestra'!E28),($H5*'Jan''16 Envestra'!E25/'Jan''16 Envestra'!E26-'Jan''16 Envestra'!E28)*'Jan''16 Envestra'!E34/100*1.1*'Jan''16 Envestra'!E26,0)</f>
        <v>471.50398019999994</v>
      </c>
      <c r="D55" s="59">
        <f>IF(($H5*'Jan''16 Envestra'!F25/'Jan''16 Envestra'!F26&gt;'Jan''16 Envestra'!F28),($H5*'Jan''16 Envestra'!F25/'Jan''16 Envestra'!F26-'Jan''16 Envestra'!F28)*'Jan''16 Envestra'!F34/100*1.1*'Jan''16 Envestra'!F26,0)</f>
        <v>0</v>
      </c>
      <c r="E55" s="59">
        <f>IF(($H5*'Jan''16 Envestra'!G25/'Jan''16 Envestra'!G26&gt;'Jan''16 Envestra'!G28),($H5*'Jan''16 Envestra'!G25/'Jan''16 Envestra'!G26-'Jan''16 Envestra'!G28)*'Jan''16 Envestra'!G34/100*1.1*'Jan''16 Envestra'!G26,0)</f>
        <v>488.33162399999998</v>
      </c>
      <c r="F55" s="59">
        <f>IF(($H5*'Jan''16 Envestra'!H25/'Jan''16 Envestra'!H26&gt;'Jan''16 Envestra'!H28),($H5*'Jan''16 Envestra'!H25/'Jan''16 Envestra'!H26-'Jan''16 Envestra'!H28)*'Jan''16 Envestra'!H34/100*1.1*'Jan''16 Envestra'!H26,0)</f>
        <v>416.07174179999987</v>
      </c>
      <c r="G55" s="59">
        <f>IF(($H5*'Jan''16 Envestra'!I25/'Jan''16 Envestra'!I26&gt;'Jan''16 Envestra'!I28),($H5*'Jan''16 Envestra'!I25/'Jan''16 Envestra'!I26-'Jan''16 Envestra'!I28)*'Jan''16 Envestra'!I34/100*1.1*'Jan''16 Envestra'!I26,0)</f>
        <v>484.94223799999997</v>
      </c>
      <c r="H55" s="59">
        <f>IF(($H5*'Jan''16 Envestra'!J25/'Jan''16 Envestra'!J26&gt;'Jan''16 Envestra'!J28),($H5*'Jan''16 Envestra'!J25/'Jan''16 Envestra'!J26-'Jan''16 Envestra'!J28)*'Jan''16 Envestra'!J34/100*1.1*'Jan''16 Envestra'!J26,0)</f>
        <v>555.64219919999994</v>
      </c>
      <c r="I55" s="59">
        <f>IF(($H5*'Jan''16 Envestra'!K25/'Jan''16 Envestra'!K26&gt;'Jan''16 Envestra'!K28),($H5*'Jan''16 Envestra'!K25/'Jan''16 Envestra'!K26-'Jan''16 Envestra'!K28)*'Jan''16 Envestra'!K34/100*1.1*'Jan''16 Envestra'!K26,0)</f>
        <v>515.38783560000002</v>
      </c>
      <c r="J55" s="59">
        <f>IF(($H5*'Jan''16 Envestra'!L25/'Jan''16 Envestra'!L26&gt;'Jan''16 Envestra'!L28),($H5*'Jan''16 Envestra'!L25/'Jan''16 Envestra'!L26-'Jan''16 Envestra'!L28)*'Jan''16 Envestra'!L34/100*1.1*'Jan''16 Envestra'!L26,0)</f>
        <v>592.21905600000002</v>
      </c>
      <c r="K55" s="59">
        <f>IF(($H5*'Jan''16 Envestra'!M25/'Jan''16 Envestra'!M26&gt;'Jan''16 Envestra'!M28),($H5*'Jan''16 Envestra'!M25/'Jan''16 Envestra'!M26-'Jan''16 Envestra'!M28)*'Jan''16 Envestra'!M34/100*1.1*'Jan''16 Envestra'!M26,0)</f>
        <v>452.82685799999996</v>
      </c>
      <c r="L55" s="59">
        <f>IF(($H5*'Jan''16 Envestra'!N25/'Jan''16 Envestra'!N26&gt;'Jan''16 Envestra'!N28),($H5*'Jan''16 Envestra'!N25/'Jan''16 Envestra'!N26-'Jan''16 Envestra'!N28)*'Jan''16 Envestra'!N34/100*1.1*'Jan''16 Envestra'!N26,0)</f>
        <v>521.32700399999999</v>
      </c>
      <c r="M55" s="59">
        <f>IF(($H5*'Jan''16 Envestra'!O25/'Jan''16 Envestra'!O26&gt;'Jan''16 Envestra'!O28),($H5*'Jan''16 Envestra'!O25/'Jan''16 Envestra'!O26-'Jan''16 Envestra'!O28)*'Jan''16 Envestra'!O34/100*1.1*'Jan''16 Envestra'!O26,0)</f>
        <v>521.32700399999999</v>
      </c>
      <c r="N55" s="63"/>
    </row>
    <row r="56" spans="1:14" x14ac:dyDescent="0.15">
      <c r="A56" s="40" t="s">
        <v>612</v>
      </c>
      <c r="C56" s="59">
        <f>365*'Jan''16 Envestra'!E35/100*1.1</f>
        <v>264.18700000000001</v>
      </c>
      <c r="D56" s="59">
        <f>365*'Jan''16 Envestra'!F35/100*1.1</f>
        <v>257.48194999999998</v>
      </c>
      <c r="E56" s="59">
        <f>365*'Jan''16 Envestra'!G35/100*1.1</f>
        <v>285.065</v>
      </c>
      <c r="F56" s="59">
        <f>365*'Jan''16 Envestra'!H35/100*1.1</f>
        <v>250.45570000000001</v>
      </c>
      <c r="G56" s="59">
        <f>365*'Jan''16 Envestra'!I35/100*1.1</f>
        <v>239.4546</v>
      </c>
      <c r="H56" s="59">
        <f>365*'Jan''16 Envestra'!J35/100*1.1</f>
        <v>258.76675</v>
      </c>
      <c r="I56" s="59">
        <f>365*'Jan''16 Envestra'!K35/100*1.1</f>
        <v>273.02</v>
      </c>
      <c r="J56" s="59">
        <f>365*'Jan''16 Envestra'!L35/100*1.1</f>
        <v>256.19715000000002</v>
      </c>
      <c r="K56" s="59">
        <f>365*'Jan''16 Envestra'!M35/100*1.1</f>
        <v>228.65425000000002</v>
      </c>
      <c r="L56" s="59">
        <f>365*'Jan''16 Envestra'!N35/100*1.1</f>
        <v>266.9975</v>
      </c>
      <c r="M56" s="59">
        <f>365*'Jan''16 Envestra'!O35/100*1.1</f>
        <v>266.9975</v>
      </c>
      <c r="N56" s="60">
        <f>AVERAGE(C56:M56)</f>
        <v>258.84339999999997</v>
      </c>
    </row>
    <row r="57" spans="1:14" x14ac:dyDescent="0.15">
      <c r="A57" s="62" t="s">
        <v>613</v>
      </c>
      <c r="B57" s="63"/>
      <c r="C57" s="61">
        <f t="shared" ref="C57:L57" si="3">SUM(C50:C56)</f>
        <v>1400.3674003000001</v>
      </c>
      <c r="D57" s="61">
        <f t="shared" si="3"/>
        <v>1552.9380415999999</v>
      </c>
      <c r="E57" s="61">
        <f t="shared" si="3"/>
        <v>1482.090236</v>
      </c>
      <c r="F57" s="61">
        <f>SUM(F50:F56)</f>
        <v>1229.2312955999998</v>
      </c>
      <c r="G57" s="61">
        <f>SUM(G50:G56)</f>
        <v>1344.386109</v>
      </c>
      <c r="H57" s="61">
        <f t="shared" si="3"/>
        <v>1550.5825588</v>
      </c>
      <c r="I57" s="61">
        <f t="shared" si="3"/>
        <v>1464.0797534000001</v>
      </c>
      <c r="J57" s="61">
        <f t="shared" si="3"/>
        <v>1353.9384540000001</v>
      </c>
      <c r="K57" s="61">
        <f t="shared" si="3"/>
        <v>1274.1486889999999</v>
      </c>
      <c r="L57" s="61">
        <f t="shared" si="3"/>
        <v>1490.970206</v>
      </c>
      <c r="M57" s="61">
        <f>SUM(M50:M56)</f>
        <v>1504.318706</v>
      </c>
      <c r="N57" s="64">
        <f>AVERAGE(C57:M57)</f>
        <v>1422.4592226999998</v>
      </c>
    </row>
    <row r="59" spans="1:14" x14ac:dyDescent="0.15">
      <c r="A59" s="53" t="s">
        <v>1028</v>
      </c>
      <c r="C59" s="23" t="s">
        <v>1044</v>
      </c>
      <c r="D59" s="23" t="s">
        <v>591</v>
      </c>
      <c r="E59" s="23" t="s">
        <v>592</v>
      </c>
      <c r="F59" s="23" t="s">
        <v>614</v>
      </c>
      <c r="G59" s="23" t="s">
        <v>615</v>
      </c>
      <c r="H59" s="23" t="s">
        <v>595</v>
      </c>
      <c r="I59" s="23" t="s">
        <v>596</v>
      </c>
      <c r="J59" s="23" t="s">
        <v>486</v>
      </c>
      <c r="K59" s="23" t="s">
        <v>487</v>
      </c>
      <c r="L59" s="23" t="s">
        <v>599</v>
      </c>
      <c r="M59" s="23" t="s">
        <v>600</v>
      </c>
      <c r="N59" s="57" t="s">
        <v>601</v>
      </c>
    </row>
    <row r="60" spans="1:14" x14ac:dyDescent="0.15">
      <c r="A60" s="40" t="s">
        <v>602</v>
      </c>
      <c r="C60" s="59">
        <f>IF($H5*'Jan''16 Envestra'!E39/'Jan''16 Envestra'!E40&gt;='Jan''16 Envestra'!E43,('Jan''16 Envestra'!E43*'Jan''16 Envestra'!E45/100*1.1)*'Jan''16 Envestra'!E40,($H5*'Jan''16 Envestra'!E39/'Jan''16 Envestra'!E40*'Jan''16 Envestra'!E45/100*1.1)*'Jan''16 Envestra'!E40)</f>
        <v>81.246550000000013</v>
      </c>
      <c r="D60" s="59">
        <f>IF($H5*'Jan''16 Envestra'!F39/'Jan''16 Envestra'!F40&gt;='Jan''16 Envestra'!F43,('Jan''16 Envestra'!F43*'Jan''16 Envestra'!F45/100*1.1)*'Jan''16 Envestra'!F40,($H5*'Jan''16 Envestra'!F39/'Jan''16 Envestra'!F40*'Jan''16 Envestra'!F45/100*1.1)*'Jan''16 Envestra'!F40)</f>
        <v>176.17599999999999</v>
      </c>
      <c r="E60" s="59">
        <f>IF($H5*'Jan''16 Envestra'!G39/'Jan''16 Envestra'!G40&gt;='Jan''16 Envestra'!G43,('Jan''16 Envestra'!G43*'Jan''16 Envestra'!G45/100*1.1)*'Jan''16 Envestra'!G40,($H5*'Jan''16 Envestra'!G39/'Jan''16 Envestra'!G40*'Jan''16 Envestra'!G45/100*1.1)*'Jan''16 Envestra'!G40)</f>
        <v>94.094000000000008</v>
      </c>
      <c r="F60" s="59">
        <f>IF($H5*'Jan''16 Envestra'!H39/'Jan''16 Envestra'!H40&gt;='Jan''16 Envestra'!H43,('Jan''16 Envestra'!H43*'Jan''16 Envestra'!H45/100*1.1)*'Jan''16 Envestra'!H40,($H5*'Jan''16 Envestra'!H39/'Jan''16 Envestra'!H40*'Jan''16 Envestra'!H45/100*1.1)*'Jan''16 Envestra'!H40)</f>
        <v>69.738129999999998</v>
      </c>
      <c r="G60" s="59">
        <f>IF($H5*'Jan''16 Envestra'!I39/'Jan''16 Envestra'!I40&gt;='Jan''16 Envestra'!I43,('Jan''16 Envestra'!I43*'Jan''16 Envestra'!I45/100*1.1)*'Jan''16 Envestra'!I40,($H5*'Jan''16 Envestra'!I39/'Jan''16 Envestra'!I40*'Jan''16 Envestra'!I45/100*1.1)*'Jan''16 Envestra'!I40)</f>
        <v>162.80000000000001</v>
      </c>
      <c r="H60" s="59">
        <f>IF($H5*'Jan''16 Envestra'!J39/'Jan''16 Envestra'!J40&gt;='Jan''16 Envestra'!J43,('Jan''16 Envestra'!J43*'Jan''16 Envestra'!J45/100*1.1)*'Jan''16 Envestra'!J40,($H5*'Jan''16 Envestra'!J39/'Jan''16 Envestra'!J40*'Jan''16 Envestra'!J45/100*1.1)*'Jan''16 Envestra'!J40)</f>
        <v>90.511189999999985</v>
      </c>
      <c r="I60" s="59">
        <f>IF($H5*'Jan''16 Envestra'!K39/'Jan''16 Envestra'!K40&gt;='Jan''16 Envestra'!K43,('Jan''16 Envestra'!K43*'Jan''16 Envestra'!K45/100*1.1)*'Jan''16 Envestra'!K40,($H5*'Jan''16 Envestra'!K39/'Jan''16 Envestra'!K40*'Jan''16 Envestra'!K45/100*1.1)*'Jan''16 Envestra'!K40)</f>
        <v>139.32600000000005</v>
      </c>
      <c r="J60" s="59">
        <f>IF($H5*'Jan''16 Envestra'!L39/'Jan''16 Envestra'!L40&gt;='Jan''16 Envestra'!L43,('Jan''16 Envestra'!L43*'Jan''16 Envestra'!L45/100*1.1)*'Jan''16 Envestra'!L40,($H5*'Jan''16 Envestra'!L39/'Jan''16 Envestra'!L40*'Jan''16 Envestra'!L45/100*1.1)*'Jan''16 Envestra'!L40)</f>
        <v>82.875100000000018</v>
      </c>
      <c r="K60" s="59">
        <f>IF($H5*'Jan''16 Envestra'!M39/'Jan''16 Envestra'!M40&gt;='Jan''16 Envestra'!M43,('Jan''16 Envestra'!M43*'Jan''16 Envestra'!M45/100*1.1)*'Jan''16 Envestra'!M40,($H5*'Jan''16 Envestra'!M39/'Jan''16 Envestra'!M40*'Jan''16 Envestra'!M45/100*1.1)*'Jan''16 Envestra'!M40)</f>
        <v>158.4</v>
      </c>
      <c r="L60" s="59">
        <f>IF($H5*'Jan''16 Envestra'!N39/'Jan''16 Envestra'!N40&gt;='Jan''16 Envestra'!N43,('Jan''16 Envestra'!N43*'Jan''16 Envestra'!N45/100*1.1)*'Jan''16 Envestra'!N40,($H5*'Jan''16 Envestra'!N39/'Jan''16 Envestra'!N40*'Jan''16 Envestra'!N45/100*1.1)*'Jan''16 Envestra'!N40)</f>
        <v>88.303600000000003</v>
      </c>
      <c r="M60" s="59">
        <f>IF($H5*'Jan''16 Envestra'!O39/'Jan''16 Envestra'!O40&gt;='Jan''16 Envestra'!O43,('Jan''16 Envestra'!O43*'Jan''16 Envestra'!O45/100*1.1)*'Jan''16 Envestra'!O40,($H5*'Jan''16 Envestra'!O39/'Jan''16 Envestra'!O40*'Jan''16 Envestra'!O45/100*1.1)*'Jan''16 Envestra'!O40)</f>
        <v>91.560699999999997</v>
      </c>
      <c r="N60" s="63"/>
    </row>
    <row r="61" spans="1:14" x14ac:dyDescent="0.15">
      <c r="A61" s="40" t="s">
        <v>603</v>
      </c>
      <c r="C61" s="59">
        <f>IF($H5*'Jan''16 Envestra'!E39/'Jan''16 Envestra'!E40&lt;'Jan''16 Envestra'!E43,0,IF($H5*'Jan''16 Envestra'!E39/'Jan''16 Envestra'!E40&lt;='Jan''16 Envestra'!E44,($H5*'Jan''16 Envestra'!E39/'Jan''16 Envestra'!E40-'Jan''16 Envestra'!E43)*('Jan''16 Envestra'!E46/100*1.1)*'Jan''16 Envestra'!E40,('Jan''16 Envestra'!E44-'Jan''16 Envestra'!E43)*('Jan''16 Envestra'!E46/100*1.1)*'Jan''16 Envestra'!E40))</f>
        <v>57.294820000000001</v>
      </c>
      <c r="D61" s="59">
        <f>IF($H5*'Jan''16 Envestra'!F39/'Jan''16 Envestra'!F40&lt;'Jan''16 Envestra'!F43,0,IF($H5*'Jan''16 Envestra'!F39/'Jan''16 Envestra'!F40&lt;='Jan''16 Envestra'!F44,($H5*'Jan''16 Envestra'!F39/'Jan''16 Envestra'!F40-'Jan''16 Envestra'!F43)*('Jan''16 Envestra'!F46/100*1.1)*'Jan''16 Envestra'!F40,('Jan''16 Envestra'!F44-'Jan''16 Envestra'!F43)*('Jan''16 Envestra'!F46/100*1.1)*'Jan''16 Envestra'!F40))</f>
        <v>255.64269719999999</v>
      </c>
      <c r="E61" s="59">
        <f>IF($H5*'Jan''16 Envestra'!G39/'Jan''16 Envestra'!G40&lt;'Jan''16 Envestra'!G43,0,IF($H5*'Jan''16 Envestra'!G39/'Jan''16 Envestra'!G40&lt;='Jan''16 Envestra'!G44,($H5*'Jan''16 Envestra'!G39/'Jan''16 Envestra'!G40-'Jan''16 Envestra'!G43)*('Jan''16 Envestra'!G46/100*1.1)*'Jan''16 Envestra'!G40,('Jan''16 Envestra'!G44-'Jan''16 Envestra'!G43)*('Jan''16 Envestra'!G46/100*1.1)*'Jan''16 Envestra'!G40))</f>
        <v>61.110500000000002</v>
      </c>
      <c r="F61" s="59">
        <f>IF($H5*'Jan''16 Envestra'!H39/'Jan''16 Envestra'!H40&lt;'Jan''16 Envestra'!H43,0,IF($H5*'Jan''16 Envestra'!H39/'Jan''16 Envestra'!H40&lt;='Jan''16 Envestra'!H44,($H5*'Jan''16 Envestra'!H39/'Jan''16 Envestra'!H40-'Jan''16 Envestra'!H43)*('Jan''16 Envestra'!H46/100*1.1)*'Jan''16 Envestra'!H40,('Jan''16 Envestra'!H44-'Jan''16 Envestra'!H43)*('Jan''16 Envestra'!H46/100*1.1)*'Jan''16 Envestra'!H40))</f>
        <v>48.053720000000013</v>
      </c>
      <c r="G61" s="59">
        <f>IF($H5*'Jan''16 Envestra'!I39/'Jan''16 Envestra'!I40&lt;'Jan''16 Envestra'!I43,0,IF($H5*'Jan''16 Envestra'!I39/'Jan''16 Envestra'!I40&lt;='Jan''16 Envestra'!I44,($H5*'Jan''16 Envestra'!I39/'Jan''16 Envestra'!I40-'Jan''16 Envestra'!I43)*('Jan''16 Envestra'!I46/100*1.1)*'Jan''16 Envestra'!I40,('Jan''16 Envestra'!I44-'Jan''16 Envestra'!I43)*('Jan''16 Envestra'!I46/100*1.1)*'Jan''16 Envestra'!I40))</f>
        <v>234.48211599999996</v>
      </c>
      <c r="H61" s="59">
        <f>IF($H5*'Jan''16 Envestra'!J39/'Jan''16 Envestra'!J40&lt;'Jan''16 Envestra'!J43,0,IF($H5*'Jan''16 Envestra'!J39/'Jan''16 Envestra'!J40&lt;='Jan''16 Envestra'!J44,($H5*'Jan''16 Envestra'!J39/'Jan''16 Envestra'!J40-'Jan''16 Envestra'!J43)*('Jan''16 Envestra'!J46/100*1.1)*'Jan''16 Envestra'!J40,('Jan''16 Envestra'!J44-'Jan''16 Envestra'!J43)*('Jan''16 Envestra'!J46/100*1.1)*'Jan''16 Envestra'!J40))</f>
        <v>61.348979999999997</v>
      </c>
      <c r="I61" s="59">
        <f>IF($H5*'Jan''16 Envestra'!K39/'Jan''16 Envestra'!K40&lt;'Jan''16 Envestra'!K43,0,IF($H5*'Jan''16 Envestra'!K39/'Jan''16 Envestra'!K40&lt;='Jan''16 Envestra'!K44,($H5*'Jan''16 Envestra'!K39/'Jan''16 Envestra'!K40-'Jan''16 Envestra'!K43)*('Jan''16 Envestra'!K46/100*1.1)*'Jan''16 Envestra'!K40,('Jan''16 Envestra'!K44-'Jan''16 Envestra'!K43)*('Jan''16 Envestra'!K46/100*1.1)*'Jan''16 Envestra'!K40))</f>
        <v>0</v>
      </c>
      <c r="J61" s="59">
        <f>IF($H5*'Jan''16 Envestra'!L39/'Jan''16 Envestra'!L40&lt;'Jan''16 Envestra'!L43,0,IF($H5*'Jan''16 Envestra'!L39/'Jan''16 Envestra'!L40&lt;='Jan''16 Envestra'!L44,($H5*'Jan''16 Envestra'!L39/'Jan''16 Envestra'!L40-'Jan''16 Envestra'!L43)*('Jan''16 Envestra'!L46/100*1.1)*'Jan''16 Envestra'!L40,('Jan''16 Envestra'!L44-'Jan''16 Envestra'!L43)*('Jan''16 Envestra'!L46/100*1.1)*'Jan''16 Envestra'!L40))</f>
        <v>58.42760000000002</v>
      </c>
      <c r="K61" s="59">
        <f>IF($H5*'Jan''16 Envestra'!M39/'Jan''16 Envestra'!M40&lt;'Jan''16 Envestra'!M43,0,IF($H5*'Jan''16 Envestra'!M39/'Jan''16 Envestra'!M40&lt;='Jan''16 Envestra'!M44,($H5*'Jan''16 Envestra'!M39/'Jan''16 Envestra'!M40-'Jan''16 Envestra'!M43)*('Jan''16 Envestra'!M46/100*1.1)*'Jan''16 Envestra'!M40,('Jan''16 Envestra'!M44-'Jan''16 Envestra'!M43)*('Jan''16 Envestra'!M46/100*1.1)*'Jan''16 Envestra'!M40))</f>
        <v>224.47373300000001</v>
      </c>
      <c r="L61" s="59">
        <f>IF($H5*'Jan''16 Envestra'!N39/'Jan''16 Envestra'!N40&lt;'Jan''16 Envestra'!N43,0,IF($H5*'Jan''16 Envestra'!N39/'Jan''16 Envestra'!N40&lt;='Jan''16 Envestra'!N44,($H5*'Jan''16 Envestra'!N39/'Jan''16 Envestra'!N40-'Jan''16 Envestra'!N43)*('Jan''16 Envestra'!N46/100*1.1)*'Jan''16 Envestra'!N40,('Jan''16 Envestra'!N44-'Jan''16 Envestra'!N43)*('Jan''16 Envestra'!N46/100*1.1)*'Jan''16 Envestra'!N40))</f>
        <v>59.023800000000001</v>
      </c>
      <c r="M61" s="59">
        <f>IF($H5*'Jan''16 Envestra'!O39/'Jan''16 Envestra'!O40&lt;'Jan''16 Envestra'!O43,0,IF($H5*'Jan''16 Envestra'!O39/'Jan''16 Envestra'!O40&lt;='Jan''16 Envestra'!O44,($H5*'Jan''16 Envestra'!O39/'Jan''16 Envestra'!O40-'Jan''16 Envestra'!O43)*('Jan''16 Envestra'!O46/100*1.1)*'Jan''16 Envestra'!O40,('Jan''16 Envestra'!O44-'Jan''16 Envestra'!O43)*('Jan''16 Envestra'!O46/100*1.1)*'Jan''16 Envestra'!O40))</f>
        <v>60.216200000000001</v>
      </c>
      <c r="N61" s="63"/>
    </row>
    <row r="62" spans="1:14" x14ac:dyDescent="0.15">
      <c r="A62" s="40" t="s">
        <v>606</v>
      </c>
      <c r="C62" s="59">
        <f>IF(($H5*'Jan''16 Envestra'!E39/'Jan''16 Envestra'!E40&gt;'Jan''16 Envestra'!E44),($H5*'Jan''16 Envestra'!E39/'Jan''16 Envestra'!E40-'Jan''16 Envestra'!E44)*'Jan''16 Envestra'!E47/100*1.1)*'Jan''16 Envestra'!E40</f>
        <v>252.41465700000001</v>
      </c>
      <c r="D62" s="59">
        <f>IF(($H5*'Jan''16 Envestra'!F39/'Jan''16 Envestra'!F40&gt;'Jan''16 Envestra'!F44),($H5*'Jan''16 Envestra'!F39/'Jan''16 Envestra'!F40-'Jan''16 Envestra'!F44)*'Jan''16 Envestra'!F47/100*1.1)*'Jan''16 Envestra'!F40</f>
        <v>0</v>
      </c>
      <c r="E62" s="59">
        <f>IF(($H5*'Jan''16 Envestra'!G39/'Jan''16 Envestra'!G40&gt;'Jan''16 Envestra'!G44),($H5*'Jan''16 Envestra'!G39/'Jan''16 Envestra'!G40-'Jan''16 Envestra'!G44)*'Jan''16 Envestra'!G47/100*1.1)*'Jan''16 Envestra'!G40</f>
        <v>260.99345579999999</v>
      </c>
      <c r="F62" s="59">
        <f>IF(($H5*'Jan''16 Envestra'!H39/'Jan''16 Envestra'!H40&gt;'Jan''16 Envestra'!H44),($H5*'Jan''16 Envestra'!H39/'Jan''16 Envestra'!H40-'Jan''16 Envestra'!H44)*'Jan''16 Envestra'!H47/100*1.1)*'Jan''16 Envestra'!H40</f>
        <v>214.79992379999999</v>
      </c>
      <c r="G62" s="59">
        <f>IF(($H5*'Jan''16 Envestra'!I39/'Jan''16 Envestra'!I40&gt;'Jan''16 Envestra'!I44),($H5*'Jan''16 Envestra'!I39/'Jan''16 Envestra'!I40-'Jan''16 Envestra'!I44)*'Jan''16 Envestra'!I47/100*1.1)*'Jan''16 Envestra'!I40</f>
        <v>0</v>
      </c>
      <c r="H62" s="59">
        <f>IF(($H5*'Jan''16 Envestra'!J39/'Jan''16 Envestra'!J40&gt;'Jan''16 Envestra'!J44),($H5*'Jan''16 Envestra'!J39/'Jan''16 Envestra'!J40-'Jan''16 Envestra'!J44)*'Jan''16 Envestra'!J47/100*1.1)*'Jan''16 Envestra'!J40</f>
        <v>275.67639989999998</v>
      </c>
      <c r="I62" s="59">
        <f>IF(($H5*'Jan''16 Envestra'!K39/'Jan''16 Envestra'!K40&gt;'Jan''16 Envestra'!K44),($H5*'Jan''16 Envestra'!K39/'Jan''16 Envestra'!K40-'Jan''16 Envestra'!K44)*'Jan''16 Envestra'!K47/100*1.1)*'Jan''16 Envestra'!K40</f>
        <v>257.69391780000001</v>
      </c>
      <c r="J62" s="59">
        <f>IF(($H5*'Jan''16 Envestra'!L39/'Jan''16 Envestra'!L40&gt;'Jan''16 Envestra'!L44),($H5*'Jan''16 Envestra'!L39/'Jan''16 Envestra'!L40-'Jan''16 Envestra'!L44)*'Jan''16 Envestra'!L47/100*1.1)*'Jan''16 Envestra'!L40</f>
        <v>254.064426</v>
      </c>
      <c r="K62" s="59">
        <f>IF(($H5*'Jan''16 Envestra'!M39/'Jan''16 Envestra'!M40&gt;'Jan''16 Envestra'!M44),($H5*'Jan''16 Envestra'!M39/'Jan''16 Envestra'!M40-'Jan''16 Envestra'!M44)*'Jan''16 Envestra'!M47/100*1.1)*'Jan''16 Envestra'!M40</f>
        <v>0</v>
      </c>
      <c r="L62" s="59">
        <f>IF(($H5*'Jan''16 Envestra'!N39/'Jan''16 Envestra'!N40&gt;'Jan''16 Envestra'!N44),($H5*'Jan''16 Envestra'!N39/'Jan''16 Envestra'!N40-'Jan''16 Envestra'!N44)*'Jan''16 Envestra'!N47/100*1.1)*'Jan''16 Envestra'!N40</f>
        <v>260.66350199999999</v>
      </c>
      <c r="M62" s="59">
        <f>IF(($H5*'Jan''16 Envestra'!O39/'Jan''16 Envestra'!O40&gt;'Jan''16 Envestra'!O44),($H5*'Jan''16 Envestra'!O39/'Jan''16 Envestra'!O40-'Jan''16 Envestra'!O44)*'Jan''16 Envestra'!O47/100*1.1)*'Jan''16 Envestra'!O40</f>
        <v>260.66350199999999</v>
      </c>
      <c r="N62" s="63"/>
    </row>
    <row r="63" spans="1:14" x14ac:dyDescent="0.15">
      <c r="A63" s="40" t="s">
        <v>607</v>
      </c>
      <c r="C63" s="59">
        <f>IF($H5*'Jan''16 Envestra'!E41/'Jan''16 Envestra'!E42&gt;='Jan''16 Envestra'!E43,('Jan''16 Envestra'!E43*'Jan''16 Envestra'!E48/100*1.1)*'Jan''16 Envestra'!E42,($H5*'Jan''16 Envestra'!E41/'Jan''16 Envestra'!E42*'Jan''16 Envestra'!E48/100*1.1)*'Jan''16 Envestra'!E42)</f>
        <v>162.49310000000003</v>
      </c>
      <c r="D63" s="59">
        <f>IF($H5*'Jan''16 Envestra'!F41/'Jan''16 Envestra'!F42&gt;='Jan''16 Envestra'!F43,('Jan''16 Envestra'!F43*'Jan''16 Envestra'!F48/100*1.1)*'Jan''16 Envestra'!F42,($H5*'Jan''16 Envestra'!F41/'Jan''16 Envestra'!F42*'Jan''16 Envestra'!F48/100*1.1)*'Jan''16 Envestra'!F42)</f>
        <v>352.35199999999998</v>
      </c>
      <c r="E63" s="59">
        <f>IF($H5*'Jan''16 Envestra'!G41/'Jan''16 Envestra'!G42&gt;='Jan''16 Envestra'!G43,('Jan''16 Envestra'!G43*'Jan''16 Envestra'!G48/100*1.1)*'Jan''16 Envestra'!G42,($H5*'Jan''16 Envestra'!G41/'Jan''16 Envestra'!G42*'Jan''16 Envestra'!G48/100*1.1)*'Jan''16 Envestra'!G42)</f>
        <v>188.18800000000002</v>
      </c>
      <c r="F63" s="59">
        <f>IF($H5*'Jan''16 Envestra'!H41/'Jan''16 Envestra'!H42&gt;='Jan''16 Envestra'!H43,('Jan''16 Envestra'!H43*'Jan''16 Envestra'!H48/100*1.1)*'Jan''16 Envestra'!H42,($H5*'Jan''16 Envestra'!H41/'Jan''16 Envestra'!H42*'Jan''16 Envestra'!H48/100*1.1)*'Jan''16 Envestra'!H42)</f>
        <v>136.50868</v>
      </c>
      <c r="G63" s="59">
        <f>IF($H5*'Jan''16 Envestra'!I41/'Jan''16 Envestra'!I42&gt;='Jan''16 Envestra'!I43,('Jan''16 Envestra'!I43*'Jan''16 Envestra'!I48/100*1.1)*'Jan''16 Envestra'!I42,($H5*'Jan''16 Envestra'!I41/'Jan''16 Envestra'!I42*'Jan''16 Envestra'!I48/100*1.1)*'Jan''16 Envestra'!I42)</f>
        <v>320.32</v>
      </c>
      <c r="H63" s="59">
        <f>IF($H5*'Jan''16 Envestra'!J41/'Jan''16 Envestra'!J42&gt;='Jan''16 Envestra'!J43,('Jan''16 Envestra'!J43*'Jan''16 Envestra'!J48/100*1.1)*'Jan''16 Envestra'!J42,($H5*'Jan''16 Envestra'!J41/'Jan''16 Envestra'!J42*'Jan''16 Envestra'!J48/100*1.1)*'Jan''16 Envestra'!J42)</f>
        <v>181.02237999999997</v>
      </c>
      <c r="I63" s="59">
        <f>IF($H5*'Jan''16 Envestra'!K41/'Jan''16 Envestra'!K42&gt;='Jan''16 Envestra'!K43,('Jan''16 Envestra'!K43*'Jan''16 Envestra'!K48/100*1.1)*'Jan''16 Envestra'!K42,($H5*'Jan''16 Envestra'!K41/'Jan''16 Envestra'!K42*'Jan''16 Envestra'!K48/100*1.1)*'Jan''16 Envestra'!K42)</f>
        <v>278.6520000000001</v>
      </c>
      <c r="J63" s="59">
        <f>IF($H5*'Jan''16 Envestra'!L41/'Jan''16 Envestra'!L42&gt;='Jan''16 Envestra'!L43,('Jan''16 Envestra'!L43*'Jan''16 Envestra'!L48/100*1.1)*'Jan''16 Envestra'!L42,($H5*'Jan''16 Envestra'!L41/'Jan''16 Envestra'!L42*'Jan''16 Envestra'!L48/100*1.1)*'Jan''16 Envestra'!L42)</f>
        <v>165.75020000000004</v>
      </c>
      <c r="K63" s="59">
        <f>IF($H5*'Jan''16 Envestra'!M41/'Jan''16 Envestra'!M42&gt;='Jan''16 Envestra'!M43,('Jan''16 Envestra'!M43*'Jan''16 Envestra'!M48/100*1.1)*'Jan''16 Envestra'!M42,($H5*'Jan''16 Envestra'!M41/'Jan''16 Envestra'!M42*'Jan''16 Envestra'!M48/100*1.1)*'Jan''16 Envestra'!M42)</f>
        <v>306.24</v>
      </c>
      <c r="L63" s="59">
        <f>IF($H5*'Jan''16 Envestra'!N41/'Jan''16 Envestra'!N42&gt;='Jan''16 Envestra'!N43,('Jan''16 Envestra'!N43*'Jan''16 Envestra'!N48/100*1.1)*'Jan''16 Envestra'!N42,($H5*'Jan''16 Envestra'!N41/'Jan''16 Envestra'!N42*'Jan''16 Envestra'!N48/100*1.1)*'Jan''16 Envestra'!N42)</f>
        <v>176.60720000000001</v>
      </c>
      <c r="M63" s="59">
        <f>IF($H5*'Jan''16 Envestra'!O41/'Jan''16 Envestra'!O42&gt;='Jan''16 Envestra'!O43,('Jan''16 Envestra'!O43*'Jan''16 Envestra'!O48/100*1.1)*'Jan''16 Envestra'!O42,($H5*'Jan''16 Envestra'!O41/'Jan''16 Envestra'!O42*'Jan''16 Envestra'!O48/100*1.1)*'Jan''16 Envestra'!O42)</f>
        <v>183.12139999999999</v>
      </c>
      <c r="N63" s="63"/>
    </row>
    <row r="64" spans="1:14" x14ac:dyDescent="0.15">
      <c r="A64" s="40" t="s">
        <v>608</v>
      </c>
      <c r="C64" s="59">
        <f>IF($H5*'Jan''16 Envestra'!E41/'Jan''16 Envestra'!E42&lt;'Jan''16 Envestra'!E43,0,IF($H5*'Jan''16 Envestra'!E41/'Jan''16 Envestra'!E42&lt;='Jan''16 Envestra'!E44,($H5*'Jan''16 Envestra'!E41/'Jan''16 Envestra'!E42-'Jan''16 Envestra'!E43)*('Jan''16 Envestra'!E49/100*1.1)*'Jan''16 Envestra'!E42,('Jan''16 Envestra'!E44-'Jan''16 Envestra'!E43)*('Jan''16 Envestra'!E49/100*1.1)*'Jan''16 Envestra'!E42))</f>
        <v>114.58964</v>
      </c>
      <c r="D64" s="59">
        <f>IF($H5*'Jan''16 Envestra'!F41/'Jan''16 Envestra'!F42&lt;'Jan''16 Envestra'!F43,0,IF($H5*'Jan''16 Envestra'!F41/'Jan''16 Envestra'!F42&lt;='Jan''16 Envestra'!F44,($H5*'Jan''16 Envestra'!F41/'Jan''16 Envestra'!F42-'Jan''16 Envestra'!F43)*('Jan''16 Envestra'!F49/100*1.1)*'Jan''16 Envestra'!F42,('Jan''16 Envestra'!F44-'Jan''16 Envestra'!F43)*('Jan''16 Envestra'!F49/100*1.1)*'Jan''16 Envestra'!F42))</f>
        <v>511.28539439999997</v>
      </c>
      <c r="E64" s="59">
        <f>IF($H5*'Jan''16 Envestra'!G41/'Jan''16 Envestra'!G42&lt;'Jan''16 Envestra'!G43,0,IF($H5*'Jan''16 Envestra'!G41/'Jan''16 Envestra'!G42&lt;='Jan''16 Envestra'!G44,($H5*'Jan''16 Envestra'!G41/'Jan''16 Envestra'!G42-'Jan''16 Envestra'!G43)*('Jan''16 Envestra'!G49/100*1.1)*'Jan''16 Envestra'!G42,('Jan''16 Envestra'!G44-'Jan''16 Envestra'!G43)*('Jan''16 Envestra'!G49/100*1.1)*'Jan''16 Envestra'!G42))</f>
        <v>122.221</v>
      </c>
      <c r="F64" s="59">
        <f>IF($H5*'Jan''16 Envestra'!H41/'Jan''16 Envestra'!H42&lt;'Jan''16 Envestra'!H43,0,IF($H5*'Jan''16 Envestra'!H41/'Jan''16 Envestra'!H42&lt;='Jan''16 Envestra'!H44,($H5*'Jan''16 Envestra'!H41/'Jan''16 Envestra'!H42-'Jan''16 Envestra'!H43)*('Jan''16 Envestra'!H49/100*1.1)*'Jan''16 Envestra'!H42,('Jan''16 Envestra'!H44-'Jan''16 Envestra'!H43)*('Jan''16 Envestra'!H49/100*1.1)*'Jan''16 Envestra'!H42))</f>
        <v>93.603400000000022</v>
      </c>
      <c r="G64" s="59">
        <f>IF($H5*'Jan''16 Envestra'!I41/'Jan''16 Envestra'!I42&lt;'Jan''16 Envestra'!I43,0,IF($H5*'Jan''16 Envestra'!I41/'Jan''16 Envestra'!I42&lt;='Jan''16 Envestra'!I44,($H5*'Jan''16 Envestra'!I41/'Jan''16 Envestra'!I42-'Jan''16 Envestra'!I43)*('Jan''16 Envestra'!I49/100*1.1)*'Jan''16 Envestra'!I42,('Jan''16 Envestra'!I44-'Jan''16 Envestra'!I43)*('Jan''16 Envestra'!I49/100*1.1)*'Jan''16 Envestra'!I42))</f>
        <v>463.24515600000007</v>
      </c>
      <c r="H64" s="59">
        <f>IF($H5*'Jan''16 Envestra'!J41/'Jan''16 Envestra'!J42&lt;'Jan''16 Envestra'!J43,0,IF($H5*'Jan''16 Envestra'!J41/'Jan''16 Envestra'!J42&lt;='Jan''16 Envestra'!J44,($H5*'Jan''16 Envestra'!J41/'Jan''16 Envestra'!J42-'Jan''16 Envestra'!J43)*('Jan''16 Envestra'!J49/100*1.1)*'Jan''16 Envestra'!J42,('Jan''16 Envestra'!J44-'Jan''16 Envestra'!J43)*('Jan''16 Envestra'!J49/100*1.1)*'Jan''16 Envestra'!J42))</f>
        <v>122.69795999999999</v>
      </c>
      <c r="I64" s="59">
        <f>IF($H5*'Jan''16 Envestra'!K41/'Jan''16 Envestra'!K42&lt;'Jan''16 Envestra'!K43,0,IF($H5*'Jan''16 Envestra'!K41/'Jan''16 Envestra'!K42&lt;='Jan''16 Envestra'!K44,($H5*'Jan''16 Envestra'!K41/'Jan''16 Envestra'!K42-'Jan''16 Envestra'!K43)*('Jan''16 Envestra'!K49/100*1.1)*'Jan''16 Envestra'!K42,('Jan''16 Envestra'!K44-'Jan''16 Envestra'!K43)*('Jan''16 Envestra'!K49/100*1.1)*'Jan''16 Envestra'!K42))</f>
        <v>0</v>
      </c>
      <c r="J64" s="59">
        <f>IF($H5*'Jan''16 Envestra'!L41/'Jan''16 Envestra'!L42&lt;'Jan''16 Envestra'!L43,0,IF($H5*'Jan''16 Envestra'!L41/'Jan''16 Envestra'!L42&lt;='Jan''16 Envestra'!L44,($H5*'Jan''16 Envestra'!L41/'Jan''16 Envestra'!L42-'Jan''16 Envestra'!L43)*('Jan''16 Envestra'!L49/100*1.1)*'Jan''16 Envestra'!L42,('Jan''16 Envestra'!L44-'Jan''16 Envestra'!L43)*('Jan''16 Envestra'!L49/100*1.1)*'Jan''16 Envestra'!L42))</f>
        <v>116.85520000000004</v>
      </c>
      <c r="K64" s="59">
        <f>IF($H5*'Jan''16 Envestra'!M41/'Jan''16 Envestra'!M42&lt;'Jan''16 Envestra'!M43,0,IF($H5*'Jan''16 Envestra'!M41/'Jan''16 Envestra'!M42&lt;='Jan''16 Envestra'!M44,($H5*'Jan''16 Envestra'!M41/'Jan''16 Envestra'!M42-'Jan''16 Envestra'!M43)*('Jan''16 Envestra'!M49/100*1.1)*'Jan''16 Envestra'!M42,('Jan''16 Envestra'!M44-'Jan''16 Envestra'!M43)*('Jan''16 Envestra'!M49/100*1.1)*'Jan''16 Envestra'!M42))</f>
        <v>428.93069999999994</v>
      </c>
      <c r="L64" s="59">
        <f>IF($H5*'Jan''16 Envestra'!N41/'Jan''16 Envestra'!N42&lt;'Jan''16 Envestra'!N43,0,IF($H5*'Jan''16 Envestra'!N41/'Jan''16 Envestra'!N42&lt;='Jan''16 Envestra'!N44,($H5*'Jan''16 Envestra'!N41/'Jan''16 Envestra'!N42-'Jan''16 Envestra'!N43)*('Jan''16 Envestra'!N49/100*1.1)*'Jan''16 Envestra'!N42,('Jan''16 Envestra'!N44-'Jan''16 Envestra'!N43)*('Jan''16 Envestra'!N49/100*1.1)*'Jan''16 Envestra'!N42))</f>
        <v>118.0476</v>
      </c>
      <c r="M64" s="59">
        <f>IF($H5*'Jan''16 Envestra'!O41/'Jan''16 Envestra'!O42&lt;'Jan''16 Envestra'!O43,0,IF($H5*'Jan''16 Envestra'!O41/'Jan''16 Envestra'!O42&lt;='Jan''16 Envestra'!O44,($H5*'Jan''16 Envestra'!O41/'Jan''16 Envestra'!O42-'Jan''16 Envestra'!O43)*('Jan''16 Envestra'!O49/100*1.1)*'Jan''16 Envestra'!O42,('Jan''16 Envestra'!O44-'Jan''16 Envestra'!O43)*('Jan''16 Envestra'!O49/100*1.1)*'Jan''16 Envestra'!O42))</f>
        <v>120.4324</v>
      </c>
      <c r="N64" s="63"/>
    </row>
    <row r="65" spans="1:14" x14ac:dyDescent="0.15">
      <c r="A65" s="40" t="s">
        <v>611</v>
      </c>
      <c r="C65" s="59">
        <f>IF(($H5*'Jan''16 Envestra'!E41/'Jan''16 Envestra'!E42&gt;'Jan''16 Envestra'!E44),($H5*'Jan''16 Envestra'!E41/'Jan''16 Envestra'!E42-'Jan''16 Envestra'!E44)*'Jan''16 Envestra'!E50/100*1.1)*'Jan''16 Envestra'!E42</f>
        <v>504.82931400000001</v>
      </c>
      <c r="D65" s="59">
        <f>IF(($H5*'Jan''16 Envestra'!F41/'Jan''16 Envestra'!F42&gt;'Jan''16 Envestra'!F44),($H5*'Jan''16 Envestra'!F41/'Jan''16 Envestra'!F42-'Jan''16 Envestra'!F44)*'Jan''16 Envestra'!F50/100*1.1)*'Jan''16 Envestra'!F42</f>
        <v>0</v>
      </c>
      <c r="E65" s="59">
        <f>IF(($H5*'Jan''16 Envestra'!G41/'Jan''16 Envestra'!G42&gt;'Jan''16 Envestra'!G44),($H5*'Jan''16 Envestra'!G41/'Jan''16 Envestra'!G42-'Jan''16 Envestra'!G44)*'Jan''16 Envestra'!G50/100*1.1)*'Jan''16 Envestra'!G42</f>
        <v>521.98691159999998</v>
      </c>
      <c r="F65" s="59">
        <f>IF(($H5*'Jan''16 Envestra'!H41/'Jan''16 Envestra'!H42&gt;'Jan''16 Envestra'!H44),($H5*'Jan''16 Envestra'!H41/'Jan''16 Envestra'!H42-'Jan''16 Envestra'!H44)*'Jan''16 Envestra'!H50/100*1.1)*'Jan''16 Envestra'!H42</f>
        <v>416.07174179999987</v>
      </c>
      <c r="G65" s="59">
        <f>IF(($H5*'Jan''16 Envestra'!I41/'Jan''16 Envestra'!I42&gt;'Jan''16 Envestra'!I44),($H5*'Jan''16 Envestra'!I41/'Jan''16 Envestra'!I42-'Jan''16 Envestra'!I44)*'Jan''16 Envestra'!I50/100*1.1)*'Jan''16 Envestra'!I42</f>
        <v>0</v>
      </c>
      <c r="H65" s="59">
        <f>IF(($H5*'Jan''16 Envestra'!J41/'Jan''16 Envestra'!J42&gt;'Jan''16 Envestra'!J44),($H5*'Jan''16 Envestra'!J41/'Jan''16 Envestra'!J42-'Jan''16 Envestra'!J44)*'Jan''16 Envestra'!J50/100*1.1)*'Jan''16 Envestra'!J42</f>
        <v>551.35279979999996</v>
      </c>
      <c r="I65" s="59">
        <f>IF(($H5*'Jan''16 Envestra'!K41/'Jan''16 Envestra'!K42&gt;'Jan''16 Envestra'!K44),($H5*'Jan''16 Envestra'!K41/'Jan''16 Envestra'!K42-'Jan''16 Envestra'!K44)*'Jan''16 Envestra'!K50/100*1.1)*'Jan''16 Envestra'!K42</f>
        <v>515.38783560000002</v>
      </c>
      <c r="J65" s="59">
        <f>IF(($H5*'Jan''16 Envestra'!L41/'Jan''16 Envestra'!L42&gt;'Jan''16 Envestra'!L44),($H5*'Jan''16 Envestra'!L41/'Jan''16 Envestra'!L42-'Jan''16 Envestra'!L44)*'Jan''16 Envestra'!L50/100*1.1)*'Jan''16 Envestra'!L42</f>
        <v>508.12885199999999</v>
      </c>
      <c r="K65" s="59">
        <f>IF(($H5*'Jan''16 Envestra'!M41/'Jan''16 Envestra'!M42&gt;'Jan''16 Envestra'!M44),($H5*'Jan''16 Envestra'!M41/'Jan''16 Envestra'!M42-'Jan''16 Envestra'!M44)*'Jan''16 Envestra'!M50/100*1.1)*'Jan''16 Envestra'!M42</f>
        <v>0</v>
      </c>
      <c r="L65" s="59">
        <f>IF(($H5*'Jan''16 Envestra'!N41/'Jan''16 Envestra'!N42&gt;'Jan''16 Envestra'!N44),($H5*'Jan''16 Envestra'!N41/'Jan''16 Envestra'!N42-'Jan''16 Envestra'!N44)*'Jan''16 Envestra'!N50/100*1.1)*'Jan''16 Envestra'!N42</f>
        <v>521.32700399999999</v>
      </c>
      <c r="M65" s="59">
        <f>IF(($H5*'Jan''16 Envestra'!O41/'Jan''16 Envestra'!O42&gt;'Jan''16 Envestra'!O44),($H5*'Jan''16 Envestra'!O41/'Jan''16 Envestra'!O42-'Jan''16 Envestra'!O44)*'Jan''16 Envestra'!O50/100*1.1)*'Jan''16 Envestra'!O42</f>
        <v>521.32700399999999</v>
      </c>
      <c r="N65" s="63"/>
    </row>
    <row r="66" spans="1:14" x14ac:dyDescent="0.15">
      <c r="A66" s="40" t="s">
        <v>612</v>
      </c>
      <c r="C66" s="59">
        <f>365*'Jan''16 Envestra'!E51/100*1.1</f>
        <v>272.01625000000001</v>
      </c>
      <c r="D66" s="59">
        <f>365*'Jan''16 Envestra'!F51/100*1.1</f>
        <v>257.48194999999998</v>
      </c>
      <c r="E66" s="59">
        <f>365*'Jan''16 Envestra'!G51/100*1.1</f>
        <v>285.065</v>
      </c>
      <c r="F66" s="59">
        <f>365*'Jan''16 Envestra'!H51/100*1.1</f>
        <v>250.45570000000001</v>
      </c>
      <c r="G66" s="59">
        <f>365*'Jan''16 Envestra'!I51/100*1.1</f>
        <v>245.47709999999998</v>
      </c>
      <c r="H66" s="59">
        <f>365*'Jan''16 Envestra'!J51/100*1.1</f>
        <v>258.80689999999998</v>
      </c>
      <c r="I66" s="59">
        <f>365*'Jan''16 Envestra'!K51/100*1.1</f>
        <v>273.02</v>
      </c>
      <c r="J66" s="59">
        <f>365*'Jan''16 Envestra'!L51/100*1.1</f>
        <v>259.24855000000002</v>
      </c>
      <c r="K66" s="59">
        <f>365*'Jan''16 Envestra'!M51/100*1.1</f>
        <v>228.65425000000002</v>
      </c>
      <c r="L66" s="59">
        <f>365*'Jan''16 Envestra'!N51/100*1.1</f>
        <v>266.9975</v>
      </c>
      <c r="M66" s="59">
        <f>365*'Jan''16 Envestra'!O51/100*1.1</f>
        <v>266.9975</v>
      </c>
      <c r="N66" s="60">
        <f>AVERAGE(C66:M66)</f>
        <v>260.38370000000003</v>
      </c>
    </row>
    <row r="67" spans="1:14" x14ac:dyDescent="0.15">
      <c r="A67" s="62" t="s">
        <v>613</v>
      </c>
      <c r="B67" s="63"/>
      <c r="C67" s="61">
        <f t="shared" ref="C67:L67" si="4">SUM(C60:C66)</f>
        <v>1444.8843310000002</v>
      </c>
      <c r="D67" s="61">
        <f t="shared" si="4"/>
        <v>1552.9380415999999</v>
      </c>
      <c r="E67" s="61">
        <f t="shared" si="4"/>
        <v>1533.6588674</v>
      </c>
      <c r="F67" s="61">
        <f>SUM(F60:F66)</f>
        <v>1229.2312955999998</v>
      </c>
      <c r="G67" s="61">
        <f>SUM(G60:G66)</f>
        <v>1426.324372</v>
      </c>
      <c r="H67" s="61">
        <f t="shared" si="4"/>
        <v>1541.4166096999998</v>
      </c>
      <c r="I67" s="61">
        <f t="shared" si="4"/>
        <v>1464.0797534000001</v>
      </c>
      <c r="J67" s="61">
        <f t="shared" si="4"/>
        <v>1445.3499280000001</v>
      </c>
      <c r="K67" s="61">
        <f t="shared" si="4"/>
        <v>1346.6986830000001</v>
      </c>
      <c r="L67" s="61">
        <f t="shared" si="4"/>
        <v>1490.970206</v>
      </c>
      <c r="M67" s="61">
        <f>SUM(M60:M66)</f>
        <v>1504.318706</v>
      </c>
      <c r="N67" s="64">
        <f>AVERAGE(C67:M67)</f>
        <v>1452.7155267000001</v>
      </c>
    </row>
    <row r="69" spans="1:14" x14ac:dyDescent="0.15">
      <c r="A69" s="55" t="s">
        <v>489</v>
      </c>
    </row>
    <row r="71" spans="1:14" x14ac:dyDescent="0.15">
      <c r="A71" s="53" t="s">
        <v>1030</v>
      </c>
      <c r="C71" s="23" t="s">
        <v>1044</v>
      </c>
      <c r="D71" s="23" t="s">
        <v>591</v>
      </c>
      <c r="E71" s="23" t="s">
        <v>592</v>
      </c>
      <c r="F71" s="23" t="s">
        <v>614</v>
      </c>
      <c r="G71" s="23" t="s">
        <v>615</v>
      </c>
      <c r="H71" s="23" t="s">
        <v>595</v>
      </c>
      <c r="I71" s="23" t="s">
        <v>596</v>
      </c>
      <c r="J71" s="23" t="s">
        <v>486</v>
      </c>
      <c r="K71" s="23" t="s">
        <v>487</v>
      </c>
      <c r="L71" s="23" t="s">
        <v>599</v>
      </c>
      <c r="M71" s="23" t="s">
        <v>600</v>
      </c>
      <c r="N71" s="57" t="s">
        <v>601</v>
      </c>
    </row>
    <row r="72" spans="1:14" x14ac:dyDescent="0.15">
      <c r="A72" s="40" t="s">
        <v>602</v>
      </c>
      <c r="C72" s="59">
        <f>IF($H5*'Jan''16 SP'!E7/'Jan''16 SP'!E8&gt;='Jan''16 SP'!E11,('Jan''16 SP'!E11*'Jan''16 SP'!E13/100*1.1)*'Jan''16 SP'!E8,($H5*'Jan''16 SP'!E7/'Jan''16 SP'!E8*'Jan''16 SP'!E13/100*1.1)*'Jan''16 SP'!E8)</f>
        <v>237.46800000000002</v>
      </c>
      <c r="D72" s="59">
        <f>IF($H5*'Jan''16 SP'!F7/'Jan''16 SP'!F8&gt;='Jan''16 SP'!F11,('Jan''16 SP'!F11*'Jan''16 SP'!F13/100*1.1)*'Jan''16 SP'!F8,($H5*'Jan''16 SP'!F7/'Jan''16 SP'!F8*'Jan''16 SP'!F13/100*1.1)*'Jan''16 SP'!F8)</f>
        <v>154.95040000000003</v>
      </c>
      <c r="E72" s="59">
        <f>IF($H5*'Jan''16 SP'!G7/'Jan''16 SP'!G8&gt;='Jan''16 SP'!G11,('Jan''16 SP'!G11*'Jan''16 SP'!G13/100*1.1)*'Jan''16 SP'!G8,($H5*'Jan''16 SP'!G7/'Jan''16 SP'!G8*'Jan''16 SP'!G13/100*1.1)*'Jan''16 SP'!G8)</f>
        <v>276.01200000000006</v>
      </c>
      <c r="F72" s="59">
        <f>IF($H5*'Jan''16 SP'!H7/'Jan''16 SP'!H8&gt;='Jan''16 SP'!H11,('Jan''16 SP'!H11*'Jan''16 SP'!H13/100*1.1)*'Jan''16 SP'!H8,($H5*'Jan''16 SP'!H7/'Jan''16 SP'!H8*'Jan''16 SP'!H13/100*1.1)*'Jan''16 SP'!H8)</f>
        <v>201.69600000000003</v>
      </c>
      <c r="G72" s="59">
        <f>IF($H5*'Jan''16 SP'!I7/'Jan''16 SP'!I8&gt;='Jan''16 SP'!I11,('Jan''16 SP'!I11*'Jan''16 SP'!I13/100*1.1)*'Jan''16 SP'!I8,($H5*'Jan''16 SP'!I7/'Jan''16 SP'!I8*'Jan''16 SP'!I13/100*1.1)*'Jan''16 SP'!I8)</f>
        <v>126.72000000000001</v>
      </c>
      <c r="H72" s="59">
        <f>IF($H5*'Jan''16 SP'!J7/'Jan''16 SP'!J8&gt;='Jan''16 SP'!J11,('Jan''16 SP'!J11*'Jan''16 SP'!J13/100*1.1)*'Jan''16 SP'!J8,($H5*'Jan''16 SP'!J7/'Jan''16 SP'!J8*'Jan''16 SP'!J13/100*1.1)*'Jan''16 SP'!J8)</f>
        <v>260.96400000000006</v>
      </c>
      <c r="I72" s="59">
        <f>IF($H5*'Jan''16 SP'!K7/'Jan''16 SP'!K8&gt;='Jan''16 SP'!K11,('Jan''16 SP'!K11*'Jan''16 SP'!K13/100*1.1)*'Jan''16 SP'!K8,($H5*'Jan''16 SP'!K7/'Jan''16 SP'!K8*'Jan''16 SP'!K13/100*1.1)*'Jan''16 SP'!K8)</f>
        <v>135.87200000000001</v>
      </c>
      <c r="J72" s="59">
        <f>IF($H5*'Jan''16 SP'!L7/'Jan''16 SP'!L8&gt;='Jan''16 SP'!L11,('Jan''16 SP'!L11*'Jan''16 SP'!L13/100*1.1)*'Jan''16 SP'!L8,($H5*'Jan''16 SP'!L7/'Jan''16 SP'!L8*'Jan''16 SP'!L13/100*1.1)*'Jan''16 SP'!L8)</f>
        <v>254.76000000000005</v>
      </c>
      <c r="K72" s="59">
        <f>IF($H5*'Jan''16 SP'!M7/'Jan''16 SP'!M8&gt;='Jan''16 SP'!M11,('Jan''16 SP'!M11*'Jan''16 SP'!M13/100*1.1)*'Jan''16 SP'!M8,($H5*'Jan''16 SP'!M7/'Jan''16 SP'!M8*'Jan''16 SP'!M13/100*1.1)*'Jan''16 SP'!M8)</f>
        <v>128.12799999999999</v>
      </c>
      <c r="L72" s="59">
        <f>IF($H5*'Jan''16 SP'!N7/'Jan''16 SP'!N8&gt;='Jan''16 SP'!N11,('Jan''16 SP'!N11*'Jan''16 SP'!N13/100*1.1)*'Jan''16 SP'!N8,($H5*'Jan''16 SP'!N7/'Jan''16 SP'!N8*'Jan''16 SP'!N13/100*1.1)*'Jan''16 SP'!N8)</f>
        <v>269.28000000000003</v>
      </c>
      <c r="M72" s="59">
        <f>IF($H5*'Jan''16 SP'!O7/'Jan''16 SP'!O8&gt;='Jan''16 SP'!O11,('Jan''16 SP'!O11*'Jan''16 SP'!O13/100*1.1)*'Jan''16 SP'!O8,($H5*'Jan''16 SP'!O7/'Jan''16 SP'!O8*'Jan''16 SP'!O13/100*1.1)*'Jan''16 SP'!O8)</f>
        <v>249.48000000000005</v>
      </c>
      <c r="N72" s="63"/>
    </row>
    <row r="73" spans="1:14" x14ac:dyDescent="0.15">
      <c r="A73" s="40" t="s">
        <v>603</v>
      </c>
      <c r="C73" s="59">
        <f>IF($H5*'Jan''16 SP'!E7/'Jan''16 SP'!E8&lt;'Jan''16 SP'!E11,0,IF($H5*'Jan''16 SP'!E7/'Jan''16 SP'!E8&lt;='Jan''16 SP'!E12,($H5*'Jan''16 SP'!E7/'Jan''16 SP'!E8-'Jan''16 SP'!E11)*('Jan''16 SP'!E14/100*1.1)*'Jan''16 SP'!E8,('Jan''16 SP'!E12-'Jan''16 SP'!E11)*('Jan''16 SP'!E14/100*1.1)*'Jan''16 SP'!E8))</f>
        <v>170.93310629999999</v>
      </c>
      <c r="D73" s="59">
        <f>IF($H5*'Jan''16 SP'!F7/'Jan''16 SP'!F8&lt;'Jan''16 SP'!F11,0,IF($H5*'Jan''16 SP'!F7/'Jan''16 SP'!F8&lt;='Jan''16 SP'!F12,($H5*'Jan''16 SP'!F7/'Jan''16 SP'!F8-'Jan''16 SP'!F11)*('Jan''16 SP'!F14/100*1.1)*'Jan''16 SP'!F8,('Jan''16 SP'!F12-'Jan''16 SP'!F11)*('Jan''16 SP'!F14/100*1.1)*'Jan''16 SP'!F8))</f>
        <v>0</v>
      </c>
      <c r="E73" s="59">
        <f>IF($H5*'Jan''16 SP'!G7/'Jan''16 SP'!G8&lt;'Jan''16 SP'!G11,0,IF($H5*'Jan''16 SP'!G7/'Jan''16 SP'!G8&lt;='Jan''16 SP'!G12,($H5*'Jan''16 SP'!G7/'Jan''16 SP'!G8-'Jan''16 SP'!G11)*('Jan''16 SP'!G14/100*1.1)*'Jan''16 SP'!G8,('Jan''16 SP'!G12-'Jan''16 SP'!G11)*('Jan''16 SP'!G14/100*1.1)*'Jan''16 SP'!G8))</f>
        <v>203.19957569999997</v>
      </c>
      <c r="F73" s="59">
        <f>IF($H5*'Jan''16 SP'!H7/'Jan''16 SP'!H8&lt;'Jan''16 SP'!H11,0,IF($H5*'Jan''16 SP'!H7/'Jan''16 SP'!H8&lt;='Jan''16 SP'!H12,($H5*'Jan''16 SP'!H7/'Jan''16 SP'!H8-'Jan''16 SP'!H11)*('Jan''16 SP'!H14/100*1.1)*'Jan''16 SP'!H8,('Jan''16 SP'!H12-'Jan''16 SP'!H11)*('Jan''16 SP'!H14/100*1.1)*'Jan''16 SP'!H8))</f>
        <v>152.32544909999996</v>
      </c>
      <c r="G73" s="59">
        <f>IF($H5*'Jan''16 SP'!I7/'Jan''16 SP'!I8&lt;'Jan''16 SP'!I11,0,IF($H5*'Jan''16 SP'!I7/'Jan''16 SP'!I8&lt;='Jan''16 SP'!I12,($H5*'Jan''16 SP'!I7/'Jan''16 SP'!I8-'Jan''16 SP'!I11)*('Jan''16 SP'!I14/100*1.1)*'Jan''16 SP'!I8,('Jan''16 SP'!I12-'Jan''16 SP'!I11)*('Jan''16 SP'!I14/100*1.1)*'Jan''16 SP'!I8))</f>
        <v>0</v>
      </c>
      <c r="H73" s="59">
        <f>IF($H5*'Jan''16 SP'!J7/'Jan''16 SP'!J8&lt;'Jan''16 SP'!J11,0,IF($H5*'Jan''16 SP'!J7/'Jan''16 SP'!J8&lt;='Jan''16 SP'!J12,($H5*'Jan''16 SP'!J7/'Jan''16 SP'!J8-'Jan''16 SP'!J11)*('Jan''16 SP'!J14/100*1.1)*'Jan''16 SP'!J8,('Jan''16 SP'!J12-'Jan''16 SP'!J11)*('Jan''16 SP'!J14/100*1.1)*'Jan''16 SP'!J8))</f>
        <v>192.31211669999996</v>
      </c>
      <c r="I73" s="59">
        <f>IF($H5*'Jan''16 SP'!K7/'Jan''16 SP'!K8&lt;'Jan''16 SP'!K11,0,IF($H5*'Jan''16 SP'!K7/'Jan''16 SP'!K8&lt;='Jan''16 SP'!K12,($H5*'Jan''16 SP'!K7/'Jan''16 SP'!K8-'Jan''16 SP'!K11)*('Jan''16 SP'!K14/100*1.1)*'Jan''16 SP'!K8,('Jan''16 SP'!K12-'Jan''16 SP'!K11)*('Jan''16 SP'!K14/100*1.1)*'Jan''16 SP'!K8))</f>
        <v>0</v>
      </c>
      <c r="J73" s="59">
        <f>IF($H5*'Jan''16 SP'!L7/'Jan''16 SP'!L8&lt;'Jan''16 SP'!L11,0,IF($H5*'Jan''16 SP'!L7/'Jan''16 SP'!L8&lt;='Jan''16 SP'!L12,($H5*'Jan''16 SP'!L7/'Jan''16 SP'!L8-'Jan''16 SP'!L11)*('Jan''16 SP'!L14/100*1.1)*'Jan''16 SP'!L8,('Jan''16 SP'!L12-'Jan''16 SP'!L11)*('Jan''16 SP'!L14/100*1.1)*'Jan''16 SP'!L8))</f>
        <v>0</v>
      </c>
      <c r="K73" s="59">
        <f>IF($H5*'Jan''16 SP'!M7/'Jan''16 SP'!M8&lt;'Jan''16 SP'!M11,0,IF($H5*'Jan''16 SP'!M7/'Jan''16 SP'!M8&lt;='Jan''16 SP'!M12,($H5*'Jan''16 SP'!M7/'Jan''16 SP'!M8-'Jan''16 SP'!M11)*('Jan''16 SP'!M14/100*1.1)*'Jan''16 SP'!M8,('Jan''16 SP'!M12-'Jan''16 SP'!M11)*('Jan''16 SP'!M14/100*1.1)*'Jan''16 SP'!M8))</f>
        <v>0</v>
      </c>
      <c r="L73" s="59">
        <f>IF($H5*'Jan''16 SP'!N7/'Jan''16 SP'!N8&lt;'Jan''16 SP'!N11,0,IF($H5*'Jan''16 SP'!N7/'Jan''16 SP'!N8&lt;='Jan''16 SP'!N12,($H5*'Jan''16 SP'!N7/'Jan''16 SP'!N8-'Jan''16 SP'!N11)*('Jan''16 SP'!N14/100*1.1)*'Jan''16 SP'!N8,('Jan''16 SP'!N12-'Jan''16 SP'!N11)*('Jan''16 SP'!N14/100*1.1)*'Jan''16 SP'!N8))</f>
        <v>197.95379999999997</v>
      </c>
      <c r="M73" s="59">
        <f>IF($H5*'Jan''16 SP'!O7/'Jan''16 SP'!O8&lt;'Jan''16 SP'!O11,0,IF($H5*'Jan''16 SP'!O7/'Jan''16 SP'!O8&lt;='Jan''16 SP'!O12,($H5*'Jan''16 SP'!O7/'Jan''16 SP'!O8-'Jan''16 SP'!O11)*('Jan''16 SP'!O14/100*1.1)*'Jan''16 SP'!O8,('Jan''16 SP'!O12-'Jan''16 SP'!O11)*('Jan''16 SP'!O14/100*1.1)*'Jan''16 SP'!O8))</f>
        <v>184.09703399999998</v>
      </c>
      <c r="N73" s="63"/>
    </row>
    <row r="74" spans="1:14" x14ac:dyDescent="0.15">
      <c r="A74" s="40" t="s">
        <v>606</v>
      </c>
      <c r="C74" s="59">
        <f>IF(($H5*'Jan''16 SP'!E7/'Jan''16 SP'!E8&gt;'Jan''16 SP'!E12),($H5*'Jan''16 SP'!E7/'Jan''16 SP'!E8-'Jan''16 SP'!E12)*'Jan''16 SP'!E15/100*1.1*'Jan''16 SP'!E8,0)</f>
        <v>0</v>
      </c>
      <c r="D74" s="59">
        <f>IF(($H5*'Jan''16 SP'!F7/'Jan''16 SP'!F8&gt;'Jan''16 SP'!F12),($H5*'Jan''16 SP'!F7/'Jan''16 SP'!F8-'Jan''16 SP'!F12)*'Jan''16 SP'!F15/100*1.1*'Jan''16 SP'!F8,0)</f>
        <v>308.62880179999996</v>
      </c>
      <c r="E74" s="59">
        <f>IF(($H5*'Jan''16 SP'!G7/'Jan''16 SP'!G8&gt;'Jan''16 SP'!G12),($H5*'Jan''16 SP'!G7/'Jan''16 SP'!G8-'Jan''16 SP'!G12)*'Jan''16 SP'!G15/100*1.1*'Jan''16 SP'!G8,0)</f>
        <v>0</v>
      </c>
      <c r="F74" s="59">
        <f>IF(($H5*'Jan''16 SP'!H7/'Jan''16 SP'!H8&gt;'Jan''16 SP'!H12),($H5*'Jan''16 SP'!H7/'Jan''16 SP'!H8-'Jan''16 SP'!H12)*'Jan''16 SP'!H15/100*1.1*'Jan''16 SP'!H8,0)</f>
        <v>0</v>
      </c>
      <c r="G74" s="59">
        <f>IF(($H5*'Jan''16 SP'!I7/'Jan''16 SP'!I8&gt;'Jan''16 SP'!I12),($H5*'Jan''16 SP'!I7/'Jan''16 SP'!I8-'Jan''16 SP'!I12)*'Jan''16 SP'!I15/100*1.1*'Jan''16 SP'!I8,0)</f>
        <v>255.31727099999998</v>
      </c>
      <c r="H74" s="59">
        <f>IF(($H5*'Jan''16 SP'!J7/'Jan''16 SP'!J8&gt;'Jan''16 SP'!J12),($H5*'Jan''16 SP'!J7/'Jan''16 SP'!J8-'Jan''16 SP'!J12)*'Jan''16 SP'!J15/100*1.1*'Jan''16 SP'!J8,0)</f>
        <v>0</v>
      </c>
      <c r="I74" s="59">
        <f>IF(($H5*'Jan''16 SP'!K7/'Jan''16 SP'!K8&gt;'Jan''16 SP'!K12),($H5*'Jan''16 SP'!K7/'Jan''16 SP'!K8-'Jan''16 SP'!K12)*'Jan''16 SP'!K15/100*1.1*'Jan''16 SP'!K8,0)</f>
        <v>251.46342540000001</v>
      </c>
      <c r="J74" s="59">
        <f>IF(($H5*'Jan''16 SP'!L7/'Jan''16 SP'!L8&gt;'Jan''16 SP'!L12),($H5*'Jan''16 SP'!L7/'Jan''16 SP'!L8-'Jan''16 SP'!L12)*'Jan''16 SP'!L15/100*1.1*'Jan''16 SP'!L8,0)</f>
        <v>171.23003699999998</v>
      </c>
      <c r="K74" s="59">
        <f>IF(($H5*'Jan''16 SP'!M7/'Jan''16 SP'!M8&gt;'Jan''16 SP'!M12),($H5*'Jan''16 SP'!M7/'Jan''16 SP'!M8-'Jan''16 SP'!M12)*'Jan''16 SP'!M15/100*1.1*'Jan''16 SP'!M8,0)</f>
        <v>261.74034699999993</v>
      </c>
      <c r="L74" s="59">
        <f>IF(($H5*'Jan''16 SP'!N7/'Jan''16 SP'!N8&gt;'Jan''16 SP'!N12),($H5*'Jan''16 SP'!N7/'Jan''16 SP'!N8-'Jan''16 SP'!N12)*'Jan''16 SP'!N15/100*1.1*'Jan''16 SP'!N8,0)</f>
        <v>0</v>
      </c>
      <c r="M74" s="59">
        <f>IF(($H5*'Jan''16 SP'!O7/'Jan''16 SP'!O8&gt;'Jan''16 SP'!O12),($H5*'Jan''16 SP'!O7/'Jan''16 SP'!O8-'Jan''16 SP'!O12)*'Jan''16 SP'!O15/100*1.1*'Jan''16 SP'!O8,0)</f>
        <v>0</v>
      </c>
      <c r="N74" s="63"/>
    </row>
    <row r="75" spans="1:14" x14ac:dyDescent="0.15">
      <c r="A75" s="40" t="s">
        <v>607</v>
      </c>
      <c r="C75" s="59">
        <f>IF($H5*'Jan''16 SP'!E9/'Jan''16 SP'!E10&gt;='Jan''16 SP'!E11,('Jan''16 SP'!E11*'Jan''16 SP'!E16/100*1.1)*'Jan''16 SP'!E10,($H5*'Jan''16 SP'!E9/'Jan''16 SP'!E10*'Jan''16 SP'!E16/100*1.1)*'Jan''16 SP'!E10)</f>
        <v>431.64</v>
      </c>
      <c r="D75" s="59">
        <f>IF($H5*'Jan''16 SP'!F9/'Jan''16 SP'!F10&gt;='Jan''16 SP'!F11,('Jan''16 SP'!F11*'Jan''16 SP'!F16/100*1.1)*'Jan''16 SP'!F10,('Bills Jan''16'!$H5*'Jan''16 SP'!F9/'Jan''16 SP'!F10*'Jan''16 SP'!F16/100*1.1)*'Jan''16 SP'!F10)</f>
        <v>221.05600000000004</v>
      </c>
      <c r="E75" s="59">
        <f>IF($H5*'Jan''16 SP'!G9/'Jan''16 SP'!G10&gt;='Jan''16 SP'!G11,('Jan''16 SP'!G11*'Jan''16 SP'!G16/100*1.1)*'Jan''16 SP'!G10,($H5*'Jan''16 SP'!G9/'Jan''16 SP'!G10*'Jan''16 SP'!G16/100*1.1)*'Jan''16 SP'!G10)</f>
        <v>400.75200000000001</v>
      </c>
      <c r="F75" s="59">
        <f>IF($H5*'Jan''16 SP'!H9/'Jan''16 SP'!H10&gt;='Jan''16 SP'!H11,('Jan''16 SP'!H11*'Jan''16 SP'!H16/100*1.1)*'Jan''16 SP'!H10,($H5*'Jan''16 SP'!H9/'Jan''16 SP'!H10*'Jan''16 SP'!H16/100*1.1)*'Jan''16 SP'!H10)</f>
        <v>303.86400000000003</v>
      </c>
      <c r="G75" s="59">
        <f>IF($H5*'Jan''16 SP'!I9/'Jan''16 SP'!I10&gt;='Jan''16 SP'!I11,('Jan''16 SP'!I11*'Jan''16 SP'!I16/100*1.1)*'Jan''16 SP'!I10,('Bills Jan''16'!$H5*'Jan''16 SP'!I9/'Jan''16 SP'!I10*'Jan''16 SP'!I16/100*1.1)*'Jan''16 SP'!I10)</f>
        <v>215.42400000000004</v>
      </c>
      <c r="H75" s="59">
        <f>IF($H5*'Jan''16 SP'!J9/'Jan''16 SP'!J10&gt;='Jan''16 SP'!J11,('Jan''16 SP'!J11*'Jan''16 SP'!J16/100*1.1)*'Jan''16 SP'!J10,('Bills Jan''16'!$H5*'Jan''16 SP'!J9/'Jan''16 SP'!J10*'Jan''16 SP'!J16/100*1.1)*'Jan''16 SP'!J10)</f>
        <v>411.57600000000008</v>
      </c>
      <c r="I75" s="59">
        <f>IF($H5*'Jan''16 SP'!K9/'Jan''16 SP'!K10&gt;='Jan''16 SP'!K11,('Jan''16 SP'!K11*'Jan''16 SP'!K16/100*1.1)*'Jan''16 SP'!K10,('Bills Jan''16'!$H5*'Jan''16 SP'!K9/'Jan''16 SP'!K10*'Jan''16 SP'!K16/100*1.1)*'Jan''16 SP'!K10)</f>
        <v>228.23680000000002</v>
      </c>
      <c r="J75" s="59">
        <f>IF($H5*'Jan''16 SP'!L9/'Jan''16 SP'!L10&gt;='Jan''16 SP'!L11,('Jan''16 SP'!L11*'Jan''16 SP'!L16/100*1.1)*'Jan''16 SP'!L10,('Bills Jan''16'!$H5*'Jan''16 SP'!L9/'Jan''16 SP'!L10*'Jan''16 SP'!L16/100*1.1)*'Jan''16 SP'!L10)</f>
        <v>451.44</v>
      </c>
      <c r="K75" s="59">
        <f>IF($H5*'Jan''16 SP'!M9/'Jan''16 SP'!M10&gt;='Jan''16 SP'!M11,('Jan''16 SP'!M11*'Jan''16 SP'!M16/100*1.1)*'Jan''16 SP'!M10,('Bills Jan''16'!$H5*'Jan''16 SP'!M9/'Jan''16 SP'!M10*'Jan''16 SP'!M16/100*1.1)*'Jan''16 SP'!M10)</f>
        <v>226.68800000000005</v>
      </c>
      <c r="L75" s="59">
        <f>IF($H5*'Jan''16 SP'!N9/'Jan''16 SP'!N10&gt;='Jan''16 SP'!N11,('Jan''16 SP'!N11*'Jan''16 SP'!N16/100*1.1)*'Jan''16 SP'!N10,($H5*'Jan''16 SP'!N9/'Jan''16 SP'!N10*'Jan''16 SP'!N16/100*1.1)*'Jan''16 SP'!N10)</f>
        <v>417.12</v>
      </c>
      <c r="M75" s="59">
        <f>IF($H5*'Jan''16 SP'!O9/'Jan''16 SP'!O10&gt;='Jan''16 SP'!O11,('Jan''16 SP'!O11*'Jan''16 SP'!O16/100*1.1)*'Jan''16 SP'!O10,($H5*'Jan''16 SP'!O9/'Jan''16 SP'!O10*'Jan''16 SP'!O16/100*1.1)*'Jan''16 SP'!O10)</f>
        <v>332.64</v>
      </c>
      <c r="N75" s="63"/>
    </row>
    <row r="76" spans="1:14" x14ac:dyDescent="0.15">
      <c r="A76" s="40" t="s">
        <v>608</v>
      </c>
      <c r="C76" s="59">
        <f>IF($H5*'Jan''16 SP'!E9/'Jan''16 SP'!E10&lt;'Jan''16 SP'!E11,0,IF($H5*'Jan''16 SP'!E9/'Jan''16 SP'!E10&lt;='Jan''16 SP'!E12,($H5*'Jan''16 SP'!E9/'Jan''16 SP'!E10-'Jan''16 SP'!E11)*('Jan''16 SP'!E17/100*1.1)*'Jan''16 SP'!E10,('Jan''16 SP'!E12-'Jan''16 SP'!E11)*('Jan''16 SP'!E17/100*1.1)*'Jan''16 SP'!E10))</f>
        <v>261.10106219999994</v>
      </c>
      <c r="D76" s="59">
        <v>0</v>
      </c>
      <c r="E76" s="59">
        <f>IF($H5*'Jan''16 SP'!G9/'Jan''16 SP'!G10&lt;'Jan''16 SP'!G11,0,IF($H5*'Jan''16 SP'!G9/'Jan''16 SP'!G10&lt;='Jan''16 SP'!G12,($H5*'Jan''16 SP'!G9/'Jan''16 SP'!G10-'Jan''16 SP'!G11)*('Jan''16 SP'!G17/100*1.1)*'Jan''16 SP'!G10,('Jan''16 SP'!G12-'Jan''16 SP'!G11)*('Jan''16 SP'!G17/100*1.1)*'Jan''16 SP'!G10))</f>
        <v>289.60640939999996</v>
      </c>
      <c r="F76" s="59">
        <f>IF($H5*'Jan''16 SP'!H9/'Jan''16 SP'!H10&lt;'Jan''16 SP'!H11,0,IF($H5*'Jan''16 SP'!H9/'Jan''16 SP'!H10&lt;='Jan''16 SP'!H12,($H5*'Jan''16 SP'!H9/'Jan''16 SP'!H10-'Jan''16 SP'!H11)*('Jan''16 SP'!H17/100*1.1)*'Jan''16 SP'!H10,('Jan''16 SP'!H12-'Jan''16 SP'!H11)*('Jan''16 SP'!H17/100*1.1)*'Jan''16 SP'!H10))</f>
        <v>230.22026939999995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f>IF($H5*'Jan''16 SP'!N9/'Jan''16 SP'!N10&lt;'Jan''16 SP'!N11,0,IF($H5*'Jan''16 SP'!N9/'Jan''16 SP'!N10&lt;='Jan''16 SP'!N12,($H5*'Jan''16 SP'!N9/'Jan''16 SP'!N10-'Jan''16 SP'!N11)*('Jan''16 SP'!N17/100*1.1)*'Jan''16 SP'!N10,('Jan''16 SP'!N12-'Jan''16 SP'!N11)*('Jan''16 SP'!N17/100*1.1)*'Jan''16 SP'!N10))</f>
        <v>304.84885199999991</v>
      </c>
      <c r="M76" s="59">
        <f>IF($H5*'Jan''16 SP'!O9/'Jan''16 SP'!O10&lt;'Jan''16 SP'!O11,0,IF($H5*'Jan''16 SP'!O9/'Jan''16 SP'!O10&lt;='Jan''16 SP'!O12,($H5*'Jan''16 SP'!O9/'Jan''16 SP'!O10-'Jan''16 SP'!O11)*('Jan''16 SP'!O17/100*1.1)*'Jan''16 SP'!O10,('Jan''16 SP'!O12-'Jan''16 SP'!O11)*('Jan''16 SP'!O17/100*1.1)*'Jan''16 SP'!O10))</f>
        <v>241.50363599999994</v>
      </c>
      <c r="N76" s="63"/>
    </row>
    <row r="77" spans="1:14" x14ac:dyDescent="0.15">
      <c r="A77" s="40" t="s">
        <v>611</v>
      </c>
      <c r="C77" s="59">
        <f>IF(($H5*'Jan''16 SP'!E9/'Jan''16 SP'!E10&gt;'Jan''16 SP'!E12),($H5*'Jan''16 SP'!E9/'Jan''16 SP'!E10-'Jan''16 SP'!E12)*'Jan''16 SP'!E18/100*1.1*'Jan''16 SP'!E10,0)</f>
        <v>0</v>
      </c>
      <c r="D77" s="59">
        <f>IF(($H5*'Jan''16 SP'!F9/'Jan''16 SP'!F10&gt;'Jan''16 SP'!F11),('Bills Jan''16'!$H5*'Jan''16 SP'!F9/'Jan''16 SP'!F10-'Jan''16 SP'!F11)*'Jan''16 SP'!F18/100*1.1)*'Jan''16 SP'!F10</f>
        <v>440.94416739999997</v>
      </c>
      <c r="E77" s="59">
        <f>IF(($H5*'Jan''16 SP'!G9/'Jan''16 SP'!G10&gt;'Jan''16 SP'!G12),($H5*'Jan''16 SP'!G9/'Jan''16 SP'!G10-'Jan''16 SP'!G12)*'Jan''16 SP'!G18/100*1.1*'Jan''16 SP'!G10,0)</f>
        <v>0</v>
      </c>
      <c r="F77" s="59">
        <f>IF(($H5*'Jan''16 SP'!H9/'Jan''16 SP'!H10&gt;'Jan''16 SP'!H12),($H5*'Jan''16 SP'!H9/'Jan''16 SP'!H10-'Jan''16 SP'!H12)*'Jan''16 SP'!H18/100*1.1*'Jan''16 SP'!H10,0)</f>
        <v>0</v>
      </c>
      <c r="G77" s="59">
        <f>IF(($H5*'Jan''16 SP'!I9/'Jan''16 SP'!I10&gt;'Jan''16 SP'!I11),('Bills Jan''16'!$H5*'Jan''16 SP'!I9/'Jan''16 SP'!I10-'Jan''16 SP'!I11)*'Jan''16 SP'!I18/100*1.1)*'Jan''16 SP'!I10</f>
        <v>433.55762999999996</v>
      </c>
      <c r="H77" s="59">
        <f>IF(($H5*'Jan''16 SP'!J9/'Jan''16 SP'!J10&gt;'Jan''16 SP'!J11),('Bills Jan''16'!$H5*'Jan''16 SP'!J9/'Jan''16 SP'!J10-'Jan''16 SP'!J11)*'Jan''16 SP'!J18/100*1.1)*'Jan''16 SP'!J10</f>
        <v>280.89644219999997</v>
      </c>
      <c r="I77" s="59">
        <f>IF(($H5*'Jan''16 SP'!K9/'Jan''16 SP'!K10&gt;'Jan''16 SP'!K11),('Bills Jan''16'!$H5*'Jan''16 SP'!K9/'Jan''16 SP'!K10-'Jan''16 SP'!K11)*'Jan''16 SP'!K18/100*1.1)*'Jan''16 SP'!K10</f>
        <v>421.99609320000002</v>
      </c>
      <c r="J77" s="59">
        <f>IF(($H5*'Jan''16 SP'!L9/'Jan''16 SP'!L10&gt;'Jan''16 SP'!L11),('Bills Jan''16'!$H5*'Jan''16 SP'!L9/'Jan''16 SP'!L10-'Jan''16 SP'!L11)*'Jan''16 SP'!L18/100*1.1)*'Jan''16 SP'!L10</f>
        <v>283.07393399999989</v>
      </c>
      <c r="K77" s="59">
        <f>IF(($H5*'Jan''16 SP'!M9/'Jan''16 SP'!M10&gt;'Jan''16 SP'!M11),('Bills Jan''16'!$H5*'Jan''16 SP'!M9/'Jan''16 SP'!M10-'Jan''16 SP'!M11)*'Jan''16 SP'!M18/100*1.1)*'Jan''16 SP'!M10</f>
        <v>436.76916799999998</v>
      </c>
      <c r="L77" s="59">
        <f>IF(($H5*'Jan''16 SP'!N9/'Jan''16 SP'!N10&gt;'Jan''16 SP'!N12),($H5*'Jan''16 SP'!N9/'Jan''16 SP'!N10-'Jan''16 SP'!N12)*'Jan''16 SP'!N18/100*1.1*'Jan''16 SP'!N10,0)</f>
        <v>0</v>
      </c>
      <c r="M77" s="59">
        <f>IF(($H5*'Jan''16 SP'!O9/'Jan''16 SP'!O10&gt;'Jan''16 SP'!O12),($H5*'Jan''16 SP'!O9/'Jan''16 SP'!O10-'Jan''16 SP'!O12)*'Jan''16 SP'!O18/100*1.1*'Jan''16 SP'!O10,0)</f>
        <v>0</v>
      </c>
      <c r="N77" s="63"/>
    </row>
    <row r="78" spans="1:14" x14ac:dyDescent="0.15">
      <c r="A78" s="40" t="s">
        <v>612</v>
      </c>
      <c r="C78" s="59">
        <f>365*'Jan''16 SP'!E19/100*1.1</f>
        <v>290.08375000000001</v>
      </c>
      <c r="D78" s="59">
        <f>365*'Jan''16 SP'!F19/100*1.1</f>
        <v>253.70785000000001</v>
      </c>
      <c r="E78" s="59">
        <f>365*'Jan''16 SP'!G19/100*1.1</f>
        <v>269.00500000000005</v>
      </c>
      <c r="F78" s="59">
        <f>365*'Jan''16 SP'!H19/100*1.1</f>
        <v>268.48305000000005</v>
      </c>
      <c r="G78" s="59">
        <f>365*'Jan''16 SP'!I19/100*1.1</f>
        <v>277.27590000000004</v>
      </c>
      <c r="H78" s="59">
        <f>365*'Jan''16 SP'!J19/100*1.1</f>
        <v>257.96375</v>
      </c>
      <c r="I78" s="59">
        <f>365*'Jan''16 SP'!K19/100*1.1</f>
        <v>273.02</v>
      </c>
      <c r="J78" s="59">
        <f>365*'Jan''16 SP'!L19/100*1.1</f>
        <v>246.48085</v>
      </c>
      <c r="K78" s="59">
        <f>365*'Jan''16 SP'!M19/100*1.1</f>
        <v>216.74795000000006</v>
      </c>
      <c r="L78" s="59">
        <f>365*'Jan''16 SP'!N19/100*1.1</f>
        <v>266.9975</v>
      </c>
      <c r="M78" s="59">
        <f>365*'Jan''16 SP'!O19/100*1.1</f>
        <v>264.99</v>
      </c>
      <c r="N78" s="60">
        <f>AVERAGE(C78:M78)</f>
        <v>262.25050909090913</v>
      </c>
    </row>
    <row r="79" spans="1:14" x14ac:dyDescent="0.15">
      <c r="A79" s="62" t="s">
        <v>613</v>
      </c>
      <c r="B79" s="63"/>
      <c r="C79" s="61">
        <f t="shared" ref="C79:L79" si="5">SUM(C72:C78)</f>
        <v>1391.2259185</v>
      </c>
      <c r="D79" s="61">
        <f t="shared" si="5"/>
        <v>1379.2872192</v>
      </c>
      <c r="E79" s="61">
        <f t="shared" si="5"/>
        <v>1438.5749851</v>
      </c>
      <c r="F79" s="61">
        <f>SUM(F72:F78)</f>
        <v>1156.5887685</v>
      </c>
      <c r="G79" s="61">
        <f>SUM(G72:G78)</f>
        <v>1308.294801</v>
      </c>
      <c r="H79" s="61">
        <f t="shared" si="5"/>
        <v>1403.7123089000002</v>
      </c>
      <c r="I79" s="61">
        <f t="shared" si="5"/>
        <v>1310.5883186000001</v>
      </c>
      <c r="J79" s="61">
        <f t="shared" si="5"/>
        <v>1406.984821</v>
      </c>
      <c r="K79" s="61">
        <f t="shared" si="5"/>
        <v>1270.0734649999999</v>
      </c>
      <c r="L79" s="61">
        <f t="shared" si="5"/>
        <v>1456.2001519999999</v>
      </c>
      <c r="M79" s="61">
        <f>SUM(M72:M78)</f>
        <v>1272.7106699999999</v>
      </c>
      <c r="N79" s="64">
        <f>AVERAGE(C79:M79)</f>
        <v>1344.9310388909089</v>
      </c>
    </row>
    <row r="81" spans="1:14" x14ac:dyDescent="0.15">
      <c r="A81" s="53" t="s">
        <v>1032</v>
      </c>
      <c r="C81" s="23" t="s">
        <v>1044</v>
      </c>
      <c r="D81" s="23" t="s">
        <v>591</v>
      </c>
      <c r="E81" s="23" t="s">
        <v>592</v>
      </c>
      <c r="F81" s="23" t="s">
        <v>614</v>
      </c>
      <c r="G81" s="23" t="s">
        <v>615</v>
      </c>
      <c r="H81" s="23" t="s">
        <v>595</v>
      </c>
      <c r="I81" s="23" t="s">
        <v>596</v>
      </c>
      <c r="J81" s="23" t="s">
        <v>486</v>
      </c>
      <c r="K81" s="23" t="s">
        <v>487</v>
      </c>
      <c r="L81" s="23" t="s">
        <v>599</v>
      </c>
      <c r="M81" s="23" t="s">
        <v>600</v>
      </c>
      <c r="N81" s="57" t="s">
        <v>601</v>
      </c>
    </row>
    <row r="82" spans="1:14" x14ac:dyDescent="0.15">
      <c r="A82" s="40" t="s">
        <v>602</v>
      </c>
      <c r="C82" s="59">
        <f>IF($H5*'Jan''16 SP'!E23/'Jan''16 SP'!E24&gt;='Jan''16 SP'!E27,('Jan''16 SP'!E27*'Jan''16 SP'!E29/100*1.1)*'Jan''16 SP'!E24,($H5*'Jan''16 SP'!E23/'Jan''16 SP'!E24*'Jan''16 SP'!E29/100*1.1)*'Jan''16 SP'!E24)</f>
        <v>263.34000000000003</v>
      </c>
      <c r="D82" s="59">
        <f>IF($H5*'Jan''16 SP'!F23/'Jan''16 SP'!F24&gt;='Jan''16 SP'!F27,('Jan''16 SP'!F27*'Jan''16 SP'!F29/100*1.1)*'Jan''16 SP'!F24,('Bills Jan''16'!$H5*'Jan''16 SP'!F23/'Jan''16 SP'!F24*'Jan''16 SP'!F29/100*1.1)*'Jan''16 SP'!F24)</f>
        <v>179.52</v>
      </c>
      <c r="E82" s="59">
        <f>IF($H5*'Jan''16 SP'!G23/'Jan''16 SP'!G24&gt;='Jan''16 SP'!G27,('Jan''16 SP'!G27*'Jan''16 SP'!G29/100*1.1)*'Jan''16 SP'!G24,($H5*'Jan''16 SP'!G23/'Jan''16 SP'!G24*'Jan''16 SP'!G29/100*1.1)*'Jan''16 SP'!G24)</f>
        <v>319.44</v>
      </c>
      <c r="F82" s="59">
        <f>IF($H5*'Jan''16 SP'!H23/'Jan''16 SP'!H24&gt;='Jan''16 SP'!H27,('Jan''16 SP'!H27*'Jan''16 SP'!H29/100*1.1)*'Jan''16 SP'!H24,($H5*'Jan''16 SP'!H23/'Jan''16 SP'!H24*'Jan''16 SP'!H29/100*1.1)*'Jan''16 SP'!H24)</f>
        <v>230.20800000000003</v>
      </c>
      <c r="G82" s="59">
        <f>IF($H5*'Jan''16 SP'!I23/'Jan''16 SP'!I24&gt;='Jan''16 SP'!I27,('Jan''16 SP'!I27*'Jan''16 SP'!I29/100*1.1)*'Jan''16 SP'!I24,('Bills Jan''16'!$H5*'Jan''16 SP'!I23/'Jan''16 SP'!I24*'Jan''16 SP'!I29/100*1.1)*'Jan''16 SP'!I24)</f>
        <v>148.61000000000001</v>
      </c>
      <c r="H82" s="59">
        <f>IF($H5*'Jan''16 SP'!J23/'Jan''16 SP'!J24&gt;='Jan''16 SP'!J27,('Jan''16 SP'!J27*'Jan''16 SP'!J29/100*1.1)*'Jan''16 SP'!J24,('Bills Jan''16'!$H5*'Jan''16 SP'!J23/'Jan''16 SP'!J24*'Jan''16 SP'!J29/100*1.1)*'Jan''16 SP'!J24)</f>
        <v>297.66000000000003</v>
      </c>
      <c r="I82" s="59">
        <f>IF($H5*'Jan''16 SP'!K23/'Jan''16 SP'!K24&gt;='Jan''16 SP'!K27,('Jan''16 SP'!K27*'Jan''16 SP'!K29/100*1.1)*'Jan''16 SP'!K24,('Bills Jan''16'!$H5*'Jan''16 SP'!K23/'Jan''16 SP'!K24*'Jan''16 SP'!K29/100*1.1)*'Jan''16 SP'!K24)</f>
        <v>168.32200000000003</v>
      </c>
      <c r="J82" s="59">
        <f>IF($H5*'Jan''16 SP'!L23/'Jan''16 SP'!L24&gt;='Jan''16 SP'!L27,('Jan''16 SP'!L27*'Jan''16 SP'!L29/100*1.1)*'Jan''16 SP'!L24,('Bills Jan''16'!$H5*'Jan''16 SP'!L23/'Jan''16 SP'!L24*'Jan''16 SP'!L29/100*1.1)*'Jan''16 SP'!L24)</f>
        <v>279.83999999999997</v>
      </c>
      <c r="K82" s="59">
        <f>IF($H5*'Jan''16 SP'!M23/'Jan''16 SP'!M24&gt;='Jan''16 SP'!M27,('Jan''16 SP'!M27*'Jan''16 SP'!M29/100*1.1)*'Jan''16 SP'!M24,('Bills Jan''16'!$H5*'Jan''16 SP'!M23/'Jan''16 SP'!M24*'Jan''16 SP'!M29/100*1.1)*'Jan''16 SP'!M24)</f>
        <v>146.30000000000001</v>
      </c>
      <c r="L82" s="59">
        <f>IF($H5*'Jan''16 SP'!N23/'Jan''16 SP'!N24&gt;='Jan''16 SP'!N27,('Jan''16 SP'!N27*'Jan''16 SP'!N29/100*1.1)*'Jan''16 SP'!N24,($H5*'Jan''16 SP'!N23/'Jan''16 SP'!N24*'Jan''16 SP'!N29/100*1.1)*'Jan''16 SP'!N24)</f>
        <v>303.59999999999997</v>
      </c>
      <c r="M82" s="59">
        <f>IF($H5*'Jan''16 SP'!O23/'Jan''16 SP'!O24&gt;='Jan''16 SP'!O27,('Jan''16 SP'!O27*'Jan''16 SP'!O29/100*1.1)*'Jan''16 SP'!O24,($H5*'Jan''16 SP'!O23/'Jan''16 SP'!O24*'Jan''16 SP'!O29/100*1.1)*'Jan''16 SP'!O24)</f>
        <v>299.64</v>
      </c>
      <c r="N82" s="63"/>
    </row>
    <row r="83" spans="1:14" x14ac:dyDescent="0.15">
      <c r="A83" s="40" t="s">
        <v>603</v>
      </c>
      <c r="C83" s="59">
        <f>IF($H5*'Jan''16 SP'!E23/'Jan''16 SP'!E24&lt;'Jan''16 SP'!E27,0,IF($H5*'Jan''16 SP'!E23/'Jan''16 SP'!E24&lt;='Jan''16 SP'!E28,($H5*'Jan''16 SP'!E23/'Jan''16 SP'!E24-'Jan''16 SP'!E27)*('Jan''16 SP'!E30/100*1.1)*'Jan''16 SP'!E24,('Jan''16 SP'!E28-'Jan''16 SP'!E27)*('Jan''16 SP'!E30/100*1.1)*'Jan''16 SP'!E24))</f>
        <v>188.05610999999996</v>
      </c>
      <c r="D83" s="59">
        <v>0</v>
      </c>
      <c r="E83" s="59">
        <f>IF($H5*'Jan''16 SP'!G23/'Jan''16 SP'!G24&lt;'Jan''16 SP'!G27,0,IF($H5*'Jan''16 SP'!G23/'Jan''16 SP'!G24&lt;='Jan''16 SP'!G28,($H5*'Jan''16 SP'!G23/'Jan''16 SP'!G24-'Jan''16 SP'!G27)*('Jan''16 SP'!G30/100*1.1)*'Jan''16 SP'!G24,('Jan''16 SP'!G28-'Jan''16 SP'!G27)*('Jan''16 SP'!G30/100*1.1)*'Jan''16 SP'!G24))</f>
        <v>222.69802499999994</v>
      </c>
      <c r="F83" s="59">
        <f>IF($H5*'Jan''16 SP'!H23/'Jan''16 SP'!H24&lt;'Jan''16 SP'!H27,0,IF($H5*'Jan''16 SP'!H23/'Jan''16 SP'!H24&lt;='Jan''16 SP'!H28,($H5*'Jan''16 SP'!H23/'Jan''16 SP'!H24-'Jan''16 SP'!H27)*('Jan''16 SP'!H30/100*1.1)*'Jan''16 SP'!H24,('Jan''16 SP'!H28-'Jan''16 SP'!H27)*('Jan''16 SP'!H30/100*1.1)*'Jan''16 SP'!H24))</f>
        <v>172.41775979999997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f>IF($H5*'Jan''16 SP'!N23/'Jan''16 SP'!N24&lt;'Jan''16 SP'!N27,0,IF($H5*'Jan''16 SP'!N23/'Jan''16 SP'!N24&lt;='Jan''16 SP'!N28,($H5*'Jan''16 SP'!N23/'Jan''16 SP'!N24-'Jan''16 SP'!N27)*('Jan''16 SP'!N30/100*1.1)*'Jan''16 SP'!N24,('Jan''16 SP'!N28-'Jan''16 SP'!N27)*('Jan''16 SP'!N30/100*1.1)*'Jan''16 SP'!N24))</f>
        <v>222.69802499999994</v>
      </c>
      <c r="M83" s="59">
        <f>IF($H5*'Jan''16 SP'!O23/'Jan''16 SP'!O24&lt;'Jan''16 SP'!O27,0,IF($H5*'Jan''16 SP'!O23/'Jan''16 SP'!O24&lt;='Jan''16 SP'!O28,($H5*'Jan''16 SP'!O23/'Jan''16 SP'!O24-'Jan''16 SP'!O27)*('Jan''16 SP'!O30/100*1.1)*'Jan''16 SP'!O24,('Jan''16 SP'!O28-'Jan''16 SP'!O27)*('Jan''16 SP'!O30/100*1.1)*'Jan''16 SP'!O24))</f>
        <v>218.73894899999993</v>
      </c>
      <c r="N83" s="63"/>
    </row>
    <row r="84" spans="1:14" x14ac:dyDescent="0.15">
      <c r="A84" s="40" t="s">
        <v>606</v>
      </c>
      <c r="C84" s="59">
        <f>IF(($H5*'Jan''16 SP'!E23/'Jan''16 SP'!E24&gt;'Jan''16 SP'!E28),($H5*'Jan''16 SP'!E23/'Jan''16 SP'!E24-'Jan''16 SP'!E28)*'Jan''16 SP'!E31/100*1.1*'Jan''16 SP'!E24,0)</f>
        <v>0</v>
      </c>
      <c r="D84" s="59">
        <f>IF(($H5*'Jan''16 SP'!F23/'Jan''16 SP'!F24&lt;'Jan''16 SP'!F27),(0),('Bills Jan''16'!$H5*'Jan''16 SP'!F23/'Jan''16 SP'!F24-'Jan''16 SP'!F27)*'Jan''16 SP'!F31/100*1.1)*'Jan''16 SP'!F24</f>
        <v>322.43841519999995</v>
      </c>
      <c r="E84" s="59">
        <f>IF(($H5*'Jan''16 SP'!G23/'Jan''16 SP'!G24&gt;'Jan''16 SP'!G28),($H5*'Jan''16 SP'!G23/'Jan''16 SP'!G24-'Jan''16 SP'!G28)*'Jan''16 SP'!G31/100*1.1*'Jan''16 SP'!G24,0)</f>
        <v>0</v>
      </c>
      <c r="F84" s="59">
        <f>IF(($H5*'Jan''16 SP'!H23/'Jan''16 SP'!H24&gt;'Jan''16 SP'!H28),($H5*'Jan''16 SP'!H23/'Jan''16 SP'!H24-'Jan''16 SP'!H28)*'Jan''16 SP'!H31/100*1.1*'Jan''16 SP'!H24,0)</f>
        <v>0</v>
      </c>
      <c r="G84" s="59">
        <f>IF(($H5*'Jan''16 SP'!I23/'Jan''16 SP'!I24&lt;'Jan''16 SP'!I27),(0),('Bills Jan''16'!$H5*'Jan''16 SP'!I23/'Jan''16 SP'!I24-'Jan''16 SP'!I27)*'Jan''16 SP'!I31/100*1.1)*'Jan''16 SP'!I24</f>
        <v>264.84026799999998</v>
      </c>
      <c r="H84" s="59">
        <f>IF(($H5*'Jan''16 SP'!J23/'Jan''16 SP'!J24&lt;'Jan''16 SP'!J27),(0),('Bills Jan''16'!$H5*'Jan''16 SP'!J23/'Jan''16 SP'!J24-'Jan''16 SP'!J27)*'Jan''16 SP'!J31/100*1.1)*'Jan''16 SP'!J24</f>
        <v>136.09323749999999</v>
      </c>
      <c r="I84" s="59">
        <f>IF(($H5*'Jan''16 SP'!K23/'Jan''16 SP'!K24&lt;'Jan''16 SP'!K27),(0),('Bills Jan''16'!$H5*'Jan''16 SP'!K23/'Jan''16 SP'!K24-'Jan''16 SP'!K27)*'Jan''16 SP'!K31/100*1.1)*'Jan''16 SP'!K24</f>
        <v>269.61355189999995</v>
      </c>
      <c r="J84" s="59">
        <f>IF(($H5*'Jan''16 SP'!L23/'Jan''16 SP'!L24&lt;'Jan''16 SP'!L27),(0),('Bills Jan''16'!$H5*'Jan''16 SP'!L23/'Jan''16 SP'!L24-'Jan''16 SP'!L27)*'Jan''16 SP'!L31/100*1.1)*'Jan''16 SP'!L24</f>
        <v>164.30165399999998</v>
      </c>
      <c r="K84" s="59">
        <f>IF(($H5*'Jan''16 SP'!M23/'Jan''16 SP'!M24&lt;'Jan''16 SP'!M27),(0),('Bills Jan''16'!$H5*'Jan''16 SP'!M23/'Jan''16 SP'!M24-'Jan''16 SP'!M27)*'Jan''16 SP'!M31/100*1.1)*'Jan''16 SP'!M24</f>
        <v>250.98234699999998</v>
      </c>
      <c r="L84" s="59">
        <f>IF(($H5*'Jan''16 SP'!N23/'Jan''16 SP'!N24&gt;'Jan''16 SP'!N28),($H5*'Jan''16 SP'!N23/'Jan''16 SP'!N24-'Jan''16 SP'!N28)*'Jan''16 SP'!N31/100*1.1*'Jan''16 SP'!N24,0)</f>
        <v>0</v>
      </c>
      <c r="M84" s="59">
        <f>IF(($H5*'Jan''16 SP'!O23/'Jan''16 SP'!O24&gt;'Jan''16 SP'!O28),($H5*'Jan''16 SP'!O23/'Jan''16 SP'!O24-'Jan''16 SP'!O28)*'Jan''16 SP'!O31/100*1.1*'Jan''16 SP'!O24,0)</f>
        <v>0</v>
      </c>
      <c r="N84" s="63"/>
    </row>
    <row r="85" spans="1:14" x14ac:dyDescent="0.15">
      <c r="A85" s="40" t="s">
        <v>607</v>
      </c>
      <c r="C85" s="59">
        <f>IF($H5*'Jan''16 SP'!E25/'Jan''16 SP'!E26&gt;='Jan''16 SP'!E27,('Jan''16 SP'!E27*'Jan''16 SP'!E32/100*1.1)*'Jan''16 SP'!E26,($H5*'Jan''16 SP'!E25/'Jan''16 SP'!E26*'Jan''16 SP'!E32/100*1.1)*'Jan''16 SP'!E26)</f>
        <v>453.024</v>
      </c>
      <c r="D85" s="59">
        <f>IF($H5*'Jan''16 SP'!F25/'Jan''16 SP'!F26&gt;='Jan''16 SP'!F27,('Jan''16 SP'!F27*'Jan''16 SP'!F32/100*1.1)*'Jan''16 SP'!F26,('Bills Jan''16'!$H5*'Jan''16 SP'!F25/'Jan''16 SP'!F26*'Jan''16 SP'!F32/100*1.1)*'Jan''16 SP'!F26)</f>
        <v>255.41120000000004</v>
      </c>
      <c r="E85" s="59">
        <f>IF($H5*'Jan''16 SP'!G25/'Jan''16 SP'!G26&gt;='Jan''16 SP'!G27,('Jan''16 SP'!G27*'Jan''16 SP'!G32/100*1.1)*'Jan''16 SP'!G26,($H5*'Jan''16 SP'!G25/'Jan''16 SP'!G26*'Jan''16 SP'!G32/100*1.1)*'Jan''16 SP'!G26)</f>
        <v>443.52000000000004</v>
      </c>
      <c r="F85" s="59">
        <f>IF($H5*'Jan''16 SP'!H25/'Jan''16 SP'!H26&gt;='Jan''16 SP'!H27,('Jan''16 SP'!H27*'Jan''16 SP'!H32/100*1.1)*'Jan''16 SP'!H26,($H5*'Jan''16 SP'!H25/'Jan''16 SP'!H26*'Jan''16 SP'!H32/100*1.1)*'Jan''16 SP'!H26)</f>
        <v>319.17600000000004</v>
      </c>
      <c r="G85" s="59">
        <f>IF($H5*'Jan''16 SP'!I25/'Jan''16 SP'!I26&gt;='Jan''16 SP'!I27,('Jan''16 SP'!I27*'Jan''16 SP'!I32/100*1.1)*'Jan''16 SP'!I26,('Bills Jan''16'!$H5*'Jan''16 SP'!I25/'Jan''16 SP'!I26*'Jan''16 SP'!I32/100*1.1)*'Jan''16 SP'!I26)</f>
        <v>244.86</v>
      </c>
      <c r="H85" s="59">
        <f>IF($H5*'Jan''16 SP'!J25/'Jan''16 SP'!J26&gt;='Jan''16 SP'!J27,('Jan''16 SP'!J27*'Jan''16 SP'!J32/100*1.1)*'Jan''16 SP'!J26,('Bills Jan''16'!$H5*'Jan''16 SP'!J25/'Jan''16 SP'!J26*'Jan''16 SP'!J32/100*1.1)*'Jan''16 SP'!J26)</f>
        <v>432.69600000000003</v>
      </c>
      <c r="I85" s="59">
        <f>IF($H5*'Jan''16 SP'!K25/'Jan''16 SP'!K26&gt;='Jan''16 SP'!K27,('Jan''16 SP'!K27*'Jan''16 SP'!K32/100*1.1)*'Jan''16 SP'!K26,('Bills Jan''16'!$H5*'Jan''16 SP'!K25/'Jan''16 SP'!K26*'Jan''16 SP'!K32/100*1.1)*'Jan''16 SP'!K26)</f>
        <v>247.786</v>
      </c>
      <c r="J85" s="59">
        <f>IF($H5*'Jan''16 SP'!L25/'Jan''16 SP'!L26&gt;='Jan''16 SP'!L27,('Jan''16 SP'!L27*'Jan''16 SP'!L32/100*1.1)*'Jan''16 SP'!L26,('Bills Jan''16'!$H5*'Jan''16 SP'!L25/'Jan''16 SP'!L26*'Jan''16 SP'!L32/100*1.1)*'Jan''16 SP'!L26)</f>
        <v>533.28000000000009</v>
      </c>
      <c r="K85" s="59">
        <f>IF($H5*'Jan''16 SP'!M25/'Jan''16 SP'!M26&gt;='Jan''16 SP'!M27,('Jan''16 SP'!M27*'Jan''16 SP'!M32/100*1.1)*'Jan''16 SP'!M26,('Bills Jan''16'!$H5*'Jan''16 SP'!M25/'Jan''16 SP'!M26*'Jan''16 SP'!M32/100*1.1)*'Jan''16 SP'!M26)</f>
        <v>251.02</v>
      </c>
      <c r="L85" s="59">
        <f>IF($H5*'Jan''16 SP'!N25/'Jan''16 SP'!N26&gt;='Jan''16 SP'!N27,('Jan''16 SP'!N27*'Jan''16 SP'!N32/100*1.1)*'Jan''16 SP'!N26,($H5*'Jan''16 SP'!N25/'Jan''16 SP'!N26*'Jan''16 SP'!N32/100*1.1)*'Jan''16 SP'!N26)</f>
        <v>432.96000000000004</v>
      </c>
      <c r="M85" s="59">
        <f>IF($H5*'Jan''16 SP'!O25/'Jan''16 SP'!O26&gt;='Jan''16 SP'!O27,('Jan''16 SP'!O27*'Jan''16 SP'!O32/100*1.1)*'Jan''16 SP'!O26,($H5*'Jan''16 SP'!O25/'Jan''16 SP'!O26*'Jan''16 SP'!O32/100*1.1)*'Jan''16 SP'!O26)</f>
        <v>372.24</v>
      </c>
      <c r="N85" s="63"/>
    </row>
    <row r="86" spans="1:14" x14ac:dyDescent="0.15">
      <c r="A86" s="40" t="s">
        <v>608</v>
      </c>
      <c r="C86" s="59">
        <f>IF($H5*'Jan''16 SP'!E25/'Jan''16 SP'!E26&lt;'Jan''16 SP'!E27,0,IF($H5*'Jan''16 SP'!E25/'Jan''16 SP'!E26&lt;='Jan''16 SP'!E28,($H5*'Jan''16 SP'!E25/'Jan''16 SP'!E26-'Jan''16 SP'!E27)*('Jan''16 SP'!E33/100*1.1)*'Jan''16 SP'!E26,('Jan''16 SP'!E28-'Jan''16 SP'!E27)*('Jan''16 SP'!E33/100*1.1)*'Jan''16 SP'!E26))</f>
        <v>295.94093099999998</v>
      </c>
      <c r="D86" s="59">
        <v>0</v>
      </c>
      <c r="E86" s="59">
        <f>IF($H5*'Jan''16 SP'!G25/'Jan''16 SP'!G26&lt;'Jan''16 SP'!G27,0,IF($H5*'Jan''16 SP'!G25/'Jan''16 SP'!G26&lt;='Jan''16 SP'!G28,($H5*'Jan''16 SP'!G25/'Jan''16 SP'!G26-'Jan''16 SP'!G27)*('Jan''16 SP'!G33/100*1.1)*'Jan''16 SP'!G26,('Jan''16 SP'!G28-'Jan''16 SP'!G27)*('Jan''16 SP'!G33/100*1.1)*'Jan''16 SP'!G26))</f>
        <v>304.84885199999991</v>
      </c>
      <c r="F86" s="59">
        <f>IF($H5*'Jan''16 SP'!H25/'Jan''16 SP'!H26&lt;'Jan''16 SP'!H27,0,IF($H5*'Jan''16 SP'!H25/'Jan''16 SP'!H26&lt;='Jan''16 SP'!H28,($H5*'Jan''16 SP'!H25/'Jan''16 SP'!H26-'Jan''16 SP'!H27)*('Jan''16 SP'!H33/100*1.1)*'Jan''16 SP'!H26,('Jan''16 SP'!H28-'Jan''16 SP'!H27)*('Jan''16 SP'!H33/100*1.1)*'Jan''16 SP'!H26))</f>
        <v>235.16911439999998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f>IF($H5*'Jan''16 SP'!N25/'Jan''16 SP'!N26&lt;'Jan''16 SP'!N27,0,IF($H5*'Jan''16 SP'!N25/'Jan''16 SP'!N26&lt;='Jan''16 SP'!N28,($H5*'Jan''16 SP'!N25/'Jan''16 SP'!N26-'Jan''16 SP'!N27)*('Jan''16 SP'!N33/100*1.1)*'Jan''16 SP'!N26,('Jan''16 SP'!N28-'Jan''16 SP'!N27)*('Jan''16 SP'!N33/100*1.1)*'Jan''16 SP'!N26))</f>
        <v>306.82838999999996</v>
      </c>
      <c r="M86" s="59">
        <f>IF($H5*'Jan''16 SP'!O25/'Jan''16 SP'!O26&lt;'Jan''16 SP'!O27,0,IF($H5*'Jan''16 SP'!O25/'Jan''16 SP'!O26&lt;='Jan''16 SP'!O28,($H5*'Jan''16 SP'!O25/'Jan''16 SP'!O26-'Jan''16 SP'!O27)*('Jan''16 SP'!O33/100*1.1)*'Jan''16 SP'!O26,('Jan''16 SP'!O28-'Jan''16 SP'!O27)*('Jan''16 SP'!O33/100*1.1)*'Jan''16 SP'!O26))</f>
        <v>261.29901599999999</v>
      </c>
      <c r="N86" s="63"/>
    </row>
    <row r="87" spans="1:14" x14ac:dyDescent="0.15">
      <c r="A87" s="40" t="s">
        <v>611</v>
      </c>
      <c r="C87" s="59">
        <f>IF(($H5*'Jan''16 SP'!E25/'Jan''16 SP'!E26&gt;'Jan''16 SP'!E28),($H5*'Jan''16 SP'!E25/'Jan''16 SP'!E26-'Jan''16 SP'!E28)*'Jan''16 SP'!E34/100*1.1*'Jan''16 SP'!E26,0)</f>
        <v>0</v>
      </c>
      <c r="D87" s="59">
        <f>IF(($H5*'Jan''16 SP'!F25/'Jan''16 SP'!F26&lt;'Jan''16 SP'!F27),(0),('Bills Jan''16'!$H5*'Jan''16 SP'!F25/'Jan''16 SP'!F26-'Jan''16 SP'!F27)*'Jan''16 SP'!F34/100*1.1)*'Jan''16 SP'!F26</f>
        <v>461.49801059999993</v>
      </c>
      <c r="E87" s="59">
        <f>IF(($H5*'Jan''16 SP'!G25/'Jan''16 SP'!G26&gt;'Jan''16 SP'!G28),($H5*'Jan''16 SP'!G25/'Jan''16 SP'!G26-'Jan''16 SP'!G28)*'Jan''16 SP'!G34/100*1.1*'Jan''16 SP'!G26,0)</f>
        <v>0</v>
      </c>
      <c r="F87" s="59">
        <f>IF(($H5*'Jan''16 SP'!H25/'Jan''16 SP'!H26&gt;'Jan''16 SP'!H28),($H5*'Jan''16 SP'!H25/'Jan''16 SP'!H26-'Jan''16 SP'!H28)*'Jan''16 SP'!H34/100*1.1*'Jan''16 SP'!H26,0)</f>
        <v>0</v>
      </c>
      <c r="G87" s="59">
        <f>IF(($H5*'Jan''16 SP'!I25/'Jan''16 SP'!I26&lt;'Jan''16 SP'!I27),(0),('Bills Jan''16'!$H5*'Jan''16 SP'!I25/'Jan''16 SP'!I26-'Jan''16 SP'!I27)*'Jan''16 SP'!I34/100*1.1)*'Jan''16 SP'!I26</f>
        <v>471.16931399999999</v>
      </c>
      <c r="H87" s="59">
        <f>IF(($H5*'Jan''16 SP'!J25/'Jan''16 SP'!J26&lt;'Jan''16 SP'!J27),(0),('Bills Jan''16'!$H5*'Jan''16 SP'!J25/'Jan''16 SP'!J26-'Jan''16 SP'!J27)*'Jan''16 SP'!J34/100*1.1)*'Jan''16 SP'!J26</f>
        <v>270.60284459999997</v>
      </c>
      <c r="I87" s="59">
        <f>IF(($H5*'Jan''16 SP'!K25/'Jan''16 SP'!K26&lt;'Jan''16 SP'!K27),(0),('Bills Jan''16'!$H5*'Jan''16 SP'!K25/'Jan''16 SP'!K26-'Jan''16 SP'!K27)*'Jan''16 SP'!K34/100*1.1)*'Jan''16 SP'!K26</f>
        <v>445.91710239999998</v>
      </c>
      <c r="J87" s="59">
        <f>IF(($H5*'Jan''16 SP'!L25/'Jan''16 SP'!L26&lt;'Jan''16 SP'!L27),(0),('Bills Jan''16'!$H5*'Jan''16 SP'!L25/'Jan''16 SP'!L26-'Jan''16 SP'!L27)*'Jan''16 SP'!L34/100*1.1)*'Jan''16 SP'!L26</f>
        <v>306.82839000000001</v>
      </c>
      <c r="K87" s="59">
        <f>IF(($H5*'Jan''16 SP'!M25/'Jan''16 SP'!M26&lt;'Jan''16 SP'!M27),(0),('Bills Jan''16'!$H5*'Jan''16 SP'!M25/'Jan''16 SP'!M26-'Jan''16 SP'!M27)*'Jan''16 SP'!M34/100*1.1)*'Jan''16 SP'!M26</f>
        <v>455.77162399999992</v>
      </c>
      <c r="L87" s="59">
        <f>IF(($H5*'Jan''16 SP'!N25/'Jan''16 SP'!N26&gt;'Jan''16 SP'!N28),($H5*'Jan''16 SP'!N25/'Jan''16 SP'!N26-'Jan''16 SP'!N28)*'Jan''16 SP'!N34/100*1.1*'Jan''16 SP'!N26,0)</f>
        <v>0</v>
      </c>
      <c r="M87" s="59">
        <f>IF(($H5*'Jan''16 SP'!O25/'Jan''16 SP'!O26&gt;'Jan''16 SP'!O28),($H5*'Jan''16 SP'!O25/'Jan''16 SP'!O26-'Jan''16 SP'!O28)*'Jan''16 SP'!O34/100*1.1*'Jan''16 SP'!O26,0)</f>
        <v>0</v>
      </c>
      <c r="N87" s="63"/>
    </row>
    <row r="88" spans="1:14" x14ac:dyDescent="0.15">
      <c r="A88" s="40" t="s">
        <v>612</v>
      </c>
      <c r="C88" s="59">
        <f>365*'Jan''16 SP'!E35/100*1.1</f>
        <v>297.71225000000004</v>
      </c>
      <c r="D88" s="59">
        <f>365*'Jan''16 SP'!F35/100*1.1</f>
        <v>247.88610000000006</v>
      </c>
      <c r="E88" s="59">
        <f>365*'Jan''16 SP'!G35/100*1.1</f>
        <v>260.97500000000002</v>
      </c>
      <c r="F88" s="59">
        <f>365*'Jan''16 SP'!H35/100*1.1</f>
        <v>254.22980000000001</v>
      </c>
      <c r="G88" s="59">
        <f>365*'Jan''16 SP'!I35/100*1.1</f>
        <v>279.68490000000003</v>
      </c>
      <c r="H88" s="59">
        <f>365*'Jan''16 SP'!J35/100*1.1</f>
        <v>257.96375</v>
      </c>
      <c r="I88" s="59">
        <f>365*'Jan''16 SP'!K35/100*1.1</f>
        <v>273.02</v>
      </c>
      <c r="J88" s="59">
        <f>365*'Jan''16 SP'!L35/100*1.1</f>
        <v>251.37915000000004</v>
      </c>
      <c r="K88" s="59">
        <f>365*'Jan''16 SP'!M35/100*1.1</f>
        <v>208.73985000000005</v>
      </c>
      <c r="L88" s="59">
        <f>365*'Jan''16 SP'!N35/100*1.1</f>
        <v>266.9975</v>
      </c>
      <c r="M88" s="59">
        <f>365*'Jan''16 SP'!O35/100*1.1</f>
        <v>264.99</v>
      </c>
      <c r="N88" s="60">
        <f>AVERAGE(C88:M88)</f>
        <v>260.32530000000003</v>
      </c>
    </row>
    <row r="89" spans="1:14" x14ac:dyDescent="0.15">
      <c r="A89" s="62" t="s">
        <v>613</v>
      </c>
      <c r="B89" s="63"/>
      <c r="C89" s="61">
        <f t="shared" ref="C89:L89" si="6">SUM(C82:C88)</f>
        <v>1498.0732910000002</v>
      </c>
      <c r="D89" s="61">
        <f t="shared" si="6"/>
        <v>1466.7537258000002</v>
      </c>
      <c r="E89" s="61">
        <f t="shared" si="6"/>
        <v>1551.4818769999997</v>
      </c>
      <c r="F89" s="61">
        <f>SUM(F82:F88)</f>
        <v>1211.2006742000001</v>
      </c>
      <c r="G89" s="61">
        <f>SUM(G82:G88)</f>
        <v>1409.1644819999999</v>
      </c>
      <c r="H89" s="61">
        <f t="shared" si="6"/>
        <v>1395.0158320999999</v>
      </c>
      <c r="I89" s="61">
        <f t="shared" si="6"/>
        <v>1404.6586542999999</v>
      </c>
      <c r="J89" s="61">
        <f t="shared" si="6"/>
        <v>1535.6291939999999</v>
      </c>
      <c r="K89" s="61">
        <f t="shared" si="6"/>
        <v>1312.8138209999997</v>
      </c>
      <c r="L89" s="61">
        <f t="shared" si="6"/>
        <v>1533.0839149999999</v>
      </c>
      <c r="M89" s="61">
        <f>SUM(M82:M88)</f>
        <v>1416.9079649999999</v>
      </c>
      <c r="N89" s="64">
        <f>AVERAGE(C89:M89)</f>
        <v>1430.4348573999998</v>
      </c>
    </row>
    <row r="91" spans="1:14" x14ac:dyDescent="0.15">
      <c r="A91" s="53" t="s">
        <v>1034</v>
      </c>
      <c r="C91" s="23" t="s">
        <v>1044</v>
      </c>
      <c r="D91" s="23" t="s">
        <v>591</v>
      </c>
      <c r="E91" s="23" t="s">
        <v>592</v>
      </c>
      <c r="F91" s="23" t="s">
        <v>614</v>
      </c>
      <c r="G91" s="23" t="s">
        <v>615</v>
      </c>
      <c r="H91" s="23" t="s">
        <v>595</v>
      </c>
      <c r="I91" s="23" t="s">
        <v>596</v>
      </c>
      <c r="J91" s="23" t="s">
        <v>486</v>
      </c>
      <c r="K91" s="23" t="s">
        <v>487</v>
      </c>
      <c r="L91" s="23" t="s">
        <v>599</v>
      </c>
      <c r="M91" s="23" t="s">
        <v>600</v>
      </c>
      <c r="N91" s="57" t="s">
        <v>601</v>
      </c>
    </row>
    <row r="92" spans="1:14" x14ac:dyDescent="0.15">
      <c r="A92" s="40" t="s">
        <v>602</v>
      </c>
      <c r="C92" s="59">
        <f>IF($H5*'Jan''16 SP'!E39/'Jan''16 SP'!E40&gt;='Jan''16 SP'!E43,('Jan''16 SP'!E43*'Jan''16 SP'!E45/100*1.1)*'Jan''16 SP'!E40,($H5*'Jan''16 SP'!E39/'Jan''16 SP'!E40*'Jan''16 SP'!E45/100*1.1)*'Jan''16 SP'!E40)</f>
        <v>265.18800000000005</v>
      </c>
      <c r="D92" s="59">
        <f>IF($H5*'Jan''16 SP'!F39/'Jan''16 SP'!F40&gt;='Jan''16 SP'!F43,('Jan''16 SP'!F43*'Jan''16 SP'!F45/100*1.1)*'Jan''16 SP'!F40,('Bills Jan''16'!$H5*'Jan''16 SP'!F39/'Jan''16 SP'!F40*'Jan''16 SP'!F45/100*1.1)*'Jan''16 SP'!F40)</f>
        <v>179.52</v>
      </c>
      <c r="E92" s="59">
        <f>IF($H5*'Jan''16 SP'!G39/'Jan''16 SP'!G40&gt;='Jan''16 SP'!G43,('Jan''16 SP'!G43*'Jan''16 SP'!G45/100*1.1)*'Jan''16 SP'!G40,($H5*'Jan''16 SP'!G39/'Jan''16 SP'!G40*'Jan''16 SP'!G45/100*1.1)*'Jan''16 SP'!G40)</f>
        <v>320.76000000000005</v>
      </c>
      <c r="F92" s="59">
        <f>IF($H5*'Jan''16 SP'!H39/'Jan''16 SP'!H40&gt;='Jan''16 SP'!H43,('Jan''16 SP'!H43*'Jan''16 SP'!H45/100*1.1)*'Jan''16 SP'!H40,($H5*'Jan''16 SP'!H39/'Jan''16 SP'!H40*'Jan''16 SP'!H45/100*1.1)*'Jan''16 SP'!H40)</f>
        <v>230.20800000000003</v>
      </c>
      <c r="G92" s="59">
        <f>IF($H5*'Jan''16 SP'!I39/'Jan''16 SP'!I40&gt;='Jan''16 SP'!I43,('Jan''16 SP'!I43*'Jan''16 SP'!I45/100*1.1)*'Jan''16 SP'!I40,('Bills Jan''16'!$H5*'Jan''16 SP'!I39/'Jan''16 SP'!I40*'Jan''16 SP'!I45/100*1.1)*'Jan''16 SP'!I40)</f>
        <v>142.91200000000001</v>
      </c>
      <c r="H92" s="59">
        <f>IF($H5*'Jan''16 SP'!J39/'Jan''16 SP'!J40&gt;='Jan''16 SP'!J43,('Jan''16 SP'!J43*'Jan''16 SP'!J45/100*1.1)*'Jan''16 SP'!J40,('Bills Jan''16'!$H5*'Jan''16 SP'!J39/'Jan''16 SP'!J40*'Jan''16 SP'!J45/100*1.1)*'Jan''16 SP'!J40)</f>
        <v>300.16800000000001</v>
      </c>
      <c r="I92" s="59">
        <f>IF($H5*'Jan''16 SP'!K39/'Jan''16 SP'!K40&gt;='Jan''16 SP'!K43,('Jan''16 SP'!K43*'Jan''16 SP'!K45/100*1.1)*'Jan''16 SP'!K40,('Bills Jan''16'!$H5*'Jan''16 SP'!K39/'Jan''16 SP'!K40*'Jan''16 SP'!K45/100*1.1)*'Jan''16 SP'!K40)</f>
        <v>154.52799999999999</v>
      </c>
      <c r="J92" s="59">
        <f>IF($H5*'Jan''16 SP'!L39/'Jan''16 SP'!L40&gt;='Jan''16 SP'!L43,('Jan''16 SP'!L43*'Jan''16 SP'!L45/100*1.1)*'Jan''16 SP'!L40,('Bills Jan''16'!$H5*'Jan''16 SP'!L39/'Jan''16 SP'!L40*'Jan''16 SP'!L45/100*1.1)*'Jan''16 SP'!L40)</f>
        <v>278.64000000000004</v>
      </c>
      <c r="K92" s="59">
        <f>IF($H5*'Jan''16 SP'!M39/'Jan''16 SP'!M40&gt;='Jan''16 SP'!M43,('Jan''16 SP'!M43*'Jan''16 SP'!M45/100*1.1)*'Jan''16 SP'!M40,('Bills Jan''16'!$H5*'Jan''16 SP'!M39/'Jan''16 SP'!M40*'Jan''16 SP'!M45/100*1.1)*'Jan''16 SP'!M40)</f>
        <v>140.80000000000001</v>
      </c>
      <c r="L92" s="59">
        <f>IF($H5*'Jan''16 SP'!N39/'Jan''16 SP'!N40&gt;='Jan''16 SP'!N43,('Jan''16 SP'!N43*'Jan''16 SP'!N45/100*1.1)*'Jan''16 SP'!N40,($H5*'Jan''16 SP'!N39/'Jan''16 SP'!N40*'Jan''16 SP'!N45/100*1.1)*'Jan''16 SP'!N40)</f>
        <v>303.59999999999997</v>
      </c>
      <c r="M92" s="59">
        <f>IF($H5*'Jan''16 SP'!O39/'Jan''16 SP'!O40&gt;='Jan''16 SP'!O43,('Jan''16 SP'!O43*'Jan''16 SP'!O45/100*1.1)*'Jan''16 SP'!O40,($H5*'Jan''16 SP'!O39/'Jan''16 SP'!O40*'Jan''16 SP'!O45/100*1.1)*'Jan''16 SP'!O40)</f>
        <v>299.64</v>
      </c>
      <c r="N92" s="63"/>
    </row>
    <row r="93" spans="1:14" x14ac:dyDescent="0.15">
      <c r="A93" s="40" t="s">
        <v>603</v>
      </c>
      <c r="C93" s="59">
        <f>IF($H5*'Jan''16 SP'!E39/'Jan''16 SP'!E40&lt;'Jan''16 SP'!E43,0,IF($H5*'Jan''16 SP'!E39/'Jan''16 SP'!E40&lt;='Jan''16 SP'!E44,($H5*'Jan''16 SP'!E39/'Jan''16 SP'!E40-'Jan''16 SP'!E43)*('Jan''16 SP'!E46/100*1.1)*'Jan''16 SP'!E40,('Jan''16 SP'!E44-'Jan''16 SP'!E43)*('Jan''16 SP'!E46/100*1.1)*'Jan''16 SP'!E40))</f>
        <v>188.05610999999996</v>
      </c>
      <c r="D93" s="59">
        <v>0</v>
      </c>
      <c r="E93" s="59">
        <f>IF($H5*'Jan''16 SP'!G39/'Jan''16 SP'!G40&lt;'Jan''16 SP'!G43,0,IF($H5*'Jan''16 SP'!G39/'Jan''16 SP'!G40&lt;='Jan''16 SP'!G44,($H5*'Jan''16 SP'!G39/'Jan''16 SP'!G40-'Jan''16 SP'!G43)*('Jan''16 SP'!G46/100*1.1)*'Jan''16 SP'!G40,('Jan''16 SP'!G44-'Jan''16 SP'!G43)*('Jan''16 SP'!G46/100*1.1)*'Jan''16 SP'!G40))</f>
        <v>217.74917999999997</v>
      </c>
      <c r="F93" s="59">
        <f>IF($H5*'Jan''16 SP'!H39/'Jan''16 SP'!H40&lt;'Jan''16 SP'!H43,0,IF($H5*'Jan''16 SP'!H39/'Jan''16 SP'!H40&lt;='Jan''16 SP'!H44,($H5*'Jan''16 SP'!H39/'Jan''16 SP'!H40-'Jan''16 SP'!H43)*('Jan''16 SP'!H46/100*1.1)*'Jan''16 SP'!H40,('Jan''16 SP'!H44-'Jan''16 SP'!H43)*('Jan''16 SP'!H46/100*1.1)*'Jan''16 SP'!H40))</f>
        <v>172.41775979999997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f>IF($H5*'Jan''16 SP'!N39/'Jan''16 SP'!N40&lt;'Jan''16 SP'!N43,0,IF($H5*'Jan''16 SP'!N39/'Jan''16 SP'!N40&lt;='Jan''16 SP'!N44,($H5*'Jan''16 SP'!N39/'Jan''16 SP'!N40-'Jan''16 SP'!N43)*('Jan''16 SP'!N46/100*1.1)*'Jan''16 SP'!N40,('Jan''16 SP'!N44-'Jan''16 SP'!N43)*('Jan''16 SP'!N46/100*1.1)*'Jan''16 SP'!N40))</f>
        <v>222.69802499999994</v>
      </c>
      <c r="M93" s="59">
        <f>IF($H5*'Jan''16 SP'!O39/'Jan''16 SP'!O40&lt;'Jan''16 SP'!O43,0,IF($H5*'Jan''16 SP'!O39/'Jan''16 SP'!O40&lt;='Jan''16 SP'!O44,($H5*'Jan''16 SP'!O39/'Jan''16 SP'!O40-'Jan''16 SP'!O43)*('Jan''16 SP'!O46/100*1.1)*'Jan''16 SP'!O40,('Jan''16 SP'!O44-'Jan''16 SP'!O43)*('Jan''16 SP'!O46/100*1.1)*'Jan''16 SP'!O40))</f>
        <v>218.73894899999993</v>
      </c>
      <c r="N93" s="63"/>
    </row>
    <row r="94" spans="1:14" x14ac:dyDescent="0.15">
      <c r="A94" s="40" t="s">
        <v>606</v>
      </c>
      <c r="C94" s="59">
        <f>IF(($H5*'Jan''16 SP'!E39/'Jan''16 SP'!E40&gt;'Jan''16 SP'!E44),($H5*'Jan''16 SP'!E39/'Jan''16 SP'!E40-'Jan''16 SP'!E44)*'Jan''16 SP'!E47/100*1.1*'Jan''16 SP'!E40,0)</f>
        <v>0</v>
      </c>
      <c r="D94" s="59">
        <f>IF(($H5*'Jan''16 SP'!F39/'Jan''16 SP'!F40&lt;'Jan''16 SP'!F43),(0),('Bills Jan''16'!$H5*'Jan''16 SP'!F39/'Jan''16 SP'!F40-'Jan''16 SP'!F43)*'Jan''16 SP'!F47/100*1.1)*'Jan''16 SP'!F40</f>
        <v>322.43841519999995</v>
      </c>
      <c r="E94" s="59">
        <f>IF(($H5*'Jan''16 SP'!G39/'Jan''16 SP'!G40&gt;'Jan''16 SP'!G44),($H5*'Jan''16 SP'!G39/'Jan''16 SP'!G40-'Jan''16 SP'!G44)*'Jan''16 SP'!G47/100*1.1*'Jan''16 SP'!G40,0)</f>
        <v>0</v>
      </c>
      <c r="F94" s="59">
        <f>IF(($H5*'Jan''16 SP'!H39/'Jan''16 SP'!H40&gt;'Jan''16 SP'!H44),($H5*'Jan''16 SP'!H39/'Jan''16 SP'!H40-'Jan''16 SP'!H44)*'Jan''16 SP'!H47/100*1.1*'Jan''16 SP'!H40,0)</f>
        <v>0</v>
      </c>
      <c r="G94" s="59">
        <f>IF(($H5*'Jan''16 SP'!I39/'Jan''16 SP'!I40&lt;'Jan''16 SP'!I43),(0),('Bills Jan''16'!$H5*'Jan''16 SP'!I39/'Jan''16 SP'!I40-'Jan''16 SP'!I43)*'Jan''16 SP'!I47/100*1.1)*'Jan''16 SP'!I40</f>
        <v>260.13457799999998</v>
      </c>
      <c r="H94" s="59">
        <f>IF(($H5*'Jan''16 SP'!J39/'Jan''16 SP'!J40&lt;'Jan''16 SP'!J43),(0),('Bills Jan''16'!$H5*'Jan''16 SP'!J39/'Jan''16 SP'!J40-'Jan''16 SP'!J43)*'Jan''16 SP'!J47/100*1.1)*'Jan''16 SP'!J40</f>
        <v>138.07277549999998</v>
      </c>
      <c r="I94" s="59">
        <f>IF(($H5*'Jan''16 SP'!K39/'Jan''16 SP'!K40&lt;'Jan''16 SP'!K43),(0),('Bills Jan''16'!$H5*'Jan''16 SP'!K39/'Jan''16 SP'!K40-'Jan''16 SP'!K43)*'Jan''16 SP'!K47/100*1.1)*'Jan''16 SP'!K40</f>
        <v>314.57014709999999</v>
      </c>
      <c r="J94" s="59">
        <f>IF(($H5*'Jan''16 SP'!L39/'Jan''16 SP'!L40&lt;'Jan''16 SP'!L43),(0),('Bills Jan''16'!$H5*'Jan''16 SP'!L39/'Jan''16 SP'!L40-'Jan''16 SP'!L43)*'Jan''16 SP'!L47/100*1.1)*'Jan''16 SP'!L40</f>
        <v>167.27096099999997</v>
      </c>
      <c r="K94" s="59">
        <f>IF(($H5*'Jan''16 SP'!M39/'Jan''16 SP'!M40&lt;'Jan''16 SP'!M43),(0),('Bills Jan''16'!$H5*'Jan''16 SP'!M39/'Jan''16 SP'!M40-'Jan''16 SP'!M43)*'Jan''16 SP'!M47/100*1.1)*'Jan''16 SP'!M40</f>
        <v>260.13457799999998</v>
      </c>
      <c r="L94" s="59">
        <f>IF(($H5*'Jan''16 SP'!N39/'Jan''16 SP'!N40&gt;'Jan''16 SP'!N44),($H5*'Jan''16 SP'!N39/'Jan''16 SP'!N40-'Jan''16 SP'!N44)*'Jan''16 SP'!N47/100*1.1*'Jan''16 SP'!N40,0)</f>
        <v>0</v>
      </c>
      <c r="M94" s="59">
        <f>IF(($H5*'Jan''16 SP'!O39/'Jan''16 SP'!O40&gt;'Jan''16 SP'!O44),($H5*'Jan''16 SP'!O39/'Jan''16 SP'!O40-'Jan''16 SP'!O44)*'Jan''16 SP'!O47/100*1.1*'Jan''16 SP'!O40,0)</f>
        <v>0</v>
      </c>
      <c r="N94" s="63"/>
    </row>
    <row r="95" spans="1:14" x14ac:dyDescent="0.15">
      <c r="A95" s="40" t="s">
        <v>607</v>
      </c>
      <c r="C95" s="59">
        <f>IF($H5*'Jan''16 SP'!E41/'Jan''16 SP'!E42&gt;='Jan''16 SP'!E43,('Jan''16 SP'!E43*'Jan''16 SP'!E48/100*1.1)*'Jan''16 SP'!E42,($H5*'Jan''16 SP'!E41/'Jan''16 SP'!E42*'Jan''16 SP'!E48/100*1.1)*'Jan''16 SP'!E42)</f>
        <v>484.96800000000002</v>
      </c>
      <c r="D95" s="59">
        <f>IF($H5*'Jan''16 SP'!F41/'Jan''16 SP'!F42&gt;='Jan''16 SP'!F43,('Jan''16 SP'!F43*'Jan''16 SP'!F48/100*1.1)*'Jan''16 SP'!F42,('Bills Jan''16'!$H5*'Jan''16 SP'!F41/'Jan''16 SP'!F42*'Jan''16 SP'!F48/100*1.1)*'Jan''16 SP'!F42)</f>
        <v>255.41120000000004</v>
      </c>
      <c r="E95" s="59">
        <f>IF($H5*'Jan''16 SP'!G41/'Jan''16 SP'!G42&gt;='Jan''16 SP'!G43,('Jan''16 SP'!G43*'Jan''16 SP'!G48/100*1.1)*'Jan''16 SP'!G42,($H5*'Jan''16 SP'!G41/'Jan''16 SP'!G42*'Jan''16 SP'!G48/100*1.1)*'Jan''16 SP'!G42)</f>
        <v>454.08000000000004</v>
      </c>
      <c r="F95" s="59">
        <f>IF($H5*'Jan''16 SP'!H41/'Jan''16 SP'!H42&gt;='Jan''16 SP'!H43,('Jan''16 SP'!H43*'Jan''16 SP'!H48/100*1.1)*'Jan''16 SP'!H42,($H5*'Jan''16 SP'!H41/'Jan''16 SP'!H42*'Jan''16 SP'!H48/100*1.1)*'Jan''16 SP'!H42)</f>
        <v>319.17600000000004</v>
      </c>
      <c r="G95" s="59">
        <f>IF($H5*'Jan''16 SP'!I41/'Jan''16 SP'!I42&gt;='Jan''16 SP'!I43,('Jan''16 SP'!I43*'Jan''16 SP'!I48/100*1.1)*'Jan''16 SP'!I42,('Bills Jan''16'!$H5*'Jan''16 SP'!I41/'Jan''16 SP'!I42*'Jan''16 SP'!I48/100*1.1)*'Jan''16 SP'!I42)</f>
        <v>243.584</v>
      </c>
      <c r="H95" s="59">
        <f>IF($H5*'Jan''16 SP'!J41/'Jan''16 SP'!J42&gt;='Jan''16 SP'!J43,('Jan''16 SP'!J43*'Jan''16 SP'!J48/100*1.1)*'Jan''16 SP'!J42,('Bills Jan''16'!$H5*'Jan''16 SP'!J41/'Jan''16 SP'!J42*'Jan''16 SP'!J48/100*1.1)*'Jan''16 SP'!J42)</f>
        <v>437.71200000000005</v>
      </c>
      <c r="I95" s="59">
        <f>IF($H5*'Jan''16 SP'!K41/'Jan''16 SP'!K42&gt;='Jan''16 SP'!K43,('Jan''16 SP'!K43*'Jan''16 SP'!K48/100*1.1)*'Jan''16 SP'!K42,('Bills Jan''16'!$H5*'Jan''16 SP'!K41/'Jan''16 SP'!K42*'Jan''16 SP'!K48/100*1.1)*'Jan''16 SP'!K42)</f>
        <v>238.51520000000002</v>
      </c>
      <c r="J95" s="59">
        <f>IF($H5*'Jan''16 SP'!L41/'Jan''16 SP'!L42&gt;='Jan''16 SP'!L43,('Jan''16 SP'!L43*'Jan''16 SP'!L48/100*1.1)*'Jan''16 SP'!L42,('Bills Jan''16'!$H5*'Jan''16 SP'!L41/'Jan''16 SP'!L42*'Jan''16 SP'!L48/100*1.1)*'Jan''16 SP'!L42)</f>
        <v>506.88000000000005</v>
      </c>
      <c r="K95" s="59">
        <f>IF($H5*'Jan''16 SP'!M41/'Jan''16 SP'!M42&gt;='Jan''16 SP'!M43,('Jan''16 SP'!M43*'Jan''16 SP'!M48/100*1.1)*'Jan''16 SP'!M42,('Bills Jan''16'!$H5*'Jan''16 SP'!M41/'Jan''16 SP'!M42*'Jan''16 SP'!M48/100*1.1)*'Jan''16 SP'!M42)</f>
        <v>247.80800000000002</v>
      </c>
      <c r="L95" s="59">
        <f>IF($H5*'Jan''16 SP'!N41/'Jan''16 SP'!N42&gt;='Jan''16 SP'!N43,('Jan''16 SP'!N43*'Jan''16 SP'!N48/100*1.1)*'Jan''16 SP'!N42,($H5*'Jan''16 SP'!N41/'Jan''16 SP'!N42*'Jan''16 SP'!N48/100*1.1)*'Jan''16 SP'!N42)</f>
        <v>432.96000000000004</v>
      </c>
      <c r="M95" s="59">
        <f>IF($H5*'Jan''16 SP'!O41/'Jan''16 SP'!O42&gt;='Jan''16 SP'!O43,('Jan''16 SP'!O43*'Jan''16 SP'!O48/100*1.1)*'Jan''16 SP'!O42,($H5*'Jan''16 SP'!O41/'Jan''16 SP'!O42*'Jan''16 SP'!O48/100*1.1)*'Jan''16 SP'!O42)</f>
        <v>372.24</v>
      </c>
      <c r="N95" s="63"/>
    </row>
    <row r="96" spans="1:14" x14ac:dyDescent="0.15">
      <c r="A96" s="40" t="s">
        <v>608</v>
      </c>
      <c r="C96" s="59">
        <f>IF($H5*'Jan''16 SP'!E41/'Jan''16 SP'!E42&lt;'Jan''16 SP'!E43,0,IF($H5*'Jan''16 SP'!E41/'Jan''16 SP'!E42&lt;='Jan''16 SP'!E44,($H5*'Jan''16 SP'!E41/'Jan''16 SP'!E42-'Jan''16 SP'!E43)*('Jan''16 SP'!E49/100*1.1)*'Jan''16 SP'!E42,('Jan''16 SP'!E44-'Jan''16 SP'!E43)*('Jan''16 SP'!E49/100*1.1)*'Jan''16 SP'!E42))</f>
        <v>277.13531999999992</v>
      </c>
      <c r="D96" s="59">
        <v>0</v>
      </c>
      <c r="E96" s="59">
        <f>IF($H5*'Jan''16 SP'!G41/'Jan''16 SP'!G42&lt;'Jan''16 SP'!G43,0,IF($H5*'Jan''16 SP'!G41/'Jan''16 SP'!G42&lt;='Jan''16 SP'!G44,($H5*'Jan''16 SP'!G41/'Jan''16 SP'!G42-'Jan''16 SP'!G43)*('Jan''16 SP'!G49/100*1.1)*'Jan''16 SP'!G42,('Jan''16 SP'!G44-'Jan''16 SP'!G43)*('Jan''16 SP'!G49/100*1.1)*'Jan''16 SP'!G42))</f>
        <v>292.97162399999996</v>
      </c>
      <c r="F96" s="59">
        <f>IF($H5*'Jan''16 SP'!H41/'Jan''16 SP'!H42&lt;'Jan''16 SP'!H43,0,IF($H5*'Jan''16 SP'!H41/'Jan''16 SP'!H42&lt;='Jan''16 SP'!H44,($H5*'Jan''16 SP'!H41/'Jan''16 SP'!H42-'Jan''16 SP'!H43)*('Jan''16 SP'!H49/100*1.1)*'Jan''16 SP'!H42,('Jan''16 SP'!H44-'Jan''16 SP'!H43)*('Jan''16 SP'!H49/100*1.1)*'Jan''16 SP'!H42))</f>
        <v>235.16911439999998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f>IF($H5*'Jan''16 SP'!N41/'Jan''16 SP'!N42&lt;'Jan''16 SP'!N43,0,IF($H5*'Jan''16 SP'!N41/'Jan''16 SP'!N42&lt;='Jan''16 SP'!N44,($H5*'Jan''16 SP'!N41/'Jan''16 SP'!N42-'Jan''16 SP'!N43)*('Jan''16 SP'!N49/100*1.1)*'Jan''16 SP'!N42,('Jan''16 SP'!N44-'Jan''16 SP'!N43)*('Jan''16 SP'!N49/100*1.1)*'Jan''16 SP'!N42))</f>
        <v>306.82838999999996</v>
      </c>
      <c r="M96" s="59">
        <f>IF($H5*'Jan''16 SP'!O41/'Jan''16 SP'!O42&lt;'Jan''16 SP'!O43,0,IF($H5*'Jan''16 SP'!O41/'Jan''16 SP'!O42&lt;='Jan''16 SP'!O44,($H5*'Jan''16 SP'!O41/'Jan''16 SP'!O42-'Jan''16 SP'!O43)*('Jan''16 SP'!O49/100*1.1)*'Jan''16 SP'!O42,('Jan''16 SP'!O44-'Jan''16 SP'!O43)*('Jan''16 SP'!O49/100*1.1)*'Jan''16 SP'!O42))</f>
        <v>261.29901599999999</v>
      </c>
      <c r="N96" s="63"/>
    </row>
    <row r="97" spans="1:14" x14ac:dyDescent="0.15">
      <c r="A97" s="40" t="s">
        <v>611</v>
      </c>
      <c r="C97" s="59">
        <f>IF(($H5*'Jan''16 SP'!E41/'Jan''16 SP'!E42&gt;'Jan''16 SP'!E44),($H5*'Jan''16 SP'!E41/'Jan''16 SP'!E42-'Jan''16 SP'!E44)*'Jan''16 SP'!E50/100*1.1*'Jan''16 SP'!E42,0)</f>
        <v>0</v>
      </c>
      <c r="D97" s="59">
        <f>IF(($H5*'Jan''16 SP'!F41/'Jan''16 SP'!F42&lt;'Jan''16 SP'!F43),(0),('Bills Jan''16'!$H5*'Jan''16 SP'!F41/'Jan''16 SP'!F42-'Jan''16 SP'!F43)*'Jan''16 SP'!F50/100*1.1)*'Jan''16 SP'!F42</f>
        <v>461.49801059999993</v>
      </c>
      <c r="E97" s="59">
        <f>IF(($H5*'Jan''16 SP'!G41/'Jan''16 SP'!G42&gt;'Jan''16 SP'!G44),($H5*'Jan''16 SP'!G41/'Jan''16 SP'!G42-'Jan''16 SP'!G44)*'Jan''16 SP'!G50/100*1.1*'Jan''16 SP'!G42,0)</f>
        <v>0</v>
      </c>
      <c r="F97" s="59">
        <f>IF(($H5*'Jan''16 SP'!H41/'Jan''16 SP'!H42&gt;'Jan''16 SP'!H44),($H5*'Jan''16 SP'!H41/'Jan''16 SP'!H42-'Jan''16 SP'!H44)*'Jan''16 SP'!H50/100*1.1*'Jan''16 SP'!H42,0)</f>
        <v>0</v>
      </c>
      <c r="G97" s="59">
        <f>IF(($H5*'Jan''16 SP'!I41/'Jan''16 SP'!I42&lt;'Jan''16 SP'!I43),(0),('Bills Jan''16'!$H5*'Jan''16 SP'!I41/'Jan''16 SP'!I42-'Jan''16 SP'!I43)*'Jan''16 SP'!I50/100*1.1)*'Jan''16 SP'!I42</f>
        <v>488.15377599999999</v>
      </c>
      <c r="H97" s="59">
        <f>IF(($H5*'Jan''16 SP'!J41/'Jan''16 SP'!J42&lt;'Jan''16 SP'!J43),(0),('Bills Jan''16'!$H5*'Jan''16 SP'!J41/'Jan''16 SP'!J42-'Jan''16 SP'!J43)*'Jan''16 SP'!J50/100*1.1)*'Jan''16 SP'!J42</f>
        <v>274.3639667999999</v>
      </c>
      <c r="I97" s="59">
        <f>IF(($H5*'Jan''16 SP'!K41/'Jan''16 SP'!K42&lt;'Jan''16 SP'!K43),(0),('Bills Jan''16'!$H5*'Jan''16 SP'!K41/'Jan''16 SP'!K42-'Jan''16 SP'!K43)*'Jan''16 SP'!K50/100*1.1)*'Jan''16 SP'!K42</f>
        <v>428.74032299999999</v>
      </c>
      <c r="J97" s="59">
        <f>IF(($H5*'Jan''16 SP'!L41/'Jan''16 SP'!L42&lt;'Jan''16 SP'!L43),(0),('Bills Jan''16'!$H5*'Jan''16 SP'!L41/'Jan''16 SP'!L42-'Jan''16 SP'!L43)*'Jan''16 SP'!L50/100*1.1)*'Jan''16 SP'!L42</f>
        <v>306.82839000000001</v>
      </c>
      <c r="K97" s="59">
        <f>IF(($H5*'Jan''16 SP'!M41/'Jan''16 SP'!M42&lt;'Jan''16 SP'!M43),(0),('Bills Jan''16'!$H5*'Jan''16 SP'!M41/'Jan''16 SP'!M42-'Jan''16 SP'!M43)*'Jan''16 SP'!M50/100*1.1)*'Jan''16 SP'!M42</f>
        <v>484.94223799999997</v>
      </c>
      <c r="L97" s="59">
        <f>IF(($H5*'Jan''16 SP'!N41/'Jan''16 SP'!N42&gt;'Jan''16 SP'!N44),($H5*'Jan''16 SP'!N41/'Jan''16 SP'!N42-'Jan''16 SP'!N44)*'Jan''16 SP'!N50/100*1.1*'Jan''16 SP'!N42,0)</f>
        <v>0</v>
      </c>
      <c r="M97" s="59">
        <f>IF(($H5*'Jan''16 SP'!O41/'Jan''16 SP'!O42&gt;'Jan''16 SP'!O44),($H5*'Jan''16 SP'!O41/'Jan''16 SP'!O42-'Jan''16 SP'!O44)*'Jan''16 SP'!O50/100*1.1*'Jan''16 SP'!O42,0)</f>
        <v>0</v>
      </c>
      <c r="N97" s="63"/>
    </row>
    <row r="98" spans="1:14" x14ac:dyDescent="0.15">
      <c r="A98" s="40" t="s">
        <v>612</v>
      </c>
      <c r="C98" s="59">
        <f>365*'Jan''16 SP'!E51/100*1.1</f>
        <v>290.7663</v>
      </c>
      <c r="D98" s="59">
        <f>365*'Jan''16 SP'!F51/100*1.1</f>
        <v>247.88610000000006</v>
      </c>
      <c r="E98" s="59">
        <f>365*'Jan''16 SP'!G51/100*1.1</f>
        <v>283.0575</v>
      </c>
      <c r="F98" s="59">
        <f>365*'Jan''16 SP'!H51/100*1.1</f>
        <v>254.22980000000001</v>
      </c>
      <c r="G98" s="59">
        <f>365*'Jan''16 SP'!I51/100*1.1</f>
        <v>282.81659999999999</v>
      </c>
      <c r="H98" s="59">
        <f>365*'Jan''16 SP'!J51/100*1.1</f>
        <v>257.96375</v>
      </c>
      <c r="I98" s="59">
        <f>365*'Jan''16 SP'!K51/100*1.1</f>
        <v>273.02</v>
      </c>
      <c r="J98" s="59">
        <f>365*'Jan''16 SP'!L51/100*1.1</f>
        <v>248.64895000000001</v>
      </c>
      <c r="K98" s="59">
        <f>365*'Jan''16 SP'!M51/100*1.1</f>
        <v>212.75485000000006</v>
      </c>
      <c r="L98" s="59">
        <f>365*'Jan''16 SP'!N51/100*1.1</f>
        <v>266.9975</v>
      </c>
      <c r="M98" s="59">
        <f>365*'Jan''16 SP'!O51/100*1.1</f>
        <v>264.99</v>
      </c>
      <c r="N98" s="60">
        <f>AVERAGE(C98:M98)</f>
        <v>262.10285000000005</v>
      </c>
    </row>
    <row r="99" spans="1:14" x14ac:dyDescent="0.15">
      <c r="A99" s="62" t="s">
        <v>613</v>
      </c>
      <c r="B99" s="63"/>
      <c r="C99" s="61">
        <f t="shared" ref="C99:L99" si="7">SUM(C92:C98)</f>
        <v>1506.1137299999998</v>
      </c>
      <c r="D99" s="61">
        <f t="shared" si="7"/>
        <v>1466.7537258000002</v>
      </c>
      <c r="E99" s="61">
        <f t="shared" si="7"/>
        <v>1568.6183040000001</v>
      </c>
      <c r="F99" s="61">
        <f>SUM(F92:F98)</f>
        <v>1211.2006742000001</v>
      </c>
      <c r="G99" s="61">
        <f>SUM(G92:G98)</f>
        <v>1417.600954</v>
      </c>
      <c r="H99" s="61">
        <f t="shared" si="7"/>
        <v>1408.2804922999999</v>
      </c>
      <c r="I99" s="61">
        <f t="shared" si="7"/>
        <v>1409.3736701</v>
      </c>
      <c r="J99" s="61">
        <f t="shared" si="7"/>
        <v>1508.2683010000003</v>
      </c>
      <c r="K99" s="61">
        <f t="shared" si="7"/>
        <v>1346.439666</v>
      </c>
      <c r="L99" s="61">
        <f t="shared" si="7"/>
        <v>1533.0839149999999</v>
      </c>
      <c r="M99" s="61">
        <f>SUM(M92:M98)</f>
        <v>1416.9079649999999</v>
      </c>
      <c r="N99" s="64">
        <f>AVERAGE(C99:M99)</f>
        <v>1435.6946724909092</v>
      </c>
    </row>
    <row r="101" spans="1:14" x14ac:dyDescent="0.1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</row>
    <row r="102" spans="1:14" x14ac:dyDescent="0.15">
      <c r="A102" s="53" t="s">
        <v>490</v>
      </c>
      <c r="C102" s="23" t="s">
        <v>1044</v>
      </c>
      <c r="D102" s="23" t="s">
        <v>591</v>
      </c>
      <c r="E102" s="23" t="s">
        <v>592</v>
      </c>
      <c r="F102" s="23" t="s">
        <v>593</v>
      </c>
      <c r="G102" s="23" t="s">
        <v>594</v>
      </c>
      <c r="H102" s="23" t="s">
        <v>595</v>
      </c>
      <c r="I102" s="23" t="s">
        <v>596</v>
      </c>
      <c r="J102" s="23" t="s">
        <v>597</v>
      </c>
      <c r="K102" s="23" t="s">
        <v>598</v>
      </c>
      <c r="L102" s="23" t="s">
        <v>599</v>
      </c>
      <c r="M102" s="23" t="s">
        <v>600</v>
      </c>
    </row>
    <row r="103" spans="1:14" x14ac:dyDescent="0.15">
      <c r="A103" s="40" t="s">
        <v>491</v>
      </c>
      <c r="C103" s="24" t="s">
        <v>492</v>
      </c>
      <c r="D103" s="25" t="s">
        <v>493</v>
      </c>
      <c r="E103" s="25" t="s">
        <v>493</v>
      </c>
      <c r="F103" s="25" t="s">
        <v>494</v>
      </c>
      <c r="G103" s="24" t="s">
        <v>495</v>
      </c>
      <c r="H103" s="25" t="s">
        <v>494</v>
      </c>
      <c r="I103" s="25" t="s">
        <v>493</v>
      </c>
      <c r="J103" s="25" t="s">
        <v>494</v>
      </c>
      <c r="K103" s="25" t="s">
        <v>494</v>
      </c>
      <c r="L103" s="25" t="s">
        <v>493</v>
      </c>
      <c r="M103" s="25" t="s">
        <v>493</v>
      </c>
    </row>
    <row r="104" spans="1:14" x14ac:dyDescent="0.15">
      <c r="A104" s="40" t="s">
        <v>496</v>
      </c>
      <c r="C104" s="25" t="s">
        <v>497</v>
      </c>
      <c r="D104" s="25" t="s">
        <v>497</v>
      </c>
      <c r="E104" s="25" t="s">
        <v>497</v>
      </c>
      <c r="F104" s="25" t="s">
        <v>494</v>
      </c>
      <c r="G104" s="25" t="s">
        <v>498</v>
      </c>
      <c r="H104" s="25" t="s">
        <v>498</v>
      </c>
      <c r="I104" s="25" t="s">
        <v>493</v>
      </c>
      <c r="J104" s="25" t="s">
        <v>494</v>
      </c>
      <c r="K104" s="25" t="s">
        <v>494</v>
      </c>
      <c r="L104" s="25" t="s">
        <v>493</v>
      </c>
      <c r="M104" s="25" t="s">
        <v>497</v>
      </c>
    </row>
    <row r="105" spans="1:14" x14ac:dyDescent="0.15">
      <c r="A105" s="40" t="s">
        <v>499</v>
      </c>
      <c r="C105" s="25" t="s">
        <v>493</v>
      </c>
      <c r="D105" s="37" t="s">
        <v>493</v>
      </c>
      <c r="E105" s="37" t="s">
        <v>493</v>
      </c>
      <c r="F105" s="37" t="s">
        <v>494</v>
      </c>
      <c r="G105" s="37" t="s">
        <v>493</v>
      </c>
      <c r="H105" s="37" t="s">
        <v>493</v>
      </c>
      <c r="I105" s="40" t="s">
        <v>493</v>
      </c>
      <c r="J105" s="40" t="s">
        <v>494</v>
      </c>
      <c r="K105" s="40" t="s">
        <v>494</v>
      </c>
      <c r="L105" s="40" t="s">
        <v>493</v>
      </c>
      <c r="M105" s="37" t="s">
        <v>500</v>
      </c>
    </row>
    <row r="106" spans="1:14" x14ac:dyDescent="0.15">
      <c r="A106" s="40" t="s">
        <v>501</v>
      </c>
      <c r="C106" s="25" t="s">
        <v>502</v>
      </c>
      <c r="D106" s="24" t="s">
        <v>503</v>
      </c>
      <c r="E106" s="24" t="s">
        <v>504</v>
      </c>
      <c r="F106" s="24" t="s">
        <v>494</v>
      </c>
      <c r="G106" s="24" t="s">
        <v>493</v>
      </c>
      <c r="H106" s="24" t="s">
        <v>505</v>
      </c>
      <c r="I106" s="24" t="s">
        <v>506</v>
      </c>
      <c r="J106" s="24" t="s">
        <v>507</v>
      </c>
      <c r="K106" s="24" t="s">
        <v>508</v>
      </c>
      <c r="L106" s="24" t="s">
        <v>509</v>
      </c>
      <c r="M106" s="24" t="s">
        <v>510</v>
      </c>
    </row>
    <row r="107" spans="1:14" x14ac:dyDescent="0.15">
      <c r="A107" s="40" t="s">
        <v>511</v>
      </c>
      <c r="C107" s="25" t="s">
        <v>512</v>
      </c>
      <c r="D107" s="25" t="s">
        <v>500</v>
      </c>
      <c r="E107" s="25" t="s">
        <v>500</v>
      </c>
      <c r="F107" s="25" t="s">
        <v>494</v>
      </c>
      <c r="G107" s="25" t="s">
        <v>493</v>
      </c>
      <c r="H107" s="25" t="s">
        <v>500</v>
      </c>
      <c r="I107" s="25" t="s">
        <v>493</v>
      </c>
      <c r="J107" s="25" t="s">
        <v>494</v>
      </c>
      <c r="K107" s="25" t="s">
        <v>494</v>
      </c>
      <c r="L107" s="25" t="s">
        <v>493</v>
      </c>
      <c r="M107" s="25" t="s">
        <v>494</v>
      </c>
    </row>
    <row r="108" spans="1:14" x14ac:dyDescent="0.1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</row>
  </sheetData>
  <sheetProtection algorithmName="SHA-512" hashValue="45qyY+/E/9VXoR8vYyVeSbAh7z4UggdCFBqEi98FEIeCKhiOlctMk7guUiZ8JPpVDBgP4O5kMrSBpgOz06rS8g==" saltValue="gol1nW0HtVGDJNXlVBQwGQ==" spinCount="100000" sheet="1" objects="1" scenarios="1"/>
  <phoneticPr fontId="20" type="noConversion"/>
  <pageMargins left="0.75" right="0.75" top="1" bottom="1" header="0.5" footer="0.5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P108"/>
  <sheetViews>
    <sheetView zoomScaleNormal="100" zoomScalePageLayoutView="173" workbookViewId="0">
      <selection activeCell="H5" sqref="H5"/>
    </sheetView>
  </sheetViews>
  <sheetFormatPr baseColWidth="10" defaultColWidth="10.83203125" defaultRowHeight="13" x14ac:dyDescent="0.15"/>
  <cols>
    <col min="1" max="1" width="26.1640625" style="40" customWidth="1"/>
    <col min="2" max="2" width="3.1640625" style="40" customWidth="1"/>
    <col min="3" max="10" width="11.6640625" style="40" customWidth="1"/>
    <col min="11" max="15" width="13.33203125" style="40" customWidth="1"/>
    <col min="16" max="16" width="15" style="40" customWidth="1"/>
    <col min="17" max="16384" width="10.83203125" style="40"/>
  </cols>
  <sheetData>
    <row r="1" spans="1:16" x14ac:dyDescent="0.15">
      <c r="A1" s="48" t="s">
        <v>586</v>
      </c>
    </row>
    <row r="2" spans="1:16" x14ac:dyDescent="0.15">
      <c r="A2" s="135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</row>
    <row r="3" spans="1:16" x14ac:dyDescent="0.15">
      <c r="A3" s="52" t="s">
        <v>513</v>
      </c>
      <c r="D3" s="137"/>
      <c r="E3" s="137"/>
      <c r="F3" s="137"/>
    </row>
    <row r="4" spans="1:16" x14ac:dyDescent="0.15">
      <c r="D4" s="137"/>
      <c r="E4" s="137"/>
      <c r="F4" s="137"/>
    </row>
    <row r="5" spans="1:16" x14ac:dyDescent="0.15">
      <c r="A5" s="53" t="s">
        <v>588</v>
      </c>
      <c r="B5" s="53"/>
      <c r="E5" s="53" t="s">
        <v>1394</v>
      </c>
      <c r="H5" s="66">
        <v>63000</v>
      </c>
    </row>
    <row r="6" spans="1:16" x14ac:dyDescent="0.15">
      <c r="E6" s="54" t="s">
        <v>589</v>
      </c>
    </row>
    <row r="7" spans="1:16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</row>
    <row r="8" spans="1:16" x14ac:dyDescent="0.15">
      <c r="O8" s="23"/>
      <c r="P8" s="58"/>
    </row>
    <row r="9" spans="1:16" x14ac:dyDescent="0.15">
      <c r="A9" s="53" t="s">
        <v>1074</v>
      </c>
      <c r="C9" s="23" t="s">
        <v>1044</v>
      </c>
      <c r="D9" s="23" t="s">
        <v>591</v>
      </c>
      <c r="E9" s="23" t="s">
        <v>592</v>
      </c>
      <c r="F9" s="23" t="s">
        <v>614</v>
      </c>
      <c r="G9" s="23" t="s">
        <v>594</v>
      </c>
      <c r="H9" s="23" t="s">
        <v>595</v>
      </c>
      <c r="I9" s="23" t="s">
        <v>596</v>
      </c>
      <c r="J9" s="23" t="s">
        <v>486</v>
      </c>
      <c r="K9" s="23" t="s">
        <v>487</v>
      </c>
      <c r="L9" s="23" t="s">
        <v>599</v>
      </c>
      <c r="M9" s="23" t="s">
        <v>600</v>
      </c>
      <c r="N9" s="57" t="s">
        <v>601</v>
      </c>
    </row>
    <row r="10" spans="1:16" x14ac:dyDescent="0.15">
      <c r="A10" s="40" t="s">
        <v>602</v>
      </c>
      <c r="C10" s="59">
        <f>IF($H5*'Jul''15 Multi'!E7/'Jul''15 Multi'!E8&gt;='Jul''15 Multi'!E11,('Jul''15 Multi'!E11*'Jul''15 Multi'!E15/100*1.1)*'Jul''15 Multi'!E8,($H5*'Jul''15 Multi'!E7/'Jul''15 Multi'!E8*'Jul''15 Multi'!E15/100*1.1)*'Jul''15 Multi'!E8)</f>
        <v>196.51499999999999</v>
      </c>
      <c r="D10" s="59">
        <f>IF($H5*'Jul''15 Multi'!F7/'Jul''15 Multi'!F8&gt;='Jul''15 Multi'!F11,('Jul''15 Multi'!F11*'Jul''15 Multi'!F15/100*1.1)*'Jul''15 Multi'!F8,($H5*'Jul''15 Multi'!F7/'Jul''15 Multi'!F8*'Jul''15 Multi'!F15/100*1.1)*'Jul''15 Multi'!F8)</f>
        <v>380.35800000000006</v>
      </c>
      <c r="E10" s="59">
        <f>IF($H5*'Jul''15 Multi'!G7/'Jul''15 Multi'!G8&gt;='Jul''15 Multi'!G11,('Jul''15 Multi'!G11*'Jul''15 Multi'!G15/100*1.1)*'Jul''15 Multi'!G8,($H5*'Jul''15 Multi'!G7/'Jul''15 Multi'!G8*'Jul''15 Multi'!G15/100*1.1)*'Jul''15 Multi'!G8)</f>
        <v>195.03000000000003</v>
      </c>
      <c r="F10" s="59">
        <f>IF($H5*'Jul''15 Multi'!H7/'Jul''15 Multi'!H8&gt;='Jul''15 Multi'!H11,('Jul''15 Multi'!H11*'Jul''15 Multi'!H15/100*1.1)*'Jul''15 Multi'!H8,($H5*'Jul''15 Multi'!H7/'Jul''15 Multi'!H8*'Jul''15 Multi'!H15/100*1.1)*'Jul''15 Multi'!H8)</f>
        <v>147.80700000000002</v>
      </c>
      <c r="G10" s="59">
        <f>IF($H5*'Jul''15 Multi'!I7/'Jul''15 Multi'!I8&gt;='Jul''15 Multi'!I11,('Jul''15 Multi'!I11*'Jul''15 Multi'!I15/100*1.1)*'Jul''15 Multi'!I8,($H5*'Jul''15 Multi'!I7/'Jul''15 Multi'!I8*'Jul''15 Multi'!I15/100*1.1)*'Jul''15 Multi'!I8)</f>
        <v>386.1</v>
      </c>
      <c r="H10" s="59">
        <f>IF($H5*'Jul''15 Multi'!J7/'Jul''15 Multi'!J8&gt;='Jul''15 Multi'!J11,('Jul''15 Multi'!J11*'Jul''15 Multi'!J15/100*1.1)*'Jul''15 Multi'!J8,($H5*'Jul''15 Multi'!J7/'Jul''15 Multi'!J8*'Jul''15 Multi'!J15/100*1.1)*'Jul''15 Multi'!J8)</f>
        <v>355.01400000000001</v>
      </c>
      <c r="I10" s="59">
        <f>IF($H5*'Jul''15 Multi'!K7/'Jul''15 Multi'!K8&gt;='Jul''15 Multi'!K11,('Jul''15 Multi'!K11*'Jul''15 Multi'!K15/100*1.1)*'Jul''15 Multi'!K8,($H5*'Jul''15 Multi'!K7/'Jul''15 Multi'!K8*'Jul''15 Multi'!K15/100*1.1)*'Jul''15 Multi'!K8)</f>
        <v>366.3</v>
      </c>
      <c r="J10" s="59">
        <f>IF($H5*'Jul''15 Multi'!L7/'Jul''15 Multi'!L8&gt;='Jul''15 Multi'!L11,('Jul''15 Multi'!L11*'Jul''15 Multi'!L15/100*1.1)*'Jul''15 Multi'!L8,($H5*'Jul''15 Multi'!L7/'Jul''15 Multi'!L8*'Jul''15 Multi'!L15/100*1.1)*'Jul''15 Multi'!L8)</f>
        <v>191.07000000000005</v>
      </c>
      <c r="K10" s="59">
        <f>IF($H5*'Jul''15 Multi'!M7/'Jul''15 Multi'!M8&gt;='Jul''15 Multi'!M11,('Jul''15 Multi'!M11*'Jul''15 Multi'!M15/100*1.1)*'Jul''15 Multi'!M8,($H5*'Jul''15 Multi'!M7/'Jul''15 Multi'!M8*'Jul''15 Multi'!M15/100*1.1)*'Jul''15 Multi'!M8)</f>
        <v>356.40000000000003</v>
      </c>
      <c r="L10" s="59">
        <f>IF($H5*'Jul''15 Multi'!N7/'Jul''15 Multi'!N8&gt;='Jul''15 Multi'!N11,('Jul''15 Multi'!N11*'Jul''15 Multi'!N15/100*1.1)*'Jul''15 Multi'!N8,($H5*'Jul''15 Multi'!N7/'Jul''15 Multi'!N8*'Jul''15 Multi'!N15/100*1.1)*'Jul''15 Multi'!N8)</f>
        <v>204.83100000000002</v>
      </c>
      <c r="M10" s="59">
        <f>IF($H5*'Jul''15 Multi'!O7/'Jul''15 Multi'!O8&gt;='Jul''15 Multi'!O11,('Jul''15 Multi'!O11*'Jul''15 Multi'!O15/100*1.1)*'Jul''15 Multi'!O8,($H5*'Jul''15 Multi'!O7/'Jul''15 Multi'!O8*'Jul''15 Multi'!O15/100*1.1)*'Jul''15 Multi'!O8)</f>
        <v>190.08</v>
      </c>
      <c r="N10" s="63"/>
    </row>
    <row r="11" spans="1:16" x14ac:dyDescent="0.15">
      <c r="A11" s="40" t="s">
        <v>603</v>
      </c>
      <c r="C11" s="59">
        <f>IF($H5*'Jul''15 Multi'!E7/'Jul''15 Multi'!E8&lt;'Jul''15 Multi'!E11,0,IF($H5*'Jul''15 Multi'!E7/'Jul''15 Multi'!E8&lt;='Jul''15 Multi'!E12,($H5*'Jul''15 Multi'!E7/'Jul''15 Multi'!E8-'Jul''15 Multi'!E11)*('Jul''15 Multi'!E16/100*1.1)*'Jul''15 Multi'!E8,('Jul''15 Multi'!E12-'Jul''15 Multi'!E11)*('Jul''15 Multi'!E16/100*1.1)*'Jul''15 Multi'!E8))</f>
        <v>169.88400000000001</v>
      </c>
      <c r="D11" s="59">
        <f>IF($H5*'Jul''15 Multi'!F7/'Jul''15 Multi'!F8&lt;'Jul''15 Multi'!F11,0,IF($H5*'Jul''15 Multi'!F7/'Jul''15 Multi'!F8&lt;='Jul''15 Multi'!F12,($H5*'Jul''15 Multi'!F7/'Jul''15 Multi'!F8-'Jul''15 Multi'!F11)*('Jul''15 Multi'!F16/100*1.1)*'Jul''15 Multi'!F8,('Jul''15 Multi'!F12-'Jul''15 Multi'!F11)*('Jul''15 Multi'!F16/100*1.1)*'Jul''15 Multi'!F8))</f>
        <v>150.38100000000006</v>
      </c>
      <c r="E11" s="59">
        <f>IF($H5*'Jul''15 Multi'!G7/'Jul''15 Multi'!G8&lt;'Jul''15 Multi'!G11,0,IF($H5*'Jul''15 Multi'!G7/'Jul''15 Multi'!G8&lt;='Jul''15 Multi'!G12,($H5*'Jul''15 Multi'!G7/'Jul''15 Multi'!G8-'Jul''15 Multi'!G11)*('Jul''15 Multi'!G16/100*1.1)*'Jul''15 Multi'!G8,('Jul''15 Multi'!G12-'Jul''15 Multi'!G11)*('Jul''15 Multi'!G16/100*1.1)*'Jul''15 Multi'!G8))</f>
        <v>173.25000000000003</v>
      </c>
      <c r="F11" s="59">
        <f>IF($H5*'Jul''15 Multi'!H7/'Jul''15 Multi'!H8&lt;'Jul''15 Multi'!H11,0,IF($H5*'Jul''15 Multi'!H7/'Jul''15 Multi'!H8&lt;='Jul''15 Multi'!H12,($H5*'Jul''15 Multi'!H7/'Jul''15 Multi'!H8-'Jul''15 Multi'!H11)*('Jul''15 Multi'!H16/100*1.1)*'Jul''15 Multi'!H8,('Jul''15 Multi'!H12-'Jul''15 Multi'!H11)*('Jul''15 Multi'!H16/100*1.1)*'Jul''15 Multi'!H8))</f>
        <v>130.38299999999998</v>
      </c>
      <c r="G11" s="59">
        <f>IF($H5*'Jul''15 Multi'!I7/'Jul''15 Multi'!I8&lt;'Jul''15 Multi'!I11,0,IF($H5*'Jul''15 Multi'!I7/'Jul''15 Multi'!I8&lt;='Jul''15 Multi'!I12,($H5*'Jul''15 Multi'!I7/'Jul''15 Multi'!I8-'Jul''15 Multi'!I11)*('Jul''15 Multi'!I16/100*1.1)*'Jul''15 Multi'!I8,('Jul''15 Multi'!I12-'Jul''15 Multi'!I11)*('Jul''15 Multi'!I16/100*1.1)*'Jul''15 Multi'!I8))</f>
        <v>140.57999999999998</v>
      </c>
      <c r="H11" s="59">
        <f>IF($H5*'Jul''15 Multi'!J7/'Jul''15 Multi'!J8&lt;'Jul''15 Multi'!J11,0,IF($H5*'Jul''15 Multi'!J7/'Jul''15 Multi'!J8&lt;='Jul''15 Multi'!J12,($H5*'Jul''15 Multi'!J7/'Jul''15 Multi'!J8-'Jul''15 Multi'!J11)*('Jul''15 Multi'!J16/100*1.1)*'Jul''15 Multi'!J8,('Jul''15 Multi'!J12-'Jul''15 Multi'!J11)*('Jul''15 Multi'!J16/100*1.1)*'Jul''15 Multi'!J8))</f>
        <v>138.76830000000001</v>
      </c>
      <c r="I11" s="59">
        <f>IF($H5*'Jul''15 Multi'!K7/'Jul''15 Multi'!K8&lt;'Jul''15 Multi'!K11,0,IF($H5*'Jul''15 Multi'!K7/'Jul''15 Multi'!K8&lt;='Jul''15 Multi'!K12,($H5*'Jul''15 Multi'!K7/'Jul''15 Multi'!K8-'Jul''15 Multi'!K11)*('Jul''15 Multi'!K16/100*1.1)*'Jul''15 Multi'!K8,('Jul''15 Multi'!K12-'Jul''15 Multi'!K11)*('Jul''15 Multi'!K16/100*1.1)*'Jul''15 Multi'!K8))</f>
        <v>152.46</v>
      </c>
      <c r="J11" s="59">
        <f>IF($H5*'Jul''15 Multi'!L7/'Jul''15 Multi'!L8&lt;'Jul''15 Multi'!L11,0,IF($H5*'Jul''15 Multi'!L7/'Jul''15 Multi'!L8&lt;='Jul''15 Multi'!L12,($H5*'Jul''15 Multi'!L7/'Jul''15 Multi'!L8-'Jul''15 Multi'!L11)*('Jul''15 Multi'!L16/100*1.1)*'Jul''15 Multi'!L8,('Jul''15 Multi'!L12-'Jul''15 Multi'!L11)*('Jul''15 Multi'!L16/100*1.1)*'Jul''15 Multi'!L8))</f>
        <v>165.32999999999998</v>
      </c>
      <c r="K11" s="59">
        <f>IF($H5*'Jul''15 Multi'!M7/'Jul''15 Multi'!M8&lt;'Jul''15 Multi'!M11,0,IF($H5*'Jul''15 Multi'!M7/'Jul''15 Multi'!M8&lt;='Jul''15 Multi'!M12,($H5*'Jul''15 Multi'!M7/'Jul''15 Multi'!M8-'Jul''15 Multi'!M11)*('Jul''15 Multi'!M16/100*1.1)*'Jul''15 Multi'!M8,('Jul''15 Multi'!M12-'Jul''15 Multi'!M11)*('Jul''15 Multi'!M16/100*1.1)*'Jul''15 Multi'!M8))</f>
        <v>130.68</v>
      </c>
      <c r="L11" s="59">
        <f>IF($H5*'Jul''15 Multi'!N7/'Jul''15 Multi'!N8&lt;'Jul''15 Multi'!N11,0,IF($H5*'Jul''15 Multi'!N7/'Jul''15 Multi'!N8&lt;='Jul''15 Multi'!N12,($H5*'Jul''15 Multi'!N7/'Jul''15 Multi'!N8-'Jul''15 Multi'!N11)*('Jul''15 Multi'!N16/100*1.1)*'Jul''15 Multi'!N8,('Jul''15 Multi'!N12-'Jul''15 Multi'!N11)*('Jul''15 Multi'!N16/100*1.1)*'Jul''15 Multi'!N8))</f>
        <v>177.50700000000001</v>
      </c>
      <c r="M11" s="59">
        <f>IF($H5*'Jul''15 Multi'!O7/'Jul''15 Multi'!O8&lt;'Jul''15 Multi'!O11,0,IF($H5*'Jul''15 Multi'!O7/'Jul''15 Multi'!O8&lt;='Jul''15 Multi'!O12,($H5*'Jul''15 Multi'!O7/'Jul''15 Multi'!O8-'Jul''15 Multi'!O11)*('Jul''15 Multi'!O16/100*1.1)*'Jul''15 Multi'!O8,('Jul''15 Multi'!O12-'Jul''15 Multi'!O11)*('Jul''15 Multi'!O16/100*1.1)*'Jul''15 Multi'!O8))</f>
        <v>185.13000000000002</v>
      </c>
      <c r="N11" s="63"/>
    </row>
    <row r="12" spans="1:16" x14ac:dyDescent="0.15">
      <c r="A12" s="40" t="s">
        <v>604</v>
      </c>
      <c r="C12" s="59">
        <f>IF($H5*'Jul''15 Multi'!E7/'Jul''15 Multi'!E8&lt;'Jul''15 Multi'!E12,0,IF($H5*'Jul''15 Multi'!E7/'Jul''15 Multi'!E8&lt;='Jul''15 Multi'!E13,($H5*'Jul''15 Multi'!E7/'Jul''15 Multi'!E8-'Jul''15 Multi'!E12)*('Jul''15 Multi'!E17/100*1.1)*'Jul''15 Multi'!E8,('Jul''15 Multi'!E13-'Jul''15 Multi'!E12)*('Jul''15 Multi'!E17/100*1.1)*'Jul''15 Multi'!E8))</f>
        <v>133.74900000000002</v>
      </c>
      <c r="D12" s="59">
        <v>0</v>
      </c>
      <c r="E12" s="59">
        <f>IF($H5*'Jul''15 Multi'!G7/'Jul''15 Multi'!G8&lt;'Jul''15 Multi'!G12,0,IF($H5*'Jul''15 Multi'!G7/'Jul''15 Multi'!G8&lt;='Jul''15 Multi'!G13,($H5*'Jul''15 Multi'!G7/'Jul''15 Multi'!G8-'Jul''15 Multi'!G12)*('Jul''15 Multi'!G17/100*1.1)*'Jul''15 Multi'!G8,('Jul''15 Multi'!G13-'Jul''15 Multi'!G12)*('Jul''15 Multi'!G17/100*1.1)*'Jul''15 Multi'!G8))</f>
        <v>122.26500000000003</v>
      </c>
      <c r="F12" s="59">
        <f>IF($H5*'Jul''15 Multi'!H7/'Jul''15 Multi'!H8&lt;'Jul''15 Multi'!H12,0,IF($H5*'Jul''15 Multi'!H7/'Jul''15 Multi'!H8&lt;='Jul''15 Multi'!H13,($H5*'Jul''15 Multi'!H7/'Jul''15 Multi'!H8-'Jul''15 Multi'!H12)*('Jul''15 Multi'!H17/100*1.1)*'Jul''15 Multi'!H8,('Jul''15 Multi'!H13-'Jul''15 Multi'!H12)*('Jul''15 Multi'!H17/100*1.1)*'Jul''15 Multi'!H8))</f>
        <v>105.73200000000003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f>IF($H5*'Jul''15 Multi'!N7/'Jul''15 Multi'!N8&lt;'Jul''15 Multi'!N12,0,IF($H5*'Jul''15 Multi'!N7/'Jul''15 Multi'!N8&lt;='Jul''15 Multi'!N13,($H5*'Jul''15 Multi'!N7/'Jul''15 Multi'!N8-'Jul''15 Multi'!N12)*('Jul''15 Multi'!N17/100*1.1)*'Jul''15 Multi'!N8,('Jul''15 Multi'!N13-'Jul''15 Multi'!N12)*('Jul''15 Multi'!N17/100*1.1)*'Jul''15 Multi'!N8))</f>
        <v>144.34199999999998</v>
      </c>
      <c r="M12" s="59">
        <f>IF($H5*'Jul''15 Multi'!O7/'Jul''15 Multi'!O8&lt;'Jul''15 Multi'!O12,0,IF($H5*'Jul''15 Multi'!O7/'Jul''15 Multi'!O8&lt;='Jul''15 Multi'!O13,($H5*'Jul''15 Multi'!O7/'Jul''15 Multi'!O8-'Jul''15 Multi'!O12)*('Jul''15 Multi'!O17/100*1.1)*'Jul''15 Multi'!O8,('Jul''15 Multi'!O13-'Jul''15 Multi'!O12)*('Jul''15 Multi'!O17/100*1.1)*'Jul''15 Multi'!O8))</f>
        <v>131.67000000000002</v>
      </c>
      <c r="N12" s="63"/>
    </row>
    <row r="13" spans="1:16" x14ac:dyDescent="0.15">
      <c r="A13" s="40" t="s">
        <v>605</v>
      </c>
      <c r="C13" s="59">
        <f>IF($H5*'Jul''15 Multi'!E7/'Jul''15 Multi'!E8&lt;'Jul''15 Multi'!E13,0,IF($H5*'Jul''15 Multi'!E7/'Jul''15 Multi'!E8&lt;='Jul''15 Multi'!E14,($H5*'Jul''15 Multi'!E7/'Jul''15 Multi'!E8-'Jul''15 Multi'!E13)*('Jul''15 Multi'!E18/100*1.1)*'Jul''15 Multi'!E8,('Jul''15 Multi'!E14-'Jul''15 Multi'!E13)*('Jul''15 Multi'!E18/100*1.1)*'Jul''15 Multi'!E8))</f>
        <v>57.3705</v>
      </c>
      <c r="D13" s="59">
        <v>0</v>
      </c>
      <c r="E13" s="59">
        <f>IF($H5*'Jul''15 Multi'!G7/'Jul''15 Multi'!G8&lt;'Jul''15 Multi'!G13,0,IF($H5*'Jul''15 Multi'!G7/'Jul''15 Multi'!G8&lt;='Jul''15 Multi'!G14,($H5*'Jul''15 Multi'!G7/'Jul''15 Multi'!G8-'Jul''15 Multi'!G13)*('Jul''15 Multi'!G18/100*1.1)*'Jul''15 Multi'!G8,('Jul''15 Multi'!G14-'Jul''15 Multi'!G13)*('Jul''15 Multi'!G18/100*1.1)*'Jul''15 Multi'!G8))</f>
        <v>60.993900000000011</v>
      </c>
      <c r="F13" s="59">
        <f>IF($H5*'Jul''15 Multi'!H7/'Jul''15 Multi'!H8&lt;'Jul''15 Multi'!H13,0,IF($H5*'Jul''15 Multi'!H7/'Jul''15 Multi'!H8&lt;='Jul''15 Multi'!H14,($H5*'Jul''15 Multi'!H7/'Jul''15 Multi'!H8-'Jul''15 Multi'!H13)*('Jul''15 Multi'!H18/100*1.1)*'Jul''15 Multi'!H8,('Jul''15 Multi'!H14-'Jul''15 Multi'!H13)*('Jul''15 Multi'!H18/100*1.1)*'Jul''15 Multi'!H8))</f>
        <v>46.332000000000008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f>IF($H5*'Jul''15 Multi'!N7/'Jul''15 Multi'!N8&lt;'Jul''15 Multi'!N13,0,IF($H5*'Jul''15 Multi'!N7/'Jul''15 Multi'!N8&lt;='Jul''15 Multi'!N14,($H5*'Jul''15 Multi'!N7/'Jul''15 Multi'!N8-'Jul''15 Multi'!N13)*('Jul''15 Multi'!N18/100*1.1)*'Jul''15 Multi'!N8,('Jul''15 Multi'!N14-'Jul''15 Multi'!N13)*('Jul''15 Multi'!N18/100*1.1)*'Jul''15 Multi'!N8))</f>
        <v>63.409499999999994</v>
      </c>
      <c r="M13" s="59">
        <f>IF($H5*'Jul''15 Multi'!O7/'Jul''15 Multi'!O8&lt;'Jul''15 Multi'!O13,0,IF($H5*'Jul''15 Multi'!O7/'Jul''15 Multi'!O8&lt;='Jul''15 Multi'!O14,($H5*'Jul''15 Multi'!O7/'Jul''15 Multi'!O8-'Jul''15 Multi'!O13)*('Jul''15 Multi'!O18/100*1.1)*'Jul''15 Multi'!O8,('Jul''15 Multi'!O14-'Jul''15 Multi'!O13)*('Jul''15 Multi'!O18/100*1.1)*'Jul''15 Multi'!O8))</f>
        <v>50.490000000000016</v>
      </c>
      <c r="N13" s="63"/>
    </row>
    <row r="14" spans="1:16" x14ac:dyDescent="0.15">
      <c r="A14" s="40" t="s">
        <v>606</v>
      </c>
      <c r="C14" s="59">
        <f>IF(($H5*'Jul''15 Multi'!E7/'Jul''15 Multi'!E8&gt;'Jul''15 Multi'!E14),($H5*'Jul''15 Multi'!E7/'Jul''15 Multi'!E8-'Jul''15 Multi'!E14)*'Jul''15 Multi'!E19/100*1.1*'Jul''15 Multi'!E8,0)</f>
        <v>0</v>
      </c>
      <c r="D14" s="59">
        <f>IF(($H5*'Jul''15 Multi'!F7/'Jul''15 Multi'!F8&gt;'Jul''15 Multi'!F12),($H5*'Jul''15 Multi'!F7/'Jul''15 Multi'!F8-'Jul''15 Multi'!F12)*'Jul''15 Multi'!F19/100*1.1)*'Jul''15 Multi'!F8</f>
        <v>50.737499999999997</v>
      </c>
      <c r="E14" s="59">
        <f>IF(($H5*'Jul''15 Multi'!G7/'Jul''15 Multi'!G8&gt;'Jul''15 Multi'!G14),($H5*'Jul''15 Multi'!G7/'Jul''15 Multi'!G8-'Jul''15 Multi'!G14)*'Jul''15 Multi'!G19/100*1.1*'Jul''15 Multi'!G8,0)</f>
        <v>0</v>
      </c>
      <c r="F14" s="59">
        <f>IF(($H5*'Jul''15 Multi'!H7/'Jul''15 Multi'!H8&gt;'Jul''15 Multi'!H14),($H5*'Jul''15 Multi'!H7/'Jul''15 Multi'!H8-'Jul''15 Multi'!H14)*'Jul''15 Multi'!H19/100*1.1*'Jul''15 Multi'!H8,0)</f>
        <v>0</v>
      </c>
      <c r="G14" s="59">
        <f>IF(($H5*'Jul''15 Multi'!I7/'Jul''15 Multi'!I8&gt;'Jul''15 Multi'!I12),($H5*'Jul''15 Multi'!I7/'Jul''15 Multi'!I8-'Jul''15 Multi'!I12)*'Jul''15 Multi'!I19/100*1.1)*'Jul''15 Multi'!I8</f>
        <v>48.015000000000008</v>
      </c>
      <c r="H14" s="59">
        <f>IF(($H5*'Jul''15 Multi'!J7/'Jul''15 Multi'!J8&gt;'Jul''15 Multi'!J12),($H5*'Jul''15 Multi'!J7/'Jul''15 Multi'!J8-'Jul''15 Multi'!J12)*'Jul''15 Multi'!J19/100*1.1)*'Jul''15 Multi'!J8</f>
        <v>60.914699999999996</v>
      </c>
      <c r="I14" s="59">
        <f>IF(($H5*'Jul''15 Multi'!K7/'Jul''15 Multi'!K8&gt;'Jul''15 Multi'!K12),($H5*'Jul''15 Multi'!K7/'Jul''15 Multi'!K8-'Jul''15 Multi'!K12)*'Jul''15 Multi'!K19/100*1.1)*'Jul''15 Multi'!K8</f>
        <v>55.935000000000002</v>
      </c>
      <c r="J14" s="59">
        <f>IF(($H5*'Jul''15 Multi'!L7/'Jul''15 Multi'!L8&gt;'Jul''15 Multi'!L12),($H5*'Jul''15 Multi'!L7/'Jul''15 Multi'!L8-'Jul''15 Multi'!L12)*'Jul''15 Multi'!L19/100*1.1)*'Jul''15 Multi'!L8</f>
        <v>200.47500000000002</v>
      </c>
      <c r="K14" s="59">
        <f>IF(($H5*'Jul''15 Multi'!M7/'Jul''15 Multi'!M8&gt;'Jul''15 Multi'!M12),($H5*'Jul''15 Multi'!M7/'Jul''15 Multi'!M8-'Jul''15 Multi'!M12)*'Jul''15 Multi'!M19/100*1.1)*'Jul''15 Multi'!M8</f>
        <v>50.984999999999999</v>
      </c>
      <c r="L14" s="59">
        <f>IF(($H5*'Jul''15 Multi'!N7/'Jul''15 Multi'!N8&gt;'Jul''15 Multi'!N14),($H5*'Jul''15 Multi'!N7/'Jul''15 Multi'!N8-'Jul''15 Multi'!N14)*'Jul''15 Multi'!N19/100*1.1*'Jul''15 Multi'!N8,0)</f>
        <v>0</v>
      </c>
      <c r="M14" s="59">
        <f>IF(($H5*'Jul''15 Multi'!O7/'Jul''15 Multi'!O8&gt;'Jul''15 Multi'!O14),($H5*'Jul''15 Multi'!O7/'Jul''15 Multi'!O8-'Jul''15 Multi'!O14)*'Jul''15 Multi'!O19/100*1.1*'Jul''15 Multi'!O8,0)</f>
        <v>0</v>
      </c>
      <c r="N14" s="63"/>
    </row>
    <row r="15" spans="1:16" x14ac:dyDescent="0.15">
      <c r="A15" s="40" t="s">
        <v>607</v>
      </c>
      <c r="C15" s="59">
        <f>IF($H5*'Jul''15 Multi'!E9/'Jul''15 Multi'!E10&gt;='Jul''15 Multi'!E11,('Jul''15 Multi'!E11*'Jul''15 Multi'!E20/100*1.1)*'Jul''15 Multi'!E10,($H5*'Jul''15 Multi'!E9/'Jul''15 Multi'!E10*'Jul''15 Multi'!E20/100*1.1)*'Jul''15 Multi'!E10)</f>
        <v>186.02100000000002</v>
      </c>
      <c r="D15" s="59">
        <f>IF($H5*'Jul''15 Multi'!F9/'Jul''15 Multi'!F10&gt;='Jul''15 Multi'!F11,('Jul''15 Multi'!F11*'Jul''15 Multi'!F20/100*1.1)*'Jul''15 Multi'!F10,($H5*'Jul''15 Multi'!F9/'Jul''15 Multi'!F10*'Jul''15 Multi'!F20/100*1.1)*'Jul''15 Multi'!F10)</f>
        <v>340.95600000000002</v>
      </c>
      <c r="E15" s="59">
        <f>IF($H5*'Jul''15 Multi'!G9/'Jul''15 Multi'!G10&gt;='Jul''15 Multi'!G11,('Jul''15 Multi'!G11*'Jul''15 Multi'!G20/100*1.1)*'Jul''15 Multi'!G10,($H5*'Jul''15 Multi'!G9/'Jul''15 Multi'!G10*'Jul''15 Multi'!G20/100*1.1)*'Jul''15 Multi'!G10)</f>
        <v>184.14000000000001</v>
      </c>
      <c r="F15" s="59">
        <f>IF($H5*'Jul''15 Multi'!H9/'Jul''15 Multi'!H10&gt;='Jul''15 Multi'!H11,('Jul''15 Multi'!H11*'Jul''15 Multi'!H20/100*1.1)*'Jul''15 Multi'!H10,($H5*'Jul''15 Multi'!H9/'Jul''15 Multi'!H10*'Jul''15 Multi'!H20/100*1.1)*'Jul''15 Multi'!H10)</f>
        <v>133.94700000000003</v>
      </c>
      <c r="G15" s="59">
        <f>IF($H5*'Jul''15 Multi'!I9/'Jul''15 Multi'!I10&gt;='Jul''15 Multi'!I11,('Jul''15 Multi'!I11*'Jul''15 Multi'!I20/100*1.1)*'Jul''15 Multi'!I10,($H5*'Jul''15 Multi'!I9/'Jul''15 Multi'!I10*'Jul''15 Multi'!I20/100*1.1)*'Jul''15 Multi'!I10)</f>
        <v>358.38</v>
      </c>
      <c r="H15" s="59">
        <f>IF($H5*'Jul''15 Multi'!J9/'Jul''15 Multi'!J10&gt;='Jul''15 Multi'!J11,('Jul''15 Multi'!J11*'Jul''15 Multi'!J20/100*1.1)*'Jul''15 Multi'!J10,($H5*'Jul''15 Multi'!J9/'Jul''15 Multi'!J10*'Jul''15 Multi'!J20/100*1.1)*'Jul''15 Multi'!J10)</f>
        <v>334.34280000000001</v>
      </c>
      <c r="I15" s="59">
        <f>IF($H5*'Jul''15 Multi'!K9/'Jul''15 Multi'!K10&gt;='Jul''15 Multi'!K11,('Jul''15 Multi'!K11*'Jul''15 Multi'!K20/100*1.1)*'Jul''15 Multi'!K10,($H5*'Jul''15 Multi'!K9/'Jul''15 Multi'!K10*'Jul''15 Multi'!K20/100*1.1)*'Jul''15 Multi'!K10)</f>
        <v>342.54</v>
      </c>
      <c r="J15" s="59">
        <f>IF($H5*'Jul''15 Multi'!L9/'Jul''15 Multi'!L10&gt;='Jul''15 Multi'!L11,('Jul''15 Multi'!L11*'Jul''15 Multi'!L20/100*1.1)*'Jul''15 Multi'!L10,($H5*'Jul''15 Multi'!L9/'Jul''15 Multi'!L10*'Jul''15 Multi'!L20/100*1.1)*'Jul''15 Multi'!L10)</f>
        <v>185.13000000000002</v>
      </c>
      <c r="K15" s="59">
        <f>IF($H5*'Jul''15 Multi'!M9/'Jul''15 Multi'!M10&gt;='Jul''15 Multi'!M11,('Jul''15 Multi'!M11*'Jul''15 Multi'!M20/100*1.1)*'Jul''15 Multi'!M10,($H5*'Jul''15 Multi'!M9/'Jul''15 Multi'!M10*'Jul''15 Multi'!M20/100*1.1)*'Jul''15 Multi'!M10)</f>
        <v>346.50000000000006</v>
      </c>
      <c r="L15" s="59">
        <f>IF($H5*'Jul''15 Multi'!N9/'Jul''15 Multi'!N10&gt;='Jul''15 Multi'!N11,('Jul''15 Multi'!N11*'Jul''15 Multi'!N20/100*1.1)*'Jul''15 Multi'!N10,($H5*'Jul''15 Multi'!N9/'Jul''15 Multi'!N10*'Jul''15 Multi'!N20/100*1.1)*'Jul''15 Multi'!N10)</f>
        <v>190.476</v>
      </c>
      <c r="M15" s="59">
        <f>IF($H5*'Jul''15 Multi'!O9/'Jul''15 Multi'!O10&gt;='Jul''15 Multi'!O11,('Jul''15 Multi'!O11*'Jul''15 Multi'!O20/100*1.1)*'Jul''15 Multi'!O10,($H5*'Jul''15 Multi'!O9/'Jul''15 Multi'!O10*'Jul''15 Multi'!O20/100*1.1)*'Jul''15 Multi'!O10)</f>
        <v>171.27</v>
      </c>
      <c r="N15" s="63"/>
    </row>
    <row r="16" spans="1:16" x14ac:dyDescent="0.15">
      <c r="A16" s="40" t="s">
        <v>608</v>
      </c>
      <c r="C16" s="59">
        <f>IF($H5*'Jul''15 Multi'!E9/'Jul''15 Multi'!E10&lt;'Jul''15 Multi'!E11,0,IF($H5*'Jul''15 Multi'!E9/'Jul''15 Multi'!E10&lt;='Jul''15 Multi'!E12,($H5*'Jul''15 Multi'!E9/'Jul''15 Multi'!E10-'Jul''15 Multi'!E11)*('Jul''15 Multi'!E21/100*1.1)*'Jul''15 Multi'!E10,('Jul''15 Multi'!E12-'Jul''15 Multi'!E11)*('Jul''15 Multi'!E21/100*1.1)*'Jul''15 Multi'!E10))</f>
        <v>159.489</v>
      </c>
      <c r="D16" s="59">
        <f>IF($H5*'Jul''15 Multi'!F9/'Jul''15 Multi'!F10&lt;'Jul''15 Multi'!F11,0,IF($H5*'Jul''15 Multi'!F9/'Jul''15 Multi'!F10&lt;='Jul''15 Multi'!F12,($H5*'Jul''15 Multi'!F9/'Jul''15 Multi'!F10-'Jul''15 Multi'!F11)*('Jul''15 Multi'!F21/100*1.1)*'Jul''15 Multi'!F10,('Jul''15 Multi'!F12-'Jul''15 Multi'!F11)*('Jul''15 Multi'!F21/100*1.1)*'Jul''15 Multi'!F10))</f>
        <v>129.09600000000003</v>
      </c>
      <c r="E16" s="59">
        <f>IF($H5*'Jul''15 Multi'!G9/'Jul''15 Multi'!G10&lt;'Jul''15 Multi'!G11,0,IF($H5*'Jul''15 Multi'!G9/'Jul''15 Multi'!G10&lt;='Jul''15 Multi'!G12,($H5*'Jul''15 Multi'!G9/'Jul''15 Multi'!G10-'Jul''15 Multi'!G11)*('Jul''15 Multi'!G21/100*1.1)*'Jul''15 Multi'!G10,('Jul''15 Multi'!G12-'Jul''15 Multi'!G11)*('Jul''15 Multi'!G21/100*1.1)*'Jul''15 Multi'!G10))</f>
        <v>168.3</v>
      </c>
      <c r="F16" s="59">
        <f>IF($H5*'Jul''15 Multi'!H9/'Jul''15 Multi'!H10&lt;'Jul''15 Multi'!H11,0,IF($H5*'Jul''15 Multi'!H9/'Jul''15 Multi'!H10&lt;='Jul''15 Multi'!H12,($H5*'Jul''15 Multi'!H9/'Jul''15 Multi'!H10-'Jul''15 Multi'!H11)*('Jul''15 Multi'!H21/100*1.1)*'Jul''15 Multi'!H10,('Jul''15 Multi'!H12-'Jul''15 Multi'!H11)*('Jul''15 Multi'!H21/100*1.1)*'Jul''15 Multi'!H10))</f>
        <v>119.59200000000001</v>
      </c>
      <c r="G16" s="59">
        <f>IF($H5*'Jul''15 Multi'!I9/'Jul''15 Multi'!I10&lt;'Jul''15 Multi'!I11,0,IF($H5*'Jul''15 Multi'!I9/'Jul''15 Multi'!I10&lt;='Jul''15 Multi'!I12,($H5*'Jul''15 Multi'!I9/'Jul''15 Multi'!I10-'Jul''15 Multi'!I11)*('Jul''15 Multi'!I21/100*1.1)*'Jul''15 Multi'!I10,('Jul''15 Multi'!I12-'Jul''15 Multi'!I11)*('Jul''15 Multi'!I21/100*1.1)*'Jul''15 Multi'!I10))</f>
        <v>121.77000000000001</v>
      </c>
      <c r="H16" s="59">
        <f>IF($H5*'Jul''15 Multi'!J9/'Jul''15 Multi'!J10&lt;'Jul''15 Multi'!J11,0,IF($H5*'Jul''15 Multi'!J9/'Jul''15 Multi'!J10&lt;='Jul''15 Multi'!J12,($H5*'Jul''15 Multi'!J9/'Jul''15 Multi'!J10-'Jul''15 Multi'!J11)*('Jul''15 Multi'!J21/100*1.1)*'Jul''15 Multi'!J10,('Jul''15 Multi'!J12-'Jul''15 Multi'!J11)*('Jul''15 Multi'!J21/100*1.1)*'Jul''15 Multi'!J10))</f>
        <v>130.29390000000001</v>
      </c>
      <c r="I16" s="59">
        <f>IF($H5*'Jul''15 Multi'!K9/'Jul''15 Multi'!K10&lt;'Jul''15 Multi'!K11,0,IF($H5*'Jul''15 Multi'!K9/'Jul''15 Multi'!K10&lt;='Jul''15 Multi'!K12,($H5*'Jul''15 Multi'!K9/'Jul''15 Multi'!K10-'Jul''15 Multi'!K11)*('Jul''15 Multi'!K21/100*1.1)*'Jul''15 Multi'!K10,('Jul''15 Multi'!K12-'Jul''15 Multi'!K11)*('Jul''15 Multi'!K21/100*1.1)*'Jul''15 Multi'!K10))</f>
        <v>119.78999999999999</v>
      </c>
      <c r="J16" s="59">
        <f>IF($H5*'Jul''15 Multi'!L9/'Jul''15 Multi'!L10&lt;'Jul''15 Multi'!L11,0,IF($H5*'Jul''15 Multi'!L9/'Jul''15 Multi'!L10&lt;='Jul''15 Multi'!L12,($H5*'Jul''15 Multi'!L9/'Jul''15 Multi'!L10-'Jul''15 Multi'!L11)*('Jul''15 Multi'!L21/100*1.1)*'Jul''15 Multi'!L10,('Jul''15 Multi'!L12-'Jul''15 Multi'!L11)*('Jul''15 Multi'!L21/100*1.1)*'Jul''15 Multi'!L10))</f>
        <v>161.37</v>
      </c>
      <c r="K16" s="59">
        <f>IF($H5*'Jul''15 Multi'!M9/'Jul''15 Multi'!M10&lt;'Jul''15 Multi'!M11,0,IF($H5*'Jul''15 Multi'!M9/'Jul''15 Multi'!M10&lt;='Jul''15 Multi'!M12,($H5*'Jul''15 Multi'!M9/'Jul''15 Multi'!M10-'Jul''15 Multi'!M11)*('Jul''15 Multi'!M21/100*1.1)*'Jul''15 Multi'!M10,('Jul''15 Multi'!M12-'Jul''15 Multi'!M11)*('Jul''15 Multi'!M21/100*1.1)*'Jul''15 Multi'!M10))</f>
        <v>124.74</v>
      </c>
      <c r="L16" s="59">
        <f>IF($H5*'Jul''15 Multi'!N9/'Jul''15 Multi'!N10&lt;'Jul''15 Multi'!N11,0,IF($H5*'Jul''15 Multi'!N9/'Jul''15 Multi'!N10&lt;='Jul''15 Multi'!N12,($H5*'Jul''15 Multi'!N9/'Jul''15 Multi'!N10-'Jul''15 Multi'!N11)*('Jul''15 Multi'!N21/100*1.1)*'Jul''15 Multi'!N10,('Jul''15 Multi'!N12-'Jul''15 Multi'!N11)*('Jul''15 Multi'!N21/100*1.1)*'Jul''15 Multi'!N10))</f>
        <v>167.21100000000004</v>
      </c>
      <c r="M16" s="59">
        <f>IF($H5*'Jul''15 Multi'!O9/'Jul''15 Multi'!O10&lt;'Jul''15 Multi'!O11,0,IF($H5*'Jul''15 Multi'!O9/'Jul''15 Multi'!O10&lt;='Jul''15 Multi'!O12,($H5*'Jul''15 Multi'!O9/'Jul''15 Multi'!O10-'Jul''15 Multi'!O11)*('Jul''15 Multi'!O21/100*1.1)*'Jul''15 Multi'!O10,('Jul''15 Multi'!O12-'Jul''15 Multi'!O11)*('Jul''15 Multi'!O21/100*1.1)*'Jul''15 Multi'!O10))</f>
        <v>162.36000000000001</v>
      </c>
      <c r="N16" s="63"/>
    </row>
    <row r="17" spans="1:14" x14ac:dyDescent="0.15">
      <c r="A17" s="40" t="s">
        <v>609</v>
      </c>
      <c r="C17" s="59">
        <f>IF($H5*'Jul''15 Multi'!E9/'Jul''15 Multi'!E10&lt;'Jul''15 Multi'!E12,0,IF($H5*'Jul''15 Multi'!E9/'Jul''15 Multi'!E10&lt;='Jul''15 Multi'!E13,($H5*'Jul''15 Multi'!E9/'Jul''15 Multi'!E10-'Jul''15 Multi'!E12)*('Jul''15 Multi'!E22/100*1.1)*'Jul''15 Multi'!E10,('Jul''15 Multi'!E13-'Jul''15 Multi'!E12)*('Jul''15 Multi'!E22/100*1.1)*'Jul''15 Multi'!E10))</f>
        <v>129.49200000000002</v>
      </c>
      <c r="D17" s="59">
        <v>0</v>
      </c>
      <c r="E17" s="59">
        <f>IF($H5*'Jul''15 Multi'!G9/'Jul''15 Multi'!G10&lt;'Jul''15 Multi'!G12,0,IF($H5*'Jul''15 Multi'!G9/'Jul''15 Multi'!G10&lt;='Jul''15 Multi'!G13,($H5*'Jul''15 Multi'!G9/'Jul''15 Multi'!G10-'Jul''15 Multi'!G12)*('Jul''15 Multi'!G22/100*1.1)*'Jul''15 Multi'!G10,('Jul''15 Multi'!G13-'Jul''15 Multi'!G12)*('Jul''15 Multi'!G22/100*1.1)*'Jul''15 Multi'!G10))</f>
        <v>117.81</v>
      </c>
      <c r="F17" s="59">
        <f>IF($H5*'Jul''15 Multi'!H9/'Jul''15 Multi'!H10&lt;'Jul''15 Multi'!H12,0,IF($H5*'Jul''15 Multi'!H9/'Jul''15 Multi'!H10&lt;='Jul''15 Multi'!H13,($H5*'Jul''15 Multi'!H9/'Jul''15 Multi'!H10-'Jul''15 Multi'!H12)*('Jul''15 Multi'!H22/100*1.1)*'Jul''15 Multi'!H10,('Jul''15 Multi'!H13-'Jul''15 Multi'!H12)*('Jul''15 Multi'!H22/100*1.1)*'Jul''15 Multi'!H10))</f>
        <v>98.604000000000013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f>IF($H5*'Jul''15 Multi'!N9/'Jul''15 Multi'!N10&lt;'Jul''15 Multi'!N12,0,IF($H5*'Jul''15 Multi'!N9/'Jul''15 Multi'!N10&lt;='Jul''15 Multi'!N13,($H5*'Jul''15 Multi'!N9/'Jul''15 Multi'!N10-'Jul''15 Multi'!N12)*('Jul''15 Multi'!N22/100*1.1)*'Jul''15 Multi'!N10,('Jul''15 Multi'!N13-'Jul''15 Multi'!N12)*('Jul''15 Multi'!N22/100*1.1)*'Jul''15 Multi'!N10))</f>
        <v>138.99600000000001</v>
      </c>
      <c r="M17" s="59">
        <f>IF($H5*'Jul''15 Multi'!O9/'Jul''15 Multi'!O10&lt;'Jul''15 Multi'!O12,0,IF($H5*'Jul''15 Multi'!O9/'Jul''15 Multi'!O10&lt;='Jul''15 Multi'!O13,($H5*'Jul''15 Multi'!O9/'Jul''15 Multi'!O10-'Jul''15 Multi'!O12)*('Jul''15 Multi'!O22/100*1.1)*'Jul''15 Multi'!O10,('Jul''15 Multi'!O13-'Jul''15 Multi'!O12)*('Jul''15 Multi'!O22/100*1.1)*'Jul''15 Multi'!O10))</f>
        <v>123.75000000000003</v>
      </c>
      <c r="N17" s="63"/>
    </row>
    <row r="18" spans="1:14" x14ac:dyDescent="0.15">
      <c r="A18" s="40" t="s">
        <v>610</v>
      </c>
      <c r="C18" s="59">
        <f>IF($H5*'Jul''15 Multi'!E9/'Jul''15 Multi'!E10&lt;'Jul''15 Multi'!E13,0,IF($H5*'Jul''15 Multi'!E9/'Jul''15 Multi'!E10&lt;='Jul''15 Multi'!E14,($H5*'Jul''15 Multi'!E9/'Jul''15 Multi'!E10-'Jul''15 Multi'!E13)*('Jul''15 Multi'!E23/100*1.1)*'Jul''15 Multi'!E10,('Jul''15 Multi'!E14-'Jul''15 Multi'!E13)*('Jul''15 Multi'!E23/100*1.1)*'Jul''15 Multi'!E10))</f>
        <v>56.528999999999996</v>
      </c>
      <c r="D18" s="59">
        <v>0</v>
      </c>
      <c r="E18" s="59">
        <f>IF($H5*'Jul''15 Multi'!G9/'Jul''15 Multi'!G10&lt;'Jul''15 Multi'!G13,0,IF($H5*'Jul''15 Multi'!G9/'Jul''15 Multi'!G10&lt;='Jul''15 Multi'!G14,($H5*'Jul''15 Multi'!G9/'Jul''15 Multi'!G10-'Jul''15 Multi'!G13)*('Jul''15 Multi'!G23/100*1.1)*'Jul''15 Multi'!G10,('Jul''15 Multi'!G14-'Jul''15 Multi'!G13)*('Jul''15 Multi'!G23/100*1.1)*'Jul''15 Multi'!G10))</f>
        <v>56.751750000000008</v>
      </c>
      <c r="F18" s="59">
        <f>IF($H5*'Jul''15 Multi'!H9/'Jul''15 Multi'!H10&lt;'Jul''15 Multi'!H13,0,IF($H5*'Jul''15 Multi'!H9/'Jul''15 Multi'!H10&lt;='Jul''15 Multi'!H14,($H5*'Jul''15 Multi'!H9/'Jul''15 Multi'!H10-'Jul''15 Multi'!H13)*('Jul''15 Multi'!H23/100*1.1)*'Jul''15 Multi'!H10,('Jul''15 Multi'!H14-'Jul''15 Multi'!H13)*('Jul''15 Multi'!H23/100*1.1)*'Jul''15 Multi'!H10))</f>
        <v>43.75800000000001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f>IF($H5*'Jul''15 Multi'!N9/'Jul''15 Multi'!N10&lt;'Jul''15 Multi'!N13,0,IF($H5*'Jul''15 Multi'!N9/'Jul''15 Multi'!N10&lt;='Jul''15 Multi'!N14,($H5*'Jul''15 Multi'!N9/'Jul''15 Multi'!N10-'Jul''15 Multi'!N13)*('Jul''15 Multi'!N23/100*1.1)*'Jul''15 Multi'!N10,('Jul''15 Multi'!N14-'Jul''15 Multi'!N13)*('Jul''15 Multi'!N23/100*1.1)*'Jul''15 Multi'!N10))</f>
        <v>62.073000000000008</v>
      </c>
      <c r="M18" s="59">
        <f>IF($H5*'Jul''15 Multi'!O9/'Jul''15 Multi'!O10&lt;'Jul''15 Multi'!O13,0,IF($H5*'Jul''15 Multi'!O9/'Jul''15 Multi'!O10&lt;='Jul''15 Multi'!O14,($H5*'Jul''15 Multi'!O9/'Jul''15 Multi'!O10-'Jul''15 Multi'!O13)*('Jul''15 Multi'!O23/100*1.1)*'Jul''15 Multi'!O10,('Jul''15 Multi'!O14-'Jul''15 Multi'!O13)*('Jul''15 Multi'!O23/100*1.1)*'Jul''15 Multi'!O10))</f>
        <v>67.320000000000022</v>
      </c>
      <c r="N18" s="63"/>
    </row>
    <row r="19" spans="1:14" x14ac:dyDescent="0.15">
      <c r="A19" s="40" t="s">
        <v>611</v>
      </c>
      <c r="C19" s="59">
        <f>IF(($H5*'Jul''15 Multi'!E9/'Jul''15 Multi'!E10&gt;'Jul''15 Multi'!E14),($H5*'Jul''15 Multi'!E9/'Jul''15 Multi'!E10-'Jul''15 Multi'!E14)*'Jul''15 Multi'!E24/100*1.1*'Jul''15 Multi'!E10,0)</f>
        <v>0</v>
      </c>
      <c r="D19" s="59">
        <f>IF(($H5*'Jul''15 Multi'!F9/'Jul''15 Multi'!F10&gt;'Jul''15 Multi'!F12),($H5*'Jul''15 Multi'!F9/'Jul''15 Multi'!F10-'Jul''15 Multi'!F12)*'Jul''15 Multi'!F24/100*1.1)*'Jul''15 Multi'!F10</f>
        <v>47.124000000000002</v>
      </c>
      <c r="E19" s="59">
        <f>IF(($H5*'Jul''15 Multi'!G9/'Jul''15 Multi'!G10&gt;'Jul''15 Multi'!G14),($H5*'Jul''15 Multi'!G9/'Jul''15 Multi'!G10-'Jul''15 Multi'!G14)*'Jul''15 Multi'!G24/100*1.1*'Jul''15 Multi'!G10,0)</f>
        <v>0</v>
      </c>
      <c r="F19" s="59">
        <f>IF(($H5*'Jul''15 Multi'!H9/'Jul''15 Multi'!H10&gt;'Jul''15 Multi'!H14),($H5*'Jul''15 Multi'!H9/'Jul''15 Multi'!H10-'Jul''15 Multi'!H14)*'Jul''15 Multi'!H24/100*1.1*'Jul''15 Multi'!H10,0)</f>
        <v>0</v>
      </c>
      <c r="G19" s="59">
        <f>IF(($H5*'Jul''15 Multi'!I9/'Jul''15 Multi'!I10&gt;'Jul''15 Multi'!I12),($H5*'Jul''15 Multi'!I9/'Jul''15 Multi'!I10-'Jul''15 Multi'!I12)*'Jul''15 Multi'!I24/100*1.1)*'Jul''15 Multi'!I10</f>
        <v>45.540000000000006</v>
      </c>
      <c r="H19" s="59">
        <f>IF(($H5*'Jul''15 Multi'!J9/'Jul''15 Multi'!J10&gt;'Jul''15 Multi'!J12),($H5*'Jul''15 Multi'!J9/'Jul''15 Multi'!J10-'Jul''15 Multi'!J12)*'Jul''15 Multi'!J24/100*1.1)*'Jul''15 Multi'!J10</f>
        <v>57.801150000000007</v>
      </c>
      <c r="I19" s="59">
        <f>IF(($H5*'Jul''15 Multi'!K9/'Jul''15 Multi'!K10&gt;'Jul''15 Multi'!K12),($H5*'Jul''15 Multi'!K9/'Jul''15 Multi'!K10-'Jul''15 Multi'!K12)*'Jul''15 Multi'!K24/100*1.1)*'Jul''15 Multi'!K10</f>
        <v>52.965000000000003</v>
      </c>
      <c r="J19" s="59">
        <f>IF(($H5*'Jul''15 Multi'!L9/'Jul''15 Multi'!L10&gt;'Jul''15 Multi'!L12),($H5*'Jul''15 Multi'!L9/'Jul''15 Multi'!L10-'Jul''15 Multi'!L12)*'Jul''15 Multi'!L24/100*1.1)*'Jul''15 Multi'!L10</f>
        <v>198.99</v>
      </c>
      <c r="K19" s="59">
        <f>IF(($H5*'Jul''15 Multi'!M9/'Jul''15 Multi'!M10&gt;'Jul''15 Multi'!M12),($H5*'Jul''15 Multi'!M9/'Jul''15 Multi'!M10-'Jul''15 Multi'!M12)*'Jul''15 Multi'!M24/100*1.1)*'Jul''15 Multi'!M10</f>
        <v>47.52</v>
      </c>
      <c r="L19" s="59">
        <f>IF(($H5*'Jul''15 Multi'!N9/'Jul''15 Multi'!N10&gt;'Jul''15 Multi'!N14),($H5*'Jul''15 Multi'!N9/'Jul''15 Multi'!N10-'Jul''15 Multi'!N14)*'Jul''15 Multi'!N24/100*1.1*'Jul''15 Multi'!N10,0)</f>
        <v>0</v>
      </c>
      <c r="M19" s="59">
        <f>IF(($H5*'Jul''15 Multi'!O9/'Jul''15 Multi'!O10&gt;'Jul''15 Multi'!O14),($H5*'Jul''15 Multi'!O9/'Jul''15 Multi'!O10-'Jul''15 Multi'!O14)*'Jul''15 Multi'!O24/100*1.1*'Jul''15 Multi'!O10,0)</f>
        <v>0</v>
      </c>
      <c r="N19" s="63"/>
    </row>
    <row r="20" spans="1:14" x14ac:dyDescent="0.15">
      <c r="A20" s="40" t="s">
        <v>612</v>
      </c>
      <c r="C20" s="59">
        <f>365*'Jul''15 Multi'!E25/100*1.1</f>
        <v>263.06280000000004</v>
      </c>
      <c r="D20" s="59">
        <f>365*'Jul''15 Multi'!F25/100*1.1</f>
        <v>269.00500000000005</v>
      </c>
      <c r="E20" s="59">
        <f>365*'Jul''15 Multi'!G25/100*1.1</f>
        <v>279.64475000000004</v>
      </c>
      <c r="F20" s="59">
        <f>365*'Jul''15 Multi'!H25/100*1.1</f>
        <v>233.43209999999999</v>
      </c>
      <c r="G20" s="59">
        <f>365*'Jul''15 Multi'!I25/100*1.1</f>
        <v>264.58850000000007</v>
      </c>
      <c r="H20" s="59">
        <f>365*'Jul''15 Multi'!J25/100*1.1</f>
        <v>253.38665000000003</v>
      </c>
      <c r="I20" s="59">
        <f>365*'Jul''15 Multi'!K25/100*1.1</f>
        <v>248.93000000000004</v>
      </c>
      <c r="J20" s="59">
        <f>365*'Jul''15 Multi'!L25/100*1.1</f>
        <v>260.29245000000003</v>
      </c>
      <c r="K20" s="59">
        <f>365*'Jul''15 Multi'!M25/100*1.1</f>
        <v>212.75485000000006</v>
      </c>
      <c r="L20" s="59">
        <f>365*'Jul''15 Multi'!N25/100*1.1</f>
        <v>250.93750000000003</v>
      </c>
      <c r="M20" s="59">
        <f>365*'Jul''15 Multi'!O25/100*1.1</f>
        <v>269.00500000000005</v>
      </c>
      <c r="N20" s="60">
        <f>AVERAGE(C20:M20)</f>
        <v>255.00360000000009</v>
      </c>
    </row>
    <row r="21" spans="1:14" x14ac:dyDescent="0.15">
      <c r="A21" s="62" t="s">
        <v>613</v>
      </c>
      <c r="B21" s="63"/>
      <c r="C21" s="61">
        <f t="shared" ref="C21:L21" si="0">SUM(C10:C20)</f>
        <v>1352.1123000000002</v>
      </c>
      <c r="D21" s="61">
        <f t="shared" si="0"/>
        <v>1367.6575000000003</v>
      </c>
      <c r="E21" s="61">
        <f t="shared" si="0"/>
        <v>1358.1853999999998</v>
      </c>
      <c r="F21" s="61">
        <f>SUM(F10:F20)</f>
        <v>1059.5871000000002</v>
      </c>
      <c r="G21" s="61">
        <f>SUM(G10:G20)</f>
        <v>1364.9735000000001</v>
      </c>
      <c r="H21" s="61">
        <f t="shared" si="0"/>
        <v>1330.5214999999998</v>
      </c>
      <c r="I21" s="61">
        <f t="shared" si="0"/>
        <v>1338.9199999999998</v>
      </c>
      <c r="J21" s="61">
        <f t="shared" si="0"/>
        <v>1362.6574500000002</v>
      </c>
      <c r="K21" s="61">
        <f t="shared" si="0"/>
        <v>1269.5798500000001</v>
      </c>
      <c r="L21" s="61">
        <f t="shared" si="0"/>
        <v>1399.7830000000001</v>
      </c>
      <c r="M21" s="61">
        <f>SUM(M10:M20)</f>
        <v>1351.0750000000003</v>
      </c>
      <c r="N21" s="64">
        <f>AVERAGE(C21:M21)</f>
        <v>1323.1866</v>
      </c>
    </row>
    <row r="23" spans="1:14" x14ac:dyDescent="0.15">
      <c r="A23" s="53" t="s">
        <v>1076</v>
      </c>
      <c r="C23" s="23" t="s">
        <v>1044</v>
      </c>
      <c r="D23" s="23" t="s">
        <v>591</v>
      </c>
      <c r="E23" s="23" t="s">
        <v>592</v>
      </c>
      <c r="F23" s="23" t="s">
        <v>614</v>
      </c>
      <c r="G23" s="23" t="s">
        <v>615</v>
      </c>
      <c r="H23" s="23" t="s">
        <v>595</v>
      </c>
      <c r="I23" s="23" t="s">
        <v>596</v>
      </c>
      <c r="J23" s="23" t="s">
        <v>486</v>
      </c>
      <c r="K23" s="23" t="s">
        <v>487</v>
      </c>
      <c r="L23" s="23" t="s">
        <v>599</v>
      </c>
      <c r="M23" s="23" t="s">
        <v>600</v>
      </c>
      <c r="N23" s="57" t="s">
        <v>601</v>
      </c>
    </row>
    <row r="24" spans="1:14" x14ac:dyDescent="0.15">
      <c r="A24" s="40" t="s">
        <v>602</v>
      </c>
      <c r="C24" s="59">
        <f>IF($H5*'Jul''15 Multi'!E29/'Jul''15 Multi'!E30&gt;='Jul''15 Multi'!E33,('Jul''15 Multi'!E33*'Jul''15 Multi'!E37/100*1.1)*'Jul''15 Multi'!E30,($H5*'Jul''15 Multi'!E29/'Jul''15 Multi'!E30*'Jul''15 Multi'!E37/100*1.1)*'Jul''15 Multi'!E30)</f>
        <v>199.48500000000001</v>
      </c>
      <c r="D24" s="59">
        <f>IF($H5*'Jul''15 Multi'!F29/'Jul''15 Multi'!F30&gt;='Jul''15 Multi'!F33,('Jul''15 Multi'!F33*'Jul''15 Multi'!F37/100*1.1)*'Jul''15 Multi'!F30,('Bills Jul''15'!$H5*'Jul''15 Multi'!F29/'Jul''15 Multi'!F30*'Jul''15 Multi'!F37/100*1.1)*'Jul''15 Multi'!F30)</f>
        <v>223.83900000000006</v>
      </c>
      <c r="E24" s="59">
        <f>IF($H5*'Jul''15 Multi'!G29/'Jul''15 Multi'!G30&gt;='Jul''15 Multi'!G33,('Jul''15 Multi'!G33*'Jul''15 Multi'!G37/100*1.1)*'Jul''15 Multi'!G30,($H5*'Jul''15 Multi'!G29/'Jul''15 Multi'!G30*'Jul''15 Multi'!G37/100*1.1)*'Jul''15 Multi'!G30)</f>
        <v>190.45620000000002</v>
      </c>
      <c r="F24" s="59">
        <f>IF($H5*'Jul''15 Multi'!H29/'Jul''15 Multi'!H30&gt;='Jul''15 Multi'!H33,('Jul''15 Multi'!H33*'Jul''15 Multi'!H37/100*1.1)*'Jul''15 Multi'!H30,($H5*'Jul''15 Multi'!H29/'Jul''15 Multi'!H30*'Jul''15 Multi'!H37/100*1.1)*'Jul''15 Multi'!H30)</f>
        <v>147.80700000000002</v>
      </c>
      <c r="G24" s="59">
        <f>IF($H5*'Jul''15 Multi'!I29/'Jul''15 Multi'!I30&gt;='Jul''15 Multi'!I33,('Jul''15 Multi'!I33*'Jul''15 Multi'!I37/100*1.1)*'Jul''15 Multi'!I30,('Bills Jul''15'!$H5*'Jul''15 Multi'!I29/'Jul''15 Multi'!I30*'Jul''15 Multi'!I37/100*1.1)*'Jul''15 Multi'!I30)</f>
        <v>133.98000000000002</v>
      </c>
      <c r="H24" s="59">
        <f>IF($H5*'Jul''15 Multi'!J29/'Jul''15 Multi'!J30&gt;='Jul''15 Multi'!J33,('Jul''15 Multi'!J33*'Jul''15 Multi'!J37/100*1.1)*'Jul''15 Multi'!J30,('Bills Jul''15'!$H5*'Jul''15 Multi'!J29/'Jul''15 Multi'!J30*'Jul''15 Multi'!J37/100*1.1)*'Jul''15 Multi'!J30)</f>
        <v>207.19544999999999</v>
      </c>
      <c r="I24" s="59">
        <f>IF($H5*'Jul''15 Multi'!K29/'Jul''15 Multi'!K30&gt;='Jul''15 Multi'!K33,('Jul''15 Multi'!K33*'Jul''15 Multi'!K37/100*1.1)*'Jul''15 Multi'!K30,('Bills Jul''15'!$H5*'Jul''15 Multi'!K29/'Jul''15 Multi'!K30*'Jul''15 Multi'!K37/100*1.1)*'Jul''15 Multi'!K30)</f>
        <v>203.16450000000003</v>
      </c>
      <c r="J24" s="59">
        <f>IF($H5*'Jul''15 Multi'!L29/'Jul''15 Multi'!L30&gt;='Jul''15 Multi'!L33,('Jul''15 Multi'!L33*'Jul''15 Multi'!L37/100*1.1)*'Jul''15 Multi'!L30,('Bills Jul''15'!$H5*'Jul''15 Multi'!L29/'Jul''15 Multi'!L30*'Jul''15 Multi'!L37/100*1.1)*'Jul''15 Multi'!L30)</f>
        <v>198.99</v>
      </c>
      <c r="K24" s="59">
        <f>IF($H5*'Jul''15 Multi'!M29/'Jul''15 Multi'!M30&gt;='Jul''15 Multi'!M33,('Jul''15 Multi'!M33*'Jul''15 Multi'!M37/100*1.1)*'Jul''15 Multi'!M30,('Bills Jul''15'!$H5*'Jul''15 Multi'!M29/'Jul''15 Multi'!M30*'Jul''15 Multi'!M37/100*1.1)*'Jul''15 Multi'!M30)</f>
        <v>197.50500000000002</v>
      </c>
      <c r="L24" s="59">
        <f>IF($H5*'Jul''15 Multi'!N29/'Jul''15 Multi'!N30&gt;='Jul''15 Multi'!N33,('Jul''15 Multi'!N33*'Jul''15 Multi'!N37/100*1.1)*'Jul''15 Multi'!N30,($H5*'Jul''15 Multi'!N29/'Jul''15 Multi'!N30*'Jul''15 Multi'!N37/100*1.1)*'Jul''15 Multi'!N30)</f>
        <v>201.86100000000002</v>
      </c>
      <c r="M24" s="59">
        <f>IF($H5*'Jul''15 Multi'!O29/'Jul''15 Multi'!O30&gt;='Jul''15 Multi'!O33,('Jul''15 Multi'!O33*'Jul''15 Multi'!O37/100*1.1)*'Jul''15 Multi'!O30,($H5*'Jul''15 Multi'!O29/'Jul''15 Multi'!O30*'Jul''15 Multi'!O37/100*1.1)*'Jul''15 Multi'!O30)</f>
        <v>190.08</v>
      </c>
      <c r="N24" s="63"/>
    </row>
    <row r="25" spans="1:14" x14ac:dyDescent="0.15">
      <c r="A25" s="40" t="s">
        <v>603</v>
      </c>
      <c r="C25" s="59">
        <f>IF($H5*'Jul''15 Multi'!E29/'Jul''15 Multi'!E30&lt;'Jul''15 Multi'!E33,0,IF($H5*'Jul''15 Multi'!E29/'Jul''15 Multi'!E30&lt;='Jul''15 Multi'!E34,($H5*'Jul''15 Multi'!E29/'Jul''15 Multi'!E30-'Jul''15 Multi'!E33)*('Jul''15 Multi'!E38/100*1.1)*'Jul''15 Multi'!E30,('Jul''15 Multi'!E34-'Jul''15 Multi'!E33)*('Jul''15 Multi'!E38/100*1.1)*'Jul''15 Multi'!E30))</f>
        <v>173.745</v>
      </c>
      <c r="D25" s="59">
        <v>0</v>
      </c>
      <c r="E25" s="59">
        <f>IF($H5*'Jul''15 Multi'!G29/'Jul''15 Multi'!G30&lt;'Jul''15 Multi'!G33,0,IF($H5*'Jul''15 Multi'!G29/'Jul''15 Multi'!G30&lt;='Jul''15 Multi'!G34,($H5*'Jul''15 Multi'!G29/'Jul''15 Multi'!G30-'Jul''15 Multi'!G33)*('Jul''15 Multi'!G38/100*1.1)*'Jul''15 Multi'!G30,('Jul''15 Multi'!G34-'Jul''15 Multi'!G33)*('Jul''15 Multi'!G38/100*1.1)*'Jul''15 Multi'!G30))</f>
        <v>173.52720000000002</v>
      </c>
      <c r="F25" s="59">
        <f>IF($H5*'Jul''15 Multi'!H29/'Jul''15 Multi'!H30&lt;'Jul''15 Multi'!H33,0,IF($H5*'Jul''15 Multi'!H29/'Jul''15 Multi'!H30&lt;='Jul''15 Multi'!H34,($H5*'Jul''15 Multi'!H29/'Jul''15 Multi'!H30-'Jul''15 Multi'!H33)*('Jul''15 Multi'!H38/100*1.1)*'Jul''15 Multi'!H30,('Jul''15 Multi'!H34-'Jul''15 Multi'!H33)*('Jul''15 Multi'!H38/100*1.1)*'Jul''15 Multi'!H30))</f>
        <v>130.38299999999998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f>IF($H5*'Jul''15 Multi'!N29/'Jul''15 Multi'!N30&lt;'Jul''15 Multi'!N33,0,IF($H5*'Jul''15 Multi'!N29/'Jul''15 Multi'!N30&lt;='Jul''15 Multi'!N34,($H5*'Jul''15 Multi'!N29/'Jul''15 Multi'!N30-'Jul''15 Multi'!N33)*('Jul''15 Multi'!N38/100*1.1)*'Jul''15 Multi'!N30,('Jul''15 Multi'!N34-'Jul''15 Multi'!N33)*('Jul''15 Multi'!N38/100*1.1)*'Jul''15 Multi'!N30))</f>
        <v>174.93299999999999</v>
      </c>
      <c r="M25" s="59">
        <f>IF($H5*'Jul''15 Multi'!O29/'Jul''15 Multi'!O30&lt;'Jul''15 Multi'!O33,0,IF($H5*'Jul''15 Multi'!O29/'Jul''15 Multi'!O30&lt;='Jul''15 Multi'!O34,($H5*'Jul''15 Multi'!O29/'Jul''15 Multi'!O30-'Jul''15 Multi'!O33)*('Jul''15 Multi'!O38/100*1.1)*'Jul''15 Multi'!O30,('Jul''15 Multi'!O34-'Jul''15 Multi'!O33)*('Jul''15 Multi'!O38/100*1.1)*'Jul''15 Multi'!O30))</f>
        <v>185.13000000000002</v>
      </c>
      <c r="N25" s="63"/>
    </row>
    <row r="26" spans="1:14" x14ac:dyDescent="0.15">
      <c r="A26" s="40" t="s">
        <v>604</v>
      </c>
      <c r="C26" s="59">
        <f>IF($H5*'Jul''15 Multi'!E29/'Jul''15 Multi'!E30&lt;'Jul''15 Multi'!E34,0,IF($H5*'Jul''15 Multi'!E29/'Jul''15 Multi'!E30&lt;='Jul''15 Multi'!E35,($H5*'Jul''15 Multi'!E29/'Jul''15 Multi'!E30-'Jul''15 Multi'!E34)*('Jul''15 Multi'!E39/100*1.1)*'Jul''15 Multi'!E30,('Jul''15 Multi'!E35-'Jul''15 Multi'!E34)*('Jul''15 Multi'!E39/100*1.1)*'Jul''15 Multi'!E30))</f>
        <v>142.65900000000002</v>
      </c>
      <c r="D26" s="59">
        <v>0</v>
      </c>
      <c r="E26" s="59">
        <f>IF($H5*'Jul''15 Multi'!G29/'Jul''15 Multi'!G30&lt;'Jul''15 Multi'!G34,0,IF($H5*'Jul''15 Multi'!G29/'Jul''15 Multi'!G30&lt;='Jul''15 Multi'!G35,($H5*'Jul''15 Multi'!G29/'Jul''15 Multi'!G30-'Jul''15 Multi'!G34)*('Jul''15 Multi'!G39/100*1.1)*'Jul''15 Multi'!G30,('Jul''15 Multi'!G35-'Jul''15 Multi'!G34)*('Jul''15 Multi'!G39/100*1.1)*'Jul''15 Multi'!G30))</f>
        <v>147.69810000000001</v>
      </c>
      <c r="F26" s="59">
        <f>IF($H5*'Jul''15 Multi'!H29/'Jul''15 Multi'!H30&lt;'Jul''15 Multi'!H34,0,IF($H5*'Jul''15 Multi'!H29/'Jul''15 Multi'!H30&lt;='Jul''15 Multi'!H35,($H5*'Jul''15 Multi'!H29/'Jul''15 Multi'!H30-'Jul''15 Multi'!H34)*('Jul''15 Multi'!H39/100*1.1)*'Jul''15 Multi'!H30,('Jul''15 Multi'!H35-'Jul''15 Multi'!H34)*('Jul''15 Multi'!H39/100*1.1)*'Jul''15 Multi'!H30))</f>
        <v>105.73200000000003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f>IF($H5*'Jul''15 Multi'!N29/'Jul''15 Multi'!N30&lt;'Jul''15 Multi'!N34,0,IF($H5*'Jul''15 Multi'!N29/'Jul''15 Multi'!N30&lt;='Jul''15 Multi'!N35,($H5*'Jul''15 Multi'!N29/'Jul''15 Multi'!N30-'Jul''15 Multi'!N34)*('Jul''15 Multi'!N39/100*1.1)*'Jul''15 Multi'!N30,('Jul''15 Multi'!N35-'Jul''15 Multi'!N34)*('Jul''15 Multi'!N39/100*1.1)*'Jul''15 Multi'!N30))</f>
        <v>142.26300000000003</v>
      </c>
      <c r="M26" s="59">
        <f>IF($H5*'Jul''15 Multi'!O29/'Jul''15 Multi'!O30&lt;'Jul''15 Multi'!O34,0,IF($H5*'Jul''15 Multi'!O29/'Jul''15 Multi'!O30&lt;='Jul''15 Multi'!O35,($H5*'Jul''15 Multi'!O29/'Jul''15 Multi'!O30-'Jul''15 Multi'!O34)*('Jul''15 Multi'!O39/100*1.1)*'Jul''15 Multi'!O30,('Jul''15 Multi'!O35-'Jul''15 Multi'!O34)*('Jul''15 Multi'!O39/100*1.1)*'Jul''15 Multi'!O30))</f>
        <v>131.67000000000002</v>
      </c>
      <c r="N26" s="63"/>
    </row>
    <row r="27" spans="1:14" x14ac:dyDescent="0.15">
      <c r="A27" s="40" t="s">
        <v>605</v>
      </c>
      <c r="C27" s="59">
        <f>IF($H5*'Jul''15 Multi'!E29/'Jul''15 Multi'!E30&lt;'Jul''15 Multi'!E35,0,IF($H5*'Jul''15 Multi'!E29/'Jul''15 Multi'!E30&lt;='Jul''15 Multi'!E36,($H5*'Jul''15 Multi'!E29/'Jul''15 Multi'!E30-'Jul''15 Multi'!E35)*('Jul''15 Multi'!E40/100*1.1)*'Jul''15 Multi'!E30,('Jul''15 Multi'!E36-'Jul''15 Multi'!E35)*('Jul''15 Multi'!E40/100*1.1)*'Jul''15 Multi'!E30))</f>
        <v>65.14200000000001</v>
      </c>
      <c r="D27" s="59">
        <v>0</v>
      </c>
      <c r="E27" s="59">
        <f>IF($H5*'Jul''15 Multi'!G29/'Jul''15 Multi'!G30&lt;'Jul''15 Multi'!G35,0,IF($H5*'Jul''15 Multi'!G29/'Jul''15 Multi'!G30&lt;='Jul''15 Multi'!G36,($H5*'Jul''15 Multi'!G29/'Jul''15 Multi'!G30-'Jul''15 Multi'!G35)*('Jul''15 Multi'!G40/100*1.1)*'Jul''15 Multi'!G30,('Jul''15 Multi'!G36-'Jul''15 Multi'!G35)*('Jul''15 Multi'!G40/100*1.1)*'Jul''15 Multi'!G30))</f>
        <v>66.656700000000015</v>
      </c>
      <c r="F27" s="59">
        <f>IF($H5*'Jul''15 Multi'!H29/'Jul''15 Multi'!H30&lt;'Jul''15 Multi'!H35,0,IF($H5*'Jul''15 Multi'!H29/'Jul''15 Multi'!H30&lt;='Jul''15 Multi'!H36,($H5*'Jul''15 Multi'!H29/'Jul''15 Multi'!H30-'Jul''15 Multi'!H35)*('Jul''15 Multi'!H40/100*1.1)*'Jul''15 Multi'!H30,('Jul''15 Multi'!H36-'Jul''15 Multi'!H35)*('Jul''15 Multi'!H40/100*1.1)*'Jul''15 Multi'!H30))</f>
        <v>46.332000000000008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f>IF($H5*'Jul''15 Multi'!N29/'Jul''15 Multi'!N30&lt;'Jul''15 Multi'!N35,0,IF($H5*'Jul''15 Multi'!N29/'Jul''15 Multi'!N30&lt;='Jul''15 Multi'!N36,($H5*'Jul''15 Multi'!N29/'Jul''15 Multi'!N30-'Jul''15 Multi'!N35)*('Jul''15 Multi'!N40/100*1.1)*'Jul''15 Multi'!N30,('Jul''15 Multi'!N36-'Jul''15 Multi'!N35)*('Jul''15 Multi'!N40/100*1.1)*'Jul''15 Multi'!N30))</f>
        <v>62.469000000000001</v>
      </c>
      <c r="M27" s="59">
        <f>IF($H5*'Jul''15 Multi'!O29/'Jul''15 Multi'!O30&lt;'Jul''15 Multi'!O35,0,IF($H5*'Jul''15 Multi'!O29/'Jul''15 Multi'!O30&lt;='Jul''15 Multi'!O36,($H5*'Jul''15 Multi'!O29/'Jul''15 Multi'!O30-'Jul''15 Multi'!O35)*('Jul''15 Multi'!O40/100*1.1)*'Jul''15 Multi'!O30,('Jul''15 Multi'!O36-'Jul''15 Multi'!O35)*('Jul''15 Multi'!O40/100*1.1)*'Jul''15 Multi'!O30))</f>
        <v>50.490000000000016</v>
      </c>
      <c r="N27" s="63"/>
    </row>
    <row r="28" spans="1:14" x14ac:dyDescent="0.15">
      <c r="A28" s="40" t="s">
        <v>606</v>
      </c>
      <c r="C28" s="59">
        <f>IF(($H5*'Jul''15 Multi'!E29/'Jul''15 Multi'!E30&gt;'Jul''15 Multi'!E36),($H5*'Jul''15 Multi'!E29/'Jul''15 Multi'!E30-'Jul''15 Multi'!E36)*'Jul''15 Multi'!E41/100*1.1*'Jul''15 Multi'!E30,0)</f>
        <v>0</v>
      </c>
      <c r="D28" s="59">
        <f>IF(($H5*'Jul''15 Multi'!F29/'Jul''15 Multi'!F30&gt;'Jul''15 Multi'!F33),('Bills Jul''15'!$H5*'Jul''15 Multi'!F29/'Jul''15 Multi'!F30-'Jul''15 Multi'!F33)*'Jul''15 Multi'!F41/100*1.1)*'Jul''15 Multi'!F30</f>
        <v>341.41800000000001</v>
      </c>
      <c r="E28" s="59">
        <f>IF(($H5*'Jul''15 Multi'!G29/'Jul''15 Multi'!G30&gt;'Jul''15 Multi'!G36),($H5*'Jul''15 Multi'!G29/'Jul''15 Multi'!G30-'Jul''15 Multi'!G36)*'Jul''15 Multi'!G41/100*1.1*'Jul''15 Multi'!G30,0)</f>
        <v>0</v>
      </c>
      <c r="F28" s="59">
        <f>IF(($H5*'Jul''15 Multi'!H29/'Jul''15 Multi'!H30&gt;'Jul''15 Multi'!H36),($H5*'Jul''15 Multi'!H29/'Jul''15 Multi'!H30-'Jul''15 Multi'!H36)*'Jul''15 Multi'!H41/100*1.1*'Jul''15 Multi'!H30,0)</f>
        <v>0</v>
      </c>
      <c r="G28" s="59">
        <f>IF(($H5*'Jul''15 Multi'!I29/'Jul''15 Multi'!I30&gt;'Jul''15 Multi'!I33),('Bills Jul''15'!$H5*'Jul''15 Multi'!I29/'Jul''15 Multi'!I30-'Jul''15 Multi'!I33)*'Jul''15 Multi'!I41/100*1.1)*'Jul''15 Multi'!I30</f>
        <v>230.96535</v>
      </c>
      <c r="H28" s="59">
        <f>IF(($H5*'Jul''15 Multi'!J29/'Jul''15 Multi'!J30&gt;'Jul''15 Multi'!J33),('Bills Jul''15'!$H5*'Jul''15 Multi'!J29/'Jul''15 Multi'!J30-'Jul''15 Multi'!J33)*'Jul''15 Multi'!J41/100*1.1)*'Jul''15 Multi'!J30</f>
        <v>350.05740000000009</v>
      </c>
      <c r="I28" s="59">
        <f>IF(($H5*'Jul''15 Multi'!K29/'Jul''15 Multi'!K30&gt;'Jul''15 Multi'!K33),('Bills Jul''15'!$H5*'Jul''15 Multi'!K29/'Jul''15 Multi'!K30-'Jul''15 Multi'!K33)*'Jul''15 Multi'!K41/100*1.1)*'Jul''15 Multi'!K30</f>
        <v>337.029</v>
      </c>
      <c r="J28" s="59">
        <f>IF(($H5*'Jul''15 Multi'!L29/'Jul''15 Multi'!L30&gt;'Jul''15 Multi'!L33),('Bills Jul''15'!$H5*'Jul''15 Multi'!L29/'Jul''15 Multi'!L30-'Jul''15 Multi'!L33)*'Jul''15 Multi'!L41/100*1.1)*'Jul''15 Multi'!L30</f>
        <v>373.72500000000002</v>
      </c>
      <c r="K28" s="59">
        <f>IF(($H5*'Jul''15 Multi'!M29/'Jul''15 Multi'!M30&gt;'Jul''15 Multi'!M33),('Bills Jul''15'!$H5*'Jul''15 Multi'!M29/'Jul''15 Multi'!M30-'Jul''15 Multi'!M33)*'Jul''15 Multi'!M41/100*1.1)*'Jul''15 Multi'!M30</f>
        <v>323.40000000000003</v>
      </c>
      <c r="L28" s="59">
        <f>IF(($H5*'Jul''15 Multi'!N29/'Jul''15 Multi'!N30&gt;'Jul''15 Multi'!N36),($H5*'Jul''15 Multi'!N29/'Jul''15 Multi'!N30-'Jul''15 Multi'!N36)*'Jul''15 Multi'!N41/100*1.1*'Jul''15 Multi'!N30,0)</f>
        <v>0</v>
      </c>
      <c r="M28" s="59">
        <f>IF(($H5*'Jul''15 Multi'!O29/'Jul''15 Multi'!O30&gt;'Jul''15 Multi'!O36),($H5*'Jul''15 Multi'!O29/'Jul''15 Multi'!O30-'Jul''15 Multi'!O36)*'Jul''15 Multi'!O41/100*1.1*'Jul''15 Multi'!O30,0)</f>
        <v>0</v>
      </c>
      <c r="N28" s="63"/>
    </row>
    <row r="29" spans="1:14" x14ac:dyDescent="0.15">
      <c r="A29" s="40" t="s">
        <v>607</v>
      </c>
      <c r="C29" s="59">
        <f>IF($H5*'Jul''15 Multi'!E31/'Jul''15 Multi'!E32&gt;='Jul''15 Multi'!E33,('Jul''15 Multi'!E33*'Jul''15 Multi'!E42/100*1.1)*'Jul''15 Multi'!E32,($H5*'Jul''15 Multi'!E31/'Jul''15 Multi'!E32*'Jul''15 Multi'!E42/100*1.1)*'Jul''15 Multi'!E32)</f>
        <v>186.71400000000003</v>
      </c>
      <c r="D29" s="59">
        <f>IF($H5*'Jul''15 Multi'!F31/'Jul''15 Multi'!F32&gt;='Jul''15 Multi'!F33,('Jul''15 Multi'!F33*'Jul''15 Multi'!F42/100*1.1)*'Jul''15 Multi'!F32,('Bills Jul''15'!$H5*'Jul''15 Multi'!F31/'Jul''15 Multi'!F32*'Jul''15 Multi'!F42/100*1.1)*'Jul''15 Multi'!F32)</f>
        <v>202.2405</v>
      </c>
      <c r="E29" s="59">
        <f>IF($H5*'Jul''15 Multi'!G31/'Jul''15 Multi'!G32&gt;='Jul''15 Multi'!G33,('Jul''15 Multi'!G33*'Jul''15 Multi'!G42/100*1.1)*'Jul''15 Multi'!G32,($H5*'Jul''15 Multi'!G31/'Jul''15 Multi'!G32*'Jul''15 Multi'!G42/100*1.1)*'Jul''15 Multi'!G32)</f>
        <v>165.06270000000001</v>
      </c>
      <c r="F29" s="59">
        <f>IF($H5*'Jul''15 Multi'!H31/'Jul''15 Multi'!H32&gt;='Jul''15 Multi'!H33,('Jul''15 Multi'!H33*'Jul''15 Multi'!H42/100*1.1)*'Jul''15 Multi'!H32,($H5*'Jul''15 Multi'!H31/'Jul''15 Multi'!H32*'Jul''15 Multi'!H42/100*1.1)*'Jul''15 Multi'!H32)</f>
        <v>133.94700000000003</v>
      </c>
      <c r="G29" s="59">
        <f>IF($H5*'Jul''15 Multi'!I31/'Jul''15 Multi'!I32&gt;='Jul''15 Multi'!I33,('Jul''15 Multi'!I33*'Jul''15 Multi'!I42/100*1.1)*'Jul''15 Multi'!I32,('Bills Jul''15'!$H5*'Jul''15 Multi'!I31/'Jul''15 Multi'!I32*'Jul''15 Multi'!I42/100*1.1)*'Jul''15 Multi'!I32)</f>
        <v>257.18</v>
      </c>
      <c r="H29" s="59">
        <f>IF($H5*'Jul''15 Multi'!J31/'Jul''15 Multi'!J32&gt;='Jul''15 Multi'!J33,('Jul''15 Multi'!J33*'Jul''15 Multi'!J42/100*1.1)*'Jul''15 Multi'!J32,('Bills Jul''15'!$H5*'Jul''15 Multi'!J31/'Jul''15 Multi'!J32*'Jul''15 Multi'!J42/100*1.1)*'Jul''15 Multi'!J32)</f>
        <v>192.6078</v>
      </c>
      <c r="I29" s="59">
        <f>IF($H5*'Jul''15 Multi'!K31/'Jul''15 Multi'!K32&gt;='Jul''15 Multi'!K33,('Jul''15 Multi'!K33*'Jul''15 Multi'!K42/100*1.1)*'Jul''15 Multi'!K32,('Bills Jul''15'!$H5*'Jul''15 Multi'!K31/'Jul''15 Multi'!K32*'Jul''15 Multi'!K42/100*1.1)*'Jul''15 Multi'!K32)</f>
        <v>191.61450000000002</v>
      </c>
      <c r="J29" s="59">
        <f>IF($H5*'Jul''15 Multi'!L31/'Jul''15 Multi'!L32&gt;='Jul''15 Multi'!L33,('Jul''15 Multi'!L33*'Jul''15 Multi'!L42/100*1.1)*'Jul''15 Multi'!L32,('Bills Jul''15'!$H5*'Jul''15 Multi'!L31/'Jul''15 Multi'!L32*'Jul''15 Multi'!L42/100*1.1)*'Jul''15 Multi'!L32)</f>
        <v>195.03000000000003</v>
      </c>
      <c r="K29" s="59">
        <f>IF($H5*'Jul''15 Multi'!M31/'Jul''15 Multi'!M32&gt;='Jul''15 Multi'!M33,('Jul''15 Multi'!M33*'Jul''15 Multi'!M42/100*1.1)*'Jul''15 Multi'!M32,('Bills Jul''15'!$H5*'Jul''15 Multi'!M31/'Jul''15 Multi'!M32*'Jul''15 Multi'!M42/100*1.1)*'Jul''15 Multi'!M32)</f>
        <v>189.42000000000002</v>
      </c>
      <c r="L29" s="59">
        <f>IF($H5*'Jul''15 Multi'!N31/'Jul''15 Multi'!N32&gt;='Jul''15 Multi'!N33,('Jul''15 Multi'!N33*'Jul''15 Multi'!N42/100*1.1)*'Jul''15 Multi'!N32,($H5*'Jul''15 Multi'!N31/'Jul''15 Multi'!N32*'Jul''15 Multi'!N42/100*1.1)*'Jul''15 Multi'!N32)</f>
        <v>187.70400000000001</v>
      </c>
      <c r="M29" s="59">
        <f>IF($H5*'Jul''15 Multi'!O31/'Jul''15 Multi'!O32&gt;='Jul''15 Multi'!O33,('Jul''15 Multi'!O33*'Jul''15 Multi'!O42/100*1.1)*'Jul''15 Multi'!O32,($H5*'Jul''15 Multi'!O31/'Jul''15 Multi'!O32*'Jul''15 Multi'!O42/100*1.1)*'Jul''15 Multi'!O32)</f>
        <v>171.27</v>
      </c>
      <c r="N29" s="63"/>
    </row>
    <row r="30" spans="1:14" x14ac:dyDescent="0.15">
      <c r="A30" s="40" t="s">
        <v>608</v>
      </c>
      <c r="C30" s="59">
        <f>IF($H5*'Jul''15 Multi'!E31/'Jul''15 Multi'!E32&lt;'Jul''15 Multi'!E33,0,IF($H5*'Jul''15 Multi'!E31/'Jul''15 Multi'!E32&lt;='Jul''15 Multi'!E34,($H5*'Jul''15 Multi'!E31/'Jul''15 Multi'!E32-'Jul''15 Multi'!E33)*('Jul''15 Multi'!E43/100*1.1)*'Jul''15 Multi'!E32,('Jul''15 Multi'!E34-'Jul''15 Multi'!E33)*('Jul''15 Multi'!E43/100*1.1)*'Jul''15 Multi'!E32))</f>
        <v>165.52799999999999</v>
      </c>
      <c r="D30" s="59">
        <v>0</v>
      </c>
      <c r="E30" s="59">
        <f>IF($H5*'Jul''15 Multi'!G31/'Jul''15 Multi'!G32&lt;'Jul''15 Multi'!G33,0,IF($H5*'Jul''15 Multi'!G31/'Jul''15 Multi'!G32&lt;='Jul''15 Multi'!G34,($H5*'Jul''15 Multi'!G31/'Jul''15 Multi'!G32-'Jul''15 Multi'!G33)*('Jul''15 Multi'!G43/100*1.1)*'Jul''15 Multi'!G32,('Jul''15 Multi'!G34-'Jul''15 Multi'!G33)*('Jul''15 Multi'!G43/100*1.1)*'Jul''15 Multi'!G32))</f>
        <v>145.2825</v>
      </c>
      <c r="F30" s="59">
        <f>IF($H5*'Jul''15 Multi'!H31/'Jul''15 Multi'!H32&lt;'Jul''15 Multi'!H33,0,IF($H5*'Jul''15 Multi'!H31/'Jul''15 Multi'!H32&lt;='Jul''15 Multi'!H34,($H5*'Jul''15 Multi'!H31/'Jul''15 Multi'!H32-'Jul''15 Multi'!H33)*('Jul''15 Multi'!H43/100*1.1)*'Jul''15 Multi'!H32,('Jul''15 Multi'!H34-'Jul''15 Multi'!H33)*('Jul''15 Multi'!H43/100*1.1)*'Jul''15 Multi'!H32))</f>
        <v>119.59200000000001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f>IF($H5*'Jul''15 Multi'!N31/'Jul''15 Multi'!N32&lt;'Jul''15 Multi'!N33,0,IF($H5*'Jul''15 Multi'!N31/'Jul''15 Multi'!N32&lt;='Jul''15 Multi'!N34,($H5*'Jul''15 Multi'!N31/'Jul''15 Multi'!N32-'Jul''15 Multi'!N33)*('Jul''15 Multi'!N43/100*1.1)*'Jul''15 Multi'!N32,('Jul''15 Multi'!N34-'Jul''15 Multi'!N33)*('Jul''15 Multi'!N43/100*1.1)*'Jul''15 Multi'!N32))</f>
        <v>164.73599999999999</v>
      </c>
      <c r="M30" s="59">
        <f>IF($H5*'Jul''15 Multi'!O31/'Jul''15 Multi'!O32&lt;'Jul''15 Multi'!O33,0,IF($H5*'Jul''15 Multi'!O31/'Jul''15 Multi'!O32&lt;='Jul''15 Multi'!O34,($H5*'Jul''15 Multi'!O31/'Jul''15 Multi'!O32-'Jul''15 Multi'!O33)*('Jul''15 Multi'!O43/100*1.1)*'Jul''15 Multi'!O32,('Jul''15 Multi'!O34-'Jul''15 Multi'!O33)*('Jul''15 Multi'!O43/100*1.1)*'Jul''15 Multi'!O32))</f>
        <v>162.36000000000001</v>
      </c>
      <c r="N30" s="63"/>
    </row>
    <row r="31" spans="1:14" x14ac:dyDescent="0.15">
      <c r="A31" s="40" t="s">
        <v>609</v>
      </c>
      <c r="C31" s="59">
        <f>IF($H5*'Jul''15 Multi'!E31/'Jul''15 Multi'!E32&lt;'Jul''15 Multi'!E34,0,IF($H5*'Jul''15 Multi'!E31/'Jul''15 Multi'!E32&lt;='Jul''15 Multi'!E35,($H5*'Jul''15 Multi'!E31/'Jul''15 Multi'!E32-'Jul''15 Multi'!E34)*('Jul''15 Multi'!E44/100*1.1)*'Jul''15 Multi'!E32,('Jul''15 Multi'!E35-'Jul''15 Multi'!E34)*('Jul''15 Multi'!E44/100*1.1)*'Jul''15 Multi'!E32))</f>
        <v>138.10500000000002</v>
      </c>
      <c r="D31" s="59">
        <v>0</v>
      </c>
      <c r="E31" s="59">
        <f>IF($H5*'Jul''15 Multi'!G31/'Jul''15 Multi'!G32&lt;'Jul''15 Multi'!G34,0,IF($H5*'Jul''15 Multi'!G31/'Jul''15 Multi'!G32&lt;='Jul''15 Multi'!G35,($H5*'Jul''15 Multi'!G31/'Jul''15 Multi'!G32-'Jul''15 Multi'!G34)*('Jul''15 Multi'!G44/100*1.1)*'Jul''15 Multi'!G32,('Jul''15 Multi'!G35-'Jul''15 Multi'!G34)*('Jul''15 Multi'!G44/100*1.1)*'Jul''15 Multi'!G32))</f>
        <v>127.39319999999999</v>
      </c>
      <c r="F31" s="59">
        <f>IF($H5*'Jul''15 Multi'!H31/'Jul''15 Multi'!H32&lt;'Jul''15 Multi'!H34,0,IF($H5*'Jul''15 Multi'!H31/'Jul''15 Multi'!H32&lt;='Jul''15 Multi'!H35,($H5*'Jul''15 Multi'!H31/'Jul''15 Multi'!H32-'Jul''15 Multi'!H34)*('Jul''15 Multi'!H44/100*1.1)*'Jul''15 Multi'!H32,('Jul''15 Multi'!H35-'Jul''15 Multi'!H34)*('Jul''15 Multi'!H44/100*1.1)*'Jul''15 Multi'!H32))</f>
        <v>98.604000000000013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f>IF($H5*'Jul''15 Multi'!N31/'Jul''15 Multi'!N32&lt;'Jul''15 Multi'!N34,0,IF($H5*'Jul''15 Multi'!N31/'Jul''15 Multi'!N32&lt;='Jul''15 Multi'!N35,($H5*'Jul''15 Multi'!N31/'Jul''15 Multi'!N32-'Jul''15 Multi'!N34)*('Jul''15 Multi'!N44/100*1.1)*'Jul''15 Multi'!N32,('Jul''15 Multi'!N35-'Jul''15 Multi'!N34)*('Jul''15 Multi'!N44/100*1.1)*'Jul''15 Multi'!N32))</f>
        <v>137.01599999999999</v>
      </c>
      <c r="M31" s="59">
        <f>IF($H5*'Jul''15 Multi'!O31/'Jul''15 Multi'!O32&lt;'Jul''15 Multi'!O34,0,IF($H5*'Jul''15 Multi'!O31/'Jul''15 Multi'!O32&lt;='Jul''15 Multi'!O35,($H5*'Jul''15 Multi'!O31/'Jul''15 Multi'!O32-'Jul''15 Multi'!O34)*('Jul''15 Multi'!O44/100*1.1)*'Jul''15 Multi'!O32,('Jul''15 Multi'!O35-'Jul''15 Multi'!O34)*('Jul''15 Multi'!O44/100*1.1)*'Jul''15 Multi'!O32))</f>
        <v>123.75000000000003</v>
      </c>
      <c r="N31" s="63"/>
    </row>
    <row r="32" spans="1:14" x14ac:dyDescent="0.15">
      <c r="A32" s="40" t="s">
        <v>610</v>
      </c>
      <c r="C32" s="59">
        <f>IF($H5*'Jul''15 Multi'!E31/'Jul''15 Multi'!E32&lt;'Jul''15 Multi'!E35,0,IF($H5*'Jul''15 Multi'!E31/'Jul''15 Multi'!E32&lt;='Jul''15 Multi'!E36,($H5*'Jul''15 Multi'!E31/'Jul''15 Multi'!E32-'Jul''15 Multi'!E35)*('Jul''15 Multi'!E45/100*1.1)*'Jul''15 Multi'!E32,('Jul''15 Multi'!E36-'Jul''15 Multi'!E35)*('Jul''15 Multi'!E45/100*1.1)*'Jul''15 Multi'!E32))</f>
        <v>63.36</v>
      </c>
      <c r="D32" s="59">
        <v>0</v>
      </c>
      <c r="E32" s="59">
        <f>IF($H5*'Jul''15 Multi'!G31/'Jul''15 Multi'!G32&lt;'Jul''15 Multi'!G35,0,IF($H5*'Jul''15 Multi'!G31/'Jul''15 Multi'!G32&lt;='Jul''15 Multi'!G36,($H5*'Jul''15 Multi'!G31/'Jul''15 Multi'!G32-'Jul''15 Multi'!G35)*('Jul''15 Multi'!G45/100*1.1)*'Jul''15 Multi'!G32,('Jul''15 Multi'!G36-'Jul''15 Multi'!G35)*('Jul''15 Multi'!G45/100*1.1)*'Jul''15 Multi'!G32))</f>
        <v>63.429300000000012</v>
      </c>
      <c r="F32" s="59">
        <f>IF($H5*'Jul''15 Multi'!H31/'Jul''15 Multi'!H32&lt;'Jul''15 Multi'!H35,0,IF($H5*'Jul''15 Multi'!H31/'Jul''15 Multi'!H32&lt;='Jul''15 Multi'!H36,($H5*'Jul''15 Multi'!H31/'Jul''15 Multi'!H32-'Jul''15 Multi'!H35)*('Jul''15 Multi'!H45/100*1.1)*'Jul''15 Multi'!H32,('Jul''15 Multi'!H36-'Jul''15 Multi'!H35)*('Jul''15 Multi'!H45/100*1.1)*'Jul''15 Multi'!H32))</f>
        <v>43.75800000000001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f>IF($H5*'Jul''15 Multi'!N31/'Jul''15 Multi'!N32&lt;'Jul''15 Multi'!N35,0,IF($H5*'Jul''15 Multi'!N31/'Jul''15 Multi'!N32&lt;='Jul''15 Multi'!N36,($H5*'Jul''15 Multi'!N31/'Jul''15 Multi'!N32-'Jul''15 Multi'!N35)*('Jul''15 Multi'!N45/100*1.1)*'Jul''15 Multi'!N32,('Jul''15 Multi'!N36-'Jul''15 Multi'!N35)*('Jul''15 Multi'!N45/100*1.1)*'Jul''15 Multi'!N32))</f>
        <v>61.132500000000014</v>
      </c>
      <c r="M32" s="59">
        <f>IF($H5*'Jul''15 Multi'!O31/'Jul''15 Multi'!O32&lt;'Jul''15 Multi'!O35,0,IF($H5*'Jul''15 Multi'!O31/'Jul''15 Multi'!O32&lt;='Jul''15 Multi'!O36,($H5*'Jul''15 Multi'!O31/'Jul''15 Multi'!O32-'Jul''15 Multi'!O35)*('Jul''15 Multi'!O45/100*1.1)*'Jul''15 Multi'!O32,('Jul''15 Multi'!O36-'Jul''15 Multi'!O35)*('Jul''15 Multi'!O45/100*1.1)*'Jul''15 Multi'!O32))</f>
        <v>67.320000000000022</v>
      </c>
      <c r="N32" s="63"/>
    </row>
    <row r="33" spans="1:14" x14ac:dyDescent="0.15">
      <c r="A33" s="40" t="s">
        <v>611</v>
      </c>
      <c r="C33" s="59">
        <f>IF(($H5*'Jul''15 Multi'!E31/'Jul''15 Multi'!E32&gt;'Jul''15 Multi'!E36),($H5*'Jul''15 Multi'!E31/'Jul''15 Multi'!E32-'Jul''15 Multi'!E36)*'Jul''15 Multi'!E46/100*1.1*'Jul''15 Multi'!E32,0)</f>
        <v>0</v>
      </c>
      <c r="D33" s="59">
        <f>IF(($H5*'Jul''15 Multi'!F31/'Jul''15 Multi'!F32&gt;'Jul''15 Multi'!F33),('Bills Jul''15'!$H5*'Jul''15 Multi'!F31/'Jul''15 Multi'!F32-'Jul''15 Multi'!F33)*'Jul''15 Multi'!F46/100*1.1)*'Jul''15 Multi'!F32</f>
        <v>286.44</v>
      </c>
      <c r="E33" s="59">
        <f>IF(($H5*'Jul''15 Multi'!G31/'Jul''15 Multi'!G32&gt;'Jul''15 Multi'!G36),($H5*'Jul''15 Multi'!G31/'Jul''15 Multi'!G32-'Jul''15 Multi'!G36)*'Jul''15 Multi'!G46/100*1.1*'Jul''15 Multi'!G32,0)</f>
        <v>0</v>
      </c>
      <c r="F33" s="59">
        <f>IF(($H5*'Jul''15 Multi'!H31/'Jul''15 Multi'!H32&gt;'Jul''15 Multi'!H36),($H5*'Jul''15 Multi'!H31/'Jul''15 Multi'!H32-'Jul''15 Multi'!H36)*'Jul''15 Multi'!H46/100*1.1*'Jul''15 Multi'!H32,0)</f>
        <v>0</v>
      </c>
      <c r="G33" s="59">
        <f>IF(($H5*'Jul''15 Multi'!I31/'Jul''15 Multi'!I32&gt;'Jul''15 Multi'!I33),('Bills Jul''15'!$H5*'Jul''15 Multi'!I31/'Jul''15 Multi'!I32-'Jul''15 Multi'!I33)*'Jul''15 Multi'!I46/100*1.1)*'Jul''15 Multi'!I32</f>
        <v>400.33993999999996</v>
      </c>
      <c r="H33" s="59">
        <f>IF(($H5*'Jul''15 Multi'!J31/'Jul''15 Multi'!J32&gt;'Jul''15 Multi'!J33),('Bills Jul''15'!$H5*'Jul''15 Multi'!J31/'Jul''15 Multi'!J32-'Jul''15 Multi'!J33)*'Jul''15 Multi'!J46/100*1.1)*'Jul''15 Multi'!J32</f>
        <v>320.30460000000005</v>
      </c>
      <c r="I33" s="59">
        <f>IF(($H5*'Jul''15 Multi'!K31/'Jul''15 Multi'!K32&gt;'Jul''15 Multi'!K33),('Bills Jul''15'!$H5*'Jul''15 Multi'!K31/'Jul''15 Multi'!K32-'Jul''15 Multi'!K33)*'Jul''15 Multi'!K46/100*1.1)*'Jul''15 Multi'!K32</f>
        <v>320.85900000000004</v>
      </c>
      <c r="J33" s="59">
        <f>IF(($H5*'Jul''15 Multi'!L31/'Jul''15 Multi'!L32&gt;'Jul''15 Multi'!L33),('Bills Jul''15'!$H5*'Jul''15 Multi'!L31/'Jul''15 Multi'!L32-'Jul''15 Multi'!L33)*'Jul''15 Multi'!L46/100*1.1)*'Jul''15 Multi'!L32</f>
        <v>353.92500000000001</v>
      </c>
      <c r="K33" s="59">
        <f>IF(($H5*'Jul''15 Multi'!M31/'Jul''15 Multi'!M32&gt;'Jul''15 Multi'!M33),('Bills Jul''15'!$H5*'Jul''15 Multi'!M31/'Jul''15 Multi'!M32-'Jul''15 Multi'!M33)*'Jul''15 Multi'!M46/100*1.1)*'Jul''15 Multi'!M32</f>
        <v>288.75000000000006</v>
      </c>
      <c r="L33" s="59">
        <f>IF(($H5*'Jul''15 Multi'!N31/'Jul''15 Multi'!N32&gt;'Jul''15 Multi'!N36),($H5*'Jul''15 Multi'!N31/'Jul''15 Multi'!N32-'Jul''15 Multi'!N36)*'Jul''15 Multi'!N46/100*1.1*'Jul''15 Multi'!N32,0)</f>
        <v>0</v>
      </c>
      <c r="M33" s="59">
        <f>IF(($H5*'Jul''15 Multi'!O31/'Jul''15 Multi'!O32&gt;'Jul''15 Multi'!O36),($H5*'Jul''15 Multi'!O31/'Jul''15 Multi'!O32-'Jul''15 Multi'!O36)*'Jul''15 Multi'!O46/100*1.1*'Jul''15 Multi'!O32,0)</f>
        <v>0</v>
      </c>
      <c r="N33" s="63"/>
    </row>
    <row r="34" spans="1:14" x14ac:dyDescent="0.15">
      <c r="A34" s="40" t="s">
        <v>612</v>
      </c>
      <c r="C34" s="59">
        <f>365*'Jul''15 Multi'!E47/100*1.1</f>
        <v>216.20775000000003</v>
      </c>
      <c r="D34" s="59">
        <f>365*'Jul''15 Multi'!F47/100*1.1</f>
        <v>248.93000000000004</v>
      </c>
      <c r="E34" s="59">
        <f>365*'Jul''15 Multi'!G47/100*1.1</f>
        <v>270.37010000000004</v>
      </c>
      <c r="F34" s="59">
        <f>365*'Jul''15 Multi'!H47/100*1.1</f>
        <v>233.43209999999999</v>
      </c>
      <c r="G34" s="59">
        <f>365*'Jul''15 Multi'!I47/100*1.1</f>
        <v>240.9</v>
      </c>
      <c r="H34" s="59">
        <f>365*'Jul''15 Multi'!J47/100*1.1</f>
        <v>232.34805</v>
      </c>
      <c r="I34" s="59">
        <f>365*'Jul''15 Multi'!K47/100*1.1</f>
        <v>248.93000000000004</v>
      </c>
      <c r="J34" s="59">
        <f>365*'Jul''15 Multi'!L47/100*1.1</f>
        <v>253.94875000000005</v>
      </c>
      <c r="K34" s="59">
        <f>365*'Jul''15 Multi'!M47/100*1.1</f>
        <v>208.73985000000005</v>
      </c>
      <c r="L34" s="59">
        <f>365*'Jul''15 Multi'!N47/100*1.1</f>
        <v>250.93750000000003</v>
      </c>
      <c r="M34" s="59">
        <f>365*'Jul''15 Multi'!O47/100*1.1</f>
        <v>269.00500000000005</v>
      </c>
      <c r="N34" s="60">
        <f>AVERAGE(C34:M34)</f>
        <v>243.06810000000004</v>
      </c>
    </row>
    <row r="35" spans="1:14" x14ac:dyDescent="0.15">
      <c r="A35" s="62" t="s">
        <v>613</v>
      </c>
      <c r="B35" s="63"/>
      <c r="C35" s="61">
        <f t="shared" ref="C35:L35" si="1">SUM(C24:C34)</f>
        <v>1350.9457500000001</v>
      </c>
      <c r="D35" s="61">
        <f t="shared" si="1"/>
        <v>1302.8675000000001</v>
      </c>
      <c r="E35" s="61">
        <f t="shared" si="1"/>
        <v>1349.8760000000002</v>
      </c>
      <c r="F35" s="61">
        <f>SUM(F24:F34)</f>
        <v>1059.5871000000002</v>
      </c>
      <c r="G35" s="61">
        <f>SUM(G24:G34)</f>
        <v>1263.36529</v>
      </c>
      <c r="H35" s="61">
        <f t="shared" si="1"/>
        <v>1302.5133000000001</v>
      </c>
      <c r="I35" s="61">
        <f t="shared" si="1"/>
        <v>1301.5970000000002</v>
      </c>
      <c r="J35" s="61">
        <f t="shared" si="1"/>
        <v>1375.6187500000001</v>
      </c>
      <c r="K35" s="61">
        <f t="shared" si="1"/>
        <v>1207.8148500000002</v>
      </c>
      <c r="L35" s="61">
        <f t="shared" si="1"/>
        <v>1383.0519999999999</v>
      </c>
      <c r="M35" s="61">
        <f>SUM(M24:M34)</f>
        <v>1351.0750000000003</v>
      </c>
      <c r="N35" s="64">
        <f>AVERAGE(C35:M35)</f>
        <v>1295.30114</v>
      </c>
    </row>
    <row r="37" spans="1:14" x14ac:dyDescent="0.15">
      <c r="A37" s="55" t="s">
        <v>1042</v>
      </c>
    </row>
    <row r="39" spans="1:14" x14ac:dyDescent="0.15">
      <c r="A39" s="53" t="s">
        <v>1024</v>
      </c>
      <c r="C39" s="23" t="s">
        <v>1044</v>
      </c>
      <c r="D39" s="23" t="s">
        <v>591</v>
      </c>
      <c r="E39" s="23" t="s">
        <v>592</v>
      </c>
      <c r="F39" s="23" t="s">
        <v>614</v>
      </c>
      <c r="G39" s="23" t="s">
        <v>615</v>
      </c>
      <c r="H39" s="23" t="s">
        <v>595</v>
      </c>
      <c r="I39" s="23" t="s">
        <v>596</v>
      </c>
      <c r="J39" s="23" t="s">
        <v>486</v>
      </c>
      <c r="K39" s="23" t="s">
        <v>487</v>
      </c>
      <c r="L39" s="23" t="s">
        <v>599</v>
      </c>
      <c r="M39" s="23" t="s">
        <v>600</v>
      </c>
      <c r="N39" s="57" t="s">
        <v>601</v>
      </c>
    </row>
    <row r="40" spans="1:14" x14ac:dyDescent="0.15">
      <c r="A40" s="40" t="s">
        <v>602</v>
      </c>
      <c r="C40" s="59">
        <f>IF($H5*'Jul''15 Envestra'!E7/'Jul''15 Envestra'!E8&gt;='Jul''15 Envestra'!E11,('Jul''15 Envestra'!E11*'Jul''15 Envestra'!E13/100*1.1)*'Jul''15 Envestra'!E8,($H5*'Jul''15 Envestra'!E7/'Jul''15 Envestra'!E8*'Jul''15 Envestra'!E13/100*1.1)*'Jul''15 Envestra'!E8)</f>
        <v>72.263664000000006</v>
      </c>
      <c r="D40" s="59">
        <f>IF($H5*'Jul''15 Envestra'!F7/'Jul''15 Envestra'!F8&gt;='Jul''15 Envestra'!F11,('Jul''15 Envestra'!F11*'Jul''15 Envestra'!F13/100*1.1)*'Jul''15 Envestra'!F8,($H5*'Jul''15 Envestra'!F7/'Jul''15 Envestra'!F8*'Jul''15 Envestra'!F13/100*1.1)*'Jul''15 Envestra'!F8)</f>
        <v>156.816</v>
      </c>
      <c r="E40" s="59">
        <f>IF($H5*'Jul''15 Envestra'!G7/'Jul''15 Envestra'!G8&gt;='Jul''15 Envestra'!G11,('Jul''15 Envestra'!G11*'Jul''15 Envestra'!G13/100*1.1)*'Jul''15 Envestra'!G8,($H5*'Jul''15 Envestra'!G7/'Jul''15 Envestra'!G8*'Jul''15 Envestra'!G13/100*1.1)*'Jul''15 Envestra'!G8)</f>
        <v>247.8828</v>
      </c>
      <c r="F40" s="59">
        <f>IF($H5*'Jul''15 Envestra'!H7/'Jul''15 Envestra'!H8&gt;='Jul''15 Envestra'!H11,('Jul''15 Envestra'!H11*'Jul''15 Envestra'!H13/100*1.1)*'Jul''15 Envestra'!H8,($H5*'Jul''15 Envestra'!H7/'Jul''15 Envestra'!H8*'Jul''15 Envestra'!H13/100*1.1)*'Jul''15 Envestra'!H8)</f>
        <v>59.468640000000001</v>
      </c>
      <c r="G40" s="59">
        <f>IF($H5*'Jul''15 Envestra'!I7/'Jul''15 Envestra'!I8&gt;='Jul''15 Envestra'!I11,('Jul''15 Envestra'!I11*'Jul''15 Envestra'!I13/100*1.1)*'Jul''15 Envestra'!I8,($H5*'Jul''15 Envestra'!I7/'Jul''15 Envestra'!I8*'Jul''15 Envestra'!I13/100*1.1)*'Jul''15 Envestra'!I8)</f>
        <v>159.28000000000003</v>
      </c>
      <c r="H40" s="59">
        <f>IF($H5*'Jul''15 Envestra'!J7/'Jul''15 Envestra'!J8&gt;='Jul''15 Envestra'!J11,('Jul''15 Envestra'!J11*'Jul''15 Envestra'!J13/100*1.1)*'Jul''15 Envestra'!J8,($H5*'Jul''15 Envestra'!J7/'Jul''15 Envestra'!J8*'Jul''15 Envestra'!J13/100*1.1)*'Jul''15 Envestra'!J8)</f>
        <v>155.24080000000001</v>
      </c>
      <c r="I40" s="59">
        <f>IF($H5*'Jul''15 Envestra'!K7/'Jul''15 Envestra'!K8&gt;='Jul''15 Envestra'!K11,('Jul''15 Envestra'!K11*'Jul''15 Envestra'!K13/100*1.1)*'Jul''15 Envestra'!K8,($H5*'Jul''15 Envestra'!K7/'Jul''15 Envestra'!K8*'Jul''15 Envestra'!K13/100*1.1)*'Jul''15 Envestra'!K8)</f>
        <v>132</v>
      </c>
      <c r="J40" s="59">
        <f>IF($H5*'Jul''15 Envestra'!L7/'Jul''15 Envestra'!L8&gt;='Jul''15 Envestra'!L11,('Jul''15 Envestra'!L11*'Jul''15 Envestra'!L13/100*1.1)*'Jul''15 Envestra'!L8,($H5*'Jul''15 Envestra'!L7/'Jul''15 Envestra'!L8*'Jul''15 Envestra'!L13/100*1.1)*'Jul''15 Envestra'!L8)</f>
        <v>66.910800000000009</v>
      </c>
      <c r="K40" s="59">
        <f>IF($H5*'Jul''15 Envestra'!M7/'Jul''15 Envestra'!M8&gt;='Jul''15 Envestra'!M11,('Jul''15 Envestra'!M11*'Jul''15 Envestra'!M13/100*1.1)*'Jul''15 Envestra'!M8,($H5*'Jul''15 Envestra'!M7/'Jul''15 Envestra'!M8*'Jul''15 Envestra'!M13/100*1.1)*'Jul''15 Envestra'!M8)</f>
        <v>156.64000000000001</v>
      </c>
      <c r="L40" s="59">
        <f>IF($H5*'Jul''15 Envestra'!N7/'Jul''15 Envestra'!N8&gt;='Jul''15 Envestra'!N11,('Jul''15 Envestra'!N11*'Jul''15 Envestra'!N13/100*1.1)*'Jul''15 Envestra'!N8,($H5*'Jul''15 Envestra'!N7/'Jul''15 Envestra'!N8*'Jul''15 Envestra'!N13/100*1.1)*'Jul''15 Envestra'!N8)</f>
        <v>79.737899999999996</v>
      </c>
      <c r="M40" s="59">
        <f>IF($H5*'Jul''15 Envestra'!O7/'Jul''15 Envestra'!O8&gt;='Jul''15 Envestra'!O11,('Jul''15 Envestra'!O11*'Jul''15 Envestra'!O13/100*1.1)*'Jul''15 Envestra'!O8,($H5*'Jul''15 Envestra'!O7/'Jul''15 Envestra'!O8*'Jul''15 Envestra'!O13/100*1.1)*'Jul''15 Envestra'!O8)</f>
        <v>67.358500000000006</v>
      </c>
      <c r="N40" s="63"/>
    </row>
    <row r="41" spans="1:14" x14ac:dyDescent="0.15">
      <c r="A41" s="40" t="s">
        <v>603</v>
      </c>
      <c r="C41" s="59">
        <f>IF($H5*'Jul''15 Envestra'!E7/'Jul''15 Envestra'!E8&lt;'Jul''15 Envestra'!E11,0,IF($H5*'Jul''15 Envestra'!E7/'Jul''15 Envestra'!E8&lt;='Jul''15 Envestra'!E12,($H5*'Jul''15 Envestra'!E7/'Jul''15 Envestra'!E8-'Jul''15 Envestra'!E11)*('Jul''15 Envestra'!E14/100*1.1)*'Jul''15 Envestra'!E8,('Jul''15 Envestra'!E12-'Jul''15 Envestra'!E11)*('Jul''15 Envestra'!E14/100*1.1)*'Jul''15 Envestra'!E8))</f>
        <v>52.294572000000002</v>
      </c>
      <c r="D41" s="59">
        <f>IF($H5*'Jul''15 Envestra'!F7/'Jul''15 Envestra'!F8&lt;'Jul''15 Envestra'!F11,0,IF($H5*'Jul''15 Envestra'!F7/'Jul''15 Envestra'!F8&lt;='Jul''15 Envestra'!F12,($H5*'Jul''15 Envestra'!F7/'Jul''15 Envestra'!F8-'Jul''15 Envestra'!F11)*('Jul''15 Envestra'!F14/100*1.1)*'Jul''15 Envestra'!F8,('Jul''15 Envestra'!F12-'Jul''15 Envestra'!F11)*('Jul''15 Envestra'!F14/100*1.1)*'Jul''15 Envestra'!F8))</f>
        <v>244.34752209999996</v>
      </c>
      <c r="E41" s="59">
        <f>IF($H5*'Jul''15 Envestra'!G7/'Jul''15 Envestra'!G8&lt;'Jul''15 Envestra'!G11,0,IF($H5*'Jul''15 Envestra'!G7/'Jul''15 Envestra'!G8&lt;='Jul''15 Envestra'!G12,($H5*'Jul''15 Envestra'!G7/'Jul''15 Envestra'!G8-'Jul''15 Envestra'!G11)*('Jul''15 Envestra'!G14/100*1.1)*'Jul''15 Envestra'!G8,('Jul''15 Envestra'!G12-'Jul''15 Envestra'!G11)*('Jul''15 Envestra'!G14/100*1.1)*'Jul''15 Envestra'!G8))</f>
        <v>164.54909624999996</v>
      </c>
      <c r="F41" s="59">
        <f>IF($H5*'Jul''15 Envestra'!H7/'Jul''15 Envestra'!H8&lt;'Jul''15 Envestra'!H11,0,IF($H5*'Jul''15 Envestra'!H7/'Jul''15 Envestra'!H8&lt;='Jul''15 Envestra'!H12,($H5*'Jul''15 Envestra'!H7/'Jul''15 Envestra'!H8-'Jul''15 Envestra'!H11)*('Jul''15 Envestra'!H14/100*1.1)*'Jul''15 Envestra'!H8,('Jul''15 Envestra'!H12-'Jul''15 Envestra'!H11)*('Jul''15 Envestra'!H14/100*1.1)*'Jul''15 Envestra'!H8))</f>
        <v>40.365600000000001</v>
      </c>
      <c r="G41" s="59">
        <f>IF($H5*'Jul''15 Envestra'!I7/'Jul''15 Envestra'!I8&lt;'Jul''15 Envestra'!I11,0,IF($H5*'Jul''15 Envestra'!I7/'Jul''15 Envestra'!I8&lt;='Jul''15 Envestra'!I12,($H5*'Jul''15 Envestra'!I7/'Jul''15 Envestra'!I8-'Jul''15 Envestra'!I11)*('Jul''15 Envestra'!I14/100*1.1)*'Jul''15 Envestra'!I8,('Jul''15 Envestra'!I12-'Jul''15 Envestra'!I11)*('Jul''15 Envestra'!I14/100*1.1)*'Jul''15 Envestra'!I8))</f>
        <v>244.490499</v>
      </c>
      <c r="H41" s="59">
        <f>IF($H5*'Jul''15 Envestra'!J7/'Jul''15 Envestra'!J8&lt;'Jul''15 Envestra'!J11,0,IF($H5*'Jul''15 Envestra'!J7/'Jul''15 Envestra'!J8&lt;='Jul''15 Envestra'!J12,($H5*'Jul''15 Envestra'!J7/'Jul''15 Envestra'!J8-'Jul''15 Envestra'!J11)*('Jul''15 Envestra'!J14/100*1.1)*'Jul''15 Envestra'!J8,('Jul''15 Envestra'!J12-'Jul''15 Envestra'!J11)*('Jul''15 Envestra'!J14/100*1.1)*'Jul''15 Envestra'!J8))</f>
        <v>224.24496995999996</v>
      </c>
      <c r="I41" s="59">
        <f>IF($H5*'Jul''15 Envestra'!K7/'Jul''15 Envestra'!K8&lt;'Jul''15 Envestra'!K11,0,IF($H5*'Jul''15 Envestra'!K7/'Jul''15 Envestra'!K8&lt;='Jul''15 Envestra'!K12,($H5*'Jul''15 Envestra'!K7/'Jul''15 Envestra'!K8-'Jul''15 Envestra'!K11)*('Jul''15 Envestra'!K14/100*1.1)*'Jul''15 Envestra'!K8,('Jul''15 Envestra'!K12-'Jul''15 Envestra'!K11)*('Jul''15 Envestra'!K14/100*1.1)*'Jul''15 Envestra'!K8))</f>
        <v>0</v>
      </c>
      <c r="J41" s="59">
        <f>IF($H5*'Jul''15 Envestra'!L7/'Jul''15 Envestra'!L8&lt;'Jul''15 Envestra'!L11,0,IF($H5*'Jul''15 Envestra'!L7/'Jul''15 Envestra'!L8&lt;='Jul''15 Envestra'!L12,($H5*'Jul''15 Envestra'!L7/'Jul''15 Envestra'!L8-'Jul''15 Envestra'!L11)*('Jul''15 Envestra'!L14/100*1.1)*'Jul''15 Envestra'!L8,('Jul''15 Envestra'!L12-'Jul''15 Envestra'!L11)*('Jul''15 Envestra'!L14/100*1.1)*'Jul''15 Envestra'!L8))</f>
        <v>53.479800000000012</v>
      </c>
      <c r="K41" s="59">
        <f>IF($H5*'Jul''15 Envestra'!M7/'Jul''15 Envestra'!M8&lt;'Jul''15 Envestra'!M11,0,IF($H5*'Jul''15 Envestra'!M7/'Jul''15 Envestra'!M8&lt;='Jul''15 Envestra'!M12,($H5*'Jul''15 Envestra'!M7/'Jul''15 Envestra'!M8-'Jul''15 Envestra'!M11)*('Jul''15 Envestra'!M14/100*1.1)*'Jul''15 Envestra'!M8,('Jul''15 Envestra'!M12-'Jul''15 Envestra'!M11)*('Jul''15 Envestra'!M14/100*1.1)*'Jul''15 Envestra'!M8))</f>
        <v>233.05234699999997</v>
      </c>
      <c r="L41" s="59">
        <f>IF($H5*'Jul''15 Envestra'!N7/'Jul''15 Envestra'!N8&lt;'Jul''15 Envestra'!N11,0,IF($H5*'Jul''15 Envestra'!N7/'Jul''15 Envestra'!N8&lt;='Jul''15 Envestra'!N12,($H5*'Jul''15 Envestra'!N7/'Jul''15 Envestra'!N8-'Jul''15 Envestra'!N11)*('Jul''15 Envestra'!N14/100*1.1)*'Jul''15 Envestra'!N8,('Jul''15 Envestra'!N12-'Jul''15 Envestra'!N11)*('Jul''15 Envestra'!N14/100*1.1)*'Jul''15 Envestra'!N8))</f>
        <v>54.301609999999997</v>
      </c>
      <c r="M41" s="59">
        <f>IF($H5*'Jul''15 Envestra'!O7/'Jul''15 Envestra'!O8&lt;'Jul''15 Envestra'!O11,0,IF($H5*'Jul''15 Envestra'!O7/'Jul''15 Envestra'!O8&lt;='Jul''15 Envestra'!O12,($H5*'Jul''15 Envestra'!O7/'Jul''15 Envestra'!O8-'Jul''15 Envestra'!O11)*('Jul''15 Envestra'!O14/100*1.1)*'Jul''15 Envestra'!O8,('Jul''15 Envestra'!O12-'Jul''15 Envestra'!O11)*('Jul''15 Envestra'!O14/100*1.1)*'Jul''15 Envestra'!O8))</f>
        <v>54.099100000000007</v>
      </c>
      <c r="N41" s="63"/>
    </row>
    <row r="42" spans="1:14" x14ac:dyDescent="0.15">
      <c r="A42" s="40" t="s">
        <v>606</v>
      </c>
      <c r="C42" s="59">
        <f>IF(($H5*'Jul''15 Envestra'!E7/'Jul''15 Envestra'!E8&gt;'Jul''15 Envestra'!E12),($H5*'Jul''15 Envestra'!E7/'Jul''15 Envestra'!E8-'Jul''15 Envestra'!E12)*'Jul''15 Envestra'!E15/100*1.1)*'Jul''15 Envestra'!E8</f>
        <v>248.35364730000001</v>
      </c>
      <c r="D42" s="59">
        <f>IF(($H5*'Jul''15 Envestra'!F7/'Jul''15 Envestra'!F8&gt;'Jul''15 Envestra'!F12),($H5*'Jul''15 Envestra'!F7/'Jul''15 Envestra'!F8-'Jul''15 Envestra'!F12)*'Jul''15 Envestra'!F15/100*1.1)*'Jul''15 Envestra'!F8</f>
        <v>0</v>
      </c>
      <c r="E42" s="59">
        <f>IF(($H5*'Jul''15 Envestra'!G7/'Jul''15 Envestra'!G8&gt;'Jul''15 Envestra'!G12),($H5*'Jul''15 Envestra'!G7/'Jul''15 Envestra'!G8-'Jul''15 Envestra'!G12)*'Jul''15 Envestra'!G15/100*1.1)*'Jul''15 Envestra'!G8</f>
        <v>0</v>
      </c>
      <c r="F42" s="59">
        <f>IF(($H5*'Jul''15 Envestra'!H7/'Jul''15 Envestra'!H8&gt;'Jul''15 Envestra'!H12),($H5*'Jul''15 Envestra'!H7/'Jul''15 Envestra'!H8-'Jul''15 Envestra'!H12)*'Jul''15 Envestra'!H15/100*1.1)*'Jul''15 Envestra'!H8</f>
        <v>185.59901249999999</v>
      </c>
      <c r="G42" s="59">
        <f>IF(($H5*'Jul''15 Envestra'!I7/'Jul''15 Envestra'!I8&gt;'Jul''15 Envestra'!I12),($H5*'Jul''15 Envestra'!I7/'Jul''15 Envestra'!I8-'Jul''15 Envestra'!I12)*'Jul''15 Envestra'!I15/100*1.1)*'Jul''15 Envestra'!I8</f>
        <v>0</v>
      </c>
      <c r="H42" s="59">
        <f>IF(($H5*'Jul''15 Envestra'!J7/'Jul''15 Envestra'!J8&gt;'Jul''15 Envestra'!J12),($H5*'Jul''15 Envestra'!J7/'Jul''15 Envestra'!J8-'Jul''15 Envestra'!J12)*'Jul''15 Envestra'!J15/100*1.1)*'Jul''15 Envestra'!J8</f>
        <v>0</v>
      </c>
      <c r="I42" s="59">
        <f>IF(($H5*'Jul''15 Envestra'!K7/'Jul''15 Envestra'!K8&gt;'Jul''15 Envestra'!K12),($H5*'Jul''15 Envestra'!K7/'Jul''15 Envestra'!K8-'Jul''15 Envestra'!K12)*'Jul''15 Envestra'!K15/100*1.1)*'Jul''15 Envestra'!K8</f>
        <v>230.96765999999994</v>
      </c>
      <c r="J42" s="59">
        <f>IF(($H5*'Jul''15 Envestra'!L7/'Jul''15 Envestra'!L8&gt;'Jul''15 Envestra'!L12),($H5*'Jul''15 Envestra'!L7/'Jul''15 Envestra'!L8-'Jul''15 Envestra'!L12)*'Jul''15 Envestra'!L15/100*1.1)*'Jul''15 Envestra'!L8</f>
        <v>272.07747599999999</v>
      </c>
      <c r="K42" s="59">
        <f>IF(($H5*'Jul''15 Envestra'!M7/'Jul''15 Envestra'!M8&gt;'Jul''15 Envestra'!M12),($H5*'Jul''15 Envestra'!M7/'Jul''15 Envestra'!M8-'Jul''15 Envestra'!M12)*'Jul''15 Envestra'!M15/100*1.1)*'Jul''15 Envestra'!M8</f>
        <v>0</v>
      </c>
      <c r="L42" s="59">
        <f>IF(($H5*'Jul''15 Envestra'!N7/'Jul''15 Envestra'!N8&gt;'Jul''15 Envestra'!N12),($H5*'Jul''15 Envestra'!N7/'Jul''15 Envestra'!N8-'Jul''15 Envestra'!N12)*'Jul''15 Envestra'!N15/100*1.1)*'Jul''15 Envestra'!N8</f>
        <v>255.5777367</v>
      </c>
      <c r="M42" s="59">
        <f>IF(($H5*'Jul''15 Envestra'!O7/'Jul''15 Envestra'!O8&gt;'Jul''15 Envestra'!O12),($H5*'Jul''15 Envestra'!O7/'Jul''15 Envestra'!O8-'Jul''15 Envestra'!O12)*'Jul''15 Envestra'!O15/100*1.1)*'Jul''15 Envestra'!O8</f>
        <v>245.14261199999996</v>
      </c>
      <c r="N42" s="63"/>
    </row>
    <row r="43" spans="1:14" x14ac:dyDescent="0.15">
      <c r="A43" s="40" t="s">
        <v>607</v>
      </c>
      <c r="C43" s="59">
        <f>IF($H5*'Jul''15 Envestra'!E9/'Jul''15 Envestra'!E10&gt;='Jul''15 Envestra'!E11,('Jul''15 Envestra'!E11*'Jul''15 Envestra'!E16/100*1.1)*'Jul''15 Envestra'!E10,($H5*'Jul''15 Envestra'!E9/'Jul''15 Envestra'!E10*'Jul''15 Envestra'!E16/100*1.1)*'Jul''15 Envestra'!E10)</f>
        <v>144.52732800000001</v>
      </c>
      <c r="D43" s="59">
        <f>IF($H5*'Jul''15 Envestra'!F9/'Jul''15 Envestra'!F10&gt;='Jul''15 Envestra'!F11,('Jul''15 Envestra'!F11*'Jul''15 Envestra'!F16/100*1.1)*'Jul''15 Envestra'!F10,($H5*'Jul''15 Envestra'!F9/'Jul''15 Envestra'!F10*'Jul''15 Envestra'!F16/100*1.1)*'Jul''15 Envestra'!F10)</f>
        <v>313.63200000000001</v>
      </c>
      <c r="E43" s="59">
        <f>IF($H5*'Jul''15 Envestra'!G9/'Jul''15 Envestra'!G10&gt;='Jul''15 Envestra'!G11,('Jul''15 Envestra'!G11*'Jul''15 Envestra'!G16/100*1.1)*'Jul''15 Envestra'!G10,($H5*'Jul''15 Envestra'!G9/'Jul''15 Envestra'!G10*'Jul''15 Envestra'!G16/100*1.1)*'Jul''15 Envestra'!G10)</f>
        <v>467.33280000000008</v>
      </c>
      <c r="F43" s="59">
        <f>IF($H5*'Jul''15 Envestra'!H9/'Jul''15 Envestra'!H10&gt;='Jul''15 Envestra'!H11,('Jul''15 Envestra'!H11*'Jul''15 Envestra'!H16/100*1.1)*'Jul''15 Envestra'!H10,($H5*'Jul''15 Envestra'!H9/'Jul''15 Envestra'!H10*'Jul''15 Envestra'!H16/100*1.1)*'Jul''15 Envestra'!H10)</f>
        <v>115.09344</v>
      </c>
      <c r="G43" s="59">
        <f>IF($H5*'Jul''15 Envestra'!I9/'Jul''15 Envestra'!I10&gt;='Jul''15 Envestra'!I11,('Jul''15 Envestra'!I11*'Jul''15 Envestra'!I16/100*1.1)*'Jul''15 Envestra'!I10,($H5*'Jul''15 Envestra'!I9/'Jul''15 Envestra'!I10*'Jul''15 Envestra'!I16/100*1.1)*'Jul''15 Envestra'!I10)</f>
        <v>304.48</v>
      </c>
      <c r="H43" s="59">
        <f>IF($H5*'Jul''15 Envestra'!J9/'Jul''15 Envestra'!J10&gt;='Jul''15 Envestra'!J11,('Jul''15 Envestra'!J11*'Jul''15 Envestra'!J16/100*1.1)*'Jul''15 Envestra'!J10,($H5*'Jul''15 Envestra'!J9/'Jul''15 Envestra'!J10*'Jul''15 Envestra'!J16/100*1.1)*'Jul''15 Envestra'!J10)</f>
        <v>298.53120000000001</v>
      </c>
      <c r="I43" s="59">
        <f>IF($H5*'Jul''15 Envestra'!K9/'Jul''15 Envestra'!K10&gt;='Jul''15 Envestra'!K11,('Jul''15 Envestra'!K11*'Jul''15 Envestra'!K16/100*1.1)*'Jul''15 Envestra'!K10,($H5*'Jul''15 Envestra'!K9/'Jul''15 Envestra'!K10*'Jul''15 Envestra'!K16/100*1.1)*'Jul''15 Envestra'!K10)</f>
        <v>264</v>
      </c>
      <c r="J43" s="59">
        <f>IF($H5*'Jul''15 Envestra'!L9/'Jul''15 Envestra'!L10&gt;='Jul''15 Envestra'!L11,('Jul''15 Envestra'!L11*'Jul''15 Envestra'!L16/100*1.1)*'Jul''15 Envestra'!L10,($H5*'Jul''15 Envestra'!L9/'Jul''15 Envestra'!L10*'Jul''15 Envestra'!L16/100*1.1)*'Jul''15 Envestra'!L10)</f>
        <v>133.82160000000002</v>
      </c>
      <c r="K43" s="59">
        <f>IF($H5*'Jul''15 Envestra'!M9/'Jul''15 Envestra'!M10&gt;='Jul''15 Envestra'!M11,('Jul''15 Envestra'!M11*'Jul''15 Envestra'!M16/100*1.1)*'Jul''15 Envestra'!M10,($H5*'Jul''15 Envestra'!M9/'Jul''15 Envestra'!M10*'Jul''15 Envestra'!M16/100*1.1)*'Jul''15 Envestra'!M10)</f>
        <v>299.2000000000001</v>
      </c>
      <c r="L43" s="59">
        <f>IF($H5*'Jul''15 Envestra'!N9/'Jul''15 Envestra'!N10&gt;='Jul''15 Envestra'!N11,('Jul''15 Envestra'!N11*'Jul''15 Envestra'!N16/100*1.1)*'Jul''15 Envestra'!N10,($H5*'Jul''15 Envestra'!N9/'Jul''15 Envestra'!N10*'Jul''15 Envestra'!N16/100*1.1)*'Jul''15 Envestra'!N10)</f>
        <v>159.47579999999999</v>
      </c>
      <c r="M43" s="59">
        <f>IF($H5*'Jul''15 Envestra'!O9/'Jul''15 Envestra'!O10&gt;='Jul''15 Envestra'!O11,('Jul''15 Envestra'!O11*'Jul''15 Envestra'!O16/100*1.1)*'Jul''15 Envestra'!O10,($H5*'Jul''15 Envestra'!O9/'Jul''15 Envestra'!O10*'Jul''15 Envestra'!O16/100*1.1)*'Jul''15 Envestra'!O10)</f>
        <v>134.71700000000001</v>
      </c>
      <c r="N43" s="63"/>
    </row>
    <row r="44" spans="1:14" x14ac:dyDescent="0.15">
      <c r="A44" s="40" t="s">
        <v>608</v>
      </c>
      <c r="C44" s="59">
        <f>IF($H5*'Jul''15 Envestra'!E9/'Jul''15 Envestra'!E10&lt;'Jul''15 Envestra'!E11,0,IF($H5*'Jul''15 Envestra'!E9/'Jul''15 Envestra'!E10&lt;='Jul''15 Envestra'!E12,($H5*'Jul''15 Envestra'!E9/'Jul''15 Envestra'!E10-'Jul''15 Envestra'!E11)*('Jul''15 Envestra'!E17/100*1.1)*'Jul''15 Envestra'!E10,('Jul''15 Envestra'!E12-'Jul''15 Envestra'!E11)*('Jul''15 Envestra'!E17/100*1.1)*'Jul''15 Envestra'!E10))</f>
        <v>104.589144</v>
      </c>
      <c r="D44" s="59">
        <f>IF($H5*'Jul''15 Envestra'!F9/'Jul''15 Envestra'!F10&lt;'Jul''15 Envestra'!F11,0,IF($H5*'Jul''15 Envestra'!F9/'Jul''15 Envestra'!F10&lt;='Jul''15 Envestra'!F12,($H5*'Jul''15 Envestra'!F9/'Jul''15 Envestra'!F10-'Jul''15 Envestra'!F11)*('Jul''15 Envestra'!F17/100*1.1)*'Jul''15 Envestra'!F10,('Jul''15 Envestra'!F12-'Jul''15 Envestra'!F11)*('Jul''15 Envestra'!F17/100*1.1)*'Jul''15 Envestra'!F10))</f>
        <v>488.69504419999993</v>
      </c>
      <c r="E44" s="59">
        <f>IF($H5*'Jul''15 Envestra'!G9/'Jul''15 Envestra'!G10&lt;'Jul''15 Envestra'!G11,0,IF($H5*'Jul''15 Envestra'!G9/'Jul''15 Envestra'!G10&lt;='Jul''15 Envestra'!G12,($H5*'Jul''15 Envestra'!G9/'Jul''15 Envestra'!G10-'Jul''15 Envestra'!G11)*('Jul''15 Envestra'!G17/100*1.1)*'Jul''15 Envestra'!G10,('Jul''15 Envestra'!G12-'Jul''15 Envestra'!G11)*('Jul''15 Envestra'!G17/100*1.1)*'Jul''15 Envestra'!G10))</f>
        <v>316.31037701999998</v>
      </c>
      <c r="F44" s="59">
        <f>IF($H5*'Jul''15 Envestra'!H9/'Jul''15 Envestra'!H10&lt;'Jul''15 Envestra'!H11,0,IF($H5*'Jul''15 Envestra'!H9/'Jul''15 Envestra'!H10&lt;='Jul''15 Envestra'!H12,($H5*'Jul''15 Envestra'!H9/'Jul''15 Envestra'!H10-'Jul''15 Envestra'!H11)*('Jul''15 Envestra'!H17/100*1.1)*'Jul''15 Envestra'!H10,('Jul''15 Envestra'!H12-'Jul''15 Envestra'!H11)*('Jul''15 Envestra'!H17/100*1.1)*'Jul''15 Envestra'!H10))</f>
        <v>78.930720000000008</v>
      </c>
      <c r="G44" s="59">
        <f>IF($H5*'Jul''15 Envestra'!I9/'Jul''15 Envestra'!I10&lt;'Jul''15 Envestra'!I11,0,IF($H5*'Jul''15 Envestra'!I9/'Jul''15 Envestra'!I10&lt;='Jul''15 Envestra'!I12,($H5*'Jul''15 Envestra'!I9/'Jul''15 Envestra'!I10-'Jul''15 Envestra'!I11)*('Jul''15 Envestra'!I17/100*1.1)*'Jul''15 Envestra'!I10,('Jul''15 Envestra'!I12-'Jul''15 Envestra'!I11)*('Jul''15 Envestra'!I17/100*1.1)*'Jul''15 Envestra'!I10))</f>
        <v>474.68330799999995</v>
      </c>
      <c r="H44" s="59">
        <f>IF($H5*'Jul''15 Envestra'!J9/'Jul''15 Envestra'!J10&lt;'Jul''15 Envestra'!J11,0,IF($H5*'Jul''15 Envestra'!J9/'Jul''15 Envestra'!J10&lt;='Jul''15 Envestra'!J12,($H5*'Jul''15 Envestra'!J9/'Jul''15 Envestra'!J10-'Jul''15 Envestra'!J11)*('Jul''15 Envestra'!J17/100*1.1)*'Jul''15 Envestra'!J10,('Jul''15 Envestra'!J12-'Jul''15 Envestra'!J11)*('Jul''15 Envestra'!J17/100*1.1)*'Jul''15 Envestra'!J10))</f>
        <v>438.59593844</v>
      </c>
      <c r="I44" s="59">
        <f>IF($H5*'Jul''15 Envestra'!K9/'Jul''15 Envestra'!K10&lt;'Jul''15 Envestra'!K11,0,IF($H5*'Jul''15 Envestra'!K9/'Jul''15 Envestra'!K10&lt;='Jul''15 Envestra'!K12,($H5*'Jul''15 Envestra'!K9/'Jul''15 Envestra'!K10-'Jul''15 Envestra'!K11)*('Jul''15 Envestra'!K17/100*1.1)*'Jul''15 Envestra'!K10,('Jul''15 Envestra'!K12-'Jul''15 Envestra'!K11)*('Jul''15 Envestra'!K17/100*1.1)*'Jul''15 Envestra'!K10))</f>
        <v>0</v>
      </c>
      <c r="J44" s="59">
        <f>IF($H5*'Jul''15 Envestra'!L9/'Jul''15 Envestra'!L10&lt;'Jul''15 Envestra'!L11,0,IF($H5*'Jul''15 Envestra'!L9/'Jul''15 Envestra'!L10&lt;='Jul''15 Envestra'!L12,($H5*'Jul''15 Envestra'!L9/'Jul''15 Envestra'!L10-'Jul''15 Envestra'!L11)*('Jul''15 Envestra'!L17/100*1.1)*'Jul''15 Envestra'!L10,('Jul''15 Envestra'!L12-'Jul''15 Envestra'!L11)*('Jul''15 Envestra'!L17/100*1.1)*'Jul''15 Envestra'!L10))</f>
        <v>106.95960000000002</v>
      </c>
      <c r="K44" s="59">
        <f>IF($H5*'Jul''15 Envestra'!M9/'Jul''15 Envestra'!M10&lt;'Jul''15 Envestra'!M11,0,IF($H5*'Jul''15 Envestra'!M9/'Jul''15 Envestra'!M10&lt;='Jul''15 Envestra'!M12,($H5*'Jul''15 Envestra'!M9/'Jul''15 Envestra'!M10-'Jul''15 Envestra'!M11)*('Jul''15 Envestra'!M17/100*1.1)*'Jul''15 Envestra'!M10,('Jul''15 Envestra'!M12-'Jul''15 Envestra'!M11)*('Jul''15 Envestra'!M17/100*1.1)*'Jul''15 Envestra'!M10))</f>
        <v>460.38561799999991</v>
      </c>
      <c r="L44" s="59">
        <f>IF($H5*'Jul''15 Envestra'!N9/'Jul''15 Envestra'!N10&lt;'Jul''15 Envestra'!N11,0,IF($H5*'Jul''15 Envestra'!N9/'Jul''15 Envestra'!N10&lt;='Jul''15 Envestra'!N12,($H5*'Jul''15 Envestra'!N9/'Jul''15 Envestra'!N10-'Jul''15 Envestra'!N11)*('Jul''15 Envestra'!N17/100*1.1)*'Jul''15 Envestra'!N10,('Jul''15 Envestra'!N12-'Jul''15 Envestra'!N11)*('Jul''15 Envestra'!N17/100*1.1)*'Jul''15 Envestra'!N10))</f>
        <v>108.60321999999999</v>
      </c>
      <c r="M44" s="59">
        <f>IF($H5*'Jul''15 Envestra'!O9/'Jul''15 Envestra'!O10&lt;'Jul''15 Envestra'!O11,0,IF($H5*'Jul''15 Envestra'!O9/'Jul''15 Envestra'!O10&lt;='Jul''15 Envestra'!O12,($H5*'Jul''15 Envestra'!O9/'Jul''15 Envestra'!O10-'Jul''15 Envestra'!O11)*('Jul''15 Envestra'!O17/100*1.1)*'Jul''15 Envestra'!O10,('Jul''15 Envestra'!O12-'Jul''15 Envestra'!O11)*('Jul''15 Envestra'!O17/100*1.1)*'Jul''15 Envestra'!O10))</f>
        <v>108.19820000000001</v>
      </c>
      <c r="N44" s="63"/>
    </row>
    <row r="45" spans="1:14" x14ac:dyDescent="0.15">
      <c r="A45" s="40" t="s">
        <v>611</v>
      </c>
      <c r="C45" s="59">
        <f>IF(($H5*'Jul''15 Envestra'!E9/'Jul''15 Envestra'!E10&gt;'Jul''15 Envestra'!E12),($H5*'Jul''15 Envestra'!E9/'Jul''15 Envestra'!E10-'Jul''15 Envestra'!E12)*'Jul''15 Envestra'!E18/100*1.1)*'Jul''15 Envestra'!E10</f>
        <v>496.70729460000001</v>
      </c>
      <c r="D45" s="59">
        <f>IF(($H5*'Jul''15 Envestra'!F9/'Jul''15 Envestra'!F10&gt;'Jul''15 Envestra'!F12),($H5*'Jul''15 Envestra'!F9/'Jul''15 Envestra'!F10-'Jul''15 Envestra'!F12)*'Jul''15 Envestra'!F18/100*1.1)*'Jul''15 Envestra'!F10</f>
        <v>0</v>
      </c>
      <c r="E45" s="59">
        <f>IF(($H5*'Jul''15 Envestra'!G9/'Jul''15 Envestra'!G10&gt;'Jul''15 Envestra'!G12),($H5*'Jul''15 Envestra'!G9/'Jul''15 Envestra'!G10-'Jul''15 Envestra'!G12)*'Jul''15 Envestra'!G18/100*1.1)*'Jul''15 Envestra'!G10</f>
        <v>0</v>
      </c>
      <c r="F45" s="59">
        <f>IF(($H5*'Jul''15 Envestra'!H9/'Jul''15 Envestra'!H10&gt;'Jul''15 Envestra'!H12),($H5*'Jul''15 Envestra'!H9/'Jul''15 Envestra'!H10-'Jul''15 Envestra'!H12)*'Jul''15 Envestra'!H18/100*1.1)*'Jul''15 Envestra'!H10</f>
        <v>360.96945720000008</v>
      </c>
      <c r="G45" s="59">
        <f>IF(($H5*'Jul''15 Envestra'!I9/'Jul''15 Envestra'!I10&gt;'Jul''15 Envestra'!I12),($H5*'Jul''15 Envestra'!I9/'Jul''15 Envestra'!I10-'Jul''15 Envestra'!I12)*'Jul''15 Envestra'!I18/100*1.1)*'Jul''15 Envestra'!I10</f>
        <v>0</v>
      </c>
      <c r="H45" s="59">
        <f>IF(($H5*'Jul''15 Envestra'!J9/'Jul''15 Envestra'!J10&gt;'Jul''15 Envestra'!J12),($H5*'Jul''15 Envestra'!J9/'Jul''15 Envestra'!J10-'Jul''15 Envestra'!J12)*'Jul''15 Envestra'!J18/100*1.1)*'Jul''15 Envestra'!J10</f>
        <v>0</v>
      </c>
      <c r="I45" s="59">
        <f>IF(($H5*'Jul''15 Envestra'!K9/'Jul''15 Envestra'!K10&gt;'Jul''15 Envestra'!K12),($H5*'Jul''15 Envestra'!K9/'Jul''15 Envestra'!K10-'Jul''15 Envestra'!K12)*'Jul''15 Envestra'!K18/100*1.1)*'Jul''15 Envestra'!K10</f>
        <v>461.93531999999988</v>
      </c>
      <c r="J45" s="59">
        <f>IF(($H5*'Jul''15 Envestra'!L9/'Jul''15 Envestra'!L10&gt;'Jul''15 Envestra'!L12),($H5*'Jul''15 Envestra'!L9/'Jul''15 Envestra'!L10-'Jul''15 Envestra'!L12)*'Jul''15 Envestra'!L18/100*1.1)*'Jul''15 Envestra'!L10</f>
        <v>544.15495199999998</v>
      </c>
      <c r="K45" s="59">
        <f>IF(($H5*'Jul''15 Envestra'!M9/'Jul''15 Envestra'!M10&gt;'Jul''15 Envestra'!M12),($H5*'Jul''15 Envestra'!M9/'Jul''15 Envestra'!M10-'Jul''15 Envestra'!M12)*'Jul''15 Envestra'!M18/100*1.1)*'Jul''15 Envestra'!M10</f>
        <v>0</v>
      </c>
      <c r="L45" s="59">
        <f>IF(($H5*'Jul''15 Envestra'!N9/'Jul''15 Envestra'!N10&gt;'Jul''15 Envestra'!N12),($H5*'Jul''15 Envestra'!N9/'Jul''15 Envestra'!N10-'Jul''15 Envestra'!N12)*'Jul''15 Envestra'!N18/100*1.1)*'Jul''15 Envestra'!N10</f>
        <v>511.15547340000001</v>
      </c>
      <c r="M45" s="59">
        <f>IF(($H5*'Jul''15 Envestra'!O9/'Jul''15 Envestra'!O10&gt;'Jul''15 Envestra'!O12),($H5*'Jul''15 Envestra'!O9/'Jul''15 Envestra'!O10-'Jul''15 Envestra'!O12)*'Jul''15 Envestra'!O18/100*1.1)*'Jul''15 Envestra'!O10</f>
        <v>490.28522399999991</v>
      </c>
      <c r="N45" s="63"/>
    </row>
    <row r="46" spans="1:14" x14ac:dyDescent="0.15">
      <c r="A46" s="40" t="s">
        <v>612</v>
      </c>
      <c r="C46" s="59">
        <f>365*'Jul''15 Envestra'!E19/100*1.1</f>
        <v>254.91235</v>
      </c>
      <c r="D46" s="59">
        <f>365*'Jul''15 Envestra'!F19/100*1.1</f>
        <v>248.93000000000004</v>
      </c>
      <c r="E46" s="59">
        <f>365*'Jul''15 Envestra'!G19/100*1.1</f>
        <v>260.01140000000004</v>
      </c>
      <c r="F46" s="59">
        <f>365*'Jul''15 Envestra'!H19/100*1.1</f>
        <v>257.32135</v>
      </c>
      <c r="G46" s="59">
        <f>365*'Jul''15 Envestra'!I19/100*1.1</f>
        <v>246.52100000000004</v>
      </c>
      <c r="H46" s="59">
        <f>365*'Jul''15 Envestra'!J19/100*1.1</f>
        <v>249.69284999999999</v>
      </c>
      <c r="I46" s="59">
        <f>365*'Jul''15 Envestra'!K19/100*1.1</f>
        <v>248.93000000000004</v>
      </c>
      <c r="J46" s="59">
        <f>365*'Jul''15 Envestra'!L19/100*1.1</f>
        <v>259.24855000000002</v>
      </c>
      <c r="K46" s="59">
        <f>365*'Jul''15 Envestra'!M19/100*1.1</f>
        <v>228.65425000000002</v>
      </c>
      <c r="L46" s="59">
        <f>365*'Jul''15 Envestra'!N19/100*1.1</f>
        <v>250.93750000000003</v>
      </c>
      <c r="M46" s="59">
        <f>365*'Jul''15 Envestra'!O19/100*1.1</f>
        <v>248.93000000000004</v>
      </c>
      <c r="N46" s="60">
        <f>AVERAGE(C46:M46)</f>
        <v>250.37174999999996</v>
      </c>
    </row>
    <row r="47" spans="1:14" x14ac:dyDescent="0.15">
      <c r="A47" s="62" t="s">
        <v>613</v>
      </c>
      <c r="B47" s="63"/>
      <c r="C47" s="61">
        <f t="shared" ref="C47:L47" si="2">SUM(C40:C46)</f>
        <v>1373.6479999000001</v>
      </c>
      <c r="D47" s="61">
        <f t="shared" si="2"/>
        <v>1452.4205663</v>
      </c>
      <c r="E47" s="61">
        <f t="shared" si="2"/>
        <v>1456.0864732700002</v>
      </c>
      <c r="F47" s="61">
        <f>SUM(F40:F46)</f>
        <v>1097.7482196999999</v>
      </c>
      <c r="G47" s="61">
        <f>SUM(G40:G46)</f>
        <v>1429.4548069999998</v>
      </c>
      <c r="H47" s="61">
        <f t="shared" si="2"/>
        <v>1366.3057583999998</v>
      </c>
      <c r="I47" s="61">
        <f t="shared" si="2"/>
        <v>1337.8329799999999</v>
      </c>
      <c r="J47" s="61">
        <f t="shared" si="2"/>
        <v>1436.6527779999999</v>
      </c>
      <c r="K47" s="61">
        <f t="shared" si="2"/>
        <v>1377.932215</v>
      </c>
      <c r="L47" s="61">
        <f t="shared" si="2"/>
        <v>1419.7892400999999</v>
      </c>
      <c r="M47" s="61">
        <f>SUM(M40:M46)</f>
        <v>1348.730636</v>
      </c>
      <c r="N47" s="64">
        <f>AVERAGE(C47:M47)</f>
        <v>1372.41833397</v>
      </c>
    </row>
    <row r="49" spans="1:14" x14ac:dyDescent="0.15">
      <c r="A49" s="53" t="s">
        <v>488</v>
      </c>
      <c r="C49" s="23" t="s">
        <v>1044</v>
      </c>
      <c r="D49" s="23" t="s">
        <v>591</v>
      </c>
      <c r="E49" s="23" t="s">
        <v>592</v>
      </c>
      <c r="F49" s="23" t="s">
        <v>614</v>
      </c>
      <c r="G49" s="23" t="s">
        <v>615</v>
      </c>
      <c r="H49" s="23" t="s">
        <v>595</v>
      </c>
      <c r="I49" s="23" t="s">
        <v>596</v>
      </c>
      <c r="J49" s="23" t="s">
        <v>486</v>
      </c>
      <c r="K49" s="23" t="s">
        <v>487</v>
      </c>
      <c r="L49" s="23" t="s">
        <v>599</v>
      </c>
      <c r="M49" s="23" t="s">
        <v>600</v>
      </c>
      <c r="N49" s="57" t="s">
        <v>601</v>
      </c>
    </row>
    <row r="50" spans="1:14" x14ac:dyDescent="0.15">
      <c r="A50" s="40" t="s">
        <v>602</v>
      </c>
      <c r="C50" s="59">
        <f>IF($H5*'Jul''15 Envestra'!E23/'Jul''15 Envestra'!E24&gt;='Jul''15 Envestra'!E27,('Jul''15 Envestra'!E27*'Jul''15 Envestra'!E45/100*1.1)*'Jul''15 Envestra'!E24,($H5*'Jul''15 Envestra'!E23/'Jul''15 Envestra'!E24*'Jul''15 Envestra'!E45/100*1.1)*'Jul''15 Envestra'!E24)</f>
        <v>75.880463999999989</v>
      </c>
      <c r="D50" s="59">
        <f>IF($H5*'Jul''15 Envestra'!F23/'Jul''15 Envestra'!F24&gt;='Jul''15 Envestra'!F27,('Jul''15 Envestra'!F27*'Jul''15 Envestra'!F29/100*1.1)*'Jul''15 Envestra'!F24,('Bills Jul''15'!$H5*'Jul''15 Envestra'!F23/'Jul''15 Envestra'!F24*'Jul''15 Envestra'!F29/100*1.1)*'Jul''15 Envestra'!F24)</f>
        <v>129.67680000000001</v>
      </c>
      <c r="E50" s="59">
        <f>IF($H5*'Jul''15 Envestra'!G23/'Jul''15 Envestra'!G24&gt;='Jul''15 Envestra'!G27,('Jul''15 Envestra'!G27*'Jul''15 Envestra'!G45/100*1.1)*'Jul''15 Envestra'!G24,($H5*'Jul''15 Envestra'!G23/'Jul''15 Envestra'!G24*'Jul''15 Envestra'!G45/100*1.1)*'Jul''15 Envestra'!G24)</f>
        <v>246.41760000000002</v>
      </c>
      <c r="F50" s="59">
        <f>IF($H5*'Jul''15 Envestra'!H23/'Jul''15 Envestra'!H24&gt;='Jul''15 Envestra'!H27,('Jul''15 Envestra'!H27*'Jul''15 Envestra'!H45/100*1.1)*'Jul''15 Envestra'!H24,($H5*'Jul''15 Envestra'!H23/'Jul''15 Envestra'!H24*'Jul''15 Envestra'!H45/100*1.1)*'Jul''15 Envestra'!H24)</f>
        <v>64.051680000000005</v>
      </c>
      <c r="G50" s="59">
        <f>IF($H5*'Jul''15 Envestra'!I23/'Jul''15 Envestra'!I24&gt;='Jul''15 Envestra'!I27,('Jul''15 Envestra'!I27*'Jul''15 Envestra'!I29/100*1.1)*'Jul''15 Envestra'!I24,('Bills Jul''15'!$H5*'Jul''15 Envestra'!I23/'Jul''15 Envestra'!I24*'Jul''15 Envestra'!I29/100*1.1)*'Jul''15 Envestra'!I24)</f>
        <v>126.72000000000001</v>
      </c>
      <c r="H50" s="59">
        <f>IF($H5*'Jul''15 Envestra'!J23/'Jul''15 Envestra'!J24&gt;='Jul''15 Envestra'!J27,('Jul''15 Envestra'!J27*'Jul''15 Envestra'!J29/100*1.1)*'Jul''15 Envestra'!J24,('Bills Jul''15'!$H5*'Jul''15 Envestra'!J23/'Jul''15 Envestra'!J24*'Jul''15 Envestra'!J29/100*1.1)*'Jul''15 Envestra'!J24)</f>
        <v>133.64736000000002</v>
      </c>
      <c r="I50" s="59">
        <f>IF($H5*'Jul''15 Envestra'!K23/'Jul''15 Envestra'!K24&gt;='Jul''15 Envestra'!K27,('Jul''15 Envestra'!K27*'Jul''15 Envestra'!K29/100*1.1)*'Jul''15 Envestra'!K24,('Bills Jul''15'!$H5*'Jul''15 Envestra'!K23/'Jul''15 Envestra'!K24*'Jul''15 Envestra'!K29/100*1.1)*'Jul''15 Envestra'!K24)</f>
        <v>118.80000000000001</v>
      </c>
      <c r="J50" s="59">
        <f>IF($H5*'Jul''15 Envestra'!L23/'Jul''15 Envestra'!L24&gt;='Jul''15 Envestra'!L27,('Jul''15 Envestra'!L27*'Jul''15 Envestra'!L29/100*1.1)*'Jul''15 Envestra'!L24,('Bills Jul''15'!$H5*'Jul''15 Envestra'!L23/'Jul''15 Envestra'!L24*'Jul''15 Envestra'!L29/100*1.1)*'Jul''15 Envestra'!L24)</f>
        <v>69.804240000000007</v>
      </c>
      <c r="K50" s="59">
        <f>IF($H5*'Jul''15 Envestra'!M23/'Jul''15 Envestra'!M24&gt;='Jul''15 Envestra'!M27,('Jul''15 Envestra'!M27*'Jul''15 Envestra'!M29/100*1.1)*'Jul''15 Envestra'!M24,('Bills Jul''15'!$H5*'Jul''15 Envestra'!M23/'Jul''15 Envestra'!M24*'Jul''15 Envestra'!M29/100*1.1)*'Jul''15 Envestra'!M24)</f>
        <v>123.90400000000001</v>
      </c>
      <c r="L50" s="59">
        <f>IF($H5*'Jul''15 Envestra'!N23/'Jul''15 Envestra'!N24&gt;='Jul''15 Envestra'!N27,('Jul''15 Envestra'!N27*'Jul''15 Envestra'!N45/100*1.1)*'Jul''15 Envestra'!N24,($H5*'Jul''15 Envestra'!N23/'Jul''15 Envestra'!N24*'Jul''15 Envestra'!N45/100*1.1)*'Jul''15 Envestra'!N24)</f>
        <v>81.012249999999995</v>
      </c>
      <c r="M50" s="59">
        <f>IF($H5*'Jul''15 Envestra'!O23/'Jul''15 Envestra'!O24&gt;='Jul''15 Envestra'!O27,('Jul''15 Envestra'!O27*'Jul''15 Envestra'!O45/100*1.1)*'Jul''15 Envestra'!O24,($H5*'Jul''15 Envestra'!O23/'Jul''15 Envestra'!O24*'Jul''15 Envestra'!O45/100*1.1)*'Jul''15 Envestra'!O24)</f>
        <v>76.461000000000013</v>
      </c>
      <c r="N50" s="63"/>
    </row>
    <row r="51" spans="1:14" x14ac:dyDescent="0.15">
      <c r="A51" s="40" t="s">
        <v>603</v>
      </c>
      <c r="C51" s="59">
        <f>IF($H5*'Jul''15 Envestra'!E23/'Jul''15 Envestra'!E25&lt;'Jul''15 Envestra'!E27,0,IF($H5*'Jul''15 Envestra'!E23/'Jul''15 Envestra'!E24&lt;='Jul''15 Envestra'!E28,($H5*'Jul''15 Envestra'!E23/'Jul''15 Envestra'!E24-'Jul''15 Envestra'!E27)*('Jul''15 Envestra'!E46/100*1.1)*'Jul''15 Envestra'!E24,('Jul''15 Envestra'!E28-'Jul''15 Envestra'!E27)*('Jul''15 Envestra'!E46/100*1.1)*'Jul''15 Envestra'!E24))</f>
        <v>51.600780000000007</v>
      </c>
      <c r="D51" s="59">
        <v>0</v>
      </c>
      <c r="E51" s="59">
        <f>IF($H5*'Jul''15 Envestra'!G23/'Jul''15 Envestra'!G25&lt;'Jul''15 Envestra'!G27,0,IF($H5*'Jul''15 Envestra'!G23/'Jul''15 Envestra'!G24&lt;='Jul''15 Envestra'!G28,($H5*'Jul''15 Envestra'!G23/'Jul''15 Envestra'!G24-'Jul''15 Envestra'!G27)*('Jul''15 Envestra'!G46/100*1.1)*'Jul''15 Envestra'!G24,('Jul''15 Envestra'!G28-'Jul''15 Envestra'!G27)*('Jul''15 Envestra'!G46/100*1.1)*'Jul''15 Envestra'!G24))</f>
        <v>159.21424133999997</v>
      </c>
      <c r="F51" s="59">
        <f>IF($H5*'Jul''15 Envestra'!H23/'Jul''15 Envestra'!H25&lt;'Jul''15 Envestra'!H27,0,IF($H5*'Jul''15 Envestra'!H23/'Jul''15 Envestra'!H24&lt;='Jul''15 Envestra'!H28,($H5*'Jul''15 Envestra'!H23/'Jul''15 Envestra'!H24-'Jul''15 Envestra'!H27)*('Jul''15 Envestra'!H46/100*1.1)*'Jul''15 Envestra'!H24,('Jul''15 Envestra'!H28-'Jul''15 Envestra'!H27)*('Jul''15 Envestra'!H46/100*1.1)*'Jul''15 Envestra'!H24))</f>
        <v>42.921120000000002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f>IF($H5*'Jul''15 Envestra'!N23/'Jul''15 Envestra'!N25&lt;'Jul''15 Envestra'!N27,0,IF($H5*'Jul''15 Envestra'!N23/'Jul''15 Envestra'!N24&lt;='Jul''15 Envestra'!N28,($H5*'Jul''15 Envestra'!N23/'Jul''15 Envestra'!N24-'Jul''15 Envestra'!N27)*('Jul''15 Envestra'!N46/100*1.1)*'Jul''15 Envestra'!N24,('Jul''15 Envestra'!N28-'Jul''15 Envestra'!N27)*('Jul''15 Envestra'!N46/100*1.1)*'Jul''15 Envestra'!N24))</f>
        <v>54.041240000000009</v>
      </c>
      <c r="M51" s="59">
        <f>IF($H5*'Jul''15 Envestra'!O23/'Jul''15 Envestra'!O25&lt;'Jul''15 Envestra'!O27,0,IF($H5*'Jul''15 Envestra'!O23/'Jul''15 Envestra'!O24&lt;='Jul''15 Envestra'!O28,($H5*'Jul''15 Envestra'!O23/'Jul''15 Envestra'!O24-'Jul''15 Envestra'!O27)*('Jul''15 Envestra'!O46/100*1.1)*'Jul''15 Envestra'!O24,('Jul''15 Envestra'!O28-'Jul''15 Envestra'!O27)*('Jul''15 Envestra'!O46/100*1.1)*'Jul''15 Envestra'!O24))</f>
        <v>56.413499999999999</v>
      </c>
      <c r="N51" s="63"/>
    </row>
    <row r="52" spans="1:14" x14ac:dyDescent="0.15">
      <c r="A52" s="40" t="s">
        <v>606</v>
      </c>
      <c r="C52" s="59">
        <f>IF(($H5*'Jul''15 Envestra'!E23/'Jul''15 Envestra'!E24&gt;'Jul''15 Envestra'!E28),($H5*'Jul''15 Envestra'!E23/'Jul''15 Envestra'!E24-'Jul''15 Envestra'!E28)*'Jul''15 Envestra'!E47/100*1.1*'Jul''15 Envestra'!E24,0)</f>
        <v>233.09076450000001</v>
      </c>
      <c r="D52" s="59">
        <f>IF(($H5*'Jul''15 Envestra'!F23/'Jul''15 Envestra'!F24&gt;'Jul''15 Envestra'!F27)*'Jul''15 Envestra'!F24,('Bills Jul''15'!$H5*'Jul''15 Envestra'!F23/'Jul''15 Envestra'!F24-'Jul''15 Envestra'!F28)*'Jul''15 Envestra'!F31/100*1.1)*'Jul''15 Envestra'!F24</f>
        <v>246.64611840000001</v>
      </c>
      <c r="E52" s="59">
        <f>IF(($H5*'Jul''15 Envestra'!G23/'Jul''15 Envestra'!G24&gt;'Jul''15 Envestra'!G28),($H5*'Jul''15 Envestra'!G23/'Jul''15 Envestra'!G24-'Jul''15 Envestra'!G28)*'Jul''15 Envestra'!G47/100*1.1*'Jul''15 Envestra'!G24,0)</f>
        <v>0</v>
      </c>
      <c r="F52" s="59">
        <f>IF(($H5*'Jul''15 Envestra'!H23/'Jul''15 Envestra'!H24&gt;'Jul''15 Envestra'!H28),($H5*'Jul''15 Envestra'!H23/'Jul''15 Envestra'!H24-'Jul''15 Envestra'!H28)*'Jul''15 Envestra'!H47/100*1.1*'Jul''15 Envestra'!H24,0)</f>
        <v>193.51790369999998</v>
      </c>
      <c r="G52" s="59">
        <f>IF(($H5*'Jul''15 Envestra'!I23/'Jul''15 Envestra'!I24&gt;'Jul''15 Envestra'!I27)*'Jul''15 Envestra'!I24,('Bills Jul''15'!$H5*'Jul''15 Envestra'!I23/'Jul''15 Envestra'!I24-'Jul''15 Envestra'!I28)*'Jul''15 Envestra'!I31/100*1.1)*'Jul''15 Envestra'!I24</f>
        <v>255.31727099999998</v>
      </c>
      <c r="H52" s="59">
        <f>IF(($H5*'Jul''15 Envestra'!J23/'Jul''15 Envestra'!J24&gt;'Jul''15 Envestra'!J27)*'Jul''15 Envestra'!J24,('Bills Jul''15'!$H5*'Jul''15 Envestra'!J23/'Jul''15 Envestra'!J24-'Jul''15 Envestra'!J28)*'Jul''15 Envestra'!J31/100*1.1)*'Jul''15 Envestra'!J24</f>
        <v>261.09803939999995</v>
      </c>
      <c r="I52" s="59">
        <f>IF(($H5*'Jul''15 Envestra'!K23/'Jul''15 Envestra'!K24&gt;'Jul''15 Envestra'!K27)*'Jul''15 Envestra'!K24,('Bills Jul''15'!$H5*'Jul''15 Envestra'!K23/'Jul''15 Envestra'!K24-'Jul''15 Envestra'!K28)*'Jul''15 Envestra'!K31/100*1.1)*'Jul''15 Envestra'!K24</f>
        <v>255.71419500000002</v>
      </c>
      <c r="J52" s="59">
        <f>IF(($H5*'Jul''15 Envestra'!L23/'Jul''15 Envestra'!L24&gt;'Jul''15 Envestra'!L27)*'Jul''15 Envestra'!L24,('Bills Jul''15'!$H5*'Jul''15 Envestra'!L23/'Jul''15 Envestra'!L24-'Jul''15 Envestra'!L28)*'Jul''15 Envestra'!L31/100*1.1)*'Jul''15 Envestra'!L24</f>
        <v>296.10952800000001</v>
      </c>
      <c r="K52" s="59">
        <f>IF(($H5*'Jul''15 Envestra'!M23/'Jul''15 Envestra'!M24&gt;'Jul''15 Envestra'!M27)*'Jul''15 Envestra'!M24,('Bills Jul''15'!$H5*'Jul''15 Envestra'!M23/'Jul''15 Envestra'!M24-'Jul''15 Envestra'!M28)*'Jul''15 Envestra'!M31/100*1.1)*'Jul''15 Envestra'!M24</f>
        <v>239.25958099999997</v>
      </c>
      <c r="L52" s="59">
        <f>IF(($H5*'Jul''15 Envestra'!N23/'Jul''15 Envestra'!N24&gt;'Jul''15 Envestra'!N28),($H5*'Jul''15 Envestra'!N23/'Jul''15 Envestra'!N24-'Jul''15 Envestra'!N28)*'Jul''15 Envestra'!N47/100*1.1*'Jul''15 Envestra'!N24,0)</f>
        <v>246.13643340000002</v>
      </c>
      <c r="M52" s="59">
        <f>IF(($H5*'Jul''15 Envestra'!O23/'Jul''15 Envestra'!O24&gt;'Jul''15 Envestra'!O28),($H5*'Jul''15 Envestra'!O23/'Jul''15 Envestra'!O24-'Jul''15 Envestra'!O28)*'Jul''15 Envestra'!O47/100*1.1*'Jul''15 Envestra'!O24,0)</f>
        <v>261.70630199999999</v>
      </c>
      <c r="N52" s="63"/>
    </row>
    <row r="53" spans="1:14" x14ac:dyDescent="0.15">
      <c r="A53" s="40" t="s">
        <v>607</v>
      </c>
      <c r="C53" s="59">
        <f>IF($H5*'Jul''15 Envestra'!E25/'Jul''15 Envestra'!E26&gt;='Jul''15 Envestra'!E27,('Jul''15 Envestra'!E27*'Jul''15 Envestra'!E48/100*1.1)*'Jul''15 Envestra'!E26,($H5*'Jul''15 Envestra'!E25/'Jul''15 Envestra'!E26*'Jul''15 Envestra'!E48/100*1.1*'Jul''15 Envestra'!E26))</f>
        <v>151.76092799999998</v>
      </c>
      <c r="D53" s="59">
        <f>IF($H5*'Jul''15 Envestra'!F25/'Jul''15 Envestra'!F26&gt;='Jul''15 Envestra'!F27,('Jul''15 Envestra'!F27*'Jul''15 Envestra'!F32/100*1.1)*'Jul''15 Envestra'!F26,('Bills Jul''15'!$H5*'Jul''15 Envestra'!F25/'Jul''15 Envestra'!F26*'Jul''15 Envestra'!F32/100*1.1)*'Jul''15 Envestra'!F26)</f>
        <v>259.35360000000003</v>
      </c>
      <c r="E53" s="59">
        <f>IF($H5*'Jul''15 Envestra'!G25/'Jul''15 Envestra'!G26&gt;='Jul''15 Envestra'!G27,('Jul''15 Envestra'!G27*'Jul''15 Envestra'!G48/100*1.1)*'Jul''15 Envestra'!G26,($H5*'Jul''15 Envestra'!G25/'Jul''15 Envestra'!G26*'Jul''15 Envestra'!G48/100*1.1*'Jul''15 Envestra'!G26))</f>
        <v>475.17360000000002</v>
      </c>
      <c r="F53" s="59">
        <f>IF($H5*'Jul''15 Envestra'!H25/'Jul''15 Envestra'!H26&gt;='Jul''15 Envestra'!H27,('Jul''15 Envestra'!H27*'Jul''15 Envestra'!H48/100*1.1)*'Jul''15 Envestra'!H26,($H5*'Jul''15 Envestra'!H25/'Jul''15 Envestra'!H26*'Jul''15 Envestra'!H48/100*1.1*'Jul''15 Envestra'!H26))</f>
        <v>125.81184000000002</v>
      </c>
      <c r="G53" s="59">
        <f>IF($H5*'Jul''15 Envestra'!I25/'Jul''15 Envestra'!I26&gt;='Jul''15 Envestra'!I27,('Jul''15 Envestra'!I27*'Jul''15 Envestra'!I32/100*1.1)*'Jul''15 Envestra'!I26,('Bills Jul''15'!$H5*'Jul''15 Envestra'!I25/'Jul''15 Envestra'!I26*'Jul''15 Envestra'!I32/100*1.1)*'Jul''15 Envestra'!I26)</f>
        <v>237.952</v>
      </c>
      <c r="H53" s="59">
        <f>IF($H5*'Jul''15 Envestra'!J25/'Jul''15 Envestra'!J26&gt;='Jul''15 Envestra'!J27,('Jul''15 Envestra'!J27*'Jul''15 Envestra'!J32/100*1.1)*'Jul''15 Envestra'!J26,('Bills Jul''15'!$H5*'Jul''15 Envestra'!J25/'Jul''15 Envestra'!J26*'Jul''15 Envestra'!J32/100*1.1)*'Jul''15 Envestra'!J26)</f>
        <v>259.15648000000004</v>
      </c>
      <c r="I53" s="59">
        <f>IF($H5*'Jul''15 Envestra'!K25/'Jul''15 Envestra'!K26&gt;='Jul''15 Envestra'!K27,('Jul''15 Envestra'!K27*'Jul''15 Envestra'!K32/100*1.1)*'Jul''15 Envestra'!K26,('Bills Jul''15'!$H5*'Jul''15 Envestra'!K25/'Jul''15 Envestra'!K26*'Jul''15 Envestra'!K32/100*1.1)*'Jul''15 Envestra'!K26)</f>
        <v>237.60000000000002</v>
      </c>
      <c r="J53" s="59">
        <f>IF($H5*'Jul''15 Envestra'!L25/'Jul''15 Envestra'!L26&gt;='Jul''15 Envestra'!L27,('Jul''15 Envestra'!L27*'Jul''15 Envestra'!L32/100*1.1)*'Jul''15 Envestra'!L26,('Bills Jul''15'!$H5*'Jul''15 Envestra'!L25/'Jul''15 Envestra'!L26*'Jul''15 Envestra'!L32/100*1.1)*'Jul''15 Envestra'!L26)</f>
        <v>139.60848000000001</v>
      </c>
      <c r="K53" s="59">
        <f>IF($H5*'Jul''15 Envestra'!M25/'Jul''15 Envestra'!M26&gt;='Jul''15 Envestra'!M27,('Jul''15 Envestra'!M27*'Jul''15 Envestra'!M32/100*1.1)*'Jul''15 Envestra'!M26,('Bills Jul''15'!$H5*'Jul''15 Envestra'!M25/'Jul''15 Envestra'!M26*'Jul''15 Envestra'!M32/100*1.1)*'Jul''15 Envestra'!M26)</f>
        <v>229.50399999999999</v>
      </c>
      <c r="L53" s="59">
        <f>IF($H5*'Jul''15 Envestra'!N25/'Jul''15 Envestra'!N26&gt;='Jul''15 Envestra'!N27,('Jul''15 Envestra'!N27*'Jul''15 Envestra'!N48/100*1.1)*'Jul''15 Envestra'!N26,($H5*'Jul''15 Envestra'!N25/'Jul''15 Envestra'!N26*'Jul''15 Envestra'!N48/100*1.1*'Jul''15 Envestra'!N26))</f>
        <v>162.02449999999999</v>
      </c>
      <c r="M53" s="59">
        <f>IF($H5*'Jul''15 Envestra'!O25/'Jul''15 Envestra'!O26&gt;='Jul''15 Envestra'!O27,('Jul''15 Envestra'!O27*'Jul''15 Envestra'!O48/100*1.1)*'Jul''15 Envestra'!O26,($H5*'Jul''15 Envestra'!O25/'Jul''15 Envestra'!O26*'Jul''15 Envestra'!O48/100*1.1*'Jul''15 Envestra'!O26))</f>
        <v>152.92200000000003</v>
      </c>
      <c r="N53" s="63"/>
    </row>
    <row r="54" spans="1:14" x14ac:dyDescent="0.15">
      <c r="A54" s="40" t="s">
        <v>608</v>
      </c>
      <c r="C54" s="59">
        <f>IF($H5*'Jul''15 Envestra'!E25/'Jul''15 Envestra'!E26&lt;'Jul''15 Envestra'!E27,0,IF($H5*'Jul''15 Envestra'!E25/'Jul''15 Envestra'!E26&lt;='Jul''15 Envestra'!E28,($H5*'Jul''15 Envestra'!E25/'Jul''15 Envestra'!E26-'Jul''15 Envestra'!E27)*('Jul''15 Envestra'!E49/100*1.1)*'Jul''15 Envestra'!E26,('Jul''15 Envestra'!E28-'Jul''15 Envestra'!E27)*('Jul''15 Envestra'!E49/100*1.1)*'Jul''15 Envestra'!E26))</f>
        <v>103.20156000000001</v>
      </c>
      <c r="D54" s="59">
        <v>0</v>
      </c>
      <c r="E54" s="59">
        <f>IF($H5*'Jul''15 Envestra'!G25/'Jul''15 Envestra'!G26&lt;'Jul''15 Envestra'!G27,0,IF($H5*'Jul''15 Envestra'!G25/'Jul''15 Envestra'!G26&lt;='Jul''15 Envestra'!G28,($H5*'Jul''15 Envestra'!G25/'Jul''15 Envestra'!G26-'Jul''15 Envestra'!G27)*('Jul''15 Envestra'!G49/100*1.1)*'Jul''15 Envestra'!G26,('Jul''15 Envestra'!G28-'Jul''15 Envestra'!G27)*('Jul''15 Envestra'!G49/100*1.1)*'Jul''15 Envestra'!G26))</f>
        <v>309.99565079999996</v>
      </c>
      <c r="F54" s="59">
        <f>IF($H5*'Jul''15 Envestra'!H25/'Jul''15 Envestra'!H26&lt;'Jul''15 Envestra'!H27,0,IF($H5*'Jul''15 Envestra'!H25/'Jul''15 Envestra'!H26&lt;='Jul''15 Envestra'!H28,($H5*'Jul''15 Envestra'!H25/'Jul''15 Envestra'!H26-'Jul''15 Envestra'!H27)*('Jul''15 Envestra'!H49/100*1.1)*'Jul''15 Envestra'!H26,('Jul''15 Envestra'!H28-'Jul''15 Envestra'!H27)*('Jul''15 Envestra'!H49/100*1.1)*'Jul''15 Envestra'!H26))</f>
        <v>84.041759999999996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f>IF($H5*'Jul''15 Envestra'!N25/'Jul''15 Envestra'!N26&lt;'Jul''15 Envestra'!N27,0,IF($H5*'Jul''15 Envestra'!N25/'Jul''15 Envestra'!N26&lt;='Jul''15 Envestra'!N28,($H5*'Jul''15 Envestra'!N25/'Jul''15 Envestra'!N26-'Jul''15 Envestra'!N27)*('Jul''15 Envestra'!N49/100*1.1)*'Jul''15 Envestra'!N26,('Jul''15 Envestra'!N28-'Jul''15 Envestra'!N27)*('Jul''15 Envestra'!N49/100*1.1)*'Jul''15 Envestra'!N26))</f>
        <v>108.08248000000002</v>
      </c>
      <c r="M54" s="59">
        <f>IF($H5*'Jul''15 Envestra'!O25/'Jul''15 Envestra'!O26&lt;'Jul''15 Envestra'!O27,0,IF($H5*'Jul''15 Envestra'!O25/'Jul''15 Envestra'!O26&lt;='Jul''15 Envestra'!O28,($H5*'Jul''15 Envestra'!O25/'Jul''15 Envestra'!O26-'Jul''15 Envestra'!O27)*('Jul''15 Envestra'!O49/100*1.1)*'Jul''15 Envestra'!O26,('Jul''15 Envestra'!O28-'Jul''15 Envestra'!O27)*('Jul''15 Envestra'!O49/100*1.1)*'Jul''15 Envestra'!O26))</f>
        <v>112.827</v>
      </c>
      <c r="N54" s="63"/>
    </row>
    <row r="55" spans="1:14" x14ac:dyDescent="0.15">
      <c r="A55" s="40" t="s">
        <v>611</v>
      </c>
      <c r="C55" s="59">
        <f>IF(($H5*'Jul''15 Envestra'!E25/'Jul''15 Envestra'!E26&gt;'Jul''15 Envestra'!E28),($H5*'Jul''15 Envestra'!E25/'Jul''15 Envestra'!E26-'Jul''15 Envestra'!E28)*'Jul''15 Envestra'!E50/100*1.1*'Jul''15 Envestra'!E26,0)</f>
        <v>466.18152900000001</v>
      </c>
      <c r="D55" s="59">
        <f>IF(($H5*'Jul''15 Envestra'!F25/'Jul''15 Envestra'!F26&gt;'Jul''15 Envestra'!F27),('Bills Jul''15'!$H5*'Jul''15 Envestra'!F25/'Jul''15 Envestra'!F26-'Jul''15 Envestra'!F27)*'Jul''15 Envestra'!F34/100*1.1)*'Jul''15 Envestra'!F26</f>
        <v>493.29223680000001</v>
      </c>
      <c r="E55" s="59">
        <f>IF(($H5*'Jul''15 Envestra'!G25/'Jul''15 Envestra'!G26&gt;'Jul''15 Envestra'!G28),($H5*'Jul''15 Envestra'!G25/'Jul''15 Envestra'!G26-'Jul''15 Envestra'!G28)*'Jul''15 Envestra'!G50/100*1.1*'Jul''15 Envestra'!G26,0)</f>
        <v>0</v>
      </c>
      <c r="F55" s="59">
        <f>IF(($H5*'Jul''15 Envestra'!H25/'Jul''15 Envestra'!H26&gt;'Jul''15 Envestra'!H28),($H5*'Jul''15 Envestra'!H25/'Jul''15 Envestra'!H26-'Jul''15 Envestra'!H28)*'Jul''15 Envestra'!H50/100*1.1*'Jul''15 Envestra'!H26,0)</f>
        <v>376.4772858</v>
      </c>
      <c r="G55" s="59">
        <f>IF(($H5*'Jul''15 Envestra'!I25/'Jul''15 Envestra'!I26&gt;'Jul''15 Envestra'!I27),('Bills Jul''15'!$H5*'Jul''15 Envestra'!I25/'Jul''15 Envestra'!I26-'Jul''15 Envestra'!I27)*'Jul''15 Envestra'!I34/100*1.1)*'Jul''15 Envestra'!I26</f>
        <v>484.94223799999997</v>
      </c>
      <c r="H55" s="59">
        <f>IF(($H5*'Jul''15 Envestra'!J25/'Jul''15 Envestra'!J26&gt;'Jul''15 Envestra'!J27),('Bills Jul''15'!$H5*'Jul''15 Envestra'!J25/'Jul''15 Envestra'!J26-'Jul''15 Envestra'!J27)*'Jul''15 Envestra'!J34/100*1.1)*'Jul''15 Envestra'!J26</f>
        <v>502.09185091999996</v>
      </c>
      <c r="I55" s="59">
        <f>IF(($H5*'Jul''15 Envestra'!K25/'Jul''15 Envestra'!K26&gt;'Jul''15 Envestra'!K27),('Bills Jul''15'!$H5*'Jul''15 Envestra'!K25/'Jul''15 Envestra'!K26-'Jul''15 Envestra'!K27)*'Jul''15 Envestra'!K34/100*1.1)*'Jul''15 Envestra'!K26</f>
        <v>511.42839000000004</v>
      </c>
      <c r="J55" s="59">
        <f>IF(($H5*'Jul''15 Envestra'!L25/'Jul''15 Envestra'!L26&gt;'Jul''15 Envestra'!L27),('Bills Jul''15'!$H5*'Jul''15 Envestra'!L25/'Jul''15 Envestra'!L26-'Jul''15 Envestra'!L27)*'Jul''15 Envestra'!L34/100*1.1)*'Jul''15 Envestra'!L26</f>
        <v>592.21905600000002</v>
      </c>
      <c r="K55" s="59">
        <f>IF(($H5*'Jul''15 Envestra'!M25/'Jul''15 Envestra'!M26&gt;'Jul''15 Envestra'!M27),('Bills Jul''15'!$H5*'Jul''15 Envestra'!M25/'Jul''15 Envestra'!M26-'Jul''15 Envestra'!M27)*'Jul''15 Envestra'!M34/100*1.1)*'Jul''15 Envestra'!M26</f>
        <v>452.82685799999996</v>
      </c>
      <c r="L55" s="59">
        <f>IF(($H5*'Jul''15 Envestra'!N25/'Jul''15 Envestra'!N26&gt;'Jul''15 Envestra'!N28),($H5*'Jul''15 Envestra'!N25/'Jul''15 Envestra'!N26-'Jul''15 Envestra'!N28)*'Jul''15 Envestra'!N50/100*1.1*'Jul''15 Envestra'!N26,0)</f>
        <v>492.27286680000003</v>
      </c>
      <c r="M55" s="59">
        <f>IF(($H5*'Jul''15 Envestra'!O25/'Jul''15 Envestra'!O26&gt;'Jul''15 Envestra'!O28),($H5*'Jul''15 Envestra'!O25/'Jul''15 Envestra'!O26-'Jul''15 Envestra'!O28)*'Jul''15 Envestra'!O50/100*1.1*'Jul''15 Envestra'!O26,0)</f>
        <v>523.41260399999999</v>
      </c>
      <c r="N55" s="63"/>
    </row>
    <row r="56" spans="1:14" x14ac:dyDescent="0.15">
      <c r="A56" s="40" t="s">
        <v>612</v>
      </c>
      <c r="C56" s="59">
        <f>365*'Jul''15 Envestra'!E35/100*1.1</f>
        <v>254.47070000000005</v>
      </c>
      <c r="D56" s="59">
        <f>365*'Jul''15 Envestra'!F35/100*1.1</f>
        <v>240.9</v>
      </c>
      <c r="E56" s="59">
        <f>365*'Jul''15 Envestra'!G35/100*1.1</f>
        <v>260.65380000000005</v>
      </c>
      <c r="F56" s="59">
        <f>365*'Jul''15 Envestra'!H35/100*1.1</f>
        <v>250.45570000000001</v>
      </c>
      <c r="G56" s="59">
        <f>365*'Jul''15 Envestra'!I35/100*1.1</f>
        <v>239.4546</v>
      </c>
      <c r="H56" s="59">
        <f>365*'Jul''15 Envestra'!J35/100*1.1</f>
        <v>246.52100000000004</v>
      </c>
      <c r="I56" s="59">
        <f>365*'Jul''15 Envestra'!K35/100*1.1</f>
        <v>248.93000000000004</v>
      </c>
      <c r="J56" s="59">
        <f>365*'Jul''15 Envestra'!L35/100*1.1</f>
        <v>256.19715000000002</v>
      </c>
      <c r="K56" s="59">
        <f>365*'Jul''15 Envestra'!M35/100*1.1</f>
        <v>228.65425000000002</v>
      </c>
      <c r="L56" s="59">
        <f>365*'Jul''15 Envestra'!N35/100*1.1</f>
        <v>250.93750000000003</v>
      </c>
      <c r="M56" s="59">
        <f>365*'Jul''15 Envestra'!O35/100*1.1</f>
        <v>240.9</v>
      </c>
      <c r="N56" s="60">
        <f>AVERAGE(C56:M56)</f>
        <v>247.0977</v>
      </c>
    </row>
    <row r="57" spans="1:14" x14ac:dyDescent="0.15">
      <c r="A57" s="62" t="s">
        <v>613</v>
      </c>
      <c r="B57" s="63"/>
      <c r="C57" s="61">
        <f t="shared" ref="C57:L57" si="3">SUM(C50:C56)</f>
        <v>1336.1867255</v>
      </c>
      <c r="D57" s="61">
        <f t="shared" si="3"/>
        <v>1369.8687552000001</v>
      </c>
      <c r="E57" s="61">
        <f t="shared" si="3"/>
        <v>1451.4548921400001</v>
      </c>
      <c r="F57" s="61">
        <f>SUM(F50:F56)</f>
        <v>1137.2772895000001</v>
      </c>
      <c r="G57" s="61">
        <f>SUM(G50:G56)</f>
        <v>1344.386109</v>
      </c>
      <c r="H57" s="61">
        <f t="shared" si="3"/>
        <v>1402.5147303199999</v>
      </c>
      <c r="I57" s="61">
        <f t="shared" si="3"/>
        <v>1372.4725850000002</v>
      </c>
      <c r="J57" s="61">
        <f t="shared" si="3"/>
        <v>1353.9384540000001</v>
      </c>
      <c r="K57" s="61">
        <f t="shared" si="3"/>
        <v>1274.1486889999999</v>
      </c>
      <c r="L57" s="61">
        <f t="shared" si="3"/>
        <v>1394.5072702</v>
      </c>
      <c r="M57" s="61">
        <f>SUM(M50:M56)</f>
        <v>1424.6424059999999</v>
      </c>
      <c r="N57" s="64">
        <f>AVERAGE(C57:M57)</f>
        <v>1351.0361732600002</v>
      </c>
    </row>
    <row r="59" spans="1:14" x14ac:dyDescent="0.15">
      <c r="A59" s="53" t="s">
        <v>1028</v>
      </c>
      <c r="C59" s="23" t="s">
        <v>1044</v>
      </c>
      <c r="D59" s="23" t="s">
        <v>591</v>
      </c>
      <c r="E59" s="23" t="s">
        <v>592</v>
      </c>
      <c r="F59" s="23" t="s">
        <v>614</v>
      </c>
      <c r="G59" s="23" t="s">
        <v>615</v>
      </c>
      <c r="H59" s="23" t="s">
        <v>595</v>
      </c>
      <c r="I59" s="23" t="s">
        <v>596</v>
      </c>
      <c r="J59" s="23" t="s">
        <v>486</v>
      </c>
      <c r="K59" s="23" t="s">
        <v>487</v>
      </c>
      <c r="L59" s="23" t="s">
        <v>599</v>
      </c>
      <c r="M59" s="23" t="s">
        <v>600</v>
      </c>
      <c r="N59" s="57" t="s">
        <v>601</v>
      </c>
    </row>
    <row r="60" spans="1:14" x14ac:dyDescent="0.15">
      <c r="A60" s="40" t="s">
        <v>602</v>
      </c>
      <c r="C60" s="59">
        <f>IF($H5*'Jul''15 Envestra'!E39/'Jul''15 Envestra'!E40&gt;='Jul''15 Envestra'!E43,('Jul''15 Envestra'!E43*'Jul''15 Envestra'!E45/100*1.1)*'Jul''15 Envestra'!E40,($H5*'Jul''15 Envestra'!E39/'Jul''15 Envestra'!E40*'Jul''15 Envestra'!E45/100*1.1)*'Jul''15 Envestra'!E40)</f>
        <v>75.880463999999989</v>
      </c>
      <c r="D60" s="59">
        <f>IF($H5*'Jul''15 Envestra'!F39/'Jul''15 Envestra'!F40&gt;='Jul''15 Envestra'!F43,('Jul''15 Envestra'!F43*'Jul''15 Envestra'!F45/100*1.1)*'Jul''15 Envestra'!F40,($H5*'Jul''15 Envestra'!F39/'Jul''15 Envestra'!F40*'Jul''15 Envestra'!F45/100*1.1)*'Jul''15 Envestra'!F40)</f>
        <v>164.12</v>
      </c>
      <c r="E60" s="59">
        <f>IF($H5*'Jul''15 Envestra'!G39/'Jul''15 Envestra'!G40&gt;='Jul''15 Envestra'!G43,('Jul''15 Envestra'!G43*'Jul''15 Envestra'!G45/100*1.1)*'Jul''15 Envestra'!G40,($H5*'Jul''15 Envestra'!G39/'Jul''15 Envestra'!G40*'Jul''15 Envestra'!G45/100*1.1)*'Jul''15 Envestra'!G40)</f>
        <v>246.41760000000002</v>
      </c>
      <c r="F60" s="59">
        <f>IF($H5*'Jul''15 Envestra'!H39/'Jul''15 Envestra'!H40&gt;='Jul''15 Envestra'!H43,('Jul''15 Envestra'!H43*'Jul''15 Envestra'!H45/100*1.1)*'Jul''15 Envestra'!H40,($H5*'Jul''15 Envestra'!H39/'Jul''15 Envestra'!H40*'Jul''15 Envestra'!H45/100*1.1)*'Jul''15 Envestra'!H40)</f>
        <v>64.051680000000005</v>
      </c>
      <c r="G60" s="59">
        <f>IF($H5*'Jul''15 Envestra'!I39/'Jul''15 Envestra'!I40&gt;='Jul''15 Envestra'!I43,('Jul''15 Envestra'!I43*'Jul''15 Envestra'!I45/100*1.1)*'Jul''15 Envestra'!I40,($H5*'Jul''15 Envestra'!I39/'Jul''15 Envestra'!I40*'Jul''15 Envestra'!I45/100*1.1)*'Jul''15 Envestra'!I40)</f>
        <v>162.80000000000001</v>
      </c>
      <c r="H60" s="59">
        <f>IF($H5*'Jul''15 Envestra'!J39/'Jul''15 Envestra'!J40&gt;='Jul''15 Envestra'!J43,('Jul''15 Envestra'!J43*'Jul''15 Envestra'!J45/100*1.1)*'Jul''15 Envestra'!J40,($H5*'Jul''15 Envestra'!J39/'Jul''15 Envestra'!J40*'Jul''15 Envestra'!J45/100*1.1)*'Jul''15 Envestra'!J40)</f>
        <v>167.64000000000001</v>
      </c>
      <c r="I60" s="59">
        <f>IF($H5*'Jul''15 Envestra'!K39/'Jul''15 Envestra'!K40&gt;='Jul''15 Envestra'!K43,('Jul''15 Envestra'!K43*'Jul''15 Envestra'!K45/100*1.1)*'Jul''15 Envestra'!K40,($H5*'Jul''15 Envestra'!K39/'Jul''15 Envestra'!K40*'Jul''15 Envestra'!K45/100*1.1)*'Jul''15 Envestra'!K40)</f>
        <v>125.4</v>
      </c>
      <c r="J60" s="59">
        <f>IF($H5*'Jul''15 Envestra'!L39/'Jul''15 Envestra'!L40&gt;='Jul''15 Envestra'!L43,('Jul''15 Envestra'!L43*'Jul''15 Envestra'!L45/100*1.1)*'Jul''15 Envestra'!L40,($H5*'Jul''15 Envestra'!L39/'Jul''15 Envestra'!L40*'Jul''15 Envestra'!L45/100*1.1)*'Jul''15 Envestra'!L40)</f>
        <v>82.824720000000013</v>
      </c>
      <c r="K60" s="59">
        <f>IF($H5*'Jul''15 Envestra'!M39/'Jul''15 Envestra'!M40&gt;='Jul''15 Envestra'!M43,('Jul''15 Envestra'!M43*'Jul''15 Envestra'!M45/100*1.1)*'Jul''15 Envestra'!M40,($H5*'Jul''15 Envestra'!M39/'Jul''15 Envestra'!M40*'Jul''15 Envestra'!M45/100*1.1)*'Jul''15 Envestra'!M40)</f>
        <v>158.4</v>
      </c>
      <c r="L60" s="59">
        <f>IF($H5*'Jul''15 Envestra'!N39/'Jul''15 Envestra'!N40&gt;='Jul''15 Envestra'!N43,('Jul''15 Envestra'!N43*'Jul''15 Envestra'!N45/100*1.1)*'Jul''15 Envestra'!N40,($H5*'Jul''15 Envestra'!N39/'Jul''15 Envestra'!N40*'Jul''15 Envestra'!N45/100*1.1)*'Jul''15 Envestra'!N40)</f>
        <v>81.012249999999995</v>
      </c>
      <c r="M60" s="59">
        <f>IF($H5*'Jul''15 Envestra'!O39/'Jul''15 Envestra'!O40&gt;='Jul''15 Envestra'!O43,('Jul''15 Envestra'!O43*'Jul''15 Envestra'!O45/100*1.1)*'Jul''15 Envestra'!O40,($H5*'Jul''15 Envestra'!O39/'Jul''15 Envestra'!O40*'Jul''15 Envestra'!O45/100*1.1)*'Jul''15 Envestra'!O40)</f>
        <v>76.461000000000013</v>
      </c>
      <c r="N60" s="63"/>
    </row>
    <row r="61" spans="1:14" x14ac:dyDescent="0.15">
      <c r="A61" s="40" t="s">
        <v>603</v>
      </c>
      <c r="C61" s="59">
        <f>IF($H5*'Jul''15 Envestra'!E39/'Jul''15 Envestra'!E40&lt;'Jul''15 Envestra'!E43,0,IF($H5*'Jul''15 Envestra'!E39/'Jul''15 Envestra'!E40&lt;='Jul''15 Envestra'!E44,($H5*'Jul''15 Envestra'!E39/'Jul''15 Envestra'!E40-'Jul''15 Envestra'!E43)*('Jul''15 Envestra'!E46/100*1.1)*'Jul''15 Envestra'!E40,('Jul''15 Envestra'!E44-'Jul''15 Envestra'!E43)*('Jul''15 Envestra'!E46/100*1.1)*'Jul''15 Envestra'!E40))</f>
        <v>51.600780000000007</v>
      </c>
      <c r="D61" s="59">
        <f>IF($H5*'Jul''15 Envestra'!F39/'Jul''15 Envestra'!F40&lt;'Jul''15 Envestra'!F43,0,IF($H5*'Jul''15 Envestra'!F39/'Jul''15 Envestra'!F40&lt;='Jul''15 Envestra'!F44,($H5*'Jul''15 Envestra'!F39/'Jul''15 Envestra'!F40-'Jul''15 Envestra'!F43)*('Jul''15 Envestra'!F46/100*1.1)*'Jul''15 Envestra'!F40,('Jul''15 Envestra'!F44-'Jul''15 Envestra'!F43)*('Jul''15 Envestra'!F46/100*1.1)*'Jul''15 Envestra'!F40))</f>
        <v>236.48379259999999</v>
      </c>
      <c r="E61" s="59">
        <f>IF($H5*'Jul''15 Envestra'!G39/'Jul''15 Envestra'!G40&lt;'Jul''15 Envestra'!G43,0,IF($H5*'Jul''15 Envestra'!G39/'Jul''15 Envestra'!G40&lt;='Jul''15 Envestra'!G44,($H5*'Jul''15 Envestra'!G39/'Jul''15 Envestra'!G40-'Jul''15 Envestra'!G43)*('Jul''15 Envestra'!G46/100*1.1)*'Jul''15 Envestra'!G40,('Jul''15 Envestra'!G44-'Jul''15 Envestra'!G43)*('Jul''15 Envestra'!G46/100*1.1)*'Jul''15 Envestra'!G40))</f>
        <v>159.21424133999997</v>
      </c>
      <c r="F61" s="59">
        <f>IF($H5*'Jul''15 Envestra'!H39/'Jul''15 Envestra'!H40&lt;'Jul''15 Envestra'!H43,0,IF($H5*'Jul''15 Envestra'!H39/'Jul''15 Envestra'!H40&lt;='Jul''15 Envestra'!H44,($H5*'Jul''15 Envestra'!H39/'Jul''15 Envestra'!H40-'Jul''15 Envestra'!H43)*('Jul''15 Envestra'!H46/100*1.1)*'Jul''15 Envestra'!H40,('Jul''15 Envestra'!H44-'Jul''15 Envestra'!H43)*('Jul''15 Envestra'!H46/100*1.1)*'Jul''15 Envestra'!H40))</f>
        <v>42.921120000000002</v>
      </c>
      <c r="G61" s="59">
        <f>IF($H5*'Jul''15 Envestra'!I39/'Jul''15 Envestra'!I40&lt;'Jul''15 Envestra'!I43,0,IF($H5*'Jul''15 Envestra'!I39/'Jul''15 Envestra'!I40&lt;='Jul''15 Envestra'!I44,($H5*'Jul''15 Envestra'!I39/'Jul''15 Envestra'!I40-'Jul''15 Envestra'!I43)*('Jul''15 Envestra'!I46/100*1.1)*'Jul''15 Envestra'!I40,('Jul''15 Envestra'!I44-'Jul''15 Envestra'!I43)*('Jul''15 Envestra'!I46/100*1.1)*'Jul''15 Envestra'!I40))</f>
        <v>234.48211599999996</v>
      </c>
      <c r="H61" s="59">
        <f>IF($H5*'Jul''15 Envestra'!J39/'Jul''15 Envestra'!J40&lt;'Jul''15 Envestra'!J43,0,IF($H5*'Jul''15 Envestra'!J39/'Jul''15 Envestra'!J40&lt;='Jul''15 Envestra'!J44,($H5*'Jul''15 Envestra'!J39/'Jul''15 Envestra'!J40-'Jul''15 Envestra'!J43)*('Jul''15 Envestra'!J46/100*1.1)*'Jul''15 Envestra'!J40,('Jul''15 Envestra'!J44-'Jul''15 Envestra'!J43)*('Jul''15 Envestra'!J46/100*1.1)*'Jul''15 Envestra'!J40))</f>
        <v>228.04815549999998</v>
      </c>
      <c r="I61" s="59">
        <f>IF($H5*'Jul''15 Envestra'!K39/'Jul''15 Envestra'!K40&lt;'Jul''15 Envestra'!K43,0,IF($H5*'Jul''15 Envestra'!K39/'Jul''15 Envestra'!K40&lt;='Jul''15 Envestra'!K44,($H5*'Jul''15 Envestra'!K39/'Jul''15 Envestra'!K40-'Jul''15 Envestra'!K43)*('Jul''15 Envestra'!K46/100*1.1)*'Jul''15 Envestra'!K40,('Jul''15 Envestra'!K44-'Jul''15 Envestra'!K43)*('Jul''15 Envestra'!K46/100*1.1)*'Jul''15 Envestra'!K40))</f>
        <v>0</v>
      </c>
      <c r="J61" s="59">
        <f>IF($H5*'Jul''15 Envestra'!L39/'Jul''15 Envestra'!L40&lt;'Jul''15 Envestra'!L43,0,IF($H5*'Jul''15 Envestra'!L39/'Jul''15 Envestra'!L40&lt;='Jul''15 Envestra'!L44,($H5*'Jul''15 Envestra'!L39/'Jul''15 Envestra'!L40-'Jul''15 Envestra'!L43)*('Jul''15 Envestra'!L46/100*1.1)*'Jul''15 Envestra'!L40,('Jul''15 Envestra'!L44-'Jul''15 Envestra'!L43)*('Jul''15 Envestra'!L46/100*1.1)*'Jul''15 Envestra'!L40))</f>
        <v>56.659680000000016</v>
      </c>
      <c r="K61" s="59">
        <f>IF($H5*'Jul''15 Envestra'!M39/'Jul''15 Envestra'!M40&lt;'Jul''15 Envestra'!M43,0,IF($H5*'Jul''15 Envestra'!M39/'Jul''15 Envestra'!M40&lt;='Jul''15 Envestra'!M44,($H5*'Jul''15 Envestra'!M39/'Jul''15 Envestra'!M40-'Jul''15 Envestra'!M43)*('Jul''15 Envestra'!M46/100*1.1)*'Jul''15 Envestra'!M40,('Jul''15 Envestra'!M44-'Jul''15 Envestra'!M43)*('Jul''15 Envestra'!M46/100*1.1)*'Jul''15 Envestra'!M40))</f>
        <v>224.47373300000001</v>
      </c>
      <c r="L61" s="59">
        <f>IF($H5*'Jul''15 Envestra'!N39/'Jul''15 Envestra'!N40&lt;'Jul''15 Envestra'!N43,0,IF($H5*'Jul''15 Envestra'!N39/'Jul''15 Envestra'!N40&lt;='Jul''15 Envestra'!N44,($H5*'Jul''15 Envestra'!N39/'Jul''15 Envestra'!N40-'Jul''15 Envestra'!N43)*('Jul''15 Envestra'!N46/100*1.1)*'Jul''15 Envestra'!N40,('Jul''15 Envestra'!N44-'Jul''15 Envestra'!N43)*('Jul''15 Envestra'!N46/100*1.1)*'Jul''15 Envestra'!N40))</f>
        <v>54.041240000000009</v>
      </c>
      <c r="M61" s="59">
        <f>IF($H5*'Jul''15 Envestra'!O39/'Jul''15 Envestra'!O40&lt;'Jul''15 Envestra'!O43,0,IF($H5*'Jul''15 Envestra'!O39/'Jul''15 Envestra'!O40&lt;='Jul''15 Envestra'!O44,($H5*'Jul''15 Envestra'!O39/'Jul''15 Envestra'!O40-'Jul''15 Envestra'!O43)*('Jul''15 Envestra'!O46/100*1.1)*'Jul''15 Envestra'!O40,('Jul''15 Envestra'!O44-'Jul''15 Envestra'!O43)*('Jul''15 Envestra'!O46/100*1.1)*'Jul''15 Envestra'!O40))</f>
        <v>56.413499999999999</v>
      </c>
      <c r="N61" s="63"/>
    </row>
    <row r="62" spans="1:14" x14ac:dyDescent="0.15">
      <c r="A62" s="40" t="s">
        <v>606</v>
      </c>
      <c r="C62" s="59">
        <f>IF(($H5*'Jul''15 Envestra'!E39/'Jul''15 Envestra'!E40&gt;'Jul''15 Envestra'!E44),($H5*'Jul''15 Envestra'!E39/'Jul''15 Envestra'!E40-'Jul''15 Envestra'!E44)*'Jul''15 Envestra'!E47/100*1.1)*'Jul''15 Envestra'!E40</f>
        <v>233.09076450000001</v>
      </c>
      <c r="D62" s="59">
        <f>IF(($H5*'Jul''15 Envestra'!F39/'Jul''15 Envestra'!F40&gt;'Jul''15 Envestra'!F44),($H5*'Jul''15 Envestra'!F39/'Jul''15 Envestra'!F40-'Jul''15 Envestra'!F44)*'Jul''15 Envestra'!F47/100*1.1)*'Jul''15 Envestra'!F40</f>
        <v>0</v>
      </c>
      <c r="E62" s="59">
        <f>IF(($H5*'Jul''15 Envestra'!G39/'Jul''15 Envestra'!G40&gt;'Jul''15 Envestra'!G44),($H5*'Jul''15 Envestra'!G39/'Jul''15 Envestra'!G40-'Jul''15 Envestra'!G44)*'Jul''15 Envestra'!G47/100*1.1)*'Jul''15 Envestra'!G40</f>
        <v>0</v>
      </c>
      <c r="F62" s="59">
        <f>IF(($H5*'Jul''15 Envestra'!H39/'Jul''15 Envestra'!H40&gt;'Jul''15 Envestra'!H44),($H5*'Jul''15 Envestra'!H39/'Jul''15 Envestra'!H40-'Jul''15 Envestra'!H44)*'Jul''15 Envestra'!H47/100*1.1)*'Jul''15 Envestra'!H40</f>
        <v>193.51790369999998</v>
      </c>
      <c r="G62" s="59">
        <f>IF(($H5*'Jul''15 Envestra'!I39/'Jul''15 Envestra'!I40&gt;'Jul''15 Envestra'!I44),($H5*'Jul''15 Envestra'!I39/'Jul''15 Envestra'!I40-'Jul''15 Envestra'!I44)*'Jul''15 Envestra'!I47/100*1.1)*'Jul''15 Envestra'!I40</f>
        <v>0</v>
      </c>
      <c r="H62" s="59">
        <f>IF(($H5*'Jul''15 Envestra'!J39/'Jul''15 Envestra'!J40&gt;'Jul''15 Envestra'!J44),($H5*'Jul''15 Envestra'!J39/'Jul''15 Envestra'!J40-'Jul''15 Envestra'!J44)*'Jul''15 Envestra'!J47/100*1.1)*'Jul''15 Envestra'!J40</f>
        <v>0</v>
      </c>
      <c r="I62" s="59">
        <f>IF(($H5*'Jul''15 Envestra'!K39/'Jul''15 Envestra'!K40&gt;'Jul''15 Envestra'!K44),($H5*'Jul''15 Envestra'!K39/'Jul''15 Envestra'!K40-'Jul''15 Envestra'!K44)*'Jul''15 Envestra'!K47/100*1.1)*'Jul''15 Envestra'!K40</f>
        <v>247.46535</v>
      </c>
      <c r="J62" s="59">
        <f>IF(($H5*'Jul''15 Envestra'!L39/'Jul''15 Envestra'!L40&gt;'Jul''15 Envestra'!L44),($H5*'Jul''15 Envestra'!L39/'Jul''15 Envestra'!L40-'Jul''15 Envestra'!L44)*'Jul''15 Envestra'!L47/100*1.1)*'Jul''15 Envestra'!L40</f>
        <v>255.48738599999999</v>
      </c>
      <c r="K62" s="59">
        <f>IF(($H5*'Jul''15 Envestra'!M39/'Jul''15 Envestra'!M40&gt;'Jul''15 Envestra'!M44),($H5*'Jul''15 Envestra'!M39/'Jul''15 Envestra'!M40-'Jul''15 Envestra'!M44)*'Jul''15 Envestra'!M47/100*1.1)*'Jul''15 Envestra'!M40</f>
        <v>0</v>
      </c>
      <c r="L62" s="59">
        <f>IF(($H5*'Jul''15 Envestra'!N39/'Jul''15 Envestra'!N40&gt;'Jul''15 Envestra'!N44),($H5*'Jul''15 Envestra'!N39/'Jul''15 Envestra'!N40-'Jul''15 Envestra'!N44)*'Jul''15 Envestra'!N47/100*1.1)*'Jul''15 Envestra'!N40</f>
        <v>246.13643340000002</v>
      </c>
      <c r="M62" s="59">
        <f>IF(($H5*'Jul''15 Envestra'!O39/'Jul''15 Envestra'!O40&gt;'Jul''15 Envestra'!O44),($H5*'Jul''15 Envestra'!O39/'Jul''15 Envestra'!O40-'Jul''15 Envestra'!O44)*'Jul''15 Envestra'!O47/100*1.1)*'Jul''15 Envestra'!O40</f>
        <v>261.70630199999999</v>
      </c>
      <c r="N62" s="63"/>
    </row>
    <row r="63" spans="1:14" x14ac:dyDescent="0.15">
      <c r="A63" s="40" t="s">
        <v>607</v>
      </c>
      <c r="C63" s="59">
        <f>IF($H5*'Jul''15 Envestra'!E41/'Jul''15 Envestra'!E42&gt;='Jul''15 Envestra'!E43,('Jul''15 Envestra'!E43*'Jul''15 Envestra'!E48/100*1.1)*'Jul''15 Envestra'!E42,($H5*'Jul''15 Envestra'!E41/'Jul''15 Envestra'!E42*'Jul''15 Envestra'!E48/100*1.1)*'Jul''15 Envestra'!E42)</f>
        <v>151.76092799999998</v>
      </c>
      <c r="D63" s="59">
        <f>IF($H5*'Jul''15 Envestra'!F41/'Jul''15 Envestra'!F42&gt;='Jul''15 Envestra'!F43,('Jul''15 Envestra'!F43*'Jul''15 Envestra'!F48/100*1.1)*'Jul''15 Envestra'!F42,($H5*'Jul''15 Envestra'!F41/'Jul''15 Envestra'!F42*'Jul''15 Envestra'!F48/100*1.1)*'Jul''15 Envestra'!F42)</f>
        <v>328.24</v>
      </c>
      <c r="E63" s="59">
        <f>IF($H5*'Jul''15 Envestra'!G41/'Jul''15 Envestra'!G42&gt;='Jul''15 Envestra'!G43,('Jul''15 Envestra'!G43*'Jul''15 Envestra'!G48/100*1.1)*'Jul''15 Envestra'!G42,($H5*'Jul''15 Envestra'!G41/'Jul''15 Envestra'!G42*'Jul''15 Envestra'!G48/100*1.1)*'Jul''15 Envestra'!G42)</f>
        <v>475.17360000000002</v>
      </c>
      <c r="F63" s="59">
        <f>IF($H5*'Jul''15 Envestra'!H41/'Jul''15 Envestra'!H42&gt;='Jul''15 Envestra'!H43,('Jul''15 Envestra'!H43*'Jul''15 Envestra'!H48/100*1.1)*'Jul''15 Envestra'!H42,($H5*'Jul''15 Envestra'!H41/'Jul''15 Envestra'!H42*'Jul''15 Envestra'!H48/100*1.1)*'Jul''15 Envestra'!H42)</f>
        <v>125.81184000000002</v>
      </c>
      <c r="G63" s="59">
        <f>IF($H5*'Jul''15 Envestra'!I41/'Jul''15 Envestra'!I42&gt;='Jul''15 Envestra'!I43,('Jul''15 Envestra'!I43*'Jul''15 Envestra'!I48/100*1.1)*'Jul''15 Envestra'!I42,($H5*'Jul''15 Envestra'!I41/'Jul''15 Envestra'!I42*'Jul''15 Envestra'!I48/100*1.1)*'Jul''15 Envestra'!I42)</f>
        <v>320.32</v>
      </c>
      <c r="H63" s="59">
        <f>IF($H5*'Jul''15 Envestra'!J41/'Jul''15 Envestra'!J42&gt;='Jul''15 Envestra'!J43,('Jul''15 Envestra'!J43*'Jul''15 Envestra'!J48/100*1.1)*'Jul''15 Envestra'!J42,($H5*'Jul''15 Envestra'!J41/'Jul''15 Envestra'!J42*'Jul''15 Envestra'!J48/100*1.1)*'Jul''15 Envestra'!J42)</f>
        <v>326.97280000000001</v>
      </c>
      <c r="I63" s="59">
        <f>IF($H5*'Jul''15 Envestra'!K41/'Jul''15 Envestra'!K42&gt;='Jul''15 Envestra'!K43,('Jul''15 Envestra'!K43*'Jul''15 Envestra'!K48/100*1.1)*'Jul''15 Envestra'!K42,($H5*'Jul''15 Envestra'!K41/'Jul''15 Envestra'!K42*'Jul''15 Envestra'!K48/100*1.1)*'Jul''15 Envestra'!K42)</f>
        <v>250.8</v>
      </c>
      <c r="J63" s="59">
        <f>IF($H5*'Jul''15 Envestra'!L41/'Jul''15 Envestra'!L42&gt;='Jul''15 Envestra'!L43,('Jul''15 Envestra'!L43*'Jul''15 Envestra'!L48/100*1.1)*'Jul''15 Envestra'!L42,($H5*'Jul''15 Envestra'!L41/'Jul''15 Envestra'!L42*'Jul''15 Envestra'!L48/100*1.1)*'Jul''15 Envestra'!L42)</f>
        <v>165.64944000000003</v>
      </c>
      <c r="K63" s="59">
        <f>IF($H5*'Jul''15 Envestra'!M41/'Jul''15 Envestra'!M42&gt;='Jul''15 Envestra'!M43,('Jul''15 Envestra'!M43*'Jul''15 Envestra'!M48/100*1.1)*'Jul''15 Envestra'!M42,($H5*'Jul''15 Envestra'!M41/'Jul''15 Envestra'!M42*'Jul''15 Envestra'!M48/100*1.1)*'Jul''15 Envestra'!M42)</f>
        <v>306.24</v>
      </c>
      <c r="L63" s="59">
        <f>IF($H5*'Jul''15 Envestra'!N41/'Jul''15 Envestra'!N42&gt;='Jul''15 Envestra'!N43,('Jul''15 Envestra'!N43*'Jul''15 Envestra'!N48/100*1.1)*'Jul''15 Envestra'!N42,($H5*'Jul''15 Envestra'!N41/'Jul''15 Envestra'!N42*'Jul''15 Envestra'!N48/100*1.1)*'Jul''15 Envestra'!N42)</f>
        <v>162.02449999999999</v>
      </c>
      <c r="M63" s="59">
        <f>IF($H5*'Jul''15 Envestra'!O41/'Jul''15 Envestra'!O42&gt;='Jul''15 Envestra'!O43,('Jul''15 Envestra'!O43*'Jul''15 Envestra'!O48/100*1.1)*'Jul''15 Envestra'!O42,($H5*'Jul''15 Envestra'!O41/'Jul''15 Envestra'!O42*'Jul''15 Envestra'!O48/100*1.1)*'Jul''15 Envestra'!O42)</f>
        <v>152.92200000000003</v>
      </c>
      <c r="N63" s="63"/>
    </row>
    <row r="64" spans="1:14" x14ac:dyDescent="0.15">
      <c r="A64" s="40" t="s">
        <v>608</v>
      </c>
      <c r="C64" s="59">
        <f>IF($H5*'Jul''15 Envestra'!E41/'Jul''15 Envestra'!E42&lt;'Jul''15 Envestra'!E43,0,IF($H5*'Jul''15 Envestra'!E41/'Jul''15 Envestra'!E42&lt;='Jul''15 Envestra'!E44,($H5*'Jul''15 Envestra'!E41/'Jul''15 Envestra'!E42-'Jul''15 Envestra'!E43)*('Jul''15 Envestra'!E49/100*1.1)*'Jul''15 Envestra'!E42,('Jul''15 Envestra'!E44-'Jul''15 Envestra'!E43)*('Jul''15 Envestra'!E49/100*1.1)*'Jul''15 Envestra'!E42))</f>
        <v>103.20156000000001</v>
      </c>
      <c r="D64" s="59">
        <f>IF($H5*'Jul''15 Envestra'!F41/'Jul''15 Envestra'!F42&lt;'Jul''15 Envestra'!F43,0,IF($H5*'Jul''15 Envestra'!F41/'Jul''15 Envestra'!F42&lt;='Jul''15 Envestra'!F44,($H5*'Jul''15 Envestra'!F41/'Jul''15 Envestra'!F42-'Jul''15 Envestra'!F43)*('Jul''15 Envestra'!F49/100*1.1)*'Jul''15 Envestra'!F42,('Jul''15 Envestra'!F44-'Jul''15 Envestra'!F43)*('Jul''15 Envestra'!F49/100*1.1)*'Jul''15 Envestra'!F42))</f>
        <v>472.96758519999997</v>
      </c>
      <c r="E64" s="59">
        <f>IF($H5*'Jul''15 Envestra'!G41/'Jul''15 Envestra'!G42&lt;'Jul''15 Envestra'!G43,0,IF($H5*'Jul''15 Envestra'!G41/'Jul''15 Envestra'!G42&lt;='Jul''15 Envestra'!G44,($H5*'Jul''15 Envestra'!G41/'Jul''15 Envestra'!G42-'Jul''15 Envestra'!G43)*('Jul''15 Envestra'!G49/100*1.1)*'Jul''15 Envestra'!G42,('Jul''15 Envestra'!G44-'Jul''15 Envestra'!G43)*('Jul''15 Envestra'!G49/100*1.1)*'Jul''15 Envestra'!G42))</f>
        <v>309.99565079999996</v>
      </c>
      <c r="F64" s="59">
        <f>IF($H5*'Jul''15 Envestra'!H41/'Jul''15 Envestra'!H42&lt;'Jul''15 Envestra'!H43,0,IF($H5*'Jul''15 Envestra'!H41/'Jul''15 Envestra'!H42&lt;='Jul''15 Envestra'!H44,($H5*'Jul''15 Envestra'!H41/'Jul''15 Envestra'!H42-'Jul''15 Envestra'!H43)*('Jul''15 Envestra'!H49/100*1.1)*'Jul''15 Envestra'!H42,('Jul''15 Envestra'!H44-'Jul''15 Envestra'!H43)*('Jul''15 Envestra'!H49/100*1.1)*'Jul''15 Envestra'!H42))</f>
        <v>84.041759999999996</v>
      </c>
      <c r="G64" s="59">
        <f>IF($H5*'Jul''15 Envestra'!I41/'Jul''15 Envestra'!I42&lt;'Jul''15 Envestra'!I43,0,IF($H5*'Jul''15 Envestra'!I41/'Jul''15 Envestra'!I42&lt;='Jul''15 Envestra'!I44,($H5*'Jul''15 Envestra'!I41/'Jul''15 Envestra'!I42-'Jul''15 Envestra'!I43)*('Jul''15 Envestra'!I49/100*1.1)*'Jul''15 Envestra'!I42,('Jul''15 Envestra'!I44-'Jul''15 Envestra'!I43)*('Jul''15 Envestra'!I49/100*1.1)*'Jul''15 Envestra'!I42))</f>
        <v>463.24515600000007</v>
      </c>
      <c r="H64" s="59">
        <f>IF($H5*'Jul''15 Envestra'!J41/'Jul''15 Envestra'!J42&lt;'Jul''15 Envestra'!J43,0,IF($H5*'Jul''15 Envestra'!J41/'Jul''15 Envestra'!J42&lt;='Jul''15 Envestra'!J44,($H5*'Jul''15 Envestra'!J41/'Jul''15 Envestra'!J42-'Jul''15 Envestra'!J43)*('Jul''15 Envestra'!J49/100*1.1)*'Jul''15 Envestra'!J42,('Jul''15 Envestra'!J44-'Jul''15 Envestra'!J43)*('Jul''15 Envestra'!J49/100*1.1)*'Jul''15 Envestra'!J42))</f>
        <v>444.25782368</v>
      </c>
      <c r="I64" s="59">
        <f>IF($H5*'Jul''15 Envestra'!K41/'Jul''15 Envestra'!K42&lt;'Jul''15 Envestra'!K43,0,IF($H5*'Jul''15 Envestra'!K41/'Jul''15 Envestra'!K42&lt;='Jul''15 Envestra'!K44,($H5*'Jul''15 Envestra'!K41/'Jul''15 Envestra'!K42-'Jul''15 Envestra'!K43)*('Jul''15 Envestra'!K49/100*1.1)*'Jul''15 Envestra'!K42,('Jul''15 Envestra'!K44-'Jul''15 Envestra'!K43)*('Jul''15 Envestra'!K49/100*1.1)*'Jul''15 Envestra'!K42))</f>
        <v>0</v>
      </c>
      <c r="J64" s="59">
        <f>IF($H5*'Jul''15 Envestra'!L41/'Jul''15 Envestra'!L42&lt;'Jul''15 Envestra'!L43,0,IF($H5*'Jul''15 Envestra'!L41/'Jul''15 Envestra'!L42&lt;='Jul''15 Envestra'!L44,($H5*'Jul''15 Envestra'!L41/'Jul''15 Envestra'!L42-'Jul''15 Envestra'!L43)*('Jul''15 Envestra'!L49/100*1.1)*'Jul''15 Envestra'!L42,('Jul''15 Envestra'!L44-'Jul''15 Envestra'!L43)*('Jul''15 Envestra'!L49/100*1.1)*'Jul''15 Envestra'!L42))</f>
        <v>113.31936000000003</v>
      </c>
      <c r="K64" s="59">
        <f>IF($H5*'Jul''15 Envestra'!M41/'Jul''15 Envestra'!M42&lt;'Jul''15 Envestra'!M43,0,IF($H5*'Jul''15 Envestra'!M41/'Jul''15 Envestra'!M42&lt;='Jul''15 Envestra'!M44,($H5*'Jul''15 Envestra'!M41/'Jul''15 Envestra'!M42-'Jul''15 Envestra'!M43)*('Jul''15 Envestra'!M49/100*1.1)*'Jul''15 Envestra'!M42,('Jul''15 Envestra'!M44-'Jul''15 Envestra'!M43)*('Jul''15 Envestra'!M49/100*1.1)*'Jul''15 Envestra'!M42))</f>
        <v>428.93069999999994</v>
      </c>
      <c r="L64" s="59">
        <f>IF($H5*'Jul''15 Envestra'!N41/'Jul''15 Envestra'!N42&lt;'Jul''15 Envestra'!N43,0,IF($H5*'Jul''15 Envestra'!N41/'Jul''15 Envestra'!N42&lt;='Jul''15 Envestra'!N44,($H5*'Jul''15 Envestra'!N41/'Jul''15 Envestra'!N42-'Jul''15 Envestra'!N43)*('Jul''15 Envestra'!N49/100*1.1)*'Jul''15 Envestra'!N42,('Jul''15 Envestra'!N44-'Jul''15 Envestra'!N43)*('Jul''15 Envestra'!N49/100*1.1)*'Jul''15 Envestra'!N42))</f>
        <v>108.08248000000002</v>
      </c>
      <c r="M64" s="59">
        <f>IF($H5*'Jul''15 Envestra'!O41/'Jul''15 Envestra'!O42&lt;'Jul''15 Envestra'!O43,0,IF($H5*'Jul''15 Envestra'!O41/'Jul''15 Envestra'!O42&lt;='Jul''15 Envestra'!O44,($H5*'Jul''15 Envestra'!O41/'Jul''15 Envestra'!O42-'Jul''15 Envestra'!O43)*('Jul''15 Envestra'!O49/100*1.1)*'Jul''15 Envestra'!O42,('Jul''15 Envestra'!O44-'Jul''15 Envestra'!O43)*('Jul''15 Envestra'!O49/100*1.1)*'Jul''15 Envestra'!O42))</f>
        <v>112.827</v>
      </c>
      <c r="N64" s="63"/>
    </row>
    <row r="65" spans="1:14" x14ac:dyDescent="0.15">
      <c r="A65" s="40" t="s">
        <v>611</v>
      </c>
      <c r="C65" s="59">
        <f>IF(($H5*'Jul''15 Envestra'!E41/'Jul''15 Envestra'!E42&gt;'Jul''15 Envestra'!E44),($H5*'Jul''15 Envestra'!E41/'Jul''15 Envestra'!E42-'Jul''15 Envestra'!E44)*'Jul''15 Envestra'!E50/100*1.1)*'Jul''15 Envestra'!E42</f>
        <v>466.18152900000001</v>
      </c>
      <c r="D65" s="59">
        <f>IF(($H5*'Jul''15 Envestra'!F41/'Jul''15 Envestra'!F42&gt;'Jul''15 Envestra'!F44),($H5*'Jul''15 Envestra'!F41/'Jul''15 Envestra'!F42-'Jul''15 Envestra'!F44)*'Jul''15 Envestra'!F50/100*1.1)*'Jul''15 Envestra'!F42</f>
        <v>0</v>
      </c>
      <c r="E65" s="59">
        <f>IF(($H5*'Jul''15 Envestra'!G41/'Jul''15 Envestra'!G42&gt;'Jul''15 Envestra'!G44),($H5*'Jul''15 Envestra'!G41/'Jul''15 Envestra'!G42-'Jul''15 Envestra'!G44)*'Jul''15 Envestra'!G50/100*1.1)*'Jul''15 Envestra'!G42</f>
        <v>0</v>
      </c>
      <c r="F65" s="59">
        <f>IF(($H5*'Jul''15 Envestra'!H41/'Jul''15 Envestra'!H42&gt;'Jul''15 Envestra'!H44),($H5*'Jul''15 Envestra'!H41/'Jul''15 Envestra'!H42-'Jul''15 Envestra'!H44)*'Jul''15 Envestra'!H50/100*1.1)*'Jul''15 Envestra'!H42</f>
        <v>376.4772858</v>
      </c>
      <c r="G65" s="59">
        <f>IF(($H5*'Jul''15 Envestra'!I41/'Jul''15 Envestra'!I42&gt;'Jul''15 Envestra'!I44),($H5*'Jul''15 Envestra'!I41/'Jul''15 Envestra'!I42-'Jul''15 Envestra'!I44)*'Jul''15 Envestra'!I50/100*1.1)*'Jul''15 Envestra'!I42</f>
        <v>0</v>
      </c>
      <c r="H65" s="59">
        <f>IF(($H5*'Jul''15 Envestra'!J41/'Jul''15 Envestra'!J42&gt;'Jul''15 Envestra'!J44),($H5*'Jul''15 Envestra'!J41/'Jul''15 Envestra'!J42-'Jul''15 Envestra'!J44)*'Jul''15 Envestra'!J50/100*1.1)*'Jul''15 Envestra'!J42</f>
        <v>0</v>
      </c>
      <c r="I65" s="59">
        <f>IF(($H5*'Jul''15 Envestra'!K41/'Jul''15 Envestra'!K42&gt;'Jul''15 Envestra'!K44),($H5*'Jul''15 Envestra'!K41/'Jul''15 Envestra'!K42-'Jul''15 Envestra'!K44)*'Jul''15 Envestra'!K50/100*1.1)*'Jul''15 Envestra'!K42</f>
        <v>494.9307</v>
      </c>
      <c r="J65" s="59">
        <f>IF(($H5*'Jul''15 Envestra'!L41/'Jul''15 Envestra'!L42&gt;'Jul''15 Envestra'!L44),($H5*'Jul''15 Envestra'!L41/'Jul''15 Envestra'!L42-'Jul''15 Envestra'!L44)*'Jul''15 Envestra'!L50/100*1.1)*'Jul''15 Envestra'!L42</f>
        <v>510.97477199999997</v>
      </c>
      <c r="K65" s="59">
        <f>IF(($H5*'Jul''15 Envestra'!M41/'Jul''15 Envestra'!M42&gt;'Jul''15 Envestra'!M44),($H5*'Jul''15 Envestra'!M41/'Jul''15 Envestra'!M42-'Jul''15 Envestra'!M44)*'Jul''15 Envestra'!M50/100*1.1)*'Jul''15 Envestra'!M42</f>
        <v>0</v>
      </c>
      <c r="L65" s="59">
        <f>IF(($H5*'Jul''15 Envestra'!N41/'Jul''15 Envestra'!N42&gt;'Jul''15 Envestra'!N44),($H5*'Jul''15 Envestra'!N41/'Jul''15 Envestra'!N42-'Jul''15 Envestra'!N44)*'Jul''15 Envestra'!N50/100*1.1)*'Jul''15 Envestra'!N42</f>
        <v>492.27286680000003</v>
      </c>
      <c r="M65" s="59">
        <f>IF(($H5*'Jul''15 Envestra'!O41/'Jul''15 Envestra'!O42&gt;'Jul''15 Envestra'!O44),($H5*'Jul''15 Envestra'!O41/'Jul''15 Envestra'!O42-'Jul''15 Envestra'!O44)*'Jul''15 Envestra'!O50/100*1.1)*'Jul''15 Envestra'!O42</f>
        <v>523.41260399999999</v>
      </c>
      <c r="N65" s="63"/>
    </row>
    <row r="66" spans="1:14" x14ac:dyDescent="0.15">
      <c r="A66" s="40" t="s">
        <v>612</v>
      </c>
      <c r="C66" s="59">
        <f>365*'Jul''15 Envestra'!E51/100*1.1</f>
        <v>261.57725000000005</v>
      </c>
      <c r="D66" s="59">
        <f>365*'Jul''15 Envestra'!F51/100*1.1</f>
        <v>240.9</v>
      </c>
      <c r="E66" s="59">
        <f>365*'Jul''15 Envestra'!G51/100*1.1</f>
        <v>273.30105000000003</v>
      </c>
      <c r="F66" s="59">
        <f>365*'Jul''15 Envestra'!H51/100*1.1</f>
        <v>250.45570000000001</v>
      </c>
      <c r="G66" s="59">
        <f>365*'Jul''15 Envestra'!I51/100*1.1</f>
        <v>245.47709999999998</v>
      </c>
      <c r="H66" s="59">
        <f>365*'Jul''15 Envestra'!J51/100*1.1</f>
        <v>246.52100000000004</v>
      </c>
      <c r="I66" s="59">
        <f>365*'Jul''15 Envestra'!K51/100*1.1</f>
        <v>248.93000000000004</v>
      </c>
      <c r="J66" s="59">
        <f>365*'Jul''15 Envestra'!L51/100*1.1</f>
        <v>259.24855000000002</v>
      </c>
      <c r="K66" s="59">
        <f>365*'Jul''15 Envestra'!M51/100*1.1</f>
        <v>228.65425000000002</v>
      </c>
      <c r="L66" s="59">
        <f>365*'Jul''15 Envestra'!N51/100*1.1</f>
        <v>250.93750000000003</v>
      </c>
      <c r="M66" s="59">
        <f>365*'Jul''15 Envestra'!O51/100*1.1</f>
        <v>240.9</v>
      </c>
      <c r="N66" s="60">
        <f>AVERAGE(C66:M66)</f>
        <v>249.71840000000003</v>
      </c>
    </row>
    <row r="67" spans="1:14" x14ac:dyDescent="0.15">
      <c r="A67" s="62" t="s">
        <v>613</v>
      </c>
      <c r="B67" s="63"/>
      <c r="C67" s="61">
        <f t="shared" ref="C67:L67" si="4">SUM(C60:C66)</f>
        <v>1343.2932754999999</v>
      </c>
      <c r="D67" s="61">
        <f t="shared" si="4"/>
        <v>1442.7113778</v>
      </c>
      <c r="E67" s="61">
        <f t="shared" si="4"/>
        <v>1464.1021421400001</v>
      </c>
      <c r="F67" s="61">
        <f>SUM(F60:F66)</f>
        <v>1137.2772895000001</v>
      </c>
      <c r="G67" s="61">
        <f>SUM(G60:G66)</f>
        <v>1426.324372</v>
      </c>
      <c r="H67" s="61">
        <f t="shared" si="4"/>
        <v>1413.43977918</v>
      </c>
      <c r="I67" s="61">
        <f t="shared" si="4"/>
        <v>1367.5260500000002</v>
      </c>
      <c r="J67" s="61">
        <f t="shared" si="4"/>
        <v>1444.163908</v>
      </c>
      <c r="K67" s="61">
        <f t="shared" si="4"/>
        <v>1346.6986830000001</v>
      </c>
      <c r="L67" s="61">
        <f t="shared" si="4"/>
        <v>1394.5072702</v>
      </c>
      <c r="M67" s="61">
        <f>SUM(M60:M66)</f>
        <v>1424.6424059999999</v>
      </c>
      <c r="N67" s="64">
        <f>AVERAGE(C67:M67)</f>
        <v>1382.2442321199999</v>
      </c>
    </row>
    <row r="69" spans="1:14" x14ac:dyDescent="0.15">
      <c r="A69" s="55" t="s">
        <v>489</v>
      </c>
    </row>
    <row r="71" spans="1:14" x14ac:dyDescent="0.15">
      <c r="A71" s="53" t="s">
        <v>1030</v>
      </c>
      <c r="C71" s="23" t="s">
        <v>1044</v>
      </c>
      <c r="D71" s="23" t="s">
        <v>591</v>
      </c>
      <c r="E71" s="23" t="s">
        <v>592</v>
      </c>
      <c r="F71" s="23" t="s">
        <v>614</v>
      </c>
      <c r="G71" s="23" t="s">
        <v>615</v>
      </c>
      <c r="H71" s="23" t="s">
        <v>595</v>
      </c>
      <c r="I71" s="23" t="s">
        <v>596</v>
      </c>
      <c r="J71" s="23" t="s">
        <v>486</v>
      </c>
      <c r="K71" s="23" t="s">
        <v>487</v>
      </c>
      <c r="L71" s="23" t="s">
        <v>599</v>
      </c>
      <c r="M71" s="23" t="s">
        <v>600</v>
      </c>
      <c r="N71" s="57" t="s">
        <v>601</v>
      </c>
    </row>
    <row r="72" spans="1:14" x14ac:dyDescent="0.15">
      <c r="A72" s="40" t="s">
        <v>602</v>
      </c>
      <c r="C72" s="59">
        <f>IF($H5*'Jul''15 SP'!E7/'Jul''15 SP'!E8&gt;='Jul''15 SP'!E11,('Jul''15 SP'!E11*'Jul''15 SP'!E13/100*1.1)*'Jul''15 SP'!E8,($H5*'Jul''15 SP'!E7/'Jul''15 SP'!E8*'Jul''15 SP'!E13/100*1.1)*'Jul''15 SP'!E8)</f>
        <v>229.15200000000002</v>
      </c>
      <c r="D72" s="59">
        <f>IF($H5*'Jul''15 SP'!F7/'Jul''15 SP'!F8&gt;='Jul''15 SP'!F11,('Jul''15 SP'!F11*'Jul''15 SP'!F13/100*1.1)*'Jul''15 SP'!F8,($H5*'Jul''15 SP'!F7/'Jul''15 SP'!F8*'Jul''15 SP'!F13/100*1.1)*'Jul''15 SP'!F8)</f>
        <v>137.06880000000001</v>
      </c>
      <c r="E72" s="59">
        <f>IF($H5*'Jul''15 SP'!G7/'Jul''15 SP'!G8&gt;='Jul''15 SP'!G11,('Jul''15 SP'!G11*'Jul''15 SP'!G13/100*1.1)*'Jul''15 SP'!G8,($H5*'Jul''15 SP'!G7/'Jul''15 SP'!G8*'Jul''15 SP'!G13/100*1.1)*'Jul''15 SP'!G8)</f>
        <v>261.36</v>
      </c>
      <c r="F72" s="59">
        <f>IF($H5*'Jul''15 SP'!H7/'Jul''15 SP'!H8&gt;='Jul''15 SP'!H11,('Jul''15 SP'!H11*'Jul''15 SP'!H13/100*1.1)*'Jul''15 SP'!H8,($H5*'Jul''15 SP'!H7/'Jul''15 SP'!H8*'Jul''15 SP'!H13/100*1.1)*'Jul''15 SP'!H8)</f>
        <v>158.00399999999999</v>
      </c>
      <c r="G72" s="59">
        <f>IF($H5*'Jul''15 SP'!I7/'Jul''15 SP'!I8&gt;='Jul''15 SP'!I11,('Jul''15 SP'!I11*'Jul''15 SP'!I13/100*1.1)*'Jul''15 SP'!I8,($H5*'Jul''15 SP'!I7/'Jul''15 SP'!I8*'Jul''15 SP'!I13/100*1.1)*'Jul''15 SP'!I8)</f>
        <v>126.72000000000001</v>
      </c>
      <c r="H72" s="59">
        <f>IF($H5*'Jul''15 SP'!J7/'Jul''15 SP'!J8&gt;='Jul''15 SP'!J11,('Jul''15 SP'!J11*'Jul''15 SP'!J13/100*1.1)*'Jul''15 SP'!J8,($H5*'Jul''15 SP'!J7/'Jul''15 SP'!J8*'Jul''15 SP'!J13/100*1.1)*'Jul''15 SP'!J8)</f>
        <v>112.87232</v>
      </c>
      <c r="I72" s="59">
        <f>IF($H5*'Jul''15 SP'!K7/'Jul''15 SP'!K8&gt;='Jul''15 SP'!K11,('Jul''15 SP'!K11*'Jul''15 SP'!K13/100*1.1)*'Jul''15 SP'!K8,($H5*'Jul''15 SP'!K7/'Jul''15 SP'!K8*'Jul''15 SP'!K13/100*1.1)*'Jul''15 SP'!K8)</f>
        <v>139.25120000000001</v>
      </c>
      <c r="J72" s="59">
        <f>IF($H5*'Jul''15 SP'!L7/'Jul''15 SP'!L8&gt;='Jul''15 SP'!L11,('Jul''15 SP'!L11*'Jul''15 SP'!L13/100*1.1)*'Jul''15 SP'!L8,($H5*'Jul''15 SP'!L7/'Jul''15 SP'!L8*'Jul''15 SP'!L13/100*1.1)*'Jul''15 SP'!L8)</f>
        <v>254.76000000000005</v>
      </c>
      <c r="K72" s="59">
        <f>IF($H5*'Jul''15 SP'!M7/'Jul''15 SP'!M8&gt;='Jul''15 SP'!M11,('Jul''15 SP'!M11*'Jul''15 SP'!M13/100*1.1)*'Jul''15 SP'!M8,($H5*'Jul''15 SP'!M7/'Jul''15 SP'!M8*'Jul''15 SP'!M13/100*1.1)*'Jul''15 SP'!M8)</f>
        <v>128.12799999999999</v>
      </c>
      <c r="L72" s="59">
        <f>IF($H5*'Jul''15 SP'!N7/'Jul''15 SP'!N8&gt;='Jul''15 SP'!N11,('Jul''15 SP'!N11*'Jul''15 SP'!N13/100*1.1)*'Jul''15 SP'!N8,($H5*'Jul''15 SP'!N7/'Jul''15 SP'!N8*'Jul''15 SP'!N13/100*1.1)*'Jul''15 SP'!N8)</f>
        <v>226.64400000000001</v>
      </c>
      <c r="M72" s="59">
        <f>IF($H5*'Jul''15 SP'!O7/'Jul''15 SP'!O8&gt;='Jul''15 SP'!O11,('Jul''15 SP'!O11*'Jul''15 SP'!O13/100*1.1)*'Jul''15 SP'!O8,($H5*'Jul''15 SP'!O7/'Jul''15 SP'!O8*'Jul''15 SP'!O13/100*1.1)*'Jul''15 SP'!O8)</f>
        <v>248.16000000000003</v>
      </c>
      <c r="N72" s="63"/>
    </row>
    <row r="73" spans="1:14" x14ac:dyDescent="0.15">
      <c r="A73" s="40" t="s">
        <v>603</v>
      </c>
      <c r="C73" s="59">
        <f>IF($H5*'Jul''15 SP'!E7/'Jul''15 SP'!E8&lt;'Jul''15 SP'!E11,0,IF($H5*'Jul''15 SP'!E7/'Jul''15 SP'!E8&lt;='Jul''15 SP'!E12,($H5*'Jul''15 SP'!E7/'Jul''15 SP'!E8-'Jul''15 SP'!E11)*('Jul''15 SP'!E14/100*1.1)*'Jul''15 SP'!E8,('Jul''15 SP'!E12-'Jul''15 SP'!E11)*('Jul''15 SP'!E14/100*1.1)*'Jul''15 SP'!E8))</f>
        <v>160.342578</v>
      </c>
      <c r="D73" s="59">
        <f>IF($H5*'Jul''15 SP'!F7/'Jul''15 SP'!F8&lt;'Jul''15 SP'!F11,0,IF($H5*'Jul''15 SP'!F7/'Jul''15 SP'!F8&lt;='Jul''15 SP'!F12,($H5*'Jul''15 SP'!F7/'Jul''15 SP'!F8-'Jul''15 SP'!F11)*('Jul''15 SP'!F14/100*1.1)*'Jul''15 SP'!F8,('Jul''15 SP'!F12-'Jul''15 SP'!F11)*('Jul''15 SP'!F14/100*1.1)*'Jul''15 SP'!F8))</f>
        <v>0</v>
      </c>
      <c r="E73" s="59">
        <f>IF($H5*'Jul''15 SP'!G7/'Jul''15 SP'!G8&lt;'Jul''15 SP'!G11,0,IF($H5*'Jul''15 SP'!G7/'Jul''15 SP'!G8&lt;='Jul''15 SP'!G12,($H5*'Jul''15 SP'!G7/'Jul''15 SP'!G8-'Jul''15 SP'!G11)*('Jul''15 SP'!G14/100*1.1)*'Jul''15 SP'!G8,('Jul''15 SP'!G12-'Jul''15 SP'!G11)*('Jul''15 SP'!G14/100*1.1)*'Jul''15 SP'!G8))</f>
        <v>176.07990509999999</v>
      </c>
      <c r="F73" s="59">
        <f>IF($H5*'Jul''15 SP'!H7/'Jul''15 SP'!H8&lt;'Jul''15 SP'!H11,0,IF($H5*'Jul''15 SP'!H7/'Jul''15 SP'!H8&lt;='Jul''15 SP'!H12,($H5*'Jul''15 SP'!H7/'Jul''15 SP'!H8-'Jul''15 SP'!H11)*('Jul''15 SP'!H14/100*1.1)*'Jul''15 SP'!H8,('Jul''15 SP'!H12-'Jul''15 SP'!H11)*('Jul''15 SP'!H14/100*1.1)*'Jul''15 SP'!H8))</f>
        <v>119.76204899999998</v>
      </c>
      <c r="G73" s="59">
        <f>IF($H5*'Jul''15 SP'!I7/'Jul''15 SP'!I8&lt;'Jul''15 SP'!I11,0,IF($H5*'Jul''15 SP'!I7/'Jul''15 SP'!I8&lt;='Jul''15 SP'!I12,($H5*'Jul''15 SP'!I7/'Jul''15 SP'!I8-'Jul''15 SP'!I11)*('Jul''15 SP'!I14/100*1.1)*'Jul''15 SP'!I8,('Jul''15 SP'!I12-'Jul''15 SP'!I11)*('Jul''15 SP'!I14/100*1.1)*'Jul''15 SP'!I8))</f>
        <v>0</v>
      </c>
      <c r="H73" s="59">
        <f>IF($H5*'Jul''15 SP'!J7/'Jul''15 SP'!J8&lt;'Jul''15 SP'!J11,0,IF($H5*'Jul''15 SP'!J7/'Jul''15 SP'!J8&lt;='Jul''15 SP'!J12,($H5*'Jul''15 SP'!J7/'Jul''15 SP'!J8-'Jul''15 SP'!J11)*('Jul''15 SP'!J14/100*1.1)*'Jul''15 SP'!J8,('Jul''15 SP'!J12-'Jul''15 SP'!J11)*('Jul''15 SP'!J14/100*1.1)*'Jul''15 SP'!J8))</f>
        <v>0</v>
      </c>
      <c r="I73" s="59">
        <f>IF($H5*'Jul''15 SP'!K7/'Jul''15 SP'!K8&lt;'Jul''15 SP'!K11,0,IF($H5*'Jul''15 SP'!K7/'Jul''15 SP'!K8&lt;='Jul''15 SP'!K12,($H5*'Jul''15 SP'!K7/'Jul''15 SP'!K8-'Jul''15 SP'!K11)*('Jul''15 SP'!K14/100*1.1)*'Jul''15 SP'!K8,('Jul''15 SP'!K12-'Jul''15 SP'!K11)*('Jul''15 SP'!K14/100*1.1)*'Jul''15 SP'!K8))</f>
        <v>0</v>
      </c>
      <c r="J73" s="59">
        <f>IF($H5*'Jul''15 SP'!L7/'Jul''15 SP'!L8&lt;'Jul''15 SP'!L11,0,IF($H5*'Jul''15 SP'!L7/'Jul''15 SP'!L8&lt;='Jul''15 SP'!L12,($H5*'Jul''15 SP'!L7/'Jul''15 SP'!L8-'Jul''15 SP'!L11)*('Jul''15 SP'!L14/100*1.1)*'Jul''15 SP'!L8,('Jul''15 SP'!L12-'Jul''15 SP'!L11)*('Jul''15 SP'!L14/100*1.1)*'Jul''15 SP'!L8))</f>
        <v>0</v>
      </c>
      <c r="K73" s="59">
        <f>IF($H5*'Jul''15 SP'!M7/'Jul''15 SP'!M8&lt;'Jul''15 SP'!M11,0,IF($H5*'Jul''15 SP'!M7/'Jul''15 SP'!M8&lt;='Jul''15 SP'!M12,($H5*'Jul''15 SP'!M7/'Jul''15 SP'!M8-'Jul''15 SP'!M11)*('Jul''15 SP'!M14/100*1.1)*'Jul''15 SP'!M8,('Jul''15 SP'!M12-'Jul''15 SP'!M11)*('Jul''15 SP'!M14/100*1.1)*'Jul''15 SP'!M8))</f>
        <v>0</v>
      </c>
      <c r="L73" s="59">
        <f>IF($H5*'Jul''15 SP'!N7/'Jul''15 SP'!N8&lt;'Jul''15 SP'!N11,0,IF($H5*'Jul''15 SP'!N7/'Jul''15 SP'!N8&lt;='Jul''15 SP'!N12,($H5*'Jul''15 SP'!N7/'Jul''15 SP'!N8-'Jul''15 SP'!N11)*('Jul''15 SP'!N14/100*1.1)*'Jul''15 SP'!N8,('Jul''15 SP'!N12-'Jul''15 SP'!N11)*('Jul''15 SP'!N14/100*1.1)*'Jul''15 SP'!N8))</f>
        <v>167.56789169999996</v>
      </c>
      <c r="M73" s="59">
        <f>IF($H5*'Jul''15 SP'!O7/'Jul''15 SP'!O8&lt;'Jul''15 SP'!O11,0,IF($H5*'Jul''15 SP'!O7/'Jul''15 SP'!O8&lt;='Jul''15 SP'!O12,($H5*'Jul''15 SP'!O7/'Jul''15 SP'!O8-'Jul''15 SP'!O11)*('Jul''15 SP'!O14/100*1.1)*'Jul''15 SP'!O8,('Jul''15 SP'!O12-'Jul''15 SP'!O11)*('Jul''15 SP'!O14/100*1.1)*'Jul''15 SP'!O8))</f>
        <v>168.26072999999997</v>
      </c>
      <c r="N73" s="63"/>
    </row>
    <row r="74" spans="1:14" x14ac:dyDescent="0.15">
      <c r="A74" s="40" t="s">
        <v>606</v>
      </c>
      <c r="C74" s="59">
        <f>IF(($H5*'Jul''15 SP'!E7/'Jul''15 SP'!E8&gt;'Jul''15 SP'!E12),($H5*'Jul''15 SP'!E7/'Jul''15 SP'!E8-'Jul''15 SP'!E12)*'Jul''15 SP'!E15/100*1.1*'Jul''15 SP'!E8,0)</f>
        <v>0</v>
      </c>
      <c r="D74" s="59">
        <f>IF(($H5*'Jul''15 SP'!F7/'Jul''15 SP'!F8&gt;'Jul''15 SP'!F11),('Bills Jul''15'!$H5*'Jul''15 SP'!F7/'Jul''15 SP'!F8-'Jul''15 SP'!F11)*'Jul''15 SP'!F15/100*1.1)*'Jul''15 SP'!F8</f>
        <v>268.48457680000001</v>
      </c>
      <c r="E74" s="59">
        <f>IF(($H5*'Jul''15 SP'!G7/'Jul''15 SP'!G8&gt;'Jul''15 SP'!G12),($H5*'Jul''15 SP'!G7/'Jul''15 SP'!G8-'Jul''15 SP'!G12)*'Jul''15 SP'!G15/100*1.1*'Jul''15 SP'!G8,0)</f>
        <v>0</v>
      </c>
      <c r="F74" s="59">
        <f>IF(($H5*'Jul''15 SP'!H7/'Jul''15 SP'!H8&gt;'Jul''15 SP'!H12),($H5*'Jul''15 SP'!H7/'Jul''15 SP'!H8-'Jul''15 SP'!H12)*'Jul''15 SP'!H15/100*1.1*'Jul''15 SP'!H8,0)</f>
        <v>0</v>
      </c>
      <c r="G74" s="59">
        <f>IF(($H5*'Jul''15 SP'!I7/'Jul''15 SP'!I8&gt;'Jul''15 SP'!I11),('Bills Jul''15'!$H5*'Jul''15 SP'!I7/'Jul''15 SP'!I8-'Jul''15 SP'!I11)*'Jul''15 SP'!I15/100*1.1)*'Jul''15 SP'!I8</f>
        <v>255.31727099999998</v>
      </c>
      <c r="H74" s="59">
        <f>IF(($H5*'Jul''15 SP'!J7/'Jul''15 SP'!J8&gt;'Jul''15 SP'!J11),('Bills Jul''15'!$H5*'Jul''15 SP'!J7/'Jul''15 SP'!J8-'Jul''15 SP'!J11)*'Jul''15 SP'!J15/100*1.1)*'Jul''15 SP'!J8</f>
        <v>253.14948285</v>
      </c>
      <c r="I74" s="59">
        <f>IF(($H5*'Jul''15 SP'!K7/'Jul''15 SP'!K8&gt;'Jul''15 SP'!K11),('Bills Jul''15'!$H5*'Jul''15 SP'!K7/'Jul''15 SP'!K8-'Jul''15 SP'!K11)*'Jul''15 SP'!K15/100*1.1)*'Jul''15 SP'!K8</f>
        <v>257.40477069999997</v>
      </c>
      <c r="J74" s="59">
        <f>IF(($H5*'Jul''15 SP'!L7/'Jul''15 SP'!L8&gt;'Jul''15 SP'!L11),('Bills Jul''15'!$H5*'Jul''15 SP'!L7/'Jul''15 SP'!L8-'Jul''15 SP'!L11)*'Jul''15 SP'!L15/100*1.1)*'Jul''15 SP'!L8</f>
        <v>171.23003699999998</v>
      </c>
      <c r="K74" s="59">
        <f>IF(($H5*'Jul''15 SP'!M7/'Jul''15 SP'!M8&gt;'Jul''15 SP'!M11),('Bills Jul''15'!$H5*'Jul''15 SP'!M7/'Jul''15 SP'!M8-'Jul''15 SP'!M11)*'Jul''15 SP'!M15/100*1.1)*'Jul''15 SP'!M8</f>
        <v>261.74034699999993</v>
      </c>
      <c r="L74" s="59">
        <f>IF(($H5*'Jul''15 SP'!N7/'Jul''15 SP'!N8&gt;'Jul''15 SP'!N12),($H5*'Jul''15 SP'!N7/'Jul''15 SP'!N8-'Jul''15 SP'!N12)*'Jul''15 SP'!N15/100*1.1*'Jul''15 SP'!N8,0)</f>
        <v>0</v>
      </c>
      <c r="M74" s="59">
        <f>IF(($H5*'Jul''15 SP'!O7/'Jul''15 SP'!O8&gt;'Jul''15 SP'!O12),($H5*'Jul''15 SP'!O7/'Jul''15 SP'!O8-'Jul''15 SP'!O12)*'Jul''15 SP'!O15/100*1.1*'Jul''15 SP'!O8,0)</f>
        <v>0</v>
      </c>
      <c r="N74" s="63"/>
    </row>
    <row r="75" spans="1:14" x14ac:dyDescent="0.15">
      <c r="A75" s="40" t="s">
        <v>607</v>
      </c>
      <c r="C75" s="59">
        <f>IF($H5*'Jul''15 SP'!E9/'Jul''15 SP'!E10&gt;='Jul''15 SP'!E11,('Jul''15 SP'!E11*'Jul''15 SP'!E16/100*1.1)*'Jul''15 SP'!E10,($H5*'Jul''15 SP'!E9/'Jul''15 SP'!E10*'Jul''15 SP'!E16/100*1.1)*'Jul''15 SP'!E10)</f>
        <v>431.64</v>
      </c>
      <c r="D75" s="59">
        <f>IF($H5*'Jul''15 SP'!F9/'Jul''15 SP'!F10&gt;='Jul''15 SP'!F11,('Jul''15 SP'!F11*'Jul''15 SP'!F16/100*1.1)*'Jul''15 SP'!F10,('Bills Jul''15'!$H5*'Jul''15 SP'!F9/'Jul''15 SP'!F10*'Jul''15 SP'!F16/100*1.1)*'Jul''15 SP'!F10)</f>
        <v>213.03040000000001</v>
      </c>
      <c r="E75" s="59">
        <f>IF($H5*'Jul''15 SP'!G9/'Jul''15 SP'!G10&gt;='Jul''15 SP'!G11,('Jul''15 SP'!G11*'Jul''15 SP'!G16/100*1.1)*'Jul''15 SP'!G10,($H5*'Jul''15 SP'!G9/'Jul''15 SP'!G10*'Jul''15 SP'!G16/100*1.1)*'Jul''15 SP'!G10)</f>
        <v>432.96000000000004</v>
      </c>
      <c r="F75" s="59">
        <f>IF($H5*'Jul''15 SP'!H9/'Jul''15 SP'!H10&gt;='Jul''15 SP'!H11,('Jul''15 SP'!H11*'Jul''15 SP'!H16/100*1.1)*'Jul''15 SP'!H10,($H5*'Jul''15 SP'!H9/'Jul''15 SP'!H10*'Jul''15 SP'!H16/100*1.1)*'Jul''15 SP'!H10)</f>
        <v>303.072</v>
      </c>
      <c r="G75" s="59">
        <f>IF($H5*'Jul''15 SP'!I9/'Jul''15 SP'!I10&gt;='Jul''15 SP'!I11,('Jul''15 SP'!I11*'Jul''15 SP'!I16/100*1.1)*'Jul''15 SP'!I10,('Bills Jul''15'!$H5*'Jul''15 SP'!I9/'Jul''15 SP'!I10*'Jul''15 SP'!I16/100*1.1)*'Jul''15 SP'!I10)</f>
        <v>215.42400000000004</v>
      </c>
      <c r="H75" s="59">
        <f>IF($H5*'Jul''15 SP'!J9/'Jul''15 SP'!J10&gt;='Jul''15 SP'!J11,('Jul''15 SP'!J11*'Jul''15 SP'!J16/100*1.1)*'Jul''15 SP'!J10,('Bills Jul''15'!$H5*'Jul''15 SP'!J9/'Jul''15 SP'!J10*'Jul''15 SP'!J16/100*1.1)*'Jul''15 SP'!J10)</f>
        <v>194.88128000000006</v>
      </c>
      <c r="I75" s="59">
        <f>IF($H5*'Jul''15 SP'!K9/'Jul''15 SP'!K10&gt;='Jul''15 SP'!K11,('Jul''15 SP'!K11*'Jul''15 SP'!K16/100*1.1)*'Jul''15 SP'!K10,('Bills Jul''15'!$H5*'Jul''15 SP'!K9/'Jul''15 SP'!K10*'Jul''15 SP'!K16/100*1.1)*'Jul''15 SP'!K10)</f>
        <v>246.82240000000002</v>
      </c>
      <c r="J75" s="59">
        <f>IF($H5*'Jul''15 SP'!L9/'Jul''15 SP'!L10&gt;='Jul''15 SP'!L11,('Jul''15 SP'!L11*'Jul''15 SP'!L16/100*1.1)*'Jul''15 SP'!L10,('Bills Jul''15'!$H5*'Jul''15 SP'!L9/'Jul''15 SP'!L10*'Jul''15 SP'!L16/100*1.1)*'Jul''15 SP'!L10)</f>
        <v>451.44</v>
      </c>
      <c r="K75" s="59">
        <f>IF($H5*'Jul''15 SP'!M9/'Jul''15 SP'!M10&gt;='Jul''15 SP'!M11,('Jul''15 SP'!M11*'Jul''15 SP'!M16/100*1.1)*'Jul''15 SP'!M10,('Bills Jul''15'!$H5*'Jul''15 SP'!M9/'Jul''15 SP'!M10*'Jul''15 SP'!M16/100*1.1)*'Jul''15 SP'!M10)</f>
        <v>226.68800000000005</v>
      </c>
      <c r="L75" s="59">
        <f>IF($H5*'Jul''15 SP'!N9/'Jul''15 SP'!N10&gt;='Jul''15 SP'!N11,('Jul''15 SP'!N11*'Jul''15 SP'!N16/100*1.1)*'Jul''15 SP'!N10,($H5*'Jul''15 SP'!N9/'Jul''15 SP'!N10*'Jul''15 SP'!N16/100*1.1)*'Jul''15 SP'!N10)</f>
        <v>446.95200000000006</v>
      </c>
      <c r="M75" s="59">
        <f>IF($H5*'Jul''15 SP'!O9/'Jul''15 SP'!O10&gt;='Jul''15 SP'!O11,('Jul''15 SP'!O11*'Jul''15 SP'!O16/100*1.1)*'Jul''15 SP'!O10,($H5*'Jul''15 SP'!O9/'Jul''15 SP'!O10*'Jul''15 SP'!O16/100*1.1)*'Jul''15 SP'!O10)</f>
        <v>396.00000000000006</v>
      </c>
      <c r="N75" s="63"/>
    </row>
    <row r="76" spans="1:14" x14ac:dyDescent="0.15">
      <c r="A76" s="40" t="s">
        <v>608</v>
      </c>
      <c r="C76" s="59">
        <f>IF($H5*'Jul''15 SP'!E9/'Jul''15 SP'!E10&lt;'Jul''15 SP'!E11,0,IF($H5*'Jul''15 SP'!E9/'Jul''15 SP'!E10&lt;='Jul''15 SP'!E12,($H5*'Jul''15 SP'!E9/'Jul''15 SP'!E10-'Jul''15 SP'!E11)*('Jul''15 SP'!E17/100*1.1)*'Jul''15 SP'!E10,('Jul''15 SP'!E12-'Jul''15 SP'!E11)*('Jul''15 SP'!E17/100*1.1)*'Jul''15 SP'!E10))</f>
        <v>261.10106219999994</v>
      </c>
      <c r="D76" s="59">
        <v>0</v>
      </c>
      <c r="E76" s="59">
        <f>IF($H5*'Jul''15 SP'!G9/'Jul''15 SP'!G10&lt;'Jul''15 SP'!G11,0,IF($H5*'Jul''15 SP'!G9/'Jul''15 SP'!G10&lt;='Jul''15 SP'!G12,($H5*'Jul''15 SP'!G9/'Jul''15 SP'!G10-'Jul''15 SP'!G11)*('Jul''15 SP'!G17/100*1.1)*'Jul''15 SP'!G10,('Jul''15 SP'!G12-'Jul''15 SP'!G11)*('Jul''15 SP'!G17/100*1.1)*'Jul''15 SP'!G10))</f>
        <v>289.01254799999998</v>
      </c>
      <c r="F76" s="59">
        <f>IF($H5*'Jul''15 SP'!H9/'Jul''15 SP'!H10&lt;'Jul''15 SP'!H11,0,IF($H5*'Jul''15 SP'!H9/'Jul''15 SP'!H10&lt;='Jul''15 SP'!H12,($H5*'Jul''15 SP'!H9/'Jul''15 SP'!H10-'Jul''15 SP'!H11)*('Jul''15 SP'!H17/100*1.1)*'Jul''15 SP'!H10,('Jul''15 SP'!H12-'Jul''15 SP'!H11)*('Jul''15 SP'!H17/100*1.1)*'Jul''15 SP'!H10))</f>
        <v>191.81723219999995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f>IF($H5*'Jul''15 SP'!N9/'Jul''15 SP'!N10&lt;'Jul''15 SP'!N11,0,IF($H5*'Jul''15 SP'!N9/'Jul''15 SP'!N10&lt;='Jul''15 SP'!N12,($H5*'Jul''15 SP'!N9/'Jul''15 SP'!N10-'Jul''15 SP'!N11)*('Jul''15 SP'!N17/100*1.1)*'Jul''15 SP'!N10,('Jul''15 SP'!N12-'Jul''15 SP'!N11)*('Jul''15 SP'!N17/100*1.1)*'Jul''15 SP'!N10))</f>
        <v>277.9271351999999</v>
      </c>
      <c r="M76" s="59">
        <f>IF($H5*'Jul''15 SP'!O9/'Jul''15 SP'!O10&lt;'Jul''15 SP'!O11,0,IF($H5*'Jul''15 SP'!O9/'Jul''15 SP'!O10&lt;='Jul''15 SP'!O12,($H5*'Jul''15 SP'!O9/'Jul''15 SP'!O10-'Jul''15 SP'!O11)*('Jul''15 SP'!O17/100*1.1)*'Jul''15 SP'!O10,('Jul''15 SP'!O12-'Jul''15 SP'!O11)*('Jul''15 SP'!O17/100*1.1)*'Jul''15 SP'!O10))</f>
        <v>267.23762999999997</v>
      </c>
      <c r="N76" s="63"/>
    </row>
    <row r="77" spans="1:14" x14ac:dyDescent="0.15">
      <c r="A77" s="40" t="s">
        <v>611</v>
      </c>
      <c r="C77" s="59">
        <f>IF(($H5*'Jul''15 SP'!E9/'Jul''15 SP'!E10&gt;'Jul''15 SP'!E12),($H5*'Jul''15 SP'!E9/'Jul''15 SP'!E10-'Jul''15 SP'!E12)*'Jul''15 SP'!E18/100*1.1*'Jul''15 SP'!E10,0)</f>
        <v>0</v>
      </c>
      <c r="D77" s="59">
        <f>IF(($H5*'Jul''15 SP'!F9/'Jul''15 SP'!F10&gt;'Jul''15 SP'!F11),('Bills Jul''15'!$H5*'Jul''15 SP'!F9/'Jul''15 SP'!F10-'Jul''15 SP'!F11)*'Jul''15 SP'!F18/100*1.1)*'Jul''15 SP'!F10</f>
        <v>423.60186219999991</v>
      </c>
      <c r="E77" s="59">
        <f>IF(($H5*'Jul''15 SP'!G9/'Jul''15 SP'!G10&gt;'Jul''15 SP'!G12),($H5*'Jul''15 SP'!G9/'Jul''15 SP'!G10-'Jul''15 SP'!G12)*'Jul''15 SP'!G18/100*1.1*'Jul''15 SP'!G10,0)</f>
        <v>0</v>
      </c>
      <c r="F77" s="59">
        <f>IF(($H5*'Jul''15 SP'!H9/'Jul''15 SP'!H10&gt;'Jul''15 SP'!H12),($H5*'Jul''15 SP'!H9/'Jul''15 SP'!H10-'Jul''15 SP'!H12)*'Jul''15 SP'!H18/100*1.1*'Jul''15 SP'!H10,0)</f>
        <v>0</v>
      </c>
      <c r="G77" s="59">
        <f>IF(($H5*'Jul''15 SP'!I9/'Jul''15 SP'!I10&gt;'Jul''15 SP'!I11),('Bills Jul''15'!$H5*'Jul''15 SP'!I9/'Jul''15 SP'!I10-'Jul''15 SP'!I11)*'Jul''15 SP'!I18/100*1.1)*'Jul''15 SP'!I10</f>
        <v>433.55762999999996</v>
      </c>
      <c r="H77" s="59">
        <f>IF(($H5*'Jul''15 SP'!J9/'Jul''15 SP'!J10&gt;'Jul''15 SP'!J11),('Bills Jul''15'!$H5*'Jul''15 SP'!J9/'Jul''15 SP'!J10-'Jul''15 SP'!J11)*'Jul''15 SP'!J18/100*1.1)*'Jul''15 SP'!J10</f>
        <v>417.69263228</v>
      </c>
      <c r="I77" s="59">
        <f>IF(($H5*'Jul''15 SP'!K9/'Jul''15 SP'!K10&gt;'Jul''15 SP'!K11),('Bills Jul''15'!$H5*'Jul''15 SP'!K9/'Jul''15 SP'!K10-'Jul''15 SP'!K11)*'Jul''15 SP'!K18/100*1.1)*'Jul''15 SP'!K10</f>
        <v>457.00185740000001</v>
      </c>
      <c r="J77" s="59">
        <f>IF(($H5*'Jul''15 SP'!L9/'Jul''15 SP'!L10&gt;'Jul''15 SP'!L11),('Bills Jul''15'!$H5*'Jul''15 SP'!L9/'Jul''15 SP'!L10-'Jul''15 SP'!L11)*'Jul''15 SP'!L18/100*1.1)*'Jul''15 SP'!L10</f>
        <v>283.07393399999989</v>
      </c>
      <c r="K77" s="59">
        <f>IF(($H5*'Jul''15 SP'!M9/'Jul''15 SP'!M10&gt;'Jul''15 SP'!M11),('Bills Jul''15'!$H5*'Jul''15 SP'!M9/'Jul''15 SP'!M10-'Jul''15 SP'!M11)*'Jul''15 SP'!M18/100*1.1)*'Jul''15 SP'!M10</f>
        <v>436.76916799999998</v>
      </c>
      <c r="L77" s="59">
        <f>IF(($H5*'Jul''15 SP'!N9/'Jul''15 SP'!N10&gt;'Jul''15 SP'!N12),($H5*'Jul''15 SP'!N9/'Jul''15 SP'!N10-'Jul''15 SP'!N12)*'Jul''15 SP'!N18/100*1.1*'Jul''15 SP'!N10,0)</f>
        <v>0</v>
      </c>
      <c r="M77" s="59">
        <f>IF(($H5*'Jul''15 SP'!O9/'Jul''15 SP'!O10&gt;'Jul''15 SP'!O12),($H5*'Jul''15 SP'!O9/'Jul''15 SP'!O10-'Jul''15 SP'!O12)*'Jul''15 SP'!O18/100*1.1*'Jul''15 SP'!O10,0)</f>
        <v>0</v>
      </c>
      <c r="N77" s="63"/>
    </row>
    <row r="78" spans="1:14" x14ac:dyDescent="0.15">
      <c r="A78" s="40" t="s">
        <v>612</v>
      </c>
      <c r="C78" s="59">
        <f>365*'Jul''15 SP'!E19/100*1.1</f>
        <v>245.07560000000004</v>
      </c>
      <c r="D78" s="59">
        <f>365*'Jul''15 SP'!F19/100*1.1</f>
        <v>266.71645000000001</v>
      </c>
      <c r="E78" s="59">
        <f>365*'Jul''15 SP'!G19/100*1.1</f>
        <v>256.15700000000004</v>
      </c>
      <c r="F78" s="59">
        <f>365*'Jul''15 SP'!H19/100*1.1</f>
        <v>268.48305000000005</v>
      </c>
      <c r="G78" s="59">
        <f>365*'Jul''15 SP'!I19/100*1.1</f>
        <v>277.27590000000004</v>
      </c>
      <c r="H78" s="59">
        <f>365*'Jul''15 SP'!J19/100*1.1</f>
        <v>254.7116</v>
      </c>
      <c r="I78" s="59">
        <f>365*'Jul''15 SP'!K19/100*1.1</f>
        <v>248.93000000000004</v>
      </c>
      <c r="J78" s="59">
        <f>365*'Jul''15 SP'!L19/100*1.1</f>
        <v>246.48085</v>
      </c>
      <c r="K78" s="59">
        <f>365*'Jul''15 SP'!M19/100*1.1</f>
        <v>216.74795000000006</v>
      </c>
      <c r="L78" s="59">
        <f>365*'Jul''15 SP'!N19/100*1.1</f>
        <v>250.93750000000003</v>
      </c>
      <c r="M78" s="59">
        <f>365*'Jul''15 SP'!O19/100*1.1</f>
        <v>264.99</v>
      </c>
      <c r="N78" s="60">
        <f>AVERAGE(C78:M78)</f>
        <v>254.22780909090909</v>
      </c>
    </row>
    <row r="79" spans="1:14" x14ac:dyDescent="0.15">
      <c r="A79" s="62" t="s">
        <v>613</v>
      </c>
      <c r="B79" s="63"/>
      <c r="C79" s="61">
        <f t="shared" ref="C79:L79" si="5">SUM(C72:C78)</f>
        <v>1327.3112402000002</v>
      </c>
      <c r="D79" s="61">
        <f t="shared" si="5"/>
        <v>1308.9020889999997</v>
      </c>
      <c r="E79" s="61">
        <f t="shared" si="5"/>
        <v>1415.5694530999999</v>
      </c>
      <c r="F79" s="61">
        <f>SUM(F72:F78)</f>
        <v>1041.1383311999998</v>
      </c>
      <c r="G79" s="61">
        <f>SUM(G72:G78)</f>
        <v>1308.294801</v>
      </c>
      <c r="H79" s="61">
        <f t="shared" si="5"/>
        <v>1233.30731513</v>
      </c>
      <c r="I79" s="61">
        <f t="shared" si="5"/>
        <v>1349.4102281</v>
      </c>
      <c r="J79" s="61">
        <f t="shared" si="5"/>
        <v>1406.984821</v>
      </c>
      <c r="K79" s="61">
        <f t="shared" si="5"/>
        <v>1270.0734649999999</v>
      </c>
      <c r="L79" s="61">
        <f t="shared" si="5"/>
        <v>1370.0285268999999</v>
      </c>
      <c r="M79" s="61">
        <f>SUM(M72:M78)</f>
        <v>1344.6483599999999</v>
      </c>
      <c r="N79" s="64">
        <f>AVERAGE(C79:M79)</f>
        <v>1306.8789664209089</v>
      </c>
    </row>
    <row r="81" spans="1:14" x14ac:dyDescent="0.15">
      <c r="A81" s="53" t="s">
        <v>1032</v>
      </c>
      <c r="C81" s="23" t="s">
        <v>1044</v>
      </c>
      <c r="D81" s="23" t="s">
        <v>591</v>
      </c>
      <c r="E81" s="23" t="s">
        <v>592</v>
      </c>
      <c r="F81" s="23" t="s">
        <v>614</v>
      </c>
      <c r="G81" s="23" t="s">
        <v>615</v>
      </c>
      <c r="H81" s="23" t="s">
        <v>595</v>
      </c>
      <c r="I81" s="23" t="s">
        <v>596</v>
      </c>
      <c r="J81" s="23" t="s">
        <v>486</v>
      </c>
      <c r="K81" s="23" t="s">
        <v>487</v>
      </c>
      <c r="L81" s="23" t="s">
        <v>599</v>
      </c>
      <c r="M81" s="23" t="s">
        <v>600</v>
      </c>
      <c r="N81" s="57" t="s">
        <v>601</v>
      </c>
    </row>
    <row r="82" spans="1:14" x14ac:dyDescent="0.15">
      <c r="A82" s="40" t="s">
        <v>602</v>
      </c>
      <c r="C82" s="59">
        <f>IF($H5*'Jul''15 SP'!E23/'Jul''15 SP'!E24&gt;='Jul''15 SP'!E27,('Jul''15 SP'!E27*'Jul''15 SP'!E29/100*1.1)*'Jul''15 SP'!E24,($H5*'Jul''15 SP'!E23/'Jul''15 SP'!E24*'Jul''15 SP'!E29/100*1.1)*'Jul''15 SP'!E24)</f>
        <v>255.28800000000007</v>
      </c>
      <c r="D82" s="59">
        <f>IF($H5*'Jul''15 SP'!F23/'Jul''15 SP'!F24&gt;='Jul''15 SP'!F27,('Jul''15 SP'!F27*'Jul''15 SP'!F29/100*1.1)*'Jul''15 SP'!F24,('Bills Jul''15'!$H5*'Jul''15 SP'!F23/'Jul''15 SP'!F24*'Jul''15 SP'!F29/100*1.1)*'Jul''15 SP'!F24)</f>
        <v>157.27360000000002</v>
      </c>
      <c r="E82" s="59">
        <f>IF($H5*'Jul''15 SP'!G23/'Jul''15 SP'!G24&gt;='Jul''15 SP'!G27,('Jul''15 SP'!G27*'Jul''15 SP'!G29/100*1.1)*'Jul''15 SP'!G24,($H5*'Jul''15 SP'!G23/'Jul''15 SP'!G24*'Jul''15 SP'!G29/100*1.1)*'Jul''15 SP'!G24)</f>
        <v>248.16000000000003</v>
      </c>
      <c r="F82" s="59">
        <f>IF($H5*'Jul''15 SP'!H23/'Jul''15 SP'!H24&gt;='Jul''15 SP'!H27,('Jul''15 SP'!H27*'Jul''15 SP'!H29/100*1.1)*'Jul''15 SP'!H24,($H5*'Jul''15 SP'!H23/'Jul''15 SP'!H24*'Jul''15 SP'!H29/100*1.1)*'Jul''15 SP'!H24)</f>
        <v>173.05199999999999</v>
      </c>
      <c r="G82" s="59">
        <f>IF($H5*'Jul''15 SP'!I23/'Jul''15 SP'!I24&gt;='Jul''15 SP'!I27,('Jul''15 SP'!I27*'Jul''15 SP'!I29/100*1.1)*'Jul''15 SP'!I24,('Bills Jul''15'!$H5*'Jul''15 SP'!I23/'Jul''15 SP'!I24*'Jul''15 SP'!I29/100*1.1)*'Jul''15 SP'!I24)</f>
        <v>148.61000000000001</v>
      </c>
      <c r="H82" s="59">
        <f>IF($H5*'Jul''15 SP'!J23/'Jul''15 SP'!J24&gt;='Jul''15 SP'!J27,('Jul''15 SP'!J27*'Jul''15 SP'!J29/100*1.1)*'Jul''15 SP'!J24,('Bills Jul''15'!$H5*'Jul''15 SP'!J23/'Jul''15 SP'!J24*'Jul''15 SP'!J29/100*1.1)*'Jul''15 SP'!J24)</f>
        <v>138.56920000000002</v>
      </c>
      <c r="I82" s="59">
        <f>IF($H5*'Jul''15 SP'!K23/'Jul''15 SP'!K24&gt;='Jul''15 SP'!K27,('Jul''15 SP'!K27*'Jul''15 SP'!K29/100*1.1)*'Jul''15 SP'!K24,('Bills Jul''15'!$H5*'Jul''15 SP'!K23/'Jul''15 SP'!K24*'Jul''15 SP'!K29/100*1.1)*'Jul''15 SP'!K24)</f>
        <v>150.15</v>
      </c>
      <c r="J82" s="59">
        <f>IF($H5*'Jul''15 SP'!L23/'Jul''15 SP'!L24&gt;='Jul''15 SP'!L27,('Jul''15 SP'!L27*'Jul''15 SP'!L29/100*1.1)*'Jul''15 SP'!L24,('Bills Jul''15'!$H5*'Jul''15 SP'!L23/'Jul''15 SP'!L24*'Jul''15 SP'!L29/100*1.1)*'Jul''15 SP'!L24)</f>
        <v>279.83999999999997</v>
      </c>
      <c r="K82" s="59">
        <f>IF($H5*'Jul''15 SP'!M23/'Jul''15 SP'!M24&gt;='Jul''15 SP'!M27,('Jul''15 SP'!M27*'Jul''15 SP'!M29/100*1.1)*'Jul''15 SP'!M24,('Bills Jul''15'!$H5*'Jul''15 SP'!M23/'Jul''15 SP'!M24*'Jul''15 SP'!M29/100*1.1)*'Jul''15 SP'!M24)</f>
        <v>146.30000000000001</v>
      </c>
      <c r="L82" s="59">
        <f>IF($H5*'Jul''15 SP'!N23/'Jul''15 SP'!N24&gt;='Jul''15 SP'!N27,('Jul''15 SP'!N27*'Jul''15 SP'!N29/100*1.1)*'Jul''15 SP'!N24,($H5*'Jul''15 SP'!N23/'Jul''15 SP'!N24*'Jul''15 SP'!N29/100*1.1)*'Jul''15 SP'!N24)</f>
        <v>239.31600000000003</v>
      </c>
      <c r="M82" s="59">
        <f>IF($H5*'Jul''15 SP'!O23/'Jul''15 SP'!O24&gt;='Jul''15 SP'!O27,('Jul''15 SP'!O27*'Jul''15 SP'!O29/100*1.1)*'Jul''15 SP'!O24,($H5*'Jul''15 SP'!O23/'Jul''15 SP'!O24*'Jul''15 SP'!O29/100*1.1)*'Jul''15 SP'!O24)</f>
        <v>283.8</v>
      </c>
      <c r="N82" s="63"/>
    </row>
    <row r="83" spans="1:14" x14ac:dyDescent="0.15">
      <c r="A83" s="40" t="s">
        <v>603</v>
      </c>
      <c r="C83" s="59">
        <f>IF($H5*'Jul''15 SP'!E23/'Jul''15 SP'!E24&lt;'Jul''15 SP'!E27,0,IF($H5*'Jul''15 SP'!E23/'Jul''15 SP'!E24&lt;='Jul''15 SP'!E28,($H5*'Jul''15 SP'!E23/'Jul''15 SP'!E24-'Jul''15 SP'!E27)*('Jul''15 SP'!E30/100*1.1)*'Jul''15 SP'!E24,('Jul''15 SP'!E28-'Jul''15 SP'!E27)*('Jul''15 SP'!E30/100*1.1)*'Jul''15 SP'!E24))</f>
        <v>157.96713239999997</v>
      </c>
      <c r="D83" s="59">
        <v>0</v>
      </c>
      <c r="E83" s="59">
        <f>IF($H5*'Jul''15 SP'!G23/'Jul''15 SP'!G24&lt;'Jul''15 SP'!G27,0,IF($H5*'Jul''15 SP'!G23/'Jul''15 SP'!G24&lt;='Jul''15 SP'!G28,($H5*'Jul''15 SP'!G23/'Jul''15 SP'!G24-'Jul''15 SP'!G27)*('Jul''15 SP'!G30/100*1.1)*'Jul''15 SP'!G24,('Jul''15 SP'!G28-'Jul''15 SP'!G27)*('Jul''15 SP'!G30/100*1.1)*'Jul''15 SP'!G24))</f>
        <v>180.137958</v>
      </c>
      <c r="F83" s="59">
        <f>IF($H5*'Jul''15 SP'!H23/'Jul''15 SP'!H24&lt;'Jul''15 SP'!H27,0,IF($H5*'Jul''15 SP'!H23/'Jul''15 SP'!H24&lt;='Jul''15 SP'!H28,($H5*'Jul''15 SP'!H23/'Jul''15 SP'!H24-'Jul''15 SP'!H27)*('Jul''15 SP'!H30/100*1.1)*'Jul''15 SP'!H24,('Jul''15 SP'!H28-'Jul''15 SP'!H27)*('Jul''15 SP'!H30/100*1.1)*'Jul''15 SP'!H24))</f>
        <v>130.25360039999998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f>IF($H5*'Jul''15 SP'!N23/'Jul''15 SP'!N24&lt;'Jul''15 SP'!N27,0,IF($H5*'Jul''15 SP'!N23/'Jul''15 SP'!N24&lt;='Jul''15 SP'!N28,($H5*'Jul''15 SP'!N23/'Jul''15 SP'!N24-'Jul''15 SP'!N27)*('Jul''15 SP'!N30/100*1.1)*'Jul''15 SP'!N24,('Jul''15 SP'!N28-'Jul''15 SP'!N27)*('Jul''15 SP'!N30/100*1.1)*'Jul''15 SP'!N24))</f>
        <v>176.07990509999999</v>
      </c>
      <c r="M83" s="59">
        <f>IF($H5*'Jul''15 SP'!O23/'Jul''15 SP'!O24&lt;'Jul''15 SP'!O27,0,IF($H5*'Jul''15 SP'!O23/'Jul''15 SP'!O24&lt;='Jul''15 SP'!O28,($H5*'Jul''15 SP'!O23/'Jul''15 SP'!O24-'Jul''15 SP'!O27)*('Jul''15 SP'!O30/100*1.1)*'Jul''15 SP'!O24,('Jul''15 SP'!O28-'Jul''15 SP'!O27)*('Jul''15 SP'!O30/100*1.1)*'Jul''15 SP'!O24))</f>
        <v>176.17888199999996</v>
      </c>
      <c r="N83" s="63"/>
    </row>
    <row r="84" spans="1:14" x14ac:dyDescent="0.15">
      <c r="A84" s="40" t="s">
        <v>606</v>
      </c>
      <c r="C84" s="59">
        <f>IF(($H5*'Jul''15 SP'!E23/'Jul''15 SP'!E24&gt;'Jul''15 SP'!E28),($H5*'Jul''15 SP'!E23/'Jul''15 SP'!E24-'Jul''15 SP'!E28)*'Jul''15 SP'!E31/100*1.1*'Jul''15 SP'!E24,0)</f>
        <v>0</v>
      </c>
      <c r="D84" s="59">
        <f>IF(($H5*'Jul''15 SP'!F23/'Jul''15 SP'!F24&lt;'Jul''15 SP'!F27),(0),('Bills Jul''15'!$H5*'Jul''15 SP'!F23/'Jul''15 SP'!F24-'Jul''15 SP'!F27)*'Jul''15 SP'!F31/100*1.1)*'Jul''15 SP'!F24</f>
        <v>272.65957619999995</v>
      </c>
      <c r="E84" s="59">
        <f>IF(($H5*'Jul''15 SP'!G23/'Jul''15 SP'!G24&gt;'Jul''15 SP'!G28),($H5*'Jul''15 SP'!G23/'Jul''15 SP'!G24-'Jul''15 SP'!G28)*'Jul''15 SP'!G31/100*1.1*'Jul''15 SP'!G24,0)</f>
        <v>0</v>
      </c>
      <c r="F84" s="59">
        <f>IF(($H5*'Jul''15 SP'!H23/'Jul''15 SP'!H24&gt;'Jul''15 SP'!H28),($H5*'Jul''15 SP'!H23/'Jul''15 SP'!H24-'Jul''15 SP'!H28)*'Jul''15 SP'!H31/100*1.1*'Jul''15 SP'!H24,0)</f>
        <v>0</v>
      </c>
      <c r="G84" s="59">
        <f>IF(($H5*'Jul''15 SP'!I23/'Jul''15 SP'!I24&lt;'Jul''15 SP'!I27),(0),('Bills Jul''15'!$H5*'Jul''15 SP'!I23/'Jul''15 SP'!I24-'Jul''15 SP'!I27)*'Jul''15 SP'!I31/100*1.1)*'Jul''15 SP'!I24</f>
        <v>264.84026799999998</v>
      </c>
      <c r="H84" s="59">
        <f>IF(($H5*'Jul''15 SP'!J23/'Jul''15 SP'!J24&lt;'Jul''15 SP'!J27),(0),('Bills Jul''15'!$H5*'Jul''15 SP'!J23/'Jul''15 SP'!J24-'Jul''15 SP'!J27)*'Jul''15 SP'!J31/100*1.1)*'Jul''15 SP'!J24</f>
        <v>272.40053378999994</v>
      </c>
      <c r="I84" s="59">
        <f>IF(($H5*'Jul''15 SP'!K23/'Jul''15 SP'!K24&lt;'Jul''15 SP'!K27),(0),('Bills Jul''15'!$H5*'Jul''15 SP'!K23/'Jul''15 SP'!K24-'Jul''15 SP'!K27)*'Jul''15 SP'!K31/100*1.1)*'Jul''15 SP'!K24</f>
        <v>250.98234699999998</v>
      </c>
      <c r="J84" s="59">
        <f>IF(($H5*'Jul''15 SP'!L23/'Jul''15 SP'!L24&lt;'Jul''15 SP'!L27),(0),('Bills Jul''15'!$H5*'Jul''15 SP'!L23/'Jul''15 SP'!L24-'Jul''15 SP'!L27)*'Jul''15 SP'!L31/100*1.1)*'Jul''15 SP'!L24</f>
        <v>164.30165399999998</v>
      </c>
      <c r="K84" s="59">
        <f>IF(($H5*'Jul''15 SP'!M23/'Jul''15 SP'!M24&lt;'Jul''15 SP'!M27),(0),('Bills Jul''15'!$H5*'Jul''15 SP'!M23/'Jul''15 SP'!M24-'Jul''15 SP'!M27)*'Jul''15 SP'!M31/100*1.1)*'Jul''15 SP'!M24</f>
        <v>250.98234699999998</v>
      </c>
      <c r="L84" s="59">
        <f>IF(($H5*'Jul''15 SP'!N23/'Jul''15 SP'!N24&gt;'Jul''15 SP'!N28),($H5*'Jul''15 SP'!N23/'Jul''15 SP'!N24-'Jul''15 SP'!N28)*'Jul''15 SP'!N31/100*1.1*'Jul''15 SP'!N24,0)</f>
        <v>0</v>
      </c>
      <c r="M84" s="59">
        <f>IF(($H5*'Jul''15 SP'!O23/'Jul''15 SP'!O24&gt;'Jul''15 SP'!O28),($H5*'Jul''15 SP'!O23/'Jul''15 SP'!O24-'Jul''15 SP'!O28)*'Jul''15 SP'!O31/100*1.1*'Jul''15 SP'!O24,0)</f>
        <v>0</v>
      </c>
      <c r="N84" s="63"/>
    </row>
    <row r="85" spans="1:14" x14ac:dyDescent="0.15">
      <c r="A85" s="40" t="s">
        <v>607</v>
      </c>
      <c r="C85" s="59">
        <f>IF($H5*'Jul''15 SP'!E25/'Jul''15 SP'!E26&gt;='Jul''15 SP'!E27,('Jul''15 SP'!E27*'Jul''15 SP'!E32/100*1.1)*'Jul''15 SP'!E26,($H5*'Jul''15 SP'!E25/'Jul''15 SP'!E26*'Jul''15 SP'!E32/100*1.1)*'Jul''15 SP'!E26)</f>
        <v>453.024</v>
      </c>
      <c r="D85" s="59">
        <f>IF($H5*'Jul''15 SP'!F25/'Jul''15 SP'!F26&gt;='Jul''15 SP'!F27,('Jul''15 SP'!F27*'Jul''15 SP'!F32/100*1.1)*'Jul''15 SP'!F26,('Bills Jul''15'!$H5*'Jul''15 SP'!F25/'Jul''15 SP'!F26*'Jul''15 SP'!F32/100*1.1)*'Jul''15 SP'!F26)</f>
        <v>253.15840000000003</v>
      </c>
      <c r="E85" s="59">
        <f>IF($H5*'Jul''15 SP'!G25/'Jul''15 SP'!G26&gt;='Jul''15 SP'!G27,('Jul''15 SP'!G27*'Jul''15 SP'!G32/100*1.1)*'Jul''15 SP'!G26,($H5*'Jul''15 SP'!G25/'Jul''15 SP'!G26*'Jul''15 SP'!G32/100*1.1)*'Jul''15 SP'!G26)</f>
        <v>443.52000000000004</v>
      </c>
      <c r="F85" s="59">
        <f>IF($H5*'Jul''15 SP'!H25/'Jul''15 SP'!H26&gt;='Jul''15 SP'!H27,('Jul''15 SP'!H27*'Jul''15 SP'!H32/100*1.1)*'Jul''15 SP'!H26,($H5*'Jul''15 SP'!H25/'Jul''15 SP'!H26*'Jul''15 SP'!H32/100*1.1)*'Jul''15 SP'!H26)</f>
        <v>331.05599999999998</v>
      </c>
      <c r="G85" s="59">
        <f>IF($H5*'Jul''15 SP'!I25/'Jul''15 SP'!I26&gt;='Jul''15 SP'!I27,('Jul''15 SP'!I27*'Jul''15 SP'!I32/100*1.1)*'Jul''15 SP'!I26,('Bills Jul''15'!$H5*'Jul''15 SP'!I25/'Jul''15 SP'!I26*'Jul''15 SP'!I32/100*1.1)*'Jul''15 SP'!I26)</f>
        <v>244.86</v>
      </c>
      <c r="H85" s="59">
        <f>IF($H5*'Jul''15 SP'!J25/'Jul''15 SP'!J26&gt;='Jul''15 SP'!J27,('Jul''15 SP'!J27*'Jul''15 SP'!J32/100*1.1)*'Jul''15 SP'!J26,('Bills Jul''15'!$H5*'Jul''15 SP'!J25/'Jul''15 SP'!J26*'Jul''15 SP'!J32/100*1.1)*'Jul''15 SP'!J26)</f>
        <v>238.77700000000002</v>
      </c>
      <c r="I85" s="59">
        <f>IF($H5*'Jul''15 SP'!K25/'Jul''15 SP'!K26&gt;='Jul''15 SP'!K27,('Jul''15 SP'!K27*'Jul''15 SP'!K32/100*1.1)*'Jul''15 SP'!K26,('Bills Jul''15'!$H5*'Jul''15 SP'!K25/'Jul''15 SP'!K26*'Jul''15 SP'!K32/100*1.1)*'Jul''15 SP'!K26)</f>
        <v>284.90000000000003</v>
      </c>
      <c r="J85" s="59">
        <f>IF($H5*'Jul''15 SP'!L25/'Jul''15 SP'!L26&gt;='Jul''15 SP'!L27,('Jul''15 SP'!L27*'Jul''15 SP'!L32/100*1.1)*'Jul''15 SP'!L26,('Bills Jul''15'!$H5*'Jul''15 SP'!L25/'Jul''15 SP'!L26*'Jul''15 SP'!L32/100*1.1)*'Jul''15 SP'!L26)</f>
        <v>533.28000000000009</v>
      </c>
      <c r="K85" s="59">
        <f>IF($H5*'Jul''15 SP'!M25/'Jul''15 SP'!M26&gt;='Jul''15 SP'!M27,('Jul''15 SP'!M27*'Jul''15 SP'!M32/100*1.1)*'Jul''15 SP'!M26,('Bills Jul''15'!$H5*'Jul''15 SP'!M25/'Jul''15 SP'!M26*'Jul''15 SP'!M32/100*1.1)*'Jul''15 SP'!M26)</f>
        <v>251.02</v>
      </c>
      <c r="L85" s="59">
        <f>IF($H5*'Jul''15 SP'!N25/'Jul''15 SP'!N26&gt;='Jul''15 SP'!N27,('Jul''15 SP'!N27*'Jul''15 SP'!N32/100*1.1)*'Jul''15 SP'!N26,($H5*'Jul''15 SP'!N25/'Jul''15 SP'!N26*'Jul''15 SP'!N32/100*1.1)*'Jul''15 SP'!N26)</f>
        <v>469.65600000000001</v>
      </c>
      <c r="M85" s="59">
        <f>IF($H5*'Jul''15 SP'!O25/'Jul''15 SP'!O26&gt;='Jul''15 SP'!O27,('Jul''15 SP'!O27*'Jul''15 SP'!O32/100*1.1)*'Jul''15 SP'!O26,($H5*'Jul''15 SP'!O25/'Jul''15 SP'!O26*'Jul''15 SP'!O32/100*1.1)*'Jul''15 SP'!O26)</f>
        <v>475.20000000000005</v>
      </c>
      <c r="N85" s="63"/>
    </row>
    <row r="86" spans="1:14" x14ac:dyDescent="0.15">
      <c r="A86" s="40" t="s">
        <v>608</v>
      </c>
      <c r="C86" s="59">
        <f>IF($H5*'Jul''15 SP'!E25/'Jul''15 SP'!E26&lt;'Jul''15 SP'!E27,0,IF($H5*'Jul''15 SP'!E25/'Jul''15 SP'!E26&lt;='Jul''15 SP'!E28,($H5*'Jul''15 SP'!E25/'Jul''15 SP'!E26-'Jul''15 SP'!E27)*('Jul''15 SP'!E33/100*1.1)*'Jul''15 SP'!E26,('Jul''15 SP'!E28-'Jul''15 SP'!E27)*('Jul''15 SP'!E33/100*1.1)*'Jul''15 SP'!E26))</f>
        <v>286.04324099999991</v>
      </c>
      <c r="D86" s="59">
        <v>0</v>
      </c>
      <c r="E86" s="59">
        <f>IF($H5*'Jul''15 SP'!G25/'Jul''15 SP'!G26&lt;'Jul''15 SP'!G27,0,IF($H5*'Jul''15 SP'!G25/'Jul''15 SP'!G26&lt;='Jul''15 SP'!G28,($H5*'Jul''15 SP'!G25/'Jul''15 SP'!G26-'Jul''15 SP'!G27)*('Jul''15 SP'!G33/100*1.1)*'Jul''15 SP'!G26,('Jul''15 SP'!G28-'Jul''15 SP'!G27)*('Jul''15 SP'!G33/100*1.1)*'Jul''15 SP'!G26))</f>
        <v>306.82838999999996</v>
      </c>
      <c r="F86" s="59">
        <f>IF($H5*'Jul''15 SP'!H25/'Jul''15 SP'!H26&lt;'Jul''15 SP'!H27,0,IF($H5*'Jul''15 SP'!H25/'Jul''15 SP'!H26&lt;='Jul''15 SP'!H28,($H5*'Jul''15 SP'!H25/'Jul''15 SP'!H26-'Jul''15 SP'!H27)*('Jul''15 SP'!H33/100*1.1)*'Jul''15 SP'!H26,('Jul''15 SP'!H28-'Jul''15 SP'!H27)*('Jul''15 SP'!H33/100*1.1)*'Jul''15 SP'!H26))</f>
        <v>190.82746319999995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f>IF($H5*'Jul''15 SP'!N25/'Jul''15 SP'!N26&lt;'Jul''15 SP'!N27,0,IF($H5*'Jul''15 SP'!N25/'Jul''15 SP'!N26&lt;='Jul''15 SP'!N28,($H5*'Jul''15 SP'!N25/'Jul''15 SP'!N26-'Jul''15 SP'!N27)*('Jul''15 SP'!N33/100*1.1)*'Jul''15 SP'!N26,('Jul''15 SP'!N28-'Jul''15 SP'!N27)*('Jul''15 SP'!N33/100*1.1)*'Jul''15 SP'!N26))</f>
        <v>303.26522159999996</v>
      </c>
      <c r="M86" s="59">
        <f>IF($H5*'Jul''15 SP'!O25/'Jul''15 SP'!O26&lt;'Jul''15 SP'!O27,0,IF($H5*'Jul''15 SP'!O25/'Jul''15 SP'!O26&lt;='Jul''15 SP'!O28,($H5*'Jul''15 SP'!O25/'Jul''15 SP'!O26-'Jul''15 SP'!O27)*('Jul''15 SP'!O33/100*1.1)*'Jul''15 SP'!O26,('Jul''15 SP'!O28-'Jul''15 SP'!O27)*('Jul''15 SP'!O33/100*1.1)*'Jul''15 SP'!O26))</f>
        <v>332.56238399999989</v>
      </c>
      <c r="N86" s="63"/>
    </row>
    <row r="87" spans="1:14" x14ac:dyDescent="0.15">
      <c r="A87" s="40" t="s">
        <v>611</v>
      </c>
      <c r="C87" s="59">
        <f>IF(($H5*'Jul''15 SP'!E25/'Jul''15 SP'!E26&gt;'Jul''15 SP'!E28),($H5*'Jul''15 SP'!E25/'Jul''15 SP'!E26-'Jul''15 SP'!E28)*'Jul''15 SP'!E34/100*1.1*'Jul''15 SP'!E26,0)</f>
        <v>0</v>
      </c>
      <c r="D87" s="59">
        <f>IF(($H5*'Jul''15 SP'!F25/'Jul''15 SP'!F26&lt;'Jul''15 SP'!F27),(0),('Bills Jul''15'!$H5*'Jul''15 SP'!F25/'Jul''15 SP'!F26-'Jul''15 SP'!F27)*'Jul''15 SP'!F34/100*1.1)*'Jul''15 SP'!F26</f>
        <v>457.96531879999998</v>
      </c>
      <c r="E87" s="59">
        <f>IF(($H5*'Jul''15 SP'!G25/'Jul''15 SP'!G26&gt;'Jul''15 SP'!G28),($H5*'Jul''15 SP'!G25/'Jul''15 SP'!G26-'Jul''15 SP'!G28)*'Jul''15 SP'!G34/100*1.1*'Jul''15 SP'!G26,0)</f>
        <v>0</v>
      </c>
      <c r="F87" s="59">
        <f>IF(($H5*'Jul''15 SP'!H25/'Jul''15 SP'!H26&gt;'Jul''15 SP'!H28),($H5*'Jul''15 SP'!H25/'Jul''15 SP'!H26-'Jul''15 SP'!H28)*'Jul''15 SP'!H34/100*1.1*'Jul''15 SP'!H26,0)</f>
        <v>0</v>
      </c>
      <c r="G87" s="59">
        <f>IF(($H5*'Jul''15 SP'!I25/'Jul''15 SP'!I26&lt;'Jul''15 SP'!I27),(0),('Bills Jul''15'!$H5*'Jul''15 SP'!I25/'Jul''15 SP'!I26-'Jul''15 SP'!I27)*'Jul''15 SP'!I34/100*1.1)*'Jul''15 SP'!I26</f>
        <v>471.16931399999999</v>
      </c>
      <c r="H87" s="59">
        <f>IF(($H5*'Jul''15 SP'!J25/'Jul''15 SP'!J26&lt;'Jul''15 SP'!J27),(0),('Bills Jul''15'!$H5*'Jul''15 SP'!J25/'Jul''15 SP'!J26-'Jul''15 SP'!J27)*'Jul''15 SP'!J34/100*1.1)*'Jul''15 SP'!J26</f>
        <v>426.85476218000002</v>
      </c>
      <c r="I87" s="59">
        <f>IF(($H5*'Jul''15 SP'!K25/'Jul''15 SP'!K26&lt;'Jul''15 SP'!K27),(0),('Bills Jul''15'!$H5*'Jul''15 SP'!K25/'Jul''15 SP'!K26-'Jul''15 SP'!K27)*'Jul''15 SP'!K34/100*1.1)*'Jul''15 SP'!K26</f>
        <v>437.29439599999995</v>
      </c>
      <c r="J87" s="59">
        <f>IF(($H5*'Jul''15 SP'!L25/'Jul''15 SP'!L26&lt;'Jul''15 SP'!L27),(0),('Bills Jul''15'!$H5*'Jul''15 SP'!L25/'Jul''15 SP'!L26-'Jul''15 SP'!L27)*'Jul''15 SP'!L34/100*1.1)*'Jul''15 SP'!L26</f>
        <v>306.82839000000001</v>
      </c>
      <c r="K87" s="59">
        <f>IF(($H5*'Jul''15 SP'!M25/'Jul''15 SP'!M26&lt;'Jul''15 SP'!M27),(0),('Bills Jul''15'!$H5*'Jul''15 SP'!M25/'Jul''15 SP'!M26-'Jul''15 SP'!M27)*'Jul''15 SP'!M34/100*1.1)*'Jul''15 SP'!M26</f>
        <v>455.77162399999992</v>
      </c>
      <c r="L87" s="59">
        <f>IF(($H5*'Jul''15 SP'!N25/'Jul''15 SP'!N26&gt;'Jul''15 SP'!N28),($H5*'Jul''15 SP'!N25/'Jul''15 SP'!N26-'Jul''15 SP'!N28)*'Jul''15 SP'!N34/100*1.1*'Jul''15 SP'!N26,0)</f>
        <v>0</v>
      </c>
      <c r="M87" s="59">
        <f>IF(($H5*'Jul''15 SP'!O25/'Jul''15 SP'!O26&gt;'Jul''15 SP'!O28),($H5*'Jul''15 SP'!O25/'Jul''15 SP'!O26-'Jul''15 SP'!O28)*'Jul''15 SP'!O34/100*1.1*'Jul''15 SP'!O26,0)</f>
        <v>0</v>
      </c>
      <c r="N87" s="63"/>
    </row>
    <row r="88" spans="1:14" x14ac:dyDescent="0.15">
      <c r="A88" s="40" t="s">
        <v>612</v>
      </c>
      <c r="C88" s="59">
        <f>365*'Jul''15 SP'!E35/100*1.1</f>
        <v>243.95139999999998</v>
      </c>
      <c r="D88" s="59">
        <f>365*'Jul''15 SP'!F35/100*1.1</f>
        <v>260.97500000000002</v>
      </c>
      <c r="E88" s="59">
        <f>365*'Jul''15 SP'!G35/100*1.1</f>
        <v>256.35775000000001</v>
      </c>
      <c r="F88" s="59">
        <f>365*'Jul''15 SP'!H35/100*1.1</f>
        <v>254.22980000000001</v>
      </c>
      <c r="G88" s="59">
        <f>365*'Jul''15 SP'!I35/100*1.1</f>
        <v>279.68490000000003</v>
      </c>
      <c r="H88" s="59">
        <f>365*'Jul''15 SP'!J35/100*1.1</f>
        <v>247.76565000000002</v>
      </c>
      <c r="I88" s="59">
        <f>365*'Jul''15 SP'!K35/100*1.1</f>
        <v>248.93000000000004</v>
      </c>
      <c r="J88" s="59">
        <f>365*'Jul''15 SP'!L35/100*1.1</f>
        <v>251.37915000000004</v>
      </c>
      <c r="K88" s="59">
        <f>365*'Jul''15 SP'!M35/100*1.1</f>
        <v>208.73985000000005</v>
      </c>
      <c r="L88" s="59">
        <f>365*'Jul''15 SP'!N35/100*1.1</f>
        <v>250.93750000000003</v>
      </c>
      <c r="M88" s="59">
        <f>365*'Jul''15 SP'!O35/100*1.1</f>
        <v>260.97500000000002</v>
      </c>
      <c r="N88" s="60">
        <f>AVERAGE(C88:M88)</f>
        <v>251.26599999999999</v>
      </c>
    </row>
    <row r="89" spans="1:14" x14ac:dyDescent="0.15">
      <c r="A89" s="62" t="s">
        <v>613</v>
      </c>
      <c r="B89" s="63"/>
      <c r="C89" s="61">
        <f t="shared" ref="C89:L89" si="6">SUM(C82:C88)</f>
        <v>1396.2737733999998</v>
      </c>
      <c r="D89" s="61">
        <f t="shared" si="6"/>
        <v>1402.0318950000001</v>
      </c>
      <c r="E89" s="61">
        <f t="shared" si="6"/>
        <v>1435.0040979999999</v>
      </c>
      <c r="F89" s="61">
        <f>SUM(F82:F88)</f>
        <v>1079.4188636000001</v>
      </c>
      <c r="G89" s="61">
        <f>SUM(G82:G88)</f>
        <v>1409.1644819999999</v>
      </c>
      <c r="H89" s="61">
        <f t="shared" si="6"/>
        <v>1324.3671459700001</v>
      </c>
      <c r="I89" s="61">
        <f t="shared" si="6"/>
        <v>1372.2567430000001</v>
      </c>
      <c r="J89" s="61">
        <f t="shared" si="6"/>
        <v>1535.6291939999999</v>
      </c>
      <c r="K89" s="61">
        <f t="shared" si="6"/>
        <v>1312.8138209999997</v>
      </c>
      <c r="L89" s="61">
        <f t="shared" si="6"/>
        <v>1439.2546267</v>
      </c>
      <c r="M89" s="61">
        <f>SUM(M82:M88)</f>
        <v>1528.7162659999999</v>
      </c>
      <c r="N89" s="64">
        <f>AVERAGE(C89:M89)</f>
        <v>1384.9937189699997</v>
      </c>
    </row>
    <row r="91" spans="1:14" x14ac:dyDescent="0.15">
      <c r="A91" s="53" t="s">
        <v>1034</v>
      </c>
      <c r="C91" s="23" t="s">
        <v>1044</v>
      </c>
      <c r="D91" s="23" t="s">
        <v>591</v>
      </c>
      <c r="E91" s="23" t="s">
        <v>592</v>
      </c>
      <c r="F91" s="23" t="s">
        <v>614</v>
      </c>
      <c r="G91" s="23" t="s">
        <v>615</v>
      </c>
      <c r="H91" s="23" t="s">
        <v>595</v>
      </c>
      <c r="I91" s="23" t="s">
        <v>596</v>
      </c>
      <c r="J91" s="23" t="s">
        <v>486</v>
      </c>
      <c r="K91" s="23" t="s">
        <v>487</v>
      </c>
      <c r="L91" s="23" t="s">
        <v>599</v>
      </c>
      <c r="M91" s="23" t="s">
        <v>600</v>
      </c>
      <c r="N91" s="57" t="s">
        <v>601</v>
      </c>
    </row>
    <row r="92" spans="1:14" x14ac:dyDescent="0.15">
      <c r="A92" s="40" t="s">
        <v>602</v>
      </c>
      <c r="C92" s="59">
        <f>IF($H5*'Jul''15 SP'!E39/'Jul''15 SP'!E40&gt;='Jul''15 SP'!E43,('Jul''15 SP'!E43*'Jul''15 SP'!E45/100*1.1)*'Jul''15 SP'!E40,($H5*'Jul''15 SP'!E39/'Jul''15 SP'!E40*'Jul''15 SP'!E45/100*1.1)*'Jul''15 SP'!E40)</f>
        <v>262.416</v>
      </c>
      <c r="D92" s="59">
        <f>IF($H5*'Jul''15 SP'!F39/'Jul''15 SP'!F40&gt;='Jul''15 SP'!F43,('Jul''15 SP'!F43*'Jul''15 SP'!F45/100*1.1)*'Jul''15 SP'!F40,('Bills Jul''15'!$H5*'Jul''15 SP'!F39/'Jul''15 SP'!F40*'Jul''15 SP'!F45/100*1.1)*'Jul''15 SP'!F40)</f>
        <v>157.27360000000002</v>
      </c>
      <c r="E92" s="59">
        <f>IF($H5*'Jul''15 SP'!G39/'Jul''15 SP'!G40&gt;='Jul''15 SP'!G43,('Jul''15 SP'!G43*'Jul''15 SP'!G45/100*1.1)*'Jul''15 SP'!G40,($H5*'Jul''15 SP'!G39/'Jul''15 SP'!G40*'Jul''15 SP'!G45/100*1.1)*'Jul''15 SP'!G40)</f>
        <v>291.72000000000003</v>
      </c>
      <c r="F92" s="59">
        <f>IF($H5*'Jul''15 SP'!H39/'Jul''15 SP'!H40&gt;='Jul''15 SP'!H43,('Jul''15 SP'!H43*'Jul''15 SP'!H45/100*1.1)*'Jul''15 SP'!H40,($H5*'Jul''15 SP'!H39/'Jul''15 SP'!H40*'Jul''15 SP'!H45/100*1.1)*'Jul''15 SP'!H40)</f>
        <v>173.05199999999999</v>
      </c>
      <c r="G92" s="59">
        <f>IF($H5*'Jul''15 SP'!I39/'Jul''15 SP'!I40&gt;='Jul''15 SP'!I43,('Jul''15 SP'!I43*'Jul''15 SP'!I45/100*1.1)*'Jul''15 SP'!I40,('Bills Jul''15'!$H5*'Jul''15 SP'!I39/'Jul''15 SP'!I40*'Jul''15 SP'!I45/100*1.1)*'Jul''15 SP'!I40)</f>
        <v>142.91200000000001</v>
      </c>
      <c r="H92" s="59">
        <f>IF($H5*'Jul''15 SP'!J39/'Jul''15 SP'!J40&gt;='Jul''15 SP'!J43,('Jul''15 SP'!J43*'Jul''15 SP'!J45/100*1.1)*'Jul''15 SP'!J40,('Bills Jul''15'!$H5*'Jul''15 SP'!J39/'Jul''15 SP'!J40*'Jul''15 SP'!J45/100*1.1)*'Jul''15 SP'!J40)</f>
        <v>128.71232000000001</v>
      </c>
      <c r="I92" s="59">
        <f>IF($H5*'Jul''15 SP'!K39/'Jul''15 SP'!K40&gt;='Jul''15 SP'!K43,('Jul''15 SP'!K43*'Jul''15 SP'!K45/100*1.1)*'Jul''15 SP'!K40,('Bills Jul''15'!$H5*'Jul''15 SP'!K39/'Jul''15 SP'!K40*'Jul''15 SP'!K45/100*1.1)*'Jul''15 SP'!K40)</f>
        <v>138.19520000000003</v>
      </c>
      <c r="J92" s="59">
        <f>IF($H5*'Jul''15 SP'!L39/'Jul''15 SP'!L40&gt;='Jul''15 SP'!L43,('Jul''15 SP'!L43*'Jul''15 SP'!L45/100*1.1)*'Jul''15 SP'!L40,('Bills Jul''15'!$H5*'Jul''15 SP'!L39/'Jul''15 SP'!L40*'Jul''15 SP'!L45/100*1.1)*'Jul''15 SP'!L40)</f>
        <v>278.64000000000004</v>
      </c>
      <c r="K92" s="59">
        <f>IF($H5*'Jul''15 SP'!M39/'Jul''15 SP'!M40&gt;='Jul''15 SP'!M43,('Jul''15 SP'!M43*'Jul''15 SP'!M45/100*1.1)*'Jul''15 SP'!M40,('Bills Jul''15'!$H5*'Jul''15 SP'!M39/'Jul''15 SP'!M40*'Jul''15 SP'!M45/100*1.1)*'Jul''15 SP'!M40)</f>
        <v>140.80000000000001</v>
      </c>
      <c r="L92" s="59">
        <f>IF($H5*'Jul''15 SP'!N39/'Jul''15 SP'!N40&gt;='Jul''15 SP'!N43,('Jul''15 SP'!N43*'Jul''15 SP'!N45/100*1.1)*'Jul''15 SP'!N40,($H5*'Jul''15 SP'!N39/'Jul''15 SP'!N40*'Jul''15 SP'!N45/100*1.1)*'Jul''15 SP'!N40)</f>
        <v>244.20000000000002</v>
      </c>
      <c r="M92" s="59">
        <f>IF($H5*'Jul''15 SP'!O39/'Jul''15 SP'!O40&gt;='Jul''15 SP'!O43,('Jul''15 SP'!O43*'Jul''15 SP'!O45/100*1.1)*'Jul''15 SP'!O40,($H5*'Jul''15 SP'!O39/'Jul''15 SP'!O40*'Jul''15 SP'!O45/100*1.1)*'Jul''15 SP'!O40)</f>
        <v>283.8</v>
      </c>
      <c r="N92" s="63"/>
    </row>
    <row r="93" spans="1:14" x14ac:dyDescent="0.15">
      <c r="A93" s="40" t="s">
        <v>603</v>
      </c>
      <c r="C93" s="59">
        <f>IF($H5*'Jul''15 SP'!E39/'Jul''15 SP'!E40&lt;'Jul''15 SP'!E43,0,IF($H5*'Jul''15 SP'!E39/'Jul''15 SP'!E40&lt;='Jul''15 SP'!E44,($H5*'Jul''15 SP'!E39/'Jul''15 SP'!E40-'Jul''15 SP'!E43)*('Jul''15 SP'!E46/100*1.1)*'Jul''15 SP'!E40,('Jul''15 SP'!E44-'Jul''15 SP'!E43)*('Jul''15 SP'!E46/100*1.1)*'Jul''15 SP'!E40))</f>
        <v>146.58478889999995</v>
      </c>
      <c r="D93" s="59">
        <v>0</v>
      </c>
      <c r="E93" s="59">
        <f>IF($H5*'Jul''15 SP'!G39/'Jul''15 SP'!G40&lt;'Jul''15 SP'!G43,0,IF($H5*'Jul''15 SP'!G39/'Jul''15 SP'!G40&lt;='Jul''15 SP'!G44,($H5*'Jul''15 SP'!G39/'Jul''15 SP'!G40-'Jul''15 SP'!G43)*('Jul''15 SP'!G46/100*1.1)*'Jul''15 SP'!G40,('Jul''15 SP'!G44-'Jul''15 SP'!G43)*('Jul''15 SP'!G46/100*1.1)*'Jul''15 SP'!G40))</f>
        <v>189.54076349999997</v>
      </c>
      <c r="F93" s="59">
        <f>IF($H5*'Jul''15 SP'!H39/'Jul''15 SP'!H40&lt;'Jul''15 SP'!H43,0,IF($H5*'Jul''15 SP'!H39/'Jul''15 SP'!H40&lt;='Jul''15 SP'!H44,($H5*'Jul''15 SP'!H39/'Jul''15 SP'!H40-'Jul''15 SP'!H43)*('Jul''15 SP'!H46/100*1.1)*'Jul''15 SP'!H40,('Jul''15 SP'!H44-'Jul''15 SP'!H43)*('Jul''15 SP'!H46/100*1.1)*'Jul''15 SP'!H40))</f>
        <v>130.25360039999998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f>IF($H5*'Jul''15 SP'!N39/'Jul''15 SP'!N40&lt;'Jul''15 SP'!N43,0,IF($H5*'Jul''15 SP'!N39/'Jul''15 SP'!N40&lt;='Jul''15 SP'!N44,($H5*'Jul''15 SP'!N39/'Jul''15 SP'!N40-'Jul''15 SP'!N43)*('Jul''15 SP'!N46/100*1.1)*'Jul''15 SP'!N40,('Jul''15 SP'!N44-'Jul''15 SP'!N43)*('Jul''15 SP'!N46/100*1.1)*'Jul''15 SP'!N40))</f>
        <v>179.74205039999995</v>
      </c>
      <c r="M93" s="59">
        <f>IF($H5*'Jul''15 SP'!O39/'Jul''15 SP'!O40&lt;'Jul''15 SP'!O43,0,IF($H5*'Jul''15 SP'!O39/'Jul''15 SP'!O40&lt;='Jul''15 SP'!O44,($H5*'Jul''15 SP'!O39/'Jul''15 SP'!O40-'Jul''15 SP'!O43)*('Jul''15 SP'!O46/100*1.1)*'Jul''15 SP'!O40,('Jul''15 SP'!O44-'Jul''15 SP'!O43)*('Jul''15 SP'!O46/100*1.1)*'Jul''15 SP'!O40))</f>
        <v>176.17888199999996</v>
      </c>
      <c r="N93" s="63"/>
    </row>
    <row r="94" spans="1:14" x14ac:dyDescent="0.15">
      <c r="A94" s="40" t="s">
        <v>606</v>
      </c>
      <c r="C94" s="59">
        <f>IF(($H5*'Jul''15 SP'!E39/'Jul''15 SP'!E40&gt;'Jul''15 SP'!E44),($H5*'Jul''15 SP'!E39/'Jul''15 SP'!E40-'Jul''15 SP'!E44)*'Jul''15 SP'!E47/100*1.1*'Jul''15 SP'!E40,0)</f>
        <v>0</v>
      </c>
      <c r="D94" s="59">
        <f>IF(($H5*'Jul''15 SP'!F39/'Jul''15 SP'!F40&lt;'Jul''15 SP'!F43),(0),('Bills Jul''15'!$H5*'Jul''15 SP'!F39/'Jul''15 SP'!F40-'Jul''15 SP'!F43)*'Jul''15 SP'!F47/100*1.1)*'Jul''15 SP'!F40</f>
        <v>272.65957619999995</v>
      </c>
      <c r="E94" s="59">
        <f>IF(($H5*'Jul''15 SP'!G39/'Jul''15 SP'!G40&gt;'Jul''15 SP'!G44),($H5*'Jul''15 SP'!G39/'Jul''15 SP'!G40-'Jul''15 SP'!G44)*'Jul''15 SP'!G47/100*1.1*'Jul''15 SP'!G40,0)</f>
        <v>0</v>
      </c>
      <c r="F94" s="59">
        <f>IF(($H5*'Jul''15 SP'!H39/'Jul''15 SP'!H40&gt;'Jul''15 SP'!H44),($H5*'Jul''15 SP'!H39/'Jul''15 SP'!H40-'Jul''15 SP'!H44)*'Jul''15 SP'!H47/100*1.1*'Jul''15 SP'!H40,0)</f>
        <v>0</v>
      </c>
      <c r="G94" s="59">
        <f>IF(($H5*'Jul''15 SP'!I39/'Jul''15 SP'!I40&lt;'Jul''15 SP'!I43),(0),('Bills Jul''15'!$H5*'Jul''15 SP'!I39/'Jul''15 SP'!I40-'Jul''15 SP'!I43)*'Jul''15 SP'!I47/100*1.1)*'Jul''15 SP'!I40</f>
        <v>260.13457799999998</v>
      </c>
      <c r="H94" s="59">
        <f>IF(($H5*'Jul''15 SP'!J39/'Jul''15 SP'!J40&lt;'Jul''15 SP'!J43),(0),('Bills Jul''15'!$H5*'Jul''15 SP'!J39/'Jul''15 SP'!J40-'Jul''15 SP'!J43)*'Jul''15 SP'!J47/100*1.1)*'Jul''15 SP'!J40</f>
        <v>273.35005687</v>
      </c>
      <c r="I94" s="59">
        <f>IF(($H5*'Jul''15 SP'!K39/'Jul''15 SP'!K40&lt;'Jul''15 SP'!K43),(0),('Bills Jul''15'!$H5*'Jul''15 SP'!K39/'Jul''15 SP'!K40-'Jul''15 SP'!K43)*'Jul''15 SP'!K47/100*1.1)*'Jul''15 SP'!K40</f>
        <v>266.23650019999997</v>
      </c>
      <c r="J94" s="59">
        <f>IF(($H5*'Jul''15 SP'!L39/'Jul''15 SP'!L40&lt;'Jul''15 SP'!L43),(0),('Bills Jul''15'!$H5*'Jul''15 SP'!L39/'Jul''15 SP'!L40-'Jul''15 SP'!L43)*'Jul''15 SP'!L47/100*1.1)*'Jul''15 SP'!L40</f>
        <v>167.27096099999997</v>
      </c>
      <c r="K94" s="59">
        <f>IF(($H5*'Jul''15 SP'!M39/'Jul''15 SP'!M40&lt;'Jul''15 SP'!M43),(0),('Bills Jul''15'!$H5*'Jul''15 SP'!M39/'Jul''15 SP'!M40-'Jul''15 SP'!M43)*'Jul''15 SP'!M47/100*1.1)*'Jul''15 SP'!M40</f>
        <v>260.13457799999998</v>
      </c>
      <c r="L94" s="59">
        <f>IF(($H5*'Jul''15 SP'!N39/'Jul''15 SP'!N40&gt;'Jul''15 SP'!N44),($H5*'Jul''15 SP'!N39/'Jul''15 SP'!N40-'Jul''15 SP'!N44)*'Jul''15 SP'!N47/100*1.1*'Jul''15 SP'!N40,0)</f>
        <v>0</v>
      </c>
      <c r="M94" s="59">
        <f>IF(($H5*'Jul''15 SP'!O39/'Jul''15 SP'!O40&gt;'Jul''15 SP'!O44),($H5*'Jul''15 SP'!O39/'Jul''15 SP'!O40-'Jul''15 SP'!O44)*'Jul''15 SP'!O47/100*1.1*'Jul''15 SP'!O40,0)</f>
        <v>0</v>
      </c>
      <c r="N94" s="63"/>
    </row>
    <row r="95" spans="1:14" x14ac:dyDescent="0.15">
      <c r="A95" s="40" t="s">
        <v>607</v>
      </c>
      <c r="C95" s="59">
        <f>IF($H5*'Jul''15 SP'!E41/'Jul''15 SP'!E42&gt;='Jul''15 SP'!E43,('Jul''15 SP'!E43*'Jul''15 SP'!E48/100*1.1)*'Jul''15 SP'!E42,($H5*'Jul''15 SP'!E41/'Jul''15 SP'!E42*'Jul''15 SP'!E48/100*1.1)*'Jul''15 SP'!E42)</f>
        <v>484.96800000000007</v>
      </c>
      <c r="D95" s="59">
        <f>IF($H5*'Jul''15 SP'!F41/'Jul''15 SP'!F42&gt;='Jul''15 SP'!F43,('Jul''15 SP'!F43*'Jul''15 SP'!F48/100*1.1)*'Jul''15 SP'!F42,('Bills Jul''15'!$H5*'Jul''15 SP'!F41/'Jul''15 SP'!F42*'Jul''15 SP'!F48/100*1.1)*'Jul''15 SP'!F42)</f>
        <v>253.15840000000003</v>
      </c>
      <c r="E95" s="59">
        <f>IF($H5*'Jul''15 SP'!G41/'Jul''15 SP'!G42&gt;='Jul''15 SP'!G43,('Jul''15 SP'!G43*'Jul''15 SP'!G48/100*1.1)*'Jul''15 SP'!G42,($H5*'Jul''15 SP'!G41/'Jul''15 SP'!G42*'Jul''15 SP'!G48/100*1.1)*'Jul''15 SP'!G42)</f>
        <v>469.92</v>
      </c>
      <c r="F95" s="59">
        <f>IF($H5*'Jul''15 SP'!H41/'Jul''15 SP'!H42&gt;='Jul''15 SP'!H43,('Jul''15 SP'!H43*'Jul''15 SP'!H48/100*1.1)*'Jul''15 SP'!H42,($H5*'Jul''15 SP'!H41/'Jul''15 SP'!H42*'Jul''15 SP'!H48/100*1.1)*'Jul''15 SP'!H42)</f>
        <v>331.05599999999998</v>
      </c>
      <c r="G95" s="59">
        <f>IF($H5*'Jul''15 SP'!I41/'Jul''15 SP'!I42&gt;='Jul''15 SP'!I43,('Jul''15 SP'!I43*'Jul''15 SP'!I48/100*1.1)*'Jul''15 SP'!I42,('Bills Jul''15'!$H5*'Jul''15 SP'!I41/'Jul''15 SP'!I42*'Jul''15 SP'!I48/100*1.1)*'Jul''15 SP'!I42)</f>
        <v>243.584</v>
      </c>
      <c r="H95" s="59">
        <f>IF($H5*'Jul''15 SP'!J41/'Jul''15 SP'!J42&gt;='Jul''15 SP'!J43,('Jul''15 SP'!J43*'Jul''15 SP'!J48/100*1.1)*'Jul''15 SP'!J42,('Bills Jul''15'!$H5*'Jul''15 SP'!J41/'Jul''15 SP'!J42*'Jul''15 SP'!J48/100*1.1)*'Jul''15 SP'!J42)</f>
        <v>226.78656000000001</v>
      </c>
      <c r="I95" s="59">
        <f>IF($H5*'Jul''15 SP'!K41/'Jul''15 SP'!K42&gt;='Jul''15 SP'!K43,('Jul''15 SP'!K43*'Jul''15 SP'!K48/100*1.1)*'Jul''15 SP'!K42,('Bills Jul''15'!$H5*'Jul''15 SP'!K41/'Jul''15 SP'!K42*'Jul''15 SP'!K48/100*1.1)*'Jul''15 SP'!K42)</f>
        <v>256.67840000000001</v>
      </c>
      <c r="J95" s="59">
        <f>IF($H5*'Jul''15 SP'!L41/'Jul''15 SP'!L42&gt;='Jul''15 SP'!L43,('Jul''15 SP'!L43*'Jul''15 SP'!L48/100*1.1)*'Jul''15 SP'!L42,('Bills Jul''15'!$H5*'Jul''15 SP'!L41/'Jul''15 SP'!L42*'Jul''15 SP'!L48/100*1.1)*'Jul''15 SP'!L42)</f>
        <v>506.88000000000005</v>
      </c>
      <c r="K95" s="59">
        <f>IF($H5*'Jul''15 SP'!M41/'Jul''15 SP'!M42&gt;='Jul''15 SP'!M43,('Jul''15 SP'!M43*'Jul''15 SP'!M48/100*1.1)*'Jul''15 SP'!M42,('Bills Jul''15'!$H5*'Jul''15 SP'!M41/'Jul''15 SP'!M42*'Jul''15 SP'!M48/100*1.1)*'Jul''15 SP'!M42)</f>
        <v>247.80800000000002</v>
      </c>
      <c r="L95" s="59">
        <f>IF($H5*'Jul''15 SP'!N41/'Jul''15 SP'!N42&gt;='Jul''15 SP'!N43,('Jul''15 SP'!N43*'Jul''15 SP'!N48/100*1.1)*'Jul''15 SP'!N42,($H5*'Jul''15 SP'!N41/'Jul''15 SP'!N42*'Jul''15 SP'!N48/100*1.1)*'Jul''15 SP'!N42)</f>
        <v>479.16000000000008</v>
      </c>
      <c r="M95" s="59">
        <f>IF($H5*'Jul''15 SP'!O41/'Jul''15 SP'!O42&gt;='Jul''15 SP'!O43,('Jul''15 SP'!O43*'Jul''15 SP'!O48/100*1.1)*'Jul''15 SP'!O42,($H5*'Jul''15 SP'!O41/'Jul''15 SP'!O42*'Jul''15 SP'!O48/100*1.1)*'Jul''15 SP'!O42)</f>
        <v>475.20000000000005</v>
      </c>
      <c r="N95" s="63"/>
    </row>
    <row r="96" spans="1:14" x14ac:dyDescent="0.15">
      <c r="A96" s="40" t="s">
        <v>608</v>
      </c>
      <c r="C96" s="59">
        <f>IF($H5*'Jul''15 SP'!E41/'Jul''15 SP'!E42&lt;'Jul''15 SP'!E43,0,IF($H5*'Jul''15 SP'!E41/'Jul''15 SP'!E42&lt;='Jul''15 SP'!E44,($H5*'Jul''15 SP'!E41/'Jul''15 SP'!E42-'Jul''15 SP'!E43)*('Jul''15 SP'!E49/100*1.1)*'Jul''15 SP'!E42,('Jul''15 SP'!E44-'Jul''15 SP'!E43)*('Jul''15 SP'!E49/100*1.1)*'Jul''15 SP'!E42))</f>
        <v>259.91333939999993</v>
      </c>
      <c r="D96" s="59">
        <v>0</v>
      </c>
      <c r="E96" s="59">
        <f>IF($H5*'Jul''15 SP'!G41/'Jul''15 SP'!G42&lt;'Jul''15 SP'!G43,0,IF($H5*'Jul''15 SP'!G41/'Jul''15 SP'!G42&lt;='Jul''15 SP'!G44,($H5*'Jul''15 SP'!G41/'Jul''15 SP'!G42-'Jul''15 SP'!G43)*('Jul''15 SP'!G49/100*1.1)*'Jul''15 SP'!G42,('Jul''15 SP'!G44-'Jul''15 SP'!G43)*('Jul''15 SP'!G49/100*1.1)*'Jul''15 SP'!G42))</f>
        <v>344.43961199999995</v>
      </c>
      <c r="F96" s="59">
        <f>IF($H5*'Jul''15 SP'!H41/'Jul''15 SP'!H42&lt;'Jul''15 SP'!H43,0,IF($H5*'Jul''15 SP'!H41/'Jul''15 SP'!H42&lt;='Jul''15 SP'!H44,($H5*'Jul''15 SP'!H41/'Jul''15 SP'!H42-'Jul''15 SP'!H43)*('Jul''15 SP'!H49/100*1.1)*'Jul''15 SP'!H42,('Jul''15 SP'!H44-'Jul''15 SP'!H43)*('Jul''15 SP'!H49/100*1.1)*'Jul''15 SP'!H42))</f>
        <v>190.82746319999995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f>IF($H5*'Jul''15 SP'!N41/'Jul''15 SP'!N42&lt;'Jul''15 SP'!N43,0,IF($H5*'Jul''15 SP'!N41/'Jul''15 SP'!N42&lt;='Jul''15 SP'!N44,($H5*'Jul''15 SP'!N41/'Jul''15 SP'!N42-'Jul''15 SP'!N43)*('Jul''15 SP'!N49/100*1.1)*'Jul''15 SP'!N42,('Jul''15 SP'!N44-'Jul''15 SP'!N43)*('Jul''15 SP'!N49/100*1.1)*'Jul''15 SP'!N42))</f>
        <v>272.97829019999995</v>
      </c>
      <c r="M96" s="59">
        <f>IF($H5*'Jul''15 SP'!O41/'Jul''15 SP'!O42&lt;'Jul''15 SP'!O43,0,IF($H5*'Jul''15 SP'!O41/'Jul''15 SP'!O42&lt;='Jul''15 SP'!O44,($H5*'Jul''15 SP'!O41/'Jul''15 SP'!O42-'Jul''15 SP'!O43)*('Jul''15 SP'!O49/100*1.1)*'Jul''15 SP'!O42,('Jul''15 SP'!O44-'Jul''15 SP'!O43)*('Jul''15 SP'!O49/100*1.1)*'Jul''15 SP'!O42))</f>
        <v>332.56238399999989</v>
      </c>
      <c r="N96" s="63"/>
    </row>
    <row r="97" spans="1:14" x14ac:dyDescent="0.15">
      <c r="A97" s="40" t="s">
        <v>611</v>
      </c>
      <c r="C97" s="59">
        <f>IF(($H5*'Jul''15 SP'!E41/'Jul''15 SP'!E42&gt;'Jul''15 SP'!E44),($H5*'Jul''15 SP'!E41/'Jul''15 SP'!E42-'Jul''15 SP'!E44)*'Jul''15 SP'!E50/100*1.1*'Jul''15 SP'!E42,0)</f>
        <v>0</v>
      </c>
      <c r="D97" s="59">
        <f>IF(($H5*'Jul''15 SP'!F41/'Jul''15 SP'!F42&lt;'Jul''15 SP'!F43),(0),('Bills Jul''15'!$H5*'Jul''15 SP'!F41/'Jul''15 SP'!F42-'Jul''15 SP'!F43)*'Jul''15 SP'!F50/100*1.1)*'Jul''15 SP'!F42</f>
        <v>457.96531879999998</v>
      </c>
      <c r="E97" s="59">
        <f>IF(($H5*'Jul''15 SP'!G41/'Jul''15 SP'!G42&gt;'Jul''15 SP'!G44),($H5*'Jul''15 SP'!G41/'Jul''15 SP'!G42-'Jul''15 SP'!G44)*'Jul''15 SP'!G50/100*1.1*'Jul''15 SP'!G42,0)</f>
        <v>0</v>
      </c>
      <c r="F97" s="59">
        <f>IF(($H5*'Jul''15 SP'!H41/'Jul''15 SP'!H42&gt;'Jul''15 SP'!H44),($H5*'Jul''15 SP'!H41/'Jul''15 SP'!H42-'Jul''15 SP'!H44)*'Jul''15 SP'!H50/100*1.1*'Jul''15 SP'!H42,0)</f>
        <v>0</v>
      </c>
      <c r="G97" s="59">
        <f>IF(($H5*'Jul''15 SP'!I41/'Jul''15 SP'!I42&lt;'Jul''15 SP'!I43),(0),('Bills Jul''15'!$H5*'Jul''15 SP'!I41/'Jul''15 SP'!I42-'Jul''15 SP'!I43)*'Jul''15 SP'!I50/100*1.1)*'Jul''15 SP'!I42</f>
        <v>488.15377599999999</v>
      </c>
      <c r="H97" s="59">
        <f>IF(($H5*'Jul''15 SP'!J41/'Jul''15 SP'!J42&lt;'Jul''15 SP'!J43),(0),('Bills Jul''15'!$H5*'Jul''15 SP'!J41/'Jul''15 SP'!J42-'Jul''15 SP'!J43)*'Jul''15 SP'!J50/100*1.1)*'Jul''15 SP'!J42</f>
        <v>437.47570636</v>
      </c>
      <c r="I97" s="59">
        <f>IF(($H5*'Jul''15 SP'!K41/'Jul''15 SP'!K42&lt;'Jul''15 SP'!K43),(0),('Bills Jul''15'!$H5*'Jul''15 SP'!K41/'Jul''15 SP'!K42-'Jul''15 SP'!K43)*'Jul''15 SP'!K50/100*1.1)*'Jul''15 SP'!K42</f>
        <v>461.81916439999998</v>
      </c>
      <c r="J97" s="59">
        <f>IF(($H5*'Jul''15 SP'!L41/'Jul''15 SP'!L42&lt;'Jul''15 SP'!L43),(0),('Bills Jul''15'!$H5*'Jul''15 SP'!L41/'Jul''15 SP'!L42-'Jul''15 SP'!L43)*'Jul''15 SP'!L50/100*1.1)*'Jul''15 SP'!L42</f>
        <v>306.82839000000001</v>
      </c>
      <c r="K97" s="59">
        <f>IF(($H5*'Jul''15 SP'!M41/'Jul''15 SP'!M42&lt;'Jul''15 SP'!M43),(0),('Bills Jul''15'!$H5*'Jul''15 SP'!M41/'Jul''15 SP'!M42-'Jul''15 SP'!M43)*'Jul''15 SP'!M50/100*1.1)*'Jul''15 SP'!M42</f>
        <v>484.94223799999997</v>
      </c>
      <c r="L97" s="59">
        <f>IF(($H5*'Jul''15 SP'!N41/'Jul''15 SP'!N42&gt;'Jul''15 SP'!N44),($H5*'Jul''15 SP'!N41/'Jul''15 SP'!N42-'Jul''15 SP'!N44)*'Jul''15 SP'!N50/100*1.1*'Jul''15 SP'!N42,0)</f>
        <v>0</v>
      </c>
      <c r="M97" s="59">
        <f>IF(($H5*'Jul''15 SP'!O41/'Jul''15 SP'!O42&gt;'Jul''15 SP'!O44),($H5*'Jul''15 SP'!O41/'Jul''15 SP'!O42-'Jul''15 SP'!O44)*'Jul''15 SP'!O50/100*1.1*'Jul''15 SP'!O42,0)</f>
        <v>0</v>
      </c>
      <c r="N97" s="63"/>
    </row>
    <row r="98" spans="1:14" x14ac:dyDescent="0.15">
      <c r="A98" s="40" t="s">
        <v>612</v>
      </c>
      <c r="C98" s="59">
        <f>365*'Jul''15 SP'!E51/100*1.1</f>
        <v>252.14200000000002</v>
      </c>
      <c r="D98" s="59">
        <f>365*'Jul''15 SP'!F51/100*1.1</f>
        <v>260.97500000000002</v>
      </c>
      <c r="E98" s="59">
        <f>365*'Jul''15 SP'!G51/100*1.1</f>
        <v>264.99</v>
      </c>
      <c r="F98" s="59">
        <f>365*'Jul''15 SP'!H51/100*1.1</f>
        <v>254.22980000000001</v>
      </c>
      <c r="G98" s="59">
        <f>365*'Jul''15 SP'!I51/100*1.1</f>
        <v>282.81659999999999</v>
      </c>
      <c r="H98" s="59">
        <f>365*'Jul''15 SP'!J51/100*1.1</f>
        <v>257.72284999999999</v>
      </c>
      <c r="I98" s="59">
        <f>365*'Jul''15 SP'!K51/100*1.1</f>
        <v>248.93000000000004</v>
      </c>
      <c r="J98" s="59">
        <f>365*'Jul''15 SP'!L51/100*1.1</f>
        <v>248.64895000000001</v>
      </c>
      <c r="K98" s="59">
        <f>365*'Jul''15 SP'!M51/100*1.1</f>
        <v>212.75485000000006</v>
      </c>
      <c r="L98" s="59">
        <f>365*'Jul''15 SP'!N51/100*1.1</f>
        <v>250.93750000000003</v>
      </c>
      <c r="M98" s="59">
        <f>365*'Jul''15 SP'!O51/100*1.1</f>
        <v>260.97500000000002</v>
      </c>
      <c r="N98" s="60">
        <f>AVERAGE(C98:M98)</f>
        <v>254.10205000000005</v>
      </c>
    </row>
    <row r="99" spans="1:14" x14ac:dyDescent="0.15">
      <c r="A99" s="62" t="s">
        <v>613</v>
      </c>
      <c r="B99" s="63"/>
      <c r="C99" s="61">
        <f t="shared" ref="C99:L99" si="7">SUM(C92:C98)</f>
        <v>1406.0241283</v>
      </c>
      <c r="D99" s="61">
        <f t="shared" si="7"/>
        <v>1402.0318950000001</v>
      </c>
      <c r="E99" s="61">
        <f t="shared" si="7"/>
        <v>1560.6103754999999</v>
      </c>
      <c r="F99" s="61">
        <f>SUM(F92:F98)</f>
        <v>1079.4188636000001</v>
      </c>
      <c r="G99" s="61">
        <f>SUM(G92:G98)</f>
        <v>1417.600954</v>
      </c>
      <c r="H99" s="61">
        <f t="shared" si="7"/>
        <v>1324.0474932299999</v>
      </c>
      <c r="I99" s="61">
        <f t="shared" si="7"/>
        <v>1371.8592646</v>
      </c>
      <c r="J99" s="61">
        <f t="shared" si="7"/>
        <v>1508.2683010000003</v>
      </c>
      <c r="K99" s="61">
        <f t="shared" si="7"/>
        <v>1346.439666</v>
      </c>
      <c r="L99" s="61">
        <f t="shared" si="7"/>
        <v>1427.0178406</v>
      </c>
      <c r="M99" s="61">
        <f>SUM(M92:M98)</f>
        <v>1528.7162659999999</v>
      </c>
      <c r="N99" s="64">
        <f>AVERAGE(C99:M99)</f>
        <v>1397.457731620909</v>
      </c>
    </row>
    <row r="101" spans="1:14" x14ac:dyDescent="0.1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</row>
    <row r="102" spans="1:14" x14ac:dyDescent="0.15">
      <c r="A102" s="53" t="s">
        <v>490</v>
      </c>
      <c r="C102" s="23" t="s">
        <v>1044</v>
      </c>
      <c r="D102" s="23" t="s">
        <v>591</v>
      </c>
      <c r="E102" s="23" t="s">
        <v>514</v>
      </c>
      <c r="F102" s="23" t="s">
        <v>593</v>
      </c>
      <c r="G102" s="23" t="s">
        <v>615</v>
      </c>
      <c r="H102" s="23" t="s">
        <v>515</v>
      </c>
      <c r="I102" s="23" t="s">
        <v>516</v>
      </c>
      <c r="J102" s="23" t="s">
        <v>597</v>
      </c>
      <c r="K102" s="23" t="s">
        <v>598</v>
      </c>
      <c r="L102" s="23" t="s">
        <v>517</v>
      </c>
      <c r="M102" s="23" t="s">
        <v>1050</v>
      </c>
    </row>
    <row r="103" spans="1:14" x14ac:dyDescent="0.15">
      <c r="A103" s="40" t="s">
        <v>491</v>
      </c>
      <c r="C103" s="24" t="s">
        <v>494</v>
      </c>
      <c r="D103" s="25" t="s">
        <v>494</v>
      </c>
      <c r="E103" s="25" t="s">
        <v>494</v>
      </c>
      <c r="F103" s="25" t="s">
        <v>494</v>
      </c>
      <c r="G103" s="24" t="s">
        <v>518</v>
      </c>
      <c r="H103" s="25" t="s">
        <v>494</v>
      </c>
      <c r="I103" s="25" t="s">
        <v>494</v>
      </c>
      <c r="J103" s="25" t="s">
        <v>494</v>
      </c>
      <c r="K103" s="25" t="s">
        <v>494</v>
      </c>
      <c r="L103" s="25" t="s">
        <v>494</v>
      </c>
      <c r="M103" s="25" t="s">
        <v>494</v>
      </c>
    </row>
    <row r="104" spans="1:14" x14ac:dyDescent="0.15">
      <c r="A104" s="40" t="s">
        <v>496</v>
      </c>
      <c r="C104" s="25" t="s">
        <v>519</v>
      </c>
      <c r="D104" s="25" t="s">
        <v>519</v>
      </c>
      <c r="E104" s="25" t="s">
        <v>519</v>
      </c>
      <c r="F104" s="25" t="s">
        <v>494</v>
      </c>
      <c r="G104" s="25" t="s">
        <v>498</v>
      </c>
      <c r="H104" s="25" t="s">
        <v>498</v>
      </c>
      <c r="I104" s="25" t="s">
        <v>498</v>
      </c>
      <c r="J104" s="25" t="s">
        <v>494</v>
      </c>
      <c r="K104" s="25" t="s">
        <v>494</v>
      </c>
      <c r="L104" s="25" t="s">
        <v>494</v>
      </c>
      <c r="M104" s="25" t="s">
        <v>519</v>
      </c>
    </row>
    <row r="105" spans="1:14" x14ac:dyDescent="0.15">
      <c r="A105" s="40" t="s">
        <v>499</v>
      </c>
      <c r="C105" s="25" t="s">
        <v>494</v>
      </c>
      <c r="D105" s="37" t="s">
        <v>494</v>
      </c>
      <c r="E105" s="37" t="s">
        <v>494</v>
      </c>
      <c r="F105" s="37" t="s">
        <v>494</v>
      </c>
      <c r="G105" s="37">
        <v>22</v>
      </c>
      <c r="H105" s="37">
        <v>80</v>
      </c>
      <c r="I105" s="37">
        <v>20</v>
      </c>
      <c r="J105" s="40" t="s">
        <v>494</v>
      </c>
      <c r="K105" s="40" t="s">
        <v>494</v>
      </c>
      <c r="L105" s="40" t="s">
        <v>494</v>
      </c>
      <c r="M105" s="37" t="s">
        <v>512</v>
      </c>
    </row>
    <row r="106" spans="1:14" x14ac:dyDescent="0.15">
      <c r="A106" s="40" t="s">
        <v>501</v>
      </c>
      <c r="C106" s="25" t="s">
        <v>520</v>
      </c>
      <c r="D106" s="24" t="s">
        <v>521</v>
      </c>
      <c r="E106" s="24" t="s">
        <v>521</v>
      </c>
      <c r="F106" s="24" t="s">
        <v>494</v>
      </c>
      <c r="G106" s="24" t="s">
        <v>494</v>
      </c>
      <c r="H106" s="24" t="s">
        <v>522</v>
      </c>
      <c r="I106" s="24" t="s">
        <v>523</v>
      </c>
      <c r="J106" s="24" t="s">
        <v>507</v>
      </c>
      <c r="K106" s="24" t="s">
        <v>508</v>
      </c>
      <c r="L106" s="24" t="s">
        <v>520</v>
      </c>
      <c r="M106" s="24" t="s">
        <v>520</v>
      </c>
    </row>
    <row r="107" spans="1:14" x14ac:dyDescent="0.15">
      <c r="A107" s="40" t="s">
        <v>511</v>
      </c>
      <c r="C107" s="25" t="s">
        <v>512</v>
      </c>
      <c r="D107" s="25" t="s">
        <v>494</v>
      </c>
      <c r="E107" s="25" t="s">
        <v>494</v>
      </c>
      <c r="F107" s="25" t="s">
        <v>494</v>
      </c>
      <c r="G107" s="25" t="s">
        <v>494</v>
      </c>
      <c r="H107" s="25" t="s">
        <v>494</v>
      </c>
      <c r="I107" s="25" t="s">
        <v>494</v>
      </c>
      <c r="J107" s="25" t="s">
        <v>494</v>
      </c>
      <c r="K107" s="25" t="s">
        <v>494</v>
      </c>
      <c r="L107" s="25" t="s">
        <v>494</v>
      </c>
      <c r="M107" s="25" t="s">
        <v>494</v>
      </c>
    </row>
    <row r="108" spans="1:14" x14ac:dyDescent="0.1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</row>
  </sheetData>
  <sheetProtection algorithmName="SHA-512" hashValue="I2Orj4r0QmGA60RGOeloBPrK30HK8ud6Xcb9TUOB3vvEB75XJPo2HHT42hwWELs27J6dg47XqljoQxa/d2/skw==" saltValue="mzhsyshyQpcCMXBOXR5FsA==" spinCount="100000" sheet="1" objects="1" scenarios="1"/>
  <phoneticPr fontId="20" type="noConversion"/>
  <pageMargins left="0.75" right="0.75" top="1" bottom="1" header="0.5" footer="0.5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N108"/>
  <sheetViews>
    <sheetView zoomScale="125" workbookViewId="0">
      <selection activeCell="C31" sqref="C31"/>
    </sheetView>
  </sheetViews>
  <sheetFormatPr baseColWidth="10" defaultColWidth="10.83203125" defaultRowHeight="13" x14ac:dyDescent="0.15"/>
  <cols>
    <col min="1" max="1" width="26.1640625" style="40" customWidth="1"/>
    <col min="2" max="2" width="3.1640625" style="40" customWidth="1"/>
    <col min="3" max="8" width="11.6640625" style="40" customWidth="1"/>
    <col min="9" max="11" width="13.33203125" style="40" customWidth="1"/>
    <col min="12" max="12" width="15" style="40" customWidth="1"/>
    <col min="13" max="16384" width="10.83203125" style="40"/>
  </cols>
  <sheetData>
    <row r="1" spans="1:14" x14ac:dyDescent="0.15">
      <c r="A1" s="48" t="s">
        <v>586</v>
      </c>
    </row>
    <row r="2" spans="1:14" x14ac:dyDescent="0.15">
      <c r="A2" s="100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</row>
    <row r="3" spans="1:14" x14ac:dyDescent="0.15">
      <c r="A3" s="52" t="s">
        <v>524</v>
      </c>
    </row>
    <row r="5" spans="1:14" x14ac:dyDescent="0.15">
      <c r="A5" s="53" t="s">
        <v>588</v>
      </c>
      <c r="B5" s="53"/>
      <c r="C5" s="53" t="s">
        <v>1394</v>
      </c>
      <c r="F5" s="66">
        <v>63000</v>
      </c>
    </row>
    <row r="6" spans="1:14" x14ac:dyDescent="0.15">
      <c r="C6" s="54" t="s">
        <v>589</v>
      </c>
    </row>
    <row r="7" spans="1:14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</row>
    <row r="8" spans="1:14" x14ac:dyDescent="0.15">
      <c r="K8" s="23"/>
      <c r="L8" s="58"/>
    </row>
    <row r="9" spans="1:14" x14ac:dyDescent="0.15">
      <c r="A9" s="53" t="s">
        <v>1074</v>
      </c>
      <c r="C9" s="23" t="s">
        <v>1044</v>
      </c>
      <c r="D9" s="23" t="s">
        <v>591</v>
      </c>
      <c r="E9" s="23" t="s">
        <v>592</v>
      </c>
      <c r="F9" s="23" t="s">
        <v>595</v>
      </c>
      <c r="G9" s="23" t="s">
        <v>596</v>
      </c>
      <c r="H9" s="23" t="s">
        <v>486</v>
      </c>
      <c r="I9" s="23" t="s">
        <v>487</v>
      </c>
      <c r="J9" s="57" t="s">
        <v>601</v>
      </c>
      <c r="N9" s="23"/>
    </row>
    <row r="10" spans="1:14" x14ac:dyDescent="0.15">
      <c r="A10" s="40" t="s">
        <v>602</v>
      </c>
      <c r="C10" s="59">
        <f>IF($F5*'Jan''15 Multi'!E7/'Jan''15 Multi'!E8&gt;='Jan''15 Multi'!E11,('Jan''15 Multi'!E11*'Jan''15 Multi'!E15/100)*'Jan''15 Multi'!E8,($F5*'Jan''15 Multi'!E7/'Jan''15 Multi'!E8*'Jan''15 Multi'!E15/100)*'Jan''15 Multi'!E8)</f>
        <v>196.51499999999999</v>
      </c>
      <c r="D10" s="59">
        <f>IF($F5*'Jan''15 Multi'!F7/'Jan''15 Multi'!F8&gt;='Jan''15 Multi'!F11,('Jan''15 Multi'!F11*'Jan''15 Multi'!F15/100)*'Jan''15 Multi'!F8,($F5*'Jan''15 Multi'!F7/'Jan''15 Multi'!F8*'Jan''15 Multi'!F15/100)*'Jan''15 Multi'!F8)</f>
        <v>380.358</v>
      </c>
      <c r="E10" s="59">
        <f>IF($F5*'Jan''15 Multi'!G7/'Jan''15 Multi'!G8&gt;='Jan''15 Multi'!G11,('Jan''15 Multi'!G11*'Jan''15 Multi'!G15/100)*'Jan''15 Multi'!G8,($F5*'Jan''15 Multi'!G7/'Jan''15 Multi'!G8*'Jan''15 Multi'!G15/100)*'Jan''15 Multi'!G8)</f>
        <v>195.02999999999997</v>
      </c>
      <c r="F10" s="59">
        <f>IF($F5*'Jan''15 Multi'!H7/'Jan''15 Multi'!H8&gt;='Jan''15 Multi'!H11,('Jan''15 Multi'!H11*'Jan''15 Multi'!H15/100)*'Jan''15 Multi'!H8,($F5*'Jan''15 Multi'!H7/'Jan''15 Multi'!H8*'Jan''15 Multi'!H15/100)*'Jan''15 Multi'!H8)</f>
        <v>355.01400000000001</v>
      </c>
      <c r="G10" s="59">
        <f>IF($F5*'Jan''15 Multi'!I7/'Jan''15 Multi'!I8&gt;='Jan''15 Multi'!I11,('Jan''15 Multi'!I11*'Jan''15 Multi'!I15/100)*'Jan''15 Multi'!I8,($F5*'Jan''15 Multi'!I7/'Jan''15 Multi'!I8*'Jan''15 Multi'!I15/100)*'Jan''15 Multi'!I8)</f>
        <v>366.29999999999995</v>
      </c>
      <c r="H10" s="59">
        <f>IF($F5*'Jan''15 Multi'!J7/'Jan''15 Multi'!J8&gt;='Jan''15 Multi'!J11,('Jan''15 Multi'!J11*'Jan''15 Multi'!J15/100)*'Jan''15 Multi'!J8,($F5*'Jan''15 Multi'!J7/'Jan''15 Multi'!J8*'Jan''15 Multi'!J15/100)*'Jan''15 Multi'!J8)</f>
        <v>191.07000000000005</v>
      </c>
      <c r="I10" s="59">
        <f>IF($F5*'Jan''15 Multi'!K7/'Jan''15 Multi'!K8&gt;='Jan''15 Multi'!K11,('Jan''15 Multi'!K11*'Jan''15 Multi'!K15/100)*'Jan''15 Multi'!K8,($F5*'Jan''15 Multi'!K7/'Jan''15 Multi'!K8*'Jan''15 Multi'!K15/100)*'Jan''15 Multi'!K8)</f>
        <v>356.4</v>
      </c>
      <c r="J10" s="63"/>
      <c r="N10" s="59"/>
    </row>
    <row r="11" spans="1:14" x14ac:dyDescent="0.15">
      <c r="A11" s="40" t="s">
        <v>603</v>
      </c>
      <c r="C11" s="59">
        <f>IF($F5*'Jan''15 Multi'!E7/'Jan''15 Multi'!E8&lt;'Jan''15 Multi'!E11,0,IF($F5*'Jan''15 Multi'!E7/'Jan''15 Multi'!E8&lt;='Jan''15 Multi'!E12,($F5*'Jan''15 Multi'!E7/'Jan''15 Multi'!E8-'Jan''15 Multi'!E11)*('Jan''15 Multi'!E16/100)*'Jan''15 Multi'!E8,('Jan''15 Multi'!E12-'Jan''15 Multi'!E11)*('Jan''15 Multi'!E16/100)*'Jan''15 Multi'!E8))</f>
        <v>169.88400000000001</v>
      </c>
      <c r="D11" s="59">
        <f>IF($F5*'Jan''15 Multi'!F7/'Jan''15 Multi'!F8&lt;'Jan''15 Multi'!F11,0,IF($F5*'Jan''15 Multi'!F7/'Jan''15 Multi'!F8&lt;='Jan''15 Multi'!F12,($F5*'Jan''15 Multi'!F7/'Jan''15 Multi'!F8-'Jan''15 Multi'!F11)*('Jan''15 Multi'!F16/100)*'Jan''15 Multi'!F8,('Jan''15 Multi'!F12-'Jan''15 Multi'!F11)*('Jan''15 Multi'!F16/100)*'Jan''15 Multi'!F8))</f>
        <v>150.381</v>
      </c>
      <c r="E11" s="59">
        <f>IF($F5*'Jan''15 Multi'!G7/'Jan''15 Multi'!G8&lt;'Jan''15 Multi'!G11,0,IF($F5*'Jan''15 Multi'!G7/'Jan''15 Multi'!G8&lt;='Jan''15 Multi'!G12,($F5*'Jan''15 Multi'!G7/'Jan''15 Multi'!G8-'Jan''15 Multi'!G11)*('Jan''15 Multi'!G16/100)*'Jan''15 Multi'!G8,('Jan''15 Multi'!G12-'Jan''15 Multi'!G11)*('Jan''15 Multi'!G16/100)*'Jan''15 Multi'!G8))</f>
        <v>173.25</v>
      </c>
      <c r="F11" s="59">
        <f>IF($F5*'Jan''15 Multi'!H7/'Jan''15 Multi'!H8&lt;'Jan''15 Multi'!H11,0,IF($F5*'Jan''15 Multi'!H7/'Jan''15 Multi'!H8&lt;='Jan''15 Multi'!H12,($F5*'Jan''15 Multi'!H7/'Jan''15 Multi'!H8-'Jan''15 Multi'!H11)*('Jan''15 Multi'!H16/100)*'Jan''15 Multi'!H8,('Jan''15 Multi'!H12-'Jan''15 Multi'!H11)*('Jan''15 Multi'!H16/100)*'Jan''15 Multi'!H8))</f>
        <v>138.77099999999999</v>
      </c>
      <c r="G11" s="59">
        <f>IF($F5*'Jan''15 Multi'!I7/'Jan''15 Multi'!I8&lt;'Jan''15 Multi'!I11,0,IF($F5*'Jan''15 Multi'!I7/'Jan''15 Multi'!I8&lt;='Jan''15 Multi'!I12,($F5*'Jan''15 Multi'!I7/'Jan''15 Multi'!I8-'Jan''15 Multi'!I11)*('Jan''15 Multi'!I16/100)*'Jan''15 Multi'!I8,('Jan''15 Multi'!I12-'Jan''15 Multi'!I11)*('Jan''15 Multi'!I16/100)*'Jan''15 Multi'!I8))</f>
        <v>152.46</v>
      </c>
      <c r="H11" s="59">
        <f>IF($F5*'Jan''15 Multi'!J7/'Jan''15 Multi'!J8&lt;'Jan''15 Multi'!J11,0,IF($F5*'Jan''15 Multi'!J7/'Jan''15 Multi'!J8&lt;='Jan''15 Multi'!J12,($F5*'Jan''15 Multi'!J7/'Jan''15 Multi'!J8-'Jan''15 Multi'!J11)*('Jan''15 Multi'!J16/100)*'Jan''15 Multi'!J8,('Jan''15 Multi'!J12-'Jan''15 Multi'!J11)*('Jan''15 Multi'!J16/100)*'Jan''15 Multi'!J8))</f>
        <v>165.32999999999998</v>
      </c>
      <c r="I11" s="59">
        <f>IF($F5*'Jan''15 Multi'!K7/'Jan''15 Multi'!K8&lt;'Jan''15 Multi'!K11,0,IF($F5*'Jan''15 Multi'!K7/'Jan''15 Multi'!K8&lt;='Jan''15 Multi'!K12,($F5*'Jan''15 Multi'!K7/'Jan''15 Multi'!K8-'Jan''15 Multi'!K11)*('Jan''15 Multi'!K16/100)*'Jan''15 Multi'!K8,('Jan''15 Multi'!K12-'Jan''15 Multi'!K11)*('Jan''15 Multi'!K16/100)*'Jan''15 Multi'!K8))</f>
        <v>130.68</v>
      </c>
      <c r="J11" s="63"/>
      <c r="N11" s="59"/>
    </row>
    <row r="12" spans="1:14" x14ac:dyDescent="0.15">
      <c r="A12" s="40" t="s">
        <v>604</v>
      </c>
      <c r="C12" s="59">
        <f>IF($F5*'Jan''15 Multi'!E7/'Jan''15 Multi'!E8&lt;'Jan''15 Multi'!E12,0,IF($F5*'Jan''15 Multi'!E7/'Jan''15 Multi'!E8&lt;='Jan''15 Multi'!E13,($F5*'Jan''15 Multi'!E7/'Jan''15 Multi'!E8-'Jan''15 Multi'!E12)*('Jan''15 Multi'!E17/100)*'Jan''15 Multi'!E8,('Jan''15 Multi'!E13-'Jan''15 Multi'!E12)*('Jan''15 Multi'!E17/100)*'Jan''15 Multi'!E8))</f>
        <v>133.749</v>
      </c>
      <c r="D12" s="59">
        <v>0</v>
      </c>
      <c r="E12" s="59">
        <f>IF($F5*'Jan''15 Multi'!G7/'Jan''15 Multi'!G8&lt;'Jan''15 Multi'!G12,0,IF($F5*'Jan''15 Multi'!G7/'Jan''15 Multi'!G8&lt;='Jan''15 Multi'!G13,($F5*'Jan''15 Multi'!G7/'Jan''15 Multi'!G8-'Jan''15 Multi'!G12)*('Jan''15 Multi'!G17/100)*'Jan''15 Multi'!G8,('Jan''15 Multi'!G13-'Jan''15 Multi'!G12)*('Jan''15 Multi'!G17/100)*'Jan''15 Multi'!G8))</f>
        <v>122.26500000000001</v>
      </c>
      <c r="F12" s="59">
        <v>0</v>
      </c>
      <c r="G12" s="59">
        <v>0</v>
      </c>
      <c r="H12" s="59">
        <v>0</v>
      </c>
      <c r="I12" s="59">
        <v>0</v>
      </c>
      <c r="J12" s="63"/>
      <c r="N12" s="59"/>
    </row>
    <row r="13" spans="1:14" x14ac:dyDescent="0.15">
      <c r="A13" s="40" t="s">
        <v>605</v>
      </c>
      <c r="C13" s="59">
        <f>IF($F5*'Jan''15 Multi'!E7/'Jan''15 Multi'!E8&lt;'Jan''15 Multi'!E13,0,IF($F5*'Jan''15 Multi'!E7/'Jan''15 Multi'!E8&lt;='Jan''15 Multi'!E14,($F5*'Jan''15 Multi'!E7/'Jan''15 Multi'!E8-'Jan''15 Multi'!E13)*('Jan''15 Multi'!E18/100)*'Jan''15 Multi'!E8,('Jan''15 Multi'!E14-'Jan''15 Multi'!E13)*('Jan''15 Multi'!E18/100)*'Jan''15 Multi'!E8))</f>
        <v>57.3705</v>
      </c>
      <c r="D13" s="59">
        <v>0</v>
      </c>
      <c r="E13" s="59">
        <f>IF($F5*'Jan''15 Multi'!G7/'Jan''15 Multi'!G8&lt;'Jan''15 Multi'!G13,0,IF($F5*'Jan''15 Multi'!G7/'Jan''15 Multi'!G8&lt;='Jan''15 Multi'!G14,($F5*'Jan''15 Multi'!G7/'Jan''15 Multi'!G8-'Jan''15 Multi'!G13)*('Jan''15 Multi'!G18/100)*'Jan''15 Multi'!G8,('Jan''15 Multi'!G14-'Jan''15 Multi'!G13)*('Jan''15 Multi'!G18/100)*'Jan''15 Multi'!G8))</f>
        <v>60.993900000000011</v>
      </c>
      <c r="F13" s="59">
        <v>0</v>
      </c>
      <c r="G13" s="59">
        <v>0</v>
      </c>
      <c r="H13" s="59">
        <v>0</v>
      </c>
      <c r="I13" s="59">
        <v>0</v>
      </c>
      <c r="J13" s="63"/>
      <c r="N13" s="59"/>
    </row>
    <row r="14" spans="1:14" x14ac:dyDescent="0.15">
      <c r="A14" s="40" t="s">
        <v>606</v>
      </c>
      <c r="C14" s="59">
        <f>IF(($F5*'Jan''15 Multi'!E7/'Jan''15 Multi'!E8&gt;'Jan''15 Multi'!E14),($F5*'Jan''15 Multi'!E7/'Jan''15 Multi'!E8-'Jan''15 Multi'!E14)*'Jan''15 Multi'!E19/100*'Jan''15 Multi'!E8,0)</f>
        <v>0</v>
      </c>
      <c r="D14" s="59">
        <f>IF(($F5*'Jan''15 Multi'!F7/'Jan''15 Multi'!F8&gt;'Jan''15 Multi'!F12),($F5*'Jan''15 Multi'!F7/'Jan''15 Multi'!F8-'Jan''15 Multi'!F12)*'Jan''15 Multi'!F19/100)*'Jan''15 Multi'!F8</f>
        <v>50.737500000000004</v>
      </c>
      <c r="E14" s="59">
        <f>IF(($F5*'Jan''15 Multi'!G7/'Jan''15 Multi'!G8&gt;'Jan''15 Multi'!G14),($F5*'Jan''15 Multi'!G7/'Jan''15 Multi'!G8-'Jan''15 Multi'!G14)*'Jan''15 Multi'!G19/100*'Jan''15 Multi'!G8,0)</f>
        <v>0</v>
      </c>
      <c r="F14" s="59">
        <f>IF(($F5*'Jan''15 Multi'!H7/'Jan''15 Multi'!H8&gt;'Jan''15 Multi'!H12),($F5*'Jan''15 Multi'!H7/'Jan''15 Multi'!H8-'Jan''15 Multi'!H12)*'Jan''15 Multi'!H19/100)*'Jan''15 Multi'!H8</f>
        <v>60.916499999999999</v>
      </c>
      <c r="G14" s="59">
        <f>IF(($F5*'Jan''15 Multi'!I7/'Jan''15 Multi'!I8&gt;'Jan''15 Multi'!I12),($F5*'Jan''15 Multi'!I7/'Jan''15 Multi'!I8-'Jan''15 Multi'!I12)*'Jan''15 Multi'!I19/100)*'Jan''15 Multi'!I8</f>
        <v>55.935000000000009</v>
      </c>
      <c r="H14" s="59">
        <f>IF(($F5*'Jan''15 Multi'!J7/'Jan''15 Multi'!J8&gt;'Jan''15 Multi'!J12),($F5*'Jan''15 Multi'!J7/'Jan''15 Multi'!J8-'Jan''15 Multi'!J12)*'Jan''15 Multi'!J19/100)*'Jan''15 Multi'!J8</f>
        <v>200.47500000000002</v>
      </c>
      <c r="I14" s="59">
        <f>IF(($F5*'Jan''15 Multi'!K7/'Jan''15 Multi'!K8&gt;'Jan''15 Multi'!K12),($F5*'Jan''15 Multi'!K7/'Jan''15 Multi'!K8-'Jan''15 Multi'!K12)*'Jan''15 Multi'!K19/100)*'Jan''15 Multi'!K8</f>
        <v>50.984999999999999</v>
      </c>
      <c r="J14" s="63"/>
      <c r="N14" s="59"/>
    </row>
    <row r="15" spans="1:14" x14ac:dyDescent="0.15">
      <c r="A15" s="40" t="s">
        <v>607</v>
      </c>
      <c r="C15" s="59">
        <f>IF($F5*'Jan''15 Multi'!E9/'Jan''15 Multi'!E10&gt;='Jan''15 Multi'!E11,('Jan''15 Multi'!E11*'Jan''15 Multi'!E20/100)*'Jan''15 Multi'!E10,($F5*'Jan''15 Multi'!E9/'Jan''15 Multi'!E10*'Jan''15 Multi'!E20/100)*'Jan''15 Multi'!E10)</f>
        <v>186.02099999999999</v>
      </c>
      <c r="D15" s="59">
        <f>IF($F5*'Jan''15 Multi'!F9/'Jan''15 Multi'!F10&gt;='Jan''15 Multi'!F11,('Jan''15 Multi'!F11*'Jan''15 Multi'!F20/100)*'Jan''15 Multi'!F10,($F5*'Jan''15 Multi'!F9/'Jan''15 Multi'!F10*'Jan''15 Multi'!F20/100)*'Jan''15 Multi'!F10)</f>
        <v>340.95600000000002</v>
      </c>
      <c r="E15" s="59">
        <f>IF($F5*'Jan''15 Multi'!G9/'Jan''15 Multi'!G10&gt;='Jan''15 Multi'!G11,('Jan''15 Multi'!G11*'Jan''15 Multi'!G20/100)*'Jan''15 Multi'!G10,($F5*'Jan''15 Multi'!G9/'Jan''15 Multi'!G10*'Jan''15 Multi'!G20/100)*'Jan''15 Multi'!G10)</f>
        <v>184.13999999999996</v>
      </c>
      <c r="F15" s="59">
        <f>IF($F5*'Jan''15 Multi'!H9/'Jan''15 Multi'!H10&gt;='Jan''15 Multi'!H11,('Jan''15 Multi'!H11*'Jan''15 Multi'!H20/100)*'Jan''15 Multi'!H10,($F5*'Jan''15 Multi'!H9/'Jan''15 Multi'!H10*'Jan''15 Multi'!H20/100)*'Jan''15 Multi'!H10)</f>
        <v>334.35</v>
      </c>
      <c r="G15" s="59">
        <f>IF($F5*'Jan''15 Multi'!I9/'Jan''15 Multi'!I10&gt;='Jan''15 Multi'!I11,('Jan''15 Multi'!I11*'Jan''15 Multi'!I20/100)*'Jan''15 Multi'!I10,($F5*'Jan''15 Multi'!I9/'Jan''15 Multi'!I10*'Jan''15 Multi'!I20/100)*'Jan''15 Multi'!I10)</f>
        <v>342.54</v>
      </c>
      <c r="H15" s="59">
        <f>IF($F5*'Jan''15 Multi'!J9/'Jan''15 Multi'!J10&gt;='Jan''15 Multi'!J11,('Jan''15 Multi'!J11*'Jan''15 Multi'!J20/100)*'Jan''15 Multi'!J10,($F5*'Jan''15 Multi'!J9/'Jan''15 Multi'!J10*'Jan''15 Multi'!J20/100)*'Jan''15 Multi'!J10)</f>
        <v>185.13</v>
      </c>
      <c r="I15" s="59">
        <f>IF($F5*'Jan''15 Multi'!K9/'Jan''15 Multi'!K10&gt;='Jan''15 Multi'!K11,('Jan''15 Multi'!K11*'Jan''15 Multi'!K20/100)*'Jan''15 Multi'!K10,($F5*'Jan''15 Multi'!K9/'Jan''15 Multi'!K10*'Jan''15 Multi'!K20/100)*'Jan''15 Multi'!K10)</f>
        <v>346.5</v>
      </c>
      <c r="J15" s="63"/>
      <c r="N15" s="59"/>
    </row>
    <row r="16" spans="1:14" x14ac:dyDescent="0.15">
      <c r="A16" s="40" t="s">
        <v>608</v>
      </c>
      <c r="C16" s="59">
        <f>IF($F5*'Jan''15 Multi'!E9/'Jan''15 Multi'!E10&lt;'Jan''15 Multi'!E11,0,IF($F5*'Jan''15 Multi'!E9/'Jan''15 Multi'!E10&lt;='Jan''15 Multi'!E12,($F5*'Jan''15 Multi'!E9/'Jan''15 Multi'!E10-'Jan''15 Multi'!E11)*('Jan''15 Multi'!E21/100)*'Jan''15 Multi'!E10,('Jan''15 Multi'!E12-'Jan''15 Multi'!E11)*('Jan''15 Multi'!E21/100)*'Jan''15 Multi'!E10))</f>
        <v>159.489</v>
      </c>
      <c r="D16" s="59">
        <f>IF($F5*'Jan''15 Multi'!F9/'Jan''15 Multi'!F10&lt;'Jan''15 Multi'!F11,0,IF($F5*'Jan''15 Multi'!F9/'Jan''15 Multi'!F10&lt;='Jan''15 Multi'!F12,($F5*'Jan''15 Multi'!F9/'Jan''15 Multi'!F10-'Jan''15 Multi'!F11)*('Jan''15 Multi'!F21/100)*'Jan''15 Multi'!F10,('Jan''15 Multi'!F12-'Jan''15 Multi'!F11)*('Jan''15 Multi'!F21/100)*'Jan''15 Multi'!F10))</f>
        <v>129.096</v>
      </c>
      <c r="E16" s="59">
        <f>IF($F5*'Jan''15 Multi'!G9/'Jan''15 Multi'!G10&lt;'Jan''15 Multi'!G11,0,IF($F5*'Jan''15 Multi'!G9/'Jan''15 Multi'!G10&lt;='Jan''15 Multi'!G12,($F5*'Jan''15 Multi'!G9/'Jan''15 Multi'!G10-'Jan''15 Multi'!G11)*('Jan''15 Multi'!G21/100)*'Jan''15 Multi'!G10,('Jan''15 Multi'!G12-'Jan''15 Multi'!G11)*('Jan''15 Multi'!G21/100)*'Jan''15 Multi'!G10))</f>
        <v>168.3</v>
      </c>
      <c r="F16" s="59">
        <f>IF($F5*'Jan''15 Multi'!H9/'Jan''15 Multi'!H10&lt;'Jan''15 Multi'!H11,0,IF($F5*'Jan''15 Multi'!H9/'Jan''15 Multi'!H10&lt;='Jan''15 Multi'!H12,($F5*'Jan''15 Multi'!H9/'Jan''15 Multi'!H10-'Jan''15 Multi'!H11)*('Jan''15 Multi'!H21/100)*'Jan''15 Multi'!H10,('Jan''15 Multi'!H12-'Jan''15 Multi'!H11)*('Jan''15 Multi'!H21/100)*'Jan''15 Multi'!H10))</f>
        <v>130.29300000000001</v>
      </c>
      <c r="G16" s="59">
        <f>IF($F5*'Jan''15 Multi'!I9/'Jan''15 Multi'!I10&lt;'Jan''15 Multi'!I11,0,IF($F5*'Jan''15 Multi'!I9/'Jan''15 Multi'!I10&lt;='Jan''15 Multi'!I12,($F5*'Jan''15 Multi'!I9/'Jan''15 Multi'!I10-'Jan''15 Multi'!I11)*('Jan''15 Multi'!I21/100)*'Jan''15 Multi'!I10,('Jan''15 Multi'!I12-'Jan''15 Multi'!I11)*('Jan''15 Multi'!I21/100)*'Jan''15 Multi'!I10))</f>
        <v>119.78999999999999</v>
      </c>
      <c r="H16" s="59">
        <f>IF($F5*'Jan''15 Multi'!J9/'Jan''15 Multi'!J10&lt;'Jan''15 Multi'!J11,0,IF($F5*'Jan''15 Multi'!J9/'Jan''15 Multi'!J10&lt;='Jan''15 Multi'!J12,($F5*'Jan''15 Multi'!J9/'Jan''15 Multi'!J10-'Jan''15 Multi'!J11)*('Jan''15 Multi'!J21/100)*'Jan''15 Multi'!J10,('Jan''15 Multi'!J12-'Jan''15 Multi'!J11)*('Jan''15 Multi'!J21/100)*'Jan''15 Multi'!J10))</f>
        <v>161.36999999999998</v>
      </c>
      <c r="I16" s="59">
        <f>IF($F5*'Jan''15 Multi'!K9/'Jan''15 Multi'!K10&lt;'Jan''15 Multi'!K11,0,IF($F5*'Jan''15 Multi'!K9/'Jan''15 Multi'!K10&lt;='Jan''15 Multi'!K12,($F5*'Jan''15 Multi'!K9/'Jan''15 Multi'!K10-'Jan''15 Multi'!K11)*('Jan''15 Multi'!K21/100)*'Jan''15 Multi'!K10,('Jan''15 Multi'!K12-'Jan''15 Multi'!K11)*('Jan''15 Multi'!K21/100)*'Jan''15 Multi'!K10))</f>
        <v>124.74</v>
      </c>
      <c r="J16" s="63"/>
      <c r="N16" s="59"/>
    </row>
    <row r="17" spans="1:14" x14ac:dyDescent="0.15">
      <c r="A17" s="40" t="s">
        <v>609</v>
      </c>
      <c r="C17" s="59">
        <f>IF($F5*'Jan''15 Multi'!E9/'Jan''15 Multi'!E10&lt;'Jan''15 Multi'!E12,0,IF($F5*'Jan''15 Multi'!E9/'Jan''15 Multi'!E10&lt;='Jan''15 Multi'!E13,($F5*'Jan''15 Multi'!E9/'Jan''15 Multi'!E10-'Jan''15 Multi'!E12)*('Jan''15 Multi'!E22/100)*'Jan''15 Multi'!E10,('Jan''15 Multi'!E13-'Jan''15 Multi'!E12)*('Jan''15 Multi'!E22/100)*'Jan''15 Multi'!E10))</f>
        <v>129.49200000000002</v>
      </c>
      <c r="D17" s="59">
        <v>0</v>
      </c>
      <c r="E17" s="59">
        <f>IF($F5*'Jan''15 Multi'!G9/'Jan''15 Multi'!G10&lt;'Jan''15 Multi'!G12,0,IF($F5*'Jan''15 Multi'!G9/'Jan''15 Multi'!G10&lt;='Jan''15 Multi'!G13,($F5*'Jan''15 Multi'!G9/'Jan''15 Multi'!G10-'Jan''15 Multi'!G12)*('Jan''15 Multi'!G22/100)*'Jan''15 Multi'!G10,('Jan''15 Multi'!G13-'Jan''15 Multi'!G12)*('Jan''15 Multi'!G22/100)*'Jan''15 Multi'!G10))</f>
        <v>117.80999999999999</v>
      </c>
      <c r="F17" s="59">
        <v>0</v>
      </c>
      <c r="G17" s="59">
        <v>0</v>
      </c>
      <c r="H17" s="59">
        <v>0</v>
      </c>
      <c r="I17" s="59">
        <v>0</v>
      </c>
      <c r="J17" s="63"/>
      <c r="N17" s="59"/>
    </row>
    <row r="18" spans="1:14" x14ac:dyDescent="0.15">
      <c r="A18" s="40" t="s">
        <v>610</v>
      </c>
      <c r="C18" s="59">
        <f>IF($F5*'Jan''15 Multi'!E9/'Jan''15 Multi'!E10&lt;'Jan''15 Multi'!E13,0,IF($F5*'Jan''15 Multi'!E9/'Jan''15 Multi'!E10&lt;='Jan''15 Multi'!E14,($F5*'Jan''15 Multi'!E9/'Jan''15 Multi'!E10-'Jan''15 Multi'!E13)*('Jan''15 Multi'!E23/100)*'Jan''15 Multi'!E10,('Jan''15 Multi'!E14-'Jan''15 Multi'!E13)*('Jan''15 Multi'!E23/100)*'Jan''15 Multi'!E10))</f>
        <v>56.528999999999996</v>
      </c>
      <c r="D18" s="59">
        <v>0</v>
      </c>
      <c r="E18" s="59">
        <f>IF($F5*'Jan''15 Multi'!G9/'Jan''15 Multi'!G10&lt;'Jan''15 Multi'!G13,0,IF($F5*'Jan''15 Multi'!G9/'Jan''15 Multi'!G10&lt;='Jan''15 Multi'!G14,($F5*'Jan''15 Multi'!G9/'Jan''15 Multi'!G10-'Jan''15 Multi'!G13)*('Jan''15 Multi'!G23/100)*'Jan''15 Multi'!G10,('Jan''15 Multi'!G14-'Jan''15 Multi'!G13)*('Jan''15 Multi'!G23/100)*'Jan''15 Multi'!G10))</f>
        <v>56.751750000000001</v>
      </c>
      <c r="F18" s="59">
        <v>0</v>
      </c>
      <c r="G18" s="59">
        <v>0</v>
      </c>
      <c r="H18" s="59">
        <v>0</v>
      </c>
      <c r="I18" s="59">
        <v>0</v>
      </c>
      <c r="J18" s="63"/>
      <c r="N18" s="59"/>
    </row>
    <row r="19" spans="1:14" x14ac:dyDescent="0.15">
      <c r="A19" s="40" t="s">
        <v>611</v>
      </c>
      <c r="C19" s="59">
        <f>IF(($F5*'Jan''15 Multi'!E9/'Jan''15 Multi'!E10&gt;'Jan''15 Multi'!E14),($F5*'Jan''15 Multi'!E9/'Jan''15 Multi'!E10-'Jan''15 Multi'!E14)*'Jan''15 Multi'!E24/100*'Jan''15 Multi'!E10,0)</f>
        <v>0</v>
      </c>
      <c r="D19" s="59">
        <f>IF(($F5*'Jan''15 Multi'!F9/'Jan''15 Multi'!F10&gt;'Jan''15 Multi'!F12),($F5*'Jan''15 Multi'!F9/'Jan''15 Multi'!F10-'Jan''15 Multi'!F12)*'Jan''15 Multi'!F24/100)*'Jan''15 Multi'!F10</f>
        <v>47.124000000000002</v>
      </c>
      <c r="E19" s="59">
        <f>IF(($F5*'Jan''15 Multi'!G9/'Jan''15 Multi'!G10&gt;'Jan''15 Multi'!G14),($F5*'Jan''15 Multi'!G9/'Jan''15 Multi'!G10-'Jan''15 Multi'!G14)*'Jan''15 Multi'!G24/100*'Jan''15 Multi'!G10,0)</f>
        <v>0</v>
      </c>
      <c r="F19" s="59">
        <f>IF(($F5*'Jan''15 Multi'!H9/'Jan''15 Multi'!H10&gt;'Jan''15 Multi'!H12),($F5*'Jan''15 Multi'!H9/'Jan''15 Multi'!H10-'Jan''15 Multi'!H12)*'Jan''15 Multi'!H24/100)*'Jan''15 Multi'!H10</f>
        <v>57.802499999999995</v>
      </c>
      <c r="G19" s="59">
        <f>IF(($F5*'Jan''15 Multi'!I9/'Jan''15 Multi'!I10&gt;'Jan''15 Multi'!I12),($F5*'Jan''15 Multi'!I9/'Jan''15 Multi'!I10-'Jan''15 Multi'!I12)*'Jan''15 Multi'!I24/100)*'Jan''15 Multi'!I10</f>
        <v>52.965000000000003</v>
      </c>
      <c r="H19" s="59">
        <f>IF(($F5*'Jan''15 Multi'!J9/'Jan''15 Multi'!J10&gt;'Jan''15 Multi'!J12),($F5*'Jan''15 Multi'!J9/'Jan''15 Multi'!J10-'Jan''15 Multi'!J12)*'Jan''15 Multi'!J24/100)*'Jan''15 Multi'!J10</f>
        <v>198.99</v>
      </c>
      <c r="I19" s="59">
        <f>IF(($F5*'Jan''15 Multi'!K9/'Jan''15 Multi'!K10&gt;'Jan''15 Multi'!K12),($F5*'Jan''15 Multi'!K9/'Jan''15 Multi'!K10-'Jan''15 Multi'!K12)*'Jan''15 Multi'!K24/100)*'Jan''15 Multi'!K10</f>
        <v>47.519999999999996</v>
      </c>
      <c r="J19" s="63"/>
      <c r="N19" s="59"/>
    </row>
    <row r="20" spans="1:14" x14ac:dyDescent="0.15">
      <c r="A20" s="40" t="s">
        <v>612</v>
      </c>
      <c r="C20" s="59">
        <f>365*'Jan''15 Multi'!E25/100</f>
        <v>263.06280000000004</v>
      </c>
      <c r="D20" s="59">
        <f>365*'Jan''15 Multi'!F25/100</f>
        <v>269.005</v>
      </c>
      <c r="E20" s="59">
        <f>365*'Jan''15 Multi'!G25/100</f>
        <v>279.64474999999999</v>
      </c>
      <c r="F20" s="59">
        <f>365*'Jan''15 Multi'!H25/100</f>
        <v>253.38299999999998</v>
      </c>
      <c r="G20" s="59">
        <f>365*'Jan''15 Multi'!I25/100</f>
        <v>248.93</v>
      </c>
      <c r="H20" s="59">
        <f>365*'Jan''15 Multi'!J25/100</f>
        <v>260.29245000000003</v>
      </c>
      <c r="I20" s="59">
        <f>365*'Jan''15 Multi'!K25/100</f>
        <v>212.75485</v>
      </c>
      <c r="J20" s="60">
        <f>AVERAGE(C20:I20)</f>
        <v>255.29612142857147</v>
      </c>
      <c r="N20" s="59"/>
    </row>
    <row r="21" spans="1:14" x14ac:dyDescent="0.15">
      <c r="A21" s="62" t="s">
        <v>613</v>
      </c>
      <c r="B21" s="63"/>
      <c r="C21" s="61">
        <f t="shared" ref="C21:I21" si="0">SUM(C10:C20)</f>
        <v>1352.1123000000002</v>
      </c>
      <c r="D21" s="61">
        <f t="shared" si="0"/>
        <v>1367.6574999999998</v>
      </c>
      <c r="E21" s="61">
        <f t="shared" si="0"/>
        <v>1358.1853999999998</v>
      </c>
      <c r="F21" s="61">
        <f t="shared" si="0"/>
        <v>1330.53</v>
      </c>
      <c r="G21" s="61">
        <f t="shared" si="0"/>
        <v>1338.92</v>
      </c>
      <c r="H21" s="61">
        <f t="shared" si="0"/>
        <v>1362.6574500000002</v>
      </c>
      <c r="I21" s="61">
        <f t="shared" si="0"/>
        <v>1269.5798500000001</v>
      </c>
      <c r="J21" s="64">
        <f>AVERAGE(C21:I21)</f>
        <v>1339.9489285714285</v>
      </c>
      <c r="N21" s="59"/>
    </row>
    <row r="23" spans="1:14" x14ac:dyDescent="0.15">
      <c r="A23" s="53" t="s">
        <v>1076</v>
      </c>
      <c r="C23" s="23" t="s">
        <v>1044</v>
      </c>
      <c r="D23" s="23" t="s">
        <v>591</v>
      </c>
      <c r="E23" s="23" t="s">
        <v>592</v>
      </c>
      <c r="F23" s="23" t="s">
        <v>515</v>
      </c>
      <c r="G23" s="23" t="s">
        <v>516</v>
      </c>
      <c r="H23" s="23" t="s">
        <v>597</v>
      </c>
      <c r="I23" s="23" t="s">
        <v>598</v>
      </c>
      <c r="J23" s="57" t="s">
        <v>601</v>
      </c>
    </row>
    <row r="24" spans="1:14" x14ac:dyDescent="0.15">
      <c r="A24" s="40" t="s">
        <v>602</v>
      </c>
      <c r="C24" s="59">
        <f>IF($F5*'Jan''15 Multi'!E29/'Jan''15 Multi'!E30&gt;='Jan''15 Multi'!E33,('Jan''15 Multi'!E33*'Jan''15 Multi'!E37/100)*'Jan''15 Multi'!E30,($F5*'Jan''15 Multi'!E29/'Jan''15 Multi'!E30*'Jan''15 Multi'!E37/100)*'Jan''15 Multi'!E30)</f>
        <v>199.48500000000001</v>
      </c>
      <c r="D24" s="59">
        <f>IF($F5*'Jan''15 Multi'!F29/'Jan''15 Multi'!F30&gt;='Jan''15 Multi'!F33,('Jan''15 Multi'!F33*'Jan''15 Multi'!F37/100)*'Jan''15 Multi'!F30,('Bills Jan''15'!$F5*'Jan''15 Multi'!F29/'Jan''15 Multi'!F30*'Jan''15 Multi'!F37/100)*'Jan''15 Multi'!F30)</f>
        <v>223.839</v>
      </c>
      <c r="E24" s="59">
        <f>IF($F5*'Jan''15 Multi'!G29/'Jan''15 Multi'!G30&gt;='Jan''15 Multi'!G33,('Jan''15 Multi'!G33*'Jan''15 Multi'!G37/100)*'Jan''15 Multi'!G30,($F5*'Jan''15 Multi'!G29/'Jan''15 Multi'!G30*'Jan''15 Multi'!G37/100)*'Jan''15 Multi'!G30)</f>
        <v>190.4562</v>
      </c>
      <c r="F24" s="59">
        <f>IF($F5*'Jan''15 Multi'!H29/'Jan''15 Multi'!H30&gt;='Jan''15 Multi'!H33,('Jan''15 Multi'!H33*'Jan''15 Multi'!H37/100)*'Jan''15 Multi'!H30,('Bills Jan''15'!$F5*'Jan''15 Multi'!H29/'Jan''15 Multi'!H30*'Jan''15 Multi'!H37/100)*'Jan''15 Multi'!H30)</f>
        <v>207.19650000000001</v>
      </c>
      <c r="G24" s="59">
        <f>IF($F5*'Jan''15 Multi'!I29/'Jan''15 Multi'!I30&gt;='Jan''15 Multi'!I33,('Jan''15 Multi'!I33*'Jan''15 Multi'!I37/100)*'Jan''15 Multi'!I30,('Bills Jan''15'!$F5*'Jan''15 Multi'!I29/'Jan''15 Multi'!I30*'Jan''15 Multi'!I37/100)*'Jan''15 Multi'!I30)</f>
        <v>203.16450000000003</v>
      </c>
      <c r="H24" s="59">
        <f>IF($F5*'Jan''15 Multi'!J29/'Jan''15 Multi'!J30&gt;='Jan''15 Multi'!J33,('Jan''15 Multi'!J33*'Jan''15 Multi'!J37/100)*'Jan''15 Multi'!J30,('Bills Jan''15'!$F5*'Jan''15 Multi'!J29/'Jan''15 Multi'!J30*'Jan''15 Multi'!J37/100)*'Jan''15 Multi'!J30)</f>
        <v>198.99</v>
      </c>
      <c r="I24" s="59">
        <f>IF($F5*'Jan''15 Multi'!K29/'Jan''15 Multi'!K30&gt;='Jan''15 Multi'!K33,('Jan''15 Multi'!K33*'Jan''15 Multi'!K37/100)*'Jan''15 Multi'!K30,('Bills Jan''15'!$F5*'Jan''15 Multi'!K29/'Jan''15 Multi'!K30*'Jan''15 Multi'!K37/100)*'Jan''15 Multi'!K30)</f>
        <v>197.505</v>
      </c>
      <c r="J24" s="63"/>
    </row>
    <row r="25" spans="1:14" x14ac:dyDescent="0.15">
      <c r="A25" s="40" t="s">
        <v>603</v>
      </c>
      <c r="C25" s="59">
        <f>IF($F5*'Jan''15 Multi'!E29/'Jan''15 Multi'!E30&lt;'Jan''15 Multi'!E33,0,IF($F5*'Jan''15 Multi'!E29/'Jan''15 Multi'!E30&lt;='Jan''15 Multi'!E34,($F5*'Jan''15 Multi'!E29/'Jan''15 Multi'!E30-'Jan''15 Multi'!E33)*('Jan''15 Multi'!E38/100)*'Jan''15 Multi'!E30,('Jan''15 Multi'!E34-'Jan''15 Multi'!E33)*('Jan''15 Multi'!E38/100)*'Jan''15 Multi'!E30))</f>
        <v>173.745</v>
      </c>
      <c r="D25" s="59">
        <v>0</v>
      </c>
      <c r="E25" s="59">
        <f>IF($F5*'Jan''15 Multi'!G29/'Jan''15 Multi'!G30&lt;'Jan''15 Multi'!G33,0,IF($F5*'Jan''15 Multi'!G29/'Jan''15 Multi'!G30&lt;='Jan''15 Multi'!G34,($F5*'Jan''15 Multi'!G29/'Jan''15 Multi'!G30-'Jan''15 Multi'!G33)*('Jan''15 Multi'!G38/100)*'Jan''15 Multi'!G30,('Jan''15 Multi'!G34-'Jan''15 Multi'!G33)*('Jan''15 Multi'!G38/100)*'Jan''15 Multi'!G30))</f>
        <v>173.52720000000002</v>
      </c>
      <c r="F25" s="59">
        <v>0</v>
      </c>
      <c r="G25" s="59">
        <v>0</v>
      </c>
      <c r="H25" s="59">
        <v>0</v>
      </c>
      <c r="I25" s="59">
        <v>0</v>
      </c>
      <c r="J25" s="63"/>
    </row>
    <row r="26" spans="1:14" x14ac:dyDescent="0.15">
      <c r="A26" s="40" t="s">
        <v>604</v>
      </c>
      <c r="C26" s="59">
        <f>IF($F5*'Jan''15 Multi'!E29/'Jan''15 Multi'!E30&lt;'Jan''15 Multi'!E34,0,IF($F5*'Jan''15 Multi'!E29/'Jan''15 Multi'!E30&lt;='Jan''15 Multi'!E35,($F5*'Jan''15 Multi'!E29/'Jan''15 Multi'!E30-'Jan''15 Multi'!E34)*('Jan''15 Multi'!E39/100)*'Jan''15 Multi'!E30,('Jan''15 Multi'!E35-'Jan''15 Multi'!E34)*('Jan''15 Multi'!E39/100)*'Jan''15 Multi'!E30))</f>
        <v>142.65900000000002</v>
      </c>
      <c r="D26" s="59">
        <v>0</v>
      </c>
      <c r="E26" s="59">
        <f>IF($F5*'Jan''15 Multi'!G29/'Jan''15 Multi'!G30&lt;'Jan''15 Multi'!G34,0,IF($F5*'Jan''15 Multi'!G29/'Jan''15 Multi'!G30&lt;='Jan''15 Multi'!G35,($F5*'Jan''15 Multi'!G29/'Jan''15 Multi'!G30-'Jan''15 Multi'!G34)*('Jan''15 Multi'!G39/100)*'Jan''15 Multi'!G30,('Jan''15 Multi'!G35-'Jan''15 Multi'!G34)*('Jan''15 Multi'!G39/100)*'Jan''15 Multi'!G30))</f>
        <v>147.69809999999998</v>
      </c>
      <c r="F26" s="59">
        <v>0</v>
      </c>
      <c r="G26" s="59">
        <v>0</v>
      </c>
      <c r="H26" s="59">
        <v>0</v>
      </c>
      <c r="I26" s="59">
        <v>0</v>
      </c>
      <c r="J26" s="63"/>
    </row>
    <row r="27" spans="1:14" x14ac:dyDescent="0.15">
      <c r="A27" s="40" t="s">
        <v>605</v>
      </c>
      <c r="C27" s="59">
        <f>IF($F5*'Jan''15 Multi'!E29/'Jan''15 Multi'!E30&lt;'Jan''15 Multi'!E35,0,IF($F5*'Jan''15 Multi'!E29/'Jan''15 Multi'!E30&lt;='Jan''15 Multi'!E36,($F5*'Jan''15 Multi'!E29/'Jan''15 Multi'!E30-'Jan''15 Multi'!E35)*('Jan''15 Multi'!E40/100)*'Jan''15 Multi'!E30,('Jan''15 Multi'!E36-'Jan''15 Multi'!E35)*('Jan''15 Multi'!E40/100)*'Jan''15 Multi'!E30))</f>
        <v>65.141999999999996</v>
      </c>
      <c r="D27" s="59">
        <v>0</v>
      </c>
      <c r="E27" s="59">
        <f>IF($F5*'Jan''15 Multi'!G29/'Jan''15 Multi'!G30&lt;'Jan''15 Multi'!G35,0,IF($F5*'Jan''15 Multi'!G29/'Jan''15 Multi'!G30&lt;='Jan''15 Multi'!G36,($F5*'Jan''15 Multi'!G29/'Jan''15 Multi'!G30-'Jan''15 Multi'!G35)*('Jan''15 Multi'!G40/100)*'Jan''15 Multi'!G30,('Jan''15 Multi'!G36-'Jan''15 Multi'!G35)*('Jan''15 Multi'!G40/100)*'Jan''15 Multi'!G30))</f>
        <v>66.656700000000001</v>
      </c>
      <c r="F27" s="59">
        <v>0</v>
      </c>
      <c r="G27" s="59">
        <v>0</v>
      </c>
      <c r="H27" s="59">
        <v>0</v>
      </c>
      <c r="I27" s="59">
        <v>0</v>
      </c>
      <c r="J27" s="63"/>
    </row>
    <row r="28" spans="1:14" x14ac:dyDescent="0.15">
      <c r="A28" s="40" t="s">
        <v>606</v>
      </c>
      <c r="C28" s="59">
        <f>IF(($F5*'Jan''15 Multi'!E29/'Jan''15 Multi'!E30&gt;'Jan''15 Multi'!E36),($F5*'Jan''15 Multi'!E29/'Jan''15 Multi'!E30-'Jan''15 Multi'!E36)*'Jan''15 Multi'!E41/100*'Jan''15 Multi'!E30,0)</f>
        <v>0</v>
      </c>
      <c r="D28" s="59">
        <f>IF(($F5*'Jan''15 Multi'!F29/'Jan''15 Multi'!F30&gt;'Jan''15 Multi'!F33),('Bills Jan''15'!$F5*'Jan''15 Multi'!F29/'Jan''15 Multi'!F30-'Jan''15 Multi'!F33)*'Jan''15 Multi'!F41/100)*'Jan''15 Multi'!F30</f>
        <v>341.41799999999995</v>
      </c>
      <c r="E28" s="59">
        <f>IF(($F5*'Jan''15 Multi'!G29/'Jan''15 Multi'!G30&gt;'Jan''15 Multi'!G36),($F5*'Jan''15 Multi'!G29/'Jan''15 Multi'!G30-'Jan''15 Multi'!G36)*'Jan''15 Multi'!G41/100*'Jan''15 Multi'!G30,0)</f>
        <v>0</v>
      </c>
      <c r="F28" s="59">
        <f>IF(($F5*'Jan''15 Multi'!H29/'Jan''15 Multi'!H30&gt;'Jan''15 Multi'!H33),('Bills Jan''15'!$F5*'Jan''15 Multi'!H29/'Jan''15 Multi'!H30-'Jan''15 Multi'!H33)*'Jan''15 Multi'!H41/100)*'Jan''15 Multi'!H30</f>
        <v>350.04900000000004</v>
      </c>
      <c r="G28" s="59">
        <f>IF(($F5*'Jan''15 Multi'!I29/'Jan''15 Multi'!I30&gt;'Jan''15 Multi'!I33),('Bills Jan''15'!$F5*'Jan''15 Multi'!I29/'Jan''15 Multi'!I30-'Jan''15 Multi'!I33)*'Jan''15 Multi'!I41/100)*'Jan''15 Multi'!I30</f>
        <v>337.029</v>
      </c>
      <c r="H28" s="59">
        <f>IF(($F5*'Jan''15 Multi'!J29/'Jan''15 Multi'!J30&gt;'Jan''15 Multi'!J33),('Bills Jan''15'!$F5*'Jan''15 Multi'!J29/'Jan''15 Multi'!J30-'Jan''15 Multi'!J33)*'Jan''15 Multi'!J41/100)*'Jan''15 Multi'!J30</f>
        <v>373.72500000000002</v>
      </c>
      <c r="I28" s="59">
        <f>IF(($F5*'Jan''15 Multi'!K29/'Jan''15 Multi'!K30&gt;'Jan''15 Multi'!K33),('Bills Jan''15'!$F5*'Jan''15 Multi'!K29/'Jan''15 Multi'!K30-'Jan''15 Multi'!K33)*'Jan''15 Multi'!K41/100)*'Jan''15 Multi'!K30</f>
        <v>323.39999999999998</v>
      </c>
      <c r="J28" s="63"/>
    </row>
    <row r="29" spans="1:14" x14ac:dyDescent="0.15">
      <c r="A29" s="40" t="s">
        <v>607</v>
      </c>
      <c r="C29" s="59">
        <f>IF($F5*'Jan''15 Multi'!E31/'Jan''15 Multi'!E32&gt;='Jan''15 Multi'!E33,('Jan''15 Multi'!E33*'Jan''15 Multi'!E42/100)*'Jan''15 Multi'!E32,($F5*'Jan''15 Multi'!E31/'Jan''15 Multi'!E32*'Jan''15 Multi'!E42/100)*'Jan''15 Multi'!E32)</f>
        <v>186.71400000000006</v>
      </c>
      <c r="D29" s="59">
        <f>IF($F5*'Jan''15 Multi'!F31/'Jan''15 Multi'!F32&gt;='Jan''15 Multi'!F33,('Jan''15 Multi'!F33*'Jan''15 Multi'!F42/100)*'Jan''15 Multi'!F32,('Bills Jan''15'!$F5*'Jan''15 Multi'!F31/'Jan''15 Multi'!F32*'Jan''15 Multi'!F42/100)*'Jan''15 Multi'!F32)</f>
        <v>202.2405</v>
      </c>
      <c r="E29" s="59">
        <f>IF($F5*'Jan''15 Multi'!G31/'Jan''15 Multi'!G32&gt;='Jan''15 Multi'!G33,('Jan''15 Multi'!G33*'Jan''15 Multi'!G42/100)*'Jan''15 Multi'!G32,($F5*'Jan''15 Multi'!G31/'Jan''15 Multi'!G32*'Jan''15 Multi'!G42/100)*'Jan''15 Multi'!G32)</f>
        <v>165.06270000000001</v>
      </c>
      <c r="F29" s="59">
        <f>IF($F5*'Jan''15 Multi'!H31/'Jan''15 Multi'!H32&gt;='Jan''15 Multi'!H33,('Jan''15 Multi'!H33*'Jan''15 Multi'!H42/100)*'Jan''15 Multi'!H32,('Bills Jan''15'!$F5*'Jan''15 Multi'!H31/'Jan''15 Multi'!H32*'Jan''15 Multi'!H42/100)*'Jan''15 Multi'!H32)</f>
        <v>192.61200000000002</v>
      </c>
      <c r="G29" s="59">
        <f>IF($F5*'Jan''15 Multi'!I31/'Jan''15 Multi'!I32&gt;='Jan''15 Multi'!I33,('Jan''15 Multi'!I33*'Jan''15 Multi'!I42/100)*'Jan''15 Multi'!I32,('Bills Jan''15'!$F5*'Jan''15 Multi'!I31/'Jan''15 Multi'!I32*'Jan''15 Multi'!I42/100)*'Jan''15 Multi'!I32)</f>
        <v>191.61449999999999</v>
      </c>
      <c r="H29" s="59">
        <f>IF($F5*'Jan''15 Multi'!J31/'Jan''15 Multi'!J32&gt;='Jan''15 Multi'!J33,('Jan''15 Multi'!J33*'Jan''15 Multi'!J42/100)*'Jan''15 Multi'!J32,('Bills Jan''15'!$F5*'Jan''15 Multi'!J31/'Jan''15 Multi'!J32*'Jan''15 Multi'!J42/100)*'Jan''15 Multi'!J32)</f>
        <v>195.02999999999997</v>
      </c>
      <c r="I29" s="59">
        <f>IF($F5*'Jan''15 Multi'!K31/'Jan''15 Multi'!K32&gt;='Jan''15 Multi'!K33,('Jan''15 Multi'!K33*'Jan''15 Multi'!K42/100)*'Jan''15 Multi'!K32,('Bills Jan''15'!$F5*'Jan''15 Multi'!K31/'Jan''15 Multi'!K32*'Jan''15 Multi'!K42/100)*'Jan''15 Multi'!K32)</f>
        <v>189.42000000000002</v>
      </c>
      <c r="J29" s="63"/>
    </row>
    <row r="30" spans="1:14" x14ac:dyDescent="0.15">
      <c r="A30" s="40" t="s">
        <v>608</v>
      </c>
      <c r="C30" s="59">
        <f>IF($F5*'Jan''15 Multi'!E31/'Jan''15 Multi'!E32&lt;'Jan''15 Multi'!E33,0,IF($F5*'Jan''15 Multi'!E31/'Jan''15 Multi'!E32&lt;='Jan''15 Multi'!E34,($F5*'Jan''15 Multi'!E31/'Jan''15 Multi'!E32-'Jan''15 Multi'!E33)*('Jan''15 Multi'!E43/100)*'Jan''15 Multi'!E32,('Jan''15 Multi'!E34-'Jan''15 Multi'!E33)*('Jan''15 Multi'!E43/100)*'Jan''15 Multi'!E32))</f>
        <v>165.52799999999999</v>
      </c>
      <c r="D30" s="59">
        <v>0</v>
      </c>
      <c r="E30" s="59">
        <f>IF($F5*'Jan''15 Multi'!G31/'Jan''15 Multi'!G32&lt;'Jan''15 Multi'!G33,0,IF($F5*'Jan''15 Multi'!G31/'Jan''15 Multi'!G32&lt;='Jan''15 Multi'!G34,($F5*'Jan''15 Multi'!G31/'Jan''15 Multi'!G32-'Jan''15 Multi'!G33)*('Jan''15 Multi'!G43/100)*'Jan''15 Multi'!G32,('Jan''15 Multi'!G34-'Jan''15 Multi'!G33)*('Jan''15 Multi'!G43/100)*'Jan''15 Multi'!G32))</f>
        <v>145.2825</v>
      </c>
      <c r="F30" s="59">
        <v>0</v>
      </c>
      <c r="G30" s="59">
        <v>0</v>
      </c>
      <c r="H30" s="59">
        <v>0</v>
      </c>
      <c r="I30" s="59">
        <v>0</v>
      </c>
      <c r="J30" s="63"/>
    </row>
    <row r="31" spans="1:14" x14ac:dyDescent="0.15">
      <c r="A31" s="40" t="s">
        <v>609</v>
      </c>
      <c r="C31" s="59">
        <f>IF($F5*'Jan''15 Multi'!E31/'Jan''15 Multi'!E32&lt;'Jan''15 Multi'!E34,0,IF($F5*'Jan''15 Multi'!E31/'Jan''15 Multi'!E32&lt;='Jan''15 Multi'!E35,($F5*'Jan''15 Multi'!E31/'Jan''15 Multi'!E32-'Jan''15 Multi'!E34)*('Jan''15 Multi'!E44/100)*'Jan''15 Multi'!E32,('Jan''15 Multi'!E35-'Jan''15 Multi'!E34)*('Jan''15 Multi'!E44/100)*'Jan''15 Multi'!E32))</f>
        <v>138.10499999999999</v>
      </c>
      <c r="D31" s="59">
        <v>0</v>
      </c>
      <c r="E31" s="59">
        <f>IF($F5*'Jan''15 Multi'!G31/'Jan''15 Multi'!G32&lt;'Jan''15 Multi'!G34,0,IF($F5*'Jan''15 Multi'!G31/'Jan''15 Multi'!G32&lt;='Jan''15 Multi'!G35,($F5*'Jan''15 Multi'!G31/'Jan''15 Multi'!G32-'Jan''15 Multi'!G34)*('Jan''15 Multi'!G44/100)*'Jan''15 Multi'!G32,('Jan''15 Multi'!G35-'Jan''15 Multi'!G34)*('Jan''15 Multi'!G44/100)*'Jan''15 Multi'!G32))</f>
        <v>127.38330000000001</v>
      </c>
      <c r="F31" s="59">
        <v>0</v>
      </c>
      <c r="G31" s="59">
        <v>0</v>
      </c>
      <c r="H31" s="59">
        <v>0</v>
      </c>
      <c r="I31" s="59">
        <v>0</v>
      </c>
      <c r="J31" s="63"/>
    </row>
    <row r="32" spans="1:14" x14ac:dyDescent="0.15">
      <c r="A32" s="40" t="s">
        <v>610</v>
      </c>
      <c r="C32" s="59">
        <f>IF($F5*'Jan''15 Multi'!E31/'Jan''15 Multi'!E32&lt;'Jan''15 Multi'!E35,0,IF($F5*'Jan''15 Multi'!E31/'Jan''15 Multi'!E32&lt;='Jan''15 Multi'!E36,($F5*'Jan''15 Multi'!E31/'Jan''15 Multi'!E32-'Jan''15 Multi'!E35)*('Jan''15 Multi'!E45/100)*'Jan''15 Multi'!E32,('Jan''15 Multi'!E36-'Jan''15 Multi'!E35)*('Jan''15 Multi'!E45/100)*'Jan''15 Multi'!E32))</f>
        <v>63.359999999999992</v>
      </c>
      <c r="D32" s="59">
        <v>0</v>
      </c>
      <c r="E32" s="59">
        <f>IF($F5*'Jan''15 Multi'!G31/'Jan''15 Multi'!G32&lt;'Jan''15 Multi'!G35,0,IF($F5*'Jan''15 Multi'!G31/'Jan''15 Multi'!G32&lt;='Jan''15 Multi'!G36,($F5*'Jan''15 Multi'!G31/'Jan''15 Multi'!G32-'Jan''15 Multi'!G35)*('Jan''15 Multi'!G45/100)*'Jan''15 Multi'!G32,('Jan''15 Multi'!G36-'Jan''15 Multi'!G35)*('Jan''15 Multi'!G45/100)*'Jan''15 Multi'!G32))</f>
        <v>63.429299999999998</v>
      </c>
      <c r="F32" s="59">
        <v>0</v>
      </c>
      <c r="G32" s="59">
        <v>0</v>
      </c>
      <c r="H32" s="59">
        <v>0</v>
      </c>
      <c r="I32" s="59">
        <v>0</v>
      </c>
      <c r="J32" s="63"/>
    </row>
    <row r="33" spans="1:10" x14ac:dyDescent="0.15">
      <c r="A33" s="40" t="s">
        <v>611</v>
      </c>
      <c r="C33" s="59">
        <f>IF(($F5*'Jan''15 Multi'!E31/'Jan''15 Multi'!E32&gt;'Jan''15 Multi'!E36),($F5*'Jan''15 Multi'!E31/'Jan''15 Multi'!E32-'Jan''15 Multi'!E36)*'Jan''15 Multi'!E46/100*'Jan''15 Multi'!E32,0)</f>
        <v>0</v>
      </c>
      <c r="D33" s="59">
        <f>IF(($F5*'Jan''15 Multi'!F31/'Jan''15 Multi'!F32&gt;'Jan''15 Multi'!F33),('Bills Jan''15'!$F5*'Jan''15 Multi'!F31/'Jan''15 Multi'!F32-'Jan''15 Multi'!F33)*'Jan''15 Multi'!F46/100)*'Jan''15 Multi'!F32</f>
        <v>286.44</v>
      </c>
      <c r="E33" s="59">
        <f>IF(($F5*'Jan''15 Multi'!G31/'Jan''15 Multi'!G32&gt;'Jan''15 Multi'!G36),($F5*'Jan''15 Multi'!G31/'Jan''15 Multi'!G32-'Jan''15 Multi'!G36)*'Jan''15 Multi'!G46/100*'Jan''15 Multi'!G32,0)</f>
        <v>0</v>
      </c>
      <c r="F33" s="59">
        <f>IF(($F5*'Jan''15 Multi'!H31/'Jan''15 Multi'!H32&gt;'Jan''15 Multi'!H33),('Bills Jan''15'!$F5*'Jan''15 Multi'!H31/'Jan''15 Multi'!H32-'Jan''15 Multi'!H33)*'Jan''15 Multi'!H46/100)*'Jan''15 Multi'!H32</f>
        <v>320.31299999999999</v>
      </c>
      <c r="G33" s="59">
        <f>IF(($F5*'Jan''15 Multi'!I31/'Jan''15 Multi'!I32&gt;'Jan''15 Multi'!I33),('Bills Jan''15'!$F5*'Jan''15 Multi'!I31/'Jan''15 Multi'!I32-'Jan''15 Multi'!I33)*'Jan''15 Multi'!I46/100)*'Jan''15 Multi'!I32</f>
        <v>320.85900000000004</v>
      </c>
      <c r="H33" s="59">
        <f>IF(($F5*'Jan''15 Multi'!J31/'Jan''15 Multi'!J32&gt;'Jan''15 Multi'!J33),('Bills Jan''15'!$F5*'Jan''15 Multi'!J31/'Jan''15 Multi'!J32-'Jan''15 Multi'!J33)*'Jan''15 Multi'!J46/100)*'Jan''15 Multi'!J32</f>
        <v>353.92499999999995</v>
      </c>
      <c r="I33" s="59">
        <f>IF(($F5*'Jan''15 Multi'!K31/'Jan''15 Multi'!K32&gt;'Jan''15 Multi'!K33),('Bills Jan''15'!$F5*'Jan''15 Multi'!K31/'Jan''15 Multi'!K32-'Jan''15 Multi'!K33)*'Jan''15 Multi'!K46/100)*'Jan''15 Multi'!K32</f>
        <v>288.75</v>
      </c>
      <c r="J33" s="63"/>
    </row>
    <row r="34" spans="1:10" x14ac:dyDescent="0.15">
      <c r="A34" s="40" t="s">
        <v>612</v>
      </c>
      <c r="C34" s="59">
        <f>365*'Jan''15 Multi'!E47/100</f>
        <v>216.20775</v>
      </c>
      <c r="D34" s="59">
        <f>365*'Jan''15 Multi'!F47/100</f>
        <v>248.93</v>
      </c>
      <c r="E34" s="59">
        <f>365*'Jan''15 Multi'!G47/100</f>
        <v>270.37009999999998</v>
      </c>
      <c r="F34" s="59">
        <f>365*'Jan''15 Multi'!H47/100</f>
        <v>232.35899999999998</v>
      </c>
      <c r="G34" s="59">
        <f>365*'Jan''15 Multi'!I47/100</f>
        <v>248.93</v>
      </c>
      <c r="H34" s="59">
        <f>365*'Jan''15 Multi'!J47/100</f>
        <v>253.94874999999999</v>
      </c>
      <c r="I34" s="59">
        <f>365*'Jan''15 Multi'!K47/100</f>
        <v>208.73985000000002</v>
      </c>
      <c r="J34" s="60">
        <f>AVERAGE(C34:I34)</f>
        <v>239.92649285714285</v>
      </c>
    </row>
    <row r="35" spans="1:10" x14ac:dyDescent="0.15">
      <c r="A35" s="62" t="s">
        <v>613</v>
      </c>
      <c r="B35" s="63"/>
      <c r="C35" s="61">
        <f t="shared" ref="C35:I35" si="1">SUM(C24:C34)</f>
        <v>1350.9457499999999</v>
      </c>
      <c r="D35" s="61">
        <f t="shared" si="1"/>
        <v>1302.8675000000001</v>
      </c>
      <c r="E35" s="61">
        <f t="shared" si="1"/>
        <v>1349.8661000000002</v>
      </c>
      <c r="F35" s="61">
        <f t="shared" si="1"/>
        <v>1302.5295000000001</v>
      </c>
      <c r="G35" s="61">
        <f t="shared" si="1"/>
        <v>1301.5970000000002</v>
      </c>
      <c r="H35" s="61">
        <f t="shared" si="1"/>
        <v>1375.6187500000001</v>
      </c>
      <c r="I35" s="61">
        <f t="shared" si="1"/>
        <v>1207.81485</v>
      </c>
      <c r="J35" s="64">
        <f>AVERAGE(C35:I35)</f>
        <v>1313.0342071428572</v>
      </c>
    </row>
    <row r="37" spans="1:10" x14ac:dyDescent="0.15">
      <c r="A37" s="55" t="s">
        <v>1042</v>
      </c>
    </row>
    <row r="39" spans="1:10" x14ac:dyDescent="0.15">
      <c r="A39" s="53" t="s">
        <v>1024</v>
      </c>
      <c r="C39" s="23" t="s">
        <v>1044</v>
      </c>
      <c r="D39" s="23" t="s">
        <v>591</v>
      </c>
      <c r="E39" s="23" t="s">
        <v>592</v>
      </c>
      <c r="F39" s="23" t="s">
        <v>515</v>
      </c>
      <c r="G39" s="23" t="s">
        <v>516</v>
      </c>
      <c r="H39" s="23" t="s">
        <v>597</v>
      </c>
      <c r="I39" s="23" t="s">
        <v>598</v>
      </c>
      <c r="J39" s="57" t="s">
        <v>601</v>
      </c>
    </row>
    <row r="40" spans="1:10" x14ac:dyDescent="0.15">
      <c r="A40" s="40" t="s">
        <v>602</v>
      </c>
      <c r="C40" s="59">
        <f>IF($F5*'Jan''15 Envestra'!E7/'Jan''15 Envestra'!E8&gt;='Jan''15 Envestra'!E11,('Jan''15 Envestra'!E11*'Jan''15 Envestra'!E13/100)*'Jan''15 Envestra'!E8,($F5*'Jan''15 Envestra'!E7/'Jan''15 Envestra'!E8*'Jan''15 Envestra'!E13/100)*'Jan''15 Envestra'!E8)</f>
        <v>72.263664000000006</v>
      </c>
      <c r="D40" s="59">
        <f>IF($F5*'Jan''15 Envestra'!F7/'Jan''15 Envestra'!F8&gt;='Jan''15 Envestra'!F11,('Jan''15 Envestra'!F11*'Jan''15 Envestra'!F13/100)*'Jan''15 Envestra'!F8,($F5*'Jan''15 Envestra'!F7/'Jan''15 Envestra'!F8*'Jan''15 Envestra'!F13/100)*'Jan''15 Envestra'!F8)</f>
        <v>156.816</v>
      </c>
      <c r="E40" s="59">
        <f>IF($F5*'Jan''15 Envestra'!G7/'Jan''15 Envestra'!G8&gt;='Jan''15 Envestra'!G11,('Jan''15 Envestra'!G11*'Jan''15 Envestra'!G13/100)*'Jan''15 Envestra'!G8,($F5*'Jan''15 Envestra'!G7/'Jan''15 Envestra'!G8*'Jan''15 Envestra'!G13/100)*'Jan''15 Envestra'!G8)</f>
        <v>247.88279999999997</v>
      </c>
      <c r="F40" s="59">
        <f>IF($F5*'Jan''15 Envestra'!H7/'Jan''15 Envestra'!H8&gt;='Jan''15 Envestra'!H11,('Jan''15 Envestra'!H11*'Jan''15 Envestra'!H13/100)*'Jan''15 Envestra'!H8,($F5*'Jan''15 Envestra'!H7/'Jan''15 Envestra'!H8*'Jan''15 Envestra'!H13/100)*'Jan''15 Envestra'!H8)</f>
        <v>155.24</v>
      </c>
      <c r="G40" s="59">
        <f>IF($F5*'Jan''15 Envestra'!I7/'Jan''15 Envestra'!I8&gt;='Jan''15 Envestra'!I11,('Jan''15 Envestra'!I11*'Jan''15 Envestra'!I13/100)*'Jan''15 Envestra'!I8,($F5*'Jan''15 Envestra'!I7/'Jan''15 Envestra'!I8*'Jan''15 Envestra'!I13/100)*'Jan''15 Envestra'!I8)</f>
        <v>132.00000000000003</v>
      </c>
      <c r="H40" s="59">
        <f>IF($F5*'Jan''15 Envestra'!J7/'Jan''15 Envestra'!J8&gt;='Jan''15 Envestra'!J11,('Jan''15 Envestra'!J11*'Jan''15 Envestra'!J13/100)*'Jan''15 Envestra'!J8,($F5*'Jan''15 Envestra'!J7/'Jan''15 Envestra'!J8*'Jan''15 Envestra'!J13/100)*'Jan''15 Envestra'!J8)</f>
        <v>66.910800000000009</v>
      </c>
      <c r="I40" s="59">
        <f>IF($F5*'Jan''15 Envestra'!K7/'Jan''15 Envestra'!K8&gt;='Jan''15 Envestra'!K11,('Jan''15 Envestra'!K11*'Jan''15 Envestra'!K13/100)*'Jan''15 Envestra'!K8,($F5*'Jan''15 Envestra'!K7/'Jan''15 Envestra'!K8*'Jan''15 Envestra'!K13/100)*'Jan''15 Envestra'!K8)</f>
        <v>156.63999999999999</v>
      </c>
      <c r="J40" s="63"/>
    </row>
    <row r="41" spans="1:10" x14ac:dyDescent="0.15">
      <c r="A41" s="40" t="s">
        <v>603</v>
      </c>
      <c r="C41" s="59">
        <f>IF($F5*'Jan''15 Envestra'!E7/'Jan''15 Envestra'!E8&lt;'Jan''15 Envestra'!E11,0,IF($F5*'Jan''15 Envestra'!E7/'Jan''15 Envestra'!E8&lt;='Jan''15 Envestra'!E12,($F5*'Jan''15 Envestra'!E7/'Jan''15 Envestra'!E8-'Jan''15 Envestra'!E11)*('Jan''15 Envestra'!E14/100)*'Jan''15 Envestra'!E8,('Jan''15 Envestra'!E12-'Jan''15 Envestra'!E11)*('Jan''15 Envestra'!E14/100)*'Jan''15 Envestra'!E8))</f>
        <v>52.294572000000002</v>
      </c>
      <c r="D41" s="59">
        <f>IF($F5*'Jan''15 Envestra'!F7/'Jan''15 Envestra'!F8&lt;'Jan''15 Envestra'!F11,0,IF($F5*'Jan''15 Envestra'!F7/'Jan''15 Envestra'!F8&lt;='Jan''15 Envestra'!F12,($F5*'Jan''15 Envestra'!F7/'Jan''15 Envestra'!F8-'Jan''15 Envestra'!F11)*('Jan''15 Envestra'!F14/100)*'Jan''15 Envestra'!F8,('Jan''15 Envestra'!F12-'Jan''15 Envestra'!F11)*('Jan''15 Envestra'!F14/100)*'Jan''15 Envestra'!F8))</f>
        <v>244.34752209999996</v>
      </c>
      <c r="E41" s="59">
        <f>IF($F5*'Jan''15 Envestra'!G7/'Jan''15 Envestra'!G8&lt;'Jan''15 Envestra'!G11,0,IF($F5*'Jan''15 Envestra'!G7/'Jan''15 Envestra'!G8&lt;='Jan''15 Envestra'!G12,($F5*'Jan''15 Envestra'!G7/'Jan''15 Envestra'!G8-'Jan''15 Envestra'!G11)*('Jan''15 Envestra'!G14/100)*'Jan''15 Envestra'!G8,('Jan''15 Envestra'!G12-'Jan''15 Envestra'!G11)*('Jan''15 Envestra'!G14/100)*'Jan''15 Envestra'!G8))</f>
        <v>164.54909624999996</v>
      </c>
      <c r="F41" s="59">
        <f>IF($F5*'Jan''15 Envestra'!H7/'Jan''15 Envestra'!H8&lt;'Jan''15 Envestra'!H11,0,IF($F5*'Jan''15 Envestra'!H7/'Jan''15 Envestra'!H8&lt;='Jan''15 Envestra'!H12,($F5*'Jan''15 Envestra'!H7/'Jan''15 Envestra'!H8-'Jan''15 Envestra'!H11)*('Jan''15 Envestra'!H14/100)*'Jan''15 Envestra'!H8,('Jan''15 Envestra'!H12-'Jan''15 Envestra'!H11)*('Jan''15 Envestra'!H14/100)*'Jan''15 Envestra'!H8))</f>
        <v>224.23977079999997</v>
      </c>
      <c r="G41" s="59">
        <f>IF($F5*'Jan''15 Envestra'!I7/'Jan''15 Envestra'!I8&lt;'Jan''15 Envestra'!I11,0,IF($F5*'Jan''15 Envestra'!I7/'Jan''15 Envestra'!I8&lt;='Jan''15 Envestra'!I12,($F5*'Jan''15 Envestra'!I7/'Jan''15 Envestra'!I8-'Jan''15 Envestra'!I11)*('Jan''15 Envestra'!I14/100)*'Jan''15 Envestra'!I8,('Jan''15 Envestra'!I12-'Jan''15 Envestra'!I11)*('Jan''15 Envestra'!I14/100)*'Jan''15 Envestra'!I8))</f>
        <v>0</v>
      </c>
      <c r="H41" s="59">
        <f>IF($F5*'Jan''15 Envestra'!J7/'Jan''15 Envestra'!J8&lt;'Jan''15 Envestra'!J11,0,IF($F5*'Jan''15 Envestra'!J7/'Jan''15 Envestra'!J8&lt;='Jan''15 Envestra'!J12,($F5*'Jan''15 Envestra'!J7/'Jan''15 Envestra'!J8-'Jan''15 Envestra'!J11)*('Jan''15 Envestra'!J14/100)*'Jan''15 Envestra'!J8,('Jan''15 Envestra'!J12-'Jan''15 Envestra'!J11)*('Jan''15 Envestra'!J14/100)*'Jan''15 Envestra'!J8))</f>
        <v>53.479799999999997</v>
      </c>
      <c r="I41" s="59">
        <f>IF($F5*'Jan''15 Envestra'!K7/'Jan''15 Envestra'!K8&lt;'Jan''15 Envestra'!K11,0,IF($F5*'Jan''15 Envestra'!K7/'Jan''15 Envestra'!K8&lt;='Jan''15 Envestra'!K12,($F5*'Jan''15 Envestra'!K7/'Jan''15 Envestra'!K8-'Jan''15 Envestra'!K11)*('Jan''15 Envestra'!K14/100)*'Jan''15 Envestra'!K8,('Jan''15 Envestra'!K12-'Jan''15 Envestra'!K11)*('Jan''15 Envestra'!K14/100)*'Jan''15 Envestra'!K8))</f>
        <v>233.05234699999994</v>
      </c>
      <c r="J41" s="63"/>
    </row>
    <row r="42" spans="1:10" x14ac:dyDescent="0.15">
      <c r="A42" s="40" t="s">
        <v>606</v>
      </c>
      <c r="C42" s="59">
        <f>IF(($F5*'Jan''15 Envestra'!E7/'Jan''15 Envestra'!E8&gt;'Jan''15 Envestra'!E12),($F5*'Jan''15 Envestra'!E7/'Jan''15 Envestra'!E8-'Jan''15 Envestra'!E12)*'Jan''15 Envestra'!E15/100)*'Jan''15 Envestra'!E8</f>
        <v>248.35364729999998</v>
      </c>
      <c r="D42" s="59">
        <f>IF(($F5*'Jan''15 Envestra'!F7/'Jan''15 Envestra'!F8&gt;'Jan''15 Envestra'!F12),($F5*'Jan''15 Envestra'!F7/'Jan''15 Envestra'!F8-'Jan''15 Envestra'!F12)*'Jan''15 Envestra'!F15/100)*'Jan''15 Envestra'!F8</f>
        <v>0</v>
      </c>
      <c r="E42" s="59">
        <f>IF(($F5*'Jan''15 Envestra'!G7/'Jan''15 Envestra'!G8&gt;'Jan''15 Envestra'!G12),($F5*'Jan''15 Envestra'!G7/'Jan''15 Envestra'!G8-'Jan''15 Envestra'!G12)*'Jan''15 Envestra'!G15/100)*'Jan''15 Envestra'!G8</f>
        <v>0</v>
      </c>
      <c r="F42" s="59">
        <f>IF(($F5*'Jan''15 Envestra'!H7/'Jan''15 Envestra'!H8&gt;'Jan''15 Envestra'!H12),($F5*'Jan''15 Envestra'!H7/'Jan''15 Envestra'!H8-'Jan''15 Envestra'!H12)*'Jan''15 Envestra'!H15/100)*'Jan''15 Envestra'!H8</f>
        <v>0</v>
      </c>
      <c r="G42" s="59">
        <f>IF(($F5*'Jan''15 Envestra'!I7/'Jan''15 Envestra'!I8&gt;'Jan''15 Envestra'!I12),($F5*'Jan''15 Envestra'!I7/'Jan''15 Envestra'!I8-'Jan''15 Envestra'!I12)*'Jan''15 Envestra'!I15/100)*'Jan''15 Envestra'!I8</f>
        <v>230.96765999999997</v>
      </c>
      <c r="H42" s="59">
        <f>IF(($F5*'Jan''15 Envestra'!J7/'Jan''15 Envestra'!J8&gt;'Jan''15 Envestra'!J12),($F5*'Jan''15 Envestra'!J7/'Jan''15 Envestra'!J8-'Jan''15 Envestra'!J12)*'Jan''15 Envestra'!J15/100)*'Jan''15 Envestra'!J8</f>
        <v>272.07747599999993</v>
      </c>
      <c r="I42" s="59">
        <f>IF(($F5*'Jan''15 Envestra'!K7/'Jan''15 Envestra'!K8&gt;'Jan''15 Envestra'!K12),($F5*'Jan''15 Envestra'!K7/'Jan''15 Envestra'!K8-'Jan''15 Envestra'!K12)*'Jan''15 Envestra'!K15/100)*'Jan''15 Envestra'!K8</f>
        <v>0</v>
      </c>
      <c r="J42" s="63"/>
    </row>
    <row r="43" spans="1:10" x14ac:dyDescent="0.15">
      <c r="A43" s="40" t="s">
        <v>607</v>
      </c>
      <c r="C43" s="59">
        <f>IF($F5*'Jan''15 Envestra'!E9/'Jan''15 Envestra'!E10&gt;='Jan''15 Envestra'!E11,('Jan''15 Envestra'!E11*'Jan''15 Envestra'!E16/100)*'Jan''15 Envestra'!E10,($F5*'Jan''15 Envestra'!E9/'Jan''15 Envestra'!E10*'Jan''15 Envestra'!E16/100)*'Jan''15 Envestra'!E10)</f>
        <v>144.52732800000001</v>
      </c>
      <c r="D43" s="59">
        <f>IF($F5*'Jan''15 Envestra'!F9/'Jan''15 Envestra'!F10&gt;='Jan''15 Envestra'!F11,('Jan''15 Envestra'!F11*'Jan''15 Envestra'!F16/100)*'Jan''15 Envestra'!F10,($F5*'Jan''15 Envestra'!F9/'Jan''15 Envestra'!F10*'Jan''15 Envestra'!F16/100)*'Jan''15 Envestra'!F10)</f>
        <v>313.63200000000001</v>
      </c>
      <c r="E43" s="59">
        <f>IF($F5*'Jan''15 Envestra'!G9/'Jan''15 Envestra'!G10&gt;='Jan''15 Envestra'!G11,('Jan''15 Envestra'!G11*'Jan''15 Envestra'!G16/100)*'Jan''15 Envestra'!G10,($F5*'Jan''15 Envestra'!G9/'Jan''15 Envestra'!G10*'Jan''15 Envestra'!G16/100)*'Jan''15 Envestra'!G10)</f>
        <v>467.33279999999996</v>
      </c>
      <c r="F43" s="59">
        <f>IF($F5*'Jan''15 Envestra'!H9/'Jan''15 Envestra'!H10&gt;='Jan''15 Envestra'!H11,('Jan''15 Envestra'!H11*'Jan''15 Envestra'!H16/100)*'Jan''15 Envestra'!H10,($F5*'Jan''15 Envestra'!H9/'Jan''15 Envestra'!H10*'Jan''15 Envestra'!H16/100)*'Jan''15 Envestra'!H10)</f>
        <v>298.52800000000002</v>
      </c>
      <c r="G43" s="59">
        <f>IF($F5*'Jan''15 Envestra'!I9/'Jan''15 Envestra'!I10&gt;='Jan''15 Envestra'!I11,('Jan''15 Envestra'!I11*'Jan''15 Envestra'!I16/100)*'Jan''15 Envestra'!I10,($F5*'Jan''15 Envestra'!I9/'Jan''15 Envestra'!I10*'Jan''15 Envestra'!I16/100)*'Jan''15 Envestra'!I10)</f>
        <v>264.00000000000006</v>
      </c>
      <c r="H43" s="59">
        <f>IF($F5*'Jan''15 Envestra'!J9/'Jan''15 Envestra'!J10&gt;='Jan''15 Envestra'!J11,('Jan''15 Envestra'!J11*'Jan''15 Envestra'!J16/100)*'Jan''15 Envestra'!J10,($F5*'Jan''15 Envestra'!J9/'Jan''15 Envestra'!J10*'Jan''15 Envestra'!J16/100)*'Jan''15 Envestra'!J10)</f>
        <v>133.82160000000002</v>
      </c>
      <c r="I43" s="59">
        <f>IF($F5*'Jan''15 Envestra'!K9/'Jan''15 Envestra'!K10&gt;='Jan''15 Envestra'!K11,('Jan''15 Envestra'!K11*'Jan''15 Envestra'!K16/100)*'Jan''15 Envestra'!K10,($F5*'Jan''15 Envestra'!K9/'Jan''15 Envestra'!K10*'Jan''15 Envestra'!K16/100)*'Jan''15 Envestra'!K10)</f>
        <v>299.2</v>
      </c>
      <c r="J43" s="63"/>
    </row>
    <row r="44" spans="1:10" x14ac:dyDescent="0.15">
      <c r="A44" s="40" t="s">
        <v>608</v>
      </c>
      <c r="C44" s="59">
        <f>IF($F5*'Jan''15 Envestra'!E9/'Jan''15 Envestra'!E10&lt;'Jan''15 Envestra'!E11,0,IF($F5*'Jan''15 Envestra'!E9/'Jan''15 Envestra'!E10&lt;='Jan''15 Envestra'!E12,($F5*'Jan''15 Envestra'!E9/'Jan''15 Envestra'!E10-'Jan''15 Envestra'!E11)*('Jan''15 Envestra'!E17/100)*'Jan''15 Envestra'!E10,('Jan''15 Envestra'!E12-'Jan''15 Envestra'!E11)*('Jan''15 Envestra'!E17/100)*'Jan''15 Envestra'!E10))</f>
        <v>104.589144</v>
      </c>
      <c r="D44" s="59">
        <f>IF($F5*'Jan''15 Envestra'!F9/'Jan''15 Envestra'!F10&lt;'Jan''15 Envestra'!F11,0,IF($F5*'Jan''15 Envestra'!F9/'Jan''15 Envestra'!F10&lt;='Jan''15 Envestra'!F12,($F5*'Jan''15 Envestra'!F9/'Jan''15 Envestra'!F10-'Jan''15 Envestra'!F11)*('Jan''15 Envestra'!F17/100)*'Jan''15 Envestra'!F10,('Jan''15 Envestra'!F12-'Jan''15 Envestra'!F11)*('Jan''15 Envestra'!F17/100)*'Jan''15 Envestra'!F10))</f>
        <v>488.69504419999993</v>
      </c>
      <c r="E44" s="59">
        <f>IF($F5*'Jan''15 Envestra'!G9/'Jan''15 Envestra'!G10&lt;'Jan''15 Envestra'!G11,0,IF($F5*'Jan''15 Envestra'!G9/'Jan''15 Envestra'!G10&lt;='Jan''15 Envestra'!G12,($F5*'Jan''15 Envestra'!G9/'Jan''15 Envestra'!G10-'Jan''15 Envestra'!G11)*('Jan''15 Envestra'!G17/100)*'Jan''15 Envestra'!G10,('Jan''15 Envestra'!G12-'Jan''15 Envestra'!G11)*('Jan''15 Envestra'!G17/100)*'Jan''15 Envestra'!G10))</f>
        <v>316.31037701999992</v>
      </c>
      <c r="F44" s="59">
        <f>IF($F5*'Jan''15 Envestra'!H9/'Jan''15 Envestra'!H10&lt;'Jan''15 Envestra'!H11,0,IF($F5*'Jan''15 Envestra'!H9/'Jan''15 Envestra'!H10&lt;='Jan''15 Envestra'!H12,($F5*'Jan''15 Envestra'!H9/'Jan''15 Envestra'!H10-'Jan''15 Envestra'!H11)*('Jan''15 Envestra'!H17/100)*'Jan''15 Envestra'!H10,('Jan''15 Envestra'!H12-'Jan''15 Envestra'!H11)*('Jan''15 Envestra'!H17/100)*'Jan''15 Envestra'!H10))</f>
        <v>438.60113759999996</v>
      </c>
      <c r="G44" s="59">
        <f>IF($F5*'Jan''15 Envestra'!I9/'Jan''15 Envestra'!I10&lt;'Jan''15 Envestra'!I11,0,IF($F5*'Jan''15 Envestra'!I9/'Jan''15 Envestra'!I10&lt;='Jan''15 Envestra'!I12,($F5*'Jan''15 Envestra'!I9/'Jan''15 Envestra'!I10-'Jan''15 Envestra'!I11)*('Jan''15 Envestra'!I17/100)*'Jan''15 Envestra'!I10,('Jan''15 Envestra'!I12-'Jan''15 Envestra'!I11)*('Jan''15 Envestra'!I17/100)*'Jan''15 Envestra'!I10))</f>
        <v>0</v>
      </c>
      <c r="H44" s="59">
        <f>IF($F5*'Jan''15 Envestra'!J9/'Jan''15 Envestra'!J10&lt;'Jan''15 Envestra'!J11,0,IF($F5*'Jan''15 Envestra'!J9/'Jan''15 Envestra'!J10&lt;='Jan''15 Envestra'!J12,($F5*'Jan''15 Envestra'!J9/'Jan''15 Envestra'!J10-'Jan''15 Envestra'!J11)*('Jan''15 Envestra'!J17/100)*'Jan''15 Envestra'!J10,('Jan''15 Envestra'!J12-'Jan''15 Envestra'!J11)*('Jan''15 Envestra'!J17/100)*'Jan''15 Envestra'!J10))</f>
        <v>106.95959999999999</v>
      </c>
      <c r="I44" s="59">
        <f>IF($F5*'Jan''15 Envestra'!K9/'Jan''15 Envestra'!K10&lt;'Jan''15 Envestra'!K11,0,IF($F5*'Jan''15 Envestra'!K9/'Jan''15 Envestra'!K10&lt;='Jan''15 Envestra'!K12,($F5*'Jan''15 Envestra'!K9/'Jan''15 Envestra'!K10-'Jan''15 Envestra'!K11)*('Jan''15 Envestra'!K17/100)*'Jan''15 Envestra'!K10,('Jan''15 Envestra'!K12-'Jan''15 Envestra'!K11)*('Jan''15 Envestra'!K17/100)*'Jan''15 Envestra'!K10))</f>
        <v>460.38561799999991</v>
      </c>
      <c r="J44" s="63"/>
    </row>
    <row r="45" spans="1:10" x14ac:dyDescent="0.15">
      <c r="A45" s="40" t="s">
        <v>611</v>
      </c>
      <c r="C45" s="59">
        <f>IF(($F5*'Jan''15 Envestra'!E9/'Jan''15 Envestra'!E10&gt;'Jan''15 Envestra'!E12),($F5*'Jan''15 Envestra'!E9/'Jan''15 Envestra'!E10-'Jan''15 Envestra'!E12)*'Jan''15 Envestra'!E18/100)*'Jan''15 Envestra'!E10</f>
        <v>496.70729459999995</v>
      </c>
      <c r="D45" s="59">
        <f>IF(($F5*'Jan''15 Envestra'!F9/'Jan''15 Envestra'!F10&gt;'Jan''15 Envestra'!F12),($F5*'Jan''15 Envestra'!F9/'Jan''15 Envestra'!F10-'Jan''15 Envestra'!F12)*'Jan''15 Envestra'!F18/100)*'Jan''15 Envestra'!F10</f>
        <v>0</v>
      </c>
      <c r="E45" s="59">
        <f>IF(($F5*'Jan''15 Envestra'!G9/'Jan''15 Envestra'!G10&gt;'Jan''15 Envestra'!G12),($F5*'Jan''15 Envestra'!G9/'Jan''15 Envestra'!G10-'Jan''15 Envestra'!G12)*'Jan''15 Envestra'!G18/100)*'Jan''15 Envestra'!G10</f>
        <v>0</v>
      </c>
      <c r="F45" s="59">
        <f>IF(($F5*'Jan''15 Envestra'!H9/'Jan''15 Envestra'!H10&gt;'Jan''15 Envestra'!H12),($F5*'Jan''15 Envestra'!H9/'Jan''15 Envestra'!H10-'Jan''15 Envestra'!H12)*'Jan''15 Envestra'!H18/100)*'Jan''15 Envestra'!H10</f>
        <v>0</v>
      </c>
      <c r="G45" s="59">
        <f>IF(($F5*'Jan''15 Envestra'!I9/'Jan''15 Envestra'!I10&gt;'Jan''15 Envestra'!I12),($F5*'Jan''15 Envestra'!I9/'Jan''15 Envestra'!I10-'Jan''15 Envestra'!I12)*'Jan''15 Envestra'!I18/100)*'Jan''15 Envestra'!I10</f>
        <v>461.93531999999993</v>
      </c>
      <c r="H45" s="59">
        <f>IF(($F5*'Jan''15 Envestra'!J9/'Jan''15 Envestra'!J10&gt;'Jan''15 Envestra'!J12),($F5*'Jan''15 Envestra'!J9/'Jan''15 Envestra'!J10-'Jan''15 Envestra'!J12)*'Jan''15 Envestra'!J18/100)*'Jan''15 Envestra'!J10</f>
        <v>544.15495199999987</v>
      </c>
      <c r="I45" s="59">
        <f>IF(($F5*'Jan''15 Envestra'!K9/'Jan''15 Envestra'!K10&gt;'Jan''15 Envestra'!K12),($F5*'Jan''15 Envestra'!K9/'Jan''15 Envestra'!K10-'Jan''15 Envestra'!K12)*'Jan''15 Envestra'!K18/100)*'Jan''15 Envestra'!K10</f>
        <v>0</v>
      </c>
      <c r="J45" s="63"/>
    </row>
    <row r="46" spans="1:10" x14ac:dyDescent="0.15">
      <c r="A46" s="40" t="s">
        <v>612</v>
      </c>
      <c r="C46" s="59">
        <f>365*'Jan''15 Envestra'!E19/100</f>
        <v>254.91235</v>
      </c>
      <c r="D46" s="59">
        <f>365*'Jan''15 Envestra'!F19/100</f>
        <v>248.93</v>
      </c>
      <c r="E46" s="59">
        <f>365*'Jan''15 Envestra'!G19/100</f>
        <v>260.01140000000004</v>
      </c>
      <c r="F46" s="59">
        <f>365*'Jan''15 Envestra'!H19/100</f>
        <v>249.69649999999999</v>
      </c>
      <c r="G46" s="59">
        <f>365*'Jan''15 Envestra'!I19/100</f>
        <v>248.93</v>
      </c>
      <c r="H46" s="59">
        <f>365*'Jan''15 Envestra'!J19/100</f>
        <v>259.24855000000002</v>
      </c>
      <c r="I46" s="59">
        <f>365*'Jan''15 Envestra'!K19/100</f>
        <v>228.65425000000002</v>
      </c>
      <c r="J46" s="60">
        <f>AVERAGE(C46:I46)</f>
        <v>250.05472142857144</v>
      </c>
    </row>
    <row r="47" spans="1:10" x14ac:dyDescent="0.15">
      <c r="A47" s="62" t="s">
        <v>613</v>
      </c>
      <c r="B47" s="63"/>
      <c r="C47" s="61">
        <f t="shared" ref="C47:I47" si="2">SUM(C40:C46)</f>
        <v>1373.6479999000001</v>
      </c>
      <c r="D47" s="61">
        <f t="shared" si="2"/>
        <v>1452.4205663</v>
      </c>
      <c r="E47" s="61">
        <f t="shared" si="2"/>
        <v>1456.0864732699999</v>
      </c>
      <c r="F47" s="61">
        <f t="shared" si="2"/>
        <v>1366.3054084</v>
      </c>
      <c r="G47" s="61">
        <f t="shared" si="2"/>
        <v>1337.8329799999999</v>
      </c>
      <c r="H47" s="61">
        <f t="shared" si="2"/>
        <v>1436.6527779999999</v>
      </c>
      <c r="I47" s="61">
        <f t="shared" si="2"/>
        <v>1377.9322149999998</v>
      </c>
      <c r="J47" s="64">
        <f>AVERAGE(C47:I47)</f>
        <v>1400.1254886957145</v>
      </c>
    </row>
    <row r="49" spans="1:10" x14ac:dyDescent="0.15">
      <c r="A49" s="53" t="s">
        <v>488</v>
      </c>
      <c r="C49" s="23" t="s">
        <v>1044</v>
      </c>
      <c r="D49" s="23" t="s">
        <v>591</v>
      </c>
      <c r="E49" s="23" t="s">
        <v>592</v>
      </c>
      <c r="F49" s="23" t="s">
        <v>515</v>
      </c>
      <c r="G49" s="23" t="s">
        <v>516</v>
      </c>
      <c r="H49" s="23" t="s">
        <v>597</v>
      </c>
      <c r="I49" s="23" t="s">
        <v>598</v>
      </c>
      <c r="J49" s="57" t="s">
        <v>601</v>
      </c>
    </row>
    <row r="50" spans="1:10" x14ac:dyDescent="0.15">
      <c r="A50" s="40" t="s">
        <v>602</v>
      </c>
      <c r="C50" s="59">
        <f>IF($F5*'Jan''15 Envestra'!E23/'Jan''15 Envestra'!E24&gt;='Jan''15 Envestra'!E27,('Jan''15 Envestra'!E27*'Jan''15 Envestra'!E45/100)*'Jan''15 Envestra'!E24,($F5*'Jan''15 Envestra'!E23/'Jan''15 Envestra'!E24*'Jan''15 Envestra'!E45/100)*'Jan''15 Envestra'!E24)</f>
        <v>75.880463999999989</v>
      </c>
      <c r="D50" s="59">
        <f>IF($F5*'Jan''15 Envestra'!F23/'Jan''15 Envestra'!F24&gt;='Jan''15 Envestra'!F27,('Jan''15 Envestra'!F27*'Jan''15 Envestra'!F29/100)*'Jan''15 Envestra'!F24,('Bills Jan''15'!$F5*'Jan''15 Envestra'!F23/'Jan''15 Envestra'!F24*'Jan''15 Envestra'!F29/100)*'Jan''15 Envestra'!F24)</f>
        <v>129.67679999999999</v>
      </c>
      <c r="E50" s="59">
        <f>IF($F5*'Jan''15 Envestra'!G23/'Jan''15 Envestra'!G24&gt;='Jan''15 Envestra'!G27,('Jan''15 Envestra'!G27*'Jan''15 Envestra'!G45/100)*'Jan''15 Envestra'!G24,($F5*'Jan''15 Envestra'!G23/'Jan''15 Envestra'!G24*'Jan''15 Envestra'!G45/100)*'Jan''15 Envestra'!G24)</f>
        <v>246.41759999999999</v>
      </c>
      <c r="F50" s="59">
        <f>IF($F5*'Jan''15 Envestra'!H23/'Jan''15 Envestra'!H24&gt;='Jan''15 Envestra'!H27,('Jan''15 Envestra'!H27*'Jan''15 Envestra'!H29/100)*'Jan''15 Envestra'!H24,('Bills Jan''15'!$F5*'Jan''15 Envestra'!H23/'Jan''15 Envestra'!H24*'Jan''15 Envestra'!H29/100)*'Jan''15 Envestra'!H24)</f>
        <v>133.6448</v>
      </c>
      <c r="G50" s="59">
        <f>IF($F5*'Jan''15 Envestra'!I23/'Jan''15 Envestra'!I24&gt;='Jan''15 Envestra'!I27,('Jan''15 Envestra'!I27*'Jan''15 Envestra'!I29/100)*'Jan''15 Envestra'!I24,('Bills Jan''15'!$F5*'Jan''15 Envestra'!I23/'Jan''15 Envestra'!I24*'Jan''15 Envestra'!I29/100)*'Jan''15 Envestra'!I24)</f>
        <v>118.8</v>
      </c>
      <c r="H50" s="59">
        <f>IF($F5*'Jan''15 Envestra'!J23/'Jan''15 Envestra'!J24&gt;='Jan''15 Envestra'!J27,('Jan''15 Envestra'!J27*'Jan''15 Envestra'!J29/100)*'Jan''15 Envestra'!J24,('Bills Jan''15'!$F5*'Jan''15 Envestra'!J23/'Jan''15 Envestra'!J24*'Jan''15 Envestra'!J29/100)*'Jan''15 Envestra'!J24)</f>
        <v>69.804240000000007</v>
      </c>
      <c r="I50" s="59">
        <f>IF($F5*'Jan''15 Envestra'!K23/'Jan''15 Envestra'!K24&gt;='Jan''15 Envestra'!K27,('Jan''15 Envestra'!K27*'Jan''15 Envestra'!K29/100)*'Jan''15 Envestra'!K24,('Bills Jan''15'!$F5*'Jan''15 Envestra'!K23/'Jan''15 Envestra'!K24*'Jan''15 Envestra'!K29/100)*'Jan''15 Envestra'!K24)</f>
        <v>123.904</v>
      </c>
      <c r="J50" s="63"/>
    </row>
    <row r="51" spans="1:10" x14ac:dyDescent="0.15">
      <c r="A51" s="40" t="s">
        <v>603</v>
      </c>
      <c r="C51" s="59">
        <f>IF($F5*'Jan''15 Envestra'!E23/'Jan''15 Envestra'!E25&lt;'Jan''15 Envestra'!E27,0,IF($F5*'Jan''15 Envestra'!E23/'Jan''15 Envestra'!E24&lt;='Jan''15 Envestra'!E28,($F5*'Jan''15 Envestra'!E23/'Jan''15 Envestra'!E24-'Jan''15 Envestra'!E27)*('Jan''15 Envestra'!E46/100)*'Jan''15 Envestra'!E24,('Jan''15 Envestra'!E28-'Jan''15 Envestra'!E27)*('Jan''15 Envestra'!E46/100)*'Jan''15 Envestra'!E24))</f>
        <v>51.60078</v>
      </c>
      <c r="D51" s="59">
        <v>0</v>
      </c>
      <c r="E51" s="59">
        <f>IF($F5*'Jan''15 Envestra'!G23/'Jan''15 Envestra'!G25&lt;'Jan''15 Envestra'!G27,0,IF($F5*'Jan''15 Envestra'!G23/'Jan''15 Envestra'!G24&lt;='Jan''15 Envestra'!G28,($F5*'Jan''15 Envestra'!G23/'Jan''15 Envestra'!G24-'Jan''15 Envestra'!G27)*('Jan''15 Envestra'!G46/100)*'Jan''15 Envestra'!G24,('Jan''15 Envestra'!G28-'Jan''15 Envestra'!G27)*('Jan''15 Envestra'!G46/100)*'Jan''15 Envestra'!G24))</f>
        <v>159.21424133999997</v>
      </c>
      <c r="F51" s="59">
        <v>0</v>
      </c>
      <c r="G51" s="59">
        <v>0</v>
      </c>
      <c r="H51" s="59">
        <v>0</v>
      </c>
      <c r="I51" s="59">
        <v>0</v>
      </c>
      <c r="J51" s="63"/>
    </row>
    <row r="52" spans="1:10" x14ac:dyDescent="0.15">
      <c r="A52" s="40" t="s">
        <v>606</v>
      </c>
      <c r="C52" s="59">
        <f>IF(($F5*'Jan''15 Envestra'!E23/'Jan''15 Envestra'!E24&gt;'Jan''15 Envestra'!E28),($F5*'Jan''15 Envestra'!E23/'Jan''15 Envestra'!E24-'Jan''15 Envestra'!E28)*'Jan''15 Envestra'!E47/100*'Jan''15 Envestra'!E24,0)</f>
        <v>233.09076449999998</v>
      </c>
      <c r="D52" s="59">
        <f>IF(($F5*'Jan''15 Envestra'!F23/'Jan''15 Envestra'!F24&gt;'Jan''15 Envestra'!F27)*'Jan''15 Envestra'!F24,('Bills Jan''15'!$F5*'Jan''15 Envestra'!F23/'Jan''15 Envestra'!F24-'Jan''15 Envestra'!F28)*'Jan''15 Envestra'!F31/100)*'Jan''15 Envestra'!F24</f>
        <v>246.64611839999998</v>
      </c>
      <c r="E52" s="59">
        <f>IF(($F5*'Jan''15 Envestra'!G23/'Jan''15 Envestra'!G24&gt;'Jan''15 Envestra'!G28),($F5*'Jan''15 Envestra'!G23/'Jan''15 Envestra'!G24-'Jan''15 Envestra'!G28)*'Jan''15 Envestra'!G47/100*'Jan''15 Envestra'!G24,0)</f>
        <v>0</v>
      </c>
      <c r="F52" s="59">
        <f>IF(($F5*'Jan''15 Envestra'!H23/'Jan''15 Envestra'!H24&gt;'Jan''15 Envestra'!H27)*'Jan''15 Envestra'!H24,('Bills Jan''15'!$F5*'Jan''15 Envestra'!H23/'Jan''15 Envestra'!H24-'Jan''15 Envestra'!H28)*'Jan''15 Envestra'!H31/100)*'Jan''15 Envestra'!H24</f>
        <v>261.09803939999995</v>
      </c>
      <c r="G52" s="59">
        <f>IF(($F5*'Jan''15 Envestra'!I23/'Jan''15 Envestra'!I24&gt;'Jan''15 Envestra'!I27)*'Jan''15 Envestra'!I24,('Bills Jan''15'!$F5*'Jan''15 Envestra'!I23/'Jan''15 Envestra'!I24-'Jan''15 Envestra'!I28)*'Jan''15 Envestra'!I31/100)*'Jan''15 Envestra'!I24</f>
        <v>255.71419499999996</v>
      </c>
      <c r="H52" s="59">
        <f>IF(($F5*'Jan''15 Envestra'!J23/'Jan''15 Envestra'!J24&gt;'Jan''15 Envestra'!J27)*'Jan''15 Envestra'!J24,('Bills Jan''15'!$F5*'Jan''15 Envestra'!J23/'Jan''15 Envestra'!J24-'Jan''15 Envestra'!J28)*'Jan''15 Envestra'!J31/100)*'Jan''15 Envestra'!J24</f>
        <v>296.10952799999995</v>
      </c>
      <c r="I52" s="59">
        <f>IF(($F5*'Jan''15 Envestra'!K23/'Jan''15 Envestra'!K24&gt;'Jan''15 Envestra'!K27)*'Jan''15 Envestra'!K24,('Bills Jan''15'!$F5*'Jan''15 Envestra'!K23/'Jan''15 Envestra'!K24-'Jan''15 Envestra'!K28)*'Jan''15 Envestra'!K31/100)*'Jan''15 Envestra'!K24</f>
        <v>239.25958099999997</v>
      </c>
      <c r="J52" s="63"/>
    </row>
    <row r="53" spans="1:10" x14ac:dyDescent="0.15">
      <c r="A53" s="40" t="s">
        <v>607</v>
      </c>
      <c r="C53" s="59">
        <f>IF($F5*'Jan''15 Envestra'!E25/'Jan''15 Envestra'!E26&gt;='Jan''15 Envestra'!E27,('Jan''15 Envestra'!E27*'Jan''15 Envestra'!E48/100)*'Jan''15 Envestra'!E26,($F5*'Jan''15 Envestra'!E25/'Jan''15 Envestra'!E26*'Jan''15 Envestra'!E48/100*'Jan''15 Envestra'!E26))</f>
        <v>151.76092799999998</v>
      </c>
      <c r="D53" s="59">
        <f>IF($F5*'Jan''15 Envestra'!F25/'Jan''15 Envestra'!F26&gt;='Jan''15 Envestra'!F27,('Jan''15 Envestra'!F27*'Jan''15 Envestra'!F32/100)*'Jan''15 Envestra'!F26,('Bills Jan''15'!$F5*'Jan''15 Envestra'!F25/'Jan''15 Envestra'!F26*'Jan''15 Envestra'!F32/100)*'Jan''15 Envestra'!F26)</f>
        <v>259.35359999999997</v>
      </c>
      <c r="E53" s="59">
        <f>IF($F5*'Jan''15 Envestra'!G25/'Jan''15 Envestra'!G26&gt;='Jan''15 Envestra'!G27,('Jan''15 Envestra'!G27*'Jan''15 Envestra'!G48/100)*'Jan''15 Envestra'!G26,($F5*'Jan''15 Envestra'!G25/'Jan''15 Envestra'!G26*'Jan''15 Envestra'!G48/100*'Jan''15 Envestra'!G26))</f>
        <v>475.17360000000002</v>
      </c>
      <c r="F53" s="59">
        <f>IF($F5*'Jan''15 Envestra'!H25/'Jan''15 Envestra'!H26&gt;='Jan''15 Envestra'!H27,('Jan''15 Envestra'!H27*'Jan''15 Envestra'!H32/100)*'Jan''15 Envestra'!H26,('Bills Jan''15'!$F5*'Jan''15 Envestra'!H25/'Jan''15 Envestra'!H26*'Jan''15 Envestra'!H32/100)*'Jan''15 Envestra'!H26)</f>
        <v>259.16160000000002</v>
      </c>
      <c r="G53" s="59">
        <f>IF($F5*'Jan''15 Envestra'!I25/'Jan''15 Envestra'!I26&gt;='Jan''15 Envestra'!I27,('Jan''15 Envestra'!I27*'Jan''15 Envestra'!I32/100)*'Jan''15 Envestra'!I26,('Bills Jan''15'!$F5*'Jan''15 Envestra'!I25/'Jan''15 Envestra'!I26*'Jan''15 Envestra'!I32/100)*'Jan''15 Envestra'!I26)</f>
        <v>237.6</v>
      </c>
      <c r="H53" s="59">
        <f>IF($F5*'Jan''15 Envestra'!J25/'Jan''15 Envestra'!J26&gt;='Jan''15 Envestra'!J27,('Jan''15 Envestra'!J27*'Jan''15 Envestra'!J32/100)*'Jan''15 Envestra'!J26,('Bills Jan''15'!$F5*'Jan''15 Envestra'!J25/'Jan''15 Envestra'!J26*'Jan''15 Envestra'!J32/100)*'Jan''15 Envestra'!J26)</f>
        <v>139.60848000000001</v>
      </c>
      <c r="I53" s="59">
        <f>IF($F5*'Jan''15 Envestra'!K25/'Jan''15 Envestra'!K26&gt;='Jan''15 Envestra'!K27,('Jan''15 Envestra'!K27*'Jan''15 Envestra'!K32/100)*'Jan''15 Envestra'!K26,('Bills Jan''15'!$F5*'Jan''15 Envestra'!K25/'Jan''15 Envestra'!K26*'Jan''15 Envestra'!K32/100)*'Jan''15 Envestra'!K26)</f>
        <v>229.50399999999999</v>
      </c>
      <c r="J53" s="63"/>
    </row>
    <row r="54" spans="1:10" x14ac:dyDescent="0.15">
      <c r="A54" s="40" t="s">
        <v>608</v>
      </c>
      <c r="C54" s="59">
        <f>IF($F5*'Jan''15 Envestra'!E25/'Jan''15 Envestra'!E26&lt;'Jan''15 Envestra'!E27,0,IF($F5*'Jan''15 Envestra'!E25/'Jan''15 Envestra'!E26&lt;='Jan''15 Envestra'!E28,($F5*'Jan''15 Envestra'!E25/'Jan''15 Envestra'!E26-'Jan''15 Envestra'!E27)*('Jan''15 Envestra'!E49/100)*'Jan''15 Envestra'!E26,('Jan''15 Envestra'!E28-'Jan''15 Envestra'!E27)*('Jan''15 Envestra'!E49/100)*'Jan''15 Envestra'!E26))</f>
        <v>103.20156</v>
      </c>
      <c r="D54" s="59">
        <v>0</v>
      </c>
      <c r="E54" s="59">
        <f>IF($F5*'Jan''15 Envestra'!G25/'Jan''15 Envestra'!G26&lt;'Jan''15 Envestra'!G27,0,IF($F5*'Jan''15 Envestra'!G25/'Jan''15 Envestra'!G26&lt;='Jan''15 Envestra'!G28,($F5*'Jan''15 Envestra'!G25/'Jan''15 Envestra'!G26-'Jan''15 Envestra'!G27)*('Jan''15 Envestra'!G49/100)*'Jan''15 Envestra'!G26,('Jan''15 Envestra'!G28-'Jan''15 Envestra'!G27)*('Jan''15 Envestra'!G49/100)*'Jan''15 Envestra'!G26))</f>
        <v>309.99565079999991</v>
      </c>
      <c r="F54" s="59">
        <v>0</v>
      </c>
      <c r="G54" s="59">
        <v>0</v>
      </c>
      <c r="H54" s="59">
        <v>0</v>
      </c>
      <c r="I54" s="59">
        <v>0</v>
      </c>
      <c r="J54" s="63"/>
    </row>
    <row r="55" spans="1:10" x14ac:dyDescent="0.15">
      <c r="A55" s="40" t="s">
        <v>611</v>
      </c>
      <c r="C55" s="59">
        <f>IF(($F5*'Jan''15 Envestra'!E25/'Jan''15 Envestra'!E26&gt;'Jan''15 Envestra'!E28),($F5*'Jan''15 Envestra'!E25/'Jan''15 Envestra'!E26-'Jan''15 Envestra'!E28)*'Jan''15 Envestra'!E50/100*'Jan''15 Envestra'!E26,0)</f>
        <v>466.18152899999995</v>
      </c>
      <c r="D55" s="59">
        <f>IF(($F5*'Jan''15 Envestra'!F25/'Jan''15 Envestra'!F26&gt;'Jan''15 Envestra'!F27),('Bills Jan''15'!$F5*'Jan''15 Envestra'!F25/'Jan''15 Envestra'!F26-'Jan''15 Envestra'!F27)*'Jan''15 Envestra'!F34/100)*'Jan''15 Envestra'!F26</f>
        <v>493.29223679999996</v>
      </c>
      <c r="E55" s="59">
        <f>IF(($F5*'Jan''15 Envestra'!G25/'Jan''15 Envestra'!G26&gt;'Jan''15 Envestra'!G28),($F5*'Jan''15 Envestra'!G25/'Jan''15 Envestra'!G26-'Jan''15 Envestra'!G28)*'Jan''15 Envestra'!G50/100*'Jan''15 Envestra'!G26,0)</f>
        <v>0</v>
      </c>
      <c r="F55" s="59">
        <f>IF(($F5*'Jan''15 Envestra'!H25/'Jan''15 Envestra'!H26&gt;'Jan''15 Envestra'!H27),('Bills Jan''15'!$F5*'Jan''15 Envestra'!H25/'Jan''15 Envestra'!H26-'Jan''15 Envestra'!H27)*'Jan''15 Envestra'!H34/100)*'Jan''15 Envestra'!H26</f>
        <v>502.08017259999991</v>
      </c>
      <c r="G55" s="59">
        <f>IF(($F5*'Jan''15 Envestra'!I25/'Jan''15 Envestra'!I26&gt;'Jan''15 Envestra'!I27),('Bills Jan''15'!$F5*'Jan''15 Envestra'!I25/'Jan''15 Envestra'!I26-'Jan''15 Envestra'!I27)*'Jan''15 Envestra'!I34/100)*'Jan''15 Envestra'!I26</f>
        <v>511.42838999999992</v>
      </c>
      <c r="H55" s="59">
        <f>IF(($F5*'Jan''15 Envestra'!J25/'Jan''15 Envestra'!J26&gt;'Jan''15 Envestra'!J27),('Bills Jan''15'!$F5*'Jan''15 Envestra'!J25/'Jan''15 Envestra'!J26-'Jan''15 Envestra'!J27)*'Jan''15 Envestra'!J34/100)*'Jan''15 Envestra'!J26</f>
        <v>592.21905599999991</v>
      </c>
      <c r="I55" s="59">
        <f>IF(($F5*'Jan''15 Envestra'!K25/'Jan''15 Envestra'!K26&gt;'Jan''15 Envestra'!K27),('Bills Jan''15'!$F5*'Jan''15 Envestra'!K25/'Jan''15 Envestra'!K26-'Jan''15 Envestra'!K27)*'Jan''15 Envestra'!K34/100)*'Jan''15 Envestra'!K26</f>
        <v>452.8268579999999</v>
      </c>
      <c r="J55" s="63"/>
    </row>
    <row r="56" spans="1:10" x14ac:dyDescent="0.15">
      <c r="A56" s="40" t="s">
        <v>612</v>
      </c>
      <c r="C56" s="59">
        <f>365*'Jan''15 Envestra'!E35/100</f>
        <v>254.47069999999999</v>
      </c>
      <c r="D56" s="59">
        <f>365*'Jan''15 Envestra'!F35/100</f>
        <v>240.9</v>
      </c>
      <c r="E56" s="59">
        <f>365*'Jan''15 Envestra'!G35/100</f>
        <v>260.65379999999999</v>
      </c>
      <c r="F56" s="59">
        <f>365*'Jan''15 Envestra'!H35/100</f>
        <v>246.52100000000002</v>
      </c>
      <c r="G56" s="59">
        <f>365*'Jan''15 Envestra'!I35/100</f>
        <v>248.93</v>
      </c>
      <c r="H56" s="59">
        <f>365*'Jan''15 Envestra'!J35/100</f>
        <v>256.19715000000002</v>
      </c>
      <c r="I56" s="59">
        <f>365*'Jan''15 Envestra'!K35/100</f>
        <v>228.65425000000002</v>
      </c>
      <c r="J56" s="60">
        <f>AVERAGE(C56:I56)</f>
        <v>248.04670000000002</v>
      </c>
    </row>
    <row r="57" spans="1:10" x14ac:dyDescent="0.15">
      <c r="A57" s="62" t="s">
        <v>613</v>
      </c>
      <c r="B57" s="63"/>
      <c r="C57" s="61">
        <f t="shared" ref="C57:I57" si="3">SUM(C50:C56)</f>
        <v>1336.1867255</v>
      </c>
      <c r="D57" s="61">
        <f t="shared" si="3"/>
        <v>1369.8687551999999</v>
      </c>
      <c r="E57" s="61">
        <f t="shared" si="3"/>
        <v>1451.4548921400001</v>
      </c>
      <c r="F57" s="61">
        <f t="shared" si="3"/>
        <v>1402.5056119999999</v>
      </c>
      <c r="G57" s="61">
        <f t="shared" si="3"/>
        <v>1372.472585</v>
      </c>
      <c r="H57" s="61">
        <f t="shared" si="3"/>
        <v>1353.9384539999999</v>
      </c>
      <c r="I57" s="61">
        <f t="shared" si="3"/>
        <v>1274.1486889999999</v>
      </c>
      <c r="J57" s="64">
        <f>AVERAGE(C57:I57)</f>
        <v>1365.7965304057141</v>
      </c>
    </row>
    <row r="59" spans="1:10" x14ac:dyDescent="0.15">
      <c r="A59" s="53" t="s">
        <v>1028</v>
      </c>
      <c r="C59" s="23" t="s">
        <v>1044</v>
      </c>
      <c r="D59" s="23" t="s">
        <v>591</v>
      </c>
      <c r="E59" s="23" t="s">
        <v>592</v>
      </c>
      <c r="F59" s="23" t="s">
        <v>515</v>
      </c>
      <c r="G59" s="23" t="s">
        <v>516</v>
      </c>
      <c r="H59" s="23" t="s">
        <v>597</v>
      </c>
      <c r="I59" s="23" t="s">
        <v>598</v>
      </c>
      <c r="J59" s="57" t="s">
        <v>601</v>
      </c>
    </row>
    <row r="60" spans="1:10" x14ac:dyDescent="0.15">
      <c r="A60" s="40" t="s">
        <v>602</v>
      </c>
      <c r="C60" s="59">
        <f>IF($F5*'Jan''15 Envestra'!E39/'Jan''15 Envestra'!E40&gt;='Jan''15 Envestra'!E43,('Jan''15 Envestra'!E43*'Jan''15 Envestra'!E45/100)*'Jan''15 Envestra'!E40,($F5*'Jan''15 Envestra'!E39/'Jan''15 Envestra'!E40*'Jan''15 Envestra'!E45/100)*'Jan''15 Envestra'!E40)</f>
        <v>75.880463999999989</v>
      </c>
      <c r="D60" s="59">
        <f>IF($F5*'Jan''15 Envestra'!F39/'Jan''15 Envestra'!F40&gt;='Jan''15 Envestra'!F43,('Jan''15 Envestra'!F43*'Jan''15 Envestra'!F45/100)*'Jan''15 Envestra'!F40,($F5*'Jan''15 Envestra'!F39/'Jan''15 Envestra'!F40*'Jan''15 Envestra'!F45/100)*'Jan''15 Envestra'!F40)</f>
        <v>164.12</v>
      </c>
      <c r="E60" s="59">
        <f>IF($F5*'Jan''15 Envestra'!G39/'Jan''15 Envestra'!G40&gt;='Jan''15 Envestra'!G43,('Jan''15 Envestra'!G43*'Jan''15 Envestra'!G45/100)*'Jan''15 Envestra'!G40,($F5*'Jan''15 Envestra'!G39/'Jan''15 Envestra'!G40*'Jan''15 Envestra'!G45/100)*'Jan''15 Envestra'!G40)</f>
        <v>246.41759999999999</v>
      </c>
      <c r="F60" s="59">
        <f>IF($F5*'Jan''15 Envestra'!H39/'Jan''15 Envestra'!H40&gt;='Jan''15 Envestra'!H43,('Jan''15 Envestra'!H43*'Jan''15 Envestra'!H45/100)*'Jan''15 Envestra'!H40,($F5*'Jan''15 Envestra'!H39/'Jan''15 Envestra'!H40*'Jan''15 Envestra'!H45/100)*'Jan''15 Envestra'!H40)</f>
        <v>167.64</v>
      </c>
      <c r="G60" s="59">
        <f>IF($F5*'Jan''15 Envestra'!I39/'Jan''15 Envestra'!I40&gt;='Jan''15 Envestra'!I43,('Jan''15 Envestra'!I43*'Jan''15 Envestra'!I45/100)*'Jan''15 Envestra'!I40,($F5*'Jan''15 Envestra'!I39/'Jan''15 Envestra'!I40*'Jan''15 Envestra'!I45/100)*'Jan''15 Envestra'!I40)</f>
        <v>125.4</v>
      </c>
      <c r="H60" s="59">
        <f>IF($F5*'Jan''15 Envestra'!J39/'Jan''15 Envestra'!J40&gt;='Jan''15 Envestra'!J43,('Jan''15 Envestra'!J43*'Jan''15 Envestra'!J45/100)*'Jan''15 Envestra'!J40,($F5*'Jan''15 Envestra'!J39/'Jan''15 Envestra'!J40*'Jan''15 Envestra'!J45/100)*'Jan''15 Envestra'!J40)</f>
        <v>82.824719999999999</v>
      </c>
      <c r="I60" s="59">
        <f>IF($F5*'Jan''15 Envestra'!K39/'Jan''15 Envestra'!K40&gt;='Jan''15 Envestra'!K43,('Jan''15 Envestra'!K43*'Jan''15 Envestra'!K45/100)*'Jan''15 Envestra'!K40,($F5*'Jan''15 Envestra'!K39/'Jan''15 Envestra'!K40*'Jan''15 Envestra'!K45/100)*'Jan''15 Envestra'!K40)</f>
        <v>158.4</v>
      </c>
      <c r="J60" s="63"/>
    </row>
    <row r="61" spans="1:10" x14ac:dyDescent="0.15">
      <c r="A61" s="40" t="s">
        <v>603</v>
      </c>
      <c r="C61" s="59">
        <f>IF($F5*'Jan''15 Envestra'!E39/'Jan''15 Envestra'!E40&lt;'Jan''15 Envestra'!E43,0,IF($F5*'Jan''15 Envestra'!E39/'Jan''15 Envestra'!E40&lt;='Jan''15 Envestra'!E44,($F5*'Jan''15 Envestra'!E39/'Jan''15 Envestra'!E40-'Jan''15 Envestra'!E43)*('Jan''15 Envestra'!E46/100)*'Jan''15 Envestra'!E40,('Jan''15 Envestra'!E44-'Jan''15 Envestra'!E43)*('Jan''15 Envestra'!E46/100)*'Jan''15 Envestra'!E40))</f>
        <v>51.60078</v>
      </c>
      <c r="D61" s="59">
        <f>IF($F5*'Jan''15 Envestra'!F39/'Jan''15 Envestra'!F40&lt;'Jan''15 Envestra'!F43,0,IF($F5*'Jan''15 Envestra'!F39/'Jan''15 Envestra'!F40&lt;='Jan''15 Envestra'!F44,($F5*'Jan''15 Envestra'!F39/'Jan''15 Envestra'!F40-'Jan''15 Envestra'!F43)*('Jan''15 Envestra'!F46/100)*'Jan''15 Envestra'!F40,('Jan''15 Envestra'!F44-'Jan''15 Envestra'!F43)*('Jan''15 Envestra'!F46/100)*'Jan''15 Envestra'!F40))</f>
        <v>236.48379259999993</v>
      </c>
      <c r="E61" s="59">
        <f>IF($F5*'Jan''15 Envestra'!G39/'Jan''15 Envestra'!G40&lt;'Jan''15 Envestra'!G43,0,IF($F5*'Jan''15 Envestra'!G39/'Jan''15 Envestra'!G40&lt;='Jan''15 Envestra'!G44,($F5*'Jan''15 Envestra'!G39/'Jan''15 Envestra'!G40-'Jan''15 Envestra'!G43)*('Jan''15 Envestra'!G46/100)*'Jan''15 Envestra'!G40,('Jan''15 Envestra'!G44-'Jan''15 Envestra'!G43)*('Jan''15 Envestra'!G46/100)*'Jan''15 Envestra'!G40))</f>
        <v>159.21424133999997</v>
      </c>
      <c r="F61" s="59">
        <f>IF($F5*'Jan''15 Envestra'!H39/'Jan''15 Envestra'!H40&lt;'Jan''15 Envestra'!H43,0,IF($F5*'Jan''15 Envestra'!H39/'Jan''15 Envestra'!H40&lt;='Jan''15 Envestra'!H44,($F5*'Jan''15 Envestra'!H39/'Jan''15 Envestra'!H40-'Jan''15 Envestra'!H43)*('Jan''15 Envestra'!H46/100)*'Jan''15 Envestra'!H40,('Jan''15 Envestra'!H44-'Jan''15 Envestra'!H43)*('Jan''15 Envestra'!H46/100)*'Jan''15 Envestra'!H40))</f>
        <v>228.04815549999995</v>
      </c>
      <c r="G61" s="59">
        <f>IF($F5*'Jan''15 Envestra'!I39/'Jan''15 Envestra'!I40&lt;'Jan''15 Envestra'!I43,0,IF($F5*'Jan''15 Envestra'!I39/'Jan''15 Envestra'!I40&lt;='Jan''15 Envestra'!I44,($F5*'Jan''15 Envestra'!I39/'Jan''15 Envestra'!I40-'Jan''15 Envestra'!I43)*('Jan''15 Envestra'!I46/100)*'Jan''15 Envestra'!I40,('Jan''15 Envestra'!I44-'Jan''15 Envestra'!I43)*('Jan''15 Envestra'!I46/100)*'Jan''15 Envestra'!I40))</f>
        <v>0</v>
      </c>
      <c r="H61" s="59">
        <f>IF($F5*'Jan''15 Envestra'!J39/'Jan''15 Envestra'!J40&lt;'Jan''15 Envestra'!J43,0,IF($F5*'Jan''15 Envestra'!J39/'Jan''15 Envestra'!J40&lt;='Jan''15 Envestra'!J44,($F5*'Jan''15 Envestra'!J39/'Jan''15 Envestra'!J40-'Jan''15 Envestra'!J43)*('Jan''15 Envestra'!J46/100)*'Jan''15 Envestra'!J40,('Jan''15 Envestra'!J44-'Jan''15 Envestra'!J43)*('Jan''15 Envestra'!J46/100)*'Jan''15 Envestra'!J40))</f>
        <v>56.659680000000009</v>
      </c>
      <c r="I61" s="59">
        <f>IF($F5*'Jan''15 Envestra'!K39/'Jan''15 Envestra'!K40&lt;'Jan''15 Envestra'!K43,0,IF($F5*'Jan''15 Envestra'!K39/'Jan''15 Envestra'!K40&lt;='Jan''15 Envestra'!K44,($F5*'Jan''15 Envestra'!K39/'Jan''15 Envestra'!K40-'Jan''15 Envestra'!K43)*('Jan''15 Envestra'!K46/100)*'Jan''15 Envestra'!K40,('Jan''15 Envestra'!K44-'Jan''15 Envestra'!K43)*('Jan''15 Envestra'!K46/100)*'Jan''15 Envestra'!K40))</f>
        <v>224.47373299999998</v>
      </c>
      <c r="J61" s="63"/>
    </row>
    <row r="62" spans="1:10" x14ac:dyDescent="0.15">
      <c r="A62" s="40" t="s">
        <v>606</v>
      </c>
      <c r="C62" s="59">
        <f>IF(($F5*'Jan''15 Envestra'!E39/'Jan''15 Envestra'!E40&gt;'Jan''15 Envestra'!E44),($F5*'Jan''15 Envestra'!E39/'Jan''15 Envestra'!E40-'Jan''15 Envestra'!E44)*'Jan''15 Envestra'!E47/100)*'Jan''15 Envestra'!E40</f>
        <v>233.09076449999998</v>
      </c>
      <c r="D62" s="59">
        <f>IF(($F5*'Jan''15 Envestra'!F39/'Jan''15 Envestra'!F40&gt;'Jan''15 Envestra'!F44),($F5*'Jan''15 Envestra'!F39/'Jan''15 Envestra'!F40-'Jan''15 Envestra'!F44)*'Jan''15 Envestra'!F47/100)*'Jan''15 Envestra'!F40</f>
        <v>0</v>
      </c>
      <c r="E62" s="59">
        <f>IF(($F5*'Jan''15 Envestra'!G39/'Jan''15 Envestra'!G40&gt;'Jan''15 Envestra'!G44),($F5*'Jan''15 Envestra'!G39/'Jan''15 Envestra'!G40-'Jan''15 Envestra'!G44)*'Jan''15 Envestra'!G47/100)*'Jan''15 Envestra'!G40</f>
        <v>0</v>
      </c>
      <c r="F62" s="59">
        <f>IF(($F5*'Jan''15 Envestra'!H39/'Jan''15 Envestra'!H40&gt;'Jan''15 Envestra'!H44),($F5*'Jan''15 Envestra'!H39/'Jan''15 Envestra'!H40-'Jan''15 Envestra'!H44)*'Jan''15 Envestra'!H47/100)*'Jan''15 Envestra'!H40</f>
        <v>0</v>
      </c>
      <c r="G62" s="59">
        <f>IF(($F5*'Jan''15 Envestra'!I39/'Jan''15 Envestra'!I40&gt;'Jan''15 Envestra'!I44),($F5*'Jan''15 Envestra'!I39/'Jan''15 Envestra'!I40-'Jan''15 Envestra'!I44)*'Jan''15 Envestra'!I47/100)*'Jan''15 Envestra'!I40</f>
        <v>251.96471999999994</v>
      </c>
      <c r="H62" s="59">
        <f>IF(($F5*'Jan''15 Envestra'!J39/'Jan''15 Envestra'!J40&gt;'Jan''15 Envestra'!J44),($F5*'Jan''15 Envestra'!J39/'Jan''15 Envestra'!J40-'Jan''15 Envestra'!J44)*'Jan''15 Envestra'!J47/100)*'Jan''15 Envestra'!J40</f>
        <v>255.48738599999996</v>
      </c>
      <c r="I62" s="59">
        <f>IF(($F5*'Jan''15 Envestra'!K39/'Jan''15 Envestra'!K40&gt;'Jan''15 Envestra'!K44),($F5*'Jan''15 Envestra'!K39/'Jan''15 Envestra'!K40-'Jan''15 Envestra'!K44)*'Jan''15 Envestra'!K47/100)*'Jan''15 Envestra'!K40</f>
        <v>0</v>
      </c>
      <c r="J62" s="63"/>
    </row>
    <row r="63" spans="1:10" x14ac:dyDescent="0.15">
      <c r="A63" s="40" t="s">
        <v>607</v>
      </c>
      <c r="C63" s="59">
        <f>IF($F5*'Jan''15 Envestra'!E41/'Jan''15 Envestra'!E42&gt;='Jan''15 Envestra'!E43,('Jan''15 Envestra'!E43*'Jan''15 Envestra'!E48/100)*'Jan''15 Envestra'!E42,($F5*'Jan''15 Envestra'!E41/'Jan''15 Envestra'!E42*'Jan''15 Envestra'!E48/100)*'Jan''15 Envestra'!E42)</f>
        <v>151.76092799999998</v>
      </c>
      <c r="D63" s="59">
        <f>IF($F5*'Jan''15 Envestra'!F41/'Jan''15 Envestra'!F42&gt;='Jan''15 Envestra'!F43,('Jan''15 Envestra'!F43*'Jan''15 Envestra'!F48/100)*'Jan''15 Envestra'!F42,($F5*'Jan''15 Envestra'!F41/'Jan''15 Envestra'!F42*'Jan''15 Envestra'!F48/100)*'Jan''15 Envestra'!F42)</f>
        <v>328.24</v>
      </c>
      <c r="E63" s="59">
        <f>IF($F5*'Jan''15 Envestra'!G41/'Jan''15 Envestra'!G42&gt;='Jan''15 Envestra'!G43,('Jan''15 Envestra'!G43*'Jan''15 Envestra'!G48/100)*'Jan''15 Envestra'!G42,($F5*'Jan''15 Envestra'!G41/'Jan''15 Envestra'!G42*'Jan''15 Envestra'!G48/100)*'Jan''15 Envestra'!G42)</f>
        <v>475.17360000000002</v>
      </c>
      <c r="F63" s="59">
        <f>IF($F5*'Jan''15 Envestra'!H41/'Jan''15 Envestra'!H42&gt;='Jan''15 Envestra'!H43,('Jan''15 Envestra'!H43*'Jan''15 Envestra'!H48/100)*'Jan''15 Envestra'!H42,($F5*'Jan''15 Envestra'!H41/'Jan''15 Envestra'!H42*'Jan''15 Envestra'!H48/100)*'Jan''15 Envestra'!H42)</f>
        <v>326.976</v>
      </c>
      <c r="G63" s="59">
        <f>IF($F5*'Jan''15 Envestra'!I41/'Jan''15 Envestra'!I42&gt;='Jan''15 Envestra'!I43,('Jan''15 Envestra'!I43*'Jan''15 Envestra'!I48/100)*'Jan''15 Envestra'!I42,($F5*'Jan''15 Envestra'!I41/'Jan''15 Envestra'!I42*'Jan''15 Envestra'!I48/100)*'Jan''15 Envestra'!I42)</f>
        <v>250.8</v>
      </c>
      <c r="H63" s="59">
        <f>IF($F5*'Jan''15 Envestra'!J41/'Jan''15 Envestra'!J42&gt;='Jan''15 Envestra'!J43,('Jan''15 Envestra'!J43*'Jan''15 Envestra'!J48/100)*'Jan''15 Envestra'!J42,($F5*'Jan''15 Envestra'!J41/'Jan''15 Envestra'!J42*'Jan''15 Envestra'!J48/100)*'Jan''15 Envestra'!J42)</f>
        <v>165.64944</v>
      </c>
      <c r="I63" s="59">
        <f>IF($F5*'Jan''15 Envestra'!K41/'Jan''15 Envestra'!K42&gt;='Jan''15 Envestra'!K43,('Jan''15 Envestra'!K43*'Jan''15 Envestra'!K48/100)*'Jan''15 Envestra'!K42,($F5*'Jan''15 Envestra'!K41/'Jan''15 Envestra'!K42*'Jan''15 Envestra'!K48/100)*'Jan''15 Envestra'!K42)</f>
        <v>306.24</v>
      </c>
      <c r="J63" s="63"/>
    </row>
    <row r="64" spans="1:10" x14ac:dyDescent="0.15">
      <c r="A64" s="40" t="s">
        <v>608</v>
      </c>
      <c r="C64" s="59">
        <f>IF($F5*'Jan''15 Envestra'!E41/'Jan''15 Envestra'!E42&lt;'Jan''15 Envestra'!E43,0,IF($F5*'Jan''15 Envestra'!E41/'Jan''15 Envestra'!E42&lt;='Jan''15 Envestra'!E44,($F5*'Jan''15 Envestra'!E41/'Jan''15 Envestra'!E42-'Jan''15 Envestra'!E43)*('Jan''15 Envestra'!E49/100)*'Jan''15 Envestra'!E42,('Jan''15 Envestra'!E44-'Jan''15 Envestra'!E43)*('Jan''15 Envestra'!E49/100)*'Jan''15 Envestra'!E42))</f>
        <v>103.20156</v>
      </c>
      <c r="D64" s="59">
        <f>IF($F5*'Jan''15 Envestra'!F41/'Jan''15 Envestra'!F42&lt;'Jan''15 Envestra'!F43,0,IF($F5*'Jan''15 Envestra'!F41/'Jan''15 Envestra'!F42&lt;='Jan''15 Envestra'!F44,($F5*'Jan''15 Envestra'!F41/'Jan''15 Envestra'!F42-'Jan''15 Envestra'!F43)*('Jan''15 Envestra'!F49/100)*'Jan''15 Envestra'!F42,('Jan''15 Envestra'!F44-'Jan''15 Envestra'!F43)*('Jan''15 Envestra'!F49/100)*'Jan''15 Envestra'!F42))</f>
        <v>472.96758519999986</v>
      </c>
      <c r="E64" s="59">
        <f>IF($F5*'Jan''15 Envestra'!G41/'Jan''15 Envestra'!G42&lt;'Jan''15 Envestra'!G43,0,IF($F5*'Jan''15 Envestra'!G41/'Jan''15 Envestra'!G42&lt;='Jan''15 Envestra'!G44,($F5*'Jan''15 Envestra'!G41/'Jan''15 Envestra'!G42-'Jan''15 Envestra'!G43)*('Jan''15 Envestra'!G49/100)*'Jan''15 Envestra'!G42,('Jan''15 Envestra'!G44-'Jan''15 Envestra'!G43)*('Jan''15 Envestra'!G49/100)*'Jan''15 Envestra'!G42))</f>
        <v>309.99565079999991</v>
      </c>
      <c r="F64" s="59">
        <f>IF($F5*'Jan''15 Envestra'!H41/'Jan''15 Envestra'!H42&lt;'Jan''15 Envestra'!H43,0,IF($F5*'Jan''15 Envestra'!H41/'Jan''15 Envestra'!H42&lt;='Jan''15 Envestra'!H44,($F5*'Jan''15 Envestra'!H41/'Jan''15 Envestra'!H42-'Jan''15 Envestra'!H43)*('Jan''15 Envestra'!H49/100)*'Jan''15 Envestra'!H42,('Jan''15 Envestra'!H44-'Jan''15 Envestra'!H43)*('Jan''15 Envestra'!H49/100)*'Jan''15 Envestra'!H42))</f>
        <v>444.26822199999998</v>
      </c>
      <c r="G64" s="59">
        <f>IF($F5*'Jan''15 Envestra'!I41/'Jan''15 Envestra'!I42&lt;'Jan''15 Envestra'!I43,0,IF($F5*'Jan''15 Envestra'!I41/'Jan''15 Envestra'!I42&lt;='Jan''15 Envestra'!I44,($F5*'Jan''15 Envestra'!I41/'Jan''15 Envestra'!I42-'Jan''15 Envestra'!I43)*('Jan''15 Envestra'!I49/100)*'Jan''15 Envestra'!I42,('Jan''15 Envestra'!I44-'Jan''15 Envestra'!I43)*('Jan''15 Envestra'!I49/100)*'Jan''15 Envestra'!I42))</f>
        <v>0</v>
      </c>
      <c r="H64" s="59">
        <f>IF($F5*'Jan''15 Envestra'!J41/'Jan''15 Envestra'!J42&lt;'Jan''15 Envestra'!J43,0,IF($F5*'Jan''15 Envestra'!J41/'Jan''15 Envestra'!J42&lt;='Jan''15 Envestra'!J44,($F5*'Jan''15 Envestra'!J41/'Jan''15 Envestra'!J42-'Jan''15 Envestra'!J43)*('Jan''15 Envestra'!J49/100)*'Jan''15 Envestra'!J42,('Jan''15 Envestra'!J44-'Jan''15 Envestra'!J43)*('Jan''15 Envestra'!J49/100)*'Jan''15 Envestra'!J42))</f>
        <v>113.31936000000002</v>
      </c>
      <c r="I64" s="59">
        <f>IF($F5*'Jan''15 Envestra'!K41/'Jan''15 Envestra'!K42&lt;'Jan''15 Envestra'!K43,0,IF($F5*'Jan''15 Envestra'!K41/'Jan''15 Envestra'!K42&lt;='Jan''15 Envestra'!K44,($F5*'Jan''15 Envestra'!K41/'Jan''15 Envestra'!K42-'Jan''15 Envestra'!K43)*('Jan''15 Envestra'!K49/100)*'Jan''15 Envestra'!K42,('Jan''15 Envestra'!K44-'Jan''15 Envestra'!K43)*('Jan''15 Envestra'!K49/100)*'Jan''15 Envestra'!K42))</f>
        <v>428.93069999999994</v>
      </c>
      <c r="J64" s="63"/>
    </row>
    <row r="65" spans="1:10" x14ac:dyDescent="0.15">
      <c r="A65" s="40" t="s">
        <v>611</v>
      </c>
      <c r="C65" s="59">
        <f>IF(($F5*'Jan''15 Envestra'!E41/'Jan''15 Envestra'!E42&gt;'Jan''15 Envestra'!E44),($F5*'Jan''15 Envestra'!E41/'Jan''15 Envestra'!E42-'Jan''15 Envestra'!E44)*'Jan''15 Envestra'!E50/100)*'Jan''15 Envestra'!E42</f>
        <v>466.18152899999995</v>
      </c>
      <c r="D65" s="59">
        <f>IF(($F5*'Jan''15 Envestra'!F41/'Jan''15 Envestra'!F42&gt;'Jan''15 Envestra'!F44),($F5*'Jan''15 Envestra'!F41/'Jan''15 Envestra'!F42-'Jan''15 Envestra'!F44)*'Jan''15 Envestra'!F50/100)*'Jan''15 Envestra'!F42</f>
        <v>0</v>
      </c>
      <c r="E65" s="59">
        <f>IF(($F5*'Jan''15 Envestra'!G41/'Jan''15 Envestra'!G42&gt;'Jan''15 Envestra'!G44),($F5*'Jan''15 Envestra'!G41/'Jan''15 Envestra'!G42-'Jan''15 Envestra'!G44)*'Jan''15 Envestra'!G50/100)*'Jan''15 Envestra'!G42</f>
        <v>0</v>
      </c>
      <c r="F65" s="59">
        <f>IF(($F5*'Jan''15 Envestra'!H41/'Jan''15 Envestra'!H42&gt;'Jan''15 Envestra'!H44),($F5*'Jan''15 Envestra'!H41/'Jan''15 Envestra'!H42-'Jan''15 Envestra'!H44)*'Jan''15 Envestra'!H50/100)*'Jan''15 Envestra'!H42</f>
        <v>0</v>
      </c>
      <c r="G65" s="59">
        <f>IF(($F5*'Jan''15 Envestra'!I41/'Jan''15 Envestra'!I42&gt;'Jan''15 Envestra'!I44),($F5*'Jan''15 Envestra'!I41/'Jan''15 Envestra'!I42-'Jan''15 Envestra'!I44)*'Jan''15 Envestra'!I50/100)*'Jan''15 Envestra'!I42</f>
        <v>494.93069999999994</v>
      </c>
      <c r="H65" s="59">
        <f>IF(($F5*'Jan''15 Envestra'!J41/'Jan''15 Envestra'!J42&gt;'Jan''15 Envestra'!J44),($F5*'Jan''15 Envestra'!J41/'Jan''15 Envestra'!J42-'Jan''15 Envestra'!J44)*'Jan''15 Envestra'!J50/100)*'Jan''15 Envestra'!J42</f>
        <v>510.97477199999992</v>
      </c>
      <c r="I65" s="59">
        <f>IF(($F5*'Jan''15 Envestra'!K41/'Jan''15 Envestra'!K42&gt;'Jan''15 Envestra'!K44),($F5*'Jan''15 Envestra'!K41/'Jan''15 Envestra'!K42-'Jan''15 Envestra'!K44)*'Jan''15 Envestra'!K50/100)*'Jan''15 Envestra'!K42</f>
        <v>0</v>
      </c>
      <c r="J65" s="63"/>
    </row>
    <row r="66" spans="1:10" x14ac:dyDescent="0.15">
      <c r="A66" s="40" t="s">
        <v>612</v>
      </c>
      <c r="C66" s="59">
        <f>365*'Jan''15 Envestra'!E51/100</f>
        <v>261.57725000000005</v>
      </c>
      <c r="D66" s="59">
        <f>365*'Jan''15 Envestra'!F51/100</f>
        <v>240.9</v>
      </c>
      <c r="E66" s="59">
        <f>365*'Jan''15 Envestra'!G51/100</f>
        <v>273.30104999999998</v>
      </c>
      <c r="F66" s="59">
        <f>365*'Jan''15 Envestra'!H51/100</f>
        <v>246.52100000000002</v>
      </c>
      <c r="G66" s="59">
        <f>365*'Jan''15 Envestra'!I51/100</f>
        <v>248.93</v>
      </c>
      <c r="H66" s="59">
        <f>365*'Jan''15 Envestra'!J51/100</f>
        <v>259.24855000000002</v>
      </c>
      <c r="I66" s="59">
        <f>365*'Jan''15 Envestra'!K51/100</f>
        <v>228.65425000000002</v>
      </c>
      <c r="J66" s="60">
        <f>AVERAGE(C66:I66)</f>
        <v>251.30458571428571</v>
      </c>
    </row>
    <row r="67" spans="1:10" x14ac:dyDescent="0.15">
      <c r="A67" s="62" t="s">
        <v>613</v>
      </c>
      <c r="B67" s="63"/>
      <c r="C67" s="61">
        <f t="shared" ref="C67:I67" si="4">SUM(C60:C66)</f>
        <v>1343.2932754999999</v>
      </c>
      <c r="D67" s="61">
        <f t="shared" si="4"/>
        <v>1442.7113777999998</v>
      </c>
      <c r="E67" s="61">
        <f t="shared" si="4"/>
        <v>1464.1021421400001</v>
      </c>
      <c r="F67" s="61">
        <f t="shared" si="4"/>
        <v>1413.4533774999998</v>
      </c>
      <c r="G67" s="61">
        <f t="shared" si="4"/>
        <v>1372.0254199999999</v>
      </c>
      <c r="H67" s="61">
        <f t="shared" si="4"/>
        <v>1444.1639079999998</v>
      </c>
      <c r="I67" s="61">
        <f t="shared" si="4"/>
        <v>1346.6986830000001</v>
      </c>
      <c r="J67" s="64">
        <f>AVERAGE(C67:I67)</f>
        <v>1403.7783119914286</v>
      </c>
    </row>
    <row r="69" spans="1:10" x14ac:dyDescent="0.15">
      <c r="A69" s="55" t="s">
        <v>489</v>
      </c>
    </row>
    <row r="71" spans="1:10" x14ac:dyDescent="0.15">
      <c r="A71" s="53" t="s">
        <v>1030</v>
      </c>
      <c r="C71" s="23" t="s">
        <v>1044</v>
      </c>
      <c r="D71" s="23" t="s">
        <v>591</v>
      </c>
      <c r="E71" s="23" t="s">
        <v>592</v>
      </c>
      <c r="F71" s="23" t="s">
        <v>515</v>
      </c>
      <c r="G71" s="23" t="s">
        <v>516</v>
      </c>
      <c r="H71" s="23" t="s">
        <v>597</v>
      </c>
      <c r="I71" s="23" t="s">
        <v>598</v>
      </c>
      <c r="J71" s="57" t="s">
        <v>601</v>
      </c>
    </row>
    <row r="72" spans="1:10" x14ac:dyDescent="0.15">
      <c r="A72" s="40" t="s">
        <v>602</v>
      </c>
      <c r="C72" s="59">
        <f>IF($F5*'Jan''15 SP'!E7/'Jan''15 SP'!E8&gt;='Jan''15 SP'!E11,('Jan''15 SP'!E11*'Jan''15 SP'!E13/100)*'Jan''15 SP'!E8,($F5*'Jan''15 SP'!E7/'Jan''15 SP'!E8*'Jan''15 SP'!E13/100)*'Jan''15 SP'!E8)</f>
        <v>229.15200000000002</v>
      </c>
      <c r="D72" s="59">
        <f>IF($F5*'Jan''15 SP'!F7/'Jan''15 SP'!F8&gt;='Jan''15 SP'!F11,('Jan''15 SP'!F11*'Jan''15 SP'!F13/100)*'Jan''15 SP'!F8,($F5*'Jan''15 SP'!F7/'Jan''15 SP'!F8*'Jan''15 SP'!F13/100)*'Jan''15 SP'!F8)</f>
        <v>137.06880000000001</v>
      </c>
      <c r="E72" s="59">
        <f>IF($F5*'Jan''15 SP'!G7/'Jan''15 SP'!G8&gt;='Jan''15 SP'!G11,('Jan''15 SP'!G11*'Jan''15 SP'!G13/100)*'Jan''15 SP'!G8,($F5*'Jan''15 SP'!G7/'Jan''15 SP'!G8*'Jan''15 SP'!G13/100)*'Jan''15 SP'!G8)</f>
        <v>261.36</v>
      </c>
      <c r="F72" s="59">
        <f>IF($F5*'Jan''15 SP'!H7/'Jan''15 SP'!H8&gt;='Jan''15 SP'!H11,('Jan''15 SP'!H11*'Jan''15 SP'!H13/100)*'Jan''15 SP'!H8,($F5*'Jan''15 SP'!H7/'Jan''15 SP'!H8*'Jan''15 SP'!H13/100)*'Jan''15 SP'!H8)</f>
        <v>112.8704</v>
      </c>
      <c r="G72" s="59">
        <f>IF($F5*'Jan''15 SP'!I7/'Jan''15 SP'!I8&gt;='Jan''15 SP'!I11,('Jan''15 SP'!I11*'Jan''15 SP'!I13/100)*'Jan''15 SP'!I8,($F5*'Jan''15 SP'!I7/'Jan''15 SP'!I8*'Jan''15 SP'!I13/100)*'Jan''15 SP'!I8)</f>
        <v>139.25120000000001</v>
      </c>
      <c r="H72" s="59">
        <f>IF($F5*'Jan''15 SP'!J7/'Jan''15 SP'!J8&gt;='Jan''15 SP'!J11,('Jan''15 SP'!J11*'Jan''15 SP'!J13/100)*'Jan''15 SP'!J8,($F5*'Jan''15 SP'!J7/'Jan''15 SP'!J8*'Jan''15 SP'!J13/100)*'Jan''15 SP'!J8)</f>
        <v>254.76000000000005</v>
      </c>
      <c r="I72" s="59">
        <f>IF($F5*'Jan''15 SP'!K7/'Jan''15 SP'!K8&gt;='Jan''15 SP'!K11,('Jan''15 SP'!K11*'Jan''15 SP'!K13/100)*'Jan''15 SP'!K8,($F5*'Jan''15 SP'!K7/'Jan''15 SP'!K8*'Jan''15 SP'!K13/100)*'Jan''15 SP'!K8)</f>
        <v>128.12799999999999</v>
      </c>
      <c r="J72" s="63"/>
    </row>
    <row r="73" spans="1:10" x14ac:dyDescent="0.15">
      <c r="A73" s="40" t="s">
        <v>603</v>
      </c>
      <c r="C73" s="59">
        <f>IF($F5*'Jan''15 SP'!E7/'Jan''15 SP'!E8&lt;'Jan''15 SP'!E11,0,IF($F5*'Jan''15 SP'!E7/'Jan''15 SP'!E8&lt;='Jan''15 SP'!E12,($F5*'Jan''15 SP'!E7/'Jan''15 SP'!E8-'Jan''15 SP'!E11)*('Jan''15 SP'!E14/100)*'Jan''15 SP'!E8,('Jan''15 SP'!E12-'Jan''15 SP'!E11)*('Jan''15 SP'!E14/100)*'Jan''15 SP'!E8))</f>
        <v>160.34257799999995</v>
      </c>
      <c r="D73" s="59">
        <f>IF($F5*'Jan''15 SP'!F7/'Jan''15 SP'!F8&lt;'Jan''15 SP'!F11,0,IF($F5*'Jan''15 SP'!F7/'Jan''15 SP'!F8&lt;='Jan''15 SP'!F12,($F5*'Jan''15 SP'!F7/'Jan''15 SP'!F8-'Jan''15 SP'!F11)*('Jan''15 SP'!F14/100)*'Jan''15 SP'!F8,('Jan''15 SP'!F12-'Jan''15 SP'!F11)*('Jan''15 SP'!F14/100)*'Jan''15 SP'!F8))</f>
        <v>0</v>
      </c>
      <c r="E73" s="59">
        <f>IF($F5*'Jan''15 SP'!G7/'Jan''15 SP'!G8&lt;'Jan''15 SP'!G11,0,IF($F5*'Jan''15 SP'!G7/'Jan''15 SP'!G8&lt;='Jan''15 SP'!G12,($F5*'Jan''15 SP'!G7/'Jan''15 SP'!G8-'Jan''15 SP'!G11)*('Jan''15 SP'!G14/100)*'Jan''15 SP'!G8,('Jan''15 SP'!G12-'Jan''15 SP'!G11)*('Jan''15 SP'!G14/100)*'Jan''15 SP'!G8))</f>
        <v>176.07990509999996</v>
      </c>
      <c r="F73" s="59">
        <f>IF($F5*'Jan''15 SP'!H7/'Jan''15 SP'!H8&lt;'Jan''15 SP'!H11,0,IF($F5*'Jan''15 SP'!H7/'Jan''15 SP'!H8&lt;='Jan''15 SP'!H12,($F5*'Jan''15 SP'!H7/'Jan''15 SP'!H8-'Jan''15 SP'!H11)*('Jan''15 SP'!H14/100)*'Jan''15 SP'!H8,('Jan''15 SP'!H12-'Jan''15 SP'!H11)*('Jan''15 SP'!H14/100)*'Jan''15 SP'!H8))</f>
        <v>0</v>
      </c>
      <c r="G73" s="59">
        <f>IF($F5*'Jan''15 SP'!I7/'Jan''15 SP'!I8&lt;'Jan''15 SP'!I11,0,IF($F5*'Jan''15 SP'!I7/'Jan''15 SP'!I8&lt;='Jan''15 SP'!I12,($F5*'Jan''15 SP'!I7/'Jan''15 SP'!I8-'Jan''15 SP'!I11)*('Jan''15 SP'!I14/100)*'Jan''15 SP'!I8,('Jan''15 SP'!I12-'Jan''15 SP'!I11)*('Jan''15 SP'!I14/100)*'Jan''15 SP'!I8))</f>
        <v>0</v>
      </c>
      <c r="H73" s="59">
        <f>IF($F5*'Jan''15 SP'!J7/'Jan''15 SP'!J8&lt;'Jan''15 SP'!J11,0,IF($F5*'Jan''15 SP'!J7/'Jan''15 SP'!J8&lt;='Jan''15 SP'!J12,($F5*'Jan''15 SP'!J7/'Jan''15 SP'!J8-'Jan''15 SP'!J11)*('Jan''15 SP'!J14/100)*'Jan''15 SP'!J8,('Jan''15 SP'!J12-'Jan''15 SP'!J11)*('Jan''15 SP'!J14/100)*'Jan''15 SP'!J8))</f>
        <v>0</v>
      </c>
      <c r="I73" s="59">
        <f>IF($F5*'Jan''15 SP'!K7/'Jan''15 SP'!K8&lt;'Jan''15 SP'!K11,0,IF($F5*'Jan''15 SP'!K7/'Jan''15 SP'!K8&lt;='Jan''15 SP'!K12,($F5*'Jan''15 SP'!K7/'Jan''15 SP'!K8-'Jan''15 SP'!K11)*('Jan''15 SP'!K14/100)*'Jan''15 SP'!K8,('Jan''15 SP'!K12-'Jan''15 SP'!K11)*('Jan''15 SP'!K14/100)*'Jan''15 SP'!K8))</f>
        <v>0</v>
      </c>
      <c r="J73" s="63"/>
    </row>
    <row r="74" spans="1:10" x14ac:dyDescent="0.15">
      <c r="A74" s="40" t="s">
        <v>606</v>
      </c>
      <c r="C74" s="59">
        <f>IF(($F5*'Jan''15 SP'!E7/'Jan''15 SP'!E8&gt;'Jan''15 SP'!E12),($F5*'Jan''15 SP'!E7/'Jan''15 SP'!E8-'Jan''15 SP'!E12)*'Jan''15 SP'!E15/100*'Jan''15 SP'!E8,0)</f>
        <v>0</v>
      </c>
      <c r="D74" s="59">
        <f>IF(($F5*'Jan''15 SP'!F7/'Jan''15 SP'!F8&gt;'Jan''15 SP'!F11),('Bills Jan''15'!$F5*'Jan''15 SP'!F7/'Jan''15 SP'!F8-'Jan''15 SP'!F11)*'Jan''15 SP'!F15/100)*'Jan''15 SP'!F8</f>
        <v>268.48457679999996</v>
      </c>
      <c r="E74" s="59">
        <f>IF(($F5*'Jan''15 SP'!G7/'Jan''15 SP'!G8&gt;'Jan''15 SP'!G12),($F5*'Jan''15 SP'!G7/'Jan''15 SP'!G8-'Jan''15 SP'!G12)*'Jan''15 SP'!G15/100*'Jan''15 SP'!G8,0)</f>
        <v>0</v>
      </c>
      <c r="F74" s="59">
        <f>IF(($F5*'Jan''15 SP'!H7/'Jan''15 SP'!H8&gt;'Jan''15 SP'!H11),('Bills Jan''15'!$F5*'Jan''15 SP'!H7/'Jan''15 SP'!H8-'Jan''15 SP'!H11)*'Jan''15 SP'!H15/100)*'Jan''15 SP'!H8</f>
        <v>253.15678179999995</v>
      </c>
      <c r="G74" s="59">
        <f>IF(($F5*'Jan''15 SP'!I7/'Jan''15 SP'!I8&gt;'Jan''15 SP'!I11),('Bills Jan''15'!$F5*'Jan''15 SP'!I7/'Jan''15 SP'!I8-'Jan''15 SP'!I11)*'Jan''15 SP'!I15/100)*'Jan''15 SP'!I8</f>
        <v>257.40477069999997</v>
      </c>
      <c r="H74" s="59">
        <f>IF(($F5*'Jan''15 SP'!J7/'Jan''15 SP'!J8&gt;'Jan''15 SP'!J11),('Bills Jan''15'!$F5*'Jan''15 SP'!J7/'Jan''15 SP'!J8-'Jan''15 SP'!J11)*'Jan''15 SP'!J15/100)*'Jan''15 SP'!J8</f>
        <v>171.23003699999998</v>
      </c>
      <c r="I74" s="59">
        <f>IF(($F5*'Jan''15 SP'!K7/'Jan''15 SP'!K8&gt;'Jan''15 SP'!K11),('Bills Jan''15'!$F5*'Jan''15 SP'!K7/'Jan''15 SP'!K8-'Jan''15 SP'!K11)*'Jan''15 SP'!K15/100)*'Jan''15 SP'!K8</f>
        <v>261.74034699999999</v>
      </c>
      <c r="J74" s="63"/>
    </row>
    <row r="75" spans="1:10" x14ac:dyDescent="0.15">
      <c r="A75" s="40" t="s">
        <v>607</v>
      </c>
      <c r="C75" s="59">
        <f>IF($F5*'Jan''15 SP'!E9/'Jan''15 SP'!E10&gt;='Jan''15 SP'!E11,('Jan''15 SP'!E11*'Jan''15 SP'!E16/100)*'Jan''15 SP'!E10,($F5*'Jan''15 SP'!E9/'Jan''15 SP'!E10*'Jan''15 SP'!E16/100)*'Jan''15 SP'!E10)</f>
        <v>431.64</v>
      </c>
      <c r="D75" s="59">
        <f>IF($F5*'Jan''15 SP'!F9/'Jan''15 SP'!F10&gt;='Jan''15 SP'!F11,('Jan''15 SP'!F11*'Jan''15 SP'!F16/100)*'Jan''15 SP'!F10,('Bills Jan''15'!$F5*'Jan''15 SP'!F9/'Jan''15 SP'!F10*'Jan''15 SP'!F16/100)*'Jan''15 SP'!F10)</f>
        <v>213.03039999999999</v>
      </c>
      <c r="E75" s="59">
        <f>IF($F5*'Jan''15 SP'!G9/'Jan''15 SP'!G10&gt;='Jan''15 SP'!G11,('Jan''15 SP'!G11*'Jan''15 SP'!G16/100)*'Jan''15 SP'!G10,($F5*'Jan''15 SP'!G9/'Jan''15 SP'!G10*'Jan''15 SP'!G16/100)*'Jan''15 SP'!G10)</f>
        <v>432.96</v>
      </c>
      <c r="F75" s="59">
        <f>IF($F5*'Jan''15 SP'!H9/'Jan''15 SP'!H10&gt;='Jan''15 SP'!H11,('Jan''15 SP'!H11*'Jan''15 SP'!H16/100)*'Jan''15 SP'!H10,('Bills Jan''15'!$F5*'Jan''15 SP'!H9/'Jan''15 SP'!H10*'Jan''15 SP'!H16/100)*'Jan''15 SP'!H10)</f>
        <v>194.88</v>
      </c>
      <c r="G75" s="59">
        <f>IF($F5*'Jan''15 SP'!I9/'Jan''15 SP'!I10&gt;='Jan''15 SP'!I11,('Jan''15 SP'!I11*'Jan''15 SP'!I16/100)*'Jan''15 SP'!I10,('Bills Jan''15'!$F5*'Jan''15 SP'!I9/'Jan''15 SP'!I10*'Jan''15 SP'!I16/100)*'Jan''15 SP'!I10)</f>
        <v>246.82239999999999</v>
      </c>
      <c r="H75" s="59">
        <f>IF($F5*'Jan''15 SP'!J9/'Jan''15 SP'!J10&gt;='Jan''15 SP'!J11,('Jan''15 SP'!J11*'Jan''15 SP'!J16/100)*'Jan''15 SP'!J10,('Bills Jan''15'!$F5*'Jan''15 SP'!J9/'Jan''15 SP'!J10*'Jan''15 SP'!J16/100)*'Jan''15 SP'!J10)</f>
        <v>451.44</v>
      </c>
      <c r="I75" s="59">
        <f>IF($F5*'Jan''15 SP'!K9/'Jan''15 SP'!K10&gt;='Jan''15 SP'!K11,('Jan''15 SP'!K11*'Jan''15 SP'!K16/100)*'Jan''15 SP'!K10,('Bills Jan''15'!$F5*'Jan''15 SP'!K9/'Jan''15 SP'!K10*'Jan''15 SP'!K16/100)*'Jan''15 SP'!K10)</f>
        <v>226.68799999999999</v>
      </c>
      <c r="J75" s="63"/>
    </row>
    <row r="76" spans="1:10" x14ac:dyDescent="0.15">
      <c r="A76" s="40" t="s">
        <v>608</v>
      </c>
      <c r="C76" s="59">
        <f>IF($F5*'Jan''15 SP'!E9/'Jan''15 SP'!E10&lt;'Jan''15 SP'!E11,0,IF($F5*'Jan''15 SP'!E9/'Jan''15 SP'!E10&lt;='Jan''15 SP'!E12,($F5*'Jan''15 SP'!E9/'Jan''15 SP'!E10-'Jan''15 SP'!E11)*('Jan''15 SP'!E17/100)*'Jan''15 SP'!E10,('Jan''15 SP'!E12-'Jan''15 SP'!E11)*('Jan''15 SP'!E17/100)*'Jan''15 SP'!E10))</f>
        <v>261.10106219999994</v>
      </c>
      <c r="D76" s="59">
        <v>0</v>
      </c>
      <c r="E76" s="59">
        <f>IF($F5*'Jan''15 SP'!G9/'Jan''15 SP'!G10&lt;'Jan''15 SP'!G11,0,IF($F5*'Jan''15 SP'!G9/'Jan''15 SP'!G10&lt;='Jan''15 SP'!G12,($F5*'Jan''15 SP'!G9/'Jan''15 SP'!G10-'Jan''15 SP'!G11)*('Jan''15 SP'!G17/100)*'Jan''15 SP'!G10,('Jan''15 SP'!G12-'Jan''15 SP'!G11)*('Jan''15 SP'!G17/100)*'Jan''15 SP'!G10))</f>
        <v>289.01254799999998</v>
      </c>
      <c r="F76" s="59">
        <v>0</v>
      </c>
      <c r="G76" s="59">
        <v>0</v>
      </c>
      <c r="H76" s="59">
        <v>0</v>
      </c>
      <c r="I76" s="59">
        <v>0</v>
      </c>
      <c r="J76" s="63"/>
    </row>
    <row r="77" spans="1:10" x14ac:dyDescent="0.15">
      <c r="A77" s="40" t="s">
        <v>611</v>
      </c>
      <c r="C77" s="59">
        <f>IF(($F5*'Jan''15 SP'!E9/'Jan''15 SP'!E10&gt;'Jan''15 SP'!E12),($F5*'Jan''15 SP'!E9/'Jan''15 SP'!E10-'Jan''15 SP'!E12)*'Jan''15 SP'!E18/100*'Jan''15 SP'!E10,0)</f>
        <v>0</v>
      </c>
      <c r="D77" s="59">
        <f>IF(($F5*'Jan''15 SP'!F9/'Jan''15 SP'!F10&gt;'Jan''15 SP'!F11),('Bills Jan''15'!$F5*'Jan''15 SP'!F9/'Jan''15 SP'!F10-'Jan''15 SP'!F11)*'Jan''15 SP'!F18/100)*'Jan''15 SP'!F10</f>
        <v>423.60186219999997</v>
      </c>
      <c r="E77" s="59">
        <f>IF(($F5*'Jan''15 SP'!G9/'Jan''15 SP'!G10&gt;'Jan''15 SP'!G12),($F5*'Jan''15 SP'!G9/'Jan''15 SP'!G10-'Jan''15 SP'!G12)*'Jan''15 SP'!G18/100*'Jan''15 SP'!G10,0)</f>
        <v>0</v>
      </c>
      <c r="F77" s="59">
        <f>IF(($F5*'Jan''15 SP'!H9/'Jan''15 SP'!H10&gt;'Jan''15 SP'!H11),('Bills Jan''15'!$F5*'Jan''15 SP'!H9/'Jan''15 SP'!H10-'Jan''15 SP'!H11)*'Jan''15 SP'!H18/100)*'Jan''15 SP'!H10</f>
        <v>417.70431059999993</v>
      </c>
      <c r="G77" s="59">
        <f>IF(($F5*'Jan''15 SP'!I9/'Jan''15 SP'!I10&gt;'Jan''15 SP'!I11),('Bills Jan''15'!$F5*'Jan''15 SP'!I9/'Jan''15 SP'!I10-'Jan''15 SP'!I11)*'Jan''15 SP'!I18/100)*'Jan''15 SP'!I10</f>
        <v>483.27807739999992</v>
      </c>
      <c r="H77" s="59">
        <f>IF(($F5*'Jan''15 SP'!J9/'Jan''15 SP'!J10&gt;'Jan''15 SP'!J11),('Bills Jan''15'!$F5*'Jan''15 SP'!J9/'Jan''15 SP'!J10-'Jan''15 SP'!J11)*'Jan''15 SP'!J18/100)*'Jan''15 SP'!J10</f>
        <v>283.07393399999995</v>
      </c>
      <c r="I77" s="59">
        <f>IF(($F5*'Jan''15 SP'!K9/'Jan''15 SP'!K10&gt;'Jan''15 SP'!K11),('Bills Jan''15'!$F5*'Jan''15 SP'!K9/'Jan''15 SP'!K10-'Jan''15 SP'!K11)*'Jan''15 SP'!K18/100)*'Jan''15 SP'!K10</f>
        <v>436.76916799999992</v>
      </c>
      <c r="J77" s="63"/>
    </row>
    <row r="78" spans="1:10" x14ac:dyDescent="0.15">
      <c r="A78" s="40" t="s">
        <v>612</v>
      </c>
      <c r="C78" s="59">
        <f>365*'Jan''15 SP'!E19/100</f>
        <v>245.07560000000001</v>
      </c>
      <c r="D78" s="59">
        <f>365*'Jan''15 SP'!F19/100</f>
        <v>266.71644999999995</v>
      </c>
      <c r="E78" s="59">
        <f>365*'Jan''15 SP'!G19/100</f>
        <v>256.15699999999998</v>
      </c>
      <c r="F78" s="59">
        <f>365*'Jan''15 SP'!H19/100</f>
        <v>254.697</v>
      </c>
      <c r="G78" s="59">
        <f>365*'Jan''15 SP'!I19/100</f>
        <v>248.93</v>
      </c>
      <c r="H78" s="59">
        <f>365*'Jan''15 SP'!J19/100</f>
        <v>246.48085</v>
      </c>
      <c r="I78" s="59">
        <f>365*'Jan''15 SP'!K19/100</f>
        <v>216.74795000000003</v>
      </c>
      <c r="J78" s="60">
        <f>AVERAGE(C78:I78)</f>
        <v>247.82926428571426</v>
      </c>
    </row>
    <row r="79" spans="1:10" x14ac:dyDescent="0.15">
      <c r="A79" s="62" t="s">
        <v>613</v>
      </c>
      <c r="B79" s="63"/>
      <c r="C79" s="61">
        <f t="shared" ref="C79:I79" si="5">SUM(C72:C78)</f>
        <v>1327.3112401999997</v>
      </c>
      <c r="D79" s="61">
        <f t="shared" si="5"/>
        <v>1308.9020889999997</v>
      </c>
      <c r="E79" s="61">
        <f t="shared" si="5"/>
        <v>1415.5694530999999</v>
      </c>
      <c r="F79" s="61">
        <f t="shared" si="5"/>
        <v>1233.3084924</v>
      </c>
      <c r="G79" s="61">
        <f t="shared" si="5"/>
        <v>1375.6864481</v>
      </c>
      <c r="H79" s="61">
        <f t="shared" si="5"/>
        <v>1406.984821</v>
      </c>
      <c r="I79" s="61">
        <f t="shared" si="5"/>
        <v>1270.0734649999999</v>
      </c>
      <c r="J79" s="64">
        <f>AVERAGE(C79:I79)</f>
        <v>1333.9765726857142</v>
      </c>
    </row>
    <row r="81" spans="1:10" x14ac:dyDescent="0.15">
      <c r="A81" s="53" t="s">
        <v>1032</v>
      </c>
      <c r="C81" s="23" t="s">
        <v>1044</v>
      </c>
      <c r="D81" s="23" t="s">
        <v>591</v>
      </c>
      <c r="E81" s="23" t="s">
        <v>592</v>
      </c>
      <c r="F81" s="23" t="s">
        <v>515</v>
      </c>
      <c r="G81" s="23" t="s">
        <v>516</v>
      </c>
      <c r="H81" s="23" t="s">
        <v>597</v>
      </c>
      <c r="I81" s="23" t="s">
        <v>598</v>
      </c>
      <c r="J81" s="57" t="s">
        <v>601</v>
      </c>
    </row>
    <row r="82" spans="1:10" x14ac:dyDescent="0.15">
      <c r="A82" s="40" t="s">
        <v>602</v>
      </c>
      <c r="C82" s="59">
        <f>IF($F5*'Jan''15 SP'!E23/'Jan''15 SP'!E24&gt;='Jan''15 SP'!E27,('Jan''15 SP'!E27*'Jan''15 SP'!E29/100)*'Jan''15 SP'!E24,($F5*'Jan''15 SP'!E23/'Jan''15 SP'!E24*'Jan''15 SP'!E29/100)*'Jan''15 SP'!E24)</f>
        <v>255.28800000000004</v>
      </c>
      <c r="D82" s="59">
        <f>IF($F5*'Jan''15 SP'!F23/'Jan''15 SP'!F24&gt;='Jan''15 SP'!F27,('Jan''15 SP'!F27*'Jan''15 SP'!F29/100)*'Jan''15 SP'!F24,('Bills Jan''15'!$F5*'Jan''15 SP'!F23/'Jan''15 SP'!F24*'Jan''15 SP'!F29/100)*'Jan''15 SP'!F24)</f>
        <v>157.27359999999999</v>
      </c>
      <c r="E82" s="59">
        <f>IF($F5*'Jan''15 SP'!G23/'Jan''15 SP'!G24&gt;='Jan''15 SP'!G27,('Jan''15 SP'!G27*'Jan''15 SP'!G29/100)*'Jan''15 SP'!G24,($F5*'Jan''15 SP'!G23/'Jan''15 SP'!G24*'Jan''15 SP'!G29/100)*'Jan''15 SP'!G24)</f>
        <v>248.16</v>
      </c>
      <c r="F82" s="59">
        <f>IF($F5*'Jan''15 SP'!H23/'Jan''15 SP'!H24&gt;='Jan''15 SP'!H27,('Jan''15 SP'!H27*'Jan''15 SP'!H29/100)*'Jan''15 SP'!H24,('Bills Jan''15'!$F5*'Jan''15 SP'!H23/'Jan''15 SP'!H24*'Jan''15 SP'!H29/100)*'Jan''15 SP'!H24)</f>
        <v>138.572</v>
      </c>
      <c r="G82" s="59">
        <f>IF($F5*'Jan''15 SP'!I23/'Jan''15 SP'!I24&gt;='Jan''15 SP'!I27,('Jan''15 SP'!I27*'Jan''15 SP'!I29/100)*'Jan''15 SP'!I24,('Bills Jan''15'!$F5*'Jan''15 SP'!I23/'Jan''15 SP'!I24*'Jan''15 SP'!I29/100)*'Jan''15 SP'!I24)</f>
        <v>146.99299999999999</v>
      </c>
      <c r="H82" s="59">
        <f>IF($F5*'Jan''15 SP'!J23/'Jan''15 SP'!J24&gt;='Jan''15 SP'!J27,('Jan''15 SP'!J27*'Jan''15 SP'!J29/100)*'Jan''15 SP'!J24,('Bills Jan''15'!$F5*'Jan''15 SP'!J23/'Jan''15 SP'!J24*'Jan''15 SP'!J29/100)*'Jan''15 SP'!J24)</f>
        <v>279.83999999999997</v>
      </c>
      <c r="I82" s="59">
        <f>IF($F5*'Jan''15 SP'!K23/'Jan''15 SP'!K24&gt;='Jan''15 SP'!K27,('Jan''15 SP'!K27*'Jan''15 SP'!K29/100)*'Jan''15 SP'!K24,('Bills Jan''15'!$F5*'Jan''15 SP'!K23/'Jan''15 SP'!K24*'Jan''15 SP'!K29/100)*'Jan''15 SP'!K24)</f>
        <v>146.29999999999998</v>
      </c>
      <c r="J82" s="63"/>
    </row>
    <row r="83" spans="1:10" x14ac:dyDescent="0.15">
      <c r="A83" s="40" t="s">
        <v>603</v>
      </c>
      <c r="C83" s="59">
        <f>IF($F5*'Jan''15 SP'!E23/'Jan''15 SP'!E24&lt;'Jan''15 SP'!E27,0,IF($F5*'Jan''15 SP'!E23/'Jan''15 SP'!E24&lt;='Jan''15 SP'!E28,($F5*'Jan''15 SP'!E23/'Jan''15 SP'!E24-'Jan''15 SP'!E27)*('Jan''15 SP'!E30/100)*'Jan''15 SP'!E24,('Jan''15 SP'!E28-'Jan''15 SP'!E27)*('Jan''15 SP'!E30/100)*'Jan''15 SP'!E24))</f>
        <v>157.96713239999997</v>
      </c>
      <c r="D83" s="59">
        <v>0</v>
      </c>
      <c r="E83" s="59">
        <f>IF($F5*'Jan''15 SP'!G23/'Jan''15 SP'!G24&lt;'Jan''15 SP'!G27,0,IF($F5*'Jan''15 SP'!G23/'Jan''15 SP'!G24&lt;='Jan''15 SP'!G28,($F5*'Jan''15 SP'!G23/'Jan''15 SP'!G24-'Jan''15 SP'!G27)*('Jan''15 SP'!G30/100)*'Jan''15 SP'!G24,('Jan''15 SP'!G28-'Jan''15 SP'!G27)*('Jan''15 SP'!G30/100)*'Jan''15 SP'!G24))</f>
        <v>180.13795799999991</v>
      </c>
      <c r="F83" s="59">
        <v>0</v>
      </c>
      <c r="G83" s="59">
        <v>0</v>
      </c>
      <c r="H83" s="59">
        <v>0</v>
      </c>
      <c r="I83" s="59">
        <v>0</v>
      </c>
      <c r="J83" s="63"/>
    </row>
    <row r="84" spans="1:10" x14ac:dyDescent="0.15">
      <c r="A84" s="40" t="s">
        <v>606</v>
      </c>
      <c r="C84" s="59">
        <f>IF(($F5*'Jan''15 SP'!E23/'Jan''15 SP'!E24&gt;'Jan''15 SP'!E28),($F5*'Jan''15 SP'!E23/'Jan''15 SP'!E24-'Jan''15 SP'!E28)*'Jan''15 SP'!E31/100*'Jan''15 SP'!E24,0)</f>
        <v>0</v>
      </c>
      <c r="D84" s="59">
        <f>IF(($F5*'Jan''15 SP'!F23/'Jan''15 SP'!F24&lt;'Jan''15 SP'!F27),(0),('Bills Jan''15'!$F5*'Jan''15 SP'!F23/'Jan''15 SP'!F24-'Jan''15 SP'!F27)*'Jan''15 SP'!F31/100)*'Jan''15 SP'!F24</f>
        <v>272.65957619999995</v>
      </c>
      <c r="E84" s="59">
        <f>IF(($F5*'Jan''15 SP'!G23/'Jan''15 SP'!G24&gt;'Jan''15 SP'!G28),($F5*'Jan''15 SP'!G23/'Jan''15 SP'!G24-'Jan''15 SP'!G28)*'Jan''15 SP'!G31/100*'Jan''15 SP'!G24,0)</f>
        <v>0</v>
      </c>
      <c r="F84" s="59">
        <f>IF(($F5*'Jan''15 SP'!H23/'Jan''15 SP'!H24&lt;'Jan''15 SP'!H27),(0),('Bills Jan''15'!$F5*'Jan''15 SP'!H23/'Jan''15 SP'!H24-'Jan''15 SP'!H27)*'Jan''15 SP'!H31/100)*'Jan''15 SP'!H24</f>
        <v>272.39913399999995</v>
      </c>
      <c r="G84" s="59">
        <f>IF(($F5*'Jan''15 SP'!I23/'Jan''15 SP'!I24&lt;'Jan''15 SP'!I27),(0),('Bills Jan''15'!$F5*'Jan''15 SP'!I23/'Jan''15 SP'!I24-'Jan''15 SP'!I27)*'Jan''15 SP'!I31/100)*'Jan''15 SP'!I24</f>
        <v>245.74713239999997</v>
      </c>
      <c r="H84" s="59">
        <f>IF(($F5*'Jan''15 SP'!J23/'Jan''15 SP'!J24&lt;'Jan''15 SP'!J27),(0),('Bills Jan''15'!$F5*'Jan''15 SP'!J23/'Jan''15 SP'!J24-'Jan''15 SP'!J27)*'Jan''15 SP'!J31/100)*'Jan''15 SP'!J24</f>
        <v>164.30165399999998</v>
      </c>
      <c r="I84" s="59">
        <f>IF(($F5*'Jan''15 SP'!K23/'Jan''15 SP'!K24&lt;'Jan''15 SP'!K27),(0),('Bills Jan''15'!$F5*'Jan''15 SP'!K23/'Jan''15 SP'!K24-'Jan''15 SP'!K27)*'Jan''15 SP'!K31/100)*'Jan''15 SP'!K24</f>
        <v>250.98234699999995</v>
      </c>
      <c r="J84" s="63"/>
    </row>
    <row r="85" spans="1:10" x14ac:dyDescent="0.15">
      <c r="A85" s="40" t="s">
        <v>607</v>
      </c>
      <c r="C85" s="59">
        <f>IF($F5*'Jan''15 SP'!E25/'Jan''15 SP'!E26&gt;='Jan''15 SP'!E27,('Jan''15 SP'!E27*'Jan''15 SP'!E32/100)*'Jan''15 SP'!E26,($F5*'Jan''15 SP'!E25/'Jan''15 SP'!E26*'Jan''15 SP'!E32/100)*'Jan''15 SP'!E26)</f>
        <v>453.024</v>
      </c>
      <c r="D85" s="59">
        <f>IF($F5*'Jan''15 SP'!F25/'Jan''15 SP'!F26&gt;='Jan''15 SP'!F27,('Jan''15 SP'!F27*'Jan''15 SP'!F32/100)*'Jan''15 SP'!F26,('Bills Jan''15'!$F5*'Jan''15 SP'!F25/'Jan''15 SP'!F26*'Jan''15 SP'!F32/100)*'Jan''15 SP'!F26)</f>
        <v>253.1584</v>
      </c>
      <c r="E85" s="59">
        <f>IF($F5*'Jan''15 SP'!G25/'Jan''15 SP'!G26&gt;='Jan''15 SP'!G27,('Jan''15 SP'!G27*'Jan''15 SP'!G32/100)*'Jan''15 SP'!G26,($F5*'Jan''15 SP'!G25/'Jan''15 SP'!G26*'Jan''15 SP'!G32/100)*'Jan''15 SP'!G26)</f>
        <v>443.52</v>
      </c>
      <c r="F85" s="59">
        <f>IF($F5*'Jan''15 SP'!H25/'Jan''15 SP'!H26&gt;='Jan''15 SP'!H27,('Jan''15 SP'!H27*'Jan''15 SP'!H32/100)*'Jan''15 SP'!H26,('Bills Jan''15'!$F5*'Jan''15 SP'!H25/'Jan''15 SP'!H26*'Jan''15 SP'!H32/100)*'Jan''15 SP'!H26)</f>
        <v>238.78400000000002</v>
      </c>
      <c r="G85" s="59">
        <f>IF($F5*'Jan''15 SP'!I25/'Jan''15 SP'!I26&gt;='Jan''15 SP'!I27,('Jan''15 SP'!I27*'Jan''15 SP'!I32/100)*'Jan''15 SP'!I26,('Bills Jan''15'!$F5*'Jan''15 SP'!I25/'Jan''15 SP'!I26*'Jan''15 SP'!I32/100)*'Jan''15 SP'!I26)</f>
        <v>279.51</v>
      </c>
      <c r="H85" s="59">
        <f>IF($F5*'Jan''15 SP'!J25/'Jan''15 SP'!J26&gt;='Jan''15 SP'!J27,('Jan''15 SP'!J27*'Jan''15 SP'!J32/100)*'Jan''15 SP'!J26,('Bills Jan''15'!$F5*'Jan''15 SP'!J25/'Jan''15 SP'!J26*'Jan''15 SP'!J32/100)*'Jan''15 SP'!J26)</f>
        <v>533.28</v>
      </c>
      <c r="I85" s="59">
        <f>IF($F5*'Jan''15 SP'!K25/'Jan''15 SP'!K26&gt;='Jan''15 SP'!K27,('Jan''15 SP'!K27*'Jan''15 SP'!K32/100)*'Jan''15 SP'!K26,('Bills Jan''15'!$F5*'Jan''15 SP'!K25/'Jan''15 SP'!K26*'Jan''15 SP'!K32/100)*'Jan''15 SP'!K26)</f>
        <v>251.02</v>
      </c>
      <c r="J85" s="63"/>
    </row>
    <row r="86" spans="1:10" x14ac:dyDescent="0.15">
      <c r="A86" s="40" t="s">
        <v>608</v>
      </c>
      <c r="C86" s="59">
        <f>IF($F5*'Jan''15 SP'!E25/'Jan''15 SP'!E26&lt;'Jan''15 SP'!E27,0,IF($F5*'Jan''15 SP'!E25/'Jan''15 SP'!E26&lt;='Jan''15 SP'!E28,($F5*'Jan''15 SP'!E25/'Jan''15 SP'!E26-'Jan''15 SP'!E27)*('Jan''15 SP'!E33/100)*'Jan''15 SP'!E26,('Jan''15 SP'!E28-'Jan''15 SP'!E27)*('Jan''15 SP'!E33/100)*'Jan''15 SP'!E26))</f>
        <v>286.04324099999991</v>
      </c>
      <c r="D86" s="59">
        <v>0</v>
      </c>
      <c r="E86" s="59">
        <f>IF($F5*'Jan''15 SP'!G25/'Jan''15 SP'!G26&lt;'Jan''15 SP'!G27,0,IF($F5*'Jan''15 SP'!G25/'Jan''15 SP'!G26&lt;='Jan''15 SP'!G28,($F5*'Jan''15 SP'!G25/'Jan''15 SP'!G26-'Jan''15 SP'!G27)*('Jan''15 SP'!G33/100)*'Jan''15 SP'!G26,('Jan''15 SP'!G28-'Jan''15 SP'!G27)*('Jan''15 SP'!G33/100)*'Jan''15 SP'!G26))</f>
        <v>306.8283899999999</v>
      </c>
      <c r="F86" s="59">
        <v>0</v>
      </c>
      <c r="G86" s="59">
        <v>0</v>
      </c>
      <c r="H86" s="59">
        <v>0</v>
      </c>
      <c r="I86" s="59">
        <v>0</v>
      </c>
      <c r="J86" s="63"/>
    </row>
    <row r="87" spans="1:10" x14ac:dyDescent="0.15">
      <c r="A87" s="40" t="s">
        <v>611</v>
      </c>
      <c r="C87" s="59">
        <f>IF(($F5*'Jan''15 SP'!E25/'Jan''15 SP'!E26&gt;'Jan''15 SP'!E28),($F5*'Jan''15 SP'!E25/'Jan''15 SP'!E26-'Jan''15 SP'!E28)*'Jan''15 SP'!E34/100*'Jan''15 SP'!E26,0)</f>
        <v>0</v>
      </c>
      <c r="D87" s="59">
        <f>IF(($F5*'Jan''15 SP'!F25/'Jan''15 SP'!F26&lt;'Jan''15 SP'!F27),(0),('Bills Jan''15'!$F5*'Jan''15 SP'!F25/'Jan''15 SP'!F26-'Jan''15 SP'!F27)*'Jan''15 SP'!F34/100)*'Jan''15 SP'!F26</f>
        <v>457.96531879999998</v>
      </c>
      <c r="E87" s="59">
        <f>IF(($F5*'Jan''15 SP'!G25/'Jan''15 SP'!G26&gt;'Jan''15 SP'!G28),($F5*'Jan''15 SP'!G25/'Jan''15 SP'!G26-'Jan''15 SP'!G28)*'Jan''15 SP'!G34/100*'Jan''15 SP'!G26,0)</f>
        <v>0</v>
      </c>
      <c r="F87" s="59">
        <f>IF(($F5*'Jan''15 SP'!H25/'Jan''15 SP'!H26&lt;'Jan''15 SP'!H27),(0),('Bills Jan''15'!$F5*'Jan''15 SP'!H25/'Jan''15 SP'!H26-'Jan''15 SP'!H27)*'Jan''15 SP'!H34/100)*'Jan''15 SP'!H26</f>
        <v>426.85196259999992</v>
      </c>
      <c r="G87" s="59">
        <f>IF(($F5*'Jan''15 SP'!I25/'Jan''15 SP'!I26&lt;'Jan''15 SP'!I27),(0),('Bills Jan''15'!$F5*'Jan''15 SP'!I25/'Jan''15 SP'!I26-'Jan''15 SP'!I27)*'Jan''15 SP'!I34/100)*'Jan''15 SP'!I26</f>
        <v>428.05578199999991</v>
      </c>
      <c r="H87" s="59">
        <f>IF(($F5*'Jan''15 SP'!J25/'Jan''15 SP'!J26&lt;'Jan''15 SP'!J27),(0),('Bills Jan''15'!$F5*'Jan''15 SP'!J25/'Jan''15 SP'!J26-'Jan''15 SP'!J27)*'Jan''15 SP'!J34/100)*'Jan''15 SP'!J26</f>
        <v>306.8283899999999</v>
      </c>
      <c r="I87" s="59">
        <f>IF(($F5*'Jan''15 SP'!K25/'Jan''15 SP'!K26&lt;'Jan''15 SP'!K27),(0),('Bills Jan''15'!$F5*'Jan''15 SP'!K25/'Jan''15 SP'!K26-'Jan''15 SP'!K27)*'Jan''15 SP'!K34/100)*'Jan''15 SP'!K26</f>
        <v>455.77162399999986</v>
      </c>
      <c r="J87" s="63"/>
    </row>
    <row r="88" spans="1:10" x14ac:dyDescent="0.15">
      <c r="A88" s="40" t="s">
        <v>612</v>
      </c>
      <c r="C88" s="59">
        <f>365*'Jan''15 SP'!E35/100</f>
        <v>243.95140000000001</v>
      </c>
      <c r="D88" s="59">
        <f>365*'Jan''15 SP'!F35/100</f>
        <v>260.97500000000002</v>
      </c>
      <c r="E88" s="59">
        <f>365*'Jan''15 SP'!G35/100</f>
        <v>256.35775000000001</v>
      </c>
      <c r="F88" s="59">
        <f>365*'Jan''15 SP'!H35/100</f>
        <v>247.76199999999997</v>
      </c>
      <c r="G88" s="59">
        <f>365*'Jan''15 SP'!I35/100</f>
        <v>248.93</v>
      </c>
      <c r="H88" s="59">
        <f>365*'Jan''15 SP'!J35/100</f>
        <v>251.37914999999998</v>
      </c>
      <c r="I88" s="59">
        <f>365*'Jan''15 SP'!K35/100</f>
        <v>208.73985000000002</v>
      </c>
      <c r="J88" s="60">
        <f>AVERAGE(C88:I88)</f>
        <v>245.44216428571426</v>
      </c>
    </row>
    <row r="89" spans="1:10" x14ac:dyDescent="0.15">
      <c r="A89" s="62" t="s">
        <v>613</v>
      </c>
      <c r="B89" s="63"/>
      <c r="C89" s="61">
        <f t="shared" ref="C89:I89" si="6">SUM(C82:C88)</f>
        <v>1396.2737733999998</v>
      </c>
      <c r="D89" s="61">
        <f t="shared" si="6"/>
        <v>1402.0318950000001</v>
      </c>
      <c r="E89" s="61">
        <f t="shared" si="6"/>
        <v>1435.0040979999999</v>
      </c>
      <c r="F89" s="61">
        <f t="shared" si="6"/>
        <v>1324.3690965999999</v>
      </c>
      <c r="G89" s="61">
        <f t="shared" si="6"/>
        <v>1349.2359144</v>
      </c>
      <c r="H89" s="61">
        <f t="shared" si="6"/>
        <v>1535.6291939999999</v>
      </c>
      <c r="I89" s="61">
        <f t="shared" si="6"/>
        <v>1312.8138209999997</v>
      </c>
      <c r="J89" s="64">
        <f>AVERAGE(C89:I89)</f>
        <v>1393.6225417714284</v>
      </c>
    </row>
    <row r="91" spans="1:10" x14ac:dyDescent="0.15">
      <c r="A91" s="53" t="s">
        <v>1034</v>
      </c>
      <c r="C91" s="23" t="s">
        <v>1044</v>
      </c>
      <c r="D91" s="23" t="s">
        <v>591</v>
      </c>
      <c r="E91" s="23" t="s">
        <v>592</v>
      </c>
      <c r="F91" s="23" t="s">
        <v>515</v>
      </c>
      <c r="G91" s="23" t="s">
        <v>516</v>
      </c>
      <c r="H91" s="23" t="s">
        <v>597</v>
      </c>
      <c r="I91" s="23" t="s">
        <v>598</v>
      </c>
      <c r="J91" s="57" t="s">
        <v>601</v>
      </c>
    </row>
    <row r="92" spans="1:10" x14ac:dyDescent="0.15">
      <c r="A92" s="40" t="s">
        <v>602</v>
      </c>
      <c r="C92" s="59">
        <f>IF($F5*'Jan''15 SP'!E39/'Jan''15 SP'!E40&gt;='Jan''15 SP'!E43,('Jan''15 SP'!E43*'Jan''15 SP'!E45/100)*'Jan''15 SP'!E40,($F5*'Jan''15 SP'!E39/'Jan''15 SP'!E40*'Jan''15 SP'!E45/100)*'Jan''15 SP'!E40)</f>
        <v>262.416</v>
      </c>
      <c r="D92" s="59">
        <f>IF($F5*'Jan''15 SP'!F39/'Jan''15 SP'!F40&gt;='Jan''15 SP'!F43,('Jan''15 SP'!F43*'Jan''15 SP'!F45/100)*'Jan''15 SP'!F40,('Bills Jan''15'!$F5*'Jan''15 SP'!F39/'Jan''15 SP'!F40*'Jan''15 SP'!F45/100)*'Jan''15 SP'!F40)</f>
        <v>157.27359999999999</v>
      </c>
      <c r="E92" s="59">
        <f>IF($F5*'Jan''15 SP'!G39/'Jan''15 SP'!G40&gt;='Jan''15 SP'!G43,('Jan''15 SP'!G43*'Jan''15 SP'!G45/100)*'Jan''15 SP'!G40,($F5*'Jan''15 SP'!G39/'Jan''15 SP'!G40*'Jan''15 SP'!G45/100)*'Jan''15 SP'!G40)</f>
        <v>291.72000000000003</v>
      </c>
      <c r="F92" s="59">
        <f>IF($F5*'Jan''15 SP'!H39/'Jan''15 SP'!H40&gt;='Jan''15 SP'!H43,('Jan''15 SP'!H43*'Jan''15 SP'!H45/100)*'Jan''15 SP'!H40,('Bills Jan''15'!$F5*'Jan''15 SP'!H39/'Jan''15 SP'!H40*'Jan''15 SP'!H45/100)*'Jan''15 SP'!H40)</f>
        <v>128.71039999999999</v>
      </c>
      <c r="G92" s="59">
        <f>IF($F5*'Jan''15 SP'!I39/'Jan''15 SP'!I40&gt;='Jan''15 SP'!I43,('Jan''15 SP'!I43*'Jan''15 SP'!I45/100)*'Jan''15 SP'!I40,('Bills Jan''15'!$F5*'Jan''15 SP'!I39/'Jan''15 SP'!I40*'Jan''15 SP'!I45/100)*'Jan''15 SP'!I40)</f>
        <v>138.1952</v>
      </c>
      <c r="H92" s="59">
        <f>IF($F5*'Jan''15 SP'!J39/'Jan''15 SP'!J40&gt;='Jan''15 SP'!J43,('Jan''15 SP'!J43*'Jan''15 SP'!J45/100)*'Jan''15 SP'!J40,('Bills Jan''15'!$F5*'Jan''15 SP'!J39/'Jan''15 SP'!J40*'Jan''15 SP'!J45/100)*'Jan''15 SP'!J40)</f>
        <v>278.64</v>
      </c>
      <c r="I92" s="59">
        <f>IF($F5*'Jan''15 SP'!K39/'Jan''15 SP'!K40&gt;='Jan''15 SP'!K43,('Jan''15 SP'!K43*'Jan''15 SP'!K45/100)*'Jan''15 SP'!K40,('Bills Jan''15'!$F5*'Jan''15 SP'!K39/'Jan''15 SP'!K40*'Jan''15 SP'!K45/100)*'Jan''15 SP'!K40)</f>
        <v>140.80000000000001</v>
      </c>
      <c r="J92" s="63"/>
    </row>
    <row r="93" spans="1:10" x14ac:dyDescent="0.15">
      <c r="A93" s="40" t="s">
        <v>603</v>
      </c>
      <c r="C93" s="59">
        <f>IF($F5*'Jan''15 SP'!E39/'Jan''15 SP'!E40&lt;'Jan''15 SP'!E43,0,IF($F5*'Jan''15 SP'!E39/'Jan''15 SP'!E40&lt;='Jan''15 SP'!E44,($F5*'Jan''15 SP'!E39/'Jan''15 SP'!E40-'Jan''15 SP'!E43)*('Jan''15 SP'!E46/100)*'Jan''15 SP'!E40,('Jan''15 SP'!E44-'Jan''15 SP'!E43)*('Jan''15 SP'!E46/100)*'Jan''15 SP'!E40))</f>
        <v>146.58478889999995</v>
      </c>
      <c r="D93" s="59">
        <v>0</v>
      </c>
      <c r="E93" s="59">
        <f>IF($F5*'Jan''15 SP'!G39/'Jan''15 SP'!G40&lt;'Jan''15 SP'!G43,0,IF($F5*'Jan''15 SP'!G39/'Jan''15 SP'!G40&lt;='Jan''15 SP'!G44,($F5*'Jan''15 SP'!G39/'Jan''15 SP'!G40-'Jan''15 SP'!G43)*('Jan''15 SP'!G46/100)*'Jan''15 SP'!G40,('Jan''15 SP'!G44-'Jan''15 SP'!G43)*('Jan''15 SP'!G46/100)*'Jan''15 SP'!G40))</f>
        <v>189.54076349999997</v>
      </c>
      <c r="F93" s="59">
        <v>0</v>
      </c>
      <c r="G93" s="59">
        <v>0</v>
      </c>
      <c r="H93" s="59">
        <v>0</v>
      </c>
      <c r="I93" s="59">
        <v>0</v>
      </c>
      <c r="J93" s="63"/>
    </row>
    <row r="94" spans="1:10" x14ac:dyDescent="0.15">
      <c r="A94" s="40" t="s">
        <v>606</v>
      </c>
      <c r="C94" s="59">
        <f>IF(($F5*'Jan''15 SP'!E39/'Jan''15 SP'!E40&gt;'Jan''15 SP'!E44),($F5*'Jan''15 SP'!E39/'Jan''15 SP'!E40-'Jan''15 SP'!E44)*'Jan''15 SP'!E47/100*'Jan''15 SP'!E40,0)</f>
        <v>0</v>
      </c>
      <c r="D94" s="59">
        <f>IF(($F5*'Jan''15 SP'!F39/'Jan''15 SP'!F40&lt;'Jan''15 SP'!F43),(0),('Bills Jan''15'!$F5*'Jan''15 SP'!F39/'Jan''15 SP'!F40-'Jan''15 SP'!F43)*'Jan''15 SP'!F47/100)*'Jan''15 SP'!F40</f>
        <v>272.65957619999995</v>
      </c>
      <c r="E94" s="59">
        <f>IF(($F5*'Jan''15 SP'!G39/'Jan''15 SP'!G40&gt;'Jan''15 SP'!G44),($F5*'Jan''15 SP'!G39/'Jan''15 SP'!G40-'Jan''15 SP'!G44)*'Jan''15 SP'!G47/100*'Jan''15 SP'!G40,0)</f>
        <v>0</v>
      </c>
      <c r="F94" s="59">
        <f>IF(($F5*'Jan''15 SP'!H39/'Jan''15 SP'!H40&lt;'Jan''15 SP'!H43),(0),('Bills Jan''15'!$F5*'Jan''15 SP'!H39/'Jan''15 SP'!H40-'Jan''15 SP'!H43)*'Jan''15 SP'!H47/100)*'Jan''15 SP'!H40</f>
        <v>273.34567749999997</v>
      </c>
      <c r="G94" s="59">
        <f>IF(($F5*'Jan''15 SP'!I39/'Jan''15 SP'!I40&lt;'Jan''15 SP'!I43),(0),('Bills Jan''15'!$F5*'Jan''15 SP'!I39/'Jan''15 SP'!I40-'Jan''15 SP'!I43)*'Jan''15 SP'!I47/100)*'Jan''15 SP'!I40</f>
        <v>266.23650019999997</v>
      </c>
      <c r="H94" s="59">
        <f>IF(($F5*'Jan''15 SP'!J39/'Jan''15 SP'!J40&lt;'Jan''15 SP'!J43),(0),('Bills Jan''15'!$F5*'Jan''15 SP'!J39/'Jan''15 SP'!J40-'Jan''15 SP'!J43)*'Jan''15 SP'!J47/100)*'Jan''15 SP'!J40</f>
        <v>167.27096099999994</v>
      </c>
      <c r="I94" s="59">
        <f>IF(($F5*'Jan''15 SP'!K39/'Jan''15 SP'!K40&lt;'Jan''15 SP'!K43),(0),('Bills Jan''15'!$F5*'Jan''15 SP'!K39/'Jan''15 SP'!K40-'Jan''15 SP'!K43)*'Jan''15 SP'!K47/100)*'Jan''15 SP'!K40</f>
        <v>260.13457799999998</v>
      </c>
      <c r="J94" s="63"/>
    </row>
    <row r="95" spans="1:10" x14ac:dyDescent="0.15">
      <c r="A95" s="40" t="s">
        <v>607</v>
      </c>
      <c r="C95" s="59">
        <f>IF($F5*'Jan''15 SP'!E41/'Jan''15 SP'!E42&gt;='Jan''15 SP'!E43,('Jan''15 SP'!E43*'Jan''15 SP'!E48/100)*'Jan''15 SP'!E42,($F5*'Jan''15 SP'!E41/'Jan''15 SP'!E42*'Jan''15 SP'!E48/100)*'Jan''15 SP'!E42)</f>
        <v>484.96800000000002</v>
      </c>
      <c r="D95" s="59">
        <f>IF($F5*'Jan''15 SP'!F41/'Jan''15 SP'!F42&gt;='Jan''15 SP'!F43,('Jan''15 SP'!F43*'Jan''15 SP'!F48/100)*'Jan''15 SP'!F42,('Bills Jan''15'!$F5*'Jan''15 SP'!F41/'Jan''15 SP'!F42*'Jan''15 SP'!F48/100)*'Jan''15 SP'!F42)</f>
        <v>253.1584</v>
      </c>
      <c r="E95" s="59">
        <f>IF($F5*'Jan''15 SP'!G41/'Jan''15 SP'!G42&gt;='Jan''15 SP'!G43,('Jan''15 SP'!G43*'Jan''15 SP'!G48/100)*'Jan''15 SP'!G42,($F5*'Jan''15 SP'!G41/'Jan''15 SP'!G42*'Jan''15 SP'!G48/100)*'Jan''15 SP'!G42)</f>
        <v>469.92</v>
      </c>
      <c r="F95" s="59">
        <f>IF($F5*'Jan''15 SP'!H41/'Jan''15 SP'!H42&gt;='Jan''15 SP'!H43,('Jan''15 SP'!H43*'Jan''15 SP'!H48/100)*'Jan''15 SP'!H42,('Bills Jan''15'!$F5*'Jan''15 SP'!H41/'Jan''15 SP'!H42*'Jan''15 SP'!H48/100)*'Jan''15 SP'!H42)</f>
        <v>226.79040000000001</v>
      </c>
      <c r="G95" s="59">
        <f>IF($F5*'Jan''15 SP'!I41/'Jan''15 SP'!I42&gt;='Jan''15 SP'!I43,('Jan''15 SP'!I43*'Jan''15 SP'!I48/100)*'Jan''15 SP'!I42,('Bills Jan''15'!$F5*'Jan''15 SP'!I41/'Jan''15 SP'!I42*'Jan''15 SP'!I48/100)*'Jan''15 SP'!I42)</f>
        <v>256.67840000000001</v>
      </c>
      <c r="H95" s="59">
        <f>IF($F5*'Jan''15 SP'!J41/'Jan''15 SP'!J42&gt;='Jan''15 SP'!J43,('Jan''15 SP'!J43*'Jan''15 SP'!J48/100)*'Jan''15 SP'!J42,('Bills Jan''15'!$F5*'Jan''15 SP'!J41/'Jan''15 SP'!J42*'Jan''15 SP'!J48/100)*'Jan''15 SP'!J42)</f>
        <v>506.88</v>
      </c>
      <c r="I95" s="59">
        <f>IF($F5*'Jan''15 SP'!K41/'Jan''15 SP'!K42&gt;='Jan''15 SP'!K43,('Jan''15 SP'!K43*'Jan''15 SP'!K48/100)*'Jan''15 SP'!K42,('Bills Jan''15'!$F5*'Jan''15 SP'!K41/'Jan''15 SP'!K42*'Jan''15 SP'!K48/100)*'Jan''15 SP'!K42)</f>
        <v>247.80799999999999</v>
      </c>
      <c r="J95" s="63"/>
    </row>
    <row r="96" spans="1:10" x14ac:dyDescent="0.15">
      <c r="A96" s="40" t="s">
        <v>608</v>
      </c>
      <c r="C96" s="59">
        <f>IF($F5*'Jan''15 SP'!E41/'Jan''15 SP'!E42&lt;'Jan''15 SP'!E43,0,IF($F5*'Jan''15 SP'!E41/'Jan''15 SP'!E42&lt;='Jan''15 SP'!E44,($F5*'Jan''15 SP'!E41/'Jan''15 SP'!E42-'Jan''15 SP'!E43)*('Jan''15 SP'!E49/100)*'Jan''15 SP'!E42,('Jan''15 SP'!E44-'Jan''15 SP'!E43)*('Jan''15 SP'!E49/100)*'Jan''15 SP'!E42))</f>
        <v>259.91333939999993</v>
      </c>
      <c r="D96" s="59">
        <v>0</v>
      </c>
      <c r="E96" s="59">
        <f>IF($F5*'Jan''15 SP'!G41/'Jan''15 SP'!G42&lt;'Jan''15 SP'!G43,0,IF($F5*'Jan''15 SP'!G41/'Jan''15 SP'!G42&lt;='Jan''15 SP'!G44,($F5*'Jan''15 SP'!G41/'Jan''15 SP'!G42-'Jan''15 SP'!G43)*('Jan''15 SP'!G49/100)*'Jan''15 SP'!G42,('Jan''15 SP'!G44-'Jan''15 SP'!G43)*('Jan''15 SP'!G49/100)*'Jan''15 SP'!G42))</f>
        <v>344.43961199999995</v>
      </c>
      <c r="F96" s="59">
        <v>0</v>
      </c>
      <c r="G96" s="59">
        <v>0</v>
      </c>
      <c r="H96" s="59">
        <v>0</v>
      </c>
      <c r="I96" s="59">
        <v>0</v>
      </c>
      <c r="J96" s="63"/>
    </row>
    <row r="97" spans="1:10" x14ac:dyDescent="0.15">
      <c r="A97" s="40" t="s">
        <v>611</v>
      </c>
      <c r="C97" s="59">
        <f>IF(($F5*'Jan''15 SP'!E41/'Jan''15 SP'!E42&gt;'Jan''15 SP'!E44),($F5*'Jan''15 SP'!E41/'Jan''15 SP'!E42-'Jan''15 SP'!E44)*'Jan''15 SP'!E50/100*'Jan''15 SP'!E42,0)</f>
        <v>0</v>
      </c>
      <c r="D97" s="59">
        <f>IF(($F5*'Jan''15 SP'!F41/'Jan''15 SP'!F42&lt;'Jan''15 SP'!F43),(0),('Bills Jan''15'!$F5*'Jan''15 SP'!F41/'Jan''15 SP'!F42-'Jan''15 SP'!F43)*'Jan''15 SP'!F50/100)*'Jan''15 SP'!F42</f>
        <v>457.96531879999998</v>
      </c>
      <c r="E97" s="59">
        <f>IF(($F5*'Jan''15 SP'!G41/'Jan''15 SP'!G42&gt;'Jan''15 SP'!G44),($F5*'Jan''15 SP'!G41/'Jan''15 SP'!G42-'Jan''15 SP'!G44)*'Jan''15 SP'!G50/100*'Jan''15 SP'!G42,0)</f>
        <v>0</v>
      </c>
      <c r="F97" s="59">
        <f>IF(($F5*'Jan''15 SP'!H41/'Jan''15 SP'!H42&lt;'Jan''15 SP'!H43),(0),('Bills Jan''15'!$F5*'Jan''15 SP'!H41/'Jan''15 SP'!H42-'Jan''15 SP'!H43)*'Jan''15 SP'!H50/100)*'Jan''15 SP'!H42</f>
        <v>437.46986719999995</v>
      </c>
      <c r="G97" s="59">
        <f>IF(($F5*'Jan''15 SP'!I41/'Jan''15 SP'!I42&lt;'Jan''15 SP'!I43),(0),('Bills Jan''15'!$F5*'Jan''15 SP'!I41/'Jan''15 SP'!I42-'Jan''15 SP'!I43)*'Jan''15 SP'!I50/100)*'Jan''15 SP'!I42</f>
        <v>461.81916439999992</v>
      </c>
      <c r="H97" s="59">
        <f>IF(($F5*'Jan''15 SP'!J41/'Jan''15 SP'!J42&lt;'Jan''15 SP'!J43),(0),('Bills Jan''15'!$F5*'Jan''15 SP'!J41/'Jan''15 SP'!J42-'Jan''15 SP'!J43)*'Jan''15 SP'!J50/100)*'Jan''15 SP'!J42</f>
        <v>306.8283899999999</v>
      </c>
      <c r="I97" s="59">
        <f>IF(($F5*'Jan''15 SP'!K41/'Jan''15 SP'!K42&lt;'Jan''15 SP'!K43),(0),('Bills Jan''15'!$F5*'Jan''15 SP'!K41/'Jan''15 SP'!K42-'Jan''15 SP'!K43)*'Jan''15 SP'!K50/100)*'Jan''15 SP'!K42</f>
        <v>484.94223799999992</v>
      </c>
      <c r="J97" s="63"/>
    </row>
    <row r="98" spans="1:10" x14ac:dyDescent="0.15">
      <c r="A98" s="40" t="s">
        <v>612</v>
      </c>
      <c r="C98" s="59">
        <f>365*'Jan''15 SP'!E51/100</f>
        <v>252.142</v>
      </c>
      <c r="D98" s="59">
        <f>365*'Jan''15 SP'!F51/100</f>
        <v>260.97500000000002</v>
      </c>
      <c r="E98" s="59">
        <f>365*'Jan''15 SP'!G51/100</f>
        <v>264.98999999999995</v>
      </c>
      <c r="F98" s="59">
        <f>365*'Jan''15 SP'!H51/100</f>
        <v>257.72649999999999</v>
      </c>
      <c r="G98" s="59">
        <f>365*'Jan''15 SP'!I51/100</f>
        <v>248.93</v>
      </c>
      <c r="H98" s="59">
        <f>365*'Jan''15 SP'!J51/100</f>
        <v>248.64895000000001</v>
      </c>
      <c r="I98" s="59">
        <f>365*'Jan''15 SP'!K51/100</f>
        <v>212.75485</v>
      </c>
      <c r="J98" s="60">
        <f>AVERAGE(C98:I98)</f>
        <v>249.45247142857144</v>
      </c>
    </row>
    <row r="99" spans="1:10" x14ac:dyDescent="0.15">
      <c r="A99" s="62" t="s">
        <v>613</v>
      </c>
      <c r="B99" s="63"/>
      <c r="C99" s="61">
        <f t="shared" ref="C99:I99" si="7">SUM(C92:C98)</f>
        <v>1406.0241282999998</v>
      </c>
      <c r="D99" s="61">
        <f t="shared" si="7"/>
        <v>1402.0318950000001</v>
      </c>
      <c r="E99" s="61">
        <f t="shared" si="7"/>
        <v>1560.6103754999999</v>
      </c>
      <c r="F99" s="61">
        <f t="shared" si="7"/>
        <v>1324.0428446999999</v>
      </c>
      <c r="G99" s="61">
        <f t="shared" si="7"/>
        <v>1371.8592646</v>
      </c>
      <c r="H99" s="61">
        <f t="shared" si="7"/>
        <v>1508.2683009999998</v>
      </c>
      <c r="I99" s="61">
        <f t="shared" si="7"/>
        <v>1346.439666</v>
      </c>
      <c r="J99" s="64">
        <f>AVERAGE(C99:I99)</f>
        <v>1417.0394964428572</v>
      </c>
    </row>
    <row r="101" spans="1:10" x14ac:dyDescent="0.15">
      <c r="A101" s="63"/>
      <c r="B101" s="63"/>
      <c r="C101" s="63"/>
      <c r="D101" s="63"/>
      <c r="E101" s="63"/>
      <c r="F101" s="63"/>
      <c r="G101" s="63"/>
      <c r="H101" s="63"/>
      <c r="I101" s="63"/>
      <c r="J101" s="63"/>
    </row>
    <row r="102" spans="1:10" x14ac:dyDescent="0.15">
      <c r="A102" s="53" t="s">
        <v>490</v>
      </c>
      <c r="C102" s="23" t="s">
        <v>1044</v>
      </c>
      <c r="D102" s="23" t="s">
        <v>591</v>
      </c>
      <c r="E102" s="23" t="s">
        <v>592</v>
      </c>
      <c r="F102" s="23" t="s">
        <v>595</v>
      </c>
      <c r="G102" s="23" t="s">
        <v>596</v>
      </c>
      <c r="H102" s="23" t="s">
        <v>486</v>
      </c>
      <c r="I102" s="23" t="s">
        <v>487</v>
      </c>
    </row>
    <row r="103" spans="1:10" x14ac:dyDescent="0.15">
      <c r="A103" s="40" t="s">
        <v>491</v>
      </c>
      <c r="C103" s="24" t="s">
        <v>492</v>
      </c>
      <c r="D103" s="25" t="s">
        <v>493</v>
      </c>
      <c r="E103" s="25" t="s">
        <v>525</v>
      </c>
      <c r="F103" s="25" t="s">
        <v>494</v>
      </c>
      <c r="G103" s="25" t="s">
        <v>493</v>
      </c>
      <c r="H103" s="25" t="s">
        <v>493</v>
      </c>
      <c r="I103" s="25" t="s">
        <v>493</v>
      </c>
    </row>
    <row r="104" spans="1:10" x14ac:dyDescent="0.15">
      <c r="A104" s="40" t="s">
        <v>496</v>
      </c>
      <c r="C104" s="25" t="s">
        <v>498</v>
      </c>
      <c r="D104" s="25" t="s">
        <v>497</v>
      </c>
      <c r="E104" s="25" t="s">
        <v>526</v>
      </c>
      <c r="F104" s="25" t="s">
        <v>498</v>
      </c>
      <c r="G104" s="25" t="s">
        <v>527</v>
      </c>
      <c r="H104" s="25" t="s">
        <v>493</v>
      </c>
      <c r="I104" s="25" t="s">
        <v>493</v>
      </c>
    </row>
    <row r="105" spans="1:10" x14ac:dyDescent="0.15">
      <c r="A105" s="40" t="s">
        <v>499</v>
      </c>
      <c r="C105" s="25" t="s">
        <v>528</v>
      </c>
      <c r="D105" s="37" t="s">
        <v>493</v>
      </c>
      <c r="E105" s="37">
        <v>22</v>
      </c>
      <c r="F105" s="37">
        <v>80</v>
      </c>
      <c r="G105" s="37">
        <v>20</v>
      </c>
      <c r="H105" s="40" t="s">
        <v>493</v>
      </c>
      <c r="I105" s="40" t="s">
        <v>493</v>
      </c>
    </row>
    <row r="106" spans="1:10" x14ac:dyDescent="0.15">
      <c r="A106" s="40" t="s">
        <v>501</v>
      </c>
      <c r="C106" s="25" t="s">
        <v>529</v>
      </c>
      <c r="D106" s="24" t="s">
        <v>529</v>
      </c>
      <c r="E106" s="24" t="s">
        <v>510</v>
      </c>
      <c r="F106" s="24" t="s">
        <v>530</v>
      </c>
      <c r="G106" s="24" t="s">
        <v>506</v>
      </c>
      <c r="H106" s="24" t="s">
        <v>531</v>
      </c>
      <c r="I106" s="24" t="s">
        <v>532</v>
      </c>
    </row>
    <row r="107" spans="1:10" x14ac:dyDescent="0.15">
      <c r="A107" s="40" t="s">
        <v>511</v>
      </c>
      <c r="C107" s="25" t="s">
        <v>512</v>
      </c>
      <c r="D107" s="25" t="s">
        <v>500</v>
      </c>
      <c r="E107" s="25" t="s">
        <v>494</v>
      </c>
      <c r="F107" s="25" t="s">
        <v>494</v>
      </c>
      <c r="G107" s="25" t="s">
        <v>500</v>
      </c>
      <c r="H107" s="25" t="s">
        <v>493</v>
      </c>
      <c r="I107" s="25" t="s">
        <v>493</v>
      </c>
    </row>
    <row r="108" spans="1:10" x14ac:dyDescent="0.15">
      <c r="A108" s="63"/>
      <c r="B108" s="63"/>
      <c r="C108" s="63"/>
      <c r="D108" s="63"/>
      <c r="E108" s="63"/>
      <c r="F108" s="63"/>
      <c r="G108" s="63"/>
      <c r="H108" s="63"/>
      <c r="I108" s="63"/>
      <c r="J108" s="63"/>
    </row>
  </sheetData>
  <sheetProtection algorithmName="SHA-512" hashValue="2ktJRHBvCCtm+4x0v8AJLuLee8sZrykpMjVnuXdAub3qhDp6DYf1EDGZuLo9o7hztDBvCL/J8Xvk2HDln+d6lA==" saltValue="bTDIlsTg5fOHJu9M4UV2DA==" spinCount="100000" sheet="1" objects="1" scenarios="1"/>
  <phoneticPr fontId="20" type="noConversion"/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B9FAC-E4A1-374B-A7DD-8975605B3307}">
  <sheetPr codeName="Sheet73"/>
  <dimension ref="A1:AT186"/>
  <sheetViews>
    <sheetView tabSelected="1" workbookViewId="0">
      <selection activeCell="W1" sqref="W1:Z1048576"/>
    </sheetView>
  </sheetViews>
  <sheetFormatPr baseColWidth="10" defaultRowHeight="13" x14ac:dyDescent="0.15"/>
  <cols>
    <col min="1" max="1" width="20.83203125" customWidth="1"/>
    <col min="2" max="2" width="21.6640625" bestFit="1" customWidth="1"/>
    <col min="3" max="3" width="16.83203125" bestFit="1" customWidth="1"/>
    <col min="4" max="4" width="7.5" bestFit="1" customWidth="1"/>
    <col min="5" max="9" width="10" bestFit="1" customWidth="1"/>
    <col min="10" max="14" width="8.5" bestFit="1" customWidth="1"/>
    <col min="15" max="16" width="10.6640625" hidden="1" customWidth="1"/>
    <col min="17" max="17" width="10.1640625" hidden="1" customWidth="1"/>
    <col min="18" max="18" width="10.6640625" bestFit="1" customWidth="1"/>
    <col min="21" max="21" width="10.5" bestFit="1" customWidth="1"/>
    <col min="22" max="22" width="10.5" customWidth="1"/>
    <col min="23" max="23" width="19" hidden="1" customWidth="1"/>
    <col min="24" max="24" width="10.83203125" hidden="1" customWidth="1"/>
    <col min="25" max="26" width="10.6640625" hidden="1" customWidth="1"/>
    <col min="27" max="27" width="14.1640625" customWidth="1"/>
    <col min="28" max="28" width="14" customWidth="1"/>
  </cols>
  <sheetData>
    <row r="1" spans="1:46" s="603" customFormat="1" x14ac:dyDescent="0.15">
      <c r="A1" s="624" t="s">
        <v>722</v>
      </c>
      <c r="B1" s="624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624"/>
      <c r="AD1" s="624"/>
      <c r="AE1" s="624"/>
      <c r="AF1" s="624"/>
      <c r="AG1" s="624"/>
      <c r="AH1" s="624"/>
      <c r="AI1" s="624"/>
      <c r="AJ1" s="624"/>
      <c r="AK1" s="624"/>
      <c r="AL1" s="624"/>
      <c r="AM1" s="624"/>
      <c r="AN1" s="624"/>
      <c r="AO1" s="624"/>
      <c r="AP1" s="624"/>
      <c r="AQ1" s="624"/>
      <c r="AR1" s="624"/>
      <c r="AS1" s="624"/>
      <c r="AT1" s="624"/>
    </row>
    <row r="2" spans="1:46" s="603" customFormat="1" x14ac:dyDescent="0.15">
      <c r="A2" s="624" t="s">
        <v>723</v>
      </c>
      <c r="B2" s="624"/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4"/>
      <c r="AA2" s="624"/>
      <c r="AB2" s="624"/>
      <c r="AC2" s="624"/>
      <c r="AD2" s="624"/>
      <c r="AE2" s="624"/>
      <c r="AF2" s="624"/>
      <c r="AG2" s="624"/>
      <c r="AH2" s="624"/>
      <c r="AI2" s="624"/>
      <c r="AJ2" s="624"/>
      <c r="AK2" s="624"/>
      <c r="AL2" s="624"/>
      <c r="AM2" s="624"/>
      <c r="AN2" s="624"/>
      <c r="AO2" s="624"/>
      <c r="AP2" s="624"/>
      <c r="AQ2" s="624"/>
      <c r="AR2" s="624"/>
      <c r="AS2" s="624"/>
      <c r="AT2" s="624"/>
    </row>
    <row r="3" spans="1:46" s="603" customFormat="1" ht="14" thickBot="1" x14ac:dyDescent="0.2">
      <c r="A3" s="624"/>
      <c r="B3" s="624"/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624"/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  <c r="AM3" s="624"/>
      <c r="AN3" s="624"/>
      <c r="AO3" s="624"/>
      <c r="AP3" s="624"/>
      <c r="AQ3" s="624"/>
      <c r="AR3" s="624"/>
      <c r="AS3" s="624"/>
      <c r="AT3" s="624"/>
    </row>
    <row r="4" spans="1:46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410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6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  <c r="AQ4" s="625"/>
      <c r="AR4" s="625"/>
      <c r="AS4" s="625"/>
      <c r="AT4" s="625"/>
    </row>
    <row r="5" spans="1:46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411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9"/>
      <c r="AC5" s="625"/>
      <c r="AD5" s="625"/>
      <c r="AE5" s="625"/>
      <c r="AF5" s="625"/>
      <c r="AG5" s="625"/>
      <c r="AH5" s="625"/>
      <c r="AI5" s="625"/>
      <c r="AJ5" s="625"/>
      <c r="AK5" s="625"/>
      <c r="AL5" s="625"/>
      <c r="AM5" s="625"/>
      <c r="AN5" s="625"/>
      <c r="AO5" s="625"/>
      <c r="AP5" s="625"/>
      <c r="AQ5" s="625"/>
      <c r="AR5" s="625"/>
      <c r="AS5" s="625"/>
      <c r="AT5" s="625"/>
    </row>
    <row r="6" spans="1:46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411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9"/>
      <c r="AC6" s="625"/>
      <c r="AD6" s="625"/>
      <c r="AE6" s="625"/>
      <c r="AF6" s="625"/>
      <c r="AG6" s="625"/>
      <c r="AH6" s="625"/>
      <c r="AI6" s="625"/>
      <c r="AJ6" s="625"/>
      <c r="AK6" s="625"/>
      <c r="AL6" s="625"/>
      <c r="AM6" s="625"/>
      <c r="AN6" s="625"/>
      <c r="AO6" s="625"/>
      <c r="AP6" s="625"/>
      <c r="AQ6" s="625"/>
      <c r="AR6" s="625"/>
      <c r="AS6" s="625"/>
      <c r="AT6" s="625"/>
    </row>
    <row r="7" spans="1:46" ht="65" customHeight="1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501" t="s">
        <v>572</v>
      </c>
      <c r="P7" s="501" t="s">
        <v>1243</v>
      </c>
      <c r="Q7" s="510" t="s">
        <v>573</v>
      </c>
      <c r="R7" s="493" t="s">
        <v>574</v>
      </c>
      <c r="S7" s="495" t="s">
        <v>575</v>
      </c>
      <c r="T7" s="496" t="s">
        <v>576</v>
      </c>
      <c r="U7" s="496" t="s">
        <v>577</v>
      </c>
      <c r="V7" s="496" t="s">
        <v>578</v>
      </c>
      <c r="W7" s="536" t="s">
        <v>1548</v>
      </c>
      <c r="X7" s="536" t="s">
        <v>1549</v>
      </c>
      <c r="Y7" s="502" t="s">
        <v>579</v>
      </c>
      <c r="Z7" s="502" t="s">
        <v>580</v>
      </c>
      <c r="AA7" s="497" t="s">
        <v>581</v>
      </c>
      <c r="AB7" s="608" t="s">
        <v>582</v>
      </c>
      <c r="AC7" s="625"/>
      <c r="AD7" s="625"/>
      <c r="AE7" s="625"/>
      <c r="AF7" s="625"/>
      <c r="AG7" s="625"/>
      <c r="AH7" s="625"/>
      <c r="AI7" s="625"/>
      <c r="AJ7" s="625"/>
      <c r="AK7" s="625"/>
      <c r="AL7" s="625"/>
      <c r="AM7" s="625"/>
      <c r="AN7" s="625"/>
      <c r="AO7" s="625"/>
      <c r="AP7" s="625"/>
      <c r="AQ7" s="625"/>
      <c r="AR7" s="625"/>
      <c r="AS7" s="625"/>
      <c r="AT7" s="625"/>
    </row>
    <row r="8" spans="1:46" ht="14" x14ac:dyDescent="0.15">
      <c r="A8" s="270" t="str">
        <f>'Tariffs Jul2023'!F2</f>
        <v>AGL</v>
      </c>
      <c r="B8" s="40" t="str">
        <f>'Tariffs Jul2023'!D2</f>
        <v>Multinet Metro 1</v>
      </c>
      <c r="C8" s="40" t="str">
        <f>'Tariffs Jul2023'!G2</f>
        <v>Value Saver</v>
      </c>
      <c r="D8" s="59">
        <f>365*'Tariffs Jul2023'!H2/100</f>
        <v>271.92500000000001</v>
      </c>
      <c r="E8" s="59">
        <f>IF($C$5*'Tariffs Jul2023'!AK2/'Tariffs Jul2023'!AI2&gt;='Tariffs Jul2023'!J2,( 'Tariffs Jul2023'!J2*'Tariffs Jul2023'!O2/100)* 'Tariffs Jul2023'!AI2,($C$5*'Tariffs Jul2023'!AK2/'Tariffs Jul2023'!AI2*'Tariffs Jul2023'!O2/100)* 'Tariffs Jul2023'!AI2)</f>
        <v>299.45454545454544</v>
      </c>
      <c r="F8" s="59">
        <f>IF($C$5*'Tariffs Jul2023'!AK2/'Tariffs Jul2023'!AI2&lt;'Tariffs Jul2023'!J2,0,IF($C$5*'Tariffs Jul2023'!AK2/'Tariffs Jul2023'!AI2&lt;='Tariffs Jul2023'!K2,($C$5*'Tariffs Jul2023'!AK2/'Tariffs Jul2023'!AI2-'Tariffs Jul2023'!J2)*('Tariffs Jul2023'!P2/100)*'Tariffs Jul2023'!AI2,('Tariffs Jul2023'!K2-'Tariffs Jul2023'!J2)*('Tariffs Jul2023'!P2/100)*'Tariffs Jul2023'!AI2))</f>
        <v>265.09090909090907</v>
      </c>
      <c r="G8" s="59">
        <f>IF($C$5*'Tariffs Jul2023'!AK2/'Tariffs Jul2023'!AI2&lt;'Tariffs Jul2023'!K2,0,IF($C$5*'Tariffs Jul2023'!AK2/'Tariffs Jul2023'!AI2&lt;='Tariffs Jul2023'!L2,($C$5*'Tariffs Jul2023'!AK2/'Tariffs Jul2023'!AI2-'Tariffs Jul2023'!K2)*('Tariffs Jul2023'!Q2/100)*'Tariffs Jul2023'!AI2,('Tariffs Jul2023'!L2-'Tariffs Jul2023'!K2)*('Tariffs Jul2023'!Q2/100)*'Tariffs Jul2023'!AI2))</f>
        <v>212.72727272727269</v>
      </c>
      <c r="H8" s="59">
        <f>IF($C$5*'Tariffs Jul2023'!AK2/'Tariffs Jul2023'!AI2&lt;'Tariffs Jul2023'!L2,0,IF($C$5*'Tariffs Jul2023'!AK2/'Tariffs Jul2023'!AI2&lt;='Tariffs Jul2023'!M2,($C$5*'Tariffs Jul2023'!AK2/'Tariffs Jul2023'!AI2-'Tariffs Jul2023'!L2)*('Tariffs Jul2023'!R2/100)*'Tariffs Jul2023'!AI2,('Tariffs Jul2023'!M2-'Tariffs Jul2023'!L2)*('Tariffs Jul2023'!R2/100)*'Tariffs Jul2023'!AI2))</f>
        <v>87.545454545454533</v>
      </c>
      <c r="I8" s="59">
        <f>IF(($C$5*'Tariffs Jul2023'!AK2/'Tariffs Jul2023'!AI2&gt;'Tariffs Jul2023'!M2),($C$5*'Tariffs Jul2023'!AK2/'Tariffs Jul2023'!AI2-'Tariffs Jul2023'!M2)*'Tariffs Jul2023'!S2/100*'Tariffs Jul2023'!AI2,0)</f>
        <v>0</v>
      </c>
      <c r="J8" s="59">
        <f>IF($C$5*'Tariffs Jul2023'!AL2/'Tariffs Jul2023'!AJ2&gt;='Tariffs Jul2023'!J2,('Tariffs Jul2023'!J2*'Tariffs Jul2023'!U2/100)* 'Tariffs Jul2023'!AJ2,($C$5*'Tariffs Jul2023'!AL2/'Tariffs Jul2023'!AJ2*'Tariffs Jul2023'!U2/100)* 'Tariffs Jul2023'!AJ2)</f>
        <v>280.63636363636363</v>
      </c>
      <c r="K8" s="59">
        <f>IF($C$5*'Tariffs Jul2023'!AL2/'Tariffs Jul2023'!AJ2&lt;'Tariffs Jul2023'!J2,0,IF($C$5*'Tariffs Jul2023'!AL2/'Tariffs Jul2023'!AJ2&lt;='Tariffs Jul2023'!K2,($C$5*'Tariffs Jul2023'!AL2/'Tariffs Jul2023'!AJ2-'Tariffs Jul2023'!J2)*('Tariffs Jul2023'!V2/100)*'Tariffs Jul2023'!AJ2,('Tariffs Jul2023'!K2-'Tariffs Jul2023'!J2)*('Tariffs Jul2023'!V2/100)*'Tariffs Jul2023'!AJ2))</f>
        <v>245.45454545454544</v>
      </c>
      <c r="L8" s="59">
        <f>IF($C$5*'Tariffs Jul2023'!AL2/'Tariffs Jul2023'!AJ2&lt;'Tariffs Jul2023'!K2,0,IF($C$5*'Tariffs Jul2023'!AL2/'Tariffs Jul2023'!AJ2&lt;='Tariffs Jul2023'!L2,($C$5*'Tariffs Jul2023'!AL2/'Tariffs Jul2023'!AJ2-'Tariffs Jul2023'!K2)*('Tariffs Jul2023'!W2/100)*'Tariffs Jul2023'!AJ2,('Tariffs Jul2023'!L2-'Tariffs Jul2023'!K2)*('Tariffs Jul2023'!W2/100)*'Tariffs Jul2023'!AJ2))</f>
        <v>201.27272727272728</v>
      </c>
      <c r="M8" s="59">
        <f>IF($C$5*'Tariffs Jul2023'!AL2/'Tariffs Jul2023'!AJ2&lt;'Tariffs Jul2023'!L2,0,IF($C$5*'Tariffs Jul2023'!AL2/'Tariffs Jul2023'!AJ2&lt;='Tariffs Jul2023'!M2,($C$5*'Tariffs Jul2023'!AL2/'Tariffs Jul2023'!AJ2-'Tariffs Jul2023'!L2)*('Tariffs Jul2023'!X2/100)*'Tariffs Jul2023'!AJ2,('Tariffs Jul2023'!M2-'Tariffs Jul2023'!L2)*('Tariffs Jul2023'!X2/100)*'Tariffs Jul2023'!AJ2))</f>
        <v>85.090909090909093</v>
      </c>
      <c r="N8" s="59">
        <f>IF(($C$5*'Tariffs Jul2023'!AL2/'Tariffs Jul2023'!AJ2&gt;'Tariffs Jul2023'!M2),($C$5*'Tariffs Jul2023'!AL2/'Tariffs Jul2023'!AJ2-'Tariffs Jul2023'!M2)*'Tariffs Jul2023'!Y2/100*'Tariffs Jul2023'!AJ2,0)</f>
        <v>0</v>
      </c>
      <c r="O8" s="59">
        <f>SUM(E8:N8)</f>
        <v>1677.2727272727273</v>
      </c>
      <c r="P8" s="503">
        <f>O8*1.1</f>
        <v>1845.0000000000002</v>
      </c>
      <c r="Q8" s="59">
        <f>D8+O8</f>
        <v>1949.1977272727272</v>
      </c>
      <c r="R8" s="272">
        <f>Q8*1.1</f>
        <v>2144.1175000000003</v>
      </c>
      <c r="S8" s="40">
        <f>'Tariffs Jul2023'!AN2</f>
        <v>0</v>
      </c>
      <c r="T8" s="40">
        <f>'Tariffs Jul2023'!AO2</f>
        <v>0</v>
      </c>
      <c r="U8" s="40">
        <f>'Tariffs Jul2023'!AP2</f>
        <v>0</v>
      </c>
      <c r="V8" s="636">
        <f>'Tariffs Jul2023'!AQ2</f>
        <v>0</v>
      </c>
      <c r="W8" s="635" t="str">
        <f>IF(SUM(S8:V8)=0,"No discount",IF(S8&gt;0,"Guaranteed off bill",IF(T8&gt;0,"Guaranteed off usage",IF(U8&gt;0,"Pay-on-time off bill","Pay-on-time off usage"))))</f>
        <v>No discount</v>
      </c>
      <c r="X8" s="634" t="str">
        <f>IF(OR(A8="Origin Energy",A8="Red Energy",A8="Powershop"),"Inclusive","Exclusive")</f>
        <v>Exclusive</v>
      </c>
      <c r="Y8" s="535">
        <f>IF(AND(W8="Guaranteed off bill",X8="Inclusive"),((Q8*1.1)-((Q8*1.1)*S8/100))/1.1,IF(AND(W8="Guaranteed off usage",X8="Inclusive"),((Q8*1.1)-((P8*1.1)*T8/100))/1.1,IF(AND(W8="Guaranteed off bill",X8="Exclusive"),Q8-(Q8*S8/100),IF(AND(W8="Guaranteed off usage",X8="Exclusive"),Q8-(P8*T8/100),IF(X8="Inclusive",((Q8*1.1))/1.1,Q8)))))</f>
        <v>1949.1977272727272</v>
      </c>
      <c r="Z8" s="535">
        <f>IF(AND(W8="Pay-on-time off bill",X8="Inclusive"),((Y8*1.1)-((Y8*1.1)*U8/100))/1.1,IF(AND(W8="Pay-on-time off usage",X8="Inclusive"),((Y8*1.1)-((P8*1.1)*V8/100))/1.1,IF(AND(W8="Pay-on-time off bill",X8="Exclusive"),Y8-(Y8*U8/100),IF(AND(W8="Pay-on-time off usage",X8="Exclusive"),Y8-(P8*V8/100),IF(X8="Inclusive",((Y8*1.1))/1.1,Y8)))))</f>
        <v>1949.1977272727272</v>
      </c>
      <c r="AA8" s="542">
        <f t="shared" ref="AA8:AB26" si="0">Y8*1.1</f>
        <v>2144.1175000000003</v>
      </c>
      <c r="AB8" s="609">
        <f t="shared" si="0"/>
        <v>2144.1175000000003</v>
      </c>
      <c r="AC8" s="625"/>
      <c r="AD8" s="625"/>
      <c r="AE8" s="625"/>
      <c r="AF8" s="625"/>
      <c r="AG8" s="625"/>
      <c r="AH8" s="625"/>
      <c r="AI8" s="625"/>
      <c r="AJ8" s="625"/>
      <c r="AK8" s="625"/>
      <c r="AL8" s="625"/>
      <c r="AM8" s="625"/>
      <c r="AN8" s="625"/>
      <c r="AO8" s="625"/>
      <c r="AP8" s="625"/>
      <c r="AQ8" s="625"/>
      <c r="AR8" s="625"/>
      <c r="AS8" s="625"/>
      <c r="AT8" s="625"/>
    </row>
    <row r="9" spans="1:46" ht="14" x14ac:dyDescent="0.15">
      <c r="A9" s="270" t="str">
        <f>'Tariffs Jul2023'!F3</f>
        <v>Alinta Energy</v>
      </c>
      <c r="B9" s="40" t="str">
        <f>'Tariffs Jul2023'!D3</f>
        <v>Multinet Metro 1</v>
      </c>
      <c r="C9" s="40" t="str">
        <f>'Tariffs Jul2023'!G3</f>
        <v>Home Deal</v>
      </c>
      <c r="D9" s="59">
        <f>365*'Tariffs Jul2023'!H3/100</f>
        <v>238.24545454545452</v>
      </c>
      <c r="E9" s="59">
        <f>IF($C$5*'Tariffs Jul2023'!AK3/'Tariffs Jul2023'!AI3&gt;='Tariffs Jul2023'!J3,( 'Tariffs Jul2023'!J3*'Tariffs Jul2023'!O3/100)* 'Tariffs Jul2023'!AI3,($C$5*'Tariffs Jul2023'!AK3/'Tariffs Jul2023'!AI3*'Tariffs Jul2023'!O3/100)* 'Tariffs Jul2023'!AI3)</f>
        <v>331.36363636363632</v>
      </c>
      <c r="F9" s="59">
        <f>IF($C$5*'Tariffs Jul2023'!AK3/'Tariffs Jul2023'!AI3&lt;'Tariffs Jul2023'!J3,0,IF($C$5*'Tariffs Jul2023'!AK3/'Tariffs Jul2023'!AI3&lt;='Tariffs Jul2023'!K3,($C$5*'Tariffs Jul2023'!AK3/'Tariffs Jul2023'!AI3-'Tariffs Jul2023'!J3)*('Tariffs Jul2023'!P3/100)*'Tariffs Jul2023'!AI3,('Tariffs Jul2023'!K3-'Tariffs Jul2023'!J3)*('Tariffs Jul2023'!P3/100)*'Tariffs Jul2023'!AI3))</f>
        <v>293.72727272727269</v>
      </c>
      <c r="G9" s="59">
        <f>IF($C$5*'Tariffs Jul2023'!AK3/'Tariffs Jul2023'!AI3&lt;'Tariffs Jul2023'!K3,0,IF($C$5*'Tariffs Jul2023'!AK3/'Tariffs Jul2023'!AI3&lt;='Tariffs Jul2023'!L3,($C$5*'Tariffs Jul2023'!AK3/'Tariffs Jul2023'!AI3-'Tariffs Jul2023'!K3)*('Tariffs Jul2023'!Q3/100)*'Tariffs Jul2023'!AI3,('Tariffs Jul2023'!L3-'Tariffs Jul2023'!K3)*('Tariffs Jul2023'!Q3/100)*'Tariffs Jul2023'!AI3))</f>
        <v>0</v>
      </c>
      <c r="H9" s="59">
        <f>IF($C$5*'Tariffs Jul2023'!AK3/'Tariffs Jul2023'!AI3&lt;'Tariffs Jul2023'!L3,0,IF($C$5*'Tariffs Jul2023'!AK3/'Tariffs Jul2023'!AI3&lt;='Tariffs Jul2023'!M3,($C$5*'Tariffs Jul2023'!AK3/'Tariffs Jul2023'!AI3-'Tariffs Jul2023'!L3)*('Tariffs Jul2023'!R3/100)*'Tariffs Jul2023'!AI3,('Tariffs Jul2023'!M3-'Tariffs Jul2023'!L3)*('Tariffs Jul2023'!R3/100)*'Tariffs Jul2023'!AI3))</f>
        <v>0</v>
      </c>
      <c r="I9" s="59">
        <f>IF(($C$5*'Tariffs Jul2023'!AK3/'Tariffs Jul2023'!AI3&gt;'Tariffs Jul2023'!M3),($C$5*'Tariffs Jul2023'!AK3/'Tariffs Jul2023'!AI3-'Tariffs Jul2023'!M3)*'Tariffs Jul2023'!S3/100*'Tariffs Jul2023'!AI3,0)</f>
        <v>343.63636363636357</v>
      </c>
      <c r="J9" s="59">
        <f>IF($C$5*'Tariffs Jul2023'!AL3/'Tariffs Jul2023'!AJ3&gt;='Tariffs Jul2023'!J3,('Tariffs Jul2023'!J3*'Tariffs Jul2023'!U3/100)* 'Tariffs Jul2023'!AJ3,($C$5*'Tariffs Jul2023'!AL3/'Tariffs Jul2023'!AJ3*'Tariffs Jul2023'!U3/100)* 'Tariffs Jul2023'!AJ3)</f>
        <v>318.27272727272725</v>
      </c>
      <c r="K9" s="59">
        <f>IF($C$5*'Tariffs Jul2023'!AL3/'Tariffs Jul2023'!AJ3&lt;'Tariffs Jul2023'!J3,0,IF($C$5*'Tariffs Jul2023'!AL3/'Tariffs Jul2023'!AJ3&lt;='Tariffs Jul2023'!K3,($C$5*'Tariffs Jul2023'!AL3/'Tariffs Jul2023'!AJ3-'Tariffs Jul2023'!J3)*('Tariffs Jul2023'!V3/100)*'Tariffs Jul2023'!AJ3,('Tariffs Jul2023'!K3-'Tariffs Jul2023'!J3)*('Tariffs Jul2023'!V3/100)*'Tariffs Jul2023'!AJ3))</f>
        <v>279.81818181818181</v>
      </c>
      <c r="L9" s="59">
        <f>IF($C$5*'Tariffs Jul2023'!AL3/'Tariffs Jul2023'!AJ3&lt;'Tariffs Jul2023'!K3,0,IF($C$5*'Tariffs Jul2023'!AL3/'Tariffs Jul2023'!AJ3&lt;='Tariffs Jul2023'!L3,($C$5*'Tariffs Jul2023'!AL3/'Tariffs Jul2023'!AJ3-'Tariffs Jul2023'!K3)*('Tariffs Jul2023'!W3/100)*'Tariffs Jul2023'!AJ3,('Tariffs Jul2023'!L3-'Tariffs Jul2023'!K3)*('Tariffs Jul2023'!W3/100)*'Tariffs Jul2023'!AJ3))</f>
        <v>0</v>
      </c>
      <c r="M9" s="59">
        <f>IF($C$5*'Tariffs Jul2023'!AL3/'Tariffs Jul2023'!AJ3&lt;'Tariffs Jul2023'!L3,0,IF($C$5*'Tariffs Jul2023'!AL3/'Tariffs Jul2023'!AJ3&lt;='Tariffs Jul2023'!M3,($C$5*'Tariffs Jul2023'!AL3/'Tariffs Jul2023'!AJ3-'Tariffs Jul2023'!L3)*('Tariffs Jul2023'!X3/100)*'Tariffs Jul2023'!AJ3,('Tariffs Jul2023'!M3-'Tariffs Jul2023'!L3)*('Tariffs Jul2023'!X3/100)*'Tariffs Jul2023'!AJ3))</f>
        <v>0</v>
      </c>
      <c r="N9" s="59">
        <f>IF(($C$5*'Tariffs Jul2023'!AL3/'Tariffs Jul2023'!AJ3&gt;'Tariffs Jul2023'!M3),($C$5*'Tariffs Jul2023'!AL3/'Tariffs Jul2023'!AJ3-'Tariffs Jul2023'!M3)*'Tariffs Jul2023'!Y3/100*'Tariffs Jul2023'!AJ3,0)</f>
        <v>343.63636363636357</v>
      </c>
      <c r="O9" s="59">
        <f t="shared" ref="O9:O84" si="1">SUM(E9:N9)</f>
        <v>1910.454545454545</v>
      </c>
      <c r="P9" s="503">
        <f t="shared" ref="P9:P84" si="2">O9*1.1</f>
        <v>2101.4999999999995</v>
      </c>
      <c r="Q9" s="59">
        <f t="shared" ref="Q9:Q84" si="3">D9+O9</f>
        <v>2148.6999999999994</v>
      </c>
      <c r="R9" s="272">
        <f t="shared" ref="R9:R84" si="4">Q9*1.1</f>
        <v>2363.5699999999997</v>
      </c>
      <c r="S9" s="40">
        <f>'Tariffs Jul2023'!AN3</f>
        <v>0</v>
      </c>
      <c r="T9" s="40">
        <f>'Tariffs Jul2023'!AO3</f>
        <v>0</v>
      </c>
      <c r="U9" s="40">
        <f>'Tariffs Jul2023'!AP3</f>
        <v>0</v>
      </c>
      <c r="V9" s="637">
        <f>'Tariffs Jul2023'!AQ3</f>
        <v>0</v>
      </c>
      <c r="W9" s="578" t="str">
        <f t="shared" ref="W9:W20" si="5">IF(SUM(S9:V9)=0,"No discount",IF(S9&gt;0,"Guaranteed off bill",IF(T9&gt;0,"Guaranteed off usage",IF(U9&gt;0,"Pay-on-time off bill","Pay-on-time off usage"))))</f>
        <v>No discount</v>
      </c>
      <c r="X9" s="538" t="str">
        <f t="shared" ref="X9:X20" si="6">IF(OR(A9="Origin Energy",A9="Red Energy",A9="Powershop"),"Inclusive","Exclusive")</f>
        <v>Exclusive</v>
      </c>
      <c r="Y9" s="535">
        <f>IF(AND(W9="Guaranteed off bill",X9="Inclusive"),((Q9*1.1)-((Q9*1.1)*S9/100))/1.1,IF(AND(W9="Guaranteed off usage",X9="Inclusive"),((Q9*1.1)-((P9*1.1)*T9/100))/1.1,IF(AND(W9="Guaranteed off bill",X9="Exclusive"),Q9-(Q9*S9/100),IF(AND(W9="Guaranteed off usage",X9="Exclusive"),Q9-(P9*T9/100),IF(X9="Inclusive",((Q9*1.1))/1.1,Q9)))))</f>
        <v>2148.6999999999994</v>
      </c>
      <c r="Z9" s="535">
        <f>IF(AND(W9="Pay-on-time off bill",X9="Inclusive"),((Y9*1.1)-((Y9*1.1)*U9/100))/1.1,IF(AND(W9="Pay-on-time off usage",X9="Inclusive"),((Y9*1.1)-((P9*1.1)*V9/100))/1.1,IF(AND(W9="Pay-on-time off bill",X9="Exclusive"),Y9-(Y9*U9/100),IF(AND(W9="Pay-on-time off usage",X9="Exclusive"),Y9-(P9*V9/100),IF(X9="Inclusive",((Y9*1.1))/1.1,Y9)))))</f>
        <v>2148.6999999999994</v>
      </c>
      <c r="AA9" s="542">
        <f t="shared" si="0"/>
        <v>2363.5699999999997</v>
      </c>
      <c r="AB9" s="609">
        <f t="shared" si="0"/>
        <v>2363.5699999999997</v>
      </c>
      <c r="AC9" s="625"/>
      <c r="AD9" s="625"/>
      <c r="AE9" s="625"/>
      <c r="AF9" s="625"/>
      <c r="AG9" s="625"/>
      <c r="AH9" s="625"/>
      <c r="AI9" s="625"/>
      <c r="AJ9" s="625"/>
      <c r="AK9" s="625"/>
      <c r="AL9" s="625"/>
      <c r="AM9" s="625"/>
      <c r="AN9" s="625"/>
      <c r="AO9" s="625"/>
      <c r="AP9" s="625"/>
      <c r="AQ9" s="625"/>
      <c r="AR9" s="625"/>
      <c r="AS9" s="625"/>
      <c r="AT9" s="625"/>
    </row>
    <row r="10" spans="1:46" ht="14" x14ac:dyDescent="0.15">
      <c r="A10" s="270" t="str">
        <f>'Tariffs Jul2023'!F4</f>
        <v>Dodo Power &amp; Gas</v>
      </c>
      <c r="B10" s="40" t="str">
        <f>'Tariffs Jul2023'!D4</f>
        <v>Multinet Metro 1</v>
      </c>
      <c r="C10" s="40" t="str">
        <f>'Tariffs Jul2023'!G4</f>
        <v>Market offer</v>
      </c>
      <c r="D10" s="59">
        <f>365*'Tariffs Jul2023'!H4/100</f>
        <v>252.04909090909089</v>
      </c>
      <c r="E10" s="59">
        <f>IF($C$5*'Tariffs Jul2023'!AK4/'Tariffs Jul2023'!AI4&gt;='Tariffs Jul2023'!J4,( 'Tariffs Jul2023'!J4*'Tariffs Jul2023'!O4/100)* 'Tariffs Jul2023'!AI4,($C$5*'Tariffs Jul2023'!AK4/'Tariffs Jul2023'!AI4*'Tariffs Jul2023'!O4/100)* 'Tariffs Jul2023'!AI4)</f>
        <v>278.18181818181813</v>
      </c>
      <c r="F10" s="59">
        <f>IF($C$5*'Tariffs Jul2023'!AK4/'Tariffs Jul2023'!AI4&lt;'Tariffs Jul2023'!J4,0,IF($C$5*'Tariffs Jul2023'!AK4/'Tariffs Jul2023'!AI4&lt;='Tariffs Jul2023'!K4,($C$5*'Tariffs Jul2023'!AK4/'Tariffs Jul2023'!AI4-'Tariffs Jul2023'!J4)*('Tariffs Jul2023'!P4/100)*'Tariffs Jul2023'!AI4,('Tariffs Jul2023'!K4-'Tariffs Jul2023'!J4)*('Tariffs Jul2023'!P4/100)*'Tariffs Jul2023'!AI4))</f>
        <v>248.72727272727269</v>
      </c>
      <c r="G10" s="59">
        <f>IF($C$5*'Tariffs Jul2023'!AK4/'Tariffs Jul2023'!AI4&lt;'Tariffs Jul2023'!K4,0,IF($C$5*'Tariffs Jul2023'!AK4/'Tariffs Jul2023'!AI4&lt;='Tariffs Jul2023'!L4,($C$5*'Tariffs Jul2023'!AK4/'Tariffs Jul2023'!AI4-'Tariffs Jul2023'!K4)*('Tariffs Jul2023'!Q4/100)*'Tariffs Jul2023'!AI4,('Tariffs Jul2023'!L4-'Tariffs Jul2023'!K4)*('Tariffs Jul2023'!Q4/100)*'Tariffs Jul2023'!AI4))</f>
        <v>218.45454545454544</v>
      </c>
      <c r="H10" s="59">
        <f>IF($C$5*'Tariffs Jul2023'!AK4/'Tariffs Jul2023'!AI4&lt;'Tariffs Jul2023'!L4,0,IF($C$5*'Tariffs Jul2023'!AK4/'Tariffs Jul2023'!AI4&lt;='Tariffs Jul2023'!M4,($C$5*'Tariffs Jul2023'!AK4/'Tariffs Jul2023'!AI4-'Tariffs Jul2023'!L4)*('Tariffs Jul2023'!R4/100)*'Tariffs Jul2023'!AI4,('Tariffs Jul2023'!M4-'Tariffs Jul2023'!L4)*('Tariffs Jul2023'!R4/100)*'Tariffs Jul2023'!AI4))</f>
        <v>102.27272727272725</v>
      </c>
      <c r="I10" s="59">
        <f>IF(($C$5*'Tariffs Jul2023'!AK4/'Tariffs Jul2023'!AI4&gt;'Tariffs Jul2023'!M4),($C$5*'Tariffs Jul2023'!AK4/'Tariffs Jul2023'!AI4-'Tariffs Jul2023'!M4)*'Tariffs Jul2023'!S4/100*'Tariffs Jul2023'!AI4,0)</f>
        <v>0</v>
      </c>
      <c r="J10" s="59">
        <f>IF($C$5*'Tariffs Jul2023'!AL4/'Tariffs Jul2023'!AJ4&gt;='Tariffs Jul2023'!J4,('Tariffs Jul2023'!J4*'Tariffs Jul2023'!U4/100)* 'Tariffs Jul2023'!AJ4,($C$5*'Tariffs Jul2023'!AL4/'Tariffs Jul2023'!AJ4*'Tariffs Jul2023'!U4/100)* 'Tariffs Jul2023'!AJ4)</f>
        <v>278.18181818181813</v>
      </c>
      <c r="K10" s="59">
        <f>IF($C$5*'Tariffs Jul2023'!AL4/'Tariffs Jul2023'!AJ4&lt;'Tariffs Jul2023'!J4,0,IF($C$5*'Tariffs Jul2023'!AL4/'Tariffs Jul2023'!AJ4&lt;='Tariffs Jul2023'!K4,($C$5*'Tariffs Jul2023'!AL4/'Tariffs Jul2023'!AJ4-'Tariffs Jul2023'!J4)*('Tariffs Jul2023'!V4/100)*'Tariffs Jul2023'!AJ4,('Tariffs Jul2023'!K4-'Tariffs Jul2023'!J4)*('Tariffs Jul2023'!V4/100)*'Tariffs Jul2023'!AJ4))</f>
        <v>248.72727272727269</v>
      </c>
      <c r="L10" s="59">
        <f>IF($C$5*'Tariffs Jul2023'!AL4/'Tariffs Jul2023'!AJ4&lt;'Tariffs Jul2023'!K4,0,IF($C$5*'Tariffs Jul2023'!AL4/'Tariffs Jul2023'!AJ4&lt;='Tariffs Jul2023'!L4,($C$5*'Tariffs Jul2023'!AL4/'Tariffs Jul2023'!AJ4-'Tariffs Jul2023'!K4)*('Tariffs Jul2023'!W4/100)*'Tariffs Jul2023'!AJ4,('Tariffs Jul2023'!L4-'Tariffs Jul2023'!K4)*('Tariffs Jul2023'!W4/100)*'Tariffs Jul2023'!AJ4))</f>
        <v>218.45454545454544</v>
      </c>
      <c r="M10" s="59">
        <f>IF($C$5*'Tariffs Jul2023'!AL4/'Tariffs Jul2023'!AJ4&lt;'Tariffs Jul2023'!L4,0,IF($C$5*'Tariffs Jul2023'!AL4/'Tariffs Jul2023'!AJ4&lt;='Tariffs Jul2023'!M4,($C$5*'Tariffs Jul2023'!AL4/'Tariffs Jul2023'!AJ4-'Tariffs Jul2023'!L4)*('Tariffs Jul2023'!X4/100)*'Tariffs Jul2023'!AJ4,('Tariffs Jul2023'!M4-'Tariffs Jul2023'!L4)*('Tariffs Jul2023'!X4/100)*'Tariffs Jul2023'!AJ4))</f>
        <v>102.27272727272725</v>
      </c>
      <c r="N10" s="59">
        <f>IF(($C$5*'Tariffs Jul2023'!AL4/'Tariffs Jul2023'!AJ4&gt;'Tariffs Jul2023'!M4),($C$5*'Tariffs Jul2023'!AL4/'Tariffs Jul2023'!AJ4-'Tariffs Jul2023'!M4)*'Tariffs Jul2023'!Y4/100*'Tariffs Jul2023'!AJ4,0)</f>
        <v>0</v>
      </c>
      <c r="O10" s="59">
        <f t="shared" si="1"/>
        <v>1695.272727272727</v>
      </c>
      <c r="P10" s="503">
        <f t="shared" si="2"/>
        <v>1864.8</v>
      </c>
      <c r="Q10" s="59">
        <f t="shared" si="3"/>
        <v>1947.3218181818179</v>
      </c>
      <c r="R10" s="272">
        <f t="shared" si="4"/>
        <v>2142.0539999999996</v>
      </c>
      <c r="S10" s="40">
        <f>'Tariffs Jul2023'!AN4</f>
        <v>0</v>
      </c>
      <c r="T10" s="40">
        <f>'Tariffs Jul2023'!AO4</f>
        <v>0</v>
      </c>
      <c r="U10" s="40">
        <f>'Tariffs Jul2023'!AP4</f>
        <v>0</v>
      </c>
      <c r="V10" s="637">
        <f>'Tariffs Jul2023'!AQ4</f>
        <v>0</v>
      </c>
      <c r="W10" s="578" t="str">
        <f t="shared" si="5"/>
        <v>No discount</v>
      </c>
      <c r="X10" s="538" t="str">
        <f t="shared" si="6"/>
        <v>Exclusive</v>
      </c>
      <c r="Y10" s="535">
        <f>IF(AND(W10="Guaranteed off bill",X10="Inclusive"),((Q10*1.1)-((Q10*1.1)*S10/100))/1.1,IF(AND(W10="Guaranteed off usage",X10="Inclusive"),((Q10*1.1)-((P10*1.1)*T10/100))/1.1,IF(AND(W10="Guaranteed off bill",X10="Exclusive"),Q10-(Q10*S10/100),IF(AND(W10="Guaranteed off usage",X10="Exclusive"),Q10-(P10*T10/100),IF(X10="Inclusive",((Q10*1.1))/1.1,Q10)))))</f>
        <v>1947.3218181818179</v>
      </c>
      <c r="Z10" s="535">
        <f>IF(AND(W10="Pay-on-time off bill",X10="Inclusive"),((Y10*1.1)-((Y10*1.1)*U10/100))/1.1,IF(AND(W10="Pay-on-time off usage",X10="Inclusive"),((Y10*1.1)-((P10*1.1)*V10/100))/1.1,IF(AND(W10="Pay-on-time off bill",X10="Exclusive"),Y10-(Y10*U10/100),IF(AND(W10="Pay-on-time off usage",X10="Exclusive"),Y10-(P10*V10/100),IF(X10="Inclusive",((Y10*1.1))/1.1,Y10)))))</f>
        <v>1947.3218181818179</v>
      </c>
      <c r="AA10" s="542">
        <f t="shared" si="0"/>
        <v>2142.0539999999996</v>
      </c>
      <c r="AB10" s="609">
        <f t="shared" si="0"/>
        <v>2142.0539999999996</v>
      </c>
      <c r="AC10" s="625"/>
      <c r="AD10" s="625"/>
      <c r="AE10" s="625"/>
      <c r="AF10" s="625"/>
      <c r="AG10" s="625"/>
      <c r="AH10" s="625"/>
      <c r="AI10" s="625"/>
      <c r="AJ10" s="625"/>
      <c r="AK10" s="625"/>
      <c r="AL10" s="625"/>
      <c r="AM10" s="625"/>
      <c r="AN10" s="625"/>
      <c r="AO10" s="625"/>
      <c r="AP10" s="625"/>
      <c r="AQ10" s="625"/>
      <c r="AR10" s="625"/>
      <c r="AS10" s="625"/>
      <c r="AT10" s="625"/>
    </row>
    <row r="11" spans="1:46" ht="14" x14ac:dyDescent="0.15">
      <c r="A11" s="270" t="str">
        <f>'Tariffs Jul2023'!F5</f>
        <v>EnergyAustralia</v>
      </c>
      <c r="B11" s="40" t="str">
        <f>'Tariffs Jul2023'!D5</f>
        <v>Multinet Metro 1</v>
      </c>
      <c r="C11" s="40" t="str">
        <f>'Tariffs Jul2023'!G5</f>
        <v>Flexi Plan</v>
      </c>
      <c r="D11" s="59">
        <f>365*'Tariffs Jul2023'!H5/100</f>
        <v>367.68772727272727</v>
      </c>
      <c r="E11" s="59">
        <f>IF($C$5*'Tariffs Jul2023'!AK5/'Tariffs Jul2023'!AI5&gt;='Tariffs Jul2023'!J5,( 'Tariffs Jul2023'!J5*'Tariffs Jul2023'!O5/100)* 'Tariffs Jul2023'!AI5,($C$5*'Tariffs Jul2023'!AK5/'Tariffs Jul2023'!AI5*'Tariffs Jul2023'!O5/100)* 'Tariffs Jul2023'!AI5)</f>
        <v>365.72727272727275</v>
      </c>
      <c r="F11" s="59">
        <f>IF($C$5*'Tariffs Jul2023'!AK5/'Tariffs Jul2023'!AI5&lt;'Tariffs Jul2023'!J5,0,IF($C$5*'Tariffs Jul2023'!AK5/'Tariffs Jul2023'!AI5&lt;='Tariffs Jul2023'!K5,($C$5*'Tariffs Jul2023'!AK5/'Tariffs Jul2023'!AI5-'Tariffs Jul2023'!J5)*('Tariffs Jul2023'!P5/100)*'Tariffs Jul2023'!AI5,('Tariffs Jul2023'!K5-'Tariffs Jul2023'!J5)*('Tariffs Jul2023'!P5/100)*'Tariffs Jul2023'!AI5))</f>
        <v>315.81818181818181</v>
      </c>
      <c r="G11" s="59">
        <f>IF($C$5*'Tariffs Jul2023'!AK5/'Tariffs Jul2023'!AI5&lt;'Tariffs Jul2023'!K5,0,IF($C$5*'Tariffs Jul2023'!AK5/'Tariffs Jul2023'!AI5&lt;='Tariffs Jul2023'!L5,($C$5*'Tariffs Jul2023'!AK5/'Tariffs Jul2023'!AI5-'Tariffs Jul2023'!K5)*('Tariffs Jul2023'!Q5/100)*'Tariffs Jul2023'!AI5,('Tariffs Jul2023'!L5-'Tariffs Jul2023'!K5)*('Tariffs Jul2023'!Q5/100)*'Tariffs Jul2023'!AI5))</f>
        <v>258.5454545454545</v>
      </c>
      <c r="H11" s="59">
        <f>IF($C$5*'Tariffs Jul2023'!AK5/'Tariffs Jul2023'!AI5&lt;'Tariffs Jul2023'!L5,0,IF($C$5*'Tariffs Jul2023'!AK5/'Tariffs Jul2023'!AI5&lt;='Tariffs Jul2023'!M5,($C$5*'Tariffs Jul2023'!AK5/'Tariffs Jul2023'!AI5-'Tariffs Jul2023'!L5)*('Tariffs Jul2023'!R5/100)*'Tariffs Jul2023'!AI5,('Tariffs Jul2023'!M5-'Tariffs Jul2023'!L5)*('Tariffs Jul2023'!R5/100)*'Tariffs Jul2023'!AI5))</f>
        <v>112.09090909090908</v>
      </c>
      <c r="I11" s="59">
        <f>IF(($C$5*'Tariffs Jul2023'!AK5/'Tariffs Jul2023'!AI5&gt;'Tariffs Jul2023'!M5),($C$5*'Tariffs Jul2023'!AK5/'Tariffs Jul2023'!AI5-'Tariffs Jul2023'!M5)*'Tariffs Jul2023'!S5/100*'Tariffs Jul2023'!AI5,0)</f>
        <v>0</v>
      </c>
      <c r="J11" s="59">
        <f>IF($C$5*'Tariffs Jul2023'!AL5/'Tariffs Jul2023'!AJ5&gt;='Tariffs Jul2023'!J5,('Tariffs Jul2023'!J5*'Tariffs Jul2023'!U5/100)* 'Tariffs Jul2023'!AJ5,($C$5*'Tariffs Jul2023'!AL5/'Tariffs Jul2023'!AJ5*'Tariffs Jul2023'!U5/100)* 'Tariffs Jul2023'!AJ5)</f>
        <v>355.90909090909076</v>
      </c>
      <c r="K11" s="59">
        <f>IF($C$5*'Tariffs Jul2023'!AL5/'Tariffs Jul2023'!AJ5&lt;'Tariffs Jul2023'!J5,0,IF($C$5*'Tariffs Jul2023'!AL5/'Tariffs Jul2023'!AJ5&lt;='Tariffs Jul2023'!K5,($C$5*'Tariffs Jul2023'!AL5/'Tariffs Jul2023'!AJ5-'Tariffs Jul2023'!J5)*('Tariffs Jul2023'!V5/100)*'Tariffs Jul2023'!AJ5,('Tariffs Jul2023'!K5-'Tariffs Jul2023'!J5)*('Tariffs Jul2023'!V5/100)*'Tariffs Jul2023'!AJ5))</f>
        <v>303.5454545454545</v>
      </c>
      <c r="L11" s="59">
        <f>IF($C$5*'Tariffs Jul2023'!AL5/'Tariffs Jul2023'!AJ5&lt;'Tariffs Jul2023'!K5,0,IF($C$5*'Tariffs Jul2023'!AL5/'Tariffs Jul2023'!AJ5&lt;='Tariffs Jul2023'!L5,($C$5*'Tariffs Jul2023'!AL5/'Tariffs Jul2023'!AJ5-'Tariffs Jul2023'!K5)*('Tariffs Jul2023'!W5/100)*'Tariffs Jul2023'!AJ5,('Tariffs Jul2023'!L5-'Tariffs Jul2023'!K5)*('Tariffs Jul2023'!W5/100)*'Tariffs Jul2023'!AJ5))</f>
        <v>251.99999999999994</v>
      </c>
      <c r="M11" s="59">
        <f>IF($C$5*'Tariffs Jul2023'!AL5/'Tariffs Jul2023'!AJ5&lt;'Tariffs Jul2023'!L5,0,IF($C$5*'Tariffs Jul2023'!AL5/'Tariffs Jul2023'!AJ5&lt;='Tariffs Jul2023'!M5,($C$5*'Tariffs Jul2023'!AL5/'Tariffs Jul2023'!AJ5-'Tariffs Jul2023'!L5)*('Tariffs Jul2023'!X5/100)*'Tariffs Jul2023'!AJ5,('Tariffs Jul2023'!M5-'Tariffs Jul2023'!L5)*('Tariffs Jul2023'!X5/100)*'Tariffs Jul2023'!AJ5))</f>
        <v>108</v>
      </c>
      <c r="N11" s="59">
        <f>IF(($C$5*'Tariffs Jul2023'!AL5/'Tariffs Jul2023'!AJ5&gt;'Tariffs Jul2023'!M5),($C$5*'Tariffs Jul2023'!AL5/'Tariffs Jul2023'!AJ5-'Tariffs Jul2023'!M5)*'Tariffs Jul2023'!Y5/100*'Tariffs Jul2023'!AJ5,0)</f>
        <v>0</v>
      </c>
      <c r="O11" s="59">
        <f>SUM(E11:N11)</f>
        <v>2071.6363636363631</v>
      </c>
      <c r="P11" s="503">
        <f t="shared" si="2"/>
        <v>2278.7999999999997</v>
      </c>
      <c r="Q11" s="59">
        <f>D11+O11</f>
        <v>2439.3240909090905</v>
      </c>
      <c r="R11" s="272">
        <f t="shared" si="4"/>
        <v>2683.2565</v>
      </c>
      <c r="S11" s="40">
        <f>'Tariffs Jul2023'!AN5</f>
        <v>25</v>
      </c>
      <c r="T11" s="40">
        <f>'Tariffs Jul2023'!AO5</f>
        <v>0</v>
      </c>
      <c r="U11" s="40">
        <f>'Tariffs Jul2023'!AP5</f>
        <v>0</v>
      </c>
      <c r="V11" s="637">
        <f>'Tariffs Jul2023'!AQ5</f>
        <v>0</v>
      </c>
      <c r="W11" s="578" t="str">
        <f t="shared" si="5"/>
        <v>Guaranteed off bill</v>
      </c>
      <c r="X11" s="538" t="str">
        <f t="shared" si="6"/>
        <v>Exclusive</v>
      </c>
      <c r="Y11" s="535">
        <f t="shared" ref="Y11" si="7">IF(AND(W11="Guaranteed off bill",X11="Inclusive"),((Q11*1.1)-((Q11*1.1)*S11/100))/1.1,IF(AND(W11="Guaranteed off usage",X11="Inclusive"),((Q11*1.1)-((P11*1.1)*T11/100))/1.1,IF(AND(W11="Guaranteed off bill",X11="Exclusive"),Q11-(Q11*S11/100),IF(AND(W11="Guaranteed off usage",X11="Exclusive"),Q11-(P11*T11/100),IF(X11="Inclusive",((Q11*1.1))/1.1,Q11)))))</f>
        <v>1829.4930681818178</v>
      </c>
      <c r="Z11" s="535">
        <f t="shared" ref="Z11" si="8">IF(AND(W11="Pay-on-time off bill",X11="Inclusive"),((Y11*1.1)-((Y11*1.1)*U11/100))/1.1,IF(AND(W11="Pay-on-time off usage",X11="Inclusive"),((Y11*1.1)-((P11*1.1)*V11/100))/1.1,IF(AND(W11="Pay-on-time off bill",X11="Exclusive"),Y11-(Y11*U11/100),IF(AND(W11="Pay-on-time off usage",X11="Exclusive"),Y11-(P11*V11/100),IF(X11="Inclusive",((Y11*1.1))/1.1,Y11)))))</f>
        <v>1829.4930681818178</v>
      </c>
      <c r="AA11" s="542">
        <f t="shared" si="0"/>
        <v>2012.4423749999996</v>
      </c>
      <c r="AB11" s="609">
        <f t="shared" si="0"/>
        <v>2012.4423749999996</v>
      </c>
      <c r="AC11" s="625"/>
      <c r="AD11" s="625"/>
      <c r="AE11" s="625"/>
      <c r="AF11" s="625"/>
      <c r="AG11" s="625"/>
      <c r="AH11" s="625"/>
      <c r="AI11" s="625"/>
      <c r="AJ11" s="625"/>
      <c r="AK11" s="625"/>
      <c r="AL11" s="625"/>
      <c r="AM11" s="625"/>
      <c r="AN11" s="625"/>
      <c r="AO11" s="625"/>
      <c r="AP11" s="625"/>
      <c r="AQ11" s="625"/>
      <c r="AR11" s="625"/>
      <c r="AS11" s="625"/>
      <c r="AT11" s="625"/>
    </row>
    <row r="12" spans="1:46" ht="14" x14ac:dyDescent="0.15">
      <c r="A12" s="270" t="str">
        <f>'Tariffs Jul2023'!F6</f>
        <v>Lumo Energy</v>
      </c>
      <c r="B12" s="40" t="str">
        <f>'Tariffs Jul2023'!D6</f>
        <v>Multinet Metro 1</v>
      </c>
      <c r="C12" s="40" t="str">
        <f>'Tariffs Jul2023'!G6</f>
        <v>Value</v>
      </c>
      <c r="D12" s="59">
        <f>365*'Tariffs Jul2023'!H6/100</f>
        <v>339.3836363636363</v>
      </c>
      <c r="E12" s="59">
        <f>IF($C$5*'Tariffs Jul2023'!AK6/'Tariffs Jul2023'!AI6&gt;='Tariffs Jul2023'!J6,( 'Tariffs Jul2023'!J6*'Tariffs Jul2023'!O6/100)* 'Tariffs Jul2023'!AI6,($C$5*'Tariffs Jul2023'!AK6/'Tariffs Jul2023'!AI6*'Tariffs Jul2023'!O6/100)* 'Tariffs Jul2023'!AI6)</f>
        <v>352.63636363636357</v>
      </c>
      <c r="F12" s="59">
        <f>IF($C$5*'Tariffs Jul2023'!AK6/'Tariffs Jul2023'!AI6&lt;'Tariffs Jul2023'!J6,0,IF($C$5*'Tariffs Jul2023'!AK6/'Tariffs Jul2023'!AI6&lt;='Tariffs Jul2023'!K6,($C$5*'Tariffs Jul2023'!AK6/'Tariffs Jul2023'!AI6-'Tariffs Jul2023'!J6)*('Tariffs Jul2023'!P6/100)*'Tariffs Jul2023'!AI6,('Tariffs Jul2023'!K6-'Tariffs Jul2023'!J6)*('Tariffs Jul2023'!P6/100)*'Tariffs Jul2023'!AI6))</f>
        <v>322.36363636363637</v>
      </c>
      <c r="G12" s="59">
        <f>IF($C$5*'Tariffs Jul2023'!AK6/'Tariffs Jul2023'!AI6&lt;'Tariffs Jul2023'!K6,0,IF($C$5*'Tariffs Jul2023'!AK6/'Tariffs Jul2023'!AI6&lt;='Tariffs Jul2023'!L6,($C$5*'Tariffs Jul2023'!AK6/'Tariffs Jul2023'!AI6-'Tariffs Jul2023'!K6)*('Tariffs Jul2023'!Q6/100)*'Tariffs Jul2023'!AI6,('Tariffs Jul2023'!L6-'Tariffs Jul2023'!K6)*('Tariffs Jul2023'!Q6/100)*'Tariffs Jul2023'!AI6))</f>
        <v>247.90909090909088</v>
      </c>
      <c r="H12" s="59">
        <f>IF($C$5*'Tariffs Jul2023'!AK6/'Tariffs Jul2023'!AI6&lt;'Tariffs Jul2023'!L6,0,IF($C$5*'Tariffs Jul2023'!AK6/'Tariffs Jul2023'!AI6&lt;='Tariffs Jul2023'!M6,($C$5*'Tariffs Jul2023'!AK6/'Tariffs Jul2023'!AI6-'Tariffs Jul2023'!L6)*('Tariffs Jul2023'!R6/100)*'Tariffs Jul2023'!AI6,('Tariffs Jul2023'!M6-'Tariffs Jul2023'!L6)*('Tariffs Jul2023'!R6/100)*'Tariffs Jul2023'!AI6))</f>
        <v>102.68181818181816</v>
      </c>
      <c r="I12" s="59">
        <f>IF(($C$5*'Tariffs Jul2023'!AK6/'Tariffs Jul2023'!AI6&gt;'Tariffs Jul2023'!M6),($C$5*'Tariffs Jul2023'!AK6/'Tariffs Jul2023'!AI6-'Tariffs Jul2023'!M6)*'Tariffs Jul2023'!S6/100*'Tariffs Jul2023'!AI6,0)</f>
        <v>0</v>
      </c>
      <c r="J12" s="59">
        <f>IF($C$5*'Tariffs Jul2023'!AL6/'Tariffs Jul2023'!AJ6&gt;='Tariffs Jul2023'!J6,('Tariffs Jul2023'!J6*'Tariffs Jul2023'!U6/100)* 'Tariffs Jul2023'!AJ6,($C$5*'Tariffs Jul2023'!AL6/'Tariffs Jul2023'!AJ6*'Tariffs Jul2023'!U6/100)* 'Tariffs Jul2023'!AJ6)</f>
        <v>323.99999999999994</v>
      </c>
      <c r="K12" s="59">
        <f>IF($C$5*'Tariffs Jul2023'!AL6/'Tariffs Jul2023'!AJ6&lt;'Tariffs Jul2023'!J6,0,IF($C$5*'Tariffs Jul2023'!AL6/'Tariffs Jul2023'!AJ6&lt;='Tariffs Jul2023'!K6,($C$5*'Tariffs Jul2023'!AL6/'Tariffs Jul2023'!AJ6-'Tariffs Jul2023'!J6)*('Tariffs Jul2023'!V6/100)*'Tariffs Jul2023'!AJ6,('Tariffs Jul2023'!K6-'Tariffs Jul2023'!J6)*('Tariffs Jul2023'!V6/100)*'Tariffs Jul2023'!AJ6))</f>
        <v>250.36363636363637</v>
      </c>
      <c r="L12" s="59">
        <f>IF($C$5*'Tariffs Jul2023'!AL6/'Tariffs Jul2023'!AJ6&lt;'Tariffs Jul2023'!K6,0,IF($C$5*'Tariffs Jul2023'!AL6/'Tariffs Jul2023'!AJ6&lt;='Tariffs Jul2023'!L6,($C$5*'Tariffs Jul2023'!AL6/'Tariffs Jul2023'!AJ6-'Tariffs Jul2023'!K6)*('Tariffs Jul2023'!W6/100)*'Tariffs Jul2023'!AJ6,('Tariffs Jul2023'!L6-'Tariffs Jul2023'!K6)*('Tariffs Jul2023'!W6/100)*'Tariffs Jul2023'!AJ6))</f>
        <v>214.36363636363637</v>
      </c>
      <c r="M12" s="59">
        <f>IF($C$5*'Tariffs Jul2023'!AL6/'Tariffs Jul2023'!AJ6&lt;'Tariffs Jul2023'!L6,0,IF($C$5*'Tariffs Jul2023'!AL6/'Tariffs Jul2023'!AJ6&lt;='Tariffs Jul2023'!M6,($C$5*'Tariffs Jul2023'!AL6/'Tariffs Jul2023'!AJ6-'Tariffs Jul2023'!L6)*('Tariffs Jul2023'!X6/100)*'Tariffs Jul2023'!AJ6,('Tariffs Jul2023'!M6-'Tariffs Jul2023'!L6)*('Tariffs Jul2023'!X6/100)*'Tariffs Jul2023'!AJ6))</f>
        <v>97.77272727272728</v>
      </c>
      <c r="N12" s="59">
        <f>IF(($C$5*'Tariffs Jul2023'!AL6/'Tariffs Jul2023'!AJ6&gt;'Tariffs Jul2023'!M6),($C$5*'Tariffs Jul2023'!AL6/'Tariffs Jul2023'!AJ6-'Tariffs Jul2023'!M6)*'Tariffs Jul2023'!Y6/100*'Tariffs Jul2023'!AJ6,0)</f>
        <v>0</v>
      </c>
      <c r="O12" s="59">
        <f t="shared" si="1"/>
        <v>1912.0909090909092</v>
      </c>
      <c r="P12" s="503">
        <f t="shared" si="2"/>
        <v>2103.3000000000002</v>
      </c>
      <c r="Q12" s="59">
        <f t="shared" si="3"/>
        <v>2251.4745454545455</v>
      </c>
      <c r="R12" s="272">
        <f t="shared" si="4"/>
        <v>2476.6220000000003</v>
      </c>
      <c r="S12" s="40">
        <f>'Tariffs Jul2023'!AN6</f>
        <v>0</v>
      </c>
      <c r="T12" s="40">
        <f>'Tariffs Jul2023'!AO6</f>
        <v>0</v>
      </c>
      <c r="U12" s="40">
        <f>'Tariffs Jul2023'!AP6</f>
        <v>0</v>
      </c>
      <c r="V12" s="637">
        <f>'Tariffs Jul2023'!AQ6</f>
        <v>0</v>
      </c>
      <c r="W12" s="578" t="str">
        <f t="shared" si="5"/>
        <v>No discount</v>
      </c>
      <c r="X12" s="538" t="str">
        <f t="shared" si="6"/>
        <v>Exclusive</v>
      </c>
      <c r="Y12" s="535">
        <f>IF(AND(W12="Guaranteed off bill",X12="Inclusive"),((Q12*1.1)-((Q12*1.1)*S12/100))/1.1,IF(AND(W12="Guaranteed off usage",X12="Inclusive"),((Q12*1.1)-((P12*1.1)*T12/100))/1.1,IF(AND(W12="Guaranteed off bill",X12="Exclusive"),Q12-(Q12*S12/100),IF(AND(W12="Guaranteed off usage",X12="Exclusive"),Q12-(P12*T12/100),IF(X12="Inclusive",((Q12*1.1))/1.1,Q12)))))</f>
        <v>2251.4745454545455</v>
      </c>
      <c r="Z12" s="535">
        <f>IF(AND(W12="Pay-on-time off bill",X12="Inclusive"),((Y12*1.1)-((Y12*1.1)*U12/100))/1.1,IF(AND(W12="Pay-on-time off usage",X12="Inclusive"),((Y12*1.1)-((P12*1.1)*V12/100))/1.1,IF(AND(W12="Pay-on-time off bill",X12="Exclusive"),Y12-(Y12*U12/100),IF(AND(W12="Pay-on-time off usage",X12="Exclusive"),Y12-(P12*V12/100),IF(X12="Inclusive",((Y12*1.1))/1.1,Y12)))))</f>
        <v>2251.4745454545455</v>
      </c>
      <c r="AA12" s="542">
        <f t="shared" si="0"/>
        <v>2476.6220000000003</v>
      </c>
      <c r="AB12" s="609">
        <f t="shared" si="0"/>
        <v>2476.6220000000003</v>
      </c>
      <c r="AC12" s="625"/>
      <c r="AD12" s="625"/>
      <c r="AE12" s="625"/>
      <c r="AF12" s="625"/>
      <c r="AG12" s="625"/>
      <c r="AH12" s="625"/>
      <c r="AI12" s="625"/>
      <c r="AJ12" s="625"/>
      <c r="AK12" s="625"/>
      <c r="AL12" s="625"/>
      <c r="AM12" s="625"/>
      <c r="AN12" s="625"/>
      <c r="AO12" s="625"/>
      <c r="AP12" s="625"/>
      <c r="AQ12" s="625"/>
      <c r="AR12" s="625"/>
      <c r="AS12" s="625"/>
      <c r="AT12" s="625"/>
    </row>
    <row r="13" spans="1:46" ht="14" x14ac:dyDescent="0.15">
      <c r="A13" s="270" t="str">
        <f>'Tariffs Jul2023'!F7</f>
        <v>Origin Energy</v>
      </c>
      <c r="B13" s="40" t="str">
        <f>'Tariffs Jul2023'!D7</f>
        <v>Multinet Metro 1</v>
      </c>
      <c r="C13" s="40" t="str">
        <f>'Tariffs Jul2023'!G7</f>
        <v>Go Variable</v>
      </c>
      <c r="D13" s="59">
        <f>365*'Tariffs Jul2023'!H7/100</f>
        <v>278.56136363636358</v>
      </c>
      <c r="E13" s="59">
        <f>IF($C$5*'Tariffs Jul2023'!AK7/'Tariffs Jul2023'!AI7&gt;='Tariffs Jul2023'!J7,( 'Tariffs Jul2023'!J7*'Tariffs Jul2023'!O7/100)* 'Tariffs Jul2023'!AI7,($C$5*'Tariffs Jul2023'!AK7/'Tariffs Jul2023'!AI7*'Tariffs Jul2023'!O7/100)* 'Tariffs Jul2023'!AI7)</f>
        <v>576</v>
      </c>
      <c r="F13" s="59">
        <f>IF($C$5*'Tariffs Jul2023'!AK7/'Tariffs Jul2023'!AI7&lt;'Tariffs Jul2023'!J7,0,IF($C$5*'Tariffs Jul2023'!AK7/'Tariffs Jul2023'!AI7&lt;='Tariffs Jul2023'!K7,($C$5*'Tariffs Jul2023'!AK7/'Tariffs Jul2023'!AI7-'Tariffs Jul2023'!J7)*('Tariffs Jul2023'!P7/100)*'Tariffs Jul2023'!AI7,('Tariffs Jul2023'!K7-'Tariffs Jul2023'!J7)*('Tariffs Jul2023'!P7/100)*'Tariffs Jul2023'!AI7))</f>
        <v>0</v>
      </c>
      <c r="G13" s="59">
        <f>IF($C$5*'Tariffs Jul2023'!AK7/'Tariffs Jul2023'!AI7&lt;'Tariffs Jul2023'!K7,0,IF($C$5*'Tariffs Jul2023'!AK7/'Tariffs Jul2023'!AI7&lt;='Tariffs Jul2023'!L7,($C$5*'Tariffs Jul2023'!AK7/'Tariffs Jul2023'!AI7-'Tariffs Jul2023'!K7)*('Tariffs Jul2023'!Q7/100)*'Tariffs Jul2023'!AI7,('Tariffs Jul2023'!L7-'Tariffs Jul2023'!K7)*('Tariffs Jul2023'!Q7/100)*'Tariffs Jul2023'!AI7))</f>
        <v>0</v>
      </c>
      <c r="H13" s="59">
        <f>IF($C$5*'Tariffs Jul2023'!AK7/'Tariffs Jul2023'!AI7&lt;'Tariffs Jul2023'!L7,0,IF($C$5*'Tariffs Jul2023'!AK7/'Tariffs Jul2023'!AI7&lt;='Tariffs Jul2023'!M7,($C$5*'Tariffs Jul2023'!AK7/'Tariffs Jul2023'!AI7-'Tariffs Jul2023'!L7)*('Tariffs Jul2023'!R7/100)*'Tariffs Jul2023'!AI7,('Tariffs Jul2023'!M7-'Tariffs Jul2023'!L7)*('Tariffs Jul2023'!R7/100)*'Tariffs Jul2023'!AI7))</f>
        <v>0</v>
      </c>
      <c r="I13" s="59">
        <f>IF(($C$5*'Tariffs Jul2023'!AK7/'Tariffs Jul2023'!AI7&gt;'Tariffs Jul2023'!M7),($C$5*'Tariffs Jul2023'!AK7/'Tariffs Jul2023'!AI7-'Tariffs Jul2023'!M7)*'Tariffs Jul2023'!S7/100*'Tariffs Jul2023'!AI7,0)</f>
        <v>287.18181818181813</v>
      </c>
      <c r="J13" s="59">
        <f>IF($C$5*'Tariffs Jul2023'!AL7/'Tariffs Jul2023'!AJ7&gt;='Tariffs Jul2023'!J7,('Tariffs Jul2023'!J7*'Tariffs Jul2023'!U7/100)* 'Tariffs Jul2023'!AJ7,($C$5*'Tariffs Jul2023'!AL7/'Tariffs Jul2023'!AJ7*'Tariffs Jul2023'!U7/100)* 'Tariffs Jul2023'!AJ7)</f>
        <v>576</v>
      </c>
      <c r="K13" s="59">
        <f>IF($C$5*'Tariffs Jul2023'!AL7/'Tariffs Jul2023'!AJ7&lt;'Tariffs Jul2023'!J7,0,IF($C$5*'Tariffs Jul2023'!AL7/'Tariffs Jul2023'!AJ7&lt;='Tariffs Jul2023'!K7,($C$5*'Tariffs Jul2023'!AL7/'Tariffs Jul2023'!AJ7-'Tariffs Jul2023'!J7)*('Tariffs Jul2023'!V7/100)*'Tariffs Jul2023'!AJ7,('Tariffs Jul2023'!K7-'Tariffs Jul2023'!J7)*('Tariffs Jul2023'!V7/100)*'Tariffs Jul2023'!AJ7))</f>
        <v>0</v>
      </c>
      <c r="L13" s="59">
        <f>IF($C$5*'Tariffs Jul2023'!AL7/'Tariffs Jul2023'!AJ7&lt;'Tariffs Jul2023'!K7,0,IF($C$5*'Tariffs Jul2023'!AL7/'Tariffs Jul2023'!AJ7&lt;='Tariffs Jul2023'!L7,($C$5*'Tariffs Jul2023'!AL7/'Tariffs Jul2023'!AJ7-'Tariffs Jul2023'!K7)*('Tariffs Jul2023'!W7/100)*'Tariffs Jul2023'!AJ7,('Tariffs Jul2023'!L7-'Tariffs Jul2023'!K7)*('Tariffs Jul2023'!W7/100)*'Tariffs Jul2023'!AJ7))</f>
        <v>0</v>
      </c>
      <c r="M13" s="59">
        <f>IF($C$5*'Tariffs Jul2023'!AL7/'Tariffs Jul2023'!AJ7&lt;'Tariffs Jul2023'!L7,0,IF($C$5*'Tariffs Jul2023'!AL7/'Tariffs Jul2023'!AJ7&lt;='Tariffs Jul2023'!M7,($C$5*'Tariffs Jul2023'!AL7/'Tariffs Jul2023'!AJ7-'Tariffs Jul2023'!L7)*('Tariffs Jul2023'!X7/100)*'Tariffs Jul2023'!AJ7,('Tariffs Jul2023'!M7-'Tariffs Jul2023'!L7)*('Tariffs Jul2023'!X7/100)*'Tariffs Jul2023'!AJ7))</f>
        <v>0</v>
      </c>
      <c r="N13" s="59">
        <f>IF(($C$5*'Tariffs Jul2023'!AL7/'Tariffs Jul2023'!AJ7&gt;'Tariffs Jul2023'!M7),($C$5*'Tariffs Jul2023'!AL7/'Tariffs Jul2023'!AJ7-'Tariffs Jul2023'!M7)*'Tariffs Jul2023'!Y7/100*'Tariffs Jul2023'!AJ7,0)</f>
        <v>287.18181818181813</v>
      </c>
      <c r="O13" s="59">
        <f t="shared" si="1"/>
        <v>1726.363636363636</v>
      </c>
      <c r="P13" s="503">
        <f t="shared" si="2"/>
        <v>1898.9999999999998</v>
      </c>
      <c r="Q13" s="59">
        <f t="shared" si="3"/>
        <v>2004.9249999999997</v>
      </c>
      <c r="R13" s="272">
        <f t="shared" si="4"/>
        <v>2205.4175</v>
      </c>
      <c r="S13" s="40">
        <f>'Tariffs Jul2023'!AN7</f>
        <v>0</v>
      </c>
      <c r="T13" s="40">
        <f>'Tariffs Jul2023'!AO7</f>
        <v>0</v>
      </c>
      <c r="U13" s="40">
        <f>'Tariffs Jul2023'!AP7</f>
        <v>0</v>
      </c>
      <c r="V13" s="637">
        <f>'Tariffs Jul2023'!AQ7</f>
        <v>0</v>
      </c>
      <c r="W13" s="578" t="str">
        <f t="shared" si="5"/>
        <v>No discount</v>
      </c>
      <c r="X13" s="538" t="str">
        <f t="shared" si="6"/>
        <v>Inclusive</v>
      </c>
      <c r="Y13" s="535">
        <f>IF(AND(W13="Guaranteed off bill",X13="Inclusive"),((Q13*1.1)-((Q13*1.1)*S13/100))/1.1,IF(AND(W13="Guaranteed off usage",X13="Inclusive"),((Q13*1.1)-((P13*1.1)*T13/100))/1.1,IF(AND(W13="Guaranteed off bill",X13="Exclusive"),Q13-(Q13*S13/100),IF(AND(W13="Guaranteed off usage",X13="Exclusive"),Q13-(P13*T13/100),IF(X13="Inclusive",((Q13*1.1))/1.1,Q13)))))</f>
        <v>2004.925</v>
      </c>
      <c r="Z13" s="535">
        <f>IF(AND(W13="Pay-on-time off bill",X13="Inclusive"),((Y13*1.1)-((Y13*1.1)*U13/100))/1.1,IF(AND(W13="Pay-on-time off usage",X13="Inclusive"),((Y13*1.1)-((P13*1.1)*V13/100))/1.1,IF(AND(W13="Pay-on-time off bill",X13="Exclusive"),Y13-(Y13*U13/100),IF(AND(W13="Pay-on-time off usage",X13="Exclusive"),Y13-(P13*V13/100),IF(X13="Inclusive",((Y13*1.1))/1.1,Y13)))))</f>
        <v>2004.925</v>
      </c>
      <c r="AA13" s="542">
        <f t="shared" si="0"/>
        <v>2205.4175</v>
      </c>
      <c r="AB13" s="609">
        <f t="shared" si="0"/>
        <v>2205.4175</v>
      </c>
      <c r="AC13" s="625"/>
      <c r="AD13" s="625"/>
      <c r="AE13" s="625"/>
      <c r="AF13" s="625"/>
      <c r="AG13" s="625"/>
      <c r="AH13" s="625"/>
      <c r="AI13" s="625"/>
      <c r="AJ13" s="625"/>
      <c r="AK13" s="625"/>
      <c r="AL13" s="625"/>
      <c r="AM13" s="625"/>
      <c r="AN13" s="625"/>
      <c r="AO13" s="625"/>
      <c r="AP13" s="625"/>
      <c r="AQ13" s="625"/>
      <c r="AR13" s="625"/>
      <c r="AS13" s="625"/>
      <c r="AT13" s="625"/>
    </row>
    <row r="14" spans="1:46" ht="14" x14ac:dyDescent="0.15">
      <c r="A14" s="270" t="str">
        <f>'Tariffs Jul2023'!F8</f>
        <v>Red Energy</v>
      </c>
      <c r="B14" s="40" t="str">
        <f>'Tariffs Jul2023'!D8</f>
        <v>Multinet Metro 1</v>
      </c>
      <c r="C14" s="40" t="str">
        <f>'Tariffs Jul2023'!G8</f>
        <v>Living Energy Saver</v>
      </c>
      <c r="D14" s="59">
        <f>365*'Tariffs Jul2023'!H8/100</f>
        <v>273.75</v>
      </c>
      <c r="E14" s="59">
        <f>IF($C$5*'Tariffs Jul2023'!AK8/'Tariffs Jul2023'!AI8&gt;='Tariffs Jul2023'!J8,( 'Tariffs Jul2023'!J8*'Tariffs Jul2023'!O8/100)* 'Tariffs Jul2023'!AI8,($C$5*'Tariffs Jul2023'!AK8/'Tariffs Jul2023'!AI8*'Tariffs Jul2023'!O8/100)* 'Tariffs Jul2023'!AI8)</f>
        <v>304.36363636363637</v>
      </c>
      <c r="F14" s="59">
        <f>IF($C$5*'Tariffs Jul2023'!AK8/'Tariffs Jul2023'!AI8&lt;'Tariffs Jul2023'!J8,0,IF($C$5*'Tariffs Jul2023'!AK8/'Tariffs Jul2023'!AI8&lt;='Tariffs Jul2023'!K8,($C$5*'Tariffs Jul2023'!AK8/'Tariffs Jul2023'!AI8-'Tariffs Jul2023'!J8)*('Tariffs Jul2023'!P8/100)*'Tariffs Jul2023'!AI8,('Tariffs Jul2023'!K8-'Tariffs Jul2023'!J8)*('Tariffs Jul2023'!P8/100)*'Tariffs Jul2023'!AI8))</f>
        <v>269.18181818181813</v>
      </c>
      <c r="G14" s="59">
        <f>IF($C$5*'Tariffs Jul2023'!AK8/'Tariffs Jul2023'!AI8&lt;'Tariffs Jul2023'!K8,0,IF($C$5*'Tariffs Jul2023'!AK8/'Tariffs Jul2023'!AI8&lt;='Tariffs Jul2023'!L8,($C$5*'Tariffs Jul2023'!AK8/'Tariffs Jul2023'!AI8-'Tariffs Jul2023'!K8)*('Tariffs Jul2023'!Q8/100)*'Tariffs Jul2023'!AI8,('Tariffs Jul2023'!L8-'Tariffs Jul2023'!K8)*('Tariffs Jul2023'!Q8/100)*'Tariffs Jul2023'!AI8))</f>
        <v>221.72727272727272</v>
      </c>
      <c r="H14" s="59">
        <f>IF($C$5*'Tariffs Jul2023'!AK8/'Tariffs Jul2023'!AI8&lt;'Tariffs Jul2023'!L8,0,IF($C$5*'Tariffs Jul2023'!AK8/'Tariffs Jul2023'!AI8&lt;='Tariffs Jul2023'!M8,($C$5*'Tariffs Jul2023'!AK8/'Tariffs Jul2023'!AI8-'Tariffs Jul2023'!L8)*('Tariffs Jul2023'!R8/100)*'Tariffs Jul2023'!AI8,('Tariffs Jul2023'!M8-'Tariffs Jul2023'!L8)*('Tariffs Jul2023'!R8/100)*'Tariffs Jul2023'!AI8))</f>
        <v>90</v>
      </c>
      <c r="I14" s="59">
        <f>IF(($C$5*'Tariffs Jul2023'!AK8/'Tariffs Jul2023'!AI8&gt;'Tariffs Jul2023'!M8),($C$5*'Tariffs Jul2023'!AK8/'Tariffs Jul2023'!AI8-'Tariffs Jul2023'!M8)*'Tariffs Jul2023'!S8/100*'Tariffs Jul2023'!AI8,0)</f>
        <v>0</v>
      </c>
      <c r="J14" s="59">
        <f>IF($C$5*'Tariffs Jul2023'!AL8/'Tariffs Jul2023'!AJ8&gt;='Tariffs Jul2023'!J8,('Tariffs Jul2023'!J8*'Tariffs Jul2023'!U8/100)* 'Tariffs Jul2023'!AJ8,($C$5*'Tariffs Jul2023'!AL8/'Tariffs Jul2023'!AJ8*'Tariffs Jul2023'!U8/100)* 'Tariffs Jul2023'!AJ8)</f>
        <v>287.18181818181813</v>
      </c>
      <c r="K14" s="59">
        <f>IF($C$5*'Tariffs Jul2023'!AL8/'Tariffs Jul2023'!AJ8&lt;'Tariffs Jul2023'!J8,0,IF($C$5*'Tariffs Jul2023'!AL8/'Tariffs Jul2023'!AJ8&lt;='Tariffs Jul2023'!K8,($C$5*'Tariffs Jul2023'!AL8/'Tariffs Jul2023'!AJ8-'Tariffs Jul2023'!J8)*('Tariffs Jul2023'!V8/100)*'Tariffs Jul2023'!AJ8,('Tariffs Jul2023'!K8-'Tariffs Jul2023'!J8)*('Tariffs Jul2023'!V8/100)*'Tariffs Jul2023'!AJ8))</f>
        <v>238.90909090909088</v>
      </c>
      <c r="L14" s="59">
        <f>IF($C$5*'Tariffs Jul2023'!AL8/'Tariffs Jul2023'!AJ8&lt;'Tariffs Jul2023'!K8,0,IF($C$5*'Tariffs Jul2023'!AL8/'Tariffs Jul2023'!AJ8&lt;='Tariffs Jul2023'!L8,($C$5*'Tariffs Jul2023'!AL8/'Tariffs Jul2023'!AJ8-'Tariffs Jul2023'!K8)*('Tariffs Jul2023'!W8/100)*'Tariffs Jul2023'!AJ8,('Tariffs Jul2023'!L8-'Tariffs Jul2023'!K8)*('Tariffs Jul2023'!W8/100)*'Tariffs Jul2023'!AJ8))</f>
        <v>189.00000000000003</v>
      </c>
      <c r="M14" s="59">
        <f>IF($C$5*'Tariffs Jul2023'!AL8/'Tariffs Jul2023'!AJ8&lt;'Tariffs Jul2023'!L8,0,IF($C$5*'Tariffs Jul2023'!AL8/'Tariffs Jul2023'!AJ8&lt;='Tariffs Jul2023'!M8,($C$5*'Tariffs Jul2023'!AL8/'Tariffs Jul2023'!AJ8-'Tariffs Jul2023'!L8)*('Tariffs Jul2023'!X8/100)*'Tariffs Jul2023'!AJ8,('Tariffs Jul2023'!M8-'Tariffs Jul2023'!L8)*('Tariffs Jul2023'!X8/100)*'Tariffs Jul2023'!AJ8))</f>
        <v>85.499999999999972</v>
      </c>
      <c r="N14" s="59">
        <f>IF(($C$5*'Tariffs Jul2023'!AL8/'Tariffs Jul2023'!AJ8&gt;'Tariffs Jul2023'!M8),($C$5*'Tariffs Jul2023'!AL8/'Tariffs Jul2023'!AJ8-'Tariffs Jul2023'!M8)*'Tariffs Jul2023'!Y8/100*'Tariffs Jul2023'!AJ8,0)</f>
        <v>0</v>
      </c>
      <c r="O14" s="59">
        <f t="shared" si="1"/>
        <v>1685.8636363636365</v>
      </c>
      <c r="P14" s="503">
        <f t="shared" si="2"/>
        <v>1854.4500000000003</v>
      </c>
      <c r="Q14" s="59">
        <f t="shared" si="3"/>
        <v>1959.6136363636365</v>
      </c>
      <c r="R14" s="272">
        <f t="shared" si="4"/>
        <v>2155.5750000000003</v>
      </c>
      <c r="S14" s="40">
        <f>'Tariffs Jul2023'!AN8</f>
        <v>0</v>
      </c>
      <c r="T14" s="40">
        <f>'Tariffs Jul2023'!AO8</f>
        <v>0</v>
      </c>
      <c r="U14" s="40">
        <f>'Tariffs Jul2023'!AP8</f>
        <v>0</v>
      </c>
      <c r="V14" s="637">
        <f>'Tariffs Jul2023'!AQ8</f>
        <v>0</v>
      </c>
      <c r="W14" s="578" t="str">
        <f t="shared" si="5"/>
        <v>No discount</v>
      </c>
      <c r="X14" s="538" t="str">
        <f t="shared" si="6"/>
        <v>Inclusive</v>
      </c>
      <c r="Y14" s="535">
        <f t="shared" ref="Y14:Y16" si="9">IF(AND(W14="Guaranteed off bill",X14="Inclusive"),((Q14*1.1)-((Q14*1.1)*S14/100))/1.1,IF(AND(W14="Guaranteed off usage",X14="Inclusive"),((Q14*1.1)-((P14*1.1)*T14/100))/1.1,IF(AND(W14="Guaranteed off bill",X14="Exclusive"),Q14-(Q14*S14/100),IF(AND(W14="Guaranteed off usage",X14="Exclusive"),Q14-(P14*T14/100),IF(X14="Inclusive",((Q14*1.1))/1.1,Q14)))))</f>
        <v>1959.6136363636365</v>
      </c>
      <c r="Z14" s="535">
        <f t="shared" ref="Z14:Z16" si="10">IF(AND(W14="Pay-on-time off bill",X14="Inclusive"),((Y14*1.1)-((Y14*1.1)*U14/100))/1.1,IF(AND(W14="Pay-on-time off usage",X14="Inclusive"),((Y14*1.1)-((P14*1.1)*V14/100))/1.1,IF(AND(W14="Pay-on-time off bill",X14="Exclusive"),Y14-(Y14*U14/100),IF(AND(W14="Pay-on-time off usage",X14="Exclusive"),Y14-(P14*V14/100),IF(X14="Inclusive",((Y14*1.1))/1.1,Y14)))))</f>
        <v>1959.6136363636365</v>
      </c>
      <c r="AA14" s="542">
        <f t="shared" si="0"/>
        <v>2155.5750000000003</v>
      </c>
      <c r="AB14" s="609">
        <f t="shared" si="0"/>
        <v>2155.5750000000003</v>
      </c>
      <c r="AC14" s="625"/>
      <c r="AD14" s="625"/>
      <c r="AE14" s="625"/>
      <c r="AF14" s="625"/>
      <c r="AG14" s="625"/>
      <c r="AH14" s="625"/>
      <c r="AI14" s="625"/>
      <c r="AJ14" s="625"/>
      <c r="AK14" s="625"/>
      <c r="AL14" s="625"/>
      <c r="AM14" s="625"/>
      <c r="AN14" s="625"/>
      <c r="AO14" s="625"/>
      <c r="AP14" s="625"/>
      <c r="AQ14" s="625"/>
      <c r="AR14" s="625"/>
      <c r="AS14" s="625"/>
      <c r="AT14" s="625"/>
    </row>
    <row r="15" spans="1:46" ht="14" x14ac:dyDescent="0.15">
      <c r="A15" s="270" t="str">
        <f>'Tariffs Jul2023'!F9</f>
        <v>Simply Energy</v>
      </c>
      <c r="B15" s="40" t="str">
        <f>'Tariffs Jul2023'!D9</f>
        <v>Multinet Metro 1</v>
      </c>
      <c r="C15" s="40" t="str">
        <f>'Tariffs Jul2023'!G9</f>
        <v>Blue Perks</v>
      </c>
      <c r="D15" s="59">
        <f>365*'Tariffs Jul2023'!H9/100</f>
        <v>298.86863636363631</v>
      </c>
      <c r="E15" s="59">
        <f>IF($C$5*'Tariffs Jul2023'!AK9/'Tariffs Jul2023'!AI9&gt;='Tariffs Jul2023'!J9,( 'Tariffs Jul2023'!J9*'Tariffs Jul2023'!O9/100)* 'Tariffs Jul2023'!AI9,($C$5*'Tariffs Jul2023'!AK9/'Tariffs Jul2023'!AI9*'Tariffs Jul2023'!O9/100)* 'Tariffs Jul2023'!AI9)</f>
        <v>329.72727272727275</v>
      </c>
      <c r="F15" s="59">
        <f>IF($C$5*'Tariffs Jul2023'!AK9/'Tariffs Jul2023'!AI9&lt;'Tariffs Jul2023'!J9,0,IF($C$5*'Tariffs Jul2023'!AK9/'Tariffs Jul2023'!AI9&lt;='Tariffs Jul2023'!K9,($C$5*'Tariffs Jul2023'!AK9/'Tariffs Jul2023'!AI9-'Tariffs Jul2023'!J9)*('Tariffs Jul2023'!P9/100)*'Tariffs Jul2023'!AI9,('Tariffs Jul2023'!K9-'Tariffs Jul2023'!J9)*('Tariffs Jul2023'!P9/100)*'Tariffs Jul2023'!AI9))</f>
        <v>295.36363636363637</v>
      </c>
      <c r="G15" s="59">
        <f>IF($C$5*'Tariffs Jul2023'!AK9/'Tariffs Jul2023'!AI9&lt;'Tariffs Jul2023'!K9,0,IF($C$5*'Tariffs Jul2023'!AK9/'Tariffs Jul2023'!AI9&lt;='Tariffs Jul2023'!L9,($C$5*'Tariffs Jul2023'!AK9/'Tariffs Jul2023'!AI9-'Tariffs Jul2023'!K9)*('Tariffs Jul2023'!Q9/100)*'Tariffs Jul2023'!AI9,('Tariffs Jul2023'!L9-'Tariffs Jul2023'!K9)*('Tariffs Jul2023'!Q9/100)*'Tariffs Jul2023'!AI9))</f>
        <v>254.45454545454544</v>
      </c>
      <c r="H15" s="59">
        <f>IF($C$5*'Tariffs Jul2023'!AK9/'Tariffs Jul2023'!AI9&lt;'Tariffs Jul2023'!L9,0,IF($C$5*'Tariffs Jul2023'!AK9/'Tariffs Jul2023'!AI9&lt;='Tariffs Jul2023'!M9,($C$5*'Tariffs Jul2023'!AK9/'Tariffs Jul2023'!AI9-'Tariffs Jul2023'!L9)*('Tariffs Jul2023'!R9/100)*'Tariffs Jul2023'!AI9,('Tariffs Jul2023'!M9-'Tariffs Jul2023'!L9)*('Tariffs Jul2023'!R9/100)*'Tariffs Jul2023'!AI9))</f>
        <v>115.77272727272728</v>
      </c>
      <c r="I15" s="59">
        <f>IF(($C$5*'Tariffs Jul2023'!AK9/'Tariffs Jul2023'!AI9&gt;'Tariffs Jul2023'!M9),($C$5*'Tariffs Jul2023'!AK9/'Tariffs Jul2023'!AI9-'Tariffs Jul2023'!M9)*'Tariffs Jul2023'!S9/100*'Tariffs Jul2023'!AI9,0)</f>
        <v>0</v>
      </c>
      <c r="J15" s="59">
        <f>IF($C$5*'Tariffs Jul2023'!AL9/'Tariffs Jul2023'!AJ9&gt;='Tariffs Jul2023'!J9,('Tariffs Jul2023'!J9*'Tariffs Jul2023'!U9/100)* 'Tariffs Jul2023'!AJ9,($C$5*'Tariffs Jul2023'!AL9/'Tariffs Jul2023'!AJ9*'Tariffs Jul2023'!U9/100)* 'Tariffs Jul2023'!AJ9)</f>
        <v>329.72727272727275</v>
      </c>
      <c r="K15" s="59">
        <f>IF($C$5*'Tariffs Jul2023'!AL9/'Tariffs Jul2023'!AJ9&lt;'Tariffs Jul2023'!J9,0,IF($C$5*'Tariffs Jul2023'!AL9/'Tariffs Jul2023'!AJ9&lt;='Tariffs Jul2023'!K9,($C$5*'Tariffs Jul2023'!AL9/'Tariffs Jul2023'!AJ9-'Tariffs Jul2023'!J9)*('Tariffs Jul2023'!V9/100)*'Tariffs Jul2023'!AJ9,('Tariffs Jul2023'!K9-'Tariffs Jul2023'!J9)*('Tariffs Jul2023'!V9/100)*'Tariffs Jul2023'!AJ9))</f>
        <v>295.36363636363637</v>
      </c>
      <c r="L15" s="59">
        <f>IF($C$5*'Tariffs Jul2023'!AL9/'Tariffs Jul2023'!AJ9&lt;'Tariffs Jul2023'!K9,0,IF($C$5*'Tariffs Jul2023'!AL9/'Tariffs Jul2023'!AJ9&lt;='Tariffs Jul2023'!L9,($C$5*'Tariffs Jul2023'!AL9/'Tariffs Jul2023'!AJ9-'Tariffs Jul2023'!K9)*('Tariffs Jul2023'!W9/100)*'Tariffs Jul2023'!AJ9,('Tariffs Jul2023'!L9-'Tariffs Jul2023'!K9)*('Tariffs Jul2023'!W9/100)*'Tariffs Jul2023'!AJ9))</f>
        <v>254.45454545454544</v>
      </c>
      <c r="M15" s="59">
        <f>IF($C$5*'Tariffs Jul2023'!AL9/'Tariffs Jul2023'!AJ9&lt;'Tariffs Jul2023'!L9,0,IF($C$5*'Tariffs Jul2023'!AL9/'Tariffs Jul2023'!AJ9&lt;='Tariffs Jul2023'!M9,($C$5*'Tariffs Jul2023'!AL9/'Tariffs Jul2023'!AJ9-'Tariffs Jul2023'!L9)*('Tariffs Jul2023'!X9/100)*'Tariffs Jul2023'!AJ9,('Tariffs Jul2023'!M9-'Tariffs Jul2023'!L9)*('Tariffs Jul2023'!X9/100)*'Tariffs Jul2023'!AJ9))</f>
        <v>115.77272727272728</v>
      </c>
      <c r="N15" s="59">
        <f>IF(($C$5*'Tariffs Jul2023'!AL9/'Tariffs Jul2023'!AJ9&gt;'Tariffs Jul2023'!M9),($C$5*'Tariffs Jul2023'!AL9/'Tariffs Jul2023'!AJ9-'Tariffs Jul2023'!M9)*'Tariffs Jul2023'!Y9/100*'Tariffs Jul2023'!AJ9,0)</f>
        <v>0</v>
      </c>
      <c r="O15" s="59">
        <f t="shared" si="1"/>
        <v>1990.6363636363637</v>
      </c>
      <c r="P15" s="503">
        <f t="shared" si="2"/>
        <v>2189.7000000000003</v>
      </c>
      <c r="Q15" s="59">
        <f t="shared" si="3"/>
        <v>2289.5050000000001</v>
      </c>
      <c r="R15" s="272">
        <f t="shared" si="4"/>
        <v>2518.4555000000005</v>
      </c>
      <c r="S15" s="40">
        <f>'Tariffs Jul2023'!AN9</f>
        <v>10</v>
      </c>
      <c r="T15" s="40">
        <f>'Tariffs Jul2023'!AO9</f>
        <v>0</v>
      </c>
      <c r="U15" s="40">
        <f>'Tariffs Jul2023'!AP9</f>
        <v>0</v>
      </c>
      <c r="V15" s="637">
        <f>'Tariffs Jul2023'!AQ9</f>
        <v>0</v>
      </c>
      <c r="W15" s="578" t="str">
        <f t="shared" si="5"/>
        <v>Guaranteed off bill</v>
      </c>
      <c r="X15" s="538" t="str">
        <f t="shared" si="6"/>
        <v>Exclusive</v>
      </c>
      <c r="Y15" s="535">
        <f t="shared" si="9"/>
        <v>2060.5545000000002</v>
      </c>
      <c r="Z15" s="535">
        <f t="shared" si="10"/>
        <v>2060.5545000000002</v>
      </c>
      <c r="AA15" s="542">
        <f t="shared" si="0"/>
        <v>2266.6099500000005</v>
      </c>
      <c r="AB15" s="609">
        <f t="shared" si="0"/>
        <v>2266.6099500000005</v>
      </c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</row>
    <row r="16" spans="1:46" ht="14" x14ac:dyDescent="0.15">
      <c r="A16" s="270" t="str">
        <f>'Tariffs Jul2023'!F10</f>
        <v>GloBird Energy</v>
      </c>
      <c r="B16" s="40" t="str">
        <f>'Tariffs Jul2023'!D10</f>
        <v>Multinet Metro 1</v>
      </c>
      <c r="C16" s="40" t="str">
        <f>'Tariffs Jul2023'!G10</f>
        <v>GloSave</v>
      </c>
      <c r="D16" s="59">
        <f>365*'Tariffs Jul2023'!H10/100</f>
        <v>233.6</v>
      </c>
      <c r="E16" s="59">
        <f>IF($C$5*'Tariffs Jul2023'!AK10/'Tariffs Jul2023'!AI10&gt;='Tariffs Jul2023'!J10,( 'Tariffs Jul2023'!J10*'Tariffs Jul2023'!O10/100)* 'Tariffs Jul2023'!AI10,($C$5*'Tariffs Jul2023'!AK10/'Tariffs Jul2023'!AI10*'Tariffs Jul2023'!O10/100)* 'Tariffs Jul2023'!AI10)</f>
        <v>386.18181818181819</v>
      </c>
      <c r="F16" s="59">
        <f>IF($C$5*'Tariffs Jul2023'!AK10/'Tariffs Jul2023'!AI10&lt;'Tariffs Jul2023'!J10,0,IF($C$5*'Tariffs Jul2023'!AK10/'Tariffs Jul2023'!AI10&lt;='Tariffs Jul2023'!K10,($C$5*'Tariffs Jul2023'!AK10/'Tariffs Jul2023'!AI10-'Tariffs Jul2023'!J10)*('Tariffs Jul2023'!P10/100)*'Tariffs Jul2023'!AI10,('Tariffs Jul2023'!K10-'Tariffs Jul2023'!J10)*('Tariffs Jul2023'!P10/100)*'Tariffs Jul2023'!AI10))</f>
        <v>0</v>
      </c>
      <c r="G16" s="59">
        <f>IF($C$5*'Tariffs Jul2023'!AK10/'Tariffs Jul2023'!AI10&lt;'Tariffs Jul2023'!K10,0,IF($C$5*'Tariffs Jul2023'!AK10/'Tariffs Jul2023'!AI10&lt;='Tariffs Jul2023'!L10,($C$5*'Tariffs Jul2023'!AK10/'Tariffs Jul2023'!AI10-'Tariffs Jul2023'!K10)*('Tariffs Jul2023'!Q10/100)*'Tariffs Jul2023'!AI10,('Tariffs Jul2023'!L10-'Tariffs Jul2023'!K10)*('Tariffs Jul2023'!Q10/100)*'Tariffs Jul2023'!AI10))</f>
        <v>0</v>
      </c>
      <c r="H16" s="59">
        <f>IF($C$5*'Tariffs Jul2023'!AK10/'Tariffs Jul2023'!AI10&lt;'Tariffs Jul2023'!L10,0,IF($C$5*'Tariffs Jul2023'!AK10/'Tariffs Jul2023'!AI10&lt;='Tariffs Jul2023'!M10,($C$5*'Tariffs Jul2023'!AK10/'Tariffs Jul2023'!AI10-'Tariffs Jul2023'!L10)*('Tariffs Jul2023'!R10/100)*'Tariffs Jul2023'!AI10,('Tariffs Jul2023'!M10-'Tariffs Jul2023'!L10)*('Tariffs Jul2023'!R10/100)*'Tariffs Jul2023'!AI10))</f>
        <v>0</v>
      </c>
      <c r="I16" s="59">
        <f>IF(($C$5*'Tariffs Jul2023'!AK10/'Tariffs Jul2023'!AI10&gt;'Tariffs Jul2023'!M10),($C$5*'Tariffs Jul2023'!AK10/'Tariffs Jul2023'!AI10-'Tariffs Jul2023'!M10)*'Tariffs Jul2023'!S10/100*'Tariffs Jul2023'!AI10,0)</f>
        <v>243.76129090909086</v>
      </c>
      <c r="J16" s="59">
        <f>IF($C$5*'Tariffs Jul2023'!AL10/'Tariffs Jul2023'!AJ10&gt;='Tariffs Jul2023'!J10,('Tariffs Jul2023'!J10*'Tariffs Jul2023'!U10/100)* 'Tariffs Jul2023'!AJ10,($C$5*'Tariffs Jul2023'!AL10/'Tariffs Jul2023'!AJ10*'Tariffs Jul2023'!U10/100)* 'Tariffs Jul2023'!AJ10)</f>
        <v>772.36363636363637</v>
      </c>
      <c r="K16" s="59">
        <f>IF($C$5*'Tariffs Jul2023'!AL10/'Tariffs Jul2023'!AJ10&lt;'Tariffs Jul2023'!J10,0,IF($C$5*'Tariffs Jul2023'!AL10/'Tariffs Jul2023'!AJ10&lt;='Tariffs Jul2023'!K10,($C$5*'Tariffs Jul2023'!AL10/'Tariffs Jul2023'!AJ10-'Tariffs Jul2023'!J10)*('Tariffs Jul2023'!V10/100)*'Tariffs Jul2023'!AJ10,('Tariffs Jul2023'!K10-'Tariffs Jul2023'!J10)*('Tariffs Jul2023'!V10/100)*'Tariffs Jul2023'!AJ10))</f>
        <v>0</v>
      </c>
      <c r="L16" s="59">
        <f>IF($C$5*'Tariffs Jul2023'!AL10/'Tariffs Jul2023'!AJ10&lt;'Tariffs Jul2023'!K10,0,IF($C$5*'Tariffs Jul2023'!AL10/'Tariffs Jul2023'!AJ10&lt;='Tariffs Jul2023'!L10,($C$5*'Tariffs Jul2023'!AL10/'Tariffs Jul2023'!AJ10-'Tariffs Jul2023'!K10)*('Tariffs Jul2023'!W10/100)*'Tariffs Jul2023'!AJ10,('Tariffs Jul2023'!L10-'Tariffs Jul2023'!K10)*('Tariffs Jul2023'!W10/100)*'Tariffs Jul2023'!AJ10))</f>
        <v>0</v>
      </c>
      <c r="M16" s="59">
        <f>IF($C$5*'Tariffs Jul2023'!AL10/'Tariffs Jul2023'!AJ10&lt;'Tariffs Jul2023'!L10,0,IF($C$5*'Tariffs Jul2023'!AL10/'Tariffs Jul2023'!AJ10&lt;='Tariffs Jul2023'!M10,($C$5*'Tariffs Jul2023'!AL10/'Tariffs Jul2023'!AJ10-'Tariffs Jul2023'!L10)*('Tariffs Jul2023'!X10/100)*'Tariffs Jul2023'!AJ10,('Tariffs Jul2023'!M10-'Tariffs Jul2023'!L10)*('Tariffs Jul2023'!X10/100)*'Tariffs Jul2023'!AJ10))</f>
        <v>0</v>
      </c>
      <c r="N16" s="59">
        <f>IF(($C$5*'Tariffs Jul2023'!AL10/'Tariffs Jul2023'!AJ10&gt;'Tariffs Jul2023'!M10),($C$5*'Tariffs Jul2023'!AL10/'Tariffs Jul2023'!AJ10-'Tariffs Jul2023'!M10)*'Tariffs Jul2023'!Y10/100*'Tariffs Jul2023'!AJ10,0)</f>
        <v>487.52258181818172</v>
      </c>
      <c r="O16" s="59">
        <f>SUM(E16:N16)</f>
        <v>1889.8293272727269</v>
      </c>
      <c r="P16" s="503">
        <f t="shared" si="2"/>
        <v>2078.8122599999997</v>
      </c>
      <c r="Q16" s="59">
        <f>D16+O16</f>
        <v>2123.4293272727268</v>
      </c>
      <c r="R16" s="272">
        <f t="shared" si="4"/>
        <v>2335.7722599999997</v>
      </c>
      <c r="S16" s="40">
        <f>'Tariffs Jul2023'!AN10</f>
        <v>0</v>
      </c>
      <c r="T16" s="40">
        <f>'Tariffs Jul2023'!AO10</f>
        <v>0</v>
      </c>
      <c r="U16" s="40">
        <f>'Tariffs Jul2023'!AP10</f>
        <v>2</v>
      </c>
      <c r="V16" s="637">
        <f>'Tariffs Jul2023'!AQ10</f>
        <v>0</v>
      </c>
      <c r="W16" s="578" t="str">
        <f t="shared" si="5"/>
        <v>Pay-on-time off bill</v>
      </c>
      <c r="X16" s="538" t="str">
        <f t="shared" si="6"/>
        <v>Exclusive</v>
      </c>
      <c r="Y16" s="535">
        <f t="shared" si="9"/>
        <v>2123.4293272727268</v>
      </c>
      <c r="Z16" s="535">
        <f t="shared" si="10"/>
        <v>2080.9607407272724</v>
      </c>
      <c r="AA16" s="542">
        <f t="shared" si="0"/>
        <v>2335.7722599999997</v>
      </c>
      <c r="AB16" s="609">
        <f t="shared" si="0"/>
        <v>2289.0568147999998</v>
      </c>
      <c r="AC16" s="625"/>
      <c r="AD16" s="625"/>
      <c r="AE16" s="625"/>
      <c r="AF16" s="625"/>
      <c r="AG16" s="625"/>
      <c r="AH16" s="625"/>
      <c r="AI16" s="625"/>
      <c r="AJ16" s="625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</row>
    <row r="17" spans="1:46" ht="14" x14ac:dyDescent="0.15">
      <c r="A17" s="270" t="str">
        <f>'Tariffs Jul2023'!F11</f>
        <v>1st Energy</v>
      </c>
      <c r="B17" s="40" t="str">
        <f>'Tariffs Jul2023'!D11</f>
        <v>Multinet Metro 1</v>
      </c>
      <c r="C17" s="40" t="str">
        <f>'Tariffs Jul2023'!G11</f>
        <v>1st Saver Plus</v>
      </c>
      <c r="D17" s="59">
        <f>365*'Tariffs Jul2023'!H11/100</f>
        <v>288.35000000000002</v>
      </c>
      <c r="E17" s="59">
        <f>IF($C$5*'Tariffs Jul2023'!AK11/'Tariffs Jul2023'!AI11&gt;='Tariffs Jul2023'!J11,( 'Tariffs Jul2023'!J11*'Tariffs Jul2023'!O11/100)* 'Tariffs Jul2023'!AI11,($C$5*'Tariffs Jul2023'!AK11/'Tariffs Jul2023'!AI11*'Tariffs Jul2023'!O11/100)* 'Tariffs Jul2023'!AI11)</f>
        <v>387</v>
      </c>
      <c r="F17" s="59">
        <f>IF($C$5*'Tariffs Jul2023'!AK11/'Tariffs Jul2023'!AI11&lt;'Tariffs Jul2023'!J11,0,IF($C$5*'Tariffs Jul2023'!AK11/'Tariffs Jul2023'!AI11&lt;='Tariffs Jul2023'!K11,($C$5*'Tariffs Jul2023'!AK11/'Tariffs Jul2023'!AI11-'Tariffs Jul2023'!J11)*('Tariffs Jul2023'!P11/100)*'Tariffs Jul2023'!AI11,('Tariffs Jul2023'!K11-'Tariffs Jul2023'!J11)*('Tariffs Jul2023'!P11/100)*'Tariffs Jul2023'!AI11))</f>
        <v>499.50000000000011</v>
      </c>
      <c r="G17" s="59">
        <f>IF($C$5*'Tariffs Jul2023'!AK11/'Tariffs Jul2023'!AI11&lt;'Tariffs Jul2023'!K11,0,IF($C$5*'Tariffs Jul2023'!AK11/'Tariffs Jul2023'!AI11&lt;='Tariffs Jul2023'!L11,($C$5*'Tariffs Jul2023'!AK11/'Tariffs Jul2023'!AI11-'Tariffs Jul2023'!K11)*('Tariffs Jul2023'!Q11/100)*'Tariffs Jul2023'!AI11,('Tariffs Jul2023'!L11-'Tariffs Jul2023'!K11)*('Tariffs Jul2023'!Q11/100)*'Tariffs Jul2023'!AI11))</f>
        <v>0</v>
      </c>
      <c r="H17" s="59">
        <f>IF($C$5*'Tariffs Jul2023'!AK11/'Tariffs Jul2023'!AI11&lt;'Tariffs Jul2023'!L11,0,IF($C$5*'Tariffs Jul2023'!AK11/'Tariffs Jul2023'!AI11&lt;='Tariffs Jul2023'!M11,($C$5*'Tariffs Jul2023'!AK11/'Tariffs Jul2023'!AI11-'Tariffs Jul2023'!L11)*('Tariffs Jul2023'!R11/100)*'Tariffs Jul2023'!AI11,('Tariffs Jul2023'!M11-'Tariffs Jul2023'!L11)*('Tariffs Jul2023'!R11/100)*'Tariffs Jul2023'!AI11))</f>
        <v>0</v>
      </c>
      <c r="I17" s="59">
        <f>IF(($C$5*'Tariffs Jul2023'!AK11/'Tariffs Jul2023'!AI11&gt;'Tariffs Jul2023'!M11),($C$5*'Tariffs Jul2023'!AK11/'Tariffs Jul2023'!AI11-'Tariffs Jul2023'!M11)*'Tariffs Jul2023'!S11/100*'Tariffs Jul2023'!AI11,0)</f>
        <v>279</v>
      </c>
      <c r="J17" s="59">
        <f>IF($C$5*'Tariffs Jul2023'!AL11/'Tariffs Jul2023'!AJ11&gt;='Tariffs Jul2023'!J11,('Tariffs Jul2023'!J11*'Tariffs Jul2023'!U11/100)* 'Tariffs Jul2023'!AJ11,($C$5*'Tariffs Jul2023'!AL11/'Tariffs Jul2023'!AJ11*'Tariffs Jul2023'!U11/100)* 'Tariffs Jul2023'!AJ11)</f>
        <v>387</v>
      </c>
      <c r="K17" s="59">
        <f>IF($C$5*'Tariffs Jul2023'!AL11/'Tariffs Jul2023'!AJ11&lt;'Tariffs Jul2023'!J11,0,IF($C$5*'Tariffs Jul2023'!AL11/'Tariffs Jul2023'!AJ11&lt;='Tariffs Jul2023'!K11,($C$5*'Tariffs Jul2023'!AL11/'Tariffs Jul2023'!AJ11-'Tariffs Jul2023'!J11)*('Tariffs Jul2023'!V11/100)*'Tariffs Jul2023'!AJ11,('Tariffs Jul2023'!K11-'Tariffs Jul2023'!J11)*('Tariffs Jul2023'!V11/100)*'Tariffs Jul2023'!AJ11))</f>
        <v>499.50000000000011</v>
      </c>
      <c r="L17" s="59">
        <f>IF($C$5*'Tariffs Jul2023'!AL11/'Tariffs Jul2023'!AJ11&lt;'Tariffs Jul2023'!K11,0,IF($C$5*'Tariffs Jul2023'!AL11/'Tariffs Jul2023'!AJ11&lt;='Tariffs Jul2023'!L11,($C$5*'Tariffs Jul2023'!AL11/'Tariffs Jul2023'!AJ11-'Tariffs Jul2023'!K11)*('Tariffs Jul2023'!W11/100)*'Tariffs Jul2023'!AJ11,('Tariffs Jul2023'!L11-'Tariffs Jul2023'!K11)*('Tariffs Jul2023'!W11/100)*'Tariffs Jul2023'!AJ11))</f>
        <v>0</v>
      </c>
      <c r="M17" s="59">
        <f>IF($C$5*'Tariffs Jul2023'!AL11/'Tariffs Jul2023'!AJ11&lt;'Tariffs Jul2023'!L11,0,IF($C$5*'Tariffs Jul2023'!AL11/'Tariffs Jul2023'!AJ11&lt;='Tariffs Jul2023'!M11,($C$5*'Tariffs Jul2023'!AL11/'Tariffs Jul2023'!AJ11-'Tariffs Jul2023'!L11)*('Tariffs Jul2023'!X11/100)*'Tariffs Jul2023'!AJ11,('Tariffs Jul2023'!M11-'Tariffs Jul2023'!L11)*('Tariffs Jul2023'!X11/100)*'Tariffs Jul2023'!AJ11))</f>
        <v>0</v>
      </c>
      <c r="N17" s="59">
        <f>IF(($C$5*'Tariffs Jul2023'!AL11/'Tariffs Jul2023'!AJ11&gt;'Tariffs Jul2023'!M11),($C$5*'Tariffs Jul2023'!AL11/'Tariffs Jul2023'!AJ11-'Tariffs Jul2023'!M11)*'Tariffs Jul2023'!Y11/100*'Tariffs Jul2023'!AJ11,0)</f>
        <v>279</v>
      </c>
      <c r="O17" s="59">
        <f t="shared" si="1"/>
        <v>2331</v>
      </c>
      <c r="P17" s="503">
        <f t="shared" si="2"/>
        <v>2564.1000000000004</v>
      </c>
      <c r="Q17" s="59">
        <f t="shared" si="3"/>
        <v>2619.35</v>
      </c>
      <c r="R17" s="272">
        <f t="shared" si="4"/>
        <v>2881.2850000000003</v>
      </c>
      <c r="S17" s="40">
        <f>'Tariffs Jul2023'!AN11</f>
        <v>0</v>
      </c>
      <c r="T17" s="40">
        <f>'Tariffs Jul2023'!AO11</f>
        <v>7</v>
      </c>
      <c r="U17" s="40">
        <f>'Tariffs Jul2023'!AP11</f>
        <v>0</v>
      </c>
      <c r="V17" s="637">
        <f>'Tariffs Jul2023'!AQ11</f>
        <v>3</v>
      </c>
      <c r="W17" s="578" t="str">
        <f t="shared" si="5"/>
        <v>Guaranteed off usage</v>
      </c>
      <c r="X17" s="538" t="str">
        <f t="shared" si="6"/>
        <v>Exclusive</v>
      </c>
      <c r="Y17" s="535">
        <f>Q17-(P17*T17)/100</f>
        <v>2439.8629999999998</v>
      </c>
      <c r="Z17" s="535">
        <f>Y17-(P17*V17)/100</f>
        <v>2362.9399999999996</v>
      </c>
      <c r="AA17" s="542">
        <f t="shared" si="0"/>
        <v>2683.8492999999999</v>
      </c>
      <c r="AB17" s="609">
        <f t="shared" si="0"/>
        <v>2599.2339999999999</v>
      </c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</row>
    <row r="18" spans="1:46" ht="14" x14ac:dyDescent="0.15">
      <c r="A18" s="270" t="str">
        <f>'Tariffs Jul2023'!F12</f>
        <v>Tango Energy</v>
      </c>
      <c r="B18" s="40" t="str">
        <f>'Tariffs Jul2023'!D12</f>
        <v>Multinet Metro 1</v>
      </c>
      <c r="C18" s="40" t="str">
        <f>'Tariffs Jul2023'!G12</f>
        <v>Home Select</v>
      </c>
      <c r="D18" s="59">
        <f>365*'Tariffs Jul2023'!H12/100</f>
        <v>383.24999999999994</v>
      </c>
      <c r="E18" s="59">
        <f>IF($C$5*'Tariffs Jul2023'!AK12/'Tariffs Jul2023'!AI12&gt;='Tariffs Jul2023'!J12,( 'Tariffs Jul2023'!J12*'Tariffs Jul2023'!O12/100)* 'Tariffs Jul2023'!AI12,($C$5*'Tariffs Jul2023'!AK12/'Tariffs Jul2023'!AI12*'Tariffs Jul2023'!O12/100)* 'Tariffs Jul2023'!AI12)</f>
        <v>315</v>
      </c>
      <c r="F18" s="59">
        <f>IF($C$5*'Tariffs Jul2023'!AK12/'Tariffs Jul2023'!AI12&lt;'Tariffs Jul2023'!J12,0,IF($C$5*'Tariffs Jul2023'!AK12/'Tariffs Jul2023'!AI12&lt;='Tariffs Jul2023'!K12,($C$5*'Tariffs Jul2023'!AK12/'Tariffs Jul2023'!AI12-'Tariffs Jul2023'!J12)*('Tariffs Jul2023'!P12/100)*'Tariffs Jul2023'!AI12,('Tariffs Jul2023'!K12-'Tariffs Jul2023'!J12)*('Tariffs Jul2023'!P12/100)*'Tariffs Jul2023'!AI12))</f>
        <v>298.63636363636363</v>
      </c>
      <c r="G18" s="59">
        <f>IF($C$5*'Tariffs Jul2023'!AK12/'Tariffs Jul2023'!AI12&lt;'Tariffs Jul2023'!K12,0,IF($C$5*'Tariffs Jul2023'!AK12/'Tariffs Jul2023'!AI12&lt;='Tariffs Jul2023'!L12,($C$5*'Tariffs Jul2023'!AK12/'Tariffs Jul2023'!AI12-'Tariffs Jul2023'!K12)*('Tariffs Jul2023'!Q12/100)*'Tariffs Jul2023'!AI12,('Tariffs Jul2023'!L12-'Tariffs Jul2023'!K12)*('Tariffs Jul2023'!Q12/100)*'Tariffs Jul2023'!AI12))</f>
        <v>286.36363636363632</v>
      </c>
      <c r="H18" s="59">
        <f>IF($C$5*'Tariffs Jul2023'!AK12/'Tariffs Jul2023'!AI12&lt;'Tariffs Jul2023'!L12,0,IF($C$5*'Tariffs Jul2023'!AK12/'Tariffs Jul2023'!AI12&lt;='Tariffs Jul2023'!M12,($C$5*'Tariffs Jul2023'!AK12/'Tariffs Jul2023'!AI12-'Tariffs Jul2023'!L12)*('Tariffs Jul2023'!R12/100)*'Tariffs Jul2023'!AI12,('Tariffs Jul2023'!M12-'Tariffs Jul2023'!L12)*('Tariffs Jul2023'!R12/100)*'Tariffs Jul2023'!AI12))</f>
        <v>135.81818181818181</v>
      </c>
      <c r="I18" s="59">
        <f>IF(($C$5*'Tariffs Jul2023'!AK12/'Tariffs Jul2023'!AI12&gt;'Tariffs Jul2023'!M12),($C$5*'Tariffs Jul2023'!AK12/'Tariffs Jul2023'!AI12-'Tariffs Jul2023'!M12)*'Tariffs Jul2023'!S12/100*'Tariffs Jul2023'!AI12,0)</f>
        <v>0</v>
      </c>
      <c r="J18" s="59">
        <f>IF($C$5*'Tariffs Jul2023'!AL12/'Tariffs Jul2023'!AJ12&gt;='Tariffs Jul2023'!J12,('Tariffs Jul2023'!J12*'Tariffs Jul2023'!U12/100)* 'Tariffs Jul2023'!AJ12,($C$5*'Tariffs Jul2023'!AL12/'Tariffs Jul2023'!AJ12*'Tariffs Jul2023'!U12/100)* 'Tariffs Jul2023'!AJ12)</f>
        <v>289.63636363636363</v>
      </c>
      <c r="K18" s="59">
        <f>IF($C$5*'Tariffs Jul2023'!AL12/'Tariffs Jul2023'!AJ12&lt;'Tariffs Jul2023'!J12,0,IF($C$5*'Tariffs Jul2023'!AL12/'Tariffs Jul2023'!AJ12&lt;='Tariffs Jul2023'!K12,($C$5*'Tariffs Jul2023'!AL12/'Tariffs Jul2023'!AJ12-'Tariffs Jul2023'!J12)*('Tariffs Jul2023'!V12/100)*'Tariffs Jul2023'!AJ12,('Tariffs Jul2023'!K12-'Tariffs Jul2023'!J12)*('Tariffs Jul2023'!V12/100)*'Tariffs Jul2023'!AJ12))</f>
        <v>253.6363636363636</v>
      </c>
      <c r="L18" s="59">
        <f>IF($C$5*'Tariffs Jul2023'!AL12/'Tariffs Jul2023'!AJ12&lt;'Tariffs Jul2023'!K12,0,IF($C$5*'Tariffs Jul2023'!AL12/'Tariffs Jul2023'!AJ12&lt;='Tariffs Jul2023'!L12,($C$5*'Tariffs Jul2023'!AL12/'Tariffs Jul2023'!AJ12-'Tariffs Jul2023'!K12)*('Tariffs Jul2023'!W12/100)*'Tariffs Jul2023'!AJ12,('Tariffs Jul2023'!L12-'Tariffs Jul2023'!K12)*('Tariffs Jul2023'!W12/100)*'Tariffs Jul2023'!AJ12))</f>
        <v>240.5454545454545</v>
      </c>
      <c r="M18" s="59">
        <f>IF($C$5*'Tariffs Jul2023'!AL12/'Tariffs Jul2023'!AJ12&lt;'Tariffs Jul2023'!L12,0,IF($C$5*'Tariffs Jul2023'!AL12/'Tariffs Jul2023'!AJ12&lt;='Tariffs Jul2023'!M12,($C$5*'Tariffs Jul2023'!AL12/'Tariffs Jul2023'!AJ12-'Tariffs Jul2023'!L12)*('Tariffs Jul2023'!X12/100)*'Tariffs Jul2023'!AJ12,('Tariffs Jul2023'!M12-'Tariffs Jul2023'!L12)*('Tariffs Jul2023'!X12/100)*'Tariffs Jul2023'!AJ12))</f>
        <v>112.90909090909091</v>
      </c>
      <c r="N18" s="59">
        <f>IF(($C$5*'Tariffs Jul2023'!AL12/'Tariffs Jul2023'!AJ12&gt;'Tariffs Jul2023'!M12),($C$5*'Tariffs Jul2023'!AL12/'Tariffs Jul2023'!AJ12-'Tariffs Jul2023'!M12)*'Tariffs Jul2023'!Y12/100*'Tariffs Jul2023'!AJ12,0)</f>
        <v>0</v>
      </c>
      <c r="O18" s="59">
        <f t="shared" si="1"/>
        <v>1932.5454545454545</v>
      </c>
      <c r="P18" s="503">
        <f t="shared" si="2"/>
        <v>2125.8000000000002</v>
      </c>
      <c r="Q18" s="59">
        <f t="shared" si="3"/>
        <v>2315.7954545454545</v>
      </c>
      <c r="R18" s="272">
        <f t="shared" si="4"/>
        <v>2547.375</v>
      </c>
      <c r="S18" s="40">
        <f>'Tariffs Jul2023'!AN12</f>
        <v>0</v>
      </c>
      <c r="T18" s="40">
        <f>'Tariffs Jul2023'!AO12</f>
        <v>0</v>
      </c>
      <c r="U18" s="40">
        <f>'Tariffs Jul2023'!AP12</f>
        <v>0</v>
      </c>
      <c r="V18" s="637">
        <f>'Tariffs Jul2023'!AQ12</f>
        <v>0</v>
      </c>
      <c r="W18" s="578" t="str">
        <f t="shared" si="5"/>
        <v>No discount</v>
      </c>
      <c r="X18" s="538" t="str">
        <f t="shared" si="6"/>
        <v>Exclusive</v>
      </c>
      <c r="Y18" s="535">
        <f t="shared" ref="Y18:Y20" si="11">IF(AND(W18="Guaranteed off bill",X18="Inclusive"),((Q18*1.1)-((Q18*1.1)*S18/100))/1.1,IF(AND(W18="Guaranteed off usage",X18="Inclusive"),((Q18*1.1)-((P18*1.1)*T18/100))/1.1,IF(AND(W18="Guaranteed off bill",X18="Exclusive"),Q18-(Q18*S18/100),IF(AND(W18="Guaranteed off usage",X18="Exclusive"),Q18-(P18*T18/100),IF(X18="Inclusive",((Q18*1.1))/1.1,Q18)))))</f>
        <v>2315.7954545454545</v>
      </c>
      <c r="Z18" s="535">
        <f t="shared" ref="Z18:Z20" si="12">IF(AND(W18="Pay-on-time off bill",X18="Inclusive"),((Y18*1.1)-((Y18*1.1)*U18/100))/1.1,IF(AND(W18="Pay-on-time off usage",X18="Inclusive"),((Y18*1.1)-((P18*1.1)*V18/100))/1.1,IF(AND(W18="Pay-on-time off bill",X18="Exclusive"),Y18-(Y18*U18/100),IF(AND(W18="Pay-on-time off usage",X18="Exclusive"),Y18-(P18*V18/100),IF(X18="Inclusive",((Y18*1.1))/1.1,Y18)))))</f>
        <v>2315.7954545454545</v>
      </c>
      <c r="AA18" s="542">
        <f t="shared" si="0"/>
        <v>2547.375</v>
      </c>
      <c r="AB18" s="609">
        <f t="shared" si="0"/>
        <v>2547.375</v>
      </c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</row>
    <row r="19" spans="1:46" ht="14" x14ac:dyDescent="0.15">
      <c r="A19" s="270" t="str">
        <f>'Tariffs Jul2023'!F13</f>
        <v>Momentum Energy</v>
      </c>
      <c r="B19" s="40" t="str">
        <f>'Tariffs Jul2023'!D13</f>
        <v>Multinet Metro 1</v>
      </c>
      <c r="C19" s="40" t="str">
        <f>'Tariffs Jul2023'!G13</f>
        <v>Nothing Fancy</v>
      </c>
      <c r="D19" s="59">
        <f>365*'Tariffs Jul2023'!H13/100</f>
        <v>351.495</v>
      </c>
      <c r="E19" s="59">
        <f>IF($C$5*'Tariffs Jul2023'!AK13/'Tariffs Jul2023'!AI13&gt;='Tariffs Jul2023'!J13,( 'Tariffs Jul2023'!J13*'Tariffs Jul2023'!O13/100)* 'Tariffs Jul2023'!AI13,($C$5*'Tariffs Jul2023'!AK13/'Tariffs Jul2023'!AI13*'Tariffs Jul2023'!O13/100)* 'Tariffs Jul2023'!AI13)</f>
        <v>288</v>
      </c>
      <c r="F19" s="59">
        <f>IF($C$5*'Tariffs Jul2023'!AK13/'Tariffs Jul2023'!AI13&lt;'Tariffs Jul2023'!J13,0,IF($C$5*'Tariffs Jul2023'!AK13/'Tariffs Jul2023'!AI13&lt;='Tariffs Jul2023'!K13,($C$5*'Tariffs Jul2023'!AK13/'Tariffs Jul2023'!AI13-'Tariffs Jul2023'!J13)*('Tariffs Jul2023'!P13/100)*'Tariffs Jul2023'!AI13,('Tariffs Jul2023'!K13-'Tariffs Jul2023'!J13)*('Tariffs Jul2023'!P13/100)*'Tariffs Jul2023'!AI13))</f>
        <v>261</v>
      </c>
      <c r="G19" s="59">
        <f>IF($C$5*'Tariffs Jul2023'!AK13/'Tariffs Jul2023'!AI13&lt;'Tariffs Jul2023'!K13,0,IF($C$5*'Tariffs Jul2023'!AK13/'Tariffs Jul2023'!AI13&lt;='Tariffs Jul2023'!L13,($C$5*'Tariffs Jul2023'!AK13/'Tariffs Jul2023'!AI13-'Tariffs Jul2023'!K13)*('Tariffs Jul2023'!Q13/100)*'Tariffs Jul2023'!AI13,('Tariffs Jul2023'!L13-'Tariffs Jul2023'!K13)*('Tariffs Jul2023'!Q13/100)*'Tariffs Jul2023'!AI13))</f>
        <v>225</v>
      </c>
      <c r="H19" s="59">
        <f>IF($C$5*'Tariffs Jul2023'!AK13/'Tariffs Jul2023'!AI13&lt;'Tariffs Jul2023'!L13,0,IF($C$5*'Tariffs Jul2023'!AK13/'Tariffs Jul2023'!AI13&lt;='Tariffs Jul2023'!M13,($C$5*'Tariffs Jul2023'!AK13/'Tariffs Jul2023'!AI13-'Tariffs Jul2023'!L13)*('Tariffs Jul2023'!R13/100)*'Tariffs Jul2023'!AI13,('Tariffs Jul2023'!M13-'Tariffs Jul2023'!L13)*('Tariffs Jul2023'!R13/100)*'Tariffs Jul2023'!AI13))</f>
        <v>0</v>
      </c>
      <c r="I19" s="59">
        <f>IF(($C$5*'Tariffs Jul2023'!AK13/'Tariffs Jul2023'!AI13&gt;'Tariffs Jul2023'!M13),($C$5*'Tariffs Jul2023'!AK13/'Tariffs Jul2023'!AI13-'Tariffs Jul2023'!M13)*'Tariffs Jul2023'!S13/100*'Tariffs Jul2023'!AI13,0)</f>
        <v>103.49999999999997</v>
      </c>
      <c r="J19" s="59">
        <f>IF($C$5*'Tariffs Jul2023'!AL13/'Tariffs Jul2023'!AJ13&gt;='Tariffs Jul2023'!J13,('Tariffs Jul2023'!J13*'Tariffs Jul2023'!U13/100)* 'Tariffs Jul2023'!AJ13,($C$5*'Tariffs Jul2023'!AL13/'Tariffs Jul2023'!AJ13*'Tariffs Jul2023'!U13/100)* 'Tariffs Jul2023'!AJ13)</f>
        <v>288</v>
      </c>
      <c r="K19" s="59">
        <f>IF($C$5*'Tariffs Jul2023'!AL13/'Tariffs Jul2023'!AJ13&lt;'Tariffs Jul2023'!J13,0,IF($C$5*'Tariffs Jul2023'!AL13/'Tariffs Jul2023'!AJ13&lt;='Tariffs Jul2023'!K13,($C$5*'Tariffs Jul2023'!AL13/'Tariffs Jul2023'!AJ13-'Tariffs Jul2023'!J13)*('Tariffs Jul2023'!V13/100)*'Tariffs Jul2023'!AJ13,('Tariffs Jul2023'!K13-'Tariffs Jul2023'!J13)*('Tariffs Jul2023'!V13/100)*'Tariffs Jul2023'!AJ13))</f>
        <v>261</v>
      </c>
      <c r="L19" s="59">
        <f>IF($C$5*'Tariffs Jul2023'!AL13/'Tariffs Jul2023'!AJ13&lt;'Tariffs Jul2023'!K13,0,IF($C$5*'Tariffs Jul2023'!AL13/'Tariffs Jul2023'!AJ13&lt;='Tariffs Jul2023'!L13,($C$5*'Tariffs Jul2023'!AL13/'Tariffs Jul2023'!AJ13-'Tariffs Jul2023'!K13)*('Tariffs Jul2023'!W13/100)*'Tariffs Jul2023'!AJ13,('Tariffs Jul2023'!L13-'Tariffs Jul2023'!K13)*('Tariffs Jul2023'!W13/100)*'Tariffs Jul2023'!AJ13))</f>
        <v>225</v>
      </c>
      <c r="M19" s="59">
        <f>IF($C$5*'Tariffs Jul2023'!AL13/'Tariffs Jul2023'!AJ13&lt;'Tariffs Jul2023'!L13,0,IF($C$5*'Tariffs Jul2023'!AL13/'Tariffs Jul2023'!AJ13&lt;='Tariffs Jul2023'!M13,($C$5*'Tariffs Jul2023'!AL13/'Tariffs Jul2023'!AJ13-'Tariffs Jul2023'!L13)*('Tariffs Jul2023'!X13/100)*'Tariffs Jul2023'!AJ13,('Tariffs Jul2023'!M13-'Tariffs Jul2023'!L13)*('Tariffs Jul2023'!X13/100)*'Tariffs Jul2023'!AJ13))</f>
        <v>0</v>
      </c>
      <c r="N19" s="59">
        <f>IF(($C$5*'Tariffs Jul2023'!AL13/'Tariffs Jul2023'!AJ13&gt;'Tariffs Jul2023'!M13),($C$5*'Tariffs Jul2023'!AL13/'Tariffs Jul2023'!AJ13-'Tariffs Jul2023'!M13)*'Tariffs Jul2023'!Y13/100*'Tariffs Jul2023'!AJ13,0)</f>
        <v>103.49999999999997</v>
      </c>
      <c r="O19" s="59">
        <f t="shared" si="1"/>
        <v>1755</v>
      </c>
      <c r="P19" s="503">
        <f t="shared" si="2"/>
        <v>1930.5000000000002</v>
      </c>
      <c r="Q19" s="59">
        <f t="shared" si="3"/>
        <v>2106.4949999999999</v>
      </c>
      <c r="R19" s="272">
        <f t="shared" si="4"/>
        <v>2317.1444999999999</v>
      </c>
      <c r="S19" s="40">
        <f>'Tariffs Jul2023'!AN13</f>
        <v>0</v>
      </c>
      <c r="T19" s="40">
        <f>'Tariffs Jul2023'!AO13</f>
        <v>0</v>
      </c>
      <c r="U19" s="40">
        <f>'Tariffs Jul2023'!AP13</f>
        <v>0</v>
      </c>
      <c r="V19" s="637">
        <f>'Tariffs Jul2023'!AQ13</f>
        <v>0</v>
      </c>
      <c r="W19" s="578" t="str">
        <f t="shared" si="5"/>
        <v>No discount</v>
      </c>
      <c r="X19" s="538" t="str">
        <f t="shared" si="6"/>
        <v>Exclusive</v>
      </c>
      <c r="Y19" s="535">
        <f t="shared" si="11"/>
        <v>2106.4949999999999</v>
      </c>
      <c r="Z19" s="535">
        <f t="shared" si="12"/>
        <v>2106.4949999999999</v>
      </c>
      <c r="AA19" s="542">
        <f t="shared" si="0"/>
        <v>2317.1444999999999</v>
      </c>
      <c r="AB19" s="609">
        <f t="shared" si="0"/>
        <v>2317.1444999999999</v>
      </c>
      <c r="AC19" s="625"/>
      <c r="AD19" s="625"/>
      <c r="AE19" s="625"/>
      <c r="AF19" s="625"/>
      <c r="AG19" s="625"/>
      <c r="AH19" s="625"/>
      <c r="AI19" s="625"/>
      <c r="AJ19" s="625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</row>
    <row r="20" spans="1:46" ht="14" x14ac:dyDescent="0.15">
      <c r="A20" s="270" t="str">
        <f>'Tariffs Jul2023'!F14</f>
        <v>Sumo Power</v>
      </c>
      <c r="B20" s="40" t="str">
        <f>'Tariffs Jul2023'!D14</f>
        <v>Multinet Metro 1</v>
      </c>
      <c r="C20" s="40" t="str">
        <f>'Tariffs Jul2023'!G14</f>
        <v>Lite</v>
      </c>
      <c r="D20" s="59">
        <f>365*'Tariffs Jul2023'!H14/100</f>
        <v>248.19999999999996</v>
      </c>
      <c r="E20" s="59">
        <f>IF($C$5*'Tariffs Jul2023'!AK14/'Tariffs Jul2023'!AI14&gt;='Tariffs Jul2023'!J14,( 'Tariffs Jul2023'!J14*'Tariffs Jul2023'!O14/100)* 'Tariffs Jul2023'!AI14,($C$5*'Tariffs Jul2023'!AK14/'Tariffs Jul2023'!AI14*'Tariffs Jul2023'!O14/100)* 'Tariffs Jul2023'!AI14)</f>
        <v>269.99999999999994</v>
      </c>
      <c r="F20" s="59">
        <f>IF($C$5*'Tariffs Jul2023'!AK14/'Tariffs Jul2023'!AI14&lt;'Tariffs Jul2023'!J14,0,IF($C$5*'Tariffs Jul2023'!AK14/'Tariffs Jul2023'!AI14&lt;='Tariffs Jul2023'!K14,($C$5*'Tariffs Jul2023'!AK14/'Tariffs Jul2023'!AI14-'Tariffs Jul2023'!J14)*('Tariffs Jul2023'!P14/100)*'Tariffs Jul2023'!AI14,('Tariffs Jul2023'!K14-'Tariffs Jul2023'!J14)*('Tariffs Jul2023'!P14/100)*'Tariffs Jul2023'!AI14))</f>
        <v>243.00000000000006</v>
      </c>
      <c r="G20" s="59">
        <f>IF($C$5*'Tariffs Jul2023'!AK14/'Tariffs Jul2023'!AI14&lt;'Tariffs Jul2023'!K14,0,IF($C$5*'Tariffs Jul2023'!AK14/'Tariffs Jul2023'!AI14&lt;='Tariffs Jul2023'!L14,($C$5*'Tariffs Jul2023'!AK14/'Tariffs Jul2023'!AI14-'Tariffs Jul2023'!K14)*('Tariffs Jul2023'!Q14/100)*'Tariffs Jul2023'!AI14,('Tariffs Jul2023'!L14-'Tariffs Jul2023'!K14)*('Tariffs Jul2023'!Q14/100)*'Tariffs Jul2023'!AI14))</f>
        <v>225</v>
      </c>
      <c r="H20" s="59">
        <f>IF($C$5*'Tariffs Jul2023'!AK14/'Tariffs Jul2023'!AI14&lt;'Tariffs Jul2023'!L14,0,IF($C$5*'Tariffs Jul2023'!AK14/'Tariffs Jul2023'!AI14&lt;='Tariffs Jul2023'!M14,($C$5*'Tariffs Jul2023'!AK14/'Tariffs Jul2023'!AI14-'Tariffs Jul2023'!L14)*('Tariffs Jul2023'!R14/100)*'Tariffs Jul2023'!AI14,('Tariffs Jul2023'!M14-'Tariffs Jul2023'!L14)*('Tariffs Jul2023'!R14/100)*'Tariffs Jul2023'!AI14))</f>
        <v>0</v>
      </c>
      <c r="I20" s="59">
        <f>IF(($C$5*'Tariffs Jul2023'!AK14/'Tariffs Jul2023'!AI14&gt;'Tariffs Jul2023'!M14),($C$5*'Tariffs Jul2023'!AK14/'Tariffs Jul2023'!AI14-'Tariffs Jul2023'!M14)*'Tariffs Jul2023'!S14/100*'Tariffs Jul2023'!AI14,0)</f>
        <v>94.5</v>
      </c>
      <c r="J20" s="59">
        <f>IF($C$5*'Tariffs Jul2023'!AL14/'Tariffs Jul2023'!AJ14&gt;='Tariffs Jul2023'!J14,('Tariffs Jul2023'!J14*'Tariffs Jul2023'!U14/100)* 'Tariffs Jul2023'!AJ14,($C$5*'Tariffs Jul2023'!AL14/'Tariffs Jul2023'!AJ14*'Tariffs Jul2023'!U14/100)* 'Tariffs Jul2023'!AJ14)</f>
        <v>243.00000000000006</v>
      </c>
      <c r="K20" s="59">
        <f>IF($C$5*'Tariffs Jul2023'!AL14/'Tariffs Jul2023'!AJ14&lt;'Tariffs Jul2023'!J14,0,IF($C$5*'Tariffs Jul2023'!AL14/'Tariffs Jul2023'!AJ14&lt;='Tariffs Jul2023'!K14,($C$5*'Tariffs Jul2023'!AL14/'Tariffs Jul2023'!AJ14-'Tariffs Jul2023'!J14)*('Tariffs Jul2023'!V14/100)*'Tariffs Jul2023'!AJ14,('Tariffs Jul2023'!K14-'Tariffs Jul2023'!J14)*('Tariffs Jul2023'!V14/100)*'Tariffs Jul2023'!AJ14))</f>
        <v>233.99999999999994</v>
      </c>
      <c r="L20" s="59">
        <f>IF($C$5*'Tariffs Jul2023'!AL14/'Tariffs Jul2023'!AJ14&lt;'Tariffs Jul2023'!K14,0,IF($C$5*'Tariffs Jul2023'!AL14/'Tariffs Jul2023'!AJ14&lt;='Tariffs Jul2023'!L14,($C$5*'Tariffs Jul2023'!AL14/'Tariffs Jul2023'!AJ14-'Tariffs Jul2023'!K14)*('Tariffs Jul2023'!W14/100)*'Tariffs Jul2023'!AJ14,('Tariffs Jul2023'!L14-'Tariffs Jul2023'!K14)*('Tariffs Jul2023'!W14/100)*'Tariffs Jul2023'!AJ14))</f>
        <v>198</v>
      </c>
      <c r="M20" s="59">
        <f>IF($C$5*'Tariffs Jul2023'!AL14/'Tariffs Jul2023'!AJ14&lt;'Tariffs Jul2023'!L14,0,IF($C$5*'Tariffs Jul2023'!AL14/'Tariffs Jul2023'!AJ14&lt;='Tariffs Jul2023'!M14,($C$5*'Tariffs Jul2023'!AL14/'Tariffs Jul2023'!AJ14-'Tariffs Jul2023'!L14)*('Tariffs Jul2023'!X14/100)*'Tariffs Jul2023'!AJ14,('Tariffs Jul2023'!M14-'Tariffs Jul2023'!L14)*('Tariffs Jul2023'!X14/100)*'Tariffs Jul2023'!AJ14))</f>
        <v>0</v>
      </c>
      <c r="N20" s="59">
        <f>IF(($C$5*'Tariffs Jul2023'!AL14/'Tariffs Jul2023'!AJ14&gt;'Tariffs Jul2023'!M14),($C$5*'Tariffs Jul2023'!AL14/'Tariffs Jul2023'!AJ14-'Tariffs Jul2023'!M14)*'Tariffs Jul2023'!Y14/100*'Tariffs Jul2023'!AJ14,0)</f>
        <v>90</v>
      </c>
      <c r="O20" s="59">
        <f t="shared" si="1"/>
        <v>1597.5</v>
      </c>
      <c r="P20" s="503">
        <f t="shared" si="2"/>
        <v>1757.2500000000002</v>
      </c>
      <c r="Q20" s="59">
        <f t="shared" si="3"/>
        <v>1845.7</v>
      </c>
      <c r="R20" s="272">
        <f t="shared" si="4"/>
        <v>2030.2700000000002</v>
      </c>
      <c r="S20" s="40">
        <f>'Tariffs Jul2023'!AN14</f>
        <v>0</v>
      </c>
      <c r="T20" s="40">
        <f>'Tariffs Jul2023'!AO14</f>
        <v>0</v>
      </c>
      <c r="U20" s="40">
        <f>'Tariffs Jul2023'!AP14</f>
        <v>0</v>
      </c>
      <c r="V20" s="637">
        <f>'Tariffs Jul2023'!AQ14</f>
        <v>0</v>
      </c>
      <c r="W20" s="578" t="str">
        <f t="shared" si="5"/>
        <v>No discount</v>
      </c>
      <c r="X20" s="538" t="str">
        <f t="shared" si="6"/>
        <v>Exclusive</v>
      </c>
      <c r="Y20" s="535">
        <f t="shared" si="11"/>
        <v>1845.7</v>
      </c>
      <c r="Z20" s="535">
        <f t="shared" si="12"/>
        <v>1845.7</v>
      </c>
      <c r="AA20" s="542">
        <f t="shared" si="0"/>
        <v>2030.2700000000002</v>
      </c>
      <c r="AB20" s="609">
        <f t="shared" si="0"/>
        <v>2030.2700000000002</v>
      </c>
      <c r="AC20" s="625"/>
      <c r="AD20" s="625"/>
      <c r="AE20" s="625"/>
      <c r="AF20" s="625"/>
      <c r="AG20" s="625"/>
      <c r="AH20" s="625"/>
      <c r="AI20" s="625"/>
      <c r="AJ20" s="625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</row>
    <row r="21" spans="1:46" ht="14" x14ac:dyDescent="0.15">
      <c r="A21" s="270" t="str">
        <f>'Tariffs Jul2023'!F15</f>
        <v>CovaU</v>
      </c>
      <c r="B21" s="40" t="str">
        <f>'Tariffs Jul2023'!D15</f>
        <v>Multinet Metro 1</v>
      </c>
      <c r="C21" s="40" t="str">
        <f>'Tariffs Jul2023'!G15</f>
        <v>Super Saver</v>
      </c>
      <c r="D21" s="59">
        <f>365*'Tariffs Jul2023'!H15/100</f>
        <v>249.79272727272729</v>
      </c>
      <c r="E21" s="59">
        <f>IF($C$5*'Tariffs Jul2023'!AK15/'Tariffs Jul2023'!AI15&gt;='Tariffs Jul2023'!J15,( 'Tariffs Jul2023'!J15*'Tariffs Jul2023'!O15/100)* 'Tariffs Jul2023'!AI15,($C$5*'Tariffs Jul2023'!AK15/'Tariffs Jul2023'!AI15*'Tariffs Jul2023'!O15/100)* 'Tariffs Jul2023'!AI15)</f>
        <v>274.90909090909088</v>
      </c>
      <c r="F21" s="59">
        <f>IF($C$5*'Tariffs Jul2023'!AK15/'Tariffs Jul2023'!AI15&lt;'Tariffs Jul2023'!J15,0,IF($C$5*'Tariffs Jul2023'!AK15/'Tariffs Jul2023'!AI15&lt;='Tariffs Jul2023'!K15,($C$5*'Tariffs Jul2023'!AK15/'Tariffs Jul2023'!AI15-'Tariffs Jul2023'!J15)*('Tariffs Jul2023'!P15/100)*'Tariffs Jul2023'!AI15,('Tariffs Jul2023'!K15-'Tariffs Jul2023'!J15)*('Tariffs Jul2023'!P15/100)*'Tariffs Jul2023'!AI15))</f>
        <v>243.00000000000006</v>
      </c>
      <c r="G21" s="59">
        <f>IF($C$5*'Tariffs Jul2023'!AK15/'Tariffs Jul2023'!AI15&lt;'Tariffs Jul2023'!K15,0,IF($C$5*'Tariffs Jul2023'!AK15/'Tariffs Jul2023'!AI15&lt;='Tariffs Jul2023'!L15,($C$5*'Tariffs Jul2023'!AK15/'Tariffs Jul2023'!AI15-'Tariffs Jul2023'!K15)*('Tariffs Jul2023'!Q15/100)*'Tariffs Jul2023'!AI15,('Tariffs Jul2023'!L15-'Tariffs Jul2023'!K15)*('Tariffs Jul2023'!Q15/100)*'Tariffs Jul2023'!AI15))</f>
        <v>195.54545454545456</v>
      </c>
      <c r="H21" s="59">
        <f>IF($C$5*'Tariffs Jul2023'!AK15/'Tariffs Jul2023'!AI15&lt;'Tariffs Jul2023'!L15,0,IF($C$5*'Tariffs Jul2023'!AK15/'Tariffs Jul2023'!AI15&lt;='Tariffs Jul2023'!M15,($C$5*'Tariffs Jul2023'!AK15/'Tariffs Jul2023'!AI15-'Tariffs Jul2023'!L15)*('Tariffs Jul2023'!R15/100)*'Tariffs Jul2023'!AI15,('Tariffs Jul2023'!M15-'Tariffs Jul2023'!L15)*('Tariffs Jul2023'!R15/100)*'Tariffs Jul2023'!AI15))</f>
        <v>80.181818181818173</v>
      </c>
      <c r="I21" s="59">
        <f>IF(($C$5*'Tariffs Jul2023'!AK15/'Tariffs Jul2023'!AI15&gt;'Tariffs Jul2023'!M15),($C$5*'Tariffs Jul2023'!AK15/'Tariffs Jul2023'!AI15-'Tariffs Jul2023'!M15)*'Tariffs Jul2023'!S15/100*'Tariffs Jul2023'!AI15,0)</f>
        <v>0</v>
      </c>
      <c r="J21" s="59">
        <f>IF($C$5*'Tariffs Jul2023'!AL15/'Tariffs Jul2023'!AJ15&gt;='Tariffs Jul2023'!J15,('Tariffs Jul2023'!J15*'Tariffs Jul2023'!U15/100)* 'Tariffs Jul2023'!AJ15,($C$5*'Tariffs Jul2023'!AL15/'Tariffs Jul2023'!AJ15*'Tariffs Jul2023'!U15/100)* 'Tariffs Jul2023'!AJ15)</f>
        <v>257.72727272727275</v>
      </c>
      <c r="K21" s="59">
        <f>IF($C$5*'Tariffs Jul2023'!AL15/'Tariffs Jul2023'!AJ15&lt;'Tariffs Jul2023'!J15,0,IF($C$5*'Tariffs Jul2023'!AL15/'Tariffs Jul2023'!AJ15&lt;='Tariffs Jul2023'!K15,($C$5*'Tariffs Jul2023'!AL15/'Tariffs Jul2023'!AJ15-'Tariffs Jul2023'!J15)*('Tariffs Jul2023'!V15/100)*'Tariffs Jul2023'!AJ15,('Tariffs Jul2023'!K15-'Tariffs Jul2023'!J15)*('Tariffs Jul2023'!V15/100)*'Tariffs Jul2023'!AJ15))</f>
        <v>225</v>
      </c>
      <c r="L21" s="59">
        <f>IF($C$5*'Tariffs Jul2023'!AL15/'Tariffs Jul2023'!AJ15&lt;'Tariffs Jul2023'!K15,0,IF($C$5*'Tariffs Jul2023'!AL15/'Tariffs Jul2023'!AJ15&lt;='Tariffs Jul2023'!L15,($C$5*'Tariffs Jul2023'!AL15/'Tariffs Jul2023'!AJ15-'Tariffs Jul2023'!K15)*('Tariffs Jul2023'!W15/100)*'Tariffs Jul2023'!AJ15,('Tariffs Jul2023'!L15-'Tariffs Jul2023'!K15)*('Tariffs Jul2023'!W15/100)*'Tariffs Jul2023'!AJ15))</f>
        <v>184.90909090909091</v>
      </c>
      <c r="M21" s="59">
        <f>IF($C$5*'Tariffs Jul2023'!AL15/'Tariffs Jul2023'!AJ15&lt;'Tariffs Jul2023'!L15,0,IF($C$5*'Tariffs Jul2023'!AL15/'Tariffs Jul2023'!AJ15&lt;='Tariffs Jul2023'!M15,($C$5*'Tariffs Jul2023'!AL15/'Tariffs Jul2023'!AJ15-'Tariffs Jul2023'!L15)*('Tariffs Jul2023'!X15/100)*'Tariffs Jul2023'!AJ15,('Tariffs Jul2023'!M15-'Tariffs Jul2023'!L15)*('Tariffs Jul2023'!X15/100)*'Tariffs Jul2023'!AJ15))</f>
        <v>78.136363636363626</v>
      </c>
      <c r="N21" s="59">
        <f>IF(($C$5*'Tariffs Jul2023'!AL15/'Tariffs Jul2023'!AJ15&gt;'Tariffs Jul2023'!M15),($C$5*'Tariffs Jul2023'!AL15/'Tariffs Jul2023'!AJ15-'Tariffs Jul2023'!M15)*'Tariffs Jul2023'!Y15/100*'Tariffs Jul2023'!AJ15,0)</f>
        <v>0</v>
      </c>
      <c r="O21" s="59">
        <f t="shared" ref="O21:O22" si="13">SUM(E21:N21)</f>
        <v>1539.409090909091</v>
      </c>
      <c r="P21" s="503">
        <f t="shared" ref="P21" si="14">O21*1.1</f>
        <v>1693.3500000000001</v>
      </c>
      <c r="Q21" s="59">
        <f t="shared" ref="Q21" si="15">D21+O21</f>
        <v>1789.2018181818182</v>
      </c>
      <c r="R21" s="272">
        <f t="shared" ref="R21" si="16">Q21*1.1</f>
        <v>1968.1220000000003</v>
      </c>
      <c r="S21" s="40">
        <f>'Tariffs Jul2023'!AN15</f>
        <v>0</v>
      </c>
      <c r="T21" s="40">
        <f>'Tariffs Jul2023'!AO15</f>
        <v>0</v>
      </c>
      <c r="U21" s="40">
        <f>'Tariffs Jul2023'!AP15</f>
        <v>0</v>
      </c>
      <c r="V21" s="637">
        <f>'Tariffs Jul2023'!AQ15</f>
        <v>0</v>
      </c>
      <c r="W21" s="578" t="str">
        <f t="shared" ref="W21" si="17">IF(SUM(S21:V21)=0,"No discount",IF(S21&gt;0,"Guaranteed off bill",IF(T21&gt;0,"Guaranteed off usage",IF(U21&gt;0,"Pay-on-time off bill","Pay-on-time off usage"))))</f>
        <v>No discount</v>
      </c>
      <c r="X21" s="538" t="str">
        <f t="shared" ref="X21" si="18">IF(OR(A21="Origin Energy",A21="Red Energy",A21="Powershop"),"Inclusive","Exclusive")</f>
        <v>Exclusive</v>
      </c>
      <c r="Y21" s="535">
        <f t="shared" ref="Y21" si="19">IF(AND(W21="Guaranteed off bill",X21="Inclusive"),((Q21*1.1)-((Q21*1.1)*S21/100))/1.1,IF(AND(W21="Guaranteed off usage",X21="Inclusive"),((Q21*1.1)-((P21*1.1)*T21/100))/1.1,IF(AND(W21="Guaranteed off bill",X21="Exclusive"),Q21-(Q21*S21/100),IF(AND(W21="Guaranteed off usage",X21="Exclusive"),Q21-(P21*T21/100),IF(X21="Inclusive",((Q21*1.1))/1.1,Q21)))))</f>
        <v>1789.2018181818182</v>
      </c>
      <c r="Z21" s="535">
        <f t="shared" ref="Z21" si="20">IF(AND(W21="Pay-on-time off bill",X21="Inclusive"),((Y21*1.1)-((Y21*1.1)*U21/100))/1.1,IF(AND(W21="Pay-on-time off usage",X21="Inclusive"),((Y21*1.1)-((P21*1.1)*V21/100))/1.1,IF(AND(W21="Pay-on-time off bill",X21="Exclusive"),Y21-(Y21*U21/100),IF(AND(W21="Pay-on-time off usage",X21="Exclusive"),Y21-(P21*V21/100),IF(X21="Inclusive",((Y21*1.1))/1.1,Y21)))))</f>
        <v>1789.2018181818182</v>
      </c>
      <c r="AA21" s="542">
        <f t="shared" ref="AA21" si="21">Y21*1.1</f>
        <v>1968.1220000000003</v>
      </c>
      <c r="AB21" s="609">
        <f t="shared" ref="AB21" si="22">Z21*1.1</f>
        <v>1968.1220000000003</v>
      </c>
      <c r="AC21" s="625"/>
      <c r="AD21" s="625"/>
      <c r="AE21" s="625"/>
      <c r="AF21" s="625"/>
      <c r="AG21" s="625"/>
      <c r="AH21" s="625"/>
      <c r="AI21" s="625"/>
      <c r="AJ21" s="625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</row>
    <row r="22" spans="1:46" ht="14" x14ac:dyDescent="0.15">
      <c r="A22" s="270" t="str">
        <f>'Tariffs Jul2023'!F16</f>
        <v>Powershop</v>
      </c>
      <c r="B22" s="40" t="str">
        <f>'Tariffs Jul2023'!D16</f>
        <v>Multinet Metro 1</v>
      </c>
      <c r="C22" s="40" t="str">
        <f>'Tariffs Jul2023'!G16</f>
        <v>Carbon Neutral</v>
      </c>
      <c r="D22" s="59">
        <f>365*'Tariffs Jul2023'!H16/100</f>
        <v>304.21090909090907</v>
      </c>
      <c r="E22" s="59">
        <f>((C$5*'Tariffs Jul2023'!AK16/'Tariffs Jul2023'!AI16)*('Tariffs Jul2023'!O16/100))*'Tariffs Jul2023'!AI16</f>
        <v>996.5454545454545</v>
      </c>
      <c r="F22" s="59">
        <v>0</v>
      </c>
      <c r="G22" s="59">
        <v>0</v>
      </c>
      <c r="H22" s="59">
        <v>0</v>
      </c>
      <c r="I22" s="69">
        <v>0</v>
      </c>
      <c r="J22" s="69">
        <f>((C$5*'Tariffs Jul2023'!AL16/'Tariffs Jul2023'!AJ16)*('Tariffs Jul2023'!U16/100))*'Tariffs Jul2023'!AJ16</f>
        <v>996.5454545454545</v>
      </c>
      <c r="K22" s="69">
        <v>0</v>
      </c>
      <c r="L22" s="69">
        <v>0</v>
      </c>
      <c r="M22" s="69">
        <v>0</v>
      </c>
      <c r="N22" s="69">
        <v>0</v>
      </c>
      <c r="O22" s="59">
        <f t="shared" si="13"/>
        <v>1993.090909090909</v>
      </c>
      <c r="P22" s="503">
        <f t="shared" ref="P22:P23" si="23">O22*1.1</f>
        <v>2192.4</v>
      </c>
      <c r="Q22" s="59">
        <f t="shared" ref="Q22:Q23" si="24">D22+O22</f>
        <v>2297.3018181818179</v>
      </c>
      <c r="R22" s="272">
        <f t="shared" ref="R22:R23" si="25">Q22*1.1</f>
        <v>2527.0319999999997</v>
      </c>
      <c r="S22" s="40">
        <f>'Tariffs Jul2023'!AN16</f>
        <v>0</v>
      </c>
      <c r="T22" s="40">
        <f>'Tariffs Jul2023'!AO16</f>
        <v>0</v>
      </c>
      <c r="U22" s="40">
        <f>'Tariffs Jul2023'!AP16</f>
        <v>0</v>
      </c>
      <c r="V22" s="637">
        <f>'Tariffs Jul2023'!AQ16</f>
        <v>0</v>
      </c>
      <c r="W22" s="578" t="str">
        <f t="shared" ref="W22:W23" si="26">IF(SUM(S22:V22)=0,"No discount",IF(S22&gt;0,"Guaranteed off bill",IF(T22&gt;0,"Guaranteed off usage",IF(U22&gt;0,"Pay-on-time off bill","Pay-on-time off usage"))))</f>
        <v>No discount</v>
      </c>
      <c r="X22" s="538" t="str">
        <f t="shared" ref="X22:X23" si="27">IF(OR(A22="Origin Energy",A22="Red Energy",A22="Powershop"),"Inclusive","Exclusive")</f>
        <v>Inclusive</v>
      </c>
      <c r="Y22" s="535">
        <f t="shared" ref="Y22:Y23" si="28">IF(AND(W22="Guaranteed off bill",X22="Inclusive"),((Q22*1.1)-((Q22*1.1)*S22/100))/1.1,IF(AND(W22="Guaranteed off usage",X22="Inclusive"),((Q22*1.1)-((P22*1.1)*T22/100))/1.1,IF(AND(W22="Guaranteed off bill",X22="Exclusive"),Q22-(Q22*S22/100),IF(AND(W22="Guaranteed off usage",X22="Exclusive"),Q22-(P22*T22/100),IF(X22="Inclusive",((Q22*1.1))/1.1,Q22)))))</f>
        <v>2297.3018181818179</v>
      </c>
      <c r="Z22" s="535">
        <f t="shared" ref="Z22:Z23" si="29">IF(AND(W22="Pay-on-time off bill",X22="Inclusive"),((Y22*1.1)-((Y22*1.1)*U22/100))/1.1,IF(AND(W22="Pay-on-time off usage",X22="Inclusive"),((Y22*1.1)-((P22*1.1)*V22/100))/1.1,IF(AND(W22="Pay-on-time off bill",X22="Exclusive"),Y22-(Y22*U22/100),IF(AND(W22="Pay-on-time off usage",X22="Exclusive"),Y22-(P22*V22/100),IF(X22="Inclusive",((Y22*1.1))/1.1,Y22)))))</f>
        <v>2297.3018181818179</v>
      </c>
      <c r="AA22" s="542">
        <f t="shared" ref="AA22:AA23" si="30">Y22*1.1</f>
        <v>2527.0319999999997</v>
      </c>
      <c r="AB22" s="609">
        <f t="shared" ref="AB22:AB23" si="31">Z22*1.1</f>
        <v>2527.0319999999997</v>
      </c>
      <c r="AC22" s="625"/>
      <c r="AD22" s="625"/>
      <c r="AE22" s="625"/>
      <c r="AF22" s="625"/>
      <c r="AG22" s="625"/>
      <c r="AH22" s="625"/>
      <c r="AI22" s="625"/>
      <c r="AJ22" s="625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</row>
    <row r="23" spans="1:46" ht="15" thickBot="1" x14ac:dyDescent="0.2">
      <c r="A23" s="276" t="str">
        <f>'Tariffs Jul2023'!F17</f>
        <v>Kogan</v>
      </c>
      <c r="B23" s="277" t="str">
        <f>'Tariffs Jul2023'!D17</f>
        <v>Multinet Metro 1</v>
      </c>
      <c r="C23" s="277" t="str">
        <f>'Tariffs Jul2023'!G17</f>
        <v>First</v>
      </c>
      <c r="D23" s="278">
        <f>365*'Tariffs Jul2023'!H17/100</f>
        <v>304.21090909090907</v>
      </c>
      <c r="E23" s="278">
        <f>((C$5*'Tariffs Jul2023'!AK17/'Tariffs Jul2023'!AI17)*('Tariffs Jul2023'!O17/100))*'Tariffs Jul2023'!AI17</f>
        <v>996.5454545454545</v>
      </c>
      <c r="F23" s="278">
        <v>0</v>
      </c>
      <c r="G23" s="278">
        <v>0</v>
      </c>
      <c r="H23" s="278">
        <v>0</v>
      </c>
      <c r="I23" s="547">
        <v>0</v>
      </c>
      <c r="J23" s="547">
        <f>((C$5*'Tariffs Jul2023'!AL17/'Tariffs Jul2023'!AJ17)*('Tariffs Jul2023'!U17/100))*'Tariffs Jul2023'!AJ17</f>
        <v>996.5454545454545</v>
      </c>
      <c r="K23" s="547">
        <v>0</v>
      </c>
      <c r="L23" s="547">
        <v>0</v>
      </c>
      <c r="M23" s="547">
        <v>0</v>
      </c>
      <c r="N23" s="547">
        <v>0</v>
      </c>
      <c r="O23" s="278">
        <f t="shared" ref="O23" si="32">SUM(E23:N23)</f>
        <v>1993.090909090909</v>
      </c>
      <c r="P23" s="504">
        <f t="shared" si="23"/>
        <v>2192.4</v>
      </c>
      <c r="Q23" s="278">
        <f t="shared" si="24"/>
        <v>2297.3018181818179</v>
      </c>
      <c r="R23" s="280">
        <f t="shared" si="25"/>
        <v>2527.0319999999997</v>
      </c>
      <c r="S23" s="277">
        <f>'Tariffs Jul2023'!AN17</f>
        <v>0</v>
      </c>
      <c r="T23" s="277">
        <f>'Tariffs Jul2023'!AO17</f>
        <v>0</v>
      </c>
      <c r="U23" s="277">
        <f>'Tariffs Jul2023'!AP17</f>
        <v>0</v>
      </c>
      <c r="V23" s="638">
        <f>'Tariffs Jul2023'!AQ17</f>
        <v>0</v>
      </c>
      <c r="W23" s="585" t="str">
        <f t="shared" si="26"/>
        <v>No discount</v>
      </c>
      <c r="X23" s="541" t="str">
        <f t="shared" si="27"/>
        <v>Exclusive</v>
      </c>
      <c r="Y23" s="544">
        <f t="shared" si="28"/>
        <v>2297.3018181818179</v>
      </c>
      <c r="Z23" s="544">
        <f t="shared" si="29"/>
        <v>2297.3018181818179</v>
      </c>
      <c r="AA23" s="545">
        <f t="shared" si="30"/>
        <v>2527.0319999999997</v>
      </c>
      <c r="AB23" s="610">
        <f t="shared" si="31"/>
        <v>2527.0319999999997</v>
      </c>
      <c r="AC23" s="625"/>
      <c r="AD23" s="625"/>
      <c r="AE23" s="625"/>
      <c r="AF23" s="625"/>
      <c r="AG23" s="625"/>
      <c r="AH23" s="625"/>
      <c r="AI23" s="625"/>
      <c r="AJ23" s="625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</row>
    <row r="24" spans="1:46" ht="15" thickTop="1" x14ac:dyDescent="0.15">
      <c r="A24" s="270" t="str">
        <f>'Tariffs Jul2023'!F18</f>
        <v>AGL</v>
      </c>
      <c r="B24" s="40" t="str">
        <f>'Tariffs Jul2023'!D18</f>
        <v>Multinet Metro 2</v>
      </c>
      <c r="C24" s="40" t="str">
        <f>'Tariffs Jul2023'!G18</f>
        <v>Value Saver</v>
      </c>
      <c r="D24" s="59">
        <f>365*'Tariffs Jul2023'!H18/100</f>
        <v>271.92500000000001</v>
      </c>
      <c r="E24" s="59">
        <f>IF($C$5*'Tariffs Jul2023'!AK18/'Tariffs Jul2023'!AI18&gt;='Tariffs Jul2023'!J18,( 'Tariffs Jul2023'!J18*'Tariffs Jul2023'!O18/100)* 'Tariffs Jul2023'!AI18,($C$5*'Tariffs Jul2023'!AK18/'Tariffs Jul2023'!AI18*'Tariffs Jul2023'!O18/100)* 'Tariffs Jul2023'!AI18)</f>
        <v>299.45454545454544</v>
      </c>
      <c r="F24" s="59">
        <f>IF($C$5*'Tariffs Jul2023'!AK18/'Tariffs Jul2023'!AI18&lt;'Tariffs Jul2023'!J18,0,IF($C$5*'Tariffs Jul2023'!AK18/'Tariffs Jul2023'!AI18&lt;='Tariffs Jul2023'!K18,($C$5*'Tariffs Jul2023'!AK18/'Tariffs Jul2023'!AI18-'Tariffs Jul2023'!J18)*('Tariffs Jul2023'!P18/100)*'Tariffs Jul2023'!AI18,('Tariffs Jul2023'!K18-'Tariffs Jul2023'!J18)*('Tariffs Jul2023'!P18/100)*'Tariffs Jul2023'!AI18))</f>
        <v>265.09090909090907</v>
      </c>
      <c r="G24" s="59">
        <f>IF($C$5*'Tariffs Jul2023'!AK18/'Tariffs Jul2023'!AI18&lt;'Tariffs Jul2023'!K18,0,IF($C$5*'Tariffs Jul2023'!AK18/'Tariffs Jul2023'!AI18&lt;='Tariffs Jul2023'!L18,($C$5*'Tariffs Jul2023'!AK18/'Tariffs Jul2023'!AI18-'Tariffs Jul2023'!K18)*('Tariffs Jul2023'!Q18/100)*'Tariffs Jul2023'!AI18,('Tariffs Jul2023'!L18-'Tariffs Jul2023'!K18)*('Tariffs Jul2023'!Q18/100)*'Tariffs Jul2023'!AI18))</f>
        <v>212.72727272727269</v>
      </c>
      <c r="H24" s="59">
        <f>IF($C$5*'Tariffs Jul2023'!AK18/'Tariffs Jul2023'!AI18&lt;'Tariffs Jul2023'!L18,0,IF($C$5*'Tariffs Jul2023'!AK18/'Tariffs Jul2023'!AI18&lt;='Tariffs Jul2023'!M18,($C$5*'Tariffs Jul2023'!AK18/'Tariffs Jul2023'!AI18-'Tariffs Jul2023'!L18)*('Tariffs Jul2023'!R18/100)*'Tariffs Jul2023'!AI18,('Tariffs Jul2023'!M18-'Tariffs Jul2023'!L18)*('Tariffs Jul2023'!R18/100)*'Tariffs Jul2023'!AI18))</f>
        <v>87.545454545454533</v>
      </c>
      <c r="I24" s="59">
        <f>IF(($C$5*'Tariffs Jul2023'!AK18/'Tariffs Jul2023'!AI18&gt;'Tariffs Jul2023'!M18),($C$5*'Tariffs Jul2023'!AK18/'Tariffs Jul2023'!AI18-'Tariffs Jul2023'!M18)*'Tariffs Jul2023'!S18/100*'Tariffs Jul2023'!AI18,0)</f>
        <v>0</v>
      </c>
      <c r="J24" s="59">
        <f>IF($C$5*'Tariffs Jul2023'!AL18/'Tariffs Jul2023'!AJ18&gt;='Tariffs Jul2023'!J18,('Tariffs Jul2023'!J18*'Tariffs Jul2023'!U18/100)* 'Tariffs Jul2023'!AJ18,($C$5*'Tariffs Jul2023'!AL18/'Tariffs Jul2023'!AJ18*'Tariffs Jul2023'!U18/100)* 'Tariffs Jul2023'!AJ18)</f>
        <v>280.63636363636363</v>
      </c>
      <c r="K24" s="59">
        <f>IF($C$5*'Tariffs Jul2023'!AL18/'Tariffs Jul2023'!AJ18&lt;'Tariffs Jul2023'!J18,0,IF($C$5*'Tariffs Jul2023'!AL18/'Tariffs Jul2023'!AJ18&lt;='Tariffs Jul2023'!K18,($C$5*'Tariffs Jul2023'!AL18/'Tariffs Jul2023'!AJ18-'Tariffs Jul2023'!J18)*('Tariffs Jul2023'!V18/100)*'Tariffs Jul2023'!AJ18,('Tariffs Jul2023'!K18-'Tariffs Jul2023'!J18)*('Tariffs Jul2023'!V18/100)*'Tariffs Jul2023'!AJ18))</f>
        <v>245.45454545454544</v>
      </c>
      <c r="L24" s="59">
        <f>IF($C$5*'Tariffs Jul2023'!AL18/'Tariffs Jul2023'!AJ18&lt;'Tariffs Jul2023'!K18,0,IF($C$5*'Tariffs Jul2023'!AL18/'Tariffs Jul2023'!AJ18&lt;='Tariffs Jul2023'!L18,($C$5*'Tariffs Jul2023'!AL18/'Tariffs Jul2023'!AJ18-'Tariffs Jul2023'!K18)*('Tariffs Jul2023'!W18/100)*'Tariffs Jul2023'!AJ18,('Tariffs Jul2023'!L18-'Tariffs Jul2023'!K18)*('Tariffs Jul2023'!W18/100)*'Tariffs Jul2023'!AJ18))</f>
        <v>201.27272727272728</v>
      </c>
      <c r="M24" s="59">
        <f>IF($C$5*'Tariffs Jul2023'!AL18/'Tariffs Jul2023'!AJ18&lt;'Tariffs Jul2023'!L18,0,IF($C$5*'Tariffs Jul2023'!AL18/'Tariffs Jul2023'!AJ18&lt;='Tariffs Jul2023'!M18,($C$5*'Tariffs Jul2023'!AL18/'Tariffs Jul2023'!AJ18-'Tariffs Jul2023'!L18)*('Tariffs Jul2023'!X18/100)*'Tariffs Jul2023'!AJ18,('Tariffs Jul2023'!M18-'Tariffs Jul2023'!L18)*('Tariffs Jul2023'!X18/100)*'Tariffs Jul2023'!AJ18))</f>
        <v>85.090909090909093</v>
      </c>
      <c r="N24" s="59">
        <f>IF(($C$5*'Tariffs Jul2023'!AL18/'Tariffs Jul2023'!AJ18&gt;'Tariffs Jul2023'!M18),($C$5*'Tariffs Jul2023'!AL18/'Tariffs Jul2023'!AJ18-'Tariffs Jul2023'!M18)*'Tariffs Jul2023'!Y18/100*'Tariffs Jul2023'!AJ18,0)</f>
        <v>0</v>
      </c>
      <c r="O24" s="59">
        <f t="shared" si="1"/>
        <v>1677.2727272727273</v>
      </c>
      <c r="P24" s="503">
        <f t="shared" si="2"/>
        <v>1845.0000000000002</v>
      </c>
      <c r="Q24" s="59">
        <f t="shared" si="3"/>
        <v>1949.1977272727272</v>
      </c>
      <c r="R24" s="272">
        <f t="shared" si="4"/>
        <v>2144.1175000000003</v>
      </c>
      <c r="S24" s="40">
        <f>'Tariffs Jul2023'!AN18</f>
        <v>0</v>
      </c>
      <c r="T24" s="40">
        <f>'Tariffs Jul2023'!AO18</f>
        <v>0</v>
      </c>
      <c r="U24" s="40">
        <f>'Tariffs Jul2023'!AP18</f>
        <v>0</v>
      </c>
      <c r="V24" s="637">
        <f>'Tariffs Jul2023'!AQ18</f>
        <v>0</v>
      </c>
      <c r="W24" s="578" t="str">
        <f>IF(SUM(S24:V24)=0,"No discount",IF(S24&gt;0,"Guaranteed off bill",IF(T24&gt;0,"Guaranteed off usage",IF(U24&gt;0,"Pay-on-time off bill","Pay-on-time off usage"))))</f>
        <v>No discount</v>
      </c>
      <c r="X24" s="538" t="str">
        <f>IF(OR(A24="Origin Energy",A24="Red Energy",A24="Powershop"),"Inclusive","Exclusive")</f>
        <v>Exclusive</v>
      </c>
      <c r="Y24" s="535">
        <f>IF(AND(W24="Guaranteed off bill",X24="Inclusive"),((Q24*1.1)-((Q24*1.1)*S24/100))/1.1,IF(AND(W24="Guaranteed off usage",X24="Inclusive"),((Q24*1.1)-((P24*1.1)*T24/100))/1.1,IF(AND(W24="Guaranteed off bill",X24="Exclusive"),Q24-(Q24*S24/100),IF(AND(W24="Guaranteed off usage",X24="Exclusive"),Q24-(P24*T24/100),IF(X24="Inclusive",((Q24*1.1))/1.1,Q24)))))</f>
        <v>1949.1977272727272</v>
      </c>
      <c r="Z24" s="535">
        <f>IF(AND(W24="Pay-on-time off bill",X24="Inclusive"),((Y24*1.1)-((Y24*1.1)*U24/100))/1.1,IF(AND(W24="Pay-on-time off usage",X24="Inclusive"),((Y24*1.1)-((P24*1.1)*V24/100))/1.1,IF(AND(W24="Pay-on-time off bill",X24="Exclusive"),Y24-(Y24*U24/100),IF(AND(W24="Pay-on-time off usage",X24="Exclusive"),Y24-(P24*V24/100),IF(X24="Inclusive",((Y24*1.1))/1.1,Y24)))))</f>
        <v>1949.1977272727272</v>
      </c>
      <c r="AA24" s="542">
        <f t="shared" si="0"/>
        <v>2144.1175000000003</v>
      </c>
      <c r="AB24" s="609">
        <f t="shared" si="0"/>
        <v>2144.1175000000003</v>
      </c>
      <c r="AC24" s="625"/>
      <c r="AD24" s="625"/>
      <c r="AE24" s="625"/>
      <c r="AF24" s="625"/>
      <c r="AG24" s="625"/>
      <c r="AH24" s="625"/>
      <c r="AI24" s="625"/>
      <c r="AJ24" s="625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</row>
    <row r="25" spans="1:46" ht="14" x14ac:dyDescent="0.15">
      <c r="A25" s="270" t="str">
        <f>'Tariffs Jul2023'!F19</f>
        <v>Alinta Energy</v>
      </c>
      <c r="B25" s="40" t="str">
        <f>'Tariffs Jul2023'!D19</f>
        <v>Multinet Metro 2</v>
      </c>
      <c r="C25" s="40" t="str">
        <f>'Tariffs Jul2023'!G19</f>
        <v>Home Deal</v>
      </c>
      <c r="D25" s="59">
        <f>365*'Tariffs Jul2023'!H19/100</f>
        <v>238.24545454545452</v>
      </c>
      <c r="E25" s="59">
        <f>IF($C$5*'Tariffs Jul2023'!AK19/'Tariffs Jul2023'!AI19&gt;='Tariffs Jul2023'!J19,( 'Tariffs Jul2023'!J19*'Tariffs Jul2023'!O19/100)* 'Tariffs Jul2023'!AI19,($C$5*'Tariffs Jul2023'!AK19/'Tariffs Jul2023'!AI19*'Tariffs Jul2023'!O19/100)* 'Tariffs Jul2023'!AI19)</f>
        <v>331.36363636363632</v>
      </c>
      <c r="F25" s="59">
        <f>IF($C$5*'Tariffs Jul2023'!AK19/'Tariffs Jul2023'!AI19&lt;'Tariffs Jul2023'!J19,0,IF($C$5*'Tariffs Jul2023'!AK19/'Tariffs Jul2023'!AI19&lt;='Tariffs Jul2023'!K19,($C$5*'Tariffs Jul2023'!AK19/'Tariffs Jul2023'!AI19-'Tariffs Jul2023'!J19)*('Tariffs Jul2023'!P19/100)*'Tariffs Jul2023'!AI19,('Tariffs Jul2023'!K19-'Tariffs Jul2023'!J19)*('Tariffs Jul2023'!P19/100)*'Tariffs Jul2023'!AI19))</f>
        <v>293.72727272727269</v>
      </c>
      <c r="G25" s="59">
        <f>IF($C$5*'Tariffs Jul2023'!AK19/'Tariffs Jul2023'!AI19&lt;'Tariffs Jul2023'!K19,0,IF($C$5*'Tariffs Jul2023'!AK19/'Tariffs Jul2023'!AI19&lt;='Tariffs Jul2023'!L19,($C$5*'Tariffs Jul2023'!AK19/'Tariffs Jul2023'!AI19-'Tariffs Jul2023'!K19)*('Tariffs Jul2023'!Q19/100)*'Tariffs Jul2023'!AI19,('Tariffs Jul2023'!L19-'Tariffs Jul2023'!K19)*('Tariffs Jul2023'!Q19/100)*'Tariffs Jul2023'!AI19))</f>
        <v>0</v>
      </c>
      <c r="H25" s="59">
        <f>IF($C$5*'Tariffs Jul2023'!AK19/'Tariffs Jul2023'!AI19&lt;'Tariffs Jul2023'!L19,0,IF($C$5*'Tariffs Jul2023'!AK19/'Tariffs Jul2023'!AI19&lt;='Tariffs Jul2023'!M19,($C$5*'Tariffs Jul2023'!AK19/'Tariffs Jul2023'!AI19-'Tariffs Jul2023'!L19)*('Tariffs Jul2023'!R19/100)*'Tariffs Jul2023'!AI19,('Tariffs Jul2023'!M19-'Tariffs Jul2023'!L19)*('Tariffs Jul2023'!R19/100)*'Tariffs Jul2023'!AI19))</f>
        <v>0</v>
      </c>
      <c r="I25" s="59">
        <f>IF(($C$5*'Tariffs Jul2023'!AK19/'Tariffs Jul2023'!AI19&gt;'Tariffs Jul2023'!M19),($C$5*'Tariffs Jul2023'!AK19/'Tariffs Jul2023'!AI19-'Tariffs Jul2023'!M19)*'Tariffs Jul2023'!S19/100*'Tariffs Jul2023'!AI19,0)</f>
        <v>343.63636363636357</v>
      </c>
      <c r="J25" s="59">
        <f>IF($C$5*'Tariffs Jul2023'!AL19/'Tariffs Jul2023'!AJ19&gt;='Tariffs Jul2023'!J19,('Tariffs Jul2023'!J19*'Tariffs Jul2023'!U19/100)* 'Tariffs Jul2023'!AJ19,($C$5*'Tariffs Jul2023'!AL19/'Tariffs Jul2023'!AJ19*'Tariffs Jul2023'!U19/100)* 'Tariffs Jul2023'!AJ19)</f>
        <v>318.27272727272725</v>
      </c>
      <c r="K25" s="59">
        <f>IF($C$5*'Tariffs Jul2023'!AL19/'Tariffs Jul2023'!AJ19&lt;'Tariffs Jul2023'!J19,0,IF($C$5*'Tariffs Jul2023'!AL19/'Tariffs Jul2023'!AJ19&lt;='Tariffs Jul2023'!K19,($C$5*'Tariffs Jul2023'!AL19/'Tariffs Jul2023'!AJ19-'Tariffs Jul2023'!J19)*('Tariffs Jul2023'!V19/100)*'Tariffs Jul2023'!AJ19,('Tariffs Jul2023'!K19-'Tariffs Jul2023'!J19)*('Tariffs Jul2023'!V19/100)*'Tariffs Jul2023'!AJ19))</f>
        <v>279.81818181818181</v>
      </c>
      <c r="L25" s="59">
        <f>IF($C$5*'Tariffs Jul2023'!AL19/'Tariffs Jul2023'!AJ19&lt;'Tariffs Jul2023'!K19,0,IF($C$5*'Tariffs Jul2023'!AL19/'Tariffs Jul2023'!AJ19&lt;='Tariffs Jul2023'!L19,($C$5*'Tariffs Jul2023'!AL19/'Tariffs Jul2023'!AJ19-'Tariffs Jul2023'!K19)*('Tariffs Jul2023'!W19/100)*'Tariffs Jul2023'!AJ19,('Tariffs Jul2023'!L19-'Tariffs Jul2023'!K19)*('Tariffs Jul2023'!W19/100)*'Tariffs Jul2023'!AJ19))</f>
        <v>0</v>
      </c>
      <c r="M25" s="59">
        <f>IF($C$5*'Tariffs Jul2023'!AL19/'Tariffs Jul2023'!AJ19&lt;'Tariffs Jul2023'!L19,0,IF($C$5*'Tariffs Jul2023'!AL19/'Tariffs Jul2023'!AJ19&lt;='Tariffs Jul2023'!M19,($C$5*'Tariffs Jul2023'!AL19/'Tariffs Jul2023'!AJ19-'Tariffs Jul2023'!L19)*('Tariffs Jul2023'!X19/100)*'Tariffs Jul2023'!AJ19,('Tariffs Jul2023'!M19-'Tariffs Jul2023'!L19)*('Tariffs Jul2023'!X19/100)*'Tariffs Jul2023'!AJ19))</f>
        <v>0</v>
      </c>
      <c r="N25" s="59">
        <f>IF(($C$5*'Tariffs Jul2023'!AL19/'Tariffs Jul2023'!AJ19&gt;'Tariffs Jul2023'!M19),($C$5*'Tariffs Jul2023'!AL19/'Tariffs Jul2023'!AJ19-'Tariffs Jul2023'!M19)*'Tariffs Jul2023'!Y19/100*'Tariffs Jul2023'!AJ19,0)</f>
        <v>343.63636363636357</v>
      </c>
      <c r="O25" s="59">
        <f t="shared" si="1"/>
        <v>1910.454545454545</v>
      </c>
      <c r="P25" s="503">
        <f t="shared" si="2"/>
        <v>2101.4999999999995</v>
      </c>
      <c r="Q25" s="59">
        <f t="shared" si="3"/>
        <v>2148.6999999999994</v>
      </c>
      <c r="R25" s="272">
        <f t="shared" si="4"/>
        <v>2363.5699999999997</v>
      </c>
      <c r="S25" s="40">
        <f>'Tariffs Jul2023'!AN19</f>
        <v>0</v>
      </c>
      <c r="T25" s="40">
        <f>'Tariffs Jul2023'!AO19</f>
        <v>0</v>
      </c>
      <c r="U25" s="40">
        <f>'Tariffs Jul2023'!AP19</f>
        <v>0</v>
      </c>
      <c r="V25" s="637">
        <f>'Tariffs Jul2023'!AQ19</f>
        <v>0</v>
      </c>
      <c r="W25" s="578" t="str">
        <f t="shared" ref="W25:W36" si="33">IF(SUM(S25:V25)=0,"No discount",IF(S25&gt;0,"Guaranteed off bill",IF(T25&gt;0,"Guaranteed off usage",IF(U25&gt;0,"Pay-on-time off bill","Pay-on-time off usage"))))</f>
        <v>No discount</v>
      </c>
      <c r="X25" s="538" t="str">
        <f t="shared" ref="X25:X36" si="34">IF(OR(A25="Origin Energy",A25="Red Energy",A25="Powershop"),"Inclusive","Exclusive")</f>
        <v>Exclusive</v>
      </c>
      <c r="Y25" s="535">
        <f>IF(AND(W25="Guaranteed off bill",X25="Inclusive"),((Q25*1.1)-((Q25*1.1)*S25/100))/1.1,IF(AND(W25="Guaranteed off usage",X25="Inclusive"),((Q25*1.1)-((P25*1.1)*T25/100))/1.1,IF(AND(W25="Guaranteed off bill",X25="Exclusive"),Q25-(Q25*S25/100),IF(AND(W25="Guaranteed off usage",X25="Exclusive"),Q25-(P25*T25/100),IF(X25="Inclusive",((Q25*1.1))/1.1,Q25)))))</f>
        <v>2148.6999999999994</v>
      </c>
      <c r="Z25" s="535">
        <f>IF(AND(W25="Pay-on-time off bill",X25="Inclusive"),((Y25*1.1)-((Y25*1.1)*U25/100))/1.1,IF(AND(W25="Pay-on-time off usage",X25="Inclusive"),((Y25*1.1)-((P25*1.1)*V25/100))/1.1,IF(AND(W25="Pay-on-time off bill",X25="Exclusive"),Y25-(Y25*U25/100),IF(AND(W25="Pay-on-time off usage",X25="Exclusive"),Y25-(P25*V25/100),IF(X25="Inclusive",((Y25*1.1))/1.1,Y25)))))</f>
        <v>2148.6999999999994</v>
      </c>
      <c r="AA25" s="542">
        <f t="shared" si="0"/>
        <v>2363.5699999999997</v>
      </c>
      <c r="AB25" s="609">
        <f t="shared" si="0"/>
        <v>2363.5699999999997</v>
      </c>
      <c r="AC25" s="625"/>
      <c r="AD25" s="625"/>
      <c r="AE25" s="625"/>
      <c r="AF25" s="625"/>
      <c r="AG25" s="625"/>
      <c r="AH25" s="625"/>
      <c r="AI25" s="625"/>
      <c r="AJ25" s="625"/>
      <c r="AK25" s="625"/>
      <c r="AL25" s="625"/>
      <c r="AM25" s="625"/>
      <c r="AN25" s="625"/>
      <c r="AO25" s="625"/>
      <c r="AP25" s="625"/>
      <c r="AQ25" s="625"/>
      <c r="AR25" s="625"/>
      <c r="AS25" s="625"/>
      <c r="AT25" s="625"/>
    </row>
    <row r="26" spans="1:46" ht="14" x14ac:dyDescent="0.15">
      <c r="A26" s="270" t="str">
        <f>'Tariffs Jul2023'!F20</f>
        <v>Dodo Power &amp; Gas</v>
      </c>
      <c r="B26" s="40" t="str">
        <f>'Tariffs Jul2023'!D20</f>
        <v>Multinet Metro 2</v>
      </c>
      <c r="C26" s="40" t="str">
        <f>'Tariffs Jul2023'!G20</f>
        <v>Market offer</v>
      </c>
      <c r="D26" s="59">
        <f>365*'Tariffs Jul2023'!H20/100</f>
        <v>252.04909090909089</v>
      </c>
      <c r="E26" s="59">
        <f>IF($C$5*'Tariffs Jul2023'!AK20/'Tariffs Jul2023'!AI20&gt;='Tariffs Jul2023'!J20,( 'Tariffs Jul2023'!J20*'Tariffs Jul2023'!O20/100)* 'Tariffs Jul2023'!AI20,($C$5*'Tariffs Jul2023'!AK20/'Tariffs Jul2023'!AI20*'Tariffs Jul2023'!O20/100)* 'Tariffs Jul2023'!AI20)</f>
        <v>278.18181818181813</v>
      </c>
      <c r="F26" s="59">
        <f>IF($C$5*'Tariffs Jul2023'!AK20/'Tariffs Jul2023'!AI20&lt;'Tariffs Jul2023'!J20,0,IF($C$5*'Tariffs Jul2023'!AK20/'Tariffs Jul2023'!AI20&lt;='Tariffs Jul2023'!K20,($C$5*'Tariffs Jul2023'!AK20/'Tariffs Jul2023'!AI20-'Tariffs Jul2023'!J20)*('Tariffs Jul2023'!P20/100)*'Tariffs Jul2023'!AI20,('Tariffs Jul2023'!K20-'Tariffs Jul2023'!J20)*('Tariffs Jul2023'!P20/100)*'Tariffs Jul2023'!AI20))</f>
        <v>248.72727272727269</v>
      </c>
      <c r="G26" s="59">
        <f>IF($C$5*'Tariffs Jul2023'!AK20/'Tariffs Jul2023'!AI20&lt;'Tariffs Jul2023'!K20,0,IF($C$5*'Tariffs Jul2023'!AK20/'Tariffs Jul2023'!AI20&lt;='Tariffs Jul2023'!L20,($C$5*'Tariffs Jul2023'!AK20/'Tariffs Jul2023'!AI20-'Tariffs Jul2023'!K20)*('Tariffs Jul2023'!Q20/100)*'Tariffs Jul2023'!AI20,('Tariffs Jul2023'!L20-'Tariffs Jul2023'!K20)*('Tariffs Jul2023'!Q20/100)*'Tariffs Jul2023'!AI20))</f>
        <v>218.45454545454544</v>
      </c>
      <c r="H26" s="59">
        <f>IF($C$5*'Tariffs Jul2023'!AK20/'Tariffs Jul2023'!AI20&lt;'Tariffs Jul2023'!L20,0,IF($C$5*'Tariffs Jul2023'!AK20/'Tariffs Jul2023'!AI20&lt;='Tariffs Jul2023'!M20,($C$5*'Tariffs Jul2023'!AK20/'Tariffs Jul2023'!AI20-'Tariffs Jul2023'!L20)*('Tariffs Jul2023'!R20/100)*'Tariffs Jul2023'!AI20,('Tariffs Jul2023'!M20-'Tariffs Jul2023'!L20)*('Tariffs Jul2023'!R20/100)*'Tariffs Jul2023'!AI20))</f>
        <v>102.27272727272725</v>
      </c>
      <c r="I26" s="59">
        <f>IF(($C$5*'Tariffs Jul2023'!AK20/'Tariffs Jul2023'!AI20&gt;'Tariffs Jul2023'!M20),($C$5*'Tariffs Jul2023'!AK20/'Tariffs Jul2023'!AI20-'Tariffs Jul2023'!M20)*'Tariffs Jul2023'!S20/100*'Tariffs Jul2023'!AI20,0)</f>
        <v>0</v>
      </c>
      <c r="J26" s="59">
        <f>IF($C$5*'Tariffs Jul2023'!AL20/'Tariffs Jul2023'!AJ20&gt;='Tariffs Jul2023'!J20,('Tariffs Jul2023'!J20*'Tariffs Jul2023'!U20/100)* 'Tariffs Jul2023'!AJ20,($C$5*'Tariffs Jul2023'!AL20/'Tariffs Jul2023'!AJ20*'Tariffs Jul2023'!U20/100)* 'Tariffs Jul2023'!AJ20)</f>
        <v>278.18181818181813</v>
      </c>
      <c r="K26" s="59">
        <f>IF($C$5*'Tariffs Jul2023'!AL20/'Tariffs Jul2023'!AJ20&lt;'Tariffs Jul2023'!J20,0,IF($C$5*'Tariffs Jul2023'!AL20/'Tariffs Jul2023'!AJ20&lt;='Tariffs Jul2023'!K20,($C$5*'Tariffs Jul2023'!AL20/'Tariffs Jul2023'!AJ20-'Tariffs Jul2023'!J20)*('Tariffs Jul2023'!V20/100)*'Tariffs Jul2023'!AJ20,('Tariffs Jul2023'!K20-'Tariffs Jul2023'!J20)*('Tariffs Jul2023'!V20/100)*'Tariffs Jul2023'!AJ20))</f>
        <v>248.72727272727269</v>
      </c>
      <c r="L26" s="59">
        <f>IF($C$5*'Tariffs Jul2023'!AL20/'Tariffs Jul2023'!AJ20&lt;'Tariffs Jul2023'!K20,0,IF($C$5*'Tariffs Jul2023'!AL20/'Tariffs Jul2023'!AJ20&lt;='Tariffs Jul2023'!L20,($C$5*'Tariffs Jul2023'!AL20/'Tariffs Jul2023'!AJ20-'Tariffs Jul2023'!K20)*('Tariffs Jul2023'!W20/100)*'Tariffs Jul2023'!AJ20,('Tariffs Jul2023'!L20-'Tariffs Jul2023'!K20)*('Tariffs Jul2023'!W20/100)*'Tariffs Jul2023'!AJ20))</f>
        <v>218.45454545454544</v>
      </c>
      <c r="M26" s="59">
        <f>IF($C$5*'Tariffs Jul2023'!AL20/'Tariffs Jul2023'!AJ20&lt;'Tariffs Jul2023'!L20,0,IF($C$5*'Tariffs Jul2023'!AL20/'Tariffs Jul2023'!AJ20&lt;='Tariffs Jul2023'!M20,($C$5*'Tariffs Jul2023'!AL20/'Tariffs Jul2023'!AJ20-'Tariffs Jul2023'!L20)*('Tariffs Jul2023'!X20/100)*'Tariffs Jul2023'!AJ20,('Tariffs Jul2023'!M20-'Tariffs Jul2023'!L20)*('Tariffs Jul2023'!X20/100)*'Tariffs Jul2023'!AJ20))</f>
        <v>102.27272727272725</v>
      </c>
      <c r="N26" s="59">
        <f>IF(($C$5*'Tariffs Jul2023'!AL20/'Tariffs Jul2023'!AJ20&gt;'Tariffs Jul2023'!M20),($C$5*'Tariffs Jul2023'!AL20/'Tariffs Jul2023'!AJ20-'Tariffs Jul2023'!M20)*'Tariffs Jul2023'!Y20/100*'Tariffs Jul2023'!AJ20,0)</f>
        <v>0</v>
      </c>
      <c r="O26" s="59">
        <f t="shared" si="1"/>
        <v>1695.272727272727</v>
      </c>
      <c r="P26" s="503">
        <f t="shared" si="2"/>
        <v>1864.8</v>
      </c>
      <c r="Q26" s="59">
        <f t="shared" si="3"/>
        <v>1947.3218181818179</v>
      </c>
      <c r="R26" s="272">
        <f t="shared" si="4"/>
        <v>2142.0539999999996</v>
      </c>
      <c r="S26" s="40">
        <f>'Tariffs Jul2023'!AN20</f>
        <v>0</v>
      </c>
      <c r="T26" s="40">
        <f>'Tariffs Jul2023'!AO20</f>
        <v>0</v>
      </c>
      <c r="U26" s="40">
        <f>'Tariffs Jul2023'!AP20</f>
        <v>0</v>
      </c>
      <c r="V26" s="637">
        <f>'Tariffs Jul2023'!AQ20</f>
        <v>0</v>
      </c>
      <c r="W26" s="578" t="str">
        <f t="shared" si="33"/>
        <v>No discount</v>
      </c>
      <c r="X26" s="538" t="str">
        <f t="shared" si="34"/>
        <v>Exclusive</v>
      </c>
      <c r="Y26" s="535">
        <f>IF(AND(W26="Guaranteed off bill",X26="Inclusive"),((Q26*1.1)-((Q26*1.1)*S26/100))/1.1,IF(AND(W26="Guaranteed off usage",X26="Inclusive"),((Q26*1.1)-((P26*1.1)*T26/100))/1.1,IF(AND(W26="Guaranteed off bill",X26="Exclusive"),Q26-(Q26*S26/100),IF(AND(W26="Guaranteed off usage",X26="Exclusive"),Q26-(P26*T26/100),IF(X26="Inclusive",((Q26*1.1))/1.1,Q26)))))</f>
        <v>1947.3218181818179</v>
      </c>
      <c r="Z26" s="535">
        <f>IF(AND(W26="Pay-on-time off bill",X26="Inclusive"),((Y26*1.1)-((Y26*1.1)*U26/100))/1.1,IF(AND(W26="Pay-on-time off usage",X26="Inclusive"),((Y26*1.1)-((P26*1.1)*V26/100))/1.1,IF(AND(W26="Pay-on-time off bill",X26="Exclusive"),Y26-(Y26*U26/100),IF(AND(W26="Pay-on-time off usage",X26="Exclusive"),Y26-(P26*V26/100),IF(X26="Inclusive",((Y26*1.1))/1.1,Y26)))))</f>
        <v>1947.3218181818179</v>
      </c>
      <c r="AA26" s="542">
        <f t="shared" si="0"/>
        <v>2142.0539999999996</v>
      </c>
      <c r="AB26" s="609">
        <f t="shared" si="0"/>
        <v>2142.0539999999996</v>
      </c>
      <c r="AC26" s="625"/>
      <c r="AD26" s="625"/>
      <c r="AE26" s="625"/>
      <c r="AF26" s="625"/>
      <c r="AG26" s="625"/>
      <c r="AH26" s="625"/>
      <c r="AI26" s="625"/>
      <c r="AJ26" s="625"/>
      <c r="AK26" s="625"/>
      <c r="AL26" s="625"/>
      <c r="AM26" s="625"/>
      <c r="AN26" s="625"/>
      <c r="AO26" s="625"/>
      <c r="AP26" s="625"/>
      <c r="AQ26" s="625"/>
      <c r="AR26" s="625"/>
      <c r="AS26" s="625"/>
      <c r="AT26" s="625"/>
    </row>
    <row r="27" spans="1:46" ht="14" x14ac:dyDescent="0.15">
      <c r="A27" s="270" t="str">
        <f>'Tariffs Jul2023'!F21</f>
        <v>EnergyAustralia</v>
      </c>
      <c r="B27" s="40" t="str">
        <f>'Tariffs Jul2023'!D21</f>
        <v>Multinet Metro 2</v>
      </c>
      <c r="C27" s="40" t="str">
        <f>'Tariffs Jul2023'!G21</f>
        <v>Flexi Plan</v>
      </c>
      <c r="D27" s="59">
        <f>365*'Tariffs Jul2023'!H21/100</f>
        <v>363.47363636363633</v>
      </c>
      <c r="E27" s="59">
        <f>IF($C$5*'Tariffs Jul2023'!AK21/'Tariffs Jul2023'!AI21&gt;='Tariffs Jul2023'!J21,( 'Tariffs Jul2023'!J21*'Tariffs Jul2023'!O21/100)* 'Tariffs Jul2023'!AI21,($C$5*'Tariffs Jul2023'!AK21/'Tariffs Jul2023'!AI21*'Tariffs Jul2023'!O21/100)* 'Tariffs Jul2023'!AI21)</f>
        <v>373.09090909090901</v>
      </c>
      <c r="F27" s="59">
        <f>IF($C$5*'Tariffs Jul2023'!AK21/'Tariffs Jul2023'!AI21&lt;'Tariffs Jul2023'!J21,0,IF($C$5*'Tariffs Jul2023'!AK21/'Tariffs Jul2023'!AI21&lt;='Tariffs Jul2023'!K21,($C$5*'Tariffs Jul2023'!AK21/'Tariffs Jul2023'!AI21-'Tariffs Jul2023'!J21)*('Tariffs Jul2023'!P21/100)*'Tariffs Jul2023'!AI21,('Tariffs Jul2023'!K21-'Tariffs Jul2023'!J21)*('Tariffs Jul2023'!P21/100)*'Tariffs Jul2023'!AI21))</f>
        <v>310.09090909090907</v>
      </c>
      <c r="G27" s="59">
        <f>IF($C$5*'Tariffs Jul2023'!AK21/'Tariffs Jul2023'!AI21&lt;'Tariffs Jul2023'!K21,0,IF($C$5*'Tariffs Jul2023'!AK21/'Tariffs Jul2023'!AI21&lt;='Tariffs Jul2023'!L21,($C$5*'Tariffs Jul2023'!AK21/'Tariffs Jul2023'!AI21-'Tariffs Jul2023'!K21)*('Tariffs Jul2023'!Q21/100)*'Tariffs Jul2023'!AI21,('Tariffs Jul2023'!L21-'Tariffs Jul2023'!K21)*('Tariffs Jul2023'!Q21/100)*'Tariffs Jul2023'!AI21))</f>
        <v>254.45454545454544</v>
      </c>
      <c r="H27" s="59">
        <f>IF($C$5*'Tariffs Jul2023'!AK21/'Tariffs Jul2023'!AI21&lt;'Tariffs Jul2023'!L21,0,IF($C$5*'Tariffs Jul2023'!AK21/'Tariffs Jul2023'!AI21&lt;='Tariffs Jul2023'!M21,($C$5*'Tariffs Jul2023'!AK21/'Tariffs Jul2023'!AI21-'Tariffs Jul2023'!L21)*('Tariffs Jul2023'!R21/100)*'Tariffs Jul2023'!AI21,('Tariffs Jul2023'!M21-'Tariffs Jul2023'!L21)*('Tariffs Jul2023'!R21/100)*'Tariffs Jul2023'!AI21))</f>
        <v>115.77272727272728</v>
      </c>
      <c r="I27" s="59">
        <f>IF(($C$5*'Tariffs Jul2023'!AK21/'Tariffs Jul2023'!AI21&gt;'Tariffs Jul2023'!M21),($C$5*'Tariffs Jul2023'!AK21/'Tariffs Jul2023'!AI21-'Tariffs Jul2023'!M21)*'Tariffs Jul2023'!S21/100*'Tariffs Jul2023'!AI21,0)</f>
        <v>0</v>
      </c>
      <c r="J27" s="59">
        <f>IF($C$5*'Tariffs Jul2023'!AL21/'Tariffs Jul2023'!AJ21&gt;='Tariffs Jul2023'!J21,('Tariffs Jul2023'!J21*'Tariffs Jul2023'!U21/100)* 'Tariffs Jul2023'!AJ21,($C$5*'Tariffs Jul2023'!AL21/'Tariffs Jul2023'!AJ21*'Tariffs Jul2023'!U21/100)* 'Tariffs Jul2023'!AJ21)</f>
        <v>351</v>
      </c>
      <c r="K27" s="59">
        <f>IF($C$5*'Tariffs Jul2023'!AL21/'Tariffs Jul2023'!AJ21&lt;'Tariffs Jul2023'!J21,0,IF($C$5*'Tariffs Jul2023'!AL21/'Tariffs Jul2023'!AJ21&lt;='Tariffs Jul2023'!K21,($C$5*'Tariffs Jul2023'!AL21/'Tariffs Jul2023'!AJ21-'Tariffs Jul2023'!J21)*('Tariffs Jul2023'!V21/100)*'Tariffs Jul2023'!AJ21,('Tariffs Jul2023'!K21-'Tariffs Jul2023'!J21)*('Tariffs Jul2023'!V21/100)*'Tariffs Jul2023'!AJ21))</f>
        <v>295.36363636363637</v>
      </c>
      <c r="L27" s="59">
        <f>IF($C$5*'Tariffs Jul2023'!AL21/'Tariffs Jul2023'!AJ21&lt;'Tariffs Jul2023'!K21,0,IF($C$5*'Tariffs Jul2023'!AL21/'Tariffs Jul2023'!AJ21&lt;='Tariffs Jul2023'!L21,($C$5*'Tariffs Jul2023'!AL21/'Tariffs Jul2023'!AJ21-'Tariffs Jul2023'!K21)*('Tariffs Jul2023'!W21/100)*'Tariffs Jul2023'!AJ21,('Tariffs Jul2023'!L21-'Tariffs Jul2023'!K21)*('Tariffs Jul2023'!W21/100)*'Tariffs Jul2023'!AJ21))</f>
        <v>239.72727272727272</v>
      </c>
      <c r="M27" s="59">
        <f>IF($C$5*'Tariffs Jul2023'!AL21/'Tariffs Jul2023'!AJ21&lt;'Tariffs Jul2023'!L21,0,IF($C$5*'Tariffs Jul2023'!AL21/'Tariffs Jul2023'!AJ21&lt;='Tariffs Jul2023'!M21,($C$5*'Tariffs Jul2023'!AL21/'Tariffs Jul2023'!AJ21-'Tariffs Jul2023'!L21)*('Tariffs Jul2023'!X21/100)*'Tariffs Jul2023'!AJ21,('Tariffs Jul2023'!M21-'Tariffs Jul2023'!L21)*('Tariffs Jul2023'!X21/100)*'Tariffs Jul2023'!AJ21))</f>
        <v>111.27272727272725</v>
      </c>
      <c r="N27" s="59">
        <f>IF(($C$5*'Tariffs Jul2023'!AL21/'Tariffs Jul2023'!AJ21&gt;'Tariffs Jul2023'!M21),($C$5*'Tariffs Jul2023'!AL21/'Tariffs Jul2023'!AJ21-'Tariffs Jul2023'!M21)*'Tariffs Jul2023'!Y21/100*'Tariffs Jul2023'!AJ21,0)</f>
        <v>0</v>
      </c>
      <c r="O27" s="59">
        <f t="shared" si="1"/>
        <v>2050.772727272727</v>
      </c>
      <c r="P27" s="503">
        <f t="shared" si="2"/>
        <v>2255.85</v>
      </c>
      <c r="Q27" s="59">
        <f t="shared" si="3"/>
        <v>2414.2463636363632</v>
      </c>
      <c r="R27" s="272">
        <f t="shared" si="4"/>
        <v>2655.6709999999998</v>
      </c>
      <c r="S27" s="40">
        <f>'Tariffs Jul2023'!AN21</f>
        <v>25</v>
      </c>
      <c r="T27" s="40">
        <f>'Tariffs Jul2023'!AO21</f>
        <v>0</v>
      </c>
      <c r="U27" s="40">
        <f>'Tariffs Jul2023'!AP21</f>
        <v>0</v>
      </c>
      <c r="V27" s="637">
        <f>'Tariffs Jul2023'!AQ21</f>
        <v>0</v>
      </c>
      <c r="W27" s="578" t="str">
        <f t="shared" si="33"/>
        <v>Guaranteed off bill</v>
      </c>
      <c r="X27" s="538" t="str">
        <f t="shared" si="34"/>
        <v>Exclusive</v>
      </c>
      <c r="Y27" s="535">
        <f t="shared" ref="Y27" si="35">IF(AND(W27="Guaranteed off bill",X27="Inclusive"),((Q27*1.1)-((Q27*1.1)*S27/100))/1.1,IF(AND(W27="Guaranteed off usage",X27="Inclusive"),((Q27*1.1)-((P27*1.1)*T27/100))/1.1,IF(AND(W27="Guaranteed off bill",X27="Exclusive"),Q27-(Q27*S27/100),IF(AND(W27="Guaranteed off usage",X27="Exclusive"),Q27-(P27*T27/100),IF(X27="Inclusive",((Q27*1.1))/1.1,Q27)))))</f>
        <v>1810.6847727272725</v>
      </c>
      <c r="Z27" s="535">
        <f t="shared" ref="Z27" si="36">IF(AND(W27="Pay-on-time off bill",X27="Inclusive"),((Y27*1.1)-((Y27*1.1)*U27/100))/1.1,IF(AND(W27="Pay-on-time off usage",X27="Inclusive"),((Y27*1.1)-((P27*1.1)*V27/100))/1.1,IF(AND(W27="Pay-on-time off bill",X27="Exclusive"),Y27-(Y27*U27/100),IF(AND(W27="Pay-on-time off usage",X27="Exclusive"),Y27-(P27*V27/100),IF(X27="Inclusive",((Y27*1.1))/1.1,Y27)))))</f>
        <v>1810.6847727272725</v>
      </c>
      <c r="AA27" s="542">
        <f t="shared" ref="AA27:AB45" si="37">Y27*1.1</f>
        <v>1991.75325</v>
      </c>
      <c r="AB27" s="609">
        <f t="shared" si="37"/>
        <v>1991.75325</v>
      </c>
      <c r="AC27" s="625"/>
      <c r="AD27" s="625"/>
      <c r="AE27" s="625"/>
      <c r="AF27" s="625"/>
      <c r="AG27" s="625"/>
      <c r="AH27" s="625"/>
      <c r="AI27" s="625"/>
      <c r="AJ27" s="625"/>
      <c r="AK27" s="625"/>
      <c r="AL27" s="625"/>
      <c r="AM27" s="625"/>
      <c r="AN27" s="625"/>
      <c r="AO27" s="625"/>
      <c r="AP27" s="625"/>
      <c r="AQ27" s="625"/>
      <c r="AR27" s="625"/>
      <c r="AS27" s="625"/>
      <c r="AT27" s="625"/>
    </row>
    <row r="28" spans="1:46" ht="14" x14ac:dyDescent="0.15">
      <c r="A28" s="270" t="str">
        <f>'Tariffs Jul2023'!F22</f>
        <v>Lumo Energy</v>
      </c>
      <c r="B28" s="40" t="str">
        <f>'Tariffs Jul2023'!D22</f>
        <v>Multinet Metro 2</v>
      </c>
      <c r="C28" s="40" t="str">
        <f>'Tariffs Jul2023'!G22</f>
        <v>Value</v>
      </c>
      <c r="D28" s="59">
        <f>365*'Tariffs Jul2023'!H22/100</f>
        <v>339.3836363636363</v>
      </c>
      <c r="E28" s="59">
        <f>IF($C$5*'Tariffs Jul2023'!AK22/'Tariffs Jul2023'!AI22&gt;='Tariffs Jul2023'!J22,( 'Tariffs Jul2023'!J22*'Tariffs Jul2023'!O22/100)* 'Tariffs Jul2023'!AI22,($C$5*'Tariffs Jul2023'!AK22/'Tariffs Jul2023'!AI22*'Tariffs Jul2023'!O22/100)* 'Tariffs Jul2023'!AI22)</f>
        <v>352.63636363636357</v>
      </c>
      <c r="F28" s="59">
        <f>IF($C$5*'Tariffs Jul2023'!AK22/'Tariffs Jul2023'!AI22&lt;'Tariffs Jul2023'!J22,0,IF($C$5*'Tariffs Jul2023'!AK22/'Tariffs Jul2023'!AI22&lt;='Tariffs Jul2023'!K22,($C$5*'Tariffs Jul2023'!AK22/'Tariffs Jul2023'!AI22-'Tariffs Jul2023'!J22)*('Tariffs Jul2023'!P22/100)*'Tariffs Jul2023'!AI22,('Tariffs Jul2023'!K22-'Tariffs Jul2023'!J22)*('Tariffs Jul2023'!P22/100)*'Tariffs Jul2023'!AI22))</f>
        <v>322.36363636363637</v>
      </c>
      <c r="G28" s="59">
        <f>IF($C$5*'Tariffs Jul2023'!AK22/'Tariffs Jul2023'!AI22&lt;'Tariffs Jul2023'!K22,0,IF($C$5*'Tariffs Jul2023'!AK22/'Tariffs Jul2023'!AI22&lt;='Tariffs Jul2023'!L22,($C$5*'Tariffs Jul2023'!AK22/'Tariffs Jul2023'!AI22-'Tariffs Jul2023'!K22)*('Tariffs Jul2023'!Q22/100)*'Tariffs Jul2023'!AI22,('Tariffs Jul2023'!L22-'Tariffs Jul2023'!K22)*('Tariffs Jul2023'!Q22/100)*'Tariffs Jul2023'!AI22))</f>
        <v>247.90909090909088</v>
      </c>
      <c r="H28" s="59">
        <f>IF($C$5*'Tariffs Jul2023'!AK22/'Tariffs Jul2023'!AI22&lt;'Tariffs Jul2023'!L22,0,IF($C$5*'Tariffs Jul2023'!AK22/'Tariffs Jul2023'!AI22&lt;='Tariffs Jul2023'!M22,($C$5*'Tariffs Jul2023'!AK22/'Tariffs Jul2023'!AI22-'Tariffs Jul2023'!L22)*('Tariffs Jul2023'!R22/100)*'Tariffs Jul2023'!AI22,('Tariffs Jul2023'!M22-'Tariffs Jul2023'!L22)*('Tariffs Jul2023'!R22/100)*'Tariffs Jul2023'!AI22))</f>
        <v>102.68181818181816</v>
      </c>
      <c r="I28" s="59">
        <f>IF(($C$5*'Tariffs Jul2023'!AK22/'Tariffs Jul2023'!AI22&gt;'Tariffs Jul2023'!M22),($C$5*'Tariffs Jul2023'!AK22/'Tariffs Jul2023'!AI22-'Tariffs Jul2023'!M22)*'Tariffs Jul2023'!S22/100*'Tariffs Jul2023'!AI22,0)</f>
        <v>0</v>
      </c>
      <c r="J28" s="59">
        <f>IF($C$5*'Tariffs Jul2023'!AL22/'Tariffs Jul2023'!AJ22&gt;='Tariffs Jul2023'!J22,('Tariffs Jul2023'!J22*'Tariffs Jul2023'!U22/100)* 'Tariffs Jul2023'!AJ22,($C$5*'Tariffs Jul2023'!AL22/'Tariffs Jul2023'!AJ22*'Tariffs Jul2023'!U22/100)* 'Tariffs Jul2023'!AJ22)</f>
        <v>323.99999999999994</v>
      </c>
      <c r="K28" s="59">
        <f>IF($C$5*'Tariffs Jul2023'!AL22/'Tariffs Jul2023'!AJ22&lt;'Tariffs Jul2023'!J22,0,IF($C$5*'Tariffs Jul2023'!AL22/'Tariffs Jul2023'!AJ22&lt;='Tariffs Jul2023'!K22,($C$5*'Tariffs Jul2023'!AL22/'Tariffs Jul2023'!AJ22-'Tariffs Jul2023'!J22)*('Tariffs Jul2023'!V22/100)*'Tariffs Jul2023'!AJ22,('Tariffs Jul2023'!K22-'Tariffs Jul2023'!J22)*('Tariffs Jul2023'!V22/100)*'Tariffs Jul2023'!AJ22))</f>
        <v>250.36363636363637</v>
      </c>
      <c r="L28" s="59">
        <f>IF($C$5*'Tariffs Jul2023'!AL22/'Tariffs Jul2023'!AJ22&lt;'Tariffs Jul2023'!K22,0,IF($C$5*'Tariffs Jul2023'!AL22/'Tariffs Jul2023'!AJ22&lt;='Tariffs Jul2023'!L22,($C$5*'Tariffs Jul2023'!AL22/'Tariffs Jul2023'!AJ22-'Tariffs Jul2023'!K22)*('Tariffs Jul2023'!W22/100)*'Tariffs Jul2023'!AJ22,('Tariffs Jul2023'!L22-'Tariffs Jul2023'!K22)*('Tariffs Jul2023'!W22/100)*'Tariffs Jul2023'!AJ22))</f>
        <v>214.36363636363637</v>
      </c>
      <c r="M28" s="59">
        <f>IF($C$5*'Tariffs Jul2023'!AL22/'Tariffs Jul2023'!AJ22&lt;'Tariffs Jul2023'!L22,0,IF($C$5*'Tariffs Jul2023'!AL22/'Tariffs Jul2023'!AJ22&lt;='Tariffs Jul2023'!M22,($C$5*'Tariffs Jul2023'!AL22/'Tariffs Jul2023'!AJ22-'Tariffs Jul2023'!L22)*('Tariffs Jul2023'!X22/100)*'Tariffs Jul2023'!AJ22,('Tariffs Jul2023'!M22-'Tariffs Jul2023'!L22)*('Tariffs Jul2023'!X22/100)*'Tariffs Jul2023'!AJ22))</f>
        <v>97.77272727272728</v>
      </c>
      <c r="N28" s="59">
        <f>IF(($C$5*'Tariffs Jul2023'!AL22/'Tariffs Jul2023'!AJ22&gt;'Tariffs Jul2023'!M22),($C$5*'Tariffs Jul2023'!AL22/'Tariffs Jul2023'!AJ22-'Tariffs Jul2023'!M22)*'Tariffs Jul2023'!Y22/100*'Tariffs Jul2023'!AJ22,0)</f>
        <v>0</v>
      </c>
      <c r="O28" s="59">
        <f t="shared" si="1"/>
        <v>1912.0909090909092</v>
      </c>
      <c r="P28" s="503">
        <f t="shared" si="2"/>
        <v>2103.3000000000002</v>
      </c>
      <c r="Q28" s="59">
        <f t="shared" si="3"/>
        <v>2251.4745454545455</v>
      </c>
      <c r="R28" s="272">
        <f t="shared" si="4"/>
        <v>2476.6220000000003</v>
      </c>
      <c r="S28" s="40">
        <f>'Tariffs Jul2023'!AN22</f>
        <v>0</v>
      </c>
      <c r="T28" s="40">
        <f>'Tariffs Jul2023'!AO22</f>
        <v>0</v>
      </c>
      <c r="U28" s="40">
        <f>'Tariffs Jul2023'!AP22</f>
        <v>0</v>
      </c>
      <c r="V28" s="637">
        <f>'Tariffs Jul2023'!AQ22</f>
        <v>0</v>
      </c>
      <c r="W28" s="578" t="str">
        <f t="shared" si="33"/>
        <v>No discount</v>
      </c>
      <c r="X28" s="538" t="str">
        <f t="shared" si="34"/>
        <v>Exclusive</v>
      </c>
      <c r="Y28" s="535">
        <f>IF(AND(W28="Guaranteed off bill",X28="Inclusive"),((Q28*1.1)-((Q28*1.1)*S28/100))/1.1,IF(AND(W28="Guaranteed off usage",X28="Inclusive"),((Q28*1.1)-((P28*1.1)*T28/100))/1.1,IF(AND(W28="Guaranteed off bill",X28="Exclusive"),Q28-(Q28*S28/100),IF(AND(W28="Guaranteed off usage",X28="Exclusive"),Q28-(P28*T28/100),IF(X28="Inclusive",((Q28*1.1))/1.1,Q28)))))</f>
        <v>2251.4745454545455</v>
      </c>
      <c r="Z28" s="535">
        <f>IF(AND(W28="Pay-on-time off bill",X28="Inclusive"),((Y28*1.1)-((Y28*1.1)*U28/100))/1.1,IF(AND(W28="Pay-on-time off usage",X28="Inclusive"),((Y28*1.1)-((P28*1.1)*V28/100))/1.1,IF(AND(W28="Pay-on-time off bill",X28="Exclusive"),Y28-(Y28*U28/100),IF(AND(W28="Pay-on-time off usage",X28="Exclusive"),Y28-(P28*V28/100),IF(X28="Inclusive",((Y28*1.1))/1.1,Y28)))))</f>
        <v>2251.4745454545455</v>
      </c>
      <c r="AA28" s="542">
        <f t="shared" si="37"/>
        <v>2476.6220000000003</v>
      </c>
      <c r="AB28" s="609">
        <f t="shared" si="37"/>
        <v>2476.6220000000003</v>
      </c>
      <c r="AC28" s="625"/>
      <c r="AD28" s="625"/>
      <c r="AE28" s="625"/>
      <c r="AF28" s="625"/>
      <c r="AG28" s="625"/>
      <c r="AH28" s="625"/>
      <c r="AI28" s="625"/>
      <c r="AJ28" s="625"/>
      <c r="AK28" s="625"/>
      <c r="AL28" s="625"/>
      <c r="AM28" s="625"/>
      <c r="AN28" s="625"/>
      <c r="AO28" s="625"/>
      <c r="AP28" s="625"/>
      <c r="AQ28" s="625"/>
      <c r="AR28" s="625"/>
      <c r="AS28" s="625"/>
      <c r="AT28" s="625"/>
    </row>
    <row r="29" spans="1:46" ht="14" x14ac:dyDescent="0.15">
      <c r="A29" s="270" t="str">
        <f>'Tariffs Jul2023'!F23</f>
        <v>Origin Energy</v>
      </c>
      <c r="B29" s="40" t="str">
        <f>'Tariffs Jul2023'!D23</f>
        <v>Multinet Metro 2</v>
      </c>
      <c r="C29" s="40" t="str">
        <f>'Tariffs Jul2023'!G23</f>
        <v>Go Variable</v>
      </c>
      <c r="D29" s="59">
        <f>365*'Tariffs Jul2023'!H23/100</f>
        <v>278.56136363636358</v>
      </c>
      <c r="E29" s="59">
        <f>IF($C$5*'Tariffs Jul2023'!AK23/'Tariffs Jul2023'!AI23&gt;='Tariffs Jul2023'!J23,( 'Tariffs Jul2023'!J23*'Tariffs Jul2023'!O23/100)* 'Tariffs Jul2023'!AI23,($C$5*'Tariffs Jul2023'!AK23/'Tariffs Jul2023'!AI23*'Tariffs Jul2023'!O23/100)* 'Tariffs Jul2023'!AI23)</f>
        <v>576</v>
      </c>
      <c r="F29" s="59">
        <f>IF($C$5*'Tariffs Jul2023'!AK23/'Tariffs Jul2023'!AI23&lt;'Tariffs Jul2023'!J23,0,IF($C$5*'Tariffs Jul2023'!AK23/'Tariffs Jul2023'!AI23&lt;='Tariffs Jul2023'!K23,($C$5*'Tariffs Jul2023'!AK23/'Tariffs Jul2023'!AI23-'Tariffs Jul2023'!J23)*('Tariffs Jul2023'!P23/100)*'Tariffs Jul2023'!AI23,('Tariffs Jul2023'!K23-'Tariffs Jul2023'!J23)*('Tariffs Jul2023'!P23/100)*'Tariffs Jul2023'!AI23))</f>
        <v>0</v>
      </c>
      <c r="G29" s="59">
        <f>IF($C$5*'Tariffs Jul2023'!AK23/'Tariffs Jul2023'!AI23&lt;'Tariffs Jul2023'!K23,0,IF($C$5*'Tariffs Jul2023'!AK23/'Tariffs Jul2023'!AI23&lt;='Tariffs Jul2023'!L23,($C$5*'Tariffs Jul2023'!AK23/'Tariffs Jul2023'!AI23-'Tariffs Jul2023'!K23)*('Tariffs Jul2023'!Q23/100)*'Tariffs Jul2023'!AI23,('Tariffs Jul2023'!L23-'Tariffs Jul2023'!K23)*('Tariffs Jul2023'!Q23/100)*'Tariffs Jul2023'!AI23))</f>
        <v>0</v>
      </c>
      <c r="H29" s="59">
        <f>IF($C$5*'Tariffs Jul2023'!AK23/'Tariffs Jul2023'!AI23&lt;'Tariffs Jul2023'!L23,0,IF($C$5*'Tariffs Jul2023'!AK23/'Tariffs Jul2023'!AI23&lt;='Tariffs Jul2023'!M23,($C$5*'Tariffs Jul2023'!AK23/'Tariffs Jul2023'!AI23-'Tariffs Jul2023'!L23)*('Tariffs Jul2023'!R23/100)*'Tariffs Jul2023'!AI23,('Tariffs Jul2023'!M23-'Tariffs Jul2023'!L23)*('Tariffs Jul2023'!R23/100)*'Tariffs Jul2023'!AI23))</f>
        <v>0</v>
      </c>
      <c r="I29" s="59">
        <f>IF(($C$5*'Tariffs Jul2023'!AK23/'Tariffs Jul2023'!AI23&gt;'Tariffs Jul2023'!M23),($C$5*'Tariffs Jul2023'!AK23/'Tariffs Jul2023'!AI23-'Tariffs Jul2023'!M23)*'Tariffs Jul2023'!S23/100*'Tariffs Jul2023'!AI23,0)</f>
        <v>287.18181818181813</v>
      </c>
      <c r="J29" s="59">
        <f>IF($C$5*'Tariffs Jul2023'!AL23/'Tariffs Jul2023'!AJ23&gt;='Tariffs Jul2023'!J23,('Tariffs Jul2023'!J23*'Tariffs Jul2023'!U23/100)* 'Tariffs Jul2023'!AJ23,($C$5*'Tariffs Jul2023'!AL23/'Tariffs Jul2023'!AJ23*'Tariffs Jul2023'!U23/100)* 'Tariffs Jul2023'!AJ23)</f>
        <v>576</v>
      </c>
      <c r="K29" s="59">
        <f>IF($C$5*'Tariffs Jul2023'!AL23/'Tariffs Jul2023'!AJ23&lt;'Tariffs Jul2023'!J23,0,IF($C$5*'Tariffs Jul2023'!AL23/'Tariffs Jul2023'!AJ23&lt;='Tariffs Jul2023'!K23,($C$5*'Tariffs Jul2023'!AL23/'Tariffs Jul2023'!AJ23-'Tariffs Jul2023'!J23)*('Tariffs Jul2023'!V23/100)*'Tariffs Jul2023'!AJ23,('Tariffs Jul2023'!K23-'Tariffs Jul2023'!J23)*('Tariffs Jul2023'!V23/100)*'Tariffs Jul2023'!AJ23))</f>
        <v>0</v>
      </c>
      <c r="L29" s="59">
        <f>IF($C$5*'Tariffs Jul2023'!AL23/'Tariffs Jul2023'!AJ23&lt;'Tariffs Jul2023'!K23,0,IF($C$5*'Tariffs Jul2023'!AL23/'Tariffs Jul2023'!AJ23&lt;='Tariffs Jul2023'!L23,($C$5*'Tariffs Jul2023'!AL23/'Tariffs Jul2023'!AJ23-'Tariffs Jul2023'!K23)*('Tariffs Jul2023'!W23/100)*'Tariffs Jul2023'!AJ23,('Tariffs Jul2023'!L23-'Tariffs Jul2023'!K23)*('Tariffs Jul2023'!W23/100)*'Tariffs Jul2023'!AJ23))</f>
        <v>0</v>
      </c>
      <c r="M29" s="59">
        <f>IF($C$5*'Tariffs Jul2023'!AL23/'Tariffs Jul2023'!AJ23&lt;'Tariffs Jul2023'!L23,0,IF($C$5*'Tariffs Jul2023'!AL23/'Tariffs Jul2023'!AJ23&lt;='Tariffs Jul2023'!M23,($C$5*'Tariffs Jul2023'!AL23/'Tariffs Jul2023'!AJ23-'Tariffs Jul2023'!L23)*('Tariffs Jul2023'!X23/100)*'Tariffs Jul2023'!AJ23,('Tariffs Jul2023'!M23-'Tariffs Jul2023'!L23)*('Tariffs Jul2023'!X23/100)*'Tariffs Jul2023'!AJ23))</f>
        <v>0</v>
      </c>
      <c r="N29" s="59">
        <f>IF(($C$5*'Tariffs Jul2023'!AL23/'Tariffs Jul2023'!AJ23&gt;'Tariffs Jul2023'!M23),($C$5*'Tariffs Jul2023'!AL23/'Tariffs Jul2023'!AJ23-'Tariffs Jul2023'!M23)*'Tariffs Jul2023'!Y23/100*'Tariffs Jul2023'!AJ23,0)</f>
        <v>287.18181818181813</v>
      </c>
      <c r="O29" s="59">
        <f t="shared" si="1"/>
        <v>1726.363636363636</v>
      </c>
      <c r="P29" s="503">
        <f t="shared" si="2"/>
        <v>1898.9999999999998</v>
      </c>
      <c r="Q29" s="59">
        <f t="shared" si="3"/>
        <v>2004.9249999999997</v>
      </c>
      <c r="R29" s="272">
        <f t="shared" si="4"/>
        <v>2205.4175</v>
      </c>
      <c r="S29" s="40">
        <f>'Tariffs Jul2023'!AN23</f>
        <v>0</v>
      </c>
      <c r="T29" s="40">
        <f>'Tariffs Jul2023'!AO23</f>
        <v>0</v>
      </c>
      <c r="U29" s="40">
        <f>'Tariffs Jul2023'!AP23</f>
        <v>0</v>
      </c>
      <c r="V29" s="637">
        <f>'Tariffs Jul2023'!AQ23</f>
        <v>0</v>
      </c>
      <c r="W29" s="578" t="str">
        <f t="shared" si="33"/>
        <v>No discount</v>
      </c>
      <c r="X29" s="538" t="str">
        <f t="shared" si="34"/>
        <v>Inclusive</v>
      </c>
      <c r="Y29" s="535">
        <f>IF(AND(W29="Guaranteed off bill",X29="Inclusive"),((Q29*1.1)-((Q29*1.1)*S29/100))/1.1,IF(AND(W29="Guaranteed off usage",X29="Inclusive"),((Q29*1.1)-((P29*1.1)*T29/100))/1.1,IF(AND(W29="Guaranteed off bill",X29="Exclusive"),Q29-(Q29*S29/100),IF(AND(W29="Guaranteed off usage",X29="Exclusive"),Q29-(P29*T29/100),IF(X29="Inclusive",((Q29*1.1))/1.1,Q29)))))</f>
        <v>2004.925</v>
      </c>
      <c r="Z29" s="535">
        <f>IF(AND(W29="Pay-on-time off bill",X29="Inclusive"),((Y29*1.1)-((Y29*1.1)*U29/100))/1.1,IF(AND(W29="Pay-on-time off usage",X29="Inclusive"),((Y29*1.1)-((P29*1.1)*V29/100))/1.1,IF(AND(W29="Pay-on-time off bill",X29="Exclusive"),Y29-(Y29*U29/100),IF(AND(W29="Pay-on-time off usage",X29="Exclusive"),Y29-(P29*V29/100),IF(X29="Inclusive",((Y29*1.1))/1.1,Y29)))))</f>
        <v>2004.925</v>
      </c>
      <c r="AA29" s="542">
        <f t="shared" si="37"/>
        <v>2205.4175</v>
      </c>
      <c r="AB29" s="609">
        <f t="shared" si="37"/>
        <v>2205.4175</v>
      </c>
      <c r="AC29" s="625"/>
      <c r="AD29" s="625"/>
      <c r="AE29" s="625"/>
      <c r="AF29" s="625"/>
      <c r="AG29" s="625"/>
      <c r="AH29" s="625"/>
      <c r="AI29" s="625"/>
      <c r="AJ29" s="625"/>
      <c r="AK29" s="625"/>
      <c r="AL29" s="625"/>
      <c r="AM29" s="625"/>
      <c r="AN29" s="625"/>
      <c r="AO29" s="625"/>
      <c r="AP29" s="625"/>
      <c r="AQ29" s="625"/>
      <c r="AR29" s="625"/>
      <c r="AS29" s="625"/>
      <c r="AT29" s="625"/>
    </row>
    <row r="30" spans="1:46" ht="14" x14ac:dyDescent="0.15">
      <c r="A30" s="270" t="str">
        <f>'Tariffs Jul2023'!F24</f>
        <v>Red Energy</v>
      </c>
      <c r="B30" s="40" t="str">
        <f>'Tariffs Jul2023'!D24</f>
        <v>Multinet Metro 2</v>
      </c>
      <c r="C30" s="40" t="str">
        <f>'Tariffs Jul2023'!G24</f>
        <v>Living Energy Saver</v>
      </c>
      <c r="D30" s="59">
        <f>365*'Tariffs Jul2023'!H24/100</f>
        <v>273.75</v>
      </c>
      <c r="E30" s="59">
        <f>IF($C$5*'Tariffs Jul2023'!AK24/'Tariffs Jul2023'!AI24&gt;='Tariffs Jul2023'!J24,( 'Tariffs Jul2023'!J24*'Tariffs Jul2023'!O24/100)* 'Tariffs Jul2023'!AI24,($C$5*'Tariffs Jul2023'!AK24/'Tariffs Jul2023'!AI24*'Tariffs Jul2023'!O24/100)* 'Tariffs Jul2023'!AI24)</f>
        <v>304.36363636363637</v>
      </c>
      <c r="F30" s="59">
        <f>IF($C$5*'Tariffs Jul2023'!AK24/'Tariffs Jul2023'!AI24&lt;'Tariffs Jul2023'!J24,0,IF($C$5*'Tariffs Jul2023'!AK24/'Tariffs Jul2023'!AI24&lt;='Tariffs Jul2023'!K24,($C$5*'Tariffs Jul2023'!AK24/'Tariffs Jul2023'!AI24-'Tariffs Jul2023'!J24)*('Tariffs Jul2023'!P24/100)*'Tariffs Jul2023'!AI24,('Tariffs Jul2023'!K24-'Tariffs Jul2023'!J24)*('Tariffs Jul2023'!P24/100)*'Tariffs Jul2023'!AI24))</f>
        <v>269.18181818181813</v>
      </c>
      <c r="G30" s="59">
        <f>IF($C$5*'Tariffs Jul2023'!AK24/'Tariffs Jul2023'!AI24&lt;'Tariffs Jul2023'!K24,0,IF($C$5*'Tariffs Jul2023'!AK24/'Tariffs Jul2023'!AI24&lt;='Tariffs Jul2023'!L24,($C$5*'Tariffs Jul2023'!AK24/'Tariffs Jul2023'!AI24-'Tariffs Jul2023'!K24)*('Tariffs Jul2023'!Q24/100)*'Tariffs Jul2023'!AI24,('Tariffs Jul2023'!L24-'Tariffs Jul2023'!K24)*('Tariffs Jul2023'!Q24/100)*'Tariffs Jul2023'!AI24))</f>
        <v>221.72727272727272</v>
      </c>
      <c r="H30" s="59">
        <f>IF($C$5*'Tariffs Jul2023'!AK24/'Tariffs Jul2023'!AI24&lt;'Tariffs Jul2023'!L24,0,IF($C$5*'Tariffs Jul2023'!AK24/'Tariffs Jul2023'!AI24&lt;='Tariffs Jul2023'!M24,($C$5*'Tariffs Jul2023'!AK24/'Tariffs Jul2023'!AI24-'Tariffs Jul2023'!L24)*('Tariffs Jul2023'!R24/100)*'Tariffs Jul2023'!AI24,('Tariffs Jul2023'!M24-'Tariffs Jul2023'!L24)*('Tariffs Jul2023'!R24/100)*'Tariffs Jul2023'!AI24))</f>
        <v>90</v>
      </c>
      <c r="I30" s="59">
        <f>IF(($C$5*'Tariffs Jul2023'!AK24/'Tariffs Jul2023'!AI24&gt;'Tariffs Jul2023'!M24),($C$5*'Tariffs Jul2023'!AK24/'Tariffs Jul2023'!AI24-'Tariffs Jul2023'!M24)*'Tariffs Jul2023'!S24/100*'Tariffs Jul2023'!AI24,0)</f>
        <v>0</v>
      </c>
      <c r="J30" s="59">
        <f>IF($C$5*'Tariffs Jul2023'!AL24/'Tariffs Jul2023'!AJ24&gt;='Tariffs Jul2023'!J24,('Tariffs Jul2023'!J24*'Tariffs Jul2023'!U24/100)* 'Tariffs Jul2023'!AJ24,($C$5*'Tariffs Jul2023'!AL24/'Tariffs Jul2023'!AJ24*'Tariffs Jul2023'!U24/100)* 'Tariffs Jul2023'!AJ24)</f>
        <v>287.18181818181813</v>
      </c>
      <c r="K30" s="59">
        <f>IF($C$5*'Tariffs Jul2023'!AL24/'Tariffs Jul2023'!AJ24&lt;'Tariffs Jul2023'!J24,0,IF($C$5*'Tariffs Jul2023'!AL24/'Tariffs Jul2023'!AJ24&lt;='Tariffs Jul2023'!K24,($C$5*'Tariffs Jul2023'!AL24/'Tariffs Jul2023'!AJ24-'Tariffs Jul2023'!J24)*('Tariffs Jul2023'!V24/100)*'Tariffs Jul2023'!AJ24,('Tariffs Jul2023'!K24-'Tariffs Jul2023'!J24)*('Tariffs Jul2023'!V24/100)*'Tariffs Jul2023'!AJ24))</f>
        <v>238.90909090909088</v>
      </c>
      <c r="L30" s="59">
        <f>IF($C$5*'Tariffs Jul2023'!AL24/'Tariffs Jul2023'!AJ24&lt;'Tariffs Jul2023'!K24,0,IF($C$5*'Tariffs Jul2023'!AL24/'Tariffs Jul2023'!AJ24&lt;='Tariffs Jul2023'!L24,($C$5*'Tariffs Jul2023'!AL24/'Tariffs Jul2023'!AJ24-'Tariffs Jul2023'!K24)*('Tariffs Jul2023'!W24/100)*'Tariffs Jul2023'!AJ24,('Tariffs Jul2023'!L24-'Tariffs Jul2023'!K24)*('Tariffs Jul2023'!W24/100)*'Tariffs Jul2023'!AJ24))</f>
        <v>189.00000000000003</v>
      </c>
      <c r="M30" s="59">
        <f>IF($C$5*'Tariffs Jul2023'!AL24/'Tariffs Jul2023'!AJ24&lt;'Tariffs Jul2023'!L24,0,IF($C$5*'Tariffs Jul2023'!AL24/'Tariffs Jul2023'!AJ24&lt;='Tariffs Jul2023'!M24,($C$5*'Tariffs Jul2023'!AL24/'Tariffs Jul2023'!AJ24-'Tariffs Jul2023'!L24)*('Tariffs Jul2023'!X24/100)*'Tariffs Jul2023'!AJ24,('Tariffs Jul2023'!M24-'Tariffs Jul2023'!L24)*('Tariffs Jul2023'!X24/100)*'Tariffs Jul2023'!AJ24))</f>
        <v>85.499999999999972</v>
      </c>
      <c r="N30" s="59">
        <f>IF(($C$5*'Tariffs Jul2023'!AL24/'Tariffs Jul2023'!AJ24&gt;'Tariffs Jul2023'!M24),($C$5*'Tariffs Jul2023'!AL24/'Tariffs Jul2023'!AJ24-'Tariffs Jul2023'!M24)*'Tariffs Jul2023'!Y24/100*'Tariffs Jul2023'!AJ24,0)</f>
        <v>0</v>
      </c>
      <c r="O30" s="59">
        <f t="shared" si="1"/>
        <v>1685.8636363636365</v>
      </c>
      <c r="P30" s="503">
        <f t="shared" si="2"/>
        <v>1854.4500000000003</v>
      </c>
      <c r="Q30" s="59">
        <f t="shared" si="3"/>
        <v>1959.6136363636365</v>
      </c>
      <c r="R30" s="272">
        <f t="shared" si="4"/>
        <v>2155.5750000000003</v>
      </c>
      <c r="S30" s="40">
        <f>'Tariffs Jul2023'!AN24</f>
        <v>0</v>
      </c>
      <c r="T30" s="40">
        <f>'Tariffs Jul2023'!AO24</f>
        <v>0</v>
      </c>
      <c r="U30" s="40">
        <f>'Tariffs Jul2023'!AP24</f>
        <v>0</v>
      </c>
      <c r="V30" s="637">
        <f>'Tariffs Jul2023'!AQ24</f>
        <v>0</v>
      </c>
      <c r="W30" s="578" t="str">
        <f t="shared" si="33"/>
        <v>No discount</v>
      </c>
      <c r="X30" s="538" t="str">
        <f t="shared" si="34"/>
        <v>Inclusive</v>
      </c>
      <c r="Y30" s="535">
        <f t="shared" ref="Y30:Y32" si="38">IF(AND(W30="Guaranteed off bill",X30="Inclusive"),((Q30*1.1)-((Q30*1.1)*S30/100))/1.1,IF(AND(W30="Guaranteed off usage",X30="Inclusive"),((Q30*1.1)-((P30*1.1)*T30/100))/1.1,IF(AND(W30="Guaranteed off bill",X30="Exclusive"),Q30-(Q30*S30/100),IF(AND(W30="Guaranteed off usage",X30="Exclusive"),Q30-(P30*T30/100),IF(X30="Inclusive",((Q30*1.1))/1.1,Q30)))))</f>
        <v>1959.6136363636365</v>
      </c>
      <c r="Z30" s="535">
        <f t="shared" ref="Z30:Z32" si="39">IF(AND(W30="Pay-on-time off bill",X30="Inclusive"),((Y30*1.1)-((Y30*1.1)*U30/100))/1.1,IF(AND(W30="Pay-on-time off usage",X30="Inclusive"),((Y30*1.1)-((P30*1.1)*V30/100))/1.1,IF(AND(W30="Pay-on-time off bill",X30="Exclusive"),Y30-(Y30*U30/100),IF(AND(W30="Pay-on-time off usage",X30="Exclusive"),Y30-(P30*V30/100),IF(X30="Inclusive",((Y30*1.1))/1.1,Y30)))))</f>
        <v>1959.6136363636365</v>
      </c>
      <c r="AA30" s="542">
        <f t="shared" si="37"/>
        <v>2155.5750000000003</v>
      </c>
      <c r="AB30" s="609">
        <f t="shared" si="37"/>
        <v>2155.5750000000003</v>
      </c>
      <c r="AC30" s="625"/>
      <c r="AD30" s="625"/>
      <c r="AE30" s="625"/>
      <c r="AF30" s="625"/>
      <c r="AG30" s="625"/>
      <c r="AH30" s="625"/>
      <c r="AI30" s="625"/>
      <c r="AJ30" s="625"/>
      <c r="AK30" s="625"/>
      <c r="AL30" s="625"/>
      <c r="AM30" s="625"/>
      <c r="AN30" s="625"/>
      <c r="AO30" s="625"/>
      <c r="AP30" s="625"/>
      <c r="AQ30" s="625"/>
      <c r="AR30" s="625"/>
      <c r="AS30" s="625"/>
      <c r="AT30" s="625"/>
    </row>
    <row r="31" spans="1:46" ht="14" x14ac:dyDescent="0.15">
      <c r="A31" s="270" t="str">
        <f>'Tariffs Jul2023'!F25</f>
        <v>Simply Energy</v>
      </c>
      <c r="B31" s="40" t="str">
        <f>'Tariffs Jul2023'!D25</f>
        <v>Multinet Metro 2</v>
      </c>
      <c r="C31" s="40" t="str">
        <f>'Tariffs Jul2023'!G25</f>
        <v>Blue Perks</v>
      </c>
      <c r="D31" s="59">
        <f>365*'Tariffs Jul2023'!H25/100</f>
        <v>298.86863636363631</v>
      </c>
      <c r="E31" s="59">
        <f>IF($C$5*'Tariffs Jul2023'!AK25/'Tariffs Jul2023'!AI25&gt;='Tariffs Jul2023'!J25,( 'Tariffs Jul2023'!J25*'Tariffs Jul2023'!O25/100)* 'Tariffs Jul2023'!AI25,($C$5*'Tariffs Jul2023'!AK25/'Tariffs Jul2023'!AI25*'Tariffs Jul2023'!O25/100)* 'Tariffs Jul2023'!AI25)</f>
        <v>329.72727272727275</v>
      </c>
      <c r="F31" s="59">
        <f>IF($C$5*'Tariffs Jul2023'!AK25/'Tariffs Jul2023'!AI25&lt;'Tariffs Jul2023'!J25,0,IF($C$5*'Tariffs Jul2023'!AK25/'Tariffs Jul2023'!AI25&lt;='Tariffs Jul2023'!K25,($C$5*'Tariffs Jul2023'!AK25/'Tariffs Jul2023'!AI25-'Tariffs Jul2023'!J25)*('Tariffs Jul2023'!P25/100)*'Tariffs Jul2023'!AI25,('Tariffs Jul2023'!K25-'Tariffs Jul2023'!J25)*('Tariffs Jul2023'!P25/100)*'Tariffs Jul2023'!AI25))</f>
        <v>295.36363636363637</v>
      </c>
      <c r="G31" s="59">
        <f>IF($C$5*'Tariffs Jul2023'!AK25/'Tariffs Jul2023'!AI25&lt;'Tariffs Jul2023'!K25,0,IF($C$5*'Tariffs Jul2023'!AK25/'Tariffs Jul2023'!AI25&lt;='Tariffs Jul2023'!L25,($C$5*'Tariffs Jul2023'!AK25/'Tariffs Jul2023'!AI25-'Tariffs Jul2023'!K25)*('Tariffs Jul2023'!Q25/100)*'Tariffs Jul2023'!AI25,('Tariffs Jul2023'!L25-'Tariffs Jul2023'!K25)*('Tariffs Jul2023'!Q25/100)*'Tariffs Jul2023'!AI25))</f>
        <v>254.45454545454544</v>
      </c>
      <c r="H31" s="59">
        <f>IF($C$5*'Tariffs Jul2023'!AK25/'Tariffs Jul2023'!AI25&lt;'Tariffs Jul2023'!L25,0,IF($C$5*'Tariffs Jul2023'!AK25/'Tariffs Jul2023'!AI25&lt;='Tariffs Jul2023'!M25,($C$5*'Tariffs Jul2023'!AK25/'Tariffs Jul2023'!AI25-'Tariffs Jul2023'!L25)*('Tariffs Jul2023'!R25/100)*'Tariffs Jul2023'!AI25,('Tariffs Jul2023'!M25-'Tariffs Jul2023'!L25)*('Tariffs Jul2023'!R25/100)*'Tariffs Jul2023'!AI25))</f>
        <v>115.77272727272728</v>
      </c>
      <c r="I31" s="59">
        <f>IF(($C$5*'Tariffs Jul2023'!AK25/'Tariffs Jul2023'!AI25&gt;'Tariffs Jul2023'!M25),($C$5*'Tariffs Jul2023'!AK25/'Tariffs Jul2023'!AI25-'Tariffs Jul2023'!M25)*'Tariffs Jul2023'!S25/100*'Tariffs Jul2023'!AI25,0)</f>
        <v>0</v>
      </c>
      <c r="J31" s="59">
        <f>IF($C$5*'Tariffs Jul2023'!AL25/'Tariffs Jul2023'!AJ25&gt;='Tariffs Jul2023'!J25,('Tariffs Jul2023'!J25*'Tariffs Jul2023'!U25/100)* 'Tariffs Jul2023'!AJ25,($C$5*'Tariffs Jul2023'!AL25/'Tariffs Jul2023'!AJ25*'Tariffs Jul2023'!U25/100)* 'Tariffs Jul2023'!AJ25)</f>
        <v>329.72727272727275</v>
      </c>
      <c r="K31" s="59">
        <f>IF($C$5*'Tariffs Jul2023'!AL25/'Tariffs Jul2023'!AJ25&lt;'Tariffs Jul2023'!J25,0,IF($C$5*'Tariffs Jul2023'!AL25/'Tariffs Jul2023'!AJ25&lt;='Tariffs Jul2023'!K25,($C$5*'Tariffs Jul2023'!AL25/'Tariffs Jul2023'!AJ25-'Tariffs Jul2023'!J25)*('Tariffs Jul2023'!V25/100)*'Tariffs Jul2023'!AJ25,('Tariffs Jul2023'!K25-'Tariffs Jul2023'!J25)*('Tariffs Jul2023'!V25/100)*'Tariffs Jul2023'!AJ25))</f>
        <v>295.36363636363637</v>
      </c>
      <c r="L31" s="59">
        <f>IF($C$5*'Tariffs Jul2023'!AL25/'Tariffs Jul2023'!AJ25&lt;'Tariffs Jul2023'!K25,0,IF($C$5*'Tariffs Jul2023'!AL25/'Tariffs Jul2023'!AJ25&lt;='Tariffs Jul2023'!L25,($C$5*'Tariffs Jul2023'!AL25/'Tariffs Jul2023'!AJ25-'Tariffs Jul2023'!K25)*('Tariffs Jul2023'!W25/100)*'Tariffs Jul2023'!AJ25,('Tariffs Jul2023'!L25-'Tariffs Jul2023'!K25)*('Tariffs Jul2023'!W25/100)*'Tariffs Jul2023'!AJ25))</f>
        <v>254.45454545454544</v>
      </c>
      <c r="M31" s="59">
        <f>IF($C$5*'Tariffs Jul2023'!AL25/'Tariffs Jul2023'!AJ25&lt;'Tariffs Jul2023'!L25,0,IF($C$5*'Tariffs Jul2023'!AL25/'Tariffs Jul2023'!AJ25&lt;='Tariffs Jul2023'!M25,($C$5*'Tariffs Jul2023'!AL25/'Tariffs Jul2023'!AJ25-'Tariffs Jul2023'!L25)*('Tariffs Jul2023'!X25/100)*'Tariffs Jul2023'!AJ25,('Tariffs Jul2023'!M25-'Tariffs Jul2023'!L25)*('Tariffs Jul2023'!X25/100)*'Tariffs Jul2023'!AJ25))</f>
        <v>115.77272727272728</v>
      </c>
      <c r="N31" s="59">
        <f>IF(($C$5*'Tariffs Jul2023'!AL25/'Tariffs Jul2023'!AJ25&gt;'Tariffs Jul2023'!M25),($C$5*'Tariffs Jul2023'!AL25/'Tariffs Jul2023'!AJ25-'Tariffs Jul2023'!M25)*'Tariffs Jul2023'!Y25/100*'Tariffs Jul2023'!AJ25,0)</f>
        <v>0</v>
      </c>
      <c r="O31" s="59">
        <f t="shared" si="1"/>
        <v>1990.6363636363637</v>
      </c>
      <c r="P31" s="503">
        <f t="shared" si="2"/>
        <v>2189.7000000000003</v>
      </c>
      <c r="Q31" s="59">
        <f t="shared" si="3"/>
        <v>2289.5050000000001</v>
      </c>
      <c r="R31" s="272">
        <f t="shared" si="4"/>
        <v>2518.4555000000005</v>
      </c>
      <c r="S31" s="40">
        <f>'Tariffs Jul2023'!AN25</f>
        <v>10</v>
      </c>
      <c r="T31" s="40">
        <f>'Tariffs Jul2023'!AO25</f>
        <v>0</v>
      </c>
      <c r="U31" s="40">
        <f>'Tariffs Jul2023'!AP25</f>
        <v>0</v>
      </c>
      <c r="V31" s="637">
        <f>'Tariffs Jul2023'!AQ25</f>
        <v>0</v>
      </c>
      <c r="W31" s="578" t="str">
        <f t="shared" si="33"/>
        <v>Guaranteed off bill</v>
      </c>
      <c r="X31" s="538" t="str">
        <f t="shared" si="34"/>
        <v>Exclusive</v>
      </c>
      <c r="Y31" s="535">
        <f t="shared" si="38"/>
        <v>2060.5545000000002</v>
      </c>
      <c r="Z31" s="535">
        <f t="shared" si="39"/>
        <v>2060.5545000000002</v>
      </c>
      <c r="AA31" s="542">
        <f t="shared" si="37"/>
        <v>2266.6099500000005</v>
      </c>
      <c r="AB31" s="609">
        <f t="shared" si="37"/>
        <v>2266.6099500000005</v>
      </c>
      <c r="AC31" s="625"/>
      <c r="AD31" s="625"/>
      <c r="AE31" s="625"/>
      <c r="AF31" s="625"/>
      <c r="AG31" s="625"/>
      <c r="AH31" s="625"/>
      <c r="AI31" s="625"/>
      <c r="AJ31" s="625"/>
      <c r="AK31" s="625"/>
      <c r="AL31" s="625"/>
      <c r="AM31" s="625"/>
      <c r="AN31" s="625"/>
      <c r="AO31" s="625"/>
      <c r="AP31" s="625"/>
      <c r="AQ31" s="625"/>
      <c r="AR31" s="625"/>
      <c r="AS31" s="625"/>
      <c r="AT31" s="625"/>
    </row>
    <row r="32" spans="1:46" ht="14" x14ac:dyDescent="0.15">
      <c r="A32" s="270" t="str">
        <f>'Tariffs Jul2023'!F26</f>
        <v>GloBird Energy</v>
      </c>
      <c r="B32" s="40" t="str">
        <f>'Tariffs Jul2023'!D26</f>
        <v>Multinet Metro 2</v>
      </c>
      <c r="C32" s="40" t="str">
        <f>'Tariffs Jul2023'!G26</f>
        <v>GloSave</v>
      </c>
      <c r="D32" s="59">
        <f>365*'Tariffs Jul2023'!H26/100</f>
        <v>233.6</v>
      </c>
      <c r="E32" s="59">
        <f>IF($C$5*'Tariffs Jul2023'!AK26/'Tariffs Jul2023'!AI26&gt;='Tariffs Jul2023'!J26,( 'Tariffs Jul2023'!J26*'Tariffs Jul2023'!O26/100)* 'Tariffs Jul2023'!AI26,($C$5*'Tariffs Jul2023'!AK26/'Tariffs Jul2023'!AI26*'Tariffs Jul2023'!O26/100)* 'Tariffs Jul2023'!AI26)</f>
        <v>386.18181818181819</v>
      </c>
      <c r="F32" s="59">
        <f>IF($C$5*'Tariffs Jul2023'!AK26/'Tariffs Jul2023'!AI26&lt;'Tariffs Jul2023'!J26,0,IF($C$5*'Tariffs Jul2023'!AK26/'Tariffs Jul2023'!AI26&lt;='Tariffs Jul2023'!K26,($C$5*'Tariffs Jul2023'!AK26/'Tariffs Jul2023'!AI26-'Tariffs Jul2023'!J26)*('Tariffs Jul2023'!P26/100)*'Tariffs Jul2023'!AI26,('Tariffs Jul2023'!K26-'Tariffs Jul2023'!J26)*('Tariffs Jul2023'!P26/100)*'Tariffs Jul2023'!AI26))</f>
        <v>0</v>
      </c>
      <c r="G32" s="59">
        <f>IF($C$5*'Tariffs Jul2023'!AK26/'Tariffs Jul2023'!AI26&lt;'Tariffs Jul2023'!K26,0,IF($C$5*'Tariffs Jul2023'!AK26/'Tariffs Jul2023'!AI26&lt;='Tariffs Jul2023'!L26,($C$5*'Tariffs Jul2023'!AK26/'Tariffs Jul2023'!AI26-'Tariffs Jul2023'!K26)*('Tariffs Jul2023'!Q26/100)*'Tariffs Jul2023'!AI26,('Tariffs Jul2023'!L26-'Tariffs Jul2023'!K26)*('Tariffs Jul2023'!Q26/100)*'Tariffs Jul2023'!AI26))</f>
        <v>0</v>
      </c>
      <c r="H32" s="59">
        <f>IF($C$5*'Tariffs Jul2023'!AK26/'Tariffs Jul2023'!AI26&lt;'Tariffs Jul2023'!L26,0,IF($C$5*'Tariffs Jul2023'!AK26/'Tariffs Jul2023'!AI26&lt;='Tariffs Jul2023'!M26,($C$5*'Tariffs Jul2023'!AK26/'Tariffs Jul2023'!AI26-'Tariffs Jul2023'!L26)*('Tariffs Jul2023'!R26/100)*'Tariffs Jul2023'!AI26,('Tariffs Jul2023'!M26-'Tariffs Jul2023'!L26)*('Tariffs Jul2023'!R26/100)*'Tariffs Jul2023'!AI26))</f>
        <v>0</v>
      </c>
      <c r="I32" s="59">
        <f>IF(($C$5*'Tariffs Jul2023'!AK26/'Tariffs Jul2023'!AI26&gt;'Tariffs Jul2023'!M26),($C$5*'Tariffs Jul2023'!AK26/'Tariffs Jul2023'!AI26-'Tariffs Jul2023'!M26)*'Tariffs Jul2023'!S26/100*'Tariffs Jul2023'!AI26,0)</f>
        <v>243.76129090909086</v>
      </c>
      <c r="J32" s="59">
        <f>IF($C$5*'Tariffs Jul2023'!AL26/'Tariffs Jul2023'!AJ26&gt;='Tariffs Jul2023'!J26,('Tariffs Jul2023'!J26*'Tariffs Jul2023'!U26/100)* 'Tariffs Jul2023'!AJ26,($C$5*'Tariffs Jul2023'!AL26/'Tariffs Jul2023'!AJ26*'Tariffs Jul2023'!U26/100)* 'Tariffs Jul2023'!AJ26)</f>
        <v>772.36363636363637</v>
      </c>
      <c r="K32" s="59">
        <f>IF($C$5*'Tariffs Jul2023'!AL26/'Tariffs Jul2023'!AJ26&lt;'Tariffs Jul2023'!J26,0,IF($C$5*'Tariffs Jul2023'!AL26/'Tariffs Jul2023'!AJ26&lt;='Tariffs Jul2023'!K26,($C$5*'Tariffs Jul2023'!AL26/'Tariffs Jul2023'!AJ26-'Tariffs Jul2023'!J26)*('Tariffs Jul2023'!V26/100)*'Tariffs Jul2023'!AJ26,('Tariffs Jul2023'!K26-'Tariffs Jul2023'!J26)*('Tariffs Jul2023'!V26/100)*'Tariffs Jul2023'!AJ26))</f>
        <v>0</v>
      </c>
      <c r="L32" s="59">
        <f>IF($C$5*'Tariffs Jul2023'!AL26/'Tariffs Jul2023'!AJ26&lt;'Tariffs Jul2023'!K26,0,IF($C$5*'Tariffs Jul2023'!AL26/'Tariffs Jul2023'!AJ26&lt;='Tariffs Jul2023'!L26,($C$5*'Tariffs Jul2023'!AL26/'Tariffs Jul2023'!AJ26-'Tariffs Jul2023'!K26)*('Tariffs Jul2023'!W26/100)*'Tariffs Jul2023'!AJ26,('Tariffs Jul2023'!L26-'Tariffs Jul2023'!K26)*('Tariffs Jul2023'!W26/100)*'Tariffs Jul2023'!AJ26))</f>
        <v>0</v>
      </c>
      <c r="M32" s="59">
        <f>IF($C$5*'Tariffs Jul2023'!AL26/'Tariffs Jul2023'!AJ26&lt;'Tariffs Jul2023'!L26,0,IF($C$5*'Tariffs Jul2023'!AL26/'Tariffs Jul2023'!AJ26&lt;='Tariffs Jul2023'!M26,($C$5*'Tariffs Jul2023'!AL26/'Tariffs Jul2023'!AJ26-'Tariffs Jul2023'!L26)*('Tariffs Jul2023'!X26/100)*'Tariffs Jul2023'!AJ26,('Tariffs Jul2023'!M26-'Tariffs Jul2023'!L26)*('Tariffs Jul2023'!X26/100)*'Tariffs Jul2023'!AJ26))</f>
        <v>0</v>
      </c>
      <c r="N32" s="59">
        <f>IF(($C$5*'Tariffs Jul2023'!AL26/'Tariffs Jul2023'!AJ26&gt;'Tariffs Jul2023'!M26),($C$5*'Tariffs Jul2023'!AL26/'Tariffs Jul2023'!AJ26-'Tariffs Jul2023'!M26)*'Tariffs Jul2023'!Y26/100*'Tariffs Jul2023'!AJ26,0)</f>
        <v>487.52258181818172</v>
      </c>
      <c r="O32" s="59">
        <f>SUM(E32:N32)</f>
        <v>1889.8293272727269</v>
      </c>
      <c r="P32" s="503">
        <f t="shared" si="2"/>
        <v>2078.8122599999997</v>
      </c>
      <c r="Q32" s="59">
        <f>D32+O32</f>
        <v>2123.4293272727268</v>
      </c>
      <c r="R32" s="272">
        <f>Q32*1.1</f>
        <v>2335.7722599999997</v>
      </c>
      <c r="S32" s="40">
        <f>'Tariffs Jul2023'!AN26</f>
        <v>0</v>
      </c>
      <c r="T32" s="40">
        <f>'Tariffs Jul2023'!AO26</f>
        <v>0</v>
      </c>
      <c r="U32" s="40">
        <f>'Tariffs Jul2023'!AP26</f>
        <v>2</v>
      </c>
      <c r="V32" s="637">
        <f>'Tariffs Jul2023'!AQ26</f>
        <v>0</v>
      </c>
      <c r="W32" s="578" t="str">
        <f t="shared" si="33"/>
        <v>Pay-on-time off bill</v>
      </c>
      <c r="X32" s="538" t="str">
        <f t="shared" si="34"/>
        <v>Exclusive</v>
      </c>
      <c r="Y32" s="535">
        <f t="shared" si="38"/>
        <v>2123.4293272727268</v>
      </c>
      <c r="Z32" s="535">
        <f t="shared" si="39"/>
        <v>2080.9607407272724</v>
      </c>
      <c r="AA32" s="542">
        <f t="shared" si="37"/>
        <v>2335.7722599999997</v>
      </c>
      <c r="AB32" s="609">
        <f t="shared" si="37"/>
        <v>2289.0568147999998</v>
      </c>
      <c r="AC32" s="625"/>
      <c r="AD32" s="625"/>
      <c r="AE32" s="625"/>
      <c r="AF32" s="625"/>
      <c r="AG32" s="625"/>
      <c r="AH32" s="625"/>
      <c r="AI32" s="625"/>
      <c r="AJ32" s="625"/>
      <c r="AK32" s="625"/>
      <c r="AL32" s="625"/>
      <c r="AM32" s="625"/>
      <c r="AN32" s="625"/>
      <c r="AO32" s="625"/>
      <c r="AP32" s="625"/>
      <c r="AQ32" s="625"/>
      <c r="AR32" s="625"/>
      <c r="AS32" s="625"/>
      <c r="AT32" s="625"/>
    </row>
    <row r="33" spans="1:46" ht="14" x14ac:dyDescent="0.15">
      <c r="A33" s="270" t="str">
        <f>'Tariffs Jul2023'!F27</f>
        <v>1st Energy</v>
      </c>
      <c r="B33" s="40" t="str">
        <f>'Tariffs Jul2023'!D27</f>
        <v>Multinet Metro 2</v>
      </c>
      <c r="C33" s="40" t="str">
        <f>'Tariffs Jul2023'!G27</f>
        <v>1st Saver Plus</v>
      </c>
      <c r="D33" s="59">
        <f>365*'Tariffs Jul2023'!H27/100</f>
        <v>288.35000000000002</v>
      </c>
      <c r="E33" s="59">
        <f>IF($C$5*'Tariffs Jul2023'!AK27/'Tariffs Jul2023'!AI27&gt;='Tariffs Jul2023'!J27,( 'Tariffs Jul2023'!J27*'Tariffs Jul2023'!O27/100)* 'Tariffs Jul2023'!AI27,($C$5*'Tariffs Jul2023'!AK27/'Tariffs Jul2023'!AI27*'Tariffs Jul2023'!O27/100)* 'Tariffs Jul2023'!AI27)</f>
        <v>387</v>
      </c>
      <c r="F33" s="59">
        <f>IF($C$5*'Tariffs Jul2023'!AK27/'Tariffs Jul2023'!AI27&lt;'Tariffs Jul2023'!J27,0,IF($C$5*'Tariffs Jul2023'!AK27/'Tariffs Jul2023'!AI27&lt;='Tariffs Jul2023'!K27,($C$5*'Tariffs Jul2023'!AK27/'Tariffs Jul2023'!AI27-'Tariffs Jul2023'!J27)*('Tariffs Jul2023'!P27/100)*'Tariffs Jul2023'!AI27,('Tariffs Jul2023'!K27-'Tariffs Jul2023'!J27)*('Tariffs Jul2023'!P27/100)*'Tariffs Jul2023'!AI27))</f>
        <v>499.50000000000011</v>
      </c>
      <c r="G33" s="59">
        <f>IF($C$5*'Tariffs Jul2023'!AK27/'Tariffs Jul2023'!AI27&lt;'Tariffs Jul2023'!K27,0,IF($C$5*'Tariffs Jul2023'!AK27/'Tariffs Jul2023'!AI27&lt;='Tariffs Jul2023'!L27,($C$5*'Tariffs Jul2023'!AK27/'Tariffs Jul2023'!AI27-'Tariffs Jul2023'!K27)*('Tariffs Jul2023'!Q27/100)*'Tariffs Jul2023'!AI27,('Tariffs Jul2023'!L27-'Tariffs Jul2023'!K27)*('Tariffs Jul2023'!Q27/100)*'Tariffs Jul2023'!AI27))</f>
        <v>0</v>
      </c>
      <c r="H33" s="59">
        <f>IF($C$5*'Tariffs Jul2023'!AK27/'Tariffs Jul2023'!AI27&lt;'Tariffs Jul2023'!L27,0,IF($C$5*'Tariffs Jul2023'!AK27/'Tariffs Jul2023'!AI27&lt;='Tariffs Jul2023'!M27,($C$5*'Tariffs Jul2023'!AK27/'Tariffs Jul2023'!AI27-'Tariffs Jul2023'!L27)*('Tariffs Jul2023'!R27/100)*'Tariffs Jul2023'!AI27,('Tariffs Jul2023'!M27-'Tariffs Jul2023'!L27)*('Tariffs Jul2023'!R27/100)*'Tariffs Jul2023'!AI27))</f>
        <v>0</v>
      </c>
      <c r="I33" s="59">
        <f>IF(($C$5*'Tariffs Jul2023'!AK27/'Tariffs Jul2023'!AI27&gt;'Tariffs Jul2023'!M27),($C$5*'Tariffs Jul2023'!AK27/'Tariffs Jul2023'!AI27-'Tariffs Jul2023'!M27)*'Tariffs Jul2023'!S27/100*'Tariffs Jul2023'!AI27,0)</f>
        <v>279</v>
      </c>
      <c r="J33" s="59">
        <f>IF($C$5*'Tariffs Jul2023'!AL27/'Tariffs Jul2023'!AJ27&gt;='Tariffs Jul2023'!J27,('Tariffs Jul2023'!J27*'Tariffs Jul2023'!U27/100)* 'Tariffs Jul2023'!AJ27,($C$5*'Tariffs Jul2023'!AL27/'Tariffs Jul2023'!AJ27*'Tariffs Jul2023'!U27/100)* 'Tariffs Jul2023'!AJ27)</f>
        <v>387</v>
      </c>
      <c r="K33" s="59">
        <f>IF($C$5*'Tariffs Jul2023'!AL27/'Tariffs Jul2023'!AJ27&lt;'Tariffs Jul2023'!J27,0,IF($C$5*'Tariffs Jul2023'!AL27/'Tariffs Jul2023'!AJ27&lt;='Tariffs Jul2023'!K27,($C$5*'Tariffs Jul2023'!AL27/'Tariffs Jul2023'!AJ27-'Tariffs Jul2023'!J27)*('Tariffs Jul2023'!V27/100)*'Tariffs Jul2023'!AJ27,('Tariffs Jul2023'!K27-'Tariffs Jul2023'!J27)*('Tariffs Jul2023'!V27/100)*'Tariffs Jul2023'!AJ27))</f>
        <v>499.50000000000011</v>
      </c>
      <c r="L33" s="59">
        <f>IF($C$5*'Tariffs Jul2023'!AL27/'Tariffs Jul2023'!AJ27&lt;'Tariffs Jul2023'!K27,0,IF($C$5*'Tariffs Jul2023'!AL27/'Tariffs Jul2023'!AJ27&lt;='Tariffs Jul2023'!L27,($C$5*'Tariffs Jul2023'!AL27/'Tariffs Jul2023'!AJ27-'Tariffs Jul2023'!K27)*('Tariffs Jul2023'!W27/100)*'Tariffs Jul2023'!AJ27,('Tariffs Jul2023'!L27-'Tariffs Jul2023'!K27)*('Tariffs Jul2023'!W27/100)*'Tariffs Jul2023'!AJ27))</f>
        <v>0</v>
      </c>
      <c r="M33" s="59">
        <f>IF($C$5*'Tariffs Jul2023'!AL27/'Tariffs Jul2023'!AJ27&lt;'Tariffs Jul2023'!L27,0,IF($C$5*'Tariffs Jul2023'!AL27/'Tariffs Jul2023'!AJ27&lt;='Tariffs Jul2023'!M27,($C$5*'Tariffs Jul2023'!AL27/'Tariffs Jul2023'!AJ27-'Tariffs Jul2023'!L27)*('Tariffs Jul2023'!X27/100)*'Tariffs Jul2023'!AJ27,('Tariffs Jul2023'!M27-'Tariffs Jul2023'!L27)*('Tariffs Jul2023'!X27/100)*'Tariffs Jul2023'!AJ27))</f>
        <v>0</v>
      </c>
      <c r="N33" s="59">
        <f>IF(($C$5*'Tariffs Jul2023'!AL27/'Tariffs Jul2023'!AJ27&gt;'Tariffs Jul2023'!M27),($C$5*'Tariffs Jul2023'!AL27/'Tariffs Jul2023'!AJ27-'Tariffs Jul2023'!M27)*'Tariffs Jul2023'!Y27/100*'Tariffs Jul2023'!AJ27,0)</f>
        <v>279</v>
      </c>
      <c r="O33" s="59">
        <f t="shared" si="1"/>
        <v>2331</v>
      </c>
      <c r="P33" s="503">
        <f t="shared" si="2"/>
        <v>2564.1000000000004</v>
      </c>
      <c r="Q33" s="59">
        <f t="shared" si="3"/>
        <v>2619.35</v>
      </c>
      <c r="R33" s="272">
        <f t="shared" si="4"/>
        <v>2881.2850000000003</v>
      </c>
      <c r="S33" s="40">
        <f>'Tariffs Jul2023'!AN27</f>
        <v>0</v>
      </c>
      <c r="T33" s="40">
        <f>'Tariffs Jul2023'!AO27</f>
        <v>7</v>
      </c>
      <c r="U33" s="40">
        <f>'Tariffs Jul2023'!AP27</f>
        <v>0</v>
      </c>
      <c r="V33" s="637">
        <f>'Tariffs Jul2023'!AQ27</f>
        <v>3</v>
      </c>
      <c r="W33" s="578" t="str">
        <f t="shared" si="33"/>
        <v>Guaranteed off usage</v>
      </c>
      <c r="X33" s="538" t="str">
        <f t="shared" si="34"/>
        <v>Exclusive</v>
      </c>
      <c r="Y33" s="535">
        <f>Q33-(P33*T33)/100</f>
        <v>2439.8629999999998</v>
      </c>
      <c r="Z33" s="535">
        <f>Y33-(P33*V33)/100</f>
        <v>2362.9399999999996</v>
      </c>
      <c r="AA33" s="542">
        <f t="shared" si="37"/>
        <v>2683.8492999999999</v>
      </c>
      <c r="AB33" s="609">
        <f t="shared" si="37"/>
        <v>2599.2339999999999</v>
      </c>
      <c r="AC33" s="625"/>
      <c r="AD33" s="625"/>
      <c r="AE33" s="625"/>
      <c r="AF33" s="625"/>
      <c r="AG33" s="625"/>
      <c r="AH33" s="625"/>
      <c r="AI33" s="625"/>
      <c r="AJ33" s="625"/>
      <c r="AK33" s="625"/>
      <c r="AL33" s="625"/>
      <c r="AM33" s="625"/>
      <c r="AN33" s="625"/>
      <c r="AO33" s="625"/>
      <c r="AP33" s="625"/>
      <c r="AQ33" s="625"/>
      <c r="AR33" s="625"/>
      <c r="AS33" s="625"/>
      <c r="AT33" s="625"/>
    </row>
    <row r="34" spans="1:46" ht="14" x14ac:dyDescent="0.15">
      <c r="A34" s="270" t="str">
        <f>'Tariffs Jul2023'!F28</f>
        <v>Tango Energy</v>
      </c>
      <c r="B34" s="40" t="str">
        <f>'Tariffs Jul2023'!D28</f>
        <v>Multinet Metro 2</v>
      </c>
      <c r="C34" s="40" t="str">
        <f>'Tariffs Jul2023'!G28</f>
        <v>Home Select</v>
      </c>
      <c r="D34" s="59">
        <f>365*'Tariffs Jul2023'!H28/100</f>
        <v>383.24999999999994</v>
      </c>
      <c r="E34" s="59">
        <f>IF($C$5*'Tariffs Jul2023'!AK28/'Tariffs Jul2023'!AI28&gt;='Tariffs Jul2023'!J28,( 'Tariffs Jul2023'!J28*'Tariffs Jul2023'!O28/100)* 'Tariffs Jul2023'!AI28,($C$5*'Tariffs Jul2023'!AK28/'Tariffs Jul2023'!AI28*'Tariffs Jul2023'!O28/100)* 'Tariffs Jul2023'!AI28)</f>
        <v>315</v>
      </c>
      <c r="F34" s="59">
        <f>IF($C$5*'Tariffs Jul2023'!AK28/'Tariffs Jul2023'!AI28&lt;'Tariffs Jul2023'!J28,0,IF($C$5*'Tariffs Jul2023'!AK28/'Tariffs Jul2023'!AI28&lt;='Tariffs Jul2023'!K28,($C$5*'Tariffs Jul2023'!AK28/'Tariffs Jul2023'!AI28-'Tariffs Jul2023'!J28)*('Tariffs Jul2023'!P28/100)*'Tariffs Jul2023'!AI28,('Tariffs Jul2023'!K28-'Tariffs Jul2023'!J28)*('Tariffs Jul2023'!P28/100)*'Tariffs Jul2023'!AI28))</f>
        <v>298.63636363636363</v>
      </c>
      <c r="G34" s="59">
        <f>IF($C$5*'Tariffs Jul2023'!AK28/'Tariffs Jul2023'!AI28&lt;'Tariffs Jul2023'!K28,0,IF($C$5*'Tariffs Jul2023'!AK28/'Tariffs Jul2023'!AI28&lt;='Tariffs Jul2023'!L28,($C$5*'Tariffs Jul2023'!AK28/'Tariffs Jul2023'!AI28-'Tariffs Jul2023'!K28)*('Tariffs Jul2023'!Q28/100)*'Tariffs Jul2023'!AI28,('Tariffs Jul2023'!L28-'Tariffs Jul2023'!K28)*('Tariffs Jul2023'!Q28/100)*'Tariffs Jul2023'!AI28))</f>
        <v>286.36363636363632</v>
      </c>
      <c r="H34" s="59">
        <f>IF($C$5*'Tariffs Jul2023'!AK28/'Tariffs Jul2023'!AI28&lt;'Tariffs Jul2023'!L28,0,IF($C$5*'Tariffs Jul2023'!AK28/'Tariffs Jul2023'!AI28&lt;='Tariffs Jul2023'!M28,($C$5*'Tariffs Jul2023'!AK28/'Tariffs Jul2023'!AI28-'Tariffs Jul2023'!L28)*('Tariffs Jul2023'!R28/100)*'Tariffs Jul2023'!AI28,('Tariffs Jul2023'!M28-'Tariffs Jul2023'!L28)*('Tariffs Jul2023'!R28/100)*'Tariffs Jul2023'!AI28))</f>
        <v>135.81818181818181</v>
      </c>
      <c r="I34" s="59">
        <f>IF(($C$5*'Tariffs Jul2023'!AK28/'Tariffs Jul2023'!AI28&gt;'Tariffs Jul2023'!M28),($C$5*'Tariffs Jul2023'!AK28/'Tariffs Jul2023'!AI28-'Tariffs Jul2023'!M28)*'Tariffs Jul2023'!S28/100*'Tariffs Jul2023'!AI28,0)</f>
        <v>0</v>
      </c>
      <c r="J34" s="59">
        <f>IF($C$5*'Tariffs Jul2023'!AL28/'Tariffs Jul2023'!AJ28&gt;='Tariffs Jul2023'!J28,('Tariffs Jul2023'!J28*'Tariffs Jul2023'!U28/100)* 'Tariffs Jul2023'!AJ28,($C$5*'Tariffs Jul2023'!AL28/'Tariffs Jul2023'!AJ28*'Tariffs Jul2023'!U28/100)* 'Tariffs Jul2023'!AJ28)</f>
        <v>289.63636363636363</v>
      </c>
      <c r="K34" s="59">
        <f>IF($C$5*'Tariffs Jul2023'!AL28/'Tariffs Jul2023'!AJ28&lt;'Tariffs Jul2023'!J28,0,IF($C$5*'Tariffs Jul2023'!AL28/'Tariffs Jul2023'!AJ28&lt;='Tariffs Jul2023'!K28,($C$5*'Tariffs Jul2023'!AL28/'Tariffs Jul2023'!AJ28-'Tariffs Jul2023'!J28)*('Tariffs Jul2023'!V28/100)*'Tariffs Jul2023'!AJ28,('Tariffs Jul2023'!K28-'Tariffs Jul2023'!J28)*('Tariffs Jul2023'!V28/100)*'Tariffs Jul2023'!AJ28))</f>
        <v>253.6363636363636</v>
      </c>
      <c r="L34" s="59">
        <f>IF($C$5*'Tariffs Jul2023'!AL28/'Tariffs Jul2023'!AJ28&lt;'Tariffs Jul2023'!K28,0,IF($C$5*'Tariffs Jul2023'!AL28/'Tariffs Jul2023'!AJ28&lt;='Tariffs Jul2023'!L28,($C$5*'Tariffs Jul2023'!AL28/'Tariffs Jul2023'!AJ28-'Tariffs Jul2023'!K28)*('Tariffs Jul2023'!W28/100)*'Tariffs Jul2023'!AJ28,('Tariffs Jul2023'!L28-'Tariffs Jul2023'!K28)*('Tariffs Jul2023'!W28/100)*'Tariffs Jul2023'!AJ28))</f>
        <v>240.5454545454545</v>
      </c>
      <c r="M34" s="59">
        <f>IF($C$5*'Tariffs Jul2023'!AL28/'Tariffs Jul2023'!AJ28&lt;'Tariffs Jul2023'!L28,0,IF($C$5*'Tariffs Jul2023'!AL28/'Tariffs Jul2023'!AJ28&lt;='Tariffs Jul2023'!M28,($C$5*'Tariffs Jul2023'!AL28/'Tariffs Jul2023'!AJ28-'Tariffs Jul2023'!L28)*('Tariffs Jul2023'!X28/100)*'Tariffs Jul2023'!AJ28,('Tariffs Jul2023'!M28-'Tariffs Jul2023'!L28)*('Tariffs Jul2023'!X28/100)*'Tariffs Jul2023'!AJ28))</f>
        <v>112.90909090909091</v>
      </c>
      <c r="N34" s="59">
        <f>IF(($C$5*'Tariffs Jul2023'!AL28/'Tariffs Jul2023'!AJ28&gt;'Tariffs Jul2023'!M28),($C$5*'Tariffs Jul2023'!AL28/'Tariffs Jul2023'!AJ28-'Tariffs Jul2023'!M28)*'Tariffs Jul2023'!Y28/100*'Tariffs Jul2023'!AJ28,0)</f>
        <v>0</v>
      </c>
      <c r="O34" s="59">
        <f t="shared" si="1"/>
        <v>1932.5454545454545</v>
      </c>
      <c r="P34" s="503">
        <f t="shared" si="2"/>
        <v>2125.8000000000002</v>
      </c>
      <c r="Q34" s="59">
        <f>D34+O34</f>
        <v>2315.7954545454545</v>
      </c>
      <c r="R34" s="272">
        <f t="shared" si="4"/>
        <v>2547.375</v>
      </c>
      <c r="S34" s="40">
        <f>'Tariffs Jul2023'!AN28</f>
        <v>0</v>
      </c>
      <c r="T34" s="40">
        <f>'Tariffs Jul2023'!AO28</f>
        <v>0</v>
      </c>
      <c r="U34" s="40">
        <f>'Tariffs Jul2023'!AP28</f>
        <v>0</v>
      </c>
      <c r="V34" s="637">
        <f>'Tariffs Jul2023'!AQ28</f>
        <v>0</v>
      </c>
      <c r="W34" s="578" t="str">
        <f t="shared" si="33"/>
        <v>No discount</v>
      </c>
      <c r="X34" s="538" t="str">
        <f t="shared" si="34"/>
        <v>Exclusive</v>
      </c>
      <c r="Y34" s="535">
        <f t="shared" ref="Y34:Y36" si="40">IF(AND(W34="Guaranteed off bill",X34="Inclusive"),((Q34*1.1)-((Q34*1.1)*S34/100))/1.1,IF(AND(W34="Guaranteed off usage",X34="Inclusive"),((Q34*1.1)-((P34*1.1)*T34/100))/1.1,IF(AND(W34="Guaranteed off bill",X34="Exclusive"),Q34-(Q34*S34/100),IF(AND(W34="Guaranteed off usage",X34="Exclusive"),Q34-(P34*T34/100),IF(X34="Inclusive",((Q34*1.1))/1.1,Q34)))))</f>
        <v>2315.7954545454545</v>
      </c>
      <c r="Z34" s="535">
        <f t="shared" ref="Z34:Z36" si="41">IF(AND(W34="Pay-on-time off bill",X34="Inclusive"),((Y34*1.1)-((Y34*1.1)*U34/100))/1.1,IF(AND(W34="Pay-on-time off usage",X34="Inclusive"),((Y34*1.1)-((P34*1.1)*V34/100))/1.1,IF(AND(W34="Pay-on-time off bill",X34="Exclusive"),Y34-(Y34*U34/100),IF(AND(W34="Pay-on-time off usage",X34="Exclusive"),Y34-(P34*V34/100),IF(X34="Inclusive",((Y34*1.1))/1.1,Y34)))))</f>
        <v>2315.7954545454545</v>
      </c>
      <c r="AA34" s="542">
        <f t="shared" si="37"/>
        <v>2547.375</v>
      </c>
      <c r="AB34" s="609">
        <f t="shared" si="37"/>
        <v>2547.375</v>
      </c>
      <c r="AC34" s="625"/>
      <c r="AD34" s="625"/>
      <c r="AE34" s="625"/>
      <c r="AF34" s="625"/>
      <c r="AG34" s="625"/>
      <c r="AH34" s="625"/>
      <c r="AI34" s="625"/>
      <c r="AJ34" s="625"/>
      <c r="AK34" s="625"/>
      <c r="AL34" s="625"/>
      <c r="AM34" s="625"/>
      <c r="AN34" s="625"/>
      <c r="AO34" s="625"/>
      <c r="AP34" s="625"/>
      <c r="AQ34" s="625"/>
      <c r="AR34" s="625"/>
      <c r="AS34" s="625"/>
      <c r="AT34" s="625"/>
    </row>
    <row r="35" spans="1:46" ht="14" x14ac:dyDescent="0.15">
      <c r="A35" s="270" t="str">
        <f>'Tariffs Jul2023'!F29</f>
        <v>Momentum Energy</v>
      </c>
      <c r="B35" s="40" t="str">
        <f>'Tariffs Jul2023'!D29</f>
        <v>Multinet Metro 2</v>
      </c>
      <c r="C35" s="40" t="str">
        <f>'Tariffs Jul2023'!G29</f>
        <v>Nothing Fancy</v>
      </c>
      <c r="D35" s="59">
        <f>365*'Tariffs Jul2023'!H29/100</f>
        <v>351.495</v>
      </c>
      <c r="E35" s="59">
        <f>IF($C$5*'Tariffs Jul2023'!AK29/'Tariffs Jul2023'!AI29&gt;='Tariffs Jul2023'!J29,( 'Tariffs Jul2023'!J29*'Tariffs Jul2023'!O29/100)* 'Tariffs Jul2023'!AI29,($C$5*'Tariffs Jul2023'!AK29/'Tariffs Jul2023'!AI29*'Tariffs Jul2023'!O29/100)* 'Tariffs Jul2023'!AI29)</f>
        <v>288</v>
      </c>
      <c r="F35" s="59">
        <f>IF($C$5*'Tariffs Jul2023'!AK29/'Tariffs Jul2023'!AI29&lt;'Tariffs Jul2023'!J29,0,IF($C$5*'Tariffs Jul2023'!AK29/'Tariffs Jul2023'!AI29&lt;='Tariffs Jul2023'!K29,($C$5*'Tariffs Jul2023'!AK29/'Tariffs Jul2023'!AI29-'Tariffs Jul2023'!J29)*('Tariffs Jul2023'!P29/100)*'Tariffs Jul2023'!AI29,('Tariffs Jul2023'!K29-'Tariffs Jul2023'!J29)*('Tariffs Jul2023'!P29/100)*'Tariffs Jul2023'!AI29))</f>
        <v>261</v>
      </c>
      <c r="G35" s="59">
        <f>IF($C$5*'Tariffs Jul2023'!AK29/'Tariffs Jul2023'!AI29&lt;'Tariffs Jul2023'!K29,0,IF($C$5*'Tariffs Jul2023'!AK29/'Tariffs Jul2023'!AI29&lt;='Tariffs Jul2023'!L29,($C$5*'Tariffs Jul2023'!AK29/'Tariffs Jul2023'!AI29-'Tariffs Jul2023'!K29)*('Tariffs Jul2023'!Q29/100)*'Tariffs Jul2023'!AI29,('Tariffs Jul2023'!L29-'Tariffs Jul2023'!K29)*('Tariffs Jul2023'!Q29/100)*'Tariffs Jul2023'!AI29))</f>
        <v>225</v>
      </c>
      <c r="H35" s="59">
        <f>IF($C$5*'Tariffs Jul2023'!AK29/'Tariffs Jul2023'!AI29&lt;'Tariffs Jul2023'!L29,0,IF($C$5*'Tariffs Jul2023'!AK29/'Tariffs Jul2023'!AI29&lt;='Tariffs Jul2023'!M29,($C$5*'Tariffs Jul2023'!AK29/'Tariffs Jul2023'!AI29-'Tariffs Jul2023'!L29)*('Tariffs Jul2023'!R29/100)*'Tariffs Jul2023'!AI29,('Tariffs Jul2023'!M29-'Tariffs Jul2023'!L29)*('Tariffs Jul2023'!R29/100)*'Tariffs Jul2023'!AI29))</f>
        <v>0</v>
      </c>
      <c r="I35" s="59">
        <f>IF(($C$5*'Tariffs Jul2023'!AK29/'Tariffs Jul2023'!AI29&gt;'Tariffs Jul2023'!M29),($C$5*'Tariffs Jul2023'!AK29/'Tariffs Jul2023'!AI29-'Tariffs Jul2023'!M29)*'Tariffs Jul2023'!S29/100*'Tariffs Jul2023'!AI29,0)</f>
        <v>103.49999999999997</v>
      </c>
      <c r="J35" s="59">
        <f>IF($C$5*'Tariffs Jul2023'!AL29/'Tariffs Jul2023'!AJ29&gt;='Tariffs Jul2023'!J29,('Tariffs Jul2023'!J29*'Tariffs Jul2023'!U29/100)* 'Tariffs Jul2023'!AJ29,($C$5*'Tariffs Jul2023'!AL29/'Tariffs Jul2023'!AJ29*'Tariffs Jul2023'!U29/100)* 'Tariffs Jul2023'!AJ29)</f>
        <v>288</v>
      </c>
      <c r="K35" s="59">
        <f>IF($C$5*'Tariffs Jul2023'!AL29/'Tariffs Jul2023'!AJ29&lt;'Tariffs Jul2023'!J29,0,IF($C$5*'Tariffs Jul2023'!AL29/'Tariffs Jul2023'!AJ29&lt;='Tariffs Jul2023'!K29,($C$5*'Tariffs Jul2023'!AL29/'Tariffs Jul2023'!AJ29-'Tariffs Jul2023'!J29)*('Tariffs Jul2023'!V29/100)*'Tariffs Jul2023'!AJ29,('Tariffs Jul2023'!K29-'Tariffs Jul2023'!J29)*('Tariffs Jul2023'!V29/100)*'Tariffs Jul2023'!AJ29))</f>
        <v>261</v>
      </c>
      <c r="L35" s="59">
        <f>IF($C$5*'Tariffs Jul2023'!AL29/'Tariffs Jul2023'!AJ29&lt;'Tariffs Jul2023'!K29,0,IF($C$5*'Tariffs Jul2023'!AL29/'Tariffs Jul2023'!AJ29&lt;='Tariffs Jul2023'!L29,($C$5*'Tariffs Jul2023'!AL29/'Tariffs Jul2023'!AJ29-'Tariffs Jul2023'!K29)*('Tariffs Jul2023'!W29/100)*'Tariffs Jul2023'!AJ29,('Tariffs Jul2023'!L29-'Tariffs Jul2023'!K29)*('Tariffs Jul2023'!W29/100)*'Tariffs Jul2023'!AJ29))</f>
        <v>225</v>
      </c>
      <c r="M35" s="59">
        <f>IF($C$5*'Tariffs Jul2023'!AL29/'Tariffs Jul2023'!AJ29&lt;'Tariffs Jul2023'!L29,0,IF($C$5*'Tariffs Jul2023'!AL29/'Tariffs Jul2023'!AJ29&lt;='Tariffs Jul2023'!M29,($C$5*'Tariffs Jul2023'!AL29/'Tariffs Jul2023'!AJ29-'Tariffs Jul2023'!L29)*('Tariffs Jul2023'!X29/100)*'Tariffs Jul2023'!AJ29,('Tariffs Jul2023'!M29-'Tariffs Jul2023'!L29)*('Tariffs Jul2023'!X29/100)*'Tariffs Jul2023'!AJ29))</f>
        <v>0</v>
      </c>
      <c r="N35" s="59">
        <f>IF(($C$5*'Tariffs Jul2023'!AL29/'Tariffs Jul2023'!AJ29&gt;'Tariffs Jul2023'!M29),($C$5*'Tariffs Jul2023'!AL29/'Tariffs Jul2023'!AJ29-'Tariffs Jul2023'!M29)*'Tariffs Jul2023'!Y29/100*'Tariffs Jul2023'!AJ29,0)</f>
        <v>103.49999999999997</v>
      </c>
      <c r="O35" s="59">
        <f t="shared" si="1"/>
        <v>1755</v>
      </c>
      <c r="P35" s="503">
        <f t="shared" si="2"/>
        <v>1930.5000000000002</v>
      </c>
      <c r="Q35" s="59">
        <f>D35+O35</f>
        <v>2106.4949999999999</v>
      </c>
      <c r="R35" s="272">
        <f t="shared" si="4"/>
        <v>2317.1444999999999</v>
      </c>
      <c r="S35" s="40">
        <f>'Tariffs Jul2023'!AN29</f>
        <v>0</v>
      </c>
      <c r="T35" s="40">
        <f>'Tariffs Jul2023'!AO29</f>
        <v>0</v>
      </c>
      <c r="U35" s="40">
        <f>'Tariffs Jul2023'!AP29</f>
        <v>0</v>
      </c>
      <c r="V35" s="637">
        <f>'Tariffs Jul2023'!AQ29</f>
        <v>0</v>
      </c>
      <c r="W35" s="578" t="str">
        <f t="shared" si="33"/>
        <v>No discount</v>
      </c>
      <c r="X35" s="538" t="str">
        <f t="shared" si="34"/>
        <v>Exclusive</v>
      </c>
      <c r="Y35" s="535">
        <f t="shared" si="40"/>
        <v>2106.4949999999999</v>
      </c>
      <c r="Z35" s="535">
        <f t="shared" si="41"/>
        <v>2106.4949999999999</v>
      </c>
      <c r="AA35" s="542">
        <f t="shared" si="37"/>
        <v>2317.1444999999999</v>
      </c>
      <c r="AB35" s="609">
        <f t="shared" si="37"/>
        <v>2317.1444999999999</v>
      </c>
      <c r="AC35" s="625"/>
      <c r="AD35" s="625"/>
      <c r="AE35" s="625"/>
      <c r="AF35" s="625"/>
      <c r="AG35" s="625"/>
      <c r="AH35" s="625"/>
      <c r="AI35" s="625"/>
      <c r="AJ35" s="625"/>
      <c r="AK35" s="625"/>
      <c r="AL35" s="625"/>
      <c r="AM35" s="625"/>
      <c r="AN35" s="625"/>
      <c r="AO35" s="625"/>
      <c r="AP35" s="625"/>
      <c r="AQ35" s="625"/>
      <c r="AR35" s="625"/>
      <c r="AS35" s="625"/>
      <c r="AT35" s="625"/>
    </row>
    <row r="36" spans="1:46" ht="14" x14ac:dyDescent="0.15">
      <c r="A36" s="270" t="str">
        <f>'Tariffs Jul2023'!F30</f>
        <v>Sumo Power</v>
      </c>
      <c r="B36" s="40" t="str">
        <f>'Tariffs Jul2023'!D30</f>
        <v>Multinet Metro 2</v>
      </c>
      <c r="C36" s="40" t="str">
        <f>'Tariffs Jul2023'!G30</f>
        <v>Lite</v>
      </c>
      <c r="D36" s="59">
        <f>365*'Tariffs Jul2023'!H30/100</f>
        <v>248.19999999999996</v>
      </c>
      <c r="E36" s="59">
        <f>IF($C$5*'Tariffs Jul2023'!AK30/'Tariffs Jul2023'!AI30&gt;='Tariffs Jul2023'!J30,( 'Tariffs Jul2023'!J30*'Tariffs Jul2023'!O30/100)* 'Tariffs Jul2023'!AI30,($C$5*'Tariffs Jul2023'!AK30/'Tariffs Jul2023'!AI30*'Tariffs Jul2023'!O30/100)* 'Tariffs Jul2023'!AI30)</f>
        <v>269.99999999999994</v>
      </c>
      <c r="F36" s="59">
        <f>IF($C$5*'Tariffs Jul2023'!AK30/'Tariffs Jul2023'!AI30&lt;'Tariffs Jul2023'!J30,0,IF($C$5*'Tariffs Jul2023'!AK30/'Tariffs Jul2023'!AI30&lt;='Tariffs Jul2023'!K30,($C$5*'Tariffs Jul2023'!AK30/'Tariffs Jul2023'!AI30-'Tariffs Jul2023'!J30)*('Tariffs Jul2023'!P30/100)*'Tariffs Jul2023'!AI30,('Tariffs Jul2023'!K30-'Tariffs Jul2023'!J30)*('Tariffs Jul2023'!P30/100)*'Tariffs Jul2023'!AI30))</f>
        <v>243.00000000000006</v>
      </c>
      <c r="G36" s="59">
        <f>IF($C$5*'Tariffs Jul2023'!AK30/'Tariffs Jul2023'!AI30&lt;'Tariffs Jul2023'!K30,0,IF($C$5*'Tariffs Jul2023'!AK30/'Tariffs Jul2023'!AI30&lt;='Tariffs Jul2023'!L30,($C$5*'Tariffs Jul2023'!AK30/'Tariffs Jul2023'!AI30-'Tariffs Jul2023'!K30)*('Tariffs Jul2023'!Q30/100)*'Tariffs Jul2023'!AI30,('Tariffs Jul2023'!L30-'Tariffs Jul2023'!K30)*('Tariffs Jul2023'!Q30/100)*'Tariffs Jul2023'!AI30))</f>
        <v>225</v>
      </c>
      <c r="H36" s="59">
        <f>IF($C$5*'Tariffs Jul2023'!AK30/'Tariffs Jul2023'!AI30&lt;'Tariffs Jul2023'!L30,0,IF($C$5*'Tariffs Jul2023'!AK30/'Tariffs Jul2023'!AI30&lt;='Tariffs Jul2023'!M30,($C$5*'Tariffs Jul2023'!AK30/'Tariffs Jul2023'!AI30-'Tariffs Jul2023'!L30)*('Tariffs Jul2023'!R30/100)*'Tariffs Jul2023'!AI30,('Tariffs Jul2023'!M30-'Tariffs Jul2023'!L30)*('Tariffs Jul2023'!R30/100)*'Tariffs Jul2023'!AI30))</f>
        <v>0</v>
      </c>
      <c r="I36" s="59">
        <f>IF(($C$5*'Tariffs Jul2023'!AK30/'Tariffs Jul2023'!AI30&gt;'Tariffs Jul2023'!M30),($C$5*'Tariffs Jul2023'!AK30/'Tariffs Jul2023'!AI30-'Tariffs Jul2023'!M30)*'Tariffs Jul2023'!S30/100*'Tariffs Jul2023'!AI30,0)</f>
        <v>94.5</v>
      </c>
      <c r="J36" s="59">
        <f>IF($C$5*'Tariffs Jul2023'!AL30/'Tariffs Jul2023'!AJ30&gt;='Tariffs Jul2023'!J30,('Tariffs Jul2023'!J30*'Tariffs Jul2023'!U30/100)* 'Tariffs Jul2023'!AJ30,($C$5*'Tariffs Jul2023'!AL30/'Tariffs Jul2023'!AJ30*'Tariffs Jul2023'!U30/100)* 'Tariffs Jul2023'!AJ30)</f>
        <v>243.00000000000006</v>
      </c>
      <c r="K36" s="59">
        <f>IF($C$5*'Tariffs Jul2023'!AL30/'Tariffs Jul2023'!AJ30&lt;'Tariffs Jul2023'!J30,0,IF($C$5*'Tariffs Jul2023'!AL30/'Tariffs Jul2023'!AJ30&lt;='Tariffs Jul2023'!K30,($C$5*'Tariffs Jul2023'!AL30/'Tariffs Jul2023'!AJ30-'Tariffs Jul2023'!J30)*('Tariffs Jul2023'!V30/100)*'Tariffs Jul2023'!AJ30,('Tariffs Jul2023'!K30-'Tariffs Jul2023'!J30)*('Tariffs Jul2023'!V30/100)*'Tariffs Jul2023'!AJ30))</f>
        <v>233.99999999999994</v>
      </c>
      <c r="L36" s="59">
        <f>IF($C$5*'Tariffs Jul2023'!AL30/'Tariffs Jul2023'!AJ30&lt;'Tariffs Jul2023'!K30,0,IF($C$5*'Tariffs Jul2023'!AL30/'Tariffs Jul2023'!AJ30&lt;='Tariffs Jul2023'!L30,($C$5*'Tariffs Jul2023'!AL30/'Tariffs Jul2023'!AJ30-'Tariffs Jul2023'!K30)*('Tariffs Jul2023'!W30/100)*'Tariffs Jul2023'!AJ30,('Tariffs Jul2023'!L30-'Tariffs Jul2023'!K30)*('Tariffs Jul2023'!W30/100)*'Tariffs Jul2023'!AJ30))</f>
        <v>198</v>
      </c>
      <c r="M36" s="59">
        <f>IF($C$5*'Tariffs Jul2023'!AL30/'Tariffs Jul2023'!AJ30&lt;'Tariffs Jul2023'!L30,0,IF($C$5*'Tariffs Jul2023'!AL30/'Tariffs Jul2023'!AJ30&lt;='Tariffs Jul2023'!M30,($C$5*'Tariffs Jul2023'!AL30/'Tariffs Jul2023'!AJ30-'Tariffs Jul2023'!L30)*('Tariffs Jul2023'!X30/100)*'Tariffs Jul2023'!AJ30,('Tariffs Jul2023'!M30-'Tariffs Jul2023'!L30)*('Tariffs Jul2023'!X30/100)*'Tariffs Jul2023'!AJ30))</f>
        <v>0</v>
      </c>
      <c r="N36" s="59">
        <f>IF(($C$5*'Tariffs Jul2023'!AL30/'Tariffs Jul2023'!AJ30&gt;'Tariffs Jul2023'!M30),($C$5*'Tariffs Jul2023'!AL30/'Tariffs Jul2023'!AJ30-'Tariffs Jul2023'!M30)*'Tariffs Jul2023'!Y30/100*'Tariffs Jul2023'!AJ30,0)</f>
        <v>90</v>
      </c>
      <c r="O36" s="59">
        <f t="shared" si="1"/>
        <v>1597.5</v>
      </c>
      <c r="P36" s="503">
        <f t="shared" si="2"/>
        <v>1757.2500000000002</v>
      </c>
      <c r="Q36" s="59">
        <f>D36+O36</f>
        <v>1845.7</v>
      </c>
      <c r="R36" s="272">
        <f t="shared" si="4"/>
        <v>2030.2700000000002</v>
      </c>
      <c r="S36" s="40">
        <f>'Tariffs Jul2023'!AN30</f>
        <v>0</v>
      </c>
      <c r="T36" s="40">
        <f>'Tariffs Jul2023'!AO30</f>
        <v>0</v>
      </c>
      <c r="U36" s="40">
        <f>'Tariffs Jul2023'!AP30</f>
        <v>0</v>
      </c>
      <c r="V36" s="637">
        <f>'Tariffs Jul2023'!AQ30</f>
        <v>0</v>
      </c>
      <c r="W36" s="578" t="str">
        <f t="shared" si="33"/>
        <v>No discount</v>
      </c>
      <c r="X36" s="538" t="str">
        <f t="shared" si="34"/>
        <v>Exclusive</v>
      </c>
      <c r="Y36" s="535">
        <f t="shared" si="40"/>
        <v>1845.7</v>
      </c>
      <c r="Z36" s="535">
        <f t="shared" si="41"/>
        <v>1845.7</v>
      </c>
      <c r="AA36" s="542">
        <f t="shared" si="37"/>
        <v>2030.2700000000002</v>
      </c>
      <c r="AB36" s="609">
        <f t="shared" si="37"/>
        <v>2030.2700000000002</v>
      </c>
      <c r="AC36" s="625"/>
      <c r="AD36" s="625"/>
      <c r="AE36" s="625"/>
      <c r="AF36" s="625"/>
      <c r="AG36" s="625"/>
      <c r="AH36" s="625"/>
      <c r="AI36" s="625"/>
      <c r="AJ36" s="625"/>
      <c r="AK36" s="625"/>
      <c r="AL36" s="625"/>
      <c r="AM36" s="625"/>
      <c r="AN36" s="625"/>
      <c r="AO36" s="625"/>
      <c r="AP36" s="625"/>
      <c r="AQ36" s="625"/>
      <c r="AR36" s="625"/>
      <c r="AS36" s="625"/>
      <c r="AT36" s="625"/>
    </row>
    <row r="37" spans="1:46" ht="14" x14ac:dyDescent="0.15">
      <c r="A37" s="270" t="str">
        <f>'Tariffs Jul2023'!F31</f>
        <v>CovaU</v>
      </c>
      <c r="B37" s="40" t="str">
        <f>'Tariffs Jul2023'!D31</f>
        <v>Multinet Metro 2</v>
      </c>
      <c r="C37" s="40" t="str">
        <f>'Tariffs Jul2023'!G31</f>
        <v>Super Saver</v>
      </c>
      <c r="D37" s="59">
        <f>365*'Tariffs Jul2023'!H31/100</f>
        <v>249.79272727272729</v>
      </c>
      <c r="E37" s="59">
        <f>IF($C$5*'Tariffs Jul2023'!AK31/'Tariffs Jul2023'!AI31&gt;='Tariffs Jul2023'!J31,( 'Tariffs Jul2023'!J31*'Tariffs Jul2023'!O31/100)* 'Tariffs Jul2023'!AI31,($C$5*'Tariffs Jul2023'!AK31/'Tariffs Jul2023'!AI31*'Tariffs Jul2023'!O31/100)* 'Tariffs Jul2023'!AI31)</f>
        <v>274.90909090909088</v>
      </c>
      <c r="F37" s="59">
        <f>IF($C$5*'Tariffs Jul2023'!AK31/'Tariffs Jul2023'!AI31&lt;'Tariffs Jul2023'!J31,0,IF($C$5*'Tariffs Jul2023'!AK31/'Tariffs Jul2023'!AI31&lt;='Tariffs Jul2023'!K31,($C$5*'Tariffs Jul2023'!AK31/'Tariffs Jul2023'!AI31-'Tariffs Jul2023'!J31)*('Tariffs Jul2023'!P31/100)*'Tariffs Jul2023'!AI31,('Tariffs Jul2023'!K31-'Tariffs Jul2023'!J31)*('Tariffs Jul2023'!P31/100)*'Tariffs Jul2023'!AI31))</f>
        <v>243.00000000000006</v>
      </c>
      <c r="G37" s="59">
        <f>IF($C$5*'Tariffs Jul2023'!AK31/'Tariffs Jul2023'!AI31&lt;'Tariffs Jul2023'!K31,0,IF($C$5*'Tariffs Jul2023'!AK31/'Tariffs Jul2023'!AI31&lt;='Tariffs Jul2023'!L31,($C$5*'Tariffs Jul2023'!AK31/'Tariffs Jul2023'!AI31-'Tariffs Jul2023'!K31)*('Tariffs Jul2023'!Q31/100)*'Tariffs Jul2023'!AI31,('Tariffs Jul2023'!L31-'Tariffs Jul2023'!K31)*('Tariffs Jul2023'!Q31/100)*'Tariffs Jul2023'!AI31))</f>
        <v>195.54545454545456</v>
      </c>
      <c r="H37" s="59">
        <f>IF($C$5*'Tariffs Jul2023'!AK31/'Tariffs Jul2023'!AI31&lt;'Tariffs Jul2023'!L31,0,IF($C$5*'Tariffs Jul2023'!AK31/'Tariffs Jul2023'!AI31&lt;='Tariffs Jul2023'!M31,($C$5*'Tariffs Jul2023'!AK31/'Tariffs Jul2023'!AI31-'Tariffs Jul2023'!L31)*('Tariffs Jul2023'!R31/100)*'Tariffs Jul2023'!AI31,('Tariffs Jul2023'!M31-'Tariffs Jul2023'!L31)*('Tariffs Jul2023'!R31/100)*'Tariffs Jul2023'!AI31))</f>
        <v>80.181818181818173</v>
      </c>
      <c r="I37" s="59">
        <f>IF(($C$5*'Tariffs Jul2023'!AK31/'Tariffs Jul2023'!AI31&gt;'Tariffs Jul2023'!M31),($C$5*'Tariffs Jul2023'!AK31/'Tariffs Jul2023'!AI31-'Tariffs Jul2023'!M31)*'Tariffs Jul2023'!S31/100*'Tariffs Jul2023'!AI31,0)</f>
        <v>0</v>
      </c>
      <c r="J37" s="59">
        <f>IF($C$5*'Tariffs Jul2023'!AL31/'Tariffs Jul2023'!AJ31&gt;='Tariffs Jul2023'!J31,('Tariffs Jul2023'!J31*'Tariffs Jul2023'!U31/100)* 'Tariffs Jul2023'!AJ31,($C$5*'Tariffs Jul2023'!AL31/'Tariffs Jul2023'!AJ31*'Tariffs Jul2023'!U31/100)* 'Tariffs Jul2023'!AJ31)</f>
        <v>257.72727272727275</v>
      </c>
      <c r="K37" s="59">
        <f>IF($C$5*'Tariffs Jul2023'!AL31/'Tariffs Jul2023'!AJ31&lt;'Tariffs Jul2023'!J31,0,IF($C$5*'Tariffs Jul2023'!AL31/'Tariffs Jul2023'!AJ31&lt;='Tariffs Jul2023'!K31,($C$5*'Tariffs Jul2023'!AL31/'Tariffs Jul2023'!AJ31-'Tariffs Jul2023'!J31)*('Tariffs Jul2023'!V31/100)*'Tariffs Jul2023'!AJ31,('Tariffs Jul2023'!K31-'Tariffs Jul2023'!J31)*('Tariffs Jul2023'!V31/100)*'Tariffs Jul2023'!AJ31))</f>
        <v>225</v>
      </c>
      <c r="L37" s="59">
        <f>IF($C$5*'Tariffs Jul2023'!AL31/'Tariffs Jul2023'!AJ31&lt;'Tariffs Jul2023'!K31,0,IF($C$5*'Tariffs Jul2023'!AL31/'Tariffs Jul2023'!AJ31&lt;='Tariffs Jul2023'!L31,($C$5*'Tariffs Jul2023'!AL31/'Tariffs Jul2023'!AJ31-'Tariffs Jul2023'!K31)*('Tariffs Jul2023'!W31/100)*'Tariffs Jul2023'!AJ31,('Tariffs Jul2023'!L31-'Tariffs Jul2023'!K31)*('Tariffs Jul2023'!W31/100)*'Tariffs Jul2023'!AJ31))</f>
        <v>184.90909090909091</v>
      </c>
      <c r="M37" s="59">
        <f>IF($C$5*'Tariffs Jul2023'!AL31/'Tariffs Jul2023'!AJ31&lt;'Tariffs Jul2023'!L31,0,IF($C$5*'Tariffs Jul2023'!AL31/'Tariffs Jul2023'!AJ31&lt;='Tariffs Jul2023'!M31,($C$5*'Tariffs Jul2023'!AL31/'Tariffs Jul2023'!AJ31-'Tariffs Jul2023'!L31)*('Tariffs Jul2023'!X31/100)*'Tariffs Jul2023'!AJ31,('Tariffs Jul2023'!M31-'Tariffs Jul2023'!L31)*('Tariffs Jul2023'!X31/100)*'Tariffs Jul2023'!AJ31))</f>
        <v>78.136363636363626</v>
      </c>
      <c r="N37" s="59">
        <f>IF(($C$5*'Tariffs Jul2023'!AL31/'Tariffs Jul2023'!AJ31&gt;'Tariffs Jul2023'!M31),($C$5*'Tariffs Jul2023'!AL31/'Tariffs Jul2023'!AJ31-'Tariffs Jul2023'!M31)*'Tariffs Jul2023'!Y31/100*'Tariffs Jul2023'!AJ31,0)</f>
        <v>0</v>
      </c>
      <c r="O37" s="59">
        <f t="shared" ref="O37:O39" si="42">SUM(E37:N37)</f>
        <v>1539.409090909091</v>
      </c>
      <c r="P37" s="503">
        <f t="shared" ref="P37" si="43">O37*1.1</f>
        <v>1693.3500000000001</v>
      </c>
      <c r="Q37" s="59">
        <f>D37+O37</f>
        <v>1789.2018181818182</v>
      </c>
      <c r="R37" s="272">
        <f t="shared" ref="R37" si="44">Q37*1.1</f>
        <v>1968.1220000000003</v>
      </c>
      <c r="S37" s="40">
        <f>'Tariffs Jul2023'!AN31</f>
        <v>0</v>
      </c>
      <c r="T37" s="40">
        <f>'Tariffs Jul2023'!AO31</f>
        <v>0</v>
      </c>
      <c r="U37" s="40">
        <f>'Tariffs Jul2023'!AP31</f>
        <v>0</v>
      </c>
      <c r="V37" s="637">
        <f>'Tariffs Jul2023'!AQ31</f>
        <v>0</v>
      </c>
      <c r="W37" s="578" t="str">
        <f t="shared" ref="W37" si="45">IF(SUM(S37:V37)=0,"No discount",IF(S37&gt;0,"Guaranteed off bill",IF(T37&gt;0,"Guaranteed off usage",IF(U37&gt;0,"Pay-on-time off bill","Pay-on-time off usage"))))</f>
        <v>No discount</v>
      </c>
      <c r="X37" s="538" t="str">
        <f t="shared" ref="X37" si="46">IF(OR(A37="Origin Energy",A37="Red Energy",A37="Powershop"),"Inclusive","Exclusive")</f>
        <v>Exclusive</v>
      </c>
      <c r="Y37" s="535">
        <f t="shared" ref="Y37" si="47">IF(AND(W37="Guaranteed off bill",X37="Inclusive"),((Q37*1.1)-((Q37*1.1)*S37/100))/1.1,IF(AND(W37="Guaranteed off usage",X37="Inclusive"),((Q37*1.1)-((P37*1.1)*T37/100))/1.1,IF(AND(W37="Guaranteed off bill",X37="Exclusive"),Q37-(Q37*S37/100),IF(AND(W37="Guaranteed off usage",X37="Exclusive"),Q37-(P37*T37/100),IF(X37="Inclusive",((Q37*1.1))/1.1,Q37)))))</f>
        <v>1789.2018181818182</v>
      </c>
      <c r="Z37" s="535">
        <f t="shared" ref="Z37" si="48">IF(AND(W37="Pay-on-time off bill",X37="Inclusive"),((Y37*1.1)-((Y37*1.1)*U37/100))/1.1,IF(AND(W37="Pay-on-time off usage",X37="Inclusive"),((Y37*1.1)-((P37*1.1)*V37/100))/1.1,IF(AND(W37="Pay-on-time off bill",X37="Exclusive"),Y37-(Y37*U37/100),IF(AND(W37="Pay-on-time off usage",X37="Exclusive"),Y37-(P37*V37/100),IF(X37="Inclusive",((Y37*1.1))/1.1,Y37)))))</f>
        <v>1789.2018181818182</v>
      </c>
      <c r="AA37" s="542">
        <f t="shared" ref="AA37" si="49">Y37*1.1</f>
        <v>1968.1220000000003</v>
      </c>
      <c r="AB37" s="609">
        <f t="shared" ref="AB37" si="50">Z37*1.1</f>
        <v>1968.1220000000003</v>
      </c>
      <c r="AC37" s="625"/>
      <c r="AD37" s="625"/>
      <c r="AE37" s="625"/>
      <c r="AF37" s="625"/>
      <c r="AG37" s="625"/>
      <c r="AH37" s="625"/>
      <c r="AI37" s="625"/>
      <c r="AJ37" s="625"/>
      <c r="AK37" s="625"/>
      <c r="AL37" s="625"/>
      <c r="AM37" s="625"/>
      <c r="AN37" s="625"/>
      <c r="AO37" s="625"/>
      <c r="AP37" s="625"/>
      <c r="AQ37" s="625"/>
      <c r="AR37" s="625"/>
      <c r="AS37" s="625"/>
      <c r="AT37" s="625"/>
    </row>
    <row r="38" spans="1:46" ht="14" x14ac:dyDescent="0.15">
      <c r="A38" s="270" t="str">
        <f>'Tariffs Jul2023'!F32</f>
        <v>Powershop</v>
      </c>
      <c r="B38" s="40" t="str">
        <f>'Tariffs Jul2023'!D32</f>
        <v>Multinet Metro 2</v>
      </c>
      <c r="C38" s="40" t="str">
        <f>'Tariffs Jul2023'!G32</f>
        <v>Carbon Neutral</v>
      </c>
      <c r="D38" s="59">
        <f>365*'Tariffs Jul2023'!H32/100</f>
        <v>304.21090909090907</v>
      </c>
      <c r="E38" s="59">
        <f>((C$5*'Tariffs Jul2023'!AK32/'Tariffs Jul2023'!AI32)*('Tariffs Jul2023'!O32/100))*'Tariffs Jul2023'!AI32</f>
        <v>996.5454545454545</v>
      </c>
      <c r="F38" s="59">
        <v>0</v>
      </c>
      <c r="G38" s="59">
        <v>0</v>
      </c>
      <c r="H38" s="59">
        <v>0</v>
      </c>
      <c r="I38" s="69">
        <v>0</v>
      </c>
      <c r="J38" s="69">
        <f>((C$5*'Tariffs Jul2023'!AL32/'Tariffs Jul2023'!AJ32)*('Tariffs Jul2023'!U32/100))*'Tariffs Jul2023'!AJ32</f>
        <v>996.5454545454545</v>
      </c>
      <c r="K38" s="69">
        <v>0</v>
      </c>
      <c r="L38" s="69">
        <v>0</v>
      </c>
      <c r="M38" s="69">
        <v>0</v>
      </c>
      <c r="N38" s="69">
        <v>0</v>
      </c>
      <c r="O38" s="59">
        <f t="shared" si="42"/>
        <v>1993.090909090909</v>
      </c>
      <c r="P38" s="503">
        <f t="shared" ref="P38:P39" si="51">O38*1.1</f>
        <v>2192.4</v>
      </c>
      <c r="Q38" s="59">
        <f t="shared" ref="Q38:Q39" si="52">D38+O38</f>
        <v>2297.3018181818179</v>
      </c>
      <c r="R38" s="272">
        <f t="shared" ref="R38:R39" si="53">Q38*1.1</f>
        <v>2527.0319999999997</v>
      </c>
      <c r="S38" s="40">
        <f>'Tariffs Jul2023'!AN32</f>
        <v>0</v>
      </c>
      <c r="T38" s="40">
        <f>'Tariffs Jul2023'!AO32</f>
        <v>0</v>
      </c>
      <c r="U38" s="40">
        <f>'Tariffs Jul2023'!AP32</f>
        <v>0</v>
      </c>
      <c r="V38" s="637">
        <f>'Tariffs Jul2023'!AQ32</f>
        <v>0</v>
      </c>
      <c r="W38" s="578" t="str">
        <f t="shared" ref="W38:W39" si="54">IF(SUM(S38:V38)=0,"No discount",IF(S38&gt;0,"Guaranteed off bill",IF(T38&gt;0,"Guaranteed off usage",IF(U38&gt;0,"Pay-on-time off bill","Pay-on-time off usage"))))</f>
        <v>No discount</v>
      </c>
      <c r="X38" s="538" t="str">
        <f t="shared" ref="X38:X39" si="55">IF(OR(A38="Origin Energy",A38="Red Energy",A38="Powershop"),"Inclusive","Exclusive")</f>
        <v>Inclusive</v>
      </c>
      <c r="Y38" s="535">
        <f t="shared" ref="Y38:Y39" si="56">IF(AND(W38="Guaranteed off bill",X38="Inclusive"),((Q38*1.1)-((Q38*1.1)*S38/100))/1.1,IF(AND(W38="Guaranteed off usage",X38="Inclusive"),((Q38*1.1)-((P38*1.1)*T38/100))/1.1,IF(AND(W38="Guaranteed off bill",X38="Exclusive"),Q38-(Q38*S38/100),IF(AND(W38="Guaranteed off usage",X38="Exclusive"),Q38-(P38*T38/100),IF(X38="Inclusive",((Q38*1.1))/1.1,Q38)))))</f>
        <v>2297.3018181818179</v>
      </c>
      <c r="Z38" s="535">
        <f t="shared" ref="Z38:Z39" si="57">IF(AND(W38="Pay-on-time off bill",X38="Inclusive"),((Y38*1.1)-((Y38*1.1)*U38/100))/1.1,IF(AND(W38="Pay-on-time off usage",X38="Inclusive"),((Y38*1.1)-((P38*1.1)*V38/100))/1.1,IF(AND(W38="Pay-on-time off bill",X38="Exclusive"),Y38-(Y38*U38/100),IF(AND(W38="Pay-on-time off usage",X38="Exclusive"),Y38-(P38*V38/100),IF(X38="Inclusive",((Y38*1.1))/1.1,Y38)))))</f>
        <v>2297.3018181818179</v>
      </c>
      <c r="AA38" s="542">
        <f t="shared" ref="AA38:AA39" si="58">Y38*1.1</f>
        <v>2527.0319999999997</v>
      </c>
      <c r="AB38" s="609">
        <f t="shared" ref="AB38:AB39" si="59">Z38*1.1</f>
        <v>2527.0319999999997</v>
      </c>
      <c r="AC38" s="625"/>
      <c r="AD38" s="625"/>
      <c r="AE38" s="625"/>
      <c r="AF38" s="625"/>
      <c r="AG38" s="625"/>
      <c r="AH38" s="625"/>
      <c r="AI38" s="625"/>
      <c r="AJ38" s="625"/>
      <c r="AK38" s="625"/>
      <c r="AL38" s="625"/>
      <c r="AM38" s="625"/>
      <c r="AN38" s="625"/>
      <c r="AO38" s="625"/>
      <c r="AP38" s="625"/>
      <c r="AQ38" s="625"/>
      <c r="AR38" s="625"/>
      <c r="AS38" s="625"/>
      <c r="AT38" s="625"/>
    </row>
    <row r="39" spans="1:46" ht="15" thickBot="1" x14ac:dyDescent="0.2">
      <c r="A39" s="276" t="str">
        <f>'Tariffs Jul2023'!F33</f>
        <v>Kogan</v>
      </c>
      <c r="B39" s="277" t="str">
        <f>'Tariffs Jul2023'!D33</f>
        <v>Multinet Metro 2</v>
      </c>
      <c r="C39" s="277" t="str">
        <f>'Tariffs Jul2023'!G33</f>
        <v>First</v>
      </c>
      <c r="D39" s="278">
        <f>365*'Tariffs Jul2023'!H33/100</f>
        <v>304.21090909090907</v>
      </c>
      <c r="E39" s="278">
        <f>((C$5*'Tariffs Jul2023'!AK33/'Tariffs Jul2023'!AI33)*('Tariffs Jul2023'!O33/100))*'Tariffs Jul2023'!AI33</f>
        <v>996.5454545454545</v>
      </c>
      <c r="F39" s="278">
        <v>0</v>
      </c>
      <c r="G39" s="278">
        <v>0</v>
      </c>
      <c r="H39" s="278">
        <v>0</v>
      </c>
      <c r="I39" s="547">
        <v>0</v>
      </c>
      <c r="J39" s="547">
        <f>((C$5*'Tariffs Jul2023'!AL33/'Tariffs Jul2023'!AJ33)*('Tariffs Jul2023'!U33/100))*'Tariffs Jul2023'!AJ33</f>
        <v>996.5454545454545</v>
      </c>
      <c r="K39" s="547">
        <v>0</v>
      </c>
      <c r="L39" s="547">
        <v>0</v>
      </c>
      <c r="M39" s="547">
        <v>0</v>
      </c>
      <c r="N39" s="547">
        <v>0</v>
      </c>
      <c r="O39" s="278">
        <f t="shared" si="42"/>
        <v>1993.090909090909</v>
      </c>
      <c r="P39" s="504">
        <f t="shared" si="51"/>
        <v>2192.4</v>
      </c>
      <c r="Q39" s="278">
        <f t="shared" si="52"/>
        <v>2297.3018181818179</v>
      </c>
      <c r="R39" s="280">
        <f t="shared" si="53"/>
        <v>2527.0319999999997</v>
      </c>
      <c r="S39" s="277">
        <f>'Tariffs Jul2023'!AN33</f>
        <v>0</v>
      </c>
      <c r="T39" s="277">
        <f>'Tariffs Jul2023'!AO33</f>
        <v>0</v>
      </c>
      <c r="U39" s="277">
        <f>'Tariffs Jul2023'!AP33</f>
        <v>0</v>
      </c>
      <c r="V39" s="638">
        <f>'Tariffs Jul2023'!AQ33</f>
        <v>0</v>
      </c>
      <c r="W39" s="585" t="str">
        <f t="shared" si="54"/>
        <v>No discount</v>
      </c>
      <c r="X39" s="541" t="str">
        <f t="shared" si="55"/>
        <v>Exclusive</v>
      </c>
      <c r="Y39" s="544">
        <f t="shared" si="56"/>
        <v>2297.3018181818179</v>
      </c>
      <c r="Z39" s="544">
        <f t="shared" si="57"/>
        <v>2297.3018181818179</v>
      </c>
      <c r="AA39" s="545">
        <f t="shared" si="58"/>
        <v>2527.0319999999997</v>
      </c>
      <c r="AB39" s="610">
        <f t="shared" si="59"/>
        <v>2527.0319999999997</v>
      </c>
      <c r="AC39" s="625"/>
      <c r="AD39" s="625"/>
      <c r="AE39" s="625"/>
      <c r="AF39" s="625"/>
      <c r="AG39" s="625"/>
      <c r="AH39" s="625"/>
      <c r="AI39" s="625"/>
      <c r="AJ39" s="625"/>
      <c r="AK39" s="625"/>
      <c r="AL39" s="625"/>
      <c r="AM39" s="625"/>
      <c r="AN39" s="625"/>
      <c r="AO39" s="625"/>
      <c r="AP39" s="625"/>
      <c r="AQ39" s="625"/>
      <c r="AR39" s="625"/>
      <c r="AS39" s="625"/>
      <c r="AT39" s="625"/>
    </row>
    <row r="40" spans="1:46" ht="15" thickTop="1" x14ac:dyDescent="0.15">
      <c r="A40" s="270" t="str">
        <f>'Tariffs Jul2023'!F34</f>
        <v>AGL</v>
      </c>
      <c r="B40" s="40" t="str">
        <f>'Tariffs Jul2023'!D34</f>
        <v>AGN North</v>
      </c>
      <c r="C40" s="40" t="str">
        <f>'Tariffs Jul2023'!G34</f>
        <v>Value Saver</v>
      </c>
      <c r="D40" s="59">
        <f>365*'Tariffs Jul2023'!H34/100</f>
        <v>279.98818181818183</v>
      </c>
      <c r="E40" s="59">
        <f>IF($C$5*'Tariffs Jul2023'!AK34/'Tariffs Jul2023'!AI34&gt;='Tariffs Jul2023'!J34,( 'Tariffs Jul2023'!J34*'Tariffs Jul2023'!O34/100)* 'Tariffs Jul2023'!AI34,($C$5*'Tariffs Jul2023'!AK34/'Tariffs Jul2023'!AI34*'Tariffs Jul2023'!O34/100)* 'Tariffs Jul2023'!AI34)</f>
        <v>165.09818181818181</v>
      </c>
      <c r="F40" s="59">
        <f>IF($C$5*'Tariffs Jul2023'!AK34/'Tariffs Jul2023'!AI34&lt;'Tariffs Jul2023'!J34,0,IF($C$5*'Tariffs Jul2023'!AK34/'Tariffs Jul2023'!AI34&lt;='Tariffs Jul2023'!K34,($C$5*'Tariffs Jul2023'!AK34/'Tariffs Jul2023'!AI34-'Tariffs Jul2023'!J34)*('Tariffs Jul2023'!P34/100)*'Tariffs Jul2023'!AI34,('Tariffs Jul2023'!K34-'Tariffs Jul2023'!J34)*('Tariffs Jul2023'!P34/100)*'Tariffs Jul2023'!AI34))</f>
        <v>125.64545454545453</v>
      </c>
      <c r="G40" s="59">
        <f>IF($C$5*'Tariffs Jul2023'!AK34/'Tariffs Jul2023'!AI34&lt;'Tariffs Jul2023'!K34,0,IF($C$5*'Tariffs Jul2023'!AK34/'Tariffs Jul2023'!AI34&lt;='Tariffs Jul2023'!L34,($C$5*'Tariffs Jul2023'!AK34/'Tariffs Jul2023'!AI34-'Tariffs Jul2023'!K34)*('Tariffs Jul2023'!Q34/100)*'Tariffs Jul2023'!AI34,('Tariffs Jul2023'!L34-'Tariffs Jul2023'!K34)*('Tariffs Jul2023'!Q34/100)*'Tariffs Jul2023'!AI34))</f>
        <v>0</v>
      </c>
      <c r="H40" s="59">
        <f>IF($C$5*'Tariffs Jul2023'!AK34/'Tariffs Jul2023'!AI34&lt;'Tariffs Jul2023'!L34,0,IF($C$5*'Tariffs Jul2023'!AK34/'Tariffs Jul2023'!AI34&lt;='Tariffs Jul2023'!M34,($C$5*'Tariffs Jul2023'!AK34/'Tariffs Jul2023'!AI34-'Tariffs Jul2023'!L34)*('Tariffs Jul2023'!R34/100)*'Tariffs Jul2023'!AI34,('Tariffs Jul2023'!M34-'Tariffs Jul2023'!L34)*('Tariffs Jul2023'!R34/100)*'Tariffs Jul2023'!AI34))</f>
        <v>0</v>
      </c>
      <c r="I40" s="59">
        <f>IF(($C$5*'Tariffs Jul2023'!AK34/'Tariffs Jul2023'!AI34&gt;'Tariffs Jul2023'!M34),($C$5*'Tariffs Jul2023'!AK34/'Tariffs Jul2023'!AI34-'Tariffs Jul2023'!M34)*'Tariffs Jul2023'!S34/100*'Tariffs Jul2023'!AI34,0)</f>
        <v>546.13636363636363</v>
      </c>
      <c r="J40" s="59">
        <f>IF($C$5*'Tariffs Jul2023'!AL34/'Tariffs Jul2023'!AJ34&gt;='Tariffs Jul2023'!J34,('Tariffs Jul2023'!J34*'Tariffs Jul2023'!U34/100)* 'Tariffs Jul2023'!AJ34,($C$5*'Tariffs Jul2023'!AL34/'Tariffs Jul2023'!AJ34*'Tariffs Jul2023'!U34/100)* 'Tariffs Jul2023'!AJ34)</f>
        <v>165.09818181818181</v>
      </c>
      <c r="K40" s="59">
        <f>IF($C$5*'Tariffs Jul2023'!AL34/'Tariffs Jul2023'!AJ34&lt;'Tariffs Jul2023'!J34,0,IF($C$5*'Tariffs Jul2023'!AL34/'Tariffs Jul2023'!AJ34&lt;='Tariffs Jul2023'!K34,($C$5*'Tariffs Jul2023'!AL34/'Tariffs Jul2023'!AJ34-'Tariffs Jul2023'!J34)*('Tariffs Jul2023'!V34/100)*'Tariffs Jul2023'!AJ34,('Tariffs Jul2023'!K34-'Tariffs Jul2023'!J34)*('Tariffs Jul2023'!V34/100)*'Tariffs Jul2023'!AJ34))</f>
        <v>125.64545454545453</v>
      </c>
      <c r="L40" s="59">
        <f>IF($C$5*'Tariffs Jul2023'!AL34/'Tariffs Jul2023'!AJ34&lt;'Tariffs Jul2023'!K34,0,IF($C$5*'Tariffs Jul2023'!AL34/'Tariffs Jul2023'!AJ34&lt;='Tariffs Jul2023'!L34,($C$5*'Tariffs Jul2023'!AL34/'Tariffs Jul2023'!AJ34-'Tariffs Jul2023'!K34)*('Tariffs Jul2023'!W34/100)*'Tariffs Jul2023'!AJ34,('Tariffs Jul2023'!L34-'Tariffs Jul2023'!K34)*('Tariffs Jul2023'!W34/100)*'Tariffs Jul2023'!AJ34))</f>
        <v>0</v>
      </c>
      <c r="M40" s="59">
        <f>IF($C$5*'Tariffs Jul2023'!AL34/'Tariffs Jul2023'!AJ34&lt;'Tariffs Jul2023'!L34,0,IF($C$5*'Tariffs Jul2023'!AL34/'Tariffs Jul2023'!AJ34&lt;='Tariffs Jul2023'!M34,($C$5*'Tariffs Jul2023'!AL34/'Tariffs Jul2023'!AJ34-'Tariffs Jul2023'!L34)*('Tariffs Jul2023'!X34/100)*'Tariffs Jul2023'!AJ34,('Tariffs Jul2023'!M34-'Tariffs Jul2023'!L34)*('Tariffs Jul2023'!X34/100)*'Tariffs Jul2023'!AJ34))</f>
        <v>0</v>
      </c>
      <c r="N40" s="59">
        <f>IF(($C$5*'Tariffs Jul2023'!AL34/'Tariffs Jul2023'!AJ34&gt;'Tariffs Jul2023'!M34),($C$5*'Tariffs Jul2023'!AL34/'Tariffs Jul2023'!AJ34-'Tariffs Jul2023'!M34)*'Tariffs Jul2023'!Y34/100*'Tariffs Jul2023'!AJ34,0)</f>
        <v>546.13636363636363</v>
      </c>
      <c r="O40" s="59">
        <f t="shared" si="1"/>
        <v>1673.7599999999998</v>
      </c>
      <c r="P40" s="503">
        <f t="shared" si="2"/>
        <v>1841.136</v>
      </c>
      <c r="Q40" s="59">
        <f t="shared" si="3"/>
        <v>1953.7481818181816</v>
      </c>
      <c r="R40" s="272">
        <f t="shared" si="4"/>
        <v>2149.123</v>
      </c>
      <c r="S40" s="40">
        <f>'Tariffs Jul2023'!AN34</f>
        <v>0</v>
      </c>
      <c r="T40" s="40">
        <f>'Tariffs Jul2023'!AO34</f>
        <v>0</v>
      </c>
      <c r="U40" s="40">
        <f>'Tariffs Jul2023'!AP34</f>
        <v>0</v>
      </c>
      <c r="V40" s="637">
        <f>'Tariffs Jul2023'!AQ34</f>
        <v>0</v>
      </c>
      <c r="W40" s="578" t="str">
        <f>IF(SUM(S40:V40)=0,"No discount",IF(S40&gt;0,"Guaranteed off bill",IF(T40&gt;0,"Guaranteed off usage",IF(U40&gt;0,"Pay-on-time off bill","Pay-on-time off usage"))))</f>
        <v>No discount</v>
      </c>
      <c r="X40" s="538" t="str">
        <f>IF(OR(A40="Origin Energy",A40="Red Energy",A40="Powershop"),"Inclusive","Exclusive")</f>
        <v>Exclusive</v>
      </c>
      <c r="Y40" s="535">
        <f>IF(AND(W40="Guaranteed off bill",X40="Inclusive"),((Q40*1.1)-((Q40*1.1)*S40/100))/1.1,IF(AND(W40="Guaranteed off usage",X40="Inclusive"),((Q40*1.1)-((P40*1.1)*T40/100))/1.1,IF(AND(W40="Guaranteed off bill",X40="Exclusive"),Q40-(Q40*S40/100),IF(AND(W40="Guaranteed off usage",X40="Exclusive"),Q40-(P40*T40/100),IF(X40="Inclusive",((Q40*1.1))/1.1,Q40)))))</f>
        <v>1953.7481818181816</v>
      </c>
      <c r="Z40" s="535">
        <f>IF(AND(W40="Pay-on-time off bill",X40="Inclusive"),((Y40*1.1)-((Y40*1.1)*U40/100))/1.1,IF(AND(W40="Pay-on-time off usage",X40="Inclusive"),((Y40*1.1)-((P40*1.1)*V40/100))/1.1,IF(AND(W40="Pay-on-time off bill",X40="Exclusive"),Y40-(Y40*U40/100),IF(AND(W40="Pay-on-time off usage",X40="Exclusive"),Y40-(P40*V40/100),IF(X40="Inclusive",((Y40*1.1))/1.1,Y40)))))</f>
        <v>1953.7481818181816</v>
      </c>
      <c r="AA40" s="542">
        <f t="shared" si="37"/>
        <v>2149.123</v>
      </c>
      <c r="AB40" s="609">
        <f t="shared" si="37"/>
        <v>2149.123</v>
      </c>
      <c r="AC40" s="625"/>
      <c r="AD40" s="625"/>
      <c r="AE40" s="625"/>
      <c r="AF40" s="625"/>
      <c r="AG40" s="625"/>
      <c r="AH40" s="625"/>
      <c r="AI40" s="625"/>
      <c r="AJ40" s="625"/>
      <c r="AK40" s="625"/>
      <c r="AL40" s="625"/>
      <c r="AM40" s="625"/>
      <c r="AN40" s="625"/>
      <c r="AO40" s="625"/>
      <c r="AP40" s="625"/>
      <c r="AQ40" s="625"/>
      <c r="AR40" s="625"/>
      <c r="AS40" s="625"/>
      <c r="AT40" s="625"/>
    </row>
    <row r="41" spans="1:46" ht="14" x14ac:dyDescent="0.15">
      <c r="A41" s="270" t="str">
        <f>'Tariffs Jul2023'!F35</f>
        <v>Alinta Energy</v>
      </c>
      <c r="B41" s="40" t="str">
        <f>'Tariffs Jul2023'!D35</f>
        <v>AGN North</v>
      </c>
      <c r="C41" s="40" t="str">
        <f>'Tariffs Jul2023'!G35</f>
        <v>Home Deal</v>
      </c>
      <c r="D41" s="59">
        <f>365*'Tariffs Jul2023'!H35/100</f>
        <v>272.72136363636361</v>
      </c>
      <c r="E41" s="59">
        <f>IF($C$5*'Tariffs Jul2023'!AK35/'Tariffs Jul2023'!AI35&gt;='Tariffs Jul2023'!J35,( 'Tariffs Jul2023'!J35*'Tariffs Jul2023'!O35/100)* 'Tariffs Jul2023'!AI35,($C$5*'Tariffs Jul2023'!AK35/'Tariffs Jul2023'!AI35*'Tariffs Jul2023'!O35/100)* 'Tariffs Jul2023'!AI35)</f>
        <v>164.20090909090908</v>
      </c>
      <c r="F41" s="59">
        <f>IF($C$5*'Tariffs Jul2023'!AK35/'Tariffs Jul2023'!AI35&lt;'Tariffs Jul2023'!J35,0,IF($C$5*'Tariffs Jul2023'!AK35/'Tariffs Jul2023'!AI35&lt;='Tariffs Jul2023'!K35,($C$5*'Tariffs Jul2023'!AK35/'Tariffs Jul2023'!AI35-'Tariffs Jul2023'!J35)*('Tariffs Jul2023'!P35/100)*'Tariffs Jul2023'!AI35,('Tariffs Jul2023'!K35-'Tariffs Jul2023'!J35)*('Tariffs Jul2023'!P35/100)*'Tariffs Jul2023'!AI35))</f>
        <v>135.25363636363636</v>
      </c>
      <c r="G41" s="59">
        <f>IF($C$5*'Tariffs Jul2023'!AK35/'Tariffs Jul2023'!AI35&lt;'Tariffs Jul2023'!K35,0,IF($C$5*'Tariffs Jul2023'!AK35/'Tariffs Jul2023'!AI35&lt;='Tariffs Jul2023'!L35,($C$5*'Tariffs Jul2023'!AK35/'Tariffs Jul2023'!AI35-'Tariffs Jul2023'!K35)*('Tariffs Jul2023'!Q35/100)*'Tariffs Jul2023'!AI35,('Tariffs Jul2023'!L35-'Tariffs Jul2023'!K35)*('Tariffs Jul2023'!Q35/100)*'Tariffs Jul2023'!AI35))</f>
        <v>0</v>
      </c>
      <c r="H41" s="59">
        <f>IF($C$5*'Tariffs Jul2023'!AK35/'Tariffs Jul2023'!AI35&lt;'Tariffs Jul2023'!L35,0,IF($C$5*'Tariffs Jul2023'!AK35/'Tariffs Jul2023'!AI35&lt;='Tariffs Jul2023'!M35,($C$5*'Tariffs Jul2023'!AK35/'Tariffs Jul2023'!AI35-'Tariffs Jul2023'!L35)*('Tariffs Jul2023'!R35/100)*'Tariffs Jul2023'!AI35,('Tariffs Jul2023'!M35-'Tariffs Jul2023'!L35)*('Tariffs Jul2023'!R35/100)*'Tariffs Jul2023'!AI35))</f>
        <v>0</v>
      </c>
      <c r="I41" s="59">
        <f>IF(($C$5*'Tariffs Jul2023'!AK35/'Tariffs Jul2023'!AI35&gt;'Tariffs Jul2023'!M35),($C$5*'Tariffs Jul2023'!AK35/'Tariffs Jul2023'!AI35-'Tariffs Jul2023'!M35)*'Tariffs Jul2023'!S35/100*'Tariffs Jul2023'!AI35,0)</f>
        <v>660.68181818181813</v>
      </c>
      <c r="J41" s="59">
        <f>IF($C$5*'Tariffs Jul2023'!AL35/'Tariffs Jul2023'!AJ35&gt;='Tariffs Jul2023'!J35,('Tariffs Jul2023'!J35*'Tariffs Jul2023'!U35/100)* 'Tariffs Jul2023'!AJ35,($C$5*'Tariffs Jul2023'!AL35/'Tariffs Jul2023'!AJ35*'Tariffs Jul2023'!U35/100)* 'Tariffs Jul2023'!AJ35)</f>
        <v>164.20090909090908</v>
      </c>
      <c r="K41" s="59">
        <f>IF($C$5*'Tariffs Jul2023'!AL35/'Tariffs Jul2023'!AJ35&lt;'Tariffs Jul2023'!J35,0,IF($C$5*'Tariffs Jul2023'!AL35/'Tariffs Jul2023'!AJ35&lt;='Tariffs Jul2023'!K35,($C$5*'Tariffs Jul2023'!AL35/'Tariffs Jul2023'!AJ35-'Tariffs Jul2023'!J35)*('Tariffs Jul2023'!V35/100)*'Tariffs Jul2023'!AJ35,('Tariffs Jul2023'!K35-'Tariffs Jul2023'!J35)*('Tariffs Jul2023'!V35/100)*'Tariffs Jul2023'!AJ35))</f>
        <v>135.25363636363636</v>
      </c>
      <c r="L41" s="59">
        <f>IF($C$5*'Tariffs Jul2023'!AL35/'Tariffs Jul2023'!AJ35&lt;'Tariffs Jul2023'!K35,0,IF($C$5*'Tariffs Jul2023'!AL35/'Tariffs Jul2023'!AJ35&lt;='Tariffs Jul2023'!L35,($C$5*'Tariffs Jul2023'!AL35/'Tariffs Jul2023'!AJ35-'Tariffs Jul2023'!K35)*('Tariffs Jul2023'!W35/100)*'Tariffs Jul2023'!AJ35,('Tariffs Jul2023'!L35-'Tariffs Jul2023'!K35)*('Tariffs Jul2023'!W35/100)*'Tariffs Jul2023'!AJ35))</f>
        <v>0</v>
      </c>
      <c r="M41" s="59">
        <f>IF($C$5*'Tariffs Jul2023'!AL35/'Tariffs Jul2023'!AJ35&lt;'Tariffs Jul2023'!L35,0,IF($C$5*'Tariffs Jul2023'!AL35/'Tariffs Jul2023'!AJ35&lt;='Tariffs Jul2023'!M35,($C$5*'Tariffs Jul2023'!AL35/'Tariffs Jul2023'!AJ35-'Tariffs Jul2023'!L35)*('Tariffs Jul2023'!X35/100)*'Tariffs Jul2023'!AJ35,('Tariffs Jul2023'!M35-'Tariffs Jul2023'!L35)*('Tariffs Jul2023'!X35/100)*'Tariffs Jul2023'!AJ35))</f>
        <v>0</v>
      </c>
      <c r="N41" s="59">
        <f>IF(($C$5*'Tariffs Jul2023'!AL35/'Tariffs Jul2023'!AJ35&gt;'Tariffs Jul2023'!M35),($C$5*'Tariffs Jul2023'!AL35/'Tariffs Jul2023'!AJ35-'Tariffs Jul2023'!M35)*'Tariffs Jul2023'!Y35/100*'Tariffs Jul2023'!AJ35,0)</f>
        <v>660.68181818181813</v>
      </c>
      <c r="O41" s="59">
        <f t="shared" si="1"/>
        <v>1920.272727272727</v>
      </c>
      <c r="P41" s="503">
        <f t="shared" si="2"/>
        <v>2112.2999999999997</v>
      </c>
      <c r="Q41" s="59">
        <f t="shared" si="3"/>
        <v>2192.9940909090906</v>
      </c>
      <c r="R41" s="272">
        <f t="shared" si="4"/>
        <v>2412.2934999999998</v>
      </c>
      <c r="S41" s="40">
        <f>'Tariffs Jul2023'!AN35</f>
        <v>0</v>
      </c>
      <c r="T41" s="40">
        <f>'Tariffs Jul2023'!AO35</f>
        <v>0</v>
      </c>
      <c r="U41" s="40">
        <f>'Tariffs Jul2023'!AP35</f>
        <v>0</v>
      </c>
      <c r="V41" s="637">
        <f>'Tariffs Jul2023'!AQ35</f>
        <v>0</v>
      </c>
      <c r="W41" s="578" t="str">
        <f t="shared" ref="W41:W52" si="60">IF(SUM(S41:V41)=0,"No discount",IF(S41&gt;0,"Guaranteed off bill",IF(T41&gt;0,"Guaranteed off usage",IF(U41&gt;0,"Pay-on-time off bill","Pay-on-time off usage"))))</f>
        <v>No discount</v>
      </c>
      <c r="X41" s="538" t="str">
        <f t="shared" ref="X41:X52" si="61">IF(OR(A41="Origin Energy",A41="Red Energy",A41="Powershop"),"Inclusive","Exclusive")</f>
        <v>Exclusive</v>
      </c>
      <c r="Y41" s="535">
        <f>IF(AND(W41="Guaranteed off bill",X41="Inclusive"),((Q41*1.1)-((Q41*1.1)*S41/100))/1.1,IF(AND(W41="Guaranteed off usage",X41="Inclusive"),((Q41*1.1)-((P41*1.1)*T41/100))/1.1,IF(AND(W41="Guaranteed off bill",X41="Exclusive"),Q41-(Q41*S41/100),IF(AND(W41="Guaranteed off usage",X41="Exclusive"),Q41-(P41*T41/100),IF(X41="Inclusive",((Q41*1.1))/1.1,Q41)))))</f>
        <v>2192.9940909090906</v>
      </c>
      <c r="Z41" s="535">
        <f>IF(AND(W41="Pay-on-time off bill",X41="Inclusive"),((Y41*1.1)-((Y41*1.1)*U41/100))/1.1,IF(AND(W41="Pay-on-time off usage",X41="Inclusive"),((Y41*1.1)-((P41*1.1)*V41/100))/1.1,IF(AND(W41="Pay-on-time off bill",X41="Exclusive"),Y41-(Y41*U41/100),IF(AND(W41="Pay-on-time off usage",X41="Exclusive"),Y41-(P41*V41/100),IF(X41="Inclusive",((Y41*1.1))/1.1,Y41)))))</f>
        <v>2192.9940909090906</v>
      </c>
      <c r="AA41" s="542">
        <f t="shared" si="37"/>
        <v>2412.2934999999998</v>
      </c>
      <c r="AB41" s="609">
        <f t="shared" si="37"/>
        <v>2412.2934999999998</v>
      </c>
      <c r="AC41" s="625"/>
      <c r="AD41" s="625"/>
      <c r="AE41" s="625"/>
      <c r="AF41" s="625"/>
      <c r="AG41" s="625"/>
      <c r="AH41" s="625"/>
      <c r="AI41" s="625"/>
      <c r="AJ41" s="625"/>
      <c r="AK41" s="625"/>
      <c r="AL41" s="625"/>
      <c r="AM41" s="625"/>
      <c r="AN41" s="625"/>
      <c r="AO41" s="625"/>
      <c r="AP41" s="625"/>
      <c r="AQ41" s="625"/>
      <c r="AR41" s="625"/>
      <c r="AS41" s="625"/>
      <c r="AT41" s="625"/>
    </row>
    <row r="42" spans="1:46" ht="14" x14ac:dyDescent="0.15">
      <c r="A42" s="270" t="str">
        <f>'Tariffs Jul2023'!F36</f>
        <v>Dodo Power &amp; Gas</v>
      </c>
      <c r="B42" s="40" t="str">
        <f>'Tariffs Jul2023'!D36</f>
        <v>AGN North</v>
      </c>
      <c r="C42" s="40" t="str">
        <f>'Tariffs Jul2023'!G36</f>
        <v>Market offer</v>
      </c>
      <c r="D42" s="59">
        <f>365*'Tariffs Jul2023'!H36/100</f>
        <v>261.24045454545455</v>
      </c>
      <c r="E42" s="59">
        <f>IF($C$5*'Tariffs Jul2023'!AK36/'Tariffs Jul2023'!AI36&gt;='Tariffs Jul2023'!J36,( 'Tariffs Jul2023'!J36*'Tariffs Jul2023'!O36/100)* 'Tariffs Jul2023'!AI36,($C$5*'Tariffs Jul2023'!AK36/'Tariffs Jul2023'!AI36*'Tariffs Jul2023'!O36/100)* 'Tariffs Jul2023'!AI36)</f>
        <v>166.4440909090909</v>
      </c>
      <c r="F42" s="59">
        <f>IF($C$5*'Tariffs Jul2023'!AK36/'Tariffs Jul2023'!AI36&lt;'Tariffs Jul2023'!J36,0,IF($C$5*'Tariffs Jul2023'!AK36/'Tariffs Jul2023'!AI36&lt;='Tariffs Jul2023'!K36,($C$5*'Tariffs Jul2023'!AK36/'Tariffs Jul2023'!AI36-'Tariffs Jul2023'!J36)*('Tariffs Jul2023'!P36/100)*'Tariffs Jul2023'!AI36,('Tariffs Jul2023'!K36-'Tariffs Jul2023'!J36)*('Tariffs Jul2023'!P36/100)*'Tariffs Jul2023'!AI36))</f>
        <v>116.03727272727272</v>
      </c>
      <c r="G42" s="59">
        <f>IF($C$5*'Tariffs Jul2023'!AK36/'Tariffs Jul2023'!AI36&lt;'Tariffs Jul2023'!K36,0,IF($C$5*'Tariffs Jul2023'!AK36/'Tariffs Jul2023'!AI36&lt;='Tariffs Jul2023'!L36,($C$5*'Tariffs Jul2023'!AK36/'Tariffs Jul2023'!AI36-'Tariffs Jul2023'!K36)*('Tariffs Jul2023'!Q36/100)*'Tariffs Jul2023'!AI36,('Tariffs Jul2023'!L36-'Tariffs Jul2023'!K36)*('Tariffs Jul2023'!Q36/100)*'Tariffs Jul2023'!AI36))</f>
        <v>0</v>
      </c>
      <c r="H42" s="59">
        <f>IF($C$5*'Tariffs Jul2023'!AK36/'Tariffs Jul2023'!AI36&lt;'Tariffs Jul2023'!L36,0,IF($C$5*'Tariffs Jul2023'!AK36/'Tariffs Jul2023'!AI36&lt;='Tariffs Jul2023'!M36,($C$5*'Tariffs Jul2023'!AK36/'Tariffs Jul2023'!AI36-'Tariffs Jul2023'!L36)*('Tariffs Jul2023'!R36/100)*'Tariffs Jul2023'!AI36,('Tariffs Jul2023'!M36-'Tariffs Jul2023'!L36)*('Tariffs Jul2023'!R36/100)*'Tariffs Jul2023'!AI36))</f>
        <v>0</v>
      </c>
      <c r="I42" s="59">
        <f>IF(($C$5*'Tariffs Jul2023'!AK36/'Tariffs Jul2023'!AI36&gt;'Tariffs Jul2023'!M36),($C$5*'Tariffs Jul2023'!AK36/'Tariffs Jul2023'!AI36-'Tariffs Jul2023'!M36)*'Tariffs Jul2023'!S36/100*'Tariffs Jul2023'!AI36,0)</f>
        <v>556.36363636363626</v>
      </c>
      <c r="J42" s="59">
        <f>IF($C$5*'Tariffs Jul2023'!AL36/'Tariffs Jul2023'!AJ36&gt;='Tariffs Jul2023'!J36,('Tariffs Jul2023'!J36*'Tariffs Jul2023'!U36/100)* 'Tariffs Jul2023'!AJ36,($C$5*'Tariffs Jul2023'!AL36/'Tariffs Jul2023'!AJ36*'Tariffs Jul2023'!U36/100)* 'Tariffs Jul2023'!AJ36)</f>
        <v>166.4440909090909</v>
      </c>
      <c r="K42" s="59">
        <f>IF($C$5*'Tariffs Jul2023'!AL36/'Tariffs Jul2023'!AJ36&lt;'Tariffs Jul2023'!J36,0,IF($C$5*'Tariffs Jul2023'!AL36/'Tariffs Jul2023'!AJ36&lt;='Tariffs Jul2023'!K36,($C$5*'Tariffs Jul2023'!AL36/'Tariffs Jul2023'!AJ36-'Tariffs Jul2023'!J36)*('Tariffs Jul2023'!V36/100)*'Tariffs Jul2023'!AJ36,('Tariffs Jul2023'!K36-'Tariffs Jul2023'!J36)*('Tariffs Jul2023'!V36/100)*'Tariffs Jul2023'!AJ36))</f>
        <v>116.03727272727272</v>
      </c>
      <c r="L42" s="59">
        <f>IF($C$5*'Tariffs Jul2023'!AL36/'Tariffs Jul2023'!AJ36&lt;'Tariffs Jul2023'!K36,0,IF($C$5*'Tariffs Jul2023'!AL36/'Tariffs Jul2023'!AJ36&lt;='Tariffs Jul2023'!L36,($C$5*'Tariffs Jul2023'!AL36/'Tariffs Jul2023'!AJ36-'Tariffs Jul2023'!K36)*('Tariffs Jul2023'!W36/100)*'Tariffs Jul2023'!AJ36,('Tariffs Jul2023'!L36-'Tariffs Jul2023'!K36)*('Tariffs Jul2023'!W36/100)*'Tariffs Jul2023'!AJ36))</f>
        <v>0</v>
      </c>
      <c r="M42" s="59">
        <f>IF($C$5*'Tariffs Jul2023'!AL36/'Tariffs Jul2023'!AJ36&lt;'Tariffs Jul2023'!L36,0,IF($C$5*'Tariffs Jul2023'!AL36/'Tariffs Jul2023'!AJ36&lt;='Tariffs Jul2023'!M36,($C$5*'Tariffs Jul2023'!AL36/'Tariffs Jul2023'!AJ36-'Tariffs Jul2023'!L36)*('Tariffs Jul2023'!X36/100)*'Tariffs Jul2023'!AJ36,('Tariffs Jul2023'!M36-'Tariffs Jul2023'!L36)*('Tariffs Jul2023'!X36/100)*'Tariffs Jul2023'!AJ36))</f>
        <v>0</v>
      </c>
      <c r="N42" s="59">
        <f>IF(($C$5*'Tariffs Jul2023'!AL36/'Tariffs Jul2023'!AJ36&gt;'Tariffs Jul2023'!M36),($C$5*'Tariffs Jul2023'!AL36/'Tariffs Jul2023'!AJ36-'Tariffs Jul2023'!M36)*'Tariffs Jul2023'!Y36/100*'Tariffs Jul2023'!AJ36,0)</f>
        <v>556.36363636363626</v>
      </c>
      <c r="O42" s="59">
        <f t="shared" si="1"/>
        <v>1677.6899999999998</v>
      </c>
      <c r="P42" s="503">
        <f t="shared" si="2"/>
        <v>1845.4590000000001</v>
      </c>
      <c r="Q42" s="59">
        <f t="shared" si="3"/>
        <v>1938.9304545454543</v>
      </c>
      <c r="R42" s="272">
        <f t="shared" si="4"/>
        <v>2132.8235</v>
      </c>
      <c r="S42" s="40">
        <f>'Tariffs Jul2023'!AN36</f>
        <v>0</v>
      </c>
      <c r="T42" s="40">
        <f>'Tariffs Jul2023'!AO36</f>
        <v>0</v>
      </c>
      <c r="U42" s="40">
        <f>'Tariffs Jul2023'!AP36</f>
        <v>0</v>
      </c>
      <c r="V42" s="637">
        <f>'Tariffs Jul2023'!AQ36</f>
        <v>0</v>
      </c>
      <c r="W42" s="578" t="str">
        <f t="shared" si="60"/>
        <v>No discount</v>
      </c>
      <c r="X42" s="538" t="str">
        <f t="shared" si="61"/>
        <v>Exclusive</v>
      </c>
      <c r="Y42" s="535">
        <f>IF(AND(W42="Guaranteed off bill",X42="Inclusive"),((Q42*1.1)-((Q42*1.1)*S42/100))/1.1,IF(AND(W42="Guaranteed off usage",X42="Inclusive"),((Q42*1.1)-((P42*1.1)*T42/100))/1.1,IF(AND(W42="Guaranteed off bill",X42="Exclusive"),Q42-(Q42*S42/100),IF(AND(W42="Guaranteed off usage",X42="Exclusive"),Q42-(P42*T42/100),IF(X42="Inclusive",((Q42*1.1))/1.1,Q42)))))</f>
        <v>1938.9304545454543</v>
      </c>
      <c r="Z42" s="535">
        <f>IF(AND(W42="Pay-on-time off bill",X42="Inclusive"),((Y42*1.1)-((Y42*1.1)*U42/100))/1.1,IF(AND(W42="Pay-on-time off usage",X42="Inclusive"),((Y42*1.1)-((P42*1.1)*V42/100))/1.1,IF(AND(W42="Pay-on-time off bill",X42="Exclusive"),Y42-(Y42*U42/100),IF(AND(W42="Pay-on-time off usage",X42="Exclusive"),Y42-(P42*V42/100),IF(X42="Inclusive",((Y42*1.1))/1.1,Y42)))))</f>
        <v>1938.9304545454543</v>
      </c>
      <c r="AA42" s="542">
        <f t="shared" si="37"/>
        <v>2132.8235</v>
      </c>
      <c r="AB42" s="609">
        <f t="shared" si="37"/>
        <v>2132.8235</v>
      </c>
      <c r="AC42" s="625"/>
      <c r="AD42" s="625"/>
      <c r="AE42" s="625"/>
      <c r="AF42" s="625"/>
      <c r="AG42" s="625"/>
      <c r="AH42" s="625"/>
      <c r="AI42" s="625"/>
      <c r="AJ42" s="625"/>
      <c r="AK42" s="625"/>
      <c r="AL42" s="625"/>
      <c r="AM42" s="625"/>
      <c r="AN42" s="625"/>
      <c r="AO42" s="625"/>
      <c r="AP42" s="625"/>
      <c r="AQ42" s="625"/>
      <c r="AR42" s="625"/>
      <c r="AS42" s="625"/>
      <c r="AT42" s="625"/>
    </row>
    <row r="43" spans="1:46" ht="14" x14ac:dyDescent="0.15">
      <c r="A43" s="270" t="str">
        <f>'Tariffs Jul2023'!F37</f>
        <v>EnergyAustralia</v>
      </c>
      <c r="B43" s="40" t="str">
        <f>'Tariffs Jul2023'!D37</f>
        <v>AGN North</v>
      </c>
      <c r="C43" s="40" t="str">
        <f>'Tariffs Jul2023'!G37</f>
        <v>Flexi Plan</v>
      </c>
      <c r="D43" s="59">
        <f>365*'Tariffs Jul2023'!H37/100</f>
        <v>380.46272727272719</v>
      </c>
      <c r="E43" s="59">
        <f>IF($C$5*'Tariffs Jul2023'!AK37/'Tariffs Jul2023'!AI37&gt;='Tariffs Jul2023'!J37,( 'Tariffs Jul2023'!J37*'Tariffs Jul2023'!O37/100)* 'Tariffs Jul2023'!AI37,($C$5*'Tariffs Jul2023'!AK37/'Tariffs Jul2023'!AI37*'Tariffs Jul2023'!O37/100)* 'Tariffs Jul2023'!AI37)</f>
        <v>222.52363636363634</v>
      </c>
      <c r="F43" s="59">
        <f>IF($C$5*'Tariffs Jul2023'!AK37/'Tariffs Jul2023'!AI37&lt;'Tariffs Jul2023'!J37,0,IF($C$5*'Tariffs Jul2023'!AK37/'Tariffs Jul2023'!AI37&lt;='Tariffs Jul2023'!K37,($C$5*'Tariffs Jul2023'!AK37/'Tariffs Jul2023'!AI37-'Tariffs Jul2023'!J37)*('Tariffs Jul2023'!P37/100)*'Tariffs Jul2023'!AI37,('Tariffs Jul2023'!K37-'Tariffs Jul2023'!J37)*('Tariffs Jul2023'!P37/100)*'Tariffs Jul2023'!AI37))</f>
        <v>143.38363636363636</v>
      </c>
      <c r="G43" s="59">
        <f>IF($C$5*'Tariffs Jul2023'!AK37/'Tariffs Jul2023'!AI37&lt;'Tariffs Jul2023'!K37,0,IF($C$5*'Tariffs Jul2023'!AK37/'Tariffs Jul2023'!AI37&lt;='Tariffs Jul2023'!L37,($C$5*'Tariffs Jul2023'!AK37/'Tariffs Jul2023'!AI37-'Tariffs Jul2023'!K37)*('Tariffs Jul2023'!Q37/100)*'Tariffs Jul2023'!AI37,('Tariffs Jul2023'!L37-'Tariffs Jul2023'!K37)*('Tariffs Jul2023'!Q37/100)*'Tariffs Jul2023'!AI37))</f>
        <v>0</v>
      </c>
      <c r="H43" s="59">
        <f>IF($C$5*'Tariffs Jul2023'!AK37/'Tariffs Jul2023'!AI37&lt;'Tariffs Jul2023'!L37,0,IF($C$5*'Tariffs Jul2023'!AK37/'Tariffs Jul2023'!AI37&lt;='Tariffs Jul2023'!M37,($C$5*'Tariffs Jul2023'!AK37/'Tariffs Jul2023'!AI37-'Tariffs Jul2023'!L37)*('Tariffs Jul2023'!R37/100)*'Tariffs Jul2023'!AI37,('Tariffs Jul2023'!M37-'Tariffs Jul2023'!L37)*('Tariffs Jul2023'!R37/100)*'Tariffs Jul2023'!AI37))</f>
        <v>0</v>
      </c>
      <c r="I43" s="59">
        <f>IF(($C$5*'Tariffs Jul2023'!AK37/'Tariffs Jul2023'!AI37&gt;'Tariffs Jul2023'!M37),($C$5*'Tariffs Jul2023'!AK37/'Tariffs Jul2023'!AI37-'Tariffs Jul2023'!M37)*'Tariffs Jul2023'!S37/100*'Tariffs Jul2023'!AI37,0)</f>
        <v>638.18181818181813</v>
      </c>
      <c r="J43" s="59">
        <f>IF($C$5*'Tariffs Jul2023'!AL37/'Tariffs Jul2023'!AJ37&gt;='Tariffs Jul2023'!J37,('Tariffs Jul2023'!J37*'Tariffs Jul2023'!U37/100)* 'Tariffs Jul2023'!AJ37,($C$5*'Tariffs Jul2023'!AL37/'Tariffs Jul2023'!AJ37*'Tariffs Jul2023'!U37/100)* 'Tariffs Jul2023'!AJ37)</f>
        <v>222.52363636363634</v>
      </c>
      <c r="K43" s="59">
        <f>IF($C$5*'Tariffs Jul2023'!AL37/'Tariffs Jul2023'!AJ37&lt;'Tariffs Jul2023'!J37,0,IF($C$5*'Tariffs Jul2023'!AL37/'Tariffs Jul2023'!AJ37&lt;='Tariffs Jul2023'!K37,($C$5*'Tariffs Jul2023'!AL37/'Tariffs Jul2023'!AJ37-'Tariffs Jul2023'!J37)*('Tariffs Jul2023'!V37/100)*'Tariffs Jul2023'!AJ37,('Tariffs Jul2023'!K37-'Tariffs Jul2023'!J37)*('Tariffs Jul2023'!V37/100)*'Tariffs Jul2023'!AJ37))</f>
        <v>143.38363636363636</v>
      </c>
      <c r="L43" s="59">
        <f>IF($C$5*'Tariffs Jul2023'!AL37/'Tariffs Jul2023'!AJ37&lt;'Tariffs Jul2023'!K37,0,IF($C$5*'Tariffs Jul2023'!AL37/'Tariffs Jul2023'!AJ37&lt;='Tariffs Jul2023'!L37,($C$5*'Tariffs Jul2023'!AL37/'Tariffs Jul2023'!AJ37-'Tariffs Jul2023'!K37)*('Tariffs Jul2023'!W37/100)*'Tariffs Jul2023'!AJ37,('Tariffs Jul2023'!L37-'Tariffs Jul2023'!K37)*('Tariffs Jul2023'!W37/100)*'Tariffs Jul2023'!AJ37))</f>
        <v>0</v>
      </c>
      <c r="M43" s="59">
        <f>IF($C$5*'Tariffs Jul2023'!AL37/'Tariffs Jul2023'!AJ37&lt;'Tariffs Jul2023'!L37,0,IF($C$5*'Tariffs Jul2023'!AL37/'Tariffs Jul2023'!AJ37&lt;='Tariffs Jul2023'!M37,($C$5*'Tariffs Jul2023'!AL37/'Tariffs Jul2023'!AJ37-'Tariffs Jul2023'!L37)*('Tariffs Jul2023'!X37/100)*'Tariffs Jul2023'!AJ37,('Tariffs Jul2023'!M37-'Tariffs Jul2023'!L37)*('Tariffs Jul2023'!X37/100)*'Tariffs Jul2023'!AJ37))</f>
        <v>0</v>
      </c>
      <c r="N43" s="59">
        <f>IF(($C$5*'Tariffs Jul2023'!AL37/'Tariffs Jul2023'!AJ37&gt;'Tariffs Jul2023'!M37),($C$5*'Tariffs Jul2023'!AL37/'Tariffs Jul2023'!AJ37-'Tariffs Jul2023'!M37)*'Tariffs Jul2023'!Y37/100*'Tariffs Jul2023'!AJ37,0)</f>
        <v>638.18181818181813</v>
      </c>
      <c r="O43" s="59">
        <f t="shared" si="1"/>
        <v>2008.1781818181817</v>
      </c>
      <c r="P43" s="503">
        <f t="shared" si="2"/>
        <v>2208.9960000000001</v>
      </c>
      <c r="Q43" s="59">
        <f t="shared" si="3"/>
        <v>2388.6409090909087</v>
      </c>
      <c r="R43" s="272">
        <f t="shared" si="4"/>
        <v>2627.5049999999997</v>
      </c>
      <c r="S43" s="40">
        <f>'Tariffs Jul2023'!AN37</f>
        <v>25</v>
      </c>
      <c r="T43" s="40">
        <f>'Tariffs Jul2023'!AO37</f>
        <v>0</v>
      </c>
      <c r="U43" s="40">
        <f>'Tariffs Jul2023'!AP37</f>
        <v>0</v>
      </c>
      <c r="V43" s="637">
        <f>'Tariffs Jul2023'!AQ37</f>
        <v>0</v>
      </c>
      <c r="W43" s="578" t="str">
        <f t="shared" si="60"/>
        <v>Guaranteed off bill</v>
      </c>
      <c r="X43" s="538" t="str">
        <f t="shared" si="61"/>
        <v>Exclusive</v>
      </c>
      <c r="Y43" s="535">
        <f t="shared" ref="Y43" si="62">IF(AND(W43="Guaranteed off bill",X43="Inclusive"),((Q43*1.1)-((Q43*1.1)*S43/100))/1.1,IF(AND(W43="Guaranteed off usage",X43="Inclusive"),((Q43*1.1)-((P43*1.1)*T43/100))/1.1,IF(AND(W43="Guaranteed off bill",X43="Exclusive"),Q43-(Q43*S43/100),IF(AND(W43="Guaranteed off usage",X43="Exclusive"),Q43-(P43*T43/100),IF(X43="Inclusive",((Q43*1.1))/1.1,Q43)))))</f>
        <v>1791.4806818181814</v>
      </c>
      <c r="Z43" s="535">
        <f t="shared" ref="Z43" si="63">IF(AND(W43="Pay-on-time off bill",X43="Inclusive"),((Y43*1.1)-((Y43*1.1)*U43/100))/1.1,IF(AND(W43="Pay-on-time off usage",X43="Inclusive"),((Y43*1.1)-((P43*1.1)*V43/100))/1.1,IF(AND(W43="Pay-on-time off bill",X43="Exclusive"),Y43-(Y43*U43/100),IF(AND(W43="Pay-on-time off usage",X43="Exclusive"),Y43-(P43*V43/100),IF(X43="Inclusive",((Y43*1.1))/1.1,Y43)))))</f>
        <v>1791.4806818181814</v>
      </c>
      <c r="AA43" s="542">
        <f t="shared" si="37"/>
        <v>1970.6287499999996</v>
      </c>
      <c r="AB43" s="609">
        <f t="shared" si="37"/>
        <v>1970.6287499999996</v>
      </c>
      <c r="AC43" s="625"/>
      <c r="AD43" s="625"/>
      <c r="AE43" s="625"/>
      <c r="AF43" s="625"/>
      <c r="AG43" s="625"/>
      <c r="AH43" s="625"/>
      <c r="AI43" s="625"/>
      <c r="AJ43" s="625"/>
      <c r="AK43" s="625"/>
      <c r="AL43" s="625"/>
      <c r="AM43" s="625"/>
      <c r="AN43" s="625"/>
      <c r="AO43" s="625"/>
      <c r="AP43" s="625"/>
      <c r="AQ43" s="625"/>
      <c r="AR43" s="625"/>
      <c r="AS43" s="625"/>
      <c r="AT43" s="625"/>
    </row>
    <row r="44" spans="1:46" ht="14" x14ac:dyDescent="0.15">
      <c r="A44" s="270" t="str">
        <f>'Tariffs Jul2023'!F38</f>
        <v>Lumo Energy</v>
      </c>
      <c r="B44" s="40" t="str">
        <f>'Tariffs Jul2023'!D38</f>
        <v>AGN North</v>
      </c>
      <c r="C44" s="40" t="str">
        <f>'Tariffs Jul2023'!G38</f>
        <v>Value</v>
      </c>
      <c r="D44" s="59">
        <f>365*'Tariffs Jul2023'!H38/100</f>
        <v>375.22</v>
      </c>
      <c r="E44" s="59">
        <f>IF($C$5*'Tariffs Jul2023'!AK38/'Tariffs Jul2023'!AI38&gt;='Tariffs Jul2023'!J38,( 'Tariffs Jul2023'!J38*'Tariffs Jul2023'!O38/100)* 'Tariffs Jul2023'!AI38,($C$5*'Tariffs Jul2023'!AK38/'Tariffs Jul2023'!AI38*'Tariffs Jul2023'!O38/100)* 'Tariffs Jul2023'!AI38)</f>
        <v>196.50272727272721</v>
      </c>
      <c r="F44" s="59">
        <f>IF($C$5*'Tariffs Jul2023'!AK38/'Tariffs Jul2023'!AI38&lt;'Tariffs Jul2023'!J38,0,IF($C$5*'Tariffs Jul2023'!AK38/'Tariffs Jul2023'!AI38&lt;='Tariffs Jul2023'!K38,($C$5*'Tariffs Jul2023'!AK38/'Tariffs Jul2023'!AI38-'Tariffs Jul2023'!J38)*('Tariffs Jul2023'!P38/100)*'Tariffs Jul2023'!AI38,('Tariffs Jul2023'!K38-'Tariffs Jul2023'!J38)*('Tariffs Jul2023'!P38/100)*'Tariffs Jul2023'!AI38))</f>
        <v>140.42727272727268</v>
      </c>
      <c r="G44" s="59">
        <f>IF($C$5*'Tariffs Jul2023'!AK38/'Tariffs Jul2023'!AI38&lt;'Tariffs Jul2023'!K38,0,IF($C$5*'Tariffs Jul2023'!AK38/'Tariffs Jul2023'!AI38&lt;='Tariffs Jul2023'!L38,($C$5*'Tariffs Jul2023'!AK38/'Tariffs Jul2023'!AI38-'Tariffs Jul2023'!K38)*('Tariffs Jul2023'!Q38/100)*'Tariffs Jul2023'!AI38,('Tariffs Jul2023'!L38-'Tariffs Jul2023'!K38)*('Tariffs Jul2023'!Q38/100)*'Tariffs Jul2023'!AI38))</f>
        <v>0</v>
      </c>
      <c r="H44" s="59">
        <f>IF($C$5*'Tariffs Jul2023'!AK38/'Tariffs Jul2023'!AI38&lt;'Tariffs Jul2023'!L38,0,IF($C$5*'Tariffs Jul2023'!AK38/'Tariffs Jul2023'!AI38&lt;='Tariffs Jul2023'!M38,($C$5*'Tariffs Jul2023'!AK38/'Tariffs Jul2023'!AI38-'Tariffs Jul2023'!L38)*('Tariffs Jul2023'!R38/100)*'Tariffs Jul2023'!AI38,('Tariffs Jul2023'!M38-'Tariffs Jul2023'!L38)*('Tariffs Jul2023'!R38/100)*'Tariffs Jul2023'!AI38))</f>
        <v>0</v>
      </c>
      <c r="I44" s="59">
        <f>IF(($C$5*'Tariffs Jul2023'!AK38/'Tariffs Jul2023'!AI38&gt;'Tariffs Jul2023'!M38),($C$5*'Tariffs Jul2023'!AK38/'Tariffs Jul2023'!AI38-'Tariffs Jul2023'!M38)*'Tariffs Jul2023'!S38/100*'Tariffs Jul2023'!AI38,0)</f>
        <v>562.5</v>
      </c>
      <c r="J44" s="59">
        <f>IF($C$5*'Tariffs Jul2023'!AL38/'Tariffs Jul2023'!AJ38&gt;='Tariffs Jul2023'!J38,('Tariffs Jul2023'!J38*'Tariffs Jul2023'!U38/100)* 'Tariffs Jul2023'!AJ38,($C$5*'Tariffs Jul2023'!AL38/'Tariffs Jul2023'!AJ38*'Tariffs Jul2023'!U38/100)* 'Tariffs Jul2023'!AJ38)</f>
        <v>196.50272727272721</v>
      </c>
      <c r="K44" s="59">
        <f>IF($C$5*'Tariffs Jul2023'!AL38/'Tariffs Jul2023'!AJ38&lt;'Tariffs Jul2023'!J38,0,IF($C$5*'Tariffs Jul2023'!AL38/'Tariffs Jul2023'!AJ38&lt;='Tariffs Jul2023'!K38,($C$5*'Tariffs Jul2023'!AL38/'Tariffs Jul2023'!AJ38-'Tariffs Jul2023'!J38)*('Tariffs Jul2023'!V38/100)*'Tariffs Jul2023'!AJ38,('Tariffs Jul2023'!K38-'Tariffs Jul2023'!J38)*('Tariffs Jul2023'!V38/100)*'Tariffs Jul2023'!AJ38))</f>
        <v>140.42727272727268</v>
      </c>
      <c r="L44" s="59">
        <f>IF($C$5*'Tariffs Jul2023'!AL38/'Tariffs Jul2023'!AJ38&lt;'Tariffs Jul2023'!K38,0,IF($C$5*'Tariffs Jul2023'!AL38/'Tariffs Jul2023'!AJ38&lt;='Tariffs Jul2023'!L38,($C$5*'Tariffs Jul2023'!AL38/'Tariffs Jul2023'!AJ38-'Tariffs Jul2023'!K38)*('Tariffs Jul2023'!W38/100)*'Tariffs Jul2023'!AJ38,('Tariffs Jul2023'!L38-'Tariffs Jul2023'!K38)*('Tariffs Jul2023'!W38/100)*'Tariffs Jul2023'!AJ38))</f>
        <v>0</v>
      </c>
      <c r="M44" s="59">
        <f>IF($C$5*'Tariffs Jul2023'!AL38/'Tariffs Jul2023'!AJ38&lt;'Tariffs Jul2023'!L38,0,IF($C$5*'Tariffs Jul2023'!AL38/'Tariffs Jul2023'!AJ38&lt;='Tariffs Jul2023'!M38,($C$5*'Tariffs Jul2023'!AL38/'Tariffs Jul2023'!AJ38-'Tariffs Jul2023'!L38)*('Tariffs Jul2023'!X38/100)*'Tariffs Jul2023'!AJ38,('Tariffs Jul2023'!M38-'Tariffs Jul2023'!L38)*('Tariffs Jul2023'!X38/100)*'Tariffs Jul2023'!AJ38))</f>
        <v>0</v>
      </c>
      <c r="N44" s="59">
        <f>IF(($C$5*'Tariffs Jul2023'!AL38/'Tariffs Jul2023'!AJ38&gt;'Tariffs Jul2023'!M38),($C$5*'Tariffs Jul2023'!AL38/'Tariffs Jul2023'!AJ38-'Tariffs Jul2023'!M38)*'Tariffs Jul2023'!Y38/100*'Tariffs Jul2023'!AJ38,0)</f>
        <v>562.5</v>
      </c>
      <c r="O44" s="59">
        <f t="shared" si="1"/>
        <v>1798.8599999999997</v>
      </c>
      <c r="P44" s="503">
        <f t="shared" si="2"/>
        <v>1978.7459999999999</v>
      </c>
      <c r="Q44" s="59">
        <f t="shared" si="3"/>
        <v>2174.08</v>
      </c>
      <c r="R44" s="272">
        <f t="shared" si="4"/>
        <v>2391.4880000000003</v>
      </c>
      <c r="S44" s="40">
        <f>'Tariffs Jul2023'!AN38</f>
        <v>0</v>
      </c>
      <c r="T44" s="40">
        <f>'Tariffs Jul2023'!AO38</f>
        <v>0</v>
      </c>
      <c r="U44" s="40">
        <f>'Tariffs Jul2023'!AP38</f>
        <v>0</v>
      </c>
      <c r="V44" s="637">
        <f>'Tariffs Jul2023'!AQ38</f>
        <v>0</v>
      </c>
      <c r="W44" s="578" t="str">
        <f t="shared" si="60"/>
        <v>No discount</v>
      </c>
      <c r="X44" s="538" t="str">
        <f t="shared" si="61"/>
        <v>Exclusive</v>
      </c>
      <c r="Y44" s="535">
        <f>IF(AND(W44="Guaranteed off bill",X44="Inclusive"),((Q44*1.1)-((Q44*1.1)*S44/100))/1.1,IF(AND(W44="Guaranteed off usage",X44="Inclusive"),((Q44*1.1)-((P44*1.1)*T44/100))/1.1,IF(AND(W44="Guaranteed off bill",X44="Exclusive"),Q44-(Q44*S44/100),IF(AND(W44="Guaranteed off usage",X44="Exclusive"),Q44-(P44*T44/100),IF(X44="Inclusive",((Q44*1.1))/1.1,Q44)))))</f>
        <v>2174.08</v>
      </c>
      <c r="Z44" s="535">
        <f>IF(AND(W44="Pay-on-time off bill",X44="Inclusive"),((Y44*1.1)-((Y44*1.1)*U44/100))/1.1,IF(AND(W44="Pay-on-time off usage",X44="Inclusive"),((Y44*1.1)-((P44*1.1)*V44/100))/1.1,IF(AND(W44="Pay-on-time off bill",X44="Exclusive"),Y44-(Y44*U44/100),IF(AND(W44="Pay-on-time off usage",X44="Exclusive"),Y44-(P44*V44/100),IF(X44="Inclusive",((Y44*1.1))/1.1,Y44)))))</f>
        <v>2174.08</v>
      </c>
      <c r="AA44" s="542">
        <f t="shared" si="37"/>
        <v>2391.4880000000003</v>
      </c>
      <c r="AB44" s="609">
        <f t="shared" si="37"/>
        <v>2391.4880000000003</v>
      </c>
      <c r="AC44" s="625"/>
      <c r="AD44" s="625"/>
      <c r="AE44" s="625"/>
      <c r="AF44" s="625"/>
      <c r="AG44" s="625"/>
      <c r="AH44" s="625"/>
      <c r="AI44" s="625"/>
      <c r="AJ44" s="625"/>
      <c r="AK44" s="625"/>
      <c r="AL44" s="625"/>
      <c r="AM44" s="625"/>
      <c r="AN44" s="625"/>
      <c r="AO44" s="625"/>
      <c r="AP44" s="625"/>
      <c r="AQ44" s="625"/>
      <c r="AR44" s="625"/>
      <c r="AS44" s="625"/>
      <c r="AT44" s="625"/>
    </row>
    <row r="45" spans="1:46" ht="14" x14ac:dyDescent="0.15">
      <c r="A45" s="270" t="str">
        <f>'Tariffs Jul2023'!F39</f>
        <v>Origin Energy</v>
      </c>
      <c r="B45" s="40" t="str">
        <f>'Tariffs Jul2023'!D39</f>
        <v>AGN North</v>
      </c>
      <c r="C45" s="40" t="str">
        <f>'Tariffs Jul2023'!G39</f>
        <v>Go Variable</v>
      </c>
      <c r="D45" s="59">
        <f>365*'Tariffs Jul2023'!H39/100</f>
        <v>264.625</v>
      </c>
      <c r="E45" s="59">
        <f>IF($C$5*'Tariffs Jul2023'!AK39/'Tariffs Jul2023'!AI39&gt;='Tariffs Jul2023'!J39,( 'Tariffs Jul2023'!J39*'Tariffs Jul2023'!O39/100)* 'Tariffs Jul2023'!AI39,($C$5*'Tariffs Jul2023'!AK39/'Tariffs Jul2023'!AI39*'Tariffs Jul2023'!O39/100)* 'Tariffs Jul2023'!AI39)</f>
        <v>528.5454545454545</v>
      </c>
      <c r="F45" s="59">
        <f>IF($C$5*'Tariffs Jul2023'!AK39/'Tariffs Jul2023'!AI39&lt;'Tariffs Jul2023'!J39,0,IF($C$5*'Tariffs Jul2023'!AK39/'Tariffs Jul2023'!AI39&lt;='Tariffs Jul2023'!K39,($C$5*'Tariffs Jul2023'!AK39/'Tariffs Jul2023'!AI39-'Tariffs Jul2023'!J39)*('Tariffs Jul2023'!P39/100)*'Tariffs Jul2023'!AI39,('Tariffs Jul2023'!K39-'Tariffs Jul2023'!J39)*('Tariffs Jul2023'!P39/100)*'Tariffs Jul2023'!AI39))</f>
        <v>380.45454545454544</v>
      </c>
      <c r="G45" s="59">
        <f>IF($C$5*'Tariffs Jul2023'!AK39/'Tariffs Jul2023'!AI39&lt;'Tariffs Jul2023'!K39,0,IF($C$5*'Tariffs Jul2023'!AK39/'Tariffs Jul2023'!AI39&lt;='Tariffs Jul2023'!L39,($C$5*'Tariffs Jul2023'!AK39/'Tariffs Jul2023'!AI39-'Tariffs Jul2023'!K39)*('Tariffs Jul2023'!Q39/100)*'Tariffs Jul2023'!AI39,('Tariffs Jul2023'!L39-'Tariffs Jul2023'!K39)*('Tariffs Jul2023'!Q39/100)*'Tariffs Jul2023'!AI39))</f>
        <v>0</v>
      </c>
      <c r="H45" s="59">
        <f>IF($C$5*'Tariffs Jul2023'!AK39/'Tariffs Jul2023'!AI39&lt;'Tariffs Jul2023'!L39,0,IF($C$5*'Tariffs Jul2023'!AK39/'Tariffs Jul2023'!AI39&lt;='Tariffs Jul2023'!M39,($C$5*'Tariffs Jul2023'!AK39/'Tariffs Jul2023'!AI39-'Tariffs Jul2023'!L39)*('Tariffs Jul2023'!R39/100)*'Tariffs Jul2023'!AI39,('Tariffs Jul2023'!M39-'Tariffs Jul2023'!L39)*('Tariffs Jul2023'!R39/100)*'Tariffs Jul2023'!AI39))</f>
        <v>0</v>
      </c>
      <c r="I45" s="59">
        <f>IF(($C$5*'Tariffs Jul2023'!AK39/'Tariffs Jul2023'!AI39&gt;'Tariffs Jul2023'!M39),($C$5*'Tariffs Jul2023'!AK39/'Tariffs Jul2023'!AI39-'Tariffs Jul2023'!M39)*'Tariffs Jul2023'!S39/100*'Tariffs Jul2023'!AI39,0)</f>
        <v>0</v>
      </c>
      <c r="J45" s="59">
        <f>IF($C$5*'Tariffs Jul2023'!AL39/'Tariffs Jul2023'!AJ39&gt;='Tariffs Jul2023'!J39,('Tariffs Jul2023'!J39*'Tariffs Jul2023'!U39/100)* 'Tariffs Jul2023'!AJ39,($C$5*'Tariffs Jul2023'!AL39/'Tariffs Jul2023'!AJ39*'Tariffs Jul2023'!U39/100)* 'Tariffs Jul2023'!AJ39)</f>
        <v>528.5454545454545</v>
      </c>
      <c r="K45" s="59">
        <f>IF($C$5*'Tariffs Jul2023'!AL39/'Tariffs Jul2023'!AJ39&lt;'Tariffs Jul2023'!J39,0,IF($C$5*'Tariffs Jul2023'!AL39/'Tariffs Jul2023'!AJ39&lt;='Tariffs Jul2023'!K39,($C$5*'Tariffs Jul2023'!AL39/'Tariffs Jul2023'!AJ39-'Tariffs Jul2023'!J39)*('Tariffs Jul2023'!V39/100)*'Tariffs Jul2023'!AJ39,('Tariffs Jul2023'!K39-'Tariffs Jul2023'!J39)*('Tariffs Jul2023'!V39/100)*'Tariffs Jul2023'!AJ39))</f>
        <v>380.45454545454544</v>
      </c>
      <c r="L45" s="59">
        <f>IF($C$5*'Tariffs Jul2023'!AL39/'Tariffs Jul2023'!AJ39&lt;'Tariffs Jul2023'!K39,0,IF($C$5*'Tariffs Jul2023'!AL39/'Tariffs Jul2023'!AJ39&lt;='Tariffs Jul2023'!L39,($C$5*'Tariffs Jul2023'!AL39/'Tariffs Jul2023'!AJ39-'Tariffs Jul2023'!K39)*('Tariffs Jul2023'!W39/100)*'Tariffs Jul2023'!AJ39,('Tariffs Jul2023'!L39-'Tariffs Jul2023'!K39)*('Tariffs Jul2023'!W39/100)*'Tariffs Jul2023'!AJ39))</f>
        <v>0</v>
      </c>
      <c r="M45" s="59">
        <f>IF($C$5*'Tariffs Jul2023'!AL39/'Tariffs Jul2023'!AJ39&lt;'Tariffs Jul2023'!L39,0,IF($C$5*'Tariffs Jul2023'!AL39/'Tariffs Jul2023'!AJ39&lt;='Tariffs Jul2023'!M39,($C$5*'Tariffs Jul2023'!AL39/'Tariffs Jul2023'!AJ39-'Tariffs Jul2023'!L39)*('Tariffs Jul2023'!X39/100)*'Tariffs Jul2023'!AJ39,('Tariffs Jul2023'!M39-'Tariffs Jul2023'!L39)*('Tariffs Jul2023'!X39/100)*'Tariffs Jul2023'!AJ39))</f>
        <v>0</v>
      </c>
      <c r="N45" s="59">
        <f>IF(($C$5*'Tariffs Jul2023'!AL39/'Tariffs Jul2023'!AJ39&gt;'Tariffs Jul2023'!M39),($C$5*'Tariffs Jul2023'!AL39/'Tariffs Jul2023'!AJ39-'Tariffs Jul2023'!M39)*'Tariffs Jul2023'!Y39/100*'Tariffs Jul2023'!AJ39,0)</f>
        <v>0</v>
      </c>
      <c r="O45" s="59">
        <f t="shared" si="1"/>
        <v>1818</v>
      </c>
      <c r="P45" s="503">
        <f t="shared" si="2"/>
        <v>1999.8000000000002</v>
      </c>
      <c r="Q45" s="59">
        <f t="shared" si="3"/>
        <v>2082.625</v>
      </c>
      <c r="R45" s="272">
        <f t="shared" si="4"/>
        <v>2290.8875000000003</v>
      </c>
      <c r="S45" s="40">
        <f>'Tariffs Jul2023'!AN39</f>
        <v>0</v>
      </c>
      <c r="T45" s="40">
        <f>'Tariffs Jul2023'!AO39</f>
        <v>0</v>
      </c>
      <c r="U45" s="40">
        <f>'Tariffs Jul2023'!AP39</f>
        <v>0</v>
      </c>
      <c r="V45" s="637">
        <f>'Tariffs Jul2023'!AQ39</f>
        <v>0</v>
      </c>
      <c r="W45" s="578" t="str">
        <f t="shared" si="60"/>
        <v>No discount</v>
      </c>
      <c r="X45" s="538" t="str">
        <f t="shared" si="61"/>
        <v>Inclusive</v>
      </c>
      <c r="Y45" s="535">
        <f>IF(AND(W45="Guaranteed off bill",X45="Inclusive"),((Q45*1.1)-((Q45*1.1)*S45/100))/1.1,IF(AND(W45="Guaranteed off usage",X45="Inclusive"),((Q45*1.1)-((P45*1.1)*T45/100))/1.1,IF(AND(W45="Guaranteed off bill",X45="Exclusive"),Q45-(Q45*S45/100),IF(AND(W45="Guaranteed off usage",X45="Exclusive"),Q45-(P45*T45/100),IF(X45="Inclusive",((Q45*1.1))/1.1,Q45)))))</f>
        <v>2082.625</v>
      </c>
      <c r="Z45" s="535">
        <f>IF(AND(W45="Pay-on-time off bill",X45="Inclusive"),((Y45*1.1)-((Y45*1.1)*U45/100))/1.1,IF(AND(W45="Pay-on-time off usage",X45="Inclusive"),((Y45*1.1)-((P45*1.1)*V45/100))/1.1,IF(AND(W45="Pay-on-time off bill",X45="Exclusive"),Y45-(Y45*U45/100),IF(AND(W45="Pay-on-time off usage",X45="Exclusive"),Y45-(P45*V45/100),IF(X45="Inclusive",((Y45*1.1))/1.1,Y45)))))</f>
        <v>2082.625</v>
      </c>
      <c r="AA45" s="542">
        <f t="shared" si="37"/>
        <v>2290.8875000000003</v>
      </c>
      <c r="AB45" s="609">
        <f t="shared" si="37"/>
        <v>2290.8875000000003</v>
      </c>
      <c r="AC45" s="625"/>
      <c r="AD45" s="625"/>
      <c r="AE45" s="625"/>
      <c r="AF45" s="625"/>
      <c r="AG45" s="625"/>
      <c r="AH45" s="625"/>
      <c r="AI45" s="625"/>
      <c r="AJ45" s="625"/>
      <c r="AK45" s="625"/>
      <c r="AL45" s="625"/>
      <c r="AM45" s="625"/>
      <c r="AN45" s="625"/>
      <c r="AO45" s="625"/>
      <c r="AP45" s="625"/>
      <c r="AQ45" s="625"/>
      <c r="AR45" s="625"/>
      <c r="AS45" s="625"/>
      <c r="AT45" s="625"/>
    </row>
    <row r="46" spans="1:46" ht="14" x14ac:dyDescent="0.15">
      <c r="A46" s="270" t="str">
        <f>'Tariffs Jul2023'!F40</f>
        <v>Red Energy</v>
      </c>
      <c r="B46" s="40" t="str">
        <f>'Tariffs Jul2023'!D40</f>
        <v>AGN North</v>
      </c>
      <c r="C46" s="40" t="str">
        <f>'Tariffs Jul2023'!G40</f>
        <v>Living Energy Saver</v>
      </c>
      <c r="D46" s="59">
        <f>365*'Tariffs Jul2023'!H40/100</f>
        <v>273.75</v>
      </c>
      <c r="E46" s="59">
        <f>IF($C$5*'Tariffs Jul2023'!AK40/'Tariffs Jul2023'!AI40&gt;='Tariffs Jul2023'!J40,( 'Tariffs Jul2023'!J40*'Tariffs Jul2023'!O40/100)* 'Tariffs Jul2023'!AI40,($C$5*'Tariffs Jul2023'!AK40/'Tariffs Jul2023'!AI40*'Tariffs Jul2023'!O40/100)* 'Tariffs Jul2023'!AI40)</f>
        <v>169.58454545454543</v>
      </c>
      <c r="F46" s="59">
        <f>IF($C$5*'Tariffs Jul2023'!AK40/'Tariffs Jul2023'!AI40&lt;'Tariffs Jul2023'!J40,0,IF($C$5*'Tariffs Jul2023'!AK40/'Tariffs Jul2023'!AI40&lt;='Tariffs Jul2023'!K40,($C$5*'Tariffs Jul2023'!AK40/'Tariffs Jul2023'!AI40-'Tariffs Jul2023'!J40)*('Tariffs Jul2023'!P40/100)*'Tariffs Jul2023'!AI40,('Tariffs Jul2023'!K40-'Tariffs Jul2023'!J40)*('Tariffs Jul2023'!P40/100)*'Tariffs Jul2023'!AI40))</f>
        <v>124.90636363636364</v>
      </c>
      <c r="G46" s="59">
        <f>IF($C$5*'Tariffs Jul2023'!AK40/'Tariffs Jul2023'!AI40&lt;'Tariffs Jul2023'!K40,0,IF($C$5*'Tariffs Jul2023'!AK40/'Tariffs Jul2023'!AI40&lt;='Tariffs Jul2023'!L40,($C$5*'Tariffs Jul2023'!AK40/'Tariffs Jul2023'!AI40-'Tariffs Jul2023'!K40)*('Tariffs Jul2023'!Q40/100)*'Tariffs Jul2023'!AI40,('Tariffs Jul2023'!L40-'Tariffs Jul2023'!K40)*('Tariffs Jul2023'!Q40/100)*'Tariffs Jul2023'!AI40))</f>
        <v>0</v>
      </c>
      <c r="H46" s="59">
        <f>IF($C$5*'Tariffs Jul2023'!AK40/'Tariffs Jul2023'!AI40&lt;'Tariffs Jul2023'!L40,0,IF($C$5*'Tariffs Jul2023'!AK40/'Tariffs Jul2023'!AI40&lt;='Tariffs Jul2023'!M40,($C$5*'Tariffs Jul2023'!AK40/'Tariffs Jul2023'!AI40-'Tariffs Jul2023'!L40)*('Tariffs Jul2023'!R40/100)*'Tariffs Jul2023'!AI40,('Tariffs Jul2023'!M40-'Tariffs Jul2023'!L40)*('Tariffs Jul2023'!R40/100)*'Tariffs Jul2023'!AI40))</f>
        <v>0</v>
      </c>
      <c r="I46" s="59">
        <f>IF(($C$5*'Tariffs Jul2023'!AK40/'Tariffs Jul2023'!AI40&gt;'Tariffs Jul2023'!M40),($C$5*'Tariffs Jul2023'!AK40/'Tariffs Jul2023'!AI40-'Tariffs Jul2023'!M40)*'Tariffs Jul2023'!S40/100*'Tariffs Jul2023'!AI40,0)</f>
        <v>546.13636363636363</v>
      </c>
      <c r="J46" s="59">
        <f>IF($C$5*'Tariffs Jul2023'!AL40/'Tariffs Jul2023'!AJ40&gt;='Tariffs Jul2023'!J40,('Tariffs Jul2023'!J40*'Tariffs Jul2023'!U40/100)* 'Tariffs Jul2023'!AJ40,($C$5*'Tariffs Jul2023'!AL40/'Tariffs Jul2023'!AJ40*'Tariffs Jul2023'!U40/100)* 'Tariffs Jul2023'!AJ40)</f>
        <v>169.58454545454543</v>
      </c>
      <c r="K46" s="59">
        <f>IF($C$5*'Tariffs Jul2023'!AL40/'Tariffs Jul2023'!AJ40&lt;'Tariffs Jul2023'!J40,0,IF($C$5*'Tariffs Jul2023'!AL40/'Tariffs Jul2023'!AJ40&lt;='Tariffs Jul2023'!K40,($C$5*'Tariffs Jul2023'!AL40/'Tariffs Jul2023'!AJ40-'Tariffs Jul2023'!J40)*('Tariffs Jul2023'!V40/100)*'Tariffs Jul2023'!AJ40,('Tariffs Jul2023'!K40-'Tariffs Jul2023'!J40)*('Tariffs Jul2023'!V40/100)*'Tariffs Jul2023'!AJ40))</f>
        <v>124.90636363636364</v>
      </c>
      <c r="L46" s="59">
        <f>IF($C$5*'Tariffs Jul2023'!AL40/'Tariffs Jul2023'!AJ40&lt;'Tariffs Jul2023'!K40,0,IF($C$5*'Tariffs Jul2023'!AL40/'Tariffs Jul2023'!AJ40&lt;='Tariffs Jul2023'!L40,($C$5*'Tariffs Jul2023'!AL40/'Tariffs Jul2023'!AJ40-'Tariffs Jul2023'!K40)*('Tariffs Jul2023'!W40/100)*'Tariffs Jul2023'!AJ40,('Tariffs Jul2023'!L40-'Tariffs Jul2023'!K40)*('Tariffs Jul2023'!W40/100)*'Tariffs Jul2023'!AJ40))</f>
        <v>0</v>
      </c>
      <c r="M46" s="59">
        <f>IF($C$5*'Tariffs Jul2023'!AL40/'Tariffs Jul2023'!AJ40&lt;'Tariffs Jul2023'!L40,0,IF($C$5*'Tariffs Jul2023'!AL40/'Tariffs Jul2023'!AJ40&lt;='Tariffs Jul2023'!M40,($C$5*'Tariffs Jul2023'!AL40/'Tariffs Jul2023'!AJ40-'Tariffs Jul2023'!L40)*('Tariffs Jul2023'!X40/100)*'Tariffs Jul2023'!AJ40,('Tariffs Jul2023'!M40-'Tariffs Jul2023'!L40)*('Tariffs Jul2023'!X40/100)*'Tariffs Jul2023'!AJ40))</f>
        <v>0</v>
      </c>
      <c r="N46" s="59">
        <f>IF(($C$5*'Tariffs Jul2023'!AL40/'Tariffs Jul2023'!AJ40&gt;'Tariffs Jul2023'!M40),($C$5*'Tariffs Jul2023'!AL40/'Tariffs Jul2023'!AJ40-'Tariffs Jul2023'!M40)*'Tariffs Jul2023'!Y40/100*'Tariffs Jul2023'!AJ40,0)</f>
        <v>546.13636363636363</v>
      </c>
      <c r="O46" s="59">
        <f t="shared" si="1"/>
        <v>1681.2545454545457</v>
      </c>
      <c r="P46" s="503">
        <f t="shared" si="2"/>
        <v>1849.3800000000003</v>
      </c>
      <c r="Q46" s="59">
        <f t="shared" si="3"/>
        <v>1955.0045454545457</v>
      </c>
      <c r="R46" s="272">
        <f t="shared" si="4"/>
        <v>2150.5050000000006</v>
      </c>
      <c r="S46" s="40">
        <f>'Tariffs Jul2023'!AN40</f>
        <v>0</v>
      </c>
      <c r="T46" s="40">
        <f>'Tariffs Jul2023'!AO40</f>
        <v>0</v>
      </c>
      <c r="U46" s="40">
        <f>'Tariffs Jul2023'!AP40</f>
        <v>0</v>
      </c>
      <c r="V46" s="637">
        <f>'Tariffs Jul2023'!AQ40</f>
        <v>0</v>
      </c>
      <c r="W46" s="578" t="str">
        <f t="shared" si="60"/>
        <v>No discount</v>
      </c>
      <c r="X46" s="538" t="str">
        <f t="shared" si="61"/>
        <v>Inclusive</v>
      </c>
      <c r="Y46" s="535">
        <f t="shared" ref="Y46:Y48" si="64">IF(AND(W46="Guaranteed off bill",X46="Inclusive"),((Q46*1.1)-((Q46*1.1)*S46/100))/1.1,IF(AND(W46="Guaranteed off usage",X46="Inclusive"),((Q46*1.1)-((P46*1.1)*T46/100))/1.1,IF(AND(W46="Guaranteed off bill",X46="Exclusive"),Q46-(Q46*S46/100),IF(AND(W46="Guaranteed off usage",X46="Exclusive"),Q46-(P46*T46/100),IF(X46="Inclusive",((Q46*1.1))/1.1,Q46)))))</f>
        <v>1955.0045454545459</v>
      </c>
      <c r="Z46" s="535">
        <f t="shared" ref="Z46:Z48" si="65">IF(AND(W46="Pay-on-time off bill",X46="Inclusive"),((Y46*1.1)-((Y46*1.1)*U46/100))/1.1,IF(AND(W46="Pay-on-time off usage",X46="Inclusive"),((Y46*1.1)-((P46*1.1)*V46/100))/1.1,IF(AND(W46="Pay-on-time off bill",X46="Exclusive"),Y46-(Y46*U46/100),IF(AND(W46="Pay-on-time off usage",X46="Exclusive"),Y46-(P46*V46/100),IF(X46="Inclusive",((Y46*1.1))/1.1,Y46)))))</f>
        <v>1955.0045454545459</v>
      </c>
      <c r="AA46" s="542">
        <f t="shared" ref="AA46:AB64" si="66">Y46*1.1</f>
        <v>2150.5050000000006</v>
      </c>
      <c r="AB46" s="609">
        <f t="shared" si="66"/>
        <v>2150.5050000000006</v>
      </c>
      <c r="AC46" s="625"/>
      <c r="AD46" s="625"/>
      <c r="AE46" s="625"/>
      <c r="AF46" s="625"/>
      <c r="AG46" s="625"/>
      <c r="AH46" s="625"/>
      <c r="AI46" s="625"/>
      <c r="AJ46" s="625"/>
      <c r="AK46" s="625"/>
      <c r="AL46" s="625"/>
      <c r="AM46" s="625"/>
      <c r="AN46" s="625"/>
      <c r="AO46" s="625"/>
      <c r="AP46" s="625"/>
      <c r="AQ46" s="625"/>
      <c r="AR46" s="625"/>
      <c r="AS46" s="625"/>
      <c r="AT46" s="625"/>
    </row>
    <row r="47" spans="1:46" ht="14" x14ac:dyDescent="0.15">
      <c r="A47" s="270" t="str">
        <f>'Tariffs Jul2023'!F41</f>
        <v>Simply Energy</v>
      </c>
      <c r="B47" s="40" t="str">
        <f>'Tariffs Jul2023'!D41</f>
        <v>AGN North</v>
      </c>
      <c r="C47" s="40" t="str">
        <f>'Tariffs Jul2023'!G41</f>
        <v>Blue Perks</v>
      </c>
      <c r="D47" s="59">
        <f>365*'Tariffs Jul2023'!H41/100</f>
        <v>292.5972727272727</v>
      </c>
      <c r="E47" s="59">
        <f>IF($C$5*'Tariffs Jul2023'!AK41/'Tariffs Jul2023'!AI41&gt;='Tariffs Jul2023'!J41,( 'Tariffs Jul2023'!J41*'Tariffs Jul2023'!O41/100)* 'Tariffs Jul2023'!AI41,($C$5*'Tariffs Jul2023'!AK41/'Tariffs Jul2023'!AI41*'Tariffs Jul2023'!O41/100)* 'Tariffs Jul2023'!AI41)</f>
        <v>187.52999999999997</v>
      </c>
      <c r="F47" s="59">
        <f>IF($C$5*'Tariffs Jul2023'!AK41/'Tariffs Jul2023'!AI41&lt;'Tariffs Jul2023'!J41,0,IF($C$5*'Tariffs Jul2023'!AK41/'Tariffs Jul2023'!AI41&lt;='Tariffs Jul2023'!K41,($C$5*'Tariffs Jul2023'!AK41/'Tariffs Jul2023'!AI41-'Tariffs Jul2023'!J41)*('Tariffs Jul2023'!P41/100)*'Tariffs Jul2023'!AI41,('Tariffs Jul2023'!K41-'Tariffs Jul2023'!J41)*('Tariffs Jul2023'!P41/100)*'Tariffs Jul2023'!AI41))</f>
        <v>132.66681818181814</v>
      </c>
      <c r="G47" s="59">
        <f>IF($C$5*'Tariffs Jul2023'!AK41/'Tariffs Jul2023'!AI41&lt;'Tariffs Jul2023'!K41,0,IF($C$5*'Tariffs Jul2023'!AK41/'Tariffs Jul2023'!AI41&lt;='Tariffs Jul2023'!L41,($C$5*'Tariffs Jul2023'!AK41/'Tariffs Jul2023'!AI41-'Tariffs Jul2023'!K41)*('Tariffs Jul2023'!Q41/100)*'Tariffs Jul2023'!AI41,('Tariffs Jul2023'!L41-'Tariffs Jul2023'!K41)*('Tariffs Jul2023'!Q41/100)*'Tariffs Jul2023'!AI41))</f>
        <v>0</v>
      </c>
      <c r="H47" s="59">
        <f>IF($C$5*'Tariffs Jul2023'!AK41/'Tariffs Jul2023'!AI41&lt;'Tariffs Jul2023'!L41,0,IF($C$5*'Tariffs Jul2023'!AK41/'Tariffs Jul2023'!AI41&lt;='Tariffs Jul2023'!M41,($C$5*'Tariffs Jul2023'!AK41/'Tariffs Jul2023'!AI41-'Tariffs Jul2023'!L41)*('Tariffs Jul2023'!R41/100)*'Tariffs Jul2023'!AI41,('Tariffs Jul2023'!M41-'Tariffs Jul2023'!L41)*('Tariffs Jul2023'!R41/100)*'Tariffs Jul2023'!AI41))</f>
        <v>0</v>
      </c>
      <c r="I47" s="59">
        <f>IF(($C$5*'Tariffs Jul2023'!AK41/'Tariffs Jul2023'!AI41&gt;'Tariffs Jul2023'!M41),($C$5*'Tariffs Jul2023'!AK41/'Tariffs Jul2023'!AI41-'Tariffs Jul2023'!M41)*'Tariffs Jul2023'!S41/100*'Tariffs Jul2023'!AI41,0)</f>
        <v>625.90909090909088</v>
      </c>
      <c r="J47" s="59">
        <f>IF($C$5*'Tariffs Jul2023'!AL41/'Tariffs Jul2023'!AJ41&gt;='Tariffs Jul2023'!J41,('Tariffs Jul2023'!J41*'Tariffs Jul2023'!U41/100)* 'Tariffs Jul2023'!AJ41,($C$5*'Tariffs Jul2023'!AL41/'Tariffs Jul2023'!AJ41*'Tariffs Jul2023'!U41/100)* 'Tariffs Jul2023'!AJ41)</f>
        <v>187.52999999999997</v>
      </c>
      <c r="K47" s="59">
        <f>IF($C$5*'Tariffs Jul2023'!AL41/'Tariffs Jul2023'!AJ41&lt;'Tariffs Jul2023'!J41,0,IF($C$5*'Tariffs Jul2023'!AL41/'Tariffs Jul2023'!AJ41&lt;='Tariffs Jul2023'!K41,($C$5*'Tariffs Jul2023'!AL41/'Tariffs Jul2023'!AJ41-'Tariffs Jul2023'!J41)*('Tariffs Jul2023'!V41/100)*'Tariffs Jul2023'!AJ41,('Tariffs Jul2023'!K41-'Tariffs Jul2023'!J41)*('Tariffs Jul2023'!V41/100)*'Tariffs Jul2023'!AJ41))</f>
        <v>132.66681818181814</v>
      </c>
      <c r="L47" s="59">
        <f>IF($C$5*'Tariffs Jul2023'!AL41/'Tariffs Jul2023'!AJ41&lt;'Tariffs Jul2023'!K41,0,IF($C$5*'Tariffs Jul2023'!AL41/'Tariffs Jul2023'!AJ41&lt;='Tariffs Jul2023'!L41,($C$5*'Tariffs Jul2023'!AL41/'Tariffs Jul2023'!AJ41-'Tariffs Jul2023'!K41)*('Tariffs Jul2023'!W41/100)*'Tariffs Jul2023'!AJ41,('Tariffs Jul2023'!L41-'Tariffs Jul2023'!K41)*('Tariffs Jul2023'!W41/100)*'Tariffs Jul2023'!AJ41))</f>
        <v>0</v>
      </c>
      <c r="M47" s="59">
        <f>IF($C$5*'Tariffs Jul2023'!AL41/'Tariffs Jul2023'!AJ41&lt;'Tariffs Jul2023'!L41,0,IF($C$5*'Tariffs Jul2023'!AL41/'Tariffs Jul2023'!AJ41&lt;='Tariffs Jul2023'!M41,($C$5*'Tariffs Jul2023'!AL41/'Tariffs Jul2023'!AJ41-'Tariffs Jul2023'!L41)*('Tariffs Jul2023'!X41/100)*'Tariffs Jul2023'!AJ41,('Tariffs Jul2023'!M41-'Tariffs Jul2023'!L41)*('Tariffs Jul2023'!X41/100)*'Tariffs Jul2023'!AJ41))</f>
        <v>0</v>
      </c>
      <c r="N47" s="59">
        <f>IF(($C$5*'Tariffs Jul2023'!AL41/'Tariffs Jul2023'!AJ41&gt;'Tariffs Jul2023'!M41),($C$5*'Tariffs Jul2023'!AL41/'Tariffs Jul2023'!AJ41-'Tariffs Jul2023'!M41)*'Tariffs Jul2023'!Y41/100*'Tariffs Jul2023'!AJ41,0)</f>
        <v>625.90909090909088</v>
      </c>
      <c r="O47" s="59">
        <f t="shared" si="1"/>
        <v>1892.2118181818182</v>
      </c>
      <c r="P47" s="503">
        <f t="shared" si="2"/>
        <v>2081.433</v>
      </c>
      <c r="Q47" s="59">
        <f t="shared" si="3"/>
        <v>2184.8090909090911</v>
      </c>
      <c r="R47" s="272">
        <f t="shared" si="4"/>
        <v>2403.2900000000004</v>
      </c>
      <c r="S47" s="40">
        <f>'Tariffs Jul2023'!AN41</f>
        <v>10</v>
      </c>
      <c r="T47" s="40">
        <f>'Tariffs Jul2023'!AO41</f>
        <v>0</v>
      </c>
      <c r="U47" s="40">
        <f>'Tariffs Jul2023'!AP41</f>
        <v>0</v>
      </c>
      <c r="V47" s="637">
        <f>'Tariffs Jul2023'!AQ41</f>
        <v>0</v>
      </c>
      <c r="W47" s="578" t="str">
        <f t="shared" si="60"/>
        <v>Guaranteed off bill</v>
      </c>
      <c r="X47" s="538" t="str">
        <f t="shared" si="61"/>
        <v>Exclusive</v>
      </c>
      <c r="Y47" s="535">
        <f t="shared" si="64"/>
        <v>1966.328181818182</v>
      </c>
      <c r="Z47" s="535">
        <f t="shared" si="65"/>
        <v>1966.328181818182</v>
      </c>
      <c r="AA47" s="542">
        <f t="shared" si="66"/>
        <v>2162.9610000000002</v>
      </c>
      <c r="AB47" s="609">
        <f t="shared" si="66"/>
        <v>2162.9610000000002</v>
      </c>
      <c r="AC47" s="625"/>
      <c r="AD47" s="625"/>
      <c r="AE47" s="625"/>
      <c r="AF47" s="625"/>
      <c r="AG47" s="625"/>
      <c r="AH47" s="625"/>
      <c r="AI47" s="625"/>
      <c r="AJ47" s="625"/>
      <c r="AK47" s="625"/>
      <c r="AL47" s="625"/>
      <c r="AM47" s="625"/>
      <c r="AN47" s="625"/>
      <c r="AO47" s="625"/>
      <c r="AP47" s="625"/>
      <c r="AQ47" s="625"/>
      <c r="AR47" s="625"/>
      <c r="AS47" s="625"/>
      <c r="AT47" s="625"/>
    </row>
    <row r="48" spans="1:46" ht="14" x14ac:dyDescent="0.15">
      <c r="A48" s="270" t="str">
        <f>'Tariffs Jul2023'!F42</f>
        <v>GloBird Energy</v>
      </c>
      <c r="B48" s="40" t="str">
        <f>'Tariffs Jul2023'!D42</f>
        <v>AGN North</v>
      </c>
      <c r="C48" s="40" t="str">
        <f>'Tariffs Jul2023'!G42</f>
        <v>GloSave</v>
      </c>
      <c r="D48" s="59">
        <f>365*'Tariffs Jul2023'!H42/100</f>
        <v>233.6</v>
      </c>
      <c r="E48" s="59">
        <f>IF($C$5*'Tariffs Jul2023'!AK42/'Tariffs Jul2023'!AI42&gt;='Tariffs Jul2023'!J42,( 'Tariffs Jul2023'!J42*'Tariffs Jul2023'!O42/100)* 'Tariffs Jul2023'!AI42,($C$5*'Tariffs Jul2023'!AK42/'Tariffs Jul2023'!AI42*'Tariffs Jul2023'!O42/100)* 'Tariffs Jul2023'!AI42)</f>
        <v>308.45454545454538</v>
      </c>
      <c r="F48" s="59">
        <f>IF($C$5*'Tariffs Jul2023'!AK42/'Tariffs Jul2023'!AI42&lt;'Tariffs Jul2023'!J42,0,IF($C$5*'Tariffs Jul2023'!AK42/'Tariffs Jul2023'!AI42&lt;='Tariffs Jul2023'!K42,($C$5*'Tariffs Jul2023'!AK42/'Tariffs Jul2023'!AI42-'Tariffs Jul2023'!J42)*('Tariffs Jul2023'!P42/100)*'Tariffs Jul2023'!AI42,('Tariffs Jul2023'!K42-'Tariffs Jul2023'!J42)*('Tariffs Jul2023'!P42/100)*'Tariffs Jul2023'!AI42))</f>
        <v>0</v>
      </c>
      <c r="G48" s="59">
        <f>IF($C$5*'Tariffs Jul2023'!AK42/'Tariffs Jul2023'!AI42&lt;'Tariffs Jul2023'!K42,0,IF($C$5*'Tariffs Jul2023'!AK42/'Tariffs Jul2023'!AI42&lt;='Tariffs Jul2023'!L42,($C$5*'Tariffs Jul2023'!AK42/'Tariffs Jul2023'!AI42-'Tariffs Jul2023'!K42)*('Tariffs Jul2023'!Q42/100)*'Tariffs Jul2023'!AI42,('Tariffs Jul2023'!L42-'Tariffs Jul2023'!K42)*('Tariffs Jul2023'!Q42/100)*'Tariffs Jul2023'!AI42))</f>
        <v>0</v>
      </c>
      <c r="H48" s="59">
        <f>IF($C$5*'Tariffs Jul2023'!AK42/'Tariffs Jul2023'!AI42&lt;'Tariffs Jul2023'!L42,0,IF($C$5*'Tariffs Jul2023'!AK42/'Tariffs Jul2023'!AI42&lt;='Tariffs Jul2023'!M42,($C$5*'Tariffs Jul2023'!AK42/'Tariffs Jul2023'!AI42-'Tariffs Jul2023'!L42)*('Tariffs Jul2023'!R42/100)*'Tariffs Jul2023'!AI42,('Tariffs Jul2023'!M42-'Tariffs Jul2023'!L42)*('Tariffs Jul2023'!R42/100)*'Tariffs Jul2023'!AI42))</f>
        <v>0</v>
      </c>
      <c r="I48" s="59">
        <f>IF(($C$5*'Tariffs Jul2023'!AK42/'Tariffs Jul2023'!AI42&gt;'Tariffs Jul2023'!M42),($C$5*'Tariffs Jul2023'!AK42/'Tariffs Jul2023'!AI42-'Tariffs Jul2023'!M42)*'Tariffs Jul2023'!S42/100*'Tariffs Jul2023'!AI42,0)</f>
        <v>627.9545454545455</v>
      </c>
      <c r="J48" s="59">
        <f>IF($C$5*'Tariffs Jul2023'!AL42/'Tariffs Jul2023'!AJ42&gt;='Tariffs Jul2023'!J42,('Tariffs Jul2023'!J42*'Tariffs Jul2023'!U42/100)* 'Tariffs Jul2023'!AJ42,($C$5*'Tariffs Jul2023'!AL42/'Tariffs Jul2023'!AJ42*'Tariffs Jul2023'!U42/100)* 'Tariffs Jul2023'!AJ42)</f>
        <v>308.45454545454538</v>
      </c>
      <c r="K48" s="59">
        <f>IF($C$5*'Tariffs Jul2023'!AL42/'Tariffs Jul2023'!AJ42&lt;'Tariffs Jul2023'!J42,0,IF($C$5*'Tariffs Jul2023'!AL42/'Tariffs Jul2023'!AJ42&lt;='Tariffs Jul2023'!K42,($C$5*'Tariffs Jul2023'!AL42/'Tariffs Jul2023'!AJ42-'Tariffs Jul2023'!J42)*('Tariffs Jul2023'!V42/100)*'Tariffs Jul2023'!AJ42,('Tariffs Jul2023'!K42-'Tariffs Jul2023'!J42)*('Tariffs Jul2023'!V42/100)*'Tariffs Jul2023'!AJ42))</f>
        <v>0</v>
      </c>
      <c r="L48" s="59">
        <f>IF($C$5*'Tariffs Jul2023'!AL42/'Tariffs Jul2023'!AJ42&lt;'Tariffs Jul2023'!K42,0,IF($C$5*'Tariffs Jul2023'!AL42/'Tariffs Jul2023'!AJ42&lt;='Tariffs Jul2023'!L42,($C$5*'Tariffs Jul2023'!AL42/'Tariffs Jul2023'!AJ42-'Tariffs Jul2023'!K42)*('Tariffs Jul2023'!W42/100)*'Tariffs Jul2023'!AJ42,('Tariffs Jul2023'!L42-'Tariffs Jul2023'!K42)*('Tariffs Jul2023'!W42/100)*'Tariffs Jul2023'!AJ42))</f>
        <v>0</v>
      </c>
      <c r="M48" s="59">
        <f>IF($C$5*'Tariffs Jul2023'!AL42/'Tariffs Jul2023'!AJ42&lt;'Tariffs Jul2023'!L42,0,IF($C$5*'Tariffs Jul2023'!AL42/'Tariffs Jul2023'!AJ42&lt;='Tariffs Jul2023'!M42,($C$5*'Tariffs Jul2023'!AL42/'Tariffs Jul2023'!AJ42-'Tariffs Jul2023'!L42)*('Tariffs Jul2023'!X42/100)*'Tariffs Jul2023'!AJ42,('Tariffs Jul2023'!M42-'Tariffs Jul2023'!L42)*('Tariffs Jul2023'!X42/100)*'Tariffs Jul2023'!AJ42))</f>
        <v>0</v>
      </c>
      <c r="N48" s="59">
        <f>IF(($C$5*'Tariffs Jul2023'!AL42/'Tariffs Jul2023'!AJ42&gt;'Tariffs Jul2023'!M42),($C$5*'Tariffs Jul2023'!AL42/'Tariffs Jul2023'!AJ42-'Tariffs Jul2023'!M42)*'Tariffs Jul2023'!Y42/100*'Tariffs Jul2023'!AJ42,0)</f>
        <v>627.9545454545455</v>
      </c>
      <c r="O48" s="59">
        <f t="shared" si="1"/>
        <v>1872.8181818181818</v>
      </c>
      <c r="P48" s="503">
        <f t="shared" si="2"/>
        <v>2060.1</v>
      </c>
      <c r="Q48" s="59">
        <f t="shared" si="3"/>
        <v>2106.4181818181819</v>
      </c>
      <c r="R48" s="272">
        <f t="shared" si="4"/>
        <v>2317.0600000000004</v>
      </c>
      <c r="S48" s="40">
        <f>'Tariffs Jul2023'!AN42</f>
        <v>0</v>
      </c>
      <c r="T48" s="40">
        <f>'Tariffs Jul2023'!AO42</f>
        <v>0</v>
      </c>
      <c r="U48" s="40">
        <f>'Tariffs Jul2023'!AP42</f>
        <v>2</v>
      </c>
      <c r="V48" s="637">
        <f>'Tariffs Jul2023'!AQ42</f>
        <v>0</v>
      </c>
      <c r="W48" s="578" t="str">
        <f t="shared" si="60"/>
        <v>Pay-on-time off bill</v>
      </c>
      <c r="X48" s="538" t="str">
        <f t="shared" si="61"/>
        <v>Exclusive</v>
      </c>
      <c r="Y48" s="535">
        <f t="shared" si="64"/>
        <v>2106.4181818181819</v>
      </c>
      <c r="Z48" s="535">
        <f t="shared" si="65"/>
        <v>2064.2898181818182</v>
      </c>
      <c r="AA48" s="542">
        <f t="shared" si="66"/>
        <v>2317.0600000000004</v>
      </c>
      <c r="AB48" s="609">
        <f t="shared" si="66"/>
        <v>2270.7188000000001</v>
      </c>
      <c r="AC48" s="625"/>
      <c r="AD48" s="625"/>
      <c r="AE48" s="625"/>
      <c r="AF48" s="625"/>
      <c r="AG48" s="625"/>
      <c r="AH48" s="625"/>
      <c r="AI48" s="625"/>
      <c r="AJ48" s="625"/>
      <c r="AK48" s="625"/>
      <c r="AL48" s="625"/>
      <c r="AM48" s="625"/>
      <c r="AN48" s="625"/>
      <c r="AO48" s="625"/>
      <c r="AP48" s="625"/>
      <c r="AQ48" s="625"/>
      <c r="AR48" s="625"/>
      <c r="AS48" s="625"/>
      <c r="AT48" s="625"/>
    </row>
    <row r="49" spans="1:46" ht="14" x14ac:dyDescent="0.15">
      <c r="A49" s="270" t="str">
        <f>'Tariffs Jul2023'!F43</f>
        <v>1st Energy</v>
      </c>
      <c r="B49" s="40" t="str">
        <f>'Tariffs Jul2023'!D43</f>
        <v>AGN North</v>
      </c>
      <c r="C49" s="40" t="str">
        <f>'Tariffs Jul2023'!G43</f>
        <v>1st Saver Plus</v>
      </c>
      <c r="D49" s="59">
        <f>365*'Tariffs Jul2023'!H43/100</f>
        <v>288.35000000000002</v>
      </c>
      <c r="E49" s="59">
        <f>IF($C$5*'Tariffs Jul2023'!AK43/'Tariffs Jul2023'!AI43&gt;='Tariffs Jul2023'!J43,( 'Tariffs Jul2023'!J43*'Tariffs Jul2023'!O43/100)* 'Tariffs Jul2023'!AI43,($C$5*'Tariffs Jul2023'!AK43/'Tariffs Jul2023'!AI43*'Tariffs Jul2023'!O43/100)* 'Tariffs Jul2023'!AI43)</f>
        <v>253.79999999999995</v>
      </c>
      <c r="F49" s="59">
        <f>IF($C$5*'Tariffs Jul2023'!AK43/'Tariffs Jul2023'!AI43&lt;'Tariffs Jul2023'!J43,0,IF($C$5*'Tariffs Jul2023'!AK43/'Tariffs Jul2023'!AI43&lt;='Tariffs Jul2023'!K43,($C$5*'Tariffs Jul2023'!AK43/'Tariffs Jul2023'!AI43-'Tariffs Jul2023'!J43)*('Tariffs Jul2023'!P43/100)*'Tariffs Jul2023'!AI43,('Tariffs Jul2023'!K43-'Tariffs Jul2023'!J43)*('Tariffs Jul2023'!P43/100)*'Tariffs Jul2023'!AI43))</f>
        <v>368.99999999999994</v>
      </c>
      <c r="G49" s="59">
        <f>IF($C$5*'Tariffs Jul2023'!AK43/'Tariffs Jul2023'!AI43&lt;'Tariffs Jul2023'!K43,0,IF($C$5*'Tariffs Jul2023'!AK43/'Tariffs Jul2023'!AI43&lt;='Tariffs Jul2023'!L43,($C$5*'Tariffs Jul2023'!AK43/'Tariffs Jul2023'!AI43-'Tariffs Jul2023'!K43)*('Tariffs Jul2023'!Q43/100)*'Tariffs Jul2023'!AI43,('Tariffs Jul2023'!L43-'Tariffs Jul2023'!K43)*('Tariffs Jul2023'!Q43/100)*'Tariffs Jul2023'!AI43))</f>
        <v>0</v>
      </c>
      <c r="H49" s="59">
        <f>IF($C$5*'Tariffs Jul2023'!AK43/'Tariffs Jul2023'!AI43&lt;'Tariffs Jul2023'!L43,0,IF($C$5*'Tariffs Jul2023'!AK43/'Tariffs Jul2023'!AI43&lt;='Tariffs Jul2023'!M43,($C$5*'Tariffs Jul2023'!AK43/'Tariffs Jul2023'!AI43-'Tariffs Jul2023'!L43)*('Tariffs Jul2023'!R43/100)*'Tariffs Jul2023'!AI43,('Tariffs Jul2023'!M43-'Tariffs Jul2023'!L43)*('Tariffs Jul2023'!R43/100)*'Tariffs Jul2023'!AI43))</f>
        <v>0</v>
      </c>
      <c r="I49" s="59">
        <f>IF(($C$5*'Tariffs Jul2023'!AK43/'Tariffs Jul2023'!AI43&gt;'Tariffs Jul2023'!M43),($C$5*'Tariffs Jul2023'!AK43/'Tariffs Jul2023'!AI43-'Tariffs Jul2023'!M43)*'Tariffs Jul2023'!S43/100*'Tariffs Jul2023'!AI43,0)</f>
        <v>598.5</v>
      </c>
      <c r="J49" s="59">
        <f>IF($C$5*'Tariffs Jul2023'!AL43/'Tariffs Jul2023'!AJ43&gt;='Tariffs Jul2023'!J43,('Tariffs Jul2023'!J43*'Tariffs Jul2023'!U43/100)* 'Tariffs Jul2023'!AJ43,($C$5*'Tariffs Jul2023'!AL43/'Tariffs Jul2023'!AJ43*'Tariffs Jul2023'!U43/100)* 'Tariffs Jul2023'!AJ43)</f>
        <v>253.79999999999995</v>
      </c>
      <c r="K49" s="59">
        <f>IF($C$5*'Tariffs Jul2023'!AL43/'Tariffs Jul2023'!AJ43&lt;'Tariffs Jul2023'!J43,0,IF($C$5*'Tariffs Jul2023'!AL43/'Tariffs Jul2023'!AJ43&lt;='Tariffs Jul2023'!K43,($C$5*'Tariffs Jul2023'!AL43/'Tariffs Jul2023'!AJ43-'Tariffs Jul2023'!J43)*('Tariffs Jul2023'!V43/100)*'Tariffs Jul2023'!AJ43,('Tariffs Jul2023'!K43-'Tariffs Jul2023'!J43)*('Tariffs Jul2023'!V43/100)*'Tariffs Jul2023'!AJ43))</f>
        <v>368.99999999999994</v>
      </c>
      <c r="L49" s="59">
        <f>IF($C$5*'Tariffs Jul2023'!AL43/'Tariffs Jul2023'!AJ43&lt;'Tariffs Jul2023'!K43,0,IF($C$5*'Tariffs Jul2023'!AL43/'Tariffs Jul2023'!AJ43&lt;='Tariffs Jul2023'!L43,($C$5*'Tariffs Jul2023'!AL43/'Tariffs Jul2023'!AJ43-'Tariffs Jul2023'!K43)*('Tariffs Jul2023'!W43/100)*'Tariffs Jul2023'!AJ43,('Tariffs Jul2023'!L43-'Tariffs Jul2023'!K43)*('Tariffs Jul2023'!W43/100)*'Tariffs Jul2023'!AJ43))</f>
        <v>0</v>
      </c>
      <c r="M49" s="59">
        <f>IF($C$5*'Tariffs Jul2023'!AL43/'Tariffs Jul2023'!AJ43&lt;'Tariffs Jul2023'!L43,0,IF($C$5*'Tariffs Jul2023'!AL43/'Tariffs Jul2023'!AJ43&lt;='Tariffs Jul2023'!M43,($C$5*'Tariffs Jul2023'!AL43/'Tariffs Jul2023'!AJ43-'Tariffs Jul2023'!L43)*('Tariffs Jul2023'!X43/100)*'Tariffs Jul2023'!AJ43,('Tariffs Jul2023'!M43-'Tariffs Jul2023'!L43)*('Tariffs Jul2023'!X43/100)*'Tariffs Jul2023'!AJ43))</f>
        <v>0</v>
      </c>
      <c r="N49" s="59">
        <f>IF(($C$5*'Tariffs Jul2023'!AL43/'Tariffs Jul2023'!AJ43&gt;'Tariffs Jul2023'!M43),($C$5*'Tariffs Jul2023'!AL43/'Tariffs Jul2023'!AJ43-'Tariffs Jul2023'!M43)*'Tariffs Jul2023'!Y43/100*'Tariffs Jul2023'!AJ43,0)</f>
        <v>598.5</v>
      </c>
      <c r="O49" s="59">
        <f t="shared" si="1"/>
        <v>2442.6</v>
      </c>
      <c r="P49" s="503">
        <f t="shared" si="2"/>
        <v>2686.86</v>
      </c>
      <c r="Q49" s="59">
        <f t="shared" si="3"/>
        <v>2730.95</v>
      </c>
      <c r="R49" s="272">
        <f t="shared" si="4"/>
        <v>3004.0450000000001</v>
      </c>
      <c r="S49" s="40">
        <f>'Tariffs Jul2023'!AN43</f>
        <v>0</v>
      </c>
      <c r="T49" s="40">
        <f>'Tariffs Jul2023'!AO43</f>
        <v>7</v>
      </c>
      <c r="U49" s="40">
        <f>'Tariffs Jul2023'!AP43</f>
        <v>0</v>
      </c>
      <c r="V49" s="637">
        <f>'Tariffs Jul2023'!AQ43</f>
        <v>3</v>
      </c>
      <c r="W49" s="578" t="str">
        <f t="shared" si="60"/>
        <v>Guaranteed off usage</v>
      </c>
      <c r="X49" s="538" t="str">
        <f t="shared" si="61"/>
        <v>Exclusive</v>
      </c>
      <c r="Y49" s="535">
        <f>Q49-(P49*T49)/100</f>
        <v>2542.8697999999999</v>
      </c>
      <c r="Z49" s="535">
        <f>Y49-(P49*V49)/100</f>
        <v>2462.2640000000001</v>
      </c>
      <c r="AA49" s="542">
        <f t="shared" si="66"/>
        <v>2797.1567800000003</v>
      </c>
      <c r="AB49" s="609">
        <f t="shared" si="66"/>
        <v>2708.4904000000001</v>
      </c>
      <c r="AC49" s="625"/>
      <c r="AD49" s="625"/>
      <c r="AE49" s="625"/>
      <c r="AF49" s="625"/>
      <c r="AG49" s="625"/>
      <c r="AH49" s="625"/>
      <c r="AI49" s="625"/>
      <c r="AJ49" s="625"/>
      <c r="AK49" s="625"/>
      <c r="AL49" s="625"/>
      <c r="AM49" s="625"/>
      <c r="AN49" s="625"/>
      <c r="AO49" s="625"/>
      <c r="AP49" s="625"/>
      <c r="AQ49" s="625"/>
      <c r="AR49" s="625"/>
      <c r="AS49" s="625"/>
      <c r="AT49" s="625"/>
    </row>
    <row r="50" spans="1:46" ht="14" x14ac:dyDescent="0.15">
      <c r="A50" s="270" t="str">
        <f>'Tariffs Jul2023'!F44</f>
        <v>Tango Energy</v>
      </c>
      <c r="B50" s="40" t="str">
        <f>'Tariffs Jul2023'!D44</f>
        <v>AGN North</v>
      </c>
      <c r="C50" s="40" t="str">
        <f>'Tariffs Jul2023'!G44</f>
        <v>Home Select</v>
      </c>
      <c r="D50" s="59">
        <f>365*'Tariffs Jul2023'!H44/100</f>
        <v>364.99999999999994</v>
      </c>
      <c r="E50" s="59">
        <f>IF($C$5*'Tariffs Jul2023'!AK44/'Tariffs Jul2023'!AI44&gt;='Tariffs Jul2023'!J44,( 'Tariffs Jul2023'!J44*'Tariffs Jul2023'!O44/100)* 'Tariffs Jul2023'!AI44,($C$5*'Tariffs Jul2023'!AK44/'Tariffs Jul2023'!AI44*'Tariffs Jul2023'!O44/100)* 'Tariffs Jul2023'!AI44)</f>
        <v>182.595</v>
      </c>
      <c r="F50" s="59">
        <f>IF($C$5*'Tariffs Jul2023'!AK44/'Tariffs Jul2023'!AI44&lt;'Tariffs Jul2023'!J44,0,IF($C$5*'Tariffs Jul2023'!AK44/'Tariffs Jul2023'!AI44&lt;='Tariffs Jul2023'!K44,($C$5*'Tariffs Jul2023'!AK44/'Tariffs Jul2023'!AI44-'Tariffs Jul2023'!J44)*('Tariffs Jul2023'!P44/100)*'Tariffs Jul2023'!AI44,('Tariffs Jul2023'!K44-'Tariffs Jul2023'!J44)*('Tariffs Jul2023'!P44/100)*'Tariffs Jul2023'!AI44))</f>
        <v>144.49227272727271</v>
      </c>
      <c r="G50" s="59">
        <f>IF($C$5*'Tariffs Jul2023'!AK44/'Tariffs Jul2023'!AI44&lt;'Tariffs Jul2023'!K44,0,IF($C$5*'Tariffs Jul2023'!AK44/'Tariffs Jul2023'!AI44&lt;='Tariffs Jul2023'!L44,($C$5*'Tariffs Jul2023'!AK44/'Tariffs Jul2023'!AI44-'Tariffs Jul2023'!K44)*('Tariffs Jul2023'!Q44/100)*'Tariffs Jul2023'!AI44,('Tariffs Jul2023'!L44-'Tariffs Jul2023'!K44)*('Tariffs Jul2023'!Q44/100)*'Tariffs Jul2023'!AI44))</f>
        <v>0</v>
      </c>
      <c r="H50" s="59">
        <f>IF($C$5*'Tariffs Jul2023'!AK44/'Tariffs Jul2023'!AI44&lt;'Tariffs Jul2023'!L44,0,IF($C$5*'Tariffs Jul2023'!AK44/'Tariffs Jul2023'!AI44&lt;='Tariffs Jul2023'!M44,($C$5*'Tariffs Jul2023'!AK44/'Tariffs Jul2023'!AI44-'Tariffs Jul2023'!L44)*('Tariffs Jul2023'!R44/100)*'Tariffs Jul2023'!AI44,('Tariffs Jul2023'!M44-'Tariffs Jul2023'!L44)*('Tariffs Jul2023'!R44/100)*'Tariffs Jul2023'!AI44))</f>
        <v>0</v>
      </c>
      <c r="I50" s="59">
        <f>IF(($C$5*'Tariffs Jul2023'!AK44/'Tariffs Jul2023'!AI44&gt;'Tariffs Jul2023'!M44),($C$5*'Tariffs Jul2023'!AK44/'Tariffs Jul2023'!AI44-'Tariffs Jul2023'!M44)*'Tariffs Jul2023'!S44/100*'Tariffs Jul2023'!AI44,0)</f>
        <v>742.5</v>
      </c>
      <c r="J50" s="59">
        <f>IF($C$5*'Tariffs Jul2023'!AL44/'Tariffs Jul2023'!AJ44&gt;='Tariffs Jul2023'!J44,('Tariffs Jul2023'!J44*'Tariffs Jul2023'!U44/100)* 'Tariffs Jul2023'!AJ44,($C$5*'Tariffs Jul2023'!AL44/'Tariffs Jul2023'!AJ44*'Tariffs Jul2023'!U44/100)* 'Tariffs Jul2023'!AJ44)</f>
        <v>182.595</v>
      </c>
      <c r="K50" s="59">
        <f>IF($C$5*'Tariffs Jul2023'!AL44/'Tariffs Jul2023'!AJ44&lt;'Tariffs Jul2023'!J44,0,IF($C$5*'Tariffs Jul2023'!AL44/'Tariffs Jul2023'!AJ44&lt;='Tariffs Jul2023'!K44,($C$5*'Tariffs Jul2023'!AL44/'Tariffs Jul2023'!AJ44-'Tariffs Jul2023'!J44)*('Tariffs Jul2023'!V44/100)*'Tariffs Jul2023'!AJ44,('Tariffs Jul2023'!K44-'Tariffs Jul2023'!J44)*('Tariffs Jul2023'!V44/100)*'Tariffs Jul2023'!AJ44))</f>
        <v>144.49227272727271</v>
      </c>
      <c r="L50" s="59">
        <f>IF($C$5*'Tariffs Jul2023'!AL44/'Tariffs Jul2023'!AJ44&lt;'Tariffs Jul2023'!K44,0,IF($C$5*'Tariffs Jul2023'!AL44/'Tariffs Jul2023'!AJ44&lt;='Tariffs Jul2023'!L44,($C$5*'Tariffs Jul2023'!AL44/'Tariffs Jul2023'!AJ44-'Tariffs Jul2023'!K44)*('Tariffs Jul2023'!W44/100)*'Tariffs Jul2023'!AJ44,('Tariffs Jul2023'!L44-'Tariffs Jul2023'!K44)*('Tariffs Jul2023'!W44/100)*'Tariffs Jul2023'!AJ44))</f>
        <v>0</v>
      </c>
      <c r="M50" s="59">
        <f>IF($C$5*'Tariffs Jul2023'!AL44/'Tariffs Jul2023'!AJ44&lt;'Tariffs Jul2023'!L44,0,IF($C$5*'Tariffs Jul2023'!AL44/'Tariffs Jul2023'!AJ44&lt;='Tariffs Jul2023'!M44,($C$5*'Tariffs Jul2023'!AL44/'Tariffs Jul2023'!AJ44-'Tariffs Jul2023'!L44)*('Tariffs Jul2023'!X44/100)*'Tariffs Jul2023'!AJ44,('Tariffs Jul2023'!M44-'Tariffs Jul2023'!L44)*('Tariffs Jul2023'!X44/100)*'Tariffs Jul2023'!AJ44))</f>
        <v>0</v>
      </c>
      <c r="N50" s="59">
        <f>IF(($C$5*'Tariffs Jul2023'!AL44/'Tariffs Jul2023'!AJ44&gt;'Tariffs Jul2023'!M44),($C$5*'Tariffs Jul2023'!AL44/'Tariffs Jul2023'!AJ44-'Tariffs Jul2023'!M44)*'Tariffs Jul2023'!Y44/100*'Tariffs Jul2023'!AJ44,0)</f>
        <v>742.5</v>
      </c>
      <c r="O50" s="59">
        <f>SUM(E50:N50)</f>
        <v>2139.1745454545453</v>
      </c>
      <c r="P50" s="503">
        <f t="shared" si="2"/>
        <v>2353.0920000000001</v>
      </c>
      <c r="Q50" s="59">
        <f>D50+O50</f>
        <v>2504.1745454545453</v>
      </c>
      <c r="R50" s="272">
        <f>Q50*1.1</f>
        <v>2754.5920000000001</v>
      </c>
      <c r="S50" s="40">
        <f>'Tariffs Jul2023'!AN44</f>
        <v>0</v>
      </c>
      <c r="T50" s="40">
        <f>'Tariffs Jul2023'!AO44</f>
        <v>0</v>
      </c>
      <c r="U50" s="40">
        <f>'Tariffs Jul2023'!AP44</f>
        <v>0</v>
      </c>
      <c r="V50" s="637">
        <f>'Tariffs Jul2023'!AQ44</f>
        <v>0</v>
      </c>
      <c r="W50" s="578" t="str">
        <f t="shared" si="60"/>
        <v>No discount</v>
      </c>
      <c r="X50" s="538" t="str">
        <f t="shared" si="61"/>
        <v>Exclusive</v>
      </c>
      <c r="Y50" s="535">
        <f t="shared" ref="Y50:Y52" si="67">IF(AND(W50="Guaranteed off bill",X50="Inclusive"),((Q50*1.1)-((Q50*1.1)*S50/100))/1.1,IF(AND(W50="Guaranteed off usage",X50="Inclusive"),((Q50*1.1)-((P50*1.1)*T50/100))/1.1,IF(AND(W50="Guaranteed off bill",X50="Exclusive"),Q50-(Q50*S50/100),IF(AND(W50="Guaranteed off usage",X50="Exclusive"),Q50-(P50*T50/100),IF(X50="Inclusive",((Q50*1.1))/1.1,Q50)))))</f>
        <v>2504.1745454545453</v>
      </c>
      <c r="Z50" s="535">
        <f t="shared" ref="Z50:Z52" si="68">IF(AND(W50="Pay-on-time off bill",X50="Inclusive"),((Y50*1.1)-((Y50*1.1)*U50/100))/1.1,IF(AND(W50="Pay-on-time off usage",X50="Inclusive"),((Y50*1.1)-((P50*1.1)*V50/100))/1.1,IF(AND(W50="Pay-on-time off bill",X50="Exclusive"),Y50-(Y50*U50/100),IF(AND(W50="Pay-on-time off usage",X50="Exclusive"),Y50-(P50*V50/100),IF(X50="Inclusive",((Y50*1.1))/1.1,Y50)))))</f>
        <v>2504.1745454545453</v>
      </c>
      <c r="AA50" s="542">
        <f t="shared" si="66"/>
        <v>2754.5920000000001</v>
      </c>
      <c r="AB50" s="609">
        <f t="shared" si="66"/>
        <v>2754.5920000000001</v>
      </c>
      <c r="AC50" s="625"/>
      <c r="AD50" s="625"/>
      <c r="AE50" s="625"/>
      <c r="AF50" s="625"/>
      <c r="AG50" s="625"/>
      <c r="AH50" s="625"/>
      <c r="AI50" s="625"/>
      <c r="AJ50" s="625"/>
      <c r="AK50" s="625"/>
      <c r="AL50" s="625"/>
      <c r="AM50" s="625"/>
      <c r="AN50" s="625"/>
      <c r="AO50" s="625"/>
      <c r="AP50" s="625"/>
      <c r="AQ50" s="625"/>
      <c r="AR50" s="625"/>
      <c r="AS50" s="625"/>
      <c r="AT50" s="625"/>
    </row>
    <row r="51" spans="1:46" ht="14" x14ac:dyDescent="0.15">
      <c r="A51" s="270" t="str">
        <f>'Tariffs Jul2023'!F45</f>
        <v>Momentum Energy</v>
      </c>
      <c r="B51" s="40" t="str">
        <f>'Tariffs Jul2023'!D45</f>
        <v>AGN North</v>
      </c>
      <c r="C51" s="40" t="str">
        <f>'Tariffs Jul2023'!G45</f>
        <v>Nothing Fancy</v>
      </c>
      <c r="D51" s="59">
        <f>365*'Tariffs Jul2023'!H45/100</f>
        <v>354.41500000000002</v>
      </c>
      <c r="E51" s="59">
        <f>IF($C$5*'Tariffs Jul2023'!AK45/'Tariffs Jul2023'!AI45&gt;='Tariffs Jul2023'!J45,( 'Tariffs Jul2023'!J45*'Tariffs Jul2023'!O45/100)* 'Tariffs Jul2023'!AI45,($C$5*'Tariffs Jul2023'!AK45/'Tariffs Jul2023'!AI45*'Tariffs Jul2023'!O45/100)* 'Tariffs Jul2023'!AI45)</f>
        <v>172.72500000000002</v>
      </c>
      <c r="F51" s="59">
        <f>IF($C$5*'Tariffs Jul2023'!AK45/'Tariffs Jul2023'!AI45&lt;'Tariffs Jul2023'!J45,0,IF($C$5*'Tariffs Jul2023'!AK45/'Tariffs Jul2023'!AI45&lt;='Tariffs Jul2023'!K45,($C$5*'Tariffs Jul2023'!AK45/'Tariffs Jul2023'!AI45-'Tariffs Jul2023'!J45)*('Tariffs Jul2023'!P45/100)*'Tariffs Jul2023'!AI45,('Tariffs Jul2023'!K45-'Tariffs Jul2023'!J45)*('Tariffs Jul2023'!P45/100)*'Tariffs Jul2023'!AI45))</f>
        <v>121.94999999999997</v>
      </c>
      <c r="G51" s="59">
        <f>IF($C$5*'Tariffs Jul2023'!AK45/'Tariffs Jul2023'!AI45&lt;'Tariffs Jul2023'!K45,0,IF($C$5*'Tariffs Jul2023'!AK45/'Tariffs Jul2023'!AI45&lt;='Tariffs Jul2023'!L45,($C$5*'Tariffs Jul2023'!AK45/'Tariffs Jul2023'!AI45-'Tariffs Jul2023'!K45)*('Tariffs Jul2023'!Q45/100)*'Tariffs Jul2023'!AI45,('Tariffs Jul2023'!L45-'Tariffs Jul2023'!K45)*('Tariffs Jul2023'!Q45/100)*'Tariffs Jul2023'!AI45))</f>
        <v>0</v>
      </c>
      <c r="H51" s="59">
        <f>IF($C$5*'Tariffs Jul2023'!AK45/'Tariffs Jul2023'!AI45&lt;'Tariffs Jul2023'!L45,0,IF($C$5*'Tariffs Jul2023'!AK45/'Tariffs Jul2023'!AI45&lt;='Tariffs Jul2023'!M45,($C$5*'Tariffs Jul2023'!AK45/'Tariffs Jul2023'!AI45-'Tariffs Jul2023'!L45)*('Tariffs Jul2023'!R45/100)*'Tariffs Jul2023'!AI45,('Tariffs Jul2023'!M45-'Tariffs Jul2023'!L45)*('Tariffs Jul2023'!R45/100)*'Tariffs Jul2023'!AI45))</f>
        <v>0</v>
      </c>
      <c r="I51" s="59">
        <f>IF(($C$5*'Tariffs Jul2023'!AK45/'Tariffs Jul2023'!AI45&gt;'Tariffs Jul2023'!M45),($C$5*'Tariffs Jul2023'!AK45/'Tariffs Jul2023'!AI45-'Tariffs Jul2023'!M45)*'Tariffs Jul2023'!S45/100*'Tariffs Jul2023'!AI45,0)</f>
        <v>584.99999999999989</v>
      </c>
      <c r="J51" s="59">
        <f>IF($C$5*'Tariffs Jul2023'!AL45/'Tariffs Jul2023'!AJ45&gt;='Tariffs Jul2023'!J45,('Tariffs Jul2023'!J45*'Tariffs Jul2023'!U45/100)* 'Tariffs Jul2023'!AJ45,($C$5*'Tariffs Jul2023'!AL45/'Tariffs Jul2023'!AJ45*'Tariffs Jul2023'!U45/100)* 'Tariffs Jul2023'!AJ45)</f>
        <v>172.72500000000002</v>
      </c>
      <c r="K51" s="59">
        <f>IF($C$5*'Tariffs Jul2023'!AL45/'Tariffs Jul2023'!AJ45&lt;'Tariffs Jul2023'!J45,0,IF($C$5*'Tariffs Jul2023'!AL45/'Tariffs Jul2023'!AJ45&lt;='Tariffs Jul2023'!K45,($C$5*'Tariffs Jul2023'!AL45/'Tariffs Jul2023'!AJ45-'Tariffs Jul2023'!J45)*('Tariffs Jul2023'!V45/100)*'Tariffs Jul2023'!AJ45,('Tariffs Jul2023'!K45-'Tariffs Jul2023'!J45)*('Tariffs Jul2023'!V45/100)*'Tariffs Jul2023'!AJ45))</f>
        <v>121.94999999999997</v>
      </c>
      <c r="L51" s="59">
        <f>IF($C$5*'Tariffs Jul2023'!AL45/'Tariffs Jul2023'!AJ45&lt;'Tariffs Jul2023'!K45,0,IF($C$5*'Tariffs Jul2023'!AL45/'Tariffs Jul2023'!AJ45&lt;='Tariffs Jul2023'!L45,($C$5*'Tariffs Jul2023'!AL45/'Tariffs Jul2023'!AJ45-'Tariffs Jul2023'!K45)*('Tariffs Jul2023'!W45/100)*'Tariffs Jul2023'!AJ45,('Tariffs Jul2023'!L45-'Tariffs Jul2023'!K45)*('Tariffs Jul2023'!W45/100)*'Tariffs Jul2023'!AJ45))</f>
        <v>0</v>
      </c>
      <c r="M51" s="59">
        <f>IF($C$5*'Tariffs Jul2023'!AL45/'Tariffs Jul2023'!AJ45&lt;'Tariffs Jul2023'!L45,0,IF($C$5*'Tariffs Jul2023'!AL45/'Tariffs Jul2023'!AJ45&lt;='Tariffs Jul2023'!M45,($C$5*'Tariffs Jul2023'!AL45/'Tariffs Jul2023'!AJ45-'Tariffs Jul2023'!L45)*('Tariffs Jul2023'!X45/100)*'Tariffs Jul2023'!AJ45,('Tariffs Jul2023'!M45-'Tariffs Jul2023'!L45)*('Tariffs Jul2023'!X45/100)*'Tariffs Jul2023'!AJ45))</f>
        <v>0</v>
      </c>
      <c r="N51" s="59">
        <f>IF(($C$5*'Tariffs Jul2023'!AL45/'Tariffs Jul2023'!AJ45&gt;'Tariffs Jul2023'!M45),($C$5*'Tariffs Jul2023'!AL45/'Tariffs Jul2023'!AJ45-'Tariffs Jul2023'!M45)*'Tariffs Jul2023'!Y45/100*'Tariffs Jul2023'!AJ45,0)</f>
        <v>584.99999999999989</v>
      </c>
      <c r="O51" s="59">
        <f>SUM(E51:N51)</f>
        <v>1759.35</v>
      </c>
      <c r="P51" s="503">
        <f t="shared" si="2"/>
        <v>1935.2850000000001</v>
      </c>
      <c r="Q51" s="59">
        <f>D51+O51</f>
        <v>2113.7649999999999</v>
      </c>
      <c r="R51" s="272">
        <f>Q51*1.1</f>
        <v>2325.1415000000002</v>
      </c>
      <c r="S51" s="40">
        <f>'Tariffs Jul2023'!AN45</f>
        <v>0</v>
      </c>
      <c r="T51" s="40">
        <f>'Tariffs Jul2023'!AO45</f>
        <v>0</v>
      </c>
      <c r="U51" s="40">
        <f>'Tariffs Jul2023'!AP45</f>
        <v>0</v>
      </c>
      <c r="V51" s="637">
        <f>'Tariffs Jul2023'!AQ45</f>
        <v>0</v>
      </c>
      <c r="W51" s="578" t="str">
        <f t="shared" si="60"/>
        <v>No discount</v>
      </c>
      <c r="X51" s="538" t="str">
        <f t="shared" si="61"/>
        <v>Exclusive</v>
      </c>
      <c r="Y51" s="535">
        <f t="shared" si="67"/>
        <v>2113.7649999999999</v>
      </c>
      <c r="Z51" s="535">
        <f t="shared" si="68"/>
        <v>2113.7649999999999</v>
      </c>
      <c r="AA51" s="542">
        <f t="shared" si="66"/>
        <v>2325.1415000000002</v>
      </c>
      <c r="AB51" s="609">
        <f t="shared" si="66"/>
        <v>2325.1415000000002</v>
      </c>
      <c r="AC51" s="625"/>
      <c r="AD51" s="625"/>
      <c r="AE51" s="625"/>
      <c r="AF51" s="625"/>
      <c r="AG51" s="625"/>
      <c r="AH51" s="625"/>
      <c r="AI51" s="625"/>
      <c r="AJ51" s="625"/>
      <c r="AK51" s="625"/>
      <c r="AL51" s="625"/>
      <c r="AM51" s="625"/>
      <c r="AN51" s="625"/>
      <c r="AO51" s="625"/>
      <c r="AP51" s="625"/>
      <c r="AQ51" s="625"/>
      <c r="AR51" s="625"/>
      <c r="AS51" s="625"/>
      <c r="AT51" s="625"/>
    </row>
    <row r="52" spans="1:46" ht="14" x14ac:dyDescent="0.15">
      <c r="A52" s="270" t="str">
        <f>'Tariffs Jul2023'!F46</f>
        <v>Sumo Power</v>
      </c>
      <c r="B52" s="40" t="str">
        <f>'Tariffs Jul2023'!D46</f>
        <v>AGN North</v>
      </c>
      <c r="C52" s="40" t="str">
        <f>'Tariffs Jul2023'!G46</f>
        <v>Lite</v>
      </c>
      <c r="D52" s="59">
        <f>365*'Tariffs Jul2023'!H46/100</f>
        <v>255.5</v>
      </c>
      <c r="E52" s="59">
        <f>IF($C$5*'Tariffs Jul2023'!AK46/'Tariffs Jul2023'!AI46&gt;='Tariffs Jul2023'!J46,( 'Tariffs Jul2023'!J46*'Tariffs Jul2023'!O46/100)* 'Tariffs Jul2023'!AI46,($C$5*'Tariffs Jul2023'!AK46/'Tariffs Jul2023'!AI46*'Tariffs Jul2023'!O46/100)* 'Tariffs Jul2023'!AI46)</f>
        <v>138.18</v>
      </c>
      <c r="F52" s="59">
        <f>IF($C$5*'Tariffs Jul2023'!AK46/'Tariffs Jul2023'!AI46&lt;'Tariffs Jul2023'!J46,0,IF($C$5*'Tariffs Jul2023'!AK46/'Tariffs Jul2023'!AI46&lt;='Tariffs Jul2023'!K46,($C$5*'Tariffs Jul2023'!AK46/'Tariffs Jul2023'!AI46-'Tariffs Jul2023'!J46)*('Tariffs Jul2023'!P46/100)*'Tariffs Jul2023'!AI46,('Tariffs Jul2023'!K46-'Tariffs Jul2023'!J46)*('Tariffs Jul2023'!P46/100)*'Tariffs Jul2023'!AI46))</f>
        <v>107.9072727272727</v>
      </c>
      <c r="G52" s="59">
        <f>IF($C$5*'Tariffs Jul2023'!AK46/'Tariffs Jul2023'!AI46&lt;'Tariffs Jul2023'!K46,0,IF($C$5*'Tariffs Jul2023'!AK46/'Tariffs Jul2023'!AI46&lt;='Tariffs Jul2023'!L46,($C$5*'Tariffs Jul2023'!AK46/'Tariffs Jul2023'!AI46-'Tariffs Jul2023'!K46)*('Tariffs Jul2023'!Q46/100)*'Tariffs Jul2023'!AI46,('Tariffs Jul2023'!L46-'Tariffs Jul2023'!K46)*('Tariffs Jul2023'!Q46/100)*'Tariffs Jul2023'!AI46))</f>
        <v>0</v>
      </c>
      <c r="H52" s="59">
        <f>IF($C$5*'Tariffs Jul2023'!AK46/'Tariffs Jul2023'!AI46&lt;'Tariffs Jul2023'!L46,0,IF($C$5*'Tariffs Jul2023'!AK46/'Tariffs Jul2023'!AI46&lt;='Tariffs Jul2023'!M46,($C$5*'Tariffs Jul2023'!AK46/'Tariffs Jul2023'!AI46-'Tariffs Jul2023'!L46)*('Tariffs Jul2023'!R46/100)*'Tariffs Jul2023'!AI46,('Tariffs Jul2023'!M46-'Tariffs Jul2023'!L46)*('Tariffs Jul2023'!R46/100)*'Tariffs Jul2023'!AI46))</f>
        <v>0</v>
      </c>
      <c r="I52" s="59">
        <f>IF(($C$5*'Tariffs Jul2023'!AK46/'Tariffs Jul2023'!AI46&gt;'Tariffs Jul2023'!M46),($C$5*'Tariffs Jul2023'!AK46/'Tariffs Jul2023'!AI46-'Tariffs Jul2023'!M46)*'Tariffs Jul2023'!S46/100*'Tariffs Jul2023'!AI46,0)</f>
        <v>562.5</v>
      </c>
      <c r="J52" s="59">
        <f>IF($C$5*'Tariffs Jul2023'!AL46/'Tariffs Jul2023'!AJ46&gt;='Tariffs Jul2023'!J46,('Tariffs Jul2023'!J46*'Tariffs Jul2023'!U46/100)* 'Tariffs Jul2023'!AJ46,($C$5*'Tariffs Jul2023'!AL46/'Tariffs Jul2023'!AJ46*'Tariffs Jul2023'!U46/100)* 'Tariffs Jul2023'!AJ46)</f>
        <v>138.18</v>
      </c>
      <c r="K52" s="59">
        <f>IF($C$5*'Tariffs Jul2023'!AL46/'Tariffs Jul2023'!AJ46&lt;'Tariffs Jul2023'!J46,0,IF($C$5*'Tariffs Jul2023'!AL46/'Tariffs Jul2023'!AJ46&lt;='Tariffs Jul2023'!K46,($C$5*'Tariffs Jul2023'!AL46/'Tariffs Jul2023'!AJ46-'Tariffs Jul2023'!J46)*('Tariffs Jul2023'!V46/100)*'Tariffs Jul2023'!AJ46,('Tariffs Jul2023'!K46-'Tariffs Jul2023'!J46)*('Tariffs Jul2023'!V46/100)*'Tariffs Jul2023'!AJ46))</f>
        <v>107.9072727272727</v>
      </c>
      <c r="L52" s="59">
        <f>IF($C$5*'Tariffs Jul2023'!AL46/'Tariffs Jul2023'!AJ46&lt;'Tariffs Jul2023'!K46,0,IF($C$5*'Tariffs Jul2023'!AL46/'Tariffs Jul2023'!AJ46&lt;='Tariffs Jul2023'!L46,($C$5*'Tariffs Jul2023'!AL46/'Tariffs Jul2023'!AJ46-'Tariffs Jul2023'!K46)*('Tariffs Jul2023'!W46/100)*'Tariffs Jul2023'!AJ46,('Tariffs Jul2023'!L46-'Tariffs Jul2023'!K46)*('Tariffs Jul2023'!W46/100)*'Tariffs Jul2023'!AJ46))</f>
        <v>0</v>
      </c>
      <c r="M52" s="59">
        <f>IF($C$5*'Tariffs Jul2023'!AL46/'Tariffs Jul2023'!AJ46&lt;'Tariffs Jul2023'!L46,0,IF($C$5*'Tariffs Jul2023'!AL46/'Tariffs Jul2023'!AJ46&lt;='Tariffs Jul2023'!M46,($C$5*'Tariffs Jul2023'!AL46/'Tariffs Jul2023'!AJ46-'Tariffs Jul2023'!L46)*('Tariffs Jul2023'!X46/100)*'Tariffs Jul2023'!AJ46,('Tariffs Jul2023'!M46-'Tariffs Jul2023'!L46)*('Tariffs Jul2023'!X46/100)*'Tariffs Jul2023'!AJ46))</f>
        <v>0</v>
      </c>
      <c r="N52" s="59">
        <f>IF(($C$5*'Tariffs Jul2023'!AL46/'Tariffs Jul2023'!AJ46&gt;'Tariffs Jul2023'!M46),($C$5*'Tariffs Jul2023'!AL46/'Tariffs Jul2023'!AJ46-'Tariffs Jul2023'!M46)*'Tariffs Jul2023'!Y46/100*'Tariffs Jul2023'!AJ46,0)</f>
        <v>562.5</v>
      </c>
      <c r="O52" s="59">
        <f>SUM(E52:N52)</f>
        <v>1617.1745454545453</v>
      </c>
      <c r="P52" s="503">
        <f t="shared" si="2"/>
        <v>1778.8920000000001</v>
      </c>
      <c r="Q52" s="59">
        <f>D52+O52</f>
        <v>1872.6745454545453</v>
      </c>
      <c r="R52" s="272">
        <f>Q52*1.1</f>
        <v>2059.942</v>
      </c>
      <c r="S52" s="40">
        <f>'Tariffs Jul2023'!AN46</f>
        <v>0</v>
      </c>
      <c r="T52" s="40">
        <f>'Tariffs Jul2023'!AO46</f>
        <v>0</v>
      </c>
      <c r="U52" s="40">
        <f>'Tariffs Jul2023'!AP46</f>
        <v>0</v>
      </c>
      <c r="V52" s="637">
        <f>'Tariffs Jul2023'!AQ46</f>
        <v>0</v>
      </c>
      <c r="W52" s="578" t="str">
        <f t="shared" si="60"/>
        <v>No discount</v>
      </c>
      <c r="X52" s="538" t="str">
        <f t="shared" si="61"/>
        <v>Exclusive</v>
      </c>
      <c r="Y52" s="535">
        <f t="shared" si="67"/>
        <v>1872.6745454545453</v>
      </c>
      <c r="Z52" s="535">
        <f t="shared" si="68"/>
        <v>1872.6745454545453</v>
      </c>
      <c r="AA52" s="542">
        <f t="shared" si="66"/>
        <v>2059.942</v>
      </c>
      <c r="AB52" s="609">
        <f t="shared" si="66"/>
        <v>2059.942</v>
      </c>
      <c r="AC52" s="625"/>
      <c r="AD52" s="625"/>
      <c r="AE52" s="625"/>
      <c r="AF52" s="625"/>
      <c r="AG52" s="625"/>
      <c r="AH52" s="625"/>
      <c r="AI52" s="625"/>
      <c r="AJ52" s="625"/>
      <c r="AK52" s="625"/>
      <c r="AL52" s="625"/>
      <c r="AM52" s="625"/>
      <c r="AN52" s="625"/>
      <c r="AO52" s="625"/>
      <c r="AP52" s="625"/>
      <c r="AQ52" s="625"/>
      <c r="AR52" s="625"/>
      <c r="AS52" s="625"/>
      <c r="AT52" s="625"/>
    </row>
    <row r="53" spans="1:46" ht="14" x14ac:dyDescent="0.15">
      <c r="A53" s="270" t="str">
        <f>'Tariffs Jul2023'!F47</f>
        <v>CovaU</v>
      </c>
      <c r="B53" s="40" t="str">
        <f>'Tariffs Jul2023'!D47</f>
        <v>AGN North</v>
      </c>
      <c r="C53" s="40" t="str">
        <f>'Tariffs Jul2023'!G47</f>
        <v>Super Saver</v>
      </c>
      <c r="D53" s="59">
        <f>365*'Tariffs Jul2023'!H47/100</f>
        <v>257.17899999999997</v>
      </c>
      <c r="E53" s="59">
        <f>IF($C$5*'Tariffs Jul2023'!AK47/'Tariffs Jul2023'!AI47&gt;='Tariffs Jul2023'!J47,( 'Tariffs Jul2023'!J47*'Tariffs Jul2023'!O47/100)* 'Tariffs Jul2023'!AI47,($C$5*'Tariffs Jul2023'!AK47/'Tariffs Jul2023'!AI47*'Tariffs Jul2023'!O47/100)* 'Tariffs Jul2023'!AI47)</f>
        <v>151.6390909090909</v>
      </c>
      <c r="F53" s="59">
        <f>IF($C$5*'Tariffs Jul2023'!AK47/'Tariffs Jul2023'!AI47&lt;'Tariffs Jul2023'!J47,0,IF($C$5*'Tariffs Jul2023'!AK47/'Tariffs Jul2023'!AI47&lt;='Tariffs Jul2023'!K47,($C$5*'Tariffs Jul2023'!AK47/'Tariffs Jul2023'!AI47-'Tariffs Jul2023'!J47)*('Tariffs Jul2023'!P47/100)*'Tariffs Jul2023'!AI47,('Tariffs Jul2023'!K47-'Tariffs Jul2023'!J47)*('Tariffs Jul2023'!P47/100)*'Tariffs Jul2023'!AI47))</f>
        <v>115.29818181818183</v>
      </c>
      <c r="G53" s="59">
        <f>IF($C$5*'Tariffs Jul2023'!AK47/'Tariffs Jul2023'!AI47&lt;'Tariffs Jul2023'!K47,0,IF($C$5*'Tariffs Jul2023'!AK47/'Tariffs Jul2023'!AI47&lt;='Tariffs Jul2023'!L47,($C$5*'Tariffs Jul2023'!AK47/'Tariffs Jul2023'!AI47-'Tariffs Jul2023'!K47)*('Tariffs Jul2023'!Q47/100)*'Tariffs Jul2023'!AI47,('Tariffs Jul2023'!L47-'Tariffs Jul2023'!K47)*('Tariffs Jul2023'!Q47/100)*'Tariffs Jul2023'!AI47))</f>
        <v>0</v>
      </c>
      <c r="H53" s="59">
        <f>IF($C$5*'Tariffs Jul2023'!AK47/'Tariffs Jul2023'!AI47&lt;'Tariffs Jul2023'!L47,0,IF($C$5*'Tariffs Jul2023'!AK47/'Tariffs Jul2023'!AI47&lt;='Tariffs Jul2023'!M47,($C$5*'Tariffs Jul2023'!AK47/'Tariffs Jul2023'!AI47-'Tariffs Jul2023'!L47)*('Tariffs Jul2023'!R47/100)*'Tariffs Jul2023'!AI47,('Tariffs Jul2023'!M47-'Tariffs Jul2023'!L47)*('Tariffs Jul2023'!R47/100)*'Tariffs Jul2023'!AI47))</f>
        <v>0</v>
      </c>
      <c r="I53" s="59">
        <f>IF(($C$5*'Tariffs Jul2023'!AK47/'Tariffs Jul2023'!AI47&gt;'Tariffs Jul2023'!M47),($C$5*'Tariffs Jul2023'!AK47/'Tariffs Jul2023'!AI47-'Tariffs Jul2023'!M47)*'Tariffs Jul2023'!S47/100*'Tariffs Jul2023'!AI47,0)</f>
        <v>501.13636363636363</v>
      </c>
      <c r="J53" s="59">
        <f>IF($C$5*'Tariffs Jul2023'!AL47/'Tariffs Jul2023'!AJ47&gt;='Tariffs Jul2023'!J47,('Tariffs Jul2023'!J47*'Tariffs Jul2023'!U47/100)* 'Tariffs Jul2023'!AJ47,($C$5*'Tariffs Jul2023'!AL47/'Tariffs Jul2023'!AJ47*'Tariffs Jul2023'!U47/100)* 'Tariffs Jul2023'!AJ47)</f>
        <v>151.6390909090909</v>
      </c>
      <c r="K53" s="59">
        <f>IF($C$5*'Tariffs Jul2023'!AL47/'Tariffs Jul2023'!AJ47&lt;'Tariffs Jul2023'!J47,0,IF($C$5*'Tariffs Jul2023'!AL47/'Tariffs Jul2023'!AJ47&lt;='Tariffs Jul2023'!K47,($C$5*'Tariffs Jul2023'!AL47/'Tariffs Jul2023'!AJ47-'Tariffs Jul2023'!J47)*('Tariffs Jul2023'!V47/100)*'Tariffs Jul2023'!AJ47,('Tariffs Jul2023'!K47-'Tariffs Jul2023'!J47)*('Tariffs Jul2023'!V47/100)*'Tariffs Jul2023'!AJ47))</f>
        <v>115.29818181818183</v>
      </c>
      <c r="L53" s="59">
        <f>IF($C$5*'Tariffs Jul2023'!AL47/'Tariffs Jul2023'!AJ47&lt;'Tariffs Jul2023'!K47,0,IF($C$5*'Tariffs Jul2023'!AL47/'Tariffs Jul2023'!AJ47&lt;='Tariffs Jul2023'!L47,($C$5*'Tariffs Jul2023'!AL47/'Tariffs Jul2023'!AJ47-'Tariffs Jul2023'!K47)*('Tariffs Jul2023'!W47/100)*'Tariffs Jul2023'!AJ47,('Tariffs Jul2023'!L47-'Tariffs Jul2023'!K47)*('Tariffs Jul2023'!W47/100)*'Tariffs Jul2023'!AJ47))</f>
        <v>0</v>
      </c>
      <c r="M53" s="59">
        <f>IF($C$5*'Tariffs Jul2023'!AL47/'Tariffs Jul2023'!AJ47&lt;'Tariffs Jul2023'!L47,0,IF($C$5*'Tariffs Jul2023'!AL47/'Tariffs Jul2023'!AJ47&lt;='Tariffs Jul2023'!M47,($C$5*'Tariffs Jul2023'!AL47/'Tariffs Jul2023'!AJ47-'Tariffs Jul2023'!L47)*('Tariffs Jul2023'!X47/100)*'Tariffs Jul2023'!AJ47,('Tariffs Jul2023'!M47-'Tariffs Jul2023'!L47)*('Tariffs Jul2023'!X47/100)*'Tariffs Jul2023'!AJ47))</f>
        <v>0</v>
      </c>
      <c r="N53" s="59">
        <f>IF(($C$5*'Tariffs Jul2023'!AL47/'Tariffs Jul2023'!AJ47&gt;'Tariffs Jul2023'!M47),($C$5*'Tariffs Jul2023'!AL47/'Tariffs Jul2023'!AJ47-'Tariffs Jul2023'!M47)*'Tariffs Jul2023'!Y47/100*'Tariffs Jul2023'!AJ47,0)</f>
        <v>501.13636363636363</v>
      </c>
      <c r="O53" s="59">
        <f>SUM(E53:N53)</f>
        <v>1536.1472727272726</v>
      </c>
      <c r="P53" s="503">
        <f t="shared" ref="P53" si="69">O53*1.1</f>
        <v>1689.7619999999999</v>
      </c>
      <c r="Q53" s="59">
        <f>D53+O53</f>
        <v>1793.3262727272727</v>
      </c>
      <c r="R53" s="272">
        <f>Q53*1.1</f>
        <v>1972.6589000000001</v>
      </c>
      <c r="S53" s="40">
        <f>'Tariffs Jul2023'!AN47</f>
        <v>0</v>
      </c>
      <c r="T53" s="40">
        <f>'Tariffs Jul2023'!AO47</f>
        <v>0</v>
      </c>
      <c r="U53" s="40">
        <f>'Tariffs Jul2023'!AP47</f>
        <v>0</v>
      </c>
      <c r="V53" s="637">
        <f>'Tariffs Jul2023'!AQ47</f>
        <v>0</v>
      </c>
      <c r="W53" s="578" t="str">
        <f t="shared" ref="W53" si="70">IF(SUM(S53:V53)=0,"No discount",IF(S53&gt;0,"Guaranteed off bill",IF(T53&gt;0,"Guaranteed off usage",IF(U53&gt;0,"Pay-on-time off bill","Pay-on-time off usage"))))</f>
        <v>No discount</v>
      </c>
      <c r="X53" s="538" t="str">
        <f t="shared" ref="X53" si="71">IF(OR(A53="Origin Energy",A53="Red Energy",A53="Powershop"),"Inclusive","Exclusive")</f>
        <v>Exclusive</v>
      </c>
      <c r="Y53" s="535">
        <f t="shared" ref="Y53" si="72">IF(AND(W53="Guaranteed off bill",X53="Inclusive"),((Q53*1.1)-((Q53*1.1)*S53/100))/1.1,IF(AND(W53="Guaranteed off usage",X53="Inclusive"),((Q53*1.1)-((P53*1.1)*T53/100))/1.1,IF(AND(W53="Guaranteed off bill",X53="Exclusive"),Q53-(Q53*S53/100),IF(AND(W53="Guaranteed off usage",X53="Exclusive"),Q53-(P53*T53/100),IF(X53="Inclusive",((Q53*1.1))/1.1,Q53)))))</f>
        <v>1793.3262727272727</v>
      </c>
      <c r="Z53" s="535">
        <f t="shared" ref="Z53" si="73">IF(AND(W53="Pay-on-time off bill",X53="Inclusive"),((Y53*1.1)-((Y53*1.1)*U53/100))/1.1,IF(AND(W53="Pay-on-time off usage",X53="Inclusive"),((Y53*1.1)-((P53*1.1)*V53/100))/1.1,IF(AND(W53="Pay-on-time off bill",X53="Exclusive"),Y53-(Y53*U53/100),IF(AND(W53="Pay-on-time off usage",X53="Exclusive"),Y53-(P53*V53/100),IF(X53="Inclusive",((Y53*1.1))/1.1,Y53)))))</f>
        <v>1793.3262727272727</v>
      </c>
      <c r="AA53" s="542">
        <f t="shared" ref="AA53" si="74">Y53*1.1</f>
        <v>1972.6589000000001</v>
      </c>
      <c r="AB53" s="609">
        <f t="shared" ref="AB53" si="75">Z53*1.1</f>
        <v>1972.6589000000001</v>
      </c>
      <c r="AC53" s="625"/>
      <c r="AD53" s="625"/>
      <c r="AE53" s="625"/>
      <c r="AF53" s="625"/>
      <c r="AG53" s="625"/>
      <c r="AH53" s="625"/>
      <c r="AI53" s="625"/>
      <c r="AJ53" s="625"/>
      <c r="AK53" s="625"/>
      <c r="AL53" s="625"/>
      <c r="AM53" s="625"/>
      <c r="AN53" s="625"/>
      <c r="AO53" s="625"/>
      <c r="AP53" s="625"/>
      <c r="AQ53" s="625"/>
      <c r="AR53" s="625"/>
      <c r="AS53" s="625"/>
      <c r="AT53" s="625"/>
    </row>
    <row r="54" spans="1:46" ht="14" x14ac:dyDescent="0.15">
      <c r="A54" s="270" t="str">
        <f>'Tariffs Jul2023'!F48</f>
        <v>Powershop</v>
      </c>
      <c r="B54" s="40" t="str">
        <f>'Tariffs Jul2023'!D48</f>
        <v>AGN North</v>
      </c>
      <c r="C54" s="40" t="str">
        <f>'Tariffs Jul2023'!G48</f>
        <v>Carbon Neutral</v>
      </c>
      <c r="D54" s="59">
        <f>365*'Tariffs Jul2023'!H48/100</f>
        <v>285.89454545454538</v>
      </c>
      <c r="E54" s="59">
        <f>((C$5*'Tariffs Jul2023'!AK48/'Tariffs Jul2023'!AI48)*('Tariffs Jul2023'!O48/100))*'Tariffs Jul2023'!AI48</f>
        <v>1008</v>
      </c>
      <c r="F54" s="59">
        <v>0</v>
      </c>
      <c r="G54" s="59">
        <v>0</v>
      </c>
      <c r="H54" s="59">
        <v>0</v>
      </c>
      <c r="I54" s="69">
        <v>0</v>
      </c>
      <c r="J54" s="69">
        <f>((C$5*'Tariffs Jul2023'!AL48/'Tariffs Jul2023'!AJ48)*('Tariffs Jul2023'!U48/100))*'Tariffs Jul2023'!AJ48</f>
        <v>1008</v>
      </c>
      <c r="K54" s="69">
        <v>0</v>
      </c>
      <c r="L54" s="69">
        <v>0</v>
      </c>
      <c r="M54" s="69">
        <v>0</v>
      </c>
      <c r="N54" s="69">
        <v>0</v>
      </c>
      <c r="O54" s="59">
        <f t="shared" ref="O54:O55" si="76">SUM(E54:N54)</f>
        <v>2016</v>
      </c>
      <c r="P54" s="503">
        <f t="shared" ref="P54:P55" si="77">O54*1.1</f>
        <v>2217.6000000000004</v>
      </c>
      <c r="Q54" s="59">
        <f t="shared" ref="Q54:Q55" si="78">D54+O54</f>
        <v>2301.8945454545456</v>
      </c>
      <c r="R54" s="272">
        <f t="shared" ref="R54:R55" si="79">Q54*1.1</f>
        <v>2532.0840000000003</v>
      </c>
      <c r="S54" s="40">
        <f>'Tariffs Jul2023'!AN48</f>
        <v>0</v>
      </c>
      <c r="T54" s="40">
        <f>'Tariffs Jul2023'!AO48</f>
        <v>0</v>
      </c>
      <c r="U54" s="40">
        <f>'Tariffs Jul2023'!AP48</f>
        <v>0</v>
      </c>
      <c r="V54" s="637">
        <f>'Tariffs Jul2023'!AQ48</f>
        <v>0</v>
      </c>
      <c r="W54" s="578" t="str">
        <f t="shared" ref="W54:W55" si="80">IF(SUM(S54:V54)=0,"No discount",IF(S54&gt;0,"Guaranteed off bill",IF(T54&gt;0,"Guaranteed off usage",IF(U54&gt;0,"Pay-on-time off bill","Pay-on-time off usage"))))</f>
        <v>No discount</v>
      </c>
      <c r="X54" s="538" t="str">
        <f t="shared" ref="X54:X55" si="81">IF(OR(A54="Origin Energy",A54="Red Energy",A54="Powershop"),"Inclusive","Exclusive")</f>
        <v>Inclusive</v>
      </c>
      <c r="Y54" s="535">
        <f t="shared" ref="Y54:Y55" si="82">IF(AND(W54="Guaranteed off bill",X54="Inclusive"),((Q54*1.1)-((Q54*1.1)*S54/100))/1.1,IF(AND(W54="Guaranteed off usage",X54="Inclusive"),((Q54*1.1)-((P54*1.1)*T54/100))/1.1,IF(AND(W54="Guaranteed off bill",X54="Exclusive"),Q54-(Q54*S54/100),IF(AND(W54="Guaranteed off usage",X54="Exclusive"),Q54-(P54*T54/100),IF(X54="Inclusive",((Q54*1.1))/1.1,Q54)))))</f>
        <v>2301.8945454545456</v>
      </c>
      <c r="Z54" s="535">
        <f t="shared" ref="Z54:Z55" si="83">IF(AND(W54="Pay-on-time off bill",X54="Inclusive"),((Y54*1.1)-((Y54*1.1)*U54/100))/1.1,IF(AND(W54="Pay-on-time off usage",X54="Inclusive"),((Y54*1.1)-((P54*1.1)*V54/100))/1.1,IF(AND(W54="Pay-on-time off bill",X54="Exclusive"),Y54-(Y54*U54/100),IF(AND(W54="Pay-on-time off usage",X54="Exclusive"),Y54-(P54*V54/100),IF(X54="Inclusive",((Y54*1.1))/1.1,Y54)))))</f>
        <v>2301.8945454545456</v>
      </c>
      <c r="AA54" s="542">
        <f t="shared" ref="AA54:AA55" si="84">Y54*1.1</f>
        <v>2532.0840000000003</v>
      </c>
      <c r="AB54" s="609">
        <f t="shared" ref="AB54:AB55" si="85">Z54*1.1</f>
        <v>2532.0840000000003</v>
      </c>
      <c r="AC54" s="625"/>
      <c r="AD54" s="625"/>
      <c r="AE54" s="625"/>
      <c r="AF54" s="625"/>
      <c r="AG54" s="625"/>
      <c r="AH54" s="625"/>
      <c r="AI54" s="625"/>
      <c r="AJ54" s="625"/>
      <c r="AK54" s="625"/>
      <c r="AL54" s="625"/>
      <c r="AM54" s="625"/>
      <c r="AN54" s="625"/>
      <c r="AO54" s="625"/>
      <c r="AP54" s="625"/>
      <c r="AQ54" s="625"/>
      <c r="AR54" s="625"/>
      <c r="AS54" s="625"/>
      <c r="AT54" s="625"/>
    </row>
    <row r="55" spans="1:46" ht="15" thickBot="1" x14ac:dyDescent="0.2">
      <c r="A55" s="276" t="str">
        <f>'Tariffs Jul2023'!F49</f>
        <v>Kogan</v>
      </c>
      <c r="B55" s="277" t="str">
        <f>'Tariffs Jul2023'!D49</f>
        <v>AGN North</v>
      </c>
      <c r="C55" s="277" t="str">
        <f>'Tariffs Jul2023'!G49</f>
        <v>First</v>
      </c>
      <c r="D55" s="278">
        <f>365*'Tariffs Jul2023'!H49/100</f>
        <v>285.89454545454538</v>
      </c>
      <c r="E55" s="278">
        <f>((C$5*'Tariffs Jul2023'!AK49/'Tariffs Jul2023'!AI49)*('Tariffs Jul2023'!O49/100))*'Tariffs Jul2023'!AI49</f>
        <v>1008</v>
      </c>
      <c r="F55" s="278">
        <v>0</v>
      </c>
      <c r="G55" s="278">
        <v>0</v>
      </c>
      <c r="H55" s="278">
        <v>0</v>
      </c>
      <c r="I55" s="547">
        <v>0</v>
      </c>
      <c r="J55" s="547">
        <f>((C$5*'Tariffs Jul2023'!AL49/'Tariffs Jul2023'!AJ49)*('Tariffs Jul2023'!U49/100))*'Tariffs Jul2023'!AJ49</f>
        <v>1008</v>
      </c>
      <c r="K55" s="547">
        <v>0</v>
      </c>
      <c r="L55" s="547">
        <v>0</v>
      </c>
      <c r="M55" s="547">
        <v>0</v>
      </c>
      <c r="N55" s="547">
        <v>0</v>
      </c>
      <c r="O55" s="278">
        <f t="shared" si="76"/>
        <v>2016</v>
      </c>
      <c r="P55" s="504">
        <f t="shared" si="77"/>
        <v>2217.6000000000004</v>
      </c>
      <c r="Q55" s="278">
        <f t="shared" si="78"/>
        <v>2301.8945454545456</v>
      </c>
      <c r="R55" s="280">
        <f t="shared" si="79"/>
        <v>2532.0840000000003</v>
      </c>
      <c r="S55" s="277">
        <f>'Tariffs Jul2023'!AN49</f>
        <v>0</v>
      </c>
      <c r="T55" s="277">
        <f>'Tariffs Jul2023'!AO49</f>
        <v>0</v>
      </c>
      <c r="U55" s="277">
        <f>'Tariffs Jul2023'!AP49</f>
        <v>0</v>
      </c>
      <c r="V55" s="638">
        <f>'Tariffs Jul2023'!AQ49</f>
        <v>0</v>
      </c>
      <c r="W55" s="585" t="str">
        <f t="shared" si="80"/>
        <v>No discount</v>
      </c>
      <c r="X55" s="541" t="str">
        <f t="shared" si="81"/>
        <v>Exclusive</v>
      </c>
      <c r="Y55" s="544">
        <f t="shared" si="82"/>
        <v>2301.8945454545456</v>
      </c>
      <c r="Z55" s="544">
        <f t="shared" si="83"/>
        <v>2301.8945454545456</v>
      </c>
      <c r="AA55" s="545">
        <f t="shared" si="84"/>
        <v>2532.0840000000003</v>
      </c>
      <c r="AB55" s="610">
        <f t="shared" si="85"/>
        <v>2532.0840000000003</v>
      </c>
      <c r="AC55" s="625"/>
      <c r="AD55" s="625"/>
      <c r="AE55" s="625"/>
      <c r="AF55" s="625"/>
      <c r="AG55" s="625"/>
      <c r="AH55" s="625"/>
      <c r="AI55" s="625"/>
      <c r="AJ55" s="625"/>
      <c r="AK55" s="625"/>
      <c r="AL55" s="625"/>
      <c r="AM55" s="625"/>
      <c r="AN55" s="625"/>
      <c r="AO55" s="625"/>
      <c r="AP55" s="625"/>
      <c r="AQ55" s="625"/>
      <c r="AR55" s="625"/>
      <c r="AS55" s="625"/>
      <c r="AT55" s="625"/>
    </row>
    <row r="56" spans="1:46" ht="15" thickTop="1" x14ac:dyDescent="0.15">
      <c r="A56" s="270" t="str">
        <f>'Tariffs Jul2023'!F50</f>
        <v>AGL</v>
      </c>
      <c r="B56" s="40" t="str">
        <f>'Tariffs Jul2023'!D50</f>
        <v>AGN Central 2</v>
      </c>
      <c r="C56" s="40" t="str">
        <f>'Tariffs Jul2023'!G50</f>
        <v>Value Saver</v>
      </c>
      <c r="D56" s="59">
        <f>365*'Tariffs Jul2023'!H50/100</f>
        <v>279.19181818181818</v>
      </c>
      <c r="E56" s="59">
        <f>IF($C$5*'Tariffs Jul2023'!AK50/'Tariffs Jul2023'!AI50&gt;='Tariffs Jul2023'!J50,( 'Tariffs Jul2023'!J50*'Tariffs Jul2023'!O50/100)* 'Tariffs Jul2023'!AI50,($C$5*'Tariffs Jul2023'!AK50/'Tariffs Jul2023'!AI50*'Tariffs Jul2023'!O50/100)* 'Tariffs Jul2023'!AI50)</f>
        <v>172.27636363636358</v>
      </c>
      <c r="F56" s="59">
        <f>IF($C$5*'Tariffs Jul2023'!AK50/'Tariffs Jul2023'!AI50&lt;'Tariffs Jul2023'!J50,0,IF($C$5*'Tariffs Jul2023'!AK50/'Tariffs Jul2023'!AI50&lt;='Tariffs Jul2023'!K50,($C$5*'Tariffs Jul2023'!AK50/'Tariffs Jul2023'!AI50-'Tariffs Jul2023'!J50)*('Tariffs Jul2023'!P50/100)*'Tariffs Jul2023'!AI50,('Tariffs Jul2023'!K50-'Tariffs Jul2023'!J50)*('Tariffs Jul2023'!P50/100)*'Tariffs Jul2023'!AI50))</f>
        <v>135.25363636363636</v>
      </c>
      <c r="G56" s="59">
        <f>IF($C$5*'Tariffs Jul2023'!AK50/'Tariffs Jul2023'!AI50&lt;'Tariffs Jul2023'!K50,0,IF($C$5*'Tariffs Jul2023'!AK50/'Tariffs Jul2023'!AI50&lt;='Tariffs Jul2023'!L50,($C$5*'Tariffs Jul2023'!AK50/'Tariffs Jul2023'!AI50-'Tariffs Jul2023'!K50)*('Tariffs Jul2023'!Q50/100)*'Tariffs Jul2023'!AI50,('Tariffs Jul2023'!L50-'Tariffs Jul2023'!K50)*('Tariffs Jul2023'!Q50/100)*'Tariffs Jul2023'!AI50))</f>
        <v>0</v>
      </c>
      <c r="H56" s="59">
        <f>IF($C$5*'Tariffs Jul2023'!AK50/'Tariffs Jul2023'!AI50&lt;'Tariffs Jul2023'!L50,0,IF($C$5*'Tariffs Jul2023'!AK50/'Tariffs Jul2023'!AI50&lt;='Tariffs Jul2023'!M50,($C$5*'Tariffs Jul2023'!AK50/'Tariffs Jul2023'!AI50-'Tariffs Jul2023'!L50)*('Tariffs Jul2023'!R50/100)*'Tariffs Jul2023'!AI50,('Tariffs Jul2023'!M50-'Tariffs Jul2023'!L50)*('Tariffs Jul2023'!R50/100)*'Tariffs Jul2023'!AI50))</f>
        <v>0</v>
      </c>
      <c r="I56" s="59">
        <f>IF(($C$5*'Tariffs Jul2023'!AK50/'Tariffs Jul2023'!AI50&gt;'Tariffs Jul2023'!M50),($C$5*'Tariffs Jul2023'!AK50/'Tariffs Jul2023'!AI50-'Tariffs Jul2023'!M50)*'Tariffs Jul2023'!S50/100*'Tariffs Jul2023'!AI50,0)</f>
        <v>509.31818181818187</v>
      </c>
      <c r="J56" s="59">
        <f>IF($C$5*'Tariffs Jul2023'!AL50/'Tariffs Jul2023'!AJ50&gt;='Tariffs Jul2023'!J50,('Tariffs Jul2023'!J50*'Tariffs Jul2023'!U50/100)* 'Tariffs Jul2023'!AJ50,($C$5*'Tariffs Jul2023'!AL50/'Tariffs Jul2023'!AJ50*'Tariffs Jul2023'!U50/100)* 'Tariffs Jul2023'!AJ50)</f>
        <v>172.27636363636358</v>
      </c>
      <c r="K56" s="59">
        <f>IF($C$5*'Tariffs Jul2023'!AL50/'Tariffs Jul2023'!AJ50&lt;'Tariffs Jul2023'!J50,0,IF($C$5*'Tariffs Jul2023'!AL50/'Tariffs Jul2023'!AJ50&lt;='Tariffs Jul2023'!K50,($C$5*'Tariffs Jul2023'!AL50/'Tariffs Jul2023'!AJ50-'Tariffs Jul2023'!J50)*('Tariffs Jul2023'!V50/100)*'Tariffs Jul2023'!AJ50,('Tariffs Jul2023'!K50-'Tariffs Jul2023'!J50)*('Tariffs Jul2023'!V50/100)*'Tariffs Jul2023'!AJ50))</f>
        <v>135.25363636363636</v>
      </c>
      <c r="L56" s="59">
        <f>IF($C$5*'Tariffs Jul2023'!AL50/'Tariffs Jul2023'!AJ50&lt;'Tariffs Jul2023'!K50,0,IF($C$5*'Tariffs Jul2023'!AL50/'Tariffs Jul2023'!AJ50&lt;='Tariffs Jul2023'!L50,($C$5*'Tariffs Jul2023'!AL50/'Tariffs Jul2023'!AJ50-'Tariffs Jul2023'!K50)*('Tariffs Jul2023'!W50/100)*'Tariffs Jul2023'!AJ50,('Tariffs Jul2023'!L50-'Tariffs Jul2023'!K50)*('Tariffs Jul2023'!W50/100)*'Tariffs Jul2023'!AJ50))</f>
        <v>0</v>
      </c>
      <c r="M56" s="59">
        <f>IF($C$5*'Tariffs Jul2023'!AL50/'Tariffs Jul2023'!AJ50&lt;'Tariffs Jul2023'!L50,0,IF($C$5*'Tariffs Jul2023'!AL50/'Tariffs Jul2023'!AJ50&lt;='Tariffs Jul2023'!M50,($C$5*'Tariffs Jul2023'!AL50/'Tariffs Jul2023'!AJ50-'Tariffs Jul2023'!L50)*('Tariffs Jul2023'!X50/100)*'Tariffs Jul2023'!AJ50,('Tariffs Jul2023'!M50-'Tariffs Jul2023'!L50)*('Tariffs Jul2023'!X50/100)*'Tariffs Jul2023'!AJ50))</f>
        <v>0</v>
      </c>
      <c r="N56" s="59">
        <f>IF(($C$5*'Tariffs Jul2023'!AL50/'Tariffs Jul2023'!AJ50&gt;'Tariffs Jul2023'!M50),($C$5*'Tariffs Jul2023'!AL50/'Tariffs Jul2023'!AJ50-'Tariffs Jul2023'!M50)*'Tariffs Jul2023'!Y50/100*'Tariffs Jul2023'!AJ50,0)</f>
        <v>509.31818181818187</v>
      </c>
      <c r="O56" s="59">
        <f t="shared" si="1"/>
        <v>1633.6963636363639</v>
      </c>
      <c r="P56" s="503">
        <f t="shared" si="2"/>
        <v>1797.0660000000005</v>
      </c>
      <c r="Q56" s="59">
        <f t="shared" si="3"/>
        <v>1912.8881818181821</v>
      </c>
      <c r="R56" s="272">
        <f t="shared" si="4"/>
        <v>2104.1770000000006</v>
      </c>
      <c r="S56" s="40">
        <f>'Tariffs Jul2023'!AN50</f>
        <v>0</v>
      </c>
      <c r="T56" s="40">
        <f>'Tariffs Jul2023'!AO50</f>
        <v>0</v>
      </c>
      <c r="U56" s="40">
        <f>'Tariffs Jul2023'!AP50</f>
        <v>0</v>
      </c>
      <c r="V56" s="637">
        <f>'Tariffs Jul2023'!AQ50</f>
        <v>0</v>
      </c>
      <c r="W56" s="578" t="str">
        <f>IF(SUM(S56:V56)=0,"No discount",IF(S56&gt;0,"Guaranteed off bill",IF(T56&gt;0,"Guaranteed off usage",IF(U56&gt;0,"Pay-on-time off bill","Pay-on-time off usage"))))</f>
        <v>No discount</v>
      </c>
      <c r="X56" s="538" t="str">
        <f>IF(OR(A56="Origin Energy",A56="Red Energy",A56="Powershop"),"Inclusive","Exclusive")</f>
        <v>Exclusive</v>
      </c>
      <c r="Y56" s="535">
        <f>IF(AND(W56="Guaranteed off bill",X56="Inclusive"),((Q56*1.1)-((Q56*1.1)*S56/100))/1.1,IF(AND(W56="Guaranteed off usage",X56="Inclusive"),((Q56*1.1)-((P56*1.1)*T56/100))/1.1,IF(AND(W56="Guaranteed off bill",X56="Exclusive"),Q56-(Q56*S56/100),IF(AND(W56="Guaranteed off usage",X56="Exclusive"),Q56-(P56*T56/100),IF(X56="Inclusive",((Q56*1.1))/1.1,Q56)))))</f>
        <v>1912.8881818181821</v>
      </c>
      <c r="Z56" s="535">
        <f>IF(AND(W56="Pay-on-time off bill",X56="Inclusive"),((Y56*1.1)-((Y56*1.1)*U56/100))/1.1,IF(AND(W56="Pay-on-time off usage",X56="Inclusive"),((Y56*1.1)-((P56*1.1)*V56/100))/1.1,IF(AND(W56="Pay-on-time off bill",X56="Exclusive"),Y56-(Y56*U56/100),IF(AND(W56="Pay-on-time off usage",X56="Exclusive"),Y56-(P56*V56/100),IF(X56="Inclusive",((Y56*1.1))/1.1,Y56)))))</f>
        <v>1912.8881818181821</v>
      </c>
      <c r="AA56" s="542">
        <f t="shared" si="66"/>
        <v>2104.1770000000006</v>
      </c>
      <c r="AB56" s="609">
        <f t="shared" si="66"/>
        <v>2104.1770000000006</v>
      </c>
      <c r="AC56" s="625"/>
      <c r="AD56" s="625"/>
      <c r="AE56" s="625"/>
      <c r="AF56" s="625"/>
      <c r="AG56" s="625"/>
      <c r="AH56" s="625"/>
      <c r="AI56" s="625"/>
      <c r="AJ56" s="625"/>
      <c r="AK56" s="625"/>
      <c r="AL56" s="625"/>
      <c r="AM56" s="625"/>
      <c r="AN56" s="625"/>
      <c r="AO56" s="625"/>
      <c r="AP56" s="625"/>
      <c r="AQ56" s="625"/>
      <c r="AR56" s="625"/>
      <c r="AS56" s="625"/>
      <c r="AT56" s="625"/>
    </row>
    <row r="57" spans="1:46" ht="14" x14ac:dyDescent="0.15">
      <c r="A57" s="270" t="str">
        <f>'Tariffs Jul2023'!F51</f>
        <v>Alinta Energy</v>
      </c>
      <c r="B57" s="40" t="str">
        <f>'Tariffs Jul2023'!D51</f>
        <v>AGN Central 2</v>
      </c>
      <c r="C57" s="40" t="str">
        <f>'Tariffs Jul2023'!G51</f>
        <v>Home Deal</v>
      </c>
      <c r="D57" s="59">
        <f>365*'Tariffs Jul2023'!H51/100</f>
        <v>259.51499999999999</v>
      </c>
      <c r="E57" s="59">
        <f>IF($C$5*'Tariffs Jul2023'!AK51/'Tariffs Jul2023'!AI51&gt;='Tariffs Jul2023'!J51,( 'Tariffs Jul2023'!J51*'Tariffs Jul2023'!O51/100)* 'Tariffs Jul2023'!AI51,($C$5*'Tariffs Jul2023'!AK51/'Tariffs Jul2023'!AI51*'Tariffs Jul2023'!O51/100)* 'Tariffs Jul2023'!AI51)</f>
        <v>201.88636363636363</v>
      </c>
      <c r="F57" s="59">
        <f>IF($C$5*'Tariffs Jul2023'!AK51/'Tariffs Jul2023'!AI51&lt;'Tariffs Jul2023'!J51,0,IF($C$5*'Tariffs Jul2023'!AK51/'Tariffs Jul2023'!AI51&lt;='Tariffs Jul2023'!K51,($C$5*'Tariffs Jul2023'!AK51/'Tariffs Jul2023'!AI51-'Tariffs Jul2023'!J51)*('Tariffs Jul2023'!P51/100)*'Tariffs Jul2023'!AI51,('Tariffs Jul2023'!K51-'Tariffs Jul2023'!J51)*('Tariffs Jul2023'!P51/100)*'Tariffs Jul2023'!AI51))</f>
        <v>145.23136363636362</v>
      </c>
      <c r="G57" s="59">
        <f>IF($C$5*'Tariffs Jul2023'!AK51/'Tariffs Jul2023'!AI51&lt;'Tariffs Jul2023'!K51,0,IF($C$5*'Tariffs Jul2023'!AK51/'Tariffs Jul2023'!AI51&lt;='Tariffs Jul2023'!L51,($C$5*'Tariffs Jul2023'!AK51/'Tariffs Jul2023'!AI51-'Tariffs Jul2023'!K51)*('Tariffs Jul2023'!Q51/100)*'Tariffs Jul2023'!AI51,('Tariffs Jul2023'!L51-'Tariffs Jul2023'!K51)*('Tariffs Jul2023'!Q51/100)*'Tariffs Jul2023'!AI51))</f>
        <v>0</v>
      </c>
      <c r="H57" s="59">
        <f>IF($C$5*'Tariffs Jul2023'!AK51/'Tariffs Jul2023'!AI51&lt;'Tariffs Jul2023'!L51,0,IF($C$5*'Tariffs Jul2023'!AK51/'Tariffs Jul2023'!AI51&lt;='Tariffs Jul2023'!M51,($C$5*'Tariffs Jul2023'!AK51/'Tariffs Jul2023'!AI51-'Tariffs Jul2023'!L51)*('Tariffs Jul2023'!R51/100)*'Tariffs Jul2023'!AI51,('Tariffs Jul2023'!M51-'Tariffs Jul2023'!L51)*('Tariffs Jul2023'!R51/100)*'Tariffs Jul2023'!AI51))</f>
        <v>0</v>
      </c>
      <c r="I57" s="59">
        <f>IF(($C$5*'Tariffs Jul2023'!AK51/'Tariffs Jul2023'!AI51&gt;'Tariffs Jul2023'!M51),($C$5*'Tariffs Jul2023'!AK51/'Tariffs Jul2023'!AI51-'Tariffs Jul2023'!M51)*'Tariffs Jul2023'!S51/100*'Tariffs Jul2023'!AI51,0)</f>
        <v>623.86363636363626</v>
      </c>
      <c r="J57" s="59">
        <f>IF($C$5*'Tariffs Jul2023'!AL51/'Tariffs Jul2023'!AJ51&gt;='Tariffs Jul2023'!J51,('Tariffs Jul2023'!J51*'Tariffs Jul2023'!U51/100)* 'Tariffs Jul2023'!AJ51,($C$5*'Tariffs Jul2023'!AL51/'Tariffs Jul2023'!AJ51*'Tariffs Jul2023'!U51/100)* 'Tariffs Jul2023'!AJ51)</f>
        <v>201.88636363636363</v>
      </c>
      <c r="K57" s="59">
        <f>IF($C$5*'Tariffs Jul2023'!AL51/'Tariffs Jul2023'!AJ51&lt;'Tariffs Jul2023'!J51,0,IF($C$5*'Tariffs Jul2023'!AL51/'Tariffs Jul2023'!AJ51&lt;='Tariffs Jul2023'!K51,($C$5*'Tariffs Jul2023'!AL51/'Tariffs Jul2023'!AJ51-'Tariffs Jul2023'!J51)*('Tariffs Jul2023'!V51/100)*'Tariffs Jul2023'!AJ51,('Tariffs Jul2023'!K51-'Tariffs Jul2023'!J51)*('Tariffs Jul2023'!V51/100)*'Tariffs Jul2023'!AJ51))</f>
        <v>145.23136363636362</v>
      </c>
      <c r="L57" s="59">
        <f>IF($C$5*'Tariffs Jul2023'!AL51/'Tariffs Jul2023'!AJ51&lt;'Tariffs Jul2023'!K51,0,IF($C$5*'Tariffs Jul2023'!AL51/'Tariffs Jul2023'!AJ51&lt;='Tariffs Jul2023'!L51,($C$5*'Tariffs Jul2023'!AL51/'Tariffs Jul2023'!AJ51-'Tariffs Jul2023'!K51)*('Tariffs Jul2023'!W51/100)*'Tariffs Jul2023'!AJ51,('Tariffs Jul2023'!L51-'Tariffs Jul2023'!K51)*('Tariffs Jul2023'!W51/100)*'Tariffs Jul2023'!AJ51))</f>
        <v>0</v>
      </c>
      <c r="M57" s="59">
        <f>IF($C$5*'Tariffs Jul2023'!AL51/'Tariffs Jul2023'!AJ51&lt;'Tariffs Jul2023'!L51,0,IF($C$5*'Tariffs Jul2023'!AL51/'Tariffs Jul2023'!AJ51&lt;='Tariffs Jul2023'!M51,($C$5*'Tariffs Jul2023'!AL51/'Tariffs Jul2023'!AJ51-'Tariffs Jul2023'!L51)*('Tariffs Jul2023'!X51/100)*'Tariffs Jul2023'!AJ51,('Tariffs Jul2023'!M51-'Tariffs Jul2023'!L51)*('Tariffs Jul2023'!X51/100)*'Tariffs Jul2023'!AJ51))</f>
        <v>0</v>
      </c>
      <c r="N57" s="59">
        <f>IF(($C$5*'Tariffs Jul2023'!AL51/'Tariffs Jul2023'!AJ51&gt;'Tariffs Jul2023'!M51),($C$5*'Tariffs Jul2023'!AL51/'Tariffs Jul2023'!AJ51-'Tariffs Jul2023'!M51)*'Tariffs Jul2023'!Y51/100*'Tariffs Jul2023'!AJ51,0)</f>
        <v>623.86363636363626</v>
      </c>
      <c r="O57" s="59">
        <f t="shared" si="1"/>
        <v>1941.9627272727271</v>
      </c>
      <c r="P57" s="503">
        <f t="shared" si="2"/>
        <v>2136.1590000000001</v>
      </c>
      <c r="Q57" s="59">
        <f t="shared" si="3"/>
        <v>2201.477727272727</v>
      </c>
      <c r="R57" s="272">
        <f t="shared" si="4"/>
        <v>2421.6254999999996</v>
      </c>
      <c r="S57" s="40">
        <f>'Tariffs Jul2023'!AN51</f>
        <v>0</v>
      </c>
      <c r="T57" s="40">
        <f>'Tariffs Jul2023'!AO51</f>
        <v>0</v>
      </c>
      <c r="U57" s="40">
        <f>'Tariffs Jul2023'!AP51</f>
        <v>0</v>
      </c>
      <c r="V57" s="637">
        <f>'Tariffs Jul2023'!AQ51</f>
        <v>0</v>
      </c>
      <c r="W57" s="578" t="str">
        <f t="shared" ref="W57:W68" si="86">IF(SUM(S57:V57)=0,"No discount",IF(S57&gt;0,"Guaranteed off bill",IF(T57&gt;0,"Guaranteed off usage",IF(U57&gt;0,"Pay-on-time off bill","Pay-on-time off usage"))))</f>
        <v>No discount</v>
      </c>
      <c r="X57" s="538" t="str">
        <f t="shared" ref="X57:X68" si="87">IF(OR(A57="Origin Energy",A57="Red Energy",A57="Powershop"),"Inclusive","Exclusive")</f>
        <v>Exclusive</v>
      </c>
      <c r="Y57" s="535">
        <f>IF(AND(W57="Guaranteed off bill",X57="Inclusive"),((Q57*1.1)-((Q57*1.1)*S57/100))/1.1,IF(AND(W57="Guaranteed off usage",X57="Inclusive"),((Q57*1.1)-((P57*1.1)*T57/100))/1.1,IF(AND(W57="Guaranteed off bill",X57="Exclusive"),Q57-(Q57*S57/100),IF(AND(W57="Guaranteed off usage",X57="Exclusive"),Q57-(P57*T57/100),IF(X57="Inclusive",((Q57*1.1))/1.1,Q57)))))</f>
        <v>2201.477727272727</v>
      </c>
      <c r="Z57" s="535">
        <f>IF(AND(W57="Pay-on-time off bill",X57="Inclusive"),((Y57*1.1)-((Y57*1.1)*U57/100))/1.1,IF(AND(W57="Pay-on-time off usage",X57="Inclusive"),((Y57*1.1)-((P57*1.1)*V57/100))/1.1,IF(AND(W57="Pay-on-time off bill",X57="Exclusive"),Y57-(Y57*U57/100),IF(AND(W57="Pay-on-time off usage",X57="Exclusive"),Y57-(P57*V57/100),IF(X57="Inclusive",((Y57*1.1))/1.1,Y57)))))</f>
        <v>2201.477727272727</v>
      </c>
      <c r="AA57" s="542">
        <f t="shared" si="66"/>
        <v>2421.6254999999996</v>
      </c>
      <c r="AB57" s="609">
        <f t="shared" si="66"/>
        <v>2421.6254999999996</v>
      </c>
      <c r="AC57" s="625"/>
      <c r="AD57" s="625"/>
      <c r="AE57" s="625"/>
      <c r="AF57" s="625"/>
      <c r="AG57" s="625"/>
      <c r="AH57" s="625"/>
      <c r="AI57" s="625"/>
      <c r="AJ57" s="625"/>
      <c r="AK57" s="625"/>
      <c r="AL57" s="625"/>
      <c r="AM57" s="625"/>
      <c r="AN57" s="625"/>
      <c r="AO57" s="625"/>
      <c r="AP57" s="625"/>
      <c r="AQ57" s="625"/>
      <c r="AR57" s="625"/>
      <c r="AS57" s="625"/>
      <c r="AT57" s="625"/>
    </row>
    <row r="58" spans="1:46" ht="14" x14ac:dyDescent="0.15">
      <c r="A58" s="270" t="str">
        <f>'Tariffs Jul2023'!F52</f>
        <v>Dodo Power &amp; Gas</v>
      </c>
      <c r="B58" s="40" t="str">
        <f>'Tariffs Jul2023'!D52</f>
        <v>AGN Central 2</v>
      </c>
      <c r="C58" s="40" t="str">
        <f>'Tariffs Jul2023'!G52</f>
        <v>Market offer</v>
      </c>
      <c r="D58" s="59">
        <f>365*'Tariffs Jul2023'!H52/100</f>
        <v>261.24045454545455</v>
      </c>
      <c r="E58" s="59">
        <f>IF($C$5*'Tariffs Jul2023'!AK52/'Tariffs Jul2023'!AI52&gt;='Tariffs Jul2023'!J52,( 'Tariffs Jul2023'!J52*'Tariffs Jul2023'!O52/100)* 'Tariffs Jul2023'!AI52,($C$5*'Tariffs Jul2023'!AK52/'Tariffs Jul2023'!AI52*'Tariffs Jul2023'!O52/100)* 'Tariffs Jul2023'!AI52)</f>
        <v>174.96818181818179</v>
      </c>
      <c r="F58" s="59">
        <f>IF($C$5*'Tariffs Jul2023'!AK52/'Tariffs Jul2023'!AI52&lt;'Tariffs Jul2023'!J52,0,IF($C$5*'Tariffs Jul2023'!AK52/'Tariffs Jul2023'!AI52&lt;='Tariffs Jul2023'!K52,($C$5*'Tariffs Jul2023'!AK52/'Tariffs Jul2023'!AI52-'Tariffs Jul2023'!J52)*('Tariffs Jul2023'!P52/100)*'Tariffs Jul2023'!AI52,('Tariffs Jul2023'!K52-'Tariffs Jul2023'!J52)*('Tariffs Jul2023'!P52/100)*'Tariffs Jul2023'!AI52))</f>
        <v>119.3631818181818</v>
      </c>
      <c r="G58" s="59">
        <f>IF($C$5*'Tariffs Jul2023'!AK52/'Tariffs Jul2023'!AI52&lt;'Tariffs Jul2023'!K52,0,IF($C$5*'Tariffs Jul2023'!AK52/'Tariffs Jul2023'!AI52&lt;='Tariffs Jul2023'!L52,($C$5*'Tariffs Jul2023'!AK52/'Tariffs Jul2023'!AI52-'Tariffs Jul2023'!K52)*('Tariffs Jul2023'!Q52/100)*'Tariffs Jul2023'!AI52,('Tariffs Jul2023'!L52-'Tariffs Jul2023'!K52)*('Tariffs Jul2023'!Q52/100)*'Tariffs Jul2023'!AI52))</f>
        <v>0</v>
      </c>
      <c r="H58" s="59">
        <f>IF($C$5*'Tariffs Jul2023'!AK52/'Tariffs Jul2023'!AI52&lt;'Tariffs Jul2023'!L52,0,IF($C$5*'Tariffs Jul2023'!AK52/'Tariffs Jul2023'!AI52&lt;='Tariffs Jul2023'!M52,($C$5*'Tariffs Jul2023'!AK52/'Tariffs Jul2023'!AI52-'Tariffs Jul2023'!L52)*('Tariffs Jul2023'!R52/100)*'Tariffs Jul2023'!AI52,('Tariffs Jul2023'!M52-'Tariffs Jul2023'!L52)*('Tariffs Jul2023'!R52/100)*'Tariffs Jul2023'!AI52))</f>
        <v>0</v>
      </c>
      <c r="I58" s="59">
        <f>IF(($C$5*'Tariffs Jul2023'!AK52/'Tariffs Jul2023'!AI52&gt;'Tariffs Jul2023'!M52),($C$5*'Tariffs Jul2023'!AK52/'Tariffs Jul2023'!AI52-'Tariffs Jul2023'!M52)*'Tariffs Jul2023'!S52/100*'Tariffs Jul2023'!AI52,0)</f>
        <v>566.59090909090912</v>
      </c>
      <c r="J58" s="59">
        <f>IF($C$5*'Tariffs Jul2023'!AL52/'Tariffs Jul2023'!AJ52&gt;='Tariffs Jul2023'!J52,('Tariffs Jul2023'!J52*'Tariffs Jul2023'!U52/100)* 'Tariffs Jul2023'!AJ52,($C$5*'Tariffs Jul2023'!AL52/'Tariffs Jul2023'!AJ52*'Tariffs Jul2023'!U52/100)* 'Tariffs Jul2023'!AJ52)</f>
        <v>174.96818181818179</v>
      </c>
      <c r="K58" s="59">
        <f>IF($C$5*'Tariffs Jul2023'!AL52/'Tariffs Jul2023'!AJ52&lt;'Tariffs Jul2023'!J52,0,IF($C$5*'Tariffs Jul2023'!AL52/'Tariffs Jul2023'!AJ52&lt;='Tariffs Jul2023'!K52,($C$5*'Tariffs Jul2023'!AL52/'Tariffs Jul2023'!AJ52-'Tariffs Jul2023'!J52)*('Tariffs Jul2023'!V52/100)*'Tariffs Jul2023'!AJ52,('Tariffs Jul2023'!K52-'Tariffs Jul2023'!J52)*('Tariffs Jul2023'!V52/100)*'Tariffs Jul2023'!AJ52))</f>
        <v>119.3631818181818</v>
      </c>
      <c r="L58" s="59">
        <f>IF($C$5*'Tariffs Jul2023'!AL52/'Tariffs Jul2023'!AJ52&lt;'Tariffs Jul2023'!K52,0,IF($C$5*'Tariffs Jul2023'!AL52/'Tariffs Jul2023'!AJ52&lt;='Tariffs Jul2023'!L52,($C$5*'Tariffs Jul2023'!AL52/'Tariffs Jul2023'!AJ52-'Tariffs Jul2023'!K52)*('Tariffs Jul2023'!W52/100)*'Tariffs Jul2023'!AJ52,('Tariffs Jul2023'!L52-'Tariffs Jul2023'!K52)*('Tariffs Jul2023'!W52/100)*'Tariffs Jul2023'!AJ52))</f>
        <v>0</v>
      </c>
      <c r="M58" s="59">
        <f>IF($C$5*'Tariffs Jul2023'!AL52/'Tariffs Jul2023'!AJ52&lt;'Tariffs Jul2023'!L52,0,IF($C$5*'Tariffs Jul2023'!AL52/'Tariffs Jul2023'!AJ52&lt;='Tariffs Jul2023'!M52,($C$5*'Tariffs Jul2023'!AL52/'Tariffs Jul2023'!AJ52-'Tariffs Jul2023'!L52)*('Tariffs Jul2023'!X52/100)*'Tariffs Jul2023'!AJ52,('Tariffs Jul2023'!M52-'Tariffs Jul2023'!L52)*('Tariffs Jul2023'!X52/100)*'Tariffs Jul2023'!AJ52))</f>
        <v>0</v>
      </c>
      <c r="N58" s="59">
        <f>IF(($C$5*'Tariffs Jul2023'!AL52/'Tariffs Jul2023'!AJ52&gt;'Tariffs Jul2023'!M52),($C$5*'Tariffs Jul2023'!AL52/'Tariffs Jul2023'!AJ52-'Tariffs Jul2023'!M52)*'Tariffs Jul2023'!Y52/100*'Tariffs Jul2023'!AJ52,0)</f>
        <v>566.59090909090912</v>
      </c>
      <c r="O58" s="59">
        <f t="shared" si="1"/>
        <v>1721.8445454545454</v>
      </c>
      <c r="P58" s="503">
        <f t="shared" si="2"/>
        <v>1894.029</v>
      </c>
      <c r="Q58" s="59">
        <f t="shared" si="3"/>
        <v>1983.085</v>
      </c>
      <c r="R58" s="272">
        <f t="shared" si="4"/>
        <v>2181.3935000000001</v>
      </c>
      <c r="S58" s="40">
        <f>'Tariffs Jul2023'!AN52</f>
        <v>0</v>
      </c>
      <c r="T58" s="40">
        <f>'Tariffs Jul2023'!AO52</f>
        <v>0</v>
      </c>
      <c r="U58" s="40">
        <f>'Tariffs Jul2023'!AP52</f>
        <v>0</v>
      </c>
      <c r="V58" s="637">
        <f>'Tariffs Jul2023'!AQ52</f>
        <v>0</v>
      </c>
      <c r="W58" s="578" t="str">
        <f t="shared" si="86"/>
        <v>No discount</v>
      </c>
      <c r="X58" s="538" t="str">
        <f t="shared" si="87"/>
        <v>Exclusive</v>
      </c>
      <c r="Y58" s="535">
        <f>IF(AND(W58="Guaranteed off bill",X58="Inclusive"),((Q58*1.1)-((Q58*1.1)*S58/100))/1.1,IF(AND(W58="Guaranteed off usage",X58="Inclusive"),((Q58*1.1)-((P58*1.1)*T58/100))/1.1,IF(AND(W58="Guaranteed off bill",X58="Exclusive"),Q58-(Q58*S58/100),IF(AND(W58="Guaranteed off usage",X58="Exclusive"),Q58-(P58*T58/100),IF(X58="Inclusive",((Q58*1.1))/1.1,Q58)))))</f>
        <v>1983.085</v>
      </c>
      <c r="Z58" s="535">
        <f>IF(AND(W58="Pay-on-time off bill",X58="Inclusive"),((Y58*1.1)-((Y58*1.1)*U58/100))/1.1,IF(AND(W58="Pay-on-time off usage",X58="Inclusive"),((Y58*1.1)-((P58*1.1)*V58/100))/1.1,IF(AND(W58="Pay-on-time off bill",X58="Exclusive"),Y58-(Y58*U58/100),IF(AND(W58="Pay-on-time off usage",X58="Exclusive"),Y58-(P58*V58/100),IF(X58="Inclusive",((Y58*1.1))/1.1,Y58)))))</f>
        <v>1983.085</v>
      </c>
      <c r="AA58" s="542">
        <f t="shared" si="66"/>
        <v>2181.3935000000001</v>
      </c>
      <c r="AB58" s="609">
        <f t="shared" si="66"/>
        <v>2181.3935000000001</v>
      </c>
      <c r="AC58" s="625"/>
      <c r="AD58" s="625"/>
      <c r="AE58" s="625"/>
      <c r="AF58" s="625"/>
      <c r="AG58" s="625"/>
      <c r="AH58" s="625"/>
      <c r="AI58" s="625"/>
      <c r="AJ58" s="625"/>
      <c r="AK58" s="625"/>
      <c r="AL58" s="625"/>
      <c r="AM58" s="625"/>
      <c r="AN58" s="625"/>
      <c r="AO58" s="625"/>
      <c r="AP58" s="625"/>
      <c r="AQ58" s="625"/>
      <c r="AR58" s="625"/>
      <c r="AS58" s="625"/>
      <c r="AT58" s="625"/>
    </row>
    <row r="59" spans="1:46" ht="14" x14ac:dyDescent="0.15">
      <c r="A59" s="270" t="str">
        <f>'Tariffs Jul2023'!F53</f>
        <v>EnergyAustralia</v>
      </c>
      <c r="B59" s="40" t="str">
        <f>'Tariffs Jul2023'!D53</f>
        <v>AGN Central 2</v>
      </c>
      <c r="C59" s="40" t="str">
        <f>'Tariffs Jul2023'!G53</f>
        <v>Flexi Plan</v>
      </c>
      <c r="D59" s="59">
        <f>365*'Tariffs Jul2023'!H53/100</f>
        <v>378.77045454545447</v>
      </c>
      <c r="E59" s="59">
        <f>IF($C$5*'Tariffs Jul2023'!AK53/'Tariffs Jul2023'!AI53&gt;='Tariffs Jul2023'!J53,( 'Tariffs Jul2023'!J53*'Tariffs Jul2023'!O53/100)* 'Tariffs Jul2023'!AI53,($C$5*'Tariffs Jul2023'!AK53/'Tariffs Jul2023'!AI53*'Tariffs Jul2023'!O53/100)* 'Tariffs Jul2023'!AI53)</f>
        <v>225.6640909090909</v>
      </c>
      <c r="F59" s="59">
        <f>IF($C$5*'Tariffs Jul2023'!AK53/'Tariffs Jul2023'!AI53&lt;'Tariffs Jul2023'!J53,0,IF($C$5*'Tariffs Jul2023'!AK53/'Tariffs Jul2023'!AI53&lt;='Tariffs Jul2023'!K53,($C$5*'Tariffs Jul2023'!AK53/'Tariffs Jul2023'!AI53-'Tariffs Jul2023'!J53)*('Tariffs Jul2023'!P53/100)*'Tariffs Jul2023'!AI53,('Tariffs Jul2023'!K53-'Tariffs Jul2023'!J53)*('Tariffs Jul2023'!P53/100)*'Tariffs Jul2023'!AI53))</f>
        <v>141.16636363636363</v>
      </c>
      <c r="G59" s="59">
        <f>IF($C$5*'Tariffs Jul2023'!AK53/'Tariffs Jul2023'!AI53&lt;'Tariffs Jul2023'!K53,0,IF($C$5*'Tariffs Jul2023'!AK53/'Tariffs Jul2023'!AI53&lt;='Tariffs Jul2023'!L53,($C$5*'Tariffs Jul2023'!AK53/'Tariffs Jul2023'!AI53-'Tariffs Jul2023'!K53)*('Tariffs Jul2023'!Q53/100)*'Tariffs Jul2023'!AI53,('Tariffs Jul2023'!L53-'Tariffs Jul2023'!K53)*('Tariffs Jul2023'!Q53/100)*'Tariffs Jul2023'!AI53))</f>
        <v>0</v>
      </c>
      <c r="H59" s="59">
        <f>IF($C$5*'Tariffs Jul2023'!AK53/'Tariffs Jul2023'!AI53&lt;'Tariffs Jul2023'!L53,0,IF($C$5*'Tariffs Jul2023'!AK53/'Tariffs Jul2023'!AI53&lt;='Tariffs Jul2023'!M53,($C$5*'Tariffs Jul2023'!AK53/'Tariffs Jul2023'!AI53-'Tariffs Jul2023'!L53)*('Tariffs Jul2023'!R53/100)*'Tariffs Jul2023'!AI53,('Tariffs Jul2023'!M53-'Tariffs Jul2023'!L53)*('Tariffs Jul2023'!R53/100)*'Tariffs Jul2023'!AI53))</f>
        <v>0</v>
      </c>
      <c r="I59" s="59">
        <f>IF(($C$5*'Tariffs Jul2023'!AK53/'Tariffs Jul2023'!AI53&gt;'Tariffs Jul2023'!M53),($C$5*'Tariffs Jul2023'!AK53/'Tariffs Jul2023'!AI53-'Tariffs Jul2023'!M53)*'Tariffs Jul2023'!S53/100*'Tariffs Jul2023'!AI53,0)</f>
        <v>640.22727272727263</v>
      </c>
      <c r="J59" s="59">
        <f>IF($C$5*'Tariffs Jul2023'!AL53/'Tariffs Jul2023'!AJ53&gt;='Tariffs Jul2023'!J53,('Tariffs Jul2023'!J53*'Tariffs Jul2023'!U53/100)* 'Tariffs Jul2023'!AJ53,($C$5*'Tariffs Jul2023'!AL53/'Tariffs Jul2023'!AJ53*'Tariffs Jul2023'!U53/100)* 'Tariffs Jul2023'!AJ53)</f>
        <v>225.6640909090909</v>
      </c>
      <c r="K59" s="59">
        <f>IF($C$5*'Tariffs Jul2023'!AL53/'Tariffs Jul2023'!AJ53&lt;'Tariffs Jul2023'!J53,0,IF($C$5*'Tariffs Jul2023'!AL53/'Tariffs Jul2023'!AJ53&lt;='Tariffs Jul2023'!K53,($C$5*'Tariffs Jul2023'!AL53/'Tariffs Jul2023'!AJ53-'Tariffs Jul2023'!J53)*('Tariffs Jul2023'!V53/100)*'Tariffs Jul2023'!AJ53,('Tariffs Jul2023'!K53-'Tariffs Jul2023'!J53)*('Tariffs Jul2023'!V53/100)*'Tariffs Jul2023'!AJ53))</f>
        <v>141.16636363636363</v>
      </c>
      <c r="L59" s="59">
        <f>IF($C$5*'Tariffs Jul2023'!AL53/'Tariffs Jul2023'!AJ53&lt;'Tariffs Jul2023'!K53,0,IF($C$5*'Tariffs Jul2023'!AL53/'Tariffs Jul2023'!AJ53&lt;='Tariffs Jul2023'!L53,($C$5*'Tariffs Jul2023'!AL53/'Tariffs Jul2023'!AJ53-'Tariffs Jul2023'!K53)*('Tariffs Jul2023'!W53/100)*'Tariffs Jul2023'!AJ53,('Tariffs Jul2023'!L53-'Tariffs Jul2023'!K53)*('Tariffs Jul2023'!W53/100)*'Tariffs Jul2023'!AJ53))</f>
        <v>0</v>
      </c>
      <c r="M59" s="59">
        <f>IF($C$5*'Tariffs Jul2023'!AL53/'Tariffs Jul2023'!AJ53&lt;'Tariffs Jul2023'!L53,0,IF($C$5*'Tariffs Jul2023'!AL53/'Tariffs Jul2023'!AJ53&lt;='Tariffs Jul2023'!M53,($C$5*'Tariffs Jul2023'!AL53/'Tariffs Jul2023'!AJ53-'Tariffs Jul2023'!L53)*('Tariffs Jul2023'!X53/100)*'Tariffs Jul2023'!AJ53,('Tariffs Jul2023'!M53-'Tariffs Jul2023'!L53)*('Tariffs Jul2023'!X53/100)*'Tariffs Jul2023'!AJ53))</f>
        <v>0</v>
      </c>
      <c r="N59" s="59">
        <f>IF(($C$5*'Tariffs Jul2023'!AL53/'Tariffs Jul2023'!AJ53&gt;'Tariffs Jul2023'!M53),($C$5*'Tariffs Jul2023'!AL53/'Tariffs Jul2023'!AJ53-'Tariffs Jul2023'!M53)*'Tariffs Jul2023'!Y53/100*'Tariffs Jul2023'!AJ53,0)</f>
        <v>640.22727272727263</v>
      </c>
      <c r="O59" s="59">
        <f t="shared" si="1"/>
        <v>2014.1154545454542</v>
      </c>
      <c r="P59" s="503">
        <f t="shared" si="2"/>
        <v>2215.5269999999996</v>
      </c>
      <c r="Q59" s="59">
        <f t="shared" si="3"/>
        <v>2392.8859090909086</v>
      </c>
      <c r="R59" s="272">
        <f t="shared" si="4"/>
        <v>2632.1744999999996</v>
      </c>
      <c r="S59" s="40">
        <f>'Tariffs Jul2023'!AN53</f>
        <v>25</v>
      </c>
      <c r="T59" s="40">
        <f>'Tariffs Jul2023'!AO53</f>
        <v>0</v>
      </c>
      <c r="U59" s="40">
        <f>'Tariffs Jul2023'!AP53</f>
        <v>0</v>
      </c>
      <c r="V59" s="637">
        <f>'Tariffs Jul2023'!AQ53</f>
        <v>0</v>
      </c>
      <c r="W59" s="578" t="str">
        <f t="shared" si="86"/>
        <v>Guaranteed off bill</v>
      </c>
      <c r="X59" s="538" t="str">
        <f t="shared" si="87"/>
        <v>Exclusive</v>
      </c>
      <c r="Y59" s="535">
        <f t="shared" ref="Y59" si="88">IF(AND(W59="Guaranteed off bill",X59="Inclusive"),((Q59*1.1)-((Q59*1.1)*S59/100))/1.1,IF(AND(W59="Guaranteed off usage",X59="Inclusive"),((Q59*1.1)-((P59*1.1)*T59/100))/1.1,IF(AND(W59="Guaranteed off bill",X59="Exclusive"),Q59-(Q59*S59/100),IF(AND(W59="Guaranteed off usage",X59="Exclusive"),Q59-(P59*T59/100),IF(X59="Inclusive",((Q59*1.1))/1.1,Q59)))))</f>
        <v>1794.6644318181816</v>
      </c>
      <c r="Z59" s="535">
        <f t="shared" ref="Z59" si="89">IF(AND(W59="Pay-on-time off bill",X59="Inclusive"),((Y59*1.1)-((Y59*1.1)*U59/100))/1.1,IF(AND(W59="Pay-on-time off usage",X59="Inclusive"),((Y59*1.1)-((P59*1.1)*V59/100))/1.1,IF(AND(W59="Pay-on-time off bill",X59="Exclusive"),Y59-(Y59*U59/100),IF(AND(W59="Pay-on-time off usage",X59="Exclusive"),Y59-(P59*V59/100),IF(X59="Inclusive",((Y59*1.1))/1.1,Y59)))))</f>
        <v>1794.6644318181816</v>
      </c>
      <c r="AA59" s="542">
        <f t="shared" si="66"/>
        <v>1974.1308749999998</v>
      </c>
      <c r="AB59" s="609">
        <f t="shared" si="66"/>
        <v>1974.1308749999998</v>
      </c>
      <c r="AC59" s="625"/>
      <c r="AD59" s="625"/>
      <c r="AE59" s="625"/>
      <c r="AF59" s="625"/>
      <c r="AG59" s="625"/>
      <c r="AH59" s="625"/>
      <c r="AI59" s="625"/>
      <c r="AJ59" s="625"/>
      <c r="AK59" s="625"/>
      <c r="AL59" s="625"/>
      <c r="AM59" s="625"/>
      <c r="AN59" s="625"/>
      <c r="AO59" s="625"/>
      <c r="AP59" s="625"/>
      <c r="AQ59" s="625"/>
      <c r="AR59" s="625"/>
      <c r="AS59" s="625"/>
      <c r="AT59" s="625"/>
    </row>
    <row r="60" spans="1:46" ht="14" x14ac:dyDescent="0.15">
      <c r="A60" s="270" t="str">
        <f>'Tariffs Jul2023'!F54</f>
        <v>Lumo Energy</v>
      </c>
      <c r="B60" s="40" t="str">
        <f>'Tariffs Jul2023'!D54</f>
        <v>AGN Central 2</v>
      </c>
      <c r="C60" s="40" t="str">
        <f>'Tariffs Jul2023'!G54</f>
        <v>Value</v>
      </c>
      <c r="D60" s="59">
        <f>365*'Tariffs Jul2023'!H54/100</f>
        <v>375.22</v>
      </c>
      <c r="E60" s="59">
        <f>IF($C$5*'Tariffs Jul2023'!AK54/'Tariffs Jul2023'!AI54&gt;='Tariffs Jul2023'!J54,( 'Tariffs Jul2023'!J54*'Tariffs Jul2023'!O54/100)* 'Tariffs Jul2023'!AI54,($C$5*'Tariffs Jul2023'!AK54/'Tariffs Jul2023'!AI54*'Tariffs Jul2023'!O54/100)* 'Tariffs Jul2023'!AI54)</f>
        <v>196.50272727272721</v>
      </c>
      <c r="F60" s="59">
        <f>IF($C$5*'Tariffs Jul2023'!AK54/'Tariffs Jul2023'!AI54&lt;'Tariffs Jul2023'!J54,0,IF($C$5*'Tariffs Jul2023'!AK54/'Tariffs Jul2023'!AI54&lt;='Tariffs Jul2023'!K54,($C$5*'Tariffs Jul2023'!AK54/'Tariffs Jul2023'!AI54-'Tariffs Jul2023'!J54)*('Tariffs Jul2023'!P54/100)*'Tariffs Jul2023'!AI54,('Tariffs Jul2023'!K54-'Tariffs Jul2023'!J54)*('Tariffs Jul2023'!P54/100)*'Tariffs Jul2023'!AI54))</f>
        <v>140.42727272727268</v>
      </c>
      <c r="G60" s="59">
        <f>IF($C$5*'Tariffs Jul2023'!AK54/'Tariffs Jul2023'!AI54&lt;'Tariffs Jul2023'!K54,0,IF($C$5*'Tariffs Jul2023'!AK54/'Tariffs Jul2023'!AI54&lt;='Tariffs Jul2023'!L54,($C$5*'Tariffs Jul2023'!AK54/'Tariffs Jul2023'!AI54-'Tariffs Jul2023'!K54)*('Tariffs Jul2023'!Q54/100)*'Tariffs Jul2023'!AI54,('Tariffs Jul2023'!L54-'Tariffs Jul2023'!K54)*('Tariffs Jul2023'!Q54/100)*'Tariffs Jul2023'!AI54))</f>
        <v>0</v>
      </c>
      <c r="H60" s="59">
        <f>IF($C$5*'Tariffs Jul2023'!AK54/'Tariffs Jul2023'!AI54&lt;'Tariffs Jul2023'!L54,0,IF($C$5*'Tariffs Jul2023'!AK54/'Tariffs Jul2023'!AI54&lt;='Tariffs Jul2023'!M54,($C$5*'Tariffs Jul2023'!AK54/'Tariffs Jul2023'!AI54-'Tariffs Jul2023'!L54)*('Tariffs Jul2023'!R54/100)*'Tariffs Jul2023'!AI54,('Tariffs Jul2023'!M54-'Tariffs Jul2023'!L54)*('Tariffs Jul2023'!R54/100)*'Tariffs Jul2023'!AI54))</f>
        <v>0</v>
      </c>
      <c r="I60" s="59">
        <f>IF(($C$5*'Tariffs Jul2023'!AK54/'Tariffs Jul2023'!AI54&gt;'Tariffs Jul2023'!M54),($C$5*'Tariffs Jul2023'!AK54/'Tariffs Jul2023'!AI54-'Tariffs Jul2023'!M54)*'Tariffs Jul2023'!S54/100*'Tariffs Jul2023'!AI54,0)</f>
        <v>562.5</v>
      </c>
      <c r="J60" s="59">
        <f>IF($C$5*'Tariffs Jul2023'!AL54/'Tariffs Jul2023'!AJ54&gt;='Tariffs Jul2023'!J54,('Tariffs Jul2023'!J54*'Tariffs Jul2023'!U54/100)* 'Tariffs Jul2023'!AJ54,($C$5*'Tariffs Jul2023'!AL54/'Tariffs Jul2023'!AJ54*'Tariffs Jul2023'!U54/100)* 'Tariffs Jul2023'!AJ54)</f>
        <v>196.50272727272721</v>
      </c>
      <c r="K60" s="59">
        <f>IF($C$5*'Tariffs Jul2023'!AL54/'Tariffs Jul2023'!AJ54&lt;'Tariffs Jul2023'!J54,0,IF($C$5*'Tariffs Jul2023'!AL54/'Tariffs Jul2023'!AJ54&lt;='Tariffs Jul2023'!K54,($C$5*'Tariffs Jul2023'!AL54/'Tariffs Jul2023'!AJ54-'Tariffs Jul2023'!J54)*('Tariffs Jul2023'!V54/100)*'Tariffs Jul2023'!AJ54,('Tariffs Jul2023'!K54-'Tariffs Jul2023'!J54)*('Tariffs Jul2023'!V54/100)*'Tariffs Jul2023'!AJ54))</f>
        <v>140.42727272727268</v>
      </c>
      <c r="L60" s="59">
        <f>IF($C$5*'Tariffs Jul2023'!AL54/'Tariffs Jul2023'!AJ54&lt;'Tariffs Jul2023'!K54,0,IF($C$5*'Tariffs Jul2023'!AL54/'Tariffs Jul2023'!AJ54&lt;='Tariffs Jul2023'!L54,($C$5*'Tariffs Jul2023'!AL54/'Tariffs Jul2023'!AJ54-'Tariffs Jul2023'!K54)*('Tariffs Jul2023'!W54/100)*'Tariffs Jul2023'!AJ54,('Tariffs Jul2023'!L54-'Tariffs Jul2023'!K54)*('Tariffs Jul2023'!W54/100)*'Tariffs Jul2023'!AJ54))</f>
        <v>0</v>
      </c>
      <c r="M60" s="59">
        <f>IF($C$5*'Tariffs Jul2023'!AL54/'Tariffs Jul2023'!AJ54&lt;'Tariffs Jul2023'!L54,0,IF($C$5*'Tariffs Jul2023'!AL54/'Tariffs Jul2023'!AJ54&lt;='Tariffs Jul2023'!M54,($C$5*'Tariffs Jul2023'!AL54/'Tariffs Jul2023'!AJ54-'Tariffs Jul2023'!L54)*('Tariffs Jul2023'!X54/100)*'Tariffs Jul2023'!AJ54,('Tariffs Jul2023'!M54-'Tariffs Jul2023'!L54)*('Tariffs Jul2023'!X54/100)*'Tariffs Jul2023'!AJ54))</f>
        <v>0</v>
      </c>
      <c r="N60" s="59">
        <f>IF(($C$5*'Tariffs Jul2023'!AL54/'Tariffs Jul2023'!AJ54&gt;'Tariffs Jul2023'!M54),($C$5*'Tariffs Jul2023'!AL54/'Tariffs Jul2023'!AJ54-'Tariffs Jul2023'!M54)*'Tariffs Jul2023'!Y54/100*'Tariffs Jul2023'!AJ54,0)</f>
        <v>562.5</v>
      </c>
      <c r="O60" s="59">
        <f t="shared" si="1"/>
        <v>1798.8599999999997</v>
      </c>
      <c r="P60" s="503">
        <f t="shared" si="2"/>
        <v>1978.7459999999999</v>
      </c>
      <c r="Q60" s="59">
        <f t="shared" si="3"/>
        <v>2174.08</v>
      </c>
      <c r="R60" s="272">
        <f t="shared" si="4"/>
        <v>2391.4880000000003</v>
      </c>
      <c r="S60" s="40">
        <f>'Tariffs Jul2023'!AN54</f>
        <v>0</v>
      </c>
      <c r="T60" s="40">
        <f>'Tariffs Jul2023'!AO54</f>
        <v>0</v>
      </c>
      <c r="U60" s="40">
        <f>'Tariffs Jul2023'!AP54</f>
        <v>0</v>
      </c>
      <c r="V60" s="637">
        <f>'Tariffs Jul2023'!AQ54</f>
        <v>0</v>
      </c>
      <c r="W60" s="578" t="str">
        <f t="shared" si="86"/>
        <v>No discount</v>
      </c>
      <c r="X60" s="538" t="str">
        <f t="shared" si="87"/>
        <v>Exclusive</v>
      </c>
      <c r="Y60" s="535">
        <f>IF(AND(W60="Guaranteed off bill",X60="Inclusive"),((Q60*1.1)-((Q60*1.1)*S60/100))/1.1,IF(AND(W60="Guaranteed off usage",X60="Inclusive"),((Q60*1.1)-((P60*1.1)*T60/100))/1.1,IF(AND(W60="Guaranteed off bill",X60="Exclusive"),Q60-(Q60*S60/100),IF(AND(W60="Guaranteed off usage",X60="Exclusive"),Q60-(P60*T60/100),IF(X60="Inclusive",((Q60*1.1))/1.1,Q60)))))</f>
        <v>2174.08</v>
      </c>
      <c r="Z60" s="535">
        <f>IF(AND(W60="Pay-on-time off bill",X60="Inclusive"),((Y60*1.1)-((Y60*1.1)*U60/100))/1.1,IF(AND(W60="Pay-on-time off usage",X60="Inclusive"),((Y60*1.1)-((P60*1.1)*V60/100))/1.1,IF(AND(W60="Pay-on-time off bill",X60="Exclusive"),Y60-(Y60*U60/100),IF(AND(W60="Pay-on-time off usage",X60="Exclusive"),Y60-(P60*V60/100),IF(X60="Inclusive",((Y60*1.1))/1.1,Y60)))))</f>
        <v>2174.08</v>
      </c>
      <c r="AA60" s="542">
        <f t="shared" si="66"/>
        <v>2391.4880000000003</v>
      </c>
      <c r="AB60" s="609">
        <f t="shared" si="66"/>
        <v>2391.4880000000003</v>
      </c>
      <c r="AC60" s="625"/>
      <c r="AD60" s="625"/>
      <c r="AE60" s="625"/>
      <c r="AF60" s="625"/>
      <c r="AG60" s="625"/>
      <c r="AH60" s="625"/>
      <c r="AI60" s="625"/>
      <c r="AJ60" s="625"/>
      <c r="AK60" s="625"/>
      <c r="AL60" s="625"/>
      <c r="AM60" s="625"/>
      <c r="AN60" s="625"/>
      <c r="AO60" s="625"/>
      <c r="AP60" s="625"/>
      <c r="AQ60" s="625"/>
      <c r="AR60" s="625"/>
      <c r="AS60" s="625"/>
      <c r="AT60" s="625"/>
    </row>
    <row r="61" spans="1:46" ht="14" x14ac:dyDescent="0.15">
      <c r="A61" s="270" t="str">
        <f>'Tariffs Jul2023'!F55</f>
        <v>Origin Energy</v>
      </c>
      <c r="B61" s="40" t="str">
        <f>'Tariffs Jul2023'!D55</f>
        <v>AGN Central 2</v>
      </c>
      <c r="C61" s="40" t="str">
        <f>'Tariffs Jul2023'!G55</f>
        <v>Go Variable</v>
      </c>
      <c r="D61" s="59">
        <f>365*'Tariffs Jul2023'!H55/100</f>
        <v>264.625</v>
      </c>
      <c r="E61" s="59">
        <f>IF($C$5*'Tariffs Jul2023'!AK55/'Tariffs Jul2023'!AI55&gt;='Tariffs Jul2023'!J55,( 'Tariffs Jul2023'!J55*'Tariffs Jul2023'!O55/100)* 'Tariffs Jul2023'!AI55,($C$5*'Tariffs Jul2023'!AK55/'Tariffs Jul2023'!AI55*'Tariffs Jul2023'!O55/100)* 'Tariffs Jul2023'!AI55)</f>
        <v>528.5454545454545</v>
      </c>
      <c r="F61" s="59">
        <f>IF($C$5*'Tariffs Jul2023'!AK55/'Tariffs Jul2023'!AI55&lt;'Tariffs Jul2023'!J55,0,IF($C$5*'Tariffs Jul2023'!AK55/'Tariffs Jul2023'!AI55&lt;='Tariffs Jul2023'!K55,($C$5*'Tariffs Jul2023'!AK55/'Tariffs Jul2023'!AI55-'Tariffs Jul2023'!J55)*('Tariffs Jul2023'!P55/100)*'Tariffs Jul2023'!AI55,('Tariffs Jul2023'!K55-'Tariffs Jul2023'!J55)*('Tariffs Jul2023'!P55/100)*'Tariffs Jul2023'!AI55))</f>
        <v>380.45454545454544</v>
      </c>
      <c r="G61" s="59">
        <f>IF($C$5*'Tariffs Jul2023'!AK55/'Tariffs Jul2023'!AI55&lt;'Tariffs Jul2023'!K55,0,IF($C$5*'Tariffs Jul2023'!AK55/'Tariffs Jul2023'!AI55&lt;='Tariffs Jul2023'!L55,($C$5*'Tariffs Jul2023'!AK55/'Tariffs Jul2023'!AI55-'Tariffs Jul2023'!K55)*('Tariffs Jul2023'!Q55/100)*'Tariffs Jul2023'!AI55,('Tariffs Jul2023'!L55-'Tariffs Jul2023'!K55)*('Tariffs Jul2023'!Q55/100)*'Tariffs Jul2023'!AI55))</f>
        <v>0</v>
      </c>
      <c r="H61" s="59">
        <f>IF($C$5*'Tariffs Jul2023'!AK55/'Tariffs Jul2023'!AI55&lt;'Tariffs Jul2023'!L55,0,IF($C$5*'Tariffs Jul2023'!AK55/'Tariffs Jul2023'!AI55&lt;='Tariffs Jul2023'!M55,($C$5*'Tariffs Jul2023'!AK55/'Tariffs Jul2023'!AI55-'Tariffs Jul2023'!L55)*('Tariffs Jul2023'!R55/100)*'Tariffs Jul2023'!AI55,('Tariffs Jul2023'!M55-'Tariffs Jul2023'!L55)*('Tariffs Jul2023'!R55/100)*'Tariffs Jul2023'!AI55))</f>
        <v>0</v>
      </c>
      <c r="I61" s="59">
        <f>IF(($C$5*'Tariffs Jul2023'!AK55/'Tariffs Jul2023'!AI55&gt;'Tariffs Jul2023'!M55),($C$5*'Tariffs Jul2023'!AK55/'Tariffs Jul2023'!AI55-'Tariffs Jul2023'!M55)*'Tariffs Jul2023'!S55/100*'Tariffs Jul2023'!AI55,0)</f>
        <v>0</v>
      </c>
      <c r="J61" s="59">
        <f>IF($C$5*'Tariffs Jul2023'!AL55/'Tariffs Jul2023'!AJ55&gt;='Tariffs Jul2023'!J55,('Tariffs Jul2023'!J55*'Tariffs Jul2023'!U55/100)* 'Tariffs Jul2023'!AJ55,($C$5*'Tariffs Jul2023'!AL55/'Tariffs Jul2023'!AJ55*'Tariffs Jul2023'!U55/100)* 'Tariffs Jul2023'!AJ55)</f>
        <v>528.5454545454545</v>
      </c>
      <c r="K61" s="59">
        <f>IF($C$5*'Tariffs Jul2023'!AL55/'Tariffs Jul2023'!AJ55&lt;'Tariffs Jul2023'!J55,0,IF($C$5*'Tariffs Jul2023'!AL55/'Tariffs Jul2023'!AJ55&lt;='Tariffs Jul2023'!K55,($C$5*'Tariffs Jul2023'!AL55/'Tariffs Jul2023'!AJ55-'Tariffs Jul2023'!J55)*('Tariffs Jul2023'!V55/100)*'Tariffs Jul2023'!AJ55,('Tariffs Jul2023'!K55-'Tariffs Jul2023'!J55)*('Tariffs Jul2023'!V55/100)*'Tariffs Jul2023'!AJ55))</f>
        <v>380.45454545454544</v>
      </c>
      <c r="L61" s="59">
        <f>IF($C$5*'Tariffs Jul2023'!AL55/'Tariffs Jul2023'!AJ55&lt;'Tariffs Jul2023'!K55,0,IF($C$5*'Tariffs Jul2023'!AL55/'Tariffs Jul2023'!AJ55&lt;='Tariffs Jul2023'!L55,($C$5*'Tariffs Jul2023'!AL55/'Tariffs Jul2023'!AJ55-'Tariffs Jul2023'!K55)*('Tariffs Jul2023'!W55/100)*'Tariffs Jul2023'!AJ55,('Tariffs Jul2023'!L55-'Tariffs Jul2023'!K55)*('Tariffs Jul2023'!W55/100)*'Tariffs Jul2023'!AJ55))</f>
        <v>0</v>
      </c>
      <c r="M61" s="59">
        <f>IF($C$5*'Tariffs Jul2023'!AL55/'Tariffs Jul2023'!AJ55&lt;'Tariffs Jul2023'!L55,0,IF($C$5*'Tariffs Jul2023'!AL55/'Tariffs Jul2023'!AJ55&lt;='Tariffs Jul2023'!M55,($C$5*'Tariffs Jul2023'!AL55/'Tariffs Jul2023'!AJ55-'Tariffs Jul2023'!L55)*('Tariffs Jul2023'!X55/100)*'Tariffs Jul2023'!AJ55,('Tariffs Jul2023'!M55-'Tariffs Jul2023'!L55)*('Tariffs Jul2023'!X55/100)*'Tariffs Jul2023'!AJ55))</f>
        <v>0</v>
      </c>
      <c r="N61" s="59">
        <f>IF(($C$5*'Tariffs Jul2023'!AL55/'Tariffs Jul2023'!AJ55&gt;'Tariffs Jul2023'!M55),($C$5*'Tariffs Jul2023'!AL55/'Tariffs Jul2023'!AJ55-'Tariffs Jul2023'!M55)*'Tariffs Jul2023'!Y55/100*'Tariffs Jul2023'!AJ55,0)</f>
        <v>0</v>
      </c>
      <c r="O61" s="59">
        <f t="shared" si="1"/>
        <v>1818</v>
      </c>
      <c r="P61" s="503">
        <f t="shared" si="2"/>
        <v>1999.8000000000002</v>
      </c>
      <c r="Q61" s="59">
        <f t="shared" si="3"/>
        <v>2082.625</v>
      </c>
      <c r="R61" s="272">
        <f t="shared" si="4"/>
        <v>2290.8875000000003</v>
      </c>
      <c r="S61" s="40">
        <f>'Tariffs Jul2023'!AN55</f>
        <v>0</v>
      </c>
      <c r="T61" s="40">
        <f>'Tariffs Jul2023'!AO55</f>
        <v>0</v>
      </c>
      <c r="U61" s="40">
        <f>'Tariffs Jul2023'!AP55</f>
        <v>0</v>
      </c>
      <c r="V61" s="637">
        <f>'Tariffs Jul2023'!AQ55</f>
        <v>0</v>
      </c>
      <c r="W61" s="578" t="str">
        <f t="shared" si="86"/>
        <v>No discount</v>
      </c>
      <c r="X61" s="538" t="str">
        <f t="shared" si="87"/>
        <v>Inclusive</v>
      </c>
      <c r="Y61" s="535">
        <f>IF(AND(W61="Guaranteed off bill",X61="Inclusive"),((Q61*1.1)-((Q61*1.1)*S61/100))/1.1,IF(AND(W61="Guaranteed off usage",X61="Inclusive"),((Q61*1.1)-((P61*1.1)*T61/100))/1.1,IF(AND(W61="Guaranteed off bill",X61="Exclusive"),Q61-(Q61*S61/100),IF(AND(W61="Guaranteed off usage",X61="Exclusive"),Q61-(P61*T61/100),IF(X61="Inclusive",((Q61*1.1))/1.1,Q61)))))</f>
        <v>2082.625</v>
      </c>
      <c r="Z61" s="535">
        <f>IF(AND(W61="Pay-on-time off bill",X61="Inclusive"),((Y61*1.1)-((Y61*1.1)*U61/100))/1.1,IF(AND(W61="Pay-on-time off usage",X61="Inclusive"),((Y61*1.1)-((P61*1.1)*V61/100))/1.1,IF(AND(W61="Pay-on-time off bill",X61="Exclusive"),Y61-(Y61*U61/100),IF(AND(W61="Pay-on-time off usage",X61="Exclusive"),Y61-(P61*V61/100),IF(X61="Inclusive",((Y61*1.1))/1.1,Y61)))))</f>
        <v>2082.625</v>
      </c>
      <c r="AA61" s="542">
        <f t="shared" si="66"/>
        <v>2290.8875000000003</v>
      </c>
      <c r="AB61" s="609">
        <f t="shared" si="66"/>
        <v>2290.8875000000003</v>
      </c>
      <c r="AC61" s="625"/>
      <c r="AD61" s="625"/>
      <c r="AE61" s="625"/>
      <c r="AF61" s="625"/>
      <c r="AG61" s="625"/>
      <c r="AH61" s="625"/>
      <c r="AI61" s="625"/>
      <c r="AJ61" s="625"/>
      <c r="AK61" s="625"/>
      <c r="AL61" s="625"/>
      <c r="AM61" s="625"/>
      <c r="AN61" s="625"/>
      <c r="AO61" s="625"/>
      <c r="AP61" s="625"/>
      <c r="AQ61" s="625"/>
      <c r="AR61" s="625"/>
      <c r="AS61" s="625"/>
      <c r="AT61" s="625"/>
    </row>
    <row r="62" spans="1:46" ht="14" x14ac:dyDescent="0.15">
      <c r="A62" s="270" t="str">
        <f>'Tariffs Jul2023'!F56</f>
        <v>Red Energy</v>
      </c>
      <c r="B62" s="40" t="str">
        <f>'Tariffs Jul2023'!D56</f>
        <v>AGN Central 2</v>
      </c>
      <c r="C62" s="40" t="str">
        <f>'Tariffs Jul2023'!G56</f>
        <v>Living Energy Saver</v>
      </c>
      <c r="D62" s="59">
        <f>365*'Tariffs Jul2023'!H56/100</f>
        <v>273.75</v>
      </c>
      <c r="E62" s="59">
        <f>IF($C$5*'Tariffs Jul2023'!AK56/'Tariffs Jul2023'!AI56&gt;='Tariffs Jul2023'!J56,( 'Tariffs Jul2023'!J56*'Tariffs Jul2023'!O56/100)* 'Tariffs Jul2023'!AI56,($C$5*'Tariffs Jul2023'!AK56/'Tariffs Jul2023'!AI56*'Tariffs Jul2023'!O56/100)* 'Tariffs Jul2023'!AI56)</f>
        <v>180.35181818181815</v>
      </c>
      <c r="F62" s="59">
        <f>IF($C$5*'Tariffs Jul2023'!AK56/'Tariffs Jul2023'!AI56&lt;'Tariffs Jul2023'!J56,0,IF($C$5*'Tariffs Jul2023'!AK56/'Tariffs Jul2023'!AI56&lt;='Tariffs Jul2023'!K56,($C$5*'Tariffs Jul2023'!AK56/'Tariffs Jul2023'!AI56-'Tariffs Jul2023'!J56)*('Tariffs Jul2023'!P56/100)*'Tariffs Jul2023'!AI56,('Tariffs Jul2023'!K56-'Tariffs Jul2023'!J56)*('Tariffs Jul2023'!P56/100)*'Tariffs Jul2023'!AI56))</f>
        <v>124.90636363636364</v>
      </c>
      <c r="G62" s="59">
        <f>IF($C$5*'Tariffs Jul2023'!AK56/'Tariffs Jul2023'!AI56&lt;'Tariffs Jul2023'!K56,0,IF($C$5*'Tariffs Jul2023'!AK56/'Tariffs Jul2023'!AI56&lt;='Tariffs Jul2023'!L56,($C$5*'Tariffs Jul2023'!AK56/'Tariffs Jul2023'!AI56-'Tariffs Jul2023'!K56)*('Tariffs Jul2023'!Q56/100)*'Tariffs Jul2023'!AI56,('Tariffs Jul2023'!L56-'Tariffs Jul2023'!K56)*('Tariffs Jul2023'!Q56/100)*'Tariffs Jul2023'!AI56))</f>
        <v>0</v>
      </c>
      <c r="H62" s="59">
        <f>IF($C$5*'Tariffs Jul2023'!AK56/'Tariffs Jul2023'!AI56&lt;'Tariffs Jul2023'!L56,0,IF($C$5*'Tariffs Jul2023'!AK56/'Tariffs Jul2023'!AI56&lt;='Tariffs Jul2023'!M56,($C$5*'Tariffs Jul2023'!AK56/'Tariffs Jul2023'!AI56-'Tariffs Jul2023'!L56)*('Tariffs Jul2023'!R56/100)*'Tariffs Jul2023'!AI56,('Tariffs Jul2023'!M56-'Tariffs Jul2023'!L56)*('Tariffs Jul2023'!R56/100)*'Tariffs Jul2023'!AI56))</f>
        <v>0</v>
      </c>
      <c r="I62" s="59">
        <f>IF(($C$5*'Tariffs Jul2023'!AK56/'Tariffs Jul2023'!AI56&gt;'Tariffs Jul2023'!M56),($C$5*'Tariffs Jul2023'!AK56/'Tariffs Jul2023'!AI56-'Tariffs Jul2023'!M56)*'Tariffs Jul2023'!S56/100*'Tariffs Jul2023'!AI56,0)</f>
        <v>509.31818181818187</v>
      </c>
      <c r="J62" s="59">
        <f>IF($C$5*'Tariffs Jul2023'!AL56/'Tariffs Jul2023'!AJ56&gt;='Tariffs Jul2023'!J56,('Tariffs Jul2023'!J56*'Tariffs Jul2023'!U56/100)* 'Tariffs Jul2023'!AJ56,($C$5*'Tariffs Jul2023'!AL56/'Tariffs Jul2023'!AJ56*'Tariffs Jul2023'!U56/100)* 'Tariffs Jul2023'!AJ56)</f>
        <v>180.35181818181815</v>
      </c>
      <c r="K62" s="59">
        <f>IF($C$5*'Tariffs Jul2023'!AL56/'Tariffs Jul2023'!AJ56&lt;'Tariffs Jul2023'!J56,0,IF($C$5*'Tariffs Jul2023'!AL56/'Tariffs Jul2023'!AJ56&lt;='Tariffs Jul2023'!K56,($C$5*'Tariffs Jul2023'!AL56/'Tariffs Jul2023'!AJ56-'Tariffs Jul2023'!J56)*('Tariffs Jul2023'!V56/100)*'Tariffs Jul2023'!AJ56,('Tariffs Jul2023'!K56-'Tariffs Jul2023'!J56)*('Tariffs Jul2023'!V56/100)*'Tariffs Jul2023'!AJ56))</f>
        <v>124.90636363636364</v>
      </c>
      <c r="L62" s="59">
        <f>IF($C$5*'Tariffs Jul2023'!AL56/'Tariffs Jul2023'!AJ56&lt;'Tariffs Jul2023'!K56,0,IF($C$5*'Tariffs Jul2023'!AL56/'Tariffs Jul2023'!AJ56&lt;='Tariffs Jul2023'!L56,($C$5*'Tariffs Jul2023'!AL56/'Tariffs Jul2023'!AJ56-'Tariffs Jul2023'!K56)*('Tariffs Jul2023'!W56/100)*'Tariffs Jul2023'!AJ56,('Tariffs Jul2023'!L56-'Tariffs Jul2023'!K56)*('Tariffs Jul2023'!W56/100)*'Tariffs Jul2023'!AJ56))</f>
        <v>0</v>
      </c>
      <c r="M62" s="59">
        <f>IF($C$5*'Tariffs Jul2023'!AL56/'Tariffs Jul2023'!AJ56&lt;'Tariffs Jul2023'!L56,0,IF($C$5*'Tariffs Jul2023'!AL56/'Tariffs Jul2023'!AJ56&lt;='Tariffs Jul2023'!M56,($C$5*'Tariffs Jul2023'!AL56/'Tariffs Jul2023'!AJ56-'Tariffs Jul2023'!L56)*('Tariffs Jul2023'!X56/100)*'Tariffs Jul2023'!AJ56,('Tariffs Jul2023'!M56-'Tariffs Jul2023'!L56)*('Tariffs Jul2023'!X56/100)*'Tariffs Jul2023'!AJ56))</f>
        <v>0</v>
      </c>
      <c r="N62" s="59">
        <f>IF(($C$5*'Tariffs Jul2023'!AL56/'Tariffs Jul2023'!AJ56&gt;'Tariffs Jul2023'!M56),($C$5*'Tariffs Jul2023'!AL56/'Tariffs Jul2023'!AJ56-'Tariffs Jul2023'!M56)*'Tariffs Jul2023'!Y56/100*'Tariffs Jul2023'!AJ56,0)</f>
        <v>509.31818181818187</v>
      </c>
      <c r="O62" s="59">
        <f>SUM(E62:N62)</f>
        <v>1629.1527272727276</v>
      </c>
      <c r="P62" s="503">
        <f t="shared" si="2"/>
        <v>1792.0680000000004</v>
      </c>
      <c r="Q62" s="59">
        <f>D62+O62</f>
        <v>1902.9027272727276</v>
      </c>
      <c r="R62" s="272">
        <f>Q62*1.1</f>
        <v>2093.1930000000007</v>
      </c>
      <c r="S62" s="40">
        <f>'Tariffs Jul2023'!AN56</f>
        <v>0</v>
      </c>
      <c r="T62" s="40">
        <f>'Tariffs Jul2023'!AO56</f>
        <v>0</v>
      </c>
      <c r="U62" s="40">
        <f>'Tariffs Jul2023'!AP56</f>
        <v>0</v>
      </c>
      <c r="V62" s="637">
        <f>'Tariffs Jul2023'!AQ56</f>
        <v>0</v>
      </c>
      <c r="W62" s="578" t="str">
        <f t="shared" si="86"/>
        <v>No discount</v>
      </c>
      <c r="X62" s="538" t="str">
        <f t="shared" si="87"/>
        <v>Inclusive</v>
      </c>
      <c r="Y62" s="535">
        <f t="shared" ref="Y62:Y64" si="90">IF(AND(W62="Guaranteed off bill",X62="Inclusive"),((Q62*1.1)-((Q62*1.1)*S62/100))/1.1,IF(AND(W62="Guaranteed off usage",X62="Inclusive"),((Q62*1.1)-((P62*1.1)*T62/100))/1.1,IF(AND(W62="Guaranteed off bill",X62="Exclusive"),Q62-(Q62*S62/100),IF(AND(W62="Guaranteed off usage",X62="Exclusive"),Q62-(P62*T62/100),IF(X62="Inclusive",((Q62*1.1))/1.1,Q62)))))</f>
        <v>1902.9027272727278</v>
      </c>
      <c r="Z62" s="535">
        <f t="shared" ref="Z62:Z64" si="91">IF(AND(W62="Pay-on-time off bill",X62="Inclusive"),((Y62*1.1)-((Y62*1.1)*U62/100))/1.1,IF(AND(W62="Pay-on-time off usage",X62="Inclusive"),((Y62*1.1)-((P62*1.1)*V62/100))/1.1,IF(AND(W62="Pay-on-time off bill",X62="Exclusive"),Y62-(Y62*U62/100),IF(AND(W62="Pay-on-time off usage",X62="Exclusive"),Y62-(P62*V62/100),IF(X62="Inclusive",((Y62*1.1))/1.1,Y62)))))</f>
        <v>1902.9027272727278</v>
      </c>
      <c r="AA62" s="542">
        <f t="shared" si="66"/>
        <v>2093.1930000000007</v>
      </c>
      <c r="AB62" s="609">
        <f t="shared" si="66"/>
        <v>2093.1930000000007</v>
      </c>
      <c r="AC62" s="625"/>
      <c r="AD62" s="625"/>
      <c r="AE62" s="625"/>
      <c r="AF62" s="625"/>
      <c r="AG62" s="625"/>
      <c r="AH62" s="625"/>
      <c r="AI62" s="625"/>
      <c r="AJ62" s="625"/>
      <c r="AK62" s="625"/>
      <c r="AL62" s="625"/>
      <c r="AM62" s="625"/>
      <c r="AN62" s="625"/>
      <c r="AO62" s="625"/>
      <c r="AP62" s="625"/>
      <c r="AQ62" s="625"/>
      <c r="AR62" s="625"/>
      <c r="AS62" s="625"/>
      <c r="AT62" s="625"/>
    </row>
    <row r="63" spans="1:46" ht="14" x14ac:dyDescent="0.15">
      <c r="A63" s="270" t="str">
        <f>'Tariffs Jul2023'!F57</f>
        <v>Simply Energy</v>
      </c>
      <c r="B63" s="40" t="str">
        <f>'Tariffs Jul2023'!D57</f>
        <v>AGN Central 2</v>
      </c>
      <c r="C63" s="40" t="str">
        <f>'Tariffs Jul2023'!G57</f>
        <v>Blue Perks</v>
      </c>
      <c r="D63" s="59">
        <f>365*'Tariffs Jul2023'!H57/100</f>
        <v>293.5927272727273</v>
      </c>
      <c r="E63" s="59">
        <f>IF($C$5*'Tariffs Jul2023'!AK57/'Tariffs Jul2023'!AI57&gt;='Tariffs Jul2023'!J57,( 'Tariffs Jul2023'!J57*'Tariffs Jul2023'!O57/100)* 'Tariffs Jul2023'!AI57,($C$5*'Tariffs Jul2023'!AK57/'Tariffs Jul2023'!AI57*'Tariffs Jul2023'!O57/100)* 'Tariffs Jul2023'!AI57)</f>
        <v>191.56772727272724</v>
      </c>
      <c r="F63" s="59">
        <f>IF($C$5*'Tariffs Jul2023'!AK57/'Tariffs Jul2023'!AI57&lt;'Tariffs Jul2023'!J57,0,IF($C$5*'Tariffs Jul2023'!AK57/'Tariffs Jul2023'!AI57&lt;='Tariffs Jul2023'!K57,($C$5*'Tariffs Jul2023'!AK57/'Tariffs Jul2023'!AI57-'Tariffs Jul2023'!J57)*('Tariffs Jul2023'!P57/100)*'Tariffs Jul2023'!AI57,('Tariffs Jul2023'!K57-'Tariffs Jul2023'!J57)*('Tariffs Jul2023'!P57/100)*'Tariffs Jul2023'!AI57))</f>
        <v>132.66681818181814</v>
      </c>
      <c r="G63" s="59">
        <f>IF($C$5*'Tariffs Jul2023'!AK57/'Tariffs Jul2023'!AI57&lt;'Tariffs Jul2023'!K57,0,IF($C$5*'Tariffs Jul2023'!AK57/'Tariffs Jul2023'!AI57&lt;='Tariffs Jul2023'!L57,($C$5*'Tariffs Jul2023'!AK57/'Tariffs Jul2023'!AI57-'Tariffs Jul2023'!K57)*('Tariffs Jul2023'!Q57/100)*'Tariffs Jul2023'!AI57,('Tariffs Jul2023'!L57-'Tariffs Jul2023'!K57)*('Tariffs Jul2023'!Q57/100)*'Tariffs Jul2023'!AI57))</f>
        <v>0</v>
      </c>
      <c r="H63" s="59">
        <f>IF($C$5*'Tariffs Jul2023'!AK57/'Tariffs Jul2023'!AI57&lt;'Tariffs Jul2023'!L57,0,IF($C$5*'Tariffs Jul2023'!AK57/'Tariffs Jul2023'!AI57&lt;='Tariffs Jul2023'!M57,($C$5*'Tariffs Jul2023'!AK57/'Tariffs Jul2023'!AI57-'Tariffs Jul2023'!L57)*('Tariffs Jul2023'!R57/100)*'Tariffs Jul2023'!AI57,('Tariffs Jul2023'!M57-'Tariffs Jul2023'!L57)*('Tariffs Jul2023'!R57/100)*'Tariffs Jul2023'!AI57))</f>
        <v>0</v>
      </c>
      <c r="I63" s="59">
        <f>IF(($C$5*'Tariffs Jul2023'!AK57/'Tariffs Jul2023'!AI57&gt;'Tariffs Jul2023'!M57),($C$5*'Tariffs Jul2023'!AK57/'Tariffs Jul2023'!AI57-'Tariffs Jul2023'!M57)*'Tariffs Jul2023'!S57/100*'Tariffs Jul2023'!AI57,0)</f>
        <v>613.63636363636363</v>
      </c>
      <c r="J63" s="59">
        <f>IF($C$5*'Tariffs Jul2023'!AL57/'Tariffs Jul2023'!AJ57&gt;='Tariffs Jul2023'!J57,('Tariffs Jul2023'!J57*'Tariffs Jul2023'!U57/100)* 'Tariffs Jul2023'!AJ57,($C$5*'Tariffs Jul2023'!AL57/'Tariffs Jul2023'!AJ57*'Tariffs Jul2023'!U57/100)* 'Tariffs Jul2023'!AJ57)</f>
        <v>191.56772727272724</v>
      </c>
      <c r="K63" s="59">
        <f>IF($C$5*'Tariffs Jul2023'!AL57/'Tariffs Jul2023'!AJ57&lt;'Tariffs Jul2023'!J57,0,IF($C$5*'Tariffs Jul2023'!AL57/'Tariffs Jul2023'!AJ57&lt;='Tariffs Jul2023'!K57,($C$5*'Tariffs Jul2023'!AL57/'Tariffs Jul2023'!AJ57-'Tariffs Jul2023'!J57)*('Tariffs Jul2023'!V57/100)*'Tariffs Jul2023'!AJ57,('Tariffs Jul2023'!K57-'Tariffs Jul2023'!J57)*('Tariffs Jul2023'!V57/100)*'Tariffs Jul2023'!AJ57))</f>
        <v>132.66681818181814</v>
      </c>
      <c r="L63" s="59">
        <f>IF($C$5*'Tariffs Jul2023'!AL57/'Tariffs Jul2023'!AJ57&lt;'Tariffs Jul2023'!K57,0,IF($C$5*'Tariffs Jul2023'!AL57/'Tariffs Jul2023'!AJ57&lt;='Tariffs Jul2023'!L57,($C$5*'Tariffs Jul2023'!AL57/'Tariffs Jul2023'!AJ57-'Tariffs Jul2023'!K57)*('Tariffs Jul2023'!W57/100)*'Tariffs Jul2023'!AJ57,('Tariffs Jul2023'!L57-'Tariffs Jul2023'!K57)*('Tariffs Jul2023'!W57/100)*'Tariffs Jul2023'!AJ57))</f>
        <v>0</v>
      </c>
      <c r="M63" s="59">
        <f>IF($C$5*'Tariffs Jul2023'!AL57/'Tariffs Jul2023'!AJ57&lt;'Tariffs Jul2023'!L57,0,IF($C$5*'Tariffs Jul2023'!AL57/'Tariffs Jul2023'!AJ57&lt;='Tariffs Jul2023'!M57,($C$5*'Tariffs Jul2023'!AL57/'Tariffs Jul2023'!AJ57-'Tariffs Jul2023'!L57)*('Tariffs Jul2023'!X57/100)*'Tariffs Jul2023'!AJ57,('Tariffs Jul2023'!M57-'Tariffs Jul2023'!L57)*('Tariffs Jul2023'!X57/100)*'Tariffs Jul2023'!AJ57))</f>
        <v>0</v>
      </c>
      <c r="N63" s="59">
        <f>IF(($C$5*'Tariffs Jul2023'!AL57/'Tariffs Jul2023'!AJ57&gt;'Tariffs Jul2023'!M57),($C$5*'Tariffs Jul2023'!AL57/'Tariffs Jul2023'!AJ57-'Tariffs Jul2023'!M57)*'Tariffs Jul2023'!Y57/100*'Tariffs Jul2023'!AJ57,0)</f>
        <v>613.63636363636363</v>
      </c>
      <c r="O63" s="59">
        <f t="shared" si="1"/>
        <v>1875.741818181818</v>
      </c>
      <c r="P63" s="503">
        <f t="shared" si="2"/>
        <v>2063.3159999999998</v>
      </c>
      <c r="Q63" s="59">
        <f t="shared" si="3"/>
        <v>2169.3345454545452</v>
      </c>
      <c r="R63" s="272">
        <f t="shared" si="4"/>
        <v>2386.268</v>
      </c>
      <c r="S63" s="40">
        <f>'Tariffs Jul2023'!AN57</f>
        <v>10</v>
      </c>
      <c r="T63" s="40">
        <f>'Tariffs Jul2023'!AO57</f>
        <v>0</v>
      </c>
      <c r="U63" s="40">
        <f>'Tariffs Jul2023'!AP57</f>
        <v>0</v>
      </c>
      <c r="V63" s="637">
        <f>'Tariffs Jul2023'!AQ57</f>
        <v>0</v>
      </c>
      <c r="W63" s="578" t="str">
        <f t="shared" si="86"/>
        <v>Guaranteed off bill</v>
      </c>
      <c r="X63" s="538" t="str">
        <f t="shared" si="87"/>
        <v>Exclusive</v>
      </c>
      <c r="Y63" s="535">
        <f t="shared" si="90"/>
        <v>1952.4010909090907</v>
      </c>
      <c r="Z63" s="535">
        <f t="shared" si="91"/>
        <v>1952.4010909090907</v>
      </c>
      <c r="AA63" s="542">
        <f t="shared" si="66"/>
        <v>2147.6412</v>
      </c>
      <c r="AB63" s="609">
        <f t="shared" si="66"/>
        <v>2147.6412</v>
      </c>
      <c r="AC63" s="625"/>
      <c r="AD63" s="625"/>
      <c r="AE63" s="625"/>
      <c r="AF63" s="625"/>
      <c r="AG63" s="625"/>
      <c r="AH63" s="625"/>
      <c r="AI63" s="625"/>
      <c r="AJ63" s="625"/>
      <c r="AK63" s="625"/>
      <c r="AL63" s="625"/>
      <c r="AM63" s="625"/>
      <c r="AN63" s="625"/>
      <c r="AO63" s="625"/>
      <c r="AP63" s="625"/>
      <c r="AQ63" s="625"/>
      <c r="AR63" s="625"/>
      <c r="AS63" s="625"/>
      <c r="AT63" s="625"/>
    </row>
    <row r="64" spans="1:46" ht="14" x14ac:dyDescent="0.15">
      <c r="A64" s="270" t="str">
        <f>'Tariffs Jul2023'!F58</f>
        <v>GloBird Energy</v>
      </c>
      <c r="B64" s="40" t="str">
        <f>'Tariffs Jul2023'!D58</f>
        <v>AGN Central 2</v>
      </c>
      <c r="C64" s="40" t="str">
        <f>'Tariffs Jul2023'!G58</f>
        <v>GloSave</v>
      </c>
      <c r="D64" s="59">
        <f>365*'Tariffs Jul2023'!H58/100</f>
        <v>233.6</v>
      </c>
      <c r="E64" s="59">
        <f>IF($C$5*'Tariffs Jul2023'!AK58/'Tariffs Jul2023'!AI58&gt;='Tariffs Jul2023'!J58,( 'Tariffs Jul2023'!J58*'Tariffs Jul2023'!O58/100)* 'Tariffs Jul2023'!AI58,($C$5*'Tariffs Jul2023'!AK58/'Tariffs Jul2023'!AI58*'Tariffs Jul2023'!O58/100)* 'Tariffs Jul2023'!AI58)</f>
        <v>220.90909090909088</v>
      </c>
      <c r="F64" s="59">
        <f>IF($C$5*'Tariffs Jul2023'!AK58/'Tariffs Jul2023'!AI58&lt;'Tariffs Jul2023'!J58,0,IF($C$5*'Tariffs Jul2023'!AK58/'Tariffs Jul2023'!AI58&lt;='Tariffs Jul2023'!K58,($C$5*'Tariffs Jul2023'!AK58/'Tariffs Jul2023'!AI58-'Tariffs Jul2023'!J58)*('Tariffs Jul2023'!P58/100)*'Tariffs Jul2023'!AI58,('Tariffs Jul2023'!K58-'Tariffs Jul2023'!J58)*('Tariffs Jul2023'!P58/100)*'Tariffs Jul2023'!AI58))</f>
        <v>0</v>
      </c>
      <c r="G64" s="59">
        <f>IF($C$5*'Tariffs Jul2023'!AK58/'Tariffs Jul2023'!AI58&lt;'Tariffs Jul2023'!K58,0,IF($C$5*'Tariffs Jul2023'!AK58/'Tariffs Jul2023'!AI58&lt;='Tariffs Jul2023'!L58,($C$5*'Tariffs Jul2023'!AK58/'Tariffs Jul2023'!AI58-'Tariffs Jul2023'!K58)*('Tariffs Jul2023'!Q58/100)*'Tariffs Jul2023'!AI58,('Tariffs Jul2023'!L58-'Tariffs Jul2023'!K58)*('Tariffs Jul2023'!Q58/100)*'Tariffs Jul2023'!AI58))</f>
        <v>0</v>
      </c>
      <c r="H64" s="59">
        <f>IF($C$5*'Tariffs Jul2023'!AK58/'Tariffs Jul2023'!AI58&lt;'Tariffs Jul2023'!L58,0,IF($C$5*'Tariffs Jul2023'!AK58/'Tariffs Jul2023'!AI58&lt;='Tariffs Jul2023'!M58,($C$5*'Tariffs Jul2023'!AK58/'Tariffs Jul2023'!AI58-'Tariffs Jul2023'!L58)*('Tariffs Jul2023'!R58/100)*'Tariffs Jul2023'!AI58,('Tariffs Jul2023'!M58-'Tariffs Jul2023'!L58)*('Tariffs Jul2023'!R58/100)*'Tariffs Jul2023'!AI58))</f>
        <v>0</v>
      </c>
      <c r="I64" s="59">
        <f>IF(($C$5*'Tariffs Jul2023'!AK58/'Tariffs Jul2023'!AI58&gt;'Tariffs Jul2023'!M58),($C$5*'Tariffs Jul2023'!AK58/'Tariffs Jul2023'!AI58-'Tariffs Jul2023'!M58)*'Tariffs Jul2023'!S58/100*'Tariffs Jul2023'!AI58,0)</f>
        <v>417.21430909090901</v>
      </c>
      <c r="J64" s="59">
        <f>IF($C$5*'Tariffs Jul2023'!AL58/'Tariffs Jul2023'!AJ58&gt;='Tariffs Jul2023'!J58,('Tariffs Jul2023'!J58*'Tariffs Jul2023'!U58/100)* 'Tariffs Jul2023'!AJ58,($C$5*'Tariffs Jul2023'!AL58/'Tariffs Jul2023'!AJ58*'Tariffs Jul2023'!U58/100)* 'Tariffs Jul2023'!AJ58)</f>
        <v>441.81818181818176</v>
      </c>
      <c r="K64" s="59">
        <f>IF($C$5*'Tariffs Jul2023'!AL58/'Tariffs Jul2023'!AJ58&lt;'Tariffs Jul2023'!J58,0,IF($C$5*'Tariffs Jul2023'!AL58/'Tariffs Jul2023'!AJ58&lt;='Tariffs Jul2023'!K58,($C$5*'Tariffs Jul2023'!AL58/'Tariffs Jul2023'!AJ58-'Tariffs Jul2023'!J58)*('Tariffs Jul2023'!V58/100)*'Tariffs Jul2023'!AJ58,('Tariffs Jul2023'!K58-'Tariffs Jul2023'!J58)*('Tariffs Jul2023'!V58/100)*'Tariffs Jul2023'!AJ58))</f>
        <v>0</v>
      </c>
      <c r="L64" s="59">
        <f>IF($C$5*'Tariffs Jul2023'!AL58/'Tariffs Jul2023'!AJ58&lt;'Tariffs Jul2023'!K58,0,IF($C$5*'Tariffs Jul2023'!AL58/'Tariffs Jul2023'!AJ58&lt;='Tariffs Jul2023'!L58,($C$5*'Tariffs Jul2023'!AL58/'Tariffs Jul2023'!AJ58-'Tariffs Jul2023'!K58)*('Tariffs Jul2023'!W58/100)*'Tariffs Jul2023'!AJ58,('Tariffs Jul2023'!L58-'Tariffs Jul2023'!K58)*('Tariffs Jul2023'!W58/100)*'Tariffs Jul2023'!AJ58))</f>
        <v>0</v>
      </c>
      <c r="M64" s="59">
        <f>IF($C$5*'Tariffs Jul2023'!AL58/'Tariffs Jul2023'!AJ58&lt;'Tariffs Jul2023'!L58,0,IF($C$5*'Tariffs Jul2023'!AL58/'Tariffs Jul2023'!AJ58&lt;='Tariffs Jul2023'!M58,($C$5*'Tariffs Jul2023'!AL58/'Tariffs Jul2023'!AJ58-'Tariffs Jul2023'!L58)*('Tariffs Jul2023'!X58/100)*'Tariffs Jul2023'!AJ58,('Tariffs Jul2023'!M58-'Tariffs Jul2023'!L58)*('Tariffs Jul2023'!X58/100)*'Tariffs Jul2023'!AJ58))</f>
        <v>0</v>
      </c>
      <c r="N64" s="59">
        <f>IF(($C$5*'Tariffs Jul2023'!AL58/'Tariffs Jul2023'!AJ58&gt;'Tariffs Jul2023'!M58),($C$5*'Tariffs Jul2023'!AL58/'Tariffs Jul2023'!AJ58-'Tariffs Jul2023'!M58)*'Tariffs Jul2023'!Y58/100*'Tariffs Jul2023'!AJ58,0)</f>
        <v>834.42861818181802</v>
      </c>
      <c r="O64" s="59">
        <f t="shared" si="1"/>
        <v>1914.3701999999998</v>
      </c>
      <c r="P64" s="503">
        <f t="shared" si="2"/>
        <v>2105.8072200000001</v>
      </c>
      <c r="Q64" s="59">
        <f t="shared" si="3"/>
        <v>2147.9701999999997</v>
      </c>
      <c r="R64" s="272">
        <f t="shared" si="4"/>
        <v>2362.7672199999997</v>
      </c>
      <c r="S64" s="40">
        <f>'Tariffs Jul2023'!AN58</f>
        <v>0</v>
      </c>
      <c r="T64" s="40">
        <f>'Tariffs Jul2023'!AO58</f>
        <v>0</v>
      </c>
      <c r="U64" s="40">
        <f>'Tariffs Jul2023'!AP58</f>
        <v>2</v>
      </c>
      <c r="V64" s="637">
        <f>'Tariffs Jul2023'!AQ58</f>
        <v>0</v>
      </c>
      <c r="W64" s="578" t="str">
        <f t="shared" si="86"/>
        <v>Pay-on-time off bill</v>
      </c>
      <c r="X64" s="538" t="str">
        <f t="shared" si="87"/>
        <v>Exclusive</v>
      </c>
      <c r="Y64" s="535">
        <f t="shared" si="90"/>
        <v>2147.9701999999997</v>
      </c>
      <c r="Z64" s="535">
        <f t="shared" si="91"/>
        <v>2105.0107959999996</v>
      </c>
      <c r="AA64" s="542">
        <f t="shared" si="66"/>
        <v>2362.7672199999997</v>
      </c>
      <c r="AB64" s="609">
        <f t="shared" si="66"/>
        <v>2315.5118755999997</v>
      </c>
      <c r="AC64" s="625"/>
      <c r="AD64" s="625"/>
      <c r="AE64" s="625"/>
      <c r="AF64" s="625"/>
      <c r="AG64" s="625"/>
      <c r="AH64" s="625"/>
      <c r="AI64" s="625"/>
      <c r="AJ64" s="625"/>
      <c r="AK64" s="625"/>
      <c r="AL64" s="625"/>
      <c r="AM64" s="625"/>
      <c r="AN64" s="625"/>
      <c r="AO64" s="625"/>
      <c r="AP64" s="625"/>
      <c r="AQ64" s="625"/>
      <c r="AR64" s="625"/>
      <c r="AS64" s="625"/>
      <c r="AT64" s="625"/>
    </row>
    <row r="65" spans="1:46" ht="14" x14ac:dyDescent="0.15">
      <c r="A65" s="270" t="str">
        <f>'Tariffs Jul2023'!F59</f>
        <v>1st Energy</v>
      </c>
      <c r="B65" s="40" t="str">
        <f>'Tariffs Jul2023'!D59</f>
        <v>AGN Central 2</v>
      </c>
      <c r="C65" s="40" t="str">
        <f>'Tariffs Jul2023'!G59</f>
        <v>1st Saver Plus</v>
      </c>
      <c r="D65" s="59">
        <f>365*'Tariffs Jul2023'!H59/100</f>
        <v>288.35000000000002</v>
      </c>
      <c r="E65" s="59">
        <f>IF($C$5*'Tariffs Jul2023'!AK59/'Tariffs Jul2023'!AI59&gt;='Tariffs Jul2023'!J59,( 'Tariffs Jul2023'!J59*'Tariffs Jul2023'!O59/100)* 'Tariffs Jul2023'!AI59,($C$5*'Tariffs Jul2023'!AK59/'Tariffs Jul2023'!AI59*'Tariffs Jul2023'!O59/100)* 'Tariffs Jul2023'!AI59)</f>
        <v>253.79999999999995</v>
      </c>
      <c r="F65" s="59">
        <f>IF($C$5*'Tariffs Jul2023'!AK59/'Tariffs Jul2023'!AI59&lt;'Tariffs Jul2023'!J59,0,IF($C$5*'Tariffs Jul2023'!AK59/'Tariffs Jul2023'!AI59&lt;='Tariffs Jul2023'!K59,($C$5*'Tariffs Jul2023'!AK59/'Tariffs Jul2023'!AI59-'Tariffs Jul2023'!J59)*('Tariffs Jul2023'!P59/100)*'Tariffs Jul2023'!AI59,('Tariffs Jul2023'!K59-'Tariffs Jul2023'!J59)*('Tariffs Jul2023'!P59/100)*'Tariffs Jul2023'!AI59))</f>
        <v>368.99999999999994</v>
      </c>
      <c r="G65" s="59">
        <f>IF($C$5*'Tariffs Jul2023'!AK59/'Tariffs Jul2023'!AI59&lt;'Tariffs Jul2023'!K59,0,IF($C$5*'Tariffs Jul2023'!AK59/'Tariffs Jul2023'!AI59&lt;='Tariffs Jul2023'!L59,($C$5*'Tariffs Jul2023'!AK59/'Tariffs Jul2023'!AI59-'Tariffs Jul2023'!K59)*('Tariffs Jul2023'!Q59/100)*'Tariffs Jul2023'!AI59,('Tariffs Jul2023'!L59-'Tariffs Jul2023'!K59)*('Tariffs Jul2023'!Q59/100)*'Tariffs Jul2023'!AI59))</f>
        <v>0</v>
      </c>
      <c r="H65" s="59">
        <f>IF($C$5*'Tariffs Jul2023'!AK59/'Tariffs Jul2023'!AI59&lt;'Tariffs Jul2023'!L59,0,IF($C$5*'Tariffs Jul2023'!AK59/'Tariffs Jul2023'!AI59&lt;='Tariffs Jul2023'!M59,($C$5*'Tariffs Jul2023'!AK59/'Tariffs Jul2023'!AI59-'Tariffs Jul2023'!L59)*('Tariffs Jul2023'!R59/100)*'Tariffs Jul2023'!AI59,('Tariffs Jul2023'!M59-'Tariffs Jul2023'!L59)*('Tariffs Jul2023'!R59/100)*'Tariffs Jul2023'!AI59))</f>
        <v>0</v>
      </c>
      <c r="I65" s="59">
        <f>IF(($C$5*'Tariffs Jul2023'!AK59/'Tariffs Jul2023'!AI59&gt;'Tariffs Jul2023'!M59),($C$5*'Tariffs Jul2023'!AK59/'Tariffs Jul2023'!AI59-'Tariffs Jul2023'!M59)*'Tariffs Jul2023'!S59/100*'Tariffs Jul2023'!AI59,0)</f>
        <v>598.5</v>
      </c>
      <c r="J65" s="59">
        <f>IF($C$5*'Tariffs Jul2023'!AL59/'Tariffs Jul2023'!AJ59&gt;='Tariffs Jul2023'!J59,('Tariffs Jul2023'!J59*'Tariffs Jul2023'!U59/100)* 'Tariffs Jul2023'!AJ59,($C$5*'Tariffs Jul2023'!AL59/'Tariffs Jul2023'!AJ59*'Tariffs Jul2023'!U59/100)* 'Tariffs Jul2023'!AJ59)</f>
        <v>253.79999999999995</v>
      </c>
      <c r="K65" s="59">
        <f>IF($C$5*'Tariffs Jul2023'!AL59/'Tariffs Jul2023'!AJ59&lt;'Tariffs Jul2023'!J59,0,IF($C$5*'Tariffs Jul2023'!AL59/'Tariffs Jul2023'!AJ59&lt;='Tariffs Jul2023'!K59,($C$5*'Tariffs Jul2023'!AL59/'Tariffs Jul2023'!AJ59-'Tariffs Jul2023'!J59)*('Tariffs Jul2023'!V59/100)*'Tariffs Jul2023'!AJ59,('Tariffs Jul2023'!K59-'Tariffs Jul2023'!J59)*('Tariffs Jul2023'!V59/100)*'Tariffs Jul2023'!AJ59))</f>
        <v>368.99999999999994</v>
      </c>
      <c r="L65" s="59">
        <f>IF($C$5*'Tariffs Jul2023'!AL59/'Tariffs Jul2023'!AJ59&lt;'Tariffs Jul2023'!K59,0,IF($C$5*'Tariffs Jul2023'!AL59/'Tariffs Jul2023'!AJ59&lt;='Tariffs Jul2023'!L59,($C$5*'Tariffs Jul2023'!AL59/'Tariffs Jul2023'!AJ59-'Tariffs Jul2023'!K59)*('Tariffs Jul2023'!W59/100)*'Tariffs Jul2023'!AJ59,('Tariffs Jul2023'!L59-'Tariffs Jul2023'!K59)*('Tariffs Jul2023'!W59/100)*'Tariffs Jul2023'!AJ59))</f>
        <v>0</v>
      </c>
      <c r="M65" s="59">
        <f>IF($C$5*'Tariffs Jul2023'!AL59/'Tariffs Jul2023'!AJ59&lt;'Tariffs Jul2023'!L59,0,IF($C$5*'Tariffs Jul2023'!AL59/'Tariffs Jul2023'!AJ59&lt;='Tariffs Jul2023'!M59,($C$5*'Tariffs Jul2023'!AL59/'Tariffs Jul2023'!AJ59-'Tariffs Jul2023'!L59)*('Tariffs Jul2023'!X59/100)*'Tariffs Jul2023'!AJ59,('Tariffs Jul2023'!M59-'Tariffs Jul2023'!L59)*('Tariffs Jul2023'!X59/100)*'Tariffs Jul2023'!AJ59))</f>
        <v>0</v>
      </c>
      <c r="N65" s="59">
        <f>IF(($C$5*'Tariffs Jul2023'!AL59/'Tariffs Jul2023'!AJ59&gt;'Tariffs Jul2023'!M59),($C$5*'Tariffs Jul2023'!AL59/'Tariffs Jul2023'!AJ59-'Tariffs Jul2023'!M59)*'Tariffs Jul2023'!Y59/100*'Tariffs Jul2023'!AJ59,0)</f>
        <v>598.5</v>
      </c>
      <c r="O65" s="59">
        <f t="shared" si="1"/>
        <v>2442.6</v>
      </c>
      <c r="P65" s="503">
        <f t="shared" si="2"/>
        <v>2686.86</v>
      </c>
      <c r="Q65" s="59">
        <f t="shared" si="3"/>
        <v>2730.95</v>
      </c>
      <c r="R65" s="272">
        <f t="shared" si="4"/>
        <v>3004.0450000000001</v>
      </c>
      <c r="S65" s="40">
        <f>'Tariffs Jul2023'!AN59</f>
        <v>0</v>
      </c>
      <c r="T65" s="40">
        <f>'Tariffs Jul2023'!AO59</f>
        <v>7</v>
      </c>
      <c r="U65" s="40">
        <f>'Tariffs Jul2023'!AP59</f>
        <v>0</v>
      </c>
      <c r="V65" s="637">
        <f>'Tariffs Jul2023'!AQ59</f>
        <v>3</v>
      </c>
      <c r="W65" s="578" t="str">
        <f t="shared" si="86"/>
        <v>Guaranteed off usage</v>
      </c>
      <c r="X65" s="538" t="str">
        <f t="shared" si="87"/>
        <v>Exclusive</v>
      </c>
      <c r="Y65" s="535">
        <f>Q65-(P65*T65)/100</f>
        <v>2542.8697999999999</v>
      </c>
      <c r="Z65" s="535">
        <f>Y65-(P65*V65)/100</f>
        <v>2462.2640000000001</v>
      </c>
      <c r="AA65" s="542">
        <f t="shared" ref="AA65:AB83" si="92">Y65*1.1</f>
        <v>2797.1567800000003</v>
      </c>
      <c r="AB65" s="609">
        <f t="shared" si="92"/>
        <v>2708.4904000000001</v>
      </c>
      <c r="AC65" s="625"/>
      <c r="AD65" s="625"/>
      <c r="AE65" s="625"/>
      <c r="AF65" s="625"/>
      <c r="AG65" s="625"/>
      <c r="AH65" s="625"/>
      <c r="AI65" s="625"/>
      <c r="AJ65" s="625"/>
      <c r="AK65" s="625"/>
      <c r="AL65" s="625"/>
      <c r="AM65" s="625"/>
      <c r="AN65" s="625"/>
      <c r="AO65" s="625"/>
      <c r="AP65" s="625"/>
      <c r="AQ65" s="625"/>
      <c r="AR65" s="625"/>
      <c r="AS65" s="625"/>
      <c r="AT65" s="625"/>
    </row>
    <row r="66" spans="1:46" ht="14" x14ac:dyDescent="0.15">
      <c r="A66" s="270" t="str">
        <f>'Tariffs Jul2023'!F60</f>
        <v>Tango Energy</v>
      </c>
      <c r="B66" s="40" t="str">
        <f>'Tariffs Jul2023'!D60</f>
        <v>AGN Central 2</v>
      </c>
      <c r="C66" s="40" t="str">
        <f>'Tariffs Jul2023'!G60</f>
        <v>Home Select</v>
      </c>
      <c r="D66" s="59">
        <f>365*'Tariffs Jul2023'!H60/100</f>
        <v>383.24999999999994</v>
      </c>
      <c r="E66" s="59">
        <f>IF($C$5*'Tariffs Jul2023'!AK60/'Tariffs Jul2023'!AI60&gt;='Tariffs Jul2023'!J60,( 'Tariffs Jul2023'!J60*'Tariffs Jul2023'!O60/100)* 'Tariffs Jul2023'!AI60,($C$5*'Tariffs Jul2023'!AK60/'Tariffs Jul2023'!AI60*'Tariffs Jul2023'!O60/100)* 'Tariffs Jul2023'!AI60)</f>
        <v>175.41681818181817</v>
      </c>
      <c r="F66" s="59">
        <f>IF($C$5*'Tariffs Jul2023'!AK60/'Tariffs Jul2023'!AI60&lt;'Tariffs Jul2023'!J60,0,IF($C$5*'Tariffs Jul2023'!AK60/'Tariffs Jul2023'!AI60&lt;='Tariffs Jul2023'!K60,($C$5*'Tariffs Jul2023'!AK60/'Tariffs Jul2023'!AI60-'Tariffs Jul2023'!J60)*('Tariffs Jul2023'!P60/100)*'Tariffs Jul2023'!AI60,('Tariffs Jul2023'!K60-'Tariffs Jul2023'!J60)*('Tariffs Jul2023'!P60/100)*'Tariffs Jul2023'!AI60))</f>
        <v>134.8840909090909</v>
      </c>
      <c r="G66" s="59">
        <f>IF($C$5*'Tariffs Jul2023'!AK60/'Tariffs Jul2023'!AI60&lt;'Tariffs Jul2023'!K60,0,IF($C$5*'Tariffs Jul2023'!AK60/'Tariffs Jul2023'!AI60&lt;='Tariffs Jul2023'!L60,($C$5*'Tariffs Jul2023'!AK60/'Tariffs Jul2023'!AI60-'Tariffs Jul2023'!K60)*('Tariffs Jul2023'!Q60/100)*'Tariffs Jul2023'!AI60,('Tariffs Jul2023'!L60-'Tariffs Jul2023'!K60)*('Tariffs Jul2023'!Q60/100)*'Tariffs Jul2023'!AI60))</f>
        <v>0</v>
      </c>
      <c r="H66" s="59">
        <f>IF($C$5*'Tariffs Jul2023'!AK60/'Tariffs Jul2023'!AI60&lt;'Tariffs Jul2023'!L60,0,IF($C$5*'Tariffs Jul2023'!AK60/'Tariffs Jul2023'!AI60&lt;='Tariffs Jul2023'!M60,($C$5*'Tariffs Jul2023'!AK60/'Tariffs Jul2023'!AI60-'Tariffs Jul2023'!L60)*('Tariffs Jul2023'!R60/100)*'Tariffs Jul2023'!AI60,('Tariffs Jul2023'!M60-'Tariffs Jul2023'!L60)*('Tariffs Jul2023'!R60/100)*'Tariffs Jul2023'!AI60))</f>
        <v>0</v>
      </c>
      <c r="I66" s="59">
        <f>IF(($C$5*'Tariffs Jul2023'!AK60/'Tariffs Jul2023'!AI60&gt;'Tariffs Jul2023'!M60),($C$5*'Tariffs Jul2023'!AK60/'Tariffs Jul2023'!AI60-'Tariffs Jul2023'!M60)*'Tariffs Jul2023'!S60/100*'Tariffs Jul2023'!AI60,0)</f>
        <v>715.90909090909088</v>
      </c>
      <c r="J66" s="59">
        <f>IF($C$5*'Tariffs Jul2023'!AL60/'Tariffs Jul2023'!AJ60&gt;='Tariffs Jul2023'!J60,('Tariffs Jul2023'!J60*'Tariffs Jul2023'!U60/100)* 'Tariffs Jul2023'!AJ60,($C$5*'Tariffs Jul2023'!AL60/'Tariffs Jul2023'!AJ60*'Tariffs Jul2023'!U60/100)* 'Tariffs Jul2023'!AJ60)</f>
        <v>175.41681818181817</v>
      </c>
      <c r="K66" s="59">
        <f>IF($C$5*'Tariffs Jul2023'!AL60/'Tariffs Jul2023'!AJ60&lt;'Tariffs Jul2023'!J60,0,IF($C$5*'Tariffs Jul2023'!AL60/'Tariffs Jul2023'!AJ60&lt;='Tariffs Jul2023'!K60,($C$5*'Tariffs Jul2023'!AL60/'Tariffs Jul2023'!AJ60-'Tariffs Jul2023'!J60)*('Tariffs Jul2023'!V60/100)*'Tariffs Jul2023'!AJ60,('Tariffs Jul2023'!K60-'Tariffs Jul2023'!J60)*('Tariffs Jul2023'!V60/100)*'Tariffs Jul2023'!AJ60))</f>
        <v>134.8840909090909</v>
      </c>
      <c r="L66" s="59">
        <f>IF($C$5*'Tariffs Jul2023'!AL60/'Tariffs Jul2023'!AJ60&lt;'Tariffs Jul2023'!K60,0,IF($C$5*'Tariffs Jul2023'!AL60/'Tariffs Jul2023'!AJ60&lt;='Tariffs Jul2023'!L60,($C$5*'Tariffs Jul2023'!AL60/'Tariffs Jul2023'!AJ60-'Tariffs Jul2023'!K60)*('Tariffs Jul2023'!W60/100)*'Tariffs Jul2023'!AJ60,('Tariffs Jul2023'!L60-'Tariffs Jul2023'!K60)*('Tariffs Jul2023'!W60/100)*'Tariffs Jul2023'!AJ60))</f>
        <v>0</v>
      </c>
      <c r="M66" s="59">
        <f>IF($C$5*'Tariffs Jul2023'!AL60/'Tariffs Jul2023'!AJ60&lt;'Tariffs Jul2023'!L60,0,IF($C$5*'Tariffs Jul2023'!AL60/'Tariffs Jul2023'!AJ60&lt;='Tariffs Jul2023'!M60,($C$5*'Tariffs Jul2023'!AL60/'Tariffs Jul2023'!AJ60-'Tariffs Jul2023'!L60)*('Tariffs Jul2023'!X60/100)*'Tariffs Jul2023'!AJ60,('Tariffs Jul2023'!M60-'Tariffs Jul2023'!L60)*('Tariffs Jul2023'!X60/100)*'Tariffs Jul2023'!AJ60))</f>
        <v>0</v>
      </c>
      <c r="N66" s="59">
        <f>IF(($C$5*'Tariffs Jul2023'!AL60/'Tariffs Jul2023'!AJ60&gt;'Tariffs Jul2023'!M60),($C$5*'Tariffs Jul2023'!AL60/'Tariffs Jul2023'!AJ60-'Tariffs Jul2023'!M60)*'Tariffs Jul2023'!Y60/100*'Tariffs Jul2023'!AJ60,0)</f>
        <v>715.90909090909088</v>
      </c>
      <c r="O66" s="59">
        <f>SUM(E66:N66)</f>
        <v>2052.42</v>
      </c>
      <c r="P66" s="503">
        <f t="shared" si="2"/>
        <v>2257.6620000000003</v>
      </c>
      <c r="Q66" s="59">
        <f>D66+O66</f>
        <v>2435.67</v>
      </c>
      <c r="R66" s="272">
        <f>Q66*1.1</f>
        <v>2679.2370000000001</v>
      </c>
      <c r="S66" s="40">
        <f>'Tariffs Jul2023'!AN60</f>
        <v>0</v>
      </c>
      <c r="T66" s="40">
        <f>'Tariffs Jul2023'!AO60</f>
        <v>0</v>
      </c>
      <c r="U66" s="40">
        <f>'Tariffs Jul2023'!AP60</f>
        <v>0</v>
      </c>
      <c r="V66" s="637">
        <f>'Tariffs Jul2023'!AQ60</f>
        <v>0</v>
      </c>
      <c r="W66" s="578" t="str">
        <f t="shared" si="86"/>
        <v>No discount</v>
      </c>
      <c r="X66" s="538" t="str">
        <f t="shared" si="87"/>
        <v>Exclusive</v>
      </c>
      <c r="Y66" s="535">
        <f t="shared" ref="Y66:Y68" si="93">IF(AND(W66="Guaranteed off bill",X66="Inclusive"),((Q66*1.1)-((Q66*1.1)*S66/100))/1.1,IF(AND(W66="Guaranteed off usage",X66="Inclusive"),((Q66*1.1)-((P66*1.1)*T66/100))/1.1,IF(AND(W66="Guaranteed off bill",X66="Exclusive"),Q66-(Q66*S66/100),IF(AND(W66="Guaranteed off usage",X66="Exclusive"),Q66-(P66*T66/100),IF(X66="Inclusive",((Q66*1.1))/1.1,Q66)))))</f>
        <v>2435.67</v>
      </c>
      <c r="Z66" s="535">
        <f t="shared" ref="Z66:Z68" si="94">IF(AND(W66="Pay-on-time off bill",X66="Inclusive"),((Y66*1.1)-((Y66*1.1)*U66/100))/1.1,IF(AND(W66="Pay-on-time off usage",X66="Inclusive"),((Y66*1.1)-((P66*1.1)*V66/100))/1.1,IF(AND(W66="Pay-on-time off bill",X66="Exclusive"),Y66-(Y66*U66/100),IF(AND(W66="Pay-on-time off usage",X66="Exclusive"),Y66-(P66*V66/100),IF(X66="Inclusive",((Y66*1.1))/1.1,Y66)))))</f>
        <v>2435.67</v>
      </c>
      <c r="AA66" s="542">
        <f t="shared" si="92"/>
        <v>2679.2370000000001</v>
      </c>
      <c r="AB66" s="609">
        <f t="shared" si="92"/>
        <v>2679.2370000000001</v>
      </c>
      <c r="AC66" s="625"/>
      <c r="AD66" s="625"/>
      <c r="AE66" s="625"/>
      <c r="AF66" s="625"/>
      <c r="AG66" s="625"/>
      <c r="AH66" s="625"/>
      <c r="AI66" s="625"/>
      <c r="AJ66" s="625"/>
      <c r="AK66" s="625"/>
      <c r="AL66" s="625"/>
      <c r="AM66" s="625"/>
      <c r="AN66" s="625"/>
      <c r="AO66" s="625"/>
      <c r="AP66" s="625"/>
      <c r="AQ66" s="625"/>
      <c r="AR66" s="625"/>
      <c r="AS66" s="625"/>
      <c r="AT66" s="625"/>
    </row>
    <row r="67" spans="1:46" ht="14" x14ac:dyDescent="0.15">
      <c r="A67" s="270" t="str">
        <f>'Tariffs Jul2023'!F61</f>
        <v>Momentum Energy</v>
      </c>
      <c r="B67" s="40" t="str">
        <f>'Tariffs Jul2023'!D61</f>
        <v>AGN Central 2</v>
      </c>
      <c r="C67" s="40" t="str">
        <f>'Tariffs Jul2023'!G61</f>
        <v>Nothing Fancy</v>
      </c>
      <c r="D67" s="59">
        <f>365*'Tariffs Jul2023'!H61/100</f>
        <v>354.41500000000002</v>
      </c>
      <c r="E67" s="59">
        <f>IF($C$5*'Tariffs Jul2023'!AK61/'Tariffs Jul2023'!AI61&gt;='Tariffs Jul2023'!J61,( 'Tariffs Jul2023'!J61*'Tariffs Jul2023'!O61/100)* 'Tariffs Jul2023'!AI61,($C$5*'Tariffs Jul2023'!AK61/'Tariffs Jul2023'!AI61*'Tariffs Jul2023'!O61/100)* 'Tariffs Jul2023'!AI61)</f>
        <v>177.65999999999997</v>
      </c>
      <c r="F67" s="59">
        <f>IF($C$5*'Tariffs Jul2023'!AK61/'Tariffs Jul2023'!AI61&lt;'Tariffs Jul2023'!J61,0,IF($C$5*'Tariffs Jul2023'!AK61/'Tariffs Jul2023'!AI61&lt;='Tariffs Jul2023'!K61,($C$5*'Tariffs Jul2023'!AK61/'Tariffs Jul2023'!AI61-'Tariffs Jul2023'!J61)*('Tariffs Jul2023'!P61/100)*'Tariffs Jul2023'!AI61,('Tariffs Jul2023'!K61-'Tariffs Jul2023'!J61)*('Tariffs Jul2023'!P61/100)*'Tariffs Jul2023'!AI61))</f>
        <v>121.94999999999997</v>
      </c>
      <c r="G67" s="59">
        <f>IF($C$5*'Tariffs Jul2023'!AK61/'Tariffs Jul2023'!AI61&lt;'Tariffs Jul2023'!K61,0,IF($C$5*'Tariffs Jul2023'!AK61/'Tariffs Jul2023'!AI61&lt;='Tariffs Jul2023'!L61,($C$5*'Tariffs Jul2023'!AK61/'Tariffs Jul2023'!AI61-'Tariffs Jul2023'!K61)*('Tariffs Jul2023'!Q61/100)*'Tariffs Jul2023'!AI61,('Tariffs Jul2023'!L61-'Tariffs Jul2023'!K61)*('Tariffs Jul2023'!Q61/100)*'Tariffs Jul2023'!AI61))</f>
        <v>0</v>
      </c>
      <c r="H67" s="59">
        <f>IF($C$5*'Tariffs Jul2023'!AK61/'Tariffs Jul2023'!AI61&lt;'Tariffs Jul2023'!L61,0,IF($C$5*'Tariffs Jul2023'!AK61/'Tariffs Jul2023'!AI61&lt;='Tariffs Jul2023'!M61,($C$5*'Tariffs Jul2023'!AK61/'Tariffs Jul2023'!AI61-'Tariffs Jul2023'!L61)*('Tariffs Jul2023'!R61/100)*'Tariffs Jul2023'!AI61,('Tariffs Jul2023'!M61-'Tariffs Jul2023'!L61)*('Tariffs Jul2023'!R61/100)*'Tariffs Jul2023'!AI61))</f>
        <v>0</v>
      </c>
      <c r="I67" s="59">
        <f>IF(($C$5*'Tariffs Jul2023'!AK61/'Tariffs Jul2023'!AI61&gt;'Tariffs Jul2023'!M61),($C$5*'Tariffs Jul2023'!AK61/'Tariffs Jul2023'!AI61-'Tariffs Jul2023'!M61)*'Tariffs Jul2023'!S61/100*'Tariffs Jul2023'!AI61,0)</f>
        <v>584.99999999999989</v>
      </c>
      <c r="J67" s="59">
        <f>IF($C$5*'Tariffs Jul2023'!AL61/'Tariffs Jul2023'!AJ61&gt;='Tariffs Jul2023'!J61,('Tariffs Jul2023'!J61*'Tariffs Jul2023'!U61/100)* 'Tariffs Jul2023'!AJ61,($C$5*'Tariffs Jul2023'!AL61/'Tariffs Jul2023'!AJ61*'Tariffs Jul2023'!U61/100)* 'Tariffs Jul2023'!AJ61)</f>
        <v>177.65999999999997</v>
      </c>
      <c r="K67" s="59">
        <f>IF($C$5*'Tariffs Jul2023'!AL61/'Tariffs Jul2023'!AJ61&lt;'Tariffs Jul2023'!J61,0,IF($C$5*'Tariffs Jul2023'!AL61/'Tariffs Jul2023'!AJ61&lt;='Tariffs Jul2023'!K61,($C$5*'Tariffs Jul2023'!AL61/'Tariffs Jul2023'!AJ61-'Tariffs Jul2023'!J61)*('Tariffs Jul2023'!V61/100)*'Tariffs Jul2023'!AJ61,('Tariffs Jul2023'!K61-'Tariffs Jul2023'!J61)*('Tariffs Jul2023'!V61/100)*'Tariffs Jul2023'!AJ61))</f>
        <v>121.94999999999997</v>
      </c>
      <c r="L67" s="59">
        <f>IF($C$5*'Tariffs Jul2023'!AL61/'Tariffs Jul2023'!AJ61&lt;'Tariffs Jul2023'!K61,0,IF($C$5*'Tariffs Jul2023'!AL61/'Tariffs Jul2023'!AJ61&lt;='Tariffs Jul2023'!L61,($C$5*'Tariffs Jul2023'!AL61/'Tariffs Jul2023'!AJ61-'Tariffs Jul2023'!K61)*('Tariffs Jul2023'!W61/100)*'Tariffs Jul2023'!AJ61,('Tariffs Jul2023'!L61-'Tariffs Jul2023'!K61)*('Tariffs Jul2023'!W61/100)*'Tariffs Jul2023'!AJ61))</f>
        <v>0</v>
      </c>
      <c r="M67" s="59">
        <f>IF($C$5*'Tariffs Jul2023'!AL61/'Tariffs Jul2023'!AJ61&lt;'Tariffs Jul2023'!L61,0,IF($C$5*'Tariffs Jul2023'!AL61/'Tariffs Jul2023'!AJ61&lt;='Tariffs Jul2023'!M61,($C$5*'Tariffs Jul2023'!AL61/'Tariffs Jul2023'!AJ61-'Tariffs Jul2023'!L61)*('Tariffs Jul2023'!X61/100)*'Tariffs Jul2023'!AJ61,('Tariffs Jul2023'!M61-'Tariffs Jul2023'!L61)*('Tariffs Jul2023'!X61/100)*'Tariffs Jul2023'!AJ61))</f>
        <v>0</v>
      </c>
      <c r="N67" s="59">
        <f>IF(($C$5*'Tariffs Jul2023'!AL61/'Tariffs Jul2023'!AJ61&gt;'Tariffs Jul2023'!M61),($C$5*'Tariffs Jul2023'!AL61/'Tariffs Jul2023'!AJ61-'Tariffs Jul2023'!M61)*'Tariffs Jul2023'!Y61/100*'Tariffs Jul2023'!AJ61,0)</f>
        <v>584.99999999999989</v>
      </c>
      <c r="O67" s="59">
        <f>SUM(E67:N67)</f>
        <v>1769.2199999999998</v>
      </c>
      <c r="P67" s="503">
        <f t="shared" si="2"/>
        <v>1946.1419999999998</v>
      </c>
      <c r="Q67" s="59">
        <f>D67+O67</f>
        <v>2123.6349999999998</v>
      </c>
      <c r="R67" s="272">
        <f>Q67*1.1</f>
        <v>2335.9985000000001</v>
      </c>
      <c r="S67" s="40">
        <f>'Tariffs Jul2023'!AN61</f>
        <v>0</v>
      </c>
      <c r="T67" s="40">
        <f>'Tariffs Jul2023'!AO61</f>
        <v>0</v>
      </c>
      <c r="U67" s="40">
        <f>'Tariffs Jul2023'!AP61</f>
        <v>0</v>
      </c>
      <c r="V67" s="637">
        <f>'Tariffs Jul2023'!AQ61</f>
        <v>0</v>
      </c>
      <c r="W67" s="578" t="str">
        <f t="shared" si="86"/>
        <v>No discount</v>
      </c>
      <c r="X67" s="538" t="str">
        <f t="shared" si="87"/>
        <v>Exclusive</v>
      </c>
      <c r="Y67" s="535">
        <f t="shared" si="93"/>
        <v>2123.6349999999998</v>
      </c>
      <c r="Z67" s="535">
        <f t="shared" si="94"/>
        <v>2123.6349999999998</v>
      </c>
      <c r="AA67" s="542">
        <f t="shared" si="92"/>
        <v>2335.9985000000001</v>
      </c>
      <c r="AB67" s="609">
        <f t="shared" si="92"/>
        <v>2335.9985000000001</v>
      </c>
      <c r="AC67" s="625"/>
      <c r="AD67" s="625"/>
      <c r="AE67" s="625"/>
      <c r="AF67" s="625"/>
      <c r="AG67" s="625"/>
      <c r="AH67" s="625"/>
      <c r="AI67" s="625"/>
      <c r="AJ67" s="625"/>
      <c r="AK67" s="625"/>
      <c r="AL67" s="625"/>
      <c r="AM67" s="625"/>
      <c r="AN67" s="625"/>
      <c r="AO67" s="625"/>
      <c r="AP67" s="625"/>
      <c r="AQ67" s="625"/>
      <c r="AR67" s="625"/>
      <c r="AS67" s="625"/>
      <c r="AT67" s="625"/>
    </row>
    <row r="68" spans="1:46" ht="14" x14ac:dyDescent="0.15">
      <c r="A68" s="270" t="str">
        <f>'Tariffs Jul2023'!F62</f>
        <v>Sumo Power</v>
      </c>
      <c r="B68" s="40" t="str">
        <f>'Tariffs Jul2023'!D62</f>
        <v>AGN Central 2</v>
      </c>
      <c r="C68" s="40" t="str">
        <f>'Tariffs Jul2023'!G62</f>
        <v>Lite</v>
      </c>
      <c r="D68" s="59">
        <f>365*'Tariffs Jul2023'!H62/100</f>
        <v>255.5</v>
      </c>
      <c r="E68" s="59">
        <f>IF($C$5*'Tariffs Jul2023'!AK62/'Tariffs Jul2023'!AI62&gt;='Tariffs Jul2023'!J62,( 'Tariffs Jul2023'!J62*'Tariffs Jul2023'!O62/100)* 'Tariffs Jul2023'!AI62,($C$5*'Tariffs Jul2023'!AK62/'Tariffs Jul2023'!AI62*'Tariffs Jul2023'!O62/100)* 'Tariffs Jul2023'!AI62)</f>
        <v>148.04999999999998</v>
      </c>
      <c r="F68" s="59">
        <f>IF($C$5*'Tariffs Jul2023'!AK62/'Tariffs Jul2023'!AI62&lt;'Tariffs Jul2023'!J62,0,IF($C$5*'Tariffs Jul2023'!AK62/'Tariffs Jul2023'!AI62&lt;='Tariffs Jul2023'!K62,($C$5*'Tariffs Jul2023'!AK62/'Tariffs Jul2023'!AI62-'Tariffs Jul2023'!J62)*('Tariffs Jul2023'!P62/100)*'Tariffs Jul2023'!AI62,('Tariffs Jul2023'!K62-'Tariffs Jul2023'!J62)*('Tariffs Jul2023'!P62/100)*'Tariffs Jul2023'!AI62))</f>
        <v>113.82</v>
      </c>
      <c r="G68" s="59">
        <f>IF($C$5*'Tariffs Jul2023'!AK62/'Tariffs Jul2023'!AI62&lt;'Tariffs Jul2023'!K62,0,IF($C$5*'Tariffs Jul2023'!AK62/'Tariffs Jul2023'!AI62&lt;='Tariffs Jul2023'!L62,($C$5*'Tariffs Jul2023'!AK62/'Tariffs Jul2023'!AI62-'Tariffs Jul2023'!K62)*('Tariffs Jul2023'!Q62/100)*'Tariffs Jul2023'!AI62,('Tariffs Jul2023'!L62-'Tariffs Jul2023'!K62)*('Tariffs Jul2023'!Q62/100)*'Tariffs Jul2023'!AI62))</f>
        <v>0</v>
      </c>
      <c r="H68" s="59">
        <f>IF($C$5*'Tariffs Jul2023'!AK62/'Tariffs Jul2023'!AI62&lt;'Tariffs Jul2023'!L62,0,IF($C$5*'Tariffs Jul2023'!AK62/'Tariffs Jul2023'!AI62&lt;='Tariffs Jul2023'!M62,($C$5*'Tariffs Jul2023'!AK62/'Tariffs Jul2023'!AI62-'Tariffs Jul2023'!L62)*('Tariffs Jul2023'!R62/100)*'Tariffs Jul2023'!AI62,('Tariffs Jul2023'!M62-'Tariffs Jul2023'!L62)*('Tariffs Jul2023'!R62/100)*'Tariffs Jul2023'!AI62))</f>
        <v>0</v>
      </c>
      <c r="I68" s="59">
        <f>IF(($C$5*'Tariffs Jul2023'!AK62/'Tariffs Jul2023'!AI62&gt;'Tariffs Jul2023'!M62),($C$5*'Tariffs Jul2023'!AK62/'Tariffs Jul2023'!AI62-'Tariffs Jul2023'!M62)*'Tariffs Jul2023'!S62/100*'Tariffs Jul2023'!AI62,0)</f>
        <v>511.36363636363632</v>
      </c>
      <c r="J68" s="59">
        <f>IF($C$5*'Tariffs Jul2023'!AL62/'Tariffs Jul2023'!AJ62&gt;='Tariffs Jul2023'!J62,('Tariffs Jul2023'!J62*'Tariffs Jul2023'!U62/100)* 'Tariffs Jul2023'!AJ62,($C$5*'Tariffs Jul2023'!AL62/'Tariffs Jul2023'!AJ62*'Tariffs Jul2023'!U62/100)* 'Tariffs Jul2023'!AJ62)</f>
        <v>266.49</v>
      </c>
      <c r="K68" s="59">
        <f>IF($C$5*'Tariffs Jul2023'!AL62/'Tariffs Jul2023'!AJ62&lt;'Tariffs Jul2023'!J62,0,IF($C$5*'Tariffs Jul2023'!AL62/'Tariffs Jul2023'!AJ62&lt;='Tariffs Jul2023'!K62,($C$5*'Tariffs Jul2023'!AL62/'Tariffs Jul2023'!AJ62-'Tariffs Jul2023'!J62)*('Tariffs Jul2023'!V62/100)*'Tariffs Jul2023'!AJ62,('Tariffs Jul2023'!K62-'Tariffs Jul2023'!J62)*('Tariffs Jul2023'!V62/100)*'Tariffs Jul2023'!AJ62))</f>
        <v>0</v>
      </c>
      <c r="L68" s="59">
        <f>IF($C$5*'Tariffs Jul2023'!AL62/'Tariffs Jul2023'!AJ62&lt;'Tariffs Jul2023'!K62,0,IF($C$5*'Tariffs Jul2023'!AL62/'Tariffs Jul2023'!AJ62&lt;='Tariffs Jul2023'!L62,($C$5*'Tariffs Jul2023'!AL62/'Tariffs Jul2023'!AJ62-'Tariffs Jul2023'!K62)*('Tariffs Jul2023'!W62/100)*'Tariffs Jul2023'!AJ62,('Tariffs Jul2023'!L62-'Tariffs Jul2023'!K62)*('Tariffs Jul2023'!W62/100)*'Tariffs Jul2023'!AJ62))</f>
        <v>0</v>
      </c>
      <c r="M68" s="59">
        <f>IF($C$5*'Tariffs Jul2023'!AL62/'Tariffs Jul2023'!AJ62&lt;'Tariffs Jul2023'!L62,0,IF($C$5*'Tariffs Jul2023'!AL62/'Tariffs Jul2023'!AJ62&lt;='Tariffs Jul2023'!M62,($C$5*'Tariffs Jul2023'!AL62/'Tariffs Jul2023'!AJ62-'Tariffs Jul2023'!L62)*('Tariffs Jul2023'!X62/100)*'Tariffs Jul2023'!AJ62,('Tariffs Jul2023'!M62-'Tariffs Jul2023'!L62)*('Tariffs Jul2023'!X62/100)*'Tariffs Jul2023'!AJ62))</f>
        <v>0</v>
      </c>
      <c r="N68" s="59">
        <f>IF(($C$5*'Tariffs Jul2023'!AL62/'Tariffs Jul2023'!AJ62&gt;'Tariffs Jul2023'!M62),($C$5*'Tariffs Jul2023'!AL62/'Tariffs Jul2023'!AJ62-'Tariffs Jul2023'!M62)*'Tariffs Jul2023'!Y62/100*'Tariffs Jul2023'!AJ62,0)</f>
        <v>1059.5454545454543</v>
      </c>
      <c r="O68" s="59">
        <f>SUM(E68:N68)</f>
        <v>2099.2690909090907</v>
      </c>
      <c r="P68" s="503">
        <f t="shared" si="2"/>
        <v>2309.1959999999999</v>
      </c>
      <c r="Q68" s="59">
        <f>D68+O68</f>
        <v>2354.7690909090907</v>
      </c>
      <c r="R68" s="272">
        <f>Q68*1.1</f>
        <v>2590.2460000000001</v>
      </c>
      <c r="S68" s="40">
        <f>'Tariffs Jul2023'!AN62</f>
        <v>0</v>
      </c>
      <c r="T68" s="40">
        <f>'Tariffs Jul2023'!AO62</f>
        <v>0</v>
      </c>
      <c r="U68" s="40">
        <f>'Tariffs Jul2023'!AP62</f>
        <v>0</v>
      </c>
      <c r="V68" s="637">
        <f>'Tariffs Jul2023'!AQ62</f>
        <v>0</v>
      </c>
      <c r="W68" s="578" t="str">
        <f t="shared" si="86"/>
        <v>No discount</v>
      </c>
      <c r="X68" s="538" t="str">
        <f t="shared" si="87"/>
        <v>Exclusive</v>
      </c>
      <c r="Y68" s="535">
        <f t="shared" si="93"/>
        <v>2354.7690909090907</v>
      </c>
      <c r="Z68" s="535">
        <f t="shared" si="94"/>
        <v>2354.7690909090907</v>
      </c>
      <c r="AA68" s="542">
        <f t="shared" si="92"/>
        <v>2590.2460000000001</v>
      </c>
      <c r="AB68" s="609">
        <f t="shared" si="92"/>
        <v>2590.2460000000001</v>
      </c>
      <c r="AC68" s="625"/>
      <c r="AD68" s="625"/>
      <c r="AE68" s="625"/>
      <c r="AF68" s="625"/>
      <c r="AG68" s="625"/>
      <c r="AH68" s="625"/>
      <c r="AI68" s="625"/>
      <c r="AJ68" s="625"/>
      <c r="AK68" s="625"/>
      <c r="AL68" s="625"/>
      <c r="AM68" s="625"/>
      <c r="AN68" s="625"/>
      <c r="AO68" s="625"/>
      <c r="AP68" s="625"/>
      <c r="AQ68" s="625"/>
      <c r="AR68" s="625"/>
      <c r="AS68" s="625"/>
      <c r="AT68" s="625"/>
    </row>
    <row r="69" spans="1:46" ht="14" x14ac:dyDescent="0.15">
      <c r="A69" s="270" t="str">
        <f>'Tariffs Jul2023'!F63</f>
        <v>CovaU</v>
      </c>
      <c r="B69" s="40" t="str">
        <f>'Tariffs Jul2023'!D63</f>
        <v>AGN Central 2</v>
      </c>
      <c r="C69" s="40" t="str">
        <f>'Tariffs Jul2023'!G63</f>
        <v>Super Saver</v>
      </c>
      <c r="D69" s="59">
        <f>365*'Tariffs Jul2023'!H63/100</f>
        <v>256.4622727272727</v>
      </c>
      <c r="E69" s="59">
        <f>IF($C$5*'Tariffs Jul2023'!AK63/'Tariffs Jul2023'!AI63&gt;='Tariffs Jul2023'!J63,( 'Tariffs Jul2023'!J63*'Tariffs Jul2023'!O63/100)* 'Tariffs Jul2023'!AI63,($C$5*'Tariffs Jul2023'!AK63/'Tariffs Jul2023'!AI63*'Tariffs Jul2023'!O63/100)* 'Tariffs Jul2023'!AI63)</f>
        <v>158.36863636363631</v>
      </c>
      <c r="F69" s="59">
        <f>IF($C$5*'Tariffs Jul2023'!AK63/'Tariffs Jul2023'!AI63&lt;'Tariffs Jul2023'!J63,0,IF($C$5*'Tariffs Jul2023'!AK63/'Tariffs Jul2023'!AI63&lt;='Tariffs Jul2023'!K63,($C$5*'Tariffs Jul2023'!AK63/'Tariffs Jul2023'!AI63-'Tariffs Jul2023'!J63)*('Tariffs Jul2023'!P63/100)*'Tariffs Jul2023'!AI63,('Tariffs Jul2023'!K63-'Tariffs Jul2023'!J63)*('Tariffs Jul2023'!P63/100)*'Tariffs Jul2023'!AI63))</f>
        <v>124.16727272727272</v>
      </c>
      <c r="G69" s="59">
        <f>IF($C$5*'Tariffs Jul2023'!AK63/'Tariffs Jul2023'!AI63&lt;'Tariffs Jul2023'!K63,0,IF($C$5*'Tariffs Jul2023'!AK63/'Tariffs Jul2023'!AI63&lt;='Tariffs Jul2023'!L63,($C$5*'Tariffs Jul2023'!AK63/'Tariffs Jul2023'!AI63-'Tariffs Jul2023'!K63)*('Tariffs Jul2023'!Q63/100)*'Tariffs Jul2023'!AI63,('Tariffs Jul2023'!L63-'Tariffs Jul2023'!K63)*('Tariffs Jul2023'!Q63/100)*'Tariffs Jul2023'!AI63))</f>
        <v>0</v>
      </c>
      <c r="H69" s="59">
        <f>IF($C$5*'Tariffs Jul2023'!AK63/'Tariffs Jul2023'!AI63&lt;'Tariffs Jul2023'!L63,0,IF($C$5*'Tariffs Jul2023'!AK63/'Tariffs Jul2023'!AI63&lt;='Tariffs Jul2023'!M63,($C$5*'Tariffs Jul2023'!AK63/'Tariffs Jul2023'!AI63-'Tariffs Jul2023'!L63)*('Tariffs Jul2023'!R63/100)*'Tariffs Jul2023'!AI63,('Tariffs Jul2023'!M63-'Tariffs Jul2023'!L63)*('Tariffs Jul2023'!R63/100)*'Tariffs Jul2023'!AI63))</f>
        <v>0</v>
      </c>
      <c r="I69" s="59">
        <f>IF(($C$5*'Tariffs Jul2023'!AK63/'Tariffs Jul2023'!AI63&gt;'Tariffs Jul2023'!M63),($C$5*'Tariffs Jul2023'!AK63/'Tariffs Jul2023'!AI63-'Tariffs Jul2023'!M63)*'Tariffs Jul2023'!S63/100*'Tariffs Jul2023'!AI63,0)</f>
        <v>465.74999999999989</v>
      </c>
      <c r="J69" s="59">
        <f>IF($C$5*'Tariffs Jul2023'!AL63/'Tariffs Jul2023'!AJ63&gt;='Tariffs Jul2023'!J63,('Tariffs Jul2023'!J63*'Tariffs Jul2023'!U63/100)* 'Tariffs Jul2023'!AJ63,($C$5*'Tariffs Jul2023'!AL63/'Tariffs Jul2023'!AJ63*'Tariffs Jul2023'!U63/100)* 'Tariffs Jul2023'!AJ63)</f>
        <v>158.36863636363631</v>
      </c>
      <c r="K69" s="59">
        <f>IF($C$5*'Tariffs Jul2023'!AL63/'Tariffs Jul2023'!AJ63&lt;'Tariffs Jul2023'!J63,0,IF($C$5*'Tariffs Jul2023'!AL63/'Tariffs Jul2023'!AJ63&lt;='Tariffs Jul2023'!K63,($C$5*'Tariffs Jul2023'!AL63/'Tariffs Jul2023'!AJ63-'Tariffs Jul2023'!J63)*('Tariffs Jul2023'!V63/100)*'Tariffs Jul2023'!AJ63,('Tariffs Jul2023'!K63-'Tariffs Jul2023'!J63)*('Tariffs Jul2023'!V63/100)*'Tariffs Jul2023'!AJ63))</f>
        <v>124.16727272727272</v>
      </c>
      <c r="L69" s="59">
        <f>IF($C$5*'Tariffs Jul2023'!AL63/'Tariffs Jul2023'!AJ63&lt;'Tariffs Jul2023'!K63,0,IF($C$5*'Tariffs Jul2023'!AL63/'Tariffs Jul2023'!AJ63&lt;='Tariffs Jul2023'!L63,($C$5*'Tariffs Jul2023'!AL63/'Tariffs Jul2023'!AJ63-'Tariffs Jul2023'!K63)*('Tariffs Jul2023'!W63/100)*'Tariffs Jul2023'!AJ63,('Tariffs Jul2023'!L63-'Tariffs Jul2023'!K63)*('Tariffs Jul2023'!W63/100)*'Tariffs Jul2023'!AJ63))</f>
        <v>0</v>
      </c>
      <c r="M69" s="59">
        <f>IF($C$5*'Tariffs Jul2023'!AL63/'Tariffs Jul2023'!AJ63&lt;'Tariffs Jul2023'!L63,0,IF($C$5*'Tariffs Jul2023'!AL63/'Tariffs Jul2023'!AJ63&lt;='Tariffs Jul2023'!M63,($C$5*'Tariffs Jul2023'!AL63/'Tariffs Jul2023'!AJ63-'Tariffs Jul2023'!L63)*('Tariffs Jul2023'!X63/100)*'Tariffs Jul2023'!AJ63,('Tariffs Jul2023'!M63-'Tariffs Jul2023'!L63)*('Tariffs Jul2023'!X63/100)*'Tariffs Jul2023'!AJ63))</f>
        <v>0</v>
      </c>
      <c r="N69" s="59">
        <f>IF(($C$5*'Tariffs Jul2023'!AL63/'Tariffs Jul2023'!AJ63&gt;'Tariffs Jul2023'!M63),($C$5*'Tariffs Jul2023'!AL63/'Tariffs Jul2023'!AJ63-'Tariffs Jul2023'!M63)*'Tariffs Jul2023'!Y63/100*'Tariffs Jul2023'!AJ63,0)</f>
        <v>465.74999999999989</v>
      </c>
      <c r="O69" s="59">
        <f>SUM(E69:N69)</f>
        <v>1496.5718181818179</v>
      </c>
      <c r="P69" s="503">
        <f t="shared" ref="P69" si="95">O69*1.1</f>
        <v>1646.2289999999998</v>
      </c>
      <c r="Q69" s="59">
        <f>D69+O69</f>
        <v>1753.0340909090905</v>
      </c>
      <c r="R69" s="272">
        <f>Q69*1.1</f>
        <v>1928.3374999999996</v>
      </c>
      <c r="S69" s="40">
        <f>'Tariffs Jul2023'!AN63</f>
        <v>0</v>
      </c>
      <c r="T69" s="40">
        <f>'Tariffs Jul2023'!AO63</f>
        <v>0</v>
      </c>
      <c r="U69" s="40">
        <f>'Tariffs Jul2023'!AP63</f>
        <v>0</v>
      </c>
      <c r="V69" s="637">
        <f>'Tariffs Jul2023'!AQ63</f>
        <v>0</v>
      </c>
      <c r="W69" s="578" t="str">
        <f t="shared" ref="W69" si="96">IF(SUM(S69:V69)=0,"No discount",IF(S69&gt;0,"Guaranteed off bill",IF(T69&gt;0,"Guaranteed off usage",IF(U69&gt;0,"Pay-on-time off bill","Pay-on-time off usage"))))</f>
        <v>No discount</v>
      </c>
      <c r="X69" s="538" t="str">
        <f t="shared" ref="X69" si="97">IF(OR(A69="Origin Energy",A69="Red Energy",A69="Powershop"),"Inclusive","Exclusive")</f>
        <v>Exclusive</v>
      </c>
      <c r="Y69" s="535">
        <f t="shared" ref="Y69" si="98">IF(AND(W69="Guaranteed off bill",X69="Inclusive"),((Q69*1.1)-((Q69*1.1)*S69/100))/1.1,IF(AND(W69="Guaranteed off usage",X69="Inclusive"),((Q69*1.1)-((P69*1.1)*T69/100))/1.1,IF(AND(W69="Guaranteed off bill",X69="Exclusive"),Q69-(Q69*S69/100),IF(AND(W69="Guaranteed off usage",X69="Exclusive"),Q69-(P69*T69/100),IF(X69="Inclusive",((Q69*1.1))/1.1,Q69)))))</f>
        <v>1753.0340909090905</v>
      </c>
      <c r="Z69" s="535">
        <f t="shared" ref="Z69" si="99">IF(AND(W69="Pay-on-time off bill",X69="Inclusive"),((Y69*1.1)-((Y69*1.1)*U69/100))/1.1,IF(AND(W69="Pay-on-time off usage",X69="Inclusive"),((Y69*1.1)-((P69*1.1)*V69/100))/1.1,IF(AND(W69="Pay-on-time off bill",X69="Exclusive"),Y69-(Y69*U69/100),IF(AND(W69="Pay-on-time off usage",X69="Exclusive"),Y69-(P69*V69/100),IF(X69="Inclusive",((Y69*1.1))/1.1,Y69)))))</f>
        <v>1753.0340909090905</v>
      </c>
      <c r="AA69" s="542">
        <f t="shared" ref="AA69" si="100">Y69*1.1</f>
        <v>1928.3374999999996</v>
      </c>
      <c r="AB69" s="609">
        <f t="shared" ref="AB69" si="101">Z69*1.1</f>
        <v>1928.3374999999996</v>
      </c>
      <c r="AC69" s="625"/>
      <c r="AD69" s="625"/>
      <c r="AE69" s="625"/>
      <c r="AF69" s="625"/>
      <c r="AG69" s="625"/>
      <c r="AH69" s="625"/>
      <c r="AI69" s="625"/>
      <c r="AJ69" s="625"/>
      <c r="AK69" s="625"/>
      <c r="AL69" s="625"/>
      <c r="AM69" s="625"/>
      <c r="AN69" s="625"/>
      <c r="AO69" s="625"/>
      <c r="AP69" s="625"/>
      <c r="AQ69" s="625"/>
      <c r="AR69" s="625"/>
      <c r="AS69" s="625"/>
      <c r="AT69" s="625"/>
    </row>
    <row r="70" spans="1:46" ht="14" x14ac:dyDescent="0.15">
      <c r="A70" s="270" t="str">
        <f>'Tariffs Jul2023'!F64</f>
        <v>Powershop</v>
      </c>
      <c r="B70" s="40" t="str">
        <f>'Tariffs Jul2023'!D64</f>
        <v>AGN Central 2</v>
      </c>
      <c r="C70" s="40" t="str">
        <f>'Tariffs Jul2023'!G64</f>
        <v>Carbon Neutral</v>
      </c>
      <c r="D70" s="59">
        <f>365*'Tariffs Jul2023'!H64/100</f>
        <v>312.73863636363632</v>
      </c>
      <c r="E70" s="59">
        <f>((C$5*'Tariffs Jul2023'!AK64/'Tariffs Jul2023'!AI64)*('Tariffs Jul2023'!O64/100))*'Tariffs Jul2023'!AI64</f>
        <v>1005.1363636363635</v>
      </c>
      <c r="F70" s="59">
        <v>0</v>
      </c>
      <c r="G70" s="59">
        <v>0</v>
      </c>
      <c r="H70" s="59">
        <v>0</v>
      </c>
      <c r="I70" s="69">
        <v>0</v>
      </c>
      <c r="J70" s="69">
        <f>((C$5*'Tariffs Jul2023'!AL64/'Tariffs Jul2023'!AJ64)*('Tariffs Jul2023'!U64/100))*'Tariffs Jul2023'!AJ64</f>
        <v>1005.1363636363635</v>
      </c>
      <c r="K70" s="69">
        <v>0</v>
      </c>
      <c r="L70" s="69">
        <v>0</v>
      </c>
      <c r="M70" s="69">
        <v>0</v>
      </c>
      <c r="N70" s="69">
        <v>0</v>
      </c>
      <c r="O70" s="59">
        <f t="shared" ref="O70:O71" si="102">SUM(E70:N70)</f>
        <v>2010.272727272727</v>
      </c>
      <c r="P70" s="503">
        <f t="shared" ref="P70:P71" si="103">O70*1.1</f>
        <v>2211.2999999999997</v>
      </c>
      <c r="Q70" s="59">
        <f t="shared" ref="Q70:Q71" si="104">D70+O70</f>
        <v>2323.0113636363635</v>
      </c>
      <c r="R70" s="272">
        <f t="shared" ref="R70:R71" si="105">Q70*1.1</f>
        <v>2555.3125</v>
      </c>
      <c r="S70" s="40">
        <f>'Tariffs Jul2023'!AN64</f>
        <v>0</v>
      </c>
      <c r="T70" s="40">
        <f>'Tariffs Jul2023'!AO64</f>
        <v>0</v>
      </c>
      <c r="U70" s="40">
        <f>'Tariffs Jul2023'!AP64</f>
        <v>0</v>
      </c>
      <c r="V70" s="637">
        <f>'Tariffs Jul2023'!AQ64</f>
        <v>0</v>
      </c>
      <c r="W70" s="578" t="str">
        <f t="shared" ref="W70:W71" si="106">IF(SUM(S70:V70)=0,"No discount",IF(S70&gt;0,"Guaranteed off bill",IF(T70&gt;0,"Guaranteed off usage",IF(U70&gt;0,"Pay-on-time off bill","Pay-on-time off usage"))))</f>
        <v>No discount</v>
      </c>
      <c r="X70" s="538" t="str">
        <f t="shared" ref="X70:X71" si="107">IF(OR(A70="Origin Energy",A70="Red Energy",A70="Powershop"),"Inclusive","Exclusive")</f>
        <v>Inclusive</v>
      </c>
      <c r="Y70" s="535">
        <f t="shared" ref="Y70:Y71" si="108">IF(AND(W70="Guaranteed off bill",X70="Inclusive"),((Q70*1.1)-((Q70*1.1)*S70/100))/1.1,IF(AND(W70="Guaranteed off usage",X70="Inclusive"),((Q70*1.1)-((P70*1.1)*T70/100))/1.1,IF(AND(W70="Guaranteed off bill",X70="Exclusive"),Q70-(Q70*S70/100),IF(AND(W70="Guaranteed off usage",X70="Exclusive"),Q70-(P70*T70/100),IF(X70="Inclusive",((Q70*1.1))/1.1,Q70)))))</f>
        <v>2323.0113636363635</v>
      </c>
      <c r="Z70" s="535">
        <f t="shared" ref="Z70:Z71" si="109">IF(AND(W70="Pay-on-time off bill",X70="Inclusive"),((Y70*1.1)-((Y70*1.1)*U70/100))/1.1,IF(AND(W70="Pay-on-time off usage",X70="Inclusive"),((Y70*1.1)-((P70*1.1)*V70/100))/1.1,IF(AND(W70="Pay-on-time off bill",X70="Exclusive"),Y70-(Y70*U70/100),IF(AND(W70="Pay-on-time off usage",X70="Exclusive"),Y70-(P70*V70/100),IF(X70="Inclusive",((Y70*1.1))/1.1,Y70)))))</f>
        <v>2323.0113636363635</v>
      </c>
      <c r="AA70" s="542">
        <f t="shared" ref="AA70:AA71" si="110">Y70*1.1</f>
        <v>2555.3125</v>
      </c>
      <c r="AB70" s="609">
        <f t="shared" ref="AB70:AB71" si="111">Z70*1.1</f>
        <v>2555.3125</v>
      </c>
      <c r="AC70" s="625"/>
      <c r="AD70" s="625"/>
      <c r="AE70" s="625"/>
      <c r="AF70" s="625"/>
      <c r="AG70" s="625"/>
      <c r="AH70" s="625"/>
      <c r="AI70" s="625"/>
      <c r="AJ70" s="625"/>
      <c r="AK70" s="625"/>
      <c r="AL70" s="625"/>
      <c r="AM70" s="625"/>
      <c r="AN70" s="625"/>
      <c r="AO70" s="625"/>
      <c r="AP70" s="625"/>
      <c r="AQ70" s="625"/>
      <c r="AR70" s="625"/>
      <c r="AS70" s="625"/>
      <c r="AT70" s="625"/>
    </row>
    <row r="71" spans="1:46" ht="15" thickBot="1" x14ac:dyDescent="0.2">
      <c r="A71" s="276" t="str">
        <f>'Tariffs Jul2023'!F65</f>
        <v>Kogan</v>
      </c>
      <c r="B71" s="277" t="str">
        <f>'Tariffs Jul2023'!D65</f>
        <v>AGN Central 2</v>
      </c>
      <c r="C71" s="277" t="str">
        <f>'Tariffs Jul2023'!G65</f>
        <v>First</v>
      </c>
      <c r="D71" s="278">
        <f>365*'Tariffs Jul2023'!H65/100</f>
        <v>312.73863636363632</v>
      </c>
      <c r="E71" s="278">
        <f>((C$5*'Tariffs Jul2023'!AK65/'Tariffs Jul2023'!AI65)*('Tariffs Jul2023'!O65/100))*'Tariffs Jul2023'!AI65</f>
        <v>1005.1363636363635</v>
      </c>
      <c r="F71" s="278">
        <v>0</v>
      </c>
      <c r="G71" s="278">
        <v>0</v>
      </c>
      <c r="H71" s="278">
        <v>0</v>
      </c>
      <c r="I71" s="547">
        <v>0</v>
      </c>
      <c r="J71" s="547">
        <f>((C$5*'Tariffs Jul2023'!AL65/'Tariffs Jul2023'!AJ65)*('Tariffs Jul2023'!U65/100))*'Tariffs Jul2023'!AJ65</f>
        <v>1005.1363636363635</v>
      </c>
      <c r="K71" s="547">
        <v>0</v>
      </c>
      <c r="L71" s="547">
        <v>0</v>
      </c>
      <c r="M71" s="547">
        <v>0</v>
      </c>
      <c r="N71" s="547">
        <v>0</v>
      </c>
      <c r="O71" s="278">
        <f t="shared" si="102"/>
        <v>2010.272727272727</v>
      </c>
      <c r="P71" s="504">
        <f t="shared" si="103"/>
        <v>2211.2999999999997</v>
      </c>
      <c r="Q71" s="278">
        <f t="shared" si="104"/>
        <v>2323.0113636363635</v>
      </c>
      <c r="R71" s="280">
        <f t="shared" si="105"/>
        <v>2555.3125</v>
      </c>
      <c r="S71" s="277">
        <f>'Tariffs Jul2023'!AN65</f>
        <v>0</v>
      </c>
      <c r="T71" s="277">
        <f>'Tariffs Jul2023'!AO65</f>
        <v>0</v>
      </c>
      <c r="U71" s="277">
        <f>'Tariffs Jul2023'!AP65</f>
        <v>0</v>
      </c>
      <c r="V71" s="638">
        <f>'Tariffs Jul2023'!AQ65</f>
        <v>0</v>
      </c>
      <c r="W71" s="585" t="str">
        <f t="shared" si="106"/>
        <v>No discount</v>
      </c>
      <c r="X71" s="541" t="str">
        <f t="shared" si="107"/>
        <v>Exclusive</v>
      </c>
      <c r="Y71" s="544">
        <f t="shared" si="108"/>
        <v>2323.0113636363635</v>
      </c>
      <c r="Z71" s="544">
        <f t="shared" si="109"/>
        <v>2323.0113636363635</v>
      </c>
      <c r="AA71" s="545">
        <f t="shared" si="110"/>
        <v>2555.3125</v>
      </c>
      <c r="AB71" s="610">
        <f t="shared" si="111"/>
        <v>2555.3125</v>
      </c>
      <c r="AC71" s="625"/>
      <c r="AD71" s="625"/>
      <c r="AE71" s="625"/>
      <c r="AF71" s="625"/>
      <c r="AG71" s="625"/>
      <c r="AH71" s="625"/>
      <c r="AI71" s="625"/>
      <c r="AJ71" s="625"/>
      <c r="AK71" s="625"/>
      <c r="AL71" s="625"/>
      <c r="AM71" s="625"/>
      <c r="AN71" s="625"/>
      <c r="AO71" s="625"/>
      <c r="AP71" s="625"/>
      <c r="AQ71" s="625"/>
      <c r="AR71" s="625"/>
      <c r="AS71" s="625"/>
      <c r="AT71" s="625"/>
    </row>
    <row r="72" spans="1:46" ht="15" thickTop="1" x14ac:dyDescent="0.15">
      <c r="A72" s="270" t="str">
        <f>'Tariffs Jul2023'!F66</f>
        <v>AGL</v>
      </c>
      <c r="B72" s="40" t="str">
        <f>'Tariffs Jul2023'!D66</f>
        <v>AGN Central 1</v>
      </c>
      <c r="C72" s="40" t="str">
        <f>'Tariffs Jul2023'!G66</f>
        <v>Value Saver</v>
      </c>
      <c r="D72" s="59">
        <f>365*'Tariffs Jul2023'!H66/100</f>
        <v>279.19181818181818</v>
      </c>
      <c r="E72" s="59">
        <f>IF($C$5*'Tariffs Jul2023'!AK66/'Tariffs Jul2023'!AI66&gt;='Tariffs Jul2023'!J66,( 'Tariffs Jul2023'!J66*'Tariffs Jul2023'!O66/100)* 'Tariffs Jul2023'!AI66,($C$5*'Tariffs Jul2023'!AK66/'Tariffs Jul2023'!AI66*'Tariffs Jul2023'!O66/100)* 'Tariffs Jul2023'!AI66)</f>
        <v>172.27636363636358</v>
      </c>
      <c r="F72" s="59">
        <f>IF($C$5*'Tariffs Jul2023'!AK66/'Tariffs Jul2023'!AI66&lt;'Tariffs Jul2023'!J66,0,IF($C$5*'Tariffs Jul2023'!AK66/'Tariffs Jul2023'!AI66&lt;='Tariffs Jul2023'!K66,($C$5*'Tariffs Jul2023'!AK66/'Tariffs Jul2023'!AI66-'Tariffs Jul2023'!J66)*('Tariffs Jul2023'!P66/100)*'Tariffs Jul2023'!AI66,('Tariffs Jul2023'!K66-'Tariffs Jul2023'!J66)*('Tariffs Jul2023'!P66/100)*'Tariffs Jul2023'!AI66))</f>
        <v>135.25363636363636</v>
      </c>
      <c r="G72" s="59">
        <f>IF($C$5*'Tariffs Jul2023'!AK66/'Tariffs Jul2023'!AI66&lt;'Tariffs Jul2023'!K66,0,IF($C$5*'Tariffs Jul2023'!AK66/'Tariffs Jul2023'!AI66&lt;='Tariffs Jul2023'!L66,($C$5*'Tariffs Jul2023'!AK66/'Tariffs Jul2023'!AI66-'Tariffs Jul2023'!K66)*('Tariffs Jul2023'!Q66/100)*'Tariffs Jul2023'!AI66,('Tariffs Jul2023'!L66-'Tariffs Jul2023'!K66)*('Tariffs Jul2023'!Q66/100)*'Tariffs Jul2023'!AI66))</f>
        <v>0</v>
      </c>
      <c r="H72" s="59">
        <f>IF($C$5*'Tariffs Jul2023'!AK66/'Tariffs Jul2023'!AI66&lt;'Tariffs Jul2023'!L66,0,IF($C$5*'Tariffs Jul2023'!AK66/'Tariffs Jul2023'!AI66&lt;='Tariffs Jul2023'!M66,($C$5*'Tariffs Jul2023'!AK66/'Tariffs Jul2023'!AI66-'Tariffs Jul2023'!L66)*('Tariffs Jul2023'!R66/100)*'Tariffs Jul2023'!AI66,('Tariffs Jul2023'!M66-'Tariffs Jul2023'!L66)*('Tariffs Jul2023'!R66/100)*'Tariffs Jul2023'!AI66))</f>
        <v>0</v>
      </c>
      <c r="I72" s="59">
        <f>IF(($C$5*'Tariffs Jul2023'!AK66/'Tariffs Jul2023'!AI66&gt;'Tariffs Jul2023'!M66),($C$5*'Tariffs Jul2023'!AK66/'Tariffs Jul2023'!AI66-'Tariffs Jul2023'!M66)*'Tariffs Jul2023'!S66/100*'Tariffs Jul2023'!AI66,0)</f>
        <v>509.31818181818187</v>
      </c>
      <c r="J72" s="59">
        <f>IF($C$5*'Tariffs Jul2023'!AL66/'Tariffs Jul2023'!AJ66&gt;='Tariffs Jul2023'!J66,('Tariffs Jul2023'!J66*'Tariffs Jul2023'!U66/100)* 'Tariffs Jul2023'!AJ66,($C$5*'Tariffs Jul2023'!AL66/'Tariffs Jul2023'!AJ66*'Tariffs Jul2023'!U66/100)* 'Tariffs Jul2023'!AJ66)</f>
        <v>172.27636363636358</v>
      </c>
      <c r="K72" s="59">
        <f>IF($C$5*'Tariffs Jul2023'!AL66/'Tariffs Jul2023'!AJ66&lt;'Tariffs Jul2023'!J66,0,IF($C$5*'Tariffs Jul2023'!AL66/'Tariffs Jul2023'!AJ66&lt;='Tariffs Jul2023'!K66,($C$5*'Tariffs Jul2023'!AL66/'Tariffs Jul2023'!AJ66-'Tariffs Jul2023'!J66)*('Tariffs Jul2023'!V66/100)*'Tariffs Jul2023'!AJ66,('Tariffs Jul2023'!K66-'Tariffs Jul2023'!J66)*('Tariffs Jul2023'!V66/100)*'Tariffs Jul2023'!AJ66))</f>
        <v>135.25363636363636</v>
      </c>
      <c r="L72" s="59">
        <f>IF($C$5*'Tariffs Jul2023'!AL66/'Tariffs Jul2023'!AJ66&lt;'Tariffs Jul2023'!K66,0,IF($C$5*'Tariffs Jul2023'!AL66/'Tariffs Jul2023'!AJ66&lt;='Tariffs Jul2023'!L66,($C$5*'Tariffs Jul2023'!AL66/'Tariffs Jul2023'!AJ66-'Tariffs Jul2023'!K66)*('Tariffs Jul2023'!W66/100)*'Tariffs Jul2023'!AJ66,('Tariffs Jul2023'!L66-'Tariffs Jul2023'!K66)*('Tariffs Jul2023'!W66/100)*'Tariffs Jul2023'!AJ66))</f>
        <v>0</v>
      </c>
      <c r="M72" s="59">
        <f>IF($C$5*'Tariffs Jul2023'!AL66/'Tariffs Jul2023'!AJ66&lt;'Tariffs Jul2023'!L66,0,IF($C$5*'Tariffs Jul2023'!AL66/'Tariffs Jul2023'!AJ66&lt;='Tariffs Jul2023'!M66,($C$5*'Tariffs Jul2023'!AL66/'Tariffs Jul2023'!AJ66-'Tariffs Jul2023'!L66)*('Tariffs Jul2023'!X66/100)*'Tariffs Jul2023'!AJ66,('Tariffs Jul2023'!M66-'Tariffs Jul2023'!L66)*('Tariffs Jul2023'!X66/100)*'Tariffs Jul2023'!AJ66))</f>
        <v>0</v>
      </c>
      <c r="N72" s="59">
        <f>IF(($C$5*'Tariffs Jul2023'!AL66/'Tariffs Jul2023'!AJ66&gt;'Tariffs Jul2023'!M66),($C$5*'Tariffs Jul2023'!AL66/'Tariffs Jul2023'!AJ66-'Tariffs Jul2023'!M66)*'Tariffs Jul2023'!Y66/100*'Tariffs Jul2023'!AJ66,0)</f>
        <v>509.31818181818187</v>
      </c>
      <c r="O72" s="59">
        <f t="shared" si="1"/>
        <v>1633.6963636363639</v>
      </c>
      <c r="P72" s="503">
        <f t="shared" si="2"/>
        <v>1797.0660000000005</v>
      </c>
      <c r="Q72" s="59">
        <f>D72+O72</f>
        <v>1912.8881818181821</v>
      </c>
      <c r="R72" s="272">
        <f t="shared" si="4"/>
        <v>2104.1770000000006</v>
      </c>
      <c r="S72" s="40">
        <f>'Tariffs Jul2023'!AN66</f>
        <v>0</v>
      </c>
      <c r="T72" s="40">
        <f>'Tariffs Jul2023'!AO66</f>
        <v>0</v>
      </c>
      <c r="U72" s="40">
        <f>'Tariffs Jul2023'!AP66</f>
        <v>0</v>
      </c>
      <c r="V72" s="637">
        <f>'Tariffs Jul2023'!AQ66</f>
        <v>0</v>
      </c>
      <c r="W72" s="578" t="str">
        <f>IF(SUM(S72:V72)=0,"No discount",IF(S72&gt;0,"Guaranteed off bill",IF(T72&gt;0,"Guaranteed off usage",IF(U72&gt;0,"Pay-on-time off bill","Pay-on-time off usage"))))</f>
        <v>No discount</v>
      </c>
      <c r="X72" s="538" t="str">
        <f>IF(OR(A72="Origin Energy",A72="Red Energy",A72="Powershop"),"Inclusive","Exclusive")</f>
        <v>Exclusive</v>
      </c>
      <c r="Y72" s="535">
        <f>IF(AND(W72="Guaranteed off bill",X72="Inclusive"),((Q72*1.1)-((Q72*1.1)*S72/100))/1.1,IF(AND(W72="Guaranteed off usage",X72="Inclusive"),((Q72*1.1)-((P72*1.1)*T72/100))/1.1,IF(AND(W72="Guaranteed off bill",X72="Exclusive"),Q72-(Q72*S72/100),IF(AND(W72="Guaranteed off usage",X72="Exclusive"),Q72-(P72*T72/100),IF(X72="Inclusive",((Q72*1.1))/1.1,Q72)))))</f>
        <v>1912.8881818181821</v>
      </c>
      <c r="Z72" s="535">
        <f>IF(AND(W72="Pay-on-time off bill",X72="Inclusive"),((Y72*1.1)-((Y72*1.1)*U72/100))/1.1,IF(AND(W72="Pay-on-time off usage",X72="Inclusive"),((Y72*1.1)-((P72*1.1)*V72/100))/1.1,IF(AND(W72="Pay-on-time off bill",X72="Exclusive"),Y72-(Y72*U72/100),IF(AND(W72="Pay-on-time off usage",X72="Exclusive"),Y72-(P72*V72/100),IF(X72="Inclusive",((Y72*1.1))/1.1,Y72)))))</f>
        <v>1912.8881818181821</v>
      </c>
      <c r="AA72" s="542">
        <f t="shared" si="92"/>
        <v>2104.1770000000006</v>
      </c>
      <c r="AB72" s="609">
        <f t="shared" si="92"/>
        <v>2104.1770000000006</v>
      </c>
      <c r="AC72" s="625"/>
      <c r="AD72" s="625"/>
      <c r="AE72" s="625"/>
      <c r="AF72" s="625"/>
      <c r="AG72" s="625"/>
      <c r="AH72" s="625"/>
      <c r="AI72" s="625"/>
      <c r="AJ72" s="625"/>
      <c r="AK72" s="625"/>
      <c r="AL72" s="625"/>
      <c r="AM72" s="625"/>
      <c r="AN72" s="625"/>
      <c r="AO72" s="625"/>
      <c r="AP72" s="625"/>
      <c r="AQ72" s="625"/>
      <c r="AR72" s="625"/>
      <c r="AS72" s="625"/>
      <c r="AT72" s="625"/>
    </row>
    <row r="73" spans="1:46" ht="14" x14ac:dyDescent="0.15">
      <c r="A73" s="270" t="str">
        <f>'Tariffs Jul2023'!F67</f>
        <v>Alinta Energy</v>
      </c>
      <c r="B73" s="40" t="str">
        <f>'Tariffs Jul2023'!D67</f>
        <v>AGN Central 1</v>
      </c>
      <c r="C73" s="40" t="str">
        <f>'Tariffs Jul2023'!G67</f>
        <v>Home Deal</v>
      </c>
      <c r="D73" s="59">
        <f>365*'Tariffs Jul2023'!H67/100</f>
        <v>259.51499999999999</v>
      </c>
      <c r="E73" s="59">
        <f>IF($C$5*'Tariffs Jul2023'!AK67/'Tariffs Jul2023'!AI67&gt;='Tariffs Jul2023'!J67,( 'Tariffs Jul2023'!J67*'Tariffs Jul2023'!O67/100)* 'Tariffs Jul2023'!AI67,($C$5*'Tariffs Jul2023'!AK67/'Tariffs Jul2023'!AI67*'Tariffs Jul2023'!O67/100)* 'Tariffs Jul2023'!AI67)</f>
        <v>201.88636363636363</v>
      </c>
      <c r="F73" s="59">
        <f>IF($C$5*'Tariffs Jul2023'!AK67/'Tariffs Jul2023'!AI67&lt;'Tariffs Jul2023'!J67,0,IF($C$5*'Tariffs Jul2023'!AK67/'Tariffs Jul2023'!AI67&lt;='Tariffs Jul2023'!K67,($C$5*'Tariffs Jul2023'!AK67/'Tariffs Jul2023'!AI67-'Tariffs Jul2023'!J67)*('Tariffs Jul2023'!P67/100)*'Tariffs Jul2023'!AI67,('Tariffs Jul2023'!K67-'Tariffs Jul2023'!J67)*('Tariffs Jul2023'!P67/100)*'Tariffs Jul2023'!AI67))</f>
        <v>145.23136363636362</v>
      </c>
      <c r="G73" s="59">
        <f>IF($C$5*'Tariffs Jul2023'!AK67/'Tariffs Jul2023'!AI67&lt;'Tariffs Jul2023'!K67,0,IF($C$5*'Tariffs Jul2023'!AK67/'Tariffs Jul2023'!AI67&lt;='Tariffs Jul2023'!L67,($C$5*'Tariffs Jul2023'!AK67/'Tariffs Jul2023'!AI67-'Tariffs Jul2023'!K67)*('Tariffs Jul2023'!Q67/100)*'Tariffs Jul2023'!AI67,('Tariffs Jul2023'!L67-'Tariffs Jul2023'!K67)*('Tariffs Jul2023'!Q67/100)*'Tariffs Jul2023'!AI67))</f>
        <v>0</v>
      </c>
      <c r="H73" s="59">
        <f>IF($C$5*'Tariffs Jul2023'!AK67/'Tariffs Jul2023'!AI67&lt;'Tariffs Jul2023'!L67,0,IF($C$5*'Tariffs Jul2023'!AK67/'Tariffs Jul2023'!AI67&lt;='Tariffs Jul2023'!M67,($C$5*'Tariffs Jul2023'!AK67/'Tariffs Jul2023'!AI67-'Tariffs Jul2023'!L67)*('Tariffs Jul2023'!R67/100)*'Tariffs Jul2023'!AI67,('Tariffs Jul2023'!M67-'Tariffs Jul2023'!L67)*('Tariffs Jul2023'!R67/100)*'Tariffs Jul2023'!AI67))</f>
        <v>0</v>
      </c>
      <c r="I73" s="59">
        <f>IF(($C$5*'Tariffs Jul2023'!AK67/'Tariffs Jul2023'!AI67&gt;'Tariffs Jul2023'!M67),($C$5*'Tariffs Jul2023'!AK67/'Tariffs Jul2023'!AI67-'Tariffs Jul2023'!M67)*'Tariffs Jul2023'!S67/100*'Tariffs Jul2023'!AI67,0)</f>
        <v>623.86363636363626</v>
      </c>
      <c r="J73" s="59">
        <f>IF($C$5*'Tariffs Jul2023'!AL67/'Tariffs Jul2023'!AJ67&gt;='Tariffs Jul2023'!J67,('Tariffs Jul2023'!J67*'Tariffs Jul2023'!U67/100)* 'Tariffs Jul2023'!AJ67,($C$5*'Tariffs Jul2023'!AL67/'Tariffs Jul2023'!AJ67*'Tariffs Jul2023'!U67/100)* 'Tariffs Jul2023'!AJ67)</f>
        <v>201.88636363636363</v>
      </c>
      <c r="K73" s="59">
        <f>IF($C$5*'Tariffs Jul2023'!AL67/'Tariffs Jul2023'!AJ67&lt;'Tariffs Jul2023'!J67,0,IF($C$5*'Tariffs Jul2023'!AL67/'Tariffs Jul2023'!AJ67&lt;='Tariffs Jul2023'!K67,($C$5*'Tariffs Jul2023'!AL67/'Tariffs Jul2023'!AJ67-'Tariffs Jul2023'!J67)*('Tariffs Jul2023'!V67/100)*'Tariffs Jul2023'!AJ67,('Tariffs Jul2023'!K67-'Tariffs Jul2023'!J67)*('Tariffs Jul2023'!V67/100)*'Tariffs Jul2023'!AJ67))</f>
        <v>145.23136363636362</v>
      </c>
      <c r="L73" s="59">
        <f>IF($C$5*'Tariffs Jul2023'!AL67/'Tariffs Jul2023'!AJ67&lt;'Tariffs Jul2023'!K67,0,IF($C$5*'Tariffs Jul2023'!AL67/'Tariffs Jul2023'!AJ67&lt;='Tariffs Jul2023'!L67,($C$5*'Tariffs Jul2023'!AL67/'Tariffs Jul2023'!AJ67-'Tariffs Jul2023'!K67)*('Tariffs Jul2023'!W67/100)*'Tariffs Jul2023'!AJ67,('Tariffs Jul2023'!L67-'Tariffs Jul2023'!K67)*('Tariffs Jul2023'!W67/100)*'Tariffs Jul2023'!AJ67))</f>
        <v>0</v>
      </c>
      <c r="M73" s="59">
        <f>IF($C$5*'Tariffs Jul2023'!AL67/'Tariffs Jul2023'!AJ67&lt;'Tariffs Jul2023'!L67,0,IF($C$5*'Tariffs Jul2023'!AL67/'Tariffs Jul2023'!AJ67&lt;='Tariffs Jul2023'!M67,($C$5*'Tariffs Jul2023'!AL67/'Tariffs Jul2023'!AJ67-'Tariffs Jul2023'!L67)*('Tariffs Jul2023'!X67/100)*'Tariffs Jul2023'!AJ67,('Tariffs Jul2023'!M67-'Tariffs Jul2023'!L67)*('Tariffs Jul2023'!X67/100)*'Tariffs Jul2023'!AJ67))</f>
        <v>0</v>
      </c>
      <c r="N73" s="59">
        <f>IF(($C$5*'Tariffs Jul2023'!AL67/'Tariffs Jul2023'!AJ67&gt;'Tariffs Jul2023'!M67),($C$5*'Tariffs Jul2023'!AL67/'Tariffs Jul2023'!AJ67-'Tariffs Jul2023'!M67)*'Tariffs Jul2023'!Y67/100*'Tariffs Jul2023'!AJ67,0)</f>
        <v>623.86363636363626</v>
      </c>
      <c r="O73" s="59">
        <f t="shared" si="1"/>
        <v>1941.9627272727271</v>
      </c>
      <c r="P73" s="503">
        <f t="shared" si="2"/>
        <v>2136.1590000000001</v>
      </c>
      <c r="Q73" s="59">
        <f t="shared" si="3"/>
        <v>2201.477727272727</v>
      </c>
      <c r="R73" s="272">
        <f t="shared" si="4"/>
        <v>2421.6254999999996</v>
      </c>
      <c r="S73" s="40">
        <f>'Tariffs Jul2023'!AN67</f>
        <v>0</v>
      </c>
      <c r="T73" s="40">
        <f>'Tariffs Jul2023'!AO67</f>
        <v>0</v>
      </c>
      <c r="U73" s="40">
        <f>'Tariffs Jul2023'!AP67</f>
        <v>0</v>
      </c>
      <c r="V73" s="637">
        <f>'Tariffs Jul2023'!AQ67</f>
        <v>0</v>
      </c>
      <c r="W73" s="578" t="str">
        <f t="shared" ref="W73:W99" si="112">IF(SUM(S73:V73)=0,"No discount",IF(S73&gt;0,"Guaranteed off bill",IF(T73&gt;0,"Guaranteed off usage",IF(U73&gt;0,"Pay-on-time off bill","Pay-on-time off usage"))))</f>
        <v>No discount</v>
      </c>
      <c r="X73" s="538" t="str">
        <f t="shared" ref="X73:X99" si="113">IF(OR(A73="Origin Energy",A73="Red Energy",A73="Powershop"),"Inclusive","Exclusive")</f>
        <v>Exclusive</v>
      </c>
      <c r="Y73" s="535">
        <f>IF(AND(W73="Guaranteed off bill",X73="Inclusive"),((Q73*1.1)-((Q73*1.1)*S73/100))/1.1,IF(AND(W73="Guaranteed off usage",X73="Inclusive"),((Q73*1.1)-((P73*1.1)*T73/100))/1.1,IF(AND(W73="Guaranteed off bill",X73="Exclusive"),Q73-(Q73*S73/100),IF(AND(W73="Guaranteed off usage",X73="Exclusive"),Q73-(P73*T73/100),IF(X73="Inclusive",((Q73*1.1))/1.1,Q73)))))</f>
        <v>2201.477727272727</v>
      </c>
      <c r="Z73" s="535">
        <f>IF(AND(W73="Pay-on-time off bill",X73="Inclusive"),((Y73*1.1)-((Y73*1.1)*U73/100))/1.1,IF(AND(W73="Pay-on-time off usage",X73="Inclusive"),((Y73*1.1)-((P73*1.1)*V73/100))/1.1,IF(AND(W73="Pay-on-time off bill",X73="Exclusive"),Y73-(Y73*U73/100),IF(AND(W73="Pay-on-time off usage",X73="Exclusive"),Y73-(P73*V73/100),IF(X73="Inclusive",((Y73*1.1))/1.1,Y73)))))</f>
        <v>2201.477727272727</v>
      </c>
      <c r="AA73" s="542">
        <f t="shared" si="92"/>
        <v>2421.6254999999996</v>
      </c>
      <c r="AB73" s="609">
        <f t="shared" si="92"/>
        <v>2421.6254999999996</v>
      </c>
      <c r="AC73" s="625"/>
      <c r="AD73" s="625"/>
      <c r="AE73" s="625"/>
      <c r="AF73" s="625"/>
      <c r="AG73" s="625"/>
      <c r="AH73" s="625"/>
      <c r="AI73" s="625"/>
      <c r="AJ73" s="625"/>
      <c r="AK73" s="625"/>
      <c r="AL73" s="625"/>
      <c r="AM73" s="625"/>
      <c r="AN73" s="625"/>
      <c r="AO73" s="625"/>
      <c r="AP73" s="625"/>
      <c r="AQ73" s="625"/>
      <c r="AR73" s="625"/>
      <c r="AS73" s="625"/>
      <c r="AT73" s="625"/>
    </row>
    <row r="74" spans="1:46" ht="14" x14ac:dyDescent="0.15">
      <c r="A74" s="270" t="str">
        <f>'Tariffs Jul2023'!F68</f>
        <v>Dodo Power &amp; Gas</v>
      </c>
      <c r="B74" s="40" t="str">
        <f>'Tariffs Jul2023'!D68</f>
        <v>AGN Central 1</v>
      </c>
      <c r="C74" s="40" t="str">
        <f>'Tariffs Jul2023'!G68</f>
        <v>Market offer</v>
      </c>
      <c r="D74" s="59">
        <f>365*'Tariffs Jul2023'!H68/100</f>
        <v>261.24045454545455</v>
      </c>
      <c r="E74" s="59">
        <f>IF($C$5*'Tariffs Jul2023'!AK68/'Tariffs Jul2023'!AI68&gt;='Tariffs Jul2023'!J68,( 'Tariffs Jul2023'!J68*'Tariffs Jul2023'!O68/100)* 'Tariffs Jul2023'!AI68,($C$5*'Tariffs Jul2023'!AK68/'Tariffs Jul2023'!AI68*'Tariffs Jul2023'!O68/100)* 'Tariffs Jul2023'!AI68)</f>
        <v>174.96818181818179</v>
      </c>
      <c r="F74" s="59">
        <f>IF($C$5*'Tariffs Jul2023'!AK68/'Tariffs Jul2023'!AI68&lt;'Tariffs Jul2023'!J68,0,IF($C$5*'Tariffs Jul2023'!AK68/'Tariffs Jul2023'!AI68&lt;='Tariffs Jul2023'!K68,($C$5*'Tariffs Jul2023'!AK68/'Tariffs Jul2023'!AI68-'Tariffs Jul2023'!J68)*('Tariffs Jul2023'!P68/100)*'Tariffs Jul2023'!AI68,('Tariffs Jul2023'!K68-'Tariffs Jul2023'!J68)*('Tariffs Jul2023'!P68/100)*'Tariffs Jul2023'!AI68))</f>
        <v>119.3631818181818</v>
      </c>
      <c r="G74" s="59">
        <f>IF($C$5*'Tariffs Jul2023'!AK68/'Tariffs Jul2023'!AI68&lt;'Tariffs Jul2023'!K68,0,IF($C$5*'Tariffs Jul2023'!AK68/'Tariffs Jul2023'!AI68&lt;='Tariffs Jul2023'!L68,($C$5*'Tariffs Jul2023'!AK68/'Tariffs Jul2023'!AI68-'Tariffs Jul2023'!K68)*('Tariffs Jul2023'!Q68/100)*'Tariffs Jul2023'!AI68,('Tariffs Jul2023'!L68-'Tariffs Jul2023'!K68)*('Tariffs Jul2023'!Q68/100)*'Tariffs Jul2023'!AI68))</f>
        <v>0</v>
      </c>
      <c r="H74" s="59">
        <f>IF($C$5*'Tariffs Jul2023'!AK68/'Tariffs Jul2023'!AI68&lt;'Tariffs Jul2023'!L68,0,IF($C$5*'Tariffs Jul2023'!AK68/'Tariffs Jul2023'!AI68&lt;='Tariffs Jul2023'!M68,($C$5*'Tariffs Jul2023'!AK68/'Tariffs Jul2023'!AI68-'Tariffs Jul2023'!L68)*('Tariffs Jul2023'!R68/100)*'Tariffs Jul2023'!AI68,('Tariffs Jul2023'!M68-'Tariffs Jul2023'!L68)*('Tariffs Jul2023'!R68/100)*'Tariffs Jul2023'!AI68))</f>
        <v>0</v>
      </c>
      <c r="I74" s="59">
        <f>IF(($C$5*'Tariffs Jul2023'!AK68/'Tariffs Jul2023'!AI68&gt;'Tariffs Jul2023'!M68),($C$5*'Tariffs Jul2023'!AK68/'Tariffs Jul2023'!AI68-'Tariffs Jul2023'!M68)*'Tariffs Jul2023'!S68/100*'Tariffs Jul2023'!AI68,0)</f>
        <v>566.59090909090912</v>
      </c>
      <c r="J74" s="59">
        <f>IF($C$5*'Tariffs Jul2023'!AL68/'Tariffs Jul2023'!AJ68&gt;='Tariffs Jul2023'!J68,('Tariffs Jul2023'!J68*'Tariffs Jul2023'!U68/100)* 'Tariffs Jul2023'!AJ68,($C$5*'Tariffs Jul2023'!AL68/'Tariffs Jul2023'!AJ68*'Tariffs Jul2023'!U68/100)* 'Tariffs Jul2023'!AJ68)</f>
        <v>174.96818181818179</v>
      </c>
      <c r="K74" s="59">
        <f>IF($C$5*'Tariffs Jul2023'!AL68/'Tariffs Jul2023'!AJ68&lt;'Tariffs Jul2023'!J68,0,IF($C$5*'Tariffs Jul2023'!AL68/'Tariffs Jul2023'!AJ68&lt;='Tariffs Jul2023'!K68,($C$5*'Tariffs Jul2023'!AL68/'Tariffs Jul2023'!AJ68-'Tariffs Jul2023'!J68)*('Tariffs Jul2023'!V68/100)*'Tariffs Jul2023'!AJ68,('Tariffs Jul2023'!K68-'Tariffs Jul2023'!J68)*('Tariffs Jul2023'!V68/100)*'Tariffs Jul2023'!AJ68))</f>
        <v>119.3631818181818</v>
      </c>
      <c r="L74" s="59">
        <f>IF($C$5*'Tariffs Jul2023'!AL68/'Tariffs Jul2023'!AJ68&lt;'Tariffs Jul2023'!K68,0,IF($C$5*'Tariffs Jul2023'!AL68/'Tariffs Jul2023'!AJ68&lt;='Tariffs Jul2023'!L68,($C$5*'Tariffs Jul2023'!AL68/'Tariffs Jul2023'!AJ68-'Tariffs Jul2023'!K68)*('Tariffs Jul2023'!W68/100)*'Tariffs Jul2023'!AJ68,('Tariffs Jul2023'!L68-'Tariffs Jul2023'!K68)*('Tariffs Jul2023'!W68/100)*'Tariffs Jul2023'!AJ68))</f>
        <v>0</v>
      </c>
      <c r="M74" s="59">
        <f>IF($C$5*'Tariffs Jul2023'!AL68/'Tariffs Jul2023'!AJ68&lt;'Tariffs Jul2023'!L68,0,IF($C$5*'Tariffs Jul2023'!AL68/'Tariffs Jul2023'!AJ68&lt;='Tariffs Jul2023'!M68,($C$5*'Tariffs Jul2023'!AL68/'Tariffs Jul2023'!AJ68-'Tariffs Jul2023'!L68)*('Tariffs Jul2023'!X68/100)*'Tariffs Jul2023'!AJ68,('Tariffs Jul2023'!M68-'Tariffs Jul2023'!L68)*('Tariffs Jul2023'!X68/100)*'Tariffs Jul2023'!AJ68))</f>
        <v>0</v>
      </c>
      <c r="N74" s="59">
        <f>IF(($C$5*'Tariffs Jul2023'!AL68/'Tariffs Jul2023'!AJ68&gt;'Tariffs Jul2023'!M68),($C$5*'Tariffs Jul2023'!AL68/'Tariffs Jul2023'!AJ68-'Tariffs Jul2023'!M68)*'Tariffs Jul2023'!Y68/100*'Tariffs Jul2023'!AJ68,0)</f>
        <v>566.59090909090912</v>
      </c>
      <c r="O74" s="59">
        <f t="shared" si="1"/>
        <v>1721.8445454545454</v>
      </c>
      <c r="P74" s="503">
        <f t="shared" si="2"/>
        <v>1894.029</v>
      </c>
      <c r="Q74" s="59">
        <f t="shared" si="3"/>
        <v>1983.085</v>
      </c>
      <c r="R74" s="272">
        <f t="shared" si="4"/>
        <v>2181.3935000000001</v>
      </c>
      <c r="S74" s="40">
        <f>'Tariffs Jul2023'!AN68</f>
        <v>0</v>
      </c>
      <c r="T74" s="40">
        <f>'Tariffs Jul2023'!AO68</f>
        <v>0</v>
      </c>
      <c r="U74" s="40">
        <f>'Tariffs Jul2023'!AP68</f>
        <v>0</v>
      </c>
      <c r="V74" s="637">
        <f>'Tariffs Jul2023'!AQ68</f>
        <v>0</v>
      </c>
      <c r="W74" s="578" t="str">
        <f t="shared" si="112"/>
        <v>No discount</v>
      </c>
      <c r="X74" s="538" t="str">
        <f t="shared" si="113"/>
        <v>Exclusive</v>
      </c>
      <c r="Y74" s="535">
        <f>IF(AND(W74="Guaranteed off bill",X74="Inclusive"),((Q74*1.1)-((Q74*1.1)*S74/100))/1.1,IF(AND(W74="Guaranteed off usage",X74="Inclusive"),((Q74*1.1)-((P74*1.1)*T74/100))/1.1,IF(AND(W74="Guaranteed off bill",X74="Exclusive"),Q74-(Q74*S74/100),IF(AND(W74="Guaranteed off usage",X74="Exclusive"),Q74-(P74*T74/100),IF(X74="Inclusive",((Q74*1.1))/1.1,Q74)))))</f>
        <v>1983.085</v>
      </c>
      <c r="Z74" s="535">
        <f>IF(AND(W74="Pay-on-time off bill",X74="Inclusive"),((Y74*1.1)-((Y74*1.1)*U74/100))/1.1,IF(AND(W74="Pay-on-time off usage",X74="Inclusive"),((Y74*1.1)-((P74*1.1)*V74/100))/1.1,IF(AND(W74="Pay-on-time off bill",X74="Exclusive"),Y74-(Y74*U74/100),IF(AND(W74="Pay-on-time off usage",X74="Exclusive"),Y74-(P74*V74/100),IF(X74="Inclusive",((Y74*1.1))/1.1,Y74)))))</f>
        <v>1983.085</v>
      </c>
      <c r="AA74" s="542">
        <f t="shared" si="92"/>
        <v>2181.3935000000001</v>
      </c>
      <c r="AB74" s="609">
        <f t="shared" si="92"/>
        <v>2181.3935000000001</v>
      </c>
      <c r="AC74" s="625"/>
      <c r="AD74" s="625"/>
      <c r="AE74" s="625"/>
      <c r="AF74" s="625"/>
      <c r="AG74" s="625"/>
      <c r="AH74" s="625"/>
      <c r="AI74" s="625"/>
      <c r="AJ74" s="625"/>
      <c r="AK74" s="625"/>
      <c r="AL74" s="625"/>
      <c r="AM74" s="625"/>
      <c r="AN74" s="625"/>
      <c r="AO74" s="625"/>
      <c r="AP74" s="625"/>
      <c r="AQ74" s="625"/>
      <c r="AR74" s="625"/>
      <c r="AS74" s="625"/>
      <c r="AT74" s="625"/>
    </row>
    <row r="75" spans="1:46" ht="14" x14ac:dyDescent="0.15">
      <c r="A75" s="270" t="str">
        <f>'Tariffs Jul2023'!F69</f>
        <v>EnergyAustralia</v>
      </c>
      <c r="B75" s="40" t="str">
        <f>'Tariffs Jul2023'!D69</f>
        <v>AGN Central 1</v>
      </c>
      <c r="C75" s="40" t="str">
        <f>'Tariffs Jul2023'!G69</f>
        <v>Flexi Plan</v>
      </c>
      <c r="D75" s="59">
        <f>365*'Tariffs Jul2023'!H69/100</f>
        <v>379.20181818181817</v>
      </c>
      <c r="E75" s="59">
        <f>IF($C$5*'Tariffs Jul2023'!AK69/'Tariffs Jul2023'!AI69&gt;='Tariffs Jul2023'!J69,( 'Tariffs Jul2023'!J69*'Tariffs Jul2023'!O69/100)* 'Tariffs Jul2023'!AI69,($C$5*'Tariffs Jul2023'!AK69/'Tariffs Jul2023'!AI69*'Tariffs Jul2023'!O69/100)* 'Tariffs Jul2023'!AI69)</f>
        <v>223.42090909090908</v>
      </c>
      <c r="F75" s="59">
        <f>IF($C$5*'Tariffs Jul2023'!AK69/'Tariffs Jul2023'!AI69&lt;'Tariffs Jul2023'!J69,0,IF($C$5*'Tariffs Jul2023'!AK69/'Tariffs Jul2023'!AI69&lt;='Tariffs Jul2023'!K69,($C$5*'Tariffs Jul2023'!AK69/'Tariffs Jul2023'!AI69-'Tariffs Jul2023'!J69)*('Tariffs Jul2023'!P69/100)*'Tariffs Jul2023'!AI69,('Tariffs Jul2023'!K69-'Tariffs Jul2023'!J69)*('Tariffs Jul2023'!P69/100)*'Tariffs Jul2023'!AI69))</f>
        <v>139.31863636363633</v>
      </c>
      <c r="G75" s="59">
        <f>IF($C$5*'Tariffs Jul2023'!AK69/'Tariffs Jul2023'!AI69&lt;'Tariffs Jul2023'!K69,0,IF($C$5*'Tariffs Jul2023'!AK69/'Tariffs Jul2023'!AI69&lt;='Tariffs Jul2023'!L69,($C$5*'Tariffs Jul2023'!AK69/'Tariffs Jul2023'!AI69-'Tariffs Jul2023'!K69)*('Tariffs Jul2023'!Q69/100)*'Tariffs Jul2023'!AI69,('Tariffs Jul2023'!L69-'Tariffs Jul2023'!K69)*('Tariffs Jul2023'!Q69/100)*'Tariffs Jul2023'!AI69))</f>
        <v>0</v>
      </c>
      <c r="H75" s="59">
        <f>IF($C$5*'Tariffs Jul2023'!AK69/'Tariffs Jul2023'!AI69&lt;'Tariffs Jul2023'!L69,0,IF($C$5*'Tariffs Jul2023'!AK69/'Tariffs Jul2023'!AI69&lt;='Tariffs Jul2023'!M69,($C$5*'Tariffs Jul2023'!AK69/'Tariffs Jul2023'!AI69-'Tariffs Jul2023'!L69)*('Tariffs Jul2023'!R69/100)*'Tariffs Jul2023'!AI69,('Tariffs Jul2023'!M69-'Tariffs Jul2023'!L69)*('Tariffs Jul2023'!R69/100)*'Tariffs Jul2023'!AI69))</f>
        <v>0</v>
      </c>
      <c r="I75" s="59">
        <f>IF(($C$5*'Tariffs Jul2023'!AK69/'Tariffs Jul2023'!AI69&gt;'Tariffs Jul2023'!M69),($C$5*'Tariffs Jul2023'!AK69/'Tariffs Jul2023'!AI69-'Tariffs Jul2023'!M69)*'Tariffs Jul2023'!S69/100*'Tariffs Jul2023'!AI69,0)</f>
        <v>642.27272727272725</v>
      </c>
      <c r="J75" s="59">
        <f>IF($C$5*'Tariffs Jul2023'!AL69/'Tariffs Jul2023'!AJ69&gt;='Tariffs Jul2023'!J69,('Tariffs Jul2023'!J69*'Tariffs Jul2023'!U69/100)* 'Tariffs Jul2023'!AJ69,($C$5*'Tariffs Jul2023'!AL69/'Tariffs Jul2023'!AJ69*'Tariffs Jul2023'!U69/100)* 'Tariffs Jul2023'!AJ69)</f>
        <v>223.42090909090908</v>
      </c>
      <c r="K75" s="59">
        <f>IF($C$5*'Tariffs Jul2023'!AL69/'Tariffs Jul2023'!AJ69&lt;'Tariffs Jul2023'!J69,0,IF($C$5*'Tariffs Jul2023'!AL69/'Tariffs Jul2023'!AJ69&lt;='Tariffs Jul2023'!K69,($C$5*'Tariffs Jul2023'!AL69/'Tariffs Jul2023'!AJ69-'Tariffs Jul2023'!J69)*('Tariffs Jul2023'!V69/100)*'Tariffs Jul2023'!AJ69,('Tariffs Jul2023'!K69-'Tariffs Jul2023'!J69)*('Tariffs Jul2023'!V69/100)*'Tariffs Jul2023'!AJ69))</f>
        <v>139.31863636363633</v>
      </c>
      <c r="L75" s="59">
        <f>IF($C$5*'Tariffs Jul2023'!AL69/'Tariffs Jul2023'!AJ69&lt;'Tariffs Jul2023'!K69,0,IF($C$5*'Tariffs Jul2023'!AL69/'Tariffs Jul2023'!AJ69&lt;='Tariffs Jul2023'!L69,($C$5*'Tariffs Jul2023'!AL69/'Tariffs Jul2023'!AJ69-'Tariffs Jul2023'!K69)*('Tariffs Jul2023'!W69/100)*'Tariffs Jul2023'!AJ69,('Tariffs Jul2023'!L69-'Tariffs Jul2023'!K69)*('Tariffs Jul2023'!W69/100)*'Tariffs Jul2023'!AJ69))</f>
        <v>0</v>
      </c>
      <c r="M75" s="59">
        <f>IF($C$5*'Tariffs Jul2023'!AL69/'Tariffs Jul2023'!AJ69&lt;'Tariffs Jul2023'!L69,0,IF($C$5*'Tariffs Jul2023'!AL69/'Tariffs Jul2023'!AJ69&lt;='Tariffs Jul2023'!M69,($C$5*'Tariffs Jul2023'!AL69/'Tariffs Jul2023'!AJ69-'Tariffs Jul2023'!L69)*('Tariffs Jul2023'!X69/100)*'Tariffs Jul2023'!AJ69,('Tariffs Jul2023'!M69-'Tariffs Jul2023'!L69)*('Tariffs Jul2023'!X69/100)*'Tariffs Jul2023'!AJ69))</f>
        <v>0</v>
      </c>
      <c r="N75" s="59">
        <f>IF(($C$5*'Tariffs Jul2023'!AL69/'Tariffs Jul2023'!AJ69&gt;'Tariffs Jul2023'!M69),($C$5*'Tariffs Jul2023'!AL69/'Tariffs Jul2023'!AJ69-'Tariffs Jul2023'!M69)*'Tariffs Jul2023'!Y69/100*'Tariffs Jul2023'!AJ69,0)</f>
        <v>642.27272727272725</v>
      </c>
      <c r="O75" s="59">
        <f t="shared" si="1"/>
        <v>2010.0245454545454</v>
      </c>
      <c r="P75" s="503">
        <f t="shared" si="2"/>
        <v>2211.027</v>
      </c>
      <c r="Q75" s="59">
        <f t="shared" si="3"/>
        <v>2389.2263636363637</v>
      </c>
      <c r="R75" s="272">
        <f t="shared" si="4"/>
        <v>2628.1490000000003</v>
      </c>
      <c r="S75" s="40">
        <f>'Tariffs Jul2023'!AN69</f>
        <v>25</v>
      </c>
      <c r="T75" s="40">
        <f>'Tariffs Jul2023'!AO69</f>
        <v>0</v>
      </c>
      <c r="U75" s="40">
        <f>'Tariffs Jul2023'!AP69</f>
        <v>0</v>
      </c>
      <c r="V75" s="637">
        <f>'Tariffs Jul2023'!AQ69</f>
        <v>0</v>
      </c>
      <c r="W75" s="578" t="str">
        <f t="shared" si="112"/>
        <v>Guaranteed off bill</v>
      </c>
      <c r="X75" s="538" t="str">
        <f t="shared" si="113"/>
        <v>Exclusive</v>
      </c>
      <c r="Y75" s="535">
        <f t="shared" ref="Y75" si="114">IF(AND(W75="Guaranteed off bill",X75="Inclusive"),((Q75*1.1)-((Q75*1.1)*S75/100))/1.1,IF(AND(W75="Guaranteed off usage",X75="Inclusive"),((Q75*1.1)-((P75*1.1)*T75/100))/1.1,IF(AND(W75="Guaranteed off bill",X75="Exclusive"),Q75-(Q75*S75/100),IF(AND(W75="Guaranteed off usage",X75="Exclusive"),Q75-(P75*T75/100),IF(X75="Inclusive",((Q75*1.1))/1.1,Q75)))))</f>
        <v>1791.9197727272726</v>
      </c>
      <c r="Z75" s="535">
        <f t="shared" ref="Z75" si="115">IF(AND(W75="Pay-on-time off bill",X75="Inclusive"),((Y75*1.1)-((Y75*1.1)*U75/100))/1.1,IF(AND(W75="Pay-on-time off usage",X75="Inclusive"),((Y75*1.1)-((P75*1.1)*V75/100))/1.1,IF(AND(W75="Pay-on-time off bill",X75="Exclusive"),Y75-(Y75*U75/100),IF(AND(W75="Pay-on-time off usage",X75="Exclusive"),Y75-(P75*V75/100),IF(X75="Inclusive",((Y75*1.1))/1.1,Y75)))))</f>
        <v>1791.9197727272726</v>
      </c>
      <c r="AA75" s="542">
        <f t="shared" si="92"/>
        <v>1971.11175</v>
      </c>
      <c r="AB75" s="609">
        <f t="shared" si="92"/>
        <v>1971.11175</v>
      </c>
      <c r="AC75" s="625"/>
      <c r="AD75" s="625"/>
      <c r="AE75" s="625"/>
      <c r="AF75" s="625"/>
      <c r="AG75" s="625"/>
      <c r="AH75" s="625"/>
      <c r="AI75" s="625"/>
      <c r="AJ75" s="625"/>
      <c r="AK75" s="625"/>
      <c r="AL75" s="625"/>
      <c r="AM75" s="625"/>
      <c r="AN75" s="625"/>
      <c r="AO75" s="625"/>
      <c r="AP75" s="625"/>
      <c r="AQ75" s="625"/>
      <c r="AR75" s="625"/>
      <c r="AS75" s="625"/>
      <c r="AT75" s="625"/>
    </row>
    <row r="76" spans="1:46" ht="14" x14ac:dyDescent="0.15">
      <c r="A76" s="270" t="str">
        <f>'Tariffs Jul2023'!F70</f>
        <v>Lumo Energy</v>
      </c>
      <c r="B76" s="40" t="str">
        <f>'Tariffs Jul2023'!D70</f>
        <v>AGN Central 1</v>
      </c>
      <c r="C76" s="40" t="str">
        <f>'Tariffs Jul2023'!G70</f>
        <v>Value</v>
      </c>
      <c r="D76" s="59">
        <f>365*'Tariffs Jul2023'!H70/100</f>
        <v>375.22</v>
      </c>
      <c r="E76" s="59">
        <f>IF($C$5*'Tariffs Jul2023'!AK70/'Tariffs Jul2023'!AI70&gt;='Tariffs Jul2023'!J70,( 'Tariffs Jul2023'!J70*'Tariffs Jul2023'!O70/100)* 'Tariffs Jul2023'!AI70,($C$5*'Tariffs Jul2023'!AK70/'Tariffs Jul2023'!AI70*'Tariffs Jul2023'!O70/100)* 'Tariffs Jul2023'!AI70)</f>
        <v>196.50272727272721</v>
      </c>
      <c r="F76" s="59">
        <f>IF($C$5*'Tariffs Jul2023'!AK70/'Tariffs Jul2023'!AI70&lt;'Tariffs Jul2023'!J70,0,IF($C$5*'Tariffs Jul2023'!AK70/'Tariffs Jul2023'!AI70&lt;='Tariffs Jul2023'!K70,($C$5*'Tariffs Jul2023'!AK70/'Tariffs Jul2023'!AI70-'Tariffs Jul2023'!J70)*('Tariffs Jul2023'!P70/100)*'Tariffs Jul2023'!AI70,('Tariffs Jul2023'!K70-'Tariffs Jul2023'!J70)*('Tariffs Jul2023'!P70/100)*'Tariffs Jul2023'!AI70))</f>
        <v>140.42727272727268</v>
      </c>
      <c r="G76" s="59">
        <f>IF($C$5*'Tariffs Jul2023'!AK70/'Tariffs Jul2023'!AI70&lt;'Tariffs Jul2023'!K70,0,IF($C$5*'Tariffs Jul2023'!AK70/'Tariffs Jul2023'!AI70&lt;='Tariffs Jul2023'!L70,($C$5*'Tariffs Jul2023'!AK70/'Tariffs Jul2023'!AI70-'Tariffs Jul2023'!K70)*('Tariffs Jul2023'!Q70/100)*'Tariffs Jul2023'!AI70,('Tariffs Jul2023'!L70-'Tariffs Jul2023'!K70)*('Tariffs Jul2023'!Q70/100)*'Tariffs Jul2023'!AI70))</f>
        <v>0</v>
      </c>
      <c r="H76" s="59">
        <f>IF($C$5*'Tariffs Jul2023'!AK70/'Tariffs Jul2023'!AI70&lt;'Tariffs Jul2023'!L70,0,IF($C$5*'Tariffs Jul2023'!AK70/'Tariffs Jul2023'!AI70&lt;='Tariffs Jul2023'!M70,($C$5*'Tariffs Jul2023'!AK70/'Tariffs Jul2023'!AI70-'Tariffs Jul2023'!L70)*('Tariffs Jul2023'!R70/100)*'Tariffs Jul2023'!AI70,('Tariffs Jul2023'!M70-'Tariffs Jul2023'!L70)*('Tariffs Jul2023'!R70/100)*'Tariffs Jul2023'!AI70))</f>
        <v>0</v>
      </c>
      <c r="I76" s="59">
        <f>IF(($C$5*'Tariffs Jul2023'!AK70/'Tariffs Jul2023'!AI70&gt;'Tariffs Jul2023'!M70),($C$5*'Tariffs Jul2023'!AK70/'Tariffs Jul2023'!AI70-'Tariffs Jul2023'!M70)*'Tariffs Jul2023'!S70/100*'Tariffs Jul2023'!AI70,0)</f>
        <v>562.5</v>
      </c>
      <c r="J76" s="59">
        <f>IF($C$5*'Tariffs Jul2023'!AL70/'Tariffs Jul2023'!AJ70&gt;='Tariffs Jul2023'!J70,('Tariffs Jul2023'!J70*'Tariffs Jul2023'!U70/100)* 'Tariffs Jul2023'!AJ70,($C$5*'Tariffs Jul2023'!AL70/'Tariffs Jul2023'!AJ70*'Tariffs Jul2023'!U70/100)* 'Tariffs Jul2023'!AJ70)</f>
        <v>196.50272727272721</v>
      </c>
      <c r="K76" s="59">
        <f>IF($C$5*'Tariffs Jul2023'!AL70/'Tariffs Jul2023'!AJ70&lt;'Tariffs Jul2023'!J70,0,IF($C$5*'Tariffs Jul2023'!AL70/'Tariffs Jul2023'!AJ70&lt;='Tariffs Jul2023'!K70,($C$5*'Tariffs Jul2023'!AL70/'Tariffs Jul2023'!AJ70-'Tariffs Jul2023'!J70)*('Tariffs Jul2023'!V70/100)*'Tariffs Jul2023'!AJ70,('Tariffs Jul2023'!K70-'Tariffs Jul2023'!J70)*('Tariffs Jul2023'!V70/100)*'Tariffs Jul2023'!AJ70))</f>
        <v>140.42727272727268</v>
      </c>
      <c r="L76" s="59">
        <f>IF($C$5*'Tariffs Jul2023'!AL70/'Tariffs Jul2023'!AJ70&lt;'Tariffs Jul2023'!K70,0,IF($C$5*'Tariffs Jul2023'!AL70/'Tariffs Jul2023'!AJ70&lt;='Tariffs Jul2023'!L70,($C$5*'Tariffs Jul2023'!AL70/'Tariffs Jul2023'!AJ70-'Tariffs Jul2023'!K70)*('Tariffs Jul2023'!W70/100)*'Tariffs Jul2023'!AJ70,('Tariffs Jul2023'!L70-'Tariffs Jul2023'!K70)*('Tariffs Jul2023'!W70/100)*'Tariffs Jul2023'!AJ70))</f>
        <v>0</v>
      </c>
      <c r="M76" s="59">
        <f>IF($C$5*'Tariffs Jul2023'!AL70/'Tariffs Jul2023'!AJ70&lt;'Tariffs Jul2023'!L70,0,IF($C$5*'Tariffs Jul2023'!AL70/'Tariffs Jul2023'!AJ70&lt;='Tariffs Jul2023'!M70,($C$5*'Tariffs Jul2023'!AL70/'Tariffs Jul2023'!AJ70-'Tariffs Jul2023'!L70)*('Tariffs Jul2023'!X70/100)*'Tariffs Jul2023'!AJ70,('Tariffs Jul2023'!M70-'Tariffs Jul2023'!L70)*('Tariffs Jul2023'!X70/100)*'Tariffs Jul2023'!AJ70))</f>
        <v>0</v>
      </c>
      <c r="N76" s="59">
        <f>IF(($C$5*'Tariffs Jul2023'!AL70/'Tariffs Jul2023'!AJ70&gt;'Tariffs Jul2023'!M70),($C$5*'Tariffs Jul2023'!AL70/'Tariffs Jul2023'!AJ70-'Tariffs Jul2023'!M70)*'Tariffs Jul2023'!Y70/100*'Tariffs Jul2023'!AJ70,0)</f>
        <v>562.5</v>
      </c>
      <c r="O76" s="59">
        <f t="shared" si="1"/>
        <v>1798.8599999999997</v>
      </c>
      <c r="P76" s="503">
        <f t="shared" si="2"/>
        <v>1978.7459999999999</v>
      </c>
      <c r="Q76" s="59">
        <f t="shared" si="3"/>
        <v>2174.08</v>
      </c>
      <c r="R76" s="272">
        <f t="shared" si="4"/>
        <v>2391.4880000000003</v>
      </c>
      <c r="S76" s="40">
        <f>'Tariffs Jul2023'!AN70</f>
        <v>0</v>
      </c>
      <c r="T76" s="40">
        <f>'Tariffs Jul2023'!AO70</f>
        <v>0</v>
      </c>
      <c r="U76" s="40">
        <f>'Tariffs Jul2023'!AP70</f>
        <v>0</v>
      </c>
      <c r="V76" s="637">
        <f>'Tariffs Jul2023'!AQ70</f>
        <v>0</v>
      </c>
      <c r="W76" s="578" t="str">
        <f t="shared" si="112"/>
        <v>No discount</v>
      </c>
      <c r="X76" s="538" t="str">
        <f t="shared" si="113"/>
        <v>Exclusive</v>
      </c>
      <c r="Y76" s="535">
        <f>IF(AND(W76="Guaranteed off bill",X76="Inclusive"),((Q76*1.1)-((Q76*1.1)*S76/100))/1.1,IF(AND(W76="Guaranteed off usage",X76="Inclusive"),((Q76*1.1)-((P76*1.1)*T76/100))/1.1,IF(AND(W76="Guaranteed off bill",X76="Exclusive"),Q76-(Q76*S76/100),IF(AND(W76="Guaranteed off usage",X76="Exclusive"),Q76-(P76*T76/100),IF(X76="Inclusive",((Q76*1.1))/1.1,Q76)))))</f>
        <v>2174.08</v>
      </c>
      <c r="Z76" s="535">
        <f>IF(AND(W76="Pay-on-time off bill",X76="Inclusive"),((Y76*1.1)-((Y76*1.1)*U76/100))/1.1,IF(AND(W76="Pay-on-time off usage",X76="Inclusive"),((Y76*1.1)-((P76*1.1)*V76/100))/1.1,IF(AND(W76="Pay-on-time off bill",X76="Exclusive"),Y76-(Y76*U76/100),IF(AND(W76="Pay-on-time off usage",X76="Exclusive"),Y76-(P76*V76/100),IF(X76="Inclusive",((Y76*1.1))/1.1,Y76)))))</f>
        <v>2174.08</v>
      </c>
      <c r="AA76" s="542">
        <f t="shared" si="92"/>
        <v>2391.4880000000003</v>
      </c>
      <c r="AB76" s="609">
        <f t="shared" si="92"/>
        <v>2391.4880000000003</v>
      </c>
      <c r="AC76" s="625"/>
      <c r="AD76" s="625"/>
      <c r="AE76" s="625"/>
      <c r="AF76" s="625"/>
      <c r="AG76" s="625"/>
      <c r="AH76" s="625"/>
      <c r="AI76" s="625"/>
      <c r="AJ76" s="625"/>
      <c r="AK76" s="625"/>
      <c r="AL76" s="625"/>
      <c r="AM76" s="625"/>
      <c r="AN76" s="625"/>
      <c r="AO76" s="625"/>
      <c r="AP76" s="625"/>
      <c r="AQ76" s="625"/>
      <c r="AR76" s="625"/>
      <c r="AS76" s="625"/>
      <c r="AT76" s="625"/>
    </row>
    <row r="77" spans="1:46" ht="14" x14ac:dyDescent="0.15">
      <c r="A77" s="270" t="str">
        <f>'Tariffs Jul2023'!F71</f>
        <v>Origin Energy</v>
      </c>
      <c r="B77" s="40" t="str">
        <f>'Tariffs Jul2023'!D71</f>
        <v>AGN Central 1</v>
      </c>
      <c r="C77" s="40" t="str">
        <f>'Tariffs Jul2023'!G71</f>
        <v>Go Variable</v>
      </c>
      <c r="D77" s="59">
        <f>365*'Tariffs Jul2023'!H71/100</f>
        <v>264.625</v>
      </c>
      <c r="E77" s="59">
        <f>IF($C$5*'Tariffs Jul2023'!AK71/'Tariffs Jul2023'!AI71&gt;='Tariffs Jul2023'!J71,( 'Tariffs Jul2023'!J71*'Tariffs Jul2023'!O71/100)* 'Tariffs Jul2023'!AI71,($C$5*'Tariffs Jul2023'!AK71/'Tariffs Jul2023'!AI71*'Tariffs Jul2023'!O71/100)* 'Tariffs Jul2023'!AI71)</f>
        <v>528.5454545454545</v>
      </c>
      <c r="F77" s="59">
        <f>IF($C$5*'Tariffs Jul2023'!AK71/'Tariffs Jul2023'!AI71&lt;'Tariffs Jul2023'!J71,0,IF($C$5*'Tariffs Jul2023'!AK71/'Tariffs Jul2023'!AI71&lt;='Tariffs Jul2023'!K71,($C$5*'Tariffs Jul2023'!AK71/'Tariffs Jul2023'!AI71-'Tariffs Jul2023'!J71)*('Tariffs Jul2023'!P71/100)*'Tariffs Jul2023'!AI71,('Tariffs Jul2023'!K71-'Tariffs Jul2023'!J71)*('Tariffs Jul2023'!P71/100)*'Tariffs Jul2023'!AI71))</f>
        <v>380.45454545454544</v>
      </c>
      <c r="G77" s="59">
        <f>IF($C$5*'Tariffs Jul2023'!AK71/'Tariffs Jul2023'!AI71&lt;'Tariffs Jul2023'!K71,0,IF($C$5*'Tariffs Jul2023'!AK71/'Tariffs Jul2023'!AI71&lt;='Tariffs Jul2023'!L71,($C$5*'Tariffs Jul2023'!AK71/'Tariffs Jul2023'!AI71-'Tariffs Jul2023'!K71)*('Tariffs Jul2023'!Q71/100)*'Tariffs Jul2023'!AI71,('Tariffs Jul2023'!L71-'Tariffs Jul2023'!K71)*('Tariffs Jul2023'!Q71/100)*'Tariffs Jul2023'!AI71))</f>
        <v>0</v>
      </c>
      <c r="H77" s="59">
        <f>IF($C$5*'Tariffs Jul2023'!AK71/'Tariffs Jul2023'!AI71&lt;'Tariffs Jul2023'!L71,0,IF($C$5*'Tariffs Jul2023'!AK71/'Tariffs Jul2023'!AI71&lt;='Tariffs Jul2023'!M71,($C$5*'Tariffs Jul2023'!AK71/'Tariffs Jul2023'!AI71-'Tariffs Jul2023'!L71)*('Tariffs Jul2023'!R71/100)*'Tariffs Jul2023'!AI71,('Tariffs Jul2023'!M71-'Tariffs Jul2023'!L71)*('Tariffs Jul2023'!R71/100)*'Tariffs Jul2023'!AI71))</f>
        <v>0</v>
      </c>
      <c r="I77" s="59">
        <f>IF(($C$5*'Tariffs Jul2023'!AK71/'Tariffs Jul2023'!AI71&gt;'Tariffs Jul2023'!M71),($C$5*'Tariffs Jul2023'!AK71/'Tariffs Jul2023'!AI71-'Tariffs Jul2023'!M71)*'Tariffs Jul2023'!S71/100*'Tariffs Jul2023'!AI71,0)</f>
        <v>0</v>
      </c>
      <c r="J77" s="59">
        <f>IF($C$5*'Tariffs Jul2023'!AL71/'Tariffs Jul2023'!AJ71&gt;='Tariffs Jul2023'!J71,('Tariffs Jul2023'!J71*'Tariffs Jul2023'!U71/100)* 'Tariffs Jul2023'!AJ71,($C$5*'Tariffs Jul2023'!AL71/'Tariffs Jul2023'!AJ71*'Tariffs Jul2023'!U71/100)* 'Tariffs Jul2023'!AJ71)</f>
        <v>528.5454545454545</v>
      </c>
      <c r="K77" s="59">
        <f>IF($C$5*'Tariffs Jul2023'!AL71/'Tariffs Jul2023'!AJ71&lt;'Tariffs Jul2023'!J71,0,IF($C$5*'Tariffs Jul2023'!AL71/'Tariffs Jul2023'!AJ71&lt;='Tariffs Jul2023'!K71,($C$5*'Tariffs Jul2023'!AL71/'Tariffs Jul2023'!AJ71-'Tariffs Jul2023'!J71)*('Tariffs Jul2023'!V71/100)*'Tariffs Jul2023'!AJ71,('Tariffs Jul2023'!K71-'Tariffs Jul2023'!J71)*('Tariffs Jul2023'!V71/100)*'Tariffs Jul2023'!AJ71))</f>
        <v>380.45454545454544</v>
      </c>
      <c r="L77" s="59">
        <f>IF($C$5*'Tariffs Jul2023'!AL71/'Tariffs Jul2023'!AJ71&lt;'Tariffs Jul2023'!K71,0,IF($C$5*'Tariffs Jul2023'!AL71/'Tariffs Jul2023'!AJ71&lt;='Tariffs Jul2023'!L71,($C$5*'Tariffs Jul2023'!AL71/'Tariffs Jul2023'!AJ71-'Tariffs Jul2023'!K71)*('Tariffs Jul2023'!W71/100)*'Tariffs Jul2023'!AJ71,('Tariffs Jul2023'!L71-'Tariffs Jul2023'!K71)*('Tariffs Jul2023'!W71/100)*'Tariffs Jul2023'!AJ71))</f>
        <v>0</v>
      </c>
      <c r="M77" s="59">
        <f>IF($C$5*'Tariffs Jul2023'!AL71/'Tariffs Jul2023'!AJ71&lt;'Tariffs Jul2023'!L71,0,IF($C$5*'Tariffs Jul2023'!AL71/'Tariffs Jul2023'!AJ71&lt;='Tariffs Jul2023'!M71,($C$5*'Tariffs Jul2023'!AL71/'Tariffs Jul2023'!AJ71-'Tariffs Jul2023'!L71)*('Tariffs Jul2023'!X71/100)*'Tariffs Jul2023'!AJ71,('Tariffs Jul2023'!M71-'Tariffs Jul2023'!L71)*('Tariffs Jul2023'!X71/100)*'Tariffs Jul2023'!AJ71))</f>
        <v>0</v>
      </c>
      <c r="N77" s="59">
        <f>IF(($C$5*'Tariffs Jul2023'!AL71/'Tariffs Jul2023'!AJ71&gt;'Tariffs Jul2023'!M71),($C$5*'Tariffs Jul2023'!AL71/'Tariffs Jul2023'!AJ71-'Tariffs Jul2023'!M71)*'Tariffs Jul2023'!Y71/100*'Tariffs Jul2023'!AJ71,0)</f>
        <v>0</v>
      </c>
      <c r="O77" s="59">
        <f t="shared" si="1"/>
        <v>1818</v>
      </c>
      <c r="P77" s="503">
        <f t="shared" si="2"/>
        <v>1999.8000000000002</v>
      </c>
      <c r="Q77" s="59">
        <f t="shared" si="3"/>
        <v>2082.625</v>
      </c>
      <c r="R77" s="272">
        <f t="shared" si="4"/>
        <v>2290.8875000000003</v>
      </c>
      <c r="S77" s="40">
        <f>'Tariffs Jul2023'!AN71</f>
        <v>0</v>
      </c>
      <c r="T77" s="40">
        <f>'Tariffs Jul2023'!AO71</f>
        <v>0</v>
      </c>
      <c r="U77" s="40">
        <f>'Tariffs Jul2023'!AP71</f>
        <v>0</v>
      </c>
      <c r="V77" s="637">
        <f>'Tariffs Jul2023'!AQ71</f>
        <v>0</v>
      </c>
      <c r="W77" s="578" t="str">
        <f t="shared" si="112"/>
        <v>No discount</v>
      </c>
      <c r="X77" s="538" t="str">
        <f t="shared" si="113"/>
        <v>Inclusive</v>
      </c>
      <c r="Y77" s="535">
        <f>IF(AND(W77="Guaranteed off bill",X77="Inclusive"),((Q77*1.1)-((Q77*1.1)*S77/100))/1.1,IF(AND(W77="Guaranteed off usage",X77="Inclusive"),((Q77*1.1)-((P77*1.1)*T77/100))/1.1,IF(AND(W77="Guaranteed off bill",X77="Exclusive"),Q77-(Q77*S77/100),IF(AND(W77="Guaranteed off usage",X77="Exclusive"),Q77-(P77*T77/100),IF(X77="Inclusive",((Q77*1.1))/1.1,Q77)))))</f>
        <v>2082.625</v>
      </c>
      <c r="Z77" s="535">
        <f>IF(AND(W77="Pay-on-time off bill",X77="Inclusive"),((Y77*1.1)-((Y77*1.1)*U77/100))/1.1,IF(AND(W77="Pay-on-time off usage",X77="Inclusive"),((Y77*1.1)-((P77*1.1)*V77/100))/1.1,IF(AND(W77="Pay-on-time off bill",X77="Exclusive"),Y77-(Y77*U77/100),IF(AND(W77="Pay-on-time off usage",X77="Exclusive"),Y77-(P77*V77/100),IF(X77="Inclusive",((Y77*1.1))/1.1,Y77)))))</f>
        <v>2082.625</v>
      </c>
      <c r="AA77" s="542">
        <f t="shared" si="92"/>
        <v>2290.8875000000003</v>
      </c>
      <c r="AB77" s="609">
        <f t="shared" si="92"/>
        <v>2290.8875000000003</v>
      </c>
      <c r="AC77" s="625"/>
      <c r="AD77" s="625"/>
      <c r="AE77" s="625"/>
      <c r="AF77" s="625"/>
      <c r="AG77" s="625"/>
      <c r="AH77" s="625"/>
      <c r="AI77" s="625"/>
      <c r="AJ77" s="625"/>
      <c r="AK77" s="625"/>
      <c r="AL77" s="625"/>
      <c r="AM77" s="625"/>
      <c r="AN77" s="625"/>
      <c r="AO77" s="625"/>
      <c r="AP77" s="625"/>
      <c r="AQ77" s="625"/>
      <c r="AR77" s="625"/>
      <c r="AS77" s="625"/>
      <c r="AT77" s="625"/>
    </row>
    <row r="78" spans="1:46" ht="14" x14ac:dyDescent="0.15">
      <c r="A78" s="270" t="str">
        <f>'Tariffs Jul2023'!F72</f>
        <v>Red Energy</v>
      </c>
      <c r="B78" s="40" t="str">
        <f>'Tariffs Jul2023'!D72</f>
        <v>AGN Central 1</v>
      </c>
      <c r="C78" s="40" t="str">
        <f>'Tariffs Jul2023'!G72</f>
        <v>Living Energy Saver</v>
      </c>
      <c r="D78" s="59">
        <f>365*'Tariffs Jul2023'!H72/100</f>
        <v>273.75</v>
      </c>
      <c r="E78" s="59">
        <f>IF($C$5*'Tariffs Jul2023'!AK72/'Tariffs Jul2023'!AI72&gt;='Tariffs Jul2023'!J72,( 'Tariffs Jul2023'!J72*'Tariffs Jul2023'!O72/100)* 'Tariffs Jul2023'!AI72,($C$5*'Tariffs Jul2023'!AK72/'Tariffs Jul2023'!AI72*'Tariffs Jul2023'!O72/100)* 'Tariffs Jul2023'!AI72)</f>
        <v>180.35181818181815</v>
      </c>
      <c r="F78" s="59">
        <f>IF($C$5*'Tariffs Jul2023'!AK72/'Tariffs Jul2023'!AI72&lt;'Tariffs Jul2023'!J72,0,IF($C$5*'Tariffs Jul2023'!AK72/'Tariffs Jul2023'!AI72&lt;='Tariffs Jul2023'!K72,($C$5*'Tariffs Jul2023'!AK72/'Tariffs Jul2023'!AI72-'Tariffs Jul2023'!J72)*('Tariffs Jul2023'!P72/100)*'Tariffs Jul2023'!AI72,('Tariffs Jul2023'!K72-'Tariffs Jul2023'!J72)*('Tariffs Jul2023'!P72/100)*'Tariffs Jul2023'!AI72))</f>
        <v>124.90636363636364</v>
      </c>
      <c r="G78" s="59">
        <f>IF($C$5*'Tariffs Jul2023'!AK72/'Tariffs Jul2023'!AI72&lt;'Tariffs Jul2023'!K72,0,IF($C$5*'Tariffs Jul2023'!AK72/'Tariffs Jul2023'!AI72&lt;='Tariffs Jul2023'!L72,($C$5*'Tariffs Jul2023'!AK72/'Tariffs Jul2023'!AI72-'Tariffs Jul2023'!K72)*('Tariffs Jul2023'!Q72/100)*'Tariffs Jul2023'!AI72,('Tariffs Jul2023'!L72-'Tariffs Jul2023'!K72)*('Tariffs Jul2023'!Q72/100)*'Tariffs Jul2023'!AI72))</f>
        <v>0</v>
      </c>
      <c r="H78" s="59">
        <f>IF($C$5*'Tariffs Jul2023'!AK72/'Tariffs Jul2023'!AI72&lt;'Tariffs Jul2023'!L72,0,IF($C$5*'Tariffs Jul2023'!AK72/'Tariffs Jul2023'!AI72&lt;='Tariffs Jul2023'!M72,($C$5*'Tariffs Jul2023'!AK72/'Tariffs Jul2023'!AI72-'Tariffs Jul2023'!L72)*('Tariffs Jul2023'!R72/100)*'Tariffs Jul2023'!AI72,('Tariffs Jul2023'!M72-'Tariffs Jul2023'!L72)*('Tariffs Jul2023'!R72/100)*'Tariffs Jul2023'!AI72))</f>
        <v>0</v>
      </c>
      <c r="I78" s="59">
        <f>IF(($C$5*'Tariffs Jul2023'!AK72/'Tariffs Jul2023'!AI72&gt;'Tariffs Jul2023'!M72),($C$5*'Tariffs Jul2023'!AK72/'Tariffs Jul2023'!AI72-'Tariffs Jul2023'!M72)*'Tariffs Jul2023'!S72/100*'Tariffs Jul2023'!AI72,0)</f>
        <v>509.31818181818187</v>
      </c>
      <c r="J78" s="59">
        <f>IF($C$5*'Tariffs Jul2023'!AL72/'Tariffs Jul2023'!AJ72&gt;='Tariffs Jul2023'!J72,('Tariffs Jul2023'!J72*'Tariffs Jul2023'!U72/100)* 'Tariffs Jul2023'!AJ72,($C$5*'Tariffs Jul2023'!AL72/'Tariffs Jul2023'!AJ72*'Tariffs Jul2023'!U72/100)* 'Tariffs Jul2023'!AJ72)</f>
        <v>180.35181818181815</v>
      </c>
      <c r="K78" s="59">
        <f>IF($C$5*'Tariffs Jul2023'!AL72/'Tariffs Jul2023'!AJ72&lt;'Tariffs Jul2023'!J72,0,IF($C$5*'Tariffs Jul2023'!AL72/'Tariffs Jul2023'!AJ72&lt;='Tariffs Jul2023'!K72,($C$5*'Tariffs Jul2023'!AL72/'Tariffs Jul2023'!AJ72-'Tariffs Jul2023'!J72)*('Tariffs Jul2023'!V72/100)*'Tariffs Jul2023'!AJ72,('Tariffs Jul2023'!K72-'Tariffs Jul2023'!J72)*('Tariffs Jul2023'!V72/100)*'Tariffs Jul2023'!AJ72))</f>
        <v>124.90636363636364</v>
      </c>
      <c r="L78" s="59">
        <f>IF($C$5*'Tariffs Jul2023'!AL72/'Tariffs Jul2023'!AJ72&lt;'Tariffs Jul2023'!K72,0,IF($C$5*'Tariffs Jul2023'!AL72/'Tariffs Jul2023'!AJ72&lt;='Tariffs Jul2023'!L72,($C$5*'Tariffs Jul2023'!AL72/'Tariffs Jul2023'!AJ72-'Tariffs Jul2023'!K72)*('Tariffs Jul2023'!W72/100)*'Tariffs Jul2023'!AJ72,('Tariffs Jul2023'!L72-'Tariffs Jul2023'!K72)*('Tariffs Jul2023'!W72/100)*'Tariffs Jul2023'!AJ72))</f>
        <v>0</v>
      </c>
      <c r="M78" s="59">
        <f>IF($C$5*'Tariffs Jul2023'!AL72/'Tariffs Jul2023'!AJ72&lt;'Tariffs Jul2023'!L72,0,IF($C$5*'Tariffs Jul2023'!AL72/'Tariffs Jul2023'!AJ72&lt;='Tariffs Jul2023'!M72,($C$5*'Tariffs Jul2023'!AL72/'Tariffs Jul2023'!AJ72-'Tariffs Jul2023'!L72)*('Tariffs Jul2023'!X72/100)*'Tariffs Jul2023'!AJ72,('Tariffs Jul2023'!M72-'Tariffs Jul2023'!L72)*('Tariffs Jul2023'!X72/100)*'Tariffs Jul2023'!AJ72))</f>
        <v>0</v>
      </c>
      <c r="N78" s="59">
        <f>IF(($C$5*'Tariffs Jul2023'!AL72/'Tariffs Jul2023'!AJ72&gt;'Tariffs Jul2023'!M72),($C$5*'Tariffs Jul2023'!AL72/'Tariffs Jul2023'!AJ72-'Tariffs Jul2023'!M72)*'Tariffs Jul2023'!Y72/100*'Tariffs Jul2023'!AJ72,0)</f>
        <v>509.31818181818187</v>
      </c>
      <c r="O78" s="59">
        <f t="shared" si="1"/>
        <v>1629.1527272727276</v>
      </c>
      <c r="P78" s="503">
        <f t="shared" si="2"/>
        <v>1792.0680000000004</v>
      </c>
      <c r="Q78" s="59">
        <f t="shared" si="3"/>
        <v>1902.9027272727276</v>
      </c>
      <c r="R78" s="272">
        <f t="shared" si="4"/>
        <v>2093.1930000000007</v>
      </c>
      <c r="S78" s="40">
        <f>'Tariffs Jul2023'!AN72</f>
        <v>0</v>
      </c>
      <c r="T78" s="40">
        <f>'Tariffs Jul2023'!AO72</f>
        <v>0</v>
      </c>
      <c r="U78" s="40">
        <f>'Tariffs Jul2023'!AP72</f>
        <v>0</v>
      </c>
      <c r="V78" s="637">
        <f>'Tariffs Jul2023'!AQ72</f>
        <v>0</v>
      </c>
      <c r="W78" s="578" t="str">
        <f t="shared" si="112"/>
        <v>No discount</v>
      </c>
      <c r="X78" s="538" t="str">
        <f t="shared" si="113"/>
        <v>Inclusive</v>
      </c>
      <c r="Y78" s="535">
        <f t="shared" ref="Y78:Y80" si="116">IF(AND(W78="Guaranteed off bill",X78="Inclusive"),((Q78*1.1)-((Q78*1.1)*S78/100))/1.1,IF(AND(W78="Guaranteed off usage",X78="Inclusive"),((Q78*1.1)-((P78*1.1)*T78/100))/1.1,IF(AND(W78="Guaranteed off bill",X78="Exclusive"),Q78-(Q78*S78/100),IF(AND(W78="Guaranteed off usage",X78="Exclusive"),Q78-(P78*T78/100),IF(X78="Inclusive",((Q78*1.1))/1.1,Q78)))))</f>
        <v>1902.9027272727278</v>
      </c>
      <c r="Z78" s="535">
        <f t="shared" ref="Z78:Z80" si="117">IF(AND(W78="Pay-on-time off bill",X78="Inclusive"),((Y78*1.1)-((Y78*1.1)*U78/100))/1.1,IF(AND(W78="Pay-on-time off usage",X78="Inclusive"),((Y78*1.1)-((P78*1.1)*V78/100))/1.1,IF(AND(W78="Pay-on-time off bill",X78="Exclusive"),Y78-(Y78*U78/100),IF(AND(W78="Pay-on-time off usage",X78="Exclusive"),Y78-(P78*V78/100),IF(X78="Inclusive",((Y78*1.1))/1.1,Y78)))))</f>
        <v>1902.9027272727278</v>
      </c>
      <c r="AA78" s="542">
        <f t="shared" si="92"/>
        <v>2093.1930000000007</v>
      </c>
      <c r="AB78" s="609">
        <f t="shared" si="92"/>
        <v>2093.1930000000007</v>
      </c>
      <c r="AC78" s="625"/>
      <c r="AD78" s="625"/>
      <c r="AE78" s="625"/>
      <c r="AF78" s="625"/>
      <c r="AG78" s="625"/>
      <c r="AH78" s="625"/>
      <c r="AI78" s="625"/>
      <c r="AJ78" s="625"/>
      <c r="AK78" s="625"/>
      <c r="AL78" s="625"/>
      <c r="AM78" s="625"/>
      <c r="AN78" s="625"/>
      <c r="AO78" s="625"/>
      <c r="AP78" s="625"/>
      <c r="AQ78" s="625"/>
      <c r="AR78" s="625"/>
      <c r="AS78" s="625"/>
      <c r="AT78" s="625"/>
    </row>
    <row r="79" spans="1:46" ht="14" x14ac:dyDescent="0.15">
      <c r="A79" s="270" t="str">
        <f>'Tariffs Jul2023'!F73</f>
        <v>Simply Energy</v>
      </c>
      <c r="B79" s="40" t="str">
        <f>'Tariffs Jul2023'!D73</f>
        <v>AGN Central 1</v>
      </c>
      <c r="C79" s="40" t="str">
        <f>'Tariffs Jul2023'!G73</f>
        <v>Blue Perks</v>
      </c>
      <c r="D79" s="59">
        <f>365*'Tariffs Jul2023'!H73/100</f>
        <v>293.5927272727273</v>
      </c>
      <c r="E79" s="59">
        <f>IF($C$5*'Tariffs Jul2023'!AK73/'Tariffs Jul2023'!AI73&gt;='Tariffs Jul2023'!J73,( 'Tariffs Jul2023'!J73*'Tariffs Jul2023'!O73/100)* 'Tariffs Jul2023'!AI73,($C$5*'Tariffs Jul2023'!AK73/'Tariffs Jul2023'!AI73*'Tariffs Jul2023'!O73/100)* 'Tariffs Jul2023'!AI73)</f>
        <v>191.56772727272724</v>
      </c>
      <c r="F79" s="59">
        <f>IF($C$5*'Tariffs Jul2023'!AK73/'Tariffs Jul2023'!AI73&lt;'Tariffs Jul2023'!J73,0,IF($C$5*'Tariffs Jul2023'!AK73/'Tariffs Jul2023'!AI73&lt;='Tariffs Jul2023'!K73,($C$5*'Tariffs Jul2023'!AK73/'Tariffs Jul2023'!AI73-'Tariffs Jul2023'!J73)*('Tariffs Jul2023'!P73/100)*'Tariffs Jul2023'!AI73,('Tariffs Jul2023'!K73-'Tariffs Jul2023'!J73)*('Tariffs Jul2023'!P73/100)*'Tariffs Jul2023'!AI73))</f>
        <v>132.66681818181814</v>
      </c>
      <c r="G79" s="59">
        <f>IF($C$5*'Tariffs Jul2023'!AK73/'Tariffs Jul2023'!AI73&lt;'Tariffs Jul2023'!K73,0,IF($C$5*'Tariffs Jul2023'!AK73/'Tariffs Jul2023'!AI73&lt;='Tariffs Jul2023'!L73,($C$5*'Tariffs Jul2023'!AK73/'Tariffs Jul2023'!AI73-'Tariffs Jul2023'!K73)*('Tariffs Jul2023'!Q73/100)*'Tariffs Jul2023'!AI73,('Tariffs Jul2023'!L73-'Tariffs Jul2023'!K73)*('Tariffs Jul2023'!Q73/100)*'Tariffs Jul2023'!AI73))</f>
        <v>0</v>
      </c>
      <c r="H79" s="59">
        <f>IF($C$5*'Tariffs Jul2023'!AK73/'Tariffs Jul2023'!AI73&lt;'Tariffs Jul2023'!L73,0,IF($C$5*'Tariffs Jul2023'!AK73/'Tariffs Jul2023'!AI73&lt;='Tariffs Jul2023'!M73,($C$5*'Tariffs Jul2023'!AK73/'Tariffs Jul2023'!AI73-'Tariffs Jul2023'!L73)*('Tariffs Jul2023'!R73/100)*'Tariffs Jul2023'!AI73,('Tariffs Jul2023'!M73-'Tariffs Jul2023'!L73)*('Tariffs Jul2023'!R73/100)*'Tariffs Jul2023'!AI73))</f>
        <v>0</v>
      </c>
      <c r="I79" s="59">
        <f>IF(($C$5*'Tariffs Jul2023'!AK73/'Tariffs Jul2023'!AI73&gt;'Tariffs Jul2023'!M73),($C$5*'Tariffs Jul2023'!AK73/'Tariffs Jul2023'!AI73-'Tariffs Jul2023'!M73)*'Tariffs Jul2023'!S73/100*'Tariffs Jul2023'!AI73,0)</f>
        <v>613.63636363636363</v>
      </c>
      <c r="J79" s="59">
        <f>IF($C$5*'Tariffs Jul2023'!AL73/'Tariffs Jul2023'!AJ73&gt;='Tariffs Jul2023'!J73,('Tariffs Jul2023'!J73*'Tariffs Jul2023'!U73/100)* 'Tariffs Jul2023'!AJ73,($C$5*'Tariffs Jul2023'!AL73/'Tariffs Jul2023'!AJ73*'Tariffs Jul2023'!U73/100)* 'Tariffs Jul2023'!AJ73)</f>
        <v>191.56772727272724</v>
      </c>
      <c r="K79" s="59">
        <f>IF($C$5*'Tariffs Jul2023'!AL73/'Tariffs Jul2023'!AJ73&lt;'Tariffs Jul2023'!J73,0,IF($C$5*'Tariffs Jul2023'!AL73/'Tariffs Jul2023'!AJ73&lt;='Tariffs Jul2023'!K73,($C$5*'Tariffs Jul2023'!AL73/'Tariffs Jul2023'!AJ73-'Tariffs Jul2023'!J73)*('Tariffs Jul2023'!V73/100)*'Tariffs Jul2023'!AJ73,('Tariffs Jul2023'!K73-'Tariffs Jul2023'!J73)*('Tariffs Jul2023'!V73/100)*'Tariffs Jul2023'!AJ73))</f>
        <v>132.66681818181814</v>
      </c>
      <c r="L79" s="59">
        <f>IF($C$5*'Tariffs Jul2023'!AL73/'Tariffs Jul2023'!AJ73&lt;'Tariffs Jul2023'!K73,0,IF($C$5*'Tariffs Jul2023'!AL73/'Tariffs Jul2023'!AJ73&lt;='Tariffs Jul2023'!L73,($C$5*'Tariffs Jul2023'!AL73/'Tariffs Jul2023'!AJ73-'Tariffs Jul2023'!K73)*('Tariffs Jul2023'!W73/100)*'Tariffs Jul2023'!AJ73,('Tariffs Jul2023'!L73-'Tariffs Jul2023'!K73)*('Tariffs Jul2023'!W73/100)*'Tariffs Jul2023'!AJ73))</f>
        <v>0</v>
      </c>
      <c r="M79" s="59">
        <f>IF($C$5*'Tariffs Jul2023'!AL73/'Tariffs Jul2023'!AJ73&lt;'Tariffs Jul2023'!L73,0,IF($C$5*'Tariffs Jul2023'!AL73/'Tariffs Jul2023'!AJ73&lt;='Tariffs Jul2023'!M73,($C$5*'Tariffs Jul2023'!AL73/'Tariffs Jul2023'!AJ73-'Tariffs Jul2023'!L73)*('Tariffs Jul2023'!X73/100)*'Tariffs Jul2023'!AJ73,('Tariffs Jul2023'!M73-'Tariffs Jul2023'!L73)*('Tariffs Jul2023'!X73/100)*'Tariffs Jul2023'!AJ73))</f>
        <v>0</v>
      </c>
      <c r="N79" s="59">
        <f>IF(($C$5*'Tariffs Jul2023'!AL73/'Tariffs Jul2023'!AJ73&gt;'Tariffs Jul2023'!M73),($C$5*'Tariffs Jul2023'!AL73/'Tariffs Jul2023'!AJ73-'Tariffs Jul2023'!M73)*'Tariffs Jul2023'!Y73/100*'Tariffs Jul2023'!AJ73,0)</f>
        <v>613.63636363636363</v>
      </c>
      <c r="O79" s="59">
        <f t="shared" si="1"/>
        <v>1875.741818181818</v>
      </c>
      <c r="P79" s="503">
        <f t="shared" si="2"/>
        <v>2063.3159999999998</v>
      </c>
      <c r="Q79" s="59">
        <f t="shared" si="3"/>
        <v>2169.3345454545452</v>
      </c>
      <c r="R79" s="272">
        <f t="shared" si="4"/>
        <v>2386.268</v>
      </c>
      <c r="S79" s="40">
        <f>'Tariffs Jul2023'!AN73</f>
        <v>10</v>
      </c>
      <c r="T79" s="40">
        <f>'Tariffs Jul2023'!AO73</f>
        <v>0</v>
      </c>
      <c r="U79" s="40">
        <f>'Tariffs Jul2023'!AP73</f>
        <v>0</v>
      </c>
      <c r="V79" s="637">
        <f>'Tariffs Jul2023'!AQ73</f>
        <v>0</v>
      </c>
      <c r="W79" s="578" t="str">
        <f t="shared" si="112"/>
        <v>Guaranteed off bill</v>
      </c>
      <c r="X79" s="538" t="str">
        <f t="shared" si="113"/>
        <v>Exclusive</v>
      </c>
      <c r="Y79" s="535">
        <f t="shared" si="116"/>
        <v>1952.4010909090907</v>
      </c>
      <c r="Z79" s="535">
        <f t="shared" si="117"/>
        <v>1952.4010909090907</v>
      </c>
      <c r="AA79" s="542">
        <f t="shared" si="92"/>
        <v>2147.6412</v>
      </c>
      <c r="AB79" s="609">
        <f t="shared" si="92"/>
        <v>2147.6412</v>
      </c>
      <c r="AC79" s="625"/>
      <c r="AD79" s="625"/>
      <c r="AE79" s="625"/>
      <c r="AF79" s="625"/>
      <c r="AG79" s="625"/>
      <c r="AH79" s="625"/>
      <c r="AI79" s="625"/>
      <c r="AJ79" s="625"/>
      <c r="AK79" s="625"/>
      <c r="AL79" s="625"/>
      <c r="AM79" s="625"/>
      <c r="AN79" s="625"/>
      <c r="AO79" s="625"/>
      <c r="AP79" s="625"/>
      <c r="AQ79" s="625"/>
      <c r="AR79" s="625"/>
      <c r="AS79" s="625"/>
      <c r="AT79" s="625"/>
    </row>
    <row r="80" spans="1:46" ht="14" x14ac:dyDescent="0.15">
      <c r="A80" s="270" t="str">
        <f>'Tariffs Jul2023'!F74</f>
        <v>GloBird Energy</v>
      </c>
      <c r="B80" s="40" t="str">
        <f>'Tariffs Jul2023'!D74</f>
        <v>AGN Central 1</v>
      </c>
      <c r="C80" s="40" t="str">
        <f>'Tariffs Jul2023'!G74</f>
        <v>GloSave</v>
      </c>
      <c r="D80" s="59">
        <f>365*'Tariffs Jul2023'!H74/100</f>
        <v>233.6</v>
      </c>
      <c r="E80" s="59">
        <f>IF($C$5*'Tariffs Jul2023'!AK74/'Tariffs Jul2023'!AI74&gt;='Tariffs Jul2023'!J74,( 'Tariffs Jul2023'!J74*'Tariffs Jul2023'!O74/100)* 'Tariffs Jul2023'!AI74,($C$5*'Tariffs Jul2023'!AK74/'Tariffs Jul2023'!AI74*'Tariffs Jul2023'!O74/100)* 'Tariffs Jul2023'!AI74)</f>
        <v>220.90909090909088</v>
      </c>
      <c r="F80" s="59">
        <f>IF($C$5*'Tariffs Jul2023'!AK74/'Tariffs Jul2023'!AI74&lt;'Tariffs Jul2023'!J74,0,IF($C$5*'Tariffs Jul2023'!AK74/'Tariffs Jul2023'!AI74&lt;='Tariffs Jul2023'!K74,($C$5*'Tariffs Jul2023'!AK74/'Tariffs Jul2023'!AI74-'Tariffs Jul2023'!J74)*('Tariffs Jul2023'!P74/100)*'Tariffs Jul2023'!AI74,('Tariffs Jul2023'!K74-'Tariffs Jul2023'!J74)*('Tariffs Jul2023'!P74/100)*'Tariffs Jul2023'!AI74))</f>
        <v>0</v>
      </c>
      <c r="G80" s="59">
        <f>IF($C$5*'Tariffs Jul2023'!AK74/'Tariffs Jul2023'!AI74&lt;'Tariffs Jul2023'!K74,0,IF($C$5*'Tariffs Jul2023'!AK74/'Tariffs Jul2023'!AI74&lt;='Tariffs Jul2023'!L74,($C$5*'Tariffs Jul2023'!AK74/'Tariffs Jul2023'!AI74-'Tariffs Jul2023'!K74)*('Tariffs Jul2023'!Q74/100)*'Tariffs Jul2023'!AI74,('Tariffs Jul2023'!L74-'Tariffs Jul2023'!K74)*('Tariffs Jul2023'!Q74/100)*'Tariffs Jul2023'!AI74))</f>
        <v>0</v>
      </c>
      <c r="H80" s="59">
        <f>IF($C$5*'Tariffs Jul2023'!AK74/'Tariffs Jul2023'!AI74&lt;'Tariffs Jul2023'!L74,0,IF($C$5*'Tariffs Jul2023'!AK74/'Tariffs Jul2023'!AI74&lt;='Tariffs Jul2023'!M74,($C$5*'Tariffs Jul2023'!AK74/'Tariffs Jul2023'!AI74-'Tariffs Jul2023'!L74)*('Tariffs Jul2023'!R74/100)*'Tariffs Jul2023'!AI74,('Tariffs Jul2023'!M74-'Tariffs Jul2023'!L74)*('Tariffs Jul2023'!R74/100)*'Tariffs Jul2023'!AI74))</f>
        <v>0</v>
      </c>
      <c r="I80" s="59">
        <f>IF(($C$5*'Tariffs Jul2023'!AK74/'Tariffs Jul2023'!AI74&gt;'Tariffs Jul2023'!M74),($C$5*'Tariffs Jul2023'!AK74/'Tariffs Jul2023'!AI74-'Tariffs Jul2023'!M74)*'Tariffs Jul2023'!S74/100*'Tariffs Jul2023'!AI74,0)</f>
        <v>417.21430909090901</v>
      </c>
      <c r="J80" s="59">
        <f>IF($C$5*'Tariffs Jul2023'!AL74/'Tariffs Jul2023'!AJ74&gt;='Tariffs Jul2023'!J74,('Tariffs Jul2023'!J74*'Tariffs Jul2023'!U74/100)* 'Tariffs Jul2023'!AJ74,($C$5*'Tariffs Jul2023'!AL74/'Tariffs Jul2023'!AJ74*'Tariffs Jul2023'!U74/100)* 'Tariffs Jul2023'!AJ74)</f>
        <v>441.81818181818176</v>
      </c>
      <c r="K80" s="59">
        <f>IF($C$5*'Tariffs Jul2023'!AL74/'Tariffs Jul2023'!AJ74&lt;'Tariffs Jul2023'!J74,0,IF($C$5*'Tariffs Jul2023'!AL74/'Tariffs Jul2023'!AJ74&lt;='Tariffs Jul2023'!K74,($C$5*'Tariffs Jul2023'!AL74/'Tariffs Jul2023'!AJ74-'Tariffs Jul2023'!J74)*('Tariffs Jul2023'!V74/100)*'Tariffs Jul2023'!AJ74,('Tariffs Jul2023'!K74-'Tariffs Jul2023'!J74)*('Tariffs Jul2023'!V74/100)*'Tariffs Jul2023'!AJ74))</f>
        <v>0</v>
      </c>
      <c r="L80" s="59">
        <f>IF($C$5*'Tariffs Jul2023'!AL74/'Tariffs Jul2023'!AJ74&lt;'Tariffs Jul2023'!K74,0,IF($C$5*'Tariffs Jul2023'!AL74/'Tariffs Jul2023'!AJ74&lt;='Tariffs Jul2023'!L74,($C$5*'Tariffs Jul2023'!AL74/'Tariffs Jul2023'!AJ74-'Tariffs Jul2023'!K74)*('Tariffs Jul2023'!W74/100)*'Tariffs Jul2023'!AJ74,('Tariffs Jul2023'!L74-'Tariffs Jul2023'!K74)*('Tariffs Jul2023'!W74/100)*'Tariffs Jul2023'!AJ74))</f>
        <v>0</v>
      </c>
      <c r="M80" s="59">
        <f>IF($C$5*'Tariffs Jul2023'!AL74/'Tariffs Jul2023'!AJ74&lt;'Tariffs Jul2023'!L74,0,IF($C$5*'Tariffs Jul2023'!AL74/'Tariffs Jul2023'!AJ74&lt;='Tariffs Jul2023'!M74,($C$5*'Tariffs Jul2023'!AL74/'Tariffs Jul2023'!AJ74-'Tariffs Jul2023'!L74)*('Tariffs Jul2023'!X74/100)*'Tariffs Jul2023'!AJ74,('Tariffs Jul2023'!M74-'Tariffs Jul2023'!L74)*('Tariffs Jul2023'!X74/100)*'Tariffs Jul2023'!AJ74))</f>
        <v>0</v>
      </c>
      <c r="N80" s="59">
        <f>IF(($C$5*'Tariffs Jul2023'!AL74/'Tariffs Jul2023'!AJ74&gt;'Tariffs Jul2023'!M74),($C$5*'Tariffs Jul2023'!AL74/'Tariffs Jul2023'!AJ74-'Tariffs Jul2023'!M74)*'Tariffs Jul2023'!Y74/100*'Tariffs Jul2023'!AJ74,0)</f>
        <v>834.42861818181802</v>
      </c>
      <c r="O80" s="59">
        <f t="shared" si="1"/>
        <v>1914.3701999999998</v>
      </c>
      <c r="P80" s="503">
        <f t="shared" si="2"/>
        <v>2105.8072200000001</v>
      </c>
      <c r="Q80" s="59">
        <f t="shared" si="3"/>
        <v>2147.9701999999997</v>
      </c>
      <c r="R80" s="272">
        <f t="shared" si="4"/>
        <v>2362.7672199999997</v>
      </c>
      <c r="S80" s="40">
        <f>'Tariffs Jul2023'!AN74</f>
        <v>0</v>
      </c>
      <c r="T80" s="40">
        <f>'Tariffs Jul2023'!AO74</f>
        <v>0</v>
      </c>
      <c r="U80" s="40">
        <f>'Tariffs Jul2023'!AP74</f>
        <v>2</v>
      </c>
      <c r="V80" s="637">
        <f>'Tariffs Jul2023'!AQ74</f>
        <v>0</v>
      </c>
      <c r="W80" s="578" t="str">
        <f t="shared" si="112"/>
        <v>Pay-on-time off bill</v>
      </c>
      <c r="X80" s="538" t="str">
        <f t="shared" si="113"/>
        <v>Exclusive</v>
      </c>
      <c r="Y80" s="535">
        <f t="shared" si="116"/>
        <v>2147.9701999999997</v>
      </c>
      <c r="Z80" s="535">
        <f t="shared" si="117"/>
        <v>2105.0107959999996</v>
      </c>
      <c r="AA80" s="542">
        <f t="shared" si="92"/>
        <v>2362.7672199999997</v>
      </c>
      <c r="AB80" s="609">
        <f t="shared" si="92"/>
        <v>2315.5118755999997</v>
      </c>
      <c r="AC80" s="625"/>
      <c r="AD80" s="625"/>
      <c r="AE80" s="625"/>
      <c r="AF80" s="625"/>
      <c r="AG80" s="625"/>
      <c r="AH80" s="625"/>
      <c r="AI80" s="625"/>
      <c r="AJ80" s="625"/>
      <c r="AK80" s="625"/>
      <c r="AL80" s="625"/>
      <c r="AM80" s="625"/>
      <c r="AN80" s="625"/>
      <c r="AO80" s="625"/>
      <c r="AP80" s="625"/>
      <c r="AQ80" s="625"/>
      <c r="AR80" s="625"/>
      <c r="AS80" s="625"/>
      <c r="AT80" s="625"/>
    </row>
    <row r="81" spans="1:46" ht="14" x14ac:dyDescent="0.15">
      <c r="A81" s="270" t="str">
        <f>'Tariffs Jul2023'!F75</f>
        <v>1st Energy</v>
      </c>
      <c r="B81" s="40" t="str">
        <f>'Tariffs Jul2023'!D75</f>
        <v>AGN Central 1</v>
      </c>
      <c r="C81" s="40" t="str">
        <f>'Tariffs Jul2023'!G75</f>
        <v>1st Saver Plus</v>
      </c>
      <c r="D81" s="59">
        <f>365*'Tariffs Jul2023'!H75/100</f>
        <v>288.35000000000002</v>
      </c>
      <c r="E81" s="59">
        <f>IF($C$5*'Tariffs Jul2023'!AK75/'Tariffs Jul2023'!AI75&gt;='Tariffs Jul2023'!J75,( 'Tariffs Jul2023'!J75*'Tariffs Jul2023'!O75/100)* 'Tariffs Jul2023'!AI75,($C$5*'Tariffs Jul2023'!AK75/'Tariffs Jul2023'!AI75*'Tariffs Jul2023'!O75/100)* 'Tariffs Jul2023'!AI75)</f>
        <v>253.79999999999995</v>
      </c>
      <c r="F81" s="59">
        <f>IF($C$5*'Tariffs Jul2023'!AK75/'Tariffs Jul2023'!AI75&lt;'Tariffs Jul2023'!J75,0,IF($C$5*'Tariffs Jul2023'!AK75/'Tariffs Jul2023'!AI75&lt;='Tariffs Jul2023'!K75,($C$5*'Tariffs Jul2023'!AK75/'Tariffs Jul2023'!AI75-'Tariffs Jul2023'!J75)*('Tariffs Jul2023'!P75/100)*'Tariffs Jul2023'!AI75,('Tariffs Jul2023'!K75-'Tariffs Jul2023'!J75)*('Tariffs Jul2023'!P75/100)*'Tariffs Jul2023'!AI75))</f>
        <v>368.99999999999994</v>
      </c>
      <c r="G81" s="59">
        <f>IF($C$5*'Tariffs Jul2023'!AK75/'Tariffs Jul2023'!AI75&lt;'Tariffs Jul2023'!K75,0,IF($C$5*'Tariffs Jul2023'!AK75/'Tariffs Jul2023'!AI75&lt;='Tariffs Jul2023'!L75,($C$5*'Tariffs Jul2023'!AK75/'Tariffs Jul2023'!AI75-'Tariffs Jul2023'!K75)*('Tariffs Jul2023'!Q75/100)*'Tariffs Jul2023'!AI75,('Tariffs Jul2023'!L75-'Tariffs Jul2023'!K75)*('Tariffs Jul2023'!Q75/100)*'Tariffs Jul2023'!AI75))</f>
        <v>0</v>
      </c>
      <c r="H81" s="59">
        <f>IF($C$5*'Tariffs Jul2023'!AK75/'Tariffs Jul2023'!AI75&lt;'Tariffs Jul2023'!L75,0,IF($C$5*'Tariffs Jul2023'!AK75/'Tariffs Jul2023'!AI75&lt;='Tariffs Jul2023'!M75,($C$5*'Tariffs Jul2023'!AK75/'Tariffs Jul2023'!AI75-'Tariffs Jul2023'!L75)*('Tariffs Jul2023'!R75/100)*'Tariffs Jul2023'!AI75,('Tariffs Jul2023'!M75-'Tariffs Jul2023'!L75)*('Tariffs Jul2023'!R75/100)*'Tariffs Jul2023'!AI75))</f>
        <v>0</v>
      </c>
      <c r="I81" s="69">
        <f>IF(($C$5*'Tariffs Jul2023'!AK75/'Tariffs Jul2023'!AI75&gt;'Tariffs Jul2023'!M75),($C$5*'Tariffs Jul2023'!AK75/'Tariffs Jul2023'!AI75-'Tariffs Jul2023'!M75)*'Tariffs Jul2023'!S75/100*'Tariffs Jul2023'!AI75,0)</f>
        <v>598.5</v>
      </c>
      <c r="J81" s="69">
        <f>IF($C$5*'Tariffs Jul2023'!AL75/'Tariffs Jul2023'!AJ75&gt;='Tariffs Jul2023'!J75,('Tariffs Jul2023'!J75*'Tariffs Jul2023'!U75/100)* 'Tariffs Jul2023'!AJ75,($C$5*'Tariffs Jul2023'!AL75/'Tariffs Jul2023'!AJ75*'Tariffs Jul2023'!U75/100)* 'Tariffs Jul2023'!AJ75)</f>
        <v>253.79999999999995</v>
      </c>
      <c r="K81" s="69">
        <f>IF($C$5*'Tariffs Jul2023'!AL75/'Tariffs Jul2023'!AJ75&lt;'Tariffs Jul2023'!J75,0,IF($C$5*'Tariffs Jul2023'!AL75/'Tariffs Jul2023'!AJ75&lt;='Tariffs Jul2023'!K75,($C$5*'Tariffs Jul2023'!AL75/'Tariffs Jul2023'!AJ75-'Tariffs Jul2023'!J75)*('Tariffs Jul2023'!V75/100)*'Tariffs Jul2023'!AJ75,('Tariffs Jul2023'!K75-'Tariffs Jul2023'!J75)*('Tariffs Jul2023'!V75/100)*'Tariffs Jul2023'!AJ75))</f>
        <v>368.99999999999994</v>
      </c>
      <c r="L81" s="69">
        <f>IF($C$5*'Tariffs Jul2023'!AL75/'Tariffs Jul2023'!AJ75&lt;'Tariffs Jul2023'!K75,0,IF($C$5*'Tariffs Jul2023'!AL75/'Tariffs Jul2023'!AJ75&lt;='Tariffs Jul2023'!L75,($C$5*'Tariffs Jul2023'!AL75/'Tariffs Jul2023'!AJ75-'Tariffs Jul2023'!K75)*('Tariffs Jul2023'!W75/100)*'Tariffs Jul2023'!AJ75,('Tariffs Jul2023'!L75-'Tariffs Jul2023'!K75)*('Tariffs Jul2023'!W75/100)*'Tariffs Jul2023'!AJ75))</f>
        <v>0</v>
      </c>
      <c r="M81" s="69">
        <f>IF($C$5*'Tariffs Jul2023'!AL75/'Tariffs Jul2023'!AJ75&lt;'Tariffs Jul2023'!L75,0,IF($C$5*'Tariffs Jul2023'!AL75/'Tariffs Jul2023'!AJ75&lt;='Tariffs Jul2023'!M75,($C$5*'Tariffs Jul2023'!AL75/'Tariffs Jul2023'!AJ75-'Tariffs Jul2023'!L75)*('Tariffs Jul2023'!X75/100)*'Tariffs Jul2023'!AJ75,('Tariffs Jul2023'!M75-'Tariffs Jul2023'!L75)*('Tariffs Jul2023'!X75/100)*'Tariffs Jul2023'!AJ75))</f>
        <v>0</v>
      </c>
      <c r="N81" s="69">
        <f>IF(($C$5*'Tariffs Jul2023'!AL75/'Tariffs Jul2023'!AJ75&gt;'Tariffs Jul2023'!M75),($C$5*'Tariffs Jul2023'!AL75/'Tariffs Jul2023'!AJ75-'Tariffs Jul2023'!M75)*'Tariffs Jul2023'!Y75/100*'Tariffs Jul2023'!AJ75,0)</f>
        <v>598.5</v>
      </c>
      <c r="O81" s="59">
        <f t="shared" si="1"/>
        <v>2442.6</v>
      </c>
      <c r="P81" s="503">
        <f t="shared" si="2"/>
        <v>2686.86</v>
      </c>
      <c r="Q81" s="59">
        <f t="shared" si="3"/>
        <v>2730.95</v>
      </c>
      <c r="R81" s="272">
        <f t="shared" si="4"/>
        <v>3004.0450000000001</v>
      </c>
      <c r="S81" s="40">
        <f>'Tariffs Jul2023'!AN75</f>
        <v>0</v>
      </c>
      <c r="T81" s="40">
        <f>'Tariffs Jul2023'!AO75</f>
        <v>7</v>
      </c>
      <c r="U81" s="40">
        <f>'Tariffs Jul2023'!AP75</f>
        <v>0</v>
      </c>
      <c r="V81" s="637">
        <f>'Tariffs Jul2023'!AQ75</f>
        <v>3</v>
      </c>
      <c r="W81" s="578" t="str">
        <f t="shared" si="112"/>
        <v>Guaranteed off usage</v>
      </c>
      <c r="X81" s="538" t="str">
        <f t="shared" si="113"/>
        <v>Exclusive</v>
      </c>
      <c r="Y81" s="535">
        <f>Q81-(P81*T81)/100</f>
        <v>2542.8697999999999</v>
      </c>
      <c r="Z81" s="535">
        <f>Y81-(P81*V81)/100</f>
        <v>2462.2640000000001</v>
      </c>
      <c r="AA81" s="542">
        <f t="shared" si="92"/>
        <v>2797.1567800000003</v>
      </c>
      <c r="AB81" s="609">
        <f t="shared" si="92"/>
        <v>2708.4904000000001</v>
      </c>
      <c r="AC81" s="625"/>
      <c r="AD81" s="625"/>
      <c r="AE81" s="625"/>
      <c r="AF81" s="625"/>
      <c r="AG81" s="625"/>
      <c r="AH81" s="625"/>
      <c r="AI81" s="625"/>
      <c r="AJ81" s="625"/>
      <c r="AK81" s="625"/>
      <c r="AL81" s="625"/>
      <c r="AM81" s="625"/>
      <c r="AN81" s="625"/>
      <c r="AO81" s="625"/>
      <c r="AP81" s="625"/>
      <c r="AQ81" s="625"/>
      <c r="AR81" s="625"/>
      <c r="AS81" s="625"/>
      <c r="AT81" s="625"/>
    </row>
    <row r="82" spans="1:46" ht="14" x14ac:dyDescent="0.15">
      <c r="A82" s="270" t="str">
        <f>'Tariffs Jul2023'!F76</f>
        <v>Tango Energy</v>
      </c>
      <c r="B82" s="40" t="str">
        <f>'Tariffs Jul2023'!D76</f>
        <v>AGN Central 1</v>
      </c>
      <c r="C82" s="40" t="str">
        <f>'Tariffs Jul2023'!G76</f>
        <v>Home Select</v>
      </c>
      <c r="D82" s="59">
        <f>365*'Tariffs Jul2023'!H76/100</f>
        <v>383.24999999999994</v>
      </c>
      <c r="E82" s="59">
        <f>IF($C$5*'Tariffs Jul2023'!AK76/'Tariffs Jul2023'!AI76&gt;='Tariffs Jul2023'!J76,( 'Tariffs Jul2023'!J76*'Tariffs Jul2023'!O76/100)* 'Tariffs Jul2023'!AI76,($C$5*'Tariffs Jul2023'!AK76/'Tariffs Jul2023'!AI76*'Tariffs Jul2023'!O76/100)* 'Tariffs Jul2023'!AI76)</f>
        <v>175.41681818181817</v>
      </c>
      <c r="F82" s="59">
        <f>IF($C$5*'Tariffs Jul2023'!AK76/'Tariffs Jul2023'!AI76&lt;'Tariffs Jul2023'!J76,0,IF($C$5*'Tariffs Jul2023'!AK76/'Tariffs Jul2023'!AI76&lt;='Tariffs Jul2023'!K76,($C$5*'Tariffs Jul2023'!AK76/'Tariffs Jul2023'!AI76-'Tariffs Jul2023'!J76)*('Tariffs Jul2023'!P76/100)*'Tariffs Jul2023'!AI76,('Tariffs Jul2023'!K76-'Tariffs Jul2023'!J76)*('Tariffs Jul2023'!P76/100)*'Tariffs Jul2023'!AI76))</f>
        <v>134.8840909090909</v>
      </c>
      <c r="G82" s="59">
        <f>IF($C$5*'Tariffs Jul2023'!AK76/'Tariffs Jul2023'!AI76&lt;'Tariffs Jul2023'!K76,0,IF($C$5*'Tariffs Jul2023'!AK76/'Tariffs Jul2023'!AI76&lt;='Tariffs Jul2023'!L76,($C$5*'Tariffs Jul2023'!AK76/'Tariffs Jul2023'!AI76-'Tariffs Jul2023'!K76)*('Tariffs Jul2023'!Q76/100)*'Tariffs Jul2023'!AI76,('Tariffs Jul2023'!L76-'Tariffs Jul2023'!K76)*('Tariffs Jul2023'!Q76/100)*'Tariffs Jul2023'!AI76))</f>
        <v>0</v>
      </c>
      <c r="H82" s="59">
        <f>IF($C$5*'Tariffs Jul2023'!AK76/'Tariffs Jul2023'!AI76&lt;'Tariffs Jul2023'!L76,0,IF($C$5*'Tariffs Jul2023'!AK76/'Tariffs Jul2023'!AI76&lt;='Tariffs Jul2023'!M76,($C$5*'Tariffs Jul2023'!AK76/'Tariffs Jul2023'!AI76-'Tariffs Jul2023'!L76)*('Tariffs Jul2023'!R76/100)*'Tariffs Jul2023'!AI76,('Tariffs Jul2023'!M76-'Tariffs Jul2023'!L76)*('Tariffs Jul2023'!R76/100)*'Tariffs Jul2023'!AI76))</f>
        <v>0</v>
      </c>
      <c r="I82" s="69">
        <f>IF(($C$5*'Tariffs Jul2023'!AK76/'Tariffs Jul2023'!AI76&gt;'Tariffs Jul2023'!M76),($C$5*'Tariffs Jul2023'!AK76/'Tariffs Jul2023'!AI76-'Tariffs Jul2023'!M76)*'Tariffs Jul2023'!S76/100*'Tariffs Jul2023'!AI76,0)</f>
        <v>715.90909090909088</v>
      </c>
      <c r="J82" s="69">
        <f>IF($C$5*'Tariffs Jul2023'!AL76/'Tariffs Jul2023'!AJ76&gt;='Tariffs Jul2023'!J76,('Tariffs Jul2023'!J76*'Tariffs Jul2023'!U76/100)* 'Tariffs Jul2023'!AJ76,($C$5*'Tariffs Jul2023'!AL76/'Tariffs Jul2023'!AJ76*'Tariffs Jul2023'!U76/100)* 'Tariffs Jul2023'!AJ76)</f>
        <v>175.41681818181817</v>
      </c>
      <c r="K82" s="69">
        <f>IF($C$5*'Tariffs Jul2023'!AL76/'Tariffs Jul2023'!AJ76&lt;'Tariffs Jul2023'!J76,0,IF($C$5*'Tariffs Jul2023'!AL76/'Tariffs Jul2023'!AJ76&lt;='Tariffs Jul2023'!K76,($C$5*'Tariffs Jul2023'!AL76/'Tariffs Jul2023'!AJ76-'Tariffs Jul2023'!J76)*('Tariffs Jul2023'!V76/100)*'Tariffs Jul2023'!AJ76,('Tariffs Jul2023'!K76-'Tariffs Jul2023'!J76)*('Tariffs Jul2023'!V76/100)*'Tariffs Jul2023'!AJ76))</f>
        <v>134.8840909090909</v>
      </c>
      <c r="L82" s="69">
        <f>IF($C$5*'Tariffs Jul2023'!AL76/'Tariffs Jul2023'!AJ76&lt;'Tariffs Jul2023'!K76,0,IF($C$5*'Tariffs Jul2023'!AL76/'Tariffs Jul2023'!AJ76&lt;='Tariffs Jul2023'!L76,($C$5*'Tariffs Jul2023'!AL76/'Tariffs Jul2023'!AJ76-'Tariffs Jul2023'!K76)*('Tariffs Jul2023'!W76/100)*'Tariffs Jul2023'!AJ76,('Tariffs Jul2023'!L76-'Tariffs Jul2023'!K76)*('Tariffs Jul2023'!W76/100)*'Tariffs Jul2023'!AJ76))</f>
        <v>0</v>
      </c>
      <c r="M82" s="69">
        <f>IF($C$5*'Tariffs Jul2023'!AL76/'Tariffs Jul2023'!AJ76&lt;'Tariffs Jul2023'!L76,0,IF($C$5*'Tariffs Jul2023'!AL76/'Tariffs Jul2023'!AJ76&lt;='Tariffs Jul2023'!M76,($C$5*'Tariffs Jul2023'!AL76/'Tariffs Jul2023'!AJ76-'Tariffs Jul2023'!L76)*('Tariffs Jul2023'!X76/100)*'Tariffs Jul2023'!AJ76,('Tariffs Jul2023'!M76-'Tariffs Jul2023'!L76)*('Tariffs Jul2023'!X76/100)*'Tariffs Jul2023'!AJ76))</f>
        <v>0</v>
      </c>
      <c r="N82" s="69">
        <f>IF(($C$5*'Tariffs Jul2023'!AL76/'Tariffs Jul2023'!AJ76&gt;'Tariffs Jul2023'!M76),($C$5*'Tariffs Jul2023'!AL76/'Tariffs Jul2023'!AJ76-'Tariffs Jul2023'!M76)*'Tariffs Jul2023'!Y76/100*'Tariffs Jul2023'!AJ76,0)</f>
        <v>715.90909090909088</v>
      </c>
      <c r="O82" s="59">
        <f t="shared" si="1"/>
        <v>2052.42</v>
      </c>
      <c r="P82" s="503">
        <f t="shared" si="2"/>
        <v>2257.6620000000003</v>
      </c>
      <c r="Q82" s="59">
        <f t="shared" si="3"/>
        <v>2435.67</v>
      </c>
      <c r="R82" s="272">
        <f t="shared" si="4"/>
        <v>2679.2370000000001</v>
      </c>
      <c r="S82" s="40">
        <f>'Tariffs Jul2023'!AN76</f>
        <v>0</v>
      </c>
      <c r="T82" s="40">
        <f>'Tariffs Jul2023'!AO76</f>
        <v>0</v>
      </c>
      <c r="U82" s="40">
        <f>'Tariffs Jul2023'!AP76</f>
        <v>0</v>
      </c>
      <c r="V82" s="637">
        <f>'Tariffs Jul2023'!AQ76</f>
        <v>0</v>
      </c>
      <c r="W82" s="578" t="str">
        <f t="shared" si="112"/>
        <v>No discount</v>
      </c>
      <c r="X82" s="538" t="str">
        <f t="shared" si="113"/>
        <v>Exclusive</v>
      </c>
      <c r="Y82" s="535">
        <f t="shared" ref="Y82:Y95" si="118">IF(AND(W82="Guaranteed off bill",X82="Inclusive"),((Q82*1.1)-((Q82*1.1)*S82/100))/1.1,IF(AND(W82="Guaranteed off usage",X82="Inclusive"),((Q82*1.1)-((P82*1.1)*T82/100))/1.1,IF(AND(W82="Guaranteed off bill",X82="Exclusive"),Q82-(Q82*S82/100),IF(AND(W82="Guaranteed off usage",X82="Exclusive"),Q82-(P82*T82/100),IF(X82="Inclusive",((Q82*1.1))/1.1,Q82)))))</f>
        <v>2435.67</v>
      </c>
      <c r="Z82" s="535">
        <f t="shared" ref="Z82:Z95" si="119">IF(AND(W82="Pay-on-time off bill",X82="Inclusive"),((Y82*1.1)-((Y82*1.1)*U82/100))/1.1,IF(AND(W82="Pay-on-time off usage",X82="Inclusive"),((Y82*1.1)-((P82*1.1)*V82/100))/1.1,IF(AND(W82="Pay-on-time off bill",X82="Exclusive"),Y82-(Y82*U82/100),IF(AND(W82="Pay-on-time off usage",X82="Exclusive"),Y82-(P82*V82/100),IF(X82="Inclusive",((Y82*1.1))/1.1,Y82)))))</f>
        <v>2435.67</v>
      </c>
      <c r="AA82" s="542">
        <f t="shared" si="92"/>
        <v>2679.2370000000001</v>
      </c>
      <c r="AB82" s="609">
        <f t="shared" si="92"/>
        <v>2679.2370000000001</v>
      </c>
      <c r="AC82" s="625"/>
      <c r="AD82" s="625"/>
      <c r="AE82" s="625"/>
      <c r="AF82" s="625"/>
      <c r="AG82" s="625"/>
      <c r="AH82" s="625"/>
      <c r="AI82" s="625"/>
      <c r="AJ82" s="625"/>
      <c r="AK82" s="625"/>
      <c r="AL82" s="625"/>
      <c r="AM82" s="625"/>
      <c r="AN82" s="625"/>
      <c r="AO82" s="625"/>
      <c r="AP82" s="625"/>
      <c r="AQ82" s="625"/>
      <c r="AR82" s="625"/>
      <c r="AS82" s="625"/>
      <c r="AT82" s="625"/>
    </row>
    <row r="83" spans="1:46" ht="14" x14ac:dyDescent="0.15">
      <c r="A83" s="270" t="str">
        <f>'Tariffs Jul2023'!F77</f>
        <v>Momentum Energy</v>
      </c>
      <c r="B83" s="40" t="str">
        <f>'Tariffs Jul2023'!D77</f>
        <v>AGN Central 1</v>
      </c>
      <c r="C83" s="40" t="str">
        <f>'Tariffs Jul2023'!G77</f>
        <v>Nothing Fancy</v>
      </c>
      <c r="D83" s="59">
        <f>365*'Tariffs Jul2023'!H77/100</f>
        <v>354.41500000000002</v>
      </c>
      <c r="E83" s="59">
        <f>IF($C$5*'Tariffs Jul2023'!AK77/'Tariffs Jul2023'!AI77&gt;='Tariffs Jul2023'!J77,( 'Tariffs Jul2023'!J77*'Tariffs Jul2023'!O77/100)* 'Tariffs Jul2023'!AI77,($C$5*'Tariffs Jul2023'!AK77/'Tariffs Jul2023'!AI77*'Tariffs Jul2023'!O77/100)* 'Tariffs Jul2023'!AI77)</f>
        <v>177.65999999999997</v>
      </c>
      <c r="F83" s="59">
        <f>IF($C$5*'Tariffs Jul2023'!AK77/'Tariffs Jul2023'!AI77&lt;'Tariffs Jul2023'!J77,0,IF($C$5*'Tariffs Jul2023'!AK77/'Tariffs Jul2023'!AI77&lt;='Tariffs Jul2023'!K77,($C$5*'Tariffs Jul2023'!AK77/'Tariffs Jul2023'!AI77-'Tariffs Jul2023'!J77)*('Tariffs Jul2023'!P77/100)*'Tariffs Jul2023'!AI77,('Tariffs Jul2023'!K77-'Tariffs Jul2023'!J77)*('Tariffs Jul2023'!P77/100)*'Tariffs Jul2023'!AI77))</f>
        <v>121.94999999999997</v>
      </c>
      <c r="G83" s="59">
        <f>IF($C$5*'Tariffs Jul2023'!AK77/'Tariffs Jul2023'!AI77&lt;'Tariffs Jul2023'!K77,0,IF($C$5*'Tariffs Jul2023'!AK77/'Tariffs Jul2023'!AI77&lt;='Tariffs Jul2023'!L77,($C$5*'Tariffs Jul2023'!AK77/'Tariffs Jul2023'!AI77-'Tariffs Jul2023'!K77)*('Tariffs Jul2023'!Q77/100)*'Tariffs Jul2023'!AI77,('Tariffs Jul2023'!L77-'Tariffs Jul2023'!K77)*('Tariffs Jul2023'!Q77/100)*'Tariffs Jul2023'!AI77))</f>
        <v>0</v>
      </c>
      <c r="H83" s="59">
        <f>IF($C$5*'Tariffs Jul2023'!AK77/'Tariffs Jul2023'!AI77&lt;'Tariffs Jul2023'!L77,0,IF($C$5*'Tariffs Jul2023'!AK77/'Tariffs Jul2023'!AI77&lt;='Tariffs Jul2023'!M77,($C$5*'Tariffs Jul2023'!AK77/'Tariffs Jul2023'!AI77-'Tariffs Jul2023'!L77)*('Tariffs Jul2023'!R77/100)*'Tariffs Jul2023'!AI77,('Tariffs Jul2023'!M77-'Tariffs Jul2023'!L77)*('Tariffs Jul2023'!R77/100)*'Tariffs Jul2023'!AI77))</f>
        <v>0</v>
      </c>
      <c r="I83" s="69">
        <f>IF(($C$5*'Tariffs Jul2023'!AK77/'Tariffs Jul2023'!AI77&gt;'Tariffs Jul2023'!M77),($C$5*'Tariffs Jul2023'!AK77/'Tariffs Jul2023'!AI77-'Tariffs Jul2023'!M77)*'Tariffs Jul2023'!S77/100*'Tariffs Jul2023'!AI77,0)</f>
        <v>584.99999999999989</v>
      </c>
      <c r="J83" s="69">
        <f>IF($C$5*'Tariffs Jul2023'!AL77/'Tariffs Jul2023'!AJ77&gt;='Tariffs Jul2023'!J77,('Tariffs Jul2023'!J77*'Tariffs Jul2023'!U77/100)* 'Tariffs Jul2023'!AJ77,($C$5*'Tariffs Jul2023'!AL77/'Tariffs Jul2023'!AJ77*'Tariffs Jul2023'!U77/100)* 'Tariffs Jul2023'!AJ77)</f>
        <v>177.65999999999997</v>
      </c>
      <c r="K83" s="69">
        <f>IF($C$5*'Tariffs Jul2023'!AL77/'Tariffs Jul2023'!AJ77&lt;'Tariffs Jul2023'!J77,0,IF($C$5*'Tariffs Jul2023'!AL77/'Tariffs Jul2023'!AJ77&lt;='Tariffs Jul2023'!K77,($C$5*'Tariffs Jul2023'!AL77/'Tariffs Jul2023'!AJ77-'Tariffs Jul2023'!J77)*('Tariffs Jul2023'!V77/100)*'Tariffs Jul2023'!AJ77,('Tariffs Jul2023'!K77-'Tariffs Jul2023'!J77)*('Tariffs Jul2023'!V77/100)*'Tariffs Jul2023'!AJ77))</f>
        <v>121.94999999999997</v>
      </c>
      <c r="L83" s="69">
        <f>IF($C$5*'Tariffs Jul2023'!AL77/'Tariffs Jul2023'!AJ77&lt;'Tariffs Jul2023'!K77,0,IF($C$5*'Tariffs Jul2023'!AL77/'Tariffs Jul2023'!AJ77&lt;='Tariffs Jul2023'!L77,($C$5*'Tariffs Jul2023'!AL77/'Tariffs Jul2023'!AJ77-'Tariffs Jul2023'!K77)*('Tariffs Jul2023'!W77/100)*'Tariffs Jul2023'!AJ77,('Tariffs Jul2023'!L77-'Tariffs Jul2023'!K77)*('Tariffs Jul2023'!W77/100)*'Tariffs Jul2023'!AJ77))</f>
        <v>0</v>
      </c>
      <c r="M83" s="69">
        <f>IF($C$5*'Tariffs Jul2023'!AL77/'Tariffs Jul2023'!AJ77&lt;'Tariffs Jul2023'!L77,0,IF($C$5*'Tariffs Jul2023'!AL77/'Tariffs Jul2023'!AJ77&lt;='Tariffs Jul2023'!M77,($C$5*'Tariffs Jul2023'!AL77/'Tariffs Jul2023'!AJ77-'Tariffs Jul2023'!L77)*('Tariffs Jul2023'!X77/100)*'Tariffs Jul2023'!AJ77,('Tariffs Jul2023'!M77-'Tariffs Jul2023'!L77)*('Tariffs Jul2023'!X77/100)*'Tariffs Jul2023'!AJ77))</f>
        <v>0</v>
      </c>
      <c r="N83" s="69">
        <f>IF(($C$5*'Tariffs Jul2023'!AL77/'Tariffs Jul2023'!AJ77&gt;'Tariffs Jul2023'!M77),($C$5*'Tariffs Jul2023'!AL77/'Tariffs Jul2023'!AJ77-'Tariffs Jul2023'!M77)*'Tariffs Jul2023'!Y77/100*'Tariffs Jul2023'!AJ77,0)</f>
        <v>584.99999999999989</v>
      </c>
      <c r="O83" s="59">
        <f t="shared" si="1"/>
        <v>1769.2199999999998</v>
      </c>
      <c r="P83" s="503">
        <f t="shared" si="2"/>
        <v>1946.1419999999998</v>
      </c>
      <c r="Q83" s="59">
        <f t="shared" si="3"/>
        <v>2123.6349999999998</v>
      </c>
      <c r="R83" s="272">
        <f t="shared" si="4"/>
        <v>2335.9985000000001</v>
      </c>
      <c r="S83" s="40">
        <f>'Tariffs Jul2023'!AN77</f>
        <v>0</v>
      </c>
      <c r="T83" s="40">
        <f>'Tariffs Jul2023'!AO77</f>
        <v>0</v>
      </c>
      <c r="U83" s="40">
        <f>'Tariffs Jul2023'!AP77</f>
        <v>0</v>
      </c>
      <c r="V83" s="637">
        <f>'Tariffs Jul2023'!AQ77</f>
        <v>0</v>
      </c>
      <c r="W83" s="578" t="str">
        <f t="shared" si="112"/>
        <v>No discount</v>
      </c>
      <c r="X83" s="538" t="str">
        <f t="shared" si="113"/>
        <v>Exclusive</v>
      </c>
      <c r="Y83" s="535">
        <f t="shared" si="118"/>
        <v>2123.6349999999998</v>
      </c>
      <c r="Z83" s="535">
        <f t="shared" si="119"/>
        <v>2123.6349999999998</v>
      </c>
      <c r="AA83" s="542">
        <f t="shared" si="92"/>
        <v>2335.9985000000001</v>
      </c>
      <c r="AB83" s="609">
        <f t="shared" si="92"/>
        <v>2335.9985000000001</v>
      </c>
      <c r="AC83" s="625"/>
      <c r="AD83" s="625"/>
      <c r="AE83" s="625"/>
      <c r="AF83" s="625"/>
      <c r="AG83" s="625"/>
      <c r="AH83" s="625"/>
      <c r="AI83" s="625"/>
      <c r="AJ83" s="625"/>
      <c r="AK83" s="625"/>
      <c r="AL83" s="625"/>
      <c r="AM83" s="625"/>
      <c r="AN83" s="625"/>
      <c r="AO83" s="625"/>
      <c r="AP83" s="625"/>
      <c r="AQ83" s="625"/>
      <c r="AR83" s="625"/>
      <c r="AS83" s="625"/>
      <c r="AT83" s="625"/>
    </row>
    <row r="84" spans="1:46" ht="14" x14ac:dyDescent="0.15">
      <c r="A84" s="270" t="str">
        <f>'Tariffs Jul2023'!F78</f>
        <v>Sumo Power</v>
      </c>
      <c r="B84" s="40" t="str">
        <f>'Tariffs Jul2023'!D78</f>
        <v>AGN Central 1</v>
      </c>
      <c r="C84" s="40" t="str">
        <f>'Tariffs Jul2023'!G78</f>
        <v>Lite</v>
      </c>
      <c r="D84" s="59">
        <f>365*'Tariffs Jul2023'!H78/100</f>
        <v>255.5</v>
      </c>
      <c r="E84" s="59">
        <f>IF($C$5*'Tariffs Jul2023'!AK78/'Tariffs Jul2023'!AI78&gt;='Tariffs Jul2023'!J78,( 'Tariffs Jul2023'!J78*'Tariffs Jul2023'!O78/100)* 'Tariffs Jul2023'!AI78,($C$5*'Tariffs Jul2023'!AK78/'Tariffs Jul2023'!AI78*'Tariffs Jul2023'!O78/100)* 'Tariffs Jul2023'!AI78)</f>
        <v>148.04999999999998</v>
      </c>
      <c r="F84" s="59">
        <f>IF($C$5*'Tariffs Jul2023'!AK78/'Tariffs Jul2023'!AI78&lt;'Tariffs Jul2023'!J78,0,IF($C$5*'Tariffs Jul2023'!AK78/'Tariffs Jul2023'!AI78&lt;='Tariffs Jul2023'!K78,($C$5*'Tariffs Jul2023'!AK78/'Tariffs Jul2023'!AI78-'Tariffs Jul2023'!J78)*('Tariffs Jul2023'!P78/100)*'Tariffs Jul2023'!AI78,('Tariffs Jul2023'!K78-'Tariffs Jul2023'!J78)*('Tariffs Jul2023'!P78/100)*'Tariffs Jul2023'!AI78))</f>
        <v>113.82</v>
      </c>
      <c r="G84" s="59">
        <f>IF($C$5*'Tariffs Jul2023'!AK78/'Tariffs Jul2023'!AI78&lt;'Tariffs Jul2023'!K78,0,IF($C$5*'Tariffs Jul2023'!AK78/'Tariffs Jul2023'!AI78&lt;='Tariffs Jul2023'!L78,($C$5*'Tariffs Jul2023'!AK78/'Tariffs Jul2023'!AI78-'Tariffs Jul2023'!K78)*('Tariffs Jul2023'!Q78/100)*'Tariffs Jul2023'!AI78,('Tariffs Jul2023'!L78-'Tariffs Jul2023'!K78)*('Tariffs Jul2023'!Q78/100)*'Tariffs Jul2023'!AI78))</f>
        <v>0</v>
      </c>
      <c r="H84" s="59">
        <f>IF($C$5*'Tariffs Jul2023'!AK78/'Tariffs Jul2023'!AI78&lt;'Tariffs Jul2023'!L78,0,IF($C$5*'Tariffs Jul2023'!AK78/'Tariffs Jul2023'!AI78&lt;='Tariffs Jul2023'!M78,($C$5*'Tariffs Jul2023'!AK78/'Tariffs Jul2023'!AI78-'Tariffs Jul2023'!L78)*('Tariffs Jul2023'!R78/100)*'Tariffs Jul2023'!AI78,('Tariffs Jul2023'!M78-'Tariffs Jul2023'!L78)*('Tariffs Jul2023'!R78/100)*'Tariffs Jul2023'!AI78))</f>
        <v>0</v>
      </c>
      <c r="I84" s="69">
        <f>IF(($C$5*'Tariffs Jul2023'!AK78/'Tariffs Jul2023'!AI78&gt;'Tariffs Jul2023'!M78),($C$5*'Tariffs Jul2023'!AK78/'Tariffs Jul2023'!AI78-'Tariffs Jul2023'!M78)*'Tariffs Jul2023'!S78/100*'Tariffs Jul2023'!AI78,0)</f>
        <v>511.36363636363632</v>
      </c>
      <c r="J84" s="69">
        <f>IF($C$5*'Tariffs Jul2023'!AL78/'Tariffs Jul2023'!AJ78&gt;='Tariffs Jul2023'!J78,('Tariffs Jul2023'!J78*'Tariffs Jul2023'!U78/100)* 'Tariffs Jul2023'!AJ78,($C$5*'Tariffs Jul2023'!AL78/'Tariffs Jul2023'!AJ78*'Tariffs Jul2023'!U78/100)* 'Tariffs Jul2023'!AJ78)</f>
        <v>266.49</v>
      </c>
      <c r="K84" s="69">
        <f>IF($C$5*'Tariffs Jul2023'!AL78/'Tariffs Jul2023'!AJ78&lt;'Tariffs Jul2023'!J78,0,IF($C$5*'Tariffs Jul2023'!AL78/'Tariffs Jul2023'!AJ78&lt;='Tariffs Jul2023'!K78,($C$5*'Tariffs Jul2023'!AL78/'Tariffs Jul2023'!AJ78-'Tariffs Jul2023'!J78)*('Tariffs Jul2023'!V78/100)*'Tariffs Jul2023'!AJ78,('Tariffs Jul2023'!K78-'Tariffs Jul2023'!J78)*('Tariffs Jul2023'!V78/100)*'Tariffs Jul2023'!AJ78))</f>
        <v>0</v>
      </c>
      <c r="L84" s="69">
        <f>IF($C$5*'Tariffs Jul2023'!AL78/'Tariffs Jul2023'!AJ78&lt;'Tariffs Jul2023'!K78,0,IF($C$5*'Tariffs Jul2023'!AL78/'Tariffs Jul2023'!AJ78&lt;='Tariffs Jul2023'!L78,($C$5*'Tariffs Jul2023'!AL78/'Tariffs Jul2023'!AJ78-'Tariffs Jul2023'!K78)*('Tariffs Jul2023'!W78/100)*'Tariffs Jul2023'!AJ78,('Tariffs Jul2023'!L78-'Tariffs Jul2023'!K78)*('Tariffs Jul2023'!W78/100)*'Tariffs Jul2023'!AJ78))</f>
        <v>0</v>
      </c>
      <c r="M84" s="69">
        <f>IF($C$5*'Tariffs Jul2023'!AL78/'Tariffs Jul2023'!AJ78&lt;'Tariffs Jul2023'!L78,0,IF($C$5*'Tariffs Jul2023'!AL78/'Tariffs Jul2023'!AJ78&lt;='Tariffs Jul2023'!M78,($C$5*'Tariffs Jul2023'!AL78/'Tariffs Jul2023'!AJ78-'Tariffs Jul2023'!L78)*('Tariffs Jul2023'!X78/100)*'Tariffs Jul2023'!AJ78,('Tariffs Jul2023'!M78-'Tariffs Jul2023'!L78)*('Tariffs Jul2023'!X78/100)*'Tariffs Jul2023'!AJ78))</f>
        <v>0</v>
      </c>
      <c r="N84" s="69">
        <f>IF(($C$5*'Tariffs Jul2023'!AL78/'Tariffs Jul2023'!AJ78&gt;'Tariffs Jul2023'!M78),($C$5*'Tariffs Jul2023'!AL78/'Tariffs Jul2023'!AJ78-'Tariffs Jul2023'!M78)*'Tariffs Jul2023'!Y78/100*'Tariffs Jul2023'!AJ78,0)</f>
        <v>1059.5454545454543</v>
      </c>
      <c r="O84" s="59">
        <f t="shared" si="1"/>
        <v>2099.2690909090907</v>
      </c>
      <c r="P84" s="503">
        <f t="shared" si="2"/>
        <v>2309.1959999999999</v>
      </c>
      <c r="Q84" s="59">
        <f t="shared" si="3"/>
        <v>2354.7690909090907</v>
      </c>
      <c r="R84" s="272">
        <f t="shared" si="4"/>
        <v>2590.2460000000001</v>
      </c>
      <c r="S84" s="40">
        <f>'Tariffs Jul2023'!AN78</f>
        <v>0</v>
      </c>
      <c r="T84" s="40">
        <f>'Tariffs Jul2023'!AO78</f>
        <v>0</v>
      </c>
      <c r="U84" s="40">
        <f>'Tariffs Jul2023'!AP78</f>
        <v>0</v>
      </c>
      <c r="V84" s="637">
        <f>'Tariffs Jul2023'!AQ78</f>
        <v>0</v>
      </c>
      <c r="W84" s="578" t="str">
        <f t="shared" si="112"/>
        <v>No discount</v>
      </c>
      <c r="X84" s="538" t="str">
        <f t="shared" si="113"/>
        <v>Exclusive</v>
      </c>
      <c r="Y84" s="535">
        <f t="shared" si="118"/>
        <v>2354.7690909090907</v>
      </c>
      <c r="Z84" s="535">
        <f t="shared" si="119"/>
        <v>2354.7690909090907</v>
      </c>
      <c r="AA84" s="542">
        <f t="shared" ref="AA84:AB105" si="120">Y84*1.1</f>
        <v>2590.2460000000001</v>
      </c>
      <c r="AB84" s="609">
        <f t="shared" si="120"/>
        <v>2590.2460000000001</v>
      </c>
      <c r="AC84" s="625"/>
      <c r="AD84" s="625"/>
      <c r="AE84" s="625"/>
      <c r="AF84" s="625"/>
      <c r="AG84" s="625"/>
      <c r="AH84" s="625"/>
      <c r="AI84" s="625"/>
      <c r="AJ84" s="625"/>
      <c r="AK84" s="625"/>
      <c r="AL84" s="625"/>
      <c r="AM84" s="625"/>
      <c r="AN84" s="625"/>
      <c r="AO84" s="625"/>
      <c r="AP84" s="625"/>
      <c r="AQ84" s="625"/>
      <c r="AR84" s="625"/>
      <c r="AS84" s="625"/>
      <c r="AT84" s="625"/>
    </row>
    <row r="85" spans="1:46" ht="14" x14ac:dyDescent="0.15">
      <c r="A85" s="270" t="str">
        <f>'Tariffs Jul2023'!F79</f>
        <v>CovaU</v>
      </c>
      <c r="B85" s="40" t="str">
        <f>'Tariffs Jul2023'!D79</f>
        <v>AGN Central 1</v>
      </c>
      <c r="C85" s="40" t="str">
        <f>'Tariffs Jul2023'!G79</f>
        <v>Super Saver</v>
      </c>
      <c r="D85" s="59">
        <f>365*'Tariffs Jul2023'!H79/100</f>
        <v>256.4622727272727</v>
      </c>
      <c r="E85" s="59">
        <f>IF($C$5*'Tariffs Jul2023'!AK79/'Tariffs Jul2023'!AI79&gt;='Tariffs Jul2023'!J79,( 'Tariffs Jul2023'!J79*'Tariffs Jul2023'!O79/100)* 'Tariffs Jul2023'!AI79,($C$5*'Tariffs Jul2023'!AK79/'Tariffs Jul2023'!AI79*'Tariffs Jul2023'!O79/100)* 'Tariffs Jul2023'!AI79)</f>
        <v>158.36863636363631</v>
      </c>
      <c r="F85" s="59">
        <f>IF($C$5*'Tariffs Jul2023'!AK79/'Tariffs Jul2023'!AI79&lt;'Tariffs Jul2023'!J79,0,IF($C$5*'Tariffs Jul2023'!AK79/'Tariffs Jul2023'!AI79&lt;='Tariffs Jul2023'!K79,($C$5*'Tariffs Jul2023'!AK79/'Tariffs Jul2023'!AI79-'Tariffs Jul2023'!J79)*('Tariffs Jul2023'!P79/100)*'Tariffs Jul2023'!AI79,('Tariffs Jul2023'!K79-'Tariffs Jul2023'!J79)*('Tariffs Jul2023'!P79/100)*'Tariffs Jul2023'!AI79))</f>
        <v>124.16727272727272</v>
      </c>
      <c r="G85" s="59">
        <f>IF($C$5*'Tariffs Jul2023'!AK79/'Tariffs Jul2023'!AI79&lt;'Tariffs Jul2023'!K79,0,IF($C$5*'Tariffs Jul2023'!AK79/'Tariffs Jul2023'!AI79&lt;='Tariffs Jul2023'!L79,($C$5*'Tariffs Jul2023'!AK79/'Tariffs Jul2023'!AI79-'Tariffs Jul2023'!K79)*('Tariffs Jul2023'!Q79/100)*'Tariffs Jul2023'!AI79,('Tariffs Jul2023'!L79-'Tariffs Jul2023'!K79)*('Tariffs Jul2023'!Q79/100)*'Tariffs Jul2023'!AI79))</f>
        <v>0</v>
      </c>
      <c r="H85" s="59">
        <f>IF($C$5*'Tariffs Jul2023'!AK79/'Tariffs Jul2023'!AI79&lt;'Tariffs Jul2023'!L79,0,IF($C$5*'Tariffs Jul2023'!AK79/'Tariffs Jul2023'!AI79&lt;='Tariffs Jul2023'!M79,($C$5*'Tariffs Jul2023'!AK79/'Tariffs Jul2023'!AI79-'Tariffs Jul2023'!L79)*('Tariffs Jul2023'!R79/100)*'Tariffs Jul2023'!AI79,('Tariffs Jul2023'!M79-'Tariffs Jul2023'!L79)*('Tariffs Jul2023'!R79/100)*'Tariffs Jul2023'!AI79))</f>
        <v>0</v>
      </c>
      <c r="I85" s="69">
        <f>IF(($C$5*'Tariffs Jul2023'!AK79/'Tariffs Jul2023'!AI79&gt;'Tariffs Jul2023'!M79),($C$5*'Tariffs Jul2023'!AK79/'Tariffs Jul2023'!AI79-'Tariffs Jul2023'!M79)*'Tariffs Jul2023'!S79/100*'Tariffs Jul2023'!AI79,0)</f>
        <v>465.74999999999989</v>
      </c>
      <c r="J85" s="69">
        <f>IF($C$5*'Tariffs Jul2023'!AL79/'Tariffs Jul2023'!AJ79&gt;='Tariffs Jul2023'!J79,('Tariffs Jul2023'!J79*'Tariffs Jul2023'!U79/100)* 'Tariffs Jul2023'!AJ79,($C$5*'Tariffs Jul2023'!AL79/'Tariffs Jul2023'!AJ79*'Tariffs Jul2023'!U79/100)* 'Tariffs Jul2023'!AJ79)</f>
        <v>158.36863636363631</v>
      </c>
      <c r="K85" s="69">
        <f>IF($C$5*'Tariffs Jul2023'!AL79/'Tariffs Jul2023'!AJ79&lt;'Tariffs Jul2023'!J79,0,IF($C$5*'Tariffs Jul2023'!AL79/'Tariffs Jul2023'!AJ79&lt;='Tariffs Jul2023'!K79,($C$5*'Tariffs Jul2023'!AL79/'Tariffs Jul2023'!AJ79-'Tariffs Jul2023'!J79)*('Tariffs Jul2023'!V79/100)*'Tariffs Jul2023'!AJ79,('Tariffs Jul2023'!K79-'Tariffs Jul2023'!J79)*('Tariffs Jul2023'!V79/100)*'Tariffs Jul2023'!AJ79))</f>
        <v>124.16727272727272</v>
      </c>
      <c r="L85" s="69">
        <f>IF($C$5*'Tariffs Jul2023'!AL79/'Tariffs Jul2023'!AJ79&lt;'Tariffs Jul2023'!K79,0,IF($C$5*'Tariffs Jul2023'!AL79/'Tariffs Jul2023'!AJ79&lt;='Tariffs Jul2023'!L79,($C$5*'Tariffs Jul2023'!AL79/'Tariffs Jul2023'!AJ79-'Tariffs Jul2023'!K79)*('Tariffs Jul2023'!W79/100)*'Tariffs Jul2023'!AJ79,('Tariffs Jul2023'!L79-'Tariffs Jul2023'!K79)*('Tariffs Jul2023'!W79/100)*'Tariffs Jul2023'!AJ79))</f>
        <v>0</v>
      </c>
      <c r="M85" s="69">
        <f>IF($C$5*'Tariffs Jul2023'!AL79/'Tariffs Jul2023'!AJ79&lt;'Tariffs Jul2023'!L79,0,IF($C$5*'Tariffs Jul2023'!AL79/'Tariffs Jul2023'!AJ79&lt;='Tariffs Jul2023'!M79,($C$5*'Tariffs Jul2023'!AL79/'Tariffs Jul2023'!AJ79-'Tariffs Jul2023'!L79)*('Tariffs Jul2023'!X79/100)*'Tariffs Jul2023'!AJ79,('Tariffs Jul2023'!M79-'Tariffs Jul2023'!L79)*('Tariffs Jul2023'!X79/100)*'Tariffs Jul2023'!AJ79))</f>
        <v>0</v>
      </c>
      <c r="N85" s="69">
        <f>IF(($C$5*'Tariffs Jul2023'!AL79/'Tariffs Jul2023'!AJ79&gt;'Tariffs Jul2023'!M79),($C$5*'Tariffs Jul2023'!AL79/'Tariffs Jul2023'!AJ79-'Tariffs Jul2023'!M79)*'Tariffs Jul2023'!Y79/100*'Tariffs Jul2023'!AJ79,0)</f>
        <v>465.74999999999989</v>
      </c>
      <c r="O85" s="59">
        <f t="shared" ref="O85:O87" si="121">SUM(E85:N85)</f>
        <v>1496.5718181818179</v>
      </c>
      <c r="P85" s="503">
        <f t="shared" ref="P85" si="122">O85*1.1</f>
        <v>1646.2289999999998</v>
      </c>
      <c r="Q85" s="59">
        <f t="shared" ref="Q85" si="123">D85+O85</f>
        <v>1753.0340909090905</v>
      </c>
      <c r="R85" s="272">
        <f t="shared" ref="R85" si="124">Q85*1.1</f>
        <v>1928.3374999999996</v>
      </c>
      <c r="S85" s="40">
        <f>'Tariffs Jul2023'!AN79</f>
        <v>0</v>
      </c>
      <c r="T85" s="40">
        <f>'Tariffs Jul2023'!AO79</f>
        <v>0</v>
      </c>
      <c r="U85" s="40">
        <f>'Tariffs Jul2023'!AP79</f>
        <v>0</v>
      </c>
      <c r="V85" s="637">
        <f>'Tariffs Jul2023'!AQ79</f>
        <v>0</v>
      </c>
      <c r="W85" s="578" t="str">
        <f t="shared" ref="W85" si="125">IF(SUM(S85:V85)=0,"No discount",IF(S85&gt;0,"Guaranteed off bill",IF(T85&gt;0,"Guaranteed off usage",IF(U85&gt;0,"Pay-on-time off bill","Pay-on-time off usage"))))</f>
        <v>No discount</v>
      </c>
      <c r="X85" s="538" t="str">
        <f t="shared" ref="X85" si="126">IF(OR(A85="Origin Energy",A85="Red Energy",A85="Powershop"),"Inclusive","Exclusive")</f>
        <v>Exclusive</v>
      </c>
      <c r="Y85" s="535">
        <f t="shared" ref="Y85" si="127">IF(AND(W85="Guaranteed off bill",X85="Inclusive"),((Q85*1.1)-((Q85*1.1)*S85/100))/1.1,IF(AND(W85="Guaranteed off usage",X85="Inclusive"),((Q85*1.1)-((P85*1.1)*T85/100))/1.1,IF(AND(W85="Guaranteed off bill",X85="Exclusive"),Q85-(Q85*S85/100),IF(AND(W85="Guaranteed off usage",X85="Exclusive"),Q85-(P85*T85/100),IF(X85="Inclusive",((Q85*1.1))/1.1,Q85)))))</f>
        <v>1753.0340909090905</v>
      </c>
      <c r="Z85" s="535">
        <f t="shared" ref="Z85" si="128">IF(AND(W85="Pay-on-time off bill",X85="Inclusive"),((Y85*1.1)-((Y85*1.1)*U85/100))/1.1,IF(AND(W85="Pay-on-time off usage",X85="Inclusive"),((Y85*1.1)-((P85*1.1)*V85/100))/1.1,IF(AND(W85="Pay-on-time off bill",X85="Exclusive"),Y85-(Y85*U85/100),IF(AND(W85="Pay-on-time off usage",X85="Exclusive"),Y85-(P85*V85/100),IF(X85="Inclusive",((Y85*1.1))/1.1,Y85)))))</f>
        <v>1753.0340909090905</v>
      </c>
      <c r="AA85" s="542">
        <f t="shared" ref="AA85" si="129">Y85*1.1</f>
        <v>1928.3374999999996</v>
      </c>
      <c r="AB85" s="609">
        <f t="shared" ref="AB85" si="130">Z85*1.1</f>
        <v>1928.3374999999996</v>
      </c>
      <c r="AC85" s="625"/>
      <c r="AD85" s="625"/>
      <c r="AE85" s="625"/>
      <c r="AF85" s="625"/>
      <c r="AG85" s="625"/>
      <c r="AH85" s="625"/>
      <c r="AI85" s="625"/>
      <c r="AJ85" s="625"/>
      <c r="AK85" s="625"/>
      <c r="AL85" s="625"/>
      <c r="AM85" s="625"/>
      <c r="AN85" s="625"/>
      <c r="AO85" s="625"/>
      <c r="AP85" s="625"/>
      <c r="AQ85" s="625"/>
      <c r="AR85" s="625"/>
      <c r="AS85" s="625"/>
      <c r="AT85" s="625"/>
    </row>
    <row r="86" spans="1:46" ht="14" x14ac:dyDescent="0.15">
      <c r="A86" s="270" t="str">
        <f>'Tariffs Jul2023'!F80</f>
        <v>Powershop</v>
      </c>
      <c r="B86" s="40" t="str">
        <f>'Tariffs Jul2023'!D80</f>
        <v>AGN Central 1</v>
      </c>
      <c r="C86" s="40" t="str">
        <f>'Tariffs Jul2023'!G80</f>
        <v>Carbon Neutral</v>
      </c>
      <c r="D86" s="59">
        <f>365*'Tariffs Jul2023'!H80/100</f>
        <v>312.73863636363632</v>
      </c>
      <c r="E86" s="59">
        <f>((C$5*'Tariffs Jul2023'!AK80/'Tariffs Jul2023'!AI80)*('Tariffs Jul2023'!O80/100))*'Tariffs Jul2023'!AI80</f>
        <v>1005.1363636363635</v>
      </c>
      <c r="F86" s="59">
        <v>0</v>
      </c>
      <c r="G86" s="59">
        <v>0</v>
      </c>
      <c r="H86" s="59">
        <v>0</v>
      </c>
      <c r="I86" s="69">
        <v>0</v>
      </c>
      <c r="J86" s="69">
        <f>((C$5*'Tariffs Jul2023'!AL80/'Tariffs Jul2023'!AJ80)*('Tariffs Jul2023'!U80/100))*'Tariffs Jul2023'!AJ80</f>
        <v>1005.1363636363635</v>
      </c>
      <c r="K86" s="69">
        <v>0</v>
      </c>
      <c r="L86" s="69">
        <v>0</v>
      </c>
      <c r="M86" s="69">
        <v>0</v>
      </c>
      <c r="N86" s="69">
        <v>0</v>
      </c>
      <c r="O86" s="59">
        <f t="shared" si="121"/>
        <v>2010.272727272727</v>
      </c>
      <c r="P86" s="503">
        <f t="shared" ref="P86:P87" si="131">O86*1.1</f>
        <v>2211.2999999999997</v>
      </c>
      <c r="Q86" s="59">
        <f t="shared" ref="Q86:Q87" si="132">D86+O86</f>
        <v>2323.0113636363635</v>
      </c>
      <c r="R86" s="272">
        <f t="shared" ref="R86:R87" si="133">Q86*1.1</f>
        <v>2555.3125</v>
      </c>
      <c r="S86" s="40">
        <f>'Tariffs Jul2023'!AN80</f>
        <v>0</v>
      </c>
      <c r="T86" s="40">
        <f>'Tariffs Jul2023'!AO80</f>
        <v>0</v>
      </c>
      <c r="U86" s="40">
        <f>'Tariffs Jul2023'!AP80</f>
        <v>0</v>
      </c>
      <c r="V86" s="637">
        <f>'Tariffs Jul2023'!AQ80</f>
        <v>0</v>
      </c>
      <c r="W86" s="578" t="str">
        <f t="shared" ref="W86:W87" si="134">IF(SUM(S86:V86)=0,"No discount",IF(S86&gt;0,"Guaranteed off bill",IF(T86&gt;0,"Guaranteed off usage",IF(U86&gt;0,"Pay-on-time off bill","Pay-on-time off usage"))))</f>
        <v>No discount</v>
      </c>
      <c r="X86" s="538" t="str">
        <f t="shared" ref="X86:X87" si="135">IF(OR(A86="Origin Energy",A86="Red Energy",A86="Powershop"),"Inclusive","Exclusive")</f>
        <v>Inclusive</v>
      </c>
      <c r="Y86" s="535">
        <f t="shared" ref="Y86:Y87" si="136">IF(AND(W86="Guaranteed off bill",X86="Inclusive"),((Q86*1.1)-((Q86*1.1)*S86/100))/1.1,IF(AND(W86="Guaranteed off usage",X86="Inclusive"),((Q86*1.1)-((P86*1.1)*T86/100))/1.1,IF(AND(W86="Guaranteed off bill",X86="Exclusive"),Q86-(Q86*S86/100),IF(AND(W86="Guaranteed off usage",X86="Exclusive"),Q86-(P86*T86/100),IF(X86="Inclusive",((Q86*1.1))/1.1,Q86)))))</f>
        <v>2323.0113636363635</v>
      </c>
      <c r="Z86" s="535">
        <f t="shared" ref="Z86:Z87" si="137">IF(AND(W86="Pay-on-time off bill",X86="Inclusive"),((Y86*1.1)-((Y86*1.1)*U86/100))/1.1,IF(AND(W86="Pay-on-time off usage",X86="Inclusive"),((Y86*1.1)-((P86*1.1)*V86/100))/1.1,IF(AND(W86="Pay-on-time off bill",X86="Exclusive"),Y86-(Y86*U86/100),IF(AND(W86="Pay-on-time off usage",X86="Exclusive"),Y86-(P86*V86/100),IF(X86="Inclusive",((Y86*1.1))/1.1,Y86)))))</f>
        <v>2323.0113636363635</v>
      </c>
      <c r="AA86" s="542">
        <f t="shared" ref="AA86:AA87" si="138">Y86*1.1</f>
        <v>2555.3125</v>
      </c>
      <c r="AB86" s="609">
        <f t="shared" ref="AB86:AB87" si="139">Z86*1.1</f>
        <v>2555.3125</v>
      </c>
      <c r="AC86" s="625"/>
      <c r="AD86" s="625"/>
      <c r="AE86" s="625"/>
      <c r="AF86" s="625"/>
      <c r="AG86" s="625"/>
      <c r="AH86" s="625"/>
      <c r="AI86" s="625"/>
      <c r="AJ86" s="625"/>
      <c r="AK86" s="625"/>
      <c r="AL86" s="625"/>
      <c r="AM86" s="625"/>
      <c r="AN86" s="625"/>
      <c r="AO86" s="625"/>
      <c r="AP86" s="625"/>
      <c r="AQ86" s="625"/>
      <c r="AR86" s="625"/>
      <c r="AS86" s="625"/>
      <c r="AT86" s="625"/>
    </row>
    <row r="87" spans="1:46" ht="15" thickBot="1" x14ac:dyDescent="0.2">
      <c r="A87" s="276" t="str">
        <f>'Tariffs Jul2023'!F81</f>
        <v>Kogan</v>
      </c>
      <c r="B87" s="277" t="str">
        <f>'Tariffs Jul2023'!D81</f>
        <v>AGN Central 1</v>
      </c>
      <c r="C87" s="277" t="str">
        <f>'Tariffs Jul2023'!G81</f>
        <v>First</v>
      </c>
      <c r="D87" s="278">
        <f>365*'Tariffs Jul2023'!H81/100</f>
        <v>312.73863636363632</v>
      </c>
      <c r="E87" s="278">
        <f>((C$5*'Tariffs Jul2023'!AK81/'Tariffs Jul2023'!AI81)*('Tariffs Jul2023'!O81/100))*'Tariffs Jul2023'!AI81</f>
        <v>1005.1363636363635</v>
      </c>
      <c r="F87" s="278">
        <v>0</v>
      </c>
      <c r="G87" s="278">
        <v>0</v>
      </c>
      <c r="H87" s="278">
        <v>0</v>
      </c>
      <c r="I87" s="547">
        <v>0</v>
      </c>
      <c r="J87" s="547">
        <f>((C$5*'Tariffs Jul2023'!AL81/'Tariffs Jul2023'!AJ81)*('Tariffs Jul2023'!U81/100))*'Tariffs Jul2023'!AJ81</f>
        <v>1005.1363636363635</v>
      </c>
      <c r="K87" s="547">
        <v>0</v>
      </c>
      <c r="L87" s="547">
        <v>0</v>
      </c>
      <c r="M87" s="547">
        <v>0</v>
      </c>
      <c r="N87" s="547">
        <v>0</v>
      </c>
      <c r="O87" s="278">
        <f t="shared" si="121"/>
        <v>2010.272727272727</v>
      </c>
      <c r="P87" s="504">
        <f t="shared" si="131"/>
        <v>2211.2999999999997</v>
      </c>
      <c r="Q87" s="278">
        <f t="shared" si="132"/>
        <v>2323.0113636363635</v>
      </c>
      <c r="R87" s="280">
        <f t="shared" si="133"/>
        <v>2555.3125</v>
      </c>
      <c r="S87" s="277">
        <f>'Tariffs Jul2023'!AN81</f>
        <v>0</v>
      </c>
      <c r="T87" s="277">
        <f>'Tariffs Jul2023'!AO81</f>
        <v>0</v>
      </c>
      <c r="U87" s="277">
        <f>'Tariffs Jul2023'!AP81</f>
        <v>0</v>
      </c>
      <c r="V87" s="638">
        <f>'Tariffs Jul2023'!AQ81</f>
        <v>0</v>
      </c>
      <c r="W87" s="585" t="str">
        <f t="shared" si="134"/>
        <v>No discount</v>
      </c>
      <c r="X87" s="541" t="str">
        <f t="shared" si="135"/>
        <v>Exclusive</v>
      </c>
      <c r="Y87" s="544">
        <f t="shared" si="136"/>
        <v>2323.0113636363635</v>
      </c>
      <c r="Z87" s="544">
        <f t="shared" si="137"/>
        <v>2323.0113636363635</v>
      </c>
      <c r="AA87" s="545">
        <f t="shared" si="138"/>
        <v>2555.3125</v>
      </c>
      <c r="AB87" s="610">
        <f t="shared" si="139"/>
        <v>2555.3125</v>
      </c>
      <c r="AC87" s="625"/>
      <c r="AD87" s="625"/>
      <c r="AE87" s="625"/>
      <c r="AF87" s="625"/>
      <c r="AG87" s="625"/>
      <c r="AH87" s="625"/>
      <c r="AI87" s="625"/>
      <c r="AJ87" s="625"/>
      <c r="AK87" s="625"/>
      <c r="AL87" s="625"/>
      <c r="AM87" s="625"/>
      <c r="AN87" s="625"/>
      <c r="AO87" s="625"/>
      <c r="AP87" s="625"/>
      <c r="AQ87" s="625"/>
      <c r="AR87" s="625"/>
      <c r="AS87" s="625"/>
      <c r="AT87" s="625"/>
    </row>
    <row r="88" spans="1:46" ht="15" thickTop="1" x14ac:dyDescent="0.15">
      <c r="A88" s="270" t="str">
        <f>'Tariffs Jul2023'!F82</f>
        <v>AGL</v>
      </c>
      <c r="B88" s="40" t="str">
        <f>'Tariffs Jul2023'!D82</f>
        <v>AusNet Services West</v>
      </c>
      <c r="C88" s="40" t="str">
        <f>'Tariffs Jul2023'!G82</f>
        <v>Value Saver</v>
      </c>
      <c r="D88" s="59">
        <f>365*'Tariffs Jul2023'!H82/100</f>
        <v>338.18909090909091</v>
      </c>
      <c r="E88" s="59">
        <f>IF($C$5*'Tariffs Jul2023'!AK82/'Tariffs Jul2023'!AI82&gt;='Tariffs Jul2023'!J82,( 'Tariffs Jul2023'!J82*'Tariffs Jul2023'!O82/100)* 'Tariffs Jul2023'!AI82,($C$5*'Tariffs Jul2023'!AK82/'Tariffs Jul2023'!AI82*'Tariffs Jul2023'!O82/100)* 'Tariffs Jul2023'!AI82)</f>
        <v>322.90909090909082</v>
      </c>
      <c r="F88" s="59">
        <f>IF($C$5*'Tariffs Jul2023'!AK82/'Tariffs Jul2023'!AI82&lt;'Tariffs Jul2023'!J82,0,IF($C$5*'Tariffs Jul2023'!AK82/'Tariffs Jul2023'!AI82&lt;='Tariffs Jul2023'!K82,($C$5*'Tariffs Jul2023'!AK82/'Tariffs Jul2023'!AI82-'Tariffs Jul2023'!J82)*('Tariffs Jul2023'!P82/100)*'Tariffs Jul2023'!AI82,('Tariffs Jul2023'!K82-'Tariffs Jul2023'!J82)*('Tariffs Jul2023'!P82/100)*'Tariffs Jul2023'!AI82))</f>
        <v>234.76339090909082</v>
      </c>
      <c r="G88" s="59">
        <f>IF($C$5*'Tariffs Jul2023'!AK82/'Tariffs Jul2023'!AI82&lt;'Tariffs Jul2023'!K82,0,IF($C$5*'Tariffs Jul2023'!AK82/'Tariffs Jul2023'!AI82&lt;='Tariffs Jul2023'!L82,($C$5*'Tariffs Jul2023'!AK82/'Tariffs Jul2023'!AI82-'Tariffs Jul2023'!K82)*('Tariffs Jul2023'!Q82/100)*'Tariffs Jul2023'!AI82,('Tariffs Jul2023'!L82-'Tariffs Jul2023'!K82)*('Tariffs Jul2023'!Q82/100)*'Tariffs Jul2023'!AI82))</f>
        <v>0</v>
      </c>
      <c r="H88" s="59">
        <f>IF($C$5*'Tariffs Jul2023'!AK82/'Tariffs Jul2023'!AI82&lt;'Tariffs Jul2023'!L82,0,IF($C$5*'Tariffs Jul2023'!AK82/'Tariffs Jul2023'!AI82&lt;='Tariffs Jul2023'!M82,($C$5*'Tariffs Jul2023'!AK82/'Tariffs Jul2023'!AI82-'Tariffs Jul2023'!L82)*('Tariffs Jul2023'!R82/100)*'Tariffs Jul2023'!AI82,('Tariffs Jul2023'!M82-'Tariffs Jul2023'!L82)*('Tariffs Jul2023'!R82/100)*'Tariffs Jul2023'!AI82))</f>
        <v>0</v>
      </c>
      <c r="I88" s="69">
        <f>IF(($C$5*'Tariffs Jul2023'!AK82/'Tariffs Jul2023'!AI82&gt;'Tariffs Jul2023'!M82),($C$5*'Tariffs Jul2023'!AK82/'Tariffs Jul2023'!AI82-'Tariffs Jul2023'!M82)*'Tariffs Jul2023'!S82/100*'Tariffs Jul2023'!AI82,0)</f>
        <v>0</v>
      </c>
      <c r="J88" s="69">
        <f>IF($C$5*'Tariffs Jul2023'!AL82/'Tariffs Jul2023'!AJ82&gt;='Tariffs Jul2023'!J82,('Tariffs Jul2023'!J82*'Tariffs Jul2023'!U82/100)* 'Tariffs Jul2023'!AJ82,($C$5*'Tariffs Jul2023'!AL82/'Tariffs Jul2023'!AJ82*'Tariffs Jul2023'!U82/100)* 'Tariffs Jul2023'!AJ82)</f>
        <v>597.81818181818176</v>
      </c>
      <c r="K88" s="69">
        <f>IF($C$5*'Tariffs Jul2023'!AL82/'Tariffs Jul2023'!AJ82&lt;'Tariffs Jul2023'!J82,0,IF($C$5*'Tariffs Jul2023'!AL82/'Tariffs Jul2023'!AJ82&lt;='Tariffs Jul2023'!K82,($C$5*'Tariffs Jul2023'!AL82/'Tariffs Jul2023'!AJ82-'Tariffs Jul2023'!J82)*('Tariffs Jul2023'!V82/100)*'Tariffs Jul2023'!AJ82,('Tariffs Jul2023'!K82-'Tariffs Jul2023'!J82)*('Tariffs Jul2023'!V82/100)*'Tariffs Jul2023'!AJ82))</f>
        <v>369.73189090909079</v>
      </c>
      <c r="L88" s="69">
        <f>IF($C$5*'Tariffs Jul2023'!AL82/'Tariffs Jul2023'!AJ82&lt;'Tariffs Jul2023'!K82,0,IF($C$5*'Tariffs Jul2023'!AL82/'Tariffs Jul2023'!AJ82&lt;='Tariffs Jul2023'!L82,($C$5*'Tariffs Jul2023'!AL82/'Tariffs Jul2023'!AJ82-'Tariffs Jul2023'!K82)*('Tariffs Jul2023'!W82/100)*'Tariffs Jul2023'!AJ82,('Tariffs Jul2023'!L82-'Tariffs Jul2023'!K82)*('Tariffs Jul2023'!W82/100)*'Tariffs Jul2023'!AJ82))</f>
        <v>0</v>
      </c>
      <c r="M88" s="69">
        <f>IF($C$5*'Tariffs Jul2023'!AL82/'Tariffs Jul2023'!AJ82&lt;'Tariffs Jul2023'!L82,0,IF($C$5*'Tariffs Jul2023'!AL82/'Tariffs Jul2023'!AJ82&lt;='Tariffs Jul2023'!M82,($C$5*'Tariffs Jul2023'!AL82/'Tariffs Jul2023'!AJ82-'Tariffs Jul2023'!L82)*('Tariffs Jul2023'!X82/100)*'Tariffs Jul2023'!AJ82,('Tariffs Jul2023'!M82-'Tariffs Jul2023'!L82)*('Tariffs Jul2023'!X82/100)*'Tariffs Jul2023'!AJ82))</f>
        <v>0</v>
      </c>
      <c r="N88" s="69">
        <f>IF(($C$5*'Tariffs Jul2023'!AL82/'Tariffs Jul2023'!AJ82&gt;'Tariffs Jul2023'!M82),($C$5*'Tariffs Jul2023'!AL82/'Tariffs Jul2023'!AJ82-'Tariffs Jul2023'!M82)*'Tariffs Jul2023'!Y82/100*'Tariffs Jul2023'!AJ82,0)</f>
        <v>0</v>
      </c>
      <c r="O88" s="59">
        <f t="shared" ref="O88:O119" si="140">SUM(E88:N88)</f>
        <v>1525.2225545454544</v>
      </c>
      <c r="P88" s="503">
        <f t="shared" ref="P88:P131" si="141">O88*1.1</f>
        <v>1677.7448099999999</v>
      </c>
      <c r="Q88" s="59">
        <f t="shared" ref="Q88:Q119" si="142">D88+O88</f>
        <v>1863.4116454545454</v>
      </c>
      <c r="R88" s="272">
        <f t="shared" ref="R88:R119" si="143">Q88*1.1</f>
        <v>2049.75281</v>
      </c>
      <c r="S88" s="40">
        <f>'Tariffs Jul2023'!AN82</f>
        <v>0</v>
      </c>
      <c r="T88" s="40">
        <f>'Tariffs Jul2023'!AO82</f>
        <v>0</v>
      </c>
      <c r="U88" s="40">
        <f>'Tariffs Jul2023'!AP82</f>
        <v>0</v>
      </c>
      <c r="V88" s="637">
        <f>'Tariffs Jul2023'!AQ82</f>
        <v>0</v>
      </c>
      <c r="W88" s="578" t="str">
        <f t="shared" si="112"/>
        <v>No discount</v>
      </c>
      <c r="X88" s="538" t="str">
        <f t="shared" si="113"/>
        <v>Exclusive</v>
      </c>
      <c r="Y88" s="535">
        <f t="shared" si="118"/>
        <v>1863.4116454545454</v>
      </c>
      <c r="Z88" s="535">
        <f t="shared" si="119"/>
        <v>1863.4116454545454</v>
      </c>
      <c r="AA88" s="542">
        <f t="shared" si="120"/>
        <v>2049.75281</v>
      </c>
      <c r="AB88" s="609">
        <f t="shared" si="120"/>
        <v>2049.75281</v>
      </c>
      <c r="AC88" s="625"/>
      <c r="AD88" s="625"/>
      <c r="AE88" s="625"/>
      <c r="AF88" s="625"/>
      <c r="AG88" s="625"/>
      <c r="AH88" s="625"/>
      <c r="AI88" s="625"/>
      <c r="AJ88" s="625"/>
      <c r="AK88" s="625"/>
      <c r="AL88" s="625"/>
      <c r="AM88" s="625"/>
      <c r="AN88" s="625"/>
      <c r="AO88" s="625"/>
      <c r="AP88" s="625"/>
      <c r="AQ88" s="625"/>
      <c r="AR88" s="625"/>
      <c r="AS88" s="625"/>
      <c r="AT88" s="625"/>
    </row>
    <row r="89" spans="1:46" ht="14" x14ac:dyDescent="0.15">
      <c r="A89" s="270" t="str">
        <f>'Tariffs Jul2023'!F83</f>
        <v>Alinta Energy</v>
      </c>
      <c r="B89" s="40" t="str">
        <f>'Tariffs Jul2023'!D83</f>
        <v>AusNet Services West</v>
      </c>
      <c r="C89" s="40" t="str">
        <f>'Tariffs Jul2023'!G83</f>
        <v>Home Deal</v>
      </c>
      <c r="D89" s="59">
        <f>365*'Tariffs Jul2023'!H83/100</f>
        <v>302.7177272727273</v>
      </c>
      <c r="E89" s="59">
        <f>IF($C$5*'Tariffs Jul2023'!AK83/'Tariffs Jul2023'!AI83&gt;='Tariffs Jul2023'!J83,( 'Tariffs Jul2023'!J83*'Tariffs Jul2023'!O83/100)* 'Tariffs Jul2023'!AI83,($C$5*'Tariffs Jul2023'!AK83/'Tariffs Jul2023'!AI83*'Tariffs Jul2023'!O83/100)* 'Tariffs Jul2023'!AI83)</f>
        <v>397.09090909090912</v>
      </c>
      <c r="F89" s="59">
        <f>IF($C$5*'Tariffs Jul2023'!AK83/'Tariffs Jul2023'!AI83&lt;'Tariffs Jul2023'!J83,0,IF($C$5*'Tariffs Jul2023'!AK83/'Tariffs Jul2023'!AI83&lt;='Tariffs Jul2023'!K83,($C$5*'Tariffs Jul2023'!AK83/'Tariffs Jul2023'!AI83-'Tariffs Jul2023'!J83)*('Tariffs Jul2023'!P83/100)*'Tariffs Jul2023'!AI83,('Tariffs Jul2023'!K83-'Tariffs Jul2023'!J83)*('Tariffs Jul2023'!P83/100)*'Tariffs Jul2023'!AI83))</f>
        <v>0</v>
      </c>
      <c r="G89" s="59">
        <f>IF($C$5*'Tariffs Jul2023'!AK83/'Tariffs Jul2023'!AI83&lt;'Tariffs Jul2023'!K83,0,IF($C$5*'Tariffs Jul2023'!AK83/'Tariffs Jul2023'!AI83&lt;='Tariffs Jul2023'!L83,($C$5*'Tariffs Jul2023'!AK83/'Tariffs Jul2023'!AI83-'Tariffs Jul2023'!K83)*('Tariffs Jul2023'!Q83/100)*'Tariffs Jul2023'!AI83,('Tariffs Jul2023'!L83-'Tariffs Jul2023'!K83)*('Tariffs Jul2023'!Q83/100)*'Tariffs Jul2023'!AI83))</f>
        <v>0</v>
      </c>
      <c r="H89" s="59">
        <f>IF($C$5*'Tariffs Jul2023'!AK83/'Tariffs Jul2023'!AI83&lt;'Tariffs Jul2023'!L83,0,IF($C$5*'Tariffs Jul2023'!AK83/'Tariffs Jul2023'!AI83&lt;='Tariffs Jul2023'!M83,($C$5*'Tariffs Jul2023'!AK83/'Tariffs Jul2023'!AI83-'Tariffs Jul2023'!L83)*('Tariffs Jul2023'!R83/100)*'Tariffs Jul2023'!AI83,('Tariffs Jul2023'!M83-'Tariffs Jul2023'!L83)*('Tariffs Jul2023'!R83/100)*'Tariffs Jul2023'!AI83))</f>
        <v>0</v>
      </c>
      <c r="I89" s="69">
        <f>IF(($C$5*'Tariffs Jul2023'!AK83/'Tariffs Jul2023'!AI83&gt;'Tariffs Jul2023'!M83),($C$5*'Tariffs Jul2023'!AK83/'Tariffs Jul2023'!AI83-'Tariffs Jul2023'!M83)*'Tariffs Jul2023'!S83/100*'Tariffs Jul2023'!AI83,0)</f>
        <v>271.57298181818169</v>
      </c>
      <c r="J89" s="69">
        <f>IF($C$5*'Tariffs Jul2023'!AL83/'Tariffs Jul2023'!AJ83&gt;='Tariffs Jul2023'!J83,('Tariffs Jul2023'!J83*'Tariffs Jul2023'!U83/100)* 'Tariffs Jul2023'!AJ83,($C$5*'Tariffs Jul2023'!AL83/'Tariffs Jul2023'!AJ83*'Tariffs Jul2023'!U83/100)* 'Tariffs Jul2023'!AJ83)</f>
        <v>693.81818181818176</v>
      </c>
      <c r="K89" s="69">
        <f>IF($C$5*'Tariffs Jul2023'!AL83/'Tariffs Jul2023'!AJ83&lt;'Tariffs Jul2023'!J83,0,IF($C$5*'Tariffs Jul2023'!AL83/'Tariffs Jul2023'!AJ83&lt;='Tariffs Jul2023'!K83,($C$5*'Tariffs Jul2023'!AL83/'Tariffs Jul2023'!AJ83-'Tariffs Jul2023'!J83)*('Tariffs Jul2023'!V83/100)*'Tariffs Jul2023'!AJ83,('Tariffs Jul2023'!K83-'Tariffs Jul2023'!J83)*('Tariffs Jul2023'!V83/100)*'Tariffs Jul2023'!AJ83))</f>
        <v>0</v>
      </c>
      <c r="L89" s="69">
        <f>IF($C$5*'Tariffs Jul2023'!AL83/'Tariffs Jul2023'!AJ83&lt;'Tariffs Jul2023'!K83,0,IF($C$5*'Tariffs Jul2023'!AL83/'Tariffs Jul2023'!AJ83&lt;='Tariffs Jul2023'!L83,($C$5*'Tariffs Jul2023'!AL83/'Tariffs Jul2023'!AJ83-'Tariffs Jul2023'!K83)*('Tariffs Jul2023'!W83/100)*'Tariffs Jul2023'!AJ83,('Tariffs Jul2023'!L83-'Tariffs Jul2023'!K83)*('Tariffs Jul2023'!W83/100)*'Tariffs Jul2023'!AJ83))</f>
        <v>0</v>
      </c>
      <c r="M89" s="69">
        <f>IF($C$5*'Tariffs Jul2023'!AL83/'Tariffs Jul2023'!AJ83&lt;'Tariffs Jul2023'!L83,0,IF($C$5*'Tariffs Jul2023'!AL83/'Tariffs Jul2023'!AJ83&lt;='Tariffs Jul2023'!M83,($C$5*'Tariffs Jul2023'!AL83/'Tariffs Jul2023'!AJ83-'Tariffs Jul2023'!L83)*('Tariffs Jul2023'!X83/100)*'Tariffs Jul2023'!AJ83,('Tariffs Jul2023'!M83-'Tariffs Jul2023'!L83)*('Tariffs Jul2023'!X83/100)*'Tariffs Jul2023'!AJ83))</f>
        <v>0</v>
      </c>
      <c r="N89" s="69">
        <f>IF(($C$5*'Tariffs Jul2023'!AL83/'Tariffs Jul2023'!AJ83&gt;'Tariffs Jul2023'!M83),($C$5*'Tariffs Jul2023'!AL83/'Tariffs Jul2023'!AJ83-'Tariffs Jul2023'!M83)*'Tariffs Jul2023'!Y83/100*'Tariffs Jul2023'!AJ83,0)</f>
        <v>420.44732727272714</v>
      </c>
      <c r="O89" s="59">
        <f t="shared" si="140"/>
        <v>1782.9293999999998</v>
      </c>
      <c r="P89" s="503">
        <f t="shared" si="141"/>
        <v>1961.2223399999998</v>
      </c>
      <c r="Q89" s="59">
        <f t="shared" si="142"/>
        <v>2085.6471272727272</v>
      </c>
      <c r="R89" s="272">
        <f t="shared" si="143"/>
        <v>2294.2118399999999</v>
      </c>
      <c r="S89" s="40">
        <f>'Tariffs Jul2023'!AN83</f>
        <v>0</v>
      </c>
      <c r="T89" s="40">
        <f>'Tariffs Jul2023'!AO83</f>
        <v>0</v>
      </c>
      <c r="U89" s="40">
        <f>'Tariffs Jul2023'!AP83</f>
        <v>0</v>
      </c>
      <c r="V89" s="637">
        <f>'Tariffs Jul2023'!AQ83</f>
        <v>0</v>
      </c>
      <c r="W89" s="578" t="str">
        <f t="shared" si="112"/>
        <v>No discount</v>
      </c>
      <c r="X89" s="538" t="str">
        <f t="shared" si="113"/>
        <v>Exclusive</v>
      </c>
      <c r="Y89" s="535">
        <f t="shared" si="118"/>
        <v>2085.6471272727272</v>
      </c>
      <c r="Z89" s="535">
        <f t="shared" si="119"/>
        <v>2085.6471272727272</v>
      </c>
      <c r="AA89" s="542">
        <f t="shared" si="120"/>
        <v>2294.2118399999999</v>
      </c>
      <c r="AB89" s="609">
        <f t="shared" si="120"/>
        <v>2294.2118399999999</v>
      </c>
      <c r="AC89" s="625"/>
      <c r="AD89" s="625"/>
      <c r="AE89" s="625"/>
      <c r="AF89" s="625"/>
      <c r="AG89" s="625"/>
      <c r="AH89" s="625"/>
      <c r="AI89" s="625"/>
      <c r="AJ89" s="625"/>
      <c r="AK89" s="625"/>
      <c r="AL89" s="625"/>
      <c r="AM89" s="625"/>
      <c r="AN89" s="625"/>
      <c r="AO89" s="625"/>
      <c r="AP89" s="625"/>
      <c r="AQ89" s="625"/>
      <c r="AR89" s="625"/>
      <c r="AS89" s="625"/>
      <c r="AT89" s="625"/>
    </row>
    <row r="90" spans="1:46" ht="14" x14ac:dyDescent="0.15">
      <c r="A90" s="270" t="str">
        <f>'Tariffs Jul2023'!F84</f>
        <v>EnergyAustralia</v>
      </c>
      <c r="B90" s="40" t="str">
        <f>'Tariffs Jul2023'!D84</f>
        <v>AusNet Services West</v>
      </c>
      <c r="C90" s="40" t="str">
        <f>'Tariffs Jul2023'!G84</f>
        <v>Flexi Plan</v>
      </c>
      <c r="D90" s="59">
        <f>365*'Tariffs Jul2023'!H84/100</f>
        <v>451.8368181818181</v>
      </c>
      <c r="E90" s="59">
        <f>IF($C$5*'Tariffs Jul2023'!AK84/'Tariffs Jul2023'!AI84&gt;='Tariffs Jul2023'!J84,( 'Tariffs Jul2023'!J84*'Tariffs Jul2023'!O84/100)* 'Tariffs Jul2023'!AI84,($C$5*'Tariffs Jul2023'!AK84/'Tariffs Jul2023'!AI84*'Tariffs Jul2023'!O84/100)* 'Tariffs Jul2023'!AI84)</f>
        <v>402.5454545454545</v>
      </c>
      <c r="F90" s="59">
        <f>IF($C$5*'Tariffs Jul2023'!AK84/'Tariffs Jul2023'!AI84&lt;'Tariffs Jul2023'!J84,0,IF($C$5*'Tariffs Jul2023'!AK84/'Tariffs Jul2023'!AI84&lt;='Tariffs Jul2023'!K84,($C$5*'Tariffs Jul2023'!AK84/'Tariffs Jul2023'!AI84-'Tariffs Jul2023'!J84)*('Tariffs Jul2023'!P84/100)*'Tariffs Jul2023'!AI84,('Tariffs Jul2023'!K84-'Tariffs Jul2023'!J84)*('Tariffs Jul2023'!P84/100)*'Tariffs Jul2023'!AI84))</f>
        <v>276.48092727272717</v>
      </c>
      <c r="G90" s="59">
        <f>IF($C$5*'Tariffs Jul2023'!AK84/'Tariffs Jul2023'!AI84&lt;'Tariffs Jul2023'!K84,0,IF($C$5*'Tariffs Jul2023'!AK84/'Tariffs Jul2023'!AI84&lt;='Tariffs Jul2023'!L84,($C$5*'Tariffs Jul2023'!AK84/'Tariffs Jul2023'!AI84-'Tariffs Jul2023'!K84)*('Tariffs Jul2023'!Q84/100)*'Tariffs Jul2023'!AI84,('Tariffs Jul2023'!L84-'Tariffs Jul2023'!K84)*('Tariffs Jul2023'!Q84/100)*'Tariffs Jul2023'!AI84))</f>
        <v>0</v>
      </c>
      <c r="H90" s="59">
        <f>IF($C$5*'Tariffs Jul2023'!AK84/'Tariffs Jul2023'!AI84&lt;'Tariffs Jul2023'!L84,0,IF($C$5*'Tariffs Jul2023'!AK84/'Tariffs Jul2023'!AI84&lt;='Tariffs Jul2023'!M84,($C$5*'Tariffs Jul2023'!AK84/'Tariffs Jul2023'!AI84-'Tariffs Jul2023'!L84)*('Tariffs Jul2023'!R84/100)*'Tariffs Jul2023'!AI84,('Tariffs Jul2023'!M84-'Tariffs Jul2023'!L84)*('Tariffs Jul2023'!R84/100)*'Tariffs Jul2023'!AI84))</f>
        <v>0</v>
      </c>
      <c r="I90" s="69">
        <f>IF(($C$5*'Tariffs Jul2023'!AK84/'Tariffs Jul2023'!AI84&gt;'Tariffs Jul2023'!M84),($C$5*'Tariffs Jul2023'!AK84/'Tariffs Jul2023'!AI84-'Tariffs Jul2023'!M84)*'Tariffs Jul2023'!S84/100*'Tariffs Jul2023'!AI84,0)</f>
        <v>0</v>
      </c>
      <c r="J90" s="69">
        <f>IF($C$5*'Tariffs Jul2023'!AL84/'Tariffs Jul2023'!AJ84&gt;='Tariffs Jul2023'!J84,('Tariffs Jul2023'!J84*'Tariffs Jul2023'!U84/100)* 'Tariffs Jul2023'!AJ84,($C$5*'Tariffs Jul2023'!AL84/'Tariffs Jul2023'!AJ84*'Tariffs Jul2023'!U84/100)* 'Tariffs Jul2023'!AJ84)</f>
        <v>663.27272727272725</v>
      </c>
      <c r="K90" s="69">
        <f>IF($C$5*'Tariffs Jul2023'!AL84/'Tariffs Jul2023'!AJ84&lt;'Tariffs Jul2023'!J84,0,IF($C$5*'Tariffs Jul2023'!AL84/'Tariffs Jul2023'!AJ84&lt;='Tariffs Jul2023'!K84,($C$5*'Tariffs Jul2023'!AL84/'Tariffs Jul2023'!AJ84-'Tariffs Jul2023'!J84)*('Tariffs Jul2023'!V84/100)*'Tariffs Jul2023'!AJ84,('Tariffs Jul2023'!K84-'Tariffs Jul2023'!J84)*('Tariffs Jul2023'!V84/100)*'Tariffs Jul2023'!AJ84))</f>
        <v>492.43052727272703</v>
      </c>
      <c r="L90" s="69">
        <f>IF($C$5*'Tariffs Jul2023'!AL84/'Tariffs Jul2023'!AJ84&lt;'Tariffs Jul2023'!K84,0,IF($C$5*'Tariffs Jul2023'!AL84/'Tariffs Jul2023'!AJ84&lt;='Tariffs Jul2023'!L84,($C$5*'Tariffs Jul2023'!AL84/'Tariffs Jul2023'!AJ84-'Tariffs Jul2023'!K84)*('Tariffs Jul2023'!W84/100)*'Tariffs Jul2023'!AJ84,('Tariffs Jul2023'!L84-'Tariffs Jul2023'!K84)*('Tariffs Jul2023'!W84/100)*'Tariffs Jul2023'!AJ84))</f>
        <v>0</v>
      </c>
      <c r="M90" s="69">
        <f>IF($C$5*'Tariffs Jul2023'!AL84/'Tariffs Jul2023'!AJ84&lt;'Tariffs Jul2023'!L84,0,IF($C$5*'Tariffs Jul2023'!AL84/'Tariffs Jul2023'!AJ84&lt;='Tariffs Jul2023'!M84,($C$5*'Tariffs Jul2023'!AL84/'Tariffs Jul2023'!AJ84-'Tariffs Jul2023'!L84)*('Tariffs Jul2023'!X84/100)*'Tariffs Jul2023'!AJ84,('Tariffs Jul2023'!M84-'Tariffs Jul2023'!L84)*('Tariffs Jul2023'!X84/100)*'Tariffs Jul2023'!AJ84))</f>
        <v>0</v>
      </c>
      <c r="N90" s="69">
        <f>IF(($C$5*'Tariffs Jul2023'!AL84/'Tariffs Jul2023'!AJ84&gt;'Tariffs Jul2023'!M84),($C$5*'Tariffs Jul2023'!AL84/'Tariffs Jul2023'!AJ84-'Tariffs Jul2023'!M84)*'Tariffs Jul2023'!Y84/100*'Tariffs Jul2023'!AJ84,0)</f>
        <v>0</v>
      </c>
      <c r="O90" s="59">
        <f>SUM(E90:N90)</f>
        <v>1834.729636363636</v>
      </c>
      <c r="P90" s="503">
        <f t="shared" si="141"/>
        <v>2018.2025999999998</v>
      </c>
      <c r="Q90" s="59">
        <f>D90+O90</f>
        <v>2286.5664545454542</v>
      </c>
      <c r="R90" s="272">
        <f>Q90*1.1</f>
        <v>2515.2230999999997</v>
      </c>
      <c r="S90" s="40">
        <f>'Tariffs Jul2023'!AN84</f>
        <v>25</v>
      </c>
      <c r="T90" s="40">
        <f>'Tariffs Jul2023'!AO84</f>
        <v>0</v>
      </c>
      <c r="U90" s="40">
        <f>'Tariffs Jul2023'!AP84</f>
        <v>0</v>
      </c>
      <c r="V90" s="637">
        <f>'Tariffs Jul2023'!AQ84</f>
        <v>0</v>
      </c>
      <c r="W90" s="578" t="str">
        <f t="shared" si="112"/>
        <v>Guaranteed off bill</v>
      </c>
      <c r="X90" s="538" t="str">
        <f t="shared" si="113"/>
        <v>Exclusive</v>
      </c>
      <c r="Y90" s="535">
        <f t="shared" si="118"/>
        <v>1714.9248409090906</v>
      </c>
      <c r="Z90" s="535">
        <f t="shared" si="119"/>
        <v>1714.9248409090906</v>
      </c>
      <c r="AA90" s="542">
        <f t="shared" si="120"/>
        <v>1886.4173249999997</v>
      </c>
      <c r="AB90" s="609">
        <f t="shared" si="120"/>
        <v>1886.4173249999997</v>
      </c>
      <c r="AC90" s="625"/>
      <c r="AD90" s="625"/>
      <c r="AE90" s="625"/>
      <c r="AF90" s="625"/>
      <c r="AG90" s="625"/>
      <c r="AH90" s="625"/>
      <c r="AI90" s="625"/>
      <c r="AJ90" s="625"/>
      <c r="AK90" s="625"/>
      <c r="AL90" s="625"/>
      <c r="AM90" s="625"/>
      <c r="AN90" s="625"/>
      <c r="AO90" s="625"/>
      <c r="AP90" s="625"/>
      <c r="AQ90" s="625"/>
      <c r="AR90" s="625"/>
      <c r="AS90" s="625"/>
      <c r="AT90" s="625"/>
    </row>
    <row r="91" spans="1:46" ht="14" x14ac:dyDescent="0.15">
      <c r="A91" s="270" t="str">
        <f>'Tariffs Jul2023'!F85</f>
        <v>Lumo Energy</v>
      </c>
      <c r="B91" s="40" t="str">
        <f>'Tariffs Jul2023'!D85</f>
        <v>AusNet Services West</v>
      </c>
      <c r="C91" s="40" t="str">
        <f>'Tariffs Jul2023'!G85</f>
        <v>Value</v>
      </c>
      <c r="D91" s="59">
        <f>365*'Tariffs Jul2023'!H85/100</f>
        <v>401.0686363636363</v>
      </c>
      <c r="E91" s="59">
        <f>IF($C$5*'Tariffs Jul2023'!AK85/'Tariffs Jul2023'!AI85&gt;='Tariffs Jul2023'!J85,( 'Tariffs Jul2023'!J85*'Tariffs Jul2023'!O85/100)* 'Tariffs Jul2023'!AI85,($C$5*'Tariffs Jul2023'!AK85/'Tariffs Jul2023'!AI85*'Tariffs Jul2023'!O85/100)* 'Tariffs Jul2023'!AI85)</f>
        <v>429.81818181818176</v>
      </c>
      <c r="F91" s="59">
        <f>IF($C$5*'Tariffs Jul2023'!AK85/'Tariffs Jul2023'!AI85&lt;'Tariffs Jul2023'!J85,0,IF($C$5*'Tariffs Jul2023'!AK85/'Tariffs Jul2023'!AI85&lt;='Tariffs Jul2023'!K85,($C$5*'Tariffs Jul2023'!AK85/'Tariffs Jul2023'!AI85-'Tariffs Jul2023'!J85)*('Tariffs Jul2023'!P85/100)*'Tariffs Jul2023'!AI85,('Tariffs Jul2023'!K85-'Tariffs Jul2023'!J85)*('Tariffs Jul2023'!P85/100)*'Tariffs Jul2023'!AI85))</f>
        <v>310.83654545454533</v>
      </c>
      <c r="G91" s="59">
        <f>IF($C$5*'Tariffs Jul2023'!AK85/'Tariffs Jul2023'!AI85&lt;'Tariffs Jul2023'!K85,0,IF($C$5*'Tariffs Jul2023'!AK85/'Tariffs Jul2023'!AI85&lt;='Tariffs Jul2023'!L85,($C$5*'Tariffs Jul2023'!AK85/'Tariffs Jul2023'!AI85-'Tariffs Jul2023'!K85)*('Tariffs Jul2023'!Q85/100)*'Tariffs Jul2023'!AI85,('Tariffs Jul2023'!L85-'Tariffs Jul2023'!K85)*('Tariffs Jul2023'!Q85/100)*'Tariffs Jul2023'!AI85))</f>
        <v>0</v>
      </c>
      <c r="H91" s="59">
        <f>IF($C$5*'Tariffs Jul2023'!AK85/'Tariffs Jul2023'!AI85&lt;'Tariffs Jul2023'!L85,0,IF($C$5*'Tariffs Jul2023'!AK85/'Tariffs Jul2023'!AI85&lt;='Tariffs Jul2023'!M85,($C$5*'Tariffs Jul2023'!AK85/'Tariffs Jul2023'!AI85-'Tariffs Jul2023'!L85)*('Tariffs Jul2023'!R85/100)*'Tariffs Jul2023'!AI85,('Tariffs Jul2023'!M85-'Tariffs Jul2023'!L85)*('Tariffs Jul2023'!R85/100)*'Tariffs Jul2023'!AI85))</f>
        <v>0</v>
      </c>
      <c r="I91" s="69">
        <f>IF(($C$5*'Tariffs Jul2023'!AK85/'Tariffs Jul2023'!AI85&gt;'Tariffs Jul2023'!M85),($C$5*'Tariffs Jul2023'!AK85/'Tariffs Jul2023'!AI85-'Tariffs Jul2023'!M85)*'Tariffs Jul2023'!S85/100*'Tariffs Jul2023'!AI85,0)</f>
        <v>0</v>
      </c>
      <c r="J91" s="69">
        <f>IF($C$5*'Tariffs Jul2023'!AL85/'Tariffs Jul2023'!AJ85&gt;='Tariffs Jul2023'!J85,('Tariffs Jul2023'!J85*'Tariffs Jul2023'!U85/100)* 'Tariffs Jul2023'!AJ85,($C$5*'Tariffs Jul2023'!AL85/'Tariffs Jul2023'!AJ85*'Tariffs Jul2023'!U85/100)* 'Tariffs Jul2023'!AJ85)</f>
        <v>715.63636363636351</v>
      </c>
      <c r="K91" s="69">
        <f>IF($C$5*'Tariffs Jul2023'!AL85/'Tariffs Jul2023'!AJ85&lt;'Tariffs Jul2023'!J85,0,IF($C$5*'Tariffs Jul2023'!AL85/'Tariffs Jul2023'!AJ85&lt;='Tariffs Jul2023'!K85,($C$5*'Tariffs Jul2023'!AL85/'Tariffs Jul2023'!AJ85-'Tariffs Jul2023'!J85)*('Tariffs Jul2023'!V85/100)*'Tariffs Jul2023'!AJ85,('Tariffs Jul2023'!K85-'Tariffs Jul2023'!J85)*('Tariffs Jul2023'!V85/100)*'Tariffs Jul2023'!AJ85))</f>
        <v>428.62723636363626</v>
      </c>
      <c r="L91" s="69">
        <f>IF($C$5*'Tariffs Jul2023'!AL85/'Tariffs Jul2023'!AJ85&lt;'Tariffs Jul2023'!K85,0,IF($C$5*'Tariffs Jul2023'!AL85/'Tariffs Jul2023'!AJ85&lt;='Tariffs Jul2023'!L85,($C$5*'Tariffs Jul2023'!AL85/'Tariffs Jul2023'!AJ85-'Tariffs Jul2023'!K85)*('Tariffs Jul2023'!W85/100)*'Tariffs Jul2023'!AJ85,('Tariffs Jul2023'!L85-'Tariffs Jul2023'!K85)*('Tariffs Jul2023'!W85/100)*'Tariffs Jul2023'!AJ85))</f>
        <v>0</v>
      </c>
      <c r="M91" s="69">
        <f>IF($C$5*'Tariffs Jul2023'!AL85/'Tariffs Jul2023'!AJ85&lt;'Tariffs Jul2023'!L85,0,IF($C$5*'Tariffs Jul2023'!AL85/'Tariffs Jul2023'!AJ85&lt;='Tariffs Jul2023'!M85,($C$5*'Tariffs Jul2023'!AL85/'Tariffs Jul2023'!AJ85-'Tariffs Jul2023'!L85)*('Tariffs Jul2023'!X85/100)*'Tariffs Jul2023'!AJ85,('Tariffs Jul2023'!M85-'Tariffs Jul2023'!L85)*('Tariffs Jul2023'!X85/100)*'Tariffs Jul2023'!AJ85))</f>
        <v>0</v>
      </c>
      <c r="N91" s="69">
        <f>IF(($C$5*'Tariffs Jul2023'!AL85/'Tariffs Jul2023'!AJ85&gt;'Tariffs Jul2023'!M85),($C$5*'Tariffs Jul2023'!AL85/'Tariffs Jul2023'!AJ85-'Tariffs Jul2023'!M85)*'Tariffs Jul2023'!Y85/100*'Tariffs Jul2023'!AJ85,0)</f>
        <v>0</v>
      </c>
      <c r="O91" s="59">
        <f t="shared" si="140"/>
        <v>1884.9183272727269</v>
      </c>
      <c r="P91" s="503">
        <f t="shared" si="141"/>
        <v>2073.4101599999999</v>
      </c>
      <c r="Q91" s="59">
        <f t="shared" si="142"/>
        <v>2285.9869636363633</v>
      </c>
      <c r="R91" s="272">
        <f t="shared" si="143"/>
        <v>2514.5856599999997</v>
      </c>
      <c r="S91" s="40">
        <f>'Tariffs Jul2023'!AN85</f>
        <v>0</v>
      </c>
      <c r="T91" s="40">
        <f>'Tariffs Jul2023'!AO85</f>
        <v>0</v>
      </c>
      <c r="U91" s="40">
        <f>'Tariffs Jul2023'!AP85</f>
        <v>0</v>
      </c>
      <c r="V91" s="637">
        <f>'Tariffs Jul2023'!AQ85</f>
        <v>0</v>
      </c>
      <c r="W91" s="578" t="str">
        <f t="shared" si="112"/>
        <v>No discount</v>
      </c>
      <c r="X91" s="538" t="str">
        <f t="shared" si="113"/>
        <v>Exclusive</v>
      </c>
      <c r="Y91" s="535">
        <f t="shared" si="118"/>
        <v>2285.9869636363633</v>
      </c>
      <c r="Z91" s="535">
        <f t="shared" si="119"/>
        <v>2285.9869636363633</v>
      </c>
      <c r="AA91" s="542">
        <f t="shared" si="120"/>
        <v>2514.5856599999997</v>
      </c>
      <c r="AB91" s="609">
        <f t="shared" si="120"/>
        <v>2514.5856599999997</v>
      </c>
      <c r="AC91" s="625"/>
      <c r="AD91" s="625"/>
      <c r="AE91" s="625"/>
      <c r="AF91" s="625"/>
      <c r="AG91" s="625"/>
      <c r="AH91" s="625"/>
      <c r="AI91" s="625"/>
      <c r="AJ91" s="625"/>
      <c r="AK91" s="625"/>
      <c r="AL91" s="625"/>
      <c r="AM91" s="625"/>
      <c r="AN91" s="625"/>
      <c r="AO91" s="625"/>
      <c r="AP91" s="625"/>
      <c r="AQ91" s="625"/>
      <c r="AR91" s="625"/>
      <c r="AS91" s="625"/>
      <c r="AT91" s="625"/>
    </row>
    <row r="92" spans="1:46" ht="14" x14ac:dyDescent="0.15">
      <c r="A92" s="270" t="str">
        <f>'Tariffs Jul2023'!F86</f>
        <v>Origin Energy</v>
      </c>
      <c r="B92" s="40" t="str">
        <f>'Tariffs Jul2023'!D86</f>
        <v>AusNet Services West</v>
      </c>
      <c r="C92" s="40" t="str">
        <f>'Tariffs Jul2023'!G86</f>
        <v>Go Variable</v>
      </c>
      <c r="D92" s="59">
        <f>365*'Tariffs Jul2023'!H86/100</f>
        <v>326.2768181818181</v>
      </c>
      <c r="E92" s="59">
        <f>((C$5*'Tariffs Jul2023'!AK86/'Tariffs Jul2023'!AI86)*('Tariffs Jul2023'!O86/100))*'Tariffs Jul2023'!AI86</f>
        <v>816.13636363636374</v>
      </c>
      <c r="F92" s="59">
        <v>0</v>
      </c>
      <c r="G92" s="59">
        <v>0</v>
      </c>
      <c r="H92" s="59">
        <v>0</v>
      </c>
      <c r="I92" s="69">
        <v>0</v>
      </c>
      <c r="J92" s="69">
        <f>((C$5*'Tariffs Jul2023'!AL86/'Tariffs Jul2023'!AJ86)*('Tariffs Jul2023'!U86/100))*'Tariffs Jul2023'!AJ86</f>
        <v>816.13636363636374</v>
      </c>
      <c r="K92" s="69">
        <v>0</v>
      </c>
      <c r="L92" s="69">
        <v>0</v>
      </c>
      <c r="M92" s="69">
        <v>0</v>
      </c>
      <c r="N92" s="69">
        <v>0</v>
      </c>
      <c r="O92" s="59">
        <f t="shared" si="140"/>
        <v>1632.2727272727275</v>
      </c>
      <c r="P92" s="503">
        <f t="shared" si="141"/>
        <v>1795.5000000000005</v>
      </c>
      <c r="Q92" s="59">
        <f t="shared" si="142"/>
        <v>1958.5495454545455</v>
      </c>
      <c r="R92" s="272">
        <f t="shared" si="143"/>
        <v>2154.4045000000001</v>
      </c>
      <c r="S92" s="40">
        <f>'Tariffs Jul2023'!AN86</f>
        <v>0</v>
      </c>
      <c r="T92" s="40">
        <f>'Tariffs Jul2023'!AO86</f>
        <v>0</v>
      </c>
      <c r="U92" s="40">
        <f>'Tariffs Jul2023'!AP86</f>
        <v>0</v>
      </c>
      <c r="V92" s="637">
        <f>'Tariffs Jul2023'!AQ86</f>
        <v>0</v>
      </c>
      <c r="W92" s="578" t="str">
        <f t="shared" si="112"/>
        <v>No discount</v>
      </c>
      <c r="X92" s="538" t="str">
        <f t="shared" si="113"/>
        <v>Inclusive</v>
      </c>
      <c r="Y92" s="535">
        <f t="shared" si="118"/>
        <v>1958.5495454545453</v>
      </c>
      <c r="Z92" s="535">
        <f t="shared" si="119"/>
        <v>1958.5495454545453</v>
      </c>
      <c r="AA92" s="542">
        <f t="shared" si="120"/>
        <v>2154.4045000000001</v>
      </c>
      <c r="AB92" s="609">
        <f t="shared" si="120"/>
        <v>2154.4045000000001</v>
      </c>
      <c r="AC92" s="625"/>
      <c r="AD92" s="625"/>
      <c r="AE92" s="625"/>
      <c r="AF92" s="625"/>
      <c r="AG92" s="625"/>
      <c r="AH92" s="625"/>
      <c r="AI92" s="625"/>
      <c r="AJ92" s="625"/>
      <c r="AK92" s="625"/>
      <c r="AL92" s="625"/>
      <c r="AM92" s="625"/>
      <c r="AN92" s="625"/>
      <c r="AO92" s="625"/>
      <c r="AP92" s="625"/>
      <c r="AQ92" s="625"/>
      <c r="AR92" s="625"/>
      <c r="AS92" s="625"/>
      <c r="AT92" s="625"/>
    </row>
    <row r="93" spans="1:46" ht="14" x14ac:dyDescent="0.15">
      <c r="A93" s="270" t="str">
        <f>'Tariffs Jul2023'!F87</f>
        <v>Red Energy</v>
      </c>
      <c r="B93" s="40" t="str">
        <f>'Tariffs Jul2023'!D87</f>
        <v>AusNet Services West</v>
      </c>
      <c r="C93" s="40" t="str">
        <f>'Tariffs Jul2023'!G87</f>
        <v>Living Energy Saver</v>
      </c>
      <c r="D93" s="59">
        <f>365*'Tariffs Jul2023'!H87/100</f>
        <v>313.89999999999998</v>
      </c>
      <c r="E93" s="59">
        <f>IF($C$5*'Tariffs Jul2023'!AK87/'Tariffs Jul2023'!AI87&gt;='Tariffs Jul2023'!J87,( 'Tariffs Jul2023'!J87*'Tariffs Jul2023'!O87/100)* 'Tariffs Jul2023'!AI87,($C$5*'Tariffs Jul2023'!AK87/'Tariffs Jul2023'!AI87*'Tariffs Jul2023'!O87/100)* 'Tariffs Jul2023'!AI87)</f>
        <v>350.18181818181819</v>
      </c>
      <c r="F93" s="59">
        <f>IF($C$5*'Tariffs Jul2023'!AK87/'Tariffs Jul2023'!AI87&lt;'Tariffs Jul2023'!J87,0,IF($C$5*'Tariffs Jul2023'!AK87/'Tariffs Jul2023'!AI87&lt;='Tariffs Jul2023'!K87,($C$5*'Tariffs Jul2023'!AK87/'Tariffs Jul2023'!AI87-'Tariffs Jul2023'!J87)*('Tariffs Jul2023'!P87/100)*'Tariffs Jul2023'!AI87,('Tariffs Jul2023'!K87-'Tariffs Jul2023'!J87)*('Tariffs Jul2023'!P87/100)*'Tariffs Jul2023'!AI87))</f>
        <v>260.93909999999994</v>
      </c>
      <c r="G93" s="59">
        <f>IF($C$5*'Tariffs Jul2023'!AK87/'Tariffs Jul2023'!AI87&lt;'Tariffs Jul2023'!K87,0,IF($C$5*'Tariffs Jul2023'!AK87/'Tariffs Jul2023'!AI87&lt;='Tariffs Jul2023'!L87,($C$5*'Tariffs Jul2023'!AK87/'Tariffs Jul2023'!AI87-'Tariffs Jul2023'!K87)*('Tariffs Jul2023'!Q87/100)*'Tariffs Jul2023'!AI87,('Tariffs Jul2023'!L87-'Tariffs Jul2023'!K87)*('Tariffs Jul2023'!Q87/100)*'Tariffs Jul2023'!AI87))</f>
        <v>0</v>
      </c>
      <c r="H93" s="59">
        <f>IF($C$5*'Tariffs Jul2023'!AK87/'Tariffs Jul2023'!AI87&lt;'Tariffs Jul2023'!L87,0,IF($C$5*'Tariffs Jul2023'!AK87/'Tariffs Jul2023'!AI87&lt;='Tariffs Jul2023'!M87,($C$5*'Tariffs Jul2023'!AK87/'Tariffs Jul2023'!AI87-'Tariffs Jul2023'!L87)*('Tariffs Jul2023'!R87/100)*'Tariffs Jul2023'!AI87,('Tariffs Jul2023'!M87-'Tariffs Jul2023'!L87)*('Tariffs Jul2023'!R87/100)*'Tariffs Jul2023'!AI87))</f>
        <v>0</v>
      </c>
      <c r="I93" s="69">
        <f>IF(($C$5*'Tariffs Jul2023'!AK87/'Tariffs Jul2023'!AI87&gt;'Tariffs Jul2023'!M87),($C$5*'Tariffs Jul2023'!AK87/'Tariffs Jul2023'!AI87-'Tariffs Jul2023'!M87)*'Tariffs Jul2023'!S87/100*'Tariffs Jul2023'!AI87,0)</f>
        <v>0</v>
      </c>
      <c r="J93" s="69">
        <f>IF($C$5*'Tariffs Jul2023'!AL87/'Tariffs Jul2023'!AJ87&gt;='Tariffs Jul2023'!J87,('Tariffs Jul2023'!J87*'Tariffs Jul2023'!U87/100)* 'Tariffs Jul2023'!AJ87,($C$5*'Tariffs Jul2023'!AL87/'Tariffs Jul2023'!AJ87*'Tariffs Jul2023'!U87/100)* 'Tariffs Jul2023'!AJ87)</f>
        <v>623.99999999999989</v>
      </c>
      <c r="K93" s="69">
        <f>IF($C$5*'Tariffs Jul2023'!AL87/'Tariffs Jul2023'!AJ87&lt;'Tariffs Jul2023'!J87,0,IF($C$5*'Tariffs Jul2023'!AL87/'Tariffs Jul2023'!AJ87&lt;='Tariffs Jul2023'!K87,($C$5*'Tariffs Jul2023'!AL87/'Tariffs Jul2023'!AJ87-'Tariffs Jul2023'!J87)*('Tariffs Jul2023'!V87/100)*'Tariffs Jul2023'!AJ87,('Tariffs Jul2023'!K87-'Tariffs Jul2023'!J87)*('Tariffs Jul2023'!V87/100)*'Tariffs Jul2023'!AJ87))</f>
        <v>431.89919999999989</v>
      </c>
      <c r="L93" s="69">
        <f>IF($C$5*'Tariffs Jul2023'!AL87/'Tariffs Jul2023'!AJ87&lt;'Tariffs Jul2023'!K87,0,IF($C$5*'Tariffs Jul2023'!AL87/'Tariffs Jul2023'!AJ87&lt;='Tariffs Jul2023'!L87,($C$5*'Tariffs Jul2023'!AL87/'Tariffs Jul2023'!AJ87-'Tariffs Jul2023'!K87)*('Tariffs Jul2023'!W87/100)*'Tariffs Jul2023'!AJ87,('Tariffs Jul2023'!L87-'Tariffs Jul2023'!K87)*('Tariffs Jul2023'!W87/100)*'Tariffs Jul2023'!AJ87))</f>
        <v>0</v>
      </c>
      <c r="M93" s="69">
        <f>IF($C$5*'Tariffs Jul2023'!AL87/'Tariffs Jul2023'!AJ87&lt;'Tariffs Jul2023'!L87,0,IF($C$5*'Tariffs Jul2023'!AL87/'Tariffs Jul2023'!AJ87&lt;='Tariffs Jul2023'!M87,($C$5*'Tariffs Jul2023'!AL87/'Tariffs Jul2023'!AJ87-'Tariffs Jul2023'!L87)*('Tariffs Jul2023'!X87/100)*'Tariffs Jul2023'!AJ87,('Tariffs Jul2023'!M87-'Tariffs Jul2023'!L87)*('Tariffs Jul2023'!X87/100)*'Tariffs Jul2023'!AJ87))</f>
        <v>0</v>
      </c>
      <c r="N93" s="69">
        <f>IF(($C$5*'Tariffs Jul2023'!AL87/'Tariffs Jul2023'!AJ87&gt;'Tariffs Jul2023'!M87),($C$5*'Tariffs Jul2023'!AL87/'Tariffs Jul2023'!AJ87-'Tariffs Jul2023'!M87)*'Tariffs Jul2023'!Y87/100*'Tariffs Jul2023'!AJ87,0)</f>
        <v>0</v>
      </c>
      <c r="O93" s="59">
        <f t="shared" si="140"/>
        <v>1667.0201181818179</v>
      </c>
      <c r="P93" s="503">
        <f t="shared" si="141"/>
        <v>1833.7221299999999</v>
      </c>
      <c r="Q93" s="59">
        <f t="shared" si="142"/>
        <v>1980.920118181818</v>
      </c>
      <c r="R93" s="272">
        <f t="shared" si="143"/>
        <v>2179.0121300000001</v>
      </c>
      <c r="S93" s="40">
        <f>'Tariffs Jul2023'!AN87</f>
        <v>0</v>
      </c>
      <c r="T93" s="40">
        <f>'Tariffs Jul2023'!AO87</f>
        <v>0</v>
      </c>
      <c r="U93" s="40">
        <f>'Tariffs Jul2023'!AP87</f>
        <v>0</v>
      </c>
      <c r="V93" s="637">
        <f>'Tariffs Jul2023'!AQ87</f>
        <v>0</v>
      </c>
      <c r="W93" s="578" t="str">
        <f t="shared" si="112"/>
        <v>No discount</v>
      </c>
      <c r="X93" s="538" t="str">
        <f t="shared" si="113"/>
        <v>Inclusive</v>
      </c>
      <c r="Y93" s="535">
        <f t="shared" si="118"/>
        <v>1980.920118181818</v>
      </c>
      <c r="Z93" s="535">
        <f t="shared" si="119"/>
        <v>1980.920118181818</v>
      </c>
      <c r="AA93" s="542">
        <f t="shared" si="120"/>
        <v>2179.0121300000001</v>
      </c>
      <c r="AB93" s="609">
        <f t="shared" si="120"/>
        <v>2179.0121300000001</v>
      </c>
      <c r="AC93" s="625"/>
      <c r="AD93" s="625"/>
      <c r="AE93" s="625"/>
      <c r="AF93" s="625"/>
      <c r="AG93" s="625"/>
      <c r="AH93" s="625"/>
      <c r="AI93" s="625"/>
      <c r="AJ93" s="625"/>
      <c r="AK93" s="625"/>
      <c r="AL93" s="625"/>
      <c r="AM93" s="625"/>
      <c r="AN93" s="625"/>
      <c r="AO93" s="625"/>
      <c r="AP93" s="625"/>
      <c r="AQ93" s="625"/>
      <c r="AR93" s="625"/>
      <c r="AS93" s="625"/>
      <c r="AT93" s="625"/>
    </row>
    <row r="94" spans="1:46" ht="14" x14ac:dyDescent="0.15">
      <c r="A94" s="270" t="str">
        <f>'Tariffs Jul2023'!F88</f>
        <v>Simply Energy</v>
      </c>
      <c r="B94" s="40" t="str">
        <f>'Tariffs Jul2023'!D88</f>
        <v>AusNet Services West</v>
      </c>
      <c r="C94" s="40" t="str">
        <f>'Tariffs Jul2023'!G88</f>
        <v>Blue Perks</v>
      </c>
      <c r="D94" s="59">
        <f>365*'Tariffs Jul2023'!H88/100</f>
        <v>339.84818181818184</v>
      </c>
      <c r="E94" s="59">
        <f>IF($C$5*'Tariffs Jul2023'!AK88/'Tariffs Jul2023'!AI88&gt;='Tariffs Jul2023'!J88,( 'Tariffs Jul2023'!J88*'Tariffs Jul2023'!O88/100)* 'Tariffs Jul2023'!AI88,($C$5*'Tariffs Jul2023'!AK88/'Tariffs Jul2023'!AI88*'Tariffs Jul2023'!O88/100)* 'Tariffs Jul2023'!AI88)</f>
        <v>380.72727272727275</v>
      </c>
      <c r="F94" s="59">
        <f>IF($C$5*'Tariffs Jul2023'!AK88/'Tariffs Jul2023'!AI88&lt;'Tariffs Jul2023'!J88,0,IF($C$5*'Tariffs Jul2023'!AK88/'Tariffs Jul2023'!AI88&lt;='Tariffs Jul2023'!K88,($C$5*'Tariffs Jul2023'!AK88/'Tariffs Jul2023'!AI88-'Tariffs Jul2023'!J88)*('Tariffs Jul2023'!P88/100)*'Tariffs Jul2023'!AI88,('Tariffs Jul2023'!K88-'Tariffs Jul2023'!J88)*('Tariffs Jul2023'!P88/100)*'Tariffs Jul2023'!AI88))</f>
        <v>280.57088181818176</v>
      </c>
      <c r="G94" s="59">
        <f>IF($C$5*'Tariffs Jul2023'!AK88/'Tariffs Jul2023'!AI88&lt;'Tariffs Jul2023'!K88,0,IF($C$5*'Tariffs Jul2023'!AK88/'Tariffs Jul2023'!AI88&lt;='Tariffs Jul2023'!L88,($C$5*'Tariffs Jul2023'!AK88/'Tariffs Jul2023'!AI88-'Tariffs Jul2023'!K88)*('Tariffs Jul2023'!Q88/100)*'Tariffs Jul2023'!AI88,('Tariffs Jul2023'!L88-'Tariffs Jul2023'!K88)*('Tariffs Jul2023'!Q88/100)*'Tariffs Jul2023'!AI88))</f>
        <v>0</v>
      </c>
      <c r="H94" s="59">
        <f>IF($C$5*'Tariffs Jul2023'!AK88/'Tariffs Jul2023'!AI88&lt;'Tariffs Jul2023'!L88,0,IF($C$5*'Tariffs Jul2023'!AK88/'Tariffs Jul2023'!AI88&lt;='Tariffs Jul2023'!M88,($C$5*'Tariffs Jul2023'!AK88/'Tariffs Jul2023'!AI88-'Tariffs Jul2023'!L88)*('Tariffs Jul2023'!R88/100)*'Tariffs Jul2023'!AI88,('Tariffs Jul2023'!M88-'Tariffs Jul2023'!L88)*('Tariffs Jul2023'!R88/100)*'Tariffs Jul2023'!AI88))</f>
        <v>0</v>
      </c>
      <c r="I94" s="69">
        <f>IF(($C$5*'Tariffs Jul2023'!AK88/'Tariffs Jul2023'!AI88&gt;'Tariffs Jul2023'!M88),($C$5*'Tariffs Jul2023'!AK88/'Tariffs Jul2023'!AI88-'Tariffs Jul2023'!M88)*'Tariffs Jul2023'!S88/100*'Tariffs Jul2023'!AI88,0)</f>
        <v>0</v>
      </c>
      <c r="J94" s="69">
        <f>IF($C$5*'Tariffs Jul2023'!AL88/'Tariffs Jul2023'!AJ88&gt;='Tariffs Jul2023'!J88,('Tariffs Jul2023'!J88*'Tariffs Jul2023'!U88/100)* 'Tariffs Jul2023'!AJ88,($C$5*'Tariffs Jul2023'!AL88/'Tariffs Jul2023'!AJ88*'Tariffs Jul2023'!U88/100)* 'Tariffs Jul2023'!AJ88)</f>
        <v>619.63636363636363</v>
      </c>
      <c r="K94" s="69">
        <f>IF($C$5*'Tariffs Jul2023'!AL88/'Tariffs Jul2023'!AJ88&lt;'Tariffs Jul2023'!J88,0,IF($C$5*'Tariffs Jul2023'!AL88/'Tariffs Jul2023'!AJ88&lt;='Tariffs Jul2023'!K88,($C$5*'Tariffs Jul2023'!AL88/'Tariffs Jul2023'!AJ88-'Tariffs Jul2023'!J88)*('Tariffs Jul2023'!V88/100)*'Tariffs Jul2023'!AJ88,('Tariffs Jul2023'!K88-'Tariffs Jul2023'!J88)*('Tariffs Jul2023'!V88/100)*'Tariffs Jul2023'!AJ88))</f>
        <v>454.80294545454529</v>
      </c>
      <c r="L94" s="69">
        <f>IF($C$5*'Tariffs Jul2023'!AL88/'Tariffs Jul2023'!AJ88&lt;'Tariffs Jul2023'!K88,0,IF($C$5*'Tariffs Jul2023'!AL88/'Tariffs Jul2023'!AJ88&lt;='Tariffs Jul2023'!L88,($C$5*'Tariffs Jul2023'!AL88/'Tariffs Jul2023'!AJ88-'Tariffs Jul2023'!K88)*('Tariffs Jul2023'!W88/100)*'Tariffs Jul2023'!AJ88,('Tariffs Jul2023'!L88-'Tariffs Jul2023'!K88)*('Tariffs Jul2023'!W88/100)*'Tariffs Jul2023'!AJ88))</f>
        <v>0</v>
      </c>
      <c r="M94" s="69">
        <f>IF($C$5*'Tariffs Jul2023'!AL88/'Tariffs Jul2023'!AJ88&lt;'Tariffs Jul2023'!L88,0,IF($C$5*'Tariffs Jul2023'!AL88/'Tariffs Jul2023'!AJ88&lt;='Tariffs Jul2023'!M88,($C$5*'Tariffs Jul2023'!AL88/'Tariffs Jul2023'!AJ88-'Tariffs Jul2023'!L88)*('Tariffs Jul2023'!X88/100)*'Tariffs Jul2023'!AJ88,('Tariffs Jul2023'!M88-'Tariffs Jul2023'!L88)*('Tariffs Jul2023'!X88/100)*'Tariffs Jul2023'!AJ88))</f>
        <v>0</v>
      </c>
      <c r="N94" s="69">
        <f>IF(($C$5*'Tariffs Jul2023'!AL88/'Tariffs Jul2023'!AJ88&gt;'Tariffs Jul2023'!M88),($C$5*'Tariffs Jul2023'!AL88/'Tariffs Jul2023'!AJ88-'Tariffs Jul2023'!M88)*'Tariffs Jul2023'!Y88/100*'Tariffs Jul2023'!AJ88,0)</f>
        <v>0</v>
      </c>
      <c r="O94" s="59">
        <f t="shared" si="140"/>
        <v>1735.7374636363634</v>
      </c>
      <c r="P94" s="503">
        <f t="shared" si="141"/>
        <v>1909.3112099999998</v>
      </c>
      <c r="Q94" s="59">
        <f t="shared" si="142"/>
        <v>2075.5856454545451</v>
      </c>
      <c r="R94" s="272">
        <f t="shared" si="143"/>
        <v>2283.1442099999999</v>
      </c>
      <c r="S94" s="40">
        <f>'Tariffs Jul2023'!AN88</f>
        <v>10</v>
      </c>
      <c r="T94" s="40">
        <f>'Tariffs Jul2023'!AO88</f>
        <v>0</v>
      </c>
      <c r="U94" s="40">
        <f>'Tariffs Jul2023'!AP88</f>
        <v>0</v>
      </c>
      <c r="V94" s="637">
        <f>'Tariffs Jul2023'!AQ88</f>
        <v>0</v>
      </c>
      <c r="W94" s="578" t="str">
        <f t="shared" si="112"/>
        <v>Guaranteed off bill</v>
      </c>
      <c r="X94" s="538" t="str">
        <f t="shared" si="113"/>
        <v>Exclusive</v>
      </c>
      <c r="Y94" s="535">
        <f t="shared" si="118"/>
        <v>1868.0270809090907</v>
      </c>
      <c r="Z94" s="535">
        <f t="shared" si="119"/>
        <v>1868.0270809090907</v>
      </c>
      <c r="AA94" s="542">
        <f t="shared" si="120"/>
        <v>2054.8297889999999</v>
      </c>
      <c r="AB94" s="609">
        <f t="shared" si="120"/>
        <v>2054.8297889999999</v>
      </c>
      <c r="AC94" s="625"/>
      <c r="AD94" s="625"/>
      <c r="AE94" s="625"/>
      <c r="AF94" s="625"/>
      <c r="AG94" s="625"/>
      <c r="AH94" s="625"/>
      <c r="AI94" s="625"/>
      <c r="AJ94" s="625"/>
      <c r="AK94" s="625"/>
      <c r="AL94" s="625"/>
      <c r="AM94" s="625"/>
      <c r="AN94" s="625"/>
      <c r="AO94" s="625"/>
      <c r="AP94" s="625"/>
      <c r="AQ94" s="625"/>
      <c r="AR94" s="625"/>
      <c r="AS94" s="625"/>
      <c r="AT94" s="625"/>
    </row>
    <row r="95" spans="1:46" ht="14" x14ac:dyDescent="0.15">
      <c r="A95" s="270" t="str">
        <f>'Tariffs Jul2023'!F89</f>
        <v>GloBird Energy</v>
      </c>
      <c r="B95" s="40" t="str">
        <f>'Tariffs Jul2023'!D89</f>
        <v>AusNet Services West</v>
      </c>
      <c r="C95" s="40" t="str">
        <f>'Tariffs Jul2023'!G89</f>
        <v>GloSave</v>
      </c>
      <c r="D95" s="59">
        <f>365*'Tariffs Jul2023'!H89/100</f>
        <v>328.49999999999994</v>
      </c>
      <c r="E95" s="59">
        <f>IF($C$5*'Tariffs Jul2023'!AK89/'Tariffs Jul2023'!AI89&gt;='Tariffs Jul2023'!J89,( 'Tariffs Jul2023'!J89*'Tariffs Jul2023'!O89/100)* 'Tariffs Jul2023'!AI89,($C$5*'Tariffs Jul2023'!AK89/'Tariffs Jul2023'!AI89*'Tariffs Jul2023'!O89/100)* 'Tariffs Jul2023'!AI89)</f>
        <v>316.36363636363637</v>
      </c>
      <c r="F95" s="59">
        <f>IF($C$5*'Tariffs Jul2023'!AK89/'Tariffs Jul2023'!AI89&lt;'Tariffs Jul2023'!J89,0,IF($C$5*'Tariffs Jul2023'!AK89/'Tariffs Jul2023'!AI89&lt;='Tariffs Jul2023'!K89,($C$5*'Tariffs Jul2023'!AK89/'Tariffs Jul2023'!AI89-'Tariffs Jul2023'!J89)*('Tariffs Jul2023'!P89/100)*'Tariffs Jul2023'!AI89,('Tariffs Jul2023'!K89-'Tariffs Jul2023'!J89)*('Tariffs Jul2023'!P89/100)*'Tariffs Jul2023'!AI89))</f>
        <v>0</v>
      </c>
      <c r="G95" s="59">
        <f>IF($C$5*'Tariffs Jul2023'!AK89/'Tariffs Jul2023'!AI89&lt;'Tariffs Jul2023'!K89,0,IF($C$5*'Tariffs Jul2023'!AK89/'Tariffs Jul2023'!AI89&lt;='Tariffs Jul2023'!L89,($C$5*'Tariffs Jul2023'!AK89/'Tariffs Jul2023'!AI89-'Tariffs Jul2023'!K89)*('Tariffs Jul2023'!Q89/100)*'Tariffs Jul2023'!AI89,('Tariffs Jul2023'!L89-'Tariffs Jul2023'!K89)*('Tariffs Jul2023'!Q89/100)*'Tariffs Jul2023'!AI89))</f>
        <v>0</v>
      </c>
      <c r="H95" s="59">
        <f>IF($C$5*'Tariffs Jul2023'!AK89/'Tariffs Jul2023'!AI89&lt;'Tariffs Jul2023'!L89,0,IF($C$5*'Tariffs Jul2023'!AK89/'Tariffs Jul2023'!AI89&lt;='Tariffs Jul2023'!M89,($C$5*'Tariffs Jul2023'!AK89/'Tariffs Jul2023'!AI89-'Tariffs Jul2023'!L89)*('Tariffs Jul2023'!R89/100)*'Tariffs Jul2023'!AI89,('Tariffs Jul2023'!M89-'Tariffs Jul2023'!L89)*('Tariffs Jul2023'!R89/100)*'Tariffs Jul2023'!AI89))</f>
        <v>0</v>
      </c>
      <c r="I95" s="69">
        <f>IF(($C$5*'Tariffs Jul2023'!AK89/'Tariffs Jul2023'!AI89&gt;'Tariffs Jul2023'!M89),($C$5*'Tariffs Jul2023'!AK89/'Tariffs Jul2023'!AI89-'Tariffs Jul2023'!M89)*'Tariffs Jul2023'!S89/100*'Tariffs Jul2023'!AI89,0)</f>
        <v>233.12740909090903</v>
      </c>
      <c r="J95" s="69">
        <f>IF($C$5*'Tariffs Jul2023'!AL89/'Tariffs Jul2023'!AJ89&gt;='Tariffs Jul2023'!J89,('Tariffs Jul2023'!J89*'Tariffs Jul2023'!U89/100)* 'Tariffs Jul2023'!AJ89,($C$5*'Tariffs Jul2023'!AL89/'Tariffs Jul2023'!AJ89*'Tariffs Jul2023'!U89/100)* 'Tariffs Jul2023'!AJ89)</f>
        <v>632.72727272727275</v>
      </c>
      <c r="K95" s="69">
        <f>IF($C$5*'Tariffs Jul2023'!AL89/'Tariffs Jul2023'!AJ89&lt;'Tariffs Jul2023'!J89,0,IF($C$5*'Tariffs Jul2023'!AL89/'Tariffs Jul2023'!AJ89&lt;='Tariffs Jul2023'!K89,($C$5*'Tariffs Jul2023'!AL89/'Tariffs Jul2023'!AJ89-'Tariffs Jul2023'!J89)*('Tariffs Jul2023'!V89/100)*'Tariffs Jul2023'!AJ89,('Tariffs Jul2023'!K89-'Tariffs Jul2023'!J89)*('Tariffs Jul2023'!V89/100)*'Tariffs Jul2023'!AJ89))</f>
        <v>0</v>
      </c>
      <c r="L95" s="69">
        <f>IF($C$5*'Tariffs Jul2023'!AL89/'Tariffs Jul2023'!AJ89&lt;'Tariffs Jul2023'!K89,0,IF($C$5*'Tariffs Jul2023'!AL89/'Tariffs Jul2023'!AJ89&lt;='Tariffs Jul2023'!L89,($C$5*'Tariffs Jul2023'!AL89/'Tariffs Jul2023'!AJ89-'Tariffs Jul2023'!K89)*('Tariffs Jul2023'!W89/100)*'Tariffs Jul2023'!AJ89,('Tariffs Jul2023'!L89-'Tariffs Jul2023'!K89)*('Tariffs Jul2023'!W89/100)*'Tariffs Jul2023'!AJ89))</f>
        <v>0</v>
      </c>
      <c r="M95" s="69">
        <f>IF($C$5*'Tariffs Jul2023'!AL89/'Tariffs Jul2023'!AJ89&lt;'Tariffs Jul2023'!L89,0,IF($C$5*'Tariffs Jul2023'!AL89/'Tariffs Jul2023'!AJ89&lt;='Tariffs Jul2023'!M89,($C$5*'Tariffs Jul2023'!AL89/'Tariffs Jul2023'!AJ89-'Tariffs Jul2023'!L89)*('Tariffs Jul2023'!X89/100)*'Tariffs Jul2023'!AJ89,('Tariffs Jul2023'!M89-'Tariffs Jul2023'!L89)*('Tariffs Jul2023'!X89/100)*'Tariffs Jul2023'!AJ89))</f>
        <v>0</v>
      </c>
      <c r="N95" s="69">
        <f>IF(($C$5*'Tariffs Jul2023'!AL89/'Tariffs Jul2023'!AJ89&gt;'Tariffs Jul2023'!M89),($C$5*'Tariffs Jul2023'!AL89/'Tariffs Jul2023'!AJ89-'Tariffs Jul2023'!M89)*'Tariffs Jul2023'!Y89/100*'Tariffs Jul2023'!AJ89,0)</f>
        <v>466.25481818181805</v>
      </c>
      <c r="O95" s="59">
        <f t="shared" si="140"/>
        <v>1648.4731363636363</v>
      </c>
      <c r="P95" s="503">
        <f t="shared" si="141"/>
        <v>1813.3204500000002</v>
      </c>
      <c r="Q95" s="59">
        <f t="shared" si="142"/>
        <v>1976.9731363636363</v>
      </c>
      <c r="R95" s="272">
        <f t="shared" si="143"/>
        <v>2174.6704500000001</v>
      </c>
      <c r="S95" s="40">
        <f>'Tariffs Jul2023'!AN89</f>
        <v>0</v>
      </c>
      <c r="T95" s="40">
        <f>'Tariffs Jul2023'!AO89</f>
        <v>0</v>
      </c>
      <c r="U95" s="40">
        <f>'Tariffs Jul2023'!AP89</f>
        <v>2</v>
      </c>
      <c r="V95" s="637">
        <f>'Tariffs Jul2023'!AQ89</f>
        <v>0</v>
      </c>
      <c r="W95" s="578" t="str">
        <f t="shared" si="112"/>
        <v>Pay-on-time off bill</v>
      </c>
      <c r="X95" s="538" t="str">
        <f t="shared" si="113"/>
        <v>Exclusive</v>
      </c>
      <c r="Y95" s="535">
        <f t="shared" si="118"/>
        <v>1976.9731363636363</v>
      </c>
      <c r="Z95" s="535">
        <f t="shared" si="119"/>
        <v>1937.4336736363637</v>
      </c>
      <c r="AA95" s="542">
        <f t="shared" si="120"/>
        <v>2174.6704500000001</v>
      </c>
      <c r="AB95" s="609">
        <f t="shared" si="120"/>
        <v>2131.1770410000004</v>
      </c>
      <c r="AC95" s="625"/>
      <c r="AD95" s="625"/>
      <c r="AE95" s="625"/>
      <c r="AF95" s="625"/>
      <c r="AG95" s="625"/>
      <c r="AH95" s="625"/>
      <c r="AI95" s="625"/>
      <c r="AJ95" s="625"/>
      <c r="AK95" s="625"/>
      <c r="AL95" s="625"/>
      <c r="AM95" s="625"/>
      <c r="AN95" s="625"/>
      <c r="AO95" s="625"/>
      <c r="AP95" s="625"/>
      <c r="AQ95" s="625"/>
      <c r="AR95" s="625"/>
      <c r="AS95" s="625"/>
      <c r="AT95" s="625"/>
    </row>
    <row r="96" spans="1:46" ht="14" x14ac:dyDescent="0.15">
      <c r="A96" s="270" t="str">
        <f>'Tariffs Jul2023'!F90</f>
        <v>1st Energy</v>
      </c>
      <c r="B96" s="40" t="str">
        <f>'Tariffs Jul2023'!D90</f>
        <v>AusNet Services West</v>
      </c>
      <c r="C96" s="40" t="str">
        <f>'Tariffs Jul2023'!G90</f>
        <v>1st Saver Plus</v>
      </c>
      <c r="D96" s="59">
        <f>365*'Tariffs Jul2023'!H90/100</f>
        <v>354.05</v>
      </c>
      <c r="E96" s="59">
        <f>IF($C$5*'Tariffs Jul2023'!AK90/'Tariffs Jul2023'!AI90&gt;='Tariffs Jul2023'!J90,( 'Tariffs Jul2023'!J90*'Tariffs Jul2023'!O90/100)* 'Tariffs Jul2023'!AI90,($C$5*'Tariffs Jul2023'!AK90/'Tariffs Jul2023'!AI90*'Tariffs Jul2023'!O90/100)* 'Tariffs Jul2023'!AI90)</f>
        <v>647.99999999999989</v>
      </c>
      <c r="F96" s="59">
        <f>IF($C$5*'Tariffs Jul2023'!AK90/'Tariffs Jul2023'!AI90&lt;'Tariffs Jul2023'!J90,0,IF($C$5*'Tariffs Jul2023'!AK90/'Tariffs Jul2023'!AI90&lt;='Tariffs Jul2023'!K90,($C$5*'Tariffs Jul2023'!AK90/'Tariffs Jul2023'!AI90-'Tariffs Jul2023'!J90)*('Tariffs Jul2023'!P90/100)*'Tariffs Jul2023'!AI90,('Tariffs Jul2023'!K90-'Tariffs Jul2023'!J90)*('Tariffs Jul2023'!P90/100)*'Tariffs Jul2023'!AI90))</f>
        <v>472.50000000000011</v>
      </c>
      <c r="G96" s="59">
        <f>IF($C$5*'Tariffs Jul2023'!AK90/'Tariffs Jul2023'!AI90&lt;'Tariffs Jul2023'!K90,0,IF($C$5*'Tariffs Jul2023'!AK90/'Tariffs Jul2023'!AI90&lt;='Tariffs Jul2023'!L90,($C$5*'Tariffs Jul2023'!AK90/'Tariffs Jul2023'!AI90-'Tariffs Jul2023'!K90)*('Tariffs Jul2023'!Q90/100)*'Tariffs Jul2023'!AI90,('Tariffs Jul2023'!L90-'Tariffs Jul2023'!K90)*('Tariffs Jul2023'!Q90/100)*'Tariffs Jul2023'!AI90))</f>
        <v>0</v>
      </c>
      <c r="H96" s="59">
        <f>IF($C$5*'Tariffs Jul2023'!AK90/'Tariffs Jul2023'!AI90&lt;'Tariffs Jul2023'!L90,0,IF($C$5*'Tariffs Jul2023'!AK90/'Tariffs Jul2023'!AI90&lt;='Tariffs Jul2023'!M90,($C$5*'Tariffs Jul2023'!AK90/'Tariffs Jul2023'!AI90-'Tariffs Jul2023'!L90)*('Tariffs Jul2023'!R90/100)*'Tariffs Jul2023'!AI90,('Tariffs Jul2023'!M90-'Tariffs Jul2023'!L90)*('Tariffs Jul2023'!R90/100)*'Tariffs Jul2023'!AI90))</f>
        <v>0</v>
      </c>
      <c r="I96" s="69">
        <f>IF(($C$5*'Tariffs Jul2023'!AK90/'Tariffs Jul2023'!AI90&gt;'Tariffs Jul2023'!M90),($C$5*'Tariffs Jul2023'!AK90/'Tariffs Jul2023'!AI90-'Tariffs Jul2023'!M90)*'Tariffs Jul2023'!S90/100*'Tariffs Jul2023'!AI90,0)</f>
        <v>0</v>
      </c>
      <c r="J96" s="69">
        <f>IF($C$5*'Tariffs Jul2023'!AL90/'Tariffs Jul2023'!AJ90&gt;='Tariffs Jul2023'!J90,('Tariffs Jul2023'!J90*'Tariffs Jul2023'!U90/100)* 'Tariffs Jul2023'!AJ90,($C$5*'Tariffs Jul2023'!AL90/'Tariffs Jul2023'!AJ90*'Tariffs Jul2023'!U90/100)* 'Tariffs Jul2023'!AJ90)</f>
        <v>647.99999999999989</v>
      </c>
      <c r="K96" s="69">
        <f>IF($C$5*'Tariffs Jul2023'!AL90/'Tariffs Jul2023'!AJ90&lt;'Tariffs Jul2023'!J90,0,IF($C$5*'Tariffs Jul2023'!AL90/'Tariffs Jul2023'!AJ90&lt;='Tariffs Jul2023'!K90,($C$5*'Tariffs Jul2023'!AL90/'Tariffs Jul2023'!AJ90-'Tariffs Jul2023'!J90)*('Tariffs Jul2023'!V90/100)*'Tariffs Jul2023'!AJ90,('Tariffs Jul2023'!K90-'Tariffs Jul2023'!J90)*('Tariffs Jul2023'!V90/100)*'Tariffs Jul2023'!AJ90))</f>
        <v>472.50000000000011</v>
      </c>
      <c r="L96" s="69">
        <f>IF($C$5*'Tariffs Jul2023'!AL90/'Tariffs Jul2023'!AJ90&lt;'Tariffs Jul2023'!K90,0,IF($C$5*'Tariffs Jul2023'!AL90/'Tariffs Jul2023'!AJ90&lt;='Tariffs Jul2023'!L90,($C$5*'Tariffs Jul2023'!AL90/'Tariffs Jul2023'!AJ90-'Tariffs Jul2023'!K90)*('Tariffs Jul2023'!W90/100)*'Tariffs Jul2023'!AJ90,('Tariffs Jul2023'!L90-'Tariffs Jul2023'!K90)*('Tariffs Jul2023'!W90/100)*'Tariffs Jul2023'!AJ90))</f>
        <v>0</v>
      </c>
      <c r="M96" s="69">
        <f>IF($C$5*'Tariffs Jul2023'!AL90/'Tariffs Jul2023'!AJ90&lt;'Tariffs Jul2023'!L90,0,IF($C$5*'Tariffs Jul2023'!AL90/'Tariffs Jul2023'!AJ90&lt;='Tariffs Jul2023'!M90,($C$5*'Tariffs Jul2023'!AL90/'Tariffs Jul2023'!AJ90-'Tariffs Jul2023'!L90)*('Tariffs Jul2023'!X90/100)*'Tariffs Jul2023'!AJ90,('Tariffs Jul2023'!M90-'Tariffs Jul2023'!L90)*('Tariffs Jul2023'!X90/100)*'Tariffs Jul2023'!AJ90))</f>
        <v>0</v>
      </c>
      <c r="N96" s="69">
        <f>IF(($C$5*'Tariffs Jul2023'!AL90/'Tariffs Jul2023'!AJ90&gt;'Tariffs Jul2023'!M90),($C$5*'Tariffs Jul2023'!AL90/'Tariffs Jul2023'!AJ90-'Tariffs Jul2023'!M90)*'Tariffs Jul2023'!Y90/100*'Tariffs Jul2023'!AJ90,0)</f>
        <v>0</v>
      </c>
      <c r="O96" s="59">
        <f t="shared" si="140"/>
        <v>2241</v>
      </c>
      <c r="P96" s="503">
        <f t="shared" si="141"/>
        <v>2465.1000000000004</v>
      </c>
      <c r="Q96" s="59">
        <f t="shared" si="142"/>
        <v>2595.0500000000002</v>
      </c>
      <c r="R96" s="272">
        <f t="shared" si="143"/>
        <v>2854.5550000000003</v>
      </c>
      <c r="S96" s="40">
        <f>'Tariffs Jul2023'!AN90</f>
        <v>0</v>
      </c>
      <c r="T96" s="40">
        <f>'Tariffs Jul2023'!AO90</f>
        <v>7</v>
      </c>
      <c r="U96" s="40">
        <f>'Tariffs Jul2023'!AP90</f>
        <v>0</v>
      </c>
      <c r="V96" s="637">
        <f>'Tariffs Jul2023'!AQ90</f>
        <v>3</v>
      </c>
      <c r="W96" s="578" t="str">
        <f t="shared" si="112"/>
        <v>Guaranteed off usage</v>
      </c>
      <c r="X96" s="538" t="str">
        <f t="shared" si="113"/>
        <v>Exclusive</v>
      </c>
      <c r="Y96" s="535">
        <f>Q96-(P96*T96)/100</f>
        <v>2422.4929999999999</v>
      </c>
      <c r="Z96" s="535">
        <f>Y96-(P96*V96)/100</f>
        <v>2348.54</v>
      </c>
      <c r="AA96" s="542">
        <f t="shared" si="120"/>
        <v>2664.7423000000003</v>
      </c>
      <c r="AB96" s="609">
        <f t="shared" si="120"/>
        <v>2583.3940000000002</v>
      </c>
      <c r="AC96" s="625"/>
      <c r="AD96" s="625"/>
      <c r="AE96" s="625"/>
      <c r="AF96" s="625"/>
      <c r="AG96" s="625"/>
      <c r="AH96" s="625"/>
      <c r="AI96" s="625"/>
      <c r="AJ96" s="625"/>
      <c r="AK96" s="625"/>
      <c r="AL96" s="625"/>
      <c r="AM96" s="625"/>
      <c r="AN96" s="625"/>
      <c r="AO96" s="625"/>
      <c r="AP96" s="625"/>
      <c r="AQ96" s="625"/>
      <c r="AR96" s="625"/>
      <c r="AS96" s="625"/>
      <c r="AT96" s="625"/>
    </row>
    <row r="97" spans="1:46" ht="14" x14ac:dyDescent="0.15">
      <c r="A97" s="270" t="str">
        <f>'Tariffs Jul2023'!F91</f>
        <v>Tango Energy</v>
      </c>
      <c r="B97" s="40" t="str">
        <f>'Tariffs Jul2023'!D91</f>
        <v>AusNet Services West</v>
      </c>
      <c r="C97" s="40" t="str">
        <f>'Tariffs Jul2023'!G91</f>
        <v>Home Select</v>
      </c>
      <c r="D97" s="59">
        <f>365*'Tariffs Jul2023'!H91/100</f>
        <v>437.99999999999994</v>
      </c>
      <c r="E97" s="59">
        <f>IF($C$5*'Tariffs Jul2023'!AK91/'Tariffs Jul2023'!AI91&gt;='Tariffs Jul2023'!J91,( 'Tariffs Jul2023'!J91*'Tariffs Jul2023'!O91/100)* 'Tariffs Jul2023'!AI91,($C$5*'Tariffs Jul2023'!AK91/'Tariffs Jul2023'!AI91*'Tariffs Jul2023'!O91/100)* 'Tariffs Jul2023'!AI91)</f>
        <v>390.54545454545456</v>
      </c>
      <c r="F97" s="59">
        <f>IF($C$5*'Tariffs Jul2023'!AK91/'Tariffs Jul2023'!AI91&lt;'Tariffs Jul2023'!J91,0,IF($C$5*'Tariffs Jul2023'!AK91/'Tariffs Jul2023'!AI91&lt;='Tariffs Jul2023'!K91,($C$5*'Tariffs Jul2023'!AK91/'Tariffs Jul2023'!AI91-'Tariffs Jul2023'!J91)*('Tariffs Jul2023'!P91/100)*'Tariffs Jul2023'!AI91,('Tariffs Jul2023'!K91-'Tariffs Jul2023'!J91)*('Tariffs Jul2023'!P91/100)*'Tariffs Jul2023'!AI91))</f>
        <v>278.93489999999991</v>
      </c>
      <c r="G97" s="59">
        <f>IF($C$5*'Tariffs Jul2023'!AK91/'Tariffs Jul2023'!AI91&lt;'Tariffs Jul2023'!K91,0,IF($C$5*'Tariffs Jul2023'!AK91/'Tariffs Jul2023'!AI91&lt;='Tariffs Jul2023'!L91,($C$5*'Tariffs Jul2023'!AK91/'Tariffs Jul2023'!AI91-'Tariffs Jul2023'!K91)*('Tariffs Jul2023'!Q91/100)*'Tariffs Jul2023'!AI91,('Tariffs Jul2023'!L91-'Tariffs Jul2023'!K91)*('Tariffs Jul2023'!Q91/100)*'Tariffs Jul2023'!AI91))</f>
        <v>0</v>
      </c>
      <c r="H97" s="59">
        <f>IF($C$5*'Tariffs Jul2023'!AK91/'Tariffs Jul2023'!AI91&lt;'Tariffs Jul2023'!L91,0,IF($C$5*'Tariffs Jul2023'!AK91/'Tariffs Jul2023'!AI91&lt;='Tariffs Jul2023'!M91,($C$5*'Tariffs Jul2023'!AK91/'Tariffs Jul2023'!AI91-'Tariffs Jul2023'!L91)*('Tariffs Jul2023'!R91/100)*'Tariffs Jul2023'!AI91,('Tariffs Jul2023'!M91-'Tariffs Jul2023'!L91)*('Tariffs Jul2023'!R91/100)*'Tariffs Jul2023'!AI91))</f>
        <v>0</v>
      </c>
      <c r="I97" s="69">
        <f>IF(($C$5*'Tariffs Jul2023'!AK91/'Tariffs Jul2023'!AI91&gt;'Tariffs Jul2023'!M91),($C$5*'Tariffs Jul2023'!AK91/'Tariffs Jul2023'!AI91-'Tariffs Jul2023'!M91)*'Tariffs Jul2023'!S91/100*'Tariffs Jul2023'!AI91,0)</f>
        <v>0</v>
      </c>
      <c r="J97" s="69">
        <f>IF($C$5*'Tariffs Jul2023'!AL91/'Tariffs Jul2023'!AJ91&gt;='Tariffs Jul2023'!J91,('Tariffs Jul2023'!J91*'Tariffs Jul2023'!U91/100)* 'Tariffs Jul2023'!AJ91,($C$5*'Tariffs Jul2023'!AL91/'Tariffs Jul2023'!AJ91*'Tariffs Jul2023'!U91/100)* 'Tariffs Jul2023'!AJ91)</f>
        <v>733.09090909090901</v>
      </c>
      <c r="K97" s="69">
        <f>IF($C$5*'Tariffs Jul2023'!AL91/'Tariffs Jul2023'!AJ91&lt;'Tariffs Jul2023'!J91,0,IF($C$5*'Tariffs Jul2023'!AL91/'Tariffs Jul2023'!AJ91&lt;='Tariffs Jul2023'!K91,($C$5*'Tariffs Jul2023'!AL91/'Tariffs Jul2023'!AJ91-'Tariffs Jul2023'!J91)*('Tariffs Jul2023'!V91/100)*'Tariffs Jul2023'!AJ91,('Tariffs Jul2023'!K91-'Tariffs Jul2023'!J91)*('Tariffs Jul2023'!V91/100)*'Tariffs Jul2023'!AJ91))</f>
        <v>521.87819999999988</v>
      </c>
      <c r="L97" s="69">
        <f>IF($C$5*'Tariffs Jul2023'!AL91/'Tariffs Jul2023'!AJ91&lt;'Tariffs Jul2023'!K91,0,IF($C$5*'Tariffs Jul2023'!AL91/'Tariffs Jul2023'!AJ91&lt;='Tariffs Jul2023'!L91,($C$5*'Tariffs Jul2023'!AL91/'Tariffs Jul2023'!AJ91-'Tariffs Jul2023'!K91)*('Tariffs Jul2023'!W91/100)*'Tariffs Jul2023'!AJ91,('Tariffs Jul2023'!L91-'Tariffs Jul2023'!K91)*('Tariffs Jul2023'!W91/100)*'Tariffs Jul2023'!AJ91))</f>
        <v>0</v>
      </c>
      <c r="M97" s="69">
        <f>IF($C$5*'Tariffs Jul2023'!AL91/'Tariffs Jul2023'!AJ91&lt;'Tariffs Jul2023'!L91,0,IF($C$5*'Tariffs Jul2023'!AL91/'Tariffs Jul2023'!AJ91&lt;='Tariffs Jul2023'!M91,($C$5*'Tariffs Jul2023'!AL91/'Tariffs Jul2023'!AJ91-'Tariffs Jul2023'!L91)*('Tariffs Jul2023'!X91/100)*'Tariffs Jul2023'!AJ91,('Tariffs Jul2023'!M91-'Tariffs Jul2023'!L91)*('Tariffs Jul2023'!X91/100)*'Tariffs Jul2023'!AJ91))</f>
        <v>0</v>
      </c>
      <c r="N97" s="69">
        <f>IF(($C$5*'Tariffs Jul2023'!AL91/'Tariffs Jul2023'!AJ91&gt;'Tariffs Jul2023'!M91),($C$5*'Tariffs Jul2023'!AL91/'Tariffs Jul2023'!AJ91-'Tariffs Jul2023'!M91)*'Tariffs Jul2023'!Y91/100*'Tariffs Jul2023'!AJ91,0)</f>
        <v>0</v>
      </c>
      <c r="O97" s="59">
        <f t="shared" si="140"/>
        <v>1924.4494636363634</v>
      </c>
      <c r="P97" s="503">
        <f t="shared" si="141"/>
        <v>2116.8944099999999</v>
      </c>
      <c r="Q97" s="59">
        <f t="shared" si="142"/>
        <v>2362.4494636363634</v>
      </c>
      <c r="R97" s="272">
        <f t="shared" si="143"/>
        <v>2598.6944100000001</v>
      </c>
      <c r="S97" s="40">
        <f>'Tariffs Jul2023'!AN91</f>
        <v>0</v>
      </c>
      <c r="T97" s="40">
        <f>'Tariffs Jul2023'!AO91</f>
        <v>0</v>
      </c>
      <c r="U97" s="40">
        <f>'Tariffs Jul2023'!AP91</f>
        <v>0</v>
      </c>
      <c r="V97" s="637">
        <f>'Tariffs Jul2023'!AQ91</f>
        <v>0</v>
      </c>
      <c r="W97" s="578" t="str">
        <f t="shared" si="112"/>
        <v>No discount</v>
      </c>
      <c r="X97" s="538" t="str">
        <f t="shared" si="113"/>
        <v>Exclusive</v>
      </c>
      <c r="Y97" s="535">
        <f>Q97-(P97*T97)/100</f>
        <v>2362.4494636363634</v>
      </c>
      <c r="Z97" s="535">
        <f>Y97-(P97*V97)/100</f>
        <v>2362.4494636363634</v>
      </c>
      <c r="AA97" s="542">
        <f t="shared" si="120"/>
        <v>2598.6944100000001</v>
      </c>
      <c r="AB97" s="609">
        <f t="shared" si="120"/>
        <v>2598.6944100000001</v>
      </c>
      <c r="AC97" s="625"/>
      <c r="AD97" s="625"/>
      <c r="AE97" s="625"/>
      <c r="AF97" s="625"/>
      <c r="AG97" s="625"/>
      <c r="AH97" s="625"/>
      <c r="AI97" s="625"/>
      <c r="AJ97" s="625"/>
      <c r="AK97" s="625"/>
      <c r="AL97" s="625"/>
      <c r="AM97" s="625"/>
      <c r="AN97" s="625"/>
      <c r="AO97" s="625"/>
      <c r="AP97" s="625"/>
      <c r="AQ97" s="625"/>
      <c r="AR97" s="625"/>
      <c r="AS97" s="625"/>
      <c r="AT97" s="625"/>
    </row>
    <row r="98" spans="1:46" ht="14" x14ac:dyDescent="0.15">
      <c r="A98" s="270" t="str">
        <f>'Tariffs Jul2023'!F92</f>
        <v>Momentum Energy</v>
      </c>
      <c r="B98" s="40" t="str">
        <f>'Tariffs Jul2023'!D92</f>
        <v>AusNet Services West</v>
      </c>
      <c r="C98" s="40" t="str">
        <f>'Tariffs Jul2023'!G92</f>
        <v>Nothing Fancy</v>
      </c>
      <c r="D98" s="59">
        <f>365*'Tariffs Jul2023'!H92/100</f>
        <v>463.185</v>
      </c>
      <c r="E98" s="59">
        <f>IF($C$5*'Tariffs Jul2023'!AK92/'Tariffs Jul2023'!AI92&gt;='Tariffs Jul2023'!J92,( 'Tariffs Jul2023'!J92*'Tariffs Jul2023'!O92/100)* 'Tariffs Jul2023'!AI92,($C$5*'Tariffs Jul2023'!AK92/'Tariffs Jul2023'!AI92*'Tariffs Jul2023'!O92/100)* 'Tariffs Jul2023'!AI92)</f>
        <v>311.99999999999994</v>
      </c>
      <c r="F98" s="59">
        <f>IF($C$5*'Tariffs Jul2023'!AK92/'Tariffs Jul2023'!AI92&lt;'Tariffs Jul2023'!J92,0,IF($C$5*'Tariffs Jul2023'!AK92/'Tariffs Jul2023'!AI92&lt;='Tariffs Jul2023'!K92,($C$5*'Tariffs Jul2023'!AK92/'Tariffs Jul2023'!AI92-'Tariffs Jul2023'!J92)*('Tariffs Jul2023'!P92/100)*'Tariffs Jul2023'!AI92,('Tariffs Jul2023'!K92-'Tariffs Jul2023'!J92)*('Tariffs Jul2023'!P92/100)*'Tariffs Jul2023'!AI92))</f>
        <v>224.94749999999996</v>
      </c>
      <c r="G98" s="59">
        <f>IF($C$5*'Tariffs Jul2023'!AK92/'Tariffs Jul2023'!AI92&lt;'Tariffs Jul2023'!K92,0,IF($C$5*'Tariffs Jul2023'!AK92/'Tariffs Jul2023'!AI92&lt;='Tariffs Jul2023'!L92,($C$5*'Tariffs Jul2023'!AK92/'Tariffs Jul2023'!AI92-'Tariffs Jul2023'!K92)*('Tariffs Jul2023'!Q92/100)*'Tariffs Jul2023'!AI92,('Tariffs Jul2023'!L92-'Tariffs Jul2023'!K92)*('Tariffs Jul2023'!Q92/100)*'Tariffs Jul2023'!AI92))</f>
        <v>0</v>
      </c>
      <c r="H98" s="59">
        <f>IF($C$5*'Tariffs Jul2023'!AK92/'Tariffs Jul2023'!AI92&lt;'Tariffs Jul2023'!L92,0,IF($C$5*'Tariffs Jul2023'!AK92/'Tariffs Jul2023'!AI92&lt;='Tariffs Jul2023'!M92,($C$5*'Tariffs Jul2023'!AK92/'Tariffs Jul2023'!AI92-'Tariffs Jul2023'!L92)*('Tariffs Jul2023'!R92/100)*'Tariffs Jul2023'!AI92,('Tariffs Jul2023'!M92-'Tariffs Jul2023'!L92)*('Tariffs Jul2023'!R92/100)*'Tariffs Jul2023'!AI92))</f>
        <v>0</v>
      </c>
      <c r="I98" s="69">
        <f>IF(($C$5*'Tariffs Jul2023'!AK92/'Tariffs Jul2023'!AI92&gt;'Tariffs Jul2023'!M92),($C$5*'Tariffs Jul2023'!AK92/'Tariffs Jul2023'!AI92-'Tariffs Jul2023'!M92)*'Tariffs Jul2023'!S92/100*'Tariffs Jul2023'!AI92,0)</f>
        <v>0</v>
      </c>
      <c r="J98" s="69">
        <f>IF($C$5*'Tariffs Jul2023'!AL92/'Tariffs Jul2023'!AJ92&gt;='Tariffs Jul2023'!J92,('Tariffs Jul2023'!J92*'Tariffs Jul2023'!U92/100)* 'Tariffs Jul2023'!AJ92,($C$5*'Tariffs Jul2023'!AL92/'Tariffs Jul2023'!AJ92*'Tariffs Jul2023'!U92/100)* 'Tariffs Jul2023'!AJ92)</f>
        <v>551.99999999999989</v>
      </c>
      <c r="K98" s="69">
        <f>IF($C$5*'Tariffs Jul2023'!AL92/'Tariffs Jul2023'!AJ92&lt;'Tariffs Jul2023'!J92,0,IF($C$5*'Tariffs Jul2023'!AL92/'Tariffs Jul2023'!AJ92&lt;='Tariffs Jul2023'!K92,($C$5*'Tariffs Jul2023'!AL92/'Tariffs Jul2023'!AJ92-'Tariffs Jul2023'!J92)*('Tariffs Jul2023'!V92/100)*'Tariffs Jul2023'!AJ92,('Tariffs Jul2023'!K92-'Tariffs Jul2023'!J92)*('Tariffs Jul2023'!V92/100)*'Tariffs Jul2023'!AJ92))</f>
        <v>413.90339999999992</v>
      </c>
      <c r="L98" s="69">
        <f>IF($C$5*'Tariffs Jul2023'!AL92/'Tariffs Jul2023'!AJ92&lt;'Tariffs Jul2023'!K92,0,IF($C$5*'Tariffs Jul2023'!AL92/'Tariffs Jul2023'!AJ92&lt;='Tariffs Jul2023'!L92,($C$5*'Tariffs Jul2023'!AL92/'Tariffs Jul2023'!AJ92-'Tariffs Jul2023'!K92)*('Tariffs Jul2023'!W92/100)*'Tariffs Jul2023'!AJ92,('Tariffs Jul2023'!L92-'Tariffs Jul2023'!K92)*('Tariffs Jul2023'!W92/100)*'Tariffs Jul2023'!AJ92))</f>
        <v>0</v>
      </c>
      <c r="M98" s="69">
        <f>IF($C$5*'Tariffs Jul2023'!AL92/'Tariffs Jul2023'!AJ92&lt;'Tariffs Jul2023'!L92,0,IF($C$5*'Tariffs Jul2023'!AL92/'Tariffs Jul2023'!AJ92&lt;='Tariffs Jul2023'!M92,($C$5*'Tariffs Jul2023'!AL92/'Tariffs Jul2023'!AJ92-'Tariffs Jul2023'!L92)*('Tariffs Jul2023'!X92/100)*'Tariffs Jul2023'!AJ92,('Tariffs Jul2023'!M92-'Tariffs Jul2023'!L92)*('Tariffs Jul2023'!X92/100)*'Tariffs Jul2023'!AJ92))</f>
        <v>0</v>
      </c>
      <c r="N98" s="69">
        <f>IF(($C$5*'Tariffs Jul2023'!AL92/'Tariffs Jul2023'!AJ92&gt;'Tariffs Jul2023'!M92),($C$5*'Tariffs Jul2023'!AL92/'Tariffs Jul2023'!AJ92-'Tariffs Jul2023'!M92)*'Tariffs Jul2023'!Y92/100*'Tariffs Jul2023'!AJ92,0)</f>
        <v>0</v>
      </c>
      <c r="O98" s="59">
        <f t="shared" si="140"/>
        <v>1502.8508999999997</v>
      </c>
      <c r="P98" s="503">
        <f t="shared" si="141"/>
        <v>1653.1359899999998</v>
      </c>
      <c r="Q98" s="59">
        <f t="shared" si="142"/>
        <v>1966.0358999999996</v>
      </c>
      <c r="R98" s="272">
        <f t="shared" si="143"/>
        <v>2162.6394899999996</v>
      </c>
      <c r="S98" s="40">
        <f>'Tariffs Jul2023'!AN92</f>
        <v>0</v>
      </c>
      <c r="T98" s="40">
        <f>'Tariffs Jul2023'!AO92</f>
        <v>0</v>
      </c>
      <c r="U98" s="40">
        <f>'Tariffs Jul2023'!AP92</f>
        <v>0</v>
      </c>
      <c r="V98" s="637">
        <f>'Tariffs Jul2023'!AQ92</f>
        <v>0</v>
      </c>
      <c r="W98" s="578" t="str">
        <f t="shared" si="112"/>
        <v>No discount</v>
      </c>
      <c r="X98" s="538" t="str">
        <f t="shared" si="113"/>
        <v>Exclusive</v>
      </c>
      <c r="Y98" s="535">
        <f t="shared" ref="Y98:Y99" si="144">Q98-(P98*T98)/100</f>
        <v>1966.0358999999996</v>
      </c>
      <c r="Z98" s="535">
        <f t="shared" ref="Z98:Z99" si="145">Y98-(P98*V98)/100</f>
        <v>1966.0358999999996</v>
      </c>
      <c r="AA98" s="542">
        <f t="shared" si="120"/>
        <v>2162.6394899999996</v>
      </c>
      <c r="AB98" s="609">
        <f t="shared" si="120"/>
        <v>2162.6394899999996</v>
      </c>
      <c r="AC98" s="625"/>
      <c r="AD98" s="625"/>
      <c r="AE98" s="625"/>
      <c r="AF98" s="625"/>
      <c r="AG98" s="625"/>
      <c r="AH98" s="625"/>
      <c r="AI98" s="625"/>
      <c r="AJ98" s="625"/>
      <c r="AK98" s="625"/>
      <c r="AL98" s="625"/>
      <c r="AM98" s="625"/>
      <c r="AN98" s="625"/>
      <c r="AO98" s="625"/>
      <c r="AP98" s="625"/>
      <c r="AQ98" s="625"/>
      <c r="AR98" s="625"/>
      <c r="AS98" s="625"/>
      <c r="AT98" s="625"/>
    </row>
    <row r="99" spans="1:46" ht="14" x14ac:dyDescent="0.15">
      <c r="A99" s="270" t="str">
        <f>'Tariffs Jul2023'!F93</f>
        <v>Sumo Power</v>
      </c>
      <c r="B99" s="40" t="str">
        <f>'Tariffs Jul2023'!D93</f>
        <v>AusNet Services West</v>
      </c>
      <c r="C99" s="40" t="str">
        <f>'Tariffs Jul2023'!G93</f>
        <v>Lite</v>
      </c>
      <c r="D99" s="59">
        <f>365*'Tariffs Jul2023'!H93/100</f>
        <v>328.49999999999994</v>
      </c>
      <c r="E99" s="59">
        <f>IF($C$5*'Tariffs Jul2023'!AK93/'Tariffs Jul2023'!AI93&gt;='Tariffs Jul2023'!J93,( 'Tariffs Jul2023'!J93*'Tariffs Jul2023'!O93/100)* 'Tariffs Jul2023'!AI93,($C$5*'Tariffs Jul2023'!AK93/'Tariffs Jul2023'!AI93*'Tariffs Jul2023'!O93/100)* 'Tariffs Jul2023'!AI93)</f>
        <v>294.54545454545456</v>
      </c>
      <c r="F99" s="59">
        <f>IF($C$5*'Tariffs Jul2023'!AK93/'Tariffs Jul2023'!AI93&lt;'Tariffs Jul2023'!J93,0,IF($C$5*'Tariffs Jul2023'!AK93/'Tariffs Jul2023'!AI93&lt;='Tariffs Jul2023'!K93,($C$5*'Tariffs Jul2023'!AK93/'Tariffs Jul2023'!AI93-'Tariffs Jul2023'!J93)*('Tariffs Jul2023'!P93/100)*'Tariffs Jul2023'!AI93,('Tariffs Jul2023'!K93-'Tariffs Jul2023'!J93)*('Tariffs Jul2023'!P93/100)*'Tariffs Jul2023'!AI93))</f>
        <v>218.40357272727263</v>
      </c>
      <c r="G99" s="59">
        <f>IF($C$5*'Tariffs Jul2023'!AK93/'Tariffs Jul2023'!AI93&lt;'Tariffs Jul2023'!K93,0,IF($C$5*'Tariffs Jul2023'!AK93/'Tariffs Jul2023'!AI93&lt;='Tariffs Jul2023'!L93,($C$5*'Tariffs Jul2023'!AK93/'Tariffs Jul2023'!AI93-'Tariffs Jul2023'!K93)*('Tariffs Jul2023'!Q93/100)*'Tariffs Jul2023'!AI93,('Tariffs Jul2023'!L93-'Tariffs Jul2023'!K93)*('Tariffs Jul2023'!Q93/100)*'Tariffs Jul2023'!AI93))</f>
        <v>0</v>
      </c>
      <c r="H99" s="59">
        <f>IF($C$5*'Tariffs Jul2023'!AK93/'Tariffs Jul2023'!AI93&lt;'Tariffs Jul2023'!L93,0,IF($C$5*'Tariffs Jul2023'!AK93/'Tariffs Jul2023'!AI93&lt;='Tariffs Jul2023'!M93,($C$5*'Tariffs Jul2023'!AK93/'Tariffs Jul2023'!AI93-'Tariffs Jul2023'!L93)*('Tariffs Jul2023'!R93/100)*'Tariffs Jul2023'!AI93,('Tariffs Jul2023'!M93-'Tariffs Jul2023'!L93)*('Tariffs Jul2023'!R93/100)*'Tariffs Jul2023'!AI93))</f>
        <v>0</v>
      </c>
      <c r="I99" s="69">
        <f>IF(($C$5*'Tariffs Jul2023'!AK93/'Tariffs Jul2023'!AI93&gt;'Tariffs Jul2023'!M93),($C$5*'Tariffs Jul2023'!AK93/'Tariffs Jul2023'!AI93-'Tariffs Jul2023'!M93)*'Tariffs Jul2023'!S93/100*'Tariffs Jul2023'!AI93,0)</f>
        <v>0</v>
      </c>
      <c r="J99" s="69">
        <f>IF($C$5*'Tariffs Jul2023'!AL93/'Tariffs Jul2023'!AJ93&gt;='Tariffs Jul2023'!J93,('Tariffs Jul2023'!J93*'Tariffs Jul2023'!U93/100)* 'Tariffs Jul2023'!AJ93,($C$5*'Tariffs Jul2023'!AL93/'Tariffs Jul2023'!AJ93*'Tariffs Jul2023'!U93/100)* 'Tariffs Jul2023'!AJ93)</f>
        <v>475.63636363636363</v>
      </c>
      <c r="K99" s="69">
        <f>IF($C$5*'Tariffs Jul2023'!AL93/'Tariffs Jul2023'!AJ93&lt;'Tariffs Jul2023'!J93,0,IF($C$5*'Tariffs Jul2023'!AL93/'Tariffs Jul2023'!AJ93&lt;='Tariffs Jul2023'!K93,($C$5*'Tariffs Jul2023'!AL93/'Tariffs Jul2023'!AJ93-'Tariffs Jul2023'!J93)*('Tariffs Jul2023'!V93/100)*'Tariffs Jul2023'!AJ93,('Tariffs Jul2023'!K93-'Tariffs Jul2023'!J93)*('Tariffs Jul2023'!V93/100)*'Tariffs Jul2023'!AJ93))</f>
        <v>353.37207272727261</v>
      </c>
      <c r="L99" s="69">
        <f>IF($C$5*'Tariffs Jul2023'!AL93/'Tariffs Jul2023'!AJ93&lt;'Tariffs Jul2023'!K93,0,IF($C$5*'Tariffs Jul2023'!AL93/'Tariffs Jul2023'!AJ93&lt;='Tariffs Jul2023'!L93,($C$5*'Tariffs Jul2023'!AL93/'Tariffs Jul2023'!AJ93-'Tariffs Jul2023'!K93)*('Tariffs Jul2023'!W93/100)*'Tariffs Jul2023'!AJ93,('Tariffs Jul2023'!L93-'Tariffs Jul2023'!K93)*('Tariffs Jul2023'!W93/100)*'Tariffs Jul2023'!AJ93))</f>
        <v>0</v>
      </c>
      <c r="M99" s="69">
        <f>IF($C$5*'Tariffs Jul2023'!AL93/'Tariffs Jul2023'!AJ93&lt;'Tariffs Jul2023'!L93,0,IF($C$5*'Tariffs Jul2023'!AL93/'Tariffs Jul2023'!AJ93&lt;='Tariffs Jul2023'!M93,($C$5*'Tariffs Jul2023'!AL93/'Tariffs Jul2023'!AJ93-'Tariffs Jul2023'!L93)*('Tariffs Jul2023'!X93/100)*'Tariffs Jul2023'!AJ93,('Tariffs Jul2023'!M93-'Tariffs Jul2023'!L93)*('Tariffs Jul2023'!X93/100)*'Tariffs Jul2023'!AJ93))</f>
        <v>0</v>
      </c>
      <c r="N99" s="69">
        <f>IF(($C$5*'Tariffs Jul2023'!AL93/'Tariffs Jul2023'!AJ93&gt;'Tariffs Jul2023'!M93),($C$5*'Tariffs Jul2023'!AL93/'Tariffs Jul2023'!AJ93-'Tariffs Jul2023'!M93)*'Tariffs Jul2023'!Y93/100*'Tariffs Jul2023'!AJ93,0)</f>
        <v>0</v>
      </c>
      <c r="O99" s="59">
        <f t="shared" si="140"/>
        <v>1341.9574636363634</v>
      </c>
      <c r="P99" s="503">
        <f t="shared" si="141"/>
        <v>1476.1532099999999</v>
      </c>
      <c r="Q99" s="59">
        <f t="shared" si="142"/>
        <v>1670.4574636363634</v>
      </c>
      <c r="R99" s="272">
        <f t="shared" si="143"/>
        <v>1837.5032099999999</v>
      </c>
      <c r="S99" s="40">
        <f>'Tariffs Jul2023'!AN93</f>
        <v>0</v>
      </c>
      <c r="T99" s="40">
        <f>'Tariffs Jul2023'!AO93</f>
        <v>0</v>
      </c>
      <c r="U99" s="40">
        <f>'Tariffs Jul2023'!AP93</f>
        <v>0</v>
      </c>
      <c r="V99" s="637">
        <f>'Tariffs Jul2023'!AQ93</f>
        <v>0</v>
      </c>
      <c r="W99" s="578" t="str">
        <f t="shared" si="112"/>
        <v>No discount</v>
      </c>
      <c r="X99" s="538" t="str">
        <f t="shared" si="113"/>
        <v>Exclusive</v>
      </c>
      <c r="Y99" s="535">
        <f t="shared" si="144"/>
        <v>1670.4574636363634</v>
      </c>
      <c r="Z99" s="535">
        <f t="shared" si="145"/>
        <v>1670.4574636363634</v>
      </c>
      <c r="AA99" s="542">
        <f t="shared" si="120"/>
        <v>1837.5032099999999</v>
      </c>
      <c r="AB99" s="609">
        <f t="shared" si="120"/>
        <v>1837.5032099999999</v>
      </c>
      <c r="AC99" s="625"/>
      <c r="AD99" s="625"/>
      <c r="AE99" s="625"/>
      <c r="AF99" s="625"/>
      <c r="AG99" s="625"/>
      <c r="AH99" s="625"/>
      <c r="AI99" s="625"/>
      <c r="AJ99" s="625"/>
      <c r="AK99" s="625"/>
      <c r="AL99" s="625"/>
      <c r="AM99" s="625"/>
      <c r="AN99" s="625"/>
      <c r="AO99" s="625"/>
      <c r="AP99" s="625"/>
      <c r="AQ99" s="625"/>
      <c r="AR99" s="625"/>
      <c r="AS99" s="625"/>
      <c r="AT99" s="625"/>
    </row>
    <row r="100" spans="1:46" ht="14" x14ac:dyDescent="0.15">
      <c r="A100" s="270" t="str">
        <f>'Tariffs Jul2023'!F94</f>
        <v>CovaU</v>
      </c>
      <c r="B100" s="40" t="str">
        <f>'Tariffs Jul2023'!D94</f>
        <v>AusNet Services West</v>
      </c>
      <c r="C100" s="40" t="str">
        <f>'Tariffs Jul2023'!G94</f>
        <v>Super Saver</v>
      </c>
      <c r="D100" s="59">
        <f>365*'Tariffs Jul2023'!H94/100</f>
        <v>310.68136363636359</v>
      </c>
      <c r="E100" s="59">
        <f>IF($C$5*'Tariffs Jul2023'!AK94/'Tariffs Jul2023'!AI94&gt;='Tariffs Jul2023'!J94,( 'Tariffs Jul2023'!J94*'Tariffs Jul2023'!O94/100)* 'Tariffs Jul2023'!AI94,($C$5*'Tariffs Jul2023'!AK94/'Tariffs Jul2023'!AI94*'Tariffs Jul2023'!O94/100)* 'Tariffs Jul2023'!AI94)</f>
        <v>296.72727272727275</v>
      </c>
      <c r="F100" s="59">
        <f>IF($C$5*'Tariffs Jul2023'!AK94/'Tariffs Jul2023'!AI94&lt;'Tariffs Jul2023'!J94,0,IF($C$5*'Tariffs Jul2023'!AK94/'Tariffs Jul2023'!AI94&lt;='Tariffs Jul2023'!K94,($C$5*'Tariffs Jul2023'!AK94/'Tariffs Jul2023'!AI94-'Tariffs Jul2023'!J94)*('Tariffs Jul2023'!P94/100)*'Tariffs Jul2023'!AI94,('Tariffs Jul2023'!K94-'Tariffs Jul2023'!J94)*('Tariffs Jul2023'!P94/100)*'Tariffs Jul2023'!AI94))</f>
        <v>215.13160909090902</v>
      </c>
      <c r="G100" s="59">
        <f>IF($C$5*'Tariffs Jul2023'!AK94/'Tariffs Jul2023'!AI94&lt;'Tariffs Jul2023'!K94,0,IF($C$5*'Tariffs Jul2023'!AK94/'Tariffs Jul2023'!AI94&lt;='Tariffs Jul2023'!L94,($C$5*'Tariffs Jul2023'!AK94/'Tariffs Jul2023'!AI94-'Tariffs Jul2023'!K94)*('Tariffs Jul2023'!Q94/100)*'Tariffs Jul2023'!AI94,('Tariffs Jul2023'!L94-'Tariffs Jul2023'!K94)*('Tariffs Jul2023'!Q94/100)*'Tariffs Jul2023'!AI94))</f>
        <v>0</v>
      </c>
      <c r="H100" s="59">
        <f>IF($C$5*'Tariffs Jul2023'!AK94/'Tariffs Jul2023'!AI94&lt;'Tariffs Jul2023'!L94,0,IF($C$5*'Tariffs Jul2023'!AK94/'Tariffs Jul2023'!AI94&lt;='Tariffs Jul2023'!M94,($C$5*'Tariffs Jul2023'!AK94/'Tariffs Jul2023'!AI94-'Tariffs Jul2023'!L94)*('Tariffs Jul2023'!R94/100)*'Tariffs Jul2023'!AI94,('Tariffs Jul2023'!M94-'Tariffs Jul2023'!L94)*('Tariffs Jul2023'!R94/100)*'Tariffs Jul2023'!AI94))</f>
        <v>0</v>
      </c>
      <c r="I100" s="69">
        <f>IF(($C$5*'Tariffs Jul2023'!AK94/'Tariffs Jul2023'!AI94&gt;'Tariffs Jul2023'!M94),($C$5*'Tariffs Jul2023'!AK94/'Tariffs Jul2023'!AI94-'Tariffs Jul2023'!M94)*'Tariffs Jul2023'!S94/100*'Tariffs Jul2023'!AI94,0)</f>
        <v>0</v>
      </c>
      <c r="J100" s="69">
        <f>IF($C$5*'Tariffs Jul2023'!AL94/'Tariffs Jul2023'!AJ94&gt;='Tariffs Jul2023'!J94,('Tariffs Jul2023'!J94*'Tariffs Jul2023'!U94/100)* 'Tariffs Jul2023'!AJ94,($C$5*'Tariffs Jul2023'!AL94/'Tariffs Jul2023'!AJ94*'Tariffs Jul2023'!U94/100)* 'Tariffs Jul2023'!AJ94)</f>
        <v>549.81818181818176</v>
      </c>
      <c r="K100" s="69">
        <f>IF($C$5*'Tariffs Jul2023'!AL94/'Tariffs Jul2023'!AJ94&lt;'Tariffs Jul2023'!J94,0,IF($C$5*'Tariffs Jul2023'!AL94/'Tariffs Jul2023'!AJ94&lt;='Tariffs Jul2023'!K94,($C$5*'Tariffs Jul2023'!AL94/'Tariffs Jul2023'!AJ94-'Tariffs Jul2023'!J94)*('Tariffs Jul2023'!V94/100)*'Tariffs Jul2023'!AJ94,('Tariffs Jul2023'!K94-'Tariffs Jul2023'!J94)*('Tariffs Jul2023'!V94/100)*'Tariffs Jul2023'!AJ94))</f>
        <v>340.28421818181812</v>
      </c>
      <c r="L100" s="69">
        <f>IF($C$5*'Tariffs Jul2023'!AL94/'Tariffs Jul2023'!AJ94&lt;'Tariffs Jul2023'!K94,0,IF($C$5*'Tariffs Jul2023'!AL94/'Tariffs Jul2023'!AJ94&lt;='Tariffs Jul2023'!L94,($C$5*'Tariffs Jul2023'!AL94/'Tariffs Jul2023'!AJ94-'Tariffs Jul2023'!K94)*('Tariffs Jul2023'!W94/100)*'Tariffs Jul2023'!AJ94,('Tariffs Jul2023'!L94-'Tariffs Jul2023'!K94)*('Tariffs Jul2023'!W94/100)*'Tariffs Jul2023'!AJ94))</f>
        <v>0</v>
      </c>
      <c r="M100" s="69">
        <f>IF($C$5*'Tariffs Jul2023'!AL94/'Tariffs Jul2023'!AJ94&lt;'Tariffs Jul2023'!L94,0,IF($C$5*'Tariffs Jul2023'!AL94/'Tariffs Jul2023'!AJ94&lt;='Tariffs Jul2023'!M94,($C$5*'Tariffs Jul2023'!AL94/'Tariffs Jul2023'!AJ94-'Tariffs Jul2023'!L94)*('Tariffs Jul2023'!X94/100)*'Tariffs Jul2023'!AJ94,('Tariffs Jul2023'!M94-'Tariffs Jul2023'!L94)*('Tariffs Jul2023'!X94/100)*'Tariffs Jul2023'!AJ94))</f>
        <v>0</v>
      </c>
      <c r="N100" s="69">
        <f>IF(($C$5*'Tariffs Jul2023'!AL94/'Tariffs Jul2023'!AJ94&gt;'Tariffs Jul2023'!M94),($C$5*'Tariffs Jul2023'!AL94/'Tariffs Jul2023'!AJ94-'Tariffs Jul2023'!M94)*'Tariffs Jul2023'!Y94/100*'Tariffs Jul2023'!AJ94,0)</f>
        <v>0</v>
      </c>
      <c r="O100" s="59">
        <f t="shared" ref="O100:O102" si="146">SUM(E100:N100)</f>
        <v>1401.9612818181818</v>
      </c>
      <c r="P100" s="503">
        <f t="shared" ref="P100" si="147">O100*1.1</f>
        <v>1542.15741</v>
      </c>
      <c r="Q100" s="59">
        <f t="shared" ref="Q100" si="148">D100+O100</f>
        <v>1712.6426454545453</v>
      </c>
      <c r="R100" s="272">
        <f t="shared" ref="R100" si="149">Q100*1.1</f>
        <v>1883.9069099999999</v>
      </c>
      <c r="S100" s="40">
        <f>'Tariffs Jul2023'!AN94</f>
        <v>0</v>
      </c>
      <c r="T100" s="40">
        <f>'Tariffs Jul2023'!AO94</f>
        <v>0</v>
      </c>
      <c r="U100" s="40">
        <f>'Tariffs Jul2023'!AP94</f>
        <v>0</v>
      </c>
      <c r="V100" s="637">
        <f>'Tariffs Jul2023'!AQ94</f>
        <v>0</v>
      </c>
      <c r="W100" s="578" t="str">
        <f t="shared" ref="W100" si="150">IF(SUM(S100:V100)=0,"No discount",IF(S100&gt;0,"Guaranteed off bill",IF(T100&gt;0,"Guaranteed off usage",IF(U100&gt;0,"Pay-on-time off bill","Pay-on-time off usage"))))</f>
        <v>No discount</v>
      </c>
      <c r="X100" s="538" t="str">
        <f t="shared" ref="X100" si="151">IF(OR(A100="Origin Energy",A100="Red Energy",A100="Powershop"),"Inclusive","Exclusive")</f>
        <v>Exclusive</v>
      </c>
      <c r="Y100" s="535">
        <f t="shared" ref="Y100" si="152">Q100-(P100*T100)/100</f>
        <v>1712.6426454545453</v>
      </c>
      <c r="Z100" s="535">
        <f t="shared" ref="Z100" si="153">Y100-(P100*V100)/100</f>
        <v>1712.6426454545453</v>
      </c>
      <c r="AA100" s="542">
        <f t="shared" ref="AA100" si="154">Y100*1.1</f>
        <v>1883.9069099999999</v>
      </c>
      <c r="AB100" s="609">
        <f t="shared" ref="AB100" si="155">Z100*1.1</f>
        <v>1883.9069099999999</v>
      </c>
      <c r="AC100" s="625"/>
      <c r="AD100" s="625"/>
      <c r="AE100" s="625"/>
      <c r="AF100" s="625"/>
      <c r="AG100" s="625"/>
      <c r="AH100" s="625"/>
      <c r="AI100" s="625"/>
      <c r="AJ100" s="625"/>
      <c r="AK100" s="625"/>
      <c r="AL100" s="625"/>
      <c r="AM100" s="625"/>
      <c r="AN100" s="625"/>
      <c r="AO100" s="625"/>
      <c r="AP100" s="625"/>
      <c r="AQ100" s="625"/>
      <c r="AR100" s="625"/>
      <c r="AS100" s="625"/>
      <c r="AT100" s="625"/>
    </row>
    <row r="101" spans="1:46" ht="14" x14ac:dyDescent="0.15">
      <c r="A101" s="270" t="str">
        <f>'Tariffs Jul2023'!F95</f>
        <v>Powershop</v>
      </c>
      <c r="B101" s="40" t="str">
        <f>'Tariffs Jul2023'!D95</f>
        <v>AusNet Services West</v>
      </c>
      <c r="C101" s="40" t="str">
        <f>'Tariffs Jul2023'!G95</f>
        <v>Carbon Neutral</v>
      </c>
      <c r="D101" s="59">
        <f>365*'Tariffs Jul2023'!H95/100</f>
        <v>344.95818181818174</v>
      </c>
      <c r="E101" s="59">
        <f>((C$5*'Tariffs Jul2023'!AK95/'Tariffs Jul2023'!AI95)*('Tariffs Jul2023'!O95/100))*'Tariffs Jul2023'!AI95</f>
        <v>893.4545454545455</v>
      </c>
      <c r="F101" s="59">
        <v>0</v>
      </c>
      <c r="G101" s="59">
        <v>0</v>
      </c>
      <c r="H101" s="59">
        <v>0</v>
      </c>
      <c r="I101" s="69">
        <v>0</v>
      </c>
      <c r="J101" s="69">
        <f>((C$5*'Tariffs Jul2023'!AL95/'Tariffs Jul2023'!AJ95)*('Tariffs Jul2023'!U95/100))*'Tariffs Jul2023'!AJ95</f>
        <v>893.4545454545455</v>
      </c>
      <c r="K101" s="69">
        <v>0</v>
      </c>
      <c r="L101" s="69">
        <v>0</v>
      </c>
      <c r="M101" s="69">
        <v>0</v>
      </c>
      <c r="N101" s="69">
        <v>0</v>
      </c>
      <c r="O101" s="59">
        <f t="shared" si="146"/>
        <v>1786.909090909091</v>
      </c>
      <c r="P101" s="503">
        <f t="shared" ref="P101:P102" si="156">O101*1.1</f>
        <v>1965.6000000000001</v>
      </c>
      <c r="Q101" s="59">
        <f t="shared" ref="Q101:Q102" si="157">D101+O101</f>
        <v>2131.8672727272728</v>
      </c>
      <c r="R101" s="272">
        <f t="shared" ref="R101:R102" si="158">Q101*1.1</f>
        <v>2345.0540000000005</v>
      </c>
      <c r="S101" s="40">
        <f>'Tariffs Jul2023'!AN95</f>
        <v>0</v>
      </c>
      <c r="T101" s="40">
        <f>'Tariffs Jul2023'!AO95</f>
        <v>0</v>
      </c>
      <c r="U101" s="40">
        <f>'Tariffs Jul2023'!AP95</f>
        <v>0</v>
      </c>
      <c r="V101" s="637">
        <f>'Tariffs Jul2023'!AQ95</f>
        <v>0</v>
      </c>
      <c r="W101" s="578" t="str">
        <f t="shared" ref="W101:W102" si="159">IF(SUM(S101:V101)=0,"No discount",IF(S101&gt;0,"Guaranteed off bill",IF(T101&gt;0,"Guaranteed off usage",IF(U101&gt;0,"Pay-on-time off bill","Pay-on-time off usage"))))</f>
        <v>No discount</v>
      </c>
      <c r="X101" s="538" t="str">
        <f t="shared" ref="X101:X102" si="160">IF(OR(A101="Origin Energy",A101="Red Energy",A101="Powershop"),"Inclusive","Exclusive")</f>
        <v>Inclusive</v>
      </c>
      <c r="Y101" s="535">
        <f t="shared" ref="Y101:Y102" si="161">Q101-(P101*T101)/100</f>
        <v>2131.8672727272728</v>
      </c>
      <c r="Z101" s="535">
        <f t="shared" ref="Z101:Z102" si="162">Y101-(P101*V101)/100</f>
        <v>2131.8672727272728</v>
      </c>
      <c r="AA101" s="542">
        <f t="shared" ref="AA101:AA102" si="163">Y101*1.1</f>
        <v>2345.0540000000005</v>
      </c>
      <c r="AB101" s="609">
        <f t="shared" ref="AB101:AB102" si="164">Z101*1.1</f>
        <v>2345.0540000000005</v>
      </c>
      <c r="AC101" s="625"/>
      <c r="AD101" s="625"/>
      <c r="AE101" s="625"/>
      <c r="AF101" s="625"/>
      <c r="AG101" s="625"/>
      <c r="AH101" s="625"/>
      <c r="AI101" s="625"/>
      <c r="AJ101" s="625"/>
      <c r="AK101" s="625"/>
      <c r="AL101" s="625"/>
      <c r="AM101" s="625"/>
      <c r="AN101" s="625"/>
      <c r="AO101" s="625"/>
      <c r="AP101" s="625"/>
      <c r="AQ101" s="625"/>
      <c r="AR101" s="625"/>
      <c r="AS101" s="625"/>
      <c r="AT101" s="625"/>
    </row>
    <row r="102" spans="1:46" ht="15" thickBot="1" x14ac:dyDescent="0.2">
      <c r="A102" s="276" t="str">
        <f>'Tariffs Jul2023'!F96</f>
        <v>Kogan</v>
      </c>
      <c r="B102" s="277" t="str">
        <f>'Tariffs Jul2023'!D96</f>
        <v>AusNet Services West</v>
      </c>
      <c r="C102" s="277" t="str">
        <f>'Tariffs Jul2023'!G96</f>
        <v>First</v>
      </c>
      <c r="D102" s="278">
        <f>365*'Tariffs Jul2023'!H96/100</f>
        <v>344.95818181818174</v>
      </c>
      <c r="E102" s="278">
        <f>((C$5*'Tariffs Jul2023'!AK96/'Tariffs Jul2023'!AI96)*('Tariffs Jul2023'!O96/100))*'Tariffs Jul2023'!AI96</f>
        <v>893.4545454545455</v>
      </c>
      <c r="F102" s="278">
        <v>0</v>
      </c>
      <c r="G102" s="278">
        <v>0</v>
      </c>
      <c r="H102" s="278">
        <v>0</v>
      </c>
      <c r="I102" s="547">
        <v>0</v>
      </c>
      <c r="J102" s="547">
        <f>((C$5*'Tariffs Jul2023'!AL96/'Tariffs Jul2023'!AJ96)*('Tariffs Jul2023'!U96/100))*'Tariffs Jul2023'!AJ96</f>
        <v>893.4545454545455</v>
      </c>
      <c r="K102" s="547">
        <v>0</v>
      </c>
      <c r="L102" s="547">
        <v>0</v>
      </c>
      <c r="M102" s="547">
        <v>0</v>
      </c>
      <c r="N102" s="547">
        <v>0</v>
      </c>
      <c r="O102" s="278">
        <f t="shared" si="146"/>
        <v>1786.909090909091</v>
      </c>
      <c r="P102" s="504">
        <f t="shared" si="156"/>
        <v>1965.6000000000001</v>
      </c>
      <c r="Q102" s="278">
        <f t="shared" si="157"/>
        <v>2131.8672727272728</v>
      </c>
      <c r="R102" s="280">
        <f t="shared" si="158"/>
        <v>2345.0540000000005</v>
      </c>
      <c r="S102" s="277">
        <f>'Tariffs Jul2023'!AN96</f>
        <v>0</v>
      </c>
      <c r="T102" s="277">
        <f>'Tariffs Jul2023'!AO96</f>
        <v>0</v>
      </c>
      <c r="U102" s="277">
        <f>'Tariffs Jul2023'!AP96</f>
        <v>0</v>
      </c>
      <c r="V102" s="638">
        <f>'Tariffs Jul2023'!AQ96</f>
        <v>0</v>
      </c>
      <c r="W102" s="585" t="str">
        <f t="shared" si="159"/>
        <v>No discount</v>
      </c>
      <c r="X102" s="541" t="str">
        <f t="shared" si="160"/>
        <v>Exclusive</v>
      </c>
      <c r="Y102" s="544">
        <f t="shared" si="161"/>
        <v>2131.8672727272728</v>
      </c>
      <c r="Z102" s="544">
        <f t="shared" si="162"/>
        <v>2131.8672727272728</v>
      </c>
      <c r="AA102" s="545">
        <f t="shared" si="163"/>
        <v>2345.0540000000005</v>
      </c>
      <c r="AB102" s="610">
        <f t="shared" si="164"/>
        <v>2345.0540000000005</v>
      </c>
      <c r="AC102" s="625"/>
      <c r="AD102" s="625"/>
      <c r="AE102" s="625"/>
      <c r="AF102" s="625"/>
      <c r="AG102" s="625"/>
      <c r="AH102" s="625"/>
      <c r="AI102" s="625"/>
      <c r="AJ102" s="625"/>
      <c r="AK102" s="625"/>
      <c r="AL102" s="625"/>
      <c r="AM102" s="625"/>
      <c r="AN102" s="625"/>
      <c r="AO102" s="625"/>
      <c r="AP102" s="625"/>
      <c r="AQ102" s="625"/>
      <c r="AR102" s="625"/>
      <c r="AS102" s="625"/>
      <c r="AT102" s="625"/>
    </row>
    <row r="103" spans="1:46" ht="15" thickTop="1" x14ac:dyDescent="0.15">
      <c r="A103" s="270" t="str">
        <f>'Tariffs Jul2023'!F97</f>
        <v>AGL</v>
      </c>
      <c r="B103" s="40" t="str">
        <f>'Tariffs Jul2023'!D97</f>
        <v>AusNet Services Central 2</v>
      </c>
      <c r="C103" s="40" t="str">
        <f>'Tariffs Jul2023'!G97</f>
        <v>Value Saver</v>
      </c>
      <c r="D103" s="59">
        <f>365*'Tariffs Jul2023'!H97/100</f>
        <v>337.62499999999994</v>
      </c>
      <c r="E103" s="59">
        <f>IF($C$5*'Tariffs Jul2023'!AK97/'Tariffs Jul2023'!AI97&gt;='Tariffs Jul2023'!J97,( 'Tariffs Jul2023'!J97*'Tariffs Jul2023'!O97/100)* 'Tariffs Jul2023'!AI97,($C$5*'Tariffs Jul2023'!AK97/'Tariffs Jul2023'!AI97*'Tariffs Jul2023'!O97/100)* 'Tariffs Jul2023'!AI97)</f>
        <v>357.81818181818176</v>
      </c>
      <c r="F103" s="59">
        <f>IF($C$5*'Tariffs Jul2023'!AK97/'Tariffs Jul2023'!AI97&lt;'Tariffs Jul2023'!J97,0,IF($C$5*'Tariffs Jul2023'!AK97/'Tariffs Jul2023'!AI97&lt;='Tariffs Jul2023'!K97,($C$5*'Tariffs Jul2023'!AK97/'Tariffs Jul2023'!AI97-'Tariffs Jul2023'!J97)*('Tariffs Jul2023'!P97/100)*'Tariffs Jul2023'!AI97,('Tariffs Jul2023'!K97-'Tariffs Jul2023'!J97)*('Tariffs Jul2023'!P97/100)*'Tariffs Jul2023'!AI97))</f>
        <v>260.12110909090899</v>
      </c>
      <c r="G103" s="59">
        <f>IF($C$5*'Tariffs Jul2023'!AK97/'Tariffs Jul2023'!AI97&lt;'Tariffs Jul2023'!K97,0,IF($C$5*'Tariffs Jul2023'!AK97/'Tariffs Jul2023'!AI97&lt;='Tariffs Jul2023'!L97,($C$5*'Tariffs Jul2023'!AK97/'Tariffs Jul2023'!AI97-'Tariffs Jul2023'!K97)*('Tariffs Jul2023'!Q97/100)*'Tariffs Jul2023'!AI97,('Tariffs Jul2023'!L97-'Tariffs Jul2023'!K97)*('Tariffs Jul2023'!Q97/100)*'Tariffs Jul2023'!AI97))</f>
        <v>0</v>
      </c>
      <c r="H103" s="59">
        <f>IF($C$5*'Tariffs Jul2023'!AK97/'Tariffs Jul2023'!AI97&lt;'Tariffs Jul2023'!L97,0,IF($C$5*'Tariffs Jul2023'!AK97/'Tariffs Jul2023'!AI97&lt;='Tariffs Jul2023'!M97,($C$5*'Tariffs Jul2023'!AK97/'Tariffs Jul2023'!AI97-'Tariffs Jul2023'!L97)*('Tariffs Jul2023'!R97/100)*'Tariffs Jul2023'!AI97,('Tariffs Jul2023'!M97-'Tariffs Jul2023'!L97)*('Tariffs Jul2023'!R97/100)*'Tariffs Jul2023'!AI97))</f>
        <v>0</v>
      </c>
      <c r="I103" s="69">
        <f>IF(($C$5*'Tariffs Jul2023'!AK97/'Tariffs Jul2023'!AI97&gt;'Tariffs Jul2023'!M97),($C$5*'Tariffs Jul2023'!AK97/'Tariffs Jul2023'!AI97-'Tariffs Jul2023'!M97)*'Tariffs Jul2023'!S97/100*'Tariffs Jul2023'!AI97,0)</f>
        <v>0</v>
      </c>
      <c r="J103" s="69">
        <f>IF($C$5*'Tariffs Jul2023'!AL97/'Tariffs Jul2023'!AJ97&gt;='Tariffs Jul2023'!J97,('Tariffs Jul2023'!J97*'Tariffs Jul2023'!U97/100)* 'Tariffs Jul2023'!AJ97,($C$5*'Tariffs Jul2023'!AL97/'Tariffs Jul2023'!AJ97*'Tariffs Jul2023'!U97/100)* 'Tariffs Jul2023'!AJ97)</f>
        <v>621.81818181818176</v>
      </c>
      <c r="K103" s="69">
        <f>IF($C$5*'Tariffs Jul2023'!AL97/'Tariffs Jul2023'!AJ97&lt;'Tariffs Jul2023'!J97,0,IF($C$5*'Tariffs Jul2023'!AL97/'Tariffs Jul2023'!AJ97&lt;='Tariffs Jul2023'!K97,($C$5*'Tariffs Jul2023'!AL97/'Tariffs Jul2023'!AJ97-'Tariffs Jul2023'!J97)*('Tariffs Jul2023'!V97/100)*'Tariffs Jul2023'!AJ97,('Tariffs Jul2023'!K97-'Tariffs Jul2023'!J97)*('Tariffs Jul2023'!V97/100)*'Tariffs Jul2023'!AJ97))</f>
        <v>412.26741818181802</v>
      </c>
      <c r="L103" s="69">
        <f>IF($C$5*'Tariffs Jul2023'!AL97/'Tariffs Jul2023'!AJ97&lt;'Tariffs Jul2023'!K97,0,IF($C$5*'Tariffs Jul2023'!AL97/'Tariffs Jul2023'!AJ97&lt;='Tariffs Jul2023'!L97,($C$5*'Tariffs Jul2023'!AL97/'Tariffs Jul2023'!AJ97-'Tariffs Jul2023'!K97)*('Tariffs Jul2023'!W97/100)*'Tariffs Jul2023'!AJ97,('Tariffs Jul2023'!L97-'Tariffs Jul2023'!K97)*('Tariffs Jul2023'!W97/100)*'Tariffs Jul2023'!AJ97))</f>
        <v>0</v>
      </c>
      <c r="M103" s="69">
        <f>IF($C$5*'Tariffs Jul2023'!AL97/'Tariffs Jul2023'!AJ97&lt;'Tariffs Jul2023'!L97,0,IF($C$5*'Tariffs Jul2023'!AL97/'Tariffs Jul2023'!AJ97&lt;='Tariffs Jul2023'!M97,($C$5*'Tariffs Jul2023'!AL97/'Tariffs Jul2023'!AJ97-'Tariffs Jul2023'!L97)*('Tariffs Jul2023'!X97/100)*'Tariffs Jul2023'!AJ97,('Tariffs Jul2023'!M97-'Tariffs Jul2023'!L97)*('Tariffs Jul2023'!X97/100)*'Tariffs Jul2023'!AJ97))</f>
        <v>0</v>
      </c>
      <c r="N103" s="69">
        <f>IF(($C$5*'Tariffs Jul2023'!AL97/'Tariffs Jul2023'!AJ97&gt;'Tariffs Jul2023'!M97),($C$5*'Tariffs Jul2023'!AL97/'Tariffs Jul2023'!AJ97-'Tariffs Jul2023'!M97)*'Tariffs Jul2023'!Y97/100*'Tariffs Jul2023'!AJ97,0)</f>
        <v>0</v>
      </c>
      <c r="O103" s="59">
        <f t="shared" si="140"/>
        <v>1652.0248909090906</v>
      </c>
      <c r="P103" s="503">
        <f t="shared" si="141"/>
        <v>1817.2273799999998</v>
      </c>
      <c r="Q103" s="59">
        <f t="shared" si="142"/>
        <v>1989.6498909090906</v>
      </c>
      <c r="R103" s="272">
        <f t="shared" si="143"/>
        <v>2188.6148799999996</v>
      </c>
      <c r="S103" s="40">
        <f>'Tariffs Jul2023'!AN97</f>
        <v>0</v>
      </c>
      <c r="T103" s="40">
        <f>'Tariffs Jul2023'!AO97</f>
        <v>0</v>
      </c>
      <c r="U103" s="40">
        <f>'Tariffs Jul2023'!AP97</f>
        <v>0</v>
      </c>
      <c r="V103" s="637">
        <f>'Tariffs Jul2023'!AQ97</f>
        <v>0</v>
      </c>
      <c r="W103" s="578" t="str">
        <f>IF(SUM(S103:V103)=0,"No discount",IF(S103&gt;0,"Guaranteed off bill",IF(T103&gt;0,"Guaranteed off usage",IF(U103&gt;0,"Pay-on-time off bill","Pay-on-time off usage"))))</f>
        <v>No discount</v>
      </c>
      <c r="X103" s="538" t="str">
        <f>IF(OR(A103="Origin Energy",A103="Red Energy",A103="Powershop"),"Inclusive","Exclusive")</f>
        <v>Exclusive</v>
      </c>
      <c r="Y103" s="535">
        <f>IF(AND(W103="Guaranteed off bill",X103="Inclusive"),((Q103*1.1)-((Q103*1.1)*S103/100))/1.1,IF(AND(W103="Guaranteed off usage",X103="Inclusive"),((Q103*1.1)-((P103*1.1)*T103/100))/1.1,IF(AND(W103="Guaranteed off bill",X103="Exclusive"),Q103-(Q103*S103/100),IF(AND(W103="Guaranteed off usage",X103="Exclusive"),Q103-(P103*T103/100),IF(X103="Inclusive",((Q103*1.1))/1.1,Q103)))))</f>
        <v>1989.6498909090906</v>
      </c>
      <c r="Z103" s="535">
        <f>IF(AND(W103="Pay-on-time off bill",X103="Inclusive"),((Y103*1.1)-((Y103*1.1)*U103/100))/1.1,IF(AND(W103="Pay-on-time off usage",X103="Inclusive"),((Y103*1.1)-((P103*1.1)*V103/100))/1.1,IF(AND(W103="Pay-on-time off bill",X103="Exclusive"),Y103-(Y103*U103/100),IF(AND(W103="Pay-on-time off usage",X103="Exclusive"),Y103-(P103*V103/100),IF(X103="Inclusive",((Y103*1.1))/1.1,Y103)))))</f>
        <v>1989.6498909090906</v>
      </c>
      <c r="AA103" s="542">
        <f t="shared" si="120"/>
        <v>2188.6148799999996</v>
      </c>
      <c r="AB103" s="609">
        <f t="shared" si="120"/>
        <v>2188.6148799999996</v>
      </c>
      <c r="AC103" s="625"/>
      <c r="AD103" s="625"/>
      <c r="AE103" s="625"/>
      <c r="AF103" s="625"/>
      <c r="AG103" s="625"/>
      <c r="AH103" s="625"/>
      <c r="AI103" s="625"/>
      <c r="AJ103" s="625"/>
      <c r="AK103" s="625"/>
      <c r="AL103" s="625"/>
      <c r="AM103" s="625"/>
      <c r="AN103" s="625"/>
      <c r="AO103" s="625"/>
      <c r="AP103" s="625"/>
      <c r="AQ103" s="625"/>
      <c r="AR103" s="625"/>
      <c r="AS103" s="625"/>
      <c r="AT103" s="625"/>
    </row>
    <row r="104" spans="1:46" ht="14" x14ac:dyDescent="0.15">
      <c r="A104" s="270" t="str">
        <f>'Tariffs Jul2023'!F98</f>
        <v>Alinta Energy</v>
      </c>
      <c r="B104" s="40" t="str">
        <f>'Tariffs Jul2023'!D98</f>
        <v>AusNet Services Central 2</v>
      </c>
      <c r="C104" s="40" t="str">
        <f>'Tariffs Jul2023'!G98</f>
        <v>Home Deal</v>
      </c>
      <c r="D104" s="59">
        <f>365*'Tariffs Jul2023'!H98/100</f>
        <v>307.56227272727267</v>
      </c>
      <c r="E104" s="59">
        <f>IF($C$5*'Tariffs Jul2023'!AK98/'Tariffs Jul2023'!AI98&gt;='Tariffs Jul2023'!J98,( 'Tariffs Jul2023'!J98*'Tariffs Jul2023'!O98/100)* 'Tariffs Jul2023'!AI98,($C$5*'Tariffs Jul2023'!AK98/'Tariffs Jul2023'!AI98*'Tariffs Jul2023'!O98/100)* 'Tariffs Jul2023'!AI98)</f>
        <v>426.5454545454545</v>
      </c>
      <c r="F104" s="59">
        <f>IF($C$5*'Tariffs Jul2023'!AK98/'Tariffs Jul2023'!AI98&lt;'Tariffs Jul2023'!J98,0,IF($C$5*'Tariffs Jul2023'!AK98/'Tariffs Jul2023'!AI98&lt;='Tariffs Jul2023'!K98,($C$5*'Tariffs Jul2023'!AK98/'Tariffs Jul2023'!AI98-'Tariffs Jul2023'!J98)*('Tariffs Jul2023'!P98/100)*'Tariffs Jul2023'!AI98,('Tariffs Jul2023'!K98-'Tariffs Jul2023'!J98)*('Tariffs Jul2023'!P98/100)*'Tariffs Jul2023'!AI98))</f>
        <v>0</v>
      </c>
      <c r="G104" s="59">
        <f>IF($C$5*'Tariffs Jul2023'!AK98/'Tariffs Jul2023'!AI98&lt;'Tariffs Jul2023'!K98,0,IF($C$5*'Tariffs Jul2023'!AK98/'Tariffs Jul2023'!AI98&lt;='Tariffs Jul2023'!L98,($C$5*'Tariffs Jul2023'!AK98/'Tariffs Jul2023'!AI98-'Tariffs Jul2023'!K98)*('Tariffs Jul2023'!Q98/100)*'Tariffs Jul2023'!AI98,('Tariffs Jul2023'!L98-'Tariffs Jul2023'!K98)*('Tariffs Jul2023'!Q98/100)*'Tariffs Jul2023'!AI98))</f>
        <v>0</v>
      </c>
      <c r="H104" s="59">
        <f>IF($C$5*'Tariffs Jul2023'!AK98/'Tariffs Jul2023'!AI98&lt;'Tariffs Jul2023'!L98,0,IF($C$5*'Tariffs Jul2023'!AK98/'Tariffs Jul2023'!AI98&lt;='Tariffs Jul2023'!M98,($C$5*'Tariffs Jul2023'!AK98/'Tariffs Jul2023'!AI98-'Tariffs Jul2023'!L98)*('Tariffs Jul2023'!R98/100)*'Tariffs Jul2023'!AI98,('Tariffs Jul2023'!M98-'Tariffs Jul2023'!L98)*('Tariffs Jul2023'!R98/100)*'Tariffs Jul2023'!AI98))</f>
        <v>0</v>
      </c>
      <c r="I104" s="69">
        <f>IF(($C$5*'Tariffs Jul2023'!AK98/'Tariffs Jul2023'!AI98&gt;'Tariffs Jul2023'!M98),($C$5*'Tariffs Jul2023'!AK98/'Tariffs Jul2023'!AI98-'Tariffs Jul2023'!M98)*'Tariffs Jul2023'!S98/100*'Tariffs Jul2023'!AI98,0)</f>
        <v>247.85124545454536</v>
      </c>
      <c r="J104" s="69">
        <f>IF($C$5*'Tariffs Jul2023'!AL98/'Tariffs Jul2023'!AJ98&gt;='Tariffs Jul2023'!J98,('Tariffs Jul2023'!J98*'Tariffs Jul2023'!U98/100)* 'Tariffs Jul2023'!AJ98,($C$5*'Tariffs Jul2023'!AL98/'Tariffs Jul2023'!AJ98*'Tariffs Jul2023'!U98/100)* 'Tariffs Jul2023'!AJ98)</f>
        <v>789.81818181818176</v>
      </c>
      <c r="K104" s="69">
        <f>IF($C$5*'Tariffs Jul2023'!AL98/'Tariffs Jul2023'!AJ98&lt;'Tariffs Jul2023'!J98,0,IF($C$5*'Tariffs Jul2023'!AL98/'Tariffs Jul2023'!AJ98&lt;='Tariffs Jul2023'!K98,($C$5*'Tariffs Jul2023'!AL98/'Tariffs Jul2023'!AJ98-'Tariffs Jul2023'!J98)*('Tariffs Jul2023'!V98/100)*'Tariffs Jul2023'!AJ98,('Tariffs Jul2023'!K98-'Tariffs Jul2023'!J98)*('Tariffs Jul2023'!V98/100)*'Tariffs Jul2023'!AJ98))</f>
        <v>0</v>
      </c>
      <c r="L104" s="69">
        <f>IF($C$5*'Tariffs Jul2023'!AL98/'Tariffs Jul2023'!AJ98&lt;'Tariffs Jul2023'!K98,0,IF($C$5*'Tariffs Jul2023'!AL98/'Tariffs Jul2023'!AJ98&lt;='Tariffs Jul2023'!L98,($C$5*'Tariffs Jul2023'!AL98/'Tariffs Jul2023'!AJ98-'Tariffs Jul2023'!K98)*('Tariffs Jul2023'!W98/100)*'Tariffs Jul2023'!AJ98,('Tariffs Jul2023'!L98-'Tariffs Jul2023'!K98)*('Tariffs Jul2023'!W98/100)*'Tariffs Jul2023'!AJ98))</f>
        <v>0</v>
      </c>
      <c r="M104" s="69">
        <f>IF($C$5*'Tariffs Jul2023'!AL98/'Tariffs Jul2023'!AJ98&lt;'Tariffs Jul2023'!L98,0,IF($C$5*'Tariffs Jul2023'!AL98/'Tariffs Jul2023'!AJ98&lt;='Tariffs Jul2023'!M98,($C$5*'Tariffs Jul2023'!AL98/'Tariffs Jul2023'!AJ98-'Tariffs Jul2023'!L98)*('Tariffs Jul2023'!X98/100)*'Tariffs Jul2023'!AJ98,('Tariffs Jul2023'!M98-'Tariffs Jul2023'!L98)*('Tariffs Jul2023'!X98/100)*'Tariffs Jul2023'!AJ98))</f>
        <v>0</v>
      </c>
      <c r="N104" s="69">
        <f>IF(($C$5*'Tariffs Jul2023'!AL98/'Tariffs Jul2023'!AJ98&gt;'Tariffs Jul2023'!M98),($C$5*'Tariffs Jul2023'!AL98/'Tariffs Jul2023'!AJ98-'Tariffs Jul2023'!M98)*'Tariffs Jul2023'!Y98/100*'Tariffs Jul2023'!AJ98,0)</f>
        <v>474.43472727272712</v>
      </c>
      <c r="O104" s="59">
        <f t="shared" si="140"/>
        <v>1938.6496090909088</v>
      </c>
      <c r="P104" s="503">
        <f t="shared" si="141"/>
        <v>2132.5145699999998</v>
      </c>
      <c r="Q104" s="59">
        <f t="shared" si="142"/>
        <v>2246.2118818181816</v>
      </c>
      <c r="R104" s="272">
        <f t="shared" si="143"/>
        <v>2470.8330700000001</v>
      </c>
      <c r="S104" s="40">
        <f>'Tariffs Jul2023'!AN98</f>
        <v>0</v>
      </c>
      <c r="T104" s="40">
        <f>'Tariffs Jul2023'!AO98</f>
        <v>0</v>
      </c>
      <c r="U104" s="40">
        <f>'Tariffs Jul2023'!AP98</f>
        <v>0</v>
      </c>
      <c r="V104" s="637">
        <f>'Tariffs Jul2023'!AQ98</f>
        <v>0</v>
      </c>
      <c r="W104" s="578" t="str">
        <f t="shared" ref="W104:W115" si="165">IF(SUM(S104:V104)=0,"No discount",IF(S104&gt;0,"Guaranteed off bill",IF(T104&gt;0,"Guaranteed off usage",IF(U104&gt;0,"Pay-on-time off bill","Pay-on-time off usage"))))</f>
        <v>No discount</v>
      </c>
      <c r="X104" s="538" t="str">
        <f t="shared" ref="X104:X115" si="166">IF(OR(A104="Origin Energy",A104="Red Energy",A104="Powershop"),"Inclusive","Exclusive")</f>
        <v>Exclusive</v>
      </c>
      <c r="Y104" s="535">
        <f>IF(AND(W104="Guaranteed off bill",X104="Inclusive"),((Q104*1.1)-((Q104*1.1)*S104/100))/1.1,IF(AND(W104="Guaranteed off usage",X104="Inclusive"),((Q104*1.1)-((P104*1.1)*T104/100))/1.1,IF(AND(W104="Guaranteed off bill",X104="Exclusive"),Q104-(Q104*S104/100),IF(AND(W104="Guaranteed off usage",X104="Exclusive"),Q104-(P104*T104/100),IF(X104="Inclusive",((Q104*1.1))/1.1,Q104)))))</f>
        <v>2246.2118818181816</v>
      </c>
      <c r="Z104" s="535">
        <f>IF(AND(W104="Pay-on-time off bill",X104="Inclusive"),((Y104*1.1)-((Y104*1.1)*U104/100))/1.1,IF(AND(W104="Pay-on-time off usage",X104="Inclusive"),((Y104*1.1)-((P104*1.1)*V104/100))/1.1,IF(AND(W104="Pay-on-time off bill",X104="Exclusive"),Y104-(Y104*U104/100),IF(AND(W104="Pay-on-time off usage",X104="Exclusive"),Y104-(P104*V104/100),IF(X104="Inclusive",((Y104*1.1))/1.1,Y104)))))</f>
        <v>2246.2118818181816</v>
      </c>
      <c r="AA104" s="542">
        <f t="shared" si="120"/>
        <v>2470.8330700000001</v>
      </c>
      <c r="AB104" s="609">
        <f t="shared" si="120"/>
        <v>2470.8330700000001</v>
      </c>
      <c r="AC104" s="625"/>
      <c r="AD104" s="625"/>
      <c r="AE104" s="625"/>
      <c r="AF104" s="625"/>
      <c r="AG104" s="625"/>
      <c r="AH104" s="625"/>
      <c r="AI104" s="625"/>
      <c r="AJ104" s="625"/>
      <c r="AK104" s="625"/>
      <c r="AL104" s="625"/>
      <c r="AM104" s="625"/>
      <c r="AN104" s="625"/>
      <c r="AO104" s="625"/>
      <c r="AP104" s="625"/>
      <c r="AQ104" s="625"/>
      <c r="AR104" s="625"/>
      <c r="AS104" s="625"/>
      <c r="AT104" s="625"/>
    </row>
    <row r="105" spans="1:46" ht="14" x14ac:dyDescent="0.15">
      <c r="A105" s="270" t="str">
        <f>'Tariffs Jul2023'!F99</f>
        <v>Dodo Power &amp; Gas</v>
      </c>
      <c r="B105" s="40" t="str">
        <f>'Tariffs Jul2023'!D99</f>
        <v>AusNet Services Central 2</v>
      </c>
      <c r="C105" s="40" t="str">
        <f>'Tariffs Jul2023'!G99</f>
        <v>Market offer</v>
      </c>
      <c r="D105" s="59">
        <f>365*'Tariffs Jul2023'!H99/100</f>
        <v>352.12545454545455</v>
      </c>
      <c r="E105" s="59">
        <f>IF($C$5*'Tariffs Jul2023'!AK99/'Tariffs Jul2023'!AI99&gt;='Tariffs Jul2023'!J99,( 'Tariffs Jul2023'!J99*'Tariffs Jul2023'!O99/100)* 'Tariffs Jul2023'!AI99,($C$5*'Tariffs Jul2023'!AK99/'Tariffs Jul2023'!AI99*'Tariffs Jul2023'!O99/100)* 'Tariffs Jul2023'!AI99)</f>
        <v>280.36363636363632</v>
      </c>
      <c r="F105" s="59">
        <f>IF($C$5*'Tariffs Jul2023'!AK99/'Tariffs Jul2023'!AI99&lt;'Tariffs Jul2023'!J99,0,IF($C$5*'Tariffs Jul2023'!AK99/'Tariffs Jul2023'!AI99&lt;='Tariffs Jul2023'!K99,($C$5*'Tariffs Jul2023'!AK99/'Tariffs Jul2023'!AI99-'Tariffs Jul2023'!J99)*('Tariffs Jul2023'!P99/100)*'Tariffs Jul2023'!AI99,('Tariffs Jul2023'!K99-'Tariffs Jul2023'!J99)*('Tariffs Jul2023'!P99/100)*'Tariffs Jul2023'!AI99))</f>
        <v>206.13370909090901</v>
      </c>
      <c r="G105" s="59">
        <f>IF($C$5*'Tariffs Jul2023'!AK99/'Tariffs Jul2023'!AI99&lt;'Tariffs Jul2023'!K99,0,IF($C$5*'Tariffs Jul2023'!AK99/'Tariffs Jul2023'!AI99&lt;='Tariffs Jul2023'!L99,($C$5*'Tariffs Jul2023'!AK99/'Tariffs Jul2023'!AI99-'Tariffs Jul2023'!K99)*('Tariffs Jul2023'!Q99/100)*'Tariffs Jul2023'!AI99,('Tariffs Jul2023'!L99-'Tariffs Jul2023'!K99)*('Tariffs Jul2023'!Q99/100)*'Tariffs Jul2023'!AI99))</f>
        <v>0</v>
      </c>
      <c r="H105" s="59">
        <f>IF($C$5*'Tariffs Jul2023'!AK99/'Tariffs Jul2023'!AI99&lt;'Tariffs Jul2023'!L99,0,IF($C$5*'Tariffs Jul2023'!AK99/'Tariffs Jul2023'!AI99&lt;='Tariffs Jul2023'!M99,($C$5*'Tariffs Jul2023'!AK99/'Tariffs Jul2023'!AI99-'Tariffs Jul2023'!L99)*('Tariffs Jul2023'!R99/100)*'Tariffs Jul2023'!AI99,('Tariffs Jul2023'!M99-'Tariffs Jul2023'!L99)*('Tariffs Jul2023'!R99/100)*'Tariffs Jul2023'!AI99))</f>
        <v>0</v>
      </c>
      <c r="I105" s="69">
        <f>IF(($C$5*'Tariffs Jul2023'!AK99/'Tariffs Jul2023'!AI99&gt;'Tariffs Jul2023'!M99),($C$5*'Tariffs Jul2023'!AK99/'Tariffs Jul2023'!AI99-'Tariffs Jul2023'!M99)*'Tariffs Jul2023'!S99/100*'Tariffs Jul2023'!AI99,0)</f>
        <v>0</v>
      </c>
      <c r="J105" s="69">
        <f>IF($C$5*'Tariffs Jul2023'!AL99/'Tariffs Jul2023'!AJ99&gt;='Tariffs Jul2023'!J99,('Tariffs Jul2023'!J99*'Tariffs Jul2023'!U99/100)* 'Tariffs Jul2023'!AJ99,($C$5*'Tariffs Jul2023'!AL99/'Tariffs Jul2023'!AJ99*'Tariffs Jul2023'!U99/100)* 'Tariffs Jul2023'!AJ99)</f>
        <v>665.4545454545455</v>
      </c>
      <c r="K105" s="69">
        <f>IF($C$5*'Tariffs Jul2023'!AL99/'Tariffs Jul2023'!AJ99&lt;'Tariffs Jul2023'!J99,0,IF($C$5*'Tariffs Jul2023'!AL99/'Tariffs Jul2023'!AJ99&lt;='Tariffs Jul2023'!K99,($C$5*'Tariffs Jul2023'!AL99/'Tariffs Jul2023'!AJ99-'Tariffs Jul2023'!J99)*('Tariffs Jul2023'!V99/100)*'Tariffs Jul2023'!AJ99,('Tariffs Jul2023'!K99-'Tariffs Jul2023'!J99)*('Tariffs Jul2023'!V99/100)*'Tariffs Jul2023'!AJ99))</f>
        <v>451.53098181818166</v>
      </c>
      <c r="L105" s="69">
        <f>IF($C$5*'Tariffs Jul2023'!AL99/'Tariffs Jul2023'!AJ99&lt;'Tariffs Jul2023'!K99,0,IF($C$5*'Tariffs Jul2023'!AL99/'Tariffs Jul2023'!AJ99&lt;='Tariffs Jul2023'!L99,($C$5*'Tariffs Jul2023'!AL99/'Tariffs Jul2023'!AJ99-'Tariffs Jul2023'!K99)*('Tariffs Jul2023'!W99/100)*'Tariffs Jul2023'!AJ99,('Tariffs Jul2023'!L99-'Tariffs Jul2023'!K99)*('Tariffs Jul2023'!W99/100)*'Tariffs Jul2023'!AJ99))</f>
        <v>0</v>
      </c>
      <c r="M105" s="69">
        <f>IF($C$5*'Tariffs Jul2023'!AL99/'Tariffs Jul2023'!AJ99&lt;'Tariffs Jul2023'!L99,0,IF($C$5*'Tariffs Jul2023'!AL99/'Tariffs Jul2023'!AJ99&lt;='Tariffs Jul2023'!M99,($C$5*'Tariffs Jul2023'!AL99/'Tariffs Jul2023'!AJ99-'Tariffs Jul2023'!L99)*('Tariffs Jul2023'!X99/100)*'Tariffs Jul2023'!AJ99,('Tariffs Jul2023'!M99-'Tariffs Jul2023'!L99)*('Tariffs Jul2023'!X99/100)*'Tariffs Jul2023'!AJ99))</f>
        <v>0</v>
      </c>
      <c r="N105" s="69">
        <f>IF(($C$5*'Tariffs Jul2023'!AL99/'Tariffs Jul2023'!AJ99&gt;'Tariffs Jul2023'!M99),($C$5*'Tariffs Jul2023'!AL99/'Tariffs Jul2023'!AJ99-'Tariffs Jul2023'!M99)*'Tariffs Jul2023'!Y99/100*'Tariffs Jul2023'!AJ99,0)</f>
        <v>0</v>
      </c>
      <c r="O105" s="59">
        <f t="shared" si="140"/>
        <v>1603.4828727272725</v>
      </c>
      <c r="P105" s="503">
        <f t="shared" si="141"/>
        <v>1763.83116</v>
      </c>
      <c r="Q105" s="59">
        <f t="shared" si="142"/>
        <v>1955.6083272727269</v>
      </c>
      <c r="R105" s="272">
        <f t="shared" si="143"/>
        <v>2151.1691599999999</v>
      </c>
      <c r="S105" s="40">
        <f>'Tariffs Jul2023'!AN99</f>
        <v>0</v>
      </c>
      <c r="T105" s="40">
        <f>'Tariffs Jul2023'!AO99</f>
        <v>0</v>
      </c>
      <c r="U105" s="40">
        <f>'Tariffs Jul2023'!AP99</f>
        <v>0</v>
      </c>
      <c r="V105" s="637">
        <f>'Tariffs Jul2023'!AQ99</f>
        <v>0</v>
      </c>
      <c r="W105" s="578" t="str">
        <f t="shared" si="165"/>
        <v>No discount</v>
      </c>
      <c r="X105" s="538" t="str">
        <f t="shared" si="166"/>
        <v>Exclusive</v>
      </c>
      <c r="Y105" s="535">
        <f>IF(AND(W105="Guaranteed off bill",X105="Inclusive"),((Q105*1.1)-((Q105*1.1)*S105/100))/1.1,IF(AND(W105="Guaranteed off usage",X105="Inclusive"),((Q105*1.1)-((P105*1.1)*T105/100))/1.1,IF(AND(W105="Guaranteed off bill",X105="Exclusive"),Q105-(Q105*S105/100),IF(AND(W105="Guaranteed off usage",X105="Exclusive"),Q105-(P105*T105/100),IF(X105="Inclusive",((Q105*1.1))/1.1,Q105)))))</f>
        <v>1955.6083272727269</v>
      </c>
      <c r="Z105" s="535">
        <f>IF(AND(W105="Pay-on-time off bill",X105="Inclusive"),((Y105*1.1)-((Y105*1.1)*U105/100))/1.1,IF(AND(W105="Pay-on-time off usage",X105="Inclusive"),((Y105*1.1)-((P105*1.1)*V105/100))/1.1,IF(AND(W105="Pay-on-time off bill",X105="Exclusive"),Y105-(Y105*U105/100),IF(AND(W105="Pay-on-time off usage",X105="Exclusive"),Y105-(P105*V105/100),IF(X105="Inclusive",((Y105*1.1))/1.1,Y105)))))</f>
        <v>1955.6083272727269</v>
      </c>
      <c r="AA105" s="542">
        <f t="shared" si="120"/>
        <v>2151.1691599999999</v>
      </c>
      <c r="AB105" s="609">
        <f t="shared" si="120"/>
        <v>2151.1691599999999</v>
      </c>
      <c r="AC105" s="625"/>
      <c r="AD105" s="625"/>
      <c r="AE105" s="625"/>
      <c r="AF105" s="625"/>
      <c r="AG105" s="625"/>
      <c r="AH105" s="625"/>
      <c r="AI105" s="625"/>
      <c r="AJ105" s="625"/>
      <c r="AK105" s="625"/>
      <c r="AL105" s="625"/>
      <c r="AM105" s="625"/>
      <c r="AN105" s="625"/>
      <c r="AO105" s="625"/>
      <c r="AP105" s="625"/>
      <c r="AQ105" s="625"/>
      <c r="AR105" s="625"/>
      <c r="AS105" s="625"/>
      <c r="AT105" s="625"/>
    </row>
    <row r="106" spans="1:46" ht="14" x14ac:dyDescent="0.15">
      <c r="A106" s="270" t="str">
        <f>'Tariffs Jul2023'!F100</f>
        <v>EnergyAustralia</v>
      </c>
      <c r="B106" s="40" t="str">
        <f>'Tariffs Jul2023'!D100</f>
        <v>AusNet Services Central 2</v>
      </c>
      <c r="C106" s="40" t="str">
        <f>'Tariffs Jul2023'!G100</f>
        <v>Flexi Plan</v>
      </c>
      <c r="D106" s="59">
        <f>365*'Tariffs Jul2023'!H100/100</f>
        <v>455.22136363636361</v>
      </c>
      <c r="E106" s="59">
        <f>IF($C$5*'Tariffs Jul2023'!AK100/'Tariffs Jul2023'!AI100&gt;='Tariffs Jul2023'!J100,( 'Tariffs Jul2023'!J100*'Tariffs Jul2023'!O100/100)* 'Tariffs Jul2023'!AI100,($C$5*'Tariffs Jul2023'!AK100/'Tariffs Jul2023'!AI100*'Tariffs Jul2023'!O100/100)* 'Tariffs Jul2023'!AI100)</f>
        <v>459.2727272727272</v>
      </c>
      <c r="F106" s="59">
        <f>IF($C$5*'Tariffs Jul2023'!AK100/'Tariffs Jul2023'!AI100&lt;'Tariffs Jul2023'!J100,0,IF($C$5*'Tariffs Jul2023'!AK100/'Tariffs Jul2023'!AI100&lt;='Tariffs Jul2023'!K100,($C$5*'Tariffs Jul2023'!AK100/'Tariffs Jul2023'!AI100-'Tariffs Jul2023'!J100)*('Tariffs Jul2023'!P100/100)*'Tariffs Jul2023'!AI100,('Tariffs Jul2023'!K100-'Tariffs Jul2023'!J100)*('Tariffs Jul2023'!P100/100)*'Tariffs Jul2023'!AI100))</f>
        <v>292.02275454545446</v>
      </c>
      <c r="G106" s="59">
        <f>IF($C$5*'Tariffs Jul2023'!AK100/'Tariffs Jul2023'!AI100&lt;'Tariffs Jul2023'!K100,0,IF($C$5*'Tariffs Jul2023'!AK100/'Tariffs Jul2023'!AI100&lt;='Tariffs Jul2023'!L100,($C$5*'Tariffs Jul2023'!AK100/'Tariffs Jul2023'!AI100-'Tariffs Jul2023'!K100)*('Tariffs Jul2023'!Q100/100)*'Tariffs Jul2023'!AI100,('Tariffs Jul2023'!L100-'Tariffs Jul2023'!K100)*('Tariffs Jul2023'!Q100/100)*'Tariffs Jul2023'!AI100))</f>
        <v>0</v>
      </c>
      <c r="H106" s="59">
        <f>IF($C$5*'Tariffs Jul2023'!AK100/'Tariffs Jul2023'!AI100&lt;'Tariffs Jul2023'!L100,0,IF($C$5*'Tariffs Jul2023'!AK100/'Tariffs Jul2023'!AI100&lt;='Tariffs Jul2023'!M100,($C$5*'Tariffs Jul2023'!AK100/'Tariffs Jul2023'!AI100-'Tariffs Jul2023'!L100)*('Tariffs Jul2023'!R100/100)*'Tariffs Jul2023'!AI100,('Tariffs Jul2023'!M100-'Tariffs Jul2023'!L100)*('Tariffs Jul2023'!R100/100)*'Tariffs Jul2023'!AI100))</f>
        <v>0</v>
      </c>
      <c r="I106" s="69">
        <f>IF(($C$5*'Tariffs Jul2023'!AK100/'Tariffs Jul2023'!AI100&gt;'Tariffs Jul2023'!M100),($C$5*'Tariffs Jul2023'!AK100/'Tariffs Jul2023'!AI100-'Tariffs Jul2023'!M100)*'Tariffs Jul2023'!S100/100*'Tariffs Jul2023'!AI100,0)</f>
        <v>0</v>
      </c>
      <c r="J106" s="69">
        <f>IF($C$5*'Tariffs Jul2023'!AL100/'Tariffs Jul2023'!AJ100&gt;='Tariffs Jul2023'!J100,('Tariffs Jul2023'!J100*'Tariffs Jul2023'!U100/100)* 'Tariffs Jul2023'!AJ100,($C$5*'Tariffs Jul2023'!AL100/'Tariffs Jul2023'!AJ100*'Tariffs Jul2023'!U100/100)* 'Tariffs Jul2023'!AJ100)</f>
        <v>713.4545454545455</v>
      </c>
      <c r="K106" s="69">
        <f>IF($C$5*'Tariffs Jul2023'!AL100/'Tariffs Jul2023'!AJ100&lt;'Tariffs Jul2023'!J100,0,IF($C$5*'Tariffs Jul2023'!AL100/'Tariffs Jul2023'!AJ100&lt;='Tariffs Jul2023'!K100,($C$5*'Tariffs Jul2023'!AL100/'Tariffs Jul2023'!AJ100-'Tariffs Jul2023'!J100)*('Tariffs Jul2023'!V100/100)*'Tariffs Jul2023'!AJ100,('Tariffs Jul2023'!K100-'Tariffs Jul2023'!J100)*('Tariffs Jul2023'!V100/100)*'Tariffs Jul2023'!AJ100))</f>
        <v>508.79034545454527</v>
      </c>
      <c r="L106" s="69">
        <f>IF($C$5*'Tariffs Jul2023'!AL100/'Tariffs Jul2023'!AJ100&lt;'Tariffs Jul2023'!K100,0,IF($C$5*'Tariffs Jul2023'!AL100/'Tariffs Jul2023'!AJ100&lt;='Tariffs Jul2023'!L100,($C$5*'Tariffs Jul2023'!AL100/'Tariffs Jul2023'!AJ100-'Tariffs Jul2023'!K100)*('Tariffs Jul2023'!W100/100)*'Tariffs Jul2023'!AJ100,('Tariffs Jul2023'!L100-'Tariffs Jul2023'!K100)*('Tariffs Jul2023'!W100/100)*'Tariffs Jul2023'!AJ100))</f>
        <v>0</v>
      </c>
      <c r="M106" s="69">
        <f>IF($C$5*'Tariffs Jul2023'!AL100/'Tariffs Jul2023'!AJ100&lt;'Tariffs Jul2023'!L100,0,IF($C$5*'Tariffs Jul2023'!AL100/'Tariffs Jul2023'!AJ100&lt;='Tariffs Jul2023'!M100,($C$5*'Tariffs Jul2023'!AL100/'Tariffs Jul2023'!AJ100-'Tariffs Jul2023'!L100)*('Tariffs Jul2023'!X100/100)*'Tariffs Jul2023'!AJ100,('Tariffs Jul2023'!M100-'Tariffs Jul2023'!L100)*('Tariffs Jul2023'!X100/100)*'Tariffs Jul2023'!AJ100))</f>
        <v>0</v>
      </c>
      <c r="N106" s="69">
        <f>IF(($C$5*'Tariffs Jul2023'!AL100/'Tariffs Jul2023'!AJ100&gt;'Tariffs Jul2023'!M100),($C$5*'Tariffs Jul2023'!AL100/'Tariffs Jul2023'!AJ100-'Tariffs Jul2023'!M100)*'Tariffs Jul2023'!Y100/100*'Tariffs Jul2023'!AJ100,0)</f>
        <v>0</v>
      </c>
      <c r="O106" s="59">
        <f t="shared" si="140"/>
        <v>1973.5403727272724</v>
      </c>
      <c r="P106" s="503">
        <f t="shared" si="141"/>
        <v>2170.8944099999999</v>
      </c>
      <c r="Q106" s="59">
        <f t="shared" si="142"/>
        <v>2428.7617363636359</v>
      </c>
      <c r="R106" s="272">
        <f t="shared" si="143"/>
        <v>2671.6379099999999</v>
      </c>
      <c r="S106" s="40">
        <f>'Tariffs Jul2023'!AN100</f>
        <v>25</v>
      </c>
      <c r="T106" s="40">
        <f>'Tariffs Jul2023'!AO100</f>
        <v>0</v>
      </c>
      <c r="U106" s="40">
        <f>'Tariffs Jul2023'!AP100</f>
        <v>0</v>
      </c>
      <c r="V106" s="637">
        <f>'Tariffs Jul2023'!AQ100</f>
        <v>0</v>
      </c>
      <c r="W106" s="578" t="str">
        <f t="shared" si="165"/>
        <v>Guaranteed off bill</v>
      </c>
      <c r="X106" s="538" t="str">
        <f t="shared" si="166"/>
        <v>Exclusive</v>
      </c>
      <c r="Y106" s="535">
        <f t="shared" ref="Y106" si="167">IF(AND(W106="Guaranteed off bill",X106="Inclusive"),((Q106*1.1)-((Q106*1.1)*S106/100))/1.1,IF(AND(W106="Guaranteed off usage",X106="Inclusive"),((Q106*1.1)-((P106*1.1)*T106/100))/1.1,IF(AND(W106="Guaranteed off bill",X106="Exclusive"),Q106-(Q106*S106/100),IF(AND(W106="Guaranteed off usage",X106="Exclusive"),Q106-(P106*T106/100),IF(X106="Inclusive",((Q106*1.1))/1.1,Q106)))))</f>
        <v>1821.5713022727268</v>
      </c>
      <c r="Z106" s="535">
        <f t="shared" ref="Z106" si="168">IF(AND(W106="Pay-on-time off bill",X106="Inclusive"),((Y106*1.1)-((Y106*1.1)*U106/100))/1.1,IF(AND(W106="Pay-on-time off usage",X106="Inclusive"),((Y106*1.1)-((P106*1.1)*V106/100))/1.1,IF(AND(W106="Pay-on-time off bill",X106="Exclusive"),Y106-(Y106*U106/100),IF(AND(W106="Pay-on-time off usage",X106="Exclusive"),Y106-(P106*V106/100),IF(X106="Inclusive",((Y106*1.1))/1.1,Y106)))))</f>
        <v>1821.5713022727268</v>
      </c>
      <c r="AA106" s="542">
        <f t="shared" ref="AA106:AB124" si="169">Y106*1.1</f>
        <v>2003.7284324999996</v>
      </c>
      <c r="AB106" s="609">
        <f t="shared" si="169"/>
        <v>2003.7284324999996</v>
      </c>
      <c r="AC106" s="625"/>
      <c r="AD106" s="625"/>
      <c r="AE106" s="625"/>
      <c r="AF106" s="625"/>
      <c r="AG106" s="625"/>
      <c r="AH106" s="625"/>
      <c r="AI106" s="625"/>
      <c r="AJ106" s="625"/>
      <c r="AK106" s="625"/>
      <c r="AL106" s="625"/>
      <c r="AM106" s="625"/>
      <c r="AN106" s="625"/>
      <c r="AO106" s="625"/>
      <c r="AP106" s="625"/>
      <c r="AQ106" s="625"/>
      <c r="AR106" s="625"/>
      <c r="AS106" s="625"/>
      <c r="AT106" s="625"/>
    </row>
    <row r="107" spans="1:46" ht="14" x14ac:dyDescent="0.15">
      <c r="A107" s="270" t="str">
        <f>'Tariffs Jul2023'!F101</f>
        <v>Lumo Energy</v>
      </c>
      <c r="B107" s="40" t="str">
        <f>'Tariffs Jul2023'!D101</f>
        <v>AusNet Services Central 2</v>
      </c>
      <c r="C107" s="40" t="str">
        <f>'Tariffs Jul2023'!G101</f>
        <v>Value</v>
      </c>
      <c r="D107" s="59">
        <f>365*'Tariffs Jul2023'!H101/100</f>
        <v>401.0686363636363</v>
      </c>
      <c r="E107" s="59">
        <f>IF($C$5*'Tariffs Jul2023'!AK101/'Tariffs Jul2023'!AI101&gt;='Tariffs Jul2023'!J101,( 'Tariffs Jul2023'!J101*'Tariffs Jul2023'!O101/100)* 'Tariffs Jul2023'!AI101,($C$5*'Tariffs Jul2023'!AK101/'Tariffs Jul2023'!AI101*'Tariffs Jul2023'!O101/100)* 'Tariffs Jul2023'!AI101)</f>
        <v>414.5454545454545</v>
      </c>
      <c r="F107" s="59">
        <f>IF($C$5*'Tariffs Jul2023'!AK101/'Tariffs Jul2023'!AI101&lt;'Tariffs Jul2023'!J101,0,IF($C$5*'Tariffs Jul2023'!AK101/'Tariffs Jul2023'!AI101&lt;='Tariffs Jul2023'!K101,($C$5*'Tariffs Jul2023'!AK101/'Tariffs Jul2023'!AI101-'Tariffs Jul2023'!J101)*('Tariffs Jul2023'!P101/100)*'Tariffs Jul2023'!AI101,('Tariffs Jul2023'!K101-'Tariffs Jul2023'!J101)*('Tariffs Jul2023'!P101/100)*'Tariffs Jul2023'!AI101))</f>
        <v>265.84704545454537</v>
      </c>
      <c r="G107" s="59">
        <f>IF($C$5*'Tariffs Jul2023'!AK101/'Tariffs Jul2023'!AI101&lt;'Tariffs Jul2023'!K101,0,IF($C$5*'Tariffs Jul2023'!AK101/'Tariffs Jul2023'!AI101&lt;='Tariffs Jul2023'!L101,($C$5*'Tariffs Jul2023'!AK101/'Tariffs Jul2023'!AI101-'Tariffs Jul2023'!K101)*('Tariffs Jul2023'!Q101/100)*'Tariffs Jul2023'!AI101,('Tariffs Jul2023'!L101-'Tariffs Jul2023'!K101)*('Tariffs Jul2023'!Q101/100)*'Tariffs Jul2023'!AI101))</f>
        <v>0</v>
      </c>
      <c r="H107" s="59">
        <f>IF($C$5*'Tariffs Jul2023'!AK101/'Tariffs Jul2023'!AI101&lt;'Tariffs Jul2023'!L101,0,IF($C$5*'Tariffs Jul2023'!AK101/'Tariffs Jul2023'!AI101&lt;='Tariffs Jul2023'!M101,($C$5*'Tariffs Jul2023'!AK101/'Tariffs Jul2023'!AI101-'Tariffs Jul2023'!L101)*('Tariffs Jul2023'!R101/100)*'Tariffs Jul2023'!AI101,('Tariffs Jul2023'!M101-'Tariffs Jul2023'!L101)*('Tariffs Jul2023'!R101/100)*'Tariffs Jul2023'!AI101))</f>
        <v>0</v>
      </c>
      <c r="I107" s="69">
        <f>IF(($C$5*'Tariffs Jul2023'!AK101/'Tariffs Jul2023'!AI101&gt;'Tariffs Jul2023'!M101),($C$5*'Tariffs Jul2023'!AK101/'Tariffs Jul2023'!AI101-'Tariffs Jul2023'!M101)*'Tariffs Jul2023'!S101/100*'Tariffs Jul2023'!AI101,0)</f>
        <v>0</v>
      </c>
      <c r="J107" s="69">
        <f>IF($C$5*'Tariffs Jul2023'!AL101/'Tariffs Jul2023'!AJ101&gt;='Tariffs Jul2023'!J101,('Tariffs Jul2023'!J101*'Tariffs Jul2023'!U101/100)* 'Tariffs Jul2023'!AJ101,($C$5*'Tariffs Jul2023'!AL101/'Tariffs Jul2023'!AJ101*'Tariffs Jul2023'!U101/100)* 'Tariffs Jul2023'!AJ101)</f>
        <v>709.09090909090901</v>
      </c>
      <c r="K107" s="69">
        <f>IF($C$5*'Tariffs Jul2023'!AL101/'Tariffs Jul2023'!AJ101&lt;'Tariffs Jul2023'!J101,0,IF($C$5*'Tariffs Jul2023'!AL101/'Tariffs Jul2023'!AJ101&lt;='Tariffs Jul2023'!K101,($C$5*'Tariffs Jul2023'!AL101/'Tariffs Jul2023'!AJ101-'Tariffs Jul2023'!J101)*('Tariffs Jul2023'!V101/100)*'Tariffs Jul2023'!AJ101,('Tariffs Jul2023'!K101-'Tariffs Jul2023'!J101)*('Tariffs Jul2023'!V101/100)*'Tariffs Jul2023'!AJ101))</f>
        <v>446.62303636363623</v>
      </c>
      <c r="L107" s="69">
        <f>IF($C$5*'Tariffs Jul2023'!AL101/'Tariffs Jul2023'!AJ101&lt;'Tariffs Jul2023'!K101,0,IF($C$5*'Tariffs Jul2023'!AL101/'Tariffs Jul2023'!AJ101&lt;='Tariffs Jul2023'!L101,($C$5*'Tariffs Jul2023'!AL101/'Tariffs Jul2023'!AJ101-'Tariffs Jul2023'!K101)*('Tariffs Jul2023'!W101/100)*'Tariffs Jul2023'!AJ101,('Tariffs Jul2023'!L101-'Tariffs Jul2023'!K101)*('Tariffs Jul2023'!W101/100)*'Tariffs Jul2023'!AJ101))</f>
        <v>0</v>
      </c>
      <c r="M107" s="69">
        <f>IF($C$5*'Tariffs Jul2023'!AL101/'Tariffs Jul2023'!AJ101&lt;'Tariffs Jul2023'!L101,0,IF($C$5*'Tariffs Jul2023'!AL101/'Tariffs Jul2023'!AJ101&lt;='Tariffs Jul2023'!M101,($C$5*'Tariffs Jul2023'!AL101/'Tariffs Jul2023'!AJ101-'Tariffs Jul2023'!L101)*('Tariffs Jul2023'!X101/100)*'Tariffs Jul2023'!AJ101,('Tariffs Jul2023'!M101-'Tariffs Jul2023'!L101)*('Tariffs Jul2023'!X101/100)*'Tariffs Jul2023'!AJ101))</f>
        <v>0</v>
      </c>
      <c r="N107" s="69">
        <f>IF(($C$5*'Tariffs Jul2023'!AL101/'Tariffs Jul2023'!AJ101&gt;'Tariffs Jul2023'!M101),($C$5*'Tariffs Jul2023'!AL101/'Tariffs Jul2023'!AJ101-'Tariffs Jul2023'!M101)*'Tariffs Jul2023'!Y101/100*'Tariffs Jul2023'!AJ101,0)</f>
        <v>0</v>
      </c>
      <c r="O107" s="59">
        <f t="shared" si="140"/>
        <v>1836.1064454545451</v>
      </c>
      <c r="P107" s="503">
        <f t="shared" si="141"/>
        <v>2019.7170899999999</v>
      </c>
      <c r="Q107" s="59">
        <f t="shared" si="142"/>
        <v>2237.1750818181813</v>
      </c>
      <c r="R107" s="272">
        <f t="shared" si="143"/>
        <v>2460.8925899999995</v>
      </c>
      <c r="S107" s="40">
        <f>'Tariffs Jul2023'!AN101</f>
        <v>0</v>
      </c>
      <c r="T107" s="40">
        <f>'Tariffs Jul2023'!AO101</f>
        <v>0</v>
      </c>
      <c r="U107" s="40">
        <f>'Tariffs Jul2023'!AP101</f>
        <v>0</v>
      </c>
      <c r="V107" s="637">
        <f>'Tariffs Jul2023'!AQ101</f>
        <v>0</v>
      </c>
      <c r="W107" s="578" t="str">
        <f t="shared" si="165"/>
        <v>No discount</v>
      </c>
      <c r="X107" s="538" t="str">
        <f t="shared" si="166"/>
        <v>Exclusive</v>
      </c>
      <c r="Y107" s="535">
        <f>IF(AND(W107="Guaranteed off bill",X107="Inclusive"),((Q107*1.1)-((Q107*1.1)*S107/100))/1.1,IF(AND(W107="Guaranteed off usage",X107="Inclusive"),((Q107*1.1)-((P107*1.1)*T107/100))/1.1,IF(AND(W107="Guaranteed off bill",X107="Exclusive"),Q107-(Q107*S107/100),IF(AND(W107="Guaranteed off usage",X107="Exclusive"),Q107-(P107*T107/100),IF(X107="Inclusive",((Q107*1.1))/1.1,Q107)))))</f>
        <v>2237.1750818181813</v>
      </c>
      <c r="Z107" s="535">
        <f>IF(AND(W107="Pay-on-time off bill",X107="Inclusive"),((Y107*1.1)-((Y107*1.1)*U107/100))/1.1,IF(AND(W107="Pay-on-time off usage",X107="Inclusive"),((Y107*1.1)-((P107*1.1)*V107/100))/1.1,IF(AND(W107="Pay-on-time off bill",X107="Exclusive"),Y107-(Y107*U107/100),IF(AND(W107="Pay-on-time off usage",X107="Exclusive"),Y107-(P107*V107/100),IF(X107="Inclusive",((Y107*1.1))/1.1,Y107)))))</f>
        <v>2237.1750818181813</v>
      </c>
      <c r="AA107" s="542">
        <f t="shared" si="169"/>
        <v>2460.8925899999995</v>
      </c>
      <c r="AB107" s="609">
        <f t="shared" si="169"/>
        <v>2460.8925899999995</v>
      </c>
      <c r="AC107" s="625"/>
      <c r="AD107" s="625"/>
      <c r="AE107" s="625"/>
      <c r="AF107" s="625"/>
      <c r="AG107" s="625"/>
      <c r="AH107" s="625"/>
      <c r="AI107" s="625"/>
      <c r="AJ107" s="625"/>
      <c r="AK107" s="625"/>
      <c r="AL107" s="625"/>
      <c r="AM107" s="625"/>
      <c r="AN107" s="625"/>
      <c r="AO107" s="625"/>
      <c r="AP107" s="625"/>
      <c r="AQ107" s="625"/>
      <c r="AR107" s="625"/>
      <c r="AS107" s="625"/>
      <c r="AT107" s="625"/>
    </row>
    <row r="108" spans="1:46" ht="14" x14ac:dyDescent="0.15">
      <c r="A108" s="270" t="str">
        <f>'Tariffs Jul2023'!F102</f>
        <v>Origin Energy</v>
      </c>
      <c r="B108" s="40" t="str">
        <f>'Tariffs Jul2023'!D102</f>
        <v>AusNet Services Central 2</v>
      </c>
      <c r="C108" s="40" t="str">
        <f>'Tariffs Jul2023'!G102</f>
        <v>Go Variable</v>
      </c>
      <c r="D108" s="59">
        <f>365*'Tariffs Jul2023'!H102/100</f>
        <v>310.68136363636359</v>
      </c>
      <c r="E108" s="59">
        <f>((C$5*'Tariffs Jul2023'!AK102/'Tariffs Jul2023'!AI102)*('Tariffs Jul2023'!O102/100))*'Tariffs Jul2023'!AI102</f>
        <v>861.95454545454527</v>
      </c>
      <c r="F108" s="59">
        <v>0</v>
      </c>
      <c r="G108" s="59">
        <v>0</v>
      </c>
      <c r="H108" s="59">
        <v>0</v>
      </c>
      <c r="I108" s="69">
        <v>0</v>
      </c>
      <c r="J108" s="69">
        <f>((C$5*'Tariffs Jul2023'!AL102/'Tariffs Jul2023'!AJ102)*('Tariffs Jul2023'!U102/100))*'Tariffs Jul2023'!AJ102</f>
        <v>861.95454545454527</v>
      </c>
      <c r="K108" s="69">
        <v>0</v>
      </c>
      <c r="L108" s="69">
        <v>0</v>
      </c>
      <c r="M108" s="69">
        <v>0</v>
      </c>
      <c r="N108" s="69">
        <v>0</v>
      </c>
      <c r="O108" s="59">
        <f t="shared" si="140"/>
        <v>1723.9090909090905</v>
      </c>
      <c r="P108" s="503">
        <f t="shared" si="141"/>
        <v>1896.2999999999997</v>
      </c>
      <c r="Q108" s="59">
        <f t="shared" si="142"/>
        <v>2034.5904545454541</v>
      </c>
      <c r="R108" s="272">
        <f t="shared" si="143"/>
        <v>2238.0494999999996</v>
      </c>
      <c r="S108" s="40">
        <f>'Tariffs Jul2023'!AN102</f>
        <v>0</v>
      </c>
      <c r="T108" s="40">
        <f>'Tariffs Jul2023'!AO102</f>
        <v>0</v>
      </c>
      <c r="U108" s="40">
        <f>'Tariffs Jul2023'!AP102</f>
        <v>0</v>
      </c>
      <c r="V108" s="637">
        <f>'Tariffs Jul2023'!AQ102</f>
        <v>0</v>
      </c>
      <c r="W108" s="578" t="str">
        <f t="shared" si="165"/>
        <v>No discount</v>
      </c>
      <c r="X108" s="538" t="str">
        <f t="shared" si="166"/>
        <v>Inclusive</v>
      </c>
      <c r="Y108" s="535">
        <f>IF(AND(W108="Guaranteed off bill",X108="Inclusive"),((Q108*1.1)-((Q108*1.1)*S108/100))/1.1,IF(AND(W108="Guaranteed off usage",X108="Inclusive"),((Q108*1.1)-((P108*1.1)*T108/100))/1.1,IF(AND(W108="Guaranteed off bill",X108="Exclusive"),Q108-(Q108*S108/100),IF(AND(W108="Guaranteed off usage",X108="Exclusive"),Q108-(P108*T108/100),IF(X108="Inclusive",((Q108*1.1))/1.1,Q108)))))</f>
        <v>2034.5904545454541</v>
      </c>
      <c r="Z108" s="535">
        <f>IF(AND(W108="Pay-on-time off bill",X108="Inclusive"),((Y108*1.1)-((Y108*1.1)*U108/100))/1.1,IF(AND(W108="Pay-on-time off usage",X108="Inclusive"),((Y108*1.1)-((P108*1.1)*V108/100))/1.1,IF(AND(W108="Pay-on-time off bill",X108="Exclusive"),Y108-(Y108*U108/100),IF(AND(W108="Pay-on-time off usage",X108="Exclusive"),Y108-(P108*V108/100),IF(X108="Inclusive",((Y108*1.1))/1.1,Y108)))))</f>
        <v>2034.5904545454541</v>
      </c>
      <c r="AA108" s="542">
        <f t="shared" si="169"/>
        <v>2238.0494999999996</v>
      </c>
      <c r="AB108" s="609">
        <f t="shared" si="169"/>
        <v>2238.0494999999996</v>
      </c>
      <c r="AC108" s="625"/>
      <c r="AD108" s="625"/>
      <c r="AE108" s="625"/>
      <c r="AF108" s="625"/>
      <c r="AG108" s="625"/>
      <c r="AH108" s="625"/>
      <c r="AI108" s="625"/>
      <c r="AJ108" s="625"/>
      <c r="AK108" s="625"/>
      <c r="AL108" s="625"/>
      <c r="AM108" s="625"/>
      <c r="AN108" s="625"/>
      <c r="AO108" s="625"/>
      <c r="AP108" s="625"/>
      <c r="AQ108" s="625"/>
      <c r="AR108" s="625"/>
      <c r="AS108" s="625"/>
      <c r="AT108" s="625"/>
    </row>
    <row r="109" spans="1:46" ht="14" x14ac:dyDescent="0.15">
      <c r="A109" s="270" t="str">
        <f>'Tariffs Jul2023'!F103</f>
        <v>Red Energy</v>
      </c>
      <c r="B109" s="40" t="str">
        <f>'Tariffs Jul2023'!D103</f>
        <v>AusNet Services Central 2</v>
      </c>
      <c r="C109" s="40" t="str">
        <f>'Tariffs Jul2023'!G103</f>
        <v>Living Energy Saver</v>
      </c>
      <c r="D109" s="59">
        <f>365*'Tariffs Jul2023'!H103/100</f>
        <v>313.89999999999998</v>
      </c>
      <c r="E109" s="59">
        <f>IF($C$5*'Tariffs Jul2023'!AK103/'Tariffs Jul2023'!AI103&gt;='Tariffs Jul2023'!J103,( 'Tariffs Jul2023'!J103*'Tariffs Jul2023'!O103/100)* 'Tariffs Jul2023'!AI103,($C$5*'Tariffs Jul2023'!AK103/'Tariffs Jul2023'!AI103*'Tariffs Jul2023'!O103/100)* 'Tariffs Jul2023'!AI103)</f>
        <v>386.18181818181819</v>
      </c>
      <c r="F109" s="59">
        <f>IF($C$5*'Tariffs Jul2023'!AK103/'Tariffs Jul2023'!AI103&lt;'Tariffs Jul2023'!J103,0,IF($C$5*'Tariffs Jul2023'!AK103/'Tariffs Jul2023'!AI103&lt;='Tariffs Jul2023'!K103,($C$5*'Tariffs Jul2023'!AK103/'Tariffs Jul2023'!AI103-'Tariffs Jul2023'!J103)*('Tariffs Jul2023'!P103/100)*'Tariffs Jul2023'!AI103,('Tariffs Jul2023'!K103-'Tariffs Jul2023'!J103)*('Tariffs Jul2023'!P103/100)*'Tariffs Jul2023'!AI103))</f>
        <v>287.93279999999993</v>
      </c>
      <c r="G109" s="59">
        <f>IF($C$5*'Tariffs Jul2023'!AK103/'Tariffs Jul2023'!AI103&lt;'Tariffs Jul2023'!K103,0,IF($C$5*'Tariffs Jul2023'!AK103/'Tariffs Jul2023'!AI103&lt;='Tariffs Jul2023'!L103,($C$5*'Tariffs Jul2023'!AK103/'Tariffs Jul2023'!AI103-'Tariffs Jul2023'!K103)*('Tariffs Jul2023'!Q103/100)*'Tariffs Jul2023'!AI103,('Tariffs Jul2023'!L103-'Tariffs Jul2023'!K103)*('Tariffs Jul2023'!Q103/100)*'Tariffs Jul2023'!AI103))</f>
        <v>0</v>
      </c>
      <c r="H109" s="59">
        <f>IF($C$5*'Tariffs Jul2023'!AK103/'Tariffs Jul2023'!AI103&lt;'Tariffs Jul2023'!L103,0,IF($C$5*'Tariffs Jul2023'!AK103/'Tariffs Jul2023'!AI103&lt;='Tariffs Jul2023'!M103,($C$5*'Tariffs Jul2023'!AK103/'Tariffs Jul2023'!AI103-'Tariffs Jul2023'!L103)*('Tariffs Jul2023'!R103/100)*'Tariffs Jul2023'!AI103,('Tariffs Jul2023'!M103-'Tariffs Jul2023'!L103)*('Tariffs Jul2023'!R103/100)*'Tariffs Jul2023'!AI103))</f>
        <v>0</v>
      </c>
      <c r="I109" s="69">
        <f>IF(($C$5*'Tariffs Jul2023'!AK103/'Tariffs Jul2023'!AI103&gt;'Tariffs Jul2023'!M103),($C$5*'Tariffs Jul2023'!AK103/'Tariffs Jul2023'!AI103-'Tariffs Jul2023'!M103)*'Tariffs Jul2023'!S103/100*'Tariffs Jul2023'!AI103,0)</f>
        <v>0</v>
      </c>
      <c r="J109" s="69">
        <f>IF($C$5*'Tariffs Jul2023'!AL103/'Tariffs Jul2023'!AJ103&gt;='Tariffs Jul2023'!J103,('Tariffs Jul2023'!J103*'Tariffs Jul2023'!U103/100)* 'Tariffs Jul2023'!AJ103,($C$5*'Tariffs Jul2023'!AL103/'Tariffs Jul2023'!AJ103*'Tariffs Jul2023'!U103/100)* 'Tariffs Jul2023'!AJ103)</f>
        <v>619.63636363636363</v>
      </c>
      <c r="K109" s="69">
        <f>IF($C$5*'Tariffs Jul2023'!AL103/'Tariffs Jul2023'!AJ103&lt;'Tariffs Jul2023'!J103,0,IF($C$5*'Tariffs Jul2023'!AL103/'Tariffs Jul2023'!AJ103&lt;='Tariffs Jul2023'!K103,($C$5*'Tariffs Jul2023'!AL103/'Tariffs Jul2023'!AJ103-'Tariffs Jul2023'!J103)*('Tariffs Jul2023'!V103/100)*'Tariffs Jul2023'!AJ103,('Tariffs Jul2023'!K103-'Tariffs Jul2023'!J103)*('Tariffs Jul2023'!V103/100)*'Tariffs Jul2023'!AJ103))</f>
        <v>412.26741818181802</v>
      </c>
      <c r="L109" s="69">
        <f>IF($C$5*'Tariffs Jul2023'!AL103/'Tariffs Jul2023'!AJ103&lt;'Tariffs Jul2023'!K103,0,IF($C$5*'Tariffs Jul2023'!AL103/'Tariffs Jul2023'!AJ103&lt;='Tariffs Jul2023'!L103,($C$5*'Tariffs Jul2023'!AL103/'Tariffs Jul2023'!AJ103-'Tariffs Jul2023'!K103)*('Tariffs Jul2023'!W103/100)*'Tariffs Jul2023'!AJ103,('Tariffs Jul2023'!L103-'Tariffs Jul2023'!K103)*('Tariffs Jul2023'!W103/100)*'Tariffs Jul2023'!AJ103))</f>
        <v>0</v>
      </c>
      <c r="M109" s="69">
        <f>IF($C$5*'Tariffs Jul2023'!AL103/'Tariffs Jul2023'!AJ103&lt;'Tariffs Jul2023'!L103,0,IF($C$5*'Tariffs Jul2023'!AL103/'Tariffs Jul2023'!AJ103&lt;='Tariffs Jul2023'!M103,($C$5*'Tariffs Jul2023'!AL103/'Tariffs Jul2023'!AJ103-'Tariffs Jul2023'!L103)*('Tariffs Jul2023'!X103/100)*'Tariffs Jul2023'!AJ103,('Tariffs Jul2023'!M103-'Tariffs Jul2023'!L103)*('Tariffs Jul2023'!X103/100)*'Tariffs Jul2023'!AJ103))</f>
        <v>0</v>
      </c>
      <c r="N109" s="69">
        <f>IF(($C$5*'Tariffs Jul2023'!AL103/'Tariffs Jul2023'!AJ103&gt;'Tariffs Jul2023'!M103),($C$5*'Tariffs Jul2023'!AL103/'Tariffs Jul2023'!AJ103-'Tariffs Jul2023'!M103)*'Tariffs Jul2023'!Y103/100*'Tariffs Jul2023'!AJ103,0)</f>
        <v>0</v>
      </c>
      <c r="O109" s="59">
        <f t="shared" si="140"/>
        <v>1706.0183999999995</v>
      </c>
      <c r="P109" s="503">
        <f t="shared" si="141"/>
        <v>1876.6202399999995</v>
      </c>
      <c r="Q109" s="59">
        <f t="shared" si="142"/>
        <v>2019.9183999999996</v>
      </c>
      <c r="R109" s="272">
        <f t="shared" si="143"/>
        <v>2221.9102399999997</v>
      </c>
      <c r="S109" s="40">
        <f>'Tariffs Jul2023'!AN103</f>
        <v>0</v>
      </c>
      <c r="T109" s="40">
        <f>'Tariffs Jul2023'!AO103</f>
        <v>0</v>
      </c>
      <c r="U109" s="40">
        <f>'Tariffs Jul2023'!AP103</f>
        <v>0</v>
      </c>
      <c r="V109" s="637">
        <f>'Tariffs Jul2023'!AQ103</f>
        <v>0</v>
      </c>
      <c r="W109" s="578" t="str">
        <f t="shared" si="165"/>
        <v>No discount</v>
      </c>
      <c r="X109" s="538" t="str">
        <f t="shared" si="166"/>
        <v>Inclusive</v>
      </c>
      <c r="Y109" s="535">
        <f t="shared" ref="Y109:Y111" si="170">IF(AND(W109="Guaranteed off bill",X109="Inclusive"),((Q109*1.1)-((Q109*1.1)*S109/100))/1.1,IF(AND(W109="Guaranteed off usage",X109="Inclusive"),((Q109*1.1)-((P109*1.1)*T109/100))/1.1,IF(AND(W109="Guaranteed off bill",X109="Exclusive"),Q109-(Q109*S109/100),IF(AND(W109="Guaranteed off usage",X109="Exclusive"),Q109-(P109*T109/100),IF(X109="Inclusive",((Q109*1.1))/1.1,Q109)))))</f>
        <v>2019.9183999999996</v>
      </c>
      <c r="Z109" s="535">
        <f t="shared" ref="Z109:Z111" si="171">IF(AND(W109="Pay-on-time off bill",X109="Inclusive"),((Y109*1.1)-((Y109*1.1)*U109/100))/1.1,IF(AND(W109="Pay-on-time off usage",X109="Inclusive"),((Y109*1.1)-((P109*1.1)*V109/100))/1.1,IF(AND(W109="Pay-on-time off bill",X109="Exclusive"),Y109-(Y109*U109/100),IF(AND(W109="Pay-on-time off usage",X109="Exclusive"),Y109-(P109*V109/100),IF(X109="Inclusive",((Y109*1.1))/1.1,Y109)))))</f>
        <v>2019.9183999999996</v>
      </c>
      <c r="AA109" s="542">
        <f t="shared" si="169"/>
        <v>2221.9102399999997</v>
      </c>
      <c r="AB109" s="609">
        <f t="shared" si="169"/>
        <v>2221.9102399999997</v>
      </c>
      <c r="AC109" s="625"/>
      <c r="AD109" s="625"/>
      <c r="AE109" s="625"/>
      <c r="AF109" s="625"/>
      <c r="AG109" s="625"/>
      <c r="AH109" s="625"/>
      <c r="AI109" s="625"/>
      <c r="AJ109" s="625"/>
      <c r="AK109" s="625"/>
      <c r="AL109" s="625"/>
      <c r="AM109" s="625"/>
      <c r="AN109" s="625"/>
      <c r="AO109" s="625"/>
      <c r="AP109" s="625"/>
      <c r="AQ109" s="625"/>
      <c r="AR109" s="625"/>
      <c r="AS109" s="625"/>
      <c r="AT109" s="625"/>
    </row>
    <row r="110" spans="1:46" ht="14" x14ac:dyDescent="0.15">
      <c r="A110" s="270" t="str">
        <f>'Tariffs Jul2023'!F104</f>
        <v>Simply Energy</v>
      </c>
      <c r="B110" s="40" t="str">
        <f>'Tariffs Jul2023'!D104</f>
        <v>AusNet Services Central 2</v>
      </c>
      <c r="C110" s="40" t="str">
        <f>'Tariffs Jul2023'!G104</f>
        <v>Blue Perks</v>
      </c>
      <c r="D110" s="59">
        <f>365*'Tariffs Jul2023'!H104/100</f>
        <v>339.68227272727273</v>
      </c>
      <c r="E110" s="59">
        <f>IF($C$5*'Tariffs Jul2023'!AK104/'Tariffs Jul2023'!AI104&gt;='Tariffs Jul2023'!J104,( 'Tariffs Jul2023'!J104*'Tariffs Jul2023'!O104/100)* 'Tariffs Jul2023'!AI104,($C$5*'Tariffs Jul2023'!AK104/'Tariffs Jul2023'!AI104*'Tariffs Jul2023'!O104/100)* 'Tariffs Jul2023'!AI104)</f>
        <v>420</v>
      </c>
      <c r="F110" s="59">
        <f>IF($C$5*'Tariffs Jul2023'!AK104/'Tariffs Jul2023'!AI104&lt;'Tariffs Jul2023'!J104,0,IF($C$5*'Tariffs Jul2023'!AK104/'Tariffs Jul2023'!AI104&lt;='Tariffs Jul2023'!K104,($C$5*'Tariffs Jul2023'!AK104/'Tariffs Jul2023'!AI104-'Tariffs Jul2023'!J104)*('Tariffs Jul2023'!P104/100)*'Tariffs Jul2023'!AI104,('Tariffs Jul2023'!K104-'Tariffs Jul2023'!J104)*('Tariffs Jul2023'!P104/100)*'Tariffs Jul2023'!AI104))</f>
        <v>309.20056363636354</v>
      </c>
      <c r="G110" s="59">
        <f>IF($C$5*'Tariffs Jul2023'!AK104/'Tariffs Jul2023'!AI104&lt;'Tariffs Jul2023'!K104,0,IF($C$5*'Tariffs Jul2023'!AK104/'Tariffs Jul2023'!AI104&lt;='Tariffs Jul2023'!L104,($C$5*'Tariffs Jul2023'!AK104/'Tariffs Jul2023'!AI104-'Tariffs Jul2023'!K104)*('Tariffs Jul2023'!Q104/100)*'Tariffs Jul2023'!AI104,('Tariffs Jul2023'!L104-'Tariffs Jul2023'!K104)*('Tariffs Jul2023'!Q104/100)*'Tariffs Jul2023'!AI104))</f>
        <v>0</v>
      </c>
      <c r="H110" s="59">
        <f>IF($C$5*'Tariffs Jul2023'!AK104/'Tariffs Jul2023'!AI104&lt;'Tariffs Jul2023'!L104,0,IF($C$5*'Tariffs Jul2023'!AK104/'Tariffs Jul2023'!AI104&lt;='Tariffs Jul2023'!M104,($C$5*'Tariffs Jul2023'!AK104/'Tariffs Jul2023'!AI104-'Tariffs Jul2023'!L104)*('Tariffs Jul2023'!R104/100)*'Tariffs Jul2023'!AI104,('Tariffs Jul2023'!M104-'Tariffs Jul2023'!L104)*('Tariffs Jul2023'!R104/100)*'Tariffs Jul2023'!AI104))</f>
        <v>0</v>
      </c>
      <c r="I110" s="69">
        <f>IF(($C$5*'Tariffs Jul2023'!AK104/'Tariffs Jul2023'!AI104&gt;'Tariffs Jul2023'!M104),($C$5*'Tariffs Jul2023'!AK104/'Tariffs Jul2023'!AI104-'Tariffs Jul2023'!M104)*'Tariffs Jul2023'!S104/100*'Tariffs Jul2023'!AI104,0)</f>
        <v>0</v>
      </c>
      <c r="J110" s="69">
        <f>IF($C$5*'Tariffs Jul2023'!AL104/'Tariffs Jul2023'!AJ104&gt;='Tariffs Jul2023'!J104,('Tariffs Jul2023'!J104*'Tariffs Jul2023'!U104/100)* 'Tariffs Jul2023'!AJ104,($C$5*'Tariffs Jul2023'!AL104/'Tariffs Jul2023'!AJ104*'Tariffs Jul2023'!U104/100)* 'Tariffs Jul2023'!AJ104)</f>
        <v>643.63636363636363</v>
      </c>
      <c r="K110" s="69">
        <f>IF($C$5*'Tariffs Jul2023'!AL104/'Tariffs Jul2023'!AJ104&lt;'Tariffs Jul2023'!J104,0,IF($C$5*'Tariffs Jul2023'!AL104/'Tariffs Jul2023'!AJ104&lt;='Tariffs Jul2023'!K104,($C$5*'Tariffs Jul2023'!AL104/'Tariffs Jul2023'!AJ104-'Tariffs Jul2023'!J104)*('Tariffs Jul2023'!V104/100)*'Tariffs Jul2023'!AJ104,('Tariffs Jul2023'!K104-'Tariffs Jul2023'!J104)*('Tariffs Jul2023'!V104/100)*'Tariffs Jul2023'!AJ104))</f>
        <v>464.61883636363621</v>
      </c>
      <c r="L110" s="69">
        <f>IF($C$5*'Tariffs Jul2023'!AL104/'Tariffs Jul2023'!AJ104&lt;'Tariffs Jul2023'!K104,0,IF($C$5*'Tariffs Jul2023'!AL104/'Tariffs Jul2023'!AJ104&lt;='Tariffs Jul2023'!L104,($C$5*'Tariffs Jul2023'!AL104/'Tariffs Jul2023'!AJ104-'Tariffs Jul2023'!K104)*('Tariffs Jul2023'!W104/100)*'Tariffs Jul2023'!AJ104,('Tariffs Jul2023'!L104-'Tariffs Jul2023'!K104)*('Tariffs Jul2023'!W104/100)*'Tariffs Jul2023'!AJ104))</f>
        <v>0</v>
      </c>
      <c r="M110" s="69">
        <f>IF($C$5*'Tariffs Jul2023'!AL104/'Tariffs Jul2023'!AJ104&lt;'Tariffs Jul2023'!L104,0,IF($C$5*'Tariffs Jul2023'!AL104/'Tariffs Jul2023'!AJ104&lt;='Tariffs Jul2023'!M104,($C$5*'Tariffs Jul2023'!AL104/'Tariffs Jul2023'!AJ104-'Tariffs Jul2023'!L104)*('Tariffs Jul2023'!X104/100)*'Tariffs Jul2023'!AJ104,('Tariffs Jul2023'!M104-'Tariffs Jul2023'!L104)*('Tariffs Jul2023'!X104/100)*'Tariffs Jul2023'!AJ104))</f>
        <v>0</v>
      </c>
      <c r="N110" s="69">
        <f>IF(($C$5*'Tariffs Jul2023'!AL104/'Tariffs Jul2023'!AJ104&gt;'Tariffs Jul2023'!M104),($C$5*'Tariffs Jul2023'!AL104/'Tariffs Jul2023'!AJ104-'Tariffs Jul2023'!M104)*'Tariffs Jul2023'!Y104/100*'Tariffs Jul2023'!AJ104,0)</f>
        <v>0</v>
      </c>
      <c r="O110" s="59">
        <f t="shared" si="140"/>
        <v>1837.4557636363634</v>
      </c>
      <c r="P110" s="503">
        <f t="shared" si="141"/>
        <v>2021.2013399999998</v>
      </c>
      <c r="Q110" s="59">
        <f t="shared" si="142"/>
        <v>2177.1380363636363</v>
      </c>
      <c r="R110" s="272">
        <f t="shared" si="143"/>
        <v>2394.8518400000003</v>
      </c>
      <c r="S110" s="40">
        <f>'Tariffs Jul2023'!AN104</f>
        <v>10</v>
      </c>
      <c r="T110" s="40">
        <f>'Tariffs Jul2023'!AO104</f>
        <v>0</v>
      </c>
      <c r="U110" s="40">
        <f>'Tariffs Jul2023'!AP104</f>
        <v>0</v>
      </c>
      <c r="V110" s="637">
        <f>'Tariffs Jul2023'!AQ104</f>
        <v>0</v>
      </c>
      <c r="W110" s="578" t="str">
        <f t="shared" si="165"/>
        <v>Guaranteed off bill</v>
      </c>
      <c r="X110" s="538" t="str">
        <f t="shared" si="166"/>
        <v>Exclusive</v>
      </c>
      <c r="Y110" s="535">
        <f t="shared" si="170"/>
        <v>1959.4242327272727</v>
      </c>
      <c r="Z110" s="535">
        <f t="shared" si="171"/>
        <v>1959.4242327272727</v>
      </c>
      <c r="AA110" s="542">
        <f t="shared" si="169"/>
        <v>2155.3666560000001</v>
      </c>
      <c r="AB110" s="609">
        <f t="shared" si="169"/>
        <v>2155.3666560000001</v>
      </c>
      <c r="AC110" s="625"/>
      <c r="AD110" s="625"/>
      <c r="AE110" s="625"/>
      <c r="AF110" s="625"/>
      <c r="AG110" s="625"/>
      <c r="AH110" s="625"/>
      <c r="AI110" s="625"/>
      <c r="AJ110" s="625"/>
      <c r="AK110" s="625"/>
      <c r="AL110" s="625"/>
      <c r="AM110" s="625"/>
      <c r="AN110" s="625"/>
      <c r="AO110" s="625"/>
      <c r="AP110" s="625"/>
      <c r="AQ110" s="625"/>
      <c r="AR110" s="625"/>
      <c r="AS110" s="625"/>
      <c r="AT110" s="625"/>
    </row>
    <row r="111" spans="1:46" ht="14" x14ac:dyDescent="0.15">
      <c r="A111" s="270" t="str">
        <f>'Tariffs Jul2023'!F105</f>
        <v>GloBird Energy</v>
      </c>
      <c r="B111" s="40" t="str">
        <f>'Tariffs Jul2023'!D105</f>
        <v>AusNet Services Central 2</v>
      </c>
      <c r="C111" s="40" t="str">
        <f>'Tariffs Jul2023'!G105</f>
        <v>GloSave</v>
      </c>
      <c r="D111" s="59">
        <f>365*'Tariffs Jul2023'!H105/100</f>
        <v>328.49999999999994</v>
      </c>
      <c r="E111" s="59">
        <f>IF($C$5*'Tariffs Jul2023'!AK105/'Tariffs Jul2023'!AI105&gt;='Tariffs Jul2023'!J105,( 'Tariffs Jul2023'!J105*'Tariffs Jul2023'!O105/100)* 'Tariffs Jul2023'!AI105,($C$5*'Tariffs Jul2023'!AK105/'Tariffs Jul2023'!AI105*'Tariffs Jul2023'!O105/100)* 'Tariffs Jul2023'!AI105)</f>
        <v>343.63636363636363</v>
      </c>
      <c r="F111" s="59">
        <f>IF($C$5*'Tariffs Jul2023'!AK105/'Tariffs Jul2023'!AI105&lt;'Tariffs Jul2023'!J105,0,IF($C$5*'Tariffs Jul2023'!AK105/'Tariffs Jul2023'!AI105&lt;='Tariffs Jul2023'!K105,($C$5*'Tariffs Jul2023'!AK105/'Tariffs Jul2023'!AI105-'Tariffs Jul2023'!J105)*('Tariffs Jul2023'!P105/100)*'Tariffs Jul2023'!AI105,('Tariffs Jul2023'!K105-'Tariffs Jul2023'!J105)*('Tariffs Jul2023'!P105/100)*'Tariffs Jul2023'!AI105))</f>
        <v>0</v>
      </c>
      <c r="G111" s="59">
        <f>IF($C$5*'Tariffs Jul2023'!AK105/'Tariffs Jul2023'!AI105&lt;'Tariffs Jul2023'!K105,0,IF($C$5*'Tariffs Jul2023'!AK105/'Tariffs Jul2023'!AI105&lt;='Tariffs Jul2023'!L105,($C$5*'Tariffs Jul2023'!AK105/'Tariffs Jul2023'!AI105-'Tariffs Jul2023'!K105)*('Tariffs Jul2023'!Q105/100)*'Tariffs Jul2023'!AI105,('Tariffs Jul2023'!L105-'Tariffs Jul2023'!K105)*('Tariffs Jul2023'!Q105/100)*'Tariffs Jul2023'!AI105))</f>
        <v>0</v>
      </c>
      <c r="H111" s="59">
        <f>IF($C$5*'Tariffs Jul2023'!AK105/'Tariffs Jul2023'!AI105&lt;'Tariffs Jul2023'!L105,0,IF($C$5*'Tariffs Jul2023'!AK105/'Tariffs Jul2023'!AI105&lt;='Tariffs Jul2023'!M105,($C$5*'Tariffs Jul2023'!AK105/'Tariffs Jul2023'!AI105-'Tariffs Jul2023'!L105)*('Tariffs Jul2023'!R105/100)*'Tariffs Jul2023'!AI105,('Tariffs Jul2023'!M105-'Tariffs Jul2023'!L105)*('Tariffs Jul2023'!R105/100)*'Tariffs Jul2023'!AI105))</f>
        <v>0</v>
      </c>
      <c r="I111" s="69">
        <f>IF(($C$5*'Tariffs Jul2023'!AK105/'Tariffs Jul2023'!AI105&gt;'Tariffs Jul2023'!M105),($C$5*'Tariffs Jul2023'!AK105/'Tariffs Jul2023'!AI105-'Tariffs Jul2023'!M105)*'Tariffs Jul2023'!S105/100*'Tariffs Jul2023'!AI105,0)</f>
        <v>239.6713363636363</v>
      </c>
      <c r="J111" s="69">
        <f>IF($C$5*'Tariffs Jul2023'!AL105/'Tariffs Jul2023'!AJ105&gt;='Tariffs Jul2023'!J105,('Tariffs Jul2023'!J105*'Tariffs Jul2023'!U105/100)* 'Tariffs Jul2023'!AJ105,($C$5*'Tariffs Jul2023'!AL105/'Tariffs Jul2023'!AJ105*'Tariffs Jul2023'!U105/100)* 'Tariffs Jul2023'!AJ105)</f>
        <v>687.27272727272725</v>
      </c>
      <c r="K111" s="69">
        <f>IF($C$5*'Tariffs Jul2023'!AL105/'Tariffs Jul2023'!AJ105&lt;'Tariffs Jul2023'!J105,0,IF($C$5*'Tariffs Jul2023'!AL105/'Tariffs Jul2023'!AJ105&lt;='Tariffs Jul2023'!K105,($C$5*'Tariffs Jul2023'!AL105/'Tariffs Jul2023'!AJ105-'Tariffs Jul2023'!J105)*('Tariffs Jul2023'!V105/100)*'Tariffs Jul2023'!AJ105,('Tariffs Jul2023'!K105-'Tariffs Jul2023'!J105)*('Tariffs Jul2023'!V105/100)*'Tariffs Jul2023'!AJ105))</f>
        <v>0</v>
      </c>
      <c r="L111" s="69">
        <f>IF($C$5*'Tariffs Jul2023'!AL105/'Tariffs Jul2023'!AJ105&lt;'Tariffs Jul2023'!K105,0,IF($C$5*'Tariffs Jul2023'!AL105/'Tariffs Jul2023'!AJ105&lt;='Tariffs Jul2023'!L105,($C$5*'Tariffs Jul2023'!AL105/'Tariffs Jul2023'!AJ105-'Tariffs Jul2023'!K105)*('Tariffs Jul2023'!W105/100)*'Tariffs Jul2023'!AJ105,('Tariffs Jul2023'!L105-'Tariffs Jul2023'!K105)*('Tariffs Jul2023'!W105/100)*'Tariffs Jul2023'!AJ105))</f>
        <v>0</v>
      </c>
      <c r="M111" s="69">
        <f>IF($C$5*'Tariffs Jul2023'!AL105/'Tariffs Jul2023'!AJ105&lt;'Tariffs Jul2023'!L105,0,IF($C$5*'Tariffs Jul2023'!AL105/'Tariffs Jul2023'!AJ105&lt;='Tariffs Jul2023'!M105,($C$5*'Tariffs Jul2023'!AL105/'Tariffs Jul2023'!AJ105-'Tariffs Jul2023'!L105)*('Tariffs Jul2023'!X105/100)*'Tariffs Jul2023'!AJ105,('Tariffs Jul2023'!M105-'Tariffs Jul2023'!L105)*('Tariffs Jul2023'!X105/100)*'Tariffs Jul2023'!AJ105))</f>
        <v>0</v>
      </c>
      <c r="N111" s="69">
        <f>IF(($C$5*'Tariffs Jul2023'!AL105/'Tariffs Jul2023'!AJ105&gt;'Tariffs Jul2023'!M105),($C$5*'Tariffs Jul2023'!AL105/'Tariffs Jul2023'!AJ105-'Tariffs Jul2023'!M105)*'Tariffs Jul2023'!Y105/100*'Tariffs Jul2023'!AJ105,0)</f>
        <v>479.3426727272726</v>
      </c>
      <c r="O111" s="59">
        <f t="shared" si="140"/>
        <v>1749.9231</v>
      </c>
      <c r="P111" s="503">
        <f t="shared" si="141"/>
        <v>1924.9154100000001</v>
      </c>
      <c r="Q111" s="59">
        <f t="shared" si="142"/>
        <v>2078.4231</v>
      </c>
      <c r="R111" s="272">
        <f t="shared" si="143"/>
        <v>2286.26541</v>
      </c>
      <c r="S111" s="40">
        <f>'Tariffs Jul2023'!AN105</f>
        <v>0</v>
      </c>
      <c r="T111" s="40">
        <f>'Tariffs Jul2023'!AO105</f>
        <v>0</v>
      </c>
      <c r="U111" s="40">
        <f>'Tariffs Jul2023'!AP105</f>
        <v>2</v>
      </c>
      <c r="V111" s="637">
        <f>'Tariffs Jul2023'!AQ105</f>
        <v>0</v>
      </c>
      <c r="W111" s="578" t="str">
        <f t="shared" si="165"/>
        <v>Pay-on-time off bill</v>
      </c>
      <c r="X111" s="538" t="str">
        <f t="shared" si="166"/>
        <v>Exclusive</v>
      </c>
      <c r="Y111" s="535">
        <f t="shared" si="170"/>
        <v>2078.4231</v>
      </c>
      <c r="Z111" s="535">
        <f t="shared" si="171"/>
        <v>2036.854638</v>
      </c>
      <c r="AA111" s="542">
        <f t="shared" si="169"/>
        <v>2286.26541</v>
      </c>
      <c r="AB111" s="609">
        <f t="shared" si="169"/>
        <v>2240.5401018000002</v>
      </c>
      <c r="AC111" s="625"/>
      <c r="AD111" s="625"/>
      <c r="AE111" s="625"/>
      <c r="AF111" s="625"/>
      <c r="AG111" s="625"/>
      <c r="AH111" s="625"/>
      <c r="AI111" s="625"/>
      <c r="AJ111" s="625"/>
      <c r="AK111" s="625"/>
      <c r="AL111" s="625"/>
      <c r="AM111" s="625"/>
      <c r="AN111" s="625"/>
      <c r="AO111" s="625"/>
      <c r="AP111" s="625"/>
      <c r="AQ111" s="625"/>
      <c r="AR111" s="625"/>
      <c r="AS111" s="625"/>
      <c r="AT111" s="625"/>
    </row>
    <row r="112" spans="1:46" ht="14" x14ac:dyDescent="0.15">
      <c r="A112" s="270" t="str">
        <f>'Tariffs Jul2023'!F106</f>
        <v>1st Energy</v>
      </c>
      <c r="B112" s="40" t="str">
        <f>'Tariffs Jul2023'!D106</f>
        <v>AusNet Services Central 2</v>
      </c>
      <c r="C112" s="40" t="str">
        <f>'Tariffs Jul2023'!G106</f>
        <v>1st Saver Plus</v>
      </c>
      <c r="D112" s="59">
        <f>365*'Tariffs Jul2023'!H106/100</f>
        <v>354.05</v>
      </c>
      <c r="E112" s="59">
        <f>IF($C$5*'Tariffs Jul2023'!AK106/'Tariffs Jul2023'!AI106&gt;='Tariffs Jul2023'!J106,( 'Tariffs Jul2023'!J106*'Tariffs Jul2023'!O106/100)* 'Tariffs Jul2023'!AI106,($C$5*'Tariffs Jul2023'!AK106/'Tariffs Jul2023'!AI106*'Tariffs Jul2023'!O106/100)* 'Tariffs Jul2023'!AI106)</f>
        <v>683.99999999999989</v>
      </c>
      <c r="F112" s="59">
        <f>IF($C$5*'Tariffs Jul2023'!AK106/'Tariffs Jul2023'!AI106&lt;'Tariffs Jul2023'!J106,0,IF($C$5*'Tariffs Jul2023'!AK106/'Tariffs Jul2023'!AI106&lt;='Tariffs Jul2023'!K106,($C$5*'Tariffs Jul2023'!AK106/'Tariffs Jul2023'!AI106-'Tariffs Jul2023'!J106)*('Tariffs Jul2023'!P106/100)*'Tariffs Jul2023'!AI106,('Tariffs Jul2023'!K106-'Tariffs Jul2023'!J106)*('Tariffs Jul2023'!P106/100)*'Tariffs Jul2023'!AI106))</f>
        <v>459</v>
      </c>
      <c r="G112" s="59">
        <f>IF($C$5*'Tariffs Jul2023'!AK106/'Tariffs Jul2023'!AI106&lt;'Tariffs Jul2023'!K106,0,IF($C$5*'Tariffs Jul2023'!AK106/'Tariffs Jul2023'!AI106&lt;='Tariffs Jul2023'!L106,($C$5*'Tariffs Jul2023'!AK106/'Tariffs Jul2023'!AI106-'Tariffs Jul2023'!K106)*('Tariffs Jul2023'!Q106/100)*'Tariffs Jul2023'!AI106,('Tariffs Jul2023'!L106-'Tariffs Jul2023'!K106)*('Tariffs Jul2023'!Q106/100)*'Tariffs Jul2023'!AI106))</f>
        <v>0</v>
      </c>
      <c r="H112" s="59">
        <f>IF($C$5*'Tariffs Jul2023'!AK106/'Tariffs Jul2023'!AI106&lt;'Tariffs Jul2023'!L106,0,IF($C$5*'Tariffs Jul2023'!AK106/'Tariffs Jul2023'!AI106&lt;='Tariffs Jul2023'!M106,($C$5*'Tariffs Jul2023'!AK106/'Tariffs Jul2023'!AI106-'Tariffs Jul2023'!L106)*('Tariffs Jul2023'!R106/100)*'Tariffs Jul2023'!AI106,('Tariffs Jul2023'!M106-'Tariffs Jul2023'!L106)*('Tariffs Jul2023'!R106/100)*'Tariffs Jul2023'!AI106))</f>
        <v>0</v>
      </c>
      <c r="I112" s="69">
        <f>IF(($C$5*'Tariffs Jul2023'!AK106/'Tariffs Jul2023'!AI106&gt;'Tariffs Jul2023'!M106),($C$5*'Tariffs Jul2023'!AK106/'Tariffs Jul2023'!AI106-'Tariffs Jul2023'!M106)*'Tariffs Jul2023'!S106/100*'Tariffs Jul2023'!AI106,0)</f>
        <v>0</v>
      </c>
      <c r="J112" s="69">
        <f>IF($C$5*'Tariffs Jul2023'!AL106/'Tariffs Jul2023'!AJ106&gt;='Tariffs Jul2023'!J106,('Tariffs Jul2023'!J106*'Tariffs Jul2023'!U106/100)* 'Tariffs Jul2023'!AJ106,($C$5*'Tariffs Jul2023'!AL106/'Tariffs Jul2023'!AJ106*'Tariffs Jul2023'!U106/100)* 'Tariffs Jul2023'!AJ106)</f>
        <v>683.99999999999989</v>
      </c>
      <c r="K112" s="69">
        <f>IF($C$5*'Tariffs Jul2023'!AL106/'Tariffs Jul2023'!AJ106&lt;'Tariffs Jul2023'!J106,0,IF($C$5*'Tariffs Jul2023'!AL106/'Tariffs Jul2023'!AJ106&lt;='Tariffs Jul2023'!K106,($C$5*'Tariffs Jul2023'!AL106/'Tariffs Jul2023'!AJ106-'Tariffs Jul2023'!J106)*('Tariffs Jul2023'!V106/100)*'Tariffs Jul2023'!AJ106,('Tariffs Jul2023'!K106-'Tariffs Jul2023'!J106)*('Tariffs Jul2023'!V106/100)*'Tariffs Jul2023'!AJ106))</f>
        <v>459</v>
      </c>
      <c r="L112" s="69">
        <f>IF($C$5*'Tariffs Jul2023'!AL106/'Tariffs Jul2023'!AJ106&lt;'Tariffs Jul2023'!K106,0,IF($C$5*'Tariffs Jul2023'!AL106/'Tariffs Jul2023'!AJ106&lt;='Tariffs Jul2023'!L106,($C$5*'Tariffs Jul2023'!AL106/'Tariffs Jul2023'!AJ106-'Tariffs Jul2023'!K106)*('Tariffs Jul2023'!W106/100)*'Tariffs Jul2023'!AJ106,('Tariffs Jul2023'!L106-'Tariffs Jul2023'!K106)*('Tariffs Jul2023'!W106/100)*'Tariffs Jul2023'!AJ106))</f>
        <v>0</v>
      </c>
      <c r="M112" s="69">
        <f>IF($C$5*'Tariffs Jul2023'!AL106/'Tariffs Jul2023'!AJ106&lt;'Tariffs Jul2023'!L106,0,IF($C$5*'Tariffs Jul2023'!AL106/'Tariffs Jul2023'!AJ106&lt;='Tariffs Jul2023'!M106,($C$5*'Tariffs Jul2023'!AL106/'Tariffs Jul2023'!AJ106-'Tariffs Jul2023'!L106)*('Tariffs Jul2023'!X106/100)*'Tariffs Jul2023'!AJ106,('Tariffs Jul2023'!M106-'Tariffs Jul2023'!L106)*('Tariffs Jul2023'!X106/100)*'Tariffs Jul2023'!AJ106))</f>
        <v>0</v>
      </c>
      <c r="N112" s="69">
        <f>IF(($C$5*'Tariffs Jul2023'!AL106/'Tariffs Jul2023'!AJ106&gt;'Tariffs Jul2023'!M106),($C$5*'Tariffs Jul2023'!AL106/'Tariffs Jul2023'!AJ106-'Tariffs Jul2023'!M106)*'Tariffs Jul2023'!Y106/100*'Tariffs Jul2023'!AJ106,0)</f>
        <v>0</v>
      </c>
      <c r="O112" s="59">
        <f t="shared" si="140"/>
        <v>2286</v>
      </c>
      <c r="P112" s="503">
        <f t="shared" si="141"/>
        <v>2514.6000000000004</v>
      </c>
      <c r="Q112" s="59">
        <f t="shared" si="142"/>
        <v>2640.05</v>
      </c>
      <c r="R112" s="272">
        <f t="shared" si="143"/>
        <v>2904.0550000000003</v>
      </c>
      <c r="S112" s="40">
        <f>'Tariffs Jul2023'!AN106</f>
        <v>0</v>
      </c>
      <c r="T112" s="40">
        <f>'Tariffs Jul2023'!AO106</f>
        <v>7</v>
      </c>
      <c r="U112" s="40">
        <f>'Tariffs Jul2023'!AP106</f>
        <v>0</v>
      </c>
      <c r="V112" s="637">
        <f>'Tariffs Jul2023'!AQ106</f>
        <v>3</v>
      </c>
      <c r="W112" s="578" t="str">
        <f t="shared" si="165"/>
        <v>Guaranteed off usage</v>
      </c>
      <c r="X112" s="538" t="str">
        <f t="shared" si="166"/>
        <v>Exclusive</v>
      </c>
      <c r="Y112" s="535">
        <f>Q112-(P112*T112)/100</f>
        <v>2464.0280000000002</v>
      </c>
      <c r="Z112" s="535">
        <f>Y112-(P112*V112)/100</f>
        <v>2388.59</v>
      </c>
      <c r="AA112" s="542">
        <f t="shared" si="169"/>
        <v>2710.4308000000005</v>
      </c>
      <c r="AB112" s="609">
        <f t="shared" si="169"/>
        <v>2627.4490000000005</v>
      </c>
      <c r="AC112" s="625"/>
      <c r="AD112" s="625"/>
      <c r="AE112" s="625"/>
      <c r="AF112" s="625"/>
      <c r="AG112" s="625"/>
      <c r="AH112" s="625"/>
      <c r="AI112" s="625"/>
      <c r="AJ112" s="625"/>
      <c r="AK112" s="625"/>
      <c r="AL112" s="625"/>
      <c r="AM112" s="625"/>
      <c r="AN112" s="625"/>
      <c r="AO112" s="625"/>
      <c r="AP112" s="625"/>
      <c r="AQ112" s="625"/>
      <c r="AR112" s="625"/>
      <c r="AS112" s="625"/>
      <c r="AT112" s="625"/>
    </row>
    <row r="113" spans="1:46" ht="14" x14ac:dyDescent="0.15">
      <c r="A113" s="270" t="str">
        <f>'Tariffs Jul2023'!F107</f>
        <v>Tango Energy</v>
      </c>
      <c r="B113" s="40" t="str">
        <f>'Tariffs Jul2023'!D107</f>
        <v>AusNet Services Central 2</v>
      </c>
      <c r="C113" s="40" t="str">
        <f>'Tariffs Jul2023'!G107</f>
        <v>Home Select</v>
      </c>
      <c r="D113" s="59">
        <f>365*'Tariffs Jul2023'!H107/100</f>
        <v>427.04999999999995</v>
      </c>
      <c r="E113" s="59">
        <f>IF($C$5*'Tariffs Jul2023'!AK107/'Tariffs Jul2023'!AI107&gt;='Tariffs Jul2023'!J107,( 'Tariffs Jul2023'!J107*'Tariffs Jul2023'!O107/100)* 'Tariffs Jul2023'!AI107,($C$5*'Tariffs Jul2023'!AK107/'Tariffs Jul2023'!AI107*'Tariffs Jul2023'!O107/100)* 'Tariffs Jul2023'!AI107)</f>
        <v>410.18181818181807</v>
      </c>
      <c r="F113" s="59">
        <f>IF($C$5*'Tariffs Jul2023'!AK107/'Tariffs Jul2023'!AI107&lt;'Tariffs Jul2023'!J107,0,IF($C$5*'Tariffs Jul2023'!AK107/'Tariffs Jul2023'!AI107&lt;='Tariffs Jul2023'!K107,($C$5*'Tariffs Jul2023'!AK107/'Tariffs Jul2023'!AI107-'Tariffs Jul2023'!J107)*('Tariffs Jul2023'!P107/100)*'Tariffs Jul2023'!AI107,('Tariffs Jul2023'!K107-'Tariffs Jul2023'!J107)*('Tariffs Jul2023'!P107/100)*'Tariffs Jul2023'!AI107))</f>
        <v>287.93279999999993</v>
      </c>
      <c r="G113" s="59">
        <f>IF($C$5*'Tariffs Jul2023'!AK107/'Tariffs Jul2023'!AI107&lt;'Tariffs Jul2023'!K107,0,IF($C$5*'Tariffs Jul2023'!AK107/'Tariffs Jul2023'!AI107&lt;='Tariffs Jul2023'!L107,($C$5*'Tariffs Jul2023'!AK107/'Tariffs Jul2023'!AI107-'Tariffs Jul2023'!K107)*('Tariffs Jul2023'!Q107/100)*'Tariffs Jul2023'!AI107,('Tariffs Jul2023'!L107-'Tariffs Jul2023'!K107)*('Tariffs Jul2023'!Q107/100)*'Tariffs Jul2023'!AI107))</f>
        <v>0</v>
      </c>
      <c r="H113" s="59">
        <f>IF($C$5*'Tariffs Jul2023'!AK107/'Tariffs Jul2023'!AI107&lt;'Tariffs Jul2023'!L107,0,IF($C$5*'Tariffs Jul2023'!AK107/'Tariffs Jul2023'!AI107&lt;='Tariffs Jul2023'!M107,($C$5*'Tariffs Jul2023'!AK107/'Tariffs Jul2023'!AI107-'Tariffs Jul2023'!L107)*('Tariffs Jul2023'!R107/100)*'Tariffs Jul2023'!AI107,('Tariffs Jul2023'!M107-'Tariffs Jul2023'!L107)*('Tariffs Jul2023'!R107/100)*'Tariffs Jul2023'!AI107))</f>
        <v>0</v>
      </c>
      <c r="I113" s="69">
        <f>IF(($C$5*'Tariffs Jul2023'!AK107/'Tariffs Jul2023'!AI107&gt;'Tariffs Jul2023'!M107),($C$5*'Tariffs Jul2023'!AK107/'Tariffs Jul2023'!AI107-'Tariffs Jul2023'!M107)*'Tariffs Jul2023'!S107/100*'Tariffs Jul2023'!AI107,0)</f>
        <v>0</v>
      </c>
      <c r="J113" s="69">
        <f>IF($C$5*'Tariffs Jul2023'!AL107/'Tariffs Jul2023'!AJ107&gt;='Tariffs Jul2023'!J107,('Tariffs Jul2023'!J107*'Tariffs Jul2023'!U107/100)* 'Tariffs Jul2023'!AJ107,($C$5*'Tariffs Jul2023'!AL107/'Tariffs Jul2023'!AJ107*'Tariffs Jul2023'!U107/100)* 'Tariffs Jul2023'!AJ107)</f>
        <v>702.5454545454545</v>
      </c>
      <c r="K113" s="69">
        <f>IF($C$5*'Tariffs Jul2023'!AL107/'Tariffs Jul2023'!AJ107&lt;'Tariffs Jul2023'!J107,0,IF($C$5*'Tariffs Jul2023'!AL107/'Tariffs Jul2023'!AJ107&lt;='Tariffs Jul2023'!K107,($C$5*'Tariffs Jul2023'!AL107/'Tariffs Jul2023'!AJ107-'Tariffs Jul2023'!J107)*('Tariffs Jul2023'!V107/100)*'Tariffs Jul2023'!AJ107,('Tariffs Jul2023'!K107-'Tariffs Jul2023'!J107)*('Tariffs Jul2023'!V107/100)*'Tariffs Jul2023'!AJ107))</f>
        <v>490.7945454545453</v>
      </c>
      <c r="L113" s="69">
        <f>IF($C$5*'Tariffs Jul2023'!AL107/'Tariffs Jul2023'!AJ107&lt;'Tariffs Jul2023'!K107,0,IF($C$5*'Tariffs Jul2023'!AL107/'Tariffs Jul2023'!AJ107&lt;='Tariffs Jul2023'!L107,($C$5*'Tariffs Jul2023'!AL107/'Tariffs Jul2023'!AJ107-'Tariffs Jul2023'!K107)*('Tariffs Jul2023'!W107/100)*'Tariffs Jul2023'!AJ107,('Tariffs Jul2023'!L107-'Tariffs Jul2023'!K107)*('Tariffs Jul2023'!W107/100)*'Tariffs Jul2023'!AJ107))</f>
        <v>0</v>
      </c>
      <c r="M113" s="69">
        <f>IF($C$5*'Tariffs Jul2023'!AL107/'Tariffs Jul2023'!AJ107&lt;'Tariffs Jul2023'!L107,0,IF($C$5*'Tariffs Jul2023'!AL107/'Tariffs Jul2023'!AJ107&lt;='Tariffs Jul2023'!M107,($C$5*'Tariffs Jul2023'!AL107/'Tariffs Jul2023'!AJ107-'Tariffs Jul2023'!L107)*('Tariffs Jul2023'!X107/100)*'Tariffs Jul2023'!AJ107,('Tariffs Jul2023'!M107-'Tariffs Jul2023'!L107)*('Tariffs Jul2023'!X107/100)*'Tariffs Jul2023'!AJ107))</f>
        <v>0</v>
      </c>
      <c r="N113" s="69">
        <f>IF(($C$5*'Tariffs Jul2023'!AL107/'Tariffs Jul2023'!AJ107&gt;'Tariffs Jul2023'!M107),($C$5*'Tariffs Jul2023'!AL107/'Tariffs Jul2023'!AJ107-'Tariffs Jul2023'!M107)*'Tariffs Jul2023'!Y107/100*'Tariffs Jul2023'!AJ107,0)</f>
        <v>0</v>
      </c>
      <c r="O113" s="59">
        <f t="shared" si="140"/>
        <v>1891.4546181818178</v>
      </c>
      <c r="P113" s="503">
        <f t="shared" si="141"/>
        <v>2080.6000799999997</v>
      </c>
      <c r="Q113" s="59">
        <f t="shared" si="142"/>
        <v>2318.5046181818179</v>
      </c>
      <c r="R113" s="272">
        <f t="shared" si="143"/>
        <v>2550.3550799999998</v>
      </c>
      <c r="S113" s="40">
        <f>'Tariffs Jul2023'!AN107</f>
        <v>0</v>
      </c>
      <c r="T113" s="40">
        <f>'Tariffs Jul2023'!AO107</f>
        <v>0</v>
      </c>
      <c r="U113" s="40">
        <f>'Tariffs Jul2023'!AP107</f>
        <v>0</v>
      </c>
      <c r="V113" s="637">
        <f>'Tariffs Jul2023'!AQ107</f>
        <v>0</v>
      </c>
      <c r="W113" s="578" t="str">
        <f t="shared" si="165"/>
        <v>No discount</v>
      </c>
      <c r="X113" s="538" t="str">
        <f t="shared" si="166"/>
        <v>Exclusive</v>
      </c>
      <c r="Y113" s="535">
        <f t="shared" ref="Y113:Y115" si="172">IF(AND(W113="Guaranteed off bill",X113="Inclusive"),((Q113*1.1)-((Q113*1.1)*S113/100))/1.1,IF(AND(W113="Guaranteed off usage",X113="Inclusive"),((Q113*1.1)-((P113*1.1)*T113/100))/1.1,IF(AND(W113="Guaranteed off bill",X113="Exclusive"),Q113-(Q113*S113/100),IF(AND(W113="Guaranteed off usage",X113="Exclusive"),Q113-(P113*T113/100),IF(X113="Inclusive",((Q113*1.1))/1.1,Q113)))))</f>
        <v>2318.5046181818179</v>
      </c>
      <c r="Z113" s="535">
        <f t="shared" ref="Z113:Z115" si="173">IF(AND(W113="Pay-on-time off bill",X113="Inclusive"),((Y113*1.1)-((Y113*1.1)*U113/100))/1.1,IF(AND(W113="Pay-on-time off usage",X113="Inclusive"),((Y113*1.1)-((P113*1.1)*V113/100))/1.1,IF(AND(W113="Pay-on-time off bill",X113="Exclusive"),Y113-(Y113*U113/100),IF(AND(W113="Pay-on-time off usage",X113="Exclusive"),Y113-(P113*V113/100),IF(X113="Inclusive",((Y113*1.1))/1.1,Y113)))))</f>
        <v>2318.5046181818179</v>
      </c>
      <c r="AA113" s="542">
        <f t="shared" si="169"/>
        <v>2550.3550799999998</v>
      </c>
      <c r="AB113" s="609">
        <f t="shared" si="169"/>
        <v>2550.3550799999998</v>
      </c>
      <c r="AC113" s="625"/>
      <c r="AD113" s="625"/>
      <c r="AE113" s="625"/>
      <c r="AF113" s="625"/>
      <c r="AG113" s="625"/>
      <c r="AH113" s="625"/>
      <c r="AI113" s="625"/>
      <c r="AJ113" s="625"/>
      <c r="AK113" s="625"/>
      <c r="AL113" s="625"/>
      <c r="AM113" s="625"/>
      <c r="AN113" s="625"/>
      <c r="AO113" s="625"/>
      <c r="AP113" s="625"/>
      <c r="AQ113" s="625"/>
      <c r="AR113" s="625"/>
      <c r="AS113" s="625"/>
      <c r="AT113" s="625"/>
    </row>
    <row r="114" spans="1:46" ht="14" x14ac:dyDescent="0.15">
      <c r="A114" s="270" t="str">
        <f>'Tariffs Jul2023'!F108</f>
        <v>Momentum Energy</v>
      </c>
      <c r="B114" s="40" t="str">
        <f>'Tariffs Jul2023'!D108</f>
        <v>AusNet Services Central 2</v>
      </c>
      <c r="C114" s="40" t="str">
        <f>'Tariffs Jul2023'!G108</f>
        <v>Nothing Fancy</v>
      </c>
      <c r="D114" s="59">
        <f>365*'Tariffs Jul2023'!H108/100</f>
        <v>462.88636363636363</v>
      </c>
      <c r="E114" s="59">
        <f>IF($C$5*'Tariffs Jul2023'!AK108/'Tariffs Jul2023'!AI108&gt;='Tariffs Jul2023'!J108,( 'Tariffs Jul2023'!J108*'Tariffs Jul2023'!O108/100)* 'Tariffs Jul2023'!AI108,($C$5*'Tariffs Jul2023'!AK108/'Tariffs Jul2023'!AI108*'Tariffs Jul2023'!O108/100)* 'Tariffs Jul2023'!AI108)</f>
        <v>336</v>
      </c>
      <c r="F114" s="59">
        <f>IF($C$5*'Tariffs Jul2023'!AK108/'Tariffs Jul2023'!AI108&lt;'Tariffs Jul2023'!J108,0,IF($C$5*'Tariffs Jul2023'!AK108/'Tariffs Jul2023'!AI108&lt;='Tariffs Jul2023'!K108,($C$5*'Tariffs Jul2023'!AK108/'Tariffs Jul2023'!AI108-'Tariffs Jul2023'!J108)*('Tariffs Jul2023'!P108/100)*'Tariffs Jul2023'!AI108,('Tariffs Jul2023'!K108-'Tariffs Jul2023'!J108)*('Tariffs Jul2023'!P108/100)*'Tariffs Jul2023'!AI108))</f>
        <v>233.94539999999989</v>
      </c>
      <c r="G114" s="59">
        <f>IF($C$5*'Tariffs Jul2023'!AK108/'Tariffs Jul2023'!AI108&lt;'Tariffs Jul2023'!K108,0,IF($C$5*'Tariffs Jul2023'!AK108/'Tariffs Jul2023'!AI108&lt;='Tariffs Jul2023'!L108,($C$5*'Tariffs Jul2023'!AK108/'Tariffs Jul2023'!AI108-'Tariffs Jul2023'!K108)*('Tariffs Jul2023'!Q108/100)*'Tariffs Jul2023'!AI108,('Tariffs Jul2023'!L108-'Tariffs Jul2023'!K108)*('Tariffs Jul2023'!Q108/100)*'Tariffs Jul2023'!AI108))</f>
        <v>0</v>
      </c>
      <c r="H114" s="59">
        <f>IF($C$5*'Tariffs Jul2023'!AK108/'Tariffs Jul2023'!AI108&lt;'Tariffs Jul2023'!L108,0,IF($C$5*'Tariffs Jul2023'!AK108/'Tariffs Jul2023'!AI108&lt;='Tariffs Jul2023'!M108,($C$5*'Tariffs Jul2023'!AK108/'Tariffs Jul2023'!AI108-'Tariffs Jul2023'!L108)*('Tariffs Jul2023'!R108/100)*'Tariffs Jul2023'!AI108,('Tariffs Jul2023'!M108-'Tariffs Jul2023'!L108)*('Tariffs Jul2023'!R108/100)*'Tariffs Jul2023'!AI108))</f>
        <v>0</v>
      </c>
      <c r="I114" s="69">
        <f>IF(($C$5*'Tariffs Jul2023'!AK108/'Tariffs Jul2023'!AI108&gt;'Tariffs Jul2023'!M108),($C$5*'Tariffs Jul2023'!AK108/'Tariffs Jul2023'!AI108-'Tariffs Jul2023'!M108)*'Tariffs Jul2023'!S108/100*'Tariffs Jul2023'!AI108,0)</f>
        <v>0</v>
      </c>
      <c r="J114" s="69">
        <f>IF($C$5*'Tariffs Jul2023'!AL108/'Tariffs Jul2023'!AJ108&gt;='Tariffs Jul2023'!J108,('Tariffs Jul2023'!J108*'Tariffs Jul2023'!U108/100)* 'Tariffs Jul2023'!AJ108,($C$5*'Tariffs Jul2023'!AL108/'Tariffs Jul2023'!AJ108*'Tariffs Jul2023'!U108/100)* 'Tariffs Jul2023'!AJ108)</f>
        <v>576</v>
      </c>
      <c r="K114" s="69">
        <f>IF($C$5*'Tariffs Jul2023'!AL108/'Tariffs Jul2023'!AJ108&lt;'Tariffs Jul2023'!J108,0,IF($C$5*'Tariffs Jul2023'!AL108/'Tariffs Jul2023'!AJ108&lt;='Tariffs Jul2023'!K108,($C$5*'Tariffs Jul2023'!AL108/'Tariffs Jul2023'!AJ108-'Tariffs Jul2023'!J108)*('Tariffs Jul2023'!V108/100)*'Tariffs Jul2023'!AJ108,('Tariffs Jul2023'!K108-'Tariffs Jul2023'!J108)*('Tariffs Jul2023'!V108/100)*'Tariffs Jul2023'!AJ108))</f>
        <v>413.90339999999992</v>
      </c>
      <c r="L114" s="69">
        <f>IF($C$5*'Tariffs Jul2023'!AL108/'Tariffs Jul2023'!AJ108&lt;'Tariffs Jul2023'!K108,0,IF($C$5*'Tariffs Jul2023'!AL108/'Tariffs Jul2023'!AJ108&lt;='Tariffs Jul2023'!L108,($C$5*'Tariffs Jul2023'!AL108/'Tariffs Jul2023'!AJ108-'Tariffs Jul2023'!K108)*('Tariffs Jul2023'!W108/100)*'Tariffs Jul2023'!AJ108,('Tariffs Jul2023'!L108-'Tariffs Jul2023'!K108)*('Tariffs Jul2023'!W108/100)*'Tariffs Jul2023'!AJ108))</f>
        <v>0</v>
      </c>
      <c r="M114" s="69">
        <f>IF($C$5*'Tariffs Jul2023'!AL108/'Tariffs Jul2023'!AJ108&lt;'Tariffs Jul2023'!L108,0,IF($C$5*'Tariffs Jul2023'!AL108/'Tariffs Jul2023'!AJ108&lt;='Tariffs Jul2023'!M108,($C$5*'Tariffs Jul2023'!AL108/'Tariffs Jul2023'!AJ108-'Tariffs Jul2023'!L108)*('Tariffs Jul2023'!X108/100)*'Tariffs Jul2023'!AJ108,('Tariffs Jul2023'!M108-'Tariffs Jul2023'!L108)*('Tariffs Jul2023'!X108/100)*'Tariffs Jul2023'!AJ108))</f>
        <v>0</v>
      </c>
      <c r="N114" s="69">
        <f>IF(($C$5*'Tariffs Jul2023'!AL108/'Tariffs Jul2023'!AJ108&gt;'Tariffs Jul2023'!M108),($C$5*'Tariffs Jul2023'!AL108/'Tariffs Jul2023'!AJ108-'Tariffs Jul2023'!M108)*'Tariffs Jul2023'!Y108/100*'Tariffs Jul2023'!AJ108,0)</f>
        <v>0</v>
      </c>
      <c r="O114" s="59">
        <f t="shared" si="140"/>
        <v>1559.8487999999998</v>
      </c>
      <c r="P114" s="503">
        <f t="shared" si="141"/>
        <v>1715.83368</v>
      </c>
      <c r="Q114" s="59">
        <f t="shared" si="142"/>
        <v>2022.7351636363633</v>
      </c>
      <c r="R114" s="272">
        <f t="shared" si="143"/>
        <v>2225.0086799999999</v>
      </c>
      <c r="S114" s="40">
        <f>'Tariffs Jul2023'!AN108</f>
        <v>0</v>
      </c>
      <c r="T114" s="40">
        <f>'Tariffs Jul2023'!AO108</f>
        <v>0</v>
      </c>
      <c r="U114" s="40">
        <f>'Tariffs Jul2023'!AP108</f>
        <v>0</v>
      </c>
      <c r="V114" s="637">
        <f>'Tariffs Jul2023'!AQ108</f>
        <v>0</v>
      </c>
      <c r="W114" s="578" t="str">
        <f t="shared" si="165"/>
        <v>No discount</v>
      </c>
      <c r="X114" s="538" t="str">
        <f t="shared" si="166"/>
        <v>Exclusive</v>
      </c>
      <c r="Y114" s="535">
        <f t="shared" si="172"/>
        <v>2022.7351636363633</v>
      </c>
      <c r="Z114" s="535">
        <f t="shared" si="173"/>
        <v>2022.7351636363633</v>
      </c>
      <c r="AA114" s="542">
        <f t="shared" si="169"/>
        <v>2225.0086799999999</v>
      </c>
      <c r="AB114" s="609">
        <f t="shared" si="169"/>
        <v>2225.0086799999999</v>
      </c>
      <c r="AC114" s="625"/>
      <c r="AD114" s="625"/>
      <c r="AE114" s="625"/>
      <c r="AF114" s="625"/>
      <c r="AG114" s="625"/>
      <c r="AH114" s="625"/>
      <c r="AI114" s="625"/>
      <c r="AJ114" s="625"/>
      <c r="AK114" s="625"/>
      <c r="AL114" s="625"/>
      <c r="AM114" s="625"/>
      <c r="AN114" s="625"/>
      <c r="AO114" s="625"/>
      <c r="AP114" s="625"/>
      <c r="AQ114" s="625"/>
      <c r="AR114" s="625"/>
      <c r="AS114" s="625"/>
      <c r="AT114" s="625"/>
    </row>
    <row r="115" spans="1:46" ht="14" x14ac:dyDescent="0.15">
      <c r="A115" s="270" t="str">
        <f>'Tariffs Jul2023'!F109</f>
        <v>Sumo Power</v>
      </c>
      <c r="B115" s="40" t="str">
        <f>'Tariffs Jul2023'!D109</f>
        <v>AusNet Services Central 2</v>
      </c>
      <c r="C115" s="40" t="str">
        <f>'Tariffs Jul2023'!G109</f>
        <v>Lite</v>
      </c>
      <c r="D115" s="59">
        <f>365*'Tariffs Jul2023'!H109/100</f>
        <v>273.75</v>
      </c>
      <c r="E115" s="59">
        <f>IF($C$5*'Tariffs Jul2023'!AK109/'Tariffs Jul2023'!AI109&gt;='Tariffs Jul2023'!J109,( 'Tariffs Jul2023'!J109*'Tariffs Jul2023'!O109/100)* 'Tariffs Jul2023'!AI109,($C$5*'Tariffs Jul2023'!AK109/'Tariffs Jul2023'!AI109*'Tariffs Jul2023'!O109/100)* 'Tariffs Jul2023'!AI109)</f>
        <v>332.72727272727275</v>
      </c>
      <c r="F115" s="59">
        <f>IF($C$5*'Tariffs Jul2023'!AK109/'Tariffs Jul2023'!AI109&lt;'Tariffs Jul2023'!J109,0,IF($C$5*'Tariffs Jul2023'!AK109/'Tariffs Jul2023'!AI109&lt;='Tariffs Jul2023'!K109,($C$5*'Tariffs Jul2023'!AK109/'Tariffs Jul2023'!AI109-'Tariffs Jul2023'!J109)*('Tariffs Jul2023'!P109/100)*'Tariffs Jul2023'!AI109,('Tariffs Jul2023'!K109-'Tariffs Jul2023'!J109)*('Tariffs Jul2023'!P109/100)*'Tariffs Jul2023'!AI109))</f>
        <v>247.85124545454534</v>
      </c>
      <c r="G115" s="59">
        <f>IF($C$5*'Tariffs Jul2023'!AK109/'Tariffs Jul2023'!AI109&lt;'Tariffs Jul2023'!K109,0,IF($C$5*'Tariffs Jul2023'!AK109/'Tariffs Jul2023'!AI109&lt;='Tariffs Jul2023'!L109,($C$5*'Tariffs Jul2023'!AK109/'Tariffs Jul2023'!AI109-'Tariffs Jul2023'!K109)*('Tariffs Jul2023'!Q109/100)*'Tariffs Jul2023'!AI109,('Tariffs Jul2023'!L109-'Tariffs Jul2023'!K109)*('Tariffs Jul2023'!Q109/100)*'Tariffs Jul2023'!AI109))</f>
        <v>0</v>
      </c>
      <c r="H115" s="59">
        <f>IF($C$5*'Tariffs Jul2023'!AK109/'Tariffs Jul2023'!AI109&lt;'Tariffs Jul2023'!L109,0,IF($C$5*'Tariffs Jul2023'!AK109/'Tariffs Jul2023'!AI109&lt;='Tariffs Jul2023'!M109,($C$5*'Tariffs Jul2023'!AK109/'Tariffs Jul2023'!AI109-'Tariffs Jul2023'!L109)*('Tariffs Jul2023'!R109/100)*'Tariffs Jul2023'!AI109,('Tariffs Jul2023'!M109-'Tariffs Jul2023'!L109)*('Tariffs Jul2023'!R109/100)*'Tariffs Jul2023'!AI109))</f>
        <v>0</v>
      </c>
      <c r="I115" s="69">
        <f>IF(($C$5*'Tariffs Jul2023'!AK109/'Tariffs Jul2023'!AI109&gt;'Tariffs Jul2023'!M109),($C$5*'Tariffs Jul2023'!AK109/'Tariffs Jul2023'!AI109-'Tariffs Jul2023'!M109)*'Tariffs Jul2023'!S109/100*'Tariffs Jul2023'!AI109,0)</f>
        <v>0</v>
      </c>
      <c r="J115" s="69">
        <f>IF($C$5*'Tariffs Jul2023'!AL109/'Tariffs Jul2023'!AJ109&gt;='Tariffs Jul2023'!J109,('Tariffs Jul2023'!J109*'Tariffs Jul2023'!U109/100)* 'Tariffs Jul2023'!AJ109,($C$5*'Tariffs Jul2023'!AL109/'Tariffs Jul2023'!AJ109*'Tariffs Jul2023'!U109/100)* 'Tariffs Jul2023'!AJ109)</f>
        <v>551.99999999999989</v>
      </c>
      <c r="K115" s="69">
        <f>IF($C$5*'Tariffs Jul2023'!AL109/'Tariffs Jul2023'!AJ109&lt;'Tariffs Jul2023'!J109,0,IF($C$5*'Tariffs Jul2023'!AL109/'Tariffs Jul2023'!AJ109&lt;='Tariffs Jul2023'!K109,($C$5*'Tariffs Jul2023'!AL109/'Tariffs Jul2023'!AJ109-'Tariffs Jul2023'!J109)*('Tariffs Jul2023'!V109/100)*'Tariffs Jul2023'!AJ109,('Tariffs Jul2023'!K109-'Tariffs Jul2023'!J109)*('Tariffs Jul2023'!V109/100)*'Tariffs Jul2023'!AJ109))</f>
        <v>410.63143636363617</v>
      </c>
      <c r="L115" s="69">
        <f>IF($C$5*'Tariffs Jul2023'!AL109/'Tariffs Jul2023'!AJ109&lt;'Tariffs Jul2023'!K109,0,IF($C$5*'Tariffs Jul2023'!AL109/'Tariffs Jul2023'!AJ109&lt;='Tariffs Jul2023'!L109,($C$5*'Tariffs Jul2023'!AL109/'Tariffs Jul2023'!AJ109-'Tariffs Jul2023'!K109)*('Tariffs Jul2023'!W109/100)*'Tariffs Jul2023'!AJ109,('Tariffs Jul2023'!L109-'Tariffs Jul2023'!K109)*('Tariffs Jul2023'!W109/100)*'Tariffs Jul2023'!AJ109))</f>
        <v>0</v>
      </c>
      <c r="M115" s="69">
        <f>IF($C$5*'Tariffs Jul2023'!AL109/'Tariffs Jul2023'!AJ109&lt;'Tariffs Jul2023'!L109,0,IF($C$5*'Tariffs Jul2023'!AL109/'Tariffs Jul2023'!AJ109&lt;='Tariffs Jul2023'!M109,($C$5*'Tariffs Jul2023'!AL109/'Tariffs Jul2023'!AJ109-'Tariffs Jul2023'!L109)*('Tariffs Jul2023'!X109/100)*'Tariffs Jul2023'!AJ109,('Tariffs Jul2023'!M109-'Tariffs Jul2023'!L109)*('Tariffs Jul2023'!X109/100)*'Tariffs Jul2023'!AJ109))</f>
        <v>0</v>
      </c>
      <c r="N115" s="69">
        <f>IF(($C$5*'Tariffs Jul2023'!AL109/'Tariffs Jul2023'!AJ109&gt;'Tariffs Jul2023'!M109),($C$5*'Tariffs Jul2023'!AL109/'Tariffs Jul2023'!AJ109-'Tariffs Jul2023'!M109)*'Tariffs Jul2023'!Y109/100*'Tariffs Jul2023'!AJ109,0)</f>
        <v>0</v>
      </c>
      <c r="O115" s="59">
        <f t="shared" si="140"/>
        <v>1543.2099545454539</v>
      </c>
      <c r="P115" s="503">
        <f t="shared" si="141"/>
        <v>1697.5309499999994</v>
      </c>
      <c r="Q115" s="59">
        <f t="shared" si="142"/>
        <v>1816.9599545454539</v>
      </c>
      <c r="R115" s="272">
        <f t="shared" si="143"/>
        <v>1998.6559499999994</v>
      </c>
      <c r="S115" s="40">
        <f>'Tariffs Jul2023'!AN109</f>
        <v>0</v>
      </c>
      <c r="T115" s="40">
        <f>'Tariffs Jul2023'!AO109</f>
        <v>0</v>
      </c>
      <c r="U115" s="40">
        <f>'Tariffs Jul2023'!AP109</f>
        <v>0</v>
      </c>
      <c r="V115" s="637">
        <f>'Tariffs Jul2023'!AQ109</f>
        <v>0</v>
      </c>
      <c r="W115" s="578" t="str">
        <f t="shared" si="165"/>
        <v>No discount</v>
      </c>
      <c r="X115" s="538" t="str">
        <f t="shared" si="166"/>
        <v>Exclusive</v>
      </c>
      <c r="Y115" s="535">
        <f t="shared" si="172"/>
        <v>1816.9599545454539</v>
      </c>
      <c r="Z115" s="535">
        <f t="shared" si="173"/>
        <v>1816.9599545454539</v>
      </c>
      <c r="AA115" s="542">
        <f t="shared" si="169"/>
        <v>1998.6559499999994</v>
      </c>
      <c r="AB115" s="609">
        <f t="shared" si="169"/>
        <v>1998.6559499999994</v>
      </c>
      <c r="AC115" s="625"/>
      <c r="AD115" s="625"/>
      <c r="AE115" s="625"/>
      <c r="AF115" s="625"/>
      <c r="AG115" s="625"/>
      <c r="AH115" s="625"/>
      <c r="AI115" s="625"/>
      <c r="AJ115" s="625"/>
      <c r="AK115" s="625"/>
      <c r="AL115" s="625"/>
      <c r="AM115" s="625"/>
      <c r="AN115" s="625"/>
      <c r="AO115" s="625"/>
      <c r="AP115" s="625"/>
      <c r="AQ115" s="625"/>
      <c r="AR115" s="625"/>
      <c r="AS115" s="625"/>
      <c r="AT115" s="625"/>
    </row>
    <row r="116" spans="1:46" ht="14" x14ac:dyDescent="0.15">
      <c r="A116" s="270" t="str">
        <f>'Tariffs Jul2023'!F110</f>
        <v>CovaU</v>
      </c>
      <c r="B116" s="40" t="str">
        <f>'Tariffs Jul2023'!D110</f>
        <v>AusNet Services Central 2</v>
      </c>
      <c r="C116" s="40" t="str">
        <f>'Tariffs Jul2023'!G110</f>
        <v>Super Saver</v>
      </c>
      <c r="D116" s="59">
        <f>365*'Tariffs Jul2023'!H110/100</f>
        <v>310.15045454545452</v>
      </c>
      <c r="E116" s="59">
        <f>IF($C$5*'Tariffs Jul2023'!AK110/'Tariffs Jul2023'!AI110&gt;='Tariffs Jul2023'!J110,( 'Tariffs Jul2023'!J110*'Tariffs Jul2023'!O110/100)* 'Tariffs Jul2023'!AI110,($C$5*'Tariffs Jul2023'!AK110/'Tariffs Jul2023'!AI110*'Tariffs Jul2023'!O110/100)* 'Tariffs Jul2023'!AI110)</f>
        <v>330.5454545454545</v>
      </c>
      <c r="F116" s="59">
        <f>IF($C$5*'Tariffs Jul2023'!AK110/'Tariffs Jul2023'!AI110&lt;'Tariffs Jul2023'!J110,0,IF($C$5*'Tariffs Jul2023'!AK110/'Tariffs Jul2023'!AI110&lt;='Tariffs Jul2023'!K110,($C$5*'Tariffs Jul2023'!AK110/'Tariffs Jul2023'!AI110-'Tariffs Jul2023'!J110)*('Tariffs Jul2023'!P110/100)*'Tariffs Jul2023'!AI110,('Tariffs Jul2023'!K110-'Tariffs Jul2023'!J110)*('Tariffs Jul2023'!P110/100)*'Tariffs Jul2023'!AI110))</f>
        <v>238.85334545454538</v>
      </c>
      <c r="G116" s="59">
        <f>IF($C$5*'Tariffs Jul2023'!AK110/'Tariffs Jul2023'!AI110&lt;'Tariffs Jul2023'!K110,0,IF($C$5*'Tariffs Jul2023'!AK110/'Tariffs Jul2023'!AI110&lt;='Tariffs Jul2023'!L110,($C$5*'Tariffs Jul2023'!AK110/'Tariffs Jul2023'!AI110-'Tariffs Jul2023'!K110)*('Tariffs Jul2023'!Q110/100)*'Tariffs Jul2023'!AI110,('Tariffs Jul2023'!L110-'Tariffs Jul2023'!K110)*('Tariffs Jul2023'!Q110/100)*'Tariffs Jul2023'!AI110))</f>
        <v>0</v>
      </c>
      <c r="H116" s="59">
        <f>IF($C$5*'Tariffs Jul2023'!AK110/'Tariffs Jul2023'!AI110&lt;'Tariffs Jul2023'!L110,0,IF($C$5*'Tariffs Jul2023'!AK110/'Tariffs Jul2023'!AI110&lt;='Tariffs Jul2023'!M110,($C$5*'Tariffs Jul2023'!AK110/'Tariffs Jul2023'!AI110-'Tariffs Jul2023'!L110)*('Tariffs Jul2023'!R110/100)*'Tariffs Jul2023'!AI110,('Tariffs Jul2023'!M110-'Tariffs Jul2023'!L110)*('Tariffs Jul2023'!R110/100)*'Tariffs Jul2023'!AI110))</f>
        <v>0</v>
      </c>
      <c r="I116" s="69">
        <f>IF(($C$5*'Tariffs Jul2023'!AK110/'Tariffs Jul2023'!AI110&gt;'Tariffs Jul2023'!M110),($C$5*'Tariffs Jul2023'!AK110/'Tariffs Jul2023'!AI110-'Tariffs Jul2023'!M110)*'Tariffs Jul2023'!S110/100*'Tariffs Jul2023'!AI110,0)</f>
        <v>0</v>
      </c>
      <c r="J116" s="69">
        <f>IF($C$5*'Tariffs Jul2023'!AL110/'Tariffs Jul2023'!AJ110&gt;='Tariffs Jul2023'!J110,('Tariffs Jul2023'!J110*'Tariffs Jul2023'!U110/100)* 'Tariffs Jul2023'!AJ110,($C$5*'Tariffs Jul2023'!AL110/'Tariffs Jul2023'!AJ110*'Tariffs Jul2023'!U110/100)* 'Tariffs Jul2023'!AJ110)</f>
        <v>569.4545454545455</v>
      </c>
      <c r="K116" s="69">
        <f>IF($C$5*'Tariffs Jul2023'!AL110/'Tariffs Jul2023'!AJ110&lt;'Tariffs Jul2023'!J110,0,IF($C$5*'Tariffs Jul2023'!AL110/'Tariffs Jul2023'!AJ110&lt;='Tariffs Jul2023'!K110,($C$5*'Tariffs Jul2023'!AL110/'Tariffs Jul2023'!AJ110-'Tariffs Jul2023'!J110)*('Tariffs Jul2023'!V110/100)*'Tariffs Jul2023'!AJ110,('Tariffs Jul2023'!K110-'Tariffs Jul2023'!J110)*('Tariffs Jul2023'!V110/100)*'Tariffs Jul2023'!AJ110))</f>
        <v>377.91179999999991</v>
      </c>
      <c r="L116" s="69">
        <f>IF($C$5*'Tariffs Jul2023'!AL110/'Tariffs Jul2023'!AJ110&lt;'Tariffs Jul2023'!K110,0,IF($C$5*'Tariffs Jul2023'!AL110/'Tariffs Jul2023'!AJ110&lt;='Tariffs Jul2023'!L110,($C$5*'Tariffs Jul2023'!AL110/'Tariffs Jul2023'!AJ110-'Tariffs Jul2023'!K110)*('Tariffs Jul2023'!W110/100)*'Tariffs Jul2023'!AJ110,('Tariffs Jul2023'!L110-'Tariffs Jul2023'!K110)*('Tariffs Jul2023'!W110/100)*'Tariffs Jul2023'!AJ110))</f>
        <v>0</v>
      </c>
      <c r="M116" s="69">
        <f>IF($C$5*'Tariffs Jul2023'!AL110/'Tariffs Jul2023'!AJ110&lt;'Tariffs Jul2023'!L110,0,IF($C$5*'Tariffs Jul2023'!AL110/'Tariffs Jul2023'!AJ110&lt;='Tariffs Jul2023'!M110,($C$5*'Tariffs Jul2023'!AL110/'Tariffs Jul2023'!AJ110-'Tariffs Jul2023'!L110)*('Tariffs Jul2023'!X110/100)*'Tariffs Jul2023'!AJ110,('Tariffs Jul2023'!M110-'Tariffs Jul2023'!L110)*('Tariffs Jul2023'!X110/100)*'Tariffs Jul2023'!AJ110))</f>
        <v>0</v>
      </c>
      <c r="N116" s="69">
        <f>IF(($C$5*'Tariffs Jul2023'!AL110/'Tariffs Jul2023'!AJ110&gt;'Tariffs Jul2023'!M110),($C$5*'Tariffs Jul2023'!AL110/'Tariffs Jul2023'!AJ110-'Tariffs Jul2023'!M110)*'Tariffs Jul2023'!Y110/100*'Tariffs Jul2023'!AJ110,0)</f>
        <v>0</v>
      </c>
      <c r="O116" s="59">
        <f t="shared" ref="O116:O118" si="174">SUM(E116:N116)</f>
        <v>1516.7651454545453</v>
      </c>
      <c r="P116" s="503">
        <f t="shared" ref="P116" si="175">O116*1.1</f>
        <v>1668.44166</v>
      </c>
      <c r="Q116" s="59">
        <f t="shared" ref="Q116" si="176">D116+O116</f>
        <v>1826.9155999999998</v>
      </c>
      <c r="R116" s="272">
        <f t="shared" ref="R116" si="177">Q116*1.1</f>
        <v>2009.60716</v>
      </c>
      <c r="S116" s="40">
        <f>'Tariffs Jul2023'!AN110</f>
        <v>0</v>
      </c>
      <c r="T116" s="40">
        <f>'Tariffs Jul2023'!AO110</f>
        <v>0</v>
      </c>
      <c r="U116" s="40">
        <f>'Tariffs Jul2023'!AP110</f>
        <v>0</v>
      </c>
      <c r="V116" s="637">
        <f>'Tariffs Jul2023'!AQ110</f>
        <v>0</v>
      </c>
      <c r="W116" s="578" t="str">
        <f t="shared" ref="W116" si="178">IF(SUM(S116:V116)=0,"No discount",IF(S116&gt;0,"Guaranteed off bill",IF(T116&gt;0,"Guaranteed off usage",IF(U116&gt;0,"Pay-on-time off bill","Pay-on-time off usage"))))</f>
        <v>No discount</v>
      </c>
      <c r="X116" s="538" t="str">
        <f t="shared" ref="X116" si="179">IF(OR(A116="Origin Energy",A116="Red Energy",A116="Powershop"),"Inclusive","Exclusive")</f>
        <v>Exclusive</v>
      </c>
      <c r="Y116" s="535">
        <f t="shared" ref="Y116" si="180">IF(AND(W116="Guaranteed off bill",X116="Inclusive"),((Q116*1.1)-((Q116*1.1)*S116/100))/1.1,IF(AND(W116="Guaranteed off usage",X116="Inclusive"),((Q116*1.1)-((P116*1.1)*T116/100))/1.1,IF(AND(W116="Guaranteed off bill",X116="Exclusive"),Q116-(Q116*S116/100),IF(AND(W116="Guaranteed off usage",X116="Exclusive"),Q116-(P116*T116/100),IF(X116="Inclusive",((Q116*1.1))/1.1,Q116)))))</f>
        <v>1826.9155999999998</v>
      </c>
      <c r="Z116" s="535">
        <f t="shared" ref="Z116" si="181">IF(AND(W116="Pay-on-time off bill",X116="Inclusive"),((Y116*1.1)-((Y116*1.1)*U116/100))/1.1,IF(AND(W116="Pay-on-time off usage",X116="Inclusive"),((Y116*1.1)-((P116*1.1)*V116/100))/1.1,IF(AND(W116="Pay-on-time off bill",X116="Exclusive"),Y116-(Y116*U116/100),IF(AND(W116="Pay-on-time off usage",X116="Exclusive"),Y116-(P116*V116/100),IF(X116="Inclusive",((Y116*1.1))/1.1,Y116)))))</f>
        <v>1826.9155999999998</v>
      </c>
      <c r="AA116" s="542">
        <f t="shared" ref="AA116" si="182">Y116*1.1</f>
        <v>2009.60716</v>
      </c>
      <c r="AB116" s="609">
        <f t="shared" ref="AB116" si="183">Z116*1.1</f>
        <v>2009.60716</v>
      </c>
      <c r="AC116" s="625"/>
      <c r="AD116" s="625"/>
      <c r="AE116" s="625"/>
      <c r="AF116" s="625"/>
      <c r="AG116" s="625"/>
      <c r="AH116" s="625"/>
      <c r="AI116" s="625"/>
      <c r="AJ116" s="625"/>
      <c r="AK116" s="625"/>
      <c r="AL116" s="625"/>
      <c r="AM116" s="625"/>
      <c r="AN116" s="625"/>
      <c r="AO116" s="625"/>
      <c r="AP116" s="625"/>
      <c r="AQ116" s="625"/>
      <c r="AR116" s="625"/>
      <c r="AS116" s="625"/>
      <c r="AT116" s="625"/>
    </row>
    <row r="117" spans="1:46" ht="14" x14ac:dyDescent="0.15">
      <c r="A117" s="270" t="str">
        <f>'Tariffs Jul2023'!F111</f>
        <v>Powershop</v>
      </c>
      <c r="B117" s="40" t="str">
        <f>'Tariffs Jul2023'!D111</f>
        <v>AusNet Services Central 2</v>
      </c>
      <c r="C117" s="40" t="str">
        <f>'Tariffs Jul2023'!G111</f>
        <v>Carbon Neutral</v>
      </c>
      <c r="D117" s="59">
        <f>365*'Tariffs Jul2023'!H111/100</f>
        <v>400.63727272727266</v>
      </c>
      <c r="E117" s="59">
        <f>((C$5*'Tariffs Jul2023'!AK111/'Tariffs Jul2023'!AI111)*('Tariffs Jul2023'!O111/100))*'Tariffs Jul2023'!AI111</f>
        <v>1010.8636363636361</v>
      </c>
      <c r="F117" s="59">
        <v>0</v>
      </c>
      <c r="G117" s="59">
        <v>0</v>
      </c>
      <c r="H117" s="59">
        <v>0</v>
      </c>
      <c r="I117" s="69">
        <v>0</v>
      </c>
      <c r="J117" s="69">
        <f>((C$5*'Tariffs Jul2023'!AL111/'Tariffs Jul2023'!AJ111)*('Tariffs Jul2023'!U111/100))*'Tariffs Jul2023'!AJ111</f>
        <v>1010.8636363636361</v>
      </c>
      <c r="K117" s="69">
        <v>0</v>
      </c>
      <c r="L117" s="69">
        <v>0</v>
      </c>
      <c r="M117" s="69">
        <v>0</v>
      </c>
      <c r="N117" s="69">
        <v>0</v>
      </c>
      <c r="O117" s="59">
        <f t="shared" si="174"/>
        <v>2021.7272727272723</v>
      </c>
      <c r="P117" s="503">
        <f t="shared" ref="P117:P118" si="184">O117*1.1</f>
        <v>2223.8999999999996</v>
      </c>
      <c r="Q117" s="59">
        <f t="shared" ref="Q117:Q118" si="185">D117+O117</f>
        <v>2422.3645454545449</v>
      </c>
      <c r="R117" s="272">
        <f t="shared" ref="R117:R118" si="186">Q117*1.1</f>
        <v>2664.6009999999997</v>
      </c>
      <c r="S117" s="40">
        <f>'Tariffs Jul2023'!AN111</f>
        <v>0</v>
      </c>
      <c r="T117" s="40">
        <f>'Tariffs Jul2023'!AO111</f>
        <v>0</v>
      </c>
      <c r="U117" s="40">
        <f>'Tariffs Jul2023'!AP111</f>
        <v>0</v>
      </c>
      <c r="V117" s="637">
        <f>'Tariffs Jul2023'!AQ111</f>
        <v>0</v>
      </c>
      <c r="W117" s="578" t="str">
        <f t="shared" ref="W117:W118" si="187">IF(SUM(S117:V117)=0,"No discount",IF(S117&gt;0,"Guaranteed off bill",IF(T117&gt;0,"Guaranteed off usage",IF(U117&gt;0,"Pay-on-time off bill","Pay-on-time off usage"))))</f>
        <v>No discount</v>
      </c>
      <c r="X117" s="538" t="str">
        <f t="shared" ref="X117:X118" si="188">IF(OR(A117="Origin Energy",A117="Red Energy",A117="Powershop"),"Inclusive","Exclusive")</f>
        <v>Inclusive</v>
      </c>
      <c r="Y117" s="535">
        <f t="shared" ref="Y117:Y118" si="189">IF(AND(W117="Guaranteed off bill",X117="Inclusive"),((Q117*1.1)-((Q117*1.1)*S117/100))/1.1,IF(AND(W117="Guaranteed off usage",X117="Inclusive"),((Q117*1.1)-((P117*1.1)*T117/100))/1.1,IF(AND(W117="Guaranteed off bill",X117="Exclusive"),Q117-(Q117*S117/100),IF(AND(W117="Guaranteed off usage",X117="Exclusive"),Q117-(P117*T117/100),IF(X117="Inclusive",((Q117*1.1))/1.1,Q117)))))</f>
        <v>2422.3645454545449</v>
      </c>
      <c r="Z117" s="535">
        <f t="shared" ref="Z117:Z118" si="190">IF(AND(W117="Pay-on-time off bill",X117="Inclusive"),((Y117*1.1)-((Y117*1.1)*U117/100))/1.1,IF(AND(W117="Pay-on-time off usage",X117="Inclusive"),((Y117*1.1)-((P117*1.1)*V117/100))/1.1,IF(AND(W117="Pay-on-time off bill",X117="Exclusive"),Y117-(Y117*U117/100),IF(AND(W117="Pay-on-time off usage",X117="Exclusive"),Y117-(P117*V117/100),IF(X117="Inclusive",((Y117*1.1))/1.1,Y117)))))</f>
        <v>2422.3645454545449</v>
      </c>
      <c r="AA117" s="542">
        <f t="shared" ref="AA117:AA118" si="191">Y117*1.1</f>
        <v>2664.6009999999997</v>
      </c>
      <c r="AB117" s="609">
        <f t="shared" ref="AB117:AB118" si="192">Z117*1.1</f>
        <v>2664.6009999999997</v>
      </c>
      <c r="AC117" s="625"/>
      <c r="AD117" s="625"/>
      <c r="AE117" s="625"/>
      <c r="AF117" s="625"/>
      <c r="AG117" s="625"/>
      <c r="AH117" s="625"/>
      <c r="AI117" s="625"/>
      <c r="AJ117" s="625"/>
      <c r="AK117" s="625"/>
      <c r="AL117" s="625"/>
      <c r="AM117" s="625"/>
      <c r="AN117" s="625"/>
      <c r="AO117" s="625"/>
      <c r="AP117" s="625"/>
      <c r="AQ117" s="625"/>
      <c r="AR117" s="625"/>
      <c r="AS117" s="625"/>
      <c r="AT117" s="625"/>
    </row>
    <row r="118" spans="1:46" ht="15" thickBot="1" x14ac:dyDescent="0.2">
      <c r="A118" s="276" t="str">
        <f>'Tariffs Jul2023'!F112</f>
        <v>Kogan</v>
      </c>
      <c r="B118" s="277" t="str">
        <f>'Tariffs Jul2023'!D112</f>
        <v>AusNet Services Central 2</v>
      </c>
      <c r="C118" s="277" t="str">
        <f>'Tariffs Jul2023'!G112</f>
        <v>First</v>
      </c>
      <c r="D118" s="278">
        <f>365*'Tariffs Jul2023'!H112/100</f>
        <v>400.63727272727266</v>
      </c>
      <c r="E118" s="278">
        <f>((C$5*'Tariffs Jul2023'!AK112/'Tariffs Jul2023'!AI112)*('Tariffs Jul2023'!O112/100))*'Tariffs Jul2023'!AI112</f>
        <v>1010.8636363636361</v>
      </c>
      <c r="F118" s="278">
        <v>0</v>
      </c>
      <c r="G118" s="278">
        <v>0</v>
      </c>
      <c r="H118" s="278">
        <v>0</v>
      </c>
      <c r="I118" s="547">
        <v>0</v>
      </c>
      <c r="J118" s="547">
        <f>((C$5*'Tariffs Jul2023'!AL112/'Tariffs Jul2023'!AJ112)*('Tariffs Jul2023'!U112/100))*'Tariffs Jul2023'!AJ112</f>
        <v>1010.8636363636361</v>
      </c>
      <c r="K118" s="547">
        <v>0</v>
      </c>
      <c r="L118" s="547">
        <v>0</v>
      </c>
      <c r="M118" s="547">
        <v>0</v>
      </c>
      <c r="N118" s="547">
        <v>0</v>
      </c>
      <c r="O118" s="278">
        <f t="shared" si="174"/>
        <v>2021.7272727272723</v>
      </c>
      <c r="P118" s="504">
        <f t="shared" si="184"/>
        <v>2223.8999999999996</v>
      </c>
      <c r="Q118" s="278">
        <f t="shared" si="185"/>
        <v>2422.3645454545449</v>
      </c>
      <c r="R118" s="280">
        <f t="shared" si="186"/>
        <v>2664.6009999999997</v>
      </c>
      <c r="S118" s="277">
        <f>'Tariffs Jul2023'!AN112</f>
        <v>0</v>
      </c>
      <c r="T118" s="277">
        <f>'Tariffs Jul2023'!AO112</f>
        <v>0</v>
      </c>
      <c r="U118" s="277">
        <f>'Tariffs Jul2023'!AP112</f>
        <v>0</v>
      </c>
      <c r="V118" s="638">
        <f>'Tariffs Jul2023'!AQ112</f>
        <v>0</v>
      </c>
      <c r="W118" s="585" t="str">
        <f t="shared" si="187"/>
        <v>No discount</v>
      </c>
      <c r="X118" s="541" t="str">
        <f t="shared" si="188"/>
        <v>Exclusive</v>
      </c>
      <c r="Y118" s="544">
        <f t="shared" si="189"/>
        <v>2422.3645454545449</v>
      </c>
      <c r="Z118" s="544">
        <f t="shared" si="190"/>
        <v>2422.3645454545449</v>
      </c>
      <c r="AA118" s="545">
        <f t="shared" si="191"/>
        <v>2664.6009999999997</v>
      </c>
      <c r="AB118" s="610">
        <f t="shared" si="192"/>
        <v>2664.6009999999997</v>
      </c>
      <c r="AC118" s="625"/>
      <c r="AD118" s="625"/>
      <c r="AE118" s="625"/>
      <c r="AF118" s="625"/>
      <c r="AG118" s="625"/>
      <c r="AH118" s="625"/>
      <c r="AI118" s="625"/>
      <c r="AJ118" s="625"/>
      <c r="AK118" s="625"/>
      <c r="AL118" s="625"/>
      <c r="AM118" s="625"/>
      <c r="AN118" s="625"/>
      <c r="AO118" s="625"/>
      <c r="AP118" s="625"/>
      <c r="AQ118" s="625"/>
      <c r="AR118" s="625"/>
      <c r="AS118" s="625"/>
      <c r="AT118" s="625"/>
    </row>
    <row r="119" spans="1:46" ht="15" thickTop="1" x14ac:dyDescent="0.15">
      <c r="A119" s="270" t="str">
        <f>'Tariffs Jul2023'!F113</f>
        <v>AGL</v>
      </c>
      <c r="B119" s="40" t="str">
        <f>'Tariffs Jul2023'!D113</f>
        <v>AusNet Services Central 1</v>
      </c>
      <c r="C119" s="40" t="str">
        <f>'Tariffs Jul2023'!G113</f>
        <v>Value Saver</v>
      </c>
      <c r="D119" s="59">
        <f>365*'Tariffs Jul2023'!H113/100</f>
        <v>337.62499999999994</v>
      </c>
      <c r="E119" s="59">
        <f>IF($C$5*'Tariffs Jul2023'!AK113/'Tariffs Jul2023'!AI113&gt;='Tariffs Jul2023'!J113,( 'Tariffs Jul2023'!J113*'Tariffs Jul2023'!O113/100)* 'Tariffs Jul2023'!AI113,($C$5*'Tariffs Jul2023'!AK113/'Tariffs Jul2023'!AI113*'Tariffs Jul2023'!O113/100)* 'Tariffs Jul2023'!AI113)</f>
        <v>357.81818181818176</v>
      </c>
      <c r="F119" s="59">
        <f>IF($C$5*'Tariffs Jul2023'!AK113/'Tariffs Jul2023'!AI113&lt;'Tariffs Jul2023'!J113,0,IF($C$5*'Tariffs Jul2023'!AK113/'Tariffs Jul2023'!AI113&lt;='Tariffs Jul2023'!K113,($C$5*'Tariffs Jul2023'!AK113/'Tariffs Jul2023'!AI113-'Tariffs Jul2023'!J113)*('Tariffs Jul2023'!P113/100)*'Tariffs Jul2023'!AI113,('Tariffs Jul2023'!K113-'Tariffs Jul2023'!J113)*('Tariffs Jul2023'!P113/100)*'Tariffs Jul2023'!AI113))</f>
        <v>260.12110909090899</v>
      </c>
      <c r="G119" s="59">
        <f>IF($C$5*'Tariffs Jul2023'!AK113/'Tariffs Jul2023'!AI113&lt;'Tariffs Jul2023'!K113,0,IF($C$5*'Tariffs Jul2023'!AK113/'Tariffs Jul2023'!AI113&lt;='Tariffs Jul2023'!L113,($C$5*'Tariffs Jul2023'!AK113/'Tariffs Jul2023'!AI113-'Tariffs Jul2023'!K113)*('Tariffs Jul2023'!Q113/100)*'Tariffs Jul2023'!AI113,('Tariffs Jul2023'!L113-'Tariffs Jul2023'!K113)*('Tariffs Jul2023'!Q113/100)*'Tariffs Jul2023'!AI113))</f>
        <v>0</v>
      </c>
      <c r="H119" s="59">
        <f>IF($C$5*'Tariffs Jul2023'!AK113/'Tariffs Jul2023'!AI113&lt;'Tariffs Jul2023'!L113,0,IF($C$5*'Tariffs Jul2023'!AK113/'Tariffs Jul2023'!AI113&lt;='Tariffs Jul2023'!M113,($C$5*'Tariffs Jul2023'!AK113/'Tariffs Jul2023'!AI113-'Tariffs Jul2023'!L113)*('Tariffs Jul2023'!R113/100)*'Tariffs Jul2023'!AI113,('Tariffs Jul2023'!M113-'Tariffs Jul2023'!L113)*('Tariffs Jul2023'!R113/100)*'Tariffs Jul2023'!AI113))</f>
        <v>0</v>
      </c>
      <c r="I119" s="69">
        <f>IF(($C$5*'Tariffs Jul2023'!AK113/'Tariffs Jul2023'!AI113&gt;'Tariffs Jul2023'!M113),($C$5*'Tariffs Jul2023'!AK113/'Tariffs Jul2023'!AI113-'Tariffs Jul2023'!M113)*'Tariffs Jul2023'!S113/100*'Tariffs Jul2023'!AI113,0)</f>
        <v>0</v>
      </c>
      <c r="J119" s="69">
        <f>IF($C$5*'Tariffs Jul2023'!AL113/'Tariffs Jul2023'!AJ113&gt;='Tariffs Jul2023'!J113,('Tariffs Jul2023'!J113*'Tariffs Jul2023'!U113/100)* 'Tariffs Jul2023'!AJ113,($C$5*'Tariffs Jul2023'!AL113/'Tariffs Jul2023'!AJ113*'Tariffs Jul2023'!U113/100)* 'Tariffs Jul2023'!AJ113)</f>
        <v>621.81818181818176</v>
      </c>
      <c r="K119" s="69">
        <f>IF($C$5*'Tariffs Jul2023'!AL113/'Tariffs Jul2023'!AJ113&lt;'Tariffs Jul2023'!J113,0,IF($C$5*'Tariffs Jul2023'!AL113/'Tariffs Jul2023'!AJ113&lt;='Tariffs Jul2023'!K113,($C$5*'Tariffs Jul2023'!AL113/'Tariffs Jul2023'!AJ113-'Tariffs Jul2023'!J113)*('Tariffs Jul2023'!V113/100)*'Tariffs Jul2023'!AJ113,('Tariffs Jul2023'!K113-'Tariffs Jul2023'!J113)*('Tariffs Jul2023'!V113/100)*'Tariffs Jul2023'!AJ113))</f>
        <v>412.26741818181802</v>
      </c>
      <c r="L119" s="69">
        <f>IF($C$5*'Tariffs Jul2023'!AL113/'Tariffs Jul2023'!AJ113&lt;'Tariffs Jul2023'!K113,0,IF($C$5*'Tariffs Jul2023'!AL113/'Tariffs Jul2023'!AJ113&lt;='Tariffs Jul2023'!L113,($C$5*'Tariffs Jul2023'!AL113/'Tariffs Jul2023'!AJ113-'Tariffs Jul2023'!K113)*('Tariffs Jul2023'!W113/100)*'Tariffs Jul2023'!AJ113,('Tariffs Jul2023'!L113-'Tariffs Jul2023'!K113)*('Tariffs Jul2023'!W113/100)*'Tariffs Jul2023'!AJ113))</f>
        <v>0</v>
      </c>
      <c r="M119" s="69">
        <f>IF($C$5*'Tariffs Jul2023'!AL113/'Tariffs Jul2023'!AJ113&lt;'Tariffs Jul2023'!L113,0,IF($C$5*'Tariffs Jul2023'!AL113/'Tariffs Jul2023'!AJ113&lt;='Tariffs Jul2023'!M113,($C$5*'Tariffs Jul2023'!AL113/'Tariffs Jul2023'!AJ113-'Tariffs Jul2023'!L113)*('Tariffs Jul2023'!X113/100)*'Tariffs Jul2023'!AJ113,('Tariffs Jul2023'!M113-'Tariffs Jul2023'!L113)*('Tariffs Jul2023'!X113/100)*'Tariffs Jul2023'!AJ113))</f>
        <v>0</v>
      </c>
      <c r="N119" s="69">
        <f>IF(($C$5*'Tariffs Jul2023'!AL113/'Tariffs Jul2023'!AJ113&gt;'Tariffs Jul2023'!M113),($C$5*'Tariffs Jul2023'!AL113/'Tariffs Jul2023'!AJ113-'Tariffs Jul2023'!M113)*'Tariffs Jul2023'!Y113/100*'Tariffs Jul2023'!AJ113,0)</f>
        <v>0</v>
      </c>
      <c r="O119" s="59">
        <f t="shared" si="140"/>
        <v>1652.0248909090906</v>
      </c>
      <c r="P119" s="503">
        <f t="shared" si="141"/>
        <v>1817.2273799999998</v>
      </c>
      <c r="Q119" s="59">
        <f t="shared" si="142"/>
        <v>1989.6498909090906</v>
      </c>
      <c r="R119" s="272">
        <f t="shared" si="143"/>
        <v>2188.6148799999996</v>
      </c>
      <c r="S119" s="40">
        <f>'Tariffs Jul2023'!AN113</f>
        <v>0</v>
      </c>
      <c r="T119" s="40">
        <f>'Tariffs Jul2023'!AO113</f>
        <v>0</v>
      </c>
      <c r="U119" s="40">
        <f>'Tariffs Jul2023'!AP113</f>
        <v>0</v>
      </c>
      <c r="V119" s="637">
        <f>'Tariffs Jul2023'!AQ113</f>
        <v>0</v>
      </c>
      <c r="W119" s="578" t="str">
        <f>IF(SUM(S119:V119)=0,"No discount",IF(S119&gt;0,"Guaranteed off bill",IF(T119&gt;0,"Guaranteed off usage",IF(U119&gt;0,"Pay-on-time off bill","Pay-on-time off usage"))))</f>
        <v>No discount</v>
      </c>
      <c r="X119" s="538" t="str">
        <f>IF(OR(A119="Origin Energy",A119="Red Energy",A119="Powershop"),"Inclusive","Exclusive")</f>
        <v>Exclusive</v>
      </c>
      <c r="Y119" s="535">
        <f>IF(AND(W119="Guaranteed off bill",X119="Inclusive"),((Q119*1.1)-((Q119*1.1)*S119/100))/1.1,IF(AND(W119="Guaranteed off usage",X119="Inclusive"),((Q119*1.1)-((P119*1.1)*T119/100))/1.1,IF(AND(W119="Guaranteed off bill",X119="Exclusive"),Q119-(Q119*S119/100),IF(AND(W119="Guaranteed off usage",X119="Exclusive"),Q119-(P119*T119/100),IF(X119="Inclusive",((Q119*1.1))/1.1,Q119)))))</f>
        <v>1989.6498909090906</v>
      </c>
      <c r="Z119" s="535">
        <f>IF(AND(W119="Pay-on-time off bill",X119="Inclusive"),((Y119*1.1)-((Y119*1.1)*U119/100))/1.1,IF(AND(W119="Pay-on-time off usage",X119="Inclusive"),((Y119*1.1)-((P119*1.1)*V119/100))/1.1,IF(AND(W119="Pay-on-time off bill",X119="Exclusive"),Y119-(Y119*U119/100),IF(AND(W119="Pay-on-time off usage",X119="Exclusive"),Y119-(P119*V119/100),IF(X119="Inclusive",((Y119*1.1))/1.1,Y119)))))</f>
        <v>1989.6498909090906</v>
      </c>
      <c r="AA119" s="542">
        <f t="shared" si="169"/>
        <v>2188.6148799999996</v>
      </c>
      <c r="AB119" s="609">
        <f t="shared" si="169"/>
        <v>2188.6148799999996</v>
      </c>
      <c r="AC119" s="625"/>
      <c r="AD119" s="625"/>
      <c r="AE119" s="625"/>
      <c r="AF119" s="625"/>
      <c r="AG119" s="625"/>
      <c r="AH119" s="625"/>
      <c r="AI119" s="625"/>
      <c r="AJ119" s="625"/>
      <c r="AK119" s="625"/>
      <c r="AL119" s="625"/>
      <c r="AM119" s="625"/>
      <c r="AN119" s="625"/>
      <c r="AO119" s="625"/>
      <c r="AP119" s="625"/>
      <c r="AQ119" s="625"/>
      <c r="AR119" s="625"/>
      <c r="AS119" s="625"/>
      <c r="AT119" s="625"/>
    </row>
    <row r="120" spans="1:46" ht="14" x14ac:dyDescent="0.15">
      <c r="A120" s="270" t="str">
        <f>'Tariffs Jul2023'!F114</f>
        <v>Alinta Energy</v>
      </c>
      <c r="B120" s="40" t="str">
        <f>'Tariffs Jul2023'!D114</f>
        <v>AusNet Services Central 1</v>
      </c>
      <c r="C120" s="40" t="str">
        <f>'Tariffs Jul2023'!G114</f>
        <v>Home Deal</v>
      </c>
      <c r="D120" s="59">
        <f>365*'Tariffs Jul2023'!H114/100</f>
        <v>307.56227272727267</v>
      </c>
      <c r="E120" s="59">
        <f>IF($C$5*'Tariffs Jul2023'!AK114/'Tariffs Jul2023'!AI114&gt;='Tariffs Jul2023'!J114,( 'Tariffs Jul2023'!J114*'Tariffs Jul2023'!O114/100)* 'Tariffs Jul2023'!AI114,($C$5*'Tariffs Jul2023'!AK114/'Tariffs Jul2023'!AI114*'Tariffs Jul2023'!O114/100)* 'Tariffs Jul2023'!AI114)</f>
        <v>426.5454545454545</v>
      </c>
      <c r="F120" s="59">
        <f>IF($C$5*'Tariffs Jul2023'!AK114/'Tariffs Jul2023'!AI114&lt;'Tariffs Jul2023'!J114,0,IF($C$5*'Tariffs Jul2023'!AK114/'Tariffs Jul2023'!AI114&lt;='Tariffs Jul2023'!K114,($C$5*'Tariffs Jul2023'!AK114/'Tariffs Jul2023'!AI114-'Tariffs Jul2023'!J114)*('Tariffs Jul2023'!P114/100)*'Tariffs Jul2023'!AI114,('Tariffs Jul2023'!K114-'Tariffs Jul2023'!J114)*('Tariffs Jul2023'!P114/100)*'Tariffs Jul2023'!AI114))</f>
        <v>0</v>
      </c>
      <c r="G120" s="59">
        <f>IF($C$5*'Tariffs Jul2023'!AK114/'Tariffs Jul2023'!AI114&lt;'Tariffs Jul2023'!K114,0,IF($C$5*'Tariffs Jul2023'!AK114/'Tariffs Jul2023'!AI114&lt;='Tariffs Jul2023'!L114,($C$5*'Tariffs Jul2023'!AK114/'Tariffs Jul2023'!AI114-'Tariffs Jul2023'!K114)*('Tariffs Jul2023'!Q114/100)*'Tariffs Jul2023'!AI114,('Tariffs Jul2023'!L114-'Tariffs Jul2023'!K114)*('Tariffs Jul2023'!Q114/100)*'Tariffs Jul2023'!AI114))</f>
        <v>0</v>
      </c>
      <c r="H120" s="59">
        <f>IF($C$5*'Tariffs Jul2023'!AK114/'Tariffs Jul2023'!AI114&lt;'Tariffs Jul2023'!L114,0,IF($C$5*'Tariffs Jul2023'!AK114/'Tariffs Jul2023'!AI114&lt;='Tariffs Jul2023'!M114,($C$5*'Tariffs Jul2023'!AK114/'Tariffs Jul2023'!AI114-'Tariffs Jul2023'!L114)*('Tariffs Jul2023'!R114/100)*'Tariffs Jul2023'!AI114,('Tariffs Jul2023'!M114-'Tariffs Jul2023'!L114)*('Tariffs Jul2023'!R114/100)*'Tariffs Jul2023'!AI114))</f>
        <v>0</v>
      </c>
      <c r="I120" s="69">
        <f>IF(($C$5*'Tariffs Jul2023'!AK114/'Tariffs Jul2023'!AI114&gt;'Tariffs Jul2023'!M114),($C$5*'Tariffs Jul2023'!AK114/'Tariffs Jul2023'!AI114-'Tariffs Jul2023'!M114)*'Tariffs Jul2023'!S114/100*'Tariffs Jul2023'!AI114,0)</f>
        <v>247.85124545454536</v>
      </c>
      <c r="J120" s="69">
        <f>IF($C$5*'Tariffs Jul2023'!AL114/'Tariffs Jul2023'!AJ114&gt;='Tariffs Jul2023'!J114,('Tariffs Jul2023'!J114*'Tariffs Jul2023'!U114/100)* 'Tariffs Jul2023'!AJ114,($C$5*'Tariffs Jul2023'!AL114/'Tariffs Jul2023'!AJ114*'Tariffs Jul2023'!U114/100)* 'Tariffs Jul2023'!AJ114)</f>
        <v>789.81818181818176</v>
      </c>
      <c r="K120" s="69">
        <f>IF($C$5*'Tariffs Jul2023'!AL114/'Tariffs Jul2023'!AJ114&lt;'Tariffs Jul2023'!J114,0,IF($C$5*'Tariffs Jul2023'!AL114/'Tariffs Jul2023'!AJ114&lt;='Tariffs Jul2023'!K114,($C$5*'Tariffs Jul2023'!AL114/'Tariffs Jul2023'!AJ114-'Tariffs Jul2023'!J114)*('Tariffs Jul2023'!V114/100)*'Tariffs Jul2023'!AJ114,('Tariffs Jul2023'!K114-'Tariffs Jul2023'!J114)*('Tariffs Jul2023'!V114/100)*'Tariffs Jul2023'!AJ114))</f>
        <v>0</v>
      </c>
      <c r="L120" s="69">
        <f>IF($C$5*'Tariffs Jul2023'!AL114/'Tariffs Jul2023'!AJ114&lt;'Tariffs Jul2023'!K114,0,IF($C$5*'Tariffs Jul2023'!AL114/'Tariffs Jul2023'!AJ114&lt;='Tariffs Jul2023'!L114,($C$5*'Tariffs Jul2023'!AL114/'Tariffs Jul2023'!AJ114-'Tariffs Jul2023'!K114)*('Tariffs Jul2023'!W114/100)*'Tariffs Jul2023'!AJ114,('Tariffs Jul2023'!L114-'Tariffs Jul2023'!K114)*('Tariffs Jul2023'!W114/100)*'Tariffs Jul2023'!AJ114))</f>
        <v>0</v>
      </c>
      <c r="M120" s="69">
        <f>IF($C$5*'Tariffs Jul2023'!AL114/'Tariffs Jul2023'!AJ114&lt;'Tariffs Jul2023'!L114,0,IF($C$5*'Tariffs Jul2023'!AL114/'Tariffs Jul2023'!AJ114&lt;='Tariffs Jul2023'!M114,($C$5*'Tariffs Jul2023'!AL114/'Tariffs Jul2023'!AJ114-'Tariffs Jul2023'!L114)*('Tariffs Jul2023'!X114/100)*'Tariffs Jul2023'!AJ114,('Tariffs Jul2023'!M114-'Tariffs Jul2023'!L114)*('Tariffs Jul2023'!X114/100)*'Tariffs Jul2023'!AJ114))</f>
        <v>0</v>
      </c>
      <c r="N120" s="69">
        <f>IF(($C$5*'Tariffs Jul2023'!AL114/'Tariffs Jul2023'!AJ114&gt;'Tariffs Jul2023'!M114),($C$5*'Tariffs Jul2023'!AL114/'Tariffs Jul2023'!AJ114-'Tariffs Jul2023'!M114)*'Tariffs Jul2023'!Y114/100*'Tariffs Jul2023'!AJ114,0)</f>
        <v>474.43472727272712</v>
      </c>
      <c r="O120" s="59">
        <f>SUM(E120:N120)</f>
        <v>1938.6496090909088</v>
      </c>
      <c r="P120" s="503">
        <f t="shared" si="141"/>
        <v>2132.5145699999998</v>
      </c>
      <c r="Q120" s="59">
        <f>D120+O120</f>
        <v>2246.2118818181816</v>
      </c>
      <c r="R120" s="272">
        <f>Q120*1.1</f>
        <v>2470.8330700000001</v>
      </c>
      <c r="S120" s="40">
        <f>'Tariffs Jul2023'!AN114</f>
        <v>0</v>
      </c>
      <c r="T120" s="40">
        <f>'Tariffs Jul2023'!AO114</f>
        <v>0</v>
      </c>
      <c r="U120" s="40">
        <f>'Tariffs Jul2023'!AP114</f>
        <v>0</v>
      </c>
      <c r="V120" s="637">
        <f>'Tariffs Jul2023'!AQ114</f>
        <v>0</v>
      </c>
      <c r="W120" s="578" t="str">
        <f t="shared" ref="W120:W131" si="193">IF(SUM(S120:V120)=0,"No discount",IF(S120&gt;0,"Guaranteed off bill",IF(T120&gt;0,"Guaranteed off usage",IF(U120&gt;0,"Pay-on-time off bill","Pay-on-time off usage"))))</f>
        <v>No discount</v>
      </c>
      <c r="X120" s="538" t="str">
        <f t="shared" ref="X120:X131" si="194">IF(OR(A120="Origin Energy",A120="Red Energy",A120="Powershop"),"Inclusive","Exclusive")</f>
        <v>Exclusive</v>
      </c>
      <c r="Y120" s="535">
        <f>IF(AND(W120="Guaranteed off bill",X120="Inclusive"),((Q120*1.1)-((Q120*1.1)*S120/100))/1.1,IF(AND(W120="Guaranteed off usage",X120="Inclusive"),((Q120*1.1)-((P120*1.1)*T120/100))/1.1,IF(AND(W120="Guaranteed off bill",X120="Exclusive"),Q120-(Q120*S120/100),IF(AND(W120="Guaranteed off usage",X120="Exclusive"),Q120-(P120*T120/100),IF(X120="Inclusive",((Q120*1.1))/1.1,Q120)))))</f>
        <v>2246.2118818181816</v>
      </c>
      <c r="Z120" s="535">
        <f>IF(AND(W120="Pay-on-time off bill",X120="Inclusive"),((Y120*1.1)-((Y120*1.1)*U120/100))/1.1,IF(AND(W120="Pay-on-time off usage",X120="Inclusive"),((Y120*1.1)-((P120*1.1)*V120/100))/1.1,IF(AND(W120="Pay-on-time off bill",X120="Exclusive"),Y120-(Y120*U120/100),IF(AND(W120="Pay-on-time off usage",X120="Exclusive"),Y120-(P120*V120/100),IF(X120="Inclusive",((Y120*1.1))/1.1,Y120)))))</f>
        <v>2246.2118818181816</v>
      </c>
      <c r="AA120" s="542">
        <f t="shared" si="169"/>
        <v>2470.8330700000001</v>
      </c>
      <c r="AB120" s="609">
        <f t="shared" si="169"/>
        <v>2470.8330700000001</v>
      </c>
      <c r="AC120" s="625"/>
      <c r="AD120" s="625"/>
      <c r="AE120" s="625"/>
      <c r="AF120" s="625"/>
      <c r="AG120" s="625"/>
      <c r="AH120" s="625"/>
      <c r="AI120" s="625"/>
      <c r="AJ120" s="625"/>
      <c r="AK120" s="625"/>
      <c r="AL120" s="625"/>
      <c r="AM120" s="625"/>
      <c r="AN120" s="625"/>
      <c r="AO120" s="625"/>
      <c r="AP120" s="625"/>
      <c r="AQ120" s="625"/>
      <c r="AR120" s="625"/>
      <c r="AS120" s="625"/>
      <c r="AT120" s="625"/>
    </row>
    <row r="121" spans="1:46" ht="14" x14ac:dyDescent="0.15">
      <c r="A121" s="270" t="str">
        <f>'Tariffs Jul2023'!F115</f>
        <v>Dodo Power &amp; Gas</v>
      </c>
      <c r="B121" s="40" t="str">
        <f>'Tariffs Jul2023'!D115</f>
        <v>AusNet Services Central 1</v>
      </c>
      <c r="C121" s="40" t="str">
        <f>'Tariffs Jul2023'!G115</f>
        <v>Market offer</v>
      </c>
      <c r="D121" s="59">
        <f>365*'Tariffs Jul2023'!H115/100</f>
        <v>352.12545454545455</v>
      </c>
      <c r="E121" s="59">
        <f>IF($C$5*'Tariffs Jul2023'!AK115/'Tariffs Jul2023'!AI115&gt;='Tariffs Jul2023'!J115,( 'Tariffs Jul2023'!J115*'Tariffs Jul2023'!O115/100)* 'Tariffs Jul2023'!AI115,($C$5*'Tariffs Jul2023'!AK115/'Tariffs Jul2023'!AI115*'Tariffs Jul2023'!O115/100)* 'Tariffs Jul2023'!AI115)</f>
        <v>280.36363636363632</v>
      </c>
      <c r="F121" s="59">
        <f>IF($C$5*'Tariffs Jul2023'!AK115/'Tariffs Jul2023'!AI115&lt;'Tariffs Jul2023'!J115,0,IF($C$5*'Tariffs Jul2023'!AK115/'Tariffs Jul2023'!AI115&lt;='Tariffs Jul2023'!K115,($C$5*'Tariffs Jul2023'!AK115/'Tariffs Jul2023'!AI115-'Tariffs Jul2023'!J115)*('Tariffs Jul2023'!P115/100)*'Tariffs Jul2023'!AI115,('Tariffs Jul2023'!K115-'Tariffs Jul2023'!J115)*('Tariffs Jul2023'!P115/100)*'Tariffs Jul2023'!AI115))</f>
        <v>206.13370909090901</v>
      </c>
      <c r="G121" s="59">
        <f>IF($C$5*'Tariffs Jul2023'!AK115/'Tariffs Jul2023'!AI115&lt;'Tariffs Jul2023'!K115,0,IF($C$5*'Tariffs Jul2023'!AK115/'Tariffs Jul2023'!AI115&lt;='Tariffs Jul2023'!L115,($C$5*'Tariffs Jul2023'!AK115/'Tariffs Jul2023'!AI115-'Tariffs Jul2023'!K115)*('Tariffs Jul2023'!Q115/100)*'Tariffs Jul2023'!AI115,('Tariffs Jul2023'!L115-'Tariffs Jul2023'!K115)*('Tariffs Jul2023'!Q115/100)*'Tariffs Jul2023'!AI115))</f>
        <v>0</v>
      </c>
      <c r="H121" s="59">
        <f>IF($C$5*'Tariffs Jul2023'!AK115/'Tariffs Jul2023'!AI115&lt;'Tariffs Jul2023'!L115,0,IF($C$5*'Tariffs Jul2023'!AK115/'Tariffs Jul2023'!AI115&lt;='Tariffs Jul2023'!M115,($C$5*'Tariffs Jul2023'!AK115/'Tariffs Jul2023'!AI115-'Tariffs Jul2023'!L115)*('Tariffs Jul2023'!R115/100)*'Tariffs Jul2023'!AI115,('Tariffs Jul2023'!M115-'Tariffs Jul2023'!L115)*('Tariffs Jul2023'!R115/100)*'Tariffs Jul2023'!AI115))</f>
        <v>0</v>
      </c>
      <c r="I121" s="69">
        <f>IF(($C$5*'Tariffs Jul2023'!AK115/'Tariffs Jul2023'!AI115&gt;'Tariffs Jul2023'!M115),($C$5*'Tariffs Jul2023'!AK115/'Tariffs Jul2023'!AI115-'Tariffs Jul2023'!M115)*'Tariffs Jul2023'!S115/100*'Tariffs Jul2023'!AI115,0)</f>
        <v>0</v>
      </c>
      <c r="J121" s="69">
        <f>IF($C$5*'Tariffs Jul2023'!AL115/'Tariffs Jul2023'!AJ115&gt;='Tariffs Jul2023'!J115,('Tariffs Jul2023'!J115*'Tariffs Jul2023'!U115/100)* 'Tariffs Jul2023'!AJ115,($C$5*'Tariffs Jul2023'!AL115/'Tariffs Jul2023'!AJ115*'Tariffs Jul2023'!U115/100)* 'Tariffs Jul2023'!AJ115)</f>
        <v>665.4545454545455</v>
      </c>
      <c r="K121" s="69">
        <f>IF($C$5*'Tariffs Jul2023'!AL115/'Tariffs Jul2023'!AJ115&lt;'Tariffs Jul2023'!J115,0,IF($C$5*'Tariffs Jul2023'!AL115/'Tariffs Jul2023'!AJ115&lt;='Tariffs Jul2023'!K115,($C$5*'Tariffs Jul2023'!AL115/'Tariffs Jul2023'!AJ115-'Tariffs Jul2023'!J115)*('Tariffs Jul2023'!V115/100)*'Tariffs Jul2023'!AJ115,('Tariffs Jul2023'!K115-'Tariffs Jul2023'!J115)*('Tariffs Jul2023'!V115/100)*'Tariffs Jul2023'!AJ115))</f>
        <v>451.53098181818166</v>
      </c>
      <c r="L121" s="69">
        <f>IF($C$5*'Tariffs Jul2023'!AL115/'Tariffs Jul2023'!AJ115&lt;'Tariffs Jul2023'!K115,0,IF($C$5*'Tariffs Jul2023'!AL115/'Tariffs Jul2023'!AJ115&lt;='Tariffs Jul2023'!L115,($C$5*'Tariffs Jul2023'!AL115/'Tariffs Jul2023'!AJ115-'Tariffs Jul2023'!K115)*('Tariffs Jul2023'!W115/100)*'Tariffs Jul2023'!AJ115,('Tariffs Jul2023'!L115-'Tariffs Jul2023'!K115)*('Tariffs Jul2023'!W115/100)*'Tariffs Jul2023'!AJ115))</f>
        <v>0</v>
      </c>
      <c r="M121" s="69">
        <f>IF($C$5*'Tariffs Jul2023'!AL115/'Tariffs Jul2023'!AJ115&lt;'Tariffs Jul2023'!L115,0,IF($C$5*'Tariffs Jul2023'!AL115/'Tariffs Jul2023'!AJ115&lt;='Tariffs Jul2023'!M115,($C$5*'Tariffs Jul2023'!AL115/'Tariffs Jul2023'!AJ115-'Tariffs Jul2023'!L115)*('Tariffs Jul2023'!X115/100)*'Tariffs Jul2023'!AJ115,('Tariffs Jul2023'!M115-'Tariffs Jul2023'!L115)*('Tariffs Jul2023'!X115/100)*'Tariffs Jul2023'!AJ115))</f>
        <v>0</v>
      </c>
      <c r="N121" s="69">
        <f>IF(($C$5*'Tariffs Jul2023'!AL115/'Tariffs Jul2023'!AJ115&gt;'Tariffs Jul2023'!M115),($C$5*'Tariffs Jul2023'!AL115/'Tariffs Jul2023'!AJ115-'Tariffs Jul2023'!M115)*'Tariffs Jul2023'!Y115/100*'Tariffs Jul2023'!AJ115,0)</f>
        <v>0</v>
      </c>
      <c r="O121" s="59">
        <f t="shared" ref="O121:O131" si="195">SUM(E121:N121)</f>
        <v>1603.4828727272725</v>
      </c>
      <c r="P121" s="503">
        <f t="shared" si="141"/>
        <v>1763.83116</v>
      </c>
      <c r="Q121" s="59">
        <f t="shared" ref="Q121:Q131" si="196">D121+O121</f>
        <v>1955.6083272727269</v>
      </c>
      <c r="R121" s="272">
        <f t="shared" ref="R121:R131" si="197">Q121*1.1</f>
        <v>2151.1691599999999</v>
      </c>
      <c r="S121" s="40">
        <f>'Tariffs Jul2023'!AN115</f>
        <v>0</v>
      </c>
      <c r="T121" s="40">
        <f>'Tariffs Jul2023'!AO115</f>
        <v>0</v>
      </c>
      <c r="U121" s="40">
        <f>'Tariffs Jul2023'!AP115</f>
        <v>0</v>
      </c>
      <c r="V121" s="637">
        <f>'Tariffs Jul2023'!AQ115</f>
        <v>0</v>
      </c>
      <c r="W121" s="578" t="str">
        <f t="shared" si="193"/>
        <v>No discount</v>
      </c>
      <c r="X121" s="538" t="str">
        <f t="shared" si="194"/>
        <v>Exclusive</v>
      </c>
      <c r="Y121" s="535">
        <f>IF(AND(W121="Guaranteed off bill",X121="Inclusive"),((Q121*1.1)-((Q121*1.1)*S121/100))/1.1,IF(AND(W121="Guaranteed off usage",X121="Inclusive"),((Q121*1.1)-((P121*1.1)*T121/100))/1.1,IF(AND(W121="Guaranteed off bill",X121="Exclusive"),Q121-(Q121*S121/100),IF(AND(W121="Guaranteed off usage",X121="Exclusive"),Q121-(P121*T121/100),IF(X121="Inclusive",((Q121*1.1))/1.1,Q121)))))</f>
        <v>1955.6083272727269</v>
      </c>
      <c r="Z121" s="535">
        <f>IF(AND(W121="Pay-on-time off bill",X121="Inclusive"),((Y121*1.1)-((Y121*1.1)*U121/100))/1.1,IF(AND(W121="Pay-on-time off usage",X121="Inclusive"),((Y121*1.1)-((P121*1.1)*V121/100))/1.1,IF(AND(W121="Pay-on-time off bill",X121="Exclusive"),Y121-(Y121*U121/100),IF(AND(W121="Pay-on-time off usage",X121="Exclusive"),Y121-(P121*V121/100),IF(X121="Inclusive",((Y121*1.1))/1.1,Y121)))))</f>
        <v>1955.6083272727269</v>
      </c>
      <c r="AA121" s="542">
        <f t="shared" si="169"/>
        <v>2151.1691599999999</v>
      </c>
      <c r="AB121" s="609">
        <f t="shared" si="169"/>
        <v>2151.1691599999999</v>
      </c>
      <c r="AC121" s="625"/>
      <c r="AD121" s="625"/>
      <c r="AE121" s="625"/>
      <c r="AF121" s="625"/>
      <c r="AG121" s="625"/>
      <c r="AH121" s="625"/>
      <c r="AI121" s="625"/>
      <c r="AJ121" s="625"/>
      <c r="AK121" s="625"/>
      <c r="AL121" s="625"/>
      <c r="AM121" s="625"/>
      <c r="AN121" s="625"/>
      <c r="AO121" s="625"/>
      <c r="AP121" s="625"/>
      <c r="AQ121" s="625"/>
      <c r="AR121" s="625"/>
      <c r="AS121" s="625"/>
      <c r="AT121" s="625"/>
    </row>
    <row r="122" spans="1:46" ht="14" x14ac:dyDescent="0.15">
      <c r="A122" s="270" t="str">
        <f>'Tariffs Jul2023'!F116</f>
        <v>EnergyAustralia</v>
      </c>
      <c r="B122" s="40" t="str">
        <f>'Tariffs Jul2023'!D116</f>
        <v>AusNet Services Central 1</v>
      </c>
      <c r="C122" s="40" t="str">
        <f>'Tariffs Jul2023'!G116</f>
        <v>Flexi Plan</v>
      </c>
      <c r="D122" s="59">
        <f>365*'Tariffs Jul2023'!H116/100</f>
        <v>451.8368181818181</v>
      </c>
      <c r="E122" s="59">
        <f>IF($C$5*'Tariffs Jul2023'!AK116/'Tariffs Jul2023'!AI116&gt;='Tariffs Jul2023'!J116,( 'Tariffs Jul2023'!J116*'Tariffs Jul2023'!O116/100)* 'Tariffs Jul2023'!AI116,($C$5*'Tariffs Jul2023'!AK116/'Tariffs Jul2023'!AI116*'Tariffs Jul2023'!O116/100)* 'Tariffs Jul2023'!AI116)</f>
        <v>473.45454545454538</v>
      </c>
      <c r="F122" s="59">
        <f>IF($C$5*'Tariffs Jul2023'!AK116/'Tariffs Jul2023'!AI116&lt;'Tariffs Jul2023'!J116,0,IF($C$5*'Tariffs Jul2023'!AK116/'Tariffs Jul2023'!AI116&lt;='Tariffs Jul2023'!K116,($C$5*'Tariffs Jul2023'!AK116/'Tariffs Jul2023'!AI116-'Tariffs Jul2023'!J116)*('Tariffs Jul2023'!P116/100)*'Tariffs Jul2023'!AI116,('Tariffs Jul2023'!K116-'Tariffs Jul2023'!J116)*('Tariffs Jul2023'!P116/100)*'Tariffs Jul2023'!AI116))</f>
        <v>285.47882727272724</v>
      </c>
      <c r="G122" s="59">
        <f>IF($C$5*'Tariffs Jul2023'!AK116/'Tariffs Jul2023'!AI116&lt;'Tariffs Jul2023'!K116,0,IF($C$5*'Tariffs Jul2023'!AK116/'Tariffs Jul2023'!AI116&lt;='Tariffs Jul2023'!L116,($C$5*'Tariffs Jul2023'!AK116/'Tariffs Jul2023'!AI116-'Tariffs Jul2023'!K116)*('Tariffs Jul2023'!Q116/100)*'Tariffs Jul2023'!AI116,('Tariffs Jul2023'!L116-'Tariffs Jul2023'!K116)*('Tariffs Jul2023'!Q116/100)*'Tariffs Jul2023'!AI116))</f>
        <v>0</v>
      </c>
      <c r="H122" s="59">
        <f>IF($C$5*'Tariffs Jul2023'!AK116/'Tariffs Jul2023'!AI116&lt;'Tariffs Jul2023'!L116,0,IF($C$5*'Tariffs Jul2023'!AK116/'Tariffs Jul2023'!AI116&lt;='Tariffs Jul2023'!M116,($C$5*'Tariffs Jul2023'!AK116/'Tariffs Jul2023'!AI116-'Tariffs Jul2023'!L116)*('Tariffs Jul2023'!R116/100)*'Tariffs Jul2023'!AI116,('Tariffs Jul2023'!M116-'Tariffs Jul2023'!L116)*('Tariffs Jul2023'!R116/100)*'Tariffs Jul2023'!AI116))</f>
        <v>0</v>
      </c>
      <c r="I122" s="69">
        <f>IF(($C$5*'Tariffs Jul2023'!AK116/'Tariffs Jul2023'!AI116&gt;'Tariffs Jul2023'!M116),($C$5*'Tariffs Jul2023'!AK116/'Tariffs Jul2023'!AI116-'Tariffs Jul2023'!M116)*'Tariffs Jul2023'!S116/100*'Tariffs Jul2023'!AI116,0)</f>
        <v>0</v>
      </c>
      <c r="J122" s="69">
        <f>IF($C$5*'Tariffs Jul2023'!AL116/'Tariffs Jul2023'!AJ116&gt;='Tariffs Jul2023'!J116,('Tariffs Jul2023'!J116*'Tariffs Jul2023'!U116/100)* 'Tariffs Jul2023'!AJ116,($C$5*'Tariffs Jul2023'!AL116/'Tariffs Jul2023'!AJ116*'Tariffs Jul2023'!U116/100)* 'Tariffs Jul2023'!AJ116)</f>
        <v>726.54545454545439</v>
      </c>
      <c r="K122" s="69">
        <f>IF($C$5*'Tariffs Jul2023'!AL116/'Tariffs Jul2023'!AJ116&lt;'Tariffs Jul2023'!J116,0,IF($C$5*'Tariffs Jul2023'!AL116/'Tariffs Jul2023'!AJ116&lt;='Tariffs Jul2023'!K116,($C$5*'Tariffs Jul2023'!AL116/'Tariffs Jul2023'!AJ116-'Tariffs Jul2023'!J116)*('Tariffs Jul2023'!V116/100)*'Tariffs Jul2023'!AJ116,('Tariffs Jul2023'!K116-'Tariffs Jul2023'!J116)*('Tariffs Jul2023'!V116/100)*'Tariffs Jul2023'!AJ116))</f>
        <v>495.70249090909067</v>
      </c>
      <c r="L122" s="69">
        <f>IF($C$5*'Tariffs Jul2023'!AL116/'Tariffs Jul2023'!AJ116&lt;'Tariffs Jul2023'!K116,0,IF($C$5*'Tariffs Jul2023'!AL116/'Tariffs Jul2023'!AJ116&lt;='Tariffs Jul2023'!L116,($C$5*'Tariffs Jul2023'!AL116/'Tariffs Jul2023'!AJ116-'Tariffs Jul2023'!K116)*('Tariffs Jul2023'!W116/100)*'Tariffs Jul2023'!AJ116,('Tariffs Jul2023'!L116-'Tariffs Jul2023'!K116)*('Tariffs Jul2023'!W116/100)*'Tariffs Jul2023'!AJ116))</f>
        <v>0</v>
      </c>
      <c r="M122" s="69">
        <f>IF($C$5*'Tariffs Jul2023'!AL116/'Tariffs Jul2023'!AJ116&lt;'Tariffs Jul2023'!L116,0,IF($C$5*'Tariffs Jul2023'!AL116/'Tariffs Jul2023'!AJ116&lt;='Tariffs Jul2023'!M116,($C$5*'Tariffs Jul2023'!AL116/'Tariffs Jul2023'!AJ116-'Tariffs Jul2023'!L116)*('Tariffs Jul2023'!X116/100)*'Tariffs Jul2023'!AJ116,('Tariffs Jul2023'!M116-'Tariffs Jul2023'!L116)*('Tariffs Jul2023'!X116/100)*'Tariffs Jul2023'!AJ116))</f>
        <v>0</v>
      </c>
      <c r="N122" s="69">
        <f>IF(($C$5*'Tariffs Jul2023'!AL116/'Tariffs Jul2023'!AJ116&gt;'Tariffs Jul2023'!M116),($C$5*'Tariffs Jul2023'!AL116/'Tariffs Jul2023'!AJ116-'Tariffs Jul2023'!M116)*'Tariffs Jul2023'!Y116/100*'Tariffs Jul2023'!AJ116,0)</f>
        <v>0</v>
      </c>
      <c r="O122" s="59">
        <f t="shared" si="195"/>
        <v>1981.1813181818175</v>
      </c>
      <c r="P122" s="503">
        <f t="shared" si="141"/>
        <v>2179.2994499999995</v>
      </c>
      <c r="Q122" s="59">
        <f t="shared" si="196"/>
        <v>2433.0181363636357</v>
      </c>
      <c r="R122" s="272">
        <f t="shared" si="197"/>
        <v>2676.3199499999996</v>
      </c>
      <c r="S122" s="40">
        <f>'Tariffs Jul2023'!AN116</f>
        <v>25</v>
      </c>
      <c r="T122" s="40">
        <f>'Tariffs Jul2023'!AO116</f>
        <v>0</v>
      </c>
      <c r="U122" s="40">
        <f>'Tariffs Jul2023'!AP116</f>
        <v>0</v>
      </c>
      <c r="V122" s="637">
        <f>'Tariffs Jul2023'!AQ116</f>
        <v>0</v>
      </c>
      <c r="W122" s="578" t="str">
        <f t="shared" si="193"/>
        <v>Guaranteed off bill</v>
      </c>
      <c r="X122" s="538" t="str">
        <f t="shared" si="194"/>
        <v>Exclusive</v>
      </c>
      <c r="Y122" s="535">
        <f t="shared" ref="Y122" si="198">IF(AND(W122="Guaranteed off bill",X122="Inclusive"),((Q122*1.1)-((Q122*1.1)*S122/100))/1.1,IF(AND(W122="Guaranteed off usage",X122="Inclusive"),((Q122*1.1)-((P122*1.1)*T122/100))/1.1,IF(AND(W122="Guaranteed off bill",X122="Exclusive"),Q122-(Q122*S122/100),IF(AND(W122="Guaranteed off usage",X122="Exclusive"),Q122-(P122*T122/100),IF(X122="Inclusive",((Q122*1.1))/1.1,Q122)))))</f>
        <v>1824.7636022727268</v>
      </c>
      <c r="Z122" s="535">
        <f t="shared" ref="Z122" si="199">IF(AND(W122="Pay-on-time off bill",X122="Inclusive"),((Y122*1.1)-((Y122*1.1)*U122/100))/1.1,IF(AND(W122="Pay-on-time off usage",X122="Inclusive"),((Y122*1.1)-((P122*1.1)*V122/100))/1.1,IF(AND(W122="Pay-on-time off bill",X122="Exclusive"),Y122-(Y122*U122/100),IF(AND(W122="Pay-on-time off usage",X122="Exclusive"),Y122-(P122*V122/100),IF(X122="Inclusive",((Y122*1.1))/1.1,Y122)))))</f>
        <v>1824.7636022727268</v>
      </c>
      <c r="AA122" s="542">
        <f t="shared" si="169"/>
        <v>2007.2399624999996</v>
      </c>
      <c r="AB122" s="609">
        <f t="shared" si="169"/>
        <v>2007.2399624999996</v>
      </c>
      <c r="AC122" s="625"/>
      <c r="AD122" s="625"/>
      <c r="AE122" s="625"/>
      <c r="AF122" s="625"/>
      <c r="AG122" s="625"/>
      <c r="AH122" s="625"/>
      <c r="AI122" s="625"/>
      <c r="AJ122" s="625"/>
      <c r="AK122" s="625"/>
      <c r="AL122" s="625"/>
      <c r="AM122" s="625"/>
      <c r="AN122" s="625"/>
      <c r="AO122" s="625"/>
      <c r="AP122" s="625"/>
      <c r="AQ122" s="625"/>
      <c r="AR122" s="625"/>
      <c r="AS122" s="625"/>
      <c r="AT122" s="625"/>
    </row>
    <row r="123" spans="1:46" ht="14" x14ac:dyDescent="0.15">
      <c r="A123" s="270" t="str">
        <f>'Tariffs Jul2023'!F117</f>
        <v>Lumo Energy</v>
      </c>
      <c r="B123" s="40" t="str">
        <f>'Tariffs Jul2023'!D117</f>
        <v>AusNet Services Central 1</v>
      </c>
      <c r="C123" s="40" t="str">
        <f>'Tariffs Jul2023'!G117</f>
        <v>Value</v>
      </c>
      <c r="D123" s="59">
        <f>365*'Tariffs Jul2023'!H117/100</f>
        <v>401.0686363636363</v>
      </c>
      <c r="E123" s="59">
        <f>IF($C$5*'Tariffs Jul2023'!AK117/'Tariffs Jul2023'!AI117&gt;='Tariffs Jul2023'!J117,( 'Tariffs Jul2023'!J117*'Tariffs Jul2023'!O117/100)* 'Tariffs Jul2023'!AI117,($C$5*'Tariffs Jul2023'!AK117/'Tariffs Jul2023'!AI117*'Tariffs Jul2023'!O117/100)* 'Tariffs Jul2023'!AI117)</f>
        <v>414.5454545454545</v>
      </c>
      <c r="F123" s="59">
        <f>IF($C$5*'Tariffs Jul2023'!AK117/'Tariffs Jul2023'!AI117&lt;'Tariffs Jul2023'!J117,0,IF($C$5*'Tariffs Jul2023'!AK117/'Tariffs Jul2023'!AI117&lt;='Tariffs Jul2023'!K117,($C$5*'Tariffs Jul2023'!AK117/'Tariffs Jul2023'!AI117-'Tariffs Jul2023'!J117)*('Tariffs Jul2023'!P117/100)*'Tariffs Jul2023'!AI117,('Tariffs Jul2023'!K117-'Tariffs Jul2023'!J117)*('Tariffs Jul2023'!P117/100)*'Tariffs Jul2023'!AI117))</f>
        <v>265.84704545454537</v>
      </c>
      <c r="G123" s="59">
        <f>IF($C$5*'Tariffs Jul2023'!AK117/'Tariffs Jul2023'!AI117&lt;'Tariffs Jul2023'!K117,0,IF($C$5*'Tariffs Jul2023'!AK117/'Tariffs Jul2023'!AI117&lt;='Tariffs Jul2023'!L117,($C$5*'Tariffs Jul2023'!AK117/'Tariffs Jul2023'!AI117-'Tariffs Jul2023'!K117)*('Tariffs Jul2023'!Q117/100)*'Tariffs Jul2023'!AI117,('Tariffs Jul2023'!L117-'Tariffs Jul2023'!K117)*('Tariffs Jul2023'!Q117/100)*'Tariffs Jul2023'!AI117))</f>
        <v>0</v>
      </c>
      <c r="H123" s="59">
        <f>IF($C$5*'Tariffs Jul2023'!AK117/'Tariffs Jul2023'!AI117&lt;'Tariffs Jul2023'!L117,0,IF($C$5*'Tariffs Jul2023'!AK117/'Tariffs Jul2023'!AI117&lt;='Tariffs Jul2023'!M117,($C$5*'Tariffs Jul2023'!AK117/'Tariffs Jul2023'!AI117-'Tariffs Jul2023'!L117)*('Tariffs Jul2023'!R117/100)*'Tariffs Jul2023'!AI117,('Tariffs Jul2023'!M117-'Tariffs Jul2023'!L117)*('Tariffs Jul2023'!R117/100)*'Tariffs Jul2023'!AI117))</f>
        <v>0</v>
      </c>
      <c r="I123" s="69">
        <f>IF(($C$5*'Tariffs Jul2023'!AK117/'Tariffs Jul2023'!AI117&gt;'Tariffs Jul2023'!M117),($C$5*'Tariffs Jul2023'!AK117/'Tariffs Jul2023'!AI117-'Tariffs Jul2023'!M117)*'Tariffs Jul2023'!S117/100*'Tariffs Jul2023'!AI117,0)</f>
        <v>0</v>
      </c>
      <c r="J123" s="69">
        <f>IF($C$5*'Tariffs Jul2023'!AL117/'Tariffs Jul2023'!AJ117&gt;='Tariffs Jul2023'!J117,('Tariffs Jul2023'!J117*'Tariffs Jul2023'!U117/100)* 'Tariffs Jul2023'!AJ117,($C$5*'Tariffs Jul2023'!AL117/'Tariffs Jul2023'!AJ117*'Tariffs Jul2023'!U117/100)* 'Tariffs Jul2023'!AJ117)</f>
        <v>709.09090909090901</v>
      </c>
      <c r="K123" s="69">
        <f>IF($C$5*'Tariffs Jul2023'!AL117/'Tariffs Jul2023'!AJ117&lt;'Tariffs Jul2023'!J117,0,IF($C$5*'Tariffs Jul2023'!AL117/'Tariffs Jul2023'!AJ117&lt;='Tariffs Jul2023'!K117,($C$5*'Tariffs Jul2023'!AL117/'Tariffs Jul2023'!AJ117-'Tariffs Jul2023'!J117)*('Tariffs Jul2023'!V117/100)*'Tariffs Jul2023'!AJ117,('Tariffs Jul2023'!K117-'Tariffs Jul2023'!J117)*('Tariffs Jul2023'!V117/100)*'Tariffs Jul2023'!AJ117))</f>
        <v>446.62303636363623</v>
      </c>
      <c r="L123" s="69">
        <f>IF($C$5*'Tariffs Jul2023'!AL117/'Tariffs Jul2023'!AJ117&lt;'Tariffs Jul2023'!K117,0,IF($C$5*'Tariffs Jul2023'!AL117/'Tariffs Jul2023'!AJ117&lt;='Tariffs Jul2023'!L117,($C$5*'Tariffs Jul2023'!AL117/'Tariffs Jul2023'!AJ117-'Tariffs Jul2023'!K117)*('Tariffs Jul2023'!W117/100)*'Tariffs Jul2023'!AJ117,('Tariffs Jul2023'!L117-'Tariffs Jul2023'!K117)*('Tariffs Jul2023'!W117/100)*'Tariffs Jul2023'!AJ117))</f>
        <v>0</v>
      </c>
      <c r="M123" s="69">
        <f>IF($C$5*'Tariffs Jul2023'!AL117/'Tariffs Jul2023'!AJ117&lt;'Tariffs Jul2023'!L117,0,IF($C$5*'Tariffs Jul2023'!AL117/'Tariffs Jul2023'!AJ117&lt;='Tariffs Jul2023'!M117,($C$5*'Tariffs Jul2023'!AL117/'Tariffs Jul2023'!AJ117-'Tariffs Jul2023'!L117)*('Tariffs Jul2023'!X117/100)*'Tariffs Jul2023'!AJ117,('Tariffs Jul2023'!M117-'Tariffs Jul2023'!L117)*('Tariffs Jul2023'!X117/100)*'Tariffs Jul2023'!AJ117))</f>
        <v>0</v>
      </c>
      <c r="N123" s="69">
        <f>IF(($C$5*'Tariffs Jul2023'!AL117/'Tariffs Jul2023'!AJ117&gt;'Tariffs Jul2023'!M117),($C$5*'Tariffs Jul2023'!AL117/'Tariffs Jul2023'!AJ117-'Tariffs Jul2023'!M117)*'Tariffs Jul2023'!Y117/100*'Tariffs Jul2023'!AJ117,0)</f>
        <v>0</v>
      </c>
      <c r="O123" s="59">
        <f t="shared" si="195"/>
        <v>1836.1064454545451</v>
      </c>
      <c r="P123" s="503">
        <f t="shared" si="141"/>
        <v>2019.7170899999999</v>
      </c>
      <c r="Q123" s="59">
        <f t="shared" si="196"/>
        <v>2237.1750818181813</v>
      </c>
      <c r="R123" s="272">
        <f t="shared" si="197"/>
        <v>2460.8925899999995</v>
      </c>
      <c r="S123" s="40">
        <f>'Tariffs Jul2023'!AN117</f>
        <v>0</v>
      </c>
      <c r="T123" s="40">
        <f>'Tariffs Jul2023'!AO117</f>
        <v>0</v>
      </c>
      <c r="U123" s="40">
        <f>'Tariffs Jul2023'!AP117</f>
        <v>0</v>
      </c>
      <c r="V123" s="637">
        <f>'Tariffs Jul2023'!AQ117</f>
        <v>0</v>
      </c>
      <c r="W123" s="578" t="str">
        <f t="shared" si="193"/>
        <v>No discount</v>
      </c>
      <c r="X123" s="538" t="str">
        <f t="shared" si="194"/>
        <v>Exclusive</v>
      </c>
      <c r="Y123" s="535">
        <f>IF(AND(W123="Guaranteed off bill",X123="Inclusive"),((Q123*1.1)-((Q123*1.1)*S123/100))/1.1,IF(AND(W123="Guaranteed off usage",X123="Inclusive"),((Q123*1.1)-((P123*1.1)*T123/100))/1.1,IF(AND(W123="Guaranteed off bill",X123="Exclusive"),Q123-(Q123*S123/100),IF(AND(W123="Guaranteed off usage",X123="Exclusive"),Q123-(P123*T123/100),IF(X123="Inclusive",((Q123*1.1))/1.1,Q123)))))</f>
        <v>2237.1750818181813</v>
      </c>
      <c r="Z123" s="535">
        <f>IF(AND(W123="Pay-on-time off bill",X123="Inclusive"),((Y123*1.1)-((Y123*1.1)*U123/100))/1.1,IF(AND(W123="Pay-on-time off usage",X123="Inclusive"),((Y123*1.1)-((P123*1.1)*V123/100))/1.1,IF(AND(W123="Pay-on-time off bill",X123="Exclusive"),Y123-(Y123*U123/100),IF(AND(W123="Pay-on-time off usage",X123="Exclusive"),Y123-(P123*V123/100),IF(X123="Inclusive",((Y123*1.1))/1.1,Y123)))))</f>
        <v>2237.1750818181813</v>
      </c>
      <c r="AA123" s="542">
        <f t="shared" si="169"/>
        <v>2460.8925899999995</v>
      </c>
      <c r="AB123" s="609">
        <f t="shared" si="169"/>
        <v>2460.8925899999995</v>
      </c>
      <c r="AC123" s="625"/>
      <c r="AD123" s="625"/>
      <c r="AE123" s="625"/>
      <c r="AF123" s="625"/>
      <c r="AG123" s="625"/>
      <c r="AH123" s="625"/>
      <c r="AI123" s="625"/>
      <c r="AJ123" s="625"/>
      <c r="AK123" s="625"/>
      <c r="AL123" s="625"/>
      <c r="AM123" s="625"/>
      <c r="AN123" s="625"/>
      <c r="AO123" s="625"/>
      <c r="AP123" s="625"/>
      <c r="AQ123" s="625"/>
      <c r="AR123" s="625"/>
      <c r="AS123" s="625"/>
      <c r="AT123" s="625"/>
    </row>
    <row r="124" spans="1:46" ht="14" x14ac:dyDescent="0.15">
      <c r="A124" s="270" t="str">
        <f>'Tariffs Jul2023'!F118</f>
        <v>Origin Energy</v>
      </c>
      <c r="B124" s="40" t="str">
        <f>'Tariffs Jul2023'!D118</f>
        <v>AusNet Services Central 1</v>
      </c>
      <c r="C124" s="40" t="str">
        <f>'Tariffs Jul2023'!G118</f>
        <v>Go Variable</v>
      </c>
      <c r="D124" s="59">
        <f>365*'Tariffs Jul2023'!H118/100</f>
        <v>310.68136363636359</v>
      </c>
      <c r="E124" s="59">
        <f>((C$5*'Tariffs Jul2023'!AK118/'Tariffs Jul2023'!AI118)*('Tariffs Jul2023'!O118/100))*'Tariffs Jul2023'!AI118</f>
        <v>861.95454545454527</v>
      </c>
      <c r="F124" s="59">
        <v>0</v>
      </c>
      <c r="G124" s="59">
        <v>0</v>
      </c>
      <c r="H124" s="59">
        <v>0</v>
      </c>
      <c r="I124" s="69">
        <v>0</v>
      </c>
      <c r="J124" s="69">
        <f>((C$5*'Tariffs Jul2023'!AL118/'Tariffs Jul2023'!AJ118)*('Tariffs Jul2023'!U118/100))*'Tariffs Jul2023'!AJ118</f>
        <v>861.95454545454527</v>
      </c>
      <c r="K124" s="69">
        <v>0</v>
      </c>
      <c r="L124" s="69">
        <v>0</v>
      </c>
      <c r="M124" s="69">
        <v>0</v>
      </c>
      <c r="N124" s="69">
        <v>0</v>
      </c>
      <c r="O124" s="59">
        <f t="shared" si="195"/>
        <v>1723.9090909090905</v>
      </c>
      <c r="P124" s="503">
        <f t="shared" si="141"/>
        <v>1896.2999999999997</v>
      </c>
      <c r="Q124" s="59">
        <f t="shared" si="196"/>
        <v>2034.5904545454541</v>
      </c>
      <c r="R124" s="272">
        <f t="shared" si="197"/>
        <v>2238.0494999999996</v>
      </c>
      <c r="S124" s="40">
        <f>'Tariffs Jul2023'!AN118</f>
        <v>0</v>
      </c>
      <c r="T124" s="40">
        <f>'Tariffs Jul2023'!AO118</f>
        <v>0</v>
      </c>
      <c r="U124" s="40">
        <f>'Tariffs Jul2023'!AP118</f>
        <v>0</v>
      </c>
      <c r="V124" s="637">
        <f>'Tariffs Jul2023'!AQ118</f>
        <v>0</v>
      </c>
      <c r="W124" s="578" t="str">
        <f t="shared" si="193"/>
        <v>No discount</v>
      </c>
      <c r="X124" s="538" t="str">
        <f t="shared" si="194"/>
        <v>Inclusive</v>
      </c>
      <c r="Y124" s="535">
        <f>IF(AND(W124="Guaranteed off bill",X124="Inclusive"),((Q124*1.1)-((Q124*1.1)*S124/100))/1.1,IF(AND(W124="Guaranteed off usage",X124="Inclusive"),((Q124*1.1)-((P124*1.1)*T124/100))/1.1,IF(AND(W124="Guaranteed off bill",X124="Exclusive"),Q124-(Q124*S124/100),IF(AND(W124="Guaranteed off usage",X124="Exclusive"),Q124-(P124*T124/100),IF(X124="Inclusive",((Q124*1.1))/1.1,Q124)))))</f>
        <v>2034.5904545454541</v>
      </c>
      <c r="Z124" s="535">
        <f>IF(AND(W124="Pay-on-time off bill",X124="Inclusive"),((Y124*1.1)-((Y124*1.1)*U124/100))/1.1,IF(AND(W124="Pay-on-time off usage",X124="Inclusive"),((Y124*1.1)-((P124*1.1)*V124/100))/1.1,IF(AND(W124="Pay-on-time off bill",X124="Exclusive"),Y124-(Y124*U124/100),IF(AND(W124="Pay-on-time off usage",X124="Exclusive"),Y124-(P124*V124/100),IF(X124="Inclusive",((Y124*1.1))/1.1,Y124)))))</f>
        <v>2034.5904545454541</v>
      </c>
      <c r="AA124" s="542">
        <f t="shared" si="169"/>
        <v>2238.0494999999996</v>
      </c>
      <c r="AB124" s="609">
        <f t="shared" si="169"/>
        <v>2238.0494999999996</v>
      </c>
      <c r="AC124" s="625"/>
      <c r="AD124" s="625"/>
      <c r="AE124" s="625"/>
      <c r="AF124" s="625"/>
      <c r="AG124" s="625"/>
      <c r="AH124" s="625"/>
      <c r="AI124" s="625"/>
      <c r="AJ124" s="625"/>
      <c r="AK124" s="625"/>
      <c r="AL124" s="625"/>
      <c r="AM124" s="625"/>
      <c r="AN124" s="625"/>
      <c r="AO124" s="625"/>
      <c r="AP124" s="625"/>
      <c r="AQ124" s="625"/>
      <c r="AR124" s="625"/>
      <c r="AS124" s="625"/>
      <c r="AT124" s="625"/>
    </row>
    <row r="125" spans="1:46" ht="14" x14ac:dyDescent="0.15">
      <c r="A125" s="270" t="str">
        <f>'Tariffs Jul2023'!F119</f>
        <v>Red Energy</v>
      </c>
      <c r="B125" s="40" t="str">
        <f>'Tariffs Jul2023'!D119</f>
        <v>AusNet Services Central 1</v>
      </c>
      <c r="C125" s="40" t="str">
        <f>'Tariffs Jul2023'!G119</f>
        <v>Living Energy Saver</v>
      </c>
      <c r="D125" s="59">
        <f>365*'Tariffs Jul2023'!H119/100</f>
        <v>313.89999999999998</v>
      </c>
      <c r="E125" s="59">
        <f>IF($C$5*'Tariffs Jul2023'!AK119/'Tariffs Jul2023'!AI119&gt;='Tariffs Jul2023'!J119,( 'Tariffs Jul2023'!J119*'Tariffs Jul2023'!O119/100)* 'Tariffs Jul2023'!AI119,($C$5*'Tariffs Jul2023'!AK119/'Tariffs Jul2023'!AI119*'Tariffs Jul2023'!O119/100)* 'Tariffs Jul2023'!AI119)</f>
        <v>386.18181818181819</v>
      </c>
      <c r="F125" s="59">
        <f>IF($C$5*'Tariffs Jul2023'!AK119/'Tariffs Jul2023'!AI119&lt;'Tariffs Jul2023'!J119,0,IF($C$5*'Tariffs Jul2023'!AK119/'Tariffs Jul2023'!AI119&lt;='Tariffs Jul2023'!K119,($C$5*'Tariffs Jul2023'!AK119/'Tariffs Jul2023'!AI119-'Tariffs Jul2023'!J119)*('Tariffs Jul2023'!P119/100)*'Tariffs Jul2023'!AI119,('Tariffs Jul2023'!K119-'Tariffs Jul2023'!J119)*('Tariffs Jul2023'!P119/100)*'Tariffs Jul2023'!AI119))</f>
        <v>287.93279999999993</v>
      </c>
      <c r="G125" s="59">
        <f>IF($C$5*'Tariffs Jul2023'!AK119/'Tariffs Jul2023'!AI119&lt;'Tariffs Jul2023'!K119,0,IF($C$5*'Tariffs Jul2023'!AK119/'Tariffs Jul2023'!AI119&lt;='Tariffs Jul2023'!L119,($C$5*'Tariffs Jul2023'!AK119/'Tariffs Jul2023'!AI119-'Tariffs Jul2023'!K119)*('Tariffs Jul2023'!Q119/100)*'Tariffs Jul2023'!AI119,('Tariffs Jul2023'!L119-'Tariffs Jul2023'!K119)*('Tariffs Jul2023'!Q119/100)*'Tariffs Jul2023'!AI119))</f>
        <v>0</v>
      </c>
      <c r="H125" s="59">
        <f>IF($C$5*'Tariffs Jul2023'!AK119/'Tariffs Jul2023'!AI119&lt;'Tariffs Jul2023'!L119,0,IF($C$5*'Tariffs Jul2023'!AK119/'Tariffs Jul2023'!AI119&lt;='Tariffs Jul2023'!M119,($C$5*'Tariffs Jul2023'!AK119/'Tariffs Jul2023'!AI119-'Tariffs Jul2023'!L119)*('Tariffs Jul2023'!R119/100)*'Tariffs Jul2023'!AI119,('Tariffs Jul2023'!M119-'Tariffs Jul2023'!L119)*('Tariffs Jul2023'!R119/100)*'Tariffs Jul2023'!AI119))</f>
        <v>0</v>
      </c>
      <c r="I125" s="69">
        <f>IF(($C$5*'Tariffs Jul2023'!AK119/'Tariffs Jul2023'!AI119&gt;'Tariffs Jul2023'!M119),($C$5*'Tariffs Jul2023'!AK119/'Tariffs Jul2023'!AI119-'Tariffs Jul2023'!M119)*'Tariffs Jul2023'!S119/100*'Tariffs Jul2023'!AI119,0)</f>
        <v>0</v>
      </c>
      <c r="J125" s="69">
        <f>IF($C$5*'Tariffs Jul2023'!AL119/'Tariffs Jul2023'!AJ119&gt;='Tariffs Jul2023'!J119,('Tariffs Jul2023'!J119*'Tariffs Jul2023'!U119/100)* 'Tariffs Jul2023'!AJ119,($C$5*'Tariffs Jul2023'!AL119/'Tariffs Jul2023'!AJ119*'Tariffs Jul2023'!U119/100)* 'Tariffs Jul2023'!AJ119)</f>
        <v>619.63636363636363</v>
      </c>
      <c r="K125" s="69">
        <f>IF($C$5*'Tariffs Jul2023'!AL119/'Tariffs Jul2023'!AJ119&lt;'Tariffs Jul2023'!J119,0,IF($C$5*'Tariffs Jul2023'!AL119/'Tariffs Jul2023'!AJ119&lt;='Tariffs Jul2023'!K119,($C$5*'Tariffs Jul2023'!AL119/'Tariffs Jul2023'!AJ119-'Tariffs Jul2023'!J119)*('Tariffs Jul2023'!V119/100)*'Tariffs Jul2023'!AJ119,('Tariffs Jul2023'!K119-'Tariffs Jul2023'!J119)*('Tariffs Jul2023'!V119/100)*'Tariffs Jul2023'!AJ119))</f>
        <v>412.26741818181802</v>
      </c>
      <c r="L125" s="69">
        <f>IF($C$5*'Tariffs Jul2023'!AL119/'Tariffs Jul2023'!AJ119&lt;'Tariffs Jul2023'!K119,0,IF($C$5*'Tariffs Jul2023'!AL119/'Tariffs Jul2023'!AJ119&lt;='Tariffs Jul2023'!L119,($C$5*'Tariffs Jul2023'!AL119/'Tariffs Jul2023'!AJ119-'Tariffs Jul2023'!K119)*('Tariffs Jul2023'!W119/100)*'Tariffs Jul2023'!AJ119,('Tariffs Jul2023'!L119-'Tariffs Jul2023'!K119)*('Tariffs Jul2023'!W119/100)*'Tariffs Jul2023'!AJ119))</f>
        <v>0</v>
      </c>
      <c r="M125" s="69">
        <f>IF($C$5*'Tariffs Jul2023'!AL119/'Tariffs Jul2023'!AJ119&lt;'Tariffs Jul2023'!L119,0,IF($C$5*'Tariffs Jul2023'!AL119/'Tariffs Jul2023'!AJ119&lt;='Tariffs Jul2023'!M119,($C$5*'Tariffs Jul2023'!AL119/'Tariffs Jul2023'!AJ119-'Tariffs Jul2023'!L119)*('Tariffs Jul2023'!X119/100)*'Tariffs Jul2023'!AJ119,('Tariffs Jul2023'!M119-'Tariffs Jul2023'!L119)*('Tariffs Jul2023'!X119/100)*'Tariffs Jul2023'!AJ119))</f>
        <v>0</v>
      </c>
      <c r="N125" s="69">
        <f>IF(($C$5*'Tariffs Jul2023'!AL119/'Tariffs Jul2023'!AJ119&gt;'Tariffs Jul2023'!M119),($C$5*'Tariffs Jul2023'!AL119/'Tariffs Jul2023'!AJ119-'Tariffs Jul2023'!M119)*'Tariffs Jul2023'!Y119/100*'Tariffs Jul2023'!AJ119,0)</f>
        <v>0</v>
      </c>
      <c r="O125" s="59">
        <f t="shared" si="195"/>
        <v>1706.0183999999995</v>
      </c>
      <c r="P125" s="503">
        <f t="shared" si="141"/>
        <v>1876.6202399999995</v>
      </c>
      <c r="Q125" s="59">
        <f t="shared" si="196"/>
        <v>2019.9183999999996</v>
      </c>
      <c r="R125" s="272">
        <f t="shared" si="197"/>
        <v>2221.9102399999997</v>
      </c>
      <c r="S125" s="40">
        <f>'Tariffs Jul2023'!AN119</f>
        <v>0</v>
      </c>
      <c r="T125" s="40">
        <f>'Tariffs Jul2023'!AO119</f>
        <v>0</v>
      </c>
      <c r="U125" s="40">
        <f>'Tariffs Jul2023'!AP119</f>
        <v>0</v>
      </c>
      <c r="V125" s="637">
        <f>'Tariffs Jul2023'!AQ119</f>
        <v>0</v>
      </c>
      <c r="W125" s="578" t="str">
        <f t="shared" si="193"/>
        <v>No discount</v>
      </c>
      <c r="X125" s="538" t="str">
        <f t="shared" si="194"/>
        <v>Inclusive</v>
      </c>
      <c r="Y125" s="535">
        <f t="shared" ref="Y125:Y127" si="200">IF(AND(W125="Guaranteed off bill",X125="Inclusive"),((Q125*1.1)-((Q125*1.1)*S125/100))/1.1,IF(AND(W125="Guaranteed off usage",X125="Inclusive"),((Q125*1.1)-((P125*1.1)*T125/100))/1.1,IF(AND(W125="Guaranteed off bill",X125="Exclusive"),Q125-(Q125*S125/100),IF(AND(W125="Guaranteed off usage",X125="Exclusive"),Q125-(P125*T125/100),IF(X125="Inclusive",((Q125*1.1))/1.1,Q125)))))</f>
        <v>2019.9183999999996</v>
      </c>
      <c r="Z125" s="535">
        <f t="shared" ref="Z125:Z127" si="201">IF(AND(W125="Pay-on-time off bill",X125="Inclusive"),((Y125*1.1)-((Y125*1.1)*U125/100))/1.1,IF(AND(W125="Pay-on-time off usage",X125="Inclusive"),((Y125*1.1)-((P125*1.1)*V125/100))/1.1,IF(AND(W125="Pay-on-time off bill",X125="Exclusive"),Y125-(Y125*U125/100),IF(AND(W125="Pay-on-time off usage",X125="Exclusive"),Y125-(P125*V125/100),IF(X125="Inclusive",((Y125*1.1))/1.1,Y125)))))</f>
        <v>2019.9183999999996</v>
      </c>
      <c r="AA125" s="542">
        <f t="shared" ref="AA125:AB131" si="202">Y125*1.1</f>
        <v>2221.9102399999997</v>
      </c>
      <c r="AB125" s="609">
        <f t="shared" si="202"/>
        <v>2221.9102399999997</v>
      </c>
      <c r="AC125" s="625"/>
      <c r="AD125" s="625"/>
      <c r="AE125" s="625"/>
      <c r="AF125" s="625"/>
      <c r="AG125" s="625"/>
      <c r="AH125" s="625"/>
      <c r="AI125" s="625"/>
      <c r="AJ125" s="625"/>
      <c r="AK125" s="625"/>
      <c r="AL125" s="625"/>
      <c r="AM125" s="625"/>
      <c r="AN125" s="625"/>
      <c r="AO125" s="625"/>
      <c r="AP125" s="625"/>
      <c r="AQ125" s="625"/>
      <c r="AR125" s="625"/>
      <c r="AS125" s="625"/>
      <c r="AT125" s="625"/>
    </row>
    <row r="126" spans="1:46" ht="14" x14ac:dyDescent="0.15">
      <c r="A126" s="270" t="str">
        <f>'Tariffs Jul2023'!F120</f>
        <v>Simply Energy</v>
      </c>
      <c r="B126" s="40" t="str">
        <f>'Tariffs Jul2023'!D120</f>
        <v>AusNet Services Central 1</v>
      </c>
      <c r="C126" s="40" t="str">
        <f>'Tariffs Jul2023'!G120</f>
        <v>Blue Perks</v>
      </c>
      <c r="D126" s="59">
        <f>365*'Tariffs Jul2023'!H120/100</f>
        <v>339.68227272727273</v>
      </c>
      <c r="E126" s="59">
        <f>IF($C$5*'Tariffs Jul2023'!AK120/'Tariffs Jul2023'!AI120&gt;='Tariffs Jul2023'!J120,( 'Tariffs Jul2023'!J120*'Tariffs Jul2023'!O120/100)* 'Tariffs Jul2023'!AI120,($C$5*'Tariffs Jul2023'!AK120/'Tariffs Jul2023'!AI120*'Tariffs Jul2023'!O120/100)* 'Tariffs Jul2023'!AI120)</f>
        <v>420</v>
      </c>
      <c r="F126" s="59">
        <f>IF($C$5*'Tariffs Jul2023'!AK120/'Tariffs Jul2023'!AI120&lt;'Tariffs Jul2023'!J120,0,IF($C$5*'Tariffs Jul2023'!AK120/'Tariffs Jul2023'!AI120&lt;='Tariffs Jul2023'!K120,($C$5*'Tariffs Jul2023'!AK120/'Tariffs Jul2023'!AI120-'Tariffs Jul2023'!J120)*('Tariffs Jul2023'!P120/100)*'Tariffs Jul2023'!AI120,('Tariffs Jul2023'!K120-'Tariffs Jul2023'!J120)*('Tariffs Jul2023'!P120/100)*'Tariffs Jul2023'!AI120))</f>
        <v>309.20056363636354</v>
      </c>
      <c r="G126" s="59">
        <f>IF($C$5*'Tariffs Jul2023'!AK120/'Tariffs Jul2023'!AI120&lt;'Tariffs Jul2023'!K120,0,IF($C$5*'Tariffs Jul2023'!AK120/'Tariffs Jul2023'!AI120&lt;='Tariffs Jul2023'!L120,($C$5*'Tariffs Jul2023'!AK120/'Tariffs Jul2023'!AI120-'Tariffs Jul2023'!K120)*('Tariffs Jul2023'!Q120/100)*'Tariffs Jul2023'!AI120,('Tariffs Jul2023'!L120-'Tariffs Jul2023'!K120)*('Tariffs Jul2023'!Q120/100)*'Tariffs Jul2023'!AI120))</f>
        <v>0</v>
      </c>
      <c r="H126" s="59">
        <f>IF($C$5*'Tariffs Jul2023'!AK120/'Tariffs Jul2023'!AI120&lt;'Tariffs Jul2023'!L120,0,IF($C$5*'Tariffs Jul2023'!AK120/'Tariffs Jul2023'!AI120&lt;='Tariffs Jul2023'!M120,($C$5*'Tariffs Jul2023'!AK120/'Tariffs Jul2023'!AI120-'Tariffs Jul2023'!L120)*('Tariffs Jul2023'!R120/100)*'Tariffs Jul2023'!AI120,('Tariffs Jul2023'!M120-'Tariffs Jul2023'!L120)*('Tariffs Jul2023'!R120/100)*'Tariffs Jul2023'!AI120))</f>
        <v>0</v>
      </c>
      <c r="I126" s="69">
        <f>IF(($C$5*'Tariffs Jul2023'!AK120/'Tariffs Jul2023'!AI120&gt;'Tariffs Jul2023'!M120),($C$5*'Tariffs Jul2023'!AK120/'Tariffs Jul2023'!AI120-'Tariffs Jul2023'!M120)*'Tariffs Jul2023'!S120/100*'Tariffs Jul2023'!AI120,0)</f>
        <v>0</v>
      </c>
      <c r="J126" s="69">
        <f>IF($C$5*'Tariffs Jul2023'!AL120/'Tariffs Jul2023'!AJ120&gt;='Tariffs Jul2023'!J120,('Tariffs Jul2023'!J120*'Tariffs Jul2023'!U120/100)* 'Tariffs Jul2023'!AJ120,($C$5*'Tariffs Jul2023'!AL120/'Tariffs Jul2023'!AJ120*'Tariffs Jul2023'!U120/100)* 'Tariffs Jul2023'!AJ120)</f>
        <v>643.63636363636363</v>
      </c>
      <c r="K126" s="69">
        <f>IF($C$5*'Tariffs Jul2023'!AL120/'Tariffs Jul2023'!AJ120&lt;'Tariffs Jul2023'!J120,0,IF($C$5*'Tariffs Jul2023'!AL120/'Tariffs Jul2023'!AJ120&lt;='Tariffs Jul2023'!K120,($C$5*'Tariffs Jul2023'!AL120/'Tariffs Jul2023'!AJ120-'Tariffs Jul2023'!J120)*('Tariffs Jul2023'!V120/100)*'Tariffs Jul2023'!AJ120,('Tariffs Jul2023'!K120-'Tariffs Jul2023'!J120)*('Tariffs Jul2023'!V120/100)*'Tariffs Jul2023'!AJ120))</f>
        <v>464.61883636363621</v>
      </c>
      <c r="L126" s="69">
        <f>IF($C$5*'Tariffs Jul2023'!AL120/'Tariffs Jul2023'!AJ120&lt;'Tariffs Jul2023'!K120,0,IF($C$5*'Tariffs Jul2023'!AL120/'Tariffs Jul2023'!AJ120&lt;='Tariffs Jul2023'!L120,($C$5*'Tariffs Jul2023'!AL120/'Tariffs Jul2023'!AJ120-'Tariffs Jul2023'!K120)*('Tariffs Jul2023'!W120/100)*'Tariffs Jul2023'!AJ120,('Tariffs Jul2023'!L120-'Tariffs Jul2023'!K120)*('Tariffs Jul2023'!W120/100)*'Tariffs Jul2023'!AJ120))</f>
        <v>0</v>
      </c>
      <c r="M126" s="69">
        <f>IF($C$5*'Tariffs Jul2023'!AL120/'Tariffs Jul2023'!AJ120&lt;'Tariffs Jul2023'!L120,0,IF($C$5*'Tariffs Jul2023'!AL120/'Tariffs Jul2023'!AJ120&lt;='Tariffs Jul2023'!M120,($C$5*'Tariffs Jul2023'!AL120/'Tariffs Jul2023'!AJ120-'Tariffs Jul2023'!L120)*('Tariffs Jul2023'!X120/100)*'Tariffs Jul2023'!AJ120,('Tariffs Jul2023'!M120-'Tariffs Jul2023'!L120)*('Tariffs Jul2023'!X120/100)*'Tariffs Jul2023'!AJ120))</f>
        <v>0</v>
      </c>
      <c r="N126" s="69">
        <f>IF(($C$5*'Tariffs Jul2023'!AL120/'Tariffs Jul2023'!AJ120&gt;'Tariffs Jul2023'!M120),($C$5*'Tariffs Jul2023'!AL120/'Tariffs Jul2023'!AJ120-'Tariffs Jul2023'!M120)*'Tariffs Jul2023'!Y120/100*'Tariffs Jul2023'!AJ120,0)</f>
        <v>0</v>
      </c>
      <c r="O126" s="59">
        <f t="shared" si="195"/>
        <v>1837.4557636363634</v>
      </c>
      <c r="P126" s="503">
        <f t="shared" si="141"/>
        <v>2021.2013399999998</v>
      </c>
      <c r="Q126" s="59">
        <f t="shared" si="196"/>
        <v>2177.1380363636363</v>
      </c>
      <c r="R126" s="272">
        <f t="shared" si="197"/>
        <v>2394.8518400000003</v>
      </c>
      <c r="S126" s="40">
        <f>'Tariffs Jul2023'!AN120</f>
        <v>10</v>
      </c>
      <c r="T126" s="40">
        <f>'Tariffs Jul2023'!AO120</f>
        <v>0</v>
      </c>
      <c r="U126" s="40">
        <f>'Tariffs Jul2023'!AP120</f>
        <v>0</v>
      </c>
      <c r="V126" s="637">
        <f>'Tariffs Jul2023'!AQ120</f>
        <v>0</v>
      </c>
      <c r="W126" s="578" t="str">
        <f t="shared" si="193"/>
        <v>Guaranteed off bill</v>
      </c>
      <c r="X126" s="538" t="str">
        <f t="shared" si="194"/>
        <v>Exclusive</v>
      </c>
      <c r="Y126" s="535">
        <f t="shared" si="200"/>
        <v>1959.4242327272727</v>
      </c>
      <c r="Z126" s="535">
        <f t="shared" si="201"/>
        <v>1959.4242327272727</v>
      </c>
      <c r="AA126" s="542">
        <f t="shared" si="202"/>
        <v>2155.3666560000001</v>
      </c>
      <c r="AB126" s="609">
        <f t="shared" si="202"/>
        <v>2155.3666560000001</v>
      </c>
      <c r="AC126" s="625"/>
      <c r="AD126" s="625"/>
      <c r="AE126" s="625"/>
      <c r="AF126" s="625"/>
      <c r="AG126" s="625"/>
      <c r="AH126" s="625"/>
      <c r="AI126" s="625"/>
      <c r="AJ126" s="625"/>
      <c r="AK126" s="625"/>
      <c r="AL126" s="625"/>
      <c r="AM126" s="625"/>
      <c r="AN126" s="625"/>
      <c r="AO126" s="625"/>
      <c r="AP126" s="625"/>
      <c r="AQ126" s="625"/>
      <c r="AR126" s="625"/>
      <c r="AS126" s="625"/>
      <c r="AT126" s="625"/>
    </row>
    <row r="127" spans="1:46" ht="14" x14ac:dyDescent="0.15">
      <c r="A127" s="270" t="str">
        <f>'Tariffs Jul2023'!F121</f>
        <v>GloBird Energy</v>
      </c>
      <c r="B127" s="40" t="str">
        <f>'Tariffs Jul2023'!D121</f>
        <v>AusNet Services Central 1</v>
      </c>
      <c r="C127" s="40" t="str">
        <f>'Tariffs Jul2023'!G121</f>
        <v>GloSave</v>
      </c>
      <c r="D127" s="59">
        <f>365*'Tariffs Jul2023'!H121/100</f>
        <v>328.49999999999994</v>
      </c>
      <c r="E127" s="59">
        <f>IF($C$5*'Tariffs Jul2023'!AK121/'Tariffs Jul2023'!AI121&gt;='Tariffs Jul2023'!J121,( 'Tariffs Jul2023'!J121*'Tariffs Jul2023'!O121/100)* 'Tariffs Jul2023'!AI121,($C$5*'Tariffs Jul2023'!AK121/'Tariffs Jul2023'!AI121*'Tariffs Jul2023'!O121/100)* 'Tariffs Jul2023'!AI121)</f>
        <v>343.63636363636363</v>
      </c>
      <c r="F127" s="59">
        <f>IF($C$5*'Tariffs Jul2023'!AK121/'Tariffs Jul2023'!AI121&lt;'Tariffs Jul2023'!J121,0,IF($C$5*'Tariffs Jul2023'!AK121/'Tariffs Jul2023'!AI121&lt;='Tariffs Jul2023'!K121,($C$5*'Tariffs Jul2023'!AK121/'Tariffs Jul2023'!AI121-'Tariffs Jul2023'!J121)*('Tariffs Jul2023'!P121/100)*'Tariffs Jul2023'!AI121,('Tariffs Jul2023'!K121-'Tariffs Jul2023'!J121)*('Tariffs Jul2023'!P121/100)*'Tariffs Jul2023'!AI121))</f>
        <v>0</v>
      </c>
      <c r="G127" s="59">
        <f>IF($C$5*'Tariffs Jul2023'!AK121/'Tariffs Jul2023'!AI121&lt;'Tariffs Jul2023'!K121,0,IF($C$5*'Tariffs Jul2023'!AK121/'Tariffs Jul2023'!AI121&lt;='Tariffs Jul2023'!L121,($C$5*'Tariffs Jul2023'!AK121/'Tariffs Jul2023'!AI121-'Tariffs Jul2023'!K121)*('Tariffs Jul2023'!Q121/100)*'Tariffs Jul2023'!AI121,('Tariffs Jul2023'!L121-'Tariffs Jul2023'!K121)*('Tariffs Jul2023'!Q121/100)*'Tariffs Jul2023'!AI121))</f>
        <v>0</v>
      </c>
      <c r="H127" s="59">
        <f>IF($C$5*'Tariffs Jul2023'!AK121/'Tariffs Jul2023'!AI121&lt;'Tariffs Jul2023'!L121,0,IF($C$5*'Tariffs Jul2023'!AK121/'Tariffs Jul2023'!AI121&lt;='Tariffs Jul2023'!M121,($C$5*'Tariffs Jul2023'!AK121/'Tariffs Jul2023'!AI121-'Tariffs Jul2023'!L121)*('Tariffs Jul2023'!R121/100)*'Tariffs Jul2023'!AI121,('Tariffs Jul2023'!M121-'Tariffs Jul2023'!L121)*('Tariffs Jul2023'!R121/100)*'Tariffs Jul2023'!AI121))</f>
        <v>0</v>
      </c>
      <c r="I127" s="69">
        <f>IF(($C$5*'Tariffs Jul2023'!AK121/'Tariffs Jul2023'!AI121&gt;'Tariffs Jul2023'!M121),($C$5*'Tariffs Jul2023'!AK121/'Tariffs Jul2023'!AI121-'Tariffs Jul2023'!M121)*'Tariffs Jul2023'!S121/100*'Tariffs Jul2023'!AI121,0)</f>
        <v>239.6713363636363</v>
      </c>
      <c r="J127" s="69">
        <f>IF($C$5*'Tariffs Jul2023'!AL121/'Tariffs Jul2023'!AJ121&gt;='Tariffs Jul2023'!J121,('Tariffs Jul2023'!J121*'Tariffs Jul2023'!U121/100)* 'Tariffs Jul2023'!AJ121,($C$5*'Tariffs Jul2023'!AL121/'Tariffs Jul2023'!AJ121*'Tariffs Jul2023'!U121/100)* 'Tariffs Jul2023'!AJ121)</f>
        <v>687.27272727272725</v>
      </c>
      <c r="K127" s="69">
        <f>IF($C$5*'Tariffs Jul2023'!AL121/'Tariffs Jul2023'!AJ121&lt;'Tariffs Jul2023'!J121,0,IF($C$5*'Tariffs Jul2023'!AL121/'Tariffs Jul2023'!AJ121&lt;='Tariffs Jul2023'!K121,($C$5*'Tariffs Jul2023'!AL121/'Tariffs Jul2023'!AJ121-'Tariffs Jul2023'!J121)*('Tariffs Jul2023'!V121/100)*'Tariffs Jul2023'!AJ121,('Tariffs Jul2023'!K121-'Tariffs Jul2023'!J121)*('Tariffs Jul2023'!V121/100)*'Tariffs Jul2023'!AJ121))</f>
        <v>0</v>
      </c>
      <c r="L127" s="69">
        <f>IF($C$5*'Tariffs Jul2023'!AL121/'Tariffs Jul2023'!AJ121&lt;'Tariffs Jul2023'!K121,0,IF($C$5*'Tariffs Jul2023'!AL121/'Tariffs Jul2023'!AJ121&lt;='Tariffs Jul2023'!L121,($C$5*'Tariffs Jul2023'!AL121/'Tariffs Jul2023'!AJ121-'Tariffs Jul2023'!K121)*('Tariffs Jul2023'!W121/100)*'Tariffs Jul2023'!AJ121,('Tariffs Jul2023'!L121-'Tariffs Jul2023'!K121)*('Tariffs Jul2023'!W121/100)*'Tariffs Jul2023'!AJ121))</f>
        <v>0</v>
      </c>
      <c r="M127" s="69">
        <f>IF($C$5*'Tariffs Jul2023'!AL121/'Tariffs Jul2023'!AJ121&lt;'Tariffs Jul2023'!L121,0,IF($C$5*'Tariffs Jul2023'!AL121/'Tariffs Jul2023'!AJ121&lt;='Tariffs Jul2023'!M121,($C$5*'Tariffs Jul2023'!AL121/'Tariffs Jul2023'!AJ121-'Tariffs Jul2023'!L121)*('Tariffs Jul2023'!X121/100)*'Tariffs Jul2023'!AJ121,('Tariffs Jul2023'!M121-'Tariffs Jul2023'!L121)*('Tariffs Jul2023'!X121/100)*'Tariffs Jul2023'!AJ121))</f>
        <v>0</v>
      </c>
      <c r="N127" s="69">
        <f>IF(($C$5*'Tariffs Jul2023'!AL121/'Tariffs Jul2023'!AJ121&gt;'Tariffs Jul2023'!M121),($C$5*'Tariffs Jul2023'!AL121/'Tariffs Jul2023'!AJ121-'Tariffs Jul2023'!M121)*'Tariffs Jul2023'!Y121/100*'Tariffs Jul2023'!AJ121,0)</f>
        <v>479.3426727272726</v>
      </c>
      <c r="O127" s="59">
        <f t="shared" si="195"/>
        <v>1749.9231</v>
      </c>
      <c r="P127" s="503">
        <f t="shared" si="141"/>
        <v>1924.9154100000001</v>
      </c>
      <c r="Q127" s="59">
        <f t="shared" si="196"/>
        <v>2078.4231</v>
      </c>
      <c r="R127" s="272">
        <f t="shared" si="197"/>
        <v>2286.26541</v>
      </c>
      <c r="S127" s="40">
        <f>'Tariffs Jul2023'!AN121</f>
        <v>0</v>
      </c>
      <c r="T127" s="40">
        <f>'Tariffs Jul2023'!AO121</f>
        <v>0</v>
      </c>
      <c r="U127" s="40">
        <f>'Tariffs Jul2023'!AP121</f>
        <v>2</v>
      </c>
      <c r="V127" s="637">
        <f>'Tariffs Jul2023'!AQ121</f>
        <v>0</v>
      </c>
      <c r="W127" s="578" t="str">
        <f t="shared" si="193"/>
        <v>Pay-on-time off bill</v>
      </c>
      <c r="X127" s="538" t="str">
        <f t="shared" si="194"/>
        <v>Exclusive</v>
      </c>
      <c r="Y127" s="535">
        <f t="shared" si="200"/>
        <v>2078.4231</v>
      </c>
      <c r="Z127" s="535">
        <f t="shared" si="201"/>
        <v>2036.854638</v>
      </c>
      <c r="AA127" s="542">
        <f t="shared" si="202"/>
        <v>2286.26541</v>
      </c>
      <c r="AB127" s="609">
        <f t="shared" si="202"/>
        <v>2240.5401018000002</v>
      </c>
      <c r="AC127" s="625"/>
      <c r="AD127" s="625"/>
      <c r="AE127" s="625"/>
      <c r="AF127" s="625"/>
      <c r="AG127" s="625"/>
      <c r="AH127" s="625"/>
      <c r="AI127" s="625"/>
      <c r="AJ127" s="625"/>
      <c r="AK127" s="625"/>
      <c r="AL127" s="625"/>
      <c r="AM127" s="625"/>
      <c r="AN127" s="625"/>
      <c r="AO127" s="625"/>
      <c r="AP127" s="625"/>
      <c r="AQ127" s="625"/>
      <c r="AR127" s="625"/>
      <c r="AS127" s="625"/>
      <c r="AT127" s="625"/>
    </row>
    <row r="128" spans="1:46" ht="14" x14ac:dyDescent="0.15">
      <c r="A128" s="270" t="str">
        <f>'Tariffs Jul2023'!F122</f>
        <v>1st Energy</v>
      </c>
      <c r="B128" s="40" t="str">
        <f>'Tariffs Jul2023'!D122</f>
        <v>AusNet Services Central 1</v>
      </c>
      <c r="C128" s="40" t="str">
        <f>'Tariffs Jul2023'!G122</f>
        <v>1st Saver Plus</v>
      </c>
      <c r="D128" s="59">
        <f>365*'Tariffs Jul2023'!H122/100</f>
        <v>354.05</v>
      </c>
      <c r="E128" s="59">
        <f>IF($C$5*'Tariffs Jul2023'!AK122/'Tariffs Jul2023'!AI122&gt;='Tariffs Jul2023'!J122,( 'Tariffs Jul2023'!J122*'Tariffs Jul2023'!O122/100)* 'Tariffs Jul2023'!AI122,($C$5*'Tariffs Jul2023'!AK122/'Tariffs Jul2023'!AI122*'Tariffs Jul2023'!O122/100)* 'Tariffs Jul2023'!AI122)</f>
        <v>683.99999999999989</v>
      </c>
      <c r="F128" s="59">
        <f>IF($C$5*'Tariffs Jul2023'!AK122/'Tariffs Jul2023'!AI122&lt;'Tariffs Jul2023'!J122,0,IF($C$5*'Tariffs Jul2023'!AK122/'Tariffs Jul2023'!AI122&lt;='Tariffs Jul2023'!K122,($C$5*'Tariffs Jul2023'!AK122/'Tariffs Jul2023'!AI122-'Tariffs Jul2023'!J122)*('Tariffs Jul2023'!P122/100)*'Tariffs Jul2023'!AI122,('Tariffs Jul2023'!K122-'Tariffs Jul2023'!J122)*('Tariffs Jul2023'!P122/100)*'Tariffs Jul2023'!AI122))</f>
        <v>459</v>
      </c>
      <c r="G128" s="59">
        <f>IF($C$5*'Tariffs Jul2023'!AK122/'Tariffs Jul2023'!AI122&lt;'Tariffs Jul2023'!K122,0,IF($C$5*'Tariffs Jul2023'!AK122/'Tariffs Jul2023'!AI122&lt;='Tariffs Jul2023'!L122,($C$5*'Tariffs Jul2023'!AK122/'Tariffs Jul2023'!AI122-'Tariffs Jul2023'!K122)*('Tariffs Jul2023'!Q122/100)*'Tariffs Jul2023'!AI122,('Tariffs Jul2023'!L122-'Tariffs Jul2023'!K122)*('Tariffs Jul2023'!Q122/100)*'Tariffs Jul2023'!AI122))</f>
        <v>0</v>
      </c>
      <c r="H128" s="59">
        <f>IF($C$5*'Tariffs Jul2023'!AK122/'Tariffs Jul2023'!AI122&lt;'Tariffs Jul2023'!L122,0,IF($C$5*'Tariffs Jul2023'!AK122/'Tariffs Jul2023'!AI122&lt;='Tariffs Jul2023'!M122,($C$5*'Tariffs Jul2023'!AK122/'Tariffs Jul2023'!AI122-'Tariffs Jul2023'!L122)*('Tariffs Jul2023'!R122/100)*'Tariffs Jul2023'!AI122,('Tariffs Jul2023'!M122-'Tariffs Jul2023'!L122)*('Tariffs Jul2023'!R122/100)*'Tariffs Jul2023'!AI122))</f>
        <v>0</v>
      </c>
      <c r="I128" s="69">
        <f>IF(($C$5*'Tariffs Jul2023'!AK122/'Tariffs Jul2023'!AI122&gt;'Tariffs Jul2023'!M122),($C$5*'Tariffs Jul2023'!AK122/'Tariffs Jul2023'!AI122-'Tariffs Jul2023'!M122)*'Tariffs Jul2023'!S122/100*'Tariffs Jul2023'!AI122,0)</f>
        <v>0</v>
      </c>
      <c r="J128" s="69">
        <f>IF($C$5*'Tariffs Jul2023'!AL122/'Tariffs Jul2023'!AJ122&gt;='Tariffs Jul2023'!J122,('Tariffs Jul2023'!J122*'Tariffs Jul2023'!U122/100)* 'Tariffs Jul2023'!AJ122,($C$5*'Tariffs Jul2023'!AL122/'Tariffs Jul2023'!AJ122*'Tariffs Jul2023'!U122/100)* 'Tariffs Jul2023'!AJ122)</f>
        <v>683.99999999999989</v>
      </c>
      <c r="K128" s="69">
        <f>IF($C$5*'Tariffs Jul2023'!AL122/'Tariffs Jul2023'!AJ122&lt;'Tariffs Jul2023'!J122,0,IF($C$5*'Tariffs Jul2023'!AL122/'Tariffs Jul2023'!AJ122&lt;='Tariffs Jul2023'!K122,($C$5*'Tariffs Jul2023'!AL122/'Tariffs Jul2023'!AJ122-'Tariffs Jul2023'!J122)*('Tariffs Jul2023'!V122/100)*'Tariffs Jul2023'!AJ122,('Tariffs Jul2023'!K122-'Tariffs Jul2023'!J122)*('Tariffs Jul2023'!V122/100)*'Tariffs Jul2023'!AJ122))</f>
        <v>459</v>
      </c>
      <c r="L128" s="69">
        <f>IF($C$5*'Tariffs Jul2023'!AL122/'Tariffs Jul2023'!AJ122&lt;'Tariffs Jul2023'!K122,0,IF($C$5*'Tariffs Jul2023'!AL122/'Tariffs Jul2023'!AJ122&lt;='Tariffs Jul2023'!L122,($C$5*'Tariffs Jul2023'!AL122/'Tariffs Jul2023'!AJ122-'Tariffs Jul2023'!K122)*('Tariffs Jul2023'!W122/100)*'Tariffs Jul2023'!AJ122,('Tariffs Jul2023'!L122-'Tariffs Jul2023'!K122)*('Tariffs Jul2023'!W122/100)*'Tariffs Jul2023'!AJ122))</f>
        <v>0</v>
      </c>
      <c r="M128" s="69">
        <f>IF($C$5*'Tariffs Jul2023'!AL122/'Tariffs Jul2023'!AJ122&lt;'Tariffs Jul2023'!L122,0,IF($C$5*'Tariffs Jul2023'!AL122/'Tariffs Jul2023'!AJ122&lt;='Tariffs Jul2023'!M122,($C$5*'Tariffs Jul2023'!AL122/'Tariffs Jul2023'!AJ122-'Tariffs Jul2023'!L122)*('Tariffs Jul2023'!X122/100)*'Tariffs Jul2023'!AJ122,('Tariffs Jul2023'!M122-'Tariffs Jul2023'!L122)*('Tariffs Jul2023'!X122/100)*'Tariffs Jul2023'!AJ122))</f>
        <v>0</v>
      </c>
      <c r="N128" s="69">
        <f>IF(($C$5*'Tariffs Jul2023'!AL122/'Tariffs Jul2023'!AJ122&gt;'Tariffs Jul2023'!M122),($C$5*'Tariffs Jul2023'!AL122/'Tariffs Jul2023'!AJ122-'Tariffs Jul2023'!M122)*'Tariffs Jul2023'!Y122/100*'Tariffs Jul2023'!AJ122,0)</f>
        <v>0</v>
      </c>
      <c r="O128" s="59">
        <f t="shared" si="195"/>
        <v>2286</v>
      </c>
      <c r="P128" s="503">
        <f t="shared" si="141"/>
        <v>2514.6000000000004</v>
      </c>
      <c r="Q128" s="59">
        <f t="shared" si="196"/>
        <v>2640.05</v>
      </c>
      <c r="R128" s="272">
        <f t="shared" si="197"/>
        <v>2904.0550000000003</v>
      </c>
      <c r="S128" s="40">
        <f>'Tariffs Jul2023'!AN122</f>
        <v>0</v>
      </c>
      <c r="T128" s="40">
        <f>'Tariffs Jul2023'!AO122</f>
        <v>7</v>
      </c>
      <c r="U128" s="40">
        <f>'Tariffs Jul2023'!AP122</f>
        <v>0</v>
      </c>
      <c r="V128" s="637">
        <f>'Tariffs Jul2023'!AQ122</f>
        <v>3</v>
      </c>
      <c r="W128" s="578" t="str">
        <f t="shared" si="193"/>
        <v>Guaranteed off usage</v>
      </c>
      <c r="X128" s="538" t="str">
        <f t="shared" si="194"/>
        <v>Exclusive</v>
      </c>
      <c r="Y128" s="535">
        <f>Q128-(P128*T128)/100</f>
        <v>2464.0280000000002</v>
      </c>
      <c r="Z128" s="535">
        <f>Y128-(P128*V128)/100</f>
        <v>2388.59</v>
      </c>
      <c r="AA128" s="542">
        <f t="shared" si="202"/>
        <v>2710.4308000000005</v>
      </c>
      <c r="AB128" s="609">
        <f t="shared" si="202"/>
        <v>2627.4490000000005</v>
      </c>
      <c r="AC128" s="625"/>
      <c r="AD128" s="625"/>
      <c r="AE128" s="625"/>
      <c r="AF128" s="625"/>
      <c r="AG128" s="625"/>
      <c r="AH128" s="625"/>
      <c r="AI128" s="625"/>
      <c r="AJ128" s="625"/>
      <c r="AK128" s="625"/>
      <c r="AL128" s="625"/>
      <c r="AM128" s="625"/>
      <c r="AN128" s="625"/>
      <c r="AO128" s="625"/>
      <c r="AP128" s="625"/>
      <c r="AQ128" s="625"/>
      <c r="AR128" s="625"/>
      <c r="AS128" s="625"/>
      <c r="AT128" s="625"/>
    </row>
    <row r="129" spans="1:46" ht="14" x14ac:dyDescent="0.15">
      <c r="A129" s="270" t="str">
        <f>'Tariffs Jul2023'!F123</f>
        <v>Tango Energy</v>
      </c>
      <c r="B129" s="40" t="str">
        <f>'Tariffs Jul2023'!D123</f>
        <v>AusNet Services Central 1</v>
      </c>
      <c r="C129" s="40" t="str">
        <f>'Tariffs Jul2023'!G123</f>
        <v>Home Select</v>
      </c>
      <c r="D129" s="59">
        <f>365*'Tariffs Jul2023'!H123/100</f>
        <v>427.04999999999995</v>
      </c>
      <c r="E129" s="59">
        <f>IF($C$5*'Tariffs Jul2023'!AK123/'Tariffs Jul2023'!AI123&gt;='Tariffs Jul2023'!J123,( 'Tariffs Jul2023'!J123*'Tariffs Jul2023'!O123/100)* 'Tariffs Jul2023'!AI123,($C$5*'Tariffs Jul2023'!AK123/'Tariffs Jul2023'!AI123*'Tariffs Jul2023'!O123/100)* 'Tariffs Jul2023'!AI123)</f>
        <v>410.18181818181807</v>
      </c>
      <c r="F129" s="59">
        <f>IF($C$5*'Tariffs Jul2023'!AK123/'Tariffs Jul2023'!AI123&lt;'Tariffs Jul2023'!J123,0,IF($C$5*'Tariffs Jul2023'!AK123/'Tariffs Jul2023'!AI123&lt;='Tariffs Jul2023'!K123,($C$5*'Tariffs Jul2023'!AK123/'Tariffs Jul2023'!AI123-'Tariffs Jul2023'!J123)*('Tariffs Jul2023'!P123/100)*'Tariffs Jul2023'!AI123,('Tariffs Jul2023'!K123-'Tariffs Jul2023'!J123)*('Tariffs Jul2023'!P123/100)*'Tariffs Jul2023'!AI123))</f>
        <v>287.93279999999993</v>
      </c>
      <c r="G129" s="59">
        <f>IF($C$5*'Tariffs Jul2023'!AK123/'Tariffs Jul2023'!AI123&lt;'Tariffs Jul2023'!K123,0,IF($C$5*'Tariffs Jul2023'!AK123/'Tariffs Jul2023'!AI123&lt;='Tariffs Jul2023'!L123,($C$5*'Tariffs Jul2023'!AK123/'Tariffs Jul2023'!AI123-'Tariffs Jul2023'!K123)*('Tariffs Jul2023'!Q123/100)*'Tariffs Jul2023'!AI123,('Tariffs Jul2023'!L123-'Tariffs Jul2023'!K123)*('Tariffs Jul2023'!Q123/100)*'Tariffs Jul2023'!AI123))</f>
        <v>0</v>
      </c>
      <c r="H129" s="59">
        <f>IF($C$5*'Tariffs Jul2023'!AK123/'Tariffs Jul2023'!AI123&lt;'Tariffs Jul2023'!L123,0,IF($C$5*'Tariffs Jul2023'!AK123/'Tariffs Jul2023'!AI123&lt;='Tariffs Jul2023'!M123,($C$5*'Tariffs Jul2023'!AK123/'Tariffs Jul2023'!AI123-'Tariffs Jul2023'!L123)*('Tariffs Jul2023'!R123/100)*'Tariffs Jul2023'!AI123,('Tariffs Jul2023'!M123-'Tariffs Jul2023'!L123)*('Tariffs Jul2023'!R123/100)*'Tariffs Jul2023'!AI123))</f>
        <v>0</v>
      </c>
      <c r="I129" s="69">
        <f>IF(($C$5*'Tariffs Jul2023'!AK123/'Tariffs Jul2023'!AI123&gt;'Tariffs Jul2023'!M123),($C$5*'Tariffs Jul2023'!AK123/'Tariffs Jul2023'!AI123-'Tariffs Jul2023'!M123)*'Tariffs Jul2023'!S123/100*'Tariffs Jul2023'!AI123,0)</f>
        <v>0</v>
      </c>
      <c r="J129" s="69">
        <f>IF($C$5*'Tariffs Jul2023'!AL123/'Tariffs Jul2023'!AJ123&gt;='Tariffs Jul2023'!J123,('Tariffs Jul2023'!J123*'Tariffs Jul2023'!U123/100)* 'Tariffs Jul2023'!AJ123,($C$5*'Tariffs Jul2023'!AL123/'Tariffs Jul2023'!AJ123*'Tariffs Jul2023'!U123/100)* 'Tariffs Jul2023'!AJ123)</f>
        <v>702.5454545454545</v>
      </c>
      <c r="K129" s="69">
        <f>IF($C$5*'Tariffs Jul2023'!AL123/'Tariffs Jul2023'!AJ123&lt;'Tariffs Jul2023'!J123,0,IF($C$5*'Tariffs Jul2023'!AL123/'Tariffs Jul2023'!AJ123&lt;='Tariffs Jul2023'!K123,($C$5*'Tariffs Jul2023'!AL123/'Tariffs Jul2023'!AJ123-'Tariffs Jul2023'!J123)*('Tariffs Jul2023'!V123/100)*'Tariffs Jul2023'!AJ123,('Tariffs Jul2023'!K123-'Tariffs Jul2023'!J123)*('Tariffs Jul2023'!V123/100)*'Tariffs Jul2023'!AJ123))</f>
        <v>490.7945454545453</v>
      </c>
      <c r="L129" s="69">
        <f>IF($C$5*'Tariffs Jul2023'!AL123/'Tariffs Jul2023'!AJ123&lt;'Tariffs Jul2023'!K123,0,IF($C$5*'Tariffs Jul2023'!AL123/'Tariffs Jul2023'!AJ123&lt;='Tariffs Jul2023'!L123,($C$5*'Tariffs Jul2023'!AL123/'Tariffs Jul2023'!AJ123-'Tariffs Jul2023'!K123)*('Tariffs Jul2023'!W123/100)*'Tariffs Jul2023'!AJ123,('Tariffs Jul2023'!L123-'Tariffs Jul2023'!K123)*('Tariffs Jul2023'!W123/100)*'Tariffs Jul2023'!AJ123))</f>
        <v>0</v>
      </c>
      <c r="M129" s="69">
        <f>IF($C$5*'Tariffs Jul2023'!AL123/'Tariffs Jul2023'!AJ123&lt;'Tariffs Jul2023'!L123,0,IF($C$5*'Tariffs Jul2023'!AL123/'Tariffs Jul2023'!AJ123&lt;='Tariffs Jul2023'!M123,($C$5*'Tariffs Jul2023'!AL123/'Tariffs Jul2023'!AJ123-'Tariffs Jul2023'!L123)*('Tariffs Jul2023'!X123/100)*'Tariffs Jul2023'!AJ123,('Tariffs Jul2023'!M123-'Tariffs Jul2023'!L123)*('Tariffs Jul2023'!X123/100)*'Tariffs Jul2023'!AJ123))</f>
        <v>0</v>
      </c>
      <c r="N129" s="69">
        <f>IF(($C$5*'Tariffs Jul2023'!AL123/'Tariffs Jul2023'!AJ123&gt;'Tariffs Jul2023'!M123),($C$5*'Tariffs Jul2023'!AL123/'Tariffs Jul2023'!AJ123-'Tariffs Jul2023'!M123)*'Tariffs Jul2023'!Y123/100*'Tariffs Jul2023'!AJ123,0)</f>
        <v>0</v>
      </c>
      <c r="O129" s="59">
        <f t="shared" si="195"/>
        <v>1891.4546181818178</v>
      </c>
      <c r="P129" s="503">
        <f t="shared" si="141"/>
        <v>2080.6000799999997</v>
      </c>
      <c r="Q129" s="59">
        <f t="shared" si="196"/>
        <v>2318.5046181818179</v>
      </c>
      <c r="R129" s="272">
        <f t="shared" si="197"/>
        <v>2550.3550799999998</v>
      </c>
      <c r="S129" s="40">
        <f>'Tariffs Jul2023'!AN123</f>
        <v>0</v>
      </c>
      <c r="T129" s="40">
        <f>'Tariffs Jul2023'!AO123</f>
        <v>0</v>
      </c>
      <c r="U129" s="40">
        <f>'Tariffs Jul2023'!AP123</f>
        <v>0</v>
      </c>
      <c r="V129" s="637">
        <f>'Tariffs Jul2023'!AQ123</f>
        <v>0</v>
      </c>
      <c r="W129" s="578" t="str">
        <f t="shared" si="193"/>
        <v>No discount</v>
      </c>
      <c r="X129" s="538" t="str">
        <f t="shared" si="194"/>
        <v>Exclusive</v>
      </c>
      <c r="Y129" s="535">
        <f t="shared" ref="Y129:Y131" si="203">IF(AND(W129="Guaranteed off bill",X129="Inclusive"),((Q129*1.1)-((Q129*1.1)*S129/100))/1.1,IF(AND(W129="Guaranteed off usage",X129="Inclusive"),((Q129*1.1)-((P129*1.1)*T129/100))/1.1,IF(AND(W129="Guaranteed off bill",X129="Exclusive"),Q129-(Q129*S129/100),IF(AND(W129="Guaranteed off usage",X129="Exclusive"),Q129-(P129*T129/100),IF(X129="Inclusive",((Q129*1.1))/1.1,Q129)))))</f>
        <v>2318.5046181818179</v>
      </c>
      <c r="Z129" s="535">
        <f t="shared" ref="Z129:Z131" si="204">IF(AND(W129="Pay-on-time off bill",X129="Inclusive"),((Y129*1.1)-((Y129*1.1)*U129/100))/1.1,IF(AND(W129="Pay-on-time off usage",X129="Inclusive"),((Y129*1.1)-((P129*1.1)*V129/100))/1.1,IF(AND(W129="Pay-on-time off bill",X129="Exclusive"),Y129-(Y129*U129/100),IF(AND(W129="Pay-on-time off usage",X129="Exclusive"),Y129-(P129*V129/100),IF(X129="Inclusive",((Y129*1.1))/1.1,Y129)))))</f>
        <v>2318.5046181818179</v>
      </c>
      <c r="AA129" s="542">
        <f t="shared" si="202"/>
        <v>2550.3550799999998</v>
      </c>
      <c r="AB129" s="609">
        <f t="shared" si="202"/>
        <v>2550.3550799999998</v>
      </c>
      <c r="AC129" s="625"/>
      <c r="AD129" s="625"/>
      <c r="AE129" s="625"/>
      <c r="AF129" s="625"/>
      <c r="AG129" s="625"/>
      <c r="AH129" s="625"/>
      <c r="AI129" s="625"/>
      <c r="AJ129" s="625"/>
      <c r="AK129" s="625"/>
      <c r="AL129" s="625"/>
      <c r="AM129" s="625"/>
      <c r="AN129" s="625"/>
      <c r="AO129" s="625"/>
      <c r="AP129" s="625"/>
      <c r="AQ129" s="625"/>
      <c r="AR129" s="625"/>
      <c r="AS129" s="625"/>
      <c r="AT129" s="625"/>
    </row>
    <row r="130" spans="1:46" ht="14" x14ac:dyDescent="0.15">
      <c r="A130" s="270" t="str">
        <f>'Tariffs Jul2023'!F124</f>
        <v>Momentum Energy</v>
      </c>
      <c r="B130" s="40" t="str">
        <f>'Tariffs Jul2023'!D124</f>
        <v>AusNet Services Central 1</v>
      </c>
      <c r="C130" s="40" t="str">
        <f>'Tariffs Jul2023'!G124</f>
        <v>Nothing Fancy</v>
      </c>
      <c r="D130" s="59">
        <f>365*'Tariffs Jul2023'!H124/100</f>
        <v>462.88636363636363</v>
      </c>
      <c r="E130" s="59">
        <f>IF($C$5*'Tariffs Jul2023'!AK124/'Tariffs Jul2023'!AI124&gt;='Tariffs Jul2023'!J124,( 'Tariffs Jul2023'!J124*'Tariffs Jul2023'!O124/100)* 'Tariffs Jul2023'!AI124,($C$5*'Tariffs Jul2023'!AK124/'Tariffs Jul2023'!AI124*'Tariffs Jul2023'!O124/100)* 'Tariffs Jul2023'!AI124)</f>
        <v>336</v>
      </c>
      <c r="F130" s="59">
        <f>IF($C$5*'Tariffs Jul2023'!AK124/'Tariffs Jul2023'!AI124&lt;'Tariffs Jul2023'!J124,0,IF($C$5*'Tariffs Jul2023'!AK124/'Tariffs Jul2023'!AI124&lt;='Tariffs Jul2023'!K124,($C$5*'Tariffs Jul2023'!AK124/'Tariffs Jul2023'!AI124-'Tariffs Jul2023'!J124)*('Tariffs Jul2023'!P124/100)*'Tariffs Jul2023'!AI124,('Tariffs Jul2023'!K124-'Tariffs Jul2023'!J124)*('Tariffs Jul2023'!P124/100)*'Tariffs Jul2023'!AI124))</f>
        <v>233.94539999999989</v>
      </c>
      <c r="G130" s="59">
        <f>IF($C$5*'Tariffs Jul2023'!AK124/'Tariffs Jul2023'!AI124&lt;'Tariffs Jul2023'!K124,0,IF($C$5*'Tariffs Jul2023'!AK124/'Tariffs Jul2023'!AI124&lt;='Tariffs Jul2023'!L124,($C$5*'Tariffs Jul2023'!AK124/'Tariffs Jul2023'!AI124-'Tariffs Jul2023'!K124)*('Tariffs Jul2023'!Q124/100)*'Tariffs Jul2023'!AI124,('Tariffs Jul2023'!L124-'Tariffs Jul2023'!K124)*('Tariffs Jul2023'!Q124/100)*'Tariffs Jul2023'!AI124))</f>
        <v>0</v>
      </c>
      <c r="H130" s="59">
        <f>IF($C$5*'Tariffs Jul2023'!AK124/'Tariffs Jul2023'!AI124&lt;'Tariffs Jul2023'!L124,0,IF($C$5*'Tariffs Jul2023'!AK124/'Tariffs Jul2023'!AI124&lt;='Tariffs Jul2023'!M124,($C$5*'Tariffs Jul2023'!AK124/'Tariffs Jul2023'!AI124-'Tariffs Jul2023'!L124)*('Tariffs Jul2023'!R124/100)*'Tariffs Jul2023'!AI124,('Tariffs Jul2023'!M124-'Tariffs Jul2023'!L124)*('Tariffs Jul2023'!R124/100)*'Tariffs Jul2023'!AI124))</f>
        <v>0</v>
      </c>
      <c r="I130" s="69">
        <f>IF(($C$5*'Tariffs Jul2023'!AK124/'Tariffs Jul2023'!AI124&gt;'Tariffs Jul2023'!M124),($C$5*'Tariffs Jul2023'!AK124/'Tariffs Jul2023'!AI124-'Tariffs Jul2023'!M124)*'Tariffs Jul2023'!S124/100*'Tariffs Jul2023'!AI124,0)</f>
        <v>0</v>
      </c>
      <c r="J130" s="69">
        <f>IF($C$5*'Tariffs Jul2023'!AL124/'Tariffs Jul2023'!AJ124&gt;='Tariffs Jul2023'!J124,('Tariffs Jul2023'!J124*'Tariffs Jul2023'!U124/100)* 'Tariffs Jul2023'!AJ124,($C$5*'Tariffs Jul2023'!AL124/'Tariffs Jul2023'!AJ124*'Tariffs Jul2023'!U124/100)* 'Tariffs Jul2023'!AJ124)</f>
        <v>576</v>
      </c>
      <c r="K130" s="69">
        <f>IF($C$5*'Tariffs Jul2023'!AL124/'Tariffs Jul2023'!AJ124&lt;'Tariffs Jul2023'!J124,0,IF($C$5*'Tariffs Jul2023'!AL124/'Tariffs Jul2023'!AJ124&lt;='Tariffs Jul2023'!K124,($C$5*'Tariffs Jul2023'!AL124/'Tariffs Jul2023'!AJ124-'Tariffs Jul2023'!J124)*('Tariffs Jul2023'!V124/100)*'Tariffs Jul2023'!AJ124,('Tariffs Jul2023'!K124-'Tariffs Jul2023'!J124)*('Tariffs Jul2023'!V124/100)*'Tariffs Jul2023'!AJ124))</f>
        <v>413.90339999999992</v>
      </c>
      <c r="L130" s="69">
        <f>IF($C$5*'Tariffs Jul2023'!AL124/'Tariffs Jul2023'!AJ124&lt;'Tariffs Jul2023'!K124,0,IF($C$5*'Tariffs Jul2023'!AL124/'Tariffs Jul2023'!AJ124&lt;='Tariffs Jul2023'!L124,($C$5*'Tariffs Jul2023'!AL124/'Tariffs Jul2023'!AJ124-'Tariffs Jul2023'!K124)*('Tariffs Jul2023'!W124/100)*'Tariffs Jul2023'!AJ124,('Tariffs Jul2023'!L124-'Tariffs Jul2023'!K124)*('Tariffs Jul2023'!W124/100)*'Tariffs Jul2023'!AJ124))</f>
        <v>0</v>
      </c>
      <c r="M130" s="69">
        <f>IF($C$5*'Tariffs Jul2023'!AL124/'Tariffs Jul2023'!AJ124&lt;'Tariffs Jul2023'!L124,0,IF($C$5*'Tariffs Jul2023'!AL124/'Tariffs Jul2023'!AJ124&lt;='Tariffs Jul2023'!M124,($C$5*'Tariffs Jul2023'!AL124/'Tariffs Jul2023'!AJ124-'Tariffs Jul2023'!L124)*('Tariffs Jul2023'!X124/100)*'Tariffs Jul2023'!AJ124,('Tariffs Jul2023'!M124-'Tariffs Jul2023'!L124)*('Tariffs Jul2023'!X124/100)*'Tariffs Jul2023'!AJ124))</f>
        <v>0</v>
      </c>
      <c r="N130" s="69">
        <f>IF(($C$5*'Tariffs Jul2023'!AL124/'Tariffs Jul2023'!AJ124&gt;'Tariffs Jul2023'!M124),($C$5*'Tariffs Jul2023'!AL124/'Tariffs Jul2023'!AJ124-'Tariffs Jul2023'!M124)*'Tariffs Jul2023'!Y124/100*'Tariffs Jul2023'!AJ124,0)</f>
        <v>0</v>
      </c>
      <c r="O130" s="59">
        <f t="shared" si="195"/>
        <v>1559.8487999999998</v>
      </c>
      <c r="P130" s="503">
        <f t="shared" si="141"/>
        <v>1715.83368</v>
      </c>
      <c r="Q130" s="59">
        <f t="shared" si="196"/>
        <v>2022.7351636363633</v>
      </c>
      <c r="R130" s="272">
        <f t="shared" si="197"/>
        <v>2225.0086799999999</v>
      </c>
      <c r="S130" s="40">
        <f>'Tariffs Jul2023'!AN124</f>
        <v>0</v>
      </c>
      <c r="T130" s="40">
        <f>'Tariffs Jul2023'!AO124</f>
        <v>0</v>
      </c>
      <c r="U130" s="40">
        <f>'Tariffs Jul2023'!AP124</f>
        <v>0</v>
      </c>
      <c r="V130" s="637">
        <f>'Tariffs Jul2023'!AQ124</f>
        <v>0</v>
      </c>
      <c r="W130" s="578" t="str">
        <f t="shared" si="193"/>
        <v>No discount</v>
      </c>
      <c r="X130" s="538" t="str">
        <f t="shared" si="194"/>
        <v>Exclusive</v>
      </c>
      <c r="Y130" s="535">
        <f t="shared" si="203"/>
        <v>2022.7351636363633</v>
      </c>
      <c r="Z130" s="535">
        <f t="shared" si="204"/>
        <v>2022.7351636363633</v>
      </c>
      <c r="AA130" s="542">
        <f t="shared" si="202"/>
        <v>2225.0086799999999</v>
      </c>
      <c r="AB130" s="609">
        <f t="shared" si="202"/>
        <v>2225.0086799999999</v>
      </c>
      <c r="AC130" s="625"/>
      <c r="AD130" s="625"/>
      <c r="AE130" s="625"/>
      <c r="AF130" s="625"/>
      <c r="AG130" s="625"/>
      <c r="AH130" s="625"/>
      <c r="AI130" s="625"/>
      <c r="AJ130" s="625"/>
      <c r="AK130" s="625"/>
      <c r="AL130" s="625"/>
      <c r="AM130" s="625"/>
      <c r="AN130" s="625"/>
      <c r="AO130" s="625"/>
      <c r="AP130" s="625"/>
      <c r="AQ130" s="625"/>
      <c r="AR130" s="625"/>
      <c r="AS130" s="625"/>
      <c r="AT130" s="625"/>
    </row>
    <row r="131" spans="1:46" ht="14" x14ac:dyDescent="0.15">
      <c r="A131" s="270" t="str">
        <f>'Tariffs Jul2023'!F125</f>
        <v>Sumo Power</v>
      </c>
      <c r="B131" s="40" t="str">
        <f>'Tariffs Jul2023'!D125</f>
        <v>AusNet Services Central 1</v>
      </c>
      <c r="C131" s="40" t="str">
        <f>'Tariffs Jul2023'!G125</f>
        <v>Lite</v>
      </c>
      <c r="D131" s="59">
        <f>365*'Tariffs Jul2023'!H125/100</f>
        <v>273.75</v>
      </c>
      <c r="E131" s="59">
        <f>IF($C$5*'Tariffs Jul2023'!AK125/'Tariffs Jul2023'!AI125&gt;='Tariffs Jul2023'!J125,( 'Tariffs Jul2023'!J125*'Tariffs Jul2023'!O125/100)* 'Tariffs Jul2023'!AI125,($C$5*'Tariffs Jul2023'!AK125/'Tariffs Jul2023'!AI125*'Tariffs Jul2023'!O125/100)* 'Tariffs Jul2023'!AI125)</f>
        <v>332.72727272727275</v>
      </c>
      <c r="F131" s="59">
        <f>IF($C$5*'Tariffs Jul2023'!AK125/'Tariffs Jul2023'!AI125&lt;'Tariffs Jul2023'!J125,0,IF($C$5*'Tariffs Jul2023'!AK125/'Tariffs Jul2023'!AI125&lt;='Tariffs Jul2023'!K125,($C$5*'Tariffs Jul2023'!AK125/'Tariffs Jul2023'!AI125-'Tariffs Jul2023'!J125)*('Tariffs Jul2023'!P125/100)*'Tariffs Jul2023'!AI125,('Tariffs Jul2023'!K125-'Tariffs Jul2023'!J125)*('Tariffs Jul2023'!P125/100)*'Tariffs Jul2023'!AI125))</f>
        <v>247.85124545454534</v>
      </c>
      <c r="G131" s="59">
        <f>IF($C$5*'Tariffs Jul2023'!AK125/'Tariffs Jul2023'!AI125&lt;'Tariffs Jul2023'!K125,0,IF($C$5*'Tariffs Jul2023'!AK125/'Tariffs Jul2023'!AI125&lt;='Tariffs Jul2023'!L125,($C$5*'Tariffs Jul2023'!AK125/'Tariffs Jul2023'!AI125-'Tariffs Jul2023'!K125)*('Tariffs Jul2023'!Q125/100)*'Tariffs Jul2023'!AI125,('Tariffs Jul2023'!L125-'Tariffs Jul2023'!K125)*('Tariffs Jul2023'!Q125/100)*'Tariffs Jul2023'!AI125))</f>
        <v>0</v>
      </c>
      <c r="H131" s="59">
        <f>IF($C$5*'Tariffs Jul2023'!AK125/'Tariffs Jul2023'!AI125&lt;'Tariffs Jul2023'!L125,0,IF($C$5*'Tariffs Jul2023'!AK125/'Tariffs Jul2023'!AI125&lt;='Tariffs Jul2023'!M125,($C$5*'Tariffs Jul2023'!AK125/'Tariffs Jul2023'!AI125-'Tariffs Jul2023'!L125)*('Tariffs Jul2023'!R125/100)*'Tariffs Jul2023'!AI125,('Tariffs Jul2023'!M125-'Tariffs Jul2023'!L125)*('Tariffs Jul2023'!R125/100)*'Tariffs Jul2023'!AI125))</f>
        <v>0</v>
      </c>
      <c r="I131" s="69">
        <f>IF(($C$5*'Tariffs Jul2023'!AK125/'Tariffs Jul2023'!AI125&gt;'Tariffs Jul2023'!M125),($C$5*'Tariffs Jul2023'!AK125/'Tariffs Jul2023'!AI125-'Tariffs Jul2023'!M125)*'Tariffs Jul2023'!S125/100*'Tariffs Jul2023'!AI125,0)</f>
        <v>0</v>
      </c>
      <c r="J131" s="69">
        <f>IF($C$5*'Tariffs Jul2023'!AL125/'Tariffs Jul2023'!AJ125&gt;='Tariffs Jul2023'!J125,('Tariffs Jul2023'!J125*'Tariffs Jul2023'!U125/100)* 'Tariffs Jul2023'!AJ125,($C$5*'Tariffs Jul2023'!AL125/'Tariffs Jul2023'!AJ125*'Tariffs Jul2023'!U125/100)* 'Tariffs Jul2023'!AJ125)</f>
        <v>551.99999999999989</v>
      </c>
      <c r="K131" s="69">
        <f>IF($C$5*'Tariffs Jul2023'!AL125/'Tariffs Jul2023'!AJ125&lt;'Tariffs Jul2023'!J125,0,IF($C$5*'Tariffs Jul2023'!AL125/'Tariffs Jul2023'!AJ125&lt;='Tariffs Jul2023'!K125,($C$5*'Tariffs Jul2023'!AL125/'Tariffs Jul2023'!AJ125-'Tariffs Jul2023'!J125)*('Tariffs Jul2023'!V125/100)*'Tariffs Jul2023'!AJ125,('Tariffs Jul2023'!K125-'Tariffs Jul2023'!J125)*('Tariffs Jul2023'!V125/100)*'Tariffs Jul2023'!AJ125))</f>
        <v>410.63143636363617</v>
      </c>
      <c r="L131" s="69">
        <f>IF($C$5*'Tariffs Jul2023'!AL125/'Tariffs Jul2023'!AJ125&lt;'Tariffs Jul2023'!K125,0,IF($C$5*'Tariffs Jul2023'!AL125/'Tariffs Jul2023'!AJ125&lt;='Tariffs Jul2023'!L125,($C$5*'Tariffs Jul2023'!AL125/'Tariffs Jul2023'!AJ125-'Tariffs Jul2023'!K125)*('Tariffs Jul2023'!W125/100)*'Tariffs Jul2023'!AJ125,('Tariffs Jul2023'!L125-'Tariffs Jul2023'!K125)*('Tariffs Jul2023'!W125/100)*'Tariffs Jul2023'!AJ125))</f>
        <v>0</v>
      </c>
      <c r="M131" s="69">
        <f>IF($C$5*'Tariffs Jul2023'!AL125/'Tariffs Jul2023'!AJ125&lt;'Tariffs Jul2023'!L125,0,IF($C$5*'Tariffs Jul2023'!AL125/'Tariffs Jul2023'!AJ125&lt;='Tariffs Jul2023'!M125,($C$5*'Tariffs Jul2023'!AL125/'Tariffs Jul2023'!AJ125-'Tariffs Jul2023'!L125)*('Tariffs Jul2023'!X125/100)*'Tariffs Jul2023'!AJ125,('Tariffs Jul2023'!M125-'Tariffs Jul2023'!L125)*('Tariffs Jul2023'!X125/100)*'Tariffs Jul2023'!AJ125))</f>
        <v>0</v>
      </c>
      <c r="N131" s="69">
        <f>IF(($C$5*'Tariffs Jul2023'!AL125/'Tariffs Jul2023'!AJ125&gt;'Tariffs Jul2023'!M125),($C$5*'Tariffs Jul2023'!AL125/'Tariffs Jul2023'!AJ125-'Tariffs Jul2023'!M125)*'Tariffs Jul2023'!Y125/100*'Tariffs Jul2023'!AJ125,0)</f>
        <v>0</v>
      </c>
      <c r="O131" s="59">
        <f t="shared" si="195"/>
        <v>1543.2099545454539</v>
      </c>
      <c r="P131" s="503">
        <f t="shared" si="141"/>
        <v>1697.5309499999994</v>
      </c>
      <c r="Q131" s="59">
        <f t="shared" si="196"/>
        <v>1816.9599545454539</v>
      </c>
      <c r="R131" s="272">
        <f t="shared" si="197"/>
        <v>1998.6559499999994</v>
      </c>
      <c r="S131" s="40">
        <f>'Tariffs Jul2023'!AN125</f>
        <v>0</v>
      </c>
      <c r="T131" s="40">
        <f>'Tariffs Jul2023'!AO125</f>
        <v>0</v>
      </c>
      <c r="U131" s="40">
        <f>'Tariffs Jul2023'!AP125</f>
        <v>0</v>
      </c>
      <c r="V131" s="637">
        <f>'Tariffs Jul2023'!AQ125</f>
        <v>0</v>
      </c>
      <c r="W131" s="578" t="str">
        <f t="shared" si="193"/>
        <v>No discount</v>
      </c>
      <c r="X131" s="538" t="str">
        <f t="shared" si="194"/>
        <v>Exclusive</v>
      </c>
      <c r="Y131" s="535">
        <f t="shared" si="203"/>
        <v>1816.9599545454539</v>
      </c>
      <c r="Z131" s="535">
        <f t="shared" si="204"/>
        <v>1816.9599545454539</v>
      </c>
      <c r="AA131" s="542">
        <f t="shared" si="202"/>
        <v>1998.6559499999994</v>
      </c>
      <c r="AB131" s="609">
        <f t="shared" si="202"/>
        <v>1998.6559499999994</v>
      </c>
      <c r="AC131" s="625"/>
      <c r="AD131" s="625"/>
      <c r="AE131" s="625"/>
      <c r="AF131" s="625"/>
      <c r="AG131" s="625"/>
      <c r="AH131" s="625"/>
      <c r="AI131" s="625"/>
      <c r="AJ131" s="625"/>
      <c r="AK131" s="625"/>
      <c r="AL131" s="625"/>
      <c r="AM131" s="625"/>
      <c r="AN131" s="625"/>
      <c r="AO131" s="625"/>
      <c r="AP131" s="625"/>
      <c r="AQ131" s="625"/>
      <c r="AR131" s="625"/>
      <c r="AS131" s="625"/>
      <c r="AT131" s="625"/>
    </row>
    <row r="132" spans="1:46" ht="14" x14ac:dyDescent="0.15">
      <c r="A132" s="270" t="str">
        <f>'Tariffs Jul2023'!F126</f>
        <v>CovaU</v>
      </c>
      <c r="B132" s="40" t="str">
        <f>'Tariffs Jul2023'!D126</f>
        <v>AusNet Services Central 1</v>
      </c>
      <c r="C132" s="40" t="str">
        <f>'Tariffs Jul2023'!G126</f>
        <v>Super Saver</v>
      </c>
      <c r="D132" s="59">
        <f>365*'Tariffs Jul2023'!H126/100</f>
        <v>310.15045454545452</v>
      </c>
      <c r="E132" s="59">
        <f>IF($C$5*'Tariffs Jul2023'!AK126/'Tariffs Jul2023'!AI126&gt;='Tariffs Jul2023'!J126,( 'Tariffs Jul2023'!J126*'Tariffs Jul2023'!O126/100)* 'Tariffs Jul2023'!AI126,($C$5*'Tariffs Jul2023'!AK126/'Tariffs Jul2023'!AI126*'Tariffs Jul2023'!O126/100)* 'Tariffs Jul2023'!AI126)</f>
        <v>330.5454545454545</v>
      </c>
      <c r="F132" s="59">
        <f>IF($C$5*'Tariffs Jul2023'!AK126/'Tariffs Jul2023'!AI126&lt;'Tariffs Jul2023'!J126,0,IF($C$5*'Tariffs Jul2023'!AK126/'Tariffs Jul2023'!AI126&lt;='Tariffs Jul2023'!K126,($C$5*'Tariffs Jul2023'!AK126/'Tariffs Jul2023'!AI126-'Tariffs Jul2023'!J126)*('Tariffs Jul2023'!P126/100)*'Tariffs Jul2023'!AI126,('Tariffs Jul2023'!K126-'Tariffs Jul2023'!J126)*('Tariffs Jul2023'!P126/100)*'Tariffs Jul2023'!AI126))</f>
        <v>238.85334545454538</v>
      </c>
      <c r="G132" s="59">
        <f>IF($C$5*'Tariffs Jul2023'!AK126/'Tariffs Jul2023'!AI126&lt;'Tariffs Jul2023'!K126,0,IF($C$5*'Tariffs Jul2023'!AK126/'Tariffs Jul2023'!AI126&lt;='Tariffs Jul2023'!L126,($C$5*'Tariffs Jul2023'!AK126/'Tariffs Jul2023'!AI126-'Tariffs Jul2023'!K126)*('Tariffs Jul2023'!Q126/100)*'Tariffs Jul2023'!AI126,('Tariffs Jul2023'!L126-'Tariffs Jul2023'!K126)*('Tariffs Jul2023'!Q126/100)*'Tariffs Jul2023'!AI126))</f>
        <v>0</v>
      </c>
      <c r="H132" s="59">
        <f>IF($C$5*'Tariffs Jul2023'!AK126/'Tariffs Jul2023'!AI126&lt;'Tariffs Jul2023'!L126,0,IF($C$5*'Tariffs Jul2023'!AK126/'Tariffs Jul2023'!AI126&lt;='Tariffs Jul2023'!M126,($C$5*'Tariffs Jul2023'!AK126/'Tariffs Jul2023'!AI126-'Tariffs Jul2023'!L126)*('Tariffs Jul2023'!R126/100)*'Tariffs Jul2023'!AI126,('Tariffs Jul2023'!M126-'Tariffs Jul2023'!L126)*('Tariffs Jul2023'!R126/100)*'Tariffs Jul2023'!AI126))</f>
        <v>0</v>
      </c>
      <c r="I132" s="69">
        <f>IF(($C$5*'Tariffs Jul2023'!AK126/'Tariffs Jul2023'!AI126&gt;'Tariffs Jul2023'!M126),($C$5*'Tariffs Jul2023'!AK126/'Tariffs Jul2023'!AI126-'Tariffs Jul2023'!M126)*'Tariffs Jul2023'!S126/100*'Tariffs Jul2023'!AI126,0)</f>
        <v>0</v>
      </c>
      <c r="J132" s="69">
        <f>IF($C$5*'Tariffs Jul2023'!AL126/'Tariffs Jul2023'!AJ126&gt;='Tariffs Jul2023'!J126,('Tariffs Jul2023'!J126*'Tariffs Jul2023'!U126/100)* 'Tariffs Jul2023'!AJ126,($C$5*'Tariffs Jul2023'!AL126/'Tariffs Jul2023'!AJ126*'Tariffs Jul2023'!U126/100)* 'Tariffs Jul2023'!AJ126)</f>
        <v>569.4545454545455</v>
      </c>
      <c r="K132" s="69">
        <f>IF($C$5*'Tariffs Jul2023'!AL126/'Tariffs Jul2023'!AJ126&lt;'Tariffs Jul2023'!J126,0,IF($C$5*'Tariffs Jul2023'!AL126/'Tariffs Jul2023'!AJ126&lt;='Tariffs Jul2023'!K126,($C$5*'Tariffs Jul2023'!AL126/'Tariffs Jul2023'!AJ126-'Tariffs Jul2023'!J126)*('Tariffs Jul2023'!V126/100)*'Tariffs Jul2023'!AJ126,('Tariffs Jul2023'!K126-'Tariffs Jul2023'!J126)*('Tariffs Jul2023'!V126/100)*'Tariffs Jul2023'!AJ126))</f>
        <v>377.91179999999991</v>
      </c>
      <c r="L132" s="69">
        <f>IF($C$5*'Tariffs Jul2023'!AL126/'Tariffs Jul2023'!AJ126&lt;'Tariffs Jul2023'!K126,0,IF($C$5*'Tariffs Jul2023'!AL126/'Tariffs Jul2023'!AJ126&lt;='Tariffs Jul2023'!L126,($C$5*'Tariffs Jul2023'!AL126/'Tariffs Jul2023'!AJ126-'Tariffs Jul2023'!K126)*('Tariffs Jul2023'!W126/100)*'Tariffs Jul2023'!AJ126,('Tariffs Jul2023'!L126-'Tariffs Jul2023'!K126)*('Tariffs Jul2023'!W126/100)*'Tariffs Jul2023'!AJ126))</f>
        <v>0</v>
      </c>
      <c r="M132" s="69">
        <f>IF($C$5*'Tariffs Jul2023'!AL126/'Tariffs Jul2023'!AJ126&lt;'Tariffs Jul2023'!L126,0,IF($C$5*'Tariffs Jul2023'!AL126/'Tariffs Jul2023'!AJ126&lt;='Tariffs Jul2023'!M126,($C$5*'Tariffs Jul2023'!AL126/'Tariffs Jul2023'!AJ126-'Tariffs Jul2023'!L126)*('Tariffs Jul2023'!X126/100)*'Tariffs Jul2023'!AJ126,('Tariffs Jul2023'!M126-'Tariffs Jul2023'!L126)*('Tariffs Jul2023'!X126/100)*'Tariffs Jul2023'!AJ126))</f>
        <v>0</v>
      </c>
      <c r="N132" s="69">
        <f>IF(($C$5*'Tariffs Jul2023'!AL126/'Tariffs Jul2023'!AJ126&gt;'Tariffs Jul2023'!M126),($C$5*'Tariffs Jul2023'!AL126/'Tariffs Jul2023'!AJ126-'Tariffs Jul2023'!M126)*'Tariffs Jul2023'!Y126/100*'Tariffs Jul2023'!AJ126,0)</f>
        <v>0</v>
      </c>
      <c r="O132" s="59">
        <f t="shared" ref="O132:O134" si="205">SUM(E132:N132)</f>
        <v>1516.7651454545453</v>
      </c>
      <c r="P132" s="503">
        <f t="shared" ref="P132" si="206">O132*1.1</f>
        <v>1668.44166</v>
      </c>
      <c r="Q132" s="59">
        <f t="shared" ref="Q132" si="207">D132+O132</f>
        <v>1826.9155999999998</v>
      </c>
      <c r="R132" s="272">
        <f t="shared" ref="R132" si="208">Q132*1.1</f>
        <v>2009.60716</v>
      </c>
      <c r="S132" s="40">
        <f>'Tariffs Jul2023'!AN126</f>
        <v>0</v>
      </c>
      <c r="T132" s="40">
        <f>'Tariffs Jul2023'!AO126</f>
        <v>0</v>
      </c>
      <c r="U132" s="40">
        <f>'Tariffs Jul2023'!AP126</f>
        <v>0</v>
      </c>
      <c r="V132" s="637">
        <f>'Tariffs Jul2023'!AQ126</f>
        <v>0</v>
      </c>
      <c r="W132" s="578" t="str">
        <f t="shared" ref="W132" si="209">IF(SUM(S132:V132)=0,"No discount",IF(S132&gt;0,"Guaranteed off bill",IF(T132&gt;0,"Guaranteed off usage",IF(U132&gt;0,"Pay-on-time off bill","Pay-on-time off usage"))))</f>
        <v>No discount</v>
      </c>
      <c r="X132" s="538" t="str">
        <f t="shared" ref="X132" si="210">IF(OR(A132="Origin Energy",A132="Red Energy",A132="Powershop"),"Inclusive","Exclusive")</f>
        <v>Exclusive</v>
      </c>
      <c r="Y132" s="535">
        <f t="shared" ref="Y132" si="211">IF(AND(W132="Guaranteed off bill",X132="Inclusive"),((Q132*1.1)-((Q132*1.1)*S132/100))/1.1,IF(AND(W132="Guaranteed off usage",X132="Inclusive"),((Q132*1.1)-((P132*1.1)*T132/100))/1.1,IF(AND(W132="Guaranteed off bill",X132="Exclusive"),Q132-(Q132*S132/100),IF(AND(W132="Guaranteed off usage",X132="Exclusive"),Q132-(P132*T132/100),IF(X132="Inclusive",((Q132*1.1))/1.1,Q132)))))</f>
        <v>1826.9155999999998</v>
      </c>
      <c r="Z132" s="535">
        <f t="shared" ref="Z132" si="212">IF(AND(W132="Pay-on-time off bill",X132="Inclusive"),((Y132*1.1)-((Y132*1.1)*U132/100))/1.1,IF(AND(W132="Pay-on-time off usage",X132="Inclusive"),((Y132*1.1)-((P132*1.1)*V132/100))/1.1,IF(AND(W132="Pay-on-time off bill",X132="Exclusive"),Y132-(Y132*U132/100),IF(AND(W132="Pay-on-time off usage",X132="Exclusive"),Y132-(P132*V132/100),IF(X132="Inclusive",((Y132*1.1))/1.1,Y132)))))</f>
        <v>1826.9155999999998</v>
      </c>
      <c r="AA132" s="542">
        <f t="shared" ref="AA132" si="213">Y132*1.1</f>
        <v>2009.60716</v>
      </c>
      <c r="AB132" s="609">
        <f t="shared" ref="AB132" si="214">Z132*1.1</f>
        <v>2009.60716</v>
      </c>
      <c r="AC132" s="625"/>
      <c r="AD132" s="625"/>
      <c r="AE132" s="625"/>
      <c r="AF132" s="625"/>
      <c r="AG132" s="625"/>
      <c r="AH132" s="625"/>
      <c r="AI132" s="625"/>
      <c r="AJ132" s="625"/>
      <c r="AK132" s="625"/>
      <c r="AL132" s="625"/>
      <c r="AM132" s="625"/>
      <c r="AN132" s="625"/>
      <c r="AO132" s="625"/>
      <c r="AP132" s="625"/>
      <c r="AQ132" s="625"/>
      <c r="AR132" s="625"/>
      <c r="AS132" s="625"/>
      <c r="AT132" s="625"/>
    </row>
    <row r="133" spans="1:46" ht="14" x14ac:dyDescent="0.15">
      <c r="A133" s="270" t="str">
        <f>'Tariffs Jul2023'!F127</f>
        <v>Powershop</v>
      </c>
      <c r="B133" s="40" t="str">
        <f>'Tariffs Jul2023'!D127</f>
        <v>AusNet Services Central 1</v>
      </c>
      <c r="C133" s="40" t="str">
        <f>'Tariffs Jul2023'!G127</f>
        <v>Carbon Neutral</v>
      </c>
      <c r="D133" s="59">
        <f>365*'Tariffs Jul2023'!H127/100</f>
        <v>400.63727272727266</v>
      </c>
      <c r="E133" s="59">
        <f>((C$5*'Tariffs Jul2023'!AK127/'Tariffs Jul2023'!AI127)*('Tariffs Jul2023'!O127/100))*'Tariffs Jul2023'!AI127</f>
        <v>1010.8636363636361</v>
      </c>
      <c r="F133" s="59">
        <v>0</v>
      </c>
      <c r="G133" s="59">
        <v>0</v>
      </c>
      <c r="H133" s="59">
        <v>0</v>
      </c>
      <c r="I133" s="69">
        <v>0</v>
      </c>
      <c r="J133" s="69">
        <f>((C$5*'Tariffs Jul2023'!AL127/'Tariffs Jul2023'!AJ127)*('Tariffs Jul2023'!U127/100))*'Tariffs Jul2023'!AJ127</f>
        <v>1010.8636363636361</v>
      </c>
      <c r="K133" s="69">
        <v>0</v>
      </c>
      <c r="L133" s="69">
        <v>0</v>
      </c>
      <c r="M133" s="69">
        <v>0</v>
      </c>
      <c r="N133" s="69">
        <v>0</v>
      </c>
      <c r="O133" s="59">
        <f t="shared" si="205"/>
        <v>2021.7272727272723</v>
      </c>
      <c r="P133" s="503">
        <f t="shared" ref="P133:P134" si="215">O133*1.1</f>
        <v>2223.8999999999996</v>
      </c>
      <c r="Q133" s="59">
        <f t="shared" ref="Q133:Q134" si="216">D133+O133</f>
        <v>2422.3645454545449</v>
      </c>
      <c r="R133" s="272">
        <f t="shared" ref="R133:R134" si="217">Q133*1.1</f>
        <v>2664.6009999999997</v>
      </c>
      <c r="S133" s="40">
        <f>'Tariffs Jul2023'!AN127</f>
        <v>0</v>
      </c>
      <c r="T133" s="40">
        <f>'Tariffs Jul2023'!AO127</f>
        <v>0</v>
      </c>
      <c r="U133" s="40">
        <f>'Tariffs Jul2023'!AP127</f>
        <v>0</v>
      </c>
      <c r="V133" s="637">
        <f>'Tariffs Jul2023'!AQ127</f>
        <v>0</v>
      </c>
      <c r="W133" s="578" t="str">
        <f t="shared" ref="W133:W134" si="218">IF(SUM(S133:V133)=0,"No discount",IF(S133&gt;0,"Guaranteed off bill",IF(T133&gt;0,"Guaranteed off usage",IF(U133&gt;0,"Pay-on-time off bill","Pay-on-time off usage"))))</f>
        <v>No discount</v>
      </c>
      <c r="X133" s="538" t="str">
        <f t="shared" ref="X133:X134" si="219">IF(OR(A133="Origin Energy",A133="Red Energy",A133="Powershop"),"Inclusive","Exclusive")</f>
        <v>Inclusive</v>
      </c>
      <c r="Y133" s="535">
        <f t="shared" ref="Y133:Y134" si="220">IF(AND(W133="Guaranteed off bill",X133="Inclusive"),((Q133*1.1)-((Q133*1.1)*S133/100))/1.1,IF(AND(W133="Guaranteed off usage",X133="Inclusive"),((Q133*1.1)-((P133*1.1)*T133/100))/1.1,IF(AND(W133="Guaranteed off bill",X133="Exclusive"),Q133-(Q133*S133/100),IF(AND(W133="Guaranteed off usage",X133="Exclusive"),Q133-(P133*T133/100),IF(X133="Inclusive",((Q133*1.1))/1.1,Q133)))))</f>
        <v>2422.3645454545449</v>
      </c>
      <c r="Z133" s="535">
        <f t="shared" ref="Z133:Z134" si="221">IF(AND(W133="Pay-on-time off bill",X133="Inclusive"),((Y133*1.1)-((Y133*1.1)*U133/100))/1.1,IF(AND(W133="Pay-on-time off usage",X133="Inclusive"),((Y133*1.1)-((P133*1.1)*V133/100))/1.1,IF(AND(W133="Pay-on-time off bill",X133="Exclusive"),Y133-(Y133*U133/100),IF(AND(W133="Pay-on-time off usage",X133="Exclusive"),Y133-(P133*V133/100),IF(X133="Inclusive",((Y133*1.1))/1.1,Y133)))))</f>
        <v>2422.3645454545449</v>
      </c>
      <c r="AA133" s="542">
        <f t="shared" ref="AA133:AA134" si="222">Y133*1.1</f>
        <v>2664.6009999999997</v>
      </c>
      <c r="AB133" s="609">
        <f t="shared" ref="AB133:AB134" si="223">Z133*1.1</f>
        <v>2664.6009999999997</v>
      </c>
      <c r="AC133" s="625"/>
      <c r="AD133" s="625"/>
      <c r="AE133" s="625"/>
      <c r="AF133" s="625"/>
      <c r="AG133" s="625"/>
      <c r="AH133" s="625"/>
      <c r="AI133" s="625"/>
      <c r="AJ133" s="625"/>
      <c r="AK133" s="625"/>
      <c r="AL133" s="625"/>
      <c r="AM133" s="625"/>
      <c r="AN133" s="625"/>
      <c r="AO133" s="625"/>
      <c r="AP133" s="625"/>
      <c r="AQ133" s="625"/>
      <c r="AR133" s="625"/>
      <c r="AS133" s="625"/>
      <c r="AT133" s="625"/>
    </row>
    <row r="134" spans="1:46" ht="15" thickBot="1" x14ac:dyDescent="0.2">
      <c r="A134" s="286" t="str">
        <f>'Tariffs Jul2023'!F128</f>
        <v>Kogan</v>
      </c>
      <c r="B134" s="287" t="str">
        <f>'Tariffs Jul2023'!D128</f>
        <v>AusNet Services Central 1</v>
      </c>
      <c r="C134" s="287" t="str">
        <f>'Tariffs Jul2023'!G128</f>
        <v>First</v>
      </c>
      <c r="D134" s="288">
        <f>365*'Tariffs Jul2023'!H128/100</f>
        <v>400.63727272727266</v>
      </c>
      <c r="E134" s="288">
        <f>((C$5*'Tariffs Jul2023'!AK128/'Tariffs Jul2023'!AI128)*('Tariffs Jul2023'!O128/100))*'Tariffs Jul2023'!AI128</f>
        <v>1010.8636363636361</v>
      </c>
      <c r="F134" s="288">
        <v>0</v>
      </c>
      <c r="G134" s="288">
        <v>0</v>
      </c>
      <c r="H134" s="288">
        <v>0</v>
      </c>
      <c r="I134" s="548">
        <v>0</v>
      </c>
      <c r="J134" s="548">
        <f>((C$5*'Tariffs Jul2023'!AL128/'Tariffs Jul2023'!AJ128)*('Tariffs Jul2023'!U128/100))*'Tariffs Jul2023'!AJ128</f>
        <v>1010.8636363636361</v>
      </c>
      <c r="K134" s="548">
        <v>0</v>
      </c>
      <c r="L134" s="548">
        <v>0</v>
      </c>
      <c r="M134" s="548">
        <v>0</v>
      </c>
      <c r="N134" s="548">
        <v>0</v>
      </c>
      <c r="O134" s="288">
        <f t="shared" si="205"/>
        <v>2021.7272727272723</v>
      </c>
      <c r="P134" s="505">
        <f t="shared" si="215"/>
        <v>2223.8999999999996</v>
      </c>
      <c r="Q134" s="288">
        <f t="shared" si="216"/>
        <v>2422.3645454545449</v>
      </c>
      <c r="R134" s="290">
        <f t="shared" si="217"/>
        <v>2664.6009999999997</v>
      </c>
      <c r="S134" s="287">
        <f>'Tariffs Jul2023'!AN128</f>
        <v>0</v>
      </c>
      <c r="T134" s="287">
        <f>'Tariffs Jul2023'!AO128</f>
        <v>0</v>
      </c>
      <c r="U134" s="287">
        <f>'Tariffs Jul2023'!AP128</f>
        <v>0</v>
      </c>
      <c r="V134" s="639">
        <f>'Tariffs Jul2023'!AQ128</f>
        <v>0</v>
      </c>
      <c r="W134" s="640" t="str">
        <f t="shared" si="218"/>
        <v>No discount</v>
      </c>
      <c r="X134" s="587" t="str">
        <f t="shared" si="219"/>
        <v>Exclusive</v>
      </c>
      <c r="Y134" s="589">
        <f t="shared" si="220"/>
        <v>2422.3645454545449</v>
      </c>
      <c r="Z134" s="589">
        <f t="shared" si="221"/>
        <v>2422.3645454545449</v>
      </c>
      <c r="AA134" s="590">
        <f t="shared" si="222"/>
        <v>2664.6009999999997</v>
      </c>
      <c r="AB134" s="611">
        <f t="shared" si="223"/>
        <v>2664.6009999999997</v>
      </c>
      <c r="AC134" s="625"/>
      <c r="AD134" s="625"/>
      <c r="AE134" s="625"/>
      <c r="AF134" s="625"/>
      <c r="AG134" s="625"/>
      <c r="AH134" s="625"/>
      <c r="AI134" s="625"/>
      <c r="AJ134" s="625"/>
      <c r="AK134" s="625"/>
      <c r="AL134" s="625"/>
      <c r="AM134" s="625"/>
      <c r="AN134" s="625"/>
      <c r="AO134" s="625"/>
      <c r="AP134" s="625"/>
      <c r="AQ134" s="625"/>
      <c r="AR134" s="625"/>
      <c r="AS134" s="625"/>
      <c r="AT134" s="625"/>
    </row>
    <row r="135" spans="1:46" x14ac:dyDescent="0.1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  <c r="Z135" s="625"/>
      <c r="AA135" s="625"/>
      <c r="AB135" s="625"/>
      <c r="AC135" s="625"/>
      <c r="AD135" s="625"/>
      <c r="AE135" s="625"/>
      <c r="AF135" s="625"/>
      <c r="AG135" s="625"/>
      <c r="AH135" s="625"/>
      <c r="AI135" s="625"/>
      <c r="AJ135" s="625"/>
      <c r="AK135" s="625"/>
      <c r="AL135" s="625"/>
      <c r="AM135" s="625"/>
      <c r="AN135" s="625"/>
      <c r="AO135" s="625"/>
      <c r="AP135" s="625"/>
      <c r="AQ135" s="625"/>
      <c r="AR135" s="625"/>
      <c r="AS135" s="625"/>
      <c r="AT135" s="625"/>
    </row>
    <row r="136" spans="1:46" x14ac:dyDescent="0.15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  <c r="Z136" s="625"/>
      <c r="AA136" s="625"/>
      <c r="AB136" s="625"/>
      <c r="AC136" s="625"/>
      <c r="AD136" s="625"/>
      <c r="AE136" s="625"/>
      <c r="AF136" s="625"/>
      <c r="AG136" s="625"/>
      <c r="AH136" s="625"/>
      <c r="AI136" s="625"/>
      <c r="AJ136" s="625"/>
      <c r="AK136" s="625"/>
      <c r="AL136" s="625"/>
      <c r="AM136" s="625"/>
      <c r="AN136" s="625"/>
      <c r="AO136" s="625"/>
      <c r="AP136" s="625"/>
      <c r="AQ136" s="625"/>
      <c r="AR136" s="625"/>
      <c r="AS136" s="625"/>
      <c r="AT136" s="625"/>
    </row>
    <row r="137" spans="1:46" x14ac:dyDescent="0.15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  <c r="Z137" s="625"/>
      <c r="AA137" s="625"/>
      <c r="AB137" s="625"/>
      <c r="AC137" s="625"/>
      <c r="AD137" s="625"/>
      <c r="AE137" s="625"/>
      <c r="AF137" s="625"/>
      <c r="AG137" s="625"/>
      <c r="AH137" s="625"/>
      <c r="AI137" s="625"/>
      <c r="AJ137" s="625"/>
      <c r="AK137" s="625"/>
      <c r="AL137" s="625"/>
      <c r="AM137" s="625"/>
      <c r="AN137" s="625"/>
      <c r="AO137" s="625"/>
      <c r="AP137" s="625"/>
      <c r="AQ137" s="625"/>
      <c r="AR137" s="625"/>
      <c r="AS137" s="625"/>
      <c r="AT137" s="625"/>
    </row>
    <row r="138" spans="1:46" x14ac:dyDescent="0.15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  <c r="Z138" s="625"/>
      <c r="AA138" s="625"/>
      <c r="AB138" s="625"/>
      <c r="AC138" s="625"/>
      <c r="AD138" s="625"/>
      <c r="AE138" s="625"/>
      <c r="AF138" s="625"/>
      <c r="AG138" s="625"/>
      <c r="AH138" s="625"/>
      <c r="AI138" s="625"/>
      <c r="AJ138" s="625"/>
      <c r="AK138" s="625"/>
      <c r="AL138" s="625"/>
      <c r="AM138" s="625"/>
      <c r="AN138" s="625"/>
      <c r="AO138" s="625"/>
      <c r="AP138" s="625"/>
      <c r="AQ138" s="625"/>
      <c r="AR138" s="625"/>
      <c r="AS138" s="625"/>
      <c r="AT138" s="625"/>
    </row>
    <row r="139" spans="1:46" x14ac:dyDescent="0.15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  <c r="Z139" s="625"/>
      <c r="AA139" s="625"/>
      <c r="AB139" s="625"/>
      <c r="AC139" s="625"/>
      <c r="AD139" s="625"/>
      <c r="AE139" s="625"/>
      <c r="AF139" s="625"/>
      <c r="AG139" s="625"/>
      <c r="AH139" s="625"/>
      <c r="AI139" s="625"/>
      <c r="AJ139" s="625"/>
      <c r="AK139" s="625"/>
      <c r="AL139" s="625"/>
      <c r="AM139" s="625"/>
      <c r="AN139" s="625"/>
      <c r="AO139" s="625"/>
      <c r="AP139" s="625"/>
      <c r="AQ139" s="625"/>
      <c r="AR139" s="625"/>
      <c r="AS139" s="625"/>
      <c r="AT139" s="625"/>
    </row>
    <row r="140" spans="1:46" x14ac:dyDescent="0.15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  <c r="Z140" s="625"/>
      <c r="AA140" s="625"/>
      <c r="AB140" s="625"/>
      <c r="AC140" s="625"/>
      <c r="AD140" s="625"/>
      <c r="AE140" s="625"/>
      <c r="AF140" s="625"/>
      <c r="AG140" s="625"/>
      <c r="AH140" s="625"/>
      <c r="AI140" s="625"/>
      <c r="AJ140" s="625"/>
      <c r="AK140" s="625"/>
      <c r="AL140" s="625"/>
      <c r="AM140" s="625"/>
      <c r="AN140" s="625"/>
      <c r="AO140" s="625"/>
      <c r="AP140" s="625"/>
      <c r="AQ140" s="625"/>
      <c r="AR140" s="625"/>
      <c r="AS140" s="625"/>
      <c r="AT140" s="625"/>
    </row>
    <row r="141" spans="1:46" x14ac:dyDescent="0.15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  <c r="Z141" s="625"/>
      <c r="AA141" s="625"/>
      <c r="AB141" s="625"/>
      <c r="AC141" s="625"/>
      <c r="AD141" s="625"/>
      <c r="AE141" s="625"/>
      <c r="AF141" s="625"/>
      <c r="AG141" s="625"/>
      <c r="AH141" s="625"/>
      <c r="AI141" s="625"/>
      <c r="AJ141" s="625"/>
      <c r="AK141" s="625"/>
      <c r="AL141" s="625"/>
      <c r="AM141" s="625"/>
      <c r="AN141" s="625"/>
      <c r="AO141" s="625"/>
      <c r="AP141" s="625"/>
      <c r="AQ141" s="625"/>
      <c r="AR141" s="625"/>
      <c r="AS141" s="625"/>
      <c r="AT141" s="625"/>
    </row>
    <row r="142" spans="1:46" x14ac:dyDescent="0.15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  <c r="Z142" s="625"/>
      <c r="AA142" s="625"/>
      <c r="AB142" s="625"/>
      <c r="AC142" s="625"/>
      <c r="AD142" s="625"/>
      <c r="AE142" s="625"/>
      <c r="AF142" s="625"/>
      <c r="AG142" s="625"/>
      <c r="AH142" s="625"/>
      <c r="AI142" s="625"/>
      <c r="AJ142" s="625"/>
      <c r="AK142" s="625"/>
      <c r="AL142" s="625"/>
      <c r="AM142" s="625"/>
      <c r="AN142" s="625"/>
      <c r="AO142" s="625"/>
      <c r="AP142" s="625"/>
      <c r="AQ142" s="625"/>
      <c r="AR142" s="625"/>
      <c r="AS142" s="625"/>
      <c r="AT142" s="625"/>
    </row>
    <row r="143" spans="1:46" x14ac:dyDescent="0.15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  <c r="Z143" s="625"/>
      <c r="AA143" s="625"/>
      <c r="AB143" s="625"/>
      <c r="AC143" s="625"/>
      <c r="AD143" s="625"/>
      <c r="AE143" s="625"/>
      <c r="AF143" s="625"/>
      <c r="AG143" s="625"/>
      <c r="AH143" s="625"/>
      <c r="AI143" s="625"/>
      <c r="AJ143" s="625"/>
      <c r="AK143" s="625"/>
      <c r="AL143" s="625"/>
      <c r="AM143" s="625"/>
      <c r="AN143" s="625"/>
      <c r="AO143" s="625"/>
      <c r="AP143" s="625"/>
      <c r="AQ143" s="625"/>
      <c r="AR143" s="625"/>
      <c r="AS143" s="625"/>
      <c r="AT143" s="625"/>
    </row>
    <row r="144" spans="1:46" x14ac:dyDescent="0.15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  <c r="Z144" s="625"/>
      <c r="AA144" s="625"/>
      <c r="AB144" s="625"/>
      <c r="AC144" s="625"/>
      <c r="AD144" s="625"/>
      <c r="AE144" s="625"/>
      <c r="AF144" s="625"/>
      <c r="AG144" s="625"/>
      <c r="AH144" s="625"/>
      <c r="AI144" s="625"/>
      <c r="AJ144" s="625"/>
      <c r="AK144" s="625"/>
      <c r="AL144" s="625"/>
      <c r="AM144" s="625"/>
      <c r="AN144" s="625"/>
      <c r="AO144" s="625"/>
      <c r="AP144" s="625"/>
      <c r="AQ144" s="625"/>
      <c r="AR144" s="625"/>
      <c r="AS144" s="625"/>
      <c r="AT144" s="625"/>
    </row>
    <row r="145" spans="1:46" x14ac:dyDescent="0.1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  <c r="Z145" s="625"/>
      <c r="AA145" s="625"/>
      <c r="AB145" s="625"/>
      <c r="AC145" s="625"/>
      <c r="AD145" s="625"/>
      <c r="AE145" s="625"/>
      <c r="AF145" s="625"/>
      <c r="AG145" s="625"/>
      <c r="AH145" s="625"/>
      <c r="AI145" s="625"/>
      <c r="AJ145" s="625"/>
      <c r="AK145" s="625"/>
      <c r="AL145" s="625"/>
      <c r="AM145" s="625"/>
      <c r="AN145" s="625"/>
      <c r="AO145" s="625"/>
      <c r="AP145" s="625"/>
      <c r="AQ145" s="625"/>
      <c r="AR145" s="625"/>
      <c r="AS145" s="625"/>
      <c r="AT145" s="625"/>
    </row>
    <row r="146" spans="1:46" x14ac:dyDescent="0.15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  <c r="Z146" s="625"/>
      <c r="AA146" s="625"/>
      <c r="AB146" s="625"/>
      <c r="AC146" s="625"/>
      <c r="AD146" s="625"/>
      <c r="AE146" s="625"/>
      <c r="AF146" s="625"/>
      <c r="AG146" s="625"/>
      <c r="AH146" s="625"/>
      <c r="AI146" s="625"/>
      <c r="AJ146" s="625"/>
      <c r="AK146" s="625"/>
      <c r="AL146" s="625"/>
      <c r="AM146" s="625"/>
      <c r="AN146" s="625"/>
      <c r="AO146" s="625"/>
      <c r="AP146" s="625"/>
      <c r="AQ146" s="625"/>
      <c r="AR146" s="625"/>
      <c r="AS146" s="625"/>
      <c r="AT146" s="625"/>
    </row>
    <row r="147" spans="1:46" x14ac:dyDescent="0.15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  <c r="Z147" s="625"/>
      <c r="AA147" s="625"/>
      <c r="AB147" s="625"/>
      <c r="AC147" s="625"/>
      <c r="AD147" s="625"/>
      <c r="AE147" s="625"/>
      <c r="AF147" s="625"/>
      <c r="AG147" s="625"/>
      <c r="AH147" s="625"/>
      <c r="AI147" s="625"/>
      <c r="AJ147" s="625"/>
      <c r="AK147" s="625"/>
      <c r="AL147" s="625"/>
      <c r="AM147" s="625"/>
      <c r="AN147" s="625"/>
      <c r="AO147" s="625"/>
      <c r="AP147" s="625"/>
      <c r="AQ147" s="625"/>
      <c r="AR147" s="625"/>
      <c r="AS147" s="625"/>
      <c r="AT147" s="625"/>
    </row>
    <row r="148" spans="1:46" x14ac:dyDescent="0.15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  <c r="Z148" s="625"/>
      <c r="AA148" s="625"/>
      <c r="AB148" s="625"/>
      <c r="AC148" s="625"/>
      <c r="AD148" s="625"/>
      <c r="AE148" s="625"/>
      <c r="AF148" s="625"/>
      <c r="AG148" s="625"/>
      <c r="AH148" s="625"/>
      <c r="AI148" s="625"/>
      <c r="AJ148" s="625"/>
      <c r="AK148" s="625"/>
      <c r="AL148" s="625"/>
      <c r="AM148" s="625"/>
      <c r="AN148" s="625"/>
      <c r="AO148" s="625"/>
      <c r="AP148" s="625"/>
      <c r="AQ148" s="625"/>
      <c r="AR148" s="625"/>
      <c r="AS148" s="625"/>
      <c r="AT148" s="625"/>
    </row>
    <row r="149" spans="1:46" x14ac:dyDescent="0.15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  <c r="Z149" s="625"/>
      <c r="AA149" s="625"/>
      <c r="AB149" s="625"/>
      <c r="AC149" s="625"/>
      <c r="AD149" s="625"/>
      <c r="AE149" s="625"/>
      <c r="AF149" s="625"/>
      <c r="AG149" s="625"/>
      <c r="AH149" s="625"/>
      <c r="AI149" s="625"/>
      <c r="AJ149" s="625"/>
      <c r="AK149" s="625"/>
      <c r="AL149" s="625"/>
      <c r="AM149" s="625"/>
      <c r="AN149" s="625"/>
      <c r="AO149" s="625"/>
      <c r="AP149" s="625"/>
      <c r="AQ149" s="625"/>
      <c r="AR149" s="625"/>
      <c r="AS149" s="625"/>
      <c r="AT149" s="625"/>
    </row>
    <row r="150" spans="1:46" x14ac:dyDescent="0.15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  <c r="Z150" s="625"/>
      <c r="AA150" s="625"/>
      <c r="AB150" s="625"/>
      <c r="AC150" s="625"/>
      <c r="AD150" s="625"/>
      <c r="AE150" s="625"/>
      <c r="AF150" s="625"/>
      <c r="AG150" s="625"/>
      <c r="AH150" s="625"/>
      <c r="AI150" s="625"/>
      <c r="AJ150" s="625"/>
      <c r="AK150" s="625"/>
      <c r="AL150" s="625"/>
      <c r="AM150" s="625"/>
      <c r="AN150" s="625"/>
      <c r="AO150" s="625"/>
      <c r="AP150" s="625"/>
      <c r="AQ150" s="625"/>
      <c r="AR150" s="625"/>
      <c r="AS150" s="625"/>
      <c r="AT150" s="625"/>
    </row>
    <row r="151" spans="1:46" x14ac:dyDescent="0.15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  <c r="Z151" s="625"/>
      <c r="AA151" s="625"/>
      <c r="AB151" s="625"/>
      <c r="AC151" s="625"/>
      <c r="AD151" s="625"/>
      <c r="AE151" s="625"/>
      <c r="AF151" s="625"/>
      <c r="AG151" s="625"/>
      <c r="AH151" s="625"/>
      <c r="AI151" s="625"/>
      <c r="AJ151" s="625"/>
      <c r="AK151" s="625"/>
      <c r="AL151" s="625"/>
      <c r="AM151" s="625"/>
      <c r="AN151" s="625"/>
      <c r="AO151" s="625"/>
      <c r="AP151" s="625"/>
      <c r="AQ151" s="625"/>
      <c r="AR151" s="625"/>
      <c r="AS151" s="625"/>
      <c r="AT151" s="625"/>
    </row>
    <row r="152" spans="1:46" x14ac:dyDescent="0.15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  <c r="Z152" s="625"/>
      <c r="AA152" s="625"/>
      <c r="AB152" s="625"/>
      <c r="AC152" s="625"/>
      <c r="AD152" s="625"/>
      <c r="AE152" s="625"/>
      <c r="AF152" s="625"/>
      <c r="AG152" s="625"/>
      <c r="AH152" s="625"/>
      <c r="AI152" s="625"/>
      <c r="AJ152" s="625"/>
      <c r="AK152" s="625"/>
      <c r="AL152" s="625"/>
      <c r="AM152" s="625"/>
      <c r="AN152" s="625"/>
      <c r="AO152" s="625"/>
      <c r="AP152" s="625"/>
      <c r="AQ152" s="625"/>
      <c r="AR152" s="625"/>
      <c r="AS152" s="625"/>
      <c r="AT152" s="625"/>
    </row>
    <row r="153" spans="1:46" x14ac:dyDescent="0.15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  <c r="Z153" s="625"/>
      <c r="AA153" s="625"/>
      <c r="AB153" s="625"/>
      <c r="AC153" s="625"/>
      <c r="AD153" s="625"/>
      <c r="AE153" s="625"/>
      <c r="AF153" s="625"/>
      <c r="AG153" s="625"/>
      <c r="AH153" s="625"/>
      <c r="AI153" s="625"/>
      <c r="AJ153" s="625"/>
      <c r="AK153" s="625"/>
      <c r="AL153" s="625"/>
      <c r="AM153" s="625"/>
      <c r="AN153" s="625"/>
      <c r="AO153" s="625"/>
      <c r="AP153" s="625"/>
      <c r="AQ153" s="625"/>
      <c r="AR153" s="625"/>
      <c r="AS153" s="625"/>
      <c r="AT153" s="625"/>
    </row>
    <row r="154" spans="1:46" x14ac:dyDescent="0.15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  <c r="Z154" s="625"/>
      <c r="AA154" s="625"/>
      <c r="AB154" s="625"/>
      <c r="AC154" s="625"/>
      <c r="AD154" s="625"/>
      <c r="AE154" s="625"/>
      <c r="AF154" s="625"/>
      <c r="AG154" s="625"/>
      <c r="AH154" s="625"/>
      <c r="AI154" s="625"/>
      <c r="AJ154" s="625"/>
      <c r="AK154" s="625"/>
      <c r="AL154" s="625"/>
      <c r="AM154" s="625"/>
      <c r="AN154" s="625"/>
      <c r="AO154" s="625"/>
      <c r="AP154" s="625"/>
      <c r="AQ154" s="625"/>
      <c r="AR154" s="625"/>
      <c r="AS154" s="625"/>
      <c r="AT154" s="625"/>
    </row>
    <row r="155" spans="1:46" x14ac:dyDescent="0.1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  <c r="Z155" s="625"/>
      <c r="AA155" s="625"/>
      <c r="AB155" s="625"/>
      <c r="AC155" s="625"/>
      <c r="AD155" s="625"/>
      <c r="AE155" s="625"/>
      <c r="AF155" s="625"/>
      <c r="AG155" s="625"/>
      <c r="AH155" s="625"/>
      <c r="AI155" s="625"/>
      <c r="AJ155" s="625"/>
      <c r="AK155" s="625"/>
      <c r="AL155" s="625"/>
      <c r="AM155" s="625"/>
      <c r="AN155" s="625"/>
      <c r="AO155" s="625"/>
      <c r="AP155" s="625"/>
      <c r="AQ155" s="625"/>
      <c r="AR155" s="625"/>
      <c r="AS155" s="625"/>
      <c r="AT155" s="625"/>
    </row>
    <row r="156" spans="1:46" x14ac:dyDescent="0.15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  <c r="Z156" s="625"/>
      <c r="AA156" s="625"/>
      <c r="AB156" s="625"/>
      <c r="AC156" s="625"/>
      <c r="AD156" s="625"/>
      <c r="AE156" s="625"/>
      <c r="AF156" s="625"/>
      <c r="AG156" s="625"/>
      <c r="AH156" s="625"/>
      <c r="AI156" s="625"/>
      <c r="AJ156" s="625"/>
      <c r="AK156" s="625"/>
      <c r="AL156" s="625"/>
      <c r="AM156" s="625"/>
      <c r="AN156" s="625"/>
      <c r="AO156" s="625"/>
      <c r="AP156" s="625"/>
      <c r="AQ156" s="625"/>
      <c r="AR156" s="625"/>
      <c r="AS156" s="625"/>
      <c r="AT156" s="625"/>
    </row>
    <row r="157" spans="1:46" x14ac:dyDescent="0.15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  <c r="Z157" s="625"/>
      <c r="AA157" s="625"/>
      <c r="AB157" s="625"/>
      <c r="AC157" s="625"/>
      <c r="AD157" s="625"/>
      <c r="AE157" s="625"/>
      <c r="AF157" s="625"/>
      <c r="AG157" s="625"/>
      <c r="AH157" s="625"/>
      <c r="AI157" s="625"/>
      <c r="AJ157" s="625"/>
      <c r="AK157" s="625"/>
      <c r="AL157" s="625"/>
      <c r="AM157" s="625"/>
      <c r="AN157" s="625"/>
      <c r="AO157" s="625"/>
      <c r="AP157" s="625"/>
      <c r="AQ157" s="625"/>
      <c r="AR157" s="625"/>
      <c r="AS157" s="625"/>
      <c r="AT157" s="625"/>
    </row>
    <row r="158" spans="1:46" x14ac:dyDescent="0.15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  <c r="Z158" s="625"/>
      <c r="AA158" s="625"/>
      <c r="AB158" s="625"/>
      <c r="AC158" s="625"/>
      <c r="AD158" s="625"/>
      <c r="AE158" s="625"/>
      <c r="AF158" s="625"/>
      <c r="AG158" s="625"/>
      <c r="AH158" s="625"/>
      <c r="AI158" s="625"/>
      <c r="AJ158" s="625"/>
      <c r="AK158" s="625"/>
      <c r="AL158" s="625"/>
      <c r="AM158" s="625"/>
      <c r="AN158" s="625"/>
      <c r="AO158" s="625"/>
      <c r="AP158" s="625"/>
      <c r="AQ158" s="625"/>
      <c r="AR158" s="625"/>
      <c r="AS158" s="625"/>
      <c r="AT158" s="625"/>
    </row>
    <row r="159" spans="1:46" x14ac:dyDescent="0.15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  <c r="Z159" s="625"/>
      <c r="AA159" s="625"/>
      <c r="AB159" s="625"/>
      <c r="AC159" s="625"/>
      <c r="AD159" s="625"/>
      <c r="AE159" s="625"/>
      <c r="AF159" s="625"/>
      <c r="AG159" s="625"/>
      <c r="AH159" s="625"/>
      <c r="AI159" s="625"/>
      <c r="AJ159" s="625"/>
      <c r="AK159" s="625"/>
      <c r="AL159" s="625"/>
      <c r="AM159" s="625"/>
      <c r="AN159" s="625"/>
      <c r="AO159" s="625"/>
      <c r="AP159" s="625"/>
      <c r="AQ159" s="625"/>
      <c r="AR159" s="625"/>
      <c r="AS159" s="625"/>
      <c r="AT159" s="625"/>
    </row>
    <row r="160" spans="1:46" x14ac:dyDescent="0.15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  <c r="Z160" s="625"/>
      <c r="AA160" s="625"/>
      <c r="AB160" s="625"/>
      <c r="AC160" s="625"/>
      <c r="AD160" s="625"/>
      <c r="AE160" s="625"/>
      <c r="AF160" s="625"/>
      <c r="AG160" s="625"/>
      <c r="AH160" s="625"/>
      <c r="AI160" s="625"/>
      <c r="AJ160" s="625"/>
      <c r="AK160" s="625"/>
      <c r="AL160" s="625"/>
      <c r="AM160" s="625"/>
      <c r="AN160" s="625"/>
      <c r="AO160" s="625"/>
      <c r="AP160" s="625"/>
      <c r="AQ160" s="625"/>
      <c r="AR160" s="625"/>
      <c r="AS160" s="625"/>
      <c r="AT160" s="625"/>
    </row>
    <row r="161" spans="1:46" x14ac:dyDescent="0.15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  <c r="Z161" s="625"/>
      <c r="AA161" s="625"/>
      <c r="AB161" s="625"/>
      <c r="AC161" s="625"/>
      <c r="AD161" s="625"/>
      <c r="AE161" s="625"/>
      <c r="AF161" s="625"/>
      <c r="AG161" s="625"/>
      <c r="AH161" s="625"/>
      <c r="AI161" s="625"/>
      <c r="AJ161" s="625"/>
      <c r="AK161" s="625"/>
      <c r="AL161" s="625"/>
      <c r="AM161" s="625"/>
      <c r="AN161" s="625"/>
      <c r="AO161" s="625"/>
      <c r="AP161" s="625"/>
      <c r="AQ161" s="625"/>
      <c r="AR161" s="625"/>
      <c r="AS161" s="625"/>
      <c r="AT161" s="625"/>
    </row>
    <row r="162" spans="1:46" x14ac:dyDescent="0.15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  <c r="Z162" s="625"/>
      <c r="AA162" s="625"/>
      <c r="AB162" s="625"/>
      <c r="AC162" s="625"/>
      <c r="AD162" s="625"/>
      <c r="AE162" s="625"/>
      <c r="AF162" s="625"/>
      <c r="AG162" s="625"/>
      <c r="AH162" s="625"/>
      <c r="AI162" s="625"/>
      <c r="AJ162" s="625"/>
      <c r="AK162" s="625"/>
      <c r="AL162" s="625"/>
      <c r="AM162" s="625"/>
      <c r="AN162" s="625"/>
      <c r="AO162" s="625"/>
      <c r="AP162" s="625"/>
      <c r="AQ162" s="625"/>
      <c r="AR162" s="625"/>
      <c r="AS162" s="625"/>
      <c r="AT162" s="625"/>
    </row>
    <row r="163" spans="1:46" x14ac:dyDescent="0.15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  <c r="Z163" s="625"/>
      <c r="AA163" s="625"/>
      <c r="AB163" s="625"/>
      <c r="AC163" s="625"/>
      <c r="AD163" s="625"/>
      <c r="AE163" s="625"/>
      <c r="AF163" s="625"/>
      <c r="AG163" s="625"/>
      <c r="AH163" s="625"/>
      <c r="AI163" s="625"/>
      <c r="AJ163" s="625"/>
      <c r="AK163" s="625"/>
      <c r="AL163" s="625"/>
      <c r="AM163" s="625"/>
      <c r="AN163" s="625"/>
      <c r="AO163" s="625"/>
      <c r="AP163" s="625"/>
      <c r="AQ163" s="625"/>
      <c r="AR163" s="625"/>
      <c r="AS163" s="625"/>
      <c r="AT163" s="625"/>
    </row>
    <row r="164" spans="1:46" x14ac:dyDescent="0.15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  <c r="Z164" s="625"/>
      <c r="AA164" s="625"/>
      <c r="AB164" s="625"/>
      <c r="AC164" s="625"/>
      <c r="AD164" s="625"/>
      <c r="AE164" s="625"/>
      <c r="AF164" s="625"/>
      <c r="AG164" s="625"/>
      <c r="AH164" s="625"/>
      <c r="AI164" s="625"/>
      <c r="AJ164" s="625"/>
      <c r="AK164" s="625"/>
      <c r="AL164" s="625"/>
      <c r="AM164" s="625"/>
      <c r="AN164" s="625"/>
      <c r="AO164" s="625"/>
      <c r="AP164" s="625"/>
      <c r="AQ164" s="625"/>
      <c r="AR164" s="625"/>
      <c r="AS164" s="625"/>
      <c r="AT164" s="625"/>
    </row>
    <row r="165" spans="1:46" x14ac:dyDescent="0.1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  <c r="Z165" s="625"/>
      <c r="AA165" s="625"/>
      <c r="AB165" s="625"/>
      <c r="AC165" s="625"/>
      <c r="AD165" s="625"/>
      <c r="AE165" s="625"/>
      <c r="AF165" s="625"/>
      <c r="AG165" s="625"/>
      <c r="AH165" s="625"/>
      <c r="AI165" s="625"/>
      <c r="AJ165" s="625"/>
      <c r="AK165" s="625"/>
      <c r="AL165" s="625"/>
      <c r="AM165" s="625"/>
      <c r="AN165" s="625"/>
      <c r="AO165" s="625"/>
      <c r="AP165" s="625"/>
      <c r="AQ165" s="625"/>
      <c r="AR165" s="625"/>
      <c r="AS165" s="625"/>
      <c r="AT165" s="625"/>
    </row>
    <row r="166" spans="1:46" x14ac:dyDescent="0.15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  <c r="Z166" s="625"/>
      <c r="AA166" s="625"/>
      <c r="AB166" s="625"/>
      <c r="AC166" s="625"/>
      <c r="AD166" s="625"/>
      <c r="AE166" s="625"/>
      <c r="AF166" s="625"/>
      <c r="AG166" s="625"/>
      <c r="AH166" s="625"/>
      <c r="AI166" s="625"/>
      <c r="AJ166" s="625"/>
      <c r="AK166" s="625"/>
      <c r="AL166" s="625"/>
      <c r="AM166" s="625"/>
      <c r="AN166" s="625"/>
      <c r="AO166" s="625"/>
      <c r="AP166" s="625"/>
      <c r="AQ166" s="625"/>
      <c r="AR166" s="625"/>
      <c r="AS166" s="625"/>
      <c r="AT166" s="625"/>
    </row>
    <row r="167" spans="1:46" x14ac:dyDescent="0.15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  <c r="Z167" s="625"/>
      <c r="AA167" s="625"/>
      <c r="AB167" s="625"/>
      <c r="AC167" s="625"/>
      <c r="AD167" s="625"/>
      <c r="AE167" s="625"/>
      <c r="AF167" s="625"/>
      <c r="AG167" s="625"/>
      <c r="AH167" s="625"/>
      <c r="AI167" s="625"/>
      <c r="AJ167" s="625"/>
      <c r="AK167" s="625"/>
      <c r="AL167" s="625"/>
      <c r="AM167" s="625"/>
      <c r="AN167" s="625"/>
      <c r="AO167" s="625"/>
      <c r="AP167" s="625"/>
      <c r="AQ167" s="625"/>
      <c r="AR167" s="625"/>
      <c r="AS167" s="625"/>
      <c r="AT167" s="625"/>
    </row>
    <row r="168" spans="1:46" x14ac:dyDescent="0.15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  <c r="Z168" s="625"/>
      <c r="AA168" s="625"/>
      <c r="AB168" s="625"/>
      <c r="AC168" s="625"/>
      <c r="AD168" s="625"/>
      <c r="AE168" s="625"/>
      <c r="AF168" s="625"/>
      <c r="AG168" s="625"/>
      <c r="AH168" s="625"/>
      <c r="AI168" s="625"/>
      <c r="AJ168" s="625"/>
      <c r="AK168" s="625"/>
      <c r="AL168" s="625"/>
      <c r="AM168" s="625"/>
      <c r="AN168" s="625"/>
      <c r="AO168" s="625"/>
      <c r="AP168" s="625"/>
      <c r="AQ168" s="625"/>
      <c r="AR168" s="625"/>
      <c r="AS168" s="625"/>
      <c r="AT168" s="625"/>
    </row>
    <row r="169" spans="1:46" x14ac:dyDescent="0.15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  <c r="Z169" s="625"/>
      <c r="AA169" s="625"/>
      <c r="AB169" s="625"/>
      <c r="AC169" s="625"/>
      <c r="AD169" s="625"/>
      <c r="AE169" s="625"/>
      <c r="AF169" s="625"/>
      <c r="AG169" s="625"/>
      <c r="AH169" s="625"/>
      <c r="AI169" s="625"/>
      <c r="AJ169" s="625"/>
      <c r="AK169" s="625"/>
      <c r="AL169" s="625"/>
      <c r="AM169" s="625"/>
      <c r="AN169" s="625"/>
      <c r="AO169" s="625"/>
      <c r="AP169" s="625"/>
      <c r="AQ169" s="625"/>
      <c r="AR169" s="625"/>
      <c r="AS169" s="625"/>
      <c r="AT169" s="625"/>
    </row>
    <row r="170" spans="1:46" x14ac:dyDescent="0.15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  <c r="Z170" s="625"/>
      <c r="AA170" s="625"/>
      <c r="AB170" s="625"/>
      <c r="AC170" s="625"/>
      <c r="AD170" s="625"/>
      <c r="AE170" s="625"/>
      <c r="AF170" s="625"/>
      <c r="AG170" s="625"/>
      <c r="AH170" s="625"/>
      <c r="AI170" s="625"/>
      <c r="AJ170" s="625"/>
      <c r="AK170" s="625"/>
      <c r="AL170" s="625"/>
      <c r="AM170" s="625"/>
      <c r="AN170" s="625"/>
      <c r="AO170" s="625"/>
      <c r="AP170" s="625"/>
      <c r="AQ170" s="625"/>
      <c r="AR170" s="625"/>
      <c r="AS170" s="625"/>
      <c r="AT170" s="625"/>
    </row>
    <row r="171" spans="1:46" x14ac:dyDescent="0.15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  <c r="Z171" s="625"/>
      <c r="AA171" s="625"/>
      <c r="AB171" s="625"/>
      <c r="AC171" s="625"/>
      <c r="AD171" s="625"/>
      <c r="AE171" s="625"/>
      <c r="AF171" s="625"/>
      <c r="AG171" s="625"/>
      <c r="AH171" s="625"/>
      <c r="AI171" s="625"/>
      <c r="AJ171" s="625"/>
      <c r="AK171" s="625"/>
      <c r="AL171" s="625"/>
      <c r="AM171" s="625"/>
      <c r="AN171" s="625"/>
      <c r="AO171" s="625"/>
      <c r="AP171" s="625"/>
      <c r="AQ171" s="625"/>
      <c r="AR171" s="625"/>
      <c r="AS171" s="625"/>
      <c r="AT171" s="625"/>
    </row>
    <row r="172" spans="1:46" x14ac:dyDescent="0.15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  <c r="Z172" s="625"/>
      <c r="AA172" s="625"/>
      <c r="AB172" s="625"/>
      <c r="AC172" s="625"/>
      <c r="AD172" s="625"/>
      <c r="AE172" s="625"/>
      <c r="AF172" s="625"/>
      <c r="AG172" s="625"/>
      <c r="AH172" s="625"/>
      <c r="AI172" s="625"/>
      <c r="AJ172" s="625"/>
      <c r="AK172" s="625"/>
      <c r="AL172" s="625"/>
      <c r="AM172" s="625"/>
      <c r="AN172" s="625"/>
      <c r="AO172" s="625"/>
      <c r="AP172" s="625"/>
      <c r="AQ172" s="625"/>
      <c r="AR172" s="625"/>
      <c r="AS172" s="625"/>
      <c r="AT172" s="625"/>
    </row>
    <row r="173" spans="1:46" x14ac:dyDescent="0.15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  <c r="Z173" s="625"/>
      <c r="AA173" s="625"/>
      <c r="AB173" s="625"/>
      <c r="AC173" s="625"/>
      <c r="AD173" s="625"/>
      <c r="AE173" s="625"/>
      <c r="AF173" s="625"/>
      <c r="AG173" s="625"/>
      <c r="AH173" s="625"/>
      <c r="AI173" s="625"/>
      <c r="AJ173" s="625"/>
      <c r="AK173" s="625"/>
      <c r="AL173" s="625"/>
      <c r="AM173" s="625"/>
      <c r="AN173" s="625"/>
      <c r="AO173" s="625"/>
      <c r="AP173" s="625"/>
      <c r="AQ173" s="625"/>
      <c r="AR173" s="625"/>
      <c r="AS173" s="625"/>
      <c r="AT173" s="625"/>
    </row>
    <row r="174" spans="1:46" x14ac:dyDescent="0.15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  <c r="Z174" s="625"/>
      <c r="AA174" s="625"/>
      <c r="AB174" s="625"/>
      <c r="AC174" s="625"/>
      <c r="AD174" s="625"/>
      <c r="AE174" s="625"/>
      <c r="AF174" s="625"/>
      <c r="AG174" s="625"/>
      <c r="AH174" s="625"/>
      <c r="AI174" s="625"/>
      <c r="AJ174" s="625"/>
      <c r="AK174" s="625"/>
      <c r="AL174" s="625"/>
      <c r="AM174" s="625"/>
      <c r="AN174" s="625"/>
      <c r="AO174" s="625"/>
      <c r="AP174" s="625"/>
      <c r="AQ174" s="625"/>
      <c r="AR174" s="625"/>
      <c r="AS174" s="625"/>
      <c r="AT174" s="625"/>
    </row>
    <row r="175" spans="1:46" x14ac:dyDescent="0.1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  <c r="Z175" s="625"/>
      <c r="AA175" s="625"/>
      <c r="AB175" s="625"/>
      <c r="AC175" s="625"/>
      <c r="AD175" s="625"/>
      <c r="AE175" s="625"/>
      <c r="AF175" s="625"/>
      <c r="AG175" s="625"/>
      <c r="AH175" s="625"/>
      <c r="AI175" s="625"/>
      <c r="AJ175" s="625"/>
      <c r="AK175" s="625"/>
      <c r="AL175" s="625"/>
      <c r="AM175" s="625"/>
      <c r="AN175" s="625"/>
      <c r="AO175" s="625"/>
      <c r="AP175" s="625"/>
      <c r="AQ175" s="625"/>
      <c r="AR175" s="625"/>
      <c r="AS175" s="625"/>
      <c r="AT175" s="625"/>
    </row>
    <row r="176" spans="1:46" x14ac:dyDescent="0.15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  <c r="Z176" s="625"/>
      <c r="AA176" s="625"/>
      <c r="AB176" s="625"/>
      <c r="AC176" s="625"/>
      <c r="AD176" s="625"/>
      <c r="AE176" s="625"/>
      <c r="AF176" s="625"/>
      <c r="AG176" s="625"/>
      <c r="AH176" s="625"/>
      <c r="AI176" s="625"/>
      <c r="AJ176" s="625"/>
      <c r="AK176" s="625"/>
      <c r="AL176" s="625"/>
      <c r="AM176" s="625"/>
      <c r="AN176" s="625"/>
      <c r="AO176" s="625"/>
      <c r="AP176" s="625"/>
      <c r="AQ176" s="625"/>
      <c r="AR176" s="625"/>
      <c r="AS176" s="625"/>
      <c r="AT176" s="625"/>
    </row>
    <row r="177" spans="1:46" x14ac:dyDescent="0.15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  <c r="Z177" s="625"/>
      <c r="AA177" s="625"/>
      <c r="AB177" s="625"/>
      <c r="AC177" s="625"/>
      <c r="AD177" s="625"/>
      <c r="AE177" s="625"/>
      <c r="AF177" s="625"/>
      <c r="AG177" s="625"/>
      <c r="AH177" s="625"/>
      <c r="AI177" s="625"/>
      <c r="AJ177" s="625"/>
      <c r="AK177" s="625"/>
      <c r="AL177" s="625"/>
      <c r="AM177" s="625"/>
      <c r="AN177" s="625"/>
      <c r="AO177" s="625"/>
      <c r="AP177" s="625"/>
      <c r="AQ177" s="625"/>
      <c r="AR177" s="625"/>
      <c r="AS177" s="625"/>
      <c r="AT177" s="625"/>
    </row>
    <row r="178" spans="1:46" x14ac:dyDescent="0.15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  <c r="Z178" s="625"/>
      <c r="AA178" s="625"/>
      <c r="AB178" s="625"/>
      <c r="AC178" s="625"/>
      <c r="AD178" s="625"/>
      <c r="AE178" s="625"/>
      <c r="AF178" s="625"/>
      <c r="AG178" s="625"/>
      <c r="AH178" s="625"/>
      <c r="AI178" s="625"/>
      <c r="AJ178" s="625"/>
      <c r="AK178" s="625"/>
      <c r="AL178" s="625"/>
      <c r="AM178" s="625"/>
      <c r="AN178" s="625"/>
      <c r="AO178" s="625"/>
      <c r="AP178" s="625"/>
      <c r="AQ178" s="625"/>
      <c r="AR178" s="625"/>
      <c r="AS178" s="625"/>
      <c r="AT178" s="625"/>
    </row>
    <row r="179" spans="1:46" x14ac:dyDescent="0.15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  <c r="Z179" s="625"/>
      <c r="AA179" s="625"/>
      <c r="AB179" s="625"/>
      <c r="AC179" s="625"/>
      <c r="AD179" s="625"/>
      <c r="AE179" s="625"/>
      <c r="AF179" s="625"/>
      <c r="AG179" s="625"/>
      <c r="AH179" s="625"/>
      <c r="AI179" s="625"/>
      <c r="AJ179" s="625"/>
      <c r="AK179" s="625"/>
      <c r="AL179" s="625"/>
      <c r="AM179" s="625"/>
      <c r="AN179" s="625"/>
      <c r="AO179" s="625"/>
      <c r="AP179" s="625"/>
      <c r="AQ179" s="625"/>
      <c r="AR179" s="625"/>
      <c r="AS179" s="625"/>
      <c r="AT179" s="625"/>
    </row>
    <row r="180" spans="1:46" x14ac:dyDescent="0.15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  <c r="Z180" s="625"/>
      <c r="AA180" s="625"/>
      <c r="AB180" s="625"/>
      <c r="AC180" s="625"/>
      <c r="AD180" s="625"/>
      <c r="AE180" s="625"/>
      <c r="AF180" s="625"/>
      <c r="AG180" s="625"/>
      <c r="AH180" s="625"/>
      <c r="AI180" s="625"/>
      <c r="AJ180" s="625"/>
      <c r="AK180" s="625"/>
      <c r="AL180" s="625"/>
      <c r="AM180" s="625"/>
      <c r="AN180" s="625"/>
      <c r="AO180" s="625"/>
      <c r="AP180" s="625"/>
      <c r="AQ180" s="625"/>
      <c r="AR180" s="625"/>
      <c r="AS180" s="625"/>
      <c r="AT180" s="625"/>
    </row>
    <row r="181" spans="1:46" x14ac:dyDescent="0.15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625"/>
      <c r="AJ181" s="625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</row>
    <row r="182" spans="1:46" x14ac:dyDescent="0.15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  <c r="Z182" s="625"/>
      <c r="AA182" s="625"/>
      <c r="AB182" s="625"/>
      <c r="AC182" s="625"/>
      <c r="AD182" s="625"/>
      <c r="AE182" s="625"/>
      <c r="AF182" s="625"/>
      <c r="AG182" s="625"/>
      <c r="AH182" s="625"/>
      <c r="AI182" s="625"/>
      <c r="AJ182" s="625"/>
      <c r="AK182" s="625"/>
      <c r="AL182" s="625"/>
      <c r="AM182" s="625"/>
      <c r="AN182" s="625"/>
      <c r="AO182" s="625"/>
      <c r="AP182" s="625"/>
      <c r="AQ182" s="625"/>
      <c r="AR182" s="625"/>
      <c r="AS182" s="625"/>
      <c r="AT182" s="625"/>
    </row>
    <row r="183" spans="1:46" x14ac:dyDescent="0.15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  <c r="Z183" s="625"/>
      <c r="AA183" s="625"/>
      <c r="AB183" s="625"/>
      <c r="AC183" s="625"/>
      <c r="AD183" s="625"/>
      <c r="AE183" s="625"/>
      <c r="AF183" s="625"/>
      <c r="AG183" s="625"/>
      <c r="AH183" s="625"/>
      <c r="AI183" s="625"/>
      <c r="AJ183" s="625"/>
      <c r="AK183" s="625"/>
      <c r="AL183" s="625"/>
      <c r="AM183" s="625"/>
      <c r="AN183" s="625"/>
      <c r="AO183" s="625"/>
      <c r="AP183" s="625"/>
      <c r="AQ183" s="625"/>
      <c r="AR183" s="625"/>
      <c r="AS183" s="625"/>
      <c r="AT183" s="625"/>
    </row>
    <row r="184" spans="1:46" x14ac:dyDescent="0.15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  <c r="Z184" s="625"/>
      <c r="AA184" s="625"/>
      <c r="AB184" s="625"/>
      <c r="AC184" s="625"/>
      <c r="AD184" s="625"/>
      <c r="AE184" s="625"/>
      <c r="AF184" s="625"/>
      <c r="AG184" s="625"/>
      <c r="AH184" s="625"/>
      <c r="AI184" s="625"/>
      <c r="AJ184" s="625"/>
      <c r="AK184" s="625"/>
      <c r="AL184" s="625"/>
      <c r="AM184" s="625"/>
      <c r="AN184" s="625"/>
      <c r="AO184" s="625"/>
      <c r="AP184" s="625"/>
      <c r="AQ184" s="625"/>
      <c r="AR184" s="625"/>
      <c r="AS184" s="625"/>
      <c r="AT184" s="625"/>
    </row>
    <row r="185" spans="1:46" x14ac:dyDescent="0.1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625"/>
      <c r="AJ185" s="625"/>
      <c r="AK185" s="625"/>
      <c r="AL185" s="625"/>
      <c r="AM185" s="625"/>
      <c r="AN185" s="625"/>
      <c r="AO185" s="625"/>
      <c r="AP185" s="625"/>
      <c r="AQ185" s="625"/>
      <c r="AR185" s="625"/>
      <c r="AS185" s="625"/>
      <c r="AT185" s="625"/>
    </row>
    <row r="186" spans="1:46" x14ac:dyDescent="0.15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  <c r="Z186" s="625"/>
      <c r="AA186" s="625"/>
      <c r="AB186" s="625"/>
      <c r="AC186" s="625"/>
      <c r="AD186" s="625"/>
      <c r="AE186" s="625"/>
      <c r="AF186" s="625"/>
      <c r="AG186" s="625"/>
      <c r="AH186" s="625"/>
      <c r="AI186" s="625"/>
      <c r="AJ186" s="625"/>
      <c r="AK186" s="625"/>
      <c r="AL186" s="625"/>
      <c r="AM186" s="625"/>
      <c r="AN186" s="625"/>
      <c r="AO186" s="625"/>
      <c r="AP186" s="625"/>
      <c r="AQ186" s="625"/>
      <c r="AR186" s="625"/>
      <c r="AS186" s="625"/>
      <c r="AT186" s="625"/>
    </row>
  </sheetData>
  <sheetProtection algorithmName="SHA-512" hashValue="vKShBC0mjNXVsK9BgiNgis1/Yz+PSjNYin5CEW8dazNAoSNy+9Hxe+lKfNAP0N3cN1HJvID2DwooFT41BWlZ8w==" saltValue="Yj/esMdm7qc2Jie/ytiHRg==" spinCount="100000" sheet="1" objects="1" scenarios="1"/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L108"/>
  <sheetViews>
    <sheetView topLeftCell="A75" zoomScale="150" zoomScaleNormal="150" zoomScalePageLayoutView="150" workbookViewId="0">
      <selection activeCell="K9" sqref="K9:K99"/>
    </sheetView>
  </sheetViews>
  <sheetFormatPr baseColWidth="10" defaultColWidth="10.83203125" defaultRowHeight="13" x14ac:dyDescent="0.15"/>
  <cols>
    <col min="1" max="1" width="26.1640625" style="40" customWidth="1"/>
    <col min="2" max="2" width="3.1640625" style="40" customWidth="1"/>
    <col min="3" max="8" width="11.6640625" style="40" customWidth="1"/>
    <col min="9" max="11" width="13.33203125" style="40" customWidth="1"/>
    <col min="12" max="12" width="15" style="40" customWidth="1"/>
    <col min="13" max="16384" width="10.83203125" style="40"/>
  </cols>
  <sheetData>
    <row r="1" spans="1:12" x14ac:dyDescent="0.15">
      <c r="A1" s="48" t="s">
        <v>586</v>
      </c>
    </row>
    <row r="2" spans="1:12" x14ac:dyDescent="0.15">
      <c r="A2" s="90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</row>
    <row r="3" spans="1:12" x14ac:dyDescent="0.15">
      <c r="A3" s="52" t="s">
        <v>533</v>
      </c>
    </row>
    <row r="5" spans="1:12" x14ac:dyDescent="0.15">
      <c r="A5" s="53" t="s">
        <v>588</v>
      </c>
      <c r="B5" s="53"/>
      <c r="C5" s="53" t="s">
        <v>1394</v>
      </c>
      <c r="F5" s="66">
        <v>30000</v>
      </c>
    </row>
    <row r="6" spans="1:12" x14ac:dyDescent="0.15">
      <c r="C6" s="54" t="s">
        <v>589</v>
      </c>
    </row>
    <row r="7" spans="1:12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</row>
    <row r="8" spans="1:12" x14ac:dyDescent="0.15">
      <c r="K8" s="23"/>
      <c r="L8" s="58"/>
    </row>
    <row r="9" spans="1:12" x14ac:dyDescent="0.15">
      <c r="A9" s="53" t="s">
        <v>1074</v>
      </c>
      <c r="C9" s="23" t="s">
        <v>1044</v>
      </c>
      <c r="D9" s="23" t="s">
        <v>591</v>
      </c>
      <c r="E9" s="23" t="s">
        <v>592</v>
      </c>
      <c r="F9" s="23" t="s">
        <v>615</v>
      </c>
      <c r="G9" s="23" t="s">
        <v>595</v>
      </c>
      <c r="H9" s="23" t="s">
        <v>596</v>
      </c>
      <c r="I9" s="23" t="s">
        <v>486</v>
      </c>
      <c r="J9" s="23" t="s">
        <v>487</v>
      </c>
      <c r="K9" s="57" t="s">
        <v>601</v>
      </c>
    </row>
    <row r="10" spans="1:12" x14ac:dyDescent="0.15">
      <c r="A10" s="40" t="s">
        <v>602</v>
      </c>
      <c r="C10" s="59">
        <f>IF($F5*'Jul''14 Multi'!E7/'Jul''14 Multi'!E8&gt;='Jul''14 Multi'!E11,('Jul''14 Multi'!E11*'Jul''14 Multi'!E15/100)*'Jul''14 Multi'!E8,($F5*'Jul''14 Multi'!E7/'Jul''14 Multi'!E8*'Jul''14 Multi'!E15/100)*'Jul''14 Multi'!E8)</f>
        <v>196.11900000000003</v>
      </c>
      <c r="D10" s="59">
        <f>IF($F5*'Jul''14 Multi'!F7/'Jul''14 Multi'!F8&gt;='Jul''14 Multi'!F11,('Jul''14 Multi'!F11*'Jul''14 Multi'!F15/100)*'Jul''14 Multi'!F8,($F5*'Jul''14 Multi'!F7/'Jul''14 Multi'!F8*'Jul''14 Multi'!F15/100)*'Jul''14 Multi'!F8)</f>
        <v>331.20000000000005</v>
      </c>
      <c r="E10" s="59">
        <f>IF($F5*'Jul''14 Multi'!G7/'Jul''14 Multi'!G8&gt;='Jul''14 Multi'!G11,('Jul''14 Multi'!G11*'Jul''14 Multi'!G15/100)*'Jul''14 Multi'!G8,($F5*'Jul''14 Multi'!G7/'Jul''14 Multi'!G8*'Jul''14 Multi'!G15/100)*'Jul''14 Multi'!G8)</f>
        <v>196.19819999999999</v>
      </c>
      <c r="F10" s="59">
        <f>IF($F5*'Jul''14 Multi'!H7/'Jul''14 Multi'!H8&gt;='Jul''14 Multi'!H11,('Jul''14 Multi'!H11*'Jul''14 Multi'!H15/100)*'Jul''14 Multi'!H8,($F5*'Jul''14 Multi'!H7/'Jul''14 Multi'!H8*'Jul''14 Multi'!H15/100)*'Jul''14 Multi'!H8)</f>
        <v>351.45000000000005</v>
      </c>
      <c r="G10" s="59">
        <f>IF($F5*'Jul''14 Multi'!I7/'Jul''14 Multi'!I8&gt;='Jul''14 Multi'!I11,('Jul''14 Multi'!I11*'Jul''14 Multi'!I15/100)*'Jul''14 Multi'!I8,($F5*'Jul''14 Multi'!I7/'Jul''14 Multi'!I8*'Jul''14 Multi'!I15/100)*'Jul''14 Multi'!I8)</f>
        <v>313.51499999999999</v>
      </c>
      <c r="H10" s="59">
        <f>IF($F5*'Jul''14 Multi'!J7/'Jul''14 Multi'!J8&gt;='Jul''14 Multi'!J11,('Jul''14 Multi'!J11*'Jul''14 Multi'!J15/100)*'Jul''14 Multi'!J8,($F5*'Jul''14 Multi'!J7/'Jul''14 Multi'!J8*'Jul''14 Multi'!J15/100)*'Jul''14 Multi'!J8)</f>
        <v>316.79999999999995</v>
      </c>
      <c r="I10" s="59">
        <f>IF($F5*'Jul''14 Multi'!K7/'Jul''14 Multi'!K8&gt;='Jul''14 Multi'!K11,('Jul''14 Multi'!K11*'Jul''14 Multi'!K15/100)*'Jul''14 Multi'!K8,($F5*'Jul''14 Multi'!K7/'Jul''14 Multi'!K8*'Jul''14 Multi'!K15/100)*'Jul''14 Multi'!K8)</f>
        <v>189.09</v>
      </c>
      <c r="J10" s="59">
        <f>IF($F5*'Jul''14 Multi'!L7/'Jul''14 Multi'!L8&gt;='Jul''14 Multi'!L11,('Jul''14 Multi'!L11*'Jul''14 Multi'!L15/100)*'Jul''14 Multi'!L8,($F5*'Jul''14 Multi'!L7/'Jul''14 Multi'!L8*'Jul''14 Multi'!L15/100)*'Jul''14 Multi'!L8)</f>
        <v>318.45000000000005</v>
      </c>
      <c r="K10" s="63"/>
    </row>
    <row r="11" spans="1:12" x14ac:dyDescent="0.15">
      <c r="A11" s="40" t="s">
        <v>603</v>
      </c>
      <c r="C11" s="59">
        <f>IF($F5*'Jul''14 Multi'!E7/'Jul''14 Multi'!E8&lt;'Jul''14 Multi'!E11,0,IF($F5*'Jul''14 Multi'!E7/'Jul''14 Multi'!E8&lt;='Jul''14 Multi'!E12,($F5*'Jul''14 Multi'!E7/'Jul''14 Multi'!E8-'Jul''14 Multi'!E11)*('Jul''14 Multi'!E16/100)*'Jul''14 Multi'!E8,('Jul''14 Multi'!E12-'Jul''14 Multi'!E11)*('Jul''14 Multi'!E16/100)*'Jul''14 Multi'!E8))</f>
        <v>113.982</v>
      </c>
      <c r="D11" s="59">
        <f>IF($F5*'Jul''14 Multi'!F7/'Jul''14 Multi'!F8&lt;'Jul''14 Multi'!F11,0,IF($F5*'Jul''14 Multi'!F7/'Jul''14 Multi'!F8&lt;='Jul''14 Multi'!F12,($F5*'Jul''14 Multi'!F7/'Jul''14 Multi'!F8-'Jul''14 Multi'!F11)*('Jul''14 Multi'!F16/100)*'Jul''14 Multi'!F8,('Jul''14 Multi'!F12-'Jul''14 Multi'!F11)*('Jul''14 Multi'!F16/100)*'Jul''14 Multi'!F8))</f>
        <v>0</v>
      </c>
      <c r="E11" s="59">
        <f>IF($F5*'Jul''14 Multi'!G7/'Jul''14 Multi'!G8&lt;'Jul''14 Multi'!G11,0,IF($F5*'Jul''14 Multi'!G7/'Jul''14 Multi'!G8&lt;='Jul''14 Multi'!G12,($F5*'Jul''14 Multi'!G7/'Jul''14 Multi'!G8-'Jul''14 Multi'!G11)*('Jul''14 Multi'!G16/100)*'Jul''14 Multi'!G8,('Jul''14 Multi'!G12-'Jul''14 Multi'!G11)*('Jul''14 Multi'!G16/100)*'Jul''14 Multi'!G8))</f>
        <v>118.18619999999999</v>
      </c>
      <c r="F11" s="59">
        <f>IF($F5*'Jul''14 Multi'!H7/'Jul''14 Multi'!H8&lt;'Jul''14 Multi'!H11,0,IF($F5*'Jul''14 Multi'!H7/'Jul''14 Multi'!H8&lt;='Jul''14 Multi'!H12,($F5*'Jul''14 Multi'!H7/'Jul''14 Multi'!H8-'Jul''14 Multi'!H11)*('Jul''14 Multi'!H16/100)*'Jul''14 Multi'!H8,('Jul''14 Multi'!H12-'Jul''14 Multi'!H11)*('Jul''14 Multi'!H16/100)*'Jul''14 Multi'!H8))</f>
        <v>0</v>
      </c>
      <c r="G11" s="59">
        <f>IF($F5*'Jul''14 Multi'!I7/'Jul''14 Multi'!I8&lt;'Jul''14 Multi'!I11,0,IF($F5*'Jul''14 Multi'!I7/'Jul''14 Multi'!I8&lt;='Jul''14 Multi'!I12,($F5*'Jul''14 Multi'!I7/'Jul''14 Multi'!I8-'Jul''14 Multi'!I11)*('Jul''14 Multi'!I16/100)*'Jul''14 Multi'!I8,('Jul''14 Multi'!I12-'Jul''14 Multi'!I11)*('Jul''14 Multi'!I16/100)*'Jul''14 Multi'!I8))</f>
        <v>0</v>
      </c>
      <c r="H11" s="59">
        <f>IF($F5*'Jul''14 Multi'!J7/'Jul''14 Multi'!J8&lt;'Jul''14 Multi'!J11,0,IF($F5*'Jul''14 Multi'!J7/'Jul''14 Multi'!J8&lt;='Jul''14 Multi'!J12,($F5*'Jul''14 Multi'!J7/'Jul''14 Multi'!J8-'Jul''14 Multi'!J11)*('Jul''14 Multi'!J16/100)*'Jul''14 Multi'!J8,('Jul''14 Multi'!J12-'Jul''14 Multi'!J11)*('Jul''14 Multi'!J16/100)*'Jul''14 Multi'!J8))</f>
        <v>0</v>
      </c>
      <c r="I11" s="59">
        <f>IF($F5*'Jul''14 Multi'!K7/'Jul''14 Multi'!K8&lt;'Jul''14 Multi'!K11,0,IF($F5*'Jul''14 Multi'!K7/'Jul''14 Multi'!K8&lt;='Jul''14 Multi'!K12,($F5*'Jul''14 Multi'!K7/'Jul''14 Multi'!K8-'Jul''14 Multi'!K11)*('Jul''14 Multi'!K16/100)*'Jul''14 Multi'!K8,('Jul''14 Multi'!K12-'Jul''14 Multi'!K11)*('Jul''14 Multi'!K16/100)*'Jul''14 Multi'!K8))</f>
        <v>110.22</v>
      </c>
      <c r="J11" s="59">
        <f>IF($F5*'Jul''14 Multi'!L7/'Jul''14 Multi'!L8&lt;'Jul''14 Multi'!L11,0,IF($F5*'Jul''14 Multi'!L7/'Jul''14 Multi'!L8&lt;='Jul''14 Multi'!L12,($F5*'Jul''14 Multi'!L7/'Jul''14 Multi'!L8-'Jul''14 Multi'!L11)*('Jul''14 Multi'!L16/100)*'Jul''14 Multi'!L8,('Jul''14 Multi'!L12-'Jul''14 Multi'!L11)*('Jul''14 Multi'!L16/100)*'Jul''14 Multi'!L8))</f>
        <v>0</v>
      </c>
      <c r="K11" s="63"/>
    </row>
    <row r="12" spans="1:12" x14ac:dyDescent="0.15">
      <c r="A12" s="40" t="s">
        <v>604</v>
      </c>
      <c r="C12" s="59">
        <f>IF($F5*'Jul''14 Multi'!E7/'Jul''14 Multi'!E8&lt;'Jul''14 Multi'!E12,0,IF($F5*'Jul''14 Multi'!E7/'Jul''14 Multi'!E8&lt;='Jul''14 Multi'!E13,($F5*'Jul''14 Multi'!E7/'Jul''14 Multi'!E8-'Jul''14 Multi'!E12)*('Jul''14 Multi'!E17/100)*'Jul''14 Multi'!E8,('Jul''14 Multi'!E13-'Jul''14 Multi'!E12)*('Jul''14 Multi'!E17/100)*'Jul''14 Multi'!E8))</f>
        <v>0</v>
      </c>
      <c r="D12" s="59">
        <v>0</v>
      </c>
      <c r="E12" s="59">
        <f>IF($F5*'Jul''14 Multi'!G7/'Jul''14 Multi'!G8&lt;'Jul''14 Multi'!G12,0,IF($F5*'Jul''14 Multi'!G7/'Jul''14 Multi'!G8&lt;='Jul''14 Multi'!G13,($F5*'Jul''14 Multi'!G7/'Jul''14 Multi'!G8-'Jul''14 Multi'!G12)*('Jul''14 Multi'!G17/100)*'Jul''14 Multi'!G8,('Jul''14 Multi'!G13-'Jul''14 Multi'!G12)*('Jul''14 Multi'!G17/100)*'Jul''14 Multi'!G8))</f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63"/>
    </row>
    <row r="13" spans="1:12" x14ac:dyDescent="0.15">
      <c r="A13" s="40" t="s">
        <v>605</v>
      </c>
      <c r="C13" s="59">
        <f>IF($F5*'Jul''14 Multi'!E7/'Jul''14 Multi'!E8&lt;'Jul''14 Multi'!E13,0,IF($F5*'Jul''14 Multi'!E7/'Jul''14 Multi'!E8&lt;='Jul''14 Multi'!E14,($F5*'Jul''14 Multi'!E7/'Jul''14 Multi'!E8-'Jul''14 Multi'!E13)*('Jul''14 Multi'!E18/100)*'Jul''14 Multi'!E8,('Jul''14 Multi'!E14-'Jul''14 Multi'!E13)*('Jul''14 Multi'!E18/100)*'Jul''14 Multi'!E8))</f>
        <v>0</v>
      </c>
      <c r="D13" s="59">
        <v>0</v>
      </c>
      <c r="E13" s="59">
        <f>IF($F5*'Jul''14 Multi'!G7/'Jul''14 Multi'!G8&lt;'Jul''14 Multi'!G13,0,IF($F5*'Jul''14 Multi'!G7/'Jul''14 Multi'!G8&lt;='Jul''14 Multi'!G14,($F5*'Jul''14 Multi'!G7/'Jul''14 Multi'!G8-'Jul''14 Multi'!G13)*('Jul''14 Multi'!G18/100)*'Jul''14 Multi'!G8,('Jul''14 Multi'!G14-'Jul''14 Multi'!G13)*('Jul''14 Multi'!G18/100)*'Jul''14 Multi'!G8))</f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63"/>
    </row>
    <row r="14" spans="1:12" x14ac:dyDescent="0.15">
      <c r="A14" s="40" t="s">
        <v>606</v>
      </c>
      <c r="C14" s="59">
        <f>IF(($F5*'Jul''14 Multi'!E7/'Jul''14 Multi'!E8&gt;'Jul''14 Multi'!E14),($F5*'Jul''14 Multi'!E7/'Jul''14 Multi'!E8-'Jul''14 Multi'!E14)*'Jul''14 Multi'!E19/100*'Jul''14 Multi'!E8,0)</f>
        <v>0</v>
      </c>
      <c r="D14" s="59">
        <f>IF(($F5*'Jul''14 Multi'!F7/'Jul''14 Multi'!F8&gt;'Jul''14 Multi'!F12),($F5*'Jul''14 Multi'!F7/'Jul''14 Multi'!F8-'Jul''14 Multi'!F12)*'Jul''14 Multi'!F19/100)*'Jul''14 Multi'!F8</f>
        <v>0</v>
      </c>
      <c r="E14" s="59">
        <f>IF(($F5*'Jul''14 Multi'!G7/'Jul''14 Multi'!G8&gt;'Jul''14 Multi'!G14),($F5*'Jul''14 Multi'!G7/'Jul''14 Multi'!G8-'Jul''14 Multi'!G14)*'Jul''14 Multi'!G19/100*'Jul''14 Multi'!G8,0)</f>
        <v>0</v>
      </c>
      <c r="F14" s="59">
        <f>IF(($F5*'Jul''14 Multi'!H7/'Jul''14 Multi'!H8&gt;'Jul''14 Multi'!H12),($F5*'Jul''14 Multi'!H7/'Jul''14 Multi'!H8-'Jul''14 Multi'!H12)*'Jul''14 Multi'!H19/100)*'Jul''14 Multi'!H8</f>
        <v>0</v>
      </c>
      <c r="G14" s="59">
        <f>IF(($F5*'Jul''14 Multi'!I7/'Jul''14 Multi'!I8&gt;'Jul''14 Multi'!I12),($F5*'Jul''14 Multi'!I7/'Jul''14 Multi'!I8-'Jul''14 Multi'!I12)*'Jul''14 Multi'!I19/100)*'Jul''14 Multi'!I8</f>
        <v>0</v>
      </c>
      <c r="H14" s="59">
        <f>IF(($F5*'Jul''14 Multi'!J7/'Jul''14 Multi'!J8&gt;'Jul''14 Multi'!J12),($F5*'Jul''14 Multi'!J7/'Jul''14 Multi'!J8-'Jul''14 Multi'!J12)*'Jul''14 Multi'!J19/100)*'Jul''14 Multi'!J8</f>
        <v>0</v>
      </c>
      <c r="I14" s="59">
        <f>IF(($F5*'Jul''14 Multi'!K7/'Jul''14 Multi'!K8&gt;'Jul''14 Multi'!K12),($F5*'Jul''14 Multi'!K7/'Jul''14 Multi'!K8-'Jul''14 Multi'!K12)*'Jul''14 Multi'!K19/100)*'Jul''14 Multi'!K8</f>
        <v>0</v>
      </c>
      <c r="J14" s="59">
        <f>IF(($F5*'Jul''14 Multi'!L7/'Jul''14 Multi'!L8&gt;'Jul''14 Multi'!L12),($F5*'Jul''14 Multi'!L7/'Jul''14 Multi'!L8-'Jul''14 Multi'!L12)*'Jul''14 Multi'!L19/100)*'Jul''14 Multi'!L8</f>
        <v>0</v>
      </c>
      <c r="K14" s="63"/>
    </row>
    <row r="15" spans="1:12" x14ac:dyDescent="0.15">
      <c r="A15" s="40" t="s">
        <v>607</v>
      </c>
      <c r="C15" s="59">
        <f>IF($F5*'Jul''14 Multi'!E9/'Jul''14 Multi'!E10&gt;='Jul''14 Multi'!E11,('Jul''14 Multi'!E11*'Jul''14 Multi'!E20/100)*'Jul''14 Multi'!E10,($F5*'Jul''14 Multi'!E9/'Jul''14 Multi'!E10*'Jul''14 Multi'!E20/100)*'Jul''14 Multi'!E10)</f>
        <v>186.21899999999999</v>
      </c>
      <c r="D15" s="59">
        <f>IF($F5*'Jul''14 Multi'!F9/'Jul''14 Multi'!F10&gt;='Jul''14 Multi'!F11,('Jul''14 Multi'!F11*'Jul''14 Multi'!F20/100)*'Jul''14 Multi'!F10,($F5*'Jul''14 Multi'!F9/'Jul''14 Multi'!F10*'Jul''14 Multi'!F20/100)*'Jul''14 Multi'!F10)</f>
        <v>297.65999999999997</v>
      </c>
      <c r="E15" s="59">
        <f>IF($F5*'Jul''14 Multi'!G9/'Jul''14 Multi'!G10&gt;='Jul''14 Multi'!G11,('Jul''14 Multi'!G11*'Jul''14 Multi'!G20/100)*'Jul''14 Multi'!G10,($F5*'Jul''14 Multi'!G9/'Jul''14 Multi'!G10*'Jul''14 Multi'!G20/100)*'Jul''14 Multi'!G10)</f>
        <v>188.2287</v>
      </c>
      <c r="F15" s="59">
        <f>IF($F5*'Jul''14 Multi'!H9/'Jul''14 Multi'!H10&gt;='Jul''14 Multi'!H11,('Jul''14 Multi'!H11*'Jul''14 Multi'!H20/100)*'Jul''14 Multi'!H10,($F5*'Jul''14 Multi'!H9/'Jul''14 Multi'!H10*'Jul''14 Multi'!H20/100)*'Jul''14 Multi'!H10)</f>
        <v>326.70000000000005</v>
      </c>
      <c r="G15" s="59">
        <f>IF($F5*'Jul''14 Multi'!I9/'Jul''14 Multi'!I10&gt;='Jul''14 Multi'!I11,('Jul''14 Multi'!I11*'Jul''14 Multi'!I20/100)*'Jul''14 Multi'!I10,($F5*'Jul''14 Multi'!I9/'Jul''14 Multi'!I10*'Jul''14 Multi'!I20/100)*'Jul''14 Multi'!I10)</f>
        <v>297.57</v>
      </c>
      <c r="H15" s="59">
        <f>IF($F5*'Jul''14 Multi'!J9/'Jul''14 Multi'!J10&gt;='Jul''14 Multi'!J11,('Jul''14 Multi'!J11*'Jul''14 Multi'!J20/100)*'Jul''14 Multi'!J10,($F5*'Jul''14 Multi'!J9/'Jul''14 Multi'!J10*'Jul''14 Multi'!J20/100)*'Jul''14 Multi'!J10)</f>
        <v>293.70000000000005</v>
      </c>
      <c r="I15" s="59">
        <f>IF($F5*'Jul''14 Multi'!K9/'Jul''14 Multi'!K10&gt;='Jul''14 Multi'!K11,('Jul''14 Multi'!K11*'Jul''14 Multi'!K20/100)*'Jul''14 Multi'!K10,($F5*'Jul''14 Multi'!K9/'Jul''14 Multi'!K10*'Jul''14 Multi'!K20/100)*'Jul''14 Multi'!K10)</f>
        <v>183.14999999999998</v>
      </c>
      <c r="J15" s="59">
        <f>IF($F5*'Jul''14 Multi'!L9/'Jul''14 Multi'!L10&gt;='Jul''14 Multi'!L11,('Jul''14 Multi'!L11*'Jul''14 Multi'!L20/100)*'Jul''14 Multi'!L10,($F5*'Jul''14 Multi'!L9/'Jul''14 Multi'!L10*'Jul''14 Multi'!L20/100)*'Jul''14 Multi'!L10)</f>
        <v>310.20000000000005</v>
      </c>
      <c r="K15" s="63"/>
    </row>
    <row r="16" spans="1:12" x14ac:dyDescent="0.15">
      <c r="A16" s="40" t="s">
        <v>608</v>
      </c>
      <c r="C16" s="59">
        <f>IF($F5*'Jul''14 Multi'!E9/'Jul''14 Multi'!E10&lt;'Jul''14 Multi'!E11,0,IF($F5*'Jul''14 Multi'!E9/'Jul''14 Multi'!E10&lt;='Jul''14 Multi'!E12,($F5*'Jul''14 Multi'!E9/'Jul''14 Multi'!E10-'Jul''14 Multi'!E11)*('Jul''14 Multi'!E21/100)*'Jul''14 Multi'!E10,('Jul''14 Multi'!E12-'Jul''14 Multi'!E11)*('Jul''14 Multi'!E21/100)*'Jul''14 Multi'!E10))</f>
        <v>107.44800000000001</v>
      </c>
      <c r="D16" s="59">
        <f>IF($F5*'Jul''14 Multi'!F9/'Jul''14 Multi'!F10&lt;'Jul''14 Multi'!F11,0,IF($F5*'Jul''14 Multi'!F9/'Jul''14 Multi'!F10&lt;='Jul''14 Multi'!F12,($F5*'Jul''14 Multi'!F9/'Jul''14 Multi'!F10-'Jul''14 Multi'!F11)*('Jul''14 Multi'!F21/100)*'Jul''14 Multi'!F10,('Jul''14 Multi'!F12-'Jul''14 Multi'!F11)*('Jul''14 Multi'!F21/100)*'Jul''14 Multi'!F10))</f>
        <v>0</v>
      </c>
      <c r="E16" s="59">
        <f>IF($F5*'Jul''14 Multi'!G9/'Jul''14 Multi'!G10&lt;'Jul''14 Multi'!G11,0,IF($F5*'Jul''14 Multi'!G9/'Jul''14 Multi'!G10&lt;='Jul''14 Multi'!G12,($F5*'Jul''14 Multi'!G9/'Jul''14 Multi'!G10-'Jul''14 Multi'!G11)*('Jul''14 Multi'!G21/100)*'Jul''14 Multi'!G10,('Jul''14 Multi'!G12-'Jul''14 Multi'!G11)*('Jul''14 Multi'!G21/100)*'Jul''14 Multi'!G10))</f>
        <v>114.19980000000001</v>
      </c>
      <c r="F16" s="59">
        <f>IF($F5*'Jul''14 Multi'!H9/'Jul''14 Multi'!H10&lt;'Jul''14 Multi'!H11,0,IF($F5*'Jul''14 Multi'!H9/'Jul''14 Multi'!H10&lt;='Jul''14 Multi'!H12,($F5*'Jul''14 Multi'!H9/'Jul''14 Multi'!H10-'Jul''14 Multi'!H11)*('Jul''14 Multi'!H21/100)*'Jul''14 Multi'!H10,('Jul''14 Multi'!H12-'Jul''14 Multi'!H11)*('Jul''14 Multi'!H21/100)*'Jul''14 Multi'!H10))</f>
        <v>0</v>
      </c>
      <c r="G16" s="59">
        <f>IF($F5*'Jul''14 Multi'!I9/'Jul''14 Multi'!I10&lt;'Jul''14 Multi'!I11,0,IF($F5*'Jul''14 Multi'!I9/'Jul''14 Multi'!I10&lt;='Jul''14 Multi'!I12,($F5*'Jul''14 Multi'!I9/'Jul''14 Multi'!I10-'Jul''14 Multi'!I11)*('Jul''14 Multi'!I21/100)*'Jul''14 Multi'!I10,('Jul''14 Multi'!I12-'Jul''14 Multi'!I11)*('Jul''14 Multi'!I21/100)*'Jul''14 Multi'!I10))</f>
        <v>0</v>
      </c>
      <c r="H16" s="59">
        <f>IF($F5*'Jul''14 Multi'!J9/'Jul''14 Multi'!J10&lt;'Jul''14 Multi'!J11,0,IF($F5*'Jul''14 Multi'!J9/'Jul''14 Multi'!J10&lt;='Jul''14 Multi'!J12,($F5*'Jul''14 Multi'!J9/'Jul''14 Multi'!J10-'Jul''14 Multi'!J11)*('Jul''14 Multi'!J21/100)*'Jul''14 Multi'!J10,('Jul''14 Multi'!J12-'Jul''14 Multi'!J11)*('Jul''14 Multi'!J21/100)*'Jul''14 Multi'!J10))</f>
        <v>0</v>
      </c>
      <c r="I16" s="59">
        <f>IF($F5*'Jul''14 Multi'!K9/'Jul''14 Multi'!K10&lt;'Jul''14 Multi'!K11,0,IF($F5*'Jul''14 Multi'!K9/'Jul''14 Multi'!K10&lt;='Jul''14 Multi'!K12,($F5*'Jul''14 Multi'!K9/'Jul''14 Multi'!K10-'Jul''14 Multi'!K11)*('Jul''14 Multi'!K21/100)*'Jul''14 Multi'!K10,('Jul''14 Multi'!K12-'Jul''14 Multi'!K11)*('Jul''14 Multi'!K21/100)*'Jul''14 Multi'!K10))</f>
        <v>107.58</v>
      </c>
      <c r="J16" s="59">
        <f>IF($F5*'Jul''14 Multi'!L9/'Jul''14 Multi'!L10&lt;'Jul''14 Multi'!L11,0,IF($F5*'Jul''14 Multi'!L9/'Jul''14 Multi'!L10&lt;='Jul''14 Multi'!L12,($F5*'Jul''14 Multi'!L9/'Jul''14 Multi'!L10-'Jul''14 Multi'!L11)*('Jul''14 Multi'!L21/100)*'Jul''14 Multi'!L10,('Jul''14 Multi'!L12-'Jul''14 Multi'!L11)*('Jul''14 Multi'!L21/100)*'Jul''14 Multi'!L10))</f>
        <v>0</v>
      </c>
      <c r="K16" s="63"/>
    </row>
    <row r="17" spans="1:11" x14ac:dyDescent="0.15">
      <c r="A17" s="40" t="s">
        <v>609</v>
      </c>
      <c r="C17" s="59">
        <f>IF($F5*'Jul''14 Multi'!E9/'Jul''14 Multi'!E10&lt;'Jul''14 Multi'!E12,0,IF($F5*'Jul''14 Multi'!E9/'Jul''14 Multi'!E10&lt;='Jul''14 Multi'!E13,($F5*'Jul''14 Multi'!E9/'Jul''14 Multi'!E10-'Jul''14 Multi'!E12)*('Jul''14 Multi'!E22/100)*'Jul''14 Multi'!E10,('Jul''14 Multi'!E13-'Jul''14 Multi'!E12)*('Jul''14 Multi'!E22/100)*'Jul''14 Multi'!E10))</f>
        <v>0</v>
      </c>
      <c r="D17" s="59">
        <v>0</v>
      </c>
      <c r="E17" s="59">
        <f>IF($F5*'Jul''14 Multi'!G9/'Jul''14 Multi'!G10&lt;'Jul''14 Multi'!G12,0,IF($F5*'Jul''14 Multi'!G9/'Jul''14 Multi'!G10&lt;='Jul''14 Multi'!G13,($F5*'Jul''14 Multi'!G9/'Jul''14 Multi'!G10-'Jul''14 Multi'!G12)*('Jul''14 Multi'!G22/100)*'Jul''14 Multi'!G10,('Jul''14 Multi'!G13-'Jul''14 Multi'!G12)*('Jul''14 Multi'!G22/100)*'Jul''14 Multi'!G10))</f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63"/>
    </row>
    <row r="18" spans="1:11" x14ac:dyDescent="0.15">
      <c r="A18" s="40" t="s">
        <v>610</v>
      </c>
      <c r="C18" s="59">
        <f>IF($F5*'Jul''14 Multi'!E9/'Jul''14 Multi'!E10&lt;'Jul''14 Multi'!E13,0,IF($F5*'Jul''14 Multi'!E9/'Jul''14 Multi'!E10&lt;='Jul''14 Multi'!E14,($F5*'Jul''14 Multi'!E9/'Jul''14 Multi'!E10-'Jul''14 Multi'!E13)*('Jul''14 Multi'!E23/100)*'Jul''14 Multi'!E10,('Jul''14 Multi'!E14-'Jul''14 Multi'!E13)*('Jul''14 Multi'!E23/100)*'Jul''14 Multi'!E10))</f>
        <v>0</v>
      </c>
      <c r="D18" s="59">
        <v>0</v>
      </c>
      <c r="E18" s="59">
        <f>IF($F5*'Jul''14 Multi'!G9/'Jul''14 Multi'!G10&lt;'Jul''14 Multi'!G13,0,IF($F5*'Jul''14 Multi'!G9/'Jul''14 Multi'!G10&lt;='Jul''14 Multi'!G14,($F5*'Jul''14 Multi'!G9/'Jul''14 Multi'!G10-'Jul''14 Multi'!G13)*('Jul''14 Multi'!G23/100)*'Jul''14 Multi'!G10,('Jul''14 Multi'!G14-'Jul''14 Multi'!G13)*('Jul''14 Multi'!G23/100)*'Jul''14 Multi'!G10))</f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63"/>
    </row>
    <row r="19" spans="1:11" x14ac:dyDescent="0.15">
      <c r="A19" s="40" t="s">
        <v>611</v>
      </c>
      <c r="C19" s="59">
        <f>IF(($F5*'Jul''14 Multi'!E9/'Jul''14 Multi'!E10&gt;'Jul''14 Multi'!E14),($F5*'Jul''14 Multi'!E9/'Jul''14 Multi'!E10-'Jul''14 Multi'!E14)*'Jul''14 Multi'!E24/100*'Jul''14 Multi'!E10,0)</f>
        <v>0</v>
      </c>
      <c r="D19" s="59">
        <f>IF(($F5*'Jul''14 Multi'!F9/'Jul''14 Multi'!F10&gt;'Jul''14 Multi'!F12),($F5*'Jul''14 Multi'!F9/'Jul''14 Multi'!F10-'Jul''14 Multi'!F12)*'Jul''14 Multi'!F24/100)*'Jul''14 Multi'!F10</f>
        <v>0</v>
      </c>
      <c r="E19" s="59">
        <f>IF(($F5*'Jul''14 Multi'!G9/'Jul''14 Multi'!G10&gt;'Jul''14 Multi'!G14),($F5*'Jul''14 Multi'!G9/'Jul''14 Multi'!G10-'Jul''14 Multi'!G14)*'Jul''14 Multi'!G24/100*'Jul''14 Multi'!G10,0)</f>
        <v>0</v>
      </c>
      <c r="F19" s="59">
        <f>IF(($F5*'Jul''14 Multi'!H9/'Jul''14 Multi'!H10&gt;'Jul''14 Multi'!H12),($F5*'Jul''14 Multi'!H9/'Jul''14 Multi'!H10-'Jul''14 Multi'!H12)*'Jul''14 Multi'!H24/100)*'Jul''14 Multi'!H10</f>
        <v>0</v>
      </c>
      <c r="G19" s="59">
        <f>IF(($F5*'Jul''14 Multi'!I9/'Jul''14 Multi'!I10&gt;'Jul''14 Multi'!I12),($F5*'Jul''14 Multi'!I9/'Jul''14 Multi'!I10-'Jul''14 Multi'!I12)*'Jul''14 Multi'!I24/100)*'Jul''14 Multi'!I10</f>
        <v>0</v>
      </c>
      <c r="H19" s="59">
        <f>IF(($F5*'Jul''14 Multi'!J9/'Jul''14 Multi'!J10&gt;'Jul''14 Multi'!J12),($F5*'Jul''14 Multi'!J9/'Jul''14 Multi'!J10-'Jul''14 Multi'!J12)*'Jul''14 Multi'!J24/100)*'Jul''14 Multi'!J10</f>
        <v>0</v>
      </c>
      <c r="I19" s="59">
        <f>IF(($F5*'Jul''14 Multi'!K9/'Jul''14 Multi'!K10&gt;'Jul''14 Multi'!K12),($F5*'Jul''14 Multi'!K9/'Jul''14 Multi'!K10-'Jul''14 Multi'!K12)*'Jul''14 Multi'!K24/100)*'Jul''14 Multi'!K10</f>
        <v>0</v>
      </c>
      <c r="J19" s="59">
        <f>IF(($F5*'Jul''14 Multi'!L9/'Jul''14 Multi'!L10&gt;'Jul''14 Multi'!L12),($F5*'Jul''14 Multi'!L9/'Jul''14 Multi'!L10-'Jul''14 Multi'!L12)*'Jul''14 Multi'!L24/100)*'Jul''14 Multi'!L10</f>
        <v>0</v>
      </c>
      <c r="K19" s="63"/>
    </row>
    <row r="20" spans="1:11" x14ac:dyDescent="0.15">
      <c r="A20" s="40" t="s">
        <v>612</v>
      </c>
      <c r="C20" s="59">
        <f>365*'Jul''14 Multi'!E25/100</f>
        <v>244.99529999999999</v>
      </c>
      <c r="D20" s="59">
        <f>365*'Jul''14 Multi'!F25/100</f>
        <v>243.50975000000003</v>
      </c>
      <c r="E20" s="59">
        <f>365*'Jul''14 Multi'!G25/100</f>
        <v>262.54084999999998</v>
      </c>
      <c r="F20" s="59">
        <f>365*'Jul''14 Multi'!H25/100</f>
        <v>261.83275000000003</v>
      </c>
      <c r="G20" s="59">
        <f>365*'Jul''14 Multi'!I25/100</f>
        <v>250.9375</v>
      </c>
      <c r="H20" s="59">
        <f>365*'Jul''14 Multi'!J25/100</f>
        <v>210.78749999999999</v>
      </c>
      <c r="I20" s="59">
        <f>365*'Jul''14 Multi'!K25/100</f>
        <v>236.84484999999998</v>
      </c>
      <c r="J20" s="59">
        <f>365*'Jul''14 Multi'!L25/100</f>
        <v>212.75485</v>
      </c>
      <c r="K20" s="60">
        <f>AVERAGE(C20:J20)</f>
        <v>240.52541875</v>
      </c>
    </row>
    <row r="21" spans="1:11" x14ac:dyDescent="0.15">
      <c r="A21" s="62" t="s">
        <v>613</v>
      </c>
      <c r="B21" s="63"/>
      <c r="C21" s="61">
        <f t="shared" ref="C21:H21" si="0">SUM(C10:C20)</f>
        <v>848.76330000000007</v>
      </c>
      <c r="D21" s="61">
        <f t="shared" si="0"/>
        <v>872.36975000000007</v>
      </c>
      <c r="E21" s="61">
        <f t="shared" si="0"/>
        <v>879.35374999999999</v>
      </c>
      <c r="F21" s="61">
        <f t="shared" si="0"/>
        <v>939.98275000000012</v>
      </c>
      <c r="G21" s="61">
        <f t="shared" si="0"/>
        <v>862.02250000000004</v>
      </c>
      <c r="H21" s="61">
        <f t="shared" si="0"/>
        <v>821.28750000000002</v>
      </c>
      <c r="I21" s="61">
        <f>SUM(I10:I20)</f>
        <v>826.88484999999991</v>
      </c>
      <c r="J21" s="61">
        <f>SUM(J10:J20)</f>
        <v>841.40485000000012</v>
      </c>
      <c r="K21" s="64">
        <f>AVERAGE(C21:J21)</f>
        <v>861.50865625000017</v>
      </c>
    </row>
    <row r="23" spans="1:11" x14ac:dyDescent="0.15">
      <c r="A23" s="53" t="s">
        <v>1076</v>
      </c>
      <c r="C23" s="23" t="s">
        <v>1044</v>
      </c>
      <c r="D23" s="23" t="s">
        <v>591</v>
      </c>
      <c r="E23" s="23" t="s">
        <v>592</v>
      </c>
      <c r="F23" s="23" t="s">
        <v>615</v>
      </c>
      <c r="G23" s="23" t="s">
        <v>515</v>
      </c>
      <c r="H23" s="23" t="s">
        <v>516</v>
      </c>
      <c r="I23" s="23" t="s">
        <v>597</v>
      </c>
      <c r="J23" s="23" t="s">
        <v>598</v>
      </c>
      <c r="K23" s="57" t="s">
        <v>601</v>
      </c>
    </row>
    <row r="24" spans="1:11" x14ac:dyDescent="0.15">
      <c r="A24" s="40" t="s">
        <v>602</v>
      </c>
      <c r="C24" s="59">
        <f>IF($F5*'Jul''14 Multi'!E29/'Jul''14 Multi'!E30&gt;='Jul''14 Multi'!E33,('Jul''14 Multi'!E33*'Jul''14 Multi'!E37/100)*'Jul''14 Multi'!E30,($F5*'Jul''14 Multi'!E29/'Jul''14 Multi'!E30*'Jul''14 Multi'!E37/100)*'Jul''14 Multi'!E30)</f>
        <v>199.48500000000001</v>
      </c>
      <c r="D24" s="59">
        <f>IF($F5*'Jul''14 Multi'!F29/'Jul''14 Multi'!F30&gt;='Jul''14 Multi'!F33,('Jul''14 Multi'!F33*'Jul''14 Multi'!F37/100)*'Jul''14 Multi'!F30,('Bills Jul''14'!$F5*'Jul''14 Multi'!F29/'Jul''14 Multi'!F30*'Jul''14 Multi'!F37/100)*'Jul''14 Multi'!F30)</f>
        <v>228.459</v>
      </c>
      <c r="E24" s="59">
        <f>IF($F5*'Jul''14 Multi'!G29/'Jul''14 Multi'!G30&gt;='Jul''14 Multi'!G33,('Jul''14 Multi'!G33*'Jul''14 Multi'!G37/100)*'Jul''14 Multi'!G30,($F5*'Jul''14 Multi'!G29/'Jul''14 Multi'!G30*'Jul''14 Multi'!G37/100)*'Jul''14 Multi'!G30)</f>
        <v>194.20829999999998</v>
      </c>
      <c r="F24" s="59">
        <f>IF($F5*'Jul''14 Multi'!H29/'Jul''14 Multi'!H30&gt;='Jul''14 Multi'!H33,('Jul''14 Multi'!H33*'Jul''14 Multi'!H37/100)*'Jul''14 Multi'!H30,('Bills Jul''14'!$F5*'Jul''14 Multi'!H29/'Jul''14 Multi'!H30*'Jul''14 Multi'!H37/100)*'Jul''14 Multi'!H30)</f>
        <v>147.07</v>
      </c>
      <c r="G24" s="59">
        <f>IF($F5*'Jul''14 Multi'!I29/'Jul''14 Multi'!I30&gt;='Jul''14 Multi'!I33,('Jul''14 Multi'!I33*'Jul''14 Multi'!I37/100)*'Jul''14 Multi'!I30,('Bills Jul''14'!$F5*'Jul''14 Multi'!I29/'Jul''14 Multi'!I30*'Jul''14 Multi'!I37/100)*'Jul''14 Multi'!I30)</f>
        <v>219.45</v>
      </c>
      <c r="H24" s="59">
        <f>IF($F5*'Jul''14 Multi'!J29/'Jul''14 Multi'!J30&gt;='Jul''14 Multi'!J33,('Jul''14 Multi'!J33*'Jul''14 Multi'!J37/100)*'Jul''14 Multi'!J30,('Bills Jul''14'!$F5*'Jul''14 Multi'!J29/'Jul''14 Multi'!J30*'Jul''14 Multi'!J37/100)*'Jul''14 Multi'!J30)</f>
        <v>209.05500000000001</v>
      </c>
      <c r="I24" s="59">
        <f>IF($F5*'Jul''14 Multi'!K29/'Jul''14 Multi'!K30&gt;='Jul''14 Multi'!K33,('Jul''14 Multi'!K33*'Jul''14 Multi'!K37/100)*'Jul''14 Multi'!K30,('Bills Jul''14'!$F5*'Jul''14 Multi'!K29/'Jul''14 Multi'!K30*'Jul''14 Multi'!K37/100)*'Jul''14 Multi'!K30)</f>
        <v>196.02</v>
      </c>
      <c r="J24" s="59">
        <f>IF($F5*'Jul''14 Multi'!L29/'Jul''14 Multi'!L30&gt;='Jul''14 Multi'!L33,('Jul''14 Multi'!L33*'Jul''14 Multi'!L37/100)*'Jul''14 Multi'!L30,('Bills Jul''14'!$F5*'Jul''14 Multi'!L29/'Jul''14 Multi'!L30*'Jul''14 Multi'!L37/100)*'Jul''14 Multi'!L30)</f>
        <v>212.52</v>
      </c>
      <c r="K24" s="63"/>
    </row>
    <row r="25" spans="1:11" x14ac:dyDescent="0.15">
      <c r="A25" s="40" t="s">
        <v>603</v>
      </c>
      <c r="C25" s="59">
        <f>IF($F5*'Jul''14 Multi'!E29/'Jul''14 Multi'!E30&lt;'Jul''14 Multi'!E33,0,IF($F5*'Jul''14 Multi'!E29/'Jul''14 Multi'!E30&lt;='Jul''14 Multi'!E34,($F5*'Jul''14 Multi'!E29/'Jul''14 Multi'!E30-'Jul''14 Multi'!E33)*('Jul''14 Multi'!E38/100)*'Jul''14 Multi'!E30,('Jul''14 Multi'!E34-'Jul''14 Multi'!E33)*('Jul''14 Multi'!E38/100)*'Jul''14 Multi'!E30))</f>
        <v>115.83000000000001</v>
      </c>
      <c r="D25" s="59">
        <v>0</v>
      </c>
      <c r="E25" s="59">
        <f>IF($F5*'Jul''14 Multi'!G29/'Jul''14 Multi'!G30&lt;'Jul''14 Multi'!G33,0,IF($F5*'Jul''14 Multi'!G29/'Jul''14 Multi'!G30&lt;='Jul''14 Multi'!G34,($F5*'Jul''14 Multi'!G29/'Jul''14 Multi'!G30-'Jul''14 Multi'!G33)*('Jul''14 Multi'!G38/100)*'Jul''14 Multi'!G30,('Jul''14 Multi'!G34-'Jul''14 Multi'!G33)*('Jul''14 Multi'!G38/100)*'Jul''14 Multi'!G30))</f>
        <v>118.84619999999998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63"/>
    </row>
    <row r="26" spans="1:11" x14ac:dyDescent="0.15">
      <c r="A26" s="40" t="s">
        <v>604</v>
      </c>
      <c r="C26" s="59">
        <f>IF($F5*'Jul''14 Multi'!E29/'Jul''14 Multi'!E30&lt;'Jul''14 Multi'!E34,0,IF($F5*'Jul''14 Multi'!E29/'Jul''14 Multi'!E30&lt;='Jul''14 Multi'!E35,($F5*'Jul''14 Multi'!E29/'Jul''14 Multi'!E30-'Jul''14 Multi'!E34)*('Jul''14 Multi'!E39/100)*'Jul''14 Multi'!E30,('Jul''14 Multi'!E35-'Jul''14 Multi'!E34)*('Jul''14 Multi'!E39/100)*'Jul''14 Multi'!E30))</f>
        <v>0</v>
      </c>
      <c r="D26" s="59">
        <v>0</v>
      </c>
      <c r="E26" s="59">
        <f>IF($F5*'Jul''14 Multi'!G29/'Jul''14 Multi'!G30&lt;'Jul''14 Multi'!G34,0,IF($F5*'Jul''14 Multi'!G29/'Jul''14 Multi'!G30&lt;='Jul''14 Multi'!G35,($F5*'Jul''14 Multi'!G29/'Jul''14 Multi'!G30-'Jul''14 Multi'!G34)*('Jul''14 Multi'!G39/100)*'Jul''14 Multi'!G30,('Jul''14 Multi'!G35-'Jul''14 Multi'!G34)*('Jul''14 Multi'!G39/100)*'Jul''14 Multi'!G30))</f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63"/>
    </row>
    <row r="27" spans="1:11" x14ac:dyDescent="0.15">
      <c r="A27" s="40" t="s">
        <v>605</v>
      </c>
      <c r="C27" s="59">
        <f>IF($F5*'Jul''14 Multi'!E29/'Jul''14 Multi'!E30&lt;'Jul''14 Multi'!E35,0,IF($F5*'Jul''14 Multi'!E29/'Jul''14 Multi'!E30&lt;='Jul''14 Multi'!E36,($F5*'Jul''14 Multi'!E29/'Jul''14 Multi'!E30-'Jul''14 Multi'!E35)*('Jul''14 Multi'!E40/100)*'Jul''14 Multi'!E30,('Jul''14 Multi'!E36-'Jul''14 Multi'!E35)*('Jul''14 Multi'!E40/100)*'Jul''14 Multi'!E30))</f>
        <v>0</v>
      </c>
      <c r="D27" s="59">
        <v>0</v>
      </c>
      <c r="E27" s="59">
        <f>IF($F5*'Jul''14 Multi'!G29/'Jul''14 Multi'!G30&lt;'Jul''14 Multi'!G35,0,IF($F5*'Jul''14 Multi'!G29/'Jul''14 Multi'!G30&lt;='Jul''14 Multi'!G36,($F5*'Jul''14 Multi'!G29/'Jul''14 Multi'!G30-'Jul''14 Multi'!G35)*('Jul''14 Multi'!G40/100)*'Jul''14 Multi'!G30,('Jul''14 Multi'!G36-'Jul''14 Multi'!G35)*('Jul''14 Multi'!G40/100)*'Jul''14 Multi'!G30))</f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63"/>
    </row>
    <row r="28" spans="1:11" x14ac:dyDescent="0.15">
      <c r="A28" s="40" t="s">
        <v>606</v>
      </c>
      <c r="C28" s="59">
        <f>IF(($F5*'Jul''14 Multi'!E29/'Jul''14 Multi'!E30&gt;'Jul''14 Multi'!E36),($F5*'Jul''14 Multi'!E29/'Jul''14 Multi'!E30-'Jul''14 Multi'!E36)*'Jul''14 Multi'!E41/100*'Jul''14 Multi'!E30,0)</f>
        <v>0</v>
      </c>
      <c r="D28" s="59">
        <f>IF(($F5*'Jul''14 Multi'!F29/'Jul''14 Multi'!F30&gt;'Jul''14 Multi'!F33),('Bills Jul''14'!$F5*'Jul''14 Multi'!F29/'Jul''14 Multi'!F30-'Jul''14 Multi'!F33)*'Jul''14 Multi'!F41/100)*'Jul''14 Multi'!F30</f>
        <v>78.457499999999996</v>
      </c>
      <c r="E28" s="59">
        <f>IF(($F5*'Jul''14 Multi'!G29/'Jul''14 Multi'!G30&gt;'Jul''14 Multi'!G36),($F5*'Jul''14 Multi'!G29/'Jul''14 Multi'!G30-'Jul''14 Multi'!G36)*'Jul''14 Multi'!G41/100*'Jul''14 Multi'!G30,0)</f>
        <v>0</v>
      </c>
      <c r="F28" s="59">
        <f>IF(($F5*'Jul''14 Multi'!H29/'Jul''14 Multi'!H30&gt;'Jul''14 Multi'!H33),('Bills Jul''14'!$F5*'Jul''14 Multi'!H29/'Jul''14 Multi'!H30-'Jul''14 Multi'!H33)*'Jul''14 Multi'!H41/100)*'Jul''14 Multi'!H30</f>
        <v>54.431849999999997</v>
      </c>
      <c r="G28" s="59">
        <f>IF(($F5*'Jul''14 Multi'!I29/'Jul''14 Multi'!I30&gt;'Jul''14 Multi'!I33),('Bills Jul''14'!$F5*'Jul''14 Multi'!I29/'Jul''14 Multi'!I30-'Jul''14 Multi'!I33)*'Jul''14 Multi'!I41/100)*'Jul''14 Multi'!I30</f>
        <v>80.693999999999988</v>
      </c>
      <c r="H28" s="59">
        <f>IF(($F5*'Jul''14 Multi'!J29/'Jul''14 Multi'!J30&gt;'Jul''14 Multi'!J33),('Bills Jul''14'!$F5*'Jul''14 Multi'!J29/'Jul''14 Multi'!J30-'Jul''14 Multi'!J33)*'Jul''14 Multi'!J41/100)*'Jul''14 Multi'!J30</f>
        <v>78.210000000000008</v>
      </c>
      <c r="I28" s="59">
        <f>IF(($F5*'Jul''14 Multi'!K29/'Jul''14 Multi'!K30&gt;'Jul''14 Multi'!K33),('Bills Jul''14'!$F5*'Jul''14 Multi'!K29/'Jul''14 Multi'!K30-'Jul''14 Multi'!K33)*'Jul''14 Multi'!K41/100)*'Jul''14 Multi'!K30</f>
        <v>100.32</v>
      </c>
      <c r="J28" s="59">
        <f>IF(($F5*'Jul''14 Multi'!L29/'Jul''14 Multi'!L30&gt;'Jul''14 Multi'!L33),('Bills Jul''14'!$F5*'Jul''14 Multi'!L29/'Jul''14 Multi'!L30-'Jul''14 Multi'!L33)*'Jul''14 Multi'!L41/100)*'Jul''14 Multi'!L30</f>
        <v>75.734999999999999</v>
      </c>
      <c r="K28" s="63"/>
    </row>
    <row r="29" spans="1:11" x14ac:dyDescent="0.15">
      <c r="A29" s="40" t="s">
        <v>607</v>
      </c>
      <c r="C29" s="59">
        <f>IF($F5*'Jul''14 Multi'!E31/'Jul''14 Multi'!E32&gt;='Jul''14 Multi'!E33,('Jul''14 Multi'!E33*'Jul''14 Multi'!E42/100)*'Jul''14 Multi'!E32,($F5*'Jul''14 Multi'!E31/'Jul''14 Multi'!E32*'Jul''14 Multi'!E42/100)*'Jul''14 Multi'!E32)</f>
        <v>186.71400000000006</v>
      </c>
      <c r="D29" s="59">
        <f>IF($F5*'Jul''14 Multi'!F31/'Jul''14 Multi'!F32&gt;='Jul''14 Multi'!F33,('Jul''14 Multi'!F33*'Jul''14 Multi'!F42/100)*'Jul''14 Multi'!F32,('Bills Jul''14'!$F5*'Jul''14 Multi'!F31/'Jul''14 Multi'!F32*'Jul''14 Multi'!F42/100)*'Jul''14 Multi'!F32)</f>
        <v>206.86049999999997</v>
      </c>
      <c r="E29" s="59">
        <f>IF($F5*'Jul''14 Multi'!G31/'Jul''14 Multi'!G32&gt;='Jul''14 Multi'!G33,('Jul''14 Multi'!G33*'Jul''14 Multi'!G42/100)*'Jul''14 Multi'!G32,($F5*'Jul''14 Multi'!G31/'Jul''14 Multi'!G32*'Jul''14 Multi'!G42/100)*'Jul''14 Multi'!G32)</f>
        <v>170.30969999999999</v>
      </c>
      <c r="F29" s="59">
        <f>IF($F5*'Jul''14 Multi'!H31/'Jul''14 Multi'!H32&gt;='Jul''14 Multi'!H33,('Jul''14 Multi'!H33*'Jul''14 Multi'!H42/100)*'Jul''14 Multi'!H32,('Bills Jul''14'!$F5*'Jul''14 Multi'!H31/'Jul''14 Multi'!H32*'Jul''14 Multi'!H42/100)*'Jul''14 Multi'!H32)</f>
        <v>280.27999999999997</v>
      </c>
      <c r="G29" s="59">
        <f>IF($F5*'Jul''14 Multi'!I31/'Jul''14 Multi'!I32&gt;='Jul''14 Multi'!I33,('Jul''14 Multi'!I33*'Jul''14 Multi'!I42/100)*'Jul''14 Multi'!I32,('Bills Jul''14'!$F5*'Jul''14 Multi'!I31/'Jul''14 Multi'!I32*'Jul''14 Multi'!I42/100)*'Jul''14 Multi'!I32)</f>
        <v>206.03099999999998</v>
      </c>
      <c r="H29" s="59">
        <f>IF($F5*'Jul''14 Multi'!J31/'Jul''14 Multi'!J32&gt;='Jul''14 Multi'!J33,('Jul''14 Multi'!J33*'Jul''14 Multi'!J42/100)*'Jul''14 Multi'!J32,('Bills Jul''14'!$F5*'Jul''14 Multi'!J31/'Jul''14 Multi'!J32*'Jul''14 Multi'!J42/100)*'Jul''14 Multi'!J32)</f>
        <v>197.505</v>
      </c>
      <c r="I29" s="59">
        <f>IF($F5*'Jul''14 Multi'!K31/'Jul''14 Multi'!K32&gt;='Jul''14 Multi'!K33,('Jul''14 Multi'!K33*'Jul''14 Multi'!K42/100)*'Jul''14 Multi'!K32,('Bills Jul''14'!$F5*'Jul''14 Multi'!K31/'Jul''14 Multi'!K32*'Jul''14 Multi'!K42/100)*'Jul''14 Multi'!K32)</f>
        <v>192.06</v>
      </c>
      <c r="J29" s="59">
        <f>IF($F5*'Jul''14 Multi'!L31/'Jul''14 Multi'!L32&gt;='Jul''14 Multi'!L33,('Jul''14 Multi'!L33*'Jul''14 Multi'!L42/100)*'Jul''14 Multi'!L32,('Bills Jul''14'!$F5*'Jul''14 Multi'!L31/'Jul''14 Multi'!L32*'Jul''14 Multi'!L42/100)*'Jul''14 Multi'!L32)</f>
        <v>204.435</v>
      </c>
      <c r="K29" s="63"/>
    </row>
    <row r="30" spans="1:11" x14ac:dyDescent="0.15">
      <c r="A30" s="40" t="s">
        <v>608</v>
      </c>
      <c r="C30" s="59">
        <f>IF($F5*'Jul''14 Multi'!E31/'Jul''14 Multi'!E32&lt;'Jul''14 Multi'!E33,0,IF($F5*'Jul''14 Multi'!E31/'Jul''14 Multi'!E32&lt;='Jul''14 Multi'!E34,($F5*'Jul''14 Multi'!E31/'Jul''14 Multi'!E32-'Jul''14 Multi'!E33)*('Jul''14 Multi'!E43/100)*'Jul''14 Multi'!E32,('Jul''14 Multi'!E34-'Jul''14 Multi'!E33)*('Jul''14 Multi'!E43/100)*'Jul''14 Multi'!E32))</f>
        <v>110.352</v>
      </c>
      <c r="D30" s="59">
        <v>0</v>
      </c>
      <c r="E30" s="59">
        <f>IF($F5*'Jul''14 Multi'!G31/'Jul''14 Multi'!G32&lt;'Jul''14 Multi'!G33,0,IF($F5*'Jul''14 Multi'!G31/'Jul''14 Multi'!G32&lt;='Jul''14 Multi'!G34,($F5*'Jul''14 Multi'!G31/'Jul''14 Multi'!G32-'Jul''14 Multi'!G33)*('Jul''14 Multi'!G43/100)*'Jul''14 Multi'!G32,('Jul''14 Multi'!G34-'Jul''14 Multi'!G33)*('Jul''14 Multi'!G43/100)*'Jul''14 Multi'!G32))</f>
        <v>101.5872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63"/>
    </row>
    <row r="31" spans="1:11" x14ac:dyDescent="0.15">
      <c r="A31" s="40" t="s">
        <v>609</v>
      </c>
      <c r="C31" s="59">
        <f>IF($F5*'Jul''14 Multi'!E31/'Jul''14 Multi'!E32&lt;'Jul''14 Multi'!E34,0,IF($F5*'Jul''14 Multi'!E31/'Jul''14 Multi'!E32&lt;='Jul''14 Multi'!E35,($F5*'Jul''14 Multi'!E31/'Jul''14 Multi'!E32-'Jul''14 Multi'!E34)*('Jul''14 Multi'!E44/100)*'Jul''14 Multi'!E32,('Jul''14 Multi'!E35-'Jul''14 Multi'!E34)*('Jul''14 Multi'!E44/100)*'Jul''14 Multi'!E32))</f>
        <v>0</v>
      </c>
      <c r="D31" s="59">
        <v>0</v>
      </c>
      <c r="E31" s="59">
        <f>IF($F5*'Jul''14 Multi'!G31/'Jul''14 Multi'!G32&lt;'Jul''14 Multi'!G34,0,IF($F5*'Jul''14 Multi'!G31/'Jul''14 Multi'!G32&lt;='Jul''14 Multi'!G35,($F5*'Jul''14 Multi'!G31/'Jul''14 Multi'!G32-'Jul''14 Multi'!G34)*('Jul''14 Multi'!G44/100)*'Jul''14 Multi'!G32,('Jul''14 Multi'!G35-'Jul''14 Multi'!G34)*('Jul''14 Multi'!G44/100)*'Jul''14 Multi'!G32))</f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63"/>
    </row>
    <row r="32" spans="1:11" x14ac:dyDescent="0.15">
      <c r="A32" s="40" t="s">
        <v>610</v>
      </c>
      <c r="C32" s="59">
        <f>IF($F5*'Jul''14 Multi'!E31/'Jul''14 Multi'!E32&lt;'Jul''14 Multi'!E35,0,IF($F5*'Jul''14 Multi'!E31/'Jul''14 Multi'!E32&lt;='Jul''14 Multi'!E36,($F5*'Jul''14 Multi'!E31/'Jul''14 Multi'!E32-'Jul''14 Multi'!E35)*('Jul''14 Multi'!E45/100)*'Jul''14 Multi'!E32,('Jul''14 Multi'!E36-'Jul''14 Multi'!E35)*('Jul''14 Multi'!E45/100)*'Jul''14 Multi'!E32))</f>
        <v>0</v>
      </c>
      <c r="D32" s="59">
        <v>0</v>
      </c>
      <c r="E32" s="59">
        <f>IF($F5*'Jul''14 Multi'!G31/'Jul''14 Multi'!G32&lt;'Jul''14 Multi'!G35,0,IF($F5*'Jul''14 Multi'!G31/'Jul''14 Multi'!G32&lt;='Jul''14 Multi'!G36,($F5*'Jul''14 Multi'!G31/'Jul''14 Multi'!G32-'Jul''14 Multi'!G35)*('Jul''14 Multi'!G45/100)*'Jul''14 Multi'!G32,('Jul''14 Multi'!G36-'Jul''14 Multi'!G35)*('Jul''14 Multi'!G45/100)*'Jul''14 Multi'!G32))</f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63"/>
    </row>
    <row r="33" spans="1:11" x14ac:dyDescent="0.15">
      <c r="A33" s="40" t="s">
        <v>611</v>
      </c>
      <c r="C33" s="59">
        <f>IF(($F5*'Jul''14 Multi'!E31/'Jul''14 Multi'!E32&gt;'Jul''14 Multi'!E36),($F5*'Jul''14 Multi'!E31/'Jul''14 Multi'!E32-'Jul''14 Multi'!E36)*'Jul''14 Multi'!E46/100*'Jul''14 Multi'!E32,0)</f>
        <v>0</v>
      </c>
      <c r="D33" s="59">
        <f>IF(($F5*'Jul''14 Multi'!F31/'Jul''14 Multi'!F32&gt;'Jul''14 Multi'!F33),('Bills Jul''14'!$F5*'Jul''14 Multi'!F31/'Jul''14 Multi'!F32-'Jul''14 Multi'!F33)*'Jul''14 Multi'!F46/100)*'Jul''14 Multi'!F32</f>
        <v>66.1815</v>
      </c>
      <c r="E33" s="59">
        <f>IF(($F5*'Jul''14 Multi'!G31/'Jul''14 Multi'!G32&gt;'Jul''14 Multi'!G36),($F5*'Jul''14 Multi'!G31/'Jul''14 Multi'!G32-'Jul''14 Multi'!G36)*'Jul''14 Multi'!G46/100*'Jul''14 Multi'!G32,0)</f>
        <v>0</v>
      </c>
      <c r="F33" s="59">
        <f>IF(($F5*'Jul''14 Multi'!H31/'Jul''14 Multi'!H32&gt;'Jul''14 Multi'!H33),('Bills Jul''14'!$F5*'Jul''14 Multi'!H31/'Jul''14 Multi'!H32-'Jul''14 Multi'!H33)*'Jul''14 Multi'!H46/100)*'Jul''14 Multi'!H32</f>
        <v>93.688760000000002</v>
      </c>
      <c r="G33" s="59">
        <f>IF(($F5*'Jul''14 Multi'!I31/'Jul''14 Multi'!I32&gt;'Jul''14 Multi'!I33),('Bills Jul''14'!$F5*'Jul''14 Multi'!I31/'Jul''14 Multi'!I32-'Jul''14 Multi'!I33)*'Jul''14 Multi'!I46/100)*'Jul''14 Multi'!I32</f>
        <v>74.709000000000003</v>
      </c>
      <c r="H33" s="59">
        <f>IF(($F5*'Jul''14 Multi'!J31/'Jul''14 Multi'!J32&gt;'Jul''14 Multi'!J33),('Bills Jul''14'!$F5*'Jul''14 Multi'!J31/'Jul''14 Multi'!J32-'Jul''14 Multi'!J33)*'Jul''14 Multi'!J46/100)*'Jul''14 Multi'!J32</f>
        <v>67.814999999999998</v>
      </c>
      <c r="I33" s="59">
        <f>IF(($F5*'Jul''14 Multi'!K31/'Jul''14 Multi'!K32&gt;'Jul''14 Multi'!K33),('Bills Jul''14'!$F5*'Jul''14 Multi'!K31/'Jul''14 Multi'!K32-'Jul''14 Multi'!K33)*'Jul''14 Multi'!K46/100)*'Jul''14 Multi'!K32</f>
        <v>95.699999999999989</v>
      </c>
      <c r="J33" s="59">
        <f>IF(($F5*'Jul''14 Multi'!L31/'Jul''14 Multi'!L32&gt;'Jul''14 Multi'!L33),('Bills Jul''14'!$F5*'Jul''14 Multi'!L31/'Jul''14 Multi'!L32-'Jul''14 Multi'!L33)*'Jul''14 Multi'!L46/100)*'Jul''14 Multi'!L32</f>
        <v>68.31</v>
      </c>
      <c r="K33" s="63"/>
    </row>
    <row r="34" spans="1:11" x14ac:dyDescent="0.15">
      <c r="A34" s="40" t="s">
        <v>612</v>
      </c>
      <c r="C34" s="59">
        <f>365*'Jul''14 Multi'!E47/100</f>
        <v>216.20775</v>
      </c>
      <c r="D34" s="59">
        <f>365*'Jul''14 Multi'!F47/100</f>
        <v>221.82875000000001</v>
      </c>
      <c r="E34" s="59">
        <f>365*'Jul''14 Multi'!G47/100</f>
        <v>254.46267</v>
      </c>
      <c r="F34" s="59">
        <f>365*'Jul''14 Multi'!H47/100</f>
        <v>238.20995000000002</v>
      </c>
      <c r="G34" s="59">
        <f>365*'Jul''14 Multi'!I47/100</f>
        <v>229.91350000000003</v>
      </c>
      <c r="H34" s="59">
        <f>365*'Jul''14 Multi'!J47/100</f>
        <v>200.75</v>
      </c>
      <c r="I34" s="59">
        <f>365*'Jul''14 Multi'!K47/100</f>
        <v>231.06325000000001</v>
      </c>
      <c r="J34" s="59">
        <f>365*'Jul''14 Multi'!L47/100</f>
        <v>208.73985000000002</v>
      </c>
      <c r="K34" s="60">
        <f>AVERAGE(C34:J34)</f>
        <v>225.14696499999999</v>
      </c>
    </row>
    <row r="35" spans="1:11" x14ac:dyDescent="0.15">
      <c r="A35" s="62" t="s">
        <v>613</v>
      </c>
      <c r="B35" s="63"/>
      <c r="C35" s="61">
        <f t="shared" ref="C35:H35" si="1">SUM(C24:C34)</f>
        <v>828.58875000000012</v>
      </c>
      <c r="D35" s="61">
        <f t="shared" si="1"/>
        <v>801.78724999999997</v>
      </c>
      <c r="E35" s="61">
        <f t="shared" si="1"/>
        <v>839.41406999999992</v>
      </c>
      <c r="F35" s="61">
        <f t="shared" si="1"/>
        <v>813.68056000000001</v>
      </c>
      <c r="G35" s="61">
        <f t="shared" si="1"/>
        <v>810.79750000000001</v>
      </c>
      <c r="H35" s="61">
        <f t="shared" si="1"/>
        <v>753.33500000000004</v>
      </c>
      <c r="I35" s="61">
        <f>SUM(I24:I34)</f>
        <v>815.16325000000006</v>
      </c>
      <c r="J35" s="61">
        <f>SUM(J24:J34)</f>
        <v>769.73985000000005</v>
      </c>
      <c r="K35" s="64">
        <f>AVERAGE(C35:J35)</f>
        <v>804.06327874999988</v>
      </c>
    </row>
    <row r="37" spans="1:11" x14ac:dyDescent="0.15">
      <c r="A37" s="55" t="s">
        <v>1042</v>
      </c>
    </row>
    <row r="39" spans="1:11" x14ac:dyDescent="0.15">
      <c r="A39" s="53" t="s">
        <v>1024</v>
      </c>
      <c r="C39" s="23" t="s">
        <v>1044</v>
      </c>
      <c r="D39" s="23" t="s">
        <v>591</v>
      </c>
      <c r="E39" s="23" t="s">
        <v>592</v>
      </c>
      <c r="F39" s="23" t="s">
        <v>615</v>
      </c>
      <c r="G39" s="23" t="s">
        <v>515</v>
      </c>
      <c r="H39" s="23" t="s">
        <v>516</v>
      </c>
      <c r="I39" s="23" t="s">
        <v>597</v>
      </c>
      <c r="J39" s="23" t="s">
        <v>598</v>
      </c>
      <c r="K39" s="57" t="s">
        <v>601</v>
      </c>
    </row>
    <row r="40" spans="1:11" x14ac:dyDescent="0.15">
      <c r="A40" s="40" t="s">
        <v>602</v>
      </c>
      <c r="C40" s="59">
        <f>IF($F5*'Jul''14 Envestra'!E7/'Jul''14 Envestra'!E8&gt;='Jul''14 Envestra'!E11,('Jul''14 Envestra'!E11*'Jul''14 Envestra'!E13/100)*'Jul''14 Envestra'!E8,($F5*'Jul''14 Envestra'!E7/'Jul''14 Envestra'!E8*'Jul''14 Envestra'!E13/100)*'Jul''14 Envestra'!E8)</f>
        <v>73.384872000000001</v>
      </c>
      <c r="D40" s="59">
        <f>IF($F5*'Jul''14 Envestra'!F7/'Jul''14 Envestra'!F8&gt;='Jul''14 Envestra'!F11,('Jul''14 Envestra'!F11*'Jul''14 Envestra'!F13/100)*'Jul''14 Envestra'!F8,($F5*'Jul''14 Envestra'!F7/'Jul''14 Envestra'!F8*'Jul''14 Envestra'!F13/100)*'Jul''14 Envestra'!F8)</f>
        <v>164.648</v>
      </c>
      <c r="E40" s="59">
        <f>IF($F5*'Jul''14 Envestra'!G7/'Jul''14 Envestra'!G8&gt;='Jul''14 Envestra'!G11,('Jul''14 Envestra'!G11*'Jul''14 Envestra'!G13/100)*'Jul''14 Envestra'!G8,($F5*'Jul''14 Envestra'!G7/'Jul''14 Envestra'!G8*'Jul''14 Envestra'!G13/100)*'Jul''14 Envestra'!G8)</f>
        <v>208.02219569999997</v>
      </c>
      <c r="F40" s="59">
        <f>IF($F5*'Jul''14 Envestra'!H7/'Jul''14 Envestra'!H8&gt;='Jul''14 Envestra'!H11,('Jul''14 Envestra'!H11*'Jul''14 Envestra'!H13/100)*'Jul''14 Envestra'!H8,($F5*'Jul''14 Envestra'!H7/'Jul''14 Envestra'!H8*'Jul''14 Envestra'!H13/100)*'Jul''14 Envestra'!H8)</f>
        <v>170.72</v>
      </c>
      <c r="G40" s="59">
        <f>IF($F5*'Jul''14 Envestra'!I7/'Jul''14 Envestra'!I8&gt;='Jul''14 Envestra'!I11,('Jul''14 Envestra'!I11*'Jul''14 Envestra'!I13/100)*'Jul''14 Envestra'!I8,($F5*'Jul''14 Envestra'!I7/'Jul''14 Envestra'!I8*'Jul''14 Envestra'!I13/100)*'Jul''14 Envestra'!I8)</f>
        <v>166.84799999999998</v>
      </c>
      <c r="H40" s="59">
        <f>IF($F5*'Jul''14 Envestra'!J7/'Jul''14 Envestra'!J8&gt;='Jul''14 Envestra'!J11,('Jul''14 Envestra'!J11*'Jul''14 Envestra'!J13/100)*'Jul''14 Envestra'!J8,($F5*'Jul''14 Envestra'!J7/'Jul''14 Envestra'!J8*'Jul''14 Envestra'!J13/100)*'Jul''14 Envestra'!J8)</f>
        <v>135.30000000000001</v>
      </c>
      <c r="I40" s="59">
        <f>IF($F5*'Jul''14 Envestra'!K7/'Jul''14 Envestra'!K8&gt;='Jul''14 Envestra'!K11,('Jul''14 Envestra'!K11*'Jul''14 Envestra'!K13/100)*'Jul''14 Envestra'!K8,($F5*'Jul''14 Envestra'!K7/'Jul''14 Envestra'!K8*'Jul''14 Envestra'!K13/100)*'Jul''14 Envestra'!K8)</f>
        <v>65.825759999999988</v>
      </c>
      <c r="J40" s="59">
        <f>IF($F5*'Jul''14 Envestra'!L7/'Jul''14 Envestra'!L8&gt;='Jul''14 Envestra'!L11,('Jul''14 Envestra'!L11*'Jul''14 Envestra'!L13/100)*'Jul''14 Envestra'!L8,($F5*'Jul''14 Envestra'!L7/'Jul''14 Envestra'!L8*'Jul''14 Envestra'!L13/100)*'Jul''14 Envestra'!L8)</f>
        <v>168.08</v>
      </c>
      <c r="K40" s="63"/>
    </row>
    <row r="41" spans="1:11" x14ac:dyDescent="0.15">
      <c r="A41" s="40" t="s">
        <v>603</v>
      </c>
      <c r="C41" s="59">
        <f>IF($F5*'Jul''14 Envestra'!E7/'Jul''14 Envestra'!E8&lt;'Jul''14 Envestra'!E11,0,IF($F5*'Jul''14 Envestra'!E7/'Jul''14 Envestra'!E8&lt;='Jul''14 Envestra'!E12,($F5*'Jul''14 Envestra'!E7/'Jul''14 Envestra'!E8-'Jul''14 Envestra'!E11)*('Jul''14 Envestra'!E14/100)*'Jul''14 Envestra'!E8,('Jul''14 Envestra'!E12-'Jul''14 Envestra'!E11)*('Jul''14 Envestra'!E14/100)*'Jul''14 Envestra'!E8))</f>
        <v>53.364168000000006</v>
      </c>
      <c r="D41" s="59">
        <f>IF($F5*'Jul''14 Envestra'!F7/'Jul''14 Envestra'!F8&lt;'Jul''14 Envestra'!F11,0,IF($F5*'Jul''14 Envestra'!F7/'Jul''14 Envestra'!F8&lt;='Jul''14 Envestra'!F12,($F5*'Jul''14 Envestra'!F7/'Jul''14 Envestra'!F8-'Jul''14 Envestra'!F11)*('Jul''14 Envestra'!F14/100)*'Jul''14 Envestra'!F8,('Jul''14 Envestra'!F12-'Jul''14 Envestra'!F11)*('Jul''14 Envestra'!F14/100)*'Jul''14 Envestra'!F8))</f>
        <v>39.470254999999995</v>
      </c>
      <c r="E41" s="59">
        <f>IF($F5*'Jul''14 Envestra'!G7/'Jul''14 Envestra'!G8&lt;'Jul''14 Envestra'!G11,0,IF($F5*'Jul''14 Envestra'!G7/'Jul''14 Envestra'!G8&lt;='Jul''14 Envestra'!G12,($F5*'Jul''14 Envestra'!G7/'Jul''14 Envestra'!G8-'Jul''14 Envestra'!G11)*('Jul''14 Envestra'!G14/100)*'Jul''14 Envestra'!G8,('Jul''14 Envestra'!G12-'Jul''14 Envestra'!G11)*('Jul''14 Envestra'!G14/100)*'Jul''14 Envestra'!G8))</f>
        <v>0</v>
      </c>
      <c r="F41" s="59">
        <f>IF($F5*'Jul''14 Envestra'!H7/'Jul''14 Envestra'!H8&lt;'Jul''14 Envestra'!H11,0,IF($F5*'Jul''14 Envestra'!H7/'Jul''14 Envestra'!H8&lt;='Jul''14 Envestra'!H12,($F5*'Jul''14 Envestra'!H7/'Jul''14 Envestra'!H8-'Jul''14 Envestra'!H11)*('Jul''14 Envestra'!H14/100)*'Jul''14 Envestra'!H8,('Jul''14 Envestra'!H12-'Jul''14 Envestra'!H11)*('Jul''14 Envestra'!H14/100)*'Jul''14 Envestra'!H8))</f>
        <v>40.459760000000003</v>
      </c>
      <c r="G41" s="59">
        <f>IF($F5*'Jul''14 Envestra'!I7/'Jul''14 Envestra'!I8&lt;'Jul''14 Envestra'!I11,0,IF($F5*'Jul''14 Envestra'!I7/'Jul''14 Envestra'!I8&lt;='Jul''14 Envestra'!I12,($F5*'Jul''14 Envestra'!I7/'Jul''14 Envestra'!I8-'Jul''14 Envestra'!I11)*('Jul''14 Envestra'!I14/100)*'Jul''14 Envestra'!I8,('Jul''14 Envestra'!I12-'Jul''14 Envestra'!I11)*('Jul''14 Envestra'!I14/100)*'Jul''14 Envestra'!I8))</f>
        <v>38.634672999999999</v>
      </c>
      <c r="H41" s="59">
        <f>IF($F5*'Jul''14 Envestra'!J7/'Jul''14 Envestra'!J8&lt;'Jul''14 Envestra'!J11,0,IF($F5*'Jul''14 Envestra'!J7/'Jul''14 Envestra'!J8&lt;='Jul''14 Envestra'!J12,($F5*'Jul''14 Envestra'!J7/'Jul''14 Envestra'!J8-'Jul''14 Envestra'!J11)*('Jul''14 Envestra'!J14/100)*'Jul''14 Envestra'!J8,('Jul''14 Envestra'!J12-'Jul''14 Envestra'!J11)*('Jul''14 Envestra'!J14/100)*'Jul''14 Envestra'!J8))</f>
        <v>0</v>
      </c>
      <c r="I41" s="59">
        <f>IF($F5*'Jul''14 Envestra'!K7/'Jul''14 Envestra'!K8&lt;'Jul''14 Envestra'!K11,0,IF($F5*'Jul''14 Envestra'!K7/'Jul''14 Envestra'!K8&lt;='Jul''14 Envestra'!K12,($F5*'Jul''14 Envestra'!K7/'Jul''14 Envestra'!K8-'Jul''14 Envestra'!K11)*('Jul''14 Envestra'!K14/100)*'Jul''14 Envestra'!K8,('Jul''14 Envestra'!K12-'Jul''14 Envestra'!K11)*('Jul''14 Envestra'!K14/100)*'Jul''14 Envestra'!K8))</f>
        <v>52.612559999999988</v>
      </c>
      <c r="J41" s="59">
        <f>IF($F5*'Jul''14 Envestra'!L7/'Jul''14 Envestra'!L8&lt;'Jul''14 Envestra'!L11,0,IF($F5*'Jul''14 Envestra'!L7/'Jul''14 Envestra'!L8&lt;='Jul''14 Envestra'!L12,($F5*'Jul''14 Envestra'!L7/'Jul''14 Envestra'!L8-'Jul''14 Envestra'!L11)*('Jul''14 Envestra'!L14/100)*'Jul''14 Envestra'!L8,('Jul''14 Envestra'!L12-'Jul''14 Envestra'!L11)*('Jul''14 Envestra'!L14/100)*'Jul''14 Envestra'!L8))</f>
        <v>38.70064</v>
      </c>
      <c r="K41" s="63"/>
    </row>
    <row r="42" spans="1:11" x14ac:dyDescent="0.15">
      <c r="A42" s="40" t="s">
        <v>606</v>
      </c>
      <c r="C42" s="59">
        <f>IF(($F5*'Jul''14 Envestra'!E7/'Jul''14 Envestra'!E8&gt;'Jul''14 Envestra'!E12),($F5*'Jul''14 Envestra'!E7/'Jul''14 Envestra'!E8-'Jul''14 Envestra'!E12)*'Jul''14 Envestra'!E15/100)*'Jul''14 Envestra'!E8</f>
        <v>69.345671999999993</v>
      </c>
      <c r="D42" s="59">
        <f>IF(($F5*'Jul''14 Envestra'!F7/'Jul''14 Envestra'!F8&gt;'Jul''14 Envestra'!F12),($F5*'Jul''14 Envestra'!F7/'Jul''14 Envestra'!F8-'Jul''14 Envestra'!F12)*'Jul''14 Envestra'!F15/100)*'Jul''14 Envestra'!F8</f>
        <v>0</v>
      </c>
      <c r="E42" s="59">
        <f>IF(($F5*'Jul''14 Envestra'!G7/'Jul''14 Envestra'!G8&gt;'Jul''14 Envestra'!G12),($F5*'Jul''14 Envestra'!G7/'Jul''14 Envestra'!G8-'Jul''14 Envestra'!G12)*'Jul''14 Envestra'!G15/100)*'Jul''14 Envestra'!G8</f>
        <v>0</v>
      </c>
      <c r="F42" s="59">
        <f>IF(($F5*'Jul''14 Envestra'!H7/'Jul''14 Envestra'!H8&gt;'Jul''14 Envestra'!H12),($F5*'Jul''14 Envestra'!H7/'Jul''14 Envestra'!H8-'Jul''14 Envestra'!H12)*'Jul''14 Envestra'!H15/100)*'Jul''14 Envestra'!H8</f>
        <v>0</v>
      </c>
      <c r="G42" s="59">
        <f>IF(($F5*'Jul''14 Envestra'!I7/'Jul''14 Envestra'!I8&gt;'Jul''14 Envestra'!I12),($F5*'Jul''14 Envestra'!I7/'Jul''14 Envestra'!I8-'Jul''14 Envestra'!I12)*'Jul''14 Envestra'!I15/100)*'Jul''14 Envestra'!I8</f>
        <v>0</v>
      </c>
      <c r="H42" s="59">
        <f>IF(($F5*'Jul''14 Envestra'!J7/'Jul''14 Envestra'!J8&gt;'Jul''14 Envestra'!J12),($F5*'Jul''14 Envestra'!J7/'Jul''14 Envestra'!J8-'Jul''14 Envestra'!J12)*'Jul''14 Envestra'!J15/100)*'Jul''14 Envestra'!J8</f>
        <v>63.784050000000001</v>
      </c>
      <c r="I42" s="59">
        <f>IF(($F5*'Jul''14 Envestra'!K7/'Jul''14 Envestra'!K8&gt;'Jul''14 Envestra'!K12),($F5*'Jul''14 Envestra'!K7/'Jul''14 Envestra'!K8-'Jul''14 Envestra'!K12)*'Jul''14 Envestra'!K15/100)*'Jul''14 Envestra'!K8</f>
        <v>73.208190000000002</v>
      </c>
      <c r="J42" s="59">
        <f>IF(($F5*'Jul''14 Envestra'!L7/'Jul''14 Envestra'!L8&gt;'Jul''14 Envestra'!L12),($F5*'Jul''14 Envestra'!L7/'Jul''14 Envestra'!L8-'Jul''14 Envestra'!L12)*'Jul''14 Envestra'!L15/100)*'Jul''14 Envestra'!L8</f>
        <v>0</v>
      </c>
      <c r="K42" s="63"/>
    </row>
    <row r="43" spans="1:11" x14ac:dyDescent="0.15">
      <c r="A43" s="40" t="s">
        <v>607</v>
      </c>
      <c r="C43" s="59">
        <f>IF($F5*'Jul''14 Envestra'!E9/'Jul''14 Envestra'!E10&gt;='Jul''14 Envestra'!E11,('Jul''14 Envestra'!E11*'Jul''14 Envestra'!E16/100)*'Jul''14 Envestra'!E10,($F5*'Jul''14 Envestra'!E9/'Jul''14 Envestra'!E10*'Jul''14 Envestra'!E16/100)*'Jul''14 Envestra'!E10)</f>
        <v>146.769744</v>
      </c>
      <c r="D43" s="59">
        <f>IF($F5*'Jul''14 Envestra'!F9/'Jul''14 Envestra'!F10&gt;='Jul''14 Envestra'!F11,('Jul''14 Envestra'!F11*'Jul''14 Envestra'!F16/100)*'Jul''14 Envestra'!F10,($F5*'Jul''14 Envestra'!F9/'Jul''14 Envestra'!F10*'Jul''14 Envestra'!F16/100)*'Jul''14 Envestra'!F10)</f>
        <v>312.928</v>
      </c>
      <c r="E43" s="59">
        <f>IF($F5*'Jul''14 Envestra'!G9/'Jul''14 Envestra'!G10&gt;='Jul''14 Envestra'!G11,('Jul''14 Envestra'!G11*'Jul''14 Envestra'!G16/100)*'Jul''14 Envestra'!G10,($F5*'Jul''14 Envestra'!G9/'Jul''14 Envestra'!G10*'Jul''14 Envestra'!G16/100)*'Jul''14 Envestra'!G10)</f>
        <v>393.91460460000002</v>
      </c>
      <c r="F43" s="59">
        <f>IF($F5*'Jul''14 Envestra'!H9/'Jul''14 Envestra'!H10&gt;='Jul''14 Envestra'!H11,('Jul''14 Envestra'!H11*'Jul''14 Envestra'!H16/100)*'Jul''14 Envestra'!H10,($F5*'Jul''14 Envestra'!H9/'Jul''14 Envestra'!H10*'Jul''14 Envestra'!H16/100)*'Jul''14 Envestra'!H10)</f>
        <v>327.35999999999996</v>
      </c>
      <c r="G43" s="59">
        <f>IF($F5*'Jul''14 Envestra'!I9/'Jul''14 Envestra'!I10&gt;='Jul''14 Envestra'!I11,('Jul''14 Envestra'!I11*'Jul''14 Envestra'!I16/100)*'Jul''14 Envestra'!I10,($F5*'Jul''14 Envestra'!I9/'Jul''14 Envestra'!I10*'Jul''14 Envestra'!I16/100)*'Jul''14 Envestra'!I10)</f>
        <v>321.74399999999997</v>
      </c>
      <c r="H43" s="59">
        <f>IF($F5*'Jul''14 Envestra'!J9/'Jul''14 Envestra'!J10&gt;='Jul''14 Envestra'!J11,('Jul''14 Envestra'!J11*'Jul''14 Envestra'!J16/100)*'Jul''14 Envestra'!J10,($F5*'Jul''14 Envestra'!J9/'Jul''14 Envestra'!J10*'Jul''14 Envestra'!J16/100)*'Jul''14 Envestra'!J10)</f>
        <v>270.60000000000002</v>
      </c>
      <c r="I43" s="59">
        <f>IF($F5*'Jul''14 Envestra'!K9/'Jul''14 Envestra'!K10&gt;='Jul''14 Envestra'!K11,('Jul''14 Envestra'!K11*'Jul''14 Envestra'!K16/100)*'Jul''14 Envestra'!K10,($F5*'Jul''14 Envestra'!K9/'Jul''14 Envestra'!K10*'Jul''14 Envestra'!K16/100)*'Jul''14 Envestra'!K10)</f>
        <v>131.65151999999998</v>
      </c>
      <c r="J43" s="59">
        <f>IF($F5*'Jul''14 Envestra'!L9/'Jul''14 Envestra'!L10&gt;='Jul''14 Envestra'!L11,('Jul''14 Envestra'!L11*'Jul''14 Envestra'!L16/100)*'Jul''14 Envestra'!L10,($F5*'Jul''14 Envestra'!L9/'Jul''14 Envestra'!L10*'Jul''14 Envestra'!L16/100)*'Jul''14 Envestra'!L10)</f>
        <v>322.08</v>
      </c>
      <c r="K43" s="63"/>
    </row>
    <row r="44" spans="1:11" x14ac:dyDescent="0.15">
      <c r="A44" s="40" t="s">
        <v>608</v>
      </c>
      <c r="C44" s="59">
        <f>IF($F5*'Jul''14 Envestra'!E9/'Jul''14 Envestra'!E10&lt;'Jul''14 Envestra'!E11,0,IF($F5*'Jul''14 Envestra'!E9/'Jul''14 Envestra'!E10&lt;='Jul''14 Envestra'!E12,($F5*'Jul''14 Envestra'!E9/'Jul''14 Envestra'!E10-'Jul''14 Envestra'!E11)*('Jul''14 Envestra'!E17/100)*'Jul''14 Envestra'!E10,('Jul''14 Envestra'!E12-'Jul''14 Envestra'!E11)*('Jul''14 Envestra'!E17/100)*'Jul''14 Envestra'!E10))</f>
        <v>106.72833600000001</v>
      </c>
      <c r="D44" s="59">
        <f>IF($F5*'Jul''14 Envestra'!F9/'Jul''14 Envestra'!F10&lt;'Jul''14 Envestra'!F11,0,IF($F5*'Jul''14 Envestra'!F9/'Jul''14 Envestra'!F10&lt;='Jul''14 Envestra'!F12,($F5*'Jul''14 Envestra'!F9/'Jul''14 Envestra'!F10-'Jul''14 Envestra'!F11)*('Jul''14 Envestra'!F17/100)*'Jul''14 Envestra'!F10,('Jul''14 Envestra'!F12-'Jul''14 Envestra'!F11)*('Jul''14 Envestra'!F17/100)*'Jul''14 Envestra'!F10))</f>
        <v>77.005477999999997</v>
      </c>
      <c r="E44" s="59">
        <f>IF($F5*'Jul''14 Envestra'!G9/'Jul''14 Envestra'!G10&lt;'Jul''14 Envestra'!G11,0,IF($F5*'Jul''14 Envestra'!G9/'Jul''14 Envestra'!G10&lt;='Jul''14 Envestra'!G12,($F5*'Jul''14 Envestra'!G9/'Jul''14 Envestra'!G10-'Jul''14 Envestra'!G11)*('Jul''14 Envestra'!G17/100)*'Jul''14 Envestra'!G10,('Jul''14 Envestra'!G12-'Jul''14 Envestra'!G11)*('Jul''14 Envestra'!G17/100)*'Jul''14 Envestra'!G10))</f>
        <v>0</v>
      </c>
      <c r="F44" s="59">
        <f>IF($F5*'Jul''14 Envestra'!H9/'Jul''14 Envestra'!H10&lt;'Jul''14 Envestra'!H11,0,IF($F5*'Jul''14 Envestra'!H9/'Jul''14 Envestra'!H10&lt;='Jul''14 Envestra'!H12,($F5*'Jul''14 Envestra'!H9/'Jul''14 Envestra'!H10-'Jul''14 Envestra'!H11)*('Jul''14 Envestra'!H17/100)*'Jul''14 Envestra'!H10,('Jul''14 Envestra'!H12-'Jul''14 Envestra'!H11)*('Jul''14 Envestra'!H17/100)*'Jul''14 Envestra'!H10))</f>
        <v>78.720619999999997</v>
      </c>
      <c r="G44" s="59">
        <f>IF($F5*'Jul''14 Envestra'!I9/'Jul''14 Envestra'!I10&lt;'Jul''14 Envestra'!I11,0,IF($F5*'Jul''14 Envestra'!I9/'Jul''14 Envestra'!I10&lt;='Jul''14 Envestra'!I12,($F5*'Jul''14 Envestra'!I9/'Jul''14 Envestra'!I10-'Jul''14 Envestra'!I11)*('Jul''14 Envestra'!I17/100)*'Jul''14 Envestra'!I10,('Jul''14 Envestra'!I12-'Jul''14 Envestra'!I11)*('Jul''14 Envestra'!I17/100)*'Jul''14 Envestra'!I10))</f>
        <v>75.746108000000007</v>
      </c>
      <c r="H44" s="59">
        <f>IF($F5*'Jul''14 Envestra'!J9/'Jul''14 Envestra'!J10&lt;'Jul''14 Envestra'!J11,0,IF($F5*'Jul''14 Envestra'!J9/'Jul''14 Envestra'!J10&lt;='Jul''14 Envestra'!J12,($F5*'Jul''14 Envestra'!J9/'Jul''14 Envestra'!J10-'Jul''14 Envestra'!J11)*('Jul''14 Envestra'!J17/100)*'Jul''14 Envestra'!J10,('Jul''14 Envestra'!J12-'Jul''14 Envestra'!J11)*('Jul''14 Envestra'!J17/100)*'Jul''14 Envestra'!J10))</f>
        <v>0</v>
      </c>
      <c r="I44" s="59">
        <f>IF($F5*'Jul''14 Envestra'!K9/'Jul''14 Envestra'!K10&lt;'Jul''14 Envestra'!K11,0,IF($F5*'Jul''14 Envestra'!K9/'Jul''14 Envestra'!K10&lt;='Jul''14 Envestra'!K12,($F5*'Jul''14 Envestra'!K9/'Jul''14 Envestra'!K10-'Jul''14 Envestra'!K11)*('Jul''14 Envestra'!K17/100)*'Jul''14 Envestra'!K10,('Jul''14 Envestra'!K12-'Jul''14 Envestra'!K11)*('Jul''14 Envestra'!K17/100)*'Jul''14 Envestra'!K10))</f>
        <v>105.22511999999998</v>
      </c>
      <c r="J44" s="59">
        <f>IF($F5*'Jul''14 Envestra'!L9/'Jul''14 Envestra'!L10&lt;'Jul''14 Envestra'!L11,0,IF($F5*'Jul''14 Envestra'!L9/'Jul''14 Envestra'!L10&lt;='Jul''14 Envestra'!L12,($F5*'Jul''14 Envestra'!L9/'Jul''14 Envestra'!L10-'Jul''14 Envestra'!L11)*('Jul''14 Envestra'!L17/100)*'Jul''14 Envestra'!L10,('Jul''14 Envestra'!L12-'Jul''14 Envestra'!L11)*('Jul''14 Envestra'!L17/100)*'Jul''14 Envestra'!L10))</f>
        <v>76.521720000000002</v>
      </c>
      <c r="K44" s="63"/>
    </row>
    <row r="45" spans="1:11" x14ac:dyDescent="0.15">
      <c r="A45" s="40" t="s">
        <v>611</v>
      </c>
      <c r="C45" s="59">
        <f>IF(($F5*'Jul''14 Envestra'!E9/'Jul''14 Envestra'!E10&gt;'Jul''14 Envestra'!E12),($F5*'Jul''14 Envestra'!E9/'Jul''14 Envestra'!E10-'Jul''14 Envestra'!E12)*'Jul''14 Envestra'!E18/100)*'Jul''14 Envestra'!E10</f>
        <v>138.69134399999999</v>
      </c>
      <c r="D45" s="59">
        <f>IF(($F5*'Jul''14 Envestra'!F9/'Jul''14 Envestra'!F10&gt;'Jul''14 Envestra'!F12),($F5*'Jul''14 Envestra'!F9/'Jul''14 Envestra'!F10-'Jul''14 Envestra'!F12)*'Jul''14 Envestra'!F18/100)*'Jul''14 Envestra'!F10</f>
        <v>0</v>
      </c>
      <c r="E45" s="59">
        <f>IF(($F5*'Jul''14 Envestra'!G9/'Jul''14 Envestra'!G10&gt;'Jul''14 Envestra'!G12),($F5*'Jul''14 Envestra'!G9/'Jul''14 Envestra'!G10-'Jul''14 Envestra'!G12)*'Jul''14 Envestra'!G18/100)*'Jul''14 Envestra'!G10</f>
        <v>0</v>
      </c>
      <c r="F45" s="59">
        <f>IF(($F5*'Jul''14 Envestra'!H9/'Jul''14 Envestra'!H10&gt;'Jul''14 Envestra'!H12),($F5*'Jul''14 Envestra'!H9/'Jul''14 Envestra'!H10-'Jul''14 Envestra'!H12)*'Jul''14 Envestra'!H18/100)*'Jul''14 Envestra'!H10</f>
        <v>0</v>
      </c>
      <c r="G45" s="59">
        <f>IF(($F5*'Jul''14 Envestra'!I9/'Jul''14 Envestra'!I10&gt;'Jul''14 Envestra'!I12),($F5*'Jul''14 Envestra'!I9/'Jul''14 Envestra'!I10-'Jul''14 Envestra'!I12)*'Jul''14 Envestra'!I18/100)*'Jul''14 Envestra'!I10</f>
        <v>0</v>
      </c>
      <c r="H45" s="59">
        <f>IF(($F5*'Jul''14 Envestra'!J9/'Jul''14 Envestra'!J10&gt;'Jul''14 Envestra'!J12),($F5*'Jul''14 Envestra'!J9/'Jul''14 Envestra'!J10-'Jul''14 Envestra'!J12)*'Jul''14 Envestra'!J18/100)*'Jul''14 Envestra'!J10</f>
        <v>127.5681</v>
      </c>
      <c r="I45" s="59">
        <f>IF(($F5*'Jul''14 Envestra'!K9/'Jul''14 Envestra'!K10&gt;'Jul''14 Envestra'!K12),($F5*'Jul''14 Envestra'!K9/'Jul''14 Envestra'!K10-'Jul''14 Envestra'!K12)*'Jul''14 Envestra'!K18/100)*'Jul''14 Envestra'!K10</f>
        <v>146.41638</v>
      </c>
      <c r="J45" s="59">
        <f>IF(($F5*'Jul''14 Envestra'!L9/'Jul''14 Envestra'!L10&gt;'Jul''14 Envestra'!L12),($F5*'Jul''14 Envestra'!L9/'Jul''14 Envestra'!L10-'Jul''14 Envestra'!L12)*'Jul''14 Envestra'!L18/100)*'Jul''14 Envestra'!L10</f>
        <v>0</v>
      </c>
      <c r="K45" s="63"/>
    </row>
    <row r="46" spans="1:11" x14ac:dyDescent="0.15">
      <c r="A46" s="40" t="s">
        <v>612</v>
      </c>
      <c r="C46" s="59">
        <f>365*'Jul''14 Envestra'!E19/100</f>
        <v>251.21854999999999</v>
      </c>
      <c r="D46" s="59">
        <f>365*'Jul''14 Envestra'!F19/100</f>
        <v>227.77095</v>
      </c>
      <c r="E46" s="59">
        <f>365*'Jul''14 Envestra'!G19/100</f>
        <v>250.42358000000002</v>
      </c>
      <c r="F46" s="59">
        <f>365*'Jul''14 Envestra'!H19/100</f>
        <v>217.02900000000002</v>
      </c>
      <c r="G46" s="59">
        <f>365*'Jul''14 Envestra'!I19/100</f>
        <v>251.047</v>
      </c>
      <c r="H46" s="59">
        <f>365*'Jul''14 Envestra'!J19/100</f>
        <v>208.78</v>
      </c>
      <c r="I46" s="59">
        <f>365*'Jul''14 Envestra'!K19/100</f>
        <v>243.34915000000001</v>
      </c>
      <c r="J46" s="59">
        <f>365*'Jul''14 Envestra'!L19/100</f>
        <v>228.65425000000002</v>
      </c>
      <c r="K46" s="60">
        <f>AVERAGE(C46:J46)</f>
        <v>234.78406000000001</v>
      </c>
    </row>
    <row r="47" spans="1:11" x14ac:dyDescent="0.15">
      <c r="A47" s="62" t="s">
        <v>613</v>
      </c>
      <c r="B47" s="63"/>
      <c r="C47" s="61">
        <f t="shared" ref="C47:H47" si="2">SUM(C40:C46)</f>
        <v>839.50268600000004</v>
      </c>
      <c r="D47" s="61">
        <f t="shared" si="2"/>
        <v>821.82268299999998</v>
      </c>
      <c r="E47" s="61">
        <f t="shared" si="2"/>
        <v>852.36038029999997</v>
      </c>
      <c r="F47" s="61">
        <f>SUM(F40:F46)</f>
        <v>834.28937999999994</v>
      </c>
      <c r="G47" s="61">
        <f t="shared" si="2"/>
        <v>854.01978099999997</v>
      </c>
      <c r="H47" s="61">
        <f t="shared" si="2"/>
        <v>806.03215</v>
      </c>
      <c r="I47" s="61">
        <f>SUM(I40:I46)</f>
        <v>818.28867999999989</v>
      </c>
      <c r="J47" s="61">
        <f>SUM(J40:J46)</f>
        <v>834.03661</v>
      </c>
      <c r="K47" s="64">
        <f>AVERAGE(C47:J47)</f>
        <v>832.54404378749996</v>
      </c>
    </row>
    <row r="49" spans="1:11" x14ac:dyDescent="0.15">
      <c r="A49" s="53" t="s">
        <v>488</v>
      </c>
      <c r="C49" s="23" t="s">
        <v>1044</v>
      </c>
      <c r="D49" s="23" t="s">
        <v>591</v>
      </c>
      <c r="E49" s="23" t="s">
        <v>592</v>
      </c>
      <c r="F49" s="23" t="s">
        <v>615</v>
      </c>
      <c r="G49" s="23" t="s">
        <v>515</v>
      </c>
      <c r="H49" s="23" t="s">
        <v>516</v>
      </c>
      <c r="I49" s="23" t="s">
        <v>597</v>
      </c>
      <c r="J49" s="23" t="s">
        <v>598</v>
      </c>
      <c r="K49" s="57" t="s">
        <v>601</v>
      </c>
    </row>
    <row r="50" spans="1:11" x14ac:dyDescent="0.15">
      <c r="A50" s="40" t="s">
        <v>602</v>
      </c>
      <c r="C50" s="59">
        <f>IF($F5*'Jul''14 Envestra'!E23/'Jul''14 Envestra'!E24&gt;='Jul''14 Envestra'!E27,('Jul''14 Envestra'!E27*'Jul''14 Envestra'!E45/100)*'Jul''14 Envestra'!E24,($F5*'Jul''14 Envestra'!E23/'Jul''14 Envestra'!E24*'Jul''14 Envestra'!E45/100)*'Jul''14 Envestra'!E24)</f>
        <v>74.903927999999993</v>
      </c>
      <c r="D50" s="59">
        <f>IF($F5*'Jul''14 Envestra'!F23/'Jul''14 Envestra'!F24&gt;='Jul''14 Envestra'!F27,('Jul''14 Envestra'!F27*'Jul''14 Envestra'!F29/100)*'Jul''14 Envestra'!F24,('Bills Jul''14'!$F5*'Jul''14 Envestra'!F23/'Jul''14 Envestra'!F24*'Jul''14 Envestra'!F29/100)*'Jul''14 Envestra'!F24)</f>
        <v>135.94239999999999</v>
      </c>
      <c r="E50" s="59">
        <f>IF($F5*'Jul''14 Envestra'!G23/'Jul''14 Envestra'!G24&gt;='Jul''14 Envestra'!G27,('Jul''14 Envestra'!G27*'Jul''14 Envestra'!G45/100)*'Jul''14 Envestra'!G24,($F5*'Jul''14 Envestra'!G23/'Jul''14 Envestra'!G24*'Jul''14 Envestra'!G45/100)*'Jul''14 Envestra'!G24)</f>
        <v>211.34386349999997</v>
      </c>
      <c r="F50" s="59">
        <f>IF($F5*'Jul''14 Envestra'!H23/'Jul''14 Envestra'!H24&gt;='Jul''14 Envestra'!H27,('Jul''14 Envestra'!H27*'Jul''14 Envestra'!H45/100)*'Jul''14 Envestra'!H24,($F5*'Jul''14 Envestra'!H23/'Jul''14 Envestra'!H24*'Jul''14 Envestra'!H45/100)*'Jul''14 Envestra'!H24)</f>
        <v>139.392</v>
      </c>
      <c r="G50" s="59">
        <f>IF($F5*'Jul''14 Envestra'!I23/'Jul''14 Envestra'!I24&gt;='Jul''14 Envestra'!I27,('Jul''14 Envestra'!I27*'Jul''14 Envestra'!I29/100)*'Jul''14 Envestra'!I24,('Bills Jul''14'!$F5*'Jul''14 Envestra'!I23/'Jul''14 Envestra'!I24*'Jul''14 Envestra'!I29/100)*'Jul''14 Envestra'!I24)</f>
        <v>137.97120000000001</v>
      </c>
      <c r="H50" s="59">
        <f>IF($F5*'Jul''14 Envestra'!J23/'Jul''14 Envestra'!J24&gt;='Jul''14 Envestra'!J27,('Jul''14 Envestra'!J27*'Jul''14 Envestra'!J29/100)*'Jul''14 Envestra'!J24,('Bills Jul''14'!$F5*'Jul''14 Envestra'!J23/'Jul''14 Envestra'!J24*'Jul''14 Envestra'!J29/100)*'Jul''14 Envestra'!J24)</f>
        <v>127.38000000000002</v>
      </c>
      <c r="I50" s="59">
        <f>IF($F5*'Jul''14 Envestra'!K23/'Jul''14 Envestra'!K24&gt;='Jul''14 Envestra'!K27,('Jul''14 Envestra'!K27*'Jul''14 Envestra'!K29/100)*'Jul''14 Envestra'!K24,('Bills Jul''14'!$F5*'Jul''14 Envestra'!K23/'Jul''14 Envestra'!K24*'Jul''14 Envestra'!K29/100)*'Jul''14 Envestra'!K24)</f>
        <v>68.719199999999987</v>
      </c>
      <c r="J50" s="59">
        <f>IF($F5*'Jul''14 Envestra'!L23/'Jul''14 Envestra'!L24&gt;='Jul''14 Envestra'!L27,('Jul''14 Envestra'!L27*'Jul''14 Envestra'!L29/100)*'Jul''14 Envestra'!L24,('Bills Jul''14'!$F5*'Jul''14 Envestra'!L23/'Jul''14 Envestra'!L24*'Jul''14 Envestra'!L29/100)*'Jul''14 Envestra'!L24)</f>
        <v>133.05600000000001</v>
      </c>
      <c r="K50" s="63"/>
    </row>
    <row r="51" spans="1:11" x14ac:dyDescent="0.15">
      <c r="A51" s="40" t="s">
        <v>603</v>
      </c>
      <c r="C51" s="59">
        <f>IF($F5*'Jul''14 Envestra'!E23/'Jul''14 Envestra'!E25&lt;'Jul''14 Envestra'!E27,0,IF($F5*'Jul''14 Envestra'!E23/'Jul''14 Envestra'!E24&lt;='Jul''14 Envestra'!E28,($F5*'Jul''14 Envestra'!E23/'Jul''14 Envestra'!E24-'Jul''14 Envestra'!E27)*('Jul''14 Envestra'!E46/100)*'Jul''14 Envestra'!E24,('Jul''14 Envestra'!E28-'Jul''14 Envestra'!E27)*('Jul''14 Envestra'!E46/100)*'Jul''14 Envestra'!E24))</f>
        <v>51.369516000000004</v>
      </c>
      <c r="D51" s="59">
        <v>0</v>
      </c>
      <c r="E51" s="59">
        <f>IF($F5*'Jul''14 Envestra'!G23/'Jul''14 Envestra'!G25&lt;'Jul''14 Envestra'!G27,0,IF($F5*'Jul''14 Envestra'!G23/'Jul''14 Envestra'!G24&lt;='Jul''14 Envestra'!G28,($F5*'Jul''14 Envestra'!G23/'Jul''14 Envestra'!G24-'Jul''14 Envestra'!G27)*('Jul''14 Envestra'!G46/100)*'Jul''14 Envestra'!G24,('Jul''14 Envestra'!G28-'Jul''14 Envestra'!G27)*('Jul''14 Envestra'!G46/100)*'Jul''14 Envestra'!G24))</f>
        <v>-35.871326699999997</v>
      </c>
      <c r="F51" s="59">
        <f>IF($F5*'Jul''14 Envestra'!H23/'Jul''14 Envestra'!H25&lt;'Jul''14 Envestra'!H27,0,IF($F5*'Jul''14 Envestra'!H23/'Jul''14 Envestra'!H24&lt;='Jul''14 Envestra'!H28,($F5*'Jul''14 Envestra'!H23/'Jul''14 Envestra'!H24-'Jul''14 Envestra'!H27)*('Jul''14 Envestra'!H46/100)*'Jul''14 Envestra'!H24,('Jul''14 Envestra'!H28-'Jul''14 Envestra'!H27)*('Jul''14 Envestra'!H46/100)*'Jul''14 Envestra'!H24))</f>
        <v>0</v>
      </c>
      <c r="G51" s="59">
        <v>0</v>
      </c>
      <c r="H51" s="59">
        <v>0</v>
      </c>
      <c r="I51" s="59">
        <v>0</v>
      </c>
      <c r="J51" s="59">
        <v>0</v>
      </c>
      <c r="K51" s="63"/>
    </row>
    <row r="52" spans="1:11" x14ac:dyDescent="0.15">
      <c r="A52" s="40" t="s">
        <v>606</v>
      </c>
      <c r="C52" s="59">
        <f>IF(($F5*'Jul''14 Envestra'!E23/'Jul''14 Envestra'!E24&gt;'Jul''14 Envestra'!E28),($F5*'Jul''14 Envestra'!E23/'Jul''14 Envestra'!E24-'Jul''14 Envestra'!E28)*'Jul''14 Envestra'!E47/100*'Jul''14 Envestra'!E24,0)</f>
        <v>63.731546999999999</v>
      </c>
      <c r="D52" s="59">
        <f>IF(($F5*'Jul''14 Envestra'!F23/'Jul''14 Envestra'!F24&gt;'Jul''14 Envestra'!F27)*'Jul''14 Envestra'!F24,('Bills Jul''14'!$F5*'Jul''14 Envestra'!F23/'Jul''14 Envestra'!F24-'Jul''14 Envestra'!F28)*'Jul''14 Envestra'!F31/100)*'Jul''14 Envestra'!F24</f>
        <v>63.777879000000006</v>
      </c>
      <c r="E52" s="59">
        <f>IF(($F5*'Jul''14 Envestra'!G23/'Jul''14 Envestra'!G24&gt;'Jul''14 Envestra'!G28),($F5*'Jul''14 Envestra'!G23/'Jul''14 Envestra'!G24-'Jul''14 Envestra'!G28)*'Jul''14 Envestra'!G47/100*'Jul''14 Envestra'!G24,0)</f>
        <v>0</v>
      </c>
      <c r="F52" s="59">
        <f>IF(($F5*'Jul''14 Envestra'!H23/'Jul''14 Envestra'!H24&gt;'Jul''14 Envestra'!H28),($F5*'Jul''14 Envestra'!H23/'Jul''14 Envestra'!H24-'Jul''14 Envestra'!H28)*'Jul''14 Envestra'!H47/100*'Jul''14 Envestra'!H24,0)</f>
        <v>58.987610000000004</v>
      </c>
      <c r="G52" s="59">
        <f>IF(($F5*'Jul''14 Envestra'!I23/'Jul''14 Envestra'!I24&gt;'Jul''14 Envestra'!I27)*'Jul''14 Envestra'!I24,('Bills Jul''14'!$F5*'Jul''14 Envestra'!I23/'Jul''14 Envestra'!I24-'Jul''14 Envestra'!I28)*'Jul''14 Envestra'!I31/100)*'Jul''14 Envestra'!I24</f>
        <v>68.057090000000002</v>
      </c>
      <c r="H52" s="59">
        <f>IF(($F5*'Jul''14 Envestra'!J23/'Jul''14 Envestra'!J24&gt;'Jul''14 Envestra'!J27)*'Jul''14 Envestra'!J24,('Bills Jul''14'!$F5*'Jul''14 Envestra'!J23/'Jul''14 Envestra'!J24-'Jul''14 Envestra'!J28)*'Jul''14 Envestra'!J31/100)*'Jul''14 Envestra'!J24</f>
        <v>65.543610000000001</v>
      </c>
      <c r="I52" s="59">
        <f>IF(($F5*'Jul''14 Envestra'!K23/'Jul''14 Envestra'!K24&gt;'Jul''14 Envestra'!K27)*'Jul''14 Envestra'!K24,('Bills Jul''14'!$F5*'Jul''14 Envestra'!K23/'Jul''14 Envestra'!K24-'Jul''14 Envestra'!K28)*'Jul''14 Envestra'!K31/100)*'Jul''14 Envestra'!K24</f>
        <v>112.20792</v>
      </c>
      <c r="J52" s="59">
        <f>IF(($F5*'Jul''14 Envestra'!L23/'Jul''14 Envestra'!L24&gt;'Jul''14 Envestra'!L27)*'Jul''14 Envestra'!L24,('Bills Jul''14'!$F5*'Jul''14 Envestra'!L23/'Jul''14 Envestra'!L24-'Jul''14 Envestra'!L28)*'Jul''14 Envestra'!L31/100)*'Jul''14 Envestra'!L24</f>
        <v>64.134180000000001</v>
      </c>
      <c r="K52" s="63"/>
    </row>
    <row r="53" spans="1:11" x14ac:dyDescent="0.15">
      <c r="A53" s="40" t="s">
        <v>607</v>
      </c>
      <c r="C53" s="59">
        <f>IF($F5*'Jul''14 Envestra'!E25/'Jul''14 Envestra'!E26&gt;='Jul''14 Envestra'!E27,('Jul''14 Envestra'!E27*'Jul''14 Envestra'!E48/100)*'Jul''14 Envestra'!E26,($F5*'Jul''14 Envestra'!E25/'Jul''14 Envestra'!E26*'Jul''14 Envestra'!E48/100*'Jul''14 Envestra'!E26))</f>
        <v>149.80785599999999</v>
      </c>
      <c r="D53" s="59">
        <f>IF($F5*'Jul''14 Envestra'!F25/'Jul''14 Envestra'!F26&gt;='Jul''14 Envestra'!F27,('Jul''14 Envestra'!F27*'Jul''14 Envestra'!F32/100)*'Jul''14 Envestra'!F26,('Bills Jul''14'!$F5*'Jul''14 Envestra'!F25/'Jul''14 Envestra'!F26*'Jul''14 Envestra'!F32/100)*'Jul''14 Envestra'!F26)</f>
        <v>258.93119999999999</v>
      </c>
      <c r="E53" s="59">
        <f>IF($F5*'Jul''14 Envestra'!G25/'Jul''14 Envestra'!G26&gt;='Jul''14 Envestra'!G27,('Jul''14 Envestra'!G27*'Jul''14 Envestra'!G48/100)*'Jul''14 Envestra'!G26,($F5*'Jul''14 Envestra'!G25/'Jul''14 Envestra'!G26*'Jul''14 Envestra'!G48/100*'Jul''14 Envestra'!G26))</f>
        <v>407.17927799999995</v>
      </c>
      <c r="F53" s="59">
        <f>IF($F5*'Jul''14 Envestra'!H25/'Jul''14 Envestra'!H26&gt;='Jul''14 Envestra'!H27,('Jul''14 Envestra'!H27*'Jul''14 Envestra'!H48/100)*'Jul''14 Envestra'!H26,($F5*'Jul''14 Envestra'!H25/'Jul''14 Envestra'!H26*'Jul''14 Envestra'!H48/100*'Jul''14 Envestra'!H26))</f>
        <v>274.56</v>
      </c>
      <c r="G53" s="59">
        <f>IF($F5*'Jul''14 Envestra'!I25/'Jul''14 Envestra'!I26&gt;='Jul''14 Envestra'!I27,('Jul''14 Envestra'!I27*'Jul''14 Envestra'!I32/100)*'Jul''14 Envestra'!I26,('Bills Jul''14'!$F5*'Jul''14 Envestra'!I25/'Jul''14 Envestra'!I26*'Jul''14 Envestra'!I32/100)*'Jul''14 Envestra'!I26)</f>
        <v>266.39359999999999</v>
      </c>
      <c r="H53" s="59">
        <f>IF($F5*'Jul''14 Envestra'!J25/'Jul''14 Envestra'!J26&gt;='Jul''14 Envestra'!J27,('Jul''14 Envestra'!J27*'Jul''14 Envestra'!J32/100)*'Jul''14 Envestra'!J26,('Bills Jul''14'!$F5*'Jul''14 Envestra'!J25/'Jul''14 Envestra'!J26*'Jul''14 Envestra'!J32/100)*'Jul''14 Envestra'!J26)</f>
        <v>254.76000000000005</v>
      </c>
      <c r="I53" s="59">
        <f>IF($F5*'Jul''14 Envestra'!K25/'Jul''14 Envestra'!K26&gt;='Jul''14 Envestra'!K27,('Jul''14 Envestra'!K27*'Jul''14 Envestra'!K32/100)*'Jul''14 Envestra'!K26,('Bills Jul''14'!$F5*'Jul''14 Envestra'!K25/'Jul''14 Envestra'!K26*'Jul''14 Envestra'!K32/100)*'Jul''14 Envestra'!K26)</f>
        <v>137.43839999999997</v>
      </c>
      <c r="J53" s="59">
        <f>IF($F5*'Jul''14 Envestra'!L25/'Jul''14 Envestra'!L26&gt;='Jul''14 Envestra'!L27,('Jul''14 Envestra'!L27*'Jul''14 Envestra'!L32/100)*'Jul''14 Envestra'!L26,('Bills Jul''14'!$F5*'Jul''14 Envestra'!L25/'Jul''14 Envestra'!L26*'Jul''14 Envestra'!L32/100)*'Jul''14 Envestra'!L26)</f>
        <v>247.80799999999999</v>
      </c>
      <c r="K53" s="63"/>
    </row>
    <row r="54" spans="1:11" x14ac:dyDescent="0.15">
      <c r="A54" s="40" t="s">
        <v>608</v>
      </c>
      <c r="C54" s="59">
        <f>IF($F5*'Jul''14 Envestra'!E25/'Jul''14 Envestra'!E26&lt;'Jul''14 Envestra'!E27,0,IF($F5*'Jul''14 Envestra'!E25/'Jul''14 Envestra'!E26&lt;='Jul''14 Envestra'!E28,($F5*'Jul''14 Envestra'!E25/'Jul''14 Envestra'!E26-'Jul''14 Envestra'!E27)*('Jul''14 Envestra'!E49/100)*'Jul''14 Envestra'!E26,('Jul''14 Envestra'!E28-'Jul''14 Envestra'!E27)*('Jul''14 Envestra'!E49/100)*'Jul''14 Envestra'!E26))</f>
        <v>102.73903200000001</v>
      </c>
      <c r="D54" s="59">
        <v>0</v>
      </c>
      <c r="E54" s="59">
        <f>IF($F5*'Jul''14 Envestra'!G25/'Jul''14 Envestra'!G26&lt;'Jul''14 Envestra'!G27,0,IF($F5*'Jul''14 Envestra'!G25/'Jul''14 Envestra'!G26&lt;='Jul''14 Envestra'!G28,($F5*'Jul''14 Envestra'!G25/'Jul''14 Envestra'!G26-'Jul''14 Envestra'!G27)*('Jul''14 Envestra'!G49/100)*'Jul''14 Envestra'!G26,('Jul''14 Envestra'!G28-'Jul''14 Envestra'!G27)*('Jul''14 Envestra'!G49/100)*'Jul''14 Envestra'!G26))</f>
        <v>0</v>
      </c>
      <c r="F54" s="59">
        <f>IF($F5*'Jul''14 Envestra'!H25/'Jul''14 Envestra'!H26&lt;'Jul''14 Envestra'!H27,0,IF($F5*'Jul''14 Envestra'!H25/'Jul''14 Envestra'!H26&lt;='Jul''14 Envestra'!H28,($F5*'Jul''14 Envestra'!H25/'Jul''14 Envestra'!H26-'Jul''14 Envestra'!H27)*('Jul''14 Envestra'!H49/100)*'Jul''14 Envestra'!H26,('Jul''14 Envestra'!H28-'Jul''14 Envestra'!H27)*('Jul''14 Envestra'!H49/100)*'Jul''14 Envestra'!H26))</f>
        <v>0</v>
      </c>
      <c r="G54" s="59">
        <v>0</v>
      </c>
      <c r="H54" s="59">
        <v>0</v>
      </c>
      <c r="I54" s="59">
        <v>0</v>
      </c>
      <c r="J54" s="59">
        <v>0</v>
      </c>
      <c r="K54" s="63"/>
    </row>
    <row r="55" spans="1:11" x14ac:dyDescent="0.15">
      <c r="A55" s="40" t="s">
        <v>611</v>
      </c>
      <c r="C55" s="59">
        <f>IF(($F5*'Jul''14 Envestra'!E25/'Jul''14 Envestra'!E26&gt;'Jul''14 Envestra'!E28),($F5*'Jul''14 Envestra'!E25/'Jul''14 Envestra'!E26-'Jul''14 Envestra'!E28)*'Jul''14 Envestra'!E50/100*'Jul''14 Envestra'!E26,0)</f>
        <v>127.463094</v>
      </c>
      <c r="D55" s="59">
        <f>IF(($F5*'Jul''14 Envestra'!F25/'Jul''14 Envestra'!F26&gt;'Jul''14 Envestra'!F27),('Bills Jul''14'!$F5*'Jul''14 Envestra'!F25/'Jul''14 Envestra'!F26-'Jul''14 Envestra'!F27)*'Jul''14 Envestra'!F34/100)*'Jul''14 Envestra'!F26</f>
        <v>123.83439199999999</v>
      </c>
      <c r="E55" s="59">
        <f>IF(($F5*'Jul''14 Envestra'!G25/'Jul''14 Envestra'!G26&gt;'Jul''14 Envestra'!G28),($F5*'Jul''14 Envestra'!G25/'Jul''14 Envestra'!G26-'Jul''14 Envestra'!G28)*'Jul''14 Envestra'!G50/100*'Jul''14 Envestra'!G26,0)</f>
        <v>0</v>
      </c>
      <c r="F55" s="59">
        <f>IF(($F5*'Jul''14 Envestra'!H25/'Jul''14 Envestra'!H26&gt;'Jul''14 Envestra'!H28),($F5*'Jul''14 Envestra'!H25/'Jul''14 Envestra'!H26-'Jul''14 Envestra'!H28)*'Jul''14 Envestra'!H50/100*'Jul''14 Envestra'!H26,0)</f>
        <v>111.64098</v>
      </c>
      <c r="G55" s="59">
        <f>IF(($F5*'Jul''14 Envestra'!I25/'Jul''14 Envestra'!I26&gt;'Jul''14 Envestra'!I27),('Bills Jul''14'!$F5*'Jul''14 Envestra'!I25/'Jul''14 Envestra'!I26-'Jul''14 Envestra'!I27)*'Jul''14 Envestra'!I34/100)*'Jul''14 Envestra'!I26</f>
        <v>132.87508</v>
      </c>
      <c r="H55" s="59">
        <f>IF(($F5*'Jul''14 Envestra'!J25/'Jul''14 Envestra'!J26&gt;'Jul''14 Envestra'!J27),('Bills Jul''14'!$F5*'Jul''14 Envestra'!J25/'Jul''14 Envestra'!J26-'Jul''14 Envestra'!J27)*'Jul''14 Envestra'!J34/100)*'Jul''14 Envestra'!J26</f>
        <v>131.08722</v>
      </c>
      <c r="I55" s="59">
        <f>IF(($F5*'Jul''14 Envestra'!K25/'Jul''14 Envestra'!K26&gt;'Jul''14 Envestra'!K27),('Bills Jul''14'!$F5*'Jul''14 Envestra'!K25/'Jul''14 Envestra'!K26-'Jul''14 Envestra'!K27)*'Jul''14 Envestra'!K34/100)*'Jul''14 Envestra'!K26</f>
        <v>224.41584</v>
      </c>
      <c r="J55" s="59">
        <f>IF(($F5*'Jul''14 Envestra'!L25/'Jul''14 Envestra'!L26&gt;'Jul''14 Envestra'!L27),('Bills Jul''14'!$F5*'Jul''14 Envestra'!L25/'Jul''14 Envestra'!L26-'Jul''14 Envestra'!L27)*'Jul''14 Envestra'!L34/100)*'Jul''14 Envestra'!L26</f>
        <v>121.93412000000001</v>
      </c>
      <c r="K55" s="63"/>
    </row>
    <row r="56" spans="1:11" x14ac:dyDescent="0.15">
      <c r="A56" s="40" t="s">
        <v>612</v>
      </c>
      <c r="C56" s="59">
        <f>365*'Jul''14 Envestra'!E35/100</f>
        <v>244.35290000000001</v>
      </c>
      <c r="D56" s="59">
        <f>365*'Jul''14 Envestra'!F35/100</f>
        <v>221.54769999999999</v>
      </c>
      <c r="E56" s="59">
        <f>365*'Jul''14 Envestra'!G35/100</f>
        <v>250.42358000000002</v>
      </c>
      <c r="F56" s="59">
        <f>365*'Jul''14 Envestra'!H35/100</f>
        <v>232.70939999999999</v>
      </c>
      <c r="G56" s="59">
        <f>365*'Jul''14 Envestra'!I35/100</f>
        <v>247.87149999999997</v>
      </c>
      <c r="H56" s="59">
        <f>365*'Jul''14 Envestra'!J35/100</f>
        <v>208.78</v>
      </c>
      <c r="I56" s="59">
        <f>365*'Jul''14 Envestra'!K35/100</f>
        <v>240.5788</v>
      </c>
      <c r="J56" s="59">
        <f>365*'Jul''14 Envestra'!L35/100</f>
        <v>228.65425000000002</v>
      </c>
      <c r="K56" s="60">
        <f>AVERAGE(C56:J56)</f>
        <v>234.36476625</v>
      </c>
    </row>
    <row r="57" spans="1:11" x14ac:dyDescent="0.15">
      <c r="A57" s="62" t="s">
        <v>613</v>
      </c>
      <c r="B57" s="63"/>
      <c r="C57" s="61">
        <f t="shared" ref="C57:H57" si="3">SUM(C50:C56)</f>
        <v>814.36787299999992</v>
      </c>
      <c r="D57" s="61">
        <f t="shared" si="3"/>
        <v>804.03357099999994</v>
      </c>
      <c r="E57" s="61">
        <f t="shared" si="3"/>
        <v>833.07539479999991</v>
      </c>
      <c r="F57" s="61">
        <f>SUM(F50:F56)</f>
        <v>817.28998999999999</v>
      </c>
      <c r="G57" s="61">
        <f t="shared" si="3"/>
        <v>853.16846999999996</v>
      </c>
      <c r="H57" s="61">
        <f t="shared" si="3"/>
        <v>787.55083000000002</v>
      </c>
      <c r="I57" s="61">
        <f>SUM(I50:I56)</f>
        <v>783.36015999999995</v>
      </c>
      <c r="J57" s="61">
        <f>SUM(J50:J56)</f>
        <v>795.58654999999999</v>
      </c>
      <c r="K57" s="64">
        <f>AVERAGE(C57:J57)</f>
        <v>811.05410484999993</v>
      </c>
    </row>
    <row r="59" spans="1:11" x14ac:dyDescent="0.15">
      <c r="A59" s="53" t="s">
        <v>1028</v>
      </c>
      <c r="C59" s="23" t="s">
        <v>1044</v>
      </c>
      <c r="D59" s="23" t="s">
        <v>591</v>
      </c>
      <c r="E59" s="23" t="s">
        <v>592</v>
      </c>
      <c r="F59" s="23" t="s">
        <v>615</v>
      </c>
      <c r="G59" s="23" t="s">
        <v>515</v>
      </c>
      <c r="H59" s="23" t="s">
        <v>516</v>
      </c>
      <c r="I59" s="23" t="s">
        <v>597</v>
      </c>
      <c r="J59" s="23" t="s">
        <v>598</v>
      </c>
      <c r="K59" s="57" t="s">
        <v>601</v>
      </c>
    </row>
    <row r="60" spans="1:11" x14ac:dyDescent="0.15">
      <c r="A60" s="40" t="s">
        <v>602</v>
      </c>
      <c r="C60" s="59">
        <f>IF($F5*'Jul''14 Envestra'!E39/'Jul''14 Envestra'!E40&gt;='Jul''14 Envestra'!E43,('Jul''14 Envestra'!E43*'Jul''14 Envestra'!E45/100)*'Jul''14 Envestra'!E40,($F5*'Jul''14 Envestra'!E39/'Jul''14 Envestra'!E40*'Jul''14 Envestra'!E45/100)*'Jul''14 Envestra'!E40)</f>
        <v>74.903927999999993</v>
      </c>
      <c r="D60" s="59">
        <f>IF($F5*'Jul''14 Envestra'!F39/'Jul''14 Envestra'!F40&gt;='Jul''14 Envestra'!F43,('Jul''14 Envestra'!F43*'Jul''14 Envestra'!F45/100)*'Jul''14 Envestra'!F40,($F5*'Jul''14 Envestra'!F39/'Jul''14 Envestra'!F40*'Jul''14 Envestra'!F45/100)*'Jul''14 Envestra'!F40)</f>
        <v>169.84</v>
      </c>
      <c r="E60" s="59">
        <f>IF($F5*'Jul''14 Envestra'!G39/'Jul''14 Envestra'!G40&gt;='Jul''14 Envestra'!G43,('Jul''14 Envestra'!G43*'Jul''14 Envestra'!G45/100)*'Jul''14 Envestra'!G40,($F5*'Jul''14 Envestra'!G39/'Jul''14 Envestra'!G40*'Jul''14 Envestra'!G45/100)*'Jul''14 Envestra'!G40)</f>
        <v>211.34386349999997</v>
      </c>
      <c r="F60" s="59">
        <f>IF($F5*'Jul''14 Envestra'!H39/'Jul''14 Envestra'!H40&gt;='Jul''14 Envestra'!H43,('Jul''14 Envestra'!H43*'Jul''14 Envestra'!H45/100)*'Jul''14 Envestra'!H40,($F5*'Jul''14 Envestra'!H39/'Jul''14 Envestra'!H40*'Jul''14 Envestra'!H45/100)*'Jul''14 Envestra'!H40)</f>
        <v>174.24</v>
      </c>
      <c r="G60" s="59">
        <f>IF($F5*'Jul''14 Envestra'!I39/'Jul''14 Envestra'!I40&gt;='Jul''14 Envestra'!I43,('Jul''14 Envestra'!I43*'Jul''14 Envestra'!I45/100)*'Jul''14 Envestra'!I40,($F5*'Jul''14 Envestra'!I39/'Jul''14 Envestra'!I40*'Jul''14 Envestra'!I45/100)*'Jul''14 Envestra'!I40)</f>
        <v>171.89599999999999</v>
      </c>
      <c r="H60" s="59">
        <f>IF($F5*'Jul''14 Envestra'!J39/'Jul''14 Envestra'!J40&gt;='Jul''14 Envestra'!J43,('Jul''14 Envestra'!J43*'Jul''14 Envestra'!J45/100)*'Jul''14 Envestra'!J40,($F5*'Jul''14 Envestra'!J39/'Jul''14 Envestra'!J40*'Jul''14 Envestra'!J45/100)*'Jul''14 Envestra'!J40)</f>
        <v>124.74000000000002</v>
      </c>
      <c r="I60" s="59">
        <f>IF($F5*'Jul''14 Envestra'!K39/'Jul''14 Envestra'!K40&gt;='Jul''14 Envestra'!K43,('Jul''14 Envestra'!K43*'Jul''14 Envestra'!K45/100)*'Jul''14 Envestra'!K40,($F5*'Jul''14 Envestra'!K39/'Jul''14 Envestra'!K40*'Jul''14 Envestra'!K45/100)*'Jul''14 Envestra'!K40)</f>
        <v>80.292960000000008</v>
      </c>
      <c r="J60" s="59">
        <f>IF($F5*'Jul''14 Envestra'!L39/'Jul''14 Envestra'!L40&gt;='Jul''14 Envestra'!L43,('Jul''14 Envestra'!L43*'Jul''14 Envestra'!L45/100)*'Jul''14 Envestra'!L40,($F5*'Jul''14 Envestra'!L39/'Jul''14 Envestra'!L40*'Jul''14 Envestra'!L45/100)*'Jul''14 Envestra'!L40)</f>
        <v>169.84</v>
      </c>
      <c r="K60" s="63"/>
    </row>
    <row r="61" spans="1:11" x14ac:dyDescent="0.15">
      <c r="A61" s="40" t="s">
        <v>603</v>
      </c>
      <c r="C61" s="59">
        <f>IF($F5*'Jul''14 Envestra'!E39/'Jul''14 Envestra'!E40&lt;'Jul''14 Envestra'!E43,0,IF($F5*'Jul''14 Envestra'!E39/'Jul''14 Envestra'!E40&lt;='Jul''14 Envestra'!E44,($F5*'Jul''14 Envestra'!E39/'Jul''14 Envestra'!E40-'Jul''14 Envestra'!E43)*('Jul''14 Envestra'!E46/100)*'Jul''14 Envestra'!E40,('Jul''14 Envestra'!E44-'Jul''14 Envestra'!E43)*('Jul''14 Envestra'!E46/100)*'Jul''14 Envestra'!E40))</f>
        <v>51.369516000000004</v>
      </c>
      <c r="D61" s="59">
        <f>IF($F5*'Jul''14 Envestra'!F39/'Jul''14 Envestra'!F40&lt;'Jul''14 Envestra'!F43,0,IF($F5*'Jul''14 Envestra'!F39/'Jul''14 Envestra'!F40&lt;='Jul''14 Envestra'!F44,($F5*'Jul''14 Envestra'!F39/'Jul''14 Envestra'!F40-'Jul''14 Envestra'!F43)*('Jul''14 Envestra'!F46/100)*'Jul''14 Envestra'!F40,('Jul''14 Envestra'!F44-'Jul''14 Envestra'!F43)*('Jul''14 Envestra'!F46/100)*'Jul''14 Envestra'!F40))</f>
        <v>37.645168000000005</v>
      </c>
      <c r="E61" s="59">
        <f>IF($F5*'Jul''14 Envestra'!G39/'Jul''14 Envestra'!G40&lt;'Jul''14 Envestra'!G43,0,IF($F5*'Jul''14 Envestra'!G39/'Jul''14 Envestra'!G40&lt;='Jul''14 Envestra'!G44,($F5*'Jul''14 Envestra'!G39/'Jul''14 Envestra'!G40-'Jul''14 Envestra'!G43)*('Jul''14 Envestra'!G46/100)*'Jul''14 Envestra'!G40,('Jul''14 Envestra'!G44-'Jul''14 Envestra'!G43)*('Jul''14 Envestra'!G46/100)*'Jul''14 Envestra'!G40))</f>
        <v>0</v>
      </c>
      <c r="F61" s="59">
        <f>IF($F5*'Jul''14 Envestra'!H39/'Jul''14 Envestra'!H40&lt;'Jul''14 Envestra'!H43,0,IF($F5*'Jul''14 Envestra'!H39/'Jul''14 Envestra'!H40&lt;='Jul''14 Envestra'!H44,($F5*'Jul''14 Envestra'!H39/'Jul''14 Envestra'!H40-'Jul''14 Envestra'!H43)*('Jul''14 Envestra'!H46/100)*'Jul''14 Envestra'!H40,('Jul''14 Envestra'!H44-'Jul''14 Envestra'!H43)*('Jul''14 Envestra'!H46/100)*'Jul''14 Envestra'!H40))</f>
        <v>38.48075</v>
      </c>
      <c r="G61" s="59">
        <f>IF($F5*'Jul''14 Envestra'!I39/'Jul''14 Envestra'!I40&lt;'Jul''14 Envestra'!I43,0,IF($F5*'Jul''14 Envestra'!I39/'Jul''14 Envestra'!I40&lt;='Jul''14 Envestra'!I44,($F5*'Jul''14 Envestra'!I39/'Jul''14 Envestra'!I40-'Jul''14 Envestra'!I43)*('Jul''14 Envestra'!I46/100)*'Jul''14 Envestra'!I40,('Jul''14 Envestra'!I44-'Jul''14 Envestra'!I43)*('Jul''14 Envestra'!I46/100)*'Jul''14 Envestra'!I40))</f>
        <v>37.443269000000001</v>
      </c>
      <c r="H61" s="59">
        <f>IF($F5*'Jul''14 Envestra'!J39/'Jul''14 Envestra'!J40&lt;'Jul''14 Envestra'!J43,0,IF($F5*'Jul''14 Envestra'!J39/'Jul''14 Envestra'!J40&lt;='Jul''14 Envestra'!J44,($F5*'Jul''14 Envestra'!J39/'Jul''14 Envestra'!J40-'Jul''14 Envestra'!J43)*('Jul''14 Envestra'!J46/100)*'Jul''14 Envestra'!J40,('Jul''14 Envestra'!J44-'Jul''14 Envestra'!J43)*('Jul''14 Envestra'!J46/100)*'Jul''14 Envestra'!J40))</f>
        <v>0</v>
      </c>
      <c r="I61" s="59">
        <f>IF($F5*'Jul''14 Envestra'!K39/'Jul''14 Envestra'!K40&lt;'Jul''14 Envestra'!K43,0,IF($F5*'Jul''14 Envestra'!K39/'Jul''14 Envestra'!K40&lt;='Jul''14 Envestra'!K44,($F5*'Jul''14 Envestra'!K39/'Jul''14 Envestra'!K40-'Jul''14 Envestra'!K43)*('Jul''14 Envestra'!K46/100)*'Jul''14 Envestra'!K40,('Jul''14 Envestra'!K44-'Jul''14 Envestra'!K43)*('Jul''14 Envestra'!K46/100)*'Jul''14 Envestra'!K40))</f>
        <v>55.503360000000001</v>
      </c>
      <c r="J61" s="59">
        <f>IF($F5*'Jul''14 Envestra'!L39/'Jul''14 Envestra'!L40&lt;'Jul''14 Envestra'!L43,0,IF($F5*'Jul''14 Envestra'!L39/'Jul''14 Envestra'!L40&lt;='Jul''14 Envestra'!L44,($F5*'Jul''14 Envestra'!L39/'Jul''14 Envestra'!L40-'Jul''14 Envestra'!L43)*('Jul''14 Envestra'!L46/100)*'Jul''14 Envestra'!L40,('Jul''14 Envestra'!L44-'Jul''14 Envestra'!L43)*('Jul''14 Envestra'!L46/100)*'Jul''14 Envestra'!L40))</f>
        <v>37.381300000000003</v>
      </c>
      <c r="K61" s="63"/>
    </row>
    <row r="62" spans="1:11" x14ac:dyDescent="0.15">
      <c r="A62" s="40" t="s">
        <v>606</v>
      </c>
      <c r="C62" s="59">
        <f>IF(($F5*'Jul''14 Envestra'!E39/'Jul''14 Envestra'!E40&gt;'Jul''14 Envestra'!E44),($F5*'Jul''14 Envestra'!E39/'Jul''14 Envestra'!E40-'Jul''14 Envestra'!E44)*'Jul''14 Envestra'!E47/100)*'Jul''14 Envestra'!E40</f>
        <v>63.731546999999999</v>
      </c>
      <c r="D62" s="59">
        <f>IF(($F5*'Jul''14 Envestra'!F39/'Jul''14 Envestra'!F40&gt;'Jul''14 Envestra'!F44),($F5*'Jul''14 Envestra'!F39/'Jul''14 Envestra'!F40-'Jul''14 Envestra'!F44)*'Jul''14 Envestra'!F47/100)*'Jul''14 Envestra'!F40</f>
        <v>0</v>
      </c>
      <c r="E62" s="59">
        <f>IF(($F5*'Jul''14 Envestra'!G39/'Jul''14 Envestra'!G40&gt;'Jul''14 Envestra'!G44),($F5*'Jul''14 Envestra'!G39/'Jul''14 Envestra'!G40-'Jul''14 Envestra'!G44)*'Jul''14 Envestra'!G47/100)*'Jul''14 Envestra'!G40</f>
        <v>0</v>
      </c>
      <c r="F62" s="59">
        <f>IF(($F5*'Jul''14 Envestra'!H39/'Jul''14 Envestra'!H40&gt;'Jul''14 Envestra'!H44),($F5*'Jul''14 Envestra'!H39/'Jul''14 Envestra'!H40-'Jul''14 Envestra'!H44)*'Jul''14 Envestra'!H47/100)*'Jul''14 Envestra'!H40</f>
        <v>0</v>
      </c>
      <c r="G62" s="59">
        <f>IF(($F5*'Jul''14 Envestra'!I39/'Jul''14 Envestra'!I40&gt;'Jul''14 Envestra'!I44),($F5*'Jul''14 Envestra'!I39/'Jul''14 Envestra'!I40-'Jul''14 Envestra'!I44)*'Jul''14 Envestra'!I47/100)*'Jul''14 Envestra'!I40</f>
        <v>0</v>
      </c>
      <c r="H62" s="59">
        <f>IF(($F5*'Jul''14 Envestra'!J39/'Jul''14 Envestra'!J40&gt;'Jul''14 Envestra'!J44),($F5*'Jul''14 Envestra'!J39/'Jul''14 Envestra'!J40-'Jul''14 Envestra'!J44)*'Jul''14 Envestra'!J47/100)*'Jul''14 Envestra'!J40</f>
        <v>67.74306</v>
      </c>
      <c r="I62" s="59">
        <f>IF(($F5*'Jul''14 Envestra'!K39/'Jul''14 Envestra'!K40&gt;'Jul''14 Envestra'!K44),($F5*'Jul''14 Envestra'!K39/'Jul''14 Envestra'!K40-'Jul''14 Envestra'!K44)*'Jul''14 Envestra'!K47/100)*'Jul''14 Envestra'!K40</f>
        <v>69.166020000000003</v>
      </c>
      <c r="J62" s="59">
        <f>IF(($F5*'Jul''14 Envestra'!L39/'Jul''14 Envestra'!L40&gt;'Jul''14 Envestra'!L44),($F5*'Jul''14 Envestra'!L39/'Jul''14 Envestra'!L40-'Jul''14 Envestra'!L44)*'Jul''14 Envestra'!L47/100)*'Jul''14 Envestra'!L40</f>
        <v>0</v>
      </c>
      <c r="K62" s="63"/>
    </row>
    <row r="63" spans="1:11" x14ac:dyDescent="0.15">
      <c r="A63" s="40" t="s">
        <v>607</v>
      </c>
      <c r="C63" s="59">
        <f>IF($F5*'Jul''14 Envestra'!E41/'Jul''14 Envestra'!E42&gt;='Jul''14 Envestra'!E43,('Jul''14 Envestra'!E43*'Jul''14 Envestra'!E48/100)*'Jul''14 Envestra'!E42,($F5*'Jul''14 Envestra'!E41/'Jul''14 Envestra'!E42*'Jul''14 Envestra'!E48/100)*'Jul''14 Envestra'!E42)</f>
        <v>149.80785599999999</v>
      </c>
      <c r="D63" s="59">
        <f>IF($F5*'Jul''14 Envestra'!F41/'Jul''14 Envestra'!F42&gt;='Jul''14 Envestra'!F43,('Jul''14 Envestra'!F43*'Jul''14 Envestra'!F48/100)*'Jul''14 Envestra'!F42,($F5*'Jul''14 Envestra'!F41/'Jul''14 Envestra'!F42*'Jul''14 Envestra'!F48/100)*'Jul''14 Envestra'!F42)</f>
        <v>331.584</v>
      </c>
      <c r="E63" s="59">
        <f>IF($F5*'Jul''14 Envestra'!G41/'Jul''14 Envestra'!G42&gt;='Jul''14 Envestra'!G43,('Jul''14 Envestra'!G43*'Jul''14 Envestra'!G48/100)*'Jul''14 Envestra'!G42,($F5*'Jul''14 Envestra'!G41/'Jul''14 Envestra'!G42*'Jul''14 Envestra'!G48/100)*'Jul''14 Envestra'!G42)</f>
        <v>407.17927799999995</v>
      </c>
      <c r="F63" s="59">
        <f>IF($F5*'Jul''14 Envestra'!H41/'Jul''14 Envestra'!H42&gt;='Jul''14 Envestra'!H43,('Jul''14 Envestra'!H43*'Jul''14 Envestra'!H48/100)*'Jul''14 Envestra'!H42,($F5*'Jul''14 Envestra'!H41/'Jul''14 Envestra'!H42*'Jul''14 Envestra'!H48/100)*'Jul''14 Envestra'!H42)</f>
        <v>343.2</v>
      </c>
      <c r="G63" s="59">
        <f>IF($F5*'Jul''14 Envestra'!I41/'Jul''14 Envestra'!I42&gt;='Jul''14 Envestra'!I43,('Jul''14 Envestra'!I43*'Jul''14 Envestra'!I48/100)*'Jul''14 Envestra'!I42,($F5*'Jul''14 Envestra'!I41/'Jul''14 Envestra'!I42*'Jul''14 Envestra'!I48/100)*'Jul''14 Envestra'!I42)</f>
        <v>335.48800000000006</v>
      </c>
      <c r="H63" s="59">
        <f>IF($F5*'Jul''14 Envestra'!J41/'Jul''14 Envestra'!J42&gt;='Jul''14 Envestra'!J43,('Jul''14 Envestra'!J43*'Jul''14 Envestra'!J48/100)*'Jul''14 Envestra'!J42,($F5*'Jul''14 Envestra'!J41/'Jul''14 Envestra'!J42*'Jul''14 Envestra'!J48/100)*'Jul''14 Envestra'!J42)</f>
        <v>249.48000000000005</v>
      </c>
      <c r="I63" s="59">
        <f>IF($F5*'Jul''14 Envestra'!K41/'Jul''14 Envestra'!K42&gt;='Jul''14 Envestra'!K43,('Jul''14 Envestra'!K43*'Jul''14 Envestra'!K48/100)*'Jul''14 Envestra'!K42,($F5*'Jul''14 Envestra'!K41/'Jul''14 Envestra'!K42*'Jul''14 Envestra'!K48/100)*'Jul''14 Envestra'!K42)</f>
        <v>160.58592000000002</v>
      </c>
      <c r="J63" s="59">
        <f>IF($F5*'Jul''14 Envestra'!L41/'Jul''14 Envestra'!L42&gt;='Jul''14 Envestra'!L43,('Jul''14 Envestra'!L43*'Jul''14 Envestra'!L48/100)*'Jul''14 Envestra'!L42,($F5*'Jul''14 Envestra'!L41/'Jul''14 Envestra'!L42*'Jul''14 Envestra'!L48/100)*'Jul''14 Envestra'!L42)</f>
        <v>329.12</v>
      </c>
      <c r="K63" s="63"/>
    </row>
    <row r="64" spans="1:11" x14ac:dyDescent="0.15">
      <c r="A64" s="40" t="s">
        <v>608</v>
      </c>
      <c r="C64" s="59">
        <f>IF($F5*'Jul''14 Envestra'!E41/'Jul''14 Envestra'!E42&lt;'Jul''14 Envestra'!E43,0,IF($F5*'Jul''14 Envestra'!E41/'Jul''14 Envestra'!E42&lt;='Jul''14 Envestra'!E44,($F5*'Jul''14 Envestra'!E41/'Jul''14 Envestra'!E42-'Jul''14 Envestra'!E43)*('Jul''14 Envestra'!E49/100)*'Jul''14 Envestra'!E42,('Jul''14 Envestra'!E44-'Jul''14 Envestra'!E43)*('Jul''14 Envestra'!E49/100)*'Jul''14 Envestra'!E42))</f>
        <v>102.73903200000001</v>
      </c>
      <c r="D64" s="59">
        <f>IF($F5*'Jul''14 Envestra'!F41/'Jul''14 Envestra'!F42&lt;'Jul''14 Envestra'!F43,0,IF($F5*'Jul''14 Envestra'!F41/'Jul''14 Envestra'!F42&lt;='Jul''14 Envestra'!F44,($F5*'Jul''14 Envestra'!F41/'Jul''14 Envestra'!F42-'Jul''14 Envestra'!F43)*('Jul''14 Envestra'!F49/100)*'Jul''14 Envestra'!F42,('Jul''14 Envestra'!F44-'Jul''14 Envestra'!F43)*('Jul''14 Envestra'!F49/100)*'Jul''14 Envestra'!F42))</f>
        <v>72.871545999999995</v>
      </c>
      <c r="E64" s="59">
        <f>IF($F5*'Jul''14 Envestra'!G41/'Jul''14 Envestra'!G42&lt;'Jul''14 Envestra'!G43,0,IF($F5*'Jul''14 Envestra'!G41/'Jul''14 Envestra'!G42&lt;='Jul''14 Envestra'!G44,($F5*'Jul''14 Envestra'!G41/'Jul''14 Envestra'!G42-'Jul''14 Envestra'!G43)*('Jul''14 Envestra'!G49/100)*'Jul''14 Envestra'!G42,('Jul''14 Envestra'!G44-'Jul''14 Envestra'!G43)*('Jul''14 Envestra'!G49/100)*'Jul''14 Envestra'!G42))</f>
        <v>0</v>
      </c>
      <c r="F64" s="59">
        <f>IF($F5*'Jul''14 Envestra'!H41/'Jul''14 Envestra'!H42&lt;'Jul''14 Envestra'!H43,0,IF($F5*'Jul''14 Envestra'!H41/'Jul''14 Envestra'!H42&lt;='Jul''14 Envestra'!H44,($F5*'Jul''14 Envestra'!H41/'Jul''14 Envestra'!H42-'Jul''14 Envestra'!H43)*('Jul''14 Envestra'!H49/100)*'Jul''14 Envestra'!H42,('Jul''14 Envestra'!H44-'Jul''14 Envestra'!H43)*('Jul''14 Envestra'!H49/100)*'Jul''14 Envestra'!H42))</f>
        <v>76.081940000000003</v>
      </c>
      <c r="G64" s="59">
        <f>IF($F5*'Jul''14 Envestra'!I41/'Jul''14 Envestra'!I42&lt;'Jul''14 Envestra'!I43,0,IF($F5*'Jul''14 Envestra'!I41/'Jul''14 Envestra'!I42&lt;='Jul''14 Envestra'!I44,($F5*'Jul''14 Envestra'!I41/'Jul''14 Envestra'!I42-'Jul''14 Envestra'!I43)*('Jul''14 Envestra'!I49/100)*'Jul''14 Envestra'!I42,('Jul''14 Envestra'!I44-'Jul''14 Envestra'!I43)*('Jul''14 Envestra'!I49/100)*'Jul''14 Envestra'!I42))</f>
        <v>73.063450000000003</v>
      </c>
      <c r="H64" s="59">
        <f>IF($F5*'Jul''14 Envestra'!J41/'Jul''14 Envestra'!J42&lt;'Jul''14 Envestra'!J43,0,IF($F5*'Jul''14 Envestra'!J41/'Jul''14 Envestra'!J42&lt;='Jul''14 Envestra'!J44,($F5*'Jul''14 Envestra'!J41/'Jul''14 Envestra'!J42-'Jul''14 Envestra'!J43)*('Jul''14 Envestra'!J49/100)*'Jul''14 Envestra'!J42,('Jul''14 Envestra'!J44-'Jul''14 Envestra'!J43)*('Jul''14 Envestra'!J49/100)*'Jul''14 Envestra'!J42))</f>
        <v>0</v>
      </c>
      <c r="I64" s="59">
        <f>IF($F5*'Jul''14 Envestra'!K41/'Jul''14 Envestra'!K42&lt;'Jul''14 Envestra'!K43,0,IF($F5*'Jul''14 Envestra'!K41/'Jul''14 Envestra'!K42&lt;='Jul''14 Envestra'!K44,($F5*'Jul''14 Envestra'!K41/'Jul''14 Envestra'!K42-'Jul''14 Envestra'!K43)*('Jul''14 Envestra'!K49/100)*'Jul''14 Envestra'!K42,('Jul''14 Envestra'!K44-'Jul''14 Envestra'!K43)*('Jul''14 Envestra'!K49/100)*'Jul''14 Envestra'!K42))</f>
        <v>111.00672</v>
      </c>
      <c r="J64" s="59">
        <f>IF($F5*'Jul''14 Envestra'!L41/'Jul''14 Envestra'!L42&lt;'Jul''14 Envestra'!L43,0,IF($F5*'Jul''14 Envestra'!L41/'Jul''14 Envestra'!L42&lt;='Jul''14 Envestra'!L44,($F5*'Jul''14 Envestra'!L41/'Jul''14 Envestra'!L42-'Jul''14 Envestra'!L43)*('Jul''14 Envestra'!L49/100)*'Jul''14 Envestra'!L42,('Jul''14 Envestra'!L44-'Jul''14 Envestra'!L43)*('Jul''14 Envestra'!L49/100)*'Jul''14 Envestra'!L42))</f>
        <v>71.684139999999985</v>
      </c>
      <c r="K64" s="63"/>
    </row>
    <row r="65" spans="1:11" x14ac:dyDescent="0.15">
      <c r="A65" s="40" t="s">
        <v>611</v>
      </c>
      <c r="C65" s="59">
        <f>IF(($F5*'Jul''14 Envestra'!E41/'Jul''14 Envestra'!E42&gt;'Jul''14 Envestra'!E44),($F5*'Jul''14 Envestra'!E41/'Jul''14 Envestra'!E42-'Jul''14 Envestra'!E44)*'Jul''14 Envestra'!E50/100)*'Jul''14 Envestra'!E42</f>
        <v>127.463094</v>
      </c>
      <c r="D65" s="59">
        <f>IF(($F5*'Jul''14 Envestra'!F41/'Jul''14 Envestra'!F42&gt;'Jul''14 Envestra'!F44),($F5*'Jul''14 Envestra'!F41/'Jul''14 Envestra'!F42-'Jul''14 Envestra'!F44)*'Jul''14 Envestra'!F50/100)*'Jul''14 Envestra'!F42</f>
        <v>0</v>
      </c>
      <c r="E65" s="59">
        <f>IF(($F5*'Jul''14 Envestra'!G41/'Jul''14 Envestra'!G42&gt;'Jul''14 Envestra'!G44),($F5*'Jul''14 Envestra'!G41/'Jul''14 Envestra'!G42-'Jul''14 Envestra'!G44)*'Jul''14 Envestra'!G50/100)*'Jul''14 Envestra'!G42</f>
        <v>0</v>
      </c>
      <c r="F65" s="59">
        <f>IF(($F5*'Jul''14 Envestra'!H41/'Jul''14 Envestra'!H42&gt;'Jul''14 Envestra'!H44),($F5*'Jul''14 Envestra'!H41/'Jul''14 Envestra'!H42-'Jul''14 Envestra'!H44)*'Jul''14 Envestra'!H50/100)*'Jul''14 Envestra'!H42</f>
        <v>0</v>
      </c>
      <c r="G65" s="59">
        <f>IF(($F5*'Jul''14 Envestra'!I41/'Jul''14 Envestra'!I42&gt;'Jul''14 Envestra'!I44),($F5*'Jul''14 Envestra'!I41/'Jul''14 Envestra'!I42-'Jul''14 Envestra'!I44)*'Jul''14 Envestra'!I50/100)*'Jul''14 Envestra'!I42</f>
        <v>0</v>
      </c>
      <c r="H65" s="59">
        <f>IF(($F5*'Jul''14 Envestra'!J41/'Jul''14 Envestra'!J42&gt;'Jul''14 Envestra'!J44),($F5*'Jul''14 Envestra'!J41/'Jul''14 Envestra'!J42-'Jul''14 Envestra'!J44)*'Jul''14 Envestra'!J50/100)*'Jul''14 Envestra'!J42</f>
        <v>135.48612</v>
      </c>
      <c r="I65" s="59">
        <f>IF(($F5*'Jul''14 Envestra'!K41/'Jul''14 Envestra'!K42&gt;'Jul''14 Envestra'!K44),($F5*'Jul''14 Envestra'!K41/'Jul''14 Envestra'!K42-'Jul''14 Envestra'!K44)*'Jul''14 Envestra'!K50/100)*'Jul''14 Envestra'!K42</f>
        <v>138.33204000000001</v>
      </c>
      <c r="J65" s="59">
        <f>IF(($F5*'Jul''14 Envestra'!L41/'Jul''14 Envestra'!L42&gt;'Jul''14 Envestra'!L44),($F5*'Jul''14 Envestra'!L41/'Jul''14 Envestra'!L42-'Jul''14 Envestra'!L44)*'Jul''14 Envestra'!L50/100)*'Jul''14 Envestra'!L42</f>
        <v>0</v>
      </c>
      <c r="K65" s="63"/>
    </row>
    <row r="66" spans="1:11" x14ac:dyDescent="0.15">
      <c r="A66" s="40" t="s">
        <v>612</v>
      </c>
      <c r="C66" s="59">
        <f>365*'Jul''14 Envestra'!E51/100</f>
        <v>250.81704999999999</v>
      </c>
      <c r="D66" s="59">
        <f>365*'Jul''14 Envestra'!F51/100</f>
        <v>223.43475000000001</v>
      </c>
      <c r="E66" s="59">
        <f>365*'Jul''14 Envestra'!G51/100</f>
        <v>262.54084999999998</v>
      </c>
      <c r="F66" s="59">
        <f>365*'Jul''14 Envestra'!H51/100</f>
        <v>238.73190000000002</v>
      </c>
      <c r="G66" s="59">
        <f>365*'Jul''14 Envestra'!I51/100</f>
        <v>247.87149999999997</v>
      </c>
      <c r="H66" s="59">
        <f>365*'Jul''14 Envestra'!J51/100</f>
        <v>208.78</v>
      </c>
      <c r="I66" s="59">
        <f>365*'Jul''14 Envestra'!K51/100</f>
        <v>243.34915000000001</v>
      </c>
      <c r="J66" s="59">
        <f>365*'Jul''14 Envestra'!L51/100</f>
        <v>228.65425000000002</v>
      </c>
      <c r="K66" s="60">
        <f>AVERAGE(C66:J66)</f>
        <v>238.02243124999998</v>
      </c>
    </row>
    <row r="67" spans="1:11" x14ac:dyDescent="0.15">
      <c r="A67" s="62" t="s">
        <v>613</v>
      </c>
      <c r="B67" s="63"/>
      <c r="C67" s="61">
        <f t="shared" ref="C67:H67" si="4">SUM(C60:C66)</f>
        <v>820.83202299999994</v>
      </c>
      <c r="D67" s="61">
        <f t="shared" si="4"/>
        <v>835.37546399999997</v>
      </c>
      <c r="E67" s="61">
        <f t="shared" si="4"/>
        <v>881.06399149999993</v>
      </c>
      <c r="F67" s="61">
        <f>SUM(F60:F66)</f>
        <v>870.73459000000003</v>
      </c>
      <c r="G67" s="61">
        <f t="shared" si="4"/>
        <v>865.76221900000007</v>
      </c>
      <c r="H67" s="61">
        <f t="shared" si="4"/>
        <v>786.22918000000004</v>
      </c>
      <c r="I67" s="61">
        <f>SUM(I60:I66)</f>
        <v>858.23617000000002</v>
      </c>
      <c r="J67" s="61">
        <f>SUM(J60:J66)</f>
        <v>836.67969000000005</v>
      </c>
      <c r="K67" s="64">
        <f>AVERAGE(C67:J67)</f>
        <v>844.36416593750005</v>
      </c>
    </row>
    <row r="69" spans="1:11" x14ac:dyDescent="0.15">
      <c r="A69" s="55" t="s">
        <v>489</v>
      </c>
    </row>
    <row r="71" spans="1:11" x14ac:dyDescent="0.15">
      <c r="A71" s="53" t="s">
        <v>1030</v>
      </c>
      <c r="C71" s="23" t="s">
        <v>1044</v>
      </c>
      <c r="D71" s="23" t="s">
        <v>591</v>
      </c>
      <c r="E71" s="23" t="s">
        <v>592</v>
      </c>
      <c r="F71" s="23" t="s">
        <v>615</v>
      </c>
      <c r="G71" s="23" t="s">
        <v>515</v>
      </c>
      <c r="H71" s="23" t="s">
        <v>516</v>
      </c>
      <c r="I71" s="23" t="s">
        <v>597</v>
      </c>
      <c r="J71" s="23" t="s">
        <v>598</v>
      </c>
      <c r="K71" s="57" t="s">
        <v>601</v>
      </c>
    </row>
    <row r="72" spans="1:11" x14ac:dyDescent="0.15">
      <c r="A72" s="40" t="s">
        <v>602</v>
      </c>
      <c r="C72" s="59">
        <f>IF($F5*'Jul''14 SP'!E7/'Jul''14 SP'!E8&gt;='Jul''14 SP'!E11,('Jul''14 SP'!E11*'Jul''14 SP'!E13/100)*'Jul''14 SP'!E8,($F5*'Jul''14 SP'!E7/'Jul''14 SP'!E8*'Jul''14 SP'!E13/100)*'Jul''14 SP'!E8)</f>
        <v>196.88030999999998</v>
      </c>
      <c r="D72" s="59">
        <f>IF($F5*'Jul''14 SP'!F7/'Jul''14 SP'!F8&gt;='Jul''14 SP'!F11,('Jul''14 SP'!F11*'Jul''14 SP'!F13/100)*'Jul''14 SP'!F8,($F5*'Jul''14 SP'!F7/'Jul''14 SP'!F8*'Jul''14 SP'!F13/100)*'Jul''14 SP'!F8)</f>
        <v>142.63040000000001</v>
      </c>
      <c r="E72" s="59">
        <f>IF($F5*'Jul''14 SP'!G7/'Jul''14 SP'!G8&gt;='Jul''14 SP'!G11,('Jul''14 SP'!G11*'Jul''14 SP'!G13/100)*'Jul''14 SP'!G8,($F5*'Jul''14 SP'!G7/'Jul''14 SP'!G8*'Jul''14 SP'!G13/100)*'Jul''14 SP'!G8)</f>
        <v>230.1519825</v>
      </c>
      <c r="F72" s="59">
        <f>IF($F5*'Jul''14 SP'!H7/'Jul''14 SP'!H8&gt;='Jul''14 SP'!H11,('Jul''14 SP'!H11*'Jul''14 SP'!H13/100)*'Jul''14 SP'!H8,($F5*'Jul''14 SP'!H7/'Jul''14 SP'!H8*'Jul''14 SP'!H13/100)*'Jul''14 SP'!H8)</f>
        <v>148.54400000000001</v>
      </c>
      <c r="G72" s="59">
        <f>IF($F5*'Jul''14 SP'!I7/'Jul''14 SP'!I8&gt;='Jul''14 SP'!I11,('Jul''14 SP'!I11*'Jul''14 SP'!I13/100)*'Jul''14 SP'!I8,($F5*'Jul''14 SP'!I7/'Jul''14 SP'!I8*'Jul''14 SP'!I13/100)*'Jul''14 SP'!I8)</f>
        <v>133.06880000000001</v>
      </c>
      <c r="H72" s="59">
        <f>IF($F5*'Jul''14 SP'!J7/'Jul''14 SP'!J8&gt;='Jul''14 SP'!J11,('Jul''14 SP'!J11*'Jul''14 SP'!J13/100)*'Jul''14 SP'!J8,($F5*'Jul''14 SP'!J7/'Jul''14 SP'!J8*'Jul''14 SP'!J13/100)*'Jul''14 SP'!J8)</f>
        <v>135.16800000000001</v>
      </c>
      <c r="I72" s="59">
        <f>IF($F5*'Jul''14 SP'!K7/'Jul''14 SP'!K8&gt;='Jul''14 SP'!K11,('Jul''14 SP'!K11*'Jul''14 SP'!K13/100)*'Jul''14 SP'!K8,($F5*'Jul''14 SP'!K7/'Jul''14 SP'!K8*'Jul''14 SP'!K13/100)*'Jul''14 SP'!K8)</f>
        <v>210.07899</v>
      </c>
      <c r="J72" s="59">
        <f>IF($F5*'Jul''14 SP'!L7/'Jul''14 SP'!L8&gt;='Jul''14 SP'!L11,('Jul''14 SP'!L11*'Jul''14 SP'!L13/100)*'Jul''14 SP'!L8,($F5*'Jul''14 SP'!L7/'Jul''14 SP'!L8*'Jul''14 SP'!L13/100)*'Jul''14 SP'!L8)</f>
        <v>137.28</v>
      </c>
      <c r="K72" s="63"/>
    </row>
    <row r="73" spans="1:11" x14ac:dyDescent="0.15">
      <c r="A73" s="40" t="s">
        <v>603</v>
      </c>
      <c r="C73" s="59">
        <f>IF($F5*'Jul''14 SP'!E7/'Jul''14 SP'!E8&lt;'Jul''14 SP'!E11,0,IF($F5*'Jul''14 SP'!E7/'Jul''14 SP'!E8&lt;='Jul''14 SP'!E12,($F5*'Jul''14 SP'!E7/'Jul''14 SP'!E8-'Jul''14 SP'!E11)*('Jul''14 SP'!E14/100)*'Jul''14 SP'!E8,('Jul''14 SP'!E12-'Jul''14 SP'!E11)*('Jul''14 SP'!E14/100)*'Jul''14 SP'!E8))</f>
        <v>0</v>
      </c>
      <c r="D73" s="59">
        <v>0</v>
      </c>
      <c r="E73" s="59">
        <f>IF($F5*'Jul''14 SP'!G7/'Jul''14 SP'!G8&lt;'Jul''14 SP'!G11,0,IF($F5*'Jul''14 SP'!G7/'Jul''14 SP'!G8&lt;='Jul''14 SP'!G12,($F5*'Jul''14 SP'!G7/'Jul''14 SP'!G8-'Jul''14 SP'!G11)*('Jul''14 SP'!G14/100)*'Jul''14 SP'!G8,('Jul''14 SP'!G12-'Jul''14 SP'!G11)*('Jul''14 SP'!G14/100)*'Jul''14 SP'!G8))</f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63"/>
    </row>
    <row r="74" spans="1:11" x14ac:dyDescent="0.15">
      <c r="A74" s="40" t="s">
        <v>606</v>
      </c>
      <c r="C74" s="59">
        <f>IF(($F5*'Jul''14 SP'!E7/'Jul''14 SP'!E8&gt;'Jul''14 SP'!E12),($F5*'Jul''14 SP'!E7/'Jul''14 SP'!E8-'Jul''14 SP'!E12)*'Jul''14 SP'!E15/100*'Jul''14 SP'!E8,0)</f>
        <v>0</v>
      </c>
      <c r="D74" s="59">
        <f>IF(($F5*'Jul''14 SP'!F7/'Jul''14 SP'!F8&gt;'Jul''14 SP'!F11),('Bills Jul''14'!$F5*'Jul''14 SP'!F7/'Jul''14 SP'!F8-'Jul''14 SP'!F11)*'Jul''14 SP'!F15/100)*'Jul''14 SP'!F8</f>
        <v>69.32033899999999</v>
      </c>
      <c r="E74" s="59">
        <f>IF(($F5*'Jul''14 SP'!G7/'Jul''14 SP'!G8&gt;'Jul''14 SP'!G12),($F5*'Jul''14 SP'!G7/'Jul''14 SP'!G8-'Jul''14 SP'!G12)*'Jul''14 SP'!G15/100*'Jul''14 SP'!G8,0)</f>
        <v>0</v>
      </c>
      <c r="F74" s="59">
        <f>IF(($F5*'Jul''14 SP'!H7/'Jul''14 SP'!H8&gt;'Jul''14 SP'!H11),('Bills Jul''14'!$F5*'Jul''14 SP'!H7/'Jul''14 SP'!H8-'Jul''14 SP'!H11)*'Jul''14 SP'!H15/100)*'Jul''14 SP'!H8</f>
        <v>73.635539999999992</v>
      </c>
      <c r="G74" s="59">
        <f>IF(($F5*'Jul''14 SP'!I7/'Jul''14 SP'!I8&gt;'Jul''14 SP'!I11),('Bills Jul''14'!$F5*'Jul''14 SP'!I7/'Jul''14 SP'!I8-'Jul''14 SP'!I11)*'Jul''14 SP'!I15/100)*'Jul''14 SP'!I8</f>
        <v>69.266354000000007</v>
      </c>
      <c r="H74" s="59">
        <f>IF(($F5*'Jul''14 SP'!J7/'Jul''14 SP'!J8&gt;'Jul''14 SP'!J11),('Bills Jul''14'!$F5*'Jul''14 SP'!J7/'Jul''14 SP'!J8-'Jul''14 SP'!J11)*'Jul''14 SP'!J15/100)*'Jul''14 SP'!J8</f>
        <v>63.342399999999998</v>
      </c>
      <c r="I74" s="59">
        <f>IF(($F5*'Jul''14 SP'!K7/'Jul''14 SP'!K8&gt;'Jul''14 SP'!K11),('Bills Jul''14'!$F5*'Jul''14 SP'!K7/'Jul''14 SP'!K8-'Jul''14 SP'!K11)*'Jul''14 SP'!K15/100)*'Jul''14 SP'!K8</f>
        <v>0</v>
      </c>
      <c r="J74" s="59">
        <f>IF(($F5*'Jul''14 SP'!L7/'Jul''14 SP'!L8&gt;'Jul''14 SP'!L11),('Bills Jul''14'!$F5*'Jul''14 SP'!L7/'Jul''14 SP'!L8-'Jul''14 SP'!L11)*'Jul''14 SP'!L15/100)*'Jul''14 SP'!L8</f>
        <v>69.676639999999992</v>
      </c>
      <c r="K74" s="63"/>
    </row>
    <row r="75" spans="1:11" x14ac:dyDescent="0.15">
      <c r="A75" s="40" t="s">
        <v>607</v>
      </c>
      <c r="C75" s="59">
        <f>IF($F5*'Jul''14 SP'!E9/'Jul''14 SP'!E10&gt;='Jul''14 SP'!E11,('Jul''14 SP'!E11*'Jul''14 SP'!E16/100)*'Jul''14 SP'!E10,($F5*'Jul''14 SP'!E9/'Jul''14 SP'!E10*'Jul''14 SP'!E16/100)*'Jul''14 SP'!E10)</f>
        <v>372.20277600000003</v>
      </c>
      <c r="D75" s="59">
        <f>IF($F5*'Jul''14 SP'!F9/'Jul''14 SP'!F10&gt;='Jul''14 SP'!F11,('Jul''14 SP'!F11*'Jul''14 SP'!F16/100)*'Jul''14 SP'!F10,('Bills Jul''14'!$F5*'Jul''14 SP'!F9/'Jul''14 SP'!F10*'Jul''14 SP'!F16/100)*'Jul''14 SP'!F10)</f>
        <v>234.8544</v>
      </c>
      <c r="E75" s="59">
        <f>IF($F5*'Jul''14 SP'!G9/'Jul''14 SP'!G10&gt;='Jul''14 SP'!G11,('Jul''14 SP'!G11*'Jul''14 SP'!G16/100)*'Jul''14 SP'!G10,($F5*'Jul''14 SP'!G9/'Jul''14 SP'!G10*'Jul''14 SP'!G16/100)*'Jul''14 SP'!G10)</f>
        <v>398.33616240000003</v>
      </c>
      <c r="F75" s="59">
        <f>IF($F5*'Jul''14 SP'!H9/'Jul''14 SP'!H10&gt;='Jul''14 SP'!H11,('Jul''14 SP'!H11*'Jul''14 SP'!H16/100)*'Jul''14 SP'!H10,('Bills Jul''14'!$F5*'Jul''14 SP'!H9/'Jul''14 SP'!H10*'Jul''14 SP'!H16/100)*'Jul''14 SP'!H10)</f>
        <v>253.44</v>
      </c>
      <c r="G75" s="59">
        <f>IF($F5*'Jul''14 SP'!I9/'Jul''14 SP'!I10&gt;='Jul''14 SP'!I11,('Jul''14 SP'!I11*'Jul''14 SP'!I16/100)*'Jul''14 SP'!I10,('Bills Jul''14'!$F5*'Jul''14 SP'!I9/'Jul''14 SP'!I10*'Jul''14 SP'!I16/100)*'Jul''14 SP'!I10)</f>
        <v>234.39359999999999</v>
      </c>
      <c r="H75" s="59">
        <f>IF($F5*'Jul''14 SP'!J9/'Jul''14 SP'!J10&gt;='Jul''14 SP'!J11,('Jul''14 SP'!J11*'Jul''14 SP'!J16/100)*'Jul''14 SP'!J10,('Bills Jul''14'!$F5*'Jul''14 SP'!J9/'Jul''14 SP'!J10*'Jul''14 SP'!J16/100)*'Jul''14 SP'!J10)</f>
        <v>257.66399999999999</v>
      </c>
      <c r="I75" s="59">
        <f>IF($F5*'Jul''14 SP'!K9/'Jul''14 SP'!K10&gt;='Jul''14 SP'!K11,('Jul''14 SP'!K11*'Jul''14 SP'!K16/100)*'Jul''14 SP'!K10,('Bills Jul''14'!$F5*'Jul''14 SP'!K9/'Jul''14 SP'!K10*'Jul''14 SP'!K16/100)*'Jul''14 SP'!K10)</f>
        <v>376.16237999999998</v>
      </c>
      <c r="J75" s="59">
        <f>IF($F5*'Jul''14 SP'!L9/'Jul''14 SP'!L10&gt;='Jul''14 SP'!L11,('Jul''14 SP'!L11*'Jul''14 SP'!L16/100)*'Jul''14 SP'!L10,('Bills Jul''14'!$F5*'Jul''14 SP'!L9/'Jul''14 SP'!L10*'Jul''14 SP'!L16/100)*'Jul''14 SP'!L10)</f>
        <v>244.99200000000002</v>
      </c>
      <c r="K75" s="63"/>
    </row>
    <row r="76" spans="1:11" x14ac:dyDescent="0.15">
      <c r="A76" s="40" t="s">
        <v>608</v>
      </c>
      <c r="C76" s="59">
        <f>IF($F5*'Jul''14 SP'!E9/'Jul''14 SP'!E10&lt;'Jul''14 SP'!E11,0,IF($F5*'Jul''14 SP'!E9/'Jul''14 SP'!E10&lt;='Jul''14 SP'!E12,($F5*'Jul''14 SP'!E9/'Jul''14 SP'!E10-'Jul''14 SP'!E11)*('Jul''14 SP'!E17/100)*'Jul''14 SP'!E10,('Jul''14 SP'!E12-'Jul''14 SP'!E11)*('Jul''14 SP'!E17/100)*'Jul''14 SP'!E10))</f>
        <v>0</v>
      </c>
      <c r="D76" s="59">
        <v>0</v>
      </c>
      <c r="E76" s="59">
        <f>IF($F5*'Jul''14 SP'!G9/'Jul''14 SP'!G10&lt;'Jul''14 SP'!G11,0,IF($F5*'Jul''14 SP'!G9/'Jul''14 SP'!G10&lt;='Jul''14 SP'!G12,($F5*'Jul''14 SP'!G9/'Jul''14 SP'!G10-'Jul''14 SP'!G11)*('Jul''14 SP'!G17/100)*'Jul''14 SP'!G10,('Jul''14 SP'!G12-'Jul''14 SP'!G11)*('Jul''14 SP'!G17/100)*'Jul''14 SP'!G10))</f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63"/>
    </row>
    <row r="77" spans="1:11" x14ac:dyDescent="0.15">
      <c r="A77" s="40" t="s">
        <v>611</v>
      </c>
      <c r="C77" s="59">
        <f>IF(($F5*'Jul''14 SP'!E9/'Jul''14 SP'!E10&gt;'Jul''14 SP'!E12),($F5*'Jul''14 SP'!E9/'Jul''14 SP'!E10-'Jul''14 SP'!E12)*'Jul''14 SP'!E18/100*'Jul''14 SP'!E10,0)</f>
        <v>0</v>
      </c>
      <c r="D77" s="59">
        <f>IF(($F5*'Jul''14 SP'!F9/'Jul''14 SP'!F10&gt;'Jul''14 SP'!F11),('Bills Jul''14'!$F5*'Jul''14 SP'!F9/'Jul''14 SP'!F10-'Jul''14 SP'!F11)*'Jul''14 SP'!F18/100)*'Jul''14 SP'!F10</f>
        <v>116.708372</v>
      </c>
      <c r="E77" s="59">
        <f>IF(($F5*'Jul''14 SP'!G9/'Jul''14 SP'!G10&gt;'Jul''14 SP'!G12),($F5*'Jul''14 SP'!G9/'Jul''14 SP'!G10-'Jul''14 SP'!G12)*'Jul''14 SP'!G18/100*'Jul''14 SP'!G10,0)</f>
        <v>0</v>
      </c>
      <c r="F77" s="59">
        <f>IF(($F5*'Jul''14 SP'!H9/'Jul''14 SP'!H10&gt;'Jul''14 SP'!H11),('Bills Jul''14'!$F5*'Jul''14 SP'!H9/'Jul''14 SP'!H10-'Jul''14 SP'!H11)*'Jul''14 SP'!H18/100)*'Jul''14 SP'!H10</f>
        <v>125.10124</v>
      </c>
      <c r="G77" s="59">
        <f>IF(($F5*'Jul''14 SP'!I9/'Jul''14 SP'!I10&gt;'Jul''14 SP'!I11),('Bills Jul''14'!$F5*'Jul''14 SP'!I9/'Jul''14 SP'!I10-'Jul''14 SP'!I11)*'Jul''14 SP'!I18/100)*'Jul''14 SP'!I10</f>
        <v>118.270338</v>
      </c>
      <c r="H77" s="59">
        <f>IF(($F5*'Jul''14 SP'!J9/'Jul''14 SP'!J10&gt;'Jul''14 SP'!J11),('Bills Jul''14'!$F5*'Jul''14 SP'!J9/'Jul''14 SP'!J10-'Jul''14 SP'!J11)*'Jul''14 SP'!J18/100)*'Jul''14 SP'!J10</f>
        <v>117.18343999999999</v>
      </c>
      <c r="I77" s="59">
        <f>IF(($F5*'Jul''14 SP'!K9/'Jul''14 SP'!K10&gt;'Jul''14 SP'!K11),('Bills Jul''14'!$F5*'Jul''14 SP'!K9/'Jul''14 SP'!K10-'Jul''14 SP'!K11)*'Jul''14 SP'!K18/100)*'Jul''14 SP'!K10</f>
        <v>0</v>
      </c>
      <c r="J77" s="59">
        <f>IF(($F5*'Jul''14 SP'!L9/'Jul''14 SP'!L10&gt;'Jul''14 SP'!L11),('Bills Jul''14'!$F5*'Jul''14 SP'!L9/'Jul''14 SP'!L10-'Jul''14 SP'!L11)*'Jul''14 SP'!L18/100)*'Jul''14 SP'!L10</f>
        <v>117.97522000000001</v>
      </c>
      <c r="K77" s="63"/>
    </row>
    <row r="78" spans="1:11" x14ac:dyDescent="0.15">
      <c r="A78" s="40" t="s">
        <v>612</v>
      </c>
      <c r="C78" s="59">
        <f>365*'Jul''14 SP'!E19/100</f>
        <v>235.11840000000001</v>
      </c>
      <c r="D78" s="59">
        <f>365*'Jul''14 SP'!F19/100</f>
        <v>233.11090000000002</v>
      </c>
      <c r="E78" s="59">
        <f>365*'Jul''14 SP'!G19/100</f>
        <v>222.14994999999999</v>
      </c>
      <c r="F78" s="59">
        <f>365*'Jul''14 SP'!H19/100</f>
        <v>240.21745000000001</v>
      </c>
      <c r="G78" s="59">
        <f>365*'Jul''14 SP'!I19/100</f>
        <v>220.679</v>
      </c>
      <c r="H78" s="59">
        <f>365*'Jul''14 SP'!J19/100</f>
        <v>200.75</v>
      </c>
      <c r="I78" s="59">
        <f>365*'Jul''14 SP'!K19/100</f>
        <v>224.27790000000002</v>
      </c>
      <c r="J78" s="59">
        <f>365*'Jul''14 SP'!L19/100</f>
        <v>216.74795000000003</v>
      </c>
      <c r="K78" s="60">
        <f>AVERAGE(C78:J78)</f>
        <v>224.13144374999999</v>
      </c>
    </row>
    <row r="79" spans="1:11" x14ac:dyDescent="0.15">
      <c r="A79" s="62" t="s">
        <v>613</v>
      </c>
      <c r="B79" s="63"/>
      <c r="C79" s="61">
        <f t="shared" ref="C79:H79" si="5">SUM(C72:C78)</f>
        <v>804.20148599999993</v>
      </c>
      <c r="D79" s="61">
        <f t="shared" si="5"/>
        <v>796.62441100000001</v>
      </c>
      <c r="E79" s="61">
        <f t="shared" si="5"/>
        <v>850.63809490000006</v>
      </c>
      <c r="F79" s="61">
        <f t="shared" si="5"/>
        <v>840.93822999999998</v>
      </c>
      <c r="G79" s="61">
        <f t="shared" si="5"/>
        <v>775.67809199999999</v>
      </c>
      <c r="H79" s="61">
        <f t="shared" si="5"/>
        <v>774.10784000000001</v>
      </c>
      <c r="I79" s="61">
        <f>SUM(I72:I78)</f>
        <v>810.51927000000001</v>
      </c>
      <c r="J79" s="61">
        <f>SUM(J72:J78)</f>
        <v>786.67181000000005</v>
      </c>
      <c r="K79" s="64">
        <f>AVERAGE(C79:J79)</f>
        <v>804.9224042374999</v>
      </c>
    </row>
    <row r="81" spans="1:11" x14ac:dyDescent="0.15">
      <c r="A81" s="53" t="s">
        <v>1032</v>
      </c>
      <c r="C81" s="23" t="s">
        <v>1044</v>
      </c>
      <c r="D81" s="23" t="s">
        <v>591</v>
      </c>
      <c r="E81" s="23" t="s">
        <v>592</v>
      </c>
      <c r="F81" s="23" t="s">
        <v>615</v>
      </c>
      <c r="G81" s="23" t="s">
        <v>515</v>
      </c>
      <c r="H81" s="23" t="s">
        <v>516</v>
      </c>
      <c r="I81" s="23" t="s">
        <v>597</v>
      </c>
      <c r="J81" s="23" t="s">
        <v>598</v>
      </c>
      <c r="K81" s="57" t="s">
        <v>601</v>
      </c>
    </row>
    <row r="82" spans="1:11" x14ac:dyDescent="0.15">
      <c r="A82" s="40" t="s">
        <v>602</v>
      </c>
      <c r="C82" s="59">
        <f>IF($F5*'Jul''14 SP'!E23/'Jul''14 SP'!E24&gt;='Jul''14 SP'!E27,('Jul''14 SP'!E27*'Jul''14 SP'!E29/100)*'Jul''14 SP'!E24,($F5*'Jul''14 SP'!E23/'Jul''14 SP'!E24*'Jul''14 SP'!E29/100)*'Jul''14 SP'!E24)</f>
        <v>211.72882500000003</v>
      </c>
      <c r="D82" s="59">
        <f>IF($F5*'Jul''14 SP'!F23/'Jul''14 SP'!F24&gt;='Jul''14 SP'!F27,('Jul''14 SP'!F27*'Jul''14 SP'!F29/100)*'Jul''14 SP'!F24,('Bills Jul''14'!$F5*'Jul''14 SP'!F23/'Jul''14 SP'!F24*'Jul''14 SP'!F29/100)*'Jul''14 SP'!F24)</f>
        <v>171.01699999999997</v>
      </c>
      <c r="E82" s="59">
        <f>IF($F5*'Jul''14 SP'!G23/'Jul''14 SP'!G24&gt;='Jul''14 SP'!G27,('Jul''14 SP'!G27*'Jul''14 SP'!G29/100)*'Jul''14 SP'!G24,($F5*'Jul''14 SP'!G23/'Jul''14 SP'!G24*'Jul''14 SP'!G29/100)*'Jul''14 SP'!G24)</f>
        <v>227.94120359999999</v>
      </c>
      <c r="F82" s="59">
        <f>IF($F5*'Jul''14 SP'!H23/'Jul''14 SP'!H24&gt;='Jul''14 SP'!H27,('Jul''14 SP'!H27*'Jul''14 SP'!H29/100)*'Jul''14 SP'!H24,('Bills Jul''14'!$F5*'Jul''14 SP'!H23/'Jul''14 SP'!H24*'Jul''14 SP'!H29/100)*'Jul''14 SP'!H24)</f>
        <v>167.86</v>
      </c>
      <c r="G82" s="59">
        <f>IF($F5*'Jul''14 SP'!I23/'Jul''14 SP'!I24&gt;='Jul''14 SP'!I27,('Jul''14 SP'!I27*'Jul''14 SP'!I29/100)*'Jul''14 SP'!I24,('Bills Jul''14'!$F5*'Jul''14 SP'!I23/'Jul''14 SP'!I24*'Jul''14 SP'!I29/100)*'Jul''14 SP'!I24)</f>
        <v>157.87100000000001</v>
      </c>
      <c r="H82" s="59">
        <f>IF($F5*'Jul''14 SP'!J23/'Jul''14 SP'!J24&gt;='Jul''14 SP'!J27,('Jul''14 SP'!J27*'Jul''14 SP'!J29/100)*'Jul''14 SP'!J24,('Bills Jul''14'!$F5*'Jul''14 SP'!J23/'Jul''14 SP'!J24*'Jul''14 SP'!J29/100)*'Jul''14 SP'!J24)</f>
        <v>154.76999999999998</v>
      </c>
      <c r="I82" s="59">
        <f>IF($F5*'Jul''14 SP'!K23/'Jul''14 SP'!K24&gt;='Jul''14 SP'!K27,('Jul''14 SP'!K27*'Jul''14 SP'!K29/100)*'Jul''14 SP'!K24,('Bills Jul''14'!$F5*'Jul''14 SP'!K23/'Jul''14 SP'!K24*'Jul''14 SP'!K29/100)*'Jul''14 SP'!K24)</f>
        <v>228.77712</v>
      </c>
      <c r="J82" s="59">
        <f>IF($F5*'Jul''14 SP'!L23/'Jul''14 SP'!L24&gt;='Jul''14 SP'!L27,('Jul''14 SP'!L27*'Jul''14 SP'!L29/100)*'Jul''14 SP'!L24,('Bills Jul''14'!$F5*'Jul''14 SP'!L23/'Jul''14 SP'!L24*'Jul''14 SP'!L29/100)*'Jul''14 SP'!L24)</f>
        <v>156.31</v>
      </c>
      <c r="K82" s="63"/>
    </row>
    <row r="83" spans="1:11" x14ac:dyDescent="0.15">
      <c r="A83" s="40" t="s">
        <v>603</v>
      </c>
      <c r="C83" s="59">
        <f>IF($F5*'Jul''14 SP'!E23/'Jul''14 SP'!E24&lt;'Jul''14 SP'!E27,0,IF($F5*'Jul''14 SP'!E23/'Jul''14 SP'!E24&lt;='Jul''14 SP'!E28,($F5*'Jul''14 SP'!E23/'Jul''14 SP'!E24-'Jul''14 SP'!E27)*('Jul''14 SP'!E30/100)*'Jul''14 SP'!E24,('Jul''14 SP'!E28-'Jul''14 SP'!E27)*('Jul''14 SP'!E30/100)*'Jul''14 SP'!E24))</f>
        <v>0</v>
      </c>
      <c r="D83" s="59">
        <v>0</v>
      </c>
      <c r="E83" s="59">
        <f>IF($F5*'Jul''14 SP'!G23/'Jul''14 SP'!G24&lt;'Jul''14 SP'!G27,0,IF($F5*'Jul''14 SP'!G23/'Jul''14 SP'!G24&lt;='Jul''14 SP'!G28,($F5*'Jul''14 SP'!G23/'Jul''14 SP'!G24-'Jul''14 SP'!G27)*('Jul''14 SP'!G30/100)*'Jul''14 SP'!G24,('Jul''14 SP'!G28-'Jul''14 SP'!G27)*('Jul''14 SP'!G30/100)*'Jul''14 SP'!G24))</f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63"/>
    </row>
    <row r="84" spans="1:11" x14ac:dyDescent="0.15">
      <c r="A84" s="40" t="s">
        <v>606</v>
      </c>
      <c r="C84" s="59">
        <f>IF(($F5*'Jul''14 SP'!E23/'Jul''14 SP'!E24&gt;'Jul''14 SP'!E28),($F5*'Jul''14 SP'!E23/'Jul''14 SP'!E24-'Jul''14 SP'!E28)*'Jul''14 SP'!E31/100*'Jul''14 SP'!E24,0)</f>
        <v>0</v>
      </c>
      <c r="D84" s="59">
        <f>IF(($F5*'Jul''14 SP'!F23/'Jul''14 SP'!F24&lt;'Jul''14 SP'!F27),(0),('Bills Jul''14'!$F5*'Jul''14 SP'!F23/'Jul''14 SP'!F24-'Jul''14 SP'!F27)*'Jul''14 SP'!F31/100)*'Jul''14 SP'!F24</f>
        <v>58.819386999999999</v>
      </c>
      <c r="E84" s="59">
        <f>IF(($F5*'Jul''14 SP'!G23/'Jul''14 SP'!G24&gt;'Jul''14 SP'!G28),($F5*'Jul''14 SP'!G23/'Jul''14 SP'!G24-'Jul''14 SP'!G28)*'Jul''14 SP'!G31/100*'Jul''14 SP'!G24,0)</f>
        <v>0</v>
      </c>
      <c r="F84" s="59">
        <f>IF(($F5*'Jul''14 SP'!H23/'Jul''14 SP'!H24&lt;'Jul''14 SP'!H27),(0),('Bills Jul''14'!$F5*'Jul''14 SP'!H23/'Jul''14 SP'!H24-'Jul''14 SP'!H27)*'Jul''14 SP'!H31/100)*'Jul''14 SP'!H24</f>
        <v>63.998660000000001</v>
      </c>
      <c r="G84" s="59">
        <f>IF(($F5*'Jul''14 SP'!I23/'Jul''14 SP'!I24&lt;'Jul''14 SP'!I27),(0),('Bills Jul''14'!$F5*'Jul''14 SP'!I23/'Jul''14 SP'!I24-'Jul''14 SP'!I27)*'Jul''14 SP'!I31/100)*'Jul''14 SP'!I24</f>
        <v>60.003991999999997</v>
      </c>
      <c r="H84" s="59">
        <f>IF(($F5*'Jul''14 SP'!J23/'Jul''14 SP'!J24&lt;'Jul''14 SP'!J27),(0),('Bills Jul''14'!$F5*'Jul''14 SP'!J23/'Jul''14 SP'!J24-'Jul''14 SP'!J27)*'Jul''14 SP'!J31/100)*'Jul''14 SP'!J24</f>
        <v>52.782399999999996</v>
      </c>
      <c r="I84" s="59">
        <f>IF(($F5*'Jul''14 SP'!K23/'Jul''14 SP'!K24&lt;'Jul''14 SP'!K27),(0),('Bills Jul''14'!$F5*'Jul''14 SP'!K23/'Jul''14 SP'!K24-'Jul''14 SP'!K27)*'Jul''14 SP'!K31/100)*'Jul''14 SP'!K24</f>
        <v>0</v>
      </c>
      <c r="J84" s="59">
        <f>IF(($F5*'Jul''14 SP'!L23/'Jul''14 SP'!L24&lt;'Jul''14 SP'!L27),(0),('Bills Jul''14'!$F5*'Jul''14 SP'!L23/'Jul''14 SP'!L24-'Jul''14 SP'!L27)*'Jul''14 SP'!L31/100)*'Jul''14 SP'!L24</f>
        <v>58.060639999999992</v>
      </c>
      <c r="K84" s="63"/>
    </row>
    <row r="85" spans="1:11" x14ac:dyDescent="0.15">
      <c r="A85" s="40" t="s">
        <v>607</v>
      </c>
      <c r="C85" s="59">
        <f>IF($F5*'Jul''14 SP'!E25/'Jul''14 SP'!E26&gt;='Jul''14 SP'!E27,('Jul''14 SP'!E27*'Jul''14 SP'!E32/100)*'Jul''14 SP'!E26,($F5*'Jul''14 SP'!E25/'Jul''14 SP'!E26*'Jul''14 SP'!E32/100)*'Jul''14 SP'!E26)</f>
        <v>378.36216000000002</v>
      </c>
      <c r="D85" s="59">
        <f>IF($F5*'Jul''14 SP'!F25/'Jul''14 SP'!F26&gt;='Jul''14 SP'!F27,('Jul''14 SP'!F27*'Jul''14 SP'!F32/100)*'Jul''14 SP'!F26,('Bills Jul''14'!$F5*'Jul''14 SP'!F25/'Jul''14 SP'!F26*'Jul''14 SP'!F32/100)*'Jul''14 SP'!F26)</f>
        <v>271.19400000000002</v>
      </c>
      <c r="E85" s="59">
        <f>IF($F5*'Jul''14 SP'!G25/'Jul''14 SP'!G26&gt;='Jul''14 SP'!G27,('Jul''14 SP'!G27*'Jul''14 SP'!G32/100)*'Jul''14 SP'!G26,($F5*'Jul''14 SP'!G25/'Jul''14 SP'!G26*'Jul''14 SP'!G32/100)*'Jul''14 SP'!G26)</f>
        <v>402.75772020000005</v>
      </c>
      <c r="F85" s="59">
        <f>IF($F5*'Jul''14 SP'!H25/'Jul''14 SP'!H26&gt;='Jul''14 SP'!H27,('Jul''14 SP'!H27*'Jul''14 SP'!H32/100)*'Jul''14 SP'!H26,('Bills Jul''14'!$F5*'Jul''14 SP'!H25/'Jul''14 SP'!H26*'Jul''14 SP'!H32/100)*'Jul''14 SP'!H26)</f>
        <v>275.66000000000003</v>
      </c>
      <c r="G85" s="59">
        <f>IF($F5*'Jul''14 SP'!I25/'Jul''14 SP'!I26&gt;='Jul''14 SP'!I27,('Jul''14 SP'!I27*'Jul''14 SP'!I32/100)*'Jul''14 SP'!I26,('Bills Jul''14'!$F5*'Jul''14 SP'!I25/'Jul''14 SP'!I26*'Jul''14 SP'!I32/100)*'Jul''14 SP'!I26)</f>
        <v>278.25</v>
      </c>
      <c r="H85" s="59">
        <f>IF($F5*'Jul''14 SP'!J25/'Jul''14 SP'!J26&gt;='Jul''14 SP'!J27,('Jul''14 SP'!J27*'Jul''14 SP'!J32/100)*'Jul''14 SP'!J26,('Bills Jul''14'!$F5*'Jul''14 SP'!J25/'Jul''14 SP'!J26*'Jul''14 SP'!J32/100)*'Jul''14 SP'!J26)</f>
        <v>294.14</v>
      </c>
      <c r="I85" s="59">
        <f>IF($F5*'Jul''14 SP'!K25/'Jul''14 SP'!K26&gt;='Jul''14 SP'!K27,('Jul''14 SP'!K27*'Jul''14 SP'!K32/100)*'Jul''14 SP'!K26,('Bills Jul''14'!$F5*'Jul''14 SP'!K25/'Jul''14 SP'!K26*'Jul''14 SP'!K32/100)*'Jul''14 SP'!K26)</f>
        <v>437.75622000000004</v>
      </c>
      <c r="J85" s="59">
        <f>IF($F5*'Jul''14 SP'!L25/'Jul''14 SP'!L26&gt;='Jul''14 SP'!L27,('Jul''14 SP'!L27*'Jul''14 SP'!L32/100)*'Jul''14 SP'!L26,('Bills Jul''14'!$F5*'Jul''14 SP'!L25/'Jul''14 SP'!L26*'Jul''14 SP'!L32/100)*'Jul''14 SP'!L26)</f>
        <v>271.04000000000002</v>
      </c>
      <c r="K85" s="63"/>
    </row>
    <row r="86" spans="1:11" x14ac:dyDescent="0.15">
      <c r="A86" s="40" t="s">
        <v>608</v>
      </c>
      <c r="C86" s="59">
        <f>IF($F5*'Jul''14 SP'!E25/'Jul''14 SP'!E26&lt;'Jul''14 SP'!E27,0,IF($F5*'Jul''14 SP'!E25/'Jul''14 SP'!E26&lt;='Jul''14 SP'!E28,($F5*'Jul''14 SP'!E25/'Jul''14 SP'!E26-'Jul''14 SP'!E27)*('Jul''14 SP'!E33/100)*'Jul''14 SP'!E26,('Jul''14 SP'!E28-'Jul''14 SP'!E27)*('Jul''14 SP'!E33/100)*'Jul''14 SP'!E26))</f>
        <v>0</v>
      </c>
      <c r="D86" s="59">
        <v>0</v>
      </c>
      <c r="E86" s="59">
        <f>IF($F5*'Jul''14 SP'!G25/'Jul''14 SP'!G26&lt;'Jul''14 SP'!G27,0,IF($F5*'Jul''14 SP'!G25/'Jul''14 SP'!G26&lt;='Jul''14 SP'!G28,($F5*'Jul''14 SP'!G25/'Jul''14 SP'!G26-'Jul''14 SP'!G27)*('Jul''14 SP'!G33/100)*'Jul''14 SP'!G26,('Jul''14 SP'!G28-'Jul''14 SP'!G27)*('Jul''14 SP'!G33/100)*'Jul''14 SP'!G26))</f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63"/>
    </row>
    <row r="87" spans="1:11" x14ac:dyDescent="0.15">
      <c r="A87" s="40" t="s">
        <v>611</v>
      </c>
      <c r="C87" s="59">
        <f>IF(($F5*'Jul''14 SP'!E25/'Jul''14 SP'!E26&gt;'Jul''14 SP'!E28),($F5*'Jul''14 SP'!E25/'Jul''14 SP'!E26-'Jul''14 SP'!E28)*'Jul''14 SP'!E34/100*'Jul''14 SP'!E26,0)</f>
        <v>0</v>
      </c>
      <c r="D87" s="59">
        <f>IF(($F5*'Jul''14 SP'!F25/'Jul''14 SP'!F26&lt;'Jul''14 SP'!F27),(0),('Bills Jul''14'!$F5*'Jul''14 SP'!F25/'Jul''14 SP'!F26-'Jul''14 SP'!F27)*'Jul''14 SP'!F34/100)*'Jul''14 SP'!F26</f>
        <v>100.61645</v>
      </c>
      <c r="E87" s="59">
        <f>IF(($F5*'Jul''14 SP'!G25/'Jul''14 SP'!G26&gt;'Jul''14 SP'!G28),($F5*'Jul''14 SP'!G25/'Jul''14 SP'!G26-'Jul''14 SP'!G28)*'Jul''14 SP'!G34/100*'Jul''14 SP'!G26,0)</f>
        <v>0</v>
      </c>
      <c r="F87" s="59">
        <f>IF(($F5*'Jul''14 SP'!H25/'Jul''14 SP'!H26&lt;'Jul''14 SP'!H27),(0),('Bills Jul''14'!$F5*'Jul''14 SP'!H25/'Jul''14 SP'!H26-'Jul''14 SP'!H27)*'Jul''14 SP'!H34/100)*'Jul''14 SP'!H26</f>
        <v>113.48215999999998</v>
      </c>
      <c r="G87" s="59">
        <f>IF(($F5*'Jul''14 SP'!I25/'Jul''14 SP'!I26&lt;'Jul''14 SP'!I27),(0),('Bills Jul''14'!$F5*'Jul''14 SP'!I25/'Jul''14 SP'!I26-'Jul''14 SP'!I27)*'Jul''14 SP'!I34/100)*'Jul''14 SP'!I26</f>
        <v>104.593124</v>
      </c>
      <c r="H87" s="59">
        <f>IF(($F5*'Jul''14 SP'!J25/'Jul''14 SP'!J26&lt;'Jul''14 SP'!J27),(0),('Bills Jul''14'!$F5*'Jul''14 SP'!J25/'Jul''14 SP'!J26-'Jul''14 SP'!J27)*'Jul''14 SP'!J34/100)*'Jul''14 SP'!J26</f>
        <v>99.626779999999997</v>
      </c>
      <c r="I87" s="59">
        <f>IF(($F5*'Jul''14 SP'!K25/'Jul''14 SP'!K26&lt;'Jul''14 SP'!K27),(0),('Bills Jul''14'!$F5*'Jul''14 SP'!K25/'Jul''14 SP'!K26-'Jul''14 SP'!K27)*'Jul''14 SP'!K34/100)*'Jul''14 SP'!K26</f>
        <v>0</v>
      </c>
      <c r="J87" s="59">
        <f>IF(($F5*'Jul''14 SP'!L25/'Jul''14 SP'!L26&lt;'Jul''14 SP'!L27),(0),('Bills Jul''14'!$F5*'Jul''14 SP'!L25/'Jul''14 SP'!L26-'Jul''14 SP'!L27)*'Jul''14 SP'!L34/100)*'Jul''14 SP'!L26</f>
        <v>106.22457999999999</v>
      </c>
      <c r="K87" s="63"/>
    </row>
    <row r="88" spans="1:11" x14ac:dyDescent="0.15">
      <c r="A88" s="40" t="s">
        <v>612</v>
      </c>
      <c r="C88" s="59">
        <f>365*'Jul''14 SP'!E35/100</f>
        <v>226.7672</v>
      </c>
      <c r="D88" s="59">
        <f>365*'Jul''14 SP'!F35/100</f>
        <v>230.13980000000001</v>
      </c>
      <c r="E88" s="59">
        <f>365*'Jul''14 SP'!G35/100</f>
        <v>230.30113</v>
      </c>
      <c r="F88" s="59">
        <f>365*'Jul''14 SP'!H35/100</f>
        <v>242.62645000000001</v>
      </c>
      <c r="G88" s="59">
        <f>365*'Jul''14 SP'!I35/100</f>
        <v>213.70750000000001</v>
      </c>
      <c r="H88" s="59">
        <f>365*'Jul''14 SP'!J35/100</f>
        <v>200.75</v>
      </c>
      <c r="I88" s="59">
        <f>365*'Jul''14 SP'!K35/100</f>
        <v>228.73455000000001</v>
      </c>
      <c r="J88" s="59">
        <f>365*'Jul''14 SP'!L35/100</f>
        <v>208.73985000000002</v>
      </c>
      <c r="K88" s="60">
        <f>AVERAGE(C88:J88)</f>
        <v>222.72080999999997</v>
      </c>
    </row>
    <row r="89" spans="1:11" x14ac:dyDescent="0.15">
      <c r="A89" s="62" t="s">
        <v>613</v>
      </c>
      <c r="B89" s="63"/>
      <c r="C89" s="61">
        <f t="shared" ref="C89:H89" si="6">SUM(C82:C88)</f>
        <v>816.85818500000005</v>
      </c>
      <c r="D89" s="61">
        <f t="shared" si="6"/>
        <v>831.78663700000004</v>
      </c>
      <c r="E89" s="61">
        <f t="shared" si="6"/>
        <v>861.00005380000016</v>
      </c>
      <c r="F89" s="61">
        <f t="shared" si="6"/>
        <v>863.62727000000007</v>
      </c>
      <c r="G89" s="61">
        <f t="shared" si="6"/>
        <v>814.42561599999999</v>
      </c>
      <c r="H89" s="61">
        <f t="shared" si="6"/>
        <v>802.06917999999996</v>
      </c>
      <c r="I89" s="61">
        <f>SUM(I82:I88)</f>
        <v>895.26789000000008</v>
      </c>
      <c r="J89" s="61">
        <f>SUM(J82:J88)</f>
        <v>800.37507000000005</v>
      </c>
      <c r="K89" s="64">
        <f>AVERAGE(C89:J89)</f>
        <v>835.67623772500008</v>
      </c>
    </row>
    <row r="91" spans="1:11" x14ac:dyDescent="0.15">
      <c r="A91" s="53" t="s">
        <v>1034</v>
      </c>
      <c r="C91" s="23" t="s">
        <v>1044</v>
      </c>
      <c r="D91" s="23" t="s">
        <v>591</v>
      </c>
      <c r="E91" s="23" t="s">
        <v>592</v>
      </c>
      <c r="F91" s="23" t="s">
        <v>615</v>
      </c>
      <c r="G91" s="23" t="s">
        <v>515</v>
      </c>
      <c r="H91" s="23" t="s">
        <v>516</v>
      </c>
      <c r="I91" s="23" t="s">
        <v>597</v>
      </c>
      <c r="J91" s="23" t="s">
        <v>598</v>
      </c>
      <c r="K91" s="57" t="s">
        <v>601</v>
      </c>
    </row>
    <row r="92" spans="1:11" x14ac:dyDescent="0.15">
      <c r="A92" s="40" t="s">
        <v>602</v>
      </c>
      <c r="C92" s="59">
        <f>IF($F5*'Jul''14 SP'!E39/'Jul''14 SP'!E40&gt;='Jul''14 SP'!E43,('Jul''14 SP'!E43*'Jul''14 SP'!E45/100)*'Jul''14 SP'!E40,($F5*'Jul''14 SP'!E39/'Jul''14 SP'!E40*'Jul''14 SP'!E45/100)*'Jul''14 SP'!E40)</f>
        <v>217.11828600000001</v>
      </c>
      <c r="D92" s="59">
        <f>IF($F5*'Jul''14 SP'!F39/'Jul''14 SP'!F40&gt;='Jul''14 SP'!F43,('Jul''14 SP'!F43*'Jul''14 SP'!F45/100)*'Jul''14 SP'!F40,('Bills Jul''14'!$F5*'Jul''14 SP'!F39/'Jul''14 SP'!F40*'Jul''14 SP'!F45/100)*'Jul''14 SP'!F40)</f>
        <v>157.48480000000001</v>
      </c>
      <c r="E92" s="59">
        <f>IF($F5*'Jul''14 SP'!G39/'Jul''14 SP'!G40&gt;='Jul''14 SP'!G43,('Jul''14 SP'!G43*'Jul''14 SP'!G45/100)*'Jul''14 SP'!G40,($F5*'Jul''14 SP'!G39/'Jul''14 SP'!G40*'Jul''14 SP'!G45/100)*'Jul''14 SP'!G40)</f>
        <v>246.74932260000003</v>
      </c>
      <c r="F92" s="59">
        <f>IF($F5*'Jul''14 SP'!H39/'Jul''14 SP'!H40&gt;='Jul''14 SP'!H43,('Jul''14 SP'!H43*'Jul''14 SP'!H45/100)*'Jul''14 SP'!H40,('Bills Jul''14'!$F5*'Jul''14 SP'!H39/'Jul''14 SP'!H40*'Jul''14 SP'!H45/100)*'Jul''14 SP'!H40)</f>
        <v>161.21600000000001</v>
      </c>
      <c r="G92" s="59">
        <f>IF($F5*'Jul''14 SP'!I39/'Jul''14 SP'!I40&gt;='Jul''14 SP'!I43,('Jul''14 SP'!I43*'Jul''14 SP'!I45/100)*'Jul''14 SP'!I40,('Bills Jul''14'!$F5*'Jul''14 SP'!I39/'Jul''14 SP'!I40*'Jul''14 SP'!I45/100)*'Jul''14 SP'!I40)</f>
        <v>148.1216</v>
      </c>
      <c r="H92" s="59">
        <f>IF($F5*'Jul''14 SP'!J39/'Jul''14 SP'!J40&gt;='Jul''14 SP'!J43,('Jul''14 SP'!J43*'Jul''14 SP'!J45/100)*'Jul''14 SP'!J40,('Bills Jul''14'!$F5*'Jul''14 SP'!J39/'Jul''14 SP'!J40*'Jul''14 SP'!J45/100)*'Jul''14 SP'!J40)</f>
        <v>145.72800000000001</v>
      </c>
      <c r="I92" s="59">
        <f>IF($F5*'Jul''14 SP'!K39/'Jul''14 SP'!K40&gt;='Jul''14 SP'!K43,('Jul''14 SP'!K43*'Jul''14 SP'!K45/100)*'Jul''14 SP'!K40,('Bills Jul''14'!$F5*'Jul''14 SP'!K39/'Jul''14 SP'!K40*'Jul''14 SP'!K45/100)*'Jul''14 SP'!K40)</f>
        <v>228.77712</v>
      </c>
      <c r="J92" s="59">
        <f>IF($F5*'Jul''14 SP'!L39/'Jul''14 SP'!L40&gt;='Jul''14 SP'!L43,('Jul''14 SP'!L43*'Jul''14 SP'!L45/100)*'Jul''14 SP'!L40,('Bills Jul''14'!$F5*'Jul''14 SP'!L39/'Jul''14 SP'!L40*'Jul''14 SP'!L45/100)*'Jul''14 SP'!L40)</f>
        <v>149.952</v>
      </c>
      <c r="K92" s="63"/>
    </row>
    <row r="93" spans="1:11" x14ac:dyDescent="0.15">
      <c r="A93" s="40" t="s">
        <v>603</v>
      </c>
      <c r="C93" s="59">
        <f>IF($F5*'Jul''14 SP'!E39/'Jul''14 SP'!E40&lt;'Jul''14 SP'!E43,0,IF($F5*'Jul''14 SP'!E39/'Jul''14 SP'!E40&lt;='Jul''14 SP'!E44,($F5*'Jul''14 SP'!E39/'Jul''14 SP'!E40-'Jul''14 SP'!E43)*('Jul''14 SP'!E46/100)*'Jul''14 SP'!E40,('Jul''14 SP'!E44-'Jul''14 SP'!E43)*('Jul''14 SP'!E46/100)*'Jul''14 SP'!E40))</f>
        <v>0</v>
      </c>
      <c r="D93" s="59">
        <v>0</v>
      </c>
      <c r="E93" s="59">
        <f>IF($F5*'Jul''14 SP'!G39/'Jul''14 SP'!G40&lt;'Jul''14 SP'!G43,0,IF($F5*'Jul''14 SP'!G39/'Jul''14 SP'!G40&lt;='Jul''14 SP'!G44,($F5*'Jul''14 SP'!G39/'Jul''14 SP'!G40-'Jul''14 SP'!G43)*('Jul''14 SP'!G46/100)*'Jul''14 SP'!G40,('Jul''14 SP'!G44-'Jul''14 SP'!G43)*('Jul''14 SP'!G46/100)*'Jul''14 SP'!G40))</f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63"/>
    </row>
    <row r="94" spans="1:11" x14ac:dyDescent="0.15">
      <c r="A94" s="40" t="s">
        <v>606</v>
      </c>
      <c r="C94" s="59">
        <f>IF(($F5*'Jul''14 SP'!E39/'Jul''14 SP'!E40&gt;'Jul''14 SP'!E44),($F5*'Jul''14 SP'!E39/'Jul''14 SP'!E40-'Jul''14 SP'!E44)*'Jul''14 SP'!E47/100*'Jul''14 SP'!E40,0)</f>
        <v>0</v>
      </c>
      <c r="D94" s="59">
        <f>IF(($F5*'Jul''14 SP'!F39/'Jul''14 SP'!F40&lt;'Jul''14 SP'!F43),(0),('Bills Jul''14'!$F5*'Jul''14 SP'!F39/'Jul''14 SP'!F40-'Jul''14 SP'!F43)*'Jul''14 SP'!F47/100)*'Jul''14 SP'!F40</f>
        <v>67.657601</v>
      </c>
      <c r="E94" s="59">
        <f>IF(($F5*'Jul''14 SP'!G39/'Jul''14 SP'!G40&gt;'Jul''14 SP'!G44),($F5*'Jul''14 SP'!G39/'Jul''14 SP'!G40-'Jul''14 SP'!G44)*'Jul''14 SP'!G47/100*'Jul''14 SP'!G40,0)</f>
        <v>0</v>
      </c>
      <c r="F94" s="59">
        <f>IF(($F5*'Jul''14 SP'!H39/'Jul''14 SP'!H40&lt;'Jul''14 SP'!H43),(0),('Bills Jul''14'!$F5*'Jul''14 SP'!H39/'Jul''14 SP'!H40-'Jul''14 SP'!H43)*'Jul''14 SP'!H47/100)*'Jul''14 SP'!H40</f>
        <v>72.447869999999995</v>
      </c>
      <c r="G94" s="59">
        <f>IF(($F5*'Jul''14 SP'!I39/'Jul''14 SP'!I40&lt;'Jul''14 SP'!I43),(0),('Bills Jul''14'!$F5*'Jul''14 SP'!I39/'Jul''14 SP'!I40-'Jul''14 SP'!I43)*'Jul''14 SP'!I47/100)*'Jul''14 SP'!I40</f>
        <v>68.967636999999996</v>
      </c>
      <c r="H94" s="59">
        <f>IF(($F5*'Jul''14 SP'!J39/'Jul''14 SP'!J40&lt;'Jul''14 SP'!J43),(0),('Bills Jul''14'!$F5*'Jul''14 SP'!J39/'Jul''14 SP'!J40-'Jul''14 SP'!J43)*'Jul''14 SP'!J47/100)*'Jul''14 SP'!J40</f>
        <v>66.509520000000009</v>
      </c>
      <c r="I94" s="59">
        <f>IF(($F5*'Jul''14 SP'!K39/'Jul''14 SP'!K40&lt;'Jul''14 SP'!K43),(0),('Bills Jul''14'!$F5*'Jul''14 SP'!K39/'Jul''14 SP'!K40-'Jul''14 SP'!K43)*'Jul''14 SP'!K47/100)*'Jul''14 SP'!K40</f>
        <v>0</v>
      </c>
      <c r="J94" s="59">
        <f>IF(($F5*'Jul''14 SP'!L39/'Jul''14 SP'!L40&lt;'Jul''14 SP'!L43),(0),('Bills Jul''14'!$F5*'Jul''14 SP'!L39/'Jul''14 SP'!L40-'Jul''14 SP'!L43)*'Jul''14 SP'!L47/100)*'Jul''14 SP'!L40</f>
        <v>69.280749999999998</v>
      </c>
      <c r="K94" s="63"/>
    </row>
    <row r="95" spans="1:11" x14ac:dyDescent="0.15">
      <c r="A95" s="40" t="s">
        <v>607</v>
      </c>
      <c r="C95" s="59">
        <f>IF($F5*'Jul''14 SP'!E41/'Jul''14 SP'!E42&gt;='Jul''14 SP'!E43,('Jul''14 SP'!E43*'Jul''14 SP'!E48/100)*'Jul''14 SP'!E42,($F5*'Jul''14 SP'!E41/'Jul''14 SP'!E42*'Jul''14 SP'!E48/100)*'Jul''14 SP'!E42)</f>
        <v>402.99969600000003</v>
      </c>
      <c r="D95" s="59">
        <f>IF($F5*'Jul''14 SP'!F41/'Jul''14 SP'!F42&gt;='Jul''14 SP'!F43,('Jul''14 SP'!F43*'Jul''14 SP'!F48/100)*'Jul''14 SP'!F42,('Bills Jul''14'!$F5*'Jul''14 SP'!F41/'Jul''14 SP'!F42*'Jul''14 SP'!F48/100)*'Jul''14 SP'!F42)</f>
        <v>269.77280000000002</v>
      </c>
      <c r="E95" s="59">
        <f>IF($F5*'Jul''14 SP'!G41/'Jul''14 SP'!G42&gt;='Jul''14 SP'!G43,('Jul''14 SP'!G43*'Jul''14 SP'!G48/100)*'Jul''14 SP'!G42,($F5*'Jul''14 SP'!G41/'Jul''14 SP'!G42*'Jul''14 SP'!G48/100)*'Jul''14 SP'!G42)</f>
        <v>418.24417139999997</v>
      </c>
      <c r="F95" s="59">
        <f>IF($F5*'Jul''14 SP'!H41/'Jul''14 SP'!H42&gt;='Jul''14 SP'!H43,('Jul''14 SP'!H43*'Jul''14 SP'!H48/100)*'Jul''14 SP'!H42,('Bills Jul''14'!$F5*'Jul''14 SP'!H41/'Jul''14 SP'!H42*'Jul''14 SP'!H48/100)*'Jul''14 SP'!H42)</f>
        <v>274.56</v>
      </c>
      <c r="G95" s="59">
        <f>IF($F5*'Jul''14 SP'!I41/'Jul''14 SP'!I42&gt;='Jul''14 SP'!I43,('Jul''14 SP'!I43*'Jul''14 SP'!I48/100)*'Jul''14 SP'!I42,('Bills Jul''14'!$F5*'Jul''14 SP'!I41/'Jul''14 SP'!I42*'Jul''14 SP'!I48/100)*'Jul''14 SP'!I42)</f>
        <v>265.68959999999998</v>
      </c>
      <c r="H95" s="59">
        <f>IF($F5*'Jul''14 SP'!J41/'Jul''14 SP'!J42&gt;='Jul''14 SP'!J43,('Jul''14 SP'!J43*'Jul''14 SP'!J48/100)*'Jul''14 SP'!J42,('Bills Jul''14'!$F5*'Jul''14 SP'!J41/'Jul''14 SP'!J42*'Jul''14 SP'!J48/100)*'Jul''14 SP'!J42)</f>
        <v>271.74400000000003</v>
      </c>
      <c r="I95" s="59">
        <f>IF($F5*'Jul''14 SP'!K41/'Jul''14 SP'!K42&gt;='Jul''14 SP'!K43,('Jul''14 SP'!K43*'Jul''14 SP'!K48/100)*'Jul''14 SP'!K42,('Bills Jul''14'!$F5*'Jul''14 SP'!K41/'Jul''14 SP'!K42*'Jul''14 SP'!K48/100)*'Jul''14 SP'!K42)</f>
        <v>417.95819999999998</v>
      </c>
      <c r="J95" s="59">
        <f>IF($F5*'Jul''14 SP'!L41/'Jul''14 SP'!L42&gt;='Jul''14 SP'!L43,('Jul''14 SP'!L43*'Jul''14 SP'!L48/100)*'Jul''14 SP'!L42,('Bills Jul''14'!$F5*'Jul''14 SP'!L41/'Jul''14 SP'!L42*'Jul''14 SP'!L48/100)*'Jul''14 SP'!L42)</f>
        <v>266.11200000000002</v>
      </c>
      <c r="K95" s="63"/>
    </row>
    <row r="96" spans="1:11" x14ac:dyDescent="0.15">
      <c r="A96" s="40" t="s">
        <v>608</v>
      </c>
      <c r="C96" s="59">
        <f>IF($F5*'Jul''14 SP'!E41/'Jul''14 SP'!E42&lt;'Jul''14 SP'!E43,0,IF($F5*'Jul''14 SP'!E41/'Jul''14 SP'!E42&lt;='Jul''14 SP'!E44,($F5*'Jul''14 SP'!E41/'Jul''14 SP'!E42-'Jul''14 SP'!E43)*('Jul''14 SP'!E49/100)*'Jul''14 SP'!E42,('Jul''14 SP'!E44-'Jul''14 SP'!E43)*('Jul''14 SP'!E49/100)*'Jul''14 SP'!E42))</f>
        <v>0</v>
      </c>
      <c r="D96" s="59">
        <v>0</v>
      </c>
      <c r="E96" s="59">
        <f>IF($F5*'Jul''14 SP'!G41/'Jul''14 SP'!G42&lt;'Jul''14 SP'!G43,0,IF($F5*'Jul''14 SP'!G41/'Jul''14 SP'!G42&lt;='Jul''14 SP'!G44,($F5*'Jul''14 SP'!G41/'Jul''14 SP'!G42-'Jul''14 SP'!G43)*('Jul''14 SP'!G49/100)*'Jul''14 SP'!G42,('Jul''14 SP'!G44-'Jul''14 SP'!G43)*('Jul''14 SP'!G49/100)*'Jul''14 SP'!G42))</f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63"/>
    </row>
    <row r="97" spans="1:11" x14ac:dyDescent="0.15">
      <c r="A97" s="40" t="s">
        <v>611</v>
      </c>
      <c r="C97" s="59">
        <f>IF(($F5*'Jul''14 SP'!E41/'Jul''14 SP'!E42&gt;'Jul''14 SP'!E44),($F5*'Jul''14 SP'!E41/'Jul''14 SP'!E42-'Jul''14 SP'!E44)*'Jul''14 SP'!E50/100*'Jul''14 SP'!E42,0)</f>
        <v>0</v>
      </c>
      <c r="D97" s="59">
        <f>IF(($F5*'Jul''14 SP'!F41/'Jul''14 SP'!F42&lt;'Jul''14 SP'!F43),(0),('Bills Jul''14'!$F5*'Jul''14 SP'!F41/'Jul''14 SP'!F42-'Jul''14 SP'!F43)*'Jul''14 SP'!F50/100)*'Jul''14 SP'!F42</f>
        <v>122.7259</v>
      </c>
      <c r="E97" s="59">
        <f>IF(($F5*'Jul''14 SP'!G41/'Jul''14 SP'!G42&gt;'Jul''14 SP'!G44),($F5*'Jul''14 SP'!G41/'Jul''14 SP'!G42-'Jul''14 SP'!G44)*'Jul''14 SP'!G50/100*'Jul''14 SP'!G42,0)</f>
        <v>0</v>
      </c>
      <c r="F97" s="59">
        <f>IF(($F5*'Jul''14 SP'!H41/'Jul''14 SP'!H42&lt;'Jul''14 SP'!H43),(0),('Bills Jul''14'!$F5*'Jul''14 SP'!H41/'Jul''14 SP'!H42-'Jul''14 SP'!H43)*'Jul''14 SP'!H50/100)*'Jul''14 SP'!H42</f>
        <v>135.39438000000001</v>
      </c>
      <c r="G97" s="59">
        <f>IF(($F5*'Jul''14 SP'!I41/'Jul''14 SP'!I42&lt;'Jul''14 SP'!I43),(0),('Bills Jul''14'!$F5*'Jul''14 SP'!I41/'Jul''14 SP'!I42-'Jul''14 SP'!I43)*'Jul''14 SP'!I50/100)*'Jul''14 SP'!I42</f>
        <v>126.79277</v>
      </c>
      <c r="H97" s="59">
        <f>IF(($F5*'Jul''14 SP'!J41/'Jul''14 SP'!J42&lt;'Jul''14 SP'!J43),(0),('Bills Jul''14'!$F5*'Jul''14 SP'!J41/'Jul''14 SP'!J42-'Jul''14 SP'!J43)*'Jul''14 SP'!J50/100)*'Jul''14 SP'!J42</f>
        <v>121.14234</v>
      </c>
      <c r="I97" s="59">
        <f>IF(($F5*'Jul''14 SP'!K41/'Jul''14 SP'!K42&lt;'Jul''14 SP'!K43),(0),('Bills Jul''14'!$F5*'Jul''14 SP'!K41/'Jul''14 SP'!K42-'Jul''14 SP'!K43)*'Jul''14 SP'!K50/100)*'Jul''14 SP'!K42</f>
        <v>0</v>
      </c>
      <c r="J97" s="59">
        <f>IF(($F5*'Jul''14 SP'!L41/'Jul''14 SP'!L42&lt;'Jul''14 SP'!L43),(0),('Bills Jul''14'!$F5*'Jul''14 SP'!L41/'Jul''14 SP'!L42-'Jul''14 SP'!L43)*'Jul''14 SP'!L50/100)*'Jul''14 SP'!L42</f>
        <v>129.85192000000001</v>
      </c>
      <c r="K97" s="63"/>
    </row>
    <row r="98" spans="1:11" x14ac:dyDescent="0.15">
      <c r="A98" s="40" t="s">
        <v>612</v>
      </c>
      <c r="C98" s="59">
        <f>365*'Jul''14 SP'!E51/100</f>
        <v>234.27525000000003</v>
      </c>
      <c r="D98" s="59">
        <f>365*'Jul''14 SP'!F51/100</f>
        <v>238.81219999999996</v>
      </c>
      <c r="E98" s="59">
        <f>365*'Jul''14 SP'!G51/100</f>
        <v>238.30631000000002</v>
      </c>
      <c r="F98" s="59">
        <f>365*'Jul''14 SP'!H51/100</f>
        <v>245.83844999999997</v>
      </c>
      <c r="G98" s="59">
        <f>365*'Jul''14 SP'!I51/100</f>
        <v>223.672</v>
      </c>
      <c r="H98" s="59">
        <f>365*'Jul''14 SP'!J51/100</f>
        <v>200.75</v>
      </c>
      <c r="I98" s="59">
        <f>365*'Jul''14 SP'!K51/100</f>
        <v>226.24525000000003</v>
      </c>
      <c r="J98" s="59">
        <f>365*'Jul''14 SP'!L51/100</f>
        <v>212.75485</v>
      </c>
      <c r="K98" s="60">
        <f>AVERAGE(C98:J98)</f>
        <v>227.58178874999999</v>
      </c>
    </row>
    <row r="99" spans="1:11" x14ac:dyDescent="0.15">
      <c r="A99" s="62" t="s">
        <v>613</v>
      </c>
      <c r="B99" s="63"/>
      <c r="C99" s="61">
        <f t="shared" ref="C99:H99" si="7">SUM(C92:C98)</f>
        <v>854.39323200000001</v>
      </c>
      <c r="D99" s="61">
        <f t="shared" si="7"/>
        <v>856.45330100000001</v>
      </c>
      <c r="E99" s="61">
        <f t="shared" si="7"/>
        <v>903.29980400000011</v>
      </c>
      <c r="F99" s="61">
        <f t="shared" si="7"/>
        <v>889.45669999999996</v>
      </c>
      <c r="G99" s="61">
        <f t="shared" si="7"/>
        <v>833.243607</v>
      </c>
      <c r="H99" s="61">
        <f t="shared" si="7"/>
        <v>805.87386000000004</v>
      </c>
      <c r="I99" s="61">
        <f>SUM(I92:I98)</f>
        <v>872.98057000000006</v>
      </c>
      <c r="J99" s="61">
        <f>SUM(J92:J98)</f>
        <v>827.95152000000007</v>
      </c>
      <c r="K99" s="64">
        <f>AVERAGE(C99:J99)</f>
        <v>855.4565742499999</v>
      </c>
    </row>
    <row r="101" spans="1:11" x14ac:dyDescent="0.1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</row>
    <row r="102" spans="1:11" x14ac:dyDescent="0.15">
      <c r="A102" s="53" t="s">
        <v>490</v>
      </c>
      <c r="C102" s="23" t="s">
        <v>1044</v>
      </c>
      <c r="D102" s="23" t="s">
        <v>591</v>
      </c>
      <c r="E102" s="23" t="s">
        <v>592</v>
      </c>
      <c r="F102" s="23" t="s">
        <v>615</v>
      </c>
      <c r="G102" s="23" t="s">
        <v>595</v>
      </c>
      <c r="H102" s="23" t="s">
        <v>596</v>
      </c>
      <c r="I102" s="23" t="s">
        <v>486</v>
      </c>
      <c r="J102" s="23" t="s">
        <v>487</v>
      </c>
    </row>
    <row r="103" spans="1:11" x14ac:dyDescent="0.15">
      <c r="A103" s="40" t="s">
        <v>491</v>
      </c>
      <c r="C103" s="24" t="s">
        <v>534</v>
      </c>
      <c r="D103" s="25" t="s">
        <v>493</v>
      </c>
      <c r="E103" s="25" t="s">
        <v>525</v>
      </c>
      <c r="F103" s="25" t="s">
        <v>494</v>
      </c>
      <c r="G103" s="25" t="s">
        <v>494</v>
      </c>
      <c r="H103" s="25" t="s">
        <v>493</v>
      </c>
      <c r="I103" s="25" t="s">
        <v>493</v>
      </c>
      <c r="J103" s="25" t="s">
        <v>493</v>
      </c>
    </row>
    <row r="104" spans="1:11" x14ac:dyDescent="0.15">
      <c r="A104" s="40" t="s">
        <v>496</v>
      </c>
      <c r="C104" s="25" t="s">
        <v>498</v>
      </c>
      <c r="D104" s="25" t="s">
        <v>497</v>
      </c>
      <c r="E104" s="25" t="s">
        <v>526</v>
      </c>
      <c r="F104" s="25" t="s">
        <v>498</v>
      </c>
      <c r="G104" s="25" t="s">
        <v>498</v>
      </c>
      <c r="H104" s="25" t="s">
        <v>527</v>
      </c>
      <c r="I104" s="25" t="s">
        <v>493</v>
      </c>
      <c r="J104" s="25" t="s">
        <v>493</v>
      </c>
    </row>
    <row r="105" spans="1:11" x14ac:dyDescent="0.15">
      <c r="A105" s="40" t="s">
        <v>499</v>
      </c>
      <c r="C105" s="25" t="s">
        <v>528</v>
      </c>
      <c r="D105" s="37" t="s">
        <v>493</v>
      </c>
      <c r="E105" s="37">
        <v>22</v>
      </c>
      <c r="F105" s="37">
        <v>20</v>
      </c>
      <c r="G105" s="37">
        <v>80</v>
      </c>
      <c r="H105" s="37">
        <v>20</v>
      </c>
      <c r="I105" s="40" t="s">
        <v>493</v>
      </c>
      <c r="J105" s="40" t="s">
        <v>493</v>
      </c>
    </row>
    <row r="106" spans="1:11" x14ac:dyDescent="0.15">
      <c r="A106" s="40" t="s">
        <v>501</v>
      </c>
      <c r="C106" s="25" t="s">
        <v>535</v>
      </c>
      <c r="D106" s="24" t="s">
        <v>536</v>
      </c>
      <c r="E106" s="24" t="s">
        <v>510</v>
      </c>
      <c r="F106" s="24" t="s">
        <v>537</v>
      </c>
      <c r="G106" s="24" t="s">
        <v>505</v>
      </c>
      <c r="H106" s="24" t="s">
        <v>506</v>
      </c>
      <c r="I106" s="24" t="s">
        <v>531</v>
      </c>
      <c r="J106" s="24" t="s">
        <v>532</v>
      </c>
    </row>
    <row r="107" spans="1:11" x14ac:dyDescent="0.15">
      <c r="A107" s="40" t="s">
        <v>511</v>
      </c>
      <c r="C107" s="25" t="s">
        <v>512</v>
      </c>
      <c r="D107" s="25" t="s">
        <v>500</v>
      </c>
      <c r="E107" s="25" t="s">
        <v>494</v>
      </c>
      <c r="F107" s="25" t="s">
        <v>493</v>
      </c>
      <c r="G107" s="25" t="s">
        <v>494</v>
      </c>
      <c r="H107" s="25" t="s">
        <v>500</v>
      </c>
      <c r="I107" s="25" t="s">
        <v>493</v>
      </c>
      <c r="J107" s="25" t="s">
        <v>493</v>
      </c>
    </row>
    <row r="108" spans="1:11" x14ac:dyDescent="0.1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</row>
  </sheetData>
  <sheetProtection algorithmName="SHA-512" hashValue="g8DLHDSEtTvJezS3bw/qNe7YMruRWaoeFE0qy/celthacKsnlvF01Jo9iuBiWS2wvp/Nb37ONgc08N8hBj//qA==" saltValue="CZ+xUQ7WevwpkZavdJECGQ==" spinCount="100000" sheet="1" objects="1" scenarios="1"/>
  <phoneticPr fontId="20" type="noConversion"/>
  <pageMargins left="0.75" right="0.75" top="1" bottom="1" header="0.5" footer="0.5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A1:L108"/>
  <sheetViews>
    <sheetView zoomScale="125" workbookViewId="0">
      <selection activeCell="F5" sqref="F5"/>
    </sheetView>
  </sheetViews>
  <sheetFormatPr baseColWidth="10" defaultColWidth="10.83203125" defaultRowHeight="13" x14ac:dyDescent="0.15"/>
  <cols>
    <col min="1" max="1" width="26.1640625" style="40" customWidth="1"/>
    <col min="2" max="2" width="3.1640625" style="40" customWidth="1"/>
    <col min="3" max="8" width="11.6640625" style="40" customWidth="1"/>
    <col min="9" max="11" width="13.33203125" style="40" customWidth="1"/>
    <col min="12" max="12" width="15" style="40" customWidth="1"/>
    <col min="13" max="16384" width="10.83203125" style="40"/>
  </cols>
  <sheetData>
    <row r="1" spans="1:12" x14ac:dyDescent="0.15">
      <c r="A1" s="48" t="s">
        <v>586</v>
      </c>
    </row>
    <row r="2" spans="1:12" x14ac:dyDescent="0.15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</row>
    <row r="3" spans="1:12" x14ac:dyDescent="0.15">
      <c r="A3" s="52" t="s">
        <v>538</v>
      </c>
    </row>
    <row r="5" spans="1:12" x14ac:dyDescent="0.15">
      <c r="A5" s="53" t="s">
        <v>588</v>
      </c>
      <c r="B5" s="53"/>
      <c r="C5" s="53" t="s">
        <v>1394</v>
      </c>
      <c r="F5" s="66">
        <v>63000</v>
      </c>
    </row>
    <row r="6" spans="1:12" x14ac:dyDescent="0.15">
      <c r="C6" s="54" t="s">
        <v>589</v>
      </c>
    </row>
    <row r="7" spans="1:12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</row>
    <row r="8" spans="1:12" x14ac:dyDescent="0.15">
      <c r="K8" s="23"/>
      <c r="L8" s="58"/>
    </row>
    <row r="9" spans="1:12" x14ac:dyDescent="0.15">
      <c r="A9" s="53" t="s">
        <v>1074</v>
      </c>
      <c r="C9" s="23" t="s">
        <v>1044</v>
      </c>
      <c r="D9" s="23" t="s">
        <v>591</v>
      </c>
      <c r="E9" s="23" t="s">
        <v>592</v>
      </c>
      <c r="F9" s="23" t="s">
        <v>615</v>
      </c>
      <c r="G9" s="23" t="s">
        <v>595</v>
      </c>
      <c r="H9" s="23" t="s">
        <v>596</v>
      </c>
      <c r="I9" s="23" t="s">
        <v>486</v>
      </c>
      <c r="J9" s="23" t="s">
        <v>487</v>
      </c>
      <c r="K9" s="57" t="s">
        <v>601</v>
      </c>
    </row>
    <row r="10" spans="1:12" x14ac:dyDescent="0.15">
      <c r="A10" s="40" t="s">
        <v>602</v>
      </c>
      <c r="C10" s="59">
        <f>IF($F5*'Jan''14 Multi'!E7/'Jan''14 Multi'!E8&gt;='Jan''14 Multi'!E11,('Jan''14 Multi'!E11*'Jan''14 Multi'!E15/100)*'Jan''14 Multi'!E8,($F5*'Jan''14 Multi'!E7/'Jan''14 Multi'!E8*'Jan''14 Multi'!E15/100)*'Jan''14 Multi'!E8)</f>
        <v>196.11900000000003</v>
      </c>
      <c r="D10" s="59">
        <f>IF($F5*'Jan''14 Multi'!F7/'Jan''14 Multi'!F8&gt;='Jan''14 Multi'!F11,('Jan''14 Multi'!F11*'Jan''14 Multi'!F15/100)*'Jan''14 Multi'!F8,($F5*'Jan''14 Multi'!F7/'Jan''14 Multi'!F8*'Jan''14 Multi'!F15/100)*'Jan''14 Multi'!F8)</f>
        <v>397.44000000000005</v>
      </c>
      <c r="E10" s="59">
        <f>IF($F5*'Jan''14 Multi'!G7/'Jan''14 Multi'!G8&gt;='Jan''14 Multi'!G11,('Jan''14 Multi'!G11*'Jan''14 Multi'!G15/100)*'Jan''14 Multi'!G8,($F5*'Jan''14 Multi'!G7/'Jan''14 Multi'!G8*'Jan''14 Multi'!G15/100)*'Jan''14 Multi'!G8)</f>
        <v>195.02999999999997</v>
      </c>
      <c r="F10" s="59">
        <f>IF($F5*'Jan''14 Multi'!H7/'Jan''14 Multi'!H8&gt;='Jan''14 Multi'!H11,('Jan''14 Multi'!H11*'Jan''14 Multi'!H15/100)*'Jan''14 Multi'!H8,($F5*'Jan''14 Multi'!H7/'Jan''14 Multi'!H8*'Jan''14 Multi'!H15/100)*'Jan''14 Multi'!H8)</f>
        <v>434.70000000000005</v>
      </c>
      <c r="G10" s="59">
        <f>IF($F5*'Jan''14 Multi'!I7/'Jan''14 Multi'!I8&gt;='Jan''14 Multi'!I11,('Jan''14 Multi'!I11*'Jan''14 Multi'!I15/100)*'Jan''14 Multi'!I8,($F5*'Jan''14 Multi'!I7/'Jan''14 Multi'!I8*'Jan''14 Multi'!I15/100)*'Jan''14 Multi'!I8)</f>
        <v>376.21800000000002</v>
      </c>
      <c r="H10" s="59">
        <f>IF($F5*'Jan''14 Multi'!J7/'Jan''14 Multi'!J8&gt;='Jan''14 Multi'!J11,('Jan''14 Multi'!J11*'Jan''14 Multi'!J15/100)*'Jan''14 Multi'!J8,($F5*'Jan''14 Multi'!J7/'Jan''14 Multi'!J8*'Jan''14 Multi'!J15/100)*'Jan''14 Multi'!J8)</f>
        <v>380.15999999999997</v>
      </c>
      <c r="I10" s="59">
        <f>IF($F5*'Jan''14 Multi'!K7/'Jan''14 Multi'!K8&gt;='Jan''14 Multi'!K11,('Jan''14 Multi'!K11*'Jan''14 Multi'!K15/100)*'Jan''14 Multi'!K8,($F5*'Jan''14 Multi'!K7/'Jan''14 Multi'!K8*'Jan''14 Multi'!K15/100)*'Jan''14 Multi'!K8)</f>
        <v>189.09</v>
      </c>
      <c r="J10" s="59">
        <f>IF($F5*'Jan''14 Multi'!L7/'Jan''14 Multi'!L8&gt;='Jan''14 Multi'!L11,('Jan''14 Multi'!L11*'Jan''14 Multi'!L15/100)*'Jan''14 Multi'!L8,($F5*'Jan''14 Multi'!L7/'Jan''14 Multi'!L8*'Jan''14 Multi'!L15/100)*'Jan''14 Multi'!L8)</f>
        <v>382.1400000000001</v>
      </c>
      <c r="K10" s="63"/>
    </row>
    <row r="11" spans="1:12" x14ac:dyDescent="0.15">
      <c r="A11" s="40" t="s">
        <v>603</v>
      </c>
      <c r="C11" s="59">
        <f>IF($F5*'Jan''14 Multi'!E7/'Jan''14 Multi'!E8&lt;'Jan''14 Multi'!E11,0,IF($F5*'Jan''14 Multi'!E7/'Jan''14 Multi'!E8&lt;='Jan''14 Multi'!E12,($F5*'Jan''14 Multi'!E7/'Jan''14 Multi'!E8-'Jan''14 Multi'!E11)*('Jan''14 Multi'!E16/100)*'Jan''14 Multi'!E8,('Jan''14 Multi'!E12-'Jan''14 Multi'!E11)*('Jan''14 Multi'!E16/100)*'Jan''14 Multi'!E8))</f>
        <v>170.97300000000001</v>
      </c>
      <c r="D11" s="59">
        <f>IF($F5*'Jan''14 Multi'!F7/'Jan''14 Multi'!F8&lt;'Jan''14 Multi'!F11,0,IF($F5*'Jan''14 Multi'!F7/'Jan''14 Multi'!F8&lt;='Jan''14 Multi'!F12,($F5*'Jan''14 Multi'!F7/'Jan''14 Multi'!F8-'Jan''14 Multi'!F11)*('Jan''14 Multi'!F16/100)*'Jan''14 Multi'!F8,('Jan''14 Multi'!F12-'Jan''14 Multi'!F11)*('Jan''14 Multi'!F16/100)*'Jan''14 Multi'!F8))</f>
        <v>158.00400000000002</v>
      </c>
      <c r="E11" s="59">
        <f>IF($F5*'Jan''14 Multi'!G7/'Jan''14 Multi'!G8&lt;'Jan''14 Multi'!G11,0,IF($F5*'Jan''14 Multi'!G7/'Jan''14 Multi'!G8&lt;='Jan''14 Multi'!G12,($F5*'Jan''14 Multi'!G7/'Jan''14 Multi'!G8-'Jan''14 Multi'!G11)*('Jan''14 Multi'!G16/100)*'Jan''14 Multi'!G8,('Jan''14 Multi'!G12-'Jan''14 Multi'!G11)*('Jan''14 Multi'!G16/100)*'Jan''14 Multi'!G8))</f>
        <v>176.22</v>
      </c>
      <c r="F11" s="59">
        <f>IF($F5*'Jan''14 Multi'!H7/'Jan''14 Multi'!H8&lt;'Jan''14 Multi'!H11,0,IF($F5*'Jan''14 Multi'!H7/'Jan''14 Multi'!H8&lt;='Jan''14 Multi'!H12,($F5*'Jan''14 Multi'!H7/'Jan''14 Multi'!H8-'Jan''14 Multi'!H11)*('Jan''14 Multi'!H16/100)*'Jan''14 Multi'!H8,('Jan''14 Multi'!H12-'Jan''14 Multi'!H11)*('Jan''14 Multi'!H16/100)*'Jan''14 Multi'!H8))</f>
        <v>158.57999999999998</v>
      </c>
      <c r="G11" s="59">
        <f>IF($F5*'Jan''14 Multi'!I7/'Jan''14 Multi'!I8&lt;'Jan''14 Multi'!I11,0,IF($F5*'Jan''14 Multi'!I7/'Jan''14 Multi'!I8&lt;='Jan''14 Multi'!I12,($F5*'Jan''14 Multi'!I7/'Jan''14 Multi'!I8-'Jan''14 Multi'!I11)*('Jan''14 Multi'!I16/100)*'Jan''14 Multi'!I8,('Jan''14 Multi'!I12-'Jan''14 Multi'!I11)*('Jan''14 Multi'!I16/100)*'Jan''14 Multi'!I8))</f>
        <v>151.065</v>
      </c>
      <c r="H11" s="59">
        <f>IF($F5*'Jan''14 Multi'!J7/'Jan''14 Multi'!J8&lt;'Jan''14 Multi'!J11,0,IF($F5*'Jan''14 Multi'!J7/'Jan''14 Multi'!J8&lt;='Jan''14 Multi'!J12,($F5*'Jan''14 Multi'!J7/'Jan''14 Multi'!J8-'Jan''14 Multi'!J11)*('Jan''14 Multi'!J16/100)*'Jan''14 Multi'!J8,('Jan''14 Multi'!J12-'Jan''14 Multi'!J11)*('Jan''14 Multi'!J16/100)*'Jan''14 Multi'!J8))</f>
        <v>160.38</v>
      </c>
      <c r="I11" s="59">
        <f>IF($F5*'Jan''14 Multi'!K7/'Jan''14 Multi'!K8&lt;'Jan''14 Multi'!K11,0,IF($F5*'Jan''14 Multi'!K7/'Jan''14 Multi'!K8&lt;='Jan''14 Multi'!K12,($F5*'Jan''14 Multi'!K7/'Jan''14 Multi'!K8-'Jan''14 Multi'!K11)*('Jan''14 Multi'!K16/100)*'Jan''14 Multi'!K8,('Jan''14 Multi'!K12-'Jan''14 Multi'!K11)*('Jan''14 Multi'!K16/100)*'Jan''14 Multi'!K8))</f>
        <v>165.32999999999998</v>
      </c>
      <c r="J11" s="59">
        <f>IF($F5*'Jan''14 Multi'!L7/'Jan''14 Multi'!L8&lt;'Jan''14 Multi'!L11,0,IF($F5*'Jan''14 Multi'!L7/'Jan''14 Multi'!L8&lt;='Jan''14 Multi'!L12,($F5*'Jan''14 Multi'!L7/'Jan''14 Multi'!L8-'Jan''14 Multi'!L11)*('Jan''14 Multi'!L16/100)*'Jan''14 Multi'!L8,('Jan''14 Multi'!L12-'Jan''14 Multi'!L11)*('Jan''14 Multi'!L16/100)*'Jan''14 Multi'!L8))</f>
        <v>143.54999999999998</v>
      </c>
      <c r="K11" s="63"/>
    </row>
    <row r="12" spans="1:12" x14ac:dyDescent="0.15">
      <c r="A12" s="40" t="s">
        <v>604</v>
      </c>
      <c r="C12" s="59">
        <f>IF($F5*'Jan''14 Multi'!E7/'Jan''14 Multi'!E8&lt;'Jan''14 Multi'!E12,0,IF($F5*'Jan''14 Multi'!E7/'Jan''14 Multi'!E8&lt;='Jan''14 Multi'!E13,($F5*'Jan''14 Multi'!E7/'Jan''14 Multi'!E8-'Jan''14 Multi'!E12)*('Jan''14 Multi'!E17/100)*'Jan''14 Multi'!E8,('Jan''14 Multi'!E13-'Jan''14 Multi'!E12)*('Jan''14 Multi'!E17/100)*'Jan''14 Multi'!E8))</f>
        <v>136.917</v>
      </c>
      <c r="D12" s="59">
        <v>0</v>
      </c>
      <c r="E12" s="59">
        <f>IF($F5*'Jan''14 Multi'!G7/'Jan''14 Multi'!G8&lt;'Jan''14 Multi'!G12,0,IF($F5*'Jan''14 Multi'!G7/'Jan''14 Multi'!G8&lt;='Jan''14 Multi'!G13,($F5*'Jan''14 Multi'!G7/'Jan''14 Multi'!G8-'Jan''14 Multi'!G12)*('Jan''14 Multi'!G17/100)*'Jan''14 Multi'!G8,('Jan''14 Multi'!G13-'Jan''14 Multi'!G12)*('Jan''14 Multi'!G17/100)*'Jan''14 Multi'!G8))</f>
        <v>139.59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63"/>
    </row>
    <row r="13" spans="1:12" x14ac:dyDescent="0.15">
      <c r="A13" s="40" t="s">
        <v>605</v>
      </c>
      <c r="C13" s="59">
        <f>IF($F5*'Jan''14 Multi'!E7/'Jan''14 Multi'!E8&lt;'Jan''14 Multi'!E13,0,IF($F5*'Jan''14 Multi'!E7/'Jan''14 Multi'!E8&lt;='Jan''14 Multi'!E14,($F5*'Jan''14 Multi'!E7/'Jan''14 Multi'!E8-'Jan''14 Multi'!E13)*('Jan''14 Multi'!E18/100)*'Jan''14 Multi'!E8,('Jan''14 Multi'!E14-'Jan''14 Multi'!E13)*('Jan''14 Multi'!E18/100)*'Jan''14 Multi'!E8))</f>
        <v>59.499000000000009</v>
      </c>
      <c r="D13" s="59">
        <v>0</v>
      </c>
      <c r="E13" s="59">
        <f>IF($F5*'Jan''14 Multi'!G7/'Jan''14 Multi'!G8&lt;'Jan''14 Multi'!G13,0,IF($F5*'Jan''14 Multi'!G7/'Jan''14 Multi'!G8&lt;='Jan''14 Multi'!G14,($F5*'Jan''14 Multi'!G7/'Jan''14 Multi'!G8-'Jan''14 Multi'!G13)*('Jan''14 Multi'!G18/100)*'Jan''14 Multi'!G8,('Jan''14 Multi'!G14-'Jan''14 Multi'!G13)*('Jan''14 Multi'!G18/100)*'Jan''14 Multi'!G8))</f>
        <v>64.349999999999994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63"/>
    </row>
    <row r="14" spans="1:12" x14ac:dyDescent="0.15">
      <c r="A14" s="40" t="s">
        <v>606</v>
      </c>
      <c r="C14" s="59">
        <f>IF(($F5*'Jan''14 Multi'!E7/'Jan''14 Multi'!E8&gt;'Jan''14 Multi'!E14),($F5*'Jan''14 Multi'!E7/'Jan''14 Multi'!E8-'Jan''14 Multi'!E14)*'Jan''14 Multi'!E19/100*'Jan''14 Multi'!E8,0)</f>
        <v>0</v>
      </c>
      <c r="D14" s="59">
        <f>IF(($F5*'Jan''14 Multi'!F7/'Jan''14 Multi'!F8&gt;'Jan''14 Multi'!F12),($F5*'Jan''14 Multi'!F7/'Jan''14 Multi'!F8-'Jan''14 Multi'!F12)*'Jan''14 Multi'!F19/100)*'Jan''14 Multi'!F8</f>
        <v>54.0045</v>
      </c>
      <c r="E14" s="59">
        <f>IF(($F5*'Jan''14 Multi'!G7/'Jan''14 Multi'!G8&gt;'Jan''14 Multi'!G14),($F5*'Jan''14 Multi'!G7/'Jan''14 Multi'!G8-'Jan''14 Multi'!G14)*'Jan''14 Multi'!G19/100*'Jan''14 Multi'!G8,0)</f>
        <v>0</v>
      </c>
      <c r="F14" s="59">
        <f>IF(($F5*'Jan''14 Multi'!H7/'Jan''14 Multi'!H8&gt;'Jan''14 Multi'!H12),($F5*'Jan''14 Multi'!H7/'Jan''14 Multi'!H8-'Jan''14 Multi'!H12)*'Jan''14 Multi'!H19/100)*'Jan''14 Multi'!H8</f>
        <v>54.405000000000001</v>
      </c>
      <c r="G14" s="59">
        <f>IF(($F5*'Jan''14 Multi'!I7/'Jan''14 Multi'!I8&gt;'Jan''14 Multi'!I12),($F5*'Jan''14 Multi'!I7/'Jan''14 Multi'!I8-'Jan''14 Multi'!I12)*'Jan''14 Multi'!I19/100)*'Jan''14 Multi'!I8</f>
        <v>67.3065</v>
      </c>
      <c r="H14" s="59">
        <f>IF(($F5*'Jan''14 Multi'!J7/'Jan''14 Multi'!J8&gt;'Jan''14 Multi'!J12),($F5*'Jan''14 Multi'!J7/'Jan''14 Multi'!J8-'Jan''14 Multi'!J12)*'Jan''14 Multi'!J19/100)*'Jan''14 Multi'!J8</f>
        <v>55.44</v>
      </c>
      <c r="I14" s="59">
        <f>IF(($F5*'Jan''14 Multi'!K7/'Jan''14 Multi'!K8&gt;'Jan''14 Multi'!K12),($F5*'Jan''14 Multi'!K7/'Jan''14 Multi'!K8-'Jan''14 Multi'!K12)*'Jan''14 Multi'!K19/100)*'Jan''14 Multi'!K8</f>
        <v>204.93</v>
      </c>
      <c r="J14" s="59">
        <f>IF(($F5*'Jan''14 Multi'!L7/'Jan''14 Multi'!L8&gt;'Jan''14 Multi'!L12),($F5*'Jan''14 Multi'!L7/'Jan''14 Multi'!L8-'Jan''14 Multi'!L12)*'Jan''14 Multi'!L19/100)*'Jan''14 Multi'!L8</f>
        <v>57.42</v>
      </c>
      <c r="K14" s="63"/>
    </row>
    <row r="15" spans="1:12" x14ac:dyDescent="0.15">
      <c r="A15" s="40" t="s">
        <v>607</v>
      </c>
      <c r="C15" s="59">
        <f>IF($F5*'Jan''14 Multi'!E9/'Jan''14 Multi'!E10&gt;='Jan''14 Multi'!E11,('Jan''14 Multi'!E11*'Jan''14 Multi'!E20/100)*'Jan''14 Multi'!E10,($F5*'Jan''14 Multi'!E9/'Jan''14 Multi'!E10*'Jan''14 Multi'!E20/100)*'Jan''14 Multi'!E10)</f>
        <v>186.21899999999999</v>
      </c>
      <c r="D15" s="59">
        <f>IF($F5*'Jan''14 Multi'!F9/'Jan''14 Multi'!F10&gt;='Jan''14 Multi'!F11,('Jan''14 Multi'!F11*'Jan''14 Multi'!F20/100)*'Jan''14 Multi'!F10,($F5*'Jan''14 Multi'!F9/'Jan''14 Multi'!F10*'Jan''14 Multi'!F20/100)*'Jan''14 Multi'!F10)</f>
        <v>357.19200000000001</v>
      </c>
      <c r="E15" s="59">
        <f>IF($F5*'Jan''14 Multi'!G9/'Jan''14 Multi'!G10&gt;='Jan''14 Multi'!G11,('Jan''14 Multi'!G11*'Jan''14 Multi'!G20/100)*'Jan''14 Multi'!G10,($F5*'Jan''14 Multi'!G9/'Jan''14 Multi'!G10*'Jan''14 Multi'!G20/100)*'Jan''14 Multi'!G10)</f>
        <v>187.11000000000004</v>
      </c>
      <c r="F15" s="59">
        <f>IF($F5*'Jan''14 Multi'!H9/'Jan''14 Multi'!H10&gt;='Jan''14 Multi'!H11,('Jan''14 Multi'!H11*'Jan''14 Multi'!H20/100)*'Jan''14 Multi'!H10,($F5*'Jan''14 Multi'!H9/'Jan''14 Multi'!H10*'Jan''14 Multi'!H20/100)*'Jan''14 Multi'!H10)</f>
        <v>404.09999999999997</v>
      </c>
      <c r="G15" s="59">
        <f>IF($F5*'Jan''14 Multi'!I9/'Jan''14 Multi'!I10&gt;='Jan''14 Multi'!I11,('Jan''14 Multi'!I11*'Jan''14 Multi'!I20/100)*'Jan''14 Multi'!I10,($F5*'Jan''14 Multi'!I9/'Jan''14 Multi'!I10*'Jan''14 Multi'!I20/100)*'Jan''14 Multi'!I10)</f>
        <v>357.08399999999995</v>
      </c>
      <c r="H15" s="59">
        <f>IF($F5*'Jan''14 Multi'!J9/'Jan''14 Multi'!J10&gt;='Jan''14 Multi'!J11,('Jan''14 Multi'!J11*'Jan''14 Multi'!J20/100)*'Jan''14 Multi'!J10,($F5*'Jan''14 Multi'!J9/'Jan''14 Multi'!J10*'Jan''14 Multi'!J20/100)*'Jan''14 Multi'!J10)</f>
        <v>352.44</v>
      </c>
      <c r="I15" s="59">
        <f>IF($F5*'Jan''14 Multi'!K9/'Jan''14 Multi'!K10&gt;='Jan''14 Multi'!K11,('Jan''14 Multi'!K11*'Jan''14 Multi'!K20/100)*'Jan''14 Multi'!K10,($F5*'Jan''14 Multi'!K9/'Jan''14 Multi'!K10*'Jan''14 Multi'!K20/100)*'Jan''14 Multi'!K10)</f>
        <v>183.14999999999998</v>
      </c>
      <c r="J15" s="59">
        <f>IF($F5*'Jan''14 Multi'!L9/'Jan''14 Multi'!L10&gt;='Jan''14 Multi'!L11,('Jan''14 Multi'!L11*'Jan''14 Multi'!L20/100)*'Jan''14 Multi'!L10,($F5*'Jan''14 Multi'!L9/'Jan''14 Multi'!L10*'Jan''14 Multi'!L20/100)*'Jan''14 Multi'!L10)</f>
        <v>372.24</v>
      </c>
      <c r="K15" s="63"/>
    </row>
    <row r="16" spans="1:12" x14ac:dyDescent="0.15">
      <c r="A16" s="40" t="s">
        <v>608</v>
      </c>
      <c r="C16" s="59">
        <f>IF($F5*'Jan''14 Multi'!E9/'Jan''14 Multi'!E10&lt;'Jan''14 Multi'!E11,0,IF($F5*'Jan''14 Multi'!E9/'Jan''14 Multi'!E10&lt;='Jan''14 Multi'!E12,($F5*'Jan''14 Multi'!E9/'Jan''14 Multi'!E10-'Jan''14 Multi'!E11)*('Jan''14 Multi'!E21/100)*'Jan''14 Multi'!E10,('Jan''14 Multi'!E12-'Jan''14 Multi'!E11)*('Jan''14 Multi'!E21/100)*'Jan''14 Multi'!E10))</f>
        <v>161.17200000000003</v>
      </c>
      <c r="D16" s="59">
        <f>IF($F5*'Jan''14 Multi'!F9/'Jan''14 Multi'!F10&lt;'Jan''14 Multi'!F11,0,IF($F5*'Jan''14 Multi'!F9/'Jan''14 Multi'!F10&lt;='Jan''14 Multi'!F12,($F5*'Jan''14 Multi'!F9/'Jan''14 Multi'!F10-'Jan''14 Multi'!F11)*('Jan''14 Multi'!F21/100)*'Jan''14 Multi'!F10,('Jan''14 Multi'!F12-'Jan''14 Multi'!F11)*('Jan''14 Multi'!F21/100)*'Jan''14 Multi'!F10))</f>
        <v>136.22399999999999</v>
      </c>
      <c r="E16" s="59">
        <f>IF($F5*'Jan''14 Multi'!G9/'Jan''14 Multi'!G10&lt;'Jan''14 Multi'!G11,0,IF($F5*'Jan''14 Multi'!G9/'Jan''14 Multi'!G10&lt;='Jan''14 Multi'!G12,($F5*'Jan''14 Multi'!G9/'Jan''14 Multi'!G10-'Jan''14 Multi'!G11)*('Jan''14 Multi'!G21/100)*'Jan''14 Multi'!G10,('Jan''14 Multi'!G12-'Jan''14 Multi'!G11)*('Jan''14 Multi'!G21/100)*'Jan''14 Multi'!G10))</f>
        <v>170.28</v>
      </c>
      <c r="F16" s="59">
        <f>IF($F5*'Jan''14 Multi'!H9/'Jan''14 Multi'!H10&lt;'Jan''14 Multi'!H11,0,IF($F5*'Jan''14 Multi'!H9/'Jan''14 Multi'!H10&lt;='Jan''14 Multi'!H12,($F5*'Jan''14 Multi'!H9/'Jan''14 Multi'!H10-'Jan''14 Multi'!H11)*('Jan''14 Multi'!H21/100)*'Jan''14 Multi'!H10,('Jan''14 Multi'!H12-'Jan''14 Multi'!H11)*('Jan''14 Multi'!H21/100)*'Jan''14 Multi'!H10))</f>
        <v>137.70000000000002</v>
      </c>
      <c r="G16" s="59">
        <f>IF($F5*'Jan''14 Multi'!I9/'Jan''14 Multi'!I10&lt;'Jan''14 Multi'!I11,0,IF($F5*'Jan''14 Multi'!I9/'Jan''14 Multi'!I10&lt;='Jan''14 Multi'!I12,($F5*'Jan''14 Multi'!I9/'Jan''14 Multi'!I10-'Jan''14 Multi'!I11)*('Jan''14 Multi'!I21/100)*'Jan''14 Multi'!I10,('Jan''14 Multi'!I12-'Jan''14 Multi'!I11)*('Jan''14 Multi'!I21/100)*'Jan''14 Multi'!I10))</f>
        <v>143.23499999999999</v>
      </c>
      <c r="H16" s="59">
        <f>IF($F5*'Jan''14 Multi'!J9/'Jan''14 Multi'!J10&lt;'Jan''14 Multi'!J11,0,IF($F5*'Jan''14 Multi'!J9/'Jan''14 Multi'!J10&lt;='Jan''14 Multi'!J12,($F5*'Jan''14 Multi'!J9/'Jan''14 Multi'!J10-'Jan''14 Multi'!J11)*('Jan''14 Multi'!J21/100)*'Jan''14 Multi'!J10,('Jan''14 Multi'!J12-'Jan''14 Multi'!J11)*('Jan''14 Multi'!J21/100)*'Jan''14 Multi'!J10))</f>
        <v>123.75</v>
      </c>
      <c r="I16" s="59">
        <f>IF($F5*'Jan''14 Multi'!K9/'Jan''14 Multi'!K10&lt;'Jan''14 Multi'!K11,0,IF($F5*'Jan''14 Multi'!K9/'Jan''14 Multi'!K10&lt;='Jan''14 Multi'!K12,($F5*'Jan''14 Multi'!K9/'Jan''14 Multi'!K10-'Jan''14 Multi'!K11)*('Jan''14 Multi'!K21/100)*'Jan''14 Multi'!K10,('Jan''14 Multi'!K12-'Jan''14 Multi'!K11)*('Jan''14 Multi'!K21/100)*'Jan''14 Multi'!K10))</f>
        <v>161.36999999999998</v>
      </c>
      <c r="J16" s="59">
        <f>IF($F5*'Jan''14 Multi'!L9/'Jan''14 Multi'!L10&lt;'Jan''14 Multi'!L11,0,IF($F5*'Jan''14 Multi'!L9/'Jan''14 Multi'!L10&lt;='Jan''14 Multi'!L12,($F5*'Jan''14 Multi'!L9/'Jan''14 Multi'!L10-'Jan''14 Multi'!L11)*('Jan''14 Multi'!L21/100)*'Jan''14 Multi'!L10,('Jan''14 Multi'!L12-'Jan''14 Multi'!L11)*('Jan''14 Multi'!L21/100)*'Jan''14 Multi'!L10))</f>
        <v>137.60999999999999</v>
      </c>
      <c r="K16" s="63"/>
    </row>
    <row r="17" spans="1:11" x14ac:dyDescent="0.15">
      <c r="A17" s="40" t="s">
        <v>609</v>
      </c>
      <c r="C17" s="59">
        <f>IF($F5*'Jan''14 Multi'!E9/'Jan''14 Multi'!E10&lt;'Jan''14 Multi'!E12,0,IF($F5*'Jan''14 Multi'!E9/'Jan''14 Multi'!E10&lt;='Jan''14 Multi'!E13,($F5*'Jan''14 Multi'!E9/'Jan''14 Multi'!E10-'Jan''14 Multi'!E12)*('Jan''14 Multi'!E22/100)*'Jan''14 Multi'!E10,('Jan''14 Multi'!E13-'Jan''14 Multi'!E12)*('Jan''14 Multi'!E22/100)*'Jan''14 Multi'!E10))</f>
        <v>132.95699999999999</v>
      </c>
      <c r="D17" s="59">
        <v>0</v>
      </c>
      <c r="E17" s="59">
        <f>IF($F5*'Jan''14 Multi'!G9/'Jan''14 Multi'!G10&lt;'Jan''14 Multi'!G12,0,IF($F5*'Jan''14 Multi'!G9/'Jan''14 Multi'!G10&lt;='Jan''14 Multi'!G13,($F5*'Jan''14 Multi'!G9/'Jan''14 Multi'!G10-'Jan''14 Multi'!G12)*('Jan''14 Multi'!G22/100)*'Jan''14 Multi'!G10,('Jan''14 Multi'!G13-'Jan''14 Multi'!G12)*('Jan''14 Multi'!G22/100)*'Jan''14 Multi'!G10))</f>
        <v>136.62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63"/>
    </row>
    <row r="18" spans="1:11" x14ac:dyDescent="0.15">
      <c r="A18" s="40" t="s">
        <v>610</v>
      </c>
      <c r="C18" s="59">
        <f>IF($F5*'Jan''14 Multi'!E9/'Jan''14 Multi'!E10&lt;'Jan''14 Multi'!E13,0,IF($F5*'Jan''14 Multi'!E9/'Jan''14 Multi'!E10&lt;='Jan''14 Multi'!E14,($F5*'Jan''14 Multi'!E9/'Jan''14 Multi'!E10-'Jan''14 Multi'!E13)*('Jan''14 Multi'!E23/100)*'Jan''14 Multi'!E10,('Jan''14 Multi'!E14-'Jan''14 Multi'!E13)*('Jan''14 Multi'!E23/100)*'Jan''14 Multi'!E10))</f>
        <v>58.706999999999994</v>
      </c>
      <c r="D18" s="59">
        <v>0</v>
      </c>
      <c r="E18" s="59">
        <f>IF($F5*'Jan''14 Multi'!G9/'Jan''14 Multi'!G10&lt;'Jan''14 Multi'!G13,0,IF($F5*'Jan''14 Multi'!G9/'Jan''14 Multi'!G10&lt;='Jan''14 Multi'!G14,($F5*'Jan''14 Multi'!G9/'Jan''14 Multi'!G10-'Jan''14 Multi'!G13)*('Jan''14 Multi'!G23/100)*'Jan''14 Multi'!G10,('Jan''14 Multi'!G14-'Jan''14 Multi'!G13)*('Jan''14 Multi'!G23/100)*'Jan''14 Multi'!G10))</f>
        <v>60.390000000000008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63"/>
    </row>
    <row r="19" spans="1:11" x14ac:dyDescent="0.15">
      <c r="A19" s="40" t="s">
        <v>611</v>
      </c>
      <c r="C19" s="59">
        <f>IF(($F5*'Jan''14 Multi'!E9/'Jan''14 Multi'!E10&gt;'Jan''14 Multi'!E14),($F5*'Jan''14 Multi'!E9/'Jan''14 Multi'!E10-'Jan''14 Multi'!E14)*'Jan''14 Multi'!E24/100*'Jan''14 Multi'!E10,0)</f>
        <v>0</v>
      </c>
      <c r="D19" s="59">
        <f>IF(($F5*'Jan''14 Multi'!F9/'Jan''14 Multi'!F10&gt;'Jan''14 Multi'!F12),($F5*'Jan''14 Multi'!F9/'Jan''14 Multi'!F10-'Jan''14 Multi'!F12)*'Jan''14 Multi'!F24/100)*'Jan''14 Multi'!F10</f>
        <v>50.292000000000002</v>
      </c>
      <c r="E19" s="59">
        <f>IF(($F5*'Jan''14 Multi'!G9/'Jan''14 Multi'!G10&gt;'Jan''14 Multi'!G14),($F5*'Jan''14 Multi'!G9/'Jan''14 Multi'!G10-'Jan''14 Multi'!G14)*'Jan''14 Multi'!G24/100*'Jan''14 Multi'!G10,0)</f>
        <v>0</v>
      </c>
      <c r="F19" s="59">
        <f>IF(($F5*'Jan''14 Multi'!H9/'Jan''14 Multi'!H10&gt;'Jan''14 Multi'!H12),($F5*'Jan''14 Multi'!H9/'Jan''14 Multi'!H10-'Jan''14 Multi'!H12)*'Jan''14 Multi'!H24/100)*'Jan''14 Multi'!H10</f>
        <v>51.39</v>
      </c>
      <c r="G19" s="59">
        <f>IF(($F5*'Jan''14 Multi'!I9/'Jan''14 Multi'!I10&gt;'Jan''14 Multi'!I12),($F5*'Jan''14 Multi'!I9/'Jan''14 Multi'!I10-'Jan''14 Multi'!I12)*'Jan''14 Multi'!I24/100)*'Jan''14 Multi'!I10</f>
        <v>64.480499999999992</v>
      </c>
      <c r="H19" s="59">
        <f>IF(($F5*'Jan''14 Multi'!J9/'Jan''14 Multi'!J10&gt;'Jan''14 Multi'!J12),($F5*'Jan''14 Multi'!J9/'Jan''14 Multi'!J10-'Jan''14 Multi'!J12)*'Jan''14 Multi'!J24/100)*'Jan''14 Multi'!J10</f>
        <v>53.954999999999998</v>
      </c>
      <c r="I19" s="59">
        <f>IF(($F5*'Jan''14 Multi'!K9/'Jan''14 Multi'!K10&gt;'Jan''14 Multi'!K12),($F5*'Jan''14 Multi'!K9/'Jan''14 Multi'!K10-'Jan''14 Multi'!K12)*'Jan''14 Multi'!K24/100)*'Jan''14 Multi'!K10</f>
        <v>203.44499999999999</v>
      </c>
      <c r="J19" s="59">
        <f>IF(($F5*'Jan''14 Multi'!L9/'Jan''14 Multi'!L10&gt;'Jan''14 Multi'!L12),($F5*'Jan''14 Multi'!L9/'Jan''14 Multi'!L10-'Jan''14 Multi'!L12)*'Jan''14 Multi'!L24/100)*'Jan''14 Multi'!L10</f>
        <v>53.954999999999998</v>
      </c>
      <c r="K19" s="63"/>
    </row>
    <row r="20" spans="1:11" x14ac:dyDescent="0.15">
      <c r="A20" s="40" t="s">
        <v>612</v>
      </c>
      <c r="C20" s="59">
        <f>365*'Jan''14 Multi'!E25/100</f>
        <v>244.99529999999999</v>
      </c>
      <c r="D20" s="59">
        <f>365*'Jan''14 Multi'!F25/100</f>
        <v>243.50975000000003</v>
      </c>
      <c r="E20" s="59">
        <f>365*'Jan''14 Multi'!G25/100</f>
        <v>260.97500000000002</v>
      </c>
      <c r="F20" s="59">
        <f>365*'Jan''14 Multi'!H25/100</f>
        <v>275.00559999999996</v>
      </c>
      <c r="G20" s="59">
        <f>365*'Jan''14 Multi'!I25/100</f>
        <v>250.9375</v>
      </c>
      <c r="H20" s="59">
        <f>365*'Jan''14 Multi'!J25/100</f>
        <v>210.78749999999999</v>
      </c>
      <c r="I20" s="59">
        <f>365*'Jan''14 Multi'!K25/100</f>
        <v>236.84484999999998</v>
      </c>
      <c r="J20" s="59">
        <f>365*'Jan''14 Multi'!L25/100</f>
        <v>212.75485</v>
      </c>
      <c r="K20" s="60">
        <f>AVERAGE(C20:J20)</f>
        <v>241.97629375</v>
      </c>
    </row>
    <row r="21" spans="1:11" x14ac:dyDescent="0.15">
      <c r="A21" s="62" t="s">
        <v>613</v>
      </c>
      <c r="B21" s="63"/>
      <c r="C21" s="61">
        <f t="shared" ref="C21:H21" si="0">SUM(C10:C20)</f>
        <v>1347.5583000000001</v>
      </c>
      <c r="D21" s="61">
        <f t="shared" si="0"/>
        <v>1396.66625</v>
      </c>
      <c r="E21" s="61">
        <f t="shared" si="0"/>
        <v>1390.5650000000001</v>
      </c>
      <c r="F21" s="61">
        <f t="shared" si="0"/>
        <v>1515.8806</v>
      </c>
      <c r="G21" s="61">
        <f t="shared" si="0"/>
        <v>1410.3264999999999</v>
      </c>
      <c r="H21" s="61">
        <f t="shared" si="0"/>
        <v>1336.9124999999999</v>
      </c>
      <c r="I21" s="61">
        <f>SUM(I10:I20)</f>
        <v>1344.1598499999998</v>
      </c>
      <c r="J21" s="61">
        <f>SUM(J10:J20)</f>
        <v>1359.66985</v>
      </c>
      <c r="K21" s="64">
        <f>AVERAGE(C21:J21)</f>
        <v>1387.71735625</v>
      </c>
    </row>
    <row r="23" spans="1:11" x14ac:dyDescent="0.15">
      <c r="A23" s="53" t="s">
        <v>1076</v>
      </c>
      <c r="C23" s="23" t="s">
        <v>1044</v>
      </c>
      <c r="D23" s="23" t="s">
        <v>591</v>
      </c>
      <c r="E23" s="23" t="s">
        <v>592</v>
      </c>
      <c r="F23" s="23" t="s">
        <v>615</v>
      </c>
      <c r="G23" s="23" t="s">
        <v>515</v>
      </c>
      <c r="H23" s="23" t="s">
        <v>516</v>
      </c>
      <c r="I23" s="23" t="s">
        <v>597</v>
      </c>
      <c r="J23" s="23" t="s">
        <v>598</v>
      </c>
      <c r="K23" s="57" t="s">
        <v>601</v>
      </c>
    </row>
    <row r="24" spans="1:11" x14ac:dyDescent="0.15">
      <c r="A24" s="40" t="s">
        <v>602</v>
      </c>
      <c r="C24" s="59">
        <f>IF($F5*'Jan''14 Multi'!E29/'Jan''14 Multi'!E30&gt;='Jan''14 Multi'!E33,('Jan''14 Multi'!E33*'Jan''14 Multi'!E37/100)*'Jan''14 Multi'!E30,($F5*'Jan''14 Multi'!E29/'Jan''14 Multi'!E30*'Jan''14 Multi'!E37/100)*'Jan''14 Multi'!E30)</f>
        <v>199.48500000000001</v>
      </c>
      <c r="D24" s="59">
        <f>IF($F5*'Jan''14 Multi'!F29/'Jan''14 Multi'!F30&gt;='Jan''14 Multi'!F33,('Jan''14 Multi'!F33*'Jan''14 Multi'!F37/100)*'Jan''14 Multi'!F30,('Bills Jan''14'!$F5*'Jan''14 Multi'!F29/'Jan''14 Multi'!F30*'Jan''14 Multi'!F37/100)*'Jan''14 Multi'!F30)</f>
        <v>228.459</v>
      </c>
      <c r="E24" s="59">
        <f>IF($F5*'Jan''14 Multi'!G29/'Jan''14 Multi'!G30&gt;='Jan''14 Multi'!G33,('Jan''14 Multi'!G33*'Jan''14 Multi'!G37/100)*'Jan''14 Multi'!G30,($F5*'Jan''14 Multi'!G29/'Jan''14 Multi'!G30*'Jan''14 Multi'!G37/100)*'Jan''14 Multi'!G30)</f>
        <v>193.04999999999998</v>
      </c>
      <c r="F24" s="59">
        <f>IF($F5*'Jan''14 Multi'!H29/'Jan''14 Multi'!H30&gt;='Jan''14 Multi'!H33,('Jan''14 Multi'!H33*'Jan''14 Multi'!H37/100)*'Jan''14 Multi'!H30,('Bills Jan''14'!$F5*'Jan''14 Multi'!H29/'Jan''14 Multi'!H30*'Jan''14 Multi'!H37/100)*'Jan''14 Multi'!H30)</f>
        <v>151.9</v>
      </c>
      <c r="G24" s="59">
        <f>IF($F5*'Jan''14 Multi'!I29/'Jan''14 Multi'!I30&gt;='Jan''14 Multi'!I33,('Jan''14 Multi'!I33*'Jan''14 Multi'!I37/100)*'Jan''14 Multi'!I30,('Bills Jan''14'!$F5*'Jan''14 Multi'!I29/'Jan''14 Multi'!I30*'Jan''14 Multi'!I37/100)*'Jan''14 Multi'!I30)</f>
        <v>219.45</v>
      </c>
      <c r="H24" s="59">
        <f>IF($F5*'Jan''14 Multi'!J29/'Jan''14 Multi'!J30&gt;='Jan''14 Multi'!J33,('Jan''14 Multi'!J33*'Jan''14 Multi'!J37/100)*'Jan''14 Multi'!J30,('Bills Jan''14'!$F5*'Jan''14 Multi'!J29/'Jan''14 Multi'!J30*'Jan''14 Multi'!J37/100)*'Jan''14 Multi'!J30)</f>
        <v>209.05500000000001</v>
      </c>
      <c r="I24" s="59">
        <f>IF($F5*'Jan''14 Multi'!K29/'Jan''14 Multi'!K30&gt;='Jan''14 Multi'!K33,('Jan''14 Multi'!K33*'Jan''14 Multi'!K37/100)*'Jan''14 Multi'!K30,('Bills Jan''14'!$F5*'Jan''14 Multi'!K29/'Jan''14 Multi'!K30*'Jan''14 Multi'!K37/100)*'Jan''14 Multi'!K30)</f>
        <v>196.02</v>
      </c>
      <c r="J24" s="59">
        <f>IF($F5*'Jan''14 Multi'!L29/'Jan''14 Multi'!L30&gt;='Jan''14 Multi'!L33,('Jan''14 Multi'!L33*'Jan''14 Multi'!L37/100)*'Jan''14 Multi'!L30,('Bills Jan''14'!$F5*'Jan''14 Multi'!L29/'Jan''14 Multi'!L30*'Jan''14 Multi'!L37/100)*'Jan''14 Multi'!L30)</f>
        <v>212.52</v>
      </c>
      <c r="K24" s="63"/>
    </row>
    <row r="25" spans="1:11" x14ac:dyDescent="0.15">
      <c r="A25" s="40" t="s">
        <v>603</v>
      </c>
      <c r="C25" s="59">
        <f>IF($F5*'Jan''14 Multi'!E29/'Jan''14 Multi'!E30&lt;'Jan''14 Multi'!E33,0,IF($F5*'Jan''14 Multi'!E29/'Jan''14 Multi'!E30&lt;='Jan''14 Multi'!E34,($F5*'Jan''14 Multi'!E29/'Jan''14 Multi'!E30-'Jan''14 Multi'!E33)*('Jan''14 Multi'!E38/100)*'Jan''14 Multi'!E30,('Jan''14 Multi'!E34-'Jan''14 Multi'!E33)*('Jan''14 Multi'!E38/100)*'Jan''14 Multi'!E30))</f>
        <v>173.745</v>
      </c>
      <c r="D25" s="59">
        <v>0</v>
      </c>
      <c r="E25" s="59">
        <f>IF($F5*'Jan''14 Multi'!G29/'Jan''14 Multi'!G30&lt;'Jan''14 Multi'!G33,0,IF($F5*'Jan''14 Multi'!G29/'Jan''14 Multi'!G30&lt;='Jan''14 Multi'!G34,($F5*'Jan''14 Multi'!G29/'Jan''14 Multi'!G30-'Jan''14 Multi'!G33)*('Jan''14 Multi'!G38/100)*'Jan''14 Multi'!G30,('Jan''14 Multi'!G34-'Jan''14 Multi'!G33)*('Jan''14 Multi'!G38/100)*'Jan''14 Multi'!G30))</f>
        <v>177.21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63"/>
    </row>
    <row r="26" spans="1:11" x14ac:dyDescent="0.15">
      <c r="A26" s="40" t="s">
        <v>604</v>
      </c>
      <c r="C26" s="59">
        <f>IF($F5*'Jan''14 Multi'!E29/'Jan''14 Multi'!E30&lt;'Jan''14 Multi'!E34,0,IF($F5*'Jan''14 Multi'!E29/'Jan''14 Multi'!E30&lt;='Jan''14 Multi'!E35,($F5*'Jan''14 Multi'!E29/'Jan''14 Multi'!E30-'Jan''14 Multi'!E34)*('Jan''14 Multi'!E39/100)*'Jan''14 Multi'!E30,('Jan''14 Multi'!E35-'Jan''14 Multi'!E34)*('Jan''14 Multi'!E39/100)*'Jan''14 Multi'!E30))</f>
        <v>142.65900000000002</v>
      </c>
      <c r="D26" s="59">
        <v>0</v>
      </c>
      <c r="E26" s="59">
        <f>IF($F5*'Jan''14 Multi'!G29/'Jan''14 Multi'!G30&lt;'Jan''14 Multi'!G34,0,IF($F5*'Jan''14 Multi'!G29/'Jan''14 Multi'!G30&lt;='Jan''14 Multi'!G35,($F5*'Jan''14 Multi'!G29/'Jan''14 Multi'!G30-'Jan''14 Multi'!G34)*('Jan''14 Multi'!G39/100)*'Jan''14 Multi'!G30,('Jan''14 Multi'!G35-'Jan''14 Multi'!G34)*('Jan''14 Multi'!G39/100)*'Jan''14 Multi'!G30))</f>
        <v>154.44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63"/>
    </row>
    <row r="27" spans="1:11" x14ac:dyDescent="0.15">
      <c r="A27" s="40" t="s">
        <v>605</v>
      </c>
      <c r="C27" s="59">
        <f>IF($F5*'Jan''14 Multi'!E29/'Jan''14 Multi'!E30&lt;'Jan''14 Multi'!E35,0,IF($F5*'Jan''14 Multi'!E29/'Jan''14 Multi'!E30&lt;='Jan''14 Multi'!E36,($F5*'Jan''14 Multi'!E29/'Jan''14 Multi'!E30-'Jan''14 Multi'!E35)*('Jan''14 Multi'!E40/100)*'Jan''14 Multi'!E30,('Jan''14 Multi'!E36-'Jan''14 Multi'!E35)*('Jan''14 Multi'!E40/100)*'Jan''14 Multi'!E30))</f>
        <v>65.141999999999996</v>
      </c>
      <c r="D27" s="59">
        <v>0</v>
      </c>
      <c r="E27" s="59">
        <f>IF($F5*'Jan''14 Multi'!G29/'Jan''14 Multi'!G30&lt;'Jan''14 Multi'!G35,0,IF($F5*'Jan''14 Multi'!G29/'Jan''14 Multi'!G30&lt;='Jan''14 Multi'!G36,($F5*'Jan''14 Multi'!G29/'Jan''14 Multi'!G30-'Jan''14 Multi'!G35)*('Jan''14 Multi'!G40/100)*'Jan''14 Multi'!G30,('Jan''14 Multi'!G36-'Jan''14 Multi'!G35)*('Jan''14 Multi'!G40/100)*'Jan''14 Multi'!G30))</f>
        <v>69.795000000000002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63"/>
    </row>
    <row r="28" spans="1:11" x14ac:dyDescent="0.15">
      <c r="A28" s="40" t="s">
        <v>606</v>
      </c>
      <c r="C28" s="59">
        <f>IF(($F5*'Jan''14 Multi'!E29/'Jan''14 Multi'!E30&gt;'Jan''14 Multi'!E36),($F5*'Jan''14 Multi'!E29/'Jan''14 Multi'!E30-'Jan''14 Multi'!E36)*'Jan''14 Multi'!E41/100*'Jan''14 Multi'!E30,0)</f>
        <v>0</v>
      </c>
      <c r="D28" s="59">
        <f>IF(($F5*'Jan''14 Multi'!F29/'Jan''14 Multi'!F30&gt;'Jan''14 Multi'!F33),('Bills Jan''14'!$F5*'Jan''14 Multi'!F29/'Jan''14 Multi'!F30-'Jan''14 Multi'!F33)*'Jan''14 Multi'!F41/100)*'Jan''14 Multi'!F30</f>
        <v>366.13499999999999</v>
      </c>
      <c r="E28" s="59">
        <f>IF(($F5*'Jan''14 Multi'!G29/'Jan''14 Multi'!G30&gt;'Jan''14 Multi'!G36),($F5*'Jan''14 Multi'!G29/'Jan''14 Multi'!G30-'Jan''14 Multi'!G36)*'Jan''14 Multi'!G41/100*'Jan''14 Multi'!G30,0)</f>
        <v>0</v>
      </c>
      <c r="F28" s="59">
        <f>IF(($F5*'Jan''14 Multi'!H29/'Jan''14 Multi'!H30&gt;'Jan''14 Multi'!H33),('Bills Jan''14'!$F5*'Jan''14 Multi'!H29/'Jan''14 Multi'!H30-'Jan''14 Multi'!H33)*'Jan''14 Multi'!H41/100)*'Jan''14 Multi'!H30</f>
        <v>262.32064599999995</v>
      </c>
      <c r="G28" s="59">
        <f>IF(($F5*'Jan''14 Multi'!I29/'Jan''14 Multi'!I30&gt;'Jan''14 Multi'!I33),('Bills Jan''14'!$F5*'Jan''14 Multi'!I29/'Jan''14 Multi'!I30-'Jan''14 Multi'!I33)*'Jan''14 Multi'!I41/100)*'Jan''14 Multi'!I30</f>
        <v>376.572</v>
      </c>
      <c r="H28" s="59">
        <f>IF(($F5*'Jan''14 Multi'!J29/'Jan''14 Multi'!J30&gt;'Jan''14 Multi'!J33),('Bills Jan''14'!$F5*'Jan''14 Multi'!J29/'Jan''14 Multi'!J30-'Jan''14 Multi'!J33)*'Jan''14 Multi'!J41/100)*'Jan''14 Multi'!J30</f>
        <v>364.98</v>
      </c>
      <c r="I28" s="59">
        <f>IF(($F5*'Jan''14 Multi'!K29/'Jan''14 Multi'!K30&gt;'Jan''14 Multi'!K33),('Bills Jan''14'!$F5*'Jan''14 Multi'!K29/'Jan''14 Multi'!K30-'Jan''14 Multi'!K33)*'Jan''14 Multi'!K41/100)*'Jan''14 Multi'!K30</f>
        <v>376.20000000000005</v>
      </c>
      <c r="J28" s="59">
        <f>IF(($F5*'Jan''14 Multi'!L29/'Jan''14 Multi'!L30&gt;'Jan''14 Multi'!L33),('Bills Jan''14'!$F5*'Jan''14 Multi'!L29/'Jan''14 Multi'!L30-'Jan''14 Multi'!L33)*'Jan''14 Multi'!L41/100)*'Jan''14 Multi'!L30</f>
        <v>353.43</v>
      </c>
      <c r="K28" s="63"/>
    </row>
    <row r="29" spans="1:11" x14ac:dyDescent="0.15">
      <c r="A29" s="40" t="s">
        <v>607</v>
      </c>
      <c r="C29" s="59">
        <f>IF($F5*'Jan''14 Multi'!E31/'Jan''14 Multi'!E32&gt;='Jan''14 Multi'!E33,('Jan''14 Multi'!E33*'Jan''14 Multi'!E42/100)*'Jan''14 Multi'!E32,($F5*'Jan''14 Multi'!E31/'Jan''14 Multi'!E32*'Jan''14 Multi'!E42/100)*'Jan''14 Multi'!E32)</f>
        <v>186.71400000000006</v>
      </c>
      <c r="D29" s="59">
        <f>IF($F5*'Jan''14 Multi'!F31/'Jan''14 Multi'!F32&gt;='Jan''14 Multi'!F33,('Jan''14 Multi'!F33*'Jan''14 Multi'!F42/100)*'Jan''14 Multi'!F32,('Bills Jan''14'!$F5*'Jan''14 Multi'!F31/'Jan''14 Multi'!F32*'Jan''14 Multi'!F42/100)*'Jan''14 Multi'!F32)</f>
        <v>206.86049999999997</v>
      </c>
      <c r="E29" s="59">
        <f>IF($F5*'Jan''14 Multi'!G31/'Jan''14 Multi'!G32&gt;='Jan''14 Multi'!G33,('Jan''14 Multi'!G33*'Jan''14 Multi'!G42/100)*'Jan''14 Multi'!G32,($F5*'Jan''14 Multi'!G31/'Jan''14 Multi'!G32*'Jan''14 Multi'!G42/100)*'Jan''14 Multi'!G32)</f>
        <v>169.29</v>
      </c>
      <c r="F29" s="59">
        <f>IF($F5*'Jan''14 Multi'!H31/'Jan''14 Multi'!H32&gt;='Jan''14 Multi'!H33,('Jan''14 Multi'!H33*'Jan''14 Multi'!H42/100)*'Jan''14 Multi'!H32,('Bills Jan''14'!$F5*'Jan''14 Multi'!H31/'Jan''14 Multi'!H32*'Jan''14 Multi'!H42/100)*'Jan''14 Multi'!H32)</f>
        <v>293.02</v>
      </c>
      <c r="G29" s="59">
        <f>IF($F5*'Jan''14 Multi'!I31/'Jan''14 Multi'!I32&gt;='Jan''14 Multi'!I33,('Jan''14 Multi'!I33*'Jan''14 Multi'!I42/100)*'Jan''14 Multi'!I32,('Bills Jan''14'!$F5*'Jan''14 Multi'!I31/'Jan''14 Multi'!I32*'Jan''14 Multi'!I42/100)*'Jan''14 Multi'!I32)</f>
        <v>206.03099999999998</v>
      </c>
      <c r="H29" s="59">
        <f>IF($F5*'Jan''14 Multi'!J31/'Jan''14 Multi'!J32&gt;='Jan''14 Multi'!J33,('Jan''14 Multi'!J33*'Jan''14 Multi'!J42/100)*'Jan''14 Multi'!J32,('Bills Jan''14'!$F5*'Jan''14 Multi'!J31/'Jan''14 Multi'!J32*'Jan''14 Multi'!J42/100)*'Jan''14 Multi'!J32)</f>
        <v>197.505</v>
      </c>
      <c r="I29" s="59">
        <f>IF($F5*'Jan''14 Multi'!K31/'Jan''14 Multi'!K32&gt;='Jan''14 Multi'!K33,('Jan''14 Multi'!K33*'Jan''14 Multi'!K42/100)*'Jan''14 Multi'!K32,('Bills Jan''14'!$F5*'Jan''14 Multi'!K31/'Jan''14 Multi'!K32*'Jan''14 Multi'!K42/100)*'Jan''14 Multi'!K32)</f>
        <v>192.06</v>
      </c>
      <c r="J29" s="59">
        <f>IF($F5*'Jan''14 Multi'!L31/'Jan''14 Multi'!L32&gt;='Jan''14 Multi'!L33,('Jan''14 Multi'!L33*'Jan''14 Multi'!L42/100)*'Jan''14 Multi'!L32,('Bills Jan''14'!$F5*'Jan''14 Multi'!L31/'Jan''14 Multi'!L32*'Jan''14 Multi'!L42/100)*'Jan''14 Multi'!L32)</f>
        <v>204.435</v>
      </c>
      <c r="K29" s="63"/>
    </row>
    <row r="30" spans="1:11" x14ac:dyDescent="0.15">
      <c r="A30" s="40" t="s">
        <v>608</v>
      </c>
      <c r="C30" s="59">
        <f>IF($F5*'Jan''14 Multi'!E31/'Jan''14 Multi'!E32&lt;'Jan''14 Multi'!E33,0,IF($F5*'Jan''14 Multi'!E31/'Jan''14 Multi'!E32&lt;='Jan''14 Multi'!E34,($F5*'Jan''14 Multi'!E31/'Jan''14 Multi'!E32-'Jan''14 Multi'!E33)*('Jan''14 Multi'!E43/100)*'Jan''14 Multi'!E32,('Jan''14 Multi'!E34-'Jan''14 Multi'!E33)*('Jan''14 Multi'!E43/100)*'Jan''14 Multi'!E32))</f>
        <v>165.52799999999999</v>
      </c>
      <c r="D30" s="59">
        <v>0</v>
      </c>
      <c r="E30" s="59">
        <f>IF($F5*'Jan''14 Multi'!G31/'Jan''14 Multi'!G32&lt;'Jan''14 Multi'!G33,0,IF($F5*'Jan''14 Multi'!G31/'Jan''14 Multi'!G32&lt;='Jan''14 Multi'!G34,($F5*'Jan''14 Multi'!G31/'Jan''14 Multi'!G32-'Jan''14 Multi'!G33)*('Jan''14 Multi'!G43/100)*'Jan''14 Multi'!G32,('Jan''14 Multi'!G34-'Jan''14 Multi'!G33)*('Jan''14 Multi'!G43/100)*'Jan''14 Multi'!G32))</f>
        <v>151.47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63"/>
    </row>
    <row r="31" spans="1:11" x14ac:dyDescent="0.15">
      <c r="A31" s="40" t="s">
        <v>609</v>
      </c>
      <c r="C31" s="59">
        <f>IF($F5*'Jan''14 Multi'!E31/'Jan''14 Multi'!E32&lt;'Jan''14 Multi'!E34,0,IF($F5*'Jan''14 Multi'!E31/'Jan''14 Multi'!E32&lt;='Jan''14 Multi'!E35,($F5*'Jan''14 Multi'!E31/'Jan''14 Multi'!E32-'Jan''14 Multi'!E34)*('Jan''14 Multi'!E44/100)*'Jan''14 Multi'!E32,('Jan''14 Multi'!E35-'Jan''14 Multi'!E34)*('Jan''14 Multi'!E44/100)*'Jan''14 Multi'!E32))</f>
        <v>138.10499999999999</v>
      </c>
      <c r="D31" s="59">
        <v>0</v>
      </c>
      <c r="E31" s="59">
        <f>IF($F5*'Jan''14 Multi'!G31/'Jan''14 Multi'!G32&lt;'Jan''14 Multi'!G34,0,IF($F5*'Jan''14 Multi'!G31/'Jan''14 Multi'!G32&lt;='Jan''14 Multi'!G35,($F5*'Jan''14 Multi'!G31/'Jan''14 Multi'!G32-'Jan''14 Multi'!G34)*('Jan''14 Multi'!G44/100)*'Jan''14 Multi'!G32,('Jan''14 Multi'!G35-'Jan''14 Multi'!G34)*('Jan''14 Multi'!G44/100)*'Jan''14 Multi'!G32))</f>
        <v>134.63999999999999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63"/>
    </row>
    <row r="32" spans="1:11" x14ac:dyDescent="0.15">
      <c r="A32" s="40" t="s">
        <v>610</v>
      </c>
      <c r="C32" s="59">
        <f>IF($F5*'Jan''14 Multi'!E31/'Jan''14 Multi'!E32&lt;'Jan''14 Multi'!E35,0,IF($F5*'Jan''14 Multi'!E31/'Jan''14 Multi'!E32&lt;='Jan''14 Multi'!E36,($F5*'Jan''14 Multi'!E31/'Jan''14 Multi'!E32-'Jan''14 Multi'!E35)*('Jan''14 Multi'!E45/100)*'Jan''14 Multi'!E32,('Jan''14 Multi'!E36-'Jan''14 Multi'!E35)*('Jan''14 Multi'!E45/100)*'Jan''14 Multi'!E32))</f>
        <v>63.359999999999992</v>
      </c>
      <c r="D32" s="59">
        <v>0</v>
      </c>
      <c r="E32" s="59">
        <f>IF($F5*'Jan''14 Multi'!G31/'Jan''14 Multi'!G32&lt;'Jan''14 Multi'!G35,0,IF($F5*'Jan''14 Multi'!G31/'Jan''14 Multi'!G32&lt;='Jan''14 Multi'!G36,($F5*'Jan''14 Multi'!G31/'Jan''14 Multi'!G32-'Jan''14 Multi'!G35)*('Jan''14 Multi'!G45/100)*'Jan''14 Multi'!G32,('Jan''14 Multi'!G36-'Jan''14 Multi'!G35)*('Jan''14 Multi'!G45/100)*'Jan''14 Multi'!G32))</f>
        <v>61.38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63"/>
    </row>
    <row r="33" spans="1:11" x14ac:dyDescent="0.15">
      <c r="A33" s="40" t="s">
        <v>611</v>
      </c>
      <c r="C33" s="59">
        <f>IF(($F5*'Jan''14 Multi'!E31/'Jan''14 Multi'!E32&gt;'Jan''14 Multi'!E36),($F5*'Jan''14 Multi'!E31/'Jan''14 Multi'!E32-'Jan''14 Multi'!E36)*'Jan''14 Multi'!E46/100*'Jan''14 Multi'!E32,0)</f>
        <v>0</v>
      </c>
      <c r="D33" s="59">
        <f>IF(($F5*'Jan''14 Multi'!F31/'Jan''14 Multi'!F32&gt;'Jan''14 Multi'!F33),('Bills Jan''14'!$F5*'Jan''14 Multi'!F31/'Jan''14 Multi'!F32-'Jan''14 Multi'!F33)*'Jan''14 Multi'!F46/100)*'Jan''14 Multi'!F32</f>
        <v>308.84699999999998</v>
      </c>
      <c r="E33" s="59">
        <f>IF(($F5*'Jan''14 Multi'!G31/'Jan''14 Multi'!G32&gt;'Jan''14 Multi'!G36),($F5*'Jan''14 Multi'!G31/'Jan''14 Multi'!G32-'Jan''14 Multi'!G36)*'Jan''14 Multi'!G46/100*'Jan''14 Multi'!G32,0)</f>
        <v>0</v>
      </c>
      <c r="F33" s="59">
        <f>IF(($F5*'Jan''14 Multi'!H31/'Jan''14 Multi'!H32&gt;'Jan''14 Multi'!H33),('Bills Jan''14'!$F5*'Jan''14 Multi'!H31/'Jan''14 Multi'!H32-'Jan''14 Multi'!H33)*'Jan''14 Multi'!H46/100)*'Jan''14 Multi'!H32</f>
        <v>453.81191799999993</v>
      </c>
      <c r="G33" s="59">
        <f>IF(($F5*'Jan''14 Multi'!I31/'Jan''14 Multi'!I32&gt;'Jan''14 Multi'!I33),('Bills Jan''14'!$F5*'Jan''14 Multi'!I31/'Jan''14 Multi'!I32-'Jan''14 Multi'!I33)*'Jan''14 Multi'!I46/100)*'Jan''14 Multi'!I32</f>
        <v>348.642</v>
      </c>
      <c r="H33" s="59">
        <f>IF(($F5*'Jan''14 Multi'!J31/'Jan''14 Multi'!J32&gt;'Jan''14 Multi'!J33),('Bills Jan''14'!$F5*'Jan''14 Multi'!J31/'Jan''14 Multi'!J32-'Jan''14 Multi'!J33)*'Jan''14 Multi'!J46/100)*'Jan''14 Multi'!J32</f>
        <v>316.46999999999997</v>
      </c>
      <c r="I33" s="59">
        <f>IF(($F5*'Jan''14 Multi'!K31/'Jan''14 Multi'!K32&gt;'Jan''14 Multi'!K33),('Bills Jan''14'!$F5*'Jan''14 Multi'!K31/'Jan''14 Multi'!K32-'Jan''14 Multi'!K33)*'Jan''14 Multi'!K46/100)*'Jan''14 Multi'!K32</f>
        <v>358.875</v>
      </c>
      <c r="J33" s="59">
        <f>IF(($F5*'Jan''14 Multi'!L31/'Jan''14 Multi'!L32&gt;'Jan''14 Multi'!L33),('Bills Jan''14'!$F5*'Jan''14 Multi'!L31/'Jan''14 Multi'!L32-'Jan''14 Multi'!L33)*'Jan''14 Multi'!L46/100)*'Jan''14 Multi'!L32</f>
        <v>318.78000000000003</v>
      </c>
      <c r="K33" s="63"/>
    </row>
    <row r="34" spans="1:11" x14ac:dyDescent="0.15">
      <c r="A34" s="40" t="s">
        <v>612</v>
      </c>
      <c r="C34" s="59">
        <f>365*'Jan''14 Multi'!E47/100</f>
        <v>216.20775</v>
      </c>
      <c r="D34" s="59">
        <f>365*'Jan''14 Multi'!F47/100</f>
        <v>221.82875000000001</v>
      </c>
      <c r="E34" s="59">
        <f>365*'Jan''14 Multi'!G47/100</f>
        <v>252.94499999999999</v>
      </c>
      <c r="F34" s="59">
        <f>365*'Jan''14 Multi'!H47/100</f>
        <v>250.10530000000003</v>
      </c>
      <c r="G34" s="59">
        <f>365*'Jan''14 Multi'!I47/100</f>
        <v>229.91350000000003</v>
      </c>
      <c r="H34" s="59">
        <f>365*'Jan''14 Multi'!J47/100</f>
        <v>200.75</v>
      </c>
      <c r="I34" s="59">
        <f>365*'Jan''14 Multi'!K47/100</f>
        <v>231.06325000000001</v>
      </c>
      <c r="J34" s="59">
        <f>365*'Jan''14 Multi'!L47/100</f>
        <v>208.73985000000002</v>
      </c>
      <c r="K34" s="60">
        <f>AVERAGE(C34:J34)</f>
        <v>226.444175</v>
      </c>
    </row>
    <row r="35" spans="1:11" x14ac:dyDescent="0.15">
      <c r="A35" s="62" t="s">
        <v>613</v>
      </c>
      <c r="B35" s="63"/>
      <c r="C35" s="61">
        <f t="shared" ref="C35:H35" si="1">SUM(C24:C34)</f>
        <v>1350.9457499999999</v>
      </c>
      <c r="D35" s="61">
        <f t="shared" si="1"/>
        <v>1332.1302500000002</v>
      </c>
      <c r="E35" s="61">
        <f t="shared" si="1"/>
        <v>1364.22</v>
      </c>
      <c r="F35" s="61">
        <f t="shared" si="1"/>
        <v>1411.1578639999998</v>
      </c>
      <c r="G35" s="61">
        <f t="shared" si="1"/>
        <v>1380.6085</v>
      </c>
      <c r="H35" s="61">
        <f t="shared" si="1"/>
        <v>1288.76</v>
      </c>
      <c r="I35" s="61">
        <f>SUM(I24:I34)</f>
        <v>1354.2182499999999</v>
      </c>
      <c r="J35" s="61">
        <f>SUM(J24:J34)</f>
        <v>1297.9048499999999</v>
      </c>
      <c r="K35" s="64">
        <f>AVERAGE(C35:J35)</f>
        <v>1347.493183</v>
      </c>
    </row>
    <row r="37" spans="1:11" x14ac:dyDescent="0.15">
      <c r="A37" s="55" t="s">
        <v>1042</v>
      </c>
    </row>
    <row r="39" spans="1:11" x14ac:dyDescent="0.15">
      <c r="A39" s="53" t="s">
        <v>1024</v>
      </c>
      <c r="C39" s="23" t="s">
        <v>1044</v>
      </c>
      <c r="D39" s="23" t="s">
        <v>591</v>
      </c>
      <c r="E39" s="23" t="s">
        <v>592</v>
      </c>
      <c r="F39" s="23" t="s">
        <v>615</v>
      </c>
      <c r="G39" s="23" t="s">
        <v>515</v>
      </c>
      <c r="H39" s="23" t="s">
        <v>516</v>
      </c>
      <c r="I39" s="23" t="s">
        <v>597</v>
      </c>
      <c r="J39" s="23" t="s">
        <v>598</v>
      </c>
      <c r="K39" s="57" t="s">
        <v>601</v>
      </c>
    </row>
    <row r="40" spans="1:11" x14ac:dyDescent="0.15">
      <c r="A40" s="40" t="s">
        <v>602</v>
      </c>
      <c r="C40" s="59">
        <f>IF($F5*'Jan''14 Envestra'!E7/'Jan''14 Envestra'!E8&gt;='Jan''14 Envestra'!E11,('Jan''14 Envestra'!E11*'Jan''14 Envestra'!E13/100)*'Jan''14 Envestra'!E8,($F5*'Jan''14 Envestra'!E7/'Jan''14 Envestra'!E8*'Jan''14 Envestra'!E13/100)*'Jan''14 Envestra'!E8)</f>
        <v>73.384872000000001</v>
      </c>
      <c r="D40" s="59">
        <f>IF($F5*'Jan''14 Envestra'!F7/'Jan''14 Envestra'!F8&gt;='Jan''14 Envestra'!F11,('Jan''14 Envestra'!F11*'Jan''14 Envestra'!F13/100)*'Jan''14 Envestra'!F8,($F5*'Jan''14 Envestra'!F7/'Jan''14 Envestra'!F8*'Jan''14 Envestra'!F13/100)*'Jan''14 Envestra'!F8)</f>
        <v>164.648</v>
      </c>
      <c r="E40" s="59">
        <f>IF($F5*'Jan''14 Envestra'!G7/'Jan''14 Envestra'!G8&gt;='Jan''14 Envestra'!G11,('Jan''14 Envestra'!G11*'Jan''14 Envestra'!G13/100)*'Jan''14 Envestra'!G8,($F5*'Jan''14 Envestra'!G7/'Jan''14 Envestra'!G8*'Jan''14 Envestra'!G13/100)*'Jan''14 Envestra'!G8)</f>
        <v>248.16</v>
      </c>
      <c r="F40" s="59">
        <f>IF($F5*'Jan''14 Envestra'!H7/'Jan''14 Envestra'!H8&gt;='Jan''14 Envestra'!H11,('Jan''14 Envestra'!H11*'Jan''14 Envestra'!H13/100)*'Jan''14 Envestra'!H8,($F5*'Jan''14 Envestra'!H7/'Jan''14 Envestra'!H8*'Jan''14 Envestra'!H13/100)*'Jan''14 Envestra'!H8)</f>
        <v>177.2</v>
      </c>
      <c r="G40" s="59">
        <f>IF($F5*'Jan''14 Envestra'!I7/'Jan''14 Envestra'!I8&gt;='Jan''14 Envestra'!I11,('Jan''14 Envestra'!I11*'Jan''14 Envestra'!I13/100)*'Jan''14 Envestra'!I8,($F5*'Jan''14 Envestra'!I7/'Jan''14 Envestra'!I8*'Jan''14 Envestra'!I13/100)*'Jan''14 Envestra'!I8)</f>
        <v>166.84799999999998</v>
      </c>
      <c r="H40" s="59">
        <f>IF($F5*'Jan''14 Envestra'!J7/'Jan''14 Envestra'!J8&gt;='Jan''14 Envestra'!J11,('Jan''14 Envestra'!J11*'Jan''14 Envestra'!J13/100)*'Jan''14 Envestra'!J8,($F5*'Jan''14 Envestra'!J7/'Jan''14 Envestra'!J8*'Jan''14 Envestra'!J13/100)*'Jan''14 Envestra'!J8)</f>
        <v>135.30000000000001</v>
      </c>
      <c r="I40" s="59">
        <f>IF($F5*'Jan''14 Envestra'!K7/'Jan''14 Envestra'!K8&gt;='Jan''14 Envestra'!K11,('Jan''14 Envestra'!K11*'Jan''14 Envestra'!K13/100)*'Jan''14 Envestra'!K8,($F5*'Jan''14 Envestra'!K7/'Jan''14 Envestra'!K8*'Jan''14 Envestra'!K13/100)*'Jan''14 Envestra'!K8)</f>
        <v>65.825759999999988</v>
      </c>
      <c r="J40" s="59">
        <f>IF($F5*'Jan''14 Envestra'!L7/'Jan''14 Envestra'!L8&gt;='Jan''14 Envestra'!L11,('Jan''14 Envestra'!L11*'Jan''14 Envestra'!L13/100)*'Jan''14 Envestra'!L8,($F5*'Jan''14 Envestra'!L7/'Jan''14 Envestra'!L8*'Jan''14 Envestra'!L13/100)*'Jan''14 Envestra'!L8)</f>
        <v>168.08</v>
      </c>
      <c r="K40" s="63"/>
    </row>
    <row r="41" spans="1:11" x14ac:dyDescent="0.15">
      <c r="A41" s="40" t="s">
        <v>603</v>
      </c>
      <c r="C41" s="59">
        <f>IF($F5*'Jan''14 Envestra'!E7/'Jan''14 Envestra'!E8&lt;'Jan''14 Envestra'!E11,0,IF($F5*'Jan''14 Envestra'!E7/'Jan''14 Envestra'!E8&lt;='Jan''14 Envestra'!E12,($F5*'Jan''14 Envestra'!E7/'Jan''14 Envestra'!E8-'Jan''14 Envestra'!E11)*('Jan''14 Envestra'!E14/100)*'Jan''14 Envestra'!E8,('Jan''14 Envestra'!E12-'Jan''14 Envestra'!E11)*('Jan''14 Envestra'!E14/100)*'Jan''14 Envestra'!E8))</f>
        <v>53.364168000000006</v>
      </c>
      <c r="D41" s="59">
        <f>IF($F5*'Jan''14 Envestra'!F7/'Jan''14 Envestra'!F8&lt;'Jan''14 Envestra'!F11,0,IF($F5*'Jan''14 Envestra'!F7/'Jan''14 Envestra'!F8&lt;='Jan''14 Envestra'!F12,($F5*'Jan''14 Envestra'!F7/'Jan''14 Envestra'!F8-'Jan''14 Envestra'!F11)*('Jan''14 Envestra'!F14/100)*'Jan''14 Envestra'!F8,('Jan''14 Envestra'!F12-'Jan''14 Envestra'!F11)*('Jan''14 Envestra'!F14/100)*'Jan''14 Envestra'!F8))</f>
        <v>256.64353549999993</v>
      </c>
      <c r="E41" s="59">
        <f>IF($F5*'Jan''14 Envestra'!G7/'Jan''14 Envestra'!G8&lt;'Jan''14 Envestra'!G11,0,IF($F5*'Jan''14 Envestra'!G7/'Jan''14 Envestra'!G8&lt;='Jan''14 Envestra'!G12,($F5*'Jan''14 Envestra'!G7/'Jan''14 Envestra'!G8-'Jan''14 Envestra'!G11)*('Jan''14 Envestra'!G14/100)*'Jan''14 Envestra'!G8,('Jan''14 Envestra'!G12-'Jan''14 Envestra'!G11)*('Jan''14 Envestra'!G14/100)*'Jan''14 Envestra'!G8))</f>
        <v>166.28119199999995</v>
      </c>
      <c r="F41" s="59">
        <f>IF($F5*'Jan''14 Envestra'!H7/'Jan''14 Envestra'!H8&lt;'Jan''14 Envestra'!H11,0,IF($F5*'Jan''14 Envestra'!H7/'Jan''14 Envestra'!H8&lt;='Jan''14 Envestra'!H12,($F5*'Jan''14 Envestra'!H7/'Jan''14 Envestra'!H8-'Jan''14 Envestra'!H11)*('Jan''14 Envestra'!H14/100)*'Jan''14 Envestra'!H8,('Jan''14 Envestra'!H12-'Jan''14 Envestra'!H11)*('Jan''14 Envestra'!H14/100)*'Jan''14 Envestra'!H8))</f>
        <v>272.95589999999999</v>
      </c>
      <c r="G41" s="59">
        <f>IF($F5*'Jan''14 Envestra'!I7/'Jan''14 Envestra'!I8&lt;'Jan''14 Envestra'!I11,0,IF($F5*'Jan''14 Envestra'!I7/'Jan''14 Envestra'!I8&lt;='Jan''14 Envestra'!I12,($F5*'Jan''14 Envestra'!I7/'Jan''14 Envestra'!I8-'Jan''14 Envestra'!I11)*('Jan''14 Envestra'!I14/100)*'Jan''14 Envestra'!I8,('Jan''14 Envestra'!I12-'Jan''14 Envestra'!I11)*('Jan''14 Envestra'!I14/100)*'Jan''14 Envestra'!I8))</f>
        <v>251.21041329999997</v>
      </c>
      <c r="H41" s="59">
        <f>IF($F5*'Jan''14 Envestra'!J7/'Jan''14 Envestra'!J8&lt;'Jan''14 Envestra'!J11,0,IF($F5*'Jan''14 Envestra'!J7/'Jan''14 Envestra'!J8&lt;='Jan''14 Envestra'!J12,($F5*'Jan''14 Envestra'!J7/'Jan''14 Envestra'!J8-'Jan''14 Envestra'!J11)*('Jan''14 Envestra'!J14/100)*'Jan''14 Envestra'!J8,('Jan''14 Envestra'!J12-'Jan''14 Envestra'!J11)*('Jan''14 Envestra'!J14/100)*'Jan''14 Envestra'!J8))</f>
        <v>0</v>
      </c>
      <c r="I41" s="59">
        <f>IF($F5*'Jan''14 Envestra'!K7/'Jan''14 Envestra'!K8&lt;'Jan''14 Envestra'!K11,0,IF($F5*'Jan''14 Envestra'!K7/'Jan''14 Envestra'!K8&lt;='Jan''14 Envestra'!K12,($F5*'Jan''14 Envestra'!K7/'Jan''14 Envestra'!K8-'Jan''14 Envestra'!K11)*('Jan''14 Envestra'!K14/100)*'Jan''14 Envestra'!K8,('Jan''14 Envestra'!K12-'Jan''14 Envestra'!K11)*('Jan''14 Envestra'!K14/100)*'Jan''14 Envestra'!K8))</f>
        <v>52.612559999999988</v>
      </c>
      <c r="J41" s="59">
        <f>IF($F5*'Jan''14 Envestra'!L7/'Jan''14 Envestra'!L8&lt;'Jan''14 Envestra'!L11,0,IF($F5*'Jan''14 Envestra'!L7/'Jan''14 Envestra'!L8&lt;='Jan''14 Envestra'!L12,($F5*'Jan''14 Envestra'!L7/'Jan''14 Envestra'!L8-'Jan''14 Envestra'!L11)*('Jan''14 Envestra'!L14/100)*'Jan''14 Envestra'!L8,('Jan''14 Envestra'!L12-'Jan''14 Envestra'!L11)*('Jan''14 Envestra'!L14/100)*'Jan''14 Envestra'!L8))</f>
        <v>251.63934399999994</v>
      </c>
      <c r="K41" s="63"/>
    </row>
    <row r="42" spans="1:11" x14ac:dyDescent="0.15">
      <c r="A42" s="40" t="s">
        <v>606</v>
      </c>
      <c r="C42" s="59">
        <f>IF(($F5*'Jan''14 Envestra'!E7/'Jan''14 Envestra'!E8&gt;'Jan''14 Envestra'!E12),($F5*'Jan''14 Envestra'!E7/'Jan''14 Envestra'!E8-'Jan''14 Envestra'!E12)*'Jan''14 Envestra'!E15/100)*'Jan''14 Envestra'!E8</f>
        <v>256.15098959999995</v>
      </c>
      <c r="D42" s="59">
        <f>IF(($F5*'Jan''14 Envestra'!F7/'Jan''14 Envestra'!F8&gt;'Jan''14 Envestra'!F12),($F5*'Jan''14 Envestra'!F7/'Jan''14 Envestra'!F8-'Jan''14 Envestra'!F12)*'Jan''14 Envestra'!F15/100)*'Jan''14 Envestra'!F8</f>
        <v>0</v>
      </c>
      <c r="E42" s="59">
        <f>IF(($F5*'Jan''14 Envestra'!G7/'Jan''14 Envestra'!G8&gt;'Jan''14 Envestra'!G12),($F5*'Jan''14 Envestra'!G7/'Jan''14 Envestra'!G8-'Jan''14 Envestra'!G12)*'Jan''14 Envestra'!G15/100)*'Jan''14 Envestra'!G8</f>
        <v>0</v>
      </c>
      <c r="F42" s="59">
        <f>IF(($F5*'Jan''14 Envestra'!H7/'Jan''14 Envestra'!H8&gt;'Jan''14 Envestra'!H12),($F5*'Jan''14 Envestra'!H7/'Jan''14 Envestra'!H8-'Jan''14 Envestra'!H12)*'Jan''14 Envestra'!H15/100)*'Jan''14 Envestra'!H8</f>
        <v>0</v>
      </c>
      <c r="G42" s="59">
        <f>IF(($F5*'Jan''14 Envestra'!I7/'Jan''14 Envestra'!I8&gt;'Jan''14 Envestra'!I12),($F5*'Jan''14 Envestra'!I7/'Jan''14 Envestra'!I8-'Jan''14 Envestra'!I12)*'Jan''14 Envestra'!I15/100)*'Jan''14 Envestra'!I8</f>
        <v>0</v>
      </c>
      <c r="H42" s="59">
        <f>IF(($F5*'Jan''14 Envestra'!J7/'Jan''14 Envestra'!J8&gt;'Jan''14 Envestra'!J12),($F5*'Jan''14 Envestra'!J7/'Jan''14 Envestra'!J8-'Jan''14 Envestra'!J12)*'Jan''14 Envestra'!J15/100)*'Jan''14 Envestra'!J8</f>
        <v>239.21650499999996</v>
      </c>
      <c r="I42" s="59">
        <f>IF(($F5*'Jan''14 Envestra'!K7/'Jan''14 Envestra'!K8&gt;'Jan''14 Envestra'!K12),($F5*'Jan''14 Envestra'!K7/'Jan''14 Envestra'!K8-'Jan''14 Envestra'!K12)*'Jan''14 Envestra'!K15/100)*'Jan''14 Envestra'!K8</f>
        <v>270.41846699999996</v>
      </c>
      <c r="J42" s="59">
        <f>IF(($F5*'Jan''14 Envestra'!L7/'Jan''14 Envestra'!L8&gt;'Jan''14 Envestra'!L12),($F5*'Jan''14 Envestra'!L7/'Jan''14 Envestra'!L8-'Jan''14 Envestra'!L12)*'Jan''14 Envestra'!L15/100)*'Jan''14 Envestra'!L8</f>
        <v>0</v>
      </c>
      <c r="K42" s="63"/>
    </row>
    <row r="43" spans="1:11" x14ac:dyDescent="0.15">
      <c r="A43" s="40" t="s">
        <v>607</v>
      </c>
      <c r="C43" s="59">
        <f>IF($F5*'Jan''14 Envestra'!E9/'Jan''14 Envestra'!E10&gt;='Jan''14 Envestra'!E11,('Jan''14 Envestra'!E11*'Jan''14 Envestra'!E16/100)*'Jan''14 Envestra'!E10,($F5*'Jan''14 Envestra'!E9/'Jan''14 Envestra'!E10*'Jan''14 Envestra'!E16/100)*'Jan''14 Envestra'!E10)</f>
        <v>146.769744</v>
      </c>
      <c r="D43" s="59">
        <f>IF($F5*'Jan''14 Envestra'!F9/'Jan''14 Envestra'!F10&gt;='Jan''14 Envestra'!F11,('Jan''14 Envestra'!F11*'Jan''14 Envestra'!F16/100)*'Jan''14 Envestra'!F10,($F5*'Jan''14 Envestra'!F9/'Jan''14 Envestra'!F10*'Jan''14 Envestra'!F16/100)*'Jan''14 Envestra'!F10)</f>
        <v>312.928</v>
      </c>
      <c r="E43" s="59">
        <f>IF($F5*'Jan''14 Envestra'!G9/'Jan''14 Envestra'!G10&gt;='Jan''14 Envestra'!G11,('Jan''14 Envestra'!G11*'Jan''14 Envestra'!G16/100)*'Jan''14 Envestra'!G10,($F5*'Jan''14 Envestra'!G9/'Jan''14 Envestra'!G10*'Jan''14 Envestra'!G16/100)*'Jan''14 Envestra'!G10)</f>
        <v>469.92</v>
      </c>
      <c r="F43" s="59">
        <f>IF($F5*'Jan''14 Envestra'!H9/'Jan''14 Envestra'!H10&gt;='Jan''14 Envestra'!H11,('Jan''14 Envestra'!H11*'Jan''14 Envestra'!H16/100)*'Jan''14 Envestra'!H10,($F5*'Jan''14 Envestra'!H9/'Jan''14 Envestra'!H10*'Jan''14 Envestra'!H16/100)*'Jan''14 Envestra'!H10)</f>
        <v>338.88</v>
      </c>
      <c r="G43" s="59">
        <f>IF($F5*'Jan''14 Envestra'!I9/'Jan''14 Envestra'!I10&gt;='Jan''14 Envestra'!I11,('Jan''14 Envestra'!I11*'Jan''14 Envestra'!I16/100)*'Jan''14 Envestra'!I10,($F5*'Jan''14 Envestra'!I9/'Jan''14 Envestra'!I10*'Jan''14 Envestra'!I16/100)*'Jan''14 Envestra'!I10)</f>
        <v>321.74399999999997</v>
      </c>
      <c r="H43" s="59">
        <f>IF($F5*'Jan''14 Envestra'!J9/'Jan''14 Envestra'!J10&gt;='Jan''14 Envestra'!J11,('Jan''14 Envestra'!J11*'Jan''14 Envestra'!J16/100)*'Jan''14 Envestra'!J10,($F5*'Jan''14 Envestra'!J9/'Jan''14 Envestra'!J10*'Jan''14 Envestra'!J16/100)*'Jan''14 Envestra'!J10)</f>
        <v>270.60000000000002</v>
      </c>
      <c r="I43" s="59">
        <f>IF($F5*'Jan''14 Envestra'!K9/'Jan''14 Envestra'!K10&gt;='Jan''14 Envestra'!K11,('Jan''14 Envestra'!K11*'Jan''14 Envestra'!K16/100)*'Jan''14 Envestra'!K10,($F5*'Jan''14 Envestra'!K9/'Jan''14 Envestra'!K10*'Jan''14 Envestra'!K16/100)*'Jan''14 Envestra'!K10)</f>
        <v>131.65151999999998</v>
      </c>
      <c r="J43" s="59">
        <f>IF($F5*'Jan''14 Envestra'!L9/'Jan''14 Envestra'!L10&gt;='Jan''14 Envestra'!L11,('Jan''14 Envestra'!L11*'Jan''14 Envestra'!L16/100)*'Jan''14 Envestra'!L10,($F5*'Jan''14 Envestra'!L9/'Jan''14 Envestra'!L10*'Jan''14 Envestra'!L16/100)*'Jan''14 Envestra'!L10)</f>
        <v>322.08</v>
      </c>
      <c r="K43" s="63"/>
    </row>
    <row r="44" spans="1:11" x14ac:dyDescent="0.15">
      <c r="A44" s="40" t="s">
        <v>608</v>
      </c>
      <c r="C44" s="59">
        <f>IF($F5*'Jan''14 Envestra'!E9/'Jan''14 Envestra'!E10&lt;'Jan''14 Envestra'!E11,0,IF($F5*'Jan''14 Envestra'!E9/'Jan''14 Envestra'!E10&lt;='Jan''14 Envestra'!E12,($F5*'Jan''14 Envestra'!E9/'Jan''14 Envestra'!E10-'Jan''14 Envestra'!E11)*('Jan''14 Envestra'!E17/100)*'Jan''14 Envestra'!E10,('Jan''14 Envestra'!E12-'Jan''14 Envestra'!E11)*('Jan''14 Envestra'!E17/100)*'Jan''14 Envestra'!E10))</f>
        <v>106.72833600000001</v>
      </c>
      <c r="D44" s="59">
        <f>IF($F5*'Jan''14 Envestra'!F9/'Jan''14 Envestra'!F10&lt;'Jan''14 Envestra'!F11,0,IF($F5*'Jan''14 Envestra'!F9/'Jan''14 Envestra'!F10&lt;='Jan''14 Envestra'!F12,($F5*'Jan''14 Envestra'!F9/'Jan''14 Envestra'!F10-'Jan''14 Envestra'!F11)*('Jan''14 Envestra'!F17/100)*'Jan''14 Envestra'!F10,('Jan''14 Envestra'!F12-'Jan''14 Envestra'!F11)*('Jan''14 Envestra'!F17/100)*'Jan''14 Envestra'!F10))</f>
        <v>500.7051037999999</v>
      </c>
      <c r="E44" s="59">
        <f>IF($F5*'Jan''14 Envestra'!G9/'Jan''14 Envestra'!G10&lt;'Jan''14 Envestra'!G11,0,IF($F5*'Jan''14 Envestra'!G9/'Jan''14 Envestra'!G10&lt;='Jan''14 Envestra'!G12,($F5*'Jan''14 Envestra'!G9/'Jan''14 Envestra'!G10-'Jan''14 Envestra'!G11)*('Jan''14 Envestra'!G17/100)*'Jan''14 Envestra'!G10,('Jan''14 Envestra'!G12-'Jan''14 Envestra'!G11)*('Jan''14 Envestra'!G17/100)*'Jan''14 Envestra'!G10))</f>
        <v>320.68515599999989</v>
      </c>
      <c r="F44" s="59">
        <f>IF($F5*'Jan''14 Envestra'!H9/'Jan''14 Envestra'!H10&lt;'Jan''14 Envestra'!H11,0,IF($F5*'Jan''14 Envestra'!H9/'Jan''14 Envestra'!H10&lt;='Jan''14 Envestra'!H12,($F5*'Jan''14 Envestra'!H9/'Jan''14 Envestra'!H10-'Jan''14 Envestra'!H11)*('Jan''14 Envestra'!H17/100)*'Jan''14 Envestra'!H10,('Jan''14 Envestra'!H12-'Jan''14 Envestra'!H11)*('Jan''14 Envestra'!H17/100)*'Jan''14 Envestra'!H10))</f>
        <v>529.53444599999989</v>
      </c>
      <c r="G44" s="59">
        <f>IF($F5*'Jan''14 Envestra'!I9/'Jan''14 Envestra'!I10&lt;'Jan''14 Envestra'!I11,0,IF($F5*'Jan''14 Envestra'!I9/'Jan''14 Envestra'!I10&lt;='Jan''14 Envestra'!I12,($F5*'Jan''14 Envestra'!I9/'Jan''14 Envestra'!I10-'Jan''14 Envestra'!I11)*('Jan''14 Envestra'!I17/100)*'Jan''14 Envestra'!I10,('Jan''14 Envestra'!I12-'Jan''14 Envestra'!I11)*('Jan''14 Envestra'!I17/100)*'Jan''14 Envestra'!I10))</f>
        <v>492.51642679999992</v>
      </c>
      <c r="H44" s="59">
        <f>IF($F5*'Jan''14 Envestra'!J9/'Jan''14 Envestra'!J10&lt;'Jan''14 Envestra'!J11,0,IF($F5*'Jan''14 Envestra'!J9/'Jan''14 Envestra'!J10&lt;='Jan''14 Envestra'!J12,($F5*'Jan''14 Envestra'!J9/'Jan''14 Envestra'!J10-'Jan''14 Envestra'!J11)*('Jan''14 Envestra'!J17/100)*'Jan''14 Envestra'!J10,('Jan''14 Envestra'!J12-'Jan''14 Envestra'!J11)*('Jan''14 Envestra'!J17/100)*'Jan''14 Envestra'!J10))</f>
        <v>0</v>
      </c>
      <c r="I44" s="59">
        <f>IF($F5*'Jan''14 Envestra'!K9/'Jan''14 Envestra'!K10&lt;'Jan''14 Envestra'!K11,0,IF($F5*'Jan''14 Envestra'!K9/'Jan''14 Envestra'!K10&lt;='Jan''14 Envestra'!K12,($F5*'Jan''14 Envestra'!K9/'Jan''14 Envestra'!K10-'Jan''14 Envestra'!K11)*('Jan''14 Envestra'!K17/100)*'Jan''14 Envestra'!K10,('Jan''14 Envestra'!K12-'Jan''14 Envestra'!K11)*('Jan''14 Envestra'!K17/100)*'Jan''14 Envestra'!K10))</f>
        <v>105.22511999999998</v>
      </c>
      <c r="J44" s="59">
        <f>IF($F5*'Jan''14 Envestra'!L9/'Jan''14 Envestra'!L10&lt;'Jan''14 Envestra'!L11,0,IF($F5*'Jan''14 Envestra'!L9/'Jan''14 Envestra'!L10&lt;='Jan''14 Envestra'!L12,($F5*'Jan''14 Envestra'!L9/'Jan''14 Envestra'!L10-'Jan''14 Envestra'!L11)*('Jan''14 Envestra'!L17/100)*'Jan''14 Envestra'!L10,('Jan''14 Envestra'!L12-'Jan''14 Envestra'!L11)*('Jan''14 Envestra'!L17/100)*'Jan''14 Envestra'!L10))</f>
        <v>497.55961199999996</v>
      </c>
      <c r="K44" s="63"/>
    </row>
    <row r="45" spans="1:11" x14ac:dyDescent="0.15">
      <c r="A45" s="40" t="s">
        <v>611</v>
      </c>
      <c r="C45" s="59">
        <f>IF(($F5*'Jan''14 Envestra'!E9/'Jan''14 Envestra'!E10&gt;'Jan''14 Envestra'!E12),($F5*'Jan''14 Envestra'!E9/'Jan''14 Envestra'!E10-'Jan''14 Envestra'!E12)*'Jan''14 Envestra'!E18/100)*'Jan''14 Envestra'!E10</f>
        <v>512.30197919999989</v>
      </c>
      <c r="D45" s="59">
        <f>IF(($F5*'Jan''14 Envestra'!F9/'Jan''14 Envestra'!F10&gt;'Jan''14 Envestra'!F12),($F5*'Jan''14 Envestra'!F9/'Jan''14 Envestra'!F10-'Jan''14 Envestra'!F12)*'Jan''14 Envestra'!F18/100)*'Jan''14 Envestra'!F10</f>
        <v>0</v>
      </c>
      <c r="E45" s="59">
        <f>IF(($F5*'Jan''14 Envestra'!G9/'Jan''14 Envestra'!G10&gt;'Jan''14 Envestra'!G12),($F5*'Jan''14 Envestra'!G9/'Jan''14 Envestra'!G10-'Jan''14 Envestra'!G12)*'Jan''14 Envestra'!G18/100)*'Jan''14 Envestra'!G10</f>
        <v>0</v>
      </c>
      <c r="F45" s="59">
        <f>IF(($F5*'Jan''14 Envestra'!H9/'Jan''14 Envestra'!H10&gt;'Jan''14 Envestra'!H12),($F5*'Jan''14 Envestra'!H9/'Jan''14 Envestra'!H10-'Jan''14 Envestra'!H12)*'Jan''14 Envestra'!H18/100)*'Jan''14 Envestra'!H10</f>
        <v>0</v>
      </c>
      <c r="G45" s="59">
        <f>IF(($F5*'Jan''14 Envestra'!I9/'Jan''14 Envestra'!I10&gt;'Jan''14 Envestra'!I12),($F5*'Jan''14 Envestra'!I9/'Jan''14 Envestra'!I10-'Jan''14 Envestra'!I12)*'Jan''14 Envestra'!I18/100)*'Jan''14 Envestra'!I10</f>
        <v>0</v>
      </c>
      <c r="H45" s="59">
        <f>IF(($F5*'Jan''14 Envestra'!J9/'Jan''14 Envestra'!J10&gt;'Jan''14 Envestra'!J12),($F5*'Jan''14 Envestra'!J9/'Jan''14 Envestra'!J10-'Jan''14 Envestra'!J12)*'Jan''14 Envestra'!J18/100)*'Jan''14 Envestra'!J10</f>
        <v>478.43300999999991</v>
      </c>
      <c r="I45" s="59">
        <f>IF(($F5*'Jan''14 Envestra'!K9/'Jan''14 Envestra'!K10&gt;'Jan''14 Envestra'!K12),($F5*'Jan''14 Envestra'!K9/'Jan''14 Envestra'!K10-'Jan''14 Envestra'!K12)*'Jan''14 Envestra'!K18/100)*'Jan''14 Envestra'!K10</f>
        <v>540.83693399999993</v>
      </c>
      <c r="J45" s="59">
        <f>IF(($F5*'Jan''14 Envestra'!L9/'Jan''14 Envestra'!L10&gt;'Jan''14 Envestra'!L12),($F5*'Jan''14 Envestra'!L9/'Jan''14 Envestra'!L10-'Jan''14 Envestra'!L12)*'Jan''14 Envestra'!L18/100)*'Jan''14 Envestra'!L10</f>
        <v>0</v>
      </c>
      <c r="K45" s="63"/>
    </row>
    <row r="46" spans="1:11" x14ac:dyDescent="0.15">
      <c r="A46" s="40" t="s">
        <v>612</v>
      </c>
      <c r="C46" s="59">
        <f>365*'Jan''14 Envestra'!E19/100</f>
        <v>251.21854999999999</v>
      </c>
      <c r="D46" s="59">
        <f>365*'Jan''14 Envestra'!F19/100</f>
        <v>227.77095</v>
      </c>
      <c r="E46" s="59">
        <f>365*'Jan''14 Envestra'!G19/100</f>
        <v>248.93</v>
      </c>
      <c r="F46" s="59">
        <f>365*'Jan''14 Envestra'!H19/100</f>
        <v>250.90830000000003</v>
      </c>
      <c r="G46" s="59">
        <f>365*'Jan''14 Envestra'!I19/100</f>
        <v>251.047</v>
      </c>
      <c r="H46" s="59">
        <f>365*'Jan''14 Envestra'!J19/100</f>
        <v>208.78</v>
      </c>
      <c r="I46" s="59">
        <f>365*'Jan''14 Envestra'!K19/100</f>
        <v>243.34915000000001</v>
      </c>
      <c r="J46" s="59">
        <f>365*'Jan''14 Envestra'!L19/100</f>
        <v>228.65425000000002</v>
      </c>
      <c r="K46" s="60">
        <f>AVERAGE(C46:J46)</f>
        <v>238.83227500000001</v>
      </c>
    </row>
    <row r="47" spans="1:11" x14ac:dyDescent="0.15">
      <c r="A47" s="62" t="s">
        <v>613</v>
      </c>
      <c r="B47" s="63"/>
      <c r="C47" s="61">
        <f t="shared" ref="C47:H47" si="2">SUM(C40:C46)</f>
        <v>1399.9186387999998</v>
      </c>
      <c r="D47" s="61">
        <f t="shared" si="2"/>
        <v>1462.6955892999999</v>
      </c>
      <c r="E47" s="61">
        <f t="shared" si="2"/>
        <v>1453.9763479999999</v>
      </c>
      <c r="F47" s="61">
        <f>SUM(F40:F46)</f>
        <v>1569.478646</v>
      </c>
      <c r="G47" s="61">
        <f t="shared" si="2"/>
        <v>1483.3658400999998</v>
      </c>
      <c r="H47" s="61">
        <f t="shared" si="2"/>
        <v>1332.3295149999999</v>
      </c>
      <c r="I47" s="61">
        <f>SUM(I40:I46)</f>
        <v>1409.9195109999998</v>
      </c>
      <c r="J47" s="61">
        <f>SUM(J40:J46)</f>
        <v>1468.0132060000001</v>
      </c>
      <c r="K47" s="64">
        <f>AVERAGE(C47:J47)</f>
        <v>1447.4621617749997</v>
      </c>
    </row>
    <row r="49" spans="1:11" x14ac:dyDescent="0.15">
      <c r="A49" s="53" t="s">
        <v>488</v>
      </c>
      <c r="C49" s="23" t="s">
        <v>1044</v>
      </c>
      <c r="D49" s="23" t="s">
        <v>591</v>
      </c>
      <c r="E49" s="23" t="s">
        <v>592</v>
      </c>
      <c r="F49" s="23" t="s">
        <v>615</v>
      </c>
      <c r="G49" s="23" t="s">
        <v>515</v>
      </c>
      <c r="H49" s="23" t="s">
        <v>516</v>
      </c>
      <c r="I49" s="23" t="s">
        <v>597</v>
      </c>
      <c r="J49" s="23" t="s">
        <v>598</v>
      </c>
      <c r="K49" s="57" t="s">
        <v>601</v>
      </c>
    </row>
    <row r="50" spans="1:11" x14ac:dyDescent="0.15">
      <c r="A50" s="40" t="s">
        <v>602</v>
      </c>
      <c r="C50" s="59">
        <f>IF($F5*'Jan''14 Envestra'!E23/'Jan''14 Envestra'!E24&gt;='Jan''14 Envestra'!E27,('Jan''14 Envestra'!E27*'Jan''14 Envestra'!E45/100)*'Jan''14 Envestra'!E24,($F5*'Jan''14 Envestra'!E23/'Jan''14 Envestra'!E24*'Jan''14 Envestra'!E45/100)*'Jan''14 Envestra'!E24)</f>
        <v>74.903927999999993</v>
      </c>
      <c r="D50" s="59">
        <f>IF($F5*'Jan''14 Envestra'!F23/'Jan''14 Envestra'!F24&gt;='Jan''14 Envestra'!F27,('Jan''14 Envestra'!F27*'Jan''14 Envestra'!F29/100)*'Jan''14 Envestra'!F24,('Bills Jan''14'!$F5*'Jan''14 Envestra'!F23/'Jan''14 Envestra'!F24*'Jan''14 Envestra'!F29/100)*'Jan''14 Envestra'!F24)</f>
        <v>135.94239999999999</v>
      </c>
      <c r="E50" s="59">
        <f>IF($F5*'Jan''14 Envestra'!G23/'Jan''14 Envestra'!G24&gt;='Jan''14 Envestra'!G27,('Jan''14 Envestra'!G27*'Jan''14 Envestra'!G45/100)*'Jan''14 Envestra'!G24,($F5*'Jan''14 Envestra'!G23/'Jan''14 Envestra'!G24*'Jan''14 Envestra'!G45/100)*'Jan''14 Envestra'!G24)</f>
        <v>252.12</v>
      </c>
      <c r="F50" s="59">
        <f>IF($F5*'Jan''14 Envestra'!H23/'Jan''14 Envestra'!H24&gt;='Jan''14 Envestra'!H27,('Jan''14 Envestra'!H27*'Jan''14 Envestra'!H45/100)*'Jan''14 Envestra'!H24,($F5*'Jan''14 Envestra'!H23/'Jan''14 Envestra'!H24*'Jan''14 Envestra'!H45/100)*'Jan''14 Envestra'!H24)</f>
        <v>144.32</v>
      </c>
      <c r="G50" s="59">
        <f>IF($F5*'Jan''14 Envestra'!I23/'Jan''14 Envestra'!I24&gt;='Jan''14 Envestra'!I27,('Jan''14 Envestra'!I27*'Jan''14 Envestra'!I29/100)*'Jan''14 Envestra'!I24,('Bills Jan''14'!$F5*'Jan''14 Envestra'!I23/'Jan''14 Envestra'!I24*'Jan''14 Envestra'!I29/100)*'Jan''14 Envestra'!I24)</f>
        <v>137.97120000000001</v>
      </c>
      <c r="H50" s="59">
        <f>IF($F5*'Jan''14 Envestra'!J23/'Jan''14 Envestra'!J24&gt;='Jan''14 Envestra'!J27,('Jan''14 Envestra'!J27*'Jan''14 Envestra'!J29/100)*'Jan''14 Envestra'!J24,('Bills Jan''14'!$F5*'Jan''14 Envestra'!J23/'Jan''14 Envestra'!J24*'Jan''14 Envestra'!J29/100)*'Jan''14 Envestra'!J24)</f>
        <v>127.38000000000002</v>
      </c>
      <c r="I50" s="59">
        <f>IF($F5*'Jan''14 Envestra'!K23/'Jan''14 Envestra'!K24&gt;='Jan''14 Envestra'!K27,('Jan''14 Envestra'!K27*'Jan''14 Envestra'!K29/100)*'Jan''14 Envestra'!K24,('Bills Jan''14'!$F5*'Jan''14 Envestra'!K23/'Jan''14 Envestra'!K24*'Jan''14 Envestra'!K29/100)*'Jan''14 Envestra'!K24)</f>
        <v>68.719199999999987</v>
      </c>
      <c r="J50" s="59">
        <f>IF($F5*'Jan''14 Envestra'!L23/'Jan''14 Envestra'!L24&gt;='Jan''14 Envestra'!L27,('Jan''14 Envestra'!L27*'Jan''14 Envestra'!L29/100)*'Jan''14 Envestra'!L24,('Bills Jan''14'!$F5*'Jan''14 Envestra'!L23/'Jan''14 Envestra'!L24*'Jan''14 Envestra'!L29/100)*'Jan''14 Envestra'!L24)</f>
        <v>133.05600000000001</v>
      </c>
      <c r="K50" s="63"/>
    </row>
    <row r="51" spans="1:11" x14ac:dyDescent="0.15">
      <c r="A51" s="40" t="s">
        <v>603</v>
      </c>
      <c r="C51" s="59">
        <f>IF($F5*'Jan''14 Envestra'!E23/'Jan''14 Envestra'!E25&lt;'Jan''14 Envestra'!E27,0,IF($F5*'Jan''14 Envestra'!E23/'Jan''14 Envestra'!E24&lt;='Jan''14 Envestra'!E28,($F5*'Jan''14 Envestra'!E23/'Jan''14 Envestra'!E24-'Jan''14 Envestra'!E27)*('Jan''14 Envestra'!E46/100)*'Jan''14 Envestra'!E24,('Jan''14 Envestra'!E28-'Jan''14 Envestra'!E27)*('Jan''14 Envestra'!E46/100)*'Jan''14 Envestra'!E24))</f>
        <v>51.369516000000004</v>
      </c>
      <c r="D51" s="59">
        <v>0</v>
      </c>
      <c r="E51" s="59">
        <f>IF($F5*'Jan''14 Envestra'!G23/'Jan''14 Envestra'!G25&lt;'Jan''14 Envestra'!G27,0,IF($F5*'Jan''14 Envestra'!G23/'Jan''14 Envestra'!G24&lt;='Jan''14 Envestra'!G28,($F5*'Jan''14 Envestra'!G23/'Jan''14 Envestra'!G24-'Jan''14 Envestra'!G27)*('Jan''14 Envestra'!G46/100)*'Jan''14 Envestra'!G24,('Jan''14 Envestra'!G28-'Jan''14 Envestra'!G27)*('Jan''14 Envestra'!G46/100)*'Jan''14 Envestra'!G24))</f>
        <v>160.34257799999995</v>
      </c>
      <c r="F51" s="59">
        <f>IF($F5*'Jan''14 Envestra'!H23/'Jan''14 Envestra'!H25&lt;'Jan''14 Envestra'!H27,0,IF($F5*'Jan''14 Envestra'!H23/'Jan''14 Envestra'!H24&lt;='Jan''14 Envestra'!H28,($F5*'Jan''14 Envestra'!H23/'Jan''14 Envestra'!H24-'Jan''14 Envestra'!H27)*('Jan''14 Envestra'!H46/100)*'Jan''14 Envestra'!H24,('Jan''14 Envestra'!H28-'Jan''14 Envestra'!H27)*('Jan''14 Envestra'!H46/100)*'Jan''14 Envestra'!H24))</f>
        <v>0</v>
      </c>
      <c r="G51" s="59">
        <v>0</v>
      </c>
      <c r="H51" s="59">
        <v>0</v>
      </c>
      <c r="I51" s="59">
        <v>0</v>
      </c>
      <c r="J51" s="59">
        <v>0</v>
      </c>
      <c r="K51" s="63"/>
    </row>
    <row r="52" spans="1:11" x14ac:dyDescent="0.15">
      <c r="A52" s="40" t="s">
        <v>606</v>
      </c>
      <c r="C52" s="59">
        <f>IF(($F5*'Jan''14 Envestra'!E23/'Jan''14 Envestra'!E24&gt;'Jan''14 Envestra'!E28),($F5*'Jan''14 Envestra'!E23/'Jan''14 Envestra'!E24-'Jan''14 Envestra'!E28)*'Jan''14 Envestra'!E47/100*'Jan''14 Envestra'!E24,0)</f>
        <v>235.41337709999996</v>
      </c>
      <c r="D52" s="59">
        <f>IF(($F5*'Jan''14 Envestra'!F23/'Jan''14 Envestra'!F24&gt;'Jan''14 Envestra'!F27)*'Jan''14 Envestra'!F24,('Bills Jan''14'!$F5*'Jan''14 Envestra'!F23/'Jan''14 Envestra'!F24-'Jan''14 Envestra'!F28)*'Jan''14 Envestra'!F31/100)*'Jan''14 Envestra'!F24</f>
        <v>258.68938589999999</v>
      </c>
      <c r="E52" s="59">
        <f>IF(($F5*'Jan''14 Envestra'!G23/'Jan''14 Envestra'!G24&gt;'Jan''14 Envestra'!G28),($F5*'Jan''14 Envestra'!G23/'Jan''14 Envestra'!G24-'Jan''14 Envestra'!G28)*'Jan''14 Envestra'!G47/100*'Jan''14 Envestra'!G24,0)</f>
        <v>0</v>
      </c>
      <c r="F52" s="59">
        <f>IF(($F5*'Jan''14 Envestra'!H23/'Jan''14 Envestra'!H24&gt;'Jan''14 Envestra'!H28),($F5*'Jan''14 Envestra'!H23/'Jan''14 Envestra'!H24-'Jan''14 Envestra'!H28)*'Jan''14 Envestra'!H47/100*'Jan''14 Envestra'!H24,0)</f>
        <v>246.99646799999994</v>
      </c>
      <c r="G52" s="59">
        <f>IF(($F5*'Jan''14 Envestra'!I23/'Jan''14 Envestra'!I24&gt;'Jan''14 Envestra'!I27)*'Jan''14 Envestra'!I24,('Bills Jan''14'!$F5*'Jan''14 Envestra'!I23/'Jan''14 Envestra'!I24-'Jan''14 Envestra'!I28)*'Jan''14 Envestra'!I31/100)*'Jan''14 Envestra'!I24</f>
        <v>276.04628899999994</v>
      </c>
      <c r="H52" s="59">
        <f>IF(($F5*'Jan''14 Envestra'!J23/'Jan''14 Envestra'!J24&gt;'Jan''14 Envestra'!J27)*'Jan''14 Envestra'!J24,('Bills Jan''14'!$F5*'Jan''14 Envestra'!J23/'Jan''14 Envestra'!J24-'Jan''14 Envestra'!J28)*'Jan''14 Envestra'!J31/100)*'Jan''14 Envestra'!J24</f>
        <v>245.81558099999998</v>
      </c>
      <c r="I52" s="59">
        <f>IF(($F5*'Jan''14 Envestra'!K23/'Jan''14 Envestra'!K24&gt;'Jan''14 Envestra'!K27)*'Jan''14 Envestra'!K24,('Bills Jan''14'!$F5*'Jan''14 Envestra'!K23/'Jan''14 Envestra'!K24-'Jan''14 Envestra'!K28)*'Jan''14 Envestra'!K31/100)*'Jan''14 Envestra'!K24</f>
        <v>296.10952799999995</v>
      </c>
      <c r="J52" s="59">
        <f>IF(($F5*'Jan''14 Envestra'!L23/'Jan''14 Envestra'!L24&gt;'Jan''14 Envestra'!L27)*'Jan''14 Envestra'!L24,('Bills Jan''14'!$F5*'Jan''14 Envestra'!L23/'Jan''14 Envestra'!L24-'Jan''14 Envestra'!L28)*'Jan''14 Envestra'!L31/100)*'Jan''14 Envestra'!L24</f>
        <v>260.13457799999998</v>
      </c>
      <c r="K52" s="63"/>
    </row>
    <row r="53" spans="1:11" x14ac:dyDescent="0.15">
      <c r="A53" s="40" t="s">
        <v>607</v>
      </c>
      <c r="C53" s="59">
        <f>IF($F5*'Jan''14 Envestra'!E25/'Jan''14 Envestra'!E26&gt;='Jan''14 Envestra'!E27,('Jan''14 Envestra'!E27*'Jan''14 Envestra'!E48/100)*'Jan''14 Envestra'!E26,($F5*'Jan''14 Envestra'!E25/'Jan''14 Envestra'!E26*'Jan''14 Envestra'!E48/100*'Jan''14 Envestra'!E26))</f>
        <v>149.80785599999999</v>
      </c>
      <c r="D53" s="59">
        <f>IF($F5*'Jan''14 Envestra'!F25/'Jan''14 Envestra'!F26&gt;='Jan''14 Envestra'!F27,('Jan''14 Envestra'!F27*'Jan''14 Envestra'!F32/100)*'Jan''14 Envestra'!F26,('Bills Jan''14'!$F5*'Jan''14 Envestra'!F25/'Jan''14 Envestra'!F26*'Jan''14 Envestra'!F32/100)*'Jan''14 Envestra'!F26)</f>
        <v>258.93119999999999</v>
      </c>
      <c r="E53" s="59">
        <f>IF($F5*'Jan''14 Envestra'!G25/'Jan''14 Envestra'!G26&gt;='Jan''14 Envestra'!G27,('Jan''14 Envestra'!G27*'Jan''14 Envestra'!G48/100)*'Jan''14 Envestra'!G26,($F5*'Jan''14 Envestra'!G25/'Jan''14 Envestra'!G26*'Jan''14 Envestra'!G48/100*'Jan''14 Envestra'!G26))</f>
        <v>485.76</v>
      </c>
      <c r="F53" s="59">
        <f>IF($F5*'Jan''14 Envestra'!H25/'Jan''14 Envestra'!H26&gt;='Jan''14 Envestra'!H27,('Jan''14 Envestra'!H27*'Jan''14 Envestra'!H48/100)*'Jan''14 Envestra'!H26,($F5*'Jan''14 Envestra'!H25/'Jan''14 Envestra'!H26*'Jan''14 Envestra'!H48/100*'Jan''14 Envestra'!H26))</f>
        <v>283.904</v>
      </c>
      <c r="G53" s="59">
        <f>IF($F5*'Jan''14 Envestra'!I25/'Jan''14 Envestra'!I26&gt;='Jan''14 Envestra'!I27,('Jan''14 Envestra'!I27*'Jan''14 Envestra'!I32/100)*'Jan''14 Envestra'!I26,('Bills Jan''14'!$F5*'Jan''14 Envestra'!I25/'Jan''14 Envestra'!I26*'Jan''14 Envestra'!I32/100)*'Jan''14 Envestra'!I26)</f>
        <v>266.39359999999999</v>
      </c>
      <c r="H53" s="59">
        <f>IF($F5*'Jan''14 Envestra'!J25/'Jan''14 Envestra'!J26&gt;='Jan''14 Envestra'!J27,('Jan''14 Envestra'!J27*'Jan''14 Envestra'!J32/100)*'Jan''14 Envestra'!J26,('Bills Jan''14'!$F5*'Jan''14 Envestra'!J25/'Jan''14 Envestra'!J26*'Jan''14 Envestra'!J32/100)*'Jan''14 Envestra'!J26)</f>
        <v>254.76000000000005</v>
      </c>
      <c r="I53" s="59">
        <f>IF($F5*'Jan''14 Envestra'!K25/'Jan''14 Envestra'!K26&gt;='Jan''14 Envestra'!K27,('Jan''14 Envestra'!K27*'Jan''14 Envestra'!K32/100)*'Jan''14 Envestra'!K26,('Bills Jan''14'!$F5*'Jan''14 Envestra'!K25/'Jan''14 Envestra'!K26*'Jan''14 Envestra'!K32/100)*'Jan''14 Envestra'!K26)</f>
        <v>137.43839999999997</v>
      </c>
      <c r="J53" s="59">
        <f>IF($F5*'Jan''14 Envestra'!L25/'Jan''14 Envestra'!L26&gt;='Jan''14 Envestra'!L27,('Jan''14 Envestra'!L27*'Jan''14 Envestra'!L32/100)*'Jan''14 Envestra'!L26,('Bills Jan''14'!$F5*'Jan''14 Envestra'!L25/'Jan''14 Envestra'!L26*'Jan''14 Envestra'!L32/100)*'Jan''14 Envestra'!L26)</f>
        <v>247.80799999999999</v>
      </c>
      <c r="K53" s="63"/>
    </row>
    <row r="54" spans="1:11" x14ac:dyDescent="0.15">
      <c r="A54" s="40" t="s">
        <v>608</v>
      </c>
      <c r="C54" s="59">
        <f>IF($F5*'Jan''14 Envestra'!E25/'Jan''14 Envestra'!E26&lt;'Jan''14 Envestra'!E27,0,IF($F5*'Jan''14 Envestra'!E25/'Jan''14 Envestra'!E26&lt;='Jan''14 Envestra'!E28,($F5*'Jan''14 Envestra'!E25/'Jan''14 Envestra'!E26-'Jan''14 Envestra'!E27)*('Jan''14 Envestra'!E49/100)*'Jan''14 Envestra'!E26,('Jan''14 Envestra'!E28-'Jan''14 Envestra'!E27)*('Jan''14 Envestra'!E49/100)*'Jan''14 Envestra'!E26))</f>
        <v>102.73903200000001</v>
      </c>
      <c r="D54" s="59">
        <v>0</v>
      </c>
      <c r="E54" s="59">
        <f>IF($F5*'Jan''14 Envestra'!G25/'Jan''14 Envestra'!G26&lt;'Jan''14 Envestra'!G27,0,IF($F5*'Jan''14 Envestra'!G25/'Jan''14 Envestra'!G26&lt;='Jan''14 Envestra'!G28,($F5*'Jan''14 Envestra'!G25/'Jan''14 Envestra'!G26-'Jan''14 Envestra'!G27)*('Jan''14 Envestra'!G49/100)*'Jan''14 Envestra'!G26,('Jan''14 Envestra'!G28-'Jan''14 Envestra'!G27)*('Jan''14 Envestra'!G49/100)*'Jan''14 Envestra'!G26))</f>
        <v>312.76700399999993</v>
      </c>
      <c r="F54" s="59">
        <f>IF($F5*'Jan''14 Envestra'!H25/'Jan''14 Envestra'!H26&lt;'Jan''14 Envestra'!H27,0,IF($F5*'Jan''14 Envestra'!H25/'Jan''14 Envestra'!H26&lt;='Jan''14 Envestra'!H28,($F5*'Jan''14 Envestra'!H25/'Jan''14 Envestra'!H26-'Jan''14 Envestra'!H27)*('Jan''14 Envestra'!H49/100)*'Jan''14 Envestra'!H26,('Jan''14 Envestra'!H28-'Jan''14 Envestra'!H27)*('Jan''14 Envestra'!H49/100)*'Jan''14 Envestra'!H26))</f>
        <v>0</v>
      </c>
      <c r="G54" s="59">
        <v>0</v>
      </c>
      <c r="H54" s="59">
        <v>0</v>
      </c>
      <c r="I54" s="59">
        <v>0</v>
      </c>
      <c r="J54" s="59">
        <v>0</v>
      </c>
      <c r="K54" s="63"/>
    </row>
    <row r="55" spans="1:11" x14ac:dyDescent="0.15">
      <c r="A55" s="40" t="s">
        <v>611</v>
      </c>
      <c r="C55" s="59">
        <f>IF(($F5*'Jan''14 Envestra'!E25/'Jan''14 Envestra'!E26&gt;'Jan''14 Envestra'!E28),($F5*'Jan''14 Envestra'!E25/'Jan''14 Envestra'!E26-'Jan''14 Envestra'!E28)*'Jan''14 Envestra'!E50/100*'Jan''14 Envestra'!E26,0)</f>
        <v>470.82675419999993</v>
      </c>
      <c r="D55" s="59">
        <f>IF(($F5*'Jan''14 Envestra'!F25/'Jan''14 Envestra'!F26&gt;'Jan''14 Envestra'!F27),('Bills Jan''14'!$F5*'Jan''14 Envestra'!F25/'Jan''14 Envestra'!F26-'Jan''14 Envestra'!F27)*'Jan''14 Envestra'!F34/100)*'Jan''14 Envestra'!F26</f>
        <v>502.28454319999992</v>
      </c>
      <c r="E55" s="59">
        <f>IF(($F5*'Jan''14 Envestra'!G25/'Jan''14 Envestra'!G26&gt;'Jan''14 Envestra'!G28),($F5*'Jan''14 Envestra'!G25/'Jan''14 Envestra'!G26-'Jan''14 Envestra'!G28)*'Jan''14 Envestra'!G50/100*'Jan''14 Envestra'!G26,0)</f>
        <v>0</v>
      </c>
      <c r="F55" s="59">
        <f>IF(($F5*'Jan''14 Envestra'!H25/'Jan''14 Envestra'!H26&gt;'Jan''14 Envestra'!H28),($F5*'Jan''14 Envestra'!H25/'Jan''14 Envestra'!H26-'Jan''14 Envestra'!H28)*'Jan''14 Envestra'!H50/100*'Jan''14 Envestra'!H26,0)</f>
        <v>468.00867399999993</v>
      </c>
      <c r="G55" s="59">
        <f>IF(($F5*'Jan''14 Envestra'!I25/'Jan''14 Envestra'!I26&gt;'Jan''14 Envestra'!I27),('Bills Jan''14'!$F5*'Jan''14 Envestra'!I25/'Jan''14 Envestra'!I26-'Jan''14 Envestra'!I27)*'Jan''14 Envestra'!I34/100)*'Jan''14 Envestra'!I26</f>
        <v>538.95446800000002</v>
      </c>
      <c r="H55" s="59">
        <f>IF(($F5*'Jan''14 Envestra'!J25/'Jan''14 Envestra'!J26&gt;'Jan''14 Envestra'!J27),('Bills Jan''14'!$F5*'Jan''14 Envestra'!J25/'Jan''14 Envestra'!J26-'Jan''14 Envestra'!J27)*'Jan''14 Envestra'!J34/100)*'Jan''14 Envestra'!J26</f>
        <v>491.63116199999996</v>
      </c>
      <c r="I55" s="59">
        <f>IF(($F5*'Jan''14 Envestra'!K25/'Jan''14 Envestra'!K26&gt;'Jan''14 Envestra'!K27),('Bills Jan''14'!$F5*'Jan''14 Envestra'!K25/'Jan''14 Envestra'!K26-'Jan''14 Envestra'!K27)*'Jan''14 Envestra'!K34/100)*'Jan''14 Envestra'!K26</f>
        <v>592.21905599999991</v>
      </c>
      <c r="J55" s="59">
        <f>IF(($F5*'Jan''14 Envestra'!L25/'Jan''14 Envestra'!L26&gt;'Jan''14 Envestra'!L27),('Bills Jan''14'!$F5*'Jan''14 Envestra'!L25/'Jan''14 Envestra'!L26-'Jan''14 Envestra'!L27)*'Jan''14 Envestra'!L34/100)*'Jan''14 Envestra'!L26</f>
        <v>494.57685199999992</v>
      </c>
      <c r="K55" s="63"/>
    </row>
    <row r="56" spans="1:11" x14ac:dyDescent="0.15">
      <c r="A56" s="40" t="s">
        <v>612</v>
      </c>
      <c r="C56" s="59">
        <f>365*'Jan''14 Envestra'!E35/100</f>
        <v>244.35290000000001</v>
      </c>
      <c r="D56" s="59">
        <f>365*'Jan''14 Envestra'!F35/100</f>
        <v>221.54769999999999</v>
      </c>
      <c r="E56" s="59">
        <f>365*'Jan''14 Envestra'!G35/100</f>
        <v>248.93</v>
      </c>
      <c r="F56" s="59">
        <f>365*'Jan''14 Envestra'!H35/100</f>
        <v>244.10470000000001</v>
      </c>
      <c r="G56" s="59">
        <f>365*'Jan''14 Envestra'!I35/100</f>
        <v>247.87149999999997</v>
      </c>
      <c r="H56" s="59">
        <f>365*'Jan''14 Envestra'!J35/100</f>
        <v>208.78</v>
      </c>
      <c r="I56" s="59">
        <f>365*'Jan''14 Envestra'!K35/100</f>
        <v>240.5788</v>
      </c>
      <c r="J56" s="59">
        <f>365*'Jan''14 Envestra'!L35/100</f>
        <v>228.65425000000002</v>
      </c>
      <c r="K56" s="60">
        <f>AVERAGE(C56:J56)</f>
        <v>235.60248124999998</v>
      </c>
    </row>
    <row r="57" spans="1:11" x14ac:dyDescent="0.15">
      <c r="A57" s="62" t="s">
        <v>613</v>
      </c>
      <c r="B57" s="63"/>
      <c r="C57" s="61">
        <f t="shared" ref="C57:H57" si="3">SUM(C50:C56)</f>
        <v>1329.4133632999999</v>
      </c>
      <c r="D57" s="61">
        <f t="shared" si="3"/>
        <v>1377.3952291000001</v>
      </c>
      <c r="E57" s="61">
        <f t="shared" si="3"/>
        <v>1459.9195819999998</v>
      </c>
      <c r="F57" s="61">
        <f>SUM(F50:F56)</f>
        <v>1387.333842</v>
      </c>
      <c r="G57" s="61">
        <f t="shared" si="3"/>
        <v>1467.237057</v>
      </c>
      <c r="H57" s="61">
        <f t="shared" si="3"/>
        <v>1328.366743</v>
      </c>
      <c r="I57" s="61">
        <f>SUM(I50:I56)</f>
        <v>1335.0649839999999</v>
      </c>
      <c r="J57" s="61">
        <f>SUM(J50:J56)</f>
        <v>1364.2296799999999</v>
      </c>
      <c r="K57" s="64">
        <f>AVERAGE(C57:J57)</f>
        <v>1381.1200600500001</v>
      </c>
    </row>
    <row r="59" spans="1:11" x14ac:dyDescent="0.15">
      <c r="A59" s="53" t="s">
        <v>1028</v>
      </c>
      <c r="C59" s="23" t="s">
        <v>1044</v>
      </c>
      <c r="D59" s="23" t="s">
        <v>591</v>
      </c>
      <c r="E59" s="23" t="s">
        <v>592</v>
      </c>
      <c r="F59" s="23" t="s">
        <v>615</v>
      </c>
      <c r="G59" s="23" t="s">
        <v>515</v>
      </c>
      <c r="H59" s="23" t="s">
        <v>516</v>
      </c>
      <c r="I59" s="23" t="s">
        <v>597</v>
      </c>
      <c r="J59" s="23" t="s">
        <v>598</v>
      </c>
      <c r="K59" s="57" t="s">
        <v>601</v>
      </c>
    </row>
    <row r="60" spans="1:11" x14ac:dyDescent="0.15">
      <c r="A60" s="40" t="s">
        <v>602</v>
      </c>
      <c r="C60" s="59">
        <f>IF($F5*'Jan''14 Envestra'!E39/'Jan''14 Envestra'!E40&gt;='Jan''14 Envestra'!E43,('Jan''14 Envestra'!E43*'Jan''14 Envestra'!E45/100)*'Jan''14 Envestra'!E40,($F5*'Jan''14 Envestra'!E39/'Jan''14 Envestra'!E40*'Jan''14 Envestra'!E45/100)*'Jan''14 Envestra'!E40)</f>
        <v>74.903927999999993</v>
      </c>
      <c r="D60" s="59">
        <f>IF($F5*'Jan''14 Envestra'!F39/'Jan''14 Envestra'!F40&gt;='Jan''14 Envestra'!F43,('Jan''14 Envestra'!F43*'Jan''14 Envestra'!F45/100)*'Jan''14 Envestra'!F40,($F5*'Jan''14 Envestra'!F39/'Jan''14 Envestra'!F40*'Jan''14 Envestra'!F45/100)*'Jan''14 Envestra'!F40)</f>
        <v>169.84</v>
      </c>
      <c r="E60" s="59">
        <f>IF($F5*'Jan''14 Envestra'!G39/'Jan''14 Envestra'!G40&gt;='Jan''14 Envestra'!G43,('Jan''14 Envestra'!G43*'Jan''14 Envestra'!G45/100)*'Jan''14 Envestra'!G40,($F5*'Jan''14 Envestra'!G39/'Jan''14 Envestra'!G40*'Jan''14 Envestra'!G45/100)*'Jan''14 Envestra'!G40)</f>
        <v>252.12</v>
      </c>
      <c r="F60" s="59">
        <f>IF($F5*'Jan''14 Envestra'!H39/'Jan''14 Envestra'!H40&gt;='Jan''14 Envestra'!H43,('Jan''14 Envestra'!H43*'Jan''14 Envestra'!H45/100)*'Jan''14 Envestra'!H40,($F5*'Jan''14 Envestra'!H39/'Jan''14 Envestra'!H40*'Jan''14 Envestra'!H45/100)*'Jan''14 Envestra'!H40)</f>
        <v>180.4</v>
      </c>
      <c r="G60" s="59">
        <f>IF($F5*'Jan''14 Envestra'!I39/'Jan''14 Envestra'!I40&gt;='Jan''14 Envestra'!I43,('Jan''14 Envestra'!I43*'Jan''14 Envestra'!I45/100)*'Jan''14 Envestra'!I40,($F5*'Jan''14 Envestra'!I39/'Jan''14 Envestra'!I40*'Jan''14 Envestra'!I45/100)*'Jan''14 Envestra'!I40)</f>
        <v>171.89599999999999</v>
      </c>
      <c r="H60" s="59">
        <f>IF($F5*'Jan''14 Envestra'!J39/'Jan''14 Envestra'!J40&gt;='Jan''14 Envestra'!J43,('Jan''14 Envestra'!J43*'Jan''14 Envestra'!J45/100)*'Jan''14 Envestra'!J40,($F5*'Jan''14 Envestra'!J39/'Jan''14 Envestra'!J40*'Jan''14 Envestra'!J45/100)*'Jan''14 Envestra'!J40)</f>
        <v>124.74000000000002</v>
      </c>
      <c r="I60" s="59">
        <f>IF($F5*'Jan''14 Envestra'!K39/'Jan''14 Envestra'!K40&gt;='Jan''14 Envestra'!K43,('Jan''14 Envestra'!K43*'Jan''14 Envestra'!K45/100)*'Jan''14 Envestra'!K40,($F5*'Jan''14 Envestra'!K39/'Jan''14 Envestra'!K40*'Jan''14 Envestra'!K45/100)*'Jan''14 Envestra'!K40)</f>
        <v>80.292960000000008</v>
      </c>
      <c r="J60" s="59">
        <f>IF($F5*'Jan''14 Envestra'!L39/'Jan''14 Envestra'!L40&gt;='Jan''14 Envestra'!L43,('Jan''14 Envestra'!L43*'Jan''14 Envestra'!L45/100)*'Jan''14 Envestra'!L40,($F5*'Jan''14 Envestra'!L39/'Jan''14 Envestra'!L40*'Jan''14 Envestra'!L45/100)*'Jan''14 Envestra'!L40)</f>
        <v>169.84</v>
      </c>
      <c r="K60" s="63"/>
    </row>
    <row r="61" spans="1:11" x14ac:dyDescent="0.15">
      <c r="A61" s="40" t="s">
        <v>603</v>
      </c>
      <c r="C61" s="59">
        <f>IF($F5*'Jan''14 Envestra'!E39/'Jan''14 Envestra'!E40&lt;'Jan''14 Envestra'!E43,0,IF($F5*'Jan''14 Envestra'!E39/'Jan''14 Envestra'!E40&lt;='Jan''14 Envestra'!E44,($F5*'Jan''14 Envestra'!E39/'Jan''14 Envestra'!E40-'Jan''14 Envestra'!E43)*('Jan''14 Envestra'!E46/100)*'Jan''14 Envestra'!E40,('Jan''14 Envestra'!E44-'Jan''14 Envestra'!E43)*('Jan''14 Envestra'!E46/100)*'Jan''14 Envestra'!E40))</f>
        <v>51.369516000000004</v>
      </c>
      <c r="D61" s="59">
        <f>IF($F5*'Jan''14 Envestra'!F39/'Jan''14 Envestra'!F40&lt;'Jan''14 Envestra'!F43,0,IF($F5*'Jan''14 Envestra'!F39/'Jan''14 Envestra'!F40&lt;='Jan''14 Envestra'!F44,($F5*'Jan''14 Envestra'!F39/'Jan''14 Envestra'!F40-'Jan''14 Envestra'!F43)*('Jan''14 Envestra'!F46/100)*'Jan''14 Envestra'!F40,('Jan''14 Envestra'!F44-'Jan''14 Envestra'!F43)*('Jan''14 Envestra'!F46/100)*'Jan''14 Envestra'!F40))</f>
        <v>244.77645279999999</v>
      </c>
      <c r="E61" s="59">
        <f>IF($F5*'Jan''14 Envestra'!G39/'Jan''14 Envestra'!G40&lt;'Jan''14 Envestra'!G43,0,IF($F5*'Jan''14 Envestra'!G39/'Jan''14 Envestra'!G40&lt;='Jan''14 Envestra'!G44,($F5*'Jan''14 Envestra'!G39/'Jan''14 Envestra'!G40-'Jan''14 Envestra'!G43)*('Jan''14 Envestra'!G46/100)*'Jan''14 Envestra'!G40,('Jan''14 Envestra'!G44-'Jan''14 Envestra'!G43)*('Jan''14 Envestra'!G46/100)*'Jan''14 Envestra'!G40))</f>
        <v>160.34257799999995</v>
      </c>
      <c r="F61" s="59">
        <f>IF($F5*'Jan''14 Envestra'!H39/'Jan''14 Envestra'!H40&lt;'Jan''14 Envestra'!H43,0,IF($F5*'Jan''14 Envestra'!H39/'Jan''14 Envestra'!H40&lt;='Jan''14 Envestra'!H44,($F5*'Jan''14 Envestra'!H39/'Jan''14 Envestra'!H40-'Jan''14 Envestra'!H43)*('Jan''14 Envestra'!H46/100)*'Jan''14 Envestra'!H40,('Jan''14 Envestra'!H44-'Jan''14 Envestra'!H43)*('Jan''14 Envestra'!H46/100)*'Jan''14 Envestra'!H40))</f>
        <v>259.568063</v>
      </c>
      <c r="G61" s="59">
        <f>IF($F5*'Jan''14 Envestra'!I39/'Jan''14 Envestra'!I40&lt;'Jan''14 Envestra'!I43,0,IF($F5*'Jan''14 Envestra'!I39/'Jan''14 Envestra'!I40&lt;='Jan''14 Envestra'!I44,($F5*'Jan''14 Envestra'!I39/'Jan''14 Envestra'!I40-'Jan''14 Envestra'!I43)*('Jan''14 Envestra'!I46/100)*'Jan''14 Envestra'!I40,('Jan''14 Envestra'!I44-'Jan''14 Envestra'!I43)*('Jan''14 Envestra'!I46/100)*'Jan''14 Envestra'!I40))</f>
        <v>243.46366489999997</v>
      </c>
      <c r="H61" s="59">
        <f>IF($F5*'Jan''14 Envestra'!J39/'Jan''14 Envestra'!J40&lt;'Jan''14 Envestra'!J43,0,IF($F5*'Jan''14 Envestra'!J39/'Jan''14 Envestra'!J40&lt;='Jan''14 Envestra'!J44,($F5*'Jan''14 Envestra'!J39/'Jan''14 Envestra'!J40-'Jan''14 Envestra'!J43)*('Jan''14 Envestra'!J46/100)*'Jan''14 Envestra'!J40,('Jan''14 Envestra'!J44-'Jan''14 Envestra'!J43)*('Jan''14 Envestra'!J46/100)*'Jan''14 Envestra'!J40))</f>
        <v>0</v>
      </c>
      <c r="I61" s="59">
        <f>IF($F5*'Jan''14 Envestra'!K39/'Jan''14 Envestra'!K40&lt;'Jan''14 Envestra'!K43,0,IF($F5*'Jan''14 Envestra'!K39/'Jan''14 Envestra'!K40&lt;='Jan''14 Envestra'!K44,($F5*'Jan''14 Envestra'!K39/'Jan''14 Envestra'!K40-'Jan''14 Envestra'!K43)*('Jan''14 Envestra'!K46/100)*'Jan''14 Envestra'!K40,('Jan''14 Envestra'!K44-'Jan''14 Envestra'!K43)*('Jan''14 Envestra'!K46/100)*'Jan''14 Envestra'!K40))</f>
        <v>55.503360000000001</v>
      </c>
      <c r="J61" s="59">
        <f>IF($F5*'Jan''14 Envestra'!L39/'Jan''14 Envestra'!L40&lt;'Jan''14 Envestra'!L43,0,IF($F5*'Jan''14 Envestra'!L39/'Jan''14 Envestra'!L40&lt;='Jan''14 Envestra'!L44,($F5*'Jan''14 Envestra'!L39/'Jan''14 Envestra'!L40-'Jan''14 Envestra'!L43)*('Jan''14 Envestra'!L46/100)*'Jan''14 Envestra'!L40,('Jan''14 Envestra'!L44-'Jan''14 Envestra'!L43)*('Jan''14 Envestra'!L46/100)*'Jan''14 Envestra'!L40))</f>
        <v>243.06072999999998</v>
      </c>
      <c r="K61" s="63"/>
    </row>
    <row r="62" spans="1:11" x14ac:dyDescent="0.15">
      <c r="A62" s="40" t="s">
        <v>606</v>
      </c>
      <c r="C62" s="59">
        <f>IF(($F5*'Jan''14 Envestra'!E39/'Jan''14 Envestra'!E40&gt;'Jan''14 Envestra'!E44),($F5*'Jan''14 Envestra'!E39/'Jan''14 Envestra'!E40-'Jan''14 Envestra'!E44)*'Jan''14 Envestra'!E47/100)*'Jan''14 Envestra'!E40</f>
        <v>235.41337709999996</v>
      </c>
      <c r="D62" s="59">
        <f>IF(($F5*'Jan''14 Envestra'!F39/'Jan''14 Envestra'!F40&gt;'Jan''14 Envestra'!F44),($F5*'Jan''14 Envestra'!F39/'Jan''14 Envestra'!F40-'Jan''14 Envestra'!F44)*'Jan''14 Envestra'!F47/100)*'Jan''14 Envestra'!F40</f>
        <v>0</v>
      </c>
      <c r="E62" s="59">
        <f>IF(($F5*'Jan''14 Envestra'!G39/'Jan''14 Envestra'!G40&gt;'Jan''14 Envestra'!G44),($F5*'Jan''14 Envestra'!G39/'Jan''14 Envestra'!G40-'Jan''14 Envestra'!G44)*'Jan''14 Envestra'!G47/100)*'Jan''14 Envestra'!G40</f>
        <v>0</v>
      </c>
      <c r="F62" s="59">
        <f>IF(($F5*'Jan''14 Envestra'!H39/'Jan''14 Envestra'!H40&gt;'Jan''14 Envestra'!H44),($F5*'Jan''14 Envestra'!H39/'Jan''14 Envestra'!H40-'Jan''14 Envestra'!H44)*'Jan''14 Envestra'!H47/100)*'Jan''14 Envestra'!H40</f>
        <v>0</v>
      </c>
      <c r="G62" s="59">
        <f>IF(($F5*'Jan''14 Envestra'!I39/'Jan''14 Envestra'!I40&gt;'Jan''14 Envestra'!I44),($F5*'Jan''14 Envestra'!I39/'Jan''14 Envestra'!I40-'Jan''14 Envestra'!I44)*'Jan''14 Envestra'!I47/100)*'Jan''14 Envestra'!I40</f>
        <v>0</v>
      </c>
      <c r="H62" s="59">
        <f>IF(($F5*'Jan''14 Envestra'!J39/'Jan''14 Envestra'!J40&gt;'Jan''14 Envestra'!J44),($F5*'Jan''14 Envestra'!J39/'Jan''14 Envestra'!J40-'Jan''14 Envestra'!J44)*'Jan''14 Envestra'!J47/100)*'Jan''14 Envestra'!J40</f>
        <v>254.06442599999994</v>
      </c>
      <c r="I62" s="59">
        <f>IF(($F5*'Jan''14 Envestra'!K39/'Jan''14 Envestra'!K40&gt;'Jan''14 Envestra'!K44),($F5*'Jan''14 Envestra'!K39/'Jan''14 Envestra'!K40-'Jan''14 Envestra'!K44)*'Jan''14 Envestra'!K47/100)*'Jan''14 Envestra'!K40</f>
        <v>255.48738599999996</v>
      </c>
      <c r="J62" s="59">
        <f>IF(($F5*'Jan''14 Envestra'!L39/'Jan''14 Envestra'!L40&gt;'Jan''14 Envestra'!L44),($F5*'Jan''14 Envestra'!L39/'Jan''14 Envestra'!L40-'Jan''14 Envestra'!L44)*'Jan''14 Envestra'!L47/100)*'Jan''14 Envestra'!L40</f>
        <v>0</v>
      </c>
      <c r="K62" s="63"/>
    </row>
    <row r="63" spans="1:11" x14ac:dyDescent="0.15">
      <c r="A63" s="40" t="s">
        <v>607</v>
      </c>
      <c r="C63" s="59">
        <f>IF($F5*'Jan''14 Envestra'!E41/'Jan''14 Envestra'!E42&gt;='Jan''14 Envestra'!E43,('Jan''14 Envestra'!E43*'Jan''14 Envestra'!E48/100)*'Jan''14 Envestra'!E42,($F5*'Jan''14 Envestra'!E41/'Jan''14 Envestra'!E42*'Jan''14 Envestra'!E48/100)*'Jan''14 Envestra'!E42)</f>
        <v>149.80785599999999</v>
      </c>
      <c r="D63" s="59">
        <f>IF($F5*'Jan''14 Envestra'!F41/'Jan''14 Envestra'!F42&gt;='Jan''14 Envestra'!F43,('Jan''14 Envestra'!F43*'Jan''14 Envestra'!F48/100)*'Jan''14 Envestra'!F42,($F5*'Jan''14 Envestra'!F41/'Jan''14 Envestra'!F42*'Jan''14 Envestra'!F48/100)*'Jan''14 Envestra'!F42)</f>
        <v>331.584</v>
      </c>
      <c r="E63" s="59">
        <f>IF($F5*'Jan''14 Envestra'!G41/'Jan''14 Envestra'!G42&gt;='Jan''14 Envestra'!G43,('Jan''14 Envestra'!G43*'Jan''14 Envestra'!G48/100)*'Jan''14 Envestra'!G42,($F5*'Jan''14 Envestra'!G41/'Jan''14 Envestra'!G42*'Jan''14 Envestra'!G48/100)*'Jan''14 Envestra'!G42)</f>
        <v>485.76</v>
      </c>
      <c r="F63" s="59">
        <f>IF($F5*'Jan''14 Envestra'!H41/'Jan''14 Envestra'!H42&gt;='Jan''14 Envestra'!H43,('Jan''14 Envestra'!H43*'Jan''14 Envestra'!H48/100)*'Jan''14 Envestra'!H42,($F5*'Jan''14 Envestra'!H41/'Jan''14 Envestra'!H42*'Jan''14 Envestra'!H48/100)*'Jan''14 Envestra'!H42)</f>
        <v>354.88</v>
      </c>
      <c r="G63" s="59">
        <f>IF($F5*'Jan''14 Envestra'!I41/'Jan''14 Envestra'!I42&gt;='Jan''14 Envestra'!I43,('Jan''14 Envestra'!I43*'Jan''14 Envestra'!I48/100)*'Jan''14 Envestra'!I42,($F5*'Jan''14 Envestra'!I41/'Jan''14 Envestra'!I42*'Jan''14 Envestra'!I48/100)*'Jan''14 Envestra'!I42)</f>
        <v>335.48800000000006</v>
      </c>
      <c r="H63" s="59">
        <f>IF($F5*'Jan''14 Envestra'!J41/'Jan''14 Envestra'!J42&gt;='Jan''14 Envestra'!J43,('Jan''14 Envestra'!J43*'Jan''14 Envestra'!J48/100)*'Jan''14 Envestra'!J42,($F5*'Jan''14 Envestra'!J41/'Jan''14 Envestra'!J42*'Jan''14 Envestra'!J48/100)*'Jan''14 Envestra'!J42)</f>
        <v>249.48000000000005</v>
      </c>
      <c r="I63" s="59">
        <f>IF($F5*'Jan''14 Envestra'!K41/'Jan''14 Envestra'!K42&gt;='Jan''14 Envestra'!K43,('Jan''14 Envestra'!K43*'Jan''14 Envestra'!K48/100)*'Jan''14 Envestra'!K42,($F5*'Jan''14 Envestra'!K41/'Jan''14 Envestra'!K42*'Jan''14 Envestra'!K48/100)*'Jan''14 Envestra'!K42)</f>
        <v>160.58592000000002</v>
      </c>
      <c r="J63" s="59">
        <f>IF($F5*'Jan''14 Envestra'!L41/'Jan''14 Envestra'!L42&gt;='Jan''14 Envestra'!L43,('Jan''14 Envestra'!L43*'Jan''14 Envestra'!L48/100)*'Jan''14 Envestra'!L42,($F5*'Jan''14 Envestra'!L41/'Jan''14 Envestra'!L42*'Jan''14 Envestra'!L48/100)*'Jan''14 Envestra'!L42)</f>
        <v>329.12</v>
      </c>
      <c r="K63" s="63"/>
    </row>
    <row r="64" spans="1:11" x14ac:dyDescent="0.15">
      <c r="A64" s="40" t="s">
        <v>608</v>
      </c>
      <c r="C64" s="59">
        <f>IF($F5*'Jan''14 Envestra'!E41/'Jan''14 Envestra'!E42&lt;'Jan''14 Envestra'!E43,0,IF($F5*'Jan''14 Envestra'!E41/'Jan''14 Envestra'!E42&lt;='Jan''14 Envestra'!E44,($F5*'Jan''14 Envestra'!E41/'Jan''14 Envestra'!E42-'Jan''14 Envestra'!E43)*('Jan''14 Envestra'!E49/100)*'Jan''14 Envestra'!E42,('Jan''14 Envestra'!E44-'Jan''14 Envestra'!E43)*('Jan''14 Envestra'!E49/100)*'Jan''14 Envestra'!E42))</f>
        <v>102.73903200000001</v>
      </c>
      <c r="D64" s="59">
        <f>IF($F5*'Jan''14 Envestra'!F41/'Jan''14 Envestra'!F42&lt;'Jan''14 Envestra'!F43,0,IF($F5*'Jan''14 Envestra'!F41/'Jan''14 Envestra'!F42&lt;='Jan''14 Envestra'!F44,($F5*'Jan''14 Envestra'!F41/'Jan''14 Envestra'!F42-'Jan''14 Envestra'!F43)*('Jan''14 Envestra'!F49/100)*'Jan''14 Envestra'!F42,('Jan''14 Envestra'!F44-'Jan''14 Envestra'!F43)*('Jan''14 Envestra'!F49/100)*'Jan''14 Envestra'!F42))</f>
        <v>473.82544659999991</v>
      </c>
      <c r="E64" s="59">
        <f>IF($F5*'Jan''14 Envestra'!G41/'Jan''14 Envestra'!G42&lt;'Jan''14 Envestra'!G43,0,IF($F5*'Jan''14 Envestra'!G41/'Jan''14 Envestra'!G42&lt;='Jan''14 Envestra'!G44,($F5*'Jan''14 Envestra'!G41/'Jan''14 Envestra'!G42-'Jan''14 Envestra'!G43)*('Jan''14 Envestra'!G49/100)*'Jan''14 Envestra'!G42,('Jan''14 Envestra'!G44-'Jan''14 Envestra'!G43)*('Jan''14 Envestra'!G49/100)*'Jan''14 Envestra'!G42))</f>
        <v>312.76700399999993</v>
      </c>
      <c r="F64" s="59">
        <f>IF($F5*'Jan''14 Envestra'!H41/'Jan''14 Envestra'!H42&lt;'Jan''14 Envestra'!H43,0,IF($F5*'Jan''14 Envestra'!H41/'Jan''14 Envestra'!H42&lt;='Jan''14 Envestra'!H44,($F5*'Jan''14 Envestra'!H41/'Jan''14 Envestra'!H42-'Jan''14 Envestra'!H43)*('Jan''14 Envestra'!H49/100)*'Jan''14 Envestra'!H42,('Jan''14 Envestra'!H44-'Jan''14 Envestra'!H43)*('Jan''14 Envestra'!H49/100)*'Jan''14 Envestra'!H42))</f>
        <v>513.15709199999992</v>
      </c>
      <c r="G64" s="59">
        <f>IF($F5*'Jan''14 Envestra'!I41/'Jan''14 Envestra'!I42&lt;'Jan''14 Envestra'!I43,0,IF($F5*'Jan''14 Envestra'!I41/'Jan''14 Envestra'!I42&lt;='Jan''14 Envestra'!I44,($F5*'Jan''14 Envestra'!I41/'Jan''14 Envestra'!I42-'Jan''14 Envestra'!I43)*('Jan''14 Envestra'!I49/100)*'Jan''14 Envestra'!I42,('Jan''14 Envestra'!I44-'Jan''14 Envestra'!I43)*('Jan''14 Envestra'!I49/100)*'Jan''14 Envestra'!I42))</f>
        <v>475.07324499999993</v>
      </c>
      <c r="H64" s="59">
        <f>IF($F5*'Jan''14 Envestra'!J41/'Jan''14 Envestra'!J42&lt;'Jan''14 Envestra'!J43,0,IF($F5*'Jan''14 Envestra'!J41/'Jan''14 Envestra'!J42&lt;='Jan''14 Envestra'!J44,($F5*'Jan''14 Envestra'!J41/'Jan''14 Envestra'!J42-'Jan''14 Envestra'!J43)*('Jan''14 Envestra'!J49/100)*'Jan''14 Envestra'!J42,('Jan''14 Envestra'!J44-'Jan''14 Envestra'!J43)*('Jan''14 Envestra'!J49/100)*'Jan''14 Envestra'!J42))</f>
        <v>0</v>
      </c>
      <c r="I64" s="59">
        <f>IF($F5*'Jan''14 Envestra'!K41/'Jan''14 Envestra'!K42&lt;'Jan''14 Envestra'!K43,0,IF($F5*'Jan''14 Envestra'!K41/'Jan''14 Envestra'!K42&lt;='Jan''14 Envestra'!K44,($F5*'Jan''14 Envestra'!K41/'Jan''14 Envestra'!K42-'Jan''14 Envestra'!K43)*('Jan''14 Envestra'!K49/100)*'Jan''14 Envestra'!K42,('Jan''14 Envestra'!K44-'Jan''14 Envestra'!K43)*('Jan''14 Envestra'!K49/100)*'Jan''14 Envestra'!K42))</f>
        <v>111.00672</v>
      </c>
      <c r="J64" s="59">
        <f>IF($F5*'Jan''14 Envestra'!L41/'Jan''14 Envestra'!L42&lt;'Jan''14 Envestra'!L43,0,IF($F5*'Jan''14 Envestra'!L41/'Jan''14 Envestra'!L42&lt;='Jan''14 Envestra'!L44,($F5*'Jan''14 Envestra'!L41/'Jan''14 Envestra'!L42-'Jan''14 Envestra'!L43)*('Jan''14 Envestra'!L49/100)*'Jan''14 Envestra'!L42,('Jan''14 Envestra'!L44-'Jan''14 Envestra'!L43)*('Jan''14 Envestra'!L49/100)*'Jan''14 Envestra'!L42))</f>
        <v>466.10469399999988</v>
      </c>
      <c r="K64" s="63"/>
    </row>
    <row r="65" spans="1:11" x14ac:dyDescent="0.15">
      <c r="A65" s="40" t="s">
        <v>611</v>
      </c>
      <c r="C65" s="59">
        <f>IF(($F5*'Jan''14 Envestra'!E41/'Jan''14 Envestra'!E42&gt;'Jan''14 Envestra'!E44),($F5*'Jan''14 Envestra'!E41/'Jan''14 Envestra'!E42-'Jan''14 Envestra'!E44)*'Jan''14 Envestra'!E50/100)*'Jan''14 Envestra'!E42</f>
        <v>470.82675419999993</v>
      </c>
      <c r="D65" s="59">
        <f>IF(($F5*'Jan''14 Envestra'!F41/'Jan''14 Envestra'!F42&gt;'Jan''14 Envestra'!F44),($F5*'Jan''14 Envestra'!F41/'Jan''14 Envestra'!F42-'Jan''14 Envestra'!F44)*'Jan''14 Envestra'!F50/100)*'Jan''14 Envestra'!F42</f>
        <v>0</v>
      </c>
      <c r="E65" s="59">
        <f>IF(($F5*'Jan''14 Envestra'!G41/'Jan''14 Envestra'!G42&gt;'Jan''14 Envestra'!G44),($F5*'Jan''14 Envestra'!G41/'Jan''14 Envestra'!G42-'Jan''14 Envestra'!G44)*'Jan''14 Envestra'!G50/100)*'Jan''14 Envestra'!G42</f>
        <v>0</v>
      </c>
      <c r="F65" s="59">
        <f>IF(($F5*'Jan''14 Envestra'!H41/'Jan''14 Envestra'!H42&gt;'Jan''14 Envestra'!H44),($F5*'Jan''14 Envestra'!H41/'Jan''14 Envestra'!H42-'Jan''14 Envestra'!H44)*'Jan''14 Envestra'!H50/100)*'Jan''14 Envestra'!H42</f>
        <v>0</v>
      </c>
      <c r="G65" s="59">
        <f>IF(($F5*'Jan''14 Envestra'!I41/'Jan''14 Envestra'!I42&gt;'Jan''14 Envestra'!I44),($F5*'Jan''14 Envestra'!I41/'Jan''14 Envestra'!I42-'Jan''14 Envestra'!I44)*'Jan''14 Envestra'!I50/100)*'Jan''14 Envestra'!I42</f>
        <v>0</v>
      </c>
      <c r="H65" s="59">
        <f>IF(($F5*'Jan''14 Envestra'!J41/'Jan''14 Envestra'!J42&gt;'Jan''14 Envestra'!J44),($F5*'Jan''14 Envestra'!J41/'Jan''14 Envestra'!J42-'Jan''14 Envestra'!J44)*'Jan''14 Envestra'!J50/100)*'Jan''14 Envestra'!J42</f>
        <v>508.12885199999988</v>
      </c>
      <c r="I65" s="59">
        <f>IF(($F5*'Jan''14 Envestra'!K41/'Jan''14 Envestra'!K42&gt;'Jan''14 Envestra'!K44),($F5*'Jan''14 Envestra'!K41/'Jan''14 Envestra'!K42-'Jan''14 Envestra'!K44)*'Jan''14 Envestra'!K50/100)*'Jan''14 Envestra'!K42</f>
        <v>510.97477199999992</v>
      </c>
      <c r="J65" s="59">
        <f>IF(($F5*'Jan''14 Envestra'!L41/'Jan''14 Envestra'!L42&gt;'Jan''14 Envestra'!L44),($F5*'Jan''14 Envestra'!L41/'Jan''14 Envestra'!L42-'Jan''14 Envestra'!L44)*'Jan''14 Envestra'!L50/100)*'Jan''14 Envestra'!L42</f>
        <v>0</v>
      </c>
      <c r="K65" s="63"/>
    </row>
    <row r="66" spans="1:11" x14ac:dyDescent="0.15">
      <c r="A66" s="40" t="s">
        <v>612</v>
      </c>
      <c r="C66" s="59">
        <f>365*'Jan''14 Envestra'!E51/100</f>
        <v>250.81704999999999</v>
      </c>
      <c r="D66" s="59">
        <f>365*'Jan''14 Envestra'!F51/100</f>
        <v>223.43475000000001</v>
      </c>
      <c r="E66" s="59">
        <f>365*'Jan''14 Envestra'!G51/100</f>
        <v>260.97500000000002</v>
      </c>
      <c r="F66" s="59">
        <f>365*'Jan''14 Envestra'!H51/100</f>
        <v>250.9375</v>
      </c>
      <c r="G66" s="59">
        <f>365*'Jan''14 Envestra'!I51/100</f>
        <v>247.87149999999997</v>
      </c>
      <c r="H66" s="59">
        <f>365*'Jan''14 Envestra'!J51/100</f>
        <v>208.78</v>
      </c>
      <c r="I66" s="59">
        <f>365*'Jan''14 Envestra'!K51/100</f>
        <v>243.34915000000001</v>
      </c>
      <c r="J66" s="59">
        <f>365*'Jan''14 Envestra'!L51/100</f>
        <v>228.65425000000002</v>
      </c>
      <c r="K66" s="60">
        <f>AVERAGE(C66:J66)</f>
        <v>239.35240000000002</v>
      </c>
    </row>
    <row r="67" spans="1:11" x14ac:dyDescent="0.15">
      <c r="A67" s="62" t="s">
        <v>613</v>
      </c>
      <c r="B67" s="63"/>
      <c r="C67" s="61">
        <f t="shared" ref="C67:H67" si="4">SUM(C60:C66)</f>
        <v>1335.8775132999999</v>
      </c>
      <c r="D67" s="61">
        <f t="shared" si="4"/>
        <v>1443.4606494</v>
      </c>
      <c r="E67" s="61">
        <f t="shared" si="4"/>
        <v>1471.9645819999996</v>
      </c>
      <c r="F67" s="61">
        <f>SUM(F60:F66)</f>
        <v>1558.9426549999998</v>
      </c>
      <c r="G67" s="61">
        <f t="shared" si="4"/>
        <v>1473.7924098999999</v>
      </c>
      <c r="H67" s="61">
        <f t="shared" si="4"/>
        <v>1345.193278</v>
      </c>
      <c r="I67" s="61">
        <f>SUM(I60:I66)</f>
        <v>1417.2002679999998</v>
      </c>
      <c r="J67" s="61">
        <f>SUM(J60:J66)</f>
        <v>1436.7796739999999</v>
      </c>
      <c r="K67" s="64">
        <f>AVERAGE(C67:J67)</f>
        <v>1435.4013786999999</v>
      </c>
    </row>
    <row r="69" spans="1:11" x14ac:dyDescent="0.15">
      <c r="A69" s="55" t="s">
        <v>489</v>
      </c>
    </row>
    <row r="71" spans="1:11" x14ac:dyDescent="0.15">
      <c r="A71" s="53" t="s">
        <v>1030</v>
      </c>
      <c r="C71" s="23" t="s">
        <v>1044</v>
      </c>
      <c r="D71" s="23" t="s">
        <v>591</v>
      </c>
      <c r="E71" s="23" t="s">
        <v>592</v>
      </c>
      <c r="F71" s="23" t="s">
        <v>615</v>
      </c>
      <c r="G71" s="23" t="s">
        <v>515</v>
      </c>
      <c r="H71" s="23" t="s">
        <v>516</v>
      </c>
      <c r="I71" s="23" t="s">
        <v>597</v>
      </c>
      <c r="J71" s="23" t="s">
        <v>598</v>
      </c>
      <c r="K71" s="57" t="s">
        <v>601</v>
      </c>
    </row>
    <row r="72" spans="1:11" x14ac:dyDescent="0.15">
      <c r="A72" s="40" t="s">
        <v>602</v>
      </c>
      <c r="C72" s="59">
        <f>IF($F5*'Jan''14 SP'!E7/'Jan''14 SP'!E8&gt;='Jan''14 SP'!E11,('Jan''14 SP'!E11*'Jan''14 SP'!E13/100)*'Jan''14 SP'!E8,($F5*'Jan''14 SP'!E7/'Jan''14 SP'!E8*'Jan''14 SP'!E13/100)*'Jan''14 SP'!E8)</f>
        <v>236.28</v>
      </c>
      <c r="D72" s="59">
        <f>IF($F5*'Jan''14 SP'!F7/'Jan''14 SP'!F8&gt;='Jan''14 SP'!F11,('Jan''14 SP'!F11*'Jan''14 SP'!F13/100)*'Jan''14 SP'!F8,($F5*'Jan''14 SP'!F7/'Jan''14 SP'!F8*'Jan''14 SP'!F13/100)*'Jan''14 SP'!F8)</f>
        <v>142.63040000000001</v>
      </c>
      <c r="E72" s="59">
        <f>IF($F5*'Jan''14 SP'!G7/'Jan''14 SP'!G8&gt;='Jan''14 SP'!G11,('Jan''14 SP'!G11*'Jan''14 SP'!G13/100)*'Jan''14 SP'!G8,($F5*'Jan''14 SP'!G7/'Jan''14 SP'!G8*'Jan''14 SP'!G13/100)*'Jan''14 SP'!G8)</f>
        <v>261.36</v>
      </c>
      <c r="F72" s="59">
        <f>IF($F5*'Jan''14 SP'!H7/'Jan''14 SP'!H8&gt;='Jan''14 SP'!H11,('Jan''14 SP'!H11*'Jan''14 SP'!H13/100)*'Jan''14 SP'!H8,($F5*'Jan''14 SP'!H7/'Jan''14 SP'!H8*'Jan''14 SP'!H13/100)*'Jan''14 SP'!H8)</f>
        <v>154.048</v>
      </c>
      <c r="G72" s="59">
        <f>IF($F5*'Jan''14 SP'!I7/'Jan''14 SP'!I8&gt;='Jan''14 SP'!I11,('Jan''14 SP'!I11*'Jan''14 SP'!I13/100)*'Jan''14 SP'!I8,($F5*'Jan''14 SP'!I7/'Jan''14 SP'!I8*'Jan''14 SP'!I13/100)*'Jan''14 SP'!I8)</f>
        <v>133.06880000000001</v>
      </c>
      <c r="H72" s="59">
        <f>IF($F5*'Jan''14 SP'!J7/'Jan''14 SP'!J8&gt;='Jan''14 SP'!J11,('Jan''14 SP'!J11*'Jan''14 SP'!J13/100)*'Jan''14 SP'!J8,($F5*'Jan''14 SP'!J7/'Jan''14 SP'!J8*'Jan''14 SP'!J13/100)*'Jan''14 SP'!J8)</f>
        <v>135.16800000000001</v>
      </c>
      <c r="I72" s="59">
        <f>IF($F5*'Jan''14 SP'!K7/'Jan''14 SP'!K8&gt;='Jan''14 SP'!K11,('Jan''14 SP'!K11*'Jan''14 SP'!K13/100)*'Jan''14 SP'!K8,($F5*'Jan''14 SP'!K7/'Jan''14 SP'!K8*'Jan''14 SP'!K13/100)*'Jan''14 SP'!K8)</f>
        <v>252.12</v>
      </c>
      <c r="J72" s="59">
        <f>IF($F5*'Jan''14 SP'!L7/'Jan''14 SP'!L8&gt;='Jan''14 SP'!L11,('Jan''14 SP'!L11*'Jan''14 SP'!L13/100)*'Jan''14 SP'!L8,($F5*'Jan''14 SP'!L7/'Jan''14 SP'!L8*'Jan''14 SP'!L13/100)*'Jan''14 SP'!L8)</f>
        <v>137.28</v>
      </c>
      <c r="K72" s="63"/>
    </row>
    <row r="73" spans="1:11" x14ac:dyDescent="0.15">
      <c r="A73" s="40" t="s">
        <v>603</v>
      </c>
      <c r="C73" s="59">
        <f>IF($F5*'Jan''14 SP'!E7/'Jan''14 SP'!E8&lt;'Jan''14 SP'!E11,0,IF($F5*'Jan''14 SP'!E7/'Jan''14 SP'!E8&lt;='Jan''14 SP'!E12,($F5*'Jan''14 SP'!E7/'Jan''14 SP'!E8-'Jan''14 SP'!E11)*('Jan''14 SP'!E14/100)*'Jan''14 SP'!E8,('Jan''14 SP'!E12-'Jan''14 SP'!E11)*('Jan''14 SP'!E14/100)*'Jan''14 SP'!E8))</f>
        <v>165.98426129999999</v>
      </c>
      <c r="D73" s="59">
        <v>0</v>
      </c>
      <c r="E73" s="59">
        <f>IF($F5*'Jan''14 SP'!G7/'Jan''14 SP'!G8&lt;'Jan''14 SP'!G11,0,IF($F5*'Jan''14 SP'!G7/'Jan''14 SP'!G8&lt;='Jan''14 SP'!G12,($F5*'Jan''14 SP'!G7/'Jan''14 SP'!G8-'Jan''14 SP'!G11)*('Jan''14 SP'!G14/100)*'Jan''14 SP'!G8,('Jan''14 SP'!G12-'Jan''14 SP'!G11)*('Jan''14 SP'!G14/100)*'Jan''14 SP'!G8))</f>
        <v>182.11749599999996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63"/>
    </row>
    <row r="74" spans="1:11" x14ac:dyDescent="0.15">
      <c r="A74" s="40" t="s">
        <v>606</v>
      </c>
      <c r="C74" s="59">
        <f>IF(($F5*'Jan''14 SP'!E7/'Jan''14 SP'!E8&gt;'Jan''14 SP'!E12),($F5*'Jan''14 SP'!E7/'Jan''14 SP'!E8-'Jan''14 SP'!E12)*'Jan''14 SP'!E15/100*'Jan''14 SP'!E8,0)</f>
        <v>0</v>
      </c>
      <c r="D74" s="59">
        <f>IF(($F5*'Jan''14 SP'!F7/'Jan''14 SP'!F8&gt;'Jan''14 SP'!F11),('Bills Jan''14'!$F5*'Jan''14 SP'!F7/'Jan''14 SP'!F8-'Jan''14 SP'!F11)*'Jan''14 SP'!F15/100)*'Jan''14 SP'!F8</f>
        <v>281.17015189999995</v>
      </c>
      <c r="E74" s="59">
        <f>IF(($F5*'Jan''14 SP'!G7/'Jan''14 SP'!G8&gt;'Jan''14 SP'!G12),($F5*'Jan''14 SP'!G7/'Jan''14 SP'!G8-'Jan''14 SP'!G12)*'Jan''14 SP'!G15/100*'Jan''14 SP'!G8,0)</f>
        <v>0</v>
      </c>
      <c r="F74" s="59">
        <f>IF(($F5*'Jan''14 SP'!H7/'Jan''14 SP'!H8&gt;'Jan''14 SP'!H11),('Bills Jan''14'!$F5*'Jan''14 SP'!H7/'Jan''14 SP'!H8-'Jan''14 SP'!H11)*'Jan''14 SP'!H15/100)*'Jan''14 SP'!H8</f>
        <v>310.05939599999999</v>
      </c>
      <c r="G74" s="59">
        <f>IF(($F5*'Jan''14 SP'!I7/'Jan''14 SP'!I8&gt;'Jan''14 SP'!I11),('Bills Jan''14'!$F5*'Jan''14 SP'!I7/'Jan''14 SP'!I8-'Jan''14 SP'!I11)*'Jan''14 SP'!I15/100)*'Jan''14 SP'!I8</f>
        <v>280.95118339999999</v>
      </c>
      <c r="H74" s="59">
        <f>IF(($F5*'Jan''14 SP'!J7/'Jan''14 SP'!J8&gt;'Jan''14 SP'!J11),('Bills Jan''14'!$F5*'Jan''14 SP'!J7/'Jan''14 SP'!J8-'Jan''14 SP'!J11)*'Jan''14 SP'!J15/100)*'Jan''14 SP'!J8</f>
        <v>256.92303999999996</v>
      </c>
      <c r="I74" s="59">
        <f>IF(($F5*'Jan''14 SP'!K7/'Jan''14 SP'!K8&gt;'Jan''14 SP'!K11),('Bills Jan''14'!$F5*'Jan''14 SP'!K7/'Jan''14 SP'!K8-'Jan''14 SP'!K11)*'Jan''14 SP'!K15/100)*'Jan''14 SP'!K8</f>
        <v>170.24026799999996</v>
      </c>
      <c r="J74" s="59">
        <f>IF(($F5*'Jan''14 SP'!L7/'Jan''14 SP'!L8&gt;'Jan''14 SP'!L11),('Bills Jan''14'!$F5*'Jan''14 SP'!L7/'Jan''14 SP'!L8-'Jan''14 SP'!L11)*'Jan''14 SP'!L15/100)*'Jan''14 SP'!L8</f>
        <v>282.61534399999994</v>
      </c>
      <c r="K74" s="63"/>
    </row>
    <row r="75" spans="1:11" x14ac:dyDescent="0.15">
      <c r="A75" s="40" t="s">
        <v>607</v>
      </c>
      <c r="C75" s="59">
        <f>IF($F5*'Jan''14 SP'!E9/'Jan''14 SP'!E10&gt;='Jan''14 SP'!E11,('Jan''14 SP'!E11*'Jan''14 SP'!E16/100)*'Jan''14 SP'!E10,($F5*'Jan''14 SP'!E9/'Jan''14 SP'!E10*'Jan''14 SP'!E16/100)*'Jan''14 SP'!E10)</f>
        <v>446.68799999999993</v>
      </c>
      <c r="D75" s="59">
        <f>IF($F5*'Jan''14 SP'!F9/'Jan''14 SP'!F10&gt;='Jan''14 SP'!F11,('Jan''14 SP'!F11*'Jan''14 SP'!F16/100)*'Jan''14 SP'!F10,('Bills Jan''14'!$F5*'Jan''14 SP'!F9/'Jan''14 SP'!F10*'Jan''14 SP'!F16/100)*'Jan''14 SP'!F10)</f>
        <v>234.8544</v>
      </c>
      <c r="E75" s="59">
        <f>IF($F5*'Jan''14 SP'!G9/'Jan''14 SP'!G10&gt;='Jan''14 SP'!G11,('Jan''14 SP'!G11*'Jan''14 SP'!G16/100)*'Jan''14 SP'!G10,($F5*'Jan''14 SP'!G9/'Jan''14 SP'!G10*'Jan''14 SP'!G16/100)*'Jan''14 SP'!G10)</f>
        <v>456.72</v>
      </c>
      <c r="F75" s="59">
        <f>IF($F5*'Jan''14 SP'!H9/'Jan''14 SP'!H10&gt;='Jan''14 SP'!H11,('Jan''14 SP'!H11*'Jan''14 SP'!H16/100)*'Jan''14 SP'!H10,('Bills Jan''14'!$F5*'Jan''14 SP'!H9/'Jan''14 SP'!H10*'Jan''14 SP'!H16/100)*'Jan''14 SP'!H10)</f>
        <v>262.01600000000002</v>
      </c>
      <c r="G75" s="59">
        <f>IF($F5*'Jan''14 SP'!I9/'Jan''14 SP'!I10&gt;='Jan''14 SP'!I11,('Jan''14 SP'!I11*'Jan''14 SP'!I16/100)*'Jan''14 SP'!I10,('Bills Jan''14'!$F5*'Jan''14 SP'!I9/'Jan''14 SP'!I10*'Jan''14 SP'!I16/100)*'Jan''14 SP'!I10)</f>
        <v>234.39359999999999</v>
      </c>
      <c r="H75" s="59">
        <f>IF($F5*'Jan''14 SP'!J9/'Jan''14 SP'!J10&gt;='Jan''14 SP'!J11,('Jan''14 SP'!J11*'Jan''14 SP'!J16/100)*'Jan''14 SP'!J10,('Bills Jan''14'!$F5*'Jan''14 SP'!J9/'Jan''14 SP'!J10*'Jan''14 SP'!J16/100)*'Jan''14 SP'!J10)</f>
        <v>257.66399999999999</v>
      </c>
      <c r="I75" s="59">
        <f>IF($F5*'Jan''14 SP'!K9/'Jan''14 SP'!K10&gt;='Jan''14 SP'!K11,('Jan''14 SP'!K11*'Jan''14 SP'!K16/100)*'Jan''14 SP'!K10,('Bills Jan''14'!$F5*'Jan''14 SP'!K9/'Jan''14 SP'!K10*'Jan''14 SP'!K16/100)*'Jan''14 SP'!K10)</f>
        <v>451.44</v>
      </c>
      <c r="J75" s="59">
        <f>IF($F5*'Jan''14 SP'!L9/'Jan''14 SP'!L10&gt;='Jan''14 SP'!L11,('Jan''14 SP'!L11*'Jan''14 SP'!L16/100)*'Jan''14 SP'!L10,('Bills Jan''14'!$F5*'Jan''14 SP'!L9/'Jan''14 SP'!L10*'Jan''14 SP'!L16/100)*'Jan''14 SP'!L10)</f>
        <v>244.99200000000002</v>
      </c>
      <c r="K75" s="63"/>
    </row>
    <row r="76" spans="1:11" x14ac:dyDescent="0.15">
      <c r="A76" s="40" t="s">
        <v>608</v>
      </c>
      <c r="C76" s="59">
        <f>IF($F5*'Jan''14 SP'!E9/'Jan''14 SP'!E10&lt;'Jan''14 SP'!E11,0,IF($F5*'Jan''14 SP'!E9/'Jan''14 SP'!E10&lt;='Jan''14 SP'!E12,($F5*'Jan''14 SP'!E9/'Jan''14 SP'!E10-'Jan''14 SP'!E11)*('Jan''14 SP'!E17/100)*'Jan''14 SP'!E10,('Jan''14 SP'!E12-'Jan''14 SP'!E11)*('Jan''14 SP'!E17/100)*'Jan''14 SP'!E10))</f>
        <v>273.96805919999991</v>
      </c>
      <c r="D76" s="59">
        <v>0</v>
      </c>
      <c r="E76" s="59">
        <f>IF($F5*'Jan''14 SP'!G9/'Jan''14 SP'!G10&lt;'Jan''14 SP'!G11,0,IF($F5*'Jan''14 SP'!G9/'Jan''14 SP'!G10&lt;='Jan''14 SP'!G12,($F5*'Jan''14 SP'!G9/'Jan''14 SP'!G10-'Jan''14 SP'!G11)*('Jan''14 SP'!G17/100)*'Jan''14 SP'!G10,('Jan''14 SP'!G12-'Jan''14 SP'!G11)*('Jan''14 SP'!G17/100)*'Jan''14 SP'!G10))</f>
        <v>300.88977599999993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63"/>
    </row>
    <row r="77" spans="1:11" x14ac:dyDescent="0.15">
      <c r="A77" s="40" t="s">
        <v>611</v>
      </c>
      <c r="C77" s="59">
        <f>IF(($F5*'Jan''14 SP'!E9/'Jan''14 SP'!E10&gt;'Jan''14 SP'!E12),($F5*'Jan''14 SP'!E9/'Jan''14 SP'!E10-'Jan''14 SP'!E12)*'Jan''14 SP'!E18/100*'Jan''14 SP'!E10,0)</f>
        <v>0</v>
      </c>
      <c r="D77" s="59">
        <f>IF(($F5*'Jan''14 SP'!F9/'Jan''14 SP'!F10&gt;'Jan''14 SP'!F11),('Bills Jan''14'!$F5*'Jan''14 SP'!F9/'Jan''14 SP'!F10-'Jan''14 SP'!F11)*'Jan''14 SP'!F18/100)*'Jan''14 SP'!F10</f>
        <v>473.38070119999992</v>
      </c>
      <c r="E77" s="59">
        <f>IF(($F5*'Jan''14 SP'!G9/'Jan''14 SP'!G10&gt;'Jan''14 SP'!G12),($F5*'Jan''14 SP'!G9/'Jan''14 SP'!G10-'Jan''14 SP'!G12)*'Jan''14 SP'!G18/100*'Jan''14 SP'!G10,0)</f>
        <v>0</v>
      </c>
      <c r="F77" s="59">
        <f>IF(($F5*'Jan''14 SP'!H9/'Jan''14 SP'!H10&gt;'Jan''14 SP'!H11),('Bills Jan''14'!$F5*'Jan''14 SP'!H9/'Jan''14 SP'!H10-'Jan''14 SP'!H11)*'Jan''14 SP'!H18/100)*'Jan''14 SP'!H10</f>
        <v>526.69223199999988</v>
      </c>
      <c r="G77" s="59">
        <f>IF(($F5*'Jan''14 SP'!I9/'Jan''14 SP'!I10&gt;'Jan''14 SP'!I11),('Bills Jan''14'!$F5*'Jan''14 SP'!I9/'Jan''14 SP'!I10-'Jan''14 SP'!I11)*'Jan''14 SP'!I18/100)*'Jan''14 SP'!I10</f>
        <v>479.71618979999994</v>
      </c>
      <c r="H77" s="59">
        <f>IF(($F5*'Jan''14 SP'!J9/'Jan''14 SP'!J10&gt;'Jan''14 SP'!J11),('Bills Jan''14'!$F5*'Jan''14 SP'!J9/'Jan''14 SP'!J10-'Jan''14 SP'!J11)*'Jan''14 SP'!J18/100)*'Jan''14 SP'!J10</f>
        <v>475.30762399999992</v>
      </c>
      <c r="I77" s="59">
        <f>IF(($F5*'Jan''14 SP'!K9/'Jan''14 SP'!K10&gt;'Jan''14 SP'!K11),('Bills Jan''14'!$F5*'Jan''14 SP'!K9/'Jan''14 SP'!K10-'Jan''14 SP'!K11)*'Jan''14 SP'!K18/100)*'Jan''14 SP'!K10</f>
        <v>287.03300999999993</v>
      </c>
      <c r="J77" s="59">
        <f>IF(($F5*'Jan''14 SP'!L9/'Jan''14 SP'!L10&gt;'Jan''14 SP'!L11),('Bills Jan''14'!$F5*'Jan''14 SP'!L9/'Jan''14 SP'!L10-'Jan''14 SP'!L11)*'Jan''14 SP'!L18/100)*'Jan''14 SP'!L10</f>
        <v>478.51916199999994</v>
      </c>
      <c r="K77" s="63"/>
    </row>
    <row r="78" spans="1:11" x14ac:dyDescent="0.15">
      <c r="A78" s="40" t="s">
        <v>612</v>
      </c>
      <c r="C78" s="59">
        <f>365*'Jan''14 SP'!E19/100</f>
        <v>235.11840000000001</v>
      </c>
      <c r="D78" s="59">
        <f>365*'Jan''14 SP'!F19/100</f>
        <v>233.11090000000002</v>
      </c>
      <c r="E78" s="59">
        <f>365*'Jan''14 SP'!G19/100</f>
        <v>228.85499999999999</v>
      </c>
      <c r="F78" s="59">
        <f>365*'Jan''14 SP'!H19/100</f>
        <v>250.42285000000001</v>
      </c>
      <c r="G78" s="59">
        <f>365*'Jan''14 SP'!I19/100</f>
        <v>220.679</v>
      </c>
      <c r="H78" s="59">
        <f>365*'Jan''14 SP'!J19/100</f>
        <v>200.75</v>
      </c>
      <c r="I78" s="59">
        <f>365*'Jan''14 SP'!K19/100</f>
        <v>224.27790000000002</v>
      </c>
      <c r="J78" s="59">
        <f>365*'Jan''14 SP'!L19/100</f>
        <v>216.74795000000003</v>
      </c>
      <c r="K78" s="60">
        <f>AVERAGE(C78:J78)</f>
        <v>226.24525</v>
      </c>
    </row>
    <row r="79" spans="1:11" x14ac:dyDescent="0.15">
      <c r="A79" s="62" t="s">
        <v>613</v>
      </c>
      <c r="B79" s="63"/>
      <c r="C79" s="61">
        <f t="shared" ref="C79:H79" si="5">SUM(C72:C78)</f>
        <v>1358.0387205</v>
      </c>
      <c r="D79" s="61">
        <f t="shared" si="5"/>
        <v>1365.1465530999999</v>
      </c>
      <c r="E79" s="61">
        <f t="shared" si="5"/>
        <v>1429.942272</v>
      </c>
      <c r="F79" s="61">
        <f t="shared" si="5"/>
        <v>1503.2384779999998</v>
      </c>
      <c r="G79" s="61">
        <f t="shared" si="5"/>
        <v>1348.8087731999999</v>
      </c>
      <c r="H79" s="61">
        <f t="shared" si="5"/>
        <v>1325.812664</v>
      </c>
      <c r="I79" s="61">
        <f>SUM(I72:I78)</f>
        <v>1385.1111779999999</v>
      </c>
      <c r="J79" s="61">
        <f>SUM(J72:J78)</f>
        <v>1360.1544559999998</v>
      </c>
      <c r="K79" s="64">
        <f>AVERAGE(C79:J79)</f>
        <v>1384.5316368499998</v>
      </c>
    </row>
    <row r="81" spans="1:11" x14ac:dyDescent="0.15">
      <c r="A81" s="53" t="s">
        <v>1032</v>
      </c>
      <c r="C81" s="23" t="s">
        <v>1044</v>
      </c>
      <c r="D81" s="23" t="s">
        <v>591</v>
      </c>
      <c r="E81" s="23" t="s">
        <v>592</v>
      </c>
      <c r="F81" s="23" t="s">
        <v>615</v>
      </c>
      <c r="G81" s="23" t="s">
        <v>515</v>
      </c>
      <c r="H81" s="23" t="s">
        <v>516</v>
      </c>
      <c r="I81" s="23" t="s">
        <v>597</v>
      </c>
      <c r="J81" s="23" t="s">
        <v>598</v>
      </c>
      <c r="K81" s="57" t="s">
        <v>601</v>
      </c>
    </row>
    <row r="82" spans="1:11" x14ac:dyDescent="0.15">
      <c r="A82" s="40" t="s">
        <v>602</v>
      </c>
      <c r="C82" s="59">
        <f>IF($F5*'Jan''14 SP'!E23/'Jan''14 SP'!E24&gt;='Jan''14 SP'!E27,('Jan''14 SP'!E27*'Jan''14 SP'!E29/100)*'Jan''14 SP'!E24,($F5*'Jan''14 SP'!E23/'Jan''14 SP'!E24*'Jan''14 SP'!E29/100)*'Jan''14 SP'!E24)</f>
        <v>254.10000000000002</v>
      </c>
      <c r="D82" s="59">
        <f>IF($F5*'Jan''14 SP'!F23/'Jan''14 SP'!F24&gt;='Jan''14 SP'!F27,('Jan''14 SP'!F27*'Jan''14 SP'!F29/100)*'Jan''14 SP'!F24,('Bills Jan''14'!$F5*'Jan''14 SP'!F23/'Jan''14 SP'!F24*'Jan''14 SP'!F29/100)*'Jan''14 SP'!F24)</f>
        <v>171.01699999999997</v>
      </c>
      <c r="E82" s="59">
        <f>IF($F5*'Jan''14 SP'!G23/'Jan''14 SP'!G24&gt;='Jan''14 SP'!G27,('Jan''14 SP'!G27*'Jan''14 SP'!G29/100)*'Jan''14 SP'!G24,($F5*'Jan''14 SP'!G23/'Jan''14 SP'!G24*'Jan''14 SP'!G29/100)*'Jan''14 SP'!G24)</f>
        <v>271.92</v>
      </c>
      <c r="F82" s="59">
        <f>IF($F5*'Jan''14 SP'!H23/'Jan''14 SP'!H24&gt;='Jan''14 SP'!H27,('Jan''14 SP'!H27*'Jan''14 SP'!H29/100)*'Jan''14 SP'!H24,('Bills Jan''14'!$F5*'Jan''14 SP'!H23/'Jan''14 SP'!H24*'Jan''14 SP'!H29/100)*'Jan''14 SP'!H24)</f>
        <v>173.81</v>
      </c>
      <c r="G82" s="59">
        <f>IF($F5*'Jan''14 SP'!I23/'Jan''14 SP'!I24&gt;='Jan''14 SP'!I27,('Jan''14 SP'!I27*'Jan''14 SP'!I29/100)*'Jan''14 SP'!I24,('Bills Jan''14'!$F5*'Jan''14 SP'!I23/'Jan''14 SP'!I24*'Jan''14 SP'!I29/100)*'Jan''14 SP'!I24)</f>
        <v>297.87100000000004</v>
      </c>
      <c r="H82" s="59">
        <f>IF($F5*'Jan''14 SP'!J23/'Jan''14 SP'!J24&gt;='Jan''14 SP'!J27,('Jan''14 SP'!J27*'Jan''14 SP'!J29/100)*'Jan''14 SP'!J24,('Bills Jan''14'!$F5*'Jan''14 SP'!J23/'Jan''14 SP'!J24*'Jan''14 SP'!J29/100)*'Jan''14 SP'!J24)</f>
        <v>154.76999999999998</v>
      </c>
      <c r="I82" s="59">
        <f>IF($F5*'Jan''14 SP'!K23/'Jan''14 SP'!K24&gt;='Jan''14 SP'!K27,('Jan''14 SP'!K27*'Jan''14 SP'!K29/100)*'Jan''14 SP'!K24,('Bills Jan''14'!$F5*'Jan''14 SP'!K23/'Jan''14 SP'!K24*'Jan''14 SP'!K29/100)*'Jan''14 SP'!K24)</f>
        <v>274.55999999999995</v>
      </c>
      <c r="J82" s="59">
        <f>IF($F5*'Jan''14 SP'!L23/'Jan''14 SP'!L24&gt;='Jan''14 SP'!L27,('Jan''14 SP'!L27*'Jan''14 SP'!L29/100)*'Jan''14 SP'!L24,('Bills Jan''14'!$F5*'Jan''14 SP'!L23/'Jan''14 SP'!L24*'Jan''14 SP'!L29/100)*'Jan''14 SP'!L24)</f>
        <v>156.31</v>
      </c>
      <c r="K82" s="63"/>
    </row>
    <row r="83" spans="1:11" x14ac:dyDescent="0.15">
      <c r="A83" s="40" t="s">
        <v>603</v>
      </c>
      <c r="C83" s="59">
        <f>IF($F5*'Jan''14 SP'!E23/'Jan''14 SP'!E24&lt;'Jan''14 SP'!E27,0,IF($F5*'Jan''14 SP'!E23/'Jan''14 SP'!E24&lt;='Jan''14 SP'!E28,($F5*'Jan''14 SP'!E23/'Jan''14 SP'!E24-'Jan''14 SP'!E27)*('Jan''14 SP'!E30/100)*'Jan''14 SP'!E24,('Jan''14 SP'!E28-'Jan''14 SP'!E27)*('Jan''14 SP'!E30/100)*'Jan''14 SP'!E24))</f>
        <v>159.05587829999999</v>
      </c>
      <c r="D83" s="59">
        <v>0</v>
      </c>
      <c r="E83" s="59">
        <f>IF($F5*'Jan''14 SP'!G23/'Jan''14 SP'!G24&lt;'Jan''14 SP'!G27,0,IF($F5*'Jan''14 SP'!G23/'Jan''14 SP'!G24&lt;='Jan''14 SP'!G28,($F5*'Jan''14 SP'!G23/'Jan''14 SP'!G24-'Jan''14 SP'!G27)*('Jan''14 SP'!G30/100)*'Jan''14 SP'!G24,('Jan''14 SP'!G28-'Jan''14 SP'!G27)*('Jan''14 SP'!G30/100)*'Jan''14 SP'!G24))</f>
        <v>185.08680299999995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63"/>
    </row>
    <row r="84" spans="1:11" x14ac:dyDescent="0.15">
      <c r="A84" s="40" t="s">
        <v>606</v>
      </c>
      <c r="C84" s="59">
        <f>IF(($F5*'Jan''14 SP'!E23/'Jan''14 SP'!E24&gt;'Jan''14 SP'!E28),($F5*'Jan''14 SP'!E23/'Jan''14 SP'!E24-'Jan''14 SP'!E28)*'Jan''14 SP'!E31/100*'Jan''14 SP'!E24,0)</f>
        <v>0</v>
      </c>
      <c r="D84" s="59">
        <f>IF(($F5*'Jan''14 SP'!F23/'Jan''14 SP'!F24&lt;'Jan''14 SP'!F27),(0),('Bills Jan''14'!$F5*'Jan''14 SP'!F23/'Jan''14 SP'!F24-'Jan''14 SP'!F27)*'Jan''14 SP'!F31/100)*'Jan''14 SP'!F24</f>
        <v>274.54081269999995</v>
      </c>
      <c r="E84" s="59">
        <f>IF(($F5*'Jan''14 SP'!G23/'Jan''14 SP'!G24&gt;'Jan''14 SP'!G28),($F5*'Jan''14 SP'!G23/'Jan''14 SP'!G24-'Jan''14 SP'!G28)*'Jan''14 SP'!G31/100*'Jan''14 SP'!G24,0)</f>
        <v>0</v>
      </c>
      <c r="F84" s="59">
        <f>IF(($F5*'Jan''14 SP'!H23/'Jan''14 SP'!H24&lt;'Jan''14 SP'!H27),(0),('Bills Jan''14'!$F5*'Jan''14 SP'!H23/'Jan''14 SP'!H24-'Jan''14 SP'!H27)*'Jan''14 SP'!H31/100)*'Jan''14 SP'!H24</f>
        <v>309.63354799999996</v>
      </c>
      <c r="G84" s="59">
        <f>IF(($F5*'Jan''14 SP'!I23/'Jan''14 SP'!I24&lt;'Jan''14 SP'!I27),(0),('Bills Jan''14'!$F5*'Jan''14 SP'!I23/'Jan''14 SP'!I24-'Jan''14 SP'!I27)*'Jan''14 SP'!I31/100)*'Jan''14 SP'!I24</f>
        <v>280.06998319999997</v>
      </c>
      <c r="H84" s="59">
        <f>IF(($F5*'Jan''14 SP'!J23/'Jan''14 SP'!J24&lt;'Jan''14 SP'!J27),(0),('Bills Jan''14'!$F5*'Jan''14 SP'!J23/'Jan''14 SP'!J24-'Jan''14 SP'!J27)*'Jan''14 SP'!J31/100)*'Jan''14 SP'!J24</f>
        <v>246.36303999999996</v>
      </c>
      <c r="I84" s="59">
        <f>IF(($F5*'Jan''14 SP'!K23/'Jan''14 SP'!K24&lt;'Jan''14 SP'!K27),(0),('Bills Jan''14'!$F5*'Jan''14 SP'!K23/'Jan''14 SP'!K24-'Jan''14 SP'!K27)*'Jan''14 SP'!K31/100)*'Jan''14 SP'!K24</f>
        <v>164.30165399999998</v>
      </c>
      <c r="J84" s="59">
        <f>IF(($F5*'Jan''14 SP'!L23/'Jan''14 SP'!L24&lt;'Jan''14 SP'!L27),(0),('Bills Jan''14'!$F5*'Jan''14 SP'!L23/'Jan''14 SP'!L24-'Jan''14 SP'!L27)*'Jan''14 SP'!L31/100)*'Jan''14 SP'!L24</f>
        <v>270.99934399999995</v>
      </c>
      <c r="K84" s="63"/>
    </row>
    <row r="85" spans="1:11" x14ac:dyDescent="0.15">
      <c r="A85" s="40" t="s">
        <v>607</v>
      </c>
      <c r="C85" s="59">
        <f>IF($F5*'Jan''14 SP'!E25/'Jan''14 SP'!E26&gt;='Jan''14 SP'!E27,('Jan''14 SP'!E27*'Jan''14 SP'!E32/100)*'Jan''14 SP'!E26,($F5*'Jan''14 SP'!E25/'Jan''14 SP'!E26*'Jan''14 SP'!E32/100)*'Jan''14 SP'!E26)</f>
        <v>454.08</v>
      </c>
      <c r="D85" s="59">
        <f>IF($F5*'Jan''14 SP'!F25/'Jan''14 SP'!F26&gt;='Jan''14 SP'!F27,('Jan''14 SP'!F27*'Jan''14 SP'!F32/100)*'Jan''14 SP'!F26,('Bills Jan''14'!$F5*'Jan''14 SP'!F25/'Jan''14 SP'!F26*'Jan''14 SP'!F32/100)*'Jan''14 SP'!F26)</f>
        <v>271.19400000000002</v>
      </c>
      <c r="E85" s="59">
        <f>IF($F5*'Jan''14 SP'!G25/'Jan''14 SP'!G26&gt;='Jan''14 SP'!G27,('Jan''14 SP'!G27*'Jan''14 SP'!G32/100)*'Jan''14 SP'!G26,($F5*'Jan''14 SP'!G25/'Jan''14 SP'!G26*'Jan''14 SP'!G32/100)*'Jan''14 SP'!G26)</f>
        <v>480.4799999999999</v>
      </c>
      <c r="F85" s="59">
        <f>IF($F5*'Jan''14 SP'!H25/'Jan''14 SP'!H26&gt;='Jan''14 SP'!H27,('Jan''14 SP'!H27*'Jan''14 SP'!H32/100)*'Jan''14 SP'!H26,('Bills Jan''14'!$F5*'Jan''14 SP'!H25/'Jan''14 SP'!H26*'Jan''14 SP'!H32/100)*'Jan''14 SP'!H26)</f>
        <v>285.31999999999994</v>
      </c>
      <c r="G85" s="59">
        <f>IF($F5*'Jan''14 SP'!I25/'Jan''14 SP'!I26&gt;='Jan''14 SP'!I27,('Jan''14 SP'!I27*'Jan''14 SP'!I32/100)*'Jan''14 SP'!I26,('Bills Jan''14'!$F5*'Jan''14 SP'!I25/'Jan''14 SP'!I26*'Jan''14 SP'!I32/100)*'Jan''14 SP'!I26)</f>
        <v>278.25</v>
      </c>
      <c r="H85" s="59">
        <f>IF($F5*'Jan''14 SP'!J25/'Jan''14 SP'!J26&gt;='Jan''14 SP'!J27,('Jan''14 SP'!J27*'Jan''14 SP'!J32/100)*'Jan''14 SP'!J26,('Bills Jan''14'!$F5*'Jan''14 SP'!J25/'Jan''14 SP'!J26*'Jan''14 SP'!J32/100)*'Jan''14 SP'!J26)</f>
        <v>294.14</v>
      </c>
      <c r="I85" s="59">
        <f>IF($F5*'Jan''14 SP'!K25/'Jan''14 SP'!K26&gt;='Jan''14 SP'!K27,('Jan''14 SP'!K27*'Jan''14 SP'!K32/100)*'Jan''14 SP'!K26,('Bills Jan''14'!$F5*'Jan''14 SP'!K25/'Jan''14 SP'!K26*'Jan''14 SP'!K32/100)*'Jan''14 SP'!K26)</f>
        <v>525.36</v>
      </c>
      <c r="J85" s="59">
        <f>IF($F5*'Jan''14 SP'!L25/'Jan''14 SP'!L26&gt;='Jan''14 SP'!L27,('Jan''14 SP'!L27*'Jan''14 SP'!L32/100)*'Jan''14 SP'!L26,('Bills Jan''14'!$F5*'Jan''14 SP'!L25/'Jan''14 SP'!L26*'Jan''14 SP'!L32/100)*'Jan''14 SP'!L26)</f>
        <v>271.04000000000002</v>
      </c>
      <c r="K85" s="63"/>
    </row>
    <row r="86" spans="1:11" x14ac:dyDescent="0.15">
      <c r="A86" s="40" t="s">
        <v>608</v>
      </c>
      <c r="C86" s="59">
        <f>IF($F5*'Jan''14 SP'!E25/'Jan''14 SP'!E26&lt;'Jan''14 SP'!E27,0,IF($F5*'Jan''14 SP'!E25/'Jan''14 SP'!E26&lt;='Jan''14 SP'!E28,($F5*'Jan''14 SP'!E25/'Jan''14 SP'!E26-'Jan''14 SP'!E27)*('Jan''14 SP'!E33/100)*'Jan''14 SP'!E26,('Jan''14 SP'!E28-'Jan''14 SP'!E27)*('Jan''14 SP'!E33/100)*'Jan''14 SP'!E26))</f>
        <v>290.00231699999995</v>
      </c>
      <c r="D86" s="59">
        <v>0</v>
      </c>
      <c r="E86" s="59">
        <f>IF($F5*'Jan''14 SP'!G25/'Jan''14 SP'!G26&lt;'Jan''14 SP'!G27,0,IF($F5*'Jan''14 SP'!G25/'Jan''14 SP'!G26&lt;='Jan''14 SP'!G28,($F5*'Jan''14 SP'!G25/'Jan''14 SP'!G26-'Jan''14 SP'!G27)*('Jan''14 SP'!G33/100)*'Jan''14 SP'!G26,('Jan''14 SP'!G28-'Jan''14 SP'!G27)*('Jan''14 SP'!G33/100)*'Jan''14 SP'!G26))</f>
        <v>316.72607999999997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63"/>
    </row>
    <row r="87" spans="1:11" x14ac:dyDescent="0.15">
      <c r="A87" s="40" t="s">
        <v>611</v>
      </c>
      <c r="C87" s="59">
        <f>IF(($F5*'Jan''14 SP'!E25/'Jan''14 SP'!E26&gt;'Jan''14 SP'!E28),($F5*'Jan''14 SP'!E25/'Jan''14 SP'!E26-'Jan''14 SP'!E28)*'Jan''14 SP'!E34/100*'Jan''14 SP'!E26,0)</f>
        <v>0</v>
      </c>
      <c r="D87" s="59">
        <f>IF(($F5*'Jan''14 SP'!F25/'Jan''14 SP'!F26&lt;'Jan''14 SP'!F27),(0),('Bills Jan''14'!$F5*'Jan''14 SP'!F25/'Jan''14 SP'!F26-'Jan''14 SP'!F27)*'Jan''14 SP'!F34/100)*'Jan''14 SP'!F26</f>
        <v>469.62954499999995</v>
      </c>
      <c r="E87" s="59">
        <f>IF(($F5*'Jan''14 SP'!G25/'Jan''14 SP'!G26&gt;'Jan''14 SP'!G28),($F5*'Jan''14 SP'!G25/'Jan''14 SP'!G26-'Jan''14 SP'!G28)*'Jan''14 SP'!G34/100*'Jan''14 SP'!G26,0)</f>
        <v>0</v>
      </c>
      <c r="F87" s="59">
        <f>IF(($F5*'Jan''14 SP'!H25/'Jan''14 SP'!H26&lt;'Jan''14 SP'!H27),(0),('Bills Jan''14'!$F5*'Jan''14 SP'!H25/'Jan''14 SP'!H26-'Jan''14 SP'!H27)*'Jan''14 SP'!H34/100)*'Jan''14 SP'!H26</f>
        <v>548.99763799999994</v>
      </c>
      <c r="G87" s="59">
        <f>IF(($F5*'Jan''14 SP'!I25/'Jan''14 SP'!I26&lt;'Jan''14 SP'!I27),(0),('Bills Jan''14'!$F5*'Jan''14 SP'!I25/'Jan''14 SP'!I26-'Jan''14 SP'!I27)*'Jan''14 SP'!I34/100)*'Jan''14 SP'!I26</f>
        <v>488.19076039999993</v>
      </c>
      <c r="H87" s="59">
        <f>IF(($F5*'Jan''14 SP'!J25/'Jan''14 SP'!J26&lt;'Jan''14 SP'!J27),(0),('Bills Jan''14'!$F5*'Jan''14 SP'!J25/'Jan''14 SP'!J26-'Jan''14 SP'!J27)*'Jan''14 SP'!J34/100)*'Jan''14 SP'!J26</f>
        <v>465.01023799999996</v>
      </c>
      <c r="I87" s="59">
        <f>IF(($F5*'Jan''14 SP'!K25/'Jan''14 SP'!K26&lt;'Jan''14 SP'!K27),(0),('Bills Jan''14'!$F5*'Jan''14 SP'!K25/'Jan''14 SP'!K26-'Jan''14 SP'!K27)*'Jan''14 SP'!K34/100)*'Jan''14 SP'!K26</f>
        <v>308.80792799999995</v>
      </c>
      <c r="J87" s="59">
        <f>IF(($F5*'Jan''14 SP'!L25/'Jan''14 SP'!L26&lt;'Jan''14 SP'!L27),(0),('Bills Jan''14'!$F5*'Jan''14 SP'!L25/'Jan''14 SP'!L26-'Jan''14 SP'!L27)*'Jan''14 SP'!L34/100)*'Jan''14 SP'!L26</f>
        <v>495.80561799999987</v>
      </c>
      <c r="K87" s="63"/>
    </row>
    <row r="88" spans="1:11" x14ac:dyDescent="0.15">
      <c r="A88" s="40" t="s">
        <v>612</v>
      </c>
      <c r="C88" s="59">
        <f>365*'Jan''14 SP'!E35/100</f>
        <v>226.7672</v>
      </c>
      <c r="D88" s="59">
        <f>365*'Jan''14 SP'!F35/100</f>
        <v>230.13980000000001</v>
      </c>
      <c r="E88" s="59">
        <f>365*'Jan''14 SP'!G35/100</f>
        <v>228.85499999999999</v>
      </c>
      <c r="F88" s="59">
        <f>365*'Jan''14 SP'!H35/100</f>
        <v>252.53254999999999</v>
      </c>
      <c r="G88" s="59">
        <f>365*'Jan''14 SP'!I35/100</f>
        <v>213.70750000000001</v>
      </c>
      <c r="H88" s="59">
        <f>365*'Jan''14 SP'!J35/100</f>
        <v>200.75</v>
      </c>
      <c r="I88" s="59">
        <f>365*'Jan''14 SP'!K35/100</f>
        <v>228.73455000000001</v>
      </c>
      <c r="J88" s="59">
        <f>365*'Jan''14 SP'!L35/100</f>
        <v>208.73985000000002</v>
      </c>
      <c r="K88" s="60">
        <f>AVERAGE(C88:J88)</f>
        <v>223.77830625000001</v>
      </c>
    </row>
    <row r="89" spans="1:11" x14ac:dyDescent="0.15">
      <c r="A89" s="62" t="s">
        <v>613</v>
      </c>
      <c r="B89" s="63"/>
      <c r="C89" s="61">
        <f t="shared" ref="C89:H89" si="6">SUM(C82:C88)</f>
        <v>1384.0053952999999</v>
      </c>
      <c r="D89" s="61">
        <f t="shared" si="6"/>
        <v>1416.5211576999998</v>
      </c>
      <c r="E89" s="61">
        <f t="shared" si="6"/>
        <v>1483.0678829999999</v>
      </c>
      <c r="F89" s="61">
        <f t="shared" si="6"/>
        <v>1570.2937359999996</v>
      </c>
      <c r="G89" s="61">
        <f t="shared" si="6"/>
        <v>1558.0892435999999</v>
      </c>
      <c r="H89" s="61">
        <f t="shared" si="6"/>
        <v>1361.0332779999999</v>
      </c>
      <c r="I89" s="61">
        <f>SUM(I82:I88)</f>
        <v>1501.7641319999998</v>
      </c>
      <c r="J89" s="61">
        <f>SUM(J82:J88)</f>
        <v>1402.8948119999998</v>
      </c>
      <c r="K89" s="64">
        <f>AVERAGE(C89:J89)</f>
        <v>1459.7087046999998</v>
      </c>
    </row>
    <row r="91" spans="1:11" x14ac:dyDescent="0.15">
      <c r="A91" s="53" t="s">
        <v>1034</v>
      </c>
      <c r="C91" s="23" t="s">
        <v>1044</v>
      </c>
      <c r="D91" s="23" t="s">
        <v>591</v>
      </c>
      <c r="E91" s="23" t="s">
        <v>592</v>
      </c>
      <c r="F91" s="23" t="s">
        <v>615</v>
      </c>
      <c r="G91" s="23" t="s">
        <v>515</v>
      </c>
      <c r="H91" s="23" t="s">
        <v>516</v>
      </c>
      <c r="I91" s="23" t="s">
        <v>597</v>
      </c>
      <c r="J91" s="23" t="s">
        <v>598</v>
      </c>
      <c r="K91" s="57" t="s">
        <v>601</v>
      </c>
    </row>
    <row r="92" spans="1:11" x14ac:dyDescent="0.15">
      <c r="A92" s="40" t="s">
        <v>602</v>
      </c>
      <c r="C92" s="59">
        <f>IF($F5*'Jan''14 SP'!E39/'Jan''14 SP'!E40&gt;='Jan''14 SP'!E43,('Jan''14 SP'!E43*'Jan''14 SP'!E45/100)*'Jan''14 SP'!E40,($F5*'Jan''14 SP'!E39/'Jan''14 SP'!E40*'Jan''14 SP'!E45/100)*'Jan''14 SP'!E40)</f>
        <v>260.56800000000004</v>
      </c>
      <c r="D92" s="59">
        <f>IF($F5*'Jan''14 SP'!F39/'Jan''14 SP'!F40&gt;='Jan''14 SP'!F43,('Jan''14 SP'!F43*'Jan''14 SP'!F45/100)*'Jan''14 SP'!F40,('Bills Jan''14'!$F5*'Jan''14 SP'!F39/'Jan''14 SP'!F40*'Jan''14 SP'!F45/100)*'Jan''14 SP'!F40)</f>
        <v>157.48480000000001</v>
      </c>
      <c r="E92" s="59">
        <f>IF($F5*'Jan''14 SP'!G39/'Jan''14 SP'!G40&gt;='Jan''14 SP'!G43,('Jan''14 SP'!G43*'Jan''14 SP'!G45/100)*'Jan''14 SP'!G40,($F5*'Jan''14 SP'!G39/'Jan''14 SP'!G40*'Jan''14 SP'!G45/100)*'Jan''14 SP'!G40)</f>
        <v>294.35999999999996</v>
      </c>
      <c r="F92" s="59">
        <f>IF($F5*'Jan''14 SP'!H39/'Jan''14 SP'!H40&gt;='Jan''14 SP'!H43,('Jan''14 SP'!H43*'Jan''14 SP'!H45/100)*'Jan''14 SP'!H40,('Bills Jan''14'!$F5*'Jan''14 SP'!H39/'Jan''14 SP'!H40*'Jan''14 SP'!H45/100)*'Jan''14 SP'!H40)</f>
        <v>167.16800000000001</v>
      </c>
      <c r="G92" s="59">
        <f>IF($F5*'Jan''14 SP'!I39/'Jan''14 SP'!I40&gt;='Jan''14 SP'!I43,('Jan''14 SP'!I43*'Jan''14 SP'!I45/100)*'Jan''14 SP'!I40,('Bills Jan''14'!$F5*'Jan''14 SP'!I39/'Jan''14 SP'!I40*'Jan''14 SP'!I45/100)*'Jan''14 SP'!I40)</f>
        <v>148.1216</v>
      </c>
      <c r="H92" s="59">
        <f>IF($F5*'Jan''14 SP'!J39/'Jan''14 SP'!J40&gt;='Jan''14 SP'!J43,('Jan''14 SP'!J43*'Jan''14 SP'!J45/100)*'Jan''14 SP'!J40,('Bills Jan''14'!$F5*'Jan''14 SP'!J39/'Jan''14 SP'!J40*'Jan''14 SP'!J45/100)*'Jan''14 SP'!J40)</f>
        <v>145.72800000000001</v>
      </c>
      <c r="I92" s="59">
        <f>IF($F5*'Jan''14 SP'!K39/'Jan''14 SP'!K40&gt;='Jan''14 SP'!K43,('Jan''14 SP'!K43*'Jan''14 SP'!K45/100)*'Jan''14 SP'!K40,('Bills Jan''14'!$F5*'Jan''14 SP'!K39/'Jan''14 SP'!K40*'Jan''14 SP'!K45/100)*'Jan''14 SP'!K40)</f>
        <v>274.55999999999995</v>
      </c>
      <c r="J92" s="59">
        <f>IF($F5*'Jan''14 SP'!L39/'Jan''14 SP'!L40&gt;='Jan''14 SP'!L43,('Jan''14 SP'!L43*'Jan''14 SP'!L45/100)*'Jan''14 SP'!L40,('Bills Jan''14'!$F5*'Jan''14 SP'!L39/'Jan''14 SP'!L40*'Jan''14 SP'!L45/100)*'Jan''14 SP'!L40)</f>
        <v>149.952</v>
      </c>
      <c r="K92" s="63"/>
    </row>
    <row r="93" spans="1:11" x14ac:dyDescent="0.15">
      <c r="A93" s="40" t="s">
        <v>603</v>
      </c>
      <c r="C93" s="59">
        <f>IF($F5*'Jan''14 SP'!E39/'Jan''14 SP'!E40&lt;'Jan''14 SP'!E43,0,IF($F5*'Jan''14 SP'!E39/'Jan''14 SP'!E40&lt;='Jan''14 SP'!E44,($F5*'Jan''14 SP'!E39/'Jan''14 SP'!E40-'Jan''14 SP'!E43)*('Jan''14 SP'!E46/100)*'Jan''14 SP'!E40,('Jan''14 SP'!E44-'Jan''14 SP'!E43)*('Jan''14 SP'!E46/100)*'Jan''14 SP'!E40))</f>
        <v>148.16841929999995</v>
      </c>
      <c r="D93" s="59">
        <v>0</v>
      </c>
      <c r="E93" s="59">
        <f>IF($F5*'Jan''14 SP'!G39/'Jan''14 SP'!G40&lt;'Jan''14 SP'!G43,0,IF($F5*'Jan''14 SP'!G39/'Jan''14 SP'!G40&lt;='Jan''14 SP'!G44,($F5*'Jan''14 SP'!G39/'Jan''14 SP'!G40-'Jan''14 SP'!G43)*('Jan''14 SP'!G46/100)*'Jan''14 SP'!G40,('Jan''14 SP'!G44-'Jan''14 SP'!G43)*('Jan''14 SP'!G46/100)*'Jan''14 SP'!G40))</f>
        <v>187.06634099999999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63"/>
    </row>
    <row r="94" spans="1:11" x14ac:dyDescent="0.15">
      <c r="A94" s="40" t="s">
        <v>606</v>
      </c>
      <c r="C94" s="59">
        <f>IF(($F5*'Jan''14 SP'!E39/'Jan''14 SP'!E40&gt;'Jan''14 SP'!E44),($F5*'Jan''14 SP'!E39/'Jan''14 SP'!E40-'Jan''14 SP'!E44)*'Jan''14 SP'!E47/100*'Jan''14 SP'!E40,0)</f>
        <v>0</v>
      </c>
      <c r="D94" s="59">
        <f>IF(($F5*'Jan''14 SP'!F39/'Jan''14 SP'!F40&lt;'Jan''14 SP'!F43),(0),('Bills Jan''14'!$F5*'Jan''14 SP'!F39/'Jan''14 SP'!F40-'Jan''14 SP'!F43)*'Jan''14 SP'!F47/100)*'Jan''14 SP'!F40</f>
        <v>274.42592209999998</v>
      </c>
      <c r="E94" s="59">
        <f>IF(($F5*'Jan''14 SP'!G39/'Jan''14 SP'!G40&gt;'Jan''14 SP'!G44),($F5*'Jan''14 SP'!G39/'Jan''14 SP'!G40-'Jan''14 SP'!G44)*'Jan''14 SP'!G47/100*'Jan''14 SP'!G40,0)</f>
        <v>0</v>
      </c>
      <c r="F94" s="59">
        <f>IF(($F5*'Jan''14 SP'!H39/'Jan''14 SP'!H40&lt;'Jan''14 SP'!H43),(0),('Bills Jan''14'!$F5*'Jan''14 SP'!H39/'Jan''14 SP'!H40-'Jan''14 SP'!H43)*'Jan''14 SP'!H47/100)*'Jan''14 SP'!H40</f>
        <v>304.22023599999994</v>
      </c>
      <c r="G94" s="59">
        <f>IF(($F5*'Jan''14 SP'!I39/'Jan''14 SP'!I40&lt;'Jan''14 SP'!I43),(0),('Bills Jan''14'!$F5*'Jan''14 SP'!I39/'Jan''14 SP'!I40-'Jan''14 SP'!I43)*'Jan''14 SP'!I47/100)*'Jan''14 SP'!I40</f>
        <v>279.73955769999992</v>
      </c>
      <c r="H94" s="59">
        <f>IF(($F5*'Jan''14 SP'!J39/'Jan''14 SP'!J40&lt;'Jan''14 SP'!J43),(0),('Bills Jan''14'!$F5*'Jan''14 SP'!J39/'Jan''14 SP'!J40-'Jan''14 SP'!J43)*'Jan''14 SP'!J47/100)*'Jan''14 SP'!J40</f>
        <v>269.76919199999998</v>
      </c>
      <c r="I94" s="59">
        <f>IF(($F5*'Jan''14 SP'!K39/'Jan''14 SP'!K40&lt;'Jan''14 SP'!K43),(0),('Bills Jan''14'!$F5*'Jan''14 SP'!K39/'Jan''14 SP'!K40-'Jan''14 SP'!K43)*'Jan''14 SP'!K47/100)*'Jan''14 SP'!K40</f>
        <v>167.27096099999994</v>
      </c>
      <c r="J94" s="59">
        <f>IF(($F5*'Jan''14 SP'!L39/'Jan''14 SP'!L40&lt;'Jan''14 SP'!L43),(0),('Bills Jan''14'!$F5*'Jan''14 SP'!L39/'Jan''14 SP'!L40-'Jan''14 SP'!L43)*'Jan''14 SP'!L47/100)*'Jan''14 SP'!L40</f>
        <v>281.00957499999998</v>
      </c>
      <c r="K94" s="63"/>
    </row>
    <row r="95" spans="1:11" x14ac:dyDescent="0.15">
      <c r="A95" s="40" t="s">
        <v>607</v>
      </c>
      <c r="C95" s="59">
        <f>IF($F5*'Jan''14 SP'!E41/'Jan''14 SP'!E42&gt;='Jan''14 SP'!E43,('Jan''14 SP'!E43*'Jan''14 SP'!E48/100)*'Jan''14 SP'!E42,($F5*'Jan''14 SP'!E41/'Jan''14 SP'!E42*'Jan''14 SP'!E48/100)*'Jan''14 SP'!E42)</f>
        <v>483.64800000000002</v>
      </c>
      <c r="D95" s="59">
        <f>IF($F5*'Jan''14 SP'!F41/'Jan''14 SP'!F42&gt;='Jan''14 SP'!F43,('Jan''14 SP'!F43*'Jan''14 SP'!F48/100)*'Jan''14 SP'!F42,('Bills Jan''14'!$F5*'Jan''14 SP'!F41/'Jan''14 SP'!F42*'Jan''14 SP'!F48/100)*'Jan''14 SP'!F42)</f>
        <v>269.77280000000002</v>
      </c>
      <c r="E95" s="59">
        <f>IF($F5*'Jan''14 SP'!G41/'Jan''14 SP'!G42&gt;='Jan''14 SP'!G43,('Jan''14 SP'!G43*'Jan''14 SP'!G48/100)*'Jan''14 SP'!G42,($F5*'Jan''14 SP'!G41/'Jan''14 SP'!G42*'Jan''14 SP'!G48/100)*'Jan''14 SP'!G42)</f>
        <v>498.96000000000009</v>
      </c>
      <c r="F95" s="59">
        <f>IF($F5*'Jan''14 SP'!H41/'Jan''14 SP'!H42&gt;='Jan''14 SP'!H43,('Jan''14 SP'!H43*'Jan''14 SP'!H48/100)*'Jan''14 SP'!H42,('Bills Jan''14'!$F5*'Jan''14 SP'!H41/'Jan''14 SP'!H42*'Jan''14 SP'!H48/100)*'Jan''14 SP'!H42)</f>
        <v>285.18400000000003</v>
      </c>
      <c r="G95" s="59">
        <f>IF($F5*'Jan''14 SP'!I41/'Jan''14 SP'!I42&gt;='Jan''14 SP'!I43,('Jan''14 SP'!I43*'Jan''14 SP'!I48/100)*'Jan''14 SP'!I42,('Bills Jan''14'!$F5*'Jan''14 SP'!I41/'Jan''14 SP'!I42*'Jan''14 SP'!I48/100)*'Jan''14 SP'!I42)</f>
        <v>265.68959999999998</v>
      </c>
      <c r="H95" s="59">
        <f>IF($F5*'Jan''14 SP'!J41/'Jan''14 SP'!J42&gt;='Jan''14 SP'!J43,('Jan''14 SP'!J43*'Jan''14 SP'!J48/100)*'Jan''14 SP'!J42,('Bills Jan''14'!$F5*'Jan''14 SP'!J41/'Jan''14 SP'!J42*'Jan''14 SP'!J48/100)*'Jan''14 SP'!J42)</f>
        <v>271.74400000000003</v>
      </c>
      <c r="I95" s="59">
        <f>IF($F5*'Jan''14 SP'!K41/'Jan''14 SP'!K42&gt;='Jan''14 SP'!K43,('Jan''14 SP'!K43*'Jan''14 SP'!K48/100)*'Jan''14 SP'!K42,('Bills Jan''14'!$F5*'Jan''14 SP'!K41/'Jan''14 SP'!K42*'Jan''14 SP'!K48/100)*'Jan''14 SP'!K42)</f>
        <v>501.6</v>
      </c>
      <c r="J95" s="59">
        <f>IF($F5*'Jan''14 SP'!L41/'Jan''14 SP'!L42&gt;='Jan''14 SP'!L43,('Jan''14 SP'!L43*'Jan''14 SP'!L48/100)*'Jan''14 SP'!L42,('Bills Jan''14'!$F5*'Jan''14 SP'!L41/'Jan''14 SP'!L42*'Jan''14 SP'!L48/100)*'Jan''14 SP'!L42)</f>
        <v>266.11200000000002</v>
      </c>
      <c r="K95" s="63"/>
    </row>
    <row r="96" spans="1:11" x14ac:dyDescent="0.15">
      <c r="A96" s="40" t="s">
        <v>608</v>
      </c>
      <c r="C96" s="59">
        <f>IF($F5*'Jan''14 SP'!E41/'Jan''14 SP'!E42&lt;'Jan''14 SP'!E43,0,IF($F5*'Jan''14 SP'!E41/'Jan''14 SP'!E42&lt;='Jan''14 SP'!E44,($F5*'Jan''14 SP'!E41/'Jan''14 SP'!E42-'Jan''14 SP'!E43)*('Jan''14 SP'!E49/100)*'Jan''14 SP'!E42,('Jan''14 SP'!E44-'Jan''14 SP'!E43)*('Jan''14 SP'!E49/100)*'Jan''14 SP'!E42))</f>
        <v>265.06013819999993</v>
      </c>
      <c r="D96" s="59">
        <v>0</v>
      </c>
      <c r="E96" s="59">
        <f>IF($F5*'Jan''14 SP'!G41/'Jan''14 SP'!G42&lt;'Jan''14 SP'!G43,0,IF($F5*'Jan''14 SP'!G41/'Jan''14 SP'!G42&lt;='Jan''14 SP'!G44,($F5*'Jan''14 SP'!G41/'Jan''14 SP'!G42-'Jan''14 SP'!G43)*('Jan''14 SP'!G49/100)*'Jan''14 SP'!G42,('Jan''14 SP'!G44-'Jan''14 SP'!G43)*('Jan''14 SP'!G49/100)*'Jan''14 SP'!G42))</f>
        <v>342.46007399999996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63"/>
    </row>
    <row r="97" spans="1:11" x14ac:dyDescent="0.15">
      <c r="A97" s="40" t="s">
        <v>611</v>
      </c>
      <c r="C97" s="59">
        <f>IF(($F5*'Jan''14 SP'!E41/'Jan''14 SP'!E42&gt;'Jan''14 SP'!E44),($F5*'Jan''14 SP'!E41/'Jan''14 SP'!E42-'Jan''14 SP'!E44)*'Jan''14 SP'!E50/100*'Jan''14 SP'!E42,0)</f>
        <v>0</v>
      </c>
      <c r="D97" s="59">
        <f>IF(($F5*'Jan''14 SP'!F41/'Jan''14 SP'!F42&lt;'Jan''14 SP'!F43),(0),('Bills Jan''14'!$F5*'Jan''14 SP'!F41/'Jan''14 SP'!F42-'Jan''14 SP'!F43)*'Jan''14 SP'!F50/100)*'Jan''14 SP'!F42</f>
        <v>497.78838999999994</v>
      </c>
      <c r="E97" s="59">
        <f>IF(($F5*'Jan''14 SP'!G41/'Jan''14 SP'!G42&gt;'Jan''14 SP'!G44),($F5*'Jan''14 SP'!G41/'Jan''14 SP'!G42-'Jan''14 SP'!G44)*'Jan''14 SP'!G50/100*'Jan''14 SP'!G42,0)</f>
        <v>0</v>
      </c>
      <c r="F97" s="59">
        <f>IF(($F5*'Jan''14 SP'!H41/'Jan''14 SP'!H42&lt;'Jan''14 SP'!H43),(0),('Bills Jan''14'!$F5*'Jan''14 SP'!H41/'Jan''14 SP'!H42-'Jan''14 SP'!H43)*'Jan''14 SP'!H50/100)*'Jan''14 SP'!H42</f>
        <v>570.48593199999993</v>
      </c>
      <c r="G97" s="59">
        <f>IF(($F5*'Jan''14 SP'!I41/'Jan''14 SP'!I42&lt;'Jan''14 SP'!I43),(0),('Bills Jan''14'!$F5*'Jan''14 SP'!I41/'Jan''14 SP'!I42-'Jan''14 SP'!I43)*'Jan''14 SP'!I50/100)*'Jan''14 SP'!I42</f>
        <v>514.28401699999995</v>
      </c>
      <c r="H97" s="59">
        <f>IF(($F5*'Jan''14 SP'!J41/'Jan''14 SP'!J42&lt;'Jan''14 SP'!J43),(0),('Bills Jan''14'!$F5*'Jan''14 SP'!J41/'Jan''14 SP'!J42-'Jan''14 SP'!J43)*'Jan''14 SP'!J50/100)*'Jan''14 SP'!J42</f>
        <v>491.3653139999999</v>
      </c>
      <c r="I97" s="59">
        <f>IF(($F5*'Jan''14 SP'!K41/'Jan''14 SP'!K42&lt;'Jan''14 SP'!K43),(0),('Bills Jan''14'!$F5*'Jan''14 SP'!K41/'Jan''14 SP'!K42-'Jan''14 SP'!K43)*'Jan''14 SP'!K50/100)*'Jan''14 SP'!K42</f>
        <v>308.80792799999995</v>
      </c>
      <c r="J97" s="59">
        <f>IF(($F5*'Jan''14 SP'!L41/'Jan''14 SP'!L42&lt;'Jan''14 SP'!L43),(0),('Bills Jan''14'!$F5*'Jan''14 SP'!L41/'Jan''14 SP'!L42-'Jan''14 SP'!L43)*'Jan''14 SP'!L50/100)*'Jan''14 SP'!L42</f>
        <v>526.69223199999988</v>
      </c>
      <c r="K97" s="63"/>
    </row>
    <row r="98" spans="1:11" x14ac:dyDescent="0.15">
      <c r="A98" s="40" t="s">
        <v>612</v>
      </c>
      <c r="C98" s="59">
        <f>365*'Jan''14 SP'!E51/100</f>
        <v>234.27525000000003</v>
      </c>
      <c r="D98" s="59">
        <f>365*'Jan''14 SP'!F51/100</f>
        <v>238.81219999999996</v>
      </c>
      <c r="E98" s="59">
        <f>365*'Jan''14 SP'!G51/100</f>
        <v>236.88500000000005</v>
      </c>
      <c r="F98" s="59">
        <f>365*'Jan''14 SP'!H51/100</f>
        <v>256.09129999999999</v>
      </c>
      <c r="G98" s="59">
        <f>365*'Jan''14 SP'!I51/100</f>
        <v>223.672</v>
      </c>
      <c r="H98" s="59">
        <f>365*'Jan''14 SP'!J51/100</f>
        <v>200.75</v>
      </c>
      <c r="I98" s="59">
        <f>365*'Jan''14 SP'!K51/100</f>
        <v>226.24525000000003</v>
      </c>
      <c r="J98" s="59">
        <f>365*'Jan''14 SP'!L51/100</f>
        <v>212.75485</v>
      </c>
      <c r="K98" s="60">
        <f>AVERAGE(C98:J98)</f>
        <v>228.68573125</v>
      </c>
    </row>
    <row r="99" spans="1:11" x14ac:dyDescent="0.15">
      <c r="A99" s="62" t="s">
        <v>613</v>
      </c>
      <c r="B99" s="63"/>
      <c r="C99" s="61">
        <f t="shared" ref="C99:H99" si="7">SUM(C92:C98)</f>
        <v>1391.7198075000001</v>
      </c>
      <c r="D99" s="61">
        <f t="shared" si="7"/>
        <v>1438.2841120999997</v>
      </c>
      <c r="E99" s="61">
        <f t="shared" si="7"/>
        <v>1559.731415</v>
      </c>
      <c r="F99" s="61">
        <f t="shared" si="7"/>
        <v>1583.1494680000001</v>
      </c>
      <c r="G99" s="61">
        <f t="shared" si="7"/>
        <v>1431.5067746999998</v>
      </c>
      <c r="H99" s="61">
        <f t="shared" si="7"/>
        <v>1379.3565059999999</v>
      </c>
      <c r="I99" s="61">
        <f>SUM(I92:I98)</f>
        <v>1478.4841389999997</v>
      </c>
      <c r="J99" s="61">
        <f>SUM(J92:J98)</f>
        <v>1436.5206569999998</v>
      </c>
      <c r="K99" s="64">
        <f>AVERAGE(C99:J99)</f>
        <v>1462.3441099124998</v>
      </c>
    </row>
    <row r="101" spans="1:11" x14ac:dyDescent="0.1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</row>
    <row r="102" spans="1:11" x14ac:dyDescent="0.15">
      <c r="A102" s="53" t="s">
        <v>490</v>
      </c>
      <c r="C102" s="23" t="s">
        <v>1044</v>
      </c>
      <c r="D102" s="23" t="s">
        <v>591</v>
      </c>
      <c r="E102" s="23" t="s">
        <v>592</v>
      </c>
      <c r="F102" s="23" t="s">
        <v>615</v>
      </c>
      <c r="G102" s="23" t="s">
        <v>595</v>
      </c>
      <c r="H102" s="23" t="s">
        <v>596</v>
      </c>
      <c r="I102" s="23" t="s">
        <v>486</v>
      </c>
      <c r="J102" s="23" t="s">
        <v>487</v>
      </c>
    </row>
    <row r="103" spans="1:11" x14ac:dyDescent="0.15">
      <c r="A103" s="40" t="s">
        <v>491</v>
      </c>
      <c r="C103" s="24" t="s">
        <v>539</v>
      </c>
      <c r="D103" s="25" t="s">
        <v>493</v>
      </c>
      <c r="E103" s="25" t="s">
        <v>540</v>
      </c>
      <c r="F103" s="25" t="s">
        <v>494</v>
      </c>
      <c r="G103" s="25" t="s">
        <v>494</v>
      </c>
      <c r="H103" s="25" t="s">
        <v>493</v>
      </c>
      <c r="I103" s="25" t="s">
        <v>493</v>
      </c>
      <c r="J103" s="25" t="s">
        <v>493</v>
      </c>
    </row>
    <row r="104" spans="1:11" x14ac:dyDescent="0.15">
      <c r="A104" s="40" t="s">
        <v>496</v>
      </c>
      <c r="C104" s="25" t="s">
        <v>498</v>
      </c>
      <c r="D104" s="25" t="s">
        <v>497</v>
      </c>
      <c r="E104" s="25" t="s">
        <v>526</v>
      </c>
      <c r="F104" s="25" t="s">
        <v>498</v>
      </c>
      <c r="G104" s="25" t="s">
        <v>498</v>
      </c>
      <c r="H104" s="25" t="s">
        <v>527</v>
      </c>
      <c r="I104" s="25" t="s">
        <v>493</v>
      </c>
      <c r="J104" s="25" t="s">
        <v>493</v>
      </c>
    </row>
    <row r="105" spans="1:11" x14ac:dyDescent="0.15">
      <c r="A105" s="40" t="s">
        <v>499</v>
      </c>
      <c r="C105" s="25" t="s">
        <v>528</v>
      </c>
      <c r="D105" s="37">
        <v>22</v>
      </c>
      <c r="E105" s="37">
        <v>22</v>
      </c>
      <c r="F105" s="37">
        <v>20</v>
      </c>
      <c r="G105" s="37">
        <v>80</v>
      </c>
      <c r="H105" s="37">
        <v>20</v>
      </c>
      <c r="I105" s="40" t="s">
        <v>493</v>
      </c>
      <c r="J105" s="40" t="s">
        <v>493</v>
      </c>
    </row>
    <row r="106" spans="1:11" x14ac:dyDescent="0.15">
      <c r="A106" s="40" t="s">
        <v>501</v>
      </c>
      <c r="C106" s="25" t="s">
        <v>541</v>
      </c>
      <c r="D106" s="24" t="s">
        <v>536</v>
      </c>
      <c r="E106" s="24" t="s">
        <v>542</v>
      </c>
      <c r="F106" s="24" t="s">
        <v>537</v>
      </c>
      <c r="G106" s="24" t="s">
        <v>505</v>
      </c>
      <c r="H106" s="24" t="s">
        <v>506</v>
      </c>
      <c r="I106" s="24" t="s">
        <v>531</v>
      </c>
      <c r="J106" s="24" t="s">
        <v>532</v>
      </c>
    </row>
    <row r="107" spans="1:11" x14ac:dyDescent="0.15">
      <c r="A107" s="40" t="s">
        <v>511</v>
      </c>
      <c r="C107" s="25" t="s">
        <v>512</v>
      </c>
      <c r="D107" s="25" t="s">
        <v>500</v>
      </c>
      <c r="E107" s="25" t="s">
        <v>494</v>
      </c>
      <c r="F107" s="25" t="s">
        <v>500</v>
      </c>
      <c r="G107" s="25" t="s">
        <v>500</v>
      </c>
      <c r="H107" s="25" t="s">
        <v>500</v>
      </c>
      <c r="I107" s="25" t="s">
        <v>493</v>
      </c>
      <c r="J107" s="25" t="s">
        <v>493</v>
      </c>
    </row>
    <row r="108" spans="1:11" x14ac:dyDescent="0.1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</row>
  </sheetData>
  <sheetProtection algorithmName="SHA-512" hashValue="8e9xdCvlz+TipaWYik6f1nbXkgIvOQ1/kafdwb7BPpRgOjV8XULP5h8WqhugMDqhzbC25fJLh/cJ9RczxRsNrw==" saltValue="ZxSUMjJbIJIvW4fhwDGWrQ==" spinCount="100000" sheet="1" objects="1" scenarios="1"/>
  <phoneticPr fontId="20" type="noConversion"/>
  <pageMargins left="0.75" right="0.75" top="1" bottom="1" header="0.5" footer="0.5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/>
  <dimension ref="A1:O108"/>
  <sheetViews>
    <sheetView zoomScale="150" zoomScaleNormal="150" zoomScalePageLayoutView="150" workbookViewId="0">
      <selection activeCell="L9" sqref="L9:L99"/>
    </sheetView>
  </sheetViews>
  <sheetFormatPr baseColWidth="10" defaultColWidth="10.83203125" defaultRowHeight="13" x14ac:dyDescent="0.15"/>
  <cols>
    <col min="1" max="1" width="26.1640625" style="40" customWidth="1"/>
    <col min="2" max="2" width="3.1640625" style="40" customWidth="1"/>
    <col min="3" max="8" width="11.6640625" style="40" customWidth="1"/>
    <col min="9" max="11" width="13.33203125" style="40" customWidth="1"/>
    <col min="12" max="12" width="15" style="40" customWidth="1"/>
    <col min="13" max="15" width="11.6640625" style="40" customWidth="1"/>
    <col min="16" max="16384" width="10.83203125" style="40"/>
  </cols>
  <sheetData>
    <row r="1" spans="1:15" x14ac:dyDescent="0.15">
      <c r="A1" s="48" t="s">
        <v>586</v>
      </c>
    </row>
    <row r="2" spans="1:15" x14ac:dyDescent="0.15">
      <c r="A2" s="78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</row>
    <row r="3" spans="1:15" x14ac:dyDescent="0.15">
      <c r="A3" s="52" t="s">
        <v>543</v>
      </c>
    </row>
    <row r="5" spans="1:15" x14ac:dyDescent="0.15">
      <c r="A5" s="53" t="s">
        <v>588</v>
      </c>
      <c r="B5" s="53"/>
      <c r="C5" s="53" t="s">
        <v>1394</v>
      </c>
      <c r="F5" s="66">
        <v>30000</v>
      </c>
    </row>
    <row r="6" spans="1:15" x14ac:dyDescent="0.15">
      <c r="C6" s="54" t="s">
        <v>589</v>
      </c>
    </row>
    <row r="7" spans="1:15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</row>
    <row r="8" spans="1:15" x14ac:dyDescent="0.15">
      <c r="K8" s="23"/>
      <c r="L8" s="58"/>
    </row>
    <row r="9" spans="1:15" x14ac:dyDescent="0.15">
      <c r="A9" s="53" t="s">
        <v>1074</v>
      </c>
      <c r="C9" s="23" t="s">
        <v>1044</v>
      </c>
      <c r="D9" s="23" t="s">
        <v>591</v>
      </c>
      <c r="E9" s="23" t="s">
        <v>592</v>
      </c>
      <c r="F9" s="23" t="s">
        <v>544</v>
      </c>
      <c r="G9" s="23" t="s">
        <v>615</v>
      </c>
      <c r="H9" s="23" t="s">
        <v>595</v>
      </c>
      <c r="I9" s="23" t="s">
        <v>596</v>
      </c>
      <c r="J9" s="23" t="s">
        <v>486</v>
      </c>
      <c r="K9" s="23" t="s">
        <v>487</v>
      </c>
      <c r="L9" s="57" t="s">
        <v>601</v>
      </c>
    </row>
    <row r="10" spans="1:15" x14ac:dyDescent="0.15">
      <c r="A10" s="40" t="s">
        <v>602</v>
      </c>
      <c r="C10" s="59">
        <f>IF($F5*'Jul''13 Multi'!E7/'Jul''13 Multi'!E8&gt;='Jul''13 Multi'!E11,('Jul''13 Multi'!E11*'Jul''13 Multi'!E15/100)*'Jul''13 Multi'!E8,($F5*'Jul''13 Multi'!E7/'Jul''13 Multi'!E8*'Jul''13 Multi'!E15/100)*'Jul''13 Multi'!E8)</f>
        <v>183.05099999999999</v>
      </c>
      <c r="D10" s="59">
        <f>IF($F5*'Jul''13 Multi'!F7/'Jul''13 Multi'!F8&gt;='Jul''13 Multi'!F11,('Jul''13 Multi'!F11*'Jul''13 Multi'!F15/100)*'Jul''13 Multi'!F8,($F5*'Jul''13 Multi'!F7/'Jul''13 Multi'!F8*'Jul''13 Multi'!F15/100)*'Jul''13 Multi'!F8)</f>
        <v>318.28499999999997</v>
      </c>
      <c r="E10" s="59">
        <f>IF($F5*'Jul''13 Multi'!G7/'Jul''13 Multi'!G8&gt;='Jul''13 Multi'!G11,('Jul''13 Multi'!G11*'Jul''13 Multi'!G15/100)*'Jul''13 Multi'!G8,($F5*'Jul''13 Multi'!G7/'Jul''13 Multi'!G8*'Jul''13 Multi'!G15/100)*'Jul''13 Multi'!G8)</f>
        <v>191.07000000000005</v>
      </c>
      <c r="F10" s="59">
        <f>IF($F5*'Jul''13 Multi'!H7/'Jul''13 Multi'!H8&gt;='Jul''13 Multi'!H11,('Jul''13 Multi'!H11*'Jul''13 Multi'!H15/100)*'Jul''13 Multi'!H8,($F5*'Jul''13 Multi'!H7/'Jul''13 Multi'!H8*'Jul''13 Multi'!H15/100)*'Jul''13 Multi'!H8)</f>
        <v>322.5</v>
      </c>
      <c r="G10" s="59">
        <f>IF($F5*'Jul''13 Multi'!I7/'Jul''13 Multi'!I8&gt;='Jul''13 Multi'!I11,('Jul''13 Multi'!I11*'Jul''13 Multi'!I15/100)*'Jul''13 Multi'!I8,($F5*'Jul''13 Multi'!I7/'Jul''13 Multi'!I8*'Jul''13 Multi'!I15/100)*'Jul''13 Multi'!I8)</f>
        <v>339.07500000000005</v>
      </c>
      <c r="H10" s="59">
        <f>IF($F5*'Jul''13 Multi'!J7/'Jul''13 Multi'!J8&gt;='Jul''13 Multi'!J11,('Jul''13 Multi'!J11*'Jul''13 Multi'!J15/100)*'Jul''13 Multi'!J8,($F5*'Jul''13 Multi'!J7/'Jul''13 Multi'!J8*'Jul''13 Multi'!J15/100)*'Jul''13 Multi'!J8)</f>
        <v>302.04000000000002</v>
      </c>
      <c r="I10" s="59">
        <f>IF($F5*'Jul''13 Multi'!K7/'Jul''13 Multi'!K8&gt;='Jul''13 Multi'!K11,('Jul''13 Multi'!K11*'Jul''13 Multi'!K15/100)*'Jul''13 Multi'!K8,($F5*'Jul''13 Multi'!K7/'Jul''13 Multi'!K8*'Jul''13 Multi'!K15/100)*'Jul''13 Multi'!K8)</f>
        <v>310.20000000000005</v>
      </c>
      <c r="J10" s="59">
        <f>IF($F5*'Jul''13 Multi'!L7/'Jul''13 Multi'!L8&gt;='Jul''13 Multi'!L11,('Jul''13 Multi'!L11*'Jul''13 Multi'!L15/100)*'Jul''13 Multi'!L8,($F5*'Jul''13 Multi'!L7/'Jul''13 Multi'!L8*'Jul''13 Multi'!L15/100)*'Jul''13 Multi'!L8)</f>
        <v>297</v>
      </c>
      <c r="K10" s="59">
        <f>IF($F5*'Jul''13 Multi'!M7/'Jul''13 Multi'!M8&gt;='Jul''13 Multi'!M11,('Jul''13 Multi'!M11*'Jul''13 Multi'!M15/100)*'Jul''13 Multi'!M8,($F5*'Jul''13 Multi'!M7/'Jul''13 Multi'!M8*'Jul''13 Multi'!M15/100)*'Jul''13 Multi'!M8)</f>
        <v>318.45000000000005</v>
      </c>
      <c r="L10" s="63"/>
    </row>
    <row r="11" spans="1:15" x14ac:dyDescent="0.15">
      <c r="A11" s="40" t="s">
        <v>603</v>
      </c>
      <c r="C11" s="59">
        <f>IF($F5*'Jul''13 Multi'!E7/'Jul''13 Multi'!E8&lt;'Jul''13 Multi'!E11,0,IF($F5*'Jul''13 Multi'!E7/'Jul''13 Multi'!E8&lt;='Jul''13 Multi'!E12,($F5*'Jul''13 Multi'!E7/'Jul''13 Multi'!E8-'Jul''13 Multi'!E11)*('Jul''13 Multi'!E16/100)*'Jul''13 Multi'!E8,('Jul''13 Multi'!E12-'Jul''13 Multi'!E11)*('Jul''13 Multi'!E16/100)*'Jul''13 Multi'!E8))</f>
        <v>105.666</v>
      </c>
      <c r="D11" s="59">
        <f>IF($F5*'Jul''13 Multi'!F7/'Jul''13 Multi'!F8&lt;'Jul''13 Multi'!F11,0,IF($F5*'Jul''13 Multi'!F7/'Jul''13 Multi'!F8&lt;='Jul''13 Multi'!F12,($F5*'Jul''13 Multi'!F7/'Jul''13 Multi'!F8-'Jul''13 Multi'!F11)*('Jul''13 Multi'!F16/100)*'Jul''13 Multi'!F8,('Jul''13 Multi'!F12-'Jul''13 Multi'!F11)*('Jul''13 Multi'!F16/100)*'Jul''13 Multi'!F8))</f>
        <v>0</v>
      </c>
      <c r="E11" s="59">
        <f>IF($F5*'Jul''13 Multi'!G7/'Jul''13 Multi'!G8&lt;'Jul''13 Multi'!G11,0,IF($F5*'Jul''13 Multi'!G7/'Jul''13 Multi'!G8&lt;='Jul''13 Multi'!G12,($F5*'Jul''13 Multi'!G7/'Jul''13 Multi'!G8-'Jul''13 Multi'!G11)*('Jul''13 Multi'!G16/100)*'Jul''13 Multi'!G8,('Jul''13 Multi'!G12-'Jul''13 Multi'!G11)*('Jul''13 Multi'!G16/100)*'Jul''13 Multi'!G8))</f>
        <v>113.51999999999998</v>
      </c>
      <c r="F11" s="59">
        <v>0</v>
      </c>
      <c r="G11" s="59">
        <f>IF($F5*'Jul''13 Multi'!I7/'Jul''13 Multi'!I8&lt;'Jul''13 Multi'!I11,0,IF($F5*'Jul''13 Multi'!I7/'Jul''13 Multi'!I8&lt;='Jul''13 Multi'!I12,($F5*'Jul''13 Multi'!I7/'Jul''13 Multi'!I8-'Jul''13 Multi'!I11)*('Jul''13 Multi'!I16/100)*'Jul''13 Multi'!I8,('Jul''13 Multi'!I12-'Jul''13 Multi'!I11)*('Jul''13 Multi'!I16/100)*'Jul''13 Multi'!I8))</f>
        <v>0</v>
      </c>
      <c r="H11" s="59">
        <f>IF($F5*'Jul''13 Multi'!J7/'Jul''13 Multi'!J8&lt;'Jul''13 Multi'!J11,0,IF($F5*'Jul''13 Multi'!J7/'Jul''13 Multi'!J8&lt;='Jul''13 Multi'!J12,($F5*'Jul''13 Multi'!J7/'Jul''13 Multi'!J8-'Jul''13 Multi'!J11)*('Jul''13 Multi'!J16/100)*'Jul''13 Multi'!J8,('Jul''13 Multi'!J12-'Jul''13 Multi'!J11)*('Jul''13 Multi'!J16/100)*'Jul''13 Multi'!J8))</f>
        <v>0</v>
      </c>
      <c r="I11" s="59">
        <f>IF($F5*'Jul''13 Multi'!K7/'Jul''13 Multi'!K8&lt;'Jul''13 Multi'!K11,0,IF($F5*'Jul''13 Multi'!K7/'Jul''13 Multi'!K8&lt;='Jul''13 Multi'!K12,($F5*'Jul''13 Multi'!K7/'Jul''13 Multi'!K8-'Jul''13 Multi'!K11)*('Jul''13 Multi'!K16/100)*'Jul''13 Multi'!K8,('Jul''13 Multi'!K12-'Jul''13 Multi'!K11)*('Jul''13 Multi'!K16/100)*'Jul''13 Multi'!K8))</f>
        <v>0</v>
      </c>
      <c r="J11" s="59">
        <f>IF($F5*'Jul''13 Multi'!L7/'Jul''13 Multi'!L8&lt;'Jul''13 Multi'!L11,0,IF($F5*'Jul''13 Multi'!L7/'Jul''13 Multi'!L8&lt;='Jul''13 Multi'!L12,($F5*'Jul''13 Multi'!L7/'Jul''13 Multi'!L8-'Jul''13 Multi'!L11)*('Jul''13 Multi'!L16/100)*'Jul''13 Multi'!L8,('Jul''13 Multi'!L12-'Jul''13 Multi'!L11)*('Jul''13 Multi'!L16/100)*'Jul''13 Multi'!L8))</f>
        <v>0</v>
      </c>
      <c r="K11" s="59">
        <f>IF($F5*'Jul''13 Multi'!M7/'Jul''13 Multi'!M8&lt;'Jul''13 Multi'!M11,0,IF($F5*'Jul''13 Multi'!M7/'Jul''13 Multi'!M8&lt;='Jul''13 Multi'!M12,($F5*'Jul''13 Multi'!M7/'Jul''13 Multi'!M8-'Jul''13 Multi'!M11)*('Jul''13 Multi'!M16/100)*'Jul''13 Multi'!M8,('Jul''13 Multi'!M12-'Jul''13 Multi'!M11)*('Jul''13 Multi'!M16/100)*'Jul''13 Multi'!M8))</f>
        <v>0</v>
      </c>
      <c r="L11" s="63"/>
    </row>
    <row r="12" spans="1:15" x14ac:dyDescent="0.15">
      <c r="A12" s="40" t="s">
        <v>604</v>
      </c>
      <c r="C12" s="59">
        <f>IF($F5*'Jul''13 Multi'!E7/'Jul''13 Multi'!E8&lt;'Jul''13 Multi'!E12,0,IF($F5*'Jul''13 Multi'!E7/'Jul''13 Multi'!E8&lt;='Jul''13 Multi'!E13,($F5*'Jul''13 Multi'!E7/'Jul''13 Multi'!E8-'Jul''13 Multi'!E12)*('Jul''13 Multi'!E17/100)*'Jul''13 Multi'!E8,('Jul''13 Multi'!E13-'Jul''13 Multi'!E12)*('Jul''13 Multi'!E17/100)*'Jul''13 Multi'!E8))</f>
        <v>0</v>
      </c>
      <c r="D12" s="59">
        <v>0</v>
      </c>
      <c r="E12" s="59">
        <f>IF($F5*'Jul''13 Multi'!G7/'Jul''13 Multi'!G8&lt;'Jul''13 Multi'!G12,0,IF($F5*'Jul''13 Multi'!G7/'Jul''13 Multi'!G8&lt;='Jul''13 Multi'!G13,($F5*'Jul''13 Multi'!G7/'Jul''13 Multi'!G8-'Jul''13 Multi'!G12)*('Jul''13 Multi'!G17/100)*'Jul''13 Multi'!G8,('Jul''13 Multi'!G13-'Jul''13 Multi'!G12)*('Jul''13 Multi'!G17/100)*'Jul''13 Multi'!G8))</f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63"/>
    </row>
    <row r="13" spans="1:15" x14ac:dyDescent="0.15">
      <c r="A13" s="40" t="s">
        <v>605</v>
      </c>
      <c r="C13" s="59">
        <f>IF($F5*'Jul''13 Multi'!E7/'Jul''13 Multi'!E8&lt;'Jul''13 Multi'!E13,0,IF($F5*'Jul''13 Multi'!E7/'Jul''13 Multi'!E8&lt;='Jul''13 Multi'!E14,($F5*'Jul''13 Multi'!E7/'Jul''13 Multi'!E8-'Jul''13 Multi'!E13)*('Jul''13 Multi'!E18/100)*'Jul''13 Multi'!E8,('Jul''13 Multi'!E14-'Jul''13 Multi'!E13)*('Jul''13 Multi'!E18/100)*'Jul''13 Multi'!E8))</f>
        <v>0</v>
      </c>
      <c r="D13" s="59">
        <v>0</v>
      </c>
      <c r="E13" s="59">
        <f>IF($F5*'Jul''13 Multi'!G7/'Jul''13 Multi'!G8&lt;'Jul''13 Multi'!G13,0,IF($F5*'Jul''13 Multi'!G7/'Jul''13 Multi'!G8&lt;='Jul''13 Multi'!G14,($F5*'Jul''13 Multi'!G7/'Jul''13 Multi'!G8-'Jul''13 Multi'!G13)*('Jul''13 Multi'!G18/100)*'Jul''13 Multi'!G8,('Jul''13 Multi'!G14-'Jul''13 Multi'!G13)*('Jul''13 Multi'!G18/100)*'Jul''13 Multi'!G8))</f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63"/>
    </row>
    <row r="14" spans="1:15" x14ac:dyDescent="0.15">
      <c r="A14" s="40" t="s">
        <v>606</v>
      </c>
      <c r="C14" s="59">
        <f>IF(($F5*'Jul''13 Multi'!E7/'Jul''13 Multi'!E8&gt;'Jul''13 Multi'!E14),($F5*'Jul''13 Multi'!E7/'Jul''13 Multi'!E8-'Jul''13 Multi'!E14)*'Jul''13 Multi'!E19/100*'Jul''13 Multi'!E8,0)</f>
        <v>0</v>
      </c>
      <c r="D14" s="59">
        <f>IF(($F5*'Jul''13 Multi'!F7/'Jul''13 Multi'!F8&gt;'Jul''13 Multi'!F12),($F5*'Jul''13 Multi'!F7/'Jul''13 Multi'!F8-'Jul''13 Multi'!F12)*'Jul''13 Multi'!F19/100)*'Jul''13 Multi'!F8</f>
        <v>0</v>
      </c>
      <c r="E14" s="59">
        <f>IF(($F5*'Jul''13 Multi'!G7/'Jul''13 Multi'!G8&gt;'Jul''13 Multi'!G14),($F5*'Jul''13 Multi'!G7/'Jul''13 Multi'!G8-'Jul''13 Multi'!G14)*'Jul''13 Multi'!G19/100*'Jul''13 Multi'!G8,0)</f>
        <v>0</v>
      </c>
      <c r="F14" s="59">
        <f>IF(($F5*'Jul''13 Multi'!H7/'Jul''13 Multi'!H8&gt;'Jul''13 Multi'!H12),($F5*'Jul''13 Multi'!H7/'Jul''13 Multi'!H8-'Jul''13 Multi'!H12)*'Jul''13 Multi'!H19/100)*'Jul''13 Multi'!H8</f>
        <v>0</v>
      </c>
      <c r="G14" s="59">
        <f>IF(($F5*'Jul''13 Multi'!I7/'Jul''13 Multi'!I8&gt;'Jul''13 Multi'!I12),($F5*'Jul''13 Multi'!I7/'Jul''13 Multi'!I8-'Jul''13 Multi'!I12)*'Jul''13 Multi'!I19/100)*'Jul''13 Multi'!I8</f>
        <v>0</v>
      </c>
      <c r="H14" s="59">
        <f>IF(($F5*'Jul''13 Multi'!J7/'Jul''13 Multi'!J8&gt;'Jul''13 Multi'!J12),($F5*'Jul''13 Multi'!J7/'Jul''13 Multi'!J8-'Jul''13 Multi'!J12)*'Jul''13 Multi'!J19/100)*'Jul''13 Multi'!J8</f>
        <v>0</v>
      </c>
      <c r="I14" s="59">
        <f>IF(($F5*'Jul''13 Multi'!K7/'Jul''13 Multi'!K8&gt;'Jul''13 Multi'!K12),($F5*'Jul''13 Multi'!K7/'Jul''13 Multi'!K8-'Jul''13 Multi'!K12)*'Jul''13 Multi'!K19/100)*'Jul''13 Multi'!K8</f>
        <v>0</v>
      </c>
      <c r="J14" s="59">
        <f>IF(($F5*'Jul''13 Multi'!L7/'Jul''13 Multi'!L8&gt;'Jul''13 Multi'!L12),($F5*'Jul''13 Multi'!L7/'Jul''13 Multi'!L8-'Jul''13 Multi'!L12)*'Jul''13 Multi'!L19/100)*'Jul''13 Multi'!L8</f>
        <v>0</v>
      </c>
      <c r="K14" s="59">
        <f>IF(($F5*'Jul''13 Multi'!M7/'Jul''13 Multi'!M8&gt;'Jul''13 Multi'!M12),($F5*'Jul''13 Multi'!M7/'Jul''13 Multi'!M8-'Jul''13 Multi'!M12)*'Jul''13 Multi'!M19/100)*'Jul''13 Multi'!M8</f>
        <v>0</v>
      </c>
      <c r="L14" s="63"/>
    </row>
    <row r="15" spans="1:15" x14ac:dyDescent="0.15">
      <c r="A15" s="40" t="s">
        <v>607</v>
      </c>
      <c r="C15" s="59">
        <f>IF($F5*'Jul''13 Multi'!E9/'Jul''13 Multi'!E10&gt;='Jul''13 Multi'!E11,('Jul''13 Multi'!E11*'Jul''13 Multi'!E20/100)*'Jul''13 Multi'!E10,($F5*'Jul''13 Multi'!E9/'Jul''13 Multi'!E10*'Jul''13 Multi'!E20/100)*'Jul''13 Multi'!E10)</f>
        <v>170.97299999999998</v>
      </c>
      <c r="D15" s="59">
        <f>IF($F5*'Jul''13 Multi'!F9/'Jul''13 Multi'!F10&gt;='Jul''13 Multi'!F11,('Jul''13 Multi'!F11*'Jul''13 Multi'!F20/100)*'Jul''13 Multi'!F10,($F5*'Jul''13 Multi'!F9/'Jul''13 Multi'!F10*'Jul''13 Multi'!F20/100)*'Jul''13 Multi'!F10)</f>
        <v>284.625</v>
      </c>
      <c r="E15" s="59">
        <f>IF($F5*'Jul''13 Multi'!G9/'Jul''13 Multi'!G10&gt;='Jul''13 Multi'!G11,('Jul''13 Multi'!G11*'Jul''13 Multi'!G20/100)*'Jul''13 Multi'!G10,($F5*'Jul''13 Multi'!G9/'Jul''13 Multi'!G10*'Jul''13 Multi'!G20/100)*'Jul''13 Multi'!G10)</f>
        <v>183.14999999999998</v>
      </c>
      <c r="F15" s="59">
        <f>IF($F5*'Jul''13 Multi'!H9/'Jul''13 Multi'!H10&gt;='Jul''13 Multi'!H11,('Jul''13 Multi'!H11*'Jul''13 Multi'!H20/100)*'Jul''13 Multi'!H10,($F5*'Jul''13 Multi'!H9/'Jul''13 Multi'!H10*'Jul''13 Multi'!H20/100)*'Jul''13 Multi'!H10)</f>
        <v>310.5</v>
      </c>
      <c r="G15" s="59">
        <f>IF($F5*'Jul''13 Multi'!I9/'Jul''13 Multi'!I10&gt;='Jul''13 Multi'!I11,('Jul''13 Multi'!I11*'Jul''13 Multi'!I20/100)*'Jul''13 Multi'!I10,($F5*'Jul''13 Multi'!I9/'Jul''13 Multi'!I10*'Jul''13 Multi'!I20/100)*'Jul''13 Multi'!I10)</f>
        <v>315.14999999999998</v>
      </c>
      <c r="H15" s="59">
        <f>IF($F5*'Jul''13 Multi'!J9/'Jul''13 Multi'!J10&gt;='Jul''13 Multi'!J11,('Jul''13 Multi'!J11*'Jul''13 Multi'!J20/100)*'Jul''13 Multi'!J10,($F5*'Jul''13 Multi'!J9/'Jul''13 Multi'!J10*'Jul''13 Multi'!J20/100)*'Jul''13 Multi'!J10)</f>
        <v>286.89</v>
      </c>
      <c r="I15" s="59">
        <f>IF($F5*'Jul''13 Multi'!K9/'Jul''13 Multi'!K10&gt;='Jul''13 Multi'!K11,('Jul''13 Multi'!K11*'Jul''13 Multi'!K20/100)*'Jul''13 Multi'!K10,($F5*'Jul''13 Multi'!K9/'Jul''13 Multi'!K10*'Jul''13 Multi'!K20/100)*'Jul''13 Multi'!K10)</f>
        <v>277.20000000000005</v>
      </c>
      <c r="J15" s="59">
        <f>IF($F5*'Jul''13 Multi'!L9/'Jul''13 Multi'!L10&gt;='Jul''13 Multi'!L11,('Jul''13 Multi'!L11*'Jul''13 Multi'!L20/100)*'Jul''13 Multi'!L10,($F5*'Jul''13 Multi'!L9/'Jul''13 Multi'!L10*'Jul''13 Multi'!L20/100)*'Jul''13 Multi'!L10)</f>
        <v>285.45000000000005</v>
      </c>
      <c r="K15" s="59">
        <f>IF($F5*'Jul''13 Multi'!M9/'Jul''13 Multi'!M10&gt;='Jul''13 Multi'!M11,('Jul''13 Multi'!M11*'Jul''13 Multi'!M20/100)*'Jul''13 Multi'!M10,($F5*'Jul''13 Multi'!M9/'Jul''13 Multi'!M10*'Jul''13 Multi'!M20/100)*'Jul''13 Multi'!M10)</f>
        <v>308.54999999999995</v>
      </c>
      <c r="L15" s="63"/>
    </row>
    <row r="16" spans="1:15" x14ac:dyDescent="0.15">
      <c r="A16" s="40" t="s">
        <v>608</v>
      </c>
      <c r="C16" s="59">
        <f>IF($F5*'Jul''13 Multi'!E9/'Jul''13 Multi'!E10&lt;'Jul''13 Multi'!E11,0,IF($F5*'Jul''13 Multi'!E9/'Jul''13 Multi'!E10&lt;='Jul''13 Multi'!E12,($F5*'Jul''13 Multi'!E9/'Jul''13 Multi'!E10-'Jul''13 Multi'!E11)*('Jul''13 Multi'!E21/100)*'Jul''13 Multi'!E10,('Jul''13 Multi'!E12-'Jul''13 Multi'!E11)*('Jul''13 Multi'!E21/100)*'Jul''13 Multi'!E10))</f>
        <v>99.593999999999994</v>
      </c>
      <c r="D16" s="59">
        <f>IF($F5*'Jul''13 Multi'!F9/'Jul''13 Multi'!F10&lt;'Jul''13 Multi'!F11,0,IF($F5*'Jul''13 Multi'!F9/'Jul''13 Multi'!F10&lt;='Jul''13 Multi'!F12,($F5*'Jul''13 Multi'!F9/'Jul''13 Multi'!F10-'Jul''13 Multi'!F11)*('Jul''13 Multi'!F21/100)*'Jul''13 Multi'!F10,('Jul''13 Multi'!F12-'Jul''13 Multi'!F11)*('Jul''13 Multi'!F21/100)*'Jul''13 Multi'!F10))</f>
        <v>0</v>
      </c>
      <c r="E16" s="59">
        <f>IF($F5*'Jul''13 Multi'!G9/'Jul''13 Multi'!G10&lt;'Jul''13 Multi'!G11,0,IF($F5*'Jul''13 Multi'!G9/'Jul''13 Multi'!G10&lt;='Jul''13 Multi'!G12,($F5*'Jul''13 Multi'!G9/'Jul''13 Multi'!G10-'Jul''13 Multi'!G11)*('Jul''13 Multi'!G21/100)*'Jul''13 Multi'!G10,('Jul''13 Multi'!G12-'Jul''13 Multi'!G11)*('Jul''13 Multi'!G21/100)*'Jul''13 Multi'!G10))</f>
        <v>112.85999999999999</v>
      </c>
      <c r="F16" s="59">
        <v>0</v>
      </c>
      <c r="G16" s="59">
        <f>IF($F5*'Jul''13 Multi'!I9/'Jul''13 Multi'!I10&lt;'Jul''13 Multi'!I11,0,IF($F5*'Jul''13 Multi'!I9/'Jul''13 Multi'!I10&lt;='Jul''13 Multi'!I12,($F5*'Jul''13 Multi'!I9/'Jul''13 Multi'!I10-'Jul''13 Multi'!I11)*('Jul''13 Multi'!I21/100)*'Jul''13 Multi'!I10,('Jul''13 Multi'!I12-'Jul''13 Multi'!I11)*('Jul''13 Multi'!I21/100)*'Jul''13 Multi'!I10))</f>
        <v>0</v>
      </c>
      <c r="H16" s="59">
        <f>IF($F5*'Jul''13 Multi'!J9/'Jul''13 Multi'!J10&lt;'Jul''13 Multi'!J11,0,IF($F5*'Jul''13 Multi'!J9/'Jul''13 Multi'!J10&lt;='Jul''13 Multi'!J12,($F5*'Jul''13 Multi'!J9/'Jul''13 Multi'!J10-'Jul''13 Multi'!J11)*('Jul''13 Multi'!J21/100)*'Jul''13 Multi'!J10,('Jul''13 Multi'!J12-'Jul''13 Multi'!J11)*('Jul''13 Multi'!J21/100)*'Jul''13 Multi'!J10))</f>
        <v>0</v>
      </c>
      <c r="I16" s="59">
        <f>IF($F5*'Jul''13 Multi'!K9/'Jul''13 Multi'!K10&lt;'Jul''13 Multi'!K11,0,IF($F5*'Jul''13 Multi'!K9/'Jul''13 Multi'!K10&lt;='Jul''13 Multi'!K12,($F5*'Jul''13 Multi'!K9/'Jul''13 Multi'!K10-'Jul''13 Multi'!K11)*('Jul''13 Multi'!K21/100)*'Jul''13 Multi'!K10,('Jul''13 Multi'!K12-'Jul''13 Multi'!K11)*('Jul''13 Multi'!K21/100)*'Jul''13 Multi'!K10))</f>
        <v>0</v>
      </c>
      <c r="J16" s="59">
        <f>IF($F5*'Jul''13 Multi'!L9/'Jul''13 Multi'!L10&lt;'Jul''13 Multi'!L11,0,IF($F5*'Jul''13 Multi'!L9/'Jul''13 Multi'!L10&lt;='Jul''13 Multi'!L12,($F5*'Jul''13 Multi'!L9/'Jul''13 Multi'!L10-'Jul''13 Multi'!L11)*('Jul''13 Multi'!L21/100)*'Jul''13 Multi'!L10,('Jul''13 Multi'!L12-'Jul''13 Multi'!L11)*('Jul''13 Multi'!L21/100)*'Jul''13 Multi'!L10))</f>
        <v>0</v>
      </c>
      <c r="K16" s="59">
        <f>IF($F5*'Jul''13 Multi'!M9/'Jul''13 Multi'!M10&lt;'Jul''13 Multi'!M11,0,IF($F5*'Jul''13 Multi'!M9/'Jul''13 Multi'!M10&lt;='Jul''13 Multi'!M12,($F5*'Jul''13 Multi'!M9/'Jul''13 Multi'!M10-'Jul''13 Multi'!M11)*('Jul''13 Multi'!M21/100)*'Jul''13 Multi'!M10,('Jul''13 Multi'!M12-'Jul''13 Multi'!M11)*('Jul''13 Multi'!M21/100)*'Jul''13 Multi'!M10))</f>
        <v>0</v>
      </c>
      <c r="L16" s="63"/>
    </row>
    <row r="17" spans="1:12" x14ac:dyDescent="0.15">
      <c r="A17" s="40" t="s">
        <v>609</v>
      </c>
      <c r="C17" s="59">
        <f>IF($F5*'Jul''13 Multi'!E9/'Jul''13 Multi'!E10&lt;'Jul''13 Multi'!E12,0,IF($F5*'Jul''13 Multi'!E9/'Jul''13 Multi'!E10&lt;='Jul''13 Multi'!E13,($F5*'Jul''13 Multi'!E9/'Jul''13 Multi'!E10-'Jul''13 Multi'!E12)*('Jul''13 Multi'!E22/100)*'Jul''13 Multi'!E10,('Jul''13 Multi'!E13-'Jul''13 Multi'!E12)*('Jul''13 Multi'!E22/100)*'Jul''13 Multi'!E10))</f>
        <v>0</v>
      </c>
      <c r="D17" s="59">
        <v>0</v>
      </c>
      <c r="E17" s="59">
        <f>IF($F5*'Jul''13 Multi'!G9/'Jul''13 Multi'!G10&lt;'Jul''13 Multi'!G12,0,IF($F5*'Jul''13 Multi'!G9/'Jul''13 Multi'!G10&lt;='Jul''13 Multi'!G13,($F5*'Jul''13 Multi'!G9/'Jul''13 Multi'!G10-'Jul''13 Multi'!G12)*('Jul''13 Multi'!G22/100)*'Jul''13 Multi'!G10,('Jul''13 Multi'!G13-'Jul''13 Multi'!G12)*('Jul''13 Multi'!G22/100)*'Jul''13 Multi'!G10))</f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63"/>
    </row>
    <row r="18" spans="1:12" x14ac:dyDescent="0.15">
      <c r="A18" s="40" t="s">
        <v>610</v>
      </c>
      <c r="C18" s="59">
        <f>IF($F5*'Jul''13 Multi'!E9/'Jul''13 Multi'!E10&lt;'Jul''13 Multi'!E13,0,IF($F5*'Jul''13 Multi'!E9/'Jul''13 Multi'!E10&lt;='Jul''13 Multi'!E14,($F5*'Jul''13 Multi'!E9/'Jul''13 Multi'!E10-'Jul''13 Multi'!E13)*('Jul''13 Multi'!E23/100)*'Jul''13 Multi'!E10,('Jul''13 Multi'!E14-'Jul''13 Multi'!E13)*('Jul''13 Multi'!E23/100)*'Jul''13 Multi'!E10))</f>
        <v>0</v>
      </c>
      <c r="D18" s="59">
        <v>0</v>
      </c>
      <c r="E18" s="59">
        <f>IF($F5*'Jul''13 Multi'!G9/'Jul''13 Multi'!G10&lt;'Jul''13 Multi'!G13,0,IF($F5*'Jul''13 Multi'!G9/'Jul''13 Multi'!G10&lt;='Jul''13 Multi'!G14,($F5*'Jul''13 Multi'!G9/'Jul''13 Multi'!G10-'Jul''13 Multi'!G13)*('Jul''13 Multi'!G23/100)*'Jul''13 Multi'!G10,('Jul''13 Multi'!G14-'Jul''13 Multi'!G13)*('Jul''13 Multi'!G23/100)*'Jul''13 Multi'!G10))</f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63"/>
    </row>
    <row r="19" spans="1:12" x14ac:dyDescent="0.15">
      <c r="A19" s="40" t="s">
        <v>611</v>
      </c>
      <c r="C19" s="59">
        <f>IF(($F5*'Jul''13 Multi'!E9/'Jul''13 Multi'!E10&gt;'Jul''13 Multi'!E14),($F5*'Jul''13 Multi'!E9/'Jul''13 Multi'!E10-'Jul''13 Multi'!E14)*'Jul''13 Multi'!E24/100*'Jul''13 Multi'!E10,0)</f>
        <v>0</v>
      </c>
      <c r="D19" s="59">
        <f>IF(($F5*'Jul''13 Multi'!F9/'Jul''13 Multi'!F10&gt;'Jul''13 Multi'!F12),($F5*'Jul''13 Multi'!F9/'Jul''13 Multi'!F10-'Jul''13 Multi'!F12)*'Jul''13 Multi'!F24/100)*'Jul''13 Multi'!F10</f>
        <v>0</v>
      </c>
      <c r="E19" s="59">
        <f>IF(($F5*'Jul''13 Multi'!G9/'Jul''13 Multi'!G10&gt;'Jul''13 Multi'!G14),($F5*'Jul''13 Multi'!G9/'Jul''13 Multi'!G10-'Jul''13 Multi'!G14)*'Jul''13 Multi'!G24/100*'Jul''13 Multi'!G10,0)</f>
        <v>0</v>
      </c>
      <c r="F19" s="59">
        <f>IF(($F5*'Jul''13 Multi'!H9/'Jul''13 Multi'!H10&gt;'Jul''13 Multi'!H12),($F5*'Jul''13 Multi'!H9/'Jul''13 Multi'!H10-'Jul''13 Multi'!H12)*'Jul''13 Multi'!H24/100)*'Jul''13 Multi'!H10</f>
        <v>0</v>
      </c>
      <c r="G19" s="59">
        <f>IF(($F5*'Jul''13 Multi'!I9/'Jul''13 Multi'!I10&gt;'Jul''13 Multi'!I12),($F5*'Jul''13 Multi'!I9/'Jul''13 Multi'!I10-'Jul''13 Multi'!I12)*'Jul''13 Multi'!I24/100)*'Jul''13 Multi'!I10</f>
        <v>0</v>
      </c>
      <c r="H19" s="59">
        <f>IF(($F5*'Jul''13 Multi'!J9/'Jul''13 Multi'!J10&gt;'Jul''13 Multi'!J12),($F5*'Jul''13 Multi'!J9/'Jul''13 Multi'!J10-'Jul''13 Multi'!J12)*'Jul''13 Multi'!J24/100)*'Jul''13 Multi'!J10</f>
        <v>0</v>
      </c>
      <c r="I19" s="59">
        <f>IF(($F5*'Jul''13 Multi'!K9/'Jul''13 Multi'!K10&gt;'Jul''13 Multi'!K12),($F5*'Jul''13 Multi'!K9/'Jul''13 Multi'!K10-'Jul''13 Multi'!K12)*'Jul''13 Multi'!K24/100)*'Jul''13 Multi'!K10</f>
        <v>0</v>
      </c>
      <c r="J19" s="59">
        <f>IF(($F5*'Jul''13 Multi'!L9/'Jul''13 Multi'!L10&gt;'Jul''13 Multi'!L12),($F5*'Jul''13 Multi'!L9/'Jul''13 Multi'!L10-'Jul''13 Multi'!L12)*'Jul''13 Multi'!L24/100)*'Jul''13 Multi'!L10</f>
        <v>0</v>
      </c>
      <c r="K19" s="59">
        <f>IF(($F5*'Jul''13 Multi'!M9/'Jul''13 Multi'!M10&gt;'Jul''13 Multi'!M12),($F5*'Jul''13 Multi'!M9/'Jul''13 Multi'!M10-'Jul''13 Multi'!M12)*'Jul''13 Multi'!M24/100)*'Jul''13 Multi'!M10</f>
        <v>0</v>
      </c>
      <c r="L19" s="63"/>
    </row>
    <row r="20" spans="1:12" x14ac:dyDescent="0.15">
      <c r="A20" s="40" t="s">
        <v>612</v>
      </c>
      <c r="C20" s="59">
        <f>365*'Jul''13 Multi'!E25/100</f>
        <v>230.82235</v>
      </c>
      <c r="D20" s="59">
        <f>365*'Jul''13 Multi'!F25/100</f>
        <v>233.83359999999996</v>
      </c>
      <c r="E20" s="59">
        <f>365*'Jul''13 Multi'!G25/100</f>
        <v>240.9</v>
      </c>
      <c r="F20" s="59">
        <f>365*'Jul''13 Multi'!H25/100</f>
        <v>234.62200000000001</v>
      </c>
      <c r="G20" s="59">
        <f>365*'Jul''13 Multi'!I25/100</f>
        <v>272.61849999999998</v>
      </c>
      <c r="H20" s="59">
        <f>365*'Jul''13 Multi'!J25/100</f>
        <v>240.13350000000003</v>
      </c>
      <c r="I20" s="59">
        <f>365*'Jul''13 Multi'!K25/100</f>
        <v>210.78749999999999</v>
      </c>
      <c r="J20" s="59">
        <f>365*'Jul''13 Multi'!L25/100</f>
        <v>227.44974999999999</v>
      </c>
      <c r="K20" s="59">
        <f>365*'Jul''13 Multi'!M25/100</f>
        <v>208.37850000000003</v>
      </c>
      <c r="L20" s="60">
        <f>AVERAGE(C20:K20)</f>
        <v>233.28285555555556</v>
      </c>
    </row>
    <row r="21" spans="1:12" x14ac:dyDescent="0.15">
      <c r="A21" s="62" t="s">
        <v>613</v>
      </c>
      <c r="B21" s="63"/>
      <c r="C21" s="61">
        <f t="shared" ref="C21:H21" si="0">SUM(C10:C20)</f>
        <v>790.10634999999991</v>
      </c>
      <c r="D21" s="61">
        <f t="shared" si="0"/>
        <v>836.7435999999999</v>
      </c>
      <c r="E21" s="61">
        <f t="shared" si="0"/>
        <v>841.5</v>
      </c>
      <c r="F21" s="61">
        <f t="shared" si="0"/>
        <v>867.62200000000007</v>
      </c>
      <c r="G21" s="61">
        <f t="shared" si="0"/>
        <v>926.84349999999995</v>
      </c>
      <c r="H21" s="61">
        <f t="shared" si="0"/>
        <v>829.06350000000009</v>
      </c>
      <c r="I21" s="61">
        <f>SUM(I10:I20)</f>
        <v>798.18750000000011</v>
      </c>
      <c r="J21" s="61">
        <f>SUM(J10:J20)</f>
        <v>809.89975000000004</v>
      </c>
      <c r="K21" s="61">
        <f>SUM(K10:K20)</f>
        <v>835.37850000000003</v>
      </c>
      <c r="L21" s="64">
        <f>AVERAGE(C21:K21)</f>
        <v>837.26052222222233</v>
      </c>
    </row>
    <row r="23" spans="1:12" x14ac:dyDescent="0.15">
      <c r="A23" s="53" t="s">
        <v>1076</v>
      </c>
      <c r="C23" s="23" t="s">
        <v>1044</v>
      </c>
      <c r="D23" s="23" t="s">
        <v>591</v>
      </c>
      <c r="E23" s="23" t="s">
        <v>592</v>
      </c>
      <c r="F23" s="23" t="s">
        <v>544</v>
      </c>
      <c r="G23" s="23" t="s">
        <v>615</v>
      </c>
      <c r="H23" s="23" t="s">
        <v>515</v>
      </c>
      <c r="I23" s="23" t="s">
        <v>545</v>
      </c>
      <c r="J23" s="23" t="s">
        <v>486</v>
      </c>
      <c r="K23" s="23" t="s">
        <v>487</v>
      </c>
      <c r="L23" s="57" t="s">
        <v>601</v>
      </c>
    </row>
    <row r="24" spans="1:12" x14ac:dyDescent="0.15">
      <c r="A24" s="40" t="s">
        <v>602</v>
      </c>
      <c r="C24" s="59">
        <f>IF($F5*'Jul''13 Multi'!E29/'Jul''13 Multi'!E30&gt;='Jul''13 Multi'!E33,('Jul''13 Multi'!E33*'Jul''13 Multi'!E37/100)*'Jul''13 Multi'!E30,($F5*'Jul''13 Multi'!E29/'Jul''13 Multi'!E30*'Jul''13 Multi'!E37/100)*'Jul''13 Multi'!E30)</f>
        <v>176.91300000000001</v>
      </c>
      <c r="D24" s="59">
        <f>IF($F5*'Jul''13 Multi'!F29/'Jul''13 Multi'!F30&gt;='Jul''13 Multi'!F33,('Jul''13 Multi'!F33*'Jul''13 Multi'!F37/100)*'Jul''13 Multi'!F30,('Bills Jul''13'!$F5*'Jul''13 Multi'!F29/'Jul''13 Multi'!F30*'Jul''13 Multi'!F37/100)*'Jul''13 Multi'!F30)</f>
        <v>219.21900000000002</v>
      </c>
      <c r="E24" s="59">
        <f>IF($F5*'Jul''13 Multi'!G29/'Jul''13 Multi'!G30&gt;='Jul''13 Multi'!G33,('Jul''13 Multi'!G33*'Jul''13 Multi'!G37/100)*'Jul''13 Multi'!G30,($F5*'Jul''13 Multi'!G29/'Jul''13 Multi'!G30*'Jul''13 Multi'!G37/100)*'Jul''13 Multi'!G30)</f>
        <v>187.11000000000004</v>
      </c>
      <c r="F24" s="59">
        <f>IF($F5*'Jul''13 Multi'!H29/'Jul''13 Multi'!H30&gt;='Jul''13 Multi'!H33,('Jul''13 Multi'!H33*'Jul''13 Multi'!H37/100)*'Jul''13 Multi'!H30,('Bills Jul''13'!$F5*'Jul''13 Multi'!H29/'Jul''13 Multi'!H30*'Jul''13 Multi'!H37/100)*'Jul''13 Multi'!H30)</f>
        <v>143.49999999999997</v>
      </c>
      <c r="G24" s="59">
        <f>IF($F5*'Jul''13 Multi'!I29/'Jul''13 Multi'!I30&gt;='Jul''13 Multi'!I33,('Jul''13 Multi'!I33*'Jul''13 Multi'!I37/100)*'Jul''13 Multi'!I30,('Bills Jul''13'!$F5*'Jul''13 Multi'!I29/'Jul''13 Multi'!I30*'Jul''13 Multi'!I37/100)*'Jul''13 Multi'!I30)</f>
        <v>141.988</v>
      </c>
      <c r="H24" s="59">
        <f>IF($F5*'Jul''13 Multi'!J29/'Jul''13 Multi'!J30&gt;='Jul''13 Multi'!J33,('Jul''13 Multi'!J33*'Jul''13 Multi'!J37/100)*'Jul''13 Multi'!J30,('Bills Jul''13'!$F5*'Jul''13 Multi'!J29/'Jul''13 Multi'!J30*'Jul''13 Multi'!J37/100)*'Jul''13 Multi'!J30)</f>
        <v>211.62749999999997</v>
      </c>
      <c r="I24" s="59">
        <f>IF($F5*'Jul''13 Multi'!K29/'Jul''13 Multi'!K30&gt;='Jul''13 Multi'!K33,('Jul''13 Multi'!K33*'Jul''13 Multi'!K37/100)*'Jul''13 Multi'!K30,('Bills Jul''13'!$F5*'Jul''13 Multi'!K29/'Jul''13 Multi'!K30*'Jul''13 Multi'!K37/100)*'Jul''13 Multi'!K30)</f>
        <v>206.745</v>
      </c>
      <c r="J24" s="59">
        <f>IF($F5*'Jul''13 Multi'!L29/'Jul''13 Multi'!L30&gt;='Jul''13 Multi'!L33,('Jul''13 Multi'!L33*'Jul''13 Multi'!L37/100)*'Jul''13 Multi'!L30,('Bills Jul''13'!$F5*'Jul''13 Multi'!L29/'Jul''13 Multi'!L30*'Jul''13 Multi'!L37/100)*'Jul''13 Multi'!L30)</f>
        <v>215.98500000000001</v>
      </c>
      <c r="K24" s="59">
        <f>IF($F5*'Jul''13 Multi'!M29/'Jul''13 Multi'!M30&gt;='Jul''13 Multi'!M33,('Jul''13 Multi'!M33*'Jul''13 Multi'!M37/100)*'Jul''13 Multi'!M30,('Bills Jul''13'!$F5*'Jul''13 Multi'!M29/'Jul''13 Multi'!M30*'Jul''13 Multi'!M37/100)*'Jul''13 Multi'!M30)</f>
        <v>205.59</v>
      </c>
      <c r="L24" s="63"/>
    </row>
    <row r="25" spans="1:12" x14ac:dyDescent="0.15">
      <c r="A25" s="40" t="s">
        <v>603</v>
      </c>
      <c r="C25" s="59">
        <f>IF($F5*'Jul''13 Multi'!E29/'Jul''13 Multi'!E30&lt;'Jul''13 Multi'!E33,0,IF($F5*'Jul''13 Multi'!E29/'Jul''13 Multi'!E30&lt;='Jul''13 Multi'!E34,($F5*'Jul''13 Multi'!E29/'Jul''13 Multi'!E30-'Jul''13 Multi'!E33)*('Jul''13 Multi'!E38/100)*'Jul''13 Multi'!E30,('Jul''13 Multi'!E34-'Jul''13 Multi'!E33)*('Jul''13 Multi'!E38/100)*'Jul''13 Multi'!E30))</f>
        <v>104.47800000000001</v>
      </c>
      <c r="D25" s="59">
        <v>0</v>
      </c>
      <c r="E25" s="59">
        <f>IF($F5*'Jul''13 Multi'!G29/'Jul''13 Multi'!G30&lt;'Jul''13 Multi'!G33,0,IF($F5*'Jul''13 Multi'!G29/'Jul''13 Multi'!G30&lt;='Jul''13 Multi'!G34,($F5*'Jul''13 Multi'!G29/'Jul''13 Multi'!G30-'Jul''13 Multi'!G33)*('Jul''13 Multi'!G38/100)*'Jul''13 Multi'!G30,('Jul''13 Multi'!G34-'Jul''13 Multi'!G33)*('Jul''13 Multi'!G38/100)*'Jul''13 Multi'!G30))</f>
        <v>114.18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63"/>
    </row>
    <row r="26" spans="1:12" x14ac:dyDescent="0.15">
      <c r="A26" s="40" t="s">
        <v>604</v>
      </c>
      <c r="C26" s="59">
        <f>IF($F5*'Jul''13 Multi'!E29/'Jul''13 Multi'!E30&lt;'Jul''13 Multi'!E34,0,IF($F5*'Jul''13 Multi'!E29/'Jul''13 Multi'!E30&lt;='Jul''13 Multi'!E35,($F5*'Jul''13 Multi'!E29/'Jul''13 Multi'!E30-'Jul''13 Multi'!E34)*('Jul''13 Multi'!E39/100)*'Jul''13 Multi'!E30,('Jul''13 Multi'!E35-'Jul''13 Multi'!E34)*('Jul''13 Multi'!E39/100)*'Jul''13 Multi'!E30))</f>
        <v>0</v>
      </c>
      <c r="D26" s="59">
        <v>0</v>
      </c>
      <c r="E26" s="59">
        <f>IF($F5*'Jul''13 Multi'!G29/'Jul''13 Multi'!G30&lt;'Jul''13 Multi'!G34,0,IF($F5*'Jul''13 Multi'!G29/'Jul''13 Multi'!G30&lt;='Jul''13 Multi'!G35,($F5*'Jul''13 Multi'!G29/'Jul''13 Multi'!G30-'Jul''13 Multi'!G34)*('Jul''13 Multi'!G39/100)*'Jul''13 Multi'!G30,('Jul''13 Multi'!G35-'Jul''13 Multi'!G34)*('Jul''13 Multi'!G39/100)*'Jul''13 Multi'!G30))</f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63"/>
    </row>
    <row r="27" spans="1:12" x14ac:dyDescent="0.15">
      <c r="A27" s="40" t="s">
        <v>605</v>
      </c>
      <c r="C27" s="59">
        <f>IF($F5*'Jul''13 Multi'!E29/'Jul''13 Multi'!E30&lt;'Jul''13 Multi'!E35,0,IF($F5*'Jul''13 Multi'!E29/'Jul''13 Multi'!E30&lt;='Jul''13 Multi'!E36,($F5*'Jul''13 Multi'!E29/'Jul''13 Multi'!E30-'Jul''13 Multi'!E35)*('Jul''13 Multi'!E40/100)*'Jul''13 Multi'!E30,('Jul''13 Multi'!E36-'Jul''13 Multi'!E35)*('Jul''13 Multi'!E40/100)*'Jul''13 Multi'!E30))</f>
        <v>0</v>
      </c>
      <c r="D27" s="59">
        <v>0</v>
      </c>
      <c r="E27" s="59">
        <f>IF($F5*'Jul''13 Multi'!G29/'Jul''13 Multi'!G30&lt;'Jul''13 Multi'!G35,0,IF($F5*'Jul''13 Multi'!G29/'Jul''13 Multi'!G30&lt;='Jul''13 Multi'!G36,($F5*'Jul''13 Multi'!G29/'Jul''13 Multi'!G30-'Jul''13 Multi'!G35)*('Jul''13 Multi'!G40/100)*'Jul''13 Multi'!G30,('Jul''13 Multi'!G36-'Jul''13 Multi'!G35)*('Jul''13 Multi'!G40/100)*'Jul''13 Multi'!G30))</f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63"/>
    </row>
    <row r="28" spans="1:12" x14ac:dyDescent="0.15">
      <c r="A28" s="40" t="s">
        <v>606</v>
      </c>
      <c r="C28" s="59">
        <f>IF(($F5*'Jul''13 Multi'!E29/'Jul''13 Multi'!E30&gt;'Jul''13 Multi'!E36),($F5*'Jul''13 Multi'!E29/'Jul''13 Multi'!E30-'Jul''13 Multi'!E36)*'Jul''13 Multi'!E41/100*'Jul''13 Multi'!E30,0)</f>
        <v>0</v>
      </c>
      <c r="D28" s="59">
        <f>IF(($F5*'Jul''13 Multi'!F29/'Jul''13 Multi'!F30&gt;'Jul''13 Multi'!F33),('Bills Jul''13'!$F5*'Jul''13 Multi'!F29/'Jul''13 Multi'!F30-'Jul''13 Multi'!F33)*'Jul''13 Multi'!F41/100)*'Jul''13 Multi'!F30</f>
        <v>74.497500000000002</v>
      </c>
      <c r="E28" s="59">
        <f>IF(($F5*'Jul''13 Multi'!G29/'Jul''13 Multi'!G30&gt;'Jul''13 Multi'!G36),($F5*'Jul''13 Multi'!G29/'Jul''13 Multi'!G30-'Jul''13 Multi'!G36)*'Jul''13 Multi'!G41/100*'Jul''13 Multi'!G30,0)</f>
        <v>0</v>
      </c>
      <c r="F28" s="59">
        <f>IF(($F5*'Jul''13 Multi'!H29/'Jul''13 Multi'!H30&gt;'Jul''13 Multi'!H33),('Bills Jul''13'!$F5*'Jul''13 Multi'!H29/'Jul''13 Multi'!H30-'Jul''13 Multi'!H33)*'Jul''13 Multi'!H41/100)*'Jul''13 Multi'!H30</f>
        <v>51.282899999999998</v>
      </c>
      <c r="G28" s="59">
        <f>IF(($F5*'Jul''13 Multi'!I29/'Jul''13 Multi'!I30&gt;'Jul''13 Multi'!I33),('Bills Jul''13'!$F5*'Jul''13 Multi'!I29/'Jul''13 Multi'!I30-'Jul''13 Multi'!I33)*'Jul''13 Multi'!I41/100)*'Jul''13 Multi'!I30</f>
        <v>52.518488000000005</v>
      </c>
      <c r="H28" s="59">
        <f>IF(($F5*'Jul''13 Multi'!J29/'Jul''13 Multi'!J30&gt;'Jul''13 Multi'!J33),('Bills Jul''13'!$F5*'Jul''13 Multi'!J29/'Jul''13 Multi'!J30-'Jul''13 Multi'!J33)*'Jul''13 Multi'!J41/100)*'Jul''13 Multi'!J30</f>
        <v>77.814000000000007</v>
      </c>
      <c r="I28" s="59">
        <f>IF(($F5*'Jul''13 Multi'!K29/'Jul''13 Multi'!K30&gt;'Jul''13 Multi'!K33),('Bills Jul''13'!$F5*'Jul''13 Multi'!K29/'Jul''13 Multi'!K30-'Jul''13 Multi'!K33)*'Jul''13 Multi'!K41/100)*'Jul''13 Multi'!K30</f>
        <v>76.23</v>
      </c>
      <c r="J28" s="59">
        <f>IF(($F5*'Jul''13 Multi'!L29/'Jul''13 Multi'!L30&gt;'Jul''13 Multi'!L33),('Bills Jul''13'!$F5*'Jul''13 Multi'!L29/'Jul''13 Multi'!L30-'Jul''13 Multi'!L33)*'Jul''13 Multi'!L41/100)*'Jul''13 Multi'!L30</f>
        <v>70.784999999999997</v>
      </c>
      <c r="K28" s="59">
        <f>IF(($F5*'Jul''13 Multi'!M29/'Jul''13 Multi'!M30&gt;'Jul''13 Multi'!M33),('Bills Jul''13'!$F5*'Jul''13 Multi'!M29/'Jul''13 Multi'!M30-'Jul''13 Multi'!M33)*'Jul''13 Multi'!M41/100)*'Jul''13 Multi'!M30</f>
        <v>74.25</v>
      </c>
      <c r="L28" s="63"/>
    </row>
    <row r="29" spans="1:12" x14ac:dyDescent="0.15">
      <c r="A29" s="40" t="s">
        <v>607</v>
      </c>
      <c r="C29" s="59">
        <f>IF($F5*'Jul''13 Multi'!E31/'Jul''13 Multi'!E32&gt;='Jul''13 Multi'!E33,('Jul''13 Multi'!E33*'Jul''13 Multi'!E42/100)*'Jul''13 Multi'!E32,($F5*'Jul''13 Multi'!E31/'Jul''13 Multi'!E32*'Jul''13 Multi'!E42/100)*'Jul''13 Multi'!E32)</f>
        <v>164.04300000000001</v>
      </c>
      <c r="D29" s="59">
        <f>IF($F5*'Jul''13 Multi'!F31/'Jul''13 Multi'!F32&gt;='Jul''13 Multi'!F33,('Jul''13 Multi'!F33*'Jul''13 Multi'!F42/100)*'Jul''13 Multi'!F32,('Bills Jul''13'!$F5*'Jul''13 Multi'!F31/'Jul''13 Multi'!F32*'Jul''13 Multi'!F42/100)*'Jul''13 Multi'!F32)</f>
        <v>197.62050000000002</v>
      </c>
      <c r="E29" s="59">
        <f>IF($F5*'Jul''13 Multi'!G31/'Jul''13 Multi'!G32&gt;='Jul''13 Multi'!G33,('Jul''13 Multi'!G33*'Jul''13 Multi'!G42/100)*'Jul''13 Multi'!G32,($F5*'Jul''13 Multi'!G31/'Jul''13 Multi'!G32*'Jul''13 Multi'!G42/100)*'Jul''13 Multi'!G32)</f>
        <v>163.35000000000002</v>
      </c>
      <c r="F29" s="59">
        <f>IF($F5*'Jul''13 Multi'!H31/'Jul''13 Multi'!H32&gt;='Jul''13 Multi'!H33,('Jul''13 Multi'!H33*'Jul''13 Multi'!H42/100)*'Jul''13 Multi'!H32,('Bills Jul''13'!$F5*'Jul''13 Multi'!H31/'Jul''13 Multi'!H32*'Jul''13 Multi'!H42/100)*'Jul''13 Multi'!H32)</f>
        <v>271.60000000000002</v>
      </c>
      <c r="G29" s="59">
        <f>IF($F5*'Jul''13 Multi'!I31/'Jul''13 Multi'!I32&gt;='Jul''13 Multi'!I33,('Jul''13 Multi'!I33*'Jul''13 Multi'!I42/100)*'Jul''13 Multi'!I32,('Bills Jul''13'!$F5*'Jul''13 Multi'!I31/'Jul''13 Multi'!I32*'Jul''13 Multi'!I42/100)*'Jul''13 Multi'!I32)</f>
        <v>271.19400000000002</v>
      </c>
      <c r="H29" s="59">
        <f>IF($F5*'Jul''13 Multi'!J31/'Jul''13 Multi'!J32&gt;='Jul''13 Multi'!J33,('Jul''13 Multi'!J33*'Jul''13 Multi'!J42/100)*'Jul''13 Multi'!J32,('Bills Jul''13'!$F5*'Jul''13 Multi'!J31/'Jul''13 Multi'!J32*'Jul''13 Multi'!J42/100)*'Jul''13 Multi'!J32)</f>
        <v>198.68100000000001</v>
      </c>
      <c r="I29" s="59">
        <f>IF($F5*'Jul''13 Multi'!K31/'Jul''13 Multi'!K32&gt;='Jul''13 Multi'!K33,('Jul''13 Multi'!K33*'Jul''13 Multi'!K42/100)*'Jul''13 Multi'!K32,('Bills Jul''13'!$F5*'Jul''13 Multi'!K31/'Jul''13 Multi'!K32*'Jul''13 Multi'!K42/100)*'Jul''13 Multi'!K32)</f>
        <v>187.10999999999999</v>
      </c>
      <c r="J29" s="59">
        <f>IF($F5*'Jul''13 Multi'!L31/'Jul''13 Multi'!L32&gt;='Jul''13 Multi'!L33,('Jul''13 Multi'!L33*'Jul''13 Multi'!L42/100)*'Jul''13 Multi'!L32,('Bills Jul''13'!$F5*'Jul''13 Multi'!L31/'Jul''13 Multi'!L32*'Jul''13 Multi'!L42/100)*'Jul''13 Multi'!L32)</f>
        <v>204.435</v>
      </c>
      <c r="K29" s="59">
        <f>IF($F5*'Jul''13 Multi'!M31/'Jul''13 Multi'!M32&gt;='Jul''13 Multi'!M33,('Jul''13 Multi'!M33*'Jul''13 Multi'!M42/100)*'Jul''13 Multi'!M32,('Bills Jul''13'!$F5*'Jul''13 Multi'!M31/'Jul''13 Multi'!M32*'Jul''13 Multi'!M42/100)*'Jul''13 Multi'!M32)</f>
        <v>199.815</v>
      </c>
      <c r="L29" s="63"/>
    </row>
    <row r="30" spans="1:12" x14ac:dyDescent="0.15">
      <c r="A30" s="40" t="s">
        <v>608</v>
      </c>
      <c r="C30" s="59">
        <f>IF($F5*'Jul''13 Multi'!E31/'Jul''13 Multi'!E32&lt;'Jul''13 Multi'!E33,0,IF($F5*'Jul''13 Multi'!E31/'Jul''13 Multi'!E32&lt;='Jul''13 Multi'!E34,($F5*'Jul''13 Multi'!E31/'Jul''13 Multi'!E32-'Jul''13 Multi'!E33)*('Jul''13 Multi'!E43/100)*'Jul''13 Multi'!E32,('Jul''13 Multi'!E34-'Jul''13 Multi'!E33)*('Jul''13 Multi'!E43/100)*'Jul''13 Multi'!E32))</f>
        <v>98.604000000000013</v>
      </c>
      <c r="D30" s="59">
        <v>0</v>
      </c>
      <c r="E30" s="59">
        <f>IF($F5*'Jul''13 Multi'!G31/'Jul''13 Multi'!G32&lt;'Jul''13 Multi'!G33,0,IF($F5*'Jul''13 Multi'!G31/'Jul''13 Multi'!G32&lt;='Jul''13 Multi'!G34,($F5*'Jul''13 Multi'!G31/'Jul''13 Multi'!G32-'Jul''13 Multi'!G33)*('Jul''13 Multi'!G43/100)*'Jul''13 Multi'!G32,('Jul''13 Multi'!G34-'Jul''13 Multi'!G33)*('Jul''13 Multi'!G43/100)*'Jul''13 Multi'!G32))</f>
        <v>97.679999999999978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63"/>
    </row>
    <row r="31" spans="1:12" x14ac:dyDescent="0.15">
      <c r="A31" s="40" t="s">
        <v>609</v>
      </c>
      <c r="C31" s="59">
        <f>IF($F5*'Jul''13 Multi'!E31/'Jul''13 Multi'!E32&lt;'Jul''13 Multi'!E34,0,IF($F5*'Jul''13 Multi'!E31/'Jul''13 Multi'!E32&lt;='Jul''13 Multi'!E35,($F5*'Jul''13 Multi'!E31/'Jul''13 Multi'!E32-'Jul''13 Multi'!E34)*('Jul''13 Multi'!E44/100)*'Jul''13 Multi'!E32,('Jul''13 Multi'!E35-'Jul''13 Multi'!E34)*('Jul''13 Multi'!E44/100)*'Jul''13 Multi'!E32))</f>
        <v>0</v>
      </c>
      <c r="D31" s="59">
        <v>0</v>
      </c>
      <c r="E31" s="59">
        <f>IF($F5*'Jul''13 Multi'!G31/'Jul''13 Multi'!G32&lt;'Jul''13 Multi'!G34,0,IF($F5*'Jul''13 Multi'!G31/'Jul''13 Multi'!G32&lt;='Jul''13 Multi'!G35,($F5*'Jul''13 Multi'!G31/'Jul''13 Multi'!G32-'Jul''13 Multi'!G34)*('Jul''13 Multi'!G44/100)*'Jul''13 Multi'!G32,('Jul''13 Multi'!G35-'Jul''13 Multi'!G34)*('Jul''13 Multi'!G44/100)*'Jul''13 Multi'!G32))</f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63"/>
    </row>
    <row r="32" spans="1:12" x14ac:dyDescent="0.15">
      <c r="A32" s="40" t="s">
        <v>610</v>
      </c>
      <c r="C32" s="59">
        <f>IF($F5*'Jul''13 Multi'!E31/'Jul''13 Multi'!E32&lt;'Jul''13 Multi'!E35,0,IF($F5*'Jul''13 Multi'!E31/'Jul''13 Multi'!E32&lt;='Jul''13 Multi'!E36,($F5*'Jul''13 Multi'!E31/'Jul''13 Multi'!E32-'Jul''13 Multi'!E35)*('Jul''13 Multi'!E45/100)*'Jul''13 Multi'!E32,('Jul''13 Multi'!E36-'Jul''13 Multi'!E35)*('Jul''13 Multi'!E45/100)*'Jul''13 Multi'!E32))</f>
        <v>0</v>
      </c>
      <c r="D32" s="59">
        <v>0</v>
      </c>
      <c r="E32" s="59">
        <f>IF($F5*'Jul''13 Multi'!G31/'Jul''13 Multi'!G32&lt;'Jul''13 Multi'!G35,0,IF($F5*'Jul''13 Multi'!G31/'Jul''13 Multi'!G32&lt;='Jul''13 Multi'!G36,($F5*'Jul''13 Multi'!G31/'Jul''13 Multi'!G32-'Jul''13 Multi'!G35)*('Jul''13 Multi'!G45/100)*'Jul''13 Multi'!G32,('Jul''13 Multi'!G36-'Jul''13 Multi'!G35)*('Jul''13 Multi'!G45/100)*'Jul''13 Multi'!G32))</f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63"/>
    </row>
    <row r="33" spans="1:12" x14ac:dyDescent="0.15">
      <c r="A33" s="40" t="s">
        <v>611</v>
      </c>
      <c r="C33" s="59">
        <f>IF(($F5*'Jul''13 Multi'!E31/'Jul''13 Multi'!E32&gt;'Jul''13 Multi'!E36),($F5*'Jul''13 Multi'!E31/'Jul''13 Multi'!E32-'Jul''13 Multi'!E36)*'Jul''13 Multi'!E46/100*'Jul''13 Multi'!E32,0)</f>
        <v>0</v>
      </c>
      <c r="D33" s="59">
        <f>IF(($F5*'Jul''13 Multi'!F31/'Jul''13 Multi'!F32&gt;'Jul''13 Multi'!F33),('Bills Jul''13'!$F5*'Jul''13 Multi'!F31/'Jul''13 Multi'!F32-'Jul''13 Multi'!F33)*'Jul''13 Multi'!F46/100)*'Jul''13 Multi'!F32</f>
        <v>62.221500000000006</v>
      </c>
      <c r="E33" s="59">
        <f>IF(($F5*'Jul''13 Multi'!G31/'Jul''13 Multi'!G32&gt;'Jul''13 Multi'!G36),($F5*'Jul''13 Multi'!G31/'Jul''13 Multi'!G32-'Jul''13 Multi'!G36)*'Jul''13 Multi'!G46/100*'Jul''13 Multi'!G32,0)</f>
        <v>0</v>
      </c>
      <c r="F33" s="59">
        <f>IF(($F5*'Jul''13 Multi'!H31/'Jul''13 Multi'!H32&gt;'Jul''13 Multi'!H33),('Bills Jul''13'!$F5*'Jul''13 Multi'!H31/'Jul''13 Multi'!H32-'Jul''13 Multi'!H33)*'Jul''13 Multi'!H46/100)*'Jul''13 Multi'!H32</f>
        <v>92.968999999999994</v>
      </c>
      <c r="G33" s="59">
        <f>IF(($F5*'Jul''13 Multi'!I31/'Jul''13 Multi'!I32&gt;'Jul''13 Multi'!I33),('Bills Jul''13'!$F5*'Jul''13 Multi'!I31/'Jul''13 Multi'!I32-'Jul''13 Multi'!I33)*'Jul''13 Multi'!I46/100)*'Jul''13 Multi'!I32</f>
        <v>90.851705999999993</v>
      </c>
      <c r="H33" s="59">
        <f>IF(($F5*'Jul''13 Multi'!J31/'Jul''13 Multi'!J32&gt;'Jul''13 Multi'!J33),('Bills Jul''13'!$F5*'Jul''13 Multi'!J31/'Jul''13 Multi'!J32-'Jul''13 Multi'!J33)*'Jul''13 Multi'!J46/100)*'Jul''13 Multi'!J32</f>
        <v>72.040500000000009</v>
      </c>
      <c r="I33" s="59">
        <f>IF(($F5*'Jul''13 Multi'!K31/'Jul''13 Multi'!K32&gt;'Jul''13 Multi'!K33),('Bills Jul''13'!$F5*'Jul''13 Multi'!K31/'Jul''13 Multi'!K32-'Jul''13 Multi'!K33)*'Jul''13 Multi'!K46/100)*'Jul''13 Multi'!K32</f>
        <v>64.349999999999994</v>
      </c>
      <c r="J33" s="59">
        <f>IF(($F5*'Jul''13 Multi'!L31/'Jul''13 Multi'!L32&gt;'Jul''13 Multi'!L33),('Bills Jul''13'!$F5*'Jul''13 Multi'!L31/'Jul''13 Multi'!L32-'Jul''13 Multi'!L33)*'Jul''13 Multi'!L46/100)*'Jul''13 Multi'!L32</f>
        <v>70.784999999999997</v>
      </c>
      <c r="K33" s="59">
        <f>IF(($F5*'Jul''13 Multi'!M31/'Jul''13 Multi'!M32&gt;'Jul''13 Multi'!M33),('Bills Jul''13'!$F5*'Jul''13 Multi'!M31/'Jul''13 Multi'!M32-'Jul''13 Multi'!M33)*'Jul''13 Multi'!M46/100)*'Jul''13 Multi'!M32</f>
        <v>67.320000000000007</v>
      </c>
      <c r="L33" s="63"/>
    </row>
    <row r="34" spans="1:12" x14ac:dyDescent="0.15">
      <c r="A34" s="40" t="s">
        <v>612</v>
      </c>
      <c r="C34" s="59">
        <f>365*'Jul''13 Multi'!E47/100</f>
        <v>197.73875000000001</v>
      </c>
      <c r="D34" s="59">
        <f>365*'Jul''13 Multi'!F47/100</f>
        <v>212.79499999999999</v>
      </c>
      <c r="E34" s="59">
        <f>365*'Jul''13 Multi'!G47/100</f>
        <v>232.87</v>
      </c>
      <c r="F34" s="59">
        <f>365*'Jul''13 Multi'!H47/100</f>
        <v>216.55450000000002</v>
      </c>
      <c r="G34" s="59">
        <f>365*'Jul''13 Multi'!I47/100</f>
        <v>247.72550000000004</v>
      </c>
      <c r="H34" s="59">
        <f>365*'Jul''13 Multi'!J47/100</f>
        <v>219.98550000000003</v>
      </c>
      <c r="I34" s="59">
        <f>365*'Jul''13 Multi'!K47/100</f>
        <v>184.69</v>
      </c>
      <c r="J34" s="59">
        <f>365*'Jul''13 Multi'!L47/100</f>
        <v>210.62690000000003</v>
      </c>
      <c r="K34" s="59">
        <f>365*'Jul''13 Multi'!M47/100</f>
        <v>200.34849999999997</v>
      </c>
      <c r="L34" s="60">
        <f>AVERAGE(C34:K34)</f>
        <v>213.70384999999999</v>
      </c>
    </row>
    <row r="35" spans="1:12" x14ac:dyDescent="0.15">
      <c r="A35" s="62" t="s">
        <v>613</v>
      </c>
      <c r="B35" s="63"/>
      <c r="C35" s="61">
        <f t="shared" ref="C35:H35" si="1">SUM(C24:C34)</f>
        <v>741.77674999999999</v>
      </c>
      <c r="D35" s="61">
        <f t="shared" si="1"/>
        <v>766.35349999999994</v>
      </c>
      <c r="E35" s="61">
        <f t="shared" si="1"/>
        <v>795.19</v>
      </c>
      <c r="F35" s="61">
        <f t="shared" si="1"/>
        <v>775.90640000000008</v>
      </c>
      <c r="G35" s="61">
        <f t="shared" si="1"/>
        <v>804.277694</v>
      </c>
      <c r="H35" s="61">
        <f t="shared" si="1"/>
        <v>780.14850000000001</v>
      </c>
      <c r="I35" s="61">
        <f>SUM(I24:I34)</f>
        <v>719.125</v>
      </c>
      <c r="J35" s="61">
        <f>SUM(J24:J34)</f>
        <v>772.61689999999999</v>
      </c>
      <c r="K35" s="61">
        <f>SUM(K24:K34)</f>
        <v>747.32349999999997</v>
      </c>
      <c r="L35" s="64">
        <f>AVERAGE(C35:K35)</f>
        <v>766.96869377777773</v>
      </c>
    </row>
    <row r="37" spans="1:12" x14ac:dyDescent="0.15">
      <c r="A37" s="55" t="s">
        <v>1042</v>
      </c>
    </row>
    <row r="39" spans="1:12" x14ac:dyDescent="0.15">
      <c r="A39" s="53" t="s">
        <v>1024</v>
      </c>
      <c r="C39" s="23" t="s">
        <v>1044</v>
      </c>
      <c r="D39" s="23" t="s">
        <v>591</v>
      </c>
      <c r="E39" s="23" t="s">
        <v>592</v>
      </c>
      <c r="F39" s="23" t="s">
        <v>544</v>
      </c>
      <c r="G39" s="23" t="s">
        <v>615</v>
      </c>
      <c r="H39" s="23" t="s">
        <v>546</v>
      </c>
      <c r="I39" s="23" t="s">
        <v>545</v>
      </c>
      <c r="J39" s="23" t="s">
        <v>486</v>
      </c>
      <c r="K39" s="23" t="s">
        <v>487</v>
      </c>
      <c r="L39" s="57" t="s">
        <v>601</v>
      </c>
    </row>
    <row r="40" spans="1:12" x14ac:dyDescent="0.15">
      <c r="A40" s="40" t="s">
        <v>602</v>
      </c>
      <c r="C40" s="59">
        <f>IF($F5*'Jul''13 Envestra'!E7/'Jul''13 Envestra'!E8&gt;='Jul''13 Envestra'!E11,('Jul''13 Envestra'!E11*'Jul''13 Envestra'!E13/100)*'Jul''13 Envestra'!E8,($F5*'Jul''13 Envestra'!E7/'Jul''13 Envestra'!E8*'Jul''13 Envestra'!E13/100)*'Jul''13 Envestra'!E8)</f>
        <v>185.001498</v>
      </c>
      <c r="D40" s="59">
        <f>IF($F5*'Jul''13 Envestra'!F7/'Jul''13 Envestra'!F8&gt;='Jul''13 Envestra'!F11,('Jul''13 Envestra'!F11*'Jul''13 Envestra'!F13/100)*'Jul''13 Envestra'!F8,($F5*'Jul''13 Envestra'!F7/'Jul''13 Envestra'!F8*'Jul''13 Envestra'!F13/100)*'Jul''13 Envestra'!F8)</f>
        <v>160.77600000000001</v>
      </c>
      <c r="E40" s="59">
        <f>IF($F5*'Jul''13 Envestra'!G7/'Jul''13 Envestra'!G8&gt;='Jul''13 Envestra'!G11,('Jul''13 Envestra'!G11*'Jul''13 Envestra'!G13/100)*'Jul''13 Envestra'!G8,($F5*'Jul''13 Envestra'!G7/'Jul''13 Envestra'!G8*'Jul''13 Envestra'!G13/100)*'Jul''13 Envestra'!G8)</f>
        <v>193.58063999999999</v>
      </c>
      <c r="F40" s="59">
        <f>IF($F5*'Jul''13 Envestra'!H7/'Jul''13 Envestra'!H8&gt;='Jul''13 Envestra'!H11,('Jul''13 Envestra'!H11*'Jul''13 Envestra'!H13/100)*'Jul''13 Envestra'!H8,($F5*'Jul''13 Envestra'!H7/'Jul''13 Envestra'!H8*'Jul''13 Envestra'!H13/100)*'Jul''13 Envestra'!H8)</f>
        <v>164.8</v>
      </c>
      <c r="G40" s="59">
        <f>IF($F5*'Jul''13 Envestra'!I7/'Jul''13 Envestra'!I8&gt;='Jul''13 Envestra'!I11,('Jul''13 Envestra'!I11*'Jul''13 Envestra'!I13/100)*'Jul''13 Envestra'!I8,($F5*'Jul''13 Envestra'!I7/'Jul''13 Envestra'!I8*'Jul''13 Envestra'!I13/100)*'Jul''13 Envestra'!I8)</f>
        <v>166.40799999999999</v>
      </c>
      <c r="H40" s="59">
        <f>IF($F5*'Jul''13 Envestra'!J7/'Jul''13 Envestra'!J8&gt;='Jul''13 Envestra'!J11,('Jul''13 Envestra'!J11*'Jul''13 Envestra'!J13/100)*'Jul''13 Envestra'!J8,($F5*'Jul''13 Envestra'!J7/'Jul''13 Envestra'!J8*'Jul''13 Envestra'!J13/100)*'Jul''13 Envestra'!J8)</f>
        <v>160.584</v>
      </c>
      <c r="I40" s="59">
        <f>IF($F5*'Jul''13 Envestra'!K7/'Jul''13 Envestra'!K8&gt;='Jul''13 Envestra'!K11,('Jul''13 Envestra'!K11*'Jul''13 Envestra'!K13/100)*'Jul''13 Envestra'!K8,($F5*'Jul''13 Envestra'!K7/'Jul''13 Envestra'!K8*'Jul''13 Envestra'!K13/100)*'Jul''13 Envestra'!K8)</f>
        <v>158.4</v>
      </c>
      <c r="J40" s="59">
        <f>IF($F5*'Jul''13 Envestra'!L7/'Jul''13 Envestra'!L8&gt;='Jul''13 Envestra'!L11,('Jul''13 Envestra'!L11*'Jul''13 Envestra'!L13/100)*'Jul''13 Envestra'!L8,($F5*'Jul''13 Envestra'!L7/'Jul''13 Envestra'!L8*'Jul''13 Envestra'!L13/100)*'Jul''13 Envestra'!L8)</f>
        <v>160.15999999999997</v>
      </c>
      <c r="K40" s="59">
        <f>IF($F5*'Jul''13 Envestra'!M7/'Jul''13 Envestra'!M8&gt;='Jul''13 Envestra'!M11,('Jul''13 Envestra'!M11*'Jul''13 Envestra'!M13/100)*'Jul''13 Envestra'!M8,($F5*'Jul''13 Envestra'!M7/'Jul''13 Envestra'!M8*'Jul''13 Envestra'!M13/100)*'Jul''13 Envestra'!M8)</f>
        <v>157.52000000000001</v>
      </c>
      <c r="L40" s="63"/>
    </row>
    <row r="41" spans="1:12" x14ac:dyDescent="0.15">
      <c r="A41" s="40" t="s">
        <v>603</v>
      </c>
      <c r="C41" s="59">
        <f>IF($F5*'Jul''13 Envestra'!E7/'Jul''13 Envestra'!E8&lt;'Jul''13 Envestra'!E11,0,IF($F5*'Jul''13 Envestra'!E7/'Jul''13 Envestra'!E8&lt;='Jul''13 Envestra'!E12,($F5*'Jul''13 Envestra'!E7/'Jul''13 Envestra'!E8-'Jul''13 Envestra'!E11)*('Jul''13 Envestra'!E14/100)*'Jul''13 Envestra'!E8,('Jul''13 Envestra'!E12-'Jul''13 Envestra'!E11)*('Jul''13 Envestra'!E14/100)*'Jul''13 Envestra'!E8))</f>
        <v>0</v>
      </c>
      <c r="D41" s="59">
        <f>IF($F5*'Jul''13 Envestra'!F7/'Jul''13 Envestra'!F8&lt;'Jul''13 Envestra'!F11,0,IF($F5*'Jul''13 Envestra'!F7/'Jul''13 Envestra'!F8&lt;='Jul''13 Envestra'!F12,($F5*'Jul''13 Envestra'!F7/'Jul''13 Envestra'!F8-'Jul''13 Envestra'!F11)*('Jul''13 Envestra'!F14/100)*'Jul''13 Envestra'!F8,('Jul''13 Envestra'!F12-'Jul''13 Envestra'!F11)*('Jul''13 Envestra'!F14/100)*'Jul''13 Envestra'!F8))</f>
        <v>37.975003000000001</v>
      </c>
      <c r="E41" s="59">
        <f>IF($F5*'Jul''13 Envestra'!G7/'Jul''13 Envestra'!G8&lt;'Jul''13 Envestra'!G11,0,IF($F5*'Jul''13 Envestra'!G7/'Jul''13 Envestra'!G8&lt;='Jul''13 Envestra'!G12,($F5*'Jul''13 Envestra'!G7/'Jul''13 Envestra'!G8-'Jul''13 Envestra'!G11)*('Jul''13 Envestra'!G14/100)*'Jul''13 Envestra'!G8,('Jul''13 Envestra'!G12-'Jul''13 Envestra'!G11)*('Jul''13 Envestra'!G14/100)*'Jul''13 Envestra'!G8))</f>
        <v>0</v>
      </c>
      <c r="F41" s="59">
        <v>0</v>
      </c>
      <c r="G41" s="59">
        <f>IF($F5*'Jul''13 Envestra'!I7/'Jul''13 Envestra'!I8&lt;'Jul''13 Envestra'!I11,0,IF($F5*'Jul''13 Envestra'!I7/'Jul''13 Envestra'!I8&lt;='Jul''13 Envestra'!I12,($F5*'Jul''13 Envestra'!I7/'Jul''13 Envestra'!I8-'Jul''13 Envestra'!I11)*('Jul''13 Envestra'!I14/100)*'Jul''13 Envestra'!I8,('Jul''13 Envestra'!I12-'Jul''13 Envestra'!I11)*('Jul''13 Envestra'!I14/100)*'Jul''13 Envestra'!I8))</f>
        <v>39.426276999999999</v>
      </c>
      <c r="H41" s="59">
        <f>IF($F5*'Jul''13 Envestra'!J7/'Jul''13 Envestra'!J8&lt;'Jul''13 Envestra'!J11,0,IF($F5*'Jul''13 Envestra'!J7/'Jul''13 Envestra'!J8&lt;='Jul''13 Envestra'!J12,($F5*'Jul''13 Envestra'!J7/'Jul''13 Envestra'!J8-'Jul''13 Envestra'!J11)*('Jul''13 Envestra'!J14/100)*'Jul''13 Envestra'!J8,('Jul''13 Envestra'!J12-'Jul''13 Envestra'!J11)*('Jul''13 Envestra'!J14/100)*'Jul''13 Envestra'!J8))</f>
        <v>37.183399000000001</v>
      </c>
      <c r="I41" s="59">
        <f>IF($F5*'Jul''13 Envestra'!K7/'Jul''13 Envestra'!K8&lt;'Jul''13 Envestra'!K11,0,IF($F5*'Jul''13 Envestra'!K7/'Jul''13 Envestra'!K8&lt;='Jul''13 Envestra'!K12,($F5*'Jul''13 Envestra'!K7/'Jul''13 Envestra'!K8-'Jul''13 Envestra'!K11)*('Jul''13 Envestra'!K14/100)*'Jul''13 Envestra'!K8,('Jul''13 Envestra'!K12-'Jul''13 Envestra'!K11)*('Jul''13 Envestra'!K14/100)*'Jul''13 Envestra'!K8))</f>
        <v>36.721630000000005</v>
      </c>
      <c r="J41" s="59">
        <f>IF($F5*'Jul''13 Envestra'!L7/'Jul''13 Envestra'!L8&lt;'Jul''13 Envestra'!L11,0,IF($F5*'Jul''13 Envestra'!L7/'Jul''13 Envestra'!L8&lt;='Jul''13 Envestra'!L12,($F5*'Jul''13 Envestra'!L7/'Jul''13 Envestra'!L8-'Jul''13 Envestra'!L11)*('Jul''13 Envestra'!L14/100)*'Jul''13 Envestra'!L8,('Jul''13 Envestra'!L12-'Jul''13 Envestra'!L11)*('Jul''13 Envestra'!L14/100)*'Jul''13 Envestra'!L8))</f>
        <v>37.601190000000003</v>
      </c>
      <c r="K41" s="59">
        <f>IF($F5*'Jul''13 Envestra'!M7/'Jul''13 Envestra'!M8&lt;'Jul''13 Envestra'!M11,0,IF($F5*'Jul''13 Envestra'!M7/'Jul''13 Envestra'!M8&lt;='Jul''13 Envestra'!M12,($F5*'Jul''13 Envestra'!M7/'Jul''13 Envestra'!M8-'Jul''13 Envestra'!M11)*('Jul''13 Envestra'!M14/100)*'Jul''13 Envestra'!M8,('Jul''13 Envestra'!M12-'Jul''13 Envestra'!M11)*('Jul''13 Envestra'!M14/100)*'Jul''13 Envestra'!M8))</f>
        <v>36.721630000000005</v>
      </c>
      <c r="L41" s="63"/>
    </row>
    <row r="42" spans="1:12" x14ac:dyDescent="0.15">
      <c r="A42" s="40" t="s">
        <v>606</v>
      </c>
      <c r="C42" s="59">
        <f>IF(($F5*'Jul''13 Envestra'!E7/'Jul''13 Envestra'!E8&gt;'Jul''13 Envestra'!E12),($F5*'Jul''13 Envestra'!E7/'Jul''13 Envestra'!E8-'Jul''13 Envestra'!E12)*'Jul''13 Envestra'!E15/100)*'Jul''13 Envestra'!E8</f>
        <v>0</v>
      </c>
      <c r="D42" s="59">
        <f>IF(($F5*'Jul''13 Envestra'!F7/'Jul''13 Envestra'!F8&gt;'Jul''13 Envestra'!F12),($F5*'Jul''13 Envestra'!F7/'Jul''13 Envestra'!F8-'Jul''13 Envestra'!F12)*'Jul''13 Envestra'!F15/100)*'Jul''13 Envestra'!F8</f>
        <v>0</v>
      </c>
      <c r="E42" s="59">
        <f>IF(($F5*'Jul''13 Envestra'!G7/'Jul''13 Envestra'!G8&gt;'Jul''13 Envestra'!G12),($F5*'Jul''13 Envestra'!G7/'Jul''13 Envestra'!G8-'Jul''13 Envestra'!G12)*'Jul''13 Envestra'!G15/100)*'Jul''13 Envestra'!G8</f>
        <v>0</v>
      </c>
      <c r="F42" s="59">
        <f>IF(($F5*'Jul''13 Envestra'!H7/'Jul''13 Envestra'!H8&gt;'Jul''13 Envestra'!H12),($F5*'Jul''13 Envestra'!H7/'Jul''13 Envestra'!H8-'Jul''13 Envestra'!H12)*'Jul''13 Envestra'!H15/100)*'Jul''13 Envestra'!H8</f>
        <v>38.5807</v>
      </c>
      <c r="G42" s="59">
        <f>IF(($F5*'Jul''13 Envestra'!I7/'Jul''13 Envestra'!I8&gt;'Jul''13 Envestra'!I12),($F5*'Jul''13 Envestra'!I7/'Jul''13 Envestra'!I8-'Jul''13 Envestra'!I12)*'Jul''13 Envestra'!I15/100)*'Jul''13 Envestra'!I8</f>
        <v>0</v>
      </c>
      <c r="H42" s="59">
        <f>IF(($F5*'Jul''13 Envestra'!J7/'Jul''13 Envestra'!J8&gt;'Jul''13 Envestra'!J12),($F5*'Jul''13 Envestra'!J7/'Jul''13 Envestra'!J8-'Jul''13 Envestra'!J12)*'Jul''13 Envestra'!J15/100)*'Jul''13 Envestra'!J8</f>
        <v>0</v>
      </c>
      <c r="I42" s="59">
        <f>IF(($F5*'Jul''13 Envestra'!K7/'Jul''13 Envestra'!K8&gt;'Jul''13 Envestra'!K12),($F5*'Jul''13 Envestra'!K7/'Jul''13 Envestra'!K8-'Jul''13 Envestra'!K12)*'Jul''13 Envestra'!K15/100)*'Jul''13 Envestra'!K8</f>
        <v>0</v>
      </c>
      <c r="J42" s="59">
        <f>IF(($F5*'Jul''13 Envestra'!L7/'Jul''13 Envestra'!L8&gt;'Jul''13 Envestra'!L12),($F5*'Jul''13 Envestra'!L7/'Jul''13 Envestra'!L8-'Jul''13 Envestra'!L12)*'Jul''13 Envestra'!L15/100)*'Jul''13 Envestra'!L8</f>
        <v>0</v>
      </c>
      <c r="K42" s="59">
        <f>IF(($F5*'Jul''13 Envestra'!M7/'Jul''13 Envestra'!M8&gt;'Jul''13 Envestra'!M12),($F5*'Jul''13 Envestra'!M7/'Jul''13 Envestra'!M8-'Jul''13 Envestra'!M12)*'Jul''13 Envestra'!M15/100)*'Jul''13 Envestra'!M8</f>
        <v>0</v>
      </c>
      <c r="L42" s="63"/>
    </row>
    <row r="43" spans="1:12" x14ac:dyDescent="0.15">
      <c r="A43" s="40" t="s">
        <v>607</v>
      </c>
      <c r="C43" s="59">
        <f>IF($F5*'Jul''13 Envestra'!E9/'Jul''13 Envestra'!E10&gt;='Jul''13 Envestra'!E11,('Jul''13 Envestra'!E11*'Jul''13 Envestra'!E16/100)*'Jul''13 Envestra'!E10,($F5*'Jul''13 Envestra'!E9/'Jul''13 Envestra'!E10*'Jul''13 Envestra'!E16/100)*'Jul''13 Envestra'!E10)</f>
        <v>355.48444800000004</v>
      </c>
      <c r="D43" s="59">
        <f>IF($F5*'Jul''13 Envestra'!F9/'Jul''13 Envestra'!F10&gt;='Jul''13 Envestra'!F11,('Jul''13 Envestra'!F11*'Jul''13 Envestra'!F16/100)*'Jul''13 Envestra'!F10,($F5*'Jul''13 Envestra'!F9/'Jul''13 Envestra'!F10*'Jul''13 Envestra'!F16/100)*'Jul''13 Envestra'!F10)</f>
        <v>288.81599999999997</v>
      </c>
      <c r="E43" s="59">
        <f>IF($F5*'Jul''13 Envestra'!G9/'Jul''13 Envestra'!G10&gt;='Jul''13 Envestra'!G11,('Jul''13 Envestra'!G11*'Jul''13 Envestra'!G16/100)*'Jul''13 Envestra'!G10,($F5*'Jul''13 Envestra'!G9/'Jul''13 Envestra'!G10*'Jul''13 Envestra'!G16/100)*'Jul''13 Envestra'!G10)</f>
        <v>376.16237999999998</v>
      </c>
      <c r="F43" s="59">
        <f>IF($F5*'Jul''13 Envestra'!H9/'Jul''13 Envestra'!H10&gt;='Jul''13 Envestra'!H11,('Jul''13 Envestra'!H11*'Jul''13 Envestra'!H16/100)*'Jul''13 Envestra'!H10,($F5*'Jul''13 Envestra'!H9/'Jul''13 Envestra'!H10*'Jul''13 Envestra'!H16/100)*'Jul''13 Envestra'!H10)</f>
        <v>320</v>
      </c>
      <c r="G43" s="59">
        <f>IF($F5*'Jul''13 Envestra'!I9/'Jul''13 Envestra'!I10&gt;='Jul''13 Envestra'!I11,('Jul''13 Envestra'!I11*'Jul''13 Envestra'!I16/100)*'Jul''13 Envestra'!I10,($F5*'Jul''13 Envestra'!I9/'Jul''13 Envestra'!I10*'Jul''13 Envestra'!I16/100)*'Jul''13 Envestra'!I10)</f>
        <v>318.20799999999997</v>
      </c>
      <c r="H43" s="59">
        <f>IF($F5*'Jul''13 Envestra'!J9/'Jul''13 Envestra'!J10&gt;='Jul''13 Envestra'!J11,('Jul''13 Envestra'!J11*'Jul''13 Envestra'!J16/100)*'Jul''13 Envestra'!J10,($F5*'Jul''13 Envestra'!J9/'Jul''13 Envestra'!J10*'Jul''13 Envestra'!J16/100)*'Jul''13 Envestra'!J10)</f>
        <v>314.464</v>
      </c>
      <c r="I43" s="59">
        <f>IF($F5*'Jul''13 Envestra'!K9/'Jul''13 Envestra'!K10&gt;='Jul''13 Envestra'!K11,('Jul''13 Envestra'!K11*'Jul''13 Envestra'!K16/100)*'Jul''13 Envestra'!K10,($F5*'Jul''13 Envestra'!K9/'Jul''13 Envestra'!K10*'Jul''13 Envestra'!K16/100)*'Jul''13 Envestra'!K10)</f>
        <v>283.36</v>
      </c>
      <c r="J43" s="59">
        <f>IF($F5*'Jul''13 Envestra'!L9/'Jul''13 Envestra'!L10&gt;='Jul''13 Envestra'!L11,('Jul''13 Envestra'!L11*'Jul''13 Envestra'!L16/100)*'Jul''13 Envestra'!L10,($F5*'Jul''13 Envestra'!L9/'Jul''13 Envestra'!L10*'Jul''13 Envestra'!L16/100)*'Jul''13 Envestra'!L10)</f>
        <v>304.48</v>
      </c>
      <c r="K43" s="59">
        <f>IF($F5*'Jul''13 Envestra'!M9/'Jul''13 Envestra'!M10&gt;='Jul''13 Envestra'!M11,('Jul''13 Envestra'!M11*'Jul''13 Envestra'!M16/100)*'Jul''13 Envestra'!M10,($F5*'Jul''13 Envestra'!M9/'Jul''13 Envestra'!M10*'Jul''13 Envestra'!M16/100)*'Jul''13 Envestra'!M10)</f>
        <v>304.48</v>
      </c>
      <c r="L43" s="63"/>
    </row>
    <row r="44" spans="1:12" x14ac:dyDescent="0.15">
      <c r="A44" s="40" t="s">
        <v>608</v>
      </c>
      <c r="C44" s="59">
        <f>IF($F5*'Jul''13 Envestra'!E9/'Jul''13 Envestra'!E10&lt;'Jul''13 Envestra'!E11,0,IF($F5*'Jul''13 Envestra'!E9/'Jul''13 Envestra'!E10&lt;='Jul''13 Envestra'!E12,($F5*'Jul''13 Envestra'!E9/'Jul''13 Envestra'!E10-'Jul''13 Envestra'!E11)*('Jul''13 Envestra'!E17/100)*'Jul''13 Envestra'!E10,('Jul''13 Envestra'!E12-'Jul''13 Envestra'!E11)*('Jul''13 Envestra'!E17/100)*'Jul''13 Envestra'!E10))</f>
        <v>0</v>
      </c>
      <c r="D44" s="59">
        <f>IF($F5*'Jul''13 Envestra'!F9/'Jul''13 Envestra'!F10&lt;'Jul''13 Envestra'!F11,0,IF($F5*'Jul''13 Envestra'!F9/'Jul''13 Envestra'!F10&lt;='Jul''13 Envestra'!F12,($F5*'Jul''13 Envestra'!F9/'Jul''13 Envestra'!F10-'Jul''13 Envestra'!F11)*('Jul''13 Envestra'!F17/100)*'Jul''13 Envestra'!F10,('Jul''13 Envestra'!F12-'Jul''13 Envestra'!F11)*('Jul''13 Envestra'!F17/100)*'Jul''13 Envestra'!F10))</f>
        <v>72.035963999999993</v>
      </c>
      <c r="E44" s="59">
        <f>IF($F5*'Jul''13 Envestra'!G9/'Jul''13 Envestra'!G10&lt;'Jul''13 Envestra'!G11,0,IF($F5*'Jul''13 Envestra'!G9/'Jul''13 Envestra'!G10&lt;='Jul''13 Envestra'!G12,($F5*'Jul''13 Envestra'!G9/'Jul''13 Envestra'!G10-'Jul''13 Envestra'!G11)*('Jul''13 Envestra'!G17/100)*'Jul''13 Envestra'!G10,('Jul''13 Envestra'!G12-'Jul''13 Envestra'!G11)*('Jul''13 Envestra'!G17/100)*'Jul''13 Envestra'!G10))</f>
        <v>0</v>
      </c>
      <c r="F44" s="59">
        <v>0</v>
      </c>
      <c r="G44" s="59">
        <f>IF($F5*'Jul''13 Envestra'!I9/'Jul''13 Envestra'!I10&lt;'Jul''13 Envestra'!I11,0,IF($F5*'Jul''13 Envestra'!I9/'Jul''13 Envestra'!I10&lt;='Jul''13 Envestra'!I12,($F5*'Jul''13 Envestra'!I9/'Jul''13 Envestra'!I10-'Jul''13 Envestra'!I11)*('Jul''13 Envestra'!I17/100)*'Jul''13 Envestra'!I10,('Jul''13 Envestra'!I12-'Jul''13 Envestra'!I11)*('Jul''13 Envestra'!I17/100)*'Jul''13 Envestra'!I10))</f>
        <v>76.477742000000006</v>
      </c>
      <c r="H44" s="59">
        <f>IF($F5*'Jul''13 Envestra'!J9/'Jul''13 Envestra'!J10&lt;'Jul''13 Envestra'!J11,0,IF($F5*'Jul''13 Envestra'!J9/'Jul''13 Envestra'!J10&lt;='Jul''13 Envestra'!J12,($F5*'Jul''13 Envestra'!J9/'Jul''13 Envestra'!J10-'Jul''13 Envestra'!J11)*('Jul''13 Envestra'!J17/100)*'Jul''13 Envestra'!J10,('Jul''13 Envestra'!J12-'Jul''13 Envestra'!J11)*('Jul''13 Envestra'!J17/100)*'Jul''13 Envestra'!J10))</f>
        <v>72.903529999999989</v>
      </c>
      <c r="I44" s="59">
        <f>IF($F5*'Jul''13 Envestra'!K9/'Jul''13 Envestra'!K10&lt;'Jul''13 Envestra'!K11,0,IF($F5*'Jul''13 Envestra'!K9/'Jul''13 Envestra'!K10&lt;='Jul''13 Envestra'!K12,($F5*'Jul''13 Envestra'!K9/'Jul''13 Envestra'!K10-'Jul''13 Envestra'!K11)*('Jul''13 Envestra'!K17/100)*'Jul''13 Envestra'!K10,('Jul''13 Envestra'!K12-'Jul''13 Envestra'!K11)*('Jul''13 Envestra'!K17/100)*'Jul''13 Envestra'!K10))</f>
        <v>69.485240000000005</v>
      </c>
      <c r="J44" s="59">
        <f>IF($F5*'Jul''13 Envestra'!L9/'Jul''13 Envestra'!L10&lt;'Jul''13 Envestra'!L11,0,IF($F5*'Jul''13 Envestra'!L9/'Jul''13 Envestra'!L10&lt;='Jul''13 Envestra'!L12,($F5*'Jul''13 Envestra'!L9/'Jul''13 Envestra'!L10-'Jul''13 Envestra'!L11)*('Jul''13 Envestra'!L17/100)*'Jul''13 Envestra'!L10,('Jul''13 Envestra'!L12-'Jul''13 Envestra'!L11)*('Jul''13 Envestra'!L17/100)*'Jul''13 Envestra'!L10))</f>
        <v>73.00348000000001</v>
      </c>
      <c r="K44" s="59">
        <f>IF($F5*'Jul''13 Envestra'!M9/'Jul''13 Envestra'!M10&lt;'Jul''13 Envestra'!M11,0,IF($F5*'Jul''13 Envestra'!M9/'Jul''13 Envestra'!M10&lt;='Jul''13 Envestra'!M12,($F5*'Jul''13 Envestra'!M9/'Jul''13 Envestra'!M10-'Jul''13 Envestra'!M11)*('Jul''13 Envestra'!M17/100)*'Jul''13 Envestra'!M10,('Jul''13 Envestra'!M12-'Jul''13 Envestra'!M11)*('Jul''13 Envestra'!M17/100)*'Jul''13 Envestra'!M10))</f>
        <v>71.684139999999985</v>
      </c>
      <c r="L44" s="63"/>
    </row>
    <row r="45" spans="1:12" x14ac:dyDescent="0.15">
      <c r="A45" s="40" t="s">
        <v>611</v>
      </c>
      <c r="C45" s="59">
        <f>IF(($F5*'Jul''13 Envestra'!E9/'Jul''13 Envestra'!E10&gt;'Jul''13 Envestra'!E12),($F5*'Jul''13 Envestra'!E9/'Jul''13 Envestra'!E10-'Jul''13 Envestra'!E12)*'Jul''13 Envestra'!E18/100)*'Jul''13 Envestra'!E10</f>
        <v>0</v>
      </c>
      <c r="D45" s="59">
        <f>IF(($F5*'Jul''13 Envestra'!F9/'Jul''13 Envestra'!F10&gt;'Jul''13 Envestra'!F12),($F5*'Jul''13 Envestra'!F9/'Jul''13 Envestra'!F10-'Jul''13 Envestra'!F12)*'Jul''13 Envestra'!F18/100)*'Jul''13 Envestra'!F10</f>
        <v>0</v>
      </c>
      <c r="E45" s="59">
        <f>IF(($F5*'Jul''13 Envestra'!G9/'Jul''13 Envestra'!G10&gt;'Jul''13 Envestra'!G12),($F5*'Jul''13 Envestra'!G9/'Jul''13 Envestra'!G10-'Jul''13 Envestra'!G12)*'Jul''13 Envestra'!G18/100)*'Jul''13 Envestra'!G10</f>
        <v>0</v>
      </c>
      <c r="F45" s="59">
        <f>IF(($F5*'Jul''13 Envestra'!H9/'Jul''13 Envestra'!H10&gt;'Jul''13 Envestra'!H12),($F5*'Jul''13 Envestra'!H9/'Jul''13 Envestra'!H10-'Jul''13 Envestra'!H12)*'Jul''13 Envestra'!H18/100)*'Jul''13 Envestra'!H10</f>
        <v>76.361799999999988</v>
      </c>
      <c r="G45" s="59">
        <f>IF(($F5*'Jul''13 Envestra'!I9/'Jul''13 Envestra'!I10&gt;'Jul''13 Envestra'!I12),($F5*'Jul''13 Envestra'!I9/'Jul''13 Envestra'!I10-'Jul''13 Envestra'!I12)*'Jul''13 Envestra'!I18/100)*'Jul''13 Envestra'!I10</f>
        <v>0</v>
      </c>
      <c r="H45" s="59">
        <f>IF(($F5*'Jul''13 Envestra'!J9/'Jul''13 Envestra'!J10&gt;'Jul''13 Envestra'!J12),($F5*'Jul''13 Envestra'!J9/'Jul''13 Envestra'!J10-'Jul''13 Envestra'!J12)*'Jul''13 Envestra'!J18/100)*'Jul''13 Envestra'!J10</f>
        <v>0</v>
      </c>
      <c r="I45" s="59">
        <f>IF(($F5*'Jul''13 Envestra'!K9/'Jul''13 Envestra'!K10&gt;'Jul''13 Envestra'!K12),($F5*'Jul''13 Envestra'!K9/'Jul''13 Envestra'!K10-'Jul''13 Envestra'!K12)*'Jul''13 Envestra'!K18/100)*'Jul''13 Envestra'!K10</f>
        <v>0</v>
      </c>
      <c r="J45" s="59">
        <f>IF(($F5*'Jul''13 Envestra'!L9/'Jul''13 Envestra'!L10&gt;'Jul''13 Envestra'!L12),($F5*'Jul''13 Envestra'!L9/'Jul''13 Envestra'!L10-'Jul''13 Envestra'!L12)*'Jul''13 Envestra'!L18/100)*'Jul''13 Envestra'!L10</f>
        <v>0</v>
      </c>
      <c r="K45" s="59">
        <f>IF(($F5*'Jul''13 Envestra'!M9/'Jul''13 Envestra'!M10&gt;'Jul''13 Envestra'!M12),($F5*'Jul''13 Envestra'!M9/'Jul''13 Envestra'!M10-'Jul''13 Envestra'!M12)*'Jul''13 Envestra'!M18/100)*'Jul''13 Envestra'!M10</f>
        <v>0</v>
      </c>
      <c r="L45" s="63"/>
    </row>
    <row r="46" spans="1:12" x14ac:dyDescent="0.15">
      <c r="A46" s="40" t="s">
        <v>612</v>
      </c>
      <c r="C46" s="59">
        <f>365*'Jul''13 Envestra'!E19/100</f>
        <v>228.49364999999997</v>
      </c>
      <c r="D46" s="59">
        <f>365*'Jul''13 Envestra'!F19/100</f>
        <v>217.97435000000002</v>
      </c>
      <c r="E46" s="59">
        <f>365*'Jul''13 Envestra'!G19/100</f>
        <v>236.88500000000005</v>
      </c>
      <c r="F46" s="59">
        <f>365*'Jul''13 Envestra'!H19/100</f>
        <v>234.62200000000001</v>
      </c>
      <c r="G46" s="59">
        <f>365*'Jul''13 Envestra'!I19/100</f>
        <v>247.32400000000001</v>
      </c>
      <c r="H46" s="59">
        <f>365*'Jul''13 Envestra'!J19/100</f>
        <v>239.54949999999997</v>
      </c>
      <c r="I46" s="59">
        <f>365*'Jul''13 Envestra'!K19/100</f>
        <v>200.75</v>
      </c>
      <c r="J46" s="59">
        <f>365*'Jul''13 Envestra'!L19/100</f>
        <v>222.43099999999998</v>
      </c>
      <c r="K46" s="59">
        <f>365*'Jul''13 Envestra'!M19/100</f>
        <v>220.42349999999999</v>
      </c>
      <c r="L46" s="60">
        <f>AVERAGE(C46:K46)</f>
        <v>227.6058888888889</v>
      </c>
    </row>
    <row r="47" spans="1:12" x14ac:dyDescent="0.15">
      <c r="A47" s="62" t="s">
        <v>613</v>
      </c>
      <c r="B47" s="63"/>
      <c r="C47" s="61">
        <f t="shared" ref="C47:H47" si="2">SUM(C40:C46)</f>
        <v>768.97959600000002</v>
      </c>
      <c r="D47" s="61">
        <f t="shared" si="2"/>
        <v>777.57731699999999</v>
      </c>
      <c r="E47" s="61">
        <f t="shared" si="2"/>
        <v>806.62802000000011</v>
      </c>
      <c r="F47" s="61">
        <f t="shared" si="2"/>
        <v>834.36450000000013</v>
      </c>
      <c r="G47" s="61">
        <f t="shared" si="2"/>
        <v>847.84401900000012</v>
      </c>
      <c r="H47" s="61">
        <f t="shared" si="2"/>
        <v>824.68442900000002</v>
      </c>
      <c r="I47" s="61">
        <f>SUM(I40:I46)</f>
        <v>748.71686999999997</v>
      </c>
      <c r="J47" s="61">
        <f>SUM(J40:J46)</f>
        <v>797.67566999999985</v>
      </c>
      <c r="K47" s="61">
        <f>SUM(K40:K46)</f>
        <v>790.82926999999995</v>
      </c>
      <c r="L47" s="64">
        <f>AVERAGE(C47:K47)</f>
        <v>799.69996566666669</v>
      </c>
    </row>
    <row r="49" spans="1:12" x14ac:dyDescent="0.15">
      <c r="A49" s="53" t="s">
        <v>488</v>
      </c>
      <c r="C49" s="23" t="s">
        <v>1044</v>
      </c>
      <c r="D49" s="23" t="s">
        <v>591</v>
      </c>
      <c r="E49" s="23" t="s">
        <v>592</v>
      </c>
      <c r="F49" s="23" t="s">
        <v>544</v>
      </c>
      <c r="G49" s="23" t="s">
        <v>615</v>
      </c>
      <c r="H49" s="23" t="s">
        <v>546</v>
      </c>
      <c r="I49" s="23" t="s">
        <v>545</v>
      </c>
      <c r="J49" s="23" t="s">
        <v>486</v>
      </c>
      <c r="K49" s="23" t="s">
        <v>487</v>
      </c>
      <c r="L49" s="57" t="s">
        <v>601</v>
      </c>
    </row>
    <row r="50" spans="1:12" x14ac:dyDescent="0.15">
      <c r="A50" s="40" t="s">
        <v>602</v>
      </c>
      <c r="C50" s="59">
        <f>IF($F5*'Jul''13 Envestra'!E23/'Jul''13 Envestra'!E24&gt;='Jul''13 Envestra'!E27,('Jul''13 Envestra'!E27*'Jul''13 Envestra'!E45/100)*'Jul''13 Envestra'!E24,($F5*'Jul''13 Envestra'!E23/'Jul''13 Envestra'!E24*'Jul''13 Envestra'!E45/100)*'Jul''13 Envestra'!E24)</f>
        <v>185.771421</v>
      </c>
      <c r="D50" s="59">
        <f>IF($F5*'Jul''13 Envestra'!F23/'Jul''13 Envestra'!F24&gt;='Jul''13 Envestra'!F27,('Jul''13 Envestra'!F27*'Jul''13 Envestra'!F29/100)*'Jul''13 Envestra'!F24,('Bills Jul''13'!$F5*'Jul''13 Envestra'!F23/'Jul''13 Envestra'!F24*'Jul''13 Envestra'!F29/100)*'Jul''13 Envestra'!F24)</f>
        <v>132.77440000000001</v>
      </c>
      <c r="E50" s="59">
        <f>IF($F5*'Jul''13 Envestra'!G23/'Jul''13 Envestra'!G24&gt;='Jul''13 Envestra'!G27,('Jul''13 Envestra'!G27*'Jul''13 Envestra'!G45/100)*'Jul''13 Envestra'!G24,($F5*'Jul''13 Envestra'!G23/'Jul''13 Envestra'!G24*'Jul''13 Envestra'!G45/100)*'Jul''13 Envestra'!G24)</f>
        <v>201.27986999999996</v>
      </c>
      <c r="F50" s="59">
        <f>IF($F5*'Jul''13 Envestra'!H23/'Jul''13 Envestra'!H24&gt;='Jul''13 Envestra'!H27,('Jul''13 Envestra'!H27*'Jul''13 Envestra'!H29/100)*'Jul''13 Envestra'!H24,('Bills Jul''13'!$F5*'Jul''13 Envestra'!H23/'Jul''13 Envestra'!H24*'Jul''13 Envestra'!H29/100)*'Jul''13 Envestra'!H24)</f>
        <v>129.28</v>
      </c>
      <c r="G50" s="59">
        <f>IF($F5*'Jul''13 Envestra'!I23/'Jul''13 Envestra'!I24&gt;='Jul''13 Envestra'!I27,('Jul''13 Envestra'!I27*'Jul''13 Envestra'!I29/100)*'Jul''13 Envestra'!I24,('Bills Jul''13'!$F5*'Jul''13 Envestra'!I23/'Jul''13 Envestra'!I24*'Jul''13 Envestra'!I29/100)*'Jul''13 Envestra'!I24)</f>
        <v>132</v>
      </c>
      <c r="H50" s="59">
        <f>IF($F5*'Jul''13 Envestra'!J23/'Jul''13 Envestra'!J24&gt;='Jul''13 Envestra'!J27,('Jul''13 Envestra'!J27*'Jul''13 Envestra'!J29/100)*'Jul''13 Envestra'!J24,('Bills Jul''13'!$F5*'Jul''13 Envestra'!J23/'Jul''13 Envestra'!J24*'Jul''13 Envestra'!J29/100)*'Jul''13 Envestra'!J24)</f>
        <v>132.40960000000001</v>
      </c>
      <c r="I50" s="59">
        <f>IF($F5*'Jul''13 Envestra'!K23/'Jul''13 Envestra'!K24&gt;='Jul''13 Envestra'!K27,('Jul''13 Envestra'!K27*'Jul''13 Envestra'!K29/100)*'Jul''13 Envestra'!K24,('Bills Jul''13'!$F5*'Jul''13 Envestra'!K23/'Jul''13 Envestra'!K24*'Jul''13 Envestra'!K29/100)*'Jul''13 Envestra'!K24)</f>
        <v>128.12799999999999</v>
      </c>
      <c r="J50" s="59">
        <f>IF($F5*'Jul''13 Envestra'!L23/'Jul''13 Envestra'!L24&gt;='Jul''13 Envestra'!L27,('Jul''13 Envestra'!L27*'Jul''13 Envestra'!L29/100)*'Jul''13 Envestra'!L24,('Bills Jul''13'!$F5*'Jul''13 Envestra'!L23/'Jul''13 Envestra'!L24*'Jul''13 Envestra'!L29/100)*'Jul''13 Envestra'!L24)</f>
        <v>129.536</v>
      </c>
      <c r="K50" s="59">
        <f>IF($F5*'Jul''13 Envestra'!M23/'Jul''13 Envestra'!M24&gt;='Jul''13 Envestra'!M27,('Jul''13 Envestra'!M27*'Jul''13 Envestra'!M29/100)*'Jul''13 Envestra'!M24,('Bills Jul''13'!$F5*'Jul''13 Envestra'!M23/'Jul''13 Envestra'!M24*'Jul''13 Envestra'!M29/100)*'Jul''13 Envestra'!M24)</f>
        <v>123.2</v>
      </c>
      <c r="L50" s="63"/>
    </row>
    <row r="51" spans="1:12" x14ac:dyDescent="0.15">
      <c r="A51" s="40" t="s">
        <v>603</v>
      </c>
      <c r="C51" s="59">
        <f>IF($F5*'Jul''13 Envestra'!E23/'Jul''13 Envestra'!E25&lt;'Jul''13 Envestra'!E27,0,IF($F5*'Jul''13 Envestra'!E23/'Jul''13 Envestra'!E24&lt;='Jul''13 Envestra'!E28,($F5*'Jul''13 Envestra'!E23/'Jul''13 Envestra'!E24-'Jul''13 Envestra'!E27)*('Jul''13 Envestra'!E46/100)*'Jul''13 Envestra'!E24,('Jul''13 Envestra'!E28-'Jul''13 Envestra'!E27)*('Jul''13 Envestra'!E46/100)*'Jul''13 Envestra'!E24))</f>
        <v>-31.475730000000002</v>
      </c>
      <c r="D51" s="59">
        <v>0</v>
      </c>
      <c r="E51" s="59">
        <f>IF($F5*'Jul''13 Envestra'!G23/'Jul''13 Envestra'!G25&lt;'Jul''13 Envestra'!G27,0,IF($F5*'Jul''13 Envestra'!G23/'Jul''13 Envestra'!G24&lt;='Jul''13 Envestra'!G28,($F5*'Jul''13 Envestra'!G23/'Jul''13 Envestra'!G24-'Jul''13 Envestra'!G27)*('Jul''13 Envestra'!G46/100)*'Jul''13 Envestra'!G24,('Jul''13 Envestra'!G28-'Jul''13 Envestra'!G27)*('Jul''13 Envestra'!G46/100)*'Jul''13 Envestra'!G24))</f>
        <v>-34.337159999999997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63"/>
    </row>
    <row r="52" spans="1:12" x14ac:dyDescent="0.15">
      <c r="A52" s="40" t="s">
        <v>606</v>
      </c>
      <c r="C52" s="59">
        <f>IF(($F5*'Jul''13 Envestra'!E23/'Jul''13 Envestra'!E24&gt;'Jul''13 Envestra'!E28),($F5*'Jul''13 Envestra'!E23/'Jul''13 Envestra'!E24-'Jul''13 Envestra'!E28)*'Jul''13 Envestra'!E47/100*'Jul''13 Envestra'!E24,0)</f>
        <v>0</v>
      </c>
      <c r="D52" s="59">
        <f>IF(($F5*'Jul''13 Envestra'!F23/'Jul''13 Envestra'!F24&gt;'Jul''13 Envestra'!F27)*'Jul''13 Envestra'!F24,('Bills Jul''13'!$F5*'Jul''13 Envestra'!F23/'Jul''13 Envestra'!F24-'Jul''13 Envestra'!F28)*'Jul''13 Envestra'!F31/100)*'Jul''13 Envestra'!F24</f>
        <v>61.125415999999994</v>
      </c>
      <c r="E52" s="59">
        <f>IF(($F5*'Jul''13 Envestra'!G23/'Jul''13 Envestra'!G24&gt;'Jul''13 Envestra'!G28),($F5*'Jul''13 Envestra'!G23/'Jul''13 Envestra'!G24-'Jul''13 Envestra'!G28)*'Jul''13 Envestra'!G47/100*'Jul''13 Envestra'!G24,0)</f>
        <v>0</v>
      </c>
      <c r="F52" s="59">
        <f>IF(($F5*'Jul''13 Envestra'!H23/'Jul''13 Envestra'!H24&gt;'Jul''13 Envestra'!H27)*'Jul''13 Envestra'!H24,('Bills Jul''13'!$F5*'Jul''13 Envestra'!H23/'Jul''13 Envestra'!H24-'Jul''13 Envestra'!H28)*'Jul''13 Envestra'!H31/100)*'Jul''13 Envestra'!H24</f>
        <v>64.062200000000004</v>
      </c>
      <c r="G52" s="59">
        <f>IF(($F5*'Jul''13 Envestra'!I23/'Jul''13 Envestra'!I24&gt;'Jul''13 Envestra'!I27)*'Jul''13 Envestra'!I24,('Bills Jul''13'!$F5*'Jul''13 Envestra'!I23/'Jul''13 Envestra'!I24-'Jul''13 Envestra'!I28)*'Jul''13 Envestra'!I31/100)*'Jul''13 Envestra'!I24</f>
        <v>65.519795000000002</v>
      </c>
      <c r="H52" s="59">
        <f>IF(($F5*'Jul''13 Envestra'!J23/'Jul''13 Envestra'!J24&gt;'Jul''13 Envestra'!J27)*'Jul''13 Envestra'!J24,('Bills Jul''13'!$F5*'Jul''13 Envestra'!J23/'Jul''13 Envestra'!J24-'Jul''13 Envestra'!J28)*'Jul''13 Envestra'!J31/100)*'Jul''13 Envestra'!J24</f>
        <v>65.314651999999995</v>
      </c>
      <c r="I52" s="59">
        <f>IF(($F5*'Jul''13 Envestra'!K23/'Jul''13 Envestra'!K24&gt;'Jul''13 Envestra'!K27)*'Jul''13 Envestra'!K24,('Bills Jul''13'!$F5*'Jul''13 Envestra'!K23/'Jul''13 Envestra'!K24-'Jul''13 Envestra'!K28)*'Jul''13 Envestra'!K31/100)*'Jul''13 Envestra'!K24</f>
        <v>58.987610000000004</v>
      </c>
      <c r="J52" s="59">
        <f>IF(($F5*'Jul''13 Envestra'!L23/'Jul''13 Envestra'!L24&gt;'Jul''13 Envestra'!L27)*'Jul''13 Envestra'!L24,('Bills Jul''13'!$F5*'Jul''13 Envestra'!L23/'Jul''13 Envestra'!L24-'Jul''13 Envestra'!L28)*'Jul''13 Envestra'!L31/100)*'Jul''13 Envestra'!L24</f>
        <v>57.799940000000007</v>
      </c>
      <c r="K52" s="59">
        <f>IF(($F5*'Jul''13 Envestra'!M23/'Jul''13 Envestra'!M24&gt;'Jul''13 Envestra'!M27)*'Jul''13 Envestra'!M24,('Bills Jul''13'!$F5*'Jul''13 Envestra'!M23/'Jul''13 Envestra'!M24-'Jul''13 Envestra'!M28)*'Jul''13 Envestra'!M31/100)*'Jul''13 Envestra'!M24</f>
        <v>62.154730000000001</v>
      </c>
      <c r="L52" s="63"/>
    </row>
    <row r="53" spans="1:12" x14ac:dyDescent="0.15">
      <c r="A53" s="40" t="s">
        <v>607</v>
      </c>
      <c r="C53" s="59">
        <f>IF($F5*'Jul''13 Envestra'!E25/'Jul''13 Envestra'!E26&gt;='Jul''13 Envestra'!E27,('Jul''13 Envestra'!E27*'Jul''13 Envestra'!E48/100)*'Jul''13 Envestra'!E26,($F5*'Jul''13 Envestra'!E25/'Jul''13 Envestra'!E26*'Jul''13 Envestra'!E48/100*'Jul''13 Envestra'!E26))</f>
        <v>363.84361200000001</v>
      </c>
      <c r="D53" s="59">
        <f>IF($F5*'Jul''13 Envestra'!F25/'Jul''13 Envestra'!F26&gt;='Jul''13 Envestra'!F27,('Jul''13 Envestra'!F27*'Jul''13 Envestra'!F32/100)*'Jul''13 Envestra'!F26,('Bills Jul''13'!$F5*'Jul''13 Envestra'!F25/'Jul''13 Envestra'!F26*'Jul''13 Envestra'!F32/100)*'Jul''13 Envestra'!F26)</f>
        <v>239.78239999999997</v>
      </c>
      <c r="E53" s="59">
        <f>IF($F5*'Jul''13 Envestra'!G25/'Jul''13 Envestra'!G26&gt;='Jul''13 Envestra'!G27,('Jul''13 Envestra'!G27*'Jul''13 Envestra'!G48/100)*'Jul''13 Envestra'!G26,($F5*'Jul''13 Envestra'!G25/'Jul''13 Envestra'!G26*'Jul''13 Envestra'!G48/100*'Jul''13 Envestra'!G26))</f>
        <v>389.36106000000001</v>
      </c>
      <c r="F53" s="59">
        <f>IF($F5*'Jul''13 Envestra'!H25/'Jul''13 Envestra'!H26&gt;='Jul''13 Envestra'!H27,('Jul''13 Envestra'!H27*'Jul''13 Envestra'!H32/100)*'Jul''13 Envestra'!H26,('Bills Jul''13'!$F5*'Jul''13 Envestra'!H25/'Jul''13 Envestra'!H26*'Jul''13 Envestra'!H32/100)*'Jul''13 Envestra'!H26)</f>
        <v>248.32</v>
      </c>
      <c r="G53" s="59">
        <f>IF($F5*'Jul''13 Envestra'!I25/'Jul''13 Envestra'!I26&gt;='Jul''13 Envestra'!I27,('Jul''13 Envestra'!I27*'Jul''13 Envestra'!I32/100)*'Jul''13 Envestra'!I26,('Bills Jul''13'!$F5*'Jul''13 Envestra'!I25/'Jul''13 Envestra'!I26*'Jul''13 Envestra'!I32/100)*'Jul''13 Envestra'!I26)</f>
        <v>247.5264</v>
      </c>
      <c r="H53" s="59">
        <f>IF($F5*'Jul''13 Envestra'!J25/'Jul''13 Envestra'!J26&gt;='Jul''13 Envestra'!J27,('Jul''13 Envestra'!J27*'Jul''13 Envestra'!J32/100)*'Jul''13 Envestra'!J26,('Bills Jul''13'!$F5*'Jul''13 Envestra'!J25/'Jul''13 Envestra'!J26*'Jul''13 Envestra'!J32/100)*'Jul''13 Envestra'!J26)</f>
        <v>255.65440000000001</v>
      </c>
      <c r="I53" s="59">
        <f>IF($F5*'Jul''13 Envestra'!K25/'Jul''13 Envestra'!K26&gt;='Jul''13 Envestra'!K27,('Jul''13 Envestra'!K27*'Jul''13 Envestra'!K32/100)*'Jul''13 Envestra'!K26,('Bills Jul''13'!$F5*'Jul''13 Envestra'!K25/'Jul''13 Envestra'!K26*'Jul''13 Envestra'!K32/100)*'Jul''13 Envestra'!K26)</f>
        <v>239.36</v>
      </c>
      <c r="J53" s="59">
        <f>IF($F5*'Jul''13 Envestra'!L25/'Jul''13 Envestra'!L26&gt;='Jul''13 Envestra'!L27,('Jul''13 Envestra'!L27*'Jul''13 Envestra'!L32/100)*'Jul''13 Envestra'!L26,('Bills Jul''13'!$F5*'Jul''13 Envestra'!L25/'Jul''13 Envestra'!L26*'Jul''13 Envestra'!L32/100)*'Jul''13 Envestra'!L26)</f>
        <v>249.21600000000001</v>
      </c>
      <c r="K53" s="59">
        <f>IF($F5*'Jul''13 Envestra'!M25/'Jul''13 Envestra'!M26&gt;='Jul''13 Envestra'!M27,('Jul''13 Envestra'!M27*'Jul''13 Envestra'!M32/100)*'Jul''13 Envestra'!M26,('Bills Jul''13'!$F5*'Jul''13 Envestra'!M25/'Jul''13 Envestra'!M26*'Jul''13 Envestra'!M32/100)*'Jul''13 Envestra'!M26)</f>
        <v>242.17599999999999</v>
      </c>
      <c r="L53" s="63"/>
    </row>
    <row r="54" spans="1:12" x14ac:dyDescent="0.15">
      <c r="A54" s="40" t="s">
        <v>608</v>
      </c>
      <c r="C54" s="59">
        <f>IF($F5*'Jul''13 Envestra'!E25/'Jul''13 Envestra'!E26&lt;'Jul''13 Envestra'!E27,0,IF($F5*'Jul''13 Envestra'!E25/'Jul''13 Envestra'!E26&lt;='Jul''13 Envestra'!E28,($F5*'Jul''13 Envestra'!E25/'Jul''13 Envestra'!E26-'Jul''13 Envestra'!E27)*('Jul''13 Envestra'!E49/100)*'Jul''13 Envestra'!E26,('Jul''13 Envestra'!E28-'Jul''13 Envestra'!E27)*('Jul''13 Envestra'!E49/100)*'Jul''13 Envestra'!E26))</f>
        <v>0</v>
      </c>
      <c r="D54" s="59">
        <v>0</v>
      </c>
      <c r="E54" s="59">
        <f>IF($F5*'Jul''13 Envestra'!G25/'Jul''13 Envestra'!G26&lt;'Jul''13 Envestra'!G27,0,IF($F5*'Jul''13 Envestra'!G25/'Jul''13 Envestra'!G26&lt;='Jul''13 Envestra'!G28,($F5*'Jul''13 Envestra'!G25/'Jul''13 Envestra'!G26-'Jul''13 Envestra'!G27)*('Jul''13 Envestra'!G49/100)*'Jul''13 Envestra'!G26,('Jul''13 Envestra'!G28-'Jul''13 Envestra'!G27)*('Jul''13 Envestra'!G49/100)*'Jul''13 Envestra'!G26))</f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63"/>
    </row>
    <row r="55" spans="1:12" x14ac:dyDescent="0.15">
      <c r="A55" s="40" t="s">
        <v>611</v>
      </c>
      <c r="C55" s="59">
        <f>IF(($F5*'Jul''13 Envestra'!E25/'Jul''13 Envestra'!E26&gt;'Jul''13 Envestra'!E28),($F5*'Jul''13 Envestra'!E25/'Jul''13 Envestra'!E26-'Jul''13 Envestra'!E28)*'Jul''13 Envestra'!E50/100*'Jul''13 Envestra'!E26,0)</f>
        <v>0</v>
      </c>
      <c r="D55" s="59">
        <f>IF(($F5*'Jul''13 Envestra'!F25/'Jul''13 Envestra'!F26&gt;'Jul''13 Envestra'!F27),('Bills Jul''13'!$F5*'Jul''13 Envestra'!F25/'Jul''13 Envestra'!F26-'Jul''13 Envestra'!F27)*'Jul''13 Envestra'!F34/100)*'Jul''13 Envestra'!F26</f>
        <v>114.88727800000001</v>
      </c>
      <c r="E55" s="59">
        <f>IF(($F5*'Jul''13 Envestra'!G25/'Jul''13 Envestra'!G26&gt;'Jul''13 Envestra'!G28),($F5*'Jul''13 Envestra'!G25/'Jul''13 Envestra'!G26-'Jul''13 Envestra'!G28)*'Jul''13 Envestra'!G50/100*'Jul''13 Envestra'!G26,0)</f>
        <v>0</v>
      </c>
      <c r="F55" s="59">
        <f>IF(($F5*'Jul''13 Envestra'!H25/'Jul''13 Envestra'!H26&gt;'Jul''13 Envestra'!H27),('Bills Jul''13'!$F5*'Jul''13 Envestra'!H25/'Jul''13 Envestra'!H26-'Jul''13 Envestra'!H27)*'Jul''13 Envestra'!H34/100)*'Jul''13 Envestra'!H26</f>
        <v>124.52539999999999</v>
      </c>
      <c r="G55" s="59">
        <f>IF(($F5*'Jul''13 Envestra'!I25/'Jul''13 Envestra'!I26&gt;'Jul''13 Envestra'!I27),('Bills Jul''13'!$F5*'Jul''13 Envestra'!I25/'Jul''13 Envestra'!I26-'Jul''13 Envestra'!I27)*'Jul''13 Envestra'!I34/100)*'Jul''13 Envestra'!I26</f>
        <v>124.230282</v>
      </c>
      <c r="H55" s="59">
        <f>IF(($F5*'Jul''13 Envestra'!J25/'Jul''13 Envestra'!J26&gt;'Jul''13 Envestra'!J27),('Bills Jul''13'!$F5*'Jul''13 Envestra'!J25/'Jul''13 Envestra'!J26-'Jul''13 Envestra'!J27)*'Jul''13 Envestra'!J34/100)*'Jul''13 Envestra'!J26</f>
        <v>127.21745200000001</v>
      </c>
      <c r="I55" s="59">
        <f>IF(($F5*'Jul''13 Envestra'!K25/'Jul''13 Envestra'!K26&gt;'Jul''13 Envestra'!K27),('Bills Jul''13'!$F5*'Jul''13 Envestra'!K25/'Jul''13 Envestra'!K26-'Jul''13 Envestra'!K27)*'Jul''13 Envestra'!K34/100)*'Jul''13 Envestra'!K26</f>
        <v>110.8492</v>
      </c>
      <c r="J55" s="59">
        <f>IF(($F5*'Jul''13 Envestra'!L25/'Jul''13 Envestra'!L26&gt;'Jul''13 Envestra'!L27),('Bills Jul''13'!$F5*'Jul''13 Envestra'!L25/'Jul''13 Envestra'!L26-'Jul''13 Envestra'!L27)*'Jul''13 Envestra'!L34/100)*'Jul''13 Envestra'!L26</f>
        <v>110.05742000000001</v>
      </c>
      <c r="K55" s="59">
        <f>IF(($F5*'Jul''13 Envestra'!M25/'Jul''13 Envestra'!M26&gt;'Jul''13 Envestra'!M27),('Bills Jul''13'!$F5*'Jul''13 Envestra'!M25/'Jul''13 Envestra'!M26-'Jul''13 Envestra'!M27)*'Jul''13 Envestra'!M34/100)*'Jul''13 Envestra'!M26</f>
        <v>118.767</v>
      </c>
      <c r="L55" s="63"/>
    </row>
    <row r="56" spans="1:12" x14ac:dyDescent="0.15">
      <c r="A56" s="40" t="s">
        <v>612</v>
      </c>
      <c r="C56" s="59">
        <f>365*'Jul''13 Envestra'!E35/100</f>
        <v>228.49364999999997</v>
      </c>
      <c r="D56" s="59">
        <f>365*'Jul''13 Envestra'!F35/100</f>
        <v>211.9117</v>
      </c>
      <c r="E56" s="59">
        <f>365*'Jul''13 Envestra'!G35/100</f>
        <v>232.87</v>
      </c>
      <c r="F56" s="59">
        <f>365*'Jul''13 Envestra'!H35/100</f>
        <v>224.767</v>
      </c>
      <c r="G56" s="59">
        <f>365*'Jul''13 Envestra'!I35/100</f>
        <v>240.49849999999998</v>
      </c>
      <c r="H56" s="59">
        <f>365*'Jul''13 Envestra'!J35/100</f>
        <v>236.739</v>
      </c>
      <c r="I56" s="59">
        <f>365*'Jul''13 Envestra'!K35/100</f>
        <v>208.78</v>
      </c>
      <c r="J56" s="59">
        <f>365*'Jul''13 Envestra'!L35/100</f>
        <v>223.15369999999999</v>
      </c>
      <c r="K56" s="59">
        <f>365*'Jul''13 Envestra'!M35/100</f>
        <v>212.39349999999999</v>
      </c>
      <c r="L56" s="60">
        <f>AVERAGE(C56:K56)</f>
        <v>224.40078333333332</v>
      </c>
    </row>
    <row r="57" spans="1:12" x14ac:dyDescent="0.15">
      <c r="A57" s="62" t="s">
        <v>613</v>
      </c>
      <c r="B57" s="63"/>
      <c r="C57" s="61">
        <f t="shared" ref="C57:H57" si="3">SUM(C50:C56)</f>
        <v>746.63295300000004</v>
      </c>
      <c r="D57" s="61">
        <f t="shared" si="3"/>
        <v>760.48119399999996</v>
      </c>
      <c r="E57" s="61">
        <f t="shared" si="3"/>
        <v>789.17376999999999</v>
      </c>
      <c r="F57" s="61">
        <f t="shared" si="3"/>
        <v>790.95460000000003</v>
      </c>
      <c r="G57" s="61">
        <f t="shared" si="3"/>
        <v>809.77497700000004</v>
      </c>
      <c r="H57" s="61">
        <f t="shared" si="3"/>
        <v>817.335104</v>
      </c>
      <c r="I57" s="61">
        <f>SUM(I50:I56)</f>
        <v>746.10481000000004</v>
      </c>
      <c r="J57" s="61">
        <f>SUM(J50:J56)</f>
        <v>769.76306</v>
      </c>
      <c r="K57" s="61">
        <f>SUM(K50:K56)</f>
        <v>758.69123000000002</v>
      </c>
      <c r="L57" s="64">
        <f>AVERAGE(C57:K57)</f>
        <v>776.54574422222231</v>
      </c>
    </row>
    <row r="59" spans="1:12" x14ac:dyDescent="0.15">
      <c r="A59" s="53" t="s">
        <v>1028</v>
      </c>
      <c r="C59" s="23" t="s">
        <v>1044</v>
      </c>
      <c r="D59" s="23" t="s">
        <v>591</v>
      </c>
      <c r="E59" s="23" t="s">
        <v>592</v>
      </c>
      <c r="F59" s="23" t="s">
        <v>544</v>
      </c>
      <c r="G59" s="23" t="s">
        <v>615</v>
      </c>
      <c r="H59" s="23" t="s">
        <v>546</v>
      </c>
      <c r="I59" s="23" t="s">
        <v>545</v>
      </c>
      <c r="J59" s="23" t="s">
        <v>486</v>
      </c>
      <c r="K59" s="23" t="s">
        <v>598</v>
      </c>
      <c r="L59" s="57" t="s">
        <v>601</v>
      </c>
    </row>
    <row r="60" spans="1:12" x14ac:dyDescent="0.15">
      <c r="A60" s="40" t="s">
        <v>602</v>
      </c>
      <c r="C60" s="59">
        <f>IF($F5*'Jul''13 Envestra'!E39/'Jul''13 Envestra'!E40&gt;='Jul''13 Envestra'!E43,('Jul''13 Envestra'!E43*'Jul''13 Envestra'!E45/100)*'Jul''13 Envestra'!E40,($F5*'Jul''13 Envestra'!E39/'Jul''13 Envestra'!E40*'Jul''13 Envestra'!E45/100)*'Jul''13 Envestra'!E40)</f>
        <v>185.771421</v>
      </c>
      <c r="D60" s="59">
        <f>IF($F5*'Jul''13 Envestra'!F39/'Jul''13 Envestra'!F40&gt;='Jul''13 Envestra'!F43,('Jul''13 Envestra'!F43*'Jul''13 Envestra'!F45/100)*'Jul''13 Envestra'!F40,($F5*'Jul''13 Envestra'!F39/'Jul''13 Envestra'!F40*'Jul''13 Envestra'!F45/100)*'Jul''13 Envestra'!F40)</f>
        <v>163.59200000000001</v>
      </c>
      <c r="E60" s="59">
        <f>IF($F5*'Jul''13 Envestra'!G39/'Jul''13 Envestra'!G40&gt;='Jul''13 Envestra'!G43,('Jul''13 Envestra'!G43*'Jul''13 Envestra'!G45/100)*'Jul''13 Envestra'!G40,($F5*'Jul''13 Envestra'!G39/'Jul''13 Envestra'!G40*'Jul''13 Envestra'!G45/100)*'Jul''13 Envestra'!G40)</f>
        <v>201.27986999999996</v>
      </c>
      <c r="F60" s="59">
        <f>IF($F5*'Jul''13 Envestra'!H39/'Jul''13 Envestra'!H40&gt;='Jul''13 Envestra'!H43,('Jul''13 Envestra'!H43*'Jul''13 Envestra'!H45/100)*'Jul''13 Envestra'!H40,($F5*'Jul''13 Envestra'!H39/'Jul''13 Envestra'!H40*'Jul''13 Envestra'!H45/100)*'Jul''13 Envestra'!H40)</f>
        <v>164</v>
      </c>
      <c r="G60" s="59">
        <f>IF($F5*'Jul''13 Envestra'!I39/'Jul''13 Envestra'!I40&gt;='Jul''13 Envestra'!I43,('Jul''13 Envestra'!I43*'Jul''13 Envestra'!I45/100)*'Jul''13 Envestra'!I40,($F5*'Jul''13 Envestra'!I39/'Jul''13 Envestra'!I40*'Jul''13 Envestra'!I45/100)*'Jul''13 Envestra'!I40)</f>
        <v>169.22400000000002</v>
      </c>
      <c r="H60" s="59">
        <f>IF($F5*'Jul''13 Envestra'!J39/'Jul''13 Envestra'!J40&gt;='Jul''13 Envestra'!J43,('Jul''13 Envestra'!J43*'Jul''13 Envestra'!J45/100)*'Jul''13 Envestra'!J40,($F5*'Jul''13 Envestra'!J39/'Jul''13 Envestra'!J40*'Jul''13 Envestra'!J45/100)*'Jul''13 Envestra'!J40)</f>
        <v>165.28</v>
      </c>
      <c r="I60" s="59">
        <f>IF($F5*'Jul''13 Envestra'!K39/'Jul''13 Envestra'!K40&gt;='Jul''13 Envestra'!K43,('Jul''13 Envestra'!K43*'Jul''13 Envestra'!K45/100)*'Jul''13 Envestra'!K40,($F5*'Jul''13 Envestra'!K39/'Jul''13 Envestra'!K40*'Jul''13 Envestra'!K45/100)*'Jul''13 Envestra'!K40)</f>
        <v>158.4</v>
      </c>
      <c r="J60" s="59">
        <f>IF($F5*'Jul''13 Envestra'!L39/'Jul''13 Envestra'!L40&gt;='Jul''13 Envestra'!L43,('Jul''13 Envestra'!L43*'Jul''13 Envestra'!L45/100)*'Jul''13 Envestra'!L40,($F5*'Jul''13 Envestra'!L39/'Jul''13 Envestra'!L40*'Jul''13 Envestra'!L45/100)*'Jul''13 Envestra'!L40)</f>
        <v>163.67999999999998</v>
      </c>
      <c r="K60" s="59">
        <f>IF($F5*'Jul''13 Envestra'!M39/'Jul''13 Envestra'!M40&gt;='Jul''13 Envestra'!M43,('Jul''13 Envestra'!M43*'Jul''13 Envestra'!M45/100)*'Jul''13 Envestra'!M40,($F5*'Jul''13 Envestra'!M39/'Jul''13 Envestra'!M40*'Jul''13 Envestra'!M45/100)*'Jul''13 Envestra'!M40)</f>
        <v>158.4</v>
      </c>
      <c r="L60" s="63"/>
    </row>
    <row r="61" spans="1:12" x14ac:dyDescent="0.15">
      <c r="A61" s="40" t="s">
        <v>603</v>
      </c>
      <c r="C61" s="59">
        <f>IF($F5*'Jul''13 Envestra'!E39/'Jul''13 Envestra'!E40&lt;'Jul''13 Envestra'!E43,0,IF($F5*'Jul''13 Envestra'!E39/'Jul''13 Envestra'!E40&lt;='Jul''13 Envestra'!E44,($F5*'Jul''13 Envestra'!E39/'Jul''13 Envestra'!E40-'Jul''13 Envestra'!E43)*('Jul''13 Envestra'!E46/100)*'Jul''13 Envestra'!E40,('Jul''13 Envestra'!E44-'Jul''13 Envestra'!E43)*('Jul''13 Envestra'!E46/100)*'Jul''13 Envestra'!E40))</f>
        <v>0</v>
      </c>
      <c r="D61" s="59">
        <f>IF($F5*'Jul''13 Envestra'!F39/'Jul''13 Envestra'!F40&lt;'Jul''13 Envestra'!F43,0,IF($F5*'Jul''13 Envestra'!F39/'Jul''13 Envestra'!F40&lt;='Jul''13 Envestra'!F44,($F5*'Jul''13 Envestra'!F39/'Jul''13 Envestra'!F40-'Jul''13 Envestra'!F43)*('Jul''13 Envestra'!F46/100)*'Jul''13 Envestra'!F40,('Jul''13 Envestra'!F44-'Jul''13 Envestra'!F43)*('Jul''13 Envestra'!F46/100)*'Jul''13 Envestra'!F40))</f>
        <v>36.215883000000005</v>
      </c>
      <c r="E61" s="59">
        <f>IF($F5*'Jul''13 Envestra'!G39/'Jul''13 Envestra'!G40&lt;'Jul''13 Envestra'!G43,0,IF($F5*'Jul''13 Envestra'!G39/'Jul''13 Envestra'!G40&lt;='Jul''13 Envestra'!G44,($F5*'Jul''13 Envestra'!G39/'Jul''13 Envestra'!G40-'Jul''13 Envestra'!G43)*('Jul''13 Envestra'!G46/100)*'Jul''13 Envestra'!G40,('Jul''13 Envestra'!G44-'Jul''13 Envestra'!G43)*('Jul''13 Envestra'!G46/100)*'Jul''13 Envestra'!G40))</f>
        <v>0</v>
      </c>
      <c r="F61" s="59">
        <f>IF($F5*'Jul''13 Envestra'!H39/'Jul''13 Envestra'!H40&lt;'Jul''13 Envestra'!H43,0,IF($F5*'Jul''13 Envestra'!H39/'Jul''13 Envestra'!H40&lt;='Jul''13 Envestra'!H44,($F5*'Jul''13 Envestra'!H39/'Jul''13 Envestra'!H40-'Jul''13 Envestra'!H43)*('Jul''13 Envestra'!H46/100)*'Jul''13 Envestra'!H40,('Jul''13 Envestra'!H44-'Jul''13 Envestra'!H43)*('Jul''13 Envestra'!H46/100)*'Jul''13 Envestra'!H40))</f>
        <v>0</v>
      </c>
      <c r="G61" s="59">
        <f>IF($F5*'Jul''13 Envestra'!I39/'Jul''13 Envestra'!I40&lt;'Jul''13 Envestra'!I43,0,IF($F5*'Jul''13 Envestra'!I39/'Jul''13 Envestra'!I40&lt;='Jul''13 Envestra'!I44,($F5*'Jul''13 Envestra'!I39/'Jul''13 Envestra'!I40-'Jul''13 Envestra'!I43)*('Jul''13 Envestra'!I46/100)*'Jul''13 Envestra'!I40,('Jul''13 Envestra'!I44-'Jul''13 Envestra'!I43)*('Jul''13 Envestra'!I46/100)*'Jul''13 Envestra'!I40))</f>
        <v>37.447266999999997</v>
      </c>
      <c r="H61" s="59">
        <f>IF($F5*'Jul''13 Envestra'!J39/'Jul''13 Envestra'!J40&lt;'Jul''13 Envestra'!J43,0,IF($F5*'Jul''13 Envestra'!J39/'Jul''13 Envestra'!J40&lt;='Jul''13 Envestra'!J44,($F5*'Jul''13 Envestra'!J39/'Jul''13 Envestra'!J40-'Jul''13 Envestra'!J43)*('Jul''13 Envestra'!J46/100)*'Jul''13 Envestra'!J40,('Jul''13 Envestra'!J44-'Jul''13 Envestra'!J43)*('Jul''13 Envestra'!J46/100)*'Jul''13 Envestra'!J40))</f>
        <v>36.003988999999997</v>
      </c>
      <c r="I61" s="59">
        <f>IF($F5*'Jul''13 Envestra'!K39/'Jul''13 Envestra'!K40&lt;'Jul''13 Envestra'!K43,0,IF($F5*'Jul''13 Envestra'!K39/'Jul''13 Envestra'!K40&lt;='Jul''13 Envestra'!K44,($F5*'Jul''13 Envestra'!K39/'Jul''13 Envestra'!K40-'Jul''13 Envestra'!K43)*('Jul''13 Envestra'!K46/100)*'Jul''13 Envestra'!K40,('Jul''13 Envestra'!K44-'Jul''13 Envestra'!K43)*('Jul''13 Envestra'!K46/100)*'Jul''13 Envestra'!K40))</f>
        <v>34.962510000000002</v>
      </c>
      <c r="J61" s="59">
        <f>IF($F5*'Jul''13 Envestra'!L39/'Jul''13 Envestra'!L40&lt;'Jul''13 Envestra'!L43,0,IF($F5*'Jul''13 Envestra'!L39/'Jul''13 Envestra'!L40&lt;='Jul''13 Envestra'!L44,($F5*'Jul''13 Envestra'!L39/'Jul''13 Envestra'!L40-'Jul''13 Envestra'!L43)*('Jul''13 Envestra'!L46/100)*'Jul''13 Envestra'!L40,('Jul''13 Envestra'!L44-'Jul''13 Envestra'!L43)*('Jul''13 Envestra'!L46/100)*'Jul''13 Envestra'!L40))</f>
        <v>34.302839999999996</v>
      </c>
      <c r="K61" s="59">
        <f>IF($F5*'Jul''13 Envestra'!M39/'Jul''13 Envestra'!M40&lt;'Jul''13 Envestra'!M43,0,IF($F5*'Jul''13 Envestra'!M39/'Jul''13 Envestra'!M40&lt;='Jul''13 Envestra'!M44,($F5*'Jul''13 Envestra'!M39/'Jul''13 Envestra'!M40-'Jul''13 Envestra'!M43)*('Jul''13 Envestra'!M46/100)*'Jul''13 Envestra'!M40,('Jul''13 Envestra'!M44-'Jul''13 Envestra'!M43)*('Jul''13 Envestra'!M46/100)*'Jul''13 Envestra'!M40))</f>
        <v>34.302839999999996</v>
      </c>
      <c r="L61" s="63"/>
    </row>
    <row r="62" spans="1:12" x14ac:dyDescent="0.15">
      <c r="A62" s="40" t="s">
        <v>606</v>
      </c>
      <c r="C62" s="59">
        <f>IF(($F5*'Jul''13 Envestra'!E39/'Jul''13 Envestra'!E40&gt;'Jul''13 Envestra'!E44),($F5*'Jul''13 Envestra'!E39/'Jul''13 Envestra'!E40-'Jul''13 Envestra'!E44)*'Jul''13 Envestra'!E47/100)*'Jul''13 Envestra'!E40</f>
        <v>0</v>
      </c>
      <c r="D62" s="59">
        <f>IF(($F5*'Jul''13 Envestra'!F39/'Jul''13 Envestra'!F40&gt;'Jul''13 Envestra'!F44),($F5*'Jul''13 Envestra'!F39/'Jul''13 Envestra'!F40-'Jul''13 Envestra'!F44)*'Jul''13 Envestra'!F47/100)*'Jul''13 Envestra'!F40</f>
        <v>0</v>
      </c>
      <c r="E62" s="59">
        <f>IF(($F5*'Jul''13 Envestra'!G39/'Jul''13 Envestra'!G40&gt;'Jul''13 Envestra'!G44),($F5*'Jul''13 Envestra'!G39/'Jul''13 Envestra'!G40-'Jul''13 Envestra'!G44)*'Jul''13 Envestra'!G47/100)*'Jul''13 Envestra'!G40</f>
        <v>0</v>
      </c>
      <c r="F62" s="59">
        <f>IF(($F5*'Jul''13 Envestra'!H39/'Jul''13 Envestra'!H40&gt;'Jul''13 Envestra'!H44),($F5*'Jul''13 Envestra'!H39/'Jul''13 Envestra'!H40-'Jul''13 Envestra'!H44)*'Jul''13 Envestra'!H47/100)*'Jul''13 Envestra'!H40</f>
        <v>36.781600000000005</v>
      </c>
      <c r="G62" s="59">
        <f>IF(($F5*'Jul''13 Envestra'!I39/'Jul''13 Envestra'!I40&gt;'Jul''13 Envestra'!I44),($F5*'Jul''13 Envestra'!I39/'Jul''13 Envestra'!I40-'Jul''13 Envestra'!I44)*'Jul''13 Envestra'!I47/100)*'Jul''13 Envestra'!I40</f>
        <v>0</v>
      </c>
      <c r="H62" s="59">
        <f>IF(($F5*'Jul''13 Envestra'!J39/'Jul''13 Envestra'!J40&gt;'Jul''13 Envestra'!J44),($F5*'Jul''13 Envestra'!J39/'Jul''13 Envestra'!J40-'Jul''13 Envestra'!J44)*'Jul''13 Envestra'!J47/100)*'Jul''13 Envestra'!J40</f>
        <v>0</v>
      </c>
      <c r="I62" s="59">
        <f>IF(($F5*'Jul''13 Envestra'!K39/'Jul''13 Envestra'!K40&gt;'Jul''13 Envestra'!K44),($F5*'Jul''13 Envestra'!K39/'Jul''13 Envestra'!K40-'Jul''13 Envestra'!K44)*'Jul''13 Envestra'!K47/100)*'Jul''13 Envestra'!K40</f>
        <v>0</v>
      </c>
      <c r="J62" s="59">
        <f>IF(($F5*'Jul''13 Envestra'!L39/'Jul''13 Envestra'!L40&gt;'Jul''13 Envestra'!L44),($F5*'Jul''13 Envestra'!L39/'Jul''13 Envestra'!L40-'Jul''13 Envestra'!L44)*'Jul''13 Envestra'!L47/100)*'Jul''13 Envestra'!L40</f>
        <v>0</v>
      </c>
      <c r="K62" s="59">
        <f>IF(($F5*'Jul''13 Envestra'!M39/'Jul''13 Envestra'!M40&gt;'Jul''13 Envestra'!M44),($F5*'Jul''13 Envestra'!M39/'Jul''13 Envestra'!M40-'Jul''13 Envestra'!M44)*'Jul''13 Envestra'!M47/100)*'Jul''13 Envestra'!M40</f>
        <v>0</v>
      </c>
      <c r="L62" s="63"/>
    </row>
    <row r="63" spans="1:12" x14ac:dyDescent="0.15">
      <c r="A63" s="40" t="s">
        <v>607</v>
      </c>
      <c r="C63" s="59">
        <f>IF($F5*'Jul''13 Envestra'!E41/'Jul''13 Envestra'!E42&gt;='Jul''13 Envestra'!E43,('Jul''13 Envestra'!E43*'Jul''13 Envestra'!E48/100)*'Jul''13 Envestra'!E42,($F5*'Jul''13 Envestra'!E41/'Jul''13 Envestra'!E42*'Jul''13 Envestra'!E48/100)*'Jul''13 Envestra'!E42)</f>
        <v>363.84361200000001</v>
      </c>
      <c r="D63" s="59">
        <f>IF($F5*'Jul''13 Envestra'!F41/'Jul''13 Envestra'!F42&gt;='Jul''13 Envestra'!F43,('Jul''13 Envestra'!F43*'Jul''13 Envestra'!F48/100)*'Jul''13 Envestra'!F42,($F5*'Jul''13 Envestra'!F41/'Jul''13 Envestra'!F42*'Jul''13 Envestra'!F48/100)*'Jul''13 Envestra'!F42)</f>
        <v>310.99200000000002</v>
      </c>
      <c r="E63" s="59">
        <f>IF($F5*'Jul''13 Envestra'!G41/'Jul''13 Envestra'!G42&gt;='Jul''13 Envestra'!G43,('Jul''13 Envestra'!G43*'Jul''13 Envestra'!G48/100)*'Jul''13 Envestra'!G42,($F5*'Jul''13 Envestra'!G41/'Jul''13 Envestra'!G42*'Jul''13 Envestra'!G48/100)*'Jul''13 Envestra'!G42)</f>
        <v>389.36106000000001</v>
      </c>
      <c r="F63" s="59">
        <f>IF($F5*'Jul''13 Envestra'!H41/'Jul''13 Envestra'!H42&gt;='Jul''13 Envestra'!H43,('Jul''13 Envestra'!H43*'Jul''13 Envestra'!H48/100)*'Jul''13 Envestra'!H42,($F5*'Jul''13 Envestra'!H41/'Jul''13 Envestra'!H42*'Jul''13 Envestra'!H48/100)*'Jul''13 Envestra'!H42)</f>
        <v>320</v>
      </c>
      <c r="G63" s="59">
        <f>IF($F5*'Jul''13 Envestra'!I41/'Jul''13 Envestra'!I42&gt;='Jul''13 Envestra'!I43,('Jul''13 Envestra'!I43*'Jul''13 Envestra'!I48/100)*'Jul''13 Envestra'!I42,($F5*'Jul''13 Envestra'!I41/'Jul''13 Envestra'!I42*'Jul''13 Envestra'!I48/100)*'Jul''13 Envestra'!I42)</f>
        <v>332.81599999999997</v>
      </c>
      <c r="H63" s="59">
        <f>IF($F5*'Jul''13 Envestra'!J41/'Jul''13 Envestra'!J42&gt;='Jul''13 Envestra'!J43,('Jul''13 Envestra'!J43*'Jul''13 Envestra'!J48/100)*'Jul''13 Envestra'!J42,($F5*'Jul''13 Envestra'!J41/'Jul''13 Envestra'!J42*'Jul''13 Envestra'!J48/100)*'Jul''13 Envestra'!J42)</f>
        <v>322.57599999999996</v>
      </c>
      <c r="I63" s="59">
        <f>IF($F5*'Jul''13 Envestra'!K41/'Jul''13 Envestra'!K42&gt;='Jul''13 Envestra'!K43,('Jul''13 Envestra'!K43*'Jul''13 Envestra'!K48/100)*'Jul''13 Envestra'!K42,($F5*'Jul''13 Envestra'!K41/'Jul''13 Envestra'!K42*'Jul''13 Envestra'!K48/100)*'Jul''13 Envestra'!K42)</f>
        <v>300.95999999999998</v>
      </c>
      <c r="J63" s="59">
        <f>IF($F5*'Jul''13 Envestra'!L41/'Jul''13 Envestra'!L42&gt;='Jul''13 Envestra'!L43,('Jul''13 Envestra'!L43*'Jul''13 Envestra'!L48/100)*'Jul''13 Envestra'!L42,($F5*'Jul''13 Envestra'!L41/'Jul''13 Envestra'!L42*'Jul''13 Envestra'!L48/100)*'Jul''13 Envestra'!L42)</f>
        <v>311.52</v>
      </c>
      <c r="K63" s="59">
        <f>IF($F5*'Jul''13 Envestra'!M41/'Jul''13 Envestra'!M42&gt;='Jul''13 Envestra'!M43,('Jul''13 Envestra'!M43*'Jul''13 Envestra'!M48/100)*'Jul''13 Envestra'!M42,($F5*'Jul''13 Envestra'!M41/'Jul''13 Envestra'!M42*'Jul''13 Envestra'!M48/100)*'Jul''13 Envestra'!M42)</f>
        <v>318.56</v>
      </c>
      <c r="L63" s="63"/>
    </row>
    <row r="64" spans="1:12" x14ac:dyDescent="0.15">
      <c r="A64" s="40" t="s">
        <v>608</v>
      </c>
      <c r="C64" s="59">
        <f>IF($F5*'Jul''13 Envestra'!E41/'Jul''13 Envestra'!E42&lt;'Jul''13 Envestra'!E43,0,IF($F5*'Jul''13 Envestra'!E41/'Jul''13 Envestra'!E42&lt;='Jul''13 Envestra'!E44,($F5*'Jul''13 Envestra'!E41/'Jul''13 Envestra'!E42-'Jul''13 Envestra'!E43)*('Jul''13 Envestra'!E49/100)*'Jul''13 Envestra'!E42,('Jul''13 Envestra'!E44-'Jul''13 Envestra'!E43)*('Jul''13 Envestra'!E49/100)*'Jul''13 Envestra'!E42))</f>
        <v>0</v>
      </c>
      <c r="D64" s="59">
        <f>IF($F5*'Jul''13 Envestra'!F41/'Jul''13 Envestra'!F42&lt;'Jul''13 Envestra'!F43,0,IF($F5*'Jul''13 Envestra'!F41/'Jul''13 Envestra'!F42&lt;='Jul''13 Envestra'!F44,($F5*'Jul''13 Envestra'!F41/'Jul''13 Envestra'!F42-'Jul''13 Envestra'!F43)*('Jul''13 Envestra'!F49/100)*'Jul''13 Envestra'!F42,('Jul''13 Envestra'!F44-'Jul''13 Envestra'!F43)*('Jul''13 Envestra'!F49/100)*'Jul''13 Envestra'!F42))</f>
        <v>67.550208000000012</v>
      </c>
      <c r="E64" s="59">
        <f>IF($F5*'Jul''13 Envestra'!G41/'Jul''13 Envestra'!G42&lt;'Jul''13 Envestra'!G43,0,IF($F5*'Jul''13 Envestra'!G41/'Jul''13 Envestra'!G42&lt;='Jul''13 Envestra'!G44,($F5*'Jul''13 Envestra'!G41/'Jul''13 Envestra'!G42-'Jul''13 Envestra'!G43)*('Jul''13 Envestra'!G49/100)*'Jul''13 Envestra'!G42,('Jul''13 Envestra'!G44-'Jul''13 Envestra'!G43)*('Jul''13 Envestra'!G49/100)*'Jul''13 Envestra'!G42))</f>
        <v>0</v>
      </c>
      <c r="F64" s="59">
        <f>IF($F5*'Jul''13 Envestra'!H41/'Jul''13 Envestra'!H42&lt;'Jul''13 Envestra'!H43,0,IF($F5*'Jul''13 Envestra'!H41/'Jul''13 Envestra'!H42&lt;='Jul''13 Envestra'!H44,($F5*'Jul''13 Envestra'!H41/'Jul''13 Envestra'!H42-'Jul''13 Envestra'!H43)*('Jul''13 Envestra'!H49/100)*'Jul''13 Envestra'!H42,('Jul''13 Envestra'!H44-'Jul''13 Envestra'!H43)*('Jul''13 Envestra'!H49/100)*'Jul''13 Envestra'!H42))</f>
        <v>0</v>
      </c>
      <c r="G64" s="59">
        <f>IF($F5*'Jul''13 Envestra'!I41/'Jul''13 Envestra'!I42&lt;'Jul''13 Envestra'!I43,0,IF($F5*'Jul''13 Envestra'!I41/'Jul''13 Envestra'!I42&lt;='Jul''13 Envestra'!I44,($F5*'Jul''13 Envestra'!I41/'Jul''13 Envestra'!I42-'Jul''13 Envestra'!I43)*('Jul''13 Envestra'!I49/100)*'Jul''13 Envestra'!I42,('Jul''13 Envestra'!I44-'Jul''13 Envestra'!I43)*('Jul''13 Envestra'!I49/100)*'Jul''13 Envestra'!I42))</f>
        <v>74.014973999999995</v>
      </c>
      <c r="H64" s="59">
        <f>IF($F5*'Jul''13 Envestra'!J41/'Jul''13 Envestra'!J42&lt;'Jul''13 Envestra'!J43,0,IF($F5*'Jul''13 Envestra'!J41/'Jul''13 Envestra'!J42&lt;='Jul''13 Envestra'!J44,($F5*'Jul''13 Envestra'!J41/'Jul''13 Envestra'!J42-'Jul''13 Envestra'!J43)*('Jul''13 Envestra'!J49/100)*'Jul''13 Envestra'!J42,('Jul''13 Envestra'!J44-'Jul''13 Envestra'!J43)*('Jul''13 Envestra'!J49/100)*'Jul''13 Envestra'!J42))</f>
        <v>70.252856000000008</v>
      </c>
      <c r="I64" s="59">
        <f>IF($F5*'Jul''13 Envestra'!K41/'Jul''13 Envestra'!K42&lt;'Jul''13 Envestra'!K43,0,IF($F5*'Jul''13 Envestra'!K41/'Jul''13 Envestra'!K42&lt;='Jul''13 Envestra'!K44,($F5*'Jul''13 Envestra'!K41/'Jul''13 Envestra'!K42-'Jul''13 Envestra'!K43)*('Jul''13 Envestra'!K49/100)*'Jul''13 Envestra'!K42,('Jul''13 Envestra'!K44-'Jul''13 Envestra'!K43)*('Jul''13 Envestra'!K49/100)*'Jul''13 Envestra'!K42))</f>
        <v>65.087440000000001</v>
      </c>
      <c r="J64" s="59">
        <f>IF($F5*'Jul''13 Envestra'!L41/'Jul''13 Envestra'!L42&lt;'Jul''13 Envestra'!L43,0,IF($F5*'Jul''13 Envestra'!L41/'Jul''13 Envestra'!L42&lt;='Jul''13 Envestra'!L44,($F5*'Jul''13 Envestra'!L41/'Jul''13 Envestra'!L42-'Jul''13 Envestra'!L43)*('Jul''13 Envestra'!L49/100)*'Jul''13 Envestra'!L42,('Jul''13 Envestra'!L44-'Jul''13 Envestra'!L43)*('Jul''13 Envestra'!L49/100)*'Jul''13 Envestra'!L42))</f>
        <v>66.846559999999997</v>
      </c>
      <c r="K64" s="59">
        <f>IF($F5*'Jul''13 Envestra'!M41/'Jul''13 Envestra'!M42&lt;'Jul''13 Envestra'!M43,0,IF($F5*'Jul''13 Envestra'!M41/'Jul''13 Envestra'!M42&lt;='Jul''13 Envestra'!M44,($F5*'Jul''13 Envestra'!M41/'Jul''13 Envestra'!M42-'Jul''13 Envestra'!M43)*('Jul''13 Envestra'!M49/100)*'Jul''13 Envestra'!M42,('Jul''13 Envestra'!M44-'Jul''13 Envestra'!M43)*('Jul''13 Envestra'!M49/100)*'Jul''13 Envestra'!M42))</f>
        <v>65.527220000000014</v>
      </c>
      <c r="L64" s="63"/>
    </row>
    <row r="65" spans="1:12" x14ac:dyDescent="0.15">
      <c r="A65" s="40" t="s">
        <v>611</v>
      </c>
      <c r="C65" s="59">
        <f>IF(($F5*'Jul''13 Envestra'!E41/'Jul''13 Envestra'!E42&gt;'Jul''13 Envestra'!E44),($F5*'Jul''13 Envestra'!E41/'Jul''13 Envestra'!E42-'Jul''13 Envestra'!E44)*'Jul''13 Envestra'!E50/100)*'Jul''13 Envestra'!E42</f>
        <v>0</v>
      </c>
      <c r="D65" s="59">
        <f>IF(($F5*'Jul''13 Envestra'!F41/'Jul''13 Envestra'!F42&gt;'Jul''13 Envestra'!F44),($F5*'Jul''13 Envestra'!F41/'Jul''13 Envestra'!F42-'Jul''13 Envestra'!F44)*'Jul''13 Envestra'!F50/100)*'Jul''13 Envestra'!F42</f>
        <v>0</v>
      </c>
      <c r="E65" s="59">
        <f>IF(($F5*'Jul''13 Envestra'!G41/'Jul''13 Envestra'!G42&gt;'Jul''13 Envestra'!G44),($F5*'Jul''13 Envestra'!G41/'Jul''13 Envestra'!G42-'Jul''13 Envestra'!G44)*'Jul''13 Envestra'!G50/100)*'Jul''13 Envestra'!G42</f>
        <v>0</v>
      </c>
      <c r="F65" s="59">
        <f>IF(($F5*'Jul''13 Envestra'!H41/'Jul''13 Envestra'!H42&gt;'Jul''13 Envestra'!H44),($F5*'Jul''13 Envestra'!H41/'Jul''13 Envestra'!H42-'Jul''13 Envestra'!H44)*'Jul''13 Envestra'!H50/100)*'Jul''13 Envestra'!H42</f>
        <v>71.963999999999999</v>
      </c>
      <c r="G65" s="59">
        <f>IF(($F5*'Jul''13 Envestra'!I41/'Jul''13 Envestra'!I42&gt;'Jul''13 Envestra'!I44),($F5*'Jul''13 Envestra'!I41/'Jul''13 Envestra'!I42-'Jul''13 Envestra'!I44)*'Jul''13 Envestra'!I50/100)*'Jul''13 Envestra'!I42</f>
        <v>0</v>
      </c>
      <c r="H65" s="59">
        <f>IF(($F5*'Jul''13 Envestra'!J41/'Jul''13 Envestra'!J42&gt;'Jul''13 Envestra'!J44),($F5*'Jul''13 Envestra'!J41/'Jul''13 Envestra'!J42-'Jul''13 Envestra'!J44)*'Jul''13 Envestra'!J50/100)*'Jul''13 Envestra'!J42</f>
        <v>0</v>
      </c>
      <c r="I65" s="59">
        <f>IF(($F5*'Jul''13 Envestra'!K41/'Jul''13 Envestra'!K42&gt;'Jul''13 Envestra'!K44),($F5*'Jul''13 Envestra'!K41/'Jul''13 Envestra'!K42-'Jul''13 Envestra'!K44)*'Jul''13 Envestra'!K50/100)*'Jul''13 Envestra'!K42</f>
        <v>0</v>
      </c>
      <c r="J65" s="59">
        <f>IF(($F5*'Jul''13 Envestra'!L41/'Jul''13 Envestra'!L42&gt;'Jul''13 Envestra'!L44),($F5*'Jul''13 Envestra'!L41/'Jul''13 Envestra'!L42-'Jul''13 Envestra'!L44)*'Jul''13 Envestra'!L50/100)*'Jul''13 Envestra'!L42</f>
        <v>0</v>
      </c>
      <c r="K65" s="59">
        <f>IF(($F5*'Jul''13 Envestra'!M41/'Jul''13 Envestra'!M42&gt;'Jul''13 Envestra'!M44),($F5*'Jul''13 Envestra'!M41/'Jul''13 Envestra'!M42-'Jul''13 Envestra'!M44)*'Jul''13 Envestra'!M50/100)*'Jul''13 Envestra'!M42</f>
        <v>0</v>
      </c>
      <c r="L65" s="63"/>
    </row>
    <row r="66" spans="1:12" x14ac:dyDescent="0.15">
      <c r="A66" s="40" t="s">
        <v>612</v>
      </c>
      <c r="C66" s="59">
        <f>365*'Jul''13 Envestra'!E51/100</f>
        <v>228.13229999999999</v>
      </c>
      <c r="D66" s="59">
        <f>365*'Jul''13 Envestra'!F51/100</f>
        <v>213.7586</v>
      </c>
      <c r="E66" s="59">
        <f>365*'Jul''13 Envestra'!G51/100</f>
        <v>242.9075</v>
      </c>
      <c r="F66" s="59">
        <f>365*'Jul''13 Envestra'!H51/100</f>
        <v>229.14700000000002</v>
      </c>
      <c r="G66" s="59">
        <f>365*'Jul''13 Envestra'!I51/100</f>
        <v>247.32400000000001</v>
      </c>
      <c r="H66" s="59">
        <f>365*'Jul''13 Envestra'!J51/100</f>
        <v>236.52</v>
      </c>
      <c r="I66" s="59">
        <f>365*'Jul''13 Envestra'!K51/100</f>
        <v>200.75</v>
      </c>
      <c r="J66" s="59">
        <f>365*'Jul''13 Envestra'!L51/100</f>
        <v>221.42724999999999</v>
      </c>
      <c r="K66" s="59">
        <f>365*'Jul''13 Envestra'!M51/100</f>
        <v>212.39349999999999</v>
      </c>
      <c r="L66" s="60">
        <f>AVERAGE(C66:K66)</f>
        <v>225.81779444444444</v>
      </c>
    </row>
    <row r="67" spans="1:12" x14ac:dyDescent="0.15">
      <c r="A67" s="62" t="s">
        <v>613</v>
      </c>
      <c r="B67" s="63"/>
      <c r="C67" s="61">
        <f t="shared" ref="C67:H67" si="4">SUM(C60:C66)</f>
        <v>777.74733300000003</v>
      </c>
      <c r="D67" s="61">
        <f t="shared" si="4"/>
        <v>792.10869100000002</v>
      </c>
      <c r="E67" s="61">
        <f t="shared" si="4"/>
        <v>833.54843000000005</v>
      </c>
      <c r="F67" s="61">
        <f t="shared" si="4"/>
        <v>821.89260000000002</v>
      </c>
      <c r="G67" s="61">
        <f t="shared" si="4"/>
        <v>860.82624099999998</v>
      </c>
      <c r="H67" s="61">
        <f t="shared" si="4"/>
        <v>830.63284499999986</v>
      </c>
      <c r="I67" s="61">
        <f>SUM(I60:I66)</f>
        <v>760.15994999999998</v>
      </c>
      <c r="J67" s="61">
        <f>SUM(J60:J66)</f>
        <v>797.7766499999999</v>
      </c>
      <c r="K67" s="61">
        <f>SUM(K60:K66)</f>
        <v>789.18356000000006</v>
      </c>
      <c r="L67" s="64">
        <f>AVERAGE(C67:K67)</f>
        <v>807.09736666666674</v>
      </c>
    </row>
    <row r="69" spans="1:12" x14ac:dyDescent="0.15">
      <c r="A69" s="55" t="s">
        <v>489</v>
      </c>
    </row>
    <row r="71" spans="1:12" x14ac:dyDescent="0.15">
      <c r="A71" s="53" t="s">
        <v>1030</v>
      </c>
      <c r="C71" s="23" t="s">
        <v>1044</v>
      </c>
      <c r="D71" s="23" t="s">
        <v>591</v>
      </c>
      <c r="E71" s="23" t="s">
        <v>592</v>
      </c>
      <c r="F71" s="23" t="s">
        <v>544</v>
      </c>
      <c r="G71" s="23" t="s">
        <v>615</v>
      </c>
      <c r="H71" s="23" t="s">
        <v>546</v>
      </c>
      <c r="I71" s="23" t="s">
        <v>545</v>
      </c>
      <c r="J71" s="23" t="s">
        <v>486</v>
      </c>
      <c r="K71" s="23" t="s">
        <v>598</v>
      </c>
      <c r="L71" s="57" t="s">
        <v>601</v>
      </c>
    </row>
    <row r="72" spans="1:12" x14ac:dyDescent="0.15">
      <c r="A72" s="40" t="s">
        <v>602</v>
      </c>
      <c r="C72" s="59">
        <f>IF($F5*'Jul''13 SP'!E7/'Jul''13 SP'!E8&gt;='Jul''13 SP'!E11,('Jul''13 SP'!E11*'Jul''13 SP'!E13/100)*'Jul''13 SP'!E8,($F5*'Jul''13 SP'!E7/'Jul''13 SP'!E8*'Jul''13 SP'!E13/100)*'Jul''13 SP'!E8)</f>
        <v>196.88030999999998</v>
      </c>
      <c r="D72" s="59">
        <f>IF($F5*'Jul''13 SP'!F7/'Jul''13 SP'!F8&gt;='Jul''13 SP'!F11,('Jul''13 SP'!F11*'Jul''13 SP'!F13/100)*'Jul''13 SP'!F8,('Bills Jul''13'!$F5*'Jul''13 SP'!F7/'Jul''13 SP'!F8*'Jul''13 SP'!F13/100)*'Jul''13 SP'!F8)</f>
        <v>140.3776</v>
      </c>
      <c r="E72" s="59">
        <f>IF($F5*'Jul''13 SP'!G7/'Jul''13 SP'!G8&gt;='Jul''13 SP'!G11,('Jul''13 SP'!G11*'Jul''13 SP'!G13/100)*'Jul''13 SP'!G8,($F5*'Jul''13 SP'!G7/'Jul''13 SP'!G8*'Jul''13 SP'!G13/100)*'Jul''13 SP'!G8)</f>
        <v>208.97909999999999</v>
      </c>
      <c r="F72" s="59">
        <f>IF($F5*'Jul''13 SP'!H7/'Jul''13 SP'!H8&gt;='Jul''13 SP'!H11,('Jul''13 SP'!H11*'Jul''13 SP'!H13/100)*'Jul''13 SP'!H8,('Bills Jul''13'!$F5*'Jul''13 SP'!H7/'Jul''13 SP'!H8*'Jul''13 SP'!H13/100)*'Jul''13 SP'!H8)</f>
        <v>138.24</v>
      </c>
      <c r="G72" s="59">
        <f>IF($F5*'Jul''13 SP'!I7/'Jul''13 SP'!I8&gt;='Jul''13 SP'!I11,('Jul''13 SP'!I11*'Jul''13 SP'!I13/100)*'Jul''13 SP'!I8,('Bills Jul''13'!$F5*'Jul''13 SP'!I7/'Jul''13 SP'!I8*'Jul''13 SP'!I13/100)*'Jul''13 SP'!I8)</f>
        <v>143.4752</v>
      </c>
      <c r="H72" s="59">
        <f>IF($F5*'Jul''13 SP'!J7/'Jul''13 SP'!J8&gt;='Jul''13 SP'!J11,('Jul''13 SP'!J11*'Jul''13 SP'!J13/100)*'Jul''13 SP'!J8,('Bills Jul''13'!$F5*'Jul''13 SP'!J7/'Jul''13 SP'!J8*'Jul''13 SP'!J13/100)*'Jul''13 SP'!J8)</f>
        <v>129.44640000000001</v>
      </c>
      <c r="I72" s="59">
        <f>IF($F5*'Jul''13 SP'!K7/'Jul''13 SP'!K8&gt;='Jul''13 SP'!K11,('Jul''13 SP'!K11*'Jul''13 SP'!K13/100)*'Jul''13 SP'!K8,('Bills Jul''13'!$F5*'Jul''13 SP'!K7/'Jul''13 SP'!K8*'Jul''13 SP'!K13/100)*'Jul''13 SP'!K8)</f>
        <v>137.28</v>
      </c>
      <c r="J72" s="59">
        <f>IF($F5*'Jul''13 SP'!L7/'Jul''13 SP'!L8&gt;='Jul''13 SP'!L11,('Jul''13 SP'!L11*'Jul''13 SP'!L13/100)*'Jul''13 SP'!L8,('Bills Jul''13'!$F5*'Jul''13 SP'!L7/'Jul''13 SP'!L8*'Jul''13 SP'!L13/100)*'Jul''13 SP'!L8)</f>
        <v>132.352</v>
      </c>
      <c r="K72" s="59">
        <f>IF($F5*'Jul''13 SP'!M7/'Jul''13 SP'!M8&gt;='Jul''13 SP'!M11,('Jul''13 SP'!M11*'Jul''13 SP'!M13/100)*'Jul''13 SP'!M8,('Bills Jul''13'!$F5*'Jul''13 SP'!M7/'Jul''13 SP'!M8*'Jul''13 SP'!M13/100)*'Jul''13 SP'!M8)</f>
        <v>137.28</v>
      </c>
      <c r="L72" s="63"/>
    </row>
    <row r="73" spans="1:12" x14ac:dyDescent="0.15">
      <c r="A73" s="40" t="s">
        <v>603</v>
      </c>
      <c r="C73" s="59">
        <f>IF($F5*'Jul''13 SP'!E7/'Jul''13 SP'!E8&lt;'Jul''13 SP'!E11,0,IF($F5*'Jul''13 SP'!E7/'Jul''13 SP'!E8&lt;='Jul''13 SP'!E12,($F5*'Jul''13 SP'!E7/'Jul''13 SP'!E8-'Jul''13 SP'!E11)*('Jul''13 SP'!E14/100)*'Jul''13 SP'!E8,('Jul''13 SP'!E12-'Jul''13 SP'!E11)*('Jul''13 SP'!E14/100)*'Jul''13 SP'!E8))</f>
        <v>0</v>
      </c>
      <c r="D73" s="59">
        <v>0</v>
      </c>
      <c r="E73" s="59">
        <f>IF($F5*'Jul''13 SP'!G7/'Jul''13 SP'!G8&lt;'Jul''13 SP'!G11,0,IF($F5*'Jul''13 SP'!G7/'Jul''13 SP'!G8&lt;='Jul''13 SP'!G12,($F5*'Jul''13 SP'!G7/'Jul''13 SP'!G8-'Jul''13 SP'!G11)*('Jul''13 SP'!G14/100)*'Jul''13 SP'!G8,('Jul''13 SP'!G12-'Jul''13 SP'!G11)*('Jul''13 SP'!G14/100)*'Jul''13 SP'!G8))</f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63"/>
    </row>
    <row r="74" spans="1:12" x14ac:dyDescent="0.15">
      <c r="A74" s="40" t="s">
        <v>606</v>
      </c>
      <c r="C74" s="59">
        <f>IF(($F5*'Jul''13 SP'!E7/'Jul''13 SP'!E8&gt;'Jul''13 SP'!E12),($F5*'Jul''13 SP'!E7/'Jul''13 SP'!E8-'Jul''13 SP'!E12)*'Jul''13 SP'!E15/100*'Jul''13 SP'!E8,0)</f>
        <v>0</v>
      </c>
      <c r="D74" s="59">
        <f>IF(($F5*'Jul''13 SP'!F7/'Jul''13 SP'!F8&gt;'Jul''13 SP'!F11),('Bills Jul''13'!$F5*'Jul''13 SP'!F7/'Jul''13 SP'!F8-'Jul''13 SP'!F11)*'Jul''13 SP'!F15/100)*'Jul''13 SP'!F8</f>
        <v>68.053491000000008</v>
      </c>
      <c r="E74" s="59">
        <f>IF(($F5*'Jul''13 SP'!G7/'Jul''13 SP'!G8&gt;'Jul''13 SP'!G12),($F5*'Jul''13 SP'!G7/'Jul''13 SP'!G8-'Jul''13 SP'!G12)*'Jul''13 SP'!G15/100*'Jul''13 SP'!G8,0)</f>
        <v>0</v>
      </c>
      <c r="F74" s="59">
        <f>IF(($F5*'Jul''13 SP'!H7/'Jul''13 SP'!H8&gt;'Jul''13 SP'!H11),('Bills Jul''13'!$F5*'Jul''13 SP'!H7/'Jul''13 SP'!H8-'Jul''13 SP'!H11)*'Jul''13 SP'!H15/100)*'Jul''13 SP'!H8</f>
        <v>71.260199999999998</v>
      </c>
      <c r="G74" s="59">
        <f>IF(($F5*'Jul''13 SP'!I7/'Jul''13 SP'!I8&gt;'Jul''13 SP'!I11),('Bills Jul''13'!$F5*'Jul''13 SP'!I7/'Jul''13 SP'!I8-'Jul''13 SP'!I11)*'Jul''13 SP'!I15/100)*'Jul''13 SP'!I8</f>
        <v>71.181021999999999</v>
      </c>
      <c r="H74" s="59">
        <f>IF(($F5*'Jul''13 SP'!J7/'Jul''13 SP'!J8&gt;'Jul''13 SP'!J11),('Bills Jul''13'!$F5*'Jul''13 SP'!J7/'Jul''13 SP'!J8-'Jul''13 SP'!J11)*'Jul''13 SP'!J15/100)*'Jul''13 SP'!J8</f>
        <v>67.380477999999997</v>
      </c>
      <c r="I74" s="59">
        <f>IF(($F5*'Jul''13 SP'!K7/'Jul''13 SP'!K8&gt;'Jul''13 SP'!K11),('Bills Jul''13'!$F5*'Jul''13 SP'!K7/'Jul''13 SP'!K8-'Jul''13 SP'!K11)*'Jul''13 SP'!K15/100)*'Jul''13 SP'!K8</f>
        <v>65.321849999999998</v>
      </c>
      <c r="J74" s="59">
        <f>IF(($F5*'Jul''13 SP'!L7/'Jul''13 SP'!L8&gt;'Jul''13 SP'!L11),('Bills Jul''13'!$F5*'Jul''13 SP'!L7/'Jul''13 SP'!L8-'Jul''13 SP'!L11)*'Jul''13 SP'!L15/100)*'Jul''13 SP'!L8</f>
        <v>66.113630000000001</v>
      </c>
      <c r="K74" s="59">
        <f>IF(($F5*'Jul''13 SP'!M7/'Jul''13 SP'!M8&gt;'Jul''13 SP'!M11),('Bills Jul''13'!$F5*'Jul''13 SP'!M7/'Jul''13 SP'!M8-'Jul''13 SP'!M11)*'Jul''13 SP'!M15/100)*'Jul''13 SP'!M8</f>
        <v>68.884860000000003</v>
      </c>
      <c r="L74" s="63"/>
    </row>
    <row r="75" spans="1:12" x14ac:dyDescent="0.15">
      <c r="A75" s="40" t="s">
        <v>607</v>
      </c>
      <c r="C75" s="59">
        <f>IF($F5*'Jul''13 SP'!E9/'Jul''13 SP'!E10&gt;='Jul''13 SP'!E11,('Jul''13 SP'!E11*'Jul''13 SP'!E16/100)*'Jul''13 SP'!E10,($F5*'Jul''13 SP'!E9/'Jul''13 SP'!E10*'Jul''13 SP'!E16/100)*'Jul''13 SP'!E10)</f>
        <v>335.68642800000003</v>
      </c>
      <c r="D75" s="59">
        <f>IF($F5*'Jul''13 SP'!F9/'Jul''13 SP'!F10&gt;='Jul''13 SP'!F11,('Jul''13 SP'!F11*'Jul''13 SP'!F16/100)*'Jul''13 SP'!F10,('Bills Jul''13'!$F5*'Jul''13 SP'!F9/'Jul''13 SP'!F10*'Jul''13 SP'!F16/100)*'Jul''13 SP'!F10)</f>
        <v>230.34880000000001</v>
      </c>
      <c r="E75" s="59">
        <f>IF($F5*'Jul''13 SP'!G9/'Jul''13 SP'!G10&gt;='Jul''13 SP'!G11,('Jul''13 SP'!G11*'Jul''13 SP'!G16/100)*'Jul''13 SP'!G10,($F5*'Jul''13 SP'!G9/'Jul''13 SP'!G10*'Jul''13 SP'!G16/100)*'Jul''13 SP'!G10)</f>
        <v>365.16347999999999</v>
      </c>
      <c r="F75" s="59">
        <f>IF($F5*'Jul''13 SP'!H9/'Jul''13 SP'!H10&gt;='Jul''13 SP'!H11,('Jul''13 SP'!H11*'Jul''13 SP'!H16/100)*'Jul''13 SP'!H10,('Bills Jul''13'!$F5*'Jul''13 SP'!H9/'Jul''13 SP'!H10*'Jul''13 SP'!H16/100)*'Jul''13 SP'!H10)</f>
        <v>248.32</v>
      </c>
      <c r="G75" s="59">
        <f>IF($F5*'Jul''13 SP'!I9/'Jul''13 SP'!I10&gt;='Jul''13 SP'!I11,('Jul''13 SP'!I11*'Jul''13 SP'!I16/100)*'Jul''13 SP'!I10,('Bills Jul''13'!$F5*'Jul''13 SP'!I9/'Jul''13 SP'!I10*'Jul''13 SP'!I16/100)*'Jul''13 SP'!I10)</f>
        <v>244.00640000000004</v>
      </c>
      <c r="H75" s="59">
        <f>IF($F5*'Jul''13 SP'!J9/'Jul''13 SP'!J10&gt;='Jul''13 SP'!J11,('Jul''13 SP'!J11*'Jul''13 SP'!J16/100)*'Jul''13 SP'!J10,('Bills Jul''13'!$F5*'Jul''13 SP'!J9/'Jul''13 SP'!J10*'Jul''13 SP'!J16/100)*'Jul''13 SP'!J10)</f>
        <v>228.00640000000004</v>
      </c>
      <c r="I75" s="59">
        <f>IF($F5*'Jul''13 SP'!K9/'Jul''13 SP'!K10&gt;='Jul''13 SP'!K11,('Jul''13 SP'!K11*'Jul''13 SP'!K16/100)*'Jul''13 SP'!K10,('Bills Jul''13'!$F5*'Jul''13 SP'!K9/'Jul''13 SP'!K10*'Jul''13 SP'!K16/100)*'Jul''13 SP'!K10)</f>
        <v>229.50399999999999</v>
      </c>
      <c r="J75" s="59">
        <f>IF($F5*'Jul''13 SP'!L9/'Jul''13 SP'!L10&gt;='Jul''13 SP'!L11,('Jul''13 SP'!L11*'Jul''13 SP'!L16/100)*'Jul''13 SP'!L10,('Bills Jul''13'!$F5*'Jul''13 SP'!L9/'Jul''13 SP'!L10*'Jul''13 SP'!L16/100)*'Jul''13 SP'!L10)</f>
        <v>226.68799999999999</v>
      </c>
      <c r="K75" s="59">
        <f>IF($F5*'Jul''13 SP'!M9/'Jul''13 SP'!M10&gt;='Jul''13 SP'!M11,('Jul''13 SP'!M11*'Jul''13 SP'!M16/100)*'Jul''13 SP'!M10,('Bills Jul''13'!$F5*'Jul''13 SP'!M9/'Jul''13 SP'!M10*'Jul''13 SP'!M16/100)*'Jul''13 SP'!M10)</f>
        <v>244.99200000000002</v>
      </c>
      <c r="L75" s="63"/>
    </row>
    <row r="76" spans="1:12" x14ac:dyDescent="0.15">
      <c r="A76" s="40" t="s">
        <v>608</v>
      </c>
      <c r="C76" s="59">
        <f>IF($F5*'Jul''13 SP'!E9/'Jul''13 SP'!E10&lt;'Jul''13 SP'!E11,0,IF($F5*'Jul''13 SP'!E9/'Jul''13 SP'!E10&lt;='Jul''13 SP'!E12,($F5*'Jul''13 SP'!E9/'Jul''13 SP'!E10-'Jul''13 SP'!E11)*('Jul''13 SP'!E17/100)*'Jul''13 SP'!E10,('Jul''13 SP'!E12-'Jul''13 SP'!E11)*('Jul''13 SP'!E17/100)*'Jul''13 SP'!E10))</f>
        <v>0</v>
      </c>
      <c r="D76" s="59">
        <v>0</v>
      </c>
      <c r="E76" s="59">
        <f>IF($F5*'Jul''13 SP'!G9/'Jul''13 SP'!G10&lt;'Jul''13 SP'!G11,0,IF($F5*'Jul''13 SP'!G9/'Jul''13 SP'!G10&lt;='Jul''13 SP'!G12,($F5*'Jul''13 SP'!G9/'Jul''13 SP'!G10-'Jul''13 SP'!G11)*('Jul''13 SP'!G17/100)*'Jul''13 SP'!G10,('Jul''13 SP'!G12-'Jul''13 SP'!G11)*('Jul''13 SP'!G17/100)*'Jul''13 SP'!G10))</f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63"/>
    </row>
    <row r="77" spans="1:12" x14ac:dyDescent="0.15">
      <c r="A77" s="40" t="s">
        <v>611</v>
      </c>
      <c r="C77" s="59">
        <f>IF(($F5*'Jul''13 SP'!E9/'Jul''13 SP'!E10&gt;'Jul''13 SP'!E12),($F5*'Jul''13 SP'!E9/'Jul''13 SP'!E10-'Jul''13 SP'!E12)*'Jul''13 SP'!E18/100*'Jul''13 SP'!E10,0)</f>
        <v>0</v>
      </c>
      <c r="D77" s="59">
        <f>IF(($F5*'Jul''13 SP'!F9/'Jul''13 SP'!F10&gt;'Jul''13 SP'!F11),('Bills Jul''13'!$F5*'Jul''13 SP'!F9/'Jul''13 SP'!F10-'Jul''13 SP'!F11)*'Jul''13 SP'!F18/100)*'Jul''13 SP'!F10</f>
        <v>114.17467600000001</v>
      </c>
      <c r="E77" s="59">
        <f>IF(($F5*'Jul''13 SP'!G9/'Jul''13 SP'!G10&gt;'Jul''13 SP'!G12),($F5*'Jul''13 SP'!G9/'Jul''13 SP'!G10-'Jul''13 SP'!G12)*'Jul''13 SP'!G18/100*'Jul''13 SP'!G10,0)</f>
        <v>0</v>
      </c>
      <c r="F77" s="59">
        <f>IF(($F5*'Jul''13 SP'!H9/'Jul''13 SP'!H10&gt;'Jul''13 SP'!H11),('Bills Jul''13'!$F5*'Jul''13 SP'!H9/'Jul''13 SP'!H10-'Jul''13 SP'!H11)*'Jul''13 SP'!H18/100)*'Jul''13 SP'!H10</f>
        <v>124.52539999999999</v>
      </c>
      <c r="G77" s="59">
        <f>IF(($F5*'Jul''13 SP'!I9/'Jul''13 SP'!I10&gt;'Jul''13 SP'!I11),('Bills Jul''13'!$F5*'Jul''13 SP'!I9/'Jul''13 SP'!I10-'Jul''13 SP'!I11)*'Jul''13 SP'!I18/100)*'Jul''13 SP'!I10</f>
        <v>120.90480599999999</v>
      </c>
      <c r="H77" s="59">
        <f>IF(($F5*'Jul''13 SP'!J9/'Jul''13 SP'!J10&gt;'Jul''13 SP'!J11),('Bills Jul''13'!$F5*'Jul''13 SP'!J9/'Jul''13 SP'!J10-'Jul''13 SP'!J11)*'Jul''13 SP'!J18/100)*'Jul''13 SP'!J10</f>
        <v>115.04563400000001</v>
      </c>
      <c r="I77" s="59">
        <f>IF(($F5*'Jul''13 SP'!K9/'Jul''13 SP'!K10&gt;'Jul''13 SP'!K11),('Bills Jul''13'!$F5*'Jul''13 SP'!K9/'Jul''13 SP'!K10-'Jul''13 SP'!K11)*'Jul''13 SP'!K18/100)*'Jul''13 SP'!K10</f>
        <v>110.8492</v>
      </c>
      <c r="J77" s="59">
        <f>IF(($F5*'Jul''13 SP'!L9/'Jul''13 SP'!L10&gt;'Jul''13 SP'!L11),('Bills Jul''13'!$F5*'Jul''13 SP'!L9/'Jul''13 SP'!L10-'Jul''13 SP'!L11)*'Jul''13 SP'!L18/100)*'Jul''13 SP'!L10</f>
        <v>114.01632000000001</v>
      </c>
      <c r="K77" s="59">
        <f>IF(($F5*'Jul''13 SP'!M9/'Jul''13 SP'!M10&gt;'Jul''13 SP'!M11),('Bills Jul''13'!$F5*'Jul''13 SP'!M9/'Jul''13 SP'!M10-'Jul''13 SP'!M11)*'Jul''13 SP'!M18/100)*'Jul''13 SP'!M10</f>
        <v>121.14234</v>
      </c>
      <c r="L77" s="63"/>
    </row>
    <row r="78" spans="1:12" x14ac:dyDescent="0.15">
      <c r="A78" s="40" t="s">
        <v>612</v>
      </c>
      <c r="C78" s="59">
        <f>365*'Jul''13 SP'!E19/100</f>
        <v>211.14884999999998</v>
      </c>
      <c r="D78" s="59">
        <f>365*'Jul''13 SP'!F19/100</f>
        <v>206.0498</v>
      </c>
      <c r="E78" s="59">
        <f>365*'Jul''13 SP'!G19/100</f>
        <v>212.79499999999999</v>
      </c>
      <c r="F78" s="59">
        <f>365*'Jul''13 SP'!H19/100</f>
        <v>216.9195</v>
      </c>
      <c r="G78" s="59">
        <f>365*'Jul''13 SP'!I19/100</f>
        <v>229.65799999999999</v>
      </c>
      <c r="H78" s="59">
        <f>365*'Jul''13 SP'!J19/100</f>
        <v>212.357</v>
      </c>
      <c r="I78" s="59">
        <f>365*'Jul''13 SP'!K19/100</f>
        <v>184.69</v>
      </c>
      <c r="J78" s="59">
        <f>365*'Jul''13 SP'!L19/100</f>
        <v>204.40364999999997</v>
      </c>
      <c r="K78" s="59">
        <f>365*'Jul''13 SP'!M19/100</f>
        <v>208.37850000000003</v>
      </c>
      <c r="L78" s="60">
        <f>AVERAGE(C78:K78)</f>
        <v>209.60003333333333</v>
      </c>
    </row>
    <row r="79" spans="1:12" x14ac:dyDescent="0.15">
      <c r="A79" s="62" t="s">
        <v>613</v>
      </c>
      <c r="B79" s="63"/>
      <c r="C79" s="61">
        <f t="shared" ref="C79:H79" si="5">SUM(C72:C78)</f>
        <v>743.71558800000003</v>
      </c>
      <c r="D79" s="61">
        <f t="shared" si="5"/>
        <v>759.004367</v>
      </c>
      <c r="E79" s="61">
        <f t="shared" si="5"/>
        <v>786.93757999999991</v>
      </c>
      <c r="F79" s="61">
        <f t="shared" si="5"/>
        <v>799.26509999999996</v>
      </c>
      <c r="G79" s="61">
        <f t="shared" si="5"/>
        <v>809.22542800000008</v>
      </c>
      <c r="H79" s="61">
        <f t="shared" si="5"/>
        <v>752.2359120000001</v>
      </c>
      <c r="I79" s="61">
        <f>SUM(I72:I78)</f>
        <v>727.64505000000008</v>
      </c>
      <c r="J79" s="61">
        <f>SUM(J72:J78)</f>
        <v>743.57359999999994</v>
      </c>
      <c r="K79" s="61">
        <f>SUM(K72:K78)</f>
        <v>780.67770000000007</v>
      </c>
      <c r="L79" s="64">
        <f>AVERAGE(C79:K79)</f>
        <v>766.92003611111113</v>
      </c>
    </row>
    <row r="81" spans="1:12" x14ac:dyDescent="0.15">
      <c r="A81" s="53" t="s">
        <v>1032</v>
      </c>
      <c r="C81" s="23" t="s">
        <v>1044</v>
      </c>
      <c r="D81" s="23" t="s">
        <v>591</v>
      </c>
      <c r="E81" s="23" t="s">
        <v>592</v>
      </c>
      <c r="F81" s="23" t="s">
        <v>544</v>
      </c>
      <c r="G81" s="23" t="s">
        <v>615</v>
      </c>
      <c r="H81" s="23" t="s">
        <v>546</v>
      </c>
      <c r="I81" s="23" t="s">
        <v>545</v>
      </c>
      <c r="J81" s="23" t="s">
        <v>597</v>
      </c>
      <c r="K81" s="23" t="s">
        <v>598</v>
      </c>
      <c r="L81" s="57" t="s">
        <v>601</v>
      </c>
    </row>
    <row r="82" spans="1:12" x14ac:dyDescent="0.15">
      <c r="A82" s="40" t="s">
        <v>602</v>
      </c>
      <c r="C82" s="59">
        <f>IF($F5*'Jul''13 SP'!E23/'Jul''13 SP'!E24&gt;='Jul''13 SP'!E27,('Jul''13 SP'!E27*'Jul''13 SP'!E29/100)*'Jul''13 SP'!E24,($F5*'Jul''13 SP'!E23/'Jul''13 SP'!E24*'Jul''13 SP'!E29/100)*'Jul''13 SP'!E24)</f>
        <v>211.83881399999999</v>
      </c>
      <c r="D82" s="59">
        <f>IF($F5*'Jul''13 SP'!F23/'Jul''13 SP'!F24&gt;='Jul''13 SP'!F27,('Jul''13 SP'!F27*'Jul''13 SP'!F29/100)*'Jul''13 SP'!F24,('Bills Jul''13'!$F5*'Jul''13 SP'!F23/'Jul''13 SP'!F24*'Jul''13 SP'!F29/100)*'Jul''13 SP'!F24)</f>
        <v>169.554</v>
      </c>
      <c r="E82" s="59">
        <f>IF($F5*'Jul''13 SP'!G23/'Jul''13 SP'!G24&gt;='Jul''13 SP'!G27,('Jul''13 SP'!G27*'Jul''13 SP'!G29/100)*'Jul''13 SP'!G24,($F5*'Jul''13 SP'!G23/'Jul''13 SP'!G24*'Jul''13 SP'!G29/100)*'Jul''13 SP'!G24)</f>
        <v>224.37756000000002</v>
      </c>
      <c r="F82" s="59">
        <f>IF($F5*'Jul''13 SP'!H23/'Jul''13 SP'!H24&gt;='Jul''13 SP'!H27,('Jul''13 SP'!H27*'Jul''13 SP'!H29/100)*'Jul''13 SP'!H24,('Bills Jul''13'!$F5*'Jul''13 SP'!H23/'Jul''13 SP'!H24*'Jul''13 SP'!H29/100)*'Jul''13 SP'!H24)</f>
        <v>160.99999999999997</v>
      </c>
      <c r="G82" s="59">
        <f>IF($F5*'Jul''13 SP'!I23/'Jul''13 SP'!I24&gt;='Jul''13 SP'!I27,('Jul''13 SP'!I27*'Jul''13 SP'!I29/100)*'Jul''13 SP'!I24,('Bills Jul''13'!$F5*'Jul''13 SP'!I23/'Jul''13 SP'!I24*'Jul''13 SP'!I29/100)*'Jul''13 SP'!I24)</f>
        <v>164.39500000000001</v>
      </c>
      <c r="H82" s="59">
        <f>IF($F5*'Jul''13 SP'!J23/'Jul''13 SP'!J24&gt;='Jul''13 SP'!J27,('Jul''13 SP'!J27*'Jul''13 SP'!J29/100)*'Jul''13 SP'!J24,('Bills Jul''13'!$F5*'Jul''13 SP'!J23/'Jul''13 SP'!J24*'Jul''13 SP'!J29/100)*'Jul''13 SP'!J24)</f>
        <v>155.995</v>
      </c>
      <c r="I82" s="59">
        <f>IF($F5*'Jul''13 SP'!K23/'Jul''13 SP'!K24&gt;='Jul''13 SP'!K27,('Jul''13 SP'!K27*'Jul''13 SP'!K29/100)*'Jul''13 SP'!K24,('Bills Jul''13'!$F5*'Jul''13 SP'!K23/'Jul''13 SP'!K24*'Jul''13 SP'!K29/100)*'Jul''13 SP'!K24)</f>
        <v>165.55</v>
      </c>
      <c r="J82" s="59">
        <f>IF($F5*'Jul''13 SP'!L23/'Jul''13 SP'!L24&gt;='Jul''13 SP'!L27,('Jul''13 SP'!L27*'Jul''13 SP'!L29/100)*'Jul''13 SP'!L24,('Bills Jul''13'!$F5*'Jul''13 SP'!L23/'Jul''13 SP'!L24*'Jul''13 SP'!L29/100)*'Jul''13 SP'!L24)</f>
        <v>159.39000000000001</v>
      </c>
      <c r="K82" s="59">
        <f>IF($F5*'Jul''13 SP'!M23/'Jul''13 SP'!M24&gt;='Jul''13 SP'!M27,('Jul''13 SP'!M27*'Jul''13 SP'!M29/100)*'Jul''13 SP'!M24,('Bills Jul''13'!$F5*'Jul''13 SP'!M23/'Jul''13 SP'!M24*'Jul''13 SP'!M29/100)*'Jul''13 SP'!M24)</f>
        <v>153.22999999999999</v>
      </c>
      <c r="L82" s="63"/>
    </row>
    <row r="83" spans="1:12" x14ac:dyDescent="0.15">
      <c r="A83" s="40" t="s">
        <v>603</v>
      </c>
      <c r="C83" s="59">
        <f>IF($F5*'Jul''13 SP'!E23/'Jul''13 SP'!E24&lt;'Jul''13 SP'!E27,0,IF($F5*'Jul''13 SP'!E23/'Jul''13 SP'!E24&lt;='Jul''13 SP'!E28,($F5*'Jul''13 SP'!E23/'Jul''13 SP'!E24-'Jul''13 SP'!E27)*('Jul''13 SP'!E30/100)*'Jul''13 SP'!E24,('Jul''13 SP'!E28-'Jul''13 SP'!E27)*('Jul''13 SP'!E30/100)*'Jul''13 SP'!E24))</f>
        <v>0</v>
      </c>
      <c r="D83" s="59">
        <v>0</v>
      </c>
      <c r="E83" s="59">
        <f>IF($F5*'Jul''13 SP'!G23/'Jul''13 SP'!G24&lt;'Jul''13 SP'!G27,0,IF($F5*'Jul''13 SP'!G23/'Jul''13 SP'!G24&lt;='Jul''13 SP'!G28,($F5*'Jul''13 SP'!G23/'Jul''13 SP'!G24-'Jul''13 SP'!G27)*('Jul''13 SP'!G30/100)*'Jul''13 SP'!G24,('Jul''13 SP'!G28-'Jul''13 SP'!G27)*('Jul''13 SP'!G30/100)*'Jul''13 SP'!G24))</f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63"/>
    </row>
    <row r="84" spans="1:12" x14ac:dyDescent="0.15">
      <c r="A84" s="40" t="s">
        <v>606</v>
      </c>
      <c r="C84" s="59">
        <f>IF(($F5*'Jul''13 SP'!E23/'Jul''13 SP'!E24&gt;'Jul''13 SP'!E28),($F5*'Jul''13 SP'!E23/'Jul''13 SP'!E24-'Jul''13 SP'!E28)*'Jul''13 SP'!E31/100*'Jul''13 SP'!E24,0)</f>
        <v>0</v>
      </c>
      <c r="D84" s="59">
        <f>IF(($F5*'Jul''13 SP'!F23/'Jul''13 SP'!F24&lt;'Jul''13 SP'!F27),(0),('Bills Jul''13'!$F5*'Jul''13 SP'!F23/'Jul''13 SP'!F24-'Jul''13 SP'!F27)*'Jul''13 SP'!F31/100)*'Jul''13 SP'!F24</f>
        <v>58.192595999999995</v>
      </c>
      <c r="E84" s="59">
        <f>IF(($F5*'Jul''13 SP'!G23/'Jul''13 SP'!G24&gt;'Jul''13 SP'!G28),($F5*'Jul''13 SP'!G23/'Jul''13 SP'!G24-'Jul''13 SP'!G28)*'Jul''13 SP'!G31/100*'Jul''13 SP'!G24,0)</f>
        <v>0</v>
      </c>
      <c r="F84" s="59">
        <f>IF(($F5*'Jul''13 SP'!H23/'Jul''13 SP'!H24&lt;'Jul''13 SP'!H27),(0),('Bills Jul''13'!$F5*'Jul''13 SP'!H23/'Jul''13 SP'!H24-'Jul''13 SP'!H27)*'Jul''13 SP'!H31/100)*'Jul''13 SP'!H24</f>
        <v>62.979000000000006</v>
      </c>
      <c r="G84" s="59">
        <f>IF(($F5*'Jul''13 SP'!I23/'Jul''13 SP'!I24&lt;'Jul''13 SP'!I27),(0),('Bills Jul''13'!$F5*'Jul''13 SP'!I23/'Jul''13 SP'!I24-'Jul''13 SP'!I27)*'Jul''13 SP'!I31/100)*'Jul''13 SP'!I24</f>
        <v>62.745078000000007</v>
      </c>
      <c r="H84" s="59">
        <f>IF(($F5*'Jul''13 SP'!J23/'Jul''13 SP'!J24&lt;'Jul''13 SP'!J27),(0),('Bills Jul''13'!$F5*'Jul''13 SP'!J23/'Jul''13 SP'!J24-'Jul''13 SP'!J27)*'Jul''13 SP'!J31/100)*'Jul''13 SP'!J24</f>
        <v>59.290230000000001</v>
      </c>
      <c r="I84" s="59">
        <f>IF(($F5*'Jul''13 SP'!K23/'Jul''13 SP'!K24&lt;'Jul''13 SP'!K27),(0),('Bills Jul''13'!$F5*'Jul''13 SP'!K23/'Jul''13 SP'!K24-'Jul''13 SP'!K27)*'Jul''13 SP'!K31/100)*'Jul''13 SP'!K24</f>
        <v>54.431849999999997</v>
      </c>
      <c r="J84" s="59">
        <f>IF(($F5*'Jul''13 SP'!L23/'Jul''13 SP'!L24&lt;'Jul''13 SP'!L27),(0),('Bills Jul''13'!$F5*'Jul''13 SP'!L23/'Jul''13 SP'!L24-'Jul''13 SP'!L27)*'Jul''13 SP'!L31/100)*'Jul''13 SP'!L24</f>
        <v>54.761740000000003</v>
      </c>
      <c r="K84" s="59">
        <f>IF(($F5*'Jul''13 SP'!M23/'Jul''13 SP'!M24&lt;'Jul''13 SP'!M27),(0),('Bills Jul''13'!$F5*'Jul''13 SP'!M23/'Jul''13 SP'!M24-'Jul''13 SP'!M27)*'Jul''13 SP'!M31/100)*'Jul''13 SP'!M24</f>
        <v>57.400859999999994</v>
      </c>
      <c r="L84" s="63"/>
    </row>
    <row r="85" spans="1:12" x14ac:dyDescent="0.15">
      <c r="A85" s="40" t="s">
        <v>607</v>
      </c>
      <c r="C85" s="59">
        <f>IF($F5*'Jul''13 SP'!E25/'Jul''13 SP'!E26&gt;='Jul''13 SP'!E27,('Jul''13 SP'!E27*'Jul''13 SP'!E32/100)*'Jul''13 SP'!E26,($F5*'Jul''13 SP'!E25/'Jul''13 SP'!E26*'Jul''13 SP'!E32/100)*'Jul''13 SP'!E26)</f>
        <v>378.36216000000002</v>
      </c>
      <c r="D85" s="59">
        <f>IF($F5*'Jul''13 SP'!F25/'Jul''13 SP'!F26&gt;='Jul''13 SP'!F27,('Jul''13 SP'!F27*'Jul''13 SP'!F32/100)*'Jul''13 SP'!F26,('Bills Jul''13'!$F5*'Jul''13 SP'!F25/'Jul''13 SP'!F26*'Jul''13 SP'!F32/100)*'Jul''13 SP'!F26)</f>
        <v>268.26799999999997</v>
      </c>
      <c r="E85" s="59">
        <f>IF($F5*'Jul''13 SP'!G25/'Jul''13 SP'!G26&gt;='Jul''13 SP'!G27,('Jul''13 SP'!G27*'Jul''13 SP'!G32/100)*'Jul''13 SP'!G26,($F5*'Jul''13 SP'!G25/'Jul''13 SP'!G26*'Jul''13 SP'!G32/100)*'Jul''13 SP'!G26)</f>
        <v>389.36106000000001</v>
      </c>
      <c r="F85" s="59">
        <f>IF($F5*'Jul''13 SP'!H25/'Jul''13 SP'!H26&gt;='Jul''13 SP'!H27,('Jul''13 SP'!H27*'Jul''13 SP'!H32/100)*'Jul''13 SP'!H26,('Bills Jul''13'!$F5*'Jul''13 SP'!H25/'Jul''13 SP'!H26*'Jul''13 SP'!H32/100)*'Jul''13 SP'!H26)</f>
        <v>277.2</v>
      </c>
      <c r="G85" s="59">
        <f>IF($F5*'Jul''13 SP'!I25/'Jul''13 SP'!I26&gt;='Jul''13 SP'!I27,('Jul''13 SP'!I27*'Jul''13 SP'!I32/100)*'Jul''13 SP'!I26,('Bills Jul''13'!$F5*'Jul''13 SP'!I25/'Jul''13 SP'!I26*'Jul''13 SP'!I32/100)*'Jul''13 SP'!I26)</f>
        <v>269.80799999999999</v>
      </c>
      <c r="H85" s="59">
        <f>IF($F5*'Jul''13 SP'!J25/'Jul''13 SP'!J26&gt;='Jul''13 SP'!J27,('Jul''13 SP'!J27*'Jul''13 SP'!J32/100)*'Jul''13 SP'!J26,('Bills Jul''13'!$F5*'Jul''13 SP'!J25/'Jul''13 SP'!J26*'Jul''13 SP'!J32/100)*'Jul''13 SP'!J26)</f>
        <v>274.94599999999997</v>
      </c>
      <c r="I85" s="59">
        <f>IF($F5*'Jul''13 SP'!K25/'Jul''13 SP'!K26&gt;='Jul''13 SP'!K27,('Jul''13 SP'!K27*'Jul''13 SP'!K32/100)*'Jul''13 SP'!K26,('Bills Jul''13'!$F5*'Jul''13 SP'!K25/'Jul''13 SP'!K26*'Jul''13 SP'!K32/100)*'Jul''13 SP'!K26)</f>
        <v>275.66000000000003</v>
      </c>
      <c r="J85" s="59">
        <f>IF($F5*'Jul''13 SP'!L25/'Jul''13 SP'!L26&gt;='Jul''13 SP'!L27,('Jul''13 SP'!L27*'Jul''13 SP'!L32/100)*'Jul''13 SP'!L26,('Bills Jul''13'!$F5*'Jul''13 SP'!L25/'Jul''13 SP'!L26*'Jul''13 SP'!L32/100)*'Jul''13 SP'!L26)</f>
        <v>280.27999999999997</v>
      </c>
      <c r="K85" s="59">
        <f>IF($F5*'Jul''13 SP'!M25/'Jul''13 SP'!M26&gt;='Jul''13 SP'!M27,('Jul''13 SP'!M27*'Jul''13 SP'!M32/100)*'Jul''13 SP'!M26,('Bills Jul''13'!$F5*'Jul''13 SP'!M25/'Jul''13 SP'!M26*'Jul''13 SP'!M32/100)*'Jul''13 SP'!M26)</f>
        <v>267.95999999999998</v>
      </c>
      <c r="L85" s="63"/>
    </row>
    <row r="86" spans="1:12" x14ac:dyDescent="0.15">
      <c r="A86" s="40" t="s">
        <v>608</v>
      </c>
      <c r="C86" s="59">
        <f>IF($F5*'Jul''13 SP'!E25/'Jul''13 SP'!E26&lt;'Jul''13 SP'!E27,0,IF($F5*'Jul''13 SP'!E25/'Jul''13 SP'!E26&lt;='Jul''13 SP'!E28,($F5*'Jul''13 SP'!E25/'Jul''13 SP'!E26-'Jul''13 SP'!E27)*('Jul''13 SP'!E33/100)*'Jul''13 SP'!E26,('Jul''13 SP'!E28-'Jul''13 SP'!E27)*('Jul''13 SP'!E33/100)*'Jul''13 SP'!E26))</f>
        <v>0</v>
      </c>
      <c r="D86" s="59">
        <v>0</v>
      </c>
      <c r="E86" s="59">
        <f>IF($F5*'Jul''13 SP'!G25/'Jul''13 SP'!G26&lt;'Jul''13 SP'!G27,0,IF($F5*'Jul''13 SP'!G25/'Jul''13 SP'!G26&lt;='Jul''13 SP'!G28,($F5*'Jul''13 SP'!G25/'Jul''13 SP'!G26-'Jul''13 SP'!G27)*('Jul''13 SP'!G33/100)*'Jul''13 SP'!G26,('Jul''13 SP'!G28-'Jul''13 SP'!G27)*('Jul''13 SP'!G33/100)*'Jul''13 SP'!G26))</f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63"/>
    </row>
    <row r="87" spans="1:12" x14ac:dyDescent="0.15">
      <c r="A87" s="40" t="s">
        <v>611</v>
      </c>
      <c r="C87" s="59">
        <f>IF(($F5*'Jul''13 SP'!E25/'Jul''13 SP'!E26&gt;'Jul''13 SP'!E28),($F5*'Jul''13 SP'!E25/'Jul''13 SP'!E26-'Jul''13 SP'!E28)*'Jul''13 SP'!E34/100*'Jul''13 SP'!E26,0)</f>
        <v>0</v>
      </c>
      <c r="D87" s="59">
        <f>IF(($F5*'Jul''13 SP'!F25/'Jul''13 SP'!F26&lt;'Jul''13 SP'!F27),(0),('Bills Jul''13'!$F5*'Jul''13 SP'!F25/'Jul''13 SP'!F26-'Jul''13 SP'!F27)*'Jul''13 SP'!F34/100)*'Jul''13 SP'!F26</f>
        <v>99.362867999999992</v>
      </c>
      <c r="E87" s="59">
        <f>IF(($F5*'Jul''13 SP'!G25/'Jul''13 SP'!G26&gt;'Jul''13 SP'!G28),($F5*'Jul''13 SP'!G25/'Jul''13 SP'!G26-'Jul''13 SP'!G28)*'Jul''13 SP'!G34/100*'Jul''13 SP'!G26,0)</f>
        <v>0</v>
      </c>
      <c r="F87" s="59">
        <f>IF(($F5*'Jul''13 SP'!H25/'Jul''13 SP'!H26&lt;'Jul''13 SP'!H27),(0),('Bills Jul''13'!$F5*'Jul''13 SP'!H25/'Jul''13 SP'!H26-'Jul''13 SP'!H27)*'Jul''13 SP'!H34/100)*'Jul''13 SP'!H26</f>
        <v>106.16460000000001</v>
      </c>
      <c r="G87" s="59">
        <f>IF(($F5*'Jul''13 SP'!I25/'Jul''13 SP'!I26&lt;'Jul''13 SP'!I27),(0),('Bills Jul''13'!$F5*'Jul''13 SP'!I25/'Jul''13 SP'!I26-'Jul''13 SP'!I27)*'Jul''13 SP'!I34/100)*'Jul''13 SP'!I26</f>
        <v>111.23890800000001</v>
      </c>
      <c r="H87" s="59">
        <f>IF(($F5*'Jul''13 SP'!J25/'Jul''13 SP'!J26&lt;'Jul''13 SP'!J27),(0),('Bills Jul''13'!$F5*'Jul''13 SP'!J25/'Jul''13 SP'!J26-'Jul''13 SP'!J27)*'Jul''13 SP'!J34/100)*'Jul''13 SP'!J26</f>
        <v>103.357536</v>
      </c>
      <c r="I87" s="59">
        <f>IF(($F5*'Jul''13 SP'!K25/'Jul''13 SP'!K26&lt;'Jul''13 SP'!K27),(0),('Bills Jul''13'!$F5*'Jul''13 SP'!K25/'Jul''13 SP'!K26-'Jul''13 SP'!K27)*'Jul''13 SP'!K34/100)*'Jul''13 SP'!K26</f>
        <v>95.668099999999995</v>
      </c>
      <c r="J87" s="59">
        <f>IF(($F5*'Jul''13 SP'!L25/'Jul''13 SP'!L26&lt;'Jul''13 SP'!L27),(0),('Bills Jul''13'!$F5*'Jul''13 SP'!L25/'Jul''13 SP'!L26-'Jul''13 SP'!L27)*'Jul''13 SP'!L34/100)*'Jul''13 SP'!L26</f>
        <v>99.626779999999997</v>
      </c>
      <c r="K87" s="59">
        <f>IF(($F5*'Jul''13 SP'!M25/'Jul''13 SP'!M26&lt;'Jul''13 SP'!M27),(0),('Bills Jul''13'!$F5*'Jul''13 SP'!M25/'Jul''13 SP'!M26-'Jul''13 SP'!M27)*'Jul''13 SP'!M34/100)*'Jul''13 SP'!M26</f>
        <v>104.90502000000001</v>
      </c>
      <c r="L87" s="63"/>
    </row>
    <row r="88" spans="1:12" x14ac:dyDescent="0.15">
      <c r="A88" s="40" t="s">
        <v>612</v>
      </c>
      <c r="C88" s="59">
        <f>365*'Jul''13 SP'!E35/100</f>
        <v>197.2971</v>
      </c>
      <c r="D88" s="59">
        <f>365*'Jul''13 SP'!F35/100</f>
        <v>203.15899999999999</v>
      </c>
      <c r="E88" s="59">
        <f>365*'Jul''13 SP'!G35/100</f>
        <v>216.81</v>
      </c>
      <c r="F88" s="59">
        <f>365*'Jul''13 SP'!H35/100</f>
        <v>210.71449999999996</v>
      </c>
      <c r="G88" s="59">
        <f>365*'Jul''13 SP'!I35/100</f>
        <v>231.66549999999998</v>
      </c>
      <c r="H88" s="59">
        <f>365*'Jul''13 SP'!J35/100</f>
        <v>208.70699999999999</v>
      </c>
      <c r="I88" s="59">
        <f>365*'Jul''13 SP'!K35/100</f>
        <v>180.67500000000001</v>
      </c>
      <c r="J88" s="59">
        <f>365*'Jul''13 SP'!L35/100</f>
        <v>209.94434999999999</v>
      </c>
      <c r="K88" s="59">
        <f>365*'Jul''13 SP'!M35/100</f>
        <v>200.34849999999997</v>
      </c>
      <c r="L88" s="60">
        <f>AVERAGE(C88:K88)</f>
        <v>206.59121666666664</v>
      </c>
    </row>
    <row r="89" spans="1:12" x14ac:dyDescent="0.15">
      <c r="A89" s="62" t="s">
        <v>613</v>
      </c>
      <c r="B89" s="63"/>
      <c r="C89" s="61">
        <f t="shared" ref="C89:H89" si="6">SUM(C82:C88)</f>
        <v>787.49807399999997</v>
      </c>
      <c r="D89" s="61">
        <f t="shared" si="6"/>
        <v>798.53646399999991</v>
      </c>
      <c r="E89" s="61">
        <f t="shared" si="6"/>
        <v>830.54862000000003</v>
      </c>
      <c r="F89" s="61">
        <f t="shared" si="6"/>
        <v>818.05809999999985</v>
      </c>
      <c r="G89" s="61">
        <f t="shared" si="6"/>
        <v>839.852486</v>
      </c>
      <c r="H89" s="61">
        <f t="shared" si="6"/>
        <v>802.29576599999996</v>
      </c>
      <c r="I89" s="61">
        <f>SUM(I82:I88)</f>
        <v>771.98495000000003</v>
      </c>
      <c r="J89" s="61">
        <f>SUM(J82:J88)</f>
        <v>804.00287000000003</v>
      </c>
      <c r="K89" s="61">
        <f>SUM(K82:K88)</f>
        <v>783.84437999999989</v>
      </c>
      <c r="L89" s="64">
        <f>AVERAGE(C89:K89)</f>
        <v>804.06907888888884</v>
      </c>
    </row>
    <row r="91" spans="1:12" x14ac:dyDescent="0.15">
      <c r="A91" s="53" t="s">
        <v>1034</v>
      </c>
      <c r="C91" s="23" t="s">
        <v>1044</v>
      </c>
      <c r="D91" s="23" t="s">
        <v>591</v>
      </c>
      <c r="E91" s="23" t="s">
        <v>592</v>
      </c>
      <c r="F91" s="23" t="s">
        <v>544</v>
      </c>
      <c r="G91" s="23" t="s">
        <v>615</v>
      </c>
      <c r="H91" s="23" t="s">
        <v>546</v>
      </c>
      <c r="I91" s="23" t="s">
        <v>545</v>
      </c>
      <c r="J91" s="23" t="s">
        <v>597</v>
      </c>
      <c r="K91" s="23" t="s">
        <v>598</v>
      </c>
      <c r="L91" s="57" t="s">
        <v>601</v>
      </c>
    </row>
    <row r="92" spans="1:12" x14ac:dyDescent="0.15">
      <c r="A92" s="40" t="s">
        <v>602</v>
      </c>
      <c r="C92" s="59">
        <f>IF($F5*'Jul''13 SP'!E39/'Jul''13 SP'!E40&gt;='Jul''13 SP'!E43,('Jul''13 SP'!E43*'Jul''13 SP'!E45/100)*'Jul''13 SP'!E40,($F5*'Jul''13 SP'!E39/'Jul''13 SP'!E40*'Jul''13 SP'!E45/100)*'Jul''13 SP'!E40)</f>
        <v>211.39885799999999</v>
      </c>
      <c r="D92" s="59">
        <f>IF($F5*'Jul''13 SP'!F39/'Jul''13 SP'!F40&gt;='Jul''13 SP'!F43,('Jul''13 SP'!F43*'Jul''13 SP'!F45/100)*'Jul''13 SP'!F40,('Bills Jul''13'!$F5*'Jul''13 SP'!F39/'Jul''13 SP'!F40*'Jul''13 SP'!F45/100)*'Jul''13 SP'!F40)</f>
        <v>156.28800000000001</v>
      </c>
      <c r="E92" s="59">
        <f>IF($F5*'Jul''13 SP'!G39/'Jul''13 SP'!G40&gt;='Jul''13 SP'!G43,('Jul''13 SP'!G43*'Jul''13 SP'!G45/100)*'Jul''13 SP'!G40,($F5*'Jul''13 SP'!G39/'Jul''13 SP'!G40*'Jul''13 SP'!G45/100)*'Jul''13 SP'!G40)</f>
        <v>234.27656999999999</v>
      </c>
      <c r="F92" s="59">
        <f>IF($F5*'Jul''13 SP'!H39/'Jul''13 SP'!H40&gt;='Jul''13 SP'!H43,('Jul''13 SP'!H43*'Jul''13 SP'!H45/100)*'Jul''13 SP'!H40,('Bills Jul''13'!$F5*'Jul''13 SP'!H39/'Jul''13 SP'!H40*'Jul''13 SP'!H45/100)*'Jul''13 SP'!H40)</f>
        <v>154.88</v>
      </c>
      <c r="G92" s="59">
        <f>IF($F5*'Jul''13 SP'!I39/'Jul''13 SP'!I40&gt;='Jul''13 SP'!I43,('Jul''13 SP'!I43*'Jul''13 SP'!I45/100)*'Jul''13 SP'!I40,('Bills Jul''13'!$F5*'Jul''13 SP'!I39/'Jul''13 SP'!I40*'Jul''13 SP'!I45/100)*'Jul''13 SP'!I40)</f>
        <v>158.048</v>
      </c>
      <c r="H92" s="59">
        <f>IF($F5*'Jul''13 SP'!J39/'Jul''13 SP'!J40&gt;='Jul''13 SP'!J43,('Jul''13 SP'!J43*'Jul''13 SP'!J45/100)*'Jul''13 SP'!J40,('Bills Jul''13'!$F5*'Jul''13 SP'!J39/'Jul''13 SP'!J40*'Jul''13 SP'!J45/100)*'Jul''13 SP'!J40)</f>
        <v>145.9392</v>
      </c>
      <c r="I92" s="59">
        <f>IF($F5*'Jul''13 SP'!K39/'Jul''13 SP'!K40&gt;='Jul''13 SP'!K43,('Jul''13 SP'!K43*'Jul''13 SP'!K45/100)*'Jul''13 SP'!K40,('Bills Jul''13'!$F5*'Jul''13 SP'!K39/'Jul''13 SP'!K40*'Jul''13 SP'!K45/100)*'Jul''13 SP'!K40)</f>
        <v>147.84</v>
      </c>
      <c r="J92" s="59">
        <f>IF($F5*'Jul''13 SP'!L39/'Jul''13 SP'!L40&gt;='Jul''13 SP'!L43,('Jul''13 SP'!L43*'Jul''13 SP'!L45/100)*'Jul''13 SP'!L40,('Bills Jul''13'!$F5*'Jul''13 SP'!L39/'Jul''13 SP'!L40*'Jul''13 SP'!L45/100)*'Jul''13 SP'!L40)</f>
        <v>144.32</v>
      </c>
      <c r="K92" s="59">
        <f>IF($F5*'Jul''13 SP'!M39/'Jul''13 SP'!M40&gt;='Jul''13 SP'!M43,('Jul''13 SP'!M43*'Jul''13 SP'!M45/100)*'Jul''13 SP'!M40,('Bills Jul''13'!$F5*'Jul''13 SP'!M39/'Jul''13 SP'!M40*'Jul''13 SP'!M45/100)*'Jul''13 SP'!M40)</f>
        <v>147.136</v>
      </c>
      <c r="L92" s="63"/>
    </row>
    <row r="93" spans="1:12" x14ac:dyDescent="0.15">
      <c r="A93" s="40" t="s">
        <v>603</v>
      </c>
      <c r="C93" s="59">
        <f>IF($F5*'Jul''13 SP'!E39/'Jul''13 SP'!E40&lt;'Jul''13 SP'!E43,0,IF($F5*'Jul''13 SP'!E39/'Jul''13 SP'!E40&lt;='Jul''13 SP'!E44,($F5*'Jul''13 SP'!E39/'Jul''13 SP'!E40-'Jul''13 SP'!E43)*('Jul''13 SP'!E46/100)*'Jul''13 SP'!E40,('Jul''13 SP'!E44-'Jul''13 SP'!E43)*('Jul''13 SP'!E46/100)*'Jul''13 SP'!E40))</f>
        <v>0</v>
      </c>
      <c r="D93" s="59">
        <v>0</v>
      </c>
      <c r="E93" s="59">
        <f>IF($F5*'Jul''13 SP'!G39/'Jul''13 SP'!G40&lt;'Jul''13 SP'!G43,0,IF($F5*'Jul''13 SP'!G39/'Jul''13 SP'!G40&lt;='Jul''13 SP'!G44,($F5*'Jul''13 SP'!G39/'Jul''13 SP'!G40-'Jul''13 SP'!G43)*('Jul''13 SP'!G46/100)*'Jul''13 SP'!G40,('Jul''13 SP'!G44-'Jul''13 SP'!G43)*('Jul''13 SP'!G46/100)*'Jul''13 SP'!G40))</f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63"/>
    </row>
    <row r="94" spans="1:12" x14ac:dyDescent="0.15">
      <c r="A94" s="40" t="s">
        <v>606</v>
      </c>
      <c r="C94" s="59">
        <f>IF(($F5*'Jul''13 SP'!E39/'Jul''13 SP'!E40&gt;'Jul''13 SP'!E44),($F5*'Jul''13 SP'!E39/'Jul''13 SP'!E40-'Jul''13 SP'!E44)*'Jul''13 SP'!E47/100*'Jul''13 SP'!E40,0)</f>
        <v>0</v>
      </c>
      <c r="D94" s="59">
        <f>IF(($F5*'Jul''13 SP'!F39/'Jul''13 SP'!F40&lt;'Jul''13 SP'!F43),(0),('Bills Jul''13'!$F5*'Jul''13 SP'!F39/'Jul''13 SP'!F40-'Jul''13 SP'!F43)*'Jul''13 SP'!F47/100)*'Jul''13 SP'!F40</f>
        <v>66.984587999999988</v>
      </c>
      <c r="E94" s="59">
        <f>IF(($F5*'Jul''13 SP'!G39/'Jul''13 SP'!G40&gt;'Jul''13 SP'!G44),($F5*'Jul''13 SP'!G39/'Jul''13 SP'!G40-'Jul''13 SP'!G44)*'Jul''13 SP'!G47/100*'Jul''13 SP'!G40,0)</f>
        <v>0</v>
      </c>
      <c r="F94" s="59">
        <f>IF(($F5*'Jul''13 SP'!H39/'Jul''13 SP'!H40&lt;'Jul''13 SP'!H43),(0),('Bills Jul''13'!$F5*'Jul''13 SP'!H39/'Jul''13 SP'!H40-'Jul''13 SP'!H43)*'Jul''13 SP'!H47/100)*'Jul''13 SP'!H40</f>
        <v>69.820599999999999</v>
      </c>
      <c r="G94" s="59">
        <f>IF(($F5*'Jul''13 SP'!I39/'Jul''13 SP'!I40&lt;'Jul''13 SP'!I43),(0),('Bills Jul''13'!$F5*'Jul''13 SP'!I39/'Jul''13 SP'!I40-'Jul''13 SP'!I43)*'Jul''13 SP'!I47/100)*'Jul''13 SP'!I40</f>
        <v>70.903898999999996</v>
      </c>
      <c r="H94" s="59">
        <f>IF(($F5*'Jul''13 SP'!J39/'Jul''13 SP'!J40&lt;'Jul''13 SP'!J43),(0),('Bills Jul''13'!$F5*'Jul''13 SP'!J39/'Jul''13 SP'!J40-'Jul''13 SP'!J43)*'Jul''13 SP'!J47/100)*'Jul''13 SP'!J40</f>
        <v>67.945520999999999</v>
      </c>
      <c r="I94" s="59">
        <f>IF(($F5*'Jul''13 SP'!K39/'Jul''13 SP'!K40&lt;'Jul''13 SP'!K43),(0),('Bills Jul''13'!$F5*'Jul''13 SP'!K39/'Jul''13 SP'!K40-'Jul''13 SP'!K43)*'Jul''13 SP'!K47/100)*'Jul''13 SP'!K40</f>
        <v>66.905410000000003</v>
      </c>
      <c r="J94" s="59">
        <f>IF(($F5*'Jul''13 SP'!L39/'Jul''13 SP'!L40&lt;'Jul''13 SP'!L43),(0),('Bills Jul''13'!$F5*'Jul''13 SP'!L39/'Jul''13 SP'!L40-'Jul''13 SP'!L43)*'Jul''13 SP'!L47/100)*'Jul''13 SP'!L40</f>
        <v>65.321849999999998</v>
      </c>
      <c r="K94" s="59">
        <f>IF(($F5*'Jul''13 SP'!M39/'Jul''13 SP'!M40&lt;'Jul''13 SP'!M43),(0),('Bills Jul''13'!$F5*'Jul''13 SP'!M39/'Jul''13 SP'!M40-'Jul''13 SP'!M43)*'Jul''13 SP'!M47/100)*'Jul''13 SP'!M40</f>
        <v>68.488969999999995</v>
      </c>
      <c r="L94" s="63"/>
    </row>
    <row r="95" spans="1:12" x14ac:dyDescent="0.15">
      <c r="A95" s="40" t="s">
        <v>607</v>
      </c>
      <c r="C95" s="59">
        <f>IF($F5*'Jul''13 SP'!E41/'Jul''13 SP'!E42&gt;='Jul''13 SP'!E43,('Jul''13 SP'!E43*'Jul''13 SP'!E48/100)*'Jul''13 SP'!E42,($F5*'Jul''13 SP'!E41/'Jul''13 SP'!E42*'Jul''13 SP'!E48/100)*'Jul''13 SP'!E42)</f>
        <v>378.14218200000005</v>
      </c>
      <c r="D95" s="59">
        <f>IF($F5*'Jul''13 SP'!F41/'Jul''13 SP'!F42&gt;='Jul''13 SP'!F43,('Jul''13 SP'!F43*'Jul''13 SP'!F48/100)*'Jul''13 SP'!F42,('Bills Jul''13'!$F5*'Jul''13 SP'!F41/'Jul''13 SP'!F42*'Jul''13 SP'!F48/100)*'Jul''13 SP'!F42)</f>
        <v>267.37920000000003</v>
      </c>
      <c r="E95" s="59">
        <f>IF($F5*'Jul''13 SP'!G41/'Jul''13 SP'!G42&gt;='Jul''13 SP'!G43,('Jul''13 SP'!G43*'Jul''13 SP'!G48/100)*'Jul''13 SP'!G42,($F5*'Jul''13 SP'!G41/'Jul''13 SP'!G42*'Jul''13 SP'!G48/100)*'Jul''13 SP'!G42)</f>
        <v>409.15907999999996</v>
      </c>
      <c r="F95" s="59">
        <f>IF($F5*'Jul''13 SP'!H41/'Jul''13 SP'!H42&gt;='Jul''13 SP'!H43,('Jul''13 SP'!H43*'Jul''13 SP'!H48/100)*'Jul''13 SP'!H42,('Bills Jul''13'!$F5*'Jul''13 SP'!H41/'Jul''13 SP'!H42*'Jul''13 SP'!H48/100)*'Jul''13 SP'!H42)</f>
        <v>275.2</v>
      </c>
      <c r="G95" s="59">
        <f>IF($F5*'Jul''13 SP'!I41/'Jul''13 SP'!I42&gt;='Jul''13 SP'!I43,('Jul''13 SP'!I43*'Jul''13 SP'!I48/100)*'Jul''13 SP'!I42,('Bills Jul''13'!$F5*'Jul''13 SP'!I41/'Jul''13 SP'!I42*'Jul''13 SP'!I48/100)*'Jul''13 SP'!I42)</f>
        <v>269.63200000000001</v>
      </c>
      <c r="H95" s="59">
        <f>IF($F5*'Jul''13 SP'!J41/'Jul''13 SP'!J42&gt;='Jul''13 SP'!J43,('Jul''13 SP'!J43*'Jul''13 SP'!J48/100)*'Jul''13 SP'!J42,('Bills Jul''13'!$F5*'Jul''13 SP'!J41/'Jul''13 SP'!J42*'Jul''13 SP'!J48/100)*'Jul''13 SP'!J42)</f>
        <v>261.76</v>
      </c>
      <c r="I95" s="59">
        <f>IF($F5*'Jul''13 SP'!K41/'Jul''13 SP'!K42&gt;='Jul''13 SP'!K43,('Jul''13 SP'!K43*'Jul''13 SP'!K48/100)*'Jul''13 SP'!K42,('Bills Jul''13'!$F5*'Jul''13 SP'!K41/'Jul''13 SP'!K42*'Jul''13 SP'!K48/100)*'Jul''13 SP'!K42)</f>
        <v>252.03200000000001</v>
      </c>
      <c r="J95" s="59">
        <f>IF($F5*'Jul''13 SP'!L41/'Jul''13 SP'!L42&gt;='Jul''13 SP'!L43,('Jul''13 SP'!L43*'Jul''13 SP'!L48/100)*'Jul''13 SP'!L42,('Bills Jul''13'!$F5*'Jul''13 SP'!L41/'Jul''13 SP'!L42*'Jul''13 SP'!L48/100)*'Jul''13 SP'!L42)</f>
        <v>256.25599999999997</v>
      </c>
      <c r="K95" s="59">
        <f>IF($F5*'Jul''13 SP'!M41/'Jul''13 SP'!M42&gt;='Jul''13 SP'!M43,('Jul''13 SP'!M43*'Jul''13 SP'!M48/100)*'Jul''13 SP'!M42,('Bills Jul''13'!$F5*'Jul''13 SP'!M41/'Jul''13 SP'!M42*'Jul''13 SP'!M48/100)*'Jul''13 SP'!M42)</f>
        <v>263.29599999999999</v>
      </c>
      <c r="L95" s="63"/>
    </row>
    <row r="96" spans="1:12" x14ac:dyDescent="0.15">
      <c r="A96" s="40" t="s">
        <v>608</v>
      </c>
      <c r="C96" s="59">
        <f>IF($F5*'Jul''13 SP'!E41/'Jul''13 SP'!E42&lt;'Jul''13 SP'!E43,0,IF($F5*'Jul''13 SP'!E41/'Jul''13 SP'!E42&lt;='Jul''13 SP'!E44,($F5*'Jul''13 SP'!E41/'Jul''13 SP'!E42-'Jul''13 SP'!E43)*('Jul''13 SP'!E49/100)*'Jul''13 SP'!E42,('Jul''13 SP'!E44-'Jul''13 SP'!E43)*('Jul''13 SP'!E49/100)*'Jul''13 SP'!E42))</f>
        <v>0</v>
      </c>
      <c r="D96" s="59">
        <v>0</v>
      </c>
      <c r="E96" s="59">
        <f>IF($F5*'Jul''13 SP'!G41/'Jul''13 SP'!G42&lt;'Jul''13 SP'!G43,0,IF($F5*'Jul''13 SP'!G41/'Jul''13 SP'!G42&lt;='Jul''13 SP'!G44,($F5*'Jul''13 SP'!G41/'Jul''13 SP'!G42-'Jul''13 SP'!G43)*('Jul''13 SP'!G49/100)*'Jul''13 SP'!G42,('Jul''13 SP'!G44-'Jul''13 SP'!G43)*('Jul''13 SP'!G49/100)*'Jul''13 SP'!G42))</f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63"/>
    </row>
    <row r="97" spans="1:12" x14ac:dyDescent="0.15">
      <c r="A97" s="40" t="s">
        <v>611</v>
      </c>
      <c r="C97" s="59">
        <f>IF(($F5*'Jul''13 SP'!E41/'Jul''13 SP'!E42&gt;'Jul''13 SP'!E44),($F5*'Jul''13 SP'!E41/'Jul''13 SP'!E42-'Jul''13 SP'!E44)*'Jul''13 SP'!E50/100*'Jul''13 SP'!E42,0)</f>
        <v>0</v>
      </c>
      <c r="D97" s="59">
        <f>IF(($F5*'Jul''13 SP'!F41/'Jul''13 SP'!F42&lt;'Jul''13 SP'!F43),(0),('Bills Jul''13'!$F5*'Jul''13 SP'!F41/'Jul''13 SP'!F42-'Jul''13 SP'!F43)*'Jul''13 SP'!F50/100)*'Jul''13 SP'!F42</f>
        <v>121.379874</v>
      </c>
      <c r="E97" s="59">
        <f>IF(($F5*'Jul''13 SP'!G41/'Jul''13 SP'!G42&gt;'Jul''13 SP'!G44),($F5*'Jul''13 SP'!G41/'Jul''13 SP'!G42-'Jul''13 SP'!G44)*'Jul''13 SP'!G50/100*'Jul''13 SP'!G42,0)</f>
        <v>0</v>
      </c>
      <c r="F97" s="59">
        <f>IF(($F5*'Jul''13 SP'!H41/'Jul''13 SP'!H42&lt;'Jul''13 SP'!H43),(0),('Bills Jul''13'!$F5*'Jul''13 SP'!H41/'Jul''13 SP'!H42-'Jul''13 SP'!H43)*'Jul''13 SP'!H50/100)*'Jul''13 SP'!H42</f>
        <v>134.6026</v>
      </c>
      <c r="G97" s="59">
        <f>IF(($F5*'Jul''13 SP'!I41/'Jul''13 SP'!I42&lt;'Jul''13 SP'!I43),(0),('Bills Jul''13'!$F5*'Jul''13 SP'!I41/'Jul''13 SP'!I42-'Jul''13 SP'!I43)*'Jul''13 SP'!I50/100)*'Jul''13 SP'!I42</f>
        <v>132.93986200000001</v>
      </c>
      <c r="H97" s="59">
        <f>IF(($F5*'Jul''13 SP'!J41/'Jul''13 SP'!J42&lt;'Jul''13 SP'!J43),(0),('Bills Jul''13'!$F5*'Jul''13 SP'!J41/'Jul''13 SP'!J42-'Jul''13 SP'!J43)*'Jul''13 SP'!J50/100)*'Jul''13 SP'!J42</f>
        <v>124.92129000000001</v>
      </c>
      <c r="I97" s="59">
        <f>IF(($F5*'Jul''13 SP'!K41/'Jul''13 SP'!K42&lt;'Jul''13 SP'!K43),(0),('Bills Jul''13'!$F5*'Jul''13 SP'!K41/'Jul''13 SP'!K42-'Jul''13 SP'!K43)*'Jul''13 SP'!K50/100)*'Jul''13 SP'!K42</f>
        <v>118.767</v>
      </c>
      <c r="J97" s="59">
        <f>IF(($F5*'Jul''13 SP'!L41/'Jul''13 SP'!L42&lt;'Jul''13 SP'!L43),(0),('Bills Jul''13'!$F5*'Jul''13 SP'!L41/'Jul''13 SP'!L42-'Jul''13 SP'!L43)*'Jul''13 SP'!L50/100)*'Jul''13 SP'!L42</f>
        <v>119.55878000000001</v>
      </c>
      <c r="K97" s="59">
        <f>IF(($F5*'Jul''13 SP'!M41/'Jul''13 SP'!M42&lt;'Jul''13 SP'!M43),(0),('Bills Jul''13'!$F5*'Jul''13 SP'!M41/'Jul''13 SP'!M42-'Jul''13 SP'!M43)*'Jul''13 SP'!M50/100)*'Jul''13 SP'!M42</f>
        <v>128.26836</v>
      </c>
      <c r="L97" s="63"/>
    </row>
    <row r="98" spans="1:12" x14ac:dyDescent="0.15">
      <c r="A98" s="40" t="s">
        <v>612</v>
      </c>
      <c r="C98" s="59">
        <f>365*'Jul''13 SP'!E51/100</f>
        <v>220.82499999999999</v>
      </c>
      <c r="D98" s="59">
        <f>365*'Jul''13 SP'!F51/100</f>
        <v>211.59049999999999</v>
      </c>
      <c r="E98" s="59">
        <f>365*'Jul''13 SP'!G51/100</f>
        <v>220.82499999999999</v>
      </c>
      <c r="F98" s="59">
        <f>365*'Jul''13 SP'!H51/100</f>
        <v>222.72300000000004</v>
      </c>
      <c r="G98" s="59">
        <f>365*'Jul''13 SP'!I51/100</f>
        <v>235.27899999999997</v>
      </c>
      <c r="H98" s="59">
        <f>365*'Jul''13 SP'!J51/100</f>
        <v>218.41600000000003</v>
      </c>
      <c r="I98" s="59">
        <f>365*'Jul''13 SP'!K51/100</f>
        <v>200.75</v>
      </c>
      <c r="J98" s="59">
        <f>365*'Jul''13 SP'!L51/100</f>
        <v>203.60064999999997</v>
      </c>
      <c r="K98" s="59">
        <f>365*'Jul''13 SP'!M51/100</f>
        <v>212.39349999999999</v>
      </c>
      <c r="L98" s="65">
        <f>AVERAGE(C98:K98)</f>
        <v>216.26696111111107</v>
      </c>
    </row>
    <row r="99" spans="1:12" x14ac:dyDescent="0.15">
      <c r="A99" s="62" t="s">
        <v>613</v>
      </c>
      <c r="B99" s="63"/>
      <c r="C99" s="61">
        <f t="shared" ref="C99:H99" si="7">SUM(C92:C98)</f>
        <v>810.36604000000011</v>
      </c>
      <c r="D99" s="61">
        <f t="shared" si="7"/>
        <v>823.622162</v>
      </c>
      <c r="E99" s="61">
        <f t="shared" si="7"/>
        <v>864.26064999999994</v>
      </c>
      <c r="F99" s="61">
        <f t="shared" si="7"/>
        <v>857.22620000000006</v>
      </c>
      <c r="G99" s="61">
        <f t="shared" si="7"/>
        <v>866.80276099999992</v>
      </c>
      <c r="H99" s="61">
        <f t="shared" si="7"/>
        <v>818.98201100000006</v>
      </c>
      <c r="I99" s="61">
        <f>SUM(I92:I98)</f>
        <v>786.29440999999997</v>
      </c>
      <c r="J99" s="61">
        <f>SUM(J92:J98)</f>
        <v>789.05727999999988</v>
      </c>
      <c r="K99" s="61">
        <f>SUM(K92:K98)</f>
        <v>819.58283000000006</v>
      </c>
      <c r="L99" s="64">
        <f>AVERAGE(C99:K99)</f>
        <v>826.24381599999992</v>
      </c>
    </row>
    <row r="101" spans="1:12" x14ac:dyDescent="0.1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</row>
    <row r="102" spans="1:12" x14ac:dyDescent="0.15">
      <c r="A102" s="53" t="s">
        <v>490</v>
      </c>
      <c r="C102" s="23" t="s">
        <v>1044</v>
      </c>
      <c r="D102" s="23" t="s">
        <v>591</v>
      </c>
      <c r="E102" s="23" t="s">
        <v>592</v>
      </c>
      <c r="F102" s="23" t="s">
        <v>544</v>
      </c>
      <c r="G102" s="23" t="s">
        <v>615</v>
      </c>
      <c r="H102" s="23" t="s">
        <v>595</v>
      </c>
      <c r="I102" s="23" t="s">
        <v>596</v>
      </c>
      <c r="J102" s="23" t="s">
        <v>486</v>
      </c>
      <c r="K102" s="23" t="s">
        <v>487</v>
      </c>
    </row>
    <row r="103" spans="1:12" x14ac:dyDescent="0.15">
      <c r="A103" s="40" t="s">
        <v>491</v>
      </c>
      <c r="C103" s="24" t="s">
        <v>547</v>
      </c>
      <c r="D103" s="25" t="s">
        <v>493</v>
      </c>
      <c r="E103" s="25" t="s">
        <v>540</v>
      </c>
      <c r="F103" s="25" t="s">
        <v>494</v>
      </c>
      <c r="G103" s="25" t="s">
        <v>494</v>
      </c>
      <c r="H103" s="25" t="s">
        <v>494</v>
      </c>
      <c r="I103" s="25" t="s">
        <v>493</v>
      </c>
      <c r="J103" s="25" t="s">
        <v>493</v>
      </c>
      <c r="K103" s="25" t="s">
        <v>493</v>
      </c>
    </row>
    <row r="104" spans="1:12" x14ac:dyDescent="0.15">
      <c r="A104" s="40" t="s">
        <v>496</v>
      </c>
      <c r="C104" s="25" t="s">
        <v>498</v>
      </c>
      <c r="D104" s="25" t="s">
        <v>497</v>
      </c>
      <c r="E104" s="25" t="s">
        <v>526</v>
      </c>
      <c r="F104" s="25" t="s">
        <v>548</v>
      </c>
      <c r="G104" s="25" t="s">
        <v>498</v>
      </c>
      <c r="H104" s="25" t="s">
        <v>498</v>
      </c>
      <c r="I104" s="25" t="s">
        <v>527</v>
      </c>
      <c r="J104" s="25" t="s">
        <v>493</v>
      </c>
      <c r="K104" s="25" t="s">
        <v>493</v>
      </c>
    </row>
    <row r="105" spans="1:12" x14ac:dyDescent="0.15">
      <c r="A105" s="40" t="s">
        <v>499</v>
      </c>
      <c r="C105" s="25" t="s">
        <v>528</v>
      </c>
      <c r="D105" s="37">
        <v>22</v>
      </c>
      <c r="E105" s="37">
        <v>22</v>
      </c>
      <c r="F105" s="37">
        <v>22</v>
      </c>
      <c r="G105" s="37">
        <v>20</v>
      </c>
      <c r="H105" s="37">
        <v>80</v>
      </c>
      <c r="I105" s="37">
        <v>20</v>
      </c>
      <c r="J105" s="40" t="s">
        <v>493</v>
      </c>
      <c r="K105" s="40" t="s">
        <v>493</v>
      </c>
    </row>
    <row r="106" spans="1:12" x14ac:dyDescent="0.15">
      <c r="A106" s="40" t="s">
        <v>501</v>
      </c>
      <c r="C106" s="25" t="s">
        <v>549</v>
      </c>
      <c r="D106" s="24" t="s">
        <v>536</v>
      </c>
      <c r="E106" s="24" t="s">
        <v>542</v>
      </c>
      <c r="F106" s="24" t="s">
        <v>550</v>
      </c>
      <c r="G106" s="24" t="s">
        <v>507</v>
      </c>
      <c r="H106" s="24" t="s">
        <v>505</v>
      </c>
      <c r="I106" s="24" t="s">
        <v>506</v>
      </c>
      <c r="J106" s="24" t="s">
        <v>531</v>
      </c>
      <c r="K106" s="24" t="s">
        <v>532</v>
      </c>
    </row>
    <row r="107" spans="1:12" x14ac:dyDescent="0.15">
      <c r="A107" s="40" t="s">
        <v>511</v>
      </c>
      <c r="C107" s="25" t="s">
        <v>512</v>
      </c>
      <c r="D107" s="25" t="s">
        <v>500</v>
      </c>
      <c r="E107" s="25" t="s">
        <v>494</v>
      </c>
      <c r="F107" s="25" t="s">
        <v>493</v>
      </c>
      <c r="G107" s="25" t="s">
        <v>494</v>
      </c>
      <c r="H107" s="25" t="s">
        <v>494</v>
      </c>
      <c r="I107" s="25" t="s">
        <v>500</v>
      </c>
      <c r="J107" s="25" t="s">
        <v>493</v>
      </c>
      <c r="K107" s="25" t="s">
        <v>493</v>
      </c>
    </row>
    <row r="108" spans="1:12" x14ac:dyDescent="0.1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</row>
  </sheetData>
  <sheetProtection algorithmName="SHA-512" hashValue="GMbBkG3D0fTRfu+/K7zE2oqj7PfkATPosFpF0avkIR0Ncw8XhE50kBp75OVgMmzDvX5UqC8bJx5RN8VuN4L5zA==" saltValue="Zh/2X6TCBdQgwCtiQHeRiQ==" spinCount="100000" sheet="1" objects="1" scenarios="1"/>
  <phoneticPr fontId="20" type="noConversion"/>
  <pageMargins left="0.75" right="0.75" top="1" bottom="1" header="0.5" footer="0.5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:M108"/>
  <sheetViews>
    <sheetView zoomScale="125" workbookViewId="0">
      <selection activeCell="D41" sqref="D41"/>
    </sheetView>
  </sheetViews>
  <sheetFormatPr baseColWidth="10" defaultColWidth="10.83203125" defaultRowHeight="13" x14ac:dyDescent="0.15"/>
  <cols>
    <col min="1" max="1" width="26.1640625" style="40" customWidth="1"/>
    <col min="2" max="2" width="3.1640625" style="40" customWidth="1"/>
    <col min="3" max="8" width="11.6640625" style="40" customWidth="1"/>
    <col min="9" max="9" width="13.33203125" style="40" customWidth="1"/>
    <col min="10" max="10" width="15" style="40" customWidth="1"/>
    <col min="11" max="13" width="11.6640625" style="40" customWidth="1"/>
    <col min="14" max="16384" width="10.83203125" style="40"/>
  </cols>
  <sheetData>
    <row r="1" spans="1:13" x14ac:dyDescent="0.15">
      <c r="A1" s="48" t="s">
        <v>586</v>
      </c>
    </row>
    <row r="2" spans="1:13" x14ac:dyDescent="0.15">
      <c r="A2" s="76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 x14ac:dyDescent="0.15">
      <c r="A3" s="52" t="s">
        <v>551</v>
      </c>
    </row>
    <row r="5" spans="1:13" x14ac:dyDescent="0.15">
      <c r="A5" s="53" t="s">
        <v>588</v>
      </c>
      <c r="B5" s="53"/>
      <c r="C5" s="53" t="s">
        <v>1394</v>
      </c>
      <c r="F5" s="66">
        <v>63000</v>
      </c>
    </row>
    <row r="6" spans="1:13" x14ac:dyDescent="0.15">
      <c r="C6" s="54" t="s">
        <v>589</v>
      </c>
    </row>
    <row r="7" spans="1:13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</row>
    <row r="8" spans="1:13" x14ac:dyDescent="0.15">
      <c r="J8" s="58"/>
    </row>
    <row r="9" spans="1:13" x14ac:dyDescent="0.15">
      <c r="A9" s="53" t="s">
        <v>1074</v>
      </c>
      <c r="C9" s="23" t="s">
        <v>1044</v>
      </c>
      <c r="D9" s="23" t="s">
        <v>591</v>
      </c>
      <c r="E9" s="23" t="s">
        <v>592</v>
      </c>
      <c r="F9" s="23" t="s">
        <v>544</v>
      </c>
      <c r="G9" s="23" t="s">
        <v>615</v>
      </c>
      <c r="H9" s="23" t="s">
        <v>595</v>
      </c>
      <c r="I9" s="23" t="s">
        <v>596</v>
      </c>
      <c r="J9" s="57" t="s">
        <v>601</v>
      </c>
    </row>
    <row r="10" spans="1:13" x14ac:dyDescent="0.15">
      <c r="A10" s="40" t="s">
        <v>602</v>
      </c>
      <c r="C10" s="59">
        <f>IF($F5*'Jan''13 Multi'!E7/'Jan''13 Multi'!E8&gt;='Jan''13 Multi'!E11,('Jan''13 Multi'!E11*'Jan''13 Multi'!E15/100)*'Jan''13 Multi'!E8,($F5*'Jan''13 Multi'!E7/'Jan''13 Multi'!E8*'Jan''13 Multi'!E15/100)*'Jan''13 Multi'!E8)</f>
        <v>183.05099999999999</v>
      </c>
      <c r="D10" s="59">
        <f>IF($F5*'Jan''13 Multi'!F7/'Jan''13 Multi'!F8&gt;='Jan''13 Multi'!F11,('Jan''13 Multi'!F11*'Jan''13 Multi'!F15/100)*'Jan''13 Multi'!F8,($F5*'Jan''13 Multi'!F7/'Jan''13 Multi'!F8*'Jan''13 Multi'!F15/100)*'Jan''13 Multi'!F8)</f>
        <v>381.94200000000006</v>
      </c>
      <c r="E10" s="59">
        <f>IF($F5*'Jan''13 Multi'!G7/'Jan''13 Multi'!G8&gt;='Jan''13 Multi'!G11,('Jan''13 Multi'!G11*'Jan''13 Multi'!G15/100)*'Jan''13 Multi'!G8,($F5*'Jan''13 Multi'!G7/'Jan''13 Multi'!G8*'Jan''13 Multi'!G15/100)*'Jan''13 Multi'!G8)</f>
        <v>191.07000000000005</v>
      </c>
      <c r="F10" s="59">
        <f>IF($F5*'Jan''13 Multi'!H7/'Jan''13 Multi'!H8&gt;='Jan''13 Multi'!H11,('Jan''13 Multi'!H11*'Jan''13 Multi'!H15/100)*'Jan''13 Multi'!H8,($F5*'Jan''13 Multi'!H7/'Jan''13 Multi'!H8*'Jan''13 Multi'!H15/100)*'Jan''13 Multi'!H8)</f>
        <v>387</v>
      </c>
      <c r="G10" s="59">
        <f>IF($F5*'Jan''13 Multi'!I7/'Jan''13 Multi'!I8&gt;='Jan''13 Multi'!I11,('Jan''13 Multi'!I11*'Jan''13 Multi'!I15/100)*'Jan''13 Multi'!I8,($F5*'Jan''13 Multi'!I7/'Jan''13 Multi'!I8*'Jan''13 Multi'!I15/100)*'Jan''13 Multi'!I8)</f>
        <v>406.89</v>
      </c>
      <c r="H10" s="59">
        <f>IF($F5*'Jan''13 Multi'!J7/'Jan''13 Multi'!J8&gt;='Jan''13 Multi'!J11,('Jan''13 Multi'!J11*'Jan''13 Multi'!J15/100)*'Jan''13 Multi'!J8,($F5*'Jan''13 Multi'!J7/'Jan''13 Multi'!J8*'Jan''13 Multi'!J15/100)*'Jan''13 Multi'!J8)</f>
        <v>362.46600000000001</v>
      </c>
      <c r="I10" s="59">
        <f>IF($F5*'Jan''13 Multi'!K7/'Jan''13 Multi'!K8&gt;='Jan''13 Multi'!K11,('Jan''13 Multi'!K11*'Jan''13 Multi'!K15/100)*'Jan''13 Multi'!K8,($F5*'Jan''13 Multi'!K7/'Jan''13 Multi'!K8*'Jan''13 Multi'!K15/100)*'Jan''13 Multi'!K8)</f>
        <v>372.24</v>
      </c>
      <c r="J10" s="63"/>
    </row>
    <row r="11" spans="1:13" x14ac:dyDescent="0.15">
      <c r="A11" s="40" t="s">
        <v>603</v>
      </c>
      <c r="C11" s="59">
        <f>IF($F5*'Jan''13 Multi'!E7/'Jan''13 Multi'!E8&lt;'Jan''13 Multi'!E11,0,IF($F5*'Jan''13 Multi'!E7/'Jan''13 Multi'!E8&lt;='Jan''13 Multi'!E12,($F5*'Jan''13 Multi'!E7/'Jan''13 Multi'!E8-'Jan''13 Multi'!E11)*('Jan''13 Multi'!E16/100)*'Jan''13 Multi'!E8,('Jan''13 Multi'!E12-'Jan''13 Multi'!E11)*('Jan''13 Multi'!E16/100)*'Jan''13 Multi'!E8))</f>
        <v>158.49900000000002</v>
      </c>
      <c r="D11" s="59">
        <f>IF($F5*'Jan''13 Multi'!F7/'Jan''13 Multi'!F8&lt;'Jan''13 Multi'!F11,0,IF($F5*'Jan''13 Multi'!F7/'Jan''13 Multi'!F8&lt;='Jan''13 Multi'!F12,($F5*'Jan''13 Multi'!F7/'Jan''13 Multi'!F8-'Jan''13 Multi'!F11)*('Jan''13 Multi'!F16/100)*'Jan''13 Multi'!F8,('Jan''13 Multi'!F12-'Jan''13 Multi'!F11)*('Jan''13 Multi'!F16/100)*'Jan''13 Multi'!F8))</f>
        <v>150.18299999999999</v>
      </c>
      <c r="E11" s="59">
        <f>IF($F5*'Jan''13 Multi'!G7/'Jan''13 Multi'!G8&lt;'Jan''13 Multi'!G11,0,IF($F5*'Jan''13 Multi'!G7/'Jan''13 Multi'!G8&lt;='Jan''13 Multi'!G12,($F5*'Jan''13 Multi'!G7/'Jan''13 Multi'!G8-'Jan''13 Multi'!G11)*('Jan''13 Multi'!G16/100)*'Jan''13 Multi'!G8,('Jan''13 Multi'!G12-'Jan''13 Multi'!G11)*('Jan''13 Multi'!G16/100)*'Jan''13 Multi'!G8))</f>
        <v>170.28</v>
      </c>
      <c r="F11" s="59">
        <v>0</v>
      </c>
      <c r="G11" s="59">
        <f>IF($F5*'Jan''13 Multi'!I7/'Jan''13 Multi'!I8&lt;'Jan''13 Multi'!I11,0,IF($F5*'Jan''13 Multi'!I7/'Jan''13 Multi'!I8&lt;='Jan''13 Multi'!I12,($F5*'Jan''13 Multi'!I7/'Jan''13 Multi'!I8-'Jan''13 Multi'!I11)*('Jan''13 Multi'!I16/100)*'Jan''13 Multi'!I8,('Jan''13 Multi'!I12-'Jan''13 Multi'!I11)*('Jan''13 Multi'!I16/100)*'Jan''13 Multi'!I8))</f>
        <v>148.40100000000001</v>
      </c>
      <c r="H11" s="59">
        <f>IF($F5*'Jan''13 Multi'!J7/'Jan''13 Multi'!J8&lt;'Jan''13 Multi'!J11,0,IF($F5*'Jan''13 Multi'!J7/'Jan''13 Multi'!J8&lt;='Jan''13 Multi'!J12,($F5*'Jan''13 Multi'!J7/'Jan''13 Multi'!J8-'Jan''13 Multi'!J11)*('Jan''13 Multi'!J16/100)*'Jan''13 Multi'!J8,('Jan''13 Multi'!J12-'Jan''13 Multi'!J11)*('Jan''13 Multi'!J16/100)*'Jan''13 Multi'!J8))</f>
        <v>145.53900000000002</v>
      </c>
      <c r="I11" s="59">
        <f>IF($F5*'Jan''13 Multi'!K7/'Jan''13 Multi'!K8&lt;'Jan''13 Multi'!K11,0,IF($F5*'Jan''13 Multi'!K7/'Jan''13 Multi'!K8&lt;='Jan''13 Multi'!K12,($F5*'Jan''13 Multi'!K7/'Jan''13 Multi'!K8-'Jan''13 Multi'!K11)*('Jan''13 Multi'!K16/100)*'Jan''13 Multi'!K8,('Jan''13 Multi'!K12-'Jan''13 Multi'!K11)*('Jan''13 Multi'!K16/100)*'Jan''13 Multi'!K8))</f>
        <v>144.54000000000002</v>
      </c>
      <c r="J11" s="63"/>
    </row>
    <row r="12" spans="1:13" x14ac:dyDescent="0.15">
      <c r="A12" s="40" t="s">
        <v>604</v>
      </c>
      <c r="C12" s="59">
        <f>IF($F5*'Jan''13 Multi'!E7/'Jan''13 Multi'!E8&lt;'Jan''13 Multi'!E12,0,IF($F5*'Jan''13 Multi'!E7/'Jan''13 Multi'!E8&lt;='Jan''13 Multi'!E13,($F5*'Jan''13 Multi'!E7/'Jan''13 Multi'!E8-'Jan''13 Multi'!E12)*('Jan''13 Multi'!E17/100)*'Jan''13 Multi'!E8,('Jan''13 Multi'!E13-'Jan''13 Multi'!E12)*('Jan''13 Multi'!E17/100)*'Jan''13 Multi'!E8))</f>
        <v>126.71999999999998</v>
      </c>
      <c r="D12" s="59">
        <v>0</v>
      </c>
      <c r="E12" s="59">
        <f>IF($F5*'Jan''13 Multi'!G7/'Jan''13 Multi'!G8&lt;'Jan''13 Multi'!G12,0,IF($F5*'Jan''13 Multi'!G7/'Jan''13 Multi'!G8&lt;='Jan''13 Multi'!G13,($F5*'Jan''13 Multi'!G7/'Jan''13 Multi'!G8-'Jan''13 Multi'!G12)*('Jan''13 Multi'!G17/100)*'Jan''13 Multi'!G8,('Jan''13 Multi'!G13-'Jan''13 Multi'!G12)*('Jan''13 Multi'!G17/100)*'Jan''13 Multi'!G8))</f>
        <v>133.65</v>
      </c>
      <c r="F12" s="59">
        <v>0</v>
      </c>
      <c r="G12" s="59">
        <v>0</v>
      </c>
      <c r="H12" s="59">
        <v>0</v>
      </c>
      <c r="I12" s="59">
        <v>0</v>
      </c>
      <c r="J12" s="63"/>
    </row>
    <row r="13" spans="1:13" x14ac:dyDescent="0.15">
      <c r="A13" s="40" t="s">
        <v>605</v>
      </c>
      <c r="C13" s="59">
        <f>IF($F5*'Jan''13 Multi'!E7/'Jan''13 Multi'!E8&lt;'Jan''13 Multi'!E13,0,IF($F5*'Jan''13 Multi'!E7/'Jan''13 Multi'!E8&lt;='Jan''13 Multi'!E14,($F5*'Jan''13 Multi'!E7/'Jan''13 Multi'!E8-'Jan''13 Multi'!E13)*('Jan''13 Multi'!E18/100)*'Jan''13 Multi'!E8,('Jan''13 Multi'!E14-'Jan''13 Multi'!E13)*('Jan''13 Multi'!E18/100)*'Jan''13 Multi'!E8))</f>
        <v>54.945000000000007</v>
      </c>
      <c r="D13" s="59">
        <v>0</v>
      </c>
      <c r="E13" s="59">
        <f>IF($F5*'Jan''13 Multi'!G7/'Jan''13 Multi'!G8&lt;'Jan''13 Multi'!G13,0,IF($F5*'Jan''13 Multi'!G7/'Jan''13 Multi'!G8&lt;='Jan''13 Multi'!G14,($F5*'Jan''13 Multi'!G7/'Jan''13 Multi'!G8-'Jan''13 Multi'!G13)*('Jan''13 Multi'!G18/100)*'Jan''13 Multi'!G8,('Jan''13 Multi'!G14-'Jan''13 Multi'!G13)*('Jan''13 Multi'!G18/100)*'Jan''13 Multi'!G8))</f>
        <v>61.38</v>
      </c>
      <c r="F13" s="59">
        <v>0</v>
      </c>
      <c r="G13" s="59">
        <v>0</v>
      </c>
      <c r="H13" s="59">
        <v>0</v>
      </c>
      <c r="I13" s="59">
        <v>0</v>
      </c>
      <c r="J13" s="63"/>
    </row>
    <row r="14" spans="1:13" x14ac:dyDescent="0.15">
      <c r="A14" s="40" t="s">
        <v>606</v>
      </c>
      <c r="C14" s="59">
        <f>IF(($F5*'Jan''13 Multi'!E7/'Jan''13 Multi'!E8&gt;'Jan''13 Multi'!E14),($F5*'Jan''13 Multi'!E7/'Jan''13 Multi'!E8-'Jan''13 Multi'!E14)*'Jan''13 Multi'!E19/100*'Jan''13 Multi'!E8,0)</f>
        <v>0</v>
      </c>
      <c r="D14" s="59">
        <f>IF(($F5*'Jan''13 Multi'!F7/'Jan''13 Multi'!F8&gt;'Jan''13 Multi'!F12),($F5*'Jan''13 Multi'!F7/'Jan''13 Multi'!F8-'Jan''13 Multi'!F12)*'Jan''13 Multi'!F19/100)*'Jan''13 Multi'!F8</f>
        <v>50.094000000000001</v>
      </c>
      <c r="E14" s="59">
        <f>IF(($F5*'Jan''13 Multi'!G7/'Jan''13 Multi'!G8&gt;'Jan''13 Multi'!G14),($F5*'Jan''13 Multi'!G7/'Jan''13 Multi'!G8-'Jan''13 Multi'!G14)*'Jan''13 Multi'!G19/100*'Jan''13 Multi'!G8,0)</f>
        <v>0</v>
      </c>
      <c r="F14" s="59">
        <f>IF(($F5*'Jan''13 Multi'!H7/'Jan''13 Multi'!H8&gt;'Jan''13 Multi'!H12),($F5*'Jan''13 Multi'!H7/'Jan''13 Multi'!H8-'Jan''13 Multi'!H12)*'Jan''13 Multi'!H19/100)*'Jan''13 Multi'!H8</f>
        <v>217.35000000000002</v>
      </c>
      <c r="G14" s="59">
        <f>IF(($F5*'Jan''13 Multi'!I7/'Jan''13 Multi'!I8&gt;'Jan''13 Multi'!I12),($F5*'Jan''13 Multi'!I7/'Jan''13 Multi'!I8-'Jan''13 Multi'!I12)*'Jan''13 Multi'!I19/100)*'Jan''13 Multi'!I8</f>
        <v>50.935500000000005</v>
      </c>
      <c r="H14" s="59">
        <f>IF(($F5*'Jan''13 Multi'!J7/'Jan''13 Multi'!J8&gt;'Jan''13 Multi'!J12),($F5*'Jan''13 Multi'!J7/'Jan''13 Multi'!J8-'Jan''13 Multi'!J12)*'Jan''13 Multi'!J19/100)*'Jan''13 Multi'!J8</f>
        <v>64.844999999999999</v>
      </c>
      <c r="I14" s="59">
        <f>IF(($F5*'Jan''13 Multi'!K7/'Jan''13 Multi'!K8&gt;'Jan''13 Multi'!K12),($F5*'Jan''13 Multi'!K7/'Jan''13 Multi'!K8-'Jan''13 Multi'!K12)*'Jan''13 Multi'!K19/100)*'Jan''13 Multi'!K8</f>
        <v>53.46</v>
      </c>
      <c r="J14" s="63"/>
    </row>
    <row r="15" spans="1:13" x14ac:dyDescent="0.15">
      <c r="A15" s="40" t="s">
        <v>607</v>
      </c>
      <c r="C15" s="59">
        <f>IF($F5*'Jan''13 Multi'!E9/'Jan''13 Multi'!E10&gt;='Jan''13 Multi'!E11,('Jan''13 Multi'!E11*'Jan''13 Multi'!E20/100)*'Jan''13 Multi'!E10,($F5*'Jan''13 Multi'!E9/'Jan''13 Multi'!E10*'Jan''13 Multi'!E20/100)*'Jan''13 Multi'!E10)</f>
        <v>170.97299999999998</v>
      </c>
      <c r="D15" s="59">
        <f>IF($F5*'Jan''13 Multi'!F9/'Jan''13 Multi'!F10&gt;='Jan''13 Multi'!F11,('Jan''13 Multi'!F11*'Jan''13 Multi'!F20/100)*'Jan''13 Multi'!F10,($F5*'Jan''13 Multi'!F9/'Jan''13 Multi'!F10*'Jan''13 Multi'!F20/100)*'Jan''13 Multi'!F10)</f>
        <v>341.54999999999995</v>
      </c>
      <c r="E15" s="59">
        <f>IF($F5*'Jan''13 Multi'!G9/'Jan''13 Multi'!G10&gt;='Jan''13 Multi'!G11,('Jan''13 Multi'!G11*'Jan''13 Multi'!G20/100)*'Jan''13 Multi'!G10,($F5*'Jan''13 Multi'!G9/'Jan''13 Multi'!G10*'Jan''13 Multi'!G20/100)*'Jan''13 Multi'!G10)</f>
        <v>183.14999999999998</v>
      </c>
      <c r="F15" s="59">
        <f>IF($F5*'Jan''13 Multi'!H9/'Jan''13 Multi'!H10&gt;='Jan''13 Multi'!H11,('Jan''13 Multi'!H11*'Jan''13 Multi'!H20/100)*'Jan''13 Multi'!H10,($F5*'Jan''13 Multi'!H9/'Jan''13 Multi'!H10*'Jan''13 Multi'!H20/100)*'Jan''13 Multi'!H10)</f>
        <v>372.59999999999997</v>
      </c>
      <c r="G15" s="59">
        <f>IF($F5*'Jan''13 Multi'!I9/'Jan''13 Multi'!I10&gt;='Jan''13 Multi'!I11,('Jan''13 Multi'!I11*'Jan''13 Multi'!I20/100)*'Jan''13 Multi'!I10,($F5*'Jan''13 Multi'!I9/'Jan''13 Multi'!I10*'Jan''13 Multi'!I20/100)*'Jan''13 Multi'!I10)</f>
        <v>378.18</v>
      </c>
      <c r="H15" s="59">
        <f>IF($F5*'Jan''13 Multi'!J9/'Jan''13 Multi'!J10&gt;='Jan''13 Multi'!J11,('Jan''13 Multi'!J11*'Jan''13 Multi'!J20/100)*'Jan''13 Multi'!J10,($F5*'Jan''13 Multi'!J9/'Jan''13 Multi'!J10*'Jan''13 Multi'!J20/100)*'Jan''13 Multi'!J10)</f>
        <v>344.26800000000003</v>
      </c>
      <c r="I15" s="59">
        <f>IF($F5*'Jan''13 Multi'!K9/'Jan''13 Multi'!K10&gt;='Jan''13 Multi'!K11,('Jan''13 Multi'!K11*'Jan''13 Multi'!K20/100)*'Jan''13 Multi'!K10,($F5*'Jan''13 Multi'!K9/'Jan''13 Multi'!K10*'Jan''13 Multi'!K20/100)*'Jan''13 Multi'!K10)</f>
        <v>332.64</v>
      </c>
      <c r="J15" s="63"/>
    </row>
    <row r="16" spans="1:13" x14ac:dyDescent="0.15">
      <c r="A16" s="40" t="s">
        <v>608</v>
      </c>
      <c r="C16" s="59">
        <f>IF($F5*'Jan''13 Multi'!E9/'Jan''13 Multi'!E10&lt;'Jan''13 Multi'!E11,0,IF($F5*'Jan''13 Multi'!E9/'Jan''13 Multi'!E10&lt;='Jan''13 Multi'!E12,($F5*'Jan''13 Multi'!E9/'Jan''13 Multi'!E10-'Jan''13 Multi'!E11)*('Jan''13 Multi'!E21/100)*'Jan''13 Multi'!E10,('Jan''13 Multi'!E12-'Jan''13 Multi'!E11)*('Jan''13 Multi'!E21/100)*'Jan''13 Multi'!E10))</f>
        <v>149.39099999999999</v>
      </c>
      <c r="D16" s="59">
        <f>IF($F5*'Jan''13 Multi'!F9/'Jan''13 Multi'!F10&lt;'Jan''13 Multi'!F11,0,IF($F5*'Jan''13 Multi'!F9/'Jan''13 Multi'!F10&lt;='Jan''13 Multi'!F12,($F5*'Jan''13 Multi'!F9/'Jan''13 Multi'!F10-'Jan''13 Multi'!F11)*('Jan''13 Multi'!F21/100)*'Jan''13 Multi'!F10,('Jan''13 Multi'!F12-'Jan''13 Multi'!F11)*('Jan''13 Multi'!F21/100)*'Jan''13 Multi'!F10))</f>
        <v>128.40300000000002</v>
      </c>
      <c r="E16" s="59">
        <f>IF($F5*'Jan''13 Multi'!G9/'Jan''13 Multi'!G10&lt;'Jan''13 Multi'!G11,0,IF($F5*'Jan''13 Multi'!G9/'Jan''13 Multi'!G10&lt;='Jan''13 Multi'!G12,($F5*'Jan''13 Multi'!G9/'Jan''13 Multi'!G10-'Jan''13 Multi'!G11)*('Jan''13 Multi'!G21/100)*'Jan''13 Multi'!G10,('Jan''13 Multi'!G12-'Jan''13 Multi'!G11)*('Jan''13 Multi'!G21/100)*'Jan''13 Multi'!G10))</f>
        <v>169.29</v>
      </c>
      <c r="F16" s="59">
        <v>0</v>
      </c>
      <c r="G16" s="59">
        <f>IF($F5*'Jan''13 Multi'!I9/'Jan''13 Multi'!I10&lt;'Jan''13 Multi'!I11,0,IF($F5*'Jan''13 Multi'!I9/'Jan''13 Multi'!I10&lt;='Jan''13 Multi'!I12,($F5*'Jan''13 Multi'!I9/'Jan''13 Multi'!I10-'Jan''13 Multi'!I11)*('Jan''13 Multi'!I21/100)*'Jan''13 Multi'!I10,('Jan''13 Multi'!I12-'Jan''13 Multi'!I11)*('Jan''13 Multi'!I21/100)*'Jan''13 Multi'!I10))</f>
        <v>128.898</v>
      </c>
      <c r="H16" s="59">
        <f>IF($F5*'Jan''13 Multi'!J9/'Jan''13 Multi'!J10&lt;'Jan''13 Multi'!J11,0,IF($F5*'Jan''13 Multi'!J9/'Jan''13 Multi'!J10&lt;='Jan''13 Multi'!J12,($F5*'Jan''13 Multi'!J9/'Jan''13 Multi'!J10-'Jan''13 Multi'!J11)*('Jan''13 Multi'!J21/100)*'Jan''13 Multi'!J10,('Jan''13 Multi'!J12-'Jan''13 Multi'!J11)*('Jan''13 Multi'!J21/100)*'Jan''13 Multi'!J10))</f>
        <v>137.988</v>
      </c>
      <c r="I16" s="59">
        <f>IF($F5*'Jan''13 Multi'!K9/'Jan''13 Multi'!K10&lt;'Jan''13 Multi'!K11,0,IF($F5*'Jan''13 Multi'!K9/'Jan''13 Multi'!K10&lt;='Jan''13 Multi'!K12,($F5*'Jan''13 Multi'!K9/'Jan''13 Multi'!K10-'Jan''13 Multi'!K11)*('Jan''13 Multi'!K21/100)*'Jan''13 Multi'!K10,('Jan''13 Multi'!K12-'Jan''13 Multi'!K11)*('Jan''13 Multi'!K21/100)*'Jan''13 Multi'!K10))</f>
        <v>128.69999999999999</v>
      </c>
      <c r="J16" s="63"/>
    </row>
    <row r="17" spans="1:10" x14ac:dyDescent="0.15">
      <c r="A17" s="40" t="s">
        <v>609</v>
      </c>
      <c r="C17" s="59">
        <f>IF($F5*'Jan''13 Multi'!E9/'Jan''13 Multi'!E10&lt;'Jan''13 Multi'!E12,0,IF($F5*'Jan''13 Multi'!E9/'Jan''13 Multi'!E10&lt;='Jan''13 Multi'!E13,($F5*'Jan''13 Multi'!E9/'Jan''13 Multi'!E10-'Jan''13 Multi'!E12)*('Jan''13 Multi'!E22/100)*'Jan''13 Multi'!E10,('Jan''13 Multi'!E13-'Jan''13 Multi'!E12)*('Jan''13 Multi'!E22/100)*'Jan''13 Multi'!E10))</f>
        <v>121.86900000000001</v>
      </c>
      <c r="D17" s="59">
        <v>0</v>
      </c>
      <c r="E17" s="59">
        <f>IF($F5*'Jan''13 Multi'!G9/'Jan''13 Multi'!G10&lt;'Jan''13 Multi'!G12,0,IF($F5*'Jan''13 Multi'!G9/'Jan''13 Multi'!G10&lt;='Jan''13 Multi'!G13,($F5*'Jan''13 Multi'!G9/'Jan''13 Multi'!G10-'Jan''13 Multi'!G12)*('Jan''13 Multi'!G22/100)*'Jan''13 Multi'!G10,('Jan''13 Multi'!G13-'Jan''13 Multi'!G12)*('Jan''13 Multi'!G22/100)*'Jan''13 Multi'!G10))</f>
        <v>132.66</v>
      </c>
      <c r="F17" s="59">
        <v>0</v>
      </c>
      <c r="G17" s="59">
        <v>0</v>
      </c>
      <c r="H17" s="59">
        <v>0</v>
      </c>
      <c r="I17" s="59">
        <v>0</v>
      </c>
      <c r="J17" s="63"/>
    </row>
    <row r="18" spans="1:10" x14ac:dyDescent="0.15">
      <c r="A18" s="40" t="s">
        <v>610</v>
      </c>
      <c r="C18" s="59">
        <f>IF($F5*'Jan''13 Multi'!E9/'Jan''13 Multi'!E10&lt;'Jan''13 Multi'!E13,0,IF($F5*'Jan''13 Multi'!E9/'Jan''13 Multi'!E10&lt;='Jan''13 Multi'!E14,($F5*'Jan''13 Multi'!E9/'Jan''13 Multi'!E10-'Jan''13 Multi'!E13)*('Jan''13 Multi'!E23/100)*'Jan''13 Multi'!E10,('Jan''13 Multi'!E14-'Jan''13 Multi'!E13)*('Jan''13 Multi'!E23/100)*'Jan''13 Multi'!E10))</f>
        <v>53.707499999999996</v>
      </c>
      <c r="D18" s="59">
        <v>0</v>
      </c>
      <c r="E18" s="59">
        <f>IF($F5*'Jan''13 Multi'!G9/'Jan''13 Multi'!G10&lt;'Jan''13 Multi'!G13,0,IF($F5*'Jan''13 Multi'!G9/'Jan''13 Multi'!G10&lt;='Jan''13 Multi'!G14,($F5*'Jan''13 Multi'!G9/'Jan''13 Multi'!G10-'Jan''13 Multi'!G13)*('Jan''13 Multi'!G23/100)*'Jan''13 Multi'!G10,('Jan''13 Multi'!G14-'Jan''13 Multi'!G13)*('Jan''13 Multi'!G23/100)*'Jan''13 Multi'!G10))</f>
        <v>60.390000000000008</v>
      </c>
      <c r="F18" s="59">
        <v>0</v>
      </c>
      <c r="G18" s="59">
        <v>0</v>
      </c>
      <c r="H18" s="59">
        <v>0</v>
      </c>
      <c r="I18" s="59">
        <v>0</v>
      </c>
      <c r="J18" s="63"/>
    </row>
    <row r="19" spans="1:10" x14ac:dyDescent="0.15">
      <c r="A19" s="40" t="s">
        <v>611</v>
      </c>
      <c r="C19" s="59">
        <f>IF(($F5*'Jan''13 Multi'!E9/'Jan''13 Multi'!E10&gt;'Jan''13 Multi'!E14),($F5*'Jan''13 Multi'!E9/'Jan''13 Multi'!E10-'Jan''13 Multi'!E14)*'Jan''13 Multi'!E24/100*'Jan''13 Multi'!E10,0)</f>
        <v>0</v>
      </c>
      <c r="D19" s="59">
        <f>IF(($F5*'Jan''13 Multi'!F9/'Jan''13 Multi'!F10&gt;'Jan''13 Multi'!F12),($F5*'Jan''13 Multi'!F9/'Jan''13 Multi'!F10-'Jan''13 Multi'!F12)*'Jan''13 Multi'!F24/100)*'Jan''13 Multi'!F10</f>
        <v>46.381500000000003</v>
      </c>
      <c r="E19" s="59">
        <f>IF(($F5*'Jan''13 Multi'!G9/'Jan''13 Multi'!G10&gt;'Jan''13 Multi'!G14),($F5*'Jan''13 Multi'!G9/'Jan''13 Multi'!G10-'Jan''13 Multi'!G14)*'Jan''13 Multi'!G24/100*'Jan''13 Multi'!G10,0)</f>
        <v>0</v>
      </c>
      <c r="F19" s="59">
        <f>IF(($F5*'Jan''13 Multi'!H9/'Jan''13 Multi'!H10&gt;'Jan''13 Multi'!H12),($F5*'Jan''13 Multi'!H9/'Jan''13 Multi'!H10-'Jan''13 Multi'!H12)*'Jan''13 Multi'!H24/100)*'Jan''13 Multi'!H10</f>
        <v>209.25</v>
      </c>
      <c r="G19" s="59">
        <f>IF(($F5*'Jan''13 Multi'!I9/'Jan''13 Multi'!I10&gt;'Jan''13 Multi'!I12),($F5*'Jan''13 Multi'!I9/'Jan''13 Multi'!I10-'Jan''13 Multi'!I12)*'Jan''13 Multi'!I24/100)*'Jan''13 Multi'!I10</f>
        <v>48.114000000000004</v>
      </c>
      <c r="H19" s="59">
        <f>IF(($F5*'Jan''13 Multi'!J9/'Jan''13 Multi'!J10&gt;'Jan''13 Multi'!J12),($F5*'Jan''13 Multi'!J9/'Jan''13 Multi'!J10-'Jan''13 Multi'!J12)*'Jan''13 Multi'!J24/100)*'Jan''13 Multi'!J10</f>
        <v>62.117999999999995</v>
      </c>
      <c r="I19" s="59">
        <f>IF(($F5*'Jan''13 Multi'!K9/'Jan''13 Multi'!K10&gt;'Jan''13 Multi'!K12),($F5*'Jan''13 Multi'!K9/'Jan''13 Multi'!K10-'Jan''13 Multi'!K12)*'Jan''13 Multi'!K24/100)*'Jan''13 Multi'!K10</f>
        <v>51.974999999999994</v>
      </c>
      <c r="J19" s="63"/>
    </row>
    <row r="20" spans="1:10" x14ac:dyDescent="0.15">
      <c r="A20" s="40" t="s">
        <v>612</v>
      </c>
      <c r="C20" s="59">
        <f>365*'Jan''13 Multi'!E25/100</f>
        <v>230.82235</v>
      </c>
      <c r="D20" s="59">
        <f>365*'Jan''13 Multi'!F25/100</f>
        <v>233.83359999999996</v>
      </c>
      <c r="E20" s="59">
        <f>365*'Jan''13 Multi'!G25/100</f>
        <v>240.9</v>
      </c>
      <c r="F20" s="59">
        <f>365*'Jan''13 Multi'!H25/100</f>
        <v>234.62200000000001</v>
      </c>
      <c r="G20" s="59">
        <f>365*'Jan''13 Multi'!I25/100</f>
        <v>272.61849999999998</v>
      </c>
      <c r="H20" s="59">
        <f>365*'Jan''13 Multi'!J25/100</f>
        <v>235.42500000000001</v>
      </c>
      <c r="I20" s="59">
        <f>365*'Jan''13 Multi'!K25/100</f>
        <v>210.78749999999999</v>
      </c>
      <c r="J20" s="60">
        <f>AVERAGE(C20:I20)</f>
        <v>237.00127857142857</v>
      </c>
    </row>
    <row r="21" spans="1:10" x14ac:dyDescent="0.15">
      <c r="A21" s="62" t="s">
        <v>613</v>
      </c>
      <c r="B21" s="63"/>
      <c r="C21" s="61">
        <f t="shared" ref="C21:H21" si="0">SUM(C10:C20)</f>
        <v>1249.97785</v>
      </c>
      <c r="D21" s="61">
        <f t="shared" si="0"/>
        <v>1332.3870999999999</v>
      </c>
      <c r="E21" s="61">
        <f t="shared" si="0"/>
        <v>1342.7700000000002</v>
      </c>
      <c r="F21" s="61">
        <f t="shared" si="0"/>
        <v>1420.8220000000001</v>
      </c>
      <c r="G21" s="61">
        <f t="shared" si="0"/>
        <v>1434.037</v>
      </c>
      <c r="H21" s="61">
        <f t="shared" si="0"/>
        <v>1352.6489999999999</v>
      </c>
      <c r="I21" s="61">
        <f>SUM(I10:I20)</f>
        <v>1294.3424999999997</v>
      </c>
      <c r="J21" s="64">
        <f>AVERAGE(C21:I21)</f>
        <v>1346.7122071428571</v>
      </c>
    </row>
    <row r="23" spans="1:10" x14ac:dyDescent="0.15">
      <c r="A23" s="53" t="s">
        <v>1076</v>
      </c>
      <c r="C23" s="23" t="s">
        <v>1044</v>
      </c>
      <c r="D23" s="23" t="s">
        <v>591</v>
      </c>
      <c r="E23" s="23" t="s">
        <v>592</v>
      </c>
      <c r="F23" s="23" t="s">
        <v>544</v>
      </c>
      <c r="G23" s="23" t="s">
        <v>615</v>
      </c>
      <c r="H23" s="23" t="s">
        <v>515</v>
      </c>
      <c r="I23" s="23" t="s">
        <v>545</v>
      </c>
      <c r="J23" s="57" t="s">
        <v>601</v>
      </c>
    </row>
    <row r="24" spans="1:10" x14ac:dyDescent="0.15">
      <c r="A24" s="40" t="s">
        <v>602</v>
      </c>
      <c r="C24" s="59">
        <f>IF($F5*'Jan''13 Multi'!E29/'Jan''13 Multi'!E30&gt;='Jan''13 Multi'!E33,('Jan''13 Multi'!E33*'Jan''13 Multi'!E37/100)*'Jan''13 Multi'!E30,($F5*'Jan''13 Multi'!E29/'Jan''13 Multi'!E30*'Jan''13 Multi'!E37/100)*'Jan''13 Multi'!E30)</f>
        <v>176.91300000000001</v>
      </c>
      <c r="D24" s="59">
        <f>IF($F5*'Jan''13 Multi'!F29/'Jan''13 Multi'!F30&gt;='Jan''13 Multi'!F33,('Jan''13 Multi'!F33*'Jan''13 Multi'!F37/100)*'Jan''13 Multi'!F30,('Bills Jan''13'!$F5*'Jan''13 Multi'!F29/'Jan''13 Multi'!F30*'Jan''13 Multi'!F37/100)*'Jan''13 Multi'!F30)</f>
        <v>219.21900000000002</v>
      </c>
      <c r="E24" s="59">
        <f>IF($F5*'Jan''13 Multi'!G29/'Jan''13 Multi'!G30&gt;='Jan''13 Multi'!G33,('Jan''13 Multi'!G33*'Jan''13 Multi'!G37/100)*'Jan''13 Multi'!G30,($F5*'Jan''13 Multi'!G29/'Jan''13 Multi'!G30*'Jan''13 Multi'!G37/100)*'Jan''13 Multi'!G30)</f>
        <v>187.11000000000004</v>
      </c>
      <c r="F24" s="59">
        <f>IF($F5*'Jan''13 Multi'!H29/'Jan''13 Multi'!H30&gt;='Jan''13 Multi'!H33,('Jan''13 Multi'!H33*'Jan''13 Multi'!H37/100)*'Jan''13 Multi'!H30,('Bills Jan''13'!$F5*'Jan''13 Multi'!H29/'Jan''13 Multi'!H30*'Jan''13 Multi'!H37/100)*'Jan''13 Multi'!H30)</f>
        <v>143.49999999999997</v>
      </c>
      <c r="G24" s="59">
        <f>IF($F5*'Jan''13 Multi'!I29/'Jan''13 Multi'!I30&gt;='Jan''13 Multi'!I33,('Jan''13 Multi'!I33*'Jan''13 Multi'!I37/100)*'Jan''13 Multi'!I30,('Bills Jan''13'!$F5*'Jan''13 Multi'!I29/'Jan''13 Multi'!I30*'Jan''13 Multi'!I37/100)*'Jan''13 Multi'!I30)</f>
        <v>141.988</v>
      </c>
      <c r="H24" s="59">
        <f>IF($F5*'Jan''13 Multi'!J29/'Jan''13 Multi'!J30&gt;='Jan''13 Multi'!J33,('Jan''13 Multi'!J33*'Jan''13 Multi'!J37/100)*'Jan''13 Multi'!J30,('Bills Jan''13'!$F5*'Jan''13 Multi'!J29/'Jan''13 Multi'!J30*'Jan''13 Multi'!J37/100)*'Jan''13 Multi'!J30)</f>
        <v>208.90800000000002</v>
      </c>
      <c r="I24" s="59">
        <f>IF($F5*'Jan''13 Multi'!K29/'Jan''13 Multi'!K30&gt;='Jan''13 Multi'!K33,('Jan''13 Multi'!K33*'Jan''13 Multi'!K37/100)*'Jan''13 Multi'!K30,('Bills Jan''13'!$F5*'Jan''13 Multi'!K29/'Jan''13 Multi'!K30*'Jan''13 Multi'!K37/100)*'Jan''13 Multi'!K30)</f>
        <v>206.745</v>
      </c>
      <c r="J24" s="63"/>
    </row>
    <row r="25" spans="1:10" x14ac:dyDescent="0.15">
      <c r="A25" s="40" t="s">
        <v>603</v>
      </c>
      <c r="C25" s="59">
        <f>IF($F5*'Jan''13 Multi'!E29/'Jan''13 Multi'!E30&lt;'Jan''13 Multi'!E33,0,IF($F5*'Jan''13 Multi'!E29/'Jan''13 Multi'!E30&lt;='Jan''13 Multi'!E34,($F5*'Jan''13 Multi'!E29/'Jan''13 Multi'!E30-'Jan''13 Multi'!E33)*('Jan''13 Multi'!E38/100)*'Jan''13 Multi'!E30,('Jan''13 Multi'!E34-'Jan''13 Multi'!E33)*('Jan''13 Multi'!E38/100)*'Jan''13 Multi'!E30))</f>
        <v>156.71700000000001</v>
      </c>
      <c r="D25" s="59">
        <v>0</v>
      </c>
      <c r="E25" s="59">
        <f>IF($F5*'Jan''13 Multi'!G29/'Jan''13 Multi'!G30&lt;'Jan''13 Multi'!G33,0,IF($F5*'Jan''13 Multi'!G29/'Jan''13 Multi'!G30&lt;='Jan''13 Multi'!G34,($F5*'Jan''13 Multi'!G29/'Jan''13 Multi'!G30-'Jan''13 Multi'!G33)*('Jan''13 Multi'!G38/100)*'Jan''13 Multi'!G30,('Jan''13 Multi'!G34-'Jan''13 Multi'!G33)*('Jan''13 Multi'!G38/100)*'Jan''13 Multi'!G30))</f>
        <v>171.27</v>
      </c>
      <c r="F25" s="59">
        <v>0</v>
      </c>
      <c r="G25" s="59">
        <v>0</v>
      </c>
      <c r="H25" s="59">
        <v>0</v>
      </c>
      <c r="I25" s="59">
        <v>0</v>
      </c>
      <c r="J25" s="63"/>
    </row>
    <row r="26" spans="1:10" x14ac:dyDescent="0.15">
      <c r="A26" s="40" t="s">
        <v>604</v>
      </c>
      <c r="C26" s="59">
        <f>IF($F5*'Jan''13 Multi'!E29/'Jan''13 Multi'!E30&lt;'Jan''13 Multi'!E34,0,IF($F5*'Jan''13 Multi'!E29/'Jan''13 Multi'!E30&lt;='Jan''13 Multi'!E35,($F5*'Jan''13 Multi'!E29/'Jan''13 Multi'!E30-'Jan''13 Multi'!E34)*('Jan''13 Multi'!E39/100)*'Jan''13 Multi'!E30,('Jan''13 Multi'!E35-'Jan''13 Multi'!E34)*('Jan''13 Multi'!E39/100)*'Jan''13 Multi'!E30))</f>
        <v>137.214</v>
      </c>
      <c r="D26" s="59">
        <v>0</v>
      </c>
      <c r="E26" s="59">
        <f>IF($F5*'Jan''13 Multi'!G29/'Jan''13 Multi'!G30&lt;'Jan''13 Multi'!G34,0,IF($F5*'Jan''13 Multi'!G29/'Jan''13 Multi'!G30&lt;='Jan''13 Multi'!G35,($F5*'Jan''13 Multi'!G29/'Jan''13 Multi'!G30-'Jan''13 Multi'!G34)*('Jan''13 Multi'!G39/100)*'Jan''13 Multi'!G30,('Jan''13 Multi'!G35-'Jan''13 Multi'!G34)*('Jan''13 Multi'!G39/100)*'Jan''13 Multi'!G30))</f>
        <v>148.5</v>
      </c>
      <c r="F26" s="59">
        <v>0</v>
      </c>
      <c r="G26" s="59">
        <v>0</v>
      </c>
      <c r="H26" s="59">
        <v>0</v>
      </c>
      <c r="I26" s="59">
        <v>0</v>
      </c>
      <c r="J26" s="63"/>
    </row>
    <row r="27" spans="1:10" x14ac:dyDescent="0.15">
      <c r="A27" s="40" t="s">
        <v>605</v>
      </c>
      <c r="C27" s="59">
        <f>IF($F5*'Jan''13 Multi'!E29/'Jan''13 Multi'!E30&lt;'Jan''13 Multi'!E35,0,IF($F5*'Jan''13 Multi'!E29/'Jan''13 Multi'!E30&lt;='Jan''13 Multi'!E36,($F5*'Jan''13 Multi'!E29/'Jan''13 Multi'!E30-'Jan''13 Multi'!E35)*('Jan''13 Multi'!E40/100)*'Jan''13 Multi'!E30,('Jan''13 Multi'!E36-'Jan''13 Multi'!E35)*('Jan''13 Multi'!E40/100)*'Jan''13 Multi'!E30))</f>
        <v>66.132000000000005</v>
      </c>
      <c r="D27" s="59">
        <v>0</v>
      </c>
      <c r="E27" s="59">
        <f>IF($F5*'Jan''13 Multi'!G29/'Jan''13 Multi'!G30&lt;'Jan''13 Multi'!G35,0,IF($F5*'Jan''13 Multi'!G29/'Jan''13 Multi'!G30&lt;='Jan''13 Multi'!G36,($F5*'Jan''13 Multi'!G29/'Jan''13 Multi'!G30-'Jan''13 Multi'!G35)*('Jan''13 Multi'!G40/100)*'Jan''13 Multi'!G30,('Jan''13 Multi'!G36-'Jan''13 Multi'!G35)*('Jan''13 Multi'!G40/100)*'Jan''13 Multi'!G30))</f>
        <v>70.289999999999992</v>
      </c>
      <c r="F27" s="59">
        <v>0</v>
      </c>
      <c r="G27" s="59">
        <v>0</v>
      </c>
      <c r="H27" s="59">
        <v>0</v>
      </c>
      <c r="I27" s="59">
        <v>0</v>
      </c>
      <c r="J27" s="63"/>
    </row>
    <row r="28" spans="1:10" x14ac:dyDescent="0.15">
      <c r="A28" s="40" t="s">
        <v>606</v>
      </c>
      <c r="C28" s="59">
        <f>IF(($F5*'Jan''13 Multi'!E29/'Jan''13 Multi'!E30&gt;'Jan''13 Multi'!E36),($F5*'Jan''13 Multi'!E29/'Jan''13 Multi'!E30-'Jan''13 Multi'!E36)*'Jan''13 Multi'!E41/100*'Jan''13 Multi'!E30,0)</f>
        <v>0</v>
      </c>
      <c r="D28" s="59">
        <f>IF(($F5*'Jan''13 Multi'!F29/'Jan''13 Multi'!F30&gt;'Jan''13 Multi'!F33),('Bills Jan''13'!$F5*'Jan''13 Multi'!F29/'Jan''13 Multi'!F30-'Jan''13 Multi'!F33)*'Jan''13 Multi'!F41/100)*'Jan''13 Multi'!F30</f>
        <v>347.65500000000003</v>
      </c>
      <c r="E28" s="59">
        <f>IF(($F5*'Jan''13 Multi'!G29/'Jan''13 Multi'!G30&gt;'Jan''13 Multi'!G36),($F5*'Jan''13 Multi'!G29/'Jan''13 Multi'!G30-'Jan''13 Multi'!G36)*'Jan''13 Multi'!G41/100*'Jan''13 Multi'!G30,0)</f>
        <v>0</v>
      </c>
      <c r="F28" s="59">
        <f>IF(($F5*'Jan''13 Multi'!H29/'Jan''13 Multi'!H30&gt;'Jan''13 Multi'!H33),('Bills Jan''13'!$F5*'Jan''13 Multi'!H29/'Jan''13 Multi'!H30-'Jan''13 Multi'!H33)*'Jan''13 Multi'!H41/100)*'Jan''13 Multi'!H30</f>
        <v>239.36408999999995</v>
      </c>
      <c r="G28" s="59">
        <f>IF(($F5*'Jan''13 Multi'!I29/'Jan''13 Multi'!I30&gt;'Jan''13 Multi'!I33),('Bills Jan''13'!$F5*'Jan''13 Multi'!I29/'Jan''13 Multi'!I30-'Jan''13 Multi'!I33)*'Jan''13 Multi'!I41/100)*'Jan''13 Multi'!I30</f>
        <v>245.13122479999998</v>
      </c>
      <c r="H28" s="59">
        <f>IF(($F5*'Jan''13 Multi'!J29/'Jan''13 Multi'!J30&gt;'Jan''13 Multi'!J33),('Bills Jan''13'!$F5*'Jan''13 Multi'!J29/'Jan''13 Multi'!J30-'Jan''13 Multi'!J33)*'Jan''13 Multi'!J41/100)*'Jan''13 Multi'!J30</f>
        <v>232.49099999999999</v>
      </c>
      <c r="I28" s="59">
        <f>IF(($F5*'Jan''13 Multi'!K29/'Jan''13 Multi'!K30&gt;'Jan''13 Multi'!K33),('Bills Jan''13'!$F5*'Jan''13 Multi'!K29/'Jan''13 Multi'!K30-'Jan''13 Multi'!K33)*'Jan''13 Multi'!K41/100)*'Jan''13 Multi'!K30</f>
        <v>355.74</v>
      </c>
      <c r="J28" s="63"/>
    </row>
    <row r="29" spans="1:10" x14ac:dyDescent="0.15">
      <c r="A29" s="40" t="s">
        <v>607</v>
      </c>
      <c r="C29" s="59">
        <f>IF($F5*'Jan''13 Multi'!E31/'Jan''13 Multi'!E32&gt;='Jan''13 Multi'!E33,('Jan''13 Multi'!E33*'Jan''13 Multi'!E42/100)*'Jan''13 Multi'!E32,($F5*'Jan''13 Multi'!E31/'Jan''13 Multi'!E32*'Jan''13 Multi'!E42/100)*'Jan''13 Multi'!E32)</f>
        <v>164.04300000000001</v>
      </c>
      <c r="D29" s="59">
        <f>IF($F5*'Jan''13 Multi'!F31/'Jan''13 Multi'!F32&gt;='Jan''13 Multi'!F33,('Jan''13 Multi'!F33*'Jan''13 Multi'!F42/100)*'Jan''13 Multi'!F32,('Bills Jan''13'!$F5*'Jan''13 Multi'!F31/'Jan''13 Multi'!F32*'Jan''13 Multi'!F42/100)*'Jan''13 Multi'!F32)</f>
        <v>197.62050000000002</v>
      </c>
      <c r="E29" s="59">
        <f>IF($F5*'Jan''13 Multi'!G31/'Jan''13 Multi'!G32&gt;='Jan''13 Multi'!G33,('Jan''13 Multi'!G33*'Jan''13 Multi'!G42/100)*'Jan''13 Multi'!G32,($F5*'Jan''13 Multi'!G31/'Jan''13 Multi'!G32*'Jan''13 Multi'!G42/100)*'Jan''13 Multi'!G32)</f>
        <v>163.35000000000002</v>
      </c>
      <c r="F29" s="59">
        <f>IF($F5*'Jan''13 Multi'!H31/'Jan''13 Multi'!H32&gt;='Jan''13 Multi'!H33,('Jan''13 Multi'!H33*'Jan''13 Multi'!H42/100)*'Jan''13 Multi'!H32,('Bills Jan''13'!$F5*'Jan''13 Multi'!H31/'Jan''13 Multi'!H32*'Jan''13 Multi'!H42/100)*'Jan''13 Multi'!H32)</f>
        <v>271.60000000000002</v>
      </c>
      <c r="G29" s="59">
        <f>IF($F5*'Jan''13 Multi'!I31/'Jan''13 Multi'!I32&gt;='Jan''13 Multi'!I33,('Jan''13 Multi'!I33*'Jan''13 Multi'!I42/100)*'Jan''13 Multi'!I32,('Bills Jan''13'!$F5*'Jan''13 Multi'!I31/'Jan''13 Multi'!I32*'Jan''13 Multi'!I42/100)*'Jan''13 Multi'!I32)</f>
        <v>271.19400000000002</v>
      </c>
      <c r="H29" s="59">
        <f>IF($F5*'Jan''13 Multi'!J31/'Jan''13 Multi'!J32&gt;='Jan''13 Multi'!J33,('Jan''13 Multi'!J33*'Jan''13 Multi'!J42/100)*'Jan''13 Multi'!J32,('Bills Jan''13'!$F5*'Jan''13 Multi'!J31/'Jan''13 Multi'!J32*'Jan''13 Multi'!J42/100)*'Jan''13 Multi'!J32)</f>
        <v>196.12949999999998</v>
      </c>
      <c r="I29" s="59">
        <f>IF($F5*'Jan''13 Multi'!K31/'Jan''13 Multi'!K32&gt;='Jan''13 Multi'!K33,('Jan''13 Multi'!K33*'Jan''13 Multi'!K42/100)*'Jan''13 Multi'!K32,('Bills Jan''13'!$F5*'Jan''13 Multi'!K31/'Jan''13 Multi'!K32*'Jan''13 Multi'!K42/100)*'Jan''13 Multi'!K32)</f>
        <v>187.10999999999999</v>
      </c>
      <c r="J29" s="63"/>
    </row>
    <row r="30" spans="1:10" x14ac:dyDescent="0.15">
      <c r="A30" s="40" t="s">
        <v>608</v>
      </c>
      <c r="C30" s="59">
        <f>IF($F5*'Jan''13 Multi'!E31/'Jan''13 Multi'!E32&lt;'Jan''13 Multi'!E33,0,IF($F5*'Jan''13 Multi'!E31/'Jan''13 Multi'!E32&lt;='Jan''13 Multi'!E34,($F5*'Jan''13 Multi'!E31/'Jan''13 Multi'!E32-'Jan''13 Multi'!E33)*('Jan''13 Multi'!E43/100)*'Jan''13 Multi'!E32,('Jan''13 Multi'!E34-'Jan''13 Multi'!E33)*('Jan''13 Multi'!E43/100)*'Jan''13 Multi'!E32))</f>
        <v>147.90600000000001</v>
      </c>
      <c r="D30" s="59">
        <v>0</v>
      </c>
      <c r="E30" s="59">
        <f>IF($F5*'Jan''13 Multi'!G31/'Jan''13 Multi'!G32&lt;'Jan''13 Multi'!G33,0,IF($F5*'Jan''13 Multi'!G31/'Jan''13 Multi'!G32&lt;='Jan''13 Multi'!G34,($F5*'Jan''13 Multi'!G31/'Jan''13 Multi'!G32-'Jan''13 Multi'!G33)*('Jan''13 Multi'!G43/100)*'Jan''13 Multi'!G32,('Jan''13 Multi'!G34-'Jan''13 Multi'!G33)*('Jan''13 Multi'!G43/100)*'Jan''13 Multi'!G32))</f>
        <v>146.51999999999998</v>
      </c>
      <c r="F30" s="59">
        <v>0</v>
      </c>
      <c r="G30" s="59">
        <v>0</v>
      </c>
      <c r="H30" s="59">
        <v>0</v>
      </c>
      <c r="I30" s="59">
        <v>0</v>
      </c>
      <c r="J30" s="63"/>
    </row>
    <row r="31" spans="1:10" x14ac:dyDescent="0.15">
      <c r="A31" s="40" t="s">
        <v>609</v>
      </c>
      <c r="C31" s="59">
        <f>IF($F5*'Jan''13 Multi'!E31/'Jan''13 Multi'!E32&lt;'Jan''13 Multi'!E34,0,IF($F5*'Jan''13 Multi'!E31/'Jan''13 Multi'!E32&lt;='Jan''13 Multi'!E35,($F5*'Jan''13 Multi'!E31/'Jan''13 Multi'!E32-'Jan''13 Multi'!E34)*('Jan''13 Multi'!E44/100)*'Jan''13 Multi'!E32,('Jan''13 Multi'!E35-'Jan''13 Multi'!E34)*('Jan''13 Multi'!E44/100)*'Jan''13 Multi'!E32))</f>
        <v>131.47200000000001</v>
      </c>
      <c r="D31" s="59">
        <v>0</v>
      </c>
      <c r="E31" s="59">
        <f>IF($F5*'Jan''13 Multi'!G31/'Jan''13 Multi'!G32&lt;'Jan''13 Multi'!G34,0,IF($F5*'Jan''13 Multi'!G31/'Jan''13 Multi'!G32&lt;='Jan''13 Multi'!G35,($F5*'Jan''13 Multi'!G31/'Jan''13 Multi'!G32-'Jan''13 Multi'!G34)*('Jan''13 Multi'!G44/100)*'Jan''13 Multi'!G32,('Jan''13 Multi'!G35-'Jan''13 Multi'!G34)*('Jan''13 Multi'!G44/100)*'Jan''13 Multi'!G32))</f>
        <v>129.69</v>
      </c>
      <c r="F31" s="59">
        <v>0</v>
      </c>
      <c r="G31" s="59">
        <v>0</v>
      </c>
      <c r="H31" s="59">
        <v>0</v>
      </c>
      <c r="I31" s="59">
        <v>0</v>
      </c>
      <c r="J31" s="63"/>
    </row>
    <row r="32" spans="1:10" x14ac:dyDescent="0.15">
      <c r="A32" s="40" t="s">
        <v>610</v>
      </c>
      <c r="C32" s="59">
        <f>IF($F5*'Jan''13 Multi'!E31/'Jan''13 Multi'!E32&lt;'Jan''13 Multi'!E35,0,IF($F5*'Jan''13 Multi'!E31/'Jan''13 Multi'!E32&lt;='Jan''13 Multi'!E36,($F5*'Jan''13 Multi'!E31/'Jan''13 Multi'!E32-'Jan''13 Multi'!E35)*('Jan''13 Multi'!E45/100)*'Jan''13 Multi'!E32,('Jan''13 Multi'!E36-'Jan''13 Multi'!E35)*('Jan''13 Multi'!E45/100)*'Jan''13 Multi'!E32))</f>
        <v>64.597499999999997</v>
      </c>
      <c r="D32" s="59">
        <v>0</v>
      </c>
      <c r="E32" s="59">
        <f>IF($F5*'Jan''13 Multi'!G31/'Jan''13 Multi'!G32&lt;'Jan''13 Multi'!G35,0,IF($F5*'Jan''13 Multi'!G31/'Jan''13 Multi'!G32&lt;='Jan''13 Multi'!G36,($F5*'Jan''13 Multi'!G31/'Jan''13 Multi'!G32-'Jan''13 Multi'!G35)*('Jan''13 Multi'!G45/100)*'Jan''13 Multi'!G32,('Jan''13 Multi'!G36-'Jan''13 Multi'!G35)*('Jan''13 Multi'!G45/100)*'Jan''13 Multi'!G32))</f>
        <v>59.400000000000006</v>
      </c>
      <c r="F32" s="59">
        <v>0</v>
      </c>
      <c r="G32" s="59">
        <v>0</v>
      </c>
      <c r="H32" s="59">
        <v>0</v>
      </c>
      <c r="I32" s="59">
        <v>0</v>
      </c>
      <c r="J32" s="63"/>
    </row>
    <row r="33" spans="1:10" x14ac:dyDescent="0.15">
      <c r="A33" s="40" t="s">
        <v>611</v>
      </c>
      <c r="C33" s="59">
        <f>IF(($F5*'Jan''13 Multi'!E31/'Jan''13 Multi'!E32&gt;'Jan''13 Multi'!E36),($F5*'Jan''13 Multi'!E31/'Jan''13 Multi'!E32-'Jan''13 Multi'!E36)*'Jan''13 Multi'!E46/100*'Jan''13 Multi'!E32,0)</f>
        <v>0</v>
      </c>
      <c r="D33" s="59">
        <f>IF(($F5*'Jan''13 Multi'!F31/'Jan''13 Multi'!F32&gt;'Jan''13 Multi'!F33),('Bills Jan''13'!$F5*'Jan''13 Multi'!F31/'Jan''13 Multi'!F32-'Jan''13 Multi'!F33)*'Jan''13 Multi'!F46/100)*'Jan''13 Multi'!F32</f>
        <v>290.36700000000002</v>
      </c>
      <c r="E33" s="59">
        <f>IF(($F5*'Jan''13 Multi'!G31/'Jan''13 Multi'!G32&gt;'Jan''13 Multi'!G36),($F5*'Jan''13 Multi'!G31/'Jan''13 Multi'!G32-'Jan''13 Multi'!G36)*'Jan''13 Multi'!G46/100*'Jan''13 Multi'!G32,0)</f>
        <v>0</v>
      </c>
      <c r="F33" s="59">
        <f>IF(($F5*'Jan''13 Multi'!H31/'Jan''13 Multi'!H32&gt;'Jan''13 Multi'!H33),('Bills Jan''13'!$F5*'Jan''13 Multi'!H31/'Jan''13 Multi'!H32-'Jan''13 Multi'!H33)*'Jan''13 Multi'!H46/100)*'Jan''13 Multi'!H32</f>
        <v>433.93489999999997</v>
      </c>
      <c r="G33" s="59">
        <f>IF(($F5*'Jan''13 Multi'!I31/'Jan''13 Multi'!I32&gt;'Jan''13 Multi'!I33),('Bills Jan''13'!$F5*'Jan''13 Multi'!I31/'Jan''13 Multi'!I32-'Jan''13 Multi'!I33)*'Jan''13 Multi'!I46/100)*'Jan''13 Multi'!I32</f>
        <v>424.05238259999993</v>
      </c>
      <c r="H33" s="59">
        <f>IF(($F5*'Jan''13 Multi'!J31/'Jan''13 Multi'!J32&gt;'Jan''13 Multi'!J33),('Bills Jan''13'!$F5*'Jan''13 Multi'!J31/'Jan''13 Multi'!J32-'Jan''13 Multi'!J33)*'Jan''13 Multi'!J46/100)*'Jan''13 Multi'!J32</f>
        <v>331.88400000000001</v>
      </c>
      <c r="I33" s="59">
        <f>IF(($F5*'Jan''13 Multi'!K31/'Jan''13 Multi'!K32&gt;'Jan''13 Multi'!K33),('Bills Jan''13'!$F5*'Jan''13 Multi'!K31/'Jan''13 Multi'!K32-'Jan''13 Multi'!K33)*'Jan''13 Multi'!K46/100)*'Jan''13 Multi'!K32</f>
        <v>300.29999999999995</v>
      </c>
      <c r="J33" s="63"/>
    </row>
    <row r="34" spans="1:10" x14ac:dyDescent="0.15">
      <c r="A34" s="40" t="s">
        <v>612</v>
      </c>
      <c r="C34" s="59">
        <f>365*'Jan''13 Multi'!E47/100</f>
        <v>197.73875000000001</v>
      </c>
      <c r="D34" s="59">
        <f>365*'Jan''13 Multi'!F47/100</f>
        <v>212.79499999999999</v>
      </c>
      <c r="E34" s="59">
        <f>365*'Jan''13 Multi'!G47/100</f>
        <v>232.87</v>
      </c>
      <c r="F34" s="59">
        <f>365*'Jan''13 Multi'!H47/100</f>
        <v>216.55450000000002</v>
      </c>
      <c r="G34" s="59">
        <f>365*'Jan''13 Multi'!I47/100</f>
        <v>247.72550000000004</v>
      </c>
      <c r="H34" s="59">
        <f>365*'Jan''13 Multi'!J47/100</f>
        <v>215.67850000000001</v>
      </c>
      <c r="I34" s="59">
        <f>365*'Jan''13 Multi'!K47/100</f>
        <v>184.69</v>
      </c>
      <c r="J34" s="60">
        <f>AVERAGE(C34:I34)</f>
        <v>215.43603571428571</v>
      </c>
    </row>
    <row r="35" spans="1:10" x14ac:dyDescent="0.15">
      <c r="A35" s="62" t="s">
        <v>613</v>
      </c>
      <c r="B35" s="63"/>
      <c r="C35" s="61">
        <f t="shared" ref="C35:H35" si="1">SUM(C24:C34)</f>
        <v>1242.73325</v>
      </c>
      <c r="D35" s="61">
        <f t="shared" si="1"/>
        <v>1267.6565000000001</v>
      </c>
      <c r="E35" s="61">
        <f t="shared" si="1"/>
        <v>1309</v>
      </c>
      <c r="F35" s="61">
        <f t="shared" si="1"/>
        <v>1304.9534899999999</v>
      </c>
      <c r="G35" s="61">
        <f t="shared" si="1"/>
        <v>1330.0911073999998</v>
      </c>
      <c r="H35" s="61">
        <f t="shared" si="1"/>
        <v>1185.0910000000001</v>
      </c>
      <c r="I35" s="61">
        <f>SUM(I24:I34)</f>
        <v>1234.585</v>
      </c>
      <c r="J35" s="64">
        <f>AVERAGE(C35:I35)</f>
        <v>1267.7300496285716</v>
      </c>
    </row>
    <row r="37" spans="1:10" x14ac:dyDescent="0.15">
      <c r="A37" s="55" t="s">
        <v>1042</v>
      </c>
    </row>
    <row r="39" spans="1:10" x14ac:dyDescent="0.15">
      <c r="A39" s="53" t="s">
        <v>1024</v>
      </c>
      <c r="C39" s="23" t="s">
        <v>1044</v>
      </c>
      <c r="D39" s="23" t="s">
        <v>591</v>
      </c>
      <c r="E39" s="23" t="s">
        <v>592</v>
      </c>
      <c r="F39" s="23" t="s">
        <v>544</v>
      </c>
      <c r="G39" s="23" t="s">
        <v>615</v>
      </c>
      <c r="H39" s="23" t="s">
        <v>546</v>
      </c>
      <c r="I39" s="23" t="s">
        <v>545</v>
      </c>
      <c r="J39" s="57" t="s">
        <v>601</v>
      </c>
    </row>
    <row r="40" spans="1:10" x14ac:dyDescent="0.15">
      <c r="A40" s="40" t="s">
        <v>602</v>
      </c>
      <c r="C40" s="59">
        <f>IF($F5*'Jan''13 Envestra'!E7/'Jan''13 Envestra'!E8&gt;='Jan''13 Envestra'!E11,('Jan''13 Envestra'!E11*'Jan''13 Envestra'!E13/100)*'Jan''13 Envestra'!E8,($F5*'Jan''13 Envestra'!E7/'Jan''13 Envestra'!E8*'Jan''13 Envestra'!E13/100)*'Jan''13 Envestra'!E8)</f>
        <v>222.024</v>
      </c>
      <c r="D40" s="59">
        <f>IF($F5*'Jan''13 Envestra'!F7/'Jan''13 Envestra'!F8&gt;='Jan''13 Envestra'!F11,('Jan''13 Envestra'!F11*'Jan''13 Envestra'!F13/100)*'Jan''13 Envestra'!F8,($F5*'Jan''13 Envestra'!F7/'Jan''13 Envestra'!F8*'Jan''13 Envestra'!F13/100)*'Jan''13 Envestra'!F8)</f>
        <v>160.77600000000001</v>
      </c>
      <c r="E40" s="59">
        <f>IF($F5*'Jan''13 Envestra'!G7/'Jan''13 Envestra'!G8&gt;='Jan''13 Envestra'!G11,('Jan''13 Envestra'!G11*'Jan''13 Envestra'!G13/100)*'Jan''13 Envestra'!G8,($F5*'Jan''13 Envestra'!G7/'Jan''13 Envestra'!G8*'Jan''13 Envestra'!G13/100)*'Jan''13 Envestra'!G8)</f>
        <v>232.32</v>
      </c>
      <c r="F40" s="59">
        <f>IF($F5*'Jan''13 Envestra'!H7/'Jan''13 Envestra'!H8&gt;='Jan''13 Envestra'!H11,('Jan''13 Envestra'!H11*'Jan''13 Envestra'!H13/100)*'Jan''13 Envestra'!H8,($F5*'Jan''13 Envestra'!H7/'Jan''13 Envestra'!H8*'Jan''13 Envestra'!H13/100)*'Jan''13 Envestra'!H8)</f>
        <v>164.8</v>
      </c>
      <c r="G40" s="59">
        <f>IF($F5*'Jan''13 Envestra'!I7/'Jan''13 Envestra'!I8&gt;='Jan''13 Envestra'!I11,('Jan''13 Envestra'!I11*'Jan''13 Envestra'!I13/100)*'Jan''13 Envestra'!I8,($F5*'Jan''13 Envestra'!I7/'Jan''13 Envestra'!I8*'Jan''13 Envestra'!I13/100)*'Jan''13 Envestra'!I8)</f>
        <v>166.40799999999999</v>
      </c>
      <c r="H40" s="59">
        <f>IF($F5*'Jan''13 Envestra'!J7/'Jan''13 Envestra'!J8&gt;='Jan''13 Envestra'!J11,('Jan''13 Envestra'!J11*'Jan''13 Envestra'!J13/100)*'Jan''13 Envestra'!J8,($F5*'Jan''13 Envestra'!J7/'Jan''13 Envestra'!J8*'Jan''13 Envestra'!J13/100)*'Jan''13 Envestra'!J8)</f>
        <v>155.91200000000001</v>
      </c>
      <c r="I40" s="59">
        <f>IF($F5*'Jan''13 Envestra'!K7/'Jan''13 Envestra'!K8&gt;='Jan''13 Envestra'!K11,('Jan''13 Envestra'!K11*'Jan''13 Envestra'!K13/100)*'Jan''13 Envestra'!K8,($F5*'Jan''13 Envestra'!K7/'Jan''13 Envestra'!K8*'Jan''13 Envestra'!K13/100)*'Jan''13 Envestra'!K8)</f>
        <v>158.4</v>
      </c>
      <c r="J40" s="63"/>
    </row>
    <row r="41" spans="1:10" x14ac:dyDescent="0.15">
      <c r="A41" s="40" t="s">
        <v>603</v>
      </c>
      <c r="C41" s="59">
        <f>IF($F5*'Jan''13 Envestra'!E7/'Jan''13 Envestra'!E8&lt;'Jan''13 Envestra'!E11,0,IF($F5*'Jan''13 Envestra'!E7/'Jan''13 Envestra'!E8&lt;='Jan''13 Envestra'!E12,($F5*'Jan''13 Envestra'!E7/'Jan''13 Envestra'!E8-'Jan''13 Envestra'!E11)*('Jan''13 Envestra'!E14/100)*'Jan''13 Envestra'!E8,('Jan''13 Envestra'!E12-'Jan''13 Envestra'!E11)*('Jan''13 Envestra'!E14/100)*'Jan''13 Envestra'!E8))</f>
        <v>153.41419499999995</v>
      </c>
      <c r="D41" s="59">
        <f>IF($F5*'Jan''13 Envestra'!F7/'Jan''13 Envestra'!F8&lt;'Jan''13 Envestra'!F11,0,IF($F5*'Jan''13 Envestra'!F7/'Jan''13 Envestra'!F8&lt;='Jan''13 Envestra'!F12,($F5*'Jan''13 Envestra'!F7/'Jan''13 Envestra'!F8-'Jan''13 Envestra'!F11)*('Jan''13 Envestra'!F14/100)*'Jan''13 Envestra'!F8,('Jan''13 Envestra'!F12-'Jan''13 Envestra'!F11)*('Jan''13 Envestra'!F14/100)*'Jan''13 Envestra'!F8))</f>
        <v>246.92110629999996</v>
      </c>
      <c r="E41" s="59">
        <f>IF($F5*'Jan''13 Envestra'!G7/'Jan''13 Envestra'!G8&lt;'Jan''13 Envestra'!G11,0,IF($F5*'Jan''13 Envestra'!G7/'Jan''13 Envestra'!G8&lt;='Jan''13 Envestra'!G12,($F5*'Jan''13 Envestra'!G7/'Jan''13 Envestra'!G8-'Jan''13 Envestra'!G11)*('Jan''13 Envestra'!G14/100)*'Jan''13 Envestra'!G8,('Jan''13 Envestra'!G12-'Jan''13 Envestra'!G11)*('Jan''13 Envestra'!G14/100)*'Jan''13 Envestra'!G8))</f>
        <v>157.37327099999999</v>
      </c>
      <c r="F41" s="59">
        <v>0</v>
      </c>
      <c r="G41" s="59">
        <f>IF($F5*'Jan''13 Envestra'!I7/'Jan''13 Envestra'!I8&lt;'Jan''13 Envestra'!I11,0,IF($F5*'Jan''13 Envestra'!I7/'Jan''13 Envestra'!I8&lt;='Jan''13 Envestra'!I12,($F5*'Jan''13 Envestra'!I7/'Jan''13 Envestra'!I8-'Jan''13 Envestra'!I11)*('Jan''13 Envestra'!I14/100)*'Jan''13 Envestra'!I8,('Jan''13 Envestra'!I12-'Jan''13 Envestra'!I11)*('Jan''13 Envestra'!I14/100)*'Jan''13 Envestra'!I8))</f>
        <v>256.35758169999997</v>
      </c>
      <c r="H41" s="59">
        <f>IF($F5*'Jan''13 Envestra'!J7/'Jan''13 Envestra'!J8&lt;'Jan''13 Envestra'!J11,0,IF($F5*'Jan''13 Envestra'!J7/'Jan''13 Envestra'!J8&lt;='Jan''13 Envestra'!J12,($F5*'Jan''13 Envestra'!J7/'Jan''13 Envestra'!J8-'Jan''13 Envestra'!J11)*('Jan''13 Envestra'!J14/100)*'Jan''13 Envestra'!J8,('Jan''13 Envestra'!J12-'Jan''13 Envestra'!J11)*('Jan''13 Envestra'!J14/100)*'Jan''13 Envestra'!J8))</f>
        <v>234.74207399999995</v>
      </c>
      <c r="I41" s="59">
        <f>IF($F5*'Jan''13 Envestra'!K7/'Jan''13 Envestra'!K8&lt;'Jan''13 Envestra'!K11,0,IF($F5*'Jan''13 Envestra'!K7/'Jan''13 Envestra'!K8&lt;='Jan''13 Envestra'!K12,($F5*'Jan''13 Envestra'!K7/'Jan''13 Envestra'!K8-'Jan''13 Envestra'!K11)*('Jan''13 Envestra'!K14/100)*'Jan''13 Envestra'!K8,('Jan''13 Envestra'!K12-'Jan''13 Envestra'!K11)*('Jan''13 Envestra'!K14/100)*'Jan''13 Envestra'!K8))</f>
        <v>238.77142299999997</v>
      </c>
      <c r="J41" s="63"/>
    </row>
    <row r="42" spans="1:10" x14ac:dyDescent="0.15">
      <c r="A42" s="40" t="s">
        <v>606</v>
      </c>
      <c r="C42" s="59">
        <f>IF(($F5*'Jan''13 Envestra'!E7/'Jan''13 Envestra'!E8&gt;'Jan''13 Envestra'!E12),($F5*'Jan''13 Envestra'!E7/'Jan''13 Envestra'!E8-'Jan''13 Envestra'!E12)*'Jan''13 Envestra'!E15/100)*'Jan''13 Envestra'!E8</f>
        <v>0</v>
      </c>
      <c r="D42" s="59">
        <f>IF(($F5*'Jan''13 Envestra'!F7/'Jan''13 Envestra'!F8&gt;'Jan''13 Envestra'!F12),($F5*'Jan''13 Envestra'!F7/'Jan''13 Envestra'!F8-'Jan''13 Envestra'!F12)*'Jan''13 Envestra'!F15/100)*'Jan''13 Envestra'!F8</f>
        <v>0</v>
      </c>
      <c r="E42" s="59">
        <f>IF(($F5*'Jan''13 Envestra'!G7/'Jan''13 Envestra'!G8&gt;'Jan''13 Envestra'!G12),($F5*'Jan''13 Envestra'!G7/'Jan''13 Envestra'!G8-'Jan''13 Envestra'!G12)*'Jan''13 Envestra'!G15/100)*'Jan''13 Envestra'!G8</f>
        <v>0</v>
      </c>
      <c r="F42" s="59">
        <f>IF(($F5*'Jan''13 Envestra'!H7/'Jan''13 Envestra'!H8&gt;'Jan''13 Envestra'!H12),($F5*'Jan''13 Envestra'!H7/'Jan''13 Envestra'!H8-'Jan''13 Envestra'!H12)*'Jan''13 Envestra'!H15/100)*'Jan''13 Envestra'!H8</f>
        <v>250.85946999999996</v>
      </c>
      <c r="G42" s="59">
        <f>IF(($F5*'Jan''13 Envestra'!I7/'Jan''13 Envestra'!I8&gt;'Jan''13 Envestra'!I12),($F5*'Jan''13 Envestra'!I7/'Jan''13 Envestra'!I8-'Jan''13 Envestra'!I12)*'Jan''13 Envestra'!I15/100)*'Jan''13 Envestra'!I8</f>
        <v>0</v>
      </c>
      <c r="H42" s="59">
        <f>IF(($F5*'Jan''13 Envestra'!J7/'Jan''13 Envestra'!J8&gt;'Jan''13 Envestra'!J12),($F5*'Jan''13 Envestra'!J7/'Jan''13 Envestra'!J8-'Jan''13 Envestra'!J12)*'Jan''13 Envestra'!J15/100)*'Jan''13 Envestra'!J8</f>
        <v>0</v>
      </c>
      <c r="I42" s="59">
        <f>IF(($F5*'Jan''13 Envestra'!K7/'Jan''13 Envestra'!K8&gt;'Jan''13 Envestra'!K12),($F5*'Jan''13 Envestra'!K7/'Jan''13 Envestra'!K8-'Jan''13 Envestra'!K12)*'Jan''13 Envestra'!K15/100)*'Jan''13 Envestra'!K8</f>
        <v>0</v>
      </c>
      <c r="J42" s="63"/>
    </row>
    <row r="43" spans="1:10" x14ac:dyDescent="0.15">
      <c r="A43" s="40" t="s">
        <v>607</v>
      </c>
      <c r="C43" s="59">
        <f>IF($F5*'Jan''13 Envestra'!E9/'Jan''13 Envestra'!E10&gt;='Jan''13 Envestra'!E11,('Jan''13 Envestra'!E11*'Jan''13 Envestra'!E16/100)*'Jan''13 Envestra'!E10,($F5*'Jan''13 Envestra'!E9/'Jan''13 Envestra'!E10*'Jan''13 Envestra'!E16/100)*'Jan''13 Envestra'!E10)</f>
        <v>426.62400000000002</v>
      </c>
      <c r="D43" s="59">
        <f>IF($F5*'Jan''13 Envestra'!F9/'Jan''13 Envestra'!F10&gt;='Jan''13 Envestra'!F11,('Jan''13 Envestra'!F11*'Jan''13 Envestra'!F16/100)*'Jan''13 Envestra'!F10,($F5*'Jan''13 Envestra'!F9/'Jan''13 Envestra'!F10*'Jan''13 Envestra'!F16/100)*'Jan''13 Envestra'!F10)</f>
        <v>288.81599999999997</v>
      </c>
      <c r="E43" s="59">
        <f>IF($F5*'Jan''13 Envestra'!G9/'Jan''13 Envestra'!G10&gt;='Jan''13 Envestra'!G11,('Jan''13 Envestra'!G11*'Jan''13 Envestra'!G16/100)*'Jan''13 Envestra'!G10,($F5*'Jan''13 Envestra'!G9/'Jan''13 Envestra'!G10*'Jan''13 Envestra'!G16/100)*'Jan''13 Envestra'!G10)</f>
        <v>451.44</v>
      </c>
      <c r="F43" s="59">
        <f>IF($F5*'Jan''13 Envestra'!H9/'Jan''13 Envestra'!H10&gt;='Jan''13 Envestra'!H11,('Jan''13 Envestra'!H11*'Jan''13 Envestra'!H16/100)*'Jan''13 Envestra'!H10,($F5*'Jan''13 Envestra'!H9/'Jan''13 Envestra'!H10*'Jan''13 Envestra'!H16/100)*'Jan''13 Envestra'!H10)</f>
        <v>320</v>
      </c>
      <c r="G43" s="59">
        <f>IF($F5*'Jan''13 Envestra'!I9/'Jan''13 Envestra'!I10&gt;='Jan''13 Envestra'!I11,('Jan''13 Envestra'!I11*'Jan''13 Envestra'!I16/100)*'Jan''13 Envestra'!I10,($F5*'Jan''13 Envestra'!I9/'Jan''13 Envestra'!I10*'Jan''13 Envestra'!I16/100)*'Jan''13 Envestra'!I10)</f>
        <v>318.20799999999997</v>
      </c>
      <c r="H43" s="59">
        <f>IF($F5*'Jan''13 Envestra'!J9/'Jan''13 Envestra'!J10&gt;='Jan''13 Envestra'!J11,('Jan''13 Envestra'!J11*'Jan''13 Envestra'!J16/100)*'Jan''13 Envestra'!J10,($F5*'Jan''13 Envestra'!J9/'Jan''13 Envestra'!J10*'Jan''13 Envestra'!J16/100)*'Jan''13 Envestra'!J10)</f>
        <v>300.64</v>
      </c>
      <c r="I43" s="59">
        <f>IF($F5*'Jan''13 Envestra'!K9/'Jan''13 Envestra'!K10&gt;='Jan''13 Envestra'!K11,('Jan''13 Envestra'!K11*'Jan''13 Envestra'!K16/100)*'Jan''13 Envestra'!K10,($F5*'Jan''13 Envestra'!K9/'Jan''13 Envestra'!K10*'Jan''13 Envestra'!K16/100)*'Jan''13 Envestra'!K10)</f>
        <v>283.36</v>
      </c>
      <c r="J43" s="63"/>
    </row>
    <row r="44" spans="1:10" x14ac:dyDescent="0.15">
      <c r="A44" s="40" t="s">
        <v>608</v>
      </c>
      <c r="C44" s="59">
        <f>IF($F5*'Jan''13 Envestra'!E9/'Jan''13 Envestra'!E10&lt;'Jan''13 Envestra'!E11,0,IF($F5*'Jan''13 Envestra'!E9/'Jan''13 Envestra'!E10&lt;='Jan''13 Envestra'!E12,($F5*'Jan''13 Envestra'!E9/'Jan''13 Envestra'!E10-'Jan''13 Envestra'!E11)*('Jan''13 Envestra'!E17/100)*'Jan''13 Envestra'!E10,('Jan''13 Envestra'!E12-'Jan''13 Envestra'!E11)*('Jan''13 Envestra'!E17/100)*'Jan''13 Envestra'!E10))</f>
        <v>298.11842279999996</v>
      </c>
      <c r="D44" s="59">
        <f>IF($F5*'Jan''13 Envestra'!F9/'Jan''13 Envestra'!F10&lt;'Jan''13 Envestra'!F11,0,IF($F5*'Jan''13 Envestra'!F9/'Jan''13 Envestra'!F10&lt;='Jan''13 Envestra'!F12,($F5*'Jan''13 Envestra'!F9/'Jan''13 Envestra'!F10-'Jan''13 Envestra'!F11)*('Jan''13 Envestra'!F17/100)*'Jan''13 Envestra'!F10,('Jan''13 Envestra'!F12-'Jan''13 Envestra'!F11)*('Jan''13 Envestra'!F17/100)*'Jan''13 Envestra'!F10))</f>
        <v>468.39232439999989</v>
      </c>
      <c r="E44" s="59">
        <f>IF($F5*'Jan''13 Envestra'!G9/'Jan''13 Envestra'!G10&lt;'Jan''13 Envestra'!G11,0,IF($F5*'Jan''13 Envestra'!G9/'Jan''13 Envestra'!G10&lt;='Jan''13 Envestra'!G12,($F5*'Jan''13 Envestra'!G9/'Jan''13 Envestra'!G10-'Jan''13 Envestra'!G11)*('Jan''13 Envestra'!G17/100)*'Jan''13 Envestra'!G10,('Jan''13 Envestra'!G12-'Jan''13 Envestra'!G11)*('Jan''13 Envestra'!G17/100)*'Jan''13 Envestra'!G10))</f>
        <v>295.94093099999998</v>
      </c>
      <c r="F44" s="59">
        <v>0</v>
      </c>
      <c r="G44" s="59">
        <f>IF($F5*'Jan''13 Envestra'!I9/'Jan''13 Envestra'!I10&lt;'Jan''13 Envestra'!I11,0,IF($F5*'Jan''13 Envestra'!I9/'Jan''13 Envestra'!I10&lt;='Jan''13 Envestra'!I12,($F5*'Jan''13 Envestra'!I9/'Jan''13 Envestra'!I10-'Jan''13 Envestra'!I11)*('Jan''13 Envestra'!I17/100)*'Jan''13 Envestra'!I10,('Jan''13 Envestra'!I12-'Jan''13 Envestra'!I11)*('Jan''13 Envestra'!I17/100)*'Jan''13 Envestra'!I10))</f>
        <v>497.27365819999994</v>
      </c>
      <c r="H44" s="59">
        <f>IF($F5*'Jan''13 Envestra'!J9/'Jan''13 Envestra'!J10&lt;'Jan''13 Envestra'!J11,0,IF($F5*'Jan''13 Envestra'!J9/'Jan''13 Envestra'!J10&lt;='Jan''13 Envestra'!J12,($F5*'Jan''13 Envestra'!J9/'Jan''13 Envestra'!J10-'Jan''13 Envestra'!J11)*('Jan''13 Envestra'!J17/100)*'Jan''13 Envestra'!J10,('Jan''13 Envestra'!J12-'Jan''13 Envestra'!J11)*('Jan''13 Envestra'!J17/100)*'Jan''13 Envestra'!J10))</f>
        <v>460.20364739999991</v>
      </c>
      <c r="I44" s="59">
        <f>IF($F5*'Jan''13 Envestra'!K9/'Jan''13 Envestra'!K10&lt;'Jan''13 Envestra'!K11,0,IF($F5*'Jan''13 Envestra'!K9/'Jan''13 Envestra'!K10&lt;='Jan''13 Envestra'!K12,($F5*'Jan''13 Envestra'!K9/'Jan''13 Envestra'!K10-'Jan''13 Envestra'!K11)*('Jan''13 Envestra'!K17/100)*'Jan''13 Envestra'!K10,('Jan''13 Envestra'!K12-'Jan''13 Envestra'!K11)*('Jan''13 Envestra'!K17/100)*'Jan''13 Envestra'!K10))</f>
        <v>451.80700399999989</v>
      </c>
      <c r="J44" s="63"/>
    </row>
    <row r="45" spans="1:10" x14ac:dyDescent="0.15">
      <c r="A45" s="40" t="s">
        <v>611</v>
      </c>
      <c r="C45" s="59">
        <f>IF(($F5*'Jan''13 Envestra'!E9/'Jan''13 Envestra'!E10&gt;'Jan''13 Envestra'!E12),($F5*'Jan''13 Envestra'!E9/'Jan''13 Envestra'!E10-'Jan''13 Envestra'!E12)*'Jan''13 Envestra'!E18/100)*'Jan''13 Envestra'!E10</f>
        <v>0</v>
      </c>
      <c r="D45" s="59">
        <f>IF(($F5*'Jan''13 Envestra'!F9/'Jan''13 Envestra'!F10&gt;'Jan''13 Envestra'!F12),($F5*'Jan''13 Envestra'!F9/'Jan''13 Envestra'!F10-'Jan''13 Envestra'!F12)*'Jan''13 Envestra'!F18/100)*'Jan''13 Envestra'!F10</f>
        <v>0</v>
      </c>
      <c r="E45" s="59">
        <f>IF(($F5*'Jan''13 Envestra'!G9/'Jan''13 Envestra'!G10&gt;'Jan''13 Envestra'!G12),($F5*'Jan''13 Envestra'!G9/'Jan''13 Envestra'!G10-'Jan''13 Envestra'!G12)*'Jan''13 Envestra'!G18/100)*'Jan''13 Envestra'!G10</f>
        <v>0</v>
      </c>
      <c r="F45" s="59">
        <f>IF(($F5*'Jan''13 Envestra'!H9/'Jan''13 Envestra'!H10&gt;'Jan''13 Envestra'!H12),($F5*'Jan''13 Envestra'!H9/'Jan''13 Envestra'!H10-'Jan''13 Envestra'!H12)*'Jan''13 Envestra'!H18/100)*'Jan''13 Envestra'!H10</f>
        <v>496.51977999999986</v>
      </c>
      <c r="G45" s="59">
        <f>IF(($F5*'Jan''13 Envestra'!I9/'Jan''13 Envestra'!I10&gt;'Jan''13 Envestra'!I12),($F5*'Jan''13 Envestra'!I9/'Jan''13 Envestra'!I10-'Jan''13 Envestra'!I12)*'Jan''13 Envestra'!I18/100)*'Jan''13 Envestra'!I10</f>
        <v>0</v>
      </c>
      <c r="H45" s="59">
        <f>IF(($F5*'Jan''13 Envestra'!J9/'Jan''13 Envestra'!J10&gt;'Jan''13 Envestra'!J12),($F5*'Jan''13 Envestra'!J9/'Jan''13 Envestra'!J10-'Jan''13 Envestra'!J12)*'Jan''13 Envestra'!J18/100)*'Jan''13 Envestra'!J10</f>
        <v>0</v>
      </c>
      <c r="I45" s="59">
        <f>IF(($F5*'Jan''13 Envestra'!K9/'Jan''13 Envestra'!K10&gt;'Jan''13 Envestra'!K12),($F5*'Jan''13 Envestra'!K9/'Jan''13 Envestra'!K10-'Jan''13 Envestra'!K12)*'Jan''13 Envestra'!K18/100)*'Jan''13 Envestra'!K10</f>
        <v>0</v>
      </c>
      <c r="J45" s="63"/>
    </row>
    <row r="46" spans="1:10" x14ac:dyDescent="0.15">
      <c r="A46" s="40" t="s">
        <v>612</v>
      </c>
      <c r="C46" s="59">
        <f>365*'Jan''13 Envestra'!E19/100</f>
        <v>228.49364999999997</v>
      </c>
      <c r="D46" s="59">
        <f>365*'Jan''13 Envestra'!F19/100</f>
        <v>217.97435000000002</v>
      </c>
      <c r="E46" s="59">
        <f>365*'Jan''13 Envestra'!G19/100</f>
        <v>236.88500000000005</v>
      </c>
      <c r="F46" s="59">
        <f>365*'Jan''13 Envestra'!H19/100</f>
        <v>234.62200000000001</v>
      </c>
      <c r="G46" s="59">
        <f>365*'Jan''13 Envestra'!I19/100</f>
        <v>247.32400000000001</v>
      </c>
      <c r="H46" s="59">
        <f>365*'Jan''13 Envestra'!J19/100</f>
        <v>228.16149999999999</v>
      </c>
      <c r="I46" s="59">
        <f>365*'Jan''13 Envestra'!K19/100</f>
        <v>200.75</v>
      </c>
      <c r="J46" s="60">
        <f>AVERAGE(C46:I46)</f>
        <v>227.74435714285715</v>
      </c>
    </row>
    <row r="47" spans="1:10" x14ac:dyDescent="0.15">
      <c r="A47" s="62" t="s">
        <v>613</v>
      </c>
      <c r="B47" s="63"/>
      <c r="C47" s="61">
        <f t="shared" ref="C47:H47" si="2">SUM(C40:C46)</f>
        <v>1328.6742677999998</v>
      </c>
      <c r="D47" s="61">
        <f t="shared" si="2"/>
        <v>1382.8797806999996</v>
      </c>
      <c r="E47" s="61">
        <f t="shared" si="2"/>
        <v>1373.9592019999998</v>
      </c>
      <c r="F47" s="61">
        <f t="shared" si="2"/>
        <v>1466.8012499999998</v>
      </c>
      <c r="G47" s="61">
        <f t="shared" si="2"/>
        <v>1485.5712398999999</v>
      </c>
      <c r="H47" s="61">
        <f t="shared" si="2"/>
        <v>1379.6592213999998</v>
      </c>
      <c r="I47" s="61">
        <f>SUM(I40:I46)</f>
        <v>1333.0884269999999</v>
      </c>
      <c r="J47" s="64">
        <f>AVERAGE(C47:I47)</f>
        <v>1392.9476269714285</v>
      </c>
    </row>
    <row r="49" spans="1:10" x14ac:dyDescent="0.15">
      <c r="A49" s="53" t="s">
        <v>488</v>
      </c>
      <c r="C49" s="23" t="s">
        <v>1044</v>
      </c>
      <c r="D49" s="23" t="s">
        <v>591</v>
      </c>
      <c r="E49" s="23" t="s">
        <v>592</v>
      </c>
      <c r="F49" s="23" t="s">
        <v>544</v>
      </c>
      <c r="G49" s="23" t="s">
        <v>615</v>
      </c>
      <c r="H49" s="23" t="s">
        <v>546</v>
      </c>
      <c r="I49" s="23" t="s">
        <v>545</v>
      </c>
      <c r="J49" s="57" t="s">
        <v>601</v>
      </c>
    </row>
    <row r="50" spans="1:10" x14ac:dyDescent="0.15">
      <c r="A50" s="40" t="s">
        <v>602</v>
      </c>
      <c r="C50" s="59">
        <f>IF($F5*'Jan''13 Envestra'!E23/'Jan''13 Envestra'!E24&gt;='Jan''13 Envestra'!E27,('Jan''13 Envestra'!E27*'Jan''13 Envestra'!E45/100)*'Jan''13 Envestra'!E24,($F5*'Jan''13 Envestra'!E23/'Jan''13 Envestra'!E24*'Jan''13 Envestra'!E45/100)*'Jan''13 Envestra'!E24)</f>
        <v>222.94800000000004</v>
      </c>
      <c r="D50" s="59">
        <f>IF($F5*'Jan''13 Envestra'!F23/'Jan''13 Envestra'!F24&gt;='Jan''13 Envestra'!F27,('Jan''13 Envestra'!F27*'Jan''13 Envestra'!F29/100)*'Jan''13 Envestra'!F24,('Bills Jan''13'!$F5*'Jan''13 Envestra'!F23/'Jan''13 Envestra'!F24*'Jan''13 Envestra'!F29/100)*'Jan''13 Envestra'!F24)</f>
        <v>132.77440000000001</v>
      </c>
      <c r="E50" s="59">
        <f>IF($F5*'Jan''13 Envestra'!G23/'Jan''13 Envestra'!G24&gt;='Jan''13 Envestra'!G27,('Jan''13 Envestra'!G27*'Jan''13 Envestra'!G45/100)*'Jan''13 Envestra'!G24,($F5*'Jan''13 Envestra'!G23/'Jan''13 Envestra'!G24*'Jan''13 Envestra'!G45/100)*'Jan''13 Envestra'!G24)</f>
        <v>241.56</v>
      </c>
      <c r="F50" s="59">
        <f>IF($F5*'Jan''13 Envestra'!H23/'Jan''13 Envestra'!H24&gt;='Jan''13 Envestra'!H27,('Jan''13 Envestra'!H27*'Jan''13 Envestra'!H29/100)*'Jan''13 Envestra'!H24,('Bills Jan''13'!$F5*'Jan''13 Envestra'!H23/'Jan''13 Envestra'!H24*'Jan''13 Envestra'!H29/100)*'Jan''13 Envestra'!H24)</f>
        <v>129.28</v>
      </c>
      <c r="G50" s="59">
        <f>IF($F5*'Jan''13 Envestra'!I23/'Jan''13 Envestra'!I24&gt;='Jan''13 Envestra'!I27,('Jan''13 Envestra'!I27*'Jan''13 Envestra'!I29/100)*'Jan''13 Envestra'!I24,('Bills Jan''13'!$F5*'Jan''13 Envestra'!I23/'Jan''13 Envestra'!I24*'Jan''13 Envestra'!I29/100)*'Jan''13 Envestra'!I24)</f>
        <v>132</v>
      </c>
      <c r="H50" s="59">
        <f>IF($F5*'Jan''13 Envestra'!J23/'Jan''13 Envestra'!J24&gt;='Jan''13 Envestra'!J27,('Jan''13 Envestra'!J27*'Jan''13 Envestra'!J29/100)*'Jan''13 Envestra'!J24,('Bills Jan''13'!$F5*'Jan''13 Envestra'!J23/'Jan''13 Envestra'!J24*'Jan''13 Envestra'!J29/100)*'Jan''13 Envestra'!J24)</f>
        <v>123.9744</v>
      </c>
      <c r="I50" s="59">
        <f>IF($F5*'Jan''13 Envestra'!K23/'Jan''13 Envestra'!K24&gt;='Jan''13 Envestra'!K27,('Jan''13 Envestra'!K27*'Jan''13 Envestra'!K29/100)*'Jan''13 Envestra'!K24,('Bills Jan''13'!$F5*'Jan''13 Envestra'!K23/'Jan''13 Envestra'!K24*'Jan''13 Envestra'!K29/100)*'Jan''13 Envestra'!K24)</f>
        <v>128.12799999999999</v>
      </c>
      <c r="J50" s="63"/>
    </row>
    <row r="51" spans="1:10" x14ac:dyDescent="0.15">
      <c r="A51" s="40" t="s">
        <v>603</v>
      </c>
      <c r="C51" s="59">
        <f>IF($F5*'Jan''13 Envestra'!E23/'Jan''13 Envestra'!E25&lt;'Jan''13 Envestra'!E27,0,IF($F5*'Jan''13 Envestra'!E23/'Jan''13 Envestra'!E24&lt;='Jan''13 Envestra'!E28,($F5*'Jan''13 Envestra'!E23/'Jan''13 Envestra'!E24-'Jan''13 Envestra'!E27)*('Jan''13 Envestra'!E46/100)*'Jan''13 Envestra'!E24,('Jan''13 Envestra'!E28-'Jan''13 Envestra'!E27)*('Jan''13 Envestra'!E46/100)*'Jan''13 Envestra'!E24))</f>
        <v>141.53696699999998</v>
      </c>
      <c r="D51" s="59">
        <v>0</v>
      </c>
      <c r="E51" s="59">
        <f>IF($F5*'Jan''13 Envestra'!G23/'Jan''13 Envestra'!G25&lt;'Jan''13 Envestra'!G27,0,IF($F5*'Jan''13 Envestra'!G23/'Jan''13 Envestra'!G24&lt;='Jan''13 Envestra'!G28,($F5*'Jan''13 Envestra'!G23/'Jan''13 Envestra'!G24-'Jan''13 Envestra'!G27)*('Jan''13 Envestra'!G46/100)*'Jan''13 Envestra'!G24,('Jan''13 Envestra'!G28-'Jan''13 Envestra'!G27)*('Jan''13 Envestra'!G46/100)*'Jan''13 Envestra'!G24))</f>
        <v>154.40396399999995</v>
      </c>
      <c r="F51" s="59">
        <v>0</v>
      </c>
      <c r="G51" s="59">
        <v>0</v>
      </c>
      <c r="H51" s="59">
        <v>0</v>
      </c>
      <c r="I51" s="59">
        <v>0</v>
      </c>
      <c r="J51" s="63"/>
    </row>
    <row r="52" spans="1:10" x14ac:dyDescent="0.15">
      <c r="A52" s="40" t="s">
        <v>606</v>
      </c>
      <c r="C52" s="59">
        <f>IF(($F5*'Jan''13 Envestra'!E23/'Jan''13 Envestra'!E24&gt;'Jan''13 Envestra'!E28),($F5*'Jan''13 Envestra'!E23/'Jan''13 Envestra'!E24-'Jan''13 Envestra'!E28)*'Jan''13 Envestra'!E47/100*'Jan''13 Envestra'!E24,0)</f>
        <v>0</v>
      </c>
      <c r="D52" s="59">
        <f>IF(($F5*'Jan''13 Envestra'!F23/'Jan''13 Envestra'!F24&gt;'Jan''13 Envestra'!F27)*'Jan''13 Envestra'!F24,('Bills Jan''13'!$F5*'Jan''13 Envestra'!F23/'Jan''13 Envestra'!F24-'Jan''13 Envestra'!F28)*'Jan''13 Envestra'!F31/100)*'Jan''13 Envestra'!F24</f>
        <v>247.93073359999994</v>
      </c>
      <c r="E52" s="59">
        <f>IF(($F5*'Jan''13 Envestra'!G23/'Jan''13 Envestra'!G24&gt;'Jan''13 Envestra'!G28),($F5*'Jan''13 Envestra'!G23/'Jan''13 Envestra'!G24-'Jan''13 Envestra'!G28)*'Jan''13 Envestra'!G47/100*'Jan''13 Envestra'!G24,0)</f>
        <v>0</v>
      </c>
      <c r="F52" s="59">
        <f>IF(($F5*'Jan''13 Envestra'!H23/'Jan''13 Envestra'!H24&gt;'Jan''13 Envestra'!H27)*'Jan''13 Envestra'!H24,('Bills Jan''13'!$F5*'Jan''13 Envestra'!H23/'Jan''13 Envestra'!H24-'Jan''13 Envestra'!H28)*'Jan''13 Envestra'!H31/100)*'Jan''13 Envestra'!H24</f>
        <v>259.84261999999995</v>
      </c>
      <c r="G52" s="59">
        <f>IF(($F5*'Jan''13 Envestra'!I23/'Jan''13 Envestra'!I24&gt;'Jan''13 Envestra'!I27)*'Jan''13 Envestra'!I24,('Bills Jan''13'!$F5*'Jan''13 Envestra'!I23/'Jan''13 Envestra'!I24-'Jan''13 Envestra'!I28)*'Jan''13 Envestra'!I31/100)*'Jan''13 Envestra'!I24</f>
        <v>265.75476949999995</v>
      </c>
      <c r="H52" s="59">
        <f>IF(($F5*'Jan''13 Envestra'!J23/'Jan''13 Envestra'!J24&gt;'Jan''13 Envestra'!J27)*'Jan''13 Envestra'!J24,('Bills Jan''13'!$F5*'Jan''13 Envestra'!J23/'Jan''13 Envestra'!J24-'Jan''13 Envestra'!J28)*'Jan''13 Envestra'!J31/100)*'Jan''13 Envestra'!J24</f>
        <v>248.0621147</v>
      </c>
      <c r="I52" s="59">
        <f>IF(($F5*'Jan''13 Envestra'!K23/'Jan''13 Envestra'!K24&gt;'Jan''13 Envestra'!K27)*'Jan''13 Envestra'!K24,('Bills Jan''13'!$F5*'Jan''13 Envestra'!K23/'Jan''13 Envestra'!K24-'Jan''13 Envestra'!K28)*'Jan''13 Envestra'!K31/100)*'Jan''13 Envestra'!K24</f>
        <v>239.25958099999997</v>
      </c>
      <c r="J52" s="63"/>
    </row>
    <row r="53" spans="1:10" x14ac:dyDescent="0.15">
      <c r="A53" s="40" t="s">
        <v>607</v>
      </c>
      <c r="C53" s="59">
        <f>IF($F5*'Jan''13 Envestra'!E25/'Jan''13 Envestra'!E26&gt;='Jan''13 Envestra'!E27,('Jan''13 Envestra'!E27*'Jan''13 Envestra'!E48/100)*'Jan''13 Envestra'!E26,($F5*'Jan''13 Envestra'!E25/'Jan''13 Envestra'!E26*'Jan''13 Envestra'!E48/100*'Jan''13 Envestra'!E26))</f>
        <v>436.65600000000001</v>
      </c>
      <c r="D53" s="59">
        <f>IF($F5*'Jan''13 Envestra'!F25/'Jan''13 Envestra'!F26&gt;='Jan''13 Envestra'!F27,('Jan''13 Envestra'!F27*'Jan''13 Envestra'!F32/100)*'Jan''13 Envestra'!F26,('Bills Jan''13'!$F5*'Jan''13 Envestra'!F25/'Jan''13 Envestra'!F26*'Jan''13 Envestra'!F32/100)*'Jan''13 Envestra'!F26)</f>
        <v>239.78239999999997</v>
      </c>
      <c r="E53" s="59">
        <f>IF($F5*'Jan''13 Envestra'!G25/'Jan''13 Envestra'!G26&gt;='Jan''13 Envestra'!G27,('Jan''13 Envestra'!G27*'Jan''13 Envestra'!G48/100)*'Jan''13 Envestra'!G26,($F5*'Jan''13 Envestra'!G25/'Jan''13 Envestra'!G26*'Jan''13 Envestra'!G48/100*'Jan''13 Envestra'!G26))</f>
        <v>467.28</v>
      </c>
      <c r="F53" s="59">
        <f>IF($F5*'Jan''13 Envestra'!H25/'Jan''13 Envestra'!H26&gt;='Jan''13 Envestra'!H27,('Jan''13 Envestra'!H27*'Jan''13 Envestra'!H32/100)*'Jan''13 Envestra'!H26,('Bills Jan''13'!$F5*'Jan''13 Envestra'!H25/'Jan''13 Envestra'!H26*'Jan''13 Envestra'!H32/100)*'Jan''13 Envestra'!H26)</f>
        <v>248.32</v>
      </c>
      <c r="G53" s="59">
        <f>IF($F5*'Jan''13 Envestra'!I25/'Jan''13 Envestra'!I26&gt;='Jan''13 Envestra'!I27,('Jan''13 Envestra'!I27*'Jan''13 Envestra'!I32/100)*'Jan''13 Envestra'!I26,('Bills Jan''13'!$F5*'Jan''13 Envestra'!I25/'Jan''13 Envestra'!I26*'Jan''13 Envestra'!I32/100)*'Jan''13 Envestra'!I26)</f>
        <v>247.5264</v>
      </c>
      <c r="H53" s="59">
        <f>IF($F5*'Jan''13 Envestra'!J25/'Jan''13 Envestra'!J26&gt;='Jan''13 Envestra'!J27,('Jan''13 Envestra'!J27*'Jan''13 Envestra'!J32/100)*'Jan''13 Envestra'!J26,('Bills Jan''13'!$F5*'Jan''13 Envestra'!J25/'Jan''13 Envestra'!J26*'Jan''13 Envestra'!J32/100)*'Jan''13 Envestra'!J26)</f>
        <v>239.37280000000001</v>
      </c>
      <c r="I53" s="59">
        <f>IF($F5*'Jan''13 Envestra'!K25/'Jan''13 Envestra'!K26&gt;='Jan''13 Envestra'!K27,('Jan''13 Envestra'!K27*'Jan''13 Envestra'!K32/100)*'Jan''13 Envestra'!K26,('Bills Jan''13'!$F5*'Jan''13 Envestra'!K25/'Jan''13 Envestra'!K26*'Jan''13 Envestra'!K32/100)*'Jan''13 Envestra'!K26)</f>
        <v>239.36</v>
      </c>
      <c r="J53" s="63"/>
    </row>
    <row r="54" spans="1:10" x14ac:dyDescent="0.15">
      <c r="A54" s="40" t="s">
        <v>608</v>
      </c>
      <c r="C54" s="59">
        <f>IF($F5*'Jan''13 Envestra'!E25/'Jan''13 Envestra'!E26&lt;'Jan''13 Envestra'!E27,0,IF($F5*'Jan''13 Envestra'!E25/'Jan''13 Envestra'!E26&lt;='Jan''13 Envestra'!E28,($F5*'Jan''13 Envestra'!E25/'Jan''13 Envestra'!E26-'Jan''13 Envestra'!E27)*('Jan''13 Envestra'!E49/100)*'Jan''13 Envestra'!E26,('Jan''13 Envestra'!E28-'Jan''13 Envestra'!E27)*('Jan''13 Envestra'!E49/100)*'Jan''13 Envestra'!E26))</f>
        <v>274.16601299999996</v>
      </c>
      <c r="D54" s="59">
        <v>0</v>
      </c>
      <c r="E54" s="59">
        <f>IF($F5*'Jan''13 Envestra'!G25/'Jan''13 Envestra'!G26&lt;'Jan''13 Envestra'!G27,0,IF($F5*'Jan''13 Envestra'!G25/'Jan''13 Envestra'!G26&lt;='Jan''13 Envestra'!G28,($F5*'Jan''13 Envestra'!G25/'Jan''13 Envestra'!G26-'Jan''13 Envestra'!G27)*('Jan''13 Envestra'!G49/100)*'Jan''13 Envestra'!G26,('Jan''13 Envestra'!G28-'Jan''13 Envestra'!G27)*('Jan''13 Envestra'!G49/100)*'Jan''13 Envestra'!G26))</f>
        <v>300.88977599999993</v>
      </c>
      <c r="F54" s="59">
        <v>0</v>
      </c>
      <c r="G54" s="59">
        <v>0</v>
      </c>
      <c r="H54" s="59">
        <v>0</v>
      </c>
      <c r="I54" s="59">
        <v>0</v>
      </c>
      <c r="J54" s="63"/>
    </row>
    <row r="55" spans="1:10" x14ac:dyDescent="0.15">
      <c r="A55" s="40" t="s">
        <v>611</v>
      </c>
      <c r="C55" s="59">
        <f>IF(($F5*'Jan''13 Envestra'!E25/'Jan''13 Envestra'!E26&gt;'Jan''13 Envestra'!E28),($F5*'Jan''13 Envestra'!E25/'Jan''13 Envestra'!E26-'Jan''13 Envestra'!E28)*'Jan''13 Envestra'!E50/100*'Jan''13 Envestra'!E26,0)</f>
        <v>0</v>
      </c>
      <c r="D55" s="59">
        <f>IF(($F5*'Jan''13 Envestra'!F25/'Jan''13 Envestra'!F26&gt;'Jan''13 Envestra'!F27),('Bills Jan''13'!$F5*'Jan''13 Envestra'!F25/'Jan''13 Envestra'!F26-'Jan''13 Envestra'!F27)*'Jan''13 Envestra'!F34/100)*'Jan''13 Envestra'!F26</f>
        <v>465.99416379999997</v>
      </c>
      <c r="E55" s="59">
        <f>IF(($F5*'Jan''13 Envestra'!G25/'Jan''13 Envestra'!G26&gt;'Jan''13 Envestra'!G28),($F5*'Jan''13 Envestra'!G25/'Jan''13 Envestra'!G26-'Jan''13 Envestra'!G28)*'Jan''13 Envestra'!G50/100*'Jan''13 Envestra'!G26,0)</f>
        <v>0</v>
      </c>
      <c r="F55" s="59">
        <f>IF(($F5*'Jan''13 Envestra'!H25/'Jan''13 Envestra'!H26&gt;'Jan''13 Envestra'!H27),('Bills Jan''13'!$F5*'Jan''13 Envestra'!H25/'Jan''13 Envestra'!H26-'Jan''13 Envestra'!H27)*'Jan''13 Envestra'!H34/100)*'Jan''13 Envestra'!H26</f>
        <v>505.08733999999987</v>
      </c>
      <c r="G55" s="59">
        <f>IF(($F5*'Jan''13 Envestra'!I25/'Jan''13 Envestra'!I26&gt;'Jan''13 Envestra'!I27),('Bills Jan''13'!$F5*'Jan''13 Envestra'!I25/'Jan''13 Envestra'!I26-'Jan''13 Envestra'!I27)*'Jan''13 Envestra'!I34/100)*'Jan''13 Envestra'!I26</f>
        <v>503.89031219999993</v>
      </c>
      <c r="H55" s="59">
        <f>IF(($F5*'Jan''13 Envestra'!J25/'Jan''13 Envestra'!J26&gt;'Jan''13 Envestra'!J27),('Bills Jan''13'!$F5*'Jan''13 Envestra'!J25/'Jan''13 Envestra'!J26-'Jan''13 Envestra'!J27)*'Jan''13 Envestra'!J34/100)*'Jan''13 Envestra'!J26</f>
        <v>483.13209839999996</v>
      </c>
      <c r="I55" s="59">
        <f>IF(($F5*'Jan''13 Envestra'!K25/'Jan''13 Envestra'!K26&gt;'Jan''13 Envestra'!K27),('Bills Jan''13'!$F5*'Jan''13 Envestra'!K25/'Jan''13 Envestra'!K26-'Jan''13 Envestra'!K27)*'Jan''13 Envestra'!K34/100)*'Jan''13 Envestra'!K26</f>
        <v>449.61531999999994</v>
      </c>
      <c r="J55" s="63"/>
    </row>
    <row r="56" spans="1:10" x14ac:dyDescent="0.15">
      <c r="A56" s="40" t="s">
        <v>612</v>
      </c>
      <c r="C56" s="59">
        <f>365*'Jan''13 Envestra'!E35/100</f>
        <v>228.49364999999997</v>
      </c>
      <c r="D56" s="59">
        <f>365*'Jan''13 Envestra'!F35/100</f>
        <v>211.9117</v>
      </c>
      <c r="E56" s="59">
        <f>365*'Jan''13 Envestra'!G35/100</f>
        <v>232.87</v>
      </c>
      <c r="F56" s="59">
        <f>365*'Jan''13 Envestra'!H35/100</f>
        <v>224.767</v>
      </c>
      <c r="G56" s="59">
        <f>365*'Jan''13 Envestra'!I35/100</f>
        <v>240.49849999999998</v>
      </c>
      <c r="H56" s="59">
        <f>365*'Jan''13 Envestra'!J35/100</f>
        <v>223.34349999999998</v>
      </c>
      <c r="I56" s="59">
        <f>365*'Jan''13 Envestra'!K35/100</f>
        <v>208.78</v>
      </c>
      <c r="J56" s="60">
        <f>AVERAGE(C56:I56)</f>
        <v>224.3806214285714</v>
      </c>
    </row>
    <row r="57" spans="1:10" x14ac:dyDescent="0.15">
      <c r="A57" s="62" t="s">
        <v>613</v>
      </c>
      <c r="B57" s="63"/>
      <c r="C57" s="61">
        <f t="shared" ref="C57:H57" si="3">SUM(C50:C56)</f>
        <v>1303.80063</v>
      </c>
      <c r="D57" s="61">
        <f t="shared" si="3"/>
        <v>1298.3933973999997</v>
      </c>
      <c r="E57" s="61">
        <f t="shared" si="3"/>
        <v>1397.0037399999997</v>
      </c>
      <c r="F57" s="61">
        <f t="shared" si="3"/>
        <v>1367.2969599999999</v>
      </c>
      <c r="G57" s="61">
        <f t="shared" si="3"/>
        <v>1389.6699816999997</v>
      </c>
      <c r="H57" s="61">
        <f t="shared" si="3"/>
        <v>1317.8849130999999</v>
      </c>
      <c r="I57" s="61">
        <f>SUM(I50:I56)</f>
        <v>1265.1429009999999</v>
      </c>
      <c r="J57" s="64">
        <f>AVERAGE(C57:I57)</f>
        <v>1334.1703604571428</v>
      </c>
    </row>
    <row r="59" spans="1:10" x14ac:dyDescent="0.15">
      <c r="A59" s="53" t="s">
        <v>1028</v>
      </c>
      <c r="C59" s="23" t="s">
        <v>1044</v>
      </c>
      <c r="D59" s="23" t="s">
        <v>591</v>
      </c>
      <c r="E59" s="23" t="s">
        <v>592</v>
      </c>
      <c r="F59" s="23" t="s">
        <v>544</v>
      </c>
      <c r="G59" s="23" t="s">
        <v>615</v>
      </c>
      <c r="H59" s="23" t="s">
        <v>546</v>
      </c>
      <c r="I59" s="23" t="s">
        <v>545</v>
      </c>
      <c r="J59" s="57" t="s">
        <v>601</v>
      </c>
    </row>
    <row r="60" spans="1:10" x14ac:dyDescent="0.15">
      <c r="A60" s="40" t="s">
        <v>602</v>
      </c>
      <c r="C60" s="59">
        <f>IF($F5*'Jan''13 Envestra'!E39/'Jan''13 Envestra'!E40&gt;='Jan''13 Envestra'!E43,('Jan''13 Envestra'!E43*'Jan''13 Envestra'!E45/100)*'Jan''13 Envestra'!E40,($F5*'Jan''13 Envestra'!E39/'Jan''13 Envestra'!E40*'Jan''13 Envestra'!E45/100)*'Jan''13 Envestra'!E40)</f>
        <v>222.94800000000004</v>
      </c>
      <c r="D60" s="59">
        <f>IF($F5*'Jan''13 Envestra'!F39/'Jan''13 Envestra'!F40&gt;='Jan''13 Envestra'!F43,('Jan''13 Envestra'!F43*'Jan''13 Envestra'!F45/100)*'Jan''13 Envestra'!F40,($F5*'Jan''13 Envestra'!F39/'Jan''13 Envestra'!F40*'Jan''13 Envestra'!F45/100)*'Jan''13 Envestra'!F40)</f>
        <v>163.59200000000001</v>
      </c>
      <c r="E60" s="59">
        <f>IF($F5*'Jan''13 Envestra'!G39/'Jan''13 Envestra'!G40&gt;='Jan''13 Envestra'!G43,('Jan''13 Envestra'!G43*'Jan''13 Envestra'!G45/100)*'Jan''13 Envestra'!G40,($F5*'Jan''13 Envestra'!G39/'Jan''13 Envestra'!G40*'Jan''13 Envestra'!G45/100)*'Jan''13 Envestra'!G40)</f>
        <v>241.56</v>
      </c>
      <c r="F60" s="59">
        <f>IF($F5*'Jan''13 Envestra'!H39/'Jan''13 Envestra'!H40&gt;='Jan''13 Envestra'!H43,('Jan''13 Envestra'!H43*'Jan''13 Envestra'!H45/100)*'Jan''13 Envestra'!H40,($F5*'Jan''13 Envestra'!H39/'Jan''13 Envestra'!H40*'Jan''13 Envestra'!H45/100)*'Jan''13 Envestra'!H40)</f>
        <v>164</v>
      </c>
      <c r="G60" s="59">
        <f>IF($F5*'Jan''13 Envestra'!I39/'Jan''13 Envestra'!I40&gt;='Jan''13 Envestra'!I43,('Jan''13 Envestra'!I43*'Jan''13 Envestra'!I45/100)*'Jan''13 Envestra'!I40,($F5*'Jan''13 Envestra'!I39/'Jan''13 Envestra'!I40*'Jan''13 Envestra'!I45/100)*'Jan''13 Envestra'!I40)</f>
        <v>169.22400000000002</v>
      </c>
      <c r="H60" s="59">
        <f>IF($F5*'Jan''13 Envestra'!J39/'Jan''13 Envestra'!J40&gt;='Jan''13 Envestra'!J43,('Jan''13 Envestra'!J43*'Jan''13 Envestra'!J45/100)*'Jan''13 Envestra'!J40,($F5*'Jan''13 Envestra'!J39/'Jan''13 Envestra'!J40*'Jan''13 Envestra'!J45/100)*'Jan''13 Envestra'!J40)</f>
        <v>157.11199999999999</v>
      </c>
      <c r="I60" s="59">
        <f>IF($F5*'Jan''13 Envestra'!K39/'Jan''13 Envestra'!K40&gt;='Jan''13 Envestra'!K43,('Jan''13 Envestra'!K43*'Jan''13 Envestra'!K45/100)*'Jan''13 Envestra'!K40,($F5*'Jan''13 Envestra'!K39/'Jan''13 Envestra'!K40*'Jan''13 Envestra'!K45/100)*'Jan''13 Envestra'!K40)</f>
        <v>158.4</v>
      </c>
      <c r="J60" s="63"/>
    </row>
    <row r="61" spans="1:10" x14ac:dyDescent="0.15">
      <c r="A61" s="40" t="s">
        <v>603</v>
      </c>
      <c r="C61" s="59">
        <f>IF($F5*'Jan''13 Envestra'!E39/'Jan''13 Envestra'!E40&lt;'Jan''13 Envestra'!E43,0,IF($F5*'Jan''13 Envestra'!E39/'Jan''13 Envestra'!E40&lt;='Jan''13 Envestra'!E44,($F5*'Jan''13 Envestra'!E39/'Jan''13 Envestra'!E40-'Jan''13 Envestra'!E43)*('Jan''13 Envestra'!E46/100)*'Jan''13 Envestra'!E40,('Jan''13 Envestra'!E44-'Jan''13 Envestra'!E43)*('Jan''13 Envestra'!E46/100)*'Jan''13 Envestra'!E40))</f>
        <v>141.53696699999998</v>
      </c>
      <c r="D61" s="59">
        <f>IF($F5*'Jan''13 Envestra'!F39/'Jan''13 Envestra'!F40&lt;'Jan''13 Envestra'!F43,0,IF($F5*'Jan''13 Envestra'!F39/'Jan''13 Envestra'!F40&lt;='Jan''13 Envestra'!F44,($F5*'Jan''13 Envestra'!F39/'Jan''13 Envestra'!F40-'Jan''13 Envestra'!F43)*('Jan''13 Envestra'!F46/100)*'Jan''13 Envestra'!F40,('Jan''13 Envestra'!F44-'Jan''13 Envestra'!F43)*('Jan''13 Envestra'!F46/100)*'Jan''13 Envestra'!F40))</f>
        <v>235.48295429999999</v>
      </c>
      <c r="E61" s="59">
        <f>IF($F5*'Jan''13 Envestra'!G39/'Jan''13 Envestra'!G40&lt;'Jan''13 Envestra'!G43,0,IF($F5*'Jan''13 Envestra'!G39/'Jan''13 Envestra'!G40&lt;='Jan''13 Envestra'!G44,($F5*'Jan''13 Envestra'!G39/'Jan''13 Envestra'!G40-'Jan''13 Envestra'!G43)*('Jan''13 Envestra'!G46/100)*'Jan''13 Envestra'!G40,('Jan''13 Envestra'!G44-'Jan''13 Envestra'!G43)*('Jan''13 Envestra'!G46/100)*'Jan''13 Envestra'!G40))</f>
        <v>154.40396399999995</v>
      </c>
      <c r="F61" s="59">
        <f>IF($F5*'Jan''13 Envestra'!H39/'Jan''13 Envestra'!H40&lt;'Jan''13 Envestra'!H43,0,IF($F5*'Jan''13 Envestra'!H39/'Jan''13 Envestra'!H40&lt;='Jan''13 Envestra'!H44,($F5*'Jan''13 Envestra'!H39/'Jan''13 Envestra'!H40-'Jan''13 Envestra'!H43)*('Jan''13 Envestra'!H46/100)*'Jan''13 Envestra'!H40,('Jan''13 Envestra'!H44-'Jan''13 Envestra'!H43)*('Jan''13 Envestra'!H46/100)*'Jan''13 Envestra'!H40))</f>
        <v>0</v>
      </c>
      <c r="G61" s="59">
        <f>IF($F5*'Jan''13 Envestra'!I39/'Jan''13 Envestra'!I40&lt;'Jan''13 Envestra'!I43,0,IF($F5*'Jan''13 Envestra'!I39/'Jan''13 Envestra'!I40&lt;='Jan''13 Envestra'!I44,($F5*'Jan''13 Envestra'!I39/'Jan''13 Envestra'!I40-'Jan''13 Envestra'!I43)*('Jan''13 Envestra'!I46/100)*'Jan''13 Envestra'!I40,('Jan''13 Envestra'!I44-'Jan''13 Envestra'!I43)*('Jan''13 Envestra'!I46/100)*'Jan''13 Envestra'!I40))</f>
        <v>243.48966069999994</v>
      </c>
      <c r="H61" s="59">
        <f>IF($F5*'Jan''13 Envestra'!J39/'Jan''13 Envestra'!J40&lt;'Jan''13 Envestra'!J43,0,IF($F5*'Jan''13 Envestra'!J39/'Jan''13 Envestra'!J40&lt;='Jan''13 Envestra'!J44,($F5*'Jan''13 Envestra'!J39/'Jan''13 Envestra'!J40-'Jan''13 Envestra'!J43)*('Jan''13 Envestra'!J46/100)*'Jan''13 Envestra'!J40,('Jan''13 Envestra'!J44-'Jan''13 Envestra'!J43)*('Jan''13 Envestra'!J46/100)*'Jan''13 Envestra'!J40))</f>
        <v>222.52404799999996</v>
      </c>
      <c r="I61" s="59">
        <f>IF($F5*'Jan''13 Envestra'!K39/'Jan''13 Envestra'!K40&lt;'Jan''13 Envestra'!K43,0,IF($F5*'Jan''13 Envestra'!K39/'Jan''13 Envestra'!K40&lt;='Jan''13 Envestra'!K44,($F5*'Jan''13 Envestra'!K39/'Jan''13 Envestra'!K40-'Jan''13 Envestra'!K43)*('Jan''13 Envestra'!K46/100)*'Jan''13 Envestra'!K40,('Jan''13 Envestra'!K44-'Jan''13 Envestra'!K43)*('Jan''13 Envestra'!K46/100)*'Jan''13 Envestra'!K40))</f>
        <v>227.333271</v>
      </c>
      <c r="J61" s="63"/>
    </row>
    <row r="62" spans="1:10" x14ac:dyDescent="0.15">
      <c r="A62" s="40" t="s">
        <v>606</v>
      </c>
      <c r="C62" s="59">
        <f>IF(($F5*'Jan''13 Envestra'!E39/'Jan''13 Envestra'!E40&gt;'Jan''13 Envestra'!E44),($F5*'Jan''13 Envestra'!E39/'Jan''13 Envestra'!E40-'Jan''13 Envestra'!E44)*'Jan''13 Envestra'!E47/100)*'Jan''13 Envestra'!E40</f>
        <v>0</v>
      </c>
      <c r="D62" s="59">
        <f>IF(($F5*'Jan''13 Envestra'!F39/'Jan''13 Envestra'!F40&gt;'Jan''13 Envestra'!F44),($F5*'Jan''13 Envestra'!F39/'Jan''13 Envestra'!F40-'Jan''13 Envestra'!F44)*'Jan''13 Envestra'!F47/100)*'Jan''13 Envestra'!F40</f>
        <v>0</v>
      </c>
      <c r="E62" s="59">
        <f>IF(($F5*'Jan''13 Envestra'!G39/'Jan''13 Envestra'!G40&gt;'Jan''13 Envestra'!G44),($F5*'Jan''13 Envestra'!G39/'Jan''13 Envestra'!G40-'Jan''13 Envestra'!G44)*'Jan''13 Envestra'!G47/100)*'Jan''13 Envestra'!G40</f>
        <v>0</v>
      </c>
      <c r="F62" s="59">
        <f>IF(($F5*'Jan''13 Envestra'!H39/'Jan''13 Envestra'!H40&gt;'Jan''13 Envestra'!H44),($F5*'Jan''13 Envestra'!H39/'Jan''13 Envestra'!H40-'Jan''13 Envestra'!H44)*'Jan''13 Envestra'!H47/100)*'Jan''13 Envestra'!H40</f>
        <v>239.16135999999997</v>
      </c>
      <c r="G62" s="59">
        <f>IF(($F5*'Jan''13 Envestra'!I39/'Jan''13 Envestra'!I40&gt;'Jan''13 Envestra'!I44),($F5*'Jan''13 Envestra'!I39/'Jan''13 Envestra'!I40-'Jan''13 Envestra'!I44)*'Jan''13 Envestra'!I47/100)*'Jan''13 Envestra'!I40</f>
        <v>0</v>
      </c>
      <c r="H62" s="59">
        <f>IF(($F5*'Jan''13 Envestra'!J39/'Jan''13 Envestra'!J40&gt;'Jan''13 Envestra'!J44),($F5*'Jan''13 Envestra'!J39/'Jan''13 Envestra'!J40-'Jan''13 Envestra'!J44)*'Jan''13 Envestra'!J47/100)*'Jan''13 Envestra'!J40</f>
        <v>0</v>
      </c>
      <c r="I62" s="59">
        <f>IF(($F5*'Jan''13 Envestra'!K39/'Jan''13 Envestra'!K40&gt;'Jan''13 Envestra'!K44),($F5*'Jan''13 Envestra'!K39/'Jan''13 Envestra'!K40-'Jan''13 Envestra'!K44)*'Jan''13 Envestra'!K47/100)*'Jan''13 Envestra'!K40</f>
        <v>0</v>
      </c>
      <c r="J62" s="63"/>
    </row>
    <row r="63" spans="1:10" x14ac:dyDescent="0.15">
      <c r="A63" s="40" t="s">
        <v>607</v>
      </c>
      <c r="C63" s="59">
        <f>IF($F5*'Jan''13 Envestra'!E41/'Jan''13 Envestra'!E42&gt;='Jan''13 Envestra'!E43,('Jan''13 Envestra'!E43*'Jan''13 Envestra'!E48/100)*'Jan''13 Envestra'!E42,($F5*'Jan''13 Envestra'!E41/'Jan''13 Envestra'!E42*'Jan''13 Envestra'!E48/100)*'Jan''13 Envestra'!E42)</f>
        <v>436.65600000000001</v>
      </c>
      <c r="D63" s="59">
        <f>IF($F5*'Jan''13 Envestra'!F41/'Jan''13 Envestra'!F42&gt;='Jan''13 Envestra'!F43,('Jan''13 Envestra'!F43*'Jan''13 Envestra'!F48/100)*'Jan''13 Envestra'!F42,($F5*'Jan''13 Envestra'!F41/'Jan''13 Envestra'!F42*'Jan''13 Envestra'!F48/100)*'Jan''13 Envestra'!F42)</f>
        <v>310.99200000000002</v>
      </c>
      <c r="E63" s="59">
        <f>IF($F5*'Jan''13 Envestra'!G41/'Jan''13 Envestra'!G42&gt;='Jan''13 Envestra'!G43,('Jan''13 Envestra'!G43*'Jan''13 Envestra'!G48/100)*'Jan''13 Envestra'!G42,($F5*'Jan''13 Envestra'!G41/'Jan''13 Envestra'!G42*'Jan''13 Envestra'!G48/100)*'Jan''13 Envestra'!G42)</f>
        <v>467.28</v>
      </c>
      <c r="F63" s="59">
        <f>IF($F5*'Jan''13 Envestra'!H41/'Jan''13 Envestra'!H42&gt;='Jan''13 Envestra'!H43,('Jan''13 Envestra'!H43*'Jan''13 Envestra'!H48/100)*'Jan''13 Envestra'!H42,($F5*'Jan''13 Envestra'!H41/'Jan''13 Envestra'!H42*'Jan''13 Envestra'!H48/100)*'Jan''13 Envestra'!H42)</f>
        <v>320</v>
      </c>
      <c r="G63" s="59">
        <f>IF($F5*'Jan''13 Envestra'!I41/'Jan''13 Envestra'!I42&gt;='Jan''13 Envestra'!I43,('Jan''13 Envestra'!I43*'Jan''13 Envestra'!I48/100)*'Jan''13 Envestra'!I42,($F5*'Jan''13 Envestra'!I41/'Jan''13 Envestra'!I42*'Jan''13 Envestra'!I48/100)*'Jan''13 Envestra'!I42)</f>
        <v>332.81599999999997</v>
      </c>
      <c r="H63" s="59">
        <f>IF($F5*'Jan''13 Envestra'!J41/'Jan''13 Envestra'!J42&gt;='Jan''13 Envestra'!J43,('Jan''13 Envestra'!J43*'Jan''13 Envestra'!J48/100)*'Jan''13 Envestra'!J42,($F5*'Jan''13 Envestra'!J41/'Jan''13 Envestra'!J42*'Jan''13 Envestra'!J48/100)*'Jan''13 Envestra'!J42)</f>
        <v>306.62400000000002</v>
      </c>
      <c r="I63" s="59">
        <f>IF($F5*'Jan''13 Envestra'!K41/'Jan''13 Envestra'!K42&gt;='Jan''13 Envestra'!K43,('Jan''13 Envestra'!K43*'Jan''13 Envestra'!K48/100)*'Jan''13 Envestra'!K42,($F5*'Jan''13 Envestra'!K41/'Jan''13 Envestra'!K42*'Jan''13 Envestra'!K48/100)*'Jan''13 Envestra'!K42)</f>
        <v>300.95999999999998</v>
      </c>
      <c r="J63" s="63"/>
    </row>
    <row r="64" spans="1:10" x14ac:dyDescent="0.15">
      <c r="A64" s="40" t="s">
        <v>608</v>
      </c>
      <c r="C64" s="59">
        <f>IF($F5*'Jan''13 Envestra'!E41/'Jan''13 Envestra'!E42&lt;'Jan''13 Envestra'!E43,0,IF($F5*'Jan''13 Envestra'!E41/'Jan''13 Envestra'!E42&lt;='Jan''13 Envestra'!E44,($F5*'Jan''13 Envestra'!E41/'Jan''13 Envestra'!E42-'Jan''13 Envestra'!E43)*('Jan''13 Envestra'!E49/100)*'Jan''13 Envestra'!E42,('Jan''13 Envestra'!E44-'Jan''13 Envestra'!E43)*('Jan''13 Envestra'!E49/100)*'Jan''13 Envestra'!E42))</f>
        <v>274.16601299999996</v>
      </c>
      <c r="D64" s="59">
        <f>IF($F5*'Jan''13 Envestra'!F41/'Jan''13 Envestra'!F42&lt;'Jan''13 Envestra'!F43,0,IF($F5*'Jan''13 Envestra'!F41/'Jan''13 Envestra'!F42&lt;='Jan''13 Envestra'!F44,($F5*'Jan''13 Envestra'!F41/'Jan''13 Envestra'!F42-'Jan''13 Envestra'!F43)*('Jan''13 Envestra'!F49/100)*'Jan''13 Envestra'!F42,('Jan''13 Envestra'!F44-'Jan''13 Envestra'!F43)*('Jan''13 Envestra'!F49/100)*'Jan''13 Envestra'!F42))</f>
        <v>439.22503679999994</v>
      </c>
      <c r="E64" s="59">
        <f>IF($F5*'Jan''13 Envestra'!G41/'Jan''13 Envestra'!G42&lt;'Jan''13 Envestra'!G43,0,IF($F5*'Jan''13 Envestra'!G41/'Jan''13 Envestra'!G42&lt;='Jan''13 Envestra'!G44,($F5*'Jan''13 Envestra'!G41/'Jan''13 Envestra'!G42-'Jan''13 Envestra'!G43)*('Jan''13 Envestra'!G49/100)*'Jan''13 Envestra'!G42,('Jan''13 Envestra'!G44-'Jan''13 Envestra'!G43)*('Jan''13 Envestra'!G49/100)*'Jan''13 Envestra'!G42))</f>
        <v>300.88977599999993</v>
      </c>
      <c r="F64" s="59">
        <f>IF($F5*'Jan''13 Envestra'!H41/'Jan''13 Envestra'!H42&lt;'Jan''13 Envestra'!H43,0,IF($F5*'Jan''13 Envestra'!H41/'Jan''13 Envestra'!H42&lt;='Jan''13 Envestra'!H44,($F5*'Jan''13 Envestra'!H41/'Jan''13 Envestra'!H42-'Jan''13 Envestra'!H43)*('Jan''13 Envestra'!H49/100)*'Jan''13 Envestra'!H42,('Jan''13 Envestra'!H44-'Jan''13 Envestra'!H43)*('Jan''13 Envestra'!H49/100)*'Jan''13 Envestra'!H42))</f>
        <v>0</v>
      </c>
      <c r="G64" s="59">
        <f>IF($F5*'Jan''13 Envestra'!I41/'Jan''13 Envestra'!I42&lt;'Jan''13 Envestra'!I43,0,IF($F5*'Jan''13 Envestra'!I41/'Jan''13 Envestra'!I42&lt;='Jan''13 Envestra'!I44,($F5*'Jan''13 Envestra'!I41/'Jan''13 Envestra'!I42-'Jan''13 Envestra'!I43)*('Jan''13 Envestra'!I49/100)*'Jan''13 Envestra'!I42,('Jan''13 Envestra'!I44-'Jan''13 Envestra'!I43)*('Jan''13 Envestra'!I49/100)*'Jan''13 Envestra'!I42))</f>
        <v>481.26024539999986</v>
      </c>
      <c r="H64" s="59">
        <f>IF($F5*'Jan''13 Envestra'!J41/'Jan''13 Envestra'!J42&lt;'Jan''13 Envestra'!J43,0,IF($F5*'Jan''13 Envestra'!J41/'Jan''13 Envestra'!J42&lt;='Jan''13 Envestra'!J44,($F5*'Jan''13 Envestra'!J41/'Jan''13 Envestra'!J42-'Jan''13 Envestra'!J43)*('Jan''13 Envestra'!J49/100)*'Jan''13 Envestra'!J42,('Jan''13 Envestra'!J44-'Jan''13 Envestra'!J43)*('Jan''13 Envestra'!J49/100)*'Jan''13 Envestra'!J42))</f>
        <v>434.23384319999991</v>
      </c>
      <c r="I64" s="59">
        <f>IF($F5*'Jan''13 Envestra'!K41/'Jan''13 Envestra'!K42&lt;'Jan''13 Envestra'!K43,0,IF($F5*'Jan''13 Envestra'!K41/'Jan''13 Envestra'!K42&lt;='Jan''13 Envestra'!K44,($F5*'Jan''13 Envestra'!K41/'Jan''13 Envestra'!K42-'Jan''13 Envestra'!K43)*('Jan''13 Envestra'!K49/100)*'Jan''13 Envestra'!K42,('Jan''13 Envestra'!K44-'Jan''13 Envestra'!K43)*('Jan''13 Envestra'!K49/100)*'Jan''13 Envestra'!K42))</f>
        <v>423.21162399999992</v>
      </c>
      <c r="J64" s="63"/>
    </row>
    <row r="65" spans="1:10" x14ac:dyDescent="0.15">
      <c r="A65" s="40" t="s">
        <v>611</v>
      </c>
      <c r="C65" s="59">
        <f>IF(($F5*'Jan''13 Envestra'!E41/'Jan''13 Envestra'!E42&gt;'Jan''13 Envestra'!E44),($F5*'Jan''13 Envestra'!E41/'Jan''13 Envestra'!E42-'Jan''13 Envestra'!E44)*'Jan''13 Envestra'!E50/100)*'Jan''13 Envestra'!E42</f>
        <v>0</v>
      </c>
      <c r="D65" s="59">
        <f>IF(($F5*'Jan''13 Envestra'!F41/'Jan''13 Envestra'!F42&gt;'Jan''13 Envestra'!F44),($F5*'Jan''13 Envestra'!F41/'Jan''13 Envestra'!F42-'Jan''13 Envestra'!F44)*'Jan''13 Envestra'!F50/100)*'Jan''13 Envestra'!F42</f>
        <v>0</v>
      </c>
      <c r="E65" s="59">
        <f>IF(($F5*'Jan''13 Envestra'!G41/'Jan''13 Envestra'!G42&gt;'Jan''13 Envestra'!G44),($F5*'Jan''13 Envestra'!G41/'Jan''13 Envestra'!G42-'Jan''13 Envestra'!G44)*'Jan''13 Envestra'!G50/100)*'Jan''13 Envestra'!G42</f>
        <v>0</v>
      </c>
      <c r="F65" s="59">
        <f>IF(($F5*'Jan''13 Envestra'!H41/'Jan''13 Envestra'!H42&gt;'Jan''13 Envestra'!H44),($F5*'Jan''13 Envestra'!H41/'Jan''13 Envestra'!H42-'Jan''13 Envestra'!H44)*'Jan''13 Envestra'!H50/100)*'Jan''13 Envestra'!H42</f>
        <v>467.92439999999993</v>
      </c>
      <c r="G65" s="59">
        <f>IF(($F5*'Jan''13 Envestra'!I41/'Jan''13 Envestra'!I42&gt;'Jan''13 Envestra'!I44),($F5*'Jan''13 Envestra'!I41/'Jan''13 Envestra'!I42-'Jan''13 Envestra'!I44)*'Jan''13 Envestra'!I50/100)*'Jan''13 Envestra'!I42</f>
        <v>0</v>
      </c>
      <c r="H65" s="59">
        <f>IF(($F5*'Jan''13 Envestra'!J41/'Jan''13 Envestra'!J42&gt;'Jan''13 Envestra'!J44),($F5*'Jan''13 Envestra'!J41/'Jan''13 Envestra'!J42-'Jan''13 Envestra'!J44)*'Jan''13 Envestra'!J50/100)*'Jan''13 Envestra'!J42</f>
        <v>0</v>
      </c>
      <c r="I65" s="59">
        <f>IF(($F5*'Jan''13 Envestra'!K41/'Jan''13 Envestra'!K42&gt;'Jan''13 Envestra'!K44),($F5*'Jan''13 Envestra'!K41/'Jan''13 Envestra'!K42-'Jan''13 Envestra'!K44)*'Jan''13 Envestra'!K50/100)*'Jan''13 Envestra'!K42</f>
        <v>0</v>
      </c>
      <c r="J65" s="63"/>
    </row>
    <row r="66" spans="1:10" x14ac:dyDescent="0.15">
      <c r="A66" s="40" t="s">
        <v>612</v>
      </c>
      <c r="C66" s="59">
        <f>365*'Jan''13 Envestra'!E51/100</f>
        <v>228.13229999999999</v>
      </c>
      <c r="D66" s="59">
        <f>365*'Jan''13 Envestra'!F51/100</f>
        <v>213.7586</v>
      </c>
      <c r="E66" s="59">
        <f>365*'Jan''13 Envestra'!G51/100</f>
        <v>242.9075</v>
      </c>
      <c r="F66" s="59">
        <f>365*'Jan''13 Envestra'!H51/100</f>
        <v>229.14700000000002</v>
      </c>
      <c r="G66" s="59">
        <f>365*'Jan''13 Envestra'!I51/100</f>
        <v>247.32400000000001</v>
      </c>
      <c r="H66" s="59">
        <f>365*'Jan''13 Envestra'!J51/100</f>
        <v>225.27799999999999</v>
      </c>
      <c r="I66" s="59">
        <f>365*'Jan''13 Envestra'!K51/100</f>
        <v>200.75</v>
      </c>
      <c r="J66" s="60">
        <f>AVERAGE(C66:I66)</f>
        <v>226.75677142857145</v>
      </c>
    </row>
    <row r="67" spans="1:10" x14ac:dyDescent="0.15">
      <c r="A67" s="62" t="s">
        <v>613</v>
      </c>
      <c r="B67" s="63"/>
      <c r="C67" s="61">
        <f t="shared" ref="C67:H67" si="4">SUM(C60:C66)</f>
        <v>1303.4392800000001</v>
      </c>
      <c r="D67" s="61">
        <f t="shared" si="4"/>
        <v>1363.0505911</v>
      </c>
      <c r="E67" s="61">
        <f t="shared" si="4"/>
        <v>1407.0412399999998</v>
      </c>
      <c r="F67" s="61">
        <f t="shared" si="4"/>
        <v>1420.2327599999999</v>
      </c>
      <c r="G67" s="61">
        <f t="shared" si="4"/>
        <v>1474.1139060999999</v>
      </c>
      <c r="H67" s="61">
        <f t="shared" si="4"/>
        <v>1345.7718911999998</v>
      </c>
      <c r="I67" s="61">
        <f>SUM(I60:I66)</f>
        <v>1310.6548949999999</v>
      </c>
      <c r="J67" s="64">
        <f>AVERAGE(C67:I67)</f>
        <v>1374.9006519142856</v>
      </c>
    </row>
    <row r="69" spans="1:10" x14ac:dyDescent="0.15">
      <c r="A69" s="55" t="s">
        <v>489</v>
      </c>
    </row>
    <row r="71" spans="1:10" x14ac:dyDescent="0.15">
      <c r="A71" s="53" t="s">
        <v>1030</v>
      </c>
      <c r="C71" s="23" t="s">
        <v>1044</v>
      </c>
      <c r="D71" s="23" t="s">
        <v>591</v>
      </c>
      <c r="E71" s="23" t="s">
        <v>592</v>
      </c>
      <c r="F71" s="23" t="s">
        <v>544</v>
      </c>
      <c r="G71" s="23" t="s">
        <v>615</v>
      </c>
      <c r="H71" s="23" t="s">
        <v>546</v>
      </c>
      <c r="I71" s="23" t="s">
        <v>545</v>
      </c>
      <c r="J71" s="57" t="s">
        <v>601</v>
      </c>
    </row>
    <row r="72" spans="1:10" x14ac:dyDescent="0.15">
      <c r="A72" s="40" t="s">
        <v>602</v>
      </c>
      <c r="C72" s="59">
        <f>IF($F5*'Jan''13 SP'!E7/'Jan''13 SP'!E8&gt;='Jan''13 SP'!E11,('Jan''13 SP'!E11*'Jan''13 SP'!E13/100)*'Jan''13 SP'!E8,($F5*'Jan''13 SP'!E7/'Jan''13 SP'!E8*'Jan''13 SP'!E13/100)*'Jan''13 SP'!E8)</f>
        <v>236.28</v>
      </c>
      <c r="D72" s="59">
        <f>IF($F5*'Jan''13 SP'!F7/'Jan''13 SP'!F8&gt;='Jan''13 SP'!F11,('Jan''13 SP'!F11*'Jan''13 SP'!F13/100)*'Jan''13 SP'!F8,('Bills Jan''13'!$F5*'Jan''13 SP'!F7/'Jan''13 SP'!F8*'Jan''13 SP'!F13/100)*'Jan''13 SP'!F8)</f>
        <v>140.3776</v>
      </c>
      <c r="E72" s="59">
        <f>IF($F5*'Jan''13 SP'!G7/'Jan''13 SP'!G8&gt;='Jan''13 SP'!G11,('Jan''13 SP'!G11*'Jan''13 SP'!G13/100)*'Jan''13 SP'!G8,($F5*'Jan''13 SP'!G7/'Jan''13 SP'!G8*'Jan''13 SP'!G13/100)*'Jan''13 SP'!G8)</f>
        <v>250.8</v>
      </c>
      <c r="F72" s="59">
        <f>IF($F5*'Jan''13 SP'!H7/'Jan''13 SP'!H8&gt;='Jan''13 SP'!H11,('Jan''13 SP'!H11*'Jan''13 SP'!H13/100)*'Jan''13 SP'!H8,('Bills Jan''13'!$F5*'Jan''13 SP'!H7/'Jan''13 SP'!H8*'Jan''13 SP'!H13/100)*'Jan''13 SP'!H8)</f>
        <v>138.24</v>
      </c>
      <c r="G72" s="59">
        <f>IF($F5*'Jan''13 SP'!I7/'Jan''13 SP'!I8&gt;='Jan''13 SP'!I11,('Jan''13 SP'!I11*'Jan''13 SP'!I13/100)*'Jan''13 SP'!I8,('Bills Jan''13'!$F5*'Jan''13 SP'!I7/'Jan''13 SP'!I8*'Jan''13 SP'!I13/100)*'Jan''13 SP'!I8)</f>
        <v>143.4752</v>
      </c>
      <c r="H72" s="59">
        <f>IF($F5*'Jan''13 SP'!J7/'Jan''13 SP'!J8&gt;='Jan''13 SP'!J11,('Jan''13 SP'!J11*'Jan''13 SP'!J13/100)*'Jan''13 SP'!J8,('Bills Jan''13'!$F5*'Jan''13 SP'!J7/'Jan''13 SP'!J8*'Jan''13 SP'!J13/100)*'Jan''13 SP'!J8)</f>
        <v>132.08320000000001</v>
      </c>
      <c r="I72" s="59">
        <f>IF($F5*'Jan''13 SP'!K7/'Jan''13 SP'!K8&gt;='Jan''13 SP'!K11,('Jan''13 SP'!K11*'Jan''13 SP'!K13/100)*'Jan''13 SP'!K8,('Bills Jan''13'!$F5*'Jan''13 SP'!K7/'Jan''13 SP'!K8*'Jan''13 SP'!K13/100)*'Jan''13 SP'!K8)</f>
        <v>137.28</v>
      </c>
      <c r="J72" s="63"/>
    </row>
    <row r="73" spans="1:10" x14ac:dyDescent="0.15">
      <c r="A73" s="40" t="s">
        <v>603</v>
      </c>
      <c r="C73" s="59">
        <f>IF($F5*'Jan''13 SP'!E7/'Jan''13 SP'!E8&lt;'Jan''13 SP'!E11,0,IF($F5*'Jan''13 SP'!E7/'Jan''13 SP'!E8&lt;='Jan''13 SP'!E12,($F5*'Jan''13 SP'!E7/'Jan''13 SP'!E8-'Jan''13 SP'!E11)*('Jan''13 SP'!E14/100)*'Jan''13 SP'!E8,('Jan''13 SP'!E12-'Jan''13 SP'!E11)*('Jan''13 SP'!E14/100)*'Jan''13 SP'!E8))</f>
        <v>166.28119199999995</v>
      </c>
      <c r="D73" s="59">
        <v>0</v>
      </c>
      <c r="E73" s="59">
        <f>IF($F5*'Jan''13 SP'!G7/'Jan''13 SP'!G8&lt;'Jan''13 SP'!G11,0,IF($F5*'Jan''13 SP'!G7/'Jan''13 SP'!G8&lt;='Jan''13 SP'!G12,($F5*'Jan''13 SP'!G7/'Jan''13 SP'!G8-'Jan''13 SP'!G11)*('Jan''13 SP'!G14/100)*'Jan''13 SP'!G8,('Jan''13 SP'!G12-'Jan''13 SP'!G11)*('Jan''13 SP'!G14/100)*'Jan''13 SP'!G8))</f>
        <v>175.18911299999996</v>
      </c>
      <c r="F73" s="59">
        <v>0</v>
      </c>
      <c r="G73" s="59">
        <v>0</v>
      </c>
      <c r="H73" s="59">
        <v>0</v>
      </c>
      <c r="I73" s="59">
        <v>0</v>
      </c>
      <c r="J73" s="63"/>
    </row>
    <row r="74" spans="1:10" x14ac:dyDescent="0.15">
      <c r="A74" s="40" t="s">
        <v>606</v>
      </c>
      <c r="C74" s="59">
        <f>IF(($F5*'Jan''13 SP'!E7/'Jan''13 SP'!E8&gt;'Jan''13 SP'!E12),($F5*'Jan''13 SP'!E7/'Jan''13 SP'!E8-'Jan''13 SP'!E12)*'Jan''13 SP'!E15/100*'Jan''13 SP'!E8,0)</f>
        <v>0</v>
      </c>
      <c r="D74" s="59">
        <f>IF(($F5*'Jan''13 SP'!F7/'Jan''13 SP'!F8&gt;'Jan''13 SP'!F11),('Bills Jan''13'!$F5*'Jan''13 SP'!F7/'Jan''13 SP'!F8-'Jan''13 SP'!F11)*'Jan''13 SP'!F15/100)*'Jan''13 SP'!F8</f>
        <v>276.03169109999993</v>
      </c>
      <c r="E74" s="59">
        <f>IF(($F5*'Jan''13 SP'!G7/'Jan''13 SP'!G8&gt;'Jan''13 SP'!G12),($F5*'Jan''13 SP'!G7/'Jan''13 SP'!G8-'Jan''13 SP'!G12)*'Jan''13 SP'!G15/100*'Jan''13 SP'!G8,0)</f>
        <v>0</v>
      </c>
      <c r="F74" s="59">
        <f>IF(($F5*'Jan''13 SP'!H7/'Jan''13 SP'!H8&gt;'Jan''13 SP'!H11),('Bills Jan''13'!$F5*'Jan''13 SP'!H7/'Jan''13 SP'!H8-'Jan''13 SP'!H11)*'Jan''13 SP'!H15/100)*'Jan''13 SP'!H8</f>
        <v>289.03841999999997</v>
      </c>
      <c r="G74" s="59">
        <f>IF(($F5*'Jan''13 SP'!I7/'Jan''13 SP'!I8&gt;'Jan''13 SP'!I11),('Bills Jan''13'!$F5*'Jan''13 SP'!I7/'Jan''13 SP'!I8-'Jan''13 SP'!I11)*'Jan''13 SP'!I15/100)*'Jan''13 SP'!I8</f>
        <v>288.71726619999993</v>
      </c>
      <c r="H74" s="59">
        <f>IF(($F5*'Jan''13 SP'!J7/'Jan''13 SP'!J8&gt;'Jan''13 SP'!J11),('Bills Jan''13'!$F5*'Jan''13 SP'!J7/'Jan''13 SP'!J8-'Jan''13 SP'!J11)*'Jan''13 SP'!J15/100)*'Jan''13 SP'!J8</f>
        <v>278.87828159999998</v>
      </c>
      <c r="I74" s="59">
        <f>IF(($F5*'Jan''13 SP'!K7/'Jan''13 SP'!K8&gt;'Jan''13 SP'!K11),('Bills Jan''13'!$F5*'Jan''13 SP'!K7/'Jan''13 SP'!K8-'Jan''13 SP'!K11)*'Jan''13 SP'!K15/100)*'Jan''13 SP'!K8</f>
        <v>264.95188499999995</v>
      </c>
      <c r="J74" s="63"/>
    </row>
    <row r="75" spans="1:10" x14ac:dyDescent="0.15">
      <c r="A75" s="40" t="s">
        <v>607</v>
      </c>
      <c r="C75" s="59">
        <f>IF($F5*'Jan''13 SP'!E9/'Jan''13 SP'!E10&gt;='Jan''13 SP'!E11,('Jan''13 SP'!E11*'Jan''13 SP'!E16/100)*'Jan''13 SP'!E10,($F5*'Jan''13 SP'!E9/'Jan''13 SP'!E10*'Jan''13 SP'!E16/100)*'Jan''13 SP'!E10)</f>
        <v>402.86400000000003</v>
      </c>
      <c r="D75" s="59">
        <f>IF($F5*'Jan''13 SP'!F9/'Jan''13 SP'!F10&gt;='Jan''13 SP'!F11,('Jan''13 SP'!F11*'Jan''13 SP'!F16/100)*'Jan''13 SP'!F10,('Bills Jan''13'!$F5*'Jan''13 SP'!F9/'Jan''13 SP'!F10*'Jan''13 SP'!F16/100)*'Jan''13 SP'!F10)</f>
        <v>230.34880000000001</v>
      </c>
      <c r="E75" s="59">
        <f>IF($F5*'Jan''13 SP'!G9/'Jan''13 SP'!G10&gt;='Jan''13 SP'!G11,('Jan''13 SP'!G11*'Jan''13 SP'!G16/100)*'Jan''13 SP'!G10,($F5*'Jan''13 SP'!G9/'Jan''13 SP'!G10*'Jan''13 SP'!G16/100)*'Jan''13 SP'!G10)</f>
        <v>438.24</v>
      </c>
      <c r="F75" s="59">
        <f>IF($F5*'Jan''13 SP'!H9/'Jan''13 SP'!H10&gt;='Jan''13 SP'!H11,('Jan''13 SP'!H11*'Jan''13 SP'!H16/100)*'Jan''13 SP'!H10,('Bills Jan''13'!$F5*'Jan''13 SP'!H9/'Jan''13 SP'!H10*'Jan''13 SP'!H16/100)*'Jan''13 SP'!H10)</f>
        <v>248.32</v>
      </c>
      <c r="G75" s="59">
        <f>IF($F5*'Jan''13 SP'!I9/'Jan''13 SP'!I10&gt;='Jan''13 SP'!I11,('Jan''13 SP'!I11*'Jan''13 SP'!I16/100)*'Jan''13 SP'!I10,('Bills Jan''13'!$F5*'Jan''13 SP'!I9/'Jan''13 SP'!I10*'Jan''13 SP'!I16/100)*'Jan''13 SP'!I10)</f>
        <v>244.00640000000004</v>
      </c>
      <c r="H75" s="59">
        <f>IF($F5*'Jan''13 SP'!J9/'Jan''13 SP'!J10&gt;='Jan''13 SP'!J11,('Jan''13 SP'!J11*'Jan''13 SP'!J16/100)*'Jan''13 SP'!J10,('Bills Jan''13'!$F5*'Jan''13 SP'!J9/'Jan''13 SP'!J10*'Jan''13 SP'!J16/100)*'Jan''13 SP'!J10)</f>
        <v>232.65280000000001</v>
      </c>
      <c r="I75" s="59">
        <f>IF($F5*'Jan''13 SP'!K9/'Jan''13 SP'!K10&gt;='Jan''13 SP'!K11,('Jan''13 SP'!K11*'Jan''13 SP'!K16/100)*'Jan''13 SP'!K10,('Bills Jan''13'!$F5*'Jan''13 SP'!K9/'Jan''13 SP'!K10*'Jan''13 SP'!K16/100)*'Jan''13 SP'!K10)</f>
        <v>229.50399999999999</v>
      </c>
      <c r="J75" s="63"/>
    </row>
    <row r="76" spans="1:10" x14ac:dyDescent="0.15">
      <c r="A76" s="40" t="s">
        <v>608</v>
      </c>
      <c r="C76" s="59">
        <f>IF($F5*'Jan''13 SP'!E9/'Jan''13 SP'!E10&lt;'Jan''13 SP'!E11,0,IF($F5*'Jan''13 SP'!E9/'Jan''13 SP'!E10&lt;='Jan''13 SP'!E12,($F5*'Jan''13 SP'!E9/'Jan''13 SP'!E10-'Jan''13 SP'!E11)*('Jan''13 SP'!E17/100)*'Jan''13 SP'!E10,('Jan''13 SP'!E12-'Jan''13 SP'!E11)*('Jan''13 SP'!E17/100)*'Jan''13 SP'!E10))</f>
        <v>273.96805919999991</v>
      </c>
      <c r="D76" s="59">
        <v>0</v>
      </c>
      <c r="E76" s="59">
        <f>IF($F5*'Jan''13 SP'!G9/'Jan''13 SP'!G10&lt;'Jan''13 SP'!G11,0,IF($F5*'Jan''13 SP'!G9/'Jan''13 SP'!G10&lt;='Jan''13 SP'!G12,($F5*'Jan''13 SP'!G9/'Jan''13 SP'!G10-'Jan''13 SP'!G11)*('Jan''13 SP'!G17/100)*'Jan''13 SP'!G10,('Jan''13 SP'!G12-'Jan''13 SP'!G11)*('Jan''13 SP'!G17/100)*'Jan''13 SP'!G10))</f>
        <v>289.01254799999998</v>
      </c>
      <c r="F76" s="59">
        <v>0</v>
      </c>
      <c r="G76" s="59">
        <v>0</v>
      </c>
      <c r="H76" s="59">
        <v>0</v>
      </c>
      <c r="I76" s="59">
        <v>0</v>
      </c>
      <c r="J76" s="63"/>
    </row>
    <row r="77" spans="1:10" x14ac:dyDescent="0.15">
      <c r="A77" s="40" t="s">
        <v>611</v>
      </c>
      <c r="C77" s="59">
        <f>IF(($F5*'Jan''13 SP'!E9/'Jan''13 SP'!E10&gt;'Jan''13 SP'!E12),($F5*'Jan''13 SP'!E9/'Jan''13 SP'!E10-'Jan''13 SP'!E12)*'Jan''13 SP'!E18/100*'Jan''13 SP'!E10,0)</f>
        <v>0</v>
      </c>
      <c r="D77" s="59">
        <f>IF(($F5*'Jan''13 SP'!F9/'Jan''13 SP'!F10&gt;'Jan''13 SP'!F11),('Bills Jan''13'!$F5*'Jan''13 SP'!F9/'Jan''13 SP'!F10-'Jan''13 SP'!F11)*'Jan''13 SP'!F18/100)*'Jan''13 SP'!F10</f>
        <v>463.1037796</v>
      </c>
      <c r="E77" s="59">
        <f>IF(($F5*'Jan''13 SP'!G9/'Jan''13 SP'!G10&gt;'Jan''13 SP'!G12),($F5*'Jan''13 SP'!G9/'Jan''13 SP'!G10-'Jan''13 SP'!G12)*'Jan''13 SP'!G18/100*'Jan''13 SP'!G10,0)</f>
        <v>0</v>
      </c>
      <c r="F77" s="59">
        <f>IF(($F5*'Jan''13 SP'!H9/'Jan''13 SP'!H10&gt;'Jan''13 SP'!H11),('Bills Jan''13'!$F5*'Jan''13 SP'!H9/'Jan''13 SP'!H10-'Jan''13 SP'!H11)*'Jan''13 SP'!H18/100)*'Jan''13 SP'!H10</f>
        <v>505.08733999999987</v>
      </c>
      <c r="G77" s="59">
        <f>IF(($F5*'Jan''13 SP'!I9/'Jan''13 SP'!I10&gt;'Jan''13 SP'!I11),('Bills Jan''13'!$F5*'Jan''13 SP'!I9/'Jan''13 SP'!I10-'Jan''13 SP'!I11)*'Jan''13 SP'!I18/100)*'Jan''13 SP'!I10</f>
        <v>490.40185259999993</v>
      </c>
      <c r="H77" s="59">
        <f>IF(($F5*'Jan''13 SP'!J9/'Jan''13 SP'!J10&gt;'Jan''13 SP'!J11),('Bills Jan''13'!$F5*'Jan''13 SP'!J9/'Jan''13 SP'!J10-'Jan''13 SP'!J11)*'Jan''13 SP'!J18/100)*'Jan''13 SP'!J10</f>
        <v>476.18349799999999</v>
      </c>
      <c r="I77" s="59">
        <f>IF(($F5*'Jan''13 SP'!K9/'Jan''13 SP'!K10&gt;'Jan''13 SP'!K11),('Bills Jan''13'!$F5*'Jan''13 SP'!K9/'Jan''13 SP'!K10-'Jan''13 SP'!K11)*'Jan''13 SP'!K18/100)*'Jan''13 SP'!K10</f>
        <v>449.61531999999994</v>
      </c>
      <c r="J77" s="63"/>
    </row>
    <row r="78" spans="1:10" x14ac:dyDescent="0.15">
      <c r="A78" s="40" t="s">
        <v>612</v>
      </c>
      <c r="C78" s="59">
        <f>365*'Jan''13 SP'!E19/100</f>
        <v>211.14884999999998</v>
      </c>
      <c r="D78" s="59">
        <f>365*'Jan''13 SP'!F19/100</f>
        <v>206.0498</v>
      </c>
      <c r="E78" s="59">
        <f>365*'Jan''13 SP'!G19/100</f>
        <v>212.79499999999999</v>
      </c>
      <c r="F78" s="59">
        <f>365*'Jan''13 SP'!H19/100</f>
        <v>216.9195</v>
      </c>
      <c r="G78" s="59">
        <f>365*'Jan''13 SP'!I19/100</f>
        <v>229.65799999999999</v>
      </c>
      <c r="H78" s="59">
        <f>365*'Jan''13 SP'!J19/100</f>
        <v>212.2475</v>
      </c>
      <c r="I78" s="59">
        <f>365*'Jan''13 SP'!K19/100</f>
        <v>184.69</v>
      </c>
      <c r="J78" s="60">
        <f>AVERAGE(C78:I78)</f>
        <v>210.50123571428571</v>
      </c>
    </row>
    <row r="79" spans="1:10" x14ac:dyDescent="0.15">
      <c r="A79" s="62" t="s">
        <v>613</v>
      </c>
      <c r="B79" s="63"/>
      <c r="C79" s="61">
        <f t="shared" ref="C79:H79" si="5">SUM(C72:C78)</f>
        <v>1290.5421011999999</v>
      </c>
      <c r="D79" s="61">
        <f t="shared" si="5"/>
        <v>1315.9116706999998</v>
      </c>
      <c r="E79" s="61">
        <f t="shared" si="5"/>
        <v>1366.0366610000001</v>
      </c>
      <c r="F79" s="61">
        <f t="shared" si="5"/>
        <v>1397.6052599999998</v>
      </c>
      <c r="G79" s="61">
        <f t="shared" si="5"/>
        <v>1396.2587187999998</v>
      </c>
      <c r="H79" s="61">
        <f t="shared" si="5"/>
        <v>1332.0452796</v>
      </c>
      <c r="I79" s="61">
        <f>SUM(I72:I78)</f>
        <v>1266.041205</v>
      </c>
      <c r="J79" s="64">
        <f>AVERAGE(C79:I79)</f>
        <v>1337.7772709000001</v>
      </c>
    </row>
    <row r="81" spans="1:10" x14ac:dyDescent="0.15">
      <c r="A81" s="53" t="s">
        <v>1032</v>
      </c>
      <c r="C81" s="23" t="s">
        <v>1044</v>
      </c>
      <c r="D81" s="23" t="s">
        <v>591</v>
      </c>
      <c r="E81" s="23" t="s">
        <v>592</v>
      </c>
      <c r="F81" s="23" t="s">
        <v>544</v>
      </c>
      <c r="G81" s="23" t="s">
        <v>615</v>
      </c>
      <c r="H81" s="23" t="s">
        <v>546</v>
      </c>
      <c r="I81" s="23" t="s">
        <v>545</v>
      </c>
      <c r="J81" s="57" t="s">
        <v>601</v>
      </c>
    </row>
    <row r="82" spans="1:10" x14ac:dyDescent="0.15">
      <c r="A82" s="40" t="s">
        <v>602</v>
      </c>
      <c r="C82" s="59">
        <f>IF($F5*'Jan''13 SP'!E23/'Jan''13 SP'!E24&gt;='Jan''13 SP'!E27,('Jan''13 SP'!E27*'Jan''13 SP'!E29/100)*'Jan''13 SP'!E24,($F5*'Jan''13 SP'!E23/'Jan''13 SP'!E24*'Jan''13 SP'!E29/100)*'Jan''13 SP'!E24)</f>
        <v>254.23199999999997</v>
      </c>
      <c r="D82" s="59">
        <f>IF($F5*'Jan''13 SP'!F23/'Jan''13 SP'!F24&gt;='Jan''13 SP'!F27,('Jan''13 SP'!F27*'Jan''13 SP'!F29/100)*'Jan''13 SP'!F24,('Bills Jan''13'!$F5*'Jan''13 SP'!F23/'Jan''13 SP'!F24*'Jan''13 SP'!F29/100)*'Jan''13 SP'!F24)</f>
        <v>169.554</v>
      </c>
      <c r="E82" s="59">
        <f>IF($F5*'Jan''13 SP'!G23/'Jan''13 SP'!G24&gt;='Jan''13 SP'!G27,('Jan''13 SP'!G27*'Jan''13 SP'!G29/100)*'Jan''13 SP'!G24,($F5*'Jan''13 SP'!G23/'Jan''13 SP'!G24*'Jan''13 SP'!G29/100)*'Jan''13 SP'!G24)</f>
        <v>269.28000000000003</v>
      </c>
      <c r="F82" s="59">
        <f>IF($F5*'Jan''13 SP'!H23/'Jan''13 SP'!H24&gt;='Jan''13 SP'!H27,('Jan''13 SP'!H27*'Jan''13 SP'!H29/100)*'Jan''13 SP'!H24,('Bills Jan''13'!$F5*'Jan''13 SP'!H23/'Jan''13 SP'!H24*'Jan''13 SP'!H29/100)*'Jan''13 SP'!H24)</f>
        <v>160.99999999999997</v>
      </c>
      <c r="G82" s="59">
        <f>IF($F5*'Jan''13 SP'!I23/'Jan''13 SP'!I24&gt;='Jan''13 SP'!I27,('Jan''13 SP'!I27*'Jan''13 SP'!I29/100)*'Jan''13 SP'!I24,('Bills Jan''13'!$F5*'Jan''13 SP'!I23/'Jan''13 SP'!I24*'Jan''13 SP'!I29/100)*'Jan''13 SP'!I24)</f>
        <v>164.39500000000001</v>
      </c>
      <c r="H82" s="59">
        <f>IF($F5*'Jan''13 SP'!J23/'Jan''13 SP'!J24&gt;='Jan''13 SP'!J27,('Jan''13 SP'!J27*'Jan''13 SP'!J29/100)*'Jan''13 SP'!J24,('Bills Jan''13'!$F5*'Jan''13 SP'!J23/'Jan''13 SP'!J24*'Jan''13 SP'!J29/100)*'Jan''13 SP'!J24)</f>
        <v>155.80600000000001</v>
      </c>
      <c r="I82" s="59">
        <f>IF($F5*'Jan''13 SP'!K23/'Jan''13 SP'!K24&gt;='Jan''13 SP'!K27,('Jan''13 SP'!K27*'Jan''13 SP'!K29/100)*'Jan''13 SP'!K24,('Bills Jan''13'!$F5*'Jan''13 SP'!K23/'Jan''13 SP'!K24*'Jan''13 SP'!K29/100)*'Jan''13 SP'!K24)</f>
        <v>165.55</v>
      </c>
      <c r="J82" s="63"/>
    </row>
    <row r="83" spans="1:10" x14ac:dyDescent="0.15">
      <c r="A83" s="40" t="s">
        <v>603</v>
      </c>
      <c r="C83" s="59">
        <f>IF($F5*'Jan''13 SP'!E23/'Jan''13 SP'!E24&lt;'Jan''13 SP'!E27,0,IF($F5*'Jan''13 SP'!E23/'Jan''13 SP'!E24&lt;='Jan''13 SP'!E28,($F5*'Jan''13 SP'!E23/'Jan''13 SP'!E24-'Jan''13 SP'!E27)*('Jan''13 SP'!E30/100)*'Jan''13 SP'!E24,('Jan''13 SP'!E28-'Jan''13 SP'!E27)*('Jan''13 SP'!E30/100)*'Jan''13 SP'!E24))</f>
        <v>164.30165399999998</v>
      </c>
      <c r="D83" s="59">
        <v>0</v>
      </c>
      <c r="E83" s="59">
        <f>IF($F5*'Jan''13 SP'!G23/'Jan''13 SP'!G24&lt;'Jan''13 SP'!G27,0,IF($F5*'Jan''13 SP'!G23/'Jan''13 SP'!G24&lt;='Jan''13 SP'!G28,($F5*'Jan''13 SP'!G23/'Jan''13 SP'!G24-'Jan''13 SP'!G27)*('Jan''13 SP'!G30/100)*'Jan''13 SP'!G24,('Jan''13 SP'!G28-'Jan''13 SP'!G27)*('Jan''13 SP'!G30/100)*'Jan''13 SP'!G24))</f>
        <v>182.11749599999996</v>
      </c>
      <c r="F83" s="59">
        <v>0</v>
      </c>
      <c r="G83" s="59">
        <v>0</v>
      </c>
      <c r="H83" s="59">
        <v>0</v>
      </c>
      <c r="I83" s="59">
        <v>0</v>
      </c>
      <c r="J83" s="63"/>
    </row>
    <row r="84" spans="1:10" x14ac:dyDescent="0.15">
      <c r="A84" s="40" t="s">
        <v>606</v>
      </c>
      <c r="C84" s="59">
        <f>IF(($F5*'Jan''13 SP'!E23/'Jan''13 SP'!E24&gt;'Jan''13 SP'!E28),($F5*'Jan''13 SP'!E23/'Jan''13 SP'!E24-'Jan''13 SP'!E28)*'Jan''13 SP'!E31/100*'Jan''13 SP'!E24,0)</f>
        <v>0</v>
      </c>
      <c r="D84" s="59">
        <f>IF(($F5*'Jan''13 SP'!F23/'Jan''13 SP'!F24&lt;'Jan''13 SP'!F27),(0),('Bills Jan''13'!$F5*'Jan''13 SP'!F23/'Jan''13 SP'!F24-'Jan''13 SP'!F27)*'Jan''13 SP'!F31/100)*'Jan''13 SP'!F24</f>
        <v>271.61525159999997</v>
      </c>
      <c r="E84" s="59">
        <f>IF(($F5*'Jan''13 SP'!G23/'Jan''13 SP'!G24&gt;'Jan''13 SP'!G28),($F5*'Jan''13 SP'!G23/'Jan''13 SP'!G24-'Jan''13 SP'!G28)*'Jan''13 SP'!G31/100*'Jan''13 SP'!G24,0)</f>
        <v>0</v>
      </c>
      <c r="F84" s="59">
        <f>IF(($F5*'Jan''13 SP'!H23/'Jan''13 SP'!H24&lt;'Jan''13 SP'!H27),(0),('Bills Jan''13'!$F5*'Jan''13 SP'!H23/'Jan''13 SP'!H24-'Jan''13 SP'!H27)*'Jan''13 SP'!H31/100)*'Jan''13 SP'!H24</f>
        <v>293.95589999999999</v>
      </c>
      <c r="G84" s="59">
        <f>IF(($F5*'Jan''13 SP'!I23/'Jan''13 SP'!I24&lt;'Jan''13 SP'!I27),(0),('Bills Jan''13'!$F5*'Jan''13 SP'!I23/'Jan''13 SP'!I24-'Jan''13 SP'!I27)*'Jan''13 SP'!I31/100)*'Jan''13 SP'!I24</f>
        <v>292.86406379999994</v>
      </c>
      <c r="H84" s="59">
        <f>IF(($F5*'Jan''13 SP'!J23/'Jan''13 SP'!J24&lt;'Jan''13 SP'!J27),(0),('Bills Jan''13'!$F5*'Jan''13 SP'!J23/'Jan''13 SP'!J24-'Jan''13 SP'!J27)*'Jan''13 SP'!J31/100)*'Jan''13 SP'!J24</f>
        <v>276.73848299999997</v>
      </c>
      <c r="I84" s="59">
        <f>IF(($F5*'Jan''13 SP'!K23/'Jan''13 SP'!K24&lt;'Jan''13 SP'!K27),(0),('Bills Jan''13'!$F5*'Jan''13 SP'!K23/'Jan''13 SP'!K24-'Jan''13 SP'!K27)*'Jan''13 SP'!K31/100)*'Jan''13 SP'!K24</f>
        <v>254.06188499999996</v>
      </c>
      <c r="J84" s="63"/>
    </row>
    <row r="85" spans="1:10" x14ac:dyDescent="0.15">
      <c r="A85" s="40" t="s">
        <v>607</v>
      </c>
      <c r="C85" s="59">
        <f>IF($F5*'Jan''13 SP'!E25/'Jan''13 SP'!E26&gt;='Jan''13 SP'!E27,('Jan''13 SP'!E27*'Jan''13 SP'!E32/100)*'Jan''13 SP'!E26,($F5*'Jan''13 SP'!E25/'Jan''13 SP'!E26*'Jan''13 SP'!E32/100)*'Jan''13 SP'!E26)</f>
        <v>454.08</v>
      </c>
      <c r="D85" s="59">
        <f>IF($F5*'Jan''13 SP'!F25/'Jan''13 SP'!F26&gt;='Jan''13 SP'!F27,('Jan''13 SP'!F27*'Jan''13 SP'!F32/100)*'Jan''13 SP'!F26,('Bills Jan''13'!$F5*'Jan''13 SP'!F25/'Jan''13 SP'!F26*'Jan''13 SP'!F32/100)*'Jan''13 SP'!F26)</f>
        <v>268.26799999999997</v>
      </c>
      <c r="E85" s="59">
        <f>IF($F5*'Jan''13 SP'!G25/'Jan''13 SP'!G26&gt;='Jan''13 SP'!G27,('Jan''13 SP'!G27*'Jan''13 SP'!G32/100)*'Jan''13 SP'!G26,($F5*'Jan''13 SP'!G25/'Jan''13 SP'!G26*'Jan''13 SP'!G32/100)*'Jan''13 SP'!G26)</f>
        <v>467.28</v>
      </c>
      <c r="F85" s="59">
        <f>IF($F5*'Jan''13 SP'!H25/'Jan''13 SP'!H26&gt;='Jan''13 SP'!H27,('Jan''13 SP'!H27*'Jan''13 SP'!H32/100)*'Jan''13 SP'!H26,('Bills Jan''13'!$F5*'Jan''13 SP'!H25/'Jan''13 SP'!H26*'Jan''13 SP'!H32/100)*'Jan''13 SP'!H26)</f>
        <v>277.2</v>
      </c>
      <c r="G85" s="59">
        <f>IF($F5*'Jan''13 SP'!I25/'Jan''13 SP'!I26&gt;='Jan''13 SP'!I27,('Jan''13 SP'!I27*'Jan''13 SP'!I32/100)*'Jan''13 SP'!I26,('Bills Jan''13'!$F5*'Jan''13 SP'!I25/'Jan''13 SP'!I26*'Jan''13 SP'!I32/100)*'Jan''13 SP'!I26)</f>
        <v>269.80799999999999</v>
      </c>
      <c r="H85" s="59">
        <f>IF($F5*'Jan''13 SP'!J25/'Jan''13 SP'!J26&gt;='Jan''13 SP'!J27,('Jan''13 SP'!J27*'Jan''13 SP'!J32/100)*'Jan''13 SP'!J26,('Bills Jan''13'!$F5*'Jan''13 SP'!J25/'Jan''13 SP'!J26*'Jan''13 SP'!J32/100)*'Jan''13 SP'!J26)</f>
        <v>274.94599999999997</v>
      </c>
      <c r="I85" s="59">
        <f>IF($F5*'Jan''13 SP'!K25/'Jan''13 SP'!K26&gt;='Jan''13 SP'!K27,('Jan''13 SP'!K27*'Jan''13 SP'!K32/100)*'Jan''13 SP'!K26,('Bills Jan''13'!$F5*'Jan''13 SP'!K25/'Jan''13 SP'!K26*'Jan''13 SP'!K32/100)*'Jan''13 SP'!K26)</f>
        <v>275.66000000000003</v>
      </c>
      <c r="J85" s="63"/>
    </row>
    <row r="86" spans="1:10" x14ac:dyDescent="0.15">
      <c r="A86" s="40" t="s">
        <v>608</v>
      </c>
      <c r="C86" s="59">
        <f>IF($F5*'Jan''13 SP'!E25/'Jan''13 SP'!E26&lt;'Jan''13 SP'!E27,0,IF($F5*'Jan''13 SP'!E25/'Jan''13 SP'!E26&lt;='Jan''13 SP'!E28,($F5*'Jan''13 SP'!E25/'Jan''13 SP'!E26-'Jan''13 SP'!E27)*('Jan''13 SP'!E33/100)*'Jan''13 SP'!E26,('Jan''13 SP'!E28-'Jan''13 SP'!E27)*('Jan''13 SP'!E33/100)*'Jan''13 SP'!E26))</f>
        <v>293.1695777999999</v>
      </c>
      <c r="D86" s="59">
        <v>0</v>
      </c>
      <c r="E86" s="59">
        <f>IF($F5*'Jan''13 SP'!G25/'Jan''13 SP'!G26&lt;'Jan''13 SP'!G27,0,IF($F5*'Jan''13 SP'!G25/'Jan''13 SP'!G26&lt;='Jan''13 SP'!G28,($F5*'Jan''13 SP'!G25/'Jan''13 SP'!G26-'Jan''13 SP'!G27)*('Jan''13 SP'!G33/100)*'Jan''13 SP'!G26,('Jan''13 SP'!G28-'Jan''13 SP'!G27)*('Jan''13 SP'!G33/100)*'Jan''13 SP'!G26))</f>
        <v>310.78746599999994</v>
      </c>
      <c r="F86" s="59">
        <v>0</v>
      </c>
      <c r="G86" s="59">
        <v>0</v>
      </c>
      <c r="H86" s="59">
        <v>0</v>
      </c>
      <c r="I86" s="59">
        <v>0</v>
      </c>
      <c r="J86" s="63"/>
    </row>
    <row r="87" spans="1:10" x14ac:dyDescent="0.15">
      <c r="A87" s="40" t="s">
        <v>611</v>
      </c>
      <c r="C87" s="59">
        <f>IF(($F5*'Jan''13 SP'!E25/'Jan''13 SP'!E26&gt;'Jan''13 SP'!E28),($F5*'Jan''13 SP'!E25/'Jan''13 SP'!E26-'Jan''13 SP'!E28)*'Jan''13 SP'!E34/100*'Jan''13 SP'!E26,0)</f>
        <v>0</v>
      </c>
      <c r="D87" s="59">
        <f>IF(($F5*'Jan''13 SP'!F25/'Jan''13 SP'!F26&lt;'Jan''13 SP'!F27),(0),('Bills Jan''13'!$F5*'Jan''13 SP'!F25/'Jan''13 SP'!F26-'Jan''13 SP'!F27)*'Jan''13 SP'!F34/100)*'Jan''13 SP'!F26</f>
        <v>463.77842279999999</v>
      </c>
      <c r="E87" s="59">
        <f>IF(($F5*'Jan''13 SP'!G25/'Jan''13 SP'!G26&gt;'Jan''13 SP'!G28),($F5*'Jan''13 SP'!G25/'Jan''13 SP'!G26-'Jan''13 SP'!G28)*'Jan''13 SP'!G34/100*'Jan''13 SP'!G26,0)</f>
        <v>0</v>
      </c>
      <c r="F87" s="59">
        <f>IF(($F5*'Jan''13 SP'!H25/'Jan''13 SP'!H26&lt;'Jan''13 SP'!H27),(0),('Bills Jan''13'!$F5*'Jan''13 SP'!H25/'Jan''13 SP'!H26-'Jan''13 SP'!H27)*'Jan''13 SP'!H34/100)*'Jan''13 SP'!H26</f>
        <v>495.5256599999999</v>
      </c>
      <c r="G87" s="59">
        <f>IF(($F5*'Jan''13 SP'!I25/'Jan''13 SP'!I26&lt;'Jan''13 SP'!I27),(0),('Bills Jan''13'!$F5*'Jan''13 SP'!I25/'Jan''13 SP'!I26-'Jan''13 SP'!I27)*'Jan''13 SP'!I34/100)*'Jan''13 SP'!I26</f>
        <v>519.21010679999995</v>
      </c>
      <c r="H87" s="59">
        <f>IF(($F5*'Jan''13 SP'!J25/'Jan''13 SP'!J26&lt;'Jan''13 SP'!J27),(0),('Bills Jan''13'!$F5*'Jan''13 SP'!J25/'Jan''13 SP'!J26-'Jan''13 SP'!J27)*'Jan''13 SP'!J34/100)*'Jan''13 SP'!J26</f>
        <v>482.42362559999992</v>
      </c>
      <c r="I87" s="59">
        <f>IF(($F5*'Jan''13 SP'!K25/'Jan''13 SP'!K26&lt;'Jan''13 SP'!K27),(0),('Bills Jan''13'!$F5*'Jan''13 SP'!K25/'Jan''13 SP'!K26-'Jan''13 SP'!K27)*'Jan''13 SP'!K34/100)*'Jan''13 SP'!K26</f>
        <v>446.53300999999993</v>
      </c>
      <c r="J87" s="63"/>
    </row>
    <row r="88" spans="1:10" x14ac:dyDescent="0.15">
      <c r="A88" s="40" t="s">
        <v>612</v>
      </c>
      <c r="C88" s="59">
        <f>365*'Jan''13 SP'!E35/100</f>
        <v>197.2971</v>
      </c>
      <c r="D88" s="59">
        <f>365*'Jan''13 SP'!F35/100</f>
        <v>203.15899999999999</v>
      </c>
      <c r="E88" s="59">
        <f>365*'Jan''13 SP'!G35/100</f>
        <v>216.81</v>
      </c>
      <c r="F88" s="59">
        <f>365*'Jan''13 SP'!H35/100</f>
        <v>210.71449999999996</v>
      </c>
      <c r="G88" s="59">
        <f>365*'Jan''13 SP'!I35/100</f>
        <v>231.66549999999998</v>
      </c>
      <c r="H88" s="59">
        <f>365*'Jan''13 SP'!J35/100</f>
        <v>208.70699999999999</v>
      </c>
      <c r="I88" s="59">
        <f>365*'Jan''13 SP'!K35/100</f>
        <v>180.67500000000001</v>
      </c>
      <c r="J88" s="60">
        <f>AVERAGE(C88:I88)</f>
        <v>207.00401428571425</v>
      </c>
    </row>
    <row r="89" spans="1:10" x14ac:dyDescent="0.15">
      <c r="A89" s="62" t="s">
        <v>613</v>
      </c>
      <c r="B89" s="63"/>
      <c r="C89" s="61">
        <f t="shared" ref="C89:H89" si="6">SUM(C82:C88)</f>
        <v>1363.0803317999998</v>
      </c>
      <c r="D89" s="61">
        <f t="shared" si="6"/>
        <v>1376.3746744</v>
      </c>
      <c r="E89" s="61">
        <f t="shared" si="6"/>
        <v>1446.274962</v>
      </c>
      <c r="F89" s="61">
        <f t="shared" si="6"/>
        <v>1438.39606</v>
      </c>
      <c r="G89" s="61">
        <f t="shared" si="6"/>
        <v>1477.9426705999999</v>
      </c>
      <c r="H89" s="61">
        <f t="shared" si="6"/>
        <v>1398.6211085999998</v>
      </c>
      <c r="I89" s="61">
        <f>SUM(I82:I88)</f>
        <v>1322.4798949999999</v>
      </c>
      <c r="J89" s="64">
        <f>AVERAGE(C89:I89)</f>
        <v>1403.3099574857144</v>
      </c>
    </row>
    <row r="91" spans="1:10" x14ac:dyDescent="0.15">
      <c r="A91" s="53" t="s">
        <v>1034</v>
      </c>
      <c r="C91" s="23" t="s">
        <v>1044</v>
      </c>
      <c r="D91" s="23" t="s">
        <v>591</v>
      </c>
      <c r="E91" s="23" t="s">
        <v>592</v>
      </c>
      <c r="F91" s="23" t="s">
        <v>544</v>
      </c>
      <c r="G91" s="23" t="s">
        <v>615</v>
      </c>
      <c r="H91" s="23" t="s">
        <v>546</v>
      </c>
      <c r="I91" s="23" t="s">
        <v>545</v>
      </c>
      <c r="J91" s="57" t="s">
        <v>601</v>
      </c>
    </row>
    <row r="92" spans="1:10" x14ac:dyDescent="0.15">
      <c r="A92" s="40" t="s">
        <v>602</v>
      </c>
      <c r="C92" s="59">
        <f>IF($F5*'Jan''13 SP'!E39/'Jan''13 SP'!E40&gt;='Jan''13 SP'!E43,('Jan''13 SP'!E43*'Jan''13 SP'!E45/100)*'Jan''13 SP'!E40,($F5*'Jan''13 SP'!E39/'Jan''13 SP'!E40*'Jan''13 SP'!E45/100)*'Jan''13 SP'!E40)</f>
        <v>253.70399999999998</v>
      </c>
      <c r="D92" s="59">
        <f>IF($F5*'Jan''13 SP'!F39/'Jan''13 SP'!F40&gt;='Jan''13 SP'!F43,('Jan''13 SP'!F43*'Jan''13 SP'!F45/100)*'Jan''13 SP'!F40,('Bills Jan''13'!$F5*'Jan''13 SP'!F39/'Jan''13 SP'!F40*'Jan''13 SP'!F45/100)*'Jan''13 SP'!F40)</f>
        <v>156.28800000000001</v>
      </c>
      <c r="E92" s="59">
        <f>IF($F5*'Jan''13 SP'!G39/'Jan''13 SP'!G40&gt;='Jan''13 SP'!G43,('Jan''13 SP'!G43*'Jan''13 SP'!G45/100)*'Jan''13 SP'!G40,($F5*'Jan''13 SP'!G39/'Jan''13 SP'!G40*'Jan''13 SP'!G45/100)*'Jan''13 SP'!G40)</f>
        <v>281.16000000000003</v>
      </c>
      <c r="F92" s="59">
        <f>IF($F5*'Jan''13 SP'!H39/'Jan''13 SP'!H40&gt;='Jan''13 SP'!H43,('Jan''13 SP'!H43*'Jan''13 SP'!H45/100)*'Jan''13 SP'!H40,('Bills Jan''13'!$F5*'Jan''13 SP'!H39/'Jan''13 SP'!H40*'Jan''13 SP'!H45/100)*'Jan''13 SP'!H40)</f>
        <v>154.88</v>
      </c>
      <c r="G92" s="59">
        <f>IF($F5*'Jan''13 SP'!I39/'Jan''13 SP'!I40&gt;='Jan''13 SP'!I43,('Jan''13 SP'!I43*'Jan''13 SP'!I45/100)*'Jan''13 SP'!I40,('Bills Jan''13'!$F5*'Jan''13 SP'!I39/'Jan''13 SP'!I40*'Jan''13 SP'!I45/100)*'Jan''13 SP'!I40)</f>
        <v>158.048</v>
      </c>
      <c r="H92" s="59">
        <f>IF($F5*'Jan''13 SP'!J39/'Jan''13 SP'!J40&gt;='Jan''13 SP'!J43,('Jan''13 SP'!J43*'Jan''13 SP'!J45/100)*'Jan''13 SP'!J40,('Bills Jan''13'!$F5*'Jan''13 SP'!J39/'Jan''13 SP'!J40*'Jan''13 SP'!J45/100)*'Jan''13 SP'!J40)</f>
        <v>148.9152</v>
      </c>
      <c r="I92" s="59">
        <f>IF($F5*'Jan''13 SP'!K39/'Jan''13 SP'!K40&gt;='Jan''13 SP'!K43,('Jan''13 SP'!K43*'Jan''13 SP'!K45/100)*'Jan''13 SP'!K40,('Bills Jan''13'!$F5*'Jan''13 SP'!K39/'Jan''13 SP'!K40*'Jan''13 SP'!K45/100)*'Jan''13 SP'!K40)</f>
        <v>147.84</v>
      </c>
      <c r="J92" s="63"/>
    </row>
    <row r="93" spans="1:10" x14ac:dyDescent="0.15">
      <c r="A93" s="40" t="s">
        <v>603</v>
      </c>
      <c r="C93" s="59">
        <f>IF($F5*'Jan''13 SP'!E39/'Jan''13 SP'!E40&lt;'Jan''13 SP'!E43,0,IF($F5*'Jan''13 SP'!E39/'Jan''13 SP'!E40&lt;='Jan''13 SP'!E44,($F5*'Jan''13 SP'!E39/'Jan''13 SP'!E40-'Jan''13 SP'!E43)*('Jan''13 SP'!E46/100)*'Jan''13 SP'!E40,('Jan''13 SP'!E44-'Jan''13 SP'!E43)*('Jan''13 SP'!E46/100)*'Jan''13 SP'!E40))</f>
        <v>160.14462419999998</v>
      </c>
      <c r="D93" s="59">
        <v>0</v>
      </c>
      <c r="E93" s="59">
        <f>IF($F5*'Jan''13 SP'!G39/'Jan''13 SP'!G40&lt;'Jan''13 SP'!G43,0,IF($F5*'Jan''13 SP'!G39/'Jan''13 SP'!G40&lt;='Jan''13 SP'!G44,($F5*'Jan''13 SP'!G39/'Jan''13 SP'!G40-'Jan''13 SP'!G43)*('Jan''13 SP'!G46/100)*'Jan''13 SP'!G40,('Jan''13 SP'!G44-'Jan''13 SP'!G43)*('Jan''13 SP'!G46/100)*'Jan''13 SP'!G40))</f>
        <v>183.10726499999996</v>
      </c>
      <c r="F93" s="59">
        <v>0</v>
      </c>
      <c r="G93" s="59">
        <v>0</v>
      </c>
      <c r="H93" s="59">
        <v>0</v>
      </c>
      <c r="I93" s="59">
        <v>0</v>
      </c>
      <c r="J93" s="63"/>
    </row>
    <row r="94" spans="1:10" x14ac:dyDescent="0.15">
      <c r="A94" s="40" t="s">
        <v>606</v>
      </c>
      <c r="C94" s="59">
        <f>IF(($F5*'Jan''13 SP'!E39/'Jan''13 SP'!E40&gt;'Jan''13 SP'!E44),($F5*'Jan''13 SP'!E39/'Jan''13 SP'!E40-'Jan''13 SP'!E44)*'Jan''13 SP'!E47/100*'Jan''13 SP'!E40,0)</f>
        <v>0</v>
      </c>
      <c r="D94" s="59">
        <f>IF(($F5*'Jan''13 SP'!F39/'Jan''13 SP'!F40&lt;'Jan''13 SP'!F43),(0),('Bills Jan''13'!$F5*'Jan''13 SP'!F39/'Jan''13 SP'!F40-'Jan''13 SP'!F43)*'Jan''13 SP'!F47/100)*'Jan''13 SP'!F40</f>
        <v>271.69611479999998</v>
      </c>
      <c r="E94" s="59">
        <f>IF(($F5*'Jan''13 SP'!G39/'Jan''13 SP'!G40&gt;'Jan''13 SP'!G44),($F5*'Jan''13 SP'!G39/'Jan''13 SP'!G40-'Jan''13 SP'!G44)*'Jan''13 SP'!G47/100*'Jan''13 SP'!G40,0)</f>
        <v>0</v>
      </c>
      <c r="F94" s="59">
        <f>IF(($F5*'Jan''13 SP'!H39/'Jan''13 SP'!H40&lt;'Jan''13 SP'!H43),(0),('Bills Jan''13'!$F5*'Jan''13 SP'!H39/'Jan''13 SP'!H40-'Jan''13 SP'!H43)*'Jan''13 SP'!H47/100)*'Jan''13 SP'!H40</f>
        <v>283.19925999999998</v>
      </c>
      <c r="G94" s="59">
        <f>IF(($F5*'Jan''13 SP'!I39/'Jan''13 SP'!I40&lt;'Jan''13 SP'!I43),(0),('Bills Jan''13'!$F5*'Jan''13 SP'!I39/'Jan''13 SP'!I40-'Jan''13 SP'!I43)*'Jan''13 SP'!I47/100)*'Jan''13 SP'!I40</f>
        <v>287.59322789999993</v>
      </c>
      <c r="H94" s="59">
        <f>IF(($F5*'Jan''13 SP'!J39/'Jan''13 SP'!J40&lt;'Jan''13 SP'!J43),(0),('Bills Jan''13'!$F5*'Jan''13 SP'!J39/'Jan''13 SP'!J40-'Jan''13 SP'!J43)*'Jan''13 SP'!J47/100)*'Jan''13 SP'!J40</f>
        <v>281.21394559999993</v>
      </c>
      <c r="I94" s="59">
        <f>IF(($F5*'Jan''13 SP'!K39/'Jan''13 SP'!K40&lt;'Jan''13 SP'!K43),(0),('Bills Jan''13'!$F5*'Jan''13 SP'!K39/'Jan''13 SP'!K40-'Jan''13 SP'!K43)*'Jan''13 SP'!K47/100)*'Jan''13 SP'!K40</f>
        <v>271.37496099999998</v>
      </c>
      <c r="J94" s="63"/>
    </row>
    <row r="95" spans="1:10" x14ac:dyDescent="0.15">
      <c r="A95" s="40" t="s">
        <v>607</v>
      </c>
      <c r="C95" s="59">
        <f>IF($F5*'Jan''13 SP'!E41/'Jan''13 SP'!E42&gt;='Jan''13 SP'!E43,('Jan''13 SP'!E43*'Jan''13 SP'!E48/100)*'Jan''13 SP'!E42,($F5*'Jan''13 SP'!E41/'Jan''13 SP'!E42*'Jan''13 SP'!E48/100)*'Jan''13 SP'!E42)</f>
        <v>453.81599999999997</v>
      </c>
      <c r="D95" s="59">
        <f>IF($F5*'Jan''13 SP'!F41/'Jan''13 SP'!F42&gt;='Jan''13 SP'!F43,('Jan''13 SP'!F43*'Jan''13 SP'!F48/100)*'Jan''13 SP'!F42,('Bills Jan''13'!$F5*'Jan''13 SP'!F41/'Jan''13 SP'!F42*'Jan''13 SP'!F48/100)*'Jan''13 SP'!F42)</f>
        <v>267.37920000000003</v>
      </c>
      <c r="E95" s="59">
        <f>IF($F5*'Jan''13 SP'!G41/'Jan''13 SP'!G42&gt;='Jan''13 SP'!G43,('Jan''13 SP'!G43*'Jan''13 SP'!G48/100)*'Jan''13 SP'!G42,($F5*'Jan''13 SP'!G41/'Jan''13 SP'!G42*'Jan''13 SP'!G48/100)*'Jan''13 SP'!G42)</f>
        <v>491.03999999999991</v>
      </c>
      <c r="F95" s="59">
        <f>IF($F5*'Jan''13 SP'!H41/'Jan''13 SP'!H42&gt;='Jan''13 SP'!H43,('Jan''13 SP'!H43*'Jan''13 SP'!H48/100)*'Jan''13 SP'!H42,('Bills Jan''13'!$F5*'Jan''13 SP'!H41/'Jan''13 SP'!H42*'Jan''13 SP'!H48/100)*'Jan''13 SP'!H42)</f>
        <v>275.2</v>
      </c>
      <c r="G95" s="59">
        <f>IF($F5*'Jan''13 SP'!I41/'Jan''13 SP'!I42&gt;='Jan''13 SP'!I43,('Jan''13 SP'!I43*'Jan''13 SP'!I48/100)*'Jan''13 SP'!I42,('Bills Jan''13'!$F5*'Jan''13 SP'!I41/'Jan''13 SP'!I42*'Jan''13 SP'!I48/100)*'Jan''13 SP'!I42)</f>
        <v>269.63200000000001</v>
      </c>
      <c r="H95" s="59">
        <f>IF($F5*'Jan''13 SP'!J41/'Jan''13 SP'!J42&gt;='Jan''13 SP'!J43,('Jan''13 SP'!J43*'Jan''13 SP'!J48/100)*'Jan''13 SP'!J42,('Bills Jan''13'!$F5*'Jan''13 SP'!J41/'Jan''13 SP'!J42*'Jan''13 SP'!J48/100)*'Jan''13 SP'!J42)</f>
        <v>267.0976</v>
      </c>
      <c r="I95" s="59">
        <f>IF($F5*'Jan''13 SP'!K41/'Jan''13 SP'!K42&gt;='Jan''13 SP'!K43,('Jan''13 SP'!K43*'Jan''13 SP'!K48/100)*'Jan''13 SP'!K42,('Bills Jan''13'!$F5*'Jan''13 SP'!K41/'Jan''13 SP'!K42*'Jan''13 SP'!K48/100)*'Jan''13 SP'!K42)</f>
        <v>252.03200000000001</v>
      </c>
      <c r="J95" s="63"/>
    </row>
    <row r="96" spans="1:10" x14ac:dyDescent="0.15">
      <c r="A96" s="40" t="s">
        <v>608</v>
      </c>
      <c r="C96" s="59">
        <f>IF($F5*'Jan''13 SP'!E41/'Jan''13 SP'!E42&lt;'Jan''13 SP'!E43,0,IF($F5*'Jan''13 SP'!E41/'Jan''13 SP'!E42&lt;='Jan''13 SP'!E44,($F5*'Jan''13 SP'!E41/'Jan''13 SP'!E42-'Jan''13 SP'!E43)*('Jan''13 SP'!E49/100)*'Jan''13 SP'!E42,('Jan''13 SP'!E44-'Jan''13 SP'!E43)*('Jan''13 SP'!E49/100)*'Jan''13 SP'!E42))</f>
        <v>278.32304279999994</v>
      </c>
      <c r="D96" s="59">
        <v>0</v>
      </c>
      <c r="E96" s="59">
        <f>IF($F5*'Jan''13 SP'!G41/'Jan''13 SP'!G42&lt;'Jan''13 SP'!G43,0,IF($F5*'Jan''13 SP'!G41/'Jan''13 SP'!G42&lt;='Jan''13 SP'!G44,($F5*'Jan''13 SP'!G41/'Jan''13 SP'!G42-'Jan''13 SP'!G43)*('Jan''13 SP'!G49/100)*'Jan''13 SP'!G42,('Jan''13 SP'!G44-'Jan''13 SP'!G43)*('Jan''13 SP'!G49/100)*'Jan''13 SP'!G42))</f>
        <v>334.54192199999989</v>
      </c>
      <c r="F96" s="59">
        <v>0</v>
      </c>
      <c r="G96" s="59">
        <v>0</v>
      </c>
      <c r="H96" s="59">
        <v>0</v>
      </c>
      <c r="I96" s="59">
        <v>0</v>
      </c>
      <c r="J96" s="63"/>
    </row>
    <row r="97" spans="1:10" x14ac:dyDescent="0.15">
      <c r="A97" s="40" t="s">
        <v>611</v>
      </c>
      <c r="C97" s="59">
        <f>IF(($F5*'Jan''13 SP'!E41/'Jan''13 SP'!E42&gt;'Jan''13 SP'!E44),($F5*'Jan''13 SP'!E41/'Jan''13 SP'!E42-'Jan''13 SP'!E44)*'Jan''13 SP'!E50/100*'Jan''13 SP'!E42,0)</f>
        <v>0</v>
      </c>
      <c r="D97" s="59">
        <f>IF(($F5*'Jan''13 SP'!F41/'Jan''13 SP'!F42&lt;'Jan''13 SP'!F43),(0),('Bills Jan''13'!$F5*'Jan''13 SP'!F41/'Jan''13 SP'!F42-'Jan''13 SP'!F43)*'Jan''13 SP'!F50/100)*'Jan''13 SP'!F42</f>
        <v>492.32877539999987</v>
      </c>
      <c r="E97" s="59">
        <f>IF(($F5*'Jan''13 SP'!G41/'Jan''13 SP'!G42&gt;'Jan''13 SP'!G44),($F5*'Jan''13 SP'!G41/'Jan''13 SP'!G42-'Jan''13 SP'!G44)*'Jan''13 SP'!G50/100*'Jan''13 SP'!G42,0)</f>
        <v>0</v>
      </c>
      <c r="F97" s="59">
        <f>IF(($F5*'Jan''13 SP'!H41/'Jan''13 SP'!H42&lt;'Jan''13 SP'!H43),(0),('Bills Jan''13'!$F5*'Jan''13 SP'!H41/'Jan''13 SP'!H42-'Jan''13 SP'!H43)*'Jan''13 SP'!H50/100)*'Jan''13 SP'!H42</f>
        <v>545.96145999999999</v>
      </c>
      <c r="G97" s="59">
        <f>IF(($F5*'Jan''13 SP'!I41/'Jan''13 SP'!I42&lt;'Jan''13 SP'!I43),(0),('Bills Jan''13'!$F5*'Jan''13 SP'!I41/'Jan''13 SP'!I42-'Jan''13 SP'!I43)*'Jan''13 SP'!I50/100)*'Jan''13 SP'!I42</f>
        <v>539.2172301999999</v>
      </c>
      <c r="H97" s="59">
        <f>IF(($F5*'Jan''13 SP'!J41/'Jan''13 SP'!J42&lt;'Jan''13 SP'!J43),(0),('Bills Jan''13'!$F5*'Jan''13 SP'!J41/'Jan''13 SP'!J42-'Jan''13 SP'!J43)*'Jan''13 SP'!J50/100)*'Jan''13 SP'!J42</f>
        <v>517.02842219999991</v>
      </c>
      <c r="I97" s="59">
        <f>IF(($F5*'Jan''13 SP'!K41/'Jan''13 SP'!K42&lt;'Jan''13 SP'!K43),(0),('Bills Jan''13'!$F5*'Jan''13 SP'!K41/'Jan''13 SP'!K42-'Jan''13 SP'!K43)*'Jan''13 SP'!K50/100)*'Jan''13 SP'!K42</f>
        <v>481.7306999999999</v>
      </c>
      <c r="J97" s="63"/>
    </row>
    <row r="98" spans="1:10" x14ac:dyDescent="0.15">
      <c r="A98" s="40" t="s">
        <v>612</v>
      </c>
      <c r="C98" s="59">
        <f>365*'Jan''13 SP'!E51/100</f>
        <v>220.82499999999999</v>
      </c>
      <c r="D98" s="59">
        <f>365*'Jan''13 SP'!F51/100</f>
        <v>211.59049999999999</v>
      </c>
      <c r="E98" s="59">
        <f>365*'Jan''13 SP'!G51/100</f>
        <v>220.82499999999999</v>
      </c>
      <c r="F98" s="59">
        <f>365*'Jan''13 SP'!H51/100</f>
        <v>222.72300000000004</v>
      </c>
      <c r="G98" s="59">
        <f>365*'Jan''13 SP'!I51/100</f>
        <v>235.27899999999997</v>
      </c>
      <c r="H98" s="59">
        <f>365*'Jan''13 SP'!J51/100</f>
        <v>218.41600000000003</v>
      </c>
      <c r="I98" s="59">
        <f>365*'Jan''13 SP'!K51/100</f>
        <v>200.75</v>
      </c>
      <c r="J98" s="65">
        <f>AVERAGE(C98:I98)</f>
        <v>218.62978571428567</v>
      </c>
    </row>
    <row r="99" spans="1:10" x14ac:dyDescent="0.15">
      <c r="A99" s="62" t="s">
        <v>613</v>
      </c>
      <c r="B99" s="63"/>
      <c r="C99" s="61">
        <f t="shared" ref="C99:H99" si="7">SUM(C92:C98)</f>
        <v>1366.8126669999999</v>
      </c>
      <c r="D99" s="61">
        <f t="shared" si="7"/>
        <v>1399.2825902</v>
      </c>
      <c r="E99" s="61">
        <f t="shared" si="7"/>
        <v>1510.6741869999998</v>
      </c>
      <c r="F99" s="61">
        <f t="shared" si="7"/>
        <v>1481.96372</v>
      </c>
      <c r="G99" s="61">
        <f t="shared" si="7"/>
        <v>1489.7694580999998</v>
      </c>
      <c r="H99" s="61">
        <f t="shared" si="7"/>
        <v>1432.6711677999999</v>
      </c>
      <c r="I99" s="61">
        <f>SUM(I92:I98)</f>
        <v>1353.7276609999999</v>
      </c>
      <c r="J99" s="64">
        <f>AVERAGE(C99:I99)</f>
        <v>1433.5573501571428</v>
      </c>
    </row>
    <row r="101" spans="1:10" x14ac:dyDescent="0.15">
      <c r="A101" s="63"/>
      <c r="B101" s="63"/>
      <c r="C101" s="63"/>
      <c r="D101" s="63"/>
      <c r="E101" s="63"/>
      <c r="F101" s="63"/>
      <c r="G101" s="63"/>
      <c r="H101" s="63"/>
      <c r="I101" s="63"/>
      <c r="J101" s="63"/>
    </row>
    <row r="102" spans="1:10" x14ac:dyDescent="0.15">
      <c r="A102" s="53" t="s">
        <v>490</v>
      </c>
      <c r="C102" s="23" t="s">
        <v>1044</v>
      </c>
      <c r="D102" s="23" t="s">
        <v>591</v>
      </c>
      <c r="E102" s="23" t="s">
        <v>592</v>
      </c>
      <c r="F102" s="23" t="s">
        <v>544</v>
      </c>
      <c r="G102" s="23" t="s">
        <v>615</v>
      </c>
      <c r="H102" s="23" t="s">
        <v>595</v>
      </c>
      <c r="I102" s="23" t="s">
        <v>596</v>
      </c>
    </row>
    <row r="103" spans="1:10" x14ac:dyDescent="0.15">
      <c r="A103" s="40" t="s">
        <v>491</v>
      </c>
      <c r="C103" s="24" t="s">
        <v>547</v>
      </c>
      <c r="D103" s="25" t="s">
        <v>531</v>
      </c>
      <c r="E103" s="25" t="s">
        <v>540</v>
      </c>
      <c r="F103" s="25" t="s">
        <v>494</v>
      </c>
      <c r="G103" s="25" t="s">
        <v>494</v>
      </c>
      <c r="H103" s="25" t="s">
        <v>494</v>
      </c>
      <c r="I103" s="25" t="s">
        <v>493</v>
      </c>
    </row>
    <row r="104" spans="1:10" x14ac:dyDescent="0.15">
      <c r="A104" s="40" t="s">
        <v>496</v>
      </c>
      <c r="C104" s="25" t="s">
        <v>498</v>
      </c>
      <c r="D104" s="25" t="s">
        <v>497</v>
      </c>
      <c r="E104" s="25" t="s">
        <v>526</v>
      </c>
      <c r="F104" s="25" t="s">
        <v>548</v>
      </c>
      <c r="G104" s="25" t="s">
        <v>498</v>
      </c>
      <c r="H104" s="25" t="s">
        <v>498</v>
      </c>
      <c r="I104" s="25" t="s">
        <v>527</v>
      </c>
    </row>
    <row r="105" spans="1:10" x14ac:dyDescent="0.15">
      <c r="A105" s="40" t="s">
        <v>499</v>
      </c>
      <c r="C105" s="25" t="s">
        <v>528</v>
      </c>
      <c r="D105" s="37">
        <v>22</v>
      </c>
      <c r="E105" s="37">
        <v>22</v>
      </c>
      <c r="F105" s="25" t="s">
        <v>552</v>
      </c>
      <c r="G105" s="37">
        <v>20</v>
      </c>
      <c r="H105" s="37">
        <v>80</v>
      </c>
      <c r="I105" s="37">
        <v>20</v>
      </c>
    </row>
    <row r="106" spans="1:10" x14ac:dyDescent="0.15">
      <c r="A106" s="40" t="s">
        <v>501</v>
      </c>
      <c r="C106" s="25" t="s">
        <v>541</v>
      </c>
      <c r="D106" s="24">
        <v>0.02</v>
      </c>
      <c r="E106" s="24" t="s">
        <v>540</v>
      </c>
      <c r="F106" s="24" t="s">
        <v>504</v>
      </c>
      <c r="G106" s="24" t="s">
        <v>553</v>
      </c>
      <c r="H106" s="24" t="s">
        <v>505</v>
      </c>
      <c r="I106" s="24" t="s">
        <v>506</v>
      </c>
    </row>
    <row r="107" spans="1:10" x14ac:dyDescent="0.15">
      <c r="A107" s="40" t="s">
        <v>511</v>
      </c>
      <c r="C107" s="25" t="s">
        <v>512</v>
      </c>
      <c r="D107" s="25" t="s">
        <v>500</v>
      </c>
      <c r="E107" s="25" t="s">
        <v>494</v>
      </c>
      <c r="F107" s="25" t="s">
        <v>493</v>
      </c>
      <c r="G107" s="25" t="s">
        <v>494</v>
      </c>
      <c r="H107" s="25" t="s">
        <v>494</v>
      </c>
      <c r="I107" s="25" t="s">
        <v>500</v>
      </c>
    </row>
    <row r="108" spans="1:10" x14ac:dyDescent="0.15">
      <c r="A108" s="63"/>
      <c r="B108" s="63"/>
      <c r="C108" s="63"/>
      <c r="D108" s="63"/>
      <c r="E108" s="63"/>
      <c r="F108" s="63"/>
      <c r="G108" s="63"/>
      <c r="H108" s="63"/>
      <c r="I108" s="63"/>
      <c r="J108" s="63"/>
    </row>
  </sheetData>
  <sheetProtection algorithmName="SHA-512" hashValue="qL6f/DYPQ3SNnCaBAbR21Y7wbuUsvJNURMtxSRyEaQbaz2k7D5jyltGAXK/G9QPNlDLlRXpmyycEN7tnF6nxzg==" saltValue="aRZ2O8d+GdGpUsRYYj13eA==" spinCount="100000" sheet="1" objects="1" scenarios="1"/>
  <phoneticPr fontId="20" type="noConversion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/>
  <dimension ref="A1:M108"/>
  <sheetViews>
    <sheetView topLeftCell="A49" zoomScale="140" zoomScaleNormal="140" zoomScalePageLayoutView="140" workbookViewId="0">
      <selection activeCell="J9" sqref="J9:J99"/>
    </sheetView>
  </sheetViews>
  <sheetFormatPr baseColWidth="10" defaultColWidth="10.83203125" defaultRowHeight="13" x14ac:dyDescent="0.15"/>
  <cols>
    <col min="1" max="1" width="26.1640625" style="40" customWidth="1"/>
    <col min="2" max="2" width="3.1640625" style="40" customWidth="1"/>
    <col min="3" max="8" width="11.6640625" style="40" customWidth="1"/>
    <col min="9" max="9" width="13.33203125" style="40" customWidth="1"/>
    <col min="10" max="10" width="15" style="40" customWidth="1"/>
    <col min="11" max="13" width="11.6640625" style="40" customWidth="1"/>
    <col min="14" max="16384" width="10.83203125" style="40"/>
  </cols>
  <sheetData>
    <row r="1" spans="1:13" x14ac:dyDescent="0.15">
      <c r="A1" s="48" t="s">
        <v>586</v>
      </c>
    </row>
    <row r="2" spans="1:13" x14ac:dyDescent="0.1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</row>
    <row r="3" spans="1:13" x14ac:dyDescent="0.15">
      <c r="A3" s="52" t="s">
        <v>554</v>
      </c>
    </row>
    <row r="5" spans="1:13" x14ac:dyDescent="0.15">
      <c r="A5" s="53" t="s">
        <v>588</v>
      </c>
      <c r="B5" s="53"/>
      <c r="C5" s="53" t="s">
        <v>1394</v>
      </c>
      <c r="F5" s="66">
        <v>30000</v>
      </c>
    </row>
    <row r="6" spans="1:13" x14ac:dyDescent="0.15">
      <c r="C6" s="54" t="s">
        <v>589</v>
      </c>
    </row>
    <row r="7" spans="1:13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</row>
    <row r="8" spans="1:13" x14ac:dyDescent="0.15">
      <c r="J8" s="58"/>
    </row>
    <row r="9" spans="1:13" x14ac:dyDescent="0.15">
      <c r="A9" s="53" t="s">
        <v>1074</v>
      </c>
      <c r="C9" s="23" t="s">
        <v>1044</v>
      </c>
      <c r="D9" s="23" t="s">
        <v>591</v>
      </c>
      <c r="E9" s="23" t="s">
        <v>555</v>
      </c>
      <c r="F9" s="23" t="s">
        <v>544</v>
      </c>
      <c r="G9" s="23" t="s">
        <v>615</v>
      </c>
      <c r="H9" s="23" t="s">
        <v>595</v>
      </c>
      <c r="I9" s="23" t="s">
        <v>596</v>
      </c>
      <c r="J9" s="57" t="s">
        <v>601</v>
      </c>
    </row>
    <row r="10" spans="1:13" x14ac:dyDescent="0.15">
      <c r="A10" s="40" t="s">
        <v>602</v>
      </c>
      <c r="C10" s="59">
        <f>IF($F5*'Jul''12 Multi'!E7/'Jul''12 Multi'!E8&gt;='Jul''12 Multi'!E11,('Jul''12 Multi'!E11*'Jul''12 Multi'!E15/100)*'Jul''12 Multi'!E8,($F5*'Jul''12 Multi'!E7/'Jul''12 Multi'!E8*'Jul''12 Multi'!E15/100)*'Jul''12 Multi'!E8)</f>
        <v>178.893</v>
      </c>
      <c r="D10" s="59">
        <f>IF($F5*'Jul''12 Multi'!F7/'Jul''12 Multi'!F8&gt;='Jul''12 Multi'!F11,('Jul''12 Multi'!F11*'Jul''12 Multi'!F15/100)*'Jul''12 Multi'!F8,($F5*'Jul''12 Multi'!F7/'Jul''12 Multi'!F8*'Jul''12 Multi'!F15/100)*'Jul''12 Multi'!F8)</f>
        <v>309.375</v>
      </c>
      <c r="E10" s="59">
        <f>IF($F5*'Jul''12 Multi'!G7/'Jul''12 Multi'!G8&gt;='Jul''12 Multi'!G11,('Jul''12 Multi'!G11*'Jul''12 Multi'!G15/100)*'Jul''12 Multi'!G8,($F5*'Jul''12 Multi'!G7/'Jul''12 Multi'!G8*'Jul''12 Multi'!G15/100)*'Jul''12 Multi'!G8)</f>
        <v>308.92950000000002</v>
      </c>
      <c r="F10" s="59">
        <f>IF($F5*'Jul''12 Multi'!H7/'Jul''12 Multi'!H8&gt;='Jul''12 Multi'!H11,('Jul''12 Multi'!H11*'Jul''12 Multi'!H15/100)*'Jul''12 Multi'!H8,($F5*'Jul''12 Multi'!H7/'Jul''12 Multi'!H8*'Jul''12 Multi'!H15/100)*'Jul''12 Multi'!H8)</f>
        <v>300</v>
      </c>
      <c r="G10" s="59">
        <f>IF($F5*'Jul''12 Multi'!I7/'Jul''12 Multi'!I8&gt;='Jul''12 Multi'!I11,('Jul''12 Multi'!I11*'Jul''12 Multi'!I15/100)*'Jul''12 Multi'!I8,($F5*'Jul''12 Multi'!I7/'Jul''12 Multi'!I8*'Jul''12 Multi'!I15/100)*'Jul''12 Multi'!I8)</f>
        <v>336.435</v>
      </c>
      <c r="H10" s="59">
        <f>IF($F5*'Jul''12 Multi'!J7/'Jul''12 Multi'!J8&gt;='Jul''12 Multi'!J11,('Jul''12 Multi'!J11*'Jul''12 Multi'!J15/100)*'Jul''12 Multi'!J8,($F5*'Jul''12 Multi'!J7/'Jul''12 Multi'!J8*'Jul''12 Multi'!J15/100)*'Jul''12 Multi'!J8)</f>
        <v>319.95000000000005</v>
      </c>
      <c r="I10" s="59">
        <f>IF($F5*'Jul''12 Multi'!K7/'Jul''12 Multi'!K8&gt;='Jul''12 Multi'!K11,('Jul''12 Multi'!K11*'Jul''12 Multi'!K15/100)*'Jul''12 Multi'!K8,($F5*'Jul''12 Multi'!K7/'Jul''12 Multi'!K8*'Jul''12 Multi'!K15/100)*'Jul''12 Multi'!K8)</f>
        <v>313.5</v>
      </c>
      <c r="J10" s="63"/>
    </row>
    <row r="11" spans="1:13" x14ac:dyDescent="0.15">
      <c r="A11" s="40" t="s">
        <v>603</v>
      </c>
      <c r="C11" s="59">
        <f>IF($F5*'Jul''12 Multi'!E7/'Jul''12 Multi'!E8&lt;'Jul''12 Multi'!E11,0,IF($F5*'Jul''12 Multi'!E7/'Jul''12 Multi'!E8&lt;='Jul''12 Multi'!E12,($F5*'Jul''12 Multi'!E7/'Jul''12 Multi'!E8-'Jul''12 Multi'!E11)*('Jul''12 Multi'!E16/100)*'Jul''12 Multi'!E8,('Jul''12 Multi'!E12-'Jul''12 Multi'!E11)*('Jul''12 Multi'!E16/100)*'Jul''12 Multi'!E8))</f>
        <v>103.02600000000001</v>
      </c>
      <c r="D11" s="59">
        <f>IF($F5*'Jul''12 Multi'!F7/'Jul''12 Multi'!F8&lt;'Jul''12 Multi'!F11,0,IF($F5*'Jul''12 Multi'!F7/'Jul''12 Multi'!F8&lt;='Jul''12 Multi'!F12,($F5*'Jul''12 Multi'!F7/'Jul''12 Multi'!F8-'Jul''12 Multi'!F11)*('Jul''12 Multi'!F16/100)*'Jul''12 Multi'!F8,('Jul''12 Multi'!F12-'Jul''12 Multi'!F11)*('Jul''12 Multi'!F16/100)*'Jul''12 Multi'!F8))</f>
        <v>0</v>
      </c>
      <c r="E11" s="59">
        <f>IF($F5*'Jul''12 Multi'!G7/'Jul''12 Multi'!G8&lt;'Jul''12 Multi'!G11,0,IF($F5*'Jul''12 Multi'!G7/'Jul''12 Multi'!G8&lt;='Jul''12 Multi'!G12,($F5*'Jul''12 Multi'!G7/'Jul''12 Multi'!G8-'Jul''12 Multi'!G11)*('Jul''12 Multi'!G16/100)*'Jul''12 Multi'!G8,('Jul''12 Multi'!G12-'Jul''12 Multi'!G11)*('Jul''12 Multi'!G16/100)*'Jul''12 Multi'!G8))</f>
        <v>0</v>
      </c>
      <c r="F11" s="59">
        <f>IF($F5*'Jul''12 Multi'!H7/'Jul''12 Multi'!H8&lt;'Jul''12 Multi'!H11,0,IF($F5*'Jul''12 Multi'!H7/'Jul''12 Multi'!H8&lt;='Jul''12 Multi'!H12,($F5*'Jul''12 Multi'!H7/'Jul''12 Multi'!H8-'Jul''12 Multi'!H11)*('Jul''12 Multi'!H16/100)*'Jul''12 Multi'!H8,('Jul''12 Multi'!H12-'Jul''12 Multi'!H11)*('Jul''12 Multi'!H16/100)*'Jul''12 Multi'!H8))</f>
        <v>0</v>
      </c>
      <c r="G11" s="59">
        <f>IF($F5*'Jul''12 Multi'!I7/'Jul''12 Multi'!I8&lt;'Jul''12 Multi'!I11,0,IF($F5*'Jul''12 Multi'!I7/'Jul''12 Multi'!I8&lt;='Jul''12 Multi'!I12,($F5*'Jul''12 Multi'!I7/'Jul''12 Multi'!I8-'Jul''12 Multi'!I11)*('Jul''12 Multi'!I16/100)*'Jul''12 Multi'!I8,('Jul''12 Multi'!I12-'Jul''12 Multi'!I11)*('Jul''12 Multi'!I16/100)*'Jul''12 Multi'!I8))</f>
        <v>0</v>
      </c>
      <c r="H11" s="59">
        <f>IF($F5*'Jul''12 Multi'!J7/'Jul''12 Multi'!J8&lt;'Jul''12 Multi'!J11,0,IF($F5*'Jul''12 Multi'!J7/'Jul''12 Multi'!J8&lt;='Jul''12 Multi'!J12,($F5*'Jul''12 Multi'!J7/'Jul''12 Multi'!J8-'Jul''12 Multi'!J11)*('Jul''12 Multi'!J16/100)*'Jul''12 Multi'!J8,('Jul''12 Multi'!J12-'Jul''12 Multi'!J11)*('Jul''12 Multi'!J16/100)*'Jul''12 Multi'!J8))</f>
        <v>0</v>
      </c>
      <c r="I11" s="59">
        <f>IF($F5*'Jul''12 Multi'!K7/'Jul''12 Multi'!K8&lt;'Jul''12 Multi'!K11,0,IF($F5*'Jul''12 Multi'!K7/'Jul''12 Multi'!K8&lt;='Jul''12 Multi'!K12,($F5*'Jul''12 Multi'!K7/'Jul''12 Multi'!K8-'Jul''12 Multi'!K11)*('Jul''12 Multi'!K16/100)*'Jul''12 Multi'!K8,('Jul''12 Multi'!K12-'Jul''12 Multi'!K11)*('Jul''12 Multi'!K16/100)*'Jul''12 Multi'!K8))</f>
        <v>0</v>
      </c>
      <c r="J11" s="63"/>
    </row>
    <row r="12" spans="1:13" x14ac:dyDescent="0.15">
      <c r="A12" s="40" t="s">
        <v>604</v>
      </c>
      <c r="C12" s="59">
        <f>IF($F5*'Jul''12 Multi'!E7/'Jul''12 Multi'!E8&lt;'Jul''12 Multi'!E12,0,IF($F5*'Jul''12 Multi'!E7/'Jul''12 Multi'!E8&lt;='Jul''12 Multi'!E13,($F5*'Jul''12 Multi'!E7/'Jul''12 Multi'!E8-'Jul''12 Multi'!E12)*('Jul''12 Multi'!E17/100)*'Jul''12 Multi'!E8,('Jul''12 Multi'!E13-'Jul''12 Multi'!E12)*('Jul''12 Multi'!E17/100)*'Jul''12 Multi'!E8))</f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63"/>
    </row>
    <row r="13" spans="1:13" x14ac:dyDescent="0.15">
      <c r="A13" s="40" t="s">
        <v>605</v>
      </c>
      <c r="C13" s="59">
        <f>IF($F5*'Jul''12 Multi'!E7/'Jul''12 Multi'!E8&lt;'Jul''12 Multi'!E13,0,IF($F5*'Jul''12 Multi'!E7/'Jul''12 Multi'!E8&lt;='Jul''12 Multi'!E14,($F5*'Jul''12 Multi'!E7/'Jul''12 Multi'!E8-'Jul''12 Multi'!E13)*('Jul''12 Multi'!E18/100)*'Jul''12 Multi'!E8,('Jul''12 Multi'!E14-'Jul''12 Multi'!E13)*('Jul''12 Multi'!E18/100)*'Jul''12 Multi'!E8))</f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63"/>
    </row>
    <row r="14" spans="1:13" x14ac:dyDescent="0.15">
      <c r="A14" s="40" t="s">
        <v>606</v>
      </c>
      <c r="C14" s="59">
        <f>IF(($F5*'Jul''12 Multi'!E7/'Jul''12 Multi'!E8&gt;'Jul''12 Multi'!E14),($F5*'Jul''12 Multi'!E7/'Jul''12 Multi'!E8-'Jul''12 Multi'!E14)*'Jul''12 Multi'!E19/100*'Jul''12 Multi'!E8,0)</f>
        <v>0</v>
      </c>
      <c r="D14" s="59">
        <f>IF(($F5*'Jul''12 Multi'!F7/'Jul''12 Multi'!F8&gt;'Jul''12 Multi'!F14),($F5*'Jul''12 Multi'!F7/'Jul''12 Multi'!F8-'Jul''12 Multi'!F14)*'Jul''12 Multi'!F19/100*'Jul''12 Multi'!F8,0)</f>
        <v>0</v>
      </c>
      <c r="E14" s="59">
        <f>IF(($F5*'Jul''12 Multi'!G7/'Jul''12 Multi'!G8&gt;'Jul''12 Multi'!G14),($F5*'Jul''12 Multi'!G7/'Jul''12 Multi'!G8-'Jul''12 Multi'!G14)*'Jul''12 Multi'!G19/100*'Jul''12 Multi'!G8,0)</f>
        <v>0</v>
      </c>
      <c r="F14" s="59">
        <f>IF(($F5*'Jul''12 Multi'!H7/'Jul''12 Multi'!H8&gt;'Jul''12 Multi'!H14),($F5*'Jul''12 Multi'!H7/'Jul''12 Multi'!H8-'Jul''12 Multi'!H14)*'Jul''12 Multi'!H19/100*'Jul''12 Multi'!H8,0)</f>
        <v>0</v>
      </c>
      <c r="G14" s="59">
        <f>IF(($F5*'Jul''12 Multi'!I7/'Jul''12 Multi'!I8&gt;'Jul''12 Multi'!I14),($F5*'Jul''12 Multi'!I7/'Jul''12 Multi'!I8-'Jul''12 Multi'!I14)*'Jul''12 Multi'!I19/100*'Jul''12 Multi'!I8,0)</f>
        <v>0</v>
      </c>
      <c r="H14" s="59">
        <f>IF(($F5*'Jul''12 Multi'!J7/'Jul''12 Multi'!J8&gt;'Jul''12 Multi'!J14),($F5*'Jul''12 Multi'!J7/'Jul''12 Multi'!J8-'Jul''12 Multi'!J14)*'Jul''12 Multi'!J19/100*'Jul''12 Multi'!J8,0)</f>
        <v>0</v>
      </c>
      <c r="I14" s="59">
        <f>IF(($F5*'Jul''12 Multi'!K7/'Jul''12 Multi'!K8&gt;'Jul''12 Multi'!K14),($F5*'Jul''12 Multi'!K7/'Jul''12 Multi'!K8-'Jul''12 Multi'!K14)*'Jul''12 Multi'!K19/100*'Jul''12 Multi'!K8,0)</f>
        <v>0</v>
      </c>
      <c r="J14" s="63"/>
    </row>
    <row r="15" spans="1:13" x14ac:dyDescent="0.15">
      <c r="A15" s="40" t="s">
        <v>607</v>
      </c>
      <c r="C15" s="59">
        <f>IF($F5*'Jul''12 Multi'!E9/'Jul''12 Multi'!E10&gt;='Jul''12 Multi'!E11,('Jul''12 Multi'!E11*'Jul''12 Multi'!E20/100)*'Jul''12 Multi'!E10,($F5*'Jul''12 Multi'!E9/'Jul''12 Multi'!E10*'Jul''12 Multi'!E20/100)*'Jul''12 Multi'!E10)</f>
        <v>166.91400000000002</v>
      </c>
      <c r="D15" s="59">
        <f>IF($F5*'Jul''12 Multi'!F9/'Jul''12 Multi'!F10&gt;='Jul''12 Multi'!F11,('Jul''12 Multi'!F11*'Jul''12 Multi'!F20/100)*'Jul''12 Multi'!F10,($F5*'Jul''12 Multi'!F9/'Jul''12 Multi'!F10*'Jul''12 Multi'!F20/100)*'Jul''12 Multi'!F10)</f>
        <v>275.71500000000003</v>
      </c>
      <c r="E15" s="59">
        <f>IF($F5*'Jul''12 Multi'!G9/'Jul''12 Multi'!G10&gt;='Jul''12 Multi'!G11,('Jul''12 Multi'!G11*'Jul''12 Multi'!G20/100)*'Jul''12 Multi'!G10,($F5*'Jul''12 Multi'!G9/'Jul''12 Multi'!G10*'Jul''12 Multi'!G20/100)*'Jul''12 Multi'!G10)</f>
        <v>301.93350000000004</v>
      </c>
      <c r="F15" s="59">
        <f>IF($F5*'Jul''12 Multi'!H9/'Jul''12 Multi'!H10&gt;='Jul''12 Multi'!H11,('Jul''12 Multi'!H11*'Jul''12 Multi'!H20/100)*'Jul''12 Multi'!H10,($F5*'Jul''12 Multi'!H9/'Jul''12 Multi'!H10*'Jul''12 Multi'!H20/100)*'Jul''12 Multi'!H10)</f>
        <v>289.5</v>
      </c>
      <c r="G15" s="59">
        <f>IF($F5*'Jul''12 Multi'!I9/'Jul''12 Multi'!I10&gt;='Jul''12 Multi'!I11,('Jul''12 Multi'!I11*'Jul''12 Multi'!I20/100)*'Jul''12 Multi'!I10,($F5*'Jul''12 Multi'!I9/'Jul''12 Multi'!I10*'Jul''12 Multi'!I20/100)*'Jul''12 Multi'!I10)</f>
        <v>312.84000000000003</v>
      </c>
      <c r="H15" s="59">
        <f>IF($F5*'Jul''12 Multi'!J9/'Jul''12 Multi'!J10&gt;='Jul''12 Multi'!J11,('Jul''12 Multi'!J11*'Jul''12 Multi'!J20/100)*'Jul''12 Multi'!J10,($F5*'Jul''12 Multi'!J9/'Jul''12 Multi'!J10*'Jul''12 Multi'!J20/100)*'Jul''12 Multi'!J10)</f>
        <v>302.09999999999997</v>
      </c>
      <c r="I15" s="59">
        <f>IF($F5*'Jul''12 Multi'!K9/'Jul''12 Multi'!K10&gt;='Jul''12 Multi'!K11,('Jul''12 Multi'!K11*'Jul''12 Multi'!K20/100)*'Jul''12 Multi'!K10,($F5*'Jul''12 Multi'!K9/'Jul''12 Multi'!K10*'Jul''12 Multi'!K20/100)*'Jul''12 Multi'!K10)</f>
        <v>280.5</v>
      </c>
      <c r="J15" s="63"/>
    </row>
    <row r="16" spans="1:13" x14ac:dyDescent="0.15">
      <c r="A16" s="40" t="s">
        <v>608</v>
      </c>
      <c r="C16" s="59">
        <f>IF($F5*'Jul''12 Multi'!E9/'Jul''12 Multi'!E10&lt;'Jul''12 Multi'!E11,0,IF($F5*'Jul''12 Multi'!E9/'Jul''12 Multi'!E10&lt;='Jul''12 Multi'!E12,($F5*'Jul''12 Multi'!E9/'Jul''12 Multi'!E10-'Jul''12 Multi'!E11)*('Jul''12 Multi'!E21/100)*'Jul''12 Multi'!E10,('Jul''12 Multi'!E12-'Jul''12 Multi'!E11)*('Jul''12 Multi'!E21/100)*'Jul''12 Multi'!E10))</f>
        <v>97.02000000000001</v>
      </c>
      <c r="D16" s="59">
        <f>IF($F5*'Jul''12 Multi'!F9/'Jul''12 Multi'!F10&lt;'Jul''12 Multi'!F11,0,IF($F5*'Jul''12 Multi'!F9/'Jul''12 Multi'!F10&lt;='Jul''12 Multi'!F12,($F5*'Jul''12 Multi'!F9/'Jul''12 Multi'!F10-'Jul''12 Multi'!F11)*('Jul''12 Multi'!F21/100)*'Jul''12 Multi'!F10,('Jul''12 Multi'!F12-'Jul''12 Multi'!F11)*('Jul''12 Multi'!F21/100)*'Jul''12 Multi'!F10))</f>
        <v>0</v>
      </c>
      <c r="E16" s="59">
        <f>IF($F5*'Jul''12 Multi'!G9/'Jul''12 Multi'!G10&lt;'Jul''12 Multi'!G11,0,IF($F5*'Jul''12 Multi'!G9/'Jul''12 Multi'!G10&lt;='Jul''12 Multi'!G12,($F5*'Jul''12 Multi'!G9/'Jul''12 Multi'!G10-'Jul''12 Multi'!G11)*('Jul''12 Multi'!G21/100)*'Jul''12 Multi'!G10,('Jul''12 Multi'!G12-'Jul''12 Multi'!G11)*('Jul''12 Multi'!G21/100)*'Jul''12 Multi'!G10))</f>
        <v>0</v>
      </c>
      <c r="F16" s="59">
        <f>IF($F5*'Jul''12 Multi'!H9/'Jul''12 Multi'!H10&lt;'Jul''12 Multi'!H11,0,IF($F5*'Jul''12 Multi'!H9/'Jul''12 Multi'!H10&lt;='Jul''12 Multi'!H12,($F5*'Jul''12 Multi'!H9/'Jul''12 Multi'!H10-'Jul''12 Multi'!H11)*('Jul''12 Multi'!H21/100)*'Jul''12 Multi'!H10,('Jul''12 Multi'!H12-'Jul''12 Multi'!H11)*('Jul''12 Multi'!H21/100)*'Jul''12 Multi'!H10))</f>
        <v>0</v>
      </c>
      <c r="G16" s="59">
        <f>IF($F5*'Jul''12 Multi'!I9/'Jul''12 Multi'!I10&lt;'Jul''12 Multi'!I11,0,IF($F5*'Jul''12 Multi'!I9/'Jul''12 Multi'!I10&lt;='Jul''12 Multi'!I12,($F5*'Jul''12 Multi'!I9/'Jul''12 Multi'!I10-'Jul''12 Multi'!I11)*('Jul''12 Multi'!I21/100)*'Jul''12 Multi'!I10,('Jul''12 Multi'!I12-'Jul''12 Multi'!I11)*('Jul''12 Multi'!I21/100)*'Jul''12 Multi'!I10))</f>
        <v>0</v>
      </c>
      <c r="H16" s="59">
        <f>IF($F5*'Jul''12 Multi'!J9/'Jul''12 Multi'!J10&lt;'Jul''12 Multi'!J11,0,IF($F5*'Jul''12 Multi'!J9/'Jul''12 Multi'!J10&lt;='Jul''12 Multi'!J12,($F5*'Jul''12 Multi'!J9/'Jul''12 Multi'!J10-'Jul''12 Multi'!J11)*('Jul''12 Multi'!J21/100)*'Jul''12 Multi'!J10,('Jul''12 Multi'!J12-'Jul''12 Multi'!J11)*('Jul''12 Multi'!J21/100)*'Jul''12 Multi'!J10))</f>
        <v>0</v>
      </c>
      <c r="I16" s="59">
        <f>IF($F5*'Jul''12 Multi'!K9/'Jul''12 Multi'!K10&lt;'Jul''12 Multi'!K11,0,IF($F5*'Jul''12 Multi'!K9/'Jul''12 Multi'!K10&lt;='Jul''12 Multi'!K12,($F5*'Jul''12 Multi'!K9/'Jul''12 Multi'!K10-'Jul''12 Multi'!K11)*('Jul''12 Multi'!K21/100)*'Jul''12 Multi'!K10,('Jul''12 Multi'!K12-'Jul''12 Multi'!K11)*('Jul''12 Multi'!K21/100)*'Jul''12 Multi'!K10))</f>
        <v>0</v>
      </c>
      <c r="J16" s="63"/>
    </row>
    <row r="17" spans="1:10" x14ac:dyDescent="0.15">
      <c r="A17" s="40" t="s">
        <v>609</v>
      </c>
      <c r="C17" s="59">
        <f>IF($F5*'Jul''12 Multi'!E9/'Jul''12 Multi'!E10&lt;'Jul''12 Multi'!E12,0,IF($F5*'Jul''12 Multi'!E9/'Jul''12 Multi'!E10&lt;='Jul''12 Multi'!E13,($F5*'Jul''12 Multi'!E9/'Jul''12 Multi'!E10-'Jul''12 Multi'!E12)*('Jul''12 Multi'!E22/100)*'Jul''12 Multi'!E10,('Jul''12 Multi'!E13-'Jul''12 Multi'!E12)*('Jul''12 Multi'!E22/100)*'Jul''12 Multi'!E10))</f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63"/>
    </row>
    <row r="18" spans="1:10" x14ac:dyDescent="0.15">
      <c r="A18" s="40" t="s">
        <v>610</v>
      </c>
      <c r="C18" s="59">
        <f>IF($F5*'Jul''12 Multi'!E9/'Jul''12 Multi'!E10&lt;'Jul''12 Multi'!E13,0,IF($F5*'Jul''12 Multi'!E9/'Jul''12 Multi'!E10&lt;='Jul''12 Multi'!E14,($F5*'Jul''12 Multi'!E9/'Jul''12 Multi'!E10-'Jul''12 Multi'!E13)*('Jul''12 Multi'!E23/100)*'Jul''12 Multi'!E10,('Jul''12 Multi'!E14-'Jul''12 Multi'!E13)*('Jul''12 Multi'!E23/100)*'Jul''12 Multi'!E10))</f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63"/>
    </row>
    <row r="19" spans="1:10" x14ac:dyDescent="0.15">
      <c r="A19" s="40" t="s">
        <v>611</v>
      </c>
      <c r="C19" s="59">
        <f>IF(($F5*'Jul''12 Multi'!E9/'Jul''12 Multi'!E10&gt;'Jul''12 Multi'!E14),($F5*'Jul''12 Multi'!E9/'Jul''12 Multi'!E10-'Jul''12 Multi'!E14)*'Jul''12 Multi'!E24/100*'Jul''12 Multi'!E10,0)</f>
        <v>0</v>
      </c>
      <c r="D19" s="59">
        <f>IF(($F5*'Jul''12 Multi'!F9/'Jul''12 Multi'!F10&gt;'Jul''12 Multi'!F14),($F5*'Jul''12 Multi'!F9/'Jul''12 Multi'!F10-'Jul''12 Multi'!F14)*'Jul''12 Multi'!F24/100*'Jul''12 Multi'!F10,0)</f>
        <v>0</v>
      </c>
      <c r="E19" s="59">
        <f>IF(($F5*'Jul''12 Multi'!G9/'Jul''12 Multi'!G10&gt;'Jul''12 Multi'!G14),($F5*'Jul''12 Multi'!G9/'Jul''12 Multi'!G10-'Jul''12 Multi'!G14)*'Jul''12 Multi'!G24/100*'Jul''12 Multi'!G10,0)</f>
        <v>0</v>
      </c>
      <c r="F19" s="59">
        <f>IF(($F5*'Jul''12 Multi'!H9/'Jul''12 Multi'!H10&gt;'Jul''12 Multi'!H14),($F5*'Jul''12 Multi'!H9/'Jul''12 Multi'!H10-'Jul''12 Multi'!H14)*'Jul''12 Multi'!H24/100*'Jul''12 Multi'!H10,0)</f>
        <v>0</v>
      </c>
      <c r="G19" s="59">
        <f>IF(($F5*'Jul''12 Multi'!I9/'Jul''12 Multi'!I10&gt;'Jul''12 Multi'!I14),($F5*'Jul''12 Multi'!I9/'Jul''12 Multi'!I10-'Jul''12 Multi'!I14)*'Jul''12 Multi'!I24/100*'Jul''12 Multi'!I10,0)</f>
        <v>0</v>
      </c>
      <c r="H19" s="59">
        <f>IF(($F5*'Jul''12 Multi'!J9/'Jul''12 Multi'!J10&gt;'Jul''12 Multi'!J14),($F5*'Jul''12 Multi'!J9/'Jul''12 Multi'!J10-'Jul''12 Multi'!J14)*'Jul''12 Multi'!J24/100*'Jul''12 Multi'!J10,0)</f>
        <v>0</v>
      </c>
      <c r="I19" s="59">
        <f>IF(($F5*'Jul''12 Multi'!K9/'Jul''12 Multi'!K10&gt;'Jul''12 Multi'!K14),($F5*'Jul''12 Multi'!K9/'Jul''12 Multi'!K10-'Jul''12 Multi'!K14)*'Jul''12 Multi'!K24/100*'Jul''12 Multi'!K10,0)</f>
        <v>0</v>
      </c>
      <c r="J19" s="63"/>
    </row>
    <row r="20" spans="1:10" x14ac:dyDescent="0.15">
      <c r="A20" s="40" t="s">
        <v>612</v>
      </c>
      <c r="C20" s="59">
        <f>365*'Jul''12 Multi'!E25/100</f>
        <v>222.23024999999998</v>
      </c>
      <c r="D20" s="59">
        <f>365*'Jul''12 Multi'!F25/100</f>
        <v>233.83359999999996</v>
      </c>
      <c r="E20" s="59">
        <f>365*'Jul''12 Multi'!G25/100</f>
        <v>227.28915000000001</v>
      </c>
      <c r="F20" s="59">
        <f>365*'Jul''12 Multi'!H25/100</f>
        <v>221.92</v>
      </c>
      <c r="G20" s="59">
        <f>365*'Jul''12 Multi'!I25/100</f>
        <v>267.43914999999998</v>
      </c>
      <c r="H20" s="59">
        <f>365*'Jul''12 Multi'!J25/100</f>
        <v>243.82</v>
      </c>
      <c r="I20" s="59">
        <f>365*'Jul''12 Multi'!K25/100</f>
        <v>210.78749999999999</v>
      </c>
      <c r="J20" s="60">
        <f>AVERAGE(C20:I20)</f>
        <v>232.47423571428567</v>
      </c>
    </row>
    <row r="21" spans="1:10" x14ac:dyDescent="0.15">
      <c r="A21" s="62" t="s">
        <v>613</v>
      </c>
      <c r="B21" s="63"/>
      <c r="C21" s="61">
        <f t="shared" ref="C21:H21" si="0">SUM(C10:C20)</f>
        <v>768.08324999999991</v>
      </c>
      <c r="D21" s="61">
        <f t="shared" si="0"/>
        <v>818.92359999999996</v>
      </c>
      <c r="E21" s="61">
        <f t="shared" si="0"/>
        <v>838.15215000000012</v>
      </c>
      <c r="F21" s="61">
        <f t="shared" si="0"/>
        <v>811.42</v>
      </c>
      <c r="G21" s="61">
        <f t="shared" si="0"/>
        <v>916.71415000000002</v>
      </c>
      <c r="H21" s="61">
        <f t="shared" si="0"/>
        <v>865.86999999999989</v>
      </c>
      <c r="I21" s="61">
        <f>SUM(I10:I20)</f>
        <v>804.78750000000002</v>
      </c>
      <c r="J21" s="64">
        <f>AVERAGE(C21:I21)</f>
        <v>831.99294999999995</v>
      </c>
    </row>
    <row r="23" spans="1:10" x14ac:dyDescent="0.15">
      <c r="A23" s="53" t="s">
        <v>1076</v>
      </c>
      <c r="C23" s="23" t="s">
        <v>1044</v>
      </c>
      <c r="D23" s="23" t="s">
        <v>591</v>
      </c>
      <c r="E23" s="23" t="s">
        <v>555</v>
      </c>
      <c r="F23" s="23" t="s">
        <v>544</v>
      </c>
      <c r="G23" s="23" t="s">
        <v>615</v>
      </c>
      <c r="H23" s="23" t="s">
        <v>515</v>
      </c>
      <c r="I23" s="23" t="s">
        <v>545</v>
      </c>
      <c r="J23" s="57" t="s">
        <v>601</v>
      </c>
    </row>
    <row r="24" spans="1:10" x14ac:dyDescent="0.15">
      <c r="A24" s="40" t="s">
        <v>602</v>
      </c>
      <c r="C24" s="59">
        <f>IF($F5*'Jul''12 Multi'!E29/'Jul''12 Multi'!E30&gt;='Jul''12 Multi'!E33,('Jul''12 Multi'!E33*'Jul''12 Multi'!E37/100)*'Jul''12 Multi'!E30,($F5*'Jul''12 Multi'!E29/'Jul''12 Multi'!E30*'Jul''12 Multi'!E37/100)*'Jul''12 Multi'!E30)</f>
        <v>172.65600000000001</v>
      </c>
      <c r="D24" s="59">
        <f>IF($F5*'Jul''12 Multi'!F29/'Jul''12 Multi'!F30&gt;='Jul''12 Multi'!F33,('Jul''12 Multi'!F33*'Jul''12 Multi'!F37/100)*'Jul''12 Multi'!F30,($F5*'Jul''12 Multi'!F29/'Jul''12 Multi'!F30*'Jul''12 Multi'!F37/100)*'Jul''12 Multi'!F30)</f>
        <v>212.982</v>
      </c>
      <c r="E24" s="59">
        <f>IF($F5*'Jul''12 Multi'!G29/'Jul''12 Multi'!G30&gt;='Jul''12 Multi'!G33,('Jul''12 Multi'!G33*'Jul''12 Multi'!G37/100)*'Jul''12 Multi'!G30,($F5*'Jul''12 Multi'!G29/'Jul''12 Multi'!G30*'Jul''12 Multi'!G37/100)*'Jul''12 Multi'!G30)</f>
        <v>131.60069999999999</v>
      </c>
      <c r="F24" s="59">
        <f>IF($F5*'Jul''12 Multi'!H29/'Jul''12 Multi'!H30&gt;='Jul''12 Multi'!H33,('Jul''12 Multi'!H33*'Jul''12 Multi'!H37/100)*'Jul''12 Multi'!H30,($F5*'Jul''12 Multi'!H29/'Jul''12 Multi'!H30*'Jul''12 Multi'!H37/100)*'Jul''12 Multi'!H30)</f>
        <v>133.69999999999999</v>
      </c>
      <c r="G24" s="59">
        <f>IF($F5*'Jul''12 Multi'!I29/'Jul''12 Multi'!I30&gt;='Jul''12 Multi'!I33,('Jul''12 Multi'!I33*'Jul''12 Multi'!I37/100)*'Jul''12 Multi'!I30,($F5*'Jul''12 Multi'!I29/'Jul''12 Multi'!I30*'Jul''12 Multi'!I37/100)*'Jul''12 Multi'!I30)</f>
        <v>140.833</v>
      </c>
      <c r="H24" s="59">
        <f>IF($F5*'Jul''12 Multi'!J29/'Jul''12 Multi'!J30&gt;='Jul''12 Multi'!J33,('Jul''12 Multi'!J33*'Jul''12 Multi'!J37/100)*'Jul''12 Multi'!J30,($F5*'Jul''12 Multi'!J29/'Jul''12 Multi'!J30*'Jul''12 Multi'!J37/100)*'Jul''12 Multi'!J30)</f>
        <v>208.32</v>
      </c>
      <c r="I24" s="59">
        <f>IF($F5*'Jul''12 Multi'!K29/'Jul''12 Multi'!K30&gt;='Jul''12 Multi'!K33,('Jul''12 Multi'!K33*'Jul''12 Multi'!K37/100)*'Jul''12 Multi'!K30,($F5*'Jul''12 Multi'!K29/'Jul''12 Multi'!K30*'Jul''12 Multi'!K37/100)*'Jul''12 Multi'!K30)</f>
        <v>209.05500000000001</v>
      </c>
      <c r="J24" s="63"/>
    </row>
    <row r="25" spans="1:10" x14ac:dyDescent="0.15">
      <c r="A25" s="40" t="s">
        <v>603</v>
      </c>
      <c r="C25" s="59">
        <f>IF($F5*'Jul''12 Multi'!E29/'Jul''12 Multi'!E30&lt;'Jul''12 Multi'!E33,0,IF($F5*'Jul''12 Multi'!E29/'Jul''12 Multi'!E30&lt;='Jul''12 Multi'!E34,($F5*'Jul''12 Multi'!E29/'Jul''12 Multi'!E30-'Jul''12 Multi'!E33)*('Jul''12 Multi'!E38/100)*'Jul''12 Multi'!E30,('Jul''12 Multi'!E34-'Jul''12 Multi'!E33)*('Jul''12 Multi'!E38/100)*'Jul''12 Multi'!E30))</f>
        <v>101.83800000000002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63"/>
    </row>
    <row r="26" spans="1:10" x14ac:dyDescent="0.15">
      <c r="A26" s="40" t="s">
        <v>604</v>
      </c>
      <c r="C26" s="59">
        <f>IF($F5*'Jul''12 Multi'!E29/'Jul''12 Multi'!E30&lt;'Jul''12 Multi'!E34,0,IF($F5*'Jul''12 Multi'!E29/'Jul''12 Multi'!E30&lt;='Jul''12 Multi'!E35,($F5*'Jul''12 Multi'!E29/'Jul''12 Multi'!E30-'Jul''12 Multi'!E34)*('Jul''12 Multi'!E39/100)*'Jul''12 Multi'!E30,('Jul''12 Multi'!E35-'Jul''12 Multi'!E34)*('Jul''12 Multi'!E39/100)*'Jul''12 Multi'!E30))</f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63"/>
    </row>
    <row r="27" spans="1:10" x14ac:dyDescent="0.15">
      <c r="A27" s="40" t="s">
        <v>605</v>
      </c>
      <c r="C27" s="59">
        <f>IF($F5*'Jul''12 Multi'!E29/'Jul''12 Multi'!E30&lt;'Jul''12 Multi'!E35,0,IF(F5*'Jul''12 Multi'!E29/'Jul''12 Multi'!E30&lt;='Jul''12 Multi'!E36,($F5*'Jul''12 Multi'!E29/'Jul''12 Multi'!E30-'Jul''12 Multi'!E35)*('Jul''12 Multi'!E40/100)*'Jul''12 Multi'!E30,('Jul''12 Multi'!E36-'Jul''12 Multi'!E35)*('Jul''12 Multi'!E40/100)*'Jul''12 Multi'!E30))</f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63"/>
    </row>
    <row r="28" spans="1:10" x14ac:dyDescent="0.15">
      <c r="A28" s="40" t="s">
        <v>606</v>
      </c>
      <c r="C28" s="59">
        <f>IF(($F5*'Jul''12 Multi'!E29/'Jul''12 Multi'!E30&gt;'Jul''12 Multi'!E36),($F5*'Jul''12 Multi'!E29/'Jul''12 Multi'!E30-'Jul''12 Multi'!E36)*'Jul''12 Multi'!E41/100*'Jul''12 Multi'!E30,0)</f>
        <v>0</v>
      </c>
      <c r="D28" s="59">
        <f>IF(($F5*'Jul''12 Multi'!F29/'Jul''12 Multi'!F30&gt;'Jul''12 Multi'!F36),($F5*'Jul''12 Multi'!F29/'Jul''12 Multi'!F30-'Jul''12 Multi'!F36)*'Jul''12 Multi'!F41/100*'Jul''12 Multi'!F30,0)</f>
        <v>71.8245</v>
      </c>
      <c r="E28" s="59">
        <f>IF(($F5*'Jul''12 Multi'!G29/'Jul''12 Multi'!G30&gt;'Jul''12 Multi'!G36),($F5*'Jul''12 Multi'!G29/'Jul''12 Multi'!G30-'Jul''12 Multi'!G36)*'Jul''12 Multi'!G41/100*'Jul''12 Multi'!G30,0)</f>
        <v>47.896729099999995</v>
      </c>
      <c r="F28" s="59">
        <f>IF(($F5*'Jul''12 Multi'!H29/'Jul''12 Multi'!H30&gt;'Jul''12 Multi'!H36),($F5*'Jul''12 Multi'!H29/'Jul''12 Multi'!H30-'Jul''12 Multi'!H36)*'Jul''12 Multi'!H41/100*'Jul''12 Multi'!H30,0)</f>
        <v>47.984000000000009</v>
      </c>
      <c r="G28" s="59">
        <f>IF(($F5*'Jul''12 Multi'!I29/'Jul''12 Multi'!I30&gt;'Jul''12 Multi'!I36),($F5*'Jul''12 Multi'!I29/'Jul''12 Multi'!I30-'Jul''12 Multi'!I36)*'Jul''12 Multi'!I41/100*'Jul''12 Multi'!I30,0)</f>
        <v>52.089630999999997</v>
      </c>
      <c r="H28" s="59">
        <f>IF(($F5*'Jul''12 Multi'!J29/'Jul''12 Multi'!J30&gt;'Jul''12 Multi'!J36),($F5*'Jul''12 Multi'!J29/'Jul''12 Multi'!J30-'Jul''12 Multi'!J36)*'Jul''12 Multi'!J41/100*'Jul''12 Multi'!J30,0)</f>
        <v>76.995000000000005</v>
      </c>
      <c r="I28" s="59">
        <f>IF(($F5*'Jul''12 Multi'!K29/'Jul''12 Multi'!K30&gt;'Jul''12 Multi'!K36),($F5*'Jul''12 Multi'!K29/'Jul''12 Multi'!K30-'Jul''12 Multi'!K36)*'Jul''12 Multi'!K41/100*'Jul''12 Multi'!K30,0)</f>
        <v>77.22</v>
      </c>
      <c r="J28" s="63"/>
    </row>
    <row r="29" spans="1:10" x14ac:dyDescent="0.15">
      <c r="A29" s="40" t="s">
        <v>607</v>
      </c>
      <c r="C29" s="59">
        <f>IF($F5*'Jul''12 Multi'!E31/'Jul''12 Multi'!E32&gt;='Jul''12 Multi'!E33,('Jul''12 Multi'!E33*'Jul''12 Multi'!E42/100)*'Jul''12 Multi'!E32,($F5*'Jul''12 Multi'!E31/'Jul''12 Multi'!E32*'Jul''12 Multi'!E42/100)*'Jul''12 Multi'!E32)</f>
        <v>159.98400000000001</v>
      </c>
      <c r="D29" s="59">
        <f>IF($F5*'Jul''12 Multi'!F31/'Jul''12 Multi'!F32&gt;='Jul''12 Multi'!F33,('Jul''12 Multi'!F33*'Jul''12 Multi'!F42/100)*'Jul''12 Multi'!F32,($F5*'Jul''12 Multi'!F31/'Jul''12 Multi'!F32*'Jul''12 Multi'!F42/100)*'Jul''12 Multi'!F32)</f>
        <v>191.3835</v>
      </c>
      <c r="E29" s="59">
        <f>IF($F5*'Jul''12 Multi'!G31/'Jul''12 Multi'!G32&gt;='Jul''12 Multi'!G33,('Jul''12 Multi'!G33*'Jul''12 Multi'!G42/100)*'Jul''12 Multi'!G32,($F5*'Jul''12 Multi'!G31/'Jul''12 Multi'!G32*'Jul''12 Multi'!G42/100)*'Jul''12 Multi'!G32)</f>
        <v>245.01400000000001</v>
      </c>
      <c r="F29" s="59">
        <f>IF($F5*'Jul''12 Multi'!H31/'Jul''12 Multi'!H32&gt;='Jul''12 Multi'!H33,('Jul''12 Multi'!H33*'Jul''12 Multi'!H42/100)*'Jul''12 Multi'!H32,($F5*'Jul''12 Multi'!H31/'Jul''12 Multi'!H32*'Jul''12 Multi'!H42/100)*'Jul''12 Multi'!H32)</f>
        <v>253.4</v>
      </c>
      <c r="G29" s="59">
        <f>IF($F5*'Jul''12 Multi'!I31/'Jul''12 Multi'!I32&gt;='Jul''12 Multi'!I33,('Jul''12 Multi'!I33*'Jul''12 Multi'!I42/100)*'Jul''12 Multi'!I32,($F5*'Jul''12 Multi'!I31/'Jul''12 Multi'!I32*'Jul''12 Multi'!I42/100)*'Jul''12 Multi'!I32)</f>
        <v>269.03800000000001</v>
      </c>
      <c r="H29" s="59">
        <f>IF($F5*'Jul''12 Multi'!J31/'Jul''12 Multi'!J32&gt;='Jul''12 Multi'!J33,('Jul''12 Multi'!J33*'Jul''12 Multi'!J42/100)*'Jul''12 Multi'!J32,($F5*'Jul''12 Multi'!J31/'Jul''12 Multi'!J32*'Jul''12 Multi'!J42/100)*'Jul''12 Multi'!J32)</f>
        <v>195.93</v>
      </c>
      <c r="I29" s="59">
        <f>IF($F5*'Jul''12 Multi'!K31/'Jul''12 Multi'!K32&gt;='Jul''12 Multi'!K33,('Jul''12 Multi'!K33*'Jul''12 Multi'!K42/100)*'Jul''12 Multi'!K32,($F5*'Jul''12 Multi'!K31/'Jul''12 Multi'!K32*'Jul''12 Multi'!K42/100)*'Jul''12 Multi'!K32)</f>
        <v>189.42000000000002</v>
      </c>
      <c r="J29" s="63"/>
    </row>
    <row r="30" spans="1:10" x14ac:dyDescent="0.15">
      <c r="A30" s="40" t="s">
        <v>608</v>
      </c>
      <c r="C30" s="59">
        <f>IF($F5*'Jul''12 Multi'!E31/'Jul''12 Multi'!E32&lt;'Jul''12 Multi'!E33,0,IF($F5*'Jul''12 Multi'!E31/'Jul''12 Multi'!E32&lt;='Jul''12 Multi'!E34,($F5*'Jul''12 Multi'!E31/'Jul''12 Multi'!E32-'Jul''12 Multi'!E33)*('Jul''12 Multi'!E43/100)*'Jul''12 Multi'!E32,('Jul''12 Multi'!E34-'Jul''12 Multi'!E33)*('Jul''12 Multi'!E43/100)*'Jul''12 Multi'!E32))</f>
        <v>96.030000000000015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63"/>
    </row>
    <row r="31" spans="1:10" x14ac:dyDescent="0.15">
      <c r="A31" s="40" t="s">
        <v>609</v>
      </c>
      <c r="C31" s="59">
        <f>IF($F5*'Jul''12 Multi'!E31/'Jul''12 Multi'!E32&lt;'Jul''12 Multi'!E34,0,IF($F5*'Jul''12 Multi'!E31/'Jul''12 Multi'!E32&lt;='Jul''12 Multi'!E35,($F5*'Jul''12 Multi'!E31/'Jul''12 Multi'!E32-'Jul''12 Multi'!E34)*('Jul''12 Multi'!E44/100)*'Jul''12 Multi'!E32,('Jul''12 Multi'!E35-'Jul''12 Multi'!E34)*('Jul''12 Multi'!E44/100)*'Jul''12 Multi'!E32))</f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63"/>
    </row>
    <row r="32" spans="1:10" x14ac:dyDescent="0.15">
      <c r="A32" s="40" t="s">
        <v>610</v>
      </c>
      <c r="C32" s="59">
        <f>IF($F5*'Jul''12 Multi'!E31/'Jul''12 Multi'!E32&lt;'Jul''12 Multi'!E35,0,IF($F5*'Jul''12 Multi'!E31/'Jul''12 Multi'!E32&lt;='Jul''12 Multi'!E36,($F5*'Jul''12 Multi'!E31/'Jul''12 Multi'!E32-'Jul''12 Multi'!E35)*('Jul''12 Multi'!E45/100)*'Jul''12 Multi'!E32,('Jul''12 Multi'!E36-'Jul''12 Multi'!E35)*('Jul''12 Multi'!E45/100)*'Jul''12 Multi'!E32))</f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63"/>
    </row>
    <row r="33" spans="1:10" x14ac:dyDescent="0.15">
      <c r="A33" s="40" t="s">
        <v>611</v>
      </c>
      <c r="C33" s="59">
        <f>IF(($F5*'Jul''12 Multi'!E31/'Jul''12 Multi'!E32&gt;'Jul''12 Multi'!E36),($F5*'Jul''12 Multi'!E31/'Jul''12 Multi'!E32-'Jul''12 Multi'!E36)*'Jul''12 Multi'!E46/100*'Jul''12 Multi'!E32,0)</f>
        <v>0</v>
      </c>
      <c r="D33" s="59">
        <f>IF(($F5*'Jul''12 Multi'!F31/'Jul''12 Multi'!F32&gt;'Jul''12 Multi'!F36),($F5*'Jul''12 Multi'!F31/'Jul''12 Multi'!F32-'Jul''12 Multi'!F36)*'Jul''12 Multi'!F46/100*'Jul''12 Multi'!F32,0)</f>
        <v>59.548499999999997</v>
      </c>
      <c r="E33" s="59">
        <f>IF(($F5*'Jul''12 Multi'!G31/'Jul''12 Multi'!G32&gt;'Jul''12 Multi'!G36),($F5*'Jul''12 Multi'!G31/'Jul''12 Multi'!G32-'Jul''12 Multi'!G36)*'Jul''12 Multi'!G46/100*'Jul''12 Multi'!G32,0)</f>
        <v>83.706288600000008</v>
      </c>
      <c r="F33" s="59">
        <f>IF(($F5*'Jul''12 Multi'!H31/'Jul''12 Multi'!H32&gt;'Jul''12 Multi'!H36),($F5*'Jul''12 Multi'!H31/'Jul''12 Multi'!H32-'Jul''12 Multi'!H36)*'Jul''12 Multi'!H46/100*'Jul''12 Multi'!H32,0)</f>
        <v>86.371199999999988</v>
      </c>
      <c r="G33" s="59">
        <f>IF(($F5*'Jul''12 Multi'!I31/'Jul''12 Multi'!I32&gt;'Jul''12 Multi'!I36),($F5*'Jul''12 Multi'!I31/'Jul''12 Multi'!I32-'Jul''12 Multi'!I36)*'Jul''12 Multi'!I46/100*'Jul''12 Multi'!I32,0)</f>
        <v>90.125947999999994</v>
      </c>
      <c r="H33" s="59">
        <f>IF(($F5*'Jul''12 Multi'!J31/'Jul''12 Multi'!J32&gt;'Jul''12 Multi'!J36),($F5*'Jul''12 Multi'!J31/'Jul''12 Multi'!J32-'Jul''12 Multi'!J36)*'Jul''12 Multi'!J46/100*'Jul''12 Multi'!J32,0)</f>
        <v>73.17</v>
      </c>
      <c r="I33" s="59">
        <f>IF(($F5*'Jul''12 Multi'!K31/'Jul''12 Multi'!K32&gt;'Jul''12 Multi'!K36),($F5*'Jul''12 Multi'!K31/'Jul''12 Multi'!K32-'Jul''12 Multi'!K36)*'Jul''12 Multi'!K46/100*'Jul''12 Multi'!K32,0)</f>
        <v>65.34</v>
      </c>
      <c r="J33" s="63"/>
    </row>
    <row r="34" spans="1:10" x14ac:dyDescent="0.15">
      <c r="A34" s="40" t="s">
        <v>612</v>
      </c>
      <c r="C34" s="59">
        <f>365*'Jul''12 Multi'!E47/100</f>
        <v>189.42770000000002</v>
      </c>
      <c r="D34" s="59">
        <f>365*'Jul''12 Multi'!F47/100</f>
        <v>212.79499999999999</v>
      </c>
      <c r="E34" s="59">
        <f>365*'Jul''12 Multi'!G47/100</f>
        <v>213.23665</v>
      </c>
      <c r="F34" s="59">
        <f>365*'Jul''12 Multi'!H47/100</f>
        <v>204.83799999999999</v>
      </c>
      <c r="G34" s="59">
        <f>365*'Jul''12 Multi'!I47/100</f>
        <v>242.54614999999998</v>
      </c>
      <c r="H34" s="59">
        <f>365*'Jul''12 Multi'!J47/100</f>
        <v>213.52500000000001</v>
      </c>
      <c r="I34" s="59">
        <f>365*'Jul''12 Multi'!K47/100</f>
        <v>184.69</v>
      </c>
      <c r="J34" s="60">
        <f>AVERAGE(C34:I34)</f>
        <v>208.72264285714286</v>
      </c>
    </row>
    <row r="35" spans="1:10" x14ac:dyDescent="0.15">
      <c r="A35" s="62" t="s">
        <v>613</v>
      </c>
      <c r="B35" s="63"/>
      <c r="C35" s="61">
        <f t="shared" ref="C35:H35" si="1">SUM(C24:C34)</f>
        <v>719.9357</v>
      </c>
      <c r="D35" s="61">
        <f t="shared" si="1"/>
        <v>748.5335</v>
      </c>
      <c r="E35" s="61">
        <f t="shared" si="1"/>
        <v>721.45436769999992</v>
      </c>
      <c r="F35" s="61">
        <f t="shared" si="1"/>
        <v>726.29319999999996</v>
      </c>
      <c r="G35" s="61">
        <f t="shared" si="1"/>
        <v>794.63272900000004</v>
      </c>
      <c r="H35" s="61">
        <f t="shared" si="1"/>
        <v>767.93999999999994</v>
      </c>
      <c r="I35" s="61">
        <f>SUM(I24:I34)</f>
        <v>725.72499999999991</v>
      </c>
      <c r="J35" s="64">
        <f>AVERAGE(C35:I35)</f>
        <v>743.50207095714279</v>
      </c>
    </row>
    <row r="37" spans="1:10" x14ac:dyDescent="0.15">
      <c r="A37" s="55" t="s">
        <v>1042</v>
      </c>
    </row>
    <row r="39" spans="1:10" x14ac:dyDescent="0.15">
      <c r="A39" s="53" t="s">
        <v>1024</v>
      </c>
      <c r="C39" s="23" t="s">
        <v>1044</v>
      </c>
      <c r="D39" s="23" t="s">
        <v>591</v>
      </c>
      <c r="E39" s="23" t="s">
        <v>555</v>
      </c>
      <c r="F39" s="23" t="s">
        <v>544</v>
      </c>
      <c r="G39" s="23" t="s">
        <v>615</v>
      </c>
      <c r="H39" s="23" t="s">
        <v>546</v>
      </c>
      <c r="I39" s="23" t="s">
        <v>545</v>
      </c>
      <c r="J39" s="57" t="s">
        <v>601</v>
      </c>
    </row>
    <row r="40" spans="1:10" x14ac:dyDescent="0.15">
      <c r="A40" s="40" t="s">
        <v>602</v>
      </c>
      <c r="C40" s="59">
        <f>IF($F5*'Jul''12 Envestra'!E7/'Jul''12 Envestra'!E8&gt;='Jul''12 Envestra'!E11,('Jul''12 Envestra'!E11*'Jul''12 Envestra'!E13/100)*'Jul''12 Envestra'!E8,($F5*'Jul''12 Envestra'!E7/'Jul''12 Envestra'!E8*'Jul''12 Envestra'!E13/100)*'Jul''12 Envestra'!E8)</f>
        <v>180.49194899999998</v>
      </c>
      <c r="D40" s="59">
        <f>IF($F5*'Jul''12 Envestra'!F7/'Jul''12 Envestra'!F8&gt;='Jul''12 Envestra'!F11,('Jul''12 Envestra'!F11*'Jul''12 Envestra'!F13/100)*'Jul''12 Envestra'!F8,($F5*'Jul''12 Envestra'!F7/'Jul''12 Envestra'!F8*'Jul''12 Envestra'!F13/100)*'Jul''12 Envestra'!F8)</f>
        <v>156.024</v>
      </c>
      <c r="E40" s="59">
        <f>IF($F5*'Jul''12 Envestra'!G7/'Jul''12 Envestra'!G8&gt;='Jul''12 Envestra'!G11,('Jul''12 Envestra'!G11*'Jul''12 Envestra'!G13/100)*'Jul''12 Envestra'!G8,($F5*'Jul''12 Envestra'!G7/'Jul''12 Envestra'!G8*'Jul''12 Envestra'!G13/100)*'Jul''12 Envestra'!G8)</f>
        <v>153.12879999999998</v>
      </c>
      <c r="F40" s="59">
        <f>IF($F5*'Jul''12 Envestra'!H7/'Jul''12 Envestra'!H8&gt;='Jul''12 Envestra'!H11,('Jul''12 Envestra'!H11*'Jul''12 Envestra'!H13/100)*'Jul''12 Envestra'!H8,($F5*'Jul''12 Envestra'!H7/'Jul''12 Envestra'!H8*'Jul''12 Envestra'!H13/100)*'Jul''12 Envestra'!H8)</f>
        <v>153.6</v>
      </c>
      <c r="G40" s="59">
        <f>IF($F5*'Jul''12 Envestra'!I7/'Jul''12 Envestra'!I8&gt;='Jul''12 Envestra'!I11,('Jul''12 Envestra'!I11*'Jul''12 Envestra'!I13/100)*'Jul''12 Envestra'!I8,($F5*'Jul''12 Envestra'!I7/'Jul''12 Envestra'!I8*'Jul''12 Envestra'!I13/100)*'Jul''12 Envestra'!I8)</f>
        <v>165.17600000000002</v>
      </c>
      <c r="H40" s="59">
        <f>IF($F5*'Jul''12 Envestra'!J7/'Jul''12 Envestra'!J8&gt;='Jul''12 Envestra'!J11,('Jul''12 Envestra'!J11*'Jul''12 Envestra'!J13/100)*'Jul''12 Envestra'!J8,($F5*'Jul''12 Envestra'!J7/'Jul''12 Envestra'!J8*'Jul''12 Envestra'!J13/100)*'Jul''12 Envestra'!J8)</f>
        <v>154.88</v>
      </c>
      <c r="I40" s="59">
        <f>IF($F5*'Jul''12 Envestra'!K7/'Jul''12 Envestra'!K8&gt;='Jul''12 Envestra'!K11,('Jul''12 Envestra'!K11*'Jul''12 Envestra'!K13/100)*'Jul''12 Envestra'!K8,($F5*'Jul''12 Envestra'!K7/'Jul''12 Envestra'!K8*'Jul''12 Envestra'!K13/100)*'Jul''12 Envestra'!K8)</f>
        <v>158.4</v>
      </c>
      <c r="J40" s="63"/>
    </row>
    <row r="41" spans="1:10" x14ac:dyDescent="0.15">
      <c r="A41" s="40" t="s">
        <v>603</v>
      </c>
      <c r="C41" s="59">
        <f>IF($F5*'Jul''12 Envestra'!E7/'Jul''12 Envestra'!E8&lt;'Jul''12 Envestra'!E11,0,IF($F5*'Jul''12 Envestra'!E7/'Jul''12 Envestra'!E8&lt;='Jul''12 Envestra'!E12,($F5*'Jul''12 Envestra'!E7/'Jul''12 Envestra'!E8-'Jul''12 Envestra'!E11)*('Jul''12 Envestra'!E14/100)*'Jul''12 Envestra'!E8,('Jul''12 Envestra'!E12-'Jul''12 Envestra'!E11)*('Jul''12 Envestra'!E14/100)*'Jul''12 Envestra'!E8))</f>
        <v>0</v>
      </c>
      <c r="D41" s="59">
        <f>IF($F5*'Jul''12 Envestra'!F7/'Jul''12 Envestra'!F8&lt;'Jul''12 Envestra'!F11,0,IF($F5*'Jul''12 Envestra'!F7/'Jul''12 Envestra'!F8&lt;='Jul''12 Envestra'!F12,($F5*'Jul''12 Envestra'!F7/'Jul''12 Envestra'!F8-'Jul''12 Envestra'!F11)*('Jul''12 Envestra'!F14/100)*'Jul''12 Envestra'!F8,('Jul''12 Envestra'!F12-'Jul''12 Envestra'!F11)*('Jul''12 Envestra'!F14/100)*'Jul''12 Envestra'!F8))</f>
        <v>36.787596999999998</v>
      </c>
      <c r="E41" s="59">
        <f>IF($F5*'Jul''12 Envestra'!G7/'Jul''12 Envestra'!G8&lt;'Jul''12 Envestra'!G11,0,IF($F5*'Jul''12 Envestra'!G7/'Jul''12 Envestra'!G8&lt;='Jul''12 Envestra'!G12,($F5*'Jul''12 Envestra'!G7/'Jul''12 Envestra'!G8-'Jul''12 Envestra'!G11)*('Jul''12 Envestra'!G14/100)*'Jul''12 Envestra'!G8,('Jul''12 Envestra'!G12-'Jul''12 Envestra'!G11)*('Jul''12 Envestra'!G14/100)*'Jul''12 Envestra'!G8))</f>
        <v>35.608986600000001</v>
      </c>
      <c r="F41" s="59">
        <f>IF($F5*'Jul''12 Envestra'!H7/'Jul''12 Envestra'!H8&lt;'Jul''12 Envestra'!H11,0,IF($F5*'Jul''12 Envestra'!H7/'Jul''12 Envestra'!H8&lt;='Jul''12 Envestra'!H12,($F5*'Jul''12 Envestra'!H7/'Jul''12 Envestra'!H8-'Jul''12 Envestra'!H11)*('Jul''12 Envestra'!H14/100)*'Jul''12 Envestra'!H8,('Jul''12 Envestra'!H12-'Jul''12 Envestra'!H11)*('Jul''12 Envestra'!H14/100)*'Jul''12 Envestra'!H8))</f>
        <v>0</v>
      </c>
      <c r="G41" s="59">
        <f>IF($F5*'Jul''12 Envestra'!I7/'Jul''12 Envestra'!I8&lt;'Jul''12 Envestra'!I11,0,IF($F5*'Jul''12 Envestra'!I7/'Jul''12 Envestra'!I8&lt;='Jul''12 Envestra'!I12,($F5*'Jul''12 Envestra'!I7/'Jul''12 Envestra'!I8-'Jul''12 Envestra'!I11)*('Jul''12 Envestra'!I14/100)*'Jul''12 Envestra'!I8,('Jul''12 Envestra'!I12-'Jul''12 Envestra'!I11)*('Jul''12 Envestra'!I14/100)*'Jul''12 Envestra'!I8))</f>
        <v>39.140419999999999</v>
      </c>
      <c r="H41" s="59">
        <f>IF($F5*'Jul''12 Envestra'!J7/'Jul''12 Envestra'!J8&lt;'Jul''12 Envestra'!J11,0,IF($F5*'Jul''12 Envestra'!J7/'Jul''12 Envestra'!J8&lt;='Jul''12 Envestra'!J12,($F5*'Jul''12 Envestra'!J7/'Jul''12 Envestra'!J8-'Jul''12 Envestra'!J11)*('Jul''12 Envestra'!J14/100)*'Jul''12 Envestra'!J8,('Jul''12 Envestra'!J12-'Jul''12 Envestra'!J11)*('Jul''12 Envestra'!J14/100)*'Jul''12 Envestra'!J8))</f>
        <v>36.641669999999998</v>
      </c>
      <c r="I41" s="59">
        <f>IF($F5*'Jul''12 Envestra'!K7/'Jul''12 Envestra'!K8&lt;'Jul''12 Envestra'!K11,0,IF($F5*'Jul''12 Envestra'!K7/'Jul''12 Envestra'!K8&lt;='Jul''12 Envestra'!K12,($F5*'Jul''12 Envestra'!K7/'Jul''12 Envestra'!K8-'Jul''12 Envestra'!K11)*('Jul''12 Envestra'!K14/100)*'Jul''12 Envestra'!K8,('Jul''12 Envestra'!K12-'Jul''12 Envestra'!K11)*('Jul''12 Envestra'!K14/100)*'Jul''12 Envestra'!K8))</f>
        <v>37.161409999999997</v>
      </c>
      <c r="J41" s="63"/>
    </row>
    <row r="42" spans="1:10" x14ac:dyDescent="0.15">
      <c r="A42" s="40" t="s">
        <v>606</v>
      </c>
      <c r="C42" s="59">
        <f>IF(($F5*'Jul''12 Envestra'!E7/'Jul''12 Envestra'!E8&gt;'Jul''12 Envestra'!E12),($F5*'Jul''12 Envestra'!E7/'Jul''12 Envestra'!E8-'Jul''12 Envestra'!E12)*'Jul''12 Envestra'!E15/100)*'Jul''12 Envestra'!E8</f>
        <v>0</v>
      </c>
      <c r="D42" s="59">
        <f>IF(($F5*'Jul''12 Envestra'!F7/'Jul''12 Envestra'!F8&gt;'Jul''12 Envestra'!F12),($F5*'Jul''12 Envestra'!F7/'Jul''12 Envestra'!F8-'Jul''12 Envestra'!F12)*'Jul''12 Envestra'!F15/100)*'Jul''12 Envestra'!F8</f>
        <v>0</v>
      </c>
      <c r="E42" s="59">
        <f>IF(($F5*'Jul''12 Envestra'!G7/'Jul''12 Envestra'!G8&gt;'Jul''12 Envestra'!G12),($F5*'Jul''12 Envestra'!G7/'Jul''12 Envestra'!G8-'Jul''12 Envestra'!G12)*'Jul''12 Envestra'!G15/100)*'Jul''12 Envestra'!G8</f>
        <v>0</v>
      </c>
      <c r="F42" s="59">
        <f>IF(($F5*'Jul''12 Envestra'!H7/'Jul''12 Envestra'!H8&gt;'Jul''12 Envestra'!H12),($F5*'Jul''12 Envestra'!H7/'Jul''12 Envestra'!H8-'Jul''12 Envestra'!H12)*'Jul''12 Envestra'!H15/100)*'Jul''12 Envestra'!H8</f>
        <v>35.981999999999999</v>
      </c>
      <c r="G42" s="59">
        <f>IF(($F5*'Jul''12 Envestra'!I7/'Jul''12 Envestra'!I8&gt;'Jul''12 Envestra'!I12),($F5*'Jul''12 Envestra'!I7/'Jul''12 Envestra'!I8-'Jul''12 Envestra'!I12)*'Jul''12 Envestra'!I15/100)*'Jul''12 Envestra'!I8</f>
        <v>0</v>
      </c>
      <c r="H42" s="59">
        <f>IF(($F5*'Jul''12 Envestra'!J7/'Jul''12 Envestra'!J8&gt;'Jul''12 Envestra'!J12),($F5*'Jul''12 Envestra'!J7/'Jul''12 Envestra'!J8-'Jul''12 Envestra'!J12)*'Jul''12 Envestra'!J15/100)*'Jul''12 Envestra'!J8</f>
        <v>0</v>
      </c>
      <c r="I42" s="59">
        <f>IF(($F5*'Jul''12 Envestra'!K7/'Jul''12 Envestra'!K8&gt;'Jul''12 Envestra'!K12),($F5*'Jul''12 Envestra'!K7/'Jul''12 Envestra'!K8-'Jul''12 Envestra'!K12)*'Jul''12 Envestra'!K15/100)*'Jul''12 Envestra'!K8</f>
        <v>0</v>
      </c>
      <c r="J42" s="63"/>
    </row>
    <row r="43" spans="1:10" x14ac:dyDescent="0.15">
      <c r="A43" s="40" t="s">
        <v>607</v>
      </c>
      <c r="C43" s="59">
        <f>IF($F5*'Jul''12 Envestra'!E9/'Jul''12 Envestra'!E10&gt;='Jul''12 Envestra'!E11,('Jul''12 Envestra'!E11*'Jul''12 Envestra'!E16/100)*'Jul''12 Envestra'!E10,($F5*'Jul''12 Envestra'!E9/'Jul''12 Envestra'!E10*'Jul''12 Envestra'!E16/100)*'Jul''12 Envestra'!E10)</f>
        <v>346.68532800000003</v>
      </c>
      <c r="D43" s="59">
        <f>IF($F5*'Jul''12 Envestra'!F9/'Jul''12 Envestra'!F10&gt;='Jul''12 Envestra'!F11,('Jul''12 Envestra'!F11*'Jul''12 Envestra'!F16/100)*'Jul''12 Envestra'!F10,($F5*'Jul''12 Envestra'!F9/'Jul''12 Envestra'!F10*'Jul''12 Envestra'!F16/100)*'Jul''12 Envestra'!F10)</f>
        <v>279.31200000000001</v>
      </c>
      <c r="E43" s="59">
        <f>IF($F5*'Jul''12 Envestra'!G9/'Jul''12 Envestra'!G10&gt;='Jul''12 Envestra'!G11,('Jul''12 Envestra'!G11*'Jul''12 Envestra'!G16/100)*'Jul''12 Envestra'!G10,($F5*'Jul''12 Envestra'!G9/'Jul''12 Envestra'!G10*'Jul''12 Envestra'!G16/100)*'Jul''12 Envestra'!G10)</f>
        <v>291.61439999999999</v>
      </c>
      <c r="F43" s="59">
        <f>IF($F5*'Jul''12 Envestra'!H9/'Jul''12 Envestra'!H10&gt;='Jul''12 Envestra'!H11,('Jul''12 Envestra'!H11*'Jul''12 Envestra'!H16/100)*'Jul''12 Envestra'!H10,($F5*'Jul''12 Envestra'!H9/'Jul''12 Envestra'!H10*'Jul''12 Envestra'!H16/100)*'Jul''12 Envestra'!H10)</f>
        <v>297.60000000000002</v>
      </c>
      <c r="G43" s="59">
        <f>IF($F5*'Jul''12 Envestra'!I9/'Jul''12 Envestra'!I10&gt;='Jul''12 Envestra'!I11,('Jul''12 Envestra'!I11*'Jul''12 Envestra'!I16/100)*'Jul''12 Envestra'!I10,($F5*'Jul''12 Envestra'!I9/'Jul''12 Envestra'!I10*'Jul''12 Envestra'!I16/100)*'Jul''12 Envestra'!I10)</f>
        <v>315.74400000000003</v>
      </c>
      <c r="H43" s="59">
        <f>IF($F5*'Jul''12 Envestra'!J9/'Jul''12 Envestra'!J10&gt;='Jul''12 Envestra'!J11,('Jul''12 Envestra'!J11*'Jul''12 Envestra'!J16/100)*'Jul''12 Envestra'!J10,($F5*'Jul''12 Envestra'!J9/'Jul''12 Envestra'!J10*'Jul''12 Envestra'!J16/100)*'Jul''12 Envestra'!J10)</f>
        <v>305.44</v>
      </c>
      <c r="I43" s="59">
        <f>IF($F5*'Jul''12 Envestra'!K9/'Jul''12 Envestra'!K10&gt;='Jul''12 Envestra'!K11,('Jul''12 Envestra'!K11*'Jul''12 Envestra'!K16/100)*'Jul''12 Envestra'!K10,($F5*'Jul''12 Envestra'!K9/'Jul''12 Envestra'!K10*'Jul''12 Envestra'!K16/100)*'Jul''12 Envestra'!K10)</f>
        <v>286.88</v>
      </c>
      <c r="J43" s="63"/>
    </row>
    <row r="44" spans="1:10" x14ac:dyDescent="0.15">
      <c r="A44" s="40" t="s">
        <v>608</v>
      </c>
      <c r="C44" s="59">
        <f>IF($F5*'Jul''12 Envestra'!E9/'Jul''12 Envestra'!E10&lt;'Jul''12 Envestra'!E11,0,IF($F5*'Jul''12 Envestra'!E9/'Jul''12 Envestra'!E10&lt;='Jul''12 Envestra'!E12,($F5*'Jul''12 Envestra'!E9/'Jul''12 Envestra'!E10-'Jul''12 Envestra'!E11)*('Jul''12 Envestra'!E17/100)*'Jul''12 Envestra'!E10,('Jul''12 Envestra'!E12-'Jul''12 Envestra'!E11)*('Jul''12 Envestra'!E17/100)*'Jul''12 Envestra'!E10))</f>
        <v>0</v>
      </c>
      <c r="D44" s="59">
        <f>IF($F5*'Jul''12 Envestra'!F9/'Jul''12 Envestra'!F10&lt;'Jul''12 Envestra'!F11,0,IF($F5*'Jul''12 Envestra'!F9/'Jul''12 Envestra'!F10&lt;='Jul''12 Envestra'!F12,($F5*'Jul''12 Envestra'!F9/'Jul''12 Envestra'!F10-'Jul''12 Envestra'!F11)*('Jul''12 Envestra'!F17/100)*'Jul''12 Envestra'!F10,('Jul''12 Envestra'!F12-'Jul''12 Envestra'!F11)*('Jul''12 Envestra'!F17/100)*'Jul''12 Envestra'!F10))</f>
        <v>69.661151999999987</v>
      </c>
      <c r="E44" s="59">
        <f>IF($F5*'Jul''12 Envestra'!G9/'Jul''12 Envestra'!G10&lt;'Jul''12 Envestra'!G11,0,IF($F5*'Jul''12 Envestra'!G9/'Jul''12 Envestra'!G10&lt;='Jul''12 Envestra'!G12,($F5*'Jul''12 Envestra'!G9/'Jul''12 Envestra'!G10-'Jul''12 Envestra'!G11)*('Jul''12 Envestra'!G17/100)*'Jul''12 Envestra'!G10,('Jul''12 Envestra'!G12-'Jul''12 Envestra'!G11)*('Jul''12 Envestra'!G17/100)*'Jul''12 Envestra'!G10))</f>
        <v>68.517724000000001</v>
      </c>
      <c r="F44" s="59">
        <f>IF($F5*'Jul''12 Envestra'!H9/'Jul''12 Envestra'!H10&lt;'Jul''12 Envestra'!H11,0,IF($F5*'Jul''12 Envestra'!H9/'Jul''12 Envestra'!H10&lt;='Jul''12 Envestra'!H12,($F5*'Jul''12 Envestra'!H9/'Jul''12 Envestra'!H10-'Jul''12 Envestra'!H11)*('Jul''12 Envestra'!H17/100)*'Jul''12 Envestra'!H10,('Jul''12 Envestra'!H12-'Jul''12 Envestra'!H11)*('Jul''12 Envestra'!H17/100)*'Jul''12 Envestra'!H10))</f>
        <v>0</v>
      </c>
      <c r="G44" s="59">
        <f>IF($F5*'Jul''12 Envestra'!I9/'Jul''12 Envestra'!I10&lt;'Jul''12 Envestra'!I11,0,IF($F5*'Jul''12 Envestra'!I9/'Jul''12 Envestra'!I10&lt;='Jul''12 Envestra'!I12,($F5*'Jul''12 Envestra'!I9/'Jul''12 Envestra'!I10-'Jul''12 Envestra'!I11)*('Jul''12 Envestra'!I17/100)*'Jul''12 Envestra'!I10,('Jul''12 Envestra'!I12-'Jul''12 Envestra'!I11)*('Jul''12 Envestra'!I17/100)*'Jul''12 Envestra'!I10))</f>
        <v>75.906027999999992</v>
      </c>
      <c r="H44" s="59">
        <f>IF($F5*'Jul''12 Envestra'!J9/'Jul''12 Envestra'!J10&lt;'Jul''12 Envestra'!J11,0,IF($F5*'Jul''12 Envestra'!J9/'Jul''12 Envestra'!J10&lt;='Jul''12 Envestra'!J12,($F5*'Jul''12 Envestra'!J9/'Jul''12 Envestra'!J10-'Jul''12 Envestra'!J11)*('Jul''12 Envestra'!J17/100)*'Jul''12 Envestra'!J10,('Jul''12 Envestra'!J12-'Jul''12 Envestra'!J11)*('Jul''12 Envestra'!J17/100)*'Jul''12 Envestra'!J10))</f>
        <v>71.684139999999985</v>
      </c>
      <c r="I44" s="59">
        <f>IF($F5*'Jul''12 Envestra'!K9/'Jul''12 Envestra'!K10&lt;'Jul''12 Envestra'!K11,0,IF($F5*'Jul''12 Envestra'!K9/'Jul''12 Envestra'!K10&lt;='Jul''12 Envestra'!K12,($F5*'Jul''12 Envestra'!K9/'Jul''12 Envestra'!K10-'Jul''12 Envestra'!K11)*('Jul''12 Envestra'!K17/100)*'Jul''12 Envestra'!K10,('Jul''12 Envestra'!K12-'Jul''12 Envestra'!K11)*('Jul''12 Envestra'!K17/100)*'Jul''12 Envestra'!K10))</f>
        <v>70.364800000000002</v>
      </c>
      <c r="J44" s="63"/>
    </row>
    <row r="45" spans="1:10" x14ac:dyDescent="0.15">
      <c r="A45" s="40" t="s">
        <v>611</v>
      </c>
      <c r="C45" s="59">
        <f>IF(($F5*'Jul''12 Envestra'!E9/'Jul''12 Envestra'!E10&gt;'Jul''12 Envestra'!E12),($F5*'Jul''12 Envestra'!E9/'Jul''12 Envestra'!E10-'Jul''12 Envestra'!E12)*'Jul''12 Envestra'!E18/100)*'Jul''12 Envestra'!E10</f>
        <v>0</v>
      </c>
      <c r="D45" s="59">
        <f>IF(($F5*'Jul''12 Envestra'!F9/'Jul''12 Envestra'!F10&gt;'Jul''12 Envestra'!F12),($F5*'Jul''12 Envestra'!F9/'Jul''12 Envestra'!F10-'Jul''12 Envestra'!F12)*'Jul''12 Envestra'!F18/100)*'Jul''12 Envestra'!F10</f>
        <v>0</v>
      </c>
      <c r="E45" s="59">
        <f>IF(($F5*'Jul''12 Envestra'!G9/'Jul''12 Envestra'!G10&gt;'Jul''12 Envestra'!G12),($F5*'Jul''12 Envestra'!G9/'Jul''12 Envestra'!G10-'Jul''12 Envestra'!G12)*'Jul''12 Envestra'!G18/100)*'Jul''12 Envestra'!G10</f>
        <v>0</v>
      </c>
      <c r="F45" s="59">
        <f>IF(($F5*'Jul''12 Envestra'!H9/'Jul''12 Envestra'!H10&gt;'Jul''12 Envestra'!H12),($F5*'Jul''12 Envestra'!H9/'Jul''12 Envestra'!H10-'Jul''12 Envestra'!H12)*'Jul''12 Envestra'!H18/100)*'Jul''12 Envestra'!H10</f>
        <v>71.164400000000001</v>
      </c>
      <c r="G45" s="59">
        <f>IF(($F5*'Jul''12 Envestra'!I9/'Jul''12 Envestra'!I10&gt;'Jul''12 Envestra'!I12),($F5*'Jul''12 Envestra'!I9/'Jul''12 Envestra'!I10-'Jul''12 Envestra'!I12)*'Jul''12 Envestra'!I18/100)*'Jul''12 Envestra'!I10</f>
        <v>0</v>
      </c>
      <c r="H45" s="59">
        <f>IF(($F5*'Jul''12 Envestra'!J9/'Jul''12 Envestra'!J10&gt;'Jul''12 Envestra'!J12),($F5*'Jul''12 Envestra'!J9/'Jul''12 Envestra'!J10-'Jul''12 Envestra'!J12)*'Jul''12 Envestra'!J18/100)*'Jul''12 Envestra'!J10</f>
        <v>0</v>
      </c>
      <c r="I45" s="59">
        <f>IF(($F5*'Jul''12 Envestra'!K9/'Jul''12 Envestra'!K10&gt;'Jul''12 Envestra'!K12),($F5*'Jul''12 Envestra'!K9/'Jul''12 Envestra'!K10-'Jul''12 Envestra'!K12)*'Jul''12 Envestra'!K18/100)*'Jul''12 Envestra'!K10</f>
        <v>0</v>
      </c>
      <c r="J45" s="63"/>
    </row>
    <row r="46" spans="1:10" x14ac:dyDescent="0.15">
      <c r="A46" s="40" t="s">
        <v>612</v>
      </c>
      <c r="C46" s="59">
        <f>365*'Jul''12 Envestra'!E19/100</f>
        <v>219.90154999999999</v>
      </c>
      <c r="D46" s="59">
        <f>365*'Jul''12 Envestra'!F19/100</f>
        <v>217.97435000000002</v>
      </c>
      <c r="E46" s="59">
        <f>365*'Jul''12 Envestra'!G19/100</f>
        <v>228.17245</v>
      </c>
      <c r="F46" s="59">
        <f>365*'Jul''12 Envestra'!H19/100</f>
        <v>221.92</v>
      </c>
      <c r="G46" s="59">
        <f>365*'Jul''12 Envestra'!I19/100</f>
        <v>242.06435000000002</v>
      </c>
      <c r="H46" s="59">
        <f>365*'Jul''12 Envestra'!J19/100</f>
        <v>243.45500000000001</v>
      </c>
      <c r="I46" s="59">
        <f>365*'Jul''12 Envestra'!K19/100</f>
        <v>200.75</v>
      </c>
      <c r="J46" s="60">
        <f>AVERAGE(C46:I46)</f>
        <v>224.89109999999999</v>
      </c>
    </row>
    <row r="47" spans="1:10" x14ac:dyDescent="0.15">
      <c r="A47" s="62" t="s">
        <v>613</v>
      </c>
      <c r="B47" s="63"/>
      <c r="C47" s="61">
        <f t="shared" ref="C47:H47" si="2">SUM(C40:C46)</f>
        <v>747.07882700000005</v>
      </c>
      <c r="D47" s="61">
        <f t="shared" si="2"/>
        <v>759.75909900000011</v>
      </c>
      <c r="E47" s="61">
        <f t="shared" si="2"/>
        <v>777.04236060000005</v>
      </c>
      <c r="F47" s="61">
        <f t="shared" si="2"/>
        <v>780.26639999999998</v>
      </c>
      <c r="G47" s="61">
        <f t="shared" si="2"/>
        <v>838.030798</v>
      </c>
      <c r="H47" s="61">
        <f t="shared" si="2"/>
        <v>812.10081000000002</v>
      </c>
      <c r="I47" s="61">
        <f>SUM(I40:I46)</f>
        <v>753.55620999999996</v>
      </c>
      <c r="J47" s="64">
        <f>AVERAGE(C47:I47)</f>
        <v>781.11921494285707</v>
      </c>
    </row>
    <row r="49" spans="1:10" x14ac:dyDescent="0.15">
      <c r="A49" s="53" t="s">
        <v>488</v>
      </c>
      <c r="C49" s="23" t="s">
        <v>1044</v>
      </c>
      <c r="D49" s="23" t="s">
        <v>591</v>
      </c>
      <c r="E49" s="23" t="s">
        <v>555</v>
      </c>
      <c r="F49" s="23" t="s">
        <v>544</v>
      </c>
      <c r="G49" s="23" t="s">
        <v>615</v>
      </c>
      <c r="H49" s="23" t="s">
        <v>546</v>
      </c>
      <c r="I49" s="23" t="s">
        <v>545</v>
      </c>
      <c r="J49" s="57" t="s">
        <v>601</v>
      </c>
    </row>
    <row r="50" spans="1:10" x14ac:dyDescent="0.15">
      <c r="A50" s="40" t="s">
        <v>602</v>
      </c>
      <c r="C50" s="59">
        <f>IF($F5*'Jul''12 Envestra'!E23/'Jul''12 Envestra'!E24&gt;='Jul''12 Envestra'!E27,('Jul''12 Envestra'!E27*'Jul''12 Envestra'!E29/100)*'Jul''12 Envestra'!E24,($F5*'Jul''12 Envestra'!E23/'Jul''12 Envestra'!E24*'Jul''12 Envestra'!E29/100)*'Jul''12 Envestra'!E24)</f>
        <v>177.08229</v>
      </c>
      <c r="D50" s="59">
        <f>IF($F5*'Jul''12 Envestra'!F23/'Jul''12 Envestra'!F24&gt;='Jul''12 Envestra'!F27,('Jul''12 Envestra'!F27*'Jul''12 Envestra'!F29/100)*'Jul''12 Envestra'!F24,($F5*'Jul''12 Envestra'!F23/'Jul''12 Envestra'!F24*'Jul''12 Envestra'!F29/100)*'Jul''12 Envestra'!F24)</f>
        <v>128.97280000000001</v>
      </c>
      <c r="E50" s="59">
        <f>IF($F5*'Jul''12 Envestra'!G23/'Jul''12 Envestra'!G24&gt;='Jul''12 Envestra'!G27,('Jul''12 Envestra'!G27*'Jul''12 Envestra'!G29/100)*'Jul''12 Envestra'!G24,($F5*'Jul''12 Envestra'!G23/'Jul''12 Envestra'!G24*'Jul''12 Envestra'!G29/100)*'Jul''12 Envestra'!G24)</f>
        <v>121.10912</v>
      </c>
      <c r="F50" s="59">
        <f>IF($F5*'Jul''12 Envestra'!H23/'Jul''12 Envestra'!H24&gt;='Jul''12 Envestra'!H27,('Jul''12 Envestra'!H27*'Jul''12 Envestra'!H29/100)*'Jul''12 Envestra'!H24,($F5*'Jul''12 Envestra'!H23/'Jul''12 Envestra'!H24*'Jul''12 Envestra'!H29/100)*'Jul''12 Envestra'!H24)</f>
        <v>120.96</v>
      </c>
      <c r="G50" s="59">
        <f>IF($F5*'Jul''12 Envestra'!I23/'Jul''12 Envestra'!I24&gt;='Jul''12 Envestra'!I27,('Jul''12 Envestra'!I27*'Jul''12 Envestra'!I29/100)*'Jul''12 Envestra'!I24,($F5*'Jul''12 Envestra'!I23/'Jul''12 Envestra'!I24*'Jul''12 Envestra'!I29/100)*'Jul''12 Envestra'!I24)</f>
        <v>131.01439999999999</v>
      </c>
      <c r="H50" s="59">
        <f>IF($F5*'Jul''12 Envestra'!J23/'Jul''12 Envestra'!J24&gt;='Jul''12 Envestra'!J27,('Jul''12 Envestra'!J27*'Jul''12 Envestra'!J29/100)*'Jul''12 Envestra'!J24,($F5*'Jul''12 Envestra'!J23/'Jul''12 Envestra'!J24*'Jul''12 Envestra'!J29/100)*'Jul''12 Envestra'!J24)</f>
        <v>126.91200000000001</v>
      </c>
      <c r="I50" s="59">
        <f>IF($F5*'Jul''12 Envestra'!K23/'Jul''12 Envestra'!K24&gt;='Jul''12 Envestra'!K27,('Jul''12 Envestra'!K27*'Jul''12 Envestra'!K29/100)*'Jul''12 Envestra'!K24,($F5*'Jul''12 Envestra'!K23/'Jul''12 Envestra'!K24*'Jul''12 Envestra'!K29/100)*'Jul''12 Envestra'!K24)</f>
        <v>129.536</v>
      </c>
      <c r="J50" s="63"/>
    </row>
    <row r="51" spans="1:10" x14ac:dyDescent="0.15">
      <c r="A51" s="40" t="s">
        <v>603</v>
      </c>
      <c r="C51" s="59">
        <f>IF($F5*'Jul''12 Envestra'!E23/'Jul''12 Envestra'!E25&lt;'Jul''12 Envestra'!E27,0,IF($F5*'Jul''12 Envestra'!E23/'Jul''12 Envestra'!E24&lt;='Jul''12 Envestra'!E28,($F5*'Jul''12 Envestra'!E23/'Jul''12 Envestra'!E24-'Jul''12 Envestra'!E27)*('Jul''12 Envestra'!E30/100)*'Jul''12 Envestra'!E24,('Jul''12 Envestra'!E28-'Jul''12 Envestra'!E27)*('Jul''12 Envestra'!E30/100)*'Jul''12 Envestra'!E24))</f>
        <v>-30.793389000000001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63"/>
    </row>
    <row r="52" spans="1:10" x14ac:dyDescent="0.15">
      <c r="A52" s="40" t="s">
        <v>606</v>
      </c>
      <c r="C52" s="59">
        <f>IF(($F5*'Jul''12 Envestra'!E23/'Jul''12 Envestra'!E24&gt;'Jul''12 Envestra'!E28),($F5*'Jul''12 Envestra'!E23/'Jul''12 Envestra'!E24-'Jul''12 Envestra'!E28)*'Jul''12 Envestra'!E31/100*'Jul''12 Envestra'!E24,0)</f>
        <v>0</v>
      </c>
      <c r="D52" s="59">
        <f>IF(($F5*'Jul''12 Envestra'!F23/'Jul''12 Envestra'!F24&gt;'Jul''12 Envestra'!F28),($F5*'Jul''12 Envestra'!F23/'Jul''12 Envestra'!F24-'Jul''12 Envestra'!F28)*'Jul''12 Envestra'!F31/100*'Jul''12 Envestra'!F24,0)</f>
        <v>58.987610000000004</v>
      </c>
      <c r="E52" s="59">
        <f>IF(($F5*'Jul''12 Envestra'!G23/'Jul''12 Envestra'!G24&gt;'Jul''12 Envestra'!G28),($F5*'Jul''12 Envestra'!G23/'Jul''12 Envestra'!G24-'Jul''12 Envestra'!G28)*'Jul''12 Envestra'!G31/100*'Jul''12 Envestra'!G24,0)</f>
        <v>60.056513000000002</v>
      </c>
      <c r="F52" s="59">
        <f>IF(($F5*'Jul''12 Envestra'!H23/'Jul''12 Envestra'!H24&gt;'Jul''12 Envestra'!H28),($F5*'Jul''12 Envestra'!H23/'Jul''12 Envestra'!H24-'Jul''12 Envestra'!H28)*'Jul''12 Envestra'!H31/100*'Jul''12 Envestra'!H24,0)</f>
        <v>59.743400000000001</v>
      </c>
      <c r="G52" s="59">
        <f>IF(($F5*'Jul''12 Envestra'!I23/'Jul''12 Envestra'!I24&gt;'Jul''12 Envestra'!I28),($F5*'Jul''12 Envestra'!I23/'Jul''12 Envestra'!I24-'Jul''12 Envestra'!I28)*'Jul''12 Envestra'!I31/100*'Jul''12 Envestra'!I24,0)</f>
        <v>65.005138000000002</v>
      </c>
      <c r="H52" s="59">
        <f>IF(($F5*'Jul''12 Envestra'!J23/'Jul''12 Envestra'!J24&gt;'Jul''12 Envestra'!J28),($F5*'Jul''12 Envestra'!J23/'Jul''12 Envestra'!J24-'Jul''12 Envestra'!J28)*'Jul''12 Envestra'!J31/100*'Jul''12 Envestra'!J24,0)</f>
        <v>63.954229999999995</v>
      </c>
      <c r="I52" s="59">
        <f>IF(($F5*'Jul''12 Envestra'!K23/'Jul''12 Envestra'!K24&gt;'Jul''12 Envestra'!K28),($F5*'Jul''12 Envestra'!K23/'Jul''12 Envestra'!K24-'Jul''12 Envestra'!K28)*'Jul''12 Envestra'!K31/100*'Jul''12 Envestra'!K24,0)</f>
        <v>59.779390000000006</v>
      </c>
      <c r="J52" s="63"/>
    </row>
    <row r="53" spans="1:10" x14ac:dyDescent="0.15">
      <c r="A53" s="40" t="s">
        <v>607</v>
      </c>
      <c r="C53" s="59">
        <f>IF($F5*'Jul''12 Envestra'!E25/'Jul''12 Envestra'!E26&gt;='Jul''12 Envestra'!E27,('Jul''12 Envestra'!E27*'Jul''12 Envestra'!E32/100)*'Jul''12 Envestra'!E26,($F5*'Jul''12 Envestra'!E25/'Jul''12 Envestra'!E26*'Jul''12 Envestra'!E32/100*'Jul''12 Envestra'!E26))</f>
        <v>340.96590000000003</v>
      </c>
      <c r="D53" s="59">
        <f>IF($F5*'Jul''12 Envestra'!F25/'Jul''12 Envestra'!F26&gt;='Jul''12 Envestra'!F27,('Jul''12 Envestra'!F27*'Jul''12 Envestra'!F32/100)*'Jul''12 Envestra'!F26,($F5*'Jul''12 Envestra'!F25/'Jul''12 Envestra'!F26*'Jul''12 Envestra'!F32/100*'Jul''12 Envestra'!F26))</f>
        <v>232.17920000000001</v>
      </c>
      <c r="E53" s="59">
        <f>IF($F5*'Jul''12 Envestra'!G25/'Jul''12 Envestra'!G26&gt;='Jul''12 Envestra'!G27,('Jul''12 Envestra'!G27*'Jul''12 Envestra'!G32/100)*'Jul''12 Envestra'!G26,($F5*'Jul''12 Envestra'!G25/'Jul''12 Envestra'!G26*'Jul''12 Envestra'!G32/100*'Jul''12 Envestra'!G26))</f>
        <v>226.25151999999997</v>
      </c>
      <c r="F53" s="59">
        <f>IF($F5*'Jul''12 Envestra'!H25/'Jul''12 Envestra'!H26&gt;='Jul''12 Envestra'!H27,('Jul''12 Envestra'!H27*'Jul''12 Envestra'!H32/100)*'Jul''12 Envestra'!H26,($F5*'Jul''12 Envestra'!H25/'Jul''12 Envestra'!H26*'Jul''12 Envestra'!H32/100*'Jul''12 Envestra'!H26))</f>
        <v>231.68</v>
      </c>
      <c r="G53" s="59">
        <f>IF($F5*'Jul''12 Envestra'!I25/'Jul''12 Envestra'!I26&gt;='Jul''12 Envestra'!I27,('Jul''12 Envestra'!I27*'Jul''12 Envestra'!I32/100)*'Jul''12 Envestra'!I26,($F5*'Jul''12 Envestra'!I25/'Jul''12 Envestra'!I26*'Jul''12 Envestra'!I32/100*'Jul''12 Envestra'!I26))</f>
        <v>245.696</v>
      </c>
      <c r="H53" s="59">
        <f>IF($F5*'Jul''12 Envestra'!J25/'Jul''12 Envestra'!J26&gt;='Jul''12 Envestra'!J27,('Jul''12 Envestra'!J27*'Jul''12 Envestra'!J32/100)*'Jul''12 Envestra'!J26,($F5*'Jul''12 Envestra'!J25/'Jul''12 Envestra'!J26*'Jul''12 Envestra'!J32/100*'Jul''12 Envestra'!J26))</f>
        <v>250.36799999999999</v>
      </c>
      <c r="I53" s="59">
        <f>IF($F5*'Jul''12 Envestra'!K25/'Jul''12 Envestra'!K26&gt;='Jul''12 Envestra'!K27,('Jul''12 Envestra'!K27*'Jul''12 Envestra'!K32/100)*'Jul''12 Envestra'!K26,($F5*'Jul''12 Envestra'!K25/'Jul''12 Envestra'!K26*'Jul''12 Envestra'!K32/100*'Jul''12 Envestra'!K26))</f>
        <v>242.17599999999999</v>
      </c>
      <c r="J53" s="63"/>
    </row>
    <row r="54" spans="1:10" x14ac:dyDescent="0.15">
      <c r="A54" s="40" t="s">
        <v>608</v>
      </c>
      <c r="C54" s="59">
        <f>IF($F5*'Jul''12 Envestra'!E25/'Jul''12 Envestra'!E26&lt;'Jul''12 Envestra'!E27,0,IF($F5*'Jul''12 Envestra'!E25/'Jul''12 Envestra'!E26&lt;='Jul''12 Envestra'!E28,($F5*'Jul''12 Envestra'!E25/'Jul''12 Envestra'!E26-'Jul''12 Envestra'!E27)*('Jul''12 Envestra'!E33/100)*'Jul''12 Envestra'!E26,('Jul''12 Envestra'!E28-'Jul''12 Envestra'!E27)*('Jul''12 Envestra'!E33/100)*'Jul''12 Envestra'!E26))</f>
        <v>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63"/>
    </row>
    <row r="55" spans="1:10" x14ac:dyDescent="0.15">
      <c r="A55" s="40" t="s">
        <v>611</v>
      </c>
      <c r="C55" s="59">
        <f>IF(($F5*'Jul''12 Envestra'!E25/'Jul''12 Envestra'!E26&gt;'Jul''12 Envestra'!E28),($F5*'Jul''12 Envestra'!E25/'Jul''12 Envestra'!E26-'Jul''12 Envestra'!E28)*'Jul''12 Envestra'!E34/100*'Jul''12 Envestra'!E26,0)</f>
        <v>0</v>
      </c>
      <c r="D55" s="59">
        <f>IF(($F5*'Jul''12 Envestra'!F25/'Jul''12 Envestra'!F26&gt;'Jul''12 Envestra'!F28),($F5*'Jul''12 Envestra'!F25/'Jul''12 Envestra'!F26-'Jul''12 Envestra'!F28)*'Jul''12 Envestra'!F34/100*'Jul''12 Envestra'!F26,0)</f>
        <v>110.611666</v>
      </c>
      <c r="E55" s="59">
        <f>IF(($F5*'Jul''12 Envestra'!G25/'Jul''12 Envestra'!G26&gt;'Jul''12 Envestra'!G28),($F5*'Jul''12 Envestra'!G25/'Jul''12 Envestra'!G26-'Jul''12 Envestra'!G28)*'Jul''12 Envestra'!G34/100*'Jul''12 Envestra'!G26,0)</f>
        <v>112.4090066</v>
      </c>
      <c r="F55" s="59">
        <f>IF(($F5*'Jul''12 Envestra'!H25/'Jul''12 Envestra'!H26&gt;'Jul''12 Envestra'!H28),($F5*'Jul''12 Envestra'!H25/'Jul''12 Envestra'!H26-'Jul''12 Envestra'!H28)*'Jul''12 Envestra'!H34/100*'Jul''12 Envestra'!H26,0)</f>
        <v>115.88780000000001</v>
      </c>
      <c r="G55" s="59">
        <f>IF(($F5*'Jul''12 Envestra'!I25/'Jul''12 Envestra'!I26&gt;'Jul''12 Envestra'!I28),($F5*'Jul''12 Envestra'!I25/'Jul''12 Envestra'!I26-'Jul''12 Envestra'!I28)*'Jul''12 Envestra'!I34/100*'Jul''12 Envestra'!I26,0)</f>
        <v>123.28014599999999</v>
      </c>
      <c r="H55" s="59">
        <f>IF(($F5*'Jul''12 Envestra'!J25/'Jul''12 Envestra'!J26&gt;'Jul''12 Envestra'!J28),($F5*'Jul''12 Envestra'!J25/'Jul''12 Envestra'!J26-'Jul''12 Envestra'!J28)*'Jul''12 Envestra'!J34/100*'Jul''12 Envestra'!J26,0)</f>
        <v>124.95728</v>
      </c>
      <c r="I55" s="59">
        <f>IF(($F5*'Jul''12 Envestra'!K25/'Jul''12 Envestra'!K26&gt;'Jul''12 Envestra'!K28),($F5*'Jul''12 Envestra'!K25/'Jul''12 Envestra'!K26-'Jul''12 Envestra'!K28)*'Jul''12 Envestra'!K34/100*'Jul''12 Envestra'!K26,0)</f>
        <v>112.43276</v>
      </c>
      <c r="J55" s="63"/>
    </row>
    <row r="56" spans="1:10" x14ac:dyDescent="0.15">
      <c r="A56" s="40" t="s">
        <v>612</v>
      </c>
      <c r="C56" s="59">
        <f>365*'Jul''12 Envestra'!E35/100</f>
        <v>219.8614</v>
      </c>
      <c r="D56" s="59">
        <f>365*'Jul''12 Envestra'!F35/100</f>
        <v>211.9117</v>
      </c>
      <c r="E56" s="59">
        <f>365*'Jul''12 Envestra'!G35/100</f>
        <v>222.55145000000002</v>
      </c>
      <c r="F56" s="59">
        <f>365*'Jul''12 Envestra'!H35/100</f>
        <v>212.61250000000001</v>
      </c>
      <c r="G56" s="59">
        <f>365*'Jul''12 Envestra'!I35/100</f>
        <v>235.43960000000004</v>
      </c>
      <c r="H56" s="59">
        <f>365*'Jul''12 Envestra'!J35/100</f>
        <v>220.82499999999999</v>
      </c>
      <c r="I56" s="59">
        <f>365*'Jul''12 Envestra'!K35/100</f>
        <v>208.78</v>
      </c>
      <c r="J56" s="60">
        <f>AVERAGE(C56:I56)</f>
        <v>218.85452142857145</v>
      </c>
    </row>
    <row r="57" spans="1:10" x14ac:dyDescent="0.15">
      <c r="A57" s="62" t="s">
        <v>613</v>
      </c>
      <c r="B57" s="63"/>
      <c r="C57" s="61">
        <f t="shared" ref="C57:H57" si="3">SUM(C50:C56)</f>
        <v>707.11620100000005</v>
      </c>
      <c r="D57" s="61">
        <f t="shared" si="3"/>
        <v>742.66297600000007</v>
      </c>
      <c r="E57" s="61">
        <f t="shared" si="3"/>
        <v>742.37760960000003</v>
      </c>
      <c r="F57" s="61">
        <f t="shared" si="3"/>
        <v>740.88370000000009</v>
      </c>
      <c r="G57" s="61">
        <f t="shared" si="3"/>
        <v>800.43528400000002</v>
      </c>
      <c r="H57" s="61">
        <f t="shared" si="3"/>
        <v>787.01650999999993</v>
      </c>
      <c r="I57" s="61">
        <f>SUM(I50:I56)</f>
        <v>752.70415000000003</v>
      </c>
      <c r="J57" s="64">
        <f>AVERAGE(C57:I57)</f>
        <v>753.31377579999992</v>
      </c>
    </row>
    <row r="59" spans="1:10" x14ac:dyDescent="0.15">
      <c r="A59" s="53" t="s">
        <v>1028</v>
      </c>
      <c r="C59" s="23" t="s">
        <v>1044</v>
      </c>
      <c r="D59" s="23" t="s">
        <v>591</v>
      </c>
      <c r="E59" s="23" t="s">
        <v>555</v>
      </c>
      <c r="F59" s="23" t="s">
        <v>544</v>
      </c>
      <c r="G59" s="23" t="s">
        <v>615</v>
      </c>
      <c r="H59" s="23" t="s">
        <v>546</v>
      </c>
      <c r="I59" s="23" t="s">
        <v>545</v>
      </c>
      <c r="J59" s="57" t="s">
        <v>601</v>
      </c>
    </row>
    <row r="60" spans="1:10" x14ac:dyDescent="0.15">
      <c r="A60" s="40" t="s">
        <v>602</v>
      </c>
      <c r="C60" s="59">
        <f>IF($F5*'Jul''12 Envestra'!E39/'Jul''12 Envestra'!E40&gt;='Jul''12 Envestra'!E43,('Jul''12 Envestra'!E43*'Jul''12 Envestra'!E45/100)*'Jul''12 Envestra'!E40,($F5*'Jul''12 Envestra'!E39/'Jul''12 Envestra'!E40*'Jul''12 Envestra'!E45/100)*'Jul''12 Envestra'!E40)</f>
        <v>181.26187200000001</v>
      </c>
      <c r="D60" s="59">
        <f>IF($F5*'Jul''12 Envestra'!F39/'Jul''12 Envestra'!F40&gt;='Jul''12 Envestra'!F43,('Jul''12 Envestra'!F43*'Jul''12 Envestra'!F45/100)*'Jul''12 Envestra'!F40,($F5*'Jul''12 Envestra'!F39/'Jul''12 Envestra'!F40*'Jul''12 Envestra'!F45/100)*'Jul''12 Envestra'!F40)</f>
        <v>158.84</v>
      </c>
      <c r="E60" s="59">
        <f>IF($F5*'Jul''12 Envestra'!G39/'Jul''12 Envestra'!G40&gt;='Jul''12 Envestra'!G43,('Jul''12 Envestra'!G43*'Jul''12 Envestra'!G45/100)*'Jul''12 Envestra'!G40,($F5*'Jul''12 Envestra'!G39/'Jul''12 Envestra'!G40*'Jul''12 Envestra'!G45/100)*'Jul''12 Envestra'!G40)</f>
        <v>158.25039999999998</v>
      </c>
      <c r="F60" s="59">
        <f>IF($F5*'Jul''12 Envestra'!H39/'Jul''12 Envestra'!H40&gt;='Jul''12 Envestra'!H43,('Jul''12 Envestra'!H43*'Jul''12 Envestra'!H45/100)*'Jul''12 Envestra'!H40,($F5*'Jul''12 Envestra'!H39/'Jul''12 Envestra'!H40*'Jul''12 Envestra'!H45/100)*'Jul''12 Envestra'!H40)</f>
        <v>152.80000000000001</v>
      </c>
      <c r="G60" s="59">
        <f>IF($F5*'Jul''12 Envestra'!I39/'Jul''12 Envestra'!I40&gt;='Jul''12 Envestra'!I43,('Jul''12 Envestra'!I43*'Jul''12 Envestra'!I45/100)*'Jul''12 Envestra'!I40,($F5*'Jul''12 Envestra'!I39/'Jul''12 Envestra'!I40*'Jul''12 Envestra'!I45/100)*'Jul''12 Envestra'!I40)</f>
        <v>167.99200000000002</v>
      </c>
      <c r="H60" s="59">
        <f>IF($F5*'Jul''12 Envestra'!J39/'Jul''12 Envestra'!J40&gt;='Jul''12 Envestra'!J43,('Jul''12 Envestra'!J43*'Jul''12 Envestra'!J45/100)*'Jul''12 Envestra'!J40,($F5*'Jul''12 Envestra'!J39/'Jul''12 Envestra'!J40*'Jul''12 Envestra'!J45/100)*'Jul''12 Envestra'!J40)</f>
        <v>158.88</v>
      </c>
      <c r="I60" s="59">
        <f>IF($F5*'Jul''12 Envestra'!K39/'Jul''12 Envestra'!K40&gt;='Jul''12 Envestra'!K43,('Jul''12 Envestra'!K43*'Jul''12 Envestra'!K45/100)*'Jul''12 Envestra'!K40,($F5*'Jul''12 Envestra'!K39/'Jul''12 Envestra'!K40*'Jul''12 Envestra'!K45/100)*'Jul''12 Envestra'!K40)</f>
        <v>160.15999999999997</v>
      </c>
      <c r="J60" s="63"/>
    </row>
    <row r="61" spans="1:10" x14ac:dyDescent="0.15">
      <c r="A61" s="40" t="s">
        <v>603</v>
      </c>
      <c r="C61" s="59">
        <f>IF($F5*'Jul''12 Envestra'!E39/'Jul''12 Envestra'!E40&lt;'Jul''12 Envestra'!E43,0,IF($F5*'Jul''12 Envestra'!E39/'Jul''12 Envestra'!E40&lt;='Jul''12 Envestra'!E44,($F5*'Jul''12 Envestra'!E39/'Jul''12 Envestra'!E40-'Jul''12 Envestra'!E43)*('Jul''12 Envestra'!E46/100)*'Jul''12 Envestra'!E40,('Jul''12 Envestra'!E44-'Jul''12 Envestra'!E43)*('Jul''12 Envestra'!E46/100)*'Jul''12 Envestra'!E40))</f>
        <v>0</v>
      </c>
      <c r="D61" s="59">
        <f>IF($F5*'Jul''12 Envestra'!F39/'Jul''12 Envestra'!F40&lt;'Jul''12 Envestra'!F43,0,IF($F5*'Jul''12 Envestra'!F39/'Jul''12 Envestra'!F40&lt;='Jul''12 Envestra'!F44,($F5*'Jul''12 Envestra'!F39/'Jul''12 Envestra'!F40-'Jul''12 Envestra'!F43)*('Jul''12 Envestra'!F46/100)*'Jul''12 Envestra'!F40,('Jul''12 Envestra'!F44-'Jul''12 Envestra'!F43)*('Jul''12 Envestra'!F46/100)*'Jul''12 Envestra'!F40))</f>
        <v>35.028477000000002</v>
      </c>
      <c r="E61" s="59">
        <f>IF($F5*'Jul''12 Envestra'!G39/'Jul''12 Envestra'!G40&lt;'Jul''12 Envestra'!G43,0,IF($F5*'Jul''12 Envestra'!G39/'Jul''12 Envestra'!G40&lt;='Jul''12 Envestra'!G44,($F5*'Jul''12 Envestra'!G39/'Jul''12 Envestra'!G40-'Jul''12 Envestra'!G43)*('Jul''12 Envestra'!G46/100)*'Jul''12 Envestra'!G40,('Jul''12 Envestra'!G44-'Jul''12 Envestra'!G43)*('Jul''12 Envestra'!G46/100)*'Jul''12 Envestra'!G40))</f>
        <v>34.146718100000001</v>
      </c>
      <c r="F61" s="59">
        <f>IF($F5*'Jul''12 Envestra'!H39/'Jul''12 Envestra'!H40&lt;'Jul''12 Envestra'!H43,0,IF($F5*'Jul''12 Envestra'!H39/'Jul''12 Envestra'!H40&lt;='Jul''12 Envestra'!H44,($F5*'Jul''12 Envestra'!H39/'Jul''12 Envestra'!H40-'Jul''12 Envestra'!H43)*('Jul''12 Envestra'!H46/100)*'Jul''12 Envestra'!H40,('Jul''12 Envestra'!H44-'Jul''12 Envestra'!H43)*('Jul''12 Envestra'!H46/100)*'Jul''12 Envestra'!H40))</f>
        <v>0</v>
      </c>
      <c r="G61" s="59">
        <f>IF($F5*'Jul''12 Envestra'!I39/'Jul''12 Envestra'!I40&lt;'Jul''12 Envestra'!I43,0,IF($F5*'Jul''12 Envestra'!I39/'Jul''12 Envestra'!I40&lt;='Jul''12 Envestra'!I44,($F5*'Jul''12 Envestra'!I39/'Jul''12 Envestra'!I40-'Jul''12 Envestra'!I43)*('Jul''12 Envestra'!I46/100)*'Jul''12 Envestra'!I40,('Jul''12 Envestra'!I44-'Jul''12 Envestra'!I43)*('Jul''12 Envestra'!I46/100)*'Jul''12 Envestra'!I40))</f>
        <v>37.161409999999997</v>
      </c>
      <c r="H61" s="59">
        <f>IF($F5*'Jul''12 Envestra'!J39/'Jul''12 Envestra'!J40&lt;'Jul''12 Envestra'!J43,0,IF($F5*'Jul''12 Envestra'!J39/'Jul''12 Envestra'!J40&lt;='Jul''12 Envestra'!J44,($F5*'Jul''12 Envestra'!J39/'Jul''12 Envestra'!J40-'Jul''12 Envestra'!J43)*('Jul''12 Envestra'!J46/100)*'Jul''12 Envestra'!J40,('Jul''12 Envestra'!J44-'Jul''12 Envestra'!J43)*('Jul''12 Envestra'!J46/100)*'Jul''12 Envestra'!J40))</f>
        <v>35.162409999999994</v>
      </c>
      <c r="I61" s="59">
        <f>IF($F5*'Jul''12 Envestra'!K39/'Jul''12 Envestra'!K40&lt;'Jul''12 Envestra'!K43,0,IF($F5*'Jul''12 Envestra'!K39/'Jul''12 Envestra'!K40&lt;='Jul''12 Envestra'!K44,($F5*'Jul''12 Envestra'!K39/'Jul''12 Envestra'!K40-'Jul''12 Envestra'!K43)*('Jul''12 Envestra'!K46/100)*'Jul''12 Envestra'!K40,('Jul''12 Envestra'!K44-'Jul''12 Envestra'!K43)*('Jul''12 Envestra'!K46/100)*'Jul''12 Envestra'!K40))</f>
        <v>35.402290000000001</v>
      </c>
      <c r="J61" s="63"/>
    </row>
    <row r="62" spans="1:10" x14ac:dyDescent="0.15">
      <c r="A62" s="40" t="s">
        <v>606</v>
      </c>
      <c r="C62" s="59">
        <f>IF(($F5*'Jul''12 Envestra'!E39/'Jul''12 Envestra'!E40&gt;'Jul''12 Envestra'!E44),($F5*'Jul''12 Envestra'!E39/'Jul''12 Envestra'!E40-'Jul''12 Envestra'!E44)*'Jul''12 Envestra'!E47/100)*'Jul''12 Envestra'!E40</f>
        <v>0</v>
      </c>
      <c r="D62" s="59">
        <f>IF(($F5*'Jul''12 Envestra'!F39/'Jul''12 Envestra'!F40&gt;'Jul''12 Envestra'!F44),($F5*'Jul''12 Envestra'!F39/'Jul''12 Envestra'!F40-'Jul''12 Envestra'!F44)*'Jul''12 Envestra'!F47/100)*'Jul''12 Envestra'!F40</f>
        <v>0</v>
      </c>
      <c r="E62" s="59">
        <f>IF(($F5*'Jul''12 Envestra'!G39/'Jul''12 Envestra'!G40&gt;'Jul''12 Envestra'!G44),($F5*'Jul''12 Envestra'!G39/'Jul''12 Envestra'!G40-'Jul''12 Envestra'!G44)*'Jul''12 Envestra'!G47/100)*'Jul''12 Envestra'!G40</f>
        <v>0</v>
      </c>
      <c r="F62" s="59">
        <f>IF(($F5*'Jul''12 Envestra'!H39/'Jul''12 Envestra'!H40&gt;'Jul''12 Envestra'!H44),($F5*'Jul''12 Envestra'!H39/'Jul''12 Envestra'!H40-'Jul''12 Envestra'!H44)*'Jul''12 Envestra'!H47/100)*'Jul''12 Envestra'!H40</f>
        <v>34.382799999999996</v>
      </c>
      <c r="G62" s="59">
        <f>IF(($F5*'Jul''12 Envestra'!I39/'Jul''12 Envestra'!I40&gt;'Jul''12 Envestra'!I44),($F5*'Jul''12 Envestra'!I39/'Jul''12 Envestra'!I40-'Jul''12 Envestra'!I44)*'Jul''12 Envestra'!I47/100)*'Jul''12 Envestra'!I40</f>
        <v>0</v>
      </c>
      <c r="H62" s="59">
        <f>IF(($F5*'Jul''12 Envestra'!J39/'Jul''12 Envestra'!J40&gt;'Jul''12 Envestra'!J44),($F5*'Jul''12 Envestra'!J39/'Jul''12 Envestra'!J40-'Jul''12 Envestra'!J44)*'Jul''12 Envestra'!J47/100)*'Jul''12 Envestra'!J40</f>
        <v>0</v>
      </c>
      <c r="I62" s="59">
        <f>IF(($F5*'Jul''12 Envestra'!K39/'Jul''12 Envestra'!K40&gt;'Jul''12 Envestra'!K44),($F5*'Jul''12 Envestra'!K39/'Jul''12 Envestra'!K40-'Jul''12 Envestra'!K44)*'Jul''12 Envestra'!K47/100)*'Jul''12 Envestra'!K40</f>
        <v>0</v>
      </c>
      <c r="J62" s="63"/>
    </row>
    <row r="63" spans="1:10" x14ac:dyDescent="0.15">
      <c r="A63" s="40" t="s">
        <v>607</v>
      </c>
      <c r="C63" s="59">
        <f>IF($F5*'Jul''12 Envestra'!E41/'Jul''12 Envestra'!E42&gt;='Jul''12 Envestra'!E43,('Jul''12 Envestra'!E43*'Jul''12 Envestra'!E48/100)*'Jul''12 Envestra'!E42,($F5*'Jul''12 Envestra'!E41/'Jul''12 Envestra'!E42*'Jul''12 Envestra'!E48/100)*'Jul''12 Envestra'!E42)</f>
        <v>354.82451399999997</v>
      </c>
      <c r="D63" s="59">
        <f>IF($F5*'Jul''12 Envestra'!F41/'Jul''12 Envestra'!F42&gt;='Jul''12 Envestra'!F43,('Jul''12 Envestra'!F43*'Jul''12 Envestra'!F48/100)*'Jul''12 Envestra'!F42,($F5*'Jul''12 Envestra'!F41/'Jul''12 Envestra'!F42*'Jul''12 Envestra'!F48/100)*'Jul''12 Envestra'!F42)</f>
        <v>301.48800000000006</v>
      </c>
      <c r="E63" s="59">
        <f>IF($F5*'Jul''12 Envestra'!G41/'Jul''12 Envestra'!G42&gt;='Jul''12 Envestra'!G43,('Jul''12 Envestra'!G43*'Jul''12 Envestra'!G48/100)*'Jul''12 Envestra'!G42,($F5*'Jul''12 Envestra'!G41/'Jul''12 Envestra'!G42*'Jul''12 Envestra'!G48/100)*'Jul''12 Envestra'!G42)</f>
        <v>301.89279999999997</v>
      </c>
      <c r="F63" s="59">
        <f>IF($F5*'Jul''12 Envestra'!H41/'Jul''12 Envestra'!H42&gt;='Jul''12 Envestra'!H43,('Jul''12 Envestra'!H43*'Jul''12 Envestra'!H48/100)*'Jul''12 Envestra'!H42,($F5*'Jul''12 Envestra'!H41/'Jul''12 Envestra'!H42*'Jul''12 Envestra'!H48/100)*'Jul''12 Envestra'!H42)</f>
        <v>297.60000000000002</v>
      </c>
      <c r="G63" s="59">
        <f>IF($F5*'Jul''12 Envestra'!I41/'Jul''12 Envestra'!I42&gt;='Jul''12 Envestra'!I43,('Jul''12 Envestra'!I43*'Jul''12 Envestra'!I48/100)*'Jul''12 Envestra'!I42,($F5*'Jul''12 Envestra'!I41/'Jul''12 Envestra'!I42*'Jul''12 Envestra'!I48/100)*'Jul''12 Envestra'!I42)</f>
        <v>330.35200000000003</v>
      </c>
      <c r="H63" s="59">
        <f>IF($F5*'Jul''12 Envestra'!J41/'Jul''12 Envestra'!J42&gt;='Jul''12 Envestra'!J43,('Jul''12 Envestra'!J43*'Jul''12 Envestra'!J48/100)*'Jul''12 Envestra'!J42,($F5*'Jul''12 Envestra'!J41/'Jul''12 Envestra'!J42*'Jul''12 Envestra'!J48/100)*'Jul''12 Envestra'!J42)</f>
        <v>313.12</v>
      </c>
      <c r="I63" s="59">
        <f>IF($F5*'Jul''12 Envestra'!K41/'Jul''12 Envestra'!K42&gt;='Jul''12 Envestra'!K43,('Jul''12 Envestra'!K43*'Jul''12 Envestra'!K48/100)*'Jul''12 Envestra'!K42,($F5*'Jul''12 Envestra'!K41/'Jul''12 Envestra'!K42*'Jul''12 Envestra'!K48/100)*'Jul''12 Envestra'!K42)</f>
        <v>304.48</v>
      </c>
      <c r="J63" s="63"/>
    </row>
    <row r="64" spans="1:10" x14ac:dyDescent="0.15">
      <c r="A64" s="40" t="s">
        <v>608</v>
      </c>
      <c r="C64" s="59">
        <f>IF($F5*'Jul''12 Envestra'!E41/'Jul''12 Envestra'!E42&lt;'Jul''12 Envestra'!E43,0,IF($F5*'Jul''12 Envestra'!E41/'Jul''12 Envestra'!E42&lt;='Jul''12 Envestra'!E44,($F5*'Jul''12 Envestra'!E41/'Jul''12 Envestra'!E42-'Jul''12 Envestra'!E43)*('Jul''12 Envestra'!E49/100)*'Jul''12 Envestra'!E42,('Jul''12 Envestra'!E44-'Jul''12 Envestra'!E43)*('Jul''12 Envestra'!E49/100)*'Jul''12 Envestra'!E42))</f>
        <v>0</v>
      </c>
      <c r="D64" s="59">
        <f>IF($F5*'Jul''12 Envestra'!F41/'Jul''12 Envestra'!F42&lt;'Jul''12 Envestra'!F43,0,IF($F5*'Jul''12 Envestra'!F41/'Jul''12 Envestra'!F42&lt;='Jul''12 Envestra'!F44,($F5*'Jul''12 Envestra'!F41/'Jul''12 Envestra'!F42-'Jul''12 Envestra'!F43)*('Jul''12 Envestra'!F49/100)*'Jul''12 Envestra'!F42,('Jul''12 Envestra'!F44-'Jul''12 Envestra'!F43)*('Jul''12 Envestra'!F49/100)*'Jul''12 Envestra'!F42))</f>
        <v>65.175396000000006</v>
      </c>
      <c r="E64" s="59">
        <f>IF($F5*'Jul''12 Envestra'!G41/'Jul''12 Envestra'!G42&lt;'Jul''12 Envestra'!G43,0,IF($F5*'Jul''12 Envestra'!G41/'Jul''12 Envestra'!G42&lt;='Jul''12 Envestra'!G44,($F5*'Jul''12 Envestra'!G41/'Jul''12 Envestra'!G42-'Jul''12 Envestra'!G43)*('Jul''12 Envestra'!G49/100)*'Jul''12 Envestra'!G42,('Jul''12 Envestra'!G44-'Jul''12 Envestra'!G43)*('Jul''12 Envestra'!G49/100)*'Jul''12 Envestra'!G42))</f>
        <v>65.294136600000002</v>
      </c>
      <c r="F64" s="59">
        <f>IF($F5*'Jul''12 Envestra'!H41/'Jul''12 Envestra'!H42&lt;'Jul''12 Envestra'!H43,0,IF($F5*'Jul''12 Envestra'!H41/'Jul''12 Envestra'!H42&lt;='Jul''12 Envestra'!H44,($F5*'Jul''12 Envestra'!H41/'Jul''12 Envestra'!H42-'Jul''12 Envestra'!H43)*('Jul''12 Envestra'!H49/100)*'Jul''12 Envestra'!H42,('Jul''12 Envestra'!H44-'Jul''12 Envestra'!H43)*('Jul''12 Envestra'!H49/100)*'Jul''12 Envestra'!H42))</f>
        <v>0</v>
      </c>
      <c r="G64" s="59">
        <f>IF($F5*'Jul''12 Envestra'!I41/'Jul''12 Envestra'!I42&lt;'Jul''12 Envestra'!I43,0,IF($F5*'Jul''12 Envestra'!I41/'Jul''12 Envestra'!I42&lt;='Jul''12 Envestra'!I44,($F5*'Jul''12 Envestra'!I41/'Jul''12 Envestra'!I42-'Jul''12 Envestra'!I43)*('Jul''12 Envestra'!I49/100)*'Jul''12 Envestra'!I42,('Jul''12 Envestra'!I44-'Jul''12 Envestra'!I43)*('Jul''12 Envestra'!I49/100)*'Jul''12 Envestra'!I42))</f>
        <v>73.487238000000005</v>
      </c>
      <c r="H64" s="59">
        <f>IF($F5*'Jul''12 Envestra'!J41/'Jul''12 Envestra'!J42&lt;'Jul''12 Envestra'!J43,0,IF($F5*'Jul''12 Envestra'!J41/'Jul''12 Envestra'!J42&lt;='Jul''12 Envestra'!J44,($F5*'Jul''12 Envestra'!J41/'Jul''12 Envestra'!J42-'Jul''12 Envestra'!J43)*('Jul''12 Envestra'!J49/100)*'Jul''12 Envestra'!J42,('Jul''12 Envestra'!J44-'Jul''12 Envestra'!J43)*('Jul''12 Envestra'!J49/100)*'Jul''12 Envestra'!J42))</f>
        <v>68.685640000000006</v>
      </c>
      <c r="I64" s="59">
        <f>IF($F5*'Jul''12 Envestra'!K41/'Jul''12 Envestra'!K42&lt;'Jul''12 Envestra'!K43,0,IF($F5*'Jul''12 Envestra'!K41/'Jul''12 Envestra'!K42&lt;='Jul''12 Envestra'!K44,($F5*'Jul''12 Envestra'!K41/'Jul''12 Envestra'!K42-'Jul''12 Envestra'!K43)*('Jul''12 Envestra'!K49/100)*'Jul''12 Envestra'!K42,('Jul''12 Envestra'!K44-'Jul''12 Envestra'!K43)*('Jul''12 Envestra'!K49/100)*'Jul''12 Envestra'!K42))</f>
        <v>65.966999999999999</v>
      </c>
      <c r="J64" s="63"/>
    </row>
    <row r="65" spans="1:10" x14ac:dyDescent="0.15">
      <c r="A65" s="40" t="s">
        <v>611</v>
      </c>
      <c r="C65" s="59">
        <f>IF(($F5*'Jul''12 Envestra'!E41/'Jul''12 Envestra'!E42&gt;'Jul''12 Envestra'!E44),($F5*'Jul''12 Envestra'!E41/'Jul''12 Envestra'!E42-'Jul''12 Envestra'!E44)*'Jul''12 Envestra'!E50/100)*'Jul''12 Envestra'!E42</f>
        <v>0</v>
      </c>
      <c r="D65" s="59">
        <f>IF(($F5*'Jul''12 Envestra'!F41/'Jul''12 Envestra'!F42&gt;'Jul''12 Envestra'!F44),($F5*'Jul''12 Envestra'!F41/'Jul''12 Envestra'!F42-'Jul''12 Envestra'!F44)*'Jul''12 Envestra'!F50/100)*'Jul''12 Envestra'!F42</f>
        <v>0</v>
      </c>
      <c r="E65" s="59">
        <f>IF(($F5*'Jul''12 Envestra'!G41/'Jul''12 Envestra'!G42&gt;'Jul''12 Envestra'!G44),($F5*'Jul''12 Envestra'!G41/'Jul''12 Envestra'!G42-'Jul''12 Envestra'!G44)*'Jul''12 Envestra'!G50/100)*'Jul''12 Envestra'!G42</f>
        <v>0</v>
      </c>
      <c r="F65" s="59">
        <f>IF(($F5*'Jul''12 Envestra'!H41/'Jul''12 Envestra'!H42&gt;'Jul''12 Envestra'!H44),($F5*'Jul''12 Envestra'!H41/'Jul''12 Envestra'!H42-'Jul''12 Envestra'!H44)*'Jul''12 Envestra'!H50/100)*'Jul''12 Envestra'!H42</f>
        <v>67.166399999999996</v>
      </c>
      <c r="G65" s="59">
        <f>IF(($F5*'Jul''12 Envestra'!I41/'Jul''12 Envestra'!I42&gt;'Jul''12 Envestra'!I44),($F5*'Jul''12 Envestra'!I41/'Jul''12 Envestra'!I42-'Jul''12 Envestra'!I44)*'Jul''12 Envestra'!I50/100)*'Jul''12 Envestra'!I42</f>
        <v>0</v>
      </c>
      <c r="H65" s="59">
        <f>IF(($F5*'Jul''12 Envestra'!J41/'Jul''12 Envestra'!J42&gt;'Jul''12 Envestra'!J44),($F5*'Jul''12 Envestra'!J41/'Jul''12 Envestra'!J42-'Jul''12 Envestra'!J44)*'Jul''12 Envestra'!J50/100)*'Jul''12 Envestra'!J42</f>
        <v>0</v>
      </c>
      <c r="I65" s="59">
        <f>IF(($F5*'Jul''12 Envestra'!K41/'Jul''12 Envestra'!K42&gt;'Jul''12 Envestra'!K44),($F5*'Jul''12 Envestra'!K41/'Jul''12 Envestra'!K42-'Jul''12 Envestra'!K44)*'Jul''12 Envestra'!K50/100)*'Jul''12 Envestra'!K42</f>
        <v>0</v>
      </c>
      <c r="J65" s="63"/>
    </row>
    <row r="66" spans="1:10" x14ac:dyDescent="0.15">
      <c r="A66" s="40" t="s">
        <v>612</v>
      </c>
      <c r="C66" s="59">
        <f>365*'Jul''12 Envestra'!E51/100</f>
        <v>219.45989999999998</v>
      </c>
      <c r="D66" s="59">
        <f>365*'Jul''12 Envestra'!F51/100</f>
        <v>213.7586</v>
      </c>
      <c r="E66" s="59">
        <f>365*'Jul''12 Envestra'!G51/100</f>
        <v>228.2929</v>
      </c>
      <c r="F66" s="59">
        <f>365*'Jul''12 Envestra'!H51/100</f>
        <v>216.70050000000001</v>
      </c>
      <c r="G66" s="59">
        <f>365*'Jul''12 Envestra'!I51/100</f>
        <v>241.98405</v>
      </c>
      <c r="H66" s="59">
        <f>365*'Jul''12 Envestra'!J51/100</f>
        <v>243.82</v>
      </c>
      <c r="I66" s="59">
        <f>365*'Jul''12 Envestra'!K51/100</f>
        <v>200.75</v>
      </c>
      <c r="J66" s="60">
        <f>AVERAGE(C66:I66)</f>
        <v>223.53799285714285</v>
      </c>
    </row>
    <row r="67" spans="1:10" x14ac:dyDescent="0.15">
      <c r="A67" s="62" t="s">
        <v>613</v>
      </c>
      <c r="B67" s="63"/>
      <c r="C67" s="61">
        <f t="shared" ref="C67:H67" si="4">SUM(C60:C66)</f>
        <v>755.5462859999999</v>
      </c>
      <c r="D67" s="61">
        <f t="shared" si="4"/>
        <v>774.29047300000002</v>
      </c>
      <c r="E67" s="61">
        <f t="shared" si="4"/>
        <v>787.87695470000006</v>
      </c>
      <c r="F67" s="61">
        <f t="shared" si="4"/>
        <v>768.64970000000005</v>
      </c>
      <c r="G67" s="61">
        <f t="shared" si="4"/>
        <v>850.97669800000006</v>
      </c>
      <c r="H67" s="61">
        <f t="shared" si="4"/>
        <v>819.66804999999999</v>
      </c>
      <c r="I67" s="61">
        <f>SUM(I60:I66)</f>
        <v>766.75928999999996</v>
      </c>
      <c r="J67" s="64">
        <f>AVERAGE(C67:I67)</f>
        <v>789.10963595714281</v>
      </c>
    </row>
    <row r="69" spans="1:10" x14ac:dyDescent="0.15">
      <c r="A69" s="55" t="s">
        <v>489</v>
      </c>
    </row>
    <row r="71" spans="1:10" x14ac:dyDescent="0.15">
      <c r="A71" s="53" t="s">
        <v>1030</v>
      </c>
      <c r="C71" s="23" t="s">
        <v>1044</v>
      </c>
      <c r="D71" s="23" t="s">
        <v>591</v>
      </c>
      <c r="E71" s="23" t="s">
        <v>555</v>
      </c>
      <c r="F71" s="23" t="s">
        <v>544</v>
      </c>
      <c r="G71" s="23" t="s">
        <v>615</v>
      </c>
      <c r="H71" s="23" t="s">
        <v>546</v>
      </c>
      <c r="I71" s="23" t="s">
        <v>545</v>
      </c>
      <c r="J71" s="57" t="s">
        <v>601</v>
      </c>
    </row>
    <row r="72" spans="1:10" x14ac:dyDescent="0.15">
      <c r="A72" s="40" t="s">
        <v>602</v>
      </c>
      <c r="C72" s="59">
        <f>IF($F5*'Jul''12 SP'!E7/'Jul''12 SP'!E8&gt;='Jul''12 SP'!E11,('Jul''12 SP'!E11*'Jul''12 SP'!E13/100)*'Jul''12 SP'!E8,($F5*'Jul''12 SP'!E7/'Jul''12 SP'!E8*'Jul''12 SP'!E13/100)*'Jul''12 SP'!E8)</f>
        <v>192.15078300000002</v>
      </c>
      <c r="D72" s="59">
        <f>IF($F5*'Jul''12 SP'!F7/'Jul''12 SP'!F8&gt;='Jul''12 SP'!F11,('Jul''12 SP'!F11*'Jul''12 SP'!F13/100)*'Jul''12 SP'!F8,($F5*'Jul''12 SP'!F7/'Jul''12 SP'!F8*'Jul''12 SP'!F13/100)*'Jul''12 SP'!F8)</f>
        <v>136.57599999999999</v>
      </c>
      <c r="E72" s="59">
        <f>IF($F5*'Jul''12 SP'!G7/'Jul''12 SP'!G8&gt;='Jul''12 SP'!G11,('Jul''12 SP'!G11*'Jul''12 SP'!G13/100)*'Jul''12 SP'!G8,($F5*'Jul''12 SP'!G7/'Jul''12 SP'!G8*'Jul''12 SP'!G13/100)*'Jul''12 SP'!G8)</f>
        <v>130.92992000000001</v>
      </c>
      <c r="F72" s="59">
        <f>IF($F5*'Jul''12 SP'!H7/'Jul''12 SP'!H8&gt;='Jul''12 SP'!H11,('Jul''12 SP'!H11*'Jul''12 SP'!H13/100)*'Jul''12 SP'!H8,($F5*'Jul''12 SP'!H7/'Jul''12 SP'!H8*'Jul''12 SP'!H13/100)*'Jul''12 SP'!H8)</f>
        <v>129.28</v>
      </c>
      <c r="G72" s="59">
        <f>IF($F5*'Jul''12 SP'!I7/'Jul''12 SP'!I8&gt;='Jul''12 SP'!I11,('Jul''12 SP'!I11*'Jul''12 SP'!I13/100)*'Jul''12 SP'!I8,($F5*'Jul''12 SP'!I7/'Jul''12 SP'!I8*'Jul''12 SP'!I13/100)*'Jul''12 SP'!I8)</f>
        <v>142.41919999999999</v>
      </c>
      <c r="H72" s="59">
        <f>IF($F5*'Jul''12 SP'!J7/'Jul''12 SP'!J8&gt;='Jul''12 SP'!J11,('Jul''12 SP'!J11*'Jul''12 SP'!J13/100)*'Jul''12 SP'!J8,($F5*'Jul''12 SP'!J7/'Jul''12 SP'!J8*'Jul''12 SP'!J13/100)*'Jul''12 SP'!J8)</f>
        <v>134.27199999999999</v>
      </c>
      <c r="I72" s="59">
        <f>IF($F5*'Jul''12 SP'!K7/'Jul''12 SP'!K8&gt;='Jul''12 SP'!K11,('Jul''12 SP'!K11*'Jul''12 SP'!K13/100)*'Jul''12 SP'!K8,($F5*'Jul''12 SP'!K7/'Jul''12 SP'!K8*'Jul''12 SP'!K13/100)*'Jul''12 SP'!K8)</f>
        <v>138.68799999999999</v>
      </c>
      <c r="J72" s="63"/>
    </row>
    <row r="73" spans="1:10" x14ac:dyDescent="0.15">
      <c r="A73" s="40" t="s">
        <v>603</v>
      </c>
      <c r="C73" s="59">
        <f>IF($F5*'Jul''12 SP'!E7/'Jul''12 SP'!E8&lt;'Jul''12 SP'!E11,0,IF($F5*'Jul''12 SP'!E7/'Jul''12 SP'!E8&lt;='Jul''12 SP'!E12,($F5*'Jul''12 SP'!E7/'Jul''12 SP'!E8-'Jul''12 SP'!E11)*('Jul''12 SP'!E14/100)*'Jul''12 SP'!E8,('Jul''12 SP'!E12-'Jul''12 SP'!E11)*('Jul''12 SP'!E14/100)*'Jul''12 SP'!E8))</f>
        <v>0</v>
      </c>
      <c r="D73" s="59">
        <f>IF($F5*'Jul''12 SP'!F7/'Jul''12 SP'!F8&lt;'Jul''12 SP'!F11,0,IF($F5*'Jul''12 SP'!F7/'Jul''12 SP'!F8&lt;='Jul''12 SP'!F12,($F5*'Jul''12 SP'!F7/'Jul''12 SP'!F8-'Jul''12 SP'!F11)*('Jul''12 SP'!F14/100)*'Jul''12 SP'!F8,('Jul''12 SP'!F12-'Jul''12 SP'!F11)*('Jul''12 SP'!F14/100)*'Jul''12 SP'!F8))</f>
        <v>0</v>
      </c>
      <c r="E73" s="59">
        <f>IF($F5*'Jul''12 SP'!G7/'Jul''12 SP'!G8&lt;'Jul''12 SP'!G11,0,IF($F5*'Jul''12 SP'!G7/'Jul''12 SP'!G8&lt;='Jul''12 SP'!G12,($F5*'Jul''12 SP'!G7/'Jul''12 SP'!G8-'Jul''12 SP'!G11)*('Jul''12 SP'!G14/100)*'Jul''12 SP'!G8,('Jul''12 SP'!G12-'Jul''12 SP'!G11)*('Jul''12 SP'!G14/100)*'Jul''12 SP'!G8))</f>
        <v>0</v>
      </c>
      <c r="F73" s="59">
        <f>IF($F5*'Jul''12 SP'!H7/'Jul''12 SP'!H8&lt;'Jul''12 SP'!H11,0,IF($F5*'Jul''12 SP'!H7/'Jul''12 SP'!H8&lt;='Jul''12 SP'!H12,($F5*'Jul''12 SP'!H7/'Jul''12 SP'!H8-'Jul''12 SP'!H11)*('Jul''12 SP'!H14/100)*'Jul''12 SP'!H8,('Jul''12 SP'!H12-'Jul''12 SP'!H11)*('Jul''12 SP'!H14/100)*'Jul''12 SP'!H8))</f>
        <v>0</v>
      </c>
      <c r="G73" s="59">
        <f>IF($F5*'Jul''12 SP'!I7/'Jul''12 SP'!I8&lt;'Jul''12 SP'!I11,0,IF($F5*'Jul''12 SP'!I7/'Jul''12 SP'!I8&lt;='Jul''12 SP'!I12,($F5*'Jul''12 SP'!I7/'Jul''12 SP'!I8-'Jul''12 SP'!I11)*('Jul''12 SP'!I14/100)*'Jul''12 SP'!I8,('Jul''12 SP'!I12-'Jul''12 SP'!I11)*('Jul''12 SP'!I14/100)*'Jul''12 SP'!I8))</f>
        <v>0</v>
      </c>
      <c r="H73" s="59">
        <f>IF($F5*'Jul''12 SP'!J7/'Jul''12 SP'!J8&lt;'Jul''12 SP'!J11,0,IF($F5*'Jul''12 SP'!J7/'Jul''12 SP'!J8&lt;='Jul''12 SP'!J12,($F5*'Jul''12 SP'!J7/'Jul''12 SP'!J8-'Jul''12 SP'!J11)*('Jul''12 SP'!J14/100)*'Jul''12 SP'!J8,('Jul''12 SP'!J12-'Jul''12 SP'!J11)*('Jul''12 SP'!J14/100)*'Jul''12 SP'!J8))</f>
        <v>0</v>
      </c>
      <c r="I73" s="59">
        <f>IF($F5*'Jul''12 SP'!K7/'Jul''12 SP'!K8&lt;'Jul''12 SP'!K11,0,IF($F5*'Jul''12 SP'!K7/'Jul''12 SP'!K8&lt;='Jul''12 SP'!K12,($F5*'Jul''12 SP'!K7/'Jul''12 SP'!K8-'Jul''12 SP'!K11)*('Jul''12 SP'!K14/100)*'Jul''12 SP'!K8,('Jul''12 SP'!K12-'Jul''12 SP'!K11)*('Jul''12 SP'!K14/100)*'Jul''12 SP'!K8))</f>
        <v>0</v>
      </c>
      <c r="J73" s="63"/>
    </row>
    <row r="74" spans="1:10" x14ac:dyDescent="0.15">
      <c r="A74" s="40" t="s">
        <v>606</v>
      </c>
      <c r="C74" s="59">
        <f>IF(($F5*'Jul''12 SP'!E7/'Jul''12 SP'!E8&gt;'Jul''12 SP'!E12),($F5*'Jul''12 SP'!E7/'Jul''12 SP'!E8-'Jul''12 SP'!E12)*'Jul''12 SP'!E15/100*'Jul''12 SP'!E8,0)</f>
        <v>0</v>
      </c>
      <c r="D74" s="59">
        <f>IF(($F5*'Jul''12 SP'!F7/'Jul''12 SP'!F8&gt;'Jul''12 SP'!F12),($F5*'Jul''12 SP'!F7/'Jul''12 SP'!F8-'Jul''12 SP'!F12)*'Jul''12 SP'!F15/100*'Jul''12 SP'!F8,0)</f>
        <v>65.915684999999996</v>
      </c>
      <c r="E74" s="59">
        <f>IF(($F5*'Jul''12 SP'!G7/'Jul''12 SP'!G8&gt;'Jul''12 SP'!G12),($F5*'Jul''12 SP'!G7/'Jul''12 SP'!G8-'Jul''12 SP'!G12)*'Jul''12 SP'!G15/100*'Jul''12 SP'!G8,0)</f>
        <v>65.381233500000008</v>
      </c>
      <c r="F74" s="59">
        <f>IF(($F5*'Jul''12 SP'!H7/'Jul''12 SP'!H8&gt;'Jul''12 SP'!H12),($F5*'Jul''12 SP'!H7/'Jul''12 SP'!H8-'Jul''12 SP'!H12)*'Jul''12 SP'!H15/100*'Jul''12 SP'!H8,0)</f>
        <v>66.581500000000005</v>
      </c>
      <c r="G74" s="59">
        <f>IF(($F5*'Jul''12 SP'!I7/'Jul''12 SP'!I8&gt;'Jul''12 SP'!I12),($F5*'Jul''12 SP'!I7/'Jul''12 SP'!I8-'Jul''12 SP'!I12)*'Jul''12 SP'!I15/100*'Jul''12 SP'!I8,0)</f>
        <v>70.626776000000007</v>
      </c>
      <c r="H74" s="59">
        <f>IF(($F5*'Jul''12 SP'!J7/'Jul''12 SP'!J8&gt;'Jul''12 SP'!J12),($F5*'Jul''12 SP'!J7/'Jul''12 SP'!J8-'Jul''12 SP'!J12)*'Jul''12 SP'!J15/100*'Jul''12 SP'!J8,0)</f>
        <v>66.869420000000005</v>
      </c>
      <c r="I74" s="59">
        <f>IF(($F5*'Jul''12 SP'!K7/'Jul''12 SP'!K8&gt;'Jul''12 SP'!K12),($F5*'Jul''12 SP'!K7/'Jul''12 SP'!K8-'Jul''12 SP'!K12)*'Jul''12 SP'!K15/100*'Jul''12 SP'!K8,0)</f>
        <v>66.113630000000001</v>
      </c>
      <c r="J74" s="63"/>
    </row>
    <row r="75" spans="1:10" x14ac:dyDescent="0.15">
      <c r="A75" s="40" t="s">
        <v>607</v>
      </c>
      <c r="C75" s="59">
        <f>IF($F5*'Jul''12 SP'!E9/'Jul''12 SP'!E10&gt;='Jul''12 SP'!E11,('Jul''12 SP'!E11*'Jul''12 SP'!E16/100)*'Jul''12 SP'!E10,($F5*'Jul''12 SP'!E9/'Jul''12 SP'!E10*'Jul''12 SP'!E16/100)*'Jul''12 SP'!E10)</f>
        <v>326.88730800000002</v>
      </c>
      <c r="D75" s="59">
        <f>IF($F5*'Jul''12 SP'!F9/'Jul''12 SP'!F10&gt;='Jul''12 SP'!F11,('Jul''12 SP'!F11*'Jul''12 SP'!F16/100)*'Jul''12 SP'!F10,($F5*'Jul''12 SP'!F9/'Jul''12 SP'!F10*'Jul''12 SP'!F16/100)*'Jul''12 SP'!F10)</f>
        <v>222.74560000000002</v>
      </c>
      <c r="E75" s="59">
        <f>IF($F5*'Jul''12 SP'!G9/'Jul''12 SP'!G10&gt;='Jul''12 SP'!G11,('Jul''12 SP'!G11*'Jul''12 SP'!G16/100)*'Jul''12 SP'!G10,($F5*'Jul''12 SP'!G9/'Jul''12 SP'!G10*'Jul''12 SP'!G16/100)*'Jul''12 SP'!G10)</f>
        <v>229.94048000000004</v>
      </c>
      <c r="F75" s="59">
        <f>IF($F5*'Jul''12 SP'!H9/'Jul''12 SP'!H10&gt;='Jul''12 SP'!H11,('Jul''12 SP'!H11*'Jul''12 SP'!H16/100)*'Jul''12 SP'!H10,($F5*'Jul''12 SP'!H9/'Jul''12 SP'!H10*'Jul''12 SP'!H16/100)*'Jul''12 SP'!H10)</f>
        <v>231.68</v>
      </c>
      <c r="G75" s="59">
        <f>IF($F5*'Jul''12 SP'!I9/'Jul''12 SP'!I10&gt;='Jul''12 SP'!I11,('Jul''12 SP'!I11*'Jul''12 SP'!I16/100)*'Jul''12 SP'!I10,($F5*'Jul''12 SP'!I9/'Jul''12 SP'!I10*'Jul''12 SP'!I16/100)*'Jul''12 SP'!I10)</f>
        <v>242.17599999999999</v>
      </c>
      <c r="H75" s="59">
        <f>IF($F5*'Jul''12 SP'!J9/'Jul''12 SP'!J10&gt;='Jul''12 SP'!J11,('Jul''12 SP'!J11*'Jul''12 SP'!J16/100)*'Jul''12 SP'!J10,($F5*'Jul''12 SP'!J9/'Jul''12 SP'!J10*'Jul''12 SP'!J16/100)*'Jul''12 SP'!J10)</f>
        <v>239.36</v>
      </c>
      <c r="I75" s="59">
        <f>IF($F5*'Jul''12 SP'!K9/'Jul''12 SP'!K10&gt;='Jul''12 SP'!K11,('Jul''12 SP'!K11*'Jul''12 SP'!K16/100)*'Jul''12 SP'!K10,($F5*'Jul''12 SP'!K9/'Jul''12 SP'!K10*'Jul''12 SP'!K16/100)*'Jul''12 SP'!K10)</f>
        <v>232.32</v>
      </c>
      <c r="J75" s="63"/>
    </row>
    <row r="76" spans="1:10" x14ac:dyDescent="0.15">
      <c r="A76" s="40" t="s">
        <v>608</v>
      </c>
      <c r="C76" s="59">
        <f>IF($F5*'Jul''12 SP'!E9/'Jul''12 SP'!E10&lt;'Jul''12 SP'!E11,0,IF($F5*'Jul''12 SP'!E9/'Jul''12 SP'!E10&lt;='Jul''12 SP'!E12,($F5*'Jul''12 SP'!E9/'Jul''12 SP'!E10-'Jul''12 SP'!E11)*('Jul''12 SP'!E17/100)*'Jul''12 SP'!E10,('Jul''12 SP'!E12-'Jul''12 SP'!E11)*('Jul''12 SP'!E17/100)*'Jul''12 SP'!E10))</f>
        <v>0</v>
      </c>
      <c r="D76" s="59">
        <f>IF($F5*'Jul''12 SP'!F9/'Jul''12 SP'!F10&lt;'Jul''12 SP'!F11,0,IF($F5*'Jul''12 SP'!F9/'Jul''12 SP'!F10&lt;='Jul''12 SP'!F12,($F5*'Jul''12 SP'!F9/'Jul''12 SP'!F10-'Jul''12 SP'!F11)*('Jul''12 SP'!F17/100)*'Jul''12 SP'!F10,('Jul''12 SP'!F12-'Jul''12 SP'!F11)*('Jul''12 SP'!F17/100)*'Jul''12 SP'!F10))</f>
        <v>0</v>
      </c>
      <c r="E76" s="59">
        <f>IF($F5*'Jul''12 SP'!G9/'Jul''12 SP'!G10&lt;'Jul''12 SP'!G11,0,IF($F5*'Jul''12 SP'!G9/'Jul''12 SP'!G10&lt;='Jul''12 SP'!G12,($F5*'Jul''12 SP'!G9/'Jul''12 SP'!G10-'Jul''12 SP'!G11)*('Jul''12 SP'!G17/100)*'Jul''12 SP'!G10,('Jul''12 SP'!G12-'Jul''12 SP'!G11)*('Jul''12 SP'!G17/100)*'Jul''12 SP'!G10))</f>
        <v>0</v>
      </c>
      <c r="F76" s="59">
        <f>IF($F5*'Jul''12 SP'!H9/'Jul''12 SP'!H10&lt;'Jul''12 SP'!H11,0,IF($F5*'Jul''12 SP'!H9/'Jul''12 SP'!H10&lt;='Jul''12 SP'!H12,($F5*'Jul''12 SP'!H9/'Jul''12 SP'!H10-'Jul''12 SP'!H11)*('Jul''12 SP'!H17/100)*'Jul''12 SP'!H10,('Jul''12 SP'!H12-'Jul''12 SP'!H11)*('Jul''12 SP'!H17/100)*'Jul''12 SP'!H10))</f>
        <v>0</v>
      </c>
      <c r="G76" s="59">
        <f>IF($F5*'Jul''12 SP'!I9/'Jul''12 SP'!I10&lt;'Jul''12 SP'!I11,0,IF($F5*'Jul''12 SP'!I9/'Jul''12 SP'!I10&lt;='Jul''12 SP'!I12,($F5*'Jul''12 SP'!I9/'Jul''12 SP'!I10-'Jul''12 SP'!I11)*('Jul''12 SP'!I17/100)*'Jul''12 SP'!I10,('Jul''12 SP'!I12-'Jul''12 SP'!I11)*('Jul''12 SP'!I17/100)*'Jul''12 SP'!I10))</f>
        <v>0</v>
      </c>
      <c r="H76" s="59">
        <f>IF($F5*'Jul''12 SP'!J9/'Jul''12 SP'!J10&lt;'Jul''12 SP'!J11,0,IF($F5*'Jul''12 SP'!J9/'Jul''12 SP'!J10&lt;='Jul''12 SP'!J12,($F5*'Jul''12 SP'!J9/'Jul''12 SP'!J10-'Jul''12 SP'!J11)*('Jul''12 SP'!J17/100)*'Jul''12 SP'!J10,('Jul''12 SP'!J12-'Jul''12 SP'!J11)*('Jul''12 SP'!J17/100)*'Jul''12 SP'!J10))</f>
        <v>0</v>
      </c>
      <c r="I76" s="59">
        <f>IF($F5*'Jul''12 SP'!K9/'Jul''12 SP'!K10&lt;'Jul''12 SP'!K11,0,IF($F5*'Jul''12 SP'!K9/'Jul''12 SP'!K10&lt;='Jul''12 SP'!K12,($F5*'Jul''12 SP'!K9/'Jul''12 SP'!K10-'Jul''12 SP'!K11)*('Jul''12 SP'!K17/100)*'Jul''12 SP'!K10,('Jul''12 SP'!K12-'Jul''12 SP'!K11)*('Jul''12 SP'!K17/100)*'Jul''12 SP'!K10))</f>
        <v>0</v>
      </c>
      <c r="J76" s="63"/>
    </row>
    <row r="77" spans="1:10" x14ac:dyDescent="0.15">
      <c r="A77" s="40" t="s">
        <v>611</v>
      </c>
      <c r="C77" s="59">
        <f>IF(($F5*'Jul''12 SP'!E9/'Jul''12 SP'!E10&gt;'Jul''12 SP'!E12),($F5*'Jul''12 SP'!E9/'Jul''12 SP'!E10-'Jul''12 SP'!E12)*'Jul''12 SP'!E18/100*'Jul''12 SP'!E10,0)</f>
        <v>0</v>
      </c>
      <c r="D77" s="59">
        <f>IF(($F5*'Jul''12 SP'!F9/'Jul''12 SP'!F10&gt;'Jul''12 SP'!F12),($F5*'Jul''12 SP'!F9/'Jul''12 SP'!F10-'Jul''12 SP'!F12)*'Jul''12 SP'!F18/100*'Jul''12 SP'!F10,0)</f>
        <v>109.899064</v>
      </c>
      <c r="E77" s="59">
        <f>IF(($F5*'Jul''12 SP'!G9/'Jul''12 SP'!G10&gt;'Jul''12 SP'!G12),($F5*'Jul''12 SP'!G9/'Jul''12 SP'!G10-'Jul''12 SP'!G12)*'Jul''12 SP'!G18/100*'Jul''12 SP'!G10,0)</f>
        <v>112.2664862</v>
      </c>
      <c r="F77" s="59">
        <f>IF(($F5*'Jul''12 SP'!H9/'Jul''12 SP'!H10&gt;'Jul''12 SP'!H12),($F5*'Jul''12 SP'!H9/'Jul''12 SP'!H10-'Jul''12 SP'!H12)*'Jul''12 SP'!H18/100*'Jul''12 SP'!H10,0)</f>
        <v>115.88780000000001</v>
      </c>
      <c r="G77" s="59">
        <f>IF(($F5*'Jul''12 SP'!I9/'Jul''12 SP'!I10&gt;'Jul''12 SP'!I12),($F5*'Jul''12 SP'!I9/'Jul''12 SP'!I10-'Jul''12 SP'!I12)*'Jul''12 SP'!I18/100*'Jul''12 SP'!I10,0)</f>
        <v>119.95467000000001</v>
      </c>
      <c r="H77" s="59">
        <f>IF(($F5*'Jul''12 SP'!J9/'Jul''12 SP'!J10&gt;'Jul''12 SP'!J12),($F5*'Jul''12 SP'!J9/'Jul''12 SP'!J10-'Jul''12 SP'!J12)*'Jul''12 SP'!J18/100*'Jul''12 SP'!J10,0)</f>
        <v>113.80038</v>
      </c>
      <c r="I77" s="59">
        <f>IF(($F5*'Jul''12 SP'!K9/'Jul''12 SP'!K10&gt;'Jul''12 SP'!K12),($F5*'Jul''12 SP'!K9/'Jul''12 SP'!K10-'Jul''12 SP'!K12)*'Jul''12 SP'!K18/100*'Jul''12 SP'!K10,0)</f>
        <v>112.43276</v>
      </c>
      <c r="J77" s="63"/>
    </row>
    <row r="78" spans="1:10" x14ac:dyDescent="0.15">
      <c r="A78" s="40" t="s">
        <v>612</v>
      </c>
      <c r="C78" s="59">
        <f>365*'Jul''12 SP'!E19/100</f>
        <v>202.6772</v>
      </c>
      <c r="D78" s="59">
        <f>365*'Jul''12 SP'!F19/100</f>
        <v>206.0498</v>
      </c>
      <c r="E78" s="59">
        <f>365*'Jul''12 SP'!G19/100</f>
        <v>207.21415000000002</v>
      </c>
      <c r="F78" s="59">
        <f>365*'Jul''12 SP'!H19/100</f>
        <v>205.203</v>
      </c>
      <c r="G78" s="59">
        <f>365*'Jul''12 SP'!I19/100</f>
        <v>224.39834999999999</v>
      </c>
      <c r="H78" s="59">
        <f>365*'Jul''12 SP'!J19/100</f>
        <v>221.19</v>
      </c>
      <c r="I78" s="59">
        <f>365*'Jul''12 SP'!K19/100</f>
        <v>184.69</v>
      </c>
      <c r="J78" s="60">
        <f>AVERAGE(C78:I78)</f>
        <v>207.34607142857143</v>
      </c>
    </row>
    <row r="79" spans="1:10" x14ac:dyDescent="0.15">
      <c r="A79" s="62" t="s">
        <v>613</v>
      </c>
      <c r="B79" s="63"/>
      <c r="C79" s="61">
        <f t="shared" ref="C79:H79" si="5">SUM(C72:C78)</f>
        <v>721.71529099999998</v>
      </c>
      <c r="D79" s="61">
        <f t="shared" si="5"/>
        <v>741.186149</v>
      </c>
      <c r="E79" s="61">
        <f t="shared" si="5"/>
        <v>745.73226970000007</v>
      </c>
      <c r="F79" s="61">
        <f t="shared" si="5"/>
        <v>748.63229999999999</v>
      </c>
      <c r="G79" s="61">
        <f t="shared" si="5"/>
        <v>799.57499600000006</v>
      </c>
      <c r="H79" s="61">
        <f t="shared" si="5"/>
        <v>775.49180000000001</v>
      </c>
      <c r="I79" s="61">
        <f>SUM(I72:I78)</f>
        <v>734.24439000000007</v>
      </c>
      <c r="J79" s="64">
        <f>AVERAGE(C79:I79)</f>
        <v>752.36817081428569</v>
      </c>
    </row>
    <row r="81" spans="1:10" x14ac:dyDescent="0.15">
      <c r="A81" s="53" t="s">
        <v>1032</v>
      </c>
      <c r="C81" s="23" t="s">
        <v>1044</v>
      </c>
      <c r="D81" s="23" t="s">
        <v>591</v>
      </c>
      <c r="E81" s="23" t="s">
        <v>555</v>
      </c>
      <c r="F81" s="23" t="s">
        <v>544</v>
      </c>
      <c r="G81" s="23" t="s">
        <v>615</v>
      </c>
      <c r="H81" s="23" t="s">
        <v>546</v>
      </c>
      <c r="I81" s="23" t="s">
        <v>545</v>
      </c>
      <c r="J81" s="57" t="s">
        <v>601</v>
      </c>
    </row>
    <row r="82" spans="1:10" x14ac:dyDescent="0.15">
      <c r="A82" s="40" t="s">
        <v>602</v>
      </c>
      <c r="C82" s="59">
        <f>IF($F5*'Jul''12 SP'!E23/'Jul''12 SP'!E24&gt;='Jul''12 SP'!E27,('Jul''12 SP'!E27*'Jul''12 SP'!E29/100)*'Jul''12 SP'!E24,($F5*'Jul''12 SP'!E23/'Jul''12 SP'!E24*'Jul''12 SP'!E29/100)*'Jul''12 SP'!E24)</f>
        <v>206.99929799999998</v>
      </c>
      <c r="D82" s="59">
        <f>IF($F5*'Jul''12 SP'!F23/'Jul''12 SP'!F24&gt;='Jul''12 SP'!F27,('Jul''12 SP'!F27*'Jul''12 SP'!F29/100)*'Jul''12 SP'!F24,($F5*'Jul''12 SP'!F23/'Jul''12 SP'!F24*'Jul''12 SP'!F29/100)*'Jul''12 SP'!F24)</f>
        <v>165.39599999999999</v>
      </c>
      <c r="E82" s="59">
        <f>IF($F5*'Jul''12 SP'!G23/'Jul''12 SP'!G24&gt;='Jul''12 SP'!G27,('Jul''12 SP'!G27*'Jul''12 SP'!G29/100)*'Jul''12 SP'!G24,($F5*'Jul''12 SP'!G23/'Jul''12 SP'!G24*'Jul''12 SP'!G29/100)*'Jul''12 SP'!G24)</f>
        <v>147.63210000000001</v>
      </c>
      <c r="F82" s="59">
        <f>IF($F5*'Jul''12 SP'!H23/'Jul''12 SP'!H24&gt;='Jul''12 SP'!H27,('Jul''12 SP'!H27*'Jul''12 SP'!H29/100)*'Jul''12 SP'!H24,($F5*'Jul''12 SP'!H23/'Jul''12 SP'!H24*'Jul''12 SP'!H29/100)*'Jul''12 SP'!H24)</f>
        <v>150.5</v>
      </c>
      <c r="G82" s="59">
        <f>IF($F5*'Jul''12 SP'!I23/'Jul''12 SP'!I24&gt;='Jul''12 SP'!I27,('Jul''12 SP'!I27*'Jul''12 SP'!I29/100)*'Jul''12 SP'!I24,($F5*'Jul''12 SP'!I23/'Jul''12 SP'!I24*'Jul''12 SP'!I29/100)*'Jul''12 SP'!I24)</f>
        <v>163.23999999999998</v>
      </c>
      <c r="H82" s="59">
        <f>IF($F5*'Jul''12 SP'!J23/'Jul''12 SP'!J24&gt;='Jul''12 SP'!J27,('Jul''12 SP'!J27*'Jul''12 SP'!J29/100)*'Jul''12 SP'!J24,($F5*'Jul''12 SP'!J23/'Jul''12 SP'!J24*'Jul''12 SP'!J29/100)*'Jul''12 SP'!J24)</f>
        <v>153.72000000000003</v>
      </c>
      <c r="I82" s="59">
        <f>IF($F5*'Jul''12 SP'!K23/'Jul''12 SP'!K24&gt;='Jul''12 SP'!K27,('Jul''12 SP'!K27*'Jul''12 SP'!K29/100)*'Jul''12 SP'!K24,($F5*'Jul''12 SP'!K23/'Jul''12 SP'!K24*'Jul''12 SP'!K29/100)*'Jul''12 SP'!K24)</f>
        <v>167.86</v>
      </c>
      <c r="J82" s="63"/>
    </row>
    <row r="83" spans="1:10" x14ac:dyDescent="0.15">
      <c r="A83" s="40" t="s">
        <v>603</v>
      </c>
      <c r="C83" s="59">
        <f>IF($F5*'Jul''12 SP'!E23/'Jul''12 SP'!E24&lt;'Jul''12 SP'!E27,0,IF($F5*'Jul''12 SP'!E23/'Jul''12 SP'!E24&lt;='Jul''12 SP'!E28,($F5*'Jul''12 SP'!E23/'Jul''12 SP'!E24-'Jul''12 SP'!E27)*('Jul''12 SP'!E30/100)*'Jul''12 SP'!E24,('Jul''12 SP'!E28-'Jul''12 SP'!E27)*('Jul''12 SP'!E30/100)*'Jul''12 SP'!E24))</f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63"/>
    </row>
    <row r="84" spans="1:10" x14ac:dyDescent="0.15">
      <c r="A84" s="40" t="s">
        <v>606</v>
      </c>
      <c r="C84" s="59">
        <f>IF(($F5*'Jul''12 SP'!E23/'Jul''12 SP'!E24&gt;'Jul''12 SP'!E28),($F5*'Jul''12 SP'!E23/'Jul''12 SP'!E24-'Jul''12 SP'!E28)*'Jul''12 SP'!E31/100*'Jul''12 SP'!E24,0)</f>
        <v>0</v>
      </c>
      <c r="D84" s="59">
        <f>IF(($F5*'Jul''12 SP'!F23/'Jul''12 SP'!F24&gt;'Jul''12 SP'!F28),($F5*'Jul''12 SP'!F23/'Jul''12 SP'!F24-'Jul''12 SP'!F28)*'Jul''12 SP'!F31/100*'Jul''12 SP'!F24,0)</f>
        <v>56.411189999999998</v>
      </c>
      <c r="E84" s="59">
        <f>IF(($F5*'Jul''12 SP'!G23/'Jul''12 SP'!G24&gt;'Jul''12 SP'!G28),($F5*'Jul''12 SP'!G23/'Jul''12 SP'!G24-'Jul''12 SP'!G28)*'Jul''12 SP'!G31/100*'Jul''12 SP'!G24,0)</f>
        <v>55.510590300000004</v>
      </c>
      <c r="F84" s="59">
        <f>IF(($F5*'Jul''12 SP'!H23/'Jul''12 SP'!H24&gt;'Jul''12 SP'!H28),($F5*'Jul''12 SP'!H23/'Jul''12 SP'!H24-'Jul''12 SP'!H28)*'Jul''12 SP'!H31/100*'Jul''12 SP'!H24,0)</f>
        <v>58.7804</v>
      </c>
      <c r="G84" s="59">
        <f>IF(($F5*'Jul''12 SP'!I23/'Jul''12 SP'!I24&gt;'Jul''12 SP'!I28),($F5*'Jul''12 SP'!I23/'Jul''12 SP'!I24-'Jul''12 SP'!I28)*'Jul''12 SP'!I31/100*'Jul''12 SP'!I24,0)</f>
        <v>62.316221000000006</v>
      </c>
      <c r="H84" s="59">
        <f>IF(($F5*'Jul''12 SP'!J23/'Jul''12 SP'!J24&gt;'Jul''12 SP'!J28),($F5*'Jul''12 SP'!J23/'Jul''12 SP'!J24-'Jul''12 SP'!J28)*'Jul''12 SP'!J31/100*'Jul''12 SP'!J24,0)</f>
        <v>59.380199999999995</v>
      </c>
      <c r="I84" s="59">
        <f>IF(($F5*'Jul''12 SP'!K23/'Jul''12 SP'!K24&gt;'Jul''12 SP'!K28),($F5*'Jul''12 SP'!K23/'Jul''12 SP'!K24-'Jul''12 SP'!K28)*'Jul''12 SP'!K31/100*'Jul''12 SP'!K24,0)</f>
        <v>55.091629999999995</v>
      </c>
      <c r="J84" s="63"/>
    </row>
    <row r="85" spans="1:10" x14ac:dyDescent="0.15">
      <c r="A85" s="40" t="s">
        <v>607</v>
      </c>
      <c r="C85" s="59">
        <f>IF($F5*'Jul''12 SP'!E25/'Jul''12 SP'!E26&gt;='Jul''12 SP'!E27,('Jul''12 SP'!E27*'Jul''12 SP'!E32/100)*'Jul''12 SP'!E26,($F5*'Jul''12 SP'!E25/'Jul''12 SP'!E26*'Jul''12 SP'!E32/100)*'Jul''12 SP'!E26)</f>
        <v>369.12308400000001</v>
      </c>
      <c r="D85" s="59">
        <f>IF($F5*'Jul''12 SP'!F25/'Jul''12 SP'!F26&gt;='Jul''12 SP'!F27,('Jul''12 SP'!F27*'Jul''12 SP'!F32/100)*'Jul''12 SP'!F26,($F5*'Jul''12 SP'!F25/'Jul''12 SP'!F26*'Jul''12 SP'!F32/100)*'Jul''12 SP'!F26)</f>
        <v>259.952</v>
      </c>
      <c r="E85" s="59">
        <f>IF($F5*'Jul''12 SP'!G25/'Jul''12 SP'!G26&gt;='Jul''12 SP'!G27,('Jul''12 SP'!G27*'Jul''12 SP'!G32/100)*'Jul''12 SP'!G26,($F5*'Jul''12 SP'!G25/'Jul''12 SP'!G26*'Jul''12 SP'!G32/100)*'Jul''12 SP'!G26)</f>
        <v>251.22020000000001</v>
      </c>
      <c r="F85" s="59">
        <f>IF($F5*'Jul''12 SP'!H25/'Jul''12 SP'!H26&gt;='Jul''12 SP'!H27,('Jul''12 SP'!H27*'Jul''12 SP'!H32/100)*'Jul''12 SP'!H26,($F5*'Jul''12 SP'!H25/'Jul''12 SP'!H26*'Jul''12 SP'!H32/100)*'Jul''12 SP'!H26)</f>
        <v>259</v>
      </c>
      <c r="G85" s="59">
        <f>IF($F5*'Jul''12 SP'!I25/'Jul''12 SP'!I26&gt;='Jul''12 SP'!I27,('Jul''12 SP'!I27*'Jul''12 SP'!I32/100)*'Jul''12 SP'!I26,($F5*'Jul''12 SP'!I25/'Jul''12 SP'!I26*'Jul''12 SP'!I32/100)*'Jul''12 SP'!I26)</f>
        <v>267.95999999999998</v>
      </c>
      <c r="H85" s="59">
        <f>IF($F5*'Jul''12 SP'!J25/'Jul''12 SP'!J26&gt;='Jul''12 SP'!J27,('Jul''12 SP'!J27*'Jul''12 SP'!J32/100)*'Jul''12 SP'!J26,($F5*'Jul''12 SP'!J25/'Jul''12 SP'!J26*'Jul''12 SP'!J32/100)*'Jul''12 SP'!J26)</f>
        <v>279.86</v>
      </c>
      <c r="I85" s="59">
        <f>IF($F5*'Jul''12 SP'!K25/'Jul''12 SP'!K26&gt;='Jul''12 SP'!K27,('Jul''12 SP'!K27*'Jul''12 SP'!K32/100)*'Jul''12 SP'!K26,($F5*'Jul''12 SP'!K25/'Jul''12 SP'!K26*'Jul''12 SP'!K32/100)*'Jul''12 SP'!K26)</f>
        <v>278.74</v>
      </c>
      <c r="J85" s="63"/>
    </row>
    <row r="86" spans="1:10" x14ac:dyDescent="0.15">
      <c r="A86" s="40" t="s">
        <v>608</v>
      </c>
      <c r="C86" s="59">
        <f>IF($F5*'Jul''12 SP'!E25/'Jul''12 SP'!E26&lt;'Jul''12 SP'!E27,0,IF($F5*'Jul''12 SP'!E25/'Jul''12 SP'!E26&lt;='Jul''12 SP'!E28,($F5*'Jul''12 SP'!E25/'Jul''12 SP'!E26-'Jul''12 SP'!E27)*('Jul''12 SP'!E33/100)*'Jul''12 SP'!E26,('Jul''12 SP'!E28-'Jul''12 SP'!E27)*('Jul''12 SP'!E33/100)*'Jul''12 SP'!E26))</f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63"/>
    </row>
    <row r="87" spans="1:10" x14ac:dyDescent="0.15">
      <c r="A87" s="40" t="s">
        <v>611</v>
      </c>
      <c r="C87" s="59">
        <f>IF(($F5*'Jul''12 SP'!E25/'Jul''12 SP'!E26&gt;'Jul''12 SP'!E28),($F5*'Jul''12 SP'!E25/'Jul''12 SP'!E26-'Jul''12 SP'!E28)*'Jul''12 SP'!E34/100*'Jul''12 SP'!E26,0)</f>
        <v>0</v>
      </c>
      <c r="D87" s="59">
        <f>IF(($F5*'Jul''12 SP'!F25/'Jul''12 SP'!F26&gt;'Jul''12 SP'!F28),($F5*'Jul''12 SP'!F25/'Jul''12 SP'!F26-'Jul''12 SP'!F28)*'Jul''12 SP'!F34/100*'Jul''12 SP'!F26,0)</f>
        <v>95.800055999999998</v>
      </c>
      <c r="E87" s="59">
        <f>IF(($F5*'Jul''12 SP'!G25/'Jul''12 SP'!G26&gt;'Jul''12 SP'!G28),($F5*'Jul''12 SP'!G25/'Jul''12 SP'!G26-'Jul''12 SP'!G28)*'Jul''12 SP'!G34/100*'Jul''12 SP'!G26,0)</f>
        <v>100.814384</v>
      </c>
      <c r="F87" s="59">
        <f>IF(($F5*'Jul''12 SP'!H25/'Jul''12 SP'!H26&gt;'Jul''12 SP'!H28),($F5*'Jul''12 SP'!H25/'Jul''12 SP'!H26-'Jul''12 SP'!H28)*'Jul''12 SP'!H34/100*'Jul''12 SP'!H26,0)</f>
        <v>98.966999999999985</v>
      </c>
      <c r="G87" s="59">
        <f>IF(($F5*'Jul''12 SP'!I25/'Jul''12 SP'!I26&gt;'Jul''12 SP'!I28),($F5*'Jul''12 SP'!I25/'Jul''12 SP'!I26-'Jul''12 SP'!I28)*'Jul''12 SP'!I34/100*'Jul''12 SP'!I26,0)</f>
        <v>110.44717199999999</v>
      </c>
      <c r="H87" s="59">
        <f>IF(($F5*'Jul''12 SP'!J25/'Jul''12 SP'!J26&gt;'Jul''12 SP'!J28),($F5*'Jul''12 SP'!J25/'Jul''12 SP'!J26-'Jul''12 SP'!J28)*'Jul''12 SP'!J34/100*'Jul''12 SP'!J26,0)</f>
        <v>108.32388</v>
      </c>
      <c r="I87" s="59">
        <f>IF(($F5*'Jul''12 SP'!K25/'Jul''12 SP'!K26&gt;'Jul''12 SP'!K28),($F5*'Jul''12 SP'!K25/'Jul''12 SP'!K26-'Jul''12 SP'!K28)*'Jul''12 SP'!K34/100*'Jul''12 SP'!K26,0)</f>
        <v>96.987659999999991</v>
      </c>
      <c r="J87" s="63"/>
    </row>
    <row r="88" spans="1:10" x14ac:dyDescent="0.15">
      <c r="A88" s="40" t="s">
        <v>612</v>
      </c>
      <c r="C88" s="59">
        <f>365*'Jul''12 SP'!E35/100</f>
        <v>189.02619999999999</v>
      </c>
      <c r="D88" s="59">
        <f>365*'Jul''12 SP'!F35/100</f>
        <v>203.15899999999999</v>
      </c>
      <c r="E88" s="59">
        <f>365*'Jul''12 SP'!G35/100</f>
        <v>203.60064999999997</v>
      </c>
      <c r="F88" s="59">
        <f>365*'Jul''12 SP'!H35/100</f>
        <v>199.29</v>
      </c>
      <c r="G88" s="59">
        <f>365*'Jul''12 SP'!I35/100</f>
        <v>226.48615000000001</v>
      </c>
      <c r="H88" s="59">
        <f>365*'Jul''12 SP'!J35/100</f>
        <v>216.44499999999999</v>
      </c>
      <c r="I88" s="59">
        <f>365*'Jul''12 SP'!K35/100</f>
        <v>180.67500000000001</v>
      </c>
      <c r="J88" s="60">
        <f>AVERAGE(C88:I88)</f>
        <v>202.66885714285712</v>
      </c>
    </row>
    <row r="89" spans="1:10" x14ac:dyDescent="0.15">
      <c r="A89" s="62" t="s">
        <v>613</v>
      </c>
      <c r="B89" s="63"/>
      <c r="C89" s="61">
        <f t="shared" ref="C89:H89" si="6">SUM(C82:C88)</f>
        <v>765.14858200000003</v>
      </c>
      <c r="D89" s="61">
        <f t="shared" si="6"/>
        <v>780.71824600000002</v>
      </c>
      <c r="E89" s="61">
        <f t="shared" si="6"/>
        <v>758.7779243</v>
      </c>
      <c r="F89" s="61">
        <f t="shared" si="6"/>
        <v>766.53739999999993</v>
      </c>
      <c r="G89" s="61">
        <f t="shared" si="6"/>
        <v>830.44954299999995</v>
      </c>
      <c r="H89" s="61">
        <f t="shared" si="6"/>
        <v>817.72908000000007</v>
      </c>
      <c r="I89" s="61">
        <f>SUM(I82:I88)</f>
        <v>779.35428999999999</v>
      </c>
      <c r="J89" s="64">
        <f>AVERAGE(C89:I89)</f>
        <v>785.53072361428565</v>
      </c>
    </row>
    <row r="91" spans="1:10" x14ac:dyDescent="0.15">
      <c r="A91" s="53" t="s">
        <v>1034</v>
      </c>
      <c r="C91" s="23" t="s">
        <v>1044</v>
      </c>
      <c r="D91" s="23" t="s">
        <v>591</v>
      </c>
      <c r="E91" s="23" t="s">
        <v>555</v>
      </c>
      <c r="F91" s="23" t="s">
        <v>544</v>
      </c>
      <c r="G91" s="23" t="s">
        <v>615</v>
      </c>
      <c r="H91" s="23" t="s">
        <v>546</v>
      </c>
      <c r="I91" s="23" t="s">
        <v>545</v>
      </c>
      <c r="J91" s="57" t="s">
        <v>601</v>
      </c>
    </row>
    <row r="92" spans="1:10" x14ac:dyDescent="0.15">
      <c r="A92" s="40" t="s">
        <v>602</v>
      </c>
      <c r="C92" s="59">
        <f>IF($F5*'Jul''12 SP'!E39/'Jul''12 SP'!E40&gt;='Jul''12 SP'!E43,('Jul''12 SP'!E43*'Jul''12 SP'!E45/100)*'Jul''12 SP'!E40,($F5*'Jul''12 SP'!E39/'Jul''12 SP'!E40*'Jul''12 SP'!E45/100)*'Jul''12 SP'!E40)</f>
        <v>206.55934199999999</v>
      </c>
      <c r="D92" s="59">
        <f>IF($F5*'Jul''12 SP'!F39/'Jul''12 SP'!F40&gt;='Jul''12 SP'!F43,('Jul''12 SP'!F43*'Jul''12 SP'!F45/100)*'Jul''12 SP'!F40,($F5*'Jul''12 SP'!F39/'Jul''12 SP'!F40*'Jul''12 SP'!F45/100)*'Jul''12 SP'!F40)</f>
        <v>152.4864</v>
      </c>
      <c r="E92" s="59">
        <f>IF($F5*'Jul''12 SP'!G39/'Jul''12 SP'!G40&gt;='Jul''12 SP'!G43,('Jul''12 SP'!G43*'Jul''12 SP'!G45/100)*'Jul''12 SP'!G40,($F5*'Jul''12 SP'!G39/'Jul''12 SP'!G40*'Jul''12 SP'!G45/100)*'Jul''12 SP'!G40)</f>
        <v>145.31968000000001</v>
      </c>
      <c r="F92" s="59">
        <f>IF($F5*'Jul''12 SP'!H39/'Jul''12 SP'!H40&gt;='Jul''12 SP'!H43,('Jul''12 SP'!H43*'Jul''12 SP'!H45/100)*'Jul''12 SP'!H40,($F5*'Jul''12 SP'!H39/'Jul''12 SP'!H40*'Jul''12 SP'!H45/100)*'Jul''12 SP'!H40)</f>
        <v>144.63999999999999</v>
      </c>
      <c r="G92" s="59">
        <f>IF($F5*'Jul''12 SP'!I39/'Jul''12 SP'!I40&gt;='Jul''12 SP'!I43,('Jul''12 SP'!I43*'Jul''12 SP'!I45/100)*'Jul''12 SP'!I40,($F5*'Jul''12 SP'!I39/'Jul''12 SP'!I40*'Jul''12 SP'!I45/100)*'Jul''12 SP'!I40)</f>
        <v>156.92160000000001</v>
      </c>
      <c r="H92" s="59">
        <f>IF($F5*'Jul''12 SP'!J39/'Jul''12 SP'!J40&gt;='Jul''12 SP'!J43,('Jul''12 SP'!J43*'Jul''12 SP'!J45/100)*'Jul''12 SP'!J40,($F5*'Jul''12 SP'!J39/'Jul''12 SP'!J40*'Jul''12 SP'!J45/100)*'Jul''12 SP'!J40)</f>
        <v>151.16800000000001</v>
      </c>
      <c r="I92" s="59">
        <f>IF($F5*'Jul''12 SP'!K39/'Jul''12 SP'!K40&gt;='Jul''12 SP'!K43,('Jul''12 SP'!K43*'Jul''12 SP'!K45/100)*'Jul''12 SP'!K40,($F5*'Jul''12 SP'!K39/'Jul''12 SP'!K40*'Jul''12 SP'!K45/100)*'Jul''12 SP'!K40)</f>
        <v>149.952</v>
      </c>
      <c r="J92" s="63"/>
    </row>
    <row r="93" spans="1:10" x14ac:dyDescent="0.15">
      <c r="A93" s="40" t="s">
        <v>603</v>
      </c>
      <c r="C93" s="59">
        <f>IF($F5*'Jul''12 SP'!E39/'Jul''12 SP'!E40&lt;'Jul''12 SP'!E43,0,IF($F5*'Jul''12 SP'!E39/'Jul''12 SP'!E40&lt;='Jul''12 SP'!E44,($F5*'Jul''12 SP'!E39/'Jul''12 SP'!E40-'Jul''12 SP'!E43)*('Jul''12 SP'!E46/100)*'Jul''12 SP'!E40,('Jul''12 SP'!E44-'Jul''12 SP'!E43)*('Jul''12 SP'!E46/100)*'Jul''12 SP'!E40))</f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63"/>
    </row>
    <row r="94" spans="1:10" x14ac:dyDescent="0.15">
      <c r="A94" s="40" t="s">
        <v>606</v>
      </c>
      <c r="C94" s="59">
        <f>IF(($F5*'Jul''12 SP'!E39/'Jul''12 SP'!E40&gt;'Jul''12 SP'!E44),($F5*'Jul''12 SP'!E39/'Jul''12 SP'!E40-'Jul''12 SP'!E44)*'Jul''12 SP'!E47/100*'Jul''12 SP'!E40,0)</f>
        <v>0</v>
      </c>
      <c r="D94" s="59">
        <f>IF(($F5*'Jul''12 SP'!F39/'Jul''12 SP'!F40&gt;'Jul''12 SP'!F44),($F5*'Jul''12 SP'!F39/'Jul''12 SP'!F40-'Jul''12 SP'!F44)*'Jul''12 SP'!F47/100*'Jul''12 SP'!F40,0)</f>
        <v>64.846782000000005</v>
      </c>
      <c r="E94" s="59">
        <f>IF(($F5*'Jul''12 SP'!G39/'Jul''12 SP'!G40&gt;'Jul''12 SP'!G44),($F5*'Jul''12 SP'!G39/'Jul''12 SP'!G40-'Jul''12 SP'!G44)*'Jul''12 SP'!G47/100*'Jul''12 SP'!G40,0)</f>
        <v>66.5411912</v>
      </c>
      <c r="F94" s="59">
        <f>IF(($F5*'Jul''12 SP'!H39/'Jul''12 SP'!H40&gt;'Jul''12 SP'!H44),($F5*'Jul''12 SP'!H39/'Jul''12 SP'!H40-'Jul''12 SP'!H44)*'Jul''12 SP'!H47/100*'Jul''12 SP'!H40,0)</f>
        <v>65.141900000000007</v>
      </c>
      <c r="G94" s="59">
        <f>IF(($F5*'Jul''12 SP'!I39/'Jul''12 SP'!I40&gt;'Jul''12 SP'!I44),($F5*'Jul''12 SP'!I39/'Jul''12 SP'!I40-'Jul''12 SP'!I44)*'Jul''12 SP'!I47/100*'Jul''12 SP'!I40,0)</f>
        <v>70.38924200000001</v>
      </c>
      <c r="H94" s="59">
        <f>IF(($F5*'Jul''12 SP'!J39/'Jul''12 SP'!J40&gt;'Jul''12 SP'!J44),($F5*'Jul''12 SP'!J39/'Jul''12 SP'!J40-'Jul''12 SP'!J44)*'Jul''12 SP'!J47/100*'Jul''12 SP'!J40,0)</f>
        <v>68.237039999999993</v>
      </c>
      <c r="I94" s="59">
        <f>IF(($F5*'Jul''12 SP'!K39/'Jul''12 SP'!K40&gt;'Jul''12 SP'!K44),($F5*'Jul''12 SP'!K39/'Jul''12 SP'!K40-'Jul''12 SP'!K44)*'Jul''12 SP'!K47/100*'Jul''12 SP'!K40,0)</f>
        <v>67.697190000000006</v>
      </c>
      <c r="J94" s="63"/>
    </row>
    <row r="95" spans="1:10" x14ac:dyDescent="0.15">
      <c r="A95" s="40" t="s">
        <v>607</v>
      </c>
      <c r="C95" s="59">
        <f>IF($F5*'Jul''12 SP'!E41/'Jul''12 SP'!E42&gt;='Jul''12 SP'!E43,('Jul''12 SP'!E43*'Jul''12 SP'!E48/100)*'Jul''12 SP'!E42,($F5*'Jul''12 SP'!E41/'Jul''12 SP'!E42*'Jul''12 SP'!E48/100)*'Jul''12 SP'!E42)</f>
        <v>370.92290399999996</v>
      </c>
      <c r="D95" s="59">
        <f>IF($F5*'Jul''12 SP'!F41/'Jul''12 SP'!F42&gt;='Jul''12 SP'!F43,('Jul''12 SP'!F43*'Jul''12 SP'!F48/100)*'Jul''12 SP'!F42,($F5*'Jul''12 SP'!F41/'Jul''12 SP'!F42*'Jul''12 SP'!F48/100)*'Jul''12 SP'!F42)</f>
        <v>259.77600000000001</v>
      </c>
      <c r="E95" s="59">
        <f>IF($F5*'Jul''12 SP'!G41/'Jul''12 SP'!G42&gt;='Jul''12 SP'!G43,('Jul''12 SP'!G43*'Jul''12 SP'!G48/100)*'Jul''12 SP'!G42,($F5*'Jul''12 SP'!G41/'Jul''12 SP'!G42*'Jul''12 SP'!G48/100)*'Jul''12 SP'!G42)</f>
        <v>250.14528000000001</v>
      </c>
      <c r="F95" s="59">
        <f>IF($F5*'Jul''12 SP'!H41/'Jul''12 SP'!H42&gt;='Jul''12 SP'!H43,('Jul''12 SP'!H43*'Jul''12 SP'!H48/100)*'Jul''12 SP'!H42,($F5*'Jul''12 SP'!H41/'Jul''12 SP'!H42*'Jul''12 SP'!H48/100)*'Jul''12 SP'!H42)</f>
        <v>256</v>
      </c>
      <c r="G95" s="59">
        <f>IF($F5*'Jul''12 SP'!I41/'Jul''12 SP'!I42&gt;='Jul''12 SP'!I43,('Jul''12 SP'!I43*'Jul''12 SP'!I48/100)*'Jul''12 SP'!I42,($F5*'Jul''12 SP'!I41/'Jul''12 SP'!I42*'Jul''12 SP'!I48/100)*'Jul''12 SP'!I42)</f>
        <v>267.66079999999999</v>
      </c>
      <c r="H95" s="59">
        <f>IF($F5*'Jul''12 SP'!J41/'Jul''12 SP'!J42&gt;='Jul''12 SP'!J43,('Jul''12 SP'!J43*'Jul''12 SP'!J48/100)*'Jul''12 SP'!J42,($F5*'Jul''12 SP'!J41/'Jul''12 SP'!J42*'Jul''12 SP'!J48/100)*'Jul''12 SP'!J42)</f>
        <v>277.12</v>
      </c>
      <c r="I95" s="59">
        <f>IF($F5*'Jul''12 SP'!K41/'Jul''12 SP'!K42&gt;='Jul''12 SP'!K43,('Jul''12 SP'!K43*'Jul''12 SP'!K48/100)*'Jul''12 SP'!K42,($F5*'Jul''12 SP'!K41/'Jul''12 SP'!K42*'Jul''12 SP'!K48/100)*'Jul''12 SP'!K42)</f>
        <v>254.84800000000004</v>
      </c>
      <c r="J95" s="63"/>
    </row>
    <row r="96" spans="1:10" x14ac:dyDescent="0.15">
      <c r="A96" s="40" t="s">
        <v>608</v>
      </c>
      <c r="C96" s="59">
        <f>IF($F5*'Jul''12 SP'!E41/'Jul''12 SP'!E42&lt;'Jul''12 SP'!E43,0,IF($F5*'Jul''12 SP'!E41/'Jul''12 SP'!E42&lt;='Jul''12 SP'!E44,($F5*'Jul''12 SP'!E41/'Jul''12 SP'!E42-'Jul''12 SP'!E43)*('Jul''12 SP'!E49/100)*'Jul''12 SP'!E42,('Jul''12 SP'!E44-'Jul''12 SP'!E43)*('Jul''12 SP'!E49/100)*'Jul''12 SP'!E42))</f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63"/>
    </row>
    <row r="97" spans="1:10" x14ac:dyDescent="0.15">
      <c r="A97" s="40" t="s">
        <v>611</v>
      </c>
      <c r="C97" s="59">
        <f>IF(($F5*'Jul''12 SP'!E41/'Jul''12 SP'!E42&gt;'Jul''12 SP'!E44),($F5*'Jul''12 SP'!E41/'Jul''12 SP'!E42-'Jul''12 SP'!E44)*'Jul''12 SP'!E50/100*'Jul''12 SP'!E42,0)</f>
        <v>0</v>
      </c>
      <c r="D97" s="59">
        <f>IF(($F5*'Jul''12 SP'!F41/'Jul''12 SP'!F42&gt;'Jul''12 SP'!F44),($F5*'Jul''12 SP'!F41/'Jul''12 SP'!F42-'Jul''12 SP'!F44)*'Jul''12 SP'!F50/100*'Jul''12 SP'!F42,0)</f>
        <v>117.10426200000001</v>
      </c>
      <c r="E97" s="59">
        <f>IF(($F5*'Jul''12 SP'!G41/'Jul''12 SP'!G42&gt;'Jul''12 SP'!G44),($F5*'Jul''12 SP'!G41/'Jul''12 SP'!G42-'Jul''12 SP'!G44)*'Jul''12 SP'!G50/100*'Jul''12 SP'!G42,0)</f>
        <v>123.3514062</v>
      </c>
      <c r="F97" s="59">
        <f>IF(($F5*'Jul''12 SP'!H41/'Jul''12 SP'!H42&gt;'Jul''12 SP'!H44),($F5*'Jul''12 SP'!H41/'Jul''12 SP'!H42-'Jul''12 SP'!H44)*'Jul''12 SP'!H50/100*'Jul''12 SP'!H42,0)</f>
        <v>125.24520000000001</v>
      </c>
      <c r="G97" s="59">
        <f>IF(($F5*'Jul''12 SP'!I41/'Jul''12 SP'!I42&gt;'Jul''12 SP'!I44),($F5*'Jul''12 SP'!I41/'Jul''12 SP'!I42-'Jul''12 SP'!I44)*'Jul''12 SP'!I50/100*'Jul''12 SP'!I42,0)</f>
        <v>131.98972600000002</v>
      </c>
      <c r="H97" s="59">
        <f>IF(($F5*'Jul''12 SP'!J41/'Jul''12 SP'!J42&gt;'Jul''12 SP'!J44),($F5*'Jul''12 SP'!J41/'Jul''12 SP'!J42-'Jul''12 SP'!J44)*'Jul''12 SP'!J50/100*'Jul''12 SP'!J42,0)</f>
        <v>124.09351999999998</v>
      </c>
      <c r="I97" s="59">
        <f>IF(($F5*'Jul''12 SP'!K41/'Jul''12 SP'!K42&gt;'Jul''12 SP'!K44),($F5*'Jul''12 SP'!K41/'Jul''12 SP'!K42-'Jul''12 SP'!K44)*'Jul''12 SP'!K50/100*'Jul''12 SP'!K42,0)</f>
        <v>120.35055999999999</v>
      </c>
      <c r="J97" s="63"/>
    </row>
    <row r="98" spans="1:10" x14ac:dyDescent="0.15">
      <c r="A98" s="40" t="s">
        <v>612</v>
      </c>
      <c r="C98" s="59">
        <f>365*'Jul''12 SP'!E51/100</f>
        <v>212.31319999999999</v>
      </c>
      <c r="D98" s="59">
        <f>365*'Jul''12 SP'!F51/100</f>
        <v>211.59049999999999</v>
      </c>
      <c r="E98" s="59">
        <f>365*'Jul''12 SP'!G51/100</f>
        <v>214.44114999999999</v>
      </c>
      <c r="F98" s="59">
        <f>365*'Jul''12 SP'!H51/100</f>
        <v>210.678</v>
      </c>
      <c r="G98" s="59">
        <f>365*'Jul''12 SP'!I51/100</f>
        <v>230.17995000000002</v>
      </c>
      <c r="H98" s="59">
        <f>365*'Jul''12 SP'!J51/100</f>
        <v>221.92</v>
      </c>
      <c r="I98" s="59">
        <f>365*'Jul''12 SP'!K51/100</f>
        <v>200.75</v>
      </c>
      <c r="J98" s="65">
        <f>AVERAGE(C98:I98)</f>
        <v>214.55325714285715</v>
      </c>
    </row>
    <row r="99" spans="1:10" x14ac:dyDescent="0.15">
      <c r="A99" s="62" t="s">
        <v>613</v>
      </c>
      <c r="B99" s="63"/>
      <c r="C99" s="61">
        <f t="shared" ref="C99:H99" si="7">SUM(C92:C98)</f>
        <v>789.79544599999986</v>
      </c>
      <c r="D99" s="61">
        <f t="shared" si="7"/>
        <v>805.803944</v>
      </c>
      <c r="E99" s="61">
        <f t="shared" si="7"/>
        <v>799.79870740000001</v>
      </c>
      <c r="F99" s="61">
        <f t="shared" si="7"/>
        <v>801.70510000000002</v>
      </c>
      <c r="G99" s="61">
        <f t="shared" si="7"/>
        <v>857.14131799999996</v>
      </c>
      <c r="H99" s="61">
        <f t="shared" si="7"/>
        <v>842.53855999999996</v>
      </c>
      <c r="I99" s="61">
        <f>SUM(I92:I98)</f>
        <v>793.59775000000002</v>
      </c>
      <c r="J99" s="64">
        <f>AVERAGE(C99:I99)</f>
        <v>812.91154648571421</v>
      </c>
    </row>
    <row r="101" spans="1:10" x14ac:dyDescent="0.15">
      <c r="A101" s="63"/>
      <c r="B101" s="63"/>
      <c r="C101" s="63"/>
      <c r="D101" s="63"/>
      <c r="E101" s="63"/>
      <c r="F101" s="63"/>
      <c r="G101" s="63"/>
      <c r="H101" s="63"/>
      <c r="I101" s="63"/>
      <c r="J101" s="63"/>
    </row>
    <row r="102" spans="1:10" x14ac:dyDescent="0.15">
      <c r="A102" s="53" t="s">
        <v>490</v>
      </c>
      <c r="C102" s="23" t="s">
        <v>1044</v>
      </c>
      <c r="D102" s="23" t="s">
        <v>591</v>
      </c>
      <c r="E102" s="23" t="s">
        <v>555</v>
      </c>
      <c r="F102" s="23" t="s">
        <v>544</v>
      </c>
      <c r="G102" s="23" t="s">
        <v>615</v>
      </c>
      <c r="H102" s="23" t="s">
        <v>595</v>
      </c>
      <c r="I102" s="23" t="s">
        <v>596</v>
      </c>
    </row>
    <row r="103" spans="1:10" x14ac:dyDescent="0.15">
      <c r="A103" s="40" t="s">
        <v>491</v>
      </c>
      <c r="C103" s="24" t="s">
        <v>556</v>
      </c>
      <c r="D103" s="25" t="s">
        <v>535</v>
      </c>
      <c r="E103" s="25" t="s">
        <v>540</v>
      </c>
      <c r="F103" s="25" t="s">
        <v>494</v>
      </c>
      <c r="G103" s="25" t="s">
        <v>494</v>
      </c>
      <c r="H103" s="25" t="s">
        <v>494</v>
      </c>
      <c r="I103" s="25" t="s">
        <v>493</v>
      </c>
    </row>
    <row r="104" spans="1:10" x14ac:dyDescent="0.15">
      <c r="A104" s="40" t="s">
        <v>496</v>
      </c>
      <c r="C104" s="25" t="s">
        <v>498</v>
      </c>
      <c r="D104" s="25" t="s">
        <v>497</v>
      </c>
      <c r="E104" s="25" t="s">
        <v>526</v>
      </c>
      <c r="F104" s="25" t="s">
        <v>493</v>
      </c>
      <c r="G104" s="25" t="s">
        <v>498</v>
      </c>
      <c r="H104" s="25" t="s">
        <v>498</v>
      </c>
      <c r="I104" s="25" t="s">
        <v>527</v>
      </c>
    </row>
    <row r="105" spans="1:10" x14ac:dyDescent="0.15">
      <c r="A105" s="40" t="s">
        <v>499</v>
      </c>
      <c r="C105" s="25" t="s">
        <v>557</v>
      </c>
      <c r="D105" s="37">
        <v>22</v>
      </c>
      <c r="E105" s="37">
        <v>22</v>
      </c>
      <c r="F105" s="25" t="s">
        <v>493</v>
      </c>
      <c r="G105" s="37">
        <v>20</v>
      </c>
      <c r="H105" s="37">
        <v>80</v>
      </c>
      <c r="I105" s="37">
        <v>20</v>
      </c>
    </row>
    <row r="106" spans="1:10" x14ac:dyDescent="0.15">
      <c r="A106" s="40" t="s">
        <v>501</v>
      </c>
      <c r="C106" s="25" t="s">
        <v>494</v>
      </c>
      <c r="D106" s="24">
        <v>0.02</v>
      </c>
      <c r="E106" s="24" t="s">
        <v>540</v>
      </c>
      <c r="F106" s="24" t="s">
        <v>558</v>
      </c>
      <c r="G106" s="24" t="s">
        <v>553</v>
      </c>
      <c r="H106" s="24" t="s">
        <v>506</v>
      </c>
      <c r="I106" s="24" t="s">
        <v>506</v>
      </c>
    </row>
    <row r="107" spans="1:10" x14ac:dyDescent="0.15">
      <c r="A107" s="40" t="s">
        <v>511</v>
      </c>
      <c r="C107" s="25" t="s">
        <v>512</v>
      </c>
      <c r="D107" s="25" t="s">
        <v>500</v>
      </c>
      <c r="E107" s="25" t="s">
        <v>494</v>
      </c>
      <c r="F107" s="25" t="s">
        <v>493</v>
      </c>
      <c r="G107" s="25" t="s">
        <v>494</v>
      </c>
      <c r="H107" s="25" t="s">
        <v>494</v>
      </c>
      <c r="I107" s="25" t="s">
        <v>500</v>
      </c>
    </row>
    <row r="108" spans="1:10" x14ac:dyDescent="0.15">
      <c r="A108" s="63"/>
      <c r="B108" s="63"/>
      <c r="C108" s="63"/>
      <c r="D108" s="63"/>
      <c r="E108" s="63"/>
      <c r="F108" s="63"/>
      <c r="G108" s="63"/>
      <c r="H108" s="63"/>
      <c r="I108" s="63"/>
      <c r="J108" s="63"/>
    </row>
  </sheetData>
  <sheetProtection algorithmName="SHA-512" hashValue="/a3E521+ATy80SPhsPlh04jVzsbUWFoiahfc856OX7gi+8M4nexij6SzxC3XrsF+86/NH/9uTiDwvapFO5YD3A==" saltValue="NyfQIvGM8tZAil0vaaum9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N108"/>
  <sheetViews>
    <sheetView zoomScale="125" workbookViewId="0">
      <selection activeCell="F41" sqref="F41"/>
    </sheetView>
  </sheetViews>
  <sheetFormatPr baseColWidth="10" defaultColWidth="10.83203125" defaultRowHeight="13" x14ac:dyDescent="0.15"/>
  <cols>
    <col min="1" max="1" width="26.1640625" style="40" customWidth="1"/>
    <col min="2" max="2" width="3.1640625" style="40" customWidth="1"/>
    <col min="3" max="8" width="11.6640625" style="40" customWidth="1"/>
    <col min="9" max="9" width="13.33203125" style="40" customWidth="1"/>
    <col min="10" max="10" width="15" style="40" customWidth="1"/>
    <col min="11" max="14" width="11.6640625" style="40" customWidth="1"/>
    <col min="15" max="16384" width="10.83203125" style="40"/>
  </cols>
  <sheetData>
    <row r="1" spans="1:14" x14ac:dyDescent="0.15">
      <c r="A1" s="48" t="s">
        <v>586</v>
      </c>
    </row>
    <row r="2" spans="1:14" x14ac:dyDescent="0.15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4" x14ac:dyDescent="0.15">
      <c r="A3" s="52" t="s">
        <v>559</v>
      </c>
    </row>
    <row r="5" spans="1:14" x14ac:dyDescent="0.15">
      <c r="A5" s="53" t="s">
        <v>588</v>
      </c>
      <c r="B5" s="53"/>
      <c r="C5" s="53" t="s">
        <v>1394</v>
      </c>
      <c r="F5" s="66">
        <v>63000</v>
      </c>
    </row>
    <row r="6" spans="1:14" x14ac:dyDescent="0.15">
      <c r="C6" s="54" t="s">
        <v>589</v>
      </c>
    </row>
    <row r="7" spans="1:14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</row>
    <row r="8" spans="1:14" x14ac:dyDescent="0.15">
      <c r="J8" s="58"/>
    </row>
    <row r="9" spans="1:14" x14ac:dyDescent="0.15">
      <c r="A9" s="53" t="s">
        <v>1074</v>
      </c>
      <c r="C9" s="23" t="s">
        <v>1044</v>
      </c>
      <c r="D9" s="23" t="s">
        <v>591</v>
      </c>
      <c r="E9" s="23" t="s">
        <v>555</v>
      </c>
      <c r="F9" s="23" t="s">
        <v>544</v>
      </c>
      <c r="G9" s="23" t="s">
        <v>615</v>
      </c>
      <c r="H9" s="23" t="s">
        <v>595</v>
      </c>
      <c r="I9" s="57" t="s">
        <v>601</v>
      </c>
    </row>
    <row r="10" spans="1:14" x14ac:dyDescent="0.15">
      <c r="A10" s="40" t="s">
        <v>602</v>
      </c>
      <c r="C10" s="59">
        <f>IF($F5*'Jan''12 Multi'!E7/'Jan''12 Multi'!E8&gt;='Jan''12 Multi'!E11,('Jan''12 Multi'!E11*'Jan''12 Multi'!E15/100)*'Jan''12 Multi'!E8,($F5*'Jan''12 Multi'!E7/'Jan''12 Multi'!E8*'Jan''12 Multi'!E15/100)*'Jan''12 Multi'!E8)</f>
        <v>161.37</v>
      </c>
      <c r="D10" s="59">
        <f>IF($F5*'Jan''12 Multi'!F7/'Jan''12 Multi'!F8&gt;='Jan''12 Multi'!F11,('Jan''12 Multi'!F11*'Jan''12 Multi'!F15/100)*'Jan''12 Multi'!F8,($F5*'Jan''12 Multi'!F7/'Jan''12 Multi'!F8*'Jan''12 Multi'!F15/100)*'Jan''12 Multi'!F8)</f>
        <v>325.70999999999998</v>
      </c>
      <c r="E10" s="59">
        <f>IF($F5*'Jan''12 Multi'!G7/'Jan''12 Multi'!G8&gt;='Jan''12 Multi'!G11,('Jan''12 Multi'!G11*'Jan''12 Multi'!G15/100)*'Jan''12 Multi'!G8,($F5*'Jan''12 Multi'!G7/'Jan''12 Multi'!G8*'Jan''12 Multi'!G15/100)*'Jan''12 Multi'!G8)</f>
        <v>340.63919999999996</v>
      </c>
      <c r="F10" s="59">
        <f>IF($F5*'Jan''12 Multi'!H7/'Jan''12 Multi'!H8&gt;='Jan''12 Multi'!H11,('Jan''12 Multi'!H11*'Jan''12 Multi'!H15/100)*'Jan''12 Multi'!H8,($F5*'Jan''12 Multi'!H7/'Jan''12 Multi'!H8*'Jan''12 Multi'!H15/100)*'Jan''12 Multi'!H8)</f>
        <v>327.60000000000002</v>
      </c>
      <c r="G10" s="59">
        <f>IF($F5*'Jan''12 Multi'!I7/'Jan''12 Multi'!I8&gt;='Jan''12 Multi'!I11,('Jan''12 Multi'!I11*'Jan''12 Multi'!I15/100)*'Jan''12 Multi'!I8,($F5*'Jan''12 Multi'!I7/'Jan''12 Multi'!I8*'Jan''12 Multi'!I15/100)*'Jan''12 Multi'!I8)</f>
        <v>356.79599999999994</v>
      </c>
      <c r="H10" s="59">
        <f>IF($F5*'Jan''12 Multi'!J7/'Jan''12 Multi'!J8&gt;='Jan''12 Multi'!J11,('Jan''12 Multi'!J11*'Jan''12 Multi'!J15/100)*'Jan''12 Multi'!J8,($F5*'Jan''12 Multi'!J7/'Jan''12 Multi'!J8*'Jan''12 Multi'!J15/100)*'Jan''12 Multi'!J8)</f>
        <v>373.21920000000006</v>
      </c>
      <c r="I10" s="63"/>
    </row>
    <row r="11" spans="1:14" x14ac:dyDescent="0.15">
      <c r="A11" s="40" t="s">
        <v>603</v>
      </c>
      <c r="C11" s="59">
        <f>IF($F5*'Jan''12 Multi'!E7/'Jan''12 Multi'!E8&lt;'Jan''12 Multi'!E11,0,IF($F5*'Jan''12 Multi'!E7/'Jan''12 Multi'!E8&lt;='Jan''12 Multi'!E12,($F5*'Jan''12 Multi'!E7/'Jan''12 Multi'!E8-'Jan''12 Multi'!E11)*('Jan''12 Multi'!E16/100)*'Jan''12 Multi'!E8,('Jan''12 Multi'!E12-'Jan''12 Multi'!E11)*('Jan''12 Multi'!E16/100)*'Jan''12 Multi'!E8))</f>
        <v>137.41199999999998</v>
      </c>
      <c r="D11" s="59">
        <f>IF($F5*'Jan''12 Multi'!F7/'Jan''12 Multi'!F8&lt;'Jan''12 Multi'!F11,0,IF($F5*'Jan''12 Multi'!F7/'Jan''12 Multi'!F8&lt;='Jan''12 Multi'!F12,($F5*'Jan''12 Multi'!F7/'Jan''12 Multi'!F8-'Jan''12 Multi'!F11)*('Jan''12 Multi'!F16/100)*'Jan''12 Multi'!F8,('Jan''12 Multi'!F12-'Jan''12 Multi'!F11)*('Jan''12 Multi'!F16/100)*'Jan''12 Multi'!F8))</f>
        <v>127.116</v>
      </c>
      <c r="E11" s="59">
        <f>IF($F5*'Jan''12 Multi'!G7/'Jan''12 Multi'!G8&lt;'Jan''12 Multi'!G11,0,IF($F5*'Jan''12 Multi'!G7/'Jan''12 Multi'!G8&lt;='Jan''12 Multi'!G12,($F5*'Jan''12 Multi'!G7/'Jan''12 Multi'!G8-'Jan''12 Multi'!G11)*('Jan''12 Multi'!G16/100)*'Jan''12 Multi'!G8,('Jan''12 Multi'!G12-'Jan''12 Multi'!G11)*('Jan''12 Multi'!G16/100)*'Jan''12 Multi'!G8))</f>
        <v>118.47330000000001</v>
      </c>
      <c r="F11" s="59">
        <f>IF($F5*'Jan''12 Multi'!H7/'Jan''12 Multi'!H8&lt;'Jan''12 Multi'!H11,0,IF($F5*'Jan''12 Multi'!H7/'Jan''12 Multi'!H8&lt;='Jan''12 Multi'!H12,($F5*'Jan''12 Multi'!H7/'Jan''12 Multi'!H8-'Jan''12 Multi'!H11)*('Jan''12 Multi'!H16/100)*'Jan''12 Multi'!H8,('Jan''12 Multi'!H12-'Jan''12 Multi'!H11)*('Jan''12 Multi'!H16/100)*'Jan''12 Multi'!H8))</f>
        <v>0</v>
      </c>
      <c r="G11" s="59">
        <f>IF($F5*'Jan''12 Multi'!I7/'Jan''12 Multi'!I8&lt;'Jan''12 Multi'!I11,0,IF($F5*'Jan''12 Multi'!I7/'Jan''12 Multi'!I8&lt;='Jan''12 Multi'!I12,($F5*'Jan''12 Multi'!I7/'Jan''12 Multi'!I8-'Jan''12 Multi'!I11)*('Jan''12 Multi'!I16/100)*'Jan''12 Multi'!I8,('Jan''12 Multi'!I12-'Jan''12 Multi'!I11)*('Jan''12 Multi'!I16/100)*'Jan''12 Multi'!I8))</f>
        <v>130.185</v>
      </c>
      <c r="H11" s="59">
        <f>IF($F5*'Jan''12 Multi'!J7/'Jan''12 Multi'!J8&lt;'Jan''12 Multi'!J11,0,IF($F5*'Jan''12 Multi'!J7/'Jan''12 Multi'!J8&lt;='Jan''12 Multi'!J12,($F5*'Jan''12 Multi'!J7/'Jan''12 Multi'!J8-'Jan''12 Multi'!J11)*('Jan''12 Multi'!J16/100)*'Jan''12 Multi'!J8,('Jan''12 Multi'!J12-'Jan''12 Multi'!J11)*('Jan''12 Multi'!J16/100)*'Jan''12 Multi'!J8))</f>
        <v>136.1961</v>
      </c>
      <c r="I11" s="63"/>
    </row>
    <row r="12" spans="1:14" x14ac:dyDescent="0.15">
      <c r="A12" s="40" t="s">
        <v>604</v>
      </c>
      <c r="C12" s="59">
        <f>IF($F5*'Jan''12 Multi'!E7/'Jan''12 Multi'!E8&lt;'Jan''12 Multi'!E12,0,IF($F5*'Jan''12 Multi'!E7/'Jan''12 Multi'!E8&lt;='Jan''12 Multi'!E13,($F5*'Jan''12 Multi'!E7/'Jan''12 Multi'!E8-'Jan''12 Multi'!E12)*('Jan''12 Multi'!E17/100)*'Jan''12 Multi'!E8,('Jan''12 Multi'!E13-'Jan''12 Multi'!E12)*('Jan''12 Multi'!E17/100)*'Jan''12 Multi'!E8))</f>
        <v>106.42500000000001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63"/>
    </row>
    <row r="13" spans="1:14" x14ac:dyDescent="0.15">
      <c r="A13" s="40" t="s">
        <v>605</v>
      </c>
      <c r="C13" s="59">
        <f>IF($F5*'Jan''12 Multi'!E7/'Jan''12 Multi'!E8&lt;'Jan''12 Multi'!E13,0,IF($F5*'Jan''12 Multi'!E7/'Jan''12 Multi'!E8&lt;='Jan''12 Multi'!E14,($F5*'Jan''12 Multi'!E7/'Jan''12 Multi'!E8-'Jan''12 Multi'!E13)*('Jan''12 Multi'!E18/100)*'Jan''12 Multi'!E8,('Jan''12 Multi'!E14-'Jan''12 Multi'!E13)*('Jan''12 Multi'!E18/100)*'Jan''12 Multi'!E8))</f>
        <v>45.044999999999987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63"/>
    </row>
    <row r="14" spans="1:14" x14ac:dyDescent="0.15">
      <c r="A14" s="40" t="s">
        <v>606</v>
      </c>
      <c r="C14" s="59">
        <f>IF(($F5*'Jan''12 Multi'!E7/'Jan''12 Multi'!E8&gt;'Jan''12 Multi'!E14),($F5*'Jan''12 Multi'!E7/'Jan''12 Multi'!E8-'Jan''12 Multi'!E14)*'Jan''12 Multi'!E19/100*'Jan''12 Multi'!E8,0)</f>
        <v>0</v>
      </c>
      <c r="D14" s="59">
        <f>IF(($F5*'Jan''12 Multi'!F7/'Jan''12 Multi'!F8&gt;'Jan''12 Multi'!F14),($F5*'Jan''12 Multi'!F7/'Jan''12 Multi'!F8-'Jan''12 Multi'!F14)*'Jan''12 Multi'!F19/100*'Jan''12 Multi'!F8,0)</f>
        <v>41.58</v>
      </c>
      <c r="E14" s="59">
        <f>IF(($F5*'Jan''12 Multi'!G7/'Jan''12 Multi'!G8&gt;'Jan''12 Multi'!G14),($F5*'Jan''12 Multi'!G7/'Jan''12 Multi'!G8-'Jan''12 Multi'!G14)*'Jan''12 Multi'!G19/100*'Jan''12 Multi'!G8,0)</f>
        <v>41.480999999999995</v>
      </c>
      <c r="F14" s="59">
        <f>IF(($F5*'Jan''12 Multi'!H7/'Jan''12 Multi'!H8&gt;'Jan''12 Multi'!H14),($F5*'Jan''12 Multi'!H7/'Jan''12 Multi'!H8-'Jan''12 Multi'!H14)*'Jan''12 Multi'!H19/100*'Jan''12 Multi'!H8,0)</f>
        <v>179.55</v>
      </c>
      <c r="G14" s="59">
        <f>IF(($F5*'Jan''12 Multi'!I7/'Jan''12 Multi'!I8&gt;'Jan''12 Multi'!I14),($F5*'Jan''12 Multi'!I7/'Jan''12 Multi'!I8-'Jan''12 Multi'!I14)*'Jan''12 Multi'!I19/100*'Jan''12 Multi'!I8,0)</f>
        <v>44.649000000000001</v>
      </c>
      <c r="H14" s="59">
        <f>IF(($F5*'Jan''12 Multi'!J7/'Jan''12 Multi'!J8&gt;'Jan''12 Multi'!J14),($F5*'Jan''12 Multi'!J7/'Jan''12 Multi'!J8-'Jan''12 Multi'!J14)*'Jan''12 Multi'!J19/100*'Jan''12 Multi'!J8,0)</f>
        <v>48.414599999999993</v>
      </c>
      <c r="I14" s="63"/>
    </row>
    <row r="15" spans="1:14" x14ac:dyDescent="0.15">
      <c r="A15" s="40" t="s">
        <v>607</v>
      </c>
      <c r="C15" s="59">
        <f>IF($F5*'Jan''12 Multi'!E9/'Jan''12 Multi'!E10&gt;='Jan''12 Multi'!E11,('Jan''12 Multi'!E11*'Jan''12 Multi'!E20/100)*'Jan''12 Multi'!E10,($F5*'Jan''12 Multi'!E9/'Jan''12 Multi'!E10*'Jan''12 Multi'!E20/100)*'Jan''12 Multi'!E10)</f>
        <v>149.589</v>
      </c>
      <c r="D15" s="59">
        <f>IF($F5*'Jan''12 Multi'!F9/'Jan''12 Multi'!F10&gt;='Jan''12 Multi'!F11,('Jan''12 Multi'!F11*'Jan''12 Multi'!F20/100)*'Jan''12 Multi'!F10,($F5*'Jan''12 Multi'!F9/'Jan''12 Multi'!F10*'Jan''12 Multi'!F20/100)*'Jan''12 Multi'!F10)</f>
        <v>290.26800000000003</v>
      </c>
      <c r="E15" s="59">
        <f>IF($F5*'Jan''12 Multi'!G9/'Jan''12 Multi'!G10&gt;='Jan''12 Multi'!G11,('Jan''12 Multi'!G11*'Jan''12 Multi'!G20/100)*'Jan''12 Multi'!G10,($F5*'Jan''12 Multi'!G9/'Jan''12 Multi'!G10*'Jan''12 Multi'!G20/100)*'Jan''12 Multi'!G10)</f>
        <v>332.24400000000003</v>
      </c>
      <c r="F15" s="59">
        <f>IF($F5*'Jan''12 Multi'!H9/'Jan''12 Multi'!H10&gt;='Jan''12 Multi'!H11,('Jan''12 Multi'!H11*'Jan''12 Multi'!H20/100)*'Jan''12 Multi'!H10,($F5*'Jan''12 Multi'!H9/'Jan''12 Multi'!H10*'Jan''12 Multi'!H20/100)*'Jan''12 Multi'!H10)</f>
        <v>315</v>
      </c>
      <c r="G15" s="59">
        <f>IF($F5*'Jan''12 Multi'!I9/'Jan''12 Multi'!I10&gt;='Jan''12 Multi'!I11,('Jan''12 Multi'!I11*'Jan''12 Multi'!I20/100)*'Jan''12 Multi'!I10,($F5*'Jan''12 Multi'!I9/'Jan''12 Multi'!I10*'Jan''12 Multi'!I20/100)*'Jan''12 Multi'!I10)</f>
        <v>331.65</v>
      </c>
      <c r="H15" s="59">
        <f>IF($F5*'Jan''12 Multi'!J9/'Jan''12 Multi'!J10&gt;='Jan''12 Multi'!J11,('Jan''12 Multi'!J11*'Jan''12 Multi'!J20/100)*'Jan''12 Multi'!J10,($F5*'Jan''12 Multi'!J9/'Jan''12 Multi'!J10*'Jan''12 Multi'!J20/100)*'Jan''12 Multi'!J10)</f>
        <v>351.04500000000002</v>
      </c>
      <c r="I15" s="63"/>
    </row>
    <row r="16" spans="1:14" x14ac:dyDescent="0.15">
      <c r="A16" s="40" t="s">
        <v>608</v>
      </c>
      <c r="C16" s="59">
        <f>IF($F5*'Jan''12 Multi'!E9/'Jan''12 Multi'!E10&lt;'Jan''12 Multi'!E11,0,IF($F5*'Jan''12 Multi'!E9/'Jan''12 Multi'!E10&lt;='Jan''12 Multi'!E12,($F5*'Jan''12 Multi'!E9/'Jan''12 Multi'!E10-'Jan''12 Multi'!E11)*('Jan''12 Multi'!E21/100)*'Jan''12 Multi'!E10,('Jan''12 Multi'!E12-'Jan''12 Multi'!E11)*('Jan''12 Multi'!E21/100)*'Jan''12 Multi'!E10))</f>
        <v>128.50199999999998</v>
      </c>
      <c r="D16" s="59">
        <f>IF($F5*'Jan''12 Multi'!F9/'Jan''12 Multi'!F10&lt;'Jan''12 Multi'!F11,0,IF($F5*'Jan''12 Multi'!F9/'Jan''12 Multi'!F10&lt;='Jan''12 Multi'!F12,($F5*'Jan''12 Multi'!F9/'Jan''12 Multi'!F10-'Jan''12 Multi'!F11)*('Jan''12 Multi'!F21/100)*'Jan''12 Multi'!F10,('Jan''12 Multi'!F12-'Jan''12 Multi'!F11)*('Jan''12 Multi'!F21/100)*'Jan''12 Multi'!F10))</f>
        <v>108.009</v>
      </c>
      <c r="E16" s="59">
        <f>IF($F5*'Jan''12 Multi'!G9/'Jan''12 Multi'!G10&lt;'Jan''12 Multi'!G11,0,IF($F5*'Jan''12 Multi'!G9/'Jan''12 Multi'!G10&lt;='Jan''12 Multi'!G12,($F5*'Jan''12 Multi'!G9/'Jan''12 Multi'!G10-'Jan''12 Multi'!G11)*('Jan''12 Multi'!G21/100)*'Jan''12 Multi'!G10,('Jan''12 Multi'!G12-'Jan''12 Multi'!G11)*('Jan''12 Multi'!G21/100)*'Jan''12 Multi'!G10))</f>
        <v>114.9984</v>
      </c>
      <c r="F16" s="59">
        <f>IF($F5*'Jan''12 Multi'!H9/'Jan''12 Multi'!H10&lt;'Jan''12 Multi'!H11,0,IF($F5*'Jan''12 Multi'!H9/'Jan''12 Multi'!H10&lt;='Jan''12 Multi'!H12,($F5*'Jan''12 Multi'!H9/'Jan''12 Multi'!H10-'Jan''12 Multi'!H11)*('Jan''12 Multi'!H21/100)*'Jan''12 Multi'!H10,('Jan''12 Multi'!H12-'Jan''12 Multi'!H11)*('Jan''12 Multi'!H21/100)*'Jan''12 Multi'!H10))</f>
        <v>0</v>
      </c>
      <c r="G16" s="59">
        <f>IF($F5*'Jan''12 Multi'!I9/'Jan''12 Multi'!I10&lt;'Jan''12 Multi'!I11,0,IF($F5*'Jan''12 Multi'!I9/'Jan''12 Multi'!I10&lt;='Jan''12 Multi'!I12,($F5*'Jan''12 Multi'!I9/'Jan''12 Multi'!I10-'Jan''12 Multi'!I11)*('Jan''12 Multi'!I21/100)*'Jan''12 Multi'!I10,('Jan''12 Multi'!I12-'Jan''12 Multi'!I11)*('Jan''12 Multi'!I21/100)*'Jan''12 Multi'!I10))</f>
        <v>113.05799999999999</v>
      </c>
      <c r="H16" s="59">
        <f>IF($F5*'Jan''12 Multi'!J9/'Jan''12 Multi'!J10&lt;'Jan''12 Multi'!J11,0,IF($F5*'Jan''12 Multi'!J9/'Jan''12 Multi'!J10&lt;='Jan''12 Multi'!J12,($F5*'Jan''12 Multi'!J9/'Jan''12 Multi'!J10-'Jan''12 Multi'!J11)*('Jan''12 Multi'!J21/100)*'Jan''12 Multi'!J10,('Jan''12 Multi'!J12-'Jan''12 Multi'!J11)*('Jan''12 Multi'!J21/100)*'Jan''12 Multi'!J10))</f>
        <v>128.26530000000002</v>
      </c>
      <c r="I16" s="63"/>
    </row>
    <row r="17" spans="1:9" x14ac:dyDescent="0.15">
      <c r="A17" s="40" t="s">
        <v>609</v>
      </c>
      <c r="C17" s="59">
        <f>IF($F5*'Jan''12 Multi'!E9/'Jan''12 Multi'!E10&lt;'Jan''12 Multi'!E12,0,IF($F5*'Jan''12 Multi'!E9/'Jan''12 Multi'!E10&lt;='Jan''12 Multi'!E13,($F5*'Jan''12 Multi'!E9/'Jan''12 Multi'!E10-'Jan''12 Multi'!E12)*('Jan''12 Multi'!E22/100)*'Jan''12 Multi'!E10,('Jan''12 Multi'!E13-'Jan''12 Multi'!E12)*('Jan''12 Multi'!E22/100)*'Jan''12 Multi'!E10))</f>
        <v>101.673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63"/>
    </row>
    <row r="18" spans="1:9" x14ac:dyDescent="0.15">
      <c r="A18" s="40" t="s">
        <v>610</v>
      </c>
      <c r="C18" s="59">
        <f>IF($F5*'Jan''12 Multi'!E9/'Jan''12 Multi'!E10&lt;'Jan''12 Multi'!E13,0,IF($F5*'Jan''12 Multi'!E9/'Jan''12 Multi'!E10&lt;='Jan''12 Multi'!E14,($F5*'Jan''12 Multi'!E9/'Jan''12 Multi'!E10-'Jan''12 Multi'!E13)*('Jan''12 Multi'!E23/100)*'Jan''12 Multi'!E10,('Jan''12 Multi'!E14-'Jan''12 Multi'!E13)*('Jan''12 Multi'!E23/100)*'Jan''12 Multi'!E10))</f>
        <v>43.807500000000005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63"/>
    </row>
    <row r="19" spans="1:9" x14ac:dyDescent="0.15">
      <c r="A19" s="40" t="s">
        <v>611</v>
      </c>
      <c r="C19" s="59">
        <f>IF(($F5*'Jan''12 Multi'!E9/'Jan''12 Multi'!E10&gt;'Jan''12 Multi'!E14),($F5*'Jan''12 Multi'!E9/'Jan''12 Multi'!E10-'Jan''12 Multi'!E14)*'Jan''12 Multi'!E24/100*'Jan''12 Multi'!E10,0)</f>
        <v>0</v>
      </c>
      <c r="D19" s="59">
        <f>IF(($F5*'Jan''12 Multi'!F9/'Jan''12 Multi'!F10&gt;'Jan''12 Multi'!F14),($F5*'Jan''12 Multi'!F9/'Jan''12 Multi'!F10-'Jan''12 Multi'!F14)*'Jan''12 Multi'!F24/100*'Jan''12 Multi'!F10,0)</f>
        <v>38.362499999999997</v>
      </c>
      <c r="E19" s="59">
        <f>IF(($F5*'Jan''12 Multi'!G9/'Jan''12 Multi'!G10&gt;'Jan''12 Multi'!G14),($F5*'Jan''12 Multi'!G9/'Jan''12 Multi'!G10-'Jan''12 Multi'!G14)*'Jan''12 Multi'!G24/100*'Jan''12 Multi'!G10,0)</f>
        <v>41.263199999999998</v>
      </c>
      <c r="F19" s="59">
        <f>IF(($F5*'Jan''12 Multi'!H9/'Jan''12 Multi'!H10&gt;'Jan''12 Multi'!H14),($F5*'Jan''12 Multi'!H9/'Jan''12 Multi'!H10-'Jan''12 Multi'!H14)*'Jan''12 Multi'!H24/100*'Jan''12 Multi'!H10,0)</f>
        <v>171.45</v>
      </c>
      <c r="G19" s="59">
        <f>IF(($F5*'Jan''12 Multi'!I9/'Jan''12 Multi'!I10&gt;'Jan''12 Multi'!I14),($F5*'Jan''12 Multi'!I9/'Jan''12 Multi'!I10-'Jan''12 Multi'!I14)*'Jan''12 Multi'!I24/100*'Jan''12 Multi'!I10,0)</f>
        <v>42.223500000000001</v>
      </c>
      <c r="H19" s="59">
        <f>IF(($F5*'Jan''12 Multi'!J9/'Jan''12 Multi'!J10&gt;'Jan''12 Multi'!J14),($F5*'Jan''12 Multi'!J9/'Jan''12 Multi'!J10-'Jan''12 Multi'!J14)*'Jan''12 Multi'!J24/100*'Jan''12 Multi'!J10,0)</f>
        <v>44.44919999999999</v>
      </c>
      <c r="I19" s="63"/>
    </row>
    <row r="20" spans="1:9" x14ac:dyDescent="0.15">
      <c r="A20" s="40" t="s">
        <v>612</v>
      </c>
      <c r="C20" s="59">
        <f>365*'Jan''12 Multi'!E25/100</f>
        <v>214.68205</v>
      </c>
      <c r="D20" s="59">
        <f>365*'Jan''12 Multi'!F25/100</f>
        <v>205.24680000000001</v>
      </c>
      <c r="E20" s="59">
        <f>365*'Jan''12 Multi'!G25/100</f>
        <v>225.2415</v>
      </c>
      <c r="F20" s="59">
        <f>365*'Jan''12 Multi'!H25/100</f>
        <v>217.7955</v>
      </c>
      <c r="G20" s="59">
        <f>365*'Jan''12 Multi'!I25/100</f>
        <v>236.32289999999998</v>
      </c>
      <c r="H20" s="59">
        <f>365*'Jan''12 Multi'!J25/100</f>
        <v>229.59229999999999</v>
      </c>
      <c r="I20" s="60">
        <f>AVERAGE(C20:H20)</f>
        <v>221.480175</v>
      </c>
    </row>
    <row r="21" spans="1:9" x14ac:dyDescent="0.15">
      <c r="A21" s="62" t="s">
        <v>613</v>
      </c>
      <c r="B21" s="63"/>
      <c r="C21" s="61">
        <f t="shared" ref="C21:H21" si="0">SUM(C10:C20)</f>
        <v>1088.5055499999999</v>
      </c>
      <c r="D21" s="61">
        <f t="shared" si="0"/>
        <v>1136.2923000000001</v>
      </c>
      <c r="E21" s="61">
        <f t="shared" si="0"/>
        <v>1214.3406</v>
      </c>
      <c r="F21" s="61">
        <f t="shared" si="0"/>
        <v>1211.3955000000001</v>
      </c>
      <c r="G21" s="61">
        <f t="shared" si="0"/>
        <v>1254.8843999999997</v>
      </c>
      <c r="H21" s="61">
        <f t="shared" si="0"/>
        <v>1311.1817000000001</v>
      </c>
      <c r="I21" s="64">
        <f>AVERAGE(C21:H21)</f>
        <v>1202.7666750000001</v>
      </c>
    </row>
    <row r="23" spans="1:9" x14ac:dyDescent="0.15">
      <c r="A23" s="53" t="s">
        <v>1076</v>
      </c>
      <c r="C23" s="23" t="s">
        <v>1044</v>
      </c>
      <c r="D23" s="23" t="s">
        <v>591</v>
      </c>
      <c r="E23" s="23" t="s">
        <v>555</v>
      </c>
      <c r="F23" s="23" t="s">
        <v>544</v>
      </c>
      <c r="G23" s="23" t="s">
        <v>615</v>
      </c>
      <c r="H23" s="23" t="s">
        <v>515</v>
      </c>
      <c r="I23" s="57" t="s">
        <v>601</v>
      </c>
    </row>
    <row r="24" spans="1:9" x14ac:dyDescent="0.15">
      <c r="A24" s="40" t="s">
        <v>602</v>
      </c>
      <c r="C24" s="59">
        <f>IF($F5*'Jan''12 Multi'!E29/'Jan''12 Multi'!E30&gt;='Jan''12 Multi'!E33,('Jan''12 Multi'!E33*'Jan''12 Multi'!E37/100)*'Jan''12 Multi'!E30,($F5*'Jan''12 Multi'!E29/'Jan''12 Multi'!E30*'Jan''12 Multi'!E37/100)*'Jan''12 Multi'!E30)</f>
        <v>155.03399999999996</v>
      </c>
      <c r="D24" s="59">
        <f>IF($F5*'Jan''12 Multi'!F29/'Jan''12 Multi'!F30&gt;='Jan''12 Multi'!F33,('Jan''12 Multi'!F33*'Jan''12 Multi'!F37/100)*'Jan''12 Multi'!F30,($F5*'Jan''12 Multi'!F29/'Jan''12 Multi'!F30*'Jan''12 Multi'!F37/100)*'Jan''12 Multi'!F30)</f>
        <v>186.87899999999999</v>
      </c>
      <c r="E24" s="59">
        <f>IF($F5*'Jan''12 Multi'!G29/'Jan''12 Multi'!G30&gt;='Jan''12 Multi'!G33,('Jan''12 Multi'!G33*'Jan''12 Multi'!G37/100)*'Jan''12 Multi'!G30,($F5*'Jan''12 Multi'!G29/'Jan''12 Multi'!G30*'Jan''12 Multi'!G37/100)*'Jan''12 Multi'!G30)</f>
        <v>119.90440000000001</v>
      </c>
      <c r="F24" s="59">
        <f>IF($F5*'Jan''12 Multi'!H29/'Jan''12 Multi'!H30&gt;='Jan''12 Multi'!H33,('Jan''12 Multi'!H33*'Jan''12 Multi'!H37/100)*'Jan''12 Multi'!H30,($F5*'Jan''12 Multi'!H29/'Jan''12 Multi'!H30*'Jan''12 Multi'!H37/100)*'Jan''12 Multi'!H30)</f>
        <v>121.1</v>
      </c>
      <c r="G24" s="59">
        <f>IF($F5*'Jan''12 Multi'!I29/'Jan''12 Multi'!I30&gt;='Jan''12 Multi'!I33,('Jan''12 Multi'!I33*'Jan''12 Multi'!I37/100)*'Jan''12 Multi'!I30,($F5*'Jan''12 Multi'!I29/'Jan''12 Multi'!I30*'Jan''12 Multi'!I37/100)*'Jan''12 Multi'!I30)</f>
        <v>124.12400000000001</v>
      </c>
      <c r="H24" s="59">
        <f>IF($F5*'Jan''12 Multi'!J29/'Jan''12 Multi'!J30&gt;='Jan''12 Multi'!J33,('Jan''12 Multi'!J33*'Jan''12 Multi'!J37/100)*'Jan''12 Multi'!J30,($F5*'Jan''12 Multi'!J29/'Jan''12 Multi'!J30*'Jan''12 Multi'!J37/100)*'Jan''12 Multi'!J30)</f>
        <v>201.50130000000001</v>
      </c>
      <c r="I24" s="63"/>
    </row>
    <row r="25" spans="1:9" x14ac:dyDescent="0.15">
      <c r="A25" s="40" t="s">
        <v>603</v>
      </c>
      <c r="C25" s="59">
        <f>IF($F5*'Jan''12 Multi'!E29/'Jan''12 Multi'!E30&lt;'Jan''12 Multi'!E33,0,IF($F5*'Jan''12 Multi'!E29/'Jan''12 Multi'!E30&lt;='Jan''12 Multi'!E34,($F5*'Jan''12 Multi'!E29/'Jan''12 Multi'!E30-'Jan''12 Multi'!E33)*('Jan''12 Multi'!E38/100)*'Jan''12 Multi'!E30,('Jan''12 Multi'!E34-'Jan''12 Multi'!E33)*('Jan''12 Multi'!E38/100)*'Jan''12 Multi'!E30))</f>
        <v>135.43199999999999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63"/>
    </row>
    <row r="26" spans="1:9" x14ac:dyDescent="0.15">
      <c r="A26" s="40" t="s">
        <v>604</v>
      </c>
      <c r="C26" s="59">
        <f>IF($F5*'Jan''12 Multi'!E29/'Jan''12 Multi'!E30&lt;'Jan''12 Multi'!E34,0,IF($F5*'Jan''12 Multi'!E29/'Jan''12 Multi'!E30&lt;='Jan''12 Multi'!E35,($F5*'Jan''12 Multi'!E29/'Jan''12 Multi'!E30-'Jan''12 Multi'!E34)*('Jan''12 Multi'!E39/100)*'Jan''12 Multi'!E30,('Jan''12 Multi'!E35-'Jan''12 Multi'!E34)*('Jan''12 Multi'!E39/100)*'Jan''12 Multi'!E30))</f>
        <v>116.42400000000002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63"/>
    </row>
    <row r="27" spans="1:9" x14ac:dyDescent="0.15">
      <c r="A27" s="40" t="s">
        <v>605</v>
      </c>
      <c r="C27" s="59">
        <f>IF($F5*'Jan''12 Multi'!E29/'Jan''12 Multi'!E30&lt;'Jan''12 Multi'!E35,0,IF(F5*'Jan''12 Multi'!E29/'Jan''12 Multi'!E30&lt;='Jan''12 Multi'!E36,($F5*'Jan''12 Multi'!E29/'Jan''12 Multi'!E30-'Jan''12 Multi'!E35)*('Jan''12 Multi'!E40/100)*'Jan''12 Multi'!E30,('Jan''12 Multi'!E36-'Jan''12 Multi'!E35)*('Jan''12 Multi'!E40/100)*'Jan''12 Multi'!E30))</f>
        <v>55.835999999999999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63"/>
    </row>
    <row r="28" spans="1:9" x14ac:dyDescent="0.15">
      <c r="A28" s="40" t="s">
        <v>606</v>
      </c>
      <c r="C28" s="59">
        <f>IF(($F5*'Jan''12 Multi'!E29/'Jan''12 Multi'!E30&gt;'Jan''12 Multi'!E36),($F5*'Jan''12 Multi'!E29/'Jan''12 Multi'!E30-'Jan''12 Multi'!E36)*'Jan''12 Multi'!E41/100*'Jan''12 Multi'!E30,0)</f>
        <v>0</v>
      </c>
      <c r="D28" s="59">
        <f>IF(($F5*'Jan''12 Multi'!F29/'Jan''12 Multi'!F30&gt;'Jan''12 Multi'!F36),($F5*'Jan''12 Multi'!F29/'Jan''12 Multi'!F30-'Jan''12 Multi'!F36)*'Jan''12 Multi'!F41/100*'Jan''12 Multi'!F30,0)</f>
        <v>294.29399999999998</v>
      </c>
      <c r="E28" s="59">
        <f>IF(($F5*'Jan''12 Multi'!G29/'Jan''12 Multi'!G30&gt;'Jan''12 Multi'!G36),($F5*'Jan''12 Multi'!G29/'Jan''12 Multi'!G30-'Jan''12 Multi'!G36)*'Jan''12 Multi'!G41/100*'Jan''12 Multi'!G30,0)</f>
        <v>200.16996999999995</v>
      </c>
      <c r="F28" s="59">
        <f>IF(($F5*'Jan''12 Multi'!H29/'Jan''12 Multi'!H30&gt;'Jan''12 Multi'!H36),($F5*'Jan''12 Multi'!H29/'Jan''12 Multi'!H30-'Jan''12 Multi'!H36)*'Jan''12 Multi'!H41/100*'Jan''12 Multi'!H30,0)</f>
        <v>200.16996999999995</v>
      </c>
      <c r="G28" s="59">
        <f>IF(($F5*'Jan''12 Multi'!I29/'Jan''12 Multi'!I30&gt;'Jan''12 Multi'!I36),($F5*'Jan''12 Multi'!I29/'Jan''12 Multi'!I30-'Jan''12 Multi'!I36)*'Jan''12 Multi'!I41/100*'Jan''12 Multi'!I30,0)</f>
        <v>214.33584479999993</v>
      </c>
      <c r="H28" s="59">
        <f>IF(($F5*'Jan''12 Multi'!J29/'Jan''12 Multi'!J30&gt;'Jan''12 Multi'!J36),($F5*'Jan''12 Multi'!J29/'Jan''12 Multi'!J30-'Jan''12 Multi'!J36)*'Jan''12 Multi'!J41/100*'Jan''12 Multi'!J30,0)</f>
        <v>343.44659999999999</v>
      </c>
      <c r="I28" s="63"/>
    </row>
    <row r="29" spans="1:9" x14ac:dyDescent="0.15">
      <c r="A29" s="40" t="s">
        <v>607</v>
      </c>
      <c r="C29" s="59">
        <f>IF($F5*'Jan''12 Multi'!E31/'Jan''12 Multi'!E32&gt;='Jan''12 Multi'!E33,('Jan''12 Multi'!E33*'Jan''12 Multi'!E42/100)*'Jan''12 Multi'!E32,($F5*'Jan''12 Multi'!E31/'Jan''12 Multi'!E32*'Jan''12 Multi'!E42/100)*'Jan''12 Multi'!E32)</f>
        <v>142.56</v>
      </c>
      <c r="D29" s="59">
        <f>IF($F5*'Jan''12 Multi'!F31/'Jan''12 Multi'!F32&gt;='Jan''12 Multi'!F33,('Jan''12 Multi'!F33*'Jan''12 Multi'!F42/100)*'Jan''12 Multi'!F32,($F5*'Jan''12 Multi'!F31/'Jan''12 Multi'!F32*'Jan''12 Multi'!F42/100)*'Jan''12 Multi'!F32)</f>
        <v>168.05250000000001</v>
      </c>
      <c r="E29" s="59">
        <f>IF($F5*'Jan''12 Multi'!G31/'Jan''12 Multi'!G32&gt;='Jan''12 Multi'!G33,('Jan''12 Multi'!G33*'Jan''12 Multi'!G42/100)*'Jan''12 Multi'!G32,($F5*'Jan''12 Multi'!G31/'Jan''12 Multi'!G32*'Jan''12 Multi'!G42/100)*'Jan''12 Multi'!G32)</f>
        <v>221.62139999999999</v>
      </c>
      <c r="F29" s="59">
        <f>IF($F5*'Jan''12 Multi'!H31/'Jan''12 Multi'!H32&gt;='Jan''12 Multi'!H33,('Jan''12 Multi'!H33*'Jan''12 Multi'!H42/100)*'Jan''12 Multi'!H32,($F5*'Jan''12 Multi'!H31/'Jan''12 Multi'!H32*'Jan''12 Multi'!H42/100)*'Jan''12 Multi'!H32)</f>
        <v>229.6</v>
      </c>
      <c r="G29" s="59">
        <f>IF($F5*'Jan''12 Multi'!I31/'Jan''12 Multi'!I32&gt;='Jan''12 Multi'!I33,('Jan''12 Multi'!I33*'Jan''12 Multi'!I42/100)*'Jan''12 Multi'!I32,($F5*'Jan''12 Multi'!I31/'Jan''12 Multi'!I32*'Jan''12 Multi'!I42/100)*'Jan''12 Multi'!I32)</f>
        <v>237.16</v>
      </c>
      <c r="H29" s="59">
        <f>IF($F5*'Jan''12 Multi'!J31/'Jan''12 Multi'!J32&gt;='Jan''12 Multi'!J33,('Jan''12 Multi'!J33*'Jan''12 Multi'!J42/100)*'Jan''12 Multi'!J32,($F5*'Jan''12 Multi'!J31/'Jan''12 Multi'!J32*'Jan''12 Multi'!J42/100)*'Jan''12 Multi'!J32)</f>
        <v>188.69759999999999</v>
      </c>
      <c r="I29" s="63"/>
    </row>
    <row r="30" spans="1:9" x14ac:dyDescent="0.15">
      <c r="A30" s="40" t="s">
        <v>608</v>
      </c>
      <c r="C30" s="59">
        <f>IF($F5*'Jan''12 Multi'!E31/'Jan''12 Multi'!E32&lt;'Jan''12 Multi'!E33,0,IF($F5*'Jan''12 Multi'!E31/'Jan''12 Multi'!E32&lt;='Jan''12 Multi'!E34,($F5*'Jan''12 Multi'!E31/'Jan''12 Multi'!E32-'Jan''12 Multi'!E33)*('Jan''12 Multi'!E43/100)*'Jan''12 Multi'!E32,('Jan''12 Multi'!E34-'Jan''12 Multi'!E33)*('Jan''12 Multi'!E43/100)*'Jan''12 Multi'!E32))</f>
        <v>126.81899999999999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63"/>
    </row>
    <row r="31" spans="1:9" x14ac:dyDescent="0.15">
      <c r="A31" s="40" t="s">
        <v>609</v>
      </c>
      <c r="C31" s="59">
        <f>IF($F5*'Jan''12 Multi'!E31/'Jan''12 Multi'!E32&lt;'Jan''12 Multi'!E34,0,IF($F5*'Jan''12 Multi'!E31/'Jan''12 Multi'!E32&lt;='Jan''12 Multi'!E35,($F5*'Jan''12 Multi'!E31/'Jan''12 Multi'!E32-'Jan''12 Multi'!E34)*('Jan''12 Multi'!E44/100)*'Jan''12 Multi'!E32,('Jan''12 Multi'!E35-'Jan''12 Multi'!E34)*('Jan''12 Multi'!E44/100)*'Jan''12 Multi'!E32))</f>
        <v>110.88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63"/>
    </row>
    <row r="32" spans="1:9" x14ac:dyDescent="0.15">
      <c r="A32" s="40" t="s">
        <v>610</v>
      </c>
      <c r="C32" s="59">
        <f>IF($F5*'Jan''12 Multi'!E31/'Jan''12 Multi'!E32&lt;'Jan''12 Multi'!E35,0,IF($F5*'Jan''12 Multi'!E31/'Jan''12 Multi'!E32&lt;='Jan''12 Multi'!E36,($F5*'Jan''12 Multi'!E31/'Jan''12 Multi'!E32-'Jan''12 Multi'!E35)*('Jan''12 Multi'!E45/100)*'Jan''12 Multi'!E32,('Jan''12 Multi'!E36-'Jan''12 Multi'!E35)*('Jan''12 Multi'!E45/100)*'Jan''12 Multi'!E32))</f>
        <v>54.301500000000004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63"/>
    </row>
    <row r="33" spans="1:9" x14ac:dyDescent="0.15">
      <c r="A33" s="40" t="s">
        <v>611</v>
      </c>
      <c r="C33" s="59">
        <f>IF(($F5*'Jan''12 Multi'!E31/'Jan''12 Multi'!E32&gt;'Jan''12 Multi'!E36),($F5*'Jan''12 Multi'!E31/'Jan''12 Multi'!E32-'Jan''12 Multi'!E36)*'Jan''12 Multi'!E46/100*'Jan''12 Multi'!E32,0)</f>
        <v>0</v>
      </c>
      <c r="D33" s="59">
        <f>IF(($F5*'Jan''12 Multi'!F31/'Jan''12 Multi'!F32&gt;'Jan''12 Multi'!F36),($F5*'Jan''12 Multi'!F31/'Jan''12 Multi'!F32-'Jan''12 Multi'!F36)*'Jan''12 Multi'!F46/100*'Jan''12 Multi'!F32,0)</f>
        <v>243.70500000000004</v>
      </c>
      <c r="E33" s="59">
        <f>IF(($F5*'Jan''12 Multi'!G31/'Jan''12 Multi'!G32&gt;'Jan''12 Multi'!G36),($F5*'Jan''12 Multi'!G31/'Jan''12 Multi'!G32-'Jan''12 Multi'!G36)*'Jan''12 Multi'!G46/100*'Jan''12 Multi'!G32,0)</f>
        <v>343.92280383999997</v>
      </c>
      <c r="F33" s="59">
        <f>IF(($F5*'Jan''12 Multi'!H31/'Jan''12 Multi'!H32&gt;'Jan''12 Multi'!H36),($F5*'Jan''12 Multi'!H31/'Jan''12 Multi'!H32-'Jan''12 Multi'!H36)*'Jan''12 Multi'!H46/100*'Jan''12 Multi'!H32,0)</f>
        <v>355.54665999999997</v>
      </c>
      <c r="G33" s="59">
        <f>IF(($F5*'Jan''12 Multi'!I31/'Jan''12 Multi'!I32&gt;'Jan''12 Multi'!I36),($F5*'Jan''12 Multi'!I31/'Jan''12 Multi'!I32-'Jan''12 Multi'!I36)*'Jan''12 Multi'!I46/100*'Jan''12 Multi'!I32,0)</f>
        <v>370.77637519999996</v>
      </c>
      <c r="H33" s="59">
        <f>IF(($F5*'Jan''12 Multi'!J31/'Jan''12 Multi'!J32&gt;'Jan''12 Multi'!J36),($F5*'Jan''12 Multi'!J31/'Jan''12 Multi'!J32-'Jan''12 Multi'!J36)*'Jan''12 Multi'!J46/100*'Jan''12 Multi'!J32,0)</f>
        <v>325.13249999999999</v>
      </c>
      <c r="I33" s="63"/>
    </row>
    <row r="34" spans="1:9" x14ac:dyDescent="0.15">
      <c r="A34" s="40" t="s">
        <v>612</v>
      </c>
      <c r="C34" s="59">
        <f>365*'Jan''12 Multi'!E47/100</f>
        <v>182.08024999999998</v>
      </c>
      <c r="D34" s="59">
        <f>365*'Jan''12 Multi'!F47/100</f>
        <v>186.73765</v>
      </c>
      <c r="E34" s="59">
        <f>365*'Jan''12 Multi'!G47/100</f>
        <v>211.18900000000002</v>
      </c>
      <c r="F34" s="59">
        <f>365*'Jan''12 Multi'!H47/100</f>
        <v>200.96900000000002</v>
      </c>
      <c r="G34" s="59">
        <f>365*'Jan''12 Multi'!I47/100</f>
        <v>213.79875000000001</v>
      </c>
      <c r="H34" s="59">
        <f>365*'Jan''12 Multi'!J47/100</f>
        <v>198.09279999999998</v>
      </c>
      <c r="I34" s="60">
        <f>AVERAGE(C34:H34)</f>
        <v>198.81124166666669</v>
      </c>
    </row>
    <row r="35" spans="1:9" x14ac:dyDescent="0.15">
      <c r="A35" s="62" t="s">
        <v>613</v>
      </c>
      <c r="B35" s="63"/>
      <c r="C35" s="61">
        <f t="shared" ref="C35:H35" si="1">SUM(C24:C34)</f>
        <v>1079.3667500000001</v>
      </c>
      <c r="D35" s="61">
        <f t="shared" si="1"/>
        <v>1079.66815</v>
      </c>
      <c r="E35" s="61">
        <f t="shared" si="1"/>
        <v>1096.80757384</v>
      </c>
      <c r="F35" s="61">
        <f t="shared" si="1"/>
        <v>1107.38563</v>
      </c>
      <c r="G35" s="61">
        <f t="shared" si="1"/>
        <v>1160.1949699999998</v>
      </c>
      <c r="H35" s="61">
        <f t="shared" si="1"/>
        <v>1256.8707999999999</v>
      </c>
      <c r="I35" s="64">
        <f>AVERAGE(C35:H35)</f>
        <v>1130.0489789733331</v>
      </c>
    </row>
    <row r="37" spans="1:9" x14ac:dyDescent="0.15">
      <c r="A37" s="55" t="s">
        <v>1042</v>
      </c>
    </row>
    <row r="39" spans="1:9" x14ac:dyDescent="0.15">
      <c r="A39" s="53" t="s">
        <v>1024</v>
      </c>
      <c r="C39" s="23" t="s">
        <v>1044</v>
      </c>
      <c r="D39" s="23" t="s">
        <v>591</v>
      </c>
      <c r="E39" s="23" t="s">
        <v>555</v>
      </c>
      <c r="F39" s="23" t="s">
        <v>544</v>
      </c>
      <c r="G39" s="23" t="s">
        <v>615</v>
      </c>
      <c r="H39" s="23" t="s">
        <v>546</v>
      </c>
      <c r="I39" s="57" t="s">
        <v>601</v>
      </c>
    </row>
    <row r="40" spans="1:9" x14ac:dyDescent="0.15">
      <c r="A40" s="40" t="s">
        <v>602</v>
      </c>
      <c r="C40" s="59">
        <f>IF($F5*'Jan''12 Envestra'!E7/'Jan''12 Envestra'!E8&gt;='Jan''12 Envestra'!E11,('Jan''12 Envestra'!E11*'Jan''12 Envestra'!E13/100)*'Jan''12 Envestra'!E8,($F5*'Jan''12 Envestra'!E7/'Jan''12 Envestra'!E8*'Jan''12 Envestra'!E13/100)*'Jan''12 Envestra'!E8)</f>
        <v>195.49200000000002</v>
      </c>
      <c r="D40" s="59">
        <f>IF($F5*'Jan''12 Envestra'!F7/'Jan''12 Envestra'!F8&gt;='Jan''12 Envestra'!F11,('Jan''12 Envestra'!F11*'Jan''12 Envestra'!F13/100)*'Jan''12 Envestra'!F8,($F5*'Jan''12 Envestra'!F7/'Jan''12 Envestra'!F8*'Jan''12 Envestra'!F13/100)*'Jan''12 Envestra'!F8)</f>
        <v>136.928</v>
      </c>
      <c r="E40" s="59">
        <f>IF($F5*'Jan''12 Envestra'!G7/'Jan''12 Envestra'!G8&gt;='Jan''12 Envestra'!G11,('Jan''12 Envestra'!G11*'Jan''12 Envestra'!G13/100)*'Jan''12 Envestra'!G8,($F5*'Jan''12 Envestra'!G7/'Jan''12 Envestra'!G8*'Jan''12 Envestra'!G13/100)*'Jan''12 Envestra'!G8)</f>
        <v>141.21359999999999</v>
      </c>
      <c r="F40" s="59">
        <f>IF($F5*'Jan''12 Envestra'!H7/'Jan''12 Envestra'!H8&gt;='Jan''12 Envestra'!H11,('Jan''12 Envestra'!H11*'Jan''12 Envestra'!H13/100)*'Jan''12 Envestra'!H8,($F5*'Jan''12 Envestra'!H7/'Jan''12 Envestra'!H8*'Jan''12 Envestra'!H13/100)*'Jan''12 Envestra'!H8)</f>
        <v>139.19999999999999</v>
      </c>
      <c r="G40" s="59">
        <f>IF($F5*'Jan''12 Envestra'!I7/'Jan''12 Envestra'!I8&gt;='Jan''12 Envestra'!I11,('Jan''12 Envestra'!I11*'Jan''12 Envestra'!I13/100)*'Jan''12 Envestra'!I8,($F5*'Jan''12 Envestra'!I7/'Jan''12 Envestra'!I8*'Jan''12 Envestra'!I13/100)*'Jan''12 Envestra'!I8)</f>
        <v>146.34399999999999</v>
      </c>
      <c r="H40" s="59">
        <f>IF($F5*'Jan''12 Envestra'!J7/'Jan''12 Envestra'!J8&gt;='Jan''12 Envestra'!J11,('Jan''12 Envestra'!J11*'Jan''12 Envestra'!J13/100)*'Jan''12 Envestra'!J8,($F5*'Jan''12 Envestra'!J7/'Jan''12 Envestra'!J8*'Jan''12 Envestra'!J13/100)*'Jan''12 Envestra'!J8)</f>
        <v>149.58080000000001</v>
      </c>
      <c r="I40" s="63"/>
    </row>
    <row r="41" spans="1:9" x14ac:dyDescent="0.15">
      <c r="A41" s="40" t="s">
        <v>603</v>
      </c>
      <c r="C41" s="59">
        <f>IF($F5*'Jan''12 Envestra'!E7/'Jan''12 Envestra'!E8&lt;'Jan''12 Envestra'!E11,0,IF($F5*'Jan''12 Envestra'!E7/'Jan''12 Envestra'!E8&lt;='Jan''12 Envestra'!E12,($F5*'Jan''12 Envestra'!E7/'Jan''12 Envestra'!E8-'Jan''12 Envestra'!E11)*('Jan''12 Envestra'!E14/100)*'Jan''12 Envestra'!E8,('Jan''12 Envestra'!E12-'Jan''12 Envestra'!E11)*('Jan''12 Envestra'!E14/100)*'Jan''12 Envestra'!E8))</f>
        <v>133.91574569999997</v>
      </c>
      <c r="D41" s="59">
        <f>IF($F5*'Jan''12 Envestra'!F7/'Jan''12 Envestra'!F8&lt;'Jan''12 Envestra'!F11,0,IF($F5*'Jan''12 Envestra'!F7/'Jan''12 Envestra'!F8&lt;='Jan''12 Envestra'!F12,($F5*'Jan''12 Envestra'!F7/'Jan''12 Envestra'!F8-'Jan''12 Envestra'!F11)*('Jan''12 Envestra'!F14/100)*'Jan''12 Envestra'!F8,('Jan''12 Envestra'!F12-'Jan''12 Envestra'!F11)*('Jan''12 Envestra'!F14/100)*'Jan''12 Envestra'!F8))</f>
        <v>210.03306609999996</v>
      </c>
      <c r="E41" s="59">
        <f>IF($F5*'Jan''12 Envestra'!G7/'Jan''12 Envestra'!G8&lt;'Jan''12 Envestra'!G11,0,IF($F5*'Jan''12 Envestra'!G7/'Jan''12 Envestra'!G8&lt;='Jan''12 Envestra'!G12,($F5*'Jan''12 Envestra'!G7/'Jan''12 Envestra'!G8-'Jan''12 Envestra'!G11)*('Jan''12 Envestra'!G14/100)*'Jan''12 Envestra'!G8,('Jan''12 Envestra'!G12-'Jan''12 Envestra'!G11)*('Jan''12 Envestra'!G14/100)*'Jan''12 Envestra'!G8))</f>
        <v>212.17771959999999</v>
      </c>
      <c r="F41" s="59">
        <f>IF($F5*'Jan''12 Envestra'!H7/'Jan''12 Envestra'!H8&lt;'Jan''12 Envestra'!H11,0,IF($F5*'Jan''12 Envestra'!H7/'Jan''12 Envestra'!H8&lt;='Jan''12 Envestra'!H12,($F5*'Jan''12 Envestra'!H7/'Jan''12 Envestra'!H8-'Jan''12 Envestra'!H11)*('Jan''12 Envestra'!H14/100)*'Jan''12 Envestra'!H8,('Jan''12 Envestra'!H12-'Jan''12 Envestra'!H11)*('Jan''12 Envestra'!H14/100)*'Jan''12 Envestra'!H8))</f>
        <v>0</v>
      </c>
      <c r="G41" s="59">
        <f>IF($F5*'Jan''12 Envestra'!I7/'Jan''12 Envestra'!I8&lt;'Jan''12 Envestra'!I11,0,IF($F5*'Jan''12 Envestra'!I7/'Jan''12 Envestra'!I8&lt;='Jan''12 Envestra'!I12,($F5*'Jan''12 Envestra'!I7/'Jan''12 Envestra'!I8-'Jan''12 Envestra'!I11)*('Jan''12 Envestra'!I14/100)*'Jan''12 Envestra'!I8,('Jan''12 Envestra'!I12-'Jan''12 Envestra'!I11)*('Jan''12 Envestra'!I14/100)*'Jan''12 Envestra'!I8))</f>
        <v>225.47457129999992</v>
      </c>
      <c r="H41" s="59">
        <f>IF($F5*'Jan''12 Envestra'!J7/'Jan''12 Envestra'!J8&lt;'Jan''12 Envestra'!J11,0,IF($F5*'Jan''12 Envestra'!J7/'Jan''12 Envestra'!J8&lt;='Jan''12 Envestra'!J12,($F5*'Jan''12 Envestra'!J7/'Jan''12 Envestra'!J8-'Jan''12 Envestra'!J11)*('Jan''12 Envestra'!J14/100)*'Jan''12 Envestra'!J8,('Jan''12 Envestra'!J12-'Jan''12 Envestra'!J11)*('Jan''12 Envestra'!J14/100)*'Jan''12 Envestra'!J8))</f>
        <v>229.08928728999999</v>
      </c>
      <c r="I41" s="63"/>
    </row>
    <row r="42" spans="1:9" x14ac:dyDescent="0.15">
      <c r="A42" s="40" t="s">
        <v>606</v>
      </c>
      <c r="C42" s="59">
        <f>IF(($F5*'Jan''12 Envestra'!E7/'Jan''12 Envestra'!E8&gt;'Jan''12 Envestra'!E12),($F5*'Jan''12 Envestra'!E7/'Jan''12 Envestra'!E8-'Jan''12 Envestra'!E12)*'Jan''12 Envestra'!E15/100)*'Jan''12 Envestra'!E8</f>
        <v>0</v>
      </c>
      <c r="D42" s="59">
        <f>IF(($F5*'Jan''12 Envestra'!F7/'Jan''12 Envestra'!F8&gt;'Jan''12 Envestra'!F12),($F5*'Jan''12 Envestra'!F7/'Jan''12 Envestra'!F8-'Jan''12 Envestra'!F12)*'Jan''12 Envestra'!F15/100)*'Jan''12 Envestra'!F8</f>
        <v>0</v>
      </c>
      <c r="E42" s="59">
        <f>IF(($F5*'Jan''12 Envestra'!G7/'Jan''12 Envestra'!G8&gt;'Jan''12 Envestra'!G12),($F5*'Jan''12 Envestra'!G7/'Jan''12 Envestra'!G8-'Jan''12 Envestra'!G12)*'Jan''12 Envestra'!G15/100)*'Jan''12 Envestra'!G8</f>
        <v>0</v>
      </c>
      <c r="F42" s="59">
        <f>IF(($F5*'Jan''12 Envestra'!H7/'Jan''12 Envestra'!H8&gt;'Jan''12 Envestra'!H12),($F5*'Jan''12 Envestra'!H7/'Jan''12 Envestra'!H8-'Jan''12 Envestra'!H12)*'Jan''12 Envestra'!H15/100)*'Jan''12 Envestra'!H8</f>
        <v>210.56597999999997</v>
      </c>
      <c r="G42" s="59">
        <f>IF(($F5*'Jan''12 Envestra'!I7/'Jan''12 Envestra'!I8&gt;'Jan''12 Envestra'!I12),($F5*'Jan''12 Envestra'!I7/'Jan''12 Envestra'!I8-'Jan''12 Envestra'!I12)*'Jan''12 Envestra'!I15/100)*'Jan''12 Envestra'!I8</f>
        <v>0</v>
      </c>
      <c r="H42" s="59">
        <f>IF(($F5*'Jan''12 Envestra'!J7/'Jan''12 Envestra'!J8&gt;'Jan''12 Envestra'!J12),($F5*'Jan''12 Envestra'!J7/'Jan''12 Envestra'!J8-'Jan''12 Envestra'!J12)*'Jan''12 Envestra'!J15/100)*'Jan''12 Envestra'!J8</f>
        <v>0</v>
      </c>
      <c r="I42" s="63"/>
    </row>
    <row r="43" spans="1:9" x14ac:dyDescent="0.15">
      <c r="A43" s="40" t="s">
        <v>607</v>
      </c>
      <c r="C43" s="59">
        <f>IF($F5*'Jan''12 Envestra'!E9/'Jan''12 Envestra'!E10&gt;='Jan''12 Envestra'!E11,('Jan''12 Envestra'!E11*'Jan''12 Envestra'!E16/100)*'Jan''12 Envestra'!E10,($F5*'Jan''12 Envestra'!E9/'Jan''12 Envestra'!E10*'Jan''12 Envestra'!E16/100)*'Jan''12 Envestra'!E10)</f>
        <v>374.08800000000002</v>
      </c>
      <c r="D43" s="59">
        <f>IF($F5*'Jan''12 Envestra'!F9/'Jan''12 Envestra'!F10&gt;='Jan''12 Envestra'!F11,('Jan''12 Envestra'!F11*'Jan''12 Envestra'!F16/100)*'Jan''12 Envestra'!F10,($F5*'Jan''12 Envestra'!F9/'Jan''12 Envestra'!F10*'Jan''12 Envestra'!F16/100)*'Jan''12 Envestra'!F10)</f>
        <v>245.16800000000001</v>
      </c>
      <c r="E43" s="59">
        <f>IF($F5*'Jan''12 Envestra'!G9/'Jan''12 Envestra'!G10&gt;='Jan''12 Envestra'!G11,('Jan''12 Envestra'!G11*'Jan''12 Envestra'!G16/100)*'Jan''12 Envestra'!G10,($F5*'Jan''12 Envestra'!G9/'Jan''12 Envestra'!G10*'Jan''12 Envestra'!G16/100)*'Jan''12 Envestra'!G10)</f>
        <v>267.78399999999999</v>
      </c>
      <c r="F43" s="59">
        <f>IF($F5*'Jan''12 Envestra'!H9/'Jan''12 Envestra'!H10&gt;='Jan''12 Envestra'!H11,('Jan''12 Envestra'!H11*'Jan''12 Envestra'!H16/100)*'Jan''12 Envestra'!H10,($F5*'Jan''12 Envestra'!H9/'Jan''12 Envestra'!H10*'Jan''12 Envestra'!H16/100)*'Jan''12 Envestra'!H10)</f>
        <v>268.8</v>
      </c>
      <c r="G43" s="59">
        <f>IF($F5*'Jan''12 Envestra'!I9/'Jan''12 Envestra'!I10&gt;='Jan''12 Envestra'!I11,('Jan''12 Envestra'!I11*'Jan''12 Envestra'!I16/100)*'Jan''12 Envestra'!I10,($F5*'Jan''12 Envestra'!I9/'Jan''12 Envestra'!I10*'Jan''12 Envestra'!I16/100)*'Jan''12 Envestra'!I10)</f>
        <v>279.66399999999999</v>
      </c>
      <c r="H43" s="59">
        <f>IF($F5*'Jan''12 Envestra'!J9/'Jan''12 Envestra'!J10&gt;='Jan''12 Envestra'!J11,('Jan''12 Envestra'!J11*'Jan''12 Envestra'!J16/100)*'Jan''12 Envestra'!J10,($F5*'Jan''12 Envestra'!J9/'Jan''12 Envestra'!J10*'Jan''12 Envestra'!J16/100)*'Jan''12 Envestra'!J10)</f>
        <v>294.4624</v>
      </c>
      <c r="I43" s="63"/>
    </row>
    <row r="44" spans="1:9" x14ac:dyDescent="0.15">
      <c r="A44" s="40" t="s">
        <v>608</v>
      </c>
      <c r="C44" s="59">
        <f>IF($F5*'Jan''12 Envestra'!E9/'Jan''12 Envestra'!E10&lt;'Jan''12 Envestra'!E11,0,IF($F5*'Jan''12 Envestra'!E9/'Jan''12 Envestra'!E10&lt;='Jan''12 Envestra'!E12,($F5*'Jan''12 Envestra'!E9/'Jan''12 Envestra'!E10-'Jan''12 Envestra'!E11)*('Jan''12 Envestra'!E17/100)*'Jan''12 Envestra'!E10,('Jan''12 Envestra'!E12-'Jan''12 Envestra'!E11)*('Jan''12 Envestra'!E17/100)*'Jan''12 Envestra'!E10))</f>
        <v>259.12152419999995</v>
      </c>
      <c r="D44" s="59">
        <f>IF($F5*'Jan''12 Envestra'!F9/'Jan''12 Envestra'!F10&lt;'Jan''12 Envestra'!F11,0,IF($F5*'Jan''12 Envestra'!F9/'Jan''12 Envestra'!F10&lt;='Jan''12 Envestra'!F12,($F5*'Jan''12 Envestra'!F9/'Jan''12 Envestra'!F10-'Jan''12 Envestra'!F11)*('Jan''12 Envestra'!F17/100)*'Jan''12 Envestra'!F10,('Jan''12 Envestra'!F12-'Jan''12 Envestra'!F11)*('Jan''12 Envestra'!F17/100)*'Jan''12 Envestra'!F10))</f>
        <v>397.47578199999992</v>
      </c>
      <c r="E44" s="59">
        <f>IF($F5*'Jan''12 Envestra'!G9/'Jan''12 Envestra'!G10&lt;'Jan''12 Envestra'!G11,0,IF($F5*'Jan''12 Envestra'!G9/'Jan''12 Envestra'!G10&lt;='Jan''12 Envestra'!G12,($F5*'Jan''12 Envestra'!G9/'Jan''12 Envestra'!G10-'Jan''12 Envestra'!G11)*('Jan''12 Envestra'!G17/100)*'Jan''12 Envestra'!G10,('Jan''12 Envestra'!G12-'Jan''12 Envestra'!G11)*('Jan''12 Envestra'!G17/100)*'Jan''12 Envestra'!G10))</f>
        <v>406.79787587999988</v>
      </c>
      <c r="F44" s="59">
        <f>IF($F5*'Jan''12 Envestra'!H9/'Jan''12 Envestra'!H10&lt;'Jan''12 Envestra'!H11,0,IF($F5*'Jan''12 Envestra'!H9/'Jan''12 Envestra'!H10&lt;='Jan''12 Envestra'!H12,($F5*'Jan''12 Envestra'!H9/'Jan''12 Envestra'!H10-'Jan''12 Envestra'!H11)*('Jan''12 Envestra'!H17/100)*'Jan''12 Envestra'!H10,('Jan''12 Envestra'!H12-'Jan''12 Envestra'!H11)*('Jan''12 Envestra'!H17/100)*'Jan''12 Envestra'!H10))</f>
        <v>0</v>
      </c>
      <c r="G44" s="59">
        <f>IF($F5*'Jan''12 Envestra'!I9/'Jan''12 Envestra'!I10&lt;'Jan''12 Envestra'!I11,0,IF($F5*'Jan''12 Envestra'!I9/'Jan''12 Envestra'!I10&lt;='Jan''12 Envestra'!I12,($F5*'Jan''12 Envestra'!I9/'Jan''12 Envestra'!I10-'Jan''12 Envestra'!I11)*('Jan''12 Envestra'!I17/100)*'Jan''12 Envestra'!I10,('Jan''12 Envestra'!I12-'Jan''12 Envestra'!I11)*('Jan''12 Envestra'!I17/100)*'Jan''12 Envestra'!I10))</f>
        <v>437.22336019999995</v>
      </c>
      <c r="H44" s="59">
        <f>IF($F5*'Jan''12 Envestra'!J9/'Jan''12 Envestra'!J10&lt;'Jan''12 Envestra'!J11,0,IF($F5*'Jan''12 Envestra'!J9/'Jan''12 Envestra'!J10&lt;='Jan''12 Envestra'!J12,($F5*'Jan''12 Envestra'!J9/'Jan''12 Envestra'!J10-'Jan''12 Envestra'!J11)*('Jan''12 Envestra'!J17/100)*'Jan''12 Envestra'!J10,('Jan''12 Envestra'!J12-'Jan''12 Envestra'!J11)*('Jan''12 Envestra'!J17/100)*'Jan''12 Envestra'!J10))</f>
        <v>447.46570539999988</v>
      </c>
      <c r="I44" s="63"/>
    </row>
    <row r="45" spans="1:9" x14ac:dyDescent="0.15">
      <c r="A45" s="40" t="s">
        <v>611</v>
      </c>
      <c r="C45" s="59">
        <f>IF(($F5*'Jan''12 Envestra'!E9/'Jan''12 Envestra'!E10&gt;'Jan''12 Envestra'!E12),($F5*'Jan''12 Envestra'!E9/'Jan''12 Envestra'!E10-'Jan''12 Envestra'!E12)*'Jan''12 Envestra'!E18/100)*'Jan''12 Envestra'!E10</f>
        <v>0</v>
      </c>
      <c r="D45" s="59">
        <f>IF(($F5*'Jan''12 Envestra'!F9/'Jan''12 Envestra'!F10&gt;'Jan''12 Envestra'!F12),($F5*'Jan''12 Envestra'!F9/'Jan''12 Envestra'!F10-'Jan''12 Envestra'!F12)*'Jan''12 Envestra'!F18/100)*'Jan''12 Envestra'!F10</f>
        <v>0</v>
      </c>
      <c r="E45" s="59">
        <f>IF(($F5*'Jan''12 Envestra'!G9/'Jan''12 Envestra'!G10&gt;'Jan''12 Envestra'!G12),($F5*'Jan''12 Envestra'!G9/'Jan''12 Envestra'!G10-'Jan''12 Envestra'!G12)*'Jan''12 Envestra'!G18/100)*'Jan''12 Envestra'!G10</f>
        <v>0</v>
      </c>
      <c r="F45" s="59">
        <f>IF(($F5*'Jan''12 Envestra'!H9/'Jan''12 Envestra'!H10&gt;'Jan''12 Envestra'!H12),($F5*'Jan''12 Envestra'!H9/'Jan''12 Envestra'!H10-'Jan''12 Envestra'!H12)*'Jan''12 Envestra'!H18/100)*'Jan''12 Envestra'!H10</f>
        <v>415.93279999999999</v>
      </c>
      <c r="G45" s="59">
        <f>IF(($F5*'Jan''12 Envestra'!I9/'Jan''12 Envestra'!I10&gt;'Jan''12 Envestra'!I12),($F5*'Jan''12 Envestra'!I9/'Jan''12 Envestra'!I10-'Jan''12 Envestra'!I12)*'Jan''12 Envestra'!I18/100)*'Jan''12 Envestra'!I10</f>
        <v>0</v>
      </c>
      <c r="H45" s="59">
        <f>IF(($F5*'Jan''12 Envestra'!J9/'Jan''12 Envestra'!J10&gt;'Jan''12 Envestra'!J12),($F5*'Jan''12 Envestra'!J9/'Jan''12 Envestra'!J10-'Jan''12 Envestra'!J12)*'Jan''12 Envestra'!J18/100)*'Jan''12 Envestra'!J10</f>
        <v>0</v>
      </c>
      <c r="I45" s="63"/>
    </row>
    <row r="46" spans="1:9" x14ac:dyDescent="0.15">
      <c r="A46" s="40" t="s">
        <v>612</v>
      </c>
      <c r="C46" s="59">
        <f>365*'Jan''12 Envestra'!E19/100</f>
        <v>204.88545000000002</v>
      </c>
      <c r="D46" s="59">
        <f>365*'Jan''12 Envestra'!F19/100</f>
        <v>191.31474999999998</v>
      </c>
      <c r="E46" s="59">
        <f>365*'Jan''12 Envestra'!G19/100</f>
        <v>218.41600000000003</v>
      </c>
      <c r="F46" s="59">
        <f>365*'Jan''12 Envestra'!H19/100</f>
        <v>217.7955</v>
      </c>
      <c r="G46" s="59">
        <f>365*'Jan''12 Envestra'!I19/100</f>
        <v>214.44114999999999</v>
      </c>
      <c r="H46" s="59">
        <f>365*'Jan''12 Envestra'!J19/100</f>
        <v>228.928</v>
      </c>
      <c r="I46" s="60">
        <f>AVERAGE(C46:H46)</f>
        <v>212.63014166666667</v>
      </c>
    </row>
    <row r="47" spans="1:9" x14ac:dyDescent="0.15">
      <c r="A47" s="62" t="s">
        <v>613</v>
      </c>
      <c r="B47" s="63"/>
      <c r="C47" s="61">
        <f t="shared" ref="C47:H47" si="2">SUM(C40:C46)</f>
        <v>1167.5027199000001</v>
      </c>
      <c r="D47" s="61">
        <f t="shared" si="2"/>
        <v>1180.9195980999998</v>
      </c>
      <c r="E47" s="61">
        <f t="shared" si="2"/>
        <v>1246.3891954799999</v>
      </c>
      <c r="F47" s="61">
        <f t="shared" si="2"/>
        <v>1252.2942799999998</v>
      </c>
      <c r="G47" s="61">
        <f t="shared" si="2"/>
        <v>1303.1470814999998</v>
      </c>
      <c r="H47" s="61">
        <f t="shared" si="2"/>
        <v>1349.5261926899998</v>
      </c>
      <c r="I47" s="64">
        <f>AVERAGE(C47:H47)</f>
        <v>1249.9631779450001</v>
      </c>
    </row>
    <row r="49" spans="1:9" x14ac:dyDescent="0.15">
      <c r="A49" s="53" t="s">
        <v>488</v>
      </c>
      <c r="C49" s="23" t="s">
        <v>1044</v>
      </c>
      <c r="D49" s="23" t="s">
        <v>591</v>
      </c>
      <c r="E49" s="23" t="s">
        <v>555</v>
      </c>
      <c r="F49" s="23" t="s">
        <v>544</v>
      </c>
      <c r="G49" s="23" t="s">
        <v>615</v>
      </c>
      <c r="H49" s="23" t="s">
        <v>546</v>
      </c>
      <c r="I49" s="57" t="s">
        <v>601</v>
      </c>
    </row>
    <row r="50" spans="1:9" x14ac:dyDescent="0.15">
      <c r="A50" s="40" t="s">
        <v>602</v>
      </c>
      <c r="C50" s="59">
        <f>IF($F5*'Jan''12 Envestra'!E23/'Jan''12 Envestra'!E24&gt;='Jan''12 Envestra'!E27,('Jan''12 Envestra'!E27*'Jan''12 Envestra'!E29/100)*'Jan''12 Envestra'!E24,($F5*'Jan''12 Envestra'!E23/'Jan''12 Envestra'!E24*'Jan''12 Envestra'!E29/100)*'Jan''12 Envestra'!E24)</f>
        <v>191.928</v>
      </c>
      <c r="D50" s="59">
        <f>IF($F5*'Jan''12 Envestra'!F23/'Jan''12 Envestra'!F24&gt;='Jan''12 Envestra'!F27,('Jan''12 Envestra'!F27*'Jan''12 Envestra'!F29/100)*'Jan''12 Envestra'!F24,($F5*'Jan''12 Envestra'!F23/'Jan''12 Envestra'!F24*'Jan''12 Envestra'!F29/100)*'Jan''12 Envestra'!F24)</f>
        <v>113.2032</v>
      </c>
      <c r="E50" s="59">
        <f>IF($F5*'Jan''12 Envestra'!G23/'Jan''12 Envestra'!G24&gt;='Jan''12 Envestra'!G27,('Jan''12 Envestra'!G27*'Jan''12 Envestra'!G29/100)*'Jan''12 Envestra'!G24,($F5*'Jan''12 Envestra'!G23/'Jan''12 Envestra'!G24*'Jan''12 Envestra'!G29/100)*'Jan''12 Envestra'!G24)</f>
        <v>111.57696</v>
      </c>
      <c r="F50" s="59">
        <f>IF($F5*'Jan''12 Envestra'!H23/'Jan''12 Envestra'!H24&gt;='Jan''12 Envestra'!H27,('Jan''12 Envestra'!H27*'Jan''12 Envestra'!H29/100)*'Jan''12 Envestra'!H24,($F5*'Jan''12 Envestra'!H23/'Jan''12 Envestra'!H24*'Jan''12 Envestra'!H29/100)*'Jan''12 Envestra'!H24)</f>
        <v>109.44</v>
      </c>
      <c r="G50" s="59">
        <f>IF($F5*'Jan''12 Envestra'!I23/'Jan''12 Envestra'!I24&gt;='Jan''12 Envestra'!I27,('Jan''12 Envestra'!I27*'Jan''12 Envestra'!I29/100)*'Jan''12 Envestra'!I24,($F5*'Jan''12 Envestra'!I23/'Jan''12 Envestra'!I24*'Jan''12 Envestra'!I29/100)*'Jan''12 Envestra'!I24)</f>
        <v>115.8784</v>
      </c>
      <c r="H50" s="59">
        <f>IF($F5*'Jan''12 Envestra'!J23/'Jan''12 Envestra'!J24&gt;='Jan''12 Envestra'!J27,('Jan''12 Envestra'!J27*'Jan''12 Envestra'!J29/100)*'Jan''12 Envestra'!J24,($F5*'Jan''12 Envestra'!J23/'Jan''12 Envestra'!J24*'Jan''12 Envestra'!J29/100)*'Jan''12 Envestra'!J24)</f>
        <v>122.80512</v>
      </c>
      <c r="I50" s="63"/>
    </row>
    <row r="51" spans="1:9" x14ac:dyDescent="0.15">
      <c r="A51" s="40" t="s">
        <v>603</v>
      </c>
      <c r="C51" s="59">
        <f>IF($F5*'Jan''12 Envestra'!E23/'Jan''12 Envestra'!E25&lt;'Jan''12 Envestra'!E27,0,IF($F5*'Jan''12 Envestra'!E23/'Jan''12 Envestra'!E24&lt;='Jan''12 Envestra'!E28,($F5*'Jan''12 Envestra'!E23/'Jan''12 Envestra'!E24-'Jan''12 Envestra'!E27)*('Jan''12 Envestra'!E30/100)*'Jan''12 Envestra'!E24,('Jan''12 Envestra'!E28-'Jan''12 Envestra'!E27)*('Jan''12 Envestra'!E30/100)*'Jan''12 Envestra'!E24))</f>
        <v>123.32521739999999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63"/>
    </row>
    <row r="52" spans="1:9" x14ac:dyDescent="0.15">
      <c r="A52" s="40" t="s">
        <v>606</v>
      </c>
      <c r="C52" s="59">
        <f>IF(($F5*'Jan''12 Envestra'!E23/'Jan''12 Envestra'!E24&gt;'Jan''12 Envestra'!E28),($F5*'Jan''12 Envestra'!E23/'Jan''12 Envestra'!E24-'Jan''12 Envestra'!E28)*'Jan''12 Envestra'!E31/100*'Jan''12 Envestra'!E24,0)</f>
        <v>0</v>
      </c>
      <c r="D52" s="59">
        <f>IF(($F5*'Jan''12 Envestra'!F23/'Jan''12 Envestra'!F24&gt;'Jan''12 Envestra'!F28),($F5*'Jan''12 Envestra'!F23/'Jan''12 Envestra'!F24-'Jan''12 Envestra'!F28)*'Jan''12 Envestra'!F31/100*'Jan''12 Envestra'!F24,0)</f>
        <v>210.03458519999995</v>
      </c>
      <c r="E52" s="59">
        <f>IF(($F5*'Jan''12 Envestra'!G23/'Jan''12 Envestra'!G24&gt;'Jan''12 Envestra'!G28),($F5*'Jan''12 Envestra'!G23/'Jan''12 Envestra'!G24-'Jan''12 Envestra'!G28)*'Jan''12 Envestra'!G31/100*'Jan''12 Envestra'!G24,0)</f>
        <v>221.85304503999996</v>
      </c>
      <c r="F52" s="59">
        <f>IF(($F5*'Jan''12 Envestra'!H23/'Jan''12 Envestra'!H24&gt;'Jan''12 Envestra'!H28),($F5*'Jan''12 Envestra'!H23/'Jan''12 Envestra'!H24-'Jan''12 Envestra'!H28)*'Jan''12 Envestra'!H31/100*'Jan''12 Envestra'!H24,0)</f>
        <v>216.04891999999995</v>
      </c>
      <c r="G52" s="59">
        <f>IF(($F5*'Jan''12 Envestra'!I23/'Jan''12 Envestra'!I24&gt;'Jan''12 Envestra'!I28),($F5*'Jan''12 Envestra'!I23/'Jan''12 Envestra'!I24-'Jan''12 Envestra'!I28)*'Jan''12 Envestra'!I31/100*'Jan''12 Envestra'!I24,0)</f>
        <v>233.15765879999995</v>
      </c>
      <c r="H52" s="59">
        <f>IF(($F5*'Jan''12 Envestra'!J23/'Jan''12 Envestra'!J24&gt;'Jan''12 Envestra'!J28),($F5*'Jan''12 Envestra'!J23/'Jan''12 Envestra'!J24-'Jan''12 Envestra'!J28)*'Jan''12 Envestra'!J31/100*'Jan''12 Envestra'!J24,0)</f>
        <v>248.73069851999998</v>
      </c>
      <c r="I52" s="63"/>
    </row>
    <row r="53" spans="1:9" x14ac:dyDescent="0.15">
      <c r="A53" s="40" t="s">
        <v>607</v>
      </c>
      <c r="C53" s="59">
        <f>IF($F5*'Jan''12 Envestra'!E25/'Jan''12 Envestra'!E26&gt;='Jan''12 Envestra'!E27,('Jan''12 Envestra'!E27*'Jan''12 Envestra'!E32/100)*'Jan''12 Envestra'!E26,($F5*'Jan''12 Envestra'!E25/'Jan''12 Envestra'!E26*'Jan''12 Envestra'!E32/100*'Jan''12 Envestra'!E26))</f>
        <v>368.28</v>
      </c>
      <c r="D53" s="59">
        <f>IF($F5*'Jan''12 Envestra'!F25/'Jan''12 Envestra'!F26&gt;='Jan''12 Envestra'!F27,('Jan''12 Envestra'!F27*'Jan''12 Envestra'!F32/100)*'Jan''12 Envestra'!F26,($F5*'Jan''12 Envestra'!F25/'Jan''12 Envestra'!F26*'Jan''12 Envestra'!F32/100*'Jan''12 Envestra'!F26))</f>
        <v>203.8784</v>
      </c>
      <c r="E53" s="59">
        <f>IF($F5*'Jan''12 Envestra'!G25/'Jan''12 Envestra'!G26&gt;='Jan''12 Envestra'!G27,('Jan''12 Envestra'!G27*'Jan''12 Envestra'!G32/100)*'Jan''12 Envestra'!G26,($F5*'Jan''12 Envestra'!G25/'Jan''12 Envestra'!G26*'Jan''12 Envestra'!G32/100*'Jan''12 Envestra'!G26))</f>
        <v>207.18719999999996</v>
      </c>
      <c r="F53" s="59">
        <f>IF($F5*'Jan''12 Envestra'!H25/'Jan''12 Envestra'!H26&gt;='Jan''12 Envestra'!H27,('Jan''12 Envestra'!H27*'Jan''12 Envestra'!H32/100)*'Jan''12 Envestra'!H26,($F5*'Jan''12 Envestra'!H25/'Jan''12 Envestra'!H26*'Jan''12 Envestra'!H32/100*'Jan''12 Envestra'!H26))</f>
        <v>209.92</v>
      </c>
      <c r="G53" s="59">
        <f>IF($F5*'Jan''12 Envestra'!I25/'Jan''12 Envestra'!I26&gt;='Jan''12 Envestra'!I27,('Jan''12 Envestra'!I27*'Jan''12 Envestra'!I32/100)*'Jan''12 Envestra'!I26,($F5*'Jan''12 Envestra'!I25/'Jan''12 Envestra'!I26*'Jan''12 Envestra'!I32/100*'Jan''12 Envestra'!I26))</f>
        <v>217.25439999999998</v>
      </c>
      <c r="H53" s="59">
        <f>IF($F5*'Jan''12 Envestra'!J25/'Jan''12 Envestra'!J26&gt;='Jan''12 Envestra'!J27,('Jan''12 Envestra'!J27*'Jan''12 Envestra'!J32/100)*'Jan''12 Envestra'!J26,($F5*'Jan''12 Envestra'!J25/'Jan''12 Envestra'!J26*'Jan''12 Envestra'!J32/100*'Jan''12 Envestra'!J26))</f>
        <v>241.86496</v>
      </c>
      <c r="I53" s="63"/>
    </row>
    <row r="54" spans="1:9" x14ac:dyDescent="0.15">
      <c r="A54" s="40" t="s">
        <v>608</v>
      </c>
      <c r="C54" s="59">
        <f>IF($F5*'Jan''12 Envestra'!E25/'Jan''12 Envestra'!E26&lt;'Jan''12 Envestra'!E27,0,IF($F5*'Jan''12 Envestra'!E25/'Jan''12 Envestra'!E26&lt;='Jan''12 Envestra'!E28,($F5*'Jan''12 Envestra'!E25/'Jan''12 Envestra'!E26-'Jan''12 Envestra'!E27)*('Jan''12 Envestra'!E33/100)*'Jan''12 Envestra'!E26,('Jan''12 Envestra'!E28-'Jan''12 Envestra'!E27)*('Jan''12 Envestra'!E33/100)*'Jan''12 Envestra'!E26))</f>
        <v>238.93023659999994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63"/>
    </row>
    <row r="55" spans="1:9" x14ac:dyDescent="0.15">
      <c r="A55" s="40" t="s">
        <v>611</v>
      </c>
      <c r="C55" s="59">
        <f>IF(($F5*'Jan''12 Envestra'!E25/'Jan''12 Envestra'!E26&gt;'Jan''12 Envestra'!E28),($F5*'Jan''12 Envestra'!E25/'Jan''12 Envestra'!E26-'Jan''12 Envestra'!E28)*'Jan''12 Envestra'!E34/100*'Jan''12 Envestra'!E26,0)</f>
        <v>0</v>
      </c>
      <c r="D55" s="59">
        <f>IF(($F5*'Jan''12 Envestra'!F25/'Jan''12 Envestra'!F26&gt;'Jan''12 Envestra'!F28),($F5*'Jan''12 Envestra'!F25/'Jan''12 Envestra'!F26-'Jan''12 Envestra'!F28)*'Jan''12 Envestra'!F34/100*'Jan''12 Envestra'!F26,0)</f>
        <v>393.73455879999995</v>
      </c>
      <c r="E55" s="59">
        <f>IF(($F5*'Jan''12 Envestra'!G25/'Jan''12 Envestra'!G26&gt;'Jan''12 Envestra'!G28),($F5*'Jan''12 Envestra'!G25/'Jan''12 Envestra'!G26-'Jan''12 Envestra'!G28)*'Jan''12 Envestra'!G34/100*'Jan''12 Envestra'!G26,0)</f>
        <v>412.45782534</v>
      </c>
      <c r="F55" s="59">
        <f>IF(($F5*'Jan''12 Envestra'!H25/'Jan''12 Envestra'!H26&gt;'Jan''12 Envestra'!H28),($F5*'Jan''12 Envestra'!H25/'Jan''12 Envestra'!H26-'Jan''12 Envestra'!H28)*'Jan''12 Envestra'!H34/100*'Jan''12 Envestra'!H26,0)</f>
        <v>420.41951999999992</v>
      </c>
      <c r="G55" s="59">
        <f>IF(($F5*'Jan''12 Envestra'!I25/'Jan''12 Envestra'!I26&gt;'Jan''12 Envestra'!I28),($F5*'Jan''12 Envestra'!I25/'Jan''12 Envestra'!I26-'Jan''12 Envestra'!I28)*'Jan''12 Envestra'!I34/100*'Jan''12 Envestra'!I26,0)</f>
        <v>442.22878259999993</v>
      </c>
      <c r="H55" s="59">
        <f>IF(($F5*'Jan''12 Envestra'!J25/'Jan''12 Envestra'!J26&gt;'Jan''12 Envestra'!J28),($F5*'Jan''12 Envestra'!J25/'Jan''12 Envestra'!J26-'Jan''12 Envestra'!J28)*'Jan''12 Envestra'!J34/100*'Jan''12 Envestra'!J26,0)</f>
        <v>485.42980785999993</v>
      </c>
      <c r="I55" s="63"/>
    </row>
    <row r="56" spans="1:9" x14ac:dyDescent="0.15">
      <c r="A56" s="40" t="s">
        <v>612</v>
      </c>
      <c r="C56" s="59">
        <f>365*'Jan''12 Envestra'!E35/100</f>
        <v>204.84529999999998</v>
      </c>
      <c r="D56" s="59">
        <f>365*'Jan''12 Envestra'!F35/100</f>
        <v>186.01495</v>
      </c>
      <c r="E56" s="59">
        <f>365*'Jan''12 Envestra'!G35/100</f>
        <v>212.79499999999999</v>
      </c>
      <c r="F56" s="59">
        <f>365*'Jan''12 Envestra'!H35/100</f>
        <v>208.5975</v>
      </c>
      <c r="G56" s="59">
        <f>365*'Jan''12 Envestra'!I35/100</f>
        <v>208.21790000000001</v>
      </c>
      <c r="H56" s="59">
        <f>365*'Jan''12 Envestra'!J35/100</f>
        <v>205.57530000000003</v>
      </c>
      <c r="I56" s="60">
        <f>AVERAGE(C56:H56)</f>
        <v>204.34099166666667</v>
      </c>
    </row>
    <row r="57" spans="1:9" x14ac:dyDescent="0.15">
      <c r="A57" s="62" t="s">
        <v>613</v>
      </c>
      <c r="B57" s="63"/>
      <c r="C57" s="61">
        <f t="shared" ref="C57:H57" si="3">SUM(C50:C56)</f>
        <v>1127.3087539999999</v>
      </c>
      <c r="D57" s="61">
        <f t="shared" si="3"/>
        <v>1106.8656940000001</v>
      </c>
      <c r="E57" s="61">
        <f t="shared" si="3"/>
        <v>1165.8700303799999</v>
      </c>
      <c r="F57" s="61">
        <f t="shared" si="3"/>
        <v>1164.4259399999999</v>
      </c>
      <c r="G57" s="61">
        <f t="shared" si="3"/>
        <v>1216.7371413999999</v>
      </c>
      <c r="H57" s="61">
        <f t="shared" si="3"/>
        <v>1304.4058863799999</v>
      </c>
      <c r="I57" s="64">
        <f>AVERAGE(C57:H57)</f>
        <v>1180.9355743599999</v>
      </c>
    </row>
    <row r="59" spans="1:9" x14ac:dyDescent="0.15">
      <c r="A59" s="53" t="s">
        <v>1028</v>
      </c>
      <c r="C59" s="23" t="s">
        <v>1044</v>
      </c>
      <c r="D59" s="23" t="s">
        <v>591</v>
      </c>
      <c r="E59" s="23" t="s">
        <v>555</v>
      </c>
      <c r="F59" s="23" t="s">
        <v>544</v>
      </c>
      <c r="G59" s="23" t="s">
        <v>615</v>
      </c>
      <c r="H59" s="23" t="s">
        <v>546</v>
      </c>
      <c r="I59" s="57" t="s">
        <v>601</v>
      </c>
    </row>
    <row r="60" spans="1:9" x14ac:dyDescent="0.15">
      <c r="A60" s="40" t="s">
        <v>602</v>
      </c>
      <c r="C60" s="59">
        <f>IF($F5*'Jan''12 Envestra'!E39/'Jan''12 Envestra'!E40&gt;='Jan''12 Envestra'!E43,('Jan''12 Envestra'!E43*'Jan''12 Envestra'!E45/100)*'Jan''12 Envestra'!E40,($F5*'Jan''12 Envestra'!E39/'Jan''12 Envestra'!E40*'Jan''12 Envestra'!E45/100)*'Jan''12 Envestra'!E40)</f>
        <v>196.68</v>
      </c>
      <c r="D60" s="59">
        <f>IF($F5*'Jan''12 Envestra'!F39/'Jan''12 Envestra'!F40&gt;='Jan''12 Envestra'!F43,('Jan''12 Envestra'!F43*'Jan''12 Envestra'!F45/100)*'Jan''12 Envestra'!F40,($F5*'Jan''12 Envestra'!F39/'Jan''12 Envestra'!F40*'Jan''12 Envestra'!F45/100)*'Jan''12 Envestra'!F40)</f>
        <v>139.392</v>
      </c>
      <c r="E60" s="59">
        <f>IF($F5*'Jan''12 Envestra'!G39/'Jan''12 Envestra'!G40&gt;='Jan''12 Envestra'!G43,('Jan''12 Envestra'!G43*'Jan''12 Envestra'!G45/100)*'Jan''12 Envestra'!G40,($F5*'Jan''12 Envestra'!G39/'Jan''12 Envestra'!G40*'Jan''12 Envestra'!G45/100)*'Jan''12 Envestra'!G40)</f>
        <v>146.33520000000001</v>
      </c>
      <c r="F60" s="59">
        <f>IF($F5*'Jan''12 Envestra'!H39/'Jan''12 Envestra'!H40&gt;='Jan''12 Envestra'!H43,('Jan''12 Envestra'!H43*'Jan''12 Envestra'!H45/100)*'Jan''12 Envestra'!H40,($F5*'Jan''12 Envestra'!H39/'Jan''12 Envestra'!H40*'Jan''12 Envestra'!H45/100)*'Jan''12 Envestra'!H40)</f>
        <v>138.4</v>
      </c>
      <c r="G60" s="59">
        <f>IF($F5*'Jan''12 Envestra'!I39/'Jan''12 Envestra'!I40&gt;='Jan''12 Envestra'!I43,('Jan''12 Envestra'!I43*'Jan''12 Envestra'!I45/100)*'Jan''12 Envestra'!I40,($F5*'Jan''12 Envestra'!I39/'Jan''12 Envestra'!I40*'Jan''12 Envestra'!I45/100)*'Jan''12 Envestra'!I40)</f>
        <v>148.89600000000002</v>
      </c>
      <c r="H60" s="59">
        <f>IF($F5*'Jan''12 Envestra'!J39/'Jan''12 Envestra'!J40&gt;='Jan''12 Envestra'!J43,('Jan''12 Envestra'!J43*'Jan''12 Envestra'!J45/100)*'Jan''12 Envestra'!J40,($F5*'Jan''12 Envestra'!J39/'Jan''12 Envestra'!J40*'Jan''12 Envestra'!J45/100)*'Jan''12 Envestra'!J40)</f>
        <v>153.62479999999999</v>
      </c>
      <c r="I60" s="63"/>
    </row>
    <row r="61" spans="1:9" x14ac:dyDescent="0.15">
      <c r="A61" s="40" t="s">
        <v>603</v>
      </c>
      <c r="C61" s="59">
        <f>IF($F5*'Jan''12 Envestra'!E39/'Jan''12 Envestra'!E40&lt;'Jan''12 Envestra'!E43,0,IF($F5*'Jan''12 Envestra'!E39/'Jan''12 Envestra'!E40&lt;='Jan''12 Envestra'!E44,($F5*'Jan''12 Envestra'!E39/'Jan''12 Envestra'!E40-'Jan''12 Envestra'!E43)*('Jan''12 Envestra'!E46/100)*'Jan''12 Envestra'!E40,('Jan''12 Envestra'!E44-'Jan''12 Envestra'!E43)*('Jan''12 Envestra'!E46/100)*'Jan''12 Envestra'!E40))</f>
        <v>122.53340219999995</v>
      </c>
      <c r="D61" s="59">
        <f>IF($F5*'Jan''12 Envestra'!F39/'Jan''12 Envestra'!F40&lt;'Jan''12 Envestra'!F43,0,IF($F5*'Jan''12 Envestra'!F39/'Jan''12 Envestra'!F40&lt;='Jan''12 Envestra'!F44,($F5*'Jan''12 Envestra'!F39/'Jan''12 Envestra'!F40-'Jan''12 Envestra'!F43)*('Jan''12 Envestra'!F46/100)*'Jan''12 Envestra'!F40,('Jan''12 Envestra'!F44-'Jan''12 Envestra'!F43)*('Jan''12 Envestra'!F46/100)*'Jan''12 Envestra'!F40))</f>
        <v>199.88170619999997</v>
      </c>
      <c r="E61" s="59">
        <f>IF($F5*'Jan''12 Envestra'!G39/'Jan''12 Envestra'!G40&lt;'Jan''12 Envestra'!G43,0,IF($F5*'Jan''12 Envestra'!G39/'Jan''12 Envestra'!G40&lt;='Jan''12 Envestra'!G44,($F5*'Jan''12 Envestra'!G39/'Jan''12 Envestra'!G40-'Jan''12 Envestra'!G43)*('Jan''12 Envestra'!G46/100)*'Jan''12 Envestra'!G40,('Jan''12 Envestra'!G44-'Jan''12 Envestra'!G43)*('Jan''12 Envestra'!G46/100)*'Jan''12 Envestra'!G40))</f>
        <v>202.66975574999998</v>
      </c>
      <c r="F61" s="59">
        <f>IF($F5*'Jan''12 Envestra'!H39/'Jan''12 Envestra'!H40&lt;'Jan''12 Envestra'!H43,0,IF($F5*'Jan''12 Envestra'!H39/'Jan''12 Envestra'!H40&lt;='Jan''12 Envestra'!H44,($F5*'Jan''12 Envestra'!H39/'Jan''12 Envestra'!H40-'Jan''12 Envestra'!H43)*('Jan''12 Envestra'!H46/100)*'Jan''12 Envestra'!H40,('Jan''12 Envestra'!H44-'Jan''12 Envestra'!H43)*('Jan''12 Envestra'!H46/100)*'Jan''12 Envestra'!H40))</f>
        <v>0</v>
      </c>
      <c r="G61" s="59">
        <f>IF($F5*'Jan''12 Envestra'!I39/'Jan''12 Envestra'!I40&lt;'Jan''12 Envestra'!I43,0,IF($F5*'Jan''12 Envestra'!I39/'Jan''12 Envestra'!I40&lt;='Jan''12 Envestra'!I44,($F5*'Jan''12 Envestra'!I39/'Jan''12 Envestra'!I40-'Jan''12 Envestra'!I43)*('Jan''12 Envestra'!I46/100)*'Jan''12 Envestra'!I40,('Jan''12 Envestra'!I44-'Jan''12 Envestra'!I43)*('Jan''12 Envestra'!I46/100)*'Jan''12 Envestra'!I40))</f>
        <v>214.17939619999996</v>
      </c>
      <c r="H61" s="59">
        <f>IF($F5*'Jan''12 Envestra'!J39/'Jan''12 Envestra'!J40&lt;'Jan''12 Envestra'!J43,0,IF($F5*'Jan''12 Envestra'!J39/'Jan''12 Envestra'!J40&lt;='Jan''12 Envestra'!J44,($F5*'Jan''12 Envestra'!J39/'Jan''12 Envestra'!J40-'Jan''12 Envestra'!J43)*('Jan''12 Envestra'!J46/100)*'Jan''12 Envestra'!J40,('Jan''12 Envestra'!J44-'Jan''12 Envestra'!J43)*('Jan''12 Envestra'!J46/100)*'Jan''12 Envestra'!J40))</f>
        <v>219.10040113999995</v>
      </c>
      <c r="I61" s="63"/>
    </row>
    <row r="62" spans="1:9" x14ac:dyDescent="0.15">
      <c r="A62" s="40" t="s">
        <v>606</v>
      </c>
      <c r="C62" s="59">
        <f>IF(($F5*'Jan''12 Envestra'!E39/'Jan''12 Envestra'!E40&gt;'Jan''12 Envestra'!E44),($F5*'Jan''12 Envestra'!E39/'Jan''12 Envestra'!E40-'Jan''12 Envestra'!E44)*'Jan''12 Envestra'!E47/100)*'Jan''12 Envestra'!E40</f>
        <v>0</v>
      </c>
      <c r="D62" s="59">
        <f>IF(($F5*'Jan''12 Envestra'!F39/'Jan''12 Envestra'!F40&gt;'Jan''12 Envestra'!F44),($F5*'Jan''12 Envestra'!F39/'Jan''12 Envestra'!F40-'Jan''12 Envestra'!F44)*'Jan''12 Envestra'!F47/100)*'Jan''12 Envestra'!F40</f>
        <v>0</v>
      </c>
      <c r="E62" s="59">
        <f>IF(($F5*'Jan''12 Envestra'!G39/'Jan''12 Envestra'!G40&gt;'Jan''12 Envestra'!G44),($F5*'Jan''12 Envestra'!G39/'Jan''12 Envestra'!G40-'Jan''12 Envestra'!G44)*'Jan''12 Envestra'!G47/100)*'Jan''12 Envestra'!G40</f>
        <v>0</v>
      </c>
      <c r="F62" s="59">
        <f>IF(($F5*'Jan''12 Envestra'!H39/'Jan''12 Envestra'!H40&gt;'Jan''12 Envestra'!H44),($F5*'Jan''12 Envestra'!H39/'Jan''12 Envestra'!H40-'Jan''12 Envestra'!H44)*'Jan''12 Envestra'!H47/100)*'Jan''12 Envestra'!H40</f>
        <v>200.16765999999996</v>
      </c>
      <c r="G62" s="59">
        <f>IF(($F5*'Jan''12 Envestra'!I39/'Jan''12 Envestra'!I40&gt;'Jan''12 Envestra'!I44),($F5*'Jan''12 Envestra'!I39/'Jan''12 Envestra'!I40-'Jan''12 Envestra'!I44)*'Jan''12 Envestra'!I47/100)*'Jan''12 Envestra'!I40</f>
        <v>0</v>
      </c>
      <c r="H62" s="59">
        <f>IF(($F5*'Jan''12 Envestra'!J39/'Jan''12 Envestra'!J40&gt;'Jan''12 Envestra'!J44),($F5*'Jan''12 Envestra'!J39/'Jan''12 Envestra'!J40-'Jan''12 Envestra'!J44)*'Jan''12 Envestra'!J47/100)*'Jan''12 Envestra'!J40</f>
        <v>0</v>
      </c>
      <c r="I62" s="63"/>
    </row>
    <row r="63" spans="1:9" x14ac:dyDescent="0.15">
      <c r="A63" s="40" t="s">
        <v>607</v>
      </c>
      <c r="C63" s="59">
        <f>IF($F5*'Jan''12 Envestra'!E41/'Jan''12 Envestra'!E42&gt;='Jan''12 Envestra'!E43,('Jan''12 Envestra'!E43*'Jan''12 Envestra'!E48/100)*'Jan''12 Envestra'!E42,($F5*'Jan''12 Envestra'!E41/'Jan''12 Envestra'!E42*'Jan''12 Envestra'!E48/100)*'Jan''12 Envestra'!E42)</f>
        <v>384.38400000000001</v>
      </c>
      <c r="D63" s="59">
        <f>IF($F5*'Jan''12 Envestra'!F41/'Jan''12 Envestra'!F42&gt;='Jan''12 Envestra'!F43,('Jan''12 Envestra'!F43*'Jan''12 Envestra'!F48/100)*'Jan''12 Envestra'!F42,($F5*'Jan''12 Envestra'!F41/'Jan''12 Envestra'!F42*'Jan''12 Envestra'!F48/100)*'Jan''12 Envestra'!F42)</f>
        <v>264.70400000000001</v>
      </c>
      <c r="E63" s="59">
        <f>IF($F5*'Jan''12 Envestra'!G41/'Jan''12 Envestra'!G42&gt;='Jan''12 Envestra'!G43,('Jan''12 Envestra'!G43*'Jan''12 Envestra'!G48/100)*'Jan''12 Envestra'!G42,($F5*'Jan''12 Envestra'!G41/'Jan''12 Envestra'!G42*'Jan''12 Envestra'!G48/100)*'Jan''12 Envestra'!G42)</f>
        <v>278.06239999999997</v>
      </c>
      <c r="F63" s="59">
        <f>IF($F5*'Jan''12 Envestra'!H41/'Jan''12 Envestra'!H42&gt;='Jan''12 Envestra'!H43,('Jan''12 Envestra'!H43*'Jan''12 Envestra'!H48/100)*'Jan''12 Envestra'!H42,($F5*'Jan''12 Envestra'!H41/'Jan''12 Envestra'!H42*'Jan''12 Envestra'!H48/100)*'Jan''12 Envestra'!H42)</f>
        <v>268.8</v>
      </c>
      <c r="G63" s="59">
        <f>IF($F5*'Jan''12 Envestra'!I41/'Jan''12 Envestra'!I42&gt;='Jan''12 Envestra'!I43,('Jan''12 Envestra'!I43*'Jan''12 Envestra'!I48/100)*'Jan''12 Envestra'!I42,($F5*'Jan''12 Envestra'!I41/'Jan''12 Envestra'!I42*'Jan''12 Envestra'!I48/100)*'Jan''12 Envestra'!I42)</f>
        <v>292.86400000000003</v>
      </c>
      <c r="H63" s="59">
        <f>IF($F5*'Jan''12 Envestra'!J41/'Jan''12 Envestra'!J42&gt;='Jan''12 Envestra'!J43,('Jan''12 Envestra'!J43*'Jan''12 Envestra'!J48/100)*'Jan''12 Envestra'!J42,($F5*'Jan''12 Envestra'!J41/'Jan''12 Envestra'!J42*'Jan''12 Envestra'!J48/100)*'Jan''12 Envestra'!J42)</f>
        <v>302.56799999999998</v>
      </c>
      <c r="I63" s="63"/>
    </row>
    <row r="64" spans="1:9" x14ac:dyDescent="0.15">
      <c r="A64" s="40" t="s">
        <v>608</v>
      </c>
      <c r="C64" s="59">
        <f>IF($F5*'Jan''12 Envestra'!E41/'Jan''12 Envestra'!E42&lt;'Jan''12 Envestra'!E43,0,IF($F5*'Jan''12 Envestra'!E41/'Jan''12 Envestra'!E42&lt;='Jan''12 Envestra'!E44,($F5*'Jan''12 Envestra'!E41/'Jan''12 Envestra'!E42-'Jan''12 Envestra'!E43)*('Jan''12 Envestra'!E49/100)*'Jan''12 Envestra'!E42,('Jan''12 Envestra'!E44-'Jan''12 Envestra'!E43)*('Jan''12 Envestra'!E49/100)*'Jan''12 Envestra'!E42))</f>
        <v>236.15888339999995</v>
      </c>
      <c r="D64" s="59">
        <f>IF($F5*'Jan''12 Envestra'!F41/'Jan''12 Envestra'!F42&lt;'Jan''12 Envestra'!F43,0,IF($F5*'Jan''12 Envestra'!F41/'Jan''12 Envestra'!F42&lt;='Jan''12 Envestra'!F44,($F5*'Jan''12 Envestra'!F41/'Jan''12 Envestra'!F42-'Jan''12 Envestra'!F43)*('Jan''12 Envestra'!F49/100)*'Jan''12 Envestra'!F42,('Jan''12 Envestra'!F44-'Jan''12 Envestra'!F43)*('Jan''12 Envestra'!F49/100)*'Jan''12 Envestra'!F42))</f>
        <v>372.02589379999995</v>
      </c>
      <c r="E64" s="59">
        <f>IF($F5*'Jan''12 Envestra'!G41/'Jan''12 Envestra'!G42&lt;'Jan''12 Envestra'!G43,0,IF($F5*'Jan''12 Envestra'!G41/'Jan''12 Envestra'!G42&lt;='Jan''12 Envestra'!G44,($F5*'Jan''12 Envestra'!G41/'Jan''12 Envestra'!G42-'Jan''12 Envestra'!G43)*('Jan''12 Envestra'!G49/100)*'Jan''12 Envestra'!G42,('Jan''12 Envestra'!G44-'Jan''12 Envestra'!G43)*('Jan''12 Envestra'!G49/100)*'Jan''12 Envestra'!G42))</f>
        <v>385.83746233999989</v>
      </c>
      <c r="F64" s="59">
        <f>IF($F5*'Jan''12 Envestra'!H41/'Jan''12 Envestra'!H42&lt;'Jan''12 Envestra'!H43,0,IF($F5*'Jan''12 Envestra'!H41/'Jan''12 Envestra'!H42&lt;='Jan''12 Envestra'!H44,($F5*'Jan''12 Envestra'!H41/'Jan''12 Envestra'!H42-'Jan''12 Envestra'!H43)*('Jan''12 Envestra'!H49/100)*'Jan''12 Envestra'!H42,('Jan''12 Envestra'!H44-'Jan''12 Envestra'!H43)*('Jan''12 Envestra'!H49/100)*'Jan''12 Envestra'!H42))</f>
        <v>0</v>
      </c>
      <c r="G64" s="59">
        <f>IF($F5*'Jan''12 Envestra'!I41/'Jan''12 Envestra'!I42&lt;'Jan''12 Envestra'!I43,0,IF($F5*'Jan''12 Envestra'!I41/'Jan''12 Envestra'!I42&lt;='Jan''12 Envestra'!I44,($F5*'Jan''12 Envestra'!I41/'Jan''12 Envestra'!I42-'Jan''12 Envestra'!I43)*('Jan''12 Envestra'!I49/100)*'Jan''12 Envestra'!I42,('Jan''12 Envestra'!I44-'Jan''12 Envestra'!I43)*('Jan''12 Envestra'!I49/100)*'Jan''12 Envestra'!I42))</f>
        <v>423.49757779999993</v>
      </c>
      <c r="H64" s="59">
        <f>IF($F5*'Jan''12 Envestra'!J41/'Jan''12 Envestra'!J42&lt;'Jan''12 Envestra'!J43,0,IF($F5*'Jan''12 Envestra'!J41/'Jan''12 Envestra'!J42&lt;='Jan''12 Envestra'!J44,($F5*'Jan''12 Envestra'!J41/'Jan''12 Envestra'!J42-'Jan''12 Envestra'!J43)*('Jan''12 Envestra'!J49/100)*'Jan''12 Envestra'!J42,('Jan''12 Envestra'!J44-'Jan''12 Envestra'!J43)*('Jan''12 Envestra'!J49/100)*'Jan''12 Envestra'!J42))</f>
        <v>427.45933771999995</v>
      </c>
      <c r="I64" s="63"/>
    </row>
    <row r="65" spans="1:9" x14ac:dyDescent="0.15">
      <c r="A65" s="40" t="s">
        <v>611</v>
      </c>
      <c r="C65" s="59">
        <f>IF(($F5*'Jan''12 Envestra'!E41/'Jan''12 Envestra'!E42&gt;'Jan''12 Envestra'!E44),($F5*'Jan''12 Envestra'!E41/'Jan''12 Envestra'!E42-'Jan''12 Envestra'!E44)*'Jan''12 Envestra'!E50/100)*'Jan''12 Envestra'!E42</f>
        <v>0</v>
      </c>
      <c r="D65" s="59">
        <f>IF(($F5*'Jan''12 Envestra'!F41/'Jan''12 Envestra'!F42&gt;'Jan''12 Envestra'!F44),($F5*'Jan''12 Envestra'!F41/'Jan''12 Envestra'!F42-'Jan''12 Envestra'!F44)*'Jan''12 Envestra'!F50/100)*'Jan''12 Envestra'!F42</f>
        <v>0</v>
      </c>
      <c r="E65" s="59">
        <f>IF(($F5*'Jan''12 Envestra'!G41/'Jan''12 Envestra'!G42&gt;'Jan''12 Envestra'!G44),($F5*'Jan''12 Envestra'!G41/'Jan''12 Envestra'!G42-'Jan''12 Envestra'!G44)*'Jan''12 Envestra'!G50/100)*'Jan''12 Envestra'!G42</f>
        <v>0</v>
      </c>
      <c r="F65" s="59">
        <f>IF(($F5*'Jan''12 Envestra'!H41/'Jan''12 Envestra'!H42&gt;'Jan''12 Envestra'!H44),($F5*'Jan''12 Envestra'!H41/'Jan''12 Envestra'!H42-'Jan''12 Envestra'!H44)*'Jan''12 Envestra'!H50/100)*'Jan''12 Envestra'!H42</f>
        <v>392.53657999999996</v>
      </c>
      <c r="G65" s="59">
        <f>IF(($F5*'Jan''12 Envestra'!I41/'Jan''12 Envestra'!I42&gt;'Jan''12 Envestra'!I44),($F5*'Jan''12 Envestra'!I41/'Jan''12 Envestra'!I42-'Jan''12 Envestra'!I44)*'Jan''12 Envestra'!I50/100)*'Jan''12 Envestra'!I42</f>
        <v>0</v>
      </c>
      <c r="H65" s="59">
        <f>IF(($F5*'Jan''12 Envestra'!J41/'Jan''12 Envestra'!J42&gt;'Jan''12 Envestra'!J44),($F5*'Jan''12 Envestra'!J41/'Jan''12 Envestra'!J42-'Jan''12 Envestra'!J44)*'Jan''12 Envestra'!J50/100)*'Jan''12 Envestra'!J42</f>
        <v>0</v>
      </c>
      <c r="I65" s="63"/>
    </row>
    <row r="66" spans="1:9" x14ac:dyDescent="0.15">
      <c r="A66" s="40" t="s">
        <v>612</v>
      </c>
      <c r="C66" s="59">
        <f>365*'Jan''12 Envestra'!E51/100</f>
        <v>204.24305000000001</v>
      </c>
      <c r="D66" s="59">
        <f>365*'Jan''12 Envestra'!F51/100</f>
        <v>187.58080000000001</v>
      </c>
      <c r="E66" s="59">
        <f>365*'Jan''12 Envestra'!G51/100</f>
        <v>218.53645</v>
      </c>
      <c r="F66" s="59">
        <f>365*'Jan''12 Envestra'!H51/100</f>
        <v>212.68550000000002</v>
      </c>
      <c r="G66" s="59">
        <f>365*'Jan''12 Envestra'!I51/100</f>
        <v>214.4813</v>
      </c>
      <c r="H66" s="59">
        <f>365*'Jan''12 Envestra'!J51/100</f>
        <v>229.38424999999998</v>
      </c>
      <c r="I66" s="60">
        <f>AVERAGE(C66:H66)</f>
        <v>211.15189166666667</v>
      </c>
    </row>
    <row r="67" spans="1:9" x14ac:dyDescent="0.15">
      <c r="A67" s="62" t="s">
        <v>613</v>
      </c>
      <c r="B67" s="63"/>
      <c r="C67" s="61">
        <f t="shared" ref="C67:H67" si="4">SUM(C60:C66)</f>
        <v>1143.9993356</v>
      </c>
      <c r="D67" s="61">
        <f t="shared" si="4"/>
        <v>1163.5844</v>
      </c>
      <c r="E67" s="61">
        <f t="shared" si="4"/>
        <v>1231.4412680899998</v>
      </c>
      <c r="F67" s="61">
        <f t="shared" si="4"/>
        <v>1212.5897399999999</v>
      </c>
      <c r="G67" s="61">
        <f t="shared" si="4"/>
        <v>1293.9182739999999</v>
      </c>
      <c r="H67" s="61">
        <f t="shared" si="4"/>
        <v>1332.13678886</v>
      </c>
      <c r="I67" s="64">
        <f>AVERAGE(C67:H67)</f>
        <v>1229.6116344249997</v>
      </c>
    </row>
    <row r="69" spans="1:9" x14ac:dyDescent="0.15">
      <c r="A69" s="55" t="s">
        <v>489</v>
      </c>
    </row>
    <row r="71" spans="1:9" x14ac:dyDescent="0.15">
      <c r="A71" s="53" t="s">
        <v>1030</v>
      </c>
      <c r="C71" s="23" t="s">
        <v>1044</v>
      </c>
      <c r="D71" s="23" t="s">
        <v>591</v>
      </c>
      <c r="E71" s="23" t="s">
        <v>555</v>
      </c>
      <c r="F71" s="23" t="s">
        <v>544</v>
      </c>
      <c r="G71" s="23" t="s">
        <v>615</v>
      </c>
      <c r="H71" s="23" t="s">
        <v>546</v>
      </c>
      <c r="I71" s="57" t="s">
        <v>601</v>
      </c>
    </row>
    <row r="72" spans="1:9" x14ac:dyDescent="0.15">
      <c r="A72" s="40" t="s">
        <v>602</v>
      </c>
      <c r="C72" s="59">
        <f>IF($F5*'Jan''12 SP'!E7/'Jan''12 SP'!E8&gt;='Jan''12 SP'!E11,('Jan''12 SP'!E11*'Jan''12 SP'!E13/100)*'Jan''12 SP'!E8,($F5*'Jan''12 SP'!E7/'Jan''12 SP'!E8*'Jan''12 SP'!E13/100)*'Jan''12 SP'!E8)</f>
        <v>208.29599999999999</v>
      </c>
      <c r="D72" s="59">
        <f>IF($F5*'Jan''12 SP'!F7/'Jan''12 SP'!F8&gt;='Jan''12 SP'!F11,('Jan''12 SP'!F11*'Jan''12 SP'!F13/100)*'Jan''12 SP'!F8,($F5*'Jan''12 SP'!F7/'Jan''12 SP'!F8*'Jan''12 SP'!F13/100)*'Jan''12 SP'!F8)</f>
        <v>119.89119999999998</v>
      </c>
      <c r="E72" s="59">
        <f>IF($F5*'Jan''12 SP'!G7/'Jan''12 SP'!G8&gt;='Jan''12 SP'!G11,('Jan''12 SP'!G11*'Jan''12 SP'!G13/100)*'Jan''12 SP'!G8,($F5*'Jan''12 SP'!G7/'Jan''12 SP'!G8*'Jan''12 SP'!G13/100)*'Jan''12 SP'!G8)</f>
        <v>120.82752000000001</v>
      </c>
      <c r="F72" s="59">
        <f>IF($F5*'Jan''12 SP'!H7/'Jan''12 SP'!H8&gt;='Jan''12 SP'!H11,('Jan''12 SP'!H11*'Jan''12 SP'!H13/100)*'Jan''12 SP'!H8,($F5*'Jan''12 SP'!H7/'Jan''12 SP'!H8*'Jan''12 SP'!H13/100)*'Jan''12 SP'!H8)</f>
        <v>117.12</v>
      </c>
      <c r="G72" s="59">
        <f>IF($F5*'Jan''12 SP'!I7/'Jan''12 SP'!I8&gt;='Jan''12 SP'!I11,('Jan''12 SP'!I11*'Jan''12 SP'!I13/100)*'Jan''12 SP'!I8,($F5*'Jan''12 SP'!I7/'Jan''12 SP'!I8*'Jan''12 SP'!I13/100)*'Jan''12 SP'!I8)</f>
        <v>125.9456</v>
      </c>
      <c r="H72" s="59">
        <f>IF($F5*'Jan''12 SP'!J7/'Jan''12 SP'!J8&gt;='Jan''12 SP'!J11,('Jan''12 SP'!J11*'Jan''12 SP'!J13/100)*'Jan''12 SP'!J8,($F5*'Jan''12 SP'!J7/'Jan''12 SP'!J8*'Jan''12 SP'!J13/100)*'Jan''12 SP'!J8)</f>
        <v>130.38272000000001</v>
      </c>
      <c r="I72" s="63"/>
    </row>
    <row r="73" spans="1:9" x14ac:dyDescent="0.15">
      <c r="A73" s="40" t="s">
        <v>603</v>
      </c>
      <c r="C73" s="59">
        <f>IF($F5*'Jan''12 SP'!E7/'Jan''12 SP'!E8&lt;'Jan''12 SP'!E11,0,IF($F5*'Jan''12 SP'!E7/'Jan''12 SP'!E8&lt;='Jan''12 SP'!E12,($F5*'Jan''12 SP'!E7/'Jan''12 SP'!E8-'Jan''12 SP'!E11)*('Jan''12 SP'!E14/100)*'Jan''12 SP'!E8,('Jan''12 SP'!E12-'Jan''12 SP'!E11)*('Jan''12 SP'!E14/100)*'Jan''12 SP'!E8))</f>
        <v>145.59501989999998</v>
      </c>
      <c r="D73" s="59">
        <f>IF($F5*'Jan''12 SP'!F7/'Jan''12 SP'!F8&lt;'Jan''12 SP'!F11,0,IF($F5*'Jan''12 SP'!F7/'Jan''12 SP'!F8&lt;='Jan''12 SP'!F12,($F5*'Jan''12 SP'!F7/'Jan''12 SP'!F8-'Jan''12 SP'!F11)*('Jan''12 SP'!F14/100)*'Jan''12 SP'!F8,('Jan''12 SP'!F12-'Jan''12 SP'!F11)*('Jan''12 SP'!F14/100)*'Jan''12 SP'!F8))</f>
        <v>0</v>
      </c>
      <c r="E73" s="59">
        <f>IF($F5*'Jan''12 SP'!G7/'Jan''12 SP'!G8&lt;'Jan''12 SP'!G11,0,IF($F5*'Jan''12 SP'!G7/'Jan''12 SP'!G8&lt;='Jan''12 SP'!G12,($F5*'Jan''12 SP'!G7/'Jan''12 SP'!G8-'Jan''12 SP'!G11)*('Jan''12 SP'!G14/100)*'Jan''12 SP'!G8,('Jan''12 SP'!G12-'Jan''12 SP'!G11)*('Jan''12 SP'!G14/100)*'Jan''12 SP'!G8))</f>
        <v>0</v>
      </c>
      <c r="F73" s="59">
        <f>IF($F5*'Jan''12 SP'!H7/'Jan''12 SP'!H8&lt;'Jan''12 SP'!H11,0,IF($F5*'Jan''12 SP'!H7/'Jan''12 SP'!H8&lt;='Jan''12 SP'!H12,($F5*'Jan''12 SP'!H7/'Jan''12 SP'!H8-'Jan''12 SP'!H11)*('Jan''12 SP'!H14/100)*'Jan''12 SP'!H8,('Jan''12 SP'!H12-'Jan''12 SP'!H11)*('Jan''12 SP'!H14/100)*'Jan''12 SP'!H8))</f>
        <v>0</v>
      </c>
      <c r="G73" s="59">
        <f>IF($F5*'Jan''12 SP'!I7/'Jan''12 SP'!I8&lt;'Jan''12 SP'!I11,0,IF($F5*'Jan''12 SP'!I7/'Jan''12 SP'!I8&lt;='Jan''12 SP'!I12,($F5*'Jan''12 SP'!I7/'Jan''12 SP'!I8-'Jan''12 SP'!I11)*('Jan''12 SP'!I14/100)*'Jan''12 SP'!I8,('Jan''12 SP'!I12-'Jan''12 SP'!I11)*('Jan''12 SP'!I14/100)*'Jan''12 SP'!I8))</f>
        <v>0</v>
      </c>
      <c r="H73" s="59">
        <f>IF($F5*'Jan''12 SP'!J7/'Jan''12 SP'!J8&lt;'Jan''12 SP'!J11,0,IF($F5*'Jan''12 SP'!J7/'Jan''12 SP'!J8&lt;='Jan''12 SP'!J12,($F5*'Jan''12 SP'!J7/'Jan''12 SP'!J8-'Jan''12 SP'!J11)*('Jan''12 SP'!J14/100)*'Jan''12 SP'!J8,('Jan''12 SP'!J12-'Jan''12 SP'!J11)*('Jan''12 SP'!J14/100)*'Jan''12 SP'!J8))</f>
        <v>0</v>
      </c>
      <c r="I73" s="63"/>
    </row>
    <row r="74" spans="1:9" x14ac:dyDescent="0.15">
      <c r="A74" s="40" t="s">
        <v>606</v>
      </c>
      <c r="C74" s="59">
        <f>IF(($F5*'Jan''12 SP'!E7/'Jan''12 SP'!E8&gt;'Jan''12 SP'!E12),($F5*'Jan''12 SP'!E7/'Jan''12 SP'!E8-'Jan''12 SP'!E12)*'Jan''12 SP'!E15/100*'Jan''12 SP'!E8,0)</f>
        <v>0</v>
      </c>
      <c r="D74" s="59">
        <f>IF(($F5*'Jan''12 SP'!F7/'Jan''12 SP'!F8&gt;'Jan''12 SP'!F12),($F5*'Jan''12 SP'!F7/'Jan''12 SP'!F8-'Jan''12 SP'!F12)*'Jan''12 SP'!F15/100*'Jan''12 SP'!F8,0)</f>
        <v>234.76342779999999</v>
      </c>
      <c r="E74" s="59">
        <f>IF(($F5*'Jan''12 SP'!G7/'Jan''12 SP'!G8&gt;'Jan''12 SP'!G12),($F5*'Jan''12 SP'!G7/'Jan''12 SP'!G8-'Jan''12 SP'!G12)*'Jan''12 SP'!G15/100*'Jan''12 SP'!G8,0)</f>
        <v>242.14996519999997</v>
      </c>
      <c r="F74" s="59">
        <f>IF(($F5*'Jan''12 SP'!H7/'Jan''12 SP'!H8&gt;'Jan''12 SP'!H12),($F5*'Jan''12 SP'!H7/'Jan''12 SP'!H8-'Jan''12 SP'!H12)*'Jan''12 SP'!H15/100*'Jan''12 SP'!H8,0)</f>
        <v>243.78492999999995</v>
      </c>
      <c r="G74" s="59">
        <f>IF(($F5*'Jan''12 SP'!I7/'Jan''12 SP'!I8&gt;'Jan''12 SP'!I12),($F5*'Jan''12 SP'!I7/'Jan''12 SP'!I8-'Jan''12 SP'!I12)*'Jan''12 SP'!I15/100*'Jan''12 SP'!I8,0)</f>
        <v>253.39034819999998</v>
      </c>
      <c r="H74" s="59">
        <f>IF(($F5*'Jan''12 SP'!J7/'Jan''12 SP'!J8&gt;'Jan''12 SP'!J12),($F5*'Jan''12 SP'!J7/'Jan''12 SP'!J8-'Jan''12 SP'!J12)*'Jan''12 SP'!J15/100*'Jan''12 SP'!J8,0)</f>
        <v>261.16227015999999</v>
      </c>
      <c r="I74" s="63"/>
    </row>
    <row r="75" spans="1:9" x14ac:dyDescent="0.15">
      <c r="A75" s="40" t="s">
        <v>607</v>
      </c>
      <c r="C75" s="59">
        <f>IF($F5*'Jan''12 SP'!E9/'Jan''12 SP'!E10&gt;='Jan''12 SP'!E11,('Jan''12 SP'!E11*'Jan''12 SP'!E16/100)*'Jan''12 SP'!E10,($F5*'Jan''12 SP'!E9/'Jan''12 SP'!E10*'Jan''12 SP'!E16/100)*'Jan''12 SP'!E10)</f>
        <v>348.48</v>
      </c>
      <c r="D75" s="59">
        <f>IF($F5*'Jan''12 SP'!F9/'Jan''12 SP'!F10&gt;='Jan''12 SP'!F11,('Jan''12 SP'!F11*'Jan''12 SP'!F16/100)*'Jan''12 SP'!F10,($F5*'Jan''12 SP'!F9/'Jan''12 SP'!F10*'Jan''12 SP'!F16/100)*'Jan''12 SP'!F10)</f>
        <v>195.43040000000002</v>
      </c>
      <c r="E75" s="59">
        <f>IF($F5*'Jan''12 SP'!G9/'Jan''12 SP'!G10&gt;='Jan''12 SP'!G11,('Jan''12 SP'!G11*'Jan''12 SP'!G16/100)*'Jan''12 SP'!G10,($F5*'Jan''12 SP'!G9/'Jan''12 SP'!G10*'Jan''12 SP'!G16/100)*'Jan''12 SP'!G10)</f>
        <v>209.73568</v>
      </c>
      <c r="F75" s="59">
        <f>IF($F5*'Jan''12 SP'!H9/'Jan''12 SP'!H10&gt;='Jan''12 SP'!H11,('Jan''12 SP'!H11*'Jan''12 SP'!H16/100)*'Jan''12 SP'!H10,($F5*'Jan''12 SP'!H9/'Jan''12 SP'!H10*'Jan''12 SP'!H16/100)*'Jan''12 SP'!H10)</f>
        <v>209.92</v>
      </c>
      <c r="G75" s="59">
        <f>IF($F5*'Jan''12 SP'!I9/'Jan''12 SP'!I10&gt;='Jan''12 SP'!I11,('Jan''12 SP'!I11*'Jan''12 SP'!I16/100)*'Jan''12 SP'!I10,($F5*'Jan''12 SP'!I9/'Jan''12 SP'!I10*'Jan''12 SP'!I16/100)*'Jan''12 SP'!I10)</f>
        <v>214.1568</v>
      </c>
      <c r="H75" s="59">
        <f>IF($F5*'Jan''12 SP'!J9/'Jan''12 SP'!J10&gt;='Jan''12 SP'!J11,('Jan''12 SP'!J11*'Jan''12 SP'!J16/100)*'Jan''12 SP'!J10,($F5*'Jan''12 SP'!J9/'Jan''12 SP'!J10*'Jan''12 SP'!J16/100)*'Jan''12 SP'!J10)</f>
        <v>230.52672000000001</v>
      </c>
      <c r="I75" s="63"/>
    </row>
    <row r="76" spans="1:9" x14ac:dyDescent="0.15">
      <c r="A76" s="40" t="s">
        <v>608</v>
      </c>
      <c r="C76" s="59">
        <f>IF($F5*'Jan''12 SP'!E9/'Jan''12 SP'!E10&lt;'Jan''12 SP'!E11,0,IF($F5*'Jan''12 SP'!E9/'Jan''12 SP'!E10&lt;='Jan''12 SP'!E12,($F5*'Jan''12 SP'!E9/'Jan''12 SP'!E10-'Jan''12 SP'!E11)*('Jan''12 SP'!E17/100)*'Jan''12 SP'!E10,('Jan''12 SP'!E12-'Jan''12 SP'!E11)*('Jan''12 SP'!E17/100)*'Jan''12 SP'!E10))</f>
        <v>233.98139159999994</v>
      </c>
      <c r="D76" s="59">
        <f>IF($F5*'Jan''12 SP'!F9/'Jan''12 SP'!F10&lt;'Jan''12 SP'!F11,0,IF($F5*'Jan''12 SP'!F9/'Jan''12 SP'!F10&lt;='Jan''12 SP'!F12,($F5*'Jan''12 SP'!F9/'Jan''12 SP'!F10-'Jan''12 SP'!F11)*('Jan''12 SP'!F17/100)*'Jan''12 SP'!F10,('Jan''12 SP'!F12-'Jan''12 SP'!F11)*('Jan''12 SP'!F17/100)*'Jan''12 SP'!F10))</f>
        <v>0</v>
      </c>
      <c r="E76" s="59">
        <f>IF($F5*'Jan''12 SP'!G9/'Jan''12 SP'!G10&lt;'Jan''12 SP'!G11,0,IF($F5*'Jan''12 SP'!G9/'Jan''12 SP'!G10&lt;='Jan''12 SP'!G12,($F5*'Jan''12 SP'!G9/'Jan''12 SP'!G10-'Jan''12 SP'!G11)*('Jan''12 SP'!G17/100)*'Jan''12 SP'!G10,('Jan''12 SP'!G12-'Jan''12 SP'!G11)*('Jan''12 SP'!G17/100)*'Jan''12 SP'!G10))</f>
        <v>0</v>
      </c>
      <c r="F76" s="59">
        <f>IF($F5*'Jan''12 SP'!H9/'Jan''12 SP'!H10&lt;'Jan''12 SP'!H11,0,IF($F5*'Jan''12 SP'!H9/'Jan''12 SP'!H10&lt;='Jan''12 SP'!H12,($F5*'Jan''12 SP'!H9/'Jan''12 SP'!H10-'Jan''12 SP'!H11)*('Jan''12 SP'!H17/100)*'Jan''12 SP'!H10,('Jan''12 SP'!H12-'Jan''12 SP'!H11)*('Jan''12 SP'!H17/100)*'Jan''12 SP'!H10))</f>
        <v>0</v>
      </c>
      <c r="G76" s="59">
        <f>IF($F5*'Jan''12 SP'!I9/'Jan''12 SP'!I10&lt;'Jan''12 SP'!I11,0,IF($F5*'Jan''12 SP'!I9/'Jan''12 SP'!I10&lt;='Jan''12 SP'!I12,($F5*'Jan''12 SP'!I9/'Jan''12 SP'!I10-'Jan''12 SP'!I11)*('Jan''12 SP'!I17/100)*'Jan''12 SP'!I10,('Jan''12 SP'!I12-'Jan''12 SP'!I11)*('Jan''12 SP'!I17/100)*'Jan''12 SP'!I10))</f>
        <v>0</v>
      </c>
      <c r="H76" s="59">
        <f>IF($F5*'Jan''12 SP'!J9/'Jan''12 SP'!J10&lt;'Jan''12 SP'!J11,0,IF($F5*'Jan''12 SP'!J9/'Jan''12 SP'!J10&lt;='Jan''12 SP'!J12,($F5*'Jan''12 SP'!J9/'Jan''12 SP'!J10-'Jan''12 SP'!J11)*('Jan''12 SP'!J17/100)*'Jan''12 SP'!J10,('Jan''12 SP'!J12-'Jan''12 SP'!J11)*('Jan''12 SP'!J17/100)*'Jan''12 SP'!J10))</f>
        <v>0</v>
      </c>
      <c r="I76" s="63"/>
    </row>
    <row r="77" spans="1:9" x14ac:dyDescent="0.15">
      <c r="A77" s="40" t="s">
        <v>611</v>
      </c>
      <c r="C77" s="59">
        <f>IF(($F5*'Jan''12 SP'!E9/'Jan''12 SP'!E10&gt;'Jan''12 SP'!E12),($F5*'Jan''12 SP'!E9/'Jan''12 SP'!E10-'Jan''12 SP'!E12)*'Jan''12 SP'!E18/100*'Jan''12 SP'!E10,0)</f>
        <v>0</v>
      </c>
      <c r="D77" s="59">
        <f>IF(($F5*'Jan''12 SP'!F9/'Jan''12 SP'!F10&gt;'Jan''12 SP'!F12),($F5*'Jan''12 SP'!F9/'Jan''12 SP'!F10-'Jan''12 SP'!F12)*'Jan''12 SP'!F18/100*'Jan''12 SP'!F10,0)</f>
        <v>391.16532840000002</v>
      </c>
      <c r="E77" s="59">
        <f>IF(($F5*'Jan''12 SP'!G9/'Jan''12 SP'!G10&gt;'Jan''12 SP'!G12),($F5*'Jan''12 SP'!G9/'Jan''12 SP'!G10-'Jan''12 SP'!G12)*'Jan''12 SP'!G18/100*'Jan''12 SP'!G10,0)</f>
        <v>409.27840271999992</v>
      </c>
      <c r="F77" s="59">
        <f>IF(($F5*'Jan''12 SP'!H9/'Jan''12 SP'!H10&gt;'Jan''12 SP'!H12),($F5*'Jan''12 SP'!H9/'Jan''12 SP'!H10-'Jan''12 SP'!H12)*'Jan''12 SP'!H18/100*'Jan''12 SP'!H10,0)</f>
        <v>420.41951999999992</v>
      </c>
      <c r="G77" s="59">
        <f>IF(($F5*'Jan''12 SP'!I9/'Jan''12 SP'!I10&gt;'Jan''12 SP'!I12),($F5*'Jan''12 SP'!I9/'Jan''12 SP'!I10-'Jan''12 SP'!I12)*'Jan''12 SP'!I18/100*'Jan''12 SP'!I10,0)</f>
        <v>430.34609199999994</v>
      </c>
      <c r="H77" s="59">
        <f>IF(($F5*'Jan''12 SP'!J9/'Jan''12 SP'!J10&gt;'Jan''12 SP'!J12),($F5*'Jan''12 SP'!J9/'Jan''12 SP'!J10-'Jan''12 SP'!J12)*'Jan''12 SP'!J18/100*'Jan''12 SP'!J10,0)</f>
        <v>438.32822371999987</v>
      </c>
      <c r="I77" s="63"/>
    </row>
    <row r="78" spans="1:9" x14ac:dyDescent="0.15">
      <c r="A78" s="40" t="s">
        <v>612</v>
      </c>
      <c r="C78" s="59">
        <f>365*'Jan''12 SP'!E19/100</f>
        <v>195.41005000000001</v>
      </c>
      <c r="D78" s="59">
        <f>365*'Jan''12 SP'!F19/100</f>
        <v>180.83559999999997</v>
      </c>
      <c r="E78" s="59">
        <f>365*'Jan''12 SP'!G19/100</f>
        <v>205.16650000000001</v>
      </c>
      <c r="F78" s="59">
        <f>365*'Jan''12 SP'!H19/100</f>
        <v>201.37049999999999</v>
      </c>
      <c r="G78" s="59">
        <f>365*'Jan''12 SP'!I19/100</f>
        <v>198.46145000000001</v>
      </c>
      <c r="H78" s="59">
        <f>365*'Jan''12 SP'!J19/100</f>
        <v>205.98775000000001</v>
      </c>
      <c r="I78" s="60">
        <f>AVERAGE(C78:H78)</f>
        <v>197.87197500000002</v>
      </c>
    </row>
    <row r="79" spans="1:9" x14ac:dyDescent="0.15">
      <c r="A79" s="62" t="s">
        <v>613</v>
      </c>
      <c r="B79" s="63"/>
      <c r="C79" s="61">
        <f t="shared" ref="C79:H79" si="5">SUM(C72:C78)</f>
        <v>1131.7624615</v>
      </c>
      <c r="D79" s="61">
        <f t="shared" si="5"/>
        <v>1122.0859562000001</v>
      </c>
      <c r="E79" s="61">
        <f t="shared" si="5"/>
        <v>1187.1580679199999</v>
      </c>
      <c r="F79" s="61">
        <f t="shared" si="5"/>
        <v>1192.6149499999997</v>
      </c>
      <c r="G79" s="61">
        <f t="shared" si="5"/>
        <v>1222.3002901999998</v>
      </c>
      <c r="H79" s="61">
        <f t="shared" si="5"/>
        <v>1266.3876838799999</v>
      </c>
      <c r="I79" s="64">
        <f>AVERAGE(C79:H79)</f>
        <v>1187.0515682833332</v>
      </c>
    </row>
    <row r="81" spans="1:9" x14ac:dyDescent="0.15">
      <c r="A81" s="53" t="s">
        <v>1032</v>
      </c>
      <c r="C81" s="23" t="s">
        <v>1044</v>
      </c>
      <c r="D81" s="23" t="s">
        <v>591</v>
      </c>
      <c r="E81" s="23" t="s">
        <v>555</v>
      </c>
      <c r="F81" s="23" t="s">
        <v>544</v>
      </c>
      <c r="G81" s="23" t="s">
        <v>615</v>
      </c>
      <c r="H81" s="23" t="s">
        <v>546</v>
      </c>
      <c r="I81" s="57" t="s">
        <v>601</v>
      </c>
    </row>
    <row r="82" spans="1:9" x14ac:dyDescent="0.15">
      <c r="A82" s="40" t="s">
        <v>602</v>
      </c>
      <c r="C82" s="59">
        <f>IF($F5*'Jan''12 SP'!E23/'Jan''12 SP'!E24&gt;='Jan''12 SP'!E27,('Jan''12 SP'!E27*'Jan''12 SP'!E29/100)*'Jan''12 SP'!E24,($F5*'Jan''12 SP'!E23/'Jan''12 SP'!E24*'Jan''12 SP'!E29/100)*'Jan''12 SP'!E24)</f>
        <v>226.24799999999999</v>
      </c>
      <c r="D82" s="59">
        <f>IF($F5*'Jan''12 SP'!F23/'Jan''12 SP'!F24&gt;='Jan''12 SP'!F27,('Jan''12 SP'!F27*'Jan''12 SP'!F29/100)*'Jan''12 SP'!F24,($F5*'Jan''12 SP'!F23/'Jan''12 SP'!F24*'Jan''12 SP'!F29/100)*'Jan''12 SP'!F24)</f>
        <v>145.14500000000001</v>
      </c>
      <c r="E82" s="59">
        <f>IF($F5*'Jan''12 SP'!G23/'Jan''12 SP'!G24&gt;='Jan''12 SP'!G27,('Jan''12 SP'!G27*'Jan''12 SP'!G29/100)*'Jan''12 SP'!G24,($F5*'Jan''12 SP'!G23/'Jan''12 SP'!G24*'Jan''12 SP'!G29/100)*'Jan''12 SP'!G24)</f>
        <v>136.58260000000001</v>
      </c>
      <c r="F82" s="59">
        <f>IF($F5*'Jan''12 SP'!H23/'Jan''12 SP'!H24&gt;='Jan''12 SP'!H27,('Jan''12 SP'!H27*'Jan''12 SP'!H29/100)*'Jan''12 SP'!H24,($F5*'Jan''12 SP'!H23/'Jan''12 SP'!H24*'Jan''12 SP'!H29/100)*'Jan''12 SP'!H24)</f>
        <v>137.19999999999999</v>
      </c>
      <c r="G82" s="59">
        <f>IF($F5*'Jan''12 SP'!I23/'Jan''12 SP'!I24&gt;='Jan''12 SP'!I27,('Jan''12 SP'!I27*'Jan''12 SP'!I29/100)*'Jan''12 SP'!I24,($F5*'Jan''12 SP'!I23/'Jan''12 SP'!I24*'Jan''12 SP'!I29/100)*'Jan''12 SP'!I24)</f>
        <v>145.14500000000001</v>
      </c>
      <c r="H82" s="59">
        <f>IF($F5*'Jan''12 SP'!J23/'Jan''12 SP'!J24&gt;='Jan''12 SP'!J27,('Jan''12 SP'!J27*'Jan''12 SP'!J29/100)*'Jan''12 SP'!J24,($F5*'Jan''12 SP'!J23/'Jan''12 SP'!J24*'Jan''12 SP'!J29/100)*'Jan''12 SP'!J24)</f>
        <v>149.62709999999998</v>
      </c>
      <c r="I82" s="63"/>
    </row>
    <row r="83" spans="1:9" x14ac:dyDescent="0.15">
      <c r="A83" s="40" t="s">
        <v>603</v>
      </c>
      <c r="C83" s="59">
        <f>IF($F5*'Jan''12 SP'!E23/'Jan''12 SP'!E24&lt;'Jan''12 SP'!E27,0,IF($F5*'Jan''12 SP'!E23/'Jan''12 SP'!E24&lt;='Jan''12 SP'!E28,($F5*'Jan''12 SP'!E23/'Jan''12 SP'!E24-'Jan''12 SP'!E27)*('Jan''12 SP'!E30/100)*'Jan''12 SP'!E24,('Jan''12 SP'!E28-'Jan''12 SP'!E27)*('Jan''12 SP'!E30/100)*'Jan''12 SP'!E24))</f>
        <v>144.01138949999998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63"/>
    </row>
    <row r="84" spans="1:9" x14ac:dyDescent="0.15">
      <c r="A84" s="40" t="s">
        <v>606</v>
      </c>
      <c r="C84" s="59">
        <f>IF(($F5*'Jan''12 SP'!E23/'Jan''12 SP'!E24&gt;'Jan''12 SP'!E28),($F5*'Jan''12 SP'!E23/'Jan''12 SP'!E24-'Jan''12 SP'!E28)*'Jan''12 SP'!E31/100*'Jan''12 SP'!E24,0)</f>
        <v>0</v>
      </c>
      <c r="D84" s="59">
        <f>IF(($F5*'Jan''12 SP'!F23/'Jan''12 SP'!F24&gt;'Jan''12 SP'!F28),($F5*'Jan''12 SP'!F23/'Jan''12 SP'!F24-'Jan''12 SP'!F28)*'Jan''12 SP'!F31/100*'Jan''12 SP'!F24,0)</f>
        <v>230.96534999999997</v>
      </c>
      <c r="E84" s="59">
        <f>IF(($F5*'Jan''12 SP'!G23/'Jan''12 SP'!G24&gt;'Jan''12 SP'!G28),($F5*'Jan''12 SP'!G23/'Jan''12 SP'!G24-'Jan''12 SP'!G28)*'Jan''12 SP'!G31/100*'Jan''12 SP'!G24,0)</f>
        <v>237.00124447999994</v>
      </c>
      <c r="F84" s="59">
        <f>IF(($F5*'Jan''12 SP'!H23/'Jan''12 SP'!H24&gt;'Jan''12 SP'!H28),($F5*'Jan''12 SP'!H23/'Jan''12 SP'!H24-'Jan''12 SP'!H28)*'Jan''12 SP'!H31/100*'Jan''12 SP'!H24,0)</f>
        <v>249.16261999999995</v>
      </c>
      <c r="G84" s="59">
        <f>IF(($F5*'Jan''12 SP'!I23/'Jan''12 SP'!I24&gt;'Jan''12 SP'!I28),($F5*'Jan''12 SP'!I23/'Jan''12 SP'!I24-'Jan''12 SP'!I28)*'Jan''12 SP'!I31/100*'Jan''12 SP'!I24,0)</f>
        <v>258.68119199999995</v>
      </c>
      <c r="H84" s="59">
        <f>IF(($F5*'Jan''12 SP'!J23/'Jan''12 SP'!J24&gt;'Jan''12 SP'!J28),($F5*'Jan''12 SP'!J23/'Jan''12 SP'!J24-'Jan''12 SP'!J28)*'Jan''12 SP'!J31/100*'Jan''12 SP'!J24,0)</f>
        <v>268.00659297999994</v>
      </c>
      <c r="I84" s="63"/>
    </row>
    <row r="85" spans="1:9" x14ac:dyDescent="0.15">
      <c r="A85" s="40" t="s">
        <v>607</v>
      </c>
      <c r="C85" s="59">
        <f>IF($F5*'Jan''12 SP'!E25/'Jan''12 SP'!E26&gt;='Jan''12 SP'!E27,('Jan''12 SP'!E27*'Jan''12 SP'!E32/100)*'Jan''12 SP'!E26,($F5*'Jan''12 SP'!E25/'Jan''12 SP'!E26*'Jan''12 SP'!E32/100)*'Jan''12 SP'!E26)</f>
        <v>399.43199999999996</v>
      </c>
      <c r="D85" s="59">
        <f>IF($F5*'Jan''12 SP'!F25/'Jan''12 SP'!F26&gt;='Jan''12 SP'!F27,('Jan''12 SP'!F27*'Jan''12 SP'!F32/100)*'Jan''12 SP'!F26,($F5*'Jan''12 SP'!F25/'Jan''12 SP'!F26*'Jan''12 SP'!F32/100)*'Jan''12 SP'!F26)</f>
        <v>228.07400000000001</v>
      </c>
      <c r="E85" s="59">
        <f>IF($F5*'Jan''12 SP'!G25/'Jan''12 SP'!G26&gt;='Jan''12 SP'!G27,('Jan''12 SP'!G27*'Jan''12 SP'!G32/100)*'Jan''12 SP'!G26,($F5*'Jan''12 SP'!G25/'Jan''12 SP'!G26*'Jan''12 SP'!G32/100)*'Jan''12 SP'!G26)</f>
        <v>229.12119999999999</v>
      </c>
      <c r="F85" s="59">
        <f>IF($F5*'Jan''12 SP'!H25/'Jan''12 SP'!H26&gt;='Jan''12 SP'!H27,('Jan''12 SP'!H27*'Jan''12 SP'!H32/100)*'Jan''12 SP'!H26,($F5*'Jan''12 SP'!H25/'Jan''12 SP'!H26*'Jan''12 SP'!H32/100)*'Jan''12 SP'!H26)</f>
        <v>233.8</v>
      </c>
      <c r="G85" s="59">
        <f>IF($F5*'Jan''12 SP'!I25/'Jan''12 SP'!I26&gt;='Jan''12 SP'!I27,('Jan''12 SP'!I27*'Jan''12 SP'!I32/100)*'Jan''12 SP'!I26,($F5*'Jan''12 SP'!I25/'Jan''12 SP'!I26*'Jan''12 SP'!I32/100)*'Jan''12 SP'!I26)</f>
        <v>238.238</v>
      </c>
      <c r="H85" s="59">
        <f>IF($F5*'Jan''12 SP'!J25/'Jan''12 SP'!J26&gt;='Jan''12 SP'!J27,('Jan''12 SP'!J27*'Jan''12 SP'!J32/100)*'Jan''12 SP'!J26,($F5*'Jan''12 SP'!J25/'Jan''12 SP'!J26*'Jan''12 SP'!J32/100)*'Jan''12 SP'!J26)</f>
        <v>270.80340000000001</v>
      </c>
      <c r="I85" s="63"/>
    </row>
    <row r="86" spans="1:9" x14ac:dyDescent="0.15">
      <c r="A86" s="40" t="s">
        <v>608</v>
      </c>
      <c r="C86" s="59">
        <f>IF($F5*'Jan''12 SP'!E25/'Jan''12 SP'!E26&lt;'Jan''12 SP'!E27,0,IF($F5*'Jan''12 SP'!E25/'Jan''12 SP'!E26&lt;='Jan''12 SP'!E28,($F5*'Jan''12 SP'!E25/'Jan''12 SP'!E26-'Jan''12 SP'!E27)*('Jan''12 SP'!E33/100)*'Jan''12 SP'!E26,('Jan''12 SP'!E28-'Jan''12 SP'!E27)*('Jan''12 SP'!E33/100)*'Jan''12 SP'!E26))</f>
        <v>253.38086399999992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63"/>
    </row>
    <row r="87" spans="1:9" x14ac:dyDescent="0.15">
      <c r="A87" s="40" t="s">
        <v>611</v>
      </c>
      <c r="C87" s="59">
        <f>IF(($F5*'Jan''12 SP'!E25/'Jan''12 SP'!E26&gt;'Jan''12 SP'!E28),($F5*'Jan''12 SP'!E25/'Jan''12 SP'!E26-'Jan''12 SP'!E28)*'Jan''12 SP'!E34/100*'Jan''12 SP'!E26,0)</f>
        <v>0</v>
      </c>
      <c r="D87" s="59">
        <f>IF(($F5*'Jan''12 SP'!F25/'Jan''12 SP'!F26&gt;'Jan''12 SP'!F28),($F5*'Jan''12 SP'!F25/'Jan''12 SP'!F26-'Jan''12 SP'!F28)*'Jan''12 SP'!F34/100*'Jan''12 SP'!F26,0)</f>
        <v>392.33314119999994</v>
      </c>
      <c r="E87" s="59">
        <f>IF(($F5*'Jan''12 SP'!G25/'Jan''12 SP'!G26&gt;'Jan''12 SP'!G28),($F5*'Jan''12 SP'!G25/'Jan''12 SP'!G26-'Jan''12 SP'!G28)*'Jan''12 SP'!G34/100*'Jan''12 SP'!G26,0)</f>
        <v>426.36203609999995</v>
      </c>
      <c r="F87" s="59">
        <f>IF(($F5*'Jan''12 SP'!H25/'Jan''12 SP'!H26&gt;'Jan''12 SP'!H28),($F5*'Jan''12 SP'!H25/'Jan''12 SP'!H26-'Jan''12 SP'!H28)*'Jan''12 SP'!H34/100*'Jan''12 SP'!H26,0)</f>
        <v>411.53825999999992</v>
      </c>
      <c r="G87" s="59">
        <f>IF(($F5*'Jan''12 SP'!I25/'Jan''12 SP'!I26&gt;'Jan''12 SP'!I28),($F5*'Jan''12 SP'!I25/'Jan''12 SP'!I26-'Jan''12 SP'!I28)*'Jan''12 SP'!I34/100*'Jan''12 SP'!I26,0)</f>
        <v>458.54320819999992</v>
      </c>
      <c r="H87" s="59">
        <f>IF(($F5*'Jan''12 SP'!J25/'Jan''12 SP'!J26&gt;'Jan''12 SP'!J28),($F5*'Jan''12 SP'!J25/'Jan''12 SP'!J26-'Jan''12 SP'!J28)*'Jan''12 SP'!J34/100*'Jan''12 SP'!J26,0)</f>
        <v>485.78032201999997</v>
      </c>
      <c r="I87" s="63"/>
    </row>
    <row r="88" spans="1:9" x14ac:dyDescent="0.15">
      <c r="A88" s="40" t="s">
        <v>612</v>
      </c>
      <c r="C88" s="59">
        <f>365*'Jan''12 SP'!E35/100</f>
        <v>182.08024999999998</v>
      </c>
      <c r="D88" s="59">
        <f>365*'Jan''12 SP'!F35/100</f>
        <v>178.30614999999997</v>
      </c>
      <c r="E88" s="59">
        <f>365*'Jan''12 SP'!G35/100</f>
        <v>201.553</v>
      </c>
      <c r="F88" s="59">
        <f>365*'Jan''12 SP'!H35/100</f>
        <v>195.53049999999999</v>
      </c>
      <c r="G88" s="59">
        <f>365*'Jan''12 SP'!I35/100</f>
        <v>201.39240000000001</v>
      </c>
      <c r="H88" s="59">
        <f>365*'Jan''12 SP'!J35/100</f>
        <v>201.08579999999998</v>
      </c>
      <c r="I88" s="60">
        <f>AVERAGE(C88:H88)</f>
        <v>193.32468333333335</v>
      </c>
    </row>
    <row r="89" spans="1:9" x14ac:dyDescent="0.15">
      <c r="A89" s="62" t="s">
        <v>613</v>
      </c>
      <c r="B89" s="63"/>
      <c r="C89" s="61">
        <f t="shared" ref="C89:H89" si="6">SUM(C82:C88)</f>
        <v>1205.1525035</v>
      </c>
      <c r="D89" s="61">
        <f t="shared" si="6"/>
        <v>1174.8236411999999</v>
      </c>
      <c r="E89" s="61">
        <f t="shared" si="6"/>
        <v>1230.6200805799999</v>
      </c>
      <c r="F89" s="61">
        <f t="shared" si="6"/>
        <v>1227.2313799999999</v>
      </c>
      <c r="G89" s="61">
        <f t="shared" si="6"/>
        <v>1301.9998002</v>
      </c>
      <c r="H89" s="61">
        <f t="shared" si="6"/>
        <v>1375.3032150000001</v>
      </c>
      <c r="I89" s="64">
        <f>AVERAGE(C89:H89)</f>
        <v>1252.5217700800001</v>
      </c>
    </row>
    <row r="91" spans="1:9" x14ac:dyDescent="0.15">
      <c r="A91" s="53" t="s">
        <v>1034</v>
      </c>
      <c r="C91" s="23" t="s">
        <v>1044</v>
      </c>
      <c r="D91" s="23" t="s">
        <v>591</v>
      </c>
      <c r="E91" s="23" t="s">
        <v>555</v>
      </c>
      <c r="F91" s="23" t="s">
        <v>544</v>
      </c>
      <c r="G91" s="23" t="s">
        <v>615</v>
      </c>
      <c r="H91" s="23" t="s">
        <v>546</v>
      </c>
      <c r="I91" s="57" t="s">
        <v>601</v>
      </c>
    </row>
    <row r="92" spans="1:9" x14ac:dyDescent="0.15">
      <c r="A92" s="40" t="s">
        <v>602</v>
      </c>
      <c r="C92" s="59">
        <f>IF($F5*'Jan''12 SP'!E39/'Jan''12 SP'!E40&gt;='Jan''12 SP'!E43,('Jan''12 SP'!E43*'Jan''12 SP'!E45/100)*'Jan''12 SP'!E40,($F5*'Jan''12 SP'!E39/'Jan''12 SP'!E40*'Jan''12 SP'!E45/100)*'Jan''12 SP'!E40)</f>
        <v>225.98400000000001</v>
      </c>
      <c r="D92" s="59">
        <f>IF($F5*'Jan''12 SP'!F39/'Jan''12 SP'!F40&gt;='Jan''12 SP'!F43,('Jan''12 SP'!F43*'Jan''12 SP'!F45/100)*'Jan''12 SP'!F40,($F5*'Jan''12 SP'!F39/'Jan''12 SP'!F40*'Jan''12 SP'!F45/100)*'Jan''12 SP'!F40)</f>
        <v>133.8304</v>
      </c>
      <c r="E92" s="59">
        <f>IF($F5*'Jan''12 SP'!G39/'Jan''12 SP'!G40&gt;='Jan''12 SP'!G43,('Jan''12 SP'!G43*'Jan''12 SP'!G45/100)*'Jan''12 SP'!G40,($F5*'Jan''12 SP'!G39/'Jan''12 SP'!G40*'Jan''12 SP'!G45/100)*'Jan''12 SP'!G40)</f>
        <v>135.21727999999999</v>
      </c>
      <c r="F92" s="59">
        <f>IF($F5*'Jan''12 SP'!H39/'Jan''12 SP'!H40&gt;='Jan''12 SP'!H43,('Jan''12 SP'!H43*'Jan''12 SP'!H45/100)*'Jan''12 SP'!H40,($F5*'Jan''12 SP'!H39/'Jan''12 SP'!H40*'Jan''12 SP'!H45/100)*'Jan''12 SP'!H40)</f>
        <v>132.47999999999999</v>
      </c>
      <c r="G92" s="59">
        <f>IF($F5*'Jan''12 SP'!I39/'Jan''12 SP'!I40&gt;='Jan''12 SP'!I43,('Jan''12 SP'!I43*'Jan''12 SP'!I45/100)*'Jan''12 SP'!I40,($F5*'Jan''12 SP'!I39/'Jan''12 SP'!I40*'Jan''12 SP'!I45/100)*'Jan''12 SP'!I40)</f>
        <v>139.4624</v>
      </c>
      <c r="H92" s="59">
        <f>IF($F5*'Jan''12 SP'!J39/'Jan''12 SP'!J40&gt;='Jan''12 SP'!J43,('Jan''12 SP'!J43*'Jan''12 SP'!J45/100)*'Jan''12 SP'!J40,($F5*'Jan''12 SP'!J39/'Jan''12 SP'!J40*'Jan''12 SP'!J45/100)*'Jan''12 SP'!J40)</f>
        <v>147.82656</v>
      </c>
      <c r="I92" s="63"/>
    </row>
    <row r="93" spans="1:9" x14ac:dyDescent="0.15">
      <c r="A93" s="40" t="s">
        <v>603</v>
      </c>
      <c r="C93" s="59">
        <f>IF($F5*'Jan''12 SP'!E39/'Jan''12 SP'!E40&lt;'Jan''12 SP'!E43,0,IF($F5*'Jan''12 SP'!E39/'Jan''12 SP'!E40&lt;='Jan''12 SP'!E44,($F5*'Jan''12 SP'!E39/'Jan''12 SP'!E40-'Jan''12 SP'!E43)*('Jan''12 SP'!E46/100)*'Jan''12 SP'!E40,('Jan''12 SP'!E44-'Jan''12 SP'!E43)*('Jan''12 SP'!E46/100)*'Jan''12 SP'!E40))</f>
        <v>140.15129039999997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63"/>
    </row>
    <row r="94" spans="1:9" x14ac:dyDescent="0.15">
      <c r="A94" s="40" t="s">
        <v>606</v>
      </c>
      <c r="C94" s="59">
        <f>IF(($F5*'Jan''12 SP'!E39/'Jan''12 SP'!E40&gt;'Jan''12 SP'!E44),($F5*'Jan''12 SP'!E39/'Jan''12 SP'!E40-'Jan''12 SP'!E44)*'Jan''12 SP'!E47/100*'Jan''12 SP'!E40,0)</f>
        <v>0</v>
      </c>
      <c r="D94" s="59">
        <f>IF(($F5*'Jan''12 SP'!F39/'Jan''12 SP'!F40&gt;'Jan''12 SP'!F44),($F5*'Jan''12 SP'!F39/'Jan''12 SP'!F40-'Jan''12 SP'!F44)*'Jan''12 SP'!F47/100*'Jan''12 SP'!F40,0)</f>
        <v>230.90958219999996</v>
      </c>
      <c r="E94" s="59">
        <f>IF(($F5*'Jan''12 SP'!G39/'Jan''12 SP'!G40&gt;'Jan''12 SP'!G44),($F5*'Jan''12 SP'!G39/'Jan''12 SP'!G40-'Jan''12 SP'!G44)*'Jan''12 SP'!G47/100*'Jan''12 SP'!G40,0)</f>
        <v>246.85486836999996</v>
      </c>
      <c r="F94" s="59">
        <f>IF(($F5*'Jan''12 SP'!H39/'Jan''12 SP'!H40&gt;'Jan''12 SP'!H44),($F5*'Jan''12 SP'!H39/'Jan''12 SP'!H40-'Jan''12 SP'!H44)*'Jan''12 SP'!H47/100*'Jan''12 SP'!H40,0)</f>
        <v>239.40555999999992</v>
      </c>
      <c r="G94" s="59">
        <f>IF(($F5*'Jan''12 SP'!I39/'Jan''12 SP'!I40&gt;'Jan''12 SP'!I44),($F5*'Jan''12 SP'!I39/'Jan''12 SP'!I40-'Jan''12 SP'!I44)*'Jan''12 SP'!I47/100*'Jan''12 SP'!I40,0)</f>
        <v>253.71150199999997</v>
      </c>
      <c r="H94" s="59">
        <f>IF(($F5*'Jan''12 SP'!J39/'Jan''12 SP'!J40&gt;'Jan''12 SP'!J44),($F5*'Jan''12 SP'!J39/'Jan''12 SP'!J40-'Jan''12 SP'!J44)*'Jan''12 SP'!J47/100*'Jan''12 SP'!J40,0)</f>
        <v>266.92844065999998</v>
      </c>
      <c r="I94" s="63"/>
    </row>
    <row r="95" spans="1:9" x14ac:dyDescent="0.15">
      <c r="A95" s="40" t="s">
        <v>607</v>
      </c>
      <c r="C95" s="59">
        <f>IF($F5*'Jan''12 SP'!E41/'Jan''12 SP'!E42&gt;='Jan''12 SP'!E43,('Jan''12 SP'!E43*'Jan''12 SP'!E48/100)*'Jan''12 SP'!E42,($F5*'Jan''12 SP'!E41/'Jan''12 SP'!E42*'Jan''12 SP'!E48/100)*'Jan''12 SP'!E42)</f>
        <v>399.69599999999997</v>
      </c>
      <c r="D95" s="59">
        <f>IF($F5*'Jan''12 SP'!F41/'Jan''12 SP'!F42&gt;='Jan''12 SP'!F43,('Jan''12 SP'!F43*'Jan''12 SP'!F48/100)*'Jan''12 SP'!F42,($F5*'Jan''12 SP'!F41/'Jan''12 SP'!F42*'Jan''12 SP'!F48/100)*'Jan''12 SP'!F42)</f>
        <v>228.09599999999998</v>
      </c>
      <c r="E95" s="59">
        <f>IF($F5*'Jan''12 SP'!G41/'Jan''12 SP'!G42&gt;='Jan''12 SP'!G43,('Jan''12 SP'!G43*'Jan''12 SP'!G48/100)*'Jan''12 SP'!G42,($F5*'Jan''12 SP'!G41/'Jan''12 SP'!G42*'Jan''12 SP'!G48/100)*'Jan''12 SP'!G42)</f>
        <v>229.94048000000004</v>
      </c>
      <c r="F95" s="59">
        <f>IF($F5*'Jan''12 SP'!H41/'Jan''12 SP'!H42&gt;='Jan''12 SP'!H43,('Jan''12 SP'!H43*'Jan''12 SP'!H48/100)*'Jan''12 SP'!H42,($F5*'Jan''12 SP'!H41/'Jan''12 SP'!H42*'Jan''12 SP'!H48/100)*'Jan''12 SP'!H42)</f>
        <v>232.96</v>
      </c>
      <c r="G95" s="59">
        <f>IF($F5*'Jan''12 SP'!I41/'Jan''12 SP'!I42&gt;='Jan''12 SP'!I43,('Jan''12 SP'!I43*'Jan''12 SP'!I48/100)*'Jan''12 SP'!I42,($F5*'Jan''12 SP'!I41/'Jan''12 SP'!I42*'Jan''12 SP'!I48/100)*'Jan''12 SP'!I42)</f>
        <v>237.81120000000001</v>
      </c>
      <c r="H95" s="59">
        <f>IF($F5*'Jan''12 SP'!J41/'Jan''12 SP'!J42&gt;='Jan''12 SP'!J43,('Jan''12 SP'!J43*'Jan''12 SP'!J48/100)*'Jan''12 SP'!J42,($F5*'Jan''12 SP'!J41/'Jan''12 SP'!J42*'Jan''12 SP'!J48/100)*'Jan''12 SP'!J42)</f>
        <v>269.65503999999999</v>
      </c>
      <c r="I95" s="63"/>
    </row>
    <row r="96" spans="1:9" x14ac:dyDescent="0.15">
      <c r="A96" s="40" t="s">
        <v>608</v>
      </c>
      <c r="C96" s="59">
        <f>IF($F5*'Jan''12 SP'!E41/'Jan''12 SP'!E42&lt;'Jan''12 SP'!E43,0,IF($F5*'Jan''12 SP'!E41/'Jan''12 SP'!E42&lt;='Jan''12 SP'!E44,($F5*'Jan''12 SP'!E41/'Jan''12 SP'!E42-'Jan''12 SP'!E43)*('Jan''12 SP'!E49/100)*'Jan''12 SP'!E42,('Jan''12 SP'!E44-'Jan''12 SP'!E43)*('Jan''12 SP'!E49/100)*'Jan''12 SP'!E42))</f>
        <v>239.12819039999994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63"/>
    </row>
    <row r="97" spans="1:9" x14ac:dyDescent="0.15">
      <c r="A97" s="40" t="s">
        <v>611</v>
      </c>
      <c r="C97" s="59">
        <f>IF(($F5*'Jan''12 SP'!E41/'Jan''12 SP'!E42&gt;'Jan''12 SP'!E44),($F5*'Jan''12 SP'!E41/'Jan''12 SP'!E42-'Jan''12 SP'!E44)*'Jan''12 SP'!E50/100*'Jan''12 SP'!E42,0)</f>
        <v>0</v>
      </c>
      <c r="D97" s="59">
        <f>IF(($F5*'Jan''12 SP'!F41/'Jan''12 SP'!F42&gt;'Jan''12 SP'!F44),($F5*'Jan''12 SP'!F41/'Jan''12 SP'!F42-'Jan''12 SP'!F44)*'Jan''12 SP'!F50/100*'Jan''12 SP'!F42,0)</f>
        <v>416.85763239999994</v>
      </c>
      <c r="E97" s="59">
        <f>IF(($F5*'Jan''12 SP'!G41/'Jan''12 SP'!G42&gt;'Jan''12 SP'!G44),($F5*'Jan''12 SP'!G41/'Jan''12 SP'!G42-'Jan''12 SP'!G44)*'Jan''12 SP'!G50/100*'Jan''12 SP'!G42,0)</f>
        <v>454.23993471999989</v>
      </c>
      <c r="F97" s="59">
        <f>IF(($F5*'Jan''12 SP'!H41/'Jan''12 SP'!H42&gt;'Jan''12 SP'!H44),($F5*'Jan''12 SP'!H41/'Jan''12 SP'!H42-'Jan''12 SP'!H44)*'Jan''12 SP'!H50/100*'Jan''12 SP'!H42,0)</f>
        <v>458.37405999999993</v>
      </c>
      <c r="G97" s="59">
        <f>IF(($F5*'Jan''12 SP'!I41/'Jan''12 SP'!I42&gt;'Jan''12 SP'!I44),($F5*'Jan''12 SP'!I41/'Jan''12 SP'!I42-'Jan''12 SP'!I44)*'Jan''12 SP'!I50/100*'Jan''12 SP'!I42,0)</f>
        <v>475.62877779999997</v>
      </c>
      <c r="H97" s="59">
        <f>IF(($F5*'Jan''12 SP'!J41/'Jan''12 SP'!J42&gt;'Jan''12 SP'!J44),($F5*'Jan''12 SP'!J41/'Jan''12 SP'!J42-'Jan''12 SP'!J44)*'Jan''12 SP'!J50/100*'Jan''12 SP'!J42,0)</f>
        <v>481.53800771999994</v>
      </c>
      <c r="I97" s="63"/>
    </row>
    <row r="98" spans="1:9" x14ac:dyDescent="0.15">
      <c r="A98" s="40" t="s">
        <v>612</v>
      </c>
      <c r="C98" s="59">
        <f>365*'Jan''12 SP'!E51/100</f>
        <v>205.20664999999997</v>
      </c>
      <c r="D98" s="59">
        <f>365*'Jan''12 SP'!F51/100</f>
        <v>185.69374999999999</v>
      </c>
      <c r="E98" s="59">
        <f>365*'Jan''12 SP'!G51/100</f>
        <v>212.39349999999999</v>
      </c>
      <c r="F98" s="59">
        <f>365*'Jan''12 SP'!H51/100</f>
        <v>206.6995</v>
      </c>
      <c r="G98" s="59">
        <f>365*'Jan''12 SP'!I51/100</f>
        <v>204.56424999999999</v>
      </c>
      <c r="H98" s="59">
        <f>365*'Jan''12 SP'!J51/100</f>
        <v>206.98785000000001</v>
      </c>
      <c r="I98" s="65">
        <f>AVERAGE(C98:H98)</f>
        <v>203.59091666666669</v>
      </c>
    </row>
    <row r="99" spans="1:9" x14ac:dyDescent="0.15">
      <c r="A99" s="62" t="s">
        <v>613</v>
      </c>
      <c r="B99" s="63"/>
      <c r="C99" s="61">
        <f t="shared" ref="C99:H99" si="7">SUM(C92:C98)</f>
        <v>1210.1661307999998</v>
      </c>
      <c r="D99" s="61">
        <f t="shared" si="7"/>
        <v>1195.3873646</v>
      </c>
      <c r="E99" s="61">
        <f t="shared" si="7"/>
        <v>1278.6460630899996</v>
      </c>
      <c r="F99" s="61">
        <f t="shared" si="7"/>
        <v>1269.9191199999998</v>
      </c>
      <c r="G99" s="61">
        <f t="shared" si="7"/>
        <v>1311.1781297999999</v>
      </c>
      <c r="H99" s="61">
        <f t="shared" si="7"/>
        <v>1372.9358983799998</v>
      </c>
      <c r="I99" s="64">
        <f>AVERAGE(C99:H99)</f>
        <v>1273.0387844449997</v>
      </c>
    </row>
    <row r="101" spans="1:9" x14ac:dyDescent="0.15">
      <c r="A101" s="63"/>
      <c r="B101" s="63"/>
      <c r="C101" s="63"/>
      <c r="D101" s="63"/>
      <c r="E101" s="63"/>
      <c r="F101" s="63"/>
      <c r="G101" s="63"/>
      <c r="H101" s="63"/>
      <c r="I101" s="63"/>
    </row>
    <row r="102" spans="1:9" x14ac:dyDescent="0.15">
      <c r="A102" s="53" t="s">
        <v>490</v>
      </c>
      <c r="C102" s="23" t="s">
        <v>1044</v>
      </c>
      <c r="D102" s="23" t="s">
        <v>591</v>
      </c>
      <c r="E102" s="23" t="s">
        <v>555</v>
      </c>
      <c r="F102" s="23" t="s">
        <v>544</v>
      </c>
      <c r="G102" s="23" t="s">
        <v>615</v>
      </c>
      <c r="H102" s="23" t="s">
        <v>595</v>
      </c>
    </row>
    <row r="103" spans="1:9" x14ac:dyDescent="0.15">
      <c r="A103" s="40" t="s">
        <v>491</v>
      </c>
      <c r="C103" s="24" t="s">
        <v>560</v>
      </c>
      <c r="D103" s="25" t="s">
        <v>561</v>
      </c>
      <c r="E103" s="25" t="s">
        <v>540</v>
      </c>
      <c r="F103" s="25" t="s">
        <v>494</v>
      </c>
      <c r="G103" s="25" t="s">
        <v>494</v>
      </c>
      <c r="H103" s="25" t="s">
        <v>494</v>
      </c>
    </row>
    <row r="104" spans="1:9" x14ac:dyDescent="0.15">
      <c r="A104" s="40" t="s">
        <v>496</v>
      </c>
      <c r="C104" s="25" t="s">
        <v>498</v>
      </c>
      <c r="D104" s="25" t="s">
        <v>497</v>
      </c>
      <c r="E104" s="25" t="s">
        <v>526</v>
      </c>
      <c r="F104" s="25" t="s">
        <v>493</v>
      </c>
      <c r="G104" s="25" t="s">
        <v>498</v>
      </c>
      <c r="H104" s="25" t="s">
        <v>498</v>
      </c>
    </row>
    <row r="105" spans="1:9" x14ac:dyDescent="0.15">
      <c r="A105" s="40" t="s">
        <v>499</v>
      </c>
      <c r="C105" s="25" t="s">
        <v>557</v>
      </c>
      <c r="D105" s="37">
        <v>22</v>
      </c>
      <c r="E105" s="37">
        <v>22</v>
      </c>
      <c r="F105" s="25" t="s">
        <v>493</v>
      </c>
      <c r="G105" s="37">
        <v>20</v>
      </c>
      <c r="H105" s="37">
        <v>100</v>
      </c>
    </row>
    <row r="106" spans="1:9" x14ac:dyDescent="0.15">
      <c r="A106" s="40" t="s">
        <v>501</v>
      </c>
      <c r="C106" s="25" t="s">
        <v>494</v>
      </c>
      <c r="D106" s="25" t="s">
        <v>562</v>
      </c>
      <c r="E106" s="24" t="s">
        <v>540</v>
      </c>
      <c r="F106" s="24" t="s">
        <v>558</v>
      </c>
      <c r="G106" s="24" t="s">
        <v>510</v>
      </c>
      <c r="H106" s="24" t="s">
        <v>506</v>
      </c>
    </row>
    <row r="107" spans="1:9" x14ac:dyDescent="0.15">
      <c r="A107" s="40" t="s">
        <v>511</v>
      </c>
      <c r="C107" s="25" t="s">
        <v>512</v>
      </c>
      <c r="D107" s="25" t="s">
        <v>494</v>
      </c>
      <c r="E107" s="25" t="s">
        <v>494</v>
      </c>
      <c r="F107" s="25" t="s">
        <v>493</v>
      </c>
      <c r="G107" s="25" t="s">
        <v>494</v>
      </c>
      <c r="H107" s="25" t="s">
        <v>494</v>
      </c>
    </row>
    <row r="108" spans="1:9" x14ac:dyDescent="0.15">
      <c r="A108" s="63"/>
      <c r="B108" s="63"/>
      <c r="C108" s="63"/>
      <c r="D108" s="63"/>
      <c r="E108" s="63"/>
      <c r="F108" s="63"/>
      <c r="G108" s="63"/>
      <c r="H108" s="63"/>
      <c r="I108" s="63"/>
    </row>
  </sheetData>
  <sheetProtection algorithmName="SHA-512" hashValue="gHj2bQM2FrIHdmbjv4OfZC0GdiMiApPBHAdoHfdvbOb1hWcCN2lYx7msysLuEjn3UaimL4q9JYOqGni6ANYkQg==" saltValue="GmkVNq2pWW8zkS6zaD93M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N108"/>
  <sheetViews>
    <sheetView zoomScale="140" zoomScaleNormal="140" zoomScalePageLayoutView="140" workbookViewId="0">
      <selection activeCell="J9" sqref="J9:J99"/>
    </sheetView>
  </sheetViews>
  <sheetFormatPr baseColWidth="10" defaultColWidth="10.83203125" defaultRowHeight="13" x14ac:dyDescent="0.15"/>
  <cols>
    <col min="1" max="1" width="26.1640625" style="40" customWidth="1"/>
    <col min="2" max="2" width="3.1640625" style="40" customWidth="1"/>
    <col min="3" max="9" width="11.6640625" style="40" customWidth="1"/>
    <col min="10" max="10" width="15" style="40" customWidth="1"/>
    <col min="11" max="14" width="11.6640625" style="40" customWidth="1"/>
    <col min="15" max="16384" width="10.83203125" style="40"/>
  </cols>
  <sheetData>
    <row r="1" spans="1:14" x14ac:dyDescent="0.15">
      <c r="A1" s="48" t="s">
        <v>434</v>
      </c>
    </row>
    <row r="2" spans="1:14" x14ac:dyDescent="0.15">
      <c r="A2" s="70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</row>
    <row r="3" spans="1:14" x14ac:dyDescent="0.15">
      <c r="A3" s="52" t="s">
        <v>435</v>
      </c>
    </row>
    <row r="5" spans="1:14" x14ac:dyDescent="0.15">
      <c r="A5" s="53" t="s">
        <v>588</v>
      </c>
      <c r="B5" s="53"/>
      <c r="C5" s="53" t="s">
        <v>1394</v>
      </c>
      <c r="F5" s="66">
        <v>30000</v>
      </c>
    </row>
    <row r="6" spans="1:14" x14ac:dyDescent="0.15">
      <c r="C6" s="54" t="s">
        <v>589</v>
      </c>
    </row>
    <row r="7" spans="1:14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</row>
    <row r="8" spans="1:14" x14ac:dyDescent="0.15">
      <c r="J8" s="58"/>
    </row>
    <row r="9" spans="1:14" x14ac:dyDescent="0.15">
      <c r="A9" s="53" t="s">
        <v>1074</v>
      </c>
      <c r="C9" s="23" t="s">
        <v>1044</v>
      </c>
      <c r="D9" s="23" t="s">
        <v>591</v>
      </c>
      <c r="E9" s="23" t="s">
        <v>555</v>
      </c>
      <c r="F9" s="23" t="s">
        <v>544</v>
      </c>
      <c r="G9" s="23" t="s">
        <v>514</v>
      </c>
      <c r="H9" s="23" t="s">
        <v>615</v>
      </c>
      <c r="I9" s="23" t="s">
        <v>515</v>
      </c>
      <c r="J9" s="57" t="s">
        <v>601</v>
      </c>
    </row>
    <row r="10" spans="1:14" x14ac:dyDescent="0.15">
      <c r="A10" s="40" t="s">
        <v>602</v>
      </c>
      <c r="C10" s="59">
        <f>IF($F5*'Jul''11 Multi'!E7/'Jul''11 Multi'!E8&gt;='Jul''11 Multi'!E11,('Jul''11 Multi'!E11*'Jul''11 Multi'!E15/100)*'Jul''11 Multi'!E8,($F5*'Jul''11 Multi'!E7/'Jul''11 Multi'!E8*'Jul''11 Multi'!E15/100)*'Jul''11 Multi'!E8)</f>
        <v>150.28199999999998</v>
      </c>
      <c r="D10" s="59">
        <f>IF($F5*'Jul''11 Multi'!F7/'Jul''11 Multi'!F8&gt;='Jul''11 Multi'!F11,('Jul''11 Multi'!F11*'Jul''11 Multi'!F15/100)*'Jul''11 Multi'!F8,($F5*'Jul''11 Multi'!F7/'Jul''11 Multi'!F8*'Jul''11 Multi'!F15/100)*'Jul''11 Multi'!F8)</f>
        <v>250.79999999999998</v>
      </c>
      <c r="E10" s="59">
        <f>IF($F5*'Jul''11 Multi'!G7/'Jul''11 Multi'!G8&gt;='Jul''11 Multi'!G11,('Jul''11 Multi'!G11*'Jul''11 Multi'!G15/100)*'Jul''11 Multi'!G8,($F5*'Jul''11 Multi'!G7/'Jul''11 Multi'!G8*'Jul''11 Multi'!G15/100)*'Jul''11 Multi'!G8)</f>
        <v>254.47500000000002</v>
      </c>
      <c r="F10" s="59">
        <f>IF($F5*'Jul''11 Multi'!H7/'Jul''11 Multi'!H8&gt;='Jul''11 Multi'!H11,('Jul''11 Multi'!H11*'Jul''11 Multi'!H15/100)*'Jul''11 Multi'!H8,($F5*'Jul''11 Multi'!H7/'Jul''11 Multi'!H8*'Jul''11 Multi'!H15/100)*'Jul''11 Multi'!H8)</f>
        <v>258</v>
      </c>
      <c r="G10" s="59">
        <f>IF($F5*'Jul''11 Multi'!I7/'Jul''11 Multi'!I8&gt;='Jul''11 Multi'!I11,('Jul''11 Multi'!I11*'Jul''11 Multi'!I15/100)*'Jul''11 Multi'!I8,($F5*'Jul''11 Multi'!I7/'Jul''11 Multi'!I8*'Jul''11 Multi'!I15/100)*'Jul''11 Multi'!I8)</f>
        <v>227.86499999999995</v>
      </c>
      <c r="H10" s="59">
        <f>IF($F5*'Jul''11 Multi'!J7/'Jul''11 Multi'!J8&gt;='Jul''11 Multi'!J11,('Jul''11 Multi'!J11*'Jul''11 Multi'!J15/100)*'Jul''11 Multi'!J8,($F5*'Jul''11 Multi'!J7/'Jul''11 Multi'!J8*'Jul''11 Multi'!J15/100)*'Jul''11 Multi'!J8)</f>
        <v>271.26</v>
      </c>
      <c r="I10" s="59">
        <f>IF($F5*'Jul''11 Multi'!K7/'Jul''11 Multi'!K8&gt;='Jul''11 Multi'!K11,('Jul''11 Multi'!K11*'Jul''11 Multi'!K15/100)*'Jul''11 Multi'!K8,($F5*'Jul''11 Multi'!K7/'Jul''11 Multi'!K8*'Jul''11 Multi'!K15/100)*'Jul''11 Multi'!K8)</f>
        <v>301.81800000000004</v>
      </c>
      <c r="J10" s="63"/>
    </row>
    <row r="11" spans="1:14" x14ac:dyDescent="0.15">
      <c r="A11" s="40" t="s">
        <v>603</v>
      </c>
      <c r="C11" s="59">
        <f>IF($F5*'Jul''11 Multi'!E7/'Jul''11 Multi'!E8&lt;'Jul''11 Multi'!E11,0,IF($F5*'Jul''11 Multi'!E7/'Jul''11 Multi'!E8&lt;+'Jul''11 Multi'!E12,($F5*'Jul''11 Multi'!E7/'Jul''11 Multi'!E8-'Jul''11 Multi'!E11)*('Jul''11 Multi'!E16/100)*'Jul''11 Multi'!E8,('Jul''11 Multi'!E12-'Jul''11 Multi'!E11)*('Jul''11 Multi'!E16/100)*'Jul''11 Multi'!E8))</f>
        <v>86.855999999999995</v>
      </c>
      <c r="D11" s="59">
        <f>IF($F5*'Jul''11 Multi'!F7/'Jul''11 Multi'!F8&lt;'Jul''11 Multi'!F11,0,IF($F5*'Jul''11 Multi'!F7/'Jul''11 Multi'!F8&lt;+'Jul''11 Multi'!F12,($F5*'Jul''11 Multi'!F7/'Jul''11 Multi'!F8-'Jul''11 Multi'!F11)*('Jul''11 Multi'!F16/100)*'Jul''11 Multi'!F8,('Jul''11 Multi'!F12-'Jul''11 Multi'!F11)*('Jul''11 Multi'!F16/100)*'Jul''11 Multi'!F8))</f>
        <v>0</v>
      </c>
      <c r="E11" s="59">
        <f>IF($F5*'Jul''11 Multi'!G7/'Jul''11 Multi'!G8&lt;'Jul''11 Multi'!G11,0,IF($F5*'Jul''11 Multi'!G7/'Jul''11 Multi'!G8&lt;+'Jul''11 Multi'!G12,($F5*'Jul''11 Multi'!G7/'Jul''11 Multi'!G8-'Jul''11 Multi'!G11)*('Jul''11 Multi'!G16/100)*'Jul''11 Multi'!G8,('Jul''11 Multi'!G12-'Jul''11 Multi'!G11)*('Jul''11 Multi'!G16/100)*'Jul''11 Multi'!G8))</f>
        <v>0</v>
      </c>
      <c r="F11" s="59">
        <f>IF($F5*'Jul''11 Multi'!H7/'Jul''11 Multi'!H8&lt;'Jul''11 Multi'!H11,0,IF($F5*'Jul''11 Multi'!H7/'Jul''11 Multi'!H8&lt;+'Jul''11 Multi'!H12,($F5*'Jul''11 Multi'!H7/'Jul''11 Multi'!H8-'Jul''11 Multi'!H11)*('Jul''11 Multi'!H16/100)*'Jul''11 Multi'!H8,('Jul''11 Multi'!H12-'Jul''11 Multi'!H11)*('Jul''11 Multi'!H16/100)*'Jul''11 Multi'!H8))</f>
        <v>0</v>
      </c>
      <c r="G11" s="59">
        <f>IF($F5*'Jul''11 Multi'!I7/'Jul''11 Multi'!I8&lt;'Jul''11 Multi'!I11,0,IF($F5*'Jul''11 Multi'!I7/'Jul''11 Multi'!I8&lt;+'Jul''11 Multi'!I12,($F5*'Jul''11 Multi'!I7/'Jul''11 Multi'!I8-'Jul''11 Multi'!I11)*('Jul''11 Multi'!I16/100)*'Jul''11 Multi'!I8,('Jul''11 Multi'!I12-'Jul''11 Multi'!I11)*('Jul''11 Multi'!I16/100)*'Jul''11 Multi'!I8))</f>
        <v>0</v>
      </c>
      <c r="H11" s="59">
        <f>IF($F5*'Jul''11 Multi'!J7/'Jul''11 Multi'!J8&lt;'Jul''11 Multi'!J11,0,IF($F5*'Jul''11 Multi'!J7/'Jul''11 Multi'!J8&lt;+'Jul''11 Multi'!J12,($F5*'Jul''11 Multi'!J7/'Jul''11 Multi'!J8-'Jul''11 Multi'!J11)*('Jul''11 Multi'!J16/100)*'Jul''11 Multi'!J8,('Jul''11 Multi'!J12-'Jul''11 Multi'!J11)*('Jul''11 Multi'!J16/100)*'Jul''11 Multi'!J8))</f>
        <v>0</v>
      </c>
      <c r="I11" s="59">
        <f>IF($F5*'Jul''11 Multi'!K7/'Jul''11 Multi'!K8&lt;'Jul''11 Multi'!K11,0,IF($F5*'Jul''11 Multi'!K7/'Jul''11 Multi'!K8&lt;+'Jul''11 Multi'!K12,($F5*'Jul''11 Multi'!K7/'Jul''11 Multi'!K8-'Jul''11 Multi'!K11)*('Jul''11 Multi'!K16/100)*'Jul''11 Multi'!K8,('Jul''11 Multi'!K12-'Jul''11 Multi'!K11)*('Jul''11 Multi'!K16/100)*'Jul''11 Multi'!K8))</f>
        <v>0</v>
      </c>
      <c r="J11" s="63"/>
    </row>
    <row r="12" spans="1:14" x14ac:dyDescent="0.15">
      <c r="A12" s="40" t="s">
        <v>604</v>
      </c>
      <c r="C12" s="59">
        <f>IF($F5*'Jul''11 Multi'!E7/'Jul''11 Multi'!E8&lt;'Jul''11 Multi'!E12,0,IF($F5*'Jul''11 Multi'!E7/'Jul''11 Multi'!E8&lt;='Jul''11 Multi'!E13,($F5*'Jul''11 Multi'!E7/'Jul''11 Multi'!E8-'Jul''11 Multi'!E12)*('Jul''11 Multi'!E17/100)*'Jul''11 Multi'!E8,('Jul''11 Multi'!E13-'Jul''11 Multi'!E12)*('Jul''11 Multi'!E17/100)*'Jul''11 Multi'!E8))</f>
        <v>0</v>
      </c>
      <c r="D12" s="59">
        <f>IF($F5*'Jul''11 Multi'!F7/'Jul''11 Multi'!F8&lt;'Jul''11 Multi'!F12,0,IF($F5*'Jul''11 Multi'!F7/'Jul''11 Multi'!F8&lt;='Jul''11 Multi'!F13,($F5*'Jul''11 Multi'!F7/'Jul''11 Multi'!F8-'Jul''11 Multi'!F12)*('Jul''11 Multi'!F17/100)*'Jul''11 Multi'!F8,('Jul''11 Multi'!F13-'Jul''11 Multi'!F12)*('Jul''11 Multi'!F17/100)*'Jul''11 Multi'!F8))</f>
        <v>0</v>
      </c>
      <c r="E12" s="59">
        <f>IF($F5*'Jul''11 Multi'!G7/'Jul''11 Multi'!G8&lt;'Jul''11 Multi'!G12,0,IF($F5*'Jul''11 Multi'!G7/'Jul''11 Multi'!G8&lt;='Jul''11 Multi'!G13,($F5*'Jul''11 Multi'!G7/'Jul''11 Multi'!G8-'Jul''11 Multi'!G12)*('Jul''11 Multi'!G17/100)*'Jul''11 Multi'!G8,('Jul''11 Multi'!G13-'Jul''11 Multi'!G12)*('Jul''11 Multi'!G17/100)*'Jul''11 Multi'!G8))</f>
        <v>0</v>
      </c>
      <c r="F12" s="59">
        <f>IF($F5*'Jul''11 Multi'!H7/'Jul''11 Multi'!H8&lt;'Jul''11 Multi'!H12,0,IF($F5*'Jul''11 Multi'!H7/'Jul''11 Multi'!H8&lt;='Jul''11 Multi'!H13,($F5*'Jul''11 Multi'!H7/'Jul''11 Multi'!H8-'Jul''11 Multi'!H12)*('Jul''11 Multi'!H17/100)*'Jul''11 Multi'!H8,('Jul''11 Multi'!H13-'Jul''11 Multi'!H12)*('Jul''11 Multi'!H17/100)*'Jul''11 Multi'!H8))</f>
        <v>0</v>
      </c>
      <c r="G12" s="59">
        <f>IF($F5*'Jul''11 Multi'!I7/'Jul''11 Multi'!I8&lt;'Jul''11 Multi'!I12,0,IF($F5*'Jul''11 Multi'!I7/'Jul''11 Multi'!I8&lt;='Jul''11 Multi'!I13,($F5*'Jul''11 Multi'!I7/'Jul''11 Multi'!I8-'Jul''11 Multi'!I12)*('Jul''11 Multi'!I17/100)*'Jul''11 Multi'!I8,('Jul''11 Multi'!I13-'Jul''11 Multi'!I12)*('Jul''11 Multi'!I17/100)*'Jul''11 Multi'!I8))</f>
        <v>0</v>
      </c>
      <c r="H12" s="59">
        <f>IF($F5*'Jul''11 Multi'!J7/'Jul''11 Multi'!J8&lt;'Jul''11 Multi'!J12,0,IF($F5*'Jul''11 Multi'!J7/'Jul''11 Multi'!J8&lt;='Jul''11 Multi'!J13,($F5*'Jul''11 Multi'!J7/'Jul''11 Multi'!J8-'Jul''11 Multi'!J12)*('Jul''11 Multi'!J17/100)*'Jul''11 Multi'!J8,('Jul''11 Multi'!J13-'Jul''11 Multi'!J12)*('Jul''11 Multi'!J17/100)*'Jul''11 Multi'!J8))</f>
        <v>0</v>
      </c>
      <c r="I12" s="59">
        <f>IF($F5*'Jul''11 Multi'!K7/'Jul''11 Multi'!K8&lt;'Jul''11 Multi'!K12,0,IF($F5*'Jul''11 Multi'!K7/'Jul''11 Multi'!K8&lt;='Jul''11 Multi'!K13,($F5*'Jul''11 Multi'!K7/'Jul''11 Multi'!K8-'Jul''11 Multi'!K12)*('Jul''11 Multi'!K17/100)*'Jul''11 Multi'!K8,('Jul''11 Multi'!K13-'Jul''11 Multi'!K12)*('Jul''11 Multi'!K17/100)*'Jul''11 Multi'!K8))</f>
        <v>0</v>
      </c>
      <c r="J12" s="63"/>
    </row>
    <row r="13" spans="1:14" x14ac:dyDescent="0.15">
      <c r="A13" s="40" t="s">
        <v>605</v>
      </c>
      <c r="C13" s="59">
        <f>IF($F5*'Jul''11 Multi'!E7/'Jul''11 Multi'!E8&lt;'Jul''11 Multi'!E13,0,IF($F5*'Jul''11 Multi'!E7/'Jul''11 Multi'!E8&lt;='Jul''11 Multi'!E14,($F5*'Jul''11 Multi'!E7/'Jul''11 Multi'!E8-'Jul''11 Multi'!E13)*('Jul''11 Multi'!E18/100)*'Jul''11 Multi'!E8,('Jul''11 Multi'!E14-'Jul''11 Multi'!E13)*('Jul''11 Multi'!E18/100)*'Jul''11 Multi'!E8))</f>
        <v>0</v>
      </c>
      <c r="D13" s="59">
        <f>IF($F5*'Jul''11 Multi'!F7/'Jul''11 Multi'!F8&lt;'Jul''11 Multi'!F13,0,IF($F5*'Jul''11 Multi'!F7/'Jul''11 Multi'!F8&lt;='Jul''11 Multi'!F14,($F5*'Jul''11 Multi'!F7/'Jul''11 Multi'!F8-'Jul''11 Multi'!F13)*('Jul''11 Multi'!F18/100)*'Jul''11 Multi'!F8,('Jul''11 Multi'!F14-'Jul''11 Multi'!F13)*('Jul''11 Multi'!F18/100)*'Jul''11 Multi'!F8))</f>
        <v>0</v>
      </c>
      <c r="E13" s="59">
        <f>IF($F5*'Jul''11 Multi'!G7/'Jul''11 Multi'!G8&lt;'Jul''11 Multi'!G13,0,IF($F5*'Jul''11 Multi'!G7/'Jul''11 Multi'!G8&lt;='Jul''11 Multi'!G14,($F5*'Jul''11 Multi'!G7/'Jul''11 Multi'!G8-'Jul''11 Multi'!G13)*('Jul''11 Multi'!G18/100)*'Jul''11 Multi'!G8,('Jul''11 Multi'!G14-'Jul''11 Multi'!G13)*('Jul''11 Multi'!G18/100)*'Jul''11 Multi'!G8))</f>
        <v>0</v>
      </c>
      <c r="F13" s="59">
        <f>IF($F5*'Jul''11 Multi'!H7/'Jul''11 Multi'!H8&lt;'Jul''11 Multi'!H13,0,IF($F5*'Jul''11 Multi'!H7/'Jul''11 Multi'!H8&lt;='Jul''11 Multi'!H14,($F5*'Jul''11 Multi'!H7/'Jul''11 Multi'!H8-'Jul''11 Multi'!H13)*('Jul''11 Multi'!H18/100)*'Jul''11 Multi'!H8,('Jul''11 Multi'!H14-'Jul''11 Multi'!H13)*('Jul''11 Multi'!H18/100)*'Jul''11 Multi'!H8))</f>
        <v>0</v>
      </c>
      <c r="G13" s="59">
        <f>IF($F5*'Jul''11 Multi'!I7/'Jul''11 Multi'!I8&lt;'Jul''11 Multi'!I13,0,IF($F5*'Jul''11 Multi'!I7/'Jul''11 Multi'!I8&lt;='Jul''11 Multi'!I14,($F5*'Jul''11 Multi'!I7/'Jul''11 Multi'!I8-'Jul''11 Multi'!I13)*('Jul''11 Multi'!I18/100)*'Jul''11 Multi'!I8,('Jul''11 Multi'!I14-'Jul''11 Multi'!I13)*('Jul''11 Multi'!I18/100)*'Jul''11 Multi'!I8))</f>
        <v>0</v>
      </c>
      <c r="H13" s="59">
        <f>IF($F5*'Jul''11 Multi'!J7/'Jul''11 Multi'!J8&lt;'Jul''11 Multi'!J13,0,IF($F5*'Jul''11 Multi'!J7/'Jul''11 Multi'!J8&lt;='Jul''11 Multi'!J14,($F5*'Jul''11 Multi'!J7/'Jul''11 Multi'!J8-'Jul''11 Multi'!J13)*('Jul''11 Multi'!J18/100)*'Jul''11 Multi'!J8,('Jul''11 Multi'!J14-'Jul''11 Multi'!J13)*('Jul''11 Multi'!J18/100)*'Jul''11 Multi'!J8))</f>
        <v>0</v>
      </c>
      <c r="I13" s="59">
        <f>IF($F5*'Jul''11 Multi'!K7/'Jul''11 Multi'!K8&lt;'Jul''11 Multi'!K13,0,IF($F5*'Jul''11 Multi'!K7/'Jul''11 Multi'!K8&lt;='Jul''11 Multi'!K14,($F5*'Jul''11 Multi'!K7/'Jul''11 Multi'!K8-'Jul''11 Multi'!K13)*('Jul''11 Multi'!K18/100)*'Jul''11 Multi'!K8,('Jul''11 Multi'!K14-'Jul''11 Multi'!K13)*('Jul''11 Multi'!K18/100)*'Jul''11 Multi'!K8))</f>
        <v>0</v>
      </c>
      <c r="J13" s="63"/>
    </row>
    <row r="14" spans="1:14" x14ac:dyDescent="0.15">
      <c r="A14" s="40" t="s">
        <v>606</v>
      </c>
      <c r="C14" s="59">
        <f>IF(($F5*'Jul''11 Multi'!E7/'Jul''11 Multi'!E8&gt;'Jul''11 Multi'!E14),($F5*'Jul''11 Multi'!E7/'Jul''11 Multi'!E8-'Jul''11 Multi'!E14)*'Jul''11 Multi'!E19/100*'Jul''11 Multi'!E8,0)</f>
        <v>0</v>
      </c>
      <c r="D14" s="59">
        <f>IF(($F5*'Jul''11 Multi'!F7/'Jul''11 Multi'!F8&gt;'Jul''11 Multi'!F14),($F5*'Jul''11 Multi'!F7/'Jul''11 Multi'!F8-'Jul''11 Multi'!F14)*'Jul''11 Multi'!F19/100*'Jul''11 Multi'!F8,0)</f>
        <v>0</v>
      </c>
      <c r="E14" s="59">
        <f>IF(($F5*'Jul''11 Multi'!G7/'Jul''11 Multi'!G8&gt;'Jul''11 Multi'!G14),($F5*'Jul''11 Multi'!G7/'Jul''11 Multi'!G8-'Jul''11 Multi'!G14)*'Jul''11 Multi'!G19/100*'Jul''11 Multi'!G8,0)</f>
        <v>0</v>
      </c>
      <c r="F14" s="59">
        <f>IF(($F5*'Jul''11 Multi'!H7/'Jul''11 Multi'!H8&gt;'Jul''11 Multi'!H14),($F5*'Jul''11 Multi'!H7/'Jul''11 Multi'!H8-'Jul''11 Multi'!H14)*'Jul''11 Multi'!H19/100*'Jul''11 Multi'!H8,0)</f>
        <v>0</v>
      </c>
      <c r="G14" s="59">
        <f>IF(($F5*'Jul''11 Multi'!I7/'Jul''11 Multi'!I8&gt;'Jul''11 Multi'!I14),($F5*'Jul''11 Multi'!I7/'Jul''11 Multi'!I8-'Jul''11 Multi'!I14)*'Jul''11 Multi'!I19/100*'Jul''11 Multi'!I8,0)</f>
        <v>0</v>
      </c>
      <c r="H14" s="59">
        <f>IF(($F5*'Jul''11 Multi'!J7/'Jul''11 Multi'!J8&gt;'Jul''11 Multi'!J14),($F5*'Jul''11 Multi'!J7/'Jul''11 Multi'!J8-'Jul''11 Multi'!J14)*'Jul''11 Multi'!J19/100*'Jul''11 Multi'!J8,0)</f>
        <v>0</v>
      </c>
      <c r="I14" s="59">
        <f>IF(($F5*'Jul''11 Multi'!K7/'Jul''11 Multi'!K8&gt;'Jul''11 Multi'!K14),($F5*'Jul''11 Multi'!K7/'Jul''11 Multi'!K8-'Jul''11 Multi'!K14)*'Jul''11 Multi'!K19/100*'Jul''11 Multi'!K8,0)</f>
        <v>0</v>
      </c>
      <c r="J14" s="63"/>
    </row>
    <row r="15" spans="1:14" x14ac:dyDescent="0.15">
      <c r="A15" s="40" t="s">
        <v>607</v>
      </c>
      <c r="C15" s="59">
        <f>IF($F5*'Jul''11 Multi'!E9/'Jul''11 Multi'!E10&gt;='Jul''11 Multi'!E11,('Jul''11 Multi'!E11*'Jul''11 Multi'!E20/100)*'Jul''11 Multi'!E10,($F5*'Jul''11 Multi'!E9/'Jul''11 Multi'!E10*'Jul''11 Multi'!E20/100)*'Jul''11 Multi'!E10)</f>
        <v>139.19400000000002</v>
      </c>
      <c r="D15" s="59">
        <f>IF($F5*'Jul''11 Multi'!F9/'Jul''11 Multi'!F10&gt;='Jul''11 Multi'!F11,('Jul''11 Multi'!F11*'Jul''11 Multi'!F20/100)*'Jul''11 Multi'!F10,($F5*'Jul''11 Multi'!F9/'Jul''11 Multi'!F10*'Jul''11 Multi'!F20/100)*'Jul''11 Multi'!F10)</f>
        <v>233.14500000000001</v>
      </c>
      <c r="E15" s="59">
        <f>IF($F5*'Jul''11 Multi'!G9/'Jul''11 Multi'!G10&gt;='Jul''11 Multi'!G11,('Jul''11 Multi'!G11*'Jul''11 Multi'!G20/100)*'Jul''11 Multi'!G10,($F5*'Jul''11 Multi'!G9/'Jul''11 Multi'!G10*'Jul''11 Multi'!G20/100)*'Jul''11 Multi'!G10)</f>
        <v>252.88499999999999</v>
      </c>
      <c r="F15" s="59">
        <f>IF($F5*'Jul''11 Multi'!H9/'Jul''11 Multi'!H10&gt;='Jul''11 Multi'!H11,('Jul''11 Multi'!H11*'Jul''11 Multi'!H20/100)*'Jul''11 Multi'!H10,($F5*'Jul''11 Multi'!H9/'Jul''11 Multi'!H10*'Jul''11 Multi'!H20/100)*'Jul''11 Multi'!H10)</f>
        <v>247.5</v>
      </c>
      <c r="G15" s="59">
        <f>IF($F5*'Jul''11 Multi'!I9/'Jul''11 Multi'!I10&gt;='Jul''11 Multi'!I11,('Jul''11 Multi'!I11*'Jul''11 Multi'!I20/100)*'Jul''11 Multi'!I10,($F5*'Jul''11 Multi'!I9/'Jul''11 Multi'!I10*'Jul''11 Multi'!I20/100)*'Jul''11 Multi'!I10)</f>
        <v>212.685</v>
      </c>
      <c r="H15" s="59">
        <f>IF($F5*'Jul''11 Multi'!J9/'Jul''11 Multi'!J10&gt;='Jul''11 Multi'!J11,('Jul''11 Multi'!J11*'Jul''11 Multi'!J20/100)*'Jul''11 Multi'!J10,($F5*'Jul''11 Multi'!J9/'Jul''11 Multi'!J10*'Jul''11 Multi'!J20/100)*'Jul''11 Multi'!J10)</f>
        <v>252.12</v>
      </c>
      <c r="I15" s="59">
        <f>IF($F5*'Jul''11 Multi'!K9/'Jul''11 Multi'!K10&gt;='Jul''11 Multi'!K11,('Jul''11 Multi'!K11*'Jul''11 Multi'!K20/100)*'Jul''11 Multi'!K10,($F5*'Jul''11 Multi'!K9/'Jul''11 Multi'!K10*'Jul''11 Multi'!K20/100)*'Jul''11 Multi'!K10)</f>
        <v>276.88649999999996</v>
      </c>
      <c r="J15" s="63"/>
    </row>
    <row r="16" spans="1:14" x14ac:dyDescent="0.15">
      <c r="A16" s="40" t="s">
        <v>608</v>
      </c>
      <c r="C16" s="59">
        <f>IF($F5*'Jul''11 Multi'!E9/'Jul''11 Multi'!E10&lt;'Jul''11 Multi'!E11,0,IF($F5*'Jul''11 Multi'!E9/'Jul''11 Multi'!E10&lt;='Jul''11 Multi'!E12,($F5*'Jul''11 Multi'!E9/'Jul''11 Multi'!E10-'Jul''11 Multi'!E11)*('Jul''11 Multi'!E21/100)*'Jul''11 Multi'!E10,('Jul''11 Multi'!E12-'Jul''11 Multi'!E11)*('Jul''11 Multi'!E21/100)*'Jul''11 Multi'!E10))</f>
        <v>81.246000000000009</v>
      </c>
      <c r="D16" s="59">
        <f>IF($F5*'Jul''11 Multi'!F9/'Jul''11 Multi'!F10&lt;'Jul''11 Multi'!F11,0,IF($F5*'Jul''11 Multi'!F9/'Jul''11 Multi'!F10&lt;='Jul''11 Multi'!F12,($F5*'Jul''11 Multi'!F9/'Jul''11 Multi'!F10-'Jul''11 Multi'!F11)*('Jul''11 Multi'!F21/100)*'Jul''11 Multi'!F10,('Jul''11 Multi'!F12-'Jul''11 Multi'!F11)*('Jul''11 Multi'!F21/100)*'Jul''11 Multi'!F10))</f>
        <v>0</v>
      </c>
      <c r="E16" s="59">
        <f>IF($F5*'Jul''11 Multi'!G9/'Jul''11 Multi'!G10&lt;'Jul''11 Multi'!G11,0,IF($F5*'Jul''11 Multi'!G9/'Jul''11 Multi'!G10&lt;='Jul''11 Multi'!G12,($F5*'Jul''11 Multi'!G9/'Jul''11 Multi'!G10-'Jul''11 Multi'!G11)*('Jul''11 Multi'!G21/100)*'Jul''11 Multi'!G10,('Jul''11 Multi'!G12-'Jul''11 Multi'!G11)*('Jul''11 Multi'!G21/100)*'Jul''11 Multi'!G10))</f>
        <v>0</v>
      </c>
      <c r="F16" s="59">
        <f>IF($F5*'Jul''11 Multi'!H9/'Jul''11 Multi'!H10&lt;'Jul''11 Multi'!H11,0,IF($F5*'Jul''11 Multi'!H9/'Jul''11 Multi'!H10&lt;='Jul''11 Multi'!H12,($F5*'Jul''11 Multi'!H9/'Jul''11 Multi'!H10-'Jul''11 Multi'!H11)*('Jul''11 Multi'!H21/100)*'Jul''11 Multi'!H10,('Jul''11 Multi'!H12-'Jul''11 Multi'!H11)*('Jul''11 Multi'!H21/100)*'Jul''11 Multi'!H10))</f>
        <v>0</v>
      </c>
      <c r="G16" s="59">
        <f>IF($F5*'Jul''11 Multi'!I9/'Jul''11 Multi'!I10&lt;'Jul''11 Multi'!I11,0,IF($F5*'Jul''11 Multi'!I9/'Jul''11 Multi'!I10&lt;='Jul''11 Multi'!I12,($F5*'Jul''11 Multi'!I9/'Jul''11 Multi'!I10-'Jul''11 Multi'!I11)*('Jul''11 Multi'!I21/100)*'Jul''11 Multi'!I10,('Jul''11 Multi'!I12-'Jul''11 Multi'!I11)*('Jul''11 Multi'!I21/100)*'Jul''11 Multi'!I10))</f>
        <v>0</v>
      </c>
      <c r="H16" s="59">
        <f>IF($F5*'Jul''11 Multi'!J9/'Jul''11 Multi'!J10&lt;'Jul''11 Multi'!J11,0,IF($F5*'Jul''11 Multi'!J9/'Jul''11 Multi'!J10&lt;='Jul''11 Multi'!J12,($F5*'Jul''11 Multi'!J9/'Jul''11 Multi'!J10-'Jul''11 Multi'!J11)*('Jul''11 Multi'!J21/100)*'Jul''11 Multi'!J10,('Jul''11 Multi'!J12-'Jul''11 Multi'!J11)*('Jul''11 Multi'!J21/100)*'Jul''11 Multi'!J10))</f>
        <v>0</v>
      </c>
      <c r="I16" s="59">
        <f>IF($F5*'Jul''11 Multi'!K9/'Jul''11 Multi'!K10&lt;'Jul''11 Multi'!K11,0,IF($F5*'Jul''11 Multi'!K9/'Jul''11 Multi'!K10&lt;='Jul''11 Multi'!K12,($F5*'Jul''11 Multi'!K9/'Jul''11 Multi'!K10-'Jul''11 Multi'!K11)*('Jul''11 Multi'!K21/100)*'Jul''11 Multi'!K10,('Jul''11 Multi'!K12-'Jul''11 Multi'!K11)*('Jul''11 Multi'!K21/100)*'Jul''11 Multi'!K10))</f>
        <v>0</v>
      </c>
      <c r="J16" s="63"/>
    </row>
    <row r="17" spans="1:10" x14ac:dyDescent="0.15">
      <c r="A17" s="40" t="s">
        <v>609</v>
      </c>
      <c r="C17" s="59">
        <f>IF($F5*'Jul''11 Multi'!E9/'Jul''11 Multi'!E10&lt;'Jul''11 Multi'!E12,0,IF($F5*'Jul''11 Multi'!E9/'Jul''11 Multi'!E10&lt;='Jul''11 Multi'!E13,($F5*'Jul''11 Multi'!E9/'Jul''11 Multi'!E10-'Jul''11 Multi'!E12)*('Jul''11 Multi'!E22/100)*'Jul''11 Multi'!E10,('Jul''11 Multi'!E13-'Jul''11 Multi'!E12)*('Jul''11 Multi'!E22/100)*'Jul''11 Multi'!E10))</f>
        <v>0</v>
      </c>
      <c r="D17" s="59">
        <f>IF($F5*'Jul''11 Multi'!F9/'Jul''11 Multi'!F10&lt;'Jul''11 Multi'!F12,0,IF($F5*'Jul''11 Multi'!F9/'Jul''11 Multi'!F10&lt;='Jul''11 Multi'!F13,($F5*'Jul''11 Multi'!F9/'Jul''11 Multi'!F10-'Jul''11 Multi'!F12)*('Jul''11 Multi'!F22/100)*'Jul''11 Multi'!F10,('Jul''11 Multi'!F13-'Jul''11 Multi'!F12)*('Jul''11 Multi'!F22/100)*'Jul''11 Multi'!F10))</f>
        <v>0</v>
      </c>
      <c r="E17" s="59">
        <f>IF($F5*'Jul''11 Multi'!G9/'Jul''11 Multi'!G10&lt;'Jul''11 Multi'!G12,0,IF($F5*'Jul''11 Multi'!G9/'Jul''11 Multi'!G10&lt;='Jul''11 Multi'!G13,($F5*'Jul''11 Multi'!G9/'Jul''11 Multi'!G10-'Jul''11 Multi'!G12)*('Jul''11 Multi'!G22/100)*'Jul''11 Multi'!G10,('Jul''11 Multi'!G13-'Jul''11 Multi'!G12)*('Jul''11 Multi'!G22/100)*'Jul''11 Multi'!G10))</f>
        <v>0</v>
      </c>
      <c r="F17" s="59">
        <f>IF($F5*'Jul''11 Multi'!H9/'Jul''11 Multi'!H10&lt;'Jul''11 Multi'!H12,0,IF($F5*'Jul''11 Multi'!H9/'Jul''11 Multi'!H10&lt;='Jul''11 Multi'!H13,($F5*'Jul''11 Multi'!H9/'Jul''11 Multi'!H10-'Jul''11 Multi'!H12)*('Jul''11 Multi'!H22/100)*'Jul''11 Multi'!H10,('Jul''11 Multi'!H13-'Jul''11 Multi'!H12)*('Jul''11 Multi'!H22/100)*'Jul''11 Multi'!H10))</f>
        <v>0</v>
      </c>
      <c r="G17" s="59">
        <f>IF($F5*'Jul''11 Multi'!I9/'Jul''11 Multi'!I10&lt;'Jul''11 Multi'!I12,0,IF($F5*'Jul''11 Multi'!I9/'Jul''11 Multi'!I10&lt;='Jul''11 Multi'!I13,($F5*'Jul''11 Multi'!I9/'Jul''11 Multi'!I10-'Jul''11 Multi'!I12)*('Jul''11 Multi'!I22/100)*'Jul''11 Multi'!I10,('Jul''11 Multi'!I13-'Jul''11 Multi'!I12)*('Jul''11 Multi'!I22/100)*'Jul''11 Multi'!I10))</f>
        <v>0</v>
      </c>
      <c r="H17" s="59">
        <f>IF($F5*'Jul''11 Multi'!J9/'Jul''11 Multi'!J10&lt;'Jul''11 Multi'!J12,0,IF($F5*'Jul''11 Multi'!J9/'Jul''11 Multi'!J10&lt;='Jul''11 Multi'!J13,($F5*'Jul''11 Multi'!J9/'Jul''11 Multi'!J10-'Jul''11 Multi'!J12)*('Jul''11 Multi'!J22/100)*'Jul''11 Multi'!J10,('Jul''11 Multi'!J13-'Jul''11 Multi'!J12)*('Jul''11 Multi'!J22/100)*'Jul''11 Multi'!J10))</f>
        <v>0</v>
      </c>
      <c r="I17" s="59">
        <f>IF($F5*'Jul''11 Multi'!K9/'Jul''11 Multi'!K10&lt;'Jul''11 Multi'!K12,0,IF($F5*'Jul''11 Multi'!K9/'Jul''11 Multi'!K10&lt;='Jul''11 Multi'!K13,($F5*'Jul''11 Multi'!K9/'Jul''11 Multi'!K10-'Jul''11 Multi'!K12)*('Jul''11 Multi'!K22/100)*'Jul''11 Multi'!K10,('Jul''11 Multi'!K13-'Jul''11 Multi'!K12)*('Jul''11 Multi'!K22/100)*'Jul''11 Multi'!K10))</f>
        <v>0</v>
      </c>
      <c r="J17" s="63"/>
    </row>
    <row r="18" spans="1:10" x14ac:dyDescent="0.15">
      <c r="A18" s="40" t="s">
        <v>610</v>
      </c>
      <c r="C18" s="59">
        <f>IF($F5*'Jul''11 Multi'!E9/'Jul''11 Multi'!E10&lt;'Jul''11 Multi'!E13,0,IF($F5*'Jul''11 Multi'!E9/'Jul''11 Multi'!E10&lt;='Jul''11 Multi'!E14,($F5*'Jul''11 Multi'!E9/'Jul''11 Multi'!E10-'Jul''11 Multi'!E13)*('Jul''11 Multi'!E23/100)*'Jul''11 Multi'!E10,('Jul''11 Multi'!E14-'Jul''11 Multi'!E13)*('Jul''11 Multi'!E23/100)*'Jul''11 Multi'!E10))</f>
        <v>0</v>
      </c>
      <c r="D18" s="59">
        <f>IF($F5*'Jul''11 Multi'!F9/'Jul''11 Multi'!F10&lt;'Jul''11 Multi'!F13,0,IF($F5*'Jul''11 Multi'!F9/'Jul''11 Multi'!F10&lt;='Jul''11 Multi'!F14,($F5*'Jul''11 Multi'!F9/'Jul''11 Multi'!F10-'Jul''11 Multi'!F13)*('Jul''11 Multi'!F23/100)*'Jul''11 Multi'!F10,('Jul''11 Multi'!F14-'Jul''11 Multi'!F13)*('Jul''11 Multi'!F23/100)*'Jul''11 Multi'!F10))</f>
        <v>0</v>
      </c>
      <c r="E18" s="59">
        <f>IF($F5*'Jul''11 Multi'!G9/'Jul''11 Multi'!G10&lt;'Jul''11 Multi'!G13,0,IF($F5*'Jul''11 Multi'!G9/'Jul''11 Multi'!G10&lt;='Jul''11 Multi'!G14,($F5*'Jul''11 Multi'!G9/'Jul''11 Multi'!G10-'Jul''11 Multi'!G13)*('Jul''11 Multi'!G23/100)*'Jul''11 Multi'!G10,('Jul''11 Multi'!G14-'Jul''11 Multi'!G13)*('Jul''11 Multi'!G23/100)*'Jul''11 Multi'!G10))</f>
        <v>0</v>
      </c>
      <c r="F18" s="59">
        <f>IF($F5*'Jul''11 Multi'!H9/'Jul''11 Multi'!H10&lt;'Jul''11 Multi'!H13,0,IF($F5*'Jul''11 Multi'!H9/'Jul''11 Multi'!H10&lt;='Jul''11 Multi'!H14,($F5*'Jul''11 Multi'!H9/'Jul''11 Multi'!H10-'Jul''11 Multi'!H13)*('Jul''11 Multi'!H23/100)*'Jul''11 Multi'!H10,('Jul''11 Multi'!H14-'Jul''11 Multi'!H13)*('Jul''11 Multi'!H23/100)*'Jul''11 Multi'!H10))</f>
        <v>0</v>
      </c>
      <c r="G18" s="59">
        <f>IF($F5*'Jul''11 Multi'!I9/'Jul''11 Multi'!I10&lt;'Jul''11 Multi'!I13,0,IF($F5*'Jul''11 Multi'!I9/'Jul''11 Multi'!I10&lt;='Jul''11 Multi'!I14,($F5*'Jul''11 Multi'!I9/'Jul''11 Multi'!I10-'Jul''11 Multi'!I13)*('Jul''11 Multi'!I23/100)*'Jul''11 Multi'!I10,('Jul''11 Multi'!I14-'Jul''11 Multi'!I13)*('Jul''11 Multi'!I23/100)*'Jul''11 Multi'!I10))</f>
        <v>0</v>
      </c>
      <c r="H18" s="59">
        <f>IF($F5*'Jul''11 Multi'!J9/'Jul''11 Multi'!J10&lt;'Jul''11 Multi'!J13,0,IF($F5*'Jul''11 Multi'!J9/'Jul''11 Multi'!J10&lt;='Jul''11 Multi'!J14,($F5*'Jul''11 Multi'!J9/'Jul''11 Multi'!J10-'Jul''11 Multi'!J13)*('Jul''11 Multi'!J23/100)*'Jul''11 Multi'!J10,('Jul''11 Multi'!J14-'Jul''11 Multi'!J13)*('Jul''11 Multi'!J23/100)*'Jul''11 Multi'!J10))</f>
        <v>0</v>
      </c>
      <c r="I18" s="59">
        <f>IF($F5*'Jul''11 Multi'!K9/'Jul''11 Multi'!K10&lt;'Jul''11 Multi'!K13,0,IF($F5*'Jul''11 Multi'!K9/'Jul''11 Multi'!K10&lt;='Jul''11 Multi'!K14,($F5*'Jul''11 Multi'!K9/'Jul''11 Multi'!K10-'Jul''11 Multi'!K13)*('Jul''11 Multi'!K23/100)*'Jul''11 Multi'!K10,('Jul''11 Multi'!K14-'Jul''11 Multi'!K13)*('Jul''11 Multi'!K23/100)*'Jul''11 Multi'!K10))</f>
        <v>0</v>
      </c>
      <c r="J18" s="63"/>
    </row>
    <row r="19" spans="1:10" x14ac:dyDescent="0.15">
      <c r="A19" s="40" t="s">
        <v>611</v>
      </c>
      <c r="C19" s="59">
        <f>IF(($F5*'Jul''11 Multi'!E9/'Jul''11 Multi'!E10&gt;'Jul''11 Multi'!E14),($F5*'Jul''11 Multi'!E9/'Jul''11 Multi'!E10-'Jul''11 Multi'!E14)*'Jul''11 Multi'!E24/100*'Jul''11 Multi'!E10,0)</f>
        <v>0</v>
      </c>
      <c r="D19" s="59">
        <f>IF(($F5*'Jul''11 Multi'!F9/'Jul''11 Multi'!F10&gt;'Jul''11 Multi'!F14),($F5*'Jul''11 Multi'!F9/'Jul''11 Multi'!F10-'Jul''11 Multi'!F14)*'Jul''11 Multi'!F24/100*'Jul''11 Multi'!F10,0)</f>
        <v>0</v>
      </c>
      <c r="E19" s="59">
        <f>IF(($F5*'Jul''11 Multi'!G9/'Jul''11 Multi'!G10&gt;'Jul''11 Multi'!G14),($F5*'Jul''11 Multi'!G9/'Jul''11 Multi'!G10-'Jul''11 Multi'!G14)*'Jul''11 Multi'!G24/100*'Jul''11 Multi'!G10,0)</f>
        <v>0</v>
      </c>
      <c r="F19" s="59">
        <f>IF(($F5*'Jul''11 Multi'!H9/'Jul''11 Multi'!H10&gt;'Jul''11 Multi'!H14),($F5*'Jul''11 Multi'!H9/'Jul''11 Multi'!H10-'Jul''11 Multi'!H14)*'Jul''11 Multi'!H24/100*'Jul''11 Multi'!H10,0)</f>
        <v>0</v>
      </c>
      <c r="G19" s="59">
        <f>IF(($F5*'Jul''11 Multi'!I9/'Jul''11 Multi'!I10&gt;'Jul''11 Multi'!I14),($F5*'Jul''11 Multi'!I9/'Jul''11 Multi'!I10-'Jul''11 Multi'!I14)*'Jul''11 Multi'!I24/100*'Jul''11 Multi'!I10,0)</f>
        <v>0</v>
      </c>
      <c r="H19" s="59">
        <f>IF(($F5*'Jul''11 Multi'!J9/'Jul''11 Multi'!J10&gt;'Jul''11 Multi'!J14),($F5*'Jul''11 Multi'!J9/'Jul''11 Multi'!J10-'Jul''11 Multi'!J14)*'Jul''11 Multi'!J24/100*'Jul''11 Multi'!J10,0)</f>
        <v>0</v>
      </c>
      <c r="I19" s="59">
        <f>IF(($F5*'Jul''11 Multi'!K9/'Jul''11 Multi'!K10&gt;'Jul''11 Multi'!K14),($F5*'Jul''11 Multi'!K9/'Jul''11 Multi'!K10-'Jul''11 Multi'!K14)*'Jul''11 Multi'!K24/100*'Jul''11 Multi'!K10,0)</f>
        <v>0</v>
      </c>
      <c r="J19" s="63"/>
    </row>
    <row r="20" spans="1:10" x14ac:dyDescent="0.15">
      <c r="A20" s="40" t="s">
        <v>612</v>
      </c>
      <c r="C20" s="59">
        <f>365*'Jul''11 Multi'!E25/100</f>
        <v>195.20930000000001</v>
      </c>
      <c r="D20" s="59">
        <f>365*'Jul''11 Multi'!F25/100</f>
        <v>197.73875000000001</v>
      </c>
      <c r="E20" s="59">
        <f>365*'Jul''11 Multi'!G25/100</f>
        <v>192.28200000000001</v>
      </c>
      <c r="F20" s="59">
        <f>365*'Jul''11 Multi'!H25/100</f>
        <v>199.83750000000001</v>
      </c>
      <c r="G20" s="59">
        <f>365*'Jul''11 Multi'!I25/100</f>
        <v>176.66</v>
      </c>
      <c r="H20" s="59">
        <f>365*'Jul''11 Multi'!J25/100</f>
        <v>215.60550000000001</v>
      </c>
      <c r="I20" s="59">
        <f>365*'Jul''11 Multi'!K25/100</f>
        <v>252.34275000000002</v>
      </c>
      <c r="J20" s="60">
        <f>AVERAGE(C20:I20)</f>
        <v>204.23939999999999</v>
      </c>
    </row>
    <row r="21" spans="1:10" x14ac:dyDescent="0.15">
      <c r="A21" s="62" t="s">
        <v>613</v>
      </c>
      <c r="B21" s="63"/>
      <c r="C21" s="60">
        <f>SUM(C10:C20)</f>
        <v>652.78729999999996</v>
      </c>
      <c r="D21" s="60">
        <f t="shared" ref="D21:I21" si="0">SUM(D10:D20)</f>
        <v>681.68375000000003</v>
      </c>
      <c r="E21" s="60">
        <f t="shared" si="0"/>
        <v>699.64200000000005</v>
      </c>
      <c r="F21" s="60">
        <f t="shared" si="0"/>
        <v>705.33749999999998</v>
      </c>
      <c r="G21" s="60">
        <f t="shared" si="0"/>
        <v>617.20999999999992</v>
      </c>
      <c r="H21" s="60">
        <f t="shared" si="0"/>
        <v>738.9855</v>
      </c>
      <c r="I21" s="60">
        <f t="shared" si="0"/>
        <v>831.04725000000008</v>
      </c>
      <c r="J21" s="64">
        <f>AVERAGE(C21:I21)</f>
        <v>703.81332857142866</v>
      </c>
    </row>
    <row r="23" spans="1:10" x14ac:dyDescent="0.15">
      <c r="A23" s="53" t="s">
        <v>1076</v>
      </c>
      <c r="C23" s="23" t="s">
        <v>1044</v>
      </c>
      <c r="D23" s="23" t="s">
        <v>591</v>
      </c>
      <c r="E23" s="23" t="s">
        <v>555</v>
      </c>
      <c r="F23" s="23" t="s">
        <v>544</v>
      </c>
      <c r="G23" s="23" t="s">
        <v>514</v>
      </c>
      <c r="H23" s="23" t="s">
        <v>615</v>
      </c>
      <c r="I23" s="23" t="s">
        <v>515</v>
      </c>
      <c r="J23" s="57" t="s">
        <v>601</v>
      </c>
    </row>
    <row r="24" spans="1:10" x14ac:dyDescent="0.15">
      <c r="A24" s="40" t="s">
        <v>602</v>
      </c>
      <c r="C24" s="59">
        <f>IF($F5*'Jul''11 Multi'!E29/'Jul''11 Multi'!E30&gt;='Jul''11 Multi'!E33,('Jul''11 Multi'!E33*'Jul''11 Multi'!E37/100)*'Jul''11 Multi'!E30,($F5*'Jul''11 Multi'!E29/'Jul''11 Multi'!E30*'Jul''11 Multi'!E37/100)*'Jul''11 Multi'!E30)</f>
        <v>145.72800000000001</v>
      </c>
      <c r="D24" s="59">
        <f>IF($F5*'Jul''11 Multi'!F29/'Jul''11 Multi'!F30&gt;='Jul''11 Multi'!F33,('Jul''11 Multi'!F33*'Jul''11 Multi'!F37/100)*'Jul''11 Multi'!F30,($F5*'Jul''11 Multi'!F29/'Jul''11 Multi'!F30*'Jul''11 Multi'!F37/100)*'Jul''11 Multi'!F30)</f>
        <v>172.67249999999999</v>
      </c>
      <c r="E24" s="59">
        <f>IF($F5*'Jul''11 Multi'!G29/'Jul''11 Multi'!G30&gt;='Jul''11 Multi'!G33,('Jul''11 Multi'!G33*'Jul''11 Multi'!G37/100)*'Jul''11 Multi'!G30,($F5*'Jul''11 Multi'!G29/'Jul''11 Multi'!G30*'Jul''11 Multi'!G37/100)*'Jul''11 Multi'!G30)</f>
        <v>108.304</v>
      </c>
      <c r="F24" s="59">
        <f>IF($F5*'Jul''11 Multi'!H29/'Jul''11 Multi'!H30&gt;='Jul''11 Multi'!H33,('Jul''11 Multi'!H33*'Jul''11 Multi'!H37/100)*'Jul''11 Multi'!H30,($F5*'Jul''11 Multi'!H29/'Jul''11 Multi'!H30*'Jul''11 Multi'!H37/100)*'Jul''11 Multi'!H30)</f>
        <v>114.1</v>
      </c>
      <c r="G24" s="59">
        <f>IF($F5*'Jul''11 Multi'!I29/'Jul''11 Multi'!I30&gt;='Jul''11 Multi'!I33,('Jul''11 Multi'!I33*'Jul''11 Multi'!I37/100)*'Jul''11 Multi'!I30,($F5*'Jul''11 Multi'!I29/'Jul''11 Multi'!I30*'Jul''11 Multi'!I37/100)*'Jul''11 Multi'!I30)</f>
        <v>97.097000000000008</v>
      </c>
      <c r="H24" s="59">
        <f>IF($F5*'Jul''11 Multi'!J29/'Jul''11 Multi'!J30&gt;='Jul''11 Multi'!J33,('Jul''11 Multi'!J33*'Jul''11 Multi'!J37/100)*'Jul''11 Multi'!J30,($F5*'Jul''11 Multi'!J29/'Jul''11 Multi'!J30*'Jul''11 Multi'!J37/100)*'Jul''11 Multi'!J30)</f>
        <v>120.274</v>
      </c>
      <c r="I24" s="59">
        <f>IF($F5*'Jul''11 Multi'!K29/'Jul''11 Multi'!K30&gt;='Jul''11 Multi'!K33,('Jul''11 Multi'!K33*'Jul''11 Multi'!K37/100)*'Jul''11 Multi'!K30,($F5*'Jul''11 Multi'!K29/'Jul''11 Multi'!K30*'Jul''11 Multi'!K37/100)*'Jul''11 Multi'!K30)</f>
        <v>189.01575</v>
      </c>
      <c r="J24" s="63"/>
    </row>
    <row r="25" spans="1:10" x14ac:dyDescent="0.15">
      <c r="A25" s="40" t="s">
        <v>603</v>
      </c>
      <c r="C25" s="59">
        <f>IF($F5*'Jul''11 Multi'!E29/'Jul''11 Multi'!E30&lt;'Jul''11 Multi'!E33,0,IF($F5*'Jul''11 Multi'!E29/'Jul''11 Multi'!E30&lt;='Jul''11 Multi'!E34,($F5*'Jul''11 Multi'!E29/'Jul''11 Multi'!E30-'Jul''11 Multi'!E33)*('Jul''11 Multi'!E38/100)*'Jul''11 Multi'!E30,('Jul''11 Multi'!E34-'Jul''11 Multi'!E33)*('Jul''11 Multi'!E38/100)*'Jul''11 Multi'!E30))</f>
        <v>85.998000000000005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63"/>
    </row>
    <row r="26" spans="1:10" x14ac:dyDescent="0.15">
      <c r="A26" s="40" t="s">
        <v>604</v>
      </c>
      <c r="C26" s="59">
        <f>IF($F5*'Jul''11 Multi'!E29/'Jul''11 Multi'!E30&lt;'Jul''11 Multi'!E34,0,IF($F5*'Jul''11 Multi'!E29/'Jul''11 Multi'!E30&lt;='Jul''11 Multi'!E35,($F5*'Jul''11 Multi'!E29/'Jul''11 Multi'!E30-'Jul''11 Multi'!E34)*('Jul''11 Multi'!E39/100)*'Jul''11 Multi'!E30,('Jul''11 Multi'!E35-'Jul''11 Multi'!E34)*('Jul''11 Multi'!E39/100)*'Jul''11 Multi'!E30))</f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63"/>
    </row>
    <row r="27" spans="1:10" x14ac:dyDescent="0.15">
      <c r="A27" s="40" t="s">
        <v>605</v>
      </c>
      <c r="C27" s="59">
        <f>IF($F5*'Jul''11 Multi'!E29/'Jul''11 Multi'!E30&lt;'Jul''11 Multi'!E35,0,IF(F5*'Jul''11 Multi'!E29/'Jul''11 Multi'!E30&lt;='Jul''11 Multi'!E36,($F5*'Jul''11 Multi'!E29/'Jul''11 Multi'!E30-'Jul''11 Multi'!E35)*('Jul''11 Multi'!E40/100)*'Jul''11 Multi'!E30,('Jul''11 Multi'!E36-'Jul''11 Multi'!E35)*('Jul''11 Multi'!E40/100)*'Jul''11 Multi'!E30))</f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63"/>
    </row>
    <row r="28" spans="1:10" x14ac:dyDescent="0.15">
      <c r="A28" s="40" t="s">
        <v>606</v>
      </c>
      <c r="C28" s="59">
        <f>IF(($F5*'Jul''11 Multi'!E29/'Jul''11 Multi'!E30&gt;'Jul''11 Multi'!E36),($F5*'Jul''11 Multi'!E29/'Jul''11 Multi'!E30-'Jul''11 Multi'!E36)*'Jul''11 Multi'!E41/100*'Jul''11 Multi'!E30,0)</f>
        <v>0</v>
      </c>
      <c r="D28" s="59">
        <f>IF(($F5*'Jul''11 Multi'!F29/'Jul''11 Multi'!F30&gt;'Jul''11 Multi'!F36),($F5*'Jul''11 Multi'!F29/'Jul''11 Multi'!F30-'Jul''11 Multi'!F36)*'Jul''11 Multi'!F41/100*'Jul''11 Multi'!F30,0)</f>
        <v>58.261499999999998</v>
      </c>
      <c r="E28" s="59">
        <f>IF(($F5*'Jul''11 Multi'!G29/'Jul''11 Multi'!G30&gt;'Jul''11 Multi'!G36),($F5*'Jul''11 Multi'!G29/'Jul''11 Multi'!G30-'Jul''11 Multi'!G36)*'Jul''11 Multi'!G41/100*'Jul''11 Multi'!G30,0)</f>
        <v>40.000662000000005</v>
      </c>
      <c r="F28" s="59">
        <f>IF(($F5*'Jul''11 Multi'!H29/'Jul''11 Multi'!H30&gt;'Jul''11 Multi'!H36),($F5*'Jul''11 Multi'!H29/'Jul''11 Multi'!H30-'Jul''11 Multi'!H36)*'Jul''11 Multi'!H41/100*'Jul''11 Multi'!H30,0)</f>
        <v>40.186600000000006</v>
      </c>
      <c r="G28" s="59">
        <f>IF(($F5*'Jul''11 Multi'!I29/'Jul''11 Multi'!I30&gt;'Jul''11 Multi'!I36),($F5*'Jul''11 Multi'!I29/'Jul''11 Multi'!I30-'Jul''11 Multi'!I36)*'Jul''11 Multi'!I41/100*'Jul''11 Multi'!I30,0)</f>
        <v>36.155943999999998</v>
      </c>
      <c r="H28" s="59">
        <f>IF(($F5*'Jul''11 Multi'!J29/'Jul''11 Multi'!J30&gt;'Jul''11 Multi'!J36),($F5*'Jul''11 Multi'!J29/'Jul''11 Multi'!J30-'Jul''11 Multi'!J36)*'Jul''11 Multi'!J41/100*'Jul''11 Multi'!J30,0)</f>
        <v>44.502160999999994</v>
      </c>
      <c r="I28" s="59">
        <f>IF(($F5*'Jul''11 Multi'!K29/'Jul''11 Multi'!K30&gt;'Jul''11 Multi'!K36),($F5*'Jul''11 Multi'!K29/'Jul''11 Multi'!K30-'Jul''11 Multi'!K36)*'Jul''11 Multi'!K41/100*'Jul''11 Multi'!K30,0)</f>
        <v>65.107349999999997</v>
      </c>
      <c r="J28" s="63"/>
    </row>
    <row r="29" spans="1:10" x14ac:dyDescent="0.15">
      <c r="A29" s="40" t="s">
        <v>607</v>
      </c>
      <c r="C29" s="59">
        <f>IF($F5*'Jul''11 Multi'!E31/'Jul''11 Multi'!E32&gt;='Jul''11 Multi'!E33,('Jul''11 Multi'!E33*'Jul''11 Multi'!E42/100)*'Jul''11 Multi'!E32,($F5*'Jul''11 Multi'!E31/'Jul''11 Multi'!E32*'Jul''11 Multi'!E42/100)*'Jul''11 Multi'!E32)</f>
        <v>135.13499999999999</v>
      </c>
      <c r="D29" s="59">
        <f>IF($F5*'Jul''11 Multi'!F31/'Jul''11 Multi'!F32&gt;='Jul''11 Multi'!F33,('Jul''11 Multi'!F33*'Jul''11 Multi'!F42/100)*'Jul''11 Multi'!F32,($F5*'Jul''11 Multi'!F31/'Jul''11 Multi'!F32*'Jul''11 Multi'!F42/100)*'Jul''11 Multi'!F32)</f>
        <v>161.81549999999999</v>
      </c>
      <c r="E29" s="59">
        <f>IF($F5*'Jul''11 Multi'!G31/'Jul''11 Multi'!G32&gt;='Jul''11 Multi'!G33,('Jul''11 Multi'!G33*'Jul''11 Multi'!G42/100)*'Jul''11 Multi'!G32,($F5*'Jul''11 Multi'!G31/'Jul''11 Multi'!G32*'Jul''11 Multi'!G42/100)*'Jul''11 Multi'!G32)</f>
        <v>201.67</v>
      </c>
      <c r="F29" s="59">
        <f>IF($F5*'Jul''11 Multi'!H31/'Jul''11 Multi'!H32&gt;='Jul''11 Multi'!H33,('Jul''11 Multi'!H33*'Jul''11 Multi'!H42/100)*'Jul''11 Multi'!H32,($F5*'Jul''11 Multi'!H31/'Jul''11 Multi'!H32*'Jul''11 Multi'!H42/100)*'Jul''11 Multi'!H32)</f>
        <v>215.6</v>
      </c>
      <c r="G29" s="59">
        <f>IF($F5*'Jul''11 Multi'!I31/'Jul''11 Multi'!I32&gt;='Jul''11 Multi'!I33,('Jul''11 Multi'!I33*'Jul''11 Multi'!I42/100)*'Jul''11 Multi'!I32,($F5*'Jul''11 Multi'!I31/'Jul''11 Multi'!I32*'Jul''11 Multi'!I42/100)*'Jul''11 Multi'!I32)</f>
        <v>184.64599999999999</v>
      </c>
      <c r="H29" s="59">
        <f>IF($F5*'Jul''11 Multi'!J31/'Jul''11 Multi'!J32&gt;='Jul''11 Multi'!J33,('Jul''11 Multi'!J33*'Jul''11 Multi'!J42/100)*'Jul''11 Multi'!J32,($F5*'Jul''11 Multi'!J31/'Jul''11 Multi'!J32*'Jul''11 Multi'!J42/100)*'Jul''11 Multi'!J32)</f>
        <v>229.768</v>
      </c>
      <c r="I29" s="59">
        <f>IF($F5*'Jul''11 Multi'!K31/'Jul''11 Multi'!K32&gt;='Jul''11 Multi'!K33,('Jul''11 Multi'!K33*'Jul''11 Multi'!K42/100)*'Jul''11 Multi'!K32,($F5*'Jul''11 Multi'!K31/'Jul''11 Multi'!K32*'Jul''11 Multi'!K42/100)*'Jul''11 Multi'!K32)</f>
        <v>173.28465000000003</v>
      </c>
      <c r="J29" s="63"/>
    </row>
    <row r="30" spans="1:10" x14ac:dyDescent="0.15">
      <c r="A30" s="40" t="s">
        <v>608</v>
      </c>
      <c r="C30" s="59">
        <f>IF($F5*'Jul''11 Multi'!E31/'Jul''11 Multi'!E32&lt;'Jul''11 Multi'!E33,0,IF($F5*'Jul''11 Multi'!E31/'Jul''11 Multi'!E32&lt;='Jul''11 Multi'!E34,($F5*'Jul''11 Multi'!E31/'Jul''11 Multi'!E32-'Jul''11 Multi'!E33)*('Jul''11 Multi'!E43/100)*'Jul''11 Multi'!E32,('Jul''11 Multi'!E34-'Jul''11 Multi'!E33)*('Jul''11 Multi'!E43/100)*'Jul''11 Multi'!E32))</f>
        <v>80.52000000000001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63"/>
    </row>
    <row r="31" spans="1:10" x14ac:dyDescent="0.15">
      <c r="A31" s="40" t="s">
        <v>609</v>
      </c>
      <c r="C31" s="59">
        <f>IF($F5*'Jul''11 Multi'!E31/'Jul''11 Multi'!E32&lt;'Jul''11 Multi'!E34,0,IF($F5*'Jul''11 Multi'!E31/'Jul''11 Multi'!E32&lt;='Jul''11 Multi'!E35,($F5*'Jul''11 Multi'!E31/'Jul''11 Multi'!E32-'Jul''11 Multi'!E34)*('Jul''11 Multi'!E44/100)*'Jul''11 Multi'!E32,('Jul''11 Multi'!E35-'Jul''11 Multi'!E34)*('Jul''11 Multi'!E44/100)*'Jul''11 Multi'!E32))</f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63"/>
    </row>
    <row r="32" spans="1:10" x14ac:dyDescent="0.15">
      <c r="A32" s="40" t="s">
        <v>610</v>
      </c>
      <c r="C32" s="59">
        <f>IF($F5*'Jul''11 Multi'!E31/'Jul''11 Multi'!E32&lt;'Jul''11 Multi'!E35,0,IF($F5*'Jul''11 Multi'!E31/'Jul''11 Multi'!E32&lt;='Jul''11 Multi'!E36,($F5*'Jul''11 Multi'!E31/'Jul''11 Multi'!E32-'Jul''11 Multi'!E35)*('Jul''11 Multi'!E45/100)*'Jul''11 Multi'!E32,('Jul''11 Multi'!E36-'Jul''11 Multi'!E35)*('Jul''11 Multi'!E45/100)*'Jul''11 Multi'!E32))</f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63"/>
    </row>
    <row r="33" spans="1:10" x14ac:dyDescent="0.15">
      <c r="A33" s="40" t="s">
        <v>611</v>
      </c>
      <c r="C33" s="59">
        <f>IF(($F5*'Jul''11 Multi'!E31/'Jul''11 Multi'!E32&gt;'Jul''11 Multi'!E36),($F5*'Jul''11 Multi'!E31/'Jul''11 Multi'!E32-'Jul''11 Multi'!E36)*'Jul''11 Multi'!E46/100*'Jul''11 Multi'!E32,0)</f>
        <v>0</v>
      </c>
      <c r="D33" s="59">
        <f>IF(($F5*'Jul''11 Multi'!F31/'Jul''11 Multi'!F32&gt;'Jul''11 Multi'!F36),($F5*'Jul''11 Multi'!F31/'Jul''11 Multi'!F32-'Jul''11 Multi'!F36)*'Jul''11 Multi'!F46/100*'Jul''11 Multi'!F32,0)</f>
        <v>50.341499999999996</v>
      </c>
      <c r="E33" s="59">
        <f>IF(($F5*'Jul''11 Multi'!G31/'Jul''11 Multi'!G32&gt;'Jul''11 Multi'!G36),($F5*'Jul''11 Multi'!G31/'Jul''11 Multi'!G32-'Jul''11 Multi'!G36)*'Jul''11 Multi'!G46/100*'Jul''11 Multi'!G32,0)</f>
        <v>67.201592000000005</v>
      </c>
      <c r="F33" s="59">
        <f>IF(($F5*'Jul''11 Multi'!H31/'Jul''11 Multi'!H32&gt;'Jul''11 Multi'!H36),($F5*'Jul''11 Multi'!H31/'Jul''11 Multi'!H32-'Jul''11 Multi'!H36)*'Jul''11 Multi'!H46/100*'Jul''11 Multi'!H32,0)</f>
        <v>71.975999999999999</v>
      </c>
      <c r="G33" s="59">
        <f>IF(($F5*'Jul''11 Multi'!I31/'Jul''11 Multi'!I32&gt;'Jul''11 Multi'!I36),($F5*'Jul''11 Multi'!I31/'Jul''11 Multi'!I32-'Jul''11 Multi'!I36)*'Jul''11 Multi'!I46/100*'Jul''11 Multi'!I32,0)</f>
        <v>62.94301200000001</v>
      </c>
      <c r="H33" s="59">
        <f>IF(($F5*'Jul''11 Multi'!J31/'Jul''11 Multi'!J32&gt;'Jul''11 Multi'!J36),($F5*'Jul''11 Multi'!J31/'Jul''11 Multi'!J32-'Jul''11 Multi'!J36)*'Jul''11 Multi'!J46/100*'Jul''11 Multi'!J32,0)</f>
        <v>76.99632600000001</v>
      </c>
      <c r="I33" s="59">
        <f>IF(($F5*'Jul''11 Multi'!K31/'Jul''11 Multi'!K32&gt;'Jul''11 Multi'!K36),($F5*'Jul''11 Multi'!K31/'Jul''11 Multi'!K32-'Jul''11 Multi'!K36)*'Jul''11 Multi'!K46/100*'Jul''11 Multi'!K32,0)</f>
        <v>60.479100000000003</v>
      </c>
      <c r="J33" s="63"/>
    </row>
    <row r="34" spans="1:10" x14ac:dyDescent="0.15">
      <c r="A34" s="40" t="s">
        <v>612</v>
      </c>
      <c r="C34" s="59">
        <f>365*'Jul''11 Multi'!E47/100</f>
        <v>165.57859999999999</v>
      </c>
      <c r="D34" s="59">
        <f>365*'Jul''11 Multi'!F47/100</f>
        <v>179.91215</v>
      </c>
      <c r="E34" s="59">
        <f>365*'Jul''11 Multi'!G47/100</f>
        <v>180.49250000000001</v>
      </c>
      <c r="F34" s="59">
        <f>365*'Jul''11 Multi'!H47/100</f>
        <v>184.39800000000002</v>
      </c>
      <c r="G34" s="59">
        <f>365*'Jul''11 Multi'!I47/100</f>
        <v>156.58500000000001</v>
      </c>
      <c r="H34" s="59">
        <f>365*'Jul''11 Multi'!J47/100</f>
        <v>207.17399999999998</v>
      </c>
      <c r="I34" s="59">
        <f>365*'Jul''11 Multi'!K47/100</f>
        <v>220.14245000000003</v>
      </c>
      <c r="J34" s="60">
        <f>AVERAGE(C34:I34)</f>
        <v>184.89752857142858</v>
      </c>
    </row>
    <row r="35" spans="1:10" x14ac:dyDescent="0.15">
      <c r="A35" s="62" t="s">
        <v>613</v>
      </c>
      <c r="B35" s="63"/>
      <c r="C35" s="60">
        <f>SUM(C24:C34)</f>
        <v>612.95959999999991</v>
      </c>
      <c r="D35" s="60">
        <f t="shared" ref="D35:I35" si="1">SUM(D24:D34)</f>
        <v>623.00315000000001</v>
      </c>
      <c r="E35" s="60">
        <f t="shared" si="1"/>
        <v>597.66875400000004</v>
      </c>
      <c r="F35" s="60">
        <f t="shared" si="1"/>
        <v>626.26060000000007</v>
      </c>
      <c r="G35" s="60">
        <f t="shared" si="1"/>
        <v>537.42695600000002</v>
      </c>
      <c r="H35" s="60">
        <f t="shared" si="1"/>
        <v>678.71448699999996</v>
      </c>
      <c r="I35" s="60">
        <f t="shared" si="1"/>
        <v>708.02930000000003</v>
      </c>
      <c r="J35" s="64">
        <f>AVERAGE(C35:I35)</f>
        <v>626.29469242857147</v>
      </c>
    </row>
    <row r="37" spans="1:10" x14ac:dyDescent="0.15">
      <c r="A37" s="55" t="s">
        <v>1042</v>
      </c>
    </row>
    <row r="39" spans="1:10" x14ac:dyDescent="0.15">
      <c r="A39" s="53" t="s">
        <v>1024</v>
      </c>
      <c r="C39" s="23" t="s">
        <v>1044</v>
      </c>
      <c r="D39" s="23" t="s">
        <v>591</v>
      </c>
      <c r="E39" s="23" t="s">
        <v>555</v>
      </c>
      <c r="F39" s="23" t="s">
        <v>544</v>
      </c>
      <c r="G39" s="23" t="s">
        <v>514</v>
      </c>
      <c r="H39" s="23" t="s">
        <v>615</v>
      </c>
      <c r="I39" s="23" t="s">
        <v>515</v>
      </c>
      <c r="J39" s="57" t="s">
        <v>601</v>
      </c>
    </row>
    <row r="40" spans="1:10" x14ac:dyDescent="0.15">
      <c r="A40" s="40" t="s">
        <v>602</v>
      </c>
      <c r="C40" s="59">
        <f>IF($F5*'Jul''11 Envestra'!E7/'Jul''11 Envestra'!E8&gt;='Jul''11 Envestra'!E11,('Jul''11 Envestra'!E11*'Jul''11 Envestra'!E13/100)*'Jul''11 Envestra'!E8,($F5*'Jul''11 Envestra'!E7/'Jul''11 Envestra'!E8*'Jul''11 Envestra'!E13/100)*'Jul''11 Envestra'!E8)</f>
        <v>158.71412699999999</v>
      </c>
      <c r="D40" s="59">
        <f>IF($F5*'Jul''11 Envestra'!F7/'Jul''11 Envestra'!F8&gt;='Jul''11 Envestra'!F11,('Jul''11 Envestra'!F11*'Jul''11 Envestra'!F13/100)*'Jul''11 Envestra'!F8,($F5*'Jul''11 Envestra'!F7/'Jul''11 Envestra'!F8*'Jul''11 Envestra'!F13/100)*'Jul''11 Envestra'!F8)</f>
        <v>126.54400000000001</v>
      </c>
      <c r="E40" s="59">
        <f>IF($F5*'Jul''11 Envestra'!G7/'Jul''11 Envestra'!G8&gt;='Jul''11 Envestra'!G11,('Jul''11 Envestra'!G11*'Jul''11 Envestra'!G13/100)*'Jul''11 Envestra'!G8,($F5*'Jul''11 Envestra'!G7/'Jul''11 Envestra'!G8*'Jul''11 Envestra'!G13/100)*'Jul''11 Envestra'!G8)</f>
        <v>127.18400000000001</v>
      </c>
      <c r="F40" s="59">
        <f>IF($F5*'Jul''11 Envestra'!H7/'Jul''11 Envestra'!H8&gt;='Jul''11 Envestra'!H11,('Jul''11 Envestra'!H11*'Jul''11 Envestra'!H13/100)*'Jul''11 Envestra'!H8,($F5*'Jul''11 Envestra'!H7/'Jul''11 Envestra'!H8*'Jul''11 Envestra'!H13/100)*'Jul''11 Envestra'!H8)</f>
        <v>131.19999999999999</v>
      </c>
      <c r="G40" s="59">
        <f>IF($F5*'Jul''11 Envestra'!I7/'Jul''11 Envestra'!I8&gt;='Jul''11 Envestra'!I11,('Jul''11 Envestra'!I11*'Jul''11 Envestra'!I13/100)*'Jul''11 Envestra'!I8,($F5*'Jul''11 Envestra'!I7/'Jul''11 Envestra'!I8*'Jul''11 Envestra'!I13/100)*'Jul''11 Envestra'!I8)</f>
        <v>123.288</v>
      </c>
      <c r="H40" s="59">
        <f>IF($F5*'Jul''11 Envestra'!J7/'Jul''11 Envestra'!J8&gt;='Jul''11 Envestra'!J11,('Jul''11 Envestra'!J11*'Jul''11 Envestra'!J13/100)*'Jul''11 Envestra'!J8,($F5*'Jul''11 Envestra'!J7/'Jul''11 Envestra'!J8*'Jul''11 Envestra'!J13/100)*'Jul''11 Envestra'!J8)</f>
        <v>141.15199999999999</v>
      </c>
      <c r="I40" s="59">
        <f>IF($F5*'Jul''11 Envestra'!K7/'Jul''11 Envestra'!K8&gt;='Jul''11 Envestra'!K11,('Jul''11 Envestra'!K11*'Jul''11 Envestra'!K13/100)*'Jul''11 Envestra'!K8,($F5*'Jul''11 Envestra'!K7/'Jul''11 Envestra'!K8*'Jul''11 Envestra'!K13/100)*'Jul''11 Envestra'!K8)</f>
        <v>138.02799999999999</v>
      </c>
      <c r="J40" s="63"/>
    </row>
    <row r="41" spans="1:10" x14ac:dyDescent="0.15">
      <c r="A41" s="40" t="s">
        <v>603</v>
      </c>
      <c r="C41" s="59">
        <f>IF($F5*'Jul''11 Envestra'!E7/'Jul''11 Envestra'!E8&lt;'Jul''11 Envestra'!E11,0,IF($F5*'Jul''11 Envestra'!E7/'Jul''11 Envestra'!E8&lt;='Jul''11 Envestra'!E12,($F5*'Jul''11 Envestra'!E7/'Jul''11 Envestra'!E8-'Jul''11 Envestra'!E11)*('Jul''11 Envestra'!E14/100)*'Jul''11 Envestra'!E8,('Jul''11 Envestra'!E12-'Jul''11 Envestra'!E11)*('Jul''11 Envestra'!E14/100)*'Jul''11 Envestra'!E8))</f>
        <v>0</v>
      </c>
      <c r="D41" s="59">
        <f>IF($F5*'Jul''11 Envestra'!F7/'Jul''11 Envestra'!F8&lt;'Jul''11 Envestra'!F11,0,IF($F5*'Jul''11 Envestra'!F7/'Jul''11 Envestra'!F8&lt;='Jul''11 Envestra'!F12,($F5*'Jul''11 Envestra'!F7/'Jul''11 Envestra'!F8-'Jul''11 Envestra'!F11)*('Jul''11 Envestra'!F14/100)*'Jul''11 Envestra'!F8,('Jul''11 Envestra'!F12-'Jul''11 Envestra'!F11)*('Jul''11 Envestra'!F14/100)*'Jul''11 Envestra'!F8))</f>
        <v>29.839072999999999</v>
      </c>
      <c r="E41" s="59">
        <f>IF($F5*'Jul''11 Envestra'!G7/'Jul''11 Envestra'!G8&lt;'Jul''11 Envestra'!G11,0,IF($F5*'Jul''11 Envestra'!G7/'Jul''11 Envestra'!G8&lt;='Jul''11 Envestra'!G12,($F5*'Jul''11 Envestra'!G7/'Jul''11 Envestra'!G8-'Jul''11 Envestra'!G11)*('Jul''11 Envestra'!G14/100)*'Jul''11 Envestra'!G8,('Jul''11 Envestra'!G12-'Jul''11 Envestra'!G11)*('Jul''11 Envestra'!G14/100)*'Jul''11 Envestra'!G8))</f>
        <v>29.861062</v>
      </c>
      <c r="F41" s="59">
        <f>IF($F5*'Jul''11 Envestra'!H7/'Jul''11 Envestra'!H8&lt;'Jul''11 Envestra'!H11,0,IF($F5*'Jul''11 Envestra'!H7/'Jul''11 Envestra'!H8&lt;='Jul''11 Envestra'!H12,($F5*'Jul''11 Envestra'!H7/'Jul''11 Envestra'!H8-'Jul''11 Envestra'!H11)*('Jul''11 Envestra'!H14/100)*'Jul''11 Envestra'!H8,('Jul''11 Envestra'!H12-'Jul''11 Envestra'!H11)*('Jul''11 Envestra'!H14/100)*'Jul''11 Envestra'!H8))</f>
        <v>0</v>
      </c>
      <c r="G41" s="59">
        <f>IF($F5*'Jul''11 Envestra'!I7/'Jul''11 Envestra'!I8&lt;'Jul''11 Envestra'!I11,0,IF($F5*'Jul''11 Envestra'!I7/'Jul''11 Envestra'!I8&lt;='Jul''11 Envestra'!I12,($F5*'Jul''11 Envestra'!I7/'Jul''11 Envestra'!I8-'Jul''11 Envestra'!I11)*('Jul''11 Envestra'!I14/100)*'Jul''11 Envestra'!I8,('Jul''11 Envestra'!I12-'Jul''11 Envestra'!I11)*('Jul''11 Envestra'!I14/100)*'Jul''11 Envestra'!I8))</f>
        <v>29.267358999999999</v>
      </c>
      <c r="H41" s="59">
        <f>IF($F5*'Jul''11 Envestra'!J7/'Jul''11 Envestra'!J8&lt;'Jul''11 Envestra'!J11,0,IF($F5*'Jul''11 Envestra'!J7/'Jul''11 Envestra'!J8&lt;='Jul''11 Envestra'!J12,($F5*'Jul''11 Envestra'!J7/'Jul''11 Envestra'!J8-'Jul''11 Envestra'!J11)*('Jul''11 Envestra'!J14/100)*'Jul''11 Envestra'!J8,('Jul''11 Envestra'!J12-'Jul''11 Envestra'!J11)*('Jul''11 Envestra'!J14/100)*'Jul''11 Envestra'!J8))</f>
        <v>33.445268999999996</v>
      </c>
      <c r="I41" s="59">
        <f>IF($F5*'Jul''11 Envestra'!K7/'Jul''11 Envestra'!K8&lt;'Jul''11 Envestra'!K11,0,IF($F5*'Jul''11 Envestra'!K7/'Jul''11 Envestra'!K8&lt;='Jul''11 Envestra'!K12,($F5*'Jul''11 Envestra'!K7/'Jul''11 Envestra'!K8-'Jul''11 Envestra'!K11)*('Jul''11 Envestra'!K14/100)*'Jul''11 Envestra'!K8,('Jul''11 Envestra'!K12-'Jul''11 Envestra'!K11)*('Jul''11 Envestra'!K14/100)*'Jul''11 Envestra'!K8))</f>
        <v>31.8708566</v>
      </c>
      <c r="J41" s="63"/>
    </row>
    <row r="42" spans="1:10" x14ac:dyDescent="0.15">
      <c r="A42" s="40" t="s">
        <v>606</v>
      </c>
      <c r="C42" s="59">
        <f>IF(($F5*'Jul''11 Envestra'!E7/'Jul''11 Envestra'!E8&gt;'Jul''11 Envestra'!E12),($F5*'Jul''11 Envestra'!E7/'Jul''11 Envestra'!E8-'Jul''11 Envestra'!E12)*'Jul''11 Envestra'!E15/100)*'Jul''11 Envestra'!E8</f>
        <v>0</v>
      </c>
      <c r="D42" s="59">
        <f>IF(($F5*'Jul''11 Envestra'!F7/'Jul''11 Envestra'!F8&gt;'Jul''11 Envestra'!F12),($F5*'Jul''11 Envestra'!F7/'Jul''11 Envestra'!F8-'Jul''11 Envestra'!F12)*'Jul''11 Envestra'!F15/100)*'Jul''11 Envestra'!F8</f>
        <v>0</v>
      </c>
      <c r="E42" s="59">
        <f>IF(($F5*'Jul''11 Envestra'!G7/'Jul''11 Envestra'!G8&gt;'Jul''11 Envestra'!G12),($F5*'Jul''11 Envestra'!G7/'Jul''11 Envestra'!G8-'Jul''11 Envestra'!G12)*'Jul''11 Envestra'!G15/100)*'Jul''11 Envestra'!G8</f>
        <v>0</v>
      </c>
      <c r="F42" s="59">
        <f>IF(($F5*'Jul''11 Envestra'!H7/'Jul''11 Envestra'!H8&gt;'Jul''11 Envestra'!H12),($F5*'Jul''11 Envestra'!H7/'Jul''11 Envestra'!H8-'Jul''11 Envestra'!H12)*'Jul''11 Envestra'!H15/100)*'Jul''11 Envestra'!H8</f>
        <v>30.584700000000002</v>
      </c>
      <c r="G42" s="59">
        <f>IF(($F5*'Jul''11 Envestra'!I7/'Jul''11 Envestra'!I8&gt;'Jul''11 Envestra'!I12),($F5*'Jul''11 Envestra'!I7/'Jul''11 Envestra'!I8-'Jul''11 Envestra'!I12)*'Jul''11 Envestra'!I15/100)*'Jul''11 Envestra'!I8</f>
        <v>0</v>
      </c>
      <c r="H42" s="59">
        <f>IF(($F5*'Jul''11 Envestra'!J7/'Jul''11 Envestra'!J8&gt;'Jul''11 Envestra'!J12),($F5*'Jul''11 Envestra'!J7/'Jul''11 Envestra'!J8-'Jul''11 Envestra'!J12)*'Jul''11 Envestra'!J15/100)*'Jul''11 Envestra'!J8</f>
        <v>0</v>
      </c>
      <c r="I42" s="59">
        <f>IF(($F5*'Jul''11 Envestra'!K7/'Jul''11 Envestra'!K8&gt;'Jul''11 Envestra'!K12),($F5*'Jul''11 Envestra'!K7/'Jul''11 Envestra'!K8-'Jul''11 Envestra'!K12)*'Jul''11 Envestra'!K15/100)*'Jul''11 Envestra'!K8</f>
        <v>0</v>
      </c>
      <c r="J42" s="63"/>
    </row>
    <row r="43" spans="1:10" x14ac:dyDescent="0.15">
      <c r="A43" s="40" t="s">
        <v>607</v>
      </c>
      <c r="C43" s="59">
        <f>IF($F5*'Jul''11 Envestra'!E9/'Jul''11 Envestra'!E10&gt;='Jul''11 Envestra'!E11,('Jul''11 Envestra'!E11*'Jul''11 Envestra'!E16/100)*'Jul''11 Envestra'!E10,($F5*'Jul''11 Envestra'!E9/'Jul''11 Envestra'!E10*'Jul''11 Envestra'!E16/100)*'Jul''11 Envestra'!E10)</f>
        <v>303.56963999999999</v>
      </c>
      <c r="D43" s="59">
        <f>IF($F5*'Jul''11 Envestra'!F9/'Jul''11 Envestra'!F10&gt;='Jul''11 Envestra'!F11,('Jul''11 Envestra'!F11*'Jul''11 Envestra'!F16/100)*'Jul''11 Envestra'!F10,($F5*'Jul''11 Envestra'!F9/'Jul''11 Envestra'!F10*'Jul''11 Envestra'!F16/100)*'Jul''11 Envestra'!F10)</f>
        <v>236.19200000000001</v>
      </c>
      <c r="E43" s="59">
        <f>IF($F5*'Jul''11 Envestra'!G9/'Jul''11 Envestra'!G10&gt;='Jul''11 Envestra'!G11,('Jul''11 Envestra'!G11*'Jul''11 Envestra'!G16/100)*'Jul''11 Envestra'!G10,($F5*'Jul''11 Envestra'!G9/'Jul''11 Envestra'!G10*'Jul''11 Envestra'!G16/100)*'Jul''11 Envestra'!G10)</f>
        <v>244.12799999999999</v>
      </c>
      <c r="F43" s="59">
        <f>IF($F5*'Jul''11 Envestra'!H9/'Jul''11 Envestra'!H10&gt;='Jul''11 Envestra'!H11,('Jul''11 Envestra'!H11*'Jul''11 Envestra'!H16/100)*'Jul''11 Envestra'!H10,($F5*'Jul''11 Envestra'!H9/'Jul''11 Envestra'!H10*'Jul''11 Envestra'!H16/100)*'Jul''11 Envestra'!H10)</f>
        <v>252.8</v>
      </c>
      <c r="G43" s="59">
        <f>IF($F5*'Jul''11 Envestra'!I9/'Jul''11 Envestra'!I10&gt;='Jul''11 Envestra'!I11,('Jul''11 Envestra'!I11*'Jul''11 Envestra'!I16/100)*'Jul''11 Envestra'!I10,($F5*'Jul''11 Envestra'!I9/'Jul''11 Envestra'!I10*'Jul''11 Envestra'!I16/100)*'Jul''11 Envestra'!I10)</f>
        <v>233.90400000000002</v>
      </c>
      <c r="H43" s="59">
        <f>IF($F5*'Jul''11 Envestra'!J9/'Jul''11 Envestra'!J10&gt;='Jul''11 Envestra'!J11,('Jul''11 Envestra'!J11*'Jul''11 Envestra'!J16/100)*'Jul''11 Envestra'!J10,($F5*'Jul''11 Envestra'!J9/'Jul''11 Envestra'!J10*'Jul''11 Envestra'!J16/100)*'Jul''11 Envestra'!J10)</f>
        <v>269.63200000000001</v>
      </c>
      <c r="I43" s="59">
        <f>IF($F5*'Jul''11 Envestra'!K9/'Jul''11 Envestra'!K10&gt;='Jul''11 Envestra'!K11,('Jul''11 Envestra'!K11*'Jul''11 Envestra'!K16/100)*'Jul''11 Envestra'!K10,($F5*'Jul''11 Envestra'!K9/'Jul''11 Envestra'!K10*'Jul''11 Envestra'!K16/100)*'Jul''11 Envestra'!K10)</f>
        <v>270.54720000000003</v>
      </c>
      <c r="J43" s="63"/>
    </row>
    <row r="44" spans="1:10" x14ac:dyDescent="0.15">
      <c r="A44" s="40" t="s">
        <v>608</v>
      </c>
      <c r="C44" s="59">
        <f>IF($F5*'Jul''11 Envestra'!E9/'Jul''11 Envestra'!E10&lt;'Jul''11 Envestra'!E11,0,IF($F5*'Jul''11 Envestra'!E9/'Jul''11 Envestra'!E10&lt;='Jul''11 Envestra'!E12,($F5*'Jul''11 Envestra'!E9/'Jul''11 Envestra'!E10-'Jul''11 Envestra'!E11)*('Jul''11 Envestra'!E17/100)*'Jul''11 Envestra'!E10,('Jul''11 Envestra'!E12-'Jul''11 Envestra'!E11)*('Jul''11 Envestra'!E17/100)*'Jul''11 Envestra'!E10))</f>
        <v>0</v>
      </c>
      <c r="D44" s="59">
        <f>IF($F5*'Jul''11 Envestra'!F9/'Jul''11 Envestra'!F10&lt;'Jul''11 Envestra'!F11,0,IF($F5*'Jul''11 Envestra'!F9/'Jul''11 Envestra'!F10&lt;='Jul''11 Envestra'!F12,($F5*'Jul''11 Envestra'!F9/'Jul''11 Envestra'!F10-'Jul''11 Envestra'!F11)*('Jul''11 Envestra'!F17/100)*'Jul''11 Envestra'!F10,('Jul''11 Envestra'!F12-'Jul''11 Envestra'!F11)*('Jul''11 Envestra'!F17/100)*'Jul''11 Envestra'!F10))</f>
        <v>58.886542000000006</v>
      </c>
      <c r="E44" s="59">
        <f>IF($F5*'Jul''11 Envestra'!G9/'Jul''11 Envestra'!G10&lt;'Jul''11 Envestra'!G11,0,IF($F5*'Jul''11 Envestra'!G9/'Jul''11 Envestra'!G10&lt;='Jul''11 Envestra'!G12,($F5*'Jul''11 Envestra'!G9/'Jul''11 Envestra'!G10-'Jul''11 Envestra'!G11)*('Jul''11 Envestra'!G17/100)*'Jul''11 Envestra'!G10,('Jul''11 Envestra'!G12-'Jul''11 Envestra'!G11)*('Jul''11 Envestra'!G17/100)*'Jul''11 Envestra'!G10))</f>
        <v>58.014978000000006</v>
      </c>
      <c r="F44" s="59">
        <f>IF($F5*'Jul''11 Envestra'!H9/'Jul''11 Envestra'!H10&lt;'Jul''11 Envestra'!H11,0,IF($F5*'Jul''11 Envestra'!H9/'Jul''11 Envestra'!H10&lt;='Jul''11 Envestra'!H12,($F5*'Jul''11 Envestra'!H9/'Jul''11 Envestra'!H10-'Jul''11 Envestra'!H11)*('Jul''11 Envestra'!H17/100)*'Jul''11 Envestra'!H10,('Jul''11 Envestra'!H12-'Jul''11 Envestra'!H11)*('Jul''11 Envestra'!H17/100)*'Jul''11 Envestra'!H10))</f>
        <v>0</v>
      </c>
      <c r="G44" s="59">
        <f>IF($F5*'Jul''11 Envestra'!I9/'Jul''11 Envestra'!I10&lt;'Jul''11 Envestra'!I11,0,IF($F5*'Jul''11 Envestra'!I9/'Jul''11 Envestra'!I10&lt;='Jul''11 Envestra'!I12,($F5*'Jul''11 Envestra'!I9/'Jul''11 Envestra'!I10-'Jul''11 Envestra'!I11)*('Jul''11 Envestra'!I17/100)*'Jul''11 Envestra'!I10,('Jul''11 Envestra'!I12-'Jul''11 Envestra'!I11)*('Jul''11 Envestra'!I17/100)*'Jul''11 Envestra'!I10))</f>
        <v>55.808081999999999</v>
      </c>
      <c r="H44" s="59">
        <f>IF($F5*'Jul''11 Envestra'!J9/'Jul''11 Envestra'!J10&lt;'Jul''11 Envestra'!J11,0,IF($F5*'Jul''11 Envestra'!J9/'Jul''11 Envestra'!J10&lt;='Jul''11 Envestra'!J12,($F5*'Jul''11 Envestra'!J9/'Jul''11 Envestra'!J10-'Jul''11 Envestra'!J11)*('Jul''11 Envestra'!J17/100)*'Jul''11 Envestra'!J10,('Jul''11 Envestra'!J12-'Jul''11 Envestra'!J11)*('Jul''11 Envestra'!J17/100)*'Jul''11 Envestra'!J10))</f>
        <v>64.823571999999999</v>
      </c>
      <c r="I44" s="59">
        <f>IF($F5*'Jul''11 Envestra'!K9/'Jul''11 Envestra'!K10&lt;'Jul''11 Envestra'!K11,0,IF($F5*'Jul''11 Envestra'!K9/'Jul''11 Envestra'!K10&lt;='Jul''11 Envestra'!K12,($F5*'Jul''11 Envestra'!K9/'Jul''11 Envestra'!K10-'Jul''11 Envestra'!K11)*('Jul''11 Envestra'!K17/100)*'Jul''11 Envestra'!K10,('Jul''11 Envestra'!K12-'Jul''11 Envestra'!K11)*('Jul''11 Envestra'!K17/100)*'Jul''11 Envestra'!K10))</f>
        <v>61.762703199999997</v>
      </c>
      <c r="J44" s="63"/>
    </row>
    <row r="45" spans="1:10" x14ac:dyDescent="0.15">
      <c r="A45" s="40" t="s">
        <v>611</v>
      </c>
      <c r="C45" s="59">
        <f>IF(($F5*'Jul''11 Envestra'!E9/'Jul''11 Envestra'!E10&gt;'Jul''11 Envestra'!E12),($F5*'Jul''11 Envestra'!E9/'Jul''11 Envestra'!E10-'Jul''11 Envestra'!E12)*'Jul''11 Envestra'!E18/100)*'Jul''11 Envestra'!E10</f>
        <v>0</v>
      </c>
      <c r="D45" s="59">
        <f>IF(($F5*'Jul''11 Envestra'!F9/'Jul''11 Envestra'!F10&gt;'Jul''11 Envestra'!F12),($F5*'Jul''11 Envestra'!F9/'Jul''11 Envestra'!F10-'Jul''11 Envestra'!F12)*'Jul''11 Envestra'!F18/100)*'Jul''11 Envestra'!F10</f>
        <v>0</v>
      </c>
      <c r="E45" s="59">
        <f>IF(($F5*'Jul''11 Envestra'!G9/'Jul''11 Envestra'!G10&gt;'Jul''11 Envestra'!G12),($F5*'Jul''11 Envestra'!G9/'Jul''11 Envestra'!G10-'Jul''11 Envestra'!G12)*'Jul''11 Envestra'!G18/100)*'Jul''11 Envestra'!G10</f>
        <v>0</v>
      </c>
      <c r="F45" s="59">
        <f>IF(($F5*'Jul''11 Envestra'!H9/'Jul''11 Envestra'!H10&gt;'Jul''11 Envestra'!H12),($F5*'Jul''11 Envestra'!H9/'Jul''11 Envestra'!H10-'Jul''11 Envestra'!H12)*'Jul''11 Envestra'!H18/100)*'Jul''11 Envestra'!H10</f>
        <v>60.369800000000005</v>
      </c>
      <c r="G45" s="59">
        <f>IF(($F5*'Jul''11 Envestra'!I9/'Jul''11 Envestra'!I10&gt;'Jul''11 Envestra'!I12),($F5*'Jul''11 Envestra'!I9/'Jul''11 Envestra'!I10-'Jul''11 Envestra'!I12)*'Jul''11 Envestra'!I18/100)*'Jul''11 Envestra'!I10</f>
        <v>0</v>
      </c>
      <c r="H45" s="59">
        <f>IF(($F5*'Jul''11 Envestra'!J9/'Jul''11 Envestra'!J10&gt;'Jul''11 Envestra'!J12),($F5*'Jul''11 Envestra'!J9/'Jul''11 Envestra'!J10-'Jul''11 Envestra'!J12)*'Jul''11 Envestra'!J18/100)*'Jul''11 Envestra'!J10</f>
        <v>0</v>
      </c>
      <c r="I45" s="59">
        <f>IF(($F5*'Jul''11 Envestra'!K9/'Jul''11 Envestra'!K10&gt;'Jul''11 Envestra'!K12),($F5*'Jul''11 Envestra'!K9/'Jul''11 Envestra'!K10-'Jul''11 Envestra'!K12)*'Jul''11 Envestra'!K18/100)*'Jul''11 Envestra'!K10</f>
        <v>0</v>
      </c>
      <c r="J45" s="63"/>
    </row>
    <row r="46" spans="1:10" x14ac:dyDescent="0.15">
      <c r="A46" s="40" t="s">
        <v>612</v>
      </c>
      <c r="C46" s="59">
        <f>365*'Jul''11 Envestra'!E19/100</f>
        <v>186.29599999999999</v>
      </c>
      <c r="D46" s="59">
        <f>365*'Jul''11 Envestra'!F19/100</f>
        <v>184.28850000000003</v>
      </c>
      <c r="E46" s="59">
        <f>365*'Jul''11 Envestra'!G19/100</f>
        <v>187.97499999999999</v>
      </c>
      <c r="F46" s="59">
        <f>365*'Jul''11 Envestra'!H19/100</f>
        <v>199.83750000000001</v>
      </c>
      <c r="G46" s="59">
        <f>365*'Jul''11 Envestra'!I19/100</f>
        <v>172.64500000000001</v>
      </c>
      <c r="H46" s="59">
        <f>365*'Jul''11 Envestra'!J19/100</f>
        <v>206.77250000000001</v>
      </c>
      <c r="I46" s="59">
        <f>365*'Jul''11 Envestra'!K19/100</f>
        <v>252.34275000000002</v>
      </c>
      <c r="J46" s="60">
        <f>AVERAGE(C46:I46)</f>
        <v>198.59389285714286</v>
      </c>
    </row>
    <row r="47" spans="1:10" x14ac:dyDescent="0.15">
      <c r="A47" s="62" t="s">
        <v>613</v>
      </c>
      <c r="B47" s="63"/>
      <c r="C47" s="60">
        <f>SUM(C40:C46)</f>
        <v>648.57976699999995</v>
      </c>
      <c r="D47" s="60">
        <f t="shared" ref="D47:I47" si="2">SUM(D40:D46)</f>
        <v>635.75011500000005</v>
      </c>
      <c r="E47" s="60">
        <f t="shared" si="2"/>
        <v>647.16303999999991</v>
      </c>
      <c r="F47" s="60">
        <f t="shared" si="2"/>
        <v>674.79200000000003</v>
      </c>
      <c r="G47" s="60">
        <f t="shared" si="2"/>
        <v>614.91244100000006</v>
      </c>
      <c r="H47" s="60">
        <f t="shared" si="2"/>
        <v>715.82534099999998</v>
      </c>
      <c r="I47" s="60">
        <f t="shared" si="2"/>
        <v>754.55150980000008</v>
      </c>
      <c r="J47" s="64">
        <f>AVERAGE(C47:I47)</f>
        <v>670.22488768571441</v>
      </c>
    </row>
    <row r="49" spans="1:10" x14ac:dyDescent="0.15">
      <c r="A49" s="53" t="s">
        <v>488</v>
      </c>
      <c r="C49" s="23" t="s">
        <v>1044</v>
      </c>
      <c r="D49" s="23" t="s">
        <v>591</v>
      </c>
      <c r="E49" s="23" t="s">
        <v>555</v>
      </c>
      <c r="F49" s="23" t="s">
        <v>544</v>
      </c>
      <c r="G49" s="23" t="s">
        <v>514</v>
      </c>
      <c r="H49" s="23" t="s">
        <v>615</v>
      </c>
      <c r="I49" s="23" t="s">
        <v>515</v>
      </c>
      <c r="J49" s="57" t="s">
        <v>601</v>
      </c>
    </row>
    <row r="50" spans="1:10" x14ac:dyDescent="0.15">
      <c r="A50" s="40" t="s">
        <v>602</v>
      </c>
      <c r="C50" s="59">
        <f>IF($F5*'Jul''11 Envestra'!E23/'Jul''11 Envestra'!E24&gt;='Jul''11 Envestra'!E27,('Jul''11 Envestra'!E27*'Jul''11 Envestra'!E29/100)*'Jul''11 Envestra'!E24,($F5*'Jul''11 Envestra'!E23/'Jul''11 Envestra'!E24*'Jul''11 Envestra'!E29/100)*'Jul''11 Envestra'!E24)</f>
        <v>152.11478700000001</v>
      </c>
      <c r="D50" s="59">
        <f>IF($F5*'Jul''11 Envestra'!F23/'Jul''11 Envestra'!F24&gt;='Jul''11 Envestra'!F27,('Jul''11 Envestra'!F27*'Jul''11 Envestra'!F29/100)*'Jul''11 Envestra'!F24,($F5*'Jul''11 Envestra'!F23/'Jul''11 Envestra'!F24*'Jul''11 Envestra'!F29/100)*'Jul''11 Envestra'!F24)</f>
        <v>104.544</v>
      </c>
      <c r="E50" s="59">
        <f>IF($F5*'Jul''11 Envestra'!G23/'Jul''11 Envestra'!G24&gt;='Jul''11 Envestra'!G27,('Jul''11 Envestra'!G27*'Jul''11 Envestra'!G29/100)*'Jul''11 Envestra'!G24,($F5*'Jul''11 Envestra'!G23/'Jul''11 Envestra'!G24*'Jul''11 Envestra'!G29/100)*'Jul''11 Envestra'!G24)</f>
        <v>99.020799999999994</v>
      </c>
      <c r="F50" s="59">
        <f>IF($F5*'Jul''11 Envestra'!H23/'Jul''11 Envestra'!H24&gt;='Jul''11 Envestra'!H27,('Jul''11 Envestra'!H27*'Jul''11 Envestra'!H29/100)*'Jul''11 Envestra'!H24,($F5*'Jul''11 Envestra'!H23/'Jul''11 Envestra'!H24*'Jul''11 Envestra'!H29/100)*'Jul''11 Envestra'!H24)</f>
        <v>103.04</v>
      </c>
      <c r="G50" s="59">
        <f>IF($F5*'Jul''11 Envestra'!I23/'Jul''11 Envestra'!I24&gt;='Jul''11 Envestra'!I27,('Jul''11 Envestra'!I27*'Jul''11 Envestra'!I29/100)*'Jul''11 Envestra'!I24,($F5*'Jul''11 Envestra'!I23/'Jul''11 Envestra'!I24*'Jul''11 Envestra'!I29/100)*'Jul''11 Envestra'!I24)</f>
        <v>90.041600000000003</v>
      </c>
      <c r="H50" s="59">
        <f>IF($F5*'Jul''11 Envestra'!J23/'Jul''11 Envestra'!J24&gt;='Jul''11 Envestra'!J27,('Jul''11 Envestra'!J27*'Jul''11 Envestra'!J29/100)*'Jul''11 Envestra'!J24,($F5*'Jul''11 Envestra'!J23/'Jul''11 Envestra'!J24*'Jul''11 Envestra'!J29/100)*'Jul''11 Envestra'!J24)</f>
        <v>108.62719999999999</v>
      </c>
      <c r="I50" s="59">
        <f>IF($F5*'Jul''11 Envestra'!K23/'Jul''11 Envestra'!K24&gt;='Jul''11 Envestra'!K27,('Jul''11 Envestra'!K27*'Jul''11 Envestra'!K29/100)*'Jul''11 Envestra'!K24,($F5*'Jul''11 Envestra'!K23/'Jul''11 Envestra'!K24*'Jul''11 Envestra'!K29/100)*'Jul''11 Envestra'!K24)</f>
        <v>114.16064</v>
      </c>
      <c r="J50" s="63"/>
    </row>
    <row r="51" spans="1:10" x14ac:dyDescent="0.15">
      <c r="A51" s="40" t="s">
        <v>603</v>
      </c>
      <c r="C51" s="59">
        <f>IF($F5*'Jul''11 Envestra'!E23/'Jul''11 Envestra'!E25&lt;'Jul''11 Envestra'!E27,0,IF($F5*'Jul''11 Envestra'!E23/'Jul''11 Envestra'!E24&lt;='Jul''11 Envestra'!E28,($F5*'Jul''11 Envestra'!E23/'Jul''11 Envestra'!E24-'Jul''11 Envestra'!E27)*('Jul''11 Envestra'!E30/100)*'Jul''11 Envestra'!E24,('Jul''11 Envestra'!E28-'Jul''11 Envestra'!E27)*('Jul''11 Envestra'!E30/100)*'Jul''11 Envestra'!E24))</f>
        <v>-26.325156000000003</v>
      </c>
      <c r="D51" s="59">
        <f>IF($F5*'Jul''11 Envestra'!F23/'Jul''11 Envestra'!F25&lt;'Jul''11 Envestra'!F27,0,IF($F5*'Jul''11 Envestra'!F23/'Jul''11 Envestra'!F24&lt;='Jul''11 Envestra'!F28,($F5*'Jul''11 Envestra'!F23/'Jul''11 Envestra'!F24-'Jul''11 Envestra'!F27)*('Jul''11 Envestra'!F30/100)*'Jul''11 Envestra'!F24,('Jul''11 Envestra'!F28-'Jul''11 Envestra'!F27)*('Jul''11 Envestra'!F30/100)*'Jul''11 Envestra'!F24))</f>
        <v>0</v>
      </c>
      <c r="E51" s="59">
        <f>IF($F5*'Jul''11 Envestra'!G23/'Jul''11 Envestra'!G25&lt;'Jul''11 Envestra'!G27,0,IF($F5*'Jul''11 Envestra'!G23/'Jul''11 Envestra'!G24&lt;='Jul''11 Envestra'!G28,($F5*'Jul''11 Envestra'!G23/'Jul''11 Envestra'!G24-'Jul''11 Envestra'!G27)*('Jul''11 Envestra'!G30/100)*'Jul''11 Envestra'!G24,('Jul''11 Envestra'!G28-'Jul''11 Envestra'!G27)*('Jul''11 Envestra'!G30/100)*'Jul''11 Envestra'!G24))</f>
        <v>0</v>
      </c>
      <c r="F51" s="59">
        <f>IF($F5*'Jul''11 Envestra'!H23/'Jul''11 Envestra'!H25&lt;'Jul''11 Envestra'!H27,0,IF($F5*'Jul''11 Envestra'!H23/'Jul''11 Envestra'!H24&lt;='Jul''11 Envestra'!H28,($F5*'Jul''11 Envestra'!H23/'Jul''11 Envestra'!H24-'Jul''11 Envestra'!H27)*('Jul''11 Envestra'!H30/100)*'Jul''11 Envestra'!H24,('Jul''11 Envestra'!H28-'Jul''11 Envestra'!H27)*('Jul''11 Envestra'!H30/100)*'Jul''11 Envestra'!H24))</f>
        <v>0</v>
      </c>
      <c r="G51" s="59">
        <f>IF($F5*'Jul''11 Envestra'!I23/'Jul''11 Envestra'!I25&lt;'Jul''11 Envestra'!I27,0,IF($F5*'Jul''11 Envestra'!I23/'Jul''11 Envestra'!I24&lt;='Jul''11 Envestra'!I28,($F5*'Jul''11 Envestra'!I23/'Jul''11 Envestra'!I24-'Jul''11 Envestra'!I27)*('Jul''11 Envestra'!I30/100)*'Jul''11 Envestra'!I24,('Jul''11 Envestra'!I28-'Jul''11 Envestra'!I27)*('Jul''11 Envestra'!I30/100)*'Jul''11 Envestra'!I24))</f>
        <v>0</v>
      </c>
      <c r="H51" s="59">
        <f>IF($F5*'Jul''11 Envestra'!J23/'Jul''11 Envestra'!J25&lt;'Jul''11 Envestra'!J27,0,IF($F5*'Jul''11 Envestra'!J23/'Jul''11 Envestra'!J24&lt;='Jul''11 Envestra'!J28,($F5*'Jul''11 Envestra'!J23/'Jul''11 Envestra'!J24-'Jul''11 Envestra'!J27)*('Jul''11 Envestra'!J30/100)*'Jul''11 Envestra'!J24,('Jul''11 Envestra'!J28-'Jul''11 Envestra'!J27)*('Jul''11 Envestra'!J30/100)*'Jul''11 Envestra'!J24))</f>
        <v>0</v>
      </c>
      <c r="I51" s="59">
        <f>IF($F5*'Jul''11 Envestra'!K23/'Jul''11 Envestra'!K25&lt;'Jul''11 Envestra'!K27,0,IF($F5*'Jul''11 Envestra'!K23/'Jul''11 Envestra'!K24&lt;='Jul''11 Envestra'!K28,($F5*'Jul''11 Envestra'!K23/'Jul''11 Envestra'!K24-'Jul''11 Envestra'!K27)*('Jul''11 Envestra'!K30/100)*'Jul''11 Envestra'!K24,('Jul''11 Envestra'!K28-'Jul''11 Envestra'!K27)*('Jul''11 Envestra'!K30/100)*'Jul''11 Envestra'!K24))</f>
        <v>0</v>
      </c>
      <c r="J51" s="63"/>
    </row>
    <row r="52" spans="1:10" x14ac:dyDescent="0.15">
      <c r="A52" s="40" t="s">
        <v>606</v>
      </c>
      <c r="C52" s="59">
        <f>IF(($F5*'Jul''11 Envestra'!E23/'Jul''11 Envestra'!E24&gt;'Jul''11 Envestra'!E28),($F5*'Jul''11 Envestra'!E23/'Jul''11 Envestra'!E24-'Jul''11 Envestra'!E28)*'Jul''11 Envestra'!E31/100*'Jul''11 Envestra'!E24,0)</f>
        <v>0</v>
      </c>
      <c r="D52" s="59">
        <f>IF(($F5*'Jul''11 Envestra'!F23/'Jul''11 Envestra'!F24&gt;'Jul''11 Envestra'!F28),($F5*'Jul''11 Envestra'!F23/'Jul''11 Envestra'!F24-'Jul''11 Envestra'!F28)*'Jul''11 Envestra'!F31/100*'Jul''11 Envestra'!F24,0)</f>
        <v>47.823512000000001</v>
      </c>
      <c r="E52" s="59">
        <f>IF(($F5*'Jul''11 Envestra'!G23/'Jul''11 Envestra'!G24&gt;'Jul''11 Envestra'!G28),($F5*'Jul''11 Envestra'!G23/'Jul''11 Envestra'!G24-'Jul''11 Envestra'!G28)*'Jul''11 Envestra'!G31/100*'Jul''11 Envestra'!G24,0)</f>
        <v>49.536636000000001</v>
      </c>
      <c r="F52" s="59">
        <f>IF(($F5*'Jul''11 Envestra'!H23/'Jul''11 Envestra'!H24&gt;'Jul''11 Envestra'!H28),($F5*'Jul''11 Envestra'!H23/'Jul''11 Envestra'!H24-'Jul''11 Envestra'!H28)*'Jul''11 Envestra'!H31/100*'Jul''11 Envestra'!H24,0)</f>
        <v>50.385999999999996</v>
      </c>
      <c r="G52" s="59">
        <f>IF(($F5*'Jul''11 Envestra'!I23/'Jul''11 Envestra'!I24&gt;'Jul''11 Envestra'!I28),($F5*'Jul''11 Envestra'!I23/'Jul''11 Envestra'!I24-'Jul''11 Envestra'!I28)*'Jul''11 Envestra'!I31/100*'Jul''11 Envestra'!I24,0)</f>
        <v>45.091870999999998</v>
      </c>
      <c r="H52" s="59">
        <f>IF(($F5*'Jul''11 Envestra'!J23/'Jul''11 Envestra'!J24&gt;'Jul''11 Envestra'!J28),($F5*'Jul''11 Envestra'!J23/'Jul''11 Envestra'!J24-'Jul''11 Envestra'!J28)*'Jul''11 Envestra'!J31/100*'Jul''11 Envestra'!J24,0)</f>
        <v>53.880628999999999</v>
      </c>
      <c r="I52" s="59">
        <f>IF(($F5*'Jul''11 Envestra'!K23/'Jul''11 Envestra'!K24&gt;'Jul''11 Envestra'!K28),($F5*'Jul''11 Envestra'!K23/'Jul''11 Envestra'!K24-'Jul''11 Envestra'!K28)*'Jul''11 Envestra'!K31/100*'Jul''11 Envestra'!K24,0)</f>
        <v>54.6169844</v>
      </c>
      <c r="J52" s="63"/>
    </row>
    <row r="53" spans="1:10" x14ac:dyDescent="0.15">
      <c r="A53" s="40" t="s">
        <v>607</v>
      </c>
      <c r="C53" s="59">
        <f>IF($F5*'Jul''11 Envestra'!E25/'Jul''11 Envestra'!E26&gt;='Jul''11 Envestra'!E27,('Jul''11 Envestra'!E27*'Jul''11 Envestra'!E32/100)*'Jul''11 Envestra'!E26,($F5*'Jul''11 Envestra'!E25/'Jul''11 Envestra'!E26*'Jul''11 Envestra'!E32/100*'Jul''11 Envestra'!E26))</f>
        <v>294.55054200000001</v>
      </c>
      <c r="D53" s="59">
        <f>IF($F5*'Jul''11 Envestra'!F25/'Jul''11 Envestra'!F26&gt;='Jul''11 Envestra'!F27,('Jul''11 Envestra'!F27*'Jul''11 Envestra'!F32/100)*'Jul''11 Envestra'!F26,($F5*'Jul''11 Envestra'!F25/'Jul''11 Envestra'!F26*'Jul''11 Envestra'!F32/100*'Jul''11 Envestra'!F26))</f>
        <v>196.416</v>
      </c>
      <c r="E53" s="59">
        <f>IF($F5*'Jul''11 Envestra'!G25/'Jul''11 Envestra'!G26&gt;='Jul''11 Envestra'!G27,('Jul''11 Envestra'!G27*'Jul''11 Envestra'!G32/100)*'Jul''11 Envestra'!G26,($F5*'Jul''11 Envestra'!G25/'Jul''11 Envestra'!G26*'Jul''11 Envestra'!G32/100*'Jul''11 Envestra'!G26))</f>
        <v>185.74080000000001</v>
      </c>
      <c r="F53" s="59">
        <f>IF($F5*'Jul''11 Envestra'!H25/'Jul''11 Envestra'!H26&gt;='Jul''11 Envestra'!H27,('Jul''11 Envestra'!H27*'Jul''11 Envestra'!H32/100)*'Jul''11 Envestra'!H26,($F5*'Jul''11 Envestra'!H25/'Jul''11 Envestra'!H26*'Jul''11 Envestra'!H32/100*'Jul''11 Envestra'!H26))</f>
        <v>197.12</v>
      </c>
      <c r="G53" s="59">
        <f>IF($F5*'Jul''11 Envestra'!I25/'Jul''11 Envestra'!I26&gt;='Jul''11 Envestra'!I27,('Jul''11 Envestra'!I27*'Jul''11 Envestra'!I32/100)*'Jul''11 Envestra'!I26,($F5*'Jul''11 Envestra'!I25/'Jul''11 Envestra'!I26*'Jul''11 Envestra'!I32/100*'Jul''11 Envestra'!I26))</f>
        <v>166.56639999999999</v>
      </c>
      <c r="H53" s="59">
        <f>IF($F5*'Jul''11 Envestra'!J25/'Jul''11 Envestra'!J26&gt;='Jul''11 Envestra'!J27,('Jul''11 Envestra'!J27*'Jul''11 Envestra'!J32/100)*'Jul''11 Envestra'!J26,($F5*'Jul''11 Envestra'!J25/'Jul''11 Envestra'!J26*'Jul''11 Envestra'!J32/100*'Jul''11 Envestra'!J26))</f>
        <v>203.5968</v>
      </c>
      <c r="I53" s="59">
        <f>IF($F5*'Jul''11 Envestra'!K25/'Jul''11 Envestra'!K26&gt;='Jul''11 Envestra'!K27,('Jul''11 Envestra'!K27*'Jul''11 Envestra'!K32/100)*'Jul''11 Envestra'!K26,($F5*'Jul''11 Envestra'!K25/'Jul''11 Envestra'!K26*'Jul''11 Envestra'!K32/100*'Jul''11 Envestra'!K26))</f>
        <v>223.25247999999999</v>
      </c>
      <c r="J53" s="63"/>
    </row>
    <row r="54" spans="1:10" x14ac:dyDescent="0.15">
      <c r="A54" s="40" t="s">
        <v>608</v>
      </c>
      <c r="C54" s="59">
        <f>IF($F5*'Jul''11 Envestra'!E25/'Jul''11 Envestra'!E26&lt;'Jul''11 Envestra'!E27,0,IF($F5*'Jul''11 Envestra'!E25/'Jul''11 Envestra'!E26&lt;='Jul''11 Envestra'!E28,($F5*'Jul''11 Envestra'!E25/'Jul''11 Envestra'!E26-'Jul''11 Envestra'!E27)*('Jul''11 Envestra'!E33/100)*'Jul''11 Envestra'!E26,('Jul''11 Envestra'!E28-'Jul''11 Envestra'!E27)*('Jul''11 Envestra'!E33/100)*'Jul''11 Envestra'!E26))</f>
        <v>0</v>
      </c>
      <c r="D54" s="59">
        <f>IF($F5*'Jul''11 Envestra'!F25/'Jul''11 Envestra'!F26&lt;'Jul''11 Envestra'!F27,0,IF($F5*'Jul''11 Envestra'!F25/'Jul''11 Envestra'!F26&lt;='Jul''11 Envestra'!F28,($F5*'Jul''11 Envestra'!F25/'Jul''11 Envestra'!F26-'Jul''11 Envestra'!F27)*('Jul''11 Envestra'!F33/100)*'Jul''11 Envestra'!F26,('Jul''11 Envestra'!F28-'Jul''11 Envestra'!F27)*('Jul''11 Envestra'!F33/100)*'Jul''11 Envestra'!F26))</f>
        <v>0</v>
      </c>
      <c r="E54" s="59">
        <f>IF($F5*'Jul''11 Envestra'!G25/'Jul''11 Envestra'!G26&lt;'Jul''11 Envestra'!G27,0,IF($F5*'Jul''11 Envestra'!G25/'Jul''11 Envestra'!G26&lt;='Jul''11 Envestra'!G28,($F5*'Jul''11 Envestra'!G25/'Jul''11 Envestra'!G26-'Jul''11 Envestra'!G27)*('Jul''11 Envestra'!G33/100)*'Jul''11 Envestra'!G26,('Jul''11 Envestra'!G28-'Jul''11 Envestra'!G27)*('Jul''11 Envestra'!G33/100)*'Jul''11 Envestra'!G26))</f>
        <v>0</v>
      </c>
      <c r="F54" s="59">
        <f>IF($F5*'Jul''11 Envestra'!H25/'Jul''11 Envestra'!H26&lt;'Jul''11 Envestra'!H27,0,IF($F5*'Jul''11 Envestra'!H25/'Jul''11 Envestra'!H26&lt;='Jul''11 Envestra'!H28,($F5*'Jul''11 Envestra'!H25/'Jul''11 Envestra'!H26-'Jul''11 Envestra'!H27)*('Jul''11 Envestra'!H33/100)*'Jul''11 Envestra'!H26,('Jul''11 Envestra'!H28-'Jul''11 Envestra'!H27)*('Jul''11 Envestra'!H33/100)*'Jul''11 Envestra'!H26))</f>
        <v>0</v>
      </c>
      <c r="G54" s="59">
        <f>IF($F5*'Jul''11 Envestra'!I25/'Jul''11 Envestra'!I26&lt;'Jul''11 Envestra'!I27,0,IF($F5*'Jul''11 Envestra'!I25/'Jul''11 Envestra'!I26&lt;='Jul''11 Envestra'!I28,($F5*'Jul''11 Envestra'!I25/'Jul''11 Envestra'!I26-'Jul''11 Envestra'!I27)*('Jul''11 Envestra'!I33/100)*'Jul''11 Envestra'!I26,('Jul''11 Envestra'!I28-'Jul''11 Envestra'!I27)*('Jul''11 Envestra'!I33/100)*'Jul''11 Envestra'!I26))</f>
        <v>0</v>
      </c>
      <c r="H54" s="59">
        <f>IF($F5*'Jul''11 Envestra'!J25/'Jul''11 Envestra'!J26&lt;'Jul''11 Envestra'!J27,0,IF($F5*'Jul''11 Envestra'!J25/'Jul''11 Envestra'!J26&lt;='Jul''11 Envestra'!J28,($F5*'Jul''11 Envestra'!J25/'Jul''11 Envestra'!J26-'Jul''11 Envestra'!J27)*('Jul''11 Envestra'!J33/100)*'Jul''11 Envestra'!J26,('Jul''11 Envestra'!J28-'Jul''11 Envestra'!J27)*('Jul''11 Envestra'!J33/100)*'Jul''11 Envestra'!J26))</f>
        <v>0</v>
      </c>
      <c r="I54" s="59">
        <f>IF($F5*'Jul''11 Envestra'!K25/'Jul''11 Envestra'!K26&lt;'Jul''11 Envestra'!K27,0,IF($F5*'Jul''11 Envestra'!K25/'Jul''11 Envestra'!K26&lt;='Jul''11 Envestra'!K28,($F5*'Jul''11 Envestra'!K25/'Jul''11 Envestra'!K26-'Jul''11 Envestra'!K27)*('Jul''11 Envestra'!K33/100)*'Jul''11 Envestra'!K26,('Jul''11 Envestra'!K28-'Jul''11 Envestra'!K27)*('Jul''11 Envestra'!K33/100)*'Jul''11 Envestra'!K26))</f>
        <v>0</v>
      </c>
      <c r="J54" s="63"/>
    </row>
    <row r="55" spans="1:10" x14ac:dyDescent="0.15">
      <c r="A55" s="40" t="s">
        <v>611</v>
      </c>
      <c r="C55" s="59">
        <f>IF(($F5*'Jul''11 Envestra'!E25/'Jul''11 Envestra'!E26&gt;'Jul''11 Envestra'!E28),($F5*'Jul''11 Envestra'!E25/'Jul''11 Envestra'!E26-'Jul''11 Envestra'!E28)*'Jul''11 Envestra'!E34/100*'Jul''11 Envestra'!E26,0)</f>
        <v>0</v>
      </c>
      <c r="D55" s="59">
        <f>IF(($F5*'Jul''11 Envestra'!F25/'Jul''11 Envestra'!F26&gt;'Jul''11 Envestra'!F28),($F5*'Jul''11 Envestra'!F25/'Jul''11 Envestra'!F26-'Jul''11 Envestra'!F28)*'Jul''11 Envestra'!F34/100*'Jul''11 Envestra'!F26,0)</f>
        <v>93.509218000000004</v>
      </c>
      <c r="E55" s="59">
        <f>IF(($F5*'Jul''11 Envestra'!G25/'Jul''11 Envestra'!G26&gt;'Jul''11 Envestra'!G28),($F5*'Jul''11 Envestra'!G25/'Jul''11 Envestra'!G26-'Jul''11 Envestra'!G28)*'Jul''11 Envestra'!G34/100*'Jul''11 Envestra'!G26,0)</f>
        <v>92.93337799999999</v>
      </c>
      <c r="F55" s="59">
        <f>IF(($F5*'Jul''11 Envestra'!H25/'Jul''11 Envestra'!H26&gt;'Jul''11 Envestra'!H28),($F5*'Jul''11 Envestra'!H25/'Jul''11 Envestra'!H26-'Jul''11 Envestra'!H28)*'Jul''11 Envestra'!H34/100*'Jul''11 Envestra'!H26,0)</f>
        <v>97.173000000000016</v>
      </c>
      <c r="G55" s="59">
        <f>IF(($F5*'Jul''11 Envestra'!I25/'Jul''11 Envestra'!I26&gt;'Jul''11 Envestra'!I28),($F5*'Jul''11 Envestra'!I25/'Jul''11 Envestra'!I26-'Jul''11 Envestra'!I28)*'Jul''11 Envestra'!I34/100*'Jul''11 Envestra'!I26,0)</f>
        <v>84.166213999999997</v>
      </c>
      <c r="H55" s="59">
        <f>IF(($F5*'Jul''11 Envestra'!J25/'Jul''11 Envestra'!J26&gt;'Jul''11 Envestra'!J28),($F5*'Jul''11 Envestra'!J25/'Jul''11 Envestra'!J26-'Jul''11 Envestra'!J28)*'Jul''11 Envestra'!J34/100*'Jul''11 Envestra'!J26,0)</f>
        <v>102.21879799999999</v>
      </c>
      <c r="I55" s="59">
        <f>IF(($F5*'Jul''11 Envestra'!K25/'Jul''11 Envestra'!K26&gt;'Jul''11 Envestra'!K28),($F5*'Jul''11 Envestra'!K25/'Jul''11 Envestra'!K26-'Jul''11 Envestra'!K28)*'Jul''11 Envestra'!K34/100*'Jul''11 Envestra'!K26,0)</f>
        <v>106.18561579999999</v>
      </c>
      <c r="J55" s="63"/>
    </row>
    <row r="56" spans="1:10" x14ac:dyDescent="0.15">
      <c r="A56" s="40" t="s">
        <v>612</v>
      </c>
      <c r="C56" s="59">
        <f>365*'Jul''11 Envestra'!E35/100</f>
        <v>186.25585000000004</v>
      </c>
      <c r="D56" s="59">
        <f>365*'Jul''11 Envestra'!F35/100</f>
        <v>179.18944999999999</v>
      </c>
      <c r="E56" s="59">
        <f>365*'Jul''11 Envestra'!G35/100</f>
        <v>181.58750000000001</v>
      </c>
      <c r="F56" s="59">
        <f>365*'Jul''11 Envestra'!H35/100</f>
        <v>191.36950000000002</v>
      </c>
      <c r="G56" s="59">
        <f>365*'Jul''11 Envestra'!I35/100</f>
        <v>168.63</v>
      </c>
      <c r="H56" s="59">
        <f>365*'Jul''11 Envestra'!J35/100</f>
        <v>195.12900000000002</v>
      </c>
      <c r="I56" s="59">
        <f>365*'Jul''11 Envestra'!K35/100</f>
        <v>226.40585000000002</v>
      </c>
      <c r="J56" s="60">
        <f>AVERAGE(C56:I56)</f>
        <v>189.79530714285718</v>
      </c>
    </row>
    <row r="57" spans="1:10" x14ac:dyDescent="0.15">
      <c r="A57" s="62" t="s">
        <v>613</v>
      </c>
      <c r="B57" s="63"/>
      <c r="C57" s="60">
        <f>SUM(C50:C56)</f>
        <v>606.59602300000006</v>
      </c>
      <c r="D57" s="60">
        <f t="shared" ref="D57:I57" si="3">SUM(D50:D56)</f>
        <v>621.48217999999997</v>
      </c>
      <c r="E57" s="60">
        <f t="shared" si="3"/>
        <v>608.81911400000001</v>
      </c>
      <c r="F57" s="60">
        <f t="shared" si="3"/>
        <v>639.08850000000007</v>
      </c>
      <c r="G57" s="60">
        <f t="shared" si="3"/>
        <v>554.49608499999999</v>
      </c>
      <c r="H57" s="60">
        <f t="shared" si="3"/>
        <v>663.45242699999994</v>
      </c>
      <c r="I57" s="60">
        <f t="shared" si="3"/>
        <v>724.62157020000006</v>
      </c>
      <c r="J57" s="64">
        <f>AVERAGE(C57:I57)</f>
        <v>631.22227131428565</v>
      </c>
    </row>
    <row r="59" spans="1:10" x14ac:dyDescent="0.15">
      <c r="A59" s="53" t="s">
        <v>1028</v>
      </c>
      <c r="C59" s="23" t="s">
        <v>1044</v>
      </c>
      <c r="D59" s="23" t="s">
        <v>591</v>
      </c>
      <c r="E59" s="23" t="s">
        <v>555</v>
      </c>
      <c r="F59" s="23" t="s">
        <v>544</v>
      </c>
      <c r="G59" s="23" t="s">
        <v>514</v>
      </c>
      <c r="H59" s="23" t="s">
        <v>615</v>
      </c>
      <c r="I59" s="23" t="s">
        <v>515</v>
      </c>
      <c r="J59" s="57" t="s">
        <v>601</v>
      </c>
    </row>
    <row r="60" spans="1:10" x14ac:dyDescent="0.15">
      <c r="A60" s="40" t="s">
        <v>602</v>
      </c>
      <c r="C60" s="69">
        <f>IF($F5*'Jul''11 Envestra'!E39/'Jul''11 Envestra'!E40&gt;='Jul''11 Envestra'!E43,('Jul''11 Envestra'!E43*'Jul''11 Envestra'!E45/100)*'Jul''11 Envestra'!E40,($F5*'Jul''11 Envestra'!E39/'Jul''11 Envestra'!E40*'Jul''11 Envestra'!E45/100)*'Jul''11 Envestra'!E40)</f>
        <v>155.85441299999999</v>
      </c>
      <c r="D60" s="69">
        <f>IF($F5*'Jul''11 Envestra'!F39/'Jul''11 Envestra'!F40&gt;='Jul''11 Envestra'!F43,('Jul''11 Envestra'!F43*'Jul''11 Envestra'!F45/100)*'Jul''11 Envestra'!F40,($F5*'Jul''11 Envestra'!F39/'Jul''11 Envestra'!F40*'Jul''11 Envestra'!F45/100)*'Jul''11 Envestra'!F40)</f>
        <v>128.744</v>
      </c>
      <c r="E60" s="69">
        <f>IF($F5*'Jul''11 Envestra'!G39/'Jul''11 Envestra'!G40&gt;='Jul''11 Envestra'!G43,('Jul''11 Envestra'!G43*'Jul''11 Envestra'!G45/100)*'Jul''11 Envestra'!G40,($F5*'Jul''11 Envestra'!G39/'Jul''11 Envestra'!G40*'Jul''11 Envestra'!G45/100)*'Jul''11 Envestra'!G40)</f>
        <v>129.744</v>
      </c>
      <c r="F60" s="69">
        <f>IF($F5*'Jul''11 Envestra'!H39/'Jul''11 Envestra'!H40&gt;='Jul''11 Envestra'!H43,('Jul''11 Envestra'!H43*'Jul''11 Envestra'!H45/100)*'Jul''11 Envestra'!H40,($F5*'Jul''11 Envestra'!H39/'Jul''11 Envestra'!H40*'Jul''11 Envestra'!H45/100)*'Jul''11 Envestra'!H40)</f>
        <v>130.4</v>
      </c>
      <c r="G60" s="69">
        <f>IF($F5*'Jul''11 Envestra'!I39/'Jul''11 Envestra'!I40&gt;='Jul''11 Envestra'!I43,('Jul''11 Envestra'!I43*'Jul''11 Envestra'!I45/100)*'Jul''11 Envestra'!I40,($F5*'Jul''11 Envestra'!I39/'Jul''11 Envestra'!I40*'Jul''11 Envestra'!I45/100)*'Jul''11 Envestra'!I40)</f>
        <v>115.19199999999999</v>
      </c>
      <c r="H60" s="69">
        <f>IF($F5*'Jul''11 Envestra'!J39/'Jul''11 Envestra'!J40&gt;='Jul''11 Envestra'!J43,('Jul''11 Envestra'!J43*'Jul''11 Envestra'!J45/100)*'Jul''11 Envestra'!J40,($F5*'Jul''11 Envestra'!J39/'Jul''11 Envestra'!J40*'Jul''11 Envestra'!J45/100)*'Jul''11 Envestra'!J40)</f>
        <v>138.24799999999999</v>
      </c>
      <c r="I60" s="69">
        <f>IF($F5*'Jul''11 Envestra'!K39/'Jul''11 Envestra'!K40&gt;='Jul''11 Envestra'!K43,('Jul''11 Envestra'!K43*'Jul''11 Envestra'!K45/100)*'Jul''11 Envestra'!K40,($F5*'Jul''11 Envestra'!K39/'Jul''11 Envestra'!K40*'Jul''11 Envestra'!K45/100)*'Jul''11 Envestra'!K40)</f>
        <v>143.1232</v>
      </c>
      <c r="J60" s="63"/>
    </row>
    <row r="61" spans="1:10" x14ac:dyDescent="0.15">
      <c r="A61" s="40" t="s">
        <v>603</v>
      </c>
      <c r="C61" s="69">
        <f>IF($F5*'Jul''11 Envestra'!E39/'Jul''11 Envestra'!E40&lt;'Jul''11 Envestra'!E43,0,IF($F5*'Jul''11 Envestra'!E39/'Jul''11 Envestra'!E40&lt;='Jul''11 Envestra'!E44,($F5*'Jul''11 Envestra'!E39/'Jul''11 Envestra'!E40-'Jul''11 Envestra'!E43)*('Jul''11 Envestra'!E46/100)*'Jul''11 Envestra'!E40,('Jul''11 Envestra'!E44-'Jul''11 Envestra'!E43)*('Jul''11 Envestra'!E46/100)*'Jul''11 Envestra'!E40))</f>
        <v>0</v>
      </c>
      <c r="D61" s="69">
        <f>IF($F5*'Jul''11 Envestra'!F39/'Jul''11 Envestra'!F40&lt;'Jul''11 Envestra'!F43,0,IF($F5*'Jul''11 Envestra'!F39/'Jul''11 Envestra'!F40&lt;='Jul''11 Envestra'!F44,($F5*'Jul''11 Envestra'!F39/'Jul''11 Envestra'!F40-'Jul''11 Envestra'!F43)*('Jul''11 Envestra'!F46/100)*'Jul''11 Envestra'!F40,('Jul''11 Envestra'!F44-'Jul''11 Envestra'!F43)*('Jul''11 Envestra'!F46/100)*'Jul''11 Envestra'!F40))</f>
        <v>28.409788000000002</v>
      </c>
      <c r="E61" s="69">
        <f>IF($F5*'Jul''11 Envestra'!G39/'Jul''11 Envestra'!G40&lt;'Jul''11 Envestra'!G43,0,IF($F5*'Jul''11 Envestra'!G39/'Jul''11 Envestra'!G40&lt;='Jul''11 Envestra'!G44,($F5*'Jul''11 Envestra'!G39/'Jul''11 Envestra'!G40-'Jul''11 Envestra'!G43)*('Jul''11 Envestra'!G46/100)*'Jul''11 Envestra'!G40,('Jul''11 Envestra'!G44-'Jul''11 Envestra'!G43)*('Jul''11 Envestra'!G46/100)*'Jul''11 Envestra'!G40))</f>
        <v>28.795594999999999</v>
      </c>
      <c r="F61" s="69">
        <f>IF($F5*'Jul''11 Envestra'!H39/'Jul''11 Envestra'!H40&lt;'Jul''11 Envestra'!H43,0,IF($F5*'Jul''11 Envestra'!H39/'Jul''11 Envestra'!H40&lt;='Jul''11 Envestra'!H44,($F5*'Jul''11 Envestra'!H39/'Jul''11 Envestra'!H40-'Jul''11 Envestra'!H43)*('Jul''11 Envestra'!H46/100)*'Jul''11 Envestra'!H40,('Jul''11 Envestra'!H44-'Jul''11 Envestra'!H43)*('Jul''11 Envestra'!H46/100)*'Jul''11 Envestra'!H40))</f>
        <v>0</v>
      </c>
      <c r="G61" s="69">
        <f>IF($F5*'Jul''11 Envestra'!I39/'Jul''11 Envestra'!I40&lt;'Jul''11 Envestra'!I43,0,IF($F5*'Jul''11 Envestra'!I39/'Jul''11 Envestra'!I40&lt;='Jul''11 Envestra'!I44,($F5*'Jul''11 Envestra'!I39/'Jul''11 Envestra'!I40-'Jul''11 Envestra'!I43)*('Jul''11 Envestra'!I46/100)*'Jul''11 Envestra'!I40,('Jul''11 Envestra'!I44-'Jul''11 Envestra'!I43)*('Jul''11 Envestra'!I46/100)*'Jul''11 Envestra'!I40))</f>
        <v>25.485250999999998</v>
      </c>
      <c r="H61" s="69">
        <f>IF($F5*'Jul''11 Envestra'!J39/'Jul''11 Envestra'!J40&lt;'Jul''11 Envestra'!J43,0,IF($F5*'Jul''11 Envestra'!J39/'Jul''11 Envestra'!J40&lt;='Jul''11 Envestra'!J44,($F5*'Jul''11 Envestra'!J39/'Jul''11 Envestra'!J40-'Jul''11 Envestra'!J43)*('Jul''11 Envestra'!J46/100)*'Jul''11 Envestra'!J40,('Jul''11 Envestra'!J44-'Jul''11 Envestra'!J43)*('Jul''11 Envestra'!J46/100)*'Jul''11 Envestra'!J40))</f>
        <v>30.586698999999999</v>
      </c>
      <c r="I61" s="69">
        <f>IF($F5*'Jul''11 Envestra'!K39/'Jul''11 Envestra'!K40&lt;'Jul''11 Envestra'!K43,0,IF($F5*'Jul''11 Envestra'!K39/'Jul''11 Envestra'!K40&lt;='Jul''11 Envestra'!K44,($F5*'Jul''11 Envestra'!K39/'Jul''11 Envestra'!K40-'Jul''11 Envestra'!K43)*('Jul''11 Envestra'!K46/100)*'Jul''11 Envestra'!K40,('Jul''11 Envestra'!K44-'Jul''11 Envestra'!K43)*('Jul''11 Envestra'!K46/100)*'Jul''11 Envestra'!K40))</f>
        <v>30.0083883</v>
      </c>
      <c r="J61" s="63"/>
    </row>
    <row r="62" spans="1:10" x14ac:dyDescent="0.15">
      <c r="A62" s="40" t="s">
        <v>606</v>
      </c>
      <c r="C62" s="69">
        <f>IF(($F5*'Jul''11 Envestra'!E39/'Jul''11 Envestra'!E40&gt;'Jul''11 Envestra'!E44),($F5*'Jul''11 Envestra'!E39/'Jul''11 Envestra'!E40-'Jul''11 Envestra'!E44)*'Jul''11 Envestra'!E47/100)*'Jul''11 Envestra'!E40</f>
        <v>0</v>
      </c>
      <c r="D62" s="69">
        <f>IF(($F5*'Jul''11 Envestra'!F39/'Jul''11 Envestra'!F40&gt;'Jul''11 Envestra'!F44),($F5*'Jul''11 Envestra'!F39/'Jul''11 Envestra'!F40-'Jul''11 Envestra'!F44)*'Jul''11 Envestra'!F47/100)*'Jul''11 Envestra'!F40</f>
        <v>0</v>
      </c>
      <c r="E62" s="69">
        <f>IF(($F5*'Jul''11 Envestra'!G39/'Jul''11 Envestra'!G40&gt;'Jul''11 Envestra'!G44),($F5*'Jul''11 Envestra'!G39/'Jul''11 Envestra'!G40-'Jul''11 Envestra'!G44)*'Jul''11 Envestra'!G47/100)*'Jul''11 Envestra'!G40</f>
        <v>0</v>
      </c>
      <c r="F62" s="69">
        <f>IF(($F5*'Jul''11 Envestra'!H39/'Jul''11 Envestra'!H40&gt;'Jul''11 Envestra'!H44),($F5*'Jul''11 Envestra'!H39/'Jul''11 Envestra'!H40-'Jul''11 Envestra'!H44)*'Jul''11 Envestra'!H47/100)*'Jul''11 Envestra'!H40</f>
        <v>28.985499999999998</v>
      </c>
      <c r="G62" s="69">
        <f>IF(($F5*'Jul''11 Envestra'!I39/'Jul''11 Envestra'!I40&gt;'Jul''11 Envestra'!I44),($F5*'Jul''11 Envestra'!I39/'Jul''11 Envestra'!I40-'Jul''11 Envestra'!I44)*'Jul''11 Envestra'!I47/100)*'Jul''11 Envestra'!I40</f>
        <v>0</v>
      </c>
      <c r="H62" s="69">
        <f>IF(($F5*'Jul''11 Envestra'!J39/'Jul''11 Envestra'!J40&gt;'Jul''11 Envestra'!J44),($F5*'Jul''11 Envestra'!J39/'Jul''11 Envestra'!J40-'Jul''11 Envestra'!J44)*'Jul''11 Envestra'!J47/100)*'Jul''11 Envestra'!J40</f>
        <v>0</v>
      </c>
      <c r="I62" s="69">
        <f>IF(($F5*'Jul''11 Envestra'!K39/'Jul''11 Envestra'!K40&gt;'Jul''11 Envestra'!K44),($F5*'Jul''11 Envestra'!K39/'Jul''11 Envestra'!K40-'Jul''11 Envestra'!K44)*'Jul''11 Envestra'!K47/100)*'Jul''11 Envestra'!K40</f>
        <v>0</v>
      </c>
      <c r="J62" s="63"/>
    </row>
    <row r="63" spans="1:10" x14ac:dyDescent="0.15">
      <c r="A63" s="40" t="s">
        <v>607</v>
      </c>
      <c r="C63" s="69">
        <f>IF($F5*'Jul''11 Envestra'!E41/'Jul''11 Envestra'!E42&gt;='Jul''11 Envestra'!E43,('Jul''11 Envestra'!E43*'Jul''11 Envestra'!E48/100)*'Jul''11 Envestra'!E42,($F5*'Jul''11 Envestra'!E41/'Jul''11 Envestra'!E42*'Jul''11 Envestra'!E48/100)*'Jul''11 Envestra'!E42)</f>
        <v>305.109486</v>
      </c>
      <c r="D63" s="69">
        <f>IF($F5*'Jul''11 Envestra'!F41/'Jul''11 Envestra'!F42&gt;='Jul''11 Envestra'!F43,('Jul''11 Envestra'!F43*'Jul''11 Envestra'!F48/100)*'Jul''11 Envestra'!F42,($F5*'Jul''11 Envestra'!F41/'Jul''11 Envestra'!F42*'Jul''11 Envestra'!F48/100)*'Jul''11 Envestra'!F42)</f>
        <v>254.84799999999998</v>
      </c>
      <c r="E63" s="69">
        <f>IF($F5*'Jul''11 Envestra'!G41/'Jul''11 Envestra'!G42&gt;='Jul''11 Envestra'!G43,('Jul''11 Envestra'!G43*'Jul''11 Envestra'!G48/100)*'Jul''11 Envestra'!G42,($F5*'Jul''11 Envestra'!G41/'Jul''11 Envestra'!G42*'Jul''11 Envestra'!G48/100)*'Jul''11 Envestra'!G42)</f>
        <v>252.672</v>
      </c>
      <c r="F63" s="69">
        <f>IF($F5*'Jul''11 Envestra'!H41/'Jul''11 Envestra'!H42&gt;='Jul''11 Envestra'!H43,('Jul''11 Envestra'!H43*'Jul''11 Envestra'!H48/100)*'Jul''11 Envestra'!H42,($F5*'Jul''11 Envestra'!H41/'Jul''11 Envestra'!H42*'Jul''11 Envestra'!H48/100)*'Jul''11 Envestra'!H42)</f>
        <v>252.8</v>
      </c>
      <c r="G63" s="69">
        <f>IF($F5*'Jul''11 Envestra'!I41/'Jul''11 Envestra'!I42&gt;='Jul''11 Envestra'!I43,('Jul''11 Envestra'!I43*'Jul''11 Envestra'!I48/100)*'Jul''11 Envestra'!I42,($F5*'Jul''11 Envestra'!I41/'Jul''11 Envestra'!I42*'Jul''11 Envestra'!I48/100)*'Jul''11 Envestra'!I42)</f>
        <v>224.04800000000003</v>
      </c>
      <c r="H63" s="69">
        <f>IF($F5*'Jul''11 Envestra'!J41/'Jul''11 Envestra'!J42&gt;='Jul''11 Envestra'!J43,('Jul''11 Envestra'!J43*'Jul''11 Envestra'!J48/100)*'Jul''11 Envestra'!J42,($F5*'Jul''11 Envestra'!J41/'Jul''11 Envestra'!J42*'Jul''11 Envestra'!J48/100)*'Jul''11 Envestra'!J42)</f>
        <v>271.92</v>
      </c>
      <c r="I63" s="69">
        <f>IF($F5*'Jul''11 Envestra'!K41/'Jul''11 Envestra'!K42&gt;='Jul''11 Envestra'!K43,('Jul''11 Envestra'!K43*'Jul''11 Envestra'!K48/100)*'Jul''11 Envestra'!K42,($F5*'Jul''11 Envestra'!K41/'Jul''11 Envestra'!K42*'Jul''11 Envestra'!K48/100)*'Jul''11 Envestra'!K42)</f>
        <v>188.12639999999999</v>
      </c>
      <c r="J63" s="63"/>
    </row>
    <row r="64" spans="1:10" x14ac:dyDescent="0.15">
      <c r="A64" s="40" t="s">
        <v>608</v>
      </c>
      <c r="C64" s="69">
        <f>IF($F5*'Jul''11 Envestra'!E41/'Jul''11 Envestra'!E42&lt;'Jul''11 Envestra'!E43,0,IF($F5*'Jul''11 Envestra'!E41/'Jul''11 Envestra'!E42&lt;='Jul''11 Envestra'!E44,($F5*'Jul''11 Envestra'!E41/'Jul''11 Envestra'!E42-'Jul''11 Envestra'!E43)*('Jul''11 Envestra'!E49/100)*'Jul''11 Envestra'!E42,('Jul''11 Envestra'!E44-'Jul''11 Envestra'!E43)*('Jul''11 Envestra'!E49/100)*'Jul''11 Envestra'!E42))</f>
        <v>0</v>
      </c>
      <c r="D64" s="69">
        <f>IF($F5*'Jul''11 Envestra'!F41/'Jul''11 Envestra'!F42&lt;'Jul''11 Envestra'!F43,0,IF($F5*'Jul''11 Envestra'!F41/'Jul''11 Envestra'!F42&lt;='Jul''11 Envestra'!F44,($F5*'Jul''11 Envestra'!F41/'Jul''11 Envestra'!F42-'Jul''11 Envestra'!F43)*('Jul''11 Envestra'!F49/100)*'Jul''11 Envestra'!F42,('Jul''11 Envestra'!F44-'Jul''11 Envestra'!F43)*('Jul''11 Envestra'!F49/100)*'Jul''11 Envestra'!F42))</f>
        <v>55.104433999999998</v>
      </c>
      <c r="E64" s="69">
        <f>IF($F5*'Jul''11 Envestra'!G41/'Jul''11 Envestra'!G42&lt;'Jul''11 Envestra'!G43,0,IF($F5*'Jul''11 Envestra'!G41/'Jul''11 Envestra'!G42&lt;='Jul''11 Envestra'!G44,($F5*'Jul''11 Envestra'!G41/'Jul''11 Envestra'!G42-'Jul''11 Envestra'!G43)*('Jul''11 Envestra'!G49/100)*'Jul''11 Envestra'!G42,('Jul''11 Envestra'!G44-'Jul''11 Envestra'!G43)*('Jul''11 Envestra'!G49/100)*'Jul''11 Envestra'!G42))</f>
        <v>55.028472000000001</v>
      </c>
      <c r="F64" s="69">
        <f>IF($F5*'Jul''11 Envestra'!H41/'Jul''11 Envestra'!H42&lt;'Jul''11 Envestra'!H43,0,IF($F5*'Jul''11 Envestra'!H41/'Jul''11 Envestra'!H42&lt;='Jul''11 Envestra'!H44,($F5*'Jul''11 Envestra'!H41/'Jul''11 Envestra'!H42-'Jul''11 Envestra'!H43)*('Jul''11 Envestra'!H49/100)*'Jul''11 Envestra'!H42,('Jul''11 Envestra'!H44-'Jul''11 Envestra'!H43)*('Jul''11 Envestra'!H49/100)*'Jul''11 Envestra'!H42))</f>
        <v>0</v>
      </c>
      <c r="G64" s="69">
        <f>IF($F5*'Jul''11 Envestra'!I41/'Jul''11 Envestra'!I42&lt;'Jul''11 Envestra'!I43,0,IF($F5*'Jul''11 Envestra'!I41/'Jul''11 Envestra'!I42&lt;='Jul''11 Envestra'!I44,($F5*'Jul''11 Envestra'!I41/'Jul''11 Envestra'!I42-'Jul''11 Envestra'!I43)*('Jul''11 Envestra'!I49/100)*'Jul''11 Envestra'!I42,('Jul''11 Envestra'!I44-'Jul''11 Envestra'!I43)*('Jul''11 Envestra'!I49/100)*'Jul''11 Envestra'!I42))</f>
        <v>48.947513999999998</v>
      </c>
      <c r="H64" s="69">
        <f>IF($F5*'Jul''11 Envestra'!J41/'Jul''11 Envestra'!J42&lt;'Jul''11 Envestra'!J43,0,IF($F5*'Jul''11 Envestra'!J41/'Jul''11 Envestra'!J42&lt;='Jul''11 Envestra'!J44,($F5*'Jul''11 Envestra'!J41/'Jul''11 Envestra'!J42-'Jul''11 Envestra'!J43)*('Jul''11 Envestra'!J49/100)*'Jul''11 Envestra'!J42,('Jul''11 Envestra'!J44-'Jul''11 Envestra'!J43)*('Jul''11 Envestra'!J49/100)*'Jul''11 Envestra'!J42))</f>
        <v>60.469749999999998</v>
      </c>
      <c r="I64" s="69">
        <f>IF($F5*'Jul''11 Envestra'!K41/'Jul''11 Envestra'!K42&lt;'Jul''11 Envestra'!K43,0,IF($F5*'Jul''11 Envestra'!K41/'Jul''11 Envestra'!K42&lt;='Jul''11 Envestra'!K44,($F5*'Jul''11 Envestra'!K41/'Jul''11 Envestra'!K42-'Jul''11 Envestra'!K43)*('Jul''11 Envestra'!K49/100)*'Jul''11 Envestra'!K42,('Jul''11 Envestra'!K44-'Jul''11 Envestra'!K43)*('Jul''11 Envestra'!K49/100)*'Jul''11 Envestra'!K42))</f>
        <v>70.092136400000001</v>
      </c>
      <c r="J64" s="63"/>
    </row>
    <row r="65" spans="1:10" x14ac:dyDescent="0.15">
      <c r="A65" s="40" t="s">
        <v>611</v>
      </c>
      <c r="C65" s="69">
        <f>IF(($F5*'Jul''11 Envestra'!E41/'Jul''11 Envestra'!E42&gt;'Jul''11 Envestra'!E44),($F5*'Jul''11 Envestra'!E41/'Jul''11 Envestra'!E42-'Jul''11 Envestra'!E44)*'Jul''11 Envestra'!E50/100)*'Jul''11 Envestra'!E42</f>
        <v>0</v>
      </c>
      <c r="D65" s="69">
        <f>IF(($F5*'Jul''11 Envestra'!F41/'Jul''11 Envestra'!F42&gt;'Jul''11 Envestra'!F44),($F5*'Jul''11 Envestra'!F41/'Jul''11 Envestra'!F42-'Jul''11 Envestra'!F44)*'Jul''11 Envestra'!F50/100)*'Jul''11 Envestra'!F42</f>
        <v>0</v>
      </c>
      <c r="E65" s="69">
        <f>IF(($F5*'Jul''11 Envestra'!G41/'Jul''11 Envestra'!G42&gt;'Jul''11 Envestra'!G44),($F5*'Jul''11 Envestra'!G41/'Jul''11 Envestra'!G42-'Jul''11 Envestra'!G44)*'Jul''11 Envestra'!G50/100)*'Jul''11 Envestra'!G42</f>
        <v>0</v>
      </c>
      <c r="F65" s="69">
        <f>IF(($F5*'Jul''11 Envestra'!H41/'Jul''11 Envestra'!H42&gt;'Jul''11 Envestra'!H44),($F5*'Jul''11 Envestra'!H41/'Jul''11 Envestra'!H42-'Jul''11 Envestra'!H44)*'Jul''11 Envestra'!H50/100)*'Jul''11 Envestra'!H42</f>
        <v>56.771599999999999</v>
      </c>
      <c r="G65" s="69">
        <f>IF(($F5*'Jul''11 Envestra'!I41/'Jul''11 Envestra'!I42&gt;'Jul''11 Envestra'!I44),($F5*'Jul''11 Envestra'!I41/'Jul''11 Envestra'!I42-'Jul''11 Envestra'!I44)*'Jul''11 Envestra'!I50/100)*'Jul''11 Envestra'!I42</f>
        <v>0</v>
      </c>
      <c r="H65" s="69">
        <f>IF(($F5*'Jul''11 Envestra'!J41/'Jul''11 Envestra'!J42&gt;'Jul''11 Envestra'!J44),($F5*'Jul''11 Envestra'!J41/'Jul''11 Envestra'!J42-'Jul''11 Envestra'!J44)*'Jul''11 Envestra'!J50/100)*'Jul''11 Envestra'!J42</f>
        <v>0</v>
      </c>
      <c r="I65" s="69">
        <f>IF(($F5*'Jul''11 Envestra'!K41/'Jul''11 Envestra'!K42&gt;'Jul''11 Envestra'!K44),($F5*'Jul''11 Envestra'!K41/'Jul''11 Envestra'!K42-'Jul''11 Envestra'!K44)*'Jul''11 Envestra'!K50/100)*'Jul''11 Envestra'!K42</f>
        <v>0</v>
      </c>
      <c r="J65" s="63"/>
    </row>
    <row r="66" spans="1:10" x14ac:dyDescent="0.15">
      <c r="A66" s="40" t="s">
        <v>612</v>
      </c>
      <c r="C66" s="69">
        <f>365*'Jul''11 Envestra'!E51/100</f>
        <v>185.69374999999999</v>
      </c>
      <c r="D66" s="69">
        <f>365*'Jul''11 Envestra'!F51/100</f>
        <v>180.71514999999999</v>
      </c>
      <c r="E66" s="69">
        <f>365*'Jul''11 Envestra'!G51/100</f>
        <v>186.73399999999998</v>
      </c>
      <c r="F66" s="69">
        <f>365*'Jul''11 Envestra'!H51/100</f>
        <v>195.0925</v>
      </c>
      <c r="G66" s="69">
        <f>365*'Jul''11 Envestra'!I51/100</f>
        <v>172.64500000000001</v>
      </c>
      <c r="H66" s="69">
        <f>365*'Jul''11 Envestra'!J51/100</f>
        <v>199.14400000000001</v>
      </c>
      <c r="I66" s="69">
        <f>365*'Jul''11 Envestra'!K51/100</f>
        <v>252.34275000000002</v>
      </c>
      <c r="J66" s="60">
        <f>AVERAGE(C66:I66)</f>
        <v>196.05244999999999</v>
      </c>
    </row>
    <row r="67" spans="1:10" x14ac:dyDescent="0.15">
      <c r="A67" s="62" t="s">
        <v>613</v>
      </c>
      <c r="B67" s="63"/>
      <c r="C67" s="60">
        <f>SUM(C60:C66)</f>
        <v>646.65764899999999</v>
      </c>
      <c r="D67" s="60">
        <f t="shared" ref="D67:I67" si="4">SUM(D60:D66)</f>
        <v>647.821372</v>
      </c>
      <c r="E67" s="60">
        <f t="shared" si="4"/>
        <v>652.97406699999999</v>
      </c>
      <c r="F67" s="60">
        <f t="shared" si="4"/>
        <v>664.04960000000005</v>
      </c>
      <c r="G67" s="60">
        <f t="shared" si="4"/>
        <v>586.31776500000001</v>
      </c>
      <c r="H67" s="60">
        <f t="shared" si="4"/>
        <v>700.36844900000006</v>
      </c>
      <c r="I67" s="60">
        <f t="shared" si="4"/>
        <v>683.69287469999995</v>
      </c>
      <c r="J67" s="64">
        <f>AVERAGE(C67:I67)</f>
        <v>654.55453952857147</v>
      </c>
    </row>
    <row r="69" spans="1:10" x14ac:dyDescent="0.15">
      <c r="A69" s="55" t="s">
        <v>489</v>
      </c>
    </row>
    <row r="71" spans="1:10" x14ac:dyDescent="0.15">
      <c r="A71" s="53" t="s">
        <v>1030</v>
      </c>
      <c r="C71" s="23" t="s">
        <v>1044</v>
      </c>
      <c r="D71" s="23" t="s">
        <v>591</v>
      </c>
      <c r="E71" s="23" t="s">
        <v>555</v>
      </c>
      <c r="F71" s="23" t="s">
        <v>544</v>
      </c>
      <c r="G71" s="23" t="s">
        <v>514</v>
      </c>
      <c r="H71" s="23" t="s">
        <v>615</v>
      </c>
      <c r="I71" s="23" t="s">
        <v>515</v>
      </c>
      <c r="J71" s="57" t="s">
        <v>601</v>
      </c>
    </row>
    <row r="72" spans="1:10" x14ac:dyDescent="0.15">
      <c r="A72" s="40" t="s">
        <v>602</v>
      </c>
      <c r="C72" s="59">
        <f>IF($F5*'Jul''11 SP'!E7/'Jul''11 SP'!E8&gt;='Jul''11 SP'!E11,('Jul''11 SP'!E11*'Jul''11 SP'!E13/100)*'Jul''11 SP'!E8,($F5*'Jul''11 SP'!E7/'Jul''11 SP'!E8*'Jul''11 SP'!E13/100)*'Jul''11 SP'!E8)</f>
        <v>166.19337899999999</v>
      </c>
      <c r="D72" s="59">
        <f>IF($F5*'Jul''11 SP'!F7/'Jul''11 SP'!F8&gt;='Jul''11 SP'!F11,('Jul''11 SP'!F11*'Jul''11 SP'!F13/100)*'Jul''11 SP'!F8,($F5*'Jul''11 SP'!F7/'Jul''11 SP'!F8*'Jul''11 SP'!F13/100)*'Jul''11 SP'!F8)</f>
        <v>110.7392</v>
      </c>
      <c r="E72" s="59">
        <f>IF($F5*'Jul''11 SP'!G7/'Jul''11 SP'!G8&gt;='Jul''11 SP'!G11,('Jul''11 SP'!G11*'Jul''11 SP'!G13/100)*'Jul''11 SP'!G8,($F5*'Jul''11 SP'!G7/'Jul''11 SP'!G8*'Jul''11 SP'!G13/100)*'Jul''11 SP'!G8)</f>
        <v>109.2608</v>
      </c>
      <c r="F72" s="59">
        <f>IF($F5*'Jul''11 SP'!H7/'Jul''11 SP'!H8&gt;='Jul''11 SP'!H11,('Jul''11 SP'!H11*'Jul''11 SP'!H13/100)*'Jul''11 SP'!H8,($F5*'Jul''11 SP'!H7/'Jul''11 SP'!H8*'Jul''11 SP'!H13/100)*'Jul''11 SP'!H8)</f>
        <v>110.72</v>
      </c>
      <c r="G72" s="59">
        <f>IF($F5*'Jul''11 SP'!I7/'Jul''11 SP'!I8&gt;='Jul''11 SP'!I11,('Jul''11 SP'!I11*'Jul''11 SP'!I13/100)*'Jul''11 SP'!I8,($F5*'Jul''11 SP'!I7/'Jul''11 SP'!I8*'Jul''11 SP'!I13/100)*'Jul''11 SP'!I8)</f>
        <v>100.6016</v>
      </c>
      <c r="H72" s="59">
        <f>IF($F5*'Jul''11 SP'!J7/'Jul''11 SP'!J8&gt;='Jul''11 SP'!J11,('Jul''11 SP'!J11*'Jul''11 SP'!J13/100)*'Jul''11 SP'!J8,($F5*'Jul''11 SP'!J7/'Jul''11 SP'!J8*'Jul''11 SP'!J13/100)*'Jul''11 SP'!J8)</f>
        <v>116.93440000000001</v>
      </c>
      <c r="I72" s="59">
        <f>IF($F5*'Jul''11 SP'!K7/'Jul''11 SP'!K8&gt;='Jul''11 SP'!K11,('Jul''11 SP'!K11*'Jul''11 SP'!K13/100)*'Jul''11 SP'!K8,($F5*'Jul''11 SP'!K7/'Jul''11 SP'!K8*'Jul''11 SP'!K13/100)*'Jul''11 SP'!K8)</f>
        <v>123.58016000000002</v>
      </c>
      <c r="J72" s="63"/>
    </row>
    <row r="73" spans="1:10" x14ac:dyDescent="0.15">
      <c r="A73" s="40" t="s">
        <v>603</v>
      </c>
      <c r="C73" s="59">
        <f>IF($F5*'Jul''11 SP'!E7/'Jul''11 SP'!E8&lt;'Jul''11 SP'!E11,0,IF($F5*'Jul''11 SP'!E7/'Jul''11 SP'!E8&lt;='Jul''11 SP'!E12,($F5*'Jul''11 SP'!E7/'Jul''11 SP'!E8-'Jul''11 SP'!E11)*('Jul''11 SP'!E14/100)*'Jul''11 SP'!E8,('Jul''11 SP'!E12-'Jul''11 SP'!E11)*('Jul''11 SP'!E14/100)*'Jul''11 SP'!E8))</f>
        <v>0</v>
      </c>
      <c r="D73" s="59">
        <f>IF($F5*'Jul''11 SP'!F7/'Jul''11 SP'!F8&lt;'Jul''11 SP'!F11,0,IF($F5*'Jul''11 SP'!F7/'Jul''11 SP'!F8&lt;='Jul''11 SP'!F12,($F5*'Jul''11 SP'!F7/'Jul''11 SP'!F8-'Jul''11 SP'!F11)*('Jul''11 SP'!F14/100)*'Jul''11 SP'!F8,('Jul''11 SP'!F12-'Jul''11 SP'!F11)*('Jul''11 SP'!F14/100)*'Jul''11 SP'!F8))</f>
        <v>0</v>
      </c>
      <c r="E73" s="59">
        <f>IF($F5*'Jul''11 SP'!G7/'Jul''11 SP'!G8&lt;'Jul''11 SP'!G11,0,IF($F5*'Jul''11 SP'!G7/'Jul''11 SP'!G8&lt;='Jul''11 SP'!G12,($F5*'Jul''11 SP'!G7/'Jul''11 SP'!G8-'Jul''11 SP'!G11)*('Jul''11 SP'!G14/100)*'Jul''11 SP'!G8,('Jul''11 SP'!G12-'Jul''11 SP'!G11)*('Jul''11 SP'!G14/100)*'Jul''11 SP'!G8))</f>
        <v>0</v>
      </c>
      <c r="F73" s="59">
        <f>IF($F5*'Jul''11 SP'!H7/'Jul''11 SP'!H8&lt;'Jul''11 SP'!H11,0,IF($F5*'Jul''11 SP'!H7/'Jul''11 SP'!H8&lt;='Jul''11 SP'!H12,($F5*'Jul''11 SP'!H7/'Jul''11 SP'!H8-'Jul''11 SP'!H11)*('Jul''11 SP'!H14/100)*'Jul''11 SP'!H8,('Jul''11 SP'!H12-'Jul''11 SP'!H11)*('Jul''11 SP'!H14/100)*'Jul''11 SP'!H8))</f>
        <v>0</v>
      </c>
      <c r="G73" s="59">
        <f>IF($F5*'Jul''11 SP'!I7/'Jul''11 SP'!I8&lt;'Jul''11 SP'!I11,0,IF($F5*'Jul''11 SP'!I7/'Jul''11 SP'!I8&lt;='Jul''11 SP'!I12,($F5*'Jul''11 SP'!I7/'Jul''11 SP'!I8-'Jul''11 SP'!I11)*('Jul''11 SP'!I14/100)*'Jul''11 SP'!I8,('Jul''11 SP'!I12-'Jul''11 SP'!I11)*('Jul''11 SP'!I14/100)*'Jul''11 SP'!I8))</f>
        <v>0</v>
      </c>
      <c r="H73" s="59">
        <f>IF($F5*'Jul''11 SP'!J7/'Jul''11 SP'!J8&lt;'Jul''11 SP'!J11,0,IF($F5*'Jul''11 SP'!J7/'Jul''11 SP'!J8&lt;='Jul''11 SP'!J12,($F5*'Jul''11 SP'!J7/'Jul''11 SP'!J8-'Jul''11 SP'!J11)*('Jul''11 SP'!J14/100)*'Jul''11 SP'!J8,('Jul''11 SP'!J12-'Jul''11 SP'!J11)*('Jul''11 SP'!J14/100)*'Jul''11 SP'!J8))</f>
        <v>0</v>
      </c>
      <c r="I73" s="59">
        <f>IF($F5*'Jul''11 SP'!K7/'Jul''11 SP'!K8&lt;'Jul''11 SP'!K11,0,IF($F5*'Jul''11 SP'!K7/'Jul''11 SP'!K8&lt;='Jul''11 SP'!K12,($F5*'Jul''11 SP'!K7/'Jul''11 SP'!K8-'Jul''11 SP'!K11)*('Jul''11 SP'!K14/100)*'Jul''11 SP'!K8,('Jul''11 SP'!K12-'Jul''11 SP'!K11)*('Jul''11 SP'!K14/100)*'Jul''11 SP'!K8))</f>
        <v>0</v>
      </c>
      <c r="J73" s="63"/>
    </row>
    <row r="74" spans="1:10" x14ac:dyDescent="0.15">
      <c r="A74" s="40" t="s">
        <v>606</v>
      </c>
      <c r="C74" s="59">
        <f>IF(($F5*'Jul''11 SP'!E7/'Jul''11 SP'!E8&gt;'Jul''11 SP'!E12),($F5*'Jul''11 SP'!E7/'Jul''11 SP'!E8-'Jul''11 SP'!E12)*'Jul''11 SP'!E15/100*'Jul''11 SP'!E8,0)</f>
        <v>0</v>
      </c>
      <c r="D74" s="59">
        <f>IF(($F5*'Jul''11 SP'!F7/'Jul''11 SP'!F8&gt;'Jul''11 SP'!F12),($F5*'Jul''11 SP'!F7/'Jul''11 SP'!F8-'Jul''11 SP'!F12)*'Jul''11 SP'!F15/100*'Jul''11 SP'!F8,0)</f>
        <v>53.445150000000005</v>
      </c>
      <c r="E74" s="59">
        <f>IF(($F5*'Jul''11 SP'!G7/'Jul''11 SP'!G8&gt;'Jul''11 SP'!G12),($F5*'Jul''11 SP'!G7/'Jul''11 SP'!G8-'Jul''11 SP'!G12)*'Jul''11 SP'!G15/100*'Jul''11 SP'!G8,0)</f>
        <v>54.528449000000002</v>
      </c>
      <c r="F74" s="59">
        <f>IF(($F5*'Jul''11 SP'!H7/'Jul''11 SP'!H8&gt;'Jul''11 SP'!H12),($F5*'Jul''11 SP'!H7/'Jul''11 SP'!H8-'Jul''11 SP'!H12)*'Jul''11 SP'!H15/100*'Jul''11 SP'!H8,0)</f>
        <v>56.504300000000001</v>
      </c>
      <c r="G74" s="59">
        <f>IF(($F5*'Jul''11 SP'!I7/'Jul''11 SP'!I8&gt;'Jul''11 SP'!I12),($F5*'Jul''11 SP'!I7/'Jul''11 SP'!I8-'Jul''11 SP'!I12)*'Jul''11 SP'!I15/100*'Jul''11 SP'!I8,0)</f>
        <v>50.515563999999998</v>
      </c>
      <c r="H74" s="59">
        <f>IF(($F5*'Jul''11 SP'!J7/'Jul''11 SP'!J8&gt;'Jul''11 SP'!J12),($F5*'Jul''11 SP'!J7/'Jul''11 SP'!J8-'Jul''11 SP'!J12)*'Jul''11 SP'!J15/100*'Jul''11 SP'!J8,0)</f>
        <v>57.997884999999997</v>
      </c>
      <c r="I74" s="59">
        <f>IF(($F5*'Jul''11 SP'!K7/'Jul''11 SP'!K8&gt;'Jul''11 SP'!K12),($F5*'Jul''11 SP'!K7/'Jul''11 SP'!K8-'Jul''11 SP'!K12)*'Jul''11 SP'!K15/100*'Jul''11 SP'!K8,0)</f>
        <v>58.508583100000003</v>
      </c>
      <c r="J74" s="63"/>
    </row>
    <row r="75" spans="1:10" x14ac:dyDescent="0.15">
      <c r="A75" s="40" t="s">
        <v>607</v>
      </c>
      <c r="C75" s="59">
        <f>IF($F5*'Jul''11 SP'!E9/'Jul''11 SP'!E10&gt;='Jul''11 SP'!E11,('Jul''11 SP'!E11*'Jul''11 SP'!E16/100)*'Jul''11 SP'!E10,($F5*'Jul''11 SP'!E9/'Jul''11 SP'!E10*'Jul''11 SP'!E16/100)*'Jul''11 SP'!E10)</f>
        <v>278.05219200000005</v>
      </c>
      <c r="D75" s="59">
        <f>IF($F5*'Jul''11 SP'!F9/'Jul''11 SP'!F10&gt;='Jul''11 SP'!F11,('Jul''11 SP'!F11*'Jul''11 SP'!F16/100)*'Jul''11 SP'!F10,($F5*'Jul''11 SP'!F9/'Jul''11 SP'!F10*'Jul''11 SP'!F16/100)*'Jul''11 SP'!F10)</f>
        <v>188.3904</v>
      </c>
      <c r="E75" s="59">
        <f>IF($F5*'Jul''11 SP'!G9/'Jul''11 SP'!G10&gt;='Jul''11 SP'!G11,('Jul''11 SP'!G11*'Jul''11 SP'!G16/100)*'Jul''11 SP'!G10,($F5*'Jul''11 SP'!G9/'Jul''11 SP'!G10*'Jul''11 SP'!G16/100)*'Jul''11 SP'!G10)</f>
        <v>187.1104</v>
      </c>
      <c r="F75" s="59">
        <f>IF($F5*'Jul''11 SP'!H9/'Jul''11 SP'!H10&gt;='Jul''11 SP'!H11,('Jul''11 SP'!H11*'Jul''11 SP'!H16/100)*'Jul''11 SP'!H10,($F5*'Jul''11 SP'!H9/'Jul''11 SP'!H10*'Jul''11 SP'!H16/100)*'Jul''11 SP'!H10)</f>
        <v>197.12</v>
      </c>
      <c r="G75" s="59">
        <f>IF($F5*'Jul''11 SP'!I9/'Jul''11 SP'!I10&gt;='Jul''11 SP'!I11,('Jul''11 SP'!I11*'Jul''11 SP'!I16/100)*'Jul''11 SP'!I10,($F5*'Jul''11 SP'!I9/'Jul''11 SP'!I10*'Jul''11 SP'!I16/100)*'Jul''11 SP'!I10)</f>
        <v>170.36799999999999</v>
      </c>
      <c r="H75" s="59">
        <f>IF($F5*'Jul''11 SP'!J9/'Jul''11 SP'!J10&gt;='Jul''11 SP'!J11,('Jul''11 SP'!J11*'Jul''11 SP'!J16/100)*'Jul''11 SP'!J10,($F5*'Jul''11 SP'!J9/'Jul''11 SP'!J10*'Jul''11 SP'!J16/100)*'Jul''11 SP'!J10)</f>
        <v>198.80959999999999</v>
      </c>
      <c r="I75" s="59">
        <f>IF($F5*'Jul''11 SP'!K9/'Jul''11 SP'!K10&gt;='Jul''11 SP'!K11,('Jul''11 SP'!K11*'Jul''11 SP'!K16/100)*'Jul''11 SP'!K10,($F5*'Jul''11 SP'!K9/'Jul''11 SP'!K10*'Jul''11 SP'!K16/100)*'Jul''11 SP'!K10)</f>
        <v>209.94687999999999</v>
      </c>
      <c r="J75" s="63"/>
    </row>
    <row r="76" spans="1:10" x14ac:dyDescent="0.15">
      <c r="A76" s="40" t="s">
        <v>608</v>
      </c>
      <c r="C76" s="59">
        <f>IF($F5*'Jul''11 SP'!E9/'Jul''11 SP'!E10&lt;'Jul''11 SP'!E11,0,IF($F5*'Jul''11 SP'!E9/'Jul''11 SP'!E10&lt;='Jul''11 SP'!E12,($F5*'Jul''11 SP'!E9/'Jul''11 SP'!E10-'Jul''11 SP'!E11)*('Jul''11 SP'!E17/100)*'Jul''11 SP'!E10,('Jul''11 SP'!E12-'Jul''11 SP'!E11)*('Jul''11 SP'!E17/100)*'Jul''11 SP'!E10))</f>
        <v>0</v>
      </c>
      <c r="D76" s="59">
        <f>IF($F5*'Jul''11 SP'!F9/'Jul''11 SP'!F10&lt;'Jul''11 SP'!F11,0,IF($F5*'Jul''11 SP'!F9/'Jul''11 SP'!F10&lt;='Jul''11 SP'!F12,($F5*'Jul''11 SP'!F9/'Jul''11 SP'!F10-'Jul''11 SP'!F11)*('Jul''11 SP'!F17/100)*'Jul''11 SP'!F10,('Jul''11 SP'!F12-'Jul''11 SP'!F11)*('Jul''11 SP'!F17/100)*'Jul''11 SP'!F10))</f>
        <v>0</v>
      </c>
      <c r="E76" s="59">
        <f>IF($F5*'Jul''11 SP'!G9/'Jul''11 SP'!G10&lt;'Jul''11 SP'!G11,0,IF($F5*'Jul''11 SP'!G9/'Jul''11 SP'!G10&lt;='Jul''11 SP'!G12,($F5*'Jul''11 SP'!G9/'Jul''11 SP'!G10-'Jul''11 SP'!G11)*('Jul''11 SP'!G17/100)*'Jul''11 SP'!G10,('Jul''11 SP'!G12-'Jul''11 SP'!G11)*('Jul''11 SP'!G17/100)*'Jul''11 SP'!G10))</f>
        <v>0</v>
      </c>
      <c r="F76" s="59">
        <f>IF($F5*'Jul''11 SP'!H9/'Jul''11 SP'!H10&lt;'Jul''11 SP'!H11,0,IF($F5*'Jul''11 SP'!H9/'Jul''11 SP'!H10&lt;='Jul''11 SP'!H12,($F5*'Jul''11 SP'!H9/'Jul''11 SP'!H10-'Jul''11 SP'!H11)*('Jul''11 SP'!H17/100)*'Jul''11 SP'!H10,('Jul''11 SP'!H12-'Jul''11 SP'!H11)*('Jul''11 SP'!H17/100)*'Jul''11 SP'!H10))</f>
        <v>0</v>
      </c>
      <c r="G76" s="59">
        <f>IF($F5*'Jul''11 SP'!I9/'Jul''11 SP'!I10&lt;'Jul''11 SP'!I11,0,IF($F5*'Jul''11 SP'!I9/'Jul''11 SP'!I10&lt;='Jul''11 SP'!I12,($F5*'Jul''11 SP'!I9/'Jul''11 SP'!I10-'Jul''11 SP'!I11)*('Jul''11 SP'!I17/100)*'Jul''11 SP'!I10,('Jul''11 SP'!I12-'Jul''11 SP'!I11)*('Jul''11 SP'!I17/100)*'Jul''11 SP'!I10))</f>
        <v>0</v>
      </c>
      <c r="H76" s="59">
        <f>IF($F5*'Jul''11 SP'!J9/'Jul''11 SP'!J10&lt;'Jul''11 SP'!J11,0,IF($F5*'Jul''11 SP'!J9/'Jul''11 SP'!J10&lt;='Jul''11 SP'!J12,($F5*'Jul''11 SP'!J9/'Jul''11 SP'!J10-'Jul''11 SP'!J11)*('Jul''11 SP'!J17/100)*'Jul''11 SP'!J10,('Jul''11 SP'!J12-'Jul''11 SP'!J11)*('Jul''11 SP'!J17/100)*'Jul''11 SP'!J10))</f>
        <v>0</v>
      </c>
      <c r="I76" s="59">
        <f>IF($F5*'Jul''11 SP'!K9/'Jul''11 SP'!K10&lt;'Jul''11 SP'!K11,0,IF($F5*'Jul''11 SP'!K9/'Jul''11 SP'!K10&lt;='Jul''11 SP'!K12,($F5*'Jul''11 SP'!K9/'Jul''11 SP'!K10-'Jul''11 SP'!K11)*('Jul''11 SP'!K17/100)*'Jul''11 SP'!K10,('Jul''11 SP'!K12-'Jul''11 SP'!K11)*('Jul''11 SP'!K17/100)*'Jul''11 SP'!K10))</f>
        <v>0</v>
      </c>
      <c r="J76" s="63"/>
    </row>
    <row r="77" spans="1:10" x14ac:dyDescent="0.15">
      <c r="A77" s="40" t="s">
        <v>611</v>
      </c>
      <c r="C77" s="59">
        <f>IF(($F5*'Jul''11 SP'!E9/'Jul''11 SP'!E10&gt;'Jul''11 SP'!E12),($F5*'Jul''11 SP'!E9/'Jul''11 SP'!E10-'Jul''11 SP'!E12)*'Jul''11 SP'!E18/100*'Jul''11 SP'!E10,0)</f>
        <v>0</v>
      </c>
      <c r="D77" s="59">
        <f>IF(($F5*'Jul''11 SP'!F9/'Jul''11 SP'!F10&gt;'Jul''11 SP'!F12),($F5*'Jul''11 SP'!F9/'Jul''11 SP'!F10-'Jul''11 SP'!F12)*'Jul''11 SP'!F18/100*'Jul''11 SP'!F10,0)</f>
        <v>92.875793999999999</v>
      </c>
      <c r="E77" s="59">
        <f>IF(($F5*'Jul''11 SP'!G9/'Jul''11 SP'!G10&gt;'Jul''11 SP'!G12),($F5*'Jul''11 SP'!G9/'Jul''11 SP'!G10-'Jul''11 SP'!G12)*'Jul''11 SP'!G18/100*'Jul''11 SP'!G10,0)</f>
        <v>92.163191999999995</v>
      </c>
      <c r="F77" s="59">
        <f>IF(($F5*'Jul''11 SP'!H9/'Jul''11 SP'!H10&gt;'Jul''11 SP'!H12),($F5*'Jul''11 SP'!H9/'Jul''11 SP'!H10-'Jul''11 SP'!H12)*'Jul''11 SP'!H18/100*'Jul''11 SP'!H10,0)</f>
        <v>97.173000000000016</v>
      </c>
      <c r="G77" s="59">
        <f>IF(($F5*'Jul''11 SP'!I9/'Jul''11 SP'!I10&gt;'Jul''11 SP'!I12),($F5*'Jul''11 SP'!I9/'Jul''11 SP'!I10-'Jul''11 SP'!I12)*'Jul''11 SP'!I18/100*'Jul''11 SP'!I10,0)</f>
        <v>82.899365999999986</v>
      </c>
      <c r="H77" s="59">
        <f>IF(($F5*'Jul''11 SP'!J9/'Jul''11 SP'!J10&gt;'Jul''11 SP'!J12),($F5*'Jul''11 SP'!J9/'Jul''11 SP'!J10-'Jul''11 SP'!J12)*'Jul''11 SP'!J18/100*'Jul''11 SP'!J10,0)</f>
        <v>98.497432000000003</v>
      </c>
      <c r="I77" s="59">
        <f>IF(($F5*'Jul''11 SP'!K9/'Jul''11 SP'!K10&gt;'Jul''11 SP'!K12),($F5*'Jul''11 SP'!K9/'Jul''11 SP'!K10-'Jul''11 SP'!K12)*'Jul''11 SP'!K18/100*'Jul''11 SP'!K10,0)</f>
        <v>118.06231579999999</v>
      </c>
      <c r="J77" s="63"/>
    </row>
    <row r="78" spans="1:10" x14ac:dyDescent="0.15">
      <c r="A78" s="40" t="s">
        <v>612</v>
      </c>
      <c r="C78" s="59">
        <f>365*'Jul''11 SP'!E19/100</f>
        <v>177.66374999999999</v>
      </c>
      <c r="D78" s="59">
        <f>365*'Jul''11 SP'!F19/100</f>
        <v>174.21084999999999</v>
      </c>
      <c r="E78" s="59">
        <f>365*'Jul''11 SP'!G19/100</f>
        <v>175.30950000000001</v>
      </c>
      <c r="F78" s="59">
        <f>365*'Jul''11 SP'!H19/100</f>
        <v>184.69</v>
      </c>
      <c r="G78" s="59">
        <f>365*'Jul''11 SP'!I19/100</f>
        <v>160.6</v>
      </c>
      <c r="H78" s="59">
        <f>365*'Jul''11 SP'!J19/100</f>
        <v>184.28850000000003</v>
      </c>
      <c r="I78" s="59">
        <f>365*'Jul''11 SP'!K19/100</f>
        <v>4.6461580000000007</v>
      </c>
      <c r="J78" s="60">
        <f>AVERAGE(C78:I78)</f>
        <v>151.62982257142858</v>
      </c>
    </row>
    <row r="79" spans="1:10" x14ac:dyDescent="0.15">
      <c r="A79" s="62" t="s">
        <v>613</v>
      </c>
      <c r="B79" s="63"/>
      <c r="C79" s="60">
        <f>SUM(C72:C78)</f>
        <v>621.90932100000009</v>
      </c>
      <c r="D79" s="60">
        <f t="shared" ref="D79:I79" si="5">SUM(D72:D78)</f>
        <v>619.66139399999997</v>
      </c>
      <c r="E79" s="60">
        <f t="shared" si="5"/>
        <v>618.37234100000001</v>
      </c>
      <c r="F79" s="60">
        <f t="shared" si="5"/>
        <v>646.20730000000003</v>
      </c>
      <c r="G79" s="60">
        <f t="shared" si="5"/>
        <v>564.98452999999995</v>
      </c>
      <c r="H79" s="60">
        <f t="shared" si="5"/>
        <v>656.52781700000003</v>
      </c>
      <c r="I79" s="60">
        <f t="shared" si="5"/>
        <v>514.74409690000005</v>
      </c>
      <c r="J79" s="64">
        <f>AVERAGE(C79:I79)</f>
        <v>606.05811427142851</v>
      </c>
    </row>
    <row r="81" spans="1:10" x14ac:dyDescent="0.15">
      <c r="A81" s="53" t="s">
        <v>1032</v>
      </c>
      <c r="C81" s="23" t="s">
        <v>1044</v>
      </c>
      <c r="D81" s="23" t="s">
        <v>591</v>
      </c>
      <c r="E81" s="23" t="s">
        <v>555</v>
      </c>
      <c r="F81" s="23" t="s">
        <v>544</v>
      </c>
      <c r="G81" s="23" t="s">
        <v>514</v>
      </c>
      <c r="H81" s="23" t="s">
        <v>615</v>
      </c>
      <c r="I81" s="23" t="s">
        <v>515</v>
      </c>
      <c r="J81" s="57" t="s">
        <v>601</v>
      </c>
    </row>
    <row r="82" spans="1:10" x14ac:dyDescent="0.15">
      <c r="A82" s="40" t="s">
        <v>602</v>
      </c>
      <c r="C82" s="59">
        <f>IF($F5*'Jul''11 SP'!E23/'Jul''11 SP'!E24&gt;='Jul''11 SP'!E27,('Jul''11 SP'!E27*'Jul''11 SP'!E29/100)*'Jul''11 SP'!E24,($F5*'Jul''11 SP'!E23/'Jul''11 SP'!E24*'Jul''11 SP'!E29/100)*'Jul''11 SP'!E24)</f>
        <v>178.73212500000002</v>
      </c>
      <c r="D82" s="59">
        <f>IF($F5*'Jul''11 SP'!F23/'Jul''11 SP'!F24&gt;='Jul''11 SP'!F27,('Jul''11 SP'!F27*'Jul''11 SP'!F29/100)*'Jul''11 SP'!F24,($F5*'Jul''11 SP'!F23/'Jul''11 SP'!F24*'Jul''11 SP'!F29/100)*'Jul''11 SP'!F24)</f>
        <v>134.05700000000002</v>
      </c>
      <c r="E82" s="59">
        <f>IF($F5*'Jul''11 SP'!G23/'Jul''11 SP'!G24&gt;='Jul''11 SP'!G27,('Jul''11 SP'!G27*'Jul''11 SP'!G29/100)*'Jul''11 SP'!G24,($F5*'Jul''11 SP'!G23/'Jul''11 SP'!G24*'Jul''11 SP'!G29/100)*'Jul''11 SP'!G24)</f>
        <v>123.24199999999999</v>
      </c>
      <c r="F82" s="59">
        <f>IF($F5*'Jul''11 SP'!H23/'Jul''11 SP'!H24&gt;='Jul''11 SP'!H27,('Jul''11 SP'!H27*'Jul''11 SP'!H29/100)*'Jul''11 SP'!H24,($F5*'Jul''11 SP'!H23/'Jul''11 SP'!H24*'Jul''11 SP'!H29/100)*'Jul''11 SP'!H24)</f>
        <v>129.5</v>
      </c>
      <c r="G82" s="59">
        <f>IF($F5*'Jul''11 SP'!I23/'Jul''11 SP'!I24&gt;='Jul''11 SP'!I27,('Jul''11 SP'!I27*'Jul''11 SP'!I29/100)*'Jul''11 SP'!I24,($F5*'Jul''11 SP'!I23/'Jul''11 SP'!I24*'Jul''11 SP'!I29/100)*'Jul''11 SP'!I24)</f>
        <v>110.649</v>
      </c>
      <c r="H82" s="59">
        <f>IF($F5*'Jul''11 SP'!J23/'Jul''11 SP'!J24&gt;='Jul''11 SP'!J27,('Jul''11 SP'!J27*'Jul''11 SP'!J29/100)*'Jul''11 SP'!J24,($F5*'Jul''11 SP'!J23/'Jul''11 SP'!J24*'Jul''11 SP'!J29/100)*'Jul''11 SP'!J24)</f>
        <v>140.679</v>
      </c>
      <c r="I82" s="59">
        <f>IF($F5*'Jul''11 SP'!K23/'Jul''11 SP'!K24&gt;='Jul''11 SP'!K27,('Jul''11 SP'!K27*'Jul''11 SP'!K29/100)*'Jul''11 SP'!K24,($F5*'Jul''11 SP'!K23/'Jul''11 SP'!K24*'Jul''11 SP'!K29/100)*'Jul''11 SP'!K24)</f>
        <v>139.95519999999999</v>
      </c>
      <c r="J82" s="63"/>
    </row>
    <row r="83" spans="1:10" x14ac:dyDescent="0.15">
      <c r="A83" s="40" t="s">
        <v>603</v>
      </c>
      <c r="C83" s="59">
        <f>IF($F5*'Jul''11 SP'!E23/'Jul''11 SP'!E24&lt;'Jul''11 SP'!E27,0,IF($F5*'Jul''11 SP'!E23/'Jul''11 SP'!E24&lt;='Jul''11 SP'!E28,($F5*'Jul''11 SP'!E23/'Jul''11 SP'!E24-'Jul''11 SP'!E27)*('Jul''11 SP'!E30/100)*'Jul''11 SP'!E24,('Jul''11 SP'!E28-'Jul''11 SP'!E27)*('Jul''11 SP'!E30/100)*'Jul''11 SP'!E24))</f>
        <v>0</v>
      </c>
      <c r="D83" s="59">
        <f>IF($F5*'Jul''11 SP'!F23/'Jul''11 SP'!F24&lt;'Jul''11 SP'!F27,0,IF($F5*'Jul''11 SP'!F23/'Jul''11 SP'!F24&lt;='Jul''11 SP'!F28,($F5*'Jul''11 SP'!F23/'Jul''11 SP'!F24-'Jul''11 SP'!F27)*('Jul''11 SP'!F30/100)*'Jul''11 SP'!F24,('Jul''11 SP'!F28-'Jul''11 SP'!F27)*('Jul''11 SP'!F30/100)*'Jul''11 SP'!F24))</f>
        <v>0</v>
      </c>
      <c r="E83" s="59">
        <f>IF($F5*'Jul''11 SP'!G23/'Jul''11 SP'!G24&lt;'Jul''11 SP'!G27,0,IF($F5*'Jul''11 SP'!G23/'Jul''11 SP'!G24&lt;='Jul''11 SP'!G28,($F5*'Jul''11 SP'!G23/'Jul''11 SP'!G24-'Jul''11 SP'!G27)*('Jul''11 SP'!G30/100)*'Jul''11 SP'!G24,('Jul''11 SP'!G28-'Jul''11 SP'!G27)*('Jul''11 SP'!G30/100)*'Jul''11 SP'!G24))</f>
        <v>0</v>
      </c>
      <c r="F83" s="59">
        <f>IF($F5*'Jul''11 SP'!H23/'Jul''11 SP'!H24&lt;'Jul''11 SP'!H27,0,IF($F5*'Jul''11 SP'!H23/'Jul''11 SP'!H24&lt;='Jul''11 SP'!H28,($F5*'Jul''11 SP'!H23/'Jul''11 SP'!H24-'Jul''11 SP'!H27)*('Jul''11 SP'!H30/100)*'Jul''11 SP'!H24,('Jul''11 SP'!H28-'Jul''11 SP'!H27)*('Jul''11 SP'!H30/100)*'Jul''11 SP'!H24))</f>
        <v>0</v>
      </c>
      <c r="G83" s="59">
        <f>IF($F5*'Jul''11 SP'!I23/'Jul''11 SP'!I24&lt;'Jul''11 SP'!I27,0,IF($F5*'Jul''11 SP'!I23/'Jul''11 SP'!I24&lt;='Jul''11 SP'!I28,($F5*'Jul''11 SP'!I23/'Jul''11 SP'!I24-'Jul''11 SP'!I27)*('Jul''11 SP'!I30/100)*'Jul''11 SP'!I24,('Jul''11 SP'!I28-'Jul''11 SP'!I27)*('Jul''11 SP'!I30/100)*'Jul''11 SP'!I24))</f>
        <v>0</v>
      </c>
      <c r="H83" s="59">
        <f>IF($F5*'Jul''11 SP'!J23/'Jul''11 SP'!J24&lt;'Jul''11 SP'!J27,0,IF($F5*'Jul''11 SP'!J23/'Jul''11 SP'!J24&lt;='Jul''11 SP'!J28,($F5*'Jul''11 SP'!J23/'Jul''11 SP'!J24-'Jul''11 SP'!J27)*('Jul''11 SP'!J30/100)*'Jul''11 SP'!J24,('Jul''11 SP'!J28-'Jul''11 SP'!J27)*('Jul''11 SP'!J30/100)*'Jul''11 SP'!J24))</f>
        <v>0</v>
      </c>
      <c r="I83" s="59">
        <f>IF($F5*'Jul''11 SP'!K23/'Jul''11 SP'!K24&lt;'Jul''11 SP'!K27,0,IF($F5*'Jul''11 SP'!K23/'Jul''11 SP'!K24&lt;='Jul''11 SP'!K28,($F5*'Jul''11 SP'!K23/'Jul''11 SP'!K24-'Jul''11 SP'!K27)*('Jul''11 SP'!K30/100)*'Jul''11 SP'!K24,('Jul''11 SP'!K28-'Jul''11 SP'!K27)*('Jul''11 SP'!K30/100)*'Jul''11 SP'!K24))</f>
        <v>0</v>
      </c>
      <c r="J83" s="63"/>
    </row>
    <row r="84" spans="1:10" x14ac:dyDescent="0.15">
      <c r="A84" s="40" t="s">
        <v>606</v>
      </c>
      <c r="C84" s="59">
        <f>IF(($F5*'Jul''11 SP'!E23/'Jul''11 SP'!E24&gt;'Jul''11 SP'!E28),($F5*'Jul''11 SP'!E23/'Jul''11 SP'!E24-'Jul''11 SP'!E28)*'Jul''11 SP'!E31/100*'Jul''11 SP'!E24,0)</f>
        <v>0</v>
      </c>
      <c r="D84" s="59">
        <f>IF(($F5*'Jul''11 SP'!F23/'Jul''11 SP'!F24&gt;'Jul''11 SP'!F28),($F5*'Jul''11 SP'!F23/'Jul''11 SP'!F24-'Jul''11 SP'!F28)*'Jul''11 SP'!F31/100*'Jul''11 SP'!F24,0)</f>
        <v>45.722753999999995</v>
      </c>
      <c r="E84" s="59">
        <f>IF(($F5*'Jul''11 SP'!G23/'Jul''11 SP'!G24&gt;'Jul''11 SP'!G28),($F5*'Jul''11 SP'!G23/'Jul''11 SP'!G24-'Jul''11 SP'!G28)*'Jul''11 SP'!G31/100*'Jul''11 SP'!G24,0)</f>
        <v>47.360208</v>
      </c>
      <c r="F84" s="59">
        <f>IF(($F5*'Jul''11 SP'!H23/'Jul''11 SP'!H24&gt;'Jul''11 SP'!H28),($F5*'Jul''11 SP'!H23/'Jul''11 SP'!H24-'Jul''11 SP'!H28)*'Jul''11 SP'!H31/100*'Jul''11 SP'!H24,0)</f>
        <v>50.083300000000001</v>
      </c>
      <c r="G84" s="59">
        <f>IF(($F5*'Jul''11 SP'!I23/'Jul''11 SP'!I24&gt;'Jul''11 SP'!I28),($F5*'Jul''11 SP'!I23/'Jul''11 SP'!I24-'Jul''11 SP'!I28)*'Jul''11 SP'!I31/100*'Jul''11 SP'!I24,0)</f>
        <v>43.281568</v>
      </c>
      <c r="H84" s="59">
        <f>IF(($F5*'Jul''11 SP'!J23/'Jul''11 SP'!J24&gt;'Jul''11 SP'!J28),($F5*'Jul''11 SP'!J23/'Jul''11 SP'!J24-'Jul''11 SP'!J28)*'Jul''11 SP'!J31/100*'Jul''11 SP'!J24,0)</f>
        <v>53.706091999999998</v>
      </c>
      <c r="I84" s="59">
        <f>IF(($F5*'Jul''11 SP'!K23/'Jul''11 SP'!K24&gt;'Jul''11 SP'!K28),($F5*'Jul''11 SP'!K23/'Jul''11 SP'!K24-'Jul''11 SP'!K28)*'Jul''11 SP'!K31/100*'Jul''11 SP'!K24,0)</f>
        <v>51.914789300000002</v>
      </c>
      <c r="J84" s="63"/>
    </row>
    <row r="85" spans="1:10" x14ac:dyDescent="0.15">
      <c r="A85" s="40" t="s">
        <v>607</v>
      </c>
      <c r="C85" s="59">
        <f>IF($F5*'Jul''11 SP'!E25/'Jul''11 SP'!E26&gt;='Jul''11 SP'!E27,('Jul''11 SP'!E27*'Jul''11 SP'!E32/100)*'Jul''11 SP'!E26,($F5*'Jul''11 SP'!E25/'Jul''11 SP'!E26*'Jul''11 SP'!E32/100)*'Jul''11 SP'!E26)</f>
        <v>312.58873799999998</v>
      </c>
      <c r="D85" s="59">
        <f>IF($F5*'Jul''11 SP'!F25/'Jul''11 SP'!F26&gt;='Jul''11 SP'!F27,('Jul''11 SP'!F27*'Jul''11 SP'!F32/100)*'Jul''11 SP'!F26,($F5*'Jul''11 SP'!F25/'Jul''11 SP'!F26*'Jul''11 SP'!F32/100)*'Jul''11 SP'!F26)</f>
        <v>219.75800000000004</v>
      </c>
      <c r="E85" s="59">
        <f>IF($F5*'Jul''11 SP'!G25/'Jul''11 SP'!G26&gt;='Jul''11 SP'!G27,('Jul''11 SP'!G27*'Jul''11 SP'!G32/100)*'Jul''11 SP'!G26,($F5*'Jul''11 SP'!G25/'Jul''11 SP'!G26*'Jul''11 SP'!G32/100)*'Jul''11 SP'!G26)</f>
        <v>204.65200000000002</v>
      </c>
      <c r="F85" s="59">
        <f>IF($F5*'Jul''11 SP'!H25/'Jul''11 SP'!H26&gt;='Jul''11 SP'!H27,('Jul''11 SP'!H27*'Jul''11 SP'!H32/100)*'Jul''11 SP'!H26,($F5*'Jul''11 SP'!H25/'Jul''11 SP'!H26*'Jul''11 SP'!H32/100)*'Jul''11 SP'!H26)</f>
        <v>219.8</v>
      </c>
      <c r="G85" s="59">
        <f>IF($F5*'Jul''11 SP'!I25/'Jul''11 SP'!I26&gt;='Jul''11 SP'!I27,('Jul''11 SP'!I27*'Jul''11 SP'!I32/100)*'Jul''11 SP'!I26,($F5*'Jul''11 SP'!I25/'Jul''11 SP'!I26*'Jul''11 SP'!I32/100)*'Jul''11 SP'!I26)</f>
        <v>185.57</v>
      </c>
      <c r="H85" s="59">
        <f>IF($F5*'Jul''11 SP'!J25/'Jul''11 SP'!J26&gt;='Jul''11 SP'!J27,('Jul''11 SP'!J27*'Jul''11 SP'!J32/100)*'Jul''11 SP'!J26,($F5*'Jul''11 SP'!J25/'Jul''11 SP'!J26*'Jul''11 SP'!J32/100)*'Jul''11 SP'!J26)</f>
        <v>230.84600000000003</v>
      </c>
      <c r="I85" s="59">
        <f>IF($F5*'Jul''11 SP'!K25/'Jul''11 SP'!K26&gt;='Jul''11 SP'!K27,('Jul''11 SP'!K27*'Jul''11 SP'!K32/100)*'Jul''11 SP'!K26,($F5*'Jul''11 SP'!K25/'Jul''11 SP'!K26*'Jul''11 SP'!K32/100)*'Jul''11 SP'!K26)</f>
        <v>245.66080000000002</v>
      </c>
      <c r="J85" s="63"/>
    </row>
    <row r="86" spans="1:10" x14ac:dyDescent="0.15">
      <c r="A86" s="40" t="s">
        <v>608</v>
      </c>
      <c r="C86" s="59">
        <f>IF($F5*'Jul''11 SP'!E25/'Jul''11 SP'!E26&lt;'Jul''11 SP'!E27,0,IF($F5*'Jul''11 SP'!E25/'Jul''11 SP'!E26&lt;='Jul''11 SP'!E28,($F5*'Jul''11 SP'!E25/'Jul''11 SP'!E26-'Jul''11 SP'!E27)*('Jul''11 SP'!E33/100)*'Jul''11 SP'!E26,('Jul''11 SP'!E28-'Jul''11 SP'!E27)*('Jul''11 SP'!E33/100)*'Jul''11 SP'!E26))</f>
        <v>0</v>
      </c>
      <c r="D86" s="59">
        <f>IF($F5*'Jul''11 SP'!F25/'Jul''11 SP'!F26&lt;'Jul''11 SP'!F27,0,IF($F5*'Jul''11 SP'!F25/'Jul''11 SP'!F26&lt;='Jul''11 SP'!F28,($F5*'Jul''11 SP'!F25/'Jul''11 SP'!F26-'Jul''11 SP'!F27)*('Jul''11 SP'!F33/100)*'Jul''11 SP'!F26,('Jul''11 SP'!F28-'Jul''11 SP'!F27)*('Jul''11 SP'!F33/100)*'Jul''11 SP'!F26))</f>
        <v>0</v>
      </c>
      <c r="E86" s="59">
        <f>IF($F5*'Jul''11 SP'!G25/'Jul''11 SP'!G26&lt;'Jul''11 SP'!G27,0,IF($F5*'Jul''11 SP'!G25/'Jul''11 SP'!G26&lt;='Jul''11 SP'!G28,($F5*'Jul''11 SP'!G25/'Jul''11 SP'!G26-'Jul''11 SP'!G27)*('Jul''11 SP'!G33/100)*'Jul''11 SP'!G26,('Jul''11 SP'!G28-'Jul''11 SP'!G27)*('Jul''11 SP'!G33/100)*'Jul''11 SP'!G26))</f>
        <v>0</v>
      </c>
      <c r="F86" s="59">
        <f>IF($F5*'Jul''11 SP'!H25/'Jul''11 SP'!H26&lt;'Jul''11 SP'!H27,0,IF($F5*'Jul''11 SP'!H25/'Jul''11 SP'!H26&lt;='Jul''11 SP'!H28,($F5*'Jul''11 SP'!H25/'Jul''11 SP'!H26-'Jul''11 SP'!H27)*('Jul''11 SP'!H33/100)*'Jul''11 SP'!H26,('Jul''11 SP'!H28-'Jul''11 SP'!H27)*('Jul''11 SP'!H33/100)*'Jul''11 SP'!H26))</f>
        <v>0</v>
      </c>
      <c r="G86" s="59">
        <f>IF($F5*'Jul''11 SP'!I25/'Jul''11 SP'!I26&lt;'Jul''11 SP'!I27,0,IF($F5*'Jul''11 SP'!I25/'Jul''11 SP'!I26&lt;='Jul''11 SP'!I28,($F5*'Jul''11 SP'!I25/'Jul''11 SP'!I26-'Jul''11 SP'!I27)*('Jul''11 SP'!I33/100)*'Jul''11 SP'!I26,('Jul''11 SP'!I28-'Jul''11 SP'!I27)*('Jul''11 SP'!I33/100)*'Jul''11 SP'!I26))</f>
        <v>0</v>
      </c>
      <c r="H86" s="59">
        <f>IF($F5*'Jul''11 SP'!J25/'Jul''11 SP'!J26&lt;'Jul''11 SP'!J27,0,IF($F5*'Jul''11 SP'!J25/'Jul''11 SP'!J26&lt;='Jul''11 SP'!J28,($F5*'Jul''11 SP'!J25/'Jul''11 SP'!J26-'Jul''11 SP'!J27)*('Jul''11 SP'!J33/100)*'Jul''11 SP'!J26,('Jul''11 SP'!J28-'Jul''11 SP'!J27)*('Jul''11 SP'!J33/100)*'Jul''11 SP'!J26))</f>
        <v>0</v>
      </c>
      <c r="I86" s="59">
        <f>IF($F5*'Jul''11 SP'!K25/'Jul''11 SP'!K26&lt;'Jul''11 SP'!K27,0,IF($F5*'Jul''11 SP'!K25/'Jul''11 SP'!K26&lt;='Jul''11 SP'!K28,($F5*'Jul''11 SP'!K25/'Jul''11 SP'!K26-'Jul''11 SP'!K27)*('Jul''11 SP'!K33/100)*'Jul''11 SP'!K26,('Jul''11 SP'!K28-'Jul''11 SP'!K27)*('Jul''11 SP'!K33/100)*'Jul''11 SP'!K26))</f>
        <v>0</v>
      </c>
      <c r="J86" s="63"/>
    </row>
    <row r="87" spans="1:10" x14ac:dyDescent="0.15">
      <c r="A87" s="40" t="s">
        <v>611</v>
      </c>
      <c r="C87" s="59">
        <f>IF(($F5*'Jul''11 SP'!E25/'Jul''11 SP'!E26&gt;'Jul''11 SP'!E28),($F5*'Jul''11 SP'!E25/'Jul''11 SP'!E26-'Jul''11 SP'!E28)*'Jul''11 SP'!E34/100*'Jul''11 SP'!E26,0)</f>
        <v>0</v>
      </c>
      <c r="D87" s="59">
        <f>IF(($F5*'Jul''11 SP'!F25/'Jul''11 SP'!F26&gt;'Jul''11 SP'!F28),($F5*'Jul''11 SP'!F25/'Jul''11 SP'!F26-'Jul''11 SP'!F28)*'Jul''11 SP'!F34/100*'Jul''11 SP'!F26,0)</f>
        <v>80.955005999999997</v>
      </c>
      <c r="E87" s="59">
        <f>IF(($F5*'Jul''11 SP'!G25/'Jul''11 SP'!G26&gt;'Jul''11 SP'!G28),($F5*'Jul''11 SP'!G25/'Jul''11 SP'!G26-'Jul''11 SP'!G28)*'Jul''11 SP'!G34/100*'Jul''11 SP'!G26,0)</f>
        <v>83.19825800000001</v>
      </c>
      <c r="F87" s="59">
        <f>IF(($F5*'Jul''11 SP'!H25/'Jul''11 SP'!H26&gt;'Jul''11 SP'!H28),($F5*'Jul''11 SP'!H25/'Jul''11 SP'!H26-'Jul''11 SP'!H28)*'Jul''11 SP'!H34/100*'Jul''11 SP'!H26,0)</f>
        <v>83.372199999999992</v>
      </c>
      <c r="G87" s="59">
        <f>IF(($F5*'Jul''11 SP'!I25/'Jul''11 SP'!I26&gt;'Jul''11 SP'!I28),($F5*'Jul''11 SP'!I25/'Jul''11 SP'!I26-'Jul''11 SP'!I28)*'Jul''11 SP'!I34/100*'Jul''11 SP'!I26,0)</f>
        <v>74.489161999999993</v>
      </c>
      <c r="H87" s="59">
        <f>IF(($F5*'Jul''11 SP'!J25/'Jul''11 SP'!J26&gt;'Jul''11 SP'!J28),($F5*'Jul''11 SP'!J25/'Jul''11 SP'!J26-'Jul''11 SP'!J28)*'Jul''11 SP'!J34/100*'Jul''11 SP'!J26,0)</f>
        <v>95.206253999999987</v>
      </c>
      <c r="I87" s="59">
        <f>IF(($F5*'Jul''11 SP'!K25/'Jul''11 SP'!K26&gt;'Jul''11 SP'!K28),($F5*'Jul''11 SP'!K25/'Jul''11 SP'!K26-'Jul''11 SP'!K28)*'Jul''11 SP'!K34/100*'Jul''11 SP'!K26,0)</f>
        <v>91.716017799999989</v>
      </c>
      <c r="J87" s="63"/>
    </row>
    <row r="88" spans="1:10" x14ac:dyDescent="0.15">
      <c r="A88" s="40" t="s">
        <v>612</v>
      </c>
      <c r="C88" s="59">
        <f>365*'Jul''11 SP'!E35/100</f>
        <v>165.57859999999999</v>
      </c>
      <c r="D88" s="59">
        <f>365*'Jul''11 SP'!F35/100</f>
        <v>171.80185</v>
      </c>
      <c r="E88" s="59">
        <f>365*'Jul''11 SP'!G35/100</f>
        <v>171.76900000000001</v>
      </c>
      <c r="F88" s="59">
        <f>365*'Jul''11 SP'!H35/100</f>
        <v>179.39750000000001</v>
      </c>
      <c r="G88" s="59">
        <f>365*'Jul''11 SP'!I35/100</f>
        <v>160.6</v>
      </c>
      <c r="H88" s="59">
        <f>365*'Jul''11 SP'!J35/100</f>
        <v>195.12900000000002</v>
      </c>
      <c r="I88" s="59">
        <f>365*'Jul''11 SP'!K35/100</f>
        <v>220.14245000000003</v>
      </c>
      <c r="J88" s="60">
        <f>AVERAGE(C88:I88)</f>
        <v>180.63120000000004</v>
      </c>
    </row>
    <row r="89" spans="1:10" x14ac:dyDescent="0.15">
      <c r="A89" s="62" t="s">
        <v>613</v>
      </c>
      <c r="B89" s="63"/>
      <c r="C89" s="60">
        <f>SUM(C82:C88)</f>
        <v>656.89946299999997</v>
      </c>
      <c r="D89" s="60">
        <f t="shared" ref="D89:I89" si="6">SUM(D82:D88)</f>
        <v>652.29461000000015</v>
      </c>
      <c r="E89" s="60">
        <f t="shared" si="6"/>
        <v>630.22146599999996</v>
      </c>
      <c r="F89" s="60">
        <f t="shared" si="6"/>
        <v>662.15300000000002</v>
      </c>
      <c r="G89" s="60">
        <f t="shared" si="6"/>
        <v>574.58973000000003</v>
      </c>
      <c r="H89" s="60">
        <f t="shared" si="6"/>
        <v>715.56634599999995</v>
      </c>
      <c r="I89" s="60">
        <f t="shared" si="6"/>
        <v>749.38925710000012</v>
      </c>
      <c r="J89" s="64">
        <f>AVERAGE(C89:I89)</f>
        <v>663.01626744285727</v>
      </c>
    </row>
    <row r="91" spans="1:10" x14ac:dyDescent="0.15">
      <c r="A91" s="53" t="s">
        <v>1034</v>
      </c>
      <c r="C91" s="23" t="s">
        <v>1044</v>
      </c>
      <c r="D91" s="23" t="s">
        <v>591</v>
      </c>
      <c r="E91" s="23" t="s">
        <v>555</v>
      </c>
      <c r="F91" s="23" t="s">
        <v>544</v>
      </c>
      <c r="G91" s="23" t="s">
        <v>514</v>
      </c>
      <c r="H91" s="23" t="s">
        <v>615</v>
      </c>
      <c r="I91" s="23" t="s">
        <v>515</v>
      </c>
      <c r="J91" s="57" t="s">
        <v>601</v>
      </c>
    </row>
    <row r="92" spans="1:10" x14ac:dyDescent="0.15">
      <c r="A92" s="40" t="s">
        <v>602</v>
      </c>
      <c r="C92" s="59">
        <f>IF($F5*'Jul''11 SP'!E39/'Jul''11 SP'!E40&gt;='Jul''11 SP'!E43,('Jul''11 SP'!E43*'Jul''11 SP'!E45/100)*'Jul''11 SP'!E40,($F5*'Jul''11 SP'!E39/'Jul''11 SP'!E40*'Jul''11 SP'!E45/100)*'Jul''11 SP'!E40)</f>
        <v>182.47175100000001</v>
      </c>
      <c r="D92" s="59">
        <f>IF($F5*'Jul''11 SP'!F39/'Jul''11 SP'!F40&gt;='Jul''11 SP'!F43,('Jul''11 SP'!F43*'Jul''11 SP'!F45/100)*'Jul''11 SP'!F40,($F5*'Jul''11 SP'!F39/'Jul''11 SP'!F40*'Jul''11 SP'!F45/100)*'Jul''11 SP'!F40)</f>
        <v>123.6224</v>
      </c>
      <c r="E92" s="59">
        <f>IF($F5*'Jul''11 SP'!G39/'Jul''11 SP'!G40&gt;='Jul''11 SP'!G43,('Jul''11 SP'!G43*'Jul''11 SP'!G45/100)*'Jul''11 SP'!G40,($F5*'Jul''11 SP'!G39/'Jul''11 SP'!G40*'Jul''11 SP'!G45/100)*'Jul''11 SP'!G40)</f>
        <v>122.23359999999998</v>
      </c>
      <c r="F92" s="59">
        <f>IF($F5*'Jul''11 SP'!H39/'Jul''11 SP'!H40&gt;='Jul''11 SP'!H43,('Jul''11 SP'!H43*'Jul''11 SP'!H45/100)*'Jul''11 SP'!H40,($F5*'Jul''11 SP'!H39/'Jul''11 SP'!H40*'Jul''11 SP'!H45/100)*'Jul''11 SP'!H40)</f>
        <v>124.8</v>
      </c>
      <c r="G92" s="59">
        <f>IF($F5*'Jul''11 SP'!I39/'Jul''11 SP'!I40&gt;='Jul''11 SP'!I43,('Jul''11 SP'!I43*'Jul''11 SP'!I45/100)*'Jul''11 SP'!I40,($F5*'Jul''11 SP'!I39/'Jul''11 SP'!I40*'Jul''11 SP'!I45/100)*'Jul''11 SP'!I40)</f>
        <v>110.9504</v>
      </c>
      <c r="H92" s="59">
        <f>IF($F5*'Jul''11 SP'!J39/'Jul''11 SP'!J40&gt;='Jul''11 SP'!J43,('Jul''11 SP'!J43*'Jul''11 SP'!J45/100)*'Jul''11 SP'!J40,($F5*'Jul''11 SP'!J39/'Jul''11 SP'!J40*'Jul''11 SP'!J45/100)*'Jul''11 SP'!J40)</f>
        <v>133.8304</v>
      </c>
      <c r="I92" s="59">
        <f>IF($F5*'Jul''11 SP'!K39/'Jul''11 SP'!K40&gt;='Jul''11 SP'!K43,('Jul''11 SP'!K43*'Jul''11 SP'!K45/100)*'Jul''11 SP'!K40,($F5*'Jul''11 SP'!K39/'Jul''11 SP'!K40*'Jul''11 SP'!K45/100)*'Jul''11 SP'!K40)</f>
        <v>141.5744</v>
      </c>
      <c r="J92" s="63"/>
    </row>
    <row r="93" spans="1:10" x14ac:dyDescent="0.15">
      <c r="A93" s="40" t="s">
        <v>603</v>
      </c>
      <c r="C93" s="59">
        <f>IF($F5*'Jul''11 SP'!E39/'Jul''11 SP'!E40&lt;'Jul''11 SP'!E43,0,IF($F5*'Jul''11 SP'!E39/'Jul''11 SP'!E40&lt;='Jul''11 SP'!E44,($F5*'Jul''11 SP'!E39/'Jul''11 SP'!E40-'Jul''11 SP'!E43)*('Jul''11 SP'!E46/100)*'Jul''11 SP'!E40,('Jul''11 SP'!E44-'Jul''11 SP'!E43)*('Jul''11 SP'!E46/100)*'Jul''11 SP'!E40))</f>
        <v>0</v>
      </c>
      <c r="D93" s="59">
        <f>IF($F5*'Jul''11 SP'!F39/'Jul''11 SP'!F40&lt;'Jul''11 SP'!F43,0,IF($F5*'Jul''11 SP'!F39/'Jul''11 SP'!F40&lt;='Jul''11 SP'!F44,($F5*'Jul''11 SP'!F39/'Jul''11 SP'!F40-'Jul''11 SP'!F43)*('Jul''11 SP'!F46/100)*'Jul''11 SP'!F40,('Jul''11 SP'!F44-'Jul''11 SP'!F43)*('Jul''11 SP'!F46/100)*'Jul''11 SP'!F40))</f>
        <v>0</v>
      </c>
      <c r="E93" s="59">
        <f>IF($F5*'Jul''11 SP'!G39/'Jul''11 SP'!G40&lt;'Jul''11 SP'!G43,0,IF($F5*'Jul''11 SP'!G39/'Jul''11 SP'!G40&lt;='Jul''11 SP'!G44,($F5*'Jul''11 SP'!G39/'Jul''11 SP'!G40-'Jul''11 SP'!G43)*('Jul''11 SP'!G46/100)*'Jul''11 SP'!G40,('Jul''11 SP'!G44-'Jul''11 SP'!G43)*('Jul''11 SP'!G46/100)*'Jul''11 SP'!G40))</f>
        <v>0</v>
      </c>
      <c r="F93" s="59">
        <f>IF($F5*'Jul''11 SP'!H39/'Jul''11 SP'!H40&lt;'Jul''11 SP'!H43,0,IF($F5*'Jul''11 SP'!H39/'Jul''11 SP'!H40&lt;='Jul''11 SP'!H44,($F5*'Jul''11 SP'!H39/'Jul''11 SP'!H40-'Jul''11 SP'!H43)*('Jul''11 SP'!H46/100)*'Jul''11 SP'!H40,('Jul''11 SP'!H44-'Jul''11 SP'!H43)*('Jul''11 SP'!H46/100)*'Jul''11 SP'!H40))</f>
        <v>0</v>
      </c>
      <c r="G93" s="59">
        <f>IF($F5*'Jul''11 SP'!I39/'Jul''11 SP'!I40&lt;'Jul''11 SP'!I43,0,IF($F5*'Jul''11 SP'!I39/'Jul''11 SP'!I40&lt;='Jul''11 SP'!I44,($F5*'Jul''11 SP'!I39/'Jul''11 SP'!I40-'Jul''11 SP'!I43)*('Jul''11 SP'!I46/100)*'Jul''11 SP'!I40,('Jul''11 SP'!I44-'Jul''11 SP'!I43)*('Jul''11 SP'!I46/100)*'Jul''11 SP'!I40))</f>
        <v>0</v>
      </c>
      <c r="H93" s="59">
        <f>IF($F5*'Jul''11 SP'!J39/'Jul''11 SP'!J40&lt;'Jul''11 SP'!J43,0,IF($F5*'Jul''11 SP'!J39/'Jul''11 SP'!J40&lt;='Jul''11 SP'!J44,($F5*'Jul''11 SP'!J39/'Jul''11 SP'!J40-'Jul''11 SP'!J43)*('Jul''11 SP'!J46/100)*'Jul''11 SP'!J40,('Jul''11 SP'!J44-'Jul''11 SP'!J43)*('Jul''11 SP'!J46/100)*'Jul''11 SP'!J40))</f>
        <v>0</v>
      </c>
      <c r="I93" s="59">
        <f>IF($F5*'Jul''11 SP'!K39/'Jul''11 SP'!K40&lt;'Jul''11 SP'!K43,0,IF($F5*'Jul''11 SP'!K39/'Jul''11 SP'!K40&lt;='Jul''11 SP'!K44,($F5*'Jul''11 SP'!K39/'Jul''11 SP'!K40-'Jul''11 SP'!K43)*('Jul''11 SP'!K46/100)*'Jul''11 SP'!K40,('Jul''11 SP'!K44-'Jul''11 SP'!K43)*('Jul''11 SP'!K46/100)*'Jul''11 SP'!K40))</f>
        <v>0</v>
      </c>
      <c r="J93" s="63"/>
    </row>
    <row r="94" spans="1:10" x14ac:dyDescent="0.15">
      <c r="A94" s="40" t="s">
        <v>606</v>
      </c>
      <c r="C94" s="59">
        <f>IF(($F5*'Jul''11 SP'!E39/'Jul''11 SP'!E40&gt;'Jul''11 SP'!E44),($F5*'Jul''11 SP'!E39/'Jul''11 SP'!E40-'Jul''11 SP'!E44)*'Jul''11 SP'!E47/100*'Jul''11 SP'!E40,0)</f>
        <v>0</v>
      </c>
      <c r="D94" s="59">
        <f>IF(($F5*'Jul''11 SP'!F39/'Jul''11 SP'!F40&gt;'Jul''11 SP'!F44),($F5*'Jul''11 SP'!F39/'Jul''11 SP'!F40-'Jul''11 SP'!F44)*'Jul''11 SP'!F47/100*'Jul''11 SP'!F40,0)</f>
        <v>52.574192000000004</v>
      </c>
      <c r="E94" s="59">
        <f>IF(($F5*'Jul''11 SP'!G39/'Jul''11 SP'!G40&gt;'Jul''11 SP'!G44),($F5*'Jul''11 SP'!G39/'Jul''11 SP'!G40-'Jul''11 SP'!G44)*'Jul''11 SP'!G47/100*'Jul''11 SP'!G40,0)</f>
        <v>54.913542</v>
      </c>
      <c r="F94" s="59">
        <f>IF(($F5*'Jul''11 SP'!H39/'Jul''11 SP'!H40&gt;'Jul''11 SP'!H44),($F5*'Jul''11 SP'!H39/'Jul''11 SP'!H40-'Jul''11 SP'!H44)*'Jul''11 SP'!H47/100*'Jul''11 SP'!H40,0)</f>
        <v>55.424599999999998</v>
      </c>
      <c r="G94" s="59">
        <f>IF(($F5*'Jul''11 SP'!I39/'Jul''11 SP'!I40&gt;'Jul''11 SP'!I44),($F5*'Jul''11 SP'!I39/'Jul''11 SP'!I40-'Jul''11 SP'!I44)*'Jul''11 SP'!I47/100*'Jul''11 SP'!I40,0)</f>
        <v>50.753098000000001</v>
      </c>
      <c r="H94" s="59">
        <f>IF(($F5*'Jul''11 SP'!J39/'Jul''11 SP'!J40&gt;'Jul''11 SP'!J44),($F5*'Jul''11 SP'!J39/'Jul''11 SP'!J40-'Jul''11 SP'!J44)*'Jul''11 SP'!J47/100*'Jul''11 SP'!J40,0)</f>
        <v>60.016923999999996</v>
      </c>
      <c r="I94" s="59">
        <f>IF(($F5*'Jul''11 SP'!K39/'Jul''11 SP'!K40&gt;'Jul''11 SP'!K44),($F5*'Jul''11 SP'!K39/'Jul''11 SP'!K40-'Jul''11 SP'!K44)*'Jul''11 SP'!K47/100*'Jul''11 SP'!K40,0)</f>
        <v>58.738199299999998</v>
      </c>
      <c r="J94" s="63"/>
    </row>
    <row r="95" spans="1:10" x14ac:dyDescent="0.15">
      <c r="A95" s="40" t="s">
        <v>607</v>
      </c>
      <c r="C95" s="59">
        <f>IF($F5*'Jul''11 SP'!E41/'Jul''11 SP'!E42&gt;='Jul''11 SP'!E43,('Jul''11 SP'!E43*'Jul''11 SP'!E48/100)*'Jul''11 SP'!E42,($F5*'Jul''11 SP'!E41/'Jul''11 SP'!E42*'Jul''11 SP'!E48/100)*'Jul''11 SP'!E42)</f>
        <v>318.74812200000002</v>
      </c>
      <c r="D95" s="59">
        <f>IF($F5*'Jul''11 SP'!F41/'Jul''11 SP'!F42&gt;='Jul''11 SP'!F43,('Jul''11 SP'!F43*'Jul''11 SP'!F48/100)*'Jul''11 SP'!F42,($F5*'Jul''11 SP'!F41/'Jul''11 SP'!F42*'Jul''11 SP'!F48/100)*'Jul''11 SP'!F42)</f>
        <v>219.648</v>
      </c>
      <c r="E95" s="59">
        <f>IF($F5*'Jul''11 SP'!G41/'Jul''11 SP'!G42&gt;='Jul''11 SP'!G43,('Jul''11 SP'!G43*'Jul''11 SP'!G48/100)*'Jul''11 SP'!G42,($F5*'Jul''11 SP'!G41/'Jul''11 SP'!G42*'Jul''11 SP'!G48/100)*'Jul''11 SP'!G42)</f>
        <v>207.59039999999996</v>
      </c>
      <c r="F95" s="59">
        <f>IF($F5*'Jul''11 SP'!H41/'Jul''11 SP'!H42&gt;='Jul''11 SP'!H43,('Jul''11 SP'!H43*'Jul''11 SP'!H48/100)*'Jul''11 SP'!H42,($F5*'Jul''11 SP'!H41/'Jul''11 SP'!H42*'Jul''11 SP'!H48/100)*'Jul''11 SP'!H42)</f>
        <v>220.16</v>
      </c>
      <c r="G95" s="59">
        <f>IF($F5*'Jul''11 SP'!I41/'Jul''11 SP'!I42&gt;='Jul''11 SP'!I43,('Jul''11 SP'!I43*'Jul''11 SP'!I48/100)*'Jul''11 SP'!I42,($F5*'Jul''11 SP'!I41/'Jul''11 SP'!I42*'Jul''11 SP'!I48/100)*'Jul''11 SP'!I42)</f>
        <v>193.6</v>
      </c>
      <c r="H95" s="59">
        <f>IF($F5*'Jul''11 SP'!J41/'Jul''11 SP'!J42&gt;='Jul''11 SP'!J43,('Jul''11 SP'!J43*'Jul''11 SP'!J48/100)*'Jul''11 SP'!J42,($F5*'Jul''11 SP'!J41/'Jul''11 SP'!J42*'Jul''11 SP'!J48/100)*'Jul''11 SP'!J42)</f>
        <v>228.23680000000002</v>
      </c>
      <c r="I95" s="59">
        <f>IF($F5*'Jul''11 SP'!K41/'Jul''11 SP'!K42&gt;='Jul''11 SP'!K43,('Jul''11 SP'!K43*'Jul''11 SP'!K48/100)*'Jul''11 SP'!K42,($F5*'Jul''11 SP'!K41/'Jul''11 SP'!K42*'Jul''11 SP'!K48/100)*'Jul''11 SP'!K42)</f>
        <v>251.62368000000004</v>
      </c>
      <c r="J95" s="63"/>
    </row>
    <row r="96" spans="1:10" x14ac:dyDescent="0.15">
      <c r="A96" s="40" t="s">
        <v>608</v>
      </c>
      <c r="C96" s="59">
        <f>IF($F5*'Jul''11 SP'!E41/'Jul''11 SP'!E42&lt;'Jul''11 SP'!E43,0,IF($F5*'Jul''11 SP'!E41/'Jul''11 SP'!E42&lt;='Jul''11 SP'!E44,($F5*'Jul''11 SP'!E41/'Jul''11 SP'!E42-'Jul''11 SP'!E43)*('Jul''11 SP'!E49/100)*'Jul''11 SP'!E42,('Jul''11 SP'!E44-'Jul''11 SP'!E43)*('Jul''11 SP'!E49/100)*'Jul''11 SP'!E42))</f>
        <v>0</v>
      </c>
      <c r="D96" s="59">
        <f>IF($F5*'Jul''11 SP'!F41/'Jul''11 SP'!F42&lt;'Jul''11 SP'!F43,0,IF($F5*'Jul''11 SP'!F41/'Jul''11 SP'!F42&lt;='Jul''11 SP'!F44,($F5*'Jul''11 SP'!F41/'Jul''11 SP'!F42-'Jul''11 SP'!F43)*('Jul''11 SP'!F49/100)*'Jul''11 SP'!F42,('Jul''11 SP'!F44-'Jul''11 SP'!F43)*('Jul''11 SP'!F49/100)*'Jul''11 SP'!F42))</f>
        <v>0</v>
      </c>
      <c r="E96" s="59">
        <f>IF($F5*'Jul''11 SP'!G41/'Jul''11 SP'!G42&lt;'Jul''11 SP'!G43,0,IF($F5*'Jul''11 SP'!G41/'Jul''11 SP'!G42&lt;='Jul''11 SP'!G44,($F5*'Jul''11 SP'!G41/'Jul''11 SP'!G42-'Jul''11 SP'!G43)*('Jul''11 SP'!G49/100)*'Jul''11 SP'!G42,('Jul''11 SP'!G44-'Jul''11 SP'!G43)*('Jul''11 SP'!G49/100)*'Jul''11 SP'!G42))</f>
        <v>0</v>
      </c>
      <c r="F96" s="59">
        <f>IF($F5*'Jul''11 SP'!H41/'Jul''11 SP'!H42&lt;'Jul''11 SP'!H43,0,IF($F5*'Jul''11 SP'!H41/'Jul''11 SP'!H42&lt;='Jul''11 SP'!H44,($F5*'Jul''11 SP'!H41/'Jul''11 SP'!H42-'Jul''11 SP'!H43)*('Jul''11 SP'!H49/100)*'Jul''11 SP'!H42,('Jul''11 SP'!H44-'Jul''11 SP'!H43)*('Jul''11 SP'!H49/100)*'Jul''11 SP'!H42))</f>
        <v>0</v>
      </c>
      <c r="G96" s="59">
        <f>IF($F5*'Jul''11 SP'!I41/'Jul''11 SP'!I42&lt;'Jul''11 SP'!I43,0,IF($F5*'Jul''11 SP'!I41/'Jul''11 SP'!I42&lt;='Jul''11 SP'!I44,($F5*'Jul''11 SP'!I41/'Jul''11 SP'!I42-'Jul''11 SP'!I43)*('Jul''11 SP'!I49/100)*'Jul''11 SP'!I42,('Jul''11 SP'!I44-'Jul''11 SP'!I43)*('Jul''11 SP'!I49/100)*'Jul''11 SP'!I42))</f>
        <v>0</v>
      </c>
      <c r="H96" s="59">
        <f>IF($F5*'Jul''11 SP'!J41/'Jul''11 SP'!J42&lt;'Jul''11 SP'!J43,0,IF($F5*'Jul''11 SP'!J41/'Jul''11 SP'!J42&lt;='Jul''11 SP'!J44,($F5*'Jul''11 SP'!J41/'Jul''11 SP'!J42-'Jul''11 SP'!J43)*('Jul''11 SP'!J49/100)*'Jul''11 SP'!J42,('Jul''11 SP'!J44-'Jul''11 SP'!J43)*('Jul''11 SP'!J49/100)*'Jul''11 SP'!J42))</f>
        <v>0</v>
      </c>
      <c r="I96" s="59">
        <f>IF($F5*'Jul''11 SP'!K41/'Jul''11 SP'!K42&lt;'Jul''11 SP'!K43,0,IF($F5*'Jul''11 SP'!K41/'Jul''11 SP'!K42&lt;='Jul''11 SP'!K44,($F5*'Jul''11 SP'!K41/'Jul''11 SP'!K42-'Jul''11 SP'!K43)*('Jul''11 SP'!K49/100)*'Jul''11 SP'!K42,('Jul''11 SP'!K44-'Jul''11 SP'!K43)*('Jul''11 SP'!K49/100)*'Jul''11 SP'!K42))</f>
        <v>0</v>
      </c>
      <c r="J96" s="63"/>
    </row>
    <row r="97" spans="1:10" x14ac:dyDescent="0.15">
      <c r="A97" s="40" t="s">
        <v>611</v>
      </c>
      <c r="C97" s="59">
        <f>IF(($F5*'Jul''11 SP'!E41/'Jul''11 SP'!E42&gt;'Jul''11 SP'!E44),($F5*'Jul''11 SP'!E41/'Jul''11 SP'!E42-'Jul''11 SP'!E44)*'Jul''11 SP'!E50/100*'Jul''11 SP'!E42,0)</f>
        <v>0</v>
      </c>
      <c r="D97" s="59">
        <f>IF(($F5*'Jul''11 SP'!F41/'Jul''11 SP'!F42&gt;'Jul''11 SP'!F44),($F5*'Jul''11 SP'!F41/'Jul''11 SP'!F42-'Jul''11 SP'!F44)*'Jul''11 SP'!F50/100*'Jul''11 SP'!F42,0)</f>
        <v>98.972499999999997</v>
      </c>
      <c r="E97" s="59">
        <f>IF(($F5*'Jul''11 SP'!G41/'Jul''11 SP'!G42&gt;'Jul''11 SP'!G44),($F5*'Jul''11 SP'!G41/'Jul''11 SP'!G42-'Jul''11 SP'!G44)*'Jul''11 SP'!G50/100*'Jul''11 SP'!G42,0)</f>
        <v>102.91700399999999</v>
      </c>
      <c r="F97" s="59">
        <f>IF(($F5*'Jul''11 SP'!H41/'Jul''11 SP'!H42&gt;'Jul''11 SP'!H44),($F5*'Jul''11 SP'!H41/'Jul''11 SP'!H42-'Jul''11 SP'!H44)*'Jul''11 SP'!H50/100*'Jul''11 SP'!H42,0)</f>
        <v>105.81059999999999</v>
      </c>
      <c r="G97" s="59">
        <f>IF(($F5*'Jul''11 SP'!I41/'Jul''11 SP'!I42&gt;'Jul''11 SP'!I44),($F5*'Jul''11 SP'!I41/'Jul''11 SP'!I42-'Jul''11 SP'!I44)*'Jul''11 SP'!I50/100*'Jul''11 SP'!I42,0)</f>
        <v>93.350861999999992</v>
      </c>
      <c r="H97" s="59">
        <f>IF(($F5*'Jul''11 SP'!J41/'Jul''11 SP'!J42&gt;'Jul''11 SP'!J44),($F5*'Jul''11 SP'!J41/'Jul''11 SP'!J42-'Jul''11 SP'!J44)*'Jul''11 SP'!J50/100*'Jul''11 SP'!J42,0)</f>
        <v>112.51193799999999</v>
      </c>
      <c r="I97" s="59">
        <f>IF(($F5*'Jul''11 SP'!K41/'Jul''11 SP'!K42&gt;'Jul''11 SP'!K44),($F5*'Jul''11 SP'!K41/'Jul''11 SP'!K42-'Jul''11 SP'!K44)*'Jul''11 SP'!K50/100*'Jul''11 SP'!K42,0)</f>
        <v>101.79915460000001</v>
      </c>
      <c r="J97" s="63"/>
    </row>
    <row r="98" spans="1:10" x14ac:dyDescent="0.15">
      <c r="A98" s="40" t="s">
        <v>612</v>
      </c>
      <c r="C98" s="59">
        <f>365*'Jul''11 SP'!E51/100</f>
        <v>186.57704999999999</v>
      </c>
      <c r="D98" s="59">
        <f>365*'Jul''11 SP'!F51/100</f>
        <v>178.9084</v>
      </c>
      <c r="E98" s="59">
        <f>365*'Jul''11 SP'!G51/100</f>
        <v>179.68949999999998</v>
      </c>
      <c r="F98" s="59">
        <f>365*'Jul''11 SP'!H51/100</f>
        <v>189.61750000000001</v>
      </c>
      <c r="G98" s="59">
        <f>365*'Jul''11 SP'!I51/100</f>
        <v>168.63</v>
      </c>
      <c r="H98" s="59">
        <f>365*'Jul''11 SP'!J51/100</f>
        <v>196.33349999999999</v>
      </c>
      <c r="I98" s="59">
        <f>365*'Jul''11 SP'!K51/100</f>
        <v>226.40585000000002</v>
      </c>
      <c r="J98" s="65">
        <f>AVERAGE(C98:I98)</f>
        <v>189.45168571428573</v>
      </c>
    </row>
    <row r="99" spans="1:10" x14ac:dyDescent="0.15">
      <c r="A99" s="62" t="s">
        <v>613</v>
      </c>
      <c r="B99" s="63"/>
      <c r="C99" s="60">
        <f>SUM(C92:C98)</f>
        <v>687.79692299999999</v>
      </c>
      <c r="D99" s="60">
        <f t="shared" ref="D99:I99" si="7">SUM(D92:D98)</f>
        <v>673.72549200000003</v>
      </c>
      <c r="E99" s="60">
        <f t="shared" si="7"/>
        <v>667.34404599999993</v>
      </c>
      <c r="F99" s="60">
        <f t="shared" si="7"/>
        <v>695.81269999999995</v>
      </c>
      <c r="G99" s="60">
        <f t="shared" si="7"/>
        <v>617.28435999999999</v>
      </c>
      <c r="H99" s="60">
        <f t="shared" si="7"/>
        <v>730.92956199999992</v>
      </c>
      <c r="I99" s="60">
        <f t="shared" si="7"/>
        <v>780.14128390000008</v>
      </c>
      <c r="J99" s="64">
        <f>AVERAGE(C99:I99)</f>
        <v>693.29062384285714</v>
      </c>
    </row>
    <row r="101" spans="1:10" x14ac:dyDescent="0.15">
      <c r="A101" s="63"/>
      <c r="B101" s="63"/>
      <c r="C101" s="63"/>
      <c r="D101" s="63"/>
      <c r="E101" s="63"/>
      <c r="F101" s="63"/>
      <c r="G101" s="63"/>
      <c r="H101" s="63"/>
      <c r="I101" s="63"/>
      <c r="J101" s="63"/>
    </row>
    <row r="102" spans="1:10" x14ac:dyDescent="0.15">
      <c r="A102" s="53" t="s">
        <v>490</v>
      </c>
      <c r="C102" s="23" t="s">
        <v>1044</v>
      </c>
      <c r="D102" s="23" t="s">
        <v>591</v>
      </c>
      <c r="E102" s="23" t="s">
        <v>555</v>
      </c>
      <c r="F102" s="23" t="s">
        <v>544</v>
      </c>
      <c r="G102" s="23" t="s">
        <v>514</v>
      </c>
      <c r="H102" s="23" t="s">
        <v>615</v>
      </c>
      <c r="I102" s="23" t="s">
        <v>595</v>
      </c>
    </row>
    <row r="103" spans="1:10" x14ac:dyDescent="0.15">
      <c r="A103" s="40" t="s">
        <v>491</v>
      </c>
      <c r="C103" s="24" t="s">
        <v>560</v>
      </c>
      <c r="D103" s="25" t="s">
        <v>541</v>
      </c>
      <c r="E103" s="25" t="s">
        <v>492</v>
      </c>
      <c r="F103" s="25" t="s">
        <v>494</v>
      </c>
      <c r="G103" s="24" t="s">
        <v>560</v>
      </c>
      <c r="H103" s="25" t="s">
        <v>494</v>
      </c>
      <c r="I103" s="25" t="s">
        <v>494</v>
      </c>
    </row>
    <row r="104" spans="1:10" x14ac:dyDescent="0.15">
      <c r="A104" s="40" t="s">
        <v>496</v>
      </c>
      <c r="C104" s="25" t="s">
        <v>498</v>
      </c>
      <c r="D104" s="25" t="s">
        <v>497</v>
      </c>
      <c r="E104" s="25" t="s">
        <v>526</v>
      </c>
      <c r="F104" s="25" t="s">
        <v>493</v>
      </c>
      <c r="G104" s="25" t="s">
        <v>498</v>
      </c>
      <c r="H104" s="25" t="s">
        <v>498</v>
      </c>
      <c r="I104" s="25" t="s">
        <v>498</v>
      </c>
    </row>
    <row r="105" spans="1:10" x14ac:dyDescent="0.15">
      <c r="A105" s="40" t="s">
        <v>499</v>
      </c>
      <c r="C105" s="25" t="s">
        <v>512</v>
      </c>
      <c r="D105" s="25" t="s">
        <v>500</v>
      </c>
      <c r="E105" s="25" t="s">
        <v>512</v>
      </c>
      <c r="F105" s="25" t="s">
        <v>493</v>
      </c>
      <c r="G105" s="25" t="s">
        <v>512</v>
      </c>
      <c r="H105" s="25" t="s">
        <v>512</v>
      </c>
      <c r="I105" s="25" t="s">
        <v>512</v>
      </c>
    </row>
    <row r="106" spans="1:10" x14ac:dyDescent="0.15">
      <c r="A106" s="40" t="s">
        <v>501</v>
      </c>
      <c r="C106" s="25" t="s">
        <v>494</v>
      </c>
      <c r="D106" s="25" t="s">
        <v>494</v>
      </c>
      <c r="E106" s="24" t="s">
        <v>540</v>
      </c>
      <c r="F106" s="24" t="s">
        <v>558</v>
      </c>
      <c r="G106" s="25" t="s">
        <v>494</v>
      </c>
      <c r="H106" s="24" t="s">
        <v>556</v>
      </c>
      <c r="I106" s="24" t="s">
        <v>436</v>
      </c>
    </row>
    <row r="107" spans="1:10" x14ac:dyDescent="0.15">
      <c r="A107" s="40" t="s">
        <v>511</v>
      </c>
      <c r="C107" s="25" t="s">
        <v>512</v>
      </c>
      <c r="D107" s="25" t="s">
        <v>494</v>
      </c>
      <c r="E107" s="25" t="s">
        <v>494</v>
      </c>
      <c r="F107" s="25" t="s">
        <v>493</v>
      </c>
      <c r="G107" s="25" t="s">
        <v>494</v>
      </c>
      <c r="H107" s="25" t="s">
        <v>494</v>
      </c>
      <c r="I107" s="25" t="s">
        <v>494</v>
      </c>
    </row>
    <row r="108" spans="1:10" x14ac:dyDescent="0.15">
      <c r="A108" s="63"/>
      <c r="B108" s="63"/>
      <c r="C108" s="63"/>
      <c r="D108" s="63"/>
      <c r="E108" s="63"/>
      <c r="F108" s="63"/>
      <c r="G108" s="63"/>
      <c r="H108" s="63"/>
      <c r="I108" s="63"/>
      <c r="J108" s="63"/>
    </row>
  </sheetData>
  <sheetProtection algorithmName="SHA-512" hashValue="+EmeTI9MvXebWBpbhZeEYJqRoDEJFEwqJdOVF/kjyWnj3MKLPp1ErVwOy1BQ52JnMvGM1GAQRrPqywqNH5K0sw==" saltValue="bSLnnv5b8/aUnpwuzOLn9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N108"/>
  <sheetViews>
    <sheetView zoomScale="125" workbookViewId="0">
      <selection activeCell="B26" sqref="B26"/>
    </sheetView>
  </sheetViews>
  <sheetFormatPr baseColWidth="10" defaultColWidth="10.83203125" defaultRowHeight="13" x14ac:dyDescent="0.15"/>
  <cols>
    <col min="1" max="1" width="26.1640625" style="40" customWidth="1"/>
    <col min="2" max="2" width="3.1640625" style="40" customWidth="1"/>
    <col min="3" max="9" width="11.6640625" style="40" customWidth="1"/>
    <col min="10" max="10" width="15" style="40" customWidth="1"/>
    <col min="11" max="14" width="11.6640625" style="40" customWidth="1"/>
    <col min="15" max="16384" width="10.83203125" style="40"/>
  </cols>
  <sheetData>
    <row r="1" spans="1:14" x14ac:dyDescent="0.15">
      <c r="A1" s="48" t="s">
        <v>437</v>
      </c>
    </row>
    <row r="2" spans="1:14" x14ac:dyDescent="0.15">
      <c r="A2" s="67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</row>
    <row r="3" spans="1:14" x14ac:dyDescent="0.15">
      <c r="A3" s="52" t="s">
        <v>438</v>
      </c>
    </row>
    <row r="5" spans="1:14" x14ac:dyDescent="0.15">
      <c r="A5" s="53" t="s">
        <v>588</v>
      </c>
      <c r="B5" s="53"/>
      <c r="C5" s="53" t="s">
        <v>1394</v>
      </c>
      <c r="F5" s="66">
        <v>63000</v>
      </c>
    </row>
    <row r="6" spans="1:14" x14ac:dyDescent="0.15">
      <c r="C6" s="54" t="s">
        <v>589</v>
      </c>
    </row>
    <row r="7" spans="1:14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</row>
    <row r="8" spans="1:14" x14ac:dyDescent="0.15">
      <c r="J8" s="58"/>
    </row>
    <row r="9" spans="1:14" x14ac:dyDescent="0.15">
      <c r="A9" s="53" t="s">
        <v>1074</v>
      </c>
      <c r="C9" s="23" t="s">
        <v>1044</v>
      </c>
      <c r="D9" s="23" t="s">
        <v>591</v>
      </c>
      <c r="E9" s="23" t="s">
        <v>555</v>
      </c>
      <c r="F9" s="23" t="s">
        <v>544</v>
      </c>
      <c r="G9" s="23" t="s">
        <v>514</v>
      </c>
      <c r="H9" s="23" t="s">
        <v>615</v>
      </c>
      <c r="I9" s="23" t="s">
        <v>515</v>
      </c>
      <c r="J9" s="57" t="s">
        <v>601</v>
      </c>
    </row>
    <row r="10" spans="1:14" x14ac:dyDescent="0.15">
      <c r="A10" s="40" t="s">
        <v>602</v>
      </c>
      <c r="C10" s="59">
        <f>IF($F5*'Jan''11 Multi'!E7/'Jan''11 Multi'!E8&gt;='Jan''11 Multi'!E11,('Jan''11 Multi'!E11*'Jan''11 Multi'!E15/100)*'Jan''11 Multi'!E8,($F5*'Jan''11 Multi'!E7/'Jan''11 Multi'!E8*'Jan''11 Multi'!E15/100)*'Jan''11 Multi'!E8)</f>
        <v>150.28199999999998</v>
      </c>
      <c r="D10" s="59">
        <f>IF($F5*'Jan''11 Multi'!F7/'Jan''11 Multi'!F8&gt;='Jan''11 Multi'!F11,('Jan''11 Multi'!F11*'Jan''11 Multi'!F15/100)*'Jan''11 Multi'!F8,($F5*'Jan''11 Multi'!F7/'Jan''11 Multi'!F8*'Jan''11 Multi'!F15/100)*'Jan''11 Multi'!F8)</f>
        <v>293.63399999999996</v>
      </c>
      <c r="E10" s="59">
        <f>IF($F5*'Jan''11 Multi'!G7/'Jan''11 Multi'!G8&gt;='Jan''11 Multi'!G11,('Jan''11 Multi'!G11*'Jan''11 Multi'!G15/100)*'Jan''11 Multi'!G8,($F5*'Jan''11 Multi'!G7/'Jan''11 Multi'!G8*'Jan''11 Multi'!G15/100)*'Jan''11 Multi'!G8)</f>
        <v>305.37</v>
      </c>
      <c r="F10" s="59">
        <f>IF($F5*'Jan''11 Multi'!H7/'Jan''11 Multi'!H8&gt;='Jan''11 Multi'!H11,('Jan''11 Multi'!H11*'Jan''11 Multi'!H15/100)*'Jan''11 Multi'!H8,($F5*'Jan''11 Multi'!H7/'Jan''11 Multi'!H8*'Jan''11 Multi'!H15/100)*'Jan''11 Multi'!H8)</f>
        <v>297</v>
      </c>
      <c r="G10" s="59">
        <f>IF($F5*'Jan''11 Multi'!I7/'Jan''11 Multi'!I8&gt;='Jan''11 Multi'!I11,('Jan''11 Multi'!I11*'Jan''11 Multi'!I15/100)*'Jan''11 Multi'!I8,($F5*'Jan''11 Multi'!I7/'Jan''11 Multi'!I8*'Jan''11 Multi'!I15/100)*'Jan''11 Multi'!I8)</f>
        <v>273.43799999999999</v>
      </c>
      <c r="H10" s="59">
        <f>IF($F5*'Jan''11 Multi'!J7/'Jan''11 Multi'!J8&gt;='Jan''11 Multi'!J11,('Jan''11 Multi'!J11*'Jan''11 Multi'!J15/100)*'Jan''11 Multi'!J8,($F5*'Jan''11 Multi'!J7/'Jan''11 Multi'!J8*'Jan''11 Multi'!J15/100)*'Jan''11 Multi'!J8)</f>
        <v>314.226</v>
      </c>
      <c r="I10" s="59">
        <f>IF($F5*'Jan''11 Multi'!K7/'Jan''11 Multi'!K8&gt;='Jan''11 Multi'!K11,('Jan''11 Multi'!K11*'Jan''11 Multi'!K15/100)*'Jan''11 Multi'!K8,($F5*'Jan''11 Multi'!K7/'Jan''11 Multi'!K8*'Jan''11 Multi'!K15/100)*'Jan''11 Multi'!K8)</f>
        <v>362.1816</v>
      </c>
      <c r="J10" s="63"/>
    </row>
    <row r="11" spans="1:14" x14ac:dyDescent="0.15">
      <c r="A11" s="40" t="s">
        <v>603</v>
      </c>
      <c r="C11" s="59">
        <f>IF($F5*'Jan''11 Multi'!E7/'Jan''11 Multi'!E8&lt;'Jan''11 Multi'!E11,0,IF($F5*'Jan''11 Multi'!E7/'Jan''11 Multi'!E8&lt;+'Jan''11 Multi'!E12,($F5*'Jan''11 Multi'!E7/'Jan''11 Multi'!E8-'Jan''11 Multi'!E11)*('Jan''11 Multi'!E16/100)*'Jan''11 Multi'!E8,('Jan''11 Multi'!E12-'Jan''11 Multi'!E11)*('Jan''11 Multi'!E16/100)*'Jan''11 Multi'!E8))</f>
        <v>130.28399999999999</v>
      </c>
      <c r="D11" s="59">
        <f>IF($F5*'Jan''11 Multi'!F7/'Jan''11 Multi'!F8&lt;'Jan''11 Multi'!F11,0,IF($F5*'Jan''11 Multi'!F7/'Jan''11 Multi'!F8&lt;+'Jan''11 Multi'!F12,($F5*'Jan''11 Multi'!F7/'Jan''11 Multi'!F8-'Jan''11 Multi'!F11)*('Jan''11 Multi'!F16/100)*'Jan''11 Multi'!F8,('Jan''11 Multi'!F12-'Jan''11 Multi'!F11)*('Jan''11 Multi'!F16/100)*'Jan''11 Multi'!F8))</f>
        <v>114.54299999999999</v>
      </c>
      <c r="E11" s="59">
        <f>IF($F5*'Jan''11 Multi'!G7/'Jan''11 Multi'!G8&lt;'Jan''11 Multi'!G11,0,IF($F5*'Jan''11 Multi'!G7/'Jan''11 Multi'!G8&lt;+'Jan''11 Multi'!G12,($F5*'Jan''11 Multi'!G7/'Jan''11 Multi'!G8-'Jan''11 Multi'!G11)*('Jan''11 Multi'!G16/100)*'Jan''11 Multi'!G8,('Jan''11 Multi'!G12-'Jan''11 Multi'!G11)*('Jan''11 Multi'!G16/100)*'Jan''11 Multi'!G8))</f>
        <v>108.51300000000001</v>
      </c>
      <c r="F11" s="59">
        <f>IF($F5*'Jan''11 Multi'!H7/'Jan''11 Multi'!H8&lt;'Jan''11 Multi'!H11,0,IF($F5*'Jan''11 Multi'!H7/'Jan''11 Multi'!H8&lt;+'Jan''11 Multi'!H12,($F5*'Jan''11 Multi'!H7/'Jan''11 Multi'!H8-'Jan''11 Multi'!H11)*('Jan''11 Multi'!H16/100)*'Jan''11 Multi'!H8,('Jan''11 Multi'!H12-'Jan''11 Multi'!H11)*('Jan''11 Multi'!H16/100)*'Jan''11 Multi'!H8))</f>
        <v>0</v>
      </c>
      <c r="G11" s="59">
        <f>IF($F5*'Jan''11 Multi'!I7/'Jan''11 Multi'!I8&lt;'Jan''11 Multi'!I11,0,IF($F5*'Jan''11 Multi'!I7/'Jan''11 Multi'!I8&lt;+'Jan''11 Multi'!I12,($F5*'Jan''11 Multi'!I7/'Jan''11 Multi'!I8-'Jan''11 Multi'!I11)*('Jan''11 Multi'!I16/100)*'Jan''11 Multi'!I8,('Jan''11 Multi'!I12-'Jan''11 Multi'!I11)*('Jan''11 Multi'!I16/100)*'Jan''11 Multi'!I8))</f>
        <v>101.57400000000001</v>
      </c>
      <c r="H11" s="59">
        <f>IF($F5*'Jan''11 Multi'!J7/'Jan''11 Multi'!J8&lt;'Jan''11 Multi'!J11,0,IF($F5*'Jan''11 Multi'!J7/'Jan''11 Multi'!J8&lt;+'Jan''11 Multi'!J12,($F5*'Jan''11 Multi'!J7/'Jan''11 Multi'!J8-'Jan''11 Multi'!J11)*('Jan''11 Multi'!J16/100)*'Jan''11 Multi'!J8,('Jan''11 Multi'!J12-'Jan''11 Multi'!J11)*('Jan''11 Multi'!J16/100)*'Jan''11 Multi'!J8))</f>
        <v>114.64200000000002</v>
      </c>
      <c r="I11" s="59">
        <f>IF($F5*'Jan''11 Multi'!K7/'Jan''11 Multi'!K8&lt;'Jan''11 Multi'!K11,0,IF($F5*'Jan''11 Multi'!K7/'Jan''11 Multi'!K8&lt;+'Jan''11 Multi'!K12,($F5*'Jan''11 Multi'!K7/'Jan''11 Multi'!K8-'Jan''11 Multi'!K11)*('Jan''11 Multi'!K16/100)*'Jan''11 Multi'!K8,('Jan''11 Multi'!K12-'Jan''11 Multi'!K11)*('Jan''11 Multi'!K16/100)*'Jan''11 Multi'!K8))</f>
        <v>117.5823</v>
      </c>
      <c r="J11" s="63"/>
    </row>
    <row r="12" spans="1:14" x14ac:dyDescent="0.15">
      <c r="A12" s="40" t="s">
        <v>604</v>
      </c>
      <c r="C12" s="59">
        <f>IF($F5*'Jan''11 Multi'!E7/'Jan''11 Multi'!E8&lt;'Jan''11 Multi'!E12,0,IF($F5*'Jan''11 Multi'!E7/'Jan''11 Multi'!E8&lt;='Jan''11 Multi'!E13,($F5*'Jan''11 Multi'!E7/'Jan''11 Multi'!E8-'Jan''11 Multi'!E12)*('Jan''11 Multi'!E17/100)*'Jan''11 Multi'!E8,('Jan''11 Multi'!E13-'Jan''11 Multi'!E12)*('Jan''11 Multi'!E17/100)*'Jan''11 Multi'!E8))</f>
        <v>100.881</v>
      </c>
      <c r="D12" s="59">
        <f>IF($F5*'Jan''11 Multi'!F7/'Jan''11 Multi'!F8&lt;'Jan''11 Multi'!F12,0,IF($F5*'Jan''11 Multi'!F7/'Jan''11 Multi'!F8&lt;='Jan''11 Multi'!F13,($F5*'Jan''11 Multi'!F7/'Jan''11 Multi'!F8-'Jan''11 Multi'!F12)*('Jan''11 Multi'!F17/100)*'Jan''11 Multi'!F8,('Jan''11 Multi'!F13-'Jan''11 Multi'!F12)*('Jan''11 Multi'!F17/100)*'Jan''11 Multi'!F8))</f>
        <v>0</v>
      </c>
      <c r="E12" s="59">
        <f>IF($F5*'Jan''11 Multi'!G7/'Jan''11 Multi'!G8&lt;'Jan''11 Multi'!G12,0,IF($F5*'Jan''11 Multi'!G7/'Jan''11 Multi'!G8&lt;='Jan''11 Multi'!G13,($F5*'Jan''11 Multi'!G7/'Jan''11 Multi'!G8-'Jan''11 Multi'!G12)*('Jan''11 Multi'!G17/100)*'Jan''11 Multi'!G8,('Jan''11 Multi'!G13-'Jan''11 Multi'!G12)*('Jan''11 Multi'!G17/100)*'Jan''11 Multi'!G8))</f>
        <v>0</v>
      </c>
      <c r="F12" s="59">
        <f>IF($F5*'Jan''11 Multi'!H7/'Jan''11 Multi'!H8&lt;'Jan''11 Multi'!H12,0,IF($F5*'Jan''11 Multi'!H7/'Jan''11 Multi'!H8&lt;='Jan''11 Multi'!H13,($F5*'Jan''11 Multi'!H7/'Jan''11 Multi'!H8-'Jan''11 Multi'!H12)*('Jan''11 Multi'!H17/100)*'Jan''11 Multi'!H8,('Jan''11 Multi'!H13-'Jan''11 Multi'!H12)*('Jan''11 Multi'!H17/100)*'Jan''11 Multi'!H8))</f>
        <v>0</v>
      </c>
      <c r="G12" s="59">
        <f>IF($F5*'Jan''11 Multi'!I7/'Jan''11 Multi'!I8&lt;'Jan''11 Multi'!I12,0,IF($F5*'Jan''11 Multi'!I7/'Jan''11 Multi'!I8&lt;='Jan''11 Multi'!I13,($F5*'Jan''11 Multi'!I7/'Jan''11 Multi'!I8-'Jan''11 Multi'!I12)*('Jan''11 Multi'!I17/100)*'Jan''11 Multi'!I8,('Jan''11 Multi'!I13-'Jan''11 Multi'!I12)*('Jan''11 Multi'!I17/100)*'Jan''11 Multi'!I8))</f>
        <v>0</v>
      </c>
      <c r="H12" s="59">
        <f>IF($F5*'Jan''11 Multi'!J7/'Jan''11 Multi'!J8&lt;'Jan''11 Multi'!J12,0,IF($F5*'Jan''11 Multi'!J7/'Jan''11 Multi'!J8&lt;='Jan''11 Multi'!J13,($F5*'Jan''11 Multi'!J7/'Jan''11 Multi'!J8-'Jan''11 Multi'!J12)*('Jan''11 Multi'!J17/100)*'Jan''11 Multi'!J8,('Jan''11 Multi'!J13-'Jan''11 Multi'!J12)*('Jan''11 Multi'!J17/100)*'Jan''11 Multi'!J8))</f>
        <v>0</v>
      </c>
      <c r="I12" s="59">
        <f>IF($F5*'Jan''11 Multi'!K7/'Jan''11 Multi'!K8&lt;'Jan''11 Multi'!K12,0,IF($F5*'Jan''11 Multi'!K7/'Jan''11 Multi'!K8&lt;='Jan''11 Multi'!K13,($F5*'Jan''11 Multi'!K7/'Jan''11 Multi'!K8-'Jan''11 Multi'!K12)*('Jan''11 Multi'!K17/100)*'Jan''11 Multi'!K8,('Jan''11 Multi'!K13-'Jan''11 Multi'!K12)*('Jan''11 Multi'!K17/100)*'Jan''11 Multi'!K8))</f>
        <v>0</v>
      </c>
      <c r="J12" s="63"/>
    </row>
    <row r="13" spans="1:14" x14ac:dyDescent="0.15">
      <c r="A13" s="40" t="s">
        <v>605</v>
      </c>
      <c r="C13" s="59">
        <f>IF($F5*'Jan''11 Multi'!E7/'Jan''11 Multi'!E8&lt;'Jan''11 Multi'!E13,0,IF($F5*'Jan''11 Multi'!E7/'Jan''11 Multi'!E8&lt;='Jan''11 Multi'!E14,($F5*'Jan''11 Multi'!E7/'Jan''11 Multi'!E8-'Jan''11 Multi'!E13)*('Jan''11 Multi'!E18/100)*'Jan''11 Multi'!E8,('Jan''11 Multi'!E14-'Jan''11 Multi'!E13)*('Jan''11 Multi'!E18/100)*'Jan''11 Multi'!E8))</f>
        <v>41.926499999999997</v>
      </c>
      <c r="D13" s="59">
        <f>IF($F5*'Jan''11 Multi'!F7/'Jan''11 Multi'!F8&lt;'Jan''11 Multi'!F13,0,IF($F5*'Jan''11 Multi'!F7/'Jan''11 Multi'!F8&lt;='Jan''11 Multi'!F14,($F5*'Jan''11 Multi'!F7/'Jan''11 Multi'!F8-'Jan''11 Multi'!F13)*('Jan''11 Multi'!F18/100)*'Jan''11 Multi'!F8,('Jan''11 Multi'!F14-'Jan''11 Multi'!F13)*('Jan''11 Multi'!F18/100)*'Jan''11 Multi'!F8))</f>
        <v>0</v>
      </c>
      <c r="E13" s="59">
        <f>IF($F5*'Jan''11 Multi'!G7/'Jan''11 Multi'!G8&lt;'Jan''11 Multi'!G13,0,IF($F5*'Jan''11 Multi'!G7/'Jan''11 Multi'!G8&lt;='Jan''11 Multi'!G14,($F5*'Jan''11 Multi'!G7/'Jan''11 Multi'!G8-'Jan''11 Multi'!G13)*('Jan''11 Multi'!G18/100)*'Jan''11 Multi'!G8,('Jan''11 Multi'!G14-'Jan''11 Multi'!G13)*('Jan''11 Multi'!G18/100)*'Jan''11 Multi'!G8))</f>
        <v>0</v>
      </c>
      <c r="F13" s="59">
        <f>IF($F5*'Jan''11 Multi'!H7/'Jan''11 Multi'!H8&lt;'Jan''11 Multi'!H13,0,IF($F5*'Jan''11 Multi'!H7/'Jan''11 Multi'!H8&lt;='Jan''11 Multi'!H14,($F5*'Jan''11 Multi'!H7/'Jan''11 Multi'!H8-'Jan''11 Multi'!H13)*('Jan''11 Multi'!H18/100)*'Jan''11 Multi'!H8,('Jan''11 Multi'!H14-'Jan''11 Multi'!H13)*('Jan''11 Multi'!H18/100)*'Jan''11 Multi'!H8))</f>
        <v>0</v>
      </c>
      <c r="G13" s="59">
        <f>IF($F5*'Jan''11 Multi'!I7/'Jan''11 Multi'!I8&lt;'Jan''11 Multi'!I13,0,IF($F5*'Jan''11 Multi'!I7/'Jan''11 Multi'!I8&lt;='Jan''11 Multi'!I14,($F5*'Jan''11 Multi'!I7/'Jan''11 Multi'!I8-'Jan''11 Multi'!I13)*('Jan''11 Multi'!I18/100)*'Jan''11 Multi'!I8,('Jan''11 Multi'!I14-'Jan''11 Multi'!I13)*('Jan''11 Multi'!I18/100)*'Jan''11 Multi'!I8))</f>
        <v>0</v>
      </c>
      <c r="H13" s="59">
        <f>IF($F5*'Jan''11 Multi'!J7/'Jan''11 Multi'!J8&lt;'Jan''11 Multi'!J13,0,IF($F5*'Jan''11 Multi'!J7/'Jan''11 Multi'!J8&lt;='Jan''11 Multi'!J14,($F5*'Jan''11 Multi'!J7/'Jan''11 Multi'!J8-'Jan''11 Multi'!J13)*('Jan''11 Multi'!J18/100)*'Jan''11 Multi'!J8,('Jan''11 Multi'!J14-'Jan''11 Multi'!J13)*('Jan''11 Multi'!J18/100)*'Jan''11 Multi'!J8))</f>
        <v>0</v>
      </c>
      <c r="I13" s="59">
        <f>IF($F5*'Jan''11 Multi'!K7/'Jan''11 Multi'!K8&lt;'Jan''11 Multi'!K13,0,IF($F5*'Jan''11 Multi'!K7/'Jan''11 Multi'!K8&lt;='Jan''11 Multi'!K14,($F5*'Jan''11 Multi'!K7/'Jan''11 Multi'!K8-'Jan''11 Multi'!K13)*('Jan''11 Multi'!K18/100)*'Jan''11 Multi'!K8,('Jan''11 Multi'!K14-'Jan''11 Multi'!K13)*('Jan''11 Multi'!K18/100)*'Jan''11 Multi'!K8))</f>
        <v>0</v>
      </c>
      <c r="J13" s="63"/>
    </row>
    <row r="14" spans="1:14" x14ac:dyDescent="0.15">
      <c r="A14" s="40" t="s">
        <v>606</v>
      </c>
      <c r="C14" s="59">
        <f>IF(($F5*'Jan''11 Multi'!E7/'Jan''11 Multi'!E8&gt;'Jan''11 Multi'!E14),($F5*'Jan''11 Multi'!E7/'Jan''11 Multi'!E8-'Jan''11 Multi'!E14)*'Jan''11 Multi'!E19/100*'Jan''11 Multi'!E8,0)</f>
        <v>0</v>
      </c>
      <c r="D14" s="59">
        <f>IF(($F5*'Jan''11 Multi'!F7/'Jan''11 Multi'!F8&gt;'Jan''11 Multi'!F14),($F5*'Jan''11 Multi'!F7/'Jan''11 Multi'!F8-'Jan''11 Multi'!F14)*'Jan''11 Multi'!F19/100*'Jan''11 Multi'!F8,0)</f>
        <v>37.471499999999999</v>
      </c>
      <c r="E14" s="59">
        <f>IF(($F5*'Jan''11 Multi'!G7/'Jan''11 Multi'!G8&gt;'Jan''11 Multi'!G14),($F5*'Jan''11 Multi'!G7/'Jan''11 Multi'!G8-'Jan''11 Multi'!G14)*'Jan''11 Multi'!G19/100*'Jan''11 Multi'!G8,0)</f>
        <v>38.411999999999999</v>
      </c>
      <c r="F14" s="59">
        <f>IF(($F5*'Jan''11 Multi'!H7/'Jan''11 Multi'!H8&gt;'Jan''11 Multi'!H14),($F5*'Jan''11 Multi'!H7/'Jan''11 Multi'!H8-'Jan''11 Multi'!H14)*'Jan''11 Multi'!H19/100*'Jan''11 Multi'!H8,0)</f>
        <v>163.35000000000002</v>
      </c>
      <c r="G14" s="59">
        <f>IF(($F5*'Jan''11 Multi'!I7/'Jan''11 Multi'!I8&gt;'Jan''11 Multi'!I14),($F5*'Jan''11 Multi'!I7/'Jan''11 Multi'!I8-'Jan''11 Multi'!I14)*'Jan''11 Multi'!I19/100*'Jan''11 Multi'!I8,0)</f>
        <v>36.630000000000003</v>
      </c>
      <c r="H14" s="59">
        <f>IF(($F5*'Jan''11 Multi'!J7/'Jan''11 Multi'!J8&gt;'Jan''11 Multi'!J14),($F5*'Jan''11 Multi'!J7/'Jan''11 Multi'!J8-'Jan''11 Multi'!J14)*'Jan''11 Multi'!J19/100*'Jan''11 Multi'!J8,0)</f>
        <v>39.302999999999997</v>
      </c>
      <c r="I14" s="59">
        <f>IF(($F5*'Jan''11 Multi'!K7/'Jan''11 Multi'!K8&gt;'Jan''11 Multi'!K14),($F5*'Jan''11 Multi'!K7/'Jan''11 Multi'!K8-'Jan''11 Multi'!K14)*'Jan''11 Multi'!K19/100*'Jan''11 Multi'!K8,0)</f>
        <v>34.224299999999999</v>
      </c>
      <c r="J14" s="63"/>
    </row>
    <row r="15" spans="1:14" x14ac:dyDescent="0.15">
      <c r="A15" s="40" t="s">
        <v>607</v>
      </c>
      <c r="C15" s="59">
        <f>IF($F5*'Jan''11 Multi'!E9/'Jan''11 Multi'!E10&gt;='Jan''11 Multi'!E11,('Jan''11 Multi'!E11*'Jan''11 Multi'!E20/100)*'Jan''11 Multi'!E10,($F5*'Jan''11 Multi'!E9/'Jan''11 Multi'!E10*'Jan''11 Multi'!E20/100)*'Jan''11 Multi'!E10)</f>
        <v>139.19400000000002</v>
      </c>
      <c r="D15" s="59">
        <f>IF($F5*'Jan''11 Multi'!F9/'Jan''11 Multi'!F10&gt;='Jan''11 Multi'!F11,('Jan''11 Multi'!F11*'Jan''11 Multi'!F20/100)*'Jan''11 Multi'!F10,($F5*'Jan''11 Multi'!F9/'Jan''11 Multi'!F10*'Jan''11 Multi'!F20/100)*'Jan''11 Multi'!F10)</f>
        <v>272.84400000000005</v>
      </c>
      <c r="E15" s="59">
        <f>IF($F5*'Jan''11 Multi'!G9/'Jan''11 Multi'!G10&gt;='Jan''11 Multi'!G11,('Jan''11 Multi'!G11*'Jan''11 Multi'!G20/100)*'Jan''11 Multi'!G10,($F5*'Jan''11 Multi'!G9/'Jan''11 Multi'!G10*'Jan''11 Multi'!G20/100)*'Jan''11 Multi'!G10)</f>
        <v>303.46199999999999</v>
      </c>
      <c r="F15" s="59">
        <f>IF($F5*'Jan''11 Multi'!H9/'Jan''11 Multi'!H10&gt;='Jan''11 Multi'!H11,('Jan''11 Multi'!H11*'Jan''11 Multi'!H20/100)*'Jan''11 Multi'!H10,($F5*'Jan''11 Multi'!H9/'Jan''11 Multi'!H10*'Jan''11 Multi'!H20/100)*'Jan''11 Multi'!H10)</f>
        <v>288</v>
      </c>
      <c r="G15" s="59">
        <f>IF($F5*'Jan''11 Multi'!I9/'Jan''11 Multi'!I10&gt;='Jan''11 Multi'!I11,('Jan''11 Multi'!I11*'Jan''11 Multi'!I20/100)*'Jan''11 Multi'!I10,($F5*'Jan''11 Multi'!I9/'Jan''11 Multi'!I10*'Jan''11 Multi'!I20/100)*'Jan''11 Multi'!I10)</f>
        <v>255.22199999999998</v>
      </c>
      <c r="H15" s="59">
        <f>IF($F5*'Jan''11 Multi'!J9/'Jan''11 Multi'!J10&gt;='Jan''11 Multi'!J11,('Jan''11 Multi'!J11*'Jan''11 Multi'!J20/100)*'Jan''11 Multi'!J10,($F5*'Jan''11 Multi'!J9/'Jan''11 Multi'!J10*'Jan''11 Multi'!J20/100)*'Jan''11 Multi'!J10)</f>
        <v>292.04999999999995</v>
      </c>
      <c r="I15" s="59">
        <f>IF($F5*'Jan''11 Multi'!K9/'Jan''11 Multi'!K10&gt;='Jan''11 Multi'!K11,('Jan''11 Multi'!K11*'Jan''11 Multi'!K20/100)*'Jan''11 Multi'!K10,($F5*'Jan''11 Multi'!K9/'Jan''11 Multi'!K10*'Jan''11 Multi'!K20/100)*'Jan''11 Multi'!K10)</f>
        <v>332.2638</v>
      </c>
      <c r="J15" s="63"/>
    </row>
    <row r="16" spans="1:14" x14ac:dyDescent="0.15">
      <c r="A16" s="40" t="s">
        <v>608</v>
      </c>
      <c r="C16" s="59">
        <f>IF($F5*'Jan''11 Multi'!E9/'Jan''11 Multi'!E10&lt;'Jan''11 Multi'!E11,0,IF($F5*'Jan''11 Multi'!E9/'Jan''11 Multi'!E10&lt;='Jan''11 Multi'!E12,($F5*'Jan''11 Multi'!E9/'Jan''11 Multi'!E10-'Jan''11 Multi'!E11)*('Jan''11 Multi'!E21/100)*'Jan''11 Multi'!E10,('Jan''11 Multi'!E12-'Jan''11 Multi'!E11)*('Jan''11 Multi'!E21/100)*'Jan''11 Multi'!E10))</f>
        <v>121.86900000000001</v>
      </c>
      <c r="D16" s="59">
        <f>IF($F5*'Jan''11 Multi'!F9/'Jan''11 Multi'!F10&lt;'Jan''11 Multi'!F11,0,IF($F5*'Jan''11 Multi'!F9/'Jan''11 Multi'!F10&lt;='Jan''11 Multi'!F12,($F5*'Jan''11 Multi'!F9/'Jan''11 Multi'!F10-'Jan''11 Multi'!F11)*('Jan''11 Multi'!F21/100)*'Jan''11 Multi'!F10,('Jan''11 Multi'!F12-'Jan''11 Multi'!F11)*('Jan''11 Multi'!F21/100)*'Jan''11 Multi'!F10))</f>
        <v>101.47500000000001</v>
      </c>
      <c r="E16" s="59">
        <f>IF($F5*'Jan''11 Multi'!G9/'Jan''11 Multi'!G10&lt;'Jan''11 Multi'!G11,0,IF($F5*'Jan''11 Multi'!G9/'Jan''11 Multi'!G10&lt;='Jan''11 Multi'!G12,($F5*'Jan''11 Multi'!G9/'Jan''11 Multi'!G10-'Jan''11 Multi'!G11)*('Jan''11 Multi'!G21/100)*'Jan''11 Multi'!G10,('Jan''11 Multi'!G12-'Jan''11 Multi'!G11)*('Jan''11 Multi'!G21/100)*'Jan''11 Multi'!G10))</f>
        <v>105.633</v>
      </c>
      <c r="F16" s="59">
        <f>IF($F5*'Jan''11 Multi'!H9/'Jan''11 Multi'!H10&lt;'Jan''11 Multi'!H11,0,IF($F5*'Jan''11 Multi'!H9/'Jan''11 Multi'!H10&lt;='Jan''11 Multi'!H12,($F5*'Jan''11 Multi'!H9/'Jan''11 Multi'!H10-'Jan''11 Multi'!H11)*('Jan''11 Multi'!H21/100)*'Jan''11 Multi'!H10,('Jan''11 Multi'!H12-'Jan''11 Multi'!H11)*('Jan''11 Multi'!H21/100)*'Jan''11 Multi'!H10))</f>
        <v>0</v>
      </c>
      <c r="G16" s="59">
        <f>IF($F5*'Jan''11 Multi'!I9/'Jan''11 Multi'!I10&lt;'Jan''11 Multi'!I11,0,IF($F5*'Jan''11 Multi'!I9/'Jan''11 Multi'!I10&lt;='Jan''11 Multi'!I12,($F5*'Jan''11 Multi'!I9/'Jan''11 Multi'!I10-'Jan''11 Multi'!I11)*('Jan''11 Multi'!I21/100)*'Jan''11 Multi'!I10,('Jan''11 Multi'!I12-'Jan''11 Multi'!I11)*('Jan''11 Multi'!I21/100)*'Jan''11 Multi'!I10))</f>
        <v>93.455999999999989</v>
      </c>
      <c r="H16" s="59">
        <f>IF($F5*'Jan''11 Multi'!J9/'Jan''11 Multi'!J10&lt;'Jan''11 Multi'!J11,0,IF($F5*'Jan''11 Multi'!J9/'Jan''11 Multi'!J10&lt;='Jan''11 Multi'!J12,($F5*'Jan''11 Multi'!J9/'Jan''11 Multi'!J10-'Jan''11 Multi'!J11)*('Jan''11 Multi'!J21/100)*'Jan''11 Multi'!J10,('Jan''11 Multi'!J12-'Jan''11 Multi'!J11)*('Jan''11 Multi'!J21/100)*'Jan''11 Multi'!J10))</f>
        <v>99.593999999999994</v>
      </c>
      <c r="I16" s="59">
        <f>IF($F5*'Jan''11 Multi'!K9/'Jan''11 Multi'!K10&lt;'Jan''11 Multi'!K11,0,IF($F5*'Jan''11 Multi'!K9/'Jan''11 Multi'!K10&lt;='Jan''11 Multi'!K12,($F5*'Jan''11 Multi'!K9/'Jan''11 Multi'!K10-'Jan''11 Multi'!K11)*('Jan''11 Multi'!K21/100)*'Jan''11 Multi'!K10,('Jan''11 Multi'!K12-'Jan''11 Multi'!K11)*('Jan''11 Multi'!K21/100)*'Jan''11 Multi'!K10))</f>
        <v>107.4744</v>
      </c>
      <c r="J16" s="63"/>
    </row>
    <row r="17" spans="1:10" x14ac:dyDescent="0.15">
      <c r="A17" s="40" t="s">
        <v>609</v>
      </c>
      <c r="C17" s="59">
        <f>IF($F5*'Jan''11 Multi'!E9/'Jan''11 Multi'!E10&lt;'Jan''11 Multi'!E12,0,IF($F5*'Jan''11 Multi'!E9/'Jan''11 Multi'!E10&lt;='Jan''11 Multi'!E13,($F5*'Jan''11 Multi'!E9/'Jan''11 Multi'!E10-'Jan''11 Multi'!E12)*('Jan''11 Multi'!E22/100)*'Jan''11 Multi'!E10,('Jan''11 Multi'!E13-'Jan''11 Multi'!E12)*('Jan''11 Multi'!E22/100)*'Jan''11 Multi'!E10))</f>
        <v>96.425999999999988</v>
      </c>
      <c r="D17" s="59">
        <f>IF($F5*'Jan''11 Multi'!F9/'Jan''11 Multi'!F10&lt;'Jan''11 Multi'!F12,0,IF($F5*'Jan''11 Multi'!F9/'Jan''11 Multi'!F10&lt;='Jan''11 Multi'!F13,($F5*'Jan''11 Multi'!F9/'Jan''11 Multi'!F10-'Jan''11 Multi'!F12)*('Jan''11 Multi'!F22/100)*'Jan''11 Multi'!F10,('Jan''11 Multi'!F13-'Jan''11 Multi'!F12)*('Jan''11 Multi'!F22/100)*'Jan''11 Multi'!F10))</f>
        <v>0</v>
      </c>
      <c r="E17" s="59">
        <f>IF($F5*'Jan''11 Multi'!G9/'Jan''11 Multi'!G10&lt;'Jan''11 Multi'!G12,0,IF($F5*'Jan''11 Multi'!G9/'Jan''11 Multi'!G10&lt;='Jan''11 Multi'!G13,($F5*'Jan''11 Multi'!G9/'Jan''11 Multi'!G10-'Jan''11 Multi'!G12)*('Jan''11 Multi'!G22/100)*'Jan''11 Multi'!G10,('Jan''11 Multi'!G13-'Jan''11 Multi'!G12)*('Jan''11 Multi'!G22/100)*'Jan''11 Multi'!G10))</f>
        <v>0</v>
      </c>
      <c r="F17" s="59">
        <f>IF($F5*'Jan''11 Multi'!H9/'Jan''11 Multi'!H10&lt;'Jan''11 Multi'!H12,0,IF($F5*'Jan''11 Multi'!H9/'Jan''11 Multi'!H10&lt;='Jan''11 Multi'!H13,($F5*'Jan''11 Multi'!H9/'Jan''11 Multi'!H10-'Jan''11 Multi'!H12)*('Jan''11 Multi'!H22/100)*'Jan''11 Multi'!H10,('Jan''11 Multi'!H13-'Jan''11 Multi'!H12)*('Jan''11 Multi'!H22/100)*'Jan''11 Multi'!H10))</f>
        <v>0</v>
      </c>
      <c r="G17" s="59">
        <f>IF($F5*'Jan''11 Multi'!I9/'Jan''11 Multi'!I10&lt;'Jan''11 Multi'!I12,0,IF($F5*'Jan''11 Multi'!I9/'Jan''11 Multi'!I10&lt;='Jan''11 Multi'!I13,($F5*'Jan''11 Multi'!I9/'Jan''11 Multi'!I10-'Jan''11 Multi'!I12)*('Jan''11 Multi'!I22/100)*'Jan''11 Multi'!I10,('Jan''11 Multi'!I13-'Jan''11 Multi'!I12)*('Jan''11 Multi'!I22/100)*'Jan''11 Multi'!I10))</f>
        <v>0</v>
      </c>
      <c r="H17" s="59">
        <f>IF($F5*'Jan''11 Multi'!J9/'Jan''11 Multi'!J10&lt;'Jan''11 Multi'!J12,0,IF($F5*'Jan''11 Multi'!J9/'Jan''11 Multi'!J10&lt;='Jan''11 Multi'!J13,($F5*'Jan''11 Multi'!J9/'Jan''11 Multi'!J10-'Jan''11 Multi'!J12)*('Jan''11 Multi'!J22/100)*'Jan''11 Multi'!J10,('Jan''11 Multi'!J13-'Jan''11 Multi'!J12)*('Jan''11 Multi'!J22/100)*'Jan''11 Multi'!J10))</f>
        <v>0</v>
      </c>
      <c r="I17" s="59">
        <f>IF($F5*'Jan''11 Multi'!K9/'Jan''11 Multi'!K10&lt;'Jan''11 Multi'!K12,0,IF($F5*'Jan''11 Multi'!K9/'Jan''11 Multi'!K10&lt;='Jan''11 Multi'!K13,($F5*'Jan''11 Multi'!K9/'Jan''11 Multi'!K10-'Jan''11 Multi'!K12)*('Jan''11 Multi'!K22/100)*'Jan''11 Multi'!K10,('Jan''11 Multi'!K13-'Jan''11 Multi'!K12)*('Jan''11 Multi'!K22/100)*'Jan''11 Multi'!K10))</f>
        <v>0</v>
      </c>
      <c r="J17" s="63"/>
    </row>
    <row r="18" spans="1:10" x14ac:dyDescent="0.15">
      <c r="A18" s="40" t="s">
        <v>610</v>
      </c>
      <c r="C18" s="59">
        <f>IF($F5*'Jan''11 Multi'!E9/'Jan''11 Multi'!E10&lt;'Jan''11 Multi'!E13,0,IF($F5*'Jan''11 Multi'!E9/'Jan''11 Multi'!E10&lt;='Jan''11 Multi'!E14,($F5*'Jan''11 Multi'!E9/'Jan''11 Multi'!E10-'Jan''11 Multi'!E13)*('Jan''11 Multi'!E23/100)*'Jan''11 Multi'!E10,('Jan''11 Multi'!E14-'Jan''11 Multi'!E13)*('Jan''11 Multi'!E23/100)*'Jan''11 Multi'!E10))</f>
        <v>40.787999999999997</v>
      </c>
      <c r="D18" s="59">
        <f>IF($F5*'Jan''11 Multi'!F9/'Jan''11 Multi'!F10&lt;'Jan''11 Multi'!F13,0,IF($F5*'Jan''11 Multi'!F9/'Jan''11 Multi'!F10&lt;='Jan''11 Multi'!F14,($F5*'Jan''11 Multi'!F9/'Jan''11 Multi'!F10-'Jan''11 Multi'!F13)*('Jan''11 Multi'!F23/100)*'Jan''11 Multi'!F10,('Jan''11 Multi'!F14-'Jan''11 Multi'!F13)*('Jan''11 Multi'!F23/100)*'Jan''11 Multi'!F10))</f>
        <v>0</v>
      </c>
      <c r="E18" s="59">
        <f>IF($F5*'Jan''11 Multi'!G9/'Jan''11 Multi'!G10&lt;'Jan''11 Multi'!G13,0,IF($F5*'Jan''11 Multi'!G9/'Jan''11 Multi'!G10&lt;='Jan''11 Multi'!G14,($F5*'Jan''11 Multi'!G9/'Jan''11 Multi'!G10-'Jan''11 Multi'!G13)*('Jan''11 Multi'!G23/100)*'Jan''11 Multi'!G10,('Jan''11 Multi'!G14-'Jan''11 Multi'!G13)*('Jan''11 Multi'!G23/100)*'Jan''11 Multi'!G10))</f>
        <v>0</v>
      </c>
      <c r="F18" s="59">
        <f>IF($F5*'Jan''11 Multi'!H9/'Jan''11 Multi'!H10&lt;'Jan''11 Multi'!H13,0,IF($F5*'Jan''11 Multi'!H9/'Jan''11 Multi'!H10&lt;='Jan''11 Multi'!H14,($F5*'Jan''11 Multi'!H9/'Jan''11 Multi'!H10-'Jan''11 Multi'!H13)*('Jan''11 Multi'!H23/100)*'Jan''11 Multi'!H10,('Jan''11 Multi'!H14-'Jan''11 Multi'!H13)*('Jan''11 Multi'!H23/100)*'Jan''11 Multi'!H10))</f>
        <v>0</v>
      </c>
      <c r="G18" s="59">
        <f>IF($F5*'Jan''11 Multi'!I9/'Jan''11 Multi'!I10&lt;'Jan''11 Multi'!I13,0,IF($F5*'Jan''11 Multi'!I9/'Jan''11 Multi'!I10&lt;='Jan''11 Multi'!I14,($F5*'Jan''11 Multi'!I9/'Jan''11 Multi'!I10-'Jan''11 Multi'!I13)*('Jan''11 Multi'!I23/100)*'Jan''11 Multi'!I10,('Jan''11 Multi'!I14-'Jan''11 Multi'!I13)*('Jan''11 Multi'!I23/100)*'Jan''11 Multi'!I10))</f>
        <v>0</v>
      </c>
      <c r="H18" s="59">
        <f>IF($F5*'Jan''11 Multi'!J9/'Jan''11 Multi'!J10&lt;'Jan''11 Multi'!J13,0,IF($F5*'Jan''11 Multi'!J9/'Jan''11 Multi'!J10&lt;='Jan''11 Multi'!J14,($F5*'Jan''11 Multi'!J9/'Jan''11 Multi'!J10-'Jan''11 Multi'!J13)*('Jan''11 Multi'!J23/100)*'Jan''11 Multi'!J10,('Jan''11 Multi'!J14-'Jan''11 Multi'!J13)*('Jan''11 Multi'!J23/100)*'Jan''11 Multi'!J10))</f>
        <v>0</v>
      </c>
      <c r="I18" s="59">
        <f>IF($F5*'Jan''11 Multi'!K9/'Jan''11 Multi'!K10&lt;'Jan''11 Multi'!K13,0,IF($F5*'Jan''11 Multi'!K9/'Jan''11 Multi'!K10&lt;='Jan''11 Multi'!K14,($F5*'Jan''11 Multi'!K9/'Jan''11 Multi'!K10-'Jan''11 Multi'!K13)*('Jan''11 Multi'!K23/100)*'Jan''11 Multi'!K10,('Jan''11 Multi'!K14-'Jan''11 Multi'!K13)*('Jan''11 Multi'!K23/100)*'Jan''11 Multi'!K10))</f>
        <v>0</v>
      </c>
      <c r="J18" s="63"/>
    </row>
    <row r="19" spans="1:10" x14ac:dyDescent="0.15">
      <c r="A19" s="40" t="s">
        <v>611</v>
      </c>
      <c r="C19" s="59">
        <f>IF(($F5*'Jan''11 Multi'!E9/'Jan''11 Multi'!E10&gt;'Jan''11 Multi'!E14),($F5*'Jan''11 Multi'!E9/'Jan''11 Multi'!E10-'Jan''11 Multi'!E14)*'Jan''11 Multi'!E24/100*'Jan''11 Multi'!E10,0)</f>
        <v>0</v>
      </c>
      <c r="D19" s="59">
        <f>IF(($F5*'Jan''11 Multi'!F9/'Jan''11 Multi'!F10&gt;'Jan''11 Multi'!F14),($F5*'Jan''11 Multi'!F9/'Jan''11 Multi'!F10-'Jan''11 Multi'!F14)*'Jan''11 Multi'!F24/100*'Jan''11 Multi'!F10,0)</f>
        <v>36.085499999999996</v>
      </c>
      <c r="E19" s="59">
        <f>IF(($F5*'Jan''11 Multi'!G9/'Jan''11 Multi'!G10&gt;'Jan''11 Multi'!G14),($F5*'Jan''11 Multi'!G9/'Jan''11 Multi'!G10-'Jan''11 Multi'!G14)*'Jan''11 Multi'!G24/100*'Jan''11 Multi'!G10,0)</f>
        <v>38.411999999999999</v>
      </c>
      <c r="F19" s="59">
        <f>IF(($F5*'Jan''11 Multi'!H9/'Jan''11 Multi'!H10&gt;'Jan''11 Multi'!H14),($F5*'Jan''11 Multi'!H9/'Jan''11 Multi'!H10-'Jan''11 Multi'!H14)*'Jan''11 Multi'!H24/100*'Jan''11 Multi'!H10,0)</f>
        <v>156.60000000000002</v>
      </c>
      <c r="G19" s="59">
        <f>IF(($F5*'Jan''11 Multi'!I9/'Jan''11 Multi'!I10&gt;'Jan''11 Multi'!I14),($F5*'Jan''11 Multi'!I9/'Jan''11 Multi'!I10-'Jan''11 Multi'!I14)*'Jan''11 Multi'!I24/100*'Jan''11 Multi'!I10,0)</f>
        <v>35.095500000000001</v>
      </c>
      <c r="H19" s="59">
        <f>IF(($F5*'Jan''11 Multi'!J9/'Jan''11 Multi'!J10&gt;'Jan''11 Multi'!J14),($F5*'Jan''11 Multi'!J9/'Jan''11 Multi'!J10-'Jan''11 Multi'!J14)*'Jan''11 Multi'!J24/100*'Jan''11 Multi'!J10,0)</f>
        <v>37.174499999999995</v>
      </c>
      <c r="I19" s="59">
        <f>IF(($F5*'Jan''11 Multi'!K9/'Jan''11 Multi'!K10&gt;'Jan''11 Multi'!K14),($F5*'Jan''11 Multi'!K9/'Jan''11 Multi'!K10-'Jan''11 Multi'!K14)*'Jan''11 Multi'!K24/100*'Jan''11 Multi'!K10,0)</f>
        <v>29.308949999999996</v>
      </c>
      <c r="J19" s="63"/>
    </row>
    <row r="20" spans="1:10" x14ac:dyDescent="0.15">
      <c r="A20" s="40" t="s">
        <v>612</v>
      </c>
      <c r="C20" s="59">
        <f>365*'Jan''11 Multi'!E25/100</f>
        <v>195.20930000000001</v>
      </c>
      <c r="D20" s="59">
        <f>365*'Jan''11 Multi'!F25/100</f>
        <v>192.92074999999997</v>
      </c>
      <c r="E20" s="59">
        <f>365*'Jan''11 Multi'!G25/100</f>
        <v>192.28200000000001</v>
      </c>
      <c r="F20" s="59">
        <f>365*'Jan''11 Multi'!H25/100</f>
        <v>198.23150000000001</v>
      </c>
      <c r="G20" s="59">
        <f>365*'Jan''11 Multi'!I25/100</f>
        <v>176.66</v>
      </c>
      <c r="H20" s="59">
        <f>365*'Jan''11 Multi'!J25/100</f>
        <v>208.05</v>
      </c>
      <c r="I20" s="59">
        <f>365*'Jan''11 Multi'!K25/100</f>
        <v>252.34275000000002</v>
      </c>
      <c r="J20" s="60">
        <f>AVERAGE(C20:I20)</f>
        <v>202.24232857142857</v>
      </c>
    </row>
    <row r="21" spans="1:10" x14ac:dyDescent="0.15">
      <c r="A21" s="62" t="s">
        <v>613</v>
      </c>
      <c r="B21" s="63"/>
      <c r="C21" s="60">
        <f>SUM(C10:C20)</f>
        <v>1016.8598</v>
      </c>
      <c r="D21" s="60">
        <f t="shared" ref="D21:I21" si="0">SUM(D10:D20)</f>
        <v>1048.9737500000001</v>
      </c>
      <c r="E21" s="60">
        <f t="shared" si="0"/>
        <v>1092.0840000000001</v>
      </c>
      <c r="F21" s="60">
        <f t="shared" si="0"/>
        <v>1103.1815000000001</v>
      </c>
      <c r="G21" s="60">
        <f t="shared" si="0"/>
        <v>972.07550000000003</v>
      </c>
      <c r="H21" s="60">
        <f t="shared" si="0"/>
        <v>1105.0395000000001</v>
      </c>
      <c r="I21" s="60">
        <f t="shared" si="0"/>
        <v>1235.3780999999999</v>
      </c>
      <c r="J21" s="64">
        <f>AVERAGE(C21:I21)</f>
        <v>1081.9417357142859</v>
      </c>
    </row>
    <row r="23" spans="1:10" x14ac:dyDescent="0.15">
      <c r="A23" s="53" t="s">
        <v>1076</v>
      </c>
      <c r="C23" s="23" t="s">
        <v>1044</v>
      </c>
      <c r="D23" s="23" t="s">
        <v>591</v>
      </c>
      <c r="E23" s="23" t="s">
        <v>555</v>
      </c>
      <c r="F23" s="23" t="s">
        <v>544</v>
      </c>
      <c r="G23" s="23" t="s">
        <v>514</v>
      </c>
      <c r="H23" s="23" t="s">
        <v>615</v>
      </c>
      <c r="I23" s="23" t="s">
        <v>515</v>
      </c>
      <c r="J23" s="57" t="s">
        <v>601</v>
      </c>
    </row>
    <row r="24" spans="1:10" x14ac:dyDescent="0.15">
      <c r="A24" s="40" t="s">
        <v>602</v>
      </c>
      <c r="C24" s="59">
        <f>IF($F5*'Jan''11 Multi'!E29/'Jan''11 Multi'!E30&gt;='Jan''11 Multi'!E33,('Jan''11 Multi'!E33*'Jan''11 Multi'!E37/100)*'Jan''11 Multi'!E30,($F5*'Jan''11 Multi'!E29/'Jan''11 Multi'!E30*'Jan''11 Multi'!E37/100)*'Jan''11 Multi'!E30)</f>
        <v>145.72800000000001</v>
      </c>
      <c r="D24" s="59">
        <f>IF($F5*'Jan''11 Multi'!F29/'Jan''11 Multi'!F30&gt;='Jan''11 Multi'!F33,('Jan''11 Multi'!F33*'Jan''11 Multi'!F37/100)*'Jan''11 Multi'!F30,($F5*'Jan''11 Multi'!F29/'Jan''11 Multi'!F30*'Jan''11 Multi'!F37/100)*'Jan''11 Multi'!F30)</f>
        <v>168.399</v>
      </c>
      <c r="E24" s="59">
        <f>IF($F5*'Jan''11 Multi'!G29/'Jan''11 Multi'!G30&gt;='Jan''11 Multi'!G33,('Jan''11 Multi'!G33*'Jan''11 Multi'!G37/100)*'Jan''11 Multi'!G30,($F5*'Jan''11 Multi'!G29/'Jan''11 Multi'!G30*'Jan''11 Multi'!G37/100)*'Jan''11 Multi'!G30)</f>
        <v>108.304</v>
      </c>
      <c r="F24" s="59">
        <f>IF($F5*'Jan''11 Multi'!H29/'Jan''11 Multi'!H30&gt;='Jan''11 Multi'!H33,('Jan''11 Multi'!H33*'Jan''11 Multi'!H37/100)*'Jan''11 Multi'!H30,($F5*'Jan''11 Multi'!H29/'Jan''11 Multi'!H30*'Jan''11 Multi'!H37/100)*'Jan''11 Multi'!H30)</f>
        <v>109.9</v>
      </c>
      <c r="G24" s="59">
        <f>IF($F5*'Jan''11 Multi'!I29/'Jan''11 Multi'!I30&gt;='Jan''11 Multi'!I33,('Jan''11 Multi'!I33*'Jan''11 Multi'!I37/100)*'Jan''11 Multi'!I30,($F5*'Jan''11 Multi'!I29/'Jan''11 Multi'!I30*'Jan''11 Multi'!I37/100)*'Jan''11 Multi'!I30)</f>
        <v>97.097000000000008</v>
      </c>
      <c r="H24" s="59">
        <f>IF($F5*'Jan''11 Multi'!J29/'Jan''11 Multi'!J30&gt;='Jan''11 Multi'!J33,('Jan''11 Multi'!J33*'Jan''11 Multi'!J37/100)*'Jan''11 Multi'!J30,($F5*'Jan''11 Multi'!J29/'Jan''11 Multi'!J30*'Jan''11 Multi'!J37/100)*'Jan''11 Multi'!J30)</f>
        <v>107.26100000000001</v>
      </c>
      <c r="I24" s="59">
        <f>IF($F5*'Jan''11 Multi'!K29/'Jan''11 Multi'!K30&gt;='Jan''11 Multi'!K33,('Jan''11 Multi'!K33*'Jan''11 Multi'!K37/100)*'Jan''11 Multi'!K30,($F5*'Jan''11 Multi'!K29/'Jan''11 Multi'!K30*'Jan''11 Multi'!K37/100)*'Jan''11 Multi'!K30)</f>
        <v>189.01575</v>
      </c>
      <c r="J24" s="63"/>
    </row>
    <row r="25" spans="1:10" x14ac:dyDescent="0.15">
      <c r="A25" s="40" t="s">
        <v>603</v>
      </c>
      <c r="C25" s="59">
        <f>IF($F5*'Jan''11 Multi'!E29/'Jan''11 Multi'!E30&lt;'Jan''11 Multi'!E33,0,IF($F5*'Jan''11 Multi'!E29/'Jan''11 Multi'!E30&lt;='Jan''11 Multi'!E34,($F5*'Jan''11 Multi'!E29/'Jan''11 Multi'!E30-'Jan''11 Multi'!E33)*('Jan''11 Multi'!E38/100)*'Jan''11 Multi'!E30,('Jan''11 Multi'!E34-'Jan''11 Multi'!E33)*('Jan''11 Multi'!E38/100)*'Jan''11 Multi'!E30))</f>
        <v>128.99700000000001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63"/>
    </row>
    <row r="26" spans="1:10" x14ac:dyDescent="0.15">
      <c r="A26" s="40" t="s">
        <v>604</v>
      </c>
      <c r="C26" s="59">
        <f>IF($F5*'Jan''11 Multi'!E29/'Jan''11 Multi'!E30&lt;'Jan''11 Multi'!E34,0,IF($F5*'Jan''11 Multi'!E29/'Jan''11 Multi'!E30&lt;='Jan''11 Multi'!E35,($F5*'Jan''11 Multi'!E29/'Jan''11 Multi'!E30-'Jan''11 Multi'!E34)*('Jan''11 Multi'!E39/100)*'Jan''11 Multi'!E30,('Jan''11 Multi'!E35-'Jan''11 Multi'!E34)*('Jan''11 Multi'!E39/100)*'Jan''11 Multi'!E30))</f>
        <v>113.65199999999999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63"/>
    </row>
    <row r="27" spans="1:10" x14ac:dyDescent="0.15">
      <c r="A27" s="40" t="s">
        <v>605</v>
      </c>
      <c r="C27" s="59">
        <f>IF($F5*'Jan''11 Multi'!E29/'Jan''11 Multi'!E30&lt;'Jan''11 Multi'!E35,0,IF(F5*'Jan''11 Multi'!E29/'Jan''11 Multi'!E30&lt;='Jan''11 Multi'!E36,($F5*'Jan''11 Multi'!E29/'Jan''11 Multi'!E30-'Jan''11 Multi'!E35)*('Jan''11 Multi'!E40/100)*'Jan''11 Multi'!E30,('Jan''11 Multi'!E36-'Jan''11 Multi'!E35)*('Jan''11 Multi'!E40/100)*'Jan''11 Multi'!E30))</f>
        <v>54.747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63"/>
    </row>
    <row r="28" spans="1:10" x14ac:dyDescent="0.15">
      <c r="A28" s="40" t="s">
        <v>606</v>
      </c>
      <c r="C28" s="59">
        <f>IF(($F5*'Jan''11 Multi'!E29/'Jan''11 Multi'!E30&gt;'Jan''11 Multi'!E36),($F5*'Jan''11 Multi'!E29/'Jan''11 Multi'!E30-'Jan''11 Multi'!E36)*'Jan''11 Multi'!E41/100*'Jan''11 Multi'!E30,0)</f>
        <v>0</v>
      </c>
      <c r="D28" s="59">
        <f>IF(($F5*'Jan''11 Multi'!F29/'Jan''11 Multi'!F30&gt;'Jan''11 Multi'!F36),($F5*'Jan''11 Multi'!F29/'Jan''11 Multi'!F30-'Jan''11 Multi'!F36)*'Jan''11 Multi'!F41/100*'Jan''11 Multi'!F30,0)</f>
        <v>265.18799999999999</v>
      </c>
      <c r="E28" s="59">
        <f>IF(($F5*'Jan''11 Multi'!G29/'Jan''11 Multi'!G30&gt;'Jan''11 Multi'!G36),($F5*'Jan''11 Multi'!G29/'Jan''11 Multi'!G30-'Jan''11 Multi'!G36)*'Jan''11 Multi'!G41/100*'Jan''11 Multi'!G30,0)</f>
        <v>186.70399019999996</v>
      </c>
      <c r="F28" s="59">
        <f>IF(($F5*'Jan''11 Multi'!H29/'Jan''11 Multi'!H30&gt;'Jan''11 Multi'!H36),($F5*'Jan''11 Multi'!H29/'Jan''11 Multi'!H30-'Jan''11 Multi'!H36)*'Jan''11 Multi'!H41/100*'Jan''11 Multi'!H30,0)</f>
        <v>181.97269999999997</v>
      </c>
      <c r="G28" s="59">
        <f>IF(($F5*'Jan''11 Multi'!I29/'Jan''11 Multi'!I30&gt;'Jan''11 Multi'!I36),($F5*'Jan''11 Multi'!I29/'Jan''11 Multi'!I30-'Jan''11 Multi'!I36)*'Jan''11 Multi'!I41/100*'Jan''11 Multi'!I30,0)</f>
        <v>168.75868239999997</v>
      </c>
      <c r="H28" s="59">
        <f>IF(($F5*'Jan''11 Multi'!J29/'Jan''11 Multi'!J30&gt;'Jan''11 Multi'!J36),($F5*'Jan''11 Multi'!J29/'Jan''11 Multi'!J30-'Jan''11 Multi'!J36)*'Jan''11 Multi'!J41/100*'Jan''11 Multi'!J30,0)</f>
        <v>185.23421069999998</v>
      </c>
      <c r="I28" s="59">
        <f>IF(($F5*'Jan''11 Multi'!K29/'Jan''11 Multi'!K30&gt;'Jan''11 Multi'!K36),($F5*'Jan''11 Multi'!K29/'Jan''11 Multi'!K30-'Jan''11 Multi'!K36)*'Jan''11 Multi'!K41/100*'Jan''11 Multi'!K30,0)</f>
        <v>303.83430000000004</v>
      </c>
      <c r="J28" s="63"/>
    </row>
    <row r="29" spans="1:10" x14ac:dyDescent="0.15">
      <c r="A29" s="40" t="s">
        <v>607</v>
      </c>
      <c r="C29" s="59">
        <f>IF($F5*'Jan''11 Multi'!E31/'Jan''11 Multi'!E32&gt;='Jan''11 Multi'!E33,('Jan''11 Multi'!E33*'Jan''11 Multi'!E42/100)*'Jan''11 Multi'!E32,($F5*'Jan''11 Multi'!E31/'Jan''11 Multi'!E32*'Jan''11 Multi'!E42/100)*'Jan''11 Multi'!E32)</f>
        <v>135.13499999999999</v>
      </c>
      <c r="D29" s="59">
        <f>IF($F5*'Jan''11 Multi'!F31/'Jan''11 Multi'!F32&gt;='Jan''11 Multi'!F33,('Jan''11 Multi'!F33*'Jan''11 Multi'!F42/100)*'Jan''11 Multi'!F32,($F5*'Jan''11 Multi'!F31/'Jan''11 Multi'!F32*'Jan''11 Multi'!F42/100)*'Jan''11 Multi'!F32)</f>
        <v>157.88849999999999</v>
      </c>
      <c r="E29" s="59">
        <f>IF($F5*'Jan''11 Multi'!G31/'Jan''11 Multi'!G32&gt;='Jan''11 Multi'!G33,('Jan''11 Multi'!G33*'Jan''11 Multi'!G42/100)*'Jan''11 Multi'!G32,($F5*'Jan''11 Multi'!G31/'Jan''11 Multi'!G32*'Jan''11 Multi'!G42/100)*'Jan''11 Multi'!G32)</f>
        <v>201.67</v>
      </c>
      <c r="F29" s="59">
        <f>IF($F5*'Jan''11 Multi'!H31/'Jan''11 Multi'!H32&gt;='Jan''11 Multi'!H33,('Jan''11 Multi'!H33*'Jan''11 Multi'!H42/100)*'Jan''11 Multi'!H32,($F5*'Jan''11 Multi'!H31/'Jan''11 Multi'!H32*'Jan''11 Multi'!H42/100)*'Jan''11 Multi'!H32)</f>
        <v>208.6</v>
      </c>
      <c r="G29" s="59">
        <f>IF($F5*'Jan''11 Multi'!I31/'Jan''11 Multi'!I32&gt;='Jan''11 Multi'!I33,('Jan''11 Multi'!I33*'Jan''11 Multi'!I42/100)*'Jan''11 Multi'!I32,($F5*'Jan''11 Multi'!I31/'Jan''11 Multi'!I32*'Jan''11 Multi'!I42/100)*'Jan''11 Multi'!I32)</f>
        <v>184.64599999999999</v>
      </c>
      <c r="H29" s="59">
        <f>IF($F5*'Jan''11 Multi'!J31/'Jan''11 Multi'!J32&gt;='Jan''11 Multi'!J33,('Jan''11 Multi'!J33*'Jan''11 Multi'!J42/100)*'Jan''11 Multi'!J32,($F5*'Jan''11 Multi'!J31/'Jan''11 Multi'!J32*'Jan''11 Multi'!J42/100)*'Jan''11 Multi'!J32)</f>
        <v>204.97399999999999</v>
      </c>
      <c r="I29" s="59">
        <f>IF($F5*'Jan''11 Multi'!K31/'Jan''11 Multi'!K32&gt;='Jan''11 Multi'!K33,('Jan''11 Multi'!K33*'Jan''11 Multi'!K42/100)*'Jan''11 Multi'!K32,($F5*'Jan''11 Multi'!K31/'Jan''11 Multi'!K32*'Jan''11 Multi'!K42/100)*'Jan''11 Multi'!K32)</f>
        <v>173.28465000000003</v>
      </c>
      <c r="J29" s="63"/>
    </row>
    <row r="30" spans="1:10" x14ac:dyDescent="0.15">
      <c r="A30" s="40" t="s">
        <v>608</v>
      </c>
      <c r="C30" s="59">
        <f>IF($F5*'Jan''11 Multi'!E31/'Jan''11 Multi'!E32&lt;'Jan''11 Multi'!E33,0,IF($F5*'Jan''11 Multi'!E31/'Jan''11 Multi'!E32&lt;='Jan''11 Multi'!E34,($F5*'Jan''11 Multi'!E31/'Jan''11 Multi'!E32-'Jan''11 Multi'!E33)*('Jan''11 Multi'!E43/100)*'Jan''11 Multi'!E32,('Jan''11 Multi'!E34-'Jan''11 Multi'!E33)*('Jan''11 Multi'!E43/100)*'Jan''11 Multi'!E32))</f>
        <v>120.78000000000002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63"/>
    </row>
    <row r="31" spans="1:10" x14ac:dyDescent="0.15">
      <c r="A31" s="40" t="s">
        <v>609</v>
      </c>
      <c r="C31" s="59">
        <f>IF($F5*'Jan''11 Multi'!E31/'Jan''11 Multi'!E32&lt;'Jan''11 Multi'!E34,0,IF($F5*'Jan''11 Multi'!E31/'Jan''11 Multi'!E32&lt;='Jan''11 Multi'!E35,($F5*'Jan''11 Multi'!E31/'Jan''11 Multi'!E32-'Jan''11 Multi'!E34)*('Jan''11 Multi'!E44/100)*'Jan''11 Multi'!E32,('Jan''11 Multi'!E35-'Jan''11 Multi'!E34)*('Jan''11 Multi'!E44/100)*'Jan''11 Multi'!E32))</f>
        <v>108.20699999999999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63"/>
    </row>
    <row r="32" spans="1:10" x14ac:dyDescent="0.15">
      <c r="A32" s="40" t="s">
        <v>610</v>
      </c>
      <c r="C32" s="59">
        <f>IF($F5*'Jan''11 Multi'!E31/'Jan''11 Multi'!E32&lt;'Jan''11 Multi'!E35,0,IF($F5*'Jan''11 Multi'!E31/'Jan''11 Multi'!E32&lt;='Jan''11 Multi'!E36,($F5*'Jan''11 Multi'!E31/'Jan''11 Multi'!E32-'Jan''11 Multi'!E35)*('Jan''11 Multi'!E45/100)*'Jan''11 Multi'!E32,('Jan''11 Multi'!E36-'Jan''11 Multi'!E35)*('Jan''11 Multi'!E45/100)*'Jan''11 Multi'!E32))</f>
        <v>53.261999999999993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63"/>
    </row>
    <row r="33" spans="1:10" x14ac:dyDescent="0.15">
      <c r="A33" s="40" t="s">
        <v>611</v>
      </c>
      <c r="C33" s="59">
        <f>IF(($F5*'Jan''11 Multi'!E31/'Jan''11 Multi'!E32&gt;'Jan''11 Multi'!E36),($F5*'Jan''11 Multi'!E31/'Jan''11 Multi'!E32-'Jan''11 Multi'!E36)*'Jan''11 Multi'!E46/100*'Jan''11 Multi'!E32,0)</f>
        <v>0</v>
      </c>
      <c r="D33" s="59">
        <f>IF(($F5*'Jan''11 Multi'!F31/'Jan''11 Multi'!F32&gt;'Jan''11 Multi'!F36),($F5*'Jan''11 Multi'!F31/'Jan''11 Multi'!F32-'Jan''11 Multi'!F36)*'Jan''11 Multi'!F46/100*'Jan''11 Multi'!F32,0)</f>
        <v>229.15199999999999</v>
      </c>
      <c r="E33" s="59">
        <f>IF(($F5*'Jan''11 Multi'!G31/'Jan''11 Multi'!G32&gt;'Jan''11 Multi'!G36),($F5*'Jan''11 Multi'!G31/'Jan''11 Multi'!G32-'Jan''11 Multi'!G36)*'Jan''11 Multi'!G46/100*'Jan''11 Multi'!G32,0)</f>
        <v>313.66494319999998</v>
      </c>
      <c r="F33" s="59">
        <f>IF(($F5*'Jan''11 Multi'!H31/'Jan''11 Multi'!H32&gt;'Jan''11 Multi'!H36),($F5*'Jan''11 Multi'!H31/'Jan''11 Multi'!H32-'Jan''11 Multi'!H36)*'Jan''11 Multi'!H46/100*'Jan''11 Multi'!H32,0)</f>
        <v>324.75127999999995</v>
      </c>
      <c r="G33" s="59">
        <f>IF(($F5*'Jan''11 Multi'!I31/'Jan''11 Multi'!I32&gt;'Jan''11 Multi'!I36),($F5*'Jan''11 Multi'!I31/'Jan''11 Multi'!I32-'Jan''11 Multi'!I36)*'Jan''11 Multi'!I46/100*'Jan''11 Multi'!I32,0)</f>
        <v>293.78792520000002</v>
      </c>
      <c r="H33" s="59">
        <f>IF(($F5*'Jan''11 Multi'!J31/'Jan''11 Multi'!J32&gt;'Jan''11 Multi'!J36),($F5*'Jan''11 Multi'!J31/'Jan''11 Multi'!J32-'Jan''11 Multi'!J36)*'Jan''11 Multi'!J46/100*'Jan''11 Multi'!J32,0)</f>
        <v>320.57990579999995</v>
      </c>
      <c r="I33" s="59">
        <f>IF(($F5*'Jan''11 Multi'!K31/'Jan''11 Multi'!K32&gt;'Jan''11 Multi'!K36),($F5*'Jan''11 Multi'!K31/'Jan''11 Multi'!K32-'Jan''11 Multi'!K36)*'Jan''11 Multi'!K46/100*'Jan''11 Multi'!K32,0)</f>
        <v>282.23579999999998</v>
      </c>
      <c r="J33" s="63"/>
    </row>
    <row r="34" spans="1:10" x14ac:dyDescent="0.15">
      <c r="A34" s="40" t="s">
        <v>612</v>
      </c>
      <c r="C34" s="59">
        <f>365*'Jan''11 Multi'!E47/100</f>
        <v>165.57859999999999</v>
      </c>
      <c r="D34" s="59">
        <f>365*'Jan''11 Multi'!F47/100</f>
        <v>175.53579999999999</v>
      </c>
      <c r="E34" s="59">
        <f>365*'Jan''11 Multi'!G47/100</f>
        <v>180.49250000000001</v>
      </c>
      <c r="F34" s="59">
        <f>365*'Jan''11 Multi'!H47/100</f>
        <v>177.49950000000001</v>
      </c>
      <c r="G34" s="59">
        <f>365*'Jan''11 Multi'!I47/100</f>
        <v>156.58500000000001</v>
      </c>
      <c r="H34" s="59">
        <f>365*'Jan''11 Multi'!J47/100</f>
        <v>186.15</v>
      </c>
      <c r="I34" s="59">
        <f>365*'Jan''11 Multi'!K47/100</f>
        <v>220.14245000000003</v>
      </c>
      <c r="J34" s="60">
        <f>AVERAGE(C34:I34)</f>
        <v>180.28340714285716</v>
      </c>
    </row>
    <row r="35" spans="1:10" x14ac:dyDescent="0.15">
      <c r="A35" s="62" t="s">
        <v>613</v>
      </c>
      <c r="B35" s="63"/>
      <c r="C35" s="60">
        <f>SUM(C24:C34)</f>
        <v>1026.0865999999999</v>
      </c>
      <c r="D35" s="60">
        <f t="shared" ref="D35:I35" si="1">SUM(D24:D34)</f>
        <v>996.16330000000005</v>
      </c>
      <c r="E35" s="60">
        <f t="shared" si="1"/>
        <v>990.83543340000006</v>
      </c>
      <c r="F35" s="60">
        <f t="shared" si="1"/>
        <v>1002.72348</v>
      </c>
      <c r="G35" s="60">
        <f t="shared" si="1"/>
        <v>900.87460759999999</v>
      </c>
      <c r="H35" s="60">
        <f t="shared" si="1"/>
        <v>1004.1991164999998</v>
      </c>
      <c r="I35" s="60">
        <f t="shared" si="1"/>
        <v>1168.51295</v>
      </c>
      <c r="J35" s="64">
        <f>AVERAGE(C35:I35)</f>
        <v>1012.7707839285714</v>
      </c>
    </row>
    <row r="37" spans="1:10" x14ac:dyDescent="0.15">
      <c r="A37" s="55" t="s">
        <v>1042</v>
      </c>
    </row>
    <row r="39" spans="1:10" x14ac:dyDescent="0.15">
      <c r="A39" s="53" t="s">
        <v>1024</v>
      </c>
      <c r="C39" s="23" t="s">
        <v>1044</v>
      </c>
      <c r="D39" s="23" t="s">
        <v>591</v>
      </c>
      <c r="E39" s="23" t="s">
        <v>555</v>
      </c>
      <c r="F39" s="23" t="s">
        <v>544</v>
      </c>
      <c r="G39" s="23" t="s">
        <v>514</v>
      </c>
      <c r="H39" s="23" t="s">
        <v>615</v>
      </c>
      <c r="I39" s="23" t="s">
        <v>515</v>
      </c>
      <c r="J39" s="57" t="s">
        <v>601</v>
      </c>
    </row>
    <row r="40" spans="1:10" x14ac:dyDescent="0.15">
      <c r="A40" s="40" t="s">
        <v>602</v>
      </c>
      <c r="C40" s="59">
        <f>IF($F5*'Jan''11 Envestra'!E7/'Jan''11 Envestra'!E8&gt;='Jan''11 Envestra'!E11,('Jan''11 Envestra'!E11*'Jan''11 Envestra'!E13/100)*'Jan''11 Envestra'!E8,($F5*'Jan''11 Envestra'!E7/'Jan''11 Envestra'!E8*'Jan''11 Envestra'!E13/100)*'Jan''11 Envestra'!E8)</f>
        <v>190.476</v>
      </c>
      <c r="D40" s="59">
        <f>IF($F5*'Jan''11 Envestra'!F7/'Jan''11 Envestra'!F8&gt;='Jan''11 Envestra'!F11,('Jan''11 Envestra'!F11*'Jan''11 Envestra'!F13/100)*'Jan''11 Envestra'!F8,($F5*'Jan''11 Envestra'!F7/'Jan''11 Envestra'!F8*'Jan''11 Envestra'!F13/100)*'Jan''11 Envestra'!F8)</f>
        <v>123.376</v>
      </c>
      <c r="E40" s="59">
        <f>IF($F5*'Jan''11 Envestra'!G7/'Jan''11 Envestra'!G8&gt;='Jan''11 Envestra'!G11,('Jan''11 Envestra'!G11*'Jan''11 Envestra'!G13/100)*'Jan''11 Envestra'!G8,($F5*'Jan''11 Envestra'!G7/'Jan''11 Envestra'!G8*'Jan''11 Envestra'!G13/100)*'Jan''11 Envestra'!G8)</f>
        <v>127.18400000000001</v>
      </c>
      <c r="F40" s="59">
        <f>IF($F5*'Jan''11 Envestra'!H7/'Jan''11 Envestra'!H8&gt;='Jan''11 Envestra'!H11,('Jan''11 Envestra'!H11*'Jan''11 Envestra'!H13/100)*'Jan''11 Envestra'!H8,($F5*'Jan''11 Envestra'!H7/'Jan''11 Envestra'!H8*'Jan''11 Envestra'!H13/100)*'Jan''11 Envestra'!H8)</f>
        <v>126.4</v>
      </c>
      <c r="G40" s="59">
        <f>IF($F5*'Jan''11 Envestra'!I7/'Jan''11 Envestra'!I8&gt;='Jan''11 Envestra'!I11,('Jan''11 Envestra'!I11*'Jan''11 Envestra'!I13/100)*'Jan''11 Envestra'!I8,($F5*'Jan''11 Envestra'!I7/'Jan''11 Envestra'!I8*'Jan''11 Envestra'!I13/100)*'Jan''11 Envestra'!I8)</f>
        <v>123.288</v>
      </c>
      <c r="H40" s="59">
        <f>IF($F5*'Jan''11 Envestra'!J7/'Jan''11 Envestra'!J8&gt;='Jan''11 Envestra'!J11,('Jan''11 Envestra'!J11*'Jan''11 Envestra'!J13/100)*'Jan''11 Envestra'!J8,($F5*'Jan''11 Envestra'!J7/'Jan''11 Envestra'!J8*'Jan''11 Envestra'!J13/100)*'Jan''11 Envestra'!J8)</f>
        <v>129.71199999999999</v>
      </c>
      <c r="I40" s="59">
        <f>IF($F5*'Jan''11 Envestra'!K7/'Jan''11 Envestra'!K8&gt;='Jan''11 Envestra'!K11,('Jan''11 Envestra'!K11*'Jan''11 Envestra'!K13/100)*'Jan''11 Envestra'!K8,($F5*'Jan''11 Envestra'!K7/'Jan''11 Envestra'!K8*'Jan''11 Envestra'!K13/100)*'Jan''11 Envestra'!K8)</f>
        <v>138.02799999999999</v>
      </c>
      <c r="J40" s="63"/>
    </row>
    <row r="41" spans="1:10" x14ac:dyDescent="0.15">
      <c r="A41" s="40" t="s">
        <v>603</v>
      </c>
      <c r="C41" s="59">
        <f>IF($F5*'Jan''11 Envestra'!E7/'Jan''11 Envestra'!E8&lt;'Jan''11 Envestra'!E11,0,IF($F5*'Jan''11 Envestra'!E7/'Jan''11 Envestra'!E8&lt;='Jan''11 Envestra'!E12,($F5*'Jan''11 Envestra'!E7/'Jan''11 Envestra'!E8-'Jan''11 Envestra'!E11)*('Jan''11 Envestra'!E14/100)*'Jan''11 Envestra'!E8,('Jan''11 Envestra'!E12-'Jan''11 Envestra'!E11)*('Jan''11 Envestra'!E14/100)*'Jan''11 Envestra'!E8))</f>
        <v>128.27406239999996</v>
      </c>
      <c r="D41" s="59">
        <f>IF($F5*'Jan''11 Envestra'!F7/'Jan''11 Envestra'!F8&lt;'Jan''11 Envestra'!F11,0,IF($F5*'Jan''11 Envestra'!F7/'Jan''11 Envestra'!F8&lt;='Jan''11 Envestra'!F12,($F5*'Jan''11 Envestra'!F7/'Jan''11 Envestra'!F8-'Jan''11 Envestra'!F11)*('Jan''11 Envestra'!F14/100)*'Jan''11 Envestra'!F8,('Jan''11 Envestra'!F12-'Jan''11 Envestra'!F11)*('Jan''11 Envestra'!F14/100)*'Jan''11 Envestra'!F8))</f>
        <v>189.15843869999998</v>
      </c>
      <c r="E41" s="59">
        <f>IF($F5*'Jan''11 Envestra'!G7/'Jan''11 Envestra'!G8&lt;'Jan''11 Envestra'!G11,0,IF($F5*'Jan''11 Envestra'!G7/'Jan''11 Envestra'!G8&lt;='Jan''11 Envestra'!G12,($F5*'Jan''11 Envestra'!G7/'Jan''11 Envestra'!G8-'Jan''11 Envestra'!G11)*('Jan''11 Envestra'!G14/100)*'Jan''11 Envestra'!G8,('Jan''11 Envestra'!G12-'Jan''11 Envestra'!G11)*('Jan''11 Envestra'!G14/100)*'Jan''11 Envestra'!G8))</f>
        <v>194.16263019999997</v>
      </c>
      <c r="F41" s="59">
        <f>IF($F5*'Jan''11 Envestra'!H7/'Jan''11 Envestra'!H8&lt;'Jan''11 Envestra'!H11,0,IF($F5*'Jan''11 Envestra'!H7/'Jan''11 Envestra'!H8&lt;='Jan''11 Envestra'!H12,($F5*'Jan''11 Envestra'!H7/'Jan''11 Envestra'!H8-'Jan''11 Envestra'!H11)*('Jan''11 Envestra'!H14/100)*'Jan''11 Envestra'!H8,('Jan''11 Envestra'!H12-'Jan''11 Envestra'!H11)*('Jan''11 Envestra'!H14/100)*'Jan''11 Envestra'!H8))</f>
        <v>0</v>
      </c>
      <c r="G41" s="59">
        <f>IF($F5*'Jan''11 Envestra'!I7/'Jan''11 Envestra'!I8&lt;'Jan''11 Envestra'!I11,0,IF($F5*'Jan''11 Envestra'!I7/'Jan''11 Envestra'!I8&lt;='Jan''11 Envestra'!I12,($F5*'Jan''11 Envestra'!I7/'Jan''11 Envestra'!I8-'Jan''11 Envestra'!I11)*('Jan''11 Envestra'!I14/100)*'Jan''11 Envestra'!I8,('Jan''11 Envestra'!I12-'Jan''11 Envestra'!I11)*('Jan''11 Envestra'!I14/100)*'Jan''11 Envestra'!I8))</f>
        <v>190.30225389999995</v>
      </c>
      <c r="H41" s="59">
        <f>IF($F5*'Jan''11 Envestra'!J7/'Jan''11 Envestra'!J8&lt;'Jan''11 Envestra'!J11,0,IF($F5*'Jan''11 Envestra'!J7/'Jan''11 Envestra'!J8&lt;='Jan''11 Envestra'!J12,($F5*'Jan''11 Envestra'!J7/'Jan''11 Envestra'!J8-'Jan''11 Envestra'!J11)*('Jan''11 Envestra'!J14/100)*'Jan''11 Envestra'!J8,('Jan''11 Envestra'!J12-'Jan''11 Envestra'!J11)*('Jan''11 Envestra'!J14/100)*'Jan''11 Envestra'!J8))</f>
        <v>199.88170619999997</v>
      </c>
      <c r="I41" s="59">
        <f>IF($F5*'Jan''11 Envestra'!K7/'Jan''11 Envestra'!K8&lt;'Jan''11 Envestra'!K11,0,IF($F5*'Jan''11 Envestra'!K7/'Jan''11 Envestra'!K8&lt;='Jan''11 Envestra'!K12,($F5*'Jan''11 Envestra'!K7/'Jan''11 Envestra'!K8-'Jan''11 Envestra'!K11)*('Jan''11 Envestra'!K14/100)*'Jan''11 Envestra'!K8,('Jan''11 Envestra'!K12-'Jan''11 Envestra'!K11)*('Jan''11 Envestra'!K14/100)*'Jan''11 Envestra'!K8))</f>
        <v>207.23071885999997</v>
      </c>
      <c r="J41" s="63"/>
    </row>
    <row r="42" spans="1:10" x14ac:dyDescent="0.15">
      <c r="A42" s="40" t="s">
        <v>606</v>
      </c>
      <c r="C42" s="59">
        <f>IF(($F5*'Jan''11 Envestra'!E7/'Jan''11 Envestra'!E8&gt;'Jan''11 Envestra'!E12),($F5*'Jan''11 Envestra'!E7/'Jan''11 Envestra'!E8-'Jan''11 Envestra'!E12)*'Jan''11 Envestra'!E15/100)*'Jan''11 Envestra'!E8</f>
        <v>0</v>
      </c>
      <c r="D42" s="59">
        <f>IF(($F5*'Jan''11 Envestra'!F7/'Jan''11 Envestra'!F8&gt;'Jan''11 Envestra'!F12),($F5*'Jan''11 Envestra'!F7/'Jan''11 Envestra'!F8-'Jan''11 Envestra'!F12)*'Jan''11 Envestra'!F15/100)*'Jan''11 Envestra'!F8</f>
        <v>0</v>
      </c>
      <c r="E42" s="59">
        <f>IF(($F5*'Jan''11 Envestra'!G7/'Jan''11 Envestra'!G8&gt;'Jan''11 Envestra'!G12),($F5*'Jan''11 Envestra'!G7/'Jan''11 Envestra'!G8-'Jan''11 Envestra'!G12)*'Jan''11 Envestra'!G15/100)*'Jan''11 Envestra'!G8</f>
        <v>0</v>
      </c>
      <c r="F42" s="59">
        <f>IF(($F5*'Jan''11 Envestra'!H7/'Jan''11 Envestra'!H8&gt;'Jan''11 Envestra'!H12),($F5*'Jan''11 Envestra'!H7/'Jan''11 Envestra'!H8-'Jan''11 Envestra'!H12)*'Jan''11 Envestra'!H15/100)*'Jan''11 Envestra'!H8</f>
        <v>191.06912999999997</v>
      </c>
      <c r="G42" s="59">
        <f>IF(($F5*'Jan''11 Envestra'!I7/'Jan''11 Envestra'!I8&gt;'Jan''11 Envestra'!I12),($F5*'Jan''11 Envestra'!I7/'Jan''11 Envestra'!I8-'Jan''11 Envestra'!I12)*'Jan''11 Envestra'!I15/100)*'Jan''11 Envestra'!I8</f>
        <v>0</v>
      </c>
      <c r="H42" s="59">
        <f>IF(($F5*'Jan''11 Envestra'!J7/'Jan''11 Envestra'!J8&gt;'Jan''11 Envestra'!J12),($F5*'Jan''11 Envestra'!J7/'Jan''11 Envestra'!J8-'Jan''11 Envestra'!J12)*'Jan''11 Envestra'!J15/100)*'Jan''11 Envestra'!J8</f>
        <v>0</v>
      </c>
      <c r="I42" s="59">
        <f>IF(($F5*'Jan''11 Envestra'!K7/'Jan''11 Envestra'!K8&gt;'Jan''11 Envestra'!K12),($F5*'Jan''11 Envestra'!K7/'Jan''11 Envestra'!K8-'Jan''11 Envestra'!K12)*'Jan''11 Envestra'!K15/100)*'Jan''11 Envestra'!K8</f>
        <v>0</v>
      </c>
      <c r="J42" s="63"/>
    </row>
    <row r="43" spans="1:10" x14ac:dyDescent="0.15">
      <c r="A43" s="40" t="s">
        <v>607</v>
      </c>
      <c r="C43" s="59">
        <f>IF($F5*'Jan''11 Envestra'!E9/'Jan''11 Envestra'!E10&gt;='Jan''11 Envestra'!E11,('Jan''11 Envestra'!E11*'Jan''11 Envestra'!E16/100)*'Jan''11 Envestra'!E10,($F5*'Jan''11 Envestra'!E9/'Jan''11 Envestra'!E10*'Jan''11 Envestra'!E16/100)*'Jan''11 Envestra'!E10)</f>
        <v>364.32</v>
      </c>
      <c r="D43" s="59">
        <f>IF($F5*'Jan''11 Envestra'!F9/'Jan''11 Envestra'!F10&gt;='Jan''11 Envestra'!F11,('Jan''11 Envestra'!F11*'Jan''11 Envestra'!F16/100)*'Jan''11 Envestra'!F10,($F5*'Jan''11 Envestra'!F9/'Jan''11 Envestra'!F10*'Jan''11 Envestra'!F16/100)*'Jan''11 Envestra'!F10)</f>
        <v>230.38399999999999</v>
      </c>
      <c r="E43" s="59">
        <f>IF($F5*'Jan''11 Envestra'!G9/'Jan''11 Envestra'!G10&gt;='Jan''11 Envestra'!G11,('Jan''11 Envestra'!G11*'Jan''11 Envestra'!G16/100)*'Jan''11 Envestra'!G10,($F5*'Jan''11 Envestra'!G9/'Jan''11 Envestra'!G10*'Jan''11 Envestra'!G16/100)*'Jan''11 Envestra'!G10)</f>
        <v>244.12799999999999</v>
      </c>
      <c r="F43" s="59">
        <f>IF($F5*'Jan''11 Envestra'!H9/'Jan''11 Envestra'!H10&gt;='Jan''11 Envestra'!H11,('Jan''11 Envestra'!H11*'Jan''11 Envestra'!H16/100)*'Jan''11 Envestra'!H10,($F5*'Jan''11 Envestra'!H9/'Jan''11 Envestra'!H10*'Jan''11 Envestra'!H16/100)*'Jan''11 Envestra'!H10)</f>
        <v>248</v>
      </c>
      <c r="G43" s="59">
        <f>IF($F5*'Jan''11 Envestra'!I9/'Jan''11 Envestra'!I10&gt;='Jan''11 Envestra'!I11,('Jan''11 Envestra'!I11*'Jan''11 Envestra'!I16/100)*'Jan''11 Envestra'!I10,($F5*'Jan''11 Envestra'!I9/'Jan''11 Envestra'!I10*'Jan''11 Envestra'!I16/100)*'Jan''11 Envestra'!I10)</f>
        <v>233.90400000000002</v>
      </c>
      <c r="H43" s="59">
        <f>IF($F5*'Jan''11 Envestra'!J9/'Jan''11 Envestra'!J10&gt;='Jan''11 Envestra'!J11,('Jan''11 Envestra'!J11*'Jan''11 Envestra'!J16/100)*'Jan''11 Envestra'!J10,($F5*'Jan''11 Envestra'!J9/'Jan''11 Envestra'!J10*'Jan''11 Envestra'!J16/100)*'Jan''11 Envestra'!J10)</f>
        <v>247.80799999999999</v>
      </c>
      <c r="I43" s="59">
        <f>IF($F5*'Jan''11 Envestra'!K9/'Jan''11 Envestra'!K10&gt;='Jan''11 Envestra'!K11,('Jan''11 Envestra'!K11*'Jan''11 Envestra'!K16/100)*'Jan''11 Envestra'!K10,($F5*'Jan''11 Envestra'!K9/'Jan''11 Envestra'!K10*'Jan''11 Envestra'!K16/100)*'Jan''11 Envestra'!K10)</f>
        <v>270.54720000000003</v>
      </c>
      <c r="J43" s="63"/>
    </row>
    <row r="44" spans="1:10" x14ac:dyDescent="0.15">
      <c r="A44" s="40" t="s">
        <v>608</v>
      </c>
      <c r="C44" s="59">
        <f>IF($F5*'Jan''11 Envestra'!E9/'Jan''11 Envestra'!E10&lt;'Jan''11 Envestra'!E11,0,IF($F5*'Jan''11 Envestra'!E9/'Jan''11 Envestra'!E10&lt;='Jan''11 Envestra'!E12,($F5*'Jan''11 Envestra'!E9/'Jan''11 Envestra'!E10-'Jan''11 Envestra'!E11)*('Jan''11 Envestra'!E17/100)*'Jan''11 Envestra'!E10,('Jan''11 Envestra'!E12-'Jan''11 Envestra'!E11)*('Jan''11 Envestra'!E17/100)*'Jan''11 Envestra'!E10))</f>
        <v>248.23406519999992</v>
      </c>
      <c r="D44" s="59">
        <f>IF($F5*'Jan''11 Envestra'!F9/'Jan''11 Envestra'!F10&lt;'Jan''11 Envestra'!F11,0,IF($F5*'Jan''11 Envestra'!F9/'Jan''11 Envestra'!F10&lt;='Jan''11 Envestra'!F12,($F5*'Jan''11 Envestra'!F9/'Jan''11 Envestra'!F10-'Jan''11 Envestra'!F11)*('Jan''11 Envestra'!F17/100)*'Jan''11 Envestra'!F10,('Jan''11 Envestra'!F12-'Jan''11 Envestra'!F11)*('Jan''11 Envestra'!F17/100)*'Jan''11 Envestra'!F10))</f>
        <v>373.45566279999997</v>
      </c>
      <c r="E44" s="59">
        <f>IF($F5*'Jan''11 Envestra'!G9/'Jan''11 Envestra'!G10&lt;'Jan''11 Envestra'!G11,0,IF($F5*'Jan''11 Envestra'!G9/'Jan''11 Envestra'!G10&lt;='Jan''11 Envestra'!G12,($F5*'Jan''11 Envestra'!G9/'Jan''11 Envestra'!G10-'Jan''11 Envestra'!G11)*('Jan''11 Envestra'!G17/100)*'Jan''11 Envestra'!G10,('Jan''11 Envestra'!G12-'Jan''11 Envestra'!G11)*('Jan''11 Envestra'!G17/100)*'Jan''11 Envestra'!G10))</f>
        <v>377.22505379999996</v>
      </c>
      <c r="F44" s="59">
        <f>IF($F5*'Jan''11 Envestra'!H9/'Jan''11 Envestra'!H10&lt;'Jan''11 Envestra'!H11,0,IF($F5*'Jan''11 Envestra'!H9/'Jan''11 Envestra'!H10&lt;='Jan''11 Envestra'!H12,($F5*'Jan''11 Envestra'!H9/'Jan''11 Envestra'!H10-'Jan''11 Envestra'!H11)*('Jan''11 Envestra'!H17/100)*'Jan''11 Envestra'!H10,('Jan''11 Envestra'!H12-'Jan''11 Envestra'!H11)*('Jan''11 Envestra'!H17/100)*'Jan''11 Envestra'!H10))</f>
        <v>0</v>
      </c>
      <c r="G44" s="59">
        <f>IF($F5*'Jan''11 Envestra'!I9/'Jan''11 Envestra'!I10&lt;'Jan''11 Envestra'!I11,0,IF($F5*'Jan''11 Envestra'!I9/'Jan''11 Envestra'!I10&lt;='Jan''11 Envestra'!I12,($F5*'Jan''11 Envestra'!I9/'Jan''11 Envestra'!I10-'Jan''11 Envestra'!I11)*('Jan''11 Envestra'!I17/100)*'Jan''11 Envestra'!I10,('Jan''11 Envestra'!I12-'Jan''11 Envestra'!I11)*('Jan''11 Envestra'!I17/100)*'Jan''11 Envestra'!I10))</f>
        <v>362.8753721999999</v>
      </c>
      <c r="H44" s="59">
        <f>IF($F5*'Jan''11 Envestra'!J9/'Jan''11 Envestra'!J10&lt;'Jan''11 Envestra'!J11,0,IF($F5*'Jan''11 Envestra'!J9/'Jan''11 Envestra'!J10&lt;='Jan''11 Envestra'!J12,($F5*'Jan''11 Envestra'!J9/'Jan''11 Envestra'!J10-'Jan''11 Envestra'!J11)*('Jan''11 Envestra'!J17/100)*'Jan''11 Envestra'!J10,('Jan''11 Envestra'!J12-'Jan''11 Envestra'!J11)*('Jan''11 Envestra'!J17/100)*'Jan''11 Envestra'!J10))</f>
        <v>387.46739899999994</v>
      </c>
      <c r="I44" s="59">
        <f>IF($F5*'Jan''11 Envestra'!K9/'Jan''11 Envestra'!K10&lt;'Jan''11 Envestra'!K11,0,IF($F5*'Jan''11 Envestra'!K9/'Jan''11 Envestra'!K10&lt;='Jan''11 Envestra'!K12,($F5*'Jan''11 Envestra'!K9/'Jan''11 Envestra'!K10-'Jan''11 Envestra'!K11)*('Jan''11 Envestra'!K17/100)*'Jan''11 Envestra'!K10,('Jan''11 Envestra'!K12-'Jan''11 Envestra'!K11)*('Jan''11 Envestra'!K17/100)*'Jan''11 Envestra'!K10))</f>
        <v>401.59351671999991</v>
      </c>
      <c r="J44" s="63"/>
    </row>
    <row r="45" spans="1:10" x14ac:dyDescent="0.15">
      <c r="A45" s="40" t="s">
        <v>611</v>
      </c>
      <c r="C45" s="59">
        <f>IF(($F5*'Jan''11 Envestra'!E9/'Jan''11 Envestra'!E10&gt;'Jan''11 Envestra'!E12),($F5*'Jan''11 Envestra'!E9/'Jan''11 Envestra'!E10-'Jan''11 Envestra'!E12)*'Jan''11 Envestra'!E18/100)*'Jan''11 Envestra'!E10</f>
        <v>0</v>
      </c>
      <c r="D45" s="59">
        <f>IF(($F5*'Jan''11 Envestra'!F9/'Jan''11 Envestra'!F10&gt;'Jan''11 Envestra'!F12),($F5*'Jan''11 Envestra'!F9/'Jan''11 Envestra'!F10-'Jan''11 Envestra'!F12)*'Jan''11 Envestra'!F18/100)*'Jan''11 Envestra'!F10</f>
        <v>0</v>
      </c>
      <c r="E45" s="59">
        <f>IF(($F5*'Jan''11 Envestra'!G9/'Jan''11 Envestra'!G10&gt;'Jan''11 Envestra'!G12),($F5*'Jan''11 Envestra'!G9/'Jan''11 Envestra'!G10-'Jan''11 Envestra'!G12)*'Jan''11 Envestra'!G18/100)*'Jan''11 Envestra'!G10</f>
        <v>0</v>
      </c>
      <c r="F45" s="59">
        <f>IF(($F5*'Jan''11 Envestra'!H9/'Jan''11 Envestra'!H10&gt;'Jan''11 Envestra'!H12),($F5*'Jan''11 Envestra'!H9/'Jan''11 Envestra'!H10-'Jan''11 Envestra'!H12)*'Jan''11 Envestra'!H18/100)*'Jan''11 Envestra'!H10</f>
        <v>376.93909999999988</v>
      </c>
      <c r="G45" s="59">
        <f>IF(($F5*'Jan''11 Envestra'!I9/'Jan''11 Envestra'!I10&gt;'Jan''11 Envestra'!I12),($F5*'Jan''11 Envestra'!I9/'Jan''11 Envestra'!I10-'Jan''11 Envestra'!I12)*'Jan''11 Envestra'!I18/100)*'Jan''11 Envestra'!I10</f>
        <v>0</v>
      </c>
      <c r="H45" s="59">
        <f>IF(($F5*'Jan''11 Envestra'!J9/'Jan''11 Envestra'!J10&gt;'Jan''11 Envestra'!J12),($F5*'Jan''11 Envestra'!J9/'Jan''11 Envestra'!J10-'Jan''11 Envestra'!J12)*'Jan''11 Envestra'!J18/100)*'Jan''11 Envestra'!J10</f>
        <v>0</v>
      </c>
      <c r="I45" s="59">
        <f>IF(($F5*'Jan''11 Envestra'!K9/'Jan''11 Envestra'!K10&gt;'Jan''11 Envestra'!K12),($F5*'Jan''11 Envestra'!K9/'Jan''11 Envestra'!K10-'Jan''11 Envestra'!K12)*'Jan''11 Envestra'!K18/100)*'Jan''11 Envestra'!K10</f>
        <v>0</v>
      </c>
      <c r="J45" s="63"/>
    </row>
    <row r="46" spans="1:10" x14ac:dyDescent="0.15">
      <c r="A46" s="40" t="s">
        <v>612</v>
      </c>
      <c r="C46" s="59">
        <f>365*'Jan''11 Envestra'!E19/100</f>
        <v>186.29599999999999</v>
      </c>
      <c r="D46" s="59">
        <f>365*'Jan''11 Envestra'!F19/100</f>
        <v>179.79170000000002</v>
      </c>
      <c r="E46" s="59">
        <f>365*'Jan''11 Envestra'!G19/100</f>
        <v>187.97499999999999</v>
      </c>
      <c r="F46" s="59">
        <f>365*'Jan''11 Envestra'!H19/100</f>
        <v>193.37699999999998</v>
      </c>
      <c r="G46" s="59">
        <f>365*'Jan''11 Envestra'!I19/100</f>
        <v>172.64500000000001</v>
      </c>
      <c r="H46" s="59">
        <f>365*'Jan''11 Envestra'!J19/100</f>
        <v>189.8</v>
      </c>
      <c r="I46" s="59">
        <f>365*'Jan''11 Envestra'!K19/100</f>
        <v>252.34275000000002</v>
      </c>
      <c r="J46" s="60">
        <f>AVERAGE(C46:I46)</f>
        <v>194.60392142857145</v>
      </c>
    </row>
    <row r="47" spans="1:10" x14ac:dyDescent="0.15">
      <c r="A47" s="62" t="s">
        <v>613</v>
      </c>
      <c r="B47" s="63"/>
      <c r="C47" s="60">
        <f>SUM(C40:C46)</f>
        <v>1117.6001275999997</v>
      </c>
      <c r="D47" s="60">
        <f t="shared" ref="D47:I47" si="2">SUM(D40:D46)</f>
        <v>1096.1658015</v>
      </c>
      <c r="E47" s="60">
        <f t="shared" si="2"/>
        <v>1130.6746839999998</v>
      </c>
      <c r="F47" s="60">
        <f t="shared" si="2"/>
        <v>1135.7852299999997</v>
      </c>
      <c r="G47" s="60">
        <f t="shared" si="2"/>
        <v>1083.0146261</v>
      </c>
      <c r="H47" s="60">
        <f t="shared" si="2"/>
        <v>1154.6691051999999</v>
      </c>
      <c r="I47" s="60">
        <f t="shared" si="2"/>
        <v>1269.7421855799998</v>
      </c>
      <c r="J47" s="64">
        <f>AVERAGE(C47:I47)</f>
        <v>1141.0931085685713</v>
      </c>
    </row>
    <row r="49" spans="1:10" x14ac:dyDescent="0.15">
      <c r="A49" s="53" t="s">
        <v>488</v>
      </c>
      <c r="C49" s="23" t="s">
        <v>1044</v>
      </c>
      <c r="D49" s="23" t="s">
        <v>591</v>
      </c>
      <c r="E49" s="23" t="s">
        <v>555</v>
      </c>
      <c r="F49" s="23" t="s">
        <v>544</v>
      </c>
      <c r="G49" s="23" t="s">
        <v>514</v>
      </c>
      <c r="H49" s="23" t="s">
        <v>615</v>
      </c>
      <c r="I49" s="23" t="s">
        <v>515</v>
      </c>
      <c r="J49" s="57" t="s">
        <v>601</v>
      </c>
    </row>
    <row r="50" spans="1:10" x14ac:dyDescent="0.15">
      <c r="A50" s="40" t="s">
        <v>602</v>
      </c>
      <c r="C50" s="59">
        <f>IF($F5*'Jan''11 Envestra'!E23/'Jan''11 Envestra'!E24&gt;='Jan''11 Envestra'!E27,('Jan''11 Envestra'!E27*'Jan''11 Envestra'!E29/100)*'Jan''11 Envestra'!E24,($F5*'Jan''11 Envestra'!E23/'Jan''11 Envestra'!E24*'Jan''11 Envestra'!E29/100)*'Jan''11 Envestra'!E24)</f>
        <v>182.55600000000001</v>
      </c>
      <c r="D50" s="59">
        <f>IF($F5*'Jan''11 Envestra'!F23/'Jan''11 Envestra'!F24&gt;='Jan''11 Envestra'!F27,('Jan''11 Envestra'!F27*'Jan''11 Envestra'!F29/100)*'Jan''11 Envestra'!F24,($F5*'Jan''11 Envestra'!F23/'Jan''11 Envestra'!F24*'Jan''11 Envestra'!F29/100)*'Jan''11 Envestra'!F24)</f>
        <v>102.00960000000001</v>
      </c>
      <c r="E50" s="59">
        <f>IF($F5*'Jan''11 Envestra'!G23/'Jan''11 Envestra'!G24&gt;='Jan''11 Envestra'!G27,('Jan''11 Envestra'!G27*'Jan''11 Envestra'!G29/100)*'Jan''11 Envestra'!G24,($F5*'Jan''11 Envestra'!G23/'Jan''11 Envestra'!G24*'Jan''11 Envestra'!G29/100)*'Jan''11 Envestra'!G24)</f>
        <v>99.020799999999994</v>
      </c>
      <c r="F50" s="59">
        <f>IF($F5*'Jan''11 Envestra'!H23/'Jan''11 Envestra'!H24&gt;='Jan''11 Envestra'!H27,('Jan''11 Envestra'!H27*'Jan''11 Envestra'!H29/100)*'Jan''11 Envestra'!H24,($F5*'Jan''11 Envestra'!H23/'Jan''11 Envestra'!H24*'Jan''11 Envestra'!H29/100)*'Jan''11 Envestra'!H24)</f>
        <v>97.28</v>
      </c>
      <c r="G50" s="59">
        <f>IF($F5*'Jan''11 Envestra'!I23/'Jan''11 Envestra'!I24&gt;='Jan''11 Envestra'!I27,('Jan''11 Envestra'!I27*'Jan''11 Envestra'!I29/100)*'Jan''11 Envestra'!I24,($F5*'Jan''11 Envestra'!I23/'Jan''11 Envestra'!I24*'Jan''11 Envestra'!I29/100)*'Jan''11 Envestra'!I24)</f>
        <v>90.041600000000003</v>
      </c>
      <c r="H50" s="59">
        <f>IF($F5*'Jan''11 Envestra'!J23/'Jan''11 Envestra'!J24&gt;='Jan''11 Envestra'!J27,('Jan''11 Envestra'!J27*'Jan''11 Envestra'!J29/100)*'Jan''11 Envestra'!J24,($F5*'Jan''11 Envestra'!J23/'Jan''11 Envestra'!J24*'Jan''11 Envestra'!J29/100)*'Jan''11 Envestra'!J24)</f>
        <v>101.23520000000001</v>
      </c>
      <c r="I50" s="59">
        <f>IF($F5*'Jan''11 Envestra'!K23/'Jan''11 Envestra'!K24&gt;='Jan''11 Envestra'!K27,('Jan''11 Envestra'!K27*'Jan''11 Envestra'!K29/100)*'Jan''11 Envestra'!K24,($F5*'Jan''11 Envestra'!K23/'Jan''11 Envestra'!K24*'Jan''11 Envestra'!K29/100)*'Jan''11 Envestra'!K24)</f>
        <v>114.16064</v>
      </c>
      <c r="J50" s="63"/>
    </row>
    <row r="51" spans="1:10" x14ac:dyDescent="0.15">
      <c r="A51" s="40" t="s">
        <v>603</v>
      </c>
      <c r="C51" s="59">
        <f>IF($F5*'Jan''11 Envestra'!E23/'Jan''11 Envestra'!E25&lt;'Jan''11 Envestra'!E27,0,IF($F5*'Jan''11 Envestra'!E23/'Jan''11 Envestra'!E24&lt;='Jan''11 Envestra'!E28,($F5*'Jan''11 Envestra'!E23/'Jan''11 Envestra'!E24-'Jan''11 Envestra'!E27)*('Jan''11 Envestra'!E30/100)*'Jan''11 Envestra'!E24,('Jan''11 Envestra'!E28-'Jan''11 Envestra'!E27)*('Jan''11 Envestra'!E30/100)*'Jan''11 Envestra'!E24))</f>
        <v>118.37637239999998</v>
      </c>
      <c r="D51" s="59">
        <f>IF($F5*'Jan''11 Envestra'!F23/'Jan''11 Envestra'!F25&lt;'Jan''11 Envestra'!F27,0,IF($F5*'Jan''11 Envestra'!F23/'Jan''11 Envestra'!F24&lt;='Jan''11 Envestra'!F28,($F5*'Jan''11 Envestra'!F23/'Jan''11 Envestra'!F24-'Jan''11 Envestra'!F27)*('Jan''11 Envestra'!F30/100)*'Jan''11 Envestra'!F24,('Jan''11 Envestra'!F28-'Jan''11 Envestra'!F27)*('Jan''11 Envestra'!F30/100)*'Jan''11 Envestra'!F24))</f>
        <v>0</v>
      </c>
      <c r="E51" s="59">
        <f>IF($F5*'Jan''11 Envestra'!G23/'Jan''11 Envestra'!G25&lt;'Jan''11 Envestra'!G27,0,IF($F5*'Jan''11 Envestra'!G23/'Jan''11 Envestra'!G24&lt;='Jan''11 Envestra'!G28,($F5*'Jan''11 Envestra'!G23/'Jan''11 Envestra'!G24-'Jan''11 Envestra'!G27)*('Jan''11 Envestra'!G30/100)*'Jan''11 Envestra'!G24,('Jan''11 Envestra'!G28-'Jan''11 Envestra'!G27)*('Jan''11 Envestra'!G30/100)*'Jan''11 Envestra'!G24))</f>
        <v>0</v>
      </c>
      <c r="F51" s="59">
        <f>IF($F5*'Jan''11 Envestra'!H23/'Jan''11 Envestra'!H25&lt;'Jan''11 Envestra'!H27,0,IF($F5*'Jan''11 Envestra'!H23/'Jan''11 Envestra'!H24&lt;='Jan''11 Envestra'!H28,($F5*'Jan''11 Envestra'!H23/'Jan''11 Envestra'!H24-'Jan''11 Envestra'!H27)*('Jan''11 Envestra'!H30/100)*'Jan''11 Envestra'!H24,('Jan''11 Envestra'!H28-'Jan''11 Envestra'!H27)*('Jan''11 Envestra'!H30/100)*'Jan''11 Envestra'!H24))</f>
        <v>0</v>
      </c>
      <c r="G51" s="59">
        <f>IF($F5*'Jan''11 Envestra'!I23/'Jan''11 Envestra'!I25&lt;'Jan''11 Envestra'!I27,0,IF($F5*'Jan''11 Envestra'!I23/'Jan''11 Envestra'!I24&lt;='Jan''11 Envestra'!I28,($F5*'Jan''11 Envestra'!I23/'Jan''11 Envestra'!I24-'Jan''11 Envestra'!I27)*('Jan''11 Envestra'!I30/100)*'Jan''11 Envestra'!I24,('Jan''11 Envestra'!I28-'Jan''11 Envestra'!I27)*('Jan''11 Envestra'!I30/100)*'Jan''11 Envestra'!I24))</f>
        <v>0</v>
      </c>
      <c r="H51" s="59">
        <f>IF($F5*'Jan''11 Envestra'!J23/'Jan''11 Envestra'!J25&lt;'Jan''11 Envestra'!J27,0,IF($F5*'Jan''11 Envestra'!J23/'Jan''11 Envestra'!J24&lt;='Jan''11 Envestra'!J28,($F5*'Jan''11 Envestra'!J23/'Jan''11 Envestra'!J24-'Jan''11 Envestra'!J27)*('Jan''11 Envestra'!J30/100)*'Jan''11 Envestra'!J24,('Jan''11 Envestra'!J28-'Jan''11 Envestra'!J27)*('Jan''11 Envestra'!J30/100)*'Jan''11 Envestra'!J24))</f>
        <v>0</v>
      </c>
      <c r="I51" s="59">
        <f>IF($F5*'Jan''11 Envestra'!K23/'Jan''11 Envestra'!K25&lt;'Jan''11 Envestra'!K27,0,IF($F5*'Jan''11 Envestra'!K23/'Jan''11 Envestra'!K24&lt;='Jan''11 Envestra'!K28,($F5*'Jan''11 Envestra'!K23/'Jan''11 Envestra'!K24-'Jan''11 Envestra'!K27)*('Jan''11 Envestra'!K30/100)*'Jan''11 Envestra'!K24,('Jan''11 Envestra'!K28-'Jan''11 Envestra'!K27)*('Jan''11 Envestra'!K30/100)*'Jan''11 Envestra'!K24))</f>
        <v>0</v>
      </c>
      <c r="J51" s="63"/>
    </row>
    <row r="52" spans="1:10" x14ac:dyDescent="0.15">
      <c r="A52" s="40" t="s">
        <v>606</v>
      </c>
      <c r="C52" s="59">
        <f>IF(($F5*'Jan''11 Envestra'!E23/'Jan''11 Envestra'!E24&gt;'Jan''11 Envestra'!E28),($F5*'Jan''11 Envestra'!E23/'Jan''11 Envestra'!E24-'Jan''11 Envestra'!E28)*'Jan''11 Envestra'!E31/100*'Jan''11 Envestra'!E24,0)</f>
        <v>0</v>
      </c>
      <c r="D52" s="59">
        <f>IF(($F5*'Jan''11 Envestra'!F23/'Jan''11 Envestra'!F24&gt;'Jan''11 Envestra'!F28),($F5*'Jan''11 Envestra'!F23/'Jan''11 Envestra'!F24-'Jan''11 Envestra'!F28)*'Jan''11 Envestra'!F31/100*'Jan''11 Envestra'!F24,0)</f>
        <v>189.32016509999997</v>
      </c>
      <c r="E52" s="59">
        <f>IF(($F5*'Jan''11 Envestra'!G23/'Jan''11 Envestra'!G24&gt;'Jan''11 Envestra'!G28),($F5*'Jan''11 Envestra'!G23/'Jan''11 Envestra'!G24-'Jan''11 Envestra'!G28)*'Jan''11 Envestra'!G31/100*'Jan''11 Envestra'!G24,0)</f>
        <v>200.9254956</v>
      </c>
      <c r="F52" s="59">
        <f>IF(($F5*'Jan''11 Envestra'!H23/'Jan''11 Envestra'!H24&gt;'Jan''11 Envestra'!H28),($F5*'Jan''11 Envestra'!H23/'Jan''11 Envestra'!H24-'Jan''11 Envestra'!H28)*'Jan''11 Envestra'!H31/100*'Jan''11 Envestra'!H24,0)</f>
        <v>195.61185999999998</v>
      </c>
      <c r="G52" s="59">
        <f>IF(($F5*'Jan''11 Envestra'!I23/'Jan''11 Envestra'!I24&gt;'Jan''11 Envestra'!I28),($F5*'Jan''11 Envestra'!I23/'Jan''11 Envestra'!I24-'Jan''11 Envestra'!I28)*'Jan''11 Envestra'!I31/100*'Jan''11 Envestra'!I24,0)</f>
        <v>182.89708909999999</v>
      </c>
      <c r="H52" s="59">
        <f>IF(($F5*'Jan''11 Envestra'!J23/'Jan''11 Envestra'!J24&gt;'Jan''11 Envestra'!J28),($F5*'Jan''11 Envestra'!J23/'Jan''11 Envestra'!J24-'Jan''11 Envestra'!J28)*'Jan''11 Envestra'!J31/100*'Jan''11 Envestra'!J24,0)</f>
        <v>203.61150919999997</v>
      </c>
      <c r="I52" s="59">
        <f>IF(($F5*'Jan''11 Envestra'!K23/'Jan''11 Envestra'!K24&gt;'Jan''11 Envestra'!K28),($F5*'Jan''11 Envestra'!K23/'Jan''11 Envestra'!K24-'Jan''11 Envestra'!K28)*'Jan''11 Envestra'!K31/100*'Jan''11 Envestra'!K24,0)</f>
        <v>221.53189123999996</v>
      </c>
      <c r="J52" s="63"/>
    </row>
    <row r="53" spans="1:10" x14ac:dyDescent="0.15">
      <c r="A53" s="40" t="s">
        <v>607</v>
      </c>
      <c r="C53" s="59">
        <f>IF($F5*'Jan''11 Envestra'!E25/'Jan''11 Envestra'!E26&gt;='Jan''11 Envestra'!E27,('Jan''11 Envestra'!E27*'Jan''11 Envestra'!E32/100)*'Jan''11 Envestra'!E26,($F5*'Jan''11 Envestra'!E25/'Jan''11 Envestra'!E26*'Jan''11 Envestra'!E32/100*'Jan''11 Envestra'!E26))</f>
        <v>353.49600000000004</v>
      </c>
      <c r="D53" s="59">
        <f>IF($F5*'Jan''11 Envestra'!F25/'Jan''11 Envestra'!F26&gt;='Jan''11 Envestra'!F27,('Jan''11 Envestra'!F27*'Jan''11 Envestra'!F32/100)*'Jan''11 Envestra'!F26,($F5*'Jan''11 Envestra'!F25/'Jan''11 Envestra'!F26*'Jan''11 Envestra'!F32/100*'Jan''11 Envestra'!F26))</f>
        <v>191.62880000000001</v>
      </c>
      <c r="E53" s="59">
        <f>IF($F5*'Jan''11 Envestra'!G25/'Jan''11 Envestra'!G26&gt;='Jan''11 Envestra'!G27,('Jan''11 Envestra'!G27*'Jan''11 Envestra'!G32/100)*'Jan''11 Envestra'!G26,($F5*'Jan''11 Envestra'!G25/'Jan''11 Envestra'!G26*'Jan''11 Envestra'!G32/100*'Jan''11 Envestra'!G26))</f>
        <v>185.74080000000001</v>
      </c>
      <c r="F53" s="59">
        <f>IF($F5*'Jan''11 Envestra'!H25/'Jan''11 Envestra'!H26&gt;='Jan''11 Envestra'!H27,('Jan''11 Envestra'!H27*'Jan''11 Envestra'!H32/100)*'Jan''11 Envestra'!H26,($F5*'Jan''11 Envestra'!H25/'Jan''11 Envestra'!H26*'Jan''11 Envestra'!H32/100*'Jan''11 Envestra'!H26))</f>
        <v>190.72</v>
      </c>
      <c r="G53" s="59">
        <f>IF($F5*'Jan''11 Envestra'!I25/'Jan''11 Envestra'!I26&gt;='Jan''11 Envestra'!I27,('Jan''11 Envestra'!I27*'Jan''11 Envestra'!I32/100)*'Jan''11 Envestra'!I26,($F5*'Jan''11 Envestra'!I25/'Jan''11 Envestra'!I26*'Jan''11 Envestra'!I32/100*'Jan''11 Envestra'!I26))</f>
        <v>166.56639999999999</v>
      </c>
      <c r="H53" s="59">
        <f>IF($F5*'Jan''11 Envestra'!J25/'Jan''11 Envestra'!J26&gt;='Jan''11 Envestra'!J27,('Jan''11 Envestra'!J27*'Jan''11 Envestra'!J32/100)*'Jan''11 Envestra'!J26,($F5*'Jan''11 Envestra'!J25/'Jan''11 Envestra'!J26*'Jan''11 Envestra'!J32/100*'Jan''11 Envestra'!J26))</f>
        <v>189.79840000000002</v>
      </c>
      <c r="I53" s="59">
        <f>IF($F5*'Jan''11 Envestra'!K25/'Jan''11 Envestra'!K26&gt;='Jan''11 Envestra'!K27,('Jan''11 Envestra'!K27*'Jan''11 Envestra'!K32/100)*'Jan''11 Envestra'!K26,($F5*'Jan''11 Envestra'!K25/'Jan''11 Envestra'!K26*'Jan''11 Envestra'!K32/100*'Jan''11 Envestra'!K26))</f>
        <v>223.25247999999999</v>
      </c>
      <c r="J53" s="63"/>
    </row>
    <row r="54" spans="1:10" x14ac:dyDescent="0.15">
      <c r="A54" s="40" t="s">
        <v>608</v>
      </c>
      <c r="C54" s="59">
        <f>IF($F5*'Jan''11 Envestra'!E25/'Jan''11 Envestra'!E26&lt;'Jan''11 Envestra'!E27,0,IF($F5*'Jan''11 Envestra'!E25/'Jan''11 Envestra'!E26&lt;='Jan''11 Envestra'!E28,($F5*'Jan''11 Envestra'!E25/'Jan''11 Envestra'!E26-'Jan''11 Envestra'!E27)*('Jan''11 Envestra'!E33/100)*'Jan''11 Envestra'!E26,('Jan''11 Envestra'!E28-'Jan''11 Envestra'!E27)*('Jan''11 Envestra'!E33/100)*'Jan''11 Envestra'!E26))</f>
        <v>229.42845419999995</v>
      </c>
      <c r="D54" s="59">
        <f>IF($F5*'Jan''11 Envestra'!F25/'Jan''11 Envestra'!F26&lt;'Jan''11 Envestra'!F27,0,IF($F5*'Jan''11 Envestra'!F25/'Jan''11 Envestra'!F26&lt;='Jan''11 Envestra'!F28,($F5*'Jan''11 Envestra'!F25/'Jan''11 Envestra'!F26-'Jan''11 Envestra'!F27)*('Jan''11 Envestra'!F33/100)*'Jan''11 Envestra'!F26,('Jan''11 Envestra'!F28-'Jan''11 Envestra'!F27)*('Jan''11 Envestra'!F33/100)*'Jan''11 Envestra'!F26))</f>
        <v>0</v>
      </c>
      <c r="E54" s="59">
        <f>IF($F5*'Jan''11 Envestra'!G25/'Jan''11 Envestra'!G26&lt;'Jan''11 Envestra'!G27,0,IF($F5*'Jan''11 Envestra'!G25/'Jan''11 Envestra'!G26&lt;='Jan''11 Envestra'!G28,($F5*'Jan''11 Envestra'!G25/'Jan''11 Envestra'!G26-'Jan''11 Envestra'!G27)*('Jan''11 Envestra'!G33/100)*'Jan''11 Envestra'!G26,('Jan''11 Envestra'!G28-'Jan''11 Envestra'!G27)*('Jan''11 Envestra'!G33/100)*'Jan''11 Envestra'!G26))</f>
        <v>0</v>
      </c>
      <c r="F54" s="59">
        <f>IF($F5*'Jan''11 Envestra'!H25/'Jan''11 Envestra'!H26&lt;'Jan''11 Envestra'!H27,0,IF($F5*'Jan''11 Envestra'!H25/'Jan''11 Envestra'!H26&lt;='Jan''11 Envestra'!H28,($F5*'Jan''11 Envestra'!H25/'Jan''11 Envestra'!H26-'Jan''11 Envestra'!H27)*('Jan''11 Envestra'!H33/100)*'Jan''11 Envestra'!H26,('Jan''11 Envestra'!H28-'Jan''11 Envestra'!H27)*('Jan''11 Envestra'!H33/100)*'Jan''11 Envestra'!H26))</f>
        <v>0</v>
      </c>
      <c r="G54" s="59">
        <f>IF($F5*'Jan''11 Envestra'!I25/'Jan''11 Envestra'!I26&lt;'Jan''11 Envestra'!I27,0,IF($F5*'Jan''11 Envestra'!I25/'Jan''11 Envestra'!I26&lt;='Jan''11 Envestra'!I28,($F5*'Jan''11 Envestra'!I25/'Jan''11 Envestra'!I26-'Jan''11 Envestra'!I27)*('Jan''11 Envestra'!I33/100)*'Jan''11 Envestra'!I26,('Jan''11 Envestra'!I28-'Jan''11 Envestra'!I27)*('Jan''11 Envestra'!I33/100)*'Jan''11 Envestra'!I26))</f>
        <v>0</v>
      </c>
      <c r="H54" s="59">
        <f>IF($F5*'Jan''11 Envestra'!J25/'Jan''11 Envestra'!J26&lt;'Jan''11 Envestra'!J27,0,IF($F5*'Jan''11 Envestra'!J25/'Jan''11 Envestra'!J26&lt;='Jan''11 Envestra'!J28,($F5*'Jan''11 Envestra'!J25/'Jan''11 Envestra'!J26-'Jan''11 Envestra'!J27)*('Jan''11 Envestra'!J33/100)*'Jan''11 Envestra'!J26,('Jan''11 Envestra'!J28-'Jan''11 Envestra'!J27)*('Jan''11 Envestra'!J33/100)*'Jan''11 Envestra'!J26))</f>
        <v>0</v>
      </c>
      <c r="I54" s="59">
        <f>IF($F5*'Jan''11 Envestra'!K25/'Jan''11 Envestra'!K26&lt;'Jan''11 Envestra'!K27,0,IF($F5*'Jan''11 Envestra'!K25/'Jan''11 Envestra'!K26&lt;='Jan''11 Envestra'!K28,($F5*'Jan''11 Envestra'!K25/'Jan''11 Envestra'!K26-'Jan''11 Envestra'!K27)*('Jan''11 Envestra'!K33/100)*'Jan''11 Envestra'!K26,('Jan''11 Envestra'!K28-'Jan''11 Envestra'!K27)*('Jan''11 Envestra'!K33/100)*'Jan''11 Envestra'!K26))</f>
        <v>0</v>
      </c>
      <c r="J54" s="63"/>
    </row>
    <row r="55" spans="1:10" x14ac:dyDescent="0.15">
      <c r="A55" s="40" t="s">
        <v>611</v>
      </c>
      <c r="C55" s="59">
        <f>IF(($F5*'Jan''11 Envestra'!E25/'Jan''11 Envestra'!E26&gt;'Jan''11 Envestra'!E28),($F5*'Jan''11 Envestra'!E25/'Jan''11 Envestra'!E26-'Jan''11 Envestra'!E28)*'Jan''11 Envestra'!E34/100*'Jan''11 Envestra'!E26,0)</f>
        <v>0</v>
      </c>
      <c r="D55" s="59">
        <f>IF(($F5*'Jan''11 Envestra'!F25/'Jan''11 Envestra'!F26&gt;'Jan''11 Envestra'!F28),($F5*'Jan''11 Envestra'!F25/'Jan''11 Envestra'!F26-'Jan''11 Envestra'!F28)*'Jan''11 Envestra'!F34/100*'Jan''11 Envestra'!F26,0)</f>
        <v>370.2903313999999</v>
      </c>
      <c r="E55" s="59">
        <f>IF(($F5*'Jan''11 Envestra'!G25/'Jan''11 Envestra'!G26&gt;'Jan''11 Envestra'!G28),($F5*'Jan''11 Envestra'!G25/'Jan''11 Envestra'!G26-'Jan''11 Envestra'!G28)*'Jan''11 Envestra'!G34/100*'Jan''11 Envestra'!G26,0)</f>
        <v>376.94697379999991</v>
      </c>
      <c r="F55" s="59">
        <f>IF(($F5*'Jan''11 Envestra'!H25/'Jan''11 Envestra'!H26&gt;'Jan''11 Envestra'!H28),($F5*'Jan''11 Envestra'!H25/'Jan''11 Envestra'!H26-'Jan''11 Envestra'!H28)*'Jan''11 Envestra'!H34/100*'Jan''11 Envestra'!H26,0)</f>
        <v>382.46497999999991</v>
      </c>
      <c r="G55" s="59">
        <f>IF(($F5*'Jan''11 Envestra'!I25/'Jan''11 Envestra'!I26&gt;'Jan''11 Envestra'!I28),($F5*'Jan''11 Envestra'!I25/'Jan''11 Envestra'!I26-'Jan''11 Envestra'!I28)*'Jan''11 Envestra'!I34/100*'Jan''11 Envestra'!I26,0)</f>
        <v>341.3864893999999</v>
      </c>
      <c r="H55" s="59">
        <f>IF(($F5*'Jan''11 Envestra'!J25/'Jan''11 Envestra'!J26&gt;'Jan''11 Envestra'!J28),($F5*'Jan''11 Envestra'!J25/'Jan''11 Envestra'!J26-'Jan''11 Envestra'!J28)*'Jan''11 Envestra'!J34/100*'Jan''11 Envestra'!J26,0)</f>
        <v>386.34802139999994</v>
      </c>
      <c r="I55" s="59">
        <f>IF(($F5*'Jan''11 Envestra'!K25/'Jan''11 Envestra'!K26&gt;'Jan''11 Envestra'!K28),($F5*'Jan''11 Envestra'!K25/'Jan''11 Envestra'!K26-'Jan''11 Envestra'!K28)*'Jan''11 Envestra'!K34/100*'Jan''11 Envestra'!K26,0)</f>
        <v>430.69936117999993</v>
      </c>
      <c r="J55" s="63"/>
    </row>
    <row r="56" spans="1:10" x14ac:dyDescent="0.15">
      <c r="A56" s="40" t="s">
        <v>612</v>
      </c>
      <c r="C56" s="59">
        <f>365*'Jan''11 Envestra'!E35/100</f>
        <v>186.25585000000004</v>
      </c>
      <c r="D56" s="59">
        <f>365*'Jan''11 Envestra'!F35/100</f>
        <v>174.81309999999996</v>
      </c>
      <c r="E56" s="59">
        <f>365*'Jan''11 Envestra'!G35/100</f>
        <v>181.58750000000001</v>
      </c>
      <c r="F56" s="59">
        <f>365*'Jan''11 Envestra'!H35/100</f>
        <v>187.0625</v>
      </c>
      <c r="G56" s="59">
        <f>365*'Jan''11 Envestra'!I35/100</f>
        <v>168.63</v>
      </c>
      <c r="H56" s="59">
        <f>365*'Jan''11 Envestra'!J35/100</f>
        <v>182.5</v>
      </c>
      <c r="I56" s="59">
        <f>365*'Jan''11 Envestra'!K35/100</f>
        <v>226.40585000000002</v>
      </c>
      <c r="J56" s="60">
        <f>AVERAGE(C56:I56)</f>
        <v>186.75068571428574</v>
      </c>
    </row>
    <row r="57" spans="1:10" x14ac:dyDescent="0.15">
      <c r="A57" s="62" t="s">
        <v>613</v>
      </c>
      <c r="B57" s="63"/>
      <c r="C57" s="60">
        <f>SUM(C50:C56)</f>
        <v>1070.1126766</v>
      </c>
      <c r="D57" s="60">
        <f t="shared" ref="D57:I57" si="3">SUM(D50:D56)</f>
        <v>1028.0619964999999</v>
      </c>
      <c r="E57" s="60">
        <f t="shared" si="3"/>
        <v>1044.2215693999999</v>
      </c>
      <c r="F57" s="60">
        <f t="shared" si="3"/>
        <v>1053.1393399999999</v>
      </c>
      <c r="G57" s="60">
        <f t="shared" si="3"/>
        <v>949.52157849999992</v>
      </c>
      <c r="H57" s="60">
        <f t="shared" si="3"/>
        <v>1063.4931305999999</v>
      </c>
      <c r="I57" s="60">
        <f t="shared" si="3"/>
        <v>1216.05022242</v>
      </c>
      <c r="J57" s="64">
        <f>AVERAGE(C57:I57)</f>
        <v>1060.6572162885714</v>
      </c>
    </row>
    <row r="59" spans="1:10" x14ac:dyDescent="0.15">
      <c r="A59" s="53" t="s">
        <v>1028</v>
      </c>
      <c r="C59" s="23" t="s">
        <v>1044</v>
      </c>
      <c r="D59" s="23" t="s">
        <v>591</v>
      </c>
      <c r="E59" s="23" t="s">
        <v>555</v>
      </c>
      <c r="F59" s="23" t="s">
        <v>544</v>
      </c>
      <c r="G59" s="23" t="s">
        <v>514</v>
      </c>
      <c r="H59" s="23" t="s">
        <v>615</v>
      </c>
      <c r="I59" s="23" t="s">
        <v>515</v>
      </c>
      <c r="J59" s="57" t="s">
        <v>601</v>
      </c>
    </row>
    <row r="60" spans="1:10" x14ac:dyDescent="0.15">
      <c r="A60" s="40" t="s">
        <v>602</v>
      </c>
      <c r="C60" s="69">
        <f>IF($F5*'Jan''11 Envestra'!E39/'Jan''11 Envestra'!E40&gt;='Jan''11 Envestra'!E43,('Jan''11 Envestra'!E43*'Jan''11 Envestra'!E45/100)*'Jan''11 Envestra'!E40,($F5*'Jan''11 Envestra'!E39/'Jan''11 Envestra'!E40*'Jan''11 Envestra'!E45/100)*'Jan''11 Envestra'!E40)</f>
        <v>187.04400000000001</v>
      </c>
      <c r="D60" s="69">
        <f>IF($F5*'Jan''11 Envestra'!F39/'Jan''11 Envestra'!F40&gt;='Jan''11 Envestra'!F43,('Jan''11 Envestra'!F43*'Jan''11 Envestra'!F45/100)*'Jan''11 Envestra'!F40,($F5*'Jan''11 Envestra'!F39/'Jan''11 Envestra'!F40*'Jan''11 Envestra'!F45/100)*'Jan''11 Envestra'!F40)</f>
        <v>125.57600000000001</v>
      </c>
      <c r="E60" s="69">
        <f>IF($F5*'Jan''11 Envestra'!G39/'Jan''11 Envestra'!G40&gt;='Jan''11 Envestra'!G43,('Jan''11 Envestra'!G43*'Jan''11 Envestra'!G45/100)*'Jan''11 Envestra'!G40,($F5*'Jan''11 Envestra'!G39/'Jan''11 Envestra'!G40*'Jan''11 Envestra'!G45/100)*'Jan''11 Envestra'!G40)</f>
        <v>129.744</v>
      </c>
      <c r="F60" s="69">
        <f>IF($F5*'Jan''11 Envestra'!H39/'Jan''11 Envestra'!H40&gt;='Jan''11 Envestra'!H43,('Jan''11 Envestra'!H43*'Jan''11 Envestra'!H45/100)*'Jan''11 Envestra'!H40,($F5*'Jan''11 Envestra'!H39/'Jan''11 Envestra'!H40*'Jan''11 Envestra'!H45/100)*'Jan''11 Envestra'!H40)</f>
        <v>124.8</v>
      </c>
      <c r="G60" s="69">
        <f>IF($F5*'Jan''11 Envestra'!I39/'Jan''11 Envestra'!I40&gt;='Jan''11 Envestra'!I43,('Jan''11 Envestra'!I43*'Jan''11 Envestra'!I45/100)*'Jan''11 Envestra'!I40,($F5*'Jan''11 Envestra'!I39/'Jan''11 Envestra'!I40*'Jan''11 Envestra'!I45/100)*'Jan''11 Envestra'!I40)</f>
        <v>115.19199999999999</v>
      </c>
      <c r="H60" s="69">
        <f>IF($F5*'Jan''11 Envestra'!J39/'Jan''11 Envestra'!J40&gt;='Jan''11 Envestra'!J43,('Jan''11 Envestra'!J43*'Jan''11 Envestra'!J45/100)*'Jan''11 Envestra'!J40,($F5*'Jan''11 Envestra'!J39/'Jan''11 Envestra'!J40*'Jan''11 Envestra'!J45/100)*'Jan''11 Envestra'!J40)</f>
        <v>131.91200000000001</v>
      </c>
      <c r="I60" s="69">
        <f>IF($F5*'Jan''11 Envestra'!K39/'Jan''11 Envestra'!K40&gt;='Jan''11 Envestra'!K43,('Jan''11 Envestra'!K43*'Jan''11 Envestra'!K45/100)*'Jan''11 Envestra'!K40,($F5*'Jan''11 Envestra'!K39/'Jan''11 Envestra'!K40*'Jan''11 Envestra'!K45/100)*'Jan''11 Envestra'!K40)</f>
        <v>143.1232</v>
      </c>
      <c r="J60" s="63"/>
    </row>
    <row r="61" spans="1:10" x14ac:dyDescent="0.15">
      <c r="A61" s="40" t="s">
        <v>603</v>
      </c>
      <c r="C61" s="69">
        <f>IF($F5*'Jan''11 Envestra'!E39/'Jan''11 Envestra'!E40&lt;'Jan''11 Envestra'!E43,0,IF($F5*'Jan''11 Envestra'!E39/'Jan''11 Envestra'!E40&lt;='Jan''11 Envestra'!E44,($F5*'Jan''11 Envestra'!E39/'Jan''11 Envestra'!E40-'Jan''11 Envestra'!E43)*('Jan''11 Envestra'!E46/100)*'Jan''11 Envestra'!E40,('Jan''11 Envestra'!E44-'Jan''11 Envestra'!E43)*('Jan''11 Envestra'!E46/100)*'Jan''11 Envestra'!E40))</f>
        <v>117.88148789999997</v>
      </c>
      <c r="D61" s="69">
        <f>IF($F5*'Jan''11 Envestra'!F39/'Jan''11 Envestra'!F40&lt;'Jan''11 Envestra'!F43,0,IF($F5*'Jan''11 Envestra'!F39/'Jan''11 Envestra'!F40&lt;='Jan''11 Envestra'!F44,($F5*'Jan''11 Envestra'!F39/'Jan''11 Envestra'!F40-'Jan''11 Envestra'!F43)*('Jan''11 Envestra'!F46/100)*'Jan''11 Envestra'!F40,('Jan''11 Envestra'!F44-'Jan''11 Envestra'!F43)*('Jan''11 Envestra'!F46/100)*'Jan''11 Envestra'!F40))</f>
        <v>180.15089399999997</v>
      </c>
      <c r="E61" s="69">
        <f>IF($F5*'Jan''11 Envestra'!G39/'Jan''11 Envestra'!G40&lt;'Jan''11 Envestra'!G43,0,IF($F5*'Jan''11 Envestra'!G39/'Jan''11 Envestra'!G40&lt;='Jan''11 Envestra'!G44,($F5*'Jan''11 Envestra'!G39/'Jan''11 Envestra'!G40-'Jan''11 Envestra'!G43)*('Jan''11 Envestra'!G46/100)*'Jan''11 Envestra'!G40,('Jan''11 Envestra'!G44-'Jan''11 Envestra'!G43)*('Jan''11 Envestra'!G46/100)*'Jan''11 Envestra'!G40))</f>
        <v>187.23474949999996</v>
      </c>
      <c r="F61" s="69">
        <f>IF($F5*'Jan''11 Envestra'!H39/'Jan''11 Envestra'!H40&lt;'Jan''11 Envestra'!H43,0,IF($F5*'Jan''11 Envestra'!H39/'Jan''11 Envestra'!H40&lt;='Jan''11 Envestra'!H44,($F5*'Jan''11 Envestra'!H39/'Jan''11 Envestra'!H40-'Jan''11 Envestra'!H43)*('Jan''11 Envestra'!H46/100)*'Jan''11 Envestra'!H40,('Jan''11 Envestra'!H44-'Jan''11 Envestra'!H43)*('Jan''11 Envestra'!H46/100)*'Jan''11 Envestra'!H40))</f>
        <v>0</v>
      </c>
      <c r="G61" s="69">
        <f>IF($F5*'Jan''11 Envestra'!I39/'Jan''11 Envestra'!I40&lt;'Jan''11 Envestra'!I43,0,IF($F5*'Jan''11 Envestra'!I39/'Jan''11 Envestra'!I40&lt;='Jan''11 Envestra'!I44,($F5*'Jan''11 Envestra'!I39/'Jan''11 Envestra'!I40-'Jan''11 Envestra'!I43)*('Jan''11 Envestra'!I46/100)*'Jan''11 Envestra'!I40,('Jan''11 Envestra'!I44-'Jan''11 Envestra'!I43)*('Jan''11 Envestra'!I46/100)*'Jan''11 Envestra'!I40))</f>
        <v>165.71022709999997</v>
      </c>
      <c r="H61" s="69">
        <f>IF($F5*'Jan''11 Envestra'!J39/'Jan''11 Envestra'!J40&lt;'Jan''11 Envestra'!J43,0,IF($F5*'Jan''11 Envestra'!J39/'Jan''11 Envestra'!J40&lt;='Jan''11 Envestra'!J44,($F5*'Jan''11 Envestra'!J39/'Jan''11 Envestra'!J40-'Jan''11 Envestra'!J43)*('Jan''11 Envestra'!J46/100)*'Jan''11 Envestra'!J40,('Jan''11 Envestra'!J44-'Jan''11 Envestra'!J43)*('Jan''11 Envestra'!J46/100)*'Jan''11 Envestra'!J40))</f>
        <v>189.73034629999998</v>
      </c>
      <c r="I61" s="69">
        <f>IF($F5*'Jan''11 Envestra'!K39/'Jan''11 Envestra'!K40&lt;'Jan''11 Envestra'!K43,0,IF($F5*'Jan''11 Envestra'!K39/'Jan''11 Envestra'!K40&lt;='Jan''11 Envestra'!K44,($F5*'Jan''11 Envestra'!K39/'Jan''11 Envestra'!K40-'Jan''11 Envestra'!K43)*('Jan''11 Envestra'!K46/100)*'Jan''11 Envestra'!K40,('Jan''11 Envestra'!K44-'Jan''11 Envestra'!K43)*('Jan''11 Envestra'!K46/100)*'Jan''11 Envestra'!K40))</f>
        <v>195.12057542999995</v>
      </c>
      <c r="J61" s="63"/>
    </row>
    <row r="62" spans="1:10" x14ac:dyDescent="0.15">
      <c r="A62" s="40" t="s">
        <v>606</v>
      </c>
      <c r="C62" s="69">
        <f>IF(($F5*'Jan''11 Envestra'!E39/'Jan''11 Envestra'!E40&gt;'Jan''11 Envestra'!E44),($F5*'Jan''11 Envestra'!E39/'Jan''11 Envestra'!E40-'Jan''11 Envestra'!E44)*'Jan''11 Envestra'!E47/100)*'Jan''11 Envestra'!E40</f>
        <v>0</v>
      </c>
      <c r="D62" s="69">
        <f>IF(($F5*'Jan''11 Envestra'!F39/'Jan''11 Envestra'!F40&gt;'Jan''11 Envestra'!F44),($F5*'Jan''11 Envestra'!F39/'Jan''11 Envestra'!F40-'Jan''11 Envestra'!F44)*'Jan''11 Envestra'!F47/100)*'Jan''11 Envestra'!F40</f>
        <v>0</v>
      </c>
      <c r="E62" s="69">
        <f>IF(($F5*'Jan''11 Envestra'!G39/'Jan''11 Envestra'!G40&gt;'Jan''11 Envestra'!G44),($F5*'Jan''11 Envestra'!G39/'Jan''11 Envestra'!G40-'Jan''11 Envestra'!G44)*'Jan''11 Envestra'!G47/100)*'Jan''11 Envestra'!G40</f>
        <v>0</v>
      </c>
      <c r="F62" s="69">
        <f>IF(($F5*'Jan''11 Envestra'!H39/'Jan''11 Envestra'!H40&gt;'Jan''11 Envestra'!H44),($F5*'Jan''11 Envestra'!H39/'Jan''11 Envestra'!H40-'Jan''11 Envestra'!H44)*'Jan''11 Envestra'!H47/100)*'Jan''11 Envestra'!H40</f>
        <v>181.97059999999993</v>
      </c>
      <c r="G62" s="69">
        <f>IF(($F5*'Jan''11 Envestra'!I39/'Jan''11 Envestra'!I40&gt;'Jan''11 Envestra'!I44),($F5*'Jan''11 Envestra'!I39/'Jan''11 Envestra'!I40-'Jan''11 Envestra'!I44)*'Jan''11 Envestra'!I47/100)*'Jan''11 Envestra'!I40</f>
        <v>0</v>
      </c>
      <c r="H62" s="69">
        <f>IF(($F5*'Jan''11 Envestra'!J39/'Jan''11 Envestra'!J40&gt;'Jan''11 Envestra'!J44),($F5*'Jan''11 Envestra'!J39/'Jan''11 Envestra'!J40-'Jan''11 Envestra'!J44)*'Jan''11 Envestra'!J47/100)*'Jan''11 Envestra'!J40</f>
        <v>0</v>
      </c>
      <c r="I62" s="69">
        <f>IF(($F5*'Jan''11 Envestra'!K39/'Jan''11 Envestra'!K40&gt;'Jan''11 Envestra'!K44),($F5*'Jan''11 Envestra'!K39/'Jan''11 Envestra'!K40-'Jan''11 Envestra'!K44)*'Jan''11 Envestra'!K47/100)*'Jan''11 Envestra'!K40</f>
        <v>0</v>
      </c>
      <c r="J62" s="63"/>
    </row>
    <row r="63" spans="1:10" x14ac:dyDescent="0.15">
      <c r="A63" s="40" t="s">
        <v>607</v>
      </c>
      <c r="C63" s="69">
        <f>IF($F5*'Jan''11 Envestra'!E41/'Jan''11 Envestra'!E42&gt;='Jan''11 Envestra'!E43,('Jan''11 Envestra'!E43*'Jan''11 Envestra'!E48/100)*'Jan''11 Envestra'!E42,($F5*'Jan''11 Envestra'!E41/'Jan''11 Envestra'!E42*'Jan''11 Envestra'!E48/100)*'Jan''11 Envestra'!E42)</f>
        <v>366.16800000000001</v>
      </c>
      <c r="D63" s="69">
        <f>IF($F5*'Jan''11 Envestra'!F41/'Jan''11 Envestra'!F42&gt;='Jan''11 Envestra'!F43,('Jan''11 Envestra'!F43*'Jan''11 Envestra'!F48/100)*'Jan''11 Envestra'!F42,($F5*'Jan''11 Envestra'!F41/'Jan''11 Envestra'!F42*'Jan''11 Envestra'!F48/100)*'Jan''11 Envestra'!F42)</f>
        <v>248.68799999999999</v>
      </c>
      <c r="E63" s="69">
        <f>IF($F5*'Jan''11 Envestra'!G41/'Jan''11 Envestra'!G42&gt;='Jan''11 Envestra'!G43,('Jan''11 Envestra'!G43*'Jan''11 Envestra'!G48/100)*'Jan''11 Envestra'!G42,($F5*'Jan''11 Envestra'!G41/'Jan''11 Envestra'!G42*'Jan''11 Envestra'!G48/100)*'Jan''11 Envestra'!G42)</f>
        <v>252.672</v>
      </c>
      <c r="F63" s="69">
        <f>IF($F5*'Jan''11 Envestra'!H41/'Jan''11 Envestra'!H42&gt;='Jan''11 Envestra'!H43,('Jan''11 Envestra'!H43*'Jan''11 Envestra'!H48/100)*'Jan''11 Envestra'!H42,($F5*'Jan''11 Envestra'!H41/'Jan''11 Envestra'!H42*'Jan''11 Envestra'!H48/100)*'Jan''11 Envestra'!H42)</f>
        <v>244.8</v>
      </c>
      <c r="G63" s="69">
        <f>IF($F5*'Jan''11 Envestra'!I41/'Jan''11 Envestra'!I42&gt;='Jan''11 Envestra'!I43,('Jan''11 Envestra'!I43*'Jan''11 Envestra'!I48/100)*'Jan''11 Envestra'!I42,($F5*'Jan''11 Envestra'!I41/'Jan''11 Envestra'!I42*'Jan''11 Envestra'!I48/100)*'Jan''11 Envestra'!I42)</f>
        <v>224.04800000000003</v>
      </c>
      <c r="H63" s="69">
        <f>IF($F5*'Jan''11 Envestra'!J41/'Jan''11 Envestra'!J42&gt;='Jan''11 Envestra'!J43,('Jan''11 Envestra'!J43*'Jan''11 Envestra'!J48/100)*'Jan''11 Envestra'!J42,($F5*'Jan''11 Envestra'!J41/'Jan''11 Envestra'!J42*'Jan''11 Envestra'!J48/100)*'Jan''11 Envestra'!J42)</f>
        <v>259.42399999999998</v>
      </c>
      <c r="I63" s="69">
        <f>IF($F5*'Jan''11 Envestra'!K41/'Jan''11 Envestra'!K42&gt;='Jan''11 Envestra'!K43,('Jan''11 Envestra'!K43*'Jan''11 Envestra'!K48/100)*'Jan''11 Envestra'!K42,($F5*'Jan''11 Envestra'!K41/'Jan''11 Envestra'!K42*'Jan''11 Envestra'!K48/100)*'Jan''11 Envestra'!K42)</f>
        <v>188.12639999999999</v>
      </c>
      <c r="J63" s="63"/>
    </row>
    <row r="64" spans="1:10" x14ac:dyDescent="0.15">
      <c r="A64" s="40" t="s">
        <v>608</v>
      </c>
      <c r="C64" s="69">
        <f>IF($F5*'Jan''11 Envestra'!E41/'Jan''11 Envestra'!E42&lt;'Jan''11 Envestra'!E43,0,IF($F5*'Jan''11 Envestra'!E41/'Jan''11 Envestra'!E42&lt;='Jan''11 Envestra'!E44,($F5*'Jan''11 Envestra'!E41/'Jan''11 Envestra'!E42-'Jan''11 Envestra'!E43)*('Jan''11 Envestra'!E49/100)*'Jan''11 Envestra'!E42,('Jan''11 Envestra'!E44-'Jan''11 Envestra'!E43)*('Jan''11 Envestra'!E49/100)*'Jan''11 Envestra'!E42))</f>
        <v>227.25096239999991</v>
      </c>
      <c r="D64" s="69">
        <f>IF($F5*'Jan''11 Envestra'!F41/'Jan''11 Envestra'!F42&lt;'Jan''11 Envestra'!F43,0,IF($F5*'Jan''11 Envestra'!F41/'Jan''11 Envestra'!F42&lt;='Jan''11 Envestra'!F44,($F5*'Jan''11 Envestra'!F41/'Jan''11 Envestra'!F42-'Jan''11 Envestra'!F43)*('Jan''11 Envestra'!F49/100)*'Jan''11 Envestra'!F42,('Jan''11 Envestra'!F44-'Jan''11 Envestra'!F43)*('Jan''11 Envestra'!F49/100)*'Jan''11 Envestra'!F42))</f>
        <v>349.72149739999992</v>
      </c>
      <c r="E64" s="69">
        <f>IF($F5*'Jan''11 Envestra'!G41/'Jan''11 Envestra'!G42&lt;'Jan''11 Envestra'!G43,0,IF($F5*'Jan''11 Envestra'!G41/'Jan''11 Envestra'!G42&lt;='Jan''11 Envestra'!G44,($F5*'Jan''11 Envestra'!G41/'Jan''11 Envestra'!G42-'Jan''11 Envestra'!G43)*('Jan''11 Envestra'!G49/100)*'Jan''11 Envestra'!G42,('Jan''11 Envestra'!G44-'Jan''11 Envestra'!G43)*('Jan''11 Envestra'!G49/100)*'Jan''11 Envestra'!G42))</f>
        <v>357.80619119999994</v>
      </c>
      <c r="F64" s="69">
        <f>IF($F5*'Jan''11 Envestra'!H41/'Jan''11 Envestra'!H42&lt;'Jan''11 Envestra'!H43,0,IF($F5*'Jan''11 Envestra'!H41/'Jan''11 Envestra'!H42&lt;='Jan''11 Envestra'!H44,($F5*'Jan''11 Envestra'!H41/'Jan''11 Envestra'!H42-'Jan''11 Envestra'!H43)*('Jan''11 Envestra'!H49/100)*'Jan''11 Envestra'!H42,('Jan''11 Envestra'!H44-'Jan''11 Envestra'!H43)*('Jan''11 Envestra'!H49/100)*'Jan''11 Envestra'!H42))</f>
        <v>0</v>
      </c>
      <c r="G64" s="69">
        <f>IF($F5*'Jan''11 Envestra'!I41/'Jan''11 Envestra'!I42&lt;'Jan''11 Envestra'!I43,0,IF($F5*'Jan''11 Envestra'!I41/'Jan''11 Envestra'!I42&lt;='Jan''11 Envestra'!I44,($F5*'Jan''11 Envestra'!I41/'Jan''11 Envestra'!I42-'Jan''11 Envestra'!I43)*('Jan''11 Envestra'!I49/100)*'Jan''11 Envestra'!I42,('Jan''11 Envestra'!I44-'Jan''11 Envestra'!I43)*('Jan''11 Envestra'!I49/100)*'Jan''11 Envestra'!I42))</f>
        <v>318.2665793999999</v>
      </c>
      <c r="H64" s="69">
        <f>IF($F5*'Jan''11 Envestra'!J41/'Jan''11 Envestra'!J42&lt;'Jan''11 Envestra'!J43,0,IF($F5*'Jan''11 Envestra'!J41/'Jan''11 Envestra'!J42&lt;='Jan''11 Envestra'!J44,($F5*'Jan''11 Envestra'!J41/'Jan''11 Envestra'!J42-'Jan''11 Envestra'!J43)*('Jan''11 Envestra'!J49/100)*'Jan''11 Envestra'!J42,('Jan''11 Envestra'!J44-'Jan''11 Envestra'!J43)*('Jan''11 Envestra'!J49/100)*'Jan''11 Envestra'!J42))</f>
        <v>375.17138559999995</v>
      </c>
      <c r="I64" s="69">
        <f>IF($F5*'Jan''11 Envestra'!K41/'Jan''11 Envestra'!K42&lt;'Jan''11 Envestra'!K43,0,IF($F5*'Jan''11 Envestra'!K41/'Jan''11 Envestra'!K42&lt;='Jan''11 Envestra'!K44,($F5*'Jan''11 Envestra'!K41/'Jan''11 Envestra'!K42-'Jan''11 Envestra'!K43)*('Jan''11 Envestra'!K49/100)*'Jan''11 Envestra'!K42,('Jan''11 Envestra'!K44-'Jan''11 Envestra'!K43)*('Jan''11 Envestra'!K49/100)*'Jan''11 Envestra'!K42))</f>
        <v>455.75316643999992</v>
      </c>
      <c r="J64" s="63"/>
    </row>
    <row r="65" spans="1:10" x14ac:dyDescent="0.15">
      <c r="A65" s="40" t="s">
        <v>611</v>
      </c>
      <c r="C65" s="69">
        <f>IF(($F5*'Jan''11 Envestra'!E41/'Jan''11 Envestra'!E42&gt;'Jan''11 Envestra'!E44),($F5*'Jan''11 Envestra'!E41/'Jan''11 Envestra'!E42-'Jan''11 Envestra'!E44)*'Jan''11 Envestra'!E50/100)*'Jan''11 Envestra'!E42</f>
        <v>0</v>
      </c>
      <c r="D65" s="69">
        <f>IF(($F5*'Jan''11 Envestra'!F41/'Jan''11 Envestra'!F42&gt;'Jan''11 Envestra'!F44),($F5*'Jan''11 Envestra'!F41/'Jan''11 Envestra'!F42-'Jan''11 Envestra'!F44)*'Jan''11 Envestra'!F50/100)*'Jan''11 Envestra'!F42</f>
        <v>0</v>
      </c>
      <c r="E65" s="69">
        <f>IF(($F5*'Jan''11 Envestra'!G41/'Jan''11 Envestra'!G42&gt;'Jan''11 Envestra'!G44),($F5*'Jan''11 Envestra'!G41/'Jan''11 Envestra'!G42-'Jan''11 Envestra'!G44)*'Jan''11 Envestra'!G50/100)*'Jan''11 Envestra'!G42</f>
        <v>0</v>
      </c>
      <c r="F65" s="69">
        <f>IF(($F5*'Jan''11 Envestra'!H41/'Jan''11 Envestra'!H42&gt;'Jan''11 Envestra'!H44),($F5*'Jan''11 Envestra'!H41/'Jan''11 Envestra'!H42-'Jan''11 Envestra'!H44)*'Jan''11 Envestra'!H50/100)*'Jan''11 Envestra'!H42</f>
        <v>358.74203999999992</v>
      </c>
      <c r="G65" s="69">
        <f>IF(($F5*'Jan''11 Envestra'!I41/'Jan''11 Envestra'!I42&gt;'Jan''11 Envestra'!I44),($F5*'Jan''11 Envestra'!I41/'Jan''11 Envestra'!I42-'Jan''11 Envestra'!I44)*'Jan''11 Envestra'!I50/100)*'Jan''11 Envestra'!I42</f>
        <v>0</v>
      </c>
      <c r="H65" s="69">
        <f>IF(($F5*'Jan''11 Envestra'!J41/'Jan''11 Envestra'!J42&gt;'Jan''11 Envestra'!J44),($F5*'Jan''11 Envestra'!J41/'Jan''11 Envestra'!J42-'Jan''11 Envestra'!J44)*'Jan''11 Envestra'!J50/100)*'Jan''11 Envestra'!J42</f>
        <v>0</v>
      </c>
      <c r="I65" s="69">
        <f>IF(($F5*'Jan''11 Envestra'!K41/'Jan''11 Envestra'!K42&gt;'Jan''11 Envestra'!K44),($F5*'Jan''11 Envestra'!K41/'Jan''11 Envestra'!K42-'Jan''11 Envestra'!K44)*'Jan''11 Envestra'!K50/100)*'Jan''11 Envestra'!K42</f>
        <v>0</v>
      </c>
      <c r="J65" s="63"/>
    </row>
    <row r="66" spans="1:10" x14ac:dyDescent="0.15">
      <c r="A66" s="40" t="s">
        <v>612</v>
      </c>
      <c r="C66" s="69">
        <f>365*'Jan''11 Envestra'!E51/100</f>
        <v>185.69374999999999</v>
      </c>
      <c r="D66" s="69">
        <f>365*'Jan''11 Envestra'!F51/100</f>
        <v>176.29865000000001</v>
      </c>
      <c r="E66" s="69">
        <f>365*'Jan''11 Envestra'!G51/100</f>
        <v>186.73399999999998</v>
      </c>
      <c r="F66" s="69">
        <f>365*'Jan''11 Envestra'!H51/100</f>
        <v>189.28900000000002</v>
      </c>
      <c r="G66" s="69">
        <f>365*'Jan''11 Envestra'!I51/100</f>
        <v>172.64500000000001</v>
      </c>
      <c r="H66" s="69">
        <f>365*'Jan''11 Envestra'!J51/100</f>
        <v>189.8</v>
      </c>
      <c r="I66" s="69">
        <f>365*'Jan''11 Envestra'!K51/100</f>
        <v>252.34275000000002</v>
      </c>
      <c r="J66" s="60">
        <f>AVERAGE(C66:I66)</f>
        <v>193.25759285714284</v>
      </c>
    </row>
    <row r="67" spans="1:10" x14ac:dyDescent="0.15">
      <c r="A67" s="62" t="s">
        <v>613</v>
      </c>
      <c r="B67" s="63"/>
      <c r="C67" s="60">
        <f>SUM(C60:C66)</f>
        <v>1084.0382003</v>
      </c>
      <c r="D67" s="60">
        <f t="shared" ref="D67:I67" si="4">SUM(D60:D66)</f>
        <v>1080.4350413999998</v>
      </c>
      <c r="E67" s="60">
        <f t="shared" si="4"/>
        <v>1114.1909406999998</v>
      </c>
      <c r="F67" s="60">
        <f t="shared" si="4"/>
        <v>1099.6016399999999</v>
      </c>
      <c r="G67" s="60">
        <f t="shared" si="4"/>
        <v>995.86180649999983</v>
      </c>
      <c r="H67" s="60">
        <f t="shared" si="4"/>
        <v>1146.0377318999999</v>
      </c>
      <c r="I67" s="60">
        <f t="shared" si="4"/>
        <v>1234.4660918699999</v>
      </c>
      <c r="J67" s="64">
        <f>AVERAGE(C67:I67)</f>
        <v>1107.8044932385712</v>
      </c>
    </row>
    <row r="69" spans="1:10" x14ac:dyDescent="0.15">
      <c r="A69" s="55" t="s">
        <v>489</v>
      </c>
    </row>
    <row r="71" spans="1:10" x14ac:dyDescent="0.15">
      <c r="A71" s="53" t="s">
        <v>1030</v>
      </c>
      <c r="C71" s="23" t="s">
        <v>1044</v>
      </c>
      <c r="D71" s="23" t="s">
        <v>591</v>
      </c>
      <c r="E71" s="23" t="s">
        <v>555</v>
      </c>
      <c r="F71" s="23" t="s">
        <v>544</v>
      </c>
      <c r="G71" s="23" t="s">
        <v>514</v>
      </c>
      <c r="H71" s="23" t="s">
        <v>615</v>
      </c>
      <c r="I71" s="23" t="s">
        <v>515</v>
      </c>
      <c r="J71" s="57" t="s">
        <v>601</v>
      </c>
    </row>
    <row r="72" spans="1:10" x14ac:dyDescent="0.15">
      <c r="A72" s="40" t="s">
        <v>602</v>
      </c>
      <c r="C72" s="59">
        <f>IF($F5*'Jan''11 SP'!E7/'Jan''11 SP'!E8&gt;='Jan''11 SP'!E11,('Jan''11 SP'!E11*'Jan''11 SP'!E13/100)*'Jan''11 SP'!E8,($F5*'Jan''11 SP'!E7/'Jan''11 SP'!E8*'Jan''11 SP'!E13/100)*'Jan''11 SP'!E8)</f>
        <v>199.452</v>
      </c>
      <c r="D72" s="59">
        <f>IF($F5*'Jan''11 SP'!F7/'Jan''11 SP'!F8&gt;='Jan''11 SP'!F11,('Jan''11 SP'!F11*'Jan''11 SP'!F13/100)*'Jan''11 SP'!F8,($F5*'Jan''11 SP'!F7/'Jan''11 SP'!F8*'Jan''11 SP'!F13/100)*'Jan''11 SP'!F8)</f>
        <v>107.9936</v>
      </c>
      <c r="E72" s="59">
        <f>IF($F5*'Jan''11 SP'!G7/'Jan''11 SP'!G8&gt;='Jan''11 SP'!G11,('Jan''11 SP'!G11*'Jan''11 SP'!G13/100)*'Jan''11 SP'!G8,($F5*'Jan''11 SP'!G7/'Jan''11 SP'!G8*'Jan''11 SP'!G13/100)*'Jan''11 SP'!G8)</f>
        <v>109.2608</v>
      </c>
      <c r="F72" s="59">
        <f>IF($F5*'Jan''11 SP'!H7/'Jan''11 SP'!H8&gt;='Jan''11 SP'!H11,('Jan''11 SP'!H11*'Jan''11 SP'!H13/100)*'Jan''11 SP'!H8,($F5*'Jan''11 SP'!H7/'Jan''11 SP'!H8*'Jan''11 SP'!H13/100)*'Jan''11 SP'!H8)</f>
        <v>105.6</v>
      </c>
      <c r="G72" s="59">
        <f>IF($F5*'Jan''11 SP'!I7/'Jan''11 SP'!I8&gt;='Jan''11 SP'!I11,('Jan''11 SP'!I11*'Jan''11 SP'!I13/100)*'Jan''11 SP'!I8,($F5*'Jan''11 SP'!I7/'Jan''11 SP'!I8*'Jan''11 SP'!I13/100)*'Jan''11 SP'!I8)</f>
        <v>100.6016</v>
      </c>
      <c r="H72" s="59">
        <f>IF($F5*'Jan''11 SP'!J7/'Jan''11 SP'!J8&gt;='Jan''11 SP'!J11,('Jan''11 SP'!J11*'Jan''11 SP'!J13/100)*'Jan''11 SP'!J8,($F5*'Jan''11 SP'!J7/'Jan''11 SP'!J8*'Jan''11 SP'!J13/100)*'Jan''11 SP'!J8)</f>
        <v>109.4016</v>
      </c>
      <c r="I72" s="59">
        <f>IF($F5*'Jan''11 SP'!K7/'Jan''11 SP'!K8&gt;='Jan''11 SP'!K11,('Jan''11 SP'!K11*'Jan''11 SP'!K13/100)*'Jan''11 SP'!K8,($F5*'Jan''11 SP'!K7/'Jan''11 SP'!K8*'Jan''11 SP'!K13/100)*'Jan''11 SP'!K8)</f>
        <v>123.58016000000002</v>
      </c>
      <c r="J72" s="63"/>
    </row>
    <row r="73" spans="1:10" x14ac:dyDescent="0.15">
      <c r="A73" s="40" t="s">
        <v>603</v>
      </c>
      <c r="C73" s="59">
        <f>IF($F5*'Jan''11 SP'!E7/'Jan''11 SP'!E8&lt;'Jan''11 SP'!E11,0,IF($F5*'Jan''11 SP'!E7/'Jan''11 SP'!E8&lt;='Jan''11 SP'!E12,($F5*'Jan''11 SP'!E7/'Jan''11 SP'!E8-'Jan''11 SP'!E11)*('Jan''11 SP'!E14/100)*'Jan''11 SP'!E8,('Jan''11 SP'!E12-'Jan''11 SP'!E11)*('Jan''11 SP'!E14/100)*'Jan''11 SP'!E8))</f>
        <v>137.37993719999994</v>
      </c>
      <c r="D73" s="59">
        <f>IF($F5*'Jan''11 SP'!F7/'Jan''11 SP'!F8&lt;'Jan''11 SP'!F11,0,IF($F5*'Jan''11 SP'!F7/'Jan''11 SP'!F8&lt;='Jan''11 SP'!F12,($F5*'Jan''11 SP'!F7/'Jan''11 SP'!F8-'Jan''11 SP'!F11)*('Jan''11 SP'!F14/100)*'Jan''11 SP'!F8,('Jan''11 SP'!F12-'Jan''11 SP'!F11)*('Jan''11 SP'!F14/100)*'Jan''11 SP'!F8))</f>
        <v>0</v>
      </c>
      <c r="E73" s="59">
        <f>IF($F5*'Jan''11 SP'!G7/'Jan''11 SP'!G8&lt;'Jan''11 SP'!G11,0,IF($F5*'Jan''11 SP'!G7/'Jan''11 SP'!G8&lt;='Jan''11 SP'!G12,($F5*'Jan''11 SP'!G7/'Jan''11 SP'!G8-'Jan''11 SP'!G11)*('Jan''11 SP'!G14/100)*'Jan''11 SP'!G8,('Jan''11 SP'!G12-'Jan''11 SP'!G11)*('Jan''11 SP'!G14/100)*'Jan''11 SP'!G8))</f>
        <v>0</v>
      </c>
      <c r="F73" s="59">
        <f>IF($F5*'Jan''11 SP'!H7/'Jan''11 SP'!H8&lt;'Jan''11 SP'!H11,0,IF($F5*'Jan''11 SP'!H7/'Jan''11 SP'!H8&lt;='Jan''11 SP'!H12,($F5*'Jan''11 SP'!H7/'Jan''11 SP'!H8-'Jan''11 SP'!H11)*('Jan''11 SP'!H14/100)*'Jan''11 SP'!H8,('Jan''11 SP'!H12-'Jan''11 SP'!H11)*('Jan''11 SP'!H14/100)*'Jan''11 SP'!H8))</f>
        <v>0</v>
      </c>
      <c r="G73" s="59">
        <f>IF($F5*'Jan''11 SP'!I7/'Jan''11 SP'!I8&lt;'Jan''11 SP'!I11,0,IF($F5*'Jan''11 SP'!I7/'Jan''11 SP'!I8&lt;='Jan''11 SP'!I12,($F5*'Jan''11 SP'!I7/'Jan''11 SP'!I8-'Jan''11 SP'!I11)*('Jan''11 SP'!I14/100)*'Jan''11 SP'!I8,('Jan''11 SP'!I12-'Jan''11 SP'!I11)*('Jan''11 SP'!I14/100)*'Jan''11 SP'!I8))</f>
        <v>0</v>
      </c>
      <c r="H73" s="59">
        <f>IF($F5*'Jan''11 SP'!J7/'Jan''11 SP'!J8&lt;'Jan''11 SP'!J11,0,IF($F5*'Jan''11 SP'!J7/'Jan''11 SP'!J8&lt;='Jan''11 SP'!J12,($F5*'Jan''11 SP'!J7/'Jan''11 SP'!J8-'Jan''11 SP'!J11)*('Jan''11 SP'!J14/100)*'Jan''11 SP'!J8,('Jan''11 SP'!J12-'Jan''11 SP'!J11)*('Jan''11 SP'!J14/100)*'Jan''11 SP'!J8))</f>
        <v>0</v>
      </c>
      <c r="I73" s="59">
        <f>IF($F5*'Jan''11 SP'!K7/'Jan''11 SP'!K8&lt;'Jan''11 SP'!K11,0,IF($F5*'Jan''11 SP'!K7/'Jan''11 SP'!K8&lt;='Jan''11 SP'!K12,($F5*'Jan''11 SP'!K7/'Jan''11 SP'!K8-'Jan''11 SP'!K11)*('Jan''11 SP'!K14/100)*'Jan''11 SP'!K8,('Jan''11 SP'!K12-'Jan''11 SP'!K11)*('Jan''11 SP'!K14/100)*'Jan''11 SP'!K8))</f>
        <v>0</v>
      </c>
      <c r="J73" s="63"/>
    </row>
    <row r="74" spans="1:10" x14ac:dyDescent="0.15">
      <c r="A74" s="40" t="s">
        <v>606</v>
      </c>
      <c r="C74" s="59">
        <f>IF(($F5*'Jan''11 SP'!E7/'Jan''11 SP'!E8&gt;'Jan''11 SP'!E12),($F5*'Jan''11 SP'!E7/'Jan''11 SP'!E8-'Jan''11 SP'!E12)*'Jan''11 SP'!E15/100*'Jan''11 SP'!E8,0)</f>
        <v>0</v>
      </c>
      <c r="D74" s="59">
        <f>IF(($F5*'Jan''11 SP'!F7/'Jan''11 SP'!F8&gt;'Jan''11 SP'!F12),($F5*'Jan''11 SP'!F7/'Jan''11 SP'!F8-'Jan''11 SP'!F12)*'Jan''11 SP'!F15/100*'Jan''11 SP'!F8,0)</f>
        <v>211.47977729999999</v>
      </c>
      <c r="E74" s="59">
        <f>IF(($F5*'Jan''11 SP'!G7/'Jan''11 SP'!G8&gt;'Jan''11 SP'!G12),($F5*'Jan''11 SP'!G7/'Jan''11 SP'!G8-'Jan''11 SP'!G12)*'Jan''11 SP'!G15/100*'Jan''11 SP'!G8,0)</f>
        <v>221.17278289999996</v>
      </c>
      <c r="F74" s="59">
        <f>IF(($F5*'Jan''11 SP'!H7/'Jan''11 SP'!H8&gt;'Jan''11 SP'!H12),($F5*'Jan''11 SP'!H7/'Jan''11 SP'!H8-'Jan''11 SP'!H12)*'Jan''11 SP'!H15/100*'Jan''11 SP'!H8,0)</f>
        <v>221.88807999999997</v>
      </c>
      <c r="G74" s="59">
        <f>IF(($F5*'Jan''11 SP'!I7/'Jan''11 SP'!I8&gt;'Jan''11 SP'!I12),($F5*'Jan''11 SP'!I7/'Jan''11 SP'!I8-'Jan''11 SP'!I12)*'Jan''11 SP'!I15/100*'Jan''11 SP'!I8,0)</f>
        <v>204.89612439999996</v>
      </c>
      <c r="H74" s="59">
        <f>IF(($F5*'Jan''11 SP'!J7/'Jan''11 SP'!J8&gt;'Jan''11 SP'!J12),($F5*'Jan''11 SP'!J7/'Jan''11 SP'!J8-'Jan''11 SP'!J12)*'Jan''11 SP'!J15/100*'Jan''11 SP'!J8,0)</f>
        <v>219.99035299999997</v>
      </c>
      <c r="I74" s="59">
        <f>IF(($F5*'Jan''11 SP'!K7/'Jan''11 SP'!K8&gt;'Jan''11 SP'!K12),($F5*'Jan''11 SP'!K7/'Jan''11 SP'!K8-'Jan''11 SP'!K12)*'Jan''11 SP'!K15/100*'Jan''11 SP'!K8,0)</f>
        <v>237.31660051</v>
      </c>
      <c r="J74" s="63"/>
    </row>
    <row r="75" spans="1:10" x14ac:dyDescent="0.15">
      <c r="A75" s="40" t="s">
        <v>607</v>
      </c>
      <c r="C75" s="59">
        <f>IF($F5*'Jan''11 SP'!E9/'Jan''11 SP'!E10&gt;='Jan''11 SP'!E11,('Jan''11 SP'!E11*'Jan''11 SP'!E16/100)*'Jan''11 SP'!E10,($F5*'Jan''11 SP'!E9/'Jan''11 SP'!E10*'Jan''11 SP'!E16/100)*'Jan''11 SP'!E10)</f>
        <v>333.69599999999997</v>
      </c>
      <c r="D75" s="59">
        <f>IF($F5*'Jan''11 SP'!F9/'Jan''11 SP'!F10&gt;='Jan''11 SP'!F11,('Jan''11 SP'!F11*'Jan''11 SP'!F16/100)*'Jan''11 SP'!F10,($F5*'Jan''11 SP'!F9/'Jan''11 SP'!F10*'Jan''11 SP'!F16/100)*'Jan''11 SP'!F10)</f>
        <v>183.74400000000003</v>
      </c>
      <c r="E75" s="59">
        <f>IF($F5*'Jan''11 SP'!G9/'Jan''11 SP'!G10&gt;='Jan''11 SP'!G11,('Jan''11 SP'!G11*'Jan''11 SP'!G16/100)*'Jan''11 SP'!G10,($F5*'Jan''11 SP'!G9/'Jan''11 SP'!G10*'Jan''11 SP'!G16/100)*'Jan''11 SP'!G10)</f>
        <v>187.1104</v>
      </c>
      <c r="F75" s="59">
        <f>IF($F5*'Jan''11 SP'!H9/'Jan''11 SP'!H10&gt;='Jan''11 SP'!H11,('Jan''11 SP'!H11*'Jan''11 SP'!H16/100)*'Jan''11 SP'!H10,($F5*'Jan''11 SP'!H9/'Jan''11 SP'!H10*'Jan''11 SP'!H16/100)*'Jan''11 SP'!H10)</f>
        <v>190.72</v>
      </c>
      <c r="G75" s="59">
        <f>IF($F5*'Jan''11 SP'!I9/'Jan''11 SP'!I10&gt;='Jan''11 SP'!I11,('Jan''11 SP'!I11*'Jan''11 SP'!I16/100)*'Jan''11 SP'!I10,($F5*'Jan''11 SP'!I9/'Jan''11 SP'!I10*'Jan''11 SP'!I16/100)*'Jan''11 SP'!I10)</f>
        <v>170.36799999999999</v>
      </c>
      <c r="H75" s="59">
        <f>IF($F5*'Jan''11 SP'!J9/'Jan''11 SP'!J10&gt;='Jan''11 SP'!J11,('Jan''11 SP'!J11*'Jan''11 SP'!J16/100)*'Jan''11 SP'!J10,($F5*'Jan''11 SP'!J9/'Jan''11 SP'!J10*'Jan''11 SP'!J16/100)*'Jan''11 SP'!J10)</f>
        <v>185.99680000000001</v>
      </c>
      <c r="I75" s="59">
        <f>IF($F5*'Jan''11 SP'!K9/'Jan''11 SP'!K10&gt;='Jan''11 SP'!K11,('Jan''11 SP'!K11*'Jan''11 SP'!K16/100)*'Jan''11 SP'!K10,($F5*'Jan''11 SP'!K9/'Jan''11 SP'!K10*'Jan''11 SP'!K16/100)*'Jan''11 SP'!K10)</f>
        <v>209.94687999999999</v>
      </c>
      <c r="J75" s="63"/>
    </row>
    <row r="76" spans="1:10" x14ac:dyDescent="0.15">
      <c r="A76" s="40" t="s">
        <v>608</v>
      </c>
      <c r="C76" s="59">
        <f>IF($F5*'Jan''11 SP'!E9/'Jan''11 SP'!E10&lt;'Jan''11 SP'!E11,0,IF($F5*'Jan''11 SP'!E9/'Jan''11 SP'!E10&lt;='Jan''11 SP'!E12,($F5*'Jan''11 SP'!E9/'Jan''11 SP'!E10-'Jan''11 SP'!E11)*('Jan''11 SP'!E17/100)*'Jan''11 SP'!E10,('Jan''11 SP'!E12-'Jan''11 SP'!E11)*('Jan''11 SP'!E17/100)*'Jan''11 SP'!E10))</f>
        <v>228.24073139999993</v>
      </c>
      <c r="D76" s="59">
        <f>IF($F5*'Jan''11 SP'!F9/'Jan''11 SP'!F10&lt;'Jan''11 SP'!F11,0,IF($F5*'Jan''11 SP'!F9/'Jan''11 SP'!F10&lt;='Jan''11 SP'!F12,($F5*'Jan''11 SP'!F9/'Jan''11 SP'!F10-'Jan''11 SP'!F11)*('Jan''11 SP'!F17/100)*'Jan''11 SP'!F10,('Jan''11 SP'!F12-'Jan''11 SP'!F11)*('Jan''11 SP'!F17/100)*'Jan''11 SP'!F10))</f>
        <v>0</v>
      </c>
      <c r="E76" s="59">
        <f>IF($F5*'Jan''11 SP'!G9/'Jan''11 SP'!G10&lt;'Jan''11 SP'!G11,0,IF($F5*'Jan''11 SP'!G9/'Jan''11 SP'!G10&lt;='Jan''11 SP'!G12,($F5*'Jan''11 SP'!G9/'Jan''11 SP'!G10-'Jan''11 SP'!G11)*('Jan''11 SP'!G17/100)*'Jan''11 SP'!G10,('Jan''11 SP'!G12-'Jan''11 SP'!G11)*('Jan''11 SP'!G17/100)*'Jan''11 SP'!G10))</f>
        <v>0</v>
      </c>
      <c r="F76" s="59">
        <f>IF($F5*'Jan''11 SP'!H9/'Jan''11 SP'!H10&lt;'Jan''11 SP'!H11,0,IF($F5*'Jan''11 SP'!H9/'Jan''11 SP'!H10&lt;='Jan''11 SP'!H12,($F5*'Jan''11 SP'!H9/'Jan''11 SP'!H10-'Jan''11 SP'!H11)*('Jan''11 SP'!H17/100)*'Jan''11 SP'!H10,('Jan''11 SP'!H12-'Jan''11 SP'!H11)*('Jan''11 SP'!H17/100)*'Jan''11 SP'!H10))</f>
        <v>0</v>
      </c>
      <c r="G76" s="59">
        <f>IF($F5*'Jan''11 SP'!I9/'Jan''11 SP'!I10&lt;'Jan''11 SP'!I11,0,IF($F5*'Jan''11 SP'!I9/'Jan''11 SP'!I10&lt;='Jan''11 SP'!I12,($F5*'Jan''11 SP'!I9/'Jan''11 SP'!I10-'Jan''11 SP'!I11)*('Jan''11 SP'!I17/100)*'Jan''11 SP'!I10,('Jan''11 SP'!I12-'Jan''11 SP'!I11)*('Jan''11 SP'!I17/100)*'Jan''11 SP'!I10))</f>
        <v>0</v>
      </c>
      <c r="H76" s="59">
        <f>IF($F5*'Jan''11 SP'!J9/'Jan''11 SP'!J10&lt;'Jan''11 SP'!J11,0,IF($F5*'Jan''11 SP'!J9/'Jan''11 SP'!J10&lt;='Jan''11 SP'!J12,($F5*'Jan''11 SP'!J9/'Jan''11 SP'!J10-'Jan''11 SP'!J11)*('Jan''11 SP'!J17/100)*'Jan''11 SP'!J10,('Jan''11 SP'!J12-'Jan''11 SP'!J11)*('Jan''11 SP'!J17/100)*'Jan''11 SP'!J10))</f>
        <v>0</v>
      </c>
      <c r="I76" s="59">
        <f>IF($F5*'Jan''11 SP'!K9/'Jan''11 SP'!K10&lt;'Jan''11 SP'!K11,0,IF($F5*'Jan''11 SP'!K9/'Jan''11 SP'!K10&lt;='Jan''11 SP'!K12,($F5*'Jan''11 SP'!K9/'Jan''11 SP'!K10-'Jan''11 SP'!K11)*('Jan''11 SP'!K17/100)*'Jan''11 SP'!K10,('Jan''11 SP'!K12-'Jan''11 SP'!K11)*('Jan''11 SP'!K17/100)*'Jan''11 SP'!K10))</f>
        <v>0</v>
      </c>
      <c r="J76" s="63"/>
    </row>
    <row r="77" spans="1:10" x14ac:dyDescent="0.15">
      <c r="A77" s="40" t="s">
        <v>611</v>
      </c>
      <c r="C77" s="59">
        <f>IF(($F5*'Jan''11 SP'!E9/'Jan''11 SP'!E10&gt;'Jan''11 SP'!E12),($F5*'Jan''11 SP'!E9/'Jan''11 SP'!E10-'Jan''11 SP'!E12)*'Jan''11 SP'!E18/100*'Jan''11 SP'!E10,0)</f>
        <v>0</v>
      </c>
      <c r="D77" s="59">
        <f>IF(($F5*'Jan''11 SP'!F9/'Jan''11 SP'!F10&gt;'Jan''11 SP'!F12),($F5*'Jan''11 SP'!F9/'Jan''11 SP'!F10-'Jan''11 SP'!F12)*'Jan''11 SP'!F18/100*'Jan''11 SP'!F10,0)</f>
        <v>367.72110099999998</v>
      </c>
      <c r="E77" s="59">
        <f>IF(($F5*'Jan''11 SP'!G9/'Jan''11 SP'!G10&gt;'Jan''11 SP'!G12),($F5*'Jan''11 SP'!G9/'Jan''11 SP'!G10-'Jan''11 SP'!G12)*'Jan''11 SP'!G18/100*'Jan''11 SP'!G10,0)</f>
        <v>373.82302319999997</v>
      </c>
      <c r="F77" s="59">
        <f>IF(($F5*'Jan''11 SP'!H9/'Jan''11 SP'!H10&gt;'Jan''11 SP'!H12),($F5*'Jan''11 SP'!H9/'Jan''11 SP'!H10-'Jan''11 SP'!H12)*'Jan''11 SP'!H18/100*'Jan''11 SP'!H10,0)</f>
        <v>382.46497999999991</v>
      </c>
      <c r="G77" s="59">
        <f>IF(($F5*'Jan''11 SP'!I9/'Jan''11 SP'!I10&gt;'Jan''11 SP'!I12),($F5*'Jan''11 SP'!I9/'Jan''11 SP'!I10-'Jan''11 SP'!I12)*'Jan''11 SP'!I18/100*'Jan''11 SP'!I10,0)</f>
        <v>336.24802859999994</v>
      </c>
      <c r="H77" s="59">
        <f>IF(($F5*'Jan''11 SP'!J9/'Jan''11 SP'!J10&gt;'Jan''11 SP'!J12),($F5*'Jan''11 SP'!J9/'Jan''11 SP'!J10-'Jan''11 SP'!J12)*'Jan''11 SP'!J18/100*'Jan''11 SP'!J10,0)</f>
        <v>373.82302319999997</v>
      </c>
      <c r="I77" s="59">
        <f>IF(($F5*'Jan''11 SP'!K9/'Jan''11 SP'!K10&gt;'Jan''11 SP'!K12),($F5*'Jan''11 SP'!K9/'Jan''11 SP'!K10-'Jan''11 SP'!K12)*'Jan''11 SP'!K18/100*'Jan''11 SP'!K10,0)</f>
        <v>478.87243117999992</v>
      </c>
      <c r="J77" s="63"/>
    </row>
    <row r="78" spans="1:10" x14ac:dyDescent="0.15">
      <c r="A78" s="40" t="s">
        <v>612</v>
      </c>
      <c r="C78" s="59">
        <f>365*'Jan''11 SP'!E19/100</f>
        <v>177.66374999999999</v>
      </c>
      <c r="D78" s="59">
        <f>365*'Jan''11 SP'!F19/100</f>
        <v>169.95495000000003</v>
      </c>
      <c r="E78" s="59">
        <f>365*'Jan''11 SP'!G19/100</f>
        <v>175.30950000000001</v>
      </c>
      <c r="F78" s="59">
        <f>365*'Jan''11 SP'!H19/100</f>
        <v>178.92300000000003</v>
      </c>
      <c r="G78" s="59">
        <f>365*'Jan''11 SP'!I19/100</f>
        <v>160.6</v>
      </c>
      <c r="H78" s="59">
        <f>365*'Jan''11 SP'!J19/100</f>
        <v>171.55</v>
      </c>
      <c r="I78" s="59">
        <f>365*'Jan''11 SP'!K19/100</f>
        <v>4.6461580000000007</v>
      </c>
      <c r="J78" s="60">
        <f>AVERAGE(C78:I78)</f>
        <v>148.37819400000004</v>
      </c>
    </row>
    <row r="79" spans="1:10" x14ac:dyDescent="0.15">
      <c r="A79" s="62" t="s">
        <v>613</v>
      </c>
      <c r="B79" s="63"/>
      <c r="C79" s="60">
        <f>SUM(C72:C78)</f>
        <v>1076.4324185999999</v>
      </c>
      <c r="D79" s="60">
        <f t="shared" ref="D79:I79" si="5">SUM(D72:D78)</f>
        <v>1040.8934283000001</v>
      </c>
      <c r="E79" s="60">
        <f t="shared" si="5"/>
        <v>1066.6765060999999</v>
      </c>
      <c r="F79" s="60">
        <f t="shared" si="5"/>
        <v>1079.5960599999999</v>
      </c>
      <c r="G79" s="60">
        <f t="shared" si="5"/>
        <v>972.71375299999988</v>
      </c>
      <c r="H79" s="60">
        <f t="shared" si="5"/>
        <v>1060.7617762</v>
      </c>
      <c r="I79" s="60">
        <f t="shared" si="5"/>
        <v>1054.3622296899998</v>
      </c>
      <c r="J79" s="64">
        <f>AVERAGE(C79:I79)</f>
        <v>1050.2051674128572</v>
      </c>
    </row>
    <row r="81" spans="1:10" x14ac:dyDescent="0.15">
      <c r="A81" s="53" t="s">
        <v>1032</v>
      </c>
      <c r="C81" s="23" t="s">
        <v>1044</v>
      </c>
      <c r="D81" s="23" t="s">
        <v>591</v>
      </c>
      <c r="E81" s="23" t="s">
        <v>555</v>
      </c>
      <c r="F81" s="23" t="s">
        <v>544</v>
      </c>
      <c r="G81" s="23" t="s">
        <v>514</v>
      </c>
      <c r="H81" s="23" t="s">
        <v>615</v>
      </c>
      <c r="I81" s="23" t="s">
        <v>515</v>
      </c>
      <c r="J81" s="57" t="s">
        <v>601</v>
      </c>
    </row>
    <row r="82" spans="1:10" x14ac:dyDescent="0.15">
      <c r="A82" s="40" t="s">
        <v>602</v>
      </c>
      <c r="C82" s="59">
        <f>IF($F5*'Jan''11 SP'!E23/'Jan''11 SP'!E24&gt;='Jan''11 SP'!E27,('Jan''11 SP'!E27*'Jan''11 SP'!E29/100)*'Jan''11 SP'!E24,($F5*'Jan''11 SP'!E23/'Jan''11 SP'!E24*'Jan''11 SP'!E29/100)*'Jan''11 SP'!E24)</f>
        <v>214.5</v>
      </c>
      <c r="D82" s="59">
        <f>IF($F5*'Jan''11 SP'!F23/'Jan''11 SP'!F24&gt;='Jan''11 SP'!F27,('Jan''11 SP'!F27*'Jan''11 SP'!F29/100)*'Jan''11 SP'!F24,($F5*'Jan''11 SP'!F23/'Jan''11 SP'!F24*'Jan''11 SP'!F29/100)*'Jan''11 SP'!F24)</f>
        <v>130.82299999999998</v>
      </c>
      <c r="E82" s="59">
        <f>IF($F5*'Jan''11 SP'!G23/'Jan''11 SP'!G24&gt;='Jan''11 SP'!G27,('Jan''11 SP'!G27*'Jan''11 SP'!G29/100)*'Jan''11 SP'!G24,($F5*'Jan''11 SP'!G23/'Jan''11 SP'!G24*'Jan''11 SP'!G29/100)*'Jan''11 SP'!G24)</f>
        <v>123.24199999999999</v>
      </c>
      <c r="F82" s="59">
        <f>IF($F5*'Jan''11 SP'!H23/'Jan''11 SP'!H24&gt;='Jan''11 SP'!H27,('Jan''11 SP'!H27*'Jan''11 SP'!H29/100)*'Jan''11 SP'!H24,($F5*'Jan''11 SP'!H23/'Jan''11 SP'!H24*'Jan''11 SP'!H29/100)*'Jan''11 SP'!H24)</f>
        <v>124.6</v>
      </c>
      <c r="G82" s="59">
        <f>IF($F5*'Jan''11 SP'!I23/'Jan''11 SP'!I24&gt;='Jan''11 SP'!I27,('Jan''11 SP'!I27*'Jan''11 SP'!I29/100)*'Jan''11 SP'!I24,($F5*'Jan''11 SP'!I23/'Jan''11 SP'!I24*'Jan''11 SP'!I29/100)*'Jan''11 SP'!I24)</f>
        <v>110.649</v>
      </c>
      <c r="H82" s="59">
        <f>IF($F5*'Jan''11 SP'!J23/'Jan''11 SP'!J24&gt;='Jan''11 SP'!J27,('Jan''11 SP'!J27*'Jan''11 SP'!J29/100)*'Jan''11 SP'!J24,($F5*'Jan''11 SP'!J23/'Jan''11 SP'!J24*'Jan''11 SP'!J29/100)*'Jan''11 SP'!J24)</f>
        <v>126.04899999999999</v>
      </c>
      <c r="I82" s="59">
        <f>IF($F5*'Jan''11 SP'!K23/'Jan''11 SP'!K24&gt;='Jan''11 SP'!K27,('Jan''11 SP'!K27*'Jan''11 SP'!K29/100)*'Jan''11 SP'!K24,($F5*'Jan''11 SP'!K23/'Jan''11 SP'!K24*'Jan''11 SP'!K29/100)*'Jan''11 SP'!K24)</f>
        <v>139.95519999999999</v>
      </c>
      <c r="J82" s="63"/>
    </row>
    <row r="83" spans="1:10" x14ac:dyDescent="0.15">
      <c r="A83" s="40" t="s">
        <v>603</v>
      </c>
      <c r="C83" s="59">
        <f>IF($F5*'Jan''11 SP'!E23/'Jan''11 SP'!E24&lt;'Jan''11 SP'!E27,0,IF($F5*'Jan''11 SP'!E23/'Jan''11 SP'!E24&lt;='Jan''11 SP'!E28,($F5*'Jan''11 SP'!E23/'Jan''11 SP'!E24-'Jan''11 SP'!E27)*('Jan''11 SP'!E30/100)*'Jan''11 SP'!E24,('Jan''11 SP'!E28-'Jan''11 SP'!E27)*('Jan''11 SP'!E30/100)*'Jan''11 SP'!E24))</f>
        <v>139.16152139999997</v>
      </c>
      <c r="D83" s="59">
        <f>IF($F5*'Jan''11 SP'!F23/'Jan''11 SP'!F24&lt;'Jan''11 SP'!F27,0,IF($F5*'Jan''11 SP'!F23/'Jan''11 SP'!F24&lt;='Jan''11 SP'!F28,($F5*'Jan''11 SP'!F23/'Jan''11 SP'!F24-'Jan''11 SP'!F27)*('Jan''11 SP'!F30/100)*'Jan''11 SP'!F24,('Jan''11 SP'!F28-'Jan''11 SP'!F27)*('Jan''11 SP'!F30/100)*'Jan''11 SP'!F24))</f>
        <v>0</v>
      </c>
      <c r="E83" s="59">
        <f>IF($F5*'Jan''11 SP'!G23/'Jan''11 SP'!G24&lt;'Jan''11 SP'!G27,0,IF($F5*'Jan''11 SP'!G23/'Jan''11 SP'!G24&lt;='Jan''11 SP'!G28,($F5*'Jan''11 SP'!G23/'Jan''11 SP'!G24-'Jan''11 SP'!G27)*('Jan''11 SP'!G30/100)*'Jan''11 SP'!G24,('Jan''11 SP'!G28-'Jan''11 SP'!G27)*('Jan''11 SP'!G30/100)*'Jan''11 SP'!G24))</f>
        <v>0</v>
      </c>
      <c r="F83" s="59">
        <f>IF($F5*'Jan''11 SP'!H23/'Jan''11 SP'!H24&lt;'Jan''11 SP'!H27,0,IF($F5*'Jan''11 SP'!H23/'Jan''11 SP'!H24&lt;='Jan''11 SP'!H28,($F5*'Jan''11 SP'!H23/'Jan''11 SP'!H24-'Jan''11 SP'!H27)*('Jan''11 SP'!H30/100)*'Jan''11 SP'!H24,('Jan''11 SP'!H28-'Jan''11 SP'!H27)*('Jan''11 SP'!H30/100)*'Jan''11 SP'!H24))</f>
        <v>0</v>
      </c>
      <c r="G83" s="59">
        <f>IF($F5*'Jan''11 SP'!I23/'Jan''11 SP'!I24&lt;'Jan''11 SP'!I27,0,IF($F5*'Jan''11 SP'!I23/'Jan''11 SP'!I24&lt;='Jan''11 SP'!I28,($F5*'Jan''11 SP'!I23/'Jan''11 SP'!I24-'Jan''11 SP'!I27)*('Jan''11 SP'!I30/100)*'Jan''11 SP'!I24,('Jan''11 SP'!I28-'Jan''11 SP'!I27)*('Jan''11 SP'!I30/100)*'Jan''11 SP'!I24))</f>
        <v>0</v>
      </c>
      <c r="H83" s="59">
        <f>IF($F5*'Jan''11 SP'!J23/'Jan''11 SP'!J24&lt;'Jan''11 SP'!J27,0,IF($F5*'Jan''11 SP'!J23/'Jan''11 SP'!J24&lt;='Jan''11 SP'!J28,($F5*'Jan''11 SP'!J23/'Jan''11 SP'!J24-'Jan''11 SP'!J27)*('Jan''11 SP'!J30/100)*'Jan''11 SP'!J24,('Jan''11 SP'!J28-'Jan''11 SP'!J27)*('Jan''11 SP'!J30/100)*'Jan''11 SP'!J24))</f>
        <v>0</v>
      </c>
      <c r="I83" s="59">
        <f>IF($F5*'Jan''11 SP'!K23/'Jan''11 SP'!K24&lt;'Jan''11 SP'!K27,0,IF($F5*'Jan''11 SP'!K23/'Jan''11 SP'!K24&lt;='Jan''11 SP'!K28,($F5*'Jan''11 SP'!K23/'Jan''11 SP'!K24-'Jan''11 SP'!K27)*('Jan''11 SP'!K30/100)*'Jan''11 SP'!K24,('Jan''11 SP'!K28-'Jan''11 SP'!K27)*('Jan''11 SP'!K30/100)*'Jan''11 SP'!K24))</f>
        <v>0</v>
      </c>
      <c r="J83" s="63"/>
    </row>
    <row r="84" spans="1:10" x14ac:dyDescent="0.15">
      <c r="A84" s="40" t="s">
        <v>606</v>
      </c>
      <c r="C84" s="59">
        <f>IF(($F5*'Jan''11 SP'!E23/'Jan''11 SP'!E24&gt;'Jan''11 SP'!E28),($F5*'Jan''11 SP'!E23/'Jan''11 SP'!E24-'Jan''11 SP'!E28)*'Jan''11 SP'!E31/100*'Jan''11 SP'!E24,0)</f>
        <v>0</v>
      </c>
      <c r="D84" s="59">
        <f>IF(($F5*'Jan''11 SP'!F23/'Jan''11 SP'!F24&gt;'Jan''11 SP'!F28),($F5*'Jan''11 SP'!F23/'Jan''11 SP'!F24-'Jan''11 SP'!F28)*'Jan''11 SP'!F31/100*'Jan''11 SP'!F24,0)</f>
        <v>208.17676879999999</v>
      </c>
      <c r="E84" s="59">
        <f>IF(($F5*'Jan''11 SP'!G23/'Jan''11 SP'!G24&gt;'Jan''11 SP'!G28),($F5*'Jan''11 SP'!G23/'Jan''11 SP'!G24-'Jan''11 SP'!G28)*'Jan''11 SP'!G31/100*'Jan''11 SP'!G24,0)</f>
        <v>221.05483679999995</v>
      </c>
      <c r="F84" s="59">
        <f>IF(($F5*'Jan''11 SP'!H23/'Jan''11 SP'!H24&gt;'Jan''11 SP'!H28),($F5*'Jan''11 SP'!H23/'Jan''11 SP'!H24-'Jan''11 SP'!H28)*'Jan''11 SP'!H31/100*'Jan''11 SP'!H24,0)</f>
        <v>226.76597999999998</v>
      </c>
      <c r="G84" s="59">
        <f>IF(($F5*'Jan''11 SP'!I23/'Jan''11 SP'!I24&gt;'Jan''11 SP'!I28),($F5*'Jan''11 SP'!I23/'Jan''11 SP'!I24-'Jan''11 SP'!I28)*'Jan''11 SP'!I31/100*'Jan''11 SP'!I24,0)</f>
        <v>202.01769279999996</v>
      </c>
      <c r="H84" s="59">
        <f>IF(($F5*'Jan''11 SP'!J23/'Jan''11 SP'!J24&gt;'Jan''11 SP'!J28),($F5*'Jan''11 SP'!J23/'Jan''11 SP'!J24-'Jan''11 SP'!J28)*'Jan''11 SP'!J31/100*'Jan''11 SP'!J24,0)</f>
        <v>224.65229709999997</v>
      </c>
      <c r="I84" s="59">
        <f>IF(($F5*'Jan''11 SP'!K23/'Jan''11 SP'!K24&gt;'Jan''11 SP'!K28),($F5*'Jan''11 SP'!K23/'Jan''11 SP'!K24-'Jan''11 SP'!K28)*'Jan''11 SP'!K31/100*'Jan''11 SP'!K24,0)</f>
        <v>242.31344752999996</v>
      </c>
      <c r="J84" s="63"/>
    </row>
    <row r="85" spans="1:10" x14ac:dyDescent="0.15">
      <c r="A85" s="40" t="s">
        <v>607</v>
      </c>
      <c r="C85" s="59">
        <f>IF($F5*'Jan''11 SP'!E25/'Jan''11 SP'!E26&gt;='Jan''11 SP'!E27,('Jan''11 SP'!E27*'Jan''11 SP'!E32/100)*'Jan''11 SP'!E26,($F5*'Jan''11 SP'!E25/'Jan''11 SP'!E26*'Jan''11 SP'!E32/100)*'Jan''11 SP'!E26)</f>
        <v>375.14400000000001</v>
      </c>
      <c r="D85" s="59">
        <f>IF($F5*'Jan''11 SP'!F25/'Jan''11 SP'!F26&gt;='Jan''11 SP'!F27,('Jan''11 SP'!F27*'Jan''11 SP'!F32/100)*'Jan''11 SP'!F26,($F5*'Jan''11 SP'!F25/'Jan''11 SP'!F26*'Jan''11 SP'!F32/100)*'Jan''11 SP'!F26)</f>
        <v>214.36799999999999</v>
      </c>
      <c r="E85" s="59">
        <f>IF($F5*'Jan''11 SP'!G25/'Jan''11 SP'!G26&gt;='Jan''11 SP'!G27,('Jan''11 SP'!G27*'Jan''11 SP'!G32/100)*'Jan''11 SP'!G26,($F5*'Jan''11 SP'!G25/'Jan''11 SP'!G26*'Jan''11 SP'!G32/100)*'Jan''11 SP'!G26)</f>
        <v>204.65200000000002</v>
      </c>
      <c r="F85" s="59">
        <f>IF($F5*'Jan''11 SP'!H25/'Jan''11 SP'!H26&gt;='Jan''11 SP'!H27,('Jan''11 SP'!H27*'Jan''11 SP'!H32/100)*'Jan''11 SP'!H26,($F5*'Jan''11 SP'!H25/'Jan''11 SP'!H26*'Jan''11 SP'!H32/100)*'Jan''11 SP'!H26)</f>
        <v>210</v>
      </c>
      <c r="G85" s="59">
        <f>IF($F5*'Jan''11 SP'!I25/'Jan''11 SP'!I26&gt;='Jan''11 SP'!I27,('Jan''11 SP'!I27*'Jan''11 SP'!I32/100)*'Jan''11 SP'!I26,($F5*'Jan''11 SP'!I25/'Jan''11 SP'!I26*'Jan''11 SP'!I32/100)*'Jan''11 SP'!I26)</f>
        <v>185.57</v>
      </c>
      <c r="H85" s="59">
        <f>IF($F5*'Jan''11 SP'!J25/'Jan''11 SP'!J26&gt;='Jan''11 SP'!J27,('Jan''11 SP'!J27*'Jan''11 SP'!J32/100)*'Jan''11 SP'!J26,($F5*'Jan''11 SP'!J25/'Jan''11 SP'!J26*'Jan''11 SP'!J32/100)*'Jan''11 SP'!J26)</f>
        <v>206.822</v>
      </c>
      <c r="I85" s="59">
        <f>IF($F5*'Jan''11 SP'!K25/'Jan''11 SP'!K26&gt;='Jan''11 SP'!K27,('Jan''11 SP'!K27*'Jan''11 SP'!K32/100)*'Jan''11 SP'!K26,($F5*'Jan''11 SP'!K25/'Jan''11 SP'!K26*'Jan''11 SP'!K32/100)*'Jan''11 SP'!K26)</f>
        <v>245.66080000000002</v>
      </c>
      <c r="J85" s="63"/>
    </row>
    <row r="86" spans="1:10" x14ac:dyDescent="0.15">
      <c r="A86" s="40" t="s">
        <v>608</v>
      </c>
      <c r="C86" s="59">
        <f>IF($F5*'Jan''11 SP'!E25/'Jan''11 SP'!E26&lt;'Jan''11 SP'!E27,0,IF($F5*'Jan''11 SP'!E25/'Jan''11 SP'!E26&lt;='Jan''11 SP'!E28,($F5*'Jan''11 SP'!E25/'Jan''11 SP'!E26-'Jan''11 SP'!E27)*('Jan''11 SP'!E33/100)*'Jan''11 SP'!E26,('Jan''11 SP'!E28-'Jan''11 SP'!E27)*('Jan''11 SP'!E33/100)*'Jan''11 SP'!E26))</f>
        <v>247.24429619999992</v>
      </c>
      <c r="D86" s="59">
        <f>IF($F5*'Jan''11 SP'!F25/'Jan''11 SP'!F26&lt;'Jan''11 SP'!F27,0,IF($F5*'Jan''11 SP'!F25/'Jan''11 SP'!F26&lt;='Jan''11 SP'!F28,($F5*'Jan''11 SP'!F25/'Jan''11 SP'!F26-'Jan''11 SP'!F27)*('Jan''11 SP'!F33/100)*'Jan''11 SP'!F26,('Jan''11 SP'!F28-'Jan''11 SP'!F27)*('Jan''11 SP'!F33/100)*'Jan''11 SP'!F26))</f>
        <v>0</v>
      </c>
      <c r="E86" s="59">
        <f>IF($F5*'Jan''11 SP'!G25/'Jan''11 SP'!G26&lt;'Jan''11 SP'!G27,0,IF($F5*'Jan''11 SP'!G25/'Jan''11 SP'!G26&lt;='Jan''11 SP'!G28,($F5*'Jan''11 SP'!G25/'Jan''11 SP'!G26-'Jan''11 SP'!G27)*('Jan''11 SP'!G33/100)*'Jan''11 SP'!G26,('Jan''11 SP'!G28-'Jan''11 SP'!G27)*('Jan''11 SP'!G33/100)*'Jan''11 SP'!G26))</f>
        <v>0</v>
      </c>
      <c r="F86" s="59">
        <f>IF($F5*'Jan''11 SP'!H25/'Jan''11 SP'!H26&lt;'Jan''11 SP'!H27,0,IF($F5*'Jan''11 SP'!H25/'Jan''11 SP'!H26&lt;='Jan''11 SP'!H28,($F5*'Jan''11 SP'!H25/'Jan''11 SP'!H26-'Jan''11 SP'!H27)*('Jan''11 SP'!H33/100)*'Jan''11 SP'!H26,('Jan''11 SP'!H28-'Jan''11 SP'!H27)*('Jan''11 SP'!H33/100)*'Jan''11 SP'!H26))</f>
        <v>0</v>
      </c>
      <c r="G86" s="59">
        <f>IF($F5*'Jan''11 SP'!I25/'Jan''11 SP'!I26&lt;'Jan''11 SP'!I27,0,IF($F5*'Jan''11 SP'!I25/'Jan''11 SP'!I26&lt;='Jan''11 SP'!I28,($F5*'Jan''11 SP'!I25/'Jan''11 SP'!I26-'Jan''11 SP'!I27)*('Jan''11 SP'!I33/100)*'Jan''11 SP'!I26,('Jan''11 SP'!I28-'Jan''11 SP'!I27)*('Jan''11 SP'!I33/100)*'Jan''11 SP'!I26))</f>
        <v>0</v>
      </c>
      <c r="H86" s="59">
        <f>IF($F5*'Jan''11 SP'!J25/'Jan''11 SP'!J26&lt;'Jan''11 SP'!J27,0,IF($F5*'Jan''11 SP'!J25/'Jan''11 SP'!J26&lt;='Jan''11 SP'!J28,($F5*'Jan''11 SP'!J25/'Jan''11 SP'!J26-'Jan''11 SP'!J27)*('Jan''11 SP'!J33/100)*'Jan''11 SP'!J26,('Jan''11 SP'!J28-'Jan''11 SP'!J27)*('Jan''11 SP'!J33/100)*'Jan''11 SP'!J26))</f>
        <v>0</v>
      </c>
      <c r="I86" s="59">
        <f>IF($F5*'Jan''11 SP'!K25/'Jan''11 SP'!K26&lt;'Jan''11 SP'!K27,0,IF($F5*'Jan''11 SP'!K25/'Jan''11 SP'!K26&lt;='Jan''11 SP'!K28,($F5*'Jan''11 SP'!K25/'Jan''11 SP'!K26-'Jan''11 SP'!K27)*('Jan''11 SP'!K33/100)*'Jan''11 SP'!K26,('Jan''11 SP'!K28-'Jan''11 SP'!K27)*('Jan''11 SP'!K33/100)*'Jan''11 SP'!K26))</f>
        <v>0</v>
      </c>
      <c r="J86" s="63"/>
    </row>
    <row r="87" spans="1:10" x14ac:dyDescent="0.15">
      <c r="A87" s="40" t="s">
        <v>611</v>
      </c>
      <c r="C87" s="59">
        <f>IF(($F5*'Jan''11 SP'!E25/'Jan''11 SP'!E26&gt;'Jan''11 SP'!E28),($F5*'Jan''11 SP'!E25/'Jan''11 SP'!E26-'Jan''11 SP'!E28)*'Jan''11 SP'!E34/100*'Jan''11 SP'!E26,0)</f>
        <v>0</v>
      </c>
      <c r="D87" s="59">
        <f>IF(($F5*'Jan''11 SP'!F25/'Jan''11 SP'!F26&gt;'Jan''11 SP'!F28),($F5*'Jan''11 SP'!F25/'Jan''11 SP'!F26-'Jan''11 SP'!F28)*'Jan''11 SP'!F34/100*'Jan''11 SP'!F26,0)</f>
        <v>368.92865239999998</v>
      </c>
      <c r="E87" s="59">
        <f>IF(($F5*'Jan''11 SP'!G25/'Jan''11 SP'!G26&gt;'Jan''11 SP'!G28),($F5*'Jan''11 SP'!G25/'Jan''11 SP'!G26-'Jan''11 SP'!G28)*'Jan''11 SP'!G34/100*'Jan''11 SP'!G26,0)</f>
        <v>388.32974179999997</v>
      </c>
      <c r="F87" s="59">
        <f>IF(($F5*'Jan''11 SP'!H25/'Jan''11 SP'!H26&gt;'Jan''11 SP'!H28),($F5*'Jan''11 SP'!H25/'Jan''11 SP'!H26-'Jan''11 SP'!H28)*'Jan''11 SP'!H34/100*'Jan''11 SP'!H26,0)</f>
        <v>375.14371999999997</v>
      </c>
      <c r="G87" s="59">
        <f>IF(($F5*'Jan''11 SP'!I25/'Jan''11 SP'!I26&gt;'Jan''11 SP'!I28),($F5*'Jan''11 SP'!I25/'Jan''11 SP'!I26-'Jan''11 SP'!I28)*'Jan''11 SP'!I34/100*'Jan''11 SP'!I26,0)</f>
        <v>347.67984019999994</v>
      </c>
      <c r="H87" s="59">
        <f>IF(($F5*'Jan''11 SP'!J25/'Jan''11 SP'!J26&gt;'Jan''11 SP'!J28),($F5*'Jan''11 SP'!J25/'Jan''11 SP'!J26-'Jan''11 SP'!J28)*'Jan''11 SP'!J34/100*'Jan''11 SP'!J26,0)</f>
        <v>398.18426339999991</v>
      </c>
      <c r="I87" s="59">
        <f>IF(($F5*'Jan''11 SP'!K25/'Jan''11 SP'!K26&gt;'Jan''11 SP'!K28),($F5*'Jan''11 SP'!K25/'Jan''11 SP'!K26-'Jan''11 SP'!K28)*'Jan''11 SP'!K34/100*'Jan''11 SP'!K26,0)</f>
        <v>428.08657737999994</v>
      </c>
      <c r="J87" s="63"/>
    </row>
    <row r="88" spans="1:10" x14ac:dyDescent="0.15">
      <c r="A88" s="40" t="s">
        <v>612</v>
      </c>
      <c r="C88" s="59">
        <f>365*'Jan''11 SP'!E35/100</f>
        <v>165.57859999999999</v>
      </c>
      <c r="D88" s="59">
        <f>365*'Jan''11 SP'!F35/100</f>
        <v>167.58610000000002</v>
      </c>
      <c r="E88" s="59">
        <f>365*'Jan''11 SP'!G35/100</f>
        <v>171.76900000000001</v>
      </c>
      <c r="F88" s="59">
        <f>365*'Jan''11 SP'!H35/100</f>
        <v>174.83500000000001</v>
      </c>
      <c r="G88" s="59">
        <f>365*'Jan''11 SP'!I35/100</f>
        <v>160.6</v>
      </c>
      <c r="H88" s="59">
        <f>365*'Jan''11 SP'!J35/100</f>
        <v>175.2</v>
      </c>
      <c r="I88" s="59">
        <f>365*'Jan''11 SP'!K35/100</f>
        <v>220.14245000000003</v>
      </c>
      <c r="J88" s="60">
        <f>AVERAGE(C88:I88)</f>
        <v>176.53016428571431</v>
      </c>
    </row>
    <row r="89" spans="1:10" x14ac:dyDescent="0.15">
      <c r="A89" s="62" t="s">
        <v>613</v>
      </c>
      <c r="B89" s="63"/>
      <c r="C89" s="60">
        <f>SUM(C82:C88)</f>
        <v>1141.6284175999999</v>
      </c>
      <c r="D89" s="60">
        <f t="shared" ref="D89:I89" si="6">SUM(D82:D88)</f>
        <v>1089.8825211999999</v>
      </c>
      <c r="E89" s="60">
        <f t="shared" si="6"/>
        <v>1109.0475786</v>
      </c>
      <c r="F89" s="60">
        <f t="shared" si="6"/>
        <v>1111.3447000000001</v>
      </c>
      <c r="G89" s="60">
        <f t="shared" si="6"/>
        <v>1006.5165329999999</v>
      </c>
      <c r="H89" s="60">
        <f t="shared" si="6"/>
        <v>1130.9075605</v>
      </c>
      <c r="I89" s="60">
        <f t="shared" si="6"/>
        <v>1276.15847491</v>
      </c>
      <c r="J89" s="64">
        <f>AVERAGE(C89:I89)</f>
        <v>1123.6408265442858</v>
      </c>
    </row>
    <row r="91" spans="1:10" x14ac:dyDescent="0.15">
      <c r="A91" s="53" t="s">
        <v>1034</v>
      </c>
      <c r="C91" s="23" t="s">
        <v>1044</v>
      </c>
      <c r="D91" s="23" t="s">
        <v>591</v>
      </c>
      <c r="E91" s="23" t="s">
        <v>555</v>
      </c>
      <c r="F91" s="23" t="s">
        <v>544</v>
      </c>
      <c r="G91" s="23" t="s">
        <v>514</v>
      </c>
      <c r="H91" s="23" t="s">
        <v>615</v>
      </c>
      <c r="I91" s="23" t="s">
        <v>515</v>
      </c>
      <c r="J91" s="57" t="s">
        <v>601</v>
      </c>
    </row>
    <row r="92" spans="1:10" x14ac:dyDescent="0.15">
      <c r="A92" s="40" t="s">
        <v>602</v>
      </c>
      <c r="C92" s="59">
        <f>IF($F5*'Jan''11 SP'!E39/'Jan''11 SP'!E40&gt;='Jan''11 SP'!E43,('Jan''11 SP'!E43*'Jan''11 SP'!E45/100)*'Jan''11 SP'!E40,($F5*'Jan''11 SP'!E39/'Jan''11 SP'!E40*'Jan''11 SP'!E45/100)*'Jan''11 SP'!E40)</f>
        <v>218.988</v>
      </c>
      <c r="D92" s="59">
        <f>IF($F5*'Jan''11 SP'!F39/'Jan''11 SP'!F40&gt;='Jan''11 SP'!F43,('Jan''11 SP'!F43*'Jan''11 SP'!F45/100)*'Jan''11 SP'!F40,($F5*'Jan''11 SP'!F39/'Jan''11 SP'!F40*'Jan''11 SP'!F45/100)*'Jan''11 SP'!F40)</f>
        <v>120.59520000000001</v>
      </c>
      <c r="E92" s="59">
        <f>IF($F5*'Jan''11 SP'!G39/'Jan''11 SP'!G40&gt;='Jan''11 SP'!G43,('Jan''11 SP'!G43*'Jan''11 SP'!G45/100)*'Jan''11 SP'!G40,($F5*'Jan''11 SP'!G39/'Jan''11 SP'!G40*'Jan''11 SP'!G45/100)*'Jan''11 SP'!G40)</f>
        <v>122.23359999999998</v>
      </c>
      <c r="F92" s="59">
        <f>IF($F5*'Jan''11 SP'!H39/'Jan''11 SP'!H40&gt;='Jan''11 SP'!H43,('Jan''11 SP'!H43*'Jan''11 SP'!H45/100)*'Jan''11 SP'!H40,($F5*'Jan''11 SP'!H39/'Jan''11 SP'!H40*'Jan''11 SP'!H45/100)*'Jan''11 SP'!H40)</f>
        <v>120.96</v>
      </c>
      <c r="G92" s="59">
        <f>IF($F5*'Jan''11 SP'!I39/'Jan''11 SP'!I40&gt;='Jan''11 SP'!I43,('Jan''11 SP'!I43*'Jan''11 SP'!I45/100)*'Jan''11 SP'!I40,($F5*'Jan''11 SP'!I39/'Jan''11 SP'!I40*'Jan''11 SP'!I45/100)*'Jan''11 SP'!I40)</f>
        <v>110.9504</v>
      </c>
      <c r="H92" s="59">
        <f>IF($F5*'Jan''11 SP'!J39/'Jan''11 SP'!J40&gt;='Jan''11 SP'!J43,('Jan''11 SP'!J43*'Jan''11 SP'!J45/100)*'Jan''11 SP'!J40,($F5*'Jan''11 SP'!J39/'Jan''11 SP'!J40*'Jan''11 SP'!J45/100)*'Jan''11 SP'!J40)</f>
        <v>123.41119999999999</v>
      </c>
      <c r="I92" s="59">
        <f>IF($F5*'Jan''11 SP'!K39/'Jan''11 SP'!K40&gt;='Jan''11 SP'!K43,('Jan''11 SP'!K43*'Jan''11 SP'!K45/100)*'Jan''11 SP'!K40,($F5*'Jan''11 SP'!K39/'Jan''11 SP'!K40*'Jan''11 SP'!K45/100)*'Jan''11 SP'!K40)</f>
        <v>141.5744</v>
      </c>
      <c r="J92" s="63"/>
    </row>
    <row r="93" spans="1:10" x14ac:dyDescent="0.15">
      <c r="A93" s="40" t="s">
        <v>603</v>
      </c>
      <c r="C93" s="59">
        <f>IF($F5*'Jan''11 SP'!E39/'Jan''11 SP'!E40&lt;'Jan''11 SP'!E43,0,IF($F5*'Jan''11 SP'!E39/'Jan''11 SP'!E40&lt;='Jan''11 SP'!E44,($F5*'Jan''11 SP'!E39/'Jan''11 SP'!E40-'Jan''11 SP'!E43)*('Jan''11 SP'!E46/100)*'Jan''11 SP'!E40,('Jan''11 SP'!E44-'Jan''11 SP'!E43)*('Jan''11 SP'!E46/100)*'Jan''11 SP'!E40))</f>
        <v>134.41063019999996</v>
      </c>
      <c r="D93" s="59">
        <f>IF($F5*'Jan''11 SP'!F39/'Jan''11 SP'!F40&lt;'Jan''11 SP'!F43,0,IF($F5*'Jan''11 SP'!F39/'Jan''11 SP'!F40&lt;='Jan''11 SP'!F44,($F5*'Jan''11 SP'!F39/'Jan''11 SP'!F40-'Jan''11 SP'!F43)*('Jan''11 SP'!F46/100)*'Jan''11 SP'!F40,('Jan''11 SP'!F44-'Jan''11 SP'!F43)*('Jan''11 SP'!F46/100)*'Jan''11 SP'!F40))</f>
        <v>0</v>
      </c>
      <c r="E93" s="59">
        <f>IF($F5*'Jan''11 SP'!G39/'Jan''11 SP'!G40&lt;'Jan''11 SP'!G43,0,IF($F5*'Jan''11 SP'!G39/'Jan''11 SP'!G40&lt;='Jan''11 SP'!G44,($F5*'Jan''11 SP'!G39/'Jan''11 SP'!G40-'Jan''11 SP'!G43)*('Jan''11 SP'!G46/100)*'Jan''11 SP'!G40,('Jan''11 SP'!G44-'Jan''11 SP'!G43)*('Jan''11 SP'!G46/100)*'Jan''11 SP'!G40))</f>
        <v>0</v>
      </c>
      <c r="F93" s="59">
        <f>IF($F5*'Jan''11 SP'!H39/'Jan''11 SP'!H40&lt;'Jan''11 SP'!H43,0,IF($F5*'Jan''11 SP'!H39/'Jan''11 SP'!H40&lt;='Jan''11 SP'!H44,($F5*'Jan''11 SP'!H39/'Jan''11 SP'!H40-'Jan''11 SP'!H43)*('Jan''11 SP'!H46/100)*'Jan''11 SP'!H40,('Jan''11 SP'!H44-'Jan''11 SP'!H43)*('Jan''11 SP'!H46/100)*'Jan''11 SP'!H40))</f>
        <v>0</v>
      </c>
      <c r="G93" s="59">
        <f>IF($F5*'Jan''11 SP'!I39/'Jan''11 SP'!I40&lt;'Jan''11 SP'!I43,0,IF($F5*'Jan''11 SP'!I39/'Jan''11 SP'!I40&lt;='Jan''11 SP'!I44,($F5*'Jan''11 SP'!I39/'Jan''11 SP'!I40-'Jan''11 SP'!I43)*('Jan''11 SP'!I46/100)*'Jan''11 SP'!I40,('Jan''11 SP'!I44-'Jan''11 SP'!I43)*('Jan''11 SP'!I46/100)*'Jan''11 SP'!I40))</f>
        <v>0</v>
      </c>
      <c r="H93" s="59">
        <f>IF($F5*'Jan''11 SP'!J39/'Jan''11 SP'!J40&lt;'Jan''11 SP'!J43,0,IF($F5*'Jan''11 SP'!J39/'Jan''11 SP'!J40&lt;='Jan''11 SP'!J44,($F5*'Jan''11 SP'!J39/'Jan''11 SP'!J40-'Jan''11 SP'!J43)*('Jan''11 SP'!J46/100)*'Jan''11 SP'!J40,('Jan''11 SP'!J44-'Jan''11 SP'!J43)*('Jan''11 SP'!J46/100)*'Jan''11 SP'!J40))</f>
        <v>0</v>
      </c>
      <c r="I93" s="59">
        <f>IF($F5*'Jan''11 SP'!K39/'Jan''11 SP'!K40&lt;'Jan''11 SP'!K43,0,IF($F5*'Jan''11 SP'!K39/'Jan''11 SP'!K40&lt;='Jan''11 SP'!K44,($F5*'Jan''11 SP'!K39/'Jan''11 SP'!K40-'Jan''11 SP'!K43)*('Jan''11 SP'!K46/100)*'Jan''11 SP'!K40,('Jan''11 SP'!K44-'Jan''11 SP'!K43)*('Jan''11 SP'!K46/100)*'Jan''11 SP'!K40))</f>
        <v>0</v>
      </c>
      <c r="J93" s="63"/>
    </row>
    <row r="94" spans="1:10" x14ac:dyDescent="0.15">
      <c r="A94" s="40" t="s">
        <v>606</v>
      </c>
      <c r="C94" s="59">
        <f>IF(($F5*'Jan''11 SP'!E39/'Jan''11 SP'!E40&gt;'Jan''11 SP'!E44),($F5*'Jan''11 SP'!E39/'Jan''11 SP'!E40-'Jan''11 SP'!E44)*'Jan''11 SP'!E47/100*'Jan''11 SP'!E40,0)</f>
        <v>0</v>
      </c>
      <c r="D94" s="59">
        <f>IF(($F5*'Jan''11 SP'!F39/'Jan''11 SP'!F40&gt;'Jan''11 SP'!F44),($F5*'Jan''11 SP'!F39/'Jan''11 SP'!F40-'Jan''11 SP'!F44)*'Jan''11 SP'!F47/100*'Jan''11 SP'!F40,0)</f>
        <v>208.10766239999998</v>
      </c>
      <c r="E94" s="59">
        <f>IF(($F5*'Jan''11 SP'!G39/'Jan''11 SP'!G40&gt;'Jan''11 SP'!G44),($F5*'Jan''11 SP'!G39/'Jan''11 SP'!G40-'Jan''11 SP'!G44)*'Jan''11 SP'!G47/100*'Jan''11 SP'!G40,0)</f>
        <v>222.73475819999996</v>
      </c>
      <c r="F94" s="59">
        <f>IF(($F5*'Jan''11 SP'!H39/'Jan''11 SP'!H40&gt;'Jan''11 SP'!H44),($F5*'Jan''11 SP'!H39/'Jan''11 SP'!H40-'Jan''11 SP'!H44)*'Jan''11 SP'!H47/100*'Jan''11 SP'!H40,0)</f>
        <v>214.58912999999995</v>
      </c>
      <c r="G94" s="59">
        <f>IF(($F5*'Jan''11 SP'!I39/'Jan''11 SP'!I40&gt;'Jan''11 SP'!I44),($F5*'Jan''11 SP'!I39/'Jan''11 SP'!I40-'Jan''11 SP'!I44)*'Jan''11 SP'!I47/100*'Jan''11 SP'!I40,0)</f>
        <v>205.85958579999996</v>
      </c>
      <c r="H94" s="59">
        <f>IF(($F5*'Jan''11 SP'!J39/'Jan''11 SP'!J40&gt;'Jan''11 SP'!J44),($F5*'Jan''11 SP'!J39/'Jan''11 SP'!J40-'Jan''11 SP'!J44)*'Jan''11 SP'!J47/100*'Jan''11 SP'!J40,0)</f>
        <v>224.48650619999998</v>
      </c>
      <c r="I94" s="59">
        <f>IF(($F5*'Jan''11 SP'!K39/'Jan''11 SP'!K40&gt;'Jan''11 SP'!K44),($F5*'Jan''11 SP'!K39/'Jan''11 SP'!K40-'Jan''11 SP'!K44)*'Jan''11 SP'!K47/100*'Jan''11 SP'!K40,0)</f>
        <v>238.24794652999992</v>
      </c>
      <c r="J94" s="63"/>
    </row>
    <row r="95" spans="1:10" x14ac:dyDescent="0.15">
      <c r="A95" s="40" t="s">
        <v>607</v>
      </c>
      <c r="C95" s="59">
        <f>IF($F5*'Jan''11 SP'!E41/'Jan''11 SP'!E42&gt;='Jan''11 SP'!E43,('Jan''11 SP'!E43*'Jan''11 SP'!E48/100)*'Jan''11 SP'!E42,($F5*'Jan''11 SP'!E41/'Jan''11 SP'!E42*'Jan''11 SP'!E48/100)*'Jan''11 SP'!E42)</f>
        <v>382.53600000000006</v>
      </c>
      <c r="D95" s="59">
        <f>IF($F5*'Jan''11 SP'!F41/'Jan''11 SP'!F42&gt;='Jan''11 SP'!F43,('Jan''11 SP'!F43*'Jan''11 SP'!F48/100)*'Jan''11 SP'!F42,($F5*'Jan''11 SP'!F41/'Jan''11 SP'!F42*'Jan''11 SP'!F48/100)*'Jan''11 SP'!F42)</f>
        <v>214.29759999999999</v>
      </c>
      <c r="E95" s="59">
        <f>IF($F5*'Jan''11 SP'!G41/'Jan''11 SP'!G42&gt;='Jan''11 SP'!G43,('Jan''11 SP'!G43*'Jan''11 SP'!G48/100)*'Jan''11 SP'!G42,($F5*'Jan''11 SP'!G41/'Jan''11 SP'!G42*'Jan''11 SP'!G48/100)*'Jan''11 SP'!G42)</f>
        <v>207.59039999999996</v>
      </c>
      <c r="F95" s="59">
        <f>IF($F5*'Jan''11 SP'!H41/'Jan''11 SP'!H42&gt;='Jan''11 SP'!H43,('Jan''11 SP'!H43*'Jan''11 SP'!H48/100)*'Jan''11 SP'!H42,($F5*'Jan''11 SP'!H41/'Jan''11 SP'!H42*'Jan''11 SP'!H48/100)*'Jan''11 SP'!H42)</f>
        <v>212.48</v>
      </c>
      <c r="G95" s="59">
        <f>IF($F5*'Jan''11 SP'!I41/'Jan''11 SP'!I42&gt;='Jan''11 SP'!I43,('Jan''11 SP'!I43*'Jan''11 SP'!I48/100)*'Jan''11 SP'!I42,($F5*'Jan''11 SP'!I41/'Jan''11 SP'!I42*'Jan''11 SP'!I48/100)*'Jan''11 SP'!I42)</f>
        <v>193.6</v>
      </c>
      <c r="H95" s="59">
        <f>IF($F5*'Jan''11 SP'!J41/'Jan''11 SP'!J42&gt;='Jan''11 SP'!J43,('Jan''11 SP'!J43*'Jan''11 SP'!J48/100)*'Jan''11 SP'!J42,($F5*'Jan''11 SP'!J41/'Jan''11 SP'!J42*'Jan''11 SP'!J48/100)*'Jan''11 SP'!J42)</f>
        <v>210.49600000000001</v>
      </c>
      <c r="I95" s="59">
        <f>IF($F5*'Jan''11 SP'!K41/'Jan''11 SP'!K42&gt;='Jan''11 SP'!K43,('Jan''11 SP'!K43*'Jan''11 SP'!K48/100)*'Jan''11 SP'!K42,($F5*'Jan''11 SP'!K41/'Jan''11 SP'!K42*'Jan''11 SP'!K48/100)*'Jan''11 SP'!K42)</f>
        <v>251.62368000000004</v>
      </c>
      <c r="J95" s="63"/>
    </row>
    <row r="96" spans="1:10" x14ac:dyDescent="0.15">
      <c r="A96" s="40" t="s">
        <v>608</v>
      </c>
      <c r="C96" s="59">
        <f>IF($F5*'Jan''11 SP'!E41/'Jan''11 SP'!E42&lt;'Jan''11 SP'!E43,0,IF($F5*'Jan''11 SP'!E41/'Jan''11 SP'!E42&lt;='Jan''11 SP'!E44,($F5*'Jan''11 SP'!E41/'Jan''11 SP'!E42-'Jan''11 SP'!E43)*('Jan''11 SP'!E49/100)*'Jan''11 SP'!E42,('Jan''11 SP'!E44-'Jan''11 SP'!E43)*('Jan''11 SP'!E49/100)*'Jan''11 SP'!E42))</f>
        <v>232.19980739999994</v>
      </c>
      <c r="D96" s="59">
        <f>IF($F5*'Jan''11 SP'!F41/'Jan''11 SP'!F42&lt;'Jan''11 SP'!F43,0,IF($F5*'Jan''11 SP'!F41/'Jan''11 SP'!F42&lt;='Jan''11 SP'!F44,($F5*'Jan''11 SP'!F41/'Jan''11 SP'!F42-'Jan''11 SP'!F43)*('Jan''11 SP'!F49/100)*'Jan''11 SP'!F42,('Jan''11 SP'!F44-'Jan''11 SP'!F43)*('Jan''11 SP'!F49/100)*'Jan''11 SP'!F42))</f>
        <v>0</v>
      </c>
      <c r="E96" s="59">
        <f>IF($F5*'Jan''11 SP'!G41/'Jan''11 SP'!G42&lt;'Jan''11 SP'!G43,0,IF($F5*'Jan''11 SP'!G41/'Jan''11 SP'!G42&lt;='Jan''11 SP'!G44,($F5*'Jan''11 SP'!G41/'Jan''11 SP'!G42-'Jan''11 SP'!G43)*('Jan''11 SP'!G49/100)*'Jan''11 SP'!G42,('Jan''11 SP'!G44-'Jan''11 SP'!G43)*('Jan''11 SP'!G49/100)*'Jan''11 SP'!G42))</f>
        <v>0</v>
      </c>
      <c r="F96" s="59">
        <f>IF($F5*'Jan''11 SP'!H41/'Jan''11 SP'!H42&lt;'Jan''11 SP'!H43,0,IF($F5*'Jan''11 SP'!H41/'Jan''11 SP'!H42&lt;='Jan''11 SP'!H44,($F5*'Jan''11 SP'!H41/'Jan''11 SP'!H42-'Jan''11 SP'!H43)*('Jan''11 SP'!H49/100)*'Jan''11 SP'!H42,('Jan''11 SP'!H44-'Jan''11 SP'!H43)*('Jan''11 SP'!H49/100)*'Jan''11 SP'!H42))</f>
        <v>0</v>
      </c>
      <c r="G96" s="59">
        <f>IF($F5*'Jan''11 SP'!I41/'Jan''11 SP'!I42&lt;'Jan''11 SP'!I43,0,IF($F5*'Jan''11 SP'!I41/'Jan''11 SP'!I42&lt;='Jan''11 SP'!I44,($F5*'Jan''11 SP'!I41/'Jan''11 SP'!I42-'Jan''11 SP'!I43)*('Jan''11 SP'!I49/100)*'Jan''11 SP'!I42,('Jan''11 SP'!I44-'Jan''11 SP'!I43)*('Jan''11 SP'!I49/100)*'Jan''11 SP'!I42))</f>
        <v>0</v>
      </c>
      <c r="H96" s="59">
        <f>IF($F5*'Jan''11 SP'!J41/'Jan''11 SP'!J42&lt;'Jan''11 SP'!J43,0,IF($F5*'Jan''11 SP'!J41/'Jan''11 SP'!J42&lt;='Jan''11 SP'!J44,($F5*'Jan''11 SP'!J41/'Jan''11 SP'!J42-'Jan''11 SP'!J43)*('Jan''11 SP'!J49/100)*'Jan''11 SP'!J42,('Jan''11 SP'!J44-'Jan''11 SP'!J43)*('Jan''11 SP'!J49/100)*'Jan''11 SP'!J42))</f>
        <v>0</v>
      </c>
      <c r="I96" s="59">
        <f>IF($F5*'Jan''11 SP'!K41/'Jan''11 SP'!K42&lt;'Jan''11 SP'!K43,0,IF($F5*'Jan''11 SP'!K41/'Jan''11 SP'!K42&lt;='Jan''11 SP'!K44,($F5*'Jan''11 SP'!K41/'Jan''11 SP'!K42-'Jan''11 SP'!K43)*('Jan''11 SP'!K49/100)*'Jan''11 SP'!K42,('Jan''11 SP'!K44-'Jan''11 SP'!K43)*('Jan''11 SP'!K49/100)*'Jan''11 SP'!K42))</f>
        <v>0</v>
      </c>
      <c r="J96" s="63"/>
    </row>
    <row r="97" spans="1:10" x14ac:dyDescent="0.15">
      <c r="A97" s="40" t="s">
        <v>611</v>
      </c>
      <c r="C97" s="59">
        <f>IF(($F5*'Jan''11 SP'!E41/'Jan''11 SP'!E42&gt;'Jan''11 SP'!E44),($F5*'Jan''11 SP'!E41/'Jan''11 SP'!E42-'Jan''11 SP'!E44)*'Jan''11 SP'!E50/100*'Jan''11 SP'!E42,0)</f>
        <v>0</v>
      </c>
      <c r="D97" s="59">
        <f>IF(($F5*'Jan''11 SP'!F41/'Jan''11 SP'!F42&gt;'Jan''11 SP'!F44),($F5*'Jan''11 SP'!F41/'Jan''11 SP'!F42-'Jan''11 SP'!F44)*'Jan''11 SP'!F50/100*'Jan''11 SP'!F42,0)</f>
        <v>391.807636</v>
      </c>
      <c r="E97" s="59">
        <f>IF(($F5*'Jan''11 SP'!G41/'Jan''11 SP'!G42&gt;'Jan''11 SP'!G44),($F5*'Jan''11 SP'!G41/'Jan''11 SP'!G42-'Jan''11 SP'!G44)*'Jan''11 SP'!G50/100*'Jan''11 SP'!G42,0)</f>
        <v>417.44154839999993</v>
      </c>
      <c r="F97" s="59">
        <f>IF(($F5*'Jan''11 SP'!H41/'Jan''11 SP'!H42&gt;'Jan''11 SP'!H44),($F5*'Jan''11 SP'!H41/'Jan''11 SP'!H42-'Jan''11 SP'!H44)*'Jan''11 SP'!H50/100*'Jan''11 SP'!H42,0)</f>
        <v>414.58035999999993</v>
      </c>
      <c r="G97" s="59">
        <f>IF(($F5*'Jan''11 SP'!I41/'Jan''11 SP'!I42&gt;'Jan''11 SP'!I44),($F5*'Jan''11 SP'!I41/'Jan''11 SP'!I42-'Jan''11 SP'!I44)*'Jan''11 SP'!I50/100*'Jan''11 SP'!I42,0)</f>
        <v>378.64033019999994</v>
      </c>
      <c r="H97" s="59">
        <f>IF(($F5*'Jan''11 SP'!J41/'Jan''11 SP'!J42&gt;'Jan''11 SP'!J44),($F5*'Jan''11 SP'!J41/'Jan''11 SP'!J42-'Jan''11 SP'!J44)*'Jan''11 SP'!J50/100*'Jan''11 SP'!J42,0)</f>
        <v>420.711478</v>
      </c>
      <c r="I97" s="59">
        <f>IF(($F5*'Jan''11 SP'!K41/'Jan''11 SP'!K42&gt;'Jan''11 SP'!K44),($F5*'Jan''11 SP'!K41/'Jan''11 SP'!K42-'Jan''11 SP'!K44)*'Jan''11 SP'!K50/100*'Jan''11 SP'!K42,0)</f>
        <v>412.90744065999991</v>
      </c>
      <c r="J97" s="63"/>
    </row>
    <row r="98" spans="1:10" x14ac:dyDescent="0.15">
      <c r="A98" s="40" t="s">
        <v>612</v>
      </c>
      <c r="C98" s="59">
        <f>365*'Jan''11 SP'!E51/100</f>
        <v>186.57704999999999</v>
      </c>
      <c r="D98" s="59">
        <f>365*'Jan''11 SP'!F51/100</f>
        <v>174.53205000000003</v>
      </c>
      <c r="E98" s="59">
        <f>365*'Jan''11 SP'!G51/100</f>
        <v>179.68949999999998</v>
      </c>
      <c r="F98" s="59">
        <f>365*'Jan''11 SP'!H51/100</f>
        <v>182.97450000000001</v>
      </c>
      <c r="G98" s="59">
        <f>365*'Jan''11 SP'!I51/100</f>
        <v>168.63</v>
      </c>
      <c r="H98" s="59">
        <f>365*'Jan''11 SP'!J51/100</f>
        <v>182.5</v>
      </c>
      <c r="I98" s="59">
        <f>365*'Jan''11 SP'!K51/100</f>
        <v>226.40585000000002</v>
      </c>
      <c r="J98" s="65">
        <f>AVERAGE(C98:I98)</f>
        <v>185.90127857142858</v>
      </c>
    </row>
    <row r="99" spans="1:10" x14ac:dyDescent="0.15">
      <c r="A99" s="62" t="s">
        <v>613</v>
      </c>
      <c r="B99" s="63"/>
      <c r="C99" s="60">
        <f>SUM(C92:C98)</f>
        <v>1154.7114876000001</v>
      </c>
      <c r="D99" s="60">
        <f t="shared" ref="D99:I99" si="7">SUM(D92:D98)</f>
        <v>1109.3401484000001</v>
      </c>
      <c r="E99" s="60">
        <f t="shared" si="7"/>
        <v>1149.6898065999999</v>
      </c>
      <c r="F99" s="60">
        <f t="shared" si="7"/>
        <v>1145.5839899999999</v>
      </c>
      <c r="G99" s="60">
        <f t="shared" si="7"/>
        <v>1057.6803159999999</v>
      </c>
      <c r="H99" s="60">
        <f t="shared" si="7"/>
        <v>1161.6051841999999</v>
      </c>
      <c r="I99" s="60">
        <f t="shared" si="7"/>
        <v>1270.7593171899998</v>
      </c>
      <c r="J99" s="64">
        <f>AVERAGE(C99:I99)</f>
        <v>1149.9100357128571</v>
      </c>
    </row>
    <row r="101" spans="1:10" x14ac:dyDescent="0.15">
      <c r="A101" s="63"/>
      <c r="B101" s="63"/>
      <c r="C101" s="63"/>
      <c r="D101" s="63"/>
      <c r="E101" s="63"/>
      <c r="F101" s="63"/>
      <c r="G101" s="63"/>
      <c r="H101" s="63"/>
      <c r="I101" s="63"/>
      <c r="J101" s="63"/>
    </row>
    <row r="102" spans="1:10" x14ac:dyDescent="0.15">
      <c r="A102" s="53" t="s">
        <v>490</v>
      </c>
      <c r="C102" s="23" t="s">
        <v>1044</v>
      </c>
      <c r="D102" s="23" t="s">
        <v>591</v>
      </c>
      <c r="E102" s="23" t="s">
        <v>555</v>
      </c>
      <c r="F102" s="23" t="s">
        <v>544</v>
      </c>
      <c r="G102" s="23" t="s">
        <v>514</v>
      </c>
      <c r="H102" s="23" t="s">
        <v>615</v>
      </c>
      <c r="I102" s="23" t="s">
        <v>595</v>
      </c>
    </row>
    <row r="103" spans="1:10" x14ac:dyDescent="0.15">
      <c r="A103" s="40" t="s">
        <v>491</v>
      </c>
      <c r="C103" s="24" t="s">
        <v>560</v>
      </c>
      <c r="D103" s="25" t="s">
        <v>494</v>
      </c>
      <c r="E103" s="25" t="s">
        <v>492</v>
      </c>
      <c r="F103" s="25" t="s">
        <v>494</v>
      </c>
      <c r="G103" s="24" t="s">
        <v>560</v>
      </c>
      <c r="H103" s="25" t="s">
        <v>494</v>
      </c>
      <c r="I103" s="25" t="s">
        <v>494</v>
      </c>
    </row>
    <row r="104" spans="1:10" x14ac:dyDescent="0.15">
      <c r="A104" s="40" t="s">
        <v>496</v>
      </c>
      <c r="C104" s="25" t="s">
        <v>498</v>
      </c>
      <c r="D104" s="25" t="s">
        <v>494</v>
      </c>
      <c r="E104" s="25" t="s">
        <v>526</v>
      </c>
      <c r="F104" s="25" t="s">
        <v>526</v>
      </c>
      <c r="G104" s="25" t="s">
        <v>498</v>
      </c>
      <c r="H104" s="25" t="s">
        <v>498</v>
      </c>
      <c r="I104" s="25" t="s">
        <v>498</v>
      </c>
    </row>
    <row r="105" spans="1:10" x14ac:dyDescent="0.15">
      <c r="A105" s="40" t="s">
        <v>499</v>
      </c>
      <c r="C105" s="25" t="s">
        <v>512</v>
      </c>
      <c r="D105" s="25" t="s">
        <v>494</v>
      </c>
      <c r="E105" s="25" t="s">
        <v>512</v>
      </c>
      <c r="F105" s="25" t="s">
        <v>512</v>
      </c>
      <c r="G105" s="25" t="s">
        <v>512</v>
      </c>
      <c r="H105" s="25" t="s">
        <v>512</v>
      </c>
      <c r="I105" s="25" t="s">
        <v>512</v>
      </c>
    </row>
    <row r="106" spans="1:10" x14ac:dyDescent="0.15">
      <c r="A106" s="40" t="s">
        <v>501</v>
      </c>
      <c r="C106" s="25" t="s">
        <v>494</v>
      </c>
      <c r="D106" s="25" t="s">
        <v>494</v>
      </c>
      <c r="E106" s="24" t="s">
        <v>540</v>
      </c>
      <c r="F106" s="24" t="s">
        <v>560</v>
      </c>
      <c r="G106" s="25" t="s">
        <v>494</v>
      </c>
      <c r="H106" s="24" t="s">
        <v>560</v>
      </c>
      <c r="I106" s="24" t="s">
        <v>436</v>
      </c>
    </row>
    <row r="107" spans="1:10" x14ac:dyDescent="0.15">
      <c r="A107" s="40" t="s">
        <v>511</v>
      </c>
      <c r="C107" s="25" t="s">
        <v>512</v>
      </c>
      <c r="D107" s="25" t="s">
        <v>494</v>
      </c>
      <c r="E107" s="25" t="s">
        <v>494</v>
      </c>
      <c r="F107" s="25" t="s">
        <v>512</v>
      </c>
      <c r="G107" s="25" t="s">
        <v>494</v>
      </c>
      <c r="H107" s="25" t="s">
        <v>494</v>
      </c>
      <c r="I107" s="25" t="s">
        <v>494</v>
      </c>
    </row>
    <row r="108" spans="1:10" x14ac:dyDescent="0.15">
      <c r="A108" s="63"/>
      <c r="B108" s="63"/>
      <c r="C108" s="63"/>
      <c r="D108" s="63"/>
      <c r="E108" s="63"/>
      <c r="F108" s="63"/>
      <c r="G108" s="63"/>
      <c r="H108" s="63"/>
      <c r="I108" s="63"/>
      <c r="J108" s="63"/>
    </row>
  </sheetData>
  <sheetProtection algorithmName="SHA-512" hashValue="zMvK1zwzt2Ml1EwadOpe9MCwkCJ59+4wihwCHdJ64bd1NB6ajAq0dESf2bFOijTZg8BY5kK7fK64DT26zQI/vg==" saltValue="0RD4SMIgb5hXbNdaCpuWjQ==" spinCount="100000" sheet="1" objects="1" scenarios="1"/>
  <phoneticPr fontId="20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P90"/>
  <sheetViews>
    <sheetView zoomScale="150" zoomScaleNormal="150" zoomScalePageLayoutView="150" workbookViewId="0">
      <pane xSplit="14" topLeftCell="O1" activePane="topRight" state="frozen"/>
      <selection pane="topRight" activeCell="K27" sqref="K27"/>
    </sheetView>
  </sheetViews>
  <sheetFormatPr baseColWidth="10" defaultColWidth="8.83203125" defaultRowHeight="13" x14ac:dyDescent="0.15"/>
  <cols>
    <col min="1" max="1" width="26.1640625" style="40" customWidth="1"/>
    <col min="2" max="2" width="3.1640625" style="40" customWidth="1"/>
    <col min="3" max="9" width="11.6640625" style="40" customWidth="1"/>
    <col min="10" max="11" width="15" style="40" customWidth="1"/>
    <col min="12" max="14" width="11.6640625" style="40" customWidth="1"/>
    <col min="15" max="16" width="15" style="40" customWidth="1"/>
    <col min="17" max="16384" width="8.83203125" style="40"/>
  </cols>
  <sheetData>
    <row r="1" spans="1:16" x14ac:dyDescent="0.15">
      <c r="A1" s="48" t="s">
        <v>439</v>
      </c>
    </row>
    <row r="2" spans="1:16" x14ac:dyDescent="0.1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1"/>
      <c r="P2" s="51"/>
    </row>
    <row r="3" spans="1:16" x14ac:dyDescent="0.15">
      <c r="A3" s="52" t="s">
        <v>440</v>
      </c>
    </row>
    <row r="5" spans="1:16" x14ac:dyDescent="0.15">
      <c r="A5" s="53" t="s">
        <v>588</v>
      </c>
      <c r="B5" s="53"/>
      <c r="C5" s="53" t="s">
        <v>1394</v>
      </c>
      <c r="F5" s="66">
        <v>30000</v>
      </c>
    </row>
    <row r="6" spans="1:16" x14ac:dyDescent="0.15">
      <c r="C6" s="54" t="s">
        <v>589</v>
      </c>
    </row>
    <row r="7" spans="1:16" x14ac:dyDescent="0.15">
      <c r="A7" s="55" t="s">
        <v>590</v>
      </c>
      <c r="B7" s="56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57"/>
      <c r="P7" s="57"/>
    </row>
    <row r="8" spans="1:16" x14ac:dyDescent="0.15">
      <c r="J8" s="58"/>
    </row>
    <row r="9" spans="1:16" x14ac:dyDescent="0.15">
      <c r="A9" s="53" t="s">
        <v>1074</v>
      </c>
      <c r="C9" s="23" t="s">
        <v>1044</v>
      </c>
      <c r="D9" s="23" t="s">
        <v>591</v>
      </c>
      <c r="E9" s="23" t="s">
        <v>555</v>
      </c>
      <c r="F9" s="23" t="s">
        <v>544</v>
      </c>
      <c r="G9" s="23" t="s">
        <v>514</v>
      </c>
      <c r="H9" s="23" t="s">
        <v>615</v>
      </c>
      <c r="I9" s="23" t="s">
        <v>441</v>
      </c>
      <c r="J9" s="57" t="s">
        <v>601</v>
      </c>
    </row>
    <row r="10" spans="1:16" x14ac:dyDescent="0.15">
      <c r="A10" s="40" t="s">
        <v>602</v>
      </c>
      <c r="C10" s="59">
        <f>IF($F5*'Jul''10 Multinet'!E7/'Jul''10 Multinet'!E8&gt;='Jul''10 Multinet'!E11,('Jul''10 Multinet'!E11*'Jul''10 Multinet'!E13/100)*'Jul''10 Multinet'!E8,($F5*'Jul''10 Multinet'!E7/'Jul''10 Multinet'!E8*'Jul''10 Multinet'!E13/100)*'Jul''10 Multinet'!E8)</f>
        <v>227.535</v>
      </c>
      <c r="D10" s="59">
        <f>IF($F5*'Jul''10 Multinet'!F7/'Jul''10 Multinet'!F8&gt;='Jul''10 Multinet'!F11,('Jul''10 Multinet'!F11*'Jul''10 Multinet'!F13/100)*'Jul''10 Multinet'!F8,($F5*'Jul''10 Multinet'!F7/'Jul''10 Multinet'!F8*'Jul''10 Multinet'!F13/100)*'Jul''10 Multinet'!F8)</f>
        <v>242.21999999999997</v>
      </c>
      <c r="E10" s="59">
        <f>IF($F5*'Jul''10 Multinet'!G7/'Jul''10 Multinet'!G8&gt;='Jul''10 Multinet'!G11,('Jul''10 Multinet'!G11*'Jul''10 Multinet'!G13/100)*'Jul''10 Multinet'!G8,($F5*'Jul''10 Multinet'!G7/'Jul''10 Multinet'!G8*'Jul''10 Multinet'!G13/100)*'Jul''10 Multinet'!G8)</f>
        <v>228.87</v>
      </c>
      <c r="F10" s="59">
        <f>IF($F5*'Jul''10 Multinet'!H7/'Jul''10 Multinet'!H8&gt;='Jul''10 Multinet'!H11,('Jul''10 Multinet'!H11*'Jul''10 Multinet'!H13/100)*'Jul''10 Multinet'!H8,($F5*'Jul''10 Multinet'!H7/'Jul''10 Multinet'!H8*'Jul''10 Multinet'!H13/100)*'Jul''10 Multinet'!H8)</f>
        <v>223.5</v>
      </c>
      <c r="G10" s="59">
        <f>IF($F5*'Jul''10 Multinet'!I7/'Jul''10 Multinet'!I8&gt;='Jul''10 Multinet'!I11,('Jul''10 Multinet'!I11*'Jul''10 Multinet'!I13/100)*'Jul''10 Multinet'!I8,($F5*'Jul''10 Multinet'!I7/'Jul''10 Multinet'!I8*'Jul''10 Multinet'!I13/100)*'Jul''10 Multinet'!I8)</f>
        <v>222.75000000000006</v>
      </c>
      <c r="H10" s="59">
        <f>IF($F5*'Jul''10 Multinet'!J7/'Jul''10 Multinet'!J8&gt;='Jul''10 Multinet'!J11,('Jul''10 Multinet'!J11*'Jul''10 Multinet'!J13/100)*'Jul''10 Multinet'!J8,($F5*'Jul''10 Multinet'!J7/'Jul''10 Multinet'!J8*'Jul''10 Multinet'!J13/100)*'Jul''10 Multinet'!J8)</f>
        <v>261.85500000000002</v>
      </c>
      <c r="I10" s="59">
        <f>IF($F5*'Jul''10 Multinet'!K7/'Jul''10 Multinet'!K8&gt;='Jul''10 Multinet'!K11,('Jul''10 Multinet'!K11*'Jul''10 Multinet'!K13/100)*'Jul''10 Multinet'!K8,($F5*'Jul''10 Multinet'!K7/'Jul''10 Multinet'!K8*'Jul''10 Multinet'!K13/100)*'Jul''10 Multinet'!K8)</f>
        <v>279.51</v>
      </c>
      <c r="J10" s="60"/>
    </row>
    <row r="11" spans="1:16" x14ac:dyDescent="0.15">
      <c r="A11" s="40" t="s">
        <v>603</v>
      </c>
      <c r="C11" s="59">
        <f>IF($F5*'Jul''10 Multinet'!E7/'Jul''10 Multinet'!E8&lt;'Jul''10 Multinet'!E11,0,IF($F5*'Jul''10 Multinet'!E7/'Jul''10 Multinet'!E8&lt;='Jul''10 Multinet'!E12,($F5*'Jul''10 Multinet'!E7/'Jul''10 Multinet'!E8-'Jul''10 Multinet'!E11)*('Jul''10 Multinet'!E14/100)*'Jul''10 Multinet'!E8,('Jul''10 Multinet'!E12-'Jul''10 Multinet'!E11)*('Jul''10 Multinet'!E14/100)*'Jul''10 Multinet'!E8))</f>
        <v>0</v>
      </c>
      <c r="D11" s="59">
        <f>IF($F5*'Jul''10 Multinet'!F7/'Jul''10 Multinet'!F8&lt;'Jul''10 Multinet'!F11,0,IF($F5*'Jul''10 Multinet'!F7/'Jul''10 Multinet'!F8&lt;='Jul''10 Multinet'!F12,($F5*'Jul''10 Multinet'!F7/'Jul''10 Multinet'!F8-'Jul''10 Multinet'!F11)*('Jul''10 Multinet'!F14/100)*'Jul''10 Multinet'!F8,('Jul''10 Multinet'!F12-'Jul''10 Multinet'!F11)*('Jul''10 Multinet'!F14/100)*'Jul''10 Multinet'!F8))</f>
        <v>0</v>
      </c>
      <c r="E11" s="59">
        <f>IF($F5*'Jul''10 Multinet'!G7/'Jul''10 Multinet'!G8&lt;'Jul''10 Multinet'!G11,0,IF($F5*'Jul''10 Multinet'!G7/'Jul''10 Multinet'!G8&lt;='Jul''10 Multinet'!G12,($F5*'Jul''10 Multinet'!G7/'Jul''10 Multinet'!G8-'Jul''10 Multinet'!G11)*('Jul''10 Multinet'!G14/100)*'Jul''10 Multinet'!G8,('Jul''10 Multinet'!G12-'Jul''10 Multinet'!G11)*('Jul''10 Multinet'!G14/100)*'Jul''10 Multinet'!G8))</f>
        <v>0</v>
      </c>
      <c r="F11" s="59">
        <f>IF($F5*'Jul''10 Multinet'!H7/'Jul''10 Multinet'!H8&lt;'Jul''10 Multinet'!H11,0,IF($F5*'Jul''10 Multinet'!H7/'Jul''10 Multinet'!H8&lt;='Jul''10 Multinet'!H12,($F5*'Jul''10 Multinet'!H7/'Jul''10 Multinet'!H8-'Jul''10 Multinet'!H11)*('Jul''10 Multinet'!H14/100)*'Jul''10 Multinet'!H8,('Jul''10 Multinet'!H12-'Jul''10 Multinet'!H11)*('Jul''10 Multinet'!H14/100)*'Jul''10 Multinet'!H8))</f>
        <v>0</v>
      </c>
      <c r="G11" s="59">
        <f>IF($F5*'Jul''10 Multinet'!I7/'Jul''10 Multinet'!I8&lt;'Jul''10 Multinet'!I11,0,IF($F5*'Jul''10 Multinet'!I7/'Jul''10 Multinet'!I8&lt;='Jul''10 Multinet'!I12,($F5*'Jul''10 Multinet'!I7/'Jul''10 Multinet'!I8-'Jul''10 Multinet'!I11)*('Jul''10 Multinet'!I14/100)*'Jul''10 Multinet'!I8,('Jul''10 Multinet'!I12-'Jul''10 Multinet'!I11)*('Jul''10 Multinet'!I14/100)*'Jul''10 Multinet'!I8))</f>
        <v>0</v>
      </c>
      <c r="H11" s="59">
        <f>IF($F5*'Jul''10 Multinet'!J7/'Jul''10 Multinet'!J8&lt;'Jul''10 Multinet'!J11,0,IF($F5*'Jul''10 Multinet'!J7/'Jul''10 Multinet'!J8&lt;='Jul''10 Multinet'!J12,($F5*'Jul''10 Multinet'!J7/'Jul''10 Multinet'!J8-'Jul''10 Multinet'!J11)*('Jul''10 Multinet'!J14/100)*'Jul''10 Multinet'!J8,('Jul''10 Multinet'!J12-'Jul''10 Multinet'!J11)*('Jul''10 Multinet'!J14/100)*'Jul''10 Multinet'!J8))</f>
        <v>0</v>
      </c>
      <c r="I11" s="59">
        <f>IF($F5*'Jul''10 Multinet'!K7/'Jul''10 Multinet'!K8&lt;'Jul''10 Multinet'!K11,0,IF($F5*'Jul''10 Multinet'!K7/'Jul''10 Multinet'!K8&lt;='Jul''10 Multinet'!K12,($F5*'Jul''10 Multinet'!K7/'Jul''10 Multinet'!K8-'Jul''10 Multinet'!K11)*('Jul''10 Multinet'!K14/100)*'Jul''10 Multinet'!K8,('Jul''10 Multinet'!K12-'Jul''10 Multinet'!K11)*('Jul''10 Multinet'!K14/100)*'Jul''10 Multinet'!K8))</f>
        <v>0</v>
      </c>
      <c r="J11" s="60"/>
    </row>
    <row r="12" spans="1:16" x14ac:dyDescent="0.15">
      <c r="A12" s="40" t="s">
        <v>606</v>
      </c>
      <c r="C12" s="59">
        <f>IF(($F5*'Jul''10 Multinet'!E7/'Jul''10 Multinet'!E8&gt;'Jul''10 Multinet'!E12),($F5*'Jul''10 Multinet'!E7/'Jul''10 Multinet'!E8-'Jul''10 Multinet'!E12)*'Jul''10 Multinet'!E15/100)*'Jul''10 Multinet'!E8</f>
        <v>0</v>
      </c>
      <c r="D12" s="59">
        <f>IF(($F5*'Jul''10 Multinet'!F7/'Jul''10 Multinet'!F8&gt;'Jul''10 Multinet'!F12),($F5*'Jul''10 Multinet'!F7/'Jul''10 Multinet'!F8-'Jul''10 Multinet'!F12)*'Jul''10 Multinet'!F15/100)*'Jul''10 Multinet'!F8</f>
        <v>0</v>
      </c>
      <c r="E12" s="59">
        <f>IF(($F5*'Jul''10 Multinet'!G7/'Jul''10 Multinet'!G8&gt;'Jul''10 Multinet'!G12),($F5*'Jul''10 Multinet'!G7/'Jul''10 Multinet'!G8-'Jul''10 Multinet'!G12)*'Jul''10 Multinet'!G15/100)*'Jul''10 Multinet'!G8</f>
        <v>0</v>
      </c>
      <c r="F12" s="59">
        <f>IF(($F5*'Jul''10 Multinet'!H7/'Jul''10 Multinet'!H8&gt;'Jul''10 Multinet'!H12),($F5*'Jul''10 Multinet'!H7/'Jul''10 Multinet'!H8-'Jul''10 Multinet'!H12)*'Jul''10 Multinet'!H15/100)*'Jul''10 Multinet'!H8</f>
        <v>0</v>
      </c>
      <c r="G12" s="59">
        <f>IF(($F5*'Jul''10 Multinet'!I7/'Jul''10 Multinet'!I8&gt;'Jul''10 Multinet'!I12),($F5*'Jul''10 Multinet'!I7/'Jul''10 Multinet'!I8-'Jul''10 Multinet'!I12)*'Jul''10 Multinet'!I15/100)*'Jul''10 Multinet'!I8</f>
        <v>0</v>
      </c>
      <c r="H12" s="59">
        <f>IF(($F5*'Jul''10 Multinet'!J7/'Jul''10 Multinet'!J8&gt;'Jul''10 Multinet'!J12),($F5*'Jul''10 Multinet'!J7/'Jul''10 Multinet'!J8-'Jul''10 Multinet'!J12)*'Jul''10 Multinet'!J15/100)*'Jul''10 Multinet'!J8</f>
        <v>0</v>
      </c>
      <c r="I12" s="59">
        <f>IF(($F5*'Jul''10 Multinet'!K7/'Jul''10 Multinet'!K8&gt;'Jul''10 Multinet'!K12),($F5*'Jul''10 Multinet'!K7/'Jul''10 Multinet'!K8-'Jul''10 Multinet'!K12)*'Jul''10 Multinet'!K15/100)*'Jul''10 Multinet'!K8</f>
        <v>0</v>
      </c>
      <c r="J12" s="60"/>
    </row>
    <row r="13" spans="1:16" x14ac:dyDescent="0.15">
      <c r="A13" s="40" t="s">
        <v>607</v>
      </c>
      <c r="C13" s="59">
        <f>IF($F5*'Jul''10 Multinet'!E9/'Jul''10 Multinet'!E10&gt;='Jul''10 Multinet'!E11,('Jul''10 Multinet'!E11*'Jul''10 Multinet'!E16/100)*'Jul''10 Multinet'!E10,($F5*'Jul''10 Multinet'!E9/'Jul''10 Multinet'!E10*'Jul''10 Multinet'!E16/100)*'Jul''10 Multinet'!E10)</f>
        <v>211.36500000000001</v>
      </c>
      <c r="D13" s="59">
        <f>IF($F5*'Jul''10 Multinet'!F9/'Jul''10 Multinet'!F10&gt;='Jul''10 Multinet'!F11,('Jul''10 Multinet'!F11*'Jul''10 Multinet'!F16/100)*'Jul''10 Multinet'!F10,($F5*'Jul''10 Multinet'!F9/'Jul''10 Multinet'!F10*'Jul''10 Multinet'!F16/100)*'Jul''10 Multinet'!F10)</f>
        <v>225.1755</v>
      </c>
      <c r="E13" s="59">
        <f>IF($F5*'Jul''10 Multinet'!G9/'Jul''10 Multinet'!G10&gt;='Jul''10 Multinet'!G11,('Jul''10 Multinet'!G11*'Jul''10 Multinet'!G16/100)*'Jul''10 Multinet'!G10,($F5*'Jul''10 Multinet'!G9/'Jul''10 Multinet'!G10*'Jul''10 Multinet'!G16/100)*'Jul''10 Multinet'!G10)</f>
        <v>236.88</v>
      </c>
      <c r="F13" s="59">
        <f>IF($F5*'Jul''10 Multinet'!H9/'Jul''10 Multinet'!H10&gt;='Jul''10 Multinet'!H11,('Jul''10 Multinet'!H11*'Jul''10 Multinet'!H16/100)*'Jul''10 Multinet'!H10,($F5*'Jul''10 Multinet'!H9/'Jul''10 Multinet'!H10*'Jul''10 Multinet'!H16/100)*'Jul''10 Multinet'!H10)</f>
        <v>208.49999999999994</v>
      </c>
      <c r="G13" s="59">
        <f>IF($F5*'Jul''10 Multinet'!I9/'Jul''10 Multinet'!I10&gt;='Jul''10 Multinet'!I11,('Jul''10 Multinet'!I11*'Jul''10 Multinet'!I16/100)*'Jul''10 Multinet'!I10,($F5*'Jul''10 Multinet'!I9/'Jul''10 Multinet'!I10*'Jul''10 Multinet'!I16/100)*'Jul''10 Multinet'!I10)</f>
        <v>207.89999999999998</v>
      </c>
      <c r="H13" s="59">
        <f>IF($F5*'Jul''10 Multinet'!J9/'Jul''10 Multinet'!J10&gt;='Jul''10 Multinet'!J11,('Jul''10 Multinet'!J11*'Jul''10 Multinet'!J16/100)*'Jul''10 Multinet'!J10,($F5*'Jul''10 Multinet'!J9/'Jul''10 Multinet'!J10*'Jul''10 Multinet'!J16/100)*'Jul''10 Multinet'!J10)</f>
        <v>243.375</v>
      </c>
      <c r="I13" s="59">
        <f>IF($F5*'Jul''10 Multinet'!K9/'Jul''10 Multinet'!K10&gt;='Jul''10 Multinet'!K11,('Jul''10 Multinet'!K11*'Jul''10 Multinet'!K16/100)*'Jul''10 Multinet'!K10,($F5*'Jul''10 Multinet'!K9/'Jul''10 Multinet'!K10*'Jul''10 Multinet'!K16/100)*'Jul''10 Multinet'!K10)</f>
        <v>256.42650000000003</v>
      </c>
      <c r="J13" s="60"/>
    </row>
    <row r="14" spans="1:16" x14ac:dyDescent="0.15">
      <c r="A14" s="40" t="s">
        <v>608</v>
      </c>
      <c r="C14" s="59">
        <f>IF($F5*'Jul''10 Multinet'!E9/'Jul''10 Multinet'!E10&lt;'Jul''10 Multinet'!E11,0,IF($F5*'Jul''10 Multinet'!E9/'Jul''10 Multinet'!E10&lt;='Jul''10 Multinet'!E12,($F5*'Jul''10 Multinet'!E9/'Jul''10 Multinet'!E10-'Jul''10 Multinet'!E11)*('Jul''10 Multinet'!E17/100)*'Jul''10 Multinet'!E10,('Jul''10 Multinet'!E12-'Jul''10 Multinet'!E11)*('Jul''10 Multinet'!E17/100)*'Jul''10 Multinet'!E10))</f>
        <v>0</v>
      </c>
      <c r="D14" s="59">
        <f>IF($F5*'Jul''10 Multinet'!F9/'Jul''10 Multinet'!F10&lt;'Jul''10 Multinet'!F11,0,IF($F5*'Jul''10 Multinet'!F9/'Jul''10 Multinet'!F10&lt;='Jul''10 Multinet'!F12,($F5*'Jul''10 Multinet'!F9/'Jul''10 Multinet'!F10-'Jul''10 Multinet'!F11)*('Jul''10 Multinet'!F17/100)*'Jul''10 Multinet'!F10,('Jul''10 Multinet'!F12-'Jul''10 Multinet'!F11)*('Jul''10 Multinet'!F17/100)*'Jul''10 Multinet'!F10))</f>
        <v>0</v>
      </c>
      <c r="E14" s="59">
        <f>IF($F5*'Jul''10 Multinet'!G9/'Jul''10 Multinet'!G10&lt;'Jul''10 Multinet'!G11,0,IF($F5*'Jul''10 Multinet'!G9/'Jul''10 Multinet'!G10&lt;='Jul''10 Multinet'!G12,($F5*'Jul''10 Multinet'!G9/'Jul''10 Multinet'!G10-'Jul''10 Multinet'!G11)*('Jul''10 Multinet'!G17/100)*'Jul''10 Multinet'!G10,('Jul''10 Multinet'!G12-'Jul''10 Multinet'!G11)*('Jul''10 Multinet'!G17/100)*'Jul''10 Multinet'!G10))</f>
        <v>0</v>
      </c>
      <c r="F14" s="59">
        <f>IF($F5*'Jul''10 Multinet'!H9/'Jul''10 Multinet'!H10&lt;'Jul''10 Multinet'!H11,0,IF($F5*'Jul''10 Multinet'!H9/'Jul''10 Multinet'!H10&lt;='Jul''10 Multinet'!H12,($F5*'Jul''10 Multinet'!H9/'Jul''10 Multinet'!H10-'Jul''10 Multinet'!H11)*('Jul''10 Multinet'!H17/100)*'Jul''10 Multinet'!H10,('Jul''10 Multinet'!H12-'Jul''10 Multinet'!H11)*('Jul''10 Multinet'!H17/100)*'Jul''10 Multinet'!H10))</f>
        <v>0</v>
      </c>
      <c r="G14" s="59">
        <f>IF($F5*'Jul''10 Multinet'!I9/'Jul''10 Multinet'!I10&lt;'Jul''10 Multinet'!I11,0,IF($F5*'Jul''10 Multinet'!I9/'Jul''10 Multinet'!I10&lt;='Jul''10 Multinet'!I12,($F5*'Jul''10 Multinet'!I9/'Jul''10 Multinet'!I10-'Jul''10 Multinet'!I11)*('Jul''10 Multinet'!I17/100)*'Jul''10 Multinet'!I10,('Jul''10 Multinet'!I12-'Jul''10 Multinet'!I11)*('Jul''10 Multinet'!I17/100)*'Jul''10 Multinet'!I10))</f>
        <v>0</v>
      </c>
      <c r="H14" s="59">
        <f>IF($F5*'Jul''10 Multinet'!J9/'Jul''10 Multinet'!J10&lt;'Jul''10 Multinet'!J11,0,IF($F5*'Jul''10 Multinet'!J9/'Jul''10 Multinet'!J10&lt;='Jul''10 Multinet'!J12,($F5*'Jul''10 Multinet'!J9/'Jul''10 Multinet'!J10-'Jul''10 Multinet'!J11)*('Jul''10 Multinet'!J17/100)*'Jul''10 Multinet'!J10,('Jul''10 Multinet'!J12-'Jul''10 Multinet'!J11)*('Jul''10 Multinet'!J17/100)*'Jul''10 Multinet'!J10))</f>
        <v>0</v>
      </c>
      <c r="I14" s="59">
        <f>IF($F5*'Jul''10 Multinet'!K9/'Jul''10 Multinet'!K10&lt;'Jul''10 Multinet'!K11,0,IF($F5*'Jul''10 Multinet'!K9/'Jul''10 Multinet'!K10&lt;='Jul''10 Multinet'!K12,($F5*'Jul''10 Multinet'!K9/'Jul''10 Multinet'!K10-'Jul''10 Multinet'!K11)*('Jul''10 Multinet'!K17/100)*'Jul''10 Multinet'!K10,('Jul''10 Multinet'!K12-'Jul''10 Multinet'!K11)*('Jul''10 Multinet'!K17/100)*'Jul''10 Multinet'!K10))</f>
        <v>0</v>
      </c>
      <c r="J14" s="61"/>
    </row>
    <row r="15" spans="1:16" x14ac:dyDescent="0.15">
      <c r="A15" s="40" t="s">
        <v>611</v>
      </c>
      <c r="C15" s="59">
        <f>IF(($F5*'Jul''10 Multinet'!E9/'Jul''10 Multinet'!E10&gt;'Jul''10 Multinet'!E12),($F5*'Jul''10 Multinet'!E9/'Jul''10 Multinet'!E10-'Jul''10 Multinet'!E12)*'Jul''10 Multinet'!E18/100)*'Jul''10 Multinet'!E10</f>
        <v>0</v>
      </c>
      <c r="D15" s="59">
        <f>IF(($F5*'Jul''10 Multinet'!F9/'Jul''10 Multinet'!F10&gt;'Jul''10 Multinet'!F12),($F5*'Jul''10 Multinet'!F9/'Jul''10 Multinet'!F10-'Jul''10 Multinet'!F12)*'Jul''10 Multinet'!F18/100)*'Jul''10 Multinet'!F10</f>
        <v>0</v>
      </c>
      <c r="E15" s="59">
        <f>IF(($F5*'Jul''10 Multinet'!G9/'Jul''10 Multinet'!G10&gt;'Jul''10 Multinet'!G12),($F5*'Jul''10 Multinet'!G9/'Jul''10 Multinet'!G10-'Jul''10 Multinet'!G12)*'Jul''10 Multinet'!G18/100)*'Jul''10 Multinet'!G10</f>
        <v>0</v>
      </c>
      <c r="F15" s="59">
        <f>IF(($F5*'Jul''10 Multinet'!H9/'Jul''10 Multinet'!H10&gt;'Jul''10 Multinet'!H12),($F5*'Jul''10 Multinet'!H9/'Jul''10 Multinet'!H10-'Jul''10 Multinet'!H12)*'Jul''10 Multinet'!H18/100)*'Jul''10 Multinet'!H10</f>
        <v>0</v>
      </c>
      <c r="G15" s="59">
        <f>IF(($F5*'Jul''10 Multinet'!I9/'Jul''10 Multinet'!I10&gt;'Jul''10 Multinet'!I12),($F5*'Jul''10 Multinet'!I9/'Jul''10 Multinet'!I10-'Jul''10 Multinet'!I12)*'Jul''10 Multinet'!I18/100)*'Jul''10 Multinet'!I10</f>
        <v>0</v>
      </c>
      <c r="H15" s="59">
        <f>IF(($F5*'Jul''10 Multinet'!J9/'Jul''10 Multinet'!J10&gt;'Jul''10 Multinet'!J12),($F5*'Jul''10 Multinet'!J9/'Jul''10 Multinet'!J10-'Jul''10 Multinet'!J12)*'Jul''10 Multinet'!J18/100)*'Jul''10 Multinet'!J10</f>
        <v>0</v>
      </c>
      <c r="I15" s="59">
        <f>IF(($F5*'Jul''10 Multinet'!K9/'Jul''10 Multinet'!K10&gt;'Jul''10 Multinet'!K12),($F5*'Jul''10 Multinet'!K9/'Jul''10 Multinet'!K10-'Jul''10 Multinet'!K12)*'Jul''10 Multinet'!K18/100)*'Jul''10 Multinet'!K10</f>
        <v>0</v>
      </c>
      <c r="J15" s="60"/>
    </row>
    <row r="16" spans="1:16" x14ac:dyDescent="0.15">
      <c r="A16" s="40" t="s">
        <v>612</v>
      </c>
      <c r="C16" s="59">
        <f>365*'Jul''10 Multinet'!E19/100</f>
        <v>177.50314999999998</v>
      </c>
      <c r="D16" s="59">
        <f>365*'Jul''10 Multinet'!F19/100</f>
        <v>190.99355</v>
      </c>
      <c r="E16" s="59">
        <f>365*'Jul''10 Multinet'!G19/100</f>
        <v>185.785</v>
      </c>
      <c r="F16" s="59">
        <f>365*'Jul''10 Multinet'!H19/100</f>
        <v>184.61700000000002</v>
      </c>
      <c r="G16" s="59">
        <f>365*'Jul''10 Multinet'!I19/100</f>
        <v>170.35645</v>
      </c>
      <c r="H16" s="59">
        <f>365*'Jul''10 Multinet'!J19/100</f>
        <v>208.05</v>
      </c>
      <c r="I16" s="59">
        <f>365*'Jul''10 Multinet'!K19/100</f>
        <v>238.04934999999998</v>
      </c>
      <c r="J16" s="60">
        <f>AVERAGE(C16:I16)</f>
        <v>193.62207142857142</v>
      </c>
    </row>
    <row r="17" spans="1:10" x14ac:dyDescent="0.15">
      <c r="A17" s="62" t="s">
        <v>613</v>
      </c>
      <c r="B17" s="63"/>
      <c r="C17" s="61">
        <f>SUM(C10:C16)</f>
        <v>616.40314999999998</v>
      </c>
      <c r="D17" s="61">
        <f t="shared" ref="D17:I17" si="0">SUM(D10:D16)</f>
        <v>658.38905</v>
      </c>
      <c r="E17" s="61">
        <f t="shared" si="0"/>
        <v>651.53499999999997</v>
      </c>
      <c r="F17" s="61">
        <f t="shared" si="0"/>
        <v>616.61699999999996</v>
      </c>
      <c r="G17" s="61">
        <f t="shared" si="0"/>
        <v>601.00645000000009</v>
      </c>
      <c r="H17" s="61">
        <f t="shared" si="0"/>
        <v>713.28</v>
      </c>
      <c r="I17" s="61">
        <f t="shared" si="0"/>
        <v>773.98585000000003</v>
      </c>
      <c r="J17" s="64">
        <f>AVERAGE(C17:I17)</f>
        <v>661.60235714285704</v>
      </c>
    </row>
    <row r="19" spans="1:10" x14ac:dyDescent="0.15">
      <c r="A19" s="53" t="s">
        <v>1076</v>
      </c>
      <c r="C19" s="23" t="s">
        <v>1044</v>
      </c>
      <c r="D19" s="23" t="s">
        <v>591</v>
      </c>
      <c r="E19" s="23" t="s">
        <v>555</v>
      </c>
      <c r="F19" s="23" t="s">
        <v>544</v>
      </c>
      <c r="G19" s="23" t="s">
        <v>514</v>
      </c>
      <c r="H19" s="23" t="s">
        <v>615</v>
      </c>
      <c r="I19" s="23" t="s">
        <v>441</v>
      </c>
      <c r="J19" s="57" t="s">
        <v>601</v>
      </c>
    </row>
    <row r="20" spans="1:10" x14ac:dyDescent="0.15">
      <c r="A20" s="40" t="s">
        <v>602</v>
      </c>
      <c r="C20" s="59">
        <f>IF($F5*'Jul''10 Multinet'!E23/'Jul''10 Multinet'!E24&gt;='Jul''10 Multinet'!E27,('Jul''10 Multinet'!E27*'Jul''10 Multinet'!E28/100)*'Jul''10 Multinet'!E24,($F5*'Jul''10 Multinet'!E23/'Jul''10 Multinet'!E24*'Jul''10 Multinet'!E28/100)*'Jul''10 Multinet'!E24)</f>
        <v>102.179</v>
      </c>
      <c r="D20" s="59">
        <f>IF($F5*'Jul''10 Multinet'!F23/'Jul''10 Multinet'!F24&gt;='Jul''10 Multinet'!F27,('Jul''10 Multinet'!F27*'Jul''10 Multinet'!F28/100)*'Jul''10 Multinet'!F24,($F5*'Jul''10 Multinet'!F23/'Jul''10 Multinet'!F24*'Jul''10 Multinet'!F28/100)*'Jul''10 Multinet'!F24)</f>
        <v>100.25399999999999</v>
      </c>
      <c r="E20" s="59">
        <f>IF($F5*'Jul''10 Multinet'!G23/'Jul''10 Multinet'!G24&gt;='Jul''10 Multinet'!G27,('Jul''10 Multinet'!G27*'Jul''10 Multinet'!G28/100)*'Jul''10 Multinet'!G24,($F5*'Jul''10 Multinet'!G23/'Jul''10 Multinet'!G24*'Jul''10 Multinet'!G28/100)*'Jul''10 Multinet'!G24)</f>
        <v>99.337000000000003</v>
      </c>
      <c r="F20" s="59">
        <f>IF($F5*'Jul''10 Multinet'!H23/'Jul''10 Multinet'!H24&gt;='Jul''10 Multinet'!H27,('Jul''10 Multinet'!H27*'Jul''10 Multinet'!H28/100)*'Jul''10 Multinet'!H24,($F5*'Jul''10 Multinet'!H23/'Jul''10 Multinet'!H24*'Jul''10 Multinet'!H28/100)*'Jul''10 Multinet'!H24)</f>
        <v>93.1</v>
      </c>
      <c r="G20" s="59">
        <f>IF($F5*'Jul''10 Multinet'!I23/'Jul''10 Multinet'!I24&gt;='Jul''10 Multinet'!I27,('Jul''10 Multinet'!I27*'Jul''10 Multinet'!I28/100)*'Jul''10 Multinet'!I24,($F5*'Jul''10 Multinet'!I23/'Jul''10 Multinet'!I24*'Jul''10 Multinet'!I28/100)*'Jul''10 Multinet'!I24)</f>
        <v>94.71</v>
      </c>
      <c r="H20" s="59">
        <f>IF($F5*'Jul''10 Multinet'!J23/'Jul''10 Multinet'!J24&gt;='Jul''10 Multinet'!J27,('Jul''10 Multinet'!J27*'Jul''10 Multinet'!J28/100)*'Jul''10 Multinet'!J24,($F5*'Jul''10 Multinet'!J23/'Jul''10 Multinet'!J24*'Jul''10 Multinet'!J28/100)*'Jul''10 Multinet'!J24)</f>
        <v>107.26100000000001</v>
      </c>
      <c r="I20" s="59">
        <f>IF($F5*'Jul''10 Multinet'!K23/'Jul''10 Multinet'!K24&gt;='Jul''10 Multinet'!K27,('Jul''10 Multinet'!K27*'Jul''10 Multinet'!K28/100)*'Jul''10 Multinet'!K24,($F5*'Jul''10 Multinet'!K23/'Jul''10 Multinet'!K24*'Jul''10 Multinet'!K28/100)*'Jul''10 Multinet'!K24)</f>
        <v>168.85511279999997</v>
      </c>
      <c r="J20" s="60"/>
    </row>
    <row r="21" spans="1:10" x14ac:dyDescent="0.15">
      <c r="A21" s="40" t="s">
        <v>606</v>
      </c>
      <c r="C21" s="59">
        <f>IF(($F5*'Jul''10 Multinet'!E23/'Jul''10 Multinet'!E24&gt;'Jul''10 Multinet'!E27),($F5*'Jul''10 Multinet'!E23/'Jul''10 Multinet'!E24-'Jul''10 Multinet'!E27)*'Jul''10 Multinet'!E29/100)*'Jul''10 Multinet'!E24</f>
        <v>37.145613999999995</v>
      </c>
      <c r="D21" s="59">
        <f>IF(($F5*'Jul''10 Multinet'!F23/'Jul''10 Multinet'!F24&gt;'Jul''10 Multinet'!F27),($F5*'Jul''10 Multinet'!F23/'Jul''10 Multinet'!F24-'Jul''10 Multinet'!F27)*'Jul''10 Multinet'!F29/100)*'Jul''10 Multinet'!F24</f>
        <v>37.125820600000004</v>
      </c>
      <c r="E21" s="59">
        <f>IF(($F5*'Jul''10 Multinet'!G23/'Jul''10 Multinet'!G24&gt;'Jul''10 Multinet'!G27),($F5*'Jul''10 Multinet'!G23/'Jul''10 Multinet'!G24-'Jul''10 Multinet'!G27)*'Jul''10 Multinet'!G29/100)*'Jul''10 Multinet'!G24</f>
        <v>36.479835999999999</v>
      </c>
      <c r="F21" s="59">
        <f>IF(($F5*'Jul''10 Multinet'!H23/'Jul''10 Multinet'!H24&gt;'Jul''10 Multinet'!H27),($F5*'Jul''10 Multinet'!H23/'Jul''10 Multinet'!H24-'Jul''10 Multinet'!H27)*'Jul''10 Multinet'!H29/100)*'Jul''10 Multinet'!H24</f>
        <v>34.488500000000002</v>
      </c>
      <c r="G21" s="59">
        <f>IF(($F5*'Jul''10 Multinet'!I23/'Jul''10 Multinet'!I24&gt;'Jul''10 Multinet'!I27),($F5*'Jul''10 Multinet'!I23/'Jul''10 Multinet'!I24-'Jul''10 Multinet'!I27)*'Jul''10 Multinet'!I29/100)*'Jul''10 Multinet'!I24</f>
        <v>35.298230000000004</v>
      </c>
      <c r="H21" s="59">
        <f>IF(($F5*'Jul''10 Multinet'!J23/'Jul''10 Multinet'!J24&gt;'Jul''10 Multinet'!J27),($F5*'Jul''10 Multinet'!J23/'Jul''10 Multinet'!J24-'Jul''10 Multinet'!J27)*'Jul''10 Multinet'!J29/100)*'Jul''10 Multinet'!J24</f>
        <v>39.685766999999998</v>
      </c>
      <c r="I21" s="59">
        <f>IF(($F5*'Jul''10 Multinet'!K23/'Jul''10 Multinet'!K24&gt;'Jul''10 Multinet'!K27),($F5*'Jul''10 Multinet'!K23/'Jul''10 Multinet'!K24-'Jul''10 Multinet'!K27)*'Jul''10 Multinet'!K29/100)*'Jul''10 Multinet'!K24</f>
        <v>0</v>
      </c>
      <c r="J21" s="60"/>
    </row>
    <row r="22" spans="1:10" x14ac:dyDescent="0.15">
      <c r="A22" s="40" t="s">
        <v>607</v>
      </c>
      <c r="C22" s="59">
        <f>IF($F5*'Jul''10 Multinet'!E25/'Jul''10 Multinet'!E26&gt;='Jul''10 Multinet'!E27,('Jul''10 Multinet'!E27*'Jul''10 Multinet'!E30/100)*'Jul''10 Multinet'!E26,($F5*'Jul''10 Multinet'!E25/'Jul''10 Multinet'!E26*'Jul''10 Multinet'!E30/100)*'Jul''10 Multinet'!E26)</f>
        <v>199.73800000000003</v>
      </c>
      <c r="D22" s="59">
        <f>IF($F5*'Jul''10 Multinet'!F25/'Jul''10 Multinet'!F26&gt;='Jul''10 Multinet'!F27,('Jul''10 Multinet'!F27*'Jul''10 Multinet'!F30/100)*'Jul''10 Multinet'!F26,($F5*'Jul''10 Multinet'!F25/'Jul''10 Multinet'!F26*'Jul''10 Multinet'!F30/100)*'Jul''10 Multinet'!F26)</f>
        <v>191.39120000000003</v>
      </c>
      <c r="E22" s="59">
        <f>IF($F5*'Jul''10 Multinet'!G25/'Jul''10 Multinet'!G26&gt;='Jul''10 Multinet'!G27,('Jul''10 Multinet'!G27*'Jul''10 Multinet'!G30/100)*'Jul''10 Multinet'!G26,($F5*'Jul''10 Multinet'!G25/'Jul''10 Multinet'!G26*'Jul''10 Multinet'!G30/100)*'Jul''10 Multinet'!G26)</f>
        <v>189.71399999999997</v>
      </c>
      <c r="F22" s="59">
        <f>IF($F5*'Jul''10 Multinet'!H25/'Jul''10 Multinet'!H26&gt;='Jul''10 Multinet'!H27,('Jul''10 Multinet'!H27*'Jul''10 Multinet'!H30/100)*'Jul''10 Multinet'!H26,($F5*'Jul''10 Multinet'!H25/'Jul''10 Multinet'!H26*'Jul''10 Multinet'!H30/100)*'Jul''10 Multinet'!H26)</f>
        <v>177.8</v>
      </c>
      <c r="G22" s="59">
        <f>IF($F5*'Jul''10 Multinet'!I25/'Jul''10 Multinet'!I26&gt;='Jul''10 Multinet'!I27,('Jul''10 Multinet'!I27*'Jul''10 Multinet'!I30/100)*'Jul''10 Multinet'!I26,($F5*'Jul''10 Multinet'!I25/'Jul''10 Multinet'!I26*'Jul''10 Multinet'!I30/100)*'Jul''10 Multinet'!I26)</f>
        <v>180.18</v>
      </c>
      <c r="H22" s="59">
        <f>IF($F5*'Jul''10 Multinet'!J25/'Jul''10 Multinet'!J26&gt;='Jul''10 Multinet'!J27,('Jul''10 Multinet'!J27*'Jul''10 Multinet'!J30/100)*'Jul''10 Multinet'!J26,($F5*'Jul''10 Multinet'!J25/'Jul''10 Multinet'!J26*'Jul''10 Multinet'!J30/100)*'Jul''10 Multinet'!J26)</f>
        <v>204.97399999999999</v>
      </c>
      <c r="I22" s="59">
        <f>IF($F5*'Jul''10 Multinet'!K25/'Jul''10 Multinet'!K26&gt;='Jul''10 Multinet'!K27,('Jul''10 Multinet'!K27*'Jul''10 Multinet'!K30/100)*'Jul''10 Multinet'!K26,($F5*'Jul''10 Multinet'!K25/'Jul''10 Multinet'!K26*'Jul''10 Multinet'!K30/100)*'Jul''10 Multinet'!K26)</f>
        <v>270.92450000000002</v>
      </c>
      <c r="J22" s="60"/>
    </row>
    <row r="23" spans="1:10" x14ac:dyDescent="0.15">
      <c r="A23" s="40" t="s">
        <v>608</v>
      </c>
      <c r="C23" s="59">
        <f>IF(($F5*'Jul''10 Multinet'!E25/'Jul''10 Multinet'!E26&gt;'Jul''10 Multinet'!E27),($F5*'Jul''10 Multinet'!E25/'Jul''10 Multinet'!E26-'Jul''10 Multinet'!E27)*'Jul''10 Multinet'!E31/100)*'Jul''10 Multinet'!E26</f>
        <v>71.454174000000009</v>
      </c>
      <c r="D23" s="59">
        <f>IF(($F5*'Jul''10 Multinet'!F25/'Jul''10 Multinet'!F26&gt;'Jul''10 Multinet'!F27),($F5*'Jul''10 Multinet'!F25/'Jul''10 Multinet'!F26-'Jul''10 Multinet'!F27)*'Jul''10 Multinet'!F31/100)*'Jul''10 Multinet'!F26</f>
        <v>64.163605000000004</v>
      </c>
      <c r="E23" s="59">
        <f>IF(($F5*'Jul''10 Multinet'!G25/'Jul''10 Multinet'!G26&gt;'Jul''10 Multinet'!G27),($F5*'Jul''10 Multinet'!G25/'Jul''10 Multinet'!G26-'Jul''10 Multinet'!G27)*'Jul''10 Multinet'!G31/100)*'Jul''10 Multinet'!G26</f>
        <v>63.356873999999998</v>
      </c>
      <c r="F23" s="59">
        <f>IF(($F5*'Jul''10 Multinet'!H25/'Jul''10 Multinet'!H26&gt;'Jul''10 Multinet'!H27),($F5*'Jul''10 Multinet'!H25/'Jul''10 Multinet'!H26-'Jul''10 Multinet'!H27)*'Jul''10 Multinet'!H31/100)*'Jul''10 Multinet'!H26</f>
        <v>59.380199999999995</v>
      </c>
      <c r="G23" s="59">
        <f>IF(($F5*'Jul''10 Multinet'!I25/'Jul''10 Multinet'!I26&gt;'Jul''10 Multinet'!I27),($F5*'Jul''10 Multinet'!I25/'Jul''10 Multinet'!I26-'Jul''10 Multinet'!I27)*'Jul''10 Multinet'!I31/100)*'Jul''10 Multinet'!I26</f>
        <v>61.359539999999996</v>
      </c>
      <c r="H23" s="59">
        <f>IF(($F5*'Jul''10 Multinet'!J25/'Jul''10 Multinet'!J26&gt;'Jul''10 Multinet'!J27),($F5*'Jul''10 Multinet'!J25/'Jul''10 Multinet'!J26-'Jul''10 Multinet'!J27)*'Jul''10 Multinet'!J31/100)*'Jul''10 Multinet'!J26</f>
        <v>68.683098000000001</v>
      </c>
      <c r="I23" s="59">
        <f>IF(($F5*'Jul''10 Multinet'!K25/'Jul''10 Multinet'!K26&gt;'Jul''10 Multinet'!K27),($F5*'Jul''10 Multinet'!K25/'Jul''10 Multinet'!K26-'Jul''10 Multinet'!K27)*'Jul''10 Multinet'!K31/100)*'Jul''10 Multinet'!K26</f>
        <v>31.495283599999993</v>
      </c>
      <c r="J23" s="60"/>
    </row>
    <row r="24" spans="1:10" x14ac:dyDescent="0.15">
      <c r="A24" s="40" t="s">
        <v>612</v>
      </c>
      <c r="C24" s="59">
        <f>365*'Jul''10 Multinet'!E32/100</f>
        <v>150.5625</v>
      </c>
      <c r="D24" s="59">
        <f>365*'Jul''10 Multinet'!F32/100</f>
        <v>172.0829</v>
      </c>
      <c r="E24" s="59">
        <f>365*'Jul''10 Multinet'!G32/100</f>
        <v>167.17</v>
      </c>
      <c r="F24" s="59">
        <f>365*'Jul''10 Multinet'!H32/100</f>
        <v>167.9</v>
      </c>
      <c r="G24" s="59">
        <f>365*'Jul''10 Multinet'!I32/100</f>
        <v>147.95275000000001</v>
      </c>
      <c r="H24" s="59">
        <f>365*'Jul''10 Multinet'!J32/100</f>
        <v>186.15</v>
      </c>
      <c r="I24" s="59">
        <f>365*'Jul''10 Multinet'!K32/100</f>
        <v>207.69595000000001</v>
      </c>
      <c r="J24" s="65">
        <f>AVERAGE(C24:I24)</f>
        <v>171.35915714285713</v>
      </c>
    </row>
    <row r="25" spans="1:10" x14ac:dyDescent="0.15">
      <c r="A25" s="62" t="s">
        <v>613</v>
      </c>
      <c r="B25" s="63"/>
      <c r="C25" s="61">
        <f>SUM(C20:C24)</f>
        <v>561.07928800000013</v>
      </c>
      <c r="D25" s="61">
        <f t="shared" ref="D25:I25" si="1">SUM(D20:D24)</f>
        <v>565.0175256</v>
      </c>
      <c r="E25" s="61">
        <f t="shared" si="1"/>
        <v>556.05770999999993</v>
      </c>
      <c r="F25" s="61">
        <f t="shared" si="1"/>
        <v>532.66870000000006</v>
      </c>
      <c r="G25" s="61">
        <f t="shared" si="1"/>
        <v>519.50051999999994</v>
      </c>
      <c r="H25" s="61">
        <f t="shared" si="1"/>
        <v>606.75386500000002</v>
      </c>
      <c r="I25" s="61">
        <f t="shared" si="1"/>
        <v>678.97084640000003</v>
      </c>
      <c r="J25" s="64">
        <f>AVERAGE(C25:I25)</f>
        <v>574.29263642857154</v>
      </c>
    </row>
    <row r="27" spans="1:10" x14ac:dyDescent="0.15">
      <c r="A27" s="55" t="s">
        <v>1042</v>
      </c>
    </row>
    <row r="29" spans="1:10" x14ac:dyDescent="0.15">
      <c r="A29" s="53" t="s">
        <v>1024</v>
      </c>
      <c r="C29" s="23" t="s">
        <v>1044</v>
      </c>
      <c r="D29" s="23" t="s">
        <v>591</v>
      </c>
      <c r="E29" s="23" t="s">
        <v>555</v>
      </c>
      <c r="F29" s="23" t="s">
        <v>544</v>
      </c>
      <c r="G29" s="23" t="s">
        <v>514</v>
      </c>
      <c r="H29" s="23" t="s">
        <v>615</v>
      </c>
      <c r="I29" s="23" t="s">
        <v>441</v>
      </c>
      <c r="J29" s="57" t="s">
        <v>601</v>
      </c>
    </row>
    <row r="30" spans="1:10" x14ac:dyDescent="0.15">
      <c r="A30" s="40" t="s">
        <v>602</v>
      </c>
      <c r="C30" s="59">
        <f>IF($F5*'Jul''10 Envestra'!E7/'Jul''10 Envestra'!E8&gt;='Jul''10 Envestra'!E11,('Jul''10 Envestra'!E11*'Jul''10 Envestra'!E13/100)*'Jul''10 Envestra'!E8,($F5*'Jul''10 Envestra'!E7/'Jul''10 Envestra'!E8*'Jul''10 Envestra'!E13/100)*'Jul''10 Envestra'!E8)</f>
        <v>116.86400000000002</v>
      </c>
      <c r="D30" s="59">
        <f>IF($F5*'Jul''10 Envestra'!F7/'Jul''10 Envestra'!F8&gt;='Jul''10 Envestra'!F11,('Jul''10 Envestra'!F11*'Jul''10 Envestra'!F13/100)*'Jul''10 Envestra'!F8,($F5*'Jul''10 Envestra'!F7/'Jul''10 Envestra'!F8*'Jul''10 Envestra'!F13/100)*'Jul''10 Envestra'!F8)</f>
        <v>119.82080000000001</v>
      </c>
      <c r="E30" s="59">
        <f>IF($F5*'Jul''10 Envestra'!G7/'Jul''10 Envestra'!G8&gt;='Jul''10 Envestra'!G11,('Jul''10 Envestra'!G11*'Jul''10 Envestra'!G13/100)*'Jul''10 Envestra'!G8,($F5*'Jul''10 Envestra'!G7/'Jul''10 Envestra'!G8*'Jul''10 Envestra'!G13/100)*'Jul''10 Envestra'!G8)</f>
        <v>120.36</v>
      </c>
      <c r="F30" s="59">
        <f>IF($F5*'Jul''10 Envestra'!H7/'Jul''10 Envestra'!H8&gt;='Jul''10 Envestra'!H11,('Jul''10 Envestra'!H11*'Jul''10 Envestra'!H13/100)*'Jul''10 Envestra'!H8,($F5*'Jul''10 Envestra'!H7/'Jul''10 Envestra'!H8*'Jul''10 Envestra'!H13/100)*'Jul''10 Envestra'!H8)</f>
        <v>112</v>
      </c>
      <c r="G30" s="59">
        <f>IF($F5*'Jul''10 Envestra'!I7/'Jul''10 Envestra'!I8&gt;='Jul''10 Envestra'!I11,('Jul''10 Envestra'!I11*'Jul''10 Envestra'!I13/100)*'Jul''10 Envestra'!I8,($F5*'Jul''10 Envestra'!I7/'Jul''10 Envestra'!I8*'Jul''10 Envestra'!I13/100)*'Jul''10 Envestra'!I8)</f>
        <v>112.64</v>
      </c>
      <c r="H30" s="59">
        <f>IF($F5*'Jul''10 Envestra'!J7/'Jul''10 Envestra'!J8&gt;='Jul''10 Envestra'!J11,('Jul''10 Envestra'!J11*'Jul''10 Envestra'!J13/100)*'Jul''10 Envestra'!J8,($F5*'Jul''10 Envestra'!J7/'Jul''10 Envestra'!J8*'Jul''10 Envestra'!J13/100)*'Jul''10 Envestra'!J8)</f>
        <v>129.71199999999999</v>
      </c>
      <c r="I30" s="59">
        <f>IF($F5*'Jul''10 Envestra'!K7/'Jul''10 Envestra'!K8&gt;='Jul''10 Envestra'!K11,('Jul''10 Envestra'!K11*'Jul''10 Envestra'!K13/100)*'Jul''10 Envestra'!K8,($F5*'Jul''10 Envestra'!K7/'Jul''10 Envestra'!K8*'Jul''10 Envestra'!K13/100)*'Jul''10 Envestra'!K8)</f>
        <v>128.67359999999999</v>
      </c>
      <c r="J30" s="60"/>
    </row>
    <row r="31" spans="1:10" x14ac:dyDescent="0.15">
      <c r="A31" s="40" t="s">
        <v>603</v>
      </c>
      <c r="C31" s="59">
        <f>IF($F5*'Jul''10 Envestra'!E7/'Jul''10 Envestra'!E8&lt;'Jul''10 Envestra'!E11,0,IF($F5*'Jul''10 Envestra'!E7/'Jul''10 Envestra'!E8&lt;='Jul''10 Envestra'!E12,($F5*'Jul''10 Envestra'!E7/'Jul''10 Envestra'!E8-'Jul''10 Envestra'!E11)*('Jul''10 Envestra'!E14/100)*'Jul''10 Envestra'!E8,('Jul''10 Envestra'!E12-'Jul''10 Envestra'!E11)*('Jul''10 Envestra'!E14/100)*'Jul''10 Envestra'!E8))</f>
        <v>27.420283000000001</v>
      </c>
      <c r="D31" s="59">
        <f>IF($F5*'Jul''10 Envestra'!F7/'Jul''10 Envestra'!F8&lt;'Jul''10 Envestra'!F11,0,IF($F5*'Jul''10 Envestra'!F7/'Jul''10 Envestra'!F8&lt;='Jul''10 Envestra'!F12,($F5*'Jul''10 Envestra'!F7/'Jul''10 Envestra'!F8-'Jul''10 Envestra'!F11)*('Jul''10 Envestra'!F14/100)*'Jul''10 Envestra'!F8,('Jul''10 Envestra'!F12-'Jul''10 Envestra'!F11)*('Jul''10 Envestra'!F14/100)*'Jul''10 Envestra'!F8))</f>
        <v>28.2536661</v>
      </c>
      <c r="E31" s="59">
        <f>IF($F5*'Jul''10 Envestra'!G7/'Jul''10 Envestra'!G8&lt;'Jul''10 Envestra'!G11,0,IF($F5*'Jul''10 Envestra'!G7/'Jul''10 Envestra'!G8&lt;='Jul''10 Envestra'!G12,($F5*'Jul''10 Envestra'!G7/'Jul''10 Envestra'!G8-'Jul''10 Envestra'!G11)*('Jul''10 Envestra'!G14/100)*'Jul''10 Envestra'!G8,('Jul''10 Envestra'!G12-'Jul''10 Envestra'!G11)*('Jul''10 Envestra'!G14/100)*'Jul''10 Envestra'!G8))</f>
        <v>28.367809000000001</v>
      </c>
      <c r="F31" s="59">
        <f>IF($F5*'Jul''10 Envestra'!H7/'Jul''10 Envestra'!H8&lt;'Jul''10 Envestra'!H11,0,IF($F5*'Jul''10 Envestra'!H7/'Jul''10 Envestra'!H8&lt;='Jul''10 Envestra'!H12,($F5*'Jul''10 Envestra'!H7/'Jul''10 Envestra'!H8-'Jul''10 Envestra'!H11)*('Jul''10 Envestra'!H14/100)*'Jul''10 Envestra'!H8,('Jul''10 Envestra'!H12-'Jul''10 Envestra'!H11)*('Jul''10 Envestra'!H14/100)*'Jul''10 Envestra'!H8))</f>
        <v>0</v>
      </c>
      <c r="G31" s="59">
        <f>IF($F5*'Jul''10 Envestra'!I7/'Jul''10 Envestra'!I8&lt;'Jul''10 Envestra'!I11,0,IF($F5*'Jul''10 Envestra'!I7/'Jul''10 Envestra'!I8&lt;='Jul''10 Envestra'!I12,($F5*'Jul''10 Envestra'!I7/'Jul''10 Envestra'!I8-'Jul''10 Envestra'!I11)*('Jul''10 Envestra'!I14/100)*'Jul''10 Envestra'!I8,('Jul''10 Envestra'!I12-'Jul''10 Envestra'!I11)*('Jul''10 Envestra'!I14/100)*'Jul''10 Envestra'!I8))</f>
        <v>26.606689999999997</v>
      </c>
      <c r="H31" s="59">
        <f>IF($F5*'Jul''10 Envestra'!J7/'Jul''10 Envestra'!J8&lt;'Jul''10 Envestra'!J11,0,IF($F5*'Jul''10 Envestra'!J7/'Jul''10 Envestra'!J8&lt;='Jul''10 Envestra'!J12,($F5*'Jul''10 Envestra'!J7/'Jul''10 Envestra'!J8-'Jul''10 Envestra'!J11)*('Jul''10 Envestra'!J14/100)*'Jul''10 Envestra'!J8,('Jul''10 Envestra'!J12-'Jul''10 Envestra'!J11)*('Jul''10 Envestra'!J14/100)*'Jul''10 Envestra'!J8))</f>
        <v>30.740622000000002</v>
      </c>
      <c r="I31" s="59">
        <f>IF($F5*'Jul''10 Envestra'!K7/'Jul''10 Envestra'!K8&lt;'Jul''10 Envestra'!K11,0,IF($F5*'Jul''10 Envestra'!K7/'Jul''10 Envestra'!K8&lt;='Jul''10 Envestra'!K12,($F5*'Jul''10 Envestra'!K7/'Jul''10 Envestra'!K8-'Jul''10 Envestra'!K11)*('Jul''10 Envestra'!K14/100)*'Jul''10 Envestra'!K8,('Jul''10 Envestra'!K12-'Jul''10 Envestra'!K11)*('Jul''10 Envestra'!K14/100)*'Jul''10 Envestra'!K8))</f>
        <v>29.711536800000001</v>
      </c>
      <c r="J31" s="60"/>
    </row>
    <row r="32" spans="1:10" x14ac:dyDescent="0.15">
      <c r="A32" s="40" t="s">
        <v>606</v>
      </c>
      <c r="C32" s="59">
        <f>IF(($F5*'Jul''10 Envestra'!E7/'Jul''10 Envestra'!E8&gt;'Jul''10 Envestra'!E12),($F5*'Jul''10 Envestra'!E7/'Jul''10 Envestra'!E8-'Jul''10 Envestra'!E12)*'Jul''10 Envestra'!E15/100)*'Jul''10 Envestra'!E8</f>
        <v>0</v>
      </c>
      <c r="D32" s="59">
        <f>IF(($F5*'Jul''10 Envestra'!F7/'Jul''10 Envestra'!F8&gt;'Jul''10 Envestra'!F12),($F5*'Jul''10 Envestra'!F7/'Jul''10 Envestra'!F8-'Jul''10 Envestra'!F12)*'Jul''10 Envestra'!F15/100)*'Jul''10 Envestra'!F8</f>
        <v>0</v>
      </c>
      <c r="E32" s="59">
        <f>IF(($F5*'Jul''10 Envestra'!G7/'Jul''10 Envestra'!G8&gt;'Jul''10 Envestra'!G12),($F5*'Jul''10 Envestra'!G7/'Jul''10 Envestra'!G8-'Jul''10 Envestra'!G12)*'Jul''10 Envestra'!G15/100)*'Jul''10 Envestra'!G8</f>
        <v>0</v>
      </c>
      <c r="F32" s="59">
        <f>IF(($F5*'Jul''10 Envestra'!H7/'Jul''10 Envestra'!H8&gt;'Jul''10 Envestra'!H12),($F5*'Jul''10 Envestra'!H7/'Jul''10 Envestra'!H8-'Jul''10 Envestra'!H12)*'Jul''10 Envestra'!H15/100)*'Jul''10 Envestra'!H8</f>
        <v>26.386800000000004</v>
      </c>
      <c r="G32" s="59">
        <f>IF(($F5*'Jul''10 Envestra'!I7/'Jul''10 Envestra'!I8&gt;'Jul''10 Envestra'!I12),($F5*'Jul''10 Envestra'!I7/'Jul''10 Envestra'!I8-'Jul''10 Envestra'!I12)*'Jul''10 Envestra'!I15/100)*'Jul''10 Envestra'!I8</f>
        <v>0</v>
      </c>
      <c r="H32" s="59">
        <f>IF(($F5*'Jul''10 Envestra'!J7/'Jul''10 Envestra'!J8&gt;'Jul''10 Envestra'!J12),($F5*'Jul''10 Envestra'!J7/'Jul''10 Envestra'!J8-'Jul''10 Envestra'!J12)*'Jul''10 Envestra'!J15/100)*'Jul''10 Envestra'!J8</f>
        <v>0</v>
      </c>
      <c r="I32" s="59">
        <f>IF(($F5*'Jul''10 Envestra'!K7/'Jul''10 Envestra'!K8&gt;'Jul''10 Envestra'!K12),($F5*'Jul''10 Envestra'!K7/'Jul''10 Envestra'!K8-'Jul''10 Envestra'!K12)*'Jul''10 Envestra'!K15/100)*'Jul''10 Envestra'!K8</f>
        <v>0</v>
      </c>
      <c r="J32" s="60"/>
    </row>
    <row r="33" spans="1:10" x14ac:dyDescent="0.15">
      <c r="A33" s="40" t="s">
        <v>607</v>
      </c>
      <c r="C33" s="59">
        <f>IF($F5*'Jul''10 Envestra'!E9/'Jul''10 Envestra'!E10&gt;='Jul''10 Envestra'!E11,('Jul''10 Envestra'!E11*'Jul''10 Envestra'!E16/100)*'Jul''10 Envestra'!E10,($F5*'Jul''10 Envestra'!E9/'Jul''10 Envestra'!E10*'Jul''10 Envestra'!E16/100)*'Jul''10 Envestra'!E10)</f>
        <v>223.52</v>
      </c>
      <c r="D33" s="59">
        <f>IF($F5*'Jul''10 Envestra'!F9/'Jul''10 Envestra'!F10&gt;='Jul''10 Envestra'!F11,('Jul''10 Envestra'!F11*'Jul''10 Envestra'!F16/100)*'Jul''10 Envestra'!F10,($F5*'Jul''10 Envestra'!F9/'Jul''10 Envestra'!F10*'Jul''10 Envestra'!F16/100)*'Jul''10 Envestra'!F10)</f>
        <v>229.31040000000002</v>
      </c>
      <c r="E33" s="59">
        <f>IF($F5*'Jul''10 Envestra'!G9/'Jul''10 Envestra'!G10&gt;='Jul''10 Envestra'!G11,('Jul''10 Envestra'!G11*'Jul''10 Envestra'!G16/100)*'Jul''10 Envestra'!G10,($F5*'Jul''10 Envestra'!G9/'Jul''10 Envestra'!G10*'Jul''10 Envestra'!G16/100)*'Jul''10 Envestra'!G10)</f>
        <v>230.48</v>
      </c>
      <c r="F33" s="59">
        <f>IF($F5*'Jul''10 Envestra'!H9/'Jul''10 Envestra'!H10&gt;='Jul''10 Envestra'!H11,('Jul''10 Envestra'!H11*'Jul''10 Envestra'!H16/100)*'Jul''10 Envestra'!H10,($F5*'Jul''10 Envestra'!H9/'Jul''10 Envestra'!H10*'Jul''10 Envestra'!H16/100)*'Jul''10 Envestra'!H10)</f>
        <v>216</v>
      </c>
      <c r="G33" s="59">
        <f>IF($F5*'Jul''10 Envestra'!I9/'Jul''10 Envestra'!I10&gt;='Jul''10 Envestra'!I11,('Jul''10 Envestra'!I11*'Jul''10 Envestra'!I16/100)*'Jul''10 Envestra'!I10,($F5*'Jul''10 Envestra'!I9/'Jul''10 Envestra'!I10*'Jul''10 Envestra'!I16/100)*'Jul''10 Envestra'!I10)</f>
        <v>216.48</v>
      </c>
      <c r="H33" s="59">
        <f>IF($F5*'Jul''10 Envestra'!J9/'Jul''10 Envestra'!J10&gt;='Jul''10 Envestra'!J11,('Jul''10 Envestra'!J11*'Jul''10 Envestra'!J16/100)*'Jul''10 Envestra'!J10,($F5*'Jul''10 Envestra'!J9/'Jul''10 Envestra'!J10*'Jul''10 Envestra'!J16/100)*'Jul''10 Envestra'!J10)</f>
        <v>247.80799999999999</v>
      </c>
      <c r="I33" s="59">
        <f>IF($F5*'Jul''10 Envestra'!K9/'Jul''10 Envestra'!K10&gt;='Jul''10 Envestra'!K11,('Jul''10 Envestra'!K11*'Jul''10 Envestra'!K16/100)*'Jul''10 Envestra'!K10,($F5*'Jul''10 Envestra'!K9/'Jul''10 Envestra'!K10*'Jul''10 Envestra'!K16/100)*'Jul''10 Envestra'!K10)</f>
        <v>252.208</v>
      </c>
      <c r="J33" s="60"/>
    </row>
    <row r="34" spans="1:10" x14ac:dyDescent="0.15">
      <c r="A34" s="40" t="s">
        <v>608</v>
      </c>
      <c r="C34" s="59">
        <f>IF($F5*'Jul''10 Envestra'!E9/'Jul''10 Envestra'!E10&lt;'Jul''10 Envestra'!E11,0,IF($F5*'Jul''10 Envestra'!E9/'Jul''10 Envestra'!E10&lt;='Jul''10 Envestra'!E12,($F5*'Jul''10 Envestra'!E9/'Jul''10 Envestra'!E10-'Jul''10 Envestra'!E11)*('Jul''10 Envestra'!E17/100)*'Jul''10 Envestra'!E10,('Jul''10 Envestra'!E12-'Jul''10 Envestra'!E11)*('Jul''10 Envestra'!E17/100)*'Jul''10 Envestra'!E10))</f>
        <v>53.125423999999995</v>
      </c>
      <c r="D34" s="59">
        <f>IF($F5*'Jul''10 Envestra'!F9/'Jul''10 Envestra'!F10&lt;'Jul''10 Envestra'!F11,0,IF($F5*'Jul''10 Envestra'!F9/'Jul''10 Envestra'!F10&lt;='Jul''10 Envestra'!F12,($F5*'Jul''10 Envestra'!F9/'Jul''10 Envestra'!F10-'Jul''10 Envestra'!F11)*('Jul''10 Envestra'!F17/100)*'Jul''10 Envestra'!F10,('Jul''10 Envestra'!F12-'Jul''10 Envestra'!F11)*('Jul''10 Envestra'!F17/100)*'Jul''10 Envestra'!F10))</f>
        <v>54.713029799999994</v>
      </c>
      <c r="E34" s="59">
        <f>IF($F5*'Jul''10 Envestra'!G9/'Jul''10 Envestra'!G10&lt;'Jul''10 Envestra'!G11,0,IF($F5*'Jul''10 Envestra'!G9/'Jul''10 Envestra'!G10&lt;='Jul''10 Envestra'!G12,($F5*'Jul''10 Envestra'!G9/'Jul''10 Envestra'!G10-'Jul''10 Envestra'!G11)*('Jul''10 Envestra'!G17/100)*'Jul''10 Envestra'!G10,('Jul''10 Envestra'!G12-'Jul''10 Envestra'!G11)*('Jul''10 Envestra'!G17/100)*'Jul''10 Envestra'!G10))</f>
        <v>54.604683999999992</v>
      </c>
      <c r="F34" s="59">
        <f>IF($F5*'Jul''10 Envestra'!H9/'Jul''10 Envestra'!H10&lt;'Jul''10 Envestra'!H11,0,IF($F5*'Jul''10 Envestra'!H9/'Jul''10 Envestra'!H10&lt;='Jul''10 Envestra'!H12,($F5*'Jul''10 Envestra'!H9/'Jul''10 Envestra'!H10-'Jul''10 Envestra'!H11)*('Jul''10 Envestra'!H17/100)*'Jul''10 Envestra'!H10,('Jul''10 Envestra'!H12-'Jul''10 Envestra'!H11)*('Jul''10 Envestra'!H17/100)*'Jul''10 Envestra'!H10))</f>
        <v>0</v>
      </c>
      <c r="G34" s="59">
        <f>IF($F5*'Jul''10 Envestra'!I9/'Jul''10 Envestra'!I10&lt;'Jul''10 Envestra'!I11,0,IF($F5*'Jul''10 Envestra'!I9/'Jul''10 Envestra'!I10&lt;='Jul''10 Envestra'!I12,($F5*'Jul''10 Envestra'!I9/'Jul''10 Envestra'!I10-'Jul''10 Envestra'!I11)*('Jul''10 Envestra'!I17/100)*'Jul''10 Envestra'!I10,('Jul''10 Envestra'!I12-'Jul''10 Envestra'!I11)*('Jul''10 Envestra'!I17/100)*'Jul''10 Envestra'!I10))</f>
        <v>51.454259999999998</v>
      </c>
      <c r="H34" s="59">
        <f>IF($F5*'Jul''10 Envestra'!J9/'Jul''10 Envestra'!J10&lt;'Jul''10 Envestra'!J11,0,IF($F5*'Jul''10 Envestra'!J9/'Jul''10 Envestra'!J10&lt;='Jul''10 Envestra'!J12,($F5*'Jul''10 Envestra'!J9/'Jul''10 Envestra'!J10-'Jul''10 Envestra'!J11)*('Jul''10 Envestra'!J17/100)*'Jul''10 Envestra'!J10,('Jul''10 Envestra'!J12-'Jul''10 Envestra'!J11)*('Jul''10 Envestra'!J17/100)*'Jul''10 Envestra'!J10))</f>
        <v>59.59019</v>
      </c>
      <c r="I34" s="59">
        <f>IF($F5*'Jul''10 Envestra'!K9/'Jul''10 Envestra'!K10&lt;'Jul''10 Envestra'!K11,0,IF($F5*'Jul''10 Envestra'!K9/'Jul''10 Envestra'!K10&lt;='Jul''10 Envestra'!K12,($F5*'Jul''10 Envestra'!K9/'Jul''10 Envestra'!K10-'Jul''10 Envestra'!K11)*('Jul''10 Envestra'!K17/100)*'Jul''10 Envestra'!K10,('Jul''10 Envestra'!K12-'Jul''10 Envestra'!K11)*('Jul''10 Envestra'!K17/100)*'Jul''10 Envestra'!K10))</f>
        <v>57.575997600000008</v>
      </c>
      <c r="J34" s="61"/>
    </row>
    <row r="35" spans="1:10" x14ac:dyDescent="0.15">
      <c r="A35" s="40" t="s">
        <v>611</v>
      </c>
      <c r="C35" s="59">
        <f>IF(($F5*'Jul''10 Envestra'!E9/'Jul''10 Envestra'!E10&gt;'Jul''10 Envestra'!E12),($F5*'Jul''10 Envestra'!E9/'Jul''10 Envestra'!E10-'Jul''10 Envestra'!E12)*'Jul''10 Envestra'!E18/100)*'Jul''10 Envestra'!E10</f>
        <v>0</v>
      </c>
      <c r="D35" s="59">
        <f>IF(($F5*'Jul''10 Envestra'!F9/'Jul''10 Envestra'!F10&gt;'Jul''10 Envestra'!F12),($F5*'Jul''10 Envestra'!F9/'Jul''10 Envestra'!F10-'Jul''10 Envestra'!F12)*'Jul''10 Envestra'!F18/100)*'Jul''10 Envestra'!F10</f>
        <v>0</v>
      </c>
      <c r="E35" s="59">
        <f>IF(($F5*'Jul''10 Envestra'!G9/'Jul''10 Envestra'!G10&gt;'Jul''10 Envestra'!G12),($F5*'Jul''10 Envestra'!G9/'Jul''10 Envestra'!G10-'Jul''10 Envestra'!G12)*'Jul''10 Envestra'!G18/100)*'Jul''10 Envestra'!G10</f>
        <v>0</v>
      </c>
      <c r="F35" s="59">
        <f>IF(($F5*'Jul''10 Envestra'!H9/'Jul''10 Envestra'!H10&gt;'Jul''10 Envestra'!H12),($F5*'Jul''10 Envestra'!H9/'Jul''10 Envestra'!H10-'Jul''10 Envestra'!H12)*'Jul''10 Envestra'!H18/100)*'Jul''10 Envestra'!H10</f>
        <v>51.574199999999998</v>
      </c>
      <c r="G35" s="59">
        <f>IF(($F5*'Jul''10 Envestra'!I9/'Jul''10 Envestra'!I10&gt;'Jul''10 Envestra'!I12),($F5*'Jul''10 Envestra'!I9/'Jul''10 Envestra'!I10-'Jul''10 Envestra'!I12)*'Jul''10 Envestra'!I18/100)*'Jul''10 Envestra'!I10</f>
        <v>0</v>
      </c>
      <c r="H35" s="59">
        <f>IF(($F5*'Jul''10 Envestra'!J9/'Jul''10 Envestra'!J10&gt;'Jul''10 Envestra'!J12),($F5*'Jul''10 Envestra'!J9/'Jul''10 Envestra'!J10-'Jul''10 Envestra'!J12)*'Jul''10 Envestra'!J18/100)*'Jul''10 Envestra'!J10</f>
        <v>0</v>
      </c>
      <c r="I35" s="59">
        <f>IF(($F5*'Jul''10 Envestra'!K9/'Jul''10 Envestra'!K10&gt;'Jul''10 Envestra'!K12),($F5*'Jul''10 Envestra'!K9/'Jul''10 Envestra'!K10-'Jul''10 Envestra'!K12)*'Jul''10 Envestra'!K18/100)*'Jul''10 Envestra'!K10</f>
        <v>0</v>
      </c>
      <c r="J35" s="60"/>
    </row>
    <row r="36" spans="1:10" x14ac:dyDescent="0.15">
      <c r="A36" s="40" t="s">
        <v>612</v>
      </c>
      <c r="C36" s="59">
        <f>365*'Jul''10 Envestra'!E19/100</f>
        <v>169.39285000000001</v>
      </c>
      <c r="D36" s="59">
        <f>365*'Jul''10 Envestra'!F19/100</f>
        <v>174.57220000000001</v>
      </c>
      <c r="E36" s="59">
        <f>365*'Jul''10 Envestra'!G19/100</f>
        <v>173.375</v>
      </c>
      <c r="F36" s="59">
        <f>365*'Jul''10 Envestra'!H19/100</f>
        <v>169.3235</v>
      </c>
      <c r="G36" s="59">
        <f>365*'Jul''10 Envestra'!I19/100</f>
        <v>160.27879999999999</v>
      </c>
      <c r="H36" s="59">
        <f>365*'Jul''10 Envestra'!J19/100</f>
        <v>189.8</v>
      </c>
      <c r="I36" s="59">
        <f>365*'Jul''10 Envestra'!K19/100</f>
        <v>238.04934999999998</v>
      </c>
      <c r="J36" s="60">
        <f>AVERAGE(C36:I36)</f>
        <v>182.1131</v>
      </c>
    </row>
    <row r="37" spans="1:10" x14ac:dyDescent="0.15">
      <c r="A37" s="62" t="s">
        <v>613</v>
      </c>
      <c r="B37" s="63"/>
      <c r="C37" s="61">
        <f>SUM(C30:C36)</f>
        <v>590.32255700000007</v>
      </c>
      <c r="D37" s="61">
        <f t="shared" ref="D37:I37" si="2">SUM(D30:D36)</f>
        <v>606.67009589999998</v>
      </c>
      <c r="E37" s="61">
        <f t="shared" si="2"/>
        <v>607.18749300000002</v>
      </c>
      <c r="F37" s="61">
        <f t="shared" si="2"/>
        <v>575.28449999999998</v>
      </c>
      <c r="G37" s="61">
        <f t="shared" si="2"/>
        <v>567.45974999999999</v>
      </c>
      <c r="H37" s="61">
        <f t="shared" si="2"/>
        <v>657.65081200000009</v>
      </c>
      <c r="I37" s="61">
        <f t="shared" si="2"/>
        <v>706.21848439999997</v>
      </c>
      <c r="J37" s="64">
        <f>AVERAGE(C37:I37)</f>
        <v>615.82767032857134</v>
      </c>
    </row>
    <row r="39" spans="1:10" x14ac:dyDescent="0.15">
      <c r="A39" s="53" t="s">
        <v>488</v>
      </c>
      <c r="C39" s="23" t="s">
        <v>1044</v>
      </c>
      <c r="D39" s="23" t="s">
        <v>591</v>
      </c>
      <c r="E39" s="23" t="s">
        <v>555</v>
      </c>
      <c r="F39" s="23" t="s">
        <v>544</v>
      </c>
      <c r="G39" s="23" t="s">
        <v>514</v>
      </c>
      <c r="H39" s="23" t="s">
        <v>615</v>
      </c>
      <c r="I39" s="23" t="s">
        <v>441</v>
      </c>
      <c r="J39" s="57" t="s">
        <v>601</v>
      </c>
    </row>
    <row r="40" spans="1:10" x14ac:dyDescent="0.15">
      <c r="A40" s="40" t="s">
        <v>602</v>
      </c>
      <c r="C40" s="59">
        <f>IF($F5*'Jul''10 Envestra'!E23/'Jul''10 Envestra'!E24&gt;='Jul''10 Envestra'!E27,('Jul''10 Envestra'!E27*'Jul''10 Envestra'!E28/100)*'Jul''10 Envestra'!E24,($F5*'Jul''10 Envestra'!E23/'Jul''10 Envestra'!E24*'Jul''10 Envestra'!E28/100)*'Jul''10 Envestra'!E24)</f>
        <v>92.575999999999979</v>
      </c>
      <c r="D40" s="59">
        <f>IF($F5*'Jul''10 Envestra'!F23/'Jul''10 Envestra'!F24&gt;='Jul''10 Envestra'!F27,('Jul''10 Envestra'!F27*'Jul''10 Envestra'!F28/100)*'Jul''10 Envestra'!F24,($F5*'Jul''10 Envestra'!F23/'Jul''10 Envestra'!F24*'Jul''10 Envestra'!F28/100)*'Jul''10 Envestra'!F24)</f>
        <v>93.561599999999999</v>
      </c>
      <c r="E40" s="59">
        <f>IF($F5*'Jul''10 Envestra'!G23/'Jul''10 Envestra'!G24&gt;='Jul''10 Envestra'!G27,('Jul''10 Envestra'!G27*'Jul''10 Envestra'!G28/100)*'Jul''10 Envestra'!G24,($F5*'Jul''10 Envestra'!G23/'Jul''10 Envestra'!G24*'Jul''10 Envestra'!G28/100)*'Jul''10 Envestra'!G24)</f>
        <v>92.191999999999993</v>
      </c>
      <c r="F40" s="59">
        <f>IF($F5*'Jul''10 Envestra'!H23/'Jul''10 Envestra'!H24&gt;='Jul''10 Envestra'!H27,('Jul''10 Envestra'!H27*'Jul''10 Envestra'!H28/100)*'Jul''10 Envestra'!H24,($F5*'Jul''10 Envestra'!H23/'Jul''10 Envestra'!H24*'Jul''10 Envestra'!H28/100)*'Jul''10 Envestra'!H24)</f>
        <v>87.04</v>
      </c>
      <c r="G40" s="59">
        <f>IF($F5*'Jul''10 Envestra'!I23/'Jul''10 Envestra'!I24&gt;='Jul''10 Envestra'!I27,('Jul''10 Envestra'!I27*'Jul''10 Envestra'!I28/100)*'Jul''10 Envestra'!I24,($F5*'Jul''10 Envestra'!I23/'Jul''10 Envestra'!I24*'Jul''10 Envestra'!I28/100)*'Jul''10 Envestra'!I24)</f>
        <v>87.296000000000006</v>
      </c>
      <c r="H40" s="59">
        <f>IF($F5*'Jul''10 Envestra'!J23/'Jul''10 Envestra'!J24&gt;='Jul''10 Envestra'!J27,('Jul''10 Envestra'!J27*'Jul''10 Envestra'!J28/100)*'Jul''10 Envestra'!J24,($F5*'Jul''10 Envestra'!J23/'Jul''10 Envestra'!J24*'Jul''10 Envestra'!J28/100)*'Jul''10 Envestra'!J24)</f>
        <v>101.23520000000001</v>
      </c>
      <c r="I40" s="59">
        <f>IF($F5*'Jul''10 Envestra'!K23/'Jul''10 Envestra'!K24&gt;='Jul''10 Envestra'!K27,('Jul''10 Envestra'!K27*'Jul''10 Envestra'!K28/100)*'Jul''10 Envestra'!K24,($F5*'Jul''10 Envestra'!K23/'Jul''10 Envestra'!K24*'Jul''10 Envestra'!K28/100)*'Jul''10 Envestra'!K24)</f>
        <v>106.00127999999999</v>
      </c>
      <c r="J40" s="60"/>
    </row>
    <row r="41" spans="1:10" x14ac:dyDescent="0.15">
      <c r="A41" s="40" t="s">
        <v>606</v>
      </c>
      <c r="C41" s="59">
        <f>IF(($F5*'Jul''10 Envestra'!E23/'Jul''10 Envestra'!E24&gt;'Jul''10 Envestra'!E27)*'Jul''10 Envestra'!E24,($F5*'Jul''10 Envestra'!E23/'Jul''10 Envestra'!E24-'Jul''10 Envestra'!E27)*'Jul''10 Envestra'!E29/100)*'Jul''10 Envestra'!E24</f>
        <v>45.883651</v>
      </c>
      <c r="D41" s="59">
        <f>IF(($F5*'Jul''10 Envestra'!F23/'Jul''10 Envestra'!F24&gt;'Jul''10 Envestra'!F27)*'Jul''10 Envestra'!F24,($F5*'Jul''10 Envestra'!F23/'Jul''10 Envestra'!F24-'Jul''10 Envestra'!F27)*'Jul''10 Envestra'!F29/100)*'Jul''10 Envestra'!F24</f>
        <v>46.429979199999998</v>
      </c>
      <c r="E41" s="59">
        <f>IF(($F5*'Jul''10 Envestra'!G23/'Jul''10 Envestra'!G24&gt;'Jul''10 Envestra'!G27)*'Jul''10 Envestra'!G24,($F5*'Jul''10 Envestra'!G23/'Jul''10 Envestra'!G24-'Jul''10 Envestra'!G27)*'Jul''10 Envestra'!G29/100)*'Jul''10 Envestra'!G24</f>
        <v>46.081595999999998</v>
      </c>
      <c r="F41" s="59">
        <f>IF(($F5*'Jul''10 Envestra'!H23/'Jul''10 Envestra'!H24&gt;'Jul''10 Envestra'!H27)*'Jul''10 Envestra'!H24,($F5*'Jul''10 Envestra'!H23/'Jul''10 Envestra'!H24-'Jul''10 Envestra'!H27)*'Jul''10 Envestra'!H29/100)*'Jul''10 Envestra'!H24</f>
        <v>43.188000000000002</v>
      </c>
      <c r="G41" s="59">
        <f>IF(($F5*'Jul''10 Envestra'!I23/'Jul''10 Envestra'!I24&gt;'Jul''10 Envestra'!I27)*'Jul''10 Envestra'!I24,($F5*'Jul''10 Envestra'!I23/'Jul''10 Envestra'!I24-'Jul''10 Envestra'!I27)*'Jul''10 Envestra'!I29/100)*'Jul''10 Envestra'!I24</f>
        <v>43.547899999999998</v>
      </c>
      <c r="H41" s="59">
        <f>IF(($F5*'Jul''10 Envestra'!J23/'Jul''10 Envestra'!J24&gt;'Jul''10 Envestra'!J27)*'Jul''10 Envestra'!J24,($F5*'Jul''10 Envestra'!J23/'Jul''10 Envestra'!J24-'Jul''10 Envestra'!J27)*'Jul''10 Envestra'!J29/100)*'Jul''10 Envestra'!J24</f>
        <v>50.198851999999995</v>
      </c>
      <c r="I41" s="59">
        <f>IF(($F5*'Jul''10 Envestra'!K23/'Jul''10 Envestra'!K24&gt;'Jul''10 Envestra'!K27)*'Jul''10 Envestra'!K24,($F5*'Jul''10 Envestra'!K23/'Jul''10 Envestra'!K24-'Jul''10 Envestra'!K27)*'Jul''10 Envestra'!K29/100)*'Jul''10 Envestra'!K24</f>
        <v>50.713509000000002</v>
      </c>
      <c r="J41" s="60"/>
    </row>
    <row r="42" spans="1:10" x14ac:dyDescent="0.15">
      <c r="A42" s="40" t="s">
        <v>607</v>
      </c>
      <c r="C42" s="59">
        <f>IF($F5*'Jul''10 Envestra'!E25/'Jul''10 Envestra'!E26&gt;='Jul''10 Envestra'!E27,('Jul''10 Envestra'!E27*'Jul''10 Envestra'!E30/100)*'Jul''10 Envestra'!E26,($F5*'Jul''10 Envestra'!E25/'Jul''10 Envestra'!E26*'Jul''10 Envestra'!E30/100)*'Jul''10 Envestra'!E26)</f>
        <v>173.60640000000001</v>
      </c>
      <c r="D42" s="59">
        <f>IF($F5*'Jul''10 Envestra'!F25/'Jul''10 Envestra'!F26&gt;='Jul''10 Envestra'!F27,('Jul''10 Envestra'!F27*'Jul''10 Envestra'!F30/100)*'Jul''10 Envestra'!F26,($F5*'Jul''10 Envestra'!F25/'Jul''10 Envestra'!F26*'Jul''10 Envestra'!F30/100)*'Jul''10 Envestra'!F26)</f>
        <v>175.74655999999999</v>
      </c>
      <c r="E42" s="59">
        <f>IF($F5*'Jul''10 Envestra'!G25/'Jul''10 Envestra'!G26&gt;='Jul''10 Envestra'!G27,('Jul''10 Envestra'!G27*'Jul''10 Envestra'!G30/100)*'Jul''10 Envestra'!G26,($F5*'Jul''10 Envestra'!G25/'Jul''10 Envestra'!G26*'Jul''10 Envestra'!G30/100)*'Jul''10 Envestra'!G26)</f>
        <v>173.4528</v>
      </c>
      <c r="F42" s="59">
        <f>IF($F5*'Jul''10 Envestra'!H25/'Jul''10 Envestra'!H26&gt;='Jul''10 Envestra'!H27,('Jul''10 Envestra'!H27*'Jul''10 Envestra'!H30/100)*'Jul''10 Envestra'!H26,($F5*'Jul''10 Envestra'!H25/'Jul''10 Envestra'!H26*'Jul''10 Envestra'!H30/100)*'Jul''10 Envestra'!H26)</f>
        <v>162.56</v>
      </c>
      <c r="G42" s="59">
        <f>IF($F5*'Jul''10 Envestra'!I25/'Jul''10 Envestra'!I26&gt;='Jul''10 Envestra'!I27,('Jul''10 Envestra'!I27*'Jul''10 Envestra'!I30/100)*'Jul''10 Envestra'!I26,($F5*'Jul''10 Envestra'!I25/'Jul''10 Envestra'!I26*'Jul''10 Envestra'!I30/100)*'Jul''10 Envestra'!I26)</f>
        <v>164.73599999999999</v>
      </c>
      <c r="H42" s="59">
        <f>IF($F5*'Jul''10 Envestra'!J25/'Jul''10 Envestra'!J26&gt;='Jul''10 Envestra'!J27,('Jul''10 Envestra'!J27*'Jul''10 Envestra'!J30/100)*'Jul''10 Envestra'!J26,($F5*'Jul''10 Envestra'!J25/'Jul''10 Envestra'!J26*'Jul''10 Envestra'!J30/100)*'Jul''10 Envestra'!J26)</f>
        <v>189.79840000000002</v>
      </c>
      <c r="I42" s="59">
        <f>IF($F5*'Jul''10 Envestra'!K25/'Jul''10 Envestra'!K26&gt;='Jul''10 Envestra'!K27,('Jul''10 Envestra'!K27*'Jul''10 Envestra'!K30/100)*'Jul''10 Envestra'!K26,($F5*'Jul''10 Envestra'!K25/'Jul''10 Envestra'!K26*'Jul''10 Envestra'!K30/100)*'Jul''10 Envestra'!K26)</f>
        <v>207.28576000000001</v>
      </c>
      <c r="J42" s="60"/>
    </row>
    <row r="43" spans="1:10" x14ac:dyDescent="0.15">
      <c r="A43" s="40" t="s">
        <v>608</v>
      </c>
      <c r="C43" s="59">
        <f>IF(($F5*'Jul''10 Envestra'!E25/'Jul''10 Envestra'!E26&gt;'Jul''10 Envestra'!E27),($F5*'Jul''10 Envestra'!E25/'Jul''10 Envestra'!E26-'Jul''10 Envestra'!E27)*'Jul''10 Envestra'!E31/100)*'Jul''10 Envestra'!E26</f>
        <v>87.17497800000001</v>
      </c>
      <c r="D43" s="59">
        <f>IF(($F5*'Jul''10 Envestra'!F25/'Jul''10 Envestra'!F26&gt;'Jul''10 Envestra'!F27),($F5*'Jul''10 Envestra'!F25/'Jul''10 Envestra'!F26-'Jul''10 Envestra'!F27)*'Jul''10 Envestra'!F31/100)*'Jul''10 Envestra'!F26</f>
        <v>88.172620800000004</v>
      </c>
      <c r="E43" s="59">
        <f>IF(($F5*'Jul''10 Envestra'!G25/'Jul''10 Envestra'!G26&gt;'Jul''10 Envestra'!G27),($F5*'Jul''10 Envestra'!G25/'Jul''10 Envestra'!G26-'Jul''10 Envestra'!G27)*'Jul''10 Envestra'!G31/100)*'Jul''10 Envestra'!G26</f>
        <v>86.786286000000004</v>
      </c>
      <c r="F43" s="59">
        <f>IF(($F5*'Jul''10 Envestra'!H25/'Jul''10 Envestra'!H26&gt;'Jul''10 Envestra'!H27),($F5*'Jul''10 Envestra'!H25/'Jul''10 Envestra'!H26-'Jul''10 Envestra'!H27)*'Jul''10 Envestra'!H31/100)*'Jul''10 Envestra'!H26</f>
        <v>82.057199999999995</v>
      </c>
      <c r="G43" s="59">
        <f>IF(($F5*'Jul''10 Envestra'!I25/'Jul''10 Envestra'!I26&gt;'Jul''10 Envestra'!I27),($F5*'Jul''10 Envestra'!I25/'Jul''10 Envestra'!I26-'Jul''10 Envestra'!I27)*'Jul''10 Envestra'!I31/100)*'Jul''10 Envestra'!I26</f>
        <v>83.136900000000011</v>
      </c>
      <c r="H43" s="59">
        <f>IF(($F5*'Jul''10 Envestra'!J25/'Jul''10 Envestra'!J26&gt;'Jul''10 Envestra'!J27),($F5*'Jul''10 Envestra'!J25/'Jul''10 Envestra'!J26-'Jul''10 Envestra'!J27)*'Jul''10 Envestra'!J31/100)*'Jul''10 Envestra'!J26</f>
        <v>95.251134000000008</v>
      </c>
      <c r="I43" s="59">
        <f>IF(($F5*'Jul''10 Envestra'!K25/'Jul''10 Envestra'!K26&gt;'Jul''10 Envestra'!K27),($F5*'Jul''10 Envestra'!K25/'Jul''10 Envestra'!K26-'Jul''10 Envestra'!K27)*'Jul''10 Envestra'!K31/100)*'Jul''10 Envestra'!K26</f>
        <v>98.592445600000005</v>
      </c>
      <c r="J43" s="60"/>
    </row>
    <row r="44" spans="1:10" x14ac:dyDescent="0.15">
      <c r="A44" s="40" t="s">
        <v>612</v>
      </c>
      <c r="C44" s="59">
        <f>365*'Jul''10 Envestra'!E32/100</f>
        <v>169.3527</v>
      </c>
      <c r="D44" s="59">
        <f>365*'Jul''10 Envestra'!F32/100</f>
        <v>168.91104999999999</v>
      </c>
      <c r="E44" s="59">
        <f>365*'Jul''10 Envestra'!G32/100</f>
        <v>166.80500000000001</v>
      </c>
      <c r="F44" s="59">
        <f>365*'Jul''10 Envestra'!H32/100</f>
        <v>164.83399999999997</v>
      </c>
      <c r="G44" s="59">
        <f>365*'Jul''10 Envestra'!I32/100</f>
        <v>156.70545000000001</v>
      </c>
      <c r="H44" s="59">
        <f>365*'Jul''10 Envestra'!J32/100</f>
        <v>182.5</v>
      </c>
      <c r="I44" s="59">
        <f>365*'Jul''10 Envestra'!K32/100</f>
        <v>213.59800000000004</v>
      </c>
      <c r="J44" s="65">
        <f>AVERAGE(C44:I44)</f>
        <v>174.67231428571429</v>
      </c>
    </row>
    <row r="45" spans="1:10" x14ac:dyDescent="0.15">
      <c r="A45" s="62" t="s">
        <v>613</v>
      </c>
      <c r="B45" s="63"/>
      <c r="C45" s="61">
        <f>SUM(C40:C44)</f>
        <v>568.59372900000005</v>
      </c>
      <c r="D45" s="61">
        <f t="shared" ref="D45:I45" si="3">SUM(D40:D44)</f>
        <v>572.82180999999991</v>
      </c>
      <c r="E45" s="61">
        <f t="shared" si="3"/>
        <v>565.3176820000001</v>
      </c>
      <c r="F45" s="61">
        <f t="shared" si="3"/>
        <v>539.67919999999992</v>
      </c>
      <c r="G45" s="61">
        <f t="shared" si="3"/>
        <v>535.42225000000008</v>
      </c>
      <c r="H45" s="61">
        <f t="shared" si="3"/>
        <v>618.98358600000006</v>
      </c>
      <c r="I45" s="61">
        <f t="shared" si="3"/>
        <v>676.19099460000007</v>
      </c>
      <c r="J45" s="64">
        <f>AVERAGE(C45:I45)</f>
        <v>582.4298930857143</v>
      </c>
    </row>
    <row r="47" spans="1:10" x14ac:dyDescent="0.15">
      <c r="A47" s="53" t="s">
        <v>1028</v>
      </c>
      <c r="C47" s="23" t="s">
        <v>1044</v>
      </c>
      <c r="D47" s="23" t="s">
        <v>591</v>
      </c>
      <c r="E47" s="23" t="s">
        <v>555</v>
      </c>
      <c r="F47" s="23" t="s">
        <v>544</v>
      </c>
      <c r="G47" s="23" t="s">
        <v>514</v>
      </c>
      <c r="H47" s="23" t="s">
        <v>615</v>
      </c>
      <c r="I47" s="23" t="s">
        <v>441</v>
      </c>
      <c r="J47" s="57" t="s">
        <v>601</v>
      </c>
    </row>
    <row r="48" spans="1:10" x14ac:dyDescent="0.15">
      <c r="A48" s="40" t="s">
        <v>602</v>
      </c>
      <c r="C48" s="59">
        <f>IF($F5*'Jul''10 Envestra'!E36/'Jul''10 Envestra'!E37&gt;='Jul''10 Envestra'!E40,('Jul''10 Envestra'!E40*'Jul''10 Envestra'!E42/100)*'Jul''10 Envestra'!E37,($F5*'Jul''10 Envestra'!E36/'Jul''10 Envestra'!E37*'Jul''10 Envestra'!E42/100)*'Jul''10 Envestra'!E37)</f>
        <v>115.36799999999999</v>
      </c>
      <c r="D48" s="59">
        <f>IF($F5*'Jul''10 Envestra'!F36/'Jul''10 Envestra'!F37&gt;='Jul''10 Envestra'!F40,('Jul''10 Envestra'!F40*'Jul''10 Envestra'!F42/100)*'Jul''10 Envestra'!F37,($F5*'Jul''10 Envestra'!F36/'Jul''10 Envestra'!F37*'Jul''10 Envestra'!F42/100)*'Jul''10 Envestra'!F37)</f>
        <v>121.9504</v>
      </c>
      <c r="E48" s="59">
        <f>IF($F5*'Jul''10 Envestra'!G36/'Jul''10 Envestra'!G37&gt;='Jul''10 Envestra'!G40,('Jul''10 Envestra'!G40*'Jul''10 Envestra'!G42/100)*'Jul''10 Envestra'!G37,($F5*'Jul''10 Envestra'!G36/'Jul''10 Envestra'!G37*'Jul''10 Envestra'!G42/100)*'Jul''10 Envestra'!G37)</f>
        <v>120.36</v>
      </c>
      <c r="F48" s="59">
        <f>IF($F5*'Jul''10 Envestra'!H36/'Jul''10 Envestra'!H37&gt;='Jul''10 Envestra'!H40,('Jul''10 Envestra'!H40*'Jul''10 Envestra'!H42/100)*'Jul''10 Envestra'!H37,($F5*'Jul''10 Envestra'!H36/'Jul''10 Envestra'!H37*'Jul''10 Envestra'!H42/100)*'Jul''10 Envestra'!H37)</f>
        <v>111.2</v>
      </c>
      <c r="G48" s="59">
        <f>IF($F5*'Jul''10 Envestra'!I36/'Jul''10 Envestra'!I37&gt;='Jul''10 Envestra'!I40,('Jul''10 Envestra'!I40*'Jul''10 Envestra'!I42/100)*'Jul''10 Envestra'!I37,($F5*'Jul''10 Envestra'!I36/'Jul''10 Envestra'!I37*'Jul''10 Envestra'!I42/100)*'Jul''10 Envestra'!I37)</f>
        <v>131.91200000000001</v>
      </c>
      <c r="H48" s="59">
        <f>IF($F5*'Jul''10 Envestra'!J36/'Jul''10 Envestra'!J37&gt;='Jul''10 Envestra'!J40,('Jul''10 Envestra'!J40*'Jul''10 Envestra'!J42/100)*'Jul''10 Envestra'!J37,($F5*'Jul''10 Envestra'!J36/'Jul''10 Envestra'!J37*'Jul''10 Envestra'!J42/100)*'Jul''10 Envestra'!J37)</f>
        <v>121</v>
      </c>
      <c r="I48" s="59">
        <f>IF($F5*'Jul''10 Envestra'!K36/'Jul''10 Envestra'!K37&gt;='Jul''10 Envestra'!K40,('Jul''10 Envestra'!K40*'Jul''10 Envestra'!K42/100)*'Jul''10 Envestra'!K37,($F5*'Jul''10 Envestra'!K36/'Jul''10 Envestra'!K37*'Jul''10 Envestra'!K42/100)*'Jul''10 Envestra'!K37)</f>
        <v>133.06399999999999</v>
      </c>
      <c r="J48" s="60"/>
    </row>
    <row r="49" spans="1:10" x14ac:dyDescent="0.15">
      <c r="A49" s="40" t="s">
        <v>603</v>
      </c>
      <c r="C49" s="59">
        <f>IF($F5*'Jul''10 Envestra'!E36/'Jul''10 Envestra'!E37&lt;'Jul''10 Envestra'!E40,0,IF($F5*'Jul''10 Envestra'!E36/'Jul''10 Envestra'!E37&lt;='Jul''10 Envestra'!E41,($F5*'Jul''10 Envestra'!E36/'Jul''10 Envestra'!E37-'Jul''10 Envestra'!E40)*('Jul''10 Envestra'!E43/100)* 'Jul''10 Envestra'!E37,('Jul''10 Envestra'!E41-'Jul''10 Envestra'!E40)*('Jul''10 Envestra'!E43/100)* 'Jul''10 Envestra'!E37))</f>
        <v>25.265361000000002</v>
      </c>
      <c r="D49" s="59">
        <f>IF($F5*'Jul''10 Envestra'!F36/'Jul''10 Envestra'!F37&lt;'Jul''10 Envestra'!F40,0,IF($F5*'Jul''10 Envestra'!F36/'Jul''10 Envestra'!F37&lt;='Jul''10 Envestra'!F41,($F5*'Jul''10 Envestra'!F36/'Jul''10 Envestra'!F37-'Jul''10 Envestra'!F40)*('Jul''10 Envestra'!F43/100)* 'Jul''10 Envestra'!F37,('Jul''10 Envestra'!F41-'Jul''10 Envestra'!F40)*('Jul''10 Envestra'!F43/100)* 'Jul''10 Envestra'!F37))</f>
        <v>26.773806400000002</v>
      </c>
      <c r="E49" s="59">
        <f>IF($F5*'Jul''10 Envestra'!G36/'Jul''10 Envestra'!G37&lt;'Jul''10 Envestra'!G40,0,IF($F5*'Jul''10 Envestra'!G36/'Jul''10 Envestra'!G37&lt;='Jul''10 Envestra'!G41,($F5*'Jul''10 Envestra'!G36/'Jul''10 Envestra'!G37-'Jul''10 Envestra'!G40)*('Jul''10 Envestra'!G43/100)* 'Jul''10 Envestra'!G37,('Jul''10 Envestra'!G41-'Jul''10 Envestra'!G40)*('Jul''10 Envestra'!G43/100)* 'Jul''10 Envestra'!G37))</f>
        <v>26.448768999999999</v>
      </c>
      <c r="F49" s="59">
        <f>IF($F5*'Jul''10 Envestra'!H36/'Jul''10 Envestra'!H37&lt;'Jul''10 Envestra'!H40,0,IF($F5*'Jul''10 Envestra'!H36/'Jul''10 Envestra'!H37&lt;='Jul''10 Envestra'!H41,($F5*'Jul''10 Envestra'!H36/'Jul''10 Envestra'!H37-'Jul''10 Envestra'!H40)*('Jul''10 Envestra'!H43/100)* 'Jul''10 Envestra'!H37,('Jul''10 Envestra'!H41-'Jul''10 Envestra'!H40)*('Jul''10 Envestra'!H43/100)* 'Jul''10 Envestra'!H37))</f>
        <v>0</v>
      </c>
      <c r="G49" s="59">
        <f>IF($F5*'Jul''10 Envestra'!I36/'Jul''10 Envestra'!I37&lt;'Jul''10 Envestra'!I40,0,IF($F5*'Jul''10 Envestra'!I36/'Jul''10 Envestra'!I37&lt;='Jul''10 Envestra'!I41,($F5*'Jul''10 Envestra'!I36/'Jul''10 Envestra'!I37-'Jul''10 Envestra'!I40)*('Jul''10 Envestra'!I43/100)* 'Jul''10 Envestra'!I37,('Jul''10 Envestra'!I41-'Jul''10 Envestra'!I40)*('Jul''10 Envestra'!I43/100)* 'Jul''10 Envestra'!I37))</f>
        <v>29.179403000000001</v>
      </c>
      <c r="H49" s="59">
        <f>IF($F5*'Jul''10 Envestra'!J36/'Jul''10 Envestra'!J37&lt;'Jul''10 Envestra'!J40,0,IF($F5*'Jul''10 Envestra'!J36/'Jul''10 Envestra'!J37&lt;='Jul''10 Envestra'!J41,($F5*'Jul''10 Envestra'!J36/'Jul''10 Envestra'!J37-'Jul''10 Envestra'!J40)*('Jul''10 Envestra'!J43/100)* 'Jul''10 Envestra'!J37,('Jul''10 Envestra'!J41-'Jul''10 Envestra'!J40)*('Jul''10 Envestra'!J43/100)* 'Jul''10 Envestra'!J37))</f>
        <v>26.760612999999999</v>
      </c>
      <c r="I49" s="59">
        <f>IF($F5*'Jul''10 Envestra'!K36/'Jul''10 Envestra'!K37&lt;'Jul''10 Envestra'!K40,0,IF($F5*'Jul''10 Envestra'!K36/'Jul''10 Envestra'!K37&lt;='Jul''10 Envestra'!K41,($F5*'Jul''10 Envestra'!K36/'Jul''10 Envestra'!K37-'Jul''10 Envestra'!K40)*('Jul''10 Envestra'!K43/100)* 'Jul''10 Envestra'!K37,('Jul''10 Envestra'!K41-'Jul''10 Envestra'!K40)*('Jul''10 Envestra'!K43/100)* 'Jul''10 Envestra'!K37))</f>
        <v>27.900042999999997</v>
      </c>
      <c r="J49" s="60"/>
    </row>
    <row r="50" spans="1:10" x14ac:dyDescent="0.15">
      <c r="A50" s="40" t="s">
        <v>606</v>
      </c>
      <c r="C50" s="59">
        <f>IF(($F5*'Jul''10 Envestra'!E36/'Jul''10 Envestra'!E37&gt;'Jul''10 Envestra'!E41),($F5*'Jul''10 Envestra'!E36/'Jul''10 Envestra'!E37-'Jul''10 Envestra'!E41)*'Jul''10 Envestra'!E44/100)* 'Jul''10 Envestra'!E37</f>
        <v>0</v>
      </c>
      <c r="D50" s="59">
        <f>IF(($F5*'Jul''10 Envestra'!F36/'Jul''10 Envestra'!F37&gt;'Jul''10 Envestra'!F41),($F5*'Jul''10 Envestra'!F36/'Jul''10 Envestra'!F37-'Jul''10 Envestra'!F41)*'Jul''10 Envestra'!F44/100)* 'Jul''10 Envestra'!F37</f>
        <v>0</v>
      </c>
      <c r="E50" s="59">
        <f>IF(($F5*'Jul''10 Envestra'!G36/'Jul''10 Envestra'!G37&gt;'Jul''10 Envestra'!G41),($F5*'Jul''10 Envestra'!G36/'Jul''10 Envestra'!G37-'Jul''10 Envestra'!G41)*'Jul''10 Envestra'!G44/100)* 'Jul''10 Envestra'!G37</f>
        <v>0</v>
      </c>
      <c r="F50" s="59">
        <f>IF(($F5*'Jul''10 Envestra'!H36/'Jul''10 Envestra'!H37&gt;'Jul''10 Envestra'!H41),($F5*'Jul''10 Envestra'!H36/'Jul''10 Envestra'!H37-'Jul''10 Envestra'!H41)*'Jul''10 Envestra'!H44/100)* 'Jul''10 Envestra'!H37</f>
        <v>24.187899999999999</v>
      </c>
      <c r="G50" s="59">
        <f>IF(($F5*'Jul''10 Envestra'!I36/'Jul''10 Envestra'!I37&gt;'Jul''10 Envestra'!I41),($F5*'Jul''10 Envestra'!I36/'Jul''10 Envestra'!I37-'Jul''10 Envestra'!I41)*'Jul''10 Envestra'!I44/100)* 'Jul''10 Envestra'!I37</f>
        <v>0</v>
      </c>
      <c r="H50" s="59">
        <f>IF(($F5*'Jul''10 Envestra'!J36/'Jul''10 Envestra'!J37&gt;'Jul''10 Envestra'!J41),($F5*'Jul''10 Envestra'!J36/'Jul''10 Envestra'!J37-'Jul''10 Envestra'!J41)*'Jul''10 Envestra'!J44/100)* 'Jul''10 Envestra'!J37</f>
        <v>0</v>
      </c>
      <c r="I50" s="59">
        <f>IF(($F5*'Jul''10 Envestra'!K36/'Jul''10 Envestra'!K37&gt;'Jul''10 Envestra'!K41),($F5*'Jul''10 Envestra'!K36/'Jul''10 Envestra'!K37-'Jul''10 Envestra'!K41)*'Jul''10 Envestra'!K44/100)* 'Jul''10 Envestra'!K37</f>
        <v>0</v>
      </c>
      <c r="J50" s="60"/>
    </row>
    <row r="51" spans="1:10" x14ac:dyDescent="0.15">
      <c r="A51" s="40" t="s">
        <v>607</v>
      </c>
      <c r="C51" s="59">
        <f>IF($F5*'Jul''10 Envestra'!E38/'Jul''10 Envestra'!E39&gt;='Jul''10 Envestra'!E40,('Jul''10 Envestra'!E40*'Jul''10 Envestra'!E45/100)*'Jul''10 Envestra'!E39,($F5*'Jul''10 Envestra'!E38/'Jul''10 Envestra'!E39*'Jul''10 Envestra'!E45/100)* 'Jul''10 Envestra'!E39)</f>
        <v>228.27200000000002</v>
      </c>
      <c r="D51" s="59">
        <f>IF($F5*'Jul''10 Envestra'!F38/'Jul''10 Envestra'!F39&gt;='Jul''10 Envestra'!F40,('Jul''10 Envestra'!F40*'Jul''10 Envestra'!F45/100)*'Jul''10 Envestra'!F39,($F5*'Jul''10 Envestra'!F38/'Jul''10 Envestra'!F39*'Jul''10 Envestra'!F45/100)* 'Jul''10 Envestra'!F39)</f>
        <v>241.47200000000001</v>
      </c>
      <c r="E51" s="59">
        <f>IF($F5*'Jul''10 Envestra'!G38/'Jul''10 Envestra'!G39&gt;='Jul''10 Envestra'!G40,('Jul''10 Envestra'!G40*'Jul''10 Envestra'!G45/100)*'Jul''10 Envestra'!G39,($F5*'Jul''10 Envestra'!G38/'Jul''10 Envestra'!G39*'Jul''10 Envestra'!G45/100)* 'Jul''10 Envestra'!G39)</f>
        <v>239.00799999999998</v>
      </c>
      <c r="F51" s="59">
        <f>IF($F5*'Jul''10 Envestra'!H38/'Jul''10 Envestra'!H39&gt;='Jul''10 Envestra'!H40,('Jul''10 Envestra'!H40*'Jul''10 Envestra'!H45/100)*'Jul''10 Envestra'!H39,($F5*'Jul''10 Envestra'!H38/'Jul''10 Envestra'!H39*'Jul''10 Envestra'!H45/100)* 'Jul''10 Envestra'!H39)</f>
        <v>220.8</v>
      </c>
      <c r="G51" s="59">
        <f>IF($F5*'Jul''10 Envestra'!I38/'Jul''10 Envestra'!I39&gt;='Jul''10 Envestra'!I40,('Jul''10 Envestra'!I40*'Jul''10 Envestra'!I45/100)*'Jul''10 Envestra'!I39,($F5*'Jul''10 Envestra'!I38/'Jul''10 Envestra'!I39*'Jul''10 Envestra'!I45/100)* 'Jul''10 Envestra'!I39)</f>
        <v>259.42399999999998</v>
      </c>
      <c r="H51" s="59">
        <f>IF($F5*'Jul''10 Envestra'!J38/'Jul''10 Envestra'!J39&gt;='Jul''10 Envestra'!J40,('Jul''10 Envestra'!J40*'Jul''10 Envestra'!J45/100)*'Jul''10 Envestra'!J39,($F5*'Jul''10 Envestra'!J38/'Jul''10 Envestra'!J39*'Jul''10 Envestra'!J45/100)* 'Jul''10 Envestra'!J39)</f>
        <v>237.952</v>
      </c>
      <c r="I51" s="59">
        <f>IF($F5*'Jul''10 Envestra'!K38/'Jul''10 Envestra'!K39&gt;='Jul''10 Envestra'!K40,('Jul''10 Envestra'!K40*'Jul''10 Envestra'!K45/100)*'Jul''10 Envestra'!K39,($F5*'Jul''10 Envestra'!K38/'Jul''10 Envestra'!K39*'Jul''10 Envestra'!K45/100)* 'Jul''10 Envestra'!K39)</f>
        <v>260.8</v>
      </c>
      <c r="J51" s="60"/>
    </row>
    <row r="52" spans="1:10" x14ac:dyDescent="0.15">
      <c r="A52" s="40" t="s">
        <v>608</v>
      </c>
      <c r="C52" s="59">
        <f>IF($F5*'Jul''10 Envestra'!E38/'Jul''10 Envestra'!E39&lt;'Jul''10 Envestra'!E40,0,IF($F5*'Jul''10 Envestra'!E38/'Jul''10 Envestra'!E39&lt;='Jul''10 Envestra'!E41,($F5*'Jul''10 Envestra'!E38/'Jul''10 Envestra'!E39-'Jul''10 Envestra'!E40)*('Jul''10 Envestra'!E46/100)* 'Jul''10 Envestra'!E39,( 'Jul''10 Envestra'!E41-'Jul''10 Envestra'!E40)*('Jul''10 Envestra'!E46/100)*'Jul''10 Envestra'!E39))</f>
        <v>49.607183999999997</v>
      </c>
      <c r="D52" s="59">
        <f>IF($F5*'Jul''10 Envestra'!F38/'Jul''10 Envestra'!F39&lt;'Jul''10 Envestra'!F40,0,IF($F5*'Jul''10 Envestra'!F38/'Jul''10 Envestra'!F39&lt;='Jul''10 Envestra'!F41,($F5*'Jul''10 Envestra'!F38/'Jul''10 Envestra'!F39-'Jul''10 Envestra'!F40)*('Jul''10 Envestra'!F46/100)* 'Jul''10 Envestra'!F39,( 'Jul''10 Envestra'!F41-'Jul''10 Envestra'!F40)*('Jul''10 Envestra'!F46/100)*'Jul''10 Envestra'!F39))</f>
        <v>52.984694400000002</v>
      </c>
      <c r="E52" s="59">
        <f>IF($F5*'Jul''10 Envestra'!G38/'Jul''10 Envestra'!G39&lt;'Jul''10 Envestra'!G40,0,IF($F5*'Jul''10 Envestra'!G38/'Jul''10 Envestra'!G39&lt;='Jul''10 Envestra'!G41,($F5*'Jul''10 Envestra'!G38/'Jul''10 Envestra'!G39-'Jul''10 Envestra'!G40)*('Jul''10 Envestra'!G46/100)* 'Jul''10 Envestra'!G39,( 'Jul''10 Envestra'!G41-'Jul''10 Envestra'!G40)*('Jul''10 Envestra'!G46/100)*'Jul''10 Envestra'!G39))</f>
        <v>52.041966000000002</v>
      </c>
      <c r="F52" s="59">
        <f>IF($F5*'Jul''10 Envestra'!H38/'Jul''10 Envestra'!H39&lt;'Jul''10 Envestra'!H40,0,IF($F5*'Jul''10 Envestra'!H38/'Jul''10 Envestra'!H39&lt;='Jul''10 Envestra'!H41,($F5*'Jul''10 Envestra'!H38/'Jul''10 Envestra'!H39-'Jul''10 Envestra'!H40)*('Jul''10 Envestra'!H46/100)* 'Jul''10 Envestra'!H39,( 'Jul''10 Envestra'!H41-'Jul''10 Envestra'!H40)*('Jul''10 Envestra'!H46/100)*'Jul''10 Envestra'!H39))</f>
        <v>0</v>
      </c>
      <c r="G52" s="59">
        <f>IF($F5*'Jul''10 Envestra'!I38/'Jul''10 Envestra'!I39&lt;'Jul''10 Envestra'!I40,0,IF($F5*'Jul''10 Envestra'!I38/'Jul''10 Envestra'!I39&lt;='Jul''10 Envestra'!I41,($F5*'Jul''10 Envestra'!I38/'Jul''10 Envestra'!I39-'Jul''10 Envestra'!I40)*('Jul''10 Envestra'!I46/100)* 'Jul''10 Envestra'!I39,( 'Jul''10 Envestra'!I41-'Jul''10 Envestra'!I40)*('Jul''10 Envestra'!I46/100)*'Jul''10 Envestra'!I39))</f>
        <v>57.699136000000003</v>
      </c>
      <c r="H52" s="59">
        <f>IF($F5*'Jul''10 Envestra'!J38/'Jul''10 Envestra'!J39&lt;'Jul''10 Envestra'!J40,0,IF($F5*'Jul''10 Envestra'!J38/'Jul''10 Envestra'!J39&lt;='Jul''10 Envestra'!J41,($F5*'Jul''10 Envestra'!J38/'Jul''10 Envestra'!J39-'Jul''10 Envestra'!J40)*('Jul''10 Envestra'!J46/100)* 'Jul''10 Envestra'!J39,( 'Jul''10 Envestra'!J41-'Jul''10 Envestra'!J40)*('Jul''10 Envestra'!J46/100)*'Jul''10 Envestra'!J39))</f>
        <v>52.949512000000006</v>
      </c>
      <c r="I52" s="59">
        <f>IF($F5*'Jul''10 Envestra'!K38/'Jul''10 Envestra'!K39&lt;'Jul''10 Envestra'!K40,0,IF($F5*'Jul''10 Envestra'!K38/'Jul''10 Envestra'!K39&lt;='Jul''10 Envestra'!K41,($F5*'Jul''10 Envestra'!K38/'Jul''10 Envestra'!K39-'Jul''10 Envestra'!K40)*('Jul''10 Envestra'!K46/100)* 'Jul''10 Envestra'!K39,( 'Jul''10 Envestra'!K41-'Jul''10 Envestra'!K40)*('Jul''10 Envestra'!K46/100)*'Jul''10 Envestra'!K39))</f>
        <v>53.913029999999999</v>
      </c>
      <c r="J52" s="61"/>
    </row>
    <row r="53" spans="1:10" x14ac:dyDescent="0.15">
      <c r="A53" s="40" t="s">
        <v>611</v>
      </c>
      <c r="C53" s="59">
        <f>IF(($F5*'Jul''10 Envestra'!E38/'Jul''10 Envestra'!E39&gt;'Jul''10 Envestra'!E41),($F5*'Jul''10 Envestra'!E38/'Jul''10 Envestra'!E39-'Jul''10 Envestra'!E41)*'Jul''10 Envestra'!E47/100)*'Jul''10 Envestra'!E39</f>
        <v>0</v>
      </c>
      <c r="D53" s="59">
        <f>IF(($F5*'Jul''10 Envestra'!F38/'Jul''10 Envestra'!F39&gt;'Jul''10 Envestra'!F41),($F5*'Jul''10 Envestra'!F38/'Jul''10 Envestra'!F39-'Jul''10 Envestra'!F41)*'Jul''10 Envestra'!F47/100)*'Jul''10 Envestra'!F39</f>
        <v>0</v>
      </c>
      <c r="E53" s="59">
        <f>IF(($F5*'Jul''10 Envestra'!G38/'Jul''10 Envestra'!G39&gt;'Jul''10 Envestra'!G41),($F5*'Jul''10 Envestra'!G38/'Jul''10 Envestra'!G39-'Jul''10 Envestra'!G41)*'Jul''10 Envestra'!G47/100)*'Jul''10 Envestra'!G39</f>
        <v>0</v>
      </c>
      <c r="F53" s="59">
        <f>IF(($F5*'Jul''10 Envestra'!H38/'Jul''10 Envestra'!H39&gt;'Jul''10 Envestra'!H41),($F5*'Jul''10 Envestra'!H38/'Jul''10 Envestra'!H39-'Jul''10 Envestra'!H41)*'Jul''10 Envestra'!H47/100)*'Jul''10 Envestra'!H39</f>
        <v>47.975999999999992</v>
      </c>
      <c r="G53" s="59">
        <f>IF(($F5*'Jul''10 Envestra'!I38/'Jul''10 Envestra'!I39&gt;'Jul''10 Envestra'!I41),($F5*'Jul''10 Envestra'!I38/'Jul''10 Envestra'!I39-'Jul''10 Envestra'!I41)*'Jul''10 Envestra'!I47/100)*'Jul''10 Envestra'!I39</f>
        <v>0</v>
      </c>
      <c r="H53" s="59">
        <f>IF(($F5*'Jul''10 Envestra'!J38/'Jul''10 Envestra'!J39&gt;'Jul''10 Envestra'!J41),($F5*'Jul''10 Envestra'!J38/'Jul''10 Envestra'!J39-'Jul''10 Envestra'!J41)*'Jul''10 Envestra'!J47/100)*'Jul''10 Envestra'!J39</f>
        <v>0</v>
      </c>
      <c r="I53" s="59">
        <f>IF(($F5*'Jul''10 Envestra'!K38/'Jul''10 Envestra'!K39&gt;'Jul''10 Envestra'!K41),($F5*'Jul''10 Envestra'!K38/'Jul''10 Envestra'!K39-'Jul''10 Envestra'!K41)*'Jul''10 Envestra'!K47/100)*'Jul''10 Envestra'!K39</f>
        <v>0</v>
      </c>
      <c r="J53" s="60"/>
    </row>
    <row r="54" spans="1:10" x14ac:dyDescent="0.15">
      <c r="A54" s="40" t="s">
        <v>612</v>
      </c>
      <c r="C54" s="59">
        <f>365*'Jul''10 Envestra'!E48/100</f>
        <v>168.83074999999999</v>
      </c>
      <c r="D54" s="59">
        <f>365*'Jul''10 Envestra'!F48/100</f>
        <v>174.57220000000001</v>
      </c>
      <c r="E54" s="59">
        <f>365*'Jul''10 Envestra'!G48/100</f>
        <v>173.375</v>
      </c>
      <c r="F54" s="59">
        <f>365*'Jul''10 Envestra'!H48/100</f>
        <v>170.38200000000001</v>
      </c>
      <c r="G54" s="59">
        <f>365*'Jul''10 Envestra'!I48/100</f>
        <v>189.8</v>
      </c>
      <c r="H54" s="59">
        <f>365*'Jul''10 Envestra'!J48/100</f>
        <v>174.25100000000003</v>
      </c>
      <c r="I54" s="59">
        <f>365*'Jul''10 Envestra'!K48/100</f>
        <v>238.04934999999998</v>
      </c>
      <c r="J54" s="60">
        <f>AVERAGE(C54:I54)</f>
        <v>184.18004285714284</v>
      </c>
    </row>
    <row r="55" spans="1:10" x14ac:dyDescent="0.15">
      <c r="A55" s="62" t="s">
        <v>613</v>
      </c>
      <c r="B55" s="63"/>
      <c r="C55" s="61">
        <f>SUM(C48:C54)</f>
        <v>587.34329500000001</v>
      </c>
      <c r="D55" s="61">
        <f t="shared" ref="D55:I55" si="4">SUM(D48:D54)</f>
        <v>617.75310080000008</v>
      </c>
      <c r="E55" s="61">
        <f t="shared" si="4"/>
        <v>611.23373500000002</v>
      </c>
      <c r="F55" s="61">
        <f t="shared" si="4"/>
        <v>574.54590000000007</v>
      </c>
      <c r="G55" s="61">
        <f t="shared" si="4"/>
        <v>668.01453900000001</v>
      </c>
      <c r="H55" s="61">
        <f t="shared" si="4"/>
        <v>612.91312500000004</v>
      </c>
      <c r="I55" s="61">
        <f t="shared" si="4"/>
        <v>713.72642299999995</v>
      </c>
      <c r="J55" s="64">
        <f>AVERAGE(C55:I55)</f>
        <v>626.50430254285709</v>
      </c>
    </row>
    <row r="57" spans="1:10" x14ac:dyDescent="0.15">
      <c r="A57" s="55" t="s">
        <v>489</v>
      </c>
    </row>
    <row r="59" spans="1:10" x14ac:dyDescent="0.15">
      <c r="A59" s="53" t="s">
        <v>1030</v>
      </c>
      <c r="C59" s="23" t="s">
        <v>1044</v>
      </c>
      <c r="D59" s="23" t="s">
        <v>591</v>
      </c>
      <c r="E59" s="23" t="s">
        <v>555</v>
      </c>
      <c r="F59" s="23" t="s">
        <v>544</v>
      </c>
      <c r="G59" s="23" t="s">
        <v>514</v>
      </c>
      <c r="H59" s="23" t="s">
        <v>615</v>
      </c>
      <c r="I59" s="23" t="s">
        <v>441</v>
      </c>
      <c r="J59" s="57" t="s">
        <v>601</v>
      </c>
    </row>
    <row r="60" spans="1:10" x14ac:dyDescent="0.15">
      <c r="A60" s="40" t="s">
        <v>602</v>
      </c>
      <c r="C60" s="59">
        <f>IF($F5*'Jul''10 SP'!E7/'Jul''10 SP'!E8&gt;='Jul''10 SP'!E11,('Jul''10 SP'!E11*'Jul''10 SP'!E12/100)*'Jul''10 SP'!E8,($F5*'Jul''10 SP'!E7/'Jul''10 SP'!E8*'Jul''10 SP'!E12/100)*'Jul''10 SP'!E8)</f>
        <v>100.67199999999998</v>
      </c>
      <c r="D60" s="59">
        <f>IF($F5*'Jul''10 SP'!F7/'Jul''10 SP'!F8&gt;='Jul''10 SP'!F11,('Jul''10 SP'!F11*'Jul''10 SP'!F12/100)*'Jul''10 SP'!F8,($F5*'Jul''10 SP'!F7/'Jul''10 SP'!F8*'Jul''10 SP'!F12/100)*'Jul''10 SP'!F8)</f>
        <v>103.86816</v>
      </c>
      <c r="E60" s="59">
        <f>IF($F5*'Jul''10 SP'!G7/'Jul''10 SP'!G8&gt;='Jul''10 SP'!G11,('Jul''10 SP'!G11*'Jul''10 SP'!G12/100)*'Jul''10 SP'!G8,($F5*'Jul''10 SP'!G7/'Jul''10 SP'!G8*'Jul''10 SP'!G12/100)*'Jul''10 SP'!G8)</f>
        <v>102.432</v>
      </c>
      <c r="F60" s="59">
        <f>IF($F5*'Jul''10 SP'!H7/'Jul''10 SP'!H8&gt;='Jul''10 SP'!H11,('Jul''10 SP'!H11*'Jul''10 SP'!H12/100)*'Jul''10 SP'!H8,($F5*'Jul''10 SP'!H7/'Jul''10 SP'!H8*'Jul''10 SP'!H12/100)*'Jul''10 SP'!H8)</f>
        <v>96</v>
      </c>
      <c r="G60" s="59">
        <f>IF($F5*'Jul''10 SP'!I7/'Jul''10 SP'!I8&gt;='Jul''10 SP'!I11,('Jul''10 SP'!I11*'Jul''10 SP'!I12/100)*'Jul''10 SP'!I8,($F5*'Jul''10 SP'!I7/'Jul''10 SP'!I8*'Jul''10 SP'!I12/100)*'Jul''10 SP'!I8)</f>
        <v>99.263999999999996</v>
      </c>
      <c r="H60" s="59">
        <f>IF($F5*'Jul''10 SP'!J7/'Jul''10 SP'!J8&gt;='Jul''10 SP'!J11,('Jul''10 SP'!J11*'Jul''10 SP'!J12/100)*'Jul''10 SP'!J8,($F5*'Jul''10 SP'!J7/'Jul''10 SP'!J8*'Jul''10 SP'!J12/100)*'Jul''10 SP'!J8)</f>
        <v>109.4016</v>
      </c>
      <c r="I60" s="59">
        <f>IF($F5*'Jul''10 SP'!K7/'Jul''10 SP'!K8&gt;='Jul''10 SP'!K11,('Jul''10 SP'!K11*'Jul''10 SP'!K12/100)*'Jul''10 SP'!K8,($F5*'Jul''10 SP'!K7/'Jul''10 SP'!K8*'Jul''10 SP'!K12/100)*'Jul''10 SP'!K8)</f>
        <v>114.58304</v>
      </c>
      <c r="J60" s="60"/>
    </row>
    <row r="61" spans="1:10" x14ac:dyDescent="0.15">
      <c r="A61" s="40" t="s">
        <v>606</v>
      </c>
      <c r="C61" s="59">
        <f>IF(($F5*'Jul''10 SP'!E7/'Jul''10 SP'!E8&gt;'Jul''10 SP'!E11),($F5*'Jul''10 SP'!E7/'Jul''10 SP'!E8-'Jul''10 SP'!E11)*'Jul''10 SP'!E13/100)*'Jul''10 SP'!E8</f>
        <v>49.842551</v>
      </c>
      <c r="D61" s="59">
        <f>IF(($F5*'Jul''10 SP'!F7/'Jul''10 SP'!F8&gt;'Jul''10 SP'!F11),($F5*'Jul''10 SP'!F7/'Jul''10 SP'!F8-'Jul''10 SP'!F11)*'Jul''10 SP'!F13/100)*'Jul''10 SP'!F8</f>
        <v>51.374645300000005</v>
      </c>
      <c r="E61" s="59">
        <f>IF(($F5*'Jul''10 SP'!G7/'Jul''10 SP'!G8&gt;'Jul''10 SP'!G11),($F5*'Jul''10 SP'!G7/'Jul''10 SP'!G8-'Jul''10 SP'!G11)*'Jul''10 SP'!G13/100)*'Jul''10 SP'!G8</f>
        <v>50.688316000000007</v>
      </c>
      <c r="F61" s="59">
        <f>IF(($F5*'Jul''10 SP'!H7/'Jul''10 SP'!H8&gt;'Jul''10 SP'!H11),($F5*'Jul''10 SP'!H7/'Jul''10 SP'!H8-'Jul''10 SP'!H11)*'Jul''10 SP'!H13/100)*'Jul''10 SP'!H8</f>
        <v>48.226599999999998</v>
      </c>
      <c r="G61" s="59">
        <f>IF(($F5*'Jul''10 SP'!I7/'Jul''10 SP'!I8&gt;'Jul''10 SP'!I11),($F5*'Jul''10 SP'!I7/'Jul''10 SP'!I8-'Jul''10 SP'!I11)*'Jul''10 SP'!I13/100)*'Jul''10 SP'!I8</f>
        <v>48.694470000000003</v>
      </c>
      <c r="H61" s="59">
        <f>IF(($F5*'Jul''10 SP'!J7/'Jul''10 SP'!J8&gt;'Jul''10 SP'!J11),($F5*'Jul''10 SP'!J7/'Jul''10 SP'!J8-'Jul''10 SP'!J11)*'Jul''10 SP'!J13/100)*'Jul''10 SP'!J8</f>
        <v>54.236929999999994</v>
      </c>
      <c r="I61" s="59">
        <f>IF(($F5*'Jul''10 SP'!K7/'Jul''10 SP'!K8&gt;'Jul''10 SP'!K11),($F5*'Jul''10 SP'!K7/'Jul''10 SP'!K8-'Jul''10 SP'!K11)*'Jul''10 SP'!K13/100)*'Jul''10 SP'!K8</f>
        <v>54.248806700000003</v>
      </c>
      <c r="J61" s="60"/>
    </row>
    <row r="62" spans="1:10" x14ac:dyDescent="0.15">
      <c r="A62" s="40" t="s">
        <v>607</v>
      </c>
      <c r="C62" s="59">
        <f>IF($F5*'Jul''10 SP'!E9/'Jul''10 SP'!E10&gt;='Jul''10 SP'!E11,('Jul''10 SP'!E11*'Jul''10 SP'!E14/100)*'Jul''10 SP'!E10,($F5*'Jul''10 SP'!E9/'Jul''10 SP'!E10*'Jul''10 SP'!E14/100)*'Jul''10 SP'!E10)</f>
        <v>171.21279999999999</v>
      </c>
      <c r="D62" s="59">
        <f>IF($F5*'Jul''10 SP'!F9/'Jul''10 SP'!F10&gt;='Jul''10 SP'!F11,('Jul''10 SP'!F11*'Jul''10 SP'!F14/100)*'Jul''10 SP'!F10,($F5*'Jul''10 SP'!F9/'Jul''10 SP'!F10*'Jul''10 SP'!F14/100)*'Jul''10 SP'!F10)</f>
        <v>176.66175999999999</v>
      </c>
      <c r="E62" s="59">
        <f>IF($F5*'Jul''10 SP'!G9/'Jul''10 SP'!G10&gt;='Jul''10 SP'!G11,('Jul''10 SP'!G11*'Jul''10 SP'!G14/100)*'Jul''10 SP'!G10,($F5*'Jul''10 SP'!G9/'Jul''10 SP'!G10*'Jul''10 SP'!G14/100)*'Jul''10 SP'!G10)</f>
        <v>174.82239999999999</v>
      </c>
      <c r="F62" s="59">
        <f>IF($F5*'Jul''10 SP'!H9/'Jul''10 SP'!H10&gt;='Jul''10 SP'!H11,('Jul''10 SP'!H11*'Jul''10 SP'!H14/100)*'Jul''10 SP'!H10,($F5*'Jul''10 SP'!H9/'Jul''10 SP'!H10*'Jul''10 SP'!H14/100)*'Jul''10 SP'!H10)</f>
        <v>165.12</v>
      </c>
      <c r="G62" s="59">
        <f>IF($F5*'Jul''10 SP'!I9/'Jul''10 SP'!I10&gt;='Jul''10 SP'!I11,('Jul''10 SP'!I11*'Jul''10 SP'!I14/100)*'Jul''10 SP'!I10,($F5*'Jul''10 SP'!I9/'Jul''10 SP'!I10*'Jul''10 SP'!I14/100)*'Jul''10 SP'!I10)</f>
        <v>168.96</v>
      </c>
      <c r="H62" s="59">
        <f>IF($F5*'Jul''10 SP'!J9/'Jul''10 SP'!J10&gt;='Jul''10 SP'!J11,('Jul''10 SP'!J11*'Jul''10 SP'!J14/100)*'Jul''10 SP'!J10,($F5*'Jul''10 SP'!J9/'Jul''10 SP'!J10*'Jul''10 SP'!J14/100)*'Jul''10 SP'!J10)</f>
        <v>185.99680000000001</v>
      </c>
      <c r="I62" s="59">
        <f>IF($F5*'Jul''10 SP'!K9/'Jul''10 SP'!K10&gt;='Jul''10 SP'!K11,('Jul''10 SP'!K11*'Jul''10 SP'!K14/100)*'Jul''10 SP'!K10,($F5*'Jul''10 SP'!K9/'Jul''10 SP'!K10*'Jul''10 SP'!K14/100)*'Jul''10 SP'!K10)</f>
        <v>194.67008000000001</v>
      </c>
      <c r="J62" s="60"/>
    </row>
    <row r="63" spans="1:10" x14ac:dyDescent="0.15">
      <c r="A63" s="40" t="s">
        <v>608</v>
      </c>
      <c r="C63" s="59">
        <f>IF(($F5*'Jul''10 SP'!E9/'Jul''10 SP'!E10&gt;'Jul''10 SP'!E11),($F5*'Jul''10 SP'!E9/'Jul''10 SP'!E10-'Jul''10 SP'!E11)*'Jul''10 SP'!E15/100)*'Jul''10 SP'!E10</f>
        <v>84.562104000000005</v>
      </c>
      <c r="D63" s="59">
        <f>IF(($F5*'Jul''10 SP'!F9/'Jul''10 SP'!F10&gt;'Jul''10 SP'!F11),($F5*'Jul''10 SP'!F9/'Jul''10 SP'!F10-'Jul''10 SP'!F11)*'Jul''10 SP'!F15/100)*'Jul''10 SP'!F10</f>
        <v>87.143306800000005</v>
      </c>
      <c r="E63" s="59">
        <f>IF(($F5*'Jul''10 SP'!G9/'Jul''10 SP'!G10&gt;'Jul''10 SP'!G11),($F5*'Jul''10 SP'!G9/'Jul''10 SP'!G10-'Jul''10 SP'!G11)*'Jul''10 SP'!G15/100)*'Jul''10 SP'!G10</f>
        <v>86.016100000000009</v>
      </c>
      <c r="F63" s="59">
        <f>IF(($F5*'Jul''10 SP'!H9/'Jul''10 SP'!H10&gt;'Jul''10 SP'!H11),($F5*'Jul''10 SP'!H9/'Jul''10 SP'!H10-'Jul''10 SP'!H11)*'Jul''10 SP'!H15/100)*'Jul''10 SP'!H10</f>
        <v>81.337399999999988</v>
      </c>
      <c r="G63" s="59">
        <f>IF(($F5*'Jul''10 SP'!I9/'Jul''10 SP'!I10&gt;'Jul''10 SP'!I11),($F5*'Jul''10 SP'!I9/'Jul''10 SP'!I10-'Jul''10 SP'!I11)*'Jul''10 SP'!I15/100)*'Jul''10 SP'!I10</f>
        <v>82.345119999999994</v>
      </c>
      <c r="H63" s="59">
        <f>IF(($F5*'Jul''10 SP'!J9/'Jul''10 SP'!J10&gt;'Jul''10 SP'!J11),($F5*'Jul''10 SP'!J9/'Jul''10 SP'!J10-'Jul''10 SP'!J11)*'Jul''10 SP'!J15/100)*'Jul''10 SP'!J10</f>
        <v>92.163191999999995</v>
      </c>
      <c r="I63" s="59">
        <f>IF(($F5*'Jul''10 SP'!K9/'Jul''10 SP'!K10&gt;'Jul''10 SP'!K11),($F5*'Jul''10 SP'!K9/'Jul''10 SP'!K10-'Jul''10 SP'!K11)*'Jul''10 SP'!K15/100)*'Jul''10 SP'!K10</f>
        <v>84.957993999999999</v>
      </c>
      <c r="J63" s="60"/>
    </row>
    <row r="64" spans="1:10" x14ac:dyDescent="0.15">
      <c r="A64" s="40" t="s">
        <v>612</v>
      </c>
      <c r="C64" s="59">
        <f>365*'Jul''10 SP'!E16/100</f>
        <v>161.56360000000001</v>
      </c>
      <c r="D64" s="59">
        <f>365*'Jul''10 SP'!F16/100</f>
        <v>164.21350000000001</v>
      </c>
      <c r="E64" s="59">
        <f>365*'Jul''10 SP'!G16/100</f>
        <v>163.15500000000003</v>
      </c>
      <c r="F64" s="59">
        <f>365*'Jul''10 SP'!H16/100</f>
        <v>160.23500000000001</v>
      </c>
      <c r="G64" s="59">
        <f>365*'Jul''10 SP'!I16/100</f>
        <v>152.04804999999999</v>
      </c>
      <c r="H64" s="59">
        <f>365*'Jul''10 SP'!J16/100</f>
        <v>171.55</v>
      </c>
      <c r="I64" s="59">
        <f>365*'Jul''10 SP'!K16/100</f>
        <v>213.59800000000004</v>
      </c>
      <c r="J64" s="65">
        <f>AVERAGE(C64:I64)</f>
        <v>169.48045000000002</v>
      </c>
    </row>
    <row r="65" spans="1:10" x14ac:dyDescent="0.15">
      <c r="A65" s="62" t="s">
        <v>613</v>
      </c>
      <c r="B65" s="63"/>
      <c r="C65" s="61">
        <f>SUM(C60:C64)</f>
        <v>567.85305500000004</v>
      </c>
      <c r="D65" s="61">
        <f t="shared" ref="D65:I65" si="5">SUM(D60:D64)</f>
        <v>583.26137210000002</v>
      </c>
      <c r="E65" s="61">
        <f t="shared" si="5"/>
        <v>577.11381600000004</v>
      </c>
      <c r="F65" s="61">
        <f t="shared" si="5"/>
        <v>550.91899999999998</v>
      </c>
      <c r="G65" s="61">
        <f t="shared" si="5"/>
        <v>551.31164000000001</v>
      </c>
      <c r="H65" s="61">
        <f t="shared" si="5"/>
        <v>613.348522</v>
      </c>
      <c r="I65" s="61">
        <f t="shared" si="5"/>
        <v>662.05792070000007</v>
      </c>
      <c r="J65" s="64">
        <f>AVERAGE(C65:I65)</f>
        <v>586.55218940000009</v>
      </c>
    </row>
    <row r="67" spans="1:10" x14ac:dyDescent="0.15">
      <c r="A67" s="53" t="s">
        <v>1032</v>
      </c>
      <c r="C67" s="23" t="s">
        <v>1044</v>
      </c>
      <c r="D67" s="23" t="s">
        <v>591</v>
      </c>
      <c r="E67" s="23" t="s">
        <v>555</v>
      </c>
      <c r="F67" s="23" t="s">
        <v>544</v>
      </c>
      <c r="G67" s="23" t="s">
        <v>514</v>
      </c>
      <c r="H67" s="23" t="s">
        <v>615</v>
      </c>
      <c r="I67" s="23" t="s">
        <v>441</v>
      </c>
      <c r="J67" s="57" t="s">
        <v>601</v>
      </c>
    </row>
    <row r="68" spans="1:10" x14ac:dyDescent="0.15">
      <c r="A68" s="40" t="s">
        <v>602</v>
      </c>
      <c r="C68" s="59">
        <f>IF($F5*'Jul''10 SP'!E20/'Jul''10 SP'!E21&gt;='Jul''10 SP'!E24,('Jul''10 SP'!E24*'Jul''10 SP'!E25/100)*'Jul''10 SP'!E21,($F5*'Jul''10 SP'!E20/'Jul''10 SP'!E21*'Jul''10 SP'!E25/100)*'Jul''10 SP'!E21)</f>
        <v>119.65800000000002</v>
      </c>
      <c r="D68" s="59">
        <f>IF($F5*'Jul''10 SP'!F20/'Jul''10 SP'!F21&gt;='Jul''10 SP'!F24,('Jul''10 SP'!F24*'Jul''10 SP'!F25/100)*'Jul''10 SP'!F21,($F5*'Jul''10 SP'!F20/'Jul''10 SP'!F21*'Jul''10 SP'!F25/100)*'Jul''10 SP'!F21)</f>
        <v>115.76950000000001</v>
      </c>
      <c r="E68" s="59">
        <f>IF($F5*'Jul''10 SP'!G20/'Jul''10 SP'!G21&gt;='Jul''10 SP'!G24,('Jul''10 SP'!G24*'Jul''10 SP'!G25/100)*'Jul''10 SP'!G21,($F5*'Jul''10 SP'!G20/'Jul''10 SP'!G21*'Jul''10 SP'!G25/100)*'Jul''10 SP'!G21)</f>
        <v>112.035</v>
      </c>
      <c r="F68" s="59">
        <f>IF($F5*'Jul''10 SP'!H20/'Jul''10 SP'!H21&gt;='Jul''10 SP'!H24,('Jul''10 SP'!H24*'Jul''10 SP'!H25/100)*'Jul''10 SP'!H21,($F5*'Jul''10 SP'!H20/'Jul''10 SP'!H21*'Jul''10 SP'!H25/100)*'Jul''10 SP'!H21)</f>
        <v>107.8</v>
      </c>
      <c r="G68" s="59">
        <f>IF($F5*'Jul''10 SP'!I20/'Jul''10 SP'!I21&gt;='Jul''10 SP'!I24,('Jul''10 SP'!I24*'Jul''10 SP'!I25/100)*'Jul''10 SP'!I21,($F5*'Jul''10 SP'!I20/'Jul''10 SP'!I21*'Jul''10 SP'!I25/100)*'Jul''10 SP'!I21)</f>
        <v>109.34</v>
      </c>
      <c r="H68" s="59">
        <f>IF($F5*'Jul''10 SP'!J20/'Jul''10 SP'!J21&gt;='Jul''10 SP'!J24,('Jul''10 SP'!J24*'Jul''10 SP'!J25/100)*'Jul''10 SP'!J21,($F5*'Jul''10 SP'!J20/'Jul''10 SP'!J21*'Jul''10 SP'!J25/100)*'Jul''10 SP'!J21)</f>
        <v>126.04899999999999</v>
      </c>
      <c r="I68" s="59">
        <f>IF($F5*'Jul''10 SP'!K20/'Jul''10 SP'!K21&gt;='Jul''10 SP'!K24,('Jul''10 SP'!K24*'Jul''10 SP'!K25/100)*'Jul''10 SP'!K21,($F5*'Jul''10 SP'!K20/'Jul''10 SP'!K21*'Jul''10 SP'!K25/100)*'Jul''10 SP'!K21)</f>
        <v>129.8297</v>
      </c>
      <c r="J68" s="60"/>
    </row>
    <row r="69" spans="1:10" x14ac:dyDescent="0.15">
      <c r="A69" s="40" t="s">
        <v>606</v>
      </c>
      <c r="C69" s="59">
        <f>IF(($F5*'Jul''10 SP'!E20/'Jul''10 SP'!E21&gt;'Jul''10 SP'!E24),($F5*'Jul''10 SP'!E20/'Jul''10 SP'!E21-'Jul''10 SP'!E24)* 'Jul''10 SP'!E26/100)*'Jul''10 SP'!E21</f>
        <v>43.80939200000001</v>
      </c>
      <c r="D69" s="59">
        <f>IF(($F5*'Jul''10 SP'!F20/'Jul''10 SP'!F21&gt;'Jul''10 SP'!F24),($F5*'Jul''10 SP'!F20/'Jul''10 SP'!F21-'Jul''10 SP'!F24)* 'Jul''10 SP'!F26/100)*'Jul''10 SP'!F21</f>
        <v>44.162374300000003</v>
      </c>
      <c r="E69" s="59">
        <f>IF(($F5*'Jul''10 SP'!G20/'Jul''10 SP'!G21&gt;'Jul''10 SP'!G24),($F5*'Jul''10 SP'!G20/'Jul''10 SP'!G21-'Jul''10 SP'!G24)* 'Jul''10 SP'!G26/100)*'Jul''10 SP'!G21</f>
        <v>43.200594999999993</v>
      </c>
      <c r="F69" s="59">
        <f>IF(($F5*'Jul''10 SP'!H20/'Jul''10 SP'!H21&gt;'Jul''10 SP'!H24),($F5*'Jul''10 SP'!H20/'Jul''10 SP'!H21-'Jul''10 SP'!H24)* 'Jul''10 SP'!H26/100)*'Jul''10 SP'!H21</f>
        <v>41.086300000000001</v>
      </c>
      <c r="G69" s="59">
        <f>IF(($F5*'Jul''10 SP'!I20/'Jul''10 SP'!I21&gt;'Jul''10 SP'!I24),($F5*'Jul''10 SP'!I20/'Jul''10 SP'!I21-'Jul''10 SP'!I24)* 'Jul''10 SP'!I26/100)*'Jul''10 SP'!I21</f>
        <v>41.896030000000003</v>
      </c>
      <c r="H69" s="59">
        <f>IF(($F5*'Jul''10 SP'!J20/'Jul''10 SP'!J21&gt;'Jul''10 SP'!J24),($F5*'Jul''10 SP'!J20/'Jul''10 SP'!J21-'Jul''10 SP'!J24)* 'Jul''10 SP'!J26/100)*'Jul''10 SP'!J21</f>
        <v>48.130950999999996</v>
      </c>
      <c r="I69" s="59">
        <f>IF(($F5*'Jul''10 SP'!K20/'Jul''10 SP'!K21&gt;'Jul''10 SP'!K24),($F5*'Jul''10 SP'!K20/'Jul''10 SP'!K21-'Jul''10 SP'!K24)* 'Jul''10 SP'!K26/100)*'Jul''10 SP'!K21</f>
        <v>48.157342200000002</v>
      </c>
      <c r="J69" s="60"/>
    </row>
    <row r="70" spans="1:10" x14ac:dyDescent="0.15">
      <c r="A70" s="40" t="s">
        <v>607</v>
      </c>
      <c r="C70" s="59">
        <f>IF($F5*'Jul''10 SP'!E22/'Jul''10 SP'!E23&gt;='Jul''10 SP'!E24,('Jul''10 SP'!E24*'Jul''10 SP'!E27/100)*'Jul''10 SP'!E23,($F5*'Jul''10 SP'!E22/'Jul''10 SP'!E23*'Jul''10 SP'!E27/100)*'Jul''10 SP'!E23)</f>
        <v>202.35599999999999</v>
      </c>
      <c r="D70" s="59">
        <f>IF($F5*'Jul''10 SP'!F22/'Jul''10 SP'!F23&gt;='Jul''10 SP'!F24,('Jul''10 SP'!F24*'Jul''10 SP'!F27/100)*'Jul''10 SP'!F23,($F5*'Jul''10 SP'!F22/'Jul''10 SP'!F23*'Jul''10 SP'!F27/100)*'Jul''10 SP'!F23)</f>
        <v>189.72799999999998</v>
      </c>
      <c r="E70" s="59">
        <f>IF($F5*'Jul''10 SP'!G22/'Jul''10 SP'!G23&gt;='Jul''10 SP'!G24,('Jul''10 SP'!G24*'Jul''10 SP'!G27/100)*'Jul''10 SP'!G23,($F5*'Jul''10 SP'!G22/'Jul''10 SP'!G23*'Jul''10 SP'!G27/100)*'Jul''10 SP'!G23)</f>
        <v>189.71399999999997</v>
      </c>
      <c r="F70" s="59">
        <f>IF($F5*'Jul''10 SP'!H22/'Jul''10 SP'!H23&gt;='Jul''10 SP'!H24,('Jul''10 SP'!H24*'Jul''10 SP'!H27/100)*'Jul''10 SP'!H23,($F5*'Jul''10 SP'!H22/'Jul''10 SP'!H23*'Jul''10 SP'!H27/100)*'Jul''10 SP'!H23)</f>
        <v>197.4</v>
      </c>
      <c r="G70" s="59">
        <f>IF($F5*'Jul''10 SP'!I22/'Jul''10 SP'!I23&gt;='Jul''10 SP'!I24,('Jul''10 SP'!I24*'Jul''10 SP'!I27/100)*'Jul''10 SP'!I23,($F5*'Jul''10 SP'!I22/'Jul''10 SP'!I23*'Jul''10 SP'!I27/100)*'Jul''10 SP'!I23)</f>
        <v>178.64</v>
      </c>
      <c r="H70" s="59">
        <f>IF($F5*'Jul''10 SP'!J22/'Jul''10 SP'!J23&gt;='Jul''10 SP'!J24,('Jul''10 SP'!J24*'Jul''10 SP'!J27/100)*'Jul''10 SP'!J23,($F5*'Jul''10 SP'!J22/'Jul''10 SP'!J23*'Jul''10 SP'!J27/100)*'Jul''10 SP'!J23)</f>
        <v>206.822</v>
      </c>
      <c r="I70" s="59">
        <f>IF($F5*'Jul''10 SP'!K22/'Jul''10 SP'!K23&gt;='Jul''10 SP'!K24,('Jul''10 SP'!K24*'Jul''10 SP'!K27/100)*'Jul''10 SP'!K23,($F5*'Jul''10 SP'!K22/'Jul''10 SP'!K23*'Jul''10 SP'!K27/100)*'Jul''10 SP'!K23)</f>
        <v>227.88919999999999</v>
      </c>
      <c r="J70" s="60"/>
    </row>
    <row r="71" spans="1:10" x14ac:dyDescent="0.15">
      <c r="A71" s="40" t="s">
        <v>608</v>
      </c>
      <c r="C71" s="59">
        <f>IF(($F5*'Jul''10 SP'!E22/'Jul''10 SP'!E23&gt;'Jul''10 SP'!E24),($F5*'Jul''10 SP'!E22/'Jul''10 SP'!E23-'Jul''10 SP'!E24)*'Jul''10 SP'!E28/100)*'Jul''10 SP'!E23</f>
        <v>76.666436000000004</v>
      </c>
      <c r="D71" s="59">
        <f>IF(($F5*'Jul''10 SP'!F22/'Jul''10 SP'!F23&gt;'Jul''10 SP'!F24),($F5*'Jul''10 SP'!F22/'Jul''10 SP'!F23-'Jul''10 SP'!F24)*'Jul''10 SP'!F28/100)*'Jul''10 SP'!F23</f>
        <v>78.230114600000007</v>
      </c>
      <c r="E71" s="59">
        <f>IF(($F5*'Jul''10 SP'!G22/'Jul''10 SP'!G23&gt;'Jul''10 SP'!G24),($F5*'Jul''10 SP'!G22/'Jul''10 SP'!G23-'Jul''10 SP'!G24)*'Jul''10 SP'!G28/100)*'Jul''10 SP'!G23</f>
        <v>78.075966000000008</v>
      </c>
      <c r="F71" s="59">
        <f>IF(($F5*'Jul''10 SP'!H22/'Jul''10 SP'!H23&gt;'Jul''10 SP'!H24),($F5*'Jul''10 SP'!H22/'Jul''10 SP'!H23-'Jul''10 SP'!H24)*'Jul''10 SP'!H28/100)*'Jul''10 SP'!H23</f>
        <v>74.974999999999994</v>
      </c>
      <c r="G71" s="59">
        <f>IF(($F5*'Jul''10 SP'!I22/'Jul''10 SP'!I23&gt;'Jul''10 SP'!I24),($F5*'Jul''10 SP'!I22/'Jul''10 SP'!I23-'Jul''10 SP'!I24)*'Jul''10 SP'!I28/100)*'Jul''10 SP'!I23</f>
        <v>73.895359999999997</v>
      </c>
      <c r="H71" s="59">
        <f>IF(($F5*'Jul''10 SP'!J22/'Jul''10 SP'!J23&gt;'Jul''10 SP'!J24),($F5*'Jul''10 SP'!J22/'Jul''10 SP'!J23-'Jul''10 SP'!J24)*'Jul''10 SP'!J28/100)*'Jul''10 SP'!J23</f>
        <v>85.309553999999991</v>
      </c>
      <c r="I71" s="59">
        <f>IF(($F5*'Jul''10 SP'!K22/'Jul''10 SP'!K23&gt;'Jul''10 SP'!K24),($F5*'Jul''10 SP'!K22/'Jul''10 SP'!K23-'Jul''10 SP'!K24)*'Jul''10 SP'!K28/100)*'Jul''10 SP'!K23</f>
        <v>85.078631000000001</v>
      </c>
      <c r="J71" s="60"/>
    </row>
    <row r="72" spans="1:10" x14ac:dyDescent="0.15">
      <c r="A72" s="40" t="s">
        <v>612</v>
      </c>
      <c r="C72" s="59">
        <f>365*'Jul''10 SP'!E29/100</f>
        <v>150.5625</v>
      </c>
      <c r="D72" s="59">
        <f>365*'Jul''10 SP'!F29/100</f>
        <v>161.92495</v>
      </c>
      <c r="E72" s="59">
        <f>365*'Jul''10 SP'!G29/100</f>
        <v>159.86999999999998</v>
      </c>
      <c r="F72" s="59">
        <f>365*'Jul''10 SP'!H29/100</f>
        <v>158.92099999999999</v>
      </c>
      <c r="G72" s="59">
        <f>365*'Jul''10 SP'!I29/100</f>
        <v>150.48220000000001</v>
      </c>
      <c r="H72" s="59">
        <f>365*'Jul''10 SP'!J29/100</f>
        <v>175.2</v>
      </c>
      <c r="I72" s="59">
        <f>365*'Jul''10 SP'!K29/100</f>
        <v>207.69595000000001</v>
      </c>
      <c r="J72" s="65">
        <f>AVERAGE(C72:I72)</f>
        <v>166.37951428571429</v>
      </c>
    </row>
    <row r="73" spans="1:10" x14ac:dyDescent="0.15">
      <c r="A73" s="62" t="s">
        <v>613</v>
      </c>
      <c r="B73" s="63"/>
      <c r="C73" s="61">
        <f>SUM(C68:C72)</f>
        <v>593.05232799999999</v>
      </c>
      <c r="D73" s="61">
        <f t="shared" ref="D73:I73" si="6">SUM(D68:D72)</f>
        <v>589.8149388999999</v>
      </c>
      <c r="E73" s="61">
        <f t="shared" si="6"/>
        <v>582.89556099999993</v>
      </c>
      <c r="F73" s="61">
        <f t="shared" si="6"/>
        <v>580.18229999999994</v>
      </c>
      <c r="G73" s="61">
        <f t="shared" si="6"/>
        <v>554.25359000000003</v>
      </c>
      <c r="H73" s="61">
        <f t="shared" si="6"/>
        <v>641.51150499999994</v>
      </c>
      <c r="I73" s="61">
        <f t="shared" si="6"/>
        <v>698.65082319999999</v>
      </c>
      <c r="J73" s="64">
        <f>AVERAGE(C73:I73)</f>
        <v>605.76586372857139</v>
      </c>
    </row>
    <row r="75" spans="1:10" x14ac:dyDescent="0.15">
      <c r="A75" s="53" t="s">
        <v>1034</v>
      </c>
      <c r="C75" s="23" t="s">
        <v>1044</v>
      </c>
      <c r="D75" s="23" t="s">
        <v>591</v>
      </c>
      <c r="E75" s="23" t="s">
        <v>555</v>
      </c>
      <c r="F75" s="23" t="s">
        <v>544</v>
      </c>
      <c r="G75" s="23" t="s">
        <v>514</v>
      </c>
      <c r="H75" s="23" t="s">
        <v>615</v>
      </c>
      <c r="I75" s="23" t="s">
        <v>441</v>
      </c>
      <c r="J75" s="57" t="s">
        <v>601</v>
      </c>
    </row>
    <row r="76" spans="1:10" x14ac:dyDescent="0.15">
      <c r="A76" s="40" t="s">
        <v>602</v>
      </c>
      <c r="C76" s="59">
        <f>IF($F5*'Jul''10 SP'!E33/'Jul''10 SP'!E34&gt;='Jul''10 SP'!E37,('Jul''10 SP'!E37*'Jul''10 SP'!E38/100)*'Jul''10 SP'!E34,($F5*'Jul''10 SP'!E33/'Jul''10 SP'!E34*'Jul''10 SP'!E38/100)*'Jul''10 SP'!E34)</f>
        <v>113.9776</v>
      </c>
      <c r="D76" s="59">
        <f>IF($F5*'Jul''10 SP'!F33/'Jul''10 SP'!F34&gt;='Jul''10 SP'!F37,('Jul''10 SP'!F37*'Jul''10 SP'!F38/100)*'Jul''10 SP'!F34,($F5*'Jul''10 SP'!F33/'Jul''10 SP'!F34*'Jul''10 SP'!F38/100)*'Jul''10 SP'!F34)</f>
        <v>114.86463999999999</v>
      </c>
      <c r="E76" s="59">
        <f>IF($F5*'Jul''10 SP'!G33/'Jul''10 SP'!G34&gt;='Jul''10 SP'!G37,('Jul''10 SP'!G37*'Jul''10 SP'!G38/100)*'Jul''10 SP'!G34,($F5*'Jul''10 SP'!G33/'Jul''10 SP'!G34*'Jul''10 SP'!G38/100)*'Jul''10 SP'!G34)</f>
        <v>113.35680000000001</v>
      </c>
      <c r="F76" s="59">
        <f>IF($F5*'Jul''10 SP'!H33/'Jul''10 SP'!H34&gt;='Jul''10 SP'!H37,('Jul''10 SP'!H37*'Jul''10 SP'!H38/100)*'Jul''10 SP'!H34,($F5*'Jul''10 SP'!H33/'Jul''10 SP'!H34*'Jul''10 SP'!H38/100)*'Jul''10 SP'!H34)</f>
        <v>108.8</v>
      </c>
      <c r="G76" s="59">
        <f>IF($F5*'Jul''10 SP'!I33/'Jul''10 SP'!I34&gt;='Jul''10 SP'!I37,('Jul''10 SP'!I37*'Jul''10 SP'!I38/100)*'Jul''10 SP'!I34,($F5*'Jul''10 SP'!I33/'Jul''10 SP'!I34*'Jul''10 SP'!I38/100)*'Jul''10 SP'!I34)</f>
        <v>109.824</v>
      </c>
      <c r="H76" s="59">
        <f>IF($F5*'Jul''10 SP'!J33/'Jul''10 SP'!J34&gt;='Jul''10 SP'!J37,('Jul''10 SP'!J37*'Jul''10 SP'!J38/100)*'Jul''10 SP'!J34,($F5*'Jul''10 SP'!J33/'Jul''10 SP'!J34*'Jul''10 SP'!J38/100)*'Jul''10 SP'!J34)</f>
        <v>123.41119999999999</v>
      </c>
      <c r="I76" s="59">
        <f>IF($F5*'Jul''10 SP'!K33/'Jul''10 SP'!K34&gt;='Jul''10 SP'!K37,('Jul''10 SP'!K37*'Jul''10 SP'!K38/100)*'Jul''10 SP'!K34,($F5*'Jul''10 SP'!K33/'Jul''10 SP'!K34*'Jul''10 SP'!K38/100)*'Jul''10 SP'!K34)</f>
        <v>131.0848</v>
      </c>
      <c r="J76" s="60"/>
    </row>
    <row r="77" spans="1:10" x14ac:dyDescent="0.15">
      <c r="A77" s="40" t="s">
        <v>606</v>
      </c>
      <c r="C77" s="59">
        <f>IF(($F5*'Jul''10 SP'!E33/'Jul''10 SP'!E34&gt;'Jul''10 SP'!E37),($F5*'Jul''10 SP'!E33/'Jul''10 SP'!E34-'Jul''10 SP'!E37)*'Jul''10 SP'!E39/100)*'Jul''10 SP'!E34</f>
        <v>50.911454000000006</v>
      </c>
      <c r="D77" s="59">
        <f>IF(($F5*'Jul''10 SP'!F33/'Jul''10 SP'!F34&gt;'Jul''10 SP'!F37),($F5*'Jul''10 SP'!F33/'Jul''10 SP'!F34-'Jul''10 SP'!F37)*'Jul''10 SP'!F39/100)*'Jul''10 SP'!F34</f>
        <v>51.291508400000005</v>
      </c>
      <c r="E77" s="59">
        <f>IF(($F5*'Jul''10 SP'!G33/'Jul''10 SP'!G34&gt;'Jul''10 SP'!G37),($F5*'Jul''10 SP'!G33/'Jul''10 SP'!G34-'Jul''10 SP'!G37)*'Jul''10 SP'!G39/100)*'Jul''10 SP'!G34</f>
        <v>50.688316000000007</v>
      </c>
      <c r="F77" s="59">
        <f>IF(($F5*'Jul''10 SP'!H33/'Jul''10 SP'!H34&gt;'Jul''10 SP'!H37),($F5*'Jul''10 SP'!H33/'Jul''10 SP'!H34-'Jul''10 SP'!H37)*'Jul''10 SP'!H39/100)*'Jul''10 SP'!H34</f>
        <v>47.506800000000005</v>
      </c>
      <c r="G77" s="59">
        <f>IF(($F5*'Jul''10 SP'!I33/'Jul''10 SP'!I34&gt;'Jul''10 SP'!I37),($F5*'Jul''10 SP'!I33/'Jul''10 SP'!I34-'Jul''10 SP'!I37)*'Jul''10 SP'!I39/100)*'Jul''10 SP'!I34</f>
        <v>49.090360000000004</v>
      </c>
      <c r="H77" s="59">
        <f>IF(($F5*'Jul''10 SP'!J33/'Jul''10 SP'!J34&gt;'Jul''10 SP'!J37),($F5*'Jul''10 SP'!J33/'Jul''10 SP'!J34-'Jul''10 SP'!J37)*'Jul''10 SP'!J39/100)*'Jul''10 SP'!J34</f>
        <v>55.345421999999999</v>
      </c>
      <c r="I77" s="59">
        <f>IF(($F5*'Jul''10 SP'!K33/'Jul''10 SP'!K34&gt;'Jul''10 SP'!K37),($F5*'Jul''10 SP'!K33/'Jul''10 SP'!K34-'Jul''10 SP'!K37)*'Jul''10 SP'!K39/100)*'Jul''10 SP'!K34</f>
        <v>54.387368199999997</v>
      </c>
      <c r="J77" s="60"/>
    </row>
    <row r="78" spans="1:10" x14ac:dyDescent="0.15">
      <c r="A78" s="40" t="s">
        <v>607</v>
      </c>
      <c r="C78" s="59">
        <f>IF($F5*'Jul''10 SP'!E35/'Jul''10 SP'!E36&gt;='Jul''10 SP'!E37,('Jul''10 SP'!E37*'Jul''10 SP'!E40/100)*'Jul''10 SP'!E36,($F5*'Jul''10 SP'!E35/'Jul''10 SP'!E36*'Jul''10 SP'!E40/100)*'Jul''10 SP'!E36)</f>
        <v>193.45920000000001</v>
      </c>
      <c r="D78" s="59">
        <f>IF($F5*'Jul''10 SP'!F35/'Jul''10 SP'!F36&gt;='Jul''10 SP'!F37,('Jul''10 SP'!F37*'Jul''10 SP'!F40/100)*'Jul''10 SP'!F36,($F5*'Jul''10 SP'!F35/'Jul''10 SP'!F36*'Jul''10 SP'!F40/100)*'Jul''10 SP'!F36)</f>
        <v>194.85311999999999</v>
      </c>
      <c r="E78" s="59">
        <f>IF($F5*'Jul''10 SP'!G35/'Jul''10 SP'!G36&gt;='Jul''10 SP'!G37,('Jul''10 SP'!G37*'Jul''10 SP'!G40/100)*'Jul''10 SP'!G36,($F5*'Jul''10 SP'!G35/'Jul''10 SP'!G36*'Jul''10 SP'!G40/100)*'Jul''10 SP'!G36)</f>
        <v>192.57599999999999</v>
      </c>
      <c r="F78" s="59">
        <f>IF($F5*'Jul''10 SP'!H35/'Jul''10 SP'!H36&gt;='Jul''10 SP'!H37,('Jul''10 SP'!H37*'Jul''10 SP'!H40/100)*'Jul''10 SP'!H36,($F5*'Jul''10 SP'!H35/'Jul''10 SP'!H36*'Jul''10 SP'!H40/100)*'Jul''10 SP'!H36)</f>
        <v>180.48</v>
      </c>
      <c r="G78" s="59">
        <f>IF($F5*'Jul''10 SP'!I35/'Jul''10 SP'!I36&gt;='Jul''10 SP'!I37,('Jul''10 SP'!I37*'Jul''10 SP'!I40/100)*'Jul''10 SP'!I36,($F5*'Jul''10 SP'!I35/'Jul''10 SP'!I36*'Jul''10 SP'!I40/100)*'Jul''10 SP'!I36)</f>
        <v>187.26400000000001</v>
      </c>
      <c r="H78" s="59">
        <f>IF($F5*'Jul''10 SP'!J35/'Jul''10 SP'!J36&gt;='Jul''10 SP'!J37,('Jul''10 SP'!J37*'Jul''10 SP'!J40/100)*'Jul''10 SP'!J36,($F5*'Jul''10 SP'!J35/'Jul''10 SP'!J36*'Jul''10 SP'!J40/100)*'Jul''10 SP'!J36)</f>
        <v>210.49600000000001</v>
      </c>
      <c r="I78" s="59">
        <f>IF($F5*'Jul''10 SP'!K35/'Jul''10 SP'!K36&gt;='Jul''10 SP'!K37,('Jul''10 SP'!K37*'Jul''10 SP'!K40/100)*'Jul''10 SP'!K36,($F5*'Jul''10 SP'!K35/'Jul''10 SP'!K36*'Jul''10 SP'!K40/100)*'Jul''10 SP'!K36)</f>
        <v>232.98176000000001</v>
      </c>
      <c r="J78" s="60"/>
    </row>
    <row r="79" spans="1:10" x14ac:dyDescent="0.15">
      <c r="A79" s="40" t="s">
        <v>608</v>
      </c>
      <c r="C79" s="59">
        <f>IF(($F5*'Jul''10 SP'!E35/'Jul''10 SP'!E36&gt;'Jul''10 SP'!E37),($F5*'Jul''10 SP'!E35/'Jul''10 SP'!E36-'Jul''10 SP'!E37)*'Jul''10 SP'!E41/100)*'Jul''10 SP'!E36</f>
        <v>95.330311999999992</v>
      </c>
      <c r="D79" s="59">
        <f>IF(($F5*'Jul''10 SP'!F35/'Jul''10 SP'!F36&gt;'Jul''10 SP'!F37),($F5*'Jul''10 SP'!F35/'Jul''10 SP'!F36-'Jul''10 SP'!F37)*'Jul''10 SP'!F41/100)*'Jul''10 SP'!F36</f>
        <v>96.098338600000005</v>
      </c>
      <c r="E79" s="59">
        <f>IF(($F5*'Jul''10 SP'!G35/'Jul''10 SP'!G36&gt;'Jul''10 SP'!G37),($F5*'Jul''10 SP'!G35/'Jul''10 SP'!G36-'Jul''10 SP'!G37)*'Jul''10 SP'!G41/100)*'Jul''10 SP'!G36</f>
        <v>95.236738000000003</v>
      </c>
      <c r="F79" s="59">
        <f>IF(($F5*'Jul''10 SP'!H35/'Jul''10 SP'!H36&gt;'Jul''10 SP'!H37),($F5*'Jul''10 SP'!H35/'Jul''10 SP'!H36-'Jul''10 SP'!H37)*'Jul''10 SP'!H41/100)*'Jul''10 SP'!H36</f>
        <v>89.255200000000002</v>
      </c>
      <c r="G79" s="59">
        <f>IF(($F5*'Jul''10 SP'!I35/'Jul''10 SP'!I36&gt;'Jul''10 SP'!I37),($F5*'Jul''10 SP'!I35/'Jul''10 SP'!I36-'Jul''10 SP'!I37)*'Jul''10 SP'!I41/100)*'Jul''10 SP'!I36</f>
        <v>91.054699999999997</v>
      </c>
      <c r="H79" s="59">
        <f>IF(($F5*'Jul''10 SP'!J35/'Jul''10 SP'!J36&gt;'Jul''10 SP'!J37),($F5*'Jul''10 SP'!J35/'Jul''10 SP'!J36-'Jul''10 SP'!J37)*'Jul''10 SP'!J41/100)*'Jul''10 SP'!J36</f>
        <v>103.72318000000001</v>
      </c>
      <c r="I79" s="59">
        <f>IF(($F5*'Jul''10 SP'!K35/'Jul''10 SP'!K36&gt;'Jul''10 SP'!K37),($F5*'Jul''10 SP'!K35/'Jul''10 SP'!K36-'Jul''10 SP'!K37)*'Jul''10 SP'!K41/100)*'Jul''10 SP'!K36</f>
        <v>94.261409</v>
      </c>
      <c r="J79" s="60"/>
    </row>
    <row r="80" spans="1:10" x14ac:dyDescent="0.15">
      <c r="A80" s="40" t="s">
        <v>612</v>
      </c>
      <c r="C80" s="59">
        <f>365*'Jul''10 SP'!E42/100</f>
        <v>169.63374999999999</v>
      </c>
      <c r="D80" s="59">
        <f>365*'Jul''10 SP'!F42/100</f>
        <v>168.63</v>
      </c>
      <c r="E80" s="59">
        <f>365*'Jul''10 SP'!G42/100</f>
        <v>170.09</v>
      </c>
      <c r="F80" s="59">
        <f>365*'Jul''10 SP'!H42/100</f>
        <v>164.542</v>
      </c>
      <c r="G80" s="59">
        <f>365*'Jul''10 SP'!I42/100</f>
        <v>159.19475</v>
      </c>
      <c r="H80" s="59">
        <f>365*'Jul''10 SP'!J42/100</f>
        <v>182.5</v>
      </c>
      <c r="I80" s="59">
        <f>365*'Jul''10 SP'!K42/100</f>
        <v>213.59800000000004</v>
      </c>
      <c r="J80" s="65">
        <f>AVERAGE(C80:I80)</f>
        <v>175.4555</v>
      </c>
    </row>
    <row r="81" spans="1:10" x14ac:dyDescent="0.15">
      <c r="A81" s="62" t="s">
        <v>613</v>
      </c>
      <c r="B81" s="63"/>
      <c r="C81" s="61">
        <f>SUM(C76:C80)</f>
        <v>623.31231600000001</v>
      </c>
      <c r="D81" s="61">
        <f t="shared" ref="D81:I81" si="7">SUM(D76:D80)</f>
        <v>625.73760700000003</v>
      </c>
      <c r="E81" s="61">
        <f t="shared" si="7"/>
        <v>621.94785400000001</v>
      </c>
      <c r="F81" s="61">
        <f t="shared" si="7"/>
        <v>590.58399999999995</v>
      </c>
      <c r="G81" s="61">
        <f t="shared" si="7"/>
        <v>596.42781000000002</v>
      </c>
      <c r="H81" s="61">
        <f t="shared" si="7"/>
        <v>675.47580199999993</v>
      </c>
      <c r="I81" s="61">
        <f t="shared" si="7"/>
        <v>726.31333720000009</v>
      </c>
      <c r="J81" s="64">
        <f>AVERAGE(C81:I81)</f>
        <v>637.11410374285708</v>
      </c>
    </row>
    <row r="83" spans="1:10" x14ac:dyDescent="0.15">
      <c r="A83" s="63"/>
      <c r="B83" s="63"/>
      <c r="C83" s="63"/>
      <c r="D83" s="63"/>
      <c r="E83" s="63"/>
      <c r="F83" s="63"/>
      <c r="G83" s="63"/>
      <c r="H83" s="63"/>
      <c r="I83" s="63"/>
      <c r="J83" s="63"/>
    </row>
    <row r="84" spans="1:10" x14ac:dyDescent="0.15">
      <c r="A84" s="53" t="s">
        <v>490</v>
      </c>
      <c r="C84" s="23" t="s">
        <v>1044</v>
      </c>
      <c r="D84" s="23" t="s">
        <v>591</v>
      </c>
      <c r="E84" s="23" t="s">
        <v>555</v>
      </c>
      <c r="F84" s="23" t="s">
        <v>544</v>
      </c>
      <c r="G84" s="23" t="s">
        <v>514</v>
      </c>
      <c r="H84" s="23" t="s">
        <v>615</v>
      </c>
      <c r="I84" s="23" t="s">
        <v>441</v>
      </c>
    </row>
    <row r="85" spans="1:10" x14ac:dyDescent="0.15">
      <c r="A85" s="40" t="s">
        <v>491</v>
      </c>
      <c r="C85" s="24">
        <v>0.05</v>
      </c>
      <c r="D85" s="25" t="s">
        <v>494</v>
      </c>
      <c r="E85" s="25" t="s">
        <v>494</v>
      </c>
      <c r="F85" s="25" t="s">
        <v>494</v>
      </c>
      <c r="G85" s="24">
        <v>0.05</v>
      </c>
      <c r="H85" s="25" t="s">
        <v>494</v>
      </c>
      <c r="I85" s="25" t="s">
        <v>494</v>
      </c>
    </row>
    <row r="86" spans="1:10" x14ac:dyDescent="0.15">
      <c r="A86" s="40" t="s">
        <v>496</v>
      </c>
      <c r="C86" s="25" t="s">
        <v>498</v>
      </c>
      <c r="D86" s="25" t="s">
        <v>494</v>
      </c>
      <c r="E86" s="25" t="s">
        <v>526</v>
      </c>
      <c r="F86" s="25" t="s">
        <v>526</v>
      </c>
      <c r="G86" s="25" t="s">
        <v>498</v>
      </c>
      <c r="H86" s="25" t="s">
        <v>498</v>
      </c>
      <c r="I86" s="25" t="s">
        <v>498</v>
      </c>
    </row>
    <row r="87" spans="1:10" x14ac:dyDescent="0.15">
      <c r="A87" s="40" t="s">
        <v>499</v>
      </c>
      <c r="C87" s="25" t="s">
        <v>512</v>
      </c>
      <c r="D87" s="25" t="s">
        <v>494</v>
      </c>
      <c r="E87" s="25" t="s">
        <v>512</v>
      </c>
      <c r="F87" s="25" t="s">
        <v>512</v>
      </c>
      <c r="G87" s="25" t="s">
        <v>512</v>
      </c>
      <c r="H87" s="25" t="s">
        <v>512</v>
      </c>
      <c r="I87" s="25" t="s">
        <v>512</v>
      </c>
    </row>
    <row r="88" spans="1:10" x14ac:dyDescent="0.15">
      <c r="A88" s="40" t="s">
        <v>501</v>
      </c>
      <c r="C88" s="25" t="s">
        <v>494</v>
      </c>
      <c r="D88" s="25" t="s">
        <v>494</v>
      </c>
      <c r="E88" s="24">
        <v>0.03</v>
      </c>
      <c r="F88" s="24">
        <v>0.05</v>
      </c>
      <c r="G88" s="25" t="s">
        <v>494</v>
      </c>
      <c r="H88" s="24">
        <v>0.05</v>
      </c>
      <c r="I88" s="24">
        <v>0.1</v>
      </c>
    </row>
    <row r="89" spans="1:10" x14ac:dyDescent="0.15">
      <c r="A89" s="40" t="s">
        <v>442</v>
      </c>
      <c r="C89" s="25" t="s">
        <v>512</v>
      </c>
      <c r="D89" s="25" t="s">
        <v>494</v>
      </c>
      <c r="E89" s="25" t="s">
        <v>494</v>
      </c>
      <c r="F89" s="25" t="s">
        <v>512</v>
      </c>
      <c r="G89" s="25" t="s">
        <v>494</v>
      </c>
      <c r="H89" s="25" t="s">
        <v>494</v>
      </c>
      <c r="I89" s="25" t="s">
        <v>494</v>
      </c>
    </row>
    <row r="90" spans="1:10" x14ac:dyDescent="0.15">
      <c r="A90" s="63"/>
      <c r="B90" s="63"/>
      <c r="C90" s="63"/>
      <c r="D90" s="63"/>
      <c r="E90" s="63"/>
      <c r="F90" s="63"/>
      <c r="G90" s="63"/>
      <c r="H90" s="63"/>
      <c r="I90" s="63"/>
      <c r="J90" s="63"/>
    </row>
  </sheetData>
  <sheetProtection algorithmName="SHA-512" hashValue="lmSoEtP3hJtHAxQ9mriJIyIaN9f6xrNLpG23yIrVx4ukFNBd7OAMTdj9YCd1/kyJO9wuwpZEf7+QlBzCixy/gQ==" saltValue="AmxkKa+YsTvkHr7Zi0w/6w==" spinCount="100000" sheet="1" objects="1" scenarios="1"/>
  <phoneticPr fontId="9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FFD66-AA30-8944-BEA0-DEDA334E3C70}">
  <sheetPr codeName="Sheet77"/>
  <dimension ref="A1:BP133"/>
  <sheetViews>
    <sheetView zoomScale="125" zoomScaleNormal="110" zoomScalePageLayoutView="130" workbookViewId="0">
      <selection activeCell="A13" sqref="A13:XFD13"/>
    </sheetView>
  </sheetViews>
  <sheetFormatPr baseColWidth="10" defaultColWidth="11.5" defaultRowHeight="13" x14ac:dyDescent="0.15"/>
  <cols>
    <col min="1" max="1" width="8.1640625" customWidth="1"/>
    <col min="3" max="3" width="6.33203125" customWidth="1"/>
    <col min="4" max="4" width="25.33203125" customWidth="1"/>
    <col min="6" max="6" width="16.1640625" customWidth="1"/>
    <col min="7" max="7" width="21.83203125" bestFit="1" customWidth="1"/>
    <col min="9" max="9" width="12.83203125" customWidth="1"/>
    <col min="53" max="53" width="50.6640625" customWidth="1"/>
    <col min="54" max="54" width="12.1640625" customWidth="1"/>
    <col min="55" max="55" width="10.83203125" customWidth="1"/>
    <col min="57" max="57" width="20.5" customWidth="1"/>
    <col min="58" max="58" width="14" bestFit="1" customWidth="1"/>
  </cols>
  <sheetData>
    <row r="1" spans="1:67" ht="71" x14ac:dyDescent="0.2">
      <c r="A1" s="429" t="s">
        <v>443</v>
      </c>
      <c r="B1" s="429" t="s">
        <v>444</v>
      </c>
      <c r="C1" s="430" t="s">
        <v>445</v>
      </c>
      <c r="D1" s="431" t="s">
        <v>446</v>
      </c>
      <c r="E1" s="429" t="s">
        <v>447</v>
      </c>
      <c r="F1" s="430" t="s">
        <v>725</v>
      </c>
      <c r="G1" s="431" t="s">
        <v>448</v>
      </c>
      <c r="H1" s="432" t="s">
        <v>449</v>
      </c>
      <c r="I1" s="433" t="s">
        <v>1247</v>
      </c>
      <c r="J1" s="433" t="s">
        <v>1248</v>
      </c>
      <c r="K1" s="433" t="s">
        <v>1249</v>
      </c>
      <c r="L1" s="433" t="s">
        <v>1250</v>
      </c>
      <c r="M1" s="433" t="s">
        <v>1251</v>
      </c>
      <c r="N1" s="434" t="s">
        <v>1252</v>
      </c>
      <c r="O1" s="435" t="s">
        <v>1253</v>
      </c>
      <c r="P1" s="435" t="s">
        <v>1254</v>
      </c>
      <c r="Q1" s="435" t="s">
        <v>1255</v>
      </c>
      <c r="R1" s="435" t="s">
        <v>1256</v>
      </c>
      <c r="S1" s="435" t="s">
        <v>1257</v>
      </c>
      <c r="T1" s="435" t="s">
        <v>1258</v>
      </c>
      <c r="U1" s="436" t="s">
        <v>1259</v>
      </c>
      <c r="V1" s="436" t="s">
        <v>1260</v>
      </c>
      <c r="W1" s="436" t="s">
        <v>1261</v>
      </c>
      <c r="X1" s="436" t="s">
        <v>1262</v>
      </c>
      <c r="Y1" s="436" t="s">
        <v>1263</v>
      </c>
      <c r="Z1" s="436" t="s">
        <v>1264</v>
      </c>
      <c r="AA1" s="437" t="s">
        <v>1265</v>
      </c>
      <c r="AB1" s="437" t="s">
        <v>1266</v>
      </c>
      <c r="AC1" s="437" t="s">
        <v>1267</v>
      </c>
      <c r="AD1" s="437" t="s">
        <v>1268</v>
      </c>
      <c r="AE1" s="437" t="s">
        <v>1269</v>
      </c>
      <c r="AF1" s="437" t="s">
        <v>1270</v>
      </c>
      <c r="AG1" s="438" t="s">
        <v>474</v>
      </c>
      <c r="AH1" s="438" t="s">
        <v>475</v>
      </c>
      <c r="AI1" s="438" t="s">
        <v>476</v>
      </c>
      <c r="AJ1" s="438" t="s">
        <v>477</v>
      </c>
      <c r="AK1" s="479" t="s">
        <v>478</v>
      </c>
      <c r="AL1" s="479" t="s">
        <v>479</v>
      </c>
      <c r="AM1" s="439" t="s">
        <v>1099</v>
      </c>
      <c r="AN1" s="440" t="s">
        <v>480</v>
      </c>
      <c r="AO1" s="441" t="s">
        <v>481</v>
      </c>
      <c r="AP1" s="440" t="s">
        <v>482</v>
      </c>
      <c r="AQ1" s="442" t="s">
        <v>483</v>
      </c>
      <c r="AR1" s="443" t="s">
        <v>484</v>
      </c>
      <c r="AS1" s="442" t="s">
        <v>485</v>
      </c>
      <c r="AT1" s="444" t="s">
        <v>1271</v>
      </c>
      <c r="AU1" s="445" t="s">
        <v>1272</v>
      </c>
      <c r="AV1" s="444" t="s">
        <v>36</v>
      </c>
      <c r="AW1" s="445" t="s">
        <v>37</v>
      </c>
      <c r="AX1" s="443" t="s">
        <v>384</v>
      </c>
      <c r="AY1" s="446" t="s">
        <v>385</v>
      </c>
      <c r="AZ1" s="429" t="s">
        <v>386</v>
      </c>
      <c r="BA1" s="447" t="s">
        <v>387</v>
      </c>
      <c r="BB1" s="448" t="s">
        <v>388</v>
      </c>
      <c r="BC1" s="447" t="s">
        <v>389</v>
      </c>
      <c r="BD1" s="447" t="s">
        <v>390</v>
      </c>
      <c r="BE1" s="447" t="s">
        <v>1136</v>
      </c>
      <c r="BF1" s="563" t="s">
        <v>1137</v>
      </c>
      <c r="BG1" s="429" t="s">
        <v>391</v>
      </c>
      <c r="BH1" s="430" t="s">
        <v>392</v>
      </c>
      <c r="BI1" s="447" t="s">
        <v>393</v>
      </c>
      <c r="BJ1" s="447" t="s">
        <v>394</v>
      </c>
      <c r="BK1" s="449" t="s">
        <v>1273</v>
      </c>
      <c r="BL1" s="430" t="s">
        <v>395</v>
      </c>
      <c r="BM1" s="447" t="s">
        <v>396</v>
      </c>
      <c r="BN1" s="429" t="s">
        <v>397</v>
      </c>
    </row>
    <row r="2" spans="1:67" ht="13" customHeight="1" x14ac:dyDescent="0.2">
      <c r="A2" s="525">
        <v>3159</v>
      </c>
      <c r="B2" s="630">
        <v>45140</v>
      </c>
      <c r="C2" s="526" t="s">
        <v>1138</v>
      </c>
      <c r="D2" s="525" t="s">
        <v>1100</v>
      </c>
      <c r="E2" s="527">
        <v>45108</v>
      </c>
      <c r="F2" s="529" t="s">
        <v>1139</v>
      </c>
      <c r="G2" s="525" t="s">
        <v>1646</v>
      </c>
      <c r="H2" s="532">
        <v>74.5</v>
      </c>
      <c r="I2" s="531" t="s">
        <v>296</v>
      </c>
      <c r="J2" s="459">
        <v>3000</v>
      </c>
      <c r="K2" s="459">
        <v>6000</v>
      </c>
      <c r="L2" s="459">
        <v>9000</v>
      </c>
      <c r="M2" s="459">
        <v>15000</v>
      </c>
      <c r="N2" s="525"/>
      <c r="O2" s="532">
        <v>3.3272727272727272</v>
      </c>
      <c r="P2" s="532">
        <v>2.9454545454545453</v>
      </c>
      <c r="Q2" s="532">
        <v>2.3636363636363633</v>
      </c>
      <c r="R2" s="532">
        <v>1.9454545454545453</v>
      </c>
      <c r="S2" s="532">
        <v>1.8909090909090909</v>
      </c>
      <c r="T2" s="533"/>
      <c r="U2" s="532">
        <v>3.1181818181818182</v>
      </c>
      <c r="V2" s="532">
        <v>2.7272727272727271</v>
      </c>
      <c r="W2" s="532">
        <v>2.2363636363636363</v>
      </c>
      <c r="X2" s="532">
        <v>1.8909090909090909</v>
      </c>
      <c r="Y2" s="532">
        <v>1.6545454545454545</v>
      </c>
      <c r="Z2" s="533"/>
      <c r="AA2" s="533"/>
      <c r="AB2" s="533"/>
      <c r="AC2" s="533"/>
      <c r="AD2" s="533"/>
      <c r="AE2" s="533"/>
      <c r="AF2" s="533"/>
      <c r="AG2" s="528" t="s">
        <v>1143</v>
      </c>
      <c r="AH2" s="528" t="s">
        <v>1144</v>
      </c>
      <c r="AI2" s="528">
        <v>3</v>
      </c>
      <c r="AJ2" s="528">
        <v>3</v>
      </c>
      <c r="AK2" s="480">
        <v>0.5</v>
      </c>
      <c r="AL2" s="480">
        <v>0.5</v>
      </c>
      <c r="AM2" s="525" t="s">
        <v>1118</v>
      </c>
      <c r="AN2" s="528">
        <v>0</v>
      </c>
      <c r="AO2" s="528">
        <v>0</v>
      </c>
      <c r="AP2" s="528">
        <v>0</v>
      </c>
      <c r="AQ2" s="528">
        <v>0</v>
      </c>
      <c r="AR2" s="528">
        <v>0</v>
      </c>
      <c r="AS2" s="528">
        <v>0</v>
      </c>
      <c r="AT2" s="528">
        <v>0</v>
      </c>
      <c r="AU2" s="528">
        <v>0</v>
      </c>
      <c r="AV2" s="528">
        <v>0</v>
      </c>
      <c r="AW2" s="528">
        <v>0</v>
      </c>
      <c r="AX2" s="528">
        <v>0</v>
      </c>
      <c r="AY2" s="528">
        <v>0</v>
      </c>
      <c r="AZ2" s="528"/>
      <c r="BA2" s="528" t="s">
        <v>1145</v>
      </c>
      <c r="BB2" s="528"/>
      <c r="BC2" s="528" t="s">
        <v>1145</v>
      </c>
      <c r="BD2" s="528"/>
      <c r="BE2" s="528"/>
      <c r="BF2" s="528"/>
      <c r="BG2" s="597"/>
      <c r="BH2" s="598"/>
      <c r="BI2" s="566"/>
      <c r="BJ2" s="528" t="s">
        <v>1146</v>
      </c>
      <c r="BK2" s="528"/>
      <c r="BL2" s="529" t="s">
        <v>1647</v>
      </c>
      <c r="BM2" s="529" t="s">
        <v>1752</v>
      </c>
      <c r="BN2" s="525"/>
    </row>
    <row r="3" spans="1:67" ht="13" customHeight="1" x14ac:dyDescent="0.2">
      <c r="A3" s="525">
        <v>1047</v>
      </c>
      <c r="B3" s="630">
        <v>45140</v>
      </c>
      <c r="C3" s="526" t="s">
        <v>1138</v>
      </c>
      <c r="D3" s="525" t="s">
        <v>1100</v>
      </c>
      <c r="E3" s="527">
        <v>45108</v>
      </c>
      <c r="F3" s="529" t="s">
        <v>1148</v>
      </c>
      <c r="G3" s="525" t="s">
        <v>1280</v>
      </c>
      <c r="H3" s="532">
        <v>65.272727272727266</v>
      </c>
      <c r="I3" s="531" t="s">
        <v>296</v>
      </c>
      <c r="J3" s="459">
        <v>3000</v>
      </c>
      <c r="K3" s="459">
        <v>6000</v>
      </c>
      <c r="L3" s="459">
        <v>6000</v>
      </c>
      <c r="M3" s="459">
        <v>6000</v>
      </c>
      <c r="N3" s="525"/>
      <c r="O3" s="532">
        <v>3.6818181818181812</v>
      </c>
      <c r="P3" s="532">
        <v>3.2636363636363632</v>
      </c>
      <c r="Q3" s="532">
        <v>0</v>
      </c>
      <c r="R3" s="532">
        <v>0</v>
      </c>
      <c r="S3" s="532">
        <v>2.545454545454545</v>
      </c>
      <c r="T3" s="533"/>
      <c r="U3" s="532">
        <v>3.5363636363636362</v>
      </c>
      <c r="V3" s="532">
        <v>3.1090909090909089</v>
      </c>
      <c r="W3" s="532">
        <v>0</v>
      </c>
      <c r="X3" s="532">
        <v>0</v>
      </c>
      <c r="Y3" s="532">
        <v>2.545454545454545</v>
      </c>
      <c r="Z3" s="533"/>
      <c r="AA3" s="533"/>
      <c r="AB3" s="533"/>
      <c r="AC3" s="533"/>
      <c r="AD3" s="533"/>
      <c r="AE3" s="533"/>
      <c r="AF3" s="533"/>
      <c r="AG3" s="528" t="s">
        <v>1143</v>
      </c>
      <c r="AH3" s="528" t="s">
        <v>1144</v>
      </c>
      <c r="AI3" s="528">
        <v>3</v>
      </c>
      <c r="AJ3" s="528">
        <v>3</v>
      </c>
      <c r="AK3" s="480">
        <v>0.5</v>
      </c>
      <c r="AL3" s="480">
        <v>0.5</v>
      </c>
      <c r="AM3" s="525" t="s">
        <v>1118</v>
      </c>
      <c r="AN3" s="528">
        <v>0</v>
      </c>
      <c r="AO3" s="528">
        <v>0</v>
      </c>
      <c r="AP3" s="528">
        <v>0</v>
      </c>
      <c r="AQ3" s="528">
        <v>0</v>
      </c>
      <c r="AR3" s="528">
        <v>0</v>
      </c>
      <c r="AS3" s="528">
        <v>0</v>
      </c>
      <c r="AT3" s="528">
        <v>0</v>
      </c>
      <c r="AU3" s="528">
        <v>0</v>
      </c>
      <c r="AV3" s="528">
        <v>0</v>
      </c>
      <c r="AW3" s="528">
        <v>0</v>
      </c>
      <c r="AX3" s="528">
        <v>0</v>
      </c>
      <c r="AY3" s="528">
        <v>0</v>
      </c>
      <c r="AZ3" s="528"/>
      <c r="BA3" s="528" t="s">
        <v>1145</v>
      </c>
      <c r="BB3" s="528"/>
      <c r="BC3" s="528" t="s">
        <v>1145</v>
      </c>
      <c r="BD3" s="528"/>
      <c r="BE3" s="528"/>
      <c r="BF3" s="528"/>
      <c r="BG3" s="529"/>
      <c r="BH3" s="525"/>
      <c r="BI3" s="528"/>
      <c r="BJ3" s="528" t="s">
        <v>4</v>
      </c>
      <c r="BK3" s="528"/>
      <c r="BL3" s="529"/>
      <c r="BM3" s="525"/>
      <c r="BN3" s="525"/>
    </row>
    <row r="4" spans="1:67" ht="13" customHeight="1" x14ac:dyDescent="0.2">
      <c r="A4" s="525">
        <v>2545</v>
      </c>
      <c r="B4" s="630">
        <v>45140</v>
      </c>
      <c r="C4" s="526" t="s">
        <v>1138</v>
      </c>
      <c r="D4" s="525" t="s">
        <v>1100</v>
      </c>
      <c r="E4" s="527">
        <v>45140</v>
      </c>
      <c r="F4" s="529" t="s">
        <v>1052</v>
      </c>
      <c r="G4" s="525" t="s">
        <v>1181</v>
      </c>
      <c r="H4" s="532">
        <v>69.054545454545448</v>
      </c>
      <c r="I4" s="531" t="s">
        <v>296</v>
      </c>
      <c r="J4" s="459">
        <v>3000</v>
      </c>
      <c r="K4" s="459">
        <v>6000</v>
      </c>
      <c r="L4" s="459">
        <v>9000</v>
      </c>
      <c r="M4" s="459">
        <v>15000</v>
      </c>
      <c r="N4" s="525"/>
      <c r="O4" s="532">
        <v>3.0909090909090904</v>
      </c>
      <c r="P4" s="532">
        <v>2.7636363636363632</v>
      </c>
      <c r="Q4" s="532">
        <v>2.4272727272727268</v>
      </c>
      <c r="R4" s="532">
        <v>2.2727272727272725</v>
      </c>
      <c r="S4" s="532">
        <v>2.2363636363636363</v>
      </c>
      <c r="T4" s="533"/>
      <c r="U4" s="532">
        <v>3.0909090909090904</v>
      </c>
      <c r="V4" s="532">
        <v>2.7636363636363632</v>
      </c>
      <c r="W4" s="532">
        <v>2.4272727272727268</v>
      </c>
      <c r="X4" s="532">
        <v>2.2727272727272725</v>
      </c>
      <c r="Y4" s="532">
        <v>2.2363636363636363</v>
      </c>
      <c r="Z4" s="533"/>
      <c r="AA4" s="533"/>
      <c r="AB4" s="533"/>
      <c r="AC4" s="533"/>
      <c r="AD4" s="533"/>
      <c r="AE4" s="533"/>
      <c r="AF4" s="533"/>
      <c r="AG4" s="528" t="s">
        <v>1143</v>
      </c>
      <c r="AH4" s="528" t="s">
        <v>1144</v>
      </c>
      <c r="AI4" s="528">
        <v>3</v>
      </c>
      <c r="AJ4" s="528">
        <v>3</v>
      </c>
      <c r="AK4" s="480">
        <v>0.5</v>
      </c>
      <c r="AL4" s="480">
        <v>0.5</v>
      </c>
      <c r="AM4" s="525" t="s">
        <v>1118</v>
      </c>
      <c r="AN4" s="528">
        <v>0</v>
      </c>
      <c r="AO4" s="528">
        <v>0</v>
      </c>
      <c r="AP4" s="528">
        <v>0</v>
      </c>
      <c r="AQ4" s="528">
        <v>0</v>
      </c>
      <c r="AR4" s="528">
        <v>0</v>
      </c>
      <c r="AS4" s="528">
        <v>0</v>
      </c>
      <c r="AT4" s="528">
        <v>0</v>
      </c>
      <c r="AU4" s="528">
        <v>0</v>
      </c>
      <c r="AV4" s="528">
        <v>0</v>
      </c>
      <c r="AW4" s="528">
        <v>0</v>
      </c>
      <c r="AX4" s="528">
        <v>0</v>
      </c>
      <c r="AY4" s="528">
        <v>0</v>
      </c>
      <c r="AZ4" s="528"/>
      <c r="BA4" s="528" t="s">
        <v>1145</v>
      </c>
      <c r="BB4" s="528"/>
      <c r="BC4" s="528" t="s">
        <v>1145</v>
      </c>
      <c r="BD4" s="528"/>
      <c r="BE4" s="528"/>
      <c r="BF4" s="528"/>
      <c r="BG4" s="529"/>
      <c r="BH4" s="525"/>
      <c r="BI4" s="528"/>
      <c r="BJ4" s="528" t="s">
        <v>1146</v>
      </c>
      <c r="BK4" s="528"/>
      <c r="BL4" s="529"/>
      <c r="BM4" s="529" t="s">
        <v>1155</v>
      </c>
      <c r="BN4" s="525"/>
    </row>
    <row r="5" spans="1:67" ht="13" customHeight="1" x14ac:dyDescent="0.2">
      <c r="A5" s="525">
        <v>3520</v>
      </c>
      <c r="B5" s="630">
        <v>45140</v>
      </c>
      <c r="C5" s="526" t="s">
        <v>1138</v>
      </c>
      <c r="D5" s="525" t="s">
        <v>1100</v>
      </c>
      <c r="E5" s="527">
        <v>45063</v>
      </c>
      <c r="F5" s="529" t="s">
        <v>1156</v>
      </c>
      <c r="G5" s="525" t="s">
        <v>1649</v>
      </c>
      <c r="H5" s="532">
        <v>100.73636363636363</v>
      </c>
      <c r="I5" s="531" t="s">
        <v>296</v>
      </c>
      <c r="J5" s="459">
        <v>3000</v>
      </c>
      <c r="K5" s="459">
        <v>6000</v>
      </c>
      <c r="L5" s="459">
        <v>9000</v>
      </c>
      <c r="M5" s="459">
        <v>15000</v>
      </c>
      <c r="N5" s="525"/>
      <c r="O5" s="532">
        <v>4.0636363636363635</v>
      </c>
      <c r="P5" s="532">
        <v>3.5090909090909088</v>
      </c>
      <c r="Q5" s="532">
        <v>2.8727272727272726</v>
      </c>
      <c r="R5" s="532">
        <v>2.4909090909090907</v>
      </c>
      <c r="S5" s="532">
        <v>2.418181818181818</v>
      </c>
      <c r="T5" s="533"/>
      <c r="U5" s="532">
        <v>3.9545454545454537</v>
      </c>
      <c r="V5" s="532">
        <v>3.3727272727272726</v>
      </c>
      <c r="W5" s="532">
        <v>2.8</v>
      </c>
      <c r="X5" s="532">
        <v>2.4</v>
      </c>
      <c r="Y5" s="532">
        <v>2.3818181818181818</v>
      </c>
      <c r="Z5" s="533"/>
      <c r="AA5" s="533"/>
      <c r="AB5" s="533"/>
      <c r="AC5" s="533"/>
      <c r="AD5" s="533"/>
      <c r="AE5" s="533"/>
      <c r="AF5" s="533"/>
      <c r="AG5" s="528" t="s">
        <v>1143</v>
      </c>
      <c r="AH5" s="528" t="s">
        <v>1144</v>
      </c>
      <c r="AI5" s="528">
        <v>3</v>
      </c>
      <c r="AJ5" s="528">
        <v>3</v>
      </c>
      <c r="AK5" s="480">
        <v>0.5</v>
      </c>
      <c r="AL5" s="480">
        <v>0.5</v>
      </c>
      <c r="AM5" s="525" t="s">
        <v>1118</v>
      </c>
      <c r="AN5" s="528">
        <v>25</v>
      </c>
      <c r="AO5" s="528">
        <v>0</v>
      </c>
      <c r="AP5" s="528">
        <v>0</v>
      </c>
      <c r="AQ5" s="528">
        <v>0</v>
      </c>
      <c r="AR5" s="528">
        <v>0</v>
      </c>
      <c r="AS5" s="528">
        <v>0</v>
      </c>
      <c r="AT5" s="528">
        <v>0</v>
      </c>
      <c r="AU5" s="528">
        <v>0</v>
      </c>
      <c r="AV5" s="528">
        <v>0</v>
      </c>
      <c r="AW5" s="528">
        <v>0</v>
      </c>
      <c r="AX5" s="528">
        <v>0</v>
      </c>
      <c r="AY5" s="528">
        <v>0</v>
      </c>
      <c r="AZ5" s="566">
        <v>12</v>
      </c>
      <c r="BA5" s="528" t="s">
        <v>1145</v>
      </c>
      <c r="BB5" s="528"/>
      <c r="BC5" s="528" t="s">
        <v>1145</v>
      </c>
      <c r="BD5" s="528"/>
      <c r="BE5" s="528"/>
      <c r="BF5" s="528"/>
      <c r="BG5" s="529"/>
      <c r="BH5" s="525"/>
      <c r="BI5" s="528"/>
      <c r="BJ5" s="528" t="s">
        <v>1146</v>
      </c>
      <c r="BK5" s="528"/>
      <c r="BL5" s="529"/>
      <c r="BM5" s="529" t="s">
        <v>1753</v>
      </c>
      <c r="BN5" s="525"/>
    </row>
    <row r="6" spans="1:67" ht="13" customHeight="1" x14ac:dyDescent="0.2">
      <c r="A6" s="525">
        <v>2877</v>
      </c>
      <c r="B6" s="630">
        <v>45140</v>
      </c>
      <c r="C6" s="526" t="s">
        <v>1138</v>
      </c>
      <c r="D6" s="525" t="s">
        <v>1100</v>
      </c>
      <c r="E6" s="527">
        <v>45092</v>
      </c>
      <c r="F6" s="529" t="s">
        <v>1159</v>
      </c>
      <c r="G6" s="525" t="s">
        <v>1105</v>
      </c>
      <c r="H6" s="532">
        <v>92.98181818181817</v>
      </c>
      <c r="I6" s="531" t="s">
        <v>296</v>
      </c>
      <c r="J6" s="459">
        <v>3000</v>
      </c>
      <c r="K6" s="459">
        <v>6000</v>
      </c>
      <c r="L6" s="459">
        <v>9000</v>
      </c>
      <c r="M6" s="459">
        <v>15000</v>
      </c>
      <c r="N6" s="525"/>
      <c r="O6" s="532">
        <v>3.9181818181818175</v>
      </c>
      <c r="P6" s="532">
        <v>3.5818181818181816</v>
      </c>
      <c r="Q6" s="532">
        <v>2.754545454545454</v>
      </c>
      <c r="R6" s="532">
        <v>2.2818181818181813</v>
      </c>
      <c r="S6" s="532">
        <v>2.2363636363636363</v>
      </c>
      <c r="T6" s="533"/>
      <c r="U6" s="532">
        <v>3.5999999999999996</v>
      </c>
      <c r="V6" s="532">
        <v>2.7818181818181817</v>
      </c>
      <c r="W6" s="532">
        <v>2.3818181818181818</v>
      </c>
      <c r="X6" s="532">
        <v>2.1727272727272728</v>
      </c>
      <c r="Y6" s="532">
        <v>1.918181818181818</v>
      </c>
      <c r="Z6" s="533"/>
      <c r="AA6" s="533"/>
      <c r="AB6" s="533"/>
      <c r="AC6" s="533"/>
      <c r="AD6" s="533"/>
      <c r="AE6" s="533"/>
      <c r="AF6" s="533"/>
      <c r="AG6" s="528" t="s">
        <v>1143</v>
      </c>
      <c r="AH6" s="528" t="s">
        <v>1144</v>
      </c>
      <c r="AI6" s="528">
        <v>3</v>
      </c>
      <c r="AJ6" s="528">
        <v>3</v>
      </c>
      <c r="AK6" s="480">
        <v>0.5</v>
      </c>
      <c r="AL6" s="480">
        <v>0.5</v>
      </c>
      <c r="AM6" s="525" t="s">
        <v>1118</v>
      </c>
      <c r="AN6" s="528">
        <v>0</v>
      </c>
      <c r="AO6" s="528">
        <v>0</v>
      </c>
      <c r="AP6" s="528">
        <v>0</v>
      </c>
      <c r="AQ6" s="528">
        <v>0</v>
      </c>
      <c r="AR6" s="528">
        <v>0</v>
      </c>
      <c r="AS6" s="528">
        <v>0</v>
      </c>
      <c r="AT6" s="528">
        <v>0</v>
      </c>
      <c r="AU6" s="528">
        <v>0</v>
      </c>
      <c r="AV6" s="528">
        <v>0</v>
      </c>
      <c r="AW6" s="528">
        <v>0</v>
      </c>
      <c r="AX6" s="528">
        <v>0</v>
      </c>
      <c r="AY6" s="528">
        <v>0</v>
      </c>
      <c r="AZ6" s="528"/>
      <c r="BA6" s="528" t="s">
        <v>1145</v>
      </c>
      <c r="BB6" s="528"/>
      <c r="BC6" s="528" t="s">
        <v>1145</v>
      </c>
      <c r="BD6" s="528"/>
      <c r="BE6" s="528"/>
      <c r="BF6" s="564">
        <v>45535</v>
      </c>
      <c r="BG6" s="529"/>
      <c r="BH6" s="525"/>
      <c r="BI6" s="528"/>
      <c r="BJ6" s="528" t="s">
        <v>1146</v>
      </c>
      <c r="BK6" s="528"/>
      <c r="BL6" s="529"/>
      <c r="BM6" s="529" t="s">
        <v>1754</v>
      </c>
      <c r="BN6" s="525"/>
    </row>
    <row r="7" spans="1:67" ht="13" customHeight="1" x14ac:dyDescent="0.2">
      <c r="A7" s="525">
        <v>3366</v>
      </c>
      <c r="B7" s="630">
        <v>45140</v>
      </c>
      <c r="C7" s="526" t="s">
        <v>1138</v>
      </c>
      <c r="D7" s="525" t="s">
        <v>1100</v>
      </c>
      <c r="E7" s="527">
        <v>45108</v>
      </c>
      <c r="F7" s="529" t="s">
        <v>1166</v>
      </c>
      <c r="G7" s="525" t="s">
        <v>1651</v>
      </c>
      <c r="H7" s="532">
        <v>76.318181818181813</v>
      </c>
      <c r="I7" s="531" t="s">
        <v>296</v>
      </c>
      <c r="J7" s="459">
        <v>6000</v>
      </c>
      <c r="K7" s="459">
        <v>6000</v>
      </c>
      <c r="L7" s="459">
        <v>6000</v>
      </c>
      <c r="M7" s="459">
        <v>6000</v>
      </c>
      <c r="N7" s="568"/>
      <c r="O7" s="532">
        <v>3.1999999999999997</v>
      </c>
      <c r="P7" s="532">
        <v>0</v>
      </c>
      <c r="Q7" s="532">
        <v>0</v>
      </c>
      <c r="R7" s="532">
        <v>0</v>
      </c>
      <c r="S7" s="532">
        <v>2.127272727272727</v>
      </c>
      <c r="T7" s="533"/>
      <c r="U7" s="532">
        <v>3.1999999999999997</v>
      </c>
      <c r="V7" s="532">
        <v>0</v>
      </c>
      <c r="W7" s="532">
        <v>0</v>
      </c>
      <c r="X7" s="532">
        <v>0</v>
      </c>
      <c r="Y7" s="532">
        <v>2.127272727272727</v>
      </c>
      <c r="Z7" s="533"/>
      <c r="AA7" s="533"/>
      <c r="AB7" s="533"/>
      <c r="AC7" s="533"/>
      <c r="AD7" s="533"/>
      <c r="AE7" s="533"/>
      <c r="AF7" s="533"/>
      <c r="AG7" s="528" t="s">
        <v>1145</v>
      </c>
      <c r="AH7" s="528"/>
      <c r="AI7" s="528">
        <v>3</v>
      </c>
      <c r="AJ7" s="528">
        <v>3</v>
      </c>
      <c r="AK7" s="480">
        <v>0.5</v>
      </c>
      <c r="AL7" s="480">
        <v>0.5</v>
      </c>
      <c r="AM7" s="525"/>
      <c r="AN7" s="528">
        <v>0</v>
      </c>
      <c r="AO7" s="528">
        <v>0</v>
      </c>
      <c r="AP7" s="528">
        <v>0</v>
      </c>
      <c r="AQ7" s="528">
        <v>0</v>
      </c>
      <c r="AR7" s="528">
        <v>0</v>
      </c>
      <c r="AS7" s="528">
        <v>0</v>
      </c>
      <c r="AT7" s="528">
        <v>0</v>
      </c>
      <c r="AU7" s="528">
        <v>0</v>
      </c>
      <c r="AV7" s="528">
        <v>0</v>
      </c>
      <c r="AW7" s="528">
        <v>0</v>
      </c>
      <c r="AX7" s="528">
        <v>0</v>
      </c>
      <c r="AY7" s="528">
        <v>0</v>
      </c>
      <c r="AZ7" s="528"/>
      <c r="BA7" s="528" t="s">
        <v>1145</v>
      </c>
      <c r="BB7" s="528"/>
      <c r="BC7" s="528" t="s">
        <v>1145</v>
      </c>
      <c r="BD7" s="528"/>
      <c r="BE7" s="528"/>
      <c r="BF7" s="528"/>
      <c r="BG7" s="529"/>
      <c r="BH7" s="525"/>
      <c r="BI7" s="600"/>
      <c r="BJ7" s="528" t="s">
        <v>1146</v>
      </c>
      <c r="BK7" s="528"/>
      <c r="BL7" s="529"/>
      <c r="BM7" s="525"/>
      <c r="BN7" s="525"/>
      <c r="BO7" s="366"/>
    </row>
    <row r="8" spans="1:67" ht="13" customHeight="1" x14ac:dyDescent="0.2">
      <c r="A8" s="525">
        <v>2394</v>
      </c>
      <c r="B8" s="630">
        <v>45140</v>
      </c>
      <c r="C8" s="526" t="s">
        <v>1138</v>
      </c>
      <c r="D8" s="525" t="s">
        <v>1100</v>
      </c>
      <c r="E8" s="570">
        <v>45035</v>
      </c>
      <c r="F8" s="529" t="s">
        <v>1168</v>
      </c>
      <c r="G8" s="525" t="s">
        <v>1297</v>
      </c>
      <c r="H8" s="532">
        <v>75</v>
      </c>
      <c r="I8" s="531" t="s">
        <v>296</v>
      </c>
      <c r="J8" s="459">
        <v>3000</v>
      </c>
      <c r="K8" s="459">
        <v>6000</v>
      </c>
      <c r="L8" s="459">
        <v>9000</v>
      </c>
      <c r="M8" s="459">
        <v>15000</v>
      </c>
      <c r="N8" s="525"/>
      <c r="O8" s="532">
        <v>3.3818181818181818</v>
      </c>
      <c r="P8" s="532">
        <v>2.9909090909090907</v>
      </c>
      <c r="Q8" s="532">
        <v>2.4636363636363634</v>
      </c>
      <c r="R8" s="532">
        <v>2</v>
      </c>
      <c r="S8" s="532">
        <v>1.8999999999999997</v>
      </c>
      <c r="T8" s="533"/>
      <c r="U8" s="532">
        <v>3.1909090909090905</v>
      </c>
      <c r="V8" s="532">
        <v>2.6545454545454543</v>
      </c>
      <c r="W8" s="532">
        <v>2.1</v>
      </c>
      <c r="X8" s="532">
        <v>1.8999999999999997</v>
      </c>
      <c r="Y8" s="532">
        <v>1.8545454545454545</v>
      </c>
      <c r="Z8" s="533"/>
      <c r="AA8" s="533"/>
      <c r="AB8" s="533"/>
      <c r="AC8" s="533"/>
      <c r="AD8" s="533"/>
      <c r="AE8" s="533"/>
      <c r="AF8" s="533"/>
      <c r="AG8" s="528" t="s">
        <v>1143</v>
      </c>
      <c r="AH8" s="528" t="s">
        <v>1144</v>
      </c>
      <c r="AI8" s="528">
        <v>3</v>
      </c>
      <c r="AJ8" s="528">
        <v>3</v>
      </c>
      <c r="AK8" s="480">
        <v>0.5</v>
      </c>
      <c r="AL8" s="480">
        <v>0.5</v>
      </c>
      <c r="AM8" s="525" t="s">
        <v>1118</v>
      </c>
      <c r="AN8" s="528">
        <v>0</v>
      </c>
      <c r="AO8" s="528">
        <v>0</v>
      </c>
      <c r="AP8" s="528">
        <v>0</v>
      </c>
      <c r="AQ8" s="528">
        <v>0</v>
      </c>
      <c r="AR8" s="528">
        <v>0</v>
      </c>
      <c r="AS8" s="528">
        <v>0</v>
      </c>
      <c r="AT8" s="528">
        <v>0</v>
      </c>
      <c r="AU8" s="528">
        <v>0</v>
      </c>
      <c r="AV8" s="528">
        <v>0</v>
      </c>
      <c r="AW8" s="528">
        <v>0</v>
      </c>
      <c r="AX8" s="528">
        <v>0</v>
      </c>
      <c r="AY8" s="528">
        <v>0</v>
      </c>
      <c r="AZ8" s="528"/>
      <c r="BA8" s="528" t="s">
        <v>1145</v>
      </c>
      <c r="BB8" s="528"/>
      <c r="BC8" s="528" t="s">
        <v>1145</v>
      </c>
      <c r="BD8" s="528"/>
      <c r="BE8" s="528"/>
      <c r="BF8" s="528"/>
      <c r="BG8" s="529"/>
      <c r="BH8" s="525"/>
      <c r="BI8" s="528"/>
      <c r="BJ8" s="528" t="s">
        <v>1146</v>
      </c>
      <c r="BK8" s="528"/>
      <c r="BL8" s="529"/>
      <c r="BM8" s="529" t="s">
        <v>1757</v>
      </c>
      <c r="BN8" s="525"/>
    </row>
    <row r="9" spans="1:67" ht="13" customHeight="1" x14ac:dyDescent="0.2">
      <c r="A9" s="525">
        <v>271</v>
      </c>
      <c r="B9" s="630">
        <v>45140</v>
      </c>
      <c r="C9" s="526" t="s">
        <v>1138</v>
      </c>
      <c r="D9" s="525" t="s">
        <v>1100</v>
      </c>
      <c r="E9" s="527">
        <v>45108</v>
      </c>
      <c r="F9" s="529" t="s">
        <v>1169</v>
      </c>
      <c r="G9" s="525" t="s">
        <v>1758</v>
      </c>
      <c r="H9" s="532">
        <v>81.881818181818176</v>
      </c>
      <c r="I9" s="531" t="s">
        <v>296</v>
      </c>
      <c r="J9" s="459">
        <v>3000</v>
      </c>
      <c r="K9" s="459">
        <v>6000</v>
      </c>
      <c r="L9" s="459">
        <v>9000</v>
      </c>
      <c r="M9" s="459">
        <v>15000</v>
      </c>
      <c r="N9" s="525"/>
      <c r="O9" s="532">
        <v>3.6636363636363636</v>
      </c>
      <c r="P9" s="532">
        <v>3.2818181818181813</v>
      </c>
      <c r="Q9" s="532">
        <v>2.8272727272727267</v>
      </c>
      <c r="R9" s="532">
        <v>2.5727272727272728</v>
      </c>
      <c r="S9" s="532">
        <v>2.5090909090909088</v>
      </c>
      <c r="T9" s="533"/>
      <c r="U9" s="532">
        <v>3.6636363636363636</v>
      </c>
      <c r="V9" s="532">
        <v>3.2818181818181813</v>
      </c>
      <c r="W9" s="532">
        <v>2.8272727272727267</v>
      </c>
      <c r="X9" s="532">
        <v>2.5727272727272728</v>
      </c>
      <c r="Y9" s="532">
        <v>2.5090909090909088</v>
      </c>
      <c r="Z9" s="533"/>
      <c r="AA9" s="533"/>
      <c r="AB9" s="533"/>
      <c r="AC9" s="533"/>
      <c r="AD9" s="533"/>
      <c r="AE9" s="533"/>
      <c r="AF9" s="533"/>
      <c r="AG9" s="528" t="s">
        <v>1145</v>
      </c>
      <c r="AH9" s="528"/>
      <c r="AI9" s="528">
        <v>3</v>
      </c>
      <c r="AJ9" s="528">
        <v>3</v>
      </c>
      <c r="AK9" s="480">
        <v>0.5</v>
      </c>
      <c r="AL9" s="480">
        <v>0.5</v>
      </c>
      <c r="AM9" s="525"/>
      <c r="AN9" s="528">
        <v>10</v>
      </c>
      <c r="AO9" s="528">
        <v>0</v>
      </c>
      <c r="AP9" s="528">
        <v>0</v>
      </c>
      <c r="AQ9" s="528">
        <v>0</v>
      </c>
      <c r="AR9" s="528">
        <v>0</v>
      </c>
      <c r="AS9" s="528">
        <v>0</v>
      </c>
      <c r="AT9" s="528">
        <v>0</v>
      </c>
      <c r="AU9" s="528">
        <v>0</v>
      </c>
      <c r="AV9" s="528">
        <v>0</v>
      </c>
      <c r="AW9" s="528">
        <v>0</v>
      </c>
      <c r="AX9" s="528">
        <v>0</v>
      </c>
      <c r="AY9" s="528">
        <v>0</v>
      </c>
      <c r="AZ9" s="528"/>
      <c r="BA9" s="528" t="s">
        <v>1145</v>
      </c>
      <c r="BB9" s="528"/>
      <c r="BC9" s="528" t="s">
        <v>1145</v>
      </c>
      <c r="BD9" s="528"/>
      <c r="BE9" s="528"/>
      <c r="BF9" s="528"/>
      <c r="BG9" s="529"/>
      <c r="BH9" s="525"/>
      <c r="BI9" s="528"/>
      <c r="BJ9" s="528" t="s">
        <v>1146</v>
      </c>
      <c r="BK9" s="528"/>
      <c r="BL9" s="529"/>
      <c r="BM9" s="602" t="s">
        <v>1759</v>
      </c>
      <c r="BN9" s="525"/>
    </row>
    <row r="10" spans="1:67" ht="13" customHeight="1" x14ac:dyDescent="0.2">
      <c r="A10" s="525">
        <v>1682</v>
      </c>
      <c r="B10" s="630">
        <v>45140</v>
      </c>
      <c r="C10" s="526" t="s">
        <v>295</v>
      </c>
      <c r="D10" s="525" t="s">
        <v>1100</v>
      </c>
      <c r="E10" s="527">
        <v>45103</v>
      </c>
      <c r="F10" s="529" t="s">
        <v>1106</v>
      </c>
      <c r="G10" s="525" t="s">
        <v>2</v>
      </c>
      <c r="H10" s="532">
        <v>64</v>
      </c>
      <c r="I10" s="531" t="s">
        <v>296</v>
      </c>
      <c r="J10" s="459">
        <v>6000</v>
      </c>
      <c r="K10" s="459">
        <v>6000</v>
      </c>
      <c r="L10" s="459">
        <v>6000</v>
      </c>
      <c r="M10" s="459">
        <v>6000</v>
      </c>
      <c r="N10" s="525"/>
      <c r="O10" s="532">
        <v>3.2181818181818178</v>
      </c>
      <c r="P10" s="532">
        <v>0</v>
      </c>
      <c r="Q10" s="532">
        <v>0</v>
      </c>
      <c r="R10" s="532">
        <v>0</v>
      </c>
      <c r="S10" s="532">
        <v>2.709090909090909</v>
      </c>
      <c r="T10" s="533"/>
      <c r="U10" s="532">
        <v>3.2181818181818178</v>
      </c>
      <c r="V10" s="532">
        <v>0</v>
      </c>
      <c r="W10" s="532">
        <v>0</v>
      </c>
      <c r="X10" s="532">
        <v>0</v>
      </c>
      <c r="Y10" s="532">
        <v>2.709090909090909</v>
      </c>
      <c r="Z10" s="533"/>
      <c r="AA10" s="533"/>
      <c r="AB10" s="533"/>
      <c r="AC10" s="533"/>
      <c r="AD10" s="533"/>
      <c r="AE10" s="533"/>
      <c r="AF10" s="533"/>
      <c r="AG10" s="528" t="s">
        <v>297</v>
      </c>
      <c r="AH10" s="528" t="s">
        <v>298</v>
      </c>
      <c r="AI10" s="333">
        <v>2</v>
      </c>
      <c r="AJ10" s="333">
        <v>4</v>
      </c>
      <c r="AK10" s="483">
        <v>0.33329999999999999</v>
      </c>
      <c r="AL10" s="483">
        <v>0.66659999999999997</v>
      </c>
      <c r="AM10" s="525" t="s">
        <v>1124</v>
      </c>
      <c r="AN10" s="528">
        <v>0</v>
      </c>
      <c r="AO10" s="528">
        <v>0</v>
      </c>
      <c r="AP10" s="528">
        <v>2</v>
      </c>
      <c r="AQ10" s="528">
        <v>0</v>
      </c>
      <c r="AR10" s="528">
        <v>0</v>
      </c>
      <c r="AS10" s="528">
        <v>0</v>
      </c>
      <c r="AT10" s="528">
        <v>0</v>
      </c>
      <c r="AU10" s="528">
        <v>0</v>
      </c>
      <c r="AV10" s="528">
        <v>0</v>
      </c>
      <c r="AW10" s="528">
        <v>0</v>
      </c>
      <c r="AX10" s="528">
        <v>0</v>
      </c>
      <c r="AY10" s="528">
        <v>0</v>
      </c>
      <c r="AZ10" s="528"/>
      <c r="BA10" s="528" t="s">
        <v>1145</v>
      </c>
      <c r="BB10" s="528"/>
      <c r="BC10" s="528" t="s">
        <v>1145</v>
      </c>
      <c r="BD10" s="528"/>
      <c r="BE10" s="528"/>
      <c r="BF10" s="529"/>
      <c r="BG10" s="529"/>
      <c r="BH10" s="525"/>
      <c r="BI10" s="528"/>
      <c r="BJ10" s="528" t="s">
        <v>1146</v>
      </c>
      <c r="BK10" s="528">
        <v>1</v>
      </c>
      <c r="BL10" s="525"/>
      <c r="BM10" s="529" t="s">
        <v>1760</v>
      </c>
      <c r="BN10" s="525"/>
    </row>
    <row r="11" spans="1:67" ht="13" customHeight="1" x14ac:dyDescent="0.2">
      <c r="A11" s="525">
        <v>2745</v>
      </c>
      <c r="B11" s="630">
        <v>45140</v>
      </c>
      <c r="C11" s="526" t="s">
        <v>1138</v>
      </c>
      <c r="D11" s="525" t="s">
        <v>1100</v>
      </c>
      <c r="E11" s="527">
        <v>45108</v>
      </c>
      <c r="F11" s="525" t="s">
        <v>1274</v>
      </c>
      <c r="G11" s="525" t="s">
        <v>1467</v>
      </c>
      <c r="H11" s="532">
        <v>79</v>
      </c>
      <c r="I11" s="531" t="s">
        <v>296</v>
      </c>
      <c r="J11" s="409">
        <v>3000</v>
      </c>
      <c r="K11" s="409">
        <v>7500</v>
      </c>
      <c r="L11" s="409">
        <v>7500</v>
      </c>
      <c r="M11" s="409">
        <v>7500</v>
      </c>
      <c r="N11" s="332"/>
      <c r="O11" s="532">
        <v>4.3</v>
      </c>
      <c r="P11" s="532">
        <v>3.7</v>
      </c>
      <c r="Q11" s="532">
        <v>0</v>
      </c>
      <c r="R11" s="532">
        <v>0</v>
      </c>
      <c r="S11" s="532">
        <v>3.1</v>
      </c>
      <c r="T11" s="571"/>
      <c r="U11" s="532">
        <v>4.3</v>
      </c>
      <c r="V11" s="532">
        <v>3.7</v>
      </c>
      <c r="W11" s="532">
        <v>0</v>
      </c>
      <c r="X11" s="532">
        <v>0</v>
      </c>
      <c r="Y11" s="532">
        <v>3.1</v>
      </c>
      <c r="Z11" s="571"/>
      <c r="AA11" s="571"/>
      <c r="AB11" s="571"/>
      <c r="AC11" s="571"/>
      <c r="AD11" s="571"/>
      <c r="AE11" s="571"/>
      <c r="AF11" s="571"/>
      <c r="AG11" s="333" t="s">
        <v>1145</v>
      </c>
      <c r="AH11" s="333"/>
      <c r="AI11" s="528">
        <v>3</v>
      </c>
      <c r="AJ11" s="528">
        <v>3</v>
      </c>
      <c r="AK11" s="480">
        <v>0.5</v>
      </c>
      <c r="AL11" s="480">
        <v>0.5</v>
      </c>
      <c r="AM11" s="525"/>
      <c r="AN11" s="528">
        <v>0</v>
      </c>
      <c r="AO11" s="528">
        <v>7</v>
      </c>
      <c r="AP11" s="528">
        <v>0</v>
      </c>
      <c r="AQ11" s="528">
        <v>3</v>
      </c>
      <c r="AR11" s="528">
        <v>0</v>
      </c>
      <c r="AS11" s="528">
        <v>0</v>
      </c>
      <c r="AT11" s="528">
        <v>0</v>
      </c>
      <c r="AU11" s="528">
        <v>0</v>
      </c>
      <c r="AV11" s="528">
        <v>0</v>
      </c>
      <c r="AW11" s="528">
        <v>0</v>
      </c>
      <c r="AX11" s="528">
        <v>0</v>
      </c>
      <c r="AY11" s="528">
        <v>0</v>
      </c>
      <c r="AZ11" s="528"/>
      <c r="BA11" s="528" t="s">
        <v>1145</v>
      </c>
      <c r="BB11" s="528"/>
      <c r="BC11" s="528" t="s">
        <v>1145</v>
      </c>
      <c r="BD11" s="528"/>
      <c r="BE11" s="528"/>
      <c r="BF11" s="528"/>
      <c r="BG11" s="529"/>
      <c r="BH11" s="525"/>
      <c r="BI11" s="528"/>
      <c r="BJ11" s="528" t="s">
        <v>1146</v>
      </c>
      <c r="BK11" s="528">
        <v>1</v>
      </c>
      <c r="BL11" s="529"/>
      <c r="BM11" s="529" t="s">
        <v>1761</v>
      </c>
      <c r="BN11" s="525"/>
    </row>
    <row r="12" spans="1:67" ht="13" customHeight="1" x14ac:dyDescent="0.2">
      <c r="A12" s="525">
        <v>2936</v>
      </c>
      <c r="B12" s="630">
        <v>45140</v>
      </c>
      <c r="C12" s="526" t="s">
        <v>1138</v>
      </c>
      <c r="D12" s="525" t="s">
        <v>1100</v>
      </c>
      <c r="E12" s="527">
        <v>45139</v>
      </c>
      <c r="F12" s="525" t="s">
        <v>1483</v>
      </c>
      <c r="G12" s="525" t="s">
        <v>1550</v>
      </c>
      <c r="H12" s="532">
        <v>104.99999999999999</v>
      </c>
      <c r="I12" s="531" t="s">
        <v>296</v>
      </c>
      <c r="J12" s="459">
        <v>3000</v>
      </c>
      <c r="K12" s="459">
        <v>6000</v>
      </c>
      <c r="L12" s="459">
        <v>9000</v>
      </c>
      <c r="M12" s="459">
        <v>15000</v>
      </c>
      <c r="N12" s="332"/>
      <c r="O12" s="532">
        <v>3.5</v>
      </c>
      <c r="P12" s="532">
        <v>3.3181818181818179</v>
      </c>
      <c r="Q12" s="532">
        <v>3.1818181818181817</v>
      </c>
      <c r="R12" s="532">
        <v>3.0181818181818176</v>
      </c>
      <c r="S12" s="532">
        <v>2.8</v>
      </c>
      <c r="T12" s="571"/>
      <c r="U12" s="532">
        <v>3.2181818181818178</v>
      </c>
      <c r="V12" s="532">
        <v>2.8181818181818179</v>
      </c>
      <c r="W12" s="532">
        <v>2.6727272727272724</v>
      </c>
      <c r="X12" s="532">
        <v>2.5090909090909088</v>
      </c>
      <c r="Y12" s="532">
        <v>2.4454545454545453</v>
      </c>
      <c r="Z12" s="571"/>
      <c r="AA12" s="571"/>
      <c r="AB12" s="571"/>
      <c r="AC12" s="571"/>
      <c r="AD12" s="571"/>
      <c r="AE12" s="571"/>
      <c r="AF12" s="571"/>
      <c r="AG12" s="528" t="s">
        <v>1143</v>
      </c>
      <c r="AH12" s="528" t="s">
        <v>1144</v>
      </c>
      <c r="AI12" s="528">
        <v>3</v>
      </c>
      <c r="AJ12" s="528">
        <v>3</v>
      </c>
      <c r="AK12" s="480">
        <v>0.5</v>
      </c>
      <c r="AL12" s="480">
        <v>0.5</v>
      </c>
      <c r="AM12" s="525" t="s">
        <v>1118</v>
      </c>
      <c r="AN12" s="528">
        <v>0</v>
      </c>
      <c r="AO12" s="528">
        <v>0</v>
      </c>
      <c r="AP12" s="528">
        <v>0</v>
      </c>
      <c r="AQ12" s="528">
        <v>0</v>
      </c>
      <c r="AR12" s="528">
        <v>0</v>
      </c>
      <c r="AS12" s="528">
        <v>0</v>
      </c>
      <c r="AT12" s="528">
        <v>0</v>
      </c>
      <c r="AU12" s="528">
        <v>0</v>
      </c>
      <c r="AV12" s="528">
        <v>0</v>
      </c>
      <c r="AW12" s="528">
        <v>0</v>
      </c>
      <c r="AX12" s="528">
        <v>0</v>
      </c>
      <c r="AY12" s="528">
        <v>0</v>
      </c>
      <c r="AZ12" s="528"/>
      <c r="BA12" s="528" t="s">
        <v>1145</v>
      </c>
      <c r="BB12" s="528"/>
      <c r="BC12" s="528" t="s">
        <v>1145</v>
      </c>
      <c r="BD12" s="528"/>
      <c r="BE12" s="528"/>
      <c r="BF12" s="564"/>
      <c r="BG12" s="529"/>
      <c r="BH12" s="525"/>
      <c r="BI12" s="528"/>
      <c r="BJ12" s="528" t="s">
        <v>4</v>
      </c>
      <c r="BK12" s="528"/>
      <c r="BL12" s="529"/>
      <c r="BM12" s="525" t="s">
        <v>1762</v>
      </c>
      <c r="BN12" s="525"/>
    </row>
    <row r="13" spans="1:67" ht="16" x14ac:dyDescent="0.2">
      <c r="A13" s="525">
        <v>3704</v>
      </c>
      <c r="B13" s="630">
        <v>45140</v>
      </c>
      <c r="C13" s="526" t="s">
        <v>1138</v>
      </c>
      <c r="D13" s="525" t="s">
        <v>1100</v>
      </c>
      <c r="E13" s="527">
        <v>45096</v>
      </c>
      <c r="F13" s="525" t="s">
        <v>1057</v>
      </c>
      <c r="G13" s="525" t="s">
        <v>1734</v>
      </c>
      <c r="H13" s="532">
        <v>96.3</v>
      </c>
      <c r="I13" s="531" t="s">
        <v>296</v>
      </c>
      <c r="J13" s="459">
        <v>3000</v>
      </c>
      <c r="K13" s="459">
        <v>6000</v>
      </c>
      <c r="L13" s="459">
        <v>9000</v>
      </c>
      <c r="M13" s="459">
        <v>9000</v>
      </c>
      <c r="N13" s="297"/>
      <c r="O13" s="532">
        <v>3.1999999999999997</v>
      </c>
      <c r="P13" s="532">
        <v>2.9</v>
      </c>
      <c r="Q13" s="532">
        <v>2.5</v>
      </c>
      <c r="R13" s="532">
        <v>2.4</v>
      </c>
      <c r="S13" s="532">
        <v>2.2999999999999998</v>
      </c>
      <c r="T13" s="571"/>
      <c r="U13" s="532">
        <v>3.1999999999999997</v>
      </c>
      <c r="V13" s="532">
        <v>2.9</v>
      </c>
      <c r="W13" s="532">
        <v>2.5</v>
      </c>
      <c r="X13" s="532">
        <v>2.4</v>
      </c>
      <c r="Y13" s="532">
        <v>2.2999999999999998</v>
      </c>
      <c r="Z13" s="297"/>
      <c r="AA13" s="629"/>
      <c r="AB13" s="629"/>
      <c r="AC13" s="629"/>
      <c r="AD13" s="629"/>
      <c r="AE13" s="629"/>
      <c r="AF13" s="297"/>
      <c r="AG13" s="333" t="s">
        <v>1143</v>
      </c>
      <c r="AH13" s="333" t="s">
        <v>1144</v>
      </c>
      <c r="AI13" s="528">
        <v>3</v>
      </c>
      <c r="AJ13" s="528">
        <v>3</v>
      </c>
      <c r="AK13" s="480">
        <v>0.5</v>
      </c>
      <c r="AL13" s="480">
        <v>0.5</v>
      </c>
      <c r="AM13" s="525" t="s">
        <v>1118</v>
      </c>
      <c r="AN13" s="528">
        <v>0</v>
      </c>
      <c r="AO13" s="528">
        <v>0</v>
      </c>
      <c r="AP13" s="528">
        <v>0</v>
      </c>
      <c r="AQ13" s="528">
        <v>0</v>
      </c>
      <c r="AR13" s="528">
        <v>0</v>
      </c>
      <c r="AS13" s="528">
        <v>0</v>
      </c>
      <c r="AT13" s="528">
        <v>0</v>
      </c>
      <c r="AU13" s="528">
        <v>0</v>
      </c>
      <c r="AV13" s="528">
        <v>0</v>
      </c>
      <c r="AW13" s="528">
        <v>0</v>
      </c>
      <c r="AX13" s="528">
        <v>0</v>
      </c>
      <c r="AY13" s="528">
        <v>0</v>
      </c>
      <c r="AZ13" s="528"/>
      <c r="BA13" s="528" t="s">
        <v>1145</v>
      </c>
      <c r="BB13" s="528"/>
      <c r="BC13" s="528" t="s">
        <v>1145</v>
      </c>
      <c r="BD13" s="528"/>
      <c r="BE13" s="528"/>
      <c r="BF13" s="528"/>
      <c r="BG13" s="529"/>
      <c r="BH13" s="525"/>
      <c r="BI13" s="528"/>
      <c r="BJ13" s="528" t="s">
        <v>1146</v>
      </c>
      <c r="BK13" s="528"/>
      <c r="BL13" s="529" t="s">
        <v>1735</v>
      </c>
      <c r="BM13" s="530" t="s">
        <v>1763</v>
      </c>
      <c r="BN13" s="525"/>
    </row>
    <row r="14" spans="1:67" ht="13" customHeight="1" x14ac:dyDescent="0.2">
      <c r="A14" s="525">
        <v>3634</v>
      </c>
      <c r="B14" s="630">
        <v>45140</v>
      </c>
      <c r="C14" s="526" t="s">
        <v>1138</v>
      </c>
      <c r="D14" s="525" t="s">
        <v>1100</v>
      </c>
      <c r="E14" s="527">
        <v>45127</v>
      </c>
      <c r="F14" s="525" t="s">
        <v>1173</v>
      </c>
      <c r="G14" s="525" t="s">
        <v>1705</v>
      </c>
      <c r="H14" s="532">
        <v>67.999999999999986</v>
      </c>
      <c r="I14" s="531" t="s">
        <v>296</v>
      </c>
      <c r="J14" s="631">
        <v>3000</v>
      </c>
      <c r="K14" s="631">
        <v>6000</v>
      </c>
      <c r="L14" s="631">
        <v>9000</v>
      </c>
      <c r="M14" s="631">
        <v>9000</v>
      </c>
      <c r="N14" s="332"/>
      <c r="O14" s="532">
        <v>2.9999999999999996</v>
      </c>
      <c r="P14" s="532">
        <v>2.7</v>
      </c>
      <c r="Q14" s="532">
        <v>2.5</v>
      </c>
      <c r="R14" s="532">
        <v>2.1999999999999997</v>
      </c>
      <c r="S14" s="532">
        <v>2.1</v>
      </c>
      <c r="T14" s="571"/>
      <c r="U14" s="532">
        <v>2.7</v>
      </c>
      <c r="V14" s="532">
        <v>2.5999999999999996</v>
      </c>
      <c r="W14" s="532">
        <v>2.1999999999999997</v>
      </c>
      <c r="X14" s="532">
        <v>2.1</v>
      </c>
      <c r="Y14" s="532">
        <v>2</v>
      </c>
      <c r="Z14" s="571"/>
      <c r="AA14" s="571"/>
      <c r="AB14" s="571"/>
      <c r="AC14" s="571"/>
      <c r="AD14" s="571"/>
      <c r="AE14" s="571"/>
      <c r="AF14" s="571"/>
      <c r="AG14" s="528" t="s">
        <v>1143</v>
      </c>
      <c r="AH14" s="528" t="s">
        <v>1144</v>
      </c>
      <c r="AI14" s="528">
        <v>3</v>
      </c>
      <c r="AJ14" s="528">
        <v>3</v>
      </c>
      <c r="AK14" s="480">
        <v>0.5</v>
      </c>
      <c r="AL14" s="480">
        <v>0.5</v>
      </c>
      <c r="AM14" s="525" t="s">
        <v>1118</v>
      </c>
      <c r="AN14" s="528">
        <v>0</v>
      </c>
      <c r="AO14" s="528">
        <v>0</v>
      </c>
      <c r="AP14" s="528">
        <v>0</v>
      </c>
      <c r="AQ14" s="528">
        <v>0</v>
      </c>
      <c r="AR14" s="528">
        <v>0</v>
      </c>
      <c r="AS14" s="528">
        <v>0</v>
      </c>
      <c r="AT14" s="528">
        <v>0</v>
      </c>
      <c r="AU14" s="528">
        <v>0</v>
      </c>
      <c r="AV14" s="528">
        <v>0</v>
      </c>
      <c r="AW14" s="528">
        <v>0</v>
      </c>
      <c r="AX14" s="528">
        <v>0</v>
      </c>
      <c r="AY14" s="528">
        <v>0</v>
      </c>
      <c r="AZ14" s="528"/>
      <c r="BA14" s="528" t="s">
        <v>1145</v>
      </c>
      <c r="BB14" s="528"/>
      <c r="BC14" s="528" t="s">
        <v>1145</v>
      </c>
      <c r="BD14" s="528"/>
      <c r="BE14" s="528"/>
      <c r="BF14" s="564"/>
      <c r="BG14" s="529"/>
      <c r="BH14" s="525"/>
      <c r="BI14" s="528"/>
      <c r="BJ14" s="528" t="s">
        <v>4</v>
      </c>
      <c r="BK14" s="528"/>
      <c r="BL14" s="529"/>
      <c r="BM14" s="525" t="s">
        <v>1765</v>
      </c>
      <c r="BN14" s="525"/>
    </row>
    <row r="15" spans="1:67" ht="13" customHeight="1" x14ac:dyDescent="0.2">
      <c r="A15" s="525" t="s">
        <v>1749</v>
      </c>
      <c r="B15" s="630">
        <v>45140</v>
      </c>
      <c r="C15" s="526" t="s">
        <v>1138</v>
      </c>
      <c r="D15" s="525" t="s">
        <v>1100</v>
      </c>
      <c r="E15" s="527">
        <v>45108</v>
      </c>
      <c r="F15" s="529" t="s">
        <v>1750</v>
      </c>
      <c r="G15" s="525" t="s">
        <v>1751</v>
      </c>
      <c r="H15" s="532">
        <v>68.436363636363637</v>
      </c>
      <c r="I15" s="531" t="s">
        <v>296</v>
      </c>
      <c r="J15" s="459">
        <v>3000</v>
      </c>
      <c r="K15" s="459">
        <v>6000</v>
      </c>
      <c r="L15" s="459">
        <v>9000</v>
      </c>
      <c r="M15" s="459">
        <v>15000</v>
      </c>
      <c r="N15" s="525"/>
      <c r="O15" s="532">
        <v>3.0545454545454542</v>
      </c>
      <c r="P15" s="532">
        <v>2.7</v>
      </c>
      <c r="Q15" s="532">
        <v>2.1727272727272728</v>
      </c>
      <c r="R15" s="532">
        <v>1.7818181818181817</v>
      </c>
      <c r="S15" s="532">
        <v>1.7363636363636361</v>
      </c>
      <c r="T15" s="533"/>
      <c r="U15" s="532">
        <v>2.8636363636363633</v>
      </c>
      <c r="V15" s="532">
        <v>2.5</v>
      </c>
      <c r="W15" s="532">
        <v>2.0545454545454542</v>
      </c>
      <c r="X15" s="532">
        <v>1.7363636363636361</v>
      </c>
      <c r="Y15" s="532">
        <v>1.5181818181818181</v>
      </c>
      <c r="Z15" s="533"/>
      <c r="AA15" s="533"/>
      <c r="AB15" s="533"/>
      <c r="AC15" s="533"/>
      <c r="AD15" s="533"/>
      <c r="AE15" s="533"/>
      <c r="AF15" s="533"/>
      <c r="AG15" s="528" t="s">
        <v>1143</v>
      </c>
      <c r="AH15" s="528" t="s">
        <v>1144</v>
      </c>
      <c r="AI15" s="528">
        <v>3</v>
      </c>
      <c r="AJ15" s="528">
        <v>3</v>
      </c>
      <c r="AK15" s="480">
        <v>0.5</v>
      </c>
      <c r="AL15" s="480">
        <v>0.5</v>
      </c>
      <c r="AM15" s="525" t="s">
        <v>1118</v>
      </c>
      <c r="AN15" s="528">
        <v>0</v>
      </c>
      <c r="AO15" s="528">
        <v>0</v>
      </c>
      <c r="AP15" s="528">
        <v>0</v>
      </c>
      <c r="AQ15" s="528">
        <v>0</v>
      </c>
      <c r="AR15" s="528">
        <v>0</v>
      </c>
      <c r="AS15" s="528">
        <v>0</v>
      </c>
      <c r="AT15" s="528">
        <v>0</v>
      </c>
      <c r="AU15" s="528">
        <v>0</v>
      </c>
      <c r="AV15" s="528">
        <v>0</v>
      </c>
      <c r="AW15" s="528">
        <v>0</v>
      </c>
      <c r="AX15" s="528">
        <v>0</v>
      </c>
      <c r="AY15" s="528">
        <v>0</v>
      </c>
      <c r="AZ15" s="528"/>
      <c r="BA15" s="528" t="s">
        <v>1145</v>
      </c>
      <c r="BB15" s="528"/>
      <c r="BC15" s="528" t="s">
        <v>1145</v>
      </c>
      <c r="BD15" s="528"/>
      <c r="BE15" s="528"/>
      <c r="BF15" s="528"/>
      <c r="BG15" s="597"/>
      <c r="BH15" s="598"/>
      <c r="BI15" s="566"/>
      <c r="BJ15" s="528" t="s">
        <v>1146</v>
      </c>
      <c r="BK15" s="528"/>
      <c r="BL15" s="529"/>
      <c r="BM15" s="529" t="s">
        <v>1764</v>
      </c>
      <c r="BN15" s="525"/>
    </row>
    <row r="16" spans="1:67" ht="13" customHeight="1" x14ac:dyDescent="0.2">
      <c r="A16" s="525" t="s">
        <v>1749</v>
      </c>
      <c r="B16" s="630">
        <v>45140</v>
      </c>
      <c r="C16" s="526" t="s">
        <v>1138</v>
      </c>
      <c r="D16" s="525" t="s">
        <v>1100</v>
      </c>
      <c r="E16" s="527">
        <v>44944</v>
      </c>
      <c r="F16" s="529" t="s">
        <v>34</v>
      </c>
      <c r="G16" s="525" t="s">
        <v>1656</v>
      </c>
      <c r="H16" s="532">
        <v>83.345454545454544</v>
      </c>
      <c r="I16" s="531"/>
      <c r="J16" s="459"/>
      <c r="K16" s="459"/>
      <c r="L16" s="459"/>
      <c r="M16" s="459"/>
      <c r="N16" s="525"/>
      <c r="O16" s="532">
        <v>3.1636363636363636</v>
      </c>
      <c r="P16" s="532">
        <v>0</v>
      </c>
      <c r="Q16" s="532">
        <v>0</v>
      </c>
      <c r="R16" s="532">
        <v>0</v>
      </c>
      <c r="S16" s="532">
        <v>0</v>
      </c>
      <c r="T16" s="533"/>
      <c r="U16" s="532">
        <v>3.1636363636363636</v>
      </c>
      <c r="V16" s="532">
        <v>0</v>
      </c>
      <c r="W16" s="532">
        <v>0</v>
      </c>
      <c r="X16" s="532">
        <v>0</v>
      </c>
      <c r="Y16" s="532">
        <v>0</v>
      </c>
      <c r="Z16" s="533"/>
      <c r="AA16" s="533"/>
      <c r="AB16" s="533"/>
      <c r="AC16" s="533"/>
      <c r="AD16" s="533"/>
      <c r="AE16" s="533"/>
      <c r="AF16" s="533"/>
      <c r="AG16" s="528" t="s">
        <v>1143</v>
      </c>
      <c r="AH16" s="528" t="s">
        <v>1144</v>
      </c>
      <c r="AI16" s="528">
        <v>3</v>
      </c>
      <c r="AJ16" s="528">
        <v>3</v>
      </c>
      <c r="AK16" s="480">
        <v>0.5</v>
      </c>
      <c r="AL16" s="480">
        <v>0.5</v>
      </c>
      <c r="AM16" s="525" t="s">
        <v>1118</v>
      </c>
      <c r="AN16" s="528">
        <v>0</v>
      </c>
      <c r="AO16" s="528">
        <v>0</v>
      </c>
      <c r="AP16" s="528">
        <v>0</v>
      </c>
      <c r="AQ16" s="528">
        <v>0</v>
      </c>
      <c r="AR16" s="528">
        <v>0</v>
      </c>
      <c r="AS16" s="528">
        <v>0</v>
      </c>
      <c r="AT16" s="528">
        <v>0</v>
      </c>
      <c r="AU16" s="528">
        <v>0</v>
      </c>
      <c r="AV16" s="528">
        <v>0</v>
      </c>
      <c r="AW16" s="528">
        <v>0</v>
      </c>
      <c r="AX16" s="528">
        <v>0</v>
      </c>
      <c r="AY16" s="528">
        <v>0</v>
      </c>
      <c r="AZ16" s="528"/>
      <c r="BA16" s="528" t="s">
        <v>1145</v>
      </c>
      <c r="BB16" s="528"/>
      <c r="BC16" s="528" t="s">
        <v>1145</v>
      </c>
      <c r="BD16" s="528"/>
      <c r="BE16" s="528"/>
      <c r="BF16" s="528"/>
      <c r="BG16" s="597"/>
      <c r="BH16" s="598"/>
      <c r="BI16" s="566"/>
      <c r="BJ16" s="528" t="s">
        <v>1146</v>
      </c>
      <c r="BK16" s="528"/>
      <c r="BL16" s="529"/>
      <c r="BM16" s="525" t="s">
        <v>1765</v>
      </c>
      <c r="BN16" s="525"/>
    </row>
    <row r="17" spans="1:67" ht="13" customHeight="1" x14ac:dyDescent="0.2">
      <c r="A17" s="525" t="s">
        <v>1749</v>
      </c>
      <c r="B17" s="630">
        <v>45140</v>
      </c>
      <c r="C17" s="526" t="s">
        <v>1138</v>
      </c>
      <c r="D17" s="525" t="s">
        <v>1100</v>
      </c>
      <c r="E17" s="527">
        <v>44944</v>
      </c>
      <c r="F17" s="529" t="s">
        <v>1766</v>
      </c>
      <c r="G17" s="525" t="s">
        <v>1767</v>
      </c>
      <c r="H17" s="532">
        <v>83.345454545454544</v>
      </c>
      <c r="I17" s="531"/>
      <c r="J17" s="459"/>
      <c r="K17" s="459"/>
      <c r="L17" s="459"/>
      <c r="M17" s="459"/>
      <c r="N17" s="525"/>
      <c r="O17" s="532">
        <v>3.1636363636363636</v>
      </c>
      <c r="P17" s="532">
        <v>0</v>
      </c>
      <c r="Q17" s="532">
        <v>0</v>
      </c>
      <c r="R17" s="532">
        <v>0</v>
      </c>
      <c r="S17" s="532">
        <v>0</v>
      </c>
      <c r="T17" s="533"/>
      <c r="U17" s="532">
        <v>3.1636363636363636</v>
      </c>
      <c r="V17" s="532">
        <v>0</v>
      </c>
      <c r="W17" s="532">
        <v>0</v>
      </c>
      <c r="X17" s="532">
        <v>0</v>
      </c>
      <c r="Y17" s="532">
        <v>0</v>
      </c>
      <c r="Z17" s="533"/>
      <c r="AA17" s="533"/>
      <c r="AB17" s="533"/>
      <c r="AC17" s="533"/>
      <c r="AD17" s="533"/>
      <c r="AE17" s="533"/>
      <c r="AF17" s="533"/>
      <c r="AG17" s="333" t="s">
        <v>1145</v>
      </c>
      <c r="AH17" s="333"/>
      <c r="AI17" s="528">
        <v>3</v>
      </c>
      <c r="AJ17" s="528">
        <v>3</v>
      </c>
      <c r="AK17" s="480">
        <v>0.5</v>
      </c>
      <c r="AL17" s="480">
        <v>0.5</v>
      </c>
      <c r="AM17" s="525"/>
      <c r="AN17" s="528">
        <v>0</v>
      </c>
      <c r="AO17" s="528">
        <v>0</v>
      </c>
      <c r="AP17" s="528">
        <v>0</v>
      </c>
      <c r="AQ17" s="528">
        <v>0</v>
      </c>
      <c r="AR17" s="528">
        <v>0</v>
      </c>
      <c r="AS17" s="528">
        <v>0</v>
      </c>
      <c r="AT17" s="528">
        <v>0</v>
      </c>
      <c r="AU17" s="528">
        <v>0</v>
      </c>
      <c r="AV17" s="528">
        <v>0</v>
      </c>
      <c r="AW17" s="528">
        <v>0</v>
      </c>
      <c r="AX17" s="528">
        <v>0</v>
      </c>
      <c r="AY17" s="528">
        <v>0</v>
      </c>
      <c r="AZ17" s="528"/>
      <c r="BA17" s="528" t="s">
        <v>1145</v>
      </c>
      <c r="BB17" s="528"/>
      <c r="BC17" s="528" t="s">
        <v>1145</v>
      </c>
      <c r="BD17" s="528"/>
      <c r="BE17" s="528"/>
      <c r="BF17" s="528"/>
      <c r="BG17" s="597"/>
      <c r="BH17" s="598"/>
      <c r="BI17" s="566"/>
      <c r="BJ17" s="528" t="s">
        <v>1146</v>
      </c>
      <c r="BK17" s="528"/>
      <c r="BL17" s="529" t="s">
        <v>1769</v>
      </c>
      <c r="BM17" s="525" t="s">
        <v>1768</v>
      </c>
      <c r="BN17" s="525"/>
    </row>
    <row r="18" spans="1:67" ht="13" customHeight="1" x14ac:dyDescent="0.2">
      <c r="A18" s="525">
        <v>3159</v>
      </c>
      <c r="B18" s="630">
        <v>45140</v>
      </c>
      <c r="C18" s="526" t="s">
        <v>1138</v>
      </c>
      <c r="D18" s="525" t="s">
        <v>1108</v>
      </c>
      <c r="E18" s="527">
        <v>45108</v>
      </c>
      <c r="F18" s="529" t="s">
        <v>1139</v>
      </c>
      <c r="G18" s="525" t="s">
        <v>1646</v>
      </c>
      <c r="H18" s="532">
        <v>74.5</v>
      </c>
      <c r="I18" s="531" t="s">
        <v>296</v>
      </c>
      <c r="J18" s="459">
        <v>3000</v>
      </c>
      <c r="K18" s="459">
        <v>6000</v>
      </c>
      <c r="L18" s="459">
        <v>9000</v>
      </c>
      <c r="M18" s="459">
        <v>15000</v>
      </c>
      <c r="N18" s="525"/>
      <c r="O18" s="532">
        <v>3.3272727272727272</v>
      </c>
      <c r="P18" s="532">
        <v>2.9454545454545453</v>
      </c>
      <c r="Q18" s="532">
        <v>2.3636363636363633</v>
      </c>
      <c r="R18" s="532">
        <v>1.9454545454545453</v>
      </c>
      <c r="S18" s="532">
        <v>1.8909090909090909</v>
      </c>
      <c r="T18" s="533"/>
      <c r="U18" s="532">
        <v>3.1181818181818182</v>
      </c>
      <c r="V18" s="532">
        <v>2.7272727272727271</v>
      </c>
      <c r="W18" s="532">
        <v>2.2363636363636363</v>
      </c>
      <c r="X18" s="532">
        <v>1.8909090909090909</v>
      </c>
      <c r="Y18" s="532">
        <v>1.6545454545454545</v>
      </c>
      <c r="Z18" s="533"/>
      <c r="AA18" s="533"/>
      <c r="AB18" s="533"/>
      <c r="AC18" s="533"/>
      <c r="AD18" s="533"/>
      <c r="AE18" s="533"/>
      <c r="AF18" s="533"/>
      <c r="AG18" s="528" t="s">
        <v>1143</v>
      </c>
      <c r="AH18" s="528" t="s">
        <v>1144</v>
      </c>
      <c r="AI18" s="528">
        <v>3</v>
      </c>
      <c r="AJ18" s="528">
        <v>3</v>
      </c>
      <c r="AK18" s="480">
        <v>0.5</v>
      </c>
      <c r="AL18" s="480">
        <v>0.5</v>
      </c>
      <c r="AM18" s="525" t="s">
        <v>1118</v>
      </c>
      <c r="AN18" s="528">
        <v>0</v>
      </c>
      <c r="AO18" s="528">
        <v>0</v>
      </c>
      <c r="AP18" s="528">
        <v>0</v>
      </c>
      <c r="AQ18" s="528">
        <v>0</v>
      </c>
      <c r="AR18" s="528">
        <v>0</v>
      </c>
      <c r="AS18" s="528">
        <v>0</v>
      </c>
      <c r="AT18" s="528">
        <v>0</v>
      </c>
      <c r="AU18" s="528">
        <v>0</v>
      </c>
      <c r="AV18" s="528">
        <v>0</v>
      </c>
      <c r="AW18" s="528">
        <v>0</v>
      </c>
      <c r="AX18" s="528">
        <v>0</v>
      </c>
      <c r="AY18" s="528">
        <v>0</v>
      </c>
      <c r="AZ18" s="528"/>
      <c r="BA18" s="528" t="s">
        <v>1145</v>
      </c>
      <c r="BB18" s="528"/>
      <c r="BC18" s="528" t="s">
        <v>1145</v>
      </c>
      <c r="BD18" s="528"/>
      <c r="BE18" s="528"/>
      <c r="BF18" s="528"/>
      <c r="BG18" s="597"/>
      <c r="BH18" s="598"/>
      <c r="BI18" s="566"/>
      <c r="BJ18" s="528" t="s">
        <v>1146</v>
      </c>
      <c r="BK18" s="528"/>
      <c r="BL18" s="529" t="s">
        <v>1647</v>
      </c>
      <c r="BM18" s="529"/>
      <c r="BN18" s="525"/>
    </row>
    <row r="19" spans="1:67" ht="13" customHeight="1" x14ac:dyDescent="0.2">
      <c r="A19" s="525">
        <v>1047</v>
      </c>
      <c r="B19" s="630">
        <v>45140</v>
      </c>
      <c r="C19" s="526" t="s">
        <v>1138</v>
      </c>
      <c r="D19" s="525" t="s">
        <v>1108</v>
      </c>
      <c r="E19" s="527">
        <v>45108</v>
      </c>
      <c r="F19" s="529" t="s">
        <v>1148</v>
      </c>
      <c r="G19" s="525" t="s">
        <v>1280</v>
      </c>
      <c r="H19" s="532">
        <v>65.272727272727266</v>
      </c>
      <c r="I19" s="531" t="s">
        <v>296</v>
      </c>
      <c r="J19" s="459">
        <v>3000</v>
      </c>
      <c r="K19" s="459">
        <v>6000</v>
      </c>
      <c r="L19" s="459">
        <v>6000</v>
      </c>
      <c r="M19" s="459">
        <v>6000</v>
      </c>
      <c r="N19" s="525"/>
      <c r="O19" s="532">
        <v>3.6818181818181812</v>
      </c>
      <c r="P19" s="532">
        <v>3.2636363636363632</v>
      </c>
      <c r="Q19" s="532">
        <v>0</v>
      </c>
      <c r="R19" s="532">
        <v>0</v>
      </c>
      <c r="S19" s="532">
        <v>2.545454545454545</v>
      </c>
      <c r="T19" s="533"/>
      <c r="U19" s="532">
        <v>3.5363636363636362</v>
      </c>
      <c r="V19" s="532">
        <v>3.1090909090909089</v>
      </c>
      <c r="W19" s="532">
        <v>0</v>
      </c>
      <c r="X19" s="532">
        <v>0</v>
      </c>
      <c r="Y19" s="532">
        <v>2.545454545454545</v>
      </c>
      <c r="Z19" s="533"/>
      <c r="AA19" s="533"/>
      <c r="AB19" s="533"/>
      <c r="AC19" s="533"/>
      <c r="AD19" s="533"/>
      <c r="AE19" s="533"/>
      <c r="AF19" s="533"/>
      <c r="AG19" s="528" t="s">
        <v>1143</v>
      </c>
      <c r="AH19" s="528" t="s">
        <v>1144</v>
      </c>
      <c r="AI19" s="528">
        <v>3</v>
      </c>
      <c r="AJ19" s="528">
        <v>3</v>
      </c>
      <c r="AK19" s="480">
        <v>0.5</v>
      </c>
      <c r="AL19" s="480">
        <v>0.5</v>
      </c>
      <c r="AM19" s="525" t="s">
        <v>1118</v>
      </c>
      <c r="AN19" s="528">
        <v>0</v>
      </c>
      <c r="AO19" s="528">
        <v>0</v>
      </c>
      <c r="AP19" s="528">
        <v>0</v>
      </c>
      <c r="AQ19" s="528">
        <v>0</v>
      </c>
      <c r="AR19" s="528">
        <v>0</v>
      </c>
      <c r="AS19" s="528">
        <v>0</v>
      </c>
      <c r="AT19" s="528">
        <v>0</v>
      </c>
      <c r="AU19" s="528">
        <v>0</v>
      </c>
      <c r="AV19" s="528">
        <v>0</v>
      </c>
      <c r="AW19" s="528">
        <v>0</v>
      </c>
      <c r="AX19" s="528">
        <v>0</v>
      </c>
      <c r="AY19" s="528">
        <v>0</v>
      </c>
      <c r="AZ19" s="528"/>
      <c r="BA19" s="528" t="s">
        <v>1145</v>
      </c>
      <c r="BB19" s="528"/>
      <c r="BC19" s="528" t="s">
        <v>1145</v>
      </c>
      <c r="BD19" s="528"/>
      <c r="BE19" s="528"/>
      <c r="BF19" s="528"/>
      <c r="BG19" s="529"/>
      <c r="BH19" s="525"/>
      <c r="BI19" s="528"/>
      <c r="BJ19" s="528" t="s">
        <v>4</v>
      </c>
      <c r="BK19" s="528"/>
      <c r="BL19" s="529"/>
      <c r="BM19" s="525"/>
      <c r="BN19" s="525"/>
    </row>
    <row r="20" spans="1:67" ht="13" customHeight="1" x14ac:dyDescent="0.2">
      <c r="A20" s="525">
        <v>2545</v>
      </c>
      <c r="B20" s="630">
        <v>45140</v>
      </c>
      <c r="C20" s="526" t="s">
        <v>1138</v>
      </c>
      <c r="D20" s="525" t="s">
        <v>1108</v>
      </c>
      <c r="E20" s="527">
        <v>45140</v>
      </c>
      <c r="F20" s="529" t="s">
        <v>1052</v>
      </c>
      <c r="G20" s="525" t="s">
        <v>1181</v>
      </c>
      <c r="H20" s="532">
        <v>69.054545454545448</v>
      </c>
      <c r="I20" s="531" t="s">
        <v>296</v>
      </c>
      <c r="J20" s="459">
        <v>3000</v>
      </c>
      <c r="K20" s="459">
        <v>6000</v>
      </c>
      <c r="L20" s="459">
        <v>9000</v>
      </c>
      <c r="M20" s="459">
        <v>15000</v>
      </c>
      <c r="N20" s="525"/>
      <c r="O20" s="532">
        <v>3.0909090909090904</v>
      </c>
      <c r="P20" s="532">
        <v>2.7636363636363632</v>
      </c>
      <c r="Q20" s="532">
        <v>2.4272727272727268</v>
      </c>
      <c r="R20" s="532">
        <v>2.2727272727272725</v>
      </c>
      <c r="S20" s="532">
        <v>2.2363636363636363</v>
      </c>
      <c r="T20" s="533"/>
      <c r="U20" s="532">
        <v>3.0909090909090904</v>
      </c>
      <c r="V20" s="532">
        <v>2.7636363636363632</v>
      </c>
      <c r="W20" s="532">
        <v>2.4272727272727268</v>
      </c>
      <c r="X20" s="532">
        <v>2.2727272727272725</v>
      </c>
      <c r="Y20" s="532">
        <v>2.2363636363636363</v>
      </c>
      <c r="Z20" s="533"/>
      <c r="AA20" s="533"/>
      <c r="AB20" s="533"/>
      <c r="AC20" s="533"/>
      <c r="AD20" s="533"/>
      <c r="AE20" s="533"/>
      <c r="AF20" s="533"/>
      <c r="AG20" s="528" t="s">
        <v>1143</v>
      </c>
      <c r="AH20" s="528" t="s">
        <v>1144</v>
      </c>
      <c r="AI20" s="528">
        <v>3</v>
      </c>
      <c r="AJ20" s="528">
        <v>3</v>
      </c>
      <c r="AK20" s="480">
        <v>0.5</v>
      </c>
      <c r="AL20" s="480">
        <v>0.5</v>
      </c>
      <c r="AM20" s="525" t="s">
        <v>1118</v>
      </c>
      <c r="AN20" s="528">
        <v>0</v>
      </c>
      <c r="AO20" s="528">
        <v>0</v>
      </c>
      <c r="AP20" s="528">
        <v>0</v>
      </c>
      <c r="AQ20" s="528">
        <v>0</v>
      </c>
      <c r="AR20" s="528">
        <v>0</v>
      </c>
      <c r="AS20" s="528">
        <v>0</v>
      </c>
      <c r="AT20" s="528">
        <v>0</v>
      </c>
      <c r="AU20" s="528">
        <v>0</v>
      </c>
      <c r="AV20" s="528">
        <v>0</v>
      </c>
      <c r="AW20" s="528">
        <v>0</v>
      </c>
      <c r="AX20" s="528">
        <v>0</v>
      </c>
      <c r="AY20" s="528">
        <v>0</v>
      </c>
      <c r="AZ20" s="528"/>
      <c r="BA20" s="528" t="s">
        <v>1145</v>
      </c>
      <c r="BB20" s="528"/>
      <c r="BC20" s="528" t="s">
        <v>1145</v>
      </c>
      <c r="BD20" s="528"/>
      <c r="BE20" s="528"/>
      <c r="BF20" s="528"/>
      <c r="BG20" s="529"/>
      <c r="BH20" s="525"/>
      <c r="BI20" s="528"/>
      <c r="BJ20" s="528" t="s">
        <v>1146</v>
      </c>
      <c r="BK20" s="528"/>
      <c r="BL20" s="529"/>
      <c r="BM20" s="529"/>
      <c r="BN20" s="525"/>
    </row>
    <row r="21" spans="1:67" ht="13" customHeight="1" x14ac:dyDescent="0.2">
      <c r="A21" s="525">
        <v>3521</v>
      </c>
      <c r="B21" s="630">
        <v>45140</v>
      </c>
      <c r="C21" s="526" t="s">
        <v>1138</v>
      </c>
      <c r="D21" s="525" t="s">
        <v>1108</v>
      </c>
      <c r="E21" s="527">
        <v>45063</v>
      </c>
      <c r="F21" s="529" t="s">
        <v>1156</v>
      </c>
      <c r="G21" s="525" t="s">
        <v>1649</v>
      </c>
      <c r="H21" s="532">
        <v>99.581818181818178</v>
      </c>
      <c r="I21" s="531" t="s">
        <v>296</v>
      </c>
      <c r="J21" s="459">
        <v>3000</v>
      </c>
      <c r="K21" s="459">
        <v>6000</v>
      </c>
      <c r="L21" s="459">
        <v>9000</v>
      </c>
      <c r="M21" s="459">
        <v>15000</v>
      </c>
      <c r="N21" s="525"/>
      <c r="O21" s="532">
        <v>4.1454545454545446</v>
      </c>
      <c r="P21" s="532">
        <v>3.4454545454545453</v>
      </c>
      <c r="Q21" s="532">
        <v>2.8272727272727267</v>
      </c>
      <c r="R21" s="532">
        <v>2.5727272727272728</v>
      </c>
      <c r="S21" s="532">
        <v>2.3909090909090907</v>
      </c>
      <c r="T21" s="533"/>
      <c r="U21" s="532">
        <v>3.9</v>
      </c>
      <c r="V21" s="532">
        <v>3.2818181818181813</v>
      </c>
      <c r="W21" s="532">
        <v>2.6636363636363636</v>
      </c>
      <c r="X21" s="532">
        <v>2.4727272727272727</v>
      </c>
      <c r="Y21" s="532">
        <v>2.3454545454545452</v>
      </c>
      <c r="Z21" s="533"/>
      <c r="AA21" s="533"/>
      <c r="AB21" s="533"/>
      <c r="AC21" s="533"/>
      <c r="AD21" s="533"/>
      <c r="AE21" s="533"/>
      <c r="AF21" s="533"/>
      <c r="AG21" s="528" t="s">
        <v>1143</v>
      </c>
      <c r="AH21" s="528" t="s">
        <v>1144</v>
      </c>
      <c r="AI21" s="528">
        <v>3</v>
      </c>
      <c r="AJ21" s="528">
        <v>3</v>
      </c>
      <c r="AK21" s="480">
        <v>0.5</v>
      </c>
      <c r="AL21" s="480">
        <v>0.5</v>
      </c>
      <c r="AM21" s="525" t="s">
        <v>1118</v>
      </c>
      <c r="AN21" s="528">
        <v>25</v>
      </c>
      <c r="AO21" s="528">
        <v>0</v>
      </c>
      <c r="AP21" s="528">
        <v>0</v>
      </c>
      <c r="AQ21" s="528">
        <v>0</v>
      </c>
      <c r="AR21" s="528">
        <v>0</v>
      </c>
      <c r="AS21" s="528">
        <v>0</v>
      </c>
      <c r="AT21" s="528">
        <v>0</v>
      </c>
      <c r="AU21" s="528">
        <v>0</v>
      </c>
      <c r="AV21" s="528">
        <v>0</v>
      </c>
      <c r="AW21" s="528">
        <v>0</v>
      </c>
      <c r="AX21" s="528">
        <v>0</v>
      </c>
      <c r="AY21" s="528">
        <v>0</v>
      </c>
      <c r="AZ21" s="566">
        <v>12</v>
      </c>
      <c r="BA21" s="528" t="s">
        <v>1145</v>
      </c>
      <c r="BB21" s="528"/>
      <c r="BC21" s="528" t="s">
        <v>1145</v>
      </c>
      <c r="BD21" s="528"/>
      <c r="BE21" s="528"/>
      <c r="BF21" s="528"/>
      <c r="BG21" s="529"/>
      <c r="BH21" s="525"/>
      <c r="BI21" s="528"/>
      <c r="BJ21" s="528" t="s">
        <v>1146</v>
      </c>
      <c r="BK21" s="528"/>
      <c r="BL21" s="529"/>
      <c r="BM21" s="569"/>
      <c r="BN21" s="525"/>
    </row>
    <row r="22" spans="1:67" ht="13" customHeight="1" x14ac:dyDescent="0.2">
      <c r="A22" s="525">
        <v>2878</v>
      </c>
      <c r="B22" s="630">
        <v>45140</v>
      </c>
      <c r="C22" s="526" t="s">
        <v>1138</v>
      </c>
      <c r="D22" s="525" t="s">
        <v>1108</v>
      </c>
      <c r="E22" s="527">
        <v>45092</v>
      </c>
      <c r="F22" s="529" t="s">
        <v>1159</v>
      </c>
      <c r="G22" s="525" t="s">
        <v>1105</v>
      </c>
      <c r="H22" s="532">
        <v>92.98181818181817</v>
      </c>
      <c r="I22" s="531" t="s">
        <v>296</v>
      </c>
      <c r="J22" s="459">
        <v>3000</v>
      </c>
      <c r="K22" s="459">
        <v>6000</v>
      </c>
      <c r="L22" s="459">
        <v>9000</v>
      </c>
      <c r="M22" s="459">
        <v>15000</v>
      </c>
      <c r="N22" s="525"/>
      <c r="O22" s="532">
        <v>3.9181818181818175</v>
      </c>
      <c r="P22" s="532">
        <v>3.5818181818181816</v>
      </c>
      <c r="Q22" s="532">
        <v>2.754545454545454</v>
      </c>
      <c r="R22" s="532">
        <v>2.2818181818181813</v>
      </c>
      <c r="S22" s="532">
        <v>2.2363636363636363</v>
      </c>
      <c r="T22" s="533"/>
      <c r="U22" s="532">
        <v>3.5999999999999996</v>
      </c>
      <c r="V22" s="532">
        <v>2.7818181818181817</v>
      </c>
      <c r="W22" s="532">
        <v>2.3818181818181818</v>
      </c>
      <c r="X22" s="532">
        <v>2.1727272727272728</v>
      </c>
      <c r="Y22" s="532">
        <v>1.918181818181818</v>
      </c>
      <c r="Z22" s="533"/>
      <c r="AA22" s="533"/>
      <c r="AB22" s="533"/>
      <c r="AC22" s="533"/>
      <c r="AD22" s="533"/>
      <c r="AE22" s="533"/>
      <c r="AF22" s="533"/>
      <c r="AG22" s="528" t="s">
        <v>1143</v>
      </c>
      <c r="AH22" s="528" t="s">
        <v>1144</v>
      </c>
      <c r="AI22" s="528">
        <v>3</v>
      </c>
      <c r="AJ22" s="528">
        <v>3</v>
      </c>
      <c r="AK22" s="480">
        <v>0.5</v>
      </c>
      <c r="AL22" s="480">
        <v>0.5</v>
      </c>
      <c r="AM22" s="525" t="s">
        <v>1118</v>
      </c>
      <c r="AN22" s="528">
        <v>0</v>
      </c>
      <c r="AO22" s="528">
        <v>0</v>
      </c>
      <c r="AP22" s="528">
        <v>0</v>
      </c>
      <c r="AQ22" s="528">
        <v>0</v>
      </c>
      <c r="AR22" s="528">
        <v>0</v>
      </c>
      <c r="AS22" s="528">
        <v>0</v>
      </c>
      <c r="AT22" s="528">
        <v>0</v>
      </c>
      <c r="AU22" s="528">
        <v>0</v>
      </c>
      <c r="AV22" s="528">
        <v>0</v>
      </c>
      <c r="AW22" s="528">
        <v>0</v>
      </c>
      <c r="AX22" s="528">
        <v>0</v>
      </c>
      <c r="AY22" s="528">
        <v>0</v>
      </c>
      <c r="AZ22" s="528"/>
      <c r="BA22" s="528" t="s">
        <v>1145</v>
      </c>
      <c r="BB22" s="528"/>
      <c r="BC22" s="528" t="s">
        <v>1145</v>
      </c>
      <c r="BD22" s="528"/>
      <c r="BE22" s="528"/>
      <c r="BF22" s="564">
        <v>45535</v>
      </c>
      <c r="BG22" s="529"/>
      <c r="BH22" s="525"/>
      <c r="BI22" s="528"/>
      <c r="BJ22" s="528" t="s">
        <v>1146</v>
      </c>
      <c r="BK22" s="528"/>
      <c r="BL22" s="529"/>
      <c r="BM22" s="567"/>
      <c r="BN22" s="525"/>
    </row>
    <row r="23" spans="1:67" ht="13" customHeight="1" x14ac:dyDescent="0.2">
      <c r="A23" s="525">
        <v>3366</v>
      </c>
      <c r="B23" s="630">
        <v>45140</v>
      </c>
      <c r="C23" s="526" t="s">
        <v>1138</v>
      </c>
      <c r="D23" s="525" t="s">
        <v>1108</v>
      </c>
      <c r="E23" s="527">
        <v>45108</v>
      </c>
      <c r="F23" s="529" t="s">
        <v>1166</v>
      </c>
      <c r="G23" s="525" t="s">
        <v>1651</v>
      </c>
      <c r="H23" s="532">
        <v>76.318181818181813</v>
      </c>
      <c r="I23" s="531" t="s">
        <v>296</v>
      </c>
      <c r="J23" s="459">
        <v>6000</v>
      </c>
      <c r="K23" s="459">
        <v>6000</v>
      </c>
      <c r="L23" s="459">
        <v>6000</v>
      </c>
      <c r="M23" s="459">
        <v>6000</v>
      </c>
      <c r="N23" s="568"/>
      <c r="O23" s="532">
        <v>3.1999999999999997</v>
      </c>
      <c r="P23" s="532">
        <v>0</v>
      </c>
      <c r="Q23" s="532">
        <v>0</v>
      </c>
      <c r="R23" s="532">
        <v>0</v>
      </c>
      <c r="S23" s="532">
        <v>2.127272727272727</v>
      </c>
      <c r="T23" s="533"/>
      <c r="U23" s="532">
        <v>3.1999999999999997</v>
      </c>
      <c r="V23" s="532">
        <v>0</v>
      </c>
      <c r="W23" s="532">
        <v>0</v>
      </c>
      <c r="X23" s="532">
        <v>0</v>
      </c>
      <c r="Y23" s="532">
        <v>2.127272727272727</v>
      </c>
      <c r="Z23" s="533"/>
      <c r="AA23" s="533"/>
      <c r="AB23" s="533"/>
      <c r="AC23" s="533"/>
      <c r="AD23" s="533"/>
      <c r="AE23" s="533"/>
      <c r="AF23" s="533"/>
      <c r="AG23" s="528" t="s">
        <v>1145</v>
      </c>
      <c r="AH23" s="528"/>
      <c r="AI23" s="528">
        <v>3</v>
      </c>
      <c r="AJ23" s="528">
        <v>3</v>
      </c>
      <c r="AK23" s="480">
        <v>0.5</v>
      </c>
      <c r="AL23" s="480">
        <v>0.5</v>
      </c>
      <c r="AM23" s="525"/>
      <c r="AN23" s="528">
        <v>0</v>
      </c>
      <c r="AO23" s="528">
        <v>0</v>
      </c>
      <c r="AP23" s="528">
        <v>0</v>
      </c>
      <c r="AQ23" s="528">
        <v>0</v>
      </c>
      <c r="AR23" s="528">
        <v>0</v>
      </c>
      <c r="AS23" s="528">
        <v>0</v>
      </c>
      <c r="AT23" s="528">
        <v>0</v>
      </c>
      <c r="AU23" s="528">
        <v>0</v>
      </c>
      <c r="AV23" s="528">
        <v>0</v>
      </c>
      <c r="AW23" s="528">
        <v>0</v>
      </c>
      <c r="AX23" s="528">
        <v>0</v>
      </c>
      <c r="AY23" s="528">
        <v>0</v>
      </c>
      <c r="AZ23" s="528"/>
      <c r="BA23" s="528" t="s">
        <v>1145</v>
      </c>
      <c r="BB23" s="528"/>
      <c r="BC23" s="528" t="s">
        <v>1145</v>
      </c>
      <c r="BD23" s="528"/>
      <c r="BE23" s="528"/>
      <c r="BF23" s="528"/>
      <c r="BG23" s="529"/>
      <c r="BH23" s="525"/>
      <c r="BI23" s="600"/>
      <c r="BJ23" s="528" t="s">
        <v>1146</v>
      </c>
      <c r="BK23" s="528"/>
      <c r="BL23" s="529"/>
      <c r="BM23" s="525"/>
      <c r="BN23" s="525"/>
      <c r="BO23" s="366"/>
    </row>
    <row r="24" spans="1:67" ht="13" customHeight="1" x14ac:dyDescent="0.2">
      <c r="A24" s="525">
        <v>2395</v>
      </c>
      <c r="B24" s="630">
        <v>45140</v>
      </c>
      <c r="C24" s="526" t="s">
        <v>1138</v>
      </c>
      <c r="D24" s="525" t="s">
        <v>1108</v>
      </c>
      <c r="E24" s="570">
        <v>45035</v>
      </c>
      <c r="F24" s="529" t="s">
        <v>1168</v>
      </c>
      <c r="G24" s="525" t="s">
        <v>1297</v>
      </c>
      <c r="H24" s="532">
        <v>75</v>
      </c>
      <c r="I24" s="531" t="s">
        <v>296</v>
      </c>
      <c r="J24" s="459">
        <v>3000</v>
      </c>
      <c r="K24" s="459">
        <v>6000</v>
      </c>
      <c r="L24" s="459">
        <v>9000</v>
      </c>
      <c r="M24" s="459">
        <v>15000</v>
      </c>
      <c r="N24" s="525"/>
      <c r="O24" s="532">
        <v>3.3818181818181818</v>
      </c>
      <c r="P24" s="532">
        <v>2.9909090909090907</v>
      </c>
      <c r="Q24" s="532">
        <v>2.4636363636363634</v>
      </c>
      <c r="R24" s="532">
        <v>2</v>
      </c>
      <c r="S24" s="532">
        <v>1.8999999999999997</v>
      </c>
      <c r="T24" s="533"/>
      <c r="U24" s="532">
        <v>3.1909090909090905</v>
      </c>
      <c r="V24" s="532">
        <v>2.6545454545454543</v>
      </c>
      <c r="W24" s="532">
        <v>2.1</v>
      </c>
      <c r="X24" s="532">
        <v>1.8999999999999997</v>
      </c>
      <c r="Y24" s="532">
        <v>1.8545454545454545</v>
      </c>
      <c r="Z24" s="533"/>
      <c r="AA24" s="533"/>
      <c r="AB24" s="533"/>
      <c r="AC24" s="533"/>
      <c r="AD24" s="533"/>
      <c r="AE24" s="533"/>
      <c r="AF24" s="533"/>
      <c r="AG24" s="528" t="s">
        <v>1143</v>
      </c>
      <c r="AH24" s="528" t="s">
        <v>1144</v>
      </c>
      <c r="AI24" s="528">
        <v>3</v>
      </c>
      <c r="AJ24" s="528">
        <v>3</v>
      </c>
      <c r="AK24" s="480">
        <v>0.5</v>
      </c>
      <c r="AL24" s="480">
        <v>0.5</v>
      </c>
      <c r="AM24" s="525" t="s">
        <v>1118</v>
      </c>
      <c r="AN24" s="528">
        <v>0</v>
      </c>
      <c r="AO24" s="528">
        <v>0</v>
      </c>
      <c r="AP24" s="528">
        <v>0</v>
      </c>
      <c r="AQ24" s="528">
        <v>0</v>
      </c>
      <c r="AR24" s="528">
        <v>0</v>
      </c>
      <c r="AS24" s="528">
        <v>0</v>
      </c>
      <c r="AT24" s="528">
        <v>0</v>
      </c>
      <c r="AU24" s="528">
        <v>0</v>
      </c>
      <c r="AV24" s="528">
        <v>0</v>
      </c>
      <c r="AW24" s="528">
        <v>0</v>
      </c>
      <c r="AX24" s="528">
        <v>0</v>
      </c>
      <c r="AY24" s="528">
        <v>0</v>
      </c>
      <c r="AZ24" s="528"/>
      <c r="BA24" s="528" t="s">
        <v>1145</v>
      </c>
      <c r="BB24" s="528"/>
      <c r="BC24" s="528" t="s">
        <v>1145</v>
      </c>
      <c r="BD24" s="528"/>
      <c r="BE24" s="528"/>
      <c r="BF24" s="528"/>
      <c r="BG24" s="529"/>
      <c r="BH24" s="525"/>
      <c r="BI24" s="528"/>
      <c r="BJ24" s="528" t="s">
        <v>1146</v>
      </c>
      <c r="BK24" s="528"/>
      <c r="BL24" s="529"/>
      <c r="BM24" s="567"/>
      <c r="BN24" s="525"/>
    </row>
    <row r="25" spans="1:67" ht="13" customHeight="1" x14ac:dyDescent="0.2">
      <c r="A25" s="525">
        <v>272</v>
      </c>
      <c r="B25" s="630">
        <v>45140</v>
      </c>
      <c r="C25" s="526" t="s">
        <v>1138</v>
      </c>
      <c r="D25" s="525" t="s">
        <v>1108</v>
      </c>
      <c r="E25" s="527">
        <v>45108</v>
      </c>
      <c r="F25" s="529" t="s">
        <v>1169</v>
      </c>
      <c r="G25" s="525" t="s">
        <v>1758</v>
      </c>
      <c r="H25" s="532">
        <v>81.881818181818176</v>
      </c>
      <c r="I25" s="531" t="s">
        <v>296</v>
      </c>
      <c r="J25" s="459">
        <v>3000</v>
      </c>
      <c r="K25" s="459">
        <v>6000</v>
      </c>
      <c r="L25" s="459">
        <v>9000</v>
      </c>
      <c r="M25" s="459">
        <v>15000</v>
      </c>
      <c r="N25" s="525"/>
      <c r="O25" s="532">
        <v>3.6636363636363636</v>
      </c>
      <c r="P25" s="532">
        <v>3.2818181818181813</v>
      </c>
      <c r="Q25" s="532">
        <v>2.8272727272727267</v>
      </c>
      <c r="R25" s="532">
        <v>2.5727272727272728</v>
      </c>
      <c r="S25" s="532">
        <v>2.5090909090909088</v>
      </c>
      <c r="T25" s="533"/>
      <c r="U25" s="532">
        <v>3.6636363636363636</v>
      </c>
      <c r="V25" s="532">
        <v>3.2818181818181813</v>
      </c>
      <c r="W25" s="532">
        <v>2.8272727272727267</v>
      </c>
      <c r="X25" s="532">
        <v>2.5727272727272728</v>
      </c>
      <c r="Y25" s="532">
        <v>2.5090909090909088</v>
      </c>
      <c r="Z25" s="533"/>
      <c r="AA25" s="533"/>
      <c r="AB25" s="533"/>
      <c r="AC25" s="533"/>
      <c r="AD25" s="533"/>
      <c r="AE25" s="533"/>
      <c r="AF25" s="533"/>
      <c r="AG25" s="528" t="s">
        <v>1145</v>
      </c>
      <c r="AH25" s="528"/>
      <c r="AI25" s="528">
        <v>3</v>
      </c>
      <c r="AJ25" s="528">
        <v>3</v>
      </c>
      <c r="AK25" s="480">
        <v>0.5</v>
      </c>
      <c r="AL25" s="480">
        <v>0.5</v>
      </c>
      <c r="AM25" s="525"/>
      <c r="AN25" s="528">
        <v>10</v>
      </c>
      <c r="AO25" s="528">
        <v>0</v>
      </c>
      <c r="AP25" s="528">
        <v>0</v>
      </c>
      <c r="AQ25" s="528">
        <v>0</v>
      </c>
      <c r="AR25" s="528">
        <v>0</v>
      </c>
      <c r="AS25" s="528">
        <v>0</v>
      </c>
      <c r="AT25" s="528">
        <v>0</v>
      </c>
      <c r="AU25" s="528">
        <v>0</v>
      </c>
      <c r="AV25" s="528">
        <v>0</v>
      </c>
      <c r="AW25" s="528">
        <v>0</v>
      </c>
      <c r="AX25" s="528">
        <v>0</v>
      </c>
      <c r="AY25" s="528">
        <v>0</v>
      </c>
      <c r="AZ25" s="528"/>
      <c r="BA25" s="528" t="s">
        <v>1145</v>
      </c>
      <c r="BB25" s="528"/>
      <c r="BC25" s="528" t="s">
        <v>1145</v>
      </c>
      <c r="BD25" s="528"/>
      <c r="BE25" s="528"/>
      <c r="BF25" s="528"/>
      <c r="BG25" s="529"/>
      <c r="BH25" s="525"/>
      <c r="BI25" s="528"/>
      <c r="BJ25" s="528" t="s">
        <v>1146</v>
      </c>
      <c r="BK25" s="528"/>
      <c r="BL25" s="529"/>
      <c r="BM25" s="567"/>
      <c r="BN25" s="525"/>
    </row>
    <row r="26" spans="1:67" ht="13" customHeight="1" x14ac:dyDescent="0.2">
      <c r="A26" s="525">
        <v>1683</v>
      </c>
      <c r="B26" s="630">
        <v>45140</v>
      </c>
      <c r="C26" s="526" t="s">
        <v>295</v>
      </c>
      <c r="D26" s="525" t="s">
        <v>1108</v>
      </c>
      <c r="E26" s="527">
        <v>45103</v>
      </c>
      <c r="F26" s="529" t="s">
        <v>1106</v>
      </c>
      <c r="G26" s="525" t="s">
        <v>2</v>
      </c>
      <c r="H26" s="532">
        <v>64</v>
      </c>
      <c r="I26" s="531" t="s">
        <v>296</v>
      </c>
      <c r="J26" s="459">
        <v>6000</v>
      </c>
      <c r="K26" s="459">
        <v>6000</v>
      </c>
      <c r="L26" s="459">
        <v>6000</v>
      </c>
      <c r="M26" s="459">
        <v>6000</v>
      </c>
      <c r="N26" s="525"/>
      <c r="O26" s="532">
        <v>3.2181818181818178</v>
      </c>
      <c r="P26" s="532">
        <v>0</v>
      </c>
      <c r="Q26" s="532">
        <v>0</v>
      </c>
      <c r="R26" s="532">
        <v>0</v>
      </c>
      <c r="S26" s="532">
        <v>2.709090909090909</v>
      </c>
      <c r="T26" s="533"/>
      <c r="U26" s="532">
        <v>3.2181818181818178</v>
      </c>
      <c r="V26" s="532">
        <v>0</v>
      </c>
      <c r="W26" s="532">
        <v>0</v>
      </c>
      <c r="X26" s="532">
        <v>0</v>
      </c>
      <c r="Y26" s="532">
        <v>2.709090909090909</v>
      </c>
      <c r="Z26" s="533"/>
      <c r="AA26" s="533"/>
      <c r="AB26" s="533"/>
      <c r="AC26" s="533"/>
      <c r="AD26" s="533"/>
      <c r="AE26" s="533"/>
      <c r="AF26" s="533"/>
      <c r="AG26" s="528" t="s">
        <v>297</v>
      </c>
      <c r="AH26" s="528" t="s">
        <v>298</v>
      </c>
      <c r="AI26" s="333">
        <v>2</v>
      </c>
      <c r="AJ26" s="333">
        <v>4</v>
      </c>
      <c r="AK26" s="483">
        <v>0.33329999999999999</v>
      </c>
      <c r="AL26" s="483">
        <v>0.66659999999999997</v>
      </c>
      <c r="AM26" s="525" t="s">
        <v>1124</v>
      </c>
      <c r="AN26" s="528">
        <v>0</v>
      </c>
      <c r="AO26" s="528">
        <v>0</v>
      </c>
      <c r="AP26" s="528">
        <v>2</v>
      </c>
      <c r="AQ26" s="528">
        <v>0</v>
      </c>
      <c r="AR26" s="528">
        <v>0</v>
      </c>
      <c r="AS26" s="528">
        <v>0</v>
      </c>
      <c r="AT26" s="528">
        <v>0</v>
      </c>
      <c r="AU26" s="528">
        <v>0</v>
      </c>
      <c r="AV26" s="528">
        <v>0</v>
      </c>
      <c r="AW26" s="528">
        <v>0</v>
      </c>
      <c r="AX26" s="528">
        <v>0</v>
      </c>
      <c r="AY26" s="528">
        <v>0</v>
      </c>
      <c r="AZ26" s="528"/>
      <c r="BA26" s="528" t="s">
        <v>1145</v>
      </c>
      <c r="BB26" s="528"/>
      <c r="BC26" s="528" t="s">
        <v>1145</v>
      </c>
      <c r="BD26" s="528"/>
      <c r="BE26" s="528"/>
      <c r="BF26" s="529"/>
      <c r="BG26" s="529"/>
      <c r="BH26" s="525"/>
      <c r="BI26" s="528"/>
      <c r="BJ26" s="528" t="s">
        <v>1146</v>
      </c>
      <c r="BK26" s="528">
        <v>1</v>
      </c>
      <c r="BL26" s="525"/>
      <c r="BM26" s="567"/>
      <c r="BN26" s="525"/>
    </row>
    <row r="27" spans="1:67" ht="13" customHeight="1" x14ac:dyDescent="0.2">
      <c r="A27" s="525">
        <v>2745</v>
      </c>
      <c r="B27" s="630">
        <v>45140</v>
      </c>
      <c r="C27" s="526" t="s">
        <v>1138</v>
      </c>
      <c r="D27" s="525" t="s">
        <v>1108</v>
      </c>
      <c r="E27" s="527">
        <v>45108</v>
      </c>
      <c r="F27" s="525" t="s">
        <v>1274</v>
      </c>
      <c r="G27" s="525" t="s">
        <v>1467</v>
      </c>
      <c r="H27" s="532">
        <v>79</v>
      </c>
      <c r="I27" s="531" t="s">
        <v>296</v>
      </c>
      <c r="J27" s="409">
        <v>3000</v>
      </c>
      <c r="K27" s="409">
        <v>7500</v>
      </c>
      <c r="L27" s="409">
        <v>7500</v>
      </c>
      <c r="M27" s="409">
        <v>7500</v>
      </c>
      <c r="N27" s="332"/>
      <c r="O27" s="532">
        <v>4.3</v>
      </c>
      <c r="P27" s="532">
        <v>3.7</v>
      </c>
      <c r="Q27" s="532">
        <v>0</v>
      </c>
      <c r="R27" s="532">
        <v>0</v>
      </c>
      <c r="S27" s="532">
        <v>3.1</v>
      </c>
      <c r="T27" s="571"/>
      <c r="U27" s="532">
        <v>4.3</v>
      </c>
      <c r="V27" s="532">
        <v>3.7</v>
      </c>
      <c r="W27" s="532">
        <v>0</v>
      </c>
      <c r="X27" s="532">
        <v>0</v>
      </c>
      <c r="Y27" s="532">
        <v>3.1</v>
      </c>
      <c r="Z27" s="571"/>
      <c r="AA27" s="571"/>
      <c r="AB27" s="571"/>
      <c r="AC27" s="571"/>
      <c r="AD27" s="571"/>
      <c r="AE27" s="571"/>
      <c r="AF27" s="571"/>
      <c r="AG27" s="333" t="s">
        <v>1145</v>
      </c>
      <c r="AH27" s="333"/>
      <c r="AI27" s="528">
        <v>3</v>
      </c>
      <c r="AJ27" s="528">
        <v>3</v>
      </c>
      <c r="AK27" s="480">
        <v>0.5</v>
      </c>
      <c r="AL27" s="480">
        <v>0.5</v>
      </c>
      <c r="AM27" s="525"/>
      <c r="AN27" s="528">
        <v>0</v>
      </c>
      <c r="AO27" s="528">
        <v>7</v>
      </c>
      <c r="AP27" s="528">
        <v>0</v>
      </c>
      <c r="AQ27" s="528">
        <v>3</v>
      </c>
      <c r="AR27" s="528">
        <v>0</v>
      </c>
      <c r="AS27" s="528">
        <v>0</v>
      </c>
      <c r="AT27" s="528">
        <v>0</v>
      </c>
      <c r="AU27" s="528">
        <v>0</v>
      </c>
      <c r="AV27" s="528">
        <v>0</v>
      </c>
      <c r="AW27" s="528">
        <v>0</v>
      </c>
      <c r="AX27" s="528">
        <v>0</v>
      </c>
      <c r="AY27" s="528">
        <v>0</v>
      </c>
      <c r="AZ27" s="528"/>
      <c r="BA27" s="528" t="s">
        <v>1145</v>
      </c>
      <c r="BB27" s="528"/>
      <c r="BC27" s="528" t="s">
        <v>1145</v>
      </c>
      <c r="BD27" s="528"/>
      <c r="BE27" s="528"/>
      <c r="BF27" s="528"/>
      <c r="BG27" s="529"/>
      <c r="BH27" s="525"/>
      <c r="BI27" s="528"/>
      <c r="BJ27" s="528" t="s">
        <v>1146</v>
      </c>
      <c r="BK27" s="528">
        <v>1</v>
      </c>
      <c r="BL27" s="529"/>
      <c r="BM27" s="529"/>
      <c r="BN27" s="525"/>
    </row>
    <row r="28" spans="1:67" ht="13" customHeight="1" x14ac:dyDescent="0.2">
      <c r="A28" s="525">
        <v>2936</v>
      </c>
      <c r="B28" s="630">
        <v>45140</v>
      </c>
      <c r="C28" s="526" t="s">
        <v>1138</v>
      </c>
      <c r="D28" s="525" t="s">
        <v>1108</v>
      </c>
      <c r="E28" s="527">
        <v>45139</v>
      </c>
      <c r="F28" s="525" t="s">
        <v>1483</v>
      </c>
      <c r="G28" s="525" t="s">
        <v>1550</v>
      </c>
      <c r="H28" s="532">
        <v>104.99999999999999</v>
      </c>
      <c r="I28" s="531" t="s">
        <v>296</v>
      </c>
      <c r="J28" s="459">
        <v>3000</v>
      </c>
      <c r="K28" s="459">
        <v>6000</v>
      </c>
      <c r="L28" s="459">
        <v>9000</v>
      </c>
      <c r="M28" s="459">
        <v>15000</v>
      </c>
      <c r="N28" s="332"/>
      <c r="O28" s="532">
        <v>3.5</v>
      </c>
      <c r="P28" s="532">
        <v>3.3181818181818179</v>
      </c>
      <c r="Q28" s="532">
        <v>3.1818181818181817</v>
      </c>
      <c r="R28" s="532">
        <v>3.0181818181818176</v>
      </c>
      <c r="S28" s="532">
        <v>2.8</v>
      </c>
      <c r="T28" s="571"/>
      <c r="U28" s="532">
        <v>3.2181818181818178</v>
      </c>
      <c r="V28" s="532">
        <v>2.8181818181818179</v>
      </c>
      <c r="W28" s="532">
        <v>2.6727272727272724</v>
      </c>
      <c r="X28" s="532">
        <v>2.5090909090909088</v>
      </c>
      <c r="Y28" s="532">
        <v>2.4454545454545453</v>
      </c>
      <c r="Z28" s="571"/>
      <c r="AA28" s="571"/>
      <c r="AB28" s="571"/>
      <c r="AC28" s="571"/>
      <c r="AD28" s="571"/>
      <c r="AE28" s="571"/>
      <c r="AF28" s="571"/>
      <c r="AG28" s="528" t="s">
        <v>1143</v>
      </c>
      <c r="AH28" s="528" t="s">
        <v>1144</v>
      </c>
      <c r="AI28" s="528">
        <v>3</v>
      </c>
      <c r="AJ28" s="528">
        <v>3</v>
      </c>
      <c r="AK28" s="480">
        <v>0.5</v>
      </c>
      <c r="AL28" s="480">
        <v>0.5</v>
      </c>
      <c r="AM28" s="525" t="s">
        <v>1118</v>
      </c>
      <c r="AN28" s="528">
        <v>0</v>
      </c>
      <c r="AO28" s="528">
        <v>0</v>
      </c>
      <c r="AP28" s="528">
        <v>0</v>
      </c>
      <c r="AQ28" s="528">
        <v>0</v>
      </c>
      <c r="AR28" s="528">
        <v>0</v>
      </c>
      <c r="AS28" s="528">
        <v>0</v>
      </c>
      <c r="AT28" s="528">
        <v>0</v>
      </c>
      <c r="AU28" s="528">
        <v>0</v>
      </c>
      <c r="AV28" s="528">
        <v>0</v>
      </c>
      <c r="AW28" s="528">
        <v>0</v>
      </c>
      <c r="AX28" s="528">
        <v>0</v>
      </c>
      <c r="AY28" s="528">
        <v>0</v>
      </c>
      <c r="AZ28" s="528"/>
      <c r="BA28" s="528" t="s">
        <v>1145</v>
      </c>
      <c r="BB28" s="297"/>
      <c r="BC28" s="528" t="s">
        <v>1145</v>
      </c>
      <c r="BD28" s="528"/>
      <c r="BE28" s="528"/>
      <c r="BF28" s="564"/>
      <c r="BG28" s="529"/>
      <c r="BH28" s="525"/>
      <c r="BI28" s="528"/>
      <c r="BJ28" s="528" t="s">
        <v>4</v>
      </c>
      <c r="BK28" s="528"/>
      <c r="BL28" s="529"/>
      <c r="BM28" s="525"/>
      <c r="BN28" s="525"/>
    </row>
    <row r="29" spans="1:67" ht="16" x14ac:dyDescent="0.2">
      <c r="A29" s="525">
        <v>3705</v>
      </c>
      <c r="B29" s="630">
        <v>45140</v>
      </c>
      <c r="C29" s="526" t="s">
        <v>1138</v>
      </c>
      <c r="D29" s="525" t="s">
        <v>1108</v>
      </c>
      <c r="E29" s="527">
        <v>45096</v>
      </c>
      <c r="F29" s="525" t="s">
        <v>1057</v>
      </c>
      <c r="G29" s="525" t="s">
        <v>1734</v>
      </c>
      <c r="H29" s="532">
        <v>96.3</v>
      </c>
      <c r="I29" s="531" t="s">
        <v>296</v>
      </c>
      <c r="J29" s="459">
        <v>3000</v>
      </c>
      <c r="K29" s="459">
        <v>6000</v>
      </c>
      <c r="L29" s="459">
        <v>9000</v>
      </c>
      <c r="M29" s="459">
        <v>9000</v>
      </c>
      <c r="N29" s="297"/>
      <c r="O29" s="532">
        <v>3.1999999999999997</v>
      </c>
      <c r="P29" s="532">
        <v>2.9</v>
      </c>
      <c r="Q29" s="532">
        <v>2.5</v>
      </c>
      <c r="R29" s="532">
        <v>2.4</v>
      </c>
      <c r="S29" s="532">
        <v>2.2999999999999998</v>
      </c>
      <c r="T29" s="571"/>
      <c r="U29" s="532">
        <v>3.1999999999999997</v>
      </c>
      <c r="V29" s="532">
        <v>2.9</v>
      </c>
      <c r="W29" s="532">
        <v>2.5</v>
      </c>
      <c r="X29" s="532">
        <v>2.4</v>
      </c>
      <c r="Y29" s="532">
        <v>2.2999999999999998</v>
      </c>
      <c r="Z29" s="297"/>
      <c r="AA29" s="297"/>
      <c r="AB29" s="297"/>
      <c r="AC29" s="297"/>
      <c r="AD29" s="297"/>
      <c r="AE29" s="297"/>
      <c r="AF29" s="297"/>
      <c r="AG29" s="333" t="s">
        <v>1143</v>
      </c>
      <c r="AH29" s="333" t="s">
        <v>1144</v>
      </c>
      <c r="AI29" s="528">
        <v>3</v>
      </c>
      <c r="AJ29" s="528">
        <v>3</v>
      </c>
      <c r="AK29" s="480">
        <v>0.5</v>
      </c>
      <c r="AL29" s="480">
        <v>0.5</v>
      </c>
      <c r="AM29" s="525" t="s">
        <v>1118</v>
      </c>
      <c r="AN29" s="528">
        <v>0</v>
      </c>
      <c r="AO29" s="528">
        <v>0</v>
      </c>
      <c r="AP29" s="528">
        <v>0</v>
      </c>
      <c r="AQ29" s="528">
        <v>0</v>
      </c>
      <c r="AR29" s="528">
        <v>0</v>
      </c>
      <c r="AS29" s="528">
        <v>0</v>
      </c>
      <c r="AT29" s="528">
        <v>0</v>
      </c>
      <c r="AU29" s="528">
        <v>0</v>
      </c>
      <c r="AV29" s="528">
        <v>0</v>
      </c>
      <c r="AW29" s="528">
        <v>0</v>
      </c>
      <c r="AX29" s="528">
        <v>0</v>
      </c>
      <c r="AY29" s="528">
        <v>0</v>
      </c>
      <c r="AZ29" s="528"/>
      <c r="BA29" s="528" t="s">
        <v>1145</v>
      </c>
      <c r="BB29" s="297"/>
      <c r="BC29" s="528" t="s">
        <v>1145</v>
      </c>
      <c r="BD29" s="528"/>
      <c r="BE29" s="528"/>
      <c r="BF29" s="528"/>
      <c r="BG29" s="529"/>
      <c r="BH29" s="525"/>
      <c r="BI29" s="528"/>
      <c r="BJ29" s="528" t="s">
        <v>1146</v>
      </c>
      <c r="BK29" s="528"/>
      <c r="BL29" s="529" t="s">
        <v>1735</v>
      </c>
      <c r="BM29" s="530"/>
      <c r="BN29" s="525"/>
    </row>
    <row r="30" spans="1:67" ht="13" customHeight="1" x14ac:dyDescent="0.2">
      <c r="A30" s="525">
        <v>3635</v>
      </c>
      <c r="B30" s="630">
        <v>45140</v>
      </c>
      <c r="C30" s="526" t="s">
        <v>1138</v>
      </c>
      <c r="D30" s="525" t="s">
        <v>1108</v>
      </c>
      <c r="E30" s="527">
        <v>45127</v>
      </c>
      <c r="F30" s="525" t="s">
        <v>1173</v>
      </c>
      <c r="G30" s="525" t="s">
        <v>1705</v>
      </c>
      <c r="H30" s="532">
        <v>67.999999999999986</v>
      </c>
      <c r="I30" s="531" t="s">
        <v>296</v>
      </c>
      <c r="J30" s="631">
        <v>3000</v>
      </c>
      <c r="K30" s="631">
        <v>6000</v>
      </c>
      <c r="L30" s="631">
        <v>9000</v>
      </c>
      <c r="M30" s="631">
        <v>9000</v>
      </c>
      <c r="N30" s="332"/>
      <c r="O30" s="532">
        <v>2.9999999999999996</v>
      </c>
      <c r="P30" s="532">
        <v>2.7</v>
      </c>
      <c r="Q30" s="532">
        <v>2.5</v>
      </c>
      <c r="R30" s="532">
        <v>2.1999999999999997</v>
      </c>
      <c r="S30" s="532">
        <v>2.1</v>
      </c>
      <c r="T30" s="571"/>
      <c r="U30" s="532">
        <v>2.7</v>
      </c>
      <c r="V30" s="532">
        <v>2.5999999999999996</v>
      </c>
      <c r="W30" s="532">
        <v>2.1999999999999997</v>
      </c>
      <c r="X30" s="532">
        <v>2.1</v>
      </c>
      <c r="Y30" s="532">
        <v>2</v>
      </c>
      <c r="Z30" s="571"/>
      <c r="AA30" s="571"/>
      <c r="AB30" s="571"/>
      <c r="AC30" s="571"/>
      <c r="AD30" s="571"/>
      <c r="AE30" s="571"/>
      <c r="AF30" s="571"/>
      <c r="AG30" s="528" t="s">
        <v>1143</v>
      </c>
      <c r="AH30" s="528" t="s">
        <v>1144</v>
      </c>
      <c r="AI30" s="528">
        <v>3</v>
      </c>
      <c r="AJ30" s="528">
        <v>3</v>
      </c>
      <c r="AK30" s="480">
        <v>0.5</v>
      </c>
      <c r="AL30" s="480">
        <v>0.5</v>
      </c>
      <c r="AM30" s="525" t="s">
        <v>1124</v>
      </c>
      <c r="AN30" s="528">
        <v>0</v>
      </c>
      <c r="AO30" s="528">
        <v>0</v>
      </c>
      <c r="AP30" s="528">
        <v>0</v>
      </c>
      <c r="AQ30" s="528">
        <v>0</v>
      </c>
      <c r="AR30" s="528">
        <v>0</v>
      </c>
      <c r="AS30" s="528">
        <v>0</v>
      </c>
      <c r="AT30" s="528">
        <v>0</v>
      </c>
      <c r="AU30" s="528">
        <v>0</v>
      </c>
      <c r="AV30" s="528">
        <v>0</v>
      </c>
      <c r="AW30" s="528">
        <v>0</v>
      </c>
      <c r="AX30" s="528">
        <v>0</v>
      </c>
      <c r="AY30" s="528">
        <v>0</v>
      </c>
      <c r="AZ30" s="528"/>
      <c r="BA30" s="528" t="s">
        <v>1145</v>
      </c>
      <c r="BB30" s="297"/>
      <c r="BC30" s="528" t="s">
        <v>1145</v>
      </c>
      <c r="BD30" s="528"/>
      <c r="BE30" s="528"/>
      <c r="BF30" s="564"/>
      <c r="BG30" s="529"/>
      <c r="BH30" s="525"/>
      <c r="BI30" s="528"/>
      <c r="BJ30" s="528" t="s">
        <v>4</v>
      </c>
      <c r="BK30" s="528"/>
      <c r="BL30" s="529"/>
      <c r="BM30" s="569"/>
      <c r="BN30" s="525"/>
    </row>
    <row r="31" spans="1:67" ht="13" customHeight="1" x14ac:dyDescent="0.2">
      <c r="A31" s="525" t="s">
        <v>1749</v>
      </c>
      <c r="B31" s="630">
        <v>45140</v>
      </c>
      <c r="C31" s="526" t="s">
        <v>1138</v>
      </c>
      <c r="D31" s="525" t="s">
        <v>1108</v>
      </c>
      <c r="E31" s="527">
        <v>45108</v>
      </c>
      <c r="F31" s="529" t="s">
        <v>1750</v>
      </c>
      <c r="G31" s="525" t="s">
        <v>1751</v>
      </c>
      <c r="H31" s="532">
        <v>68.436363636363637</v>
      </c>
      <c r="I31" s="531" t="s">
        <v>296</v>
      </c>
      <c r="J31" s="459">
        <v>3000</v>
      </c>
      <c r="K31" s="459">
        <v>6000</v>
      </c>
      <c r="L31" s="459">
        <v>9000</v>
      </c>
      <c r="M31" s="459">
        <v>15000</v>
      </c>
      <c r="N31" s="525"/>
      <c r="O31" s="532">
        <v>3.0545454545454542</v>
      </c>
      <c r="P31" s="532">
        <v>2.7</v>
      </c>
      <c r="Q31" s="532">
        <v>2.1727272727272728</v>
      </c>
      <c r="R31" s="532">
        <v>1.7818181818181817</v>
      </c>
      <c r="S31" s="532">
        <v>1.7363636363636361</v>
      </c>
      <c r="T31" s="533"/>
      <c r="U31" s="532">
        <v>2.8636363636363633</v>
      </c>
      <c r="V31" s="532">
        <v>2.5</v>
      </c>
      <c r="W31" s="532">
        <v>2.0545454545454542</v>
      </c>
      <c r="X31" s="532">
        <v>1.7363636363636361</v>
      </c>
      <c r="Y31" s="532">
        <v>1.5181818181818181</v>
      </c>
      <c r="Z31" s="533"/>
      <c r="AA31" s="533"/>
      <c r="AB31" s="533"/>
      <c r="AC31" s="533"/>
      <c r="AD31" s="533"/>
      <c r="AE31" s="533"/>
      <c r="AF31" s="533"/>
      <c r="AG31" s="528" t="s">
        <v>1143</v>
      </c>
      <c r="AH31" s="528" t="s">
        <v>1144</v>
      </c>
      <c r="AI31" s="528">
        <v>3</v>
      </c>
      <c r="AJ31" s="528">
        <v>3</v>
      </c>
      <c r="AK31" s="480">
        <v>0.5</v>
      </c>
      <c r="AL31" s="480">
        <v>0.5</v>
      </c>
      <c r="AM31" s="525" t="s">
        <v>1118</v>
      </c>
      <c r="AN31" s="528">
        <v>0</v>
      </c>
      <c r="AO31" s="528">
        <v>0</v>
      </c>
      <c r="AP31" s="528">
        <v>0</v>
      </c>
      <c r="AQ31" s="528">
        <v>0</v>
      </c>
      <c r="AR31" s="528">
        <v>0</v>
      </c>
      <c r="AS31" s="528">
        <v>0</v>
      </c>
      <c r="AT31" s="528">
        <v>0</v>
      </c>
      <c r="AU31" s="528">
        <v>0</v>
      </c>
      <c r="AV31" s="528">
        <v>0</v>
      </c>
      <c r="AW31" s="528">
        <v>0</v>
      </c>
      <c r="AX31" s="528">
        <v>0</v>
      </c>
      <c r="AY31" s="528">
        <v>0</v>
      </c>
      <c r="AZ31" s="528"/>
      <c r="BA31" s="528" t="s">
        <v>1145</v>
      </c>
      <c r="BB31" s="297"/>
      <c r="BC31" s="528" t="s">
        <v>1145</v>
      </c>
      <c r="BD31" s="528"/>
      <c r="BE31" s="528"/>
      <c r="BF31" s="528"/>
      <c r="BG31" s="597"/>
      <c r="BH31" s="598"/>
      <c r="BI31" s="566"/>
      <c r="BJ31" s="528" t="s">
        <v>1146</v>
      </c>
      <c r="BK31" s="528"/>
      <c r="BL31" s="529"/>
      <c r="BM31" s="529"/>
      <c r="BN31" s="525"/>
    </row>
    <row r="32" spans="1:67" ht="13" customHeight="1" x14ac:dyDescent="0.2">
      <c r="A32" s="525" t="s">
        <v>1749</v>
      </c>
      <c r="B32" s="630">
        <v>45140</v>
      </c>
      <c r="C32" s="526" t="s">
        <v>1138</v>
      </c>
      <c r="D32" s="525" t="s">
        <v>1108</v>
      </c>
      <c r="E32" s="527">
        <v>44944</v>
      </c>
      <c r="F32" s="529" t="s">
        <v>34</v>
      </c>
      <c r="G32" s="525" t="s">
        <v>1656</v>
      </c>
      <c r="H32" s="532">
        <v>83.345454545454544</v>
      </c>
      <c r="I32" s="531"/>
      <c r="J32" s="459"/>
      <c r="K32" s="459"/>
      <c r="L32" s="459"/>
      <c r="M32" s="459"/>
      <c r="N32" s="525"/>
      <c r="O32" s="532">
        <v>3.1636363636363636</v>
      </c>
      <c r="P32" s="532">
        <v>0</v>
      </c>
      <c r="Q32" s="532">
        <v>0</v>
      </c>
      <c r="R32" s="532">
        <v>0</v>
      </c>
      <c r="S32" s="532">
        <v>0</v>
      </c>
      <c r="T32" s="533"/>
      <c r="U32" s="532">
        <v>3.1636363636363636</v>
      </c>
      <c r="V32" s="532">
        <v>0</v>
      </c>
      <c r="W32" s="532">
        <v>0</v>
      </c>
      <c r="X32" s="532">
        <v>0</v>
      </c>
      <c r="Y32" s="532">
        <v>0</v>
      </c>
      <c r="Z32" s="533"/>
      <c r="AA32" s="533"/>
      <c r="AB32" s="533"/>
      <c r="AC32" s="533"/>
      <c r="AD32" s="533"/>
      <c r="AE32" s="533"/>
      <c r="AF32" s="533"/>
      <c r="AG32" s="333" t="s">
        <v>1145</v>
      </c>
      <c r="AH32" s="333"/>
      <c r="AI32" s="528">
        <v>3</v>
      </c>
      <c r="AJ32" s="528">
        <v>3</v>
      </c>
      <c r="AK32" s="480">
        <v>0.5</v>
      </c>
      <c r="AL32" s="480">
        <v>0.5</v>
      </c>
      <c r="AM32" s="525"/>
      <c r="AN32" s="528">
        <v>0</v>
      </c>
      <c r="AO32" s="528">
        <v>0</v>
      </c>
      <c r="AP32" s="528">
        <v>0</v>
      </c>
      <c r="AQ32" s="528">
        <v>0</v>
      </c>
      <c r="AR32" s="528">
        <v>0</v>
      </c>
      <c r="AS32" s="528">
        <v>0</v>
      </c>
      <c r="AT32" s="528">
        <v>0</v>
      </c>
      <c r="AU32" s="528">
        <v>0</v>
      </c>
      <c r="AV32" s="528">
        <v>0</v>
      </c>
      <c r="AW32" s="528">
        <v>0</v>
      </c>
      <c r="AX32" s="528">
        <v>0</v>
      </c>
      <c r="AY32" s="528">
        <v>0</v>
      </c>
      <c r="AZ32" s="528"/>
      <c r="BA32" s="528" t="s">
        <v>1145</v>
      </c>
      <c r="BB32" s="528"/>
      <c r="BC32" s="528" t="s">
        <v>1145</v>
      </c>
      <c r="BD32" s="528"/>
      <c r="BE32" s="528"/>
      <c r="BF32" s="528"/>
      <c r="BG32" s="597"/>
      <c r="BH32" s="598"/>
      <c r="BI32" s="566"/>
      <c r="BJ32" s="528" t="s">
        <v>1146</v>
      </c>
      <c r="BK32" s="528"/>
      <c r="BL32" s="529"/>
      <c r="BM32" s="525" t="s">
        <v>1765</v>
      </c>
      <c r="BN32" s="525"/>
    </row>
    <row r="33" spans="1:66" ht="13" customHeight="1" x14ac:dyDescent="0.2">
      <c r="A33" s="525" t="s">
        <v>1749</v>
      </c>
      <c r="B33" s="630">
        <v>45140</v>
      </c>
      <c r="C33" s="526" t="s">
        <v>1138</v>
      </c>
      <c r="D33" s="525" t="s">
        <v>1108</v>
      </c>
      <c r="E33" s="527">
        <v>44944</v>
      </c>
      <c r="F33" s="529" t="s">
        <v>1766</v>
      </c>
      <c r="G33" s="525" t="s">
        <v>1767</v>
      </c>
      <c r="H33" s="532">
        <v>83.345454545454544</v>
      </c>
      <c r="I33" s="531"/>
      <c r="J33" s="459"/>
      <c r="K33" s="459"/>
      <c r="L33" s="459"/>
      <c r="M33" s="459"/>
      <c r="N33" s="525"/>
      <c r="O33" s="532">
        <v>3.1636363636363636</v>
      </c>
      <c r="P33" s="532">
        <v>0</v>
      </c>
      <c r="Q33" s="532">
        <v>0</v>
      </c>
      <c r="R33" s="532">
        <v>0</v>
      </c>
      <c r="S33" s="532">
        <v>0</v>
      </c>
      <c r="T33" s="533"/>
      <c r="U33" s="532">
        <v>3.1636363636363636</v>
      </c>
      <c r="V33" s="532">
        <v>0</v>
      </c>
      <c r="W33" s="532">
        <v>0</v>
      </c>
      <c r="X33" s="532">
        <v>0</v>
      </c>
      <c r="Y33" s="532">
        <v>0</v>
      </c>
      <c r="Z33" s="533"/>
      <c r="AA33" s="533"/>
      <c r="AB33" s="533"/>
      <c r="AC33" s="533"/>
      <c r="AD33" s="533"/>
      <c r="AE33" s="533"/>
      <c r="AF33" s="533"/>
      <c r="AG33" s="333" t="s">
        <v>1145</v>
      </c>
      <c r="AH33" s="333"/>
      <c r="AI33" s="528">
        <v>3</v>
      </c>
      <c r="AJ33" s="528">
        <v>3</v>
      </c>
      <c r="AK33" s="480">
        <v>0.5</v>
      </c>
      <c r="AL33" s="480">
        <v>0.5</v>
      </c>
      <c r="AM33" s="525"/>
      <c r="AN33" s="528">
        <v>0</v>
      </c>
      <c r="AO33" s="528">
        <v>0</v>
      </c>
      <c r="AP33" s="528">
        <v>0</v>
      </c>
      <c r="AQ33" s="528">
        <v>0</v>
      </c>
      <c r="AR33" s="528">
        <v>0</v>
      </c>
      <c r="AS33" s="528">
        <v>0</v>
      </c>
      <c r="AT33" s="528">
        <v>0</v>
      </c>
      <c r="AU33" s="528">
        <v>0</v>
      </c>
      <c r="AV33" s="528">
        <v>0</v>
      </c>
      <c r="AW33" s="528">
        <v>0</v>
      </c>
      <c r="AX33" s="528">
        <v>0</v>
      </c>
      <c r="AY33" s="528">
        <v>0</v>
      </c>
      <c r="AZ33" s="528"/>
      <c r="BA33" s="528" t="s">
        <v>1145</v>
      </c>
      <c r="BB33" s="528"/>
      <c r="BC33" s="528" t="s">
        <v>1145</v>
      </c>
      <c r="BD33" s="528"/>
      <c r="BE33" s="528"/>
      <c r="BF33" s="528"/>
      <c r="BG33" s="597"/>
      <c r="BH33" s="598"/>
      <c r="BI33" s="566"/>
      <c r="BJ33" s="528" t="s">
        <v>1146</v>
      </c>
      <c r="BK33" s="528"/>
      <c r="BL33" s="529" t="s">
        <v>1769</v>
      </c>
      <c r="BM33" s="525" t="s">
        <v>1768</v>
      </c>
      <c r="BN33" s="525"/>
    </row>
    <row r="34" spans="1:66" ht="13" customHeight="1" x14ac:dyDescent="0.2">
      <c r="A34" s="525">
        <v>3153</v>
      </c>
      <c r="B34" s="630">
        <v>45140</v>
      </c>
      <c r="C34" s="526" t="s">
        <v>1138</v>
      </c>
      <c r="D34" s="525" t="s">
        <v>1109</v>
      </c>
      <c r="E34" s="527">
        <v>45108</v>
      </c>
      <c r="F34" s="529" t="s">
        <v>1139</v>
      </c>
      <c r="G34" s="525" t="s">
        <v>1646</v>
      </c>
      <c r="H34" s="532">
        <v>76.709090909090904</v>
      </c>
      <c r="I34" s="531" t="s">
        <v>1141</v>
      </c>
      <c r="J34" s="485">
        <v>1645</v>
      </c>
      <c r="K34" s="485">
        <v>3000</v>
      </c>
      <c r="L34" s="485">
        <v>3000</v>
      </c>
      <c r="M34" s="485">
        <v>3000</v>
      </c>
      <c r="N34" s="525"/>
      <c r="O34" s="532">
        <v>3.3454545454545452</v>
      </c>
      <c r="P34" s="532">
        <v>3.0909090909090904</v>
      </c>
      <c r="Q34" s="532">
        <v>0</v>
      </c>
      <c r="R34" s="532">
        <v>0</v>
      </c>
      <c r="S34" s="532">
        <v>2.4272727272727268</v>
      </c>
      <c r="T34" s="533"/>
      <c r="U34" s="532">
        <v>3.3454545454545452</v>
      </c>
      <c r="V34" s="532">
        <v>3.0909090909090904</v>
      </c>
      <c r="W34" s="532">
        <v>0</v>
      </c>
      <c r="X34" s="532">
        <v>0</v>
      </c>
      <c r="Y34" s="532">
        <v>2.4272727272727268</v>
      </c>
      <c r="Z34" s="533"/>
      <c r="AA34" s="533"/>
      <c r="AB34" s="533"/>
      <c r="AC34" s="533"/>
      <c r="AD34" s="533"/>
      <c r="AE34" s="533"/>
      <c r="AF34" s="533"/>
      <c r="AG34" s="528" t="s">
        <v>1145</v>
      </c>
      <c r="AH34" s="528"/>
      <c r="AI34" s="528">
        <v>3</v>
      </c>
      <c r="AJ34" s="528">
        <v>3</v>
      </c>
      <c r="AK34" s="480">
        <v>0.5</v>
      </c>
      <c r="AL34" s="480">
        <v>0.5</v>
      </c>
      <c r="AM34" s="525"/>
      <c r="AN34" s="528">
        <v>0</v>
      </c>
      <c r="AO34" s="528">
        <v>0</v>
      </c>
      <c r="AP34" s="528">
        <v>0</v>
      </c>
      <c r="AQ34" s="528">
        <v>0</v>
      </c>
      <c r="AR34" s="528">
        <v>0</v>
      </c>
      <c r="AS34" s="528">
        <v>0</v>
      </c>
      <c r="AT34" s="528">
        <v>0</v>
      </c>
      <c r="AU34" s="528">
        <v>0</v>
      </c>
      <c r="AV34" s="528">
        <v>0</v>
      </c>
      <c r="AW34" s="528">
        <v>0</v>
      </c>
      <c r="AX34" s="528">
        <v>0</v>
      </c>
      <c r="AY34" s="528">
        <v>0</v>
      </c>
      <c r="AZ34" s="528"/>
      <c r="BA34" s="528" t="s">
        <v>1145</v>
      </c>
      <c r="BB34" s="297"/>
      <c r="BC34" s="528" t="s">
        <v>1145</v>
      </c>
      <c r="BD34" s="528"/>
      <c r="BE34" s="528"/>
      <c r="BF34" s="528"/>
      <c r="BG34" s="597"/>
      <c r="BH34" s="598"/>
      <c r="BI34" s="566"/>
      <c r="BJ34" s="528" t="s">
        <v>1146</v>
      </c>
      <c r="BK34" s="528"/>
      <c r="BL34" s="529" t="s">
        <v>1647</v>
      </c>
      <c r="BM34" s="567"/>
      <c r="BN34" s="525"/>
    </row>
    <row r="35" spans="1:66" ht="13" customHeight="1" x14ac:dyDescent="0.2">
      <c r="A35" s="525">
        <v>1041</v>
      </c>
      <c r="B35" s="630">
        <v>45140</v>
      </c>
      <c r="C35" s="526" t="s">
        <v>1138</v>
      </c>
      <c r="D35" s="525" t="s">
        <v>1109</v>
      </c>
      <c r="E35" s="527">
        <v>45108</v>
      </c>
      <c r="F35" s="529" t="s">
        <v>1148</v>
      </c>
      <c r="G35" s="525" t="s">
        <v>1280</v>
      </c>
      <c r="H35" s="532">
        <v>74.718181818181804</v>
      </c>
      <c r="I35" s="531" t="s">
        <v>1141</v>
      </c>
      <c r="J35" s="485">
        <v>1645</v>
      </c>
      <c r="K35" s="485">
        <v>3000</v>
      </c>
      <c r="L35" s="485">
        <v>3000</v>
      </c>
      <c r="M35" s="485">
        <v>3000</v>
      </c>
      <c r="N35" s="525"/>
      <c r="O35" s="532">
        <v>3.3272727272727272</v>
      </c>
      <c r="P35" s="532">
        <v>3.3272727272727272</v>
      </c>
      <c r="Q35" s="532">
        <v>0</v>
      </c>
      <c r="R35" s="532">
        <v>0</v>
      </c>
      <c r="S35" s="532">
        <v>2.9363636363636361</v>
      </c>
      <c r="T35" s="533"/>
      <c r="U35" s="532">
        <v>3.3272727272727272</v>
      </c>
      <c r="V35" s="532">
        <v>3.3272727272727272</v>
      </c>
      <c r="W35" s="532">
        <v>0</v>
      </c>
      <c r="X35" s="532">
        <v>0</v>
      </c>
      <c r="Y35" s="532">
        <v>2.9363636363636361</v>
      </c>
      <c r="Z35" s="533"/>
      <c r="AA35" s="533"/>
      <c r="AB35" s="533"/>
      <c r="AC35" s="533"/>
      <c r="AD35" s="533"/>
      <c r="AE35" s="533"/>
      <c r="AF35" s="533"/>
      <c r="AG35" s="528" t="s">
        <v>1145</v>
      </c>
      <c r="AH35" s="528"/>
      <c r="AI35" s="528">
        <v>3</v>
      </c>
      <c r="AJ35" s="528">
        <v>3</v>
      </c>
      <c r="AK35" s="480">
        <v>0.5</v>
      </c>
      <c r="AL35" s="480">
        <v>0.5</v>
      </c>
      <c r="AM35" s="525"/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528">
        <v>0</v>
      </c>
      <c r="AZ35" s="528"/>
      <c r="BA35" s="528" t="s">
        <v>1145</v>
      </c>
      <c r="BB35" s="297"/>
      <c r="BC35" s="528" t="s">
        <v>1145</v>
      </c>
      <c r="BD35" s="528"/>
      <c r="BE35" s="528"/>
      <c r="BF35" s="528"/>
      <c r="BG35" s="529"/>
      <c r="BH35" s="525"/>
      <c r="BI35" s="528"/>
      <c r="BJ35" s="528" t="s">
        <v>4</v>
      </c>
      <c r="BK35" s="528"/>
      <c r="BL35" s="529"/>
      <c r="BM35" s="569"/>
      <c r="BN35" s="525"/>
    </row>
    <row r="36" spans="1:66" ht="13" customHeight="1" x14ac:dyDescent="0.2">
      <c r="A36" s="525">
        <v>2549</v>
      </c>
      <c r="B36" s="630">
        <v>45140</v>
      </c>
      <c r="C36" s="526" t="s">
        <v>1138</v>
      </c>
      <c r="D36" s="525" t="s">
        <v>1109</v>
      </c>
      <c r="E36" s="527">
        <v>45140</v>
      </c>
      <c r="F36" s="529" t="s">
        <v>1052</v>
      </c>
      <c r="G36" s="525" t="s">
        <v>1181</v>
      </c>
      <c r="H36" s="532">
        <v>71.572727272727278</v>
      </c>
      <c r="I36" s="531" t="s">
        <v>1141</v>
      </c>
      <c r="J36" s="485">
        <v>1645</v>
      </c>
      <c r="K36" s="485">
        <v>3000</v>
      </c>
      <c r="L36" s="485">
        <v>3000</v>
      </c>
      <c r="M36" s="485">
        <v>3000</v>
      </c>
      <c r="N36" s="525"/>
      <c r="O36" s="532">
        <v>3.3727272727272726</v>
      </c>
      <c r="P36" s="532">
        <v>2.8545454545454545</v>
      </c>
      <c r="Q36" s="532">
        <v>0</v>
      </c>
      <c r="R36" s="532">
        <v>0</v>
      </c>
      <c r="S36" s="532">
        <v>2.4727272727272727</v>
      </c>
      <c r="T36" s="533"/>
      <c r="U36" s="532">
        <v>3.3727272727272726</v>
      </c>
      <c r="V36" s="532">
        <v>2.8545454545454545</v>
      </c>
      <c r="W36" s="532">
        <v>0</v>
      </c>
      <c r="X36" s="532">
        <v>0</v>
      </c>
      <c r="Y36" s="532">
        <v>2.4727272727272727</v>
      </c>
      <c r="Z36" s="533"/>
      <c r="AA36" s="533"/>
      <c r="AB36" s="533"/>
      <c r="AC36" s="533"/>
      <c r="AD36" s="533"/>
      <c r="AE36" s="533"/>
      <c r="AF36" s="533"/>
      <c r="AG36" s="528" t="s">
        <v>1145</v>
      </c>
      <c r="AH36" s="528"/>
      <c r="AI36" s="528">
        <v>3</v>
      </c>
      <c r="AJ36" s="528">
        <v>3</v>
      </c>
      <c r="AK36" s="480">
        <v>0.5</v>
      </c>
      <c r="AL36" s="480">
        <v>0.5</v>
      </c>
      <c r="AM36" s="525"/>
      <c r="AN36" s="528">
        <v>0</v>
      </c>
      <c r="AO36" s="528">
        <v>0</v>
      </c>
      <c r="AP36" s="528">
        <v>0</v>
      </c>
      <c r="AQ36" s="528">
        <v>0</v>
      </c>
      <c r="AR36" s="528">
        <v>0</v>
      </c>
      <c r="AS36" s="528">
        <v>0</v>
      </c>
      <c r="AT36" s="528">
        <v>0</v>
      </c>
      <c r="AU36" s="528">
        <v>0</v>
      </c>
      <c r="AV36" s="528">
        <v>0</v>
      </c>
      <c r="AW36" s="528">
        <v>0</v>
      </c>
      <c r="AX36" s="528">
        <v>0</v>
      </c>
      <c r="AY36" s="528">
        <v>0</v>
      </c>
      <c r="AZ36" s="528"/>
      <c r="BA36" s="528" t="s">
        <v>1145</v>
      </c>
      <c r="BB36" s="297"/>
      <c r="BC36" s="528" t="s">
        <v>1145</v>
      </c>
      <c r="BD36" s="528"/>
      <c r="BE36" s="528"/>
      <c r="BF36" s="528"/>
      <c r="BG36" s="529"/>
      <c r="BH36" s="525"/>
      <c r="BI36" s="528"/>
      <c r="BJ36" s="528" t="s">
        <v>1146</v>
      </c>
      <c r="BK36" s="528"/>
      <c r="BL36" s="529"/>
      <c r="BM36" s="567" t="s">
        <v>1192</v>
      </c>
      <c r="BN36" s="525"/>
    </row>
    <row r="37" spans="1:66" ht="13" customHeight="1" x14ac:dyDescent="0.2">
      <c r="A37" s="525">
        <v>3522</v>
      </c>
      <c r="B37" s="630">
        <v>45140</v>
      </c>
      <c r="C37" s="526" t="s">
        <v>1138</v>
      </c>
      <c r="D37" s="525" t="s">
        <v>1109</v>
      </c>
      <c r="E37" s="527">
        <v>45063</v>
      </c>
      <c r="F37" s="529" t="s">
        <v>1156</v>
      </c>
      <c r="G37" s="525" t="s">
        <v>1649</v>
      </c>
      <c r="H37" s="532">
        <v>104.23636363636362</v>
      </c>
      <c r="I37" s="531" t="s">
        <v>1141</v>
      </c>
      <c r="J37" s="485">
        <v>1645</v>
      </c>
      <c r="K37" s="485">
        <v>3000</v>
      </c>
      <c r="L37" s="485">
        <v>3000</v>
      </c>
      <c r="M37" s="485">
        <v>3000</v>
      </c>
      <c r="N37" s="525"/>
      <c r="O37" s="532">
        <v>4.5090909090909088</v>
      </c>
      <c r="P37" s="532">
        <v>3.5272727272727269</v>
      </c>
      <c r="Q37" s="532">
        <v>0</v>
      </c>
      <c r="R37" s="532">
        <v>0</v>
      </c>
      <c r="S37" s="532">
        <v>2.8363636363636364</v>
      </c>
      <c r="T37" s="533"/>
      <c r="U37" s="532">
        <v>4.5090909090909088</v>
      </c>
      <c r="V37" s="532">
        <v>3.5272727272727269</v>
      </c>
      <c r="W37" s="532">
        <v>0</v>
      </c>
      <c r="X37" s="532">
        <v>0</v>
      </c>
      <c r="Y37" s="532">
        <v>2.8363636363636364</v>
      </c>
      <c r="Z37" s="533"/>
      <c r="AA37" s="533"/>
      <c r="AB37" s="533"/>
      <c r="AC37" s="533"/>
      <c r="AD37" s="533"/>
      <c r="AE37" s="533"/>
      <c r="AF37" s="533"/>
      <c r="AG37" s="528" t="s">
        <v>1145</v>
      </c>
      <c r="AH37" s="528"/>
      <c r="AI37" s="528">
        <v>3</v>
      </c>
      <c r="AJ37" s="528">
        <v>3</v>
      </c>
      <c r="AK37" s="480">
        <v>0.5</v>
      </c>
      <c r="AL37" s="480">
        <v>0.5</v>
      </c>
      <c r="AM37" s="525"/>
      <c r="AN37" s="528">
        <v>25</v>
      </c>
      <c r="AO37" s="528">
        <v>0</v>
      </c>
      <c r="AP37" s="528">
        <v>0</v>
      </c>
      <c r="AQ37" s="528">
        <v>0</v>
      </c>
      <c r="AR37" s="528">
        <v>0</v>
      </c>
      <c r="AS37" s="528">
        <v>0</v>
      </c>
      <c r="AT37" s="528">
        <v>0</v>
      </c>
      <c r="AU37" s="528">
        <v>0</v>
      </c>
      <c r="AV37" s="528">
        <v>0</v>
      </c>
      <c r="AW37" s="528">
        <v>0</v>
      </c>
      <c r="AX37" s="528">
        <v>0</v>
      </c>
      <c r="AY37" s="528">
        <v>0</v>
      </c>
      <c r="AZ37" s="566">
        <v>12</v>
      </c>
      <c r="BA37" s="528" t="s">
        <v>1145</v>
      </c>
      <c r="BB37" s="297"/>
      <c r="BC37" s="528" t="s">
        <v>1145</v>
      </c>
      <c r="BD37" s="528"/>
      <c r="BE37" s="528"/>
      <c r="BF37" s="528"/>
      <c r="BG37" s="529"/>
      <c r="BH37" s="525"/>
      <c r="BI37" s="528"/>
      <c r="BJ37" s="528" t="s">
        <v>1146</v>
      </c>
      <c r="BK37" s="528"/>
      <c r="BL37" s="529"/>
      <c r="BM37" s="569"/>
      <c r="BN37" s="525"/>
    </row>
    <row r="38" spans="1:66" ht="13" customHeight="1" x14ac:dyDescent="0.2">
      <c r="A38" s="525">
        <v>2872</v>
      </c>
      <c r="B38" s="630">
        <v>45140</v>
      </c>
      <c r="C38" s="526" t="s">
        <v>1138</v>
      </c>
      <c r="D38" s="525" t="s">
        <v>1109</v>
      </c>
      <c r="E38" s="527">
        <v>45092</v>
      </c>
      <c r="F38" s="529" t="s">
        <v>1159</v>
      </c>
      <c r="G38" s="525" t="s">
        <v>1105</v>
      </c>
      <c r="H38" s="532">
        <v>102.8</v>
      </c>
      <c r="I38" s="531" t="s">
        <v>1141</v>
      </c>
      <c r="J38" s="485">
        <v>1645</v>
      </c>
      <c r="K38" s="485">
        <v>3000</v>
      </c>
      <c r="L38" s="485">
        <v>3000</v>
      </c>
      <c r="M38" s="485">
        <v>3000</v>
      </c>
      <c r="N38" s="525"/>
      <c r="O38" s="532">
        <v>3.9818181818181815</v>
      </c>
      <c r="P38" s="532">
        <v>3.4545454545454541</v>
      </c>
      <c r="Q38" s="532">
        <v>0</v>
      </c>
      <c r="R38" s="532">
        <v>0</v>
      </c>
      <c r="S38" s="532">
        <v>2.5</v>
      </c>
      <c r="T38" s="533"/>
      <c r="U38" s="532">
        <v>3.9818181818181815</v>
      </c>
      <c r="V38" s="532">
        <v>3.4545454545454541</v>
      </c>
      <c r="W38" s="532">
        <v>0</v>
      </c>
      <c r="X38" s="532">
        <v>0</v>
      </c>
      <c r="Y38" s="532">
        <v>2.5</v>
      </c>
      <c r="Z38" s="533"/>
      <c r="AA38" s="533"/>
      <c r="AB38" s="533"/>
      <c r="AC38" s="533"/>
      <c r="AD38" s="533"/>
      <c r="AE38" s="533"/>
      <c r="AF38" s="533"/>
      <c r="AG38" s="528" t="s">
        <v>1278</v>
      </c>
      <c r="AH38" s="528"/>
      <c r="AI38" s="528">
        <v>3</v>
      </c>
      <c r="AJ38" s="528">
        <v>3</v>
      </c>
      <c r="AK38" s="480">
        <v>0.5</v>
      </c>
      <c r="AL38" s="480">
        <v>0.5</v>
      </c>
      <c r="AM38" s="525"/>
      <c r="AN38" s="528">
        <v>0</v>
      </c>
      <c r="AO38" s="528">
        <v>0</v>
      </c>
      <c r="AP38" s="528">
        <v>0</v>
      </c>
      <c r="AQ38" s="528">
        <v>0</v>
      </c>
      <c r="AR38" s="528">
        <v>0</v>
      </c>
      <c r="AS38" s="528">
        <v>0</v>
      </c>
      <c r="AT38" s="528">
        <v>0</v>
      </c>
      <c r="AU38" s="528">
        <v>0</v>
      </c>
      <c r="AV38" s="528">
        <v>0</v>
      </c>
      <c r="AW38" s="528">
        <v>0</v>
      </c>
      <c r="AX38" s="528">
        <v>0</v>
      </c>
      <c r="AY38" s="528">
        <v>0</v>
      </c>
      <c r="AZ38" s="528"/>
      <c r="BA38" s="528" t="s">
        <v>1145</v>
      </c>
      <c r="BB38" s="297"/>
      <c r="BC38" s="528" t="s">
        <v>1145</v>
      </c>
      <c r="BD38" s="528"/>
      <c r="BE38" s="528"/>
      <c r="BF38" s="564">
        <v>45535</v>
      </c>
      <c r="BG38" s="529"/>
      <c r="BH38" s="525"/>
      <c r="BI38" s="528"/>
      <c r="BJ38" s="528" t="s">
        <v>1146</v>
      </c>
      <c r="BK38" s="528"/>
      <c r="BL38" s="529"/>
      <c r="BM38" s="567" t="s">
        <v>1755</v>
      </c>
      <c r="BN38" s="525"/>
    </row>
    <row r="39" spans="1:66" ht="13" customHeight="1" x14ac:dyDescent="0.2">
      <c r="A39" s="525">
        <v>3368</v>
      </c>
      <c r="B39" s="630">
        <v>45140</v>
      </c>
      <c r="C39" s="526" t="s">
        <v>1138</v>
      </c>
      <c r="D39" s="525" t="s">
        <v>1109</v>
      </c>
      <c r="E39" s="527">
        <v>45108</v>
      </c>
      <c r="F39" s="529" t="s">
        <v>1166</v>
      </c>
      <c r="G39" s="525" t="s">
        <v>1651</v>
      </c>
      <c r="H39" s="532">
        <v>72.5</v>
      </c>
      <c r="I39" s="531" t="s">
        <v>1141</v>
      </c>
      <c r="J39" s="568">
        <v>6000</v>
      </c>
      <c r="K39" s="568">
        <v>12000</v>
      </c>
      <c r="L39" s="568">
        <v>12000</v>
      </c>
      <c r="M39" s="568">
        <v>12000</v>
      </c>
      <c r="N39" s="525"/>
      <c r="O39" s="532">
        <v>2.9363636363636361</v>
      </c>
      <c r="P39" s="532">
        <v>2.8181818181818179</v>
      </c>
      <c r="Q39" s="532">
        <v>0</v>
      </c>
      <c r="R39" s="532">
        <v>0</v>
      </c>
      <c r="S39" s="532">
        <v>2.4454545454545453</v>
      </c>
      <c r="T39" s="533"/>
      <c r="U39" s="532">
        <v>2.9363636363636361</v>
      </c>
      <c r="V39" s="532">
        <v>2.8181818181818179</v>
      </c>
      <c r="W39" s="532">
        <v>0</v>
      </c>
      <c r="X39" s="532">
        <v>0</v>
      </c>
      <c r="Y39" s="532">
        <v>2.4454545454545453</v>
      </c>
      <c r="Z39" s="533"/>
      <c r="AA39" s="533"/>
      <c r="AB39" s="533"/>
      <c r="AC39" s="533"/>
      <c r="AD39" s="533"/>
      <c r="AE39" s="533"/>
      <c r="AF39" s="533"/>
      <c r="AG39" s="528" t="s">
        <v>1145</v>
      </c>
      <c r="AH39" s="528"/>
      <c r="AI39" s="528">
        <v>3</v>
      </c>
      <c r="AJ39" s="528">
        <v>3</v>
      </c>
      <c r="AK39" s="480">
        <v>0.5</v>
      </c>
      <c r="AL39" s="480">
        <v>0.5</v>
      </c>
      <c r="AM39" s="525"/>
      <c r="AN39" s="528">
        <v>0</v>
      </c>
      <c r="AO39" s="528">
        <v>0</v>
      </c>
      <c r="AP39" s="528">
        <v>0</v>
      </c>
      <c r="AQ39" s="528">
        <v>0</v>
      </c>
      <c r="AR39" s="528">
        <v>0</v>
      </c>
      <c r="AS39" s="528">
        <v>0</v>
      </c>
      <c r="AT39" s="528">
        <v>0</v>
      </c>
      <c r="AU39" s="528">
        <v>0</v>
      </c>
      <c r="AV39" s="528">
        <v>0</v>
      </c>
      <c r="AW39" s="528">
        <v>0</v>
      </c>
      <c r="AX39" s="528">
        <v>0</v>
      </c>
      <c r="AY39" s="528">
        <v>0</v>
      </c>
      <c r="AZ39" s="528"/>
      <c r="BA39" s="528" t="s">
        <v>1145</v>
      </c>
      <c r="BB39" s="297"/>
      <c r="BC39" s="528" t="s">
        <v>1145</v>
      </c>
      <c r="BD39" s="528"/>
      <c r="BE39" s="528"/>
      <c r="BF39" s="528"/>
      <c r="BG39" s="529"/>
      <c r="BH39" s="525"/>
      <c r="BI39" s="600"/>
      <c r="BJ39" s="528" t="s">
        <v>1146</v>
      </c>
      <c r="BK39" s="528"/>
      <c r="BL39" s="529"/>
      <c r="BM39" s="569"/>
      <c r="BN39" s="525"/>
    </row>
    <row r="40" spans="1:66" ht="13" customHeight="1" x14ac:dyDescent="0.2">
      <c r="A40" s="525">
        <v>2396</v>
      </c>
      <c r="B40" s="630">
        <v>45140</v>
      </c>
      <c r="C40" s="526" t="s">
        <v>1138</v>
      </c>
      <c r="D40" s="525" t="s">
        <v>1109</v>
      </c>
      <c r="E40" s="570">
        <v>45035</v>
      </c>
      <c r="F40" s="529" t="s">
        <v>1168</v>
      </c>
      <c r="G40" s="525" t="s">
        <v>1297</v>
      </c>
      <c r="H40" s="532">
        <v>75</v>
      </c>
      <c r="I40" s="531" t="s">
        <v>1141</v>
      </c>
      <c r="J40" s="485">
        <v>1645</v>
      </c>
      <c r="K40" s="485">
        <v>3000</v>
      </c>
      <c r="L40" s="485">
        <v>3000</v>
      </c>
      <c r="M40" s="485">
        <v>3000</v>
      </c>
      <c r="N40" s="525"/>
      <c r="O40" s="532">
        <v>3.4363636363636361</v>
      </c>
      <c r="P40" s="532">
        <v>3.0727272727272723</v>
      </c>
      <c r="Q40" s="532">
        <v>0</v>
      </c>
      <c r="R40" s="532">
        <v>0</v>
      </c>
      <c r="S40" s="532">
        <v>2.4272727272727268</v>
      </c>
      <c r="T40" s="533"/>
      <c r="U40" s="532">
        <v>3.4363636363636361</v>
      </c>
      <c r="V40" s="532">
        <v>3.0727272727272723</v>
      </c>
      <c r="W40" s="532">
        <v>0</v>
      </c>
      <c r="X40" s="532">
        <v>0</v>
      </c>
      <c r="Y40" s="532">
        <v>2.4272727272727268</v>
      </c>
      <c r="Z40" s="533"/>
      <c r="AA40" s="533"/>
      <c r="AB40" s="533"/>
      <c r="AC40" s="533"/>
      <c r="AD40" s="533"/>
      <c r="AE40" s="533"/>
      <c r="AF40" s="533"/>
      <c r="AG40" s="528" t="s">
        <v>1145</v>
      </c>
      <c r="AH40" s="528"/>
      <c r="AI40" s="528">
        <v>3</v>
      </c>
      <c r="AJ40" s="528">
        <v>3</v>
      </c>
      <c r="AK40" s="480">
        <v>0.5</v>
      </c>
      <c r="AL40" s="480">
        <v>0.5</v>
      </c>
      <c r="AM40" s="525"/>
      <c r="AN40" s="528">
        <v>0</v>
      </c>
      <c r="AO40" s="528">
        <v>0</v>
      </c>
      <c r="AP40" s="528">
        <v>0</v>
      </c>
      <c r="AQ40" s="528">
        <v>0</v>
      </c>
      <c r="AR40" s="528">
        <v>0</v>
      </c>
      <c r="AS40" s="528">
        <v>0</v>
      </c>
      <c r="AT40" s="528">
        <v>0</v>
      </c>
      <c r="AU40" s="528">
        <v>0</v>
      </c>
      <c r="AV40" s="528">
        <v>0</v>
      </c>
      <c r="AW40" s="528">
        <v>0</v>
      </c>
      <c r="AX40" s="528">
        <v>0</v>
      </c>
      <c r="AY40" s="528">
        <v>0</v>
      </c>
      <c r="AZ40" s="528"/>
      <c r="BA40" s="528" t="s">
        <v>1145</v>
      </c>
      <c r="BB40" s="297"/>
      <c r="BC40" s="528" t="s">
        <v>1145</v>
      </c>
      <c r="BD40" s="528"/>
      <c r="BE40" s="528"/>
      <c r="BF40" s="528"/>
      <c r="BG40" s="529"/>
      <c r="BH40" s="525"/>
      <c r="BI40" s="528"/>
      <c r="BJ40" s="528" t="s">
        <v>1146</v>
      </c>
      <c r="BK40" s="528"/>
      <c r="BL40" s="529"/>
      <c r="BM40" s="567"/>
      <c r="BN40" s="525"/>
    </row>
    <row r="41" spans="1:66" ht="13" customHeight="1" x14ac:dyDescent="0.2">
      <c r="A41" s="525">
        <v>266</v>
      </c>
      <c r="B41" s="630">
        <v>45140</v>
      </c>
      <c r="C41" s="526" t="s">
        <v>1138</v>
      </c>
      <c r="D41" s="525" t="s">
        <v>1109</v>
      </c>
      <c r="E41" s="527">
        <v>45108</v>
      </c>
      <c r="F41" s="529" t="s">
        <v>1169</v>
      </c>
      <c r="G41" s="525" t="s">
        <v>1758</v>
      </c>
      <c r="H41" s="532">
        <v>80.163636363636357</v>
      </c>
      <c r="I41" s="531" t="s">
        <v>1141</v>
      </c>
      <c r="J41" s="485">
        <v>1645</v>
      </c>
      <c r="K41" s="485">
        <v>3000</v>
      </c>
      <c r="L41" s="485">
        <v>3000</v>
      </c>
      <c r="M41" s="485">
        <v>3000</v>
      </c>
      <c r="N41" s="525"/>
      <c r="O41" s="532">
        <v>3.7999999999999994</v>
      </c>
      <c r="P41" s="532">
        <v>3.2636363636363632</v>
      </c>
      <c r="Q41" s="532">
        <v>0</v>
      </c>
      <c r="R41" s="532">
        <v>0</v>
      </c>
      <c r="S41" s="532">
        <v>2.7818181818181817</v>
      </c>
      <c r="T41" s="533"/>
      <c r="U41" s="532">
        <v>3.7999999999999994</v>
      </c>
      <c r="V41" s="532">
        <v>3.2636363636363632</v>
      </c>
      <c r="W41" s="532">
        <v>0</v>
      </c>
      <c r="X41" s="532">
        <v>0</v>
      </c>
      <c r="Y41" s="532">
        <v>2.7818181818181817</v>
      </c>
      <c r="Z41" s="533"/>
      <c r="AA41" s="533"/>
      <c r="AB41" s="533"/>
      <c r="AC41" s="533"/>
      <c r="AD41" s="533"/>
      <c r="AE41" s="533"/>
      <c r="AF41" s="533"/>
      <c r="AG41" s="528" t="s">
        <v>1145</v>
      </c>
      <c r="AH41" s="528"/>
      <c r="AI41" s="528">
        <v>3</v>
      </c>
      <c r="AJ41" s="528">
        <v>3</v>
      </c>
      <c r="AK41" s="480">
        <v>0.5</v>
      </c>
      <c r="AL41" s="480">
        <v>0.5</v>
      </c>
      <c r="AM41" s="525"/>
      <c r="AN41" s="528">
        <v>10</v>
      </c>
      <c r="AO41" s="528">
        <v>0</v>
      </c>
      <c r="AP41" s="528">
        <v>0</v>
      </c>
      <c r="AQ41" s="528">
        <v>0</v>
      </c>
      <c r="AR41" s="528">
        <v>0</v>
      </c>
      <c r="AS41" s="528">
        <v>0</v>
      </c>
      <c r="AT41" s="528">
        <v>0</v>
      </c>
      <c r="AU41" s="528">
        <v>0</v>
      </c>
      <c r="AV41" s="528">
        <v>0</v>
      </c>
      <c r="AW41" s="528">
        <v>0</v>
      </c>
      <c r="AX41" s="528">
        <v>0</v>
      </c>
      <c r="AY41" s="528">
        <v>0</v>
      </c>
      <c r="AZ41" s="528"/>
      <c r="BA41" s="528" t="s">
        <v>1145</v>
      </c>
      <c r="BB41" s="297"/>
      <c r="BC41" s="528" t="s">
        <v>1145</v>
      </c>
      <c r="BD41" s="528"/>
      <c r="BE41" s="528"/>
      <c r="BF41" s="528"/>
      <c r="BG41" s="529"/>
      <c r="BH41" s="525"/>
      <c r="BI41" s="528"/>
      <c r="BJ41" s="528" t="s">
        <v>1146</v>
      </c>
      <c r="BK41" s="528"/>
      <c r="BL41" s="529"/>
      <c r="BM41" s="567"/>
      <c r="BN41" s="525"/>
    </row>
    <row r="42" spans="1:66" ht="13" customHeight="1" x14ac:dyDescent="0.2">
      <c r="A42" s="525">
        <v>1684</v>
      </c>
      <c r="B42" s="630">
        <v>45140</v>
      </c>
      <c r="C42" s="526" t="s">
        <v>295</v>
      </c>
      <c r="D42" s="525" t="s">
        <v>1109</v>
      </c>
      <c r="E42" s="527">
        <v>45103</v>
      </c>
      <c r="F42" s="529" t="s">
        <v>1106</v>
      </c>
      <c r="G42" s="525" t="s">
        <v>2</v>
      </c>
      <c r="H42" s="532">
        <v>64</v>
      </c>
      <c r="I42" s="531" t="s">
        <v>1141</v>
      </c>
      <c r="J42" s="525">
        <v>3000</v>
      </c>
      <c r="K42" s="525">
        <v>3000</v>
      </c>
      <c r="L42" s="525">
        <v>3000</v>
      </c>
      <c r="M42" s="525">
        <v>3000</v>
      </c>
      <c r="N42" s="525"/>
      <c r="O42" s="532">
        <v>3.4272727272727268</v>
      </c>
      <c r="P42" s="532">
        <v>0</v>
      </c>
      <c r="Q42" s="532">
        <v>0</v>
      </c>
      <c r="R42" s="532">
        <v>0</v>
      </c>
      <c r="S42" s="532">
        <v>2.7909090909090906</v>
      </c>
      <c r="T42" s="533"/>
      <c r="U42" s="532">
        <v>3.4272727272727268</v>
      </c>
      <c r="V42" s="532">
        <v>0</v>
      </c>
      <c r="W42" s="532">
        <v>0</v>
      </c>
      <c r="X42" s="532">
        <v>0</v>
      </c>
      <c r="Y42" s="532">
        <v>2.7909090909090906</v>
      </c>
      <c r="Z42" s="533"/>
      <c r="AA42" s="533"/>
      <c r="AB42" s="533"/>
      <c r="AC42" s="533"/>
      <c r="AD42" s="533"/>
      <c r="AE42" s="533"/>
      <c r="AF42" s="533"/>
      <c r="AG42" s="528" t="s">
        <v>1145</v>
      </c>
      <c r="AH42" s="528"/>
      <c r="AI42" s="528">
        <v>3</v>
      </c>
      <c r="AJ42" s="528">
        <v>3</v>
      </c>
      <c r="AK42" s="480">
        <v>0.5</v>
      </c>
      <c r="AL42" s="480">
        <v>0.5</v>
      </c>
      <c r="AM42" s="525"/>
      <c r="AN42" s="528">
        <v>0</v>
      </c>
      <c r="AO42" s="528">
        <v>0</v>
      </c>
      <c r="AP42" s="528">
        <v>2</v>
      </c>
      <c r="AQ42" s="528">
        <v>0</v>
      </c>
      <c r="AR42" s="528">
        <v>0</v>
      </c>
      <c r="AS42" s="528">
        <v>0</v>
      </c>
      <c r="AT42" s="528">
        <v>0</v>
      </c>
      <c r="AU42" s="528">
        <v>0</v>
      </c>
      <c r="AV42" s="528">
        <v>0</v>
      </c>
      <c r="AW42" s="528">
        <v>0</v>
      </c>
      <c r="AX42" s="528">
        <v>0</v>
      </c>
      <c r="AY42" s="528">
        <v>0</v>
      </c>
      <c r="AZ42" s="528"/>
      <c r="BA42" s="528" t="s">
        <v>1145</v>
      </c>
      <c r="BB42" s="297"/>
      <c r="BC42" s="528" t="s">
        <v>1145</v>
      </c>
      <c r="BD42" s="528"/>
      <c r="BE42" s="528"/>
      <c r="BF42" s="529"/>
      <c r="BG42" s="529"/>
      <c r="BH42" s="525"/>
      <c r="BI42" s="528"/>
      <c r="BJ42" s="528" t="s">
        <v>1146</v>
      </c>
      <c r="BK42" s="528">
        <v>1</v>
      </c>
      <c r="BL42" s="525"/>
      <c r="BM42" s="567"/>
      <c r="BN42" s="525"/>
    </row>
    <row r="43" spans="1:66" ht="13" customHeight="1" x14ac:dyDescent="0.2">
      <c r="A43" s="525">
        <v>2741</v>
      </c>
      <c r="B43" s="630">
        <v>45140</v>
      </c>
      <c r="C43" s="526" t="s">
        <v>1138</v>
      </c>
      <c r="D43" s="525" t="s">
        <v>1109</v>
      </c>
      <c r="E43" s="527">
        <v>45108</v>
      </c>
      <c r="F43" s="525" t="s">
        <v>1274</v>
      </c>
      <c r="G43" s="525" t="s">
        <v>1467</v>
      </c>
      <c r="H43" s="532">
        <v>79</v>
      </c>
      <c r="I43" s="531" t="s">
        <v>1141</v>
      </c>
      <c r="J43" s="409">
        <v>1800</v>
      </c>
      <c r="K43" s="332">
        <v>4800</v>
      </c>
      <c r="L43" s="332">
        <v>4800</v>
      </c>
      <c r="M43" s="332">
        <v>4800</v>
      </c>
      <c r="N43" s="332"/>
      <c r="O43" s="532">
        <v>4.6999999999999993</v>
      </c>
      <c r="P43" s="532">
        <v>4.0999999999999996</v>
      </c>
      <c r="Q43" s="532">
        <v>0</v>
      </c>
      <c r="R43" s="532">
        <v>0</v>
      </c>
      <c r="S43" s="532">
        <v>3.5</v>
      </c>
      <c r="T43" s="571"/>
      <c r="U43" s="532">
        <v>4.6999999999999993</v>
      </c>
      <c r="V43" s="532">
        <v>4.0999999999999996</v>
      </c>
      <c r="W43" s="532">
        <v>0</v>
      </c>
      <c r="X43" s="532">
        <v>0</v>
      </c>
      <c r="Y43" s="532">
        <v>3.5</v>
      </c>
      <c r="Z43" s="571"/>
      <c r="AA43" s="571"/>
      <c r="AB43" s="571"/>
      <c r="AC43" s="571"/>
      <c r="AD43" s="571"/>
      <c r="AE43" s="571"/>
      <c r="AF43" s="571"/>
      <c r="AG43" s="333" t="s">
        <v>1145</v>
      </c>
      <c r="AH43" s="333"/>
      <c r="AI43" s="528">
        <v>3</v>
      </c>
      <c r="AJ43" s="528">
        <v>3</v>
      </c>
      <c r="AK43" s="480">
        <v>0.5</v>
      </c>
      <c r="AL43" s="480">
        <v>0.5</v>
      </c>
      <c r="AM43" s="525"/>
      <c r="AN43" s="528">
        <v>0</v>
      </c>
      <c r="AO43" s="528">
        <v>7</v>
      </c>
      <c r="AP43" s="528">
        <v>0</v>
      </c>
      <c r="AQ43" s="528">
        <v>3</v>
      </c>
      <c r="AR43" s="528">
        <v>0</v>
      </c>
      <c r="AS43" s="528">
        <v>0</v>
      </c>
      <c r="AT43" s="528">
        <v>0</v>
      </c>
      <c r="AU43" s="528">
        <v>0</v>
      </c>
      <c r="AV43" s="528">
        <v>0</v>
      </c>
      <c r="AW43" s="528">
        <v>0</v>
      </c>
      <c r="AX43" s="528">
        <v>0</v>
      </c>
      <c r="AY43" s="528">
        <v>0</v>
      </c>
      <c r="AZ43" s="528"/>
      <c r="BA43" s="528" t="s">
        <v>1145</v>
      </c>
      <c r="BB43" s="297"/>
      <c r="BC43" s="528" t="s">
        <v>1145</v>
      </c>
      <c r="BD43" s="528"/>
      <c r="BE43" s="528"/>
      <c r="BF43" s="528"/>
      <c r="BG43" s="529"/>
      <c r="BH43" s="525"/>
      <c r="BI43" s="528"/>
      <c r="BJ43" s="528" t="s">
        <v>1146</v>
      </c>
      <c r="BK43" s="528">
        <v>1</v>
      </c>
      <c r="BL43" s="529"/>
      <c r="BM43" s="567"/>
      <c r="BN43" s="525"/>
    </row>
    <row r="44" spans="1:66" ht="13" customHeight="1" x14ac:dyDescent="0.2">
      <c r="A44" s="525">
        <v>2932</v>
      </c>
      <c r="B44" s="630">
        <v>45140</v>
      </c>
      <c r="C44" s="526" t="s">
        <v>1138</v>
      </c>
      <c r="D44" s="525" t="s">
        <v>1109</v>
      </c>
      <c r="E44" s="527">
        <v>45139</v>
      </c>
      <c r="F44" s="525" t="s">
        <v>1483</v>
      </c>
      <c r="G44" s="525" t="s">
        <v>1550</v>
      </c>
      <c r="H44" s="532">
        <v>99.999999999999986</v>
      </c>
      <c r="I44" s="531" t="s">
        <v>1141</v>
      </c>
      <c r="J44" s="485">
        <v>1645</v>
      </c>
      <c r="K44" s="485">
        <v>3000</v>
      </c>
      <c r="L44" s="485">
        <v>3000</v>
      </c>
      <c r="M44" s="485">
        <v>3000</v>
      </c>
      <c r="N44" s="332"/>
      <c r="O44" s="532">
        <v>3.7</v>
      </c>
      <c r="P44" s="532">
        <v>3.5545454545454542</v>
      </c>
      <c r="Q44" s="532">
        <v>0</v>
      </c>
      <c r="R44" s="532">
        <v>0</v>
      </c>
      <c r="S44" s="532">
        <v>3.3</v>
      </c>
      <c r="T44" s="571"/>
      <c r="U44" s="532">
        <v>3.7</v>
      </c>
      <c r="V44" s="532">
        <v>3.5545454545454542</v>
      </c>
      <c r="W44" s="532">
        <v>0</v>
      </c>
      <c r="X44" s="532">
        <v>0</v>
      </c>
      <c r="Y44" s="532">
        <v>3.3</v>
      </c>
      <c r="Z44" s="571"/>
      <c r="AA44" s="571"/>
      <c r="AB44" s="571"/>
      <c r="AC44" s="571"/>
      <c r="AD44" s="571"/>
      <c r="AE44" s="571"/>
      <c r="AF44" s="571"/>
      <c r="AG44" s="333" t="s">
        <v>1145</v>
      </c>
      <c r="AH44" s="333"/>
      <c r="AI44" s="528">
        <v>3</v>
      </c>
      <c r="AJ44" s="528">
        <v>3</v>
      </c>
      <c r="AK44" s="480">
        <v>0.5</v>
      </c>
      <c r="AL44" s="480">
        <v>0.5</v>
      </c>
      <c r="AM44" s="525"/>
      <c r="AN44" s="528">
        <v>0</v>
      </c>
      <c r="AO44" s="528">
        <v>0</v>
      </c>
      <c r="AP44" s="528">
        <v>0</v>
      </c>
      <c r="AQ44" s="528">
        <v>0</v>
      </c>
      <c r="AR44" s="528">
        <v>0</v>
      </c>
      <c r="AS44" s="528">
        <v>0</v>
      </c>
      <c r="AT44" s="528">
        <v>0</v>
      </c>
      <c r="AU44" s="528">
        <v>0</v>
      </c>
      <c r="AV44" s="528">
        <v>0</v>
      </c>
      <c r="AW44" s="528">
        <v>0</v>
      </c>
      <c r="AX44" s="528">
        <v>0</v>
      </c>
      <c r="AY44" s="528">
        <v>0</v>
      </c>
      <c r="AZ44" s="528"/>
      <c r="BA44" s="528" t="s">
        <v>1145</v>
      </c>
      <c r="BB44" s="297"/>
      <c r="BC44" s="528" t="s">
        <v>1145</v>
      </c>
      <c r="BD44" s="528"/>
      <c r="BE44" s="528"/>
      <c r="BF44" s="564"/>
      <c r="BG44" s="529"/>
      <c r="BH44" s="525"/>
      <c r="BI44" s="528"/>
      <c r="BJ44" s="528" t="s">
        <v>4</v>
      </c>
      <c r="BK44" s="528"/>
      <c r="BL44" s="529"/>
      <c r="BM44" s="569"/>
      <c r="BN44" s="525"/>
    </row>
    <row r="45" spans="1:66" ht="16" x14ac:dyDescent="0.2">
      <c r="A45" s="525">
        <v>3700</v>
      </c>
      <c r="B45" s="630">
        <v>45140</v>
      </c>
      <c r="C45" s="526" t="s">
        <v>1138</v>
      </c>
      <c r="D45" s="525" t="s">
        <v>1109</v>
      </c>
      <c r="E45" s="527">
        <v>45096</v>
      </c>
      <c r="F45" s="525" t="s">
        <v>1057</v>
      </c>
      <c r="G45" s="525" t="s">
        <v>1734</v>
      </c>
      <c r="H45" s="532">
        <v>97.1</v>
      </c>
      <c r="I45" s="531" t="s">
        <v>296</v>
      </c>
      <c r="J45" s="485">
        <v>1645</v>
      </c>
      <c r="K45" s="485">
        <v>3000</v>
      </c>
      <c r="L45" s="485">
        <v>3000</v>
      </c>
      <c r="M45" s="485">
        <v>3000</v>
      </c>
      <c r="N45" s="297"/>
      <c r="O45" s="532">
        <v>3.5</v>
      </c>
      <c r="P45" s="532">
        <v>2.9999999999999996</v>
      </c>
      <c r="Q45" s="532">
        <v>0</v>
      </c>
      <c r="R45" s="532">
        <v>0</v>
      </c>
      <c r="S45" s="532">
        <v>2.5999999999999996</v>
      </c>
      <c r="T45" s="571"/>
      <c r="U45" s="532">
        <v>3.5</v>
      </c>
      <c r="V45" s="532">
        <v>2.9999999999999996</v>
      </c>
      <c r="W45" s="532">
        <v>0</v>
      </c>
      <c r="X45" s="532">
        <v>0</v>
      </c>
      <c r="Y45" s="532">
        <v>2.5999999999999996</v>
      </c>
      <c r="Z45" s="297"/>
      <c r="AA45" s="297"/>
      <c r="AB45" s="297"/>
      <c r="AC45" s="297"/>
      <c r="AD45" s="297"/>
      <c r="AE45" s="297"/>
      <c r="AF45" s="297"/>
      <c r="AG45" s="333" t="s">
        <v>1145</v>
      </c>
      <c r="AH45" s="297"/>
      <c r="AI45" s="528">
        <v>3</v>
      </c>
      <c r="AJ45" s="528">
        <v>3</v>
      </c>
      <c r="AK45" s="480">
        <v>0.5</v>
      </c>
      <c r="AL45" s="480">
        <v>0.5</v>
      </c>
      <c r="AM45" s="525"/>
      <c r="AN45" s="528">
        <v>0</v>
      </c>
      <c r="AO45" s="528">
        <v>0</v>
      </c>
      <c r="AP45" s="528">
        <v>0</v>
      </c>
      <c r="AQ45" s="528">
        <v>0</v>
      </c>
      <c r="AR45" s="528">
        <v>0</v>
      </c>
      <c r="AS45" s="528">
        <v>0</v>
      </c>
      <c r="AT45" s="528">
        <v>0</v>
      </c>
      <c r="AU45" s="528">
        <v>0</v>
      </c>
      <c r="AV45" s="528">
        <v>0</v>
      </c>
      <c r="AW45" s="528">
        <v>0</v>
      </c>
      <c r="AX45" s="528">
        <v>0</v>
      </c>
      <c r="AY45" s="528">
        <v>0</v>
      </c>
      <c r="AZ45" s="528"/>
      <c r="BA45" s="528" t="s">
        <v>1145</v>
      </c>
      <c r="BB45" s="297"/>
      <c r="BC45" s="528" t="s">
        <v>1145</v>
      </c>
      <c r="BD45" s="528"/>
      <c r="BE45" s="528"/>
      <c r="BF45" s="528"/>
      <c r="BG45" s="529"/>
      <c r="BH45" s="525"/>
      <c r="BI45" s="528"/>
      <c r="BJ45" s="528" t="s">
        <v>1146</v>
      </c>
      <c r="BK45" s="528"/>
      <c r="BL45" s="529" t="s">
        <v>1735</v>
      </c>
      <c r="BM45" s="569"/>
      <c r="BN45" s="525"/>
    </row>
    <row r="46" spans="1:66" ht="13" customHeight="1" x14ac:dyDescent="0.2">
      <c r="A46" s="525">
        <v>3630</v>
      </c>
      <c r="B46" s="630">
        <v>45140</v>
      </c>
      <c r="C46" s="526" t="s">
        <v>1138</v>
      </c>
      <c r="D46" s="525" t="s">
        <v>1109</v>
      </c>
      <c r="E46" s="527">
        <v>45127</v>
      </c>
      <c r="F46" s="525" t="s">
        <v>1173</v>
      </c>
      <c r="G46" s="525" t="s">
        <v>1705</v>
      </c>
      <c r="H46" s="532">
        <v>70</v>
      </c>
      <c r="I46" s="531" t="s">
        <v>1141</v>
      </c>
      <c r="J46" s="632">
        <v>1645</v>
      </c>
      <c r="K46" s="633">
        <v>3000</v>
      </c>
      <c r="L46" s="633">
        <v>3000</v>
      </c>
      <c r="M46" s="633">
        <v>3000</v>
      </c>
      <c r="N46" s="332"/>
      <c r="O46" s="532">
        <v>2.8</v>
      </c>
      <c r="P46" s="532">
        <v>2.6545454545454543</v>
      </c>
      <c r="Q46" s="532">
        <v>0</v>
      </c>
      <c r="R46" s="532">
        <v>0</v>
      </c>
      <c r="S46" s="532">
        <v>2.5</v>
      </c>
      <c r="T46" s="571"/>
      <c r="U46" s="532">
        <v>2.8</v>
      </c>
      <c r="V46" s="532">
        <v>2.6545454545454543</v>
      </c>
      <c r="W46" s="532">
        <v>0</v>
      </c>
      <c r="X46" s="532">
        <v>0</v>
      </c>
      <c r="Y46" s="532">
        <v>2.5</v>
      </c>
      <c r="Z46" s="571"/>
      <c r="AA46" s="571"/>
      <c r="AB46" s="571"/>
      <c r="AC46" s="571"/>
      <c r="AD46" s="571"/>
      <c r="AE46" s="571"/>
      <c r="AF46" s="571"/>
      <c r="AG46" s="333" t="s">
        <v>1145</v>
      </c>
      <c r="AH46" s="333"/>
      <c r="AI46" s="528">
        <v>3</v>
      </c>
      <c r="AJ46" s="528">
        <v>3</v>
      </c>
      <c r="AK46" s="480">
        <v>0.5</v>
      </c>
      <c r="AL46" s="480">
        <v>0.5</v>
      </c>
      <c r="AM46" s="525"/>
      <c r="AN46" s="528">
        <v>0</v>
      </c>
      <c r="AO46" s="528">
        <v>0</v>
      </c>
      <c r="AP46" s="528">
        <v>0</v>
      </c>
      <c r="AQ46" s="528">
        <v>0</v>
      </c>
      <c r="AR46" s="528">
        <v>0</v>
      </c>
      <c r="AS46" s="528">
        <v>0</v>
      </c>
      <c r="AT46" s="528">
        <v>0</v>
      </c>
      <c r="AU46" s="528">
        <v>0</v>
      </c>
      <c r="AV46" s="528">
        <v>0</v>
      </c>
      <c r="AW46" s="528">
        <v>0</v>
      </c>
      <c r="AX46" s="528">
        <v>0</v>
      </c>
      <c r="AY46" s="528">
        <v>0</v>
      </c>
      <c r="AZ46" s="528"/>
      <c r="BA46" s="528" t="s">
        <v>1145</v>
      </c>
      <c r="BB46" s="297"/>
      <c r="BC46" s="528" t="s">
        <v>1145</v>
      </c>
      <c r="BD46" s="528"/>
      <c r="BE46" s="528"/>
      <c r="BF46" s="564"/>
      <c r="BG46" s="529"/>
      <c r="BH46" s="525"/>
      <c r="BI46" s="528"/>
      <c r="BJ46" s="528" t="s">
        <v>4</v>
      </c>
      <c r="BK46" s="528"/>
      <c r="BL46" s="529"/>
      <c r="BM46" s="569"/>
      <c r="BN46" s="525"/>
    </row>
    <row r="47" spans="1:66" ht="13" customHeight="1" x14ac:dyDescent="0.2">
      <c r="A47" s="525" t="s">
        <v>1749</v>
      </c>
      <c r="B47" s="630">
        <v>45140</v>
      </c>
      <c r="C47" s="526" t="s">
        <v>1138</v>
      </c>
      <c r="D47" s="525" t="s">
        <v>1109</v>
      </c>
      <c r="E47" s="527">
        <v>45108</v>
      </c>
      <c r="F47" s="529" t="s">
        <v>1750</v>
      </c>
      <c r="G47" s="525" t="s">
        <v>1751</v>
      </c>
      <c r="H47" s="532">
        <v>70.459999999999994</v>
      </c>
      <c r="I47" s="531" t="s">
        <v>1141</v>
      </c>
      <c r="J47" s="485">
        <v>1645</v>
      </c>
      <c r="K47" s="485">
        <v>3000</v>
      </c>
      <c r="L47" s="485">
        <v>3000</v>
      </c>
      <c r="M47" s="485">
        <v>3000</v>
      </c>
      <c r="N47" s="525"/>
      <c r="O47" s="532">
        <v>3.0727272727272723</v>
      </c>
      <c r="P47" s="532">
        <v>2.8363636363636364</v>
      </c>
      <c r="Q47" s="532">
        <v>0</v>
      </c>
      <c r="R47" s="532">
        <v>0</v>
      </c>
      <c r="S47" s="532">
        <v>2.2272727272727271</v>
      </c>
      <c r="T47" s="533"/>
      <c r="U47" s="532">
        <v>3.0727272727272723</v>
      </c>
      <c r="V47" s="532">
        <v>2.8363636363636364</v>
      </c>
      <c r="W47" s="532">
        <v>0</v>
      </c>
      <c r="X47" s="532">
        <v>0</v>
      </c>
      <c r="Y47" s="532">
        <v>2.2272727272727271</v>
      </c>
      <c r="Z47" s="533"/>
      <c r="AA47" s="533"/>
      <c r="AB47" s="533"/>
      <c r="AC47" s="533"/>
      <c r="AD47" s="533"/>
      <c r="AE47" s="533"/>
      <c r="AF47" s="533"/>
      <c r="AG47" s="528" t="s">
        <v>1145</v>
      </c>
      <c r="AH47" s="528"/>
      <c r="AI47" s="528">
        <v>3</v>
      </c>
      <c r="AJ47" s="528">
        <v>3</v>
      </c>
      <c r="AK47" s="480">
        <v>0.5</v>
      </c>
      <c r="AL47" s="480">
        <v>0.5</v>
      </c>
      <c r="AM47" s="525"/>
      <c r="AN47" s="528">
        <v>0</v>
      </c>
      <c r="AO47" s="528">
        <v>0</v>
      </c>
      <c r="AP47" s="528">
        <v>0</v>
      </c>
      <c r="AQ47" s="528">
        <v>0</v>
      </c>
      <c r="AR47" s="528">
        <v>0</v>
      </c>
      <c r="AS47" s="528">
        <v>0</v>
      </c>
      <c r="AT47" s="528">
        <v>0</v>
      </c>
      <c r="AU47" s="528">
        <v>0</v>
      </c>
      <c r="AV47" s="528">
        <v>0</v>
      </c>
      <c r="AW47" s="528">
        <v>0</v>
      </c>
      <c r="AX47" s="528">
        <v>0</v>
      </c>
      <c r="AY47" s="528">
        <v>0</v>
      </c>
      <c r="AZ47" s="528"/>
      <c r="BA47" s="528" t="s">
        <v>1145</v>
      </c>
      <c r="BB47" s="297"/>
      <c r="BC47" s="528" t="s">
        <v>1145</v>
      </c>
      <c r="BD47" s="528"/>
      <c r="BE47" s="528"/>
      <c r="BF47" s="528"/>
      <c r="BG47" s="597"/>
      <c r="BH47" s="598"/>
      <c r="BI47" s="566"/>
      <c r="BJ47" s="528" t="s">
        <v>1146</v>
      </c>
      <c r="BK47" s="528"/>
      <c r="BL47" s="529"/>
      <c r="BM47" s="567"/>
      <c r="BN47" s="525"/>
    </row>
    <row r="48" spans="1:66" ht="13" customHeight="1" x14ac:dyDescent="0.2">
      <c r="A48" s="525" t="s">
        <v>1749</v>
      </c>
      <c r="B48" s="630">
        <v>45140</v>
      </c>
      <c r="C48" s="526" t="s">
        <v>1138</v>
      </c>
      <c r="D48" s="525" t="s">
        <v>1109</v>
      </c>
      <c r="E48" s="527">
        <v>44944</v>
      </c>
      <c r="F48" s="529" t="s">
        <v>34</v>
      </c>
      <c r="G48" s="525" t="s">
        <v>1656</v>
      </c>
      <c r="H48" s="532">
        <v>78.327272727272714</v>
      </c>
      <c r="I48" s="531"/>
      <c r="J48" s="459"/>
      <c r="K48" s="459"/>
      <c r="L48" s="459"/>
      <c r="M48" s="459"/>
      <c r="N48" s="525"/>
      <c r="O48" s="532">
        <v>3.1999999999999997</v>
      </c>
      <c r="P48" s="532">
        <v>0</v>
      </c>
      <c r="Q48" s="532">
        <v>0</v>
      </c>
      <c r="R48" s="532">
        <v>0</v>
      </c>
      <c r="S48" s="532">
        <v>0</v>
      </c>
      <c r="T48" s="533"/>
      <c r="U48" s="532">
        <v>3.1999999999999997</v>
      </c>
      <c r="V48" s="532">
        <v>0</v>
      </c>
      <c r="W48" s="532">
        <v>0</v>
      </c>
      <c r="X48" s="532">
        <v>0</v>
      </c>
      <c r="Y48" s="532">
        <v>0</v>
      </c>
      <c r="Z48" s="533"/>
      <c r="AA48" s="533"/>
      <c r="AB48" s="533"/>
      <c r="AC48" s="533"/>
      <c r="AD48" s="533"/>
      <c r="AE48" s="533"/>
      <c r="AF48" s="533"/>
      <c r="AG48" s="333" t="s">
        <v>1145</v>
      </c>
      <c r="AH48" s="333"/>
      <c r="AI48" s="528">
        <v>3</v>
      </c>
      <c r="AJ48" s="528">
        <v>3</v>
      </c>
      <c r="AK48" s="480">
        <v>0.5</v>
      </c>
      <c r="AL48" s="480">
        <v>0.5</v>
      </c>
      <c r="AM48" s="525"/>
      <c r="AN48" s="528">
        <v>0</v>
      </c>
      <c r="AO48" s="528">
        <v>0</v>
      </c>
      <c r="AP48" s="528">
        <v>0</v>
      </c>
      <c r="AQ48" s="528">
        <v>0</v>
      </c>
      <c r="AR48" s="528">
        <v>0</v>
      </c>
      <c r="AS48" s="528">
        <v>0</v>
      </c>
      <c r="AT48" s="528">
        <v>0</v>
      </c>
      <c r="AU48" s="528">
        <v>0</v>
      </c>
      <c r="AV48" s="528">
        <v>0</v>
      </c>
      <c r="AW48" s="528">
        <v>0</v>
      </c>
      <c r="AX48" s="528">
        <v>0</v>
      </c>
      <c r="AY48" s="528">
        <v>0</v>
      </c>
      <c r="AZ48" s="528"/>
      <c r="BA48" s="528" t="s">
        <v>1145</v>
      </c>
      <c r="BB48" s="528"/>
      <c r="BC48" s="528" t="s">
        <v>1145</v>
      </c>
      <c r="BD48" s="528"/>
      <c r="BE48" s="528"/>
      <c r="BF48" s="528"/>
      <c r="BG48" s="597"/>
      <c r="BH48" s="598"/>
      <c r="BI48" s="566"/>
      <c r="BJ48" s="528" t="s">
        <v>1146</v>
      </c>
      <c r="BK48" s="528"/>
      <c r="BL48" s="529"/>
      <c r="BM48" s="525" t="s">
        <v>1765</v>
      </c>
      <c r="BN48" s="525"/>
    </row>
    <row r="49" spans="1:66" ht="13" customHeight="1" x14ac:dyDescent="0.2">
      <c r="A49" s="525" t="s">
        <v>1749</v>
      </c>
      <c r="B49" s="630">
        <v>45140</v>
      </c>
      <c r="C49" s="526" t="s">
        <v>1138</v>
      </c>
      <c r="D49" s="525" t="s">
        <v>1109</v>
      </c>
      <c r="E49" s="527">
        <v>44944</v>
      </c>
      <c r="F49" s="529" t="s">
        <v>1766</v>
      </c>
      <c r="G49" s="525" t="s">
        <v>1767</v>
      </c>
      <c r="H49" s="532">
        <v>78.327272727272714</v>
      </c>
      <c r="I49" s="531"/>
      <c r="J49" s="459"/>
      <c r="K49" s="459"/>
      <c r="L49" s="459"/>
      <c r="M49" s="459"/>
      <c r="N49" s="525"/>
      <c r="O49" s="532">
        <v>3.1999999999999997</v>
      </c>
      <c r="P49" s="532">
        <v>0</v>
      </c>
      <c r="Q49" s="532">
        <v>0</v>
      </c>
      <c r="R49" s="532">
        <v>0</v>
      </c>
      <c r="S49" s="532">
        <v>0</v>
      </c>
      <c r="T49" s="533"/>
      <c r="U49" s="532">
        <v>3.1999999999999997</v>
      </c>
      <c r="V49" s="532">
        <v>0</v>
      </c>
      <c r="W49" s="532">
        <v>0</v>
      </c>
      <c r="X49" s="532">
        <v>0</v>
      </c>
      <c r="Y49" s="532">
        <v>0</v>
      </c>
      <c r="Z49" s="533"/>
      <c r="AA49" s="533"/>
      <c r="AB49" s="533"/>
      <c r="AC49" s="533"/>
      <c r="AD49" s="533"/>
      <c r="AE49" s="533"/>
      <c r="AF49" s="533"/>
      <c r="AG49" s="528" t="s">
        <v>1145</v>
      </c>
      <c r="AH49" s="528"/>
      <c r="AI49" s="528">
        <v>3</v>
      </c>
      <c r="AJ49" s="528">
        <v>3</v>
      </c>
      <c r="AK49" s="480">
        <v>0.5</v>
      </c>
      <c r="AL49" s="480">
        <v>0.5</v>
      </c>
      <c r="AM49" s="525"/>
      <c r="AN49" s="528">
        <v>0</v>
      </c>
      <c r="AO49" s="528">
        <v>0</v>
      </c>
      <c r="AP49" s="528">
        <v>0</v>
      </c>
      <c r="AQ49" s="528">
        <v>0</v>
      </c>
      <c r="AR49" s="528">
        <v>0</v>
      </c>
      <c r="AS49" s="528">
        <v>0</v>
      </c>
      <c r="AT49" s="528">
        <v>0</v>
      </c>
      <c r="AU49" s="528">
        <v>0</v>
      </c>
      <c r="AV49" s="528">
        <v>0</v>
      </c>
      <c r="AW49" s="528">
        <v>0</v>
      </c>
      <c r="AX49" s="528">
        <v>0</v>
      </c>
      <c r="AY49" s="528">
        <v>0</v>
      </c>
      <c r="AZ49" s="528"/>
      <c r="BA49" s="528" t="s">
        <v>1145</v>
      </c>
      <c r="BB49" s="528"/>
      <c r="BC49" s="528" t="s">
        <v>1145</v>
      </c>
      <c r="BD49" s="528"/>
      <c r="BE49" s="528"/>
      <c r="BF49" s="528"/>
      <c r="BG49" s="597"/>
      <c r="BH49" s="598"/>
      <c r="BI49" s="566"/>
      <c r="BJ49" s="528" t="s">
        <v>1146</v>
      </c>
      <c r="BK49" s="528"/>
      <c r="BL49" s="529" t="s">
        <v>1769</v>
      </c>
      <c r="BM49" s="525"/>
      <c r="BN49" s="525"/>
    </row>
    <row r="50" spans="1:66" ht="13" customHeight="1" x14ac:dyDescent="0.2">
      <c r="A50" s="525">
        <v>3151</v>
      </c>
      <c r="B50" s="630">
        <v>45140</v>
      </c>
      <c r="C50" s="526" t="s">
        <v>295</v>
      </c>
      <c r="D50" s="525" t="s">
        <v>1110</v>
      </c>
      <c r="E50" s="527">
        <v>45108</v>
      </c>
      <c r="F50" s="529" t="s">
        <v>1044</v>
      </c>
      <c r="G50" s="525" t="s">
        <v>1646</v>
      </c>
      <c r="H50" s="532">
        <v>76.490909090909085</v>
      </c>
      <c r="I50" s="531" t="s">
        <v>1141</v>
      </c>
      <c r="J50" s="485">
        <v>1645</v>
      </c>
      <c r="K50" s="485">
        <v>3000</v>
      </c>
      <c r="L50" s="485">
        <v>3000</v>
      </c>
      <c r="M50" s="485">
        <v>3000</v>
      </c>
      <c r="N50" s="525"/>
      <c r="O50" s="532">
        <v>3.4909090909090903</v>
      </c>
      <c r="P50" s="532">
        <v>3.3272727272727272</v>
      </c>
      <c r="Q50" s="532">
        <v>0</v>
      </c>
      <c r="R50" s="532">
        <v>0</v>
      </c>
      <c r="S50" s="532">
        <v>2.2636363636363637</v>
      </c>
      <c r="T50" s="533"/>
      <c r="U50" s="532">
        <v>3.4909090909090903</v>
      </c>
      <c r="V50" s="532">
        <v>3.3272727272727272</v>
      </c>
      <c r="W50" s="532">
        <v>0</v>
      </c>
      <c r="X50" s="532">
        <v>0</v>
      </c>
      <c r="Y50" s="532">
        <v>2.2636363636363637</v>
      </c>
      <c r="Z50" s="533"/>
      <c r="AA50" s="533"/>
      <c r="AB50" s="533"/>
      <c r="AC50" s="533"/>
      <c r="AD50" s="533"/>
      <c r="AE50" s="533"/>
      <c r="AF50" s="533"/>
      <c r="AG50" s="528" t="s">
        <v>1145</v>
      </c>
      <c r="AH50" s="528"/>
      <c r="AI50" s="528">
        <v>3</v>
      </c>
      <c r="AJ50" s="528">
        <v>3</v>
      </c>
      <c r="AK50" s="480">
        <v>0.5</v>
      </c>
      <c r="AL50" s="480">
        <v>0.5</v>
      </c>
      <c r="AM50" s="525"/>
      <c r="AN50" s="528">
        <v>0</v>
      </c>
      <c r="AO50" s="528">
        <v>0</v>
      </c>
      <c r="AP50" s="528">
        <v>0</v>
      </c>
      <c r="AQ50" s="528">
        <v>0</v>
      </c>
      <c r="AR50" s="528">
        <v>0</v>
      </c>
      <c r="AS50" s="528">
        <v>0</v>
      </c>
      <c r="AT50" s="528">
        <v>0</v>
      </c>
      <c r="AU50" s="528">
        <v>0</v>
      </c>
      <c r="AV50" s="528">
        <v>0</v>
      </c>
      <c r="AW50" s="528">
        <v>0</v>
      </c>
      <c r="AX50" s="528">
        <v>0</v>
      </c>
      <c r="AY50" s="528">
        <v>0</v>
      </c>
      <c r="AZ50" s="528"/>
      <c r="BA50" s="528" t="s">
        <v>1145</v>
      </c>
      <c r="BB50" s="297"/>
      <c r="BC50" s="528" t="s">
        <v>1145</v>
      </c>
      <c r="BD50" s="528"/>
      <c r="BE50" s="528"/>
      <c r="BF50" s="528"/>
      <c r="BG50" s="597"/>
      <c r="BH50" s="598"/>
      <c r="BI50" s="566"/>
      <c r="BJ50" s="528" t="s">
        <v>1146</v>
      </c>
      <c r="BK50" s="528"/>
      <c r="BL50" s="529" t="s">
        <v>1647</v>
      </c>
      <c r="BM50" s="567"/>
      <c r="BN50" s="525"/>
    </row>
    <row r="51" spans="1:66" ht="13" customHeight="1" x14ac:dyDescent="0.2">
      <c r="A51" s="525">
        <v>1039</v>
      </c>
      <c r="B51" s="630">
        <v>45140</v>
      </c>
      <c r="C51" s="526" t="s">
        <v>1138</v>
      </c>
      <c r="D51" s="525" t="s">
        <v>1110</v>
      </c>
      <c r="E51" s="527">
        <v>45108</v>
      </c>
      <c r="F51" s="529" t="s">
        <v>1148</v>
      </c>
      <c r="G51" s="525" t="s">
        <v>1280</v>
      </c>
      <c r="H51" s="532">
        <v>71.099999999999994</v>
      </c>
      <c r="I51" s="531" t="s">
        <v>1141</v>
      </c>
      <c r="J51" s="485">
        <v>1645</v>
      </c>
      <c r="K51" s="485">
        <v>3000</v>
      </c>
      <c r="L51" s="485">
        <v>3000</v>
      </c>
      <c r="M51" s="485">
        <v>3000</v>
      </c>
      <c r="N51" s="525"/>
      <c r="O51" s="532">
        <v>4.0909090909090908</v>
      </c>
      <c r="P51" s="532">
        <v>3.5727272727272728</v>
      </c>
      <c r="Q51" s="532">
        <v>0</v>
      </c>
      <c r="R51" s="532">
        <v>0</v>
      </c>
      <c r="S51" s="532">
        <v>2.7727272727272725</v>
      </c>
      <c r="T51" s="533"/>
      <c r="U51" s="532">
        <v>4.0909090909090908</v>
      </c>
      <c r="V51" s="532">
        <v>3.5727272727272728</v>
      </c>
      <c r="W51" s="532">
        <v>0</v>
      </c>
      <c r="X51" s="532">
        <v>0</v>
      </c>
      <c r="Y51" s="532">
        <v>2.7727272727272725</v>
      </c>
      <c r="Z51" s="533"/>
      <c r="AA51" s="533"/>
      <c r="AB51" s="533"/>
      <c r="AC51" s="533"/>
      <c r="AD51" s="533"/>
      <c r="AE51" s="533"/>
      <c r="AF51" s="533"/>
      <c r="AG51" s="528" t="s">
        <v>1145</v>
      </c>
      <c r="AH51" s="528"/>
      <c r="AI51" s="528">
        <v>3</v>
      </c>
      <c r="AJ51" s="528">
        <v>3</v>
      </c>
      <c r="AK51" s="480">
        <v>0.5</v>
      </c>
      <c r="AL51" s="480">
        <v>0.5</v>
      </c>
      <c r="AM51" s="525"/>
      <c r="AN51" s="528">
        <v>0</v>
      </c>
      <c r="AO51" s="528">
        <v>0</v>
      </c>
      <c r="AP51" s="528">
        <v>0</v>
      </c>
      <c r="AQ51" s="528">
        <v>0</v>
      </c>
      <c r="AR51" s="528">
        <v>0</v>
      </c>
      <c r="AS51" s="528">
        <v>0</v>
      </c>
      <c r="AT51" s="528">
        <v>0</v>
      </c>
      <c r="AU51" s="528">
        <v>0</v>
      </c>
      <c r="AV51" s="528">
        <v>0</v>
      </c>
      <c r="AW51" s="528">
        <v>0</v>
      </c>
      <c r="AX51" s="528">
        <v>0</v>
      </c>
      <c r="AY51" s="528">
        <v>0</v>
      </c>
      <c r="AZ51" s="528"/>
      <c r="BA51" s="528" t="s">
        <v>1145</v>
      </c>
      <c r="BB51" s="297"/>
      <c r="BC51" s="528" t="s">
        <v>1145</v>
      </c>
      <c r="BD51" s="528"/>
      <c r="BE51" s="528"/>
      <c r="BF51" s="528"/>
      <c r="BG51" s="529"/>
      <c r="BH51" s="525"/>
      <c r="BI51" s="528"/>
      <c r="BJ51" s="528" t="s">
        <v>4</v>
      </c>
      <c r="BK51" s="528"/>
      <c r="BL51" s="529"/>
      <c r="BM51" s="569"/>
      <c r="BN51" s="525"/>
    </row>
    <row r="52" spans="1:66" ht="13" customHeight="1" x14ac:dyDescent="0.2">
      <c r="A52" s="525">
        <v>2552</v>
      </c>
      <c r="B52" s="630">
        <v>45140</v>
      </c>
      <c r="C52" s="526" t="s">
        <v>1138</v>
      </c>
      <c r="D52" s="525" t="s">
        <v>1110</v>
      </c>
      <c r="E52" s="527">
        <v>45140</v>
      </c>
      <c r="F52" s="525" t="s">
        <v>1052</v>
      </c>
      <c r="G52" s="525" t="s">
        <v>1181</v>
      </c>
      <c r="H52" s="532">
        <v>71.572727272727278</v>
      </c>
      <c r="I52" s="531" t="s">
        <v>1141</v>
      </c>
      <c r="J52" s="485">
        <v>1645</v>
      </c>
      <c r="K52" s="485">
        <v>3000</v>
      </c>
      <c r="L52" s="485">
        <v>3000</v>
      </c>
      <c r="M52" s="485">
        <v>3000</v>
      </c>
      <c r="N52" s="332"/>
      <c r="O52" s="532">
        <v>3.545454545454545</v>
      </c>
      <c r="P52" s="532">
        <v>2.9363636363636361</v>
      </c>
      <c r="Q52" s="532">
        <v>0</v>
      </c>
      <c r="R52" s="532">
        <v>0</v>
      </c>
      <c r="S52" s="532">
        <v>2.5181818181818181</v>
      </c>
      <c r="T52" s="571"/>
      <c r="U52" s="532">
        <v>3.545454545454545</v>
      </c>
      <c r="V52" s="532">
        <v>2.9363636363636361</v>
      </c>
      <c r="W52" s="532">
        <v>0</v>
      </c>
      <c r="X52" s="532">
        <v>0</v>
      </c>
      <c r="Y52" s="532">
        <v>2.5181818181818181</v>
      </c>
      <c r="Z52" s="571"/>
      <c r="AA52" s="571"/>
      <c r="AB52" s="571"/>
      <c r="AC52" s="571"/>
      <c r="AD52" s="571"/>
      <c r="AE52" s="571"/>
      <c r="AF52" s="571"/>
      <c r="AG52" s="528" t="s">
        <v>1145</v>
      </c>
      <c r="AH52" s="528"/>
      <c r="AI52" s="528">
        <v>3</v>
      </c>
      <c r="AJ52" s="528">
        <v>3</v>
      </c>
      <c r="AK52" s="480">
        <v>0.5</v>
      </c>
      <c r="AL52" s="480">
        <v>0.5</v>
      </c>
      <c r="AM52" s="525"/>
      <c r="AN52" s="528">
        <v>0</v>
      </c>
      <c r="AO52" s="528">
        <v>0</v>
      </c>
      <c r="AP52" s="528">
        <v>0</v>
      </c>
      <c r="AQ52" s="528">
        <v>0</v>
      </c>
      <c r="AR52" s="528">
        <v>0</v>
      </c>
      <c r="AS52" s="528">
        <v>0</v>
      </c>
      <c r="AT52" s="528">
        <v>0</v>
      </c>
      <c r="AU52" s="528">
        <v>0</v>
      </c>
      <c r="AV52" s="528">
        <v>0</v>
      </c>
      <c r="AW52" s="528">
        <v>0</v>
      </c>
      <c r="AX52" s="528">
        <v>0</v>
      </c>
      <c r="AY52" s="528">
        <v>0</v>
      </c>
      <c r="AZ52" s="528"/>
      <c r="BA52" s="528" t="s">
        <v>1145</v>
      </c>
      <c r="BB52" s="297"/>
      <c r="BC52" s="528" t="s">
        <v>1145</v>
      </c>
      <c r="BD52" s="528"/>
      <c r="BE52" s="528"/>
      <c r="BF52" s="528"/>
      <c r="BG52" s="529"/>
      <c r="BH52" s="525"/>
      <c r="BI52" s="528"/>
      <c r="BJ52" s="528" t="s">
        <v>4</v>
      </c>
      <c r="BK52" s="528"/>
      <c r="BL52" s="529"/>
      <c r="BM52" s="567" t="s">
        <v>1203</v>
      </c>
      <c r="BN52" s="525"/>
    </row>
    <row r="53" spans="1:66" ht="13" customHeight="1" x14ac:dyDescent="0.2">
      <c r="A53" s="525">
        <v>3524</v>
      </c>
      <c r="B53" s="630">
        <v>45140</v>
      </c>
      <c r="C53" s="526" t="s">
        <v>1138</v>
      </c>
      <c r="D53" s="525" t="s">
        <v>1110</v>
      </c>
      <c r="E53" s="527">
        <v>45063</v>
      </c>
      <c r="F53" s="529" t="s">
        <v>1156</v>
      </c>
      <c r="G53" s="525" t="s">
        <v>1649</v>
      </c>
      <c r="H53" s="532">
        <v>103.77272727272727</v>
      </c>
      <c r="I53" s="531" t="s">
        <v>1141</v>
      </c>
      <c r="J53" s="485">
        <v>1645</v>
      </c>
      <c r="K53" s="485">
        <v>3000</v>
      </c>
      <c r="L53" s="485">
        <v>3000</v>
      </c>
      <c r="M53" s="485">
        <v>3000</v>
      </c>
      <c r="N53" s="525"/>
      <c r="O53" s="532">
        <v>4.5727272727272723</v>
      </c>
      <c r="P53" s="532">
        <v>3.4727272727272722</v>
      </c>
      <c r="Q53" s="532">
        <v>0</v>
      </c>
      <c r="R53" s="532">
        <v>0</v>
      </c>
      <c r="S53" s="532">
        <v>2.8454545454545452</v>
      </c>
      <c r="T53" s="533"/>
      <c r="U53" s="532">
        <v>4.5727272727272723</v>
      </c>
      <c r="V53" s="532">
        <v>3.4727272727272722</v>
      </c>
      <c r="W53" s="532">
        <v>0</v>
      </c>
      <c r="X53" s="532">
        <v>0</v>
      </c>
      <c r="Y53" s="532">
        <v>2.8454545454545452</v>
      </c>
      <c r="Z53" s="533"/>
      <c r="AA53" s="533"/>
      <c r="AB53" s="533"/>
      <c r="AC53" s="533"/>
      <c r="AD53" s="533"/>
      <c r="AE53" s="533"/>
      <c r="AF53" s="533"/>
      <c r="AG53" s="528" t="s">
        <v>1145</v>
      </c>
      <c r="AH53" s="528"/>
      <c r="AI53" s="528">
        <v>3</v>
      </c>
      <c r="AJ53" s="528">
        <v>3</v>
      </c>
      <c r="AK53" s="480">
        <v>0.5</v>
      </c>
      <c r="AL53" s="480">
        <v>0.5</v>
      </c>
      <c r="AM53" s="525"/>
      <c r="AN53" s="528">
        <v>25</v>
      </c>
      <c r="AO53" s="528">
        <v>0</v>
      </c>
      <c r="AP53" s="528">
        <v>0</v>
      </c>
      <c r="AQ53" s="528">
        <v>0</v>
      </c>
      <c r="AR53" s="528">
        <v>0</v>
      </c>
      <c r="AS53" s="528">
        <v>0</v>
      </c>
      <c r="AT53" s="528">
        <v>0</v>
      </c>
      <c r="AU53" s="528">
        <v>0</v>
      </c>
      <c r="AV53" s="528">
        <v>0</v>
      </c>
      <c r="AW53" s="528">
        <v>0</v>
      </c>
      <c r="AX53" s="528">
        <v>0</v>
      </c>
      <c r="AY53" s="528">
        <v>0</v>
      </c>
      <c r="AZ53" s="566">
        <v>12</v>
      </c>
      <c r="BA53" s="528" t="s">
        <v>1145</v>
      </c>
      <c r="BB53" s="297"/>
      <c r="BC53" s="528" t="s">
        <v>1145</v>
      </c>
      <c r="BD53" s="528"/>
      <c r="BE53" s="528"/>
      <c r="BF53" s="528"/>
      <c r="BG53" s="529"/>
      <c r="BH53" s="525"/>
      <c r="BI53" s="528"/>
      <c r="BJ53" s="528" t="s">
        <v>1146</v>
      </c>
      <c r="BK53" s="528"/>
      <c r="BL53" s="529"/>
      <c r="BM53" s="569"/>
      <c r="BN53" s="525"/>
    </row>
    <row r="54" spans="1:66" ht="13" customHeight="1" x14ac:dyDescent="0.2">
      <c r="A54" s="525">
        <v>2870</v>
      </c>
      <c r="B54" s="630">
        <v>45140</v>
      </c>
      <c r="C54" s="526" t="s">
        <v>1138</v>
      </c>
      <c r="D54" s="525" t="s">
        <v>1110</v>
      </c>
      <c r="E54" s="527">
        <v>45092</v>
      </c>
      <c r="F54" s="529" t="s">
        <v>1159</v>
      </c>
      <c r="G54" s="525" t="s">
        <v>1105</v>
      </c>
      <c r="H54" s="532">
        <v>102.8</v>
      </c>
      <c r="I54" s="531" t="s">
        <v>1141</v>
      </c>
      <c r="J54" s="485">
        <v>1645</v>
      </c>
      <c r="K54" s="485">
        <v>3000</v>
      </c>
      <c r="L54" s="485">
        <v>3000</v>
      </c>
      <c r="M54" s="485">
        <v>3000</v>
      </c>
      <c r="N54" s="525"/>
      <c r="O54" s="532">
        <v>3.9818181818181815</v>
      </c>
      <c r="P54" s="532">
        <v>3.4545454545454541</v>
      </c>
      <c r="Q54" s="532">
        <v>0</v>
      </c>
      <c r="R54" s="532">
        <v>0</v>
      </c>
      <c r="S54" s="532">
        <v>2.5</v>
      </c>
      <c r="T54" s="533"/>
      <c r="U54" s="532">
        <v>3.9818181818181815</v>
      </c>
      <c r="V54" s="532">
        <v>3.4545454545454541</v>
      </c>
      <c r="W54" s="532">
        <v>0</v>
      </c>
      <c r="X54" s="532">
        <v>0</v>
      </c>
      <c r="Y54" s="532">
        <v>2.5</v>
      </c>
      <c r="Z54" s="533"/>
      <c r="AA54" s="533"/>
      <c r="AB54" s="533"/>
      <c r="AC54" s="533"/>
      <c r="AD54" s="533"/>
      <c r="AE54" s="533"/>
      <c r="AF54" s="533"/>
      <c r="AG54" s="528" t="s">
        <v>1278</v>
      </c>
      <c r="AH54" s="528"/>
      <c r="AI54" s="528">
        <v>3</v>
      </c>
      <c r="AJ54" s="528">
        <v>3</v>
      </c>
      <c r="AK54" s="480">
        <v>0.5</v>
      </c>
      <c r="AL54" s="480">
        <v>0.5</v>
      </c>
      <c r="AM54" s="525"/>
      <c r="AN54" s="528">
        <v>0</v>
      </c>
      <c r="AO54" s="528">
        <v>0</v>
      </c>
      <c r="AP54" s="528">
        <v>0</v>
      </c>
      <c r="AQ54" s="528">
        <v>0</v>
      </c>
      <c r="AR54" s="528">
        <v>0</v>
      </c>
      <c r="AS54" s="528">
        <v>0</v>
      </c>
      <c r="AT54" s="528">
        <v>0</v>
      </c>
      <c r="AU54" s="528">
        <v>0</v>
      </c>
      <c r="AV54" s="528">
        <v>0</v>
      </c>
      <c r="AW54" s="528">
        <v>0</v>
      </c>
      <c r="AX54" s="528">
        <v>0</v>
      </c>
      <c r="AY54" s="528">
        <v>0</v>
      </c>
      <c r="AZ54" s="528"/>
      <c r="BA54" s="528" t="s">
        <v>1145</v>
      </c>
      <c r="BB54" s="297"/>
      <c r="BC54" s="528" t="s">
        <v>1145</v>
      </c>
      <c r="BD54" s="528"/>
      <c r="BE54" s="528"/>
      <c r="BF54" s="564">
        <v>45535</v>
      </c>
      <c r="BG54" s="529"/>
      <c r="BH54" s="525"/>
      <c r="BI54" s="528"/>
      <c r="BJ54" s="528" t="s">
        <v>1146</v>
      </c>
      <c r="BK54" s="528"/>
      <c r="BL54" s="529"/>
      <c r="BM54" s="529"/>
      <c r="BN54" s="525"/>
    </row>
    <row r="55" spans="1:66" ht="13" customHeight="1" x14ac:dyDescent="0.2">
      <c r="A55" s="525">
        <v>3370</v>
      </c>
      <c r="B55" s="630">
        <v>45140</v>
      </c>
      <c r="C55" s="526" t="s">
        <v>1138</v>
      </c>
      <c r="D55" s="525" t="s">
        <v>1110</v>
      </c>
      <c r="E55" s="527">
        <v>45108</v>
      </c>
      <c r="F55" s="529" t="s">
        <v>1166</v>
      </c>
      <c r="G55" s="525" t="s">
        <v>1651</v>
      </c>
      <c r="H55" s="532">
        <v>72.5</v>
      </c>
      <c r="I55" s="531" t="s">
        <v>1141</v>
      </c>
      <c r="J55" s="568">
        <v>6000</v>
      </c>
      <c r="K55" s="568">
        <v>12000</v>
      </c>
      <c r="L55" s="568">
        <v>12000</v>
      </c>
      <c r="M55" s="568">
        <v>12000</v>
      </c>
      <c r="N55" s="525"/>
      <c r="O55" s="532">
        <v>2.9363636363636361</v>
      </c>
      <c r="P55" s="532">
        <v>2.8181818181818179</v>
      </c>
      <c r="Q55" s="532">
        <v>0</v>
      </c>
      <c r="R55" s="532">
        <v>0</v>
      </c>
      <c r="S55" s="532">
        <v>2.4454545454545453</v>
      </c>
      <c r="T55" s="533"/>
      <c r="U55" s="532">
        <v>2.9363636363636361</v>
      </c>
      <c r="V55" s="532">
        <v>2.8181818181818179</v>
      </c>
      <c r="W55" s="532">
        <v>0</v>
      </c>
      <c r="X55" s="532">
        <v>0</v>
      </c>
      <c r="Y55" s="532">
        <v>2.4454545454545453</v>
      </c>
      <c r="Z55" s="533"/>
      <c r="AA55" s="533"/>
      <c r="AB55" s="533"/>
      <c r="AC55" s="533"/>
      <c r="AD55" s="533"/>
      <c r="AE55" s="533"/>
      <c r="AF55" s="533"/>
      <c r="AG55" s="528" t="s">
        <v>1145</v>
      </c>
      <c r="AH55" s="528"/>
      <c r="AI55" s="528">
        <v>3</v>
      </c>
      <c r="AJ55" s="528">
        <v>3</v>
      </c>
      <c r="AK55" s="480">
        <v>0.5</v>
      </c>
      <c r="AL55" s="480">
        <v>0.5</v>
      </c>
      <c r="AM55" s="525"/>
      <c r="AN55" s="528">
        <v>0</v>
      </c>
      <c r="AO55" s="528">
        <v>0</v>
      </c>
      <c r="AP55" s="528">
        <v>0</v>
      </c>
      <c r="AQ55" s="528">
        <v>0</v>
      </c>
      <c r="AR55" s="528">
        <v>0</v>
      </c>
      <c r="AS55" s="528">
        <v>0</v>
      </c>
      <c r="AT55" s="528">
        <v>0</v>
      </c>
      <c r="AU55" s="528">
        <v>0</v>
      </c>
      <c r="AV55" s="528">
        <v>0</v>
      </c>
      <c r="AW55" s="528">
        <v>0</v>
      </c>
      <c r="AX55" s="528">
        <v>0</v>
      </c>
      <c r="AY55" s="528">
        <v>0</v>
      </c>
      <c r="AZ55" s="528"/>
      <c r="BA55" s="528" t="s">
        <v>1145</v>
      </c>
      <c r="BB55" s="297"/>
      <c r="BC55" s="528" t="s">
        <v>1145</v>
      </c>
      <c r="BD55" s="528"/>
      <c r="BE55" s="528"/>
      <c r="BF55" s="528"/>
      <c r="BG55" s="529"/>
      <c r="BH55" s="525"/>
      <c r="BI55" s="600"/>
      <c r="BJ55" s="528" t="s">
        <v>1146</v>
      </c>
      <c r="BK55" s="528"/>
      <c r="BL55" s="529"/>
      <c r="BM55" s="569"/>
      <c r="BN55" s="525"/>
    </row>
    <row r="56" spans="1:66" ht="13" customHeight="1" x14ac:dyDescent="0.2">
      <c r="A56" s="525">
        <v>2398</v>
      </c>
      <c r="B56" s="630">
        <v>45140</v>
      </c>
      <c r="C56" s="526" t="s">
        <v>1138</v>
      </c>
      <c r="D56" s="525" t="s">
        <v>1110</v>
      </c>
      <c r="E56" s="570">
        <v>45035</v>
      </c>
      <c r="F56" s="529" t="s">
        <v>1168</v>
      </c>
      <c r="G56" s="525" t="s">
        <v>1297</v>
      </c>
      <c r="H56" s="532">
        <v>75</v>
      </c>
      <c r="I56" s="531" t="s">
        <v>1141</v>
      </c>
      <c r="J56" s="485">
        <v>1645</v>
      </c>
      <c r="K56" s="485">
        <v>3000</v>
      </c>
      <c r="L56" s="485">
        <v>3000</v>
      </c>
      <c r="M56" s="485">
        <v>3000</v>
      </c>
      <c r="N56" s="525"/>
      <c r="O56" s="532">
        <v>3.6545454545454539</v>
      </c>
      <c r="P56" s="532">
        <v>3.0727272727272723</v>
      </c>
      <c r="Q56" s="532">
        <v>0</v>
      </c>
      <c r="R56" s="532">
        <v>0</v>
      </c>
      <c r="S56" s="532">
        <v>2.2636363636363637</v>
      </c>
      <c r="T56" s="533"/>
      <c r="U56" s="532">
        <v>3.6545454545454539</v>
      </c>
      <c r="V56" s="532">
        <v>3.0727272727272723</v>
      </c>
      <c r="W56" s="532">
        <v>0</v>
      </c>
      <c r="X56" s="532">
        <v>0</v>
      </c>
      <c r="Y56" s="532">
        <v>2.2636363636363637</v>
      </c>
      <c r="Z56" s="533"/>
      <c r="AA56" s="533"/>
      <c r="AB56" s="533"/>
      <c r="AC56" s="533"/>
      <c r="AD56" s="533"/>
      <c r="AE56" s="533"/>
      <c r="AF56" s="533"/>
      <c r="AG56" s="528" t="s">
        <v>1145</v>
      </c>
      <c r="AH56" s="528"/>
      <c r="AI56" s="528">
        <v>3</v>
      </c>
      <c r="AJ56" s="528">
        <v>3</v>
      </c>
      <c r="AK56" s="480">
        <v>0.5</v>
      </c>
      <c r="AL56" s="480">
        <v>0.5</v>
      </c>
      <c r="AM56" s="525"/>
      <c r="AN56" s="528">
        <v>0</v>
      </c>
      <c r="AO56" s="528">
        <v>0</v>
      </c>
      <c r="AP56" s="528">
        <v>0</v>
      </c>
      <c r="AQ56" s="528">
        <v>0</v>
      </c>
      <c r="AR56" s="528">
        <v>0</v>
      </c>
      <c r="AS56" s="528">
        <v>0</v>
      </c>
      <c r="AT56" s="528">
        <v>0</v>
      </c>
      <c r="AU56" s="528">
        <v>0</v>
      </c>
      <c r="AV56" s="528">
        <v>0</v>
      </c>
      <c r="AW56" s="528">
        <v>0</v>
      </c>
      <c r="AX56" s="528">
        <v>0</v>
      </c>
      <c r="AY56" s="528">
        <v>0</v>
      </c>
      <c r="AZ56" s="528"/>
      <c r="BA56" s="528" t="s">
        <v>1145</v>
      </c>
      <c r="BB56" s="297"/>
      <c r="BC56" s="528" t="s">
        <v>1145</v>
      </c>
      <c r="BD56" s="528"/>
      <c r="BE56" s="528"/>
      <c r="BF56" s="528"/>
      <c r="BG56" s="529"/>
      <c r="BH56" s="525"/>
      <c r="BI56" s="528"/>
      <c r="BJ56" s="528" t="s">
        <v>1146</v>
      </c>
      <c r="BK56" s="528"/>
      <c r="BL56" s="529"/>
      <c r="BM56" s="567"/>
      <c r="BN56" s="525"/>
    </row>
    <row r="57" spans="1:66" ht="13" customHeight="1" x14ac:dyDescent="0.2">
      <c r="A57" s="525">
        <v>265</v>
      </c>
      <c r="B57" s="630">
        <v>45140</v>
      </c>
      <c r="C57" s="526" t="s">
        <v>1138</v>
      </c>
      <c r="D57" s="525" t="s">
        <v>1110</v>
      </c>
      <c r="E57" s="527">
        <v>45108</v>
      </c>
      <c r="F57" s="529" t="s">
        <v>1169</v>
      </c>
      <c r="G57" s="525" t="s">
        <v>1758</v>
      </c>
      <c r="H57" s="532">
        <v>80.436363636363637</v>
      </c>
      <c r="I57" s="531" t="s">
        <v>1141</v>
      </c>
      <c r="J57" s="485">
        <v>1645</v>
      </c>
      <c r="K57" s="485">
        <v>3000</v>
      </c>
      <c r="L57" s="485">
        <v>3000</v>
      </c>
      <c r="M57" s="485">
        <v>3000</v>
      </c>
      <c r="N57" s="525"/>
      <c r="O57" s="532">
        <v>3.8818181818181809</v>
      </c>
      <c r="P57" s="532">
        <v>3.2636363636363632</v>
      </c>
      <c r="Q57" s="532">
        <v>0</v>
      </c>
      <c r="R57" s="532">
        <v>0</v>
      </c>
      <c r="S57" s="532">
        <v>2.7272727272727271</v>
      </c>
      <c r="T57" s="533"/>
      <c r="U57" s="532">
        <v>3.8818181818181809</v>
      </c>
      <c r="V57" s="532">
        <v>3.2636363636363632</v>
      </c>
      <c r="W57" s="532">
        <v>0</v>
      </c>
      <c r="X57" s="532">
        <v>0</v>
      </c>
      <c r="Y57" s="532">
        <v>2.7272727272727271</v>
      </c>
      <c r="Z57" s="533"/>
      <c r="AA57" s="533"/>
      <c r="AB57" s="533"/>
      <c r="AC57" s="533"/>
      <c r="AD57" s="533"/>
      <c r="AE57" s="533"/>
      <c r="AF57" s="533"/>
      <c r="AG57" s="528" t="s">
        <v>1145</v>
      </c>
      <c r="AH57" s="528"/>
      <c r="AI57" s="528">
        <v>3</v>
      </c>
      <c r="AJ57" s="528">
        <v>3</v>
      </c>
      <c r="AK57" s="480">
        <v>0.5</v>
      </c>
      <c r="AL57" s="480">
        <v>0.5</v>
      </c>
      <c r="AM57" s="525"/>
      <c r="AN57" s="528">
        <v>10</v>
      </c>
      <c r="AO57" s="528">
        <v>0</v>
      </c>
      <c r="AP57" s="528">
        <v>0</v>
      </c>
      <c r="AQ57" s="528">
        <v>0</v>
      </c>
      <c r="AR57" s="528">
        <v>0</v>
      </c>
      <c r="AS57" s="528">
        <v>0</v>
      </c>
      <c r="AT57" s="528">
        <v>0</v>
      </c>
      <c r="AU57" s="528">
        <v>0</v>
      </c>
      <c r="AV57" s="528">
        <v>0</v>
      </c>
      <c r="AW57" s="528">
        <v>0</v>
      </c>
      <c r="AX57" s="528">
        <v>0</v>
      </c>
      <c r="AY57" s="528">
        <v>0</v>
      </c>
      <c r="AZ57" s="528"/>
      <c r="BA57" s="528" t="s">
        <v>1145</v>
      </c>
      <c r="BB57" s="297"/>
      <c r="BC57" s="528" t="s">
        <v>1145</v>
      </c>
      <c r="BD57" s="528"/>
      <c r="BE57" s="528"/>
      <c r="BF57" s="528"/>
      <c r="BG57" s="529"/>
      <c r="BH57" s="525"/>
      <c r="BI57" s="528"/>
      <c r="BJ57" s="528" t="s">
        <v>1146</v>
      </c>
      <c r="BK57" s="528"/>
      <c r="BL57" s="529"/>
      <c r="BM57" s="529"/>
      <c r="BN57" s="525"/>
    </row>
    <row r="58" spans="1:66" ht="13" customHeight="1" x14ac:dyDescent="0.2">
      <c r="A58" s="525">
        <v>1686</v>
      </c>
      <c r="B58" s="630">
        <v>45140</v>
      </c>
      <c r="C58" s="526" t="s">
        <v>295</v>
      </c>
      <c r="D58" s="525" t="s">
        <v>1110</v>
      </c>
      <c r="E58" s="527">
        <v>45103</v>
      </c>
      <c r="F58" s="529" t="s">
        <v>1106</v>
      </c>
      <c r="G58" s="525" t="s">
        <v>2</v>
      </c>
      <c r="H58" s="532">
        <v>64</v>
      </c>
      <c r="I58" s="531" t="s">
        <v>1141</v>
      </c>
      <c r="J58" s="525">
        <v>3000</v>
      </c>
      <c r="K58" s="525">
        <v>3000</v>
      </c>
      <c r="L58" s="525">
        <v>3000</v>
      </c>
      <c r="M58" s="525">
        <v>3000</v>
      </c>
      <c r="N58" s="525"/>
      <c r="O58" s="532">
        <v>3.6818181818181812</v>
      </c>
      <c r="P58" s="532">
        <v>0</v>
      </c>
      <c r="Q58" s="532">
        <v>0</v>
      </c>
      <c r="R58" s="532">
        <v>0</v>
      </c>
      <c r="S58" s="532">
        <v>2.7818181818181817</v>
      </c>
      <c r="T58" s="533"/>
      <c r="U58" s="532">
        <v>3.6818181818181812</v>
      </c>
      <c r="V58" s="532">
        <v>0</v>
      </c>
      <c r="W58" s="532">
        <v>0</v>
      </c>
      <c r="X58" s="532">
        <v>0</v>
      </c>
      <c r="Y58" s="532">
        <v>2.7818181818181817</v>
      </c>
      <c r="Z58" s="533"/>
      <c r="AA58" s="533"/>
      <c r="AB58" s="533"/>
      <c r="AC58" s="533"/>
      <c r="AD58" s="533"/>
      <c r="AE58" s="533"/>
      <c r="AF58" s="533"/>
      <c r="AG58" s="528" t="s">
        <v>297</v>
      </c>
      <c r="AH58" s="528" t="s">
        <v>298</v>
      </c>
      <c r="AI58" s="333">
        <v>2</v>
      </c>
      <c r="AJ58" s="333">
        <v>4</v>
      </c>
      <c r="AK58" s="483">
        <v>0.33329999999999999</v>
      </c>
      <c r="AL58" s="483">
        <v>0.66659999999999997</v>
      </c>
      <c r="AM58" s="525" t="s">
        <v>1124</v>
      </c>
      <c r="AN58" s="528">
        <v>0</v>
      </c>
      <c r="AO58" s="528">
        <v>0</v>
      </c>
      <c r="AP58" s="528">
        <v>2</v>
      </c>
      <c r="AQ58" s="528">
        <v>0</v>
      </c>
      <c r="AR58" s="528">
        <v>0</v>
      </c>
      <c r="AS58" s="528">
        <v>0</v>
      </c>
      <c r="AT58" s="528">
        <v>0</v>
      </c>
      <c r="AU58" s="528">
        <v>0</v>
      </c>
      <c r="AV58" s="528">
        <v>0</v>
      </c>
      <c r="AW58" s="528">
        <v>0</v>
      </c>
      <c r="AX58" s="528">
        <v>0</v>
      </c>
      <c r="AY58" s="528">
        <v>0</v>
      </c>
      <c r="AZ58" s="528"/>
      <c r="BA58" s="528" t="s">
        <v>1145</v>
      </c>
      <c r="BB58" s="297"/>
      <c r="BC58" s="528" t="s">
        <v>1145</v>
      </c>
      <c r="BD58" s="528"/>
      <c r="BE58" s="528"/>
      <c r="BF58" s="529"/>
      <c r="BG58" s="529"/>
      <c r="BH58" s="525"/>
      <c r="BI58" s="528"/>
      <c r="BJ58" s="528" t="s">
        <v>1146</v>
      </c>
      <c r="BK58" s="528">
        <v>1</v>
      </c>
      <c r="BL58" s="525"/>
      <c r="BM58" s="567"/>
      <c r="BN58" s="525"/>
    </row>
    <row r="59" spans="1:66" ht="13" customHeight="1" x14ac:dyDescent="0.2">
      <c r="A59" s="525">
        <v>2740</v>
      </c>
      <c r="B59" s="630">
        <v>45140</v>
      </c>
      <c r="C59" s="526" t="s">
        <v>1138</v>
      </c>
      <c r="D59" s="525" t="s">
        <v>1110</v>
      </c>
      <c r="E59" s="527">
        <v>45108</v>
      </c>
      <c r="F59" s="525" t="s">
        <v>1274</v>
      </c>
      <c r="G59" s="525" t="s">
        <v>1467</v>
      </c>
      <c r="H59" s="532">
        <v>79</v>
      </c>
      <c r="I59" s="531" t="s">
        <v>1141</v>
      </c>
      <c r="J59" s="409">
        <v>1800</v>
      </c>
      <c r="K59" s="332">
        <v>4800</v>
      </c>
      <c r="L59" s="332">
        <v>4800</v>
      </c>
      <c r="M59" s="332">
        <v>4800</v>
      </c>
      <c r="N59" s="332"/>
      <c r="O59" s="532">
        <v>4.6999999999999993</v>
      </c>
      <c r="P59" s="532">
        <v>4.0999999999999996</v>
      </c>
      <c r="Q59" s="532">
        <v>0</v>
      </c>
      <c r="R59" s="532">
        <v>0</v>
      </c>
      <c r="S59" s="532">
        <v>3.5</v>
      </c>
      <c r="T59" s="571"/>
      <c r="U59" s="532">
        <v>4.6999999999999993</v>
      </c>
      <c r="V59" s="532">
        <v>4.0999999999999996</v>
      </c>
      <c r="W59" s="532">
        <v>0</v>
      </c>
      <c r="X59" s="532">
        <v>0</v>
      </c>
      <c r="Y59" s="532">
        <v>3.5</v>
      </c>
      <c r="Z59" s="571"/>
      <c r="AA59" s="571"/>
      <c r="AB59" s="571"/>
      <c r="AC59" s="571"/>
      <c r="AD59" s="571"/>
      <c r="AE59" s="571"/>
      <c r="AF59" s="571"/>
      <c r="AG59" s="333" t="s">
        <v>1145</v>
      </c>
      <c r="AH59" s="333"/>
      <c r="AI59" s="528">
        <v>3</v>
      </c>
      <c r="AJ59" s="528">
        <v>3</v>
      </c>
      <c r="AK59" s="480">
        <v>0.5</v>
      </c>
      <c r="AL59" s="480">
        <v>0.5</v>
      </c>
      <c r="AM59" s="525"/>
      <c r="AN59" s="528">
        <v>0</v>
      </c>
      <c r="AO59" s="528">
        <v>7</v>
      </c>
      <c r="AP59" s="528">
        <v>0</v>
      </c>
      <c r="AQ59" s="528">
        <v>3</v>
      </c>
      <c r="AR59" s="528">
        <v>0</v>
      </c>
      <c r="AS59" s="528">
        <v>0</v>
      </c>
      <c r="AT59" s="528">
        <v>0</v>
      </c>
      <c r="AU59" s="528">
        <v>0</v>
      </c>
      <c r="AV59" s="528">
        <v>0</v>
      </c>
      <c r="AW59" s="528">
        <v>0</v>
      </c>
      <c r="AX59" s="528">
        <v>0</v>
      </c>
      <c r="AY59" s="528">
        <v>0</v>
      </c>
      <c r="AZ59" s="528"/>
      <c r="BA59" s="528" t="s">
        <v>1145</v>
      </c>
      <c r="BB59" s="297"/>
      <c r="BC59" s="528" t="s">
        <v>1145</v>
      </c>
      <c r="BD59" s="528"/>
      <c r="BE59" s="528"/>
      <c r="BF59" s="528"/>
      <c r="BG59" s="529"/>
      <c r="BH59" s="525"/>
      <c r="BI59" s="528"/>
      <c r="BJ59" s="528" t="s">
        <v>1146</v>
      </c>
      <c r="BK59" s="528">
        <v>1</v>
      </c>
      <c r="BL59" s="529"/>
      <c r="BM59" s="567"/>
      <c r="BN59" s="525"/>
    </row>
    <row r="60" spans="1:66" ht="13" customHeight="1" x14ac:dyDescent="0.2">
      <c r="A60" s="525">
        <v>2931</v>
      </c>
      <c r="B60" s="630">
        <v>45140</v>
      </c>
      <c r="C60" s="526" t="s">
        <v>1138</v>
      </c>
      <c r="D60" s="525" t="s">
        <v>1110</v>
      </c>
      <c r="E60" s="527">
        <v>45139</v>
      </c>
      <c r="F60" s="525" t="s">
        <v>1483</v>
      </c>
      <c r="G60" s="525" t="s">
        <v>1550</v>
      </c>
      <c r="H60" s="532">
        <v>104.99999999999999</v>
      </c>
      <c r="I60" s="531" t="s">
        <v>1141</v>
      </c>
      <c r="J60" s="485">
        <v>1645</v>
      </c>
      <c r="K60" s="485">
        <v>3000</v>
      </c>
      <c r="L60" s="485">
        <v>3000</v>
      </c>
      <c r="M60" s="485">
        <v>3000</v>
      </c>
      <c r="N60" s="332"/>
      <c r="O60" s="532">
        <v>3.5545454545454542</v>
      </c>
      <c r="P60" s="532">
        <v>3.3181818181818179</v>
      </c>
      <c r="Q60" s="532">
        <v>0</v>
      </c>
      <c r="R60" s="532">
        <v>0</v>
      </c>
      <c r="S60" s="532">
        <v>3.1818181818181817</v>
      </c>
      <c r="T60" s="571"/>
      <c r="U60" s="532">
        <v>3.5545454545454542</v>
      </c>
      <c r="V60" s="532">
        <v>3.3181818181818179</v>
      </c>
      <c r="W60" s="532">
        <v>0</v>
      </c>
      <c r="X60" s="532">
        <v>0</v>
      </c>
      <c r="Y60" s="532">
        <v>3.1818181818181817</v>
      </c>
      <c r="Z60" s="571"/>
      <c r="AA60" s="571"/>
      <c r="AB60" s="571"/>
      <c r="AC60" s="571"/>
      <c r="AD60" s="571"/>
      <c r="AE60" s="571"/>
      <c r="AF60" s="571"/>
      <c r="AG60" s="333" t="s">
        <v>1145</v>
      </c>
      <c r="AH60" s="333"/>
      <c r="AI60" s="528">
        <v>3</v>
      </c>
      <c r="AJ60" s="528">
        <v>3</v>
      </c>
      <c r="AK60" s="480">
        <v>0.5</v>
      </c>
      <c r="AL60" s="480">
        <v>0.5</v>
      </c>
      <c r="AM60" s="525"/>
      <c r="AN60" s="528">
        <v>0</v>
      </c>
      <c r="AO60" s="528">
        <v>0</v>
      </c>
      <c r="AP60" s="528">
        <v>0</v>
      </c>
      <c r="AQ60" s="528">
        <v>0</v>
      </c>
      <c r="AR60" s="528">
        <v>0</v>
      </c>
      <c r="AS60" s="528">
        <v>0</v>
      </c>
      <c r="AT60" s="528">
        <v>0</v>
      </c>
      <c r="AU60" s="528">
        <v>0</v>
      </c>
      <c r="AV60" s="528">
        <v>0</v>
      </c>
      <c r="AW60" s="528">
        <v>0</v>
      </c>
      <c r="AX60" s="528">
        <v>0</v>
      </c>
      <c r="AY60" s="528">
        <v>0</v>
      </c>
      <c r="AZ60" s="528"/>
      <c r="BA60" s="528" t="s">
        <v>1145</v>
      </c>
      <c r="BB60" s="297"/>
      <c r="BC60" s="528" t="s">
        <v>1145</v>
      </c>
      <c r="BD60" s="528"/>
      <c r="BE60" s="528"/>
      <c r="BF60" s="564"/>
      <c r="BG60" s="529"/>
      <c r="BH60" s="525"/>
      <c r="BI60" s="528"/>
      <c r="BJ60" s="528" t="s">
        <v>4</v>
      </c>
      <c r="BK60" s="528"/>
      <c r="BL60" s="529"/>
      <c r="BM60" s="569"/>
      <c r="BN60" s="525"/>
    </row>
    <row r="61" spans="1:66" ht="16" x14ac:dyDescent="0.2">
      <c r="A61" s="525">
        <v>3699</v>
      </c>
      <c r="B61" s="630">
        <v>45140</v>
      </c>
      <c r="C61" s="526" t="s">
        <v>1138</v>
      </c>
      <c r="D61" s="525" t="s">
        <v>1110</v>
      </c>
      <c r="E61" s="527">
        <v>45096</v>
      </c>
      <c r="F61" s="525" t="s">
        <v>1057</v>
      </c>
      <c r="G61" s="525" t="s">
        <v>1734</v>
      </c>
      <c r="H61" s="532">
        <v>97.1</v>
      </c>
      <c r="I61" s="531" t="s">
        <v>296</v>
      </c>
      <c r="J61" s="485">
        <v>1645</v>
      </c>
      <c r="K61" s="485">
        <v>3000</v>
      </c>
      <c r="L61" s="485">
        <v>3000</v>
      </c>
      <c r="M61" s="485">
        <v>3000</v>
      </c>
      <c r="N61" s="297"/>
      <c r="O61" s="532">
        <v>3.5999999999999996</v>
      </c>
      <c r="P61" s="532">
        <v>2.9999999999999996</v>
      </c>
      <c r="Q61" s="532">
        <v>0</v>
      </c>
      <c r="R61" s="532">
        <v>0</v>
      </c>
      <c r="S61" s="532">
        <v>2.5999999999999996</v>
      </c>
      <c r="T61" s="571"/>
      <c r="U61" s="532">
        <v>3.5999999999999996</v>
      </c>
      <c r="V61" s="532">
        <v>2.9999999999999996</v>
      </c>
      <c r="W61" s="532">
        <v>0</v>
      </c>
      <c r="X61" s="532">
        <v>0</v>
      </c>
      <c r="Y61" s="532">
        <v>2.5999999999999996</v>
      </c>
      <c r="Z61" s="297"/>
      <c r="AA61" s="297"/>
      <c r="AB61" s="297"/>
      <c r="AC61" s="297"/>
      <c r="AD61" s="297"/>
      <c r="AE61" s="297"/>
      <c r="AF61" s="297"/>
      <c r="AG61" s="333" t="s">
        <v>1145</v>
      </c>
      <c r="AH61" s="297"/>
      <c r="AI61" s="528">
        <v>3</v>
      </c>
      <c r="AJ61" s="528">
        <v>3</v>
      </c>
      <c r="AK61" s="480">
        <v>0.5</v>
      </c>
      <c r="AL61" s="480">
        <v>0.5</v>
      </c>
      <c r="AM61" s="525"/>
      <c r="AN61" s="528">
        <v>0</v>
      </c>
      <c r="AO61" s="528">
        <v>0</v>
      </c>
      <c r="AP61" s="528">
        <v>0</v>
      </c>
      <c r="AQ61" s="528">
        <v>0</v>
      </c>
      <c r="AR61" s="528">
        <v>0</v>
      </c>
      <c r="AS61" s="528">
        <v>0</v>
      </c>
      <c r="AT61" s="528">
        <v>0</v>
      </c>
      <c r="AU61" s="528">
        <v>0</v>
      </c>
      <c r="AV61" s="528">
        <v>0</v>
      </c>
      <c r="AW61" s="528">
        <v>0</v>
      </c>
      <c r="AX61" s="528">
        <v>0</v>
      </c>
      <c r="AY61" s="528">
        <v>0</v>
      </c>
      <c r="AZ61" s="528"/>
      <c r="BA61" s="528" t="s">
        <v>1145</v>
      </c>
      <c r="BB61" s="297"/>
      <c r="BC61" s="528" t="s">
        <v>1145</v>
      </c>
      <c r="BD61" s="528"/>
      <c r="BE61" s="528"/>
      <c r="BF61" s="528"/>
      <c r="BG61" s="529"/>
      <c r="BH61" s="525"/>
      <c r="BI61" s="528"/>
      <c r="BJ61" s="528" t="s">
        <v>1146</v>
      </c>
      <c r="BK61" s="528"/>
      <c r="BL61" s="529" t="s">
        <v>1735</v>
      </c>
      <c r="BM61" s="569"/>
      <c r="BN61" s="525"/>
    </row>
    <row r="62" spans="1:66" ht="13" customHeight="1" x14ac:dyDescent="0.2">
      <c r="A62" s="525">
        <v>3629</v>
      </c>
      <c r="B62" s="630">
        <v>45140</v>
      </c>
      <c r="C62" s="526" t="s">
        <v>1138</v>
      </c>
      <c r="D62" s="525" t="s">
        <v>1110</v>
      </c>
      <c r="E62" s="527">
        <v>45127</v>
      </c>
      <c r="F62" s="525" t="s">
        <v>1173</v>
      </c>
      <c r="G62" s="525" t="s">
        <v>1705</v>
      </c>
      <c r="H62" s="532">
        <v>70</v>
      </c>
      <c r="I62" s="531" t="s">
        <v>1141</v>
      </c>
      <c r="J62" s="632">
        <v>1645</v>
      </c>
      <c r="K62" s="633">
        <v>3000</v>
      </c>
      <c r="L62" s="633">
        <v>3000</v>
      </c>
      <c r="M62" s="633">
        <v>3000</v>
      </c>
      <c r="N62" s="332"/>
      <c r="O62" s="532">
        <v>2.9999999999999996</v>
      </c>
      <c r="P62" s="532">
        <v>2.8</v>
      </c>
      <c r="Q62" s="532">
        <v>0</v>
      </c>
      <c r="R62" s="532">
        <v>0</v>
      </c>
      <c r="S62" s="532">
        <v>2.2727272727272725</v>
      </c>
      <c r="T62" s="571"/>
      <c r="U62" s="532">
        <v>5.4</v>
      </c>
      <c r="V62" s="532">
        <v>0</v>
      </c>
      <c r="W62" s="532">
        <v>0</v>
      </c>
      <c r="X62" s="532">
        <v>0</v>
      </c>
      <c r="Y62" s="532">
        <v>4.7090909090909081</v>
      </c>
      <c r="Z62" s="571"/>
      <c r="AA62" s="571"/>
      <c r="AB62" s="571"/>
      <c r="AC62" s="571"/>
      <c r="AD62" s="571"/>
      <c r="AE62" s="571"/>
      <c r="AF62" s="571"/>
      <c r="AG62" s="333" t="s">
        <v>1145</v>
      </c>
      <c r="AH62" s="333"/>
      <c r="AI62" s="528">
        <v>3</v>
      </c>
      <c r="AJ62" s="528">
        <v>3</v>
      </c>
      <c r="AK62" s="480">
        <v>0.5</v>
      </c>
      <c r="AL62" s="480">
        <v>0.5</v>
      </c>
      <c r="AM62" s="525"/>
      <c r="AN62" s="528">
        <v>0</v>
      </c>
      <c r="AO62" s="528">
        <v>0</v>
      </c>
      <c r="AP62" s="528">
        <v>0</v>
      </c>
      <c r="AQ62" s="528">
        <v>0</v>
      </c>
      <c r="AR62" s="528">
        <v>0</v>
      </c>
      <c r="AS62" s="528">
        <v>0</v>
      </c>
      <c r="AT62" s="528">
        <v>0</v>
      </c>
      <c r="AU62" s="528">
        <v>0</v>
      </c>
      <c r="AV62" s="528">
        <v>0</v>
      </c>
      <c r="AW62" s="528">
        <v>0</v>
      </c>
      <c r="AX62" s="528">
        <v>0</v>
      </c>
      <c r="AY62" s="528">
        <v>0</v>
      </c>
      <c r="AZ62" s="528"/>
      <c r="BA62" s="528" t="s">
        <v>1145</v>
      </c>
      <c r="BB62" s="297"/>
      <c r="BC62" s="528" t="s">
        <v>1145</v>
      </c>
      <c r="BD62" s="528"/>
      <c r="BE62" s="528"/>
      <c r="BF62" s="564"/>
      <c r="BG62" s="529"/>
      <c r="BH62" s="525"/>
      <c r="BI62" s="528"/>
      <c r="BJ62" s="528" t="s">
        <v>4</v>
      </c>
      <c r="BK62" s="528"/>
      <c r="BL62" s="529"/>
      <c r="BM62" s="569"/>
      <c r="BN62" s="525"/>
    </row>
    <row r="63" spans="1:66" ht="13" customHeight="1" x14ac:dyDescent="0.2">
      <c r="A63" s="525" t="s">
        <v>1749</v>
      </c>
      <c r="B63" s="630">
        <v>45140</v>
      </c>
      <c r="C63" s="526" t="s">
        <v>295</v>
      </c>
      <c r="D63" s="525" t="s">
        <v>1110</v>
      </c>
      <c r="E63" s="527">
        <v>45108</v>
      </c>
      <c r="F63" s="529" t="s">
        <v>1750</v>
      </c>
      <c r="G63" s="525" t="s">
        <v>1751</v>
      </c>
      <c r="H63" s="532">
        <v>70.263636363636365</v>
      </c>
      <c r="I63" s="531" t="s">
        <v>1141</v>
      </c>
      <c r="J63" s="485">
        <v>1645</v>
      </c>
      <c r="K63" s="485">
        <v>3000</v>
      </c>
      <c r="L63" s="485">
        <v>3000</v>
      </c>
      <c r="M63" s="485">
        <v>3000</v>
      </c>
      <c r="N63" s="525"/>
      <c r="O63" s="532">
        <v>3.2090909090909085</v>
      </c>
      <c r="P63" s="532">
        <v>3.0545454545454542</v>
      </c>
      <c r="Q63" s="532">
        <v>0</v>
      </c>
      <c r="R63" s="532">
        <v>0</v>
      </c>
      <c r="S63" s="532">
        <v>2.0699999999999998</v>
      </c>
      <c r="T63" s="533"/>
      <c r="U63" s="532">
        <v>3.2090909090909085</v>
      </c>
      <c r="V63" s="532">
        <v>3.0545454545454542</v>
      </c>
      <c r="W63" s="532">
        <v>0</v>
      </c>
      <c r="X63" s="532">
        <v>0</v>
      </c>
      <c r="Y63" s="532">
        <v>2.0699999999999998</v>
      </c>
      <c r="Z63" s="533"/>
      <c r="AA63" s="533"/>
      <c r="AB63" s="533"/>
      <c r="AC63" s="533"/>
      <c r="AD63" s="533"/>
      <c r="AE63" s="533"/>
      <c r="AF63" s="533"/>
      <c r="AG63" s="528" t="s">
        <v>1145</v>
      </c>
      <c r="AH63" s="528"/>
      <c r="AI63" s="528">
        <v>3</v>
      </c>
      <c r="AJ63" s="528">
        <v>3</v>
      </c>
      <c r="AK63" s="480">
        <v>0.5</v>
      </c>
      <c r="AL63" s="480">
        <v>0.5</v>
      </c>
      <c r="AM63" s="525"/>
      <c r="AN63" s="528">
        <v>0</v>
      </c>
      <c r="AO63" s="528">
        <v>0</v>
      </c>
      <c r="AP63" s="528">
        <v>0</v>
      </c>
      <c r="AQ63" s="528">
        <v>0</v>
      </c>
      <c r="AR63" s="528">
        <v>0</v>
      </c>
      <c r="AS63" s="528">
        <v>0</v>
      </c>
      <c r="AT63" s="528">
        <v>0</v>
      </c>
      <c r="AU63" s="528">
        <v>0</v>
      </c>
      <c r="AV63" s="528">
        <v>0</v>
      </c>
      <c r="AW63" s="528">
        <v>0</v>
      </c>
      <c r="AX63" s="528">
        <v>0</v>
      </c>
      <c r="AY63" s="528">
        <v>0</v>
      </c>
      <c r="AZ63" s="528"/>
      <c r="BA63" s="528" t="s">
        <v>1145</v>
      </c>
      <c r="BB63" s="297"/>
      <c r="BC63" s="528" t="s">
        <v>1145</v>
      </c>
      <c r="BD63" s="528"/>
      <c r="BE63" s="528"/>
      <c r="BF63" s="528"/>
      <c r="BG63" s="597"/>
      <c r="BH63" s="598"/>
      <c r="BI63" s="566"/>
      <c r="BJ63" s="528" t="s">
        <v>1146</v>
      </c>
      <c r="BK63" s="528"/>
      <c r="BL63" s="529"/>
      <c r="BM63" s="567" t="s">
        <v>1770</v>
      </c>
      <c r="BN63" s="525"/>
    </row>
    <row r="64" spans="1:66" ht="13" customHeight="1" x14ac:dyDescent="0.2">
      <c r="A64" s="525" t="s">
        <v>1749</v>
      </c>
      <c r="B64" s="630">
        <v>45140</v>
      </c>
      <c r="C64" s="526" t="s">
        <v>1138</v>
      </c>
      <c r="D64" s="525" t="s">
        <v>1110</v>
      </c>
      <c r="E64" s="527">
        <v>44944</v>
      </c>
      <c r="F64" s="529" t="s">
        <v>34</v>
      </c>
      <c r="G64" s="525" t="s">
        <v>1656</v>
      </c>
      <c r="H64" s="532">
        <v>85.681818181818173</v>
      </c>
      <c r="I64" s="531"/>
      <c r="J64" s="459"/>
      <c r="K64" s="459"/>
      <c r="L64" s="459"/>
      <c r="M64" s="459"/>
      <c r="N64" s="525"/>
      <c r="O64" s="532">
        <v>3.1909090909090905</v>
      </c>
      <c r="P64" s="532">
        <v>0</v>
      </c>
      <c r="Q64" s="532">
        <v>0</v>
      </c>
      <c r="R64" s="532">
        <v>0</v>
      </c>
      <c r="S64" s="532">
        <v>0</v>
      </c>
      <c r="T64" s="533"/>
      <c r="U64" s="532">
        <v>3.1909090909090905</v>
      </c>
      <c r="V64" s="532">
        <v>0</v>
      </c>
      <c r="W64" s="532">
        <v>0</v>
      </c>
      <c r="X64" s="532">
        <v>0</v>
      </c>
      <c r="Y64" s="532">
        <v>0</v>
      </c>
      <c r="Z64" s="533"/>
      <c r="AA64" s="533"/>
      <c r="AB64" s="533"/>
      <c r="AC64" s="533"/>
      <c r="AD64" s="533"/>
      <c r="AE64" s="533"/>
      <c r="AF64" s="533"/>
      <c r="AG64" s="333" t="s">
        <v>1145</v>
      </c>
      <c r="AH64" s="333"/>
      <c r="AI64" s="528">
        <v>3</v>
      </c>
      <c r="AJ64" s="528">
        <v>3</v>
      </c>
      <c r="AK64" s="480">
        <v>0.5</v>
      </c>
      <c r="AL64" s="480">
        <v>0.5</v>
      </c>
      <c r="AM64" s="525"/>
      <c r="AN64" s="528">
        <v>0</v>
      </c>
      <c r="AO64" s="528">
        <v>0</v>
      </c>
      <c r="AP64" s="528">
        <v>0</v>
      </c>
      <c r="AQ64" s="528">
        <v>0</v>
      </c>
      <c r="AR64" s="528">
        <v>0</v>
      </c>
      <c r="AS64" s="528">
        <v>0</v>
      </c>
      <c r="AT64" s="528">
        <v>0</v>
      </c>
      <c r="AU64" s="528">
        <v>0</v>
      </c>
      <c r="AV64" s="528">
        <v>0</v>
      </c>
      <c r="AW64" s="528">
        <v>0</v>
      </c>
      <c r="AX64" s="528">
        <v>0</v>
      </c>
      <c r="AY64" s="528">
        <v>0</v>
      </c>
      <c r="AZ64" s="528"/>
      <c r="BA64" s="528" t="s">
        <v>1145</v>
      </c>
      <c r="BB64" s="528"/>
      <c r="BC64" s="528" t="s">
        <v>1145</v>
      </c>
      <c r="BD64" s="528"/>
      <c r="BE64" s="528"/>
      <c r="BF64" s="528"/>
      <c r="BG64" s="597"/>
      <c r="BH64" s="598"/>
      <c r="BI64" s="566"/>
      <c r="BJ64" s="528" t="s">
        <v>1146</v>
      </c>
      <c r="BK64" s="528"/>
      <c r="BL64" s="529"/>
      <c r="BM64" s="525" t="s">
        <v>1765</v>
      </c>
      <c r="BN64" s="525"/>
    </row>
    <row r="65" spans="1:66" ht="13" customHeight="1" x14ac:dyDescent="0.2">
      <c r="A65" s="525" t="s">
        <v>1749</v>
      </c>
      <c r="B65" s="630">
        <v>45140</v>
      </c>
      <c r="C65" s="526" t="s">
        <v>1138</v>
      </c>
      <c r="D65" s="525" t="s">
        <v>1110</v>
      </c>
      <c r="E65" s="527">
        <v>44944</v>
      </c>
      <c r="F65" s="529" t="s">
        <v>1766</v>
      </c>
      <c r="G65" s="525" t="s">
        <v>1767</v>
      </c>
      <c r="H65" s="532">
        <v>85.681818181818173</v>
      </c>
      <c r="I65" s="531"/>
      <c r="J65" s="459"/>
      <c r="K65" s="459"/>
      <c r="L65" s="459"/>
      <c r="M65" s="459"/>
      <c r="N65" s="525"/>
      <c r="O65" s="532">
        <v>3.1909090909090905</v>
      </c>
      <c r="P65" s="532">
        <v>0</v>
      </c>
      <c r="Q65" s="532">
        <v>0</v>
      </c>
      <c r="R65" s="532">
        <v>0</v>
      </c>
      <c r="S65" s="532">
        <v>0</v>
      </c>
      <c r="T65" s="533"/>
      <c r="U65" s="532">
        <v>3.1909090909090905</v>
      </c>
      <c r="V65" s="532">
        <v>0</v>
      </c>
      <c r="W65" s="532">
        <v>0</v>
      </c>
      <c r="X65" s="532">
        <v>0</v>
      </c>
      <c r="Y65" s="532">
        <v>0</v>
      </c>
      <c r="Z65" s="533"/>
      <c r="AA65" s="533"/>
      <c r="AB65" s="533"/>
      <c r="AC65" s="533"/>
      <c r="AD65" s="533"/>
      <c r="AE65" s="533"/>
      <c r="AF65" s="533"/>
      <c r="AG65" s="528" t="s">
        <v>1145</v>
      </c>
      <c r="AH65" s="528"/>
      <c r="AI65" s="528">
        <v>3</v>
      </c>
      <c r="AJ65" s="528">
        <v>3</v>
      </c>
      <c r="AK65" s="480">
        <v>0.5</v>
      </c>
      <c r="AL65" s="480">
        <v>0.5</v>
      </c>
      <c r="AM65" s="525"/>
      <c r="AN65" s="528">
        <v>0</v>
      </c>
      <c r="AO65" s="528">
        <v>0</v>
      </c>
      <c r="AP65" s="528">
        <v>0</v>
      </c>
      <c r="AQ65" s="528">
        <v>0</v>
      </c>
      <c r="AR65" s="528">
        <v>0</v>
      </c>
      <c r="AS65" s="528">
        <v>0</v>
      </c>
      <c r="AT65" s="528">
        <v>0</v>
      </c>
      <c r="AU65" s="528">
        <v>0</v>
      </c>
      <c r="AV65" s="528">
        <v>0</v>
      </c>
      <c r="AW65" s="528">
        <v>0</v>
      </c>
      <c r="AX65" s="528">
        <v>0</v>
      </c>
      <c r="AY65" s="528">
        <v>0</v>
      </c>
      <c r="AZ65" s="528"/>
      <c r="BA65" s="528" t="s">
        <v>1145</v>
      </c>
      <c r="BB65" s="528"/>
      <c r="BC65" s="528" t="s">
        <v>1145</v>
      </c>
      <c r="BD65" s="528"/>
      <c r="BE65" s="528"/>
      <c r="BF65" s="528"/>
      <c r="BG65" s="597"/>
      <c r="BH65" s="598"/>
      <c r="BI65" s="566"/>
      <c r="BJ65" s="528" t="s">
        <v>1146</v>
      </c>
      <c r="BK65" s="528"/>
      <c r="BL65" s="529" t="s">
        <v>1769</v>
      </c>
      <c r="BM65" s="525"/>
      <c r="BN65" s="525"/>
    </row>
    <row r="66" spans="1:66" ht="13" customHeight="1" x14ac:dyDescent="0.2">
      <c r="A66" s="525">
        <v>3151</v>
      </c>
      <c r="B66" s="630">
        <v>45140</v>
      </c>
      <c r="C66" s="526" t="s">
        <v>295</v>
      </c>
      <c r="D66" s="525" t="s">
        <v>1111</v>
      </c>
      <c r="E66" s="527">
        <v>45108</v>
      </c>
      <c r="F66" s="529" t="s">
        <v>1044</v>
      </c>
      <c r="G66" s="525" t="s">
        <v>1646</v>
      </c>
      <c r="H66" s="532">
        <v>76.490909090909085</v>
      </c>
      <c r="I66" s="531" t="s">
        <v>1141</v>
      </c>
      <c r="J66" s="485">
        <v>1645</v>
      </c>
      <c r="K66" s="485">
        <v>3000</v>
      </c>
      <c r="L66" s="485">
        <v>3000</v>
      </c>
      <c r="M66" s="485">
        <v>3000</v>
      </c>
      <c r="N66" s="525"/>
      <c r="O66" s="532">
        <v>3.4909090909090903</v>
      </c>
      <c r="P66" s="532">
        <v>3.3272727272727272</v>
      </c>
      <c r="Q66" s="532">
        <v>0</v>
      </c>
      <c r="R66" s="532">
        <v>0</v>
      </c>
      <c r="S66" s="532">
        <v>2.2636363636363637</v>
      </c>
      <c r="T66" s="533"/>
      <c r="U66" s="532">
        <v>3.4909090909090903</v>
      </c>
      <c r="V66" s="532">
        <v>3.3272727272727272</v>
      </c>
      <c r="W66" s="532">
        <v>0</v>
      </c>
      <c r="X66" s="532">
        <v>0</v>
      </c>
      <c r="Y66" s="532">
        <v>2.2636363636363637</v>
      </c>
      <c r="Z66" s="533"/>
      <c r="AA66" s="533"/>
      <c r="AB66" s="533"/>
      <c r="AC66" s="533"/>
      <c r="AD66" s="533"/>
      <c r="AE66" s="533"/>
      <c r="AF66" s="533"/>
      <c r="AG66" s="528" t="s">
        <v>1145</v>
      </c>
      <c r="AH66" s="528"/>
      <c r="AI66" s="528">
        <v>3</v>
      </c>
      <c r="AJ66" s="528">
        <v>3</v>
      </c>
      <c r="AK66" s="480">
        <v>0.5</v>
      </c>
      <c r="AL66" s="480">
        <v>0.5</v>
      </c>
      <c r="AM66" s="525"/>
      <c r="AN66" s="528">
        <v>0</v>
      </c>
      <c r="AO66" s="528">
        <v>0</v>
      </c>
      <c r="AP66" s="528">
        <v>0</v>
      </c>
      <c r="AQ66" s="528">
        <v>0</v>
      </c>
      <c r="AR66" s="528">
        <v>0</v>
      </c>
      <c r="AS66" s="528">
        <v>0</v>
      </c>
      <c r="AT66" s="528">
        <v>0</v>
      </c>
      <c r="AU66" s="528">
        <v>0</v>
      </c>
      <c r="AV66" s="528">
        <v>0</v>
      </c>
      <c r="AW66" s="528">
        <v>0</v>
      </c>
      <c r="AX66" s="528">
        <v>0</v>
      </c>
      <c r="AY66" s="528">
        <v>0</v>
      </c>
      <c r="AZ66" s="528"/>
      <c r="BA66" s="528" t="s">
        <v>1145</v>
      </c>
      <c r="BB66" s="297"/>
      <c r="BC66" s="528" t="s">
        <v>1145</v>
      </c>
      <c r="BD66" s="528"/>
      <c r="BE66" s="528"/>
      <c r="BF66" s="528"/>
      <c r="BG66" s="597"/>
      <c r="BH66" s="598"/>
      <c r="BI66" s="566"/>
      <c r="BJ66" s="528" t="s">
        <v>1146</v>
      </c>
      <c r="BK66" s="528"/>
      <c r="BL66" s="529" t="s">
        <v>1647</v>
      </c>
      <c r="BM66" s="567"/>
      <c r="BN66" s="525"/>
    </row>
    <row r="67" spans="1:66" ht="13" customHeight="1" x14ac:dyDescent="0.2">
      <c r="A67" s="525">
        <v>1039</v>
      </c>
      <c r="B67" s="630">
        <v>45140</v>
      </c>
      <c r="C67" s="526" t="s">
        <v>1138</v>
      </c>
      <c r="D67" s="525" t="s">
        <v>1111</v>
      </c>
      <c r="E67" s="527">
        <v>45108</v>
      </c>
      <c r="F67" s="529" t="s">
        <v>1148</v>
      </c>
      <c r="G67" s="525" t="s">
        <v>1280</v>
      </c>
      <c r="H67" s="532">
        <v>71.099999999999994</v>
      </c>
      <c r="I67" s="531" t="s">
        <v>1141</v>
      </c>
      <c r="J67" s="485">
        <v>1645</v>
      </c>
      <c r="K67" s="485">
        <v>3000</v>
      </c>
      <c r="L67" s="485">
        <v>3000</v>
      </c>
      <c r="M67" s="485">
        <v>3000</v>
      </c>
      <c r="N67" s="525"/>
      <c r="O67" s="532">
        <v>4.0909090909090908</v>
      </c>
      <c r="P67" s="532">
        <v>3.5727272727272728</v>
      </c>
      <c r="Q67" s="532">
        <v>0</v>
      </c>
      <c r="R67" s="532">
        <v>0</v>
      </c>
      <c r="S67" s="532">
        <v>2.7727272727272725</v>
      </c>
      <c r="T67" s="533"/>
      <c r="U67" s="532">
        <v>4.0909090909090908</v>
      </c>
      <c r="V67" s="532">
        <v>3.5727272727272728</v>
      </c>
      <c r="W67" s="532">
        <v>0</v>
      </c>
      <c r="X67" s="532">
        <v>0</v>
      </c>
      <c r="Y67" s="532">
        <v>2.7727272727272725</v>
      </c>
      <c r="Z67" s="533"/>
      <c r="AA67" s="533"/>
      <c r="AB67" s="533"/>
      <c r="AC67" s="533"/>
      <c r="AD67" s="533"/>
      <c r="AE67" s="533"/>
      <c r="AF67" s="533"/>
      <c r="AG67" s="528" t="s">
        <v>1145</v>
      </c>
      <c r="AH67" s="528"/>
      <c r="AI67" s="528">
        <v>3</v>
      </c>
      <c r="AJ67" s="528">
        <v>3</v>
      </c>
      <c r="AK67" s="480">
        <v>0.5</v>
      </c>
      <c r="AL67" s="480">
        <v>0.5</v>
      </c>
      <c r="AM67" s="525"/>
      <c r="AN67" s="528">
        <v>0</v>
      </c>
      <c r="AO67" s="528">
        <v>0</v>
      </c>
      <c r="AP67" s="528">
        <v>0</v>
      </c>
      <c r="AQ67" s="528">
        <v>0</v>
      </c>
      <c r="AR67" s="528">
        <v>0</v>
      </c>
      <c r="AS67" s="528">
        <v>0</v>
      </c>
      <c r="AT67" s="528">
        <v>0</v>
      </c>
      <c r="AU67" s="528">
        <v>0</v>
      </c>
      <c r="AV67" s="528">
        <v>0</v>
      </c>
      <c r="AW67" s="528">
        <v>0</v>
      </c>
      <c r="AX67" s="528">
        <v>0</v>
      </c>
      <c r="AY67" s="528">
        <v>0</v>
      </c>
      <c r="AZ67" s="528"/>
      <c r="BA67" s="528" t="s">
        <v>1145</v>
      </c>
      <c r="BB67" s="297"/>
      <c r="BC67" s="528" t="s">
        <v>1145</v>
      </c>
      <c r="BD67" s="528"/>
      <c r="BE67" s="528"/>
      <c r="BF67" s="528"/>
      <c r="BG67" s="529"/>
      <c r="BH67" s="525"/>
      <c r="BI67" s="528"/>
      <c r="BJ67" s="528" t="s">
        <v>4</v>
      </c>
      <c r="BK67" s="528"/>
      <c r="BL67" s="529"/>
      <c r="BM67" s="569"/>
      <c r="BN67" s="525"/>
    </row>
    <row r="68" spans="1:66" ht="13" customHeight="1" x14ac:dyDescent="0.2">
      <c r="A68" s="525">
        <v>2552</v>
      </c>
      <c r="B68" s="630">
        <v>45140</v>
      </c>
      <c r="C68" s="526" t="s">
        <v>1138</v>
      </c>
      <c r="D68" s="525" t="s">
        <v>1111</v>
      </c>
      <c r="E68" s="527">
        <v>45140</v>
      </c>
      <c r="F68" s="525" t="s">
        <v>1052</v>
      </c>
      <c r="G68" s="525" t="s">
        <v>1181</v>
      </c>
      <c r="H68" s="532">
        <v>71.572727272727278</v>
      </c>
      <c r="I68" s="531" t="s">
        <v>1141</v>
      </c>
      <c r="J68" s="485">
        <v>1645</v>
      </c>
      <c r="K68" s="485">
        <v>3000</v>
      </c>
      <c r="L68" s="485">
        <v>3000</v>
      </c>
      <c r="M68" s="485">
        <v>3000</v>
      </c>
      <c r="N68" s="332"/>
      <c r="O68" s="532">
        <v>3.545454545454545</v>
      </c>
      <c r="P68" s="532">
        <v>2.9363636363636361</v>
      </c>
      <c r="Q68" s="532">
        <v>0</v>
      </c>
      <c r="R68" s="532">
        <v>0</v>
      </c>
      <c r="S68" s="532">
        <v>2.5181818181818181</v>
      </c>
      <c r="T68" s="571"/>
      <c r="U68" s="532">
        <v>3.545454545454545</v>
      </c>
      <c r="V68" s="532">
        <v>2.9363636363636361</v>
      </c>
      <c r="W68" s="532">
        <v>0</v>
      </c>
      <c r="X68" s="532">
        <v>0</v>
      </c>
      <c r="Y68" s="532">
        <v>2.5181818181818181</v>
      </c>
      <c r="Z68" s="571"/>
      <c r="AA68" s="571"/>
      <c r="AB68" s="571"/>
      <c r="AC68" s="571"/>
      <c r="AD68" s="571"/>
      <c r="AE68" s="571"/>
      <c r="AF68" s="571"/>
      <c r="AG68" s="528" t="s">
        <v>1145</v>
      </c>
      <c r="AH68" s="528"/>
      <c r="AI68" s="528">
        <v>3</v>
      </c>
      <c r="AJ68" s="528">
        <v>3</v>
      </c>
      <c r="AK68" s="480">
        <v>0.5</v>
      </c>
      <c r="AL68" s="480">
        <v>0.5</v>
      </c>
      <c r="AM68" s="525"/>
      <c r="AN68" s="528">
        <v>0</v>
      </c>
      <c r="AO68" s="528">
        <v>0</v>
      </c>
      <c r="AP68" s="528">
        <v>0</v>
      </c>
      <c r="AQ68" s="528">
        <v>0</v>
      </c>
      <c r="AR68" s="528">
        <v>0</v>
      </c>
      <c r="AS68" s="528">
        <v>0</v>
      </c>
      <c r="AT68" s="528">
        <v>0</v>
      </c>
      <c r="AU68" s="528">
        <v>0</v>
      </c>
      <c r="AV68" s="528">
        <v>0</v>
      </c>
      <c r="AW68" s="528">
        <v>0</v>
      </c>
      <c r="AX68" s="528">
        <v>0</v>
      </c>
      <c r="AY68" s="528">
        <v>0</v>
      </c>
      <c r="AZ68" s="528"/>
      <c r="BA68" s="528" t="s">
        <v>1145</v>
      </c>
      <c r="BB68" s="297"/>
      <c r="BC68" s="528" t="s">
        <v>1145</v>
      </c>
      <c r="BD68" s="528"/>
      <c r="BE68" s="528"/>
      <c r="BF68" s="528"/>
      <c r="BG68" s="529"/>
      <c r="BH68" s="525"/>
      <c r="BI68" s="528"/>
      <c r="BJ68" s="528" t="s">
        <v>4</v>
      </c>
      <c r="BK68" s="528"/>
      <c r="BL68" s="529"/>
      <c r="BM68" s="567"/>
      <c r="BN68" s="525"/>
    </row>
    <row r="69" spans="1:66" ht="13" customHeight="1" x14ac:dyDescent="0.2">
      <c r="A69" s="525">
        <v>3523</v>
      </c>
      <c r="B69" s="630">
        <v>45140</v>
      </c>
      <c r="C69" s="526" t="s">
        <v>1138</v>
      </c>
      <c r="D69" s="525" t="s">
        <v>1111</v>
      </c>
      <c r="E69" s="527">
        <v>45063</v>
      </c>
      <c r="F69" s="529" t="s">
        <v>1156</v>
      </c>
      <c r="G69" s="525" t="s">
        <v>1649</v>
      </c>
      <c r="H69" s="532">
        <v>103.89090909090909</v>
      </c>
      <c r="I69" s="531" t="s">
        <v>1141</v>
      </c>
      <c r="J69" s="485">
        <v>1645</v>
      </c>
      <c r="K69" s="485">
        <v>3000</v>
      </c>
      <c r="L69" s="485">
        <v>3000</v>
      </c>
      <c r="M69" s="485">
        <v>3000</v>
      </c>
      <c r="N69" s="525"/>
      <c r="O69" s="532">
        <v>4.5272727272727273</v>
      </c>
      <c r="P69" s="532">
        <v>3.4272727272727268</v>
      </c>
      <c r="Q69" s="532">
        <v>0</v>
      </c>
      <c r="R69" s="532">
        <v>0</v>
      </c>
      <c r="S69" s="532">
        <v>2.8545454545454545</v>
      </c>
      <c r="T69" s="533"/>
      <c r="U69" s="532">
        <v>4.5272727272727273</v>
      </c>
      <c r="V69" s="532">
        <v>3.4272727272727268</v>
      </c>
      <c r="W69" s="532">
        <v>0</v>
      </c>
      <c r="X69" s="532">
        <v>0</v>
      </c>
      <c r="Y69" s="532">
        <v>2.8545454545454545</v>
      </c>
      <c r="Z69" s="533"/>
      <c r="AA69" s="533"/>
      <c r="AB69" s="533"/>
      <c r="AC69" s="533"/>
      <c r="AD69" s="533"/>
      <c r="AE69" s="533"/>
      <c r="AF69" s="533"/>
      <c r="AG69" s="528" t="s">
        <v>1145</v>
      </c>
      <c r="AH69" s="528"/>
      <c r="AI69" s="528">
        <v>3</v>
      </c>
      <c r="AJ69" s="528">
        <v>3</v>
      </c>
      <c r="AK69" s="480">
        <v>0.5</v>
      </c>
      <c r="AL69" s="480">
        <v>0.5</v>
      </c>
      <c r="AM69" s="525"/>
      <c r="AN69" s="528">
        <v>25</v>
      </c>
      <c r="AO69" s="528">
        <v>0</v>
      </c>
      <c r="AP69" s="528">
        <v>0</v>
      </c>
      <c r="AQ69" s="528">
        <v>0</v>
      </c>
      <c r="AR69" s="528">
        <v>0</v>
      </c>
      <c r="AS69" s="528">
        <v>0</v>
      </c>
      <c r="AT69" s="528">
        <v>0</v>
      </c>
      <c r="AU69" s="528">
        <v>0</v>
      </c>
      <c r="AV69" s="528">
        <v>0</v>
      </c>
      <c r="AW69" s="528">
        <v>0</v>
      </c>
      <c r="AX69" s="528">
        <v>0</v>
      </c>
      <c r="AY69" s="528">
        <v>0</v>
      </c>
      <c r="AZ69" s="566">
        <v>12</v>
      </c>
      <c r="BA69" s="528" t="s">
        <v>1145</v>
      </c>
      <c r="BB69" s="297"/>
      <c r="BC69" s="528" t="s">
        <v>1145</v>
      </c>
      <c r="BD69" s="528"/>
      <c r="BE69" s="528"/>
      <c r="BF69" s="528"/>
      <c r="BG69" s="529"/>
      <c r="BH69" s="525"/>
      <c r="BI69" s="528"/>
      <c r="BJ69" s="528" t="s">
        <v>1146</v>
      </c>
      <c r="BK69" s="528"/>
      <c r="BL69" s="529"/>
      <c r="BM69" s="569"/>
      <c r="BN69" s="525"/>
    </row>
    <row r="70" spans="1:66" ht="13" customHeight="1" x14ac:dyDescent="0.2">
      <c r="A70" s="525">
        <v>2869</v>
      </c>
      <c r="B70" s="630">
        <v>45140</v>
      </c>
      <c r="C70" s="526" t="s">
        <v>1138</v>
      </c>
      <c r="D70" s="525" t="s">
        <v>1111</v>
      </c>
      <c r="E70" s="527">
        <v>45092</v>
      </c>
      <c r="F70" s="529" t="s">
        <v>1159</v>
      </c>
      <c r="G70" s="525" t="s">
        <v>1105</v>
      </c>
      <c r="H70" s="532">
        <v>102.8</v>
      </c>
      <c r="I70" s="531" t="s">
        <v>1141</v>
      </c>
      <c r="J70" s="485">
        <v>1645</v>
      </c>
      <c r="K70" s="485">
        <v>3000</v>
      </c>
      <c r="L70" s="485">
        <v>3000</v>
      </c>
      <c r="M70" s="485">
        <v>3000</v>
      </c>
      <c r="N70" s="525"/>
      <c r="O70" s="532">
        <v>3.9818181818181815</v>
      </c>
      <c r="P70" s="532">
        <v>3.4545454545454541</v>
      </c>
      <c r="Q70" s="532">
        <v>0</v>
      </c>
      <c r="R70" s="532">
        <v>0</v>
      </c>
      <c r="S70" s="532">
        <v>2.5</v>
      </c>
      <c r="T70" s="533"/>
      <c r="U70" s="532">
        <v>3.9818181818181815</v>
      </c>
      <c r="V70" s="532">
        <v>3.4545454545454541</v>
      </c>
      <c r="W70" s="532">
        <v>0</v>
      </c>
      <c r="X70" s="532">
        <v>0</v>
      </c>
      <c r="Y70" s="532">
        <v>2.5</v>
      </c>
      <c r="Z70" s="533"/>
      <c r="AA70" s="533"/>
      <c r="AB70" s="533"/>
      <c r="AC70" s="533"/>
      <c r="AD70" s="533"/>
      <c r="AE70" s="533"/>
      <c r="AF70" s="533"/>
      <c r="AG70" s="528" t="s">
        <v>1278</v>
      </c>
      <c r="AH70" s="528"/>
      <c r="AI70" s="528">
        <v>3</v>
      </c>
      <c r="AJ70" s="528">
        <v>3</v>
      </c>
      <c r="AK70" s="480">
        <v>0.5</v>
      </c>
      <c r="AL70" s="480">
        <v>0.5</v>
      </c>
      <c r="AM70" s="525"/>
      <c r="AN70" s="528">
        <v>0</v>
      </c>
      <c r="AO70" s="528">
        <v>0</v>
      </c>
      <c r="AP70" s="528">
        <v>0</v>
      </c>
      <c r="AQ70" s="528">
        <v>0</v>
      </c>
      <c r="AR70" s="528">
        <v>0</v>
      </c>
      <c r="AS70" s="528">
        <v>0</v>
      </c>
      <c r="AT70" s="528">
        <v>0</v>
      </c>
      <c r="AU70" s="528">
        <v>0</v>
      </c>
      <c r="AV70" s="528">
        <v>0</v>
      </c>
      <c r="AW70" s="528">
        <v>0</v>
      </c>
      <c r="AX70" s="528">
        <v>0</v>
      </c>
      <c r="AY70" s="528">
        <v>0</v>
      </c>
      <c r="AZ70" s="528"/>
      <c r="BA70" s="528" t="s">
        <v>1145</v>
      </c>
      <c r="BB70" s="297"/>
      <c r="BC70" s="528" t="s">
        <v>1145</v>
      </c>
      <c r="BD70" s="528"/>
      <c r="BE70" s="528"/>
      <c r="BF70" s="564">
        <v>45535</v>
      </c>
      <c r="BG70" s="529"/>
      <c r="BH70" s="525"/>
      <c r="BI70" s="528"/>
      <c r="BJ70" s="528" t="s">
        <v>1146</v>
      </c>
      <c r="BK70" s="528"/>
      <c r="BL70" s="529"/>
      <c r="BM70" s="567"/>
      <c r="BN70" s="525"/>
    </row>
    <row r="71" spans="1:66" ht="13" customHeight="1" x14ac:dyDescent="0.2">
      <c r="A71" s="525">
        <v>3370</v>
      </c>
      <c r="B71" s="630">
        <v>45140</v>
      </c>
      <c r="C71" s="526" t="s">
        <v>1138</v>
      </c>
      <c r="D71" s="525" t="s">
        <v>1111</v>
      </c>
      <c r="E71" s="527">
        <v>45108</v>
      </c>
      <c r="F71" s="529" t="s">
        <v>1166</v>
      </c>
      <c r="G71" s="525" t="s">
        <v>1651</v>
      </c>
      <c r="H71" s="532">
        <v>72.5</v>
      </c>
      <c r="I71" s="531" t="s">
        <v>1141</v>
      </c>
      <c r="J71" s="568">
        <v>6000</v>
      </c>
      <c r="K71" s="568">
        <v>12000</v>
      </c>
      <c r="L71" s="568">
        <v>12000</v>
      </c>
      <c r="M71" s="568">
        <v>12000</v>
      </c>
      <c r="N71" s="525"/>
      <c r="O71" s="532">
        <v>2.9363636363636361</v>
      </c>
      <c r="P71" s="532">
        <v>2.8181818181818179</v>
      </c>
      <c r="Q71" s="532">
        <v>0</v>
      </c>
      <c r="R71" s="532">
        <v>0</v>
      </c>
      <c r="S71" s="532">
        <v>2.4454545454545453</v>
      </c>
      <c r="T71" s="533"/>
      <c r="U71" s="532">
        <v>2.9363636363636361</v>
      </c>
      <c r="V71" s="532">
        <v>2.8181818181818179</v>
      </c>
      <c r="W71" s="532">
        <v>0</v>
      </c>
      <c r="X71" s="532">
        <v>0</v>
      </c>
      <c r="Y71" s="532">
        <v>2.4454545454545453</v>
      </c>
      <c r="Z71" s="533"/>
      <c r="AA71" s="533"/>
      <c r="AB71" s="533"/>
      <c r="AC71" s="533"/>
      <c r="AD71" s="533"/>
      <c r="AE71" s="533"/>
      <c r="AF71" s="533"/>
      <c r="AG71" s="528" t="s">
        <v>1145</v>
      </c>
      <c r="AH71" s="528"/>
      <c r="AI71" s="528">
        <v>3</v>
      </c>
      <c r="AJ71" s="528">
        <v>3</v>
      </c>
      <c r="AK71" s="480">
        <v>0.5</v>
      </c>
      <c r="AL71" s="480">
        <v>0.5</v>
      </c>
      <c r="AM71" s="525"/>
      <c r="AN71" s="528">
        <v>0</v>
      </c>
      <c r="AO71" s="528">
        <v>0</v>
      </c>
      <c r="AP71" s="528">
        <v>0</v>
      </c>
      <c r="AQ71" s="528">
        <v>0</v>
      </c>
      <c r="AR71" s="528">
        <v>0</v>
      </c>
      <c r="AS71" s="528">
        <v>0</v>
      </c>
      <c r="AT71" s="528">
        <v>0</v>
      </c>
      <c r="AU71" s="528">
        <v>0</v>
      </c>
      <c r="AV71" s="528">
        <v>0</v>
      </c>
      <c r="AW71" s="528">
        <v>0</v>
      </c>
      <c r="AX71" s="528">
        <v>0</v>
      </c>
      <c r="AY71" s="528">
        <v>0</v>
      </c>
      <c r="AZ71" s="528"/>
      <c r="BA71" s="528" t="s">
        <v>1145</v>
      </c>
      <c r="BB71" s="297"/>
      <c r="BC71" s="528" t="s">
        <v>1145</v>
      </c>
      <c r="BD71" s="528"/>
      <c r="BE71" s="528"/>
      <c r="BF71" s="528"/>
      <c r="BG71" s="529"/>
      <c r="BH71" s="525"/>
      <c r="BI71" s="600"/>
      <c r="BJ71" s="528" t="s">
        <v>1146</v>
      </c>
      <c r="BK71" s="528"/>
      <c r="BL71" s="529"/>
      <c r="BM71" s="569"/>
      <c r="BN71" s="525"/>
    </row>
    <row r="72" spans="1:66" ht="13" customHeight="1" x14ac:dyDescent="0.2">
      <c r="A72" s="525">
        <v>2397</v>
      </c>
      <c r="B72" s="630">
        <v>45140</v>
      </c>
      <c r="C72" s="526" t="s">
        <v>1138</v>
      </c>
      <c r="D72" s="525" t="s">
        <v>1111</v>
      </c>
      <c r="E72" s="570">
        <v>45035</v>
      </c>
      <c r="F72" s="529" t="s">
        <v>1168</v>
      </c>
      <c r="G72" s="525" t="s">
        <v>1297</v>
      </c>
      <c r="H72" s="532">
        <v>75</v>
      </c>
      <c r="I72" s="531" t="s">
        <v>1141</v>
      </c>
      <c r="J72" s="485">
        <v>1645</v>
      </c>
      <c r="K72" s="485">
        <v>3000</v>
      </c>
      <c r="L72" s="485">
        <v>3000</v>
      </c>
      <c r="M72" s="485">
        <v>3000</v>
      </c>
      <c r="N72" s="525"/>
      <c r="O72" s="532">
        <v>3.6545454545454539</v>
      </c>
      <c r="P72" s="532">
        <v>3.0727272727272723</v>
      </c>
      <c r="Q72" s="532">
        <v>0</v>
      </c>
      <c r="R72" s="532">
        <v>0</v>
      </c>
      <c r="S72" s="532">
        <v>2.2636363636363637</v>
      </c>
      <c r="T72" s="533"/>
      <c r="U72" s="532">
        <v>3.6545454545454539</v>
      </c>
      <c r="V72" s="532">
        <v>3.0727272727272723</v>
      </c>
      <c r="W72" s="532">
        <v>0</v>
      </c>
      <c r="X72" s="532">
        <v>0</v>
      </c>
      <c r="Y72" s="532">
        <v>2.2636363636363637</v>
      </c>
      <c r="Z72" s="533"/>
      <c r="AA72" s="533"/>
      <c r="AB72" s="533"/>
      <c r="AC72" s="533"/>
      <c r="AD72" s="533"/>
      <c r="AE72" s="533"/>
      <c r="AF72" s="533"/>
      <c r="AG72" s="528" t="s">
        <v>1145</v>
      </c>
      <c r="AH72" s="528"/>
      <c r="AI72" s="528">
        <v>3</v>
      </c>
      <c r="AJ72" s="528">
        <v>3</v>
      </c>
      <c r="AK72" s="480">
        <v>0.5</v>
      </c>
      <c r="AL72" s="480">
        <v>0.5</v>
      </c>
      <c r="AM72" s="525"/>
      <c r="AN72" s="528">
        <v>0</v>
      </c>
      <c r="AO72" s="528">
        <v>0</v>
      </c>
      <c r="AP72" s="528">
        <v>0</v>
      </c>
      <c r="AQ72" s="528">
        <v>0</v>
      </c>
      <c r="AR72" s="528">
        <v>0</v>
      </c>
      <c r="AS72" s="528">
        <v>0</v>
      </c>
      <c r="AT72" s="528">
        <v>0</v>
      </c>
      <c r="AU72" s="528">
        <v>0</v>
      </c>
      <c r="AV72" s="528">
        <v>0</v>
      </c>
      <c r="AW72" s="528">
        <v>0</v>
      </c>
      <c r="AX72" s="528">
        <v>0</v>
      </c>
      <c r="AY72" s="528">
        <v>0</v>
      </c>
      <c r="AZ72" s="528"/>
      <c r="BA72" s="528" t="s">
        <v>1145</v>
      </c>
      <c r="BB72" s="297"/>
      <c r="BC72" s="528" t="s">
        <v>1145</v>
      </c>
      <c r="BD72" s="528"/>
      <c r="BE72" s="528"/>
      <c r="BF72" s="528"/>
      <c r="BG72" s="529"/>
      <c r="BH72" s="525"/>
      <c r="BI72" s="528"/>
      <c r="BJ72" s="528" t="s">
        <v>1146</v>
      </c>
      <c r="BK72" s="528"/>
      <c r="BL72" s="529"/>
      <c r="BM72" s="567"/>
      <c r="BN72" s="525"/>
    </row>
    <row r="73" spans="1:66" ht="13" customHeight="1" x14ac:dyDescent="0.2">
      <c r="A73" s="525">
        <v>264</v>
      </c>
      <c r="B73" s="630">
        <v>45140</v>
      </c>
      <c r="C73" s="526" t="s">
        <v>1138</v>
      </c>
      <c r="D73" s="525" t="s">
        <v>1111</v>
      </c>
      <c r="E73" s="527">
        <v>45108</v>
      </c>
      <c r="F73" s="529" t="s">
        <v>1169</v>
      </c>
      <c r="G73" s="525" t="s">
        <v>1758</v>
      </c>
      <c r="H73" s="532">
        <v>80.436363636363637</v>
      </c>
      <c r="I73" s="531" t="s">
        <v>1141</v>
      </c>
      <c r="J73" s="485">
        <v>1645</v>
      </c>
      <c r="K73" s="485">
        <v>3000</v>
      </c>
      <c r="L73" s="485">
        <v>3000</v>
      </c>
      <c r="M73" s="485">
        <v>3000</v>
      </c>
      <c r="N73" s="525"/>
      <c r="O73" s="532">
        <v>3.8818181818181809</v>
      </c>
      <c r="P73" s="532">
        <v>3.2636363636363632</v>
      </c>
      <c r="Q73" s="532">
        <v>0</v>
      </c>
      <c r="R73" s="532">
        <v>0</v>
      </c>
      <c r="S73" s="532">
        <v>2.7272727272727271</v>
      </c>
      <c r="T73" s="533"/>
      <c r="U73" s="532">
        <v>3.8818181818181809</v>
      </c>
      <c r="V73" s="532">
        <v>3.2636363636363632</v>
      </c>
      <c r="W73" s="532">
        <v>0</v>
      </c>
      <c r="X73" s="532">
        <v>0</v>
      </c>
      <c r="Y73" s="532">
        <v>2.7272727272727271</v>
      </c>
      <c r="Z73" s="533"/>
      <c r="AA73" s="533"/>
      <c r="AB73" s="533"/>
      <c r="AC73" s="533"/>
      <c r="AD73" s="533"/>
      <c r="AE73" s="533"/>
      <c r="AF73" s="533"/>
      <c r="AG73" s="528" t="s">
        <v>1145</v>
      </c>
      <c r="AH73" s="528"/>
      <c r="AI73" s="528">
        <v>3</v>
      </c>
      <c r="AJ73" s="528">
        <v>3</v>
      </c>
      <c r="AK73" s="480">
        <v>0.5</v>
      </c>
      <c r="AL73" s="480">
        <v>0.5</v>
      </c>
      <c r="AM73" s="525"/>
      <c r="AN73" s="528">
        <v>10</v>
      </c>
      <c r="AO73" s="528">
        <v>0</v>
      </c>
      <c r="AP73" s="528">
        <v>0</v>
      </c>
      <c r="AQ73" s="528">
        <v>0</v>
      </c>
      <c r="AR73" s="528">
        <v>0</v>
      </c>
      <c r="AS73" s="528">
        <v>0</v>
      </c>
      <c r="AT73" s="528">
        <v>0</v>
      </c>
      <c r="AU73" s="528">
        <v>0</v>
      </c>
      <c r="AV73" s="528">
        <v>0</v>
      </c>
      <c r="AW73" s="528">
        <v>0</v>
      </c>
      <c r="AX73" s="528">
        <v>0</v>
      </c>
      <c r="AY73" s="528">
        <v>0</v>
      </c>
      <c r="AZ73" s="528"/>
      <c r="BA73" s="528" t="s">
        <v>1145</v>
      </c>
      <c r="BB73" s="297"/>
      <c r="BC73" s="528" t="s">
        <v>1145</v>
      </c>
      <c r="BD73" s="528"/>
      <c r="BE73" s="528"/>
      <c r="BF73" s="528"/>
      <c r="BG73" s="379"/>
      <c r="BH73" s="525"/>
      <c r="BI73" s="528"/>
      <c r="BJ73" s="528" t="s">
        <v>1146</v>
      </c>
      <c r="BK73" s="528"/>
      <c r="BL73" s="529"/>
      <c r="BM73" s="567"/>
      <c r="BN73" s="525"/>
    </row>
    <row r="74" spans="1:66" ht="13" customHeight="1" x14ac:dyDescent="0.2">
      <c r="A74" s="525">
        <v>1685</v>
      </c>
      <c r="B74" s="630">
        <v>45140</v>
      </c>
      <c r="C74" s="526" t="s">
        <v>295</v>
      </c>
      <c r="D74" s="525" t="s">
        <v>1111</v>
      </c>
      <c r="E74" s="527">
        <v>45103</v>
      </c>
      <c r="F74" s="529" t="s">
        <v>1106</v>
      </c>
      <c r="G74" s="525" t="s">
        <v>2</v>
      </c>
      <c r="H74" s="532">
        <v>64</v>
      </c>
      <c r="I74" s="531" t="s">
        <v>1141</v>
      </c>
      <c r="J74" s="525">
        <v>3000</v>
      </c>
      <c r="K74" s="525">
        <v>3000</v>
      </c>
      <c r="L74" s="525">
        <v>3000</v>
      </c>
      <c r="M74" s="525">
        <v>3000</v>
      </c>
      <c r="N74" s="525"/>
      <c r="O74" s="532">
        <v>3.6818181818181812</v>
      </c>
      <c r="P74" s="532">
        <v>0</v>
      </c>
      <c r="Q74" s="532">
        <v>0</v>
      </c>
      <c r="R74" s="532">
        <v>0</v>
      </c>
      <c r="S74" s="532">
        <v>2.7818181818181817</v>
      </c>
      <c r="T74" s="533"/>
      <c r="U74" s="532">
        <v>3.6818181818181812</v>
      </c>
      <c r="V74" s="532">
        <v>0</v>
      </c>
      <c r="W74" s="532">
        <v>0</v>
      </c>
      <c r="X74" s="532">
        <v>0</v>
      </c>
      <c r="Y74" s="532">
        <v>2.7818181818181817</v>
      </c>
      <c r="Z74" s="533"/>
      <c r="AA74" s="533"/>
      <c r="AB74" s="533"/>
      <c r="AC74" s="533"/>
      <c r="AD74" s="533"/>
      <c r="AE74" s="533"/>
      <c r="AF74" s="533"/>
      <c r="AG74" s="528" t="s">
        <v>297</v>
      </c>
      <c r="AH74" s="528" t="s">
        <v>298</v>
      </c>
      <c r="AI74" s="333">
        <v>2</v>
      </c>
      <c r="AJ74" s="333">
        <v>4</v>
      </c>
      <c r="AK74" s="483">
        <v>0.33329999999999999</v>
      </c>
      <c r="AL74" s="483">
        <v>0.66659999999999997</v>
      </c>
      <c r="AM74" s="525" t="s">
        <v>1124</v>
      </c>
      <c r="AN74" s="528">
        <v>0</v>
      </c>
      <c r="AO74" s="528">
        <v>0</v>
      </c>
      <c r="AP74" s="528">
        <v>2</v>
      </c>
      <c r="AQ74" s="528">
        <v>0</v>
      </c>
      <c r="AR74" s="528">
        <v>0</v>
      </c>
      <c r="AS74" s="528">
        <v>0</v>
      </c>
      <c r="AT74" s="528">
        <v>0</v>
      </c>
      <c r="AU74" s="528">
        <v>0</v>
      </c>
      <c r="AV74" s="528">
        <v>0</v>
      </c>
      <c r="AW74" s="528">
        <v>0</v>
      </c>
      <c r="AX74" s="528">
        <v>0</v>
      </c>
      <c r="AY74" s="528">
        <v>0</v>
      </c>
      <c r="AZ74" s="528"/>
      <c r="BA74" s="528" t="s">
        <v>1145</v>
      </c>
      <c r="BB74" s="297"/>
      <c r="BC74" s="528" t="s">
        <v>1145</v>
      </c>
      <c r="BD74" s="528"/>
      <c r="BE74" s="528"/>
      <c r="BF74" s="529"/>
      <c r="BG74" s="529"/>
      <c r="BH74" s="525"/>
      <c r="BI74" s="528"/>
      <c r="BJ74" s="528" t="s">
        <v>1146</v>
      </c>
      <c r="BK74" s="528">
        <v>1</v>
      </c>
      <c r="BL74" s="525"/>
      <c r="BM74" s="567"/>
      <c r="BN74" s="525"/>
    </row>
    <row r="75" spans="1:66" ht="13" customHeight="1" x14ac:dyDescent="0.2">
      <c r="A75" s="525">
        <v>2740</v>
      </c>
      <c r="B75" s="630">
        <v>45140</v>
      </c>
      <c r="C75" s="526" t="s">
        <v>1138</v>
      </c>
      <c r="D75" s="525" t="s">
        <v>1111</v>
      </c>
      <c r="E75" s="527">
        <v>45108</v>
      </c>
      <c r="F75" s="525" t="s">
        <v>1274</v>
      </c>
      <c r="G75" s="525" t="s">
        <v>1467</v>
      </c>
      <c r="H75" s="532">
        <v>79</v>
      </c>
      <c r="I75" s="531" t="s">
        <v>1141</v>
      </c>
      <c r="J75" s="409">
        <v>1800</v>
      </c>
      <c r="K75" s="332">
        <v>4800</v>
      </c>
      <c r="L75" s="332">
        <v>4800</v>
      </c>
      <c r="M75" s="332">
        <v>4800</v>
      </c>
      <c r="N75" s="332"/>
      <c r="O75" s="532">
        <v>4.6999999999999993</v>
      </c>
      <c r="P75" s="532">
        <v>4.0999999999999996</v>
      </c>
      <c r="Q75" s="532">
        <v>0</v>
      </c>
      <c r="R75" s="532">
        <v>0</v>
      </c>
      <c r="S75" s="532">
        <v>3.5</v>
      </c>
      <c r="T75" s="571"/>
      <c r="U75" s="532">
        <v>4.6999999999999993</v>
      </c>
      <c r="V75" s="532">
        <v>4.0999999999999996</v>
      </c>
      <c r="W75" s="532">
        <v>0</v>
      </c>
      <c r="X75" s="532">
        <v>0</v>
      </c>
      <c r="Y75" s="532">
        <v>3.5</v>
      </c>
      <c r="Z75" s="571"/>
      <c r="AA75" s="571"/>
      <c r="AB75" s="571"/>
      <c r="AC75" s="571"/>
      <c r="AD75" s="571"/>
      <c r="AE75" s="571"/>
      <c r="AF75" s="571"/>
      <c r="AG75" s="333" t="s">
        <v>1145</v>
      </c>
      <c r="AH75" s="333"/>
      <c r="AI75" s="528">
        <v>3</v>
      </c>
      <c r="AJ75" s="528">
        <v>3</v>
      </c>
      <c r="AK75" s="480">
        <v>0.5</v>
      </c>
      <c r="AL75" s="480">
        <v>0.5</v>
      </c>
      <c r="AM75" s="525"/>
      <c r="AN75" s="528">
        <v>0</v>
      </c>
      <c r="AO75" s="528">
        <v>7</v>
      </c>
      <c r="AP75" s="528">
        <v>0</v>
      </c>
      <c r="AQ75" s="528">
        <v>3</v>
      </c>
      <c r="AR75" s="528">
        <v>0</v>
      </c>
      <c r="AS75" s="528">
        <v>0</v>
      </c>
      <c r="AT75" s="528">
        <v>0</v>
      </c>
      <c r="AU75" s="528">
        <v>0</v>
      </c>
      <c r="AV75" s="528">
        <v>0</v>
      </c>
      <c r="AW75" s="528">
        <v>0</v>
      </c>
      <c r="AX75" s="528">
        <v>0</v>
      </c>
      <c r="AY75" s="528">
        <v>0</v>
      </c>
      <c r="AZ75" s="528"/>
      <c r="BA75" s="528" t="s">
        <v>1145</v>
      </c>
      <c r="BB75" s="297"/>
      <c r="BC75" s="528" t="s">
        <v>1145</v>
      </c>
      <c r="BD75" s="528"/>
      <c r="BE75" s="528"/>
      <c r="BF75" s="528"/>
      <c r="BG75" s="529"/>
      <c r="BH75" s="525"/>
      <c r="BI75" s="528"/>
      <c r="BJ75" s="528" t="s">
        <v>1146</v>
      </c>
      <c r="BK75" s="528">
        <v>1</v>
      </c>
      <c r="BL75" s="529"/>
      <c r="BM75" s="567"/>
      <c r="BN75" s="525"/>
    </row>
    <row r="76" spans="1:66" ht="13" customHeight="1" x14ac:dyDescent="0.2">
      <c r="A76" s="525">
        <v>2931</v>
      </c>
      <c r="B76" s="630">
        <v>45140</v>
      </c>
      <c r="C76" s="526" t="s">
        <v>1138</v>
      </c>
      <c r="D76" s="525" t="s">
        <v>1111</v>
      </c>
      <c r="E76" s="527">
        <v>45139</v>
      </c>
      <c r="F76" s="525" t="s">
        <v>1483</v>
      </c>
      <c r="G76" s="525" t="s">
        <v>1550</v>
      </c>
      <c r="H76" s="532">
        <v>104.99999999999999</v>
      </c>
      <c r="I76" s="531" t="s">
        <v>1141</v>
      </c>
      <c r="J76" s="485">
        <v>1645</v>
      </c>
      <c r="K76" s="485">
        <v>3000</v>
      </c>
      <c r="L76" s="485">
        <v>3000</v>
      </c>
      <c r="M76" s="485">
        <v>3000</v>
      </c>
      <c r="N76" s="332"/>
      <c r="O76" s="532">
        <v>3.5545454545454542</v>
      </c>
      <c r="P76" s="532">
        <v>3.3181818181818179</v>
      </c>
      <c r="Q76" s="532">
        <v>0</v>
      </c>
      <c r="R76" s="532">
        <v>0</v>
      </c>
      <c r="S76" s="532">
        <v>3.1818181818181817</v>
      </c>
      <c r="T76" s="571"/>
      <c r="U76" s="532">
        <v>3.5545454545454542</v>
      </c>
      <c r="V76" s="532">
        <v>3.3181818181818179</v>
      </c>
      <c r="W76" s="532">
        <v>0</v>
      </c>
      <c r="X76" s="532">
        <v>0</v>
      </c>
      <c r="Y76" s="532">
        <v>3.1818181818181817</v>
      </c>
      <c r="Z76" s="571"/>
      <c r="AA76" s="571"/>
      <c r="AB76" s="571"/>
      <c r="AC76" s="571"/>
      <c r="AD76" s="571"/>
      <c r="AE76" s="571"/>
      <c r="AF76" s="571"/>
      <c r="AG76" s="333" t="s">
        <v>1145</v>
      </c>
      <c r="AH76" s="333"/>
      <c r="AI76" s="528">
        <v>3</v>
      </c>
      <c r="AJ76" s="528">
        <v>3</v>
      </c>
      <c r="AK76" s="480">
        <v>0.5</v>
      </c>
      <c r="AL76" s="480">
        <v>0.5</v>
      </c>
      <c r="AM76" s="525"/>
      <c r="AN76" s="528">
        <v>0</v>
      </c>
      <c r="AO76" s="528">
        <v>0</v>
      </c>
      <c r="AP76" s="528">
        <v>0</v>
      </c>
      <c r="AQ76" s="528">
        <v>0</v>
      </c>
      <c r="AR76" s="528">
        <v>0</v>
      </c>
      <c r="AS76" s="528">
        <v>0</v>
      </c>
      <c r="AT76" s="528">
        <v>0</v>
      </c>
      <c r="AU76" s="528">
        <v>0</v>
      </c>
      <c r="AV76" s="528">
        <v>0</v>
      </c>
      <c r="AW76" s="528">
        <v>0</v>
      </c>
      <c r="AX76" s="528">
        <v>0</v>
      </c>
      <c r="AY76" s="528">
        <v>0</v>
      </c>
      <c r="AZ76" s="528"/>
      <c r="BA76" s="528" t="s">
        <v>1145</v>
      </c>
      <c r="BB76" s="297"/>
      <c r="BC76" s="528" t="s">
        <v>1145</v>
      </c>
      <c r="BD76" s="528"/>
      <c r="BE76" s="528"/>
      <c r="BF76" s="564"/>
      <c r="BG76" s="529"/>
      <c r="BH76" s="525"/>
      <c r="BI76" s="528"/>
      <c r="BJ76" s="528" t="s">
        <v>4</v>
      </c>
      <c r="BK76" s="528"/>
      <c r="BL76" s="529"/>
      <c r="BM76" s="569"/>
      <c r="BN76" s="525"/>
    </row>
    <row r="77" spans="1:66" ht="16" x14ac:dyDescent="0.2">
      <c r="A77" s="525">
        <v>3698</v>
      </c>
      <c r="B77" s="630">
        <v>45140</v>
      </c>
      <c r="C77" s="526" t="s">
        <v>1138</v>
      </c>
      <c r="D77" s="525" t="s">
        <v>1111</v>
      </c>
      <c r="E77" s="527">
        <v>45096</v>
      </c>
      <c r="F77" s="525" t="s">
        <v>1057</v>
      </c>
      <c r="G77" s="525" t="s">
        <v>1734</v>
      </c>
      <c r="H77" s="532">
        <v>97.1</v>
      </c>
      <c r="I77" s="531" t="s">
        <v>296</v>
      </c>
      <c r="J77" s="485">
        <v>1645</v>
      </c>
      <c r="K77" s="485">
        <v>3000</v>
      </c>
      <c r="L77" s="485">
        <v>3000</v>
      </c>
      <c r="M77" s="485">
        <v>3000</v>
      </c>
      <c r="N77" s="297"/>
      <c r="O77" s="532">
        <v>3.5999999999999996</v>
      </c>
      <c r="P77" s="532">
        <v>2.9999999999999996</v>
      </c>
      <c r="Q77" s="532">
        <v>0</v>
      </c>
      <c r="R77" s="532">
        <v>0</v>
      </c>
      <c r="S77" s="532">
        <v>2.5999999999999996</v>
      </c>
      <c r="T77" s="571"/>
      <c r="U77" s="532">
        <v>3.5999999999999996</v>
      </c>
      <c r="V77" s="532">
        <v>2.9999999999999996</v>
      </c>
      <c r="W77" s="532">
        <v>0</v>
      </c>
      <c r="X77" s="532">
        <v>0</v>
      </c>
      <c r="Y77" s="532">
        <v>2.5999999999999996</v>
      </c>
      <c r="Z77" s="297"/>
      <c r="AA77" s="297"/>
      <c r="AB77" s="297"/>
      <c r="AC77" s="297"/>
      <c r="AD77" s="297"/>
      <c r="AE77" s="297"/>
      <c r="AF77" s="297"/>
      <c r="AG77" s="333" t="s">
        <v>1145</v>
      </c>
      <c r="AH77" s="297"/>
      <c r="AI77" s="528">
        <v>3</v>
      </c>
      <c r="AJ77" s="528">
        <v>3</v>
      </c>
      <c r="AK77" s="480">
        <v>0.5</v>
      </c>
      <c r="AL77" s="480">
        <v>0.5</v>
      </c>
      <c r="AM77" s="525"/>
      <c r="AN77" s="528">
        <v>0</v>
      </c>
      <c r="AO77" s="528">
        <v>0</v>
      </c>
      <c r="AP77" s="528">
        <v>0</v>
      </c>
      <c r="AQ77" s="528">
        <v>0</v>
      </c>
      <c r="AR77" s="528">
        <v>0</v>
      </c>
      <c r="AS77" s="528">
        <v>0</v>
      </c>
      <c r="AT77" s="528">
        <v>0</v>
      </c>
      <c r="AU77" s="528">
        <v>0</v>
      </c>
      <c r="AV77" s="528">
        <v>0</v>
      </c>
      <c r="AW77" s="528">
        <v>0</v>
      </c>
      <c r="AX77" s="528">
        <v>0</v>
      </c>
      <c r="AY77" s="528">
        <v>0</v>
      </c>
      <c r="AZ77" s="528"/>
      <c r="BA77" s="528" t="s">
        <v>1145</v>
      </c>
      <c r="BB77" s="297"/>
      <c r="BC77" s="528" t="s">
        <v>1145</v>
      </c>
      <c r="BD77" s="528"/>
      <c r="BE77" s="528"/>
      <c r="BF77" s="528"/>
      <c r="BG77" s="529"/>
      <c r="BH77" s="525"/>
      <c r="BI77" s="528"/>
      <c r="BJ77" s="528" t="s">
        <v>1146</v>
      </c>
      <c r="BK77" s="528"/>
      <c r="BL77" s="529" t="s">
        <v>1735</v>
      </c>
      <c r="BM77" s="569"/>
      <c r="BN77" s="525"/>
    </row>
    <row r="78" spans="1:66" ht="13" customHeight="1" x14ac:dyDescent="0.2">
      <c r="A78" s="525">
        <v>3628</v>
      </c>
      <c r="B78" s="630">
        <v>45140</v>
      </c>
      <c r="C78" s="526" t="s">
        <v>1138</v>
      </c>
      <c r="D78" s="525" t="s">
        <v>1111</v>
      </c>
      <c r="E78" s="527">
        <v>45127</v>
      </c>
      <c r="F78" s="525" t="s">
        <v>1173</v>
      </c>
      <c r="G78" s="525" t="s">
        <v>1705</v>
      </c>
      <c r="H78" s="532">
        <v>70</v>
      </c>
      <c r="I78" s="531" t="s">
        <v>1141</v>
      </c>
      <c r="J78" s="632">
        <v>1645</v>
      </c>
      <c r="K78" s="633">
        <v>3000</v>
      </c>
      <c r="L78" s="633">
        <v>3000</v>
      </c>
      <c r="M78" s="633">
        <v>3000</v>
      </c>
      <c r="N78" s="332"/>
      <c r="O78" s="532">
        <v>2.9999999999999996</v>
      </c>
      <c r="P78" s="532">
        <v>2.8</v>
      </c>
      <c r="Q78" s="532">
        <v>0</v>
      </c>
      <c r="R78" s="532">
        <v>0</v>
      </c>
      <c r="S78" s="532">
        <v>2.2727272727272725</v>
      </c>
      <c r="T78" s="571"/>
      <c r="U78" s="532">
        <v>5.4</v>
      </c>
      <c r="V78" s="532">
        <v>0</v>
      </c>
      <c r="W78" s="532">
        <v>0</v>
      </c>
      <c r="X78" s="532">
        <v>0</v>
      </c>
      <c r="Y78" s="532">
        <v>4.7090909090909081</v>
      </c>
      <c r="Z78" s="571"/>
      <c r="AA78" s="571"/>
      <c r="AB78" s="571"/>
      <c r="AC78" s="571"/>
      <c r="AD78" s="571"/>
      <c r="AE78" s="571"/>
      <c r="AF78" s="571"/>
      <c r="AG78" s="333" t="s">
        <v>1145</v>
      </c>
      <c r="AH78" s="333"/>
      <c r="AI78" s="528">
        <v>3</v>
      </c>
      <c r="AJ78" s="528">
        <v>3</v>
      </c>
      <c r="AK78" s="480">
        <v>0.5</v>
      </c>
      <c r="AL78" s="480">
        <v>0.5</v>
      </c>
      <c r="AM78" s="525"/>
      <c r="AN78" s="528">
        <v>0</v>
      </c>
      <c r="AO78" s="528">
        <v>0</v>
      </c>
      <c r="AP78" s="528">
        <v>0</v>
      </c>
      <c r="AQ78" s="528">
        <v>0</v>
      </c>
      <c r="AR78" s="528">
        <v>0</v>
      </c>
      <c r="AS78" s="528">
        <v>0</v>
      </c>
      <c r="AT78" s="528">
        <v>0</v>
      </c>
      <c r="AU78" s="528">
        <v>0</v>
      </c>
      <c r="AV78" s="528">
        <v>0</v>
      </c>
      <c r="AW78" s="528">
        <v>0</v>
      </c>
      <c r="AX78" s="528">
        <v>0</v>
      </c>
      <c r="AY78" s="528">
        <v>0</v>
      </c>
      <c r="AZ78" s="528"/>
      <c r="BA78" s="528" t="s">
        <v>1145</v>
      </c>
      <c r="BB78" s="297"/>
      <c r="BC78" s="528" t="s">
        <v>1145</v>
      </c>
      <c r="BD78" s="528"/>
      <c r="BE78" s="528"/>
      <c r="BF78" s="564"/>
      <c r="BG78" s="529"/>
      <c r="BH78" s="525"/>
      <c r="BI78" s="528"/>
      <c r="BJ78" s="528" t="s">
        <v>4</v>
      </c>
      <c r="BK78" s="528"/>
      <c r="BL78" s="529"/>
      <c r="BM78" s="569"/>
      <c r="BN78" s="525"/>
    </row>
    <row r="79" spans="1:66" ht="13" customHeight="1" x14ac:dyDescent="0.2">
      <c r="A79" s="525" t="s">
        <v>1749</v>
      </c>
      <c r="B79" s="630">
        <v>45140</v>
      </c>
      <c r="C79" s="526" t="s">
        <v>295</v>
      </c>
      <c r="D79" s="525" t="s">
        <v>1111</v>
      </c>
      <c r="E79" s="527">
        <v>45108</v>
      </c>
      <c r="F79" s="529" t="s">
        <v>1750</v>
      </c>
      <c r="G79" s="525" t="s">
        <v>1751</v>
      </c>
      <c r="H79" s="532">
        <v>70.263636363636365</v>
      </c>
      <c r="I79" s="531" t="s">
        <v>1141</v>
      </c>
      <c r="J79" s="485">
        <v>1645</v>
      </c>
      <c r="K79" s="485">
        <v>3000</v>
      </c>
      <c r="L79" s="485">
        <v>3000</v>
      </c>
      <c r="M79" s="485">
        <v>3000</v>
      </c>
      <c r="N79" s="525"/>
      <c r="O79" s="532">
        <v>3.2090909090909085</v>
      </c>
      <c r="P79" s="532">
        <v>3.0545454545454542</v>
      </c>
      <c r="Q79" s="532">
        <v>0</v>
      </c>
      <c r="R79" s="532">
        <v>0</v>
      </c>
      <c r="S79" s="532">
        <v>2.0699999999999998</v>
      </c>
      <c r="T79" s="533"/>
      <c r="U79" s="532">
        <v>3.2090909090909085</v>
      </c>
      <c r="V79" s="532">
        <v>3.0545454545454542</v>
      </c>
      <c r="W79" s="532">
        <v>0</v>
      </c>
      <c r="X79" s="532">
        <v>0</v>
      </c>
      <c r="Y79" s="532">
        <v>2.0699999999999998</v>
      </c>
      <c r="Z79" s="533"/>
      <c r="AA79" s="533"/>
      <c r="AB79" s="533"/>
      <c r="AC79" s="533"/>
      <c r="AD79" s="533"/>
      <c r="AE79" s="533"/>
      <c r="AF79" s="533"/>
      <c r="AG79" s="528" t="s">
        <v>1145</v>
      </c>
      <c r="AH79" s="528"/>
      <c r="AI79" s="528">
        <v>3</v>
      </c>
      <c r="AJ79" s="528">
        <v>3</v>
      </c>
      <c r="AK79" s="480">
        <v>0.5</v>
      </c>
      <c r="AL79" s="480">
        <v>0.5</v>
      </c>
      <c r="AM79" s="525"/>
      <c r="AN79" s="528">
        <v>0</v>
      </c>
      <c r="AO79" s="528">
        <v>0</v>
      </c>
      <c r="AP79" s="528">
        <v>0</v>
      </c>
      <c r="AQ79" s="528">
        <v>0</v>
      </c>
      <c r="AR79" s="528">
        <v>0</v>
      </c>
      <c r="AS79" s="528">
        <v>0</v>
      </c>
      <c r="AT79" s="528">
        <v>0</v>
      </c>
      <c r="AU79" s="528">
        <v>0</v>
      </c>
      <c r="AV79" s="528">
        <v>0</v>
      </c>
      <c r="AW79" s="528">
        <v>0</v>
      </c>
      <c r="AX79" s="528">
        <v>0</v>
      </c>
      <c r="AY79" s="528">
        <v>0</v>
      </c>
      <c r="AZ79" s="528"/>
      <c r="BA79" s="528" t="s">
        <v>1145</v>
      </c>
      <c r="BB79" s="297"/>
      <c r="BC79" s="528" t="s">
        <v>1145</v>
      </c>
      <c r="BD79" s="528"/>
      <c r="BE79" s="528"/>
      <c r="BF79" s="528"/>
      <c r="BG79" s="597"/>
      <c r="BH79" s="598"/>
      <c r="BI79" s="566"/>
      <c r="BJ79" s="528" t="s">
        <v>1146</v>
      </c>
      <c r="BK79" s="528"/>
      <c r="BL79" s="529"/>
      <c r="BM79" s="567" t="s">
        <v>1770</v>
      </c>
      <c r="BN79" s="525"/>
    </row>
    <row r="80" spans="1:66" ht="13" customHeight="1" x14ac:dyDescent="0.2">
      <c r="A80" s="525" t="s">
        <v>1749</v>
      </c>
      <c r="B80" s="630">
        <v>45140</v>
      </c>
      <c r="C80" s="526" t="s">
        <v>1138</v>
      </c>
      <c r="D80" s="525" t="s">
        <v>1111</v>
      </c>
      <c r="E80" s="527">
        <v>44944</v>
      </c>
      <c r="F80" s="529" t="s">
        <v>34</v>
      </c>
      <c r="G80" s="525" t="s">
        <v>1656</v>
      </c>
      <c r="H80" s="532">
        <v>85.681818181818173</v>
      </c>
      <c r="I80" s="531"/>
      <c r="J80" s="459"/>
      <c r="K80" s="459"/>
      <c r="L80" s="459"/>
      <c r="M80" s="459"/>
      <c r="N80" s="525"/>
      <c r="O80" s="532">
        <v>3.1909090909090905</v>
      </c>
      <c r="P80" s="532">
        <v>0</v>
      </c>
      <c r="Q80" s="532">
        <v>0</v>
      </c>
      <c r="R80" s="532">
        <v>0</v>
      </c>
      <c r="S80" s="532">
        <v>0</v>
      </c>
      <c r="T80" s="533"/>
      <c r="U80" s="532">
        <v>3.1909090909090905</v>
      </c>
      <c r="V80" s="532">
        <v>0</v>
      </c>
      <c r="W80" s="532">
        <v>0</v>
      </c>
      <c r="X80" s="532">
        <v>0</v>
      </c>
      <c r="Y80" s="532">
        <v>0</v>
      </c>
      <c r="Z80" s="533"/>
      <c r="AA80" s="533"/>
      <c r="AB80" s="533"/>
      <c r="AC80" s="533"/>
      <c r="AD80" s="533"/>
      <c r="AE80" s="533"/>
      <c r="AF80" s="533"/>
      <c r="AG80" s="333" t="s">
        <v>1145</v>
      </c>
      <c r="AH80" s="333"/>
      <c r="AI80" s="528">
        <v>3</v>
      </c>
      <c r="AJ80" s="528">
        <v>3</v>
      </c>
      <c r="AK80" s="480">
        <v>0.5</v>
      </c>
      <c r="AL80" s="480">
        <v>0.5</v>
      </c>
      <c r="AM80" s="525"/>
      <c r="AN80" s="528">
        <v>0</v>
      </c>
      <c r="AO80" s="528">
        <v>0</v>
      </c>
      <c r="AP80" s="528">
        <v>0</v>
      </c>
      <c r="AQ80" s="528">
        <v>0</v>
      </c>
      <c r="AR80" s="528">
        <v>0</v>
      </c>
      <c r="AS80" s="528">
        <v>0</v>
      </c>
      <c r="AT80" s="528">
        <v>0</v>
      </c>
      <c r="AU80" s="528">
        <v>0</v>
      </c>
      <c r="AV80" s="528">
        <v>0</v>
      </c>
      <c r="AW80" s="528">
        <v>0</v>
      </c>
      <c r="AX80" s="528">
        <v>0</v>
      </c>
      <c r="AY80" s="528">
        <v>0</v>
      </c>
      <c r="AZ80" s="528"/>
      <c r="BA80" s="528" t="s">
        <v>1145</v>
      </c>
      <c r="BB80" s="528"/>
      <c r="BC80" s="528" t="s">
        <v>1145</v>
      </c>
      <c r="BD80" s="528"/>
      <c r="BE80" s="528"/>
      <c r="BF80" s="528"/>
      <c r="BG80" s="597"/>
      <c r="BH80" s="598"/>
      <c r="BI80" s="566"/>
      <c r="BJ80" s="528" t="s">
        <v>1146</v>
      </c>
      <c r="BK80" s="528"/>
      <c r="BL80" s="529"/>
      <c r="BM80" s="525" t="s">
        <v>1765</v>
      </c>
      <c r="BN80" s="525"/>
    </row>
    <row r="81" spans="1:66" ht="13" customHeight="1" x14ac:dyDescent="0.2">
      <c r="A81" s="525" t="s">
        <v>1749</v>
      </c>
      <c r="B81" s="630">
        <v>45140</v>
      </c>
      <c r="C81" s="526" t="s">
        <v>1138</v>
      </c>
      <c r="D81" s="525" t="s">
        <v>1111</v>
      </c>
      <c r="E81" s="527">
        <v>44944</v>
      </c>
      <c r="F81" s="529" t="s">
        <v>1766</v>
      </c>
      <c r="G81" s="525" t="s">
        <v>1767</v>
      </c>
      <c r="H81" s="532">
        <v>85.681818181818173</v>
      </c>
      <c r="I81" s="531"/>
      <c r="J81" s="459"/>
      <c r="K81" s="459"/>
      <c r="L81" s="459"/>
      <c r="M81" s="459"/>
      <c r="N81" s="525"/>
      <c r="O81" s="532">
        <v>3.1909090909090905</v>
      </c>
      <c r="P81" s="532">
        <v>0</v>
      </c>
      <c r="Q81" s="532">
        <v>0</v>
      </c>
      <c r="R81" s="532">
        <v>0</v>
      </c>
      <c r="S81" s="532">
        <v>0</v>
      </c>
      <c r="T81" s="533"/>
      <c r="U81" s="532">
        <v>3.1909090909090905</v>
      </c>
      <c r="V81" s="532">
        <v>0</v>
      </c>
      <c r="W81" s="532">
        <v>0</v>
      </c>
      <c r="X81" s="532">
        <v>0</v>
      </c>
      <c r="Y81" s="532">
        <v>0</v>
      </c>
      <c r="Z81" s="533"/>
      <c r="AA81" s="533"/>
      <c r="AB81" s="533"/>
      <c r="AC81" s="533"/>
      <c r="AD81" s="533"/>
      <c r="AE81" s="533"/>
      <c r="AF81" s="533"/>
      <c r="AG81" s="528" t="s">
        <v>1145</v>
      </c>
      <c r="AH81" s="528"/>
      <c r="AI81" s="528">
        <v>3</v>
      </c>
      <c r="AJ81" s="528">
        <v>3</v>
      </c>
      <c r="AK81" s="480">
        <v>0.5</v>
      </c>
      <c r="AL81" s="480">
        <v>0.5</v>
      </c>
      <c r="AM81" s="525"/>
      <c r="AN81" s="528">
        <v>0</v>
      </c>
      <c r="AO81" s="528">
        <v>0</v>
      </c>
      <c r="AP81" s="528">
        <v>0</v>
      </c>
      <c r="AQ81" s="528">
        <v>0</v>
      </c>
      <c r="AR81" s="528">
        <v>0</v>
      </c>
      <c r="AS81" s="528">
        <v>0</v>
      </c>
      <c r="AT81" s="528">
        <v>0</v>
      </c>
      <c r="AU81" s="528">
        <v>0</v>
      </c>
      <c r="AV81" s="528">
        <v>0</v>
      </c>
      <c r="AW81" s="528">
        <v>0</v>
      </c>
      <c r="AX81" s="528">
        <v>0</v>
      </c>
      <c r="AY81" s="528">
        <v>0</v>
      </c>
      <c r="AZ81" s="528"/>
      <c r="BA81" s="528" t="s">
        <v>1145</v>
      </c>
      <c r="BB81" s="528"/>
      <c r="BC81" s="528" t="s">
        <v>1145</v>
      </c>
      <c r="BD81" s="528"/>
      <c r="BE81" s="528"/>
      <c r="BF81" s="528"/>
      <c r="BG81" s="597"/>
      <c r="BH81" s="598"/>
      <c r="BI81" s="566"/>
      <c r="BJ81" s="528" t="s">
        <v>1146</v>
      </c>
      <c r="BK81" s="528"/>
      <c r="BL81" s="529" t="s">
        <v>1769</v>
      </c>
      <c r="BM81" s="525"/>
      <c r="BN81" s="525"/>
    </row>
    <row r="82" spans="1:66" ht="13" customHeight="1" x14ac:dyDescent="0.2">
      <c r="A82" s="525">
        <v>3158</v>
      </c>
      <c r="B82" s="630">
        <v>45140</v>
      </c>
      <c r="C82" s="526" t="s">
        <v>1138</v>
      </c>
      <c r="D82" s="525" t="s">
        <v>1113</v>
      </c>
      <c r="E82" s="527">
        <v>45108</v>
      </c>
      <c r="F82" s="529" t="s">
        <v>1139</v>
      </c>
      <c r="G82" s="525" t="s">
        <v>1646</v>
      </c>
      <c r="H82" s="532">
        <v>92.654545454545442</v>
      </c>
      <c r="I82" s="531" t="s">
        <v>296</v>
      </c>
      <c r="J82" s="459">
        <v>6000</v>
      </c>
      <c r="K82" s="459">
        <v>12000</v>
      </c>
      <c r="L82" s="459">
        <v>84000</v>
      </c>
      <c r="M82" s="459">
        <v>84000</v>
      </c>
      <c r="N82" s="525"/>
      <c r="O82" s="532">
        <v>2.6909090909090905</v>
      </c>
      <c r="P82" s="532">
        <v>2.6090909090909089</v>
      </c>
      <c r="Q82" s="532">
        <v>1.9454545454545453</v>
      </c>
      <c r="R82" s="532">
        <v>0</v>
      </c>
      <c r="S82" s="532">
        <v>1.8272727272727269</v>
      </c>
      <c r="T82" s="533"/>
      <c r="U82" s="532">
        <v>2.4909090909090907</v>
      </c>
      <c r="V82" s="532">
        <v>2.0545454545454542</v>
      </c>
      <c r="W82" s="532">
        <v>1.7636363636363634</v>
      </c>
      <c r="X82" s="532">
        <v>0</v>
      </c>
      <c r="Y82" s="532">
        <v>1.6818181818181817</v>
      </c>
      <c r="Z82" s="533"/>
      <c r="AA82" s="533"/>
      <c r="AB82" s="533"/>
      <c r="AC82" s="533"/>
      <c r="AD82" s="533"/>
      <c r="AE82" s="533"/>
      <c r="AF82" s="533"/>
      <c r="AG82" s="528" t="s">
        <v>1143</v>
      </c>
      <c r="AH82" s="528" t="s">
        <v>1144</v>
      </c>
      <c r="AI82" s="333">
        <v>2</v>
      </c>
      <c r="AJ82" s="333">
        <v>4</v>
      </c>
      <c r="AK82" s="483">
        <v>0.33329999999999999</v>
      </c>
      <c r="AL82" s="483">
        <v>0.66659999999999997</v>
      </c>
      <c r="AM82" s="525" t="s">
        <v>1124</v>
      </c>
      <c r="AN82" s="528">
        <v>0</v>
      </c>
      <c r="AO82" s="528">
        <v>0</v>
      </c>
      <c r="AP82" s="528">
        <v>0</v>
      </c>
      <c r="AQ82" s="528">
        <v>0</v>
      </c>
      <c r="AR82" s="528">
        <v>0</v>
      </c>
      <c r="AS82" s="528">
        <v>0</v>
      </c>
      <c r="AT82" s="528">
        <v>0</v>
      </c>
      <c r="AU82" s="528">
        <v>0</v>
      </c>
      <c r="AV82" s="528">
        <v>0</v>
      </c>
      <c r="AW82" s="528">
        <v>0</v>
      </c>
      <c r="AX82" s="528">
        <v>0</v>
      </c>
      <c r="AY82" s="528">
        <v>0</v>
      </c>
      <c r="AZ82" s="528"/>
      <c r="BA82" s="528" t="s">
        <v>1145</v>
      </c>
      <c r="BB82" s="297"/>
      <c r="BC82" s="528" t="s">
        <v>1145</v>
      </c>
      <c r="BD82" s="528"/>
      <c r="BE82" s="528"/>
      <c r="BF82" s="528"/>
      <c r="BG82" s="597"/>
      <c r="BH82" s="598"/>
      <c r="BI82" s="566"/>
      <c r="BJ82" s="528" t="s">
        <v>1146</v>
      </c>
      <c r="BK82" s="528"/>
      <c r="BL82" s="529" t="s">
        <v>1647</v>
      </c>
      <c r="BM82" s="567"/>
      <c r="BN82" s="525"/>
    </row>
    <row r="83" spans="1:66" ht="13" customHeight="1" x14ac:dyDescent="0.2">
      <c r="A83" s="525">
        <v>1046</v>
      </c>
      <c r="B83" s="630">
        <v>45140</v>
      </c>
      <c r="C83" s="526" t="s">
        <v>1138</v>
      </c>
      <c r="D83" s="525" t="s">
        <v>1113</v>
      </c>
      <c r="E83" s="527">
        <v>45108</v>
      </c>
      <c r="F83" s="529" t="s">
        <v>1148</v>
      </c>
      <c r="G83" s="525" t="s">
        <v>1280</v>
      </c>
      <c r="H83" s="532">
        <v>82.936363636363637</v>
      </c>
      <c r="I83" s="531" t="s">
        <v>296</v>
      </c>
      <c r="J83" s="459">
        <v>6000</v>
      </c>
      <c r="K83" s="459">
        <v>6000</v>
      </c>
      <c r="L83" s="459">
        <v>6000</v>
      </c>
      <c r="M83" s="459">
        <v>6000</v>
      </c>
      <c r="N83" s="525"/>
      <c r="O83" s="532">
        <v>3.3090909090909091</v>
      </c>
      <c r="P83" s="532">
        <v>0</v>
      </c>
      <c r="Q83" s="532">
        <v>0</v>
      </c>
      <c r="R83" s="532">
        <v>0</v>
      </c>
      <c r="S83" s="532">
        <v>3.0181818181818176</v>
      </c>
      <c r="T83" s="533"/>
      <c r="U83" s="532">
        <v>2.8909090909090907</v>
      </c>
      <c r="V83" s="532">
        <v>0</v>
      </c>
      <c r="W83" s="532">
        <v>0</v>
      </c>
      <c r="X83" s="532">
        <v>0</v>
      </c>
      <c r="Y83" s="532">
        <v>2.336363636363636</v>
      </c>
      <c r="Z83" s="533"/>
      <c r="AA83" s="533"/>
      <c r="AB83" s="533"/>
      <c r="AC83" s="533"/>
      <c r="AD83" s="533"/>
      <c r="AE83" s="533"/>
      <c r="AF83" s="533"/>
      <c r="AG83" s="528" t="s">
        <v>1143</v>
      </c>
      <c r="AH83" s="528" t="s">
        <v>1144</v>
      </c>
      <c r="AI83" s="333">
        <v>2</v>
      </c>
      <c r="AJ83" s="333">
        <v>4</v>
      </c>
      <c r="AK83" s="483">
        <v>0.33329999999999999</v>
      </c>
      <c r="AL83" s="483">
        <v>0.66659999999999997</v>
      </c>
      <c r="AM83" s="525" t="s">
        <v>1124</v>
      </c>
      <c r="AN83" s="528">
        <v>0</v>
      </c>
      <c r="AO83" s="528">
        <v>0</v>
      </c>
      <c r="AP83" s="528">
        <v>0</v>
      </c>
      <c r="AQ83" s="528">
        <v>0</v>
      </c>
      <c r="AR83" s="528">
        <v>0</v>
      </c>
      <c r="AS83" s="528">
        <v>0</v>
      </c>
      <c r="AT83" s="528">
        <v>0</v>
      </c>
      <c r="AU83" s="528">
        <v>0</v>
      </c>
      <c r="AV83" s="528">
        <v>0</v>
      </c>
      <c r="AW83" s="528">
        <v>0</v>
      </c>
      <c r="AX83" s="528">
        <v>0</v>
      </c>
      <c r="AY83" s="528">
        <v>0</v>
      </c>
      <c r="AZ83" s="528"/>
      <c r="BA83" s="528" t="s">
        <v>1145</v>
      </c>
      <c r="BB83" s="297"/>
      <c r="BC83" s="528" t="s">
        <v>1145</v>
      </c>
      <c r="BD83" s="528"/>
      <c r="BE83" s="528"/>
      <c r="BF83" s="528"/>
      <c r="BG83" s="529"/>
      <c r="BH83" s="525"/>
      <c r="BI83" s="528"/>
      <c r="BJ83" s="528" t="s">
        <v>4</v>
      </c>
      <c r="BK83" s="528"/>
      <c r="BL83" s="529"/>
      <c r="BM83" s="569"/>
      <c r="BN83" s="525"/>
    </row>
    <row r="84" spans="1:66" ht="13" customHeight="1" x14ac:dyDescent="0.2">
      <c r="A84" s="525">
        <v>3525</v>
      </c>
      <c r="B84" s="630">
        <v>45140</v>
      </c>
      <c r="C84" s="526" t="s">
        <v>1138</v>
      </c>
      <c r="D84" s="525" t="s">
        <v>1113</v>
      </c>
      <c r="E84" s="527">
        <v>45063</v>
      </c>
      <c r="F84" s="529" t="s">
        <v>1156</v>
      </c>
      <c r="G84" s="525" t="s">
        <v>1649</v>
      </c>
      <c r="H84" s="532">
        <v>123.79090909090907</v>
      </c>
      <c r="I84" s="531" t="s">
        <v>296</v>
      </c>
      <c r="J84" s="459">
        <v>6000</v>
      </c>
      <c r="K84" s="459">
        <v>12000</v>
      </c>
      <c r="L84" s="459">
        <v>84000</v>
      </c>
      <c r="M84" s="459">
        <v>84000</v>
      </c>
      <c r="N84" s="525"/>
      <c r="O84" s="532">
        <v>3.3545454545454541</v>
      </c>
      <c r="P84" s="532">
        <v>3.0727272727272723</v>
      </c>
      <c r="Q84" s="532">
        <v>2.709090909090909</v>
      </c>
      <c r="R84" s="532">
        <v>0</v>
      </c>
      <c r="S84" s="532">
        <v>2.4272727272727268</v>
      </c>
      <c r="T84" s="533"/>
      <c r="U84" s="532">
        <v>2.7636363636363632</v>
      </c>
      <c r="V84" s="532">
        <v>2.7363636363636359</v>
      </c>
      <c r="W84" s="532">
        <v>2.6181818181818177</v>
      </c>
      <c r="X84" s="532">
        <v>0</v>
      </c>
      <c r="Y84" s="532">
        <v>2.3272727272727272</v>
      </c>
      <c r="Z84" s="533"/>
      <c r="AA84" s="533"/>
      <c r="AB84" s="533"/>
      <c r="AC84" s="533"/>
      <c r="AD84" s="533"/>
      <c r="AE84" s="533"/>
      <c r="AF84" s="533"/>
      <c r="AG84" s="528" t="s">
        <v>1143</v>
      </c>
      <c r="AH84" s="528" t="s">
        <v>1144</v>
      </c>
      <c r="AI84" s="333">
        <v>2</v>
      </c>
      <c r="AJ84" s="333">
        <v>4</v>
      </c>
      <c r="AK84" s="483">
        <v>0.33329999999999999</v>
      </c>
      <c r="AL84" s="483">
        <v>0.66659999999999997</v>
      </c>
      <c r="AM84" s="525" t="s">
        <v>1124</v>
      </c>
      <c r="AN84" s="528">
        <v>25</v>
      </c>
      <c r="AO84" s="528">
        <v>0</v>
      </c>
      <c r="AP84" s="528">
        <v>0</v>
      </c>
      <c r="AQ84" s="528">
        <v>0</v>
      </c>
      <c r="AR84" s="528">
        <v>0</v>
      </c>
      <c r="AS84" s="528">
        <v>0</v>
      </c>
      <c r="AT84" s="528">
        <v>0</v>
      </c>
      <c r="AU84" s="528">
        <v>0</v>
      </c>
      <c r="AV84" s="528">
        <v>0</v>
      </c>
      <c r="AW84" s="528">
        <v>0</v>
      </c>
      <c r="AX84" s="528">
        <v>0</v>
      </c>
      <c r="AY84" s="528">
        <v>0</v>
      </c>
      <c r="AZ84" s="566">
        <v>12</v>
      </c>
      <c r="BA84" s="528" t="s">
        <v>1145</v>
      </c>
      <c r="BB84" s="297"/>
      <c r="BC84" s="528" t="s">
        <v>1145</v>
      </c>
      <c r="BD84" s="528"/>
      <c r="BE84" s="528"/>
      <c r="BF84" s="528"/>
      <c r="BG84" s="529"/>
      <c r="BH84" s="525"/>
      <c r="BI84" s="528"/>
      <c r="BJ84" s="528" t="s">
        <v>1146</v>
      </c>
      <c r="BK84" s="528"/>
      <c r="BL84" s="529"/>
      <c r="BM84" s="525"/>
      <c r="BN84" s="525"/>
    </row>
    <row r="85" spans="1:66" ht="13" customHeight="1" x14ac:dyDescent="0.2">
      <c r="A85" s="525">
        <v>2876</v>
      </c>
      <c r="B85" s="630">
        <v>45140</v>
      </c>
      <c r="C85" s="526" t="s">
        <v>1138</v>
      </c>
      <c r="D85" s="525" t="s">
        <v>1113</v>
      </c>
      <c r="E85" s="527">
        <v>45092</v>
      </c>
      <c r="F85" s="529" t="s">
        <v>1159</v>
      </c>
      <c r="G85" s="525" t="s">
        <v>1105</v>
      </c>
      <c r="H85" s="532">
        <v>109.88181818181818</v>
      </c>
      <c r="I85" s="531" t="s">
        <v>296</v>
      </c>
      <c r="J85" s="459">
        <v>6000</v>
      </c>
      <c r="K85" s="459">
        <v>12000</v>
      </c>
      <c r="L85" s="459">
        <v>84000</v>
      </c>
      <c r="M85" s="459">
        <v>84000</v>
      </c>
      <c r="N85" s="525"/>
      <c r="O85" s="532">
        <v>3.5818181818181816</v>
      </c>
      <c r="P85" s="532">
        <v>3.4545454545454541</v>
      </c>
      <c r="Q85" s="532">
        <v>2.3818181818181818</v>
      </c>
      <c r="R85" s="532">
        <v>0</v>
      </c>
      <c r="S85" s="532">
        <v>2.3727272727272726</v>
      </c>
      <c r="T85" s="533"/>
      <c r="U85" s="532">
        <v>2.9818181818181815</v>
      </c>
      <c r="V85" s="532">
        <v>2.3818181818181818</v>
      </c>
      <c r="W85" s="532">
        <v>2.3545454545454541</v>
      </c>
      <c r="X85" s="532">
        <v>0</v>
      </c>
      <c r="Y85" s="532">
        <v>2.336363636363636</v>
      </c>
      <c r="Z85" s="533"/>
      <c r="AA85" s="533"/>
      <c r="AB85" s="533"/>
      <c r="AC85" s="533"/>
      <c r="AD85" s="533"/>
      <c r="AE85" s="533"/>
      <c r="AF85" s="533"/>
      <c r="AG85" s="528" t="s">
        <v>1143</v>
      </c>
      <c r="AH85" s="528" t="s">
        <v>1144</v>
      </c>
      <c r="AI85" s="333">
        <v>2</v>
      </c>
      <c r="AJ85" s="333">
        <v>4</v>
      </c>
      <c r="AK85" s="483">
        <v>0.33329999999999999</v>
      </c>
      <c r="AL85" s="483">
        <v>0.66659999999999997</v>
      </c>
      <c r="AM85" s="525" t="s">
        <v>1124</v>
      </c>
      <c r="AN85" s="528">
        <v>0</v>
      </c>
      <c r="AO85" s="528">
        <v>0</v>
      </c>
      <c r="AP85" s="528">
        <v>0</v>
      </c>
      <c r="AQ85" s="528">
        <v>0</v>
      </c>
      <c r="AR85" s="528">
        <v>0</v>
      </c>
      <c r="AS85" s="528">
        <v>0</v>
      </c>
      <c r="AT85" s="528">
        <v>0</v>
      </c>
      <c r="AU85" s="528">
        <v>0</v>
      </c>
      <c r="AV85" s="528">
        <v>0</v>
      </c>
      <c r="AW85" s="528">
        <v>0</v>
      </c>
      <c r="AX85" s="528">
        <v>0</v>
      </c>
      <c r="AY85" s="528">
        <v>0</v>
      </c>
      <c r="AZ85" s="528"/>
      <c r="BA85" s="528" t="s">
        <v>1145</v>
      </c>
      <c r="BB85" s="297"/>
      <c r="BC85" s="528" t="s">
        <v>1145</v>
      </c>
      <c r="BD85" s="528"/>
      <c r="BE85" s="528"/>
      <c r="BF85" s="564">
        <v>45535</v>
      </c>
      <c r="BG85" s="529"/>
      <c r="BH85" s="525"/>
      <c r="BI85" s="528"/>
      <c r="BJ85" s="528" t="s">
        <v>1146</v>
      </c>
      <c r="BK85" s="528"/>
      <c r="BL85" s="529"/>
      <c r="BM85" s="529" t="s">
        <v>1756</v>
      </c>
      <c r="BN85" s="525"/>
    </row>
    <row r="86" spans="1:66" ht="13" customHeight="1" x14ac:dyDescent="0.2">
      <c r="A86" s="525">
        <v>3371</v>
      </c>
      <c r="B86" s="630">
        <v>45140</v>
      </c>
      <c r="C86" s="526" t="s">
        <v>1138</v>
      </c>
      <c r="D86" s="525" t="s">
        <v>1113</v>
      </c>
      <c r="E86" s="527">
        <v>45108</v>
      </c>
      <c r="F86" s="529" t="s">
        <v>1166</v>
      </c>
      <c r="G86" s="525" t="s">
        <v>1651</v>
      </c>
      <c r="H86" s="532">
        <v>89.390909090909076</v>
      </c>
      <c r="I86" s="531"/>
      <c r="J86" s="568"/>
      <c r="K86" s="568"/>
      <c r="L86" s="568"/>
      <c r="M86" s="525"/>
      <c r="N86" s="525"/>
      <c r="O86" s="532">
        <v>2.5909090909090908</v>
      </c>
      <c r="P86" s="532">
        <v>0</v>
      </c>
      <c r="Q86" s="532">
        <v>0</v>
      </c>
      <c r="R86" s="532">
        <v>0</v>
      </c>
      <c r="S86" s="532">
        <v>0</v>
      </c>
      <c r="T86" s="533"/>
      <c r="U86" s="532">
        <v>2.5909090909090908</v>
      </c>
      <c r="V86" s="532">
        <v>0</v>
      </c>
      <c r="W86" s="532">
        <v>0</v>
      </c>
      <c r="X86" s="532">
        <v>0</v>
      </c>
      <c r="Y86" s="532">
        <v>0</v>
      </c>
      <c r="Z86" s="533"/>
      <c r="AA86" s="533"/>
      <c r="AB86" s="533"/>
      <c r="AC86" s="533"/>
      <c r="AD86" s="533"/>
      <c r="AE86" s="533"/>
      <c r="AF86" s="533"/>
      <c r="AG86" s="528" t="s">
        <v>1145</v>
      </c>
      <c r="AH86" s="528"/>
      <c r="AI86" s="528">
        <v>3</v>
      </c>
      <c r="AJ86" s="528">
        <v>3</v>
      </c>
      <c r="AK86" s="480">
        <v>0.5</v>
      </c>
      <c r="AL86" s="480">
        <v>0.5</v>
      </c>
      <c r="AM86" s="525"/>
      <c r="AN86" s="528">
        <v>0</v>
      </c>
      <c r="AO86" s="528">
        <v>0</v>
      </c>
      <c r="AP86" s="528">
        <v>0</v>
      </c>
      <c r="AQ86" s="528">
        <v>0</v>
      </c>
      <c r="AR86" s="528">
        <v>0</v>
      </c>
      <c r="AS86" s="528">
        <v>0</v>
      </c>
      <c r="AT86" s="528">
        <v>0</v>
      </c>
      <c r="AU86" s="528">
        <v>0</v>
      </c>
      <c r="AV86" s="528">
        <v>0</v>
      </c>
      <c r="AW86" s="528">
        <v>0</v>
      </c>
      <c r="AX86" s="528">
        <v>0</v>
      </c>
      <c r="AY86" s="528">
        <v>0</v>
      </c>
      <c r="AZ86" s="528"/>
      <c r="BA86" s="528" t="s">
        <v>1145</v>
      </c>
      <c r="BB86" s="297"/>
      <c r="BC86" s="528" t="s">
        <v>1145</v>
      </c>
      <c r="BD86" s="528"/>
      <c r="BE86" s="528"/>
      <c r="BF86" s="528"/>
      <c r="BG86" s="529"/>
      <c r="BH86" s="525"/>
      <c r="BI86" s="528"/>
      <c r="BJ86" s="528" t="s">
        <v>1146</v>
      </c>
      <c r="BK86" s="528"/>
      <c r="BL86" s="529"/>
      <c r="BM86" s="525"/>
      <c r="BN86" s="525"/>
    </row>
    <row r="87" spans="1:66" ht="13" customHeight="1" x14ac:dyDescent="0.2">
      <c r="A87" s="525">
        <v>2399</v>
      </c>
      <c r="B87" s="630">
        <v>45140</v>
      </c>
      <c r="C87" s="526" t="s">
        <v>1138</v>
      </c>
      <c r="D87" s="525" t="s">
        <v>1113</v>
      </c>
      <c r="E87" s="570">
        <v>45035</v>
      </c>
      <c r="F87" s="529" t="s">
        <v>1168</v>
      </c>
      <c r="G87" s="525" t="s">
        <v>1297</v>
      </c>
      <c r="H87" s="532">
        <v>85.999999999999986</v>
      </c>
      <c r="I87" s="531" t="s">
        <v>296</v>
      </c>
      <c r="J87" s="459">
        <v>6000</v>
      </c>
      <c r="K87" s="459">
        <v>12000</v>
      </c>
      <c r="L87" s="459">
        <v>84000</v>
      </c>
      <c r="M87" s="459">
        <v>84000</v>
      </c>
      <c r="N87" s="525"/>
      <c r="O87" s="532">
        <v>2.918181818181818</v>
      </c>
      <c r="P87" s="532">
        <v>2.9</v>
      </c>
      <c r="Q87" s="532">
        <v>2.4</v>
      </c>
      <c r="R87" s="532">
        <v>0</v>
      </c>
      <c r="S87" s="532">
        <v>2.3272727272727272</v>
      </c>
      <c r="T87" s="533"/>
      <c r="U87" s="532">
        <v>2.5999999999999996</v>
      </c>
      <c r="V87" s="532">
        <v>2.4</v>
      </c>
      <c r="W87" s="532">
        <v>2.3545454545454541</v>
      </c>
      <c r="X87" s="532">
        <v>0</v>
      </c>
      <c r="Y87" s="532">
        <v>2.2999999999999998</v>
      </c>
      <c r="Z87" s="533"/>
      <c r="AA87" s="533"/>
      <c r="AB87" s="533"/>
      <c r="AC87" s="533"/>
      <c r="AD87" s="533"/>
      <c r="AE87" s="533"/>
      <c r="AF87" s="533"/>
      <c r="AG87" s="528" t="s">
        <v>1143</v>
      </c>
      <c r="AH87" s="528" t="s">
        <v>1144</v>
      </c>
      <c r="AI87" s="333">
        <v>2</v>
      </c>
      <c r="AJ87" s="333">
        <v>4</v>
      </c>
      <c r="AK87" s="483">
        <v>0.33329999999999999</v>
      </c>
      <c r="AL87" s="483">
        <v>0.66659999999999997</v>
      </c>
      <c r="AM87" s="525" t="s">
        <v>1124</v>
      </c>
      <c r="AN87" s="528">
        <v>0</v>
      </c>
      <c r="AO87" s="528">
        <v>0</v>
      </c>
      <c r="AP87" s="528">
        <v>0</v>
      </c>
      <c r="AQ87" s="528">
        <v>0</v>
      </c>
      <c r="AR87" s="528">
        <v>0</v>
      </c>
      <c r="AS87" s="528">
        <v>0</v>
      </c>
      <c r="AT87" s="528">
        <v>0</v>
      </c>
      <c r="AU87" s="528">
        <v>0</v>
      </c>
      <c r="AV87" s="528">
        <v>0</v>
      </c>
      <c r="AW87" s="528">
        <v>0</v>
      </c>
      <c r="AX87" s="528">
        <v>0</v>
      </c>
      <c r="AY87" s="528">
        <v>0</v>
      </c>
      <c r="AZ87" s="528"/>
      <c r="BA87" s="528" t="s">
        <v>1145</v>
      </c>
      <c r="BB87" s="297"/>
      <c r="BC87" s="528" t="s">
        <v>1145</v>
      </c>
      <c r="BD87" s="528"/>
      <c r="BE87" s="528"/>
      <c r="BF87" s="528"/>
      <c r="BG87" s="529"/>
      <c r="BH87" s="525"/>
      <c r="BI87" s="528"/>
      <c r="BJ87" s="528" t="s">
        <v>1146</v>
      </c>
      <c r="BK87" s="528"/>
      <c r="BL87" s="529"/>
      <c r="BM87" s="529"/>
      <c r="BN87" s="525"/>
    </row>
    <row r="88" spans="1:66" ht="13" customHeight="1" x14ac:dyDescent="0.2">
      <c r="A88" s="525">
        <v>270</v>
      </c>
      <c r="B88" s="630">
        <v>45140</v>
      </c>
      <c r="C88" s="526" t="s">
        <v>1138</v>
      </c>
      <c r="D88" s="525" t="s">
        <v>1113</v>
      </c>
      <c r="E88" s="527">
        <v>45108</v>
      </c>
      <c r="F88" s="529" t="s">
        <v>1169</v>
      </c>
      <c r="G88" s="525" t="s">
        <v>1758</v>
      </c>
      <c r="H88" s="532">
        <v>93.109090909090909</v>
      </c>
      <c r="I88" s="531" t="s">
        <v>296</v>
      </c>
      <c r="J88" s="459">
        <v>6000</v>
      </c>
      <c r="K88" s="459">
        <v>12000</v>
      </c>
      <c r="L88" s="459">
        <v>84000</v>
      </c>
      <c r="M88" s="459">
        <v>84000</v>
      </c>
      <c r="N88" s="525"/>
      <c r="O88" s="532">
        <v>3.1727272727272728</v>
      </c>
      <c r="P88" s="532">
        <v>3.1181818181818182</v>
      </c>
      <c r="Q88" s="532">
        <v>2.4818181818181815</v>
      </c>
      <c r="R88" s="532">
        <v>0</v>
      </c>
      <c r="S88" s="532">
        <v>2.4727272727272727</v>
      </c>
      <c r="T88" s="533"/>
      <c r="U88" s="532">
        <v>2.5818181818181816</v>
      </c>
      <c r="V88" s="532">
        <v>2.5272727272727269</v>
      </c>
      <c r="W88" s="532">
        <v>2.3909090909090907</v>
      </c>
      <c r="X88" s="532">
        <v>0</v>
      </c>
      <c r="Y88" s="532">
        <v>2.2181818181818178</v>
      </c>
      <c r="Z88" s="533"/>
      <c r="AA88" s="533"/>
      <c r="AB88" s="533"/>
      <c r="AC88" s="533"/>
      <c r="AD88" s="533"/>
      <c r="AE88" s="533"/>
      <c r="AF88" s="533"/>
      <c r="AG88" s="528" t="s">
        <v>1143</v>
      </c>
      <c r="AH88" s="528" t="s">
        <v>1144</v>
      </c>
      <c r="AI88" s="333">
        <v>2</v>
      </c>
      <c r="AJ88" s="333">
        <v>4</v>
      </c>
      <c r="AK88" s="483">
        <v>0.33329999999999999</v>
      </c>
      <c r="AL88" s="483">
        <v>0.66659999999999997</v>
      </c>
      <c r="AM88" s="525" t="s">
        <v>1124</v>
      </c>
      <c r="AN88" s="528">
        <v>10</v>
      </c>
      <c r="AO88" s="528">
        <v>0</v>
      </c>
      <c r="AP88" s="528">
        <v>0</v>
      </c>
      <c r="AQ88" s="528">
        <v>0</v>
      </c>
      <c r="AR88" s="528">
        <v>0</v>
      </c>
      <c r="AS88" s="528">
        <v>0</v>
      </c>
      <c r="AT88" s="528">
        <v>0</v>
      </c>
      <c r="AU88" s="528">
        <v>0</v>
      </c>
      <c r="AV88" s="528">
        <v>0</v>
      </c>
      <c r="AW88" s="528">
        <v>0</v>
      </c>
      <c r="AX88" s="528">
        <v>0</v>
      </c>
      <c r="AY88" s="528">
        <v>0</v>
      </c>
      <c r="AZ88" s="528"/>
      <c r="BA88" s="528" t="s">
        <v>1145</v>
      </c>
      <c r="BB88" s="297"/>
      <c r="BC88" s="528" t="s">
        <v>1145</v>
      </c>
      <c r="BD88" s="528"/>
      <c r="BE88" s="528"/>
      <c r="BF88" s="528"/>
      <c r="BG88" s="529"/>
      <c r="BH88" s="525"/>
      <c r="BI88" s="528"/>
      <c r="BJ88" s="528" t="s">
        <v>1146</v>
      </c>
      <c r="BK88" s="528"/>
      <c r="BL88" s="529"/>
      <c r="BM88" s="529"/>
      <c r="BN88" s="525"/>
    </row>
    <row r="89" spans="1:66" ht="13" customHeight="1" x14ac:dyDescent="0.2">
      <c r="A89" s="525">
        <v>1687</v>
      </c>
      <c r="B89" s="630">
        <v>45140</v>
      </c>
      <c r="C89" s="526" t="s">
        <v>295</v>
      </c>
      <c r="D89" s="525" t="s">
        <v>1113</v>
      </c>
      <c r="E89" s="527">
        <v>45103</v>
      </c>
      <c r="F89" s="529" t="s">
        <v>1106</v>
      </c>
      <c r="G89" s="525" t="s">
        <v>2</v>
      </c>
      <c r="H89" s="532">
        <v>89.999999999999986</v>
      </c>
      <c r="I89" s="531" t="s">
        <v>296</v>
      </c>
      <c r="J89" s="459">
        <v>6000</v>
      </c>
      <c r="K89" s="459">
        <v>6000</v>
      </c>
      <c r="L89" s="459">
        <v>6000</v>
      </c>
      <c r="M89" s="459">
        <v>6000</v>
      </c>
      <c r="N89" s="525"/>
      <c r="O89" s="532">
        <v>2.6363636363636362</v>
      </c>
      <c r="P89" s="532">
        <v>0</v>
      </c>
      <c r="Q89" s="532">
        <v>0</v>
      </c>
      <c r="R89" s="532">
        <v>0</v>
      </c>
      <c r="S89" s="532">
        <v>2.5909090909090908</v>
      </c>
      <c r="T89" s="533"/>
      <c r="U89" s="532">
        <v>2.6363636363636362</v>
      </c>
      <c r="V89" s="532">
        <v>0</v>
      </c>
      <c r="W89" s="532">
        <v>0</v>
      </c>
      <c r="X89" s="532">
        <v>0</v>
      </c>
      <c r="Y89" s="532">
        <v>2.5909090909090908</v>
      </c>
      <c r="Z89" s="533"/>
      <c r="AA89" s="533"/>
      <c r="AB89" s="533"/>
      <c r="AC89" s="533"/>
      <c r="AD89" s="533"/>
      <c r="AE89" s="533"/>
      <c r="AF89" s="533"/>
      <c r="AG89" s="528" t="s">
        <v>297</v>
      </c>
      <c r="AH89" s="528" t="s">
        <v>298</v>
      </c>
      <c r="AI89" s="333">
        <v>2</v>
      </c>
      <c r="AJ89" s="333">
        <v>4</v>
      </c>
      <c r="AK89" s="483">
        <v>0.33329999999999999</v>
      </c>
      <c r="AL89" s="483">
        <v>0.66659999999999997</v>
      </c>
      <c r="AM89" s="525" t="s">
        <v>1124</v>
      </c>
      <c r="AN89" s="528">
        <v>0</v>
      </c>
      <c r="AO89" s="528">
        <v>0</v>
      </c>
      <c r="AP89" s="528">
        <v>2</v>
      </c>
      <c r="AQ89" s="528">
        <v>0</v>
      </c>
      <c r="AR89" s="528">
        <v>0</v>
      </c>
      <c r="AS89" s="528">
        <v>0</v>
      </c>
      <c r="AT89" s="528">
        <v>0</v>
      </c>
      <c r="AU89" s="528">
        <v>0</v>
      </c>
      <c r="AV89" s="528">
        <v>0</v>
      </c>
      <c r="AW89" s="528">
        <v>0</v>
      </c>
      <c r="AX89" s="528">
        <v>0</v>
      </c>
      <c r="AY89" s="528">
        <v>0</v>
      </c>
      <c r="AZ89" s="528"/>
      <c r="BA89" s="528" t="s">
        <v>1145</v>
      </c>
      <c r="BB89" s="297"/>
      <c r="BC89" s="528" t="s">
        <v>1145</v>
      </c>
      <c r="BD89" s="528"/>
      <c r="BE89" s="528"/>
      <c r="BF89" s="529"/>
      <c r="BG89" s="529"/>
      <c r="BH89" s="525"/>
      <c r="BI89" s="528"/>
      <c r="BJ89" s="528" t="s">
        <v>1146</v>
      </c>
      <c r="BK89" s="528">
        <v>1</v>
      </c>
      <c r="BL89" s="525"/>
      <c r="BM89" s="529"/>
      <c r="BN89" s="525"/>
    </row>
    <row r="90" spans="1:66" ht="13" customHeight="1" x14ac:dyDescent="0.2">
      <c r="A90" s="525">
        <v>2744</v>
      </c>
      <c r="B90" s="630">
        <v>45140</v>
      </c>
      <c r="C90" s="526" t="s">
        <v>1138</v>
      </c>
      <c r="D90" s="525" t="s">
        <v>1113</v>
      </c>
      <c r="E90" s="527">
        <v>45108</v>
      </c>
      <c r="F90" s="525" t="s">
        <v>1274</v>
      </c>
      <c r="G90" s="525" t="s">
        <v>1467</v>
      </c>
      <c r="H90" s="532">
        <v>97</v>
      </c>
      <c r="I90" s="531" t="s">
        <v>296</v>
      </c>
      <c r="J90" s="409">
        <v>6000</v>
      </c>
      <c r="K90" s="332">
        <v>13500</v>
      </c>
      <c r="L90" s="332">
        <v>13500</v>
      </c>
      <c r="M90" s="332">
        <v>13500</v>
      </c>
      <c r="N90" s="332"/>
      <c r="O90" s="532">
        <v>3.5999999999999996</v>
      </c>
      <c r="P90" s="532">
        <v>3.5</v>
      </c>
      <c r="Q90" s="532">
        <v>0</v>
      </c>
      <c r="R90" s="532">
        <v>0</v>
      </c>
      <c r="S90" s="532">
        <v>2.8</v>
      </c>
      <c r="T90" s="571"/>
      <c r="U90" s="532">
        <v>3.5999999999999996</v>
      </c>
      <c r="V90" s="532">
        <v>3.5</v>
      </c>
      <c r="W90" s="532">
        <v>0</v>
      </c>
      <c r="X90" s="532">
        <v>0</v>
      </c>
      <c r="Y90" s="532">
        <v>2.8</v>
      </c>
      <c r="Z90" s="571"/>
      <c r="AA90" s="571"/>
      <c r="AB90" s="571"/>
      <c r="AC90" s="571"/>
      <c r="AD90" s="571"/>
      <c r="AE90" s="571"/>
      <c r="AF90" s="571"/>
      <c r="AG90" s="333" t="s">
        <v>1145</v>
      </c>
      <c r="AH90" s="333"/>
      <c r="AI90" s="528">
        <v>3</v>
      </c>
      <c r="AJ90" s="528">
        <v>3</v>
      </c>
      <c r="AK90" s="480">
        <v>0.5</v>
      </c>
      <c r="AL90" s="480">
        <v>0.5</v>
      </c>
      <c r="AM90" s="525"/>
      <c r="AN90" s="528">
        <v>0</v>
      </c>
      <c r="AO90" s="528">
        <v>7</v>
      </c>
      <c r="AP90" s="528">
        <v>0</v>
      </c>
      <c r="AQ90" s="528">
        <v>3</v>
      </c>
      <c r="AR90" s="528">
        <v>0</v>
      </c>
      <c r="AS90" s="528">
        <v>0</v>
      </c>
      <c r="AT90" s="528">
        <v>0</v>
      </c>
      <c r="AU90" s="528">
        <v>0</v>
      </c>
      <c r="AV90" s="528">
        <v>0</v>
      </c>
      <c r="AW90" s="528">
        <v>0</v>
      </c>
      <c r="AX90" s="528">
        <v>0</v>
      </c>
      <c r="AY90" s="528">
        <v>0</v>
      </c>
      <c r="AZ90" s="528"/>
      <c r="BA90" s="528" t="s">
        <v>1145</v>
      </c>
      <c r="BB90" s="297"/>
      <c r="BC90" s="528" t="s">
        <v>1145</v>
      </c>
      <c r="BD90" s="528"/>
      <c r="BE90" s="528"/>
      <c r="BF90" s="528"/>
      <c r="BG90" s="529"/>
      <c r="BH90" s="525"/>
      <c r="BI90" s="528"/>
      <c r="BJ90" s="528" t="s">
        <v>1146</v>
      </c>
      <c r="BK90" s="528">
        <v>1</v>
      </c>
      <c r="BL90" s="529"/>
      <c r="BM90" s="529"/>
      <c r="BN90" s="525"/>
    </row>
    <row r="91" spans="1:66" ht="13" customHeight="1" x14ac:dyDescent="0.2">
      <c r="A91" s="525">
        <v>2935</v>
      </c>
      <c r="B91" s="630">
        <v>45140</v>
      </c>
      <c r="C91" s="526" t="s">
        <v>1138</v>
      </c>
      <c r="D91" s="525" t="s">
        <v>1113</v>
      </c>
      <c r="E91" s="527">
        <v>45139</v>
      </c>
      <c r="F91" s="525" t="s">
        <v>1483</v>
      </c>
      <c r="G91" s="525" t="s">
        <v>1550</v>
      </c>
      <c r="H91" s="532">
        <v>119.99999999999999</v>
      </c>
      <c r="I91" s="531" t="s">
        <v>296</v>
      </c>
      <c r="J91" s="459">
        <v>6000</v>
      </c>
      <c r="K91" s="459">
        <v>12000</v>
      </c>
      <c r="L91" s="459">
        <v>84000</v>
      </c>
      <c r="M91" s="459">
        <v>84000</v>
      </c>
      <c r="N91" s="332"/>
      <c r="O91" s="532">
        <v>3.2545454545454544</v>
      </c>
      <c r="P91" s="532">
        <v>3.1</v>
      </c>
      <c r="Q91" s="532">
        <v>2.9818181818181815</v>
      </c>
      <c r="R91" s="532">
        <v>0</v>
      </c>
      <c r="S91" s="532">
        <v>2.8</v>
      </c>
      <c r="T91" s="571"/>
      <c r="U91" s="532">
        <v>3.0545454545454542</v>
      </c>
      <c r="V91" s="532">
        <v>2.9</v>
      </c>
      <c r="W91" s="532">
        <v>2.7</v>
      </c>
      <c r="X91" s="532">
        <v>0</v>
      </c>
      <c r="Y91" s="532">
        <v>2.4</v>
      </c>
      <c r="Z91" s="571"/>
      <c r="AA91" s="571"/>
      <c r="AB91" s="571"/>
      <c r="AC91" s="571"/>
      <c r="AD91" s="571"/>
      <c r="AE91" s="571"/>
      <c r="AF91" s="571"/>
      <c r="AG91" s="333" t="s">
        <v>1143</v>
      </c>
      <c r="AH91" s="333" t="s">
        <v>1144</v>
      </c>
      <c r="AI91" s="333">
        <v>2</v>
      </c>
      <c r="AJ91" s="333">
        <v>4</v>
      </c>
      <c r="AK91" s="483">
        <v>0.33329999999999999</v>
      </c>
      <c r="AL91" s="483">
        <v>0.66659999999999997</v>
      </c>
      <c r="AM91" s="525" t="s">
        <v>1124</v>
      </c>
      <c r="AN91" s="528">
        <v>0</v>
      </c>
      <c r="AO91" s="528">
        <v>0</v>
      </c>
      <c r="AP91" s="528">
        <v>0</v>
      </c>
      <c r="AQ91" s="528">
        <v>0</v>
      </c>
      <c r="AR91" s="528">
        <v>0</v>
      </c>
      <c r="AS91" s="528">
        <v>0</v>
      </c>
      <c r="AT91" s="528">
        <v>0</v>
      </c>
      <c r="AU91" s="528">
        <v>0</v>
      </c>
      <c r="AV91" s="528">
        <v>0</v>
      </c>
      <c r="AW91" s="528">
        <v>0</v>
      </c>
      <c r="AX91" s="528">
        <v>0</v>
      </c>
      <c r="AY91" s="528">
        <v>0</v>
      </c>
      <c r="AZ91" s="528"/>
      <c r="BA91" s="528" t="s">
        <v>1145</v>
      </c>
      <c r="BB91" s="297"/>
      <c r="BC91" s="528" t="s">
        <v>1145</v>
      </c>
      <c r="BD91" s="528"/>
      <c r="BE91" s="528"/>
      <c r="BF91" s="564"/>
      <c r="BG91" s="529"/>
      <c r="BH91" s="525"/>
      <c r="BI91" s="528"/>
      <c r="BJ91" s="528" t="s">
        <v>4</v>
      </c>
      <c r="BK91" s="528"/>
      <c r="BL91" s="529"/>
      <c r="BM91" s="525"/>
      <c r="BN91" s="525"/>
    </row>
    <row r="92" spans="1:66" ht="16" x14ac:dyDescent="0.2">
      <c r="A92" s="525">
        <v>3703</v>
      </c>
      <c r="B92" s="630">
        <v>45140</v>
      </c>
      <c r="C92" s="526" t="s">
        <v>1138</v>
      </c>
      <c r="D92" s="525" t="s">
        <v>1113</v>
      </c>
      <c r="E92" s="527">
        <v>45096</v>
      </c>
      <c r="F92" s="525" t="s">
        <v>1057</v>
      </c>
      <c r="G92" s="525" t="s">
        <v>1734</v>
      </c>
      <c r="H92" s="532">
        <v>126.89999999999999</v>
      </c>
      <c r="I92" s="531" t="s">
        <v>296</v>
      </c>
      <c r="J92" s="459">
        <v>6000</v>
      </c>
      <c r="K92" s="459">
        <v>12000</v>
      </c>
      <c r="L92" s="459">
        <v>84000</v>
      </c>
      <c r="M92" s="459">
        <v>84000</v>
      </c>
      <c r="N92" s="297"/>
      <c r="O92" s="532">
        <v>2.5999999999999996</v>
      </c>
      <c r="P92" s="532">
        <v>2.5</v>
      </c>
      <c r="Q92" s="532">
        <v>2.2999999999999998</v>
      </c>
      <c r="R92" s="532">
        <v>0</v>
      </c>
      <c r="S92" s="532">
        <v>2.2999999999999998</v>
      </c>
      <c r="T92" s="571"/>
      <c r="U92" s="532">
        <v>2.2999999999999998</v>
      </c>
      <c r="V92" s="532">
        <v>2.2999999999999998</v>
      </c>
      <c r="W92" s="532">
        <v>2.2999999999999998</v>
      </c>
      <c r="X92" s="532">
        <v>0</v>
      </c>
      <c r="Y92" s="532">
        <v>2.1999999999999997</v>
      </c>
      <c r="Z92" s="297"/>
      <c r="AA92" s="297"/>
      <c r="AB92" s="297"/>
      <c r="AC92" s="297"/>
      <c r="AD92" s="297"/>
      <c r="AE92" s="297"/>
      <c r="AF92" s="297"/>
      <c r="AG92" s="333" t="s">
        <v>1143</v>
      </c>
      <c r="AH92" s="333" t="s">
        <v>1144</v>
      </c>
      <c r="AI92" s="333">
        <v>2</v>
      </c>
      <c r="AJ92" s="333">
        <v>4</v>
      </c>
      <c r="AK92" s="483">
        <v>0.33329999999999999</v>
      </c>
      <c r="AL92" s="483">
        <v>0.66659999999999997</v>
      </c>
      <c r="AM92" s="525" t="s">
        <v>1124</v>
      </c>
      <c r="AN92" s="528">
        <v>0</v>
      </c>
      <c r="AO92" s="528">
        <v>0</v>
      </c>
      <c r="AP92" s="528">
        <v>0</v>
      </c>
      <c r="AQ92" s="528">
        <v>0</v>
      </c>
      <c r="AR92" s="528">
        <v>0</v>
      </c>
      <c r="AS92" s="528">
        <v>0</v>
      </c>
      <c r="AT92" s="528">
        <v>0</v>
      </c>
      <c r="AU92" s="528">
        <v>0</v>
      </c>
      <c r="AV92" s="528">
        <v>0</v>
      </c>
      <c r="AW92" s="528">
        <v>0</v>
      </c>
      <c r="AX92" s="528">
        <v>0</v>
      </c>
      <c r="AY92" s="528">
        <v>0</v>
      </c>
      <c r="AZ92" s="528"/>
      <c r="BA92" s="528" t="s">
        <v>1145</v>
      </c>
      <c r="BB92" s="297"/>
      <c r="BC92" s="528" t="s">
        <v>1145</v>
      </c>
      <c r="BD92" s="528"/>
      <c r="BE92" s="528"/>
      <c r="BF92" s="528"/>
      <c r="BG92" s="529"/>
      <c r="BH92" s="525"/>
      <c r="BI92" s="528"/>
      <c r="BJ92" s="528" t="s">
        <v>1146</v>
      </c>
      <c r="BK92" s="528"/>
      <c r="BL92" s="529" t="s">
        <v>1735</v>
      </c>
      <c r="BM92" s="569"/>
      <c r="BN92" s="525"/>
    </row>
    <row r="93" spans="1:66" ht="13" customHeight="1" x14ac:dyDescent="0.2">
      <c r="A93" s="525">
        <v>3633</v>
      </c>
      <c r="B93" s="630">
        <v>45140</v>
      </c>
      <c r="C93" s="526" t="s">
        <v>1138</v>
      </c>
      <c r="D93" s="525" t="s">
        <v>1113</v>
      </c>
      <c r="E93" s="527">
        <v>45127</v>
      </c>
      <c r="F93" s="525" t="s">
        <v>1173</v>
      </c>
      <c r="G93" s="525" t="s">
        <v>1705</v>
      </c>
      <c r="H93" s="532">
        <v>89.999999999999986</v>
      </c>
      <c r="I93" s="531" t="s">
        <v>296</v>
      </c>
      <c r="J93" s="631">
        <v>6000</v>
      </c>
      <c r="K93" s="631">
        <v>12000</v>
      </c>
      <c r="L93" s="631">
        <v>84000</v>
      </c>
      <c r="M93" s="631">
        <v>84000</v>
      </c>
      <c r="N93" s="332"/>
      <c r="O93" s="532">
        <v>2.4545454545454546</v>
      </c>
      <c r="P93" s="532">
        <v>2.4272727272727268</v>
      </c>
      <c r="Q93" s="532">
        <v>2.4090909090909087</v>
      </c>
      <c r="R93" s="532">
        <v>0</v>
      </c>
      <c r="S93" s="532">
        <v>2.4</v>
      </c>
      <c r="T93" s="571"/>
      <c r="U93" s="532">
        <v>1.9818181818181817</v>
      </c>
      <c r="V93" s="532">
        <v>1.9636363636363636</v>
      </c>
      <c r="W93" s="532">
        <v>1.9545454545454544</v>
      </c>
      <c r="X93" s="532">
        <v>0</v>
      </c>
      <c r="Y93" s="532">
        <v>1.8999999999999997</v>
      </c>
      <c r="Z93" s="571"/>
      <c r="AA93" s="571"/>
      <c r="AB93" s="571"/>
      <c r="AC93" s="571"/>
      <c r="AD93" s="571"/>
      <c r="AE93" s="571"/>
      <c r="AF93" s="571"/>
      <c r="AG93" s="333" t="s">
        <v>1143</v>
      </c>
      <c r="AH93" s="333" t="s">
        <v>1144</v>
      </c>
      <c r="AI93" s="333">
        <v>2</v>
      </c>
      <c r="AJ93" s="333">
        <v>4</v>
      </c>
      <c r="AK93" s="483">
        <v>0.33329999999999999</v>
      </c>
      <c r="AL93" s="483">
        <v>0.66659999999999997</v>
      </c>
      <c r="AM93" s="525" t="s">
        <v>1124</v>
      </c>
      <c r="AN93" s="528">
        <v>0</v>
      </c>
      <c r="AO93" s="528">
        <v>0</v>
      </c>
      <c r="AP93" s="528">
        <v>0</v>
      </c>
      <c r="AQ93" s="528">
        <v>0</v>
      </c>
      <c r="AR93" s="528">
        <v>0</v>
      </c>
      <c r="AS93" s="528">
        <v>0</v>
      </c>
      <c r="AT93" s="528">
        <v>0</v>
      </c>
      <c r="AU93" s="528">
        <v>0</v>
      </c>
      <c r="AV93" s="528">
        <v>0</v>
      </c>
      <c r="AW93" s="528">
        <v>0</v>
      </c>
      <c r="AX93" s="528">
        <v>0</v>
      </c>
      <c r="AY93" s="528">
        <v>0</v>
      </c>
      <c r="AZ93" s="528"/>
      <c r="BA93" s="528" t="s">
        <v>1145</v>
      </c>
      <c r="BB93" s="297"/>
      <c r="BC93" s="528" t="s">
        <v>1145</v>
      </c>
      <c r="BD93" s="528"/>
      <c r="BE93" s="528"/>
      <c r="BF93" s="564"/>
      <c r="BG93" s="529"/>
      <c r="BH93" s="525"/>
      <c r="BI93" s="528"/>
      <c r="BJ93" s="528" t="s">
        <v>4</v>
      </c>
      <c r="BK93" s="528"/>
      <c r="BL93" s="529"/>
      <c r="BM93" s="525"/>
      <c r="BN93" s="525"/>
    </row>
    <row r="94" spans="1:66" ht="13" customHeight="1" x14ac:dyDescent="0.2">
      <c r="A94" s="525" t="s">
        <v>1749</v>
      </c>
      <c r="B94" s="630">
        <v>45140</v>
      </c>
      <c r="C94" s="526" t="s">
        <v>1138</v>
      </c>
      <c r="D94" s="525" t="s">
        <v>1113</v>
      </c>
      <c r="E94" s="527">
        <v>45108</v>
      </c>
      <c r="F94" s="529" t="s">
        <v>1750</v>
      </c>
      <c r="G94" s="525" t="s">
        <v>1751</v>
      </c>
      <c r="H94" s="532">
        <v>85.11818181818181</v>
      </c>
      <c r="I94" s="531" t="s">
        <v>296</v>
      </c>
      <c r="J94" s="459">
        <v>6000</v>
      </c>
      <c r="K94" s="459">
        <v>12000</v>
      </c>
      <c r="L94" s="459">
        <v>84000</v>
      </c>
      <c r="M94" s="459">
        <v>84000</v>
      </c>
      <c r="N94" s="525"/>
      <c r="O94" s="532">
        <v>2.4727272727272727</v>
      </c>
      <c r="P94" s="532">
        <v>2.3909090909090907</v>
      </c>
      <c r="Q94" s="532">
        <v>1.7818181818181817</v>
      </c>
      <c r="R94" s="532">
        <v>0</v>
      </c>
      <c r="S94" s="532">
        <v>1.6818181818181817</v>
      </c>
      <c r="T94" s="533"/>
      <c r="U94" s="532">
        <v>2.2909090909090906</v>
      </c>
      <c r="V94" s="532">
        <v>1.8909090909090909</v>
      </c>
      <c r="W94" s="532">
        <v>1.6181818181818182</v>
      </c>
      <c r="X94" s="532">
        <v>0</v>
      </c>
      <c r="Y94" s="532">
        <v>1.5545454545454545</v>
      </c>
      <c r="Z94" s="533"/>
      <c r="AA94" s="533"/>
      <c r="AB94" s="533"/>
      <c r="AC94" s="533"/>
      <c r="AD94" s="533"/>
      <c r="AE94" s="533"/>
      <c r="AF94" s="533"/>
      <c r="AG94" s="528" t="s">
        <v>1143</v>
      </c>
      <c r="AH94" s="528" t="s">
        <v>1144</v>
      </c>
      <c r="AI94" s="333">
        <v>2</v>
      </c>
      <c r="AJ94" s="333">
        <v>4</v>
      </c>
      <c r="AK94" s="483">
        <v>0.33329999999999999</v>
      </c>
      <c r="AL94" s="483">
        <v>0.66659999999999997</v>
      </c>
      <c r="AM94" s="525" t="s">
        <v>1124</v>
      </c>
      <c r="AN94" s="528">
        <v>0</v>
      </c>
      <c r="AO94" s="528">
        <v>0</v>
      </c>
      <c r="AP94" s="528">
        <v>0</v>
      </c>
      <c r="AQ94" s="528">
        <v>0</v>
      </c>
      <c r="AR94" s="528">
        <v>0</v>
      </c>
      <c r="AS94" s="528">
        <v>0</v>
      </c>
      <c r="AT94" s="528">
        <v>0</v>
      </c>
      <c r="AU94" s="528">
        <v>0</v>
      </c>
      <c r="AV94" s="528">
        <v>0</v>
      </c>
      <c r="AW94" s="528">
        <v>0</v>
      </c>
      <c r="AX94" s="528">
        <v>0</v>
      </c>
      <c r="AY94" s="528">
        <v>0</v>
      </c>
      <c r="AZ94" s="528"/>
      <c r="BA94" s="528" t="s">
        <v>1145</v>
      </c>
      <c r="BB94" s="297"/>
      <c r="BC94" s="528" t="s">
        <v>1145</v>
      </c>
      <c r="BD94" s="528"/>
      <c r="BE94" s="528"/>
      <c r="BF94" s="528"/>
      <c r="BG94" s="597"/>
      <c r="BH94" s="598"/>
      <c r="BI94" s="566"/>
      <c r="BJ94" s="528" t="s">
        <v>1146</v>
      </c>
      <c r="BK94" s="528"/>
      <c r="BL94" s="529"/>
      <c r="BM94" s="567"/>
      <c r="BN94" s="525"/>
    </row>
    <row r="95" spans="1:66" ht="13" customHeight="1" x14ac:dyDescent="0.2">
      <c r="A95" s="525" t="s">
        <v>1749</v>
      </c>
      <c r="B95" s="630">
        <v>45140</v>
      </c>
      <c r="C95" s="526" t="s">
        <v>1138</v>
      </c>
      <c r="D95" s="525" t="s">
        <v>1113</v>
      </c>
      <c r="E95" s="527">
        <v>44944</v>
      </c>
      <c r="F95" s="529" t="s">
        <v>34</v>
      </c>
      <c r="G95" s="525" t="s">
        <v>1656</v>
      </c>
      <c r="H95" s="532">
        <v>94.509090909090901</v>
      </c>
      <c r="I95" s="531"/>
      <c r="J95" s="459"/>
      <c r="K95" s="459"/>
      <c r="L95" s="459"/>
      <c r="M95" s="459"/>
      <c r="N95" s="525"/>
      <c r="O95" s="532">
        <v>2.8363636363636364</v>
      </c>
      <c r="P95" s="532">
        <v>0</v>
      </c>
      <c r="Q95" s="532">
        <v>0</v>
      </c>
      <c r="R95" s="532">
        <v>0</v>
      </c>
      <c r="S95" s="532">
        <v>0</v>
      </c>
      <c r="T95" s="533"/>
      <c r="U95" s="532">
        <v>2.8363636363636364</v>
      </c>
      <c r="V95" s="532">
        <v>0</v>
      </c>
      <c r="W95" s="532">
        <v>0</v>
      </c>
      <c r="X95" s="532">
        <v>0</v>
      </c>
      <c r="Y95" s="532">
        <v>0</v>
      </c>
      <c r="Z95" s="533"/>
      <c r="AA95" s="533"/>
      <c r="AB95" s="533"/>
      <c r="AC95" s="533"/>
      <c r="AD95" s="533"/>
      <c r="AE95" s="533"/>
      <c r="AF95" s="533"/>
      <c r="AG95" s="333" t="s">
        <v>1145</v>
      </c>
      <c r="AH95" s="333"/>
      <c r="AI95" s="528">
        <v>3</v>
      </c>
      <c r="AJ95" s="528">
        <v>3</v>
      </c>
      <c r="AK95" s="480">
        <v>0.5</v>
      </c>
      <c r="AL95" s="480">
        <v>0.5</v>
      </c>
      <c r="AM95" s="525"/>
      <c r="AN95" s="528">
        <v>0</v>
      </c>
      <c r="AO95" s="528">
        <v>0</v>
      </c>
      <c r="AP95" s="528">
        <v>0</v>
      </c>
      <c r="AQ95" s="528">
        <v>0</v>
      </c>
      <c r="AR95" s="528">
        <v>0</v>
      </c>
      <c r="AS95" s="528">
        <v>0</v>
      </c>
      <c r="AT95" s="528">
        <v>0</v>
      </c>
      <c r="AU95" s="528">
        <v>0</v>
      </c>
      <c r="AV95" s="528">
        <v>0</v>
      </c>
      <c r="AW95" s="528">
        <v>0</v>
      </c>
      <c r="AX95" s="528">
        <v>0</v>
      </c>
      <c r="AY95" s="528">
        <v>0</v>
      </c>
      <c r="AZ95" s="528"/>
      <c r="BA95" s="528" t="s">
        <v>1145</v>
      </c>
      <c r="BB95" s="528"/>
      <c r="BC95" s="528" t="s">
        <v>1145</v>
      </c>
      <c r="BD95" s="528"/>
      <c r="BE95" s="528"/>
      <c r="BF95" s="528"/>
      <c r="BG95" s="597"/>
      <c r="BH95" s="598"/>
      <c r="BI95" s="566"/>
      <c r="BJ95" s="528" t="s">
        <v>1146</v>
      </c>
      <c r="BK95" s="528"/>
      <c r="BL95" s="529"/>
      <c r="BM95" s="525" t="s">
        <v>1765</v>
      </c>
      <c r="BN95" s="525"/>
    </row>
    <row r="96" spans="1:66" ht="13" customHeight="1" x14ac:dyDescent="0.2">
      <c r="A96" s="525" t="s">
        <v>1749</v>
      </c>
      <c r="B96" s="630">
        <v>45140</v>
      </c>
      <c r="C96" s="526" t="s">
        <v>1138</v>
      </c>
      <c r="D96" s="525" t="s">
        <v>1113</v>
      </c>
      <c r="E96" s="527">
        <v>44944</v>
      </c>
      <c r="F96" s="529" t="s">
        <v>1766</v>
      </c>
      <c r="G96" s="525" t="s">
        <v>1767</v>
      </c>
      <c r="H96" s="532">
        <v>94.509090909090901</v>
      </c>
      <c r="I96" s="531"/>
      <c r="J96" s="459"/>
      <c r="K96" s="459"/>
      <c r="L96" s="459"/>
      <c r="M96" s="459"/>
      <c r="N96" s="525"/>
      <c r="O96" s="532">
        <v>2.8363636363636364</v>
      </c>
      <c r="P96" s="532">
        <v>0</v>
      </c>
      <c r="Q96" s="532">
        <v>0</v>
      </c>
      <c r="R96" s="532">
        <v>0</v>
      </c>
      <c r="S96" s="532">
        <v>0</v>
      </c>
      <c r="T96" s="533"/>
      <c r="U96" s="532">
        <v>2.8363636363636364</v>
      </c>
      <c r="V96" s="532">
        <v>0</v>
      </c>
      <c r="W96" s="532">
        <v>0</v>
      </c>
      <c r="X96" s="532">
        <v>0</v>
      </c>
      <c r="Y96" s="532">
        <v>0</v>
      </c>
      <c r="Z96" s="533"/>
      <c r="AA96" s="533"/>
      <c r="AB96" s="533"/>
      <c r="AC96" s="533"/>
      <c r="AD96" s="533"/>
      <c r="AE96" s="533"/>
      <c r="AF96" s="533"/>
      <c r="AG96" s="528" t="s">
        <v>1145</v>
      </c>
      <c r="AH96" s="528"/>
      <c r="AI96" s="528">
        <v>3</v>
      </c>
      <c r="AJ96" s="528">
        <v>3</v>
      </c>
      <c r="AK96" s="480">
        <v>0.5</v>
      </c>
      <c r="AL96" s="480">
        <v>0.5</v>
      </c>
      <c r="AM96" s="525"/>
      <c r="AN96" s="528">
        <v>0</v>
      </c>
      <c r="AO96" s="528">
        <v>0</v>
      </c>
      <c r="AP96" s="528">
        <v>0</v>
      </c>
      <c r="AQ96" s="528">
        <v>0</v>
      </c>
      <c r="AR96" s="528">
        <v>0</v>
      </c>
      <c r="AS96" s="528">
        <v>0</v>
      </c>
      <c r="AT96" s="528">
        <v>0</v>
      </c>
      <c r="AU96" s="528">
        <v>0</v>
      </c>
      <c r="AV96" s="528">
        <v>0</v>
      </c>
      <c r="AW96" s="528">
        <v>0</v>
      </c>
      <c r="AX96" s="528">
        <v>0</v>
      </c>
      <c r="AY96" s="528">
        <v>0</v>
      </c>
      <c r="AZ96" s="528"/>
      <c r="BA96" s="528" t="s">
        <v>1145</v>
      </c>
      <c r="BB96" s="528"/>
      <c r="BC96" s="528" t="s">
        <v>1145</v>
      </c>
      <c r="BD96" s="528"/>
      <c r="BE96" s="528"/>
      <c r="BF96" s="528"/>
      <c r="BG96" s="597"/>
      <c r="BH96" s="598"/>
      <c r="BI96" s="566"/>
      <c r="BJ96" s="528" t="s">
        <v>1146</v>
      </c>
      <c r="BK96" s="528"/>
      <c r="BL96" s="529" t="s">
        <v>1769</v>
      </c>
      <c r="BM96" s="525"/>
      <c r="BN96" s="525"/>
    </row>
    <row r="97" spans="1:66" ht="13" customHeight="1" x14ac:dyDescent="0.2">
      <c r="A97" s="525">
        <v>3157</v>
      </c>
      <c r="B97" s="630">
        <v>45140</v>
      </c>
      <c r="C97" s="526" t="s">
        <v>1138</v>
      </c>
      <c r="D97" s="525" t="s">
        <v>1114</v>
      </c>
      <c r="E97" s="527">
        <v>45108</v>
      </c>
      <c r="F97" s="529" t="s">
        <v>1139</v>
      </c>
      <c r="G97" s="525" t="s">
        <v>1646</v>
      </c>
      <c r="H97" s="532">
        <v>92.499999999999986</v>
      </c>
      <c r="I97" s="531" t="s">
        <v>296</v>
      </c>
      <c r="J97" s="459">
        <v>6000</v>
      </c>
      <c r="K97" s="459">
        <v>12000</v>
      </c>
      <c r="L97" s="459">
        <v>84000</v>
      </c>
      <c r="M97" s="459">
        <v>84000</v>
      </c>
      <c r="N97" s="525"/>
      <c r="O97" s="532">
        <v>2.9818181818181815</v>
      </c>
      <c r="P97" s="532">
        <v>2.8909090909090907</v>
      </c>
      <c r="Q97" s="532">
        <v>1.7545454545454544</v>
      </c>
      <c r="R97" s="532">
        <v>0</v>
      </c>
      <c r="S97" s="532">
        <v>1.6636363636363636</v>
      </c>
      <c r="T97" s="533"/>
      <c r="U97" s="532">
        <v>2.5909090909090908</v>
      </c>
      <c r="V97" s="532">
        <v>2.2909090909090906</v>
      </c>
      <c r="W97" s="532">
        <v>1.718181818181818</v>
      </c>
      <c r="X97" s="532">
        <v>0</v>
      </c>
      <c r="Y97" s="532">
        <v>1.6272727272727272</v>
      </c>
      <c r="Z97" s="533"/>
      <c r="AA97" s="533"/>
      <c r="AB97" s="533"/>
      <c r="AC97" s="533"/>
      <c r="AD97" s="533"/>
      <c r="AE97" s="533"/>
      <c r="AF97" s="533"/>
      <c r="AG97" s="528" t="s">
        <v>1143</v>
      </c>
      <c r="AH97" s="528" t="s">
        <v>1144</v>
      </c>
      <c r="AI97" s="333">
        <v>2</v>
      </c>
      <c r="AJ97" s="333">
        <v>4</v>
      </c>
      <c r="AK97" s="483">
        <v>0.33329999999999999</v>
      </c>
      <c r="AL97" s="483">
        <v>0.66659999999999997</v>
      </c>
      <c r="AM97" s="525" t="s">
        <v>1124</v>
      </c>
      <c r="AN97" s="528">
        <v>0</v>
      </c>
      <c r="AO97" s="528">
        <v>0</v>
      </c>
      <c r="AP97" s="528">
        <v>0</v>
      </c>
      <c r="AQ97" s="528">
        <v>0</v>
      </c>
      <c r="AR97" s="528">
        <v>0</v>
      </c>
      <c r="AS97" s="528">
        <v>0</v>
      </c>
      <c r="AT97" s="528">
        <v>0</v>
      </c>
      <c r="AU97" s="528">
        <v>0</v>
      </c>
      <c r="AV97" s="528">
        <v>0</v>
      </c>
      <c r="AW97" s="528">
        <v>0</v>
      </c>
      <c r="AX97" s="528">
        <v>0</v>
      </c>
      <c r="AY97" s="528">
        <v>0</v>
      </c>
      <c r="AZ97" s="528"/>
      <c r="BA97" s="528" t="s">
        <v>1145</v>
      </c>
      <c r="BB97" s="297"/>
      <c r="BC97" s="528" t="s">
        <v>1145</v>
      </c>
      <c r="BD97" s="528"/>
      <c r="BE97" s="528"/>
      <c r="BF97" s="528"/>
      <c r="BG97" s="597"/>
      <c r="BH97" s="598"/>
      <c r="BI97" s="566"/>
      <c r="BJ97" s="528" t="s">
        <v>1146</v>
      </c>
      <c r="BK97" s="528"/>
      <c r="BL97" s="529" t="s">
        <v>1647</v>
      </c>
      <c r="BM97" s="529"/>
      <c r="BN97" s="525"/>
    </row>
    <row r="98" spans="1:66" ht="13" customHeight="1" x14ac:dyDescent="0.2">
      <c r="A98" s="525">
        <v>1045</v>
      </c>
      <c r="B98" s="630">
        <v>45140</v>
      </c>
      <c r="C98" s="526" t="s">
        <v>1138</v>
      </c>
      <c r="D98" s="525" t="s">
        <v>1114</v>
      </c>
      <c r="E98" s="527">
        <v>45108</v>
      </c>
      <c r="F98" s="529" t="s">
        <v>1148</v>
      </c>
      <c r="G98" s="525" t="s">
        <v>1280</v>
      </c>
      <c r="H98" s="532">
        <v>84.263636363636351</v>
      </c>
      <c r="I98" s="531" t="s">
        <v>296</v>
      </c>
      <c r="J98" s="459">
        <v>6000</v>
      </c>
      <c r="K98" s="459">
        <v>6000</v>
      </c>
      <c r="L98" s="459">
        <v>6000</v>
      </c>
      <c r="M98" s="459">
        <v>6000</v>
      </c>
      <c r="N98" s="525"/>
      <c r="O98" s="532">
        <v>3.5545454545454542</v>
      </c>
      <c r="P98" s="532">
        <v>0</v>
      </c>
      <c r="Q98" s="532">
        <v>0</v>
      </c>
      <c r="R98" s="532">
        <v>0</v>
      </c>
      <c r="S98" s="532">
        <v>2.754545454545454</v>
      </c>
      <c r="T98" s="533"/>
      <c r="U98" s="532">
        <v>3.2909090909090906</v>
      </c>
      <c r="V98" s="532">
        <v>0</v>
      </c>
      <c r="W98" s="532">
        <v>0</v>
      </c>
      <c r="X98" s="532">
        <v>0</v>
      </c>
      <c r="Y98" s="532">
        <v>2.6363636363636362</v>
      </c>
      <c r="Z98" s="533"/>
      <c r="AA98" s="533"/>
      <c r="AB98" s="533"/>
      <c r="AC98" s="533"/>
      <c r="AD98" s="533"/>
      <c r="AE98" s="533"/>
      <c r="AF98" s="533"/>
      <c r="AG98" s="528" t="s">
        <v>1143</v>
      </c>
      <c r="AH98" s="528" t="s">
        <v>1144</v>
      </c>
      <c r="AI98" s="333">
        <v>2</v>
      </c>
      <c r="AJ98" s="333">
        <v>4</v>
      </c>
      <c r="AK98" s="483">
        <v>0.33329999999999999</v>
      </c>
      <c r="AL98" s="483">
        <v>0.66659999999999997</v>
      </c>
      <c r="AM98" s="525" t="s">
        <v>1124</v>
      </c>
      <c r="AN98" s="528">
        <v>0</v>
      </c>
      <c r="AO98" s="528">
        <v>0</v>
      </c>
      <c r="AP98" s="528">
        <v>0</v>
      </c>
      <c r="AQ98" s="528">
        <v>0</v>
      </c>
      <c r="AR98" s="528">
        <v>0</v>
      </c>
      <c r="AS98" s="528">
        <v>0</v>
      </c>
      <c r="AT98" s="528">
        <v>0</v>
      </c>
      <c r="AU98" s="528">
        <v>0</v>
      </c>
      <c r="AV98" s="528">
        <v>0</v>
      </c>
      <c r="AW98" s="528">
        <v>0</v>
      </c>
      <c r="AX98" s="528">
        <v>0</v>
      </c>
      <c r="AY98" s="528">
        <v>0</v>
      </c>
      <c r="AZ98" s="528"/>
      <c r="BA98" s="528" t="s">
        <v>1145</v>
      </c>
      <c r="BB98" s="297"/>
      <c r="BC98" s="528" t="s">
        <v>1145</v>
      </c>
      <c r="BD98" s="528"/>
      <c r="BE98" s="528"/>
      <c r="BF98" s="528"/>
      <c r="BG98" s="529"/>
      <c r="BH98" s="525"/>
      <c r="BI98" s="528"/>
      <c r="BJ98" s="528" t="s">
        <v>4</v>
      </c>
      <c r="BK98" s="528"/>
      <c r="BL98" s="529"/>
      <c r="BM98" s="525"/>
      <c r="BN98" s="525"/>
    </row>
    <row r="99" spans="1:66" ht="13" customHeight="1" x14ac:dyDescent="0.2">
      <c r="A99" s="525">
        <v>2557</v>
      </c>
      <c r="B99" s="630">
        <v>45140</v>
      </c>
      <c r="C99" s="526" t="s">
        <v>1138</v>
      </c>
      <c r="D99" s="525" t="s">
        <v>1114</v>
      </c>
      <c r="E99" s="527">
        <v>45140</v>
      </c>
      <c r="F99" s="525" t="s">
        <v>1052</v>
      </c>
      <c r="G99" s="525" t="s">
        <v>1181</v>
      </c>
      <c r="H99" s="532">
        <v>96.472727272727269</v>
      </c>
      <c r="I99" s="531" t="s">
        <v>296</v>
      </c>
      <c r="J99" s="459">
        <v>6000</v>
      </c>
      <c r="K99" s="459">
        <v>12000</v>
      </c>
      <c r="L99" s="459">
        <v>84000</v>
      </c>
      <c r="M99" s="459">
        <v>84000</v>
      </c>
      <c r="N99" s="332"/>
      <c r="O99" s="532">
        <v>2.336363636363636</v>
      </c>
      <c r="P99" s="532">
        <v>2.2909090909090906</v>
      </c>
      <c r="Q99" s="532">
        <v>2.1818181818181817</v>
      </c>
      <c r="R99" s="532">
        <v>0</v>
      </c>
      <c r="S99" s="532">
        <v>2.1363636363636362</v>
      </c>
      <c r="T99" s="571"/>
      <c r="U99" s="532">
        <v>2.7727272727272725</v>
      </c>
      <c r="V99" s="532">
        <v>2.5090909090909088</v>
      </c>
      <c r="W99" s="532">
        <v>2.1818181818181817</v>
      </c>
      <c r="X99" s="532">
        <v>0</v>
      </c>
      <c r="Y99" s="532">
        <v>2.1727272727272728</v>
      </c>
      <c r="Z99" s="571"/>
      <c r="AA99" s="571"/>
      <c r="AB99" s="571"/>
      <c r="AC99" s="571"/>
      <c r="AD99" s="571"/>
      <c r="AE99" s="571"/>
      <c r="AF99" s="571"/>
      <c r="AG99" s="333" t="s">
        <v>297</v>
      </c>
      <c r="AH99" s="333" t="s">
        <v>298</v>
      </c>
      <c r="AI99" s="333">
        <v>2</v>
      </c>
      <c r="AJ99" s="333">
        <v>4</v>
      </c>
      <c r="AK99" s="483">
        <v>0.33329999999999999</v>
      </c>
      <c r="AL99" s="483">
        <v>0.66659999999999997</v>
      </c>
      <c r="AM99" s="525" t="s">
        <v>1124</v>
      </c>
      <c r="AN99" s="528">
        <v>0</v>
      </c>
      <c r="AO99" s="528">
        <v>0</v>
      </c>
      <c r="AP99" s="528">
        <v>0</v>
      </c>
      <c r="AQ99" s="528">
        <v>0</v>
      </c>
      <c r="AR99" s="528">
        <v>0</v>
      </c>
      <c r="AS99" s="528">
        <v>0</v>
      </c>
      <c r="AT99" s="528">
        <v>0</v>
      </c>
      <c r="AU99" s="528">
        <v>0</v>
      </c>
      <c r="AV99" s="528">
        <v>0</v>
      </c>
      <c r="AW99" s="528">
        <v>0</v>
      </c>
      <c r="AX99" s="528">
        <v>0</v>
      </c>
      <c r="AY99" s="528">
        <v>0</v>
      </c>
      <c r="AZ99" s="528"/>
      <c r="BA99" s="528" t="s">
        <v>1145</v>
      </c>
      <c r="BB99" s="297"/>
      <c r="BC99" s="528" t="s">
        <v>1145</v>
      </c>
      <c r="BD99" s="528"/>
      <c r="BE99" s="528"/>
      <c r="BF99" s="528"/>
      <c r="BG99" s="529"/>
      <c r="BH99" s="525"/>
      <c r="BI99" s="528"/>
      <c r="BJ99" s="528" t="s">
        <v>4</v>
      </c>
      <c r="BK99" s="528"/>
      <c r="BL99" s="529"/>
      <c r="BM99" s="529" t="s">
        <v>1230</v>
      </c>
      <c r="BN99" s="525"/>
    </row>
    <row r="100" spans="1:66" ht="13" customHeight="1" x14ac:dyDescent="0.2">
      <c r="A100" s="525">
        <v>3527</v>
      </c>
      <c r="B100" s="630">
        <v>45140</v>
      </c>
      <c r="C100" s="526" t="s">
        <v>1138</v>
      </c>
      <c r="D100" s="525" t="s">
        <v>1114</v>
      </c>
      <c r="E100" s="527">
        <v>45063</v>
      </c>
      <c r="F100" s="529" t="s">
        <v>1156</v>
      </c>
      <c r="G100" s="525" t="s">
        <v>1649</v>
      </c>
      <c r="H100" s="532">
        <v>124.7181818181818</v>
      </c>
      <c r="I100" s="531" t="s">
        <v>296</v>
      </c>
      <c r="J100" s="459">
        <v>6000</v>
      </c>
      <c r="K100" s="459">
        <v>12000</v>
      </c>
      <c r="L100" s="459">
        <v>84000</v>
      </c>
      <c r="M100" s="459">
        <v>84000</v>
      </c>
      <c r="N100" s="525"/>
      <c r="O100" s="532">
        <v>3.8272727272727267</v>
      </c>
      <c r="P100" s="532">
        <v>3.2454545454545451</v>
      </c>
      <c r="Q100" s="532">
        <v>2.5909090909090908</v>
      </c>
      <c r="R100" s="532">
        <v>0</v>
      </c>
      <c r="S100" s="532">
        <v>2.418181818181818</v>
      </c>
      <c r="T100" s="533"/>
      <c r="U100" s="532">
        <v>2.9727272727272727</v>
      </c>
      <c r="V100" s="532">
        <v>2.8272727272727267</v>
      </c>
      <c r="W100" s="532">
        <v>2.4636363636363634</v>
      </c>
      <c r="X100" s="532">
        <v>0</v>
      </c>
      <c r="Y100" s="532">
        <v>2.3727272727272726</v>
      </c>
      <c r="Z100" s="533"/>
      <c r="AA100" s="533"/>
      <c r="AB100" s="533"/>
      <c r="AC100" s="533"/>
      <c r="AD100" s="533"/>
      <c r="AE100" s="533"/>
      <c r="AF100" s="533"/>
      <c r="AG100" s="528" t="s">
        <v>1143</v>
      </c>
      <c r="AH100" s="528" t="s">
        <v>1144</v>
      </c>
      <c r="AI100" s="333">
        <v>2</v>
      </c>
      <c r="AJ100" s="333">
        <v>4</v>
      </c>
      <c r="AK100" s="483">
        <v>0.33329999999999999</v>
      </c>
      <c r="AL100" s="483">
        <v>0.66659999999999997</v>
      </c>
      <c r="AM100" s="525" t="s">
        <v>1124</v>
      </c>
      <c r="AN100" s="528">
        <v>25</v>
      </c>
      <c r="AO100" s="528">
        <v>0</v>
      </c>
      <c r="AP100" s="528">
        <v>0</v>
      </c>
      <c r="AQ100" s="528">
        <v>0</v>
      </c>
      <c r="AR100" s="528">
        <v>0</v>
      </c>
      <c r="AS100" s="528">
        <v>0</v>
      </c>
      <c r="AT100" s="528">
        <v>0</v>
      </c>
      <c r="AU100" s="528">
        <v>0</v>
      </c>
      <c r="AV100" s="528">
        <v>0</v>
      </c>
      <c r="AW100" s="528">
        <v>0</v>
      </c>
      <c r="AX100" s="528">
        <v>0</v>
      </c>
      <c r="AY100" s="528">
        <v>0</v>
      </c>
      <c r="AZ100" s="566">
        <v>12</v>
      </c>
      <c r="BA100" s="528" t="s">
        <v>1145</v>
      </c>
      <c r="BB100" s="297"/>
      <c r="BC100" s="528" t="s">
        <v>1145</v>
      </c>
      <c r="BD100" s="528"/>
      <c r="BE100" s="528"/>
      <c r="BF100" s="528"/>
      <c r="BG100" s="529"/>
      <c r="BH100" s="525"/>
      <c r="BI100" s="528"/>
      <c r="BJ100" s="528" t="s">
        <v>1146</v>
      </c>
      <c r="BK100" s="528"/>
      <c r="BL100" s="529"/>
      <c r="BM100" s="525"/>
      <c r="BN100" s="525"/>
    </row>
    <row r="101" spans="1:66" ht="13" customHeight="1" x14ac:dyDescent="0.2">
      <c r="A101" s="525">
        <v>2875</v>
      </c>
      <c r="B101" s="630">
        <v>45140</v>
      </c>
      <c r="C101" s="526" t="s">
        <v>1138</v>
      </c>
      <c r="D101" s="525" t="s">
        <v>1114</v>
      </c>
      <c r="E101" s="527">
        <v>45092</v>
      </c>
      <c r="F101" s="529" t="s">
        <v>1159</v>
      </c>
      <c r="G101" s="525" t="s">
        <v>1105</v>
      </c>
      <c r="H101" s="532">
        <v>109.88181818181818</v>
      </c>
      <c r="I101" s="531" t="s">
        <v>296</v>
      </c>
      <c r="J101" s="459">
        <v>6000</v>
      </c>
      <c r="K101" s="459">
        <v>12000</v>
      </c>
      <c r="L101" s="459">
        <v>84000</v>
      </c>
      <c r="M101" s="459">
        <v>84000</v>
      </c>
      <c r="N101" s="525"/>
      <c r="O101" s="532">
        <v>3.4545454545454541</v>
      </c>
      <c r="P101" s="532">
        <v>2.9545454545454541</v>
      </c>
      <c r="Q101" s="532">
        <v>2.1909090909090909</v>
      </c>
      <c r="R101" s="532">
        <v>0</v>
      </c>
      <c r="S101" s="532">
        <v>2.1818181818181817</v>
      </c>
      <c r="T101" s="533"/>
      <c r="U101" s="532">
        <v>2.9545454545454541</v>
      </c>
      <c r="V101" s="532">
        <v>2.4818181818181815</v>
      </c>
      <c r="W101" s="532">
        <v>2</v>
      </c>
      <c r="X101" s="532">
        <v>0</v>
      </c>
      <c r="Y101" s="532">
        <v>1.8909090909090909</v>
      </c>
      <c r="Z101" s="533"/>
      <c r="AA101" s="533"/>
      <c r="AB101" s="533"/>
      <c r="AC101" s="533"/>
      <c r="AD101" s="533"/>
      <c r="AE101" s="533"/>
      <c r="AF101" s="533"/>
      <c r="AG101" s="528" t="s">
        <v>1143</v>
      </c>
      <c r="AH101" s="528" t="s">
        <v>1144</v>
      </c>
      <c r="AI101" s="333">
        <v>2</v>
      </c>
      <c r="AJ101" s="333">
        <v>4</v>
      </c>
      <c r="AK101" s="483">
        <v>0.33329999999999999</v>
      </c>
      <c r="AL101" s="483">
        <v>0.66659999999999997</v>
      </c>
      <c r="AM101" s="525" t="s">
        <v>1124</v>
      </c>
      <c r="AN101" s="528">
        <v>0</v>
      </c>
      <c r="AO101" s="528">
        <v>0</v>
      </c>
      <c r="AP101" s="528">
        <v>0</v>
      </c>
      <c r="AQ101" s="528">
        <v>0</v>
      </c>
      <c r="AR101" s="528">
        <v>0</v>
      </c>
      <c r="AS101" s="528">
        <v>0</v>
      </c>
      <c r="AT101" s="528">
        <v>0</v>
      </c>
      <c r="AU101" s="528">
        <v>0</v>
      </c>
      <c r="AV101" s="528">
        <v>0</v>
      </c>
      <c r="AW101" s="528">
        <v>0</v>
      </c>
      <c r="AX101" s="528">
        <v>0</v>
      </c>
      <c r="AY101" s="528">
        <v>0</v>
      </c>
      <c r="AZ101" s="528"/>
      <c r="BA101" s="528" t="s">
        <v>1145</v>
      </c>
      <c r="BB101" s="297"/>
      <c r="BC101" s="528" t="s">
        <v>1145</v>
      </c>
      <c r="BD101" s="528"/>
      <c r="BE101" s="528"/>
      <c r="BF101" s="564">
        <v>45535</v>
      </c>
      <c r="BG101" s="529"/>
      <c r="BH101" s="525"/>
      <c r="BI101" s="528"/>
      <c r="BJ101" s="528" t="s">
        <v>1146</v>
      </c>
      <c r="BK101" s="528"/>
      <c r="BL101" s="529"/>
      <c r="BM101" s="529"/>
      <c r="BN101" s="525"/>
    </row>
    <row r="102" spans="1:66" ht="13" customHeight="1" x14ac:dyDescent="0.2">
      <c r="A102" s="525">
        <v>3373</v>
      </c>
      <c r="B102" s="630">
        <v>45140</v>
      </c>
      <c r="C102" s="526" t="s">
        <v>1138</v>
      </c>
      <c r="D102" s="525" t="s">
        <v>1114</v>
      </c>
      <c r="E102" s="527">
        <v>45108</v>
      </c>
      <c r="F102" s="529" t="s">
        <v>1166</v>
      </c>
      <c r="G102" s="525" t="s">
        <v>1651</v>
      </c>
      <c r="H102" s="532">
        <v>85.11818181818181</v>
      </c>
      <c r="I102" s="531"/>
      <c r="J102" s="568"/>
      <c r="K102" s="525"/>
      <c r="L102" s="525"/>
      <c r="M102" s="525"/>
      <c r="N102" s="525"/>
      <c r="O102" s="532">
        <v>2.7363636363636359</v>
      </c>
      <c r="P102" s="532">
        <v>0</v>
      </c>
      <c r="Q102" s="532">
        <v>0</v>
      </c>
      <c r="R102" s="532">
        <v>0</v>
      </c>
      <c r="S102" s="532">
        <v>0</v>
      </c>
      <c r="T102" s="533"/>
      <c r="U102" s="532">
        <v>2.7363636363636359</v>
      </c>
      <c r="V102" s="532">
        <v>0</v>
      </c>
      <c r="W102" s="532">
        <v>0</v>
      </c>
      <c r="X102" s="532">
        <v>0</v>
      </c>
      <c r="Y102" s="532">
        <v>0</v>
      </c>
      <c r="Z102" s="533"/>
      <c r="AA102" s="533"/>
      <c r="AB102" s="533"/>
      <c r="AC102" s="533"/>
      <c r="AD102" s="533"/>
      <c r="AE102" s="533"/>
      <c r="AF102" s="533"/>
      <c r="AG102" s="528" t="s">
        <v>1145</v>
      </c>
      <c r="AH102" s="528"/>
      <c r="AI102" s="528">
        <v>3</v>
      </c>
      <c r="AJ102" s="528">
        <v>3</v>
      </c>
      <c r="AK102" s="480">
        <v>0.5</v>
      </c>
      <c r="AL102" s="480">
        <v>0.5</v>
      </c>
      <c r="AM102" s="525"/>
      <c r="AN102" s="528">
        <v>0</v>
      </c>
      <c r="AO102" s="528">
        <v>0</v>
      </c>
      <c r="AP102" s="528">
        <v>0</v>
      </c>
      <c r="AQ102" s="528">
        <v>0</v>
      </c>
      <c r="AR102" s="528">
        <v>0</v>
      </c>
      <c r="AS102" s="528">
        <v>0</v>
      </c>
      <c r="AT102" s="528">
        <v>0</v>
      </c>
      <c r="AU102" s="528">
        <v>0</v>
      </c>
      <c r="AV102" s="528">
        <v>0</v>
      </c>
      <c r="AW102" s="528">
        <v>0</v>
      </c>
      <c r="AX102" s="528">
        <v>0</v>
      </c>
      <c r="AY102" s="528">
        <v>0</v>
      </c>
      <c r="AZ102" s="528"/>
      <c r="BA102" s="528" t="s">
        <v>1145</v>
      </c>
      <c r="BB102" s="297"/>
      <c r="BC102" s="528" t="s">
        <v>1145</v>
      </c>
      <c r="BD102" s="528"/>
      <c r="BE102" s="528"/>
      <c r="BF102" s="528"/>
      <c r="BG102" s="529"/>
      <c r="BH102" s="525"/>
      <c r="BI102" s="528"/>
      <c r="BJ102" s="528" t="s">
        <v>1146</v>
      </c>
      <c r="BK102" s="528"/>
      <c r="BL102" s="529"/>
      <c r="BM102" s="525"/>
      <c r="BN102" s="525"/>
    </row>
    <row r="103" spans="1:66" ht="13" customHeight="1" x14ac:dyDescent="0.2">
      <c r="A103" s="525">
        <v>2401</v>
      </c>
      <c r="B103" s="630">
        <v>45140</v>
      </c>
      <c r="C103" s="526" t="s">
        <v>1138</v>
      </c>
      <c r="D103" s="525" t="s">
        <v>1114</v>
      </c>
      <c r="E103" s="570">
        <v>45035</v>
      </c>
      <c r="F103" s="529" t="s">
        <v>1168</v>
      </c>
      <c r="G103" s="525" t="s">
        <v>1297</v>
      </c>
      <c r="H103" s="532">
        <v>85.999999999999986</v>
      </c>
      <c r="I103" s="531" t="s">
        <v>296</v>
      </c>
      <c r="J103" s="459">
        <v>6000</v>
      </c>
      <c r="K103" s="459">
        <v>12000</v>
      </c>
      <c r="L103" s="459">
        <v>84000</v>
      </c>
      <c r="M103" s="459">
        <v>84000</v>
      </c>
      <c r="N103" s="525"/>
      <c r="O103" s="532">
        <v>3.2181818181818178</v>
      </c>
      <c r="P103" s="532">
        <v>3.1999999999999997</v>
      </c>
      <c r="Q103" s="532">
        <v>2.1727272727272728</v>
      </c>
      <c r="R103" s="532">
        <v>0</v>
      </c>
      <c r="S103" s="532">
        <v>2.1181818181818182</v>
      </c>
      <c r="T103" s="533"/>
      <c r="U103" s="532">
        <v>2.5818181818181816</v>
      </c>
      <c r="V103" s="532">
        <v>2.2909090909090906</v>
      </c>
      <c r="W103" s="532">
        <v>2</v>
      </c>
      <c r="X103" s="532">
        <v>0</v>
      </c>
      <c r="Y103" s="532">
        <v>1.8999999999999997</v>
      </c>
      <c r="Z103" s="533"/>
      <c r="AA103" s="533"/>
      <c r="AB103" s="533"/>
      <c r="AC103" s="533"/>
      <c r="AD103" s="533"/>
      <c r="AE103" s="533"/>
      <c r="AF103" s="533"/>
      <c r="AG103" s="528" t="s">
        <v>1143</v>
      </c>
      <c r="AH103" s="528" t="s">
        <v>1144</v>
      </c>
      <c r="AI103" s="333">
        <v>2</v>
      </c>
      <c r="AJ103" s="333">
        <v>4</v>
      </c>
      <c r="AK103" s="483">
        <v>0.33329999999999999</v>
      </c>
      <c r="AL103" s="483">
        <v>0.66659999999999997</v>
      </c>
      <c r="AM103" s="525" t="s">
        <v>1124</v>
      </c>
      <c r="AN103" s="528">
        <v>0</v>
      </c>
      <c r="AO103" s="528">
        <v>0</v>
      </c>
      <c r="AP103" s="528">
        <v>0</v>
      </c>
      <c r="AQ103" s="528">
        <v>0</v>
      </c>
      <c r="AR103" s="528">
        <v>0</v>
      </c>
      <c r="AS103" s="528">
        <v>0</v>
      </c>
      <c r="AT103" s="528">
        <v>0</v>
      </c>
      <c r="AU103" s="528">
        <v>0</v>
      </c>
      <c r="AV103" s="528">
        <v>0</v>
      </c>
      <c r="AW103" s="528">
        <v>0</v>
      </c>
      <c r="AX103" s="528">
        <v>0</v>
      </c>
      <c r="AY103" s="528">
        <v>0</v>
      </c>
      <c r="AZ103" s="528"/>
      <c r="BA103" s="528" t="s">
        <v>1145</v>
      </c>
      <c r="BB103" s="297"/>
      <c r="BC103" s="528" t="s">
        <v>1145</v>
      </c>
      <c r="BD103" s="528"/>
      <c r="BE103" s="528"/>
      <c r="BF103" s="528"/>
      <c r="BG103" s="529"/>
      <c r="BH103" s="525"/>
      <c r="BI103" s="528"/>
      <c r="BJ103" s="528" t="s">
        <v>1146</v>
      </c>
      <c r="BK103" s="528"/>
      <c r="BL103" s="529"/>
      <c r="BM103" s="529"/>
      <c r="BN103" s="525"/>
    </row>
    <row r="104" spans="1:66" ht="13" customHeight="1" x14ac:dyDescent="0.2">
      <c r="A104" s="525">
        <v>269</v>
      </c>
      <c r="B104" s="630">
        <v>45140</v>
      </c>
      <c r="C104" s="526" t="s">
        <v>1138</v>
      </c>
      <c r="D104" s="525" t="s">
        <v>1114</v>
      </c>
      <c r="E104" s="527">
        <v>45108</v>
      </c>
      <c r="F104" s="529" t="s">
        <v>1169</v>
      </c>
      <c r="G104" s="525" t="s">
        <v>1758</v>
      </c>
      <c r="H104" s="532">
        <v>93.063636363636363</v>
      </c>
      <c r="I104" s="531" t="s">
        <v>296</v>
      </c>
      <c r="J104" s="459">
        <v>6000</v>
      </c>
      <c r="K104" s="459">
        <v>12000</v>
      </c>
      <c r="L104" s="459">
        <v>84000</v>
      </c>
      <c r="M104" s="459">
        <v>84000</v>
      </c>
      <c r="N104" s="525"/>
      <c r="O104" s="532">
        <v>3.5</v>
      </c>
      <c r="P104" s="532">
        <v>3.4363636363636361</v>
      </c>
      <c r="Q104" s="532">
        <v>2.3272727272727272</v>
      </c>
      <c r="R104" s="532">
        <v>0</v>
      </c>
      <c r="S104" s="532">
        <v>2.2818181818181813</v>
      </c>
      <c r="T104" s="533"/>
      <c r="U104" s="532">
        <v>2.6818181818181817</v>
      </c>
      <c r="V104" s="532">
        <v>2.5818181818181816</v>
      </c>
      <c r="W104" s="532">
        <v>2.3090909090909091</v>
      </c>
      <c r="X104" s="532">
        <v>0</v>
      </c>
      <c r="Y104" s="532">
        <v>2.1727272727272728</v>
      </c>
      <c r="Z104" s="533"/>
      <c r="AA104" s="533"/>
      <c r="AB104" s="533"/>
      <c r="AC104" s="533"/>
      <c r="AD104" s="533"/>
      <c r="AE104" s="533"/>
      <c r="AF104" s="533"/>
      <c r="AG104" s="528" t="s">
        <v>297</v>
      </c>
      <c r="AH104" s="528" t="s">
        <v>298</v>
      </c>
      <c r="AI104" s="333">
        <v>2</v>
      </c>
      <c r="AJ104" s="333">
        <v>4</v>
      </c>
      <c r="AK104" s="483">
        <v>0.33329999999999999</v>
      </c>
      <c r="AL104" s="483">
        <v>0.66659999999999997</v>
      </c>
      <c r="AM104" s="525" t="s">
        <v>1124</v>
      </c>
      <c r="AN104" s="528">
        <v>10</v>
      </c>
      <c r="AO104" s="528">
        <v>0</v>
      </c>
      <c r="AP104" s="528">
        <v>0</v>
      </c>
      <c r="AQ104" s="528">
        <v>0</v>
      </c>
      <c r="AR104" s="528">
        <v>0</v>
      </c>
      <c r="AS104" s="528">
        <v>0</v>
      </c>
      <c r="AT104" s="528">
        <v>0</v>
      </c>
      <c r="AU104" s="528">
        <v>0</v>
      </c>
      <c r="AV104" s="528">
        <v>0</v>
      </c>
      <c r="AW104" s="528">
        <v>0</v>
      </c>
      <c r="AX104" s="528">
        <v>0</v>
      </c>
      <c r="AY104" s="528">
        <v>0</v>
      </c>
      <c r="AZ104" s="528"/>
      <c r="BA104" s="528" t="s">
        <v>1145</v>
      </c>
      <c r="BB104" s="297"/>
      <c r="BC104" s="528" t="s">
        <v>1145</v>
      </c>
      <c r="BD104" s="528"/>
      <c r="BE104" s="528"/>
      <c r="BF104" s="528"/>
      <c r="BG104" s="529"/>
      <c r="BH104" s="525"/>
      <c r="BI104" s="528"/>
      <c r="BJ104" s="528" t="s">
        <v>1146</v>
      </c>
      <c r="BK104" s="528"/>
      <c r="BL104" s="529"/>
      <c r="BM104" s="529"/>
      <c r="BN104" s="525"/>
    </row>
    <row r="105" spans="1:66" ht="13" customHeight="1" x14ac:dyDescent="0.2">
      <c r="A105" s="525">
        <v>1689</v>
      </c>
      <c r="B105" s="630">
        <v>45140</v>
      </c>
      <c r="C105" s="526" t="s">
        <v>295</v>
      </c>
      <c r="D105" s="525" t="s">
        <v>1114</v>
      </c>
      <c r="E105" s="527">
        <v>45103</v>
      </c>
      <c r="F105" s="529" t="s">
        <v>1106</v>
      </c>
      <c r="G105" s="525" t="s">
        <v>2</v>
      </c>
      <c r="H105" s="532">
        <v>89.999999999999986</v>
      </c>
      <c r="I105" s="531" t="s">
        <v>296</v>
      </c>
      <c r="J105" s="459">
        <v>6000</v>
      </c>
      <c r="K105" s="459">
        <v>6000</v>
      </c>
      <c r="L105" s="459">
        <v>6000</v>
      </c>
      <c r="M105" s="459">
        <v>6000</v>
      </c>
      <c r="N105" s="525"/>
      <c r="O105" s="532">
        <v>2.8636363636363633</v>
      </c>
      <c r="P105" s="532">
        <v>0</v>
      </c>
      <c r="Q105" s="532">
        <v>0</v>
      </c>
      <c r="R105" s="532">
        <v>0</v>
      </c>
      <c r="S105" s="532">
        <v>2.6636363636363636</v>
      </c>
      <c r="T105" s="533"/>
      <c r="U105" s="532">
        <v>2.8636363636363633</v>
      </c>
      <c r="V105" s="532">
        <v>0</v>
      </c>
      <c r="W105" s="532">
        <v>0</v>
      </c>
      <c r="X105" s="532">
        <v>0</v>
      </c>
      <c r="Y105" s="532">
        <v>2.6636363636363636</v>
      </c>
      <c r="Z105" s="533"/>
      <c r="AA105" s="533"/>
      <c r="AB105" s="533"/>
      <c r="AC105" s="533"/>
      <c r="AD105" s="533"/>
      <c r="AE105" s="533"/>
      <c r="AF105" s="533"/>
      <c r="AG105" s="528" t="s">
        <v>297</v>
      </c>
      <c r="AH105" s="528" t="s">
        <v>298</v>
      </c>
      <c r="AI105" s="333">
        <v>2</v>
      </c>
      <c r="AJ105" s="333">
        <v>4</v>
      </c>
      <c r="AK105" s="483">
        <v>0.33329999999999999</v>
      </c>
      <c r="AL105" s="483">
        <v>0.66659999999999997</v>
      </c>
      <c r="AM105" s="525" t="s">
        <v>1124</v>
      </c>
      <c r="AN105" s="528">
        <v>0</v>
      </c>
      <c r="AO105" s="528">
        <v>0</v>
      </c>
      <c r="AP105" s="528">
        <v>2</v>
      </c>
      <c r="AQ105" s="528">
        <v>0</v>
      </c>
      <c r="AR105" s="528">
        <v>0</v>
      </c>
      <c r="AS105" s="528">
        <v>0</v>
      </c>
      <c r="AT105" s="528">
        <v>0</v>
      </c>
      <c r="AU105" s="528">
        <v>0</v>
      </c>
      <c r="AV105" s="528">
        <v>0</v>
      </c>
      <c r="AW105" s="528">
        <v>0</v>
      </c>
      <c r="AX105" s="528">
        <v>0</v>
      </c>
      <c r="AY105" s="528">
        <v>0</v>
      </c>
      <c r="AZ105" s="528"/>
      <c r="BA105" s="528" t="s">
        <v>1145</v>
      </c>
      <c r="BB105" s="297"/>
      <c r="BC105" s="528" t="s">
        <v>1145</v>
      </c>
      <c r="BD105" s="528"/>
      <c r="BE105" s="528"/>
      <c r="BF105" s="529"/>
      <c r="BG105" s="529"/>
      <c r="BH105" s="525"/>
      <c r="BI105" s="528"/>
      <c r="BJ105" s="528" t="s">
        <v>1146</v>
      </c>
      <c r="BK105" s="528">
        <v>1</v>
      </c>
      <c r="BL105" s="525"/>
      <c r="BM105" s="529"/>
      <c r="BN105" s="525"/>
    </row>
    <row r="106" spans="1:66" ht="13" customHeight="1" x14ac:dyDescent="0.2">
      <c r="A106" s="525">
        <v>2743</v>
      </c>
      <c r="B106" s="630">
        <v>45140</v>
      </c>
      <c r="C106" s="526" t="s">
        <v>1138</v>
      </c>
      <c r="D106" s="525" t="s">
        <v>1114</v>
      </c>
      <c r="E106" s="527">
        <v>45108</v>
      </c>
      <c r="F106" s="525" t="s">
        <v>1274</v>
      </c>
      <c r="G106" s="525" t="s">
        <v>1467</v>
      </c>
      <c r="H106" s="532">
        <v>97</v>
      </c>
      <c r="I106" s="531" t="s">
        <v>296</v>
      </c>
      <c r="J106" s="409">
        <v>6000</v>
      </c>
      <c r="K106" s="332">
        <v>13500</v>
      </c>
      <c r="L106" s="332">
        <v>13500</v>
      </c>
      <c r="M106" s="332">
        <v>13500</v>
      </c>
      <c r="N106" s="332"/>
      <c r="O106" s="532">
        <v>3.7999999999999994</v>
      </c>
      <c r="P106" s="532">
        <v>3.4</v>
      </c>
      <c r="Q106" s="532">
        <v>0</v>
      </c>
      <c r="R106" s="532">
        <v>0</v>
      </c>
      <c r="S106" s="532">
        <v>2.7</v>
      </c>
      <c r="T106" s="571"/>
      <c r="U106" s="532">
        <v>3.7999999999999994</v>
      </c>
      <c r="V106" s="532">
        <v>3.4</v>
      </c>
      <c r="W106" s="532">
        <v>0</v>
      </c>
      <c r="X106" s="532">
        <v>0</v>
      </c>
      <c r="Y106" s="532">
        <v>2.7</v>
      </c>
      <c r="Z106" s="571"/>
      <c r="AA106" s="571"/>
      <c r="AB106" s="571"/>
      <c r="AC106" s="571"/>
      <c r="AD106" s="571"/>
      <c r="AE106" s="571"/>
      <c r="AF106" s="571"/>
      <c r="AG106" s="333" t="s">
        <v>1145</v>
      </c>
      <c r="AH106" s="333"/>
      <c r="AI106" s="528">
        <v>3</v>
      </c>
      <c r="AJ106" s="528">
        <v>3</v>
      </c>
      <c r="AK106" s="480">
        <v>0.5</v>
      </c>
      <c r="AL106" s="480">
        <v>0.5</v>
      </c>
      <c r="AM106" s="525"/>
      <c r="AN106" s="528">
        <v>0</v>
      </c>
      <c r="AO106" s="528">
        <v>7</v>
      </c>
      <c r="AP106" s="528">
        <v>0</v>
      </c>
      <c r="AQ106" s="528">
        <v>3</v>
      </c>
      <c r="AR106" s="528">
        <v>0</v>
      </c>
      <c r="AS106" s="528">
        <v>0</v>
      </c>
      <c r="AT106" s="528">
        <v>0</v>
      </c>
      <c r="AU106" s="528">
        <v>0</v>
      </c>
      <c r="AV106" s="528">
        <v>0</v>
      </c>
      <c r="AW106" s="528">
        <v>0</v>
      </c>
      <c r="AX106" s="528">
        <v>0</v>
      </c>
      <c r="AY106" s="528">
        <v>0</v>
      </c>
      <c r="AZ106" s="528"/>
      <c r="BA106" s="528" t="s">
        <v>1145</v>
      </c>
      <c r="BB106" s="297"/>
      <c r="BC106" s="528" t="s">
        <v>1145</v>
      </c>
      <c r="BD106" s="528"/>
      <c r="BE106" s="528"/>
      <c r="BF106" s="528"/>
      <c r="BG106" s="529"/>
      <c r="BH106" s="525"/>
      <c r="BI106" s="528"/>
      <c r="BJ106" s="528" t="s">
        <v>1146</v>
      </c>
      <c r="BK106" s="528">
        <v>1</v>
      </c>
      <c r="BL106" s="529"/>
      <c r="BM106" s="529"/>
      <c r="BN106" s="525"/>
    </row>
    <row r="107" spans="1:66" ht="13" customHeight="1" x14ac:dyDescent="0.2">
      <c r="A107" s="525">
        <v>2934</v>
      </c>
      <c r="B107" s="630">
        <v>45140</v>
      </c>
      <c r="C107" s="526" t="s">
        <v>1138</v>
      </c>
      <c r="D107" s="525" t="s">
        <v>1114</v>
      </c>
      <c r="E107" s="527">
        <v>45139</v>
      </c>
      <c r="F107" s="525" t="s">
        <v>1483</v>
      </c>
      <c r="G107" s="525" t="s">
        <v>1550</v>
      </c>
      <c r="H107" s="532">
        <v>116.99999999999999</v>
      </c>
      <c r="I107" s="531" t="s">
        <v>296</v>
      </c>
      <c r="J107" s="459">
        <v>6000</v>
      </c>
      <c r="K107" s="459">
        <v>12000</v>
      </c>
      <c r="L107" s="459">
        <v>84000</v>
      </c>
      <c r="M107" s="459">
        <v>84000</v>
      </c>
      <c r="N107" s="332"/>
      <c r="O107" s="532">
        <v>3.4181818181818175</v>
      </c>
      <c r="P107" s="532">
        <v>3.1999999999999997</v>
      </c>
      <c r="Q107" s="532">
        <v>2.9909090909090907</v>
      </c>
      <c r="R107" s="532">
        <v>0</v>
      </c>
      <c r="S107" s="532">
        <v>2.8363636363636364</v>
      </c>
      <c r="T107" s="571"/>
      <c r="U107" s="532">
        <v>2.9272727272727272</v>
      </c>
      <c r="V107" s="532">
        <v>2.7272727272727271</v>
      </c>
      <c r="W107" s="532">
        <v>2.6818181818181817</v>
      </c>
      <c r="X107" s="532">
        <v>0</v>
      </c>
      <c r="Y107" s="532">
        <v>2.6545454545454543</v>
      </c>
      <c r="Z107" s="571"/>
      <c r="AA107" s="571"/>
      <c r="AB107" s="571"/>
      <c r="AC107" s="571"/>
      <c r="AD107" s="571"/>
      <c r="AE107" s="571"/>
      <c r="AF107" s="571"/>
      <c r="AG107" s="333" t="s">
        <v>1143</v>
      </c>
      <c r="AH107" s="333" t="s">
        <v>1144</v>
      </c>
      <c r="AI107" s="333">
        <v>2</v>
      </c>
      <c r="AJ107" s="333">
        <v>4</v>
      </c>
      <c r="AK107" s="483">
        <v>0.33329999999999999</v>
      </c>
      <c r="AL107" s="483">
        <v>0.66659999999999997</v>
      </c>
      <c r="AM107" s="525" t="s">
        <v>1124</v>
      </c>
      <c r="AN107" s="528">
        <v>0</v>
      </c>
      <c r="AO107" s="528">
        <v>0</v>
      </c>
      <c r="AP107" s="528">
        <v>0</v>
      </c>
      <c r="AQ107" s="528">
        <v>0</v>
      </c>
      <c r="AR107" s="528">
        <v>0</v>
      </c>
      <c r="AS107" s="528">
        <v>0</v>
      </c>
      <c r="AT107" s="528">
        <v>0</v>
      </c>
      <c r="AU107" s="528">
        <v>0</v>
      </c>
      <c r="AV107" s="528">
        <v>0</v>
      </c>
      <c r="AW107" s="528">
        <v>0</v>
      </c>
      <c r="AX107" s="528">
        <v>0</v>
      </c>
      <c r="AY107" s="528">
        <v>0</v>
      </c>
      <c r="AZ107" s="528"/>
      <c r="BA107" s="528" t="s">
        <v>1145</v>
      </c>
      <c r="BB107" s="297"/>
      <c r="BC107" s="528" t="s">
        <v>1145</v>
      </c>
      <c r="BD107" s="528"/>
      <c r="BE107" s="528"/>
      <c r="BF107" s="564"/>
      <c r="BG107" s="529"/>
      <c r="BH107" s="525"/>
      <c r="BI107" s="528"/>
      <c r="BJ107" s="528" t="s">
        <v>4</v>
      </c>
      <c r="BK107" s="528"/>
      <c r="BL107" s="529"/>
      <c r="BM107" s="525"/>
      <c r="BN107" s="525"/>
    </row>
    <row r="108" spans="1:66" ht="16" x14ac:dyDescent="0.2">
      <c r="A108" s="525">
        <v>3702</v>
      </c>
      <c r="B108" s="630">
        <v>45140</v>
      </c>
      <c r="C108" s="526" t="s">
        <v>1138</v>
      </c>
      <c r="D108" s="525" t="s">
        <v>1114</v>
      </c>
      <c r="E108" s="527">
        <v>45096</v>
      </c>
      <c r="F108" s="525" t="s">
        <v>1057</v>
      </c>
      <c r="G108" s="525" t="s">
        <v>1734</v>
      </c>
      <c r="H108" s="532">
        <v>126.81818181818181</v>
      </c>
      <c r="I108" s="531" t="s">
        <v>296</v>
      </c>
      <c r="J108" s="459">
        <v>6000</v>
      </c>
      <c r="K108" s="459">
        <v>12000</v>
      </c>
      <c r="L108" s="459">
        <v>84000</v>
      </c>
      <c r="M108" s="459">
        <v>84000</v>
      </c>
      <c r="N108" s="297"/>
      <c r="O108" s="532">
        <v>2.8</v>
      </c>
      <c r="P108" s="532">
        <v>2.5999999999999996</v>
      </c>
      <c r="Q108" s="532">
        <v>2.1999999999999997</v>
      </c>
      <c r="R108" s="532">
        <v>0</v>
      </c>
      <c r="S108" s="532">
        <v>2.1999999999999997</v>
      </c>
      <c r="T108" s="571"/>
      <c r="U108" s="532">
        <v>2.4</v>
      </c>
      <c r="V108" s="532">
        <v>2.2999999999999998</v>
      </c>
      <c r="W108" s="532">
        <v>2.1999999999999997</v>
      </c>
      <c r="X108" s="532">
        <v>0</v>
      </c>
      <c r="Y108" s="532">
        <v>2.1999999999999997</v>
      </c>
      <c r="Z108" s="297"/>
      <c r="AA108" s="297"/>
      <c r="AB108" s="297"/>
      <c r="AC108" s="297"/>
      <c r="AD108" s="297"/>
      <c r="AE108" s="297"/>
      <c r="AF108" s="297"/>
      <c r="AG108" s="333" t="s">
        <v>1143</v>
      </c>
      <c r="AH108" s="333" t="s">
        <v>1144</v>
      </c>
      <c r="AI108" s="333">
        <v>2</v>
      </c>
      <c r="AJ108" s="333">
        <v>4</v>
      </c>
      <c r="AK108" s="483">
        <v>0.33329999999999999</v>
      </c>
      <c r="AL108" s="483">
        <v>0.66659999999999997</v>
      </c>
      <c r="AM108" s="525" t="s">
        <v>1124</v>
      </c>
      <c r="AN108" s="528">
        <v>0</v>
      </c>
      <c r="AO108" s="528">
        <v>0</v>
      </c>
      <c r="AP108" s="528">
        <v>0</v>
      </c>
      <c r="AQ108" s="528">
        <v>0</v>
      </c>
      <c r="AR108" s="528">
        <v>0</v>
      </c>
      <c r="AS108" s="528">
        <v>0</v>
      </c>
      <c r="AT108" s="528">
        <v>0</v>
      </c>
      <c r="AU108" s="528">
        <v>0</v>
      </c>
      <c r="AV108" s="528">
        <v>0</v>
      </c>
      <c r="AW108" s="528">
        <v>0</v>
      </c>
      <c r="AX108" s="528">
        <v>0</v>
      </c>
      <c r="AY108" s="528">
        <v>0</v>
      </c>
      <c r="AZ108" s="528"/>
      <c r="BA108" s="528" t="s">
        <v>1145</v>
      </c>
      <c r="BB108" s="297"/>
      <c r="BC108" s="528" t="s">
        <v>1145</v>
      </c>
      <c r="BD108" s="528"/>
      <c r="BE108" s="528"/>
      <c r="BF108" s="528"/>
      <c r="BG108" s="529"/>
      <c r="BH108" s="525"/>
      <c r="BI108" s="528"/>
      <c r="BJ108" s="528" t="s">
        <v>1146</v>
      </c>
      <c r="BK108" s="528"/>
      <c r="BL108" s="529" t="s">
        <v>1735</v>
      </c>
      <c r="BM108" s="569"/>
      <c r="BN108" s="525"/>
    </row>
    <row r="109" spans="1:66" ht="13" customHeight="1" x14ac:dyDescent="0.2">
      <c r="A109" s="525">
        <v>3632</v>
      </c>
      <c r="B109" s="630">
        <v>45140</v>
      </c>
      <c r="C109" s="526" t="s">
        <v>1138</v>
      </c>
      <c r="D109" s="525" t="s">
        <v>1114</v>
      </c>
      <c r="E109" s="527">
        <v>45127</v>
      </c>
      <c r="F109" s="525" t="s">
        <v>1173</v>
      </c>
      <c r="G109" s="525" t="s">
        <v>1705</v>
      </c>
      <c r="H109" s="532">
        <v>75</v>
      </c>
      <c r="I109" s="531" t="s">
        <v>296</v>
      </c>
      <c r="J109" s="631">
        <v>6000</v>
      </c>
      <c r="K109" s="631">
        <v>12000</v>
      </c>
      <c r="L109" s="631">
        <v>84000</v>
      </c>
      <c r="M109" s="631">
        <v>84000</v>
      </c>
      <c r="N109" s="332"/>
      <c r="O109" s="532">
        <v>2.7727272727272725</v>
      </c>
      <c r="P109" s="532">
        <v>2.754545454545454</v>
      </c>
      <c r="Q109" s="532">
        <v>2.7181818181818183</v>
      </c>
      <c r="R109" s="532">
        <v>0</v>
      </c>
      <c r="S109" s="532">
        <v>2.7</v>
      </c>
      <c r="T109" s="571"/>
      <c r="U109" s="532">
        <v>2.2999999999999998</v>
      </c>
      <c r="V109" s="532">
        <v>2.2818181818181813</v>
      </c>
      <c r="W109" s="532">
        <v>2.1</v>
      </c>
      <c r="X109" s="532">
        <v>0</v>
      </c>
      <c r="Y109" s="532">
        <v>2.0909090909090904</v>
      </c>
      <c r="Z109" s="571"/>
      <c r="AA109" s="571"/>
      <c r="AB109" s="571"/>
      <c r="AC109" s="571"/>
      <c r="AD109" s="571"/>
      <c r="AE109" s="571"/>
      <c r="AF109" s="571"/>
      <c r="AG109" s="333" t="s">
        <v>1143</v>
      </c>
      <c r="AH109" s="333" t="s">
        <v>1144</v>
      </c>
      <c r="AI109" s="333">
        <v>2</v>
      </c>
      <c r="AJ109" s="333">
        <v>4</v>
      </c>
      <c r="AK109" s="483">
        <v>0.33329999999999999</v>
      </c>
      <c r="AL109" s="483">
        <v>0.66659999999999997</v>
      </c>
      <c r="AM109" s="525" t="s">
        <v>1124</v>
      </c>
      <c r="AN109" s="528">
        <v>0</v>
      </c>
      <c r="AO109" s="528">
        <v>0</v>
      </c>
      <c r="AP109" s="528">
        <v>0</v>
      </c>
      <c r="AQ109" s="528">
        <v>0</v>
      </c>
      <c r="AR109" s="528">
        <v>0</v>
      </c>
      <c r="AS109" s="528">
        <v>0</v>
      </c>
      <c r="AT109" s="528">
        <v>0</v>
      </c>
      <c r="AU109" s="528">
        <v>0</v>
      </c>
      <c r="AV109" s="528">
        <v>0</v>
      </c>
      <c r="AW109" s="528">
        <v>0</v>
      </c>
      <c r="AX109" s="528">
        <v>0</v>
      </c>
      <c r="AY109" s="528">
        <v>0</v>
      </c>
      <c r="AZ109" s="528"/>
      <c r="BA109" s="528" t="s">
        <v>1145</v>
      </c>
      <c r="BB109" s="297"/>
      <c r="BC109" s="528" t="s">
        <v>1145</v>
      </c>
      <c r="BD109" s="528"/>
      <c r="BE109" s="528"/>
      <c r="BF109" s="564"/>
      <c r="BG109" s="529"/>
      <c r="BH109" s="525"/>
      <c r="BI109" s="528"/>
      <c r="BJ109" s="528" t="s">
        <v>4</v>
      </c>
      <c r="BK109" s="528"/>
      <c r="BL109" s="529"/>
      <c r="BM109" s="525"/>
      <c r="BN109" s="525"/>
    </row>
    <row r="110" spans="1:66" ht="13" customHeight="1" x14ac:dyDescent="0.2">
      <c r="A110" s="525" t="s">
        <v>1749</v>
      </c>
      <c r="B110" s="630">
        <v>45140</v>
      </c>
      <c r="C110" s="526" t="s">
        <v>1138</v>
      </c>
      <c r="D110" s="525" t="s">
        <v>1114</v>
      </c>
      <c r="E110" s="527">
        <v>45108</v>
      </c>
      <c r="F110" s="529" t="s">
        <v>1750</v>
      </c>
      <c r="G110" s="525" t="s">
        <v>1751</v>
      </c>
      <c r="H110" s="532">
        <v>84.972727272727269</v>
      </c>
      <c r="I110" s="531" t="s">
        <v>296</v>
      </c>
      <c r="J110" s="459">
        <v>6000</v>
      </c>
      <c r="K110" s="459">
        <v>12000</v>
      </c>
      <c r="L110" s="459">
        <v>84000</v>
      </c>
      <c r="M110" s="459">
        <v>84000</v>
      </c>
      <c r="N110" s="525"/>
      <c r="O110" s="532">
        <v>2.754545454545454</v>
      </c>
      <c r="P110" s="532">
        <v>2.6545454545454543</v>
      </c>
      <c r="Q110" s="532">
        <v>2.5181818181818181</v>
      </c>
      <c r="R110" s="532">
        <v>0</v>
      </c>
      <c r="S110" s="532">
        <v>2.4454545454545453</v>
      </c>
      <c r="T110" s="533"/>
      <c r="U110" s="532">
        <v>2.3727272727272726</v>
      </c>
      <c r="V110" s="532">
        <v>2.1</v>
      </c>
      <c r="W110" s="532">
        <v>1.5818181818181818</v>
      </c>
      <c r="X110" s="532">
        <v>0</v>
      </c>
      <c r="Y110" s="532">
        <v>1.4909090909090907</v>
      </c>
      <c r="Z110" s="533"/>
      <c r="AA110" s="533"/>
      <c r="AB110" s="533"/>
      <c r="AC110" s="533"/>
      <c r="AD110" s="533"/>
      <c r="AE110" s="533"/>
      <c r="AF110" s="533"/>
      <c r="AG110" s="528" t="s">
        <v>1143</v>
      </c>
      <c r="AH110" s="528" t="s">
        <v>1144</v>
      </c>
      <c r="AI110" s="333">
        <v>2</v>
      </c>
      <c r="AJ110" s="333">
        <v>4</v>
      </c>
      <c r="AK110" s="483">
        <v>0.33329999999999999</v>
      </c>
      <c r="AL110" s="483">
        <v>0.66659999999999997</v>
      </c>
      <c r="AM110" s="525" t="s">
        <v>1124</v>
      </c>
      <c r="AN110" s="528">
        <v>0</v>
      </c>
      <c r="AO110" s="528">
        <v>0</v>
      </c>
      <c r="AP110" s="528">
        <v>0</v>
      </c>
      <c r="AQ110" s="528">
        <v>0</v>
      </c>
      <c r="AR110" s="528">
        <v>0</v>
      </c>
      <c r="AS110" s="528">
        <v>0</v>
      </c>
      <c r="AT110" s="528">
        <v>0</v>
      </c>
      <c r="AU110" s="528">
        <v>0</v>
      </c>
      <c r="AV110" s="528">
        <v>0</v>
      </c>
      <c r="AW110" s="528">
        <v>0</v>
      </c>
      <c r="AX110" s="528">
        <v>0</v>
      </c>
      <c r="AY110" s="528">
        <v>0</v>
      </c>
      <c r="AZ110" s="528"/>
      <c r="BA110" s="528" t="s">
        <v>1145</v>
      </c>
      <c r="BB110" s="297"/>
      <c r="BC110" s="528" t="s">
        <v>1145</v>
      </c>
      <c r="BD110" s="528"/>
      <c r="BE110" s="528"/>
      <c r="BF110" s="528"/>
      <c r="BG110" s="597"/>
      <c r="BH110" s="598"/>
      <c r="BI110" s="566"/>
      <c r="BJ110" s="528" t="s">
        <v>1146</v>
      </c>
      <c r="BK110" s="528"/>
      <c r="BL110" s="529"/>
      <c r="BM110" s="529"/>
      <c r="BN110" s="525"/>
    </row>
    <row r="111" spans="1:66" ht="13" customHeight="1" x14ac:dyDescent="0.2">
      <c r="A111" s="525" t="s">
        <v>1749</v>
      </c>
      <c r="B111" s="630">
        <v>45140</v>
      </c>
      <c r="C111" s="526" t="s">
        <v>1138</v>
      </c>
      <c r="D111" s="525" t="s">
        <v>1114</v>
      </c>
      <c r="E111" s="527">
        <v>44944</v>
      </c>
      <c r="F111" s="529" t="s">
        <v>34</v>
      </c>
      <c r="G111" s="525" t="s">
        <v>1656</v>
      </c>
      <c r="H111" s="532">
        <v>109.76363636363635</v>
      </c>
      <c r="I111" s="531"/>
      <c r="J111" s="459"/>
      <c r="K111" s="459"/>
      <c r="L111" s="459"/>
      <c r="M111" s="459"/>
      <c r="N111" s="525"/>
      <c r="O111" s="532">
        <v>3.2090909090909085</v>
      </c>
      <c r="P111" s="532">
        <v>0</v>
      </c>
      <c r="Q111" s="532">
        <v>0</v>
      </c>
      <c r="R111" s="532">
        <v>0</v>
      </c>
      <c r="S111" s="532">
        <v>0</v>
      </c>
      <c r="T111" s="533"/>
      <c r="U111" s="532">
        <v>3.2090909090909085</v>
      </c>
      <c r="V111" s="532">
        <v>0</v>
      </c>
      <c r="W111" s="532">
        <v>0</v>
      </c>
      <c r="X111" s="532">
        <v>0</v>
      </c>
      <c r="Y111" s="532">
        <v>0</v>
      </c>
      <c r="Z111" s="533"/>
      <c r="AA111" s="533"/>
      <c r="AB111" s="533"/>
      <c r="AC111" s="533"/>
      <c r="AD111" s="533"/>
      <c r="AE111" s="533"/>
      <c r="AF111" s="533"/>
      <c r="AG111" s="333" t="s">
        <v>1145</v>
      </c>
      <c r="AH111" s="333"/>
      <c r="AI111" s="528">
        <v>3</v>
      </c>
      <c r="AJ111" s="528">
        <v>3</v>
      </c>
      <c r="AK111" s="480">
        <v>0.5</v>
      </c>
      <c r="AL111" s="480">
        <v>0.5</v>
      </c>
      <c r="AM111" s="525"/>
      <c r="AN111" s="528">
        <v>0</v>
      </c>
      <c r="AO111" s="528">
        <v>0</v>
      </c>
      <c r="AP111" s="528">
        <v>0</v>
      </c>
      <c r="AQ111" s="528">
        <v>0</v>
      </c>
      <c r="AR111" s="528">
        <v>0</v>
      </c>
      <c r="AS111" s="528">
        <v>0</v>
      </c>
      <c r="AT111" s="528">
        <v>0</v>
      </c>
      <c r="AU111" s="528">
        <v>0</v>
      </c>
      <c r="AV111" s="528">
        <v>0</v>
      </c>
      <c r="AW111" s="528">
        <v>0</v>
      </c>
      <c r="AX111" s="528">
        <v>0</v>
      </c>
      <c r="AY111" s="528">
        <v>0</v>
      </c>
      <c r="AZ111" s="528"/>
      <c r="BA111" s="528" t="s">
        <v>1145</v>
      </c>
      <c r="BB111" s="528"/>
      <c r="BC111" s="528" t="s">
        <v>1145</v>
      </c>
      <c r="BD111" s="528"/>
      <c r="BE111" s="528"/>
      <c r="BF111" s="528"/>
      <c r="BG111" s="597"/>
      <c r="BH111" s="598"/>
      <c r="BI111" s="566"/>
      <c r="BJ111" s="528" t="s">
        <v>1146</v>
      </c>
      <c r="BK111" s="528"/>
      <c r="BL111" s="529"/>
      <c r="BM111" s="525" t="s">
        <v>1765</v>
      </c>
      <c r="BN111" s="525"/>
    </row>
    <row r="112" spans="1:66" ht="13" customHeight="1" x14ac:dyDescent="0.2">
      <c r="A112" s="525" t="s">
        <v>1749</v>
      </c>
      <c r="B112" s="630">
        <v>45140</v>
      </c>
      <c r="C112" s="526" t="s">
        <v>1138</v>
      </c>
      <c r="D112" s="525" t="s">
        <v>1114</v>
      </c>
      <c r="E112" s="527">
        <v>44944</v>
      </c>
      <c r="F112" s="529" t="s">
        <v>1766</v>
      </c>
      <c r="G112" s="525" t="s">
        <v>1767</v>
      </c>
      <c r="H112" s="532">
        <v>109.76363636363635</v>
      </c>
      <c r="I112" s="531"/>
      <c r="J112" s="459"/>
      <c r="K112" s="459"/>
      <c r="L112" s="459"/>
      <c r="M112" s="459"/>
      <c r="N112" s="525"/>
      <c r="O112" s="532">
        <v>3.2090909090909085</v>
      </c>
      <c r="P112" s="532">
        <v>0</v>
      </c>
      <c r="Q112" s="532">
        <v>0</v>
      </c>
      <c r="R112" s="532">
        <v>0</v>
      </c>
      <c r="S112" s="532">
        <v>0</v>
      </c>
      <c r="T112" s="533"/>
      <c r="U112" s="532">
        <v>3.2090909090909085</v>
      </c>
      <c r="V112" s="532">
        <v>0</v>
      </c>
      <c r="W112" s="532">
        <v>0</v>
      </c>
      <c r="X112" s="532">
        <v>0</v>
      </c>
      <c r="Y112" s="532">
        <v>0</v>
      </c>
      <c r="Z112" s="533"/>
      <c r="AA112" s="533"/>
      <c r="AB112" s="533"/>
      <c r="AC112" s="533"/>
      <c r="AD112" s="533"/>
      <c r="AE112" s="533"/>
      <c r="AF112" s="533"/>
      <c r="AG112" s="528" t="s">
        <v>1145</v>
      </c>
      <c r="AH112" s="528"/>
      <c r="AI112" s="528">
        <v>3</v>
      </c>
      <c r="AJ112" s="528">
        <v>3</v>
      </c>
      <c r="AK112" s="480">
        <v>0.5</v>
      </c>
      <c r="AL112" s="480">
        <v>0.5</v>
      </c>
      <c r="AM112" s="525"/>
      <c r="AN112" s="528">
        <v>0</v>
      </c>
      <c r="AO112" s="528">
        <v>0</v>
      </c>
      <c r="AP112" s="528">
        <v>0</v>
      </c>
      <c r="AQ112" s="528">
        <v>0</v>
      </c>
      <c r="AR112" s="528">
        <v>0</v>
      </c>
      <c r="AS112" s="528">
        <v>0</v>
      </c>
      <c r="AT112" s="528">
        <v>0</v>
      </c>
      <c r="AU112" s="528">
        <v>0</v>
      </c>
      <c r="AV112" s="528">
        <v>0</v>
      </c>
      <c r="AW112" s="528">
        <v>0</v>
      </c>
      <c r="AX112" s="528">
        <v>0</v>
      </c>
      <c r="AY112" s="528">
        <v>0</v>
      </c>
      <c r="AZ112" s="528"/>
      <c r="BA112" s="528" t="s">
        <v>1145</v>
      </c>
      <c r="BB112" s="528"/>
      <c r="BC112" s="528" t="s">
        <v>1145</v>
      </c>
      <c r="BD112" s="528"/>
      <c r="BE112" s="528"/>
      <c r="BF112" s="528"/>
      <c r="BG112" s="597"/>
      <c r="BH112" s="598"/>
      <c r="BI112" s="566"/>
      <c r="BJ112" s="528" t="s">
        <v>1146</v>
      </c>
      <c r="BK112" s="528"/>
      <c r="BL112" s="529" t="s">
        <v>1769</v>
      </c>
      <c r="BM112" s="525"/>
      <c r="BN112" s="525"/>
    </row>
    <row r="113" spans="1:68" ht="13" customHeight="1" x14ac:dyDescent="0.2">
      <c r="A113" s="525">
        <v>3157</v>
      </c>
      <c r="B113" s="630">
        <v>45140</v>
      </c>
      <c r="C113" s="526" t="s">
        <v>1138</v>
      </c>
      <c r="D113" s="525" t="s">
        <v>1115</v>
      </c>
      <c r="E113" s="527">
        <v>45108</v>
      </c>
      <c r="F113" s="529" t="s">
        <v>1139</v>
      </c>
      <c r="G113" s="525" t="s">
        <v>1646</v>
      </c>
      <c r="H113" s="532">
        <v>92.499999999999986</v>
      </c>
      <c r="I113" s="531" t="s">
        <v>296</v>
      </c>
      <c r="J113" s="459">
        <v>6000</v>
      </c>
      <c r="K113" s="459">
        <v>12000</v>
      </c>
      <c r="L113" s="459">
        <v>84000</v>
      </c>
      <c r="M113" s="459">
        <v>84000</v>
      </c>
      <c r="N113" s="525"/>
      <c r="O113" s="532">
        <v>2.9818181818181815</v>
      </c>
      <c r="P113" s="532">
        <v>2.8909090909090907</v>
      </c>
      <c r="Q113" s="532">
        <v>1.7545454545454544</v>
      </c>
      <c r="R113" s="532">
        <v>0</v>
      </c>
      <c r="S113" s="532">
        <v>1.6636363636363636</v>
      </c>
      <c r="T113" s="533"/>
      <c r="U113" s="532">
        <v>2.5909090909090908</v>
      </c>
      <c r="V113" s="532">
        <v>2.2909090909090906</v>
      </c>
      <c r="W113" s="532">
        <v>1.718181818181818</v>
      </c>
      <c r="X113" s="532">
        <v>0</v>
      </c>
      <c r="Y113" s="532">
        <v>1.6272727272727272</v>
      </c>
      <c r="Z113" s="533"/>
      <c r="AA113" s="533"/>
      <c r="AB113" s="533"/>
      <c r="AC113" s="533"/>
      <c r="AD113" s="533"/>
      <c r="AE113" s="533"/>
      <c r="AF113" s="533"/>
      <c r="AG113" s="528" t="s">
        <v>1143</v>
      </c>
      <c r="AH113" s="528" t="s">
        <v>1144</v>
      </c>
      <c r="AI113" s="333">
        <v>2</v>
      </c>
      <c r="AJ113" s="333">
        <v>4</v>
      </c>
      <c r="AK113" s="483">
        <v>0.33329999999999999</v>
      </c>
      <c r="AL113" s="483">
        <v>0.66659999999999997</v>
      </c>
      <c r="AM113" s="525" t="s">
        <v>1124</v>
      </c>
      <c r="AN113" s="528">
        <v>0</v>
      </c>
      <c r="AO113" s="528">
        <v>0</v>
      </c>
      <c r="AP113" s="528">
        <v>0</v>
      </c>
      <c r="AQ113" s="528">
        <v>0</v>
      </c>
      <c r="AR113" s="528">
        <v>0</v>
      </c>
      <c r="AS113" s="528">
        <v>0</v>
      </c>
      <c r="AT113" s="528">
        <v>0</v>
      </c>
      <c r="AU113" s="528">
        <v>0</v>
      </c>
      <c r="AV113" s="528">
        <v>0</v>
      </c>
      <c r="AW113" s="528">
        <v>0</v>
      </c>
      <c r="AX113" s="528">
        <v>0</v>
      </c>
      <c r="AY113" s="528">
        <v>0</v>
      </c>
      <c r="AZ113" s="528"/>
      <c r="BA113" s="528" t="s">
        <v>1145</v>
      </c>
      <c r="BB113" s="297"/>
      <c r="BC113" s="528" t="s">
        <v>1145</v>
      </c>
      <c r="BD113" s="528"/>
      <c r="BE113" s="528"/>
      <c r="BF113" s="528"/>
      <c r="BG113" s="597"/>
      <c r="BH113" s="598"/>
      <c r="BI113" s="566"/>
      <c r="BJ113" s="528" t="s">
        <v>1146</v>
      </c>
      <c r="BK113" s="528"/>
      <c r="BL113" s="529" t="s">
        <v>1647</v>
      </c>
      <c r="BM113" s="529"/>
      <c r="BN113" s="525"/>
    </row>
    <row r="114" spans="1:68" ht="13" customHeight="1" x14ac:dyDescent="0.2">
      <c r="A114" s="525">
        <v>1045</v>
      </c>
      <c r="B114" s="630">
        <v>45140</v>
      </c>
      <c r="C114" s="526" t="s">
        <v>1138</v>
      </c>
      <c r="D114" s="525" t="s">
        <v>1115</v>
      </c>
      <c r="E114" s="527">
        <v>45108</v>
      </c>
      <c r="F114" s="529" t="s">
        <v>1148</v>
      </c>
      <c r="G114" s="525" t="s">
        <v>1280</v>
      </c>
      <c r="H114" s="532">
        <v>84.263636363636351</v>
      </c>
      <c r="I114" s="531" t="s">
        <v>296</v>
      </c>
      <c r="J114" s="459">
        <v>6000</v>
      </c>
      <c r="K114" s="459">
        <v>6000</v>
      </c>
      <c r="L114" s="459">
        <v>6000</v>
      </c>
      <c r="M114" s="459">
        <v>6000</v>
      </c>
      <c r="N114" s="525"/>
      <c r="O114" s="532">
        <v>3.5545454545454542</v>
      </c>
      <c r="P114" s="532">
        <v>0</v>
      </c>
      <c r="Q114" s="532">
        <v>0</v>
      </c>
      <c r="R114" s="532">
        <v>0</v>
      </c>
      <c r="S114" s="532">
        <v>2.754545454545454</v>
      </c>
      <c r="T114" s="533"/>
      <c r="U114" s="532">
        <v>3.2909090909090906</v>
      </c>
      <c r="V114" s="532">
        <v>0</v>
      </c>
      <c r="W114" s="532">
        <v>0</v>
      </c>
      <c r="X114" s="532">
        <v>0</v>
      </c>
      <c r="Y114" s="532">
        <v>2.6363636363636362</v>
      </c>
      <c r="Z114" s="533"/>
      <c r="AA114" s="533"/>
      <c r="AB114" s="533"/>
      <c r="AC114" s="533"/>
      <c r="AD114" s="533"/>
      <c r="AE114" s="533"/>
      <c r="AF114" s="533"/>
      <c r="AG114" s="528" t="s">
        <v>1143</v>
      </c>
      <c r="AH114" s="528" t="s">
        <v>1144</v>
      </c>
      <c r="AI114" s="333">
        <v>2</v>
      </c>
      <c r="AJ114" s="333">
        <v>4</v>
      </c>
      <c r="AK114" s="483">
        <v>0.33329999999999999</v>
      </c>
      <c r="AL114" s="483">
        <v>0.66659999999999997</v>
      </c>
      <c r="AM114" s="525" t="s">
        <v>1124</v>
      </c>
      <c r="AN114" s="528">
        <v>0</v>
      </c>
      <c r="AO114" s="528">
        <v>0</v>
      </c>
      <c r="AP114" s="528">
        <v>0</v>
      </c>
      <c r="AQ114" s="528">
        <v>0</v>
      </c>
      <c r="AR114" s="528">
        <v>0</v>
      </c>
      <c r="AS114" s="528">
        <v>0</v>
      </c>
      <c r="AT114" s="528">
        <v>0</v>
      </c>
      <c r="AU114" s="528">
        <v>0</v>
      </c>
      <c r="AV114" s="528">
        <v>0</v>
      </c>
      <c r="AW114" s="528">
        <v>0</v>
      </c>
      <c r="AX114" s="528">
        <v>0</v>
      </c>
      <c r="AY114" s="528">
        <v>0</v>
      </c>
      <c r="AZ114" s="528"/>
      <c r="BA114" s="528" t="s">
        <v>1145</v>
      </c>
      <c r="BB114" s="297"/>
      <c r="BC114" s="528" t="s">
        <v>1145</v>
      </c>
      <c r="BD114" s="528"/>
      <c r="BE114" s="528"/>
      <c r="BF114" s="528"/>
      <c r="BG114" s="529"/>
      <c r="BH114" s="525"/>
      <c r="BI114" s="528"/>
      <c r="BJ114" s="528" t="s">
        <v>4</v>
      </c>
      <c r="BK114" s="528"/>
      <c r="BL114" s="529"/>
      <c r="BM114" s="525"/>
      <c r="BN114" s="525"/>
    </row>
    <row r="115" spans="1:68" ht="13" customHeight="1" x14ac:dyDescent="0.2">
      <c r="A115" s="525">
        <v>2557</v>
      </c>
      <c r="B115" s="630">
        <v>45140</v>
      </c>
      <c r="C115" s="526" t="s">
        <v>1138</v>
      </c>
      <c r="D115" s="525" t="s">
        <v>1115</v>
      </c>
      <c r="E115" s="527">
        <v>45140</v>
      </c>
      <c r="F115" s="525" t="s">
        <v>1052</v>
      </c>
      <c r="G115" s="525" t="s">
        <v>1181</v>
      </c>
      <c r="H115" s="532">
        <v>96.472727272727269</v>
      </c>
      <c r="I115" s="531" t="s">
        <v>296</v>
      </c>
      <c r="J115" s="459">
        <v>6000</v>
      </c>
      <c r="K115" s="459">
        <v>12000</v>
      </c>
      <c r="L115" s="459">
        <v>84000</v>
      </c>
      <c r="M115" s="459">
        <v>84000</v>
      </c>
      <c r="N115" s="332"/>
      <c r="O115" s="532">
        <v>2.336363636363636</v>
      </c>
      <c r="P115" s="532">
        <v>2.2909090909090906</v>
      </c>
      <c r="Q115" s="532">
        <v>2.1818181818181817</v>
      </c>
      <c r="R115" s="532">
        <v>0</v>
      </c>
      <c r="S115" s="532">
        <v>2.1363636363636362</v>
      </c>
      <c r="T115" s="571"/>
      <c r="U115" s="532">
        <v>2.7727272727272725</v>
      </c>
      <c r="V115" s="532">
        <v>2.5090909090909088</v>
      </c>
      <c r="W115" s="532">
        <v>2.1818181818181817</v>
      </c>
      <c r="X115" s="532">
        <v>0</v>
      </c>
      <c r="Y115" s="532">
        <v>2.1727272727272728</v>
      </c>
      <c r="Z115" s="571"/>
      <c r="AA115" s="571"/>
      <c r="AB115" s="571"/>
      <c r="AC115" s="571"/>
      <c r="AD115" s="571"/>
      <c r="AE115" s="571"/>
      <c r="AF115" s="571"/>
      <c r="AG115" s="333" t="s">
        <v>297</v>
      </c>
      <c r="AH115" s="333" t="s">
        <v>298</v>
      </c>
      <c r="AI115" s="333">
        <v>2</v>
      </c>
      <c r="AJ115" s="333">
        <v>4</v>
      </c>
      <c r="AK115" s="483">
        <v>0.33329999999999999</v>
      </c>
      <c r="AL115" s="483">
        <v>0.66659999999999997</v>
      </c>
      <c r="AM115" s="525" t="s">
        <v>1124</v>
      </c>
      <c r="AN115" s="528">
        <v>0</v>
      </c>
      <c r="AO115" s="528">
        <v>0</v>
      </c>
      <c r="AP115" s="528">
        <v>0</v>
      </c>
      <c r="AQ115" s="528">
        <v>0</v>
      </c>
      <c r="AR115" s="528">
        <v>0</v>
      </c>
      <c r="AS115" s="528">
        <v>0</v>
      </c>
      <c r="AT115" s="528">
        <v>0</v>
      </c>
      <c r="AU115" s="528">
        <v>0</v>
      </c>
      <c r="AV115" s="528">
        <v>0</v>
      </c>
      <c r="AW115" s="528">
        <v>0</v>
      </c>
      <c r="AX115" s="528">
        <v>0</v>
      </c>
      <c r="AY115" s="528">
        <v>0</v>
      </c>
      <c r="AZ115" s="528"/>
      <c r="BA115" s="528" t="s">
        <v>1145</v>
      </c>
      <c r="BB115" s="297"/>
      <c r="BC115" s="528" t="s">
        <v>1145</v>
      </c>
      <c r="BD115" s="528"/>
      <c r="BE115" s="528"/>
      <c r="BF115" s="528"/>
      <c r="BG115" s="529"/>
      <c r="BH115" s="525"/>
      <c r="BI115" s="528"/>
      <c r="BJ115" s="528" t="s">
        <v>4</v>
      </c>
      <c r="BK115" s="528"/>
      <c r="BL115" s="529"/>
      <c r="BM115" s="529"/>
      <c r="BN115" s="525"/>
    </row>
    <row r="116" spans="1:68" ht="13" customHeight="1" x14ac:dyDescent="0.2">
      <c r="A116" s="525">
        <v>3526</v>
      </c>
      <c r="B116" s="630">
        <v>45140</v>
      </c>
      <c r="C116" s="526" t="s">
        <v>1138</v>
      </c>
      <c r="D116" s="525" t="s">
        <v>1115</v>
      </c>
      <c r="E116" s="527">
        <v>45063</v>
      </c>
      <c r="F116" s="529" t="s">
        <v>1156</v>
      </c>
      <c r="G116" s="525" t="s">
        <v>1649</v>
      </c>
      <c r="H116" s="532">
        <v>123.79090909090907</v>
      </c>
      <c r="I116" s="531" t="s">
        <v>296</v>
      </c>
      <c r="J116" s="459">
        <v>6000</v>
      </c>
      <c r="K116" s="459">
        <v>12000</v>
      </c>
      <c r="L116" s="459">
        <v>84000</v>
      </c>
      <c r="M116" s="459">
        <v>84000</v>
      </c>
      <c r="N116" s="525"/>
      <c r="O116" s="532">
        <v>3.9454545454545449</v>
      </c>
      <c r="P116" s="532">
        <v>3.1727272727272728</v>
      </c>
      <c r="Q116" s="532">
        <v>2.5090909090909088</v>
      </c>
      <c r="R116" s="532">
        <v>0</v>
      </c>
      <c r="S116" s="532">
        <v>2.4454545454545453</v>
      </c>
      <c r="T116" s="533"/>
      <c r="U116" s="532">
        <v>3.0272727272727269</v>
      </c>
      <c r="V116" s="532">
        <v>2.754545454545454</v>
      </c>
      <c r="W116" s="532">
        <v>2.4727272727272727</v>
      </c>
      <c r="X116" s="532">
        <v>0</v>
      </c>
      <c r="Y116" s="532">
        <v>2.3727272727272726</v>
      </c>
      <c r="Z116" s="533"/>
      <c r="AA116" s="533"/>
      <c r="AB116" s="533"/>
      <c r="AC116" s="533"/>
      <c r="AD116" s="533"/>
      <c r="AE116" s="533"/>
      <c r="AF116" s="533"/>
      <c r="AG116" s="528" t="s">
        <v>1143</v>
      </c>
      <c r="AH116" s="528" t="s">
        <v>1144</v>
      </c>
      <c r="AI116" s="333">
        <v>2</v>
      </c>
      <c r="AJ116" s="333">
        <v>4</v>
      </c>
      <c r="AK116" s="483">
        <v>0.33329999999999999</v>
      </c>
      <c r="AL116" s="483">
        <v>0.66659999999999997</v>
      </c>
      <c r="AM116" s="525" t="s">
        <v>1124</v>
      </c>
      <c r="AN116" s="528">
        <v>25</v>
      </c>
      <c r="AO116" s="528">
        <v>0</v>
      </c>
      <c r="AP116" s="528">
        <v>0</v>
      </c>
      <c r="AQ116" s="528">
        <v>0</v>
      </c>
      <c r="AR116" s="528">
        <v>0</v>
      </c>
      <c r="AS116" s="528">
        <v>0</v>
      </c>
      <c r="AT116" s="528">
        <v>0</v>
      </c>
      <c r="AU116" s="528">
        <v>0</v>
      </c>
      <c r="AV116" s="528">
        <v>0</v>
      </c>
      <c r="AW116" s="528">
        <v>0</v>
      </c>
      <c r="AX116" s="528">
        <v>0</v>
      </c>
      <c r="AY116" s="528">
        <v>0</v>
      </c>
      <c r="AZ116" s="566">
        <v>12</v>
      </c>
      <c r="BA116" s="528" t="s">
        <v>1145</v>
      </c>
      <c r="BB116" s="297"/>
      <c r="BC116" s="528" t="s">
        <v>1145</v>
      </c>
      <c r="BD116" s="528"/>
      <c r="BE116" s="528"/>
      <c r="BF116" s="528"/>
      <c r="BG116" s="529"/>
      <c r="BH116" s="525"/>
      <c r="BI116" s="528"/>
      <c r="BJ116" s="528" t="s">
        <v>1146</v>
      </c>
      <c r="BK116" s="528"/>
      <c r="BL116" s="529"/>
      <c r="BM116" s="525"/>
      <c r="BN116" s="525"/>
    </row>
    <row r="117" spans="1:68" ht="13" customHeight="1" x14ac:dyDescent="0.2">
      <c r="A117" s="525">
        <v>2874</v>
      </c>
      <c r="B117" s="630">
        <v>45140</v>
      </c>
      <c r="C117" s="526" t="s">
        <v>1138</v>
      </c>
      <c r="D117" s="525" t="s">
        <v>1115</v>
      </c>
      <c r="E117" s="527">
        <v>45092</v>
      </c>
      <c r="F117" s="529" t="s">
        <v>1159</v>
      </c>
      <c r="G117" s="525" t="s">
        <v>1105</v>
      </c>
      <c r="H117" s="532">
        <v>109.88181818181818</v>
      </c>
      <c r="I117" s="531" t="s">
        <v>296</v>
      </c>
      <c r="J117" s="459">
        <v>6000</v>
      </c>
      <c r="K117" s="459">
        <v>12000</v>
      </c>
      <c r="L117" s="459">
        <v>84000</v>
      </c>
      <c r="M117" s="459">
        <v>84000</v>
      </c>
      <c r="N117" s="525"/>
      <c r="O117" s="532">
        <v>3.4545454545454541</v>
      </c>
      <c r="P117" s="532">
        <v>2.9545454545454541</v>
      </c>
      <c r="Q117" s="532">
        <v>2.1909090909090909</v>
      </c>
      <c r="R117" s="532">
        <v>0</v>
      </c>
      <c r="S117" s="532">
        <v>2.1818181818181817</v>
      </c>
      <c r="T117" s="533"/>
      <c r="U117" s="532">
        <v>2.9545454545454541</v>
      </c>
      <c r="V117" s="532">
        <v>2.4818181818181815</v>
      </c>
      <c r="W117" s="532">
        <v>2</v>
      </c>
      <c r="X117" s="532">
        <v>0</v>
      </c>
      <c r="Y117" s="532">
        <v>1.8909090909090909</v>
      </c>
      <c r="Z117" s="533"/>
      <c r="AA117" s="533"/>
      <c r="AB117" s="533"/>
      <c r="AC117" s="533"/>
      <c r="AD117" s="533"/>
      <c r="AE117" s="533"/>
      <c r="AF117" s="533"/>
      <c r="AG117" s="528" t="s">
        <v>1143</v>
      </c>
      <c r="AH117" s="528" t="s">
        <v>1144</v>
      </c>
      <c r="AI117" s="333">
        <v>2</v>
      </c>
      <c r="AJ117" s="333">
        <v>4</v>
      </c>
      <c r="AK117" s="483">
        <v>0.33329999999999999</v>
      </c>
      <c r="AL117" s="483">
        <v>0.66659999999999997</v>
      </c>
      <c r="AM117" s="525" t="s">
        <v>1124</v>
      </c>
      <c r="AN117" s="528">
        <v>0</v>
      </c>
      <c r="AO117" s="528">
        <v>0</v>
      </c>
      <c r="AP117" s="528">
        <v>0</v>
      </c>
      <c r="AQ117" s="528">
        <v>0</v>
      </c>
      <c r="AR117" s="528">
        <v>0</v>
      </c>
      <c r="AS117" s="528">
        <v>0</v>
      </c>
      <c r="AT117" s="528">
        <v>0</v>
      </c>
      <c r="AU117" s="528">
        <v>0</v>
      </c>
      <c r="AV117" s="528">
        <v>0</v>
      </c>
      <c r="AW117" s="528">
        <v>0</v>
      </c>
      <c r="AX117" s="528">
        <v>0</v>
      </c>
      <c r="AY117" s="528">
        <v>0</v>
      </c>
      <c r="AZ117" s="528"/>
      <c r="BA117" s="528" t="s">
        <v>1145</v>
      </c>
      <c r="BB117" s="297"/>
      <c r="BC117" s="528" t="s">
        <v>1145</v>
      </c>
      <c r="BD117" s="528"/>
      <c r="BE117" s="528"/>
      <c r="BF117" s="564">
        <v>45535</v>
      </c>
      <c r="BG117" s="529"/>
      <c r="BH117" s="525"/>
      <c r="BI117" s="528"/>
      <c r="BJ117" s="528" t="s">
        <v>1146</v>
      </c>
      <c r="BK117" s="528"/>
      <c r="BL117" s="529"/>
      <c r="BM117" s="529"/>
      <c r="BN117" s="525"/>
      <c r="BO117" s="366"/>
      <c r="BP117" s="366"/>
    </row>
    <row r="118" spans="1:68" ht="13" customHeight="1" x14ac:dyDescent="0.2">
      <c r="A118" s="525">
        <v>3373</v>
      </c>
      <c r="B118" s="630">
        <v>45140</v>
      </c>
      <c r="C118" s="526" t="s">
        <v>1138</v>
      </c>
      <c r="D118" s="525" t="s">
        <v>1115</v>
      </c>
      <c r="E118" s="527">
        <v>45108</v>
      </c>
      <c r="F118" s="529" t="s">
        <v>1166</v>
      </c>
      <c r="G118" s="525" t="s">
        <v>1651</v>
      </c>
      <c r="H118" s="532">
        <v>85.11818181818181</v>
      </c>
      <c r="I118" s="531"/>
      <c r="J118" s="568"/>
      <c r="K118" s="525"/>
      <c r="L118" s="525"/>
      <c r="M118" s="525"/>
      <c r="N118" s="525"/>
      <c r="O118" s="532">
        <v>2.7363636363636359</v>
      </c>
      <c r="P118" s="532">
        <v>0</v>
      </c>
      <c r="Q118" s="532">
        <v>0</v>
      </c>
      <c r="R118" s="532">
        <v>0</v>
      </c>
      <c r="S118" s="532">
        <v>0</v>
      </c>
      <c r="T118" s="533"/>
      <c r="U118" s="532">
        <v>2.7363636363636359</v>
      </c>
      <c r="V118" s="532">
        <v>0</v>
      </c>
      <c r="W118" s="532">
        <v>0</v>
      </c>
      <c r="X118" s="532">
        <v>0</v>
      </c>
      <c r="Y118" s="532">
        <v>0</v>
      </c>
      <c r="Z118" s="533"/>
      <c r="AA118" s="533"/>
      <c r="AB118" s="533"/>
      <c r="AC118" s="533"/>
      <c r="AD118" s="533"/>
      <c r="AE118" s="533"/>
      <c r="AF118" s="533"/>
      <c r="AG118" s="528" t="s">
        <v>1145</v>
      </c>
      <c r="AH118" s="528"/>
      <c r="AI118" s="528">
        <v>3</v>
      </c>
      <c r="AJ118" s="528">
        <v>3</v>
      </c>
      <c r="AK118" s="480">
        <v>0.5</v>
      </c>
      <c r="AL118" s="480">
        <v>0.5</v>
      </c>
      <c r="AM118" s="525"/>
      <c r="AN118" s="528">
        <v>0</v>
      </c>
      <c r="AO118" s="528">
        <v>0</v>
      </c>
      <c r="AP118" s="528">
        <v>0</v>
      </c>
      <c r="AQ118" s="528">
        <v>0</v>
      </c>
      <c r="AR118" s="528">
        <v>0</v>
      </c>
      <c r="AS118" s="528">
        <v>0</v>
      </c>
      <c r="AT118" s="528">
        <v>0</v>
      </c>
      <c r="AU118" s="528">
        <v>0</v>
      </c>
      <c r="AV118" s="528">
        <v>0</v>
      </c>
      <c r="AW118" s="528">
        <v>0</v>
      </c>
      <c r="AX118" s="528">
        <v>0</v>
      </c>
      <c r="AY118" s="528">
        <v>0</v>
      </c>
      <c r="AZ118" s="528"/>
      <c r="BA118" s="528" t="s">
        <v>1145</v>
      </c>
      <c r="BB118" s="297"/>
      <c r="BC118" s="528" t="s">
        <v>1145</v>
      </c>
      <c r="BD118" s="528"/>
      <c r="BE118" s="528"/>
      <c r="BF118" s="528"/>
      <c r="BG118" s="529"/>
      <c r="BH118" s="525"/>
      <c r="BI118" s="528"/>
      <c r="BJ118" s="528" t="s">
        <v>1146</v>
      </c>
      <c r="BK118" s="528"/>
      <c r="BL118" s="529"/>
      <c r="BM118" s="525"/>
      <c r="BN118" s="525"/>
    </row>
    <row r="119" spans="1:68" ht="13" customHeight="1" x14ac:dyDescent="0.2">
      <c r="A119" s="525">
        <v>2400</v>
      </c>
      <c r="B119" s="630">
        <v>45140</v>
      </c>
      <c r="C119" s="526" t="s">
        <v>1138</v>
      </c>
      <c r="D119" s="525" t="s">
        <v>1115</v>
      </c>
      <c r="E119" s="570">
        <v>45035</v>
      </c>
      <c r="F119" s="529" t="s">
        <v>1168</v>
      </c>
      <c r="G119" s="525" t="s">
        <v>1297</v>
      </c>
      <c r="H119" s="532">
        <v>85.999999999999986</v>
      </c>
      <c r="I119" s="531" t="s">
        <v>296</v>
      </c>
      <c r="J119" s="459">
        <v>6000</v>
      </c>
      <c r="K119" s="459">
        <v>12000</v>
      </c>
      <c r="L119" s="459">
        <v>84000</v>
      </c>
      <c r="M119" s="459">
        <v>84000</v>
      </c>
      <c r="N119" s="525"/>
      <c r="O119" s="532">
        <v>3.2181818181818178</v>
      </c>
      <c r="P119" s="532">
        <v>3.1999999999999997</v>
      </c>
      <c r="Q119" s="532">
        <v>2.1727272727272728</v>
      </c>
      <c r="R119" s="532">
        <v>0</v>
      </c>
      <c r="S119" s="532">
        <v>2.1181818181818182</v>
      </c>
      <c r="T119" s="533"/>
      <c r="U119" s="532">
        <v>2.5818181818181816</v>
      </c>
      <c r="V119" s="532">
        <v>2.2909090909090906</v>
      </c>
      <c r="W119" s="532">
        <v>2</v>
      </c>
      <c r="X119" s="532">
        <v>0</v>
      </c>
      <c r="Y119" s="532">
        <v>1.8999999999999997</v>
      </c>
      <c r="Z119" s="533"/>
      <c r="AA119" s="533"/>
      <c r="AB119" s="533"/>
      <c r="AC119" s="533"/>
      <c r="AD119" s="533"/>
      <c r="AE119" s="533"/>
      <c r="AF119" s="533"/>
      <c r="AG119" s="528" t="s">
        <v>1143</v>
      </c>
      <c r="AH119" s="528" t="s">
        <v>1144</v>
      </c>
      <c r="AI119" s="333">
        <v>2</v>
      </c>
      <c r="AJ119" s="333">
        <v>4</v>
      </c>
      <c r="AK119" s="483">
        <v>0.33329999999999999</v>
      </c>
      <c r="AL119" s="483">
        <v>0.66659999999999997</v>
      </c>
      <c r="AM119" s="525" t="s">
        <v>1124</v>
      </c>
      <c r="AN119" s="528">
        <v>0</v>
      </c>
      <c r="AO119" s="528">
        <v>0</v>
      </c>
      <c r="AP119" s="528">
        <v>0</v>
      </c>
      <c r="AQ119" s="528">
        <v>0</v>
      </c>
      <c r="AR119" s="528">
        <v>0</v>
      </c>
      <c r="AS119" s="528">
        <v>0</v>
      </c>
      <c r="AT119" s="528">
        <v>0</v>
      </c>
      <c r="AU119" s="528">
        <v>0</v>
      </c>
      <c r="AV119" s="528">
        <v>0</v>
      </c>
      <c r="AW119" s="528">
        <v>0</v>
      </c>
      <c r="AX119" s="528">
        <v>0</v>
      </c>
      <c r="AY119" s="528">
        <v>0</v>
      </c>
      <c r="AZ119" s="528"/>
      <c r="BA119" s="528" t="s">
        <v>1145</v>
      </c>
      <c r="BB119" s="297"/>
      <c r="BC119" s="528" t="s">
        <v>1145</v>
      </c>
      <c r="BD119" s="528"/>
      <c r="BE119" s="528"/>
      <c r="BF119" s="528"/>
      <c r="BG119" s="529"/>
      <c r="BH119" s="525"/>
      <c r="BI119" s="528"/>
      <c r="BJ119" s="528" t="s">
        <v>1146</v>
      </c>
      <c r="BK119" s="528"/>
      <c r="BL119" s="529"/>
      <c r="BM119" s="529"/>
      <c r="BN119" s="525"/>
    </row>
    <row r="120" spans="1:68" ht="13" customHeight="1" x14ac:dyDescent="0.2">
      <c r="A120" s="525">
        <v>268</v>
      </c>
      <c r="B120" s="630">
        <v>45140</v>
      </c>
      <c r="C120" s="526" t="s">
        <v>1138</v>
      </c>
      <c r="D120" s="525" t="s">
        <v>1115</v>
      </c>
      <c r="E120" s="527">
        <v>45108</v>
      </c>
      <c r="F120" s="529" t="s">
        <v>1169</v>
      </c>
      <c r="G120" s="525" t="s">
        <v>1758</v>
      </c>
      <c r="H120" s="532">
        <v>93.063636363636363</v>
      </c>
      <c r="I120" s="531" t="s">
        <v>296</v>
      </c>
      <c r="J120" s="459">
        <v>6000</v>
      </c>
      <c r="K120" s="459">
        <v>12000</v>
      </c>
      <c r="L120" s="459">
        <v>84000</v>
      </c>
      <c r="M120" s="459">
        <v>84000</v>
      </c>
      <c r="N120" s="525"/>
      <c r="O120" s="532">
        <v>3.5</v>
      </c>
      <c r="P120" s="532">
        <v>3.4363636363636361</v>
      </c>
      <c r="Q120" s="532">
        <v>2.3272727272727272</v>
      </c>
      <c r="R120" s="532">
        <v>0</v>
      </c>
      <c r="S120" s="532">
        <v>2.2818181818181813</v>
      </c>
      <c r="T120" s="533"/>
      <c r="U120" s="532">
        <v>2.6818181818181817</v>
      </c>
      <c r="V120" s="532">
        <v>2.5818181818181816</v>
      </c>
      <c r="W120" s="532">
        <v>2.3090909090909091</v>
      </c>
      <c r="X120" s="532">
        <v>0</v>
      </c>
      <c r="Y120" s="532">
        <v>2.1727272727272728</v>
      </c>
      <c r="Z120" s="533"/>
      <c r="AA120" s="533"/>
      <c r="AB120" s="533"/>
      <c r="AC120" s="533"/>
      <c r="AD120" s="533"/>
      <c r="AE120" s="533"/>
      <c r="AF120" s="533"/>
      <c r="AG120" s="528" t="s">
        <v>1143</v>
      </c>
      <c r="AH120" s="528" t="s">
        <v>1144</v>
      </c>
      <c r="AI120" s="333">
        <v>2</v>
      </c>
      <c r="AJ120" s="333">
        <v>4</v>
      </c>
      <c r="AK120" s="483">
        <v>0.33329999999999999</v>
      </c>
      <c r="AL120" s="483">
        <v>0.66659999999999997</v>
      </c>
      <c r="AM120" s="525" t="s">
        <v>1124</v>
      </c>
      <c r="AN120" s="528">
        <v>10</v>
      </c>
      <c r="AO120" s="528">
        <v>0</v>
      </c>
      <c r="AP120" s="528">
        <v>0</v>
      </c>
      <c r="AQ120" s="528">
        <v>0</v>
      </c>
      <c r="AR120" s="528">
        <v>0</v>
      </c>
      <c r="AS120" s="528">
        <v>0</v>
      </c>
      <c r="AT120" s="528">
        <v>0</v>
      </c>
      <c r="AU120" s="528">
        <v>0</v>
      </c>
      <c r="AV120" s="528">
        <v>0</v>
      </c>
      <c r="AW120" s="528">
        <v>0</v>
      </c>
      <c r="AX120" s="528">
        <v>0</v>
      </c>
      <c r="AY120" s="528">
        <v>0</v>
      </c>
      <c r="AZ120" s="528"/>
      <c r="BA120" s="528" t="s">
        <v>1145</v>
      </c>
      <c r="BB120" s="297"/>
      <c r="BC120" s="528" t="s">
        <v>1145</v>
      </c>
      <c r="BD120" s="528"/>
      <c r="BE120" s="528"/>
      <c r="BF120" s="528"/>
      <c r="BG120" s="529"/>
      <c r="BH120" s="525"/>
      <c r="BI120" s="528"/>
      <c r="BJ120" s="528" t="s">
        <v>1146</v>
      </c>
      <c r="BK120" s="528"/>
      <c r="BL120" s="529"/>
      <c r="BM120" s="529"/>
      <c r="BN120" s="525"/>
    </row>
    <row r="121" spans="1:68" ht="13" customHeight="1" x14ac:dyDescent="0.2">
      <c r="A121" s="525">
        <v>1688</v>
      </c>
      <c r="B121" s="630">
        <v>45140</v>
      </c>
      <c r="C121" s="526" t="s">
        <v>295</v>
      </c>
      <c r="D121" s="525" t="s">
        <v>1115</v>
      </c>
      <c r="E121" s="527">
        <v>45103</v>
      </c>
      <c r="F121" s="529" t="s">
        <v>1106</v>
      </c>
      <c r="G121" s="525" t="s">
        <v>2</v>
      </c>
      <c r="H121" s="532">
        <v>89.999999999999986</v>
      </c>
      <c r="I121" s="531" t="s">
        <v>296</v>
      </c>
      <c r="J121" s="459">
        <v>6000</v>
      </c>
      <c r="K121" s="459">
        <v>6000</v>
      </c>
      <c r="L121" s="459">
        <v>6000</v>
      </c>
      <c r="M121" s="459">
        <v>6000</v>
      </c>
      <c r="N121" s="525"/>
      <c r="O121" s="532">
        <v>2.8636363636363633</v>
      </c>
      <c r="P121" s="532">
        <v>0</v>
      </c>
      <c r="Q121" s="532">
        <v>0</v>
      </c>
      <c r="R121" s="532">
        <v>0</v>
      </c>
      <c r="S121" s="532">
        <v>2.6636363636363636</v>
      </c>
      <c r="T121" s="533"/>
      <c r="U121" s="532">
        <v>2.8636363636363633</v>
      </c>
      <c r="V121" s="532">
        <v>0</v>
      </c>
      <c r="W121" s="532">
        <v>0</v>
      </c>
      <c r="X121" s="532">
        <v>0</v>
      </c>
      <c r="Y121" s="532">
        <v>2.6636363636363636</v>
      </c>
      <c r="Z121" s="533"/>
      <c r="AA121" s="533"/>
      <c r="AB121" s="533"/>
      <c r="AC121" s="533"/>
      <c r="AD121" s="533"/>
      <c r="AE121" s="533"/>
      <c r="AF121" s="533"/>
      <c r="AG121" s="528" t="s">
        <v>297</v>
      </c>
      <c r="AH121" s="528" t="s">
        <v>298</v>
      </c>
      <c r="AI121" s="333">
        <v>2</v>
      </c>
      <c r="AJ121" s="333">
        <v>4</v>
      </c>
      <c r="AK121" s="483">
        <v>0.33329999999999999</v>
      </c>
      <c r="AL121" s="483">
        <v>0.66659999999999997</v>
      </c>
      <c r="AM121" s="525" t="s">
        <v>1124</v>
      </c>
      <c r="AN121" s="528">
        <v>0</v>
      </c>
      <c r="AO121" s="528">
        <v>0</v>
      </c>
      <c r="AP121" s="528">
        <v>2</v>
      </c>
      <c r="AQ121" s="528">
        <v>0</v>
      </c>
      <c r="AR121" s="528">
        <v>0</v>
      </c>
      <c r="AS121" s="528">
        <v>0</v>
      </c>
      <c r="AT121" s="528">
        <v>0</v>
      </c>
      <c r="AU121" s="528">
        <v>0</v>
      </c>
      <c r="AV121" s="528">
        <v>0</v>
      </c>
      <c r="AW121" s="528">
        <v>0</v>
      </c>
      <c r="AX121" s="528">
        <v>0</v>
      </c>
      <c r="AY121" s="528">
        <v>0</v>
      </c>
      <c r="AZ121" s="528"/>
      <c r="BA121" s="528" t="s">
        <v>1145</v>
      </c>
      <c r="BB121" s="297"/>
      <c r="BC121" s="528" t="s">
        <v>1145</v>
      </c>
      <c r="BD121" s="528"/>
      <c r="BE121" s="528"/>
      <c r="BF121" s="529"/>
      <c r="BG121" s="529"/>
      <c r="BH121" s="525"/>
      <c r="BI121" s="528"/>
      <c r="BJ121" s="528" t="s">
        <v>1146</v>
      </c>
      <c r="BK121" s="528">
        <v>1</v>
      </c>
      <c r="BL121" s="525"/>
      <c r="BM121" s="529"/>
      <c r="BN121" s="525"/>
    </row>
    <row r="122" spans="1:68" ht="13" customHeight="1" x14ac:dyDescent="0.2">
      <c r="A122" s="525">
        <v>2743</v>
      </c>
      <c r="B122" s="630">
        <v>45140</v>
      </c>
      <c r="C122" s="526" t="s">
        <v>1138</v>
      </c>
      <c r="D122" s="525" t="s">
        <v>1115</v>
      </c>
      <c r="E122" s="527">
        <v>45108</v>
      </c>
      <c r="F122" s="525" t="s">
        <v>1274</v>
      </c>
      <c r="G122" s="525" t="s">
        <v>1467</v>
      </c>
      <c r="H122" s="532">
        <v>97</v>
      </c>
      <c r="I122" s="531" t="s">
        <v>296</v>
      </c>
      <c r="J122" s="409">
        <v>6000</v>
      </c>
      <c r="K122" s="332">
        <v>13500</v>
      </c>
      <c r="L122" s="332">
        <v>13500</v>
      </c>
      <c r="M122" s="332">
        <v>13500</v>
      </c>
      <c r="N122" s="332"/>
      <c r="O122" s="532">
        <v>3.7999999999999994</v>
      </c>
      <c r="P122" s="532">
        <v>3.4</v>
      </c>
      <c r="Q122" s="532">
        <v>0</v>
      </c>
      <c r="R122" s="532">
        <v>0</v>
      </c>
      <c r="S122" s="532">
        <v>2.7</v>
      </c>
      <c r="T122" s="571"/>
      <c r="U122" s="532">
        <v>3.7999999999999994</v>
      </c>
      <c r="V122" s="532">
        <v>3.4</v>
      </c>
      <c r="W122" s="532">
        <v>0</v>
      </c>
      <c r="X122" s="532">
        <v>0</v>
      </c>
      <c r="Y122" s="532">
        <v>2.7</v>
      </c>
      <c r="Z122" s="571"/>
      <c r="AA122" s="571"/>
      <c r="AB122" s="571"/>
      <c r="AC122" s="571"/>
      <c r="AD122" s="571"/>
      <c r="AE122" s="571"/>
      <c r="AF122" s="571"/>
      <c r="AG122" s="333" t="s">
        <v>1145</v>
      </c>
      <c r="AH122" s="333"/>
      <c r="AI122" s="528">
        <v>3</v>
      </c>
      <c r="AJ122" s="528">
        <v>3</v>
      </c>
      <c r="AK122" s="480">
        <v>0.5</v>
      </c>
      <c r="AL122" s="480">
        <v>0.5</v>
      </c>
      <c r="AM122" s="525"/>
      <c r="AN122" s="528">
        <v>0</v>
      </c>
      <c r="AO122" s="528">
        <v>7</v>
      </c>
      <c r="AP122" s="528">
        <v>0</v>
      </c>
      <c r="AQ122" s="528">
        <v>3</v>
      </c>
      <c r="AR122" s="528">
        <v>0</v>
      </c>
      <c r="AS122" s="528">
        <v>0</v>
      </c>
      <c r="AT122" s="528">
        <v>0</v>
      </c>
      <c r="AU122" s="528">
        <v>0</v>
      </c>
      <c r="AV122" s="528">
        <v>0</v>
      </c>
      <c r="AW122" s="528">
        <v>0</v>
      </c>
      <c r="AX122" s="528">
        <v>0</v>
      </c>
      <c r="AY122" s="528">
        <v>0</v>
      </c>
      <c r="AZ122" s="528"/>
      <c r="BA122" s="528" t="s">
        <v>1145</v>
      </c>
      <c r="BB122" s="297"/>
      <c r="BC122" s="528" t="s">
        <v>1145</v>
      </c>
      <c r="BD122" s="528"/>
      <c r="BE122" s="528"/>
      <c r="BF122" s="528"/>
      <c r="BG122" s="529"/>
      <c r="BH122" s="525"/>
      <c r="BI122" s="528"/>
      <c r="BJ122" s="528" t="s">
        <v>1146</v>
      </c>
      <c r="BK122" s="528">
        <v>1</v>
      </c>
      <c r="BL122" s="529"/>
      <c r="BM122" s="529"/>
      <c r="BN122" s="525"/>
    </row>
    <row r="123" spans="1:68" ht="13" customHeight="1" x14ac:dyDescent="0.2">
      <c r="A123" s="525">
        <v>2934</v>
      </c>
      <c r="B123" s="630">
        <v>45140</v>
      </c>
      <c r="C123" s="526" t="s">
        <v>1138</v>
      </c>
      <c r="D123" s="525" t="s">
        <v>1115</v>
      </c>
      <c r="E123" s="527">
        <v>45139</v>
      </c>
      <c r="F123" s="525" t="s">
        <v>1483</v>
      </c>
      <c r="G123" s="525" t="s">
        <v>1550</v>
      </c>
      <c r="H123" s="532">
        <v>116.99999999999999</v>
      </c>
      <c r="I123" s="531" t="s">
        <v>296</v>
      </c>
      <c r="J123" s="459">
        <v>6000</v>
      </c>
      <c r="K123" s="459">
        <v>12000</v>
      </c>
      <c r="L123" s="459">
        <v>84000</v>
      </c>
      <c r="M123" s="459">
        <v>84000</v>
      </c>
      <c r="N123" s="332"/>
      <c r="O123" s="532">
        <v>3.4181818181818175</v>
      </c>
      <c r="P123" s="532">
        <v>3.1999999999999997</v>
      </c>
      <c r="Q123" s="532">
        <v>2.9909090909090907</v>
      </c>
      <c r="R123" s="532">
        <v>0</v>
      </c>
      <c r="S123" s="532">
        <v>2.8363636363636364</v>
      </c>
      <c r="T123" s="571"/>
      <c r="U123" s="532">
        <v>2.9272727272727272</v>
      </c>
      <c r="V123" s="532">
        <v>2.7272727272727271</v>
      </c>
      <c r="W123" s="532">
        <v>2.6818181818181817</v>
      </c>
      <c r="X123" s="532">
        <v>0</v>
      </c>
      <c r="Y123" s="532">
        <v>2.6545454545454543</v>
      </c>
      <c r="Z123" s="571"/>
      <c r="AA123" s="571"/>
      <c r="AB123" s="571"/>
      <c r="AC123" s="571"/>
      <c r="AD123" s="571"/>
      <c r="AE123" s="571"/>
      <c r="AF123" s="571"/>
      <c r="AG123" s="333" t="s">
        <v>1143</v>
      </c>
      <c r="AH123" s="333" t="s">
        <v>1144</v>
      </c>
      <c r="AI123" s="333">
        <v>2</v>
      </c>
      <c r="AJ123" s="333">
        <v>4</v>
      </c>
      <c r="AK123" s="483">
        <v>0.33329999999999999</v>
      </c>
      <c r="AL123" s="483">
        <v>0.66659999999999997</v>
      </c>
      <c r="AM123" s="525" t="s">
        <v>1124</v>
      </c>
      <c r="AN123" s="528">
        <v>0</v>
      </c>
      <c r="AO123" s="528">
        <v>0</v>
      </c>
      <c r="AP123" s="528">
        <v>0</v>
      </c>
      <c r="AQ123" s="528">
        <v>0</v>
      </c>
      <c r="AR123" s="528">
        <v>0</v>
      </c>
      <c r="AS123" s="528">
        <v>0</v>
      </c>
      <c r="AT123" s="528">
        <v>0</v>
      </c>
      <c r="AU123" s="528">
        <v>0</v>
      </c>
      <c r="AV123" s="528">
        <v>0</v>
      </c>
      <c r="AW123" s="528">
        <v>0</v>
      </c>
      <c r="AX123" s="528">
        <v>0</v>
      </c>
      <c r="AY123" s="528">
        <v>0</v>
      </c>
      <c r="AZ123" s="528"/>
      <c r="BA123" s="528" t="s">
        <v>1145</v>
      </c>
      <c r="BB123" s="297"/>
      <c r="BC123" s="528" t="s">
        <v>1145</v>
      </c>
      <c r="BD123" s="528"/>
      <c r="BE123" s="528"/>
      <c r="BF123" s="564"/>
      <c r="BG123" s="529"/>
      <c r="BH123" s="525"/>
      <c r="BI123" s="528"/>
      <c r="BJ123" s="528" t="s">
        <v>4</v>
      </c>
      <c r="BK123" s="528"/>
      <c r="BL123" s="529"/>
      <c r="BM123" s="525"/>
      <c r="BN123" s="525"/>
    </row>
    <row r="124" spans="1:68" ht="16" x14ac:dyDescent="0.2">
      <c r="A124" s="525">
        <v>3701</v>
      </c>
      <c r="B124" s="630">
        <v>45140</v>
      </c>
      <c r="C124" s="526" t="s">
        <v>1138</v>
      </c>
      <c r="D124" s="525" t="s">
        <v>1115</v>
      </c>
      <c r="E124" s="527">
        <v>45096</v>
      </c>
      <c r="F124" s="525" t="s">
        <v>1057</v>
      </c>
      <c r="G124" s="525" t="s">
        <v>1734</v>
      </c>
      <c r="H124" s="532">
        <v>126.81818181818181</v>
      </c>
      <c r="I124" s="531" t="s">
        <v>296</v>
      </c>
      <c r="J124" s="459">
        <v>6000</v>
      </c>
      <c r="K124" s="459">
        <v>12000</v>
      </c>
      <c r="L124" s="459">
        <v>84000</v>
      </c>
      <c r="M124" s="459">
        <v>84000</v>
      </c>
      <c r="N124" s="297"/>
      <c r="O124" s="532">
        <v>2.8</v>
      </c>
      <c r="P124" s="532">
        <v>2.5999999999999996</v>
      </c>
      <c r="Q124" s="532">
        <v>2.1999999999999997</v>
      </c>
      <c r="R124" s="532">
        <v>0</v>
      </c>
      <c r="S124" s="532">
        <v>2.1999999999999997</v>
      </c>
      <c r="T124" s="571"/>
      <c r="U124" s="532">
        <v>2.4</v>
      </c>
      <c r="V124" s="532">
        <v>2.2999999999999998</v>
      </c>
      <c r="W124" s="532">
        <v>2.1999999999999997</v>
      </c>
      <c r="X124" s="532">
        <v>0</v>
      </c>
      <c r="Y124" s="532">
        <v>2.1999999999999997</v>
      </c>
      <c r="Z124" s="297"/>
      <c r="AA124" s="297"/>
      <c r="AB124" s="297"/>
      <c r="AC124" s="297"/>
      <c r="AD124" s="297"/>
      <c r="AE124" s="297"/>
      <c r="AF124" s="297"/>
      <c r="AG124" s="333" t="s">
        <v>1143</v>
      </c>
      <c r="AH124" s="333" t="s">
        <v>1144</v>
      </c>
      <c r="AI124" s="333">
        <v>2</v>
      </c>
      <c r="AJ124" s="333">
        <v>4</v>
      </c>
      <c r="AK124" s="483">
        <v>0.33329999999999999</v>
      </c>
      <c r="AL124" s="483">
        <v>0.66659999999999997</v>
      </c>
      <c r="AM124" s="525" t="s">
        <v>1124</v>
      </c>
      <c r="AN124" s="528">
        <v>0</v>
      </c>
      <c r="AO124" s="528">
        <v>0</v>
      </c>
      <c r="AP124" s="528">
        <v>0</v>
      </c>
      <c r="AQ124" s="528">
        <v>0</v>
      </c>
      <c r="AR124" s="528">
        <v>0</v>
      </c>
      <c r="AS124" s="528">
        <v>0</v>
      </c>
      <c r="AT124" s="528">
        <v>0</v>
      </c>
      <c r="AU124" s="528">
        <v>0</v>
      </c>
      <c r="AV124" s="528">
        <v>0</v>
      </c>
      <c r="AW124" s="528">
        <v>0</v>
      </c>
      <c r="AX124" s="528">
        <v>0</v>
      </c>
      <c r="AY124" s="528">
        <v>0</v>
      </c>
      <c r="AZ124" s="528"/>
      <c r="BA124" s="528" t="s">
        <v>1145</v>
      </c>
      <c r="BB124" s="297"/>
      <c r="BC124" s="528" t="s">
        <v>1145</v>
      </c>
      <c r="BD124" s="528"/>
      <c r="BE124" s="528"/>
      <c r="BF124" s="528"/>
      <c r="BG124" s="529"/>
      <c r="BH124" s="525"/>
      <c r="BI124" s="528"/>
      <c r="BJ124" s="528" t="s">
        <v>1146</v>
      </c>
      <c r="BK124" s="528"/>
      <c r="BL124" s="529" t="s">
        <v>1735</v>
      </c>
      <c r="BM124" s="569"/>
      <c r="BN124" s="525"/>
    </row>
    <row r="125" spans="1:68" ht="13" customHeight="1" x14ac:dyDescent="0.2">
      <c r="A125" s="525">
        <v>3631</v>
      </c>
      <c r="B125" s="630">
        <v>45140</v>
      </c>
      <c r="C125" s="526" t="s">
        <v>1138</v>
      </c>
      <c r="D125" s="525" t="s">
        <v>1115</v>
      </c>
      <c r="E125" s="527">
        <v>44935</v>
      </c>
      <c r="F125" s="525" t="s">
        <v>1173</v>
      </c>
      <c r="G125" s="525" t="s">
        <v>1705</v>
      </c>
      <c r="H125" s="532">
        <v>75</v>
      </c>
      <c r="I125" s="531" t="s">
        <v>296</v>
      </c>
      <c r="J125" s="631">
        <v>6000</v>
      </c>
      <c r="K125" s="631">
        <v>12000</v>
      </c>
      <c r="L125" s="631">
        <v>84000</v>
      </c>
      <c r="M125" s="631">
        <v>84000</v>
      </c>
      <c r="N125" s="332"/>
      <c r="O125" s="532">
        <v>2.7727272727272725</v>
      </c>
      <c r="P125" s="532">
        <v>2.754545454545454</v>
      </c>
      <c r="Q125" s="532">
        <v>2.7181818181818183</v>
      </c>
      <c r="R125" s="532">
        <v>0</v>
      </c>
      <c r="S125" s="532">
        <v>2.7</v>
      </c>
      <c r="T125" s="571"/>
      <c r="U125" s="532">
        <v>2.2999999999999998</v>
      </c>
      <c r="V125" s="532">
        <v>2.2818181818181813</v>
      </c>
      <c r="W125" s="532">
        <v>2.1</v>
      </c>
      <c r="X125" s="532">
        <v>0</v>
      </c>
      <c r="Y125" s="532">
        <v>2.0909090909090904</v>
      </c>
      <c r="Z125" s="571"/>
      <c r="AA125" s="571"/>
      <c r="AB125" s="571"/>
      <c r="AC125" s="571"/>
      <c r="AD125" s="571"/>
      <c r="AE125" s="571"/>
      <c r="AF125" s="571"/>
      <c r="AG125" s="333" t="s">
        <v>1143</v>
      </c>
      <c r="AH125" s="333" t="s">
        <v>1144</v>
      </c>
      <c r="AI125" s="333">
        <v>2</v>
      </c>
      <c r="AJ125" s="333">
        <v>4</v>
      </c>
      <c r="AK125" s="483">
        <v>0.33329999999999999</v>
      </c>
      <c r="AL125" s="483">
        <v>0.66659999999999997</v>
      </c>
      <c r="AM125" s="525" t="s">
        <v>1124</v>
      </c>
      <c r="AN125" s="528">
        <v>0</v>
      </c>
      <c r="AO125" s="528">
        <v>0</v>
      </c>
      <c r="AP125" s="528">
        <v>0</v>
      </c>
      <c r="AQ125" s="528">
        <v>0</v>
      </c>
      <c r="AR125" s="528">
        <v>0</v>
      </c>
      <c r="AS125" s="528">
        <v>0</v>
      </c>
      <c r="AT125" s="528">
        <v>0</v>
      </c>
      <c r="AU125" s="528">
        <v>0</v>
      </c>
      <c r="AV125" s="528">
        <v>0</v>
      </c>
      <c r="AW125" s="528">
        <v>0</v>
      </c>
      <c r="AX125" s="528">
        <v>0</v>
      </c>
      <c r="AY125" s="528">
        <v>0</v>
      </c>
      <c r="AZ125" s="528"/>
      <c r="BA125" s="528" t="s">
        <v>1145</v>
      </c>
      <c r="BB125" s="297"/>
      <c r="BC125" s="528" t="s">
        <v>1145</v>
      </c>
      <c r="BD125" s="528"/>
      <c r="BE125" s="528"/>
      <c r="BF125" s="564"/>
      <c r="BG125" s="529"/>
      <c r="BH125" s="525"/>
      <c r="BI125" s="528"/>
      <c r="BJ125" s="528" t="s">
        <v>4</v>
      </c>
      <c r="BK125" s="528"/>
      <c r="BL125" s="529"/>
      <c r="BM125" s="525"/>
      <c r="BN125" s="525"/>
    </row>
    <row r="126" spans="1:68" ht="13" customHeight="1" x14ac:dyDescent="0.2">
      <c r="A126" s="525" t="s">
        <v>1749</v>
      </c>
      <c r="B126" s="630">
        <v>45140</v>
      </c>
      <c r="C126" s="526" t="s">
        <v>1138</v>
      </c>
      <c r="D126" s="525" t="s">
        <v>1115</v>
      </c>
      <c r="E126" s="527">
        <v>45108</v>
      </c>
      <c r="F126" s="529" t="s">
        <v>1750</v>
      </c>
      <c r="G126" s="525" t="s">
        <v>1751</v>
      </c>
      <c r="H126" s="532">
        <v>84.972727272727269</v>
      </c>
      <c r="I126" s="531" t="s">
        <v>296</v>
      </c>
      <c r="J126" s="459">
        <v>6000</v>
      </c>
      <c r="K126" s="459">
        <v>12000</v>
      </c>
      <c r="L126" s="459">
        <v>84000</v>
      </c>
      <c r="M126" s="459">
        <v>84000</v>
      </c>
      <c r="N126" s="525"/>
      <c r="O126" s="532">
        <v>2.754545454545454</v>
      </c>
      <c r="P126" s="532">
        <v>2.6545454545454543</v>
      </c>
      <c r="Q126" s="532">
        <v>2.5181818181818181</v>
      </c>
      <c r="R126" s="532">
        <v>0</v>
      </c>
      <c r="S126" s="532">
        <v>2.4454545454545453</v>
      </c>
      <c r="T126" s="533"/>
      <c r="U126" s="532">
        <v>2.3727272727272726</v>
      </c>
      <c r="V126" s="532">
        <v>2.1</v>
      </c>
      <c r="W126" s="532">
        <v>1.5818181818181818</v>
      </c>
      <c r="X126" s="532">
        <v>0</v>
      </c>
      <c r="Y126" s="532">
        <v>1.4909090909090907</v>
      </c>
      <c r="Z126" s="533"/>
      <c r="AA126" s="533"/>
      <c r="AB126" s="533"/>
      <c r="AC126" s="533"/>
      <c r="AD126" s="533"/>
      <c r="AE126" s="533"/>
      <c r="AF126" s="533"/>
      <c r="AG126" s="528" t="s">
        <v>1143</v>
      </c>
      <c r="AH126" s="528" t="s">
        <v>1144</v>
      </c>
      <c r="AI126" s="333">
        <v>2</v>
      </c>
      <c r="AJ126" s="333">
        <v>4</v>
      </c>
      <c r="AK126" s="483">
        <v>0.33329999999999999</v>
      </c>
      <c r="AL126" s="483">
        <v>0.66659999999999997</v>
      </c>
      <c r="AM126" s="525" t="s">
        <v>1124</v>
      </c>
      <c r="AN126" s="528">
        <v>0</v>
      </c>
      <c r="AO126" s="528">
        <v>0</v>
      </c>
      <c r="AP126" s="528">
        <v>0</v>
      </c>
      <c r="AQ126" s="528">
        <v>0</v>
      </c>
      <c r="AR126" s="528">
        <v>0</v>
      </c>
      <c r="AS126" s="528">
        <v>0</v>
      </c>
      <c r="AT126" s="528">
        <v>0</v>
      </c>
      <c r="AU126" s="528">
        <v>0</v>
      </c>
      <c r="AV126" s="528">
        <v>0</v>
      </c>
      <c r="AW126" s="528">
        <v>0</v>
      </c>
      <c r="AX126" s="528">
        <v>0</v>
      </c>
      <c r="AY126" s="528">
        <v>0</v>
      </c>
      <c r="AZ126" s="528"/>
      <c r="BA126" s="528" t="s">
        <v>1145</v>
      </c>
      <c r="BB126" s="297"/>
      <c r="BC126" s="528" t="s">
        <v>1145</v>
      </c>
      <c r="BD126" s="528"/>
      <c r="BE126" s="528"/>
      <c r="BF126" s="528"/>
      <c r="BG126" s="597"/>
      <c r="BH126" s="598"/>
      <c r="BI126" s="566"/>
      <c r="BJ126" s="528" t="s">
        <v>1146</v>
      </c>
      <c r="BK126" s="528"/>
      <c r="BL126" s="529"/>
      <c r="BM126" s="529"/>
      <c r="BN126" s="525"/>
    </row>
    <row r="127" spans="1:68" ht="13" customHeight="1" x14ac:dyDescent="0.2">
      <c r="A127" s="525" t="s">
        <v>1749</v>
      </c>
      <c r="B127" s="630">
        <v>45140</v>
      </c>
      <c r="C127" s="526" t="s">
        <v>1138</v>
      </c>
      <c r="D127" s="525" t="s">
        <v>1115</v>
      </c>
      <c r="E127" s="527">
        <v>44944</v>
      </c>
      <c r="F127" s="529" t="s">
        <v>34</v>
      </c>
      <c r="G127" s="525" t="s">
        <v>1656</v>
      </c>
      <c r="H127" s="532">
        <v>109.76363636363635</v>
      </c>
      <c r="I127" s="531"/>
      <c r="J127" s="459"/>
      <c r="K127" s="459"/>
      <c r="L127" s="459"/>
      <c r="M127" s="459"/>
      <c r="N127" s="525"/>
      <c r="O127" s="532">
        <v>3.2090909090909085</v>
      </c>
      <c r="P127" s="532">
        <v>0</v>
      </c>
      <c r="Q127" s="532">
        <v>0</v>
      </c>
      <c r="R127" s="532">
        <v>0</v>
      </c>
      <c r="S127" s="532">
        <v>0</v>
      </c>
      <c r="T127" s="533"/>
      <c r="U127" s="532">
        <v>3.2090909090909085</v>
      </c>
      <c r="V127" s="532">
        <v>0</v>
      </c>
      <c r="W127" s="532">
        <v>0</v>
      </c>
      <c r="X127" s="532">
        <v>0</v>
      </c>
      <c r="Y127" s="532">
        <v>0</v>
      </c>
      <c r="Z127" s="533"/>
      <c r="AA127" s="533"/>
      <c r="AB127" s="533"/>
      <c r="AC127" s="533"/>
      <c r="AD127" s="533"/>
      <c r="AE127" s="533"/>
      <c r="AF127" s="533"/>
      <c r="AG127" s="333" t="s">
        <v>1145</v>
      </c>
      <c r="AH127" s="333"/>
      <c r="AI127" s="528">
        <v>3</v>
      </c>
      <c r="AJ127" s="528">
        <v>3</v>
      </c>
      <c r="AK127" s="480">
        <v>0.5</v>
      </c>
      <c r="AL127" s="480">
        <v>0.5</v>
      </c>
      <c r="AM127" s="525"/>
      <c r="AN127" s="528">
        <v>0</v>
      </c>
      <c r="AO127" s="528">
        <v>0</v>
      </c>
      <c r="AP127" s="528">
        <v>0</v>
      </c>
      <c r="AQ127" s="528">
        <v>0</v>
      </c>
      <c r="AR127" s="528">
        <v>0</v>
      </c>
      <c r="AS127" s="528">
        <v>0</v>
      </c>
      <c r="AT127" s="528">
        <v>0</v>
      </c>
      <c r="AU127" s="528">
        <v>0</v>
      </c>
      <c r="AV127" s="528">
        <v>0</v>
      </c>
      <c r="AW127" s="528">
        <v>0</v>
      </c>
      <c r="AX127" s="528">
        <v>0</v>
      </c>
      <c r="AY127" s="528">
        <v>0</v>
      </c>
      <c r="AZ127" s="528"/>
      <c r="BA127" s="528" t="s">
        <v>1145</v>
      </c>
      <c r="BB127" s="528"/>
      <c r="BC127" s="528" t="s">
        <v>1145</v>
      </c>
      <c r="BD127" s="528"/>
      <c r="BE127" s="528"/>
      <c r="BF127" s="528"/>
      <c r="BG127" s="597"/>
      <c r="BH127" s="598"/>
      <c r="BI127" s="566"/>
      <c r="BJ127" s="528" t="s">
        <v>1146</v>
      </c>
      <c r="BK127" s="528"/>
      <c r="BL127" s="529"/>
      <c r="BM127" s="525" t="s">
        <v>1765</v>
      </c>
      <c r="BN127" s="525"/>
    </row>
    <row r="128" spans="1:68" ht="13" customHeight="1" x14ac:dyDescent="0.2">
      <c r="A128" s="525" t="s">
        <v>1749</v>
      </c>
      <c r="B128" s="630">
        <v>45140</v>
      </c>
      <c r="C128" s="526" t="s">
        <v>1138</v>
      </c>
      <c r="D128" s="525" t="s">
        <v>1115</v>
      </c>
      <c r="E128" s="527">
        <v>44944</v>
      </c>
      <c r="F128" s="529" t="s">
        <v>1766</v>
      </c>
      <c r="G128" s="525" t="s">
        <v>1767</v>
      </c>
      <c r="H128" s="532">
        <v>109.76363636363635</v>
      </c>
      <c r="I128" s="531"/>
      <c r="J128" s="459"/>
      <c r="K128" s="459"/>
      <c r="L128" s="459"/>
      <c r="M128" s="459"/>
      <c r="N128" s="525"/>
      <c r="O128" s="532">
        <v>3.2090909090909085</v>
      </c>
      <c r="P128" s="532">
        <v>0</v>
      </c>
      <c r="Q128" s="532">
        <v>0</v>
      </c>
      <c r="R128" s="532">
        <v>0</v>
      </c>
      <c r="S128" s="532">
        <v>0</v>
      </c>
      <c r="T128" s="533"/>
      <c r="U128" s="532">
        <v>3.2090909090909085</v>
      </c>
      <c r="V128" s="532">
        <v>0</v>
      </c>
      <c r="W128" s="532">
        <v>0</v>
      </c>
      <c r="X128" s="532">
        <v>0</v>
      </c>
      <c r="Y128" s="532">
        <v>0</v>
      </c>
      <c r="Z128" s="533"/>
      <c r="AA128" s="533"/>
      <c r="AB128" s="533"/>
      <c r="AC128" s="533"/>
      <c r="AD128" s="533"/>
      <c r="AE128" s="533"/>
      <c r="AF128" s="533"/>
      <c r="AG128" s="528" t="s">
        <v>1145</v>
      </c>
      <c r="AH128" s="528"/>
      <c r="AI128" s="528">
        <v>3</v>
      </c>
      <c r="AJ128" s="528">
        <v>3</v>
      </c>
      <c r="AK128" s="480">
        <v>0.5</v>
      </c>
      <c r="AL128" s="480">
        <v>0.5</v>
      </c>
      <c r="AM128" s="525"/>
      <c r="AN128" s="528">
        <v>0</v>
      </c>
      <c r="AO128" s="528">
        <v>0</v>
      </c>
      <c r="AP128" s="528">
        <v>0</v>
      </c>
      <c r="AQ128" s="528">
        <v>0</v>
      </c>
      <c r="AR128" s="528">
        <v>0</v>
      </c>
      <c r="AS128" s="528">
        <v>0</v>
      </c>
      <c r="AT128" s="528">
        <v>0</v>
      </c>
      <c r="AU128" s="528">
        <v>0</v>
      </c>
      <c r="AV128" s="528">
        <v>0</v>
      </c>
      <c r="AW128" s="528">
        <v>0</v>
      </c>
      <c r="AX128" s="528">
        <v>0</v>
      </c>
      <c r="AY128" s="528">
        <v>0</v>
      </c>
      <c r="AZ128" s="528"/>
      <c r="BA128" s="528" t="s">
        <v>1145</v>
      </c>
      <c r="BB128" s="528"/>
      <c r="BC128" s="528" t="s">
        <v>1145</v>
      </c>
      <c r="BD128" s="528"/>
      <c r="BE128" s="528"/>
      <c r="BF128" s="528"/>
      <c r="BG128" s="597"/>
      <c r="BH128" s="598"/>
      <c r="BI128" s="566"/>
      <c r="BJ128" s="528" t="s">
        <v>1146</v>
      </c>
      <c r="BK128" s="528"/>
      <c r="BL128" s="529" t="s">
        <v>1769</v>
      </c>
      <c r="BM128" s="525"/>
      <c r="BN128" s="525"/>
    </row>
    <row r="132" spans="8:19" x14ac:dyDescent="0.15">
      <c r="H132" s="641"/>
      <c r="O132" s="641"/>
      <c r="P132" s="641"/>
      <c r="Q132" s="641"/>
      <c r="R132" s="641"/>
      <c r="S132" s="641"/>
    </row>
    <row r="133" spans="8:19" x14ac:dyDescent="0.15">
      <c r="H133" s="138"/>
      <c r="O133" s="138"/>
      <c r="P133" s="138"/>
      <c r="S133" s="138"/>
    </row>
  </sheetData>
  <sheetProtection algorithmName="SHA-512" hashValue="KWhQ+UBtS0W3xNS3Tr15UNySohfgCkdJEARKdhOBN0Hh+8PQGBycV71+agFWJq4vKQ17e1qbMiHa0Ofz4D/P7Q==" saltValue="XeWY3Tw6g6JUUDJEedvmc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87FC1-2F32-A44B-9FC8-F4BE6430DE0B}">
  <sheetPr codeName="Sheet74"/>
  <dimension ref="A1:AT162"/>
  <sheetViews>
    <sheetView workbookViewId="0">
      <selection activeCell="W1" sqref="W1:Z1048576"/>
    </sheetView>
  </sheetViews>
  <sheetFormatPr baseColWidth="10" defaultRowHeight="13" x14ac:dyDescent="0.15"/>
  <cols>
    <col min="1" max="1" width="20.83203125" customWidth="1"/>
    <col min="2" max="2" width="21.6640625" bestFit="1" customWidth="1"/>
    <col min="3" max="3" width="16.83203125" bestFit="1" customWidth="1"/>
    <col min="4" max="4" width="7.5" bestFit="1" customWidth="1"/>
    <col min="5" max="9" width="10" bestFit="1" customWidth="1"/>
    <col min="10" max="14" width="8.5" bestFit="1" customWidth="1"/>
    <col min="15" max="16" width="10.6640625" hidden="1" customWidth="1"/>
    <col min="17" max="17" width="10.1640625" hidden="1" customWidth="1"/>
    <col min="18" max="18" width="10.6640625" bestFit="1" customWidth="1"/>
    <col min="21" max="21" width="10.5" bestFit="1" customWidth="1"/>
    <col min="22" max="22" width="10.5" customWidth="1"/>
    <col min="23" max="23" width="19" hidden="1" customWidth="1"/>
    <col min="24" max="24" width="10.83203125" hidden="1" customWidth="1"/>
    <col min="25" max="26" width="10.6640625" hidden="1" customWidth="1"/>
    <col min="27" max="27" width="14.1640625" customWidth="1"/>
    <col min="28" max="28" width="14" customWidth="1"/>
  </cols>
  <sheetData>
    <row r="1" spans="1:46" s="603" customFormat="1" x14ac:dyDescent="0.15">
      <c r="A1" s="605" t="s">
        <v>722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  <c r="Z1" s="605"/>
      <c r="AA1" s="605"/>
      <c r="AB1" s="605"/>
      <c r="AC1" s="605"/>
      <c r="AD1" s="605"/>
      <c r="AE1" s="605"/>
      <c r="AF1" s="605"/>
      <c r="AG1" s="605"/>
      <c r="AH1" s="605"/>
      <c r="AI1" s="605"/>
      <c r="AJ1" s="605"/>
      <c r="AK1" s="605"/>
      <c r="AL1" s="605"/>
      <c r="AM1" s="605"/>
      <c r="AN1" s="605"/>
      <c r="AO1" s="605"/>
      <c r="AP1" s="605"/>
      <c r="AQ1" s="605"/>
      <c r="AR1" s="605"/>
      <c r="AS1" s="605"/>
      <c r="AT1" s="605"/>
    </row>
    <row r="2" spans="1:46" s="603" customFormat="1" x14ac:dyDescent="0.15">
      <c r="A2" s="605" t="s">
        <v>723</v>
      </c>
      <c r="B2" s="605"/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</row>
    <row r="3" spans="1:46" s="603" customFormat="1" ht="14" thickBot="1" x14ac:dyDescent="0.2">
      <c r="A3" s="605"/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</row>
    <row r="4" spans="1:46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410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6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  <c r="AR4" s="604"/>
      <c r="AS4" s="604"/>
      <c r="AT4" s="604"/>
    </row>
    <row r="5" spans="1:46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411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9"/>
      <c r="AC5" s="604"/>
      <c r="AD5" s="604"/>
      <c r="AE5" s="604"/>
      <c r="AF5" s="604"/>
      <c r="AG5" s="604"/>
      <c r="AH5" s="604"/>
      <c r="AI5" s="604"/>
      <c r="AJ5" s="604"/>
      <c r="AK5" s="604"/>
      <c r="AL5" s="604"/>
      <c r="AM5" s="604"/>
      <c r="AN5" s="604"/>
      <c r="AO5" s="604"/>
      <c r="AP5" s="604"/>
      <c r="AQ5" s="604"/>
      <c r="AR5" s="604"/>
      <c r="AS5" s="604"/>
      <c r="AT5" s="604"/>
    </row>
    <row r="6" spans="1:46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411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9"/>
      <c r="AC6" s="604"/>
      <c r="AD6" s="604"/>
      <c r="AE6" s="604"/>
      <c r="AF6" s="604"/>
      <c r="AG6" s="604"/>
      <c r="AH6" s="604"/>
      <c r="AI6" s="604"/>
      <c r="AJ6" s="604"/>
      <c r="AK6" s="604"/>
      <c r="AL6" s="604"/>
      <c r="AM6" s="604"/>
      <c r="AN6" s="604"/>
      <c r="AO6" s="604"/>
      <c r="AP6" s="604"/>
      <c r="AQ6" s="604"/>
      <c r="AR6" s="604"/>
      <c r="AS6" s="604"/>
      <c r="AT6" s="604"/>
    </row>
    <row r="7" spans="1:46" ht="65" customHeight="1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501" t="s">
        <v>572</v>
      </c>
      <c r="P7" s="501" t="s">
        <v>1243</v>
      </c>
      <c r="Q7" s="510" t="s">
        <v>573</v>
      </c>
      <c r="R7" s="493" t="s">
        <v>574</v>
      </c>
      <c r="S7" s="495" t="s">
        <v>575</v>
      </c>
      <c r="T7" s="496" t="s">
        <v>576</v>
      </c>
      <c r="U7" s="496" t="s">
        <v>577</v>
      </c>
      <c r="V7" s="496" t="s">
        <v>578</v>
      </c>
      <c r="W7" s="536" t="s">
        <v>1548</v>
      </c>
      <c r="X7" s="536" t="s">
        <v>1549</v>
      </c>
      <c r="Y7" s="502" t="s">
        <v>579</v>
      </c>
      <c r="Z7" s="502" t="s">
        <v>580</v>
      </c>
      <c r="AA7" s="497" t="s">
        <v>581</v>
      </c>
      <c r="AB7" s="608" t="s">
        <v>582</v>
      </c>
      <c r="AC7" s="604"/>
      <c r="AD7" s="604"/>
      <c r="AE7" s="604"/>
      <c r="AF7" s="604"/>
      <c r="AG7" s="604"/>
      <c r="AH7" s="604"/>
      <c r="AI7" s="604"/>
      <c r="AJ7" s="604"/>
      <c r="AK7" s="604"/>
      <c r="AL7" s="604"/>
      <c r="AM7" s="604"/>
      <c r="AN7" s="604"/>
      <c r="AO7" s="604"/>
      <c r="AP7" s="604"/>
      <c r="AQ7" s="604"/>
      <c r="AR7" s="604"/>
      <c r="AS7" s="604"/>
      <c r="AT7" s="604"/>
    </row>
    <row r="8" spans="1:46" ht="14" x14ac:dyDescent="0.15">
      <c r="A8" s="270" t="str">
        <f>'Tariffs Jan2023'!F2</f>
        <v>AGL</v>
      </c>
      <c r="B8" s="40" t="str">
        <f>'Tariffs Jan2023'!D2</f>
        <v>Multinet Metro 1</v>
      </c>
      <c r="C8" s="40" t="str">
        <f>'Tariffs Jan2023'!G2</f>
        <v>Value Saver</v>
      </c>
      <c r="D8" s="59">
        <f>365*'Tariffs Jan2023'!H2/100</f>
        <v>271.92500000000001</v>
      </c>
      <c r="E8" s="59">
        <f>IF($C$5*'Tariffs Jan2023'!AK2/'Tariffs Jan2023'!AI2&gt;='Tariffs Jan2023'!J2,( 'Tariffs Jan2023'!J2*'Tariffs Jan2023'!O2/100)* 'Tariffs Jan2023'!AI2,($C$5*'Tariffs Jan2023'!AK2/'Tariffs Jan2023'!AI2*'Tariffs Jan2023'!O2/100)* 'Tariffs Jan2023'!AI2)</f>
        <v>299.45454545454544</v>
      </c>
      <c r="F8" s="59">
        <f>IF($C$5*'Tariffs Jan2023'!AK2/'Tariffs Jan2023'!AI2&lt;'Tariffs Jan2023'!J2,0,IF($C$5*'Tariffs Jan2023'!AK2/'Tariffs Jan2023'!AI2&lt;='Tariffs Jan2023'!K2,($C$5*'Tariffs Jan2023'!AK2/'Tariffs Jan2023'!AI2-'Tariffs Jan2023'!J2)*('Tariffs Jan2023'!P2/100)*'Tariffs Jan2023'!AI2,('Tariffs Jan2023'!K2-'Tariffs Jan2023'!J2)*('Tariffs Jan2023'!P2/100)*'Tariffs Jan2023'!AI2))</f>
        <v>265.09090909090907</v>
      </c>
      <c r="G8" s="59">
        <f>IF($C$5*'Tariffs Jan2023'!AK2/'Tariffs Jan2023'!AI2&lt;'Tariffs Jan2023'!K2,0,IF($C$5*'Tariffs Jan2023'!AK2/'Tariffs Jan2023'!AI2&lt;='Tariffs Jan2023'!L2,($C$5*'Tariffs Jan2023'!AK2/'Tariffs Jan2023'!AI2-'Tariffs Jan2023'!K2)*('Tariffs Jan2023'!Q2/100)*'Tariffs Jan2023'!AI2,('Tariffs Jan2023'!L2-'Tariffs Jan2023'!K2)*('Tariffs Jan2023'!Q2/100)*'Tariffs Jan2023'!AI2))</f>
        <v>212.72727272727269</v>
      </c>
      <c r="H8" s="59">
        <f>IF($C$5*'Tariffs Jan2023'!AK2/'Tariffs Jan2023'!AI2&lt;'Tariffs Jan2023'!L2,0,IF($C$5*'Tariffs Jan2023'!AK2/'Tariffs Jan2023'!AI2&lt;='Tariffs Jan2023'!M2,($C$5*'Tariffs Jan2023'!AK2/'Tariffs Jan2023'!AI2-'Tariffs Jan2023'!L2)*('Tariffs Jan2023'!R2/100)*'Tariffs Jan2023'!AI2,('Tariffs Jan2023'!M2-'Tariffs Jan2023'!L2)*('Tariffs Jan2023'!R2/100)*'Tariffs Jan2023'!AI2))</f>
        <v>87.545454545454533</v>
      </c>
      <c r="I8" s="59">
        <f>IF(($C$5*'Tariffs Jan2023'!AK2/'Tariffs Jan2023'!AI2&gt;'Tariffs Jan2023'!M2),($C$5*'Tariffs Jan2023'!AK2/'Tariffs Jan2023'!AI2-'Tariffs Jan2023'!M2)*'Tariffs Jan2023'!S2/100*'Tariffs Jan2023'!AI2,0)</f>
        <v>0</v>
      </c>
      <c r="J8" s="59">
        <f>IF($C$5*'Tariffs Jan2023'!AL2/'Tariffs Jan2023'!AJ2&gt;='Tariffs Jan2023'!J2,('Tariffs Jan2023'!J2*'Tariffs Jan2023'!U2/100)* 'Tariffs Jan2023'!AJ2,($C$5*'Tariffs Jan2023'!AL2/'Tariffs Jan2023'!AJ2*'Tariffs Jan2023'!U2/100)* 'Tariffs Jan2023'!AJ2)</f>
        <v>280.63636363636363</v>
      </c>
      <c r="K8" s="59">
        <f>IF($C$5*'Tariffs Jan2023'!AL2/'Tariffs Jan2023'!AJ2&lt;'Tariffs Jan2023'!J2,0,IF($C$5*'Tariffs Jan2023'!AL2/'Tariffs Jan2023'!AJ2&lt;='Tariffs Jan2023'!K2,($C$5*'Tariffs Jan2023'!AL2/'Tariffs Jan2023'!AJ2-'Tariffs Jan2023'!J2)*('Tariffs Jan2023'!V2/100)*'Tariffs Jan2023'!AJ2,('Tariffs Jan2023'!K2-'Tariffs Jan2023'!J2)*('Tariffs Jan2023'!V2/100)*'Tariffs Jan2023'!AJ2))</f>
        <v>245.45454545454544</v>
      </c>
      <c r="L8" s="59">
        <f>IF($C$5*'Tariffs Jan2023'!AL2/'Tariffs Jan2023'!AJ2&lt;'Tariffs Jan2023'!K2,0,IF($C$5*'Tariffs Jan2023'!AL2/'Tariffs Jan2023'!AJ2&lt;='Tariffs Jan2023'!L2,($C$5*'Tariffs Jan2023'!AL2/'Tariffs Jan2023'!AJ2-'Tariffs Jan2023'!K2)*('Tariffs Jan2023'!W2/100)*'Tariffs Jan2023'!AJ2,('Tariffs Jan2023'!L2-'Tariffs Jan2023'!K2)*('Tariffs Jan2023'!W2/100)*'Tariffs Jan2023'!AJ2))</f>
        <v>201.27272727272728</v>
      </c>
      <c r="M8" s="59">
        <f>IF($C$5*'Tariffs Jan2023'!AL2/'Tariffs Jan2023'!AJ2&lt;'Tariffs Jan2023'!L2,0,IF($C$5*'Tariffs Jan2023'!AL2/'Tariffs Jan2023'!AJ2&lt;='Tariffs Jan2023'!M2,($C$5*'Tariffs Jan2023'!AL2/'Tariffs Jan2023'!AJ2-'Tariffs Jan2023'!L2)*('Tariffs Jan2023'!X2/100)*'Tariffs Jan2023'!AJ2,('Tariffs Jan2023'!M2-'Tariffs Jan2023'!L2)*('Tariffs Jan2023'!X2/100)*'Tariffs Jan2023'!AJ2))</f>
        <v>85.090909090909093</v>
      </c>
      <c r="N8" s="59">
        <f>IF(($C$5*'Tariffs Jan2023'!AL2/'Tariffs Jan2023'!AJ2&gt;'Tariffs Jan2023'!M2),($C$5*'Tariffs Jan2023'!AL2/'Tariffs Jan2023'!AJ2-'Tariffs Jan2023'!M2)*'Tariffs Jan2023'!Y2/100*'Tariffs Jan2023'!AJ2,0)</f>
        <v>0</v>
      </c>
      <c r="O8" s="59">
        <f>SUM(E8:N8)</f>
        <v>1677.2727272727273</v>
      </c>
      <c r="P8" s="503">
        <f>O8*1.1</f>
        <v>1845.0000000000002</v>
      </c>
      <c r="Q8" s="59">
        <f>D8+O8</f>
        <v>1949.1977272727272</v>
      </c>
      <c r="R8" s="272">
        <f>Q8*1.1</f>
        <v>2144.1175000000003</v>
      </c>
      <c r="S8" s="40">
        <f>'Tariffs Jan2023'!AN2</f>
        <v>0</v>
      </c>
      <c r="T8" s="40">
        <f>'Tariffs Jan2023'!AO2</f>
        <v>0</v>
      </c>
      <c r="U8" s="40">
        <f>'Tariffs Jan2023'!AP2</f>
        <v>0</v>
      </c>
      <c r="V8" s="40">
        <f>'Tariffs Jan2023'!AQ2</f>
        <v>0</v>
      </c>
      <c r="W8" s="539" t="str">
        <f>IF(SUM(S8:V8)=0,"No discount",IF(S8&gt;0,"Guaranteed off bill",IF(T8&gt;0,"Guaranteed off usage",IF(U8&gt;0,"Pay-on-time off bill","Pay-on-time off usage"))))</f>
        <v>No discount</v>
      </c>
      <c r="X8" s="538" t="str">
        <f>IF(OR(A8="Origin Energy",A8="Red Energy",A8="Powershop"),"Inclusive","Exclusive")</f>
        <v>Exclusive</v>
      </c>
      <c r="Y8" s="534">
        <f>IF(AND(W8="Guaranteed off bill",X8="Inclusive"),((Q8*1.1)-((Q8*1.1)*S8/100))/1.1,IF(AND(W8="Guaranteed off usage",X8="Inclusive"),((Q8*1.1)-((P8*1.1)*T8/100))/1.1,IF(AND(W8="Guaranteed off bill",X8="Exclusive"),Q8-(Q8*S8/100),IF(AND(W8="Guaranteed off usage",X8="Exclusive"),Q8-(P8*T8/100),IF(X8="Inclusive",((Q8*1.1))/1.1,Q8)))))</f>
        <v>1949.1977272727272</v>
      </c>
      <c r="Z8" s="535">
        <f>IF(AND(W8="Pay-on-time off bill",X8="Inclusive"),((Y8*1.1)-((Y8*1.1)*U8/100))/1.1,IF(AND(W8="Pay-on-time off usage",X8="Inclusive"),((Y8*1.1)-((P8*1.1)*V8/100))/1.1,IF(AND(W8="Pay-on-time off bill",X8="Exclusive"),Y8-(Y8*U8/100),IF(AND(W8="Pay-on-time off usage",X8="Exclusive"),Y8-(P8*V8/100),IF(X8="Inclusive",((Y8*1.1))/1.1,Y8)))))</f>
        <v>1949.1977272727272</v>
      </c>
      <c r="AA8" s="542">
        <f t="shared" ref="AA8:AB22" si="0">Y8*1.1</f>
        <v>2144.1175000000003</v>
      </c>
      <c r="AB8" s="609">
        <f t="shared" si="0"/>
        <v>2144.1175000000003</v>
      </c>
      <c r="AC8" s="604"/>
      <c r="AD8" s="604"/>
      <c r="AE8" s="604"/>
      <c r="AF8" s="604"/>
      <c r="AG8" s="604"/>
      <c r="AH8" s="604"/>
      <c r="AI8" s="604"/>
      <c r="AJ8" s="604"/>
      <c r="AK8" s="604"/>
      <c r="AL8" s="604"/>
      <c r="AM8" s="604"/>
      <c r="AN8" s="604"/>
      <c r="AO8" s="604"/>
      <c r="AP8" s="604"/>
      <c r="AQ8" s="604"/>
      <c r="AR8" s="604"/>
      <c r="AS8" s="604"/>
      <c r="AT8" s="604"/>
    </row>
    <row r="9" spans="1:46" ht="14" x14ac:dyDescent="0.15">
      <c r="A9" s="270" t="str">
        <f>'Tariffs Jan2023'!F3</f>
        <v>Alinta Energy</v>
      </c>
      <c r="B9" s="40" t="str">
        <f>'Tariffs Jan2023'!D3</f>
        <v>Multinet Metro 1</v>
      </c>
      <c r="C9" s="40" t="str">
        <f>'Tariffs Jan2023'!G3</f>
        <v>Home Deal</v>
      </c>
      <c r="D9" s="59">
        <f>365*'Tariffs Jan2023'!H3/100</f>
        <v>236.75227272727273</v>
      </c>
      <c r="E9" s="59">
        <f>IF($C$5*'Tariffs Jan2023'!AK3/'Tariffs Jan2023'!AI3&gt;='Tariffs Jan2023'!J3,( 'Tariffs Jan2023'!J3*'Tariffs Jan2023'!O3/100)* 'Tariffs Jan2023'!AI3,($C$5*'Tariffs Jan2023'!AK3/'Tariffs Jan2023'!AI3*'Tariffs Jan2023'!O3/100)* 'Tariffs Jan2023'!AI3)</f>
        <v>211.90909090909088</v>
      </c>
      <c r="F9" s="59">
        <f>IF($C$5*'Tariffs Jan2023'!AK3/'Tariffs Jan2023'!AI3&lt;'Tariffs Jan2023'!J3,0,IF($C$5*'Tariffs Jan2023'!AK3/'Tariffs Jan2023'!AI3&lt;='Tariffs Jan2023'!K3,($C$5*'Tariffs Jan2023'!AK3/'Tariffs Jan2023'!AI3-'Tariffs Jan2023'!J3)*('Tariffs Jan2023'!P3/100)*'Tariffs Jan2023'!AI3,('Tariffs Jan2023'!K3-'Tariffs Jan2023'!J3)*('Tariffs Jan2023'!P3/100)*'Tariffs Jan2023'!AI3))</f>
        <v>187.36363636363635</v>
      </c>
      <c r="G9" s="59">
        <f>IF($C$5*'Tariffs Jan2023'!AK3/'Tariffs Jan2023'!AI3&lt;'Tariffs Jan2023'!K3,0,IF($C$5*'Tariffs Jan2023'!AK3/'Tariffs Jan2023'!AI3&lt;='Tariffs Jan2023'!L3,($C$5*'Tariffs Jan2023'!AK3/'Tariffs Jan2023'!AI3-'Tariffs Jan2023'!K3)*('Tariffs Jan2023'!Q3/100)*'Tariffs Jan2023'!AI3,('Tariffs Jan2023'!L3-'Tariffs Jan2023'!K3)*('Tariffs Jan2023'!Q3/100)*'Tariffs Jan2023'!AI3))</f>
        <v>0</v>
      </c>
      <c r="H9" s="59">
        <f>IF($C$5*'Tariffs Jan2023'!AK3/'Tariffs Jan2023'!AI3&lt;'Tariffs Jan2023'!L3,0,IF($C$5*'Tariffs Jan2023'!AK3/'Tariffs Jan2023'!AI3&lt;='Tariffs Jan2023'!M3,($C$5*'Tariffs Jan2023'!AK3/'Tariffs Jan2023'!AI3-'Tariffs Jan2023'!L3)*('Tariffs Jan2023'!R3/100)*'Tariffs Jan2023'!AI3,('Tariffs Jan2023'!M3-'Tariffs Jan2023'!L3)*('Tariffs Jan2023'!R3/100)*'Tariffs Jan2023'!AI3))</f>
        <v>0</v>
      </c>
      <c r="I9" s="59">
        <f>IF(($C$5*'Tariffs Jan2023'!AK3/'Tariffs Jan2023'!AI3&gt;'Tariffs Jan2023'!M3),($C$5*'Tariffs Jan2023'!AK3/'Tariffs Jan2023'!AI3-'Tariffs Jan2023'!M3)*'Tariffs Jan2023'!S3/100*'Tariffs Jan2023'!AI3,0)</f>
        <v>219.68181818181816</v>
      </c>
      <c r="J9" s="59">
        <f>IF($C$5*'Tariffs Jan2023'!AL3/'Tariffs Jan2023'!AJ3&gt;='Tariffs Jan2023'!J3,('Tariffs Jan2023'!J3*'Tariffs Jan2023'!U3/100)* 'Tariffs Jan2023'!AJ3,($C$5*'Tariffs Jan2023'!AL3/'Tariffs Jan2023'!AJ3*'Tariffs Jan2023'!U3/100)* 'Tariffs Jan2023'!AJ3)</f>
        <v>203.72727272727272</v>
      </c>
      <c r="K9" s="59">
        <f>IF($C$5*'Tariffs Jan2023'!AL3/'Tariffs Jan2023'!AJ3&lt;'Tariffs Jan2023'!J3,0,IF($C$5*'Tariffs Jan2023'!AL3/'Tariffs Jan2023'!AJ3&lt;='Tariffs Jan2023'!K3,($C$5*'Tariffs Jan2023'!AL3/'Tariffs Jan2023'!AJ3-'Tariffs Jan2023'!J3)*('Tariffs Jan2023'!V3/100)*'Tariffs Jan2023'!AJ3,('Tariffs Jan2023'!K3-'Tariffs Jan2023'!J3)*('Tariffs Jan2023'!V3/100)*'Tariffs Jan2023'!AJ3))</f>
        <v>178.36363636363637</v>
      </c>
      <c r="L9" s="59">
        <f>IF($C$5*'Tariffs Jan2023'!AL3/'Tariffs Jan2023'!AJ3&lt;'Tariffs Jan2023'!K3,0,IF($C$5*'Tariffs Jan2023'!AL3/'Tariffs Jan2023'!AJ3&lt;='Tariffs Jan2023'!L3,($C$5*'Tariffs Jan2023'!AL3/'Tariffs Jan2023'!AJ3-'Tariffs Jan2023'!K3)*('Tariffs Jan2023'!W3/100)*'Tariffs Jan2023'!AJ3,('Tariffs Jan2023'!L3-'Tariffs Jan2023'!K3)*('Tariffs Jan2023'!W3/100)*'Tariffs Jan2023'!AJ3))</f>
        <v>0</v>
      </c>
      <c r="M9" s="59">
        <f>IF($C$5*'Tariffs Jan2023'!AL3/'Tariffs Jan2023'!AJ3&lt;'Tariffs Jan2023'!L3,0,IF($C$5*'Tariffs Jan2023'!AL3/'Tariffs Jan2023'!AJ3&lt;='Tariffs Jan2023'!M3,($C$5*'Tariffs Jan2023'!AL3/'Tariffs Jan2023'!AJ3-'Tariffs Jan2023'!L3)*('Tariffs Jan2023'!X3/100)*'Tariffs Jan2023'!AJ3,('Tariffs Jan2023'!M3-'Tariffs Jan2023'!L3)*('Tariffs Jan2023'!X3/100)*'Tariffs Jan2023'!AJ3))</f>
        <v>0</v>
      </c>
      <c r="N9" s="59">
        <f>IF(($C$5*'Tariffs Jan2023'!AL3/'Tariffs Jan2023'!AJ3&gt;'Tariffs Jan2023'!M3),($C$5*'Tariffs Jan2023'!AL3/'Tariffs Jan2023'!AJ3-'Tariffs Jan2023'!M3)*'Tariffs Jan2023'!Y3/100*'Tariffs Jan2023'!AJ3,0)</f>
        <v>219.68181818181816</v>
      </c>
      <c r="O9" s="59">
        <f t="shared" ref="O9:O69" si="1">SUM(E9:N9)</f>
        <v>1220.7272727272727</v>
      </c>
      <c r="P9" s="503">
        <f t="shared" ref="P9:P68" si="2">O9*1.1</f>
        <v>1342.8000000000002</v>
      </c>
      <c r="Q9" s="59">
        <f t="shared" ref="Q9:Q69" si="3">D9+O9</f>
        <v>1457.4795454545456</v>
      </c>
      <c r="R9" s="272">
        <f t="shared" ref="R9:R69" si="4">Q9*1.1</f>
        <v>1603.2275000000002</v>
      </c>
      <c r="S9" s="40">
        <f>'Tariffs Jan2023'!AN3</f>
        <v>0</v>
      </c>
      <c r="T9" s="40">
        <f>'Tariffs Jan2023'!AO3</f>
        <v>0</v>
      </c>
      <c r="U9" s="40">
        <f>'Tariffs Jan2023'!AP3</f>
        <v>0</v>
      </c>
      <c r="V9" s="40">
        <f>'Tariffs Jan2023'!AQ3</f>
        <v>0</v>
      </c>
      <c r="W9" s="537" t="str">
        <f t="shared" ref="W9:W20" si="5">IF(SUM(S9:V9)=0,"No discount",IF(S9&gt;0,"Guaranteed off bill",IF(T9&gt;0,"Guaranteed off usage",IF(U9&gt;0,"Pay-on-time off bill","Pay-on-time off usage"))))</f>
        <v>No discount</v>
      </c>
      <c r="X9" s="538" t="str">
        <f t="shared" ref="X9:X20" si="6">IF(OR(A9="Origin Energy",A9="Red Energy",A9="Powershop"),"Inclusive","Exclusive")</f>
        <v>Exclusive</v>
      </c>
      <c r="Y9" s="534">
        <f>IF(AND(W9="Guaranteed off bill",X9="Inclusive"),((Q9*1.1)-((Q9*1.1)*S9/100))/1.1,IF(AND(W9="Guaranteed off usage",X9="Inclusive"),((Q9*1.1)-((P9*1.1)*T9/100))/1.1,IF(AND(W9="Guaranteed off bill",X9="Exclusive"),Q9-(Q9*S9/100),IF(AND(W9="Guaranteed off usage",X9="Exclusive"),Q9-(P9*T9/100),IF(X9="Inclusive",((Q9*1.1))/1.1,Q9)))))</f>
        <v>1457.4795454545456</v>
      </c>
      <c r="Z9" s="535">
        <f>IF(AND(W9="Pay-on-time off bill",X9="Inclusive"),((Y9*1.1)-((Y9*1.1)*U9/100))/1.1,IF(AND(W9="Pay-on-time off usage",X9="Inclusive"),((Y9*1.1)-((P9*1.1)*V9/100))/1.1,IF(AND(W9="Pay-on-time off bill",X9="Exclusive"),Y9-(Y9*U9/100),IF(AND(W9="Pay-on-time off usage",X9="Exclusive"),Y9-(P9*V9/100),IF(X9="Inclusive",((Y9*1.1))/1.1,Y9)))))</f>
        <v>1457.4795454545456</v>
      </c>
      <c r="AA9" s="542">
        <f t="shared" si="0"/>
        <v>1603.2275000000002</v>
      </c>
      <c r="AB9" s="609">
        <f t="shared" si="0"/>
        <v>1603.2275000000002</v>
      </c>
      <c r="AC9" s="604"/>
      <c r="AD9" s="604"/>
      <c r="AE9" s="604"/>
      <c r="AF9" s="604"/>
      <c r="AG9" s="604"/>
      <c r="AH9" s="604"/>
      <c r="AI9" s="604"/>
      <c r="AJ9" s="604"/>
      <c r="AK9" s="604"/>
      <c r="AL9" s="604"/>
      <c r="AM9" s="604"/>
      <c r="AN9" s="604"/>
      <c r="AO9" s="604"/>
      <c r="AP9" s="604"/>
      <c r="AQ9" s="604"/>
      <c r="AR9" s="604"/>
      <c r="AS9" s="604"/>
      <c r="AT9" s="604"/>
    </row>
    <row r="10" spans="1:46" ht="14" x14ac:dyDescent="0.15">
      <c r="A10" s="270" t="str">
        <f>'Tariffs Jan2023'!F4</f>
        <v>Dodo Power &amp; Gas</v>
      </c>
      <c r="B10" s="40" t="str">
        <f>'Tariffs Jan2023'!D4</f>
        <v>Multinet Metro 1</v>
      </c>
      <c r="C10" s="40" t="str">
        <f>'Tariffs Jan2023'!G4</f>
        <v>Market offer</v>
      </c>
      <c r="D10" s="59">
        <f>365*'Tariffs Jan2023'!H4/100</f>
        <v>196.86772727272725</v>
      </c>
      <c r="E10" s="59">
        <f>IF($C$5*'Tariffs Jan2023'!AK4/'Tariffs Jan2023'!AI4&gt;='Tariffs Jan2023'!J4,( 'Tariffs Jan2023'!J4*'Tariffs Jan2023'!O4/100)* 'Tariffs Jan2023'!AI4,($C$5*'Tariffs Jan2023'!AK4/'Tariffs Jan2023'!AI4*'Tariffs Jan2023'!O4/100)* 'Tariffs Jan2023'!AI4)</f>
        <v>243.81818181818181</v>
      </c>
      <c r="F10" s="59">
        <f>IF($C$5*'Tariffs Jan2023'!AK4/'Tariffs Jan2023'!AI4&lt;'Tariffs Jan2023'!J4,0,IF($C$5*'Tariffs Jan2023'!AK4/'Tariffs Jan2023'!AI4&lt;='Tariffs Jan2023'!K4,($C$5*'Tariffs Jan2023'!AK4/'Tariffs Jan2023'!AI4-'Tariffs Jan2023'!J4)*('Tariffs Jan2023'!P4/100)*'Tariffs Jan2023'!AI4,('Tariffs Jan2023'!K4-'Tariffs Jan2023'!J4)*('Tariffs Jan2023'!P4/100)*'Tariffs Jan2023'!AI4))</f>
        <v>209.45454545454544</v>
      </c>
      <c r="G10" s="59">
        <f>IF($C$5*'Tariffs Jan2023'!AK4/'Tariffs Jan2023'!AI4&lt;'Tariffs Jan2023'!K4,0,IF($C$5*'Tariffs Jan2023'!AK4/'Tariffs Jan2023'!AI4&lt;='Tariffs Jan2023'!L4,($C$5*'Tariffs Jan2023'!AK4/'Tariffs Jan2023'!AI4-'Tariffs Jan2023'!K4)*('Tariffs Jan2023'!Q4/100)*'Tariffs Jan2023'!AI4,('Tariffs Jan2023'!L4-'Tariffs Jan2023'!K4)*('Tariffs Jan2023'!Q4/100)*'Tariffs Jan2023'!AI4))</f>
        <v>171.81818181818181</v>
      </c>
      <c r="H10" s="59">
        <f>IF($C$5*'Tariffs Jan2023'!AK4/'Tariffs Jan2023'!AI4&lt;'Tariffs Jan2023'!L4,0,IF($C$5*'Tariffs Jan2023'!AK4/'Tariffs Jan2023'!AI4&lt;='Tariffs Jan2023'!M4,($C$5*'Tariffs Jan2023'!AK4/'Tariffs Jan2023'!AI4-'Tariffs Jan2023'!L4)*('Tariffs Jan2023'!R4/100)*'Tariffs Jan2023'!AI4,('Tariffs Jan2023'!M4-'Tariffs Jan2023'!L4)*('Tariffs Jan2023'!R4/100)*'Tariffs Jan2023'!AI4))</f>
        <v>78.545454545454533</v>
      </c>
      <c r="I10" s="59">
        <f>IF(($C$5*'Tariffs Jan2023'!AK4/'Tariffs Jan2023'!AI4&gt;'Tariffs Jan2023'!M4),($C$5*'Tariffs Jan2023'!AK4/'Tariffs Jan2023'!AI4-'Tariffs Jan2023'!M4)*'Tariffs Jan2023'!S4/100*'Tariffs Jan2023'!AI4,0)</f>
        <v>0</v>
      </c>
      <c r="J10" s="59">
        <f>IF($C$5*'Tariffs Jan2023'!AL4/'Tariffs Jan2023'!AJ4&gt;='Tariffs Jan2023'!J4,('Tariffs Jan2023'!J4*'Tariffs Jan2023'!U4/100)* 'Tariffs Jan2023'!AJ4,($C$5*'Tariffs Jan2023'!AL4/'Tariffs Jan2023'!AJ4*'Tariffs Jan2023'!U4/100)* 'Tariffs Jan2023'!AJ4)</f>
        <v>229.09090909090904</v>
      </c>
      <c r="K10" s="59">
        <f>IF($C$5*'Tariffs Jan2023'!AL4/'Tariffs Jan2023'!AJ4&lt;'Tariffs Jan2023'!J4,0,IF($C$5*'Tariffs Jan2023'!AL4/'Tariffs Jan2023'!AJ4&lt;='Tariffs Jan2023'!K4,($C$5*'Tariffs Jan2023'!AL4/'Tariffs Jan2023'!AJ4-'Tariffs Jan2023'!J4)*('Tariffs Jan2023'!V4/100)*'Tariffs Jan2023'!AJ4,('Tariffs Jan2023'!K4-'Tariffs Jan2023'!J4)*('Tariffs Jan2023'!V4/100)*'Tariffs Jan2023'!AJ4))</f>
        <v>199.6363636363636</v>
      </c>
      <c r="L10" s="59">
        <f>IF($C$5*'Tariffs Jan2023'!AL4/'Tariffs Jan2023'!AJ4&lt;'Tariffs Jan2023'!K4,0,IF($C$5*'Tariffs Jan2023'!AL4/'Tariffs Jan2023'!AJ4&lt;='Tariffs Jan2023'!L4,($C$5*'Tariffs Jan2023'!AL4/'Tariffs Jan2023'!AJ4-'Tariffs Jan2023'!K4)*('Tariffs Jan2023'!W4/100)*'Tariffs Jan2023'!AJ4,('Tariffs Jan2023'!L4-'Tariffs Jan2023'!K4)*('Tariffs Jan2023'!W4/100)*'Tariffs Jan2023'!AJ4))</f>
        <v>167.72727272727269</v>
      </c>
      <c r="M10" s="59">
        <f>IF($C$5*'Tariffs Jan2023'!AL4/'Tariffs Jan2023'!AJ4&lt;'Tariffs Jan2023'!L4,0,IF($C$5*'Tariffs Jan2023'!AL4/'Tariffs Jan2023'!AJ4&lt;='Tariffs Jan2023'!M4,($C$5*'Tariffs Jan2023'!AL4/'Tariffs Jan2023'!AJ4-'Tariffs Jan2023'!L4)*('Tariffs Jan2023'!X4/100)*'Tariffs Jan2023'!AJ4,('Tariffs Jan2023'!M4-'Tariffs Jan2023'!L4)*('Tariffs Jan2023'!X4/100)*'Tariffs Jan2023'!AJ4))</f>
        <v>77.318181818181813</v>
      </c>
      <c r="N10" s="59">
        <f>IF(($C$5*'Tariffs Jan2023'!AL4/'Tariffs Jan2023'!AJ4&gt;'Tariffs Jan2023'!M4),($C$5*'Tariffs Jan2023'!AL4/'Tariffs Jan2023'!AJ4-'Tariffs Jan2023'!M4)*'Tariffs Jan2023'!Y4/100*'Tariffs Jan2023'!AJ4,0)</f>
        <v>0</v>
      </c>
      <c r="O10" s="59">
        <f t="shared" si="1"/>
        <v>1377.4090909090905</v>
      </c>
      <c r="P10" s="503">
        <f t="shared" si="2"/>
        <v>1515.1499999999996</v>
      </c>
      <c r="Q10" s="59">
        <f t="shared" si="3"/>
        <v>1574.2768181818178</v>
      </c>
      <c r="R10" s="272">
        <f t="shared" si="4"/>
        <v>1731.7044999999998</v>
      </c>
      <c r="S10" s="40">
        <f>'Tariffs Jan2023'!AN4</f>
        <v>0</v>
      </c>
      <c r="T10" s="40">
        <f>'Tariffs Jan2023'!AO4</f>
        <v>0</v>
      </c>
      <c r="U10" s="40">
        <f>'Tariffs Jan2023'!AP4</f>
        <v>0</v>
      </c>
      <c r="V10" s="40">
        <f>'Tariffs Jan2023'!AQ4</f>
        <v>0</v>
      </c>
      <c r="W10" s="537" t="str">
        <f t="shared" si="5"/>
        <v>No discount</v>
      </c>
      <c r="X10" s="538" t="str">
        <f t="shared" si="6"/>
        <v>Exclusive</v>
      </c>
      <c r="Y10" s="534">
        <f>IF(AND(W10="Guaranteed off bill",X10="Inclusive"),((Q10*1.1)-((Q10*1.1)*S10/100))/1.1,IF(AND(W10="Guaranteed off usage",X10="Inclusive"),((Q10*1.1)-((P10*1.1)*T10/100))/1.1,IF(AND(W10="Guaranteed off bill",X10="Exclusive"),Q10-(Q10*S10/100),IF(AND(W10="Guaranteed off usage",X10="Exclusive"),Q10-(P10*T10/100),IF(X10="Inclusive",((Q10*1.1))/1.1,Q10)))))</f>
        <v>1574.2768181818178</v>
      </c>
      <c r="Z10" s="535">
        <f>IF(AND(W10="Pay-on-time off bill",X10="Inclusive"),((Y10*1.1)-((Y10*1.1)*U10/100))/1.1,IF(AND(W10="Pay-on-time off usage",X10="Inclusive"),((Y10*1.1)-((P10*1.1)*V10/100))/1.1,IF(AND(W10="Pay-on-time off bill",X10="Exclusive"),Y10-(Y10*U10/100),IF(AND(W10="Pay-on-time off usage",X10="Exclusive"),Y10-(P10*V10/100),IF(X10="Inclusive",((Y10*1.1))/1.1,Y10)))))</f>
        <v>1574.2768181818178</v>
      </c>
      <c r="AA10" s="542">
        <f t="shared" si="0"/>
        <v>1731.7044999999998</v>
      </c>
      <c r="AB10" s="609">
        <f t="shared" si="0"/>
        <v>1731.7044999999998</v>
      </c>
      <c r="AC10" s="604"/>
      <c r="AD10" s="604"/>
      <c r="AE10" s="604"/>
      <c r="AF10" s="604"/>
      <c r="AG10" s="604"/>
      <c r="AH10" s="604"/>
      <c r="AI10" s="604"/>
      <c r="AJ10" s="604"/>
      <c r="AK10" s="604"/>
      <c r="AL10" s="604"/>
      <c r="AM10" s="604"/>
      <c r="AN10" s="604"/>
      <c r="AO10" s="604"/>
      <c r="AP10" s="604"/>
      <c r="AQ10" s="604"/>
      <c r="AR10" s="604"/>
      <c r="AS10" s="604"/>
      <c r="AT10" s="604"/>
    </row>
    <row r="11" spans="1:46" ht="14" x14ac:dyDescent="0.15">
      <c r="A11" s="270" t="str">
        <f>'Tariffs Jan2023'!F5</f>
        <v>EnergyAustralia</v>
      </c>
      <c r="B11" s="40" t="str">
        <f>'Tariffs Jan2023'!D5</f>
        <v>Multinet Metro 1</v>
      </c>
      <c r="C11" s="40" t="str">
        <f>'Tariffs Jan2023'!G5</f>
        <v>Flexi Plan</v>
      </c>
      <c r="D11" s="59">
        <f>365*'Tariffs Jan2023'!H5/100</f>
        <v>367.68772727272727</v>
      </c>
      <c r="E11" s="59">
        <f>IF($C$5*'Tariffs Jan2023'!AK5/'Tariffs Jan2023'!AI5&gt;='Tariffs Jan2023'!J5,( 'Tariffs Jan2023'!J5*'Tariffs Jan2023'!O5/100)* 'Tariffs Jan2023'!AI5,($C$5*'Tariffs Jan2023'!AK5/'Tariffs Jan2023'!AI5*'Tariffs Jan2023'!O5/100)* 'Tariffs Jan2023'!AI5)</f>
        <v>365.72727272727275</v>
      </c>
      <c r="F11" s="59">
        <f>IF($C$5*'Tariffs Jan2023'!AK5/'Tariffs Jan2023'!AI5&lt;'Tariffs Jan2023'!J5,0,IF($C$5*'Tariffs Jan2023'!AK5/'Tariffs Jan2023'!AI5&lt;='Tariffs Jan2023'!K5,($C$5*'Tariffs Jan2023'!AK5/'Tariffs Jan2023'!AI5-'Tariffs Jan2023'!J5)*('Tariffs Jan2023'!P5/100)*'Tariffs Jan2023'!AI5,('Tariffs Jan2023'!K5-'Tariffs Jan2023'!J5)*('Tariffs Jan2023'!P5/100)*'Tariffs Jan2023'!AI5))</f>
        <v>315.81818181818181</v>
      </c>
      <c r="G11" s="59">
        <f>IF($C$5*'Tariffs Jan2023'!AK5/'Tariffs Jan2023'!AI5&lt;'Tariffs Jan2023'!K5,0,IF($C$5*'Tariffs Jan2023'!AK5/'Tariffs Jan2023'!AI5&lt;='Tariffs Jan2023'!L5,($C$5*'Tariffs Jan2023'!AK5/'Tariffs Jan2023'!AI5-'Tariffs Jan2023'!K5)*('Tariffs Jan2023'!Q5/100)*'Tariffs Jan2023'!AI5,('Tariffs Jan2023'!L5-'Tariffs Jan2023'!K5)*('Tariffs Jan2023'!Q5/100)*'Tariffs Jan2023'!AI5))</f>
        <v>258.5454545454545</v>
      </c>
      <c r="H11" s="59">
        <f>IF($C$5*'Tariffs Jan2023'!AK5/'Tariffs Jan2023'!AI5&lt;'Tariffs Jan2023'!L5,0,IF($C$5*'Tariffs Jan2023'!AK5/'Tariffs Jan2023'!AI5&lt;='Tariffs Jan2023'!M5,($C$5*'Tariffs Jan2023'!AK5/'Tariffs Jan2023'!AI5-'Tariffs Jan2023'!L5)*('Tariffs Jan2023'!R5/100)*'Tariffs Jan2023'!AI5,('Tariffs Jan2023'!M5-'Tariffs Jan2023'!L5)*('Tariffs Jan2023'!R5/100)*'Tariffs Jan2023'!AI5))</f>
        <v>112.09090909090908</v>
      </c>
      <c r="I11" s="59">
        <f>IF(($C$5*'Tariffs Jan2023'!AK5/'Tariffs Jan2023'!AI5&gt;'Tariffs Jan2023'!M5),($C$5*'Tariffs Jan2023'!AK5/'Tariffs Jan2023'!AI5-'Tariffs Jan2023'!M5)*'Tariffs Jan2023'!S5/100*'Tariffs Jan2023'!AI5,0)</f>
        <v>0</v>
      </c>
      <c r="J11" s="59">
        <f>IF($C$5*'Tariffs Jan2023'!AL5/'Tariffs Jan2023'!AJ5&gt;='Tariffs Jan2023'!J5,('Tariffs Jan2023'!J5*'Tariffs Jan2023'!U5/100)* 'Tariffs Jan2023'!AJ5,($C$5*'Tariffs Jan2023'!AL5/'Tariffs Jan2023'!AJ5*'Tariffs Jan2023'!U5/100)* 'Tariffs Jan2023'!AJ5)</f>
        <v>355.90909090909076</v>
      </c>
      <c r="K11" s="59">
        <f>IF($C$5*'Tariffs Jan2023'!AL5/'Tariffs Jan2023'!AJ5&lt;'Tariffs Jan2023'!J5,0,IF($C$5*'Tariffs Jan2023'!AL5/'Tariffs Jan2023'!AJ5&lt;='Tariffs Jan2023'!K5,($C$5*'Tariffs Jan2023'!AL5/'Tariffs Jan2023'!AJ5-'Tariffs Jan2023'!J5)*('Tariffs Jan2023'!V5/100)*'Tariffs Jan2023'!AJ5,('Tariffs Jan2023'!K5-'Tariffs Jan2023'!J5)*('Tariffs Jan2023'!V5/100)*'Tariffs Jan2023'!AJ5))</f>
        <v>303.5454545454545</v>
      </c>
      <c r="L11" s="59">
        <f>IF($C$5*'Tariffs Jan2023'!AL5/'Tariffs Jan2023'!AJ5&lt;'Tariffs Jan2023'!K5,0,IF($C$5*'Tariffs Jan2023'!AL5/'Tariffs Jan2023'!AJ5&lt;='Tariffs Jan2023'!L5,($C$5*'Tariffs Jan2023'!AL5/'Tariffs Jan2023'!AJ5-'Tariffs Jan2023'!K5)*('Tariffs Jan2023'!W5/100)*'Tariffs Jan2023'!AJ5,('Tariffs Jan2023'!L5-'Tariffs Jan2023'!K5)*('Tariffs Jan2023'!W5/100)*'Tariffs Jan2023'!AJ5))</f>
        <v>251.99999999999994</v>
      </c>
      <c r="M11" s="59">
        <f>IF($C$5*'Tariffs Jan2023'!AL5/'Tariffs Jan2023'!AJ5&lt;'Tariffs Jan2023'!L5,0,IF($C$5*'Tariffs Jan2023'!AL5/'Tariffs Jan2023'!AJ5&lt;='Tariffs Jan2023'!M5,($C$5*'Tariffs Jan2023'!AL5/'Tariffs Jan2023'!AJ5-'Tariffs Jan2023'!L5)*('Tariffs Jan2023'!X5/100)*'Tariffs Jan2023'!AJ5,('Tariffs Jan2023'!M5-'Tariffs Jan2023'!L5)*('Tariffs Jan2023'!X5/100)*'Tariffs Jan2023'!AJ5))</f>
        <v>108</v>
      </c>
      <c r="N11" s="59">
        <f>IF(($C$5*'Tariffs Jan2023'!AL5/'Tariffs Jan2023'!AJ5&gt;'Tariffs Jan2023'!M5),($C$5*'Tariffs Jan2023'!AL5/'Tariffs Jan2023'!AJ5-'Tariffs Jan2023'!M5)*'Tariffs Jan2023'!Y5/100*'Tariffs Jan2023'!AJ5,0)</f>
        <v>0</v>
      </c>
      <c r="O11" s="59">
        <f>SUM(E11:N11)</f>
        <v>2071.6363636363631</v>
      </c>
      <c r="P11" s="503">
        <f t="shared" si="2"/>
        <v>2278.7999999999997</v>
      </c>
      <c r="Q11" s="59">
        <f>D11+O11</f>
        <v>2439.3240909090905</v>
      </c>
      <c r="R11" s="272">
        <f t="shared" si="4"/>
        <v>2683.2565</v>
      </c>
      <c r="S11" s="40">
        <f>'Tariffs Jan2023'!AN5</f>
        <v>12</v>
      </c>
      <c r="T11" s="40">
        <f>'Tariffs Jan2023'!AO5</f>
        <v>0</v>
      </c>
      <c r="U11" s="40">
        <f>'Tariffs Jan2023'!AP5</f>
        <v>0</v>
      </c>
      <c r="V11" s="40">
        <f>'Tariffs Jan2023'!AQ5</f>
        <v>0</v>
      </c>
      <c r="W11" s="537" t="str">
        <f t="shared" si="5"/>
        <v>Guaranteed off bill</v>
      </c>
      <c r="X11" s="538" t="str">
        <f t="shared" si="6"/>
        <v>Exclusive</v>
      </c>
      <c r="Y11" s="534">
        <f t="shared" ref="Y11" si="7">IF(AND(W11="Guaranteed off bill",X11="Inclusive"),((Q11*1.1)-((Q11*1.1)*S11/100))/1.1,IF(AND(W11="Guaranteed off usage",X11="Inclusive"),((Q11*1.1)-((P11*1.1)*T11/100))/1.1,IF(AND(W11="Guaranteed off bill",X11="Exclusive"),Q11-(Q11*S11/100),IF(AND(W11="Guaranteed off usage",X11="Exclusive"),Q11-(P11*T11/100),IF(X11="Inclusive",((Q11*1.1))/1.1,Q11)))))</f>
        <v>2146.6051999999995</v>
      </c>
      <c r="Z11" s="535">
        <f t="shared" ref="Z11" si="8">IF(AND(W11="Pay-on-time off bill",X11="Inclusive"),((Y11*1.1)-((Y11*1.1)*U11/100))/1.1,IF(AND(W11="Pay-on-time off usage",X11="Inclusive"),((Y11*1.1)-((P11*1.1)*V11/100))/1.1,IF(AND(W11="Pay-on-time off bill",X11="Exclusive"),Y11-(Y11*U11/100),IF(AND(W11="Pay-on-time off usage",X11="Exclusive"),Y11-(P11*V11/100),IF(X11="Inclusive",((Y11*1.1))/1.1,Y11)))))</f>
        <v>2146.6051999999995</v>
      </c>
      <c r="AA11" s="542">
        <f t="shared" si="0"/>
        <v>2361.2657199999999</v>
      </c>
      <c r="AB11" s="609">
        <f t="shared" si="0"/>
        <v>2361.2657199999999</v>
      </c>
      <c r="AC11" s="604"/>
      <c r="AD11" s="604"/>
      <c r="AE11" s="604"/>
      <c r="AF11" s="604"/>
      <c r="AG11" s="604"/>
      <c r="AH11" s="604"/>
      <c r="AI11" s="604"/>
      <c r="AJ11" s="604"/>
      <c r="AK11" s="604"/>
      <c r="AL11" s="604"/>
      <c r="AM11" s="604"/>
      <c r="AN11" s="604"/>
      <c r="AO11" s="604"/>
      <c r="AP11" s="604"/>
      <c r="AQ11" s="604"/>
      <c r="AR11" s="604"/>
      <c r="AS11" s="604"/>
      <c r="AT11" s="604"/>
    </row>
    <row r="12" spans="1:46" ht="14" x14ac:dyDescent="0.15">
      <c r="A12" s="270" t="str">
        <f>'Tariffs Jan2023'!F6</f>
        <v>Lumo Energy</v>
      </c>
      <c r="B12" s="40" t="str">
        <f>'Tariffs Jan2023'!D6</f>
        <v>Multinet Metro 1</v>
      </c>
      <c r="C12" s="40" t="str">
        <f>'Tariffs Jan2023'!G6</f>
        <v>Value</v>
      </c>
      <c r="D12" s="59">
        <f>365*'Tariffs Jan2023'!H6/100</f>
        <v>281.05</v>
      </c>
      <c r="E12" s="59">
        <f>IF($C$5*'Tariffs Jan2023'!AK6/'Tariffs Jan2023'!AI6&gt;='Tariffs Jan2023'!J6,( 'Tariffs Jan2023'!J6*'Tariffs Jan2023'!O6/100)* 'Tariffs Jan2023'!AI6,($C$5*'Tariffs Jan2023'!AK6/'Tariffs Jan2023'!AI6*'Tariffs Jan2023'!O6/100)* 'Tariffs Jan2023'!AI6)</f>
        <v>278.18181818181813</v>
      </c>
      <c r="F12" s="59">
        <f>IF($C$5*'Tariffs Jan2023'!AK6/'Tariffs Jan2023'!AI6&lt;'Tariffs Jan2023'!J6,0,IF($C$5*'Tariffs Jan2023'!AK6/'Tariffs Jan2023'!AI6&lt;='Tariffs Jan2023'!K6,($C$5*'Tariffs Jan2023'!AK6/'Tariffs Jan2023'!AI6-'Tariffs Jan2023'!J6)*('Tariffs Jan2023'!P6/100)*'Tariffs Jan2023'!AI6,('Tariffs Jan2023'!K6-'Tariffs Jan2023'!J6)*('Tariffs Jan2023'!P6/100)*'Tariffs Jan2023'!AI6))</f>
        <v>248.72727272727269</v>
      </c>
      <c r="G12" s="59">
        <f>IF($C$5*'Tariffs Jan2023'!AK6/'Tariffs Jan2023'!AI6&lt;'Tariffs Jan2023'!K6,0,IF($C$5*'Tariffs Jan2023'!AK6/'Tariffs Jan2023'!AI6&lt;='Tariffs Jan2023'!L6,($C$5*'Tariffs Jan2023'!AK6/'Tariffs Jan2023'!AI6-'Tariffs Jan2023'!K6)*('Tariffs Jan2023'!Q6/100)*'Tariffs Jan2023'!AI6,('Tariffs Jan2023'!L6-'Tariffs Jan2023'!K6)*('Tariffs Jan2023'!Q6/100)*'Tariffs Jan2023'!AI6))</f>
        <v>219.27272727272728</v>
      </c>
      <c r="H12" s="59">
        <f>IF($C$5*'Tariffs Jan2023'!AK6/'Tariffs Jan2023'!AI6&lt;'Tariffs Jan2023'!L6,0,IF($C$5*'Tariffs Jan2023'!AK6/'Tariffs Jan2023'!AI6&lt;='Tariffs Jan2023'!M6,($C$5*'Tariffs Jan2023'!AK6/'Tariffs Jan2023'!AI6-'Tariffs Jan2023'!L6)*('Tariffs Jan2023'!R6/100)*'Tariffs Jan2023'!AI6,('Tariffs Jan2023'!M6-'Tariffs Jan2023'!L6)*('Tariffs Jan2023'!R6/100)*'Tariffs Jan2023'!AI6))</f>
        <v>102.68181818181816</v>
      </c>
      <c r="I12" s="59">
        <f>IF(($C$5*'Tariffs Jan2023'!AK6/'Tariffs Jan2023'!AI6&gt;'Tariffs Jan2023'!M6),($C$5*'Tariffs Jan2023'!AK6/'Tariffs Jan2023'!AI6-'Tariffs Jan2023'!M6)*'Tariffs Jan2023'!S6/100*'Tariffs Jan2023'!AI6,0)</f>
        <v>0</v>
      </c>
      <c r="J12" s="59">
        <f>IF($C$5*'Tariffs Jan2023'!AL6/'Tariffs Jan2023'!AJ6&gt;='Tariffs Jan2023'!J6,('Tariffs Jan2023'!J6*'Tariffs Jan2023'!U6/100)* 'Tariffs Jan2023'!AJ6,($C$5*'Tariffs Jan2023'!AL6/'Tariffs Jan2023'!AJ6*'Tariffs Jan2023'!U6/100)* 'Tariffs Jan2023'!AJ6)</f>
        <v>265.90909090909088</v>
      </c>
      <c r="K12" s="59">
        <f>IF($C$5*'Tariffs Jan2023'!AL6/'Tariffs Jan2023'!AJ6&lt;'Tariffs Jan2023'!J6,0,IF($C$5*'Tariffs Jan2023'!AL6/'Tariffs Jan2023'!AJ6&lt;='Tariffs Jan2023'!K6,($C$5*'Tariffs Jan2023'!AL6/'Tariffs Jan2023'!AJ6-'Tariffs Jan2023'!J6)*('Tariffs Jan2023'!V6/100)*'Tariffs Jan2023'!AJ6,('Tariffs Jan2023'!K6-'Tariffs Jan2023'!J6)*('Tariffs Jan2023'!V6/100)*'Tariffs Jan2023'!AJ6))</f>
        <v>239.72727272727272</v>
      </c>
      <c r="L12" s="59">
        <f>IF($C$5*'Tariffs Jan2023'!AL6/'Tariffs Jan2023'!AJ6&lt;'Tariffs Jan2023'!K6,0,IF($C$5*'Tariffs Jan2023'!AL6/'Tariffs Jan2023'!AJ6&lt;='Tariffs Jan2023'!L6,($C$5*'Tariffs Jan2023'!AL6/'Tariffs Jan2023'!AJ6-'Tariffs Jan2023'!K6)*('Tariffs Jan2023'!W6/100)*'Tariffs Jan2023'!AJ6,('Tariffs Jan2023'!L6-'Tariffs Jan2023'!K6)*('Tariffs Jan2023'!W6/100)*'Tariffs Jan2023'!AJ6))</f>
        <v>215.18181818181816</v>
      </c>
      <c r="M12" s="59">
        <f>IF($C$5*'Tariffs Jan2023'!AL6/'Tariffs Jan2023'!AJ6&lt;'Tariffs Jan2023'!L6,0,IF($C$5*'Tariffs Jan2023'!AL6/'Tariffs Jan2023'!AJ6&lt;='Tariffs Jan2023'!M6,($C$5*'Tariffs Jan2023'!AL6/'Tariffs Jan2023'!AJ6-'Tariffs Jan2023'!L6)*('Tariffs Jan2023'!X6/100)*'Tariffs Jan2023'!AJ6,('Tariffs Jan2023'!M6-'Tariffs Jan2023'!L6)*('Tariffs Jan2023'!X6/100)*'Tariffs Jan2023'!AJ6))</f>
        <v>101.86363636363636</v>
      </c>
      <c r="N12" s="59">
        <f>IF(($C$5*'Tariffs Jan2023'!AL6/'Tariffs Jan2023'!AJ6&gt;'Tariffs Jan2023'!M6),($C$5*'Tariffs Jan2023'!AL6/'Tariffs Jan2023'!AJ6-'Tariffs Jan2023'!M6)*'Tariffs Jan2023'!Y6/100*'Tariffs Jan2023'!AJ6,0)</f>
        <v>0</v>
      </c>
      <c r="O12" s="59">
        <f t="shared" si="1"/>
        <v>1671.5454545454543</v>
      </c>
      <c r="P12" s="503">
        <f t="shared" si="2"/>
        <v>1838.6999999999998</v>
      </c>
      <c r="Q12" s="59">
        <f t="shared" si="3"/>
        <v>1952.5954545454542</v>
      </c>
      <c r="R12" s="272">
        <f t="shared" si="4"/>
        <v>2147.855</v>
      </c>
      <c r="S12" s="40">
        <f>'Tariffs Jan2023'!AN6</f>
        <v>0</v>
      </c>
      <c r="T12" s="40">
        <f>'Tariffs Jan2023'!AO6</f>
        <v>0</v>
      </c>
      <c r="U12" s="40">
        <f>'Tariffs Jan2023'!AP6</f>
        <v>0</v>
      </c>
      <c r="V12" s="40">
        <f>'Tariffs Jan2023'!AQ6</f>
        <v>0</v>
      </c>
      <c r="W12" s="537" t="str">
        <f t="shared" si="5"/>
        <v>No discount</v>
      </c>
      <c r="X12" s="538" t="str">
        <f t="shared" si="6"/>
        <v>Exclusive</v>
      </c>
      <c r="Y12" s="534">
        <f>IF(AND(W12="Guaranteed off bill",X12="Inclusive"),((Q12*1.1)-((Q12*1.1)*S12/100))/1.1,IF(AND(W12="Guaranteed off usage",X12="Inclusive"),((Q12*1.1)-((P12*1.1)*T12/100))/1.1,IF(AND(W12="Guaranteed off bill",X12="Exclusive"),Q12-(Q12*S12/100),IF(AND(W12="Guaranteed off usage",X12="Exclusive"),Q12-(P12*T12/100),IF(X12="Inclusive",((Q12*1.1))/1.1,Q12)))))</f>
        <v>1952.5954545454542</v>
      </c>
      <c r="Z12" s="535">
        <f>IF(AND(W12="Pay-on-time off bill",X12="Inclusive"),((Y12*1.1)-((Y12*1.1)*U12/100))/1.1,IF(AND(W12="Pay-on-time off usage",X12="Inclusive"),((Y12*1.1)-((P12*1.1)*V12/100))/1.1,IF(AND(W12="Pay-on-time off bill",X12="Exclusive"),Y12-(Y12*U12/100),IF(AND(W12="Pay-on-time off usage",X12="Exclusive"),Y12-(P12*V12/100),IF(X12="Inclusive",((Y12*1.1))/1.1,Y12)))))</f>
        <v>1952.5954545454542</v>
      </c>
      <c r="AA12" s="542">
        <f t="shared" si="0"/>
        <v>2147.855</v>
      </c>
      <c r="AB12" s="609">
        <f t="shared" si="0"/>
        <v>2147.855</v>
      </c>
      <c r="AC12" s="604"/>
      <c r="AD12" s="604"/>
      <c r="AE12" s="604"/>
      <c r="AF12" s="604"/>
      <c r="AG12" s="604"/>
      <c r="AH12" s="604"/>
      <c r="AI12" s="604"/>
      <c r="AJ12" s="604"/>
      <c r="AK12" s="604"/>
      <c r="AL12" s="604"/>
      <c r="AM12" s="604"/>
      <c r="AN12" s="604"/>
      <c r="AO12" s="604"/>
      <c r="AP12" s="604"/>
      <c r="AQ12" s="604"/>
      <c r="AR12" s="604"/>
      <c r="AS12" s="604"/>
      <c r="AT12" s="604"/>
    </row>
    <row r="13" spans="1:46" ht="14" x14ac:dyDescent="0.15">
      <c r="A13" s="270" t="str">
        <f>'Tariffs Jan2023'!F7</f>
        <v>Origin Energy</v>
      </c>
      <c r="B13" s="40" t="str">
        <f>'Tariffs Jan2023'!D7</f>
        <v>Multinet Metro 1</v>
      </c>
      <c r="C13" s="40" t="str">
        <f>'Tariffs Jan2023'!G7</f>
        <v>Go Variable</v>
      </c>
      <c r="D13" s="59">
        <f>365*'Tariffs Jan2023'!H7/100</f>
        <v>278.42863636363631</v>
      </c>
      <c r="E13" s="59">
        <f>IF($C$5*'Tariffs Jan2023'!AK7/'Tariffs Jan2023'!AI7&gt;='Tariffs Jan2023'!J7,( 'Tariffs Jan2023'!J7*'Tariffs Jan2023'!O7/100)* 'Tariffs Jan2023'!AI7,($C$5*'Tariffs Jan2023'!AK7/'Tariffs Jan2023'!AI7*'Tariffs Jan2023'!O7/100)* 'Tariffs Jan2023'!AI7)</f>
        <v>490.90909090909088</v>
      </c>
      <c r="F13" s="59">
        <f>IF($C$5*'Tariffs Jan2023'!AK7/'Tariffs Jan2023'!AI7&lt;'Tariffs Jan2023'!J7,0,IF($C$5*'Tariffs Jan2023'!AK7/'Tariffs Jan2023'!AI7&lt;='Tariffs Jan2023'!K7,($C$5*'Tariffs Jan2023'!AK7/'Tariffs Jan2023'!AI7-'Tariffs Jan2023'!J7)*('Tariffs Jan2023'!P7/100)*'Tariffs Jan2023'!AI7,('Tariffs Jan2023'!K7-'Tariffs Jan2023'!J7)*('Tariffs Jan2023'!P7/100)*'Tariffs Jan2023'!AI7))</f>
        <v>0</v>
      </c>
      <c r="G13" s="59">
        <f>IF($C$5*'Tariffs Jan2023'!AK7/'Tariffs Jan2023'!AI7&lt;'Tariffs Jan2023'!K7,0,IF($C$5*'Tariffs Jan2023'!AK7/'Tariffs Jan2023'!AI7&lt;='Tariffs Jan2023'!L7,($C$5*'Tariffs Jan2023'!AK7/'Tariffs Jan2023'!AI7-'Tariffs Jan2023'!K7)*('Tariffs Jan2023'!Q7/100)*'Tariffs Jan2023'!AI7,('Tariffs Jan2023'!L7-'Tariffs Jan2023'!K7)*('Tariffs Jan2023'!Q7/100)*'Tariffs Jan2023'!AI7))</f>
        <v>0</v>
      </c>
      <c r="H13" s="59">
        <f>IF($C$5*'Tariffs Jan2023'!AK7/'Tariffs Jan2023'!AI7&lt;'Tariffs Jan2023'!L7,0,IF($C$5*'Tariffs Jan2023'!AK7/'Tariffs Jan2023'!AI7&lt;='Tariffs Jan2023'!M7,($C$5*'Tariffs Jan2023'!AK7/'Tariffs Jan2023'!AI7-'Tariffs Jan2023'!L7)*('Tariffs Jan2023'!R7/100)*'Tariffs Jan2023'!AI7,('Tariffs Jan2023'!M7-'Tariffs Jan2023'!L7)*('Tariffs Jan2023'!R7/100)*'Tariffs Jan2023'!AI7))</f>
        <v>0</v>
      </c>
      <c r="I13" s="59">
        <f>IF(($C$5*'Tariffs Jan2023'!AK7/'Tariffs Jan2023'!AI7&gt;'Tariffs Jan2023'!M7),($C$5*'Tariffs Jan2023'!AK7/'Tariffs Jan2023'!AI7-'Tariffs Jan2023'!M7)*'Tariffs Jan2023'!S7/100*'Tariffs Jan2023'!AI7,0)</f>
        <v>244.22727272727272</v>
      </c>
      <c r="J13" s="59">
        <f>IF($C$5*'Tariffs Jan2023'!AL7/'Tariffs Jan2023'!AJ7&gt;='Tariffs Jan2023'!J7,('Tariffs Jan2023'!J7*'Tariffs Jan2023'!U7/100)* 'Tariffs Jan2023'!AJ7,($C$5*'Tariffs Jan2023'!AL7/'Tariffs Jan2023'!AJ7*'Tariffs Jan2023'!U7/100)* 'Tariffs Jan2023'!AJ7)</f>
        <v>490.90909090909088</v>
      </c>
      <c r="K13" s="59">
        <f>IF($C$5*'Tariffs Jan2023'!AL7/'Tariffs Jan2023'!AJ7&lt;'Tariffs Jan2023'!J7,0,IF($C$5*'Tariffs Jan2023'!AL7/'Tariffs Jan2023'!AJ7&lt;='Tariffs Jan2023'!K7,($C$5*'Tariffs Jan2023'!AL7/'Tariffs Jan2023'!AJ7-'Tariffs Jan2023'!J7)*('Tariffs Jan2023'!V7/100)*'Tariffs Jan2023'!AJ7,('Tariffs Jan2023'!K7-'Tariffs Jan2023'!J7)*('Tariffs Jan2023'!V7/100)*'Tariffs Jan2023'!AJ7))</f>
        <v>0</v>
      </c>
      <c r="L13" s="59">
        <f>IF($C$5*'Tariffs Jan2023'!AL7/'Tariffs Jan2023'!AJ7&lt;'Tariffs Jan2023'!K7,0,IF($C$5*'Tariffs Jan2023'!AL7/'Tariffs Jan2023'!AJ7&lt;='Tariffs Jan2023'!L7,($C$5*'Tariffs Jan2023'!AL7/'Tariffs Jan2023'!AJ7-'Tariffs Jan2023'!K7)*('Tariffs Jan2023'!W7/100)*'Tariffs Jan2023'!AJ7,('Tariffs Jan2023'!L7-'Tariffs Jan2023'!K7)*('Tariffs Jan2023'!W7/100)*'Tariffs Jan2023'!AJ7))</f>
        <v>0</v>
      </c>
      <c r="M13" s="59">
        <f>IF($C$5*'Tariffs Jan2023'!AL7/'Tariffs Jan2023'!AJ7&lt;'Tariffs Jan2023'!L7,0,IF($C$5*'Tariffs Jan2023'!AL7/'Tariffs Jan2023'!AJ7&lt;='Tariffs Jan2023'!M7,($C$5*'Tariffs Jan2023'!AL7/'Tariffs Jan2023'!AJ7-'Tariffs Jan2023'!L7)*('Tariffs Jan2023'!X7/100)*'Tariffs Jan2023'!AJ7,('Tariffs Jan2023'!M7-'Tariffs Jan2023'!L7)*('Tariffs Jan2023'!X7/100)*'Tariffs Jan2023'!AJ7))</f>
        <v>0</v>
      </c>
      <c r="N13" s="59">
        <f>IF(($C$5*'Tariffs Jan2023'!AL7/'Tariffs Jan2023'!AJ7&gt;'Tariffs Jan2023'!M7),($C$5*'Tariffs Jan2023'!AL7/'Tariffs Jan2023'!AJ7-'Tariffs Jan2023'!M7)*'Tariffs Jan2023'!Y7/100*'Tariffs Jan2023'!AJ7,0)</f>
        <v>244.22727272727272</v>
      </c>
      <c r="O13" s="59">
        <f t="shared" si="1"/>
        <v>1470.2727272727273</v>
      </c>
      <c r="P13" s="503">
        <f t="shared" si="2"/>
        <v>1617.3000000000002</v>
      </c>
      <c r="Q13" s="59">
        <f t="shared" si="3"/>
        <v>1748.7013636363636</v>
      </c>
      <c r="R13" s="272">
        <f t="shared" si="4"/>
        <v>1923.5715</v>
      </c>
      <c r="S13" s="40">
        <f>'Tariffs Jan2023'!AN7</f>
        <v>0</v>
      </c>
      <c r="T13" s="40">
        <f>'Tariffs Jan2023'!AO7</f>
        <v>0</v>
      </c>
      <c r="U13" s="40">
        <f>'Tariffs Jan2023'!AP7</f>
        <v>0</v>
      </c>
      <c r="V13" s="40">
        <f>'Tariffs Jan2023'!AQ7</f>
        <v>0</v>
      </c>
      <c r="W13" s="537" t="str">
        <f t="shared" si="5"/>
        <v>No discount</v>
      </c>
      <c r="X13" s="538" t="str">
        <f t="shared" si="6"/>
        <v>Inclusive</v>
      </c>
      <c r="Y13" s="534">
        <f>IF(AND(W13="Guaranteed off bill",X13="Inclusive"),((Q13*1.1)-((Q13*1.1)*S13/100))/1.1,IF(AND(W13="Guaranteed off usage",X13="Inclusive"),((Q13*1.1)-((P13*1.1)*T13/100))/1.1,IF(AND(W13="Guaranteed off bill",X13="Exclusive"),Q13-(Q13*S13/100),IF(AND(W13="Guaranteed off usage",X13="Exclusive"),Q13-(P13*T13/100),IF(X13="Inclusive",((Q13*1.1))/1.1,Q13)))))</f>
        <v>1748.7013636363636</v>
      </c>
      <c r="Z13" s="535">
        <f>IF(AND(W13="Pay-on-time off bill",X13="Inclusive"),((Y13*1.1)-((Y13*1.1)*U13/100))/1.1,IF(AND(W13="Pay-on-time off usage",X13="Inclusive"),((Y13*1.1)-((P13*1.1)*V13/100))/1.1,IF(AND(W13="Pay-on-time off bill",X13="Exclusive"),Y13-(Y13*U13/100),IF(AND(W13="Pay-on-time off usage",X13="Exclusive"),Y13-(P13*V13/100),IF(X13="Inclusive",((Y13*1.1))/1.1,Y13)))))</f>
        <v>1748.7013636363636</v>
      </c>
      <c r="AA13" s="542">
        <f t="shared" si="0"/>
        <v>1923.5715</v>
      </c>
      <c r="AB13" s="609">
        <f t="shared" si="0"/>
        <v>1923.5715</v>
      </c>
      <c r="AC13" s="604"/>
      <c r="AD13" s="604"/>
      <c r="AE13" s="604"/>
      <c r="AF13" s="604"/>
      <c r="AG13" s="604"/>
      <c r="AH13" s="604"/>
      <c r="AI13" s="604"/>
      <c r="AJ13" s="604"/>
      <c r="AK13" s="604"/>
      <c r="AL13" s="604"/>
      <c r="AM13" s="604"/>
      <c r="AN13" s="604"/>
      <c r="AO13" s="604"/>
      <c r="AP13" s="604"/>
      <c r="AQ13" s="604"/>
      <c r="AR13" s="604"/>
      <c r="AS13" s="604"/>
      <c r="AT13" s="604"/>
    </row>
    <row r="14" spans="1:46" ht="14" x14ac:dyDescent="0.15">
      <c r="A14" s="270" t="str">
        <f>'Tariffs Jan2023'!F8</f>
        <v>Red Energy</v>
      </c>
      <c r="B14" s="40" t="str">
        <f>'Tariffs Jan2023'!D8</f>
        <v>Multinet Metro 1</v>
      </c>
      <c r="C14" s="40" t="str">
        <f>'Tariffs Jan2023'!G8</f>
        <v>Living Energy Saver</v>
      </c>
      <c r="D14" s="59">
        <f>365*'Tariffs Jan2023'!H8/100</f>
        <v>281.05</v>
      </c>
      <c r="E14" s="59">
        <f>IF($C$5*'Tariffs Jan2023'!AK8/'Tariffs Jan2023'!AI8&gt;='Tariffs Jan2023'!J8,( 'Tariffs Jan2023'!J8*'Tariffs Jan2023'!O8/100)* 'Tariffs Jan2023'!AI8,($C$5*'Tariffs Jan2023'!AK8/'Tariffs Jan2023'!AI8*'Tariffs Jan2023'!O8/100)* 'Tariffs Jan2023'!AI8)</f>
        <v>258.54545454545456</v>
      </c>
      <c r="F14" s="59">
        <f>IF($C$5*'Tariffs Jan2023'!AK8/'Tariffs Jan2023'!AI8&lt;'Tariffs Jan2023'!J8,0,IF($C$5*'Tariffs Jan2023'!AK8/'Tariffs Jan2023'!AI8&lt;='Tariffs Jan2023'!K8,($C$5*'Tariffs Jan2023'!AK8/'Tariffs Jan2023'!AI8-'Tariffs Jan2023'!J8)*('Tariffs Jan2023'!P8/100)*'Tariffs Jan2023'!AI8,('Tariffs Jan2023'!K8-'Tariffs Jan2023'!J8)*('Tariffs Jan2023'!P8/100)*'Tariffs Jan2023'!AI8))</f>
        <v>226.63636363636363</v>
      </c>
      <c r="G14" s="59">
        <f>IF($C$5*'Tariffs Jan2023'!AK8/'Tariffs Jan2023'!AI8&lt;'Tariffs Jan2023'!K8,0,IF($C$5*'Tariffs Jan2023'!AK8/'Tariffs Jan2023'!AI8&lt;='Tariffs Jan2023'!L8,($C$5*'Tariffs Jan2023'!AK8/'Tariffs Jan2023'!AI8-'Tariffs Jan2023'!K8)*('Tariffs Jan2023'!Q8/100)*'Tariffs Jan2023'!AI8,('Tariffs Jan2023'!L8-'Tariffs Jan2023'!K8)*('Tariffs Jan2023'!Q8/100)*'Tariffs Jan2023'!AI8))</f>
        <v>198</v>
      </c>
      <c r="H14" s="59">
        <f>IF($C$5*'Tariffs Jan2023'!AK8/'Tariffs Jan2023'!AI8&lt;'Tariffs Jan2023'!L8,0,IF($C$5*'Tariffs Jan2023'!AK8/'Tariffs Jan2023'!AI8&lt;='Tariffs Jan2023'!M8,($C$5*'Tariffs Jan2023'!AK8/'Tariffs Jan2023'!AI8-'Tariffs Jan2023'!L8)*('Tariffs Jan2023'!R8/100)*'Tariffs Jan2023'!AI8,('Tariffs Jan2023'!M8-'Tariffs Jan2023'!L8)*('Tariffs Jan2023'!R8/100)*'Tariffs Jan2023'!AI8))</f>
        <v>90.818181818181813</v>
      </c>
      <c r="I14" s="59">
        <f>IF(($C$5*'Tariffs Jan2023'!AK8/'Tariffs Jan2023'!AI8&gt;'Tariffs Jan2023'!M8),($C$5*'Tariffs Jan2023'!AK8/'Tariffs Jan2023'!AI8-'Tariffs Jan2023'!M8)*'Tariffs Jan2023'!S8/100*'Tariffs Jan2023'!AI8,0)</f>
        <v>0</v>
      </c>
      <c r="J14" s="59">
        <f>IF($C$5*'Tariffs Jan2023'!AL8/'Tariffs Jan2023'!AJ8&gt;='Tariffs Jan2023'!J8,('Tariffs Jan2023'!J8*'Tariffs Jan2023'!U8/100)* 'Tariffs Jan2023'!AJ8,($C$5*'Tariffs Jan2023'!AL8/'Tariffs Jan2023'!AJ8*'Tariffs Jan2023'!U8/100)* 'Tariffs Jan2023'!AJ8)</f>
        <v>243.00000000000006</v>
      </c>
      <c r="K14" s="59">
        <f>IF($C$5*'Tariffs Jan2023'!AL8/'Tariffs Jan2023'!AJ8&lt;'Tariffs Jan2023'!J8,0,IF($C$5*'Tariffs Jan2023'!AL8/'Tariffs Jan2023'!AJ8&lt;='Tariffs Jan2023'!K8,($C$5*'Tariffs Jan2023'!AL8/'Tariffs Jan2023'!AJ8-'Tariffs Jan2023'!J8)*('Tariffs Jan2023'!V8/100)*'Tariffs Jan2023'!AJ8,('Tariffs Jan2023'!K8-'Tariffs Jan2023'!J8)*('Tariffs Jan2023'!V8/100)*'Tariffs Jan2023'!AJ8))</f>
        <v>216</v>
      </c>
      <c r="L14" s="59">
        <f>IF($C$5*'Tariffs Jan2023'!AL8/'Tariffs Jan2023'!AJ8&lt;'Tariffs Jan2023'!K8,0,IF($C$5*'Tariffs Jan2023'!AL8/'Tariffs Jan2023'!AJ8&lt;='Tariffs Jan2023'!L8,($C$5*'Tariffs Jan2023'!AL8/'Tariffs Jan2023'!AJ8-'Tariffs Jan2023'!K8)*('Tariffs Jan2023'!W8/100)*'Tariffs Jan2023'!AJ8,('Tariffs Jan2023'!L8-'Tariffs Jan2023'!K8)*('Tariffs Jan2023'!W8/100)*'Tariffs Jan2023'!AJ8))</f>
        <v>189.00000000000003</v>
      </c>
      <c r="M14" s="59">
        <f>IF($C$5*'Tariffs Jan2023'!AL8/'Tariffs Jan2023'!AJ8&lt;'Tariffs Jan2023'!L8,0,IF($C$5*'Tariffs Jan2023'!AL8/'Tariffs Jan2023'!AJ8&lt;='Tariffs Jan2023'!M8,($C$5*'Tariffs Jan2023'!AL8/'Tariffs Jan2023'!AJ8-'Tariffs Jan2023'!L8)*('Tariffs Jan2023'!X8/100)*'Tariffs Jan2023'!AJ8,('Tariffs Jan2023'!M8-'Tariffs Jan2023'!L8)*('Tariffs Jan2023'!X8/100)*'Tariffs Jan2023'!AJ8))</f>
        <v>90</v>
      </c>
      <c r="N14" s="59">
        <f>IF(($C$5*'Tariffs Jan2023'!AL8/'Tariffs Jan2023'!AJ8&gt;'Tariffs Jan2023'!M8),($C$5*'Tariffs Jan2023'!AL8/'Tariffs Jan2023'!AJ8-'Tariffs Jan2023'!M8)*'Tariffs Jan2023'!Y8/100*'Tariffs Jan2023'!AJ8,0)</f>
        <v>0</v>
      </c>
      <c r="O14" s="59">
        <f t="shared" si="1"/>
        <v>1512</v>
      </c>
      <c r="P14" s="503">
        <f t="shared" si="2"/>
        <v>1663.2</v>
      </c>
      <c r="Q14" s="59">
        <f t="shared" si="3"/>
        <v>1793.05</v>
      </c>
      <c r="R14" s="272">
        <f t="shared" si="4"/>
        <v>1972.355</v>
      </c>
      <c r="S14" s="40">
        <f>'Tariffs Jan2023'!AN8</f>
        <v>0</v>
      </c>
      <c r="T14" s="40">
        <f>'Tariffs Jan2023'!AO8</f>
        <v>0</v>
      </c>
      <c r="U14" s="40">
        <f>'Tariffs Jan2023'!AP8</f>
        <v>0</v>
      </c>
      <c r="V14" s="40">
        <f>'Tariffs Jan2023'!AQ8</f>
        <v>0</v>
      </c>
      <c r="W14" s="537" t="str">
        <f t="shared" si="5"/>
        <v>No discount</v>
      </c>
      <c r="X14" s="538" t="str">
        <f t="shared" si="6"/>
        <v>Inclusive</v>
      </c>
      <c r="Y14" s="534">
        <f t="shared" ref="Y14:Y16" si="9">IF(AND(W14="Guaranteed off bill",X14="Inclusive"),((Q14*1.1)-((Q14*1.1)*S14/100))/1.1,IF(AND(W14="Guaranteed off usage",X14="Inclusive"),((Q14*1.1)-((P14*1.1)*T14/100))/1.1,IF(AND(W14="Guaranteed off bill",X14="Exclusive"),Q14-(Q14*S14/100),IF(AND(W14="Guaranteed off usage",X14="Exclusive"),Q14-(P14*T14/100),IF(X14="Inclusive",((Q14*1.1))/1.1,Q14)))))</f>
        <v>1793.05</v>
      </c>
      <c r="Z14" s="535">
        <f t="shared" ref="Z14:Z16" si="10">IF(AND(W14="Pay-on-time off bill",X14="Inclusive"),((Y14*1.1)-((Y14*1.1)*U14/100))/1.1,IF(AND(W14="Pay-on-time off usage",X14="Inclusive"),((Y14*1.1)-((P14*1.1)*V14/100))/1.1,IF(AND(W14="Pay-on-time off bill",X14="Exclusive"),Y14-(Y14*U14/100),IF(AND(W14="Pay-on-time off usage",X14="Exclusive"),Y14-(P14*V14/100),IF(X14="Inclusive",((Y14*1.1))/1.1,Y14)))))</f>
        <v>1793.05</v>
      </c>
      <c r="AA14" s="542">
        <f t="shared" si="0"/>
        <v>1972.355</v>
      </c>
      <c r="AB14" s="609">
        <f t="shared" si="0"/>
        <v>1972.355</v>
      </c>
      <c r="AC14" s="604"/>
      <c r="AD14" s="604"/>
      <c r="AE14" s="604"/>
      <c r="AF14" s="604"/>
      <c r="AG14" s="604"/>
      <c r="AH14" s="604"/>
      <c r="AI14" s="604"/>
      <c r="AJ14" s="604"/>
      <c r="AK14" s="604"/>
      <c r="AL14" s="604"/>
      <c r="AM14" s="604"/>
      <c r="AN14" s="604"/>
      <c r="AO14" s="604"/>
      <c r="AP14" s="604"/>
      <c r="AQ14" s="604"/>
      <c r="AR14" s="604"/>
      <c r="AS14" s="604"/>
      <c r="AT14" s="604"/>
    </row>
    <row r="15" spans="1:46" ht="14" x14ac:dyDescent="0.15">
      <c r="A15" s="270" t="str">
        <f>'Tariffs Jan2023'!F9</f>
        <v>Simply Energy</v>
      </c>
      <c r="B15" s="40" t="str">
        <f>'Tariffs Jan2023'!D9</f>
        <v>Multinet Metro 1</v>
      </c>
      <c r="C15" s="40" t="str">
        <f>'Tariffs Jan2023'!G9</f>
        <v>Stay Plus</v>
      </c>
      <c r="D15" s="59">
        <f>365*'Tariffs Jan2023'!H9/100</f>
        <v>277.76499999999999</v>
      </c>
      <c r="E15" s="59">
        <f>IF($C$5*'Tariffs Jan2023'!AK9/'Tariffs Jan2023'!AI9&gt;='Tariffs Jan2023'!J9,( 'Tariffs Jan2023'!J9*'Tariffs Jan2023'!O9/100)* 'Tariffs Jan2023'!AI9,($C$5*'Tariffs Jan2023'!AK9/'Tariffs Jan2023'!AI9*'Tariffs Jan2023'!O9/100)* 'Tariffs Jan2023'!AI9)</f>
        <v>205.09090909090904</v>
      </c>
      <c r="F15" s="59">
        <f>IF($C$5*'Tariffs Jan2023'!AK9/'Tariffs Jan2023'!AI9&lt;'Tariffs Jan2023'!J9,0,IF($C$5*'Tariffs Jan2023'!AK9/'Tariffs Jan2023'!AI9&lt;='Tariffs Jan2023'!K9,($C$5*'Tariffs Jan2023'!AK9/'Tariffs Jan2023'!AI9-'Tariffs Jan2023'!J9)*('Tariffs Jan2023'!P9/100)*'Tariffs Jan2023'!AI9,('Tariffs Jan2023'!K9-'Tariffs Jan2023'!J9)*('Tariffs Jan2023'!P9/100)*'Tariffs Jan2023'!AI9))</f>
        <v>183.27272727272725</v>
      </c>
      <c r="G15" s="59">
        <f>IF($C$5*'Tariffs Jan2023'!AK9/'Tariffs Jan2023'!AI9&lt;'Tariffs Jan2023'!K9,0,IF($C$5*'Tariffs Jan2023'!AK9/'Tariffs Jan2023'!AI9&lt;='Tariffs Jan2023'!L9,($C$5*'Tariffs Jan2023'!AK9/'Tariffs Jan2023'!AI9-'Tariffs Jan2023'!K9)*('Tariffs Jan2023'!Q9/100)*'Tariffs Jan2023'!AI9,('Tariffs Jan2023'!L9-'Tariffs Jan2023'!K9)*('Tariffs Jan2023'!Q9/100)*'Tariffs Jan2023'!AI9))</f>
        <v>157.09090909090907</v>
      </c>
      <c r="H15" s="59">
        <f>IF($C$5*'Tariffs Jan2023'!AK9/'Tariffs Jan2023'!AI9&lt;'Tariffs Jan2023'!L9,0,IF($C$5*'Tariffs Jan2023'!AK9/'Tariffs Jan2023'!AI9&lt;='Tariffs Jan2023'!M9,($C$5*'Tariffs Jan2023'!AK9/'Tariffs Jan2023'!AI9-'Tariffs Jan2023'!L9)*('Tariffs Jan2023'!R9/100)*'Tariffs Jan2023'!AI9,('Tariffs Jan2023'!M9-'Tariffs Jan2023'!L9)*('Tariffs Jan2023'!R9/100)*'Tariffs Jan2023'!AI9))</f>
        <v>71.404527272727222</v>
      </c>
      <c r="I15" s="59">
        <f>IF(($C$5*'Tariffs Jan2023'!AK9/'Tariffs Jan2023'!AI9&gt;'Tariffs Jan2023'!M9),($C$5*'Tariffs Jan2023'!AK9/'Tariffs Jan2023'!AI9-'Tariffs Jan2023'!M9)*'Tariffs Jan2023'!S9/100*'Tariffs Jan2023'!AI9,0)</f>
        <v>0</v>
      </c>
      <c r="J15" s="59">
        <f>IF($C$5*'Tariffs Jan2023'!AL9/'Tariffs Jan2023'!AJ9&gt;='Tariffs Jan2023'!J9,('Tariffs Jan2023'!J9*'Tariffs Jan2023'!U9/100)* 'Tariffs Jan2023'!AJ9,($C$5*'Tariffs Jan2023'!AL9/'Tariffs Jan2023'!AJ9*'Tariffs Jan2023'!U9/100)* 'Tariffs Jan2023'!AJ9)</f>
        <v>390.54545454545456</v>
      </c>
      <c r="K15" s="59">
        <f>IF($C$5*'Tariffs Jan2023'!AL9/'Tariffs Jan2023'!AJ9&lt;'Tariffs Jan2023'!J9,0,IF($C$5*'Tariffs Jan2023'!AL9/'Tariffs Jan2023'!AJ9&lt;='Tariffs Jan2023'!K9,($C$5*'Tariffs Jan2023'!AL9/'Tariffs Jan2023'!AJ9-'Tariffs Jan2023'!J9)*('Tariffs Jan2023'!V9/100)*'Tariffs Jan2023'!AJ9,('Tariffs Jan2023'!K9-'Tariffs Jan2023'!J9)*('Tariffs Jan2023'!V9/100)*'Tariffs Jan2023'!AJ9))</f>
        <v>351.27272727272725</v>
      </c>
      <c r="L15" s="59">
        <f>IF($C$5*'Tariffs Jan2023'!AL9/'Tariffs Jan2023'!AJ9&lt;'Tariffs Jan2023'!K9,0,IF($C$5*'Tariffs Jan2023'!AL9/'Tariffs Jan2023'!AJ9&lt;='Tariffs Jan2023'!L9,($C$5*'Tariffs Jan2023'!AL9/'Tariffs Jan2023'!AJ9-'Tariffs Jan2023'!K9)*('Tariffs Jan2023'!W9/100)*'Tariffs Jan2023'!AJ9,('Tariffs Jan2023'!L9-'Tariffs Jan2023'!K9)*('Tariffs Jan2023'!W9/100)*'Tariffs Jan2023'!AJ9))</f>
        <v>307.63636363636363</v>
      </c>
      <c r="M15" s="59">
        <f>IF($C$5*'Tariffs Jan2023'!AL9/'Tariffs Jan2023'!AJ9&lt;'Tariffs Jan2023'!L9,0,IF($C$5*'Tariffs Jan2023'!AL9/'Tariffs Jan2023'!AJ9&lt;='Tariffs Jan2023'!M9,($C$5*'Tariffs Jan2023'!AL9/'Tariffs Jan2023'!AJ9-'Tariffs Jan2023'!L9)*('Tariffs Jan2023'!X9/100)*'Tariffs Jan2023'!AJ9,('Tariffs Jan2023'!M9-'Tariffs Jan2023'!L9)*('Tariffs Jan2023'!X9/100)*'Tariffs Jan2023'!AJ9))</f>
        <v>140.08369090909079</v>
      </c>
      <c r="N15" s="59">
        <f>IF(($C$5*'Tariffs Jan2023'!AL9/'Tariffs Jan2023'!AJ9&gt;'Tariffs Jan2023'!M9),($C$5*'Tariffs Jan2023'!AL9/'Tariffs Jan2023'!AJ9-'Tariffs Jan2023'!M9)*'Tariffs Jan2023'!Y9/100*'Tariffs Jan2023'!AJ9,0)</f>
        <v>0</v>
      </c>
      <c r="O15" s="59">
        <f t="shared" si="1"/>
        <v>1806.3973090909089</v>
      </c>
      <c r="P15" s="503">
        <f t="shared" si="2"/>
        <v>1987.0370399999999</v>
      </c>
      <c r="Q15" s="59">
        <f t="shared" si="3"/>
        <v>2084.1623090909088</v>
      </c>
      <c r="R15" s="272">
        <f t="shared" si="4"/>
        <v>2292.57854</v>
      </c>
      <c r="S15" s="40">
        <f>'Tariffs Jan2023'!AN9</f>
        <v>6</v>
      </c>
      <c r="T15" s="40">
        <f>'Tariffs Jan2023'!AO9</f>
        <v>0</v>
      </c>
      <c r="U15" s="40">
        <f>'Tariffs Jan2023'!AP9</f>
        <v>0</v>
      </c>
      <c r="V15" s="40">
        <f>'Tariffs Jan2023'!AQ9</f>
        <v>0</v>
      </c>
      <c r="W15" s="537" t="str">
        <f t="shared" si="5"/>
        <v>Guaranteed off bill</v>
      </c>
      <c r="X15" s="538" t="str">
        <f t="shared" si="6"/>
        <v>Exclusive</v>
      </c>
      <c r="Y15" s="534">
        <f t="shared" si="9"/>
        <v>1959.1125705454542</v>
      </c>
      <c r="Z15" s="535">
        <f t="shared" si="10"/>
        <v>1959.1125705454542</v>
      </c>
      <c r="AA15" s="542">
        <f t="shared" si="0"/>
        <v>2155.0238276</v>
      </c>
      <c r="AB15" s="609">
        <f t="shared" si="0"/>
        <v>2155.0238276</v>
      </c>
      <c r="AC15" s="604"/>
      <c r="AD15" s="604"/>
      <c r="AE15" s="604"/>
      <c r="AF15" s="604"/>
      <c r="AG15" s="604"/>
      <c r="AH15" s="604"/>
      <c r="AI15" s="604"/>
      <c r="AJ15" s="604"/>
      <c r="AK15" s="604"/>
      <c r="AL15" s="604"/>
      <c r="AM15" s="604"/>
      <c r="AN15" s="604"/>
      <c r="AO15" s="604"/>
      <c r="AP15" s="604"/>
      <c r="AQ15" s="604"/>
      <c r="AR15" s="604"/>
      <c r="AS15" s="604"/>
      <c r="AT15" s="604"/>
    </row>
    <row r="16" spans="1:46" ht="14" x14ac:dyDescent="0.15">
      <c r="A16" s="270" t="str">
        <f>'Tariffs Jan2023'!F10</f>
        <v>GloBird Energy</v>
      </c>
      <c r="B16" s="40" t="str">
        <f>'Tariffs Jan2023'!D10</f>
        <v>Multinet Metro 1</v>
      </c>
      <c r="C16" s="40" t="str">
        <f>'Tariffs Jan2023'!G10</f>
        <v>GloSave</v>
      </c>
      <c r="D16" s="59">
        <f>365*'Tariffs Jan2023'!H10/100</f>
        <v>215.35</v>
      </c>
      <c r="E16" s="59">
        <f>IF($C$5*'Tariffs Jan2023'!AK10/'Tariffs Jan2023'!AI10&gt;='Tariffs Jan2023'!J10,( 'Tariffs Jan2023'!J10*'Tariffs Jan2023'!O10/100)* 'Tariffs Jan2023'!AI10,($C$5*'Tariffs Jan2023'!AK10/'Tariffs Jan2023'!AI10*'Tariffs Jan2023'!O10/100)* 'Tariffs Jan2023'!AI10)</f>
        <v>337.09090909090907</v>
      </c>
      <c r="F16" s="59">
        <f>IF($C$5*'Tariffs Jan2023'!AK10/'Tariffs Jan2023'!AI10&lt;'Tariffs Jan2023'!J10,0,IF($C$5*'Tariffs Jan2023'!AK10/'Tariffs Jan2023'!AI10&lt;='Tariffs Jan2023'!K10,($C$5*'Tariffs Jan2023'!AK10/'Tariffs Jan2023'!AI10-'Tariffs Jan2023'!J10)*('Tariffs Jan2023'!P10/100)*'Tariffs Jan2023'!AI10,('Tariffs Jan2023'!K10-'Tariffs Jan2023'!J10)*('Tariffs Jan2023'!P10/100)*'Tariffs Jan2023'!AI10))</f>
        <v>0</v>
      </c>
      <c r="G16" s="59">
        <f>IF($C$5*'Tariffs Jan2023'!AK10/'Tariffs Jan2023'!AI10&lt;'Tariffs Jan2023'!K10,0,IF($C$5*'Tariffs Jan2023'!AK10/'Tariffs Jan2023'!AI10&lt;='Tariffs Jan2023'!L10,($C$5*'Tariffs Jan2023'!AK10/'Tariffs Jan2023'!AI10-'Tariffs Jan2023'!K10)*('Tariffs Jan2023'!Q10/100)*'Tariffs Jan2023'!AI10,('Tariffs Jan2023'!L10-'Tariffs Jan2023'!K10)*('Tariffs Jan2023'!Q10/100)*'Tariffs Jan2023'!AI10))</f>
        <v>0</v>
      </c>
      <c r="H16" s="59">
        <f>IF($C$5*'Tariffs Jan2023'!AK10/'Tariffs Jan2023'!AI10&lt;'Tariffs Jan2023'!L10,0,IF($C$5*'Tariffs Jan2023'!AK10/'Tariffs Jan2023'!AI10&lt;='Tariffs Jan2023'!M10,($C$5*'Tariffs Jan2023'!AK10/'Tariffs Jan2023'!AI10-'Tariffs Jan2023'!L10)*('Tariffs Jan2023'!R10/100)*'Tariffs Jan2023'!AI10,('Tariffs Jan2023'!M10-'Tariffs Jan2023'!L10)*('Tariffs Jan2023'!R10/100)*'Tariffs Jan2023'!AI10))</f>
        <v>0</v>
      </c>
      <c r="I16" s="59">
        <f>IF(($C$5*'Tariffs Jan2023'!AK10/'Tariffs Jan2023'!AI10&gt;'Tariffs Jan2023'!M10),($C$5*'Tariffs Jan2023'!AK10/'Tariffs Jan2023'!AI10-'Tariffs Jan2023'!M10)*'Tariffs Jan2023'!S10/100*'Tariffs Jan2023'!AI10,0)</f>
        <v>216.76759090909084</v>
      </c>
      <c r="J16" s="59">
        <f>IF($C$5*'Tariffs Jan2023'!AL10/'Tariffs Jan2023'!AJ10&gt;='Tariffs Jan2023'!J10,('Tariffs Jan2023'!J10*'Tariffs Jan2023'!U10/100)* 'Tariffs Jan2023'!AJ10,($C$5*'Tariffs Jan2023'!AL10/'Tariffs Jan2023'!AJ10*'Tariffs Jan2023'!U10/100)* 'Tariffs Jan2023'!AJ10)</f>
        <v>674.18181818181813</v>
      </c>
      <c r="K16" s="59">
        <f>IF($C$5*'Tariffs Jan2023'!AL10/'Tariffs Jan2023'!AJ10&lt;'Tariffs Jan2023'!J10,0,IF($C$5*'Tariffs Jan2023'!AL10/'Tariffs Jan2023'!AJ10&lt;='Tariffs Jan2023'!K10,($C$5*'Tariffs Jan2023'!AL10/'Tariffs Jan2023'!AJ10-'Tariffs Jan2023'!J10)*('Tariffs Jan2023'!V10/100)*'Tariffs Jan2023'!AJ10,('Tariffs Jan2023'!K10-'Tariffs Jan2023'!J10)*('Tariffs Jan2023'!V10/100)*'Tariffs Jan2023'!AJ10))</f>
        <v>0</v>
      </c>
      <c r="L16" s="59">
        <f>IF($C$5*'Tariffs Jan2023'!AL10/'Tariffs Jan2023'!AJ10&lt;'Tariffs Jan2023'!K10,0,IF($C$5*'Tariffs Jan2023'!AL10/'Tariffs Jan2023'!AJ10&lt;='Tariffs Jan2023'!L10,($C$5*'Tariffs Jan2023'!AL10/'Tariffs Jan2023'!AJ10-'Tariffs Jan2023'!K10)*('Tariffs Jan2023'!W10/100)*'Tariffs Jan2023'!AJ10,('Tariffs Jan2023'!L10-'Tariffs Jan2023'!K10)*('Tariffs Jan2023'!W10/100)*'Tariffs Jan2023'!AJ10))</f>
        <v>0</v>
      </c>
      <c r="M16" s="59">
        <f>IF($C$5*'Tariffs Jan2023'!AL10/'Tariffs Jan2023'!AJ10&lt;'Tariffs Jan2023'!L10,0,IF($C$5*'Tariffs Jan2023'!AL10/'Tariffs Jan2023'!AJ10&lt;='Tariffs Jan2023'!M10,($C$5*'Tariffs Jan2023'!AL10/'Tariffs Jan2023'!AJ10-'Tariffs Jan2023'!L10)*('Tariffs Jan2023'!X10/100)*'Tariffs Jan2023'!AJ10,('Tariffs Jan2023'!M10-'Tariffs Jan2023'!L10)*('Tariffs Jan2023'!X10/100)*'Tariffs Jan2023'!AJ10))</f>
        <v>0</v>
      </c>
      <c r="N16" s="59">
        <f>IF(($C$5*'Tariffs Jan2023'!AL10/'Tariffs Jan2023'!AJ10&gt;'Tariffs Jan2023'!M10),($C$5*'Tariffs Jan2023'!AL10/'Tariffs Jan2023'!AJ10-'Tariffs Jan2023'!M10)*'Tariffs Jan2023'!Y10/100*'Tariffs Jan2023'!AJ10,0)</f>
        <v>433.53518181818168</v>
      </c>
      <c r="O16" s="59">
        <f>SUM(E16:N16)</f>
        <v>1661.5754999999997</v>
      </c>
      <c r="P16" s="503">
        <f t="shared" si="2"/>
        <v>1827.7330499999998</v>
      </c>
      <c r="Q16" s="59">
        <f>D16+O16</f>
        <v>1876.9254999999996</v>
      </c>
      <c r="R16" s="272">
        <f t="shared" si="4"/>
        <v>2064.6180499999996</v>
      </c>
      <c r="S16" s="40">
        <f>'Tariffs Jan2023'!AN10</f>
        <v>0</v>
      </c>
      <c r="T16" s="40">
        <f>'Tariffs Jan2023'!AO10</f>
        <v>0</v>
      </c>
      <c r="U16" s="40">
        <f>'Tariffs Jan2023'!AP10</f>
        <v>2</v>
      </c>
      <c r="V16" s="40">
        <f>'Tariffs Jan2023'!AQ10</f>
        <v>0</v>
      </c>
      <c r="W16" s="537" t="str">
        <f t="shared" si="5"/>
        <v>Pay-on-time off bill</v>
      </c>
      <c r="X16" s="538" t="str">
        <f t="shared" si="6"/>
        <v>Exclusive</v>
      </c>
      <c r="Y16" s="534">
        <f t="shared" si="9"/>
        <v>1876.9254999999996</v>
      </c>
      <c r="Z16" s="535">
        <f t="shared" si="10"/>
        <v>1839.3869899999995</v>
      </c>
      <c r="AA16" s="542">
        <f t="shared" si="0"/>
        <v>2064.6180499999996</v>
      </c>
      <c r="AB16" s="609">
        <f t="shared" si="0"/>
        <v>2023.3256889999996</v>
      </c>
      <c r="AC16" s="604"/>
      <c r="AD16" s="604"/>
      <c r="AE16" s="604"/>
      <c r="AF16" s="604"/>
      <c r="AG16" s="604"/>
      <c r="AH16" s="604"/>
      <c r="AI16" s="604"/>
      <c r="AJ16" s="604"/>
      <c r="AK16" s="604"/>
      <c r="AL16" s="604"/>
      <c r="AM16" s="604"/>
      <c r="AN16" s="604"/>
      <c r="AO16" s="604"/>
      <c r="AP16" s="604"/>
      <c r="AQ16" s="604"/>
      <c r="AR16" s="604"/>
      <c r="AS16" s="604"/>
      <c r="AT16" s="604"/>
    </row>
    <row r="17" spans="1:46" ht="14" x14ac:dyDescent="0.15">
      <c r="A17" s="270" t="str">
        <f>'Tariffs Jan2023'!F11</f>
        <v>1st Energy</v>
      </c>
      <c r="B17" s="40" t="str">
        <f>'Tariffs Jan2023'!D11</f>
        <v>Multinet Metro 1</v>
      </c>
      <c r="C17" s="40" t="str">
        <f>'Tariffs Jan2023'!G11</f>
        <v>1st Saver Plus</v>
      </c>
      <c r="D17" s="59">
        <f>365*'Tariffs Jan2023'!H11/100</f>
        <v>273.75</v>
      </c>
      <c r="E17" s="59">
        <f>IF($C$5*'Tariffs Jan2023'!AK11/'Tariffs Jan2023'!AI11&gt;='Tariffs Jan2023'!J11,( 'Tariffs Jan2023'!J11*'Tariffs Jan2023'!O11/100)* 'Tariffs Jan2023'!AI11,($C$5*'Tariffs Jan2023'!AK11/'Tariffs Jan2023'!AI11*'Tariffs Jan2023'!O11/100)* 'Tariffs Jan2023'!AI11)</f>
        <v>360</v>
      </c>
      <c r="F17" s="59">
        <f>IF($C$5*'Tariffs Jan2023'!AK11/'Tariffs Jan2023'!AI11&lt;'Tariffs Jan2023'!J11,0,IF($C$5*'Tariffs Jan2023'!AK11/'Tariffs Jan2023'!AI11&lt;='Tariffs Jan2023'!K11,($C$5*'Tariffs Jan2023'!AK11/'Tariffs Jan2023'!AI11-'Tariffs Jan2023'!J11)*('Tariffs Jan2023'!P11/100)*'Tariffs Jan2023'!AI11,('Tariffs Jan2023'!K11-'Tariffs Jan2023'!J11)*('Tariffs Jan2023'!P11/100)*'Tariffs Jan2023'!AI11))</f>
        <v>472.50000000000011</v>
      </c>
      <c r="G17" s="59">
        <f>IF($C$5*'Tariffs Jan2023'!AK11/'Tariffs Jan2023'!AI11&lt;'Tariffs Jan2023'!K11,0,IF($C$5*'Tariffs Jan2023'!AK11/'Tariffs Jan2023'!AI11&lt;='Tariffs Jan2023'!L11,($C$5*'Tariffs Jan2023'!AK11/'Tariffs Jan2023'!AI11-'Tariffs Jan2023'!K11)*('Tariffs Jan2023'!Q11/100)*'Tariffs Jan2023'!AI11,('Tariffs Jan2023'!L11-'Tariffs Jan2023'!K11)*('Tariffs Jan2023'!Q11/100)*'Tariffs Jan2023'!AI11))</f>
        <v>0</v>
      </c>
      <c r="H17" s="59">
        <f>IF($C$5*'Tariffs Jan2023'!AK11/'Tariffs Jan2023'!AI11&lt;'Tariffs Jan2023'!L11,0,IF($C$5*'Tariffs Jan2023'!AK11/'Tariffs Jan2023'!AI11&lt;='Tariffs Jan2023'!M11,($C$5*'Tariffs Jan2023'!AK11/'Tariffs Jan2023'!AI11-'Tariffs Jan2023'!L11)*('Tariffs Jan2023'!R11/100)*'Tariffs Jan2023'!AI11,('Tariffs Jan2023'!M11-'Tariffs Jan2023'!L11)*('Tariffs Jan2023'!R11/100)*'Tariffs Jan2023'!AI11))</f>
        <v>0</v>
      </c>
      <c r="I17" s="59">
        <f>IF(($C$5*'Tariffs Jan2023'!AK11/'Tariffs Jan2023'!AI11&gt;'Tariffs Jan2023'!M11),($C$5*'Tariffs Jan2023'!AK11/'Tariffs Jan2023'!AI11-'Tariffs Jan2023'!M11)*'Tariffs Jan2023'!S11/100*'Tariffs Jan2023'!AI11,0)</f>
        <v>261</v>
      </c>
      <c r="J17" s="59">
        <f>IF($C$5*'Tariffs Jan2023'!AL11/'Tariffs Jan2023'!AJ11&gt;='Tariffs Jan2023'!J11,('Tariffs Jan2023'!J11*'Tariffs Jan2023'!U11/100)* 'Tariffs Jan2023'!AJ11,($C$5*'Tariffs Jan2023'!AL11/'Tariffs Jan2023'!AJ11*'Tariffs Jan2023'!U11/100)* 'Tariffs Jan2023'!AJ11)</f>
        <v>360</v>
      </c>
      <c r="K17" s="59">
        <f>IF($C$5*'Tariffs Jan2023'!AL11/'Tariffs Jan2023'!AJ11&lt;'Tariffs Jan2023'!J11,0,IF($C$5*'Tariffs Jan2023'!AL11/'Tariffs Jan2023'!AJ11&lt;='Tariffs Jan2023'!K11,($C$5*'Tariffs Jan2023'!AL11/'Tariffs Jan2023'!AJ11-'Tariffs Jan2023'!J11)*('Tariffs Jan2023'!V11/100)*'Tariffs Jan2023'!AJ11,('Tariffs Jan2023'!K11-'Tariffs Jan2023'!J11)*('Tariffs Jan2023'!V11/100)*'Tariffs Jan2023'!AJ11))</f>
        <v>472.50000000000011</v>
      </c>
      <c r="L17" s="59">
        <f>IF($C$5*'Tariffs Jan2023'!AL11/'Tariffs Jan2023'!AJ11&lt;'Tariffs Jan2023'!K11,0,IF($C$5*'Tariffs Jan2023'!AL11/'Tariffs Jan2023'!AJ11&lt;='Tariffs Jan2023'!L11,($C$5*'Tariffs Jan2023'!AL11/'Tariffs Jan2023'!AJ11-'Tariffs Jan2023'!K11)*('Tariffs Jan2023'!W11/100)*'Tariffs Jan2023'!AJ11,('Tariffs Jan2023'!L11-'Tariffs Jan2023'!K11)*('Tariffs Jan2023'!W11/100)*'Tariffs Jan2023'!AJ11))</f>
        <v>0</v>
      </c>
      <c r="M17" s="59">
        <f>IF($C$5*'Tariffs Jan2023'!AL11/'Tariffs Jan2023'!AJ11&lt;'Tariffs Jan2023'!L11,0,IF($C$5*'Tariffs Jan2023'!AL11/'Tariffs Jan2023'!AJ11&lt;='Tariffs Jan2023'!M11,($C$5*'Tariffs Jan2023'!AL11/'Tariffs Jan2023'!AJ11-'Tariffs Jan2023'!L11)*('Tariffs Jan2023'!X11/100)*'Tariffs Jan2023'!AJ11,('Tariffs Jan2023'!M11-'Tariffs Jan2023'!L11)*('Tariffs Jan2023'!X11/100)*'Tariffs Jan2023'!AJ11))</f>
        <v>0</v>
      </c>
      <c r="N17" s="59">
        <f>IF(($C$5*'Tariffs Jan2023'!AL11/'Tariffs Jan2023'!AJ11&gt;'Tariffs Jan2023'!M11),($C$5*'Tariffs Jan2023'!AL11/'Tariffs Jan2023'!AJ11-'Tariffs Jan2023'!M11)*'Tariffs Jan2023'!Y11/100*'Tariffs Jan2023'!AJ11,0)</f>
        <v>261</v>
      </c>
      <c r="O17" s="59">
        <f t="shared" si="1"/>
        <v>2187</v>
      </c>
      <c r="P17" s="503">
        <f t="shared" si="2"/>
        <v>2405.7000000000003</v>
      </c>
      <c r="Q17" s="59">
        <f t="shared" si="3"/>
        <v>2460.75</v>
      </c>
      <c r="R17" s="272">
        <f t="shared" si="4"/>
        <v>2706.8250000000003</v>
      </c>
      <c r="S17" s="40">
        <f>'Tariffs Jan2023'!AN11</f>
        <v>0</v>
      </c>
      <c r="T17" s="40">
        <f>'Tariffs Jan2023'!AO11</f>
        <v>7</v>
      </c>
      <c r="U17" s="40">
        <f>'Tariffs Jan2023'!AP11</f>
        <v>0</v>
      </c>
      <c r="V17" s="40">
        <f>'Tariffs Jan2023'!AQ11</f>
        <v>3</v>
      </c>
      <c r="W17" s="537" t="str">
        <f t="shared" si="5"/>
        <v>Guaranteed off usage</v>
      </c>
      <c r="X17" s="538" t="str">
        <f t="shared" si="6"/>
        <v>Exclusive</v>
      </c>
      <c r="Y17" s="534">
        <f>Q17-(P17*T17)/100</f>
        <v>2292.3510000000001</v>
      </c>
      <c r="Z17" s="535">
        <f>Y17-(P17*V17)/100</f>
        <v>2220.1800000000003</v>
      </c>
      <c r="AA17" s="542">
        <f t="shared" si="0"/>
        <v>2521.5861000000004</v>
      </c>
      <c r="AB17" s="609">
        <f t="shared" si="0"/>
        <v>2442.1980000000003</v>
      </c>
      <c r="AC17" s="604"/>
      <c r="AD17" s="604"/>
      <c r="AE17" s="604"/>
      <c r="AF17" s="604"/>
      <c r="AG17" s="604"/>
      <c r="AH17" s="604"/>
      <c r="AI17" s="604"/>
      <c r="AJ17" s="604"/>
      <c r="AK17" s="604"/>
      <c r="AL17" s="604"/>
      <c r="AM17" s="604"/>
      <c r="AN17" s="604"/>
      <c r="AO17" s="604"/>
      <c r="AP17" s="604"/>
      <c r="AQ17" s="604"/>
      <c r="AR17" s="604"/>
      <c r="AS17" s="604"/>
      <c r="AT17" s="604"/>
    </row>
    <row r="18" spans="1:46" ht="14" x14ac:dyDescent="0.15">
      <c r="A18" s="270" t="str">
        <f>'Tariffs Jan2023'!F12</f>
        <v>Tango Energy</v>
      </c>
      <c r="B18" s="40" t="str">
        <f>'Tariffs Jan2023'!D12</f>
        <v>Multinet Metro 1</v>
      </c>
      <c r="C18" s="40" t="str">
        <f>'Tariffs Jan2023'!G12</f>
        <v>Home Select</v>
      </c>
      <c r="D18" s="59">
        <f>365*'Tariffs Jan2023'!H12/100</f>
        <v>375.94999999999993</v>
      </c>
      <c r="E18" s="59">
        <f>IF($C$5*'Tariffs Jan2023'!AK12/'Tariffs Jan2023'!AI12&gt;='Tariffs Jan2023'!J12,( 'Tariffs Jan2023'!J12*'Tariffs Jan2023'!O12/100)* 'Tariffs Jan2023'!AI12,($C$5*'Tariffs Jan2023'!AK12/'Tariffs Jan2023'!AI12*'Tariffs Jan2023'!O12/100)* 'Tariffs Jan2023'!AI12)</f>
        <v>200.45454545454544</v>
      </c>
      <c r="F18" s="59">
        <f>IF($C$5*'Tariffs Jan2023'!AK12/'Tariffs Jan2023'!AI12&lt;'Tariffs Jan2023'!J12,0,IF($C$5*'Tariffs Jan2023'!AK12/'Tariffs Jan2023'!AI12&lt;='Tariffs Jan2023'!K12,($C$5*'Tariffs Jan2023'!AK12/'Tariffs Jan2023'!AI12-'Tariffs Jan2023'!J12)*('Tariffs Jan2023'!P12/100)*'Tariffs Jan2023'!AI12,('Tariffs Jan2023'!K12-'Tariffs Jan2023'!J12)*('Tariffs Jan2023'!P12/100)*'Tariffs Jan2023'!AI12))</f>
        <v>183.27272727272728</v>
      </c>
      <c r="G18" s="59">
        <f>IF($C$5*'Tariffs Jan2023'!AK12/'Tariffs Jan2023'!AI12&lt;'Tariffs Jan2023'!K12,0,IF($C$5*'Tariffs Jan2023'!AK12/'Tariffs Jan2023'!AI12&lt;='Tariffs Jan2023'!L12,($C$5*'Tariffs Jan2023'!AK12/'Tariffs Jan2023'!AI12-'Tariffs Jan2023'!K12)*('Tariffs Jan2023'!Q12/100)*'Tariffs Jan2023'!AI12,('Tariffs Jan2023'!L12-'Tariffs Jan2023'!K12)*('Tariffs Jan2023'!Q12/100)*'Tariffs Jan2023'!AI12))</f>
        <v>161.99999999999997</v>
      </c>
      <c r="H18" s="59">
        <f>IF($C$5*'Tariffs Jan2023'!AK12/'Tariffs Jan2023'!AI12&lt;'Tariffs Jan2023'!L12,0,IF($C$5*'Tariffs Jan2023'!AK12/'Tariffs Jan2023'!AI12&lt;='Tariffs Jan2023'!M12,($C$5*'Tariffs Jan2023'!AK12/'Tariffs Jan2023'!AI12-'Tariffs Jan2023'!L12)*('Tariffs Jan2023'!R12/100)*'Tariffs Jan2023'!AI12,('Tariffs Jan2023'!M12-'Tariffs Jan2023'!L12)*('Tariffs Jan2023'!R12/100)*'Tariffs Jan2023'!AI12))</f>
        <v>75.681818181818173</v>
      </c>
      <c r="I18" s="59">
        <f>IF(($C$5*'Tariffs Jan2023'!AK12/'Tariffs Jan2023'!AI12&gt;'Tariffs Jan2023'!M12),($C$5*'Tariffs Jan2023'!AK12/'Tariffs Jan2023'!AI12-'Tariffs Jan2023'!M12)*'Tariffs Jan2023'!S12/100*'Tariffs Jan2023'!AI12,0)</f>
        <v>0</v>
      </c>
      <c r="J18" s="59">
        <f>IF($C$5*'Tariffs Jan2023'!AL12/'Tariffs Jan2023'!AJ12&gt;='Tariffs Jan2023'!J12,('Tariffs Jan2023'!J12*'Tariffs Jan2023'!U12/100)* 'Tariffs Jan2023'!AJ12,($C$5*'Tariffs Jan2023'!AL12/'Tariffs Jan2023'!AJ12*'Tariffs Jan2023'!U12/100)* 'Tariffs Jan2023'!AJ12)</f>
        <v>186.5454545454545</v>
      </c>
      <c r="K18" s="59">
        <f>IF($C$5*'Tariffs Jan2023'!AL12/'Tariffs Jan2023'!AJ12&lt;'Tariffs Jan2023'!J12,0,IF($C$5*'Tariffs Jan2023'!AL12/'Tariffs Jan2023'!AJ12&lt;='Tariffs Jan2023'!K12,($C$5*'Tariffs Jan2023'!AL12/'Tariffs Jan2023'!AJ12-'Tariffs Jan2023'!J12)*('Tariffs Jan2023'!V12/100)*'Tariffs Jan2023'!AJ12,('Tariffs Jan2023'!K12-'Tariffs Jan2023'!J12)*('Tariffs Jan2023'!V12/100)*'Tariffs Jan2023'!AJ12))</f>
        <v>171.81818181818181</v>
      </c>
      <c r="L18" s="59">
        <f>IF($C$5*'Tariffs Jan2023'!AL12/'Tariffs Jan2023'!AJ12&lt;'Tariffs Jan2023'!K12,0,IF($C$5*'Tariffs Jan2023'!AL12/'Tariffs Jan2023'!AJ12&lt;='Tariffs Jan2023'!L12,($C$5*'Tariffs Jan2023'!AL12/'Tariffs Jan2023'!AJ12-'Tariffs Jan2023'!K12)*('Tariffs Jan2023'!W12/100)*'Tariffs Jan2023'!AJ12,('Tariffs Jan2023'!L12-'Tariffs Jan2023'!K12)*('Tariffs Jan2023'!W12/100)*'Tariffs Jan2023'!AJ12))</f>
        <v>153.81818181818178</v>
      </c>
      <c r="M18" s="59">
        <f>IF($C$5*'Tariffs Jan2023'!AL12/'Tariffs Jan2023'!AJ12&lt;'Tariffs Jan2023'!L12,0,IF($C$5*'Tariffs Jan2023'!AL12/'Tariffs Jan2023'!AJ12&lt;='Tariffs Jan2023'!M12,($C$5*'Tariffs Jan2023'!AL12/'Tariffs Jan2023'!AJ12-'Tariffs Jan2023'!L12)*('Tariffs Jan2023'!X12/100)*'Tariffs Jan2023'!AJ12,('Tariffs Jan2023'!M12-'Tariffs Jan2023'!L12)*('Tariffs Jan2023'!X12/100)*'Tariffs Jan2023'!AJ12))</f>
        <v>72</v>
      </c>
      <c r="N18" s="59">
        <f>IF(($C$5*'Tariffs Jan2023'!AL12/'Tariffs Jan2023'!AJ12&gt;'Tariffs Jan2023'!M12),($C$5*'Tariffs Jan2023'!AL12/'Tariffs Jan2023'!AJ12-'Tariffs Jan2023'!M12)*'Tariffs Jan2023'!Y12/100*'Tariffs Jan2023'!AJ12,0)</f>
        <v>0</v>
      </c>
      <c r="O18" s="59">
        <f t="shared" ref="O18:O20" si="11">SUM(E18:N18)</f>
        <v>1205.590909090909</v>
      </c>
      <c r="P18" s="503">
        <f t="shared" si="2"/>
        <v>1326.15</v>
      </c>
      <c r="Q18" s="59">
        <f t="shared" ref="Q18:Q20" si="12">D18+O18</f>
        <v>1581.5409090909088</v>
      </c>
      <c r="R18" s="272">
        <f t="shared" si="4"/>
        <v>1739.6949999999999</v>
      </c>
      <c r="S18" s="40">
        <f>'Tariffs Jan2023'!AN12</f>
        <v>0</v>
      </c>
      <c r="T18" s="40">
        <f>'Tariffs Jan2023'!AO12</f>
        <v>0</v>
      </c>
      <c r="U18" s="40">
        <f>'Tariffs Jan2023'!AP12</f>
        <v>0</v>
      </c>
      <c r="V18" s="40">
        <f>'Tariffs Jan2023'!AQ12</f>
        <v>0</v>
      </c>
      <c r="W18" s="578" t="str">
        <f t="shared" si="5"/>
        <v>No discount</v>
      </c>
      <c r="X18" s="578" t="str">
        <f t="shared" si="6"/>
        <v>Exclusive</v>
      </c>
      <c r="Y18" s="535">
        <f t="shared" ref="Y18:Y20" si="13">IF(AND(W18="Guaranteed off bill",X18="Inclusive"),((Q18*1.1)-((Q18*1.1)*S18/100))/1.1,IF(AND(W18="Guaranteed off usage",X18="Inclusive"),((Q18*1.1)-((P18*1.1)*T18/100))/1.1,IF(AND(W18="Guaranteed off bill",X18="Exclusive"),Q18-(Q18*S18/100),IF(AND(W18="Guaranteed off usage",X18="Exclusive"),Q18-(P18*T18/100),IF(X18="Inclusive",((Q18*1.1))/1.1,Q18)))))</f>
        <v>1581.5409090909088</v>
      </c>
      <c r="Z18" s="535">
        <f t="shared" ref="Z18:Z20" si="14">IF(AND(W18="Pay-on-time off bill",X18="Inclusive"),((Y18*1.1)-((Y18*1.1)*U18/100))/1.1,IF(AND(W18="Pay-on-time off usage",X18="Inclusive"),((Y18*1.1)-((P18*1.1)*V18/100))/1.1,IF(AND(W18="Pay-on-time off bill",X18="Exclusive"),Y18-(Y18*U18/100),IF(AND(W18="Pay-on-time off usage",X18="Exclusive"),Y18-(P18*V18/100),IF(X18="Inclusive",((Y18*1.1))/1.1,Y18)))))</f>
        <v>1581.5409090909088</v>
      </c>
      <c r="AA18" s="542">
        <f t="shared" si="0"/>
        <v>1739.6949999999999</v>
      </c>
      <c r="AB18" s="609">
        <f t="shared" si="0"/>
        <v>1739.6949999999999</v>
      </c>
      <c r="AC18" s="604"/>
      <c r="AD18" s="604"/>
      <c r="AE18" s="604"/>
      <c r="AF18" s="604"/>
      <c r="AG18" s="604"/>
      <c r="AH18" s="604"/>
      <c r="AI18" s="604"/>
      <c r="AJ18" s="604"/>
      <c r="AK18" s="604"/>
      <c r="AL18" s="604"/>
      <c r="AM18" s="604"/>
      <c r="AN18" s="604"/>
      <c r="AO18" s="604"/>
      <c r="AP18" s="604"/>
      <c r="AQ18" s="604"/>
      <c r="AR18" s="604"/>
      <c r="AS18" s="604"/>
      <c r="AT18" s="604"/>
    </row>
    <row r="19" spans="1:46" ht="14" x14ac:dyDescent="0.15">
      <c r="A19" s="270" t="str">
        <f>'Tariffs Jan2023'!F13</f>
        <v>Momentum Energy</v>
      </c>
      <c r="B19" s="40" t="str">
        <f>'Tariffs Jan2023'!D13</f>
        <v>Multinet Metro 1</v>
      </c>
      <c r="C19" s="40" t="str">
        <f>'Tariffs Jan2023'!G13</f>
        <v>Nothing Fancy</v>
      </c>
      <c r="D19" s="59">
        <f>365*'Tariffs Jan2023'!H13/100</f>
        <v>312.43999999999994</v>
      </c>
      <c r="E19" s="59">
        <f>IF($C$5*'Tariffs Jan2023'!AK13/'Tariffs Jan2023'!AI13&gt;='Tariffs Jan2023'!J13,( 'Tariffs Jan2023'!J13*'Tariffs Jan2023'!O13/100)* 'Tariffs Jan2023'!AI13,($C$5*'Tariffs Jan2023'!AK13/'Tariffs Jan2023'!AI13*'Tariffs Jan2023'!O13/100)* 'Tariffs Jan2023'!AI13)</f>
        <v>341.99999999999994</v>
      </c>
      <c r="F19" s="59">
        <f>IF($C$5*'Tariffs Jan2023'!AK13/'Tariffs Jan2023'!AI13&lt;'Tariffs Jan2023'!J13,0,IF($C$5*'Tariffs Jan2023'!AK13/'Tariffs Jan2023'!AI13&lt;='Tariffs Jan2023'!K13,($C$5*'Tariffs Jan2023'!AK13/'Tariffs Jan2023'!AI13-'Tariffs Jan2023'!J13)*('Tariffs Jan2023'!P13/100)*'Tariffs Jan2023'!AI13,('Tariffs Jan2023'!K13-'Tariffs Jan2023'!J13)*('Tariffs Jan2023'!P13/100)*'Tariffs Jan2023'!AI13))</f>
        <v>297</v>
      </c>
      <c r="G19" s="59">
        <f>IF($C$5*'Tariffs Jan2023'!AK13/'Tariffs Jan2023'!AI13&lt;'Tariffs Jan2023'!K13,0,IF($C$5*'Tariffs Jan2023'!AK13/'Tariffs Jan2023'!AI13&lt;='Tariffs Jan2023'!L13,($C$5*'Tariffs Jan2023'!AK13/'Tariffs Jan2023'!AI13-'Tariffs Jan2023'!K13)*('Tariffs Jan2023'!Q13/100)*'Tariffs Jan2023'!AI13,('Tariffs Jan2023'!L13-'Tariffs Jan2023'!K13)*('Tariffs Jan2023'!Q13/100)*'Tariffs Jan2023'!AI13))</f>
        <v>261</v>
      </c>
      <c r="H19" s="59">
        <f>IF($C$5*'Tariffs Jan2023'!AK13/'Tariffs Jan2023'!AI13&lt;'Tariffs Jan2023'!L13,0,IF($C$5*'Tariffs Jan2023'!AK13/'Tariffs Jan2023'!AI13&lt;='Tariffs Jan2023'!M13,($C$5*'Tariffs Jan2023'!AK13/'Tariffs Jan2023'!AI13-'Tariffs Jan2023'!L13)*('Tariffs Jan2023'!R13/100)*'Tariffs Jan2023'!AI13,('Tariffs Jan2023'!M13-'Tariffs Jan2023'!L13)*('Tariffs Jan2023'!R13/100)*'Tariffs Jan2023'!AI13))</f>
        <v>0</v>
      </c>
      <c r="I19" s="59">
        <f>IF(($C$5*'Tariffs Jan2023'!AK13/'Tariffs Jan2023'!AI13&gt;'Tariffs Jan2023'!M13),($C$5*'Tariffs Jan2023'!AK13/'Tariffs Jan2023'!AI13-'Tariffs Jan2023'!M13)*'Tariffs Jan2023'!S13/100*'Tariffs Jan2023'!AI13,0)</f>
        <v>116.99999999999997</v>
      </c>
      <c r="J19" s="59">
        <f>IF($C$5*'Tariffs Jan2023'!AL13/'Tariffs Jan2023'!AJ13&gt;='Tariffs Jan2023'!J13,('Tariffs Jan2023'!J13*'Tariffs Jan2023'!U13/100)* 'Tariffs Jan2023'!AJ13,($C$5*'Tariffs Jan2023'!AL13/'Tariffs Jan2023'!AJ13*'Tariffs Jan2023'!U13/100)* 'Tariffs Jan2023'!AJ13)</f>
        <v>323.99999999999994</v>
      </c>
      <c r="K19" s="59">
        <f>IF($C$5*'Tariffs Jan2023'!AL13/'Tariffs Jan2023'!AJ13&lt;'Tariffs Jan2023'!J13,0,IF($C$5*'Tariffs Jan2023'!AL13/'Tariffs Jan2023'!AJ13&lt;='Tariffs Jan2023'!K13,($C$5*'Tariffs Jan2023'!AL13/'Tariffs Jan2023'!AJ13-'Tariffs Jan2023'!J13)*('Tariffs Jan2023'!V13/100)*'Tariffs Jan2023'!AJ13,('Tariffs Jan2023'!K13-'Tariffs Jan2023'!J13)*('Tariffs Jan2023'!V13/100)*'Tariffs Jan2023'!AJ13))</f>
        <v>288</v>
      </c>
      <c r="L19" s="59">
        <f>IF($C$5*'Tariffs Jan2023'!AL13/'Tariffs Jan2023'!AJ13&lt;'Tariffs Jan2023'!K13,0,IF($C$5*'Tariffs Jan2023'!AL13/'Tariffs Jan2023'!AJ13&lt;='Tariffs Jan2023'!L13,($C$5*'Tariffs Jan2023'!AL13/'Tariffs Jan2023'!AJ13-'Tariffs Jan2023'!K13)*('Tariffs Jan2023'!W13/100)*'Tariffs Jan2023'!AJ13,('Tariffs Jan2023'!L13-'Tariffs Jan2023'!K13)*('Tariffs Jan2023'!W13/100)*'Tariffs Jan2023'!AJ13))</f>
        <v>251.99999999999994</v>
      </c>
      <c r="M19" s="59">
        <f>IF($C$5*'Tariffs Jan2023'!AL13/'Tariffs Jan2023'!AJ13&lt;'Tariffs Jan2023'!L13,0,IF($C$5*'Tariffs Jan2023'!AL13/'Tariffs Jan2023'!AJ13&lt;='Tariffs Jan2023'!M13,($C$5*'Tariffs Jan2023'!AL13/'Tariffs Jan2023'!AJ13-'Tariffs Jan2023'!L13)*('Tariffs Jan2023'!X13/100)*'Tariffs Jan2023'!AJ13,('Tariffs Jan2023'!M13-'Tariffs Jan2023'!L13)*('Tariffs Jan2023'!X13/100)*'Tariffs Jan2023'!AJ13))</f>
        <v>0</v>
      </c>
      <c r="N19" s="59">
        <f>IF(($C$5*'Tariffs Jan2023'!AL13/'Tariffs Jan2023'!AJ13&gt;'Tariffs Jan2023'!M13),($C$5*'Tariffs Jan2023'!AL13/'Tariffs Jan2023'!AJ13-'Tariffs Jan2023'!M13)*'Tariffs Jan2023'!Y13/100*'Tariffs Jan2023'!AJ13,0)</f>
        <v>116.99999999999997</v>
      </c>
      <c r="O19" s="59">
        <f t="shared" ref="O19" si="15">SUM(E19:N19)</f>
        <v>1998</v>
      </c>
      <c r="P19" s="503">
        <f t="shared" ref="P19" si="16">O19*1.1</f>
        <v>2197.8000000000002</v>
      </c>
      <c r="Q19" s="59">
        <f t="shared" ref="Q19" si="17">D19+O19</f>
        <v>2310.44</v>
      </c>
      <c r="R19" s="272">
        <f t="shared" ref="R19" si="18">Q19*1.1</f>
        <v>2541.4840000000004</v>
      </c>
      <c r="S19" s="40">
        <f>'Tariffs Jan2023'!AN13</f>
        <v>0</v>
      </c>
      <c r="T19" s="40">
        <f>'Tariffs Jan2023'!AO13</f>
        <v>0</v>
      </c>
      <c r="U19" s="40">
        <f>'Tariffs Jan2023'!AP13</f>
        <v>0</v>
      </c>
      <c r="V19" s="40">
        <f>'Tariffs Jan2023'!AQ13</f>
        <v>0</v>
      </c>
      <c r="W19" s="578" t="str">
        <f t="shared" ref="W19" si="19">IF(SUM(S19:V19)=0,"No discount",IF(S19&gt;0,"Guaranteed off bill",IF(T19&gt;0,"Guaranteed off usage",IF(U19&gt;0,"Pay-on-time off bill","Pay-on-time off usage"))))</f>
        <v>No discount</v>
      </c>
      <c r="X19" s="578" t="str">
        <f t="shared" ref="X19" si="20">IF(OR(A19="Origin Energy",A19="Red Energy",A19="Powershop"),"Inclusive","Exclusive")</f>
        <v>Exclusive</v>
      </c>
      <c r="Y19" s="535">
        <f t="shared" ref="Y19" si="21">IF(AND(W19="Guaranteed off bill",X19="Inclusive"),((Q19*1.1)-((Q19*1.1)*S19/100))/1.1,IF(AND(W19="Guaranteed off usage",X19="Inclusive"),((Q19*1.1)-((P19*1.1)*T19/100))/1.1,IF(AND(W19="Guaranteed off bill",X19="Exclusive"),Q19-(Q19*S19/100),IF(AND(W19="Guaranteed off usage",X19="Exclusive"),Q19-(P19*T19/100),IF(X19="Inclusive",((Q19*1.1))/1.1,Q19)))))</f>
        <v>2310.44</v>
      </c>
      <c r="Z19" s="535">
        <f t="shared" ref="Z19" si="22">IF(AND(W19="Pay-on-time off bill",X19="Inclusive"),((Y19*1.1)-((Y19*1.1)*U19/100))/1.1,IF(AND(W19="Pay-on-time off usage",X19="Inclusive"),((Y19*1.1)-((P19*1.1)*V19/100))/1.1,IF(AND(W19="Pay-on-time off bill",X19="Exclusive"),Y19-(Y19*U19/100),IF(AND(W19="Pay-on-time off usage",X19="Exclusive"),Y19-(P19*V19/100),IF(X19="Inclusive",((Y19*1.1))/1.1,Y19)))))</f>
        <v>2310.44</v>
      </c>
      <c r="AA19" s="542">
        <f t="shared" ref="AA19" si="23">Y19*1.1</f>
        <v>2541.4840000000004</v>
      </c>
      <c r="AB19" s="609">
        <f t="shared" ref="AB19" si="24">Z19*1.1</f>
        <v>2541.4840000000004</v>
      </c>
      <c r="AC19" s="604"/>
      <c r="AD19" s="604"/>
      <c r="AE19" s="604"/>
      <c r="AF19" s="604"/>
      <c r="AG19" s="604"/>
      <c r="AH19" s="604"/>
      <c r="AI19" s="604"/>
      <c r="AJ19" s="604"/>
      <c r="AK19" s="604"/>
      <c r="AL19" s="604"/>
      <c r="AM19" s="604"/>
      <c r="AN19" s="604"/>
      <c r="AO19" s="604"/>
      <c r="AP19" s="604"/>
      <c r="AQ19" s="604"/>
      <c r="AR19" s="604"/>
      <c r="AS19" s="604"/>
      <c r="AT19" s="604"/>
    </row>
    <row r="20" spans="1:46" ht="15" thickBot="1" x14ac:dyDescent="0.2">
      <c r="A20" s="276" t="str">
        <f>'Tariffs Jan2023'!F14</f>
        <v>Sumo Power</v>
      </c>
      <c r="B20" s="277" t="str">
        <f>'Tariffs Jan2023'!D14</f>
        <v>Multinet Metro 1</v>
      </c>
      <c r="C20" s="277" t="str">
        <f>'Tariffs Jan2023'!G14</f>
        <v>Lite</v>
      </c>
      <c r="D20" s="278">
        <f>365*'Tariffs Jan2023'!H14/100</f>
        <v>383.24999999999994</v>
      </c>
      <c r="E20" s="278">
        <f>IF($C$5*'Tariffs Jan2023'!AK14/'Tariffs Jan2023'!AI14&gt;='Tariffs Jan2023'!J14,( 'Tariffs Jan2023'!J14*'Tariffs Jan2023'!O14/100)* 'Tariffs Jan2023'!AI14,($C$5*'Tariffs Jan2023'!AK14/'Tariffs Jan2023'!AI14*'Tariffs Jan2023'!O14/100)* 'Tariffs Jan2023'!AI14)</f>
        <v>1606.4999999999995</v>
      </c>
      <c r="F20" s="278">
        <f>IF($C$5*'Tariffs Jan2023'!AK14/'Tariffs Jan2023'!AI14&lt;'Tariffs Jan2023'!J14,0,IF($C$5*'Tariffs Jan2023'!AK14/'Tariffs Jan2023'!AI14&lt;='Tariffs Jan2023'!K14,($C$5*'Tariffs Jan2023'!AK14/'Tariffs Jan2023'!AI14-'Tariffs Jan2023'!J14)*('Tariffs Jan2023'!P14/100)*'Tariffs Jan2023'!AI14,('Tariffs Jan2023'!K14-'Tariffs Jan2023'!J14)*('Tariffs Jan2023'!P14/100)*'Tariffs Jan2023'!AI14))</f>
        <v>0</v>
      </c>
      <c r="G20" s="278">
        <f>IF($C$5*'Tariffs Jan2023'!AK14/'Tariffs Jan2023'!AI14&lt;'Tariffs Jan2023'!K14,0,IF($C$5*'Tariffs Jan2023'!AK14/'Tariffs Jan2023'!AI14&lt;='Tariffs Jan2023'!L14,($C$5*'Tariffs Jan2023'!AK14/'Tariffs Jan2023'!AI14-'Tariffs Jan2023'!K14)*('Tariffs Jan2023'!Q14/100)*'Tariffs Jan2023'!AI14,('Tariffs Jan2023'!L14-'Tariffs Jan2023'!K14)*('Tariffs Jan2023'!Q14/100)*'Tariffs Jan2023'!AI14))</f>
        <v>0</v>
      </c>
      <c r="H20" s="278">
        <f>IF($C$5*'Tariffs Jan2023'!AK14/'Tariffs Jan2023'!AI14&lt;'Tariffs Jan2023'!L14,0,IF($C$5*'Tariffs Jan2023'!AK14/'Tariffs Jan2023'!AI14&lt;='Tariffs Jan2023'!M14,($C$5*'Tariffs Jan2023'!AK14/'Tariffs Jan2023'!AI14-'Tariffs Jan2023'!L14)*('Tariffs Jan2023'!R14/100)*'Tariffs Jan2023'!AI14,('Tariffs Jan2023'!M14-'Tariffs Jan2023'!L14)*('Tariffs Jan2023'!R14/100)*'Tariffs Jan2023'!AI14))</f>
        <v>0</v>
      </c>
      <c r="I20" s="278">
        <f>IF(($C$5*'Tariffs Jan2023'!AK14/'Tariffs Jan2023'!AI14&gt;'Tariffs Jan2023'!M14),($C$5*'Tariffs Jan2023'!AK14/'Tariffs Jan2023'!AI14-'Tariffs Jan2023'!M14)*'Tariffs Jan2023'!S14/100*'Tariffs Jan2023'!AI14,0)</f>
        <v>0</v>
      </c>
      <c r="J20" s="278">
        <f>IF($C$5*'Tariffs Jan2023'!AL14/'Tariffs Jan2023'!AJ14&gt;='Tariffs Jan2023'!J14,('Tariffs Jan2023'!J14*'Tariffs Jan2023'!U14/100)* 'Tariffs Jan2023'!AJ14,($C$5*'Tariffs Jan2023'!AL14/'Tariffs Jan2023'!AJ14*'Tariffs Jan2023'!U14/100)* 'Tariffs Jan2023'!AJ14)</f>
        <v>1323</v>
      </c>
      <c r="K20" s="278">
        <f>IF($C$5*'Tariffs Jan2023'!AL14/'Tariffs Jan2023'!AJ14&lt;'Tariffs Jan2023'!J14,0,IF($C$5*'Tariffs Jan2023'!AL14/'Tariffs Jan2023'!AJ14&lt;='Tariffs Jan2023'!K14,($C$5*'Tariffs Jan2023'!AL14/'Tariffs Jan2023'!AJ14-'Tariffs Jan2023'!J14)*('Tariffs Jan2023'!V14/100)*'Tariffs Jan2023'!AJ14,('Tariffs Jan2023'!K14-'Tariffs Jan2023'!J14)*('Tariffs Jan2023'!V14/100)*'Tariffs Jan2023'!AJ14))</f>
        <v>0</v>
      </c>
      <c r="L20" s="278">
        <f>IF($C$5*'Tariffs Jan2023'!AL14/'Tariffs Jan2023'!AJ14&lt;'Tariffs Jan2023'!K14,0,IF($C$5*'Tariffs Jan2023'!AL14/'Tariffs Jan2023'!AJ14&lt;='Tariffs Jan2023'!L14,($C$5*'Tariffs Jan2023'!AL14/'Tariffs Jan2023'!AJ14-'Tariffs Jan2023'!K14)*('Tariffs Jan2023'!W14/100)*'Tariffs Jan2023'!AJ14,('Tariffs Jan2023'!L14-'Tariffs Jan2023'!K14)*('Tariffs Jan2023'!W14/100)*'Tariffs Jan2023'!AJ14))</f>
        <v>0</v>
      </c>
      <c r="M20" s="278">
        <f>IF($C$5*'Tariffs Jan2023'!AL14/'Tariffs Jan2023'!AJ14&lt;'Tariffs Jan2023'!L14,0,IF($C$5*'Tariffs Jan2023'!AL14/'Tariffs Jan2023'!AJ14&lt;='Tariffs Jan2023'!M14,($C$5*'Tariffs Jan2023'!AL14/'Tariffs Jan2023'!AJ14-'Tariffs Jan2023'!L14)*('Tariffs Jan2023'!X14/100)*'Tariffs Jan2023'!AJ14,('Tariffs Jan2023'!M14-'Tariffs Jan2023'!L14)*('Tariffs Jan2023'!X14/100)*'Tariffs Jan2023'!AJ14))</f>
        <v>0</v>
      </c>
      <c r="N20" s="278">
        <f>IF(($C$5*'Tariffs Jan2023'!AL14/'Tariffs Jan2023'!AJ14&gt;'Tariffs Jan2023'!M14),($C$5*'Tariffs Jan2023'!AL14/'Tariffs Jan2023'!AJ14-'Tariffs Jan2023'!M14)*'Tariffs Jan2023'!Y14/100*'Tariffs Jan2023'!AJ14,0)</f>
        <v>0</v>
      </c>
      <c r="O20" s="278">
        <f t="shared" si="11"/>
        <v>2929.4999999999995</v>
      </c>
      <c r="P20" s="504">
        <f t="shared" si="2"/>
        <v>3222.45</v>
      </c>
      <c r="Q20" s="278">
        <f t="shared" si="12"/>
        <v>3312.7499999999995</v>
      </c>
      <c r="R20" s="280">
        <f t="shared" si="4"/>
        <v>3644.0249999999996</v>
      </c>
      <c r="S20" s="277">
        <f>'Tariffs Jan2023'!AN14</f>
        <v>0</v>
      </c>
      <c r="T20" s="277">
        <f>'Tariffs Jan2023'!AO14</f>
        <v>0</v>
      </c>
      <c r="U20" s="277">
        <f>'Tariffs Jan2023'!AP14</f>
        <v>0</v>
      </c>
      <c r="V20" s="277">
        <f>'Tariffs Jan2023'!AQ14</f>
        <v>0</v>
      </c>
      <c r="W20" s="585" t="str">
        <f t="shared" si="5"/>
        <v>No discount</v>
      </c>
      <c r="X20" s="585" t="str">
        <f t="shared" si="6"/>
        <v>Exclusive</v>
      </c>
      <c r="Y20" s="544">
        <f t="shared" si="13"/>
        <v>3312.7499999999995</v>
      </c>
      <c r="Z20" s="544">
        <f t="shared" si="14"/>
        <v>3312.7499999999995</v>
      </c>
      <c r="AA20" s="545">
        <f t="shared" si="0"/>
        <v>3644.0249999999996</v>
      </c>
      <c r="AB20" s="610">
        <f t="shared" si="0"/>
        <v>3644.0249999999996</v>
      </c>
      <c r="AC20" s="604"/>
      <c r="AD20" s="604"/>
      <c r="AE20" s="604"/>
      <c r="AF20" s="604"/>
      <c r="AG20" s="604"/>
      <c r="AH20" s="604"/>
      <c r="AI20" s="604"/>
      <c r="AJ20" s="604"/>
      <c r="AK20" s="604"/>
      <c r="AL20" s="604"/>
      <c r="AM20" s="604"/>
      <c r="AN20" s="604"/>
      <c r="AO20" s="604"/>
      <c r="AP20" s="604"/>
      <c r="AQ20" s="604"/>
      <c r="AR20" s="604"/>
      <c r="AS20" s="604"/>
      <c r="AT20" s="604"/>
    </row>
    <row r="21" spans="1:46" ht="15" thickTop="1" x14ac:dyDescent="0.15">
      <c r="A21" s="270" t="str">
        <f>'Tariffs Jan2023'!F15</f>
        <v>AGL</v>
      </c>
      <c r="B21" s="40" t="str">
        <f>'Tariffs Jan2023'!D15</f>
        <v>Multinet Metro 2</v>
      </c>
      <c r="C21" s="40" t="str">
        <f>'Tariffs Jan2023'!G15</f>
        <v>Value Saver</v>
      </c>
      <c r="D21" s="59">
        <f>365*'Tariffs Jan2023'!H15/100</f>
        <v>271.92500000000001</v>
      </c>
      <c r="E21" s="59">
        <f>IF($C$5*'Tariffs Jan2023'!AK15/'Tariffs Jan2023'!AI15&gt;='Tariffs Jan2023'!J15,( 'Tariffs Jan2023'!J15*'Tariffs Jan2023'!O15/100)* 'Tariffs Jan2023'!AI15,($C$5*'Tariffs Jan2023'!AK15/'Tariffs Jan2023'!AI15*'Tariffs Jan2023'!O15/100)* 'Tariffs Jan2023'!AI15)</f>
        <v>299.45454545454544</v>
      </c>
      <c r="F21" s="59">
        <f>IF($C$5*'Tariffs Jan2023'!AK15/'Tariffs Jan2023'!AI15&lt;'Tariffs Jan2023'!J15,0,IF($C$5*'Tariffs Jan2023'!AK15/'Tariffs Jan2023'!AI15&lt;='Tariffs Jan2023'!K15,($C$5*'Tariffs Jan2023'!AK15/'Tariffs Jan2023'!AI15-'Tariffs Jan2023'!J15)*('Tariffs Jan2023'!P15/100)*'Tariffs Jan2023'!AI15,('Tariffs Jan2023'!K15-'Tariffs Jan2023'!J15)*('Tariffs Jan2023'!P15/100)*'Tariffs Jan2023'!AI15))</f>
        <v>265.09090909090907</v>
      </c>
      <c r="G21" s="59">
        <f>IF($C$5*'Tariffs Jan2023'!AK15/'Tariffs Jan2023'!AI15&lt;'Tariffs Jan2023'!K15,0,IF($C$5*'Tariffs Jan2023'!AK15/'Tariffs Jan2023'!AI15&lt;='Tariffs Jan2023'!L15,($C$5*'Tariffs Jan2023'!AK15/'Tariffs Jan2023'!AI15-'Tariffs Jan2023'!K15)*('Tariffs Jan2023'!Q15/100)*'Tariffs Jan2023'!AI15,('Tariffs Jan2023'!L15-'Tariffs Jan2023'!K15)*('Tariffs Jan2023'!Q15/100)*'Tariffs Jan2023'!AI15))</f>
        <v>212.72727272727269</v>
      </c>
      <c r="H21" s="59">
        <f>IF($C$5*'Tariffs Jan2023'!AK15/'Tariffs Jan2023'!AI15&lt;'Tariffs Jan2023'!L15,0,IF($C$5*'Tariffs Jan2023'!AK15/'Tariffs Jan2023'!AI15&lt;='Tariffs Jan2023'!M15,($C$5*'Tariffs Jan2023'!AK15/'Tariffs Jan2023'!AI15-'Tariffs Jan2023'!L15)*('Tariffs Jan2023'!R15/100)*'Tariffs Jan2023'!AI15,('Tariffs Jan2023'!M15-'Tariffs Jan2023'!L15)*('Tariffs Jan2023'!R15/100)*'Tariffs Jan2023'!AI15))</f>
        <v>87.545454545454533</v>
      </c>
      <c r="I21" s="59">
        <f>IF(($C$5*'Tariffs Jan2023'!AK15/'Tariffs Jan2023'!AI15&gt;'Tariffs Jan2023'!M15),($C$5*'Tariffs Jan2023'!AK15/'Tariffs Jan2023'!AI15-'Tariffs Jan2023'!M15)*'Tariffs Jan2023'!S15/100*'Tariffs Jan2023'!AI15,0)</f>
        <v>0</v>
      </c>
      <c r="J21" s="59">
        <f>IF($C$5*'Tariffs Jan2023'!AL15/'Tariffs Jan2023'!AJ15&gt;='Tariffs Jan2023'!J15,('Tariffs Jan2023'!J15*'Tariffs Jan2023'!U15/100)* 'Tariffs Jan2023'!AJ15,($C$5*'Tariffs Jan2023'!AL15/'Tariffs Jan2023'!AJ15*'Tariffs Jan2023'!U15/100)* 'Tariffs Jan2023'!AJ15)</f>
        <v>280.63636363636363</v>
      </c>
      <c r="K21" s="59">
        <f>IF($C$5*'Tariffs Jan2023'!AL15/'Tariffs Jan2023'!AJ15&lt;'Tariffs Jan2023'!J15,0,IF($C$5*'Tariffs Jan2023'!AL15/'Tariffs Jan2023'!AJ15&lt;='Tariffs Jan2023'!K15,($C$5*'Tariffs Jan2023'!AL15/'Tariffs Jan2023'!AJ15-'Tariffs Jan2023'!J15)*('Tariffs Jan2023'!V15/100)*'Tariffs Jan2023'!AJ15,('Tariffs Jan2023'!K15-'Tariffs Jan2023'!J15)*('Tariffs Jan2023'!V15/100)*'Tariffs Jan2023'!AJ15))</f>
        <v>245.45454545454544</v>
      </c>
      <c r="L21" s="59">
        <f>IF($C$5*'Tariffs Jan2023'!AL15/'Tariffs Jan2023'!AJ15&lt;'Tariffs Jan2023'!K15,0,IF($C$5*'Tariffs Jan2023'!AL15/'Tariffs Jan2023'!AJ15&lt;='Tariffs Jan2023'!L15,($C$5*'Tariffs Jan2023'!AL15/'Tariffs Jan2023'!AJ15-'Tariffs Jan2023'!K15)*('Tariffs Jan2023'!W15/100)*'Tariffs Jan2023'!AJ15,('Tariffs Jan2023'!L15-'Tariffs Jan2023'!K15)*('Tariffs Jan2023'!W15/100)*'Tariffs Jan2023'!AJ15))</f>
        <v>201.27272727272728</v>
      </c>
      <c r="M21" s="59">
        <f>IF($C$5*'Tariffs Jan2023'!AL15/'Tariffs Jan2023'!AJ15&lt;'Tariffs Jan2023'!L15,0,IF($C$5*'Tariffs Jan2023'!AL15/'Tariffs Jan2023'!AJ15&lt;='Tariffs Jan2023'!M15,($C$5*'Tariffs Jan2023'!AL15/'Tariffs Jan2023'!AJ15-'Tariffs Jan2023'!L15)*('Tariffs Jan2023'!X15/100)*'Tariffs Jan2023'!AJ15,('Tariffs Jan2023'!M15-'Tariffs Jan2023'!L15)*('Tariffs Jan2023'!X15/100)*'Tariffs Jan2023'!AJ15))</f>
        <v>85.090909090909093</v>
      </c>
      <c r="N21" s="59">
        <f>IF(($C$5*'Tariffs Jan2023'!AL15/'Tariffs Jan2023'!AJ15&gt;'Tariffs Jan2023'!M15),($C$5*'Tariffs Jan2023'!AL15/'Tariffs Jan2023'!AJ15-'Tariffs Jan2023'!M15)*'Tariffs Jan2023'!Y15/100*'Tariffs Jan2023'!AJ15,0)</f>
        <v>0</v>
      </c>
      <c r="O21" s="59">
        <f t="shared" si="1"/>
        <v>1677.2727272727273</v>
      </c>
      <c r="P21" s="503">
        <f t="shared" si="2"/>
        <v>1845.0000000000002</v>
      </c>
      <c r="Q21" s="59">
        <f t="shared" si="3"/>
        <v>1949.1977272727272</v>
      </c>
      <c r="R21" s="272">
        <f t="shared" si="4"/>
        <v>2144.1175000000003</v>
      </c>
      <c r="S21" s="40">
        <f>'Tariffs Jan2023'!AN15</f>
        <v>0</v>
      </c>
      <c r="T21" s="40">
        <f>'Tariffs Jan2023'!AO15</f>
        <v>0</v>
      </c>
      <c r="U21" s="40">
        <f>'Tariffs Jan2023'!AP15</f>
        <v>0</v>
      </c>
      <c r="V21" s="40">
        <f>'Tariffs Jan2023'!AQ15</f>
        <v>0</v>
      </c>
      <c r="W21" s="537" t="str">
        <f>IF(SUM(S21:V21)=0,"No discount",IF(S21&gt;0,"Guaranteed off bill",IF(T21&gt;0,"Guaranteed off usage",IF(U21&gt;0,"Pay-on-time off bill","Pay-on-time off usage"))))</f>
        <v>No discount</v>
      </c>
      <c r="X21" s="538" t="str">
        <f>IF(OR(A21="Origin Energy",A21="Red Energy",A21="Powershop"),"Inclusive","Exclusive")</f>
        <v>Exclusive</v>
      </c>
      <c r="Y21" s="534">
        <f>IF(AND(W21="Guaranteed off bill",X21="Inclusive"),((Q21*1.1)-((Q21*1.1)*S21/100))/1.1,IF(AND(W21="Guaranteed off usage",X21="Inclusive"),((Q21*1.1)-((P21*1.1)*T21/100))/1.1,IF(AND(W21="Guaranteed off bill",X21="Exclusive"),Q21-(Q21*S21/100),IF(AND(W21="Guaranteed off usage",X21="Exclusive"),Q21-(P21*T21/100),IF(X21="Inclusive",((Q21*1.1))/1.1,Q21)))))</f>
        <v>1949.1977272727272</v>
      </c>
      <c r="Z21" s="535">
        <f>IF(AND(W21="Pay-on-time off bill",X21="Inclusive"),((Y21*1.1)-((Y21*1.1)*U21/100))/1.1,IF(AND(W21="Pay-on-time off usage",X21="Inclusive"),((Y21*1.1)-((P21*1.1)*V21/100))/1.1,IF(AND(W21="Pay-on-time off bill",X21="Exclusive"),Y21-(Y21*U21/100),IF(AND(W21="Pay-on-time off usage",X21="Exclusive"),Y21-(P21*V21/100),IF(X21="Inclusive",((Y21*1.1))/1.1,Y21)))))</f>
        <v>1949.1977272727272</v>
      </c>
      <c r="AA21" s="542">
        <f t="shared" si="0"/>
        <v>2144.1175000000003</v>
      </c>
      <c r="AB21" s="609">
        <f t="shared" si="0"/>
        <v>2144.1175000000003</v>
      </c>
      <c r="AC21" s="604"/>
      <c r="AD21" s="604"/>
      <c r="AE21" s="604"/>
      <c r="AF21" s="604"/>
      <c r="AG21" s="604"/>
      <c r="AH21" s="604"/>
      <c r="AI21" s="604"/>
      <c r="AJ21" s="604"/>
      <c r="AK21" s="604"/>
      <c r="AL21" s="604"/>
      <c r="AM21" s="604"/>
      <c r="AN21" s="604"/>
      <c r="AO21" s="604"/>
      <c r="AP21" s="604"/>
      <c r="AQ21" s="604"/>
      <c r="AR21" s="604"/>
      <c r="AS21" s="604"/>
      <c r="AT21" s="604"/>
    </row>
    <row r="22" spans="1:46" ht="14" x14ac:dyDescent="0.15">
      <c r="A22" s="270" t="str">
        <f>'Tariffs Jan2023'!F16</f>
        <v>Alinta Energy</v>
      </c>
      <c r="B22" s="40" t="str">
        <f>'Tariffs Jan2023'!D16</f>
        <v>Multinet Metro 2</v>
      </c>
      <c r="C22" s="40" t="str">
        <f>'Tariffs Jan2023'!G16</f>
        <v>Home Deal</v>
      </c>
      <c r="D22" s="59">
        <f>365*'Tariffs Jan2023'!H16/100</f>
        <v>236.75227272727273</v>
      </c>
      <c r="E22" s="59">
        <f>IF($C$5*'Tariffs Jan2023'!AK16/'Tariffs Jan2023'!AI16&gt;='Tariffs Jan2023'!J16,( 'Tariffs Jan2023'!J16*'Tariffs Jan2023'!O16/100)* 'Tariffs Jan2023'!AI16,($C$5*'Tariffs Jan2023'!AK16/'Tariffs Jan2023'!AI16*'Tariffs Jan2023'!O16/100)* 'Tariffs Jan2023'!AI16)</f>
        <v>211.90909090909088</v>
      </c>
      <c r="F22" s="59">
        <f>IF($C$5*'Tariffs Jan2023'!AK16/'Tariffs Jan2023'!AI16&lt;'Tariffs Jan2023'!J16,0,IF($C$5*'Tariffs Jan2023'!AK16/'Tariffs Jan2023'!AI16&lt;='Tariffs Jan2023'!K16,($C$5*'Tariffs Jan2023'!AK16/'Tariffs Jan2023'!AI16-'Tariffs Jan2023'!J16)*('Tariffs Jan2023'!P16/100)*'Tariffs Jan2023'!AI16,('Tariffs Jan2023'!K16-'Tariffs Jan2023'!J16)*('Tariffs Jan2023'!P16/100)*'Tariffs Jan2023'!AI16))</f>
        <v>187.36363636363635</v>
      </c>
      <c r="G22" s="59">
        <f>IF($C$5*'Tariffs Jan2023'!AK16/'Tariffs Jan2023'!AI16&lt;'Tariffs Jan2023'!K16,0,IF($C$5*'Tariffs Jan2023'!AK16/'Tariffs Jan2023'!AI16&lt;='Tariffs Jan2023'!L16,($C$5*'Tariffs Jan2023'!AK16/'Tariffs Jan2023'!AI16-'Tariffs Jan2023'!K16)*('Tariffs Jan2023'!Q16/100)*'Tariffs Jan2023'!AI16,('Tariffs Jan2023'!L16-'Tariffs Jan2023'!K16)*('Tariffs Jan2023'!Q16/100)*'Tariffs Jan2023'!AI16))</f>
        <v>0</v>
      </c>
      <c r="H22" s="59">
        <f>IF($C$5*'Tariffs Jan2023'!AK16/'Tariffs Jan2023'!AI16&lt;'Tariffs Jan2023'!L16,0,IF($C$5*'Tariffs Jan2023'!AK16/'Tariffs Jan2023'!AI16&lt;='Tariffs Jan2023'!M16,($C$5*'Tariffs Jan2023'!AK16/'Tariffs Jan2023'!AI16-'Tariffs Jan2023'!L16)*('Tariffs Jan2023'!R16/100)*'Tariffs Jan2023'!AI16,('Tariffs Jan2023'!M16-'Tariffs Jan2023'!L16)*('Tariffs Jan2023'!R16/100)*'Tariffs Jan2023'!AI16))</f>
        <v>0</v>
      </c>
      <c r="I22" s="59">
        <f>IF(($C$5*'Tariffs Jan2023'!AK16/'Tariffs Jan2023'!AI16&gt;'Tariffs Jan2023'!M16),($C$5*'Tariffs Jan2023'!AK16/'Tariffs Jan2023'!AI16-'Tariffs Jan2023'!M16)*'Tariffs Jan2023'!S16/100*'Tariffs Jan2023'!AI16,0)</f>
        <v>219.68181818181816</v>
      </c>
      <c r="J22" s="59">
        <f>IF($C$5*'Tariffs Jan2023'!AL16/'Tariffs Jan2023'!AJ16&gt;='Tariffs Jan2023'!J16,('Tariffs Jan2023'!J16*'Tariffs Jan2023'!U16/100)* 'Tariffs Jan2023'!AJ16,($C$5*'Tariffs Jan2023'!AL16/'Tariffs Jan2023'!AJ16*'Tariffs Jan2023'!U16/100)* 'Tariffs Jan2023'!AJ16)</f>
        <v>203.72727272727272</v>
      </c>
      <c r="K22" s="59">
        <f>IF($C$5*'Tariffs Jan2023'!AL16/'Tariffs Jan2023'!AJ16&lt;'Tariffs Jan2023'!J16,0,IF($C$5*'Tariffs Jan2023'!AL16/'Tariffs Jan2023'!AJ16&lt;='Tariffs Jan2023'!K16,($C$5*'Tariffs Jan2023'!AL16/'Tariffs Jan2023'!AJ16-'Tariffs Jan2023'!J16)*('Tariffs Jan2023'!V16/100)*'Tariffs Jan2023'!AJ16,('Tariffs Jan2023'!K16-'Tariffs Jan2023'!J16)*('Tariffs Jan2023'!V16/100)*'Tariffs Jan2023'!AJ16))</f>
        <v>178.36363636363637</v>
      </c>
      <c r="L22" s="59">
        <f>IF($C$5*'Tariffs Jan2023'!AL16/'Tariffs Jan2023'!AJ16&lt;'Tariffs Jan2023'!K16,0,IF($C$5*'Tariffs Jan2023'!AL16/'Tariffs Jan2023'!AJ16&lt;='Tariffs Jan2023'!L16,($C$5*'Tariffs Jan2023'!AL16/'Tariffs Jan2023'!AJ16-'Tariffs Jan2023'!K16)*('Tariffs Jan2023'!W16/100)*'Tariffs Jan2023'!AJ16,('Tariffs Jan2023'!L16-'Tariffs Jan2023'!K16)*('Tariffs Jan2023'!W16/100)*'Tariffs Jan2023'!AJ16))</f>
        <v>0</v>
      </c>
      <c r="M22" s="59">
        <f>IF($C$5*'Tariffs Jan2023'!AL16/'Tariffs Jan2023'!AJ16&lt;'Tariffs Jan2023'!L16,0,IF($C$5*'Tariffs Jan2023'!AL16/'Tariffs Jan2023'!AJ16&lt;='Tariffs Jan2023'!M16,($C$5*'Tariffs Jan2023'!AL16/'Tariffs Jan2023'!AJ16-'Tariffs Jan2023'!L16)*('Tariffs Jan2023'!X16/100)*'Tariffs Jan2023'!AJ16,('Tariffs Jan2023'!M16-'Tariffs Jan2023'!L16)*('Tariffs Jan2023'!X16/100)*'Tariffs Jan2023'!AJ16))</f>
        <v>0</v>
      </c>
      <c r="N22" s="59">
        <f>IF(($C$5*'Tariffs Jan2023'!AL16/'Tariffs Jan2023'!AJ16&gt;'Tariffs Jan2023'!M16),($C$5*'Tariffs Jan2023'!AL16/'Tariffs Jan2023'!AJ16-'Tariffs Jan2023'!M16)*'Tariffs Jan2023'!Y16/100*'Tariffs Jan2023'!AJ16,0)</f>
        <v>219.68181818181816</v>
      </c>
      <c r="O22" s="59">
        <f t="shared" si="1"/>
        <v>1220.7272727272727</v>
      </c>
      <c r="P22" s="503">
        <f t="shared" si="2"/>
        <v>1342.8000000000002</v>
      </c>
      <c r="Q22" s="59">
        <f t="shared" si="3"/>
        <v>1457.4795454545456</v>
      </c>
      <c r="R22" s="272">
        <f t="shared" si="4"/>
        <v>1603.2275000000002</v>
      </c>
      <c r="S22" s="40">
        <f>'Tariffs Jan2023'!AN16</f>
        <v>0</v>
      </c>
      <c r="T22" s="40">
        <f>'Tariffs Jan2023'!AO16</f>
        <v>0</v>
      </c>
      <c r="U22" s="40">
        <f>'Tariffs Jan2023'!AP16</f>
        <v>0</v>
      </c>
      <c r="V22" s="40">
        <f>'Tariffs Jan2023'!AQ16</f>
        <v>0</v>
      </c>
      <c r="W22" s="537" t="str">
        <f t="shared" ref="W22:W33" si="25">IF(SUM(S22:V22)=0,"No discount",IF(S22&gt;0,"Guaranteed off bill",IF(T22&gt;0,"Guaranteed off usage",IF(U22&gt;0,"Pay-on-time off bill","Pay-on-time off usage"))))</f>
        <v>No discount</v>
      </c>
      <c r="X22" s="538" t="str">
        <f t="shared" ref="X22:X33" si="26">IF(OR(A22="Origin Energy",A22="Red Energy",A22="Powershop"),"Inclusive","Exclusive")</f>
        <v>Exclusive</v>
      </c>
      <c r="Y22" s="534">
        <f>IF(AND(W22="Guaranteed off bill",X22="Inclusive"),((Q22*1.1)-((Q22*1.1)*S22/100))/1.1,IF(AND(W22="Guaranteed off usage",X22="Inclusive"),((Q22*1.1)-((P22*1.1)*T22/100))/1.1,IF(AND(W22="Guaranteed off bill",X22="Exclusive"),Q22-(Q22*S22/100),IF(AND(W22="Guaranteed off usage",X22="Exclusive"),Q22-(P22*T22/100),IF(X22="Inclusive",((Q22*1.1))/1.1,Q22)))))</f>
        <v>1457.4795454545456</v>
      </c>
      <c r="Z22" s="535">
        <f>IF(AND(W22="Pay-on-time off bill",X22="Inclusive"),((Y22*1.1)-((Y22*1.1)*U22/100))/1.1,IF(AND(W22="Pay-on-time off usage",X22="Inclusive"),((Y22*1.1)-((P22*1.1)*V22/100))/1.1,IF(AND(W22="Pay-on-time off bill",X22="Exclusive"),Y22-(Y22*U22/100),IF(AND(W22="Pay-on-time off usage",X22="Exclusive"),Y22-(P22*V22/100),IF(X22="Inclusive",((Y22*1.1))/1.1,Y22)))))</f>
        <v>1457.4795454545456</v>
      </c>
      <c r="AA22" s="542">
        <f t="shared" si="0"/>
        <v>1603.2275000000002</v>
      </c>
      <c r="AB22" s="609">
        <f t="shared" si="0"/>
        <v>1603.2275000000002</v>
      </c>
      <c r="AC22" s="604"/>
      <c r="AD22" s="604"/>
      <c r="AE22" s="604"/>
      <c r="AF22" s="604"/>
      <c r="AG22" s="604"/>
      <c r="AH22" s="604"/>
      <c r="AI22" s="604"/>
      <c r="AJ22" s="604"/>
      <c r="AK22" s="604"/>
      <c r="AL22" s="604"/>
      <c r="AM22" s="604"/>
      <c r="AN22" s="604"/>
      <c r="AO22" s="604"/>
      <c r="AP22" s="604"/>
      <c r="AQ22" s="604"/>
      <c r="AR22" s="604"/>
      <c r="AS22" s="604"/>
      <c r="AT22" s="604"/>
    </row>
    <row r="23" spans="1:46" ht="14" x14ac:dyDescent="0.15">
      <c r="A23" s="270" t="str">
        <f>'Tariffs Jan2023'!F17</f>
        <v>Dodo Power &amp; Gas</v>
      </c>
      <c r="B23" s="40" t="str">
        <f>'Tariffs Jan2023'!D17</f>
        <v>Multinet Metro 2</v>
      </c>
      <c r="C23" s="40" t="str">
        <f>'Tariffs Jan2023'!G17</f>
        <v>Market offer</v>
      </c>
      <c r="D23" s="59">
        <f>365*'Tariffs Jan2023'!H17/100</f>
        <v>196.86772727272725</v>
      </c>
      <c r="E23" s="59">
        <f>IF($C$5*'Tariffs Jan2023'!AK17/'Tariffs Jan2023'!AI17&gt;='Tariffs Jan2023'!J17,( 'Tariffs Jan2023'!J17*'Tariffs Jan2023'!O17/100)* 'Tariffs Jan2023'!AI17,($C$5*'Tariffs Jan2023'!AK17/'Tariffs Jan2023'!AI17*'Tariffs Jan2023'!O17/100)* 'Tariffs Jan2023'!AI17)</f>
        <v>243.81818181818181</v>
      </c>
      <c r="F23" s="59">
        <f>IF($C$5*'Tariffs Jan2023'!AK17/'Tariffs Jan2023'!AI17&lt;'Tariffs Jan2023'!J17,0,IF($C$5*'Tariffs Jan2023'!AK17/'Tariffs Jan2023'!AI17&lt;='Tariffs Jan2023'!K17,($C$5*'Tariffs Jan2023'!AK17/'Tariffs Jan2023'!AI17-'Tariffs Jan2023'!J17)*('Tariffs Jan2023'!P17/100)*'Tariffs Jan2023'!AI17,('Tariffs Jan2023'!K17-'Tariffs Jan2023'!J17)*('Tariffs Jan2023'!P17/100)*'Tariffs Jan2023'!AI17))</f>
        <v>209.45454545454544</v>
      </c>
      <c r="G23" s="59">
        <f>IF($C$5*'Tariffs Jan2023'!AK17/'Tariffs Jan2023'!AI17&lt;'Tariffs Jan2023'!K17,0,IF($C$5*'Tariffs Jan2023'!AK17/'Tariffs Jan2023'!AI17&lt;='Tariffs Jan2023'!L17,($C$5*'Tariffs Jan2023'!AK17/'Tariffs Jan2023'!AI17-'Tariffs Jan2023'!K17)*('Tariffs Jan2023'!Q17/100)*'Tariffs Jan2023'!AI17,('Tariffs Jan2023'!L17-'Tariffs Jan2023'!K17)*('Tariffs Jan2023'!Q17/100)*'Tariffs Jan2023'!AI17))</f>
        <v>171.81818181818181</v>
      </c>
      <c r="H23" s="59">
        <f>IF($C$5*'Tariffs Jan2023'!AK17/'Tariffs Jan2023'!AI17&lt;'Tariffs Jan2023'!L17,0,IF($C$5*'Tariffs Jan2023'!AK17/'Tariffs Jan2023'!AI17&lt;='Tariffs Jan2023'!M17,($C$5*'Tariffs Jan2023'!AK17/'Tariffs Jan2023'!AI17-'Tariffs Jan2023'!L17)*('Tariffs Jan2023'!R17/100)*'Tariffs Jan2023'!AI17,('Tariffs Jan2023'!M17-'Tariffs Jan2023'!L17)*('Tariffs Jan2023'!R17/100)*'Tariffs Jan2023'!AI17))</f>
        <v>78.545454545454533</v>
      </c>
      <c r="I23" s="59">
        <f>IF(($C$5*'Tariffs Jan2023'!AK17/'Tariffs Jan2023'!AI17&gt;'Tariffs Jan2023'!M17),($C$5*'Tariffs Jan2023'!AK17/'Tariffs Jan2023'!AI17-'Tariffs Jan2023'!M17)*'Tariffs Jan2023'!S17/100*'Tariffs Jan2023'!AI17,0)</f>
        <v>0</v>
      </c>
      <c r="J23" s="59">
        <f>IF($C$5*'Tariffs Jan2023'!AL17/'Tariffs Jan2023'!AJ17&gt;='Tariffs Jan2023'!J17,('Tariffs Jan2023'!J17*'Tariffs Jan2023'!U17/100)* 'Tariffs Jan2023'!AJ17,($C$5*'Tariffs Jan2023'!AL17/'Tariffs Jan2023'!AJ17*'Tariffs Jan2023'!U17/100)* 'Tariffs Jan2023'!AJ17)</f>
        <v>229.09090909090904</v>
      </c>
      <c r="K23" s="59">
        <f>IF($C$5*'Tariffs Jan2023'!AL17/'Tariffs Jan2023'!AJ17&lt;'Tariffs Jan2023'!J17,0,IF($C$5*'Tariffs Jan2023'!AL17/'Tariffs Jan2023'!AJ17&lt;='Tariffs Jan2023'!K17,($C$5*'Tariffs Jan2023'!AL17/'Tariffs Jan2023'!AJ17-'Tariffs Jan2023'!J17)*('Tariffs Jan2023'!V17/100)*'Tariffs Jan2023'!AJ17,('Tariffs Jan2023'!K17-'Tariffs Jan2023'!J17)*('Tariffs Jan2023'!V17/100)*'Tariffs Jan2023'!AJ17))</f>
        <v>199.6363636363636</v>
      </c>
      <c r="L23" s="59">
        <f>IF($C$5*'Tariffs Jan2023'!AL17/'Tariffs Jan2023'!AJ17&lt;'Tariffs Jan2023'!K17,0,IF($C$5*'Tariffs Jan2023'!AL17/'Tariffs Jan2023'!AJ17&lt;='Tariffs Jan2023'!L17,($C$5*'Tariffs Jan2023'!AL17/'Tariffs Jan2023'!AJ17-'Tariffs Jan2023'!K17)*('Tariffs Jan2023'!W17/100)*'Tariffs Jan2023'!AJ17,('Tariffs Jan2023'!L17-'Tariffs Jan2023'!K17)*('Tariffs Jan2023'!W17/100)*'Tariffs Jan2023'!AJ17))</f>
        <v>167.72727272727269</v>
      </c>
      <c r="M23" s="59">
        <f>IF($C$5*'Tariffs Jan2023'!AL17/'Tariffs Jan2023'!AJ17&lt;'Tariffs Jan2023'!L17,0,IF($C$5*'Tariffs Jan2023'!AL17/'Tariffs Jan2023'!AJ17&lt;='Tariffs Jan2023'!M17,($C$5*'Tariffs Jan2023'!AL17/'Tariffs Jan2023'!AJ17-'Tariffs Jan2023'!L17)*('Tariffs Jan2023'!X17/100)*'Tariffs Jan2023'!AJ17,('Tariffs Jan2023'!M17-'Tariffs Jan2023'!L17)*('Tariffs Jan2023'!X17/100)*'Tariffs Jan2023'!AJ17))</f>
        <v>77.318181818181813</v>
      </c>
      <c r="N23" s="59">
        <f>IF(($C$5*'Tariffs Jan2023'!AL17/'Tariffs Jan2023'!AJ17&gt;'Tariffs Jan2023'!M17),($C$5*'Tariffs Jan2023'!AL17/'Tariffs Jan2023'!AJ17-'Tariffs Jan2023'!M17)*'Tariffs Jan2023'!Y17/100*'Tariffs Jan2023'!AJ17,0)</f>
        <v>0</v>
      </c>
      <c r="O23" s="59">
        <f t="shared" si="1"/>
        <v>1377.4090909090905</v>
      </c>
      <c r="P23" s="503">
        <f t="shared" si="2"/>
        <v>1515.1499999999996</v>
      </c>
      <c r="Q23" s="59">
        <f t="shared" si="3"/>
        <v>1574.2768181818178</v>
      </c>
      <c r="R23" s="272">
        <f t="shared" si="4"/>
        <v>1731.7044999999998</v>
      </c>
      <c r="S23" s="40">
        <f>'Tariffs Jan2023'!AN17</f>
        <v>0</v>
      </c>
      <c r="T23" s="40">
        <f>'Tariffs Jan2023'!AO17</f>
        <v>0</v>
      </c>
      <c r="U23" s="40">
        <f>'Tariffs Jan2023'!AP17</f>
        <v>0</v>
      </c>
      <c r="V23" s="40">
        <f>'Tariffs Jan2023'!AQ17</f>
        <v>0</v>
      </c>
      <c r="W23" s="537" t="str">
        <f t="shared" si="25"/>
        <v>No discount</v>
      </c>
      <c r="X23" s="538" t="str">
        <f t="shared" si="26"/>
        <v>Exclusive</v>
      </c>
      <c r="Y23" s="534">
        <f>IF(AND(W23="Guaranteed off bill",X23="Inclusive"),((Q23*1.1)-((Q23*1.1)*S23/100))/1.1,IF(AND(W23="Guaranteed off usage",X23="Inclusive"),((Q23*1.1)-((P23*1.1)*T23/100))/1.1,IF(AND(W23="Guaranteed off bill",X23="Exclusive"),Q23-(Q23*S23/100),IF(AND(W23="Guaranteed off usage",X23="Exclusive"),Q23-(P23*T23/100),IF(X23="Inclusive",((Q23*1.1))/1.1,Q23)))))</f>
        <v>1574.2768181818178</v>
      </c>
      <c r="Z23" s="535">
        <f>IF(AND(W23="Pay-on-time off bill",X23="Inclusive"),((Y23*1.1)-((Y23*1.1)*U23/100))/1.1,IF(AND(W23="Pay-on-time off usage",X23="Inclusive"),((Y23*1.1)-((P23*1.1)*V23/100))/1.1,IF(AND(W23="Pay-on-time off bill",X23="Exclusive"),Y23-(Y23*U23/100),IF(AND(W23="Pay-on-time off usage",X23="Exclusive"),Y23-(P23*V23/100),IF(X23="Inclusive",((Y23*1.1))/1.1,Y23)))))</f>
        <v>1574.2768181818178</v>
      </c>
      <c r="AA23" s="542">
        <f t="shared" ref="AA23:AB37" si="27">Y23*1.1</f>
        <v>1731.7044999999998</v>
      </c>
      <c r="AB23" s="609">
        <f t="shared" si="27"/>
        <v>1731.7044999999998</v>
      </c>
      <c r="AC23" s="604"/>
      <c r="AD23" s="604"/>
      <c r="AE23" s="604"/>
      <c r="AF23" s="604"/>
      <c r="AG23" s="604"/>
      <c r="AH23" s="604"/>
      <c r="AI23" s="604"/>
      <c r="AJ23" s="604"/>
      <c r="AK23" s="604"/>
      <c r="AL23" s="604"/>
      <c r="AM23" s="604"/>
      <c r="AN23" s="604"/>
      <c r="AO23" s="604"/>
      <c r="AP23" s="604"/>
      <c r="AQ23" s="604"/>
      <c r="AR23" s="604"/>
      <c r="AS23" s="604"/>
      <c r="AT23" s="604"/>
    </row>
    <row r="24" spans="1:46" ht="14" x14ac:dyDescent="0.15">
      <c r="A24" s="270" t="str">
        <f>'Tariffs Jan2023'!F18</f>
        <v>EnergyAustralia</v>
      </c>
      <c r="B24" s="40" t="str">
        <f>'Tariffs Jan2023'!D18</f>
        <v>Multinet Metro 2</v>
      </c>
      <c r="C24" s="40" t="str">
        <f>'Tariffs Jan2023'!G18</f>
        <v>Flexi Plan</v>
      </c>
      <c r="D24" s="59">
        <f>365*'Tariffs Jan2023'!H18/100</f>
        <v>363.47363636363633</v>
      </c>
      <c r="E24" s="59">
        <f>IF($C$5*'Tariffs Jan2023'!AK18/'Tariffs Jan2023'!AI18&gt;='Tariffs Jan2023'!J18,( 'Tariffs Jan2023'!J18*'Tariffs Jan2023'!O18/100)* 'Tariffs Jan2023'!AI18,($C$5*'Tariffs Jan2023'!AK18/'Tariffs Jan2023'!AI18*'Tariffs Jan2023'!O18/100)* 'Tariffs Jan2023'!AI18)</f>
        <v>373.09090909090901</v>
      </c>
      <c r="F24" s="59">
        <f>IF($C$5*'Tariffs Jan2023'!AK18/'Tariffs Jan2023'!AI18&lt;'Tariffs Jan2023'!J18,0,IF($C$5*'Tariffs Jan2023'!AK18/'Tariffs Jan2023'!AI18&lt;='Tariffs Jan2023'!K18,($C$5*'Tariffs Jan2023'!AK18/'Tariffs Jan2023'!AI18-'Tariffs Jan2023'!J18)*('Tariffs Jan2023'!P18/100)*'Tariffs Jan2023'!AI18,('Tariffs Jan2023'!K18-'Tariffs Jan2023'!J18)*('Tariffs Jan2023'!P18/100)*'Tariffs Jan2023'!AI18))</f>
        <v>310.09090909090907</v>
      </c>
      <c r="G24" s="59">
        <f>IF($C$5*'Tariffs Jan2023'!AK18/'Tariffs Jan2023'!AI18&lt;'Tariffs Jan2023'!K18,0,IF($C$5*'Tariffs Jan2023'!AK18/'Tariffs Jan2023'!AI18&lt;='Tariffs Jan2023'!L18,($C$5*'Tariffs Jan2023'!AK18/'Tariffs Jan2023'!AI18-'Tariffs Jan2023'!K18)*('Tariffs Jan2023'!Q18/100)*'Tariffs Jan2023'!AI18,('Tariffs Jan2023'!L18-'Tariffs Jan2023'!K18)*('Tariffs Jan2023'!Q18/100)*'Tariffs Jan2023'!AI18))</f>
        <v>254.45454545454544</v>
      </c>
      <c r="H24" s="59">
        <f>IF($C$5*'Tariffs Jan2023'!AK18/'Tariffs Jan2023'!AI18&lt;'Tariffs Jan2023'!L18,0,IF($C$5*'Tariffs Jan2023'!AK18/'Tariffs Jan2023'!AI18&lt;='Tariffs Jan2023'!M18,($C$5*'Tariffs Jan2023'!AK18/'Tariffs Jan2023'!AI18-'Tariffs Jan2023'!L18)*('Tariffs Jan2023'!R18/100)*'Tariffs Jan2023'!AI18,('Tariffs Jan2023'!M18-'Tariffs Jan2023'!L18)*('Tariffs Jan2023'!R18/100)*'Tariffs Jan2023'!AI18))</f>
        <v>115.77272727272728</v>
      </c>
      <c r="I24" s="59">
        <f>IF(($C$5*'Tariffs Jan2023'!AK18/'Tariffs Jan2023'!AI18&gt;'Tariffs Jan2023'!M18),($C$5*'Tariffs Jan2023'!AK18/'Tariffs Jan2023'!AI18-'Tariffs Jan2023'!M18)*'Tariffs Jan2023'!S18/100*'Tariffs Jan2023'!AI18,0)</f>
        <v>0</v>
      </c>
      <c r="J24" s="59">
        <f>IF($C$5*'Tariffs Jan2023'!AL18/'Tariffs Jan2023'!AJ18&gt;='Tariffs Jan2023'!J18,('Tariffs Jan2023'!J18*'Tariffs Jan2023'!U18/100)* 'Tariffs Jan2023'!AJ18,($C$5*'Tariffs Jan2023'!AL18/'Tariffs Jan2023'!AJ18*'Tariffs Jan2023'!U18/100)* 'Tariffs Jan2023'!AJ18)</f>
        <v>351</v>
      </c>
      <c r="K24" s="59">
        <f>IF($C$5*'Tariffs Jan2023'!AL18/'Tariffs Jan2023'!AJ18&lt;'Tariffs Jan2023'!J18,0,IF($C$5*'Tariffs Jan2023'!AL18/'Tariffs Jan2023'!AJ18&lt;='Tariffs Jan2023'!K18,($C$5*'Tariffs Jan2023'!AL18/'Tariffs Jan2023'!AJ18-'Tariffs Jan2023'!J18)*('Tariffs Jan2023'!V18/100)*'Tariffs Jan2023'!AJ18,('Tariffs Jan2023'!K18-'Tariffs Jan2023'!J18)*('Tariffs Jan2023'!V18/100)*'Tariffs Jan2023'!AJ18))</f>
        <v>295.36363636363637</v>
      </c>
      <c r="L24" s="59">
        <f>IF($C$5*'Tariffs Jan2023'!AL18/'Tariffs Jan2023'!AJ18&lt;'Tariffs Jan2023'!K18,0,IF($C$5*'Tariffs Jan2023'!AL18/'Tariffs Jan2023'!AJ18&lt;='Tariffs Jan2023'!L18,($C$5*'Tariffs Jan2023'!AL18/'Tariffs Jan2023'!AJ18-'Tariffs Jan2023'!K18)*('Tariffs Jan2023'!W18/100)*'Tariffs Jan2023'!AJ18,('Tariffs Jan2023'!L18-'Tariffs Jan2023'!K18)*('Tariffs Jan2023'!W18/100)*'Tariffs Jan2023'!AJ18))</f>
        <v>239.72727272727272</v>
      </c>
      <c r="M24" s="59">
        <f>IF($C$5*'Tariffs Jan2023'!AL18/'Tariffs Jan2023'!AJ18&lt;'Tariffs Jan2023'!L18,0,IF($C$5*'Tariffs Jan2023'!AL18/'Tariffs Jan2023'!AJ18&lt;='Tariffs Jan2023'!M18,($C$5*'Tariffs Jan2023'!AL18/'Tariffs Jan2023'!AJ18-'Tariffs Jan2023'!L18)*('Tariffs Jan2023'!X18/100)*'Tariffs Jan2023'!AJ18,('Tariffs Jan2023'!M18-'Tariffs Jan2023'!L18)*('Tariffs Jan2023'!X18/100)*'Tariffs Jan2023'!AJ18))</f>
        <v>111.27272727272725</v>
      </c>
      <c r="N24" s="59">
        <f>IF(($C$5*'Tariffs Jan2023'!AL18/'Tariffs Jan2023'!AJ18&gt;'Tariffs Jan2023'!M18),($C$5*'Tariffs Jan2023'!AL18/'Tariffs Jan2023'!AJ18-'Tariffs Jan2023'!M18)*'Tariffs Jan2023'!Y18/100*'Tariffs Jan2023'!AJ18,0)</f>
        <v>0</v>
      </c>
      <c r="O24" s="59">
        <f t="shared" si="1"/>
        <v>2050.772727272727</v>
      </c>
      <c r="P24" s="503">
        <f t="shared" si="2"/>
        <v>2255.85</v>
      </c>
      <c r="Q24" s="59">
        <f t="shared" si="3"/>
        <v>2414.2463636363632</v>
      </c>
      <c r="R24" s="272">
        <f t="shared" si="4"/>
        <v>2655.6709999999998</v>
      </c>
      <c r="S24" s="40">
        <f>'Tariffs Jan2023'!AN18</f>
        <v>12</v>
      </c>
      <c r="T24" s="40">
        <f>'Tariffs Jan2023'!AO18</f>
        <v>0</v>
      </c>
      <c r="U24" s="40">
        <f>'Tariffs Jan2023'!AP18</f>
        <v>0</v>
      </c>
      <c r="V24" s="40">
        <f>'Tariffs Jan2023'!AQ18</f>
        <v>0</v>
      </c>
      <c r="W24" s="537" t="str">
        <f t="shared" si="25"/>
        <v>Guaranteed off bill</v>
      </c>
      <c r="X24" s="538" t="str">
        <f t="shared" si="26"/>
        <v>Exclusive</v>
      </c>
      <c r="Y24" s="534">
        <f t="shared" ref="Y24" si="28">IF(AND(W24="Guaranteed off bill",X24="Inclusive"),((Q24*1.1)-((Q24*1.1)*S24/100))/1.1,IF(AND(W24="Guaranteed off usage",X24="Inclusive"),((Q24*1.1)-((P24*1.1)*T24/100))/1.1,IF(AND(W24="Guaranteed off bill",X24="Exclusive"),Q24-(Q24*S24/100),IF(AND(W24="Guaranteed off usage",X24="Exclusive"),Q24-(P24*T24/100),IF(X24="Inclusive",((Q24*1.1))/1.1,Q24)))))</f>
        <v>2124.5367999999994</v>
      </c>
      <c r="Z24" s="535">
        <f t="shared" ref="Z24" si="29">IF(AND(W24="Pay-on-time off bill",X24="Inclusive"),((Y24*1.1)-((Y24*1.1)*U24/100))/1.1,IF(AND(W24="Pay-on-time off usage",X24="Inclusive"),((Y24*1.1)-((P24*1.1)*V24/100))/1.1,IF(AND(W24="Pay-on-time off bill",X24="Exclusive"),Y24-(Y24*U24/100),IF(AND(W24="Pay-on-time off usage",X24="Exclusive"),Y24-(P24*V24/100),IF(X24="Inclusive",((Y24*1.1))/1.1,Y24)))))</f>
        <v>2124.5367999999994</v>
      </c>
      <c r="AA24" s="542">
        <f t="shared" si="27"/>
        <v>2336.9904799999995</v>
      </c>
      <c r="AB24" s="609">
        <f t="shared" si="27"/>
        <v>2336.9904799999995</v>
      </c>
      <c r="AC24" s="604"/>
      <c r="AD24" s="604"/>
      <c r="AE24" s="604"/>
      <c r="AF24" s="604"/>
      <c r="AG24" s="604"/>
      <c r="AH24" s="604"/>
      <c r="AI24" s="604"/>
      <c r="AJ24" s="604"/>
      <c r="AK24" s="604"/>
      <c r="AL24" s="604"/>
      <c r="AM24" s="604"/>
      <c r="AN24" s="604"/>
      <c r="AO24" s="604"/>
      <c r="AP24" s="604"/>
      <c r="AQ24" s="604"/>
      <c r="AR24" s="604"/>
      <c r="AS24" s="604"/>
      <c r="AT24" s="604"/>
    </row>
    <row r="25" spans="1:46" ht="14" x14ac:dyDescent="0.15">
      <c r="A25" s="270" t="str">
        <f>'Tariffs Jan2023'!F19</f>
        <v>Lumo Energy</v>
      </c>
      <c r="B25" s="40" t="str">
        <f>'Tariffs Jan2023'!D19</f>
        <v>Multinet Metro 2</v>
      </c>
      <c r="C25" s="40" t="str">
        <f>'Tariffs Jan2023'!G19</f>
        <v>Value</v>
      </c>
      <c r="D25" s="59">
        <f>365*'Tariffs Jan2023'!H19/100</f>
        <v>281.05</v>
      </c>
      <c r="E25" s="59">
        <f>IF($C$5*'Tariffs Jan2023'!AK19/'Tariffs Jan2023'!AI19&gt;='Tariffs Jan2023'!J19,( 'Tariffs Jan2023'!J19*'Tariffs Jan2023'!O19/100)* 'Tariffs Jan2023'!AI19,($C$5*'Tariffs Jan2023'!AK19/'Tariffs Jan2023'!AI19*'Tariffs Jan2023'!O19/100)* 'Tariffs Jan2023'!AI19)</f>
        <v>278.18181818181813</v>
      </c>
      <c r="F25" s="59">
        <f>IF($C$5*'Tariffs Jan2023'!AK19/'Tariffs Jan2023'!AI19&lt;'Tariffs Jan2023'!J19,0,IF($C$5*'Tariffs Jan2023'!AK19/'Tariffs Jan2023'!AI19&lt;='Tariffs Jan2023'!K19,($C$5*'Tariffs Jan2023'!AK19/'Tariffs Jan2023'!AI19-'Tariffs Jan2023'!J19)*('Tariffs Jan2023'!P19/100)*'Tariffs Jan2023'!AI19,('Tariffs Jan2023'!K19-'Tariffs Jan2023'!J19)*('Tariffs Jan2023'!P19/100)*'Tariffs Jan2023'!AI19))</f>
        <v>248.72727272727269</v>
      </c>
      <c r="G25" s="59">
        <f>IF($C$5*'Tariffs Jan2023'!AK19/'Tariffs Jan2023'!AI19&lt;'Tariffs Jan2023'!K19,0,IF($C$5*'Tariffs Jan2023'!AK19/'Tariffs Jan2023'!AI19&lt;='Tariffs Jan2023'!L19,($C$5*'Tariffs Jan2023'!AK19/'Tariffs Jan2023'!AI19-'Tariffs Jan2023'!K19)*('Tariffs Jan2023'!Q19/100)*'Tariffs Jan2023'!AI19,('Tariffs Jan2023'!L19-'Tariffs Jan2023'!K19)*('Tariffs Jan2023'!Q19/100)*'Tariffs Jan2023'!AI19))</f>
        <v>219.27272727272728</v>
      </c>
      <c r="H25" s="59">
        <f>IF($C$5*'Tariffs Jan2023'!AK19/'Tariffs Jan2023'!AI19&lt;'Tariffs Jan2023'!L19,0,IF($C$5*'Tariffs Jan2023'!AK19/'Tariffs Jan2023'!AI19&lt;='Tariffs Jan2023'!M19,($C$5*'Tariffs Jan2023'!AK19/'Tariffs Jan2023'!AI19-'Tariffs Jan2023'!L19)*('Tariffs Jan2023'!R19/100)*'Tariffs Jan2023'!AI19,('Tariffs Jan2023'!M19-'Tariffs Jan2023'!L19)*('Tariffs Jan2023'!R19/100)*'Tariffs Jan2023'!AI19))</f>
        <v>102.68181818181816</v>
      </c>
      <c r="I25" s="59">
        <f>IF(($C$5*'Tariffs Jan2023'!AK19/'Tariffs Jan2023'!AI19&gt;'Tariffs Jan2023'!M19),($C$5*'Tariffs Jan2023'!AK19/'Tariffs Jan2023'!AI19-'Tariffs Jan2023'!M19)*'Tariffs Jan2023'!S19/100*'Tariffs Jan2023'!AI19,0)</f>
        <v>0</v>
      </c>
      <c r="J25" s="59">
        <f>IF($C$5*'Tariffs Jan2023'!AL19/'Tariffs Jan2023'!AJ19&gt;='Tariffs Jan2023'!J19,('Tariffs Jan2023'!J19*'Tariffs Jan2023'!U19/100)* 'Tariffs Jan2023'!AJ19,($C$5*'Tariffs Jan2023'!AL19/'Tariffs Jan2023'!AJ19*'Tariffs Jan2023'!U19/100)* 'Tariffs Jan2023'!AJ19)</f>
        <v>265.90909090909088</v>
      </c>
      <c r="K25" s="59">
        <f>IF($C$5*'Tariffs Jan2023'!AL19/'Tariffs Jan2023'!AJ19&lt;'Tariffs Jan2023'!J19,0,IF($C$5*'Tariffs Jan2023'!AL19/'Tariffs Jan2023'!AJ19&lt;='Tariffs Jan2023'!K19,($C$5*'Tariffs Jan2023'!AL19/'Tariffs Jan2023'!AJ19-'Tariffs Jan2023'!J19)*('Tariffs Jan2023'!V19/100)*'Tariffs Jan2023'!AJ19,('Tariffs Jan2023'!K19-'Tariffs Jan2023'!J19)*('Tariffs Jan2023'!V19/100)*'Tariffs Jan2023'!AJ19))</f>
        <v>239.72727272727272</v>
      </c>
      <c r="L25" s="59">
        <f>IF($C$5*'Tariffs Jan2023'!AL19/'Tariffs Jan2023'!AJ19&lt;'Tariffs Jan2023'!K19,0,IF($C$5*'Tariffs Jan2023'!AL19/'Tariffs Jan2023'!AJ19&lt;='Tariffs Jan2023'!L19,($C$5*'Tariffs Jan2023'!AL19/'Tariffs Jan2023'!AJ19-'Tariffs Jan2023'!K19)*('Tariffs Jan2023'!W19/100)*'Tariffs Jan2023'!AJ19,('Tariffs Jan2023'!L19-'Tariffs Jan2023'!K19)*('Tariffs Jan2023'!W19/100)*'Tariffs Jan2023'!AJ19))</f>
        <v>215.18181818181816</v>
      </c>
      <c r="M25" s="59">
        <f>IF($C$5*'Tariffs Jan2023'!AL19/'Tariffs Jan2023'!AJ19&lt;'Tariffs Jan2023'!L19,0,IF($C$5*'Tariffs Jan2023'!AL19/'Tariffs Jan2023'!AJ19&lt;='Tariffs Jan2023'!M19,($C$5*'Tariffs Jan2023'!AL19/'Tariffs Jan2023'!AJ19-'Tariffs Jan2023'!L19)*('Tariffs Jan2023'!X19/100)*'Tariffs Jan2023'!AJ19,('Tariffs Jan2023'!M19-'Tariffs Jan2023'!L19)*('Tariffs Jan2023'!X19/100)*'Tariffs Jan2023'!AJ19))</f>
        <v>101.86363636363636</v>
      </c>
      <c r="N25" s="59">
        <f>IF(($C$5*'Tariffs Jan2023'!AL19/'Tariffs Jan2023'!AJ19&gt;'Tariffs Jan2023'!M19),($C$5*'Tariffs Jan2023'!AL19/'Tariffs Jan2023'!AJ19-'Tariffs Jan2023'!M19)*'Tariffs Jan2023'!Y19/100*'Tariffs Jan2023'!AJ19,0)</f>
        <v>0</v>
      </c>
      <c r="O25" s="59">
        <f t="shared" si="1"/>
        <v>1671.5454545454543</v>
      </c>
      <c r="P25" s="503">
        <f t="shared" si="2"/>
        <v>1838.6999999999998</v>
      </c>
      <c r="Q25" s="59">
        <f t="shared" si="3"/>
        <v>1952.5954545454542</v>
      </c>
      <c r="R25" s="272">
        <f t="shared" si="4"/>
        <v>2147.855</v>
      </c>
      <c r="S25" s="40">
        <f>'Tariffs Jan2023'!AN19</f>
        <v>0</v>
      </c>
      <c r="T25" s="40">
        <f>'Tariffs Jan2023'!AO19</f>
        <v>0</v>
      </c>
      <c r="U25" s="40">
        <f>'Tariffs Jan2023'!AP19</f>
        <v>0</v>
      </c>
      <c r="V25" s="40">
        <f>'Tariffs Jan2023'!AQ19</f>
        <v>0</v>
      </c>
      <c r="W25" s="537" t="str">
        <f t="shared" si="25"/>
        <v>No discount</v>
      </c>
      <c r="X25" s="538" t="str">
        <f t="shared" si="26"/>
        <v>Exclusive</v>
      </c>
      <c r="Y25" s="534">
        <f>IF(AND(W25="Guaranteed off bill",X25="Inclusive"),((Q25*1.1)-((Q25*1.1)*S25/100))/1.1,IF(AND(W25="Guaranteed off usage",X25="Inclusive"),((Q25*1.1)-((P25*1.1)*T25/100))/1.1,IF(AND(W25="Guaranteed off bill",X25="Exclusive"),Q25-(Q25*S25/100),IF(AND(W25="Guaranteed off usage",X25="Exclusive"),Q25-(P25*T25/100),IF(X25="Inclusive",((Q25*1.1))/1.1,Q25)))))</f>
        <v>1952.5954545454542</v>
      </c>
      <c r="Z25" s="535">
        <f>IF(AND(W25="Pay-on-time off bill",X25="Inclusive"),((Y25*1.1)-((Y25*1.1)*U25/100))/1.1,IF(AND(W25="Pay-on-time off usage",X25="Inclusive"),((Y25*1.1)-((P25*1.1)*V25/100))/1.1,IF(AND(W25="Pay-on-time off bill",X25="Exclusive"),Y25-(Y25*U25/100),IF(AND(W25="Pay-on-time off usage",X25="Exclusive"),Y25-(P25*V25/100),IF(X25="Inclusive",((Y25*1.1))/1.1,Y25)))))</f>
        <v>1952.5954545454542</v>
      </c>
      <c r="AA25" s="542">
        <f t="shared" si="27"/>
        <v>2147.855</v>
      </c>
      <c r="AB25" s="609">
        <f t="shared" si="27"/>
        <v>2147.855</v>
      </c>
      <c r="AC25" s="604"/>
      <c r="AD25" s="604"/>
      <c r="AE25" s="604"/>
      <c r="AF25" s="604"/>
      <c r="AG25" s="604"/>
      <c r="AH25" s="604"/>
      <c r="AI25" s="604"/>
      <c r="AJ25" s="604"/>
      <c r="AK25" s="604"/>
      <c r="AL25" s="604"/>
      <c r="AM25" s="604"/>
      <c r="AN25" s="604"/>
      <c r="AO25" s="604"/>
      <c r="AP25" s="604"/>
      <c r="AQ25" s="604"/>
      <c r="AR25" s="604"/>
      <c r="AS25" s="604"/>
      <c r="AT25" s="604"/>
    </row>
    <row r="26" spans="1:46" ht="14" x14ac:dyDescent="0.15">
      <c r="A26" s="270" t="str">
        <f>'Tariffs Jan2023'!F20</f>
        <v>Origin Energy</v>
      </c>
      <c r="B26" s="40" t="str">
        <f>'Tariffs Jan2023'!D20</f>
        <v>Multinet Metro 2</v>
      </c>
      <c r="C26" s="40" t="str">
        <f>'Tariffs Jan2023'!G20</f>
        <v>Go Variable</v>
      </c>
      <c r="D26" s="59">
        <f>365*'Tariffs Jan2023'!H20/100</f>
        <v>278.42863636363631</v>
      </c>
      <c r="E26" s="59">
        <f>IF($C$5*'Tariffs Jan2023'!AK20/'Tariffs Jan2023'!AI20&gt;='Tariffs Jan2023'!J20,( 'Tariffs Jan2023'!J20*'Tariffs Jan2023'!O20/100)* 'Tariffs Jan2023'!AI20,($C$5*'Tariffs Jan2023'!AK20/'Tariffs Jan2023'!AI20*'Tariffs Jan2023'!O20/100)* 'Tariffs Jan2023'!AI20)</f>
        <v>490.90909090909088</v>
      </c>
      <c r="F26" s="59">
        <f>IF($C$5*'Tariffs Jan2023'!AK20/'Tariffs Jan2023'!AI20&lt;'Tariffs Jan2023'!J20,0,IF($C$5*'Tariffs Jan2023'!AK20/'Tariffs Jan2023'!AI20&lt;='Tariffs Jan2023'!K20,($C$5*'Tariffs Jan2023'!AK20/'Tariffs Jan2023'!AI20-'Tariffs Jan2023'!J20)*('Tariffs Jan2023'!P20/100)*'Tariffs Jan2023'!AI20,('Tariffs Jan2023'!K20-'Tariffs Jan2023'!J20)*('Tariffs Jan2023'!P20/100)*'Tariffs Jan2023'!AI20))</f>
        <v>0</v>
      </c>
      <c r="G26" s="59">
        <f>IF($C$5*'Tariffs Jan2023'!AK20/'Tariffs Jan2023'!AI20&lt;'Tariffs Jan2023'!K20,0,IF($C$5*'Tariffs Jan2023'!AK20/'Tariffs Jan2023'!AI20&lt;='Tariffs Jan2023'!L20,($C$5*'Tariffs Jan2023'!AK20/'Tariffs Jan2023'!AI20-'Tariffs Jan2023'!K20)*('Tariffs Jan2023'!Q20/100)*'Tariffs Jan2023'!AI20,('Tariffs Jan2023'!L20-'Tariffs Jan2023'!K20)*('Tariffs Jan2023'!Q20/100)*'Tariffs Jan2023'!AI20))</f>
        <v>0</v>
      </c>
      <c r="H26" s="59">
        <f>IF($C$5*'Tariffs Jan2023'!AK20/'Tariffs Jan2023'!AI20&lt;'Tariffs Jan2023'!L20,0,IF($C$5*'Tariffs Jan2023'!AK20/'Tariffs Jan2023'!AI20&lt;='Tariffs Jan2023'!M20,($C$5*'Tariffs Jan2023'!AK20/'Tariffs Jan2023'!AI20-'Tariffs Jan2023'!L20)*('Tariffs Jan2023'!R20/100)*'Tariffs Jan2023'!AI20,('Tariffs Jan2023'!M20-'Tariffs Jan2023'!L20)*('Tariffs Jan2023'!R20/100)*'Tariffs Jan2023'!AI20))</f>
        <v>0</v>
      </c>
      <c r="I26" s="59">
        <f>IF(($C$5*'Tariffs Jan2023'!AK20/'Tariffs Jan2023'!AI20&gt;'Tariffs Jan2023'!M20),($C$5*'Tariffs Jan2023'!AK20/'Tariffs Jan2023'!AI20-'Tariffs Jan2023'!M20)*'Tariffs Jan2023'!S20/100*'Tariffs Jan2023'!AI20,0)</f>
        <v>244.22727272727272</v>
      </c>
      <c r="J26" s="59">
        <f>IF($C$5*'Tariffs Jan2023'!AL20/'Tariffs Jan2023'!AJ20&gt;='Tariffs Jan2023'!J20,('Tariffs Jan2023'!J20*'Tariffs Jan2023'!U20/100)* 'Tariffs Jan2023'!AJ20,($C$5*'Tariffs Jan2023'!AL20/'Tariffs Jan2023'!AJ20*'Tariffs Jan2023'!U20/100)* 'Tariffs Jan2023'!AJ20)</f>
        <v>490.90909090909088</v>
      </c>
      <c r="K26" s="59">
        <f>IF($C$5*'Tariffs Jan2023'!AL20/'Tariffs Jan2023'!AJ20&lt;'Tariffs Jan2023'!J20,0,IF($C$5*'Tariffs Jan2023'!AL20/'Tariffs Jan2023'!AJ20&lt;='Tariffs Jan2023'!K20,($C$5*'Tariffs Jan2023'!AL20/'Tariffs Jan2023'!AJ20-'Tariffs Jan2023'!J20)*('Tariffs Jan2023'!V20/100)*'Tariffs Jan2023'!AJ20,('Tariffs Jan2023'!K20-'Tariffs Jan2023'!J20)*('Tariffs Jan2023'!V20/100)*'Tariffs Jan2023'!AJ20))</f>
        <v>0</v>
      </c>
      <c r="L26" s="59">
        <f>IF($C$5*'Tariffs Jan2023'!AL20/'Tariffs Jan2023'!AJ20&lt;'Tariffs Jan2023'!K20,0,IF($C$5*'Tariffs Jan2023'!AL20/'Tariffs Jan2023'!AJ20&lt;='Tariffs Jan2023'!L20,($C$5*'Tariffs Jan2023'!AL20/'Tariffs Jan2023'!AJ20-'Tariffs Jan2023'!K20)*('Tariffs Jan2023'!W20/100)*'Tariffs Jan2023'!AJ20,('Tariffs Jan2023'!L20-'Tariffs Jan2023'!K20)*('Tariffs Jan2023'!W20/100)*'Tariffs Jan2023'!AJ20))</f>
        <v>0</v>
      </c>
      <c r="M26" s="59">
        <f>IF($C$5*'Tariffs Jan2023'!AL20/'Tariffs Jan2023'!AJ20&lt;'Tariffs Jan2023'!L20,0,IF($C$5*'Tariffs Jan2023'!AL20/'Tariffs Jan2023'!AJ20&lt;='Tariffs Jan2023'!M20,($C$5*'Tariffs Jan2023'!AL20/'Tariffs Jan2023'!AJ20-'Tariffs Jan2023'!L20)*('Tariffs Jan2023'!X20/100)*'Tariffs Jan2023'!AJ20,('Tariffs Jan2023'!M20-'Tariffs Jan2023'!L20)*('Tariffs Jan2023'!X20/100)*'Tariffs Jan2023'!AJ20))</f>
        <v>0</v>
      </c>
      <c r="N26" s="59">
        <f>IF(($C$5*'Tariffs Jan2023'!AL20/'Tariffs Jan2023'!AJ20&gt;'Tariffs Jan2023'!M20),($C$5*'Tariffs Jan2023'!AL20/'Tariffs Jan2023'!AJ20-'Tariffs Jan2023'!M20)*'Tariffs Jan2023'!Y20/100*'Tariffs Jan2023'!AJ20,0)</f>
        <v>244.22727272727272</v>
      </c>
      <c r="O26" s="59">
        <f t="shared" si="1"/>
        <v>1470.2727272727273</v>
      </c>
      <c r="P26" s="503">
        <f t="shared" si="2"/>
        <v>1617.3000000000002</v>
      </c>
      <c r="Q26" s="59">
        <f t="shared" si="3"/>
        <v>1748.7013636363636</v>
      </c>
      <c r="R26" s="272">
        <f t="shared" si="4"/>
        <v>1923.5715</v>
      </c>
      <c r="S26" s="40">
        <f>'Tariffs Jan2023'!AN20</f>
        <v>0</v>
      </c>
      <c r="T26" s="40">
        <f>'Tariffs Jan2023'!AO20</f>
        <v>0</v>
      </c>
      <c r="U26" s="40">
        <f>'Tariffs Jan2023'!AP20</f>
        <v>0</v>
      </c>
      <c r="V26" s="40">
        <f>'Tariffs Jan2023'!AQ20</f>
        <v>0</v>
      </c>
      <c r="W26" s="537" t="str">
        <f t="shared" si="25"/>
        <v>No discount</v>
      </c>
      <c r="X26" s="538" t="str">
        <f t="shared" si="26"/>
        <v>Inclusive</v>
      </c>
      <c r="Y26" s="534">
        <f>IF(AND(W26="Guaranteed off bill",X26="Inclusive"),((Q26*1.1)-((Q26*1.1)*S26/100))/1.1,IF(AND(W26="Guaranteed off usage",X26="Inclusive"),((Q26*1.1)-((P26*1.1)*T26/100))/1.1,IF(AND(W26="Guaranteed off bill",X26="Exclusive"),Q26-(Q26*S26/100),IF(AND(W26="Guaranteed off usage",X26="Exclusive"),Q26-(P26*T26/100),IF(X26="Inclusive",((Q26*1.1))/1.1,Q26)))))</f>
        <v>1748.7013636363636</v>
      </c>
      <c r="Z26" s="535">
        <f>IF(AND(W26="Pay-on-time off bill",X26="Inclusive"),((Y26*1.1)-((Y26*1.1)*U26/100))/1.1,IF(AND(W26="Pay-on-time off usage",X26="Inclusive"),((Y26*1.1)-((P26*1.1)*V26/100))/1.1,IF(AND(W26="Pay-on-time off bill",X26="Exclusive"),Y26-(Y26*U26/100),IF(AND(W26="Pay-on-time off usage",X26="Exclusive"),Y26-(P26*V26/100),IF(X26="Inclusive",((Y26*1.1))/1.1,Y26)))))</f>
        <v>1748.7013636363636</v>
      </c>
      <c r="AA26" s="542">
        <f t="shared" si="27"/>
        <v>1923.5715</v>
      </c>
      <c r="AB26" s="609">
        <f t="shared" si="27"/>
        <v>1923.5715</v>
      </c>
      <c r="AC26" s="604"/>
      <c r="AD26" s="604"/>
      <c r="AE26" s="604"/>
      <c r="AF26" s="604"/>
      <c r="AG26" s="604"/>
      <c r="AH26" s="604"/>
      <c r="AI26" s="604"/>
      <c r="AJ26" s="604"/>
      <c r="AK26" s="604"/>
      <c r="AL26" s="604"/>
      <c r="AM26" s="604"/>
      <c r="AN26" s="604"/>
      <c r="AO26" s="604"/>
      <c r="AP26" s="604"/>
      <c r="AQ26" s="604"/>
      <c r="AR26" s="604"/>
      <c r="AS26" s="604"/>
      <c r="AT26" s="604"/>
    </row>
    <row r="27" spans="1:46" ht="14" x14ac:dyDescent="0.15">
      <c r="A27" s="270" t="str">
        <f>'Tariffs Jan2023'!F21</f>
        <v>Red Energy</v>
      </c>
      <c r="B27" s="40" t="str">
        <f>'Tariffs Jan2023'!D21</f>
        <v>Multinet Metro 2</v>
      </c>
      <c r="C27" s="40" t="str">
        <f>'Tariffs Jan2023'!G21</f>
        <v>Living Energy Saver</v>
      </c>
      <c r="D27" s="59">
        <f>365*'Tariffs Jan2023'!H21/100</f>
        <v>281.05</v>
      </c>
      <c r="E27" s="59">
        <f>IF($C$5*'Tariffs Jan2023'!AK21/'Tariffs Jan2023'!AI21&gt;='Tariffs Jan2023'!J21,( 'Tariffs Jan2023'!J21*'Tariffs Jan2023'!O21/100)* 'Tariffs Jan2023'!AI21,($C$5*'Tariffs Jan2023'!AK21/'Tariffs Jan2023'!AI21*'Tariffs Jan2023'!O21/100)* 'Tariffs Jan2023'!AI21)</f>
        <v>258.54545454545456</v>
      </c>
      <c r="F27" s="59">
        <f>IF($C$5*'Tariffs Jan2023'!AK21/'Tariffs Jan2023'!AI21&lt;'Tariffs Jan2023'!J21,0,IF($C$5*'Tariffs Jan2023'!AK21/'Tariffs Jan2023'!AI21&lt;='Tariffs Jan2023'!K21,($C$5*'Tariffs Jan2023'!AK21/'Tariffs Jan2023'!AI21-'Tariffs Jan2023'!J21)*('Tariffs Jan2023'!P21/100)*'Tariffs Jan2023'!AI21,('Tariffs Jan2023'!K21-'Tariffs Jan2023'!J21)*('Tariffs Jan2023'!P21/100)*'Tariffs Jan2023'!AI21))</f>
        <v>226.63636363636363</v>
      </c>
      <c r="G27" s="59">
        <f>IF($C$5*'Tariffs Jan2023'!AK21/'Tariffs Jan2023'!AI21&lt;'Tariffs Jan2023'!K21,0,IF($C$5*'Tariffs Jan2023'!AK21/'Tariffs Jan2023'!AI21&lt;='Tariffs Jan2023'!L21,($C$5*'Tariffs Jan2023'!AK21/'Tariffs Jan2023'!AI21-'Tariffs Jan2023'!K21)*('Tariffs Jan2023'!Q21/100)*'Tariffs Jan2023'!AI21,('Tariffs Jan2023'!L21-'Tariffs Jan2023'!K21)*('Tariffs Jan2023'!Q21/100)*'Tariffs Jan2023'!AI21))</f>
        <v>198</v>
      </c>
      <c r="H27" s="59">
        <f>IF($C$5*'Tariffs Jan2023'!AK21/'Tariffs Jan2023'!AI21&lt;'Tariffs Jan2023'!L21,0,IF($C$5*'Tariffs Jan2023'!AK21/'Tariffs Jan2023'!AI21&lt;='Tariffs Jan2023'!M21,($C$5*'Tariffs Jan2023'!AK21/'Tariffs Jan2023'!AI21-'Tariffs Jan2023'!L21)*('Tariffs Jan2023'!R21/100)*'Tariffs Jan2023'!AI21,('Tariffs Jan2023'!M21-'Tariffs Jan2023'!L21)*('Tariffs Jan2023'!R21/100)*'Tariffs Jan2023'!AI21))</f>
        <v>90.818181818181813</v>
      </c>
      <c r="I27" s="59">
        <f>IF(($C$5*'Tariffs Jan2023'!AK21/'Tariffs Jan2023'!AI21&gt;'Tariffs Jan2023'!M21),($C$5*'Tariffs Jan2023'!AK21/'Tariffs Jan2023'!AI21-'Tariffs Jan2023'!M21)*'Tariffs Jan2023'!S21/100*'Tariffs Jan2023'!AI21,0)</f>
        <v>0</v>
      </c>
      <c r="J27" s="59">
        <f>IF($C$5*'Tariffs Jan2023'!AL21/'Tariffs Jan2023'!AJ21&gt;='Tariffs Jan2023'!J21,('Tariffs Jan2023'!J21*'Tariffs Jan2023'!U21/100)* 'Tariffs Jan2023'!AJ21,($C$5*'Tariffs Jan2023'!AL21/'Tariffs Jan2023'!AJ21*'Tariffs Jan2023'!U21/100)* 'Tariffs Jan2023'!AJ21)</f>
        <v>243.00000000000006</v>
      </c>
      <c r="K27" s="59">
        <f>IF($C$5*'Tariffs Jan2023'!AL21/'Tariffs Jan2023'!AJ21&lt;'Tariffs Jan2023'!J21,0,IF($C$5*'Tariffs Jan2023'!AL21/'Tariffs Jan2023'!AJ21&lt;='Tariffs Jan2023'!K21,($C$5*'Tariffs Jan2023'!AL21/'Tariffs Jan2023'!AJ21-'Tariffs Jan2023'!J21)*('Tariffs Jan2023'!V21/100)*'Tariffs Jan2023'!AJ21,('Tariffs Jan2023'!K21-'Tariffs Jan2023'!J21)*('Tariffs Jan2023'!V21/100)*'Tariffs Jan2023'!AJ21))</f>
        <v>216</v>
      </c>
      <c r="L27" s="59">
        <f>IF($C$5*'Tariffs Jan2023'!AL21/'Tariffs Jan2023'!AJ21&lt;'Tariffs Jan2023'!K21,0,IF($C$5*'Tariffs Jan2023'!AL21/'Tariffs Jan2023'!AJ21&lt;='Tariffs Jan2023'!L21,($C$5*'Tariffs Jan2023'!AL21/'Tariffs Jan2023'!AJ21-'Tariffs Jan2023'!K21)*('Tariffs Jan2023'!W21/100)*'Tariffs Jan2023'!AJ21,('Tariffs Jan2023'!L21-'Tariffs Jan2023'!K21)*('Tariffs Jan2023'!W21/100)*'Tariffs Jan2023'!AJ21))</f>
        <v>189.00000000000003</v>
      </c>
      <c r="M27" s="59">
        <f>IF($C$5*'Tariffs Jan2023'!AL21/'Tariffs Jan2023'!AJ21&lt;'Tariffs Jan2023'!L21,0,IF($C$5*'Tariffs Jan2023'!AL21/'Tariffs Jan2023'!AJ21&lt;='Tariffs Jan2023'!M21,($C$5*'Tariffs Jan2023'!AL21/'Tariffs Jan2023'!AJ21-'Tariffs Jan2023'!L21)*('Tariffs Jan2023'!X21/100)*'Tariffs Jan2023'!AJ21,('Tariffs Jan2023'!M21-'Tariffs Jan2023'!L21)*('Tariffs Jan2023'!X21/100)*'Tariffs Jan2023'!AJ21))</f>
        <v>90</v>
      </c>
      <c r="N27" s="59">
        <f>IF(($C$5*'Tariffs Jan2023'!AL21/'Tariffs Jan2023'!AJ21&gt;'Tariffs Jan2023'!M21),($C$5*'Tariffs Jan2023'!AL21/'Tariffs Jan2023'!AJ21-'Tariffs Jan2023'!M21)*'Tariffs Jan2023'!Y21/100*'Tariffs Jan2023'!AJ21,0)</f>
        <v>0</v>
      </c>
      <c r="O27" s="59">
        <f t="shared" si="1"/>
        <v>1512</v>
      </c>
      <c r="P27" s="503">
        <f t="shared" si="2"/>
        <v>1663.2</v>
      </c>
      <c r="Q27" s="59">
        <f t="shared" si="3"/>
        <v>1793.05</v>
      </c>
      <c r="R27" s="272">
        <f t="shared" si="4"/>
        <v>1972.355</v>
      </c>
      <c r="S27" s="40">
        <f>'Tariffs Jan2023'!AN21</f>
        <v>0</v>
      </c>
      <c r="T27" s="40">
        <f>'Tariffs Jan2023'!AO21</f>
        <v>0</v>
      </c>
      <c r="U27" s="40">
        <f>'Tariffs Jan2023'!AP21</f>
        <v>0</v>
      </c>
      <c r="V27" s="40">
        <f>'Tariffs Jan2023'!AQ21</f>
        <v>0</v>
      </c>
      <c r="W27" s="537" t="str">
        <f t="shared" si="25"/>
        <v>No discount</v>
      </c>
      <c r="X27" s="538" t="str">
        <f t="shared" si="26"/>
        <v>Inclusive</v>
      </c>
      <c r="Y27" s="534">
        <f t="shared" ref="Y27:Y29" si="30">IF(AND(W27="Guaranteed off bill",X27="Inclusive"),((Q27*1.1)-((Q27*1.1)*S27/100))/1.1,IF(AND(W27="Guaranteed off usage",X27="Inclusive"),((Q27*1.1)-((P27*1.1)*T27/100))/1.1,IF(AND(W27="Guaranteed off bill",X27="Exclusive"),Q27-(Q27*S27/100),IF(AND(W27="Guaranteed off usage",X27="Exclusive"),Q27-(P27*T27/100),IF(X27="Inclusive",((Q27*1.1))/1.1,Q27)))))</f>
        <v>1793.05</v>
      </c>
      <c r="Z27" s="535">
        <f t="shared" ref="Z27:Z29" si="31">IF(AND(W27="Pay-on-time off bill",X27="Inclusive"),((Y27*1.1)-((Y27*1.1)*U27/100))/1.1,IF(AND(W27="Pay-on-time off usage",X27="Inclusive"),((Y27*1.1)-((P27*1.1)*V27/100))/1.1,IF(AND(W27="Pay-on-time off bill",X27="Exclusive"),Y27-(Y27*U27/100),IF(AND(W27="Pay-on-time off usage",X27="Exclusive"),Y27-(P27*V27/100),IF(X27="Inclusive",((Y27*1.1))/1.1,Y27)))))</f>
        <v>1793.05</v>
      </c>
      <c r="AA27" s="542">
        <f t="shared" si="27"/>
        <v>1972.355</v>
      </c>
      <c r="AB27" s="609">
        <f t="shared" si="27"/>
        <v>1972.355</v>
      </c>
      <c r="AC27" s="604"/>
      <c r="AD27" s="604"/>
      <c r="AE27" s="604"/>
      <c r="AF27" s="604"/>
      <c r="AG27" s="604"/>
      <c r="AH27" s="604"/>
      <c r="AI27" s="604"/>
      <c r="AJ27" s="604"/>
      <c r="AK27" s="604"/>
      <c r="AL27" s="604"/>
      <c r="AM27" s="604"/>
      <c r="AN27" s="604"/>
      <c r="AO27" s="604"/>
      <c r="AP27" s="604"/>
      <c r="AQ27" s="604"/>
      <c r="AR27" s="604"/>
      <c r="AS27" s="604"/>
      <c r="AT27" s="604"/>
    </row>
    <row r="28" spans="1:46" ht="14" x14ac:dyDescent="0.15">
      <c r="A28" s="270" t="str">
        <f>'Tariffs Jan2023'!F22</f>
        <v>Simply Energy</v>
      </c>
      <c r="B28" s="40" t="str">
        <f>'Tariffs Jan2023'!D22</f>
        <v>Multinet Metro 2</v>
      </c>
      <c r="C28" s="40" t="str">
        <f>'Tariffs Jan2023'!G22</f>
        <v>Stay Plus</v>
      </c>
      <c r="D28" s="59">
        <f>365*'Tariffs Jan2023'!H22/100</f>
        <v>277.76499999999999</v>
      </c>
      <c r="E28" s="59">
        <f>IF($C$5*'Tariffs Jan2023'!AK22/'Tariffs Jan2023'!AI22&gt;='Tariffs Jan2023'!J22,( 'Tariffs Jan2023'!J22*'Tariffs Jan2023'!O22/100)* 'Tariffs Jan2023'!AI22,($C$5*'Tariffs Jan2023'!AK22/'Tariffs Jan2023'!AI22*'Tariffs Jan2023'!O22/100)* 'Tariffs Jan2023'!AI22)</f>
        <v>205.09090909090904</v>
      </c>
      <c r="F28" s="59">
        <f>IF($C$5*'Tariffs Jan2023'!AK22/'Tariffs Jan2023'!AI22&lt;'Tariffs Jan2023'!J22,0,IF($C$5*'Tariffs Jan2023'!AK22/'Tariffs Jan2023'!AI22&lt;='Tariffs Jan2023'!K22,($C$5*'Tariffs Jan2023'!AK22/'Tariffs Jan2023'!AI22-'Tariffs Jan2023'!J22)*('Tariffs Jan2023'!P22/100)*'Tariffs Jan2023'!AI22,('Tariffs Jan2023'!K22-'Tariffs Jan2023'!J22)*('Tariffs Jan2023'!P22/100)*'Tariffs Jan2023'!AI22))</f>
        <v>183.27272727272725</v>
      </c>
      <c r="G28" s="59">
        <f>IF($C$5*'Tariffs Jan2023'!AK22/'Tariffs Jan2023'!AI22&lt;'Tariffs Jan2023'!K22,0,IF($C$5*'Tariffs Jan2023'!AK22/'Tariffs Jan2023'!AI22&lt;='Tariffs Jan2023'!L22,($C$5*'Tariffs Jan2023'!AK22/'Tariffs Jan2023'!AI22-'Tariffs Jan2023'!K22)*('Tariffs Jan2023'!Q22/100)*'Tariffs Jan2023'!AI22,('Tariffs Jan2023'!L22-'Tariffs Jan2023'!K22)*('Tariffs Jan2023'!Q22/100)*'Tariffs Jan2023'!AI22))</f>
        <v>157.09090909090907</v>
      </c>
      <c r="H28" s="59">
        <f>IF($C$5*'Tariffs Jan2023'!AK22/'Tariffs Jan2023'!AI22&lt;'Tariffs Jan2023'!L22,0,IF($C$5*'Tariffs Jan2023'!AK22/'Tariffs Jan2023'!AI22&lt;='Tariffs Jan2023'!M22,($C$5*'Tariffs Jan2023'!AK22/'Tariffs Jan2023'!AI22-'Tariffs Jan2023'!L22)*('Tariffs Jan2023'!R22/100)*'Tariffs Jan2023'!AI22,('Tariffs Jan2023'!M22-'Tariffs Jan2023'!L22)*('Tariffs Jan2023'!R22/100)*'Tariffs Jan2023'!AI22))</f>
        <v>71.404527272727222</v>
      </c>
      <c r="I28" s="59">
        <f>IF(($C$5*'Tariffs Jan2023'!AK22/'Tariffs Jan2023'!AI22&gt;'Tariffs Jan2023'!M22),($C$5*'Tariffs Jan2023'!AK22/'Tariffs Jan2023'!AI22-'Tariffs Jan2023'!M22)*'Tariffs Jan2023'!S22/100*'Tariffs Jan2023'!AI22,0)</f>
        <v>0</v>
      </c>
      <c r="J28" s="59">
        <f>IF($C$5*'Tariffs Jan2023'!AL22/'Tariffs Jan2023'!AJ22&gt;='Tariffs Jan2023'!J22,('Tariffs Jan2023'!J22*'Tariffs Jan2023'!U22/100)* 'Tariffs Jan2023'!AJ22,($C$5*'Tariffs Jan2023'!AL22/'Tariffs Jan2023'!AJ22*'Tariffs Jan2023'!U22/100)* 'Tariffs Jan2023'!AJ22)</f>
        <v>390.54545454545456</v>
      </c>
      <c r="K28" s="59">
        <f>IF($C$5*'Tariffs Jan2023'!AL22/'Tariffs Jan2023'!AJ22&lt;'Tariffs Jan2023'!J22,0,IF($C$5*'Tariffs Jan2023'!AL22/'Tariffs Jan2023'!AJ22&lt;='Tariffs Jan2023'!K22,($C$5*'Tariffs Jan2023'!AL22/'Tariffs Jan2023'!AJ22-'Tariffs Jan2023'!J22)*('Tariffs Jan2023'!V22/100)*'Tariffs Jan2023'!AJ22,('Tariffs Jan2023'!K22-'Tariffs Jan2023'!J22)*('Tariffs Jan2023'!V22/100)*'Tariffs Jan2023'!AJ22))</f>
        <v>351.27272727272725</v>
      </c>
      <c r="L28" s="59">
        <f>IF($C$5*'Tariffs Jan2023'!AL22/'Tariffs Jan2023'!AJ22&lt;'Tariffs Jan2023'!K22,0,IF($C$5*'Tariffs Jan2023'!AL22/'Tariffs Jan2023'!AJ22&lt;='Tariffs Jan2023'!L22,($C$5*'Tariffs Jan2023'!AL22/'Tariffs Jan2023'!AJ22-'Tariffs Jan2023'!K22)*('Tariffs Jan2023'!W22/100)*'Tariffs Jan2023'!AJ22,('Tariffs Jan2023'!L22-'Tariffs Jan2023'!K22)*('Tariffs Jan2023'!W22/100)*'Tariffs Jan2023'!AJ22))</f>
        <v>307.63636363636363</v>
      </c>
      <c r="M28" s="59">
        <f>IF($C$5*'Tariffs Jan2023'!AL22/'Tariffs Jan2023'!AJ22&lt;'Tariffs Jan2023'!L22,0,IF($C$5*'Tariffs Jan2023'!AL22/'Tariffs Jan2023'!AJ22&lt;='Tariffs Jan2023'!M22,($C$5*'Tariffs Jan2023'!AL22/'Tariffs Jan2023'!AJ22-'Tariffs Jan2023'!L22)*('Tariffs Jan2023'!X22/100)*'Tariffs Jan2023'!AJ22,('Tariffs Jan2023'!M22-'Tariffs Jan2023'!L22)*('Tariffs Jan2023'!X22/100)*'Tariffs Jan2023'!AJ22))</f>
        <v>140.08369090909079</v>
      </c>
      <c r="N28" s="59">
        <f>IF(($C$5*'Tariffs Jan2023'!AL22/'Tariffs Jan2023'!AJ22&gt;'Tariffs Jan2023'!M22),($C$5*'Tariffs Jan2023'!AL22/'Tariffs Jan2023'!AJ22-'Tariffs Jan2023'!M22)*'Tariffs Jan2023'!Y22/100*'Tariffs Jan2023'!AJ22,0)</f>
        <v>0</v>
      </c>
      <c r="O28" s="59">
        <f t="shared" si="1"/>
        <v>1806.3973090909089</v>
      </c>
      <c r="P28" s="503">
        <f t="shared" si="2"/>
        <v>1987.0370399999999</v>
      </c>
      <c r="Q28" s="59">
        <f t="shared" si="3"/>
        <v>2084.1623090909088</v>
      </c>
      <c r="R28" s="272">
        <f t="shared" si="4"/>
        <v>2292.57854</v>
      </c>
      <c r="S28" s="40">
        <f>'Tariffs Jan2023'!AN22</f>
        <v>6</v>
      </c>
      <c r="T28" s="40">
        <f>'Tariffs Jan2023'!AO22</f>
        <v>0</v>
      </c>
      <c r="U28" s="40">
        <f>'Tariffs Jan2023'!AP22</f>
        <v>0</v>
      </c>
      <c r="V28" s="40">
        <f>'Tariffs Jan2023'!AQ22</f>
        <v>0</v>
      </c>
      <c r="W28" s="537" t="str">
        <f t="shared" si="25"/>
        <v>Guaranteed off bill</v>
      </c>
      <c r="X28" s="538" t="str">
        <f t="shared" si="26"/>
        <v>Exclusive</v>
      </c>
      <c r="Y28" s="534">
        <f t="shared" si="30"/>
        <v>1959.1125705454542</v>
      </c>
      <c r="Z28" s="535">
        <f t="shared" si="31"/>
        <v>1959.1125705454542</v>
      </c>
      <c r="AA28" s="542">
        <f t="shared" si="27"/>
        <v>2155.0238276</v>
      </c>
      <c r="AB28" s="609">
        <f t="shared" si="27"/>
        <v>2155.0238276</v>
      </c>
      <c r="AC28" s="604"/>
      <c r="AD28" s="604"/>
      <c r="AE28" s="604"/>
      <c r="AF28" s="604"/>
      <c r="AG28" s="604"/>
      <c r="AH28" s="604"/>
      <c r="AI28" s="604"/>
      <c r="AJ28" s="604"/>
      <c r="AK28" s="604"/>
      <c r="AL28" s="604"/>
      <c r="AM28" s="604"/>
      <c r="AN28" s="604"/>
      <c r="AO28" s="604"/>
      <c r="AP28" s="604"/>
      <c r="AQ28" s="604"/>
      <c r="AR28" s="604"/>
      <c r="AS28" s="604"/>
      <c r="AT28" s="604"/>
    </row>
    <row r="29" spans="1:46" ht="14" x14ac:dyDescent="0.15">
      <c r="A29" s="270" t="str">
        <f>'Tariffs Jan2023'!F23</f>
        <v>GloBird Energy</v>
      </c>
      <c r="B29" s="40" t="str">
        <f>'Tariffs Jan2023'!D23</f>
        <v>Multinet Metro 2</v>
      </c>
      <c r="C29" s="40" t="str">
        <f>'Tariffs Jan2023'!G23</f>
        <v>GloSave</v>
      </c>
      <c r="D29" s="59">
        <f>365*'Tariffs Jan2023'!H23/100</f>
        <v>215.35</v>
      </c>
      <c r="E29" s="59">
        <f>IF($C$5*'Tariffs Jan2023'!AK23/'Tariffs Jan2023'!AI23&gt;='Tariffs Jan2023'!J23,( 'Tariffs Jan2023'!J23*'Tariffs Jan2023'!O23/100)* 'Tariffs Jan2023'!AI23,($C$5*'Tariffs Jan2023'!AK23/'Tariffs Jan2023'!AI23*'Tariffs Jan2023'!O23/100)* 'Tariffs Jan2023'!AI23)</f>
        <v>337.09090909090907</v>
      </c>
      <c r="F29" s="59">
        <f>IF($C$5*'Tariffs Jan2023'!AK23/'Tariffs Jan2023'!AI23&lt;'Tariffs Jan2023'!J23,0,IF($C$5*'Tariffs Jan2023'!AK23/'Tariffs Jan2023'!AI23&lt;='Tariffs Jan2023'!K23,($C$5*'Tariffs Jan2023'!AK23/'Tariffs Jan2023'!AI23-'Tariffs Jan2023'!J23)*('Tariffs Jan2023'!P23/100)*'Tariffs Jan2023'!AI23,('Tariffs Jan2023'!K23-'Tariffs Jan2023'!J23)*('Tariffs Jan2023'!P23/100)*'Tariffs Jan2023'!AI23))</f>
        <v>0</v>
      </c>
      <c r="G29" s="59">
        <f>IF($C$5*'Tariffs Jan2023'!AK23/'Tariffs Jan2023'!AI23&lt;'Tariffs Jan2023'!K23,0,IF($C$5*'Tariffs Jan2023'!AK23/'Tariffs Jan2023'!AI23&lt;='Tariffs Jan2023'!L23,($C$5*'Tariffs Jan2023'!AK23/'Tariffs Jan2023'!AI23-'Tariffs Jan2023'!K23)*('Tariffs Jan2023'!Q23/100)*'Tariffs Jan2023'!AI23,('Tariffs Jan2023'!L23-'Tariffs Jan2023'!K23)*('Tariffs Jan2023'!Q23/100)*'Tariffs Jan2023'!AI23))</f>
        <v>0</v>
      </c>
      <c r="H29" s="59">
        <f>IF($C$5*'Tariffs Jan2023'!AK23/'Tariffs Jan2023'!AI23&lt;'Tariffs Jan2023'!L23,0,IF($C$5*'Tariffs Jan2023'!AK23/'Tariffs Jan2023'!AI23&lt;='Tariffs Jan2023'!M23,($C$5*'Tariffs Jan2023'!AK23/'Tariffs Jan2023'!AI23-'Tariffs Jan2023'!L23)*('Tariffs Jan2023'!R23/100)*'Tariffs Jan2023'!AI23,('Tariffs Jan2023'!M23-'Tariffs Jan2023'!L23)*('Tariffs Jan2023'!R23/100)*'Tariffs Jan2023'!AI23))</f>
        <v>0</v>
      </c>
      <c r="I29" s="59">
        <f>IF(($C$5*'Tariffs Jan2023'!AK23/'Tariffs Jan2023'!AI23&gt;'Tariffs Jan2023'!M23),($C$5*'Tariffs Jan2023'!AK23/'Tariffs Jan2023'!AI23-'Tariffs Jan2023'!M23)*'Tariffs Jan2023'!S23/100*'Tariffs Jan2023'!AI23,0)</f>
        <v>216.76759090909084</v>
      </c>
      <c r="J29" s="59">
        <f>IF($C$5*'Tariffs Jan2023'!AL23/'Tariffs Jan2023'!AJ23&gt;='Tariffs Jan2023'!J23,('Tariffs Jan2023'!J23*'Tariffs Jan2023'!U23/100)* 'Tariffs Jan2023'!AJ23,($C$5*'Tariffs Jan2023'!AL23/'Tariffs Jan2023'!AJ23*'Tariffs Jan2023'!U23/100)* 'Tariffs Jan2023'!AJ23)</f>
        <v>674.18181818181813</v>
      </c>
      <c r="K29" s="59">
        <f>IF($C$5*'Tariffs Jan2023'!AL23/'Tariffs Jan2023'!AJ23&lt;'Tariffs Jan2023'!J23,0,IF($C$5*'Tariffs Jan2023'!AL23/'Tariffs Jan2023'!AJ23&lt;='Tariffs Jan2023'!K23,($C$5*'Tariffs Jan2023'!AL23/'Tariffs Jan2023'!AJ23-'Tariffs Jan2023'!J23)*('Tariffs Jan2023'!V23/100)*'Tariffs Jan2023'!AJ23,('Tariffs Jan2023'!K23-'Tariffs Jan2023'!J23)*('Tariffs Jan2023'!V23/100)*'Tariffs Jan2023'!AJ23))</f>
        <v>0</v>
      </c>
      <c r="L29" s="59">
        <f>IF($C$5*'Tariffs Jan2023'!AL23/'Tariffs Jan2023'!AJ23&lt;'Tariffs Jan2023'!K23,0,IF($C$5*'Tariffs Jan2023'!AL23/'Tariffs Jan2023'!AJ23&lt;='Tariffs Jan2023'!L23,($C$5*'Tariffs Jan2023'!AL23/'Tariffs Jan2023'!AJ23-'Tariffs Jan2023'!K23)*('Tariffs Jan2023'!W23/100)*'Tariffs Jan2023'!AJ23,('Tariffs Jan2023'!L23-'Tariffs Jan2023'!K23)*('Tariffs Jan2023'!W23/100)*'Tariffs Jan2023'!AJ23))</f>
        <v>0</v>
      </c>
      <c r="M29" s="59">
        <f>IF($C$5*'Tariffs Jan2023'!AL23/'Tariffs Jan2023'!AJ23&lt;'Tariffs Jan2023'!L23,0,IF($C$5*'Tariffs Jan2023'!AL23/'Tariffs Jan2023'!AJ23&lt;='Tariffs Jan2023'!M23,($C$5*'Tariffs Jan2023'!AL23/'Tariffs Jan2023'!AJ23-'Tariffs Jan2023'!L23)*('Tariffs Jan2023'!X23/100)*'Tariffs Jan2023'!AJ23,('Tariffs Jan2023'!M23-'Tariffs Jan2023'!L23)*('Tariffs Jan2023'!X23/100)*'Tariffs Jan2023'!AJ23))</f>
        <v>0</v>
      </c>
      <c r="N29" s="59">
        <f>IF(($C$5*'Tariffs Jan2023'!AL23/'Tariffs Jan2023'!AJ23&gt;'Tariffs Jan2023'!M23),($C$5*'Tariffs Jan2023'!AL23/'Tariffs Jan2023'!AJ23-'Tariffs Jan2023'!M23)*'Tariffs Jan2023'!Y23/100*'Tariffs Jan2023'!AJ23,0)</f>
        <v>433.53518181818168</v>
      </c>
      <c r="O29" s="59">
        <f>SUM(E29:N29)</f>
        <v>1661.5754999999997</v>
      </c>
      <c r="P29" s="503">
        <f t="shared" si="2"/>
        <v>1827.7330499999998</v>
      </c>
      <c r="Q29" s="59">
        <f>D29+O29</f>
        <v>1876.9254999999996</v>
      </c>
      <c r="R29" s="272">
        <f>Q29*1.1</f>
        <v>2064.6180499999996</v>
      </c>
      <c r="S29" s="40">
        <f>'Tariffs Jan2023'!AN23</f>
        <v>0</v>
      </c>
      <c r="T29" s="40">
        <f>'Tariffs Jan2023'!AO23</f>
        <v>0</v>
      </c>
      <c r="U29" s="40">
        <f>'Tariffs Jan2023'!AP23</f>
        <v>2</v>
      </c>
      <c r="V29" s="40">
        <f>'Tariffs Jan2023'!AQ23</f>
        <v>0</v>
      </c>
      <c r="W29" s="537" t="str">
        <f t="shared" si="25"/>
        <v>Pay-on-time off bill</v>
      </c>
      <c r="X29" s="538" t="str">
        <f t="shared" si="26"/>
        <v>Exclusive</v>
      </c>
      <c r="Y29" s="534">
        <f t="shared" si="30"/>
        <v>1876.9254999999996</v>
      </c>
      <c r="Z29" s="535">
        <f t="shared" si="31"/>
        <v>1839.3869899999995</v>
      </c>
      <c r="AA29" s="542">
        <f t="shared" si="27"/>
        <v>2064.6180499999996</v>
      </c>
      <c r="AB29" s="609">
        <f t="shared" si="27"/>
        <v>2023.3256889999996</v>
      </c>
      <c r="AC29" s="604"/>
      <c r="AD29" s="604"/>
      <c r="AE29" s="604"/>
      <c r="AF29" s="604"/>
      <c r="AG29" s="604"/>
      <c r="AH29" s="604"/>
      <c r="AI29" s="604"/>
      <c r="AJ29" s="604"/>
      <c r="AK29" s="604"/>
      <c r="AL29" s="604"/>
      <c r="AM29" s="604"/>
      <c r="AN29" s="604"/>
      <c r="AO29" s="604"/>
      <c r="AP29" s="604"/>
      <c r="AQ29" s="604"/>
      <c r="AR29" s="604"/>
      <c r="AS29" s="604"/>
      <c r="AT29" s="604"/>
    </row>
    <row r="30" spans="1:46" ht="14" x14ac:dyDescent="0.15">
      <c r="A30" s="270" t="str">
        <f>'Tariffs Jan2023'!F24</f>
        <v>1st Energy</v>
      </c>
      <c r="B30" s="40" t="str">
        <f>'Tariffs Jan2023'!D24</f>
        <v>Multinet Metro 2</v>
      </c>
      <c r="C30" s="40" t="str">
        <f>'Tariffs Jan2023'!G24</f>
        <v>1st Saver Plus</v>
      </c>
      <c r="D30" s="59">
        <f>365*'Tariffs Jan2023'!H24/100</f>
        <v>273.75</v>
      </c>
      <c r="E30" s="59">
        <f>IF($C$5*'Tariffs Jan2023'!AK24/'Tariffs Jan2023'!AI24&gt;='Tariffs Jan2023'!J24,( 'Tariffs Jan2023'!J24*'Tariffs Jan2023'!O24/100)* 'Tariffs Jan2023'!AI24,($C$5*'Tariffs Jan2023'!AK24/'Tariffs Jan2023'!AI24*'Tariffs Jan2023'!O24/100)* 'Tariffs Jan2023'!AI24)</f>
        <v>360</v>
      </c>
      <c r="F30" s="59">
        <f>IF($C$5*'Tariffs Jan2023'!AK24/'Tariffs Jan2023'!AI24&lt;'Tariffs Jan2023'!J24,0,IF($C$5*'Tariffs Jan2023'!AK24/'Tariffs Jan2023'!AI24&lt;='Tariffs Jan2023'!K24,($C$5*'Tariffs Jan2023'!AK24/'Tariffs Jan2023'!AI24-'Tariffs Jan2023'!J24)*('Tariffs Jan2023'!P24/100)*'Tariffs Jan2023'!AI24,('Tariffs Jan2023'!K24-'Tariffs Jan2023'!J24)*('Tariffs Jan2023'!P24/100)*'Tariffs Jan2023'!AI24))</f>
        <v>472.50000000000011</v>
      </c>
      <c r="G30" s="59">
        <f>IF($C$5*'Tariffs Jan2023'!AK24/'Tariffs Jan2023'!AI24&lt;'Tariffs Jan2023'!K24,0,IF($C$5*'Tariffs Jan2023'!AK24/'Tariffs Jan2023'!AI24&lt;='Tariffs Jan2023'!L24,($C$5*'Tariffs Jan2023'!AK24/'Tariffs Jan2023'!AI24-'Tariffs Jan2023'!K24)*('Tariffs Jan2023'!Q24/100)*'Tariffs Jan2023'!AI24,('Tariffs Jan2023'!L24-'Tariffs Jan2023'!K24)*('Tariffs Jan2023'!Q24/100)*'Tariffs Jan2023'!AI24))</f>
        <v>0</v>
      </c>
      <c r="H30" s="59">
        <f>IF($C$5*'Tariffs Jan2023'!AK24/'Tariffs Jan2023'!AI24&lt;'Tariffs Jan2023'!L24,0,IF($C$5*'Tariffs Jan2023'!AK24/'Tariffs Jan2023'!AI24&lt;='Tariffs Jan2023'!M24,($C$5*'Tariffs Jan2023'!AK24/'Tariffs Jan2023'!AI24-'Tariffs Jan2023'!L24)*('Tariffs Jan2023'!R24/100)*'Tariffs Jan2023'!AI24,('Tariffs Jan2023'!M24-'Tariffs Jan2023'!L24)*('Tariffs Jan2023'!R24/100)*'Tariffs Jan2023'!AI24))</f>
        <v>0</v>
      </c>
      <c r="I30" s="59">
        <f>IF(($C$5*'Tariffs Jan2023'!AK24/'Tariffs Jan2023'!AI24&gt;'Tariffs Jan2023'!M24),($C$5*'Tariffs Jan2023'!AK24/'Tariffs Jan2023'!AI24-'Tariffs Jan2023'!M24)*'Tariffs Jan2023'!S24/100*'Tariffs Jan2023'!AI24,0)</f>
        <v>261</v>
      </c>
      <c r="J30" s="59">
        <f>IF($C$5*'Tariffs Jan2023'!AL24/'Tariffs Jan2023'!AJ24&gt;='Tariffs Jan2023'!J24,('Tariffs Jan2023'!J24*'Tariffs Jan2023'!U24/100)* 'Tariffs Jan2023'!AJ24,($C$5*'Tariffs Jan2023'!AL24/'Tariffs Jan2023'!AJ24*'Tariffs Jan2023'!U24/100)* 'Tariffs Jan2023'!AJ24)</f>
        <v>360</v>
      </c>
      <c r="K30" s="59">
        <f>IF($C$5*'Tariffs Jan2023'!AL24/'Tariffs Jan2023'!AJ24&lt;'Tariffs Jan2023'!J24,0,IF($C$5*'Tariffs Jan2023'!AL24/'Tariffs Jan2023'!AJ24&lt;='Tariffs Jan2023'!K24,($C$5*'Tariffs Jan2023'!AL24/'Tariffs Jan2023'!AJ24-'Tariffs Jan2023'!J24)*('Tariffs Jan2023'!V24/100)*'Tariffs Jan2023'!AJ24,('Tariffs Jan2023'!K24-'Tariffs Jan2023'!J24)*('Tariffs Jan2023'!V24/100)*'Tariffs Jan2023'!AJ24))</f>
        <v>472.50000000000011</v>
      </c>
      <c r="L30" s="59">
        <f>IF($C$5*'Tariffs Jan2023'!AL24/'Tariffs Jan2023'!AJ24&lt;'Tariffs Jan2023'!K24,0,IF($C$5*'Tariffs Jan2023'!AL24/'Tariffs Jan2023'!AJ24&lt;='Tariffs Jan2023'!L24,($C$5*'Tariffs Jan2023'!AL24/'Tariffs Jan2023'!AJ24-'Tariffs Jan2023'!K24)*('Tariffs Jan2023'!W24/100)*'Tariffs Jan2023'!AJ24,('Tariffs Jan2023'!L24-'Tariffs Jan2023'!K24)*('Tariffs Jan2023'!W24/100)*'Tariffs Jan2023'!AJ24))</f>
        <v>0</v>
      </c>
      <c r="M30" s="59">
        <f>IF($C$5*'Tariffs Jan2023'!AL24/'Tariffs Jan2023'!AJ24&lt;'Tariffs Jan2023'!L24,0,IF($C$5*'Tariffs Jan2023'!AL24/'Tariffs Jan2023'!AJ24&lt;='Tariffs Jan2023'!M24,($C$5*'Tariffs Jan2023'!AL24/'Tariffs Jan2023'!AJ24-'Tariffs Jan2023'!L24)*('Tariffs Jan2023'!X24/100)*'Tariffs Jan2023'!AJ24,('Tariffs Jan2023'!M24-'Tariffs Jan2023'!L24)*('Tariffs Jan2023'!X24/100)*'Tariffs Jan2023'!AJ24))</f>
        <v>0</v>
      </c>
      <c r="N30" s="59">
        <f>IF(($C$5*'Tariffs Jan2023'!AL24/'Tariffs Jan2023'!AJ24&gt;'Tariffs Jan2023'!M24),($C$5*'Tariffs Jan2023'!AL24/'Tariffs Jan2023'!AJ24-'Tariffs Jan2023'!M24)*'Tariffs Jan2023'!Y24/100*'Tariffs Jan2023'!AJ24,0)</f>
        <v>261</v>
      </c>
      <c r="O30" s="59">
        <f t="shared" si="1"/>
        <v>2187</v>
      </c>
      <c r="P30" s="503">
        <f t="shared" si="2"/>
        <v>2405.7000000000003</v>
      </c>
      <c r="Q30" s="59">
        <f t="shared" si="3"/>
        <v>2460.75</v>
      </c>
      <c r="R30" s="272">
        <f t="shared" si="4"/>
        <v>2706.8250000000003</v>
      </c>
      <c r="S30" s="40">
        <f>'Tariffs Jan2023'!AN24</f>
        <v>0</v>
      </c>
      <c r="T30" s="40">
        <f>'Tariffs Jan2023'!AO24</f>
        <v>7</v>
      </c>
      <c r="U30" s="40">
        <f>'Tariffs Jan2023'!AP24</f>
        <v>0</v>
      </c>
      <c r="V30" s="40">
        <f>'Tariffs Jan2023'!AQ24</f>
        <v>3</v>
      </c>
      <c r="W30" s="537" t="str">
        <f t="shared" si="25"/>
        <v>Guaranteed off usage</v>
      </c>
      <c r="X30" s="538" t="str">
        <f t="shared" si="26"/>
        <v>Exclusive</v>
      </c>
      <c r="Y30" s="534">
        <f>Q30-(P30*T30)/100</f>
        <v>2292.3510000000001</v>
      </c>
      <c r="Z30" s="535">
        <f>Y30-(P30*V30)/100</f>
        <v>2220.1800000000003</v>
      </c>
      <c r="AA30" s="542">
        <f t="shared" si="27"/>
        <v>2521.5861000000004</v>
      </c>
      <c r="AB30" s="609">
        <f t="shared" si="27"/>
        <v>2442.1980000000003</v>
      </c>
      <c r="AC30" s="604"/>
      <c r="AD30" s="604"/>
      <c r="AE30" s="604"/>
      <c r="AF30" s="604"/>
      <c r="AG30" s="604"/>
      <c r="AH30" s="604"/>
      <c r="AI30" s="604"/>
      <c r="AJ30" s="604"/>
      <c r="AK30" s="604"/>
      <c r="AL30" s="604"/>
      <c r="AM30" s="604"/>
      <c r="AN30" s="604"/>
      <c r="AO30" s="604"/>
      <c r="AP30" s="604"/>
      <c r="AQ30" s="604"/>
      <c r="AR30" s="604"/>
      <c r="AS30" s="604"/>
      <c r="AT30" s="604"/>
    </row>
    <row r="31" spans="1:46" ht="14" x14ac:dyDescent="0.15">
      <c r="A31" s="270" t="str">
        <f>'Tariffs Jan2023'!F25</f>
        <v>Tango Energy</v>
      </c>
      <c r="B31" s="40" t="str">
        <f>'Tariffs Jan2023'!D25</f>
        <v>Multinet Metro 2</v>
      </c>
      <c r="C31" s="40" t="str">
        <f>'Tariffs Jan2023'!G25</f>
        <v>Home Select</v>
      </c>
      <c r="D31" s="59">
        <f>365*'Tariffs Jan2023'!H25/100</f>
        <v>375.94999999999993</v>
      </c>
      <c r="E31" s="59">
        <f>IF($C$5*'Tariffs Jan2023'!AK25/'Tariffs Jan2023'!AI25&gt;='Tariffs Jan2023'!J25,( 'Tariffs Jan2023'!J25*'Tariffs Jan2023'!O25/100)* 'Tariffs Jan2023'!AI25,($C$5*'Tariffs Jan2023'!AK25/'Tariffs Jan2023'!AI25*'Tariffs Jan2023'!O25/100)* 'Tariffs Jan2023'!AI25)</f>
        <v>200.45454545454544</v>
      </c>
      <c r="F31" s="59">
        <f>IF($C$5*'Tariffs Jan2023'!AK25/'Tariffs Jan2023'!AI25&lt;'Tariffs Jan2023'!J25,0,IF($C$5*'Tariffs Jan2023'!AK25/'Tariffs Jan2023'!AI25&lt;='Tariffs Jan2023'!K25,($C$5*'Tariffs Jan2023'!AK25/'Tariffs Jan2023'!AI25-'Tariffs Jan2023'!J25)*('Tariffs Jan2023'!P25/100)*'Tariffs Jan2023'!AI25,('Tariffs Jan2023'!K25-'Tariffs Jan2023'!J25)*('Tariffs Jan2023'!P25/100)*'Tariffs Jan2023'!AI25))</f>
        <v>183.27272727272728</v>
      </c>
      <c r="G31" s="59">
        <f>IF($C$5*'Tariffs Jan2023'!AK25/'Tariffs Jan2023'!AI25&lt;'Tariffs Jan2023'!K25,0,IF($C$5*'Tariffs Jan2023'!AK25/'Tariffs Jan2023'!AI25&lt;='Tariffs Jan2023'!L25,($C$5*'Tariffs Jan2023'!AK25/'Tariffs Jan2023'!AI25-'Tariffs Jan2023'!K25)*('Tariffs Jan2023'!Q25/100)*'Tariffs Jan2023'!AI25,('Tariffs Jan2023'!L25-'Tariffs Jan2023'!K25)*('Tariffs Jan2023'!Q25/100)*'Tariffs Jan2023'!AI25))</f>
        <v>161.99999999999997</v>
      </c>
      <c r="H31" s="59">
        <f>IF($C$5*'Tariffs Jan2023'!AK25/'Tariffs Jan2023'!AI25&lt;'Tariffs Jan2023'!L25,0,IF($C$5*'Tariffs Jan2023'!AK25/'Tariffs Jan2023'!AI25&lt;='Tariffs Jan2023'!M25,($C$5*'Tariffs Jan2023'!AK25/'Tariffs Jan2023'!AI25-'Tariffs Jan2023'!L25)*('Tariffs Jan2023'!R25/100)*'Tariffs Jan2023'!AI25,('Tariffs Jan2023'!M25-'Tariffs Jan2023'!L25)*('Tariffs Jan2023'!R25/100)*'Tariffs Jan2023'!AI25))</f>
        <v>75.681818181818173</v>
      </c>
      <c r="I31" s="59">
        <f>IF(($C$5*'Tariffs Jan2023'!AK25/'Tariffs Jan2023'!AI25&gt;'Tariffs Jan2023'!M25),($C$5*'Tariffs Jan2023'!AK25/'Tariffs Jan2023'!AI25-'Tariffs Jan2023'!M25)*'Tariffs Jan2023'!S25/100*'Tariffs Jan2023'!AI25,0)</f>
        <v>0</v>
      </c>
      <c r="J31" s="59">
        <f>IF($C$5*'Tariffs Jan2023'!AL25/'Tariffs Jan2023'!AJ25&gt;='Tariffs Jan2023'!J25,('Tariffs Jan2023'!J25*'Tariffs Jan2023'!U25/100)* 'Tariffs Jan2023'!AJ25,($C$5*'Tariffs Jan2023'!AL25/'Tariffs Jan2023'!AJ25*'Tariffs Jan2023'!U25/100)* 'Tariffs Jan2023'!AJ25)</f>
        <v>186.5454545454545</v>
      </c>
      <c r="K31" s="59">
        <f>IF($C$5*'Tariffs Jan2023'!AL25/'Tariffs Jan2023'!AJ25&lt;'Tariffs Jan2023'!J25,0,IF($C$5*'Tariffs Jan2023'!AL25/'Tariffs Jan2023'!AJ25&lt;='Tariffs Jan2023'!K25,($C$5*'Tariffs Jan2023'!AL25/'Tariffs Jan2023'!AJ25-'Tariffs Jan2023'!J25)*('Tariffs Jan2023'!V25/100)*'Tariffs Jan2023'!AJ25,('Tariffs Jan2023'!K25-'Tariffs Jan2023'!J25)*('Tariffs Jan2023'!V25/100)*'Tariffs Jan2023'!AJ25))</f>
        <v>171.81818181818181</v>
      </c>
      <c r="L31" s="59">
        <f>IF($C$5*'Tariffs Jan2023'!AL25/'Tariffs Jan2023'!AJ25&lt;'Tariffs Jan2023'!K25,0,IF($C$5*'Tariffs Jan2023'!AL25/'Tariffs Jan2023'!AJ25&lt;='Tariffs Jan2023'!L25,($C$5*'Tariffs Jan2023'!AL25/'Tariffs Jan2023'!AJ25-'Tariffs Jan2023'!K25)*('Tariffs Jan2023'!W25/100)*'Tariffs Jan2023'!AJ25,('Tariffs Jan2023'!L25-'Tariffs Jan2023'!K25)*('Tariffs Jan2023'!W25/100)*'Tariffs Jan2023'!AJ25))</f>
        <v>153.81818181818178</v>
      </c>
      <c r="M31" s="59">
        <f>IF($C$5*'Tariffs Jan2023'!AL25/'Tariffs Jan2023'!AJ25&lt;'Tariffs Jan2023'!L25,0,IF($C$5*'Tariffs Jan2023'!AL25/'Tariffs Jan2023'!AJ25&lt;='Tariffs Jan2023'!M25,($C$5*'Tariffs Jan2023'!AL25/'Tariffs Jan2023'!AJ25-'Tariffs Jan2023'!L25)*('Tariffs Jan2023'!X25/100)*'Tariffs Jan2023'!AJ25,('Tariffs Jan2023'!M25-'Tariffs Jan2023'!L25)*('Tariffs Jan2023'!X25/100)*'Tariffs Jan2023'!AJ25))</f>
        <v>72</v>
      </c>
      <c r="N31" s="59">
        <f>IF(($C$5*'Tariffs Jan2023'!AL25/'Tariffs Jan2023'!AJ25&gt;'Tariffs Jan2023'!M25),($C$5*'Tariffs Jan2023'!AL25/'Tariffs Jan2023'!AJ25-'Tariffs Jan2023'!M25)*'Tariffs Jan2023'!Y25/100*'Tariffs Jan2023'!AJ25,0)</f>
        <v>0</v>
      </c>
      <c r="O31" s="59">
        <f t="shared" si="1"/>
        <v>1205.590909090909</v>
      </c>
      <c r="P31" s="503">
        <f t="shared" si="2"/>
        <v>1326.15</v>
      </c>
      <c r="Q31" s="59">
        <f>D31+O31</f>
        <v>1581.5409090909088</v>
      </c>
      <c r="R31" s="272">
        <f t="shared" si="4"/>
        <v>1739.6949999999999</v>
      </c>
      <c r="S31" s="40">
        <f>'Tariffs Jan2023'!AN25</f>
        <v>0</v>
      </c>
      <c r="T31" s="40">
        <f>'Tariffs Jan2023'!AO25</f>
        <v>0</v>
      </c>
      <c r="U31" s="40">
        <f>'Tariffs Jan2023'!AP25</f>
        <v>0</v>
      </c>
      <c r="V31" s="40">
        <f>'Tariffs Jan2023'!AQ25</f>
        <v>0</v>
      </c>
      <c r="W31" s="537" t="str">
        <f t="shared" si="25"/>
        <v>No discount</v>
      </c>
      <c r="X31" s="538" t="str">
        <f t="shared" si="26"/>
        <v>Exclusive</v>
      </c>
      <c r="Y31" s="534">
        <f t="shared" ref="Y31:Y33" si="32">IF(AND(W31="Guaranteed off bill",X31="Inclusive"),((Q31*1.1)-((Q31*1.1)*S31/100))/1.1,IF(AND(W31="Guaranteed off usage",X31="Inclusive"),((Q31*1.1)-((P31*1.1)*T31/100))/1.1,IF(AND(W31="Guaranteed off bill",X31="Exclusive"),Q31-(Q31*S31/100),IF(AND(W31="Guaranteed off usage",X31="Exclusive"),Q31-(P31*T31/100),IF(X31="Inclusive",((Q31*1.1))/1.1,Q31)))))</f>
        <v>1581.5409090909088</v>
      </c>
      <c r="Z31" s="535">
        <f t="shared" ref="Z31:Z33" si="33">IF(AND(W31="Pay-on-time off bill",X31="Inclusive"),((Y31*1.1)-((Y31*1.1)*U31/100))/1.1,IF(AND(W31="Pay-on-time off usage",X31="Inclusive"),((Y31*1.1)-((P31*1.1)*V31/100))/1.1,IF(AND(W31="Pay-on-time off bill",X31="Exclusive"),Y31-(Y31*U31/100),IF(AND(W31="Pay-on-time off usage",X31="Exclusive"),Y31-(P31*V31/100),IF(X31="Inclusive",((Y31*1.1))/1.1,Y31)))))</f>
        <v>1581.5409090909088</v>
      </c>
      <c r="AA31" s="542">
        <f t="shared" si="27"/>
        <v>1739.6949999999999</v>
      </c>
      <c r="AB31" s="609">
        <f t="shared" si="27"/>
        <v>1739.6949999999999</v>
      </c>
      <c r="AC31" s="604"/>
      <c r="AD31" s="604"/>
      <c r="AE31" s="604"/>
      <c r="AF31" s="604"/>
      <c r="AG31" s="604"/>
      <c r="AH31" s="604"/>
      <c r="AI31" s="604"/>
      <c r="AJ31" s="604"/>
      <c r="AK31" s="604"/>
      <c r="AL31" s="604"/>
      <c r="AM31" s="604"/>
      <c r="AN31" s="604"/>
      <c r="AO31" s="604"/>
      <c r="AP31" s="604"/>
      <c r="AQ31" s="604"/>
      <c r="AR31" s="604"/>
      <c r="AS31" s="604"/>
      <c r="AT31" s="604"/>
    </row>
    <row r="32" spans="1:46" ht="14" x14ac:dyDescent="0.15">
      <c r="A32" s="270" t="str">
        <f>'Tariffs Jan2023'!F26</f>
        <v>Momentum Energy</v>
      </c>
      <c r="B32" s="40" t="str">
        <f>'Tariffs Jan2023'!D26</f>
        <v>Multinet Metro 2</v>
      </c>
      <c r="C32" s="40" t="str">
        <f>'Tariffs Jan2023'!G26</f>
        <v>Nothing Fancy</v>
      </c>
      <c r="D32" s="59">
        <f>365*'Tariffs Jan2023'!H26/100</f>
        <v>312.43999999999994</v>
      </c>
      <c r="E32" s="59">
        <f>IF($C$5*'Tariffs Jan2023'!AK26/'Tariffs Jan2023'!AI26&gt;='Tariffs Jan2023'!J26,( 'Tariffs Jan2023'!J26*'Tariffs Jan2023'!O26/100)* 'Tariffs Jan2023'!AI26,($C$5*'Tariffs Jan2023'!AK26/'Tariffs Jan2023'!AI26*'Tariffs Jan2023'!O26/100)* 'Tariffs Jan2023'!AI26)</f>
        <v>341.99999999999994</v>
      </c>
      <c r="F32" s="59">
        <f>IF($C$5*'Tariffs Jan2023'!AK26/'Tariffs Jan2023'!AI26&lt;'Tariffs Jan2023'!J26,0,IF($C$5*'Tariffs Jan2023'!AK26/'Tariffs Jan2023'!AI26&lt;='Tariffs Jan2023'!K26,($C$5*'Tariffs Jan2023'!AK26/'Tariffs Jan2023'!AI26-'Tariffs Jan2023'!J26)*('Tariffs Jan2023'!P26/100)*'Tariffs Jan2023'!AI26,('Tariffs Jan2023'!K26-'Tariffs Jan2023'!J26)*('Tariffs Jan2023'!P26/100)*'Tariffs Jan2023'!AI26))</f>
        <v>297</v>
      </c>
      <c r="G32" s="59">
        <f>IF($C$5*'Tariffs Jan2023'!AK26/'Tariffs Jan2023'!AI26&lt;'Tariffs Jan2023'!K26,0,IF($C$5*'Tariffs Jan2023'!AK26/'Tariffs Jan2023'!AI26&lt;='Tariffs Jan2023'!L26,($C$5*'Tariffs Jan2023'!AK26/'Tariffs Jan2023'!AI26-'Tariffs Jan2023'!K26)*('Tariffs Jan2023'!Q26/100)*'Tariffs Jan2023'!AI26,('Tariffs Jan2023'!L26-'Tariffs Jan2023'!K26)*('Tariffs Jan2023'!Q26/100)*'Tariffs Jan2023'!AI26))</f>
        <v>261</v>
      </c>
      <c r="H32" s="59">
        <f>IF($C$5*'Tariffs Jan2023'!AK26/'Tariffs Jan2023'!AI26&lt;'Tariffs Jan2023'!L26,0,IF($C$5*'Tariffs Jan2023'!AK26/'Tariffs Jan2023'!AI26&lt;='Tariffs Jan2023'!M26,($C$5*'Tariffs Jan2023'!AK26/'Tariffs Jan2023'!AI26-'Tariffs Jan2023'!L26)*('Tariffs Jan2023'!R26/100)*'Tariffs Jan2023'!AI26,('Tariffs Jan2023'!M26-'Tariffs Jan2023'!L26)*('Tariffs Jan2023'!R26/100)*'Tariffs Jan2023'!AI26))</f>
        <v>0</v>
      </c>
      <c r="I32" s="59">
        <f>IF(($C$5*'Tariffs Jan2023'!AK26/'Tariffs Jan2023'!AI26&gt;'Tariffs Jan2023'!M26),($C$5*'Tariffs Jan2023'!AK26/'Tariffs Jan2023'!AI26-'Tariffs Jan2023'!M26)*'Tariffs Jan2023'!S26/100*'Tariffs Jan2023'!AI26,0)</f>
        <v>116.99999999999997</v>
      </c>
      <c r="J32" s="59">
        <f>IF($C$5*'Tariffs Jan2023'!AL26/'Tariffs Jan2023'!AJ26&gt;='Tariffs Jan2023'!J26,('Tariffs Jan2023'!J26*'Tariffs Jan2023'!U26/100)* 'Tariffs Jan2023'!AJ26,($C$5*'Tariffs Jan2023'!AL26/'Tariffs Jan2023'!AJ26*'Tariffs Jan2023'!U26/100)* 'Tariffs Jan2023'!AJ26)</f>
        <v>323.99999999999994</v>
      </c>
      <c r="K32" s="59">
        <f>IF($C$5*'Tariffs Jan2023'!AL26/'Tariffs Jan2023'!AJ26&lt;'Tariffs Jan2023'!J26,0,IF($C$5*'Tariffs Jan2023'!AL26/'Tariffs Jan2023'!AJ26&lt;='Tariffs Jan2023'!K26,($C$5*'Tariffs Jan2023'!AL26/'Tariffs Jan2023'!AJ26-'Tariffs Jan2023'!J26)*('Tariffs Jan2023'!V26/100)*'Tariffs Jan2023'!AJ26,('Tariffs Jan2023'!K26-'Tariffs Jan2023'!J26)*('Tariffs Jan2023'!V26/100)*'Tariffs Jan2023'!AJ26))</f>
        <v>288</v>
      </c>
      <c r="L32" s="59">
        <f>IF($C$5*'Tariffs Jan2023'!AL26/'Tariffs Jan2023'!AJ26&lt;'Tariffs Jan2023'!K26,0,IF($C$5*'Tariffs Jan2023'!AL26/'Tariffs Jan2023'!AJ26&lt;='Tariffs Jan2023'!L26,($C$5*'Tariffs Jan2023'!AL26/'Tariffs Jan2023'!AJ26-'Tariffs Jan2023'!K26)*('Tariffs Jan2023'!W26/100)*'Tariffs Jan2023'!AJ26,('Tariffs Jan2023'!L26-'Tariffs Jan2023'!K26)*('Tariffs Jan2023'!W26/100)*'Tariffs Jan2023'!AJ26))</f>
        <v>251.99999999999994</v>
      </c>
      <c r="M32" s="59">
        <f>IF($C$5*'Tariffs Jan2023'!AL26/'Tariffs Jan2023'!AJ26&lt;'Tariffs Jan2023'!L26,0,IF($C$5*'Tariffs Jan2023'!AL26/'Tariffs Jan2023'!AJ26&lt;='Tariffs Jan2023'!M26,($C$5*'Tariffs Jan2023'!AL26/'Tariffs Jan2023'!AJ26-'Tariffs Jan2023'!L26)*('Tariffs Jan2023'!X26/100)*'Tariffs Jan2023'!AJ26,('Tariffs Jan2023'!M26-'Tariffs Jan2023'!L26)*('Tariffs Jan2023'!X26/100)*'Tariffs Jan2023'!AJ26))</f>
        <v>0</v>
      </c>
      <c r="N32" s="59">
        <f>IF(($C$5*'Tariffs Jan2023'!AL26/'Tariffs Jan2023'!AJ26&gt;'Tariffs Jan2023'!M26),($C$5*'Tariffs Jan2023'!AL26/'Tariffs Jan2023'!AJ26-'Tariffs Jan2023'!M26)*'Tariffs Jan2023'!Y26/100*'Tariffs Jan2023'!AJ26,0)</f>
        <v>116.99999999999997</v>
      </c>
      <c r="O32" s="59">
        <f t="shared" ref="O32" si="34">SUM(E32:N32)</f>
        <v>1998</v>
      </c>
      <c r="P32" s="503">
        <f t="shared" ref="P32" si="35">O32*1.1</f>
        <v>2197.8000000000002</v>
      </c>
      <c r="Q32" s="59">
        <f>D32+O32</f>
        <v>2310.44</v>
      </c>
      <c r="R32" s="272">
        <f t="shared" ref="R32" si="36">Q32*1.1</f>
        <v>2541.4840000000004</v>
      </c>
      <c r="S32" s="40">
        <f>'Tariffs Jan2023'!AN26</f>
        <v>0</v>
      </c>
      <c r="T32" s="40">
        <f>'Tariffs Jan2023'!AO26</f>
        <v>0</v>
      </c>
      <c r="U32" s="40">
        <f>'Tariffs Jan2023'!AP26</f>
        <v>0</v>
      </c>
      <c r="V32" s="40">
        <f>'Tariffs Jan2023'!AQ26</f>
        <v>0</v>
      </c>
      <c r="W32" s="537" t="str">
        <f t="shared" ref="W32" si="37">IF(SUM(S32:V32)=0,"No discount",IF(S32&gt;0,"Guaranteed off bill",IF(T32&gt;0,"Guaranteed off usage",IF(U32&gt;0,"Pay-on-time off bill","Pay-on-time off usage"))))</f>
        <v>No discount</v>
      </c>
      <c r="X32" s="538" t="str">
        <f t="shared" ref="X32" si="38">IF(OR(A32="Origin Energy",A32="Red Energy",A32="Powershop"),"Inclusive","Exclusive")</f>
        <v>Exclusive</v>
      </c>
      <c r="Y32" s="534">
        <f t="shared" ref="Y32" si="39">IF(AND(W32="Guaranteed off bill",X32="Inclusive"),((Q32*1.1)-((Q32*1.1)*S32/100))/1.1,IF(AND(W32="Guaranteed off usage",X32="Inclusive"),((Q32*1.1)-((P32*1.1)*T32/100))/1.1,IF(AND(W32="Guaranteed off bill",X32="Exclusive"),Q32-(Q32*S32/100),IF(AND(W32="Guaranteed off usage",X32="Exclusive"),Q32-(P32*T32/100),IF(X32="Inclusive",((Q32*1.1))/1.1,Q32)))))</f>
        <v>2310.44</v>
      </c>
      <c r="Z32" s="535">
        <f t="shared" ref="Z32" si="40">IF(AND(W32="Pay-on-time off bill",X32="Inclusive"),((Y32*1.1)-((Y32*1.1)*U32/100))/1.1,IF(AND(W32="Pay-on-time off usage",X32="Inclusive"),((Y32*1.1)-((P32*1.1)*V32/100))/1.1,IF(AND(W32="Pay-on-time off bill",X32="Exclusive"),Y32-(Y32*U32/100),IF(AND(W32="Pay-on-time off usage",X32="Exclusive"),Y32-(P32*V32/100),IF(X32="Inclusive",((Y32*1.1))/1.1,Y32)))))</f>
        <v>2310.44</v>
      </c>
      <c r="AA32" s="542">
        <f t="shared" ref="AA32" si="41">Y32*1.1</f>
        <v>2541.4840000000004</v>
      </c>
      <c r="AB32" s="609">
        <f t="shared" ref="AB32" si="42">Z32*1.1</f>
        <v>2541.4840000000004</v>
      </c>
      <c r="AC32" s="604"/>
      <c r="AD32" s="604"/>
      <c r="AE32" s="604"/>
      <c r="AF32" s="604"/>
      <c r="AG32" s="604"/>
      <c r="AH32" s="604"/>
      <c r="AI32" s="604"/>
      <c r="AJ32" s="604"/>
      <c r="AK32" s="604"/>
      <c r="AL32" s="604"/>
      <c r="AM32" s="604"/>
      <c r="AN32" s="604"/>
      <c r="AO32" s="604"/>
      <c r="AP32" s="604"/>
      <c r="AQ32" s="604"/>
      <c r="AR32" s="604"/>
      <c r="AS32" s="604"/>
      <c r="AT32" s="604"/>
    </row>
    <row r="33" spans="1:46" ht="15" thickBot="1" x14ac:dyDescent="0.2">
      <c r="A33" s="276" t="str">
        <f>'Tariffs Jan2023'!F27</f>
        <v>Sumo Power</v>
      </c>
      <c r="B33" s="277" t="str">
        <f>'Tariffs Jan2023'!D27</f>
        <v>Multinet Metro 2</v>
      </c>
      <c r="C33" s="277" t="str">
        <f>'Tariffs Jan2023'!G27</f>
        <v>Lite</v>
      </c>
      <c r="D33" s="278">
        <f>365*'Tariffs Jan2023'!H27/100</f>
        <v>383.24999999999994</v>
      </c>
      <c r="E33" s="278">
        <f>IF($C$5*'Tariffs Jan2023'!AK27/'Tariffs Jan2023'!AI27&gt;='Tariffs Jan2023'!J27,( 'Tariffs Jan2023'!J27*'Tariffs Jan2023'!O27/100)* 'Tariffs Jan2023'!AI27,($C$5*'Tariffs Jan2023'!AK27/'Tariffs Jan2023'!AI27*'Tariffs Jan2023'!O27/100)* 'Tariffs Jan2023'!AI27)</f>
        <v>1606.4999999999995</v>
      </c>
      <c r="F33" s="278">
        <f>IF($C$5*'Tariffs Jan2023'!AK27/'Tariffs Jan2023'!AI27&lt;'Tariffs Jan2023'!J27,0,IF($C$5*'Tariffs Jan2023'!AK27/'Tariffs Jan2023'!AI27&lt;='Tariffs Jan2023'!K27,($C$5*'Tariffs Jan2023'!AK27/'Tariffs Jan2023'!AI27-'Tariffs Jan2023'!J27)*('Tariffs Jan2023'!P27/100)*'Tariffs Jan2023'!AI27,('Tariffs Jan2023'!K27-'Tariffs Jan2023'!J27)*('Tariffs Jan2023'!P27/100)*'Tariffs Jan2023'!AI27))</f>
        <v>0</v>
      </c>
      <c r="G33" s="278">
        <f>IF($C$5*'Tariffs Jan2023'!AK27/'Tariffs Jan2023'!AI27&lt;'Tariffs Jan2023'!K27,0,IF($C$5*'Tariffs Jan2023'!AK27/'Tariffs Jan2023'!AI27&lt;='Tariffs Jan2023'!L27,($C$5*'Tariffs Jan2023'!AK27/'Tariffs Jan2023'!AI27-'Tariffs Jan2023'!K27)*('Tariffs Jan2023'!Q27/100)*'Tariffs Jan2023'!AI27,('Tariffs Jan2023'!L27-'Tariffs Jan2023'!K27)*('Tariffs Jan2023'!Q27/100)*'Tariffs Jan2023'!AI27))</f>
        <v>0</v>
      </c>
      <c r="H33" s="278">
        <f>IF($C$5*'Tariffs Jan2023'!AK27/'Tariffs Jan2023'!AI27&lt;'Tariffs Jan2023'!L27,0,IF($C$5*'Tariffs Jan2023'!AK27/'Tariffs Jan2023'!AI27&lt;='Tariffs Jan2023'!M27,($C$5*'Tariffs Jan2023'!AK27/'Tariffs Jan2023'!AI27-'Tariffs Jan2023'!L27)*('Tariffs Jan2023'!R27/100)*'Tariffs Jan2023'!AI27,('Tariffs Jan2023'!M27-'Tariffs Jan2023'!L27)*('Tariffs Jan2023'!R27/100)*'Tariffs Jan2023'!AI27))</f>
        <v>0</v>
      </c>
      <c r="I33" s="278">
        <f>IF(($C$5*'Tariffs Jan2023'!AK27/'Tariffs Jan2023'!AI27&gt;'Tariffs Jan2023'!M27),($C$5*'Tariffs Jan2023'!AK27/'Tariffs Jan2023'!AI27-'Tariffs Jan2023'!M27)*'Tariffs Jan2023'!S27/100*'Tariffs Jan2023'!AI27,0)</f>
        <v>0</v>
      </c>
      <c r="J33" s="278">
        <f>IF($C$5*'Tariffs Jan2023'!AL27/'Tariffs Jan2023'!AJ27&gt;='Tariffs Jan2023'!J27,('Tariffs Jan2023'!J27*'Tariffs Jan2023'!U27/100)* 'Tariffs Jan2023'!AJ27,($C$5*'Tariffs Jan2023'!AL27/'Tariffs Jan2023'!AJ27*'Tariffs Jan2023'!U27/100)* 'Tariffs Jan2023'!AJ27)</f>
        <v>1323</v>
      </c>
      <c r="K33" s="278">
        <f>IF($C$5*'Tariffs Jan2023'!AL27/'Tariffs Jan2023'!AJ27&lt;'Tariffs Jan2023'!J27,0,IF($C$5*'Tariffs Jan2023'!AL27/'Tariffs Jan2023'!AJ27&lt;='Tariffs Jan2023'!K27,($C$5*'Tariffs Jan2023'!AL27/'Tariffs Jan2023'!AJ27-'Tariffs Jan2023'!J27)*('Tariffs Jan2023'!V27/100)*'Tariffs Jan2023'!AJ27,('Tariffs Jan2023'!K27-'Tariffs Jan2023'!J27)*('Tariffs Jan2023'!V27/100)*'Tariffs Jan2023'!AJ27))</f>
        <v>0</v>
      </c>
      <c r="L33" s="278">
        <f>IF($C$5*'Tariffs Jan2023'!AL27/'Tariffs Jan2023'!AJ27&lt;'Tariffs Jan2023'!K27,0,IF($C$5*'Tariffs Jan2023'!AL27/'Tariffs Jan2023'!AJ27&lt;='Tariffs Jan2023'!L27,($C$5*'Tariffs Jan2023'!AL27/'Tariffs Jan2023'!AJ27-'Tariffs Jan2023'!K27)*('Tariffs Jan2023'!W27/100)*'Tariffs Jan2023'!AJ27,('Tariffs Jan2023'!L27-'Tariffs Jan2023'!K27)*('Tariffs Jan2023'!W27/100)*'Tariffs Jan2023'!AJ27))</f>
        <v>0</v>
      </c>
      <c r="M33" s="278">
        <f>IF($C$5*'Tariffs Jan2023'!AL27/'Tariffs Jan2023'!AJ27&lt;'Tariffs Jan2023'!L27,0,IF($C$5*'Tariffs Jan2023'!AL27/'Tariffs Jan2023'!AJ27&lt;='Tariffs Jan2023'!M27,($C$5*'Tariffs Jan2023'!AL27/'Tariffs Jan2023'!AJ27-'Tariffs Jan2023'!L27)*('Tariffs Jan2023'!X27/100)*'Tariffs Jan2023'!AJ27,('Tariffs Jan2023'!M27-'Tariffs Jan2023'!L27)*('Tariffs Jan2023'!X27/100)*'Tariffs Jan2023'!AJ27))</f>
        <v>0</v>
      </c>
      <c r="N33" s="278">
        <f>IF(($C$5*'Tariffs Jan2023'!AL27/'Tariffs Jan2023'!AJ27&gt;'Tariffs Jan2023'!M27),($C$5*'Tariffs Jan2023'!AL27/'Tariffs Jan2023'!AJ27-'Tariffs Jan2023'!M27)*'Tariffs Jan2023'!Y27/100*'Tariffs Jan2023'!AJ27,0)</f>
        <v>0</v>
      </c>
      <c r="O33" s="278">
        <f t="shared" si="1"/>
        <v>2929.4999999999995</v>
      </c>
      <c r="P33" s="504">
        <f t="shared" si="2"/>
        <v>3222.45</v>
      </c>
      <c r="Q33" s="278">
        <f>D33+O33</f>
        <v>3312.7499999999995</v>
      </c>
      <c r="R33" s="280">
        <f t="shared" si="4"/>
        <v>3644.0249999999996</v>
      </c>
      <c r="S33" s="277">
        <f>'Tariffs Jan2023'!AN27</f>
        <v>0</v>
      </c>
      <c r="T33" s="277">
        <f>'Tariffs Jan2023'!AO27</f>
        <v>0</v>
      </c>
      <c r="U33" s="277">
        <f>'Tariffs Jan2023'!AP27</f>
        <v>0</v>
      </c>
      <c r="V33" s="277">
        <f>'Tariffs Jan2023'!AQ27</f>
        <v>0</v>
      </c>
      <c r="W33" s="540" t="str">
        <f t="shared" si="25"/>
        <v>No discount</v>
      </c>
      <c r="X33" s="541" t="str">
        <f t="shared" si="26"/>
        <v>Exclusive</v>
      </c>
      <c r="Y33" s="543">
        <f t="shared" si="32"/>
        <v>3312.7499999999995</v>
      </c>
      <c r="Z33" s="544">
        <f t="shared" si="33"/>
        <v>3312.7499999999995</v>
      </c>
      <c r="AA33" s="545">
        <f t="shared" si="27"/>
        <v>3644.0249999999996</v>
      </c>
      <c r="AB33" s="610">
        <f t="shared" si="27"/>
        <v>3644.0249999999996</v>
      </c>
      <c r="AC33" s="604"/>
      <c r="AD33" s="604"/>
      <c r="AE33" s="604"/>
      <c r="AF33" s="604"/>
      <c r="AG33" s="604"/>
      <c r="AH33" s="604"/>
      <c r="AI33" s="604"/>
      <c r="AJ33" s="604"/>
      <c r="AK33" s="604"/>
      <c r="AL33" s="604"/>
      <c r="AM33" s="604"/>
      <c r="AN33" s="604"/>
      <c r="AO33" s="604"/>
      <c r="AP33" s="604"/>
      <c r="AQ33" s="604"/>
      <c r="AR33" s="604"/>
      <c r="AS33" s="604"/>
      <c r="AT33" s="604"/>
    </row>
    <row r="34" spans="1:46" ht="15" thickTop="1" x14ac:dyDescent="0.15">
      <c r="A34" s="270" t="str">
        <f>'Tariffs Jan2023'!F28</f>
        <v>AGL</v>
      </c>
      <c r="B34" s="40" t="str">
        <f>'Tariffs Jan2023'!D28</f>
        <v>AGN North</v>
      </c>
      <c r="C34" s="40" t="str">
        <f>'Tariffs Jan2023'!G28</f>
        <v>Value Saver</v>
      </c>
      <c r="D34" s="59">
        <f>365*'Tariffs Jan2023'!H28/100</f>
        <v>279.98818181818183</v>
      </c>
      <c r="E34" s="59">
        <f>IF($C$5*'Tariffs Jan2023'!AK28/'Tariffs Jan2023'!AI28&gt;='Tariffs Jan2023'!J28,( 'Tariffs Jan2023'!J28*'Tariffs Jan2023'!O28/100)* 'Tariffs Jan2023'!AI28,($C$5*'Tariffs Jan2023'!AK28/'Tariffs Jan2023'!AI28*'Tariffs Jan2023'!O28/100)* 'Tariffs Jan2023'!AI28)</f>
        <v>165.09818181818181</v>
      </c>
      <c r="F34" s="59">
        <f>IF($C$5*'Tariffs Jan2023'!AK28/'Tariffs Jan2023'!AI28&lt;'Tariffs Jan2023'!J28,0,IF($C$5*'Tariffs Jan2023'!AK28/'Tariffs Jan2023'!AI28&lt;='Tariffs Jan2023'!K28,($C$5*'Tariffs Jan2023'!AK28/'Tariffs Jan2023'!AI28-'Tariffs Jan2023'!J28)*('Tariffs Jan2023'!P28/100)*'Tariffs Jan2023'!AI28,('Tariffs Jan2023'!K28-'Tariffs Jan2023'!J28)*('Tariffs Jan2023'!P28/100)*'Tariffs Jan2023'!AI28))</f>
        <v>125.64545454545453</v>
      </c>
      <c r="G34" s="59">
        <f>IF($C$5*'Tariffs Jan2023'!AK28/'Tariffs Jan2023'!AI28&lt;'Tariffs Jan2023'!K28,0,IF($C$5*'Tariffs Jan2023'!AK28/'Tariffs Jan2023'!AI28&lt;='Tariffs Jan2023'!L28,($C$5*'Tariffs Jan2023'!AK28/'Tariffs Jan2023'!AI28-'Tariffs Jan2023'!K28)*('Tariffs Jan2023'!Q28/100)*'Tariffs Jan2023'!AI28,('Tariffs Jan2023'!L28-'Tariffs Jan2023'!K28)*('Tariffs Jan2023'!Q28/100)*'Tariffs Jan2023'!AI28))</f>
        <v>0</v>
      </c>
      <c r="H34" s="59">
        <f>IF($C$5*'Tariffs Jan2023'!AK28/'Tariffs Jan2023'!AI28&lt;'Tariffs Jan2023'!L28,0,IF($C$5*'Tariffs Jan2023'!AK28/'Tariffs Jan2023'!AI28&lt;='Tariffs Jan2023'!M28,($C$5*'Tariffs Jan2023'!AK28/'Tariffs Jan2023'!AI28-'Tariffs Jan2023'!L28)*('Tariffs Jan2023'!R28/100)*'Tariffs Jan2023'!AI28,('Tariffs Jan2023'!M28-'Tariffs Jan2023'!L28)*('Tariffs Jan2023'!R28/100)*'Tariffs Jan2023'!AI28))</f>
        <v>0</v>
      </c>
      <c r="I34" s="59">
        <f>IF(($C$5*'Tariffs Jan2023'!AK28/'Tariffs Jan2023'!AI28&gt;'Tariffs Jan2023'!M28),($C$5*'Tariffs Jan2023'!AK28/'Tariffs Jan2023'!AI28-'Tariffs Jan2023'!M28)*'Tariffs Jan2023'!S28/100*'Tariffs Jan2023'!AI28,0)</f>
        <v>546.13636363636363</v>
      </c>
      <c r="J34" s="59">
        <f>IF($C$5*'Tariffs Jan2023'!AL28/'Tariffs Jan2023'!AJ28&gt;='Tariffs Jan2023'!J28,('Tariffs Jan2023'!J28*'Tariffs Jan2023'!U28/100)* 'Tariffs Jan2023'!AJ28,($C$5*'Tariffs Jan2023'!AL28/'Tariffs Jan2023'!AJ28*'Tariffs Jan2023'!U28/100)* 'Tariffs Jan2023'!AJ28)</f>
        <v>165.09818181818181</v>
      </c>
      <c r="K34" s="59">
        <f>IF($C$5*'Tariffs Jan2023'!AL28/'Tariffs Jan2023'!AJ28&lt;'Tariffs Jan2023'!J28,0,IF($C$5*'Tariffs Jan2023'!AL28/'Tariffs Jan2023'!AJ28&lt;='Tariffs Jan2023'!K28,($C$5*'Tariffs Jan2023'!AL28/'Tariffs Jan2023'!AJ28-'Tariffs Jan2023'!J28)*('Tariffs Jan2023'!V28/100)*'Tariffs Jan2023'!AJ28,('Tariffs Jan2023'!K28-'Tariffs Jan2023'!J28)*('Tariffs Jan2023'!V28/100)*'Tariffs Jan2023'!AJ28))</f>
        <v>125.64545454545453</v>
      </c>
      <c r="L34" s="59">
        <f>IF($C$5*'Tariffs Jan2023'!AL28/'Tariffs Jan2023'!AJ28&lt;'Tariffs Jan2023'!K28,0,IF($C$5*'Tariffs Jan2023'!AL28/'Tariffs Jan2023'!AJ28&lt;='Tariffs Jan2023'!L28,($C$5*'Tariffs Jan2023'!AL28/'Tariffs Jan2023'!AJ28-'Tariffs Jan2023'!K28)*('Tariffs Jan2023'!W28/100)*'Tariffs Jan2023'!AJ28,('Tariffs Jan2023'!L28-'Tariffs Jan2023'!K28)*('Tariffs Jan2023'!W28/100)*'Tariffs Jan2023'!AJ28))</f>
        <v>0</v>
      </c>
      <c r="M34" s="59">
        <f>IF($C$5*'Tariffs Jan2023'!AL28/'Tariffs Jan2023'!AJ28&lt;'Tariffs Jan2023'!L28,0,IF($C$5*'Tariffs Jan2023'!AL28/'Tariffs Jan2023'!AJ28&lt;='Tariffs Jan2023'!M28,($C$5*'Tariffs Jan2023'!AL28/'Tariffs Jan2023'!AJ28-'Tariffs Jan2023'!L28)*('Tariffs Jan2023'!X28/100)*'Tariffs Jan2023'!AJ28,('Tariffs Jan2023'!M28-'Tariffs Jan2023'!L28)*('Tariffs Jan2023'!X28/100)*'Tariffs Jan2023'!AJ28))</f>
        <v>0</v>
      </c>
      <c r="N34" s="59">
        <f>IF(($C$5*'Tariffs Jan2023'!AL28/'Tariffs Jan2023'!AJ28&gt;'Tariffs Jan2023'!M28),($C$5*'Tariffs Jan2023'!AL28/'Tariffs Jan2023'!AJ28-'Tariffs Jan2023'!M28)*'Tariffs Jan2023'!Y28/100*'Tariffs Jan2023'!AJ28,0)</f>
        <v>546.13636363636363</v>
      </c>
      <c r="O34" s="59">
        <f t="shared" si="1"/>
        <v>1673.7599999999998</v>
      </c>
      <c r="P34" s="503">
        <f t="shared" si="2"/>
        <v>1841.136</v>
      </c>
      <c r="Q34" s="59">
        <f t="shared" si="3"/>
        <v>1953.7481818181816</v>
      </c>
      <c r="R34" s="272">
        <f t="shared" si="4"/>
        <v>2149.123</v>
      </c>
      <c r="S34" s="40">
        <f>'Tariffs Jan2023'!AN28</f>
        <v>0</v>
      </c>
      <c r="T34" s="40">
        <f>'Tariffs Jan2023'!AO28</f>
        <v>0</v>
      </c>
      <c r="U34" s="40">
        <f>'Tariffs Jan2023'!AP28</f>
        <v>0</v>
      </c>
      <c r="V34" s="40">
        <f>'Tariffs Jan2023'!AQ28</f>
        <v>0</v>
      </c>
      <c r="W34" s="537" t="str">
        <f>IF(SUM(S34:V34)=0,"No discount",IF(S34&gt;0,"Guaranteed off bill",IF(T34&gt;0,"Guaranteed off usage",IF(U34&gt;0,"Pay-on-time off bill","Pay-on-time off usage"))))</f>
        <v>No discount</v>
      </c>
      <c r="X34" s="538" t="str">
        <f>IF(OR(A34="Origin Energy",A34="Red Energy",A34="Powershop"),"Inclusive","Exclusive")</f>
        <v>Exclusive</v>
      </c>
      <c r="Y34" s="534">
        <f>IF(AND(W34="Guaranteed off bill",X34="Inclusive"),((Q34*1.1)-((Q34*1.1)*S34/100))/1.1,IF(AND(W34="Guaranteed off usage",X34="Inclusive"),((Q34*1.1)-((P34*1.1)*T34/100))/1.1,IF(AND(W34="Guaranteed off bill",X34="Exclusive"),Q34-(Q34*S34/100),IF(AND(W34="Guaranteed off usage",X34="Exclusive"),Q34-(P34*T34/100),IF(X34="Inclusive",((Q34*1.1))/1.1,Q34)))))</f>
        <v>1953.7481818181816</v>
      </c>
      <c r="Z34" s="535">
        <f>IF(AND(W34="Pay-on-time off bill",X34="Inclusive"),((Y34*1.1)-((Y34*1.1)*U34/100))/1.1,IF(AND(W34="Pay-on-time off usage",X34="Inclusive"),((Y34*1.1)-((P34*1.1)*V34/100))/1.1,IF(AND(W34="Pay-on-time off bill",X34="Exclusive"),Y34-(Y34*U34/100),IF(AND(W34="Pay-on-time off usage",X34="Exclusive"),Y34-(P34*V34/100),IF(X34="Inclusive",((Y34*1.1))/1.1,Y34)))))</f>
        <v>1953.7481818181816</v>
      </c>
      <c r="AA34" s="542">
        <f t="shared" si="27"/>
        <v>2149.123</v>
      </c>
      <c r="AB34" s="609">
        <f t="shared" si="27"/>
        <v>2149.123</v>
      </c>
      <c r="AC34" s="604"/>
      <c r="AD34" s="604"/>
      <c r="AE34" s="604"/>
      <c r="AF34" s="604"/>
      <c r="AG34" s="604"/>
      <c r="AH34" s="604"/>
      <c r="AI34" s="604"/>
      <c r="AJ34" s="604"/>
      <c r="AK34" s="604"/>
      <c r="AL34" s="604"/>
      <c r="AM34" s="604"/>
      <c r="AN34" s="604"/>
      <c r="AO34" s="604"/>
      <c r="AP34" s="604"/>
      <c r="AQ34" s="604"/>
      <c r="AR34" s="604"/>
      <c r="AS34" s="604"/>
      <c r="AT34" s="604"/>
    </row>
    <row r="35" spans="1:46" ht="14" x14ac:dyDescent="0.15">
      <c r="A35" s="270" t="str">
        <f>'Tariffs Jan2023'!F29</f>
        <v>Alinta Energy</v>
      </c>
      <c r="B35" s="40" t="str">
        <f>'Tariffs Jan2023'!D29</f>
        <v>AGN North</v>
      </c>
      <c r="C35" s="40" t="str">
        <f>'Tariffs Jan2023'!G29</f>
        <v>Home Deal</v>
      </c>
      <c r="D35" s="59">
        <f>365*'Tariffs Jan2023'!H29/100</f>
        <v>229.88363636363636</v>
      </c>
      <c r="E35" s="59">
        <f>IF($C$5*'Tariffs Jan2023'!AK29/'Tariffs Jan2023'!AI29&gt;='Tariffs Jan2023'!J29,( 'Tariffs Jan2023'!J29*'Tariffs Jan2023'!O29/100)* 'Tariffs Jan2023'!AI29,($C$5*'Tariffs Jan2023'!AK29/'Tariffs Jan2023'!AI29*'Tariffs Jan2023'!O29/100)* 'Tariffs Jan2023'!AI29)</f>
        <v>111.71045454545454</v>
      </c>
      <c r="F35" s="59">
        <f>IF($C$5*'Tariffs Jan2023'!AK29/'Tariffs Jan2023'!AI29&lt;'Tariffs Jan2023'!J29,0,IF($C$5*'Tariffs Jan2023'!AK29/'Tariffs Jan2023'!AI29&lt;='Tariffs Jan2023'!K29,($C$5*'Tariffs Jan2023'!AK29/'Tariffs Jan2023'!AI29-'Tariffs Jan2023'!J29)*('Tariffs Jan2023'!P29/100)*'Tariffs Jan2023'!AI29,('Tariffs Jan2023'!K29-'Tariffs Jan2023'!J29)*('Tariffs Jan2023'!P29/100)*'Tariffs Jan2023'!AI29))</f>
        <v>92.016818181818181</v>
      </c>
      <c r="G35" s="59">
        <f>IF($C$5*'Tariffs Jan2023'!AK29/'Tariffs Jan2023'!AI29&lt;'Tariffs Jan2023'!K29,0,IF($C$5*'Tariffs Jan2023'!AK29/'Tariffs Jan2023'!AI29&lt;='Tariffs Jan2023'!L29,($C$5*'Tariffs Jan2023'!AK29/'Tariffs Jan2023'!AI29-'Tariffs Jan2023'!K29)*('Tariffs Jan2023'!Q29/100)*'Tariffs Jan2023'!AI29,('Tariffs Jan2023'!L29-'Tariffs Jan2023'!K29)*('Tariffs Jan2023'!Q29/100)*'Tariffs Jan2023'!AI29))</f>
        <v>0</v>
      </c>
      <c r="H35" s="59">
        <f>IF($C$5*'Tariffs Jan2023'!AK29/'Tariffs Jan2023'!AI29&lt;'Tariffs Jan2023'!L29,0,IF($C$5*'Tariffs Jan2023'!AK29/'Tariffs Jan2023'!AI29&lt;='Tariffs Jan2023'!M29,($C$5*'Tariffs Jan2023'!AK29/'Tariffs Jan2023'!AI29-'Tariffs Jan2023'!L29)*('Tariffs Jan2023'!R29/100)*'Tariffs Jan2023'!AI29,('Tariffs Jan2023'!M29-'Tariffs Jan2023'!L29)*('Tariffs Jan2023'!R29/100)*'Tariffs Jan2023'!AI29))</f>
        <v>0</v>
      </c>
      <c r="I35" s="59">
        <f>IF(($C$5*'Tariffs Jan2023'!AK29/'Tariffs Jan2023'!AI29&gt;'Tariffs Jan2023'!M29),($C$5*'Tariffs Jan2023'!AK29/'Tariffs Jan2023'!AI29-'Tariffs Jan2023'!M29)*'Tariffs Jan2023'!S29/100*'Tariffs Jan2023'!AI29,0)</f>
        <v>447.95454545454544</v>
      </c>
      <c r="J35" s="59">
        <f>IF($C$5*'Tariffs Jan2023'!AL29/'Tariffs Jan2023'!AJ29&gt;='Tariffs Jan2023'!J29,('Tariffs Jan2023'!J29*'Tariffs Jan2023'!U29/100)* 'Tariffs Jan2023'!AJ29,($C$5*'Tariffs Jan2023'!AL29/'Tariffs Jan2023'!AJ29*'Tariffs Jan2023'!U29/100)* 'Tariffs Jan2023'!AJ29)</f>
        <v>111.71045454545454</v>
      </c>
      <c r="K35" s="59">
        <f>IF($C$5*'Tariffs Jan2023'!AL29/'Tariffs Jan2023'!AJ29&lt;'Tariffs Jan2023'!J29,0,IF($C$5*'Tariffs Jan2023'!AL29/'Tariffs Jan2023'!AJ29&lt;='Tariffs Jan2023'!K29,($C$5*'Tariffs Jan2023'!AL29/'Tariffs Jan2023'!AJ29-'Tariffs Jan2023'!J29)*('Tariffs Jan2023'!V29/100)*'Tariffs Jan2023'!AJ29,('Tariffs Jan2023'!K29-'Tariffs Jan2023'!J29)*('Tariffs Jan2023'!V29/100)*'Tariffs Jan2023'!AJ29))</f>
        <v>92.016818181818181</v>
      </c>
      <c r="L35" s="59">
        <f>IF($C$5*'Tariffs Jan2023'!AL29/'Tariffs Jan2023'!AJ29&lt;'Tariffs Jan2023'!K29,0,IF($C$5*'Tariffs Jan2023'!AL29/'Tariffs Jan2023'!AJ29&lt;='Tariffs Jan2023'!L29,($C$5*'Tariffs Jan2023'!AL29/'Tariffs Jan2023'!AJ29-'Tariffs Jan2023'!K29)*('Tariffs Jan2023'!W29/100)*'Tariffs Jan2023'!AJ29,('Tariffs Jan2023'!L29-'Tariffs Jan2023'!K29)*('Tariffs Jan2023'!W29/100)*'Tariffs Jan2023'!AJ29))</f>
        <v>0</v>
      </c>
      <c r="M35" s="59">
        <f>IF($C$5*'Tariffs Jan2023'!AL29/'Tariffs Jan2023'!AJ29&lt;'Tariffs Jan2023'!L29,0,IF($C$5*'Tariffs Jan2023'!AL29/'Tariffs Jan2023'!AJ29&lt;='Tariffs Jan2023'!M29,($C$5*'Tariffs Jan2023'!AL29/'Tariffs Jan2023'!AJ29-'Tariffs Jan2023'!L29)*('Tariffs Jan2023'!X29/100)*'Tariffs Jan2023'!AJ29,('Tariffs Jan2023'!M29-'Tariffs Jan2023'!L29)*('Tariffs Jan2023'!X29/100)*'Tariffs Jan2023'!AJ29))</f>
        <v>0</v>
      </c>
      <c r="N35" s="59">
        <f>IF(($C$5*'Tariffs Jan2023'!AL29/'Tariffs Jan2023'!AJ29&gt;'Tariffs Jan2023'!M29),($C$5*'Tariffs Jan2023'!AL29/'Tariffs Jan2023'!AJ29-'Tariffs Jan2023'!M29)*'Tariffs Jan2023'!Y29/100*'Tariffs Jan2023'!AJ29,0)</f>
        <v>447.95454545454544</v>
      </c>
      <c r="O35" s="59">
        <f t="shared" si="1"/>
        <v>1303.3636363636363</v>
      </c>
      <c r="P35" s="503">
        <f t="shared" si="2"/>
        <v>1433.7</v>
      </c>
      <c r="Q35" s="59">
        <f t="shared" si="3"/>
        <v>1533.2472727272725</v>
      </c>
      <c r="R35" s="272">
        <f t="shared" si="4"/>
        <v>1686.5719999999999</v>
      </c>
      <c r="S35" s="40">
        <f>'Tariffs Jan2023'!AN29</f>
        <v>0</v>
      </c>
      <c r="T35" s="40">
        <f>'Tariffs Jan2023'!AO29</f>
        <v>0</v>
      </c>
      <c r="U35" s="40">
        <f>'Tariffs Jan2023'!AP29</f>
        <v>0</v>
      </c>
      <c r="V35" s="40">
        <f>'Tariffs Jan2023'!AQ29</f>
        <v>0</v>
      </c>
      <c r="W35" s="537" t="str">
        <f t="shared" ref="W35:W46" si="43">IF(SUM(S35:V35)=0,"No discount",IF(S35&gt;0,"Guaranteed off bill",IF(T35&gt;0,"Guaranteed off usage",IF(U35&gt;0,"Pay-on-time off bill","Pay-on-time off usage"))))</f>
        <v>No discount</v>
      </c>
      <c r="X35" s="538" t="str">
        <f t="shared" ref="X35:X46" si="44">IF(OR(A35="Origin Energy",A35="Red Energy",A35="Powershop"),"Inclusive","Exclusive")</f>
        <v>Exclusive</v>
      </c>
      <c r="Y35" s="534">
        <f>IF(AND(W35="Guaranteed off bill",X35="Inclusive"),((Q35*1.1)-((Q35*1.1)*S35/100))/1.1,IF(AND(W35="Guaranteed off usage",X35="Inclusive"),((Q35*1.1)-((P35*1.1)*T35/100))/1.1,IF(AND(W35="Guaranteed off bill",X35="Exclusive"),Q35-(Q35*S35/100),IF(AND(W35="Guaranteed off usage",X35="Exclusive"),Q35-(P35*T35/100),IF(X35="Inclusive",((Q35*1.1))/1.1,Q35)))))</f>
        <v>1533.2472727272725</v>
      </c>
      <c r="Z35" s="535">
        <f>IF(AND(W35="Pay-on-time off bill",X35="Inclusive"),((Y35*1.1)-((Y35*1.1)*U35/100))/1.1,IF(AND(W35="Pay-on-time off usage",X35="Inclusive"),((Y35*1.1)-((P35*1.1)*V35/100))/1.1,IF(AND(W35="Pay-on-time off bill",X35="Exclusive"),Y35-(Y35*U35/100),IF(AND(W35="Pay-on-time off usage",X35="Exclusive"),Y35-(P35*V35/100),IF(X35="Inclusive",((Y35*1.1))/1.1,Y35)))))</f>
        <v>1533.2472727272725</v>
      </c>
      <c r="AA35" s="542">
        <f t="shared" si="27"/>
        <v>1686.5719999999999</v>
      </c>
      <c r="AB35" s="609">
        <f t="shared" si="27"/>
        <v>1686.5719999999999</v>
      </c>
      <c r="AC35" s="604"/>
      <c r="AD35" s="604"/>
      <c r="AE35" s="604"/>
      <c r="AF35" s="604"/>
      <c r="AG35" s="604"/>
      <c r="AH35" s="604"/>
      <c r="AI35" s="604"/>
      <c r="AJ35" s="604"/>
      <c r="AK35" s="604"/>
      <c r="AL35" s="604"/>
      <c r="AM35" s="604"/>
      <c r="AN35" s="604"/>
      <c r="AO35" s="604"/>
      <c r="AP35" s="604"/>
      <c r="AQ35" s="604"/>
      <c r="AR35" s="604"/>
      <c r="AS35" s="604"/>
      <c r="AT35" s="604"/>
    </row>
    <row r="36" spans="1:46" ht="14" x14ac:dyDescent="0.15">
      <c r="A36" s="270" t="str">
        <f>'Tariffs Jan2023'!F30</f>
        <v>Dodo Power &amp; Gas</v>
      </c>
      <c r="B36" s="40" t="str">
        <f>'Tariffs Jan2023'!D30</f>
        <v>AGN North</v>
      </c>
      <c r="C36" s="40" t="str">
        <f>'Tariffs Jan2023'!G30</f>
        <v>Market offer</v>
      </c>
      <c r="D36" s="59">
        <f>365*'Tariffs Jan2023'!H30/100</f>
        <v>207.35318181818181</v>
      </c>
      <c r="E36" s="59">
        <f>IF($C$5*'Tariffs Jan2023'!AK30/'Tariffs Jan2023'!AI30&gt;='Tariffs Jan2023'!J30,( 'Tariffs Jan2023'!J30*'Tariffs Jan2023'!O30/100)* 'Tariffs Jan2023'!AI30,($C$5*'Tariffs Jan2023'!AK30/'Tariffs Jan2023'!AI30*'Tariffs Jan2023'!O30/100)* 'Tariffs Jan2023'!AI30)</f>
        <v>96.307272727272718</v>
      </c>
      <c r="F36" s="59">
        <f>IF($C$5*'Tariffs Jan2023'!AK30/'Tariffs Jan2023'!AI30&lt;'Tariffs Jan2023'!J30,0,IF($C$5*'Tariffs Jan2023'!AK30/'Tariffs Jan2023'!AI30&lt;='Tariffs Jan2023'!K30,($C$5*'Tariffs Jan2023'!AK30/'Tariffs Jan2023'!AI30-'Tariffs Jan2023'!J30)*('Tariffs Jan2023'!P30/100)*'Tariffs Jan2023'!AI30,('Tariffs Jan2023'!K30-'Tariffs Jan2023'!J30)*('Tariffs Jan2023'!P30/100)*'Tariffs Jan2023'!AI30))</f>
        <v>64.547272727272727</v>
      </c>
      <c r="G36" s="59">
        <f>IF($C$5*'Tariffs Jan2023'!AK30/'Tariffs Jan2023'!AI30&lt;'Tariffs Jan2023'!K30,0,IF($C$5*'Tariffs Jan2023'!AK30/'Tariffs Jan2023'!AI30&lt;='Tariffs Jan2023'!L30,($C$5*'Tariffs Jan2023'!AK30/'Tariffs Jan2023'!AI30-'Tariffs Jan2023'!K30)*('Tariffs Jan2023'!Q30/100)*'Tariffs Jan2023'!AI30,('Tariffs Jan2023'!L30-'Tariffs Jan2023'!K30)*('Tariffs Jan2023'!Q30/100)*'Tariffs Jan2023'!AI30))</f>
        <v>0</v>
      </c>
      <c r="H36" s="59">
        <f>IF($C$5*'Tariffs Jan2023'!AK30/'Tariffs Jan2023'!AI30&lt;'Tariffs Jan2023'!L30,0,IF($C$5*'Tariffs Jan2023'!AK30/'Tariffs Jan2023'!AI30&lt;='Tariffs Jan2023'!M30,($C$5*'Tariffs Jan2023'!AK30/'Tariffs Jan2023'!AI30-'Tariffs Jan2023'!L30)*('Tariffs Jan2023'!R30/100)*'Tariffs Jan2023'!AI30,('Tariffs Jan2023'!M30-'Tariffs Jan2023'!L30)*('Tariffs Jan2023'!R30/100)*'Tariffs Jan2023'!AI30))</f>
        <v>0</v>
      </c>
      <c r="I36" s="59">
        <f>IF(($C$5*'Tariffs Jan2023'!AK30/'Tariffs Jan2023'!AI30&gt;'Tariffs Jan2023'!M30),($C$5*'Tariffs Jan2023'!AK30/'Tariffs Jan2023'!AI30-'Tariffs Jan2023'!M30)*'Tariffs Jan2023'!S30/100*'Tariffs Jan2023'!AI30,0)</f>
        <v>293.14077272727269</v>
      </c>
      <c r="J36" s="59">
        <f>IF($C$5*'Tariffs Jan2023'!AL30/'Tariffs Jan2023'!AJ30&gt;='Tariffs Jan2023'!J30,('Tariffs Jan2023'!J30*'Tariffs Jan2023'!U30/100)* 'Tariffs Jan2023'!AJ30,($C$5*'Tariffs Jan2023'!AL30/'Tariffs Jan2023'!AJ30*'Tariffs Jan2023'!U30/100)* 'Tariffs Jan2023'!AJ30)</f>
        <v>192.61454545454544</v>
      </c>
      <c r="K36" s="59">
        <f>IF($C$5*'Tariffs Jan2023'!AL30/'Tariffs Jan2023'!AJ30&lt;'Tariffs Jan2023'!J30,0,IF($C$5*'Tariffs Jan2023'!AL30/'Tariffs Jan2023'!AJ30&lt;='Tariffs Jan2023'!K30,($C$5*'Tariffs Jan2023'!AL30/'Tariffs Jan2023'!AJ30-'Tariffs Jan2023'!J30)*('Tariffs Jan2023'!V30/100)*'Tariffs Jan2023'!AJ30,('Tariffs Jan2023'!K30-'Tariffs Jan2023'!J30)*('Tariffs Jan2023'!V30/100)*'Tariffs Jan2023'!AJ30))</f>
        <v>129.09454545454545</v>
      </c>
      <c r="L36" s="59">
        <f>IF($C$5*'Tariffs Jan2023'!AL30/'Tariffs Jan2023'!AJ30&lt;'Tariffs Jan2023'!K30,0,IF($C$5*'Tariffs Jan2023'!AL30/'Tariffs Jan2023'!AJ30&lt;='Tariffs Jan2023'!L30,($C$5*'Tariffs Jan2023'!AL30/'Tariffs Jan2023'!AJ30-'Tariffs Jan2023'!K30)*('Tariffs Jan2023'!W30/100)*'Tariffs Jan2023'!AJ30,('Tariffs Jan2023'!L30-'Tariffs Jan2023'!K30)*('Tariffs Jan2023'!W30/100)*'Tariffs Jan2023'!AJ30))</f>
        <v>0</v>
      </c>
      <c r="M36" s="59">
        <f>IF($C$5*'Tariffs Jan2023'!AL30/'Tariffs Jan2023'!AJ30&lt;'Tariffs Jan2023'!L30,0,IF($C$5*'Tariffs Jan2023'!AL30/'Tariffs Jan2023'!AJ30&lt;='Tariffs Jan2023'!M30,($C$5*'Tariffs Jan2023'!AL30/'Tariffs Jan2023'!AJ30-'Tariffs Jan2023'!L30)*('Tariffs Jan2023'!X30/100)*'Tariffs Jan2023'!AJ30,('Tariffs Jan2023'!M30-'Tariffs Jan2023'!L30)*('Tariffs Jan2023'!X30/100)*'Tariffs Jan2023'!AJ30))</f>
        <v>0</v>
      </c>
      <c r="N36" s="59">
        <f>IF(($C$5*'Tariffs Jan2023'!AL30/'Tariffs Jan2023'!AJ30&gt;'Tariffs Jan2023'!M30),($C$5*'Tariffs Jan2023'!AL30/'Tariffs Jan2023'!AJ30-'Tariffs Jan2023'!M30)*'Tariffs Jan2023'!Y30/100*'Tariffs Jan2023'!AJ30,0)</f>
        <v>586.28154545454538</v>
      </c>
      <c r="O36" s="59">
        <f t="shared" si="1"/>
        <v>1361.9859545454544</v>
      </c>
      <c r="P36" s="503">
        <f t="shared" si="2"/>
        <v>1498.1845499999999</v>
      </c>
      <c r="Q36" s="59">
        <f t="shared" si="3"/>
        <v>1569.3391363636363</v>
      </c>
      <c r="R36" s="272">
        <f t="shared" si="4"/>
        <v>1726.27305</v>
      </c>
      <c r="S36" s="40">
        <f>'Tariffs Jan2023'!AN30</f>
        <v>0</v>
      </c>
      <c r="T36" s="40">
        <f>'Tariffs Jan2023'!AO30</f>
        <v>0</v>
      </c>
      <c r="U36" s="40">
        <f>'Tariffs Jan2023'!AP30</f>
        <v>0</v>
      </c>
      <c r="V36" s="40">
        <f>'Tariffs Jan2023'!AQ30</f>
        <v>0</v>
      </c>
      <c r="W36" s="537" t="str">
        <f t="shared" si="43"/>
        <v>No discount</v>
      </c>
      <c r="X36" s="538" t="str">
        <f t="shared" si="44"/>
        <v>Exclusive</v>
      </c>
      <c r="Y36" s="534">
        <f>IF(AND(W36="Guaranteed off bill",X36="Inclusive"),((Q36*1.1)-((Q36*1.1)*S36/100))/1.1,IF(AND(W36="Guaranteed off usage",X36="Inclusive"),((Q36*1.1)-((P36*1.1)*T36/100))/1.1,IF(AND(W36="Guaranteed off bill",X36="Exclusive"),Q36-(Q36*S36/100),IF(AND(W36="Guaranteed off usage",X36="Exclusive"),Q36-(P36*T36/100),IF(X36="Inclusive",((Q36*1.1))/1.1,Q36)))))</f>
        <v>1569.3391363636363</v>
      </c>
      <c r="Z36" s="535">
        <f>IF(AND(W36="Pay-on-time off bill",X36="Inclusive"),((Y36*1.1)-((Y36*1.1)*U36/100))/1.1,IF(AND(W36="Pay-on-time off usage",X36="Inclusive"),((Y36*1.1)-((P36*1.1)*V36/100))/1.1,IF(AND(W36="Pay-on-time off bill",X36="Exclusive"),Y36-(Y36*U36/100),IF(AND(W36="Pay-on-time off usage",X36="Exclusive"),Y36-(P36*V36/100),IF(X36="Inclusive",((Y36*1.1))/1.1,Y36)))))</f>
        <v>1569.3391363636363</v>
      </c>
      <c r="AA36" s="542">
        <f t="shared" si="27"/>
        <v>1726.27305</v>
      </c>
      <c r="AB36" s="609">
        <f t="shared" si="27"/>
        <v>1726.27305</v>
      </c>
      <c r="AC36" s="604"/>
      <c r="AD36" s="604"/>
      <c r="AE36" s="604"/>
      <c r="AF36" s="604"/>
      <c r="AG36" s="604"/>
      <c r="AH36" s="604"/>
      <c r="AI36" s="604"/>
      <c r="AJ36" s="604"/>
      <c r="AK36" s="604"/>
      <c r="AL36" s="604"/>
      <c r="AM36" s="604"/>
      <c r="AN36" s="604"/>
      <c r="AO36" s="604"/>
      <c r="AP36" s="604"/>
      <c r="AQ36" s="604"/>
      <c r="AR36" s="604"/>
      <c r="AS36" s="604"/>
      <c r="AT36" s="604"/>
    </row>
    <row r="37" spans="1:46" ht="14" x14ac:dyDescent="0.15">
      <c r="A37" s="270" t="str">
        <f>'Tariffs Jan2023'!F31</f>
        <v>EnergyAustralia</v>
      </c>
      <c r="B37" s="40" t="str">
        <f>'Tariffs Jan2023'!D31</f>
        <v>AGN North</v>
      </c>
      <c r="C37" s="40" t="str">
        <f>'Tariffs Jan2023'!G31</f>
        <v>Flexi Plan</v>
      </c>
      <c r="D37" s="59">
        <f>365*'Tariffs Jan2023'!H31/100</f>
        <v>380.46272727272719</v>
      </c>
      <c r="E37" s="59">
        <f>IF($C$5*'Tariffs Jan2023'!AK31/'Tariffs Jan2023'!AI31&gt;='Tariffs Jan2023'!J31,( 'Tariffs Jan2023'!J31*'Tariffs Jan2023'!O31/100)* 'Tariffs Jan2023'!AI31,($C$5*'Tariffs Jan2023'!AK31/'Tariffs Jan2023'!AI31*'Tariffs Jan2023'!O31/100)* 'Tariffs Jan2023'!AI31)</f>
        <v>222.52363636363634</v>
      </c>
      <c r="F37" s="59">
        <f>IF($C$5*'Tariffs Jan2023'!AK31/'Tariffs Jan2023'!AI31&lt;'Tariffs Jan2023'!J31,0,IF($C$5*'Tariffs Jan2023'!AK31/'Tariffs Jan2023'!AI31&lt;='Tariffs Jan2023'!K31,($C$5*'Tariffs Jan2023'!AK31/'Tariffs Jan2023'!AI31-'Tariffs Jan2023'!J31)*('Tariffs Jan2023'!P31/100)*'Tariffs Jan2023'!AI31,('Tariffs Jan2023'!K31-'Tariffs Jan2023'!J31)*('Tariffs Jan2023'!P31/100)*'Tariffs Jan2023'!AI31))</f>
        <v>143.38363636363636</v>
      </c>
      <c r="G37" s="59">
        <f>IF($C$5*'Tariffs Jan2023'!AK31/'Tariffs Jan2023'!AI31&lt;'Tariffs Jan2023'!K31,0,IF($C$5*'Tariffs Jan2023'!AK31/'Tariffs Jan2023'!AI31&lt;='Tariffs Jan2023'!L31,($C$5*'Tariffs Jan2023'!AK31/'Tariffs Jan2023'!AI31-'Tariffs Jan2023'!K31)*('Tariffs Jan2023'!Q31/100)*'Tariffs Jan2023'!AI31,('Tariffs Jan2023'!L31-'Tariffs Jan2023'!K31)*('Tariffs Jan2023'!Q31/100)*'Tariffs Jan2023'!AI31))</f>
        <v>0</v>
      </c>
      <c r="H37" s="59">
        <f>IF($C$5*'Tariffs Jan2023'!AK31/'Tariffs Jan2023'!AI31&lt;'Tariffs Jan2023'!L31,0,IF($C$5*'Tariffs Jan2023'!AK31/'Tariffs Jan2023'!AI31&lt;='Tariffs Jan2023'!M31,($C$5*'Tariffs Jan2023'!AK31/'Tariffs Jan2023'!AI31-'Tariffs Jan2023'!L31)*('Tariffs Jan2023'!R31/100)*'Tariffs Jan2023'!AI31,('Tariffs Jan2023'!M31-'Tariffs Jan2023'!L31)*('Tariffs Jan2023'!R31/100)*'Tariffs Jan2023'!AI31))</f>
        <v>0</v>
      </c>
      <c r="I37" s="59">
        <f>IF(($C$5*'Tariffs Jan2023'!AK31/'Tariffs Jan2023'!AI31&gt;'Tariffs Jan2023'!M31),($C$5*'Tariffs Jan2023'!AK31/'Tariffs Jan2023'!AI31-'Tariffs Jan2023'!M31)*'Tariffs Jan2023'!S31/100*'Tariffs Jan2023'!AI31,0)</f>
        <v>638.18181818181813</v>
      </c>
      <c r="J37" s="59">
        <f>IF($C$5*'Tariffs Jan2023'!AL31/'Tariffs Jan2023'!AJ31&gt;='Tariffs Jan2023'!J31,('Tariffs Jan2023'!J31*'Tariffs Jan2023'!U31/100)* 'Tariffs Jan2023'!AJ31,($C$5*'Tariffs Jan2023'!AL31/'Tariffs Jan2023'!AJ31*'Tariffs Jan2023'!U31/100)* 'Tariffs Jan2023'!AJ31)</f>
        <v>222.52363636363634</v>
      </c>
      <c r="K37" s="59">
        <f>IF($C$5*'Tariffs Jan2023'!AL31/'Tariffs Jan2023'!AJ31&lt;'Tariffs Jan2023'!J31,0,IF($C$5*'Tariffs Jan2023'!AL31/'Tariffs Jan2023'!AJ31&lt;='Tariffs Jan2023'!K31,($C$5*'Tariffs Jan2023'!AL31/'Tariffs Jan2023'!AJ31-'Tariffs Jan2023'!J31)*('Tariffs Jan2023'!V31/100)*'Tariffs Jan2023'!AJ31,('Tariffs Jan2023'!K31-'Tariffs Jan2023'!J31)*('Tariffs Jan2023'!V31/100)*'Tariffs Jan2023'!AJ31))</f>
        <v>143.38363636363636</v>
      </c>
      <c r="L37" s="59">
        <f>IF($C$5*'Tariffs Jan2023'!AL31/'Tariffs Jan2023'!AJ31&lt;'Tariffs Jan2023'!K31,0,IF($C$5*'Tariffs Jan2023'!AL31/'Tariffs Jan2023'!AJ31&lt;='Tariffs Jan2023'!L31,($C$5*'Tariffs Jan2023'!AL31/'Tariffs Jan2023'!AJ31-'Tariffs Jan2023'!K31)*('Tariffs Jan2023'!W31/100)*'Tariffs Jan2023'!AJ31,('Tariffs Jan2023'!L31-'Tariffs Jan2023'!K31)*('Tariffs Jan2023'!W31/100)*'Tariffs Jan2023'!AJ31))</f>
        <v>0</v>
      </c>
      <c r="M37" s="59">
        <f>IF($C$5*'Tariffs Jan2023'!AL31/'Tariffs Jan2023'!AJ31&lt;'Tariffs Jan2023'!L31,0,IF($C$5*'Tariffs Jan2023'!AL31/'Tariffs Jan2023'!AJ31&lt;='Tariffs Jan2023'!M31,($C$5*'Tariffs Jan2023'!AL31/'Tariffs Jan2023'!AJ31-'Tariffs Jan2023'!L31)*('Tariffs Jan2023'!X31/100)*'Tariffs Jan2023'!AJ31,('Tariffs Jan2023'!M31-'Tariffs Jan2023'!L31)*('Tariffs Jan2023'!X31/100)*'Tariffs Jan2023'!AJ31))</f>
        <v>0</v>
      </c>
      <c r="N37" s="59">
        <f>IF(($C$5*'Tariffs Jan2023'!AL31/'Tariffs Jan2023'!AJ31&gt;'Tariffs Jan2023'!M31),($C$5*'Tariffs Jan2023'!AL31/'Tariffs Jan2023'!AJ31-'Tariffs Jan2023'!M31)*'Tariffs Jan2023'!Y31/100*'Tariffs Jan2023'!AJ31,0)</f>
        <v>638.18181818181813</v>
      </c>
      <c r="O37" s="59">
        <f t="shared" si="1"/>
        <v>2008.1781818181817</v>
      </c>
      <c r="P37" s="503">
        <f t="shared" si="2"/>
        <v>2208.9960000000001</v>
      </c>
      <c r="Q37" s="59">
        <f t="shared" si="3"/>
        <v>2388.6409090909087</v>
      </c>
      <c r="R37" s="272">
        <f t="shared" si="4"/>
        <v>2627.5049999999997</v>
      </c>
      <c r="S37" s="40">
        <f>'Tariffs Jan2023'!AN31</f>
        <v>12</v>
      </c>
      <c r="T37" s="40">
        <f>'Tariffs Jan2023'!AO31</f>
        <v>0</v>
      </c>
      <c r="U37" s="40">
        <f>'Tariffs Jan2023'!AP31</f>
        <v>0</v>
      </c>
      <c r="V37" s="40">
        <f>'Tariffs Jan2023'!AQ31</f>
        <v>0</v>
      </c>
      <c r="W37" s="537" t="str">
        <f t="shared" si="43"/>
        <v>Guaranteed off bill</v>
      </c>
      <c r="X37" s="538" t="str">
        <f t="shared" si="44"/>
        <v>Exclusive</v>
      </c>
      <c r="Y37" s="534">
        <f t="shared" ref="Y37" si="45">IF(AND(W37="Guaranteed off bill",X37="Inclusive"),((Q37*1.1)-((Q37*1.1)*S37/100))/1.1,IF(AND(W37="Guaranteed off usage",X37="Inclusive"),((Q37*1.1)-((P37*1.1)*T37/100))/1.1,IF(AND(W37="Guaranteed off bill",X37="Exclusive"),Q37-(Q37*S37/100),IF(AND(W37="Guaranteed off usage",X37="Exclusive"),Q37-(P37*T37/100),IF(X37="Inclusive",((Q37*1.1))/1.1,Q37)))))</f>
        <v>2102.0039999999999</v>
      </c>
      <c r="Z37" s="535">
        <f t="shared" ref="Z37" si="46">IF(AND(W37="Pay-on-time off bill",X37="Inclusive"),((Y37*1.1)-((Y37*1.1)*U37/100))/1.1,IF(AND(W37="Pay-on-time off usage",X37="Inclusive"),((Y37*1.1)-((P37*1.1)*V37/100))/1.1,IF(AND(W37="Pay-on-time off bill",X37="Exclusive"),Y37-(Y37*U37/100),IF(AND(W37="Pay-on-time off usage",X37="Exclusive"),Y37-(P37*V37/100),IF(X37="Inclusive",((Y37*1.1))/1.1,Y37)))))</f>
        <v>2102.0039999999999</v>
      </c>
      <c r="AA37" s="542">
        <f t="shared" si="27"/>
        <v>2312.2044000000001</v>
      </c>
      <c r="AB37" s="609">
        <f t="shared" si="27"/>
        <v>2312.2044000000001</v>
      </c>
      <c r="AC37" s="604"/>
      <c r="AD37" s="604"/>
      <c r="AE37" s="604"/>
      <c r="AF37" s="604"/>
      <c r="AG37" s="604"/>
      <c r="AH37" s="604"/>
      <c r="AI37" s="604"/>
      <c r="AJ37" s="604"/>
      <c r="AK37" s="604"/>
      <c r="AL37" s="604"/>
      <c r="AM37" s="604"/>
      <c r="AN37" s="604"/>
      <c r="AO37" s="604"/>
      <c r="AP37" s="604"/>
      <c r="AQ37" s="604"/>
      <c r="AR37" s="604"/>
      <c r="AS37" s="604"/>
      <c r="AT37" s="604"/>
    </row>
    <row r="38" spans="1:46" ht="14" x14ac:dyDescent="0.15">
      <c r="A38" s="270" t="str">
        <f>'Tariffs Jan2023'!F32</f>
        <v>Lumo Energy</v>
      </c>
      <c r="B38" s="40" t="str">
        <f>'Tariffs Jan2023'!D32</f>
        <v>AGN North</v>
      </c>
      <c r="C38" s="40" t="str">
        <f>'Tariffs Jan2023'!G32</f>
        <v>Value</v>
      </c>
      <c r="D38" s="59">
        <f>365*'Tariffs Jan2023'!H32/100</f>
        <v>275.93999999999994</v>
      </c>
      <c r="E38" s="59">
        <f>IF($C$5*'Tariffs Jan2023'!AK32/'Tariffs Jan2023'!AI32&gt;='Tariffs Jan2023'!J32,( 'Tariffs Jan2023'!J32*'Tariffs Jan2023'!O32/100)* 'Tariffs Jan2023'!AI32,($C$5*'Tariffs Jan2023'!AK32/'Tariffs Jan2023'!AI32*'Tariffs Jan2023'!O32/100)* 'Tariffs Jan2023'!AI32)</f>
        <v>162.40636363636364</v>
      </c>
      <c r="F38" s="59">
        <f>IF($C$5*'Tariffs Jan2023'!AK32/'Tariffs Jan2023'!AI32&lt;'Tariffs Jan2023'!J32,0,IF($C$5*'Tariffs Jan2023'!AK32/'Tariffs Jan2023'!AI32&lt;='Tariffs Jan2023'!K32,($C$5*'Tariffs Jan2023'!AK32/'Tariffs Jan2023'!AI32-'Tariffs Jan2023'!J32)*('Tariffs Jan2023'!P32/100)*'Tariffs Jan2023'!AI32,('Tariffs Jan2023'!K32-'Tariffs Jan2023'!J32)*('Tariffs Jan2023'!P32/100)*'Tariffs Jan2023'!AI32))</f>
        <v>114.18954545454542</v>
      </c>
      <c r="G38" s="59">
        <f>IF($C$5*'Tariffs Jan2023'!AK32/'Tariffs Jan2023'!AI32&lt;'Tariffs Jan2023'!K32,0,IF($C$5*'Tariffs Jan2023'!AK32/'Tariffs Jan2023'!AI32&lt;='Tariffs Jan2023'!L32,($C$5*'Tariffs Jan2023'!AK32/'Tariffs Jan2023'!AI32-'Tariffs Jan2023'!K32)*('Tariffs Jan2023'!Q32/100)*'Tariffs Jan2023'!AI32,('Tariffs Jan2023'!L32-'Tariffs Jan2023'!K32)*('Tariffs Jan2023'!Q32/100)*'Tariffs Jan2023'!AI32))</f>
        <v>0</v>
      </c>
      <c r="H38" s="59">
        <f>IF($C$5*'Tariffs Jan2023'!AK32/'Tariffs Jan2023'!AI32&lt;'Tariffs Jan2023'!L32,0,IF($C$5*'Tariffs Jan2023'!AK32/'Tariffs Jan2023'!AI32&lt;='Tariffs Jan2023'!M32,($C$5*'Tariffs Jan2023'!AK32/'Tariffs Jan2023'!AI32-'Tariffs Jan2023'!L32)*('Tariffs Jan2023'!R32/100)*'Tariffs Jan2023'!AI32,('Tariffs Jan2023'!M32-'Tariffs Jan2023'!L32)*('Tariffs Jan2023'!R32/100)*'Tariffs Jan2023'!AI32))</f>
        <v>0</v>
      </c>
      <c r="I38" s="59">
        <f>IF(($C$5*'Tariffs Jan2023'!AK32/'Tariffs Jan2023'!AI32&gt;'Tariffs Jan2023'!M32),($C$5*'Tariffs Jan2023'!AK32/'Tariffs Jan2023'!AI32-'Tariffs Jan2023'!M32)*'Tariffs Jan2023'!S32/100*'Tariffs Jan2023'!AI32,0)</f>
        <v>554.31818181818176</v>
      </c>
      <c r="J38" s="59">
        <f>IF($C$5*'Tariffs Jan2023'!AL32/'Tariffs Jan2023'!AJ32&gt;='Tariffs Jan2023'!J32,('Tariffs Jan2023'!J32*'Tariffs Jan2023'!U32/100)* 'Tariffs Jan2023'!AJ32,($C$5*'Tariffs Jan2023'!AL32/'Tariffs Jan2023'!AJ32*'Tariffs Jan2023'!U32/100)* 'Tariffs Jan2023'!AJ32)</f>
        <v>162.40636363636364</v>
      </c>
      <c r="K38" s="59">
        <f>IF($C$5*'Tariffs Jan2023'!AL32/'Tariffs Jan2023'!AJ32&lt;'Tariffs Jan2023'!J32,0,IF($C$5*'Tariffs Jan2023'!AL32/'Tariffs Jan2023'!AJ32&lt;='Tariffs Jan2023'!K32,($C$5*'Tariffs Jan2023'!AL32/'Tariffs Jan2023'!AJ32-'Tariffs Jan2023'!J32)*('Tariffs Jan2023'!V32/100)*'Tariffs Jan2023'!AJ32,('Tariffs Jan2023'!K32-'Tariffs Jan2023'!J32)*('Tariffs Jan2023'!V32/100)*'Tariffs Jan2023'!AJ32))</f>
        <v>114.18954545454542</v>
      </c>
      <c r="L38" s="59">
        <f>IF($C$5*'Tariffs Jan2023'!AL32/'Tariffs Jan2023'!AJ32&lt;'Tariffs Jan2023'!K32,0,IF($C$5*'Tariffs Jan2023'!AL32/'Tariffs Jan2023'!AJ32&lt;='Tariffs Jan2023'!L32,($C$5*'Tariffs Jan2023'!AL32/'Tariffs Jan2023'!AJ32-'Tariffs Jan2023'!K32)*('Tariffs Jan2023'!W32/100)*'Tariffs Jan2023'!AJ32,('Tariffs Jan2023'!L32-'Tariffs Jan2023'!K32)*('Tariffs Jan2023'!W32/100)*'Tariffs Jan2023'!AJ32))</f>
        <v>0</v>
      </c>
      <c r="M38" s="59">
        <f>IF($C$5*'Tariffs Jan2023'!AL32/'Tariffs Jan2023'!AJ32&lt;'Tariffs Jan2023'!L32,0,IF($C$5*'Tariffs Jan2023'!AL32/'Tariffs Jan2023'!AJ32&lt;='Tariffs Jan2023'!M32,($C$5*'Tariffs Jan2023'!AL32/'Tariffs Jan2023'!AJ32-'Tariffs Jan2023'!L32)*('Tariffs Jan2023'!X32/100)*'Tariffs Jan2023'!AJ32,('Tariffs Jan2023'!M32-'Tariffs Jan2023'!L32)*('Tariffs Jan2023'!X32/100)*'Tariffs Jan2023'!AJ32))</f>
        <v>0</v>
      </c>
      <c r="N38" s="59">
        <f>IF(($C$5*'Tariffs Jan2023'!AL32/'Tariffs Jan2023'!AJ32&gt;'Tariffs Jan2023'!M32),($C$5*'Tariffs Jan2023'!AL32/'Tariffs Jan2023'!AJ32-'Tariffs Jan2023'!M32)*'Tariffs Jan2023'!Y32/100*'Tariffs Jan2023'!AJ32,0)</f>
        <v>554.31818181818176</v>
      </c>
      <c r="O38" s="59">
        <f t="shared" si="1"/>
        <v>1661.8281818181817</v>
      </c>
      <c r="P38" s="503">
        <f t="shared" si="2"/>
        <v>1828.011</v>
      </c>
      <c r="Q38" s="59">
        <f t="shared" si="3"/>
        <v>1937.7681818181818</v>
      </c>
      <c r="R38" s="272">
        <f t="shared" si="4"/>
        <v>2131.5450000000001</v>
      </c>
      <c r="S38" s="40">
        <f>'Tariffs Jan2023'!AN32</f>
        <v>0</v>
      </c>
      <c r="T38" s="40">
        <f>'Tariffs Jan2023'!AO32</f>
        <v>0</v>
      </c>
      <c r="U38" s="40">
        <f>'Tariffs Jan2023'!AP32</f>
        <v>0</v>
      </c>
      <c r="V38" s="40">
        <f>'Tariffs Jan2023'!AQ32</f>
        <v>0</v>
      </c>
      <c r="W38" s="537" t="str">
        <f t="shared" si="43"/>
        <v>No discount</v>
      </c>
      <c r="X38" s="538" t="str">
        <f t="shared" si="44"/>
        <v>Exclusive</v>
      </c>
      <c r="Y38" s="534">
        <f>IF(AND(W38="Guaranteed off bill",X38="Inclusive"),((Q38*1.1)-((Q38*1.1)*S38/100))/1.1,IF(AND(W38="Guaranteed off usage",X38="Inclusive"),((Q38*1.1)-((P38*1.1)*T38/100))/1.1,IF(AND(W38="Guaranteed off bill",X38="Exclusive"),Q38-(Q38*S38/100),IF(AND(W38="Guaranteed off usage",X38="Exclusive"),Q38-(P38*T38/100),IF(X38="Inclusive",((Q38*1.1))/1.1,Q38)))))</f>
        <v>1937.7681818181818</v>
      </c>
      <c r="Z38" s="535">
        <f>IF(AND(W38="Pay-on-time off bill",X38="Inclusive"),((Y38*1.1)-((Y38*1.1)*U38/100))/1.1,IF(AND(W38="Pay-on-time off usage",X38="Inclusive"),((Y38*1.1)-((P38*1.1)*V38/100))/1.1,IF(AND(W38="Pay-on-time off bill",X38="Exclusive"),Y38-(Y38*U38/100),IF(AND(W38="Pay-on-time off usage",X38="Exclusive"),Y38-(P38*V38/100),IF(X38="Inclusive",((Y38*1.1))/1.1,Y38)))))</f>
        <v>1937.7681818181818</v>
      </c>
      <c r="AA38" s="542">
        <f t="shared" ref="AA38:AB52" si="47">Y38*1.1</f>
        <v>2131.5450000000001</v>
      </c>
      <c r="AB38" s="609">
        <f t="shared" si="47"/>
        <v>2131.5450000000001</v>
      </c>
      <c r="AC38" s="604"/>
      <c r="AD38" s="604"/>
      <c r="AE38" s="604"/>
      <c r="AF38" s="604"/>
      <c r="AG38" s="604"/>
      <c r="AH38" s="604"/>
      <c r="AI38" s="604"/>
      <c r="AJ38" s="604"/>
      <c r="AK38" s="604"/>
      <c r="AL38" s="604"/>
      <c r="AM38" s="604"/>
      <c r="AN38" s="604"/>
      <c r="AO38" s="604"/>
      <c r="AP38" s="604"/>
      <c r="AQ38" s="604"/>
      <c r="AR38" s="604"/>
      <c r="AS38" s="604"/>
      <c r="AT38" s="604"/>
    </row>
    <row r="39" spans="1:46" ht="14" x14ac:dyDescent="0.15">
      <c r="A39" s="270" t="str">
        <f>'Tariffs Jan2023'!F33</f>
        <v>Origin Energy</v>
      </c>
      <c r="B39" s="40" t="str">
        <f>'Tariffs Jan2023'!D33</f>
        <v>AGN North</v>
      </c>
      <c r="C39" s="40" t="str">
        <f>'Tariffs Jan2023'!G33</f>
        <v>Go Variable</v>
      </c>
      <c r="D39" s="59">
        <f>365*'Tariffs Jan2023'!H33/100</f>
        <v>272.09090909090907</v>
      </c>
      <c r="E39" s="59">
        <f>IF($C$5*'Tariffs Jan2023'!AK33/'Tariffs Jan2023'!AI33&gt;='Tariffs Jan2023'!J33,( 'Tariffs Jan2023'!J33*'Tariffs Jan2023'!O33/100)* 'Tariffs Jan2023'!AI33,($C$5*'Tariffs Jan2023'!AK33/'Tariffs Jan2023'!AI33*'Tariffs Jan2023'!O33/100)* 'Tariffs Jan2023'!AI33)</f>
        <v>454.90909090909088</v>
      </c>
      <c r="F39" s="59">
        <f>IF($C$5*'Tariffs Jan2023'!AK33/'Tariffs Jan2023'!AI33&lt;'Tariffs Jan2023'!J33,0,IF($C$5*'Tariffs Jan2023'!AK33/'Tariffs Jan2023'!AI33&lt;='Tariffs Jan2023'!K33,($C$5*'Tariffs Jan2023'!AK33/'Tariffs Jan2023'!AI33-'Tariffs Jan2023'!J33)*('Tariffs Jan2023'!P33/100)*'Tariffs Jan2023'!AI33,('Tariffs Jan2023'!K33-'Tariffs Jan2023'!J33)*('Tariffs Jan2023'!P33/100)*'Tariffs Jan2023'!AI33))</f>
        <v>325.22727272727269</v>
      </c>
      <c r="G39" s="59">
        <f>IF($C$5*'Tariffs Jan2023'!AK33/'Tariffs Jan2023'!AI33&lt;'Tariffs Jan2023'!K33,0,IF($C$5*'Tariffs Jan2023'!AK33/'Tariffs Jan2023'!AI33&lt;='Tariffs Jan2023'!L33,($C$5*'Tariffs Jan2023'!AK33/'Tariffs Jan2023'!AI33-'Tariffs Jan2023'!K33)*('Tariffs Jan2023'!Q33/100)*'Tariffs Jan2023'!AI33,('Tariffs Jan2023'!L33-'Tariffs Jan2023'!K33)*('Tariffs Jan2023'!Q33/100)*'Tariffs Jan2023'!AI33))</f>
        <v>0</v>
      </c>
      <c r="H39" s="59">
        <f>IF($C$5*'Tariffs Jan2023'!AK33/'Tariffs Jan2023'!AI33&lt;'Tariffs Jan2023'!L33,0,IF($C$5*'Tariffs Jan2023'!AK33/'Tariffs Jan2023'!AI33&lt;='Tariffs Jan2023'!M33,($C$5*'Tariffs Jan2023'!AK33/'Tariffs Jan2023'!AI33-'Tariffs Jan2023'!L33)*('Tariffs Jan2023'!R33/100)*'Tariffs Jan2023'!AI33,('Tariffs Jan2023'!M33-'Tariffs Jan2023'!L33)*('Tariffs Jan2023'!R33/100)*'Tariffs Jan2023'!AI33))</f>
        <v>0</v>
      </c>
      <c r="I39" s="59">
        <f>IF(($C$5*'Tariffs Jan2023'!AK33/'Tariffs Jan2023'!AI33&gt;'Tariffs Jan2023'!M33),($C$5*'Tariffs Jan2023'!AK33/'Tariffs Jan2023'!AI33-'Tariffs Jan2023'!M33)*'Tariffs Jan2023'!S33/100*'Tariffs Jan2023'!AI33,0)</f>
        <v>0</v>
      </c>
      <c r="J39" s="59">
        <f>IF($C$5*'Tariffs Jan2023'!AL33/'Tariffs Jan2023'!AJ33&gt;='Tariffs Jan2023'!J33,('Tariffs Jan2023'!J33*'Tariffs Jan2023'!U33/100)* 'Tariffs Jan2023'!AJ33,($C$5*'Tariffs Jan2023'!AL33/'Tariffs Jan2023'!AJ33*'Tariffs Jan2023'!U33/100)* 'Tariffs Jan2023'!AJ33)</f>
        <v>454.90909090909088</v>
      </c>
      <c r="K39" s="59">
        <f>IF($C$5*'Tariffs Jan2023'!AL33/'Tariffs Jan2023'!AJ33&lt;'Tariffs Jan2023'!J33,0,IF($C$5*'Tariffs Jan2023'!AL33/'Tariffs Jan2023'!AJ33&lt;='Tariffs Jan2023'!K33,($C$5*'Tariffs Jan2023'!AL33/'Tariffs Jan2023'!AJ33-'Tariffs Jan2023'!J33)*('Tariffs Jan2023'!V33/100)*'Tariffs Jan2023'!AJ33,('Tariffs Jan2023'!K33-'Tariffs Jan2023'!J33)*('Tariffs Jan2023'!V33/100)*'Tariffs Jan2023'!AJ33))</f>
        <v>325.22727272727269</v>
      </c>
      <c r="L39" s="59">
        <f>IF($C$5*'Tariffs Jan2023'!AL33/'Tariffs Jan2023'!AJ33&lt;'Tariffs Jan2023'!K33,0,IF($C$5*'Tariffs Jan2023'!AL33/'Tariffs Jan2023'!AJ33&lt;='Tariffs Jan2023'!L33,($C$5*'Tariffs Jan2023'!AL33/'Tariffs Jan2023'!AJ33-'Tariffs Jan2023'!K33)*('Tariffs Jan2023'!W33/100)*'Tariffs Jan2023'!AJ33,('Tariffs Jan2023'!L33-'Tariffs Jan2023'!K33)*('Tariffs Jan2023'!W33/100)*'Tariffs Jan2023'!AJ33))</f>
        <v>0</v>
      </c>
      <c r="M39" s="59">
        <f>IF($C$5*'Tariffs Jan2023'!AL33/'Tariffs Jan2023'!AJ33&lt;'Tariffs Jan2023'!L33,0,IF($C$5*'Tariffs Jan2023'!AL33/'Tariffs Jan2023'!AJ33&lt;='Tariffs Jan2023'!M33,($C$5*'Tariffs Jan2023'!AL33/'Tariffs Jan2023'!AJ33-'Tariffs Jan2023'!L33)*('Tariffs Jan2023'!X33/100)*'Tariffs Jan2023'!AJ33,('Tariffs Jan2023'!M33-'Tariffs Jan2023'!L33)*('Tariffs Jan2023'!X33/100)*'Tariffs Jan2023'!AJ33))</f>
        <v>0</v>
      </c>
      <c r="N39" s="59">
        <f>IF(($C$5*'Tariffs Jan2023'!AL33/'Tariffs Jan2023'!AJ33&gt;'Tariffs Jan2023'!M33),($C$5*'Tariffs Jan2023'!AL33/'Tariffs Jan2023'!AJ33-'Tariffs Jan2023'!M33)*'Tariffs Jan2023'!Y33/100*'Tariffs Jan2023'!AJ33,0)</f>
        <v>0</v>
      </c>
      <c r="O39" s="59">
        <f t="shared" si="1"/>
        <v>1560.2727272727273</v>
      </c>
      <c r="P39" s="503">
        <f t="shared" si="2"/>
        <v>1716.3000000000002</v>
      </c>
      <c r="Q39" s="59">
        <f t="shared" si="3"/>
        <v>1832.3636363636363</v>
      </c>
      <c r="R39" s="272">
        <f t="shared" si="4"/>
        <v>2015.6000000000001</v>
      </c>
      <c r="S39" s="40">
        <f>'Tariffs Jan2023'!AN33</f>
        <v>0</v>
      </c>
      <c r="T39" s="40">
        <f>'Tariffs Jan2023'!AO33</f>
        <v>0</v>
      </c>
      <c r="U39" s="40">
        <f>'Tariffs Jan2023'!AP33</f>
        <v>0</v>
      </c>
      <c r="V39" s="40">
        <f>'Tariffs Jan2023'!AQ33</f>
        <v>0</v>
      </c>
      <c r="W39" s="537" t="str">
        <f t="shared" si="43"/>
        <v>No discount</v>
      </c>
      <c r="X39" s="538" t="str">
        <f t="shared" si="44"/>
        <v>Inclusive</v>
      </c>
      <c r="Y39" s="534">
        <f>IF(AND(W39="Guaranteed off bill",X39="Inclusive"),((Q39*1.1)-((Q39*1.1)*S39/100))/1.1,IF(AND(W39="Guaranteed off usage",X39="Inclusive"),((Q39*1.1)-((P39*1.1)*T39/100))/1.1,IF(AND(W39="Guaranteed off bill",X39="Exclusive"),Q39-(Q39*S39/100),IF(AND(W39="Guaranteed off usage",X39="Exclusive"),Q39-(P39*T39/100),IF(X39="Inclusive",((Q39*1.1))/1.1,Q39)))))</f>
        <v>1832.3636363636363</v>
      </c>
      <c r="Z39" s="535">
        <f>IF(AND(W39="Pay-on-time off bill",X39="Inclusive"),((Y39*1.1)-((Y39*1.1)*U39/100))/1.1,IF(AND(W39="Pay-on-time off usage",X39="Inclusive"),((Y39*1.1)-((P39*1.1)*V39/100))/1.1,IF(AND(W39="Pay-on-time off bill",X39="Exclusive"),Y39-(Y39*U39/100),IF(AND(W39="Pay-on-time off usage",X39="Exclusive"),Y39-(P39*V39/100),IF(X39="Inclusive",((Y39*1.1))/1.1,Y39)))))</f>
        <v>1832.3636363636363</v>
      </c>
      <c r="AA39" s="542">
        <f t="shared" si="47"/>
        <v>2015.6000000000001</v>
      </c>
      <c r="AB39" s="609">
        <f t="shared" si="47"/>
        <v>2015.6000000000001</v>
      </c>
      <c r="AC39" s="604"/>
      <c r="AD39" s="604"/>
      <c r="AE39" s="604"/>
      <c r="AF39" s="604"/>
      <c r="AG39" s="604"/>
      <c r="AH39" s="604"/>
      <c r="AI39" s="604"/>
      <c r="AJ39" s="604"/>
      <c r="AK39" s="604"/>
      <c r="AL39" s="604"/>
      <c r="AM39" s="604"/>
      <c r="AN39" s="604"/>
      <c r="AO39" s="604"/>
      <c r="AP39" s="604"/>
      <c r="AQ39" s="604"/>
      <c r="AR39" s="604"/>
      <c r="AS39" s="604"/>
      <c r="AT39" s="604"/>
    </row>
    <row r="40" spans="1:46" ht="14" x14ac:dyDescent="0.15">
      <c r="A40" s="270" t="str">
        <f>'Tariffs Jan2023'!F34</f>
        <v>Red Energy</v>
      </c>
      <c r="B40" s="40" t="str">
        <f>'Tariffs Jan2023'!D34</f>
        <v>AGN North</v>
      </c>
      <c r="C40" s="40" t="str">
        <f>'Tariffs Jan2023'!G34</f>
        <v>Living Energy Saver</v>
      </c>
      <c r="D40" s="59">
        <f>365*'Tariffs Jan2023'!H34/100</f>
        <v>275.93999999999994</v>
      </c>
      <c r="E40" s="59">
        <f>IF($C$5*'Tariffs Jan2023'!AK34/'Tariffs Jan2023'!AI34&gt;='Tariffs Jan2023'!J34,( 'Tariffs Jan2023'!J34*'Tariffs Jan2023'!O34/100)* 'Tariffs Jan2023'!AI34,($C$5*'Tariffs Jan2023'!AK34/'Tariffs Jan2023'!AI34*'Tariffs Jan2023'!O34/100)* 'Tariffs Jan2023'!AI34)</f>
        <v>153.88227272727272</v>
      </c>
      <c r="F40" s="59">
        <f>IF($C$5*'Tariffs Jan2023'!AK34/'Tariffs Jan2023'!AI34&lt;'Tariffs Jan2023'!J34,0,IF($C$5*'Tariffs Jan2023'!AK34/'Tariffs Jan2023'!AI34&lt;='Tariffs Jan2023'!K34,($C$5*'Tariffs Jan2023'!AK34/'Tariffs Jan2023'!AI34-'Tariffs Jan2023'!J34)*('Tariffs Jan2023'!P34/100)*'Tariffs Jan2023'!AI34,('Tariffs Jan2023'!K34-'Tariffs Jan2023'!J34)*('Tariffs Jan2023'!P34/100)*'Tariffs Jan2023'!AI34))</f>
        <v>106.79863636363635</v>
      </c>
      <c r="G40" s="59">
        <f>IF($C$5*'Tariffs Jan2023'!AK34/'Tariffs Jan2023'!AI34&lt;'Tariffs Jan2023'!K34,0,IF($C$5*'Tariffs Jan2023'!AK34/'Tariffs Jan2023'!AI34&lt;='Tariffs Jan2023'!L34,($C$5*'Tariffs Jan2023'!AK34/'Tariffs Jan2023'!AI34-'Tariffs Jan2023'!K34)*('Tariffs Jan2023'!Q34/100)*'Tariffs Jan2023'!AI34,('Tariffs Jan2023'!L34-'Tariffs Jan2023'!K34)*('Tariffs Jan2023'!Q34/100)*'Tariffs Jan2023'!AI34))</f>
        <v>0</v>
      </c>
      <c r="H40" s="59">
        <f>IF($C$5*'Tariffs Jan2023'!AK34/'Tariffs Jan2023'!AI34&lt;'Tariffs Jan2023'!L34,0,IF($C$5*'Tariffs Jan2023'!AK34/'Tariffs Jan2023'!AI34&lt;='Tariffs Jan2023'!M34,($C$5*'Tariffs Jan2023'!AK34/'Tariffs Jan2023'!AI34-'Tariffs Jan2023'!L34)*('Tariffs Jan2023'!R34/100)*'Tariffs Jan2023'!AI34,('Tariffs Jan2023'!M34-'Tariffs Jan2023'!L34)*('Tariffs Jan2023'!R34/100)*'Tariffs Jan2023'!AI34))</f>
        <v>0</v>
      </c>
      <c r="I40" s="59">
        <f>IF(($C$5*'Tariffs Jan2023'!AK34/'Tariffs Jan2023'!AI34&gt;'Tariffs Jan2023'!M34),($C$5*'Tariffs Jan2023'!AK34/'Tariffs Jan2023'!AI34-'Tariffs Jan2023'!M34)*'Tariffs Jan2023'!S34/100*'Tariffs Jan2023'!AI34,0)</f>
        <v>507.27272727272725</v>
      </c>
      <c r="J40" s="59">
        <f>IF($C$5*'Tariffs Jan2023'!AL34/'Tariffs Jan2023'!AJ34&gt;='Tariffs Jan2023'!J34,('Tariffs Jan2023'!J34*'Tariffs Jan2023'!U34/100)* 'Tariffs Jan2023'!AJ34,($C$5*'Tariffs Jan2023'!AL34/'Tariffs Jan2023'!AJ34*'Tariffs Jan2023'!U34/100)* 'Tariffs Jan2023'!AJ34)</f>
        <v>153.88227272727272</v>
      </c>
      <c r="K40" s="59">
        <f>IF($C$5*'Tariffs Jan2023'!AL34/'Tariffs Jan2023'!AJ34&lt;'Tariffs Jan2023'!J34,0,IF($C$5*'Tariffs Jan2023'!AL34/'Tariffs Jan2023'!AJ34&lt;='Tariffs Jan2023'!K34,($C$5*'Tariffs Jan2023'!AL34/'Tariffs Jan2023'!AJ34-'Tariffs Jan2023'!J34)*('Tariffs Jan2023'!V34/100)*'Tariffs Jan2023'!AJ34,('Tariffs Jan2023'!K34-'Tariffs Jan2023'!J34)*('Tariffs Jan2023'!V34/100)*'Tariffs Jan2023'!AJ34))</f>
        <v>106.79863636363635</v>
      </c>
      <c r="L40" s="59">
        <f>IF($C$5*'Tariffs Jan2023'!AL34/'Tariffs Jan2023'!AJ34&lt;'Tariffs Jan2023'!K34,0,IF($C$5*'Tariffs Jan2023'!AL34/'Tariffs Jan2023'!AJ34&lt;='Tariffs Jan2023'!L34,($C$5*'Tariffs Jan2023'!AL34/'Tariffs Jan2023'!AJ34-'Tariffs Jan2023'!K34)*('Tariffs Jan2023'!W34/100)*'Tariffs Jan2023'!AJ34,('Tariffs Jan2023'!L34-'Tariffs Jan2023'!K34)*('Tariffs Jan2023'!W34/100)*'Tariffs Jan2023'!AJ34))</f>
        <v>0</v>
      </c>
      <c r="M40" s="59">
        <f>IF($C$5*'Tariffs Jan2023'!AL34/'Tariffs Jan2023'!AJ34&lt;'Tariffs Jan2023'!L34,0,IF($C$5*'Tariffs Jan2023'!AL34/'Tariffs Jan2023'!AJ34&lt;='Tariffs Jan2023'!M34,($C$5*'Tariffs Jan2023'!AL34/'Tariffs Jan2023'!AJ34-'Tariffs Jan2023'!L34)*('Tariffs Jan2023'!X34/100)*'Tariffs Jan2023'!AJ34,('Tariffs Jan2023'!M34-'Tariffs Jan2023'!L34)*('Tariffs Jan2023'!X34/100)*'Tariffs Jan2023'!AJ34))</f>
        <v>0</v>
      </c>
      <c r="N40" s="59">
        <f>IF(($C$5*'Tariffs Jan2023'!AL34/'Tariffs Jan2023'!AJ34&gt;'Tariffs Jan2023'!M34),($C$5*'Tariffs Jan2023'!AL34/'Tariffs Jan2023'!AJ34-'Tariffs Jan2023'!M34)*'Tariffs Jan2023'!Y34/100*'Tariffs Jan2023'!AJ34,0)</f>
        <v>507.27272727272725</v>
      </c>
      <c r="O40" s="59">
        <f t="shared" si="1"/>
        <v>1535.9072727272726</v>
      </c>
      <c r="P40" s="503">
        <f t="shared" si="2"/>
        <v>1689.498</v>
      </c>
      <c r="Q40" s="59">
        <f t="shared" si="3"/>
        <v>1811.8472727272724</v>
      </c>
      <c r="R40" s="272">
        <f t="shared" si="4"/>
        <v>1993.0319999999999</v>
      </c>
      <c r="S40" s="40">
        <f>'Tariffs Jan2023'!AN34</f>
        <v>0</v>
      </c>
      <c r="T40" s="40">
        <f>'Tariffs Jan2023'!AO34</f>
        <v>0</v>
      </c>
      <c r="U40" s="40">
        <f>'Tariffs Jan2023'!AP34</f>
        <v>0</v>
      </c>
      <c r="V40" s="40">
        <f>'Tariffs Jan2023'!AQ34</f>
        <v>0</v>
      </c>
      <c r="W40" s="537" t="str">
        <f t="shared" si="43"/>
        <v>No discount</v>
      </c>
      <c r="X40" s="538" t="str">
        <f t="shared" si="44"/>
        <v>Inclusive</v>
      </c>
      <c r="Y40" s="534">
        <f t="shared" ref="Y40:Y42" si="48">IF(AND(W40="Guaranteed off bill",X40="Inclusive"),((Q40*1.1)-((Q40*1.1)*S40/100))/1.1,IF(AND(W40="Guaranteed off usage",X40="Inclusive"),((Q40*1.1)-((P40*1.1)*T40/100))/1.1,IF(AND(W40="Guaranteed off bill",X40="Exclusive"),Q40-(Q40*S40/100),IF(AND(W40="Guaranteed off usage",X40="Exclusive"),Q40-(P40*T40/100),IF(X40="Inclusive",((Q40*1.1))/1.1,Q40)))))</f>
        <v>1811.8472727272724</v>
      </c>
      <c r="Z40" s="535">
        <f t="shared" ref="Z40:Z42" si="49">IF(AND(W40="Pay-on-time off bill",X40="Inclusive"),((Y40*1.1)-((Y40*1.1)*U40/100))/1.1,IF(AND(W40="Pay-on-time off usage",X40="Inclusive"),((Y40*1.1)-((P40*1.1)*V40/100))/1.1,IF(AND(W40="Pay-on-time off bill",X40="Exclusive"),Y40-(Y40*U40/100),IF(AND(W40="Pay-on-time off usage",X40="Exclusive"),Y40-(P40*V40/100),IF(X40="Inclusive",((Y40*1.1))/1.1,Y40)))))</f>
        <v>1811.8472727272724</v>
      </c>
      <c r="AA40" s="542">
        <f t="shared" si="47"/>
        <v>1993.0319999999999</v>
      </c>
      <c r="AB40" s="609">
        <f t="shared" si="47"/>
        <v>1993.0319999999999</v>
      </c>
      <c r="AC40" s="604"/>
      <c r="AD40" s="604"/>
      <c r="AE40" s="604"/>
      <c r="AF40" s="604"/>
      <c r="AG40" s="604"/>
      <c r="AH40" s="604"/>
      <c r="AI40" s="604"/>
      <c r="AJ40" s="604"/>
      <c r="AK40" s="604"/>
      <c r="AL40" s="604"/>
      <c r="AM40" s="604"/>
      <c r="AN40" s="604"/>
      <c r="AO40" s="604"/>
      <c r="AP40" s="604"/>
      <c r="AQ40" s="604"/>
      <c r="AR40" s="604"/>
      <c r="AS40" s="604"/>
      <c r="AT40" s="604"/>
    </row>
    <row r="41" spans="1:46" ht="14" x14ac:dyDescent="0.15">
      <c r="A41" s="270" t="str">
        <f>'Tariffs Jan2023'!F35</f>
        <v>Simply Energy</v>
      </c>
      <c r="B41" s="40" t="str">
        <f>'Tariffs Jan2023'!D35</f>
        <v>AGN North</v>
      </c>
      <c r="C41" s="40" t="str">
        <f>'Tariffs Jan2023'!G35</f>
        <v>Stay Plus</v>
      </c>
      <c r="D41" s="59">
        <f>365*'Tariffs Jan2023'!H35/100</f>
        <v>281.41499999999996</v>
      </c>
      <c r="E41" s="59">
        <f>IF($C$5*'Tariffs Jan2023'!AK35/'Tariffs Jan2023'!AI35&gt;='Tariffs Jan2023'!J35,( 'Tariffs Jan2023'!J35*'Tariffs Jan2023'!O35/100)* 'Tariffs Jan2023'!AI35,($C$5*'Tariffs Jan2023'!AK35/'Tariffs Jan2023'!AI35*'Tariffs Jan2023'!O35/100)* 'Tariffs Jan2023'!AI35)</f>
        <v>176.76272727272726</v>
      </c>
      <c r="F41" s="59">
        <f>IF($C$5*'Tariffs Jan2023'!AK35/'Tariffs Jan2023'!AI35&lt;'Tariffs Jan2023'!J35,0,IF($C$5*'Tariffs Jan2023'!AK35/'Tariffs Jan2023'!AI35&lt;='Tariffs Jan2023'!K35,($C$5*'Tariffs Jan2023'!AK35/'Tariffs Jan2023'!AI35-'Tariffs Jan2023'!J35)*('Tariffs Jan2023'!P35/100)*'Tariffs Jan2023'!AI35,('Tariffs Jan2023'!K35-'Tariffs Jan2023'!J35)*('Tariffs Jan2023'!P35/100)*'Tariffs Jan2023'!AI35))</f>
        <v>124.90636363636364</v>
      </c>
      <c r="G41" s="59">
        <f>IF($C$5*'Tariffs Jan2023'!AK35/'Tariffs Jan2023'!AI35&lt;'Tariffs Jan2023'!K35,0,IF($C$5*'Tariffs Jan2023'!AK35/'Tariffs Jan2023'!AI35&lt;='Tariffs Jan2023'!L35,($C$5*'Tariffs Jan2023'!AK35/'Tariffs Jan2023'!AI35-'Tariffs Jan2023'!K35)*('Tariffs Jan2023'!Q35/100)*'Tariffs Jan2023'!AI35,('Tariffs Jan2023'!L35-'Tariffs Jan2023'!K35)*('Tariffs Jan2023'!Q35/100)*'Tariffs Jan2023'!AI35))</f>
        <v>0</v>
      </c>
      <c r="H41" s="59">
        <f>IF($C$5*'Tariffs Jan2023'!AK35/'Tariffs Jan2023'!AI35&lt;'Tariffs Jan2023'!L35,0,IF($C$5*'Tariffs Jan2023'!AK35/'Tariffs Jan2023'!AI35&lt;='Tariffs Jan2023'!M35,($C$5*'Tariffs Jan2023'!AK35/'Tariffs Jan2023'!AI35-'Tariffs Jan2023'!L35)*('Tariffs Jan2023'!R35/100)*'Tariffs Jan2023'!AI35,('Tariffs Jan2023'!M35-'Tariffs Jan2023'!L35)*('Tariffs Jan2023'!R35/100)*'Tariffs Jan2023'!AI35))</f>
        <v>0</v>
      </c>
      <c r="I41" s="59">
        <f>IF(($C$5*'Tariffs Jan2023'!AK35/'Tariffs Jan2023'!AI35&gt;'Tariffs Jan2023'!M35),($C$5*'Tariffs Jan2023'!AK35/'Tariffs Jan2023'!AI35-'Tariffs Jan2023'!M35)*'Tariffs Jan2023'!S35/100*'Tariffs Jan2023'!AI35,0)</f>
        <v>589.09090909090901</v>
      </c>
      <c r="J41" s="59">
        <f>IF($C$5*'Tariffs Jan2023'!AL35/'Tariffs Jan2023'!AJ35&gt;='Tariffs Jan2023'!J35,('Tariffs Jan2023'!J35*'Tariffs Jan2023'!U35/100)* 'Tariffs Jan2023'!AJ35,($C$5*'Tariffs Jan2023'!AL35/'Tariffs Jan2023'!AJ35*'Tariffs Jan2023'!U35/100)* 'Tariffs Jan2023'!AJ35)</f>
        <v>176.76272727272726</v>
      </c>
      <c r="K41" s="59">
        <f>IF($C$5*'Tariffs Jan2023'!AL35/'Tariffs Jan2023'!AJ35&lt;'Tariffs Jan2023'!J35,0,IF($C$5*'Tariffs Jan2023'!AL35/'Tariffs Jan2023'!AJ35&lt;='Tariffs Jan2023'!K35,($C$5*'Tariffs Jan2023'!AL35/'Tariffs Jan2023'!AJ35-'Tariffs Jan2023'!J35)*('Tariffs Jan2023'!V35/100)*'Tariffs Jan2023'!AJ35,('Tariffs Jan2023'!K35-'Tariffs Jan2023'!J35)*('Tariffs Jan2023'!V35/100)*'Tariffs Jan2023'!AJ35))</f>
        <v>124.90636363636364</v>
      </c>
      <c r="L41" s="59">
        <f>IF($C$5*'Tariffs Jan2023'!AL35/'Tariffs Jan2023'!AJ35&lt;'Tariffs Jan2023'!K35,0,IF($C$5*'Tariffs Jan2023'!AL35/'Tariffs Jan2023'!AJ35&lt;='Tariffs Jan2023'!L35,($C$5*'Tariffs Jan2023'!AL35/'Tariffs Jan2023'!AJ35-'Tariffs Jan2023'!K35)*('Tariffs Jan2023'!W35/100)*'Tariffs Jan2023'!AJ35,('Tariffs Jan2023'!L35-'Tariffs Jan2023'!K35)*('Tariffs Jan2023'!W35/100)*'Tariffs Jan2023'!AJ35))</f>
        <v>0</v>
      </c>
      <c r="M41" s="59">
        <f>IF($C$5*'Tariffs Jan2023'!AL35/'Tariffs Jan2023'!AJ35&lt;'Tariffs Jan2023'!L35,0,IF($C$5*'Tariffs Jan2023'!AL35/'Tariffs Jan2023'!AJ35&lt;='Tariffs Jan2023'!M35,($C$5*'Tariffs Jan2023'!AL35/'Tariffs Jan2023'!AJ35-'Tariffs Jan2023'!L35)*('Tariffs Jan2023'!X35/100)*'Tariffs Jan2023'!AJ35,('Tariffs Jan2023'!M35-'Tariffs Jan2023'!L35)*('Tariffs Jan2023'!X35/100)*'Tariffs Jan2023'!AJ35))</f>
        <v>0</v>
      </c>
      <c r="N41" s="59">
        <f>IF(($C$5*'Tariffs Jan2023'!AL35/'Tariffs Jan2023'!AJ35&gt;'Tariffs Jan2023'!M35),($C$5*'Tariffs Jan2023'!AL35/'Tariffs Jan2023'!AJ35-'Tariffs Jan2023'!M35)*'Tariffs Jan2023'!Y35/100*'Tariffs Jan2023'!AJ35,0)</f>
        <v>589.09090909090901</v>
      </c>
      <c r="O41" s="59">
        <f t="shared" si="1"/>
        <v>1781.5199999999998</v>
      </c>
      <c r="P41" s="503">
        <f t="shared" si="2"/>
        <v>1959.6719999999998</v>
      </c>
      <c r="Q41" s="59">
        <f t="shared" si="3"/>
        <v>2062.9349999999995</v>
      </c>
      <c r="R41" s="272">
        <f t="shared" si="4"/>
        <v>2269.2284999999997</v>
      </c>
      <c r="S41" s="40">
        <f>'Tariffs Jan2023'!AN35</f>
        <v>6</v>
      </c>
      <c r="T41" s="40">
        <f>'Tariffs Jan2023'!AO35</f>
        <v>0</v>
      </c>
      <c r="U41" s="40">
        <f>'Tariffs Jan2023'!AP35</f>
        <v>0</v>
      </c>
      <c r="V41" s="40">
        <f>'Tariffs Jan2023'!AQ35</f>
        <v>0</v>
      </c>
      <c r="W41" s="537" t="str">
        <f t="shared" si="43"/>
        <v>Guaranteed off bill</v>
      </c>
      <c r="X41" s="538" t="str">
        <f t="shared" si="44"/>
        <v>Exclusive</v>
      </c>
      <c r="Y41" s="534">
        <f t="shared" si="48"/>
        <v>1939.1588999999994</v>
      </c>
      <c r="Z41" s="535">
        <f t="shared" si="49"/>
        <v>1939.1588999999994</v>
      </c>
      <c r="AA41" s="542">
        <f t="shared" si="47"/>
        <v>2133.0747899999997</v>
      </c>
      <c r="AB41" s="609">
        <f t="shared" si="47"/>
        <v>2133.0747899999997</v>
      </c>
      <c r="AC41" s="604"/>
      <c r="AD41" s="604"/>
      <c r="AE41" s="604"/>
      <c r="AF41" s="604"/>
      <c r="AG41" s="604"/>
      <c r="AH41" s="604"/>
      <c r="AI41" s="604"/>
      <c r="AJ41" s="604"/>
      <c r="AK41" s="604"/>
      <c r="AL41" s="604"/>
      <c r="AM41" s="604"/>
      <c r="AN41" s="604"/>
      <c r="AO41" s="604"/>
      <c r="AP41" s="604"/>
      <c r="AQ41" s="604"/>
      <c r="AR41" s="604"/>
      <c r="AS41" s="604"/>
      <c r="AT41" s="604"/>
    </row>
    <row r="42" spans="1:46" ht="14" x14ac:dyDescent="0.15">
      <c r="A42" s="270" t="str">
        <f>'Tariffs Jan2023'!F36</f>
        <v>GloBird Energy</v>
      </c>
      <c r="B42" s="40" t="str">
        <f>'Tariffs Jan2023'!D36</f>
        <v>AGN North</v>
      </c>
      <c r="C42" s="40" t="str">
        <f>'Tariffs Jan2023'!G36</f>
        <v>GloSave</v>
      </c>
      <c r="D42" s="59">
        <f>365*'Tariffs Jan2023'!H36/100</f>
        <v>215.35</v>
      </c>
      <c r="E42" s="59">
        <f>IF($C$5*'Tariffs Jan2023'!AK36/'Tariffs Jan2023'!AI36&gt;='Tariffs Jan2023'!J36,( 'Tariffs Jan2023'!J36*'Tariffs Jan2023'!O36/100)* 'Tariffs Jan2023'!AI36,($C$5*'Tariffs Jan2023'!AK36/'Tariffs Jan2023'!AI36*'Tariffs Jan2023'!O36/100)* 'Tariffs Jan2023'!AI36)</f>
        <v>276.5454545454545</v>
      </c>
      <c r="F42" s="59">
        <f>IF($C$5*'Tariffs Jan2023'!AK36/'Tariffs Jan2023'!AI36&lt;'Tariffs Jan2023'!J36,0,IF($C$5*'Tariffs Jan2023'!AK36/'Tariffs Jan2023'!AI36&lt;='Tariffs Jan2023'!K36,($C$5*'Tariffs Jan2023'!AK36/'Tariffs Jan2023'!AI36-'Tariffs Jan2023'!J36)*('Tariffs Jan2023'!P36/100)*'Tariffs Jan2023'!AI36,('Tariffs Jan2023'!K36-'Tariffs Jan2023'!J36)*('Tariffs Jan2023'!P36/100)*'Tariffs Jan2023'!AI36))</f>
        <v>0</v>
      </c>
      <c r="G42" s="59">
        <f>IF($C$5*'Tariffs Jan2023'!AK36/'Tariffs Jan2023'!AI36&lt;'Tariffs Jan2023'!K36,0,IF($C$5*'Tariffs Jan2023'!AK36/'Tariffs Jan2023'!AI36&lt;='Tariffs Jan2023'!L36,($C$5*'Tariffs Jan2023'!AK36/'Tariffs Jan2023'!AI36-'Tariffs Jan2023'!K36)*('Tariffs Jan2023'!Q36/100)*'Tariffs Jan2023'!AI36,('Tariffs Jan2023'!L36-'Tariffs Jan2023'!K36)*('Tariffs Jan2023'!Q36/100)*'Tariffs Jan2023'!AI36))</f>
        <v>0</v>
      </c>
      <c r="H42" s="59">
        <f>IF($C$5*'Tariffs Jan2023'!AK36/'Tariffs Jan2023'!AI36&lt;'Tariffs Jan2023'!L36,0,IF($C$5*'Tariffs Jan2023'!AK36/'Tariffs Jan2023'!AI36&lt;='Tariffs Jan2023'!M36,($C$5*'Tariffs Jan2023'!AK36/'Tariffs Jan2023'!AI36-'Tariffs Jan2023'!L36)*('Tariffs Jan2023'!R36/100)*'Tariffs Jan2023'!AI36,('Tariffs Jan2023'!M36-'Tariffs Jan2023'!L36)*('Tariffs Jan2023'!R36/100)*'Tariffs Jan2023'!AI36))</f>
        <v>0</v>
      </c>
      <c r="I42" s="59">
        <f>IF(($C$5*'Tariffs Jan2023'!AK36/'Tariffs Jan2023'!AI36&gt;'Tariffs Jan2023'!M36),($C$5*'Tariffs Jan2023'!AK36/'Tariffs Jan2023'!AI36-'Tariffs Jan2023'!M36)*'Tariffs Jan2023'!S36/100*'Tariffs Jan2023'!AI36,0)</f>
        <v>552.27272727272725</v>
      </c>
      <c r="J42" s="59">
        <f>IF($C$5*'Tariffs Jan2023'!AL36/'Tariffs Jan2023'!AJ36&gt;='Tariffs Jan2023'!J36,('Tariffs Jan2023'!J36*'Tariffs Jan2023'!U36/100)* 'Tariffs Jan2023'!AJ36,($C$5*'Tariffs Jan2023'!AL36/'Tariffs Jan2023'!AJ36*'Tariffs Jan2023'!U36/100)* 'Tariffs Jan2023'!AJ36)</f>
        <v>276.5454545454545</v>
      </c>
      <c r="K42" s="59">
        <f>IF($C$5*'Tariffs Jan2023'!AL36/'Tariffs Jan2023'!AJ36&lt;'Tariffs Jan2023'!J36,0,IF($C$5*'Tariffs Jan2023'!AL36/'Tariffs Jan2023'!AJ36&lt;='Tariffs Jan2023'!K36,($C$5*'Tariffs Jan2023'!AL36/'Tariffs Jan2023'!AJ36-'Tariffs Jan2023'!J36)*('Tariffs Jan2023'!V36/100)*'Tariffs Jan2023'!AJ36,('Tariffs Jan2023'!K36-'Tariffs Jan2023'!J36)*('Tariffs Jan2023'!V36/100)*'Tariffs Jan2023'!AJ36))</f>
        <v>0</v>
      </c>
      <c r="L42" s="59">
        <f>IF($C$5*'Tariffs Jan2023'!AL36/'Tariffs Jan2023'!AJ36&lt;'Tariffs Jan2023'!K36,0,IF($C$5*'Tariffs Jan2023'!AL36/'Tariffs Jan2023'!AJ36&lt;='Tariffs Jan2023'!L36,($C$5*'Tariffs Jan2023'!AL36/'Tariffs Jan2023'!AJ36-'Tariffs Jan2023'!K36)*('Tariffs Jan2023'!W36/100)*'Tariffs Jan2023'!AJ36,('Tariffs Jan2023'!L36-'Tariffs Jan2023'!K36)*('Tariffs Jan2023'!W36/100)*'Tariffs Jan2023'!AJ36))</f>
        <v>0</v>
      </c>
      <c r="M42" s="59">
        <f>IF($C$5*'Tariffs Jan2023'!AL36/'Tariffs Jan2023'!AJ36&lt;'Tariffs Jan2023'!L36,0,IF($C$5*'Tariffs Jan2023'!AL36/'Tariffs Jan2023'!AJ36&lt;='Tariffs Jan2023'!M36,($C$5*'Tariffs Jan2023'!AL36/'Tariffs Jan2023'!AJ36-'Tariffs Jan2023'!L36)*('Tariffs Jan2023'!X36/100)*'Tariffs Jan2023'!AJ36,('Tariffs Jan2023'!M36-'Tariffs Jan2023'!L36)*('Tariffs Jan2023'!X36/100)*'Tariffs Jan2023'!AJ36))</f>
        <v>0</v>
      </c>
      <c r="N42" s="59">
        <f>IF(($C$5*'Tariffs Jan2023'!AL36/'Tariffs Jan2023'!AJ36&gt;'Tariffs Jan2023'!M36),($C$5*'Tariffs Jan2023'!AL36/'Tariffs Jan2023'!AJ36-'Tariffs Jan2023'!M36)*'Tariffs Jan2023'!Y36/100*'Tariffs Jan2023'!AJ36,0)</f>
        <v>552.27272727272725</v>
      </c>
      <c r="O42" s="59">
        <f t="shared" si="1"/>
        <v>1657.6363636363635</v>
      </c>
      <c r="P42" s="503">
        <f t="shared" si="2"/>
        <v>1823.4</v>
      </c>
      <c r="Q42" s="59">
        <f t="shared" si="3"/>
        <v>1872.9863636363634</v>
      </c>
      <c r="R42" s="272">
        <f t="shared" si="4"/>
        <v>2060.2849999999999</v>
      </c>
      <c r="S42" s="40">
        <f>'Tariffs Jan2023'!AN36</f>
        <v>0</v>
      </c>
      <c r="T42" s="40">
        <f>'Tariffs Jan2023'!AO36</f>
        <v>0</v>
      </c>
      <c r="U42" s="40">
        <f>'Tariffs Jan2023'!AP36</f>
        <v>2</v>
      </c>
      <c r="V42" s="40">
        <f>'Tariffs Jan2023'!AQ36</f>
        <v>0</v>
      </c>
      <c r="W42" s="537" t="str">
        <f t="shared" si="43"/>
        <v>Pay-on-time off bill</v>
      </c>
      <c r="X42" s="538" t="str">
        <f t="shared" si="44"/>
        <v>Exclusive</v>
      </c>
      <c r="Y42" s="534">
        <f t="shared" si="48"/>
        <v>1872.9863636363634</v>
      </c>
      <c r="Z42" s="535">
        <f t="shared" si="49"/>
        <v>1835.526636363636</v>
      </c>
      <c r="AA42" s="542">
        <f t="shared" si="47"/>
        <v>2060.2849999999999</v>
      </c>
      <c r="AB42" s="609">
        <f t="shared" si="47"/>
        <v>2019.0792999999999</v>
      </c>
      <c r="AC42" s="604"/>
      <c r="AD42" s="604"/>
      <c r="AE42" s="604"/>
      <c r="AF42" s="604"/>
      <c r="AG42" s="604"/>
      <c r="AH42" s="604"/>
      <c r="AI42" s="604"/>
      <c r="AJ42" s="604"/>
      <c r="AK42" s="604"/>
      <c r="AL42" s="604"/>
      <c r="AM42" s="604"/>
      <c r="AN42" s="604"/>
      <c r="AO42" s="604"/>
      <c r="AP42" s="604"/>
      <c r="AQ42" s="604"/>
      <c r="AR42" s="604"/>
      <c r="AS42" s="604"/>
      <c r="AT42" s="604"/>
    </row>
    <row r="43" spans="1:46" ht="14" x14ac:dyDescent="0.15">
      <c r="A43" s="270" t="str">
        <f>'Tariffs Jan2023'!F37</f>
        <v>1st Energy</v>
      </c>
      <c r="B43" s="40" t="str">
        <f>'Tariffs Jan2023'!D37</f>
        <v>AGN North</v>
      </c>
      <c r="C43" s="40" t="str">
        <f>'Tariffs Jan2023'!G37</f>
        <v>1st Saver Plus</v>
      </c>
      <c r="D43" s="59">
        <f>365*'Tariffs Jan2023'!H37/100</f>
        <v>281.05</v>
      </c>
      <c r="E43" s="59">
        <f>IF($C$5*'Tariffs Jan2023'!AK37/'Tariffs Jan2023'!AI37&gt;='Tariffs Jan2023'!J37,( 'Tariffs Jan2023'!J37*'Tariffs Jan2023'!O37/100)* 'Tariffs Jan2023'!AI37,($C$5*'Tariffs Jan2023'!AK37/'Tariffs Jan2023'!AI37*'Tariffs Jan2023'!O37/100)* 'Tariffs Jan2023'!AI37)</f>
        <v>237.59999999999997</v>
      </c>
      <c r="F43" s="59">
        <f>IF($C$5*'Tariffs Jan2023'!AK37/'Tariffs Jan2023'!AI37&lt;'Tariffs Jan2023'!J37,0,IF($C$5*'Tariffs Jan2023'!AK37/'Tariffs Jan2023'!AI37&lt;='Tariffs Jan2023'!K37,($C$5*'Tariffs Jan2023'!AK37/'Tariffs Jan2023'!AI37-'Tariffs Jan2023'!J37)*('Tariffs Jan2023'!P37/100)*'Tariffs Jan2023'!AI37,('Tariffs Jan2023'!K37-'Tariffs Jan2023'!J37)*('Tariffs Jan2023'!P37/100)*'Tariffs Jan2023'!AI37))</f>
        <v>341.99999999999989</v>
      </c>
      <c r="G43" s="59">
        <f>IF($C$5*'Tariffs Jan2023'!AK37/'Tariffs Jan2023'!AI37&lt;'Tariffs Jan2023'!K37,0,IF($C$5*'Tariffs Jan2023'!AK37/'Tariffs Jan2023'!AI37&lt;='Tariffs Jan2023'!L37,($C$5*'Tariffs Jan2023'!AK37/'Tariffs Jan2023'!AI37-'Tariffs Jan2023'!K37)*('Tariffs Jan2023'!Q37/100)*'Tariffs Jan2023'!AI37,('Tariffs Jan2023'!L37-'Tariffs Jan2023'!K37)*('Tariffs Jan2023'!Q37/100)*'Tariffs Jan2023'!AI37))</f>
        <v>0</v>
      </c>
      <c r="H43" s="59">
        <f>IF($C$5*'Tariffs Jan2023'!AK37/'Tariffs Jan2023'!AI37&lt;'Tariffs Jan2023'!L37,0,IF($C$5*'Tariffs Jan2023'!AK37/'Tariffs Jan2023'!AI37&lt;='Tariffs Jan2023'!M37,($C$5*'Tariffs Jan2023'!AK37/'Tariffs Jan2023'!AI37-'Tariffs Jan2023'!L37)*('Tariffs Jan2023'!R37/100)*'Tariffs Jan2023'!AI37,('Tariffs Jan2023'!M37-'Tariffs Jan2023'!L37)*('Tariffs Jan2023'!R37/100)*'Tariffs Jan2023'!AI37))</f>
        <v>0</v>
      </c>
      <c r="I43" s="59">
        <f>IF(($C$5*'Tariffs Jan2023'!AK37/'Tariffs Jan2023'!AI37&gt;'Tariffs Jan2023'!M37),($C$5*'Tariffs Jan2023'!AK37/'Tariffs Jan2023'!AI37-'Tariffs Jan2023'!M37)*'Tariffs Jan2023'!S37/100*'Tariffs Jan2023'!AI37,0)</f>
        <v>564.29999999999995</v>
      </c>
      <c r="J43" s="59">
        <f>IF($C$5*'Tariffs Jan2023'!AL37/'Tariffs Jan2023'!AJ37&gt;='Tariffs Jan2023'!J37,('Tariffs Jan2023'!J37*'Tariffs Jan2023'!U37/100)* 'Tariffs Jan2023'!AJ37,($C$5*'Tariffs Jan2023'!AL37/'Tariffs Jan2023'!AJ37*'Tariffs Jan2023'!U37/100)* 'Tariffs Jan2023'!AJ37)</f>
        <v>237.59999999999997</v>
      </c>
      <c r="K43" s="59">
        <f>IF($C$5*'Tariffs Jan2023'!AL37/'Tariffs Jan2023'!AJ37&lt;'Tariffs Jan2023'!J37,0,IF($C$5*'Tariffs Jan2023'!AL37/'Tariffs Jan2023'!AJ37&lt;='Tariffs Jan2023'!K37,($C$5*'Tariffs Jan2023'!AL37/'Tariffs Jan2023'!AJ37-'Tariffs Jan2023'!J37)*('Tariffs Jan2023'!V37/100)*'Tariffs Jan2023'!AJ37,('Tariffs Jan2023'!K37-'Tariffs Jan2023'!J37)*('Tariffs Jan2023'!V37/100)*'Tariffs Jan2023'!AJ37))</f>
        <v>341.99999999999989</v>
      </c>
      <c r="L43" s="59">
        <f>IF($C$5*'Tariffs Jan2023'!AL37/'Tariffs Jan2023'!AJ37&lt;'Tariffs Jan2023'!K37,0,IF($C$5*'Tariffs Jan2023'!AL37/'Tariffs Jan2023'!AJ37&lt;='Tariffs Jan2023'!L37,($C$5*'Tariffs Jan2023'!AL37/'Tariffs Jan2023'!AJ37-'Tariffs Jan2023'!K37)*('Tariffs Jan2023'!W37/100)*'Tariffs Jan2023'!AJ37,('Tariffs Jan2023'!L37-'Tariffs Jan2023'!K37)*('Tariffs Jan2023'!W37/100)*'Tariffs Jan2023'!AJ37))</f>
        <v>0</v>
      </c>
      <c r="M43" s="59">
        <f>IF($C$5*'Tariffs Jan2023'!AL37/'Tariffs Jan2023'!AJ37&lt;'Tariffs Jan2023'!L37,0,IF($C$5*'Tariffs Jan2023'!AL37/'Tariffs Jan2023'!AJ37&lt;='Tariffs Jan2023'!M37,($C$5*'Tariffs Jan2023'!AL37/'Tariffs Jan2023'!AJ37-'Tariffs Jan2023'!L37)*('Tariffs Jan2023'!X37/100)*'Tariffs Jan2023'!AJ37,('Tariffs Jan2023'!M37-'Tariffs Jan2023'!L37)*('Tariffs Jan2023'!X37/100)*'Tariffs Jan2023'!AJ37))</f>
        <v>0</v>
      </c>
      <c r="N43" s="59">
        <f>IF(($C$5*'Tariffs Jan2023'!AL37/'Tariffs Jan2023'!AJ37&gt;'Tariffs Jan2023'!M37),($C$5*'Tariffs Jan2023'!AL37/'Tariffs Jan2023'!AJ37-'Tariffs Jan2023'!M37)*'Tariffs Jan2023'!Y37/100*'Tariffs Jan2023'!AJ37,0)</f>
        <v>564.29999999999995</v>
      </c>
      <c r="O43" s="59">
        <f t="shared" si="1"/>
        <v>2287.7999999999993</v>
      </c>
      <c r="P43" s="503">
        <f t="shared" si="2"/>
        <v>2516.5799999999995</v>
      </c>
      <c r="Q43" s="59">
        <f t="shared" si="3"/>
        <v>2568.8499999999995</v>
      </c>
      <c r="R43" s="272">
        <f t="shared" si="4"/>
        <v>2825.7349999999997</v>
      </c>
      <c r="S43" s="40">
        <f>'Tariffs Jan2023'!AN37</f>
        <v>0</v>
      </c>
      <c r="T43" s="40">
        <f>'Tariffs Jan2023'!AO37</f>
        <v>7</v>
      </c>
      <c r="U43" s="40">
        <f>'Tariffs Jan2023'!AP37</f>
        <v>0</v>
      </c>
      <c r="V43" s="40">
        <f>'Tariffs Jan2023'!AQ37</f>
        <v>3</v>
      </c>
      <c r="W43" s="537" t="str">
        <f t="shared" si="43"/>
        <v>Guaranteed off usage</v>
      </c>
      <c r="X43" s="538" t="str">
        <f t="shared" si="44"/>
        <v>Exclusive</v>
      </c>
      <c r="Y43" s="534">
        <f>Q43-(P43*T43)/100</f>
        <v>2392.6893999999993</v>
      </c>
      <c r="Z43" s="535">
        <f>Y43-(P43*V43)/100</f>
        <v>2317.1919999999991</v>
      </c>
      <c r="AA43" s="542">
        <f t="shared" si="47"/>
        <v>2631.9583399999992</v>
      </c>
      <c r="AB43" s="609">
        <f t="shared" si="47"/>
        <v>2548.9111999999991</v>
      </c>
      <c r="AC43" s="604"/>
      <c r="AD43" s="604"/>
      <c r="AE43" s="604"/>
      <c r="AF43" s="604"/>
      <c r="AG43" s="604"/>
      <c r="AH43" s="604"/>
      <c r="AI43" s="604"/>
      <c r="AJ43" s="604"/>
      <c r="AK43" s="604"/>
      <c r="AL43" s="604"/>
      <c r="AM43" s="604"/>
      <c r="AN43" s="604"/>
      <c r="AO43" s="604"/>
      <c r="AP43" s="604"/>
      <c r="AQ43" s="604"/>
      <c r="AR43" s="604"/>
      <c r="AS43" s="604"/>
      <c r="AT43" s="604"/>
    </row>
    <row r="44" spans="1:46" ht="14" x14ac:dyDescent="0.15">
      <c r="A44" s="270" t="str">
        <f>'Tariffs Jan2023'!F38</f>
        <v>Tango Energy</v>
      </c>
      <c r="B44" s="40" t="str">
        <f>'Tariffs Jan2023'!D38</f>
        <v>AGN North</v>
      </c>
      <c r="C44" s="40" t="str">
        <f>'Tariffs Jan2023'!G38</f>
        <v>Home Select</v>
      </c>
      <c r="D44" s="59">
        <f>365*'Tariffs Jan2023'!H38/100</f>
        <v>357.69999999999993</v>
      </c>
      <c r="E44" s="59">
        <f>IF($C$5*'Tariffs Jan2023'!AK38/'Tariffs Jan2023'!AI38&gt;='Tariffs Jan2023'!J38,( 'Tariffs Jan2023'!J38*'Tariffs Jan2023'!O38/100)* 'Tariffs Jan2023'!AI38,($C$5*'Tariffs Jan2023'!AK38/'Tariffs Jan2023'!AI38*'Tariffs Jan2023'!O38/100)* 'Tariffs Jan2023'!AI38)</f>
        <v>116.64545454545453</v>
      </c>
      <c r="F44" s="59">
        <f>IF($C$5*'Tariffs Jan2023'!AK38/'Tariffs Jan2023'!AI38&lt;'Tariffs Jan2023'!J38,0,IF($C$5*'Tariffs Jan2023'!AK38/'Tariffs Jan2023'!AI38&lt;='Tariffs Jan2023'!K38,($C$5*'Tariffs Jan2023'!AK38/'Tariffs Jan2023'!AI38-'Tariffs Jan2023'!J38)*('Tariffs Jan2023'!P38/100)*'Tariffs Jan2023'!AI38,('Tariffs Jan2023'!K38-'Tariffs Jan2023'!J38)*('Tariffs Jan2023'!P38/100)*'Tariffs Jan2023'!AI38))</f>
        <v>83.517272727272712</v>
      </c>
      <c r="G44" s="59">
        <f>IF($C$5*'Tariffs Jan2023'!AK38/'Tariffs Jan2023'!AI38&lt;'Tariffs Jan2023'!K38,0,IF($C$5*'Tariffs Jan2023'!AK38/'Tariffs Jan2023'!AI38&lt;='Tariffs Jan2023'!L38,($C$5*'Tariffs Jan2023'!AK38/'Tariffs Jan2023'!AI38-'Tariffs Jan2023'!K38)*('Tariffs Jan2023'!Q38/100)*'Tariffs Jan2023'!AI38,('Tariffs Jan2023'!L38-'Tariffs Jan2023'!K38)*('Tariffs Jan2023'!Q38/100)*'Tariffs Jan2023'!AI38))</f>
        <v>0</v>
      </c>
      <c r="H44" s="59">
        <f>IF($C$5*'Tariffs Jan2023'!AK38/'Tariffs Jan2023'!AI38&lt;'Tariffs Jan2023'!L38,0,IF($C$5*'Tariffs Jan2023'!AK38/'Tariffs Jan2023'!AI38&lt;='Tariffs Jan2023'!M38,($C$5*'Tariffs Jan2023'!AK38/'Tariffs Jan2023'!AI38-'Tariffs Jan2023'!L38)*('Tariffs Jan2023'!R38/100)*'Tariffs Jan2023'!AI38,('Tariffs Jan2023'!M38-'Tariffs Jan2023'!L38)*('Tariffs Jan2023'!R38/100)*'Tariffs Jan2023'!AI38))</f>
        <v>0</v>
      </c>
      <c r="I44" s="59">
        <f>IF(($C$5*'Tariffs Jan2023'!AK38/'Tariffs Jan2023'!AI38&gt;'Tariffs Jan2023'!M38),($C$5*'Tariffs Jan2023'!AK38/'Tariffs Jan2023'!AI38-'Tariffs Jan2023'!M38)*'Tariffs Jan2023'!S38/100*'Tariffs Jan2023'!AI38,0)</f>
        <v>407.0454545454545</v>
      </c>
      <c r="J44" s="59">
        <f>IF($C$5*'Tariffs Jan2023'!AL38/'Tariffs Jan2023'!AJ38&gt;='Tariffs Jan2023'!J38,('Tariffs Jan2023'!J38*'Tariffs Jan2023'!U38/100)* 'Tariffs Jan2023'!AJ38,($C$5*'Tariffs Jan2023'!AL38/'Tariffs Jan2023'!AJ38*'Tariffs Jan2023'!U38/100)* 'Tariffs Jan2023'!AJ38)</f>
        <v>116.64545454545453</v>
      </c>
      <c r="K44" s="59">
        <f>IF($C$5*'Tariffs Jan2023'!AL38/'Tariffs Jan2023'!AJ38&lt;'Tariffs Jan2023'!J38,0,IF($C$5*'Tariffs Jan2023'!AL38/'Tariffs Jan2023'!AJ38&lt;='Tariffs Jan2023'!K38,($C$5*'Tariffs Jan2023'!AL38/'Tariffs Jan2023'!AJ38-'Tariffs Jan2023'!J38)*('Tariffs Jan2023'!V38/100)*'Tariffs Jan2023'!AJ38,('Tariffs Jan2023'!K38-'Tariffs Jan2023'!J38)*('Tariffs Jan2023'!V38/100)*'Tariffs Jan2023'!AJ38))</f>
        <v>83.517272727272712</v>
      </c>
      <c r="L44" s="59">
        <f>IF($C$5*'Tariffs Jan2023'!AL38/'Tariffs Jan2023'!AJ38&lt;'Tariffs Jan2023'!K38,0,IF($C$5*'Tariffs Jan2023'!AL38/'Tariffs Jan2023'!AJ38&lt;='Tariffs Jan2023'!L38,($C$5*'Tariffs Jan2023'!AL38/'Tariffs Jan2023'!AJ38-'Tariffs Jan2023'!K38)*('Tariffs Jan2023'!W38/100)*'Tariffs Jan2023'!AJ38,('Tariffs Jan2023'!L38-'Tariffs Jan2023'!K38)*('Tariffs Jan2023'!W38/100)*'Tariffs Jan2023'!AJ38))</f>
        <v>0</v>
      </c>
      <c r="M44" s="59">
        <f>IF($C$5*'Tariffs Jan2023'!AL38/'Tariffs Jan2023'!AJ38&lt;'Tariffs Jan2023'!L38,0,IF($C$5*'Tariffs Jan2023'!AL38/'Tariffs Jan2023'!AJ38&lt;='Tariffs Jan2023'!M38,($C$5*'Tariffs Jan2023'!AL38/'Tariffs Jan2023'!AJ38-'Tariffs Jan2023'!L38)*('Tariffs Jan2023'!X38/100)*'Tariffs Jan2023'!AJ38,('Tariffs Jan2023'!M38-'Tariffs Jan2023'!L38)*('Tariffs Jan2023'!X38/100)*'Tariffs Jan2023'!AJ38))</f>
        <v>0</v>
      </c>
      <c r="N44" s="59">
        <f>IF(($C$5*'Tariffs Jan2023'!AL38/'Tariffs Jan2023'!AJ38&gt;'Tariffs Jan2023'!M38),($C$5*'Tariffs Jan2023'!AL38/'Tariffs Jan2023'!AJ38-'Tariffs Jan2023'!M38)*'Tariffs Jan2023'!Y38/100*'Tariffs Jan2023'!AJ38,0)</f>
        <v>407.0454545454545</v>
      </c>
      <c r="O44" s="59">
        <f>SUM(E44:N44)</f>
        <v>1214.4163636363635</v>
      </c>
      <c r="P44" s="503">
        <f t="shared" si="2"/>
        <v>1335.8579999999999</v>
      </c>
      <c r="Q44" s="59">
        <f>D44+O44</f>
        <v>1572.1163636363635</v>
      </c>
      <c r="R44" s="272">
        <f>Q44*1.1</f>
        <v>1729.328</v>
      </c>
      <c r="S44" s="40">
        <f>'Tariffs Jan2023'!AN38</f>
        <v>0</v>
      </c>
      <c r="T44" s="40">
        <f>'Tariffs Jan2023'!AO38</f>
        <v>0</v>
      </c>
      <c r="U44" s="40">
        <f>'Tariffs Jan2023'!AP38</f>
        <v>0</v>
      </c>
      <c r="V44" s="40">
        <f>'Tariffs Jan2023'!AQ38</f>
        <v>0</v>
      </c>
      <c r="W44" s="537" t="str">
        <f t="shared" si="43"/>
        <v>No discount</v>
      </c>
      <c r="X44" s="538" t="str">
        <f t="shared" si="44"/>
        <v>Exclusive</v>
      </c>
      <c r="Y44" s="534">
        <f t="shared" ref="Y44:Y46" si="50">IF(AND(W44="Guaranteed off bill",X44="Inclusive"),((Q44*1.1)-((Q44*1.1)*S44/100))/1.1,IF(AND(W44="Guaranteed off usage",X44="Inclusive"),((Q44*1.1)-((P44*1.1)*T44/100))/1.1,IF(AND(W44="Guaranteed off bill",X44="Exclusive"),Q44-(Q44*S44/100),IF(AND(W44="Guaranteed off usage",X44="Exclusive"),Q44-(P44*T44/100),IF(X44="Inclusive",((Q44*1.1))/1.1,Q44)))))</f>
        <v>1572.1163636363635</v>
      </c>
      <c r="Z44" s="535">
        <f t="shared" ref="Z44:Z46" si="51">IF(AND(W44="Pay-on-time off bill",X44="Inclusive"),((Y44*1.1)-((Y44*1.1)*U44/100))/1.1,IF(AND(W44="Pay-on-time off usage",X44="Inclusive"),((Y44*1.1)-((P44*1.1)*V44/100))/1.1,IF(AND(W44="Pay-on-time off bill",X44="Exclusive"),Y44-(Y44*U44/100),IF(AND(W44="Pay-on-time off usage",X44="Exclusive"),Y44-(P44*V44/100),IF(X44="Inclusive",((Y44*1.1))/1.1,Y44)))))</f>
        <v>1572.1163636363635</v>
      </c>
      <c r="AA44" s="542">
        <f t="shared" si="47"/>
        <v>1729.328</v>
      </c>
      <c r="AB44" s="609">
        <f t="shared" si="47"/>
        <v>1729.328</v>
      </c>
      <c r="AC44" s="604"/>
      <c r="AD44" s="604"/>
      <c r="AE44" s="604"/>
      <c r="AF44" s="604"/>
      <c r="AG44" s="604"/>
      <c r="AH44" s="604"/>
      <c r="AI44" s="604"/>
      <c r="AJ44" s="604"/>
      <c r="AK44" s="604"/>
      <c r="AL44" s="604"/>
      <c r="AM44" s="604"/>
      <c r="AN44" s="604"/>
      <c r="AO44" s="604"/>
      <c r="AP44" s="604"/>
      <c r="AQ44" s="604"/>
      <c r="AR44" s="604"/>
      <c r="AS44" s="604"/>
      <c r="AT44" s="604"/>
    </row>
    <row r="45" spans="1:46" ht="14" x14ac:dyDescent="0.15">
      <c r="A45" s="270" t="str">
        <f>'Tariffs Jan2023'!F39</f>
        <v>Momentum Energy</v>
      </c>
      <c r="B45" s="40" t="str">
        <f>'Tariffs Jan2023'!D39</f>
        <v>AGN North</v>
      </c>
      <c r="C45" s="40" t="str">
        <f>'Tariffs Jan2023'!G39</f>
        <v>Nothing Fancy</v>
      </c>
      <c r="D45" s="59">
        <f>365*'Tariffs Jan2023'!H39/100</f>
        <v>316.82</v>
      </c>
      <c r="E45" s="59">
        <f>IF($C$5*'Tariffs Jan2023'!AK39/'Tariffs Jan2023'!AI39&gt;='Tariffs Jan2023'!J39,( 'Tariffs Jan2023'!J39*'Tariffs Jan2023'!O39/100)* 'Tariffs Jan2023'!AI39,($C$5*'Tariffs Jan2023'!AK39/'Tariffs Jan2023'!AI39*'Tariffs Jan2023'!O39/100)* 'Tariffs Jan2023'!AI39)</f>
        <v>202.33499999999998</v>
      </c>
      <c r="F45" s="59">
        <f>IF($C$5*'Tariffs Jan2023'!AK39/'Tariffs Jan2023'!AI39&lt;'Tariffs Jan2023'!J39,0,IF($C$5*'Tariffs Jan2023'!AK39/'Tariffs Jan2023'!AI39&lt;='Tariffs Jan2023'!K39,($C$5*'Tariffs Jan2023'!AK39/'Tariffs Jan2023'!AI39-'Tariffs Jan2023'!J39)*('Tariffs Jan2023'!P39/100)*'Tariffs Jan2023'!AI39,('Tariffs Jan2023'!K39-'Tariffs Jan2023'!J39)*('Tariffs Jan2023'!P39/100)*'Tariffs Jan2023'!AI39))</f>
        <v>138.21</v>
      </c>
      <c r="G45" s="59">
        <f>IF($C$5*'Tariffs Jan2023'!AK39/'Tariffs Jan2023'!AI39&lt;'Tariffs Jan2023'!K39,0,IF($C$5*'Tariffs Jan2023'!AK39/'Tariffs Jan2023'!AI39&lt;='Tariffs Jan2023'!L39,($C$5*'Tariffs Jan2023'!AK39/'Tariffs Jan2023'!AI39-'Tariffs Jan2023'!K39)*('Tariffs Jan2023'!Q39/100)*'Tariffs Jan2023'!AI39,('Tariffs Jan2023'!L39-'Tariffs Jan2023'!K39)*('Tariffs Jan2023'!Q39/100)*'Tariffs Jan2023'!AI39))</f>
        <v>0</v>
      </c>
      <c r="H45" s="59">
        <f>IF($C$5*'Tariffs Jan2023'!AK39/'Tariffs Jan2023'!AI39&lt;'Tariffs Jan2023'!L39,0,IF($C$5*'Tariffs Jan2023'!AK39/'Tariffs Jan2023'!AI39&lt;='Tariffs Jan2023'!M39,($C$5*'Tariffs Jan2023'!AK39/'Tariffs Jan2023'!AI39-'Tariffs Jan2023'!L39)*('Tariffs Jan2023'!R39/100)*'Tariffs Jan2023'!AI39,('Tariffs Jan2023'!M39-'Tariffs Jan2023'!L39)*('Tariffs Jan2023'!R39/100)*'Tariffs Jan2023'!AI39))</f>
        <v>0</v>
      </c>
      <c r="I45" s="59">
        <f>IF(($C$5*'Tariffs Jan2023'!AK39/'Tariffs Jan2023'!AI39&gt;'Tariffs Jan2023'!M39),($C$5*'Tariffs Jan2023'!AK39/'Tariffs Jan2023'!AI39-'Tariffs Jan2023'!M39)*'Tariffs Jan2023'!S39/100*'Tariffs Jan2023'!AI39,0)</f>
        <v>674.99999999999989</v>
      </c>
      <c r="J45" s="59">
        <f>IF($C$5*'Tariffs Jan2023'!AL39/'Tariffs Jan2023'!AJ39&gt;='Tariffs Jan2023'!J39,('Tariffs Jan2023'!J39*'Tariffs Jan2023'!U39/100)* 'Tariffs Jan2023'!AJ39,($C$5*'Tariffs Jan2023'!AL39/'Tariffs Jan2023'!AJ39*'Tariffs Jan2023'!U39/100)* 'Tariffs Jan2023'!AJ39)</f>
        <v>202.33499999999998</v>
      </c>
      <c r="K45" s="59">
        <f>IF($C$5*'Tariffs Jan2023'!AL39/'Tariffs Jan2023'!AJ39&lt;'Tariffs Jan2023'!J39,0,IF($C$5*'Tariffs Jan2023'!AL39/'Tariffs Jan2023'!AJ39&lt;='Tariffs Jan2023'!K39,($C$5*'Tariffs Jan2023'!AL39/'Tariffs Jan2023'!AJ39-'Tariffs Jan2023'!J39)*('Tariffs Jan2023'!V39/100)*'Tariffs Jan2023'!AJ39,('Tariffs Jan2023'!K39-'Tariffs Jan2023'!J39)*('Tariffs Jan2023'!V39/100)*'Tariffs Jan2023'!AJ39))</f>
        <v>138.21</v>
      </c>
      <c r="L45" s="59">
        <f>IF($C$5*'Tariffs Jan2023'!AL39/'Tariffs Jan2023'!AJ39&lt;'Tariffs Jan2023'!K39,0,IF($C$5*'Tariffs Jan2023'!AL39/'Tariffs Jan2023'!AJ39&lt;='Tariffs Jan2023'!L39,($C$5*'Tariffs Jan2023'!AL39/'Tariffs Jan2023'!AJ39-'Tariffs Jan2023'!K39)*('Tariffs Jan2023'!W39/100)*'Tariffs Jan2023'!AJ39,('Tariffs Jan2023'!L39-'Tariffs Jan2023'!K39)*('Tariffs Jan2023'!W39/100)*'Tariffs Jan2023'!AJ39))</f>
        <v>0</v>
      </c>
      <c r="M45" s="59">
        <f>IF($C$5*'Tariffs Jan2023'!AL39/'Tariffs Jan2023'!AJ39&lt;'Tariffs Jan2023'!L39,0,IF($C$5*'Tariffs Jan2023'!AL39/'Tariffs Jan2023'!AJ39&lt;='Tariffs Jan2023'!M39,($C$5*'Tariffs Jan2023'!AL39/'Tariffs Jan2023'!AJ39-'Tariffs Jan2023'!L39)*('Tariffs Jan2023'!X39/100)*'Tariffs Jan2023'!AJ39,('Tariffs Jan2023'!M39-'Tariffs Jan2023'!L39)*('Tariffs Jan2023'!X39/100)*'Tariffs Jan2023'!AJ39))</f>
        <v>0</v>
      </c>
      <c r="N45" s="59">
        <f>IF(($C$5*'Tariffs Jan2023'!AL39/'Tariffs Jan2023'!AJ39&gt;'Tariffs Jan2023'!M39),($C$5*'Tariffs Jan2023'!AL39/'Tariffs Jan2023'!AJ39-'Tariffs Jan2023'!M39)*'Tariffs Jan2023'!Y39/100*'Tariffs Jan2023'!AJ39,0)</f>
        <v>674.99999999999989</v>
      </c>
      <c r="O45" s="59">
        <f>SUM(E45:N45)</f>
        <v>2031.0899999999997</v>
      </c>
      <c r="P45" s="503">
        <f t="shared" ref="P45" si="52">O45*1.1</f>
        <v>2234.1989999999996</v>
      </c>
      <c r="Q45" s="59">
        <f>D45+O45</f>
        <v>2347.91</v>
      </c>
      <c r="R45" s="272">
        <f>Q45*1.1</f>
        <v>2582.701</v>
      </c>
      <c r="S45" s="40">
        <f>'Tariffs Jan2023'!AN39</f>
        <v>0</v>
      </c>
      <c r="T45" s="40">
        <f>'Tariffs Jan2023'!AO39</f>
        <v>0</v>
      </c>
      <c r="U45" s="40">
        <f>'Tariffs Jan2023'!AP39</f>
        <v>0</v>
      </c>
      <c r="V45" s="40">
        <f>'Tariffs Jan2023'!AQ39</f>
        <v>0</v>
      </c>
      <c r="W45" s="537" t="str">
        <f t="shared" ref="W45" si="53">IF(SUM(S45:V45)=0,"No discount",IF(S45&gt;0,"Guaranteed off bill",IF(T45&gt;0,"Guaranteed off usage",IF(U45&gt;0,"Pay-on-time off bill","Pay-on-time off usage"))))</f>
        <v>No discount</v>
      </c>
      <c r="X45" s="538" t="str">
        <f t="shared" ref="X45" si="54">IF(OR(A45="Origin Energy",A45="Red Energy",A45="Powershop"),"Inclusive","Exclusive")</f>
        <v>Exclusive</v>
      </c>
      <c r="Y45" s="534">
        <f t="shared" ref="Y45" si="55">IF(AND(W45="Guaranteed off bill",X45="Inclusive"),((Q45*1.1)-((Q45*1.1)*S45/100))/1.1,IF(AND(W45="Guaranteed off usage",X45="Inclusive"),((Q45*1.1)-((P45*1.1)*T45/100))/1.1,IF(AND(W45="Guaranteed off bill",X45="Exclusive"),Q45-(Q45*S45/100),IF(AND(W45="Guaranteed off usage",X45="Exclusive"),Q45-(P45*T45/100),IF(X45="Inclusive",((Q45*1.1))/1.1,Q45)))))</f>
        <v>2347.91</v>
      </c>
      <c r="Z45" s="535">
        <f t="shared" ref="Z45" si="56">IF(AND(W45="Pay-on-time off bill",X45="Inclusive"),((Y45*1.1)-((Y45*1.1)*U45/100))/1.1,IF(AND(W45="Pay-on-time off usage",X45="Inclusive"),((Y45*1.1)-((P45*1.1)*V45/100))/1.1,IF(AND(W45="Pay-on-time off bill",X45="Exclusive"),Y45-(Y45*U45/100),IF(AND(W45="Pay-on-time off usage",X45="Exclusive"),Y45-(P45*V45/100),IF(X45="Inclusive",((Y45*1.1))/1.1,Y45)))))</f>
        <v>2347.91</v>
      </c>
      <c r="AA45" s="542">
        <f t="shared" ref="AA45" si="57">Y45*1.1</f>
        <v>2582.701</v>
      </c>
      <c r="AB45" s="609">
        <f t="shared" ref="AB45" si="58">Z45*1.1</f>
        <v>2582.701</v>
      </c>
      <c r="AC45" s="604"/>
      <c r="AD45" s="604"/>
      <c r="AE45" s="604"/>
      <c r="AF45" s="604"/>
      <c r="AG45" s="604"/>
      <c r="AH45" s="604"/>
      <c r="AI45" s="604"/>
      <c r="AJ45" s="604"/>
      <c r="AK45" s="604"/>
      <c r="AL45" s="604"/>
      <c r="AM45" s="604"/>
      <c r="AN45" s="604"/>
      <c r="AO45" s="604"/>
      <c r="AP45" s="604"/>
      <c r="AQ45" s="604"/>
      <c r="AR45" s="604"/>
      <c r="AS45" s="604"/>
      <c r="AT45" s="604"/>
    </row>
    <row r="46" spans="1:46" ht="15" thickBot="1" x14ac:dyDescent="0.2">
      <c r="A46" s="276" t="str">
        <f>'Tariffs Jan2023'!F40</f>
        <v>Sumo Power</v>
      </c>
      <c r="B46" s="277" t="str">
        <f>'Tariffs Jan2023'!D40</f>
        <v>AGN North</v>
      </c>
      <c r="C46" s="277" t="str">
        <f>'Tariffs Jan2023'!G40</f>
        <v>Lite</v>
      </c>
      <c r="D46" s="278">
        <f>365*'Tariffs Jan2023'!H40/100</f>
        <v>383.24999999999994</v>
      </c>
      <c r="E46" s="278">
        <f>IF($C$5*'Tariffs Jan2023'!AK40/'Tariffs Jan2023'!AI40&gt;='Tariffs Jan2023'!J40,( 'Tariffs Jan2023'!J40*'Tariffs Jan2023'!O40/100)* 'Tariffs Jan2023'!AI40,($C$5*'Tariffs Jan2023'!AK40/'Tariffs Jan2023'!AI40*'Tariffs Jan2023'!O40/100)* 'Tariffs Jan2023'!AI40)</f>
        <v>477</v>
      </c>
      <c r="F46" s="278">
        <f>IF($C$5*'Tariffs Jan2023'!AK40/'Tariffs Jan2023'!AI40&lt;'Tariffs Jan2023'!J40,0,IF($C$5*'Tariffs Jan2023'!AK40/'Tariffs Jan2023'!AI40&lt;='Tariffs Jan2023'!K40,($C$5*'Tariffs Jan2023'!AK40/'Tariffs Jan2023'!AI40-'Tariffs Jan2023'!J40)*('Tariffs Jan2023'!P40/100)*'Tariffs Jan2023'!AI40,('Tariffs Jan2023'!K40-'Tariffs Jan2023'!J40)*('Tariffs Jan2023'!P40/100)*'Tariffs Jan2023'!AI40))</f>
        <v>0</v>
      </c>
      <c r="G46" s="278">
        <f>IF($C$5*'Tariffs Jan2023'!AK40/'Tariffs Jan2023'!AI40&lt;'Tariffs Jan2023'!K40,0,IF($C$5*'Tariffs Jan2023'!AK40/'Tariffs Jan2023'!AI40&lt;='Tariffs Jan2023'!L40,($C$5*'Tariffs Jan2023'!AK40/'Tariffs Jan2023'!AI40-'Tariffs Jan2023'!K40)*('Tariffs Jan2023'!Q40/100)*'Tariffs Jan2023'!AI40,('Tariffs Jan2023'!L40-'Tariffs Jan2023'!K40)*('Tariffs Jan2023'!Q40/100)*'Tariffs Jan2023'!AI40))</f>
        <v>0</v>
      </c>
      <c r="H46" s="278">
        <f>IF($C$5*'Tariffs Jan2023'!AK40/'Tariffs Jan2023'!AI40&lt;'Tariffs Jan2023'!L40,0,IF($C$5*'Tariffs Jan2023'!AK40/'Tariffs Jan2023'!AI40&lt;='Tariffs Jan2023'!M40,($C$5*'Tariffs Jan2023'!AK40/'Tariffs Jan2023'!AI40-'Tariffs Jan2023'!L40)*('Tariffs Jan2023'!R40/100)*'Tariffs Jan2023'!AI40,('Tariffs Jan2023'!M40-'Tariffs Jan2023'!L40)*('Tariffs Jan2023'!R40/100)*'Tariffs Jan2023'!AI40))</f>
        <v>0</v>
      </c>
      <c r="I46" s="278">
        <f>IF(($C$5*'Tariffs Jan2023'!AK40/'Tariffs Jan2023'!AI40&gt;'Tariffs Jan2023'!M40),($C$5*'Tariffs Jan2023'!AK40/'Tariffs Jan2023'!AI40-'Tariffs Jan2023'!M40)*'Tariffs Jan2023'!S40/100*'Tariffs Jan2023'!AI40,0)</f>
        <v>1035</v>
      </c>
      <c r="J46" s="278">
        <f>IF($C$5*'Tariffs Jan2023'!AL40/'Tariffs Jan2023'!AJ40&gt;='Tariffs Jan2023'!J40,('Tariffs Jan2023'!J40*'Tariffs Jan2023'!U40/100)* 'Tariffs Jan2023'!AJ40,($C$5*'Tariffs Jan2023'!AL40/'Tariffs Jan2023'!AJ40*'Tariffs Jan2023'!U40/100)* 'Tariffs Jan2023'!AJ40)</f>
        <v>477</v>
      </c>
      <c r="K46" s="278">
        <f>IF($C$5*'Tariffs Jan2023'!AL40/'Tariffs Jan2023'!AJ40&lt;'Tariffs Jan2023'!J40,0,IF($C$5*'Tariffs Jan2023'!AL40/'Tariffs Jan2023'!AJ40&lt;='Tariffs Jan2023'!K40,($C$5*'Tariffs Jan2023'!AL40/'Tariffs Jan2023'!AJ40-'Tariffs Jan2023'!J40)*('Tariffs Jan2023'!V40/100)*'Tariffs Jan2023'!AJ40,('Tariffs Jan2023'!K40-'Tariffs Jan2023'!J40)*('Tariffs Jan2023'!V40/100)*'Tariffs Jan2023'!AJ40))</f>
        <v>0</v>
      </c>
      <c r="L46" s="278">
        <f>IF($C$5*'Tariffs Jan2023'!AL40/'Tariffs Jan2023'!AJ40&lt;'Tariffs Jan2023'!K40,0,IF($C$5*'Tariffs Jan2023'!AL40/'Tariffs Jan2023'!AJ40&lt;='Tariffs Jan2023'!L40,($C$5*'Tariffs Jan2023'!AL40/'Tariffs Jan2023'!AJ40-'Tariffs Jan2023'!K40)*('Tariffs Jan2023'!W40/100)*'Tariffs Jan2023'!AJ40,('Tariffs Jan2023'!L40-'Tariffs Jan2023'!K40)*('Tariffs Jan2023'!W40/100)*'Tariffs Jan2023'!AJ40))</f>
        <v>0</v>
      </c>
      <c r="M46" s="278">
        <f>IF($C$5*'Tariffs Jan2023'!AL40/'Tariffs Jan2023'!AJ40&lt;'Tariffs Jan2023'!L40,0,IF($C$5*'Tariffs Jan2023'!AL40/'Tariffs Jan2023'!AJ40&lt;='Tariffs Jan2023'!M40,($C$5*'Tariffs Jan2023'!AL40/'Tariffs Jan2023'!AJ40-'Tariffs Jan2023'!L40)*('Tariffs Jan2023'!X40/100)*'Tariffs Jan2023'!AJ40,('Tariffs Jan2023'!M40-'Tariffs Jan2023'!L40)*('Tariffs Jan2023'!X40/100)*'Tariffs Jan2023'!AJ40))</f>
        <v>0</v>
      </c>
      <c r="N46" s="278">
        <f>IF(($C$5*'Tariffs Jan2023'!AL40/'Tariffs Jan2023'!AJ40&gt;'Tariffs Jan2023'!M40),($C$5*'Tariffs Jan2023'!AL40/'Tariffs Jan2023'!AJ40-'Tariffs Jan2023'!M40)*'Tariffs Jan2023'!Y40/100*'Tariffs Jan2023'!AJ40,0)</f>
        <v>1035</v>
      </c>
      <c r="O46" s="278">
        <f>SUM(E46:N46)</f>
        <v>3024</v>
      </c>
      <c r="P46" s="504">
        <f t="shared" si="2"/>
        <v>3326.4</v>
      </c>
      <c r="Q46" s="278">
        <f>D46+O46</f>
        <v>3407.25</v>
      </c>
      <c r="R46" s="280">
        <f>Q46*1.1</f>
        <v>3747.9750000000004</v>
      </c>
      <c r="S46" s="277">
        <f>'Tariffs Jan2023'!AN40</f>
        <v>0</v>
      </c>
      <c r="T46" s="277">
        <f>'Tariffs Jan2023'!AO40</f>
        <v>0</v>
      </c>
      <c r="U46" s="277">
        <f>'Tariffs Jan2023'!AP40</f>
        <v>0</v>
      </c>
      <c r="V46" s="277">
        <f>'Tariffs Jan2023'!AQ40</f>
        <v>0</v>
      </c>
      <c r="W46" s="540" t="str">
        <f t="shared" si="43"/>
        <v>No discount</v>
      </c>
      <c r="X46" s="541" t="str">
        <f t="shared" si="44"/>
        <v>Exclusive</v>
      </c>
      <c r="Y46" s="543">
        <f t="shared" si="50"/>
        <v>3407.25</v>
      </c>
      <c r="Z46" s="544">
        <f t="shared" si="51"/>
        <v>3407.25</v>
      </c>
      <c r="AA46" s="545">
        <f t="shared" si="47"/>
        <v>3747.9750000000004</v>
      </c>
      <c r="AB46" s="610">
        <f t="shared" si="47"/>
        <v>3747.9750000000004</v>
      </c>
      <c r="AC46" s="604"/>
      <c r="AD46" s="604"/>
      <c r="AE46" s="604"/>
      <c r="AF46" s="604"/>
      <c r="AG46" s="604"/>
      <c r="AH46" s="604"/>
      <c r="AI46" s="604"/>
      <c r="AJ46" s="604"/>
      <c r="AK46" s="604"/>
      <c r="AL46" s="604"/>
      <c r="AM46" s="604"/>
      <c r="AN46" s="604"/>
      <c r="AO46" s="604"/>
      <c r="AP46" s="604"/>
      <c r="AQ46" s="604"/>
      <c r="AR46" s="604"/>
      <c r="AS46" s="604"/>
      <c r="AT46" s="604"/>
    </row>
    <row r="47" spans="1:46" ht="15" thickTop="1" x14ac:dyDescent="0.15">
      <c r="A47" s="270" t="str">
        <f>'Tariffs Jan2023'!F41</f>
        <v>AGL</v>
      </c>
      <c r="B47" s="40" t="str">
        <f>'Tariffs Jan2023'!D41</f>
        <v>AGN Central 2</v>
      </c>
      <c r="C47" s="40" t="str">
        <f>'Tariffs Jan2023'!G41</f>
        <v>Value Saver</v>
      </c>
      <c r="D47" s="59">
        <f>365*'Tariffs Jan2023'!H41/100</f>
        <v>279.19181818181818</v>
      </c>
      <c r="E47" s="59">
        <f>IF($C$5*'Tariffs Jan2023'!AK41/'Tariffs Jan2023'!AI41&gt;='Tariffs Jan2023'!J41,( 'Tariffs Jan2023'!J41*'Tariffs Jan2023'!O41/100)* 'Tariffs Jan2023'!AI41,($C$5*'Tariffs Jan2023'!AK41/'Tariffs Jan2023'!AI41*'Tariffs Jan2023'!O41/100)* 'Tariffs Jan2023'!AI41)</f>
        <v>172.27636363636358</v>
      </c>
      <c r="F47" s="59">
        <f>IF($C$5*'Tariffs Jan2023'!AK41/'Tariffs Jan2023'!AI41&lt;'Tariffs Jan2023'!J41,0,IF($C$5*'Tariffs Jan2023'!AK41/'Tariffs Jan2023'!AI41&lt;='Tariffs Jan2023'!K41,($C$5*'Tariffs Jan2023'!AK41/'Tariffs Jan2023'!AI41-'Tariffs Jan2023'!J41)*('Tariffs Jan2023'!P41/100)*'Tariffs Jan2023'!AI41,('Tariffs Jan2023'!K41-'Tariffs Jan2023'!J41)*('Tariffs Jan2023'!P41/100)*'Tariffs Jan2023'!AI41))</f>
        <v>135.25363636363636</v>
      </c>
      <c r="G47" s="59">
        <f>IF($C$5*'Tariffs Jan2023'!AK41/'Tariffs Jan2023'!AI41&lt;'Tariffs Jan2023'!K41,0,IF($C$5*'Tariffs Jan2023'!AK41/'Tariffs Jan2023'!AI41&lt;='Tariffs Jan2023'!L41,($C$5*'Tariffs Jan2023'!AK41/'Tariffs Jan2023'!AI41-'Tariffs Jan2023'!K41)*('Tariffs Jan2023'!Q41/100)*'Tariffs Jan2023'!AI41,('Tariffs Jan2023'!L41-'Tariffs Jan2023'!K41)*('Tariffs Jan2023'!Q41/100)*'Tariffs Jan2023'!AI41))</f>
        <v>0</v>
      </c>
      <c r="H47" s="59">
        <f>IF($C$5*'Tariffs Jan2023'!AK41/'Tariffs Jan2023'!AI41&lt;'Tariffs Jan2023'!L41,0,IF($C$5*'Tariffs Jan2023'!AK41/'Tariffs Jan2023'!AI41&lt;='Tariffs Jan2023'!M41,($C$5*'Tariffs Jan2023'!AK41/'Tariffs Jan2023'!AI41-'Tariffs Jan2023'!L41)*('Tariffs Jan2023'!R41/100)*'Tariffs Jan2023'!AI41,('Tariffs Jan2023'!M41-'Tariffs Jan2023'!L41)*('Tariffs Jan2023'!R41/100)*'Tariffs Jan2023'!AI41))</f>
        <v>0</v>
      </c>
      <c r="I47" s="59">
        <f>IF(($C$5*'Tariffs Jan2023'!AK41/'Tariffs Jan2023'!AI41&gt;'Tariffs Jan2023'!M41),($C$5*'Tariffs Jan2023'!AK41/'Tariffs Jan2023'!AI41-'Tariffs Jan2023'!M41)*'Tariffs Jan2023'!S41/100*'Tariffs Jan2023'!AI41,0)</f>
        <v>509.31818181818187</v>
      </c>
      <c r="J47" s="59">
        <f>IF($C$5*'Tariffs Jan2023'!AL41/'Tariffs Jan2023'!AJ41&gt;='Tariffs Jan2023'!J41,('Tariffs Jan2023'!J41*'Tariffs Jan2023'!U41/100)* 'Tariffs Jan2023'!AJ41,($C$5*'Tariffs Jan2023'!AL41/'Tariffs Jan2023'!AJ41*'Tariffs Jan2023'!U41/100)* 'Tariffs Jan2023'!AJ41)</f>
        <v>172.27636363636358</v>
      </c>
      <c r="K47" s="59">
        <f>IF($C$5*'Tariffs Jan2023'!AL41/'Tariffs Jan2023'!AJ41&lt;'Tariffs Jan2023'!J41,0,IF($C$5*'Tariffs Jan2023'!AL41/'Tariffs Jan2023'!AJ41&lt;='Tariffs Jan2023'!K41,($C$5*'Tariffs Jan2023'!AL41/'Tariffs Jan2023'!AJ41-'Tariffs Jan2023'!J41)*('Tariffs Jan2023'!V41/100)*'Tariffs Jan2023'!AJ41,('Tariffs Jan2023'!K41-'Tariffs Jan2023'!J41)*('Tariffs Jan2023'!V41/100)*'Tariffs Jan2023'!AJ41))</f>
        <v>135.25363636363636</v>
      </c>
      <c r="L47" s="59">
        <f>IF($C$5*'Tariffs Jan2023'!AL41/'Tariffs Jan2023'!AJ41&lt;'Tariffs Jan2023'!K41,0,IF($C$5*'Tariffs Jan2023'!AL41/'Tariffs Jan2023'!AJ41&lt;='Tariffs Jan2023'!L41,($C$5*'Tariffs Jan2023'!AL41/'Tariffs Jan2023'!AJ41-'Tariffs Jan2023'!K41)*('Tariffs Jan2023'!W41/100)*'Tariffs Jan2023'!AJ41,('Tariffs Jan2023'!L41-'Tariffs Jan2023'!K41)*('Tariffs Jan2023'!W41/100)*'Tariffs Jan2023'!AJ41))</f>
        <v>0</v>
      </c>
      <c r="M47" s="59">
        <f>IF($C$5*'Tariffs Jan2023'!AL41/'Tariffs Jan2023'!AJ41&lt;'Tariffs Jan2023'!L41,0,IF($C$5*'Tariffs Jan2023'!AL41/'Tariffs Jan2023'!AJ41&lt;='Tariffs Jan2023'!M41,($C$5*'Tariffs Jan2023'!AL41/'Tariffs Jan2023'!AJ41-'Tariffs Jan2023'!L41)*('Tariffs Jan2023'!X41/100)*'Tariffs Jan2023'!AJ41,('Tariffs Jan2023'!M41-'Tariffs Jan2023'!L41)*('Tariffs Jan2023'!X41/100)*'Tariffs Jan2023'!AJ41))</f>
        <v>0</v>
      </c>
      <c r="N47" s="59">
        <f>IF(($C$5*'Tariffs Jan2023'!AL41/'Tariffs Jan2023'!AJ41&gt;'Tariffs Jan2023'!M41),($C$5*'Tariffs Jan2023'!AL41/'Tariffs Jan2023'!AJ41-'Tariffs Jan2023'!M41)*'Tariffs Jan2023'!Y41/100*'Tariffs Jan2023'!AJ41,0)</f>
        <v>509.31818181818187</v>
      </c>
      <c r="O47" s="59">
        <f t="shared" si="1"/>
        <v>1633.6963636363639</v>
      </c>
      <c r="P47" s="503">
        <f t="shared" si="2"/>
        <v>1797.0660000000005</v>
      </c>
      <c r="Q47" s="59">
        <f t="shared" si="3"/>
        <v>1912.8881818181821</v>
      </c>
      <c r="R47" s="272">
        <f t="shared" si="4"/>
        <v>2104.1770000000006</v>
      </c>
      <c r="S47" s="40">
        <f>'Tariffs Jan2023'!AN41</f>
        <v>0</v>
      </c>
      <c r="T47" s="40">
        <f>'Tariffs Jan2023'!AO41</f>
        <v>0</v>
      </c>
      <c r="U47" s="40">
        <f>'Tariffs Jan2023'!AP41</f>
        <v>0</v>
      </c>
      <c r="V47" s="40">
        <f>'Tariffs Jan2023'!AQ41</f>
        <v>0</v>
      </c>
      <c r="W47" s="537" t="str">
        <f>IF(SUM(S47:V47)=0,"No discount",IF(S47&gt;0,"Guaranteed off bill",IF(T47&gt;0,"Guaranteed off usage",IF(U47&gt;0,"Pay-on-time off bill","Pay-on-time off usage"))))</f>
        <v>No discount</v>
      </c>
      <c r="X47" s="538" t="str">
        <f>IF(OR(A47="Origin Energy",A47="Red Energy",A47="Powershop"),"Inclusive","Exclusive")</f>
        <v>Exclusive</v>
      </c>
      <c r="Y47" s="534">
        <f>IF(AND(W47="Guaranteed off bill",X47="Inclusive"),((Q47*1.1)-((Q47*1.1)*S47/100))/1.1,IF(AND(W47="Guaranteed off usage",X47="Inclusive"),((Q47*1.1)-((P47*1.1)*T47/100))/1.1,IF(AND(W47="Guaranteed off bill",X47="Exclusive"),Q47-(Q47*S47/100),IF(AND(W47="Guaranteed off usage",X47="Exclusive"),Q47-(P47*T47/100),IF(X47="Inclusive",((Q47*1.1))/1.1,Q47)))))</f>
        <v>1912.8881818181821</v>
      </c>
      <c r="Z47" s="535">
        <f>IF(AND(W47="Pay-on-time off bill",X47="Inclusive"),((Y47*1.1)-((Y47*1.1)*U47/100))/1.1,IF(AND(W47="Pay-on-time off usage",X47="Inclusive"),((Y47*1.1)-((P47*1.1)*V47/100))/1.1,IF(AND(W47="Pay-on-time off bill",X47="Exclusive"),Y47-(Y47*U47/100),IF(AND(W47="Pay-on-time off usage",X47="Exclusive"),Y47-(P47*V47/100),IF(X47="Inclusive",((Y47*1.1))/1.1,Y47)))))</f>
        <v>1912.8881818181821</v>
      </c>
      <c r="AA47" s="542">
        <f t="shared" si="47"/>
        <v>2104.1770000000006</v>
      </c>
      <c r="AB47" s="609">
        <f t="shared" si="47"/>
        <v>2104.1770000000006</v>
      </c>
      <c r="AC47" s="604"/>
      <c r="AD47" s="604"/>
      <c r="AE47" s="604"/>
      <c r="AF47" s="604"/>
      <c r="AG47" s="604"/>
      <c r="AH47" s="604"/>
      <c r="AI47" s="604"/>
      <c r="AJ47" s="604"/>
      <c r="AK47" s="604"/>
      <c r="AL47" s="604"/>
      <c r="AM47" s="604"/>
      <c r="AN47" s="604"/>
      <c r="AO47" s="604"/>
      <c r="AP47" s="604"/>
      <c r="AQ47" s="604"/>
      <c r="AR47" s="604"/>
      <c r="AS47" s="604"/>
      <c r="AT47" s="604"/>
    </row>
    <row r="48" spans="1:46" ht="14" x14ac:dyDescent="0.15">
      <c r="A48" s="270" t="str">
        <f>'Tariffs Jan2023'!F42</f>
        <v>Alinta Energy</v>
      </c>
      <c r="B48" s="40" t="str">
        <f>'Tariffs Jan2023'!D42</f>
        <v>AGN Central 2</v>
      </c>
      <c r="C48" s="40" t="str">
        <f>'Tariffs Jan2023'!G42</f>
        <v>Home Deal</v>
      </c>
      <c r="D48" s="59">
        <f>365*'Tariffs Jan2023'!H42/100</f>
        <v>216.14636363636362</v>
      </c>
      <c r="E48" s="59">
        <f>IF($C$5*'Tariffs Jan2023'!AK42/'Tariffs Jan2023'!AI42&gt;='Tariffs Jan2023'!J42,( 'Tariffs Jan2023'!J42*'Tariffs Jan2023'!O42/100)* 'Tariffs Jan2023'!AI42,($C$5*'Tariffs Jan2023'!AK42/'Tariffs Jan2023'!AI42*'Tariffs Jan2023'!O42/100)* 'Tariffs Jan2023'!AI42)</f>
        <v>138.18</v>
      </c>
      <c r="F48" s="59">
        <f>IF($C$5*'Tariffs Jan2023'!AK42/'Tariffs Jan2023'!AI42&lt;'Tariffs Jan2023'!J42,0,IF($C$5*'Tariffs Jan2023'!AK42/'Tariffs Jan2023'!AI42&lt;='Tariffs Jan2023'!K42,($C$5*'Tariffs Jan2023'!AK42/'Tariffs Jan2023'!AI42-'Tariffs Jan2023'!J42)*('Tariffs Jan2023'!P42/100)*'Tariffs Jan2023'!AI42,('Tariffs Jan2023'!K42-'Tariffs Jan2023'!J42)*('Tariffs Jan2023'!P42/100)*'Tariffs Jan2023'!AI42))</f>
        <v>99.038181818181826</v>
      </c>
      <c r="G48" s="59">
        <f>IF($C$5*'Tariffs Jan2023'!AK42/'Tariffs Jan2023'!AI42&lt;'Tariffs Jan2023'!K42,0,IF($C$5*'Tariffs Jan2023'!AK42/'Tariffs Jan2023'!AI42&lt;='Tariffs Jan2023'!L42,($C$5*'Tariffs Jan2023'!AK42/'Tariffs Jan2023'!AI42-'Tariffs Jan2023'!K42)*('Tariffs Jan2023'!Q42/100)*'Tariffs Jan2023'!AI42,('Tariffs Jan2023'!L42-'Tariffs Jan2023'!K42)*('Tariffs Jan2023'!Q42/100)*'Tariffs Jan2023'!AI42))</f>
        <v>0</v>
      </c>
      <c r="H48" s="59">
        <f>IF($C$5*'Tariffs Jan2023'!AK42/'Tariffs Jan2023'!AI42&lt;'Tariffs Jan2023'!L42,0,IF($C$5*'Tariffs Jan2023'!AK42/'Tariffs Jan2023'!AI42&lt;='Tariffs Jan2023'!M42,($C$5*'Tariffs Jan2023'!AK42/'Tariffs Jan2023'!AI42-'Tariffs Jan2023'!L42)*('Tariffs Jan2023'!R42/100)*'Tariffs Jan2023'!AI42,('Tariffs Jan2023'!M42-'Tariffs Jan2023'!L42)*('Tariffs Jan2023'!R42/100)*'Tariffs Jan2023'!AI42))</f>
        <v>0</v>
      </c>
      <c r="I48" s="59">
        <f>IF(($C$5*'Tariffs Jan2023'!AK42/'Tariffs Jan2023'!AI42&gt;'Tariffs Jan2023'!M42),($C$5*'Tariffs Jan2023'!AK42/'Tariffs Jan2023'!AI42-'Tariffs Jan2023'!M42)*'Tariffs Jan2023'!S42/100*'Tariffs Jan2023'!AI42,0)</f>
        <v>427.49999999999989</v>
      </c>
      <c r="J48" s="59">
        <f>IF($C$5*'Tariffs Jan2023'!AL42/'Tariffs Jan2023'!AJ42&gt;='Tariffs Jan2023'!J42,('Tariffs Jan2023'!J42*'Tariffs Jan2023'!U42/100)* 'Tariffs Jan2023'!AJ42,($C$5*'Tariffs Jan2023'!AL42/'Tariffs Jan2023'!AJ42*'Tariffs Jan2023'!U42/100)* 'Tariffs Jan2023'!AJ42)</f>
        <v>138.18</v>
      </c>
      <c r="K48" s="59">
        <f>IF($C$5*'Tariffs Jan2023'!AL42/'Tariffs Jan2023'!AJ42&lt;'Tariffs Jan2023'!J42,0,IF($C$5*'Tariffs Jan2023'!AL42/'Tariffs Jan2023'!AJ42&lt;='Tariffs Jan2023'!K42,($C$5*'Tariffs Jan2023'!AL42/'Tariffs Jan2023'!AJ42-'Tariffs Jan2023'!J42)*('Tariffs Jan2023'!V42/100)*'Tariffs Jan2023'!AJ42,('Tariffs Jan2023'!K42-'Tariffs Jan2023'!J42)*('Tariffs Jan2023'!V42/100)*'Tariffs Jan2023'!AJ42))</f>
        <v>99.038181818181826</v>
      </c>
      <c r="L48" s="59">
        <f>IF($C$5*'Tariffs Jan2023'!AL42/'Tariffs Jan2023'!AJ42&lt;'Tariffs Jan2023'!K42,0,IF($C$5*'Tariffs Jan2023'!AL42/'Tariffs Jan2023'!AJ42&lt;='Tariffs Jan2023'!L42,($C$5*'Tariffs Jan2023'!AL42/'Tariffs Jan2023'!AJ42-'Tariffs Jan2023'!K42)*('Tariffs Jan2023'!W42/100)*'Tariffs Jan2023'!AJ42,('Tariffs Jan2023'!L42-'Tariffs Jan2023'!K42)*('Tariffs Jan2023'!W42/100)*'Tariffs Jan2023'!AJ42))</f>
        <v>0</v>
      </c>
      <c r="M48" s="59">
        <f>IF($C$5*'Tariffs Jan2023'!AL42/'Tariffs Jan2023'!AJ42&lt;'Tariffs Jan2023'!L42,0,IF($C$5*'Tariffs Jan2023'!AL42/'Tariffs Jan2023'!AJ42&lt;='Tariffs Jan2023'!M42,($C$5*'Tariffs Jan2023'!AL42/'Tariffs Jan2023'!AJ42-'Tariffs Jan2023'!L42)*('Tariffs Jan2023'!X42/100)*'Tariffs Jan2023'!AJ42,('Tariffs Jan2023'!M42-'Tariffs Jan2023'!L42)*('Tariffs Jan2023'!X42/100)*'Tariffs Jan2023'!AJ42))</f>
        <v>0</v>
      </c>
      <c r="N48" s="59">
        <f>IF(($C$5*'Tariffs Jan2023'!AL42/'Tariffs Jan2023'!AJ42&gt;'Tariffs Jan2023'!M42),($C$5*'Tariffs Jan2023'!AL42/'Tariffs Jan2023'!AJ42-'Tariffs Jan2023'!M42)*'Tariffs Jan2023'!Y42/100*'Tariffs Jan2023'!AJ42,0)</f>
        <v>427.49999999999989</v>
      </c>
      <c r="O48" s="59">
        <f t="shared" si="1"/>
        <v>1329.4363636363632</v>
      </c>
      <c r="P48" s="503">
        <f t="shared" si="2"/>
        <v>1462.3799999999997</v>
      </c>
      <c r="Q48" s="59">
        <f t="shared" si="3"/>
        <v>1545.582727272727</v>
      </c>
      <c r="R48" s="272">
        <f t="shared" si="4"/>
        <v>1700.1409999999998</v>
      </c>
      <c r="S48" s="40">
        <f>'Tariffs Jan2023'!AN42</f>
        <v>0</v>
      </c>
      <c r="T48" s="40">
        <f>'Tariffs Jan2023'!AO42</f>
        <v>0</v>
      </c>
      <c r="U48" s="40">
        <f>'Tariffs Jan2023'!AP42</f>
        <v>0</v>
      </c>
      <c r="V48" s="40">
        <f>'Tariffs Jan2023'!AQ42</f>
        <v>0</v>
      </c>
      <c r="W48" s="537" t="str">
        <f t="shared" ref="W48:W59" si="59">IF(SUM(S48:V48)=0,"No discount",IF(S48&gt;0,"Guaranteed off bill",IF(T48&gt;0,"Guaranteed off usage",IF(U48&gt;0,"Pay-on-time off bill","Pay-on-time off usage"))))</f>
        <v>No discount</v>
      </c>
      <c r="X48" s="538" t="str">
        <f t="shared" ref="X48:X59" si="60">IF(OR(A48="Origin Energy",A48="Red Energy",A48="Powershop"),"Inclusive","Exclusive")</f>
        <v>Exclusive</v>
      </c>
      <c r="Y48" s="534">
        <f>IF(AND(W48="Guaranteed off bill",X48="Inclusive"),((Q48*1.1)-((Q48*1.1)*S48/100))/1.1,IF(AND(W48="Guaranteed off usage",X48="Inclusive"),((Q48*1.1)-((P48*1.1)*T48/100))/1.1,IF(AND(W48="Guaranteed off bill",X48="Exclusive"),Q48-(Q48*S48/100),IF(AND(W48="Guaranteed off usage",X48="Exclusive"),Q48-(P48*T48/100),IF(X48="Inclusive",((Q48*1.1))/1.1,Q48)))))</f>
        <v>1545.582727272727</v>
      </c>
      <c r="Z48" s="535">
        <f>IF(AND(W48="Pay-on-time off bill",X48="Inclusive"),((Y48*1.1)-((Y48*1.1)*U48/100))/1.1,IF(AND(W48="Pay-on-time off usage",X48="Inclusive"),((Y48*1.1)-((P48*1.1)*V48/100))/1.1,IF(AND(W48="Pay-on-time off bill",X48="Exclusive"),Y48-(Y48*U48/100),IF(AND(W48="Pay-on-time off usage",X48="Exclusive"),Y48-(P48*V48/100),IF(X48="Inclusive",((Y48*1.1))/1.1,Y48)))))</f>
        <v>1545.582727272727</v>
      </c>
      <c r="AA48" s="542">
        <f t="shared" si="47"/>
        <v>1700.1409999999998</v>
      </c>
      <c r="AB48" s="609">
        <f t="shared" si="47"/>
        <v>1700.1409999999998</v>
      </c>
      <c r="AC48" s="604"/>
      <c r="AD48" s="604"/>
      <c r="AE48" s="604"/>
      <c r="AF48" s="604"/>
      <c r="AG48" s="604"/>
      <c r="AH48" s="604"/>
      <c r="AI48" s="604"/>
      <c r="AJ48" s="604"/>
      <c r="AK48" s="604"/>
      <c r="AL48" s="604"/>
      <c r="AM48" s="604"/>
      <c r="AN48" s="604"/>
      <c r="AO48" s="604"/>
      <c r="AP48" s="604"/>
      <c r="AQ48" s="604"/>
      <c r="AR48" s="604"/>
      <c r="AS48" s="604"/>
      <c r="AT48" s="604"/>
    </row>
    <row r="49" spans="1:46" ht="14" x14ac:dyDescent="0.15">
      <c r="A49" s="270" t="str">
        <f>'Tariffs Jan2023'!F43</f>
        <v>Dodo Power &amp; Gas</v>
      </c>
      <c r="B49" s="40" t="str">
        <f>'Tariffs Jan2023'!D43</f>
        <v>AGN Central 2</v>
      </c>
      <c r="C49" s="40" t="str">
        <f>'Tariffs Jan2023'!G43</f>
        <v>Market offer</v>
      </c>
      <c r="D49" s="59">
        <f>365*'Tariffs Jan2023'!H43/100</f>
        <v>207.35318181818181</v>
      </c>
      <c r="E49" s="59">
        <f>IF($C$5*'Tariffs Jan2023'!AK43/'Tariffs Jan2023'!AI43&gt;='Tariffs Jan2023'!J43,( 'Tariffs Jan2023'!J43*'Tariffs Jan2023'!O43/100)* 'Tariffs Jan2023'!AI43,($C$5*'Tariffs Jan2023'!AK43/'Tariffs Jan2023'!AI43*'Tariffs Jan2023'!O43/100)* 'Tariffs Jan2023'!AI43)</f>
        <v>102.2890909090909</v>
      </c>
      <c r="F49" s="59">
        <f>IF($C$5*'Tariffs Jan2023'!AK43/'Tariffs Jan2023'!AI43&lt;'Tariffs Jan2023'!J43,0,IF($C$5*'Tariffs Jan2023'!AK43/'Tariffs Jan2023'!AI43&lt;='Tariffs Jan2023'!K43,($C$5*'Tariffs Jan2023'!AK43/'Tariffs Jan2023'!AI43-'Tariffs Jan2023'!J43)*('Tariffs Jan2023'!P43/100)*'Tariffs Jan2023'!AI43,('Tariffs Jan2023'!K43-'Tariffs Jan2023'!J43)*('Tariffs Jan2023'!P43/100)*'Tariffs Jan2023'!AI43))</f>
        <v>67.010909090909081</v>
      </c>
      <c r="G49" s="59">
        <f>IF($C$5*'Tariffs Jan2023'!AK43/'Tariffs Jan2023'!AI43&lt;'Tariffs Jan2023'!K43,0,IF($C$5*'Tariffs Jan2023'!AK43/'Tariffs Jan2023'!AI43&lt;='Tariffs Jan2023'!L43,($C$5*'Tariffs Jan2023'!AK43/'Tariffs Jan2023'!AI43-'Tariffs Jan2023'!K43)*('Tariffs Jan2023'!Q43/100)*'Tariffs Jan2023'!AI43,('Tariffs Jan2023'!L43-'Tariffs Jan2023'!K43)*('Tariffs Jan2023'!Q43/100)*'Tariffs Jan2023'!AI43))</f>
        <v>0</v>
      </c>
      <c r="H49" s="59">
        <f>IF($C$5*'Tariffs Jan2023'!AK43/'Tariffs Jan2023'!AI43&lt;'Tariffs Jan2023'!L43,0,IF($C$5*'Tariffs Jan2023'!AK43/'Tariffs Jan2023'!AI43&lt;='Tariffs Jan2023'!M43,($C$5*'Tariffs Jan2023'!AK43/'Tariffs Jan2023'!AI43-'Tariffs Jan2023'!L43)*('Tariffs Jan2023'!R43/100)*'Tariffs Jan2023'!AI43,('Tariffs Jan2023'!M43-'Tariffs Jan2023'!L43)*('Tariffs Jan2023'!R43/100)*'Tariffs Jan2023'!AI43))</f>
        <v>0</v>
      </c>
      <c r="I49" s="59">
        <f>IF(($C$5*'Tariffs Jan2023'!AK43/'Tariffs Jan2023'!AI43&gt;'Tariffs Jan2023'!M43),($C$5*'Tariffs Jan2023'!AK43/'Tariffs Jan2023'!AI43-'Tariffs Jan2023'!M43)*'Tariffs Jan2023'!S43/100*'Tariffs Jan2023'!AI43,0)</f>
        <v>298.59455454545446</v>
      </c>
      <c r="J49" s="59">
        <f>IF($C$5*'Tariffs Jan2023'!AL43/'Tariffs Jan2023'!AJ43&gt;='Tariffs Jan2023'!J43,('Tariffs Jan2023'!J43*'Tariffs Jan2023'!U43/100)* 'Tariffs Jan2023'!AJ43,($C$5*'Tariffs Jan2023'!AL43/'Tariffs Jan2023'!AJ43*'Tariffs Jan2023'!U43/100)* 'Tariffs Jan2023'!AJ43)</f>
        <v>204.5781818181818</v>
      </c>
      <c r="K49" s="59">
        <f>IF($C$5*'Tariffs Jan2023'!AL43/'Tariffs Jan2023'!AJ43&lt;'Tariffs Jan2023'!J43,0,IF($C$5*'Tariffs Jan2023'!AL43/'Tariffs Jan2023'!AJ43&lt;='Tariffs Jan2023'!K43,($C$5*'Tariffs Jan2023'!AL43/'Tariffs Jan2023'!AJ43-'Tariffs Jan2023'!J43)*('Tariffs Jan2023'!V43/100)*'Tariffs Jan2023'!AJ43,('Tariffs Jan2023'!K43-'Tariffs Jan2023'!J43)*('Tariffs Jan2023'!V43/100)*'Tariffs Jan2023'!AJ43))</f>
        <v>134.02181818181816</v>
      </c>
      <c r="L49" s="59">
        <f>IF($C$5*'Tariffs Jan2023'!AL43/'Tariffs Jan2023'!AJ43&lt;'Tariffs Jan2023'!K43,0,IF($C$5*'Tariffs Jan2023'!AL43/'Tariffs Jan2023'!AJ43&lt;='Tariffs Jan2023'!L43,($C$5*'Tariffs Jan2023'!AL43/'Tariffs Jan2023'!AJ43-'Tariffs Jan2023'!K43)*('Tariffs Jan2023'!W43/100)*'Tariffs Jan2023'!AJ43,('Tariffs Jan2023'!L43-'Tariffs Jan2023'!K43)*('Tariffs Jan2023'!W43/100)*'Tariffs Jan2023'!AJ43))</f>
        <v>0</v>
      </c>
      <c r="M49" s="59">
        <f>IF($C$5*'Tariffs Jan2023'!AL43/'Tariffs Jan2023'!AJ43&lt;'Tariffs Jan2023'!L43,0,IF($C$5*'Tariffs Jan2023'!AL43/'Tariffs Jan2023'!AJ43&lt;='Tariffs Jan2023'!M43,($C$5*'Tariffs Jan2023'!AL43/'Tariffs Jan2023'!AJ43-'Tariffs Jan2023'!L43)*('Tariffs Jan2023'!X43/100)*'Tariffs Jan2023'!AJ43,('Tariffs Jan2023'!M43-'Tariffs Jan2023'!L43)*('Tariffs Jan2023'!X43/100)*'Tariffs Jan2023'!AJ43))</f>
        <v>0</v>
      </c>
      <c r="N49" s="59">
        <f>IF(($C$5*'Tariffs Jan2023'!AL43/'Tariffs Jan2023'!AJ43&gt;'Tariffs Jan2023'!M43),($C$5*'Tariffs Jan2023'!AL43/'Tariffs Jan2023'!AJ43-'Tariffs Jan2023'!M43)*'Tariffs Jan2023'!Y43/100*'Tariffs Jan2023'!AJ43,0)</f>
        <v>597.18910909090891</v>
      </c>
      <c r="O49" s="59">
        <f t="shared" si="1"/>
        <v>1403.6836636363632</v>
      </c>
      <c r="P49" s="503">
        <f t="shared" si="2"/>
        <v>1544.0520299999996</v>
      </c>
      <c r="Q49" s="59">
        <f t="shared" si="3"/>
        <v>1611.0368454545451</v>
      </c>
      <c r="R49" s="272">
        <f t="shared" si="4"/>
        <v>1772.1405299999997</v>
      </c>
      <c r="S49" s="40">
        <f>'Tariffs Jan2023'!AN43</f>
        <v>0</v>
      </c>
      <c r="T49" s="40">
        <f>'Tariffs Jan2023'!AO43</f>
        <v>0</v>
      </c>
      <c r="U49" s="40">
        <f>'Tariffs Jan2023'!AP43</f>
        <v>0</v>
      </c>
      <c r="V49" s="40">
        <f>'Tariffs Jan2023'!AQ43</f>
        <v>0</v>
      </c>
      <c r="W49" s="537" t="str">
        <f t="shared" si="59"/>
        <v>No discount</v>
      </c>
      <c r="X49" s="538" t="str">
        <f t="shared" si="60"/>
        <v>Exclusive</v>
      </c>
      <c r="Y49" s="534">
        <f>IF(AND(W49="Guaranteed off bill",X49="Inclusive"),((Q49*1.1)-((Q49*1.1)*S49/100))/1.1,IF(AND(W49="Guaranteed off usage",X49="Inclusive"),((Q49*1.1)-((P49*1.1)*T49/100))/1.1,IF(AND(W49="Guaranteed off bill",X49="Exclusive"),Q49-(Q49*S49/100),IF(AND(W49="Guaranteed off usage",X49="Exclusive"),Q49-(P49*T49/100),IF(X49="Inclusive",((Q49*1.1))/1.1,Q49)))))</f>
        <v>1611.0368454545451</v>
      </c>
      <c r="Z49" s="535">
        <f>IF(AND(W49="Pay-on-time off bill",X49="Inclusive"),((Y49*1.1)-((Y49*1.1)*U49/100))/1.1,IF(AND(W49="Pay-on-time off usage",X49="Inclusive"),((Y49*1.1)-((P49*1.1)*V49/100))/1.1,IF(AND(W49="Pay-on-time off bill",X49="Exclusive"),Y49-(Y49*U49/100),IF(AND(W49="Pay-on-time off usage",X49="Exclusive"),Y49-(P49*V49/100),IF(X49="Inclusive",((Y49*1.1))/1.1,Y49)))))</f>
        <v>1611.0368454545451</v>
      </c>
      <c r="AA49" s="542">
        <f t="shared" si="47"/>
        <v>1772.1405299999997</v>
      </c>
      <c r="AB49" s="609">
        <f t="shared" si="47"/>
        <v>1772.1405299999997</v>
      </c>
      <c r="AC49" s="604"/>
      <c r="AD49" s="604"/>
      <c r="AE49" s="604"/>
      <c r="AF49" s="604"/>
      <c r="AG49" s="604"/>
      <c r="AH49" s="604"/>
      <c r="AI49" s="604"/>
      <c r="AJ49" s="604"/>
      <c r="AK49" s="604"/>
      <c r="AL49" s="604"/>
      <c r="AM49" s="604"/>
      <c r="AN49" s="604"/>
      <c r="AO49" s="604"/>
      <c r="AP49" s="604"/>
      <c r="AQ49" s="604"/>
      <c r="AR49" s="604"/>
      <c r="AS49" s="604"/>
      <c r="AT49" s="604"/>
    </row>
    <row r="50" spans="1:46" ht="14" x14ac:dyDescent="0.15">
      <c r="A50" s="270" t="str">
        <f>'Tariffs Jan2023'!F44</f>
        <v>EnergyAustralia</v>
      </c>
      <c r="B50" s="40" t="str">
        <f>'Tariffs Jan2023'!D44</f>
        <v>AGN Central 2</v>
      </c>
      <c r="C50" s="40" t="str">
        <f>'Tariffs Jan2023'!G44</f>
        <v>Flexi Plan</v>
      </c>
      <c r="D50" s="59">
        <f>365*'Tariffs Jan2023'!H44/100</f>
        <v>378.77045454545447</v>
      </c>
      <c r="E50" s="59">
        <f>IF($C$5*'Tariffs Jan2023'!AK44/'Tariffs Jan2023'!AI44&gt;='Tariffs Jan2023'!J44,( 'Tariffs Jan2023'!J44*'Tariffs Jan2023'!O44/100)* 'Tariffs Jan2023'!AI44,($C$5*'Tariffs Jan2023'!AK44/'Tariffs Jan2023'!AI44*'Tariffs Jan2023'!O44/100)* 'Tariffs Jan2023'!AI44)</f>
        <v>225.6640909090909</v>
      </c>
      <c r="F50" s="59">
        <f>IF($C$5*'Tariffs Jan2023'!AK44/'Tariffs Jan2023'!AI44&lt;'Tariffs Jan2023'!J44,0,IF($C$5*'Tariffs Jan2023'!AK44/'Tariffs Jan2023'!AI44&lt;='Tariffs Jan2023'!K44,($C$5*'Tariffs Jan2023'!AK44/'Tariffs Jan2023'!AI44-'Tariffs Jan2023'!J44)*('Tariffs Jan2023'!P44/100)*'Tariffs Jan2023'!AI44,('Tariffs Jan2023'!K44-'Tariffs Jan2023'!J44)*('Tariffs Jan2023'!P44/100)*'Tariffs Jan2023'!AI44))</f>
        <v>141.16636363636363</v>
      </c>
      <c r="G50" s="59">
        <f>IF($C$5*'Tariffs Jan2023'!AK44/'Tariffs Jan2023'!AI44&lt;'Tariffs Jan2023'!K44,0,IF($C$5*'Tariffs Jan2023'!AK44/'Tariffs Jan2023'!AI44&lt;='Tariffs Jan2023'!L44,($C$5*'Tariffs Jan2023'!AK44/'Tariffs Jan2023'!AI44-'Tariffs Jan2023'!K44)*('Tariffs Jan2023'!Q44/100)*'Tariffs Jan2023'!AI44,('Tariffs Jan2023'!L44-'Tariffs Jan2023'!K44)*('Tariffs Jan2023'!Q44/100)*'Tariffs Jan2023'!AI44))</f>
        <v>0</v>
      </c>
      <c r="H50" s="59">
        <f>IF($C$5*'Tariffs Jan2023'!AK44/'Tariffs Jan2023'!AI44&lt;'Tariffs Jan2023'!L44,0,IF($C$5*'Tariffs Jan2023'!AK44/'Tariffs Jan2023'!AI44&lt;='Tariffs Jan2023'!M44,($C$5*'Tariffs Jan2023'!AK44/'Tariffs Jan2023'!AI44-'Tariffs Jan2023'!L44)*('Tariffs Jan2023'!R44/100)*'Tariffs Jan2023'!AI44,('Tariffs Jan2023'!M44-'Tariffs Jan2023'!L44)*('Tariffs Jan2023'!R44/100)*'Tariffs Jan2023'!AI44))</f>
        <v>0</v>
      </c>
      <c r="I50" s="59">
        <f>IF(($C$5*'Tariffs Jan2023'!AK44/'Tariffs Jan2023'!AI44&gt;'Tariffs Jan2023'!M44),($C$5*'Tariffs Jan2023'!AK44/'Tariffs Jan2023'!AI44-'Tariffs Jan2023'!M44)*'Tariffs Jan2023'!S44/100*'Tariffs Jan2023'!AI44,0)</f>
        <v>640.22727272727263</v>
      </c>
      <c r="J50" s="59">
        <f>IF($C$5*'Tariffs Jan2023'!AL44/'Tariffs Jan2023'!AJ44&gt;='Tariffs Jan2023'!J44,('Tariffs Jan2023'!J44*'Tariffs Jan2023'!U44/100)* 'Tariffs Jan2023'!AJ44,($C$5*'Tariffs Jan2023'!AL44/'Tariffs Jan2023'!AJ44*'Tariffs Jan2023'!U44/100)* 'Tariffs Jan2023'!AJ44)</f>
        <v>225.6640909090909</v>
      </c>
      <c r="K50" s="59">
        <f>IF($C$5*'Tariffs Jan2023'!AL44/'Tariffs Jan2023'!AJ44&lt;'Tariffs Jan2023'!J44,0,IF($C$5*'Tariffs Jan2023'!AL44/'Tariffs Jan2023'!AJ44&lt;='Tariffs Jan2023'!K44,($C$5*'Tariffs Jan2023'!AL44/'Tariffs Jan2023'!AJ44-'Tariffs Jan2023'!J44)*('Tariffs Jan2023'!V44/100)*'Tariffs Jan2023'!AJ44,('Tariffs Jan2023'!K44-'Tariffs Jan2023'!J44)*('Tariffs Jan2023'!V44/100)*'Tariffs Jan2023'!AJ44))</f>
        <v>141.16636363636363</v>
      </c>
      <c r="L50" s="59">
        <f>IF($C$5*'Tariffs Jan2023'!AL44/'Tariffs Jan2023'!AJ44&lt;'Tariffs Jan2023'!K44,0,IF($C$5*'Tariffs Jan2023'!AL44/'Tariffs Jan2023'!AJ44&lt;='Tariffs Jan2023'!L44,($C$5*'Tariffs Jan2023'!AL44/'Tariffs Jan2023'!AJ44-'Tariffs Jan2023'!K44)*('Tariffs Jan2023'!W44/100)*'Tariffs Jan2023'!AJ44,('Tariffs Jan2023'!L44-'Tariffs Jan2023'!K44)*('Tariffs Jan2023'!W44/100)*'Tariffs Jan2023'!AJ44))</f>
        <v>0</v>
      </c>
      <c r="M50" s="59">
        <f>IF($C$5*'Tariffs Jan2023'!AL44/'Tariffs Jan2023'!AJ44&lt;'Tariffs Jan2023'!L44,0,IF($C$5*'Tariffs Jan2023'!AL44/'Tariffs Jan2023'!AJ44&lt;='Tariffs Jan2023'!M44,($C$5*'Tariffs Jan2023'!AL44/'Tariffs Jan2023'!AJ44-'Tariffs Jan2023'!L44)*('Tariffs Jan2023'!X44/100)*'Tariffs Jan2023'!AJ44,('Tariffs Jan2023'!M44-'Tariffs Jan2023'!L44)*('Tariffs Jan2023'!X44/100)*'Tariffs Jan2023'!AJ44))</f>
        <v>0</v>
      </c>
      <c r="N50" s="59">
        <f>IF(($C$5*'Tariffs Jan2023'!AL44/'Tariffs Jan2023'!AJ44&gt;'Tariffs Jan2023'!M44),($C$5*'Tariffs Jan2023'!AL44/'Tariffs Jan2023'!AJ44-'Tariffs Jan2023'!M44)*'Tariffs Jan2023'!Y44/100*'Tariffs Jan2023'!AJ44,0)</f>
        <v>640.22727272727263</v>
      </c>
      <c r="O50" s="59">
        <f t="shared" si="1"/>
        <v>2014.1154545454542</v>
      </c>
      <c r="P50" s="503">
        <f t="shared" si="2"/>
        <v>2215.5269999999996</v>
      </c>
      <c r="Q50" s="59">
        <f t="shared" si="3"/>
        <v>2392.8859090909086</v>
      </c>
      <c r="R50" s="272">
        <f t="shared" si="4"/>
        <v>2632.1744999999996</v>
      </c>
      <c r="S50" s="40">
        <f>'Tariffs Jan2023'!AN44</f>
        <v>12</v>
      </c>
      <c r="T50" s="40">
        <f>'Tariffs Jan2023'!AO44</f>
        <v>0</v>
      </c>
      <c r="U50" s="40">
        <f>'Tariffs Jan2023'!AP44</f>
        <v>0</v>
      </c>
      <c r="V50" s="40">
        <f>'Tariffs Jan2023'!AQ44</f>
        <v>0</v>
      </c>
      <c r="W50" s="537" t="str">
        <f t="shared" si="59"/>
        <v>Guaranteed off bill</v>
      </c>
      <c r="X50" s="538" t="str">
        <f t="shared" si="60"/>
        <v>Exclusive</v>
      </c>
      <c r="Y50" s="534">
        <f t="shared" ref="Y50" si="61">IF(AND(W50="Guaranteed off bill",X50="Inclusive"),((Q50*1.1)-((Q50*1.1)*S50/100))/1.1,IF(AND(W50="Guaranteed off usage",X50="Inclusive"),((Q50*1.1)-((P50*1.1)*T50/100))/1.1,IF(AND(W50="Guaranteed off bill",X50="Exclusive"),Q50-(Q50*S50/100),IF(AND(W50="Guaranteed off usage",X50="Exclusive"),Q50-(P50*T50/100),IF(X50="Inclusive",((Q50*1.1))/1.1,Q50)))))</f>
        <v>2105.7395999999994</v>
      </c>
      <c r="Z50" s="535">
        <f t="shared" ref="Z50" si="62">IF(AND(W50="Pay-on-time off bill",X50="Inclusive"),((Y50*1.1)-((Y50*1.1)*U50/100))/1.1,IF(AND(W50="Pay-on-time off usage",X50="Inclusive"),((Y50*1.1)-((P50*1.1)*V50/100))/1.1,IF(AND(W50="Pay-on-time off bill",X50="Exclusive"),Y50-(Y50*U50/100),IF(AND(W50="Pay-on-time off usage",X50="Exclusive"),Y50-(P50*V50/100),IF(X50="Inclusive",((Y50*1.1))/1.1,Y50)))))</f>
        <v>2105.7395999999994</v>
      </c>
      <c r="AA50" s="542">
        <f t="shared" si="47"/>
        <v>2316.3135599999996</v>
      </c>
      <c r="AB50" s="609">
        <f t="shared" si="47"/>
        <v>2316.3135599999996</v>
      </c>
      <c r="AC50" s="604"/>
      <c r="AD50" s="604"/>
      <c r="AE50" s="604"/>
      <c r="AF50" s="604"/>
      <c r="AG50" s="604"/>
      <c r="AH50" s="604"/>
      <c r="AI50" s="604"/>
      <c r="AJ50" s="604"/>
      <c r="AK50" s="604"/>
      <c r="AL50" s="604"/>
      <c r="AM50" s="604"/>
      <c r="AN50" s="604"/>
      <c r="AO50" s="604"/>
      <c r="AP50" s="604"/>
      <c r="AQ50" s="604"/>
      <c r="AR50" s="604"/>
      <c r="AS50" s="604"/>
      <c r="AT50" s="604"/>
    </row>
    <row r="51" spans="1:46" ht="14" x14ac:dyDescent="0.15">
      <c r="A51" s="270" t="str">
        <f>'Tariffs Jan2023'!F45</f>
        <v>Lumo Energy</v>
      </c>
      <c r="B51" s="40" t="str">
        <f>'Tariffs Jan2023'!D45</f>
        <v>AGN Central 2</v>
      </c>
      <c r="C51" s="40" t="str">
        <f>'Tariffs Jan2023'!G45</f>
        <v>Value</v>
      </c>
      <c r="D51" s="59">
        <f>365*'Tariffs Jan2023'!H45/100</f>
        <v>275.93999999999994</v>
      </c>
      <c r="E51" s="59">
        <f>IF($C$5*'Tariffs Jan2023'!AK45/'Tariffs Jan2023'!AI45&gt;='Tariffs Jan2023'!J45,( 'Tariffs Jan2023'!J45*'Tariffs Jan2023'!O45/100)* 'Tariffs Jan2023'!AI45,($C$5*'Tariffs Jan2023'!AK45/'Tariffs Jan2023'!AI45*'Tariffs Jan2023'!O45/100)* 'Tariffs Jan2023'!AI45)</f>
        <v>170.03318181818179</v>
      </c>
      <c r="F51" s="59">
        <f>IF($C$5*'Tariffs Jan2023'!AK45/'Tariffs Jan2023'!AI45&lt;'Tariffs Jan2023'!J45,0,IF($C$5*'Tariffs Jan2023'!AK45/'Tariffs Jan2023'!AI45&lt;='Tariffs Jan2023'!K45,($C$5*'Tariffs Jan2023'!AK45/'Tariffs Jan2023'!AI45-'Tariffs Jan2023'!J45)*('Tariffs Jan2023'!P45/100)*'Tariffs Jan2023'!AI45,('Tariffs Jan2023'!K45-'Tariffs Jan2023'!J45)*('Tariffs Jan2023'!P45/100)*'Tariffs Jan2023'!AI45))</f>
        <v>117.14590909090907</v>
      </c>
      <c r="G51" s="59">
        <f>IF($C$5*'Tariffs Jan2023'!AK45/'Tariffs Jan2023'!AI45&lt;'Tariffs Jan2023'!K45,0,IF($C$5*'Tariffs Jan2023'!AK45/'Tariffs Jan2023'!AI45&lt;='Tariffs Jan2023'!L45,($C$5*'Tariffs Jan2023'!AK45/'Tariffs Jan2023'!AI45-'Tariffs Jan2023'!K45)*('Tariffs Jan2023'!Q45/100)*'Tariffs Jan2023'!AI45,('Tariffs Jan2023'!L45-'Tariffs Jan2023'!K45)*('Tariffs Jan2023'!Q45/100)*'Tariffs Jan2023'!AI45))</f>
        <v>0</v>
      </c>
      <c r="H51" s="59">
        <f>IF($C$5*'Tariffs Jan2023'!AK45/'Tariffs Jan2023'!AI45&lt;'Tariffs Jan2023'!L45,0,IF($C$5*'Tariffs Jan2023'!AK45/'Tariffs Jan2023'!AI45&lt;='Tariffs Jan2023'!M45,($C$5*'Tariffs Jan2023'!AK45/'Tariffs Jan2023'!AI45-'Tariffs Jan2023'!L45)*('Tariffs Jan2023'!R45/100)*'Tariffs Jan2023'!AI45,('Tariffs Jan2023'!M45-'Tariffs Jan2023'!L45)*('Tariffs Jan2023'!R45/100)*'Tariffs Jan2023'!AI45))</f>
        <v>0</v>
      </c>
      <c r="I51" s="59">
        <f>IF(($C$5*'Tariffs Jan2023'!AK45/'Tariffs Jan2023'!AI45&gt;'Tariffs Jan2023'!M45),($C$5*'Tariffs Jan2023'!AK45/'Tariffs Jan2023'!AI45-'Tariffs Jan2023'!M45)*'Tariffs Jan2023'!S45/100*'Tariffs Jan2023'!AI45,0)</f>
        <v>564.5454545454545</v>
      </c>
      <c r="J51" s="59">
        <f>IF($C$5*'Tariffs Jan2023'!AL45/'Tariffs Jan2023'!AJ45&gt;='Tariffs Jan2023'!J45,('Tariffs Jan2023'!J45*'Tariffs Jan2023'!U45/100)* 'Tariffs Jan2023'!AJ45,($C$5*'Tariffs Jan2023'!AL45/'Tariffs Jan2023'!AJ45*'Tariffs Jan2023'!U45/100)* 'Tariffs Jan2023'!AJ45)</f>
        <v>170.03318181818179</v>
      </c>
      <c r="K51" s="59">
        <f>IF($C$5*'Tariffs Jan2023'!AL45/'Tariffs Jan2023'!AJ45&lt;'Tariffs Jan2023'!J45,0,IF($C$5*'Tariffs Jan2023'!AL45/'Tariffs Jan2023'!AJ45&lt;='Tariffs Jan2023'!K45,($C$5*'Tariffs Jan2023'!AL45/'Tariffs Jan2023'!AJ45-'Tariffs Jan2023'!J45)*('Tariffs Jan2023'!V45/100)*'Tariffs Jan2023'!AJ45,('Tariffs Jan2023'!K45-'Tariffs Jan2023'!J45)*('Tariffs Jan2023'!V45/100)*'Tariffs Jan2023'!AJ45))</f>
        <v>117.14590909090907</v>
      </c>
      <c r="L51" s="59">
        <f>IF($C$5*'Tariffs Jan2023'!AL45/'Tariffs Jan2023'!AJ45&lt;'Tariffs Jan2023'!K45,0,IF($C$5*'Tariffs Jan2023'!AL45/'Tariffs Jan2023'!AJ45&lt;='Tariffs Jan2023'!L45,($C$5*'Tariffs Jan2023'!AL45/'Tariffs Jan2023'!AJ45-'Tariffs Jan2023'!K45)*('Tariffs Jan2023'!W45/100)*'Tariffs Jan2023'!AJ45,('Tariffs Jan2023'!L45-'Tariffs Jan2023'!K45)*('Tariffs Jan2023'!W45/100)*'Tariffs Jan2023'!AJ45))</f>
        <v>0</v>
      </c>
      <c r="M51" s="59">
        <f>IF($C$5*'Tariffs Jan2023'!AL45/'Tariffs Jan2023'!AJ45&lt;'Tariffs Jan2023'!L45,0,IF($C$5*'Tariffs Jan2023'!AL45/'Tariffs Jan2023'!AJ45&lt;='Tariffs Jan2023'!M45,($C$5*'Tariffs Jan2023'!AL45/'Tariffs Jan2023'!AJ45-'Tariffs Jan2023'!L45)*('Tariffs Jan2023'!X45/100)*'Tariffs Jan2023'!AJ45,('Tariffs Jan2023'!M45-'Tariffs Jan2023'!L45)*('Tariffs Jan2023'!X45/100)*'Tariffs Jan2023'!AJ45))</f>
        <v>0</v>
      </c>
      <c r="N51" s="59">
        <f>IF(($C$5*'Tariffs Jan2023'!AL45/'Tariffs Jan2023'!AJ45&gt;'Tariffs Jan2023'!M45),($C$5*'Tariffs Jan2023'!AL45/'Tariffs Jan2023'!AJ45-'Tariffs Jan2023'!M45)*'Tariffs Jan2023'!Y45/100*'Tariffs Jan2023'!AJ45,0)</f>
        <v>564.5454545454545</v>
      </c>
      <c r="O51" s="59">
        <f t="shared" si="1"/>
        <v>1703.4490909090907</v>
      </c>
      <c r="P51" s="503">
        <f t="shared" si="2"/>
        <v>1873.7939999999999</v>
      </c>
      <c r="Q51" s="59">
        <f t="shared" si="3"/>
        <v>1979.3890909090906</v>
      </c>
      <c r="R51" s="272">
        <f t="shared" si="4"/>
        <v>2177.328</v>
      </c>
      <c r="S51" s="40">
        <f>'Tariffs Jan2023'!AN45</f>
        <v>0</v>
      </c>
      <c r="T51" s="40">
        <f>'Tariffs Jan2023'!AO45</f>
        <v>0</v>
      </c>
      <c r="U51" s="40">
        <f>'Tariffs Jan2023'!AP45</f>
        <v>0</v>
      </c>
      <c r="V51" s="40">
        <f>'Tariffs Jan2023'!AQ45</f>
        <v>0</v>
      </c>
      <c r="W51" s="537" t="str">
        <f t="shared" si="59"/>
        <v>No discount</v>
      </c>
      <c r="X51" s="538" t="str">
        <f t="shared" si="60"/>
        <v>Exclusive</v>
      </c>
      <c r="Y51" s="534">
        <f>IF(AND(W51="Guaranteed off bill",X51="Inclusive"),((Q51*1.1)-((Q51*1.1)*S51/100))/1.1,IF(AND(W51="Guaranteed off usage",X51="Inclusive"),((Q51*1.1)-((P51*1.1)*T51/100))/1.1,IF(AND(W51="Guaranteed off bill",X51="Exclusive"),Q51-(Q51*S51/100),IF(AND(W51="Guaranteed off usage",X51="Exclusive"),Q51-(P51*T51/100),IF(X51="Inclusive",((Q51*1.1))/1.1,Q51)))))</f>
        <v>1979.3890909090906</v>
      </c>
      <c r="Z51" s="535">
        <f>IF(AND(W51="Pay-on-time off bill",X51="Inclusive"),((Y51*1.1)-((Y51*1.1)*U51/100))/1.1,IF(AND(W51="Pay-on-time off usage",X51="Inclusive"),((Y51*1.1)-((P51*1.1)*V51/100))/1.1,IF(AND(W51="Pay-on-time off bill",X51="Exclusive"),Y51-(Y51*U51/100),IF(AND(W51="Pay-on-time off usage",X51="Exclusive"),Y51-(P51*V51/100),IF(X51="Inclusive",((Y51*1.1))/1.1,Y51)))))</f>
        <v>1979.3890909090906</v>
      </c>
      <c r="AA51" s="542">
        <f t="shared" si="47"/>
        <v>2177.328</v>
      </c>
      <c r="AB51" s="609">
        <f t="shared" si="47"/>
        <v>2177.328</v>
      </c>
      <c r="AC51" s="604"/>
      <c r="AD51" s="604"/>
      <c r="AE51" s="604"/>
      <c r="AF51" s="604"/>
      <c r="AG51" s="604"/>
      <c r="AH51" s="604"/>
      <c r="AI51" s="604"/>
      <c r="AJ51" s="604"/>
      <c r="AK51" s="604"/>
      <c r="AL51" s="604"/>
      <c r="AM51" s="604"/>
      <c r="AN51" s="604"/>
      <c r="AO51" s="604"/>
      <c r="AP51" s="604"/>
      <c r="AQ51" s="604"/>
      <c r="AR51" s="604"/>
      <c r="AS51" s="604"/>
      <c r="AT51" s="604"/>
    </row>
    <row r="52" spans="1:46" ht="14" x14ac:dyDescent="0.15">
      <c r="A52" s="270" t="str">
        <f>'Tariffs Jan2023'!F46</f>
        <v>Origin Energy</v>
      </c>
      <c r="B52" s="40" t="str">
        <f>'Tariffs Jan2023'!D46</f>
        <v>AGN Central 2</v>
      </c>
      <c r="C52" s="40" t="str">
        <f>'Tariffs Jan2023'!G46</f>
        <v>Go Variable</v>
      </c>
      <c r="D52" s="59">
        <f>365*'Tariffs Jan2023'!H46/100</f>
        <v>272.09090909090907</v>
      </c>
      <c r="E52" s="59">
        <f>IF($C$5*'Tariffs Jan2023'!AK46/'Tariffs Jan2023'!AI46&gt;='Tariffs Jan2023'!J46,( 'Tariffs Jan2023'!J46*'Tariffs Jan2023'!O46/100)* 'Tariffs Jan2023'!AI46,($C$5*'Tariffs Jan2023'!AK46/'Tariffs Jan2023'!AI46*'Tariffs Jan2023'!O46/100)* 'Tariffs Jan2023'!AI46)</f>
        <v>454.90909090909088</v>
      </c>
      <c r="F52" s="59">
        <f>IF($C$5*'Tariffs Jan2023'!AK46/'Tariffs Jan2023'!AI46&lt;'Tariffs Jan2023'!J46,0,IF($C$5*'Tariffs Jan2023'!AK46/'Tariffs Jan2023'!AI46&lt;='Tariffs Jan2023'!K46,($C$5*'Tariffs Jan2023'!AK46/'Tariffs Jan2023'!AI46-'Tariffs Jan2023'!J46)*('Tariffs Jan2023'!P46/100)*'Tariffs Jan2023'!AI46,('Tariffs Jan2023'!K46-'Tariffs Jan2023'!J46)*('Tariffs Jan2023'!P46/100)*'Tariffs Jan2023'!AI46))</f>
        <v>325.22727272727269</v>
      </c>
      <c r="G52" s="59">
        <f>IF($C$5*'Tariffs Jan2023'!AK46/'Tariffs Jan2023'!AI46&lt;'Tariffs Jan2023'!K46,0,IF($C$5*'Tariffs Jan2023'!AK46/'Tariffs Jan2023'!AI46&lt;='Tariffs Jan2023'!L46,($C$5*'Tariffs Jan2023'!AK46/'Tariffs Jan2023'!AI46-'Tariffs Jan2023'!K46)*('Tariffs Jan2023'!Q46/100)*'Tariffs Jan2023'!AI46,('Tariffs Jan2023'!L46-'Tariffs Jan2023'!K46)*('Tariffs Jan2023'!Q46/100)*'Tariffs Jan2023'!AI46))</f>
        <v>0</v>
      </c>
      <c r="H52" s="59">
        <f>IF($C$5*'Tariffs Jan2023'!AK46/'Tariffs Jan2023'!AI46&lt;'Tariffs Jan2023'!L46,0,IF($C$5*'Tariffs Jan2023'!AK46/'Tariffs Jan2023'!AI46&lt;='Tariffs Jan2023'!M46,($C$5*'Tariffs Jan2023'!AK46/'Tariffs Jan2023'!AI46-'Tariffs Jan2023'!L46)*('Tariffs Jan2023'!R46/100)*'Tariffs Jan2023'!AI46,('Tariffs Jan2023'!M46-'Tariffs Jan2023'!L46)*('Tariffs Jan2023'!R46/100)*'Tariffs Jan2023'!AI46))</f>
        <v>0</v>
      </c>
      <c r="I52" s="59">
        <f>IF(($C$5*'Tariffs Jan2023'!AK46/'Tariffs Jan2023'!AI46&gt;'Tariffs Jan2023'!M46),($C$5*'Tariffs Jan2023'!AK46/'Tariffs Jan2023'!AI46-'Tariffs Jan2023'!M46)*'Tariffs Jan2023'!S46/100*'Tariffs Jan2023'!AI46,0)</f>
        <v>0</v>
      </c>
      <c r="J52" s="59">
        <f>IF($C$5*'Tariffs Jan2023'!AL46/'Tariffs Jan2023'!AJ46&gt;='Tariffs Jan2023'!J46,('Tariffs Jan2023'!J46*'Tariffs Jan2023'!U46/100)* 'Tariffs Jan2023'!AJ46,($C$5*'Tariffs Jan2023'!AL46/'Tariffs Jan2023'!AJ46*'Tariffs Jan2023'!U46/100)* 'Tariffs Jan2023'!AJ46)</f>
        <v>454.90909090909088</v>
      </c>
      <c r="K52" s="59">
        <f>IF($C$5*'Tariffs Jan2023'!AL46/'Tariffs Jan2023'!AJ46&lt;'Tariffs Jan2023'!J46,0,IF($C$5*'Tariffs Jan2023'!AL46/'Tariffs Jan2023'!AJ46&lt;='Tariffs Jan2023'!K46,($C$5*'Tariffs Jan2023'!AL46/'Tariffs Jan2023'!AJ46-'Tariffs Jan2023'!J46)*('Tariffs Jan2023'!V46/100)*'Tariffs Jan2023'!AJ46,('Tariffs Jan2023'!K46-'Tariffs Jan2023'!J46)*('Tariffs Jan2023'!V46/100)*'Tariffs Jan2023'!AJ46))</f>
        <v>325.22727272727269</v>
      </c>
      <c r="L52" s="59">
        <f>IF($C$5*'Tariffs Jan2023'!AL46/'Tariffs Jan2023'!AJ46&lt;'Tariffs Jan2023'!K46,0,IF($C$5*'Tariffs Jan2023'!AL46/'Tariffs Jan2023'!AJ46&lt;='Tariffs Jan2023'!L46,($C$5*'Tariffs Jan2023'!AL46/'Tariffs Jan2023'!AJ46-'Tariffs Jan2023'!K46)*('Tariffs Jan2023'!W46/100)*'Tariffs Jan2023'!AJ46,('Tariffs Jan2023'!L46-'Tariffs Jan2023'!K46)*('Tariffs Jan2023'!W46/100)*'Tariffs Jan2023'!AJ46))</f>
        <v>0</v>
      </c>
      <c r="M52" s="59">
        <f>IF($C$5*'Tariffs Jan2023'!AL46/'Tariffs Jan2023'!AJ46&lt;'Tariffs Jan2023'!L46,0,IF($C$5*'Tariffs Jan2023'!AL46/'Tariffs Jan2023'!AJ46&lt;='Tariffs Jan2023'!M46,($C$5*'Tariffs Jan2023'!AL46/'Tariffs Jan2023'!AJ46-'Tariffs Jan2023'!L46)*('Tariffs Jan2023'!X46/100)*'Tariffs Jan2023'!AJ46,('Tariffs Jan2023'!M46-'Tariffs Jan2023'!L46)*('Tariffs Jan2023'!X46/100)*'Tariffs Jan2023'!AJ46))</f>
        <v>0</v>
      </c>
      <c r="N52" s="59">
        <f>IF(($C$5*'Tariffs Jan2023'!AL46/'Tariffs Jan2023'!AJ46&gt;'Tariffs Jan2023'!M46),($C$5*'Tariffs Jan2023'!AL46/'Tariffs Jan2023'!AJ46-'Tariffs Jan2023'!M46)*'Tariffs Jan2023'!Y46/100*'Tariffs Jan2023'!AJ46,0)</f>
        <v>0</v>
      </c>
      <c r="O52" s="59">
        <f t="shared" si="1"/>
        <v>1560.2727272727273</v>
      </c>
      <c r="P52" s="503">
        <f t="shared" si="2"/>
        <v>1716.3000000000002</v>
      </c>
      <c r="Q52" s="59">
        <f t="shared" si="3"/>
        <v>1832.3636363636363</v>
      </c>
      <c r="R52" s="272">
        <f t="shared" si="4"/>
        <v>2015.6000000000001</v>
      </c>
      <c r="S52" s="40">
        <f>'Tariffs Jan2023'!AN46</f>
        <v>0</v>
      </c>
      <c r="T52" s="40">
        <f>'Tariffs Jan2023'!AO46</f>
        <v>0</v>
      </c>
      <c r="U52" s="40">
        <f>'Tariffs Jan2023'!AP46</f>
        <v>0</v>
      </c>
      <c r="V52" s="40">
        <f>'Tariffs Jan2023'!AQ46</f>
        <v>0</v>
      </c>
      <c r="W52" s="537" t="str">
        <f t="shared" si="59"/>
        <v>No discount</v>
      </c>
      <c r="X52" s="538" t="str">
        <f t="shared" si="60"/>
        <v>Inclusive</v>
      </c>
      <c r="Y52" s="534">
        <f>IF(AND(W52="Guaranteed off bill",X52="Inclusive"),((Q52*1.1)-((Q52*1.1)*S52/100))/1.1,IF(AND(W52="Guaranteed off usage",X52="Inclusive"),((Q52*1.1)-((P52*1.1)*T52/100))/1.1,IF(AND(W52="Guaranteed off bill",X52="Exclusive"),Q52-(Q52*S52/100),IF(AND(W52="Guaranteed off usage",X52="Exclusive"),Q52-(P52*T52/100),IF(X52="Inclusive",((Q52*1.1))/1.1,Q52)))))</f>
        <v>1832.3636363636363</v>
      </c>
      <c r="Z52" s="535">
        <f>IF(AND(W52="Pay-on-time off bill",X52="Inclusive"),((Y52*1.1)-((Y52*1.1)*U52/100))/1.1,IF(AND(W52="Pay-on-time off usage",X52="Inclusive"),((Y52*1.1)-((P52*1.1)*V52/100))/1.1,IF(AND(W52="Pay-on-time off bill",X52="Exclusive"),Y52-(Y52*U52/100),IF(AND(W52="Pay-on-time off usage",X52="Exclusive"),Y52-(P52*V52/100),IF(X52="Inclusive",((Y52*1.1))/1.1,Y52)))))</f>
        <v>1832.3636363636363</v>
      </c>
      <c r="AA52" s="542">
        <f t="shared" si="47"/>
        <v>2015.6000000000001</v>
      </c>
      <c r="AB52" s="609">
        <f t="shared" si="47"/>
        <v>2015.6000000000001</v>
      </c>
      <c r="AC52" s="604"/>
      <c r="AD52" s="604"/>
      <c r="AE52" s="604"/>
      <c r="AF52" s="604"/>
      <c r="AG52" s="604"/>
      <c r="AH52" s="604"/>
      <c r="AI52" s="604"/>
      <c r="AJ52" s="604"/>
      <c r="AK52" s="604"/>
      <c r="AL52" s="604"/>
      <c r="AM52" s="604"/>
      <c r="AN52" s="604"/>
      <c r="AO52" s="604"/>
      <c r="AP52" s="604"/>
      <c r="AQ52" s="604"/>
      <c r="AR52" s="604"/>
      <c r="AS52" s="604"/>
      <c r="AT52" s="604"/>
    </row>
    <row r="53" spans="1:46" ht="14" x14ac:dyDescent="0.15">
      <c r="A53" s="270" t="str">
        <f>'Tariffs Jan2023'!F47</f>
        <v>Red Energy</v>
      </c>
      <c r="B53" s="40" t="str">
        <f>'Tariffs Jan2023'!D47</f>
        <v>AGN Central 2</v>
      </c>
      <c r="C53" s="40" t="str">
        <f>'Tariffs Jan2023'!G47</f>
        <v>Living Energy Saver</v>
      </c>
      <c r="D53" s="59">
        <f>365*'Tariffs Jan2023'!H47/100</f>
        <v>275.93999999999994</v>
      </c>
      <c r="E53" s="59">
        <f>IF($C$5*'Tariffs Jan2023'!AK47/'Tariffs Jan2023'!AI47&gt;='Tariffs Jan2023'!J47,( 'Tariffs Jan2023'!J47*'Tariffs Jan2023'!O47/100)* 'Tariffs Jan2023'!AI47,($C$5*'Tariffs Jan2023'!AK47/'Tariffs Jan2023'!AI47*'Tariffs Jan2023'!O47/100)* 'Tariffs Jan2023'!AI47)</f>
        <v>160.61181818181817</v>
      </c>
      <c r="F53" s="59">
        <f>IF($C$5*'Tariffs Jan2023'!AK47/'Tariffs Jan2023'!AI47&lt;'Tariffs Jan2023'!J47,0,IF($C$5*'Tariffs Jan2023'!AK47/'Tariffs Jan2023'!AI47&lt;='Tariffs Jan2023'!K47,($C$5*'Tariffs Jan2023'!AK47/'Tariffs Jan2023'!AI47-'Tariffs Jan2023'!J47)*('Tariffs Jan2023'!P47/100)*'Tariffs Jan2023'!AI47,('Tariffs Jan2023'!K47-'Tariffs Jan2023'!J47)*('Tariffs Jan2023'!P47/100)*'Tariffs Jan2023'!AI47))</f>
        <v>107.9072727272727</v>
      </c>
      <c r="G53" s="59">
        <f>IF($C$5*'Tariffs Jan2023'!AK47/'Tariffs Jan2023'!AI47&lt;'Tariffs Jan2023'!K47,0,IF($C$5*'Tariffs Jan2023'!AK47/'Tariffs Jan2023'!AI47&lt;='Tariffs Jan2023'!L47,($C$5*'Tariffs Jan2023'!AK47/'Tariffs Jan2023'!AI47-'Tariffs Jan2023'!K47)*('Tariffs Jan2023'!Q47/100)*'Tariffs Jan2023'!AI47,('Tariffs Jan2023'!L47-'Tariffs Jan2023'!K47)*('Tariffs Jan2023'!Q47/100)*'Tariffs Jan2023'!AI47))</f>
        <v>0</v>
      </c>
      <c r="H53" s="59">
        <f>IF($C$5*'Tariffs Jan2023'!AK47/'Tariffs Jan2023'!AI47&lt;'Tariffs Jan2023'!L47,0,IF($C$5*'Tariffs Jan2023'!AK47/'Tariffs Jan2023'!AI47&lt;='Tariffs Jan2023'!M47,($C$5*'Tariffs Jan2023'!AK47/'Tariffs Jan2023'!AI47-'Tariffs Jan2023'!L47)*('Tariffs Jan2023'!R47/100)*'Tariffs Jan2023'!AI47,('Tariffs Jan2023'!M47-'Tariffs Jan2023'!L47)*('Tariffs Jan2023'!R47/100)*'Tariffs Jan2023'!AI47))</f>
        <v>0</v>
      </c>
      <c r="I53" s="59">
        <f>IF(($C$5*'Tariffs Jan2023'!AK47/'Tariffs Jan2023'!AI47&gt;'Tariffs Jan2023'!M47),($C$5*'Tariffs Jan2023'!AK47/'Tariffs Jan2023'!AI47-'Tariffs Jan2023'!M47)*'Tariffs Jan2023'!S47/100*'Tariffs Jan2023'!AI47,0)</f>
        <v>507.27272727272725</v>
      </c>
      <c r="J53" s="59">
        <f>IF($C$5*'Tariffs Jan2023'!AL47/'Tariffs Jan2023'!AJ47&gt;='Tariffs Jan2023'!J47,('Tariffs Jan2023'!J47*'Tariffs Jan2023'!U47/100)* 'Tariffs Jan2023'!AJ47,($C$5*'Tariffs Jan2023'!AL47/'Tariffs Jan2023'!AJ47*'Tariffs Jan2023'!U47/100)* 'Tariffs Jan2023'!AJ47)</f>
        <v>160.61181818181817</v>
      </c>
      <c r="K53" s="59">
        <f>IF($C$5*'Tariffs Jan2023'!AL47/'Tariffs Jan2023'!AJ47&lt;'Tariffs Jan2023'!J47,0,IF($C$5*'Tariffs Jan2023'!AL47/'Tariffs Jan2023'!AJ47&lt;='Tariffs Jan2023'!K47,($C$5*'Tariffs Jan2023'!AL47/'Tariffs Jan2023'!AJ47-'Tariffs Jan2023'!J47)*('Tariffs Jan2023'!V47/100)*'Tariffs Jan2023'!AJ47,('Tariffs Jan2023'!K47-'Tariffs Jan2023'!J47)*('Tariffs Jan2023'!V47/100)*'Tariffs Jan2023'!AJ47))</f>
        <v>107.9072727272727</v>
      </c>
      <c r="L53" s="59">
        <f>IF($C$5*'Tariffs Jan2023'!AL47/'Tariffs Jan2023'!AJ47&lt;'Tariffs Jan2023'!K47,0,IF($C$5*'Tariffs Jan2023'!AL47/'Tariffs Jan2023'!AJ47&lt;='Tariffs Jan2023'!L47,($C$5*'Tariffs Jan2023'!AL47/'Tariffs Jan2023'!AJ47-'Tariffs Jan2023'!K47)*('Tariffs Jan2023'!W47/100)*'Tariffs Jan2023'!AJ47,('Tariffs Jan2023'!L47-'Tariffs Jan2023'!K47)*('Tariffs Jan2023'!W47/100)*'Tariffs Jan2023'!AJ47))</f>
        <v>0</v>
      </c>
      <c r="M53" s="59">
        <f>IF($C$5*'Tariffs Jan2023'!AL47/'Tariffs Jan2023'!AJ47&lt;'Tariffs Jan2023'!L47,0,IF($C$5*'Tariffs Jan2023'!AL47/'Tariffs Jan2023'!AJ47&lt;='Tariffs Jan2023'!M47,($C$5*'Tariffs Jan2023'!AL47/'Tariffs Jan2023'!AJ47-'Tariffs Jan2023'!L47)*('Tariffs Jan2023'!X47/100)*'Tariffs Jan2023'!AJ47,('Tariffs Jan2023'!M47-'Tariffs Jan2023'!L47)*('Tariffs Jan2023'!X47/100)*'Tariffs Jan2023'!AJ47))</f>
        <v>0</v>
      </c>
      <c r="N53" s="59">
        <f>IF(($C$5*'Tariffs Jan2023'!AL47/'Tariffs Jan2023'!AJ47&gt;'Tariffs Jan2023'!M47),($C$5*'Tariffs Jan2023'!AL47/'Tariffs Jan2023'!AJ47-'Tariffs Jan2023'!M47)*'Tariffs Jan2023'!Y47/100*'Tariffs Jan2023'!AJ47,0)</f>
        <v>507.27272727272725</v>
      </c>
      <c r="O53" s="59">
        <f>SUM(E53:N53)</f>
        <v>1551.5836363636363</v>
      </c>
      <c r="P53" s="503">
        <f t="shared" si="2"/>
        <v>1706.742</v>
      </c>
      <c r="Q53" s="59">
        <f>D53+O53</f>
        <v>1827.5236363636363</v>
      </c>
      <c r="R53" s="272">
        <f>Q53*1.1</f>
        <v>2010.2760000000001</v>
      </c>
      <c r="S53" s="40">
        <f>'Tariffs Jan2023'!AN47</f>
        <v>0</v>
      </c>
      <c r="T53" s="40">
        <f>'Tariffs Jan2023'!AO47</f>
        <v>0</v>
      </c>
      <c r="U53" s="40">
        <f>'Tariffs Jan2023'!AP47</f>
        <v>0</v>
      </c>
      <c r="V53" s="40">
        <f>'Tariffs Jan2023'!AQ47</f>
        <v>0</v>
      </c>
      <c r="W53" s="537" t="str">
        <f t="shared" si="59"/>
        <v>No discount</v>
      </c>
      <c r="X53" s="538" t="str">
        <f t="shared" si="60"/>
        <v>Inclusive</v>
      </c>
      <c r="Y53" s="534">
        <f t="shared" ref="Y53:Y55" si="63">IF(AND(W53="Guaranteed off bill",X53="Inclusive"),((Q53*1.1)-((Q53*1.1)*S53/100))/1.1,IF(AND(W53="Guaranteed off usage",X53="Inclusive"),((Q53*1.1)-((P53*1.1)*T53/100))/1.1,IF(AND(W53="Guaranteed off bill",X53="Exclusive"),Q53-(Q53*S53/100),IF(AND(W53="Guaranteed off usage",X53="Exclusive"),Q53-(P53*T53/100),IF(X53="Inclusive",((Q53*1.1))/1.1,Q53)))))</f>
        <v>1827.5236363636363</v>
      </c>
      <c r="Z53" s="535">
        <f t="shared" ref="Z53:Z55" si="64">IF(AND(W53="Pay-on-time off bill",X53="Inclusive"),((Y53*1.1)-((Y53*1.1)*U53/100))/1.1,IF(AND(W53="Pay-on-time off usage",X53="Inclusive"),((Y53*1.1)-((P53*1.1)*V53/100))/1.1,IF(AND(W53="Pay-on-time off bill",X53="Exclusive"),Y53-(Y53*U53/100),IF(AND(W53="Pay-on-time off usage",X53="Exclusive"),Y53-(P53*V53/100),IF(X53="Inclusive",((Y53*1.1))/1.1,Y53)))))</f>
        <v>1827.5236363636363</v>
      </c>
      <c r="AA53" s="542">
        <f t="shared" ref="AA53:AB67" si="65">Y53*1.1</f>
        <v>2010.2760000000001</v>
      </c>
      <c r="AB53" s="609">
        <f t="shared" si="65"/>
        <v>2010.2760000000001</v>
      </c>
      <c r="AC53" s="604"/>
      <c r="AD53" s="604"/>
      <c r="AE53" s="604"/>
      <c r="AF53" s="604"/>
      <c r="AG53" s="604"/>
      <c r="AH53" s="604"/>
      <c r="AI53" s="604"/>
      <c r="AJ53" s="604"/>
      <c r="AK53" s="604"/>
      <c r="AL53" s="604"/>
      <c r="AM53" s="604"/>
      <c r="AN53" s="604"/>
      <c r="AO53" s="604"/>
      <c r="AP53" s="604"/>
      <c r="AQ53" s="604"/>
      <c r="AR53" s="604"/>
      <c r="AS53" s="604"/>
      <c r="AT53" s="604"/>
    </row>
    <row r="54" spans="1:46" ht="14" x14ac:dyDescent="0.15">
      <c r="A54" s="270" t="str">
        <f>'Tariffs Jan2023'!F48</f>
        <v>Simply Energy</v>
      </c>
      <c r="B54" s="40" t="str">
        <f>'Tariffs Jan2023'!D48</f>
        <v>AGN Central 2</v>
      </c>
      <c r="C54" s="40" t="str">
        <f>'Tariffs Jan2023'!G48</f>
        <v>Stay Plus</v>
      </c>
      <c r="D54" s="59">
        <f>365*'Tariffs Jan2023'!H48/100</f>
        <v>281.68045454545455</v>
      </c>
      <c r="E54" s="59">
        <f>IF($C$5*'Tariffs Jan2023'!AK48/'Tariffs Jan2023'!AI48&gt;='Tariffs Jan2023'!J48,( 'Tariffs Jan2023'!J48*'Tariffs Jan2023'!O48/100)* 'Tariffs Jan2023'!AI48,($C$5*'Tariffs Jan2023'!AK48/'Tariffs Jan2023'!AI48*'Tariffs Jan2023'!O48/100)* 'Tariffs Jan2023'!AI48)</f>
        <v>180.35181818181815</v>
      </c>
      <c r="F54" s="59">
        <f>IF($C$5*'Tariffs Jan2023'!AK48/'Tariffs Jan2023'!AI48&lt;'Tariffs Jan2023'!J48,0,IF($C$5*'Tariffs Jan2023'!AK48/'Tariffs Jan2023'!AI48&lt;='Tariffs Jan2023'!K48,($C$5*'Tariffs Jan2023'!AK48/'Tariffs Jan2023'!AI48-'Tariffs Jan2023'!J48)*('Tariffs Jan2023'!P48/100)*'Tariffs Jan2023'!AI48,('Tariffs Jan2023'!K48-'Tariffs Jan2023'!J48)*('Tariffs Jan2023'!P48/100)*'Tariffs Jan2023'!AI48))</f>
        <v>124.90636363636364</v>
      </c>
      <c r="G54" s="59">
        <f>IF($C$5*'Tariffs Jan2023'!AK48/'Tariffs Jan2023'!AI48&lt;'Tariffs Jan2023'!K48,0,IF($C$5*'Tariffs Jan2023'!AK48/'Tariffs Jan2023'!AI48&lt;='Tariffs Jan2023'!L48,($C$5*'Tariffs Jan2023'!AK48/'Tariffs Jan2023'!AI48-'Tariffs Jan2023'!K48)*('Tariffs Jan2023'!Q48/100)*'Tariffs Jan2023'!AI48,('Tariffs Jan2023'!L48-'Tariffs Jan2023'!K48)*('Tariffs Jan2023'!Q48/100)*'Tariffs Jan2023'!AI48))</f>
        <v>0</v>
      </c>
      <c r="H54" s="59">
        <f>IF($C$5*'Tariffs Jan2023'!AK48/'Tariffs Jan2023'!AI48&lt;'Tariffs Jan2023'!L48,0,IF($C$5*'Tariffs Jan2023'!AK48/'Tariffs Jan2023'!AI48&lt;='Tariffs Jan2023'!M48,($C$5*'Tariffs Jan2023'!AK48/'Tariffs Jan2023'!AI48-'Tariffs Jan2023'!L48)*('Tariffs Jan2023'!R48/100)*'Tariffs Jan2023'!AI48,('Tariffs Jan2023'!M48-'Tariffs Jan2023'!L48)*('Tariffs Jan2023'!R48/100)*'Tariffs Jan2023'!AI48))</f>
        <v>0</v>
      </c>
      <c r="I54" s="59">
        <f>IF(($C$5*'Tariffs Jan2023'!AK48/'Tariffs Jan2023'!AI48&gt;'Tariffs Jan2023'!M48),($C$5*'Tariffs Jan2023'!AK48/'Tariffs Jan2023'!AI48-'Tariffs Jan2023'!M48)*'Tariffs Jan2023'!S48/100*'Tariffs Jan2023'!AI48,0)</f>
        <v>578.86363636363626</v>
      </c>
      <c r="J54" s="59">
        <f>IF($C$5*'Tariffs Jan2023'!AL48/'Tariffs Jan2023'!AJ48&gt;='Tariffs Jan2023'!J48,('Tariffs Jan2023'!J48*'Tariffs Jan2023'!U48/100)* 'Tariffs Jan2023'!AJ48,($C$5*'Tariffs Jan2023'!AL48/'Tariffs Jan2023'!AJ48*'Tariffs Jan2023'!U48/100)* 'Tariffs Jan2023'!AJ48)</f>
        <v>180.35181818181815</v>
      </c>
      <c r="K54" s="59">
        <f>IF($C$5*'Tariffs Jan2023'!AL48/'Tariffs Jan2023'!AJ48&lt;'Tariffs Jan2023'!J48,0,IF($C$5*'Tariffs Jan2023'!AL48/'Tariffs Jan2023'!AJ48&lt;='Tariffs Jan2023'!K48,($C$5*'Tariffs Jan2023'!AL48/'Tariffs Jan2023'!AJ48-'Tariffs Jan2023'!J48)*('Tariffs Jan2023'!V48/100)*'Tariffs Jan2023'!AJ48,('Tariffs Jan2023'!K48-'Tariffs Jan2023'!J48)*('Tariffs Jan2023'!V48/100)*'Tariffs Jan2023'!AJ48))</f>
        <v>124.90636363636364</v>
      </c>
      <c r="L54" s="59">
        <f>IF($C$5*'Tariffs Jan2023'!AL48/'Tariffs Jan2023'!AJ48&lt;'Tariffs Jan2023'!K48,0,IF($C$5*'Tariffs Jan2023'!AL48/'Tariffs Jan2023'!AJ48&lt;='Tariffs Jan2023'!L48,($C$5*'Tariffs Jan2023'!AL48/'Tariffs Jan2023'!AJ48-'Tariffs Jan2023'!K48)*('Tariffs Jan2023'!W48/100)*'Tariffs Jan2023'!AJ48,('Tariffs Jan2023'!L48-'Tariffs Jan2023'!K48)*('Tariffs Jan2023'!W48/100)*'Tariffs Jan2023'!AJ48))</f>
        <v>0</v>
      </c>
      <c r="M54" s="59">
        <f>IF($C$5*'Tariffs Jan2023'!AL48/'Tariffs Jan2023'!AJ48&lt;'Tariffs Jan2023'!L48,0,IF($C$5*'Tariffs Jan2023'!AL48/'Tariffs Jan2023'!AJ48&lt;='Tariffs Jan2023'!M48,($C$5*'Tariffs Jan2023'!AL48/'Tariffs Jan2023'!AJ48-'Tariffs Jan2023'!L48)*('Tariffs Jan2023'!X48/100)*'Tariffs Jan2023'!AJ48,('Tariffs Jan2023'!M48-'Tariffs Jan2023'!L48)*('Tariffs Jan2023'!X48/100)*'Tariffs Jan2023'!AJ48))</f>
        <v>0</v>
      </c>
      <c r="N54" s="59">
        <f>IF(($C$5*'Tariffs Jan2023'!AL48/'Tariffs Jan2023'!AJ48&gt;'Tariffs Jan2023'!M48),($C$5*'Tariffs Jan2023'!AL48/'Tariffs Jan2023'!AJ48-'Tariffs Jan2023'!M48)*'Tariffs Jan2023'!Y48/100*'Tariffs Jan2023'!AJ48,0)</f>
        <v>578.86363636363626</v>
      </c>
      <c r="O54" s="59">
        <f t="shared" si="1"/>
        <v>1768.2436363636361</v>
      </c>
      <c r="P54" s="503">
        <f t="shared" si="2"/>
        <v>1945.068</v>
      </c>
      <c r="Q54" s="59">
        <f t="shared" si="3"/>
        <v>2049.9240909090909</v>
      </c>
      <c r="R54" s="272">
        <f t="shared" si="4"/>
        <v>2254.9165000000003</v>
      </c>
      <c r="S54" s="40">
        <f>'Tariffs Jan2023'!AN48</f>
        <v>6</v>
      </c>
      <c r="T54" s="40">
        <f>'Tariffs Jan2023'!AO48</f>
        <v>0</v>
      </c>
      <c r="U54" s="40">
        <f>'Tariffs Jan2023'!AP48</f>
        <v>0</v>
      </c>
      <c r="V54" s="40">
        <f>'Tariffs Jan2023'!AQ48</f>
        <v>0</v>
      </c>
      <c r="W54" s="537" t="str">
        <f t="shared" si="59"/>
        <v>Guaranteed off bill</v>
      </c>
      <c r="X54" s="538" t="str">
        <f t="shared" si="60"/>
        <v>Exclusive</v>
      </c>
      <c r="Y54" s="534">
        <f t="shared" si="63"/>
        <v>1926.9286454545454</v>
      </c>
      <c r="Z54" s="535">
        <f t="shared" si="64"/>
        <v>1926.9286454545454</v>
      </c>
      <c r="AA54" s="542">
        <f t="shared" si="65"/>
        <v>2119.6215099999999</v>
      </c>
      <c r="AB54" s="609">
        <f t="shared" si="65"/>
        <v>2119.6215099999999</v>
      </c>
      <c r="AC54" s="604"/>
      <c r="AD54" s="604"/>
      <c r="AE54" s="604"/>
      <c r="AF54" s="604"/>
      <c r="AG54" s="604"/>
      <c r="AH54" s="604"/>
      <c r="AI54" s="604"/>
      <c r="AJ54" s="604"/>
      <c r="AK54" s="604"/>
      <c r="AL54" s="604"/>
      <c r="AM54" s="604"/>
      <c r="AN54" s="604"/>
      <c r="AO54" s="604"/>
      <c r="AP54" s="604"/>
      <c r="AQ54" s="604"/>
      <c r="AR54" s="604"/>
      <c r="AS54" s="604"/>
      <c r="AT54" s="604"/>
    </row>
    <row r="55" spans="1:46" ht="14" x14ac:dyDescent="0.15">
      <c r="A55" s="270" t="str">
        <f>'Tariffs Jan2023'!F49</f>
        <v>GloBird Energy</v>
      </c>
      <c r="B55" s="40" t="str">
        <f>'Tariffs Jan2023'!D49</f>
        <v>AGN Central 2</v>
      </c>
      <c r="C55" s="40" t="str">
        <f>'Tariffs Jan2023'!G49</f>
        <v>GloSave</v>
      </c>
      <c r="D55" s="59">
        <f>365*'Tariffs Jan2023'!H49/100</f>
        <v>215.35</v>
      </c>
      <c r="E55" s="59">
        <f>IF($C$5*'Tariffs Jan2023'!AK49/'Tariffs Jan2023'!AI49&gt;='Tariffs Jan2023'!J49,( 'Tariffs Jan2023'!J49*'Tariffs Jan2023'!O49/100)* 'Tariffs Jan2023'!AI49,($C$5*'Tariffs Jan2023'!AK49/'Tariffs Jan2023'!AI49*'Tariffs Jan2023'!O49/100)* 'Tariffs Jan2023'!AI49)</f>
        <v>196.36363636363637</v>
      </c>
      <c r="F55" s="59">
        <f>IF($C$5*'Tariffs Jan2023'!AK49/'Tariffs Jan2023'!AI49&lt;'Tariffs Jan2023'!J49,0,IF($C$5*'Tariffs Jan2023'!AK49/'Tariffs Jan2023'!AI49&lt;='Tariffs Jan2023'!K49,($C$5*'Tariffs Jan2023'!AK49/'Tariffs Jan2023'!AI49-'Tariffs Jan2023'!J49)*('Tariffs Jan2023'!P49/100)*'Tariffs Jan2023'!AI49,('Tariffs Jan2023'!K49-'Tariffs Jan2023'!J49)*('Tariffs Jan2023'!P49/100)*'Tariffs Jan2023'!AI49))</f>
        <v>0</v>
      </c>
      <c r="G55" s="59">
        <f>IF($C$5*'Tariffs Jan2023'!AK49/'Tariffs Jan2023'!AI49&lt;'Tariffs Jan2023'!K49,0,IF($C$5*'Tariffs Jan2023'!AK49/'Tariffs Jan2023'!AI49&lt;='Tariffs Jan2023'!L49,($C$5*'Tariffs Jan2023'!AK49/'Tariffs Jan2023'!AI49-'Tariffs Jan2023'!K49)*('Tariffs Jan2023'!Q49/100)*'Tariffs Jan2023'!AI49,('Tariffs Jan2023'!L49-'Tariffs Jan2023'!K49)*('Tariffs Jan2023'!Q49/100)*'Tariffs Jan2023'!AI49))</f>
        <v>0</v>
      </c>
      <c r="H55" s="59">
        <f>IF($C$5*'Tariffs Jan2023'!AK49/'Tariffs Jan2023'!AI49&lt;'Tariffs Jan2023'!L49,0,IF($C$5*'Tariffs Jan2023'!AK49/'Tariffs Jan2023'!AI49&lt;='Tariffs Jan2023'!M49,($C$5*'Tariffs Jan2023'!AK49/'Tariffs Jan2023'!AI49-'Tariffs Jan2023'!L49)*('Tariffs Jan2023'!R49/100)*'Tariffs Jan2023'!AI49,('Tariffs Jan2023'!M49-'Tariffs Jan2023'!L49)*('Tariffs Jan2023'!R49/100)*'Tariffs Jan2023'!AI49))</f>
        <v>0</v>
      </c>
      <c r="I55" s="59">
        <f>IF(($C$5*'Tariffs Jan2023'!AK49/'Tariffs Jan2023'!AI49&gt;'Tariffs Jan2023'!M49),($C$5*'Tariffs Jan2023'!AK49/'Tariffs Jan2023'!AI49-'Tariffs Jan2023'!M49)*'Tariffs Jan2023'!S49/100*'Tariffs Jan2023'!AI49,0)</f>
        <v>368.13027272727265</v>
      </c>
      <c r="J55" s="59">
        <f>IF($C$5*'Tariffs Jan2023'!AL49/'Tariffs Jan2023'!AJ49&gt;='Tariffs Jan2023'!J49,('Tariffs Jan2023'!J49*'Tariffs Jan2023'!U49/100)* 'Tariffs Jan2023'!AJ49,($C$5*'Tariffs Jan2023'!AL49/'Tariffs Jan2023'!AJ49*'Tariffs Jan2023'!U49/100)* 'Tariffs Jan2023'!AJ49)</f>
        <v>392.72727272727275</v>
      </c>
      <c r="K55" s="59">
        <f>IF($C$5*'Tariffs Jan2023'!AL49/'Tariffs Jan2023'!AJ49&lt;'Tariffs Jan2023'!J49,0,IF($C$5*'Tariffs Jan2023'!AL49/'Tariffs Jan2023'!AJ49&lt;='Tariffs Jan2023'!K49,($C$5*'Tariffs Jan2023'!AL49/'Tariffs Jan2023'!AJ49-'Tariffs Jan2023'!J49)*('Tariffs Jan2023'!V49/100)*'Tariffs Jan2023'!AJ49,('Tariffs Jan2023'!K49-'Tariffs Jan2023'!J49)*('Tariffs Jan2023'!V49/100)*'Tariffs Jan2023'!AJ49))</f>
        <v>0</v>
      </c>
      <c r="L55" s="59">
        <f>IF($C$5*'Tariffs Jan2023'!AL49/'Tariffs Jan2023'!AJ49&lt;'Tariffs Jan2023'!K49,0,IF($C$5*'Tariffs Jan2023'!AL49/'Tariffs Jan2023'!AJ49&lt;='Tariffs Jan2023'!L49,($C$5*'Tariffs Jan2023'!AL49/'Tariffs Jan2023'!AJ49-'Tariffs Jan2023'!K49)*('Tariffs Jan2023'!W49/100)*'Tariffs Jan2023'!AJ49,('Tariffs Jan2023'!L49-'Tariffs Jan2023'!K49)*('Tariffs Jan2023'!W49/100)*'Tariffs Jan2023'!AJ49))</f>
        <v>0</v>
      </c>
      <c r="M55" s="59">
        <f>IF($C$5*'Tariffs Jan2023'!AL49/'Tariffs Jan2023'!AJ49&lt;'Tariffs Jan2023'!L49,0,IF($C$5*'Tariffs Jan2023'!AL49/'Tariffs Jan2023'!AJ49&lt;='Tariffs Jan2023'!M49,($C$5*'Tariffs Jan2023'!AL49/'Tariffs Jan2023'!AJ49-'Tariffs Jan2023'!L49)*('Tariffs Jan2023'!X49/100)*'Tariffs Jan2023'!AJ49,('Tariffs Jan2023'!M49-'Tariffs Jan2023'!L49)*('Tariffs Jan2023'!X49/100)*'Tariffs Jan2023'!AJ49))</f>
        <v>0</v>
      </c>
      <c r="N55" s="59">
        <f>IF(($C$5*'Tariffs Jan2023'!AL49/'Tariffs Jan2023'!AJ49&gt;'Tariffs Jan2023'!M49),($C$5*'Tariffs Jan2023'!AL49/'Tariffs Jan2023'!AJ49-'Tariffs Jan2023'!M49)*'Tariffs Jan2023'!Y49/100*'Tariffs Jan2023'!AJ49,0)</f>
        <v>736.26054545454531</v>
      </c>
      <c r="O55" s="59">
        <f t="shared" si="1"/>
        <v>1693.4817272727271</v>
      </c>
      <c r="P55" s="503">
        <f t="shared" si="2"/>
        <v>1862.8299</v>
      </c>
      <c r="Q55" s="59">
        <f t="shared" si="3"/>
        <v>1908.831727272727</v>
      </c>
      <c r="R55" s="272">
        <f t="shared" si="4"/>
        <v>2099.7148999999999</v>
      </c>
      <c r="S55" s="40">
        <f>'Tariffs Jan2023'!AN49</f>
        <v>0</v>
      </c>
      <c r="T55" s="40">
        <f>'Tariffs Jan2023'!AO49</f>
        <v>0</v>
      </c>
      <c r="U55" s="40">
        <f>'Tariffs Jan2023'!AP49</f>
        <v>2</v>
      </c>
      <c r="V55" s="40">
        <f>'Tariffs Jan2023'!AQ49</f>
        <v>0</v>
      </c>
      <c r="W55" s="537" t="str">
        <f t="shared" si="59"/>
        <v>Pay-on-time off bill</v>
      </c>
      <c r="X55" s="538" t="str">
        <f t="shared" si="60"/>
        <v>Exclusive</v>
      </c>
      <c r="Y55" s="534">
        <f t="shared" si="63"/>
        <v>1908.831727272727</v>
      </c>
      <c r="Z55" s="535">
        <f t="shared" si="64"/>
        <v>1870.6550927272724</v>
      </c>
      <c r="AA55" s="542">
        <f t="shared" si="65"/>
        <v>2099.7148999999999</v>
      </c>
      <c r="AB55" s="609">
        <f t="shared" si="65"/>
        <v>2057.7206019999999</v>
      </c>
      <c r="AC55" s="604"/>
      <c r="AD55" s="604"/>
      <c r="AE55" s="604"/>
      <c r="AF55" s="604"/>
      <c r="AG55" s="604"/>
      <c r="AH55" s="604"/>
      <c r="AI55" s="604"/>
      <c r="AJ55" s="604"/>
      <c r="AK55" s="604"/>
      <c r="AL55" s="604"/>
      <c r="AM55" s="604"/>
      <c r="AN55" s="604"/>
      <c r="AO55" s="604"/>
      <c r="AP55" s="604"/>
      <c r="AQ55" s="604"/>
      <c r="AR55" s="604"/>
      <c r="AS55" s="604"/>
      <c r="AT55" s="604"/>
    </row>
    <row r="56" spans="1:46" ht="14" x14ac:dyDescent="0.15">
      <c r="A56" s="270" t="str">
        <f>'Tariffs Jan2023'!F50</f>
        <v>1st Energy</v>
      </c>
      <c r="B56" s="40" t="str">
        <f>'Tariffs Jan2023'!D50</f>
        <v>AGN Central 2</v>
      </c>
      <c r="C56" s="40" t="str">
        <f>'Tariffs Jan2023'!G50</f>
        <v>1st Saver Plus</v>
      </c>
      <c r="D56" s="59">
        <f>365*'Tariffs Jan2023'!H50/100</f>
        <v>281.05</v>
      </c>
      <c r="E56" s="59">
        <f>IF($C$5*'Tariffs Jan2023'!AK50/'Tariffs Jan2023'!AI50&gt;='Tariffs Jan2023'!J50,( 'Tariffs Jan2023'!J50*'Tariffs Jan2023'!O50/100)* 'Tariffs Jan2023'!AI50,($C$5*'Tariffs Jan2023'!AK50/'Tariffs Jan2023'!AI50*'Tariffs Jan2023'!O50/100)* 'Tariffs Jan2023'!AI50)</f>
        <v>237.59999999999997</v>
      </c>
      <c r="F56" s="59">
        <f>IF($C$5*'Tariffs Jan2023'!AK50/'Tariffs Jan2023'!AI50&lt;'Tariffs Jan2023'!J50,0,IF($C$5*'Tariffs Jan2023'!AK50/'Tariffs Jan2023'!AI50&lt;='Tariffs Jan2023'!K50,($C$5*'Tariffs Jan2023'!AK50/'Tariffs Jan2023'!AI50-'Tariffs Jan2023'!J50)*('Tariffs Jan2023'!P50/100)*'Tariffs Jan2023'!AI50,('Tariffs Jan2023'!K50-'Tariffs Jan2023'!J50)*('Tariffs Jan2023'!P50/100)*'Tariffs Jan2023'!AI50))</f>
        <v>341.99999999999989</v>
      </c>
      <c r="G56" s="59">
        <f>IF($C$5*'Tariffs Jan2023'!AK50/'Tariffs Jan2023'!AI50&lt;'Tariffs Jan2023'!K50,0,IF($C$5*'Tariffs Jan2023'!AK50/'Tariffs Jan2023'!AI50&lt;='Tariffs Jan2023'!L50,($C$5*'Tariffs Jan2023'!AK50/'Tariffs Jan2023'!AI50-'Tariffs Jan2023'!K50)*('Tariffs Jan2023'!Q50/100)*'Tariffs Jan2023'!AI50,('Tariffs Jan2023'!L50-'Tariffs Jan2023'!K50)*('Tariffs Jan2023'!Q50/100)*'Tariffs Jan2023'!AI50))</f>
        <v>0</v>
      </c>
      <c r="H56" s="59">
        <f>IF($C$5*'Tariffs Jan2023'!AK50/'Tariffs Jan2023'!AI50&lt;'Tariffs Jan2023'!L50,0,IF($C$5*'Tariffs Jan2023'!AK50/'Tariffs Jan2023'!AI50&lt;='Tariffs Jan2023'!M50,($C$5*'Tariffs Jan2023'!AK50/'Tariffs Jan2023'!AI50-'Tariffs Jan2023'!L50)*('Tariffs Jan2023'!R50/100)*'Tariffs Jan2023'!AI50,('Tariffs Jan2023'!M50-'Tariffs Jan2023'!L50)*('Tariffs Jan2023'!R50/100)*'Tariffs Jan2023'!AI50))</f>
        <v>0</v>
      </c>
      <c r="I56" s="59">
        <f>IF(($C$5*'Tariffs Jan2023'!AK50/'Tariffs Jan2023'!AI50&gt;'Tariffs Jan2023'!M50),($C$5*'Tariffs Jan2023'!AK50/'Tariffs Jan2023'!AI50-'Tariffs Jan2023'!M50)*'Tariffs Jan2023'!S50/100*'Tariffs Jan2023'!AI50,0)</f>
        <v>564.29999999999995</v>
      </c>
      <c r="J56" s="59">
        <f>IF($C$5*'Tariffs Jan2023'!AL50/'Tariffs Jan2023'!AJ50&gt;='Tariffs Jan2023'!J50,('Tariffs Jan2023'!J50*'Tariffs Jan2023'!U50/100)* 'Tariffs Jan2023'!AJ50,($C$5*'Tariffs Jan2023'!AL50/'Tariffs Jan2023'!AJ50*'Tariffs Jan2023'!U50/100)* 'Tariffs Jan2023'!AJ50)</f>
        <v>237.59999999999997</v>
      </c>
      <c r="K56" s="59">
        <f>IF($C$5*'Tariffs Jan2023'!AL50/'Tariffs Jan2023'!AJ50&lt;'Tariffs Jan2023'!J50,0,IF($C$5*'Tariffs Jan2023'!AL50/'Tariffs Jan2023'!AJ50&lt;='Tariffs Jan2023'!K50,($C$5*'Tariffs Jan2023'!AL50/'Tariffs Jan2023'!AJ50-'Tariffs Jan2023'!J50)*('Tariffs Jan2023'!V50/100)*'Tariffs Jan2023'!AJ50,('Tariffs Jan2023'!K50-'Tariffs Jan2023'!J50)*('Tariffs Jan2023'!V50/100)*'Tariffs Jan2023'!AJ50))</f>
        <v>341.99999999999989</v>
      </c>
      <c r="L56" s="59">
        <f>IF($C$5*'Tariffs Jan2023'!AL50/'Tariffs Jan2023'!AJ50&lt;'Tariffs Jan2023'!K50,0,IF($C$5*'Tariffs Jan2023'!AL50/'Tariffs Jan2023'!AJ50&lt;='Tariffs Jan2023'!L50,($C$5*'Tariffs Jan2023'!AL50/'Tariffs Jan2023'!AJ50-'Tariffs Jan2023'!K50)*('Tariffs Jan2023'!W50/100)*'Tariffs Jan2023'!AJ50,('Tariffs Jan2023'!L50-'Tariffs Jan2023'!K50)*('Tariffs Jan2023'!W50/100)*'Tariffs Jan2023'!AJ50))</f>
        <v>0</v>
      </c>
      <c r="M56" s="59">
        <f>IF($C$5*'Tariffs Jan2023'!AL50/'Tariffs Jan2023'!AJ50&lt;'Tariffs Jan2023'!L50,0,IF($C$5*'Tariffs Jan2023'!AL50/'Tariffs Jan2023'!AJ50&lt;='Tariffs Jan2023'!M50,($C$5*'Tariffs Jan2023'!AL50/'Tariffs Jan2023'!AJ50-'Tariffs Jan2023'!L50)*('Tariffs Jan2023'!X50/100)*'Tariffs Jan2023'!AJ50,('Tariffs Jan2023'!M50-'Tariffs Jan2023'!L50)*('Tariffs Jan2023'!X50/100)*'Tariffs Jan2023'!AJ50))</f>
        <v>0</v>
      </c>
      <c r="N56" s="59">
        <f>IF(($C$5*'Tariffs Jan2023'!AL50/'Tariffs Jan2023'!AJ50&gt;'Tariffs Jan2023'!M50),($C$5*'Tariffs Jan2023'!AL50/'Tariffs Jan2023'!AJ50-'Tariffs Jan2023'!M50)*'Tariffs Jan2023'!Y50/100*'Tariffs Jan2023'!AJ50,0)</f>
        <v>564.29999999999995</v>
      </c>
      <c r="O56" s="59">
        <f t="shared" si="1"/>
        <v>2287.7999999999993</v>
      </c>
      <c r="P56" s="503">
        <f t="shared" si="2"/>
        <v>2516.5799999999995</v>
      </c>
      <c r="Q56" s="59">
        <f t="shared" si="3"/>
        <v>2568.8499999999995</v>
      </c>
      <c r="R56" s="272">
        <f t="shared" si="4"/>
        <v>2825.7349999999997</v>
      </c>
      <c r="S56" s="40">
        <f>'Tariffs Jan2023'!AN50</f>
        <v>0</v>
      </c>
      <c r="T56" s="40">
        <f>'Tariffs Jan2023'!AO50</f>
        <v>7</v>
      </c>
      <c r="U56" s="40">
        <f>'Tariffs Jan2023'!AP50</f>
        <v>0</v>
      </c>
      <c r="V56" s="40">
        <f>'Tariffs Jan2023'!AQ50</f>
        <v>3</v>
      </c>
      <c r="W56" s="537" t="str">
        <f t="shared" si="59"/>
        <v>Guaranteed off usage</v>
      </c>
      <c r="X56" s="538" t="str">
        <f t="shared" si="60"/>
        <v>Exclusive</v>
      </c>
      <c r="Y56" s="534">
        <f>Q56-(P56*T56)/100</f>
        <v>2392.6893999999993</v>
      </c>
      <c r="Z56" s="535">
        <f>Y56-(P56*V56)/100</f>
        <v>2317.1919999999991</v>
      </c>
      <c r="AA56" s="542">
        <f t="shared" si="65"/>
        <v>2631.9583399999992</v>
      </c>
      <c r="AB56" s="609">
        <f t="shared" si="65"/>
        <v>2548.9111999999991</v>
      </c>
      <c r="AC56" s="604"/>
      <c r="AD56" s="604"/>
      <c r="AE56" s="604"/>
      <c r="AF56" s="604"/>
      <c r="AG56" s="604"/>
      <c r="AH56" s="604"/>
      <c r="AI56" s="604"/>
      <c r="AJ56" s="604"/>
      <c r="AK56" s="604"/>
      <c r="AL56" s="604"/>
      <c r="AM56" s="604"/>
      <c r="AN56" s="604"/>
      <c r="AO56" s="604"/>
      <c r="AP56" s="604"/>
      <c r="AQ56" s="604"/>
      <c r="AR56" s="604"/>
      <c r="AS56" s="604"/>
      <c r="AT56" s="604"/>
    </row>
    <row r="57" spans="1:46" ht="14" x14ac:dyDescent="0.15">
      <c r="A57" s="270" t="str">
        <f>'Tariffs Jan2023'!F51</f>
        <v>Tango Energy</v>
      </c>
      <c r="B57" s="40" t="str">
        <f>'Tariffs Jan2023'!D51</f>
        <v>AGN Central 2</v>
      </c>
      <c r="C57" s="40" t="str">
        <f>'Tariffs Jan2023'!G51</f>
        <v>Home Select</v>
      </c>
      <c r="D57" s="59">
        <f>365*'Tariffs Jan2023'!H51/100</f>
        <v>364.99999999999994</v>
      </c>
      <c r="E57" s="59">
        <f>IF($C$5*'Tariffs Jan2023'!AK51/'Tariffs Jan2023'!AI51&gt;='Tariffs Jan2023'!J51,( 'Tariffs Jan2023'!J51*'Tariffs Jan2023'!O51/100)* 'Tariffs Jan2023'!AI51,($C$5*'Tariffs Jan2023'!AK51/'Tariffs Jan2023'!AI51*'Tariffs Jan2023'!O51/100)* 'Tariffs Jan2023'!AI51)</f>
        <v>115.29954545454542</v>
      </c>
      <c r="F57" s="59">
        <f>IF($C$5*'Tariffs Jan2023'!AK51/'Tariffs Jan2023'!AI51&lt;'Tariffs Jan2023'!J51,0,IF($C$5*'Tariffs Jan2023'!AK51/'Tariffs Jan2023'!AI51&lt;='Tariffs Jan2023'!K51,($C$5*'Tariffs Jan2023'!AK51/'Tariffs Jan2023'!AI51-'Tariffs Jan2023'!J51)*('Tariffs Jan2023'!P51/100)*'Tariffs Jan2023'!AI51,('Tariffs Jan2023'!K51-'Tariffs Jan2023'!J51)*('Tariffs Jan2023'!P51/100)*'Tariffs Jan2023'!AI51))</f>
        <v>80.560909090909092</v>
      </c>
      <c r="G57" s="59">
        <f>IF($C$5*'Tariffs Jan2023'!AK51/'Tariffs Jan2023'!AI51&lt;'Tariffs Jan2023'!K51,0,IF($C$5*'Tariffs Jan2023'!AK51/'Tariffs Jan2023'!AI51&lt;='Tariffs Jan2023'!L51,($C$5*'Tariffs Jan2023'!AK51/'Tariffs Jan2023'!AI51-'Tariffs Jan2023'!K51)*('Tariffs Jan2023'!Q51/100)*'Tariffs Jan2023'!AI51,('Tariffs Jan2023'!L51-'Tariffs Jan2023'!K51)*('Tariffs Jan2023'!Q51/100)*'Tariffs Jan2023'!AI51))</f>
        <v>0</v>
      </c>
      <c r="H57" s="59">
        <f>IF($C$5*'Tariffs Jan2023'!AK51/'Tariffs Jan2023'!AI51&lt;'Tariffs Jan2023'!L51,0,IF($C$5*'Tariffs Jan2023'!AK51/'Tariffs Jan2023'!AI51&lt;='Tariffs Jan2023'!M51,($C$5*'Tariffs Jan2023'!AK51/'Tariffs Jan2023'!AI51-'Tariffs Jan2023'!L51)*('Tariffs Jan2023'!R51/100)*'Tariffs Jan2023'!AI51,('Tariffs Jan2023'!M51-'Tariffs Jan2023'!L51)*('Tariffs Jan2023'!R51/100)*'Tariffs Jan2023'!AI51))</f>
        <v>0</v>
      </c>
      <c r="I57" s="59">
        <f>IF(($C$5*'Tariffs Jan2023'!AK51/'Tariffs Jan2023'!AI51&gt;'Tariffs Jan2023'!M51),($C$5*'Tariffs Jan2023'!AK51/'Tariffs Jan2023'!AI51-'Tariffs Jan2023'!M51)*'Tariffs Jan2023'!S51/100*'Tariffs Jan2023'!AI51,0)</f>
        <v>388.63636363636363</v>
      </c>
      <c r="J57" s="59">
        <f>IF($C$5*'Tariffs Jan2023'!AL51/'Tariffs Jan2023'!AJ51&gt;='Tariffs Jan2023'!J51,('Tariffs Jan2023'!J51*'Tariffs Jan2023'!U51/100)* 'Tariffs Jan2023'!AJ51,($C$5*'Tariffs Jan2023'!AL51/'Tariffs Jan2023'!AJ51*'Tariffs Jan2023'!U51/100)* 'Tariffs Jan2023'!AJ51)</f>
        <v>115.29954545454542</v>
      </c>
      <c r="K57" s="59">
        <f>IF($C$5*'Tariffs Jan2023'!AL51/'Tariffs Jan2023'!AJ51&lt;'Tariffs Jan2023'!J51,0,IF($C$5*'Tariffs Jan2023'!AL51/'Tariffs Jan2023'!AJ51&lt;='Tariffs Jan2023'!K51,($C$5*'Tariffs Jan2023'!AL51/'Tariffs Jan2023'!AJ51-'Tariffs Jan2023'!J51)*('Tariffs Jan2023'!V51/100)*'Tariffs Jan2023'!AJ51,('Tariffs Jan2023'!K51-'Tariffs Jan2023'!J51)*('Tariffs Jan2023'!V51/100)*'Tariffs Jan2023'!AJ51))</f>
        <v>80.560909090909092</v>
      </c>
      <c r="L57" s="59">
        <f>IF($C$5*'Tariffs Jan2023'!AL51/'Tariffs Jan2023'!AJ51&lt;'Tariffs Jan2023'!K51,0,IF($C$5*'Tariffs Jan2023'!AL51/'Tariffs Jan2023'!AJ51&lt;='Tariffs Jan2023'!L51,($C$5*'Tariffs Jan2023'!AL51/'Tariffs Jan2023'!AJ51-'Tariffs Jan2023'!K51)*('Tariffs Jan2023'!W51/100)*'Tariffs Jan2023'!AJ51,('Tariffs Jan2023'!L51-'Tariffs Jan2023'!K51)*('Tariffs Jan2023'!W51/100)*'Tariffs Jan2023'!AJ51))</f>
        <v>0</v>
      </c>
      <c r="M57" s="59">
        <f>IF($C$5*'Tariffs Jan2023'!AL51/'Tariffs Jan2023'!AJ51&lt;'Tariffs Jan2023'!L51,0,IF($C$5*'Tariffs Jan2023'!AL51/'Tariffs Jan2023'!AJ51&lt;='Tariffs Jan2023'!M51,($C$5*'Tariffs Jan2023'!AL51/'Tariffs Jan2023'!AJ51-'Tariffs Jan2023'!L51)*('Tariffs Jan2023'!X51/100)*'Tariffs Jan2023'!AJ51,('Tariffs Jan2023'!M51-'Tariffs Jan2023'!L51)*('Tariffs Jan2023'!X51/100)*'Tariffs Jan2023'!AJ51))</f>
        <v>0</v>
      </c>
      <c r="N57" s="59">
        <f>IF(($C$5*'Tariffs Jan2023'!AL51/'Tariffs Jan2023'!AJ51&gt;'Tariffs Jan2023'!M51),($C$5*'Tariffs Jan2023'!AL51/'Tariffs Jan2023'!AJ51-'Tariffs Jan2023'!M51)*'Tariffs Jan2023'!Y51/100*'Tariffs Jan2023'!AJ51,0)</f>
        <v>388.63636363636363</v>
      </c>
      <c r="O57" s="59">
        <f>SUM(E57:N57)</f>
        <v>1168.9936363636361</v>
      </c>
      <c r="P57" s="503">
        <f t="shared" si="2"/>
        <v>1285.8929999999998</v>
      </c>
      <c r="Q57" s="59">
        <f>D57+O57</f>
        <v>1533.9936363636361</v>
      </c>
      <c r="R57" s="272">
        <f>Q57*1.1</f>
        <v>1687.3929999999998</v>
      </c>
      <c r="S57" s="40">
        <f>'Tariffs Jan2023'!AN51</f>
        <v>0</v>
      </c>
      <c r="T57" s="40">
        <f>'Tariffs Jan2023'!AO51</f>
        <v>0</v>
      </c>
      <c r="U57" s="40">
        <f>'Tariffs Jan2023'!AP51</f>
        <v>0</v>
      </c>
      <c r="V57" s="40">
        <f>'Tariffs Jan2023'!AQ51</f>
        <v>0</v>
      </c>
      <c r="W57" s="537" t="str">
        <f t="shared" si="59"/>
        <v>No discount</v>
      </c>
      <c r="X57" s="538" t="str">
        <f t="shared" si="60"/>
        <v>Exclusive</v>
      </c>
      <c r="Y57" s="534">
        <f t="shared" ref="Y57:Y59" si="66">IF(AND(W57="Guaranteed off bill",X57="Inclusive"),((Q57*1.1)-((Q57*1.1)*S57/100))/1.1,IF(AND(W57="Guaranteed off usage",X57="Inclusive"),((Q57*1.1)-((P57*1.1)*T57/100))/1.1,IF(AND(W57="Guaranteed off bill",X57="Exclusive"),Q57-(Q57*S57/100),IF(AND(W57="Guaranteed off usage",X57="Exclusive"),Q57-(P57*T57/100),IF(X57="Inclusive",((Q57*1.1))/1.1,Q57)))))</f>
        <v>1533.9936363636361</v>
      </c>
      <c r="Z57" s="535">
        <f t="shared" ref="Z57:Z59" si="67">IF(AND(W57="Pay-on-time off bill",X57="Inclusive"),((Y57*1.1)-((Y57*1.1)*U57/100))/1.1,IF(AND(W57="Pay-on-time off usage",X57="Inclusive"),((Y57*1.1)-((P57*1.1)*V57/100))/1.1,IF(AND(W57="Pay-on-time off bill",X57="Exclusive"),Y57-(Y57*U57/100),IF(AND(W57="Pay-on-time off usage",X57="Exclusive"),Y57-(P57*V57/100),IF(X57="Inclusive",((Y57*1.1))/1.1,Y57)))))</f>
        <v>1533.9936363636361</v>
      </c>
      <c r="AA57" s="542">
        <f t="shared" si="65"/>
        <v>1687.3929999999998</v>
      </c>
      <c r="AB57" s="609">
        <f t="shared" si="65"/>
        <v>1687.3929999999998</v>
      </c>
      <c r="AC57" s="604"/>
      <c r="AD57" s="604"/>
      <c r="AE57" s="604"/>
      <c r="AF57" s="604"/>
      <c r="AG57" s="604"/>
      <c r="AH57" s="604"/>
      <c r="AI57" s="604"/>
      <c r="AJ57" s="604"/>
      <c r="AK57" s="604"/>
      <c r="AL57" s="604"/>
      <c r="AM57" s="604"/>
      <c r="AN57" s="604"/>
      <c r="AO57" s="604"/>
      <c r="AP57" s="604"/>
      <c r="AQ57" s="604"/>
      <c r="AR57" s="604"/>
      <c r="AS57" s="604"/>
      <c r="AT57" s="604"/>
    </row>
    <row r="58" spans="1:46" ht="14" x14ac:dyDescent="0.15">
      <c r="A58" s="270" t="str">
        <f>'Tariffs Jan2023'!F52</f>
        <v>Momentum Energy</v>
      </c>
      <c r="B58" s="40" t="str">
        <f>'Tariffs Jan2023'!D52</f>
        <v>AGN Central 2</v>
      </c>
      <c r="C58" s="40" t="str">
        <f>'Tariffs Jan2023'!G52</f>
        <v>Nothing Fancy</v>
      </c>
      <c r="D58" s="59">
        <f>365*'Tariffs Jan2023'!H52/100</f>
        <v>316.82</v>
      </c>
      <c r="E58" s="59">
        <f>IF($C$5*'Tariffs Jan2023'!AK52/'Tariffs Jan2023'!AI52&gt;='Tariffs Jan2023'!J52,( 'Tariffs Jan2023'!J52*'Tariffs Jan2023'!O52/100)* 'Tariffs Jan2023'!AI52,($C$5*'Tariffs Jan2023'!AK52/'Tariffs Jan2023'!AI52*'Tariffs Jan2023'!O52/100)* 'Tariffs Jan2023'!AI52)</f>
        <v>207.27</v>
      </c>
      <c r="F58" s="59">
        <f>IF($C$5*'Tariffs Jan2023'!AK52/'Tariffs Jan2023'!AI52&lt;'Tariffs Jan2023'!J52,0,IF($C$5*'Tariffs Jan2023'!AK52/'Tariffs Jan2023'!AI52&lt;='Tariffs Jan2023'!K52,($C$5*'Tariffs Jan2023'!AK52/'Tariffs Jan2023'!AI52-'Tariffs Jan2023'!J52)*('Tariffs Jan2023'!P52/100)*'Tariffs Jan2023'!AI52,('Tariffs Jan2023'!K52-'Tariffs Jan2023'!J52)*('Tariffs Jan2023'!P52/100)*'Tariffs Jan2023'!AI52))</f>
        <v>138.21</v>
      </c>
      <c r="G58" s="59">
        <f>IF($C$5*'Tariffs Jan2023'!AK52/'Tariffs Jan2023'!AI52&lt;'Tariffs Jan2023'!K52,0,IF($C$5*'Tariffs Jan2023'!AK52/'Tariffs Jan2023'!AI52&lt;='Tariffs Jan2023'!L52,($C$5*'Tariffs Jan2023'!AK52/'Tariffs Jan2023'!AI52-'Tariffs Jan2023'!K52)*('Tariffs Jan2023'!Q52/100)*'Tariffs Jan2023'!AI52,('Tariffs Jan2023'!L52-'Tariffs Jan2023'!K52)*('Tariffs Jan2023'!Q52/100)*'Tariffs Jan2023'!AI52))</f>
        <v>0</v>
      </c>
      <c r="H58" s="59">
        <f>IF($C$5*'Tariffs Jan2023'!AK52/'Tariffs Jan2023'!AI52&lt;'Tariffs Jan2023'!L52,0,IF($C$5*'Tariffs Jan2023'!AK52/'Tariffs Jan2023'!AI52&lt;='Tariffs Jan2023'!M52,($C$5*'Tariffs Jan2023'!AK52/'Tariffs Jan2023'!AI52-'Tariffs Jan2023'!L52)*('Tariffs Jan2023'!R52/100)*'Tariffs Jan2023'!AI52,('Tariffs Jan2023'!M52-'Tariffs Jan2023'!L52)*('Tariffs Jan2023'!R52/100)*'Tariffs Jan2023'!AI52))</f>
        <v>0</v>
      </c>
      <c r="I58" s="59">
        <f>IF(($C$5*'Tariffs Jan2023'!AK52/'Tariffs Jan2023'!AI52&gt;'Tariffs Jan2023'!M52),($C$5*'Tariffs Jan2023'!AK52/'Tariffs Jan2023'!AI52-'Tariffs Jan2023'!M52)*'Tariffs Jan2023'!S52/100*'Tariffs Jan2023'!AI52,0)</f>
        <v>652.5</v>
      </c>
      <c r="J58" s="59">
        <f>IF($C$5*'Tariffs Jan2023'!AL52/'Tariffs Jan2023'!AJ52&gt;='Tariffs Jan2023'!J52,('Tariffs Jan2023'!J52*'Tariffs Jan2023'!U52/100)* 'Tariffs Jan2023'!AJ52,($C$5*'Tariffs Jan2023'!AL52/'Tariffs Jan2023'!AJ52*'Tariffs Jan2023'!U52/100)* 'Tariffs Jan2023'!AJ52)</f>
        <v>207.27</v>
      </c>
      <c r="K58" s="59">
        <f>IF($C$5*'Tariffs Jan2023'!AL52/'Tariffs Jan2023'!AJ52&lt;'Tariffs Jan2023'!J52,0,IF($C$5*'Tariffs Jan2023'!AL52/'Tariffs Jan2023'!AJ52&lt;='Tariffs Jan2023'!K52,($C$5*'Tariffs Jan2023'!AL52/'Tariffs Jan2023'!AJ52-'Tariffs Jan2023'!J52)*('Tariffs Jan2023'!V52/100)*'Tariffs Jan2023'!AJ52,('Tariffs Jan2023'!K52-'Tariffs Jan2023'!J52)*('Tariffs Jan2023'!V52/100)*'Tariffs Jan2023'!AJ52))</f>
        <v>138.21</v>
      </c>
      <c r="L58" s="59">
        <f>IF($C$5*'Tariffs Jan2023'!AL52/'Tariffs Jan2023'!AJ52&lt;'Tariffs Jan2023'!K52,0,IF($C$5*'Tariffs Jan2023'!AL52/'Tariffs Jan2023'!AJ52&lt;='Tariffs Jan2023'!L52,($C$5*'Tariffs Jan2023'!AL52/'Tariffs Jan2023'!AJ52-'Tariffs Jan2023'!K52)*('Tariffs Jan2023'!W52/100)*'Tariffs Jan2023'!AJ52,('Tariffs Jan2023'!L52-'Tariffs Jan2023'!K52)*('Tariffs Jan2023'!W52/100)*'Tariffs Jan2023'!AJ52))</f>
        <v>0</v>
      </c>
      <c r="M58" s="59">
        <f>IF($C$5*'Tariffs Jan2023'!AL52/'Tariffs Jan2023'!AJ52&lt;'Tariffs Jan2023'!L52,0,IF($C$5*'Tariffs Jan2023'!AL52/'Tariffs Jan2023'!AJ52&lt;='Tariffs Jan2023'!M52,($C$5*'Tariffs Jan2023'!AL52/'Tariffs Jan2023'!AJ52-'Tariffs Jan2023'!L52)*('Tariffs Jan2023'!X52/100)*'Tariffs Jan2023'!AJ52,('Tariffs Jan2023'!M52-'Tariffs Jan2023'!L52)*('Tariffs Jan2023'!X52/100)*'Tariffs Jan2023'!AJ52))</f>
        <v>0</v>
      </c>
      <c r="N58" s="59">
        <f>IF(($C$5*'Tariffs Jan2023'!AL52/'Tariffs Jan2023'!AJ52&gt;'Tariffs Jan2023'!M52),($C$5*'Tariffs Jan2023'!AL52/'Tariffs Jan2023'!AJ52-'Tariffs Jan2023'!M52)*'Tariffs Jan2023'!Y52/100*'Tariffs Jan2023'!AJ52,0)</f>
        <v>652.5</v>
      </c>
      <c r="O58" s="59">
        <f>SUM(E58:N58)</f>
        <v>1995.96</v>
      </c>
      <c r="P58" s="503">
        <f t="shared" ref="P58" si="68">O58*1.1</f>
        <v>2195.556</v>
      </c>
      <c r="Q58" s="59">
        <f>D58+O58</f>
        <v>2312.7800000000002</v>
      </c>
      <c r="R58" s="272">
        <f>Q58*1.1</f>
        <v>2544.0580000000004</v>
      </c>
      <c r="S58" s="40">
        <f>'Tariffs Jan2023'!AN52</f>
        <v>0</v>
      </c>
      <c r="T58" s="40">
        <f>'Tariffs Jan2023'!AO52</f>
        <v>0</v>
      </c>
      <c r="U58" s="40">
        <f>'Tariffs Jan2023'!AP52</f>
        <v>0</v>
      </c>
      <c r="V58" s="40">
        <f>'Tariffs Jan2023'!AQ52</f>
        <v>0</v>
      </c>
      <c r="W58" s="537" t="str">
        <f t="shared" ref="W58" si="69">IF(SUM(S58:V58)=0,"No discount",IF(S58&gt;0,"Guaranteed off bill",IF(T58&gt;0,"Guaranteed off usage",IF(U58&gt;0,"Pay-on-time off bill","Pay-on-time off usage"))))</f>
        <v>No discount</v>
      </c>
      <c r="X58" s="538" t="str">
        <f t="shared" ref="X58" si="70">IF(OR(A58="Origin Energy",A58="Red Energy",A58="Powershop"),"Inclusive","Exclusive")</f>
        <v>Exclusive</v>
      </c>
      <c r="Y58" s="534">
        <f t="shared" ref="Y58" si="71">IF(AND(W58="Guaranteed off bill",X58="Inclusive"),((Q58*1.1)-((Q58*1.1)*S58/100))/1.1,IF(AND(W58="Guaranteed off usage",X58="Inclusive"),((Q58*1.1)-((P58*1.1)*T58/100))/1.1,IF(AND(W58="Guaranteed off bill",X58="Exclusive"),Q58-(Q58*S58/100),IF(AND(W58="Guaranteed off usage",X58="Exclusive"),Q58-(P58*T58/100),IF(X58="Inclusive",((Q58*1.1))/1.1,Q58)))))</f>
        <v>2312.7800000000002</v>
      </c>
      <c r="Z58" s="535">
        <f t="shared" ref="Z58" si="72">IF(AND(W58="Pay-on-time off bill",X58="Inclusive"),((Y58*1.1)-((Y58*1.1)*U58/100))/1.1,IF(AND(W58="Pay-on-time off usage",X58="Inclusive"),((Y58*1.1)-((P58*1.1)*V58/100))/1.1,IF(AND(W58="Pay-on-time off bill",X58="Exclusive"),Y58-(Y58*U58/100),IF(AND(W58="Pay-on-time off usage",X58="Exclusive"),Y58-(P58*V58/100),IF(X58="Inclusive",((Y58*1.1))/1.1,Y58)))))</f>
        <v>2312.7800000000002</v>
      </c>
      <c r="AA58" s="542">
        <f t="shared" ref="AA58" si="73">Y58*1.1</f>
        <v>2544.0580000000004</v>
      </c>
      <c r="AB58" s="609">
        <f t="shared" ref="AB58" si="74">Z58*1.1</f>
        <v>2544.0580000000004</v>
      </c>
      <c r="AC58" s="604"/>
      <c r="AD58" s="604"/>
      <c r="AE58" s="604"/>
      <c r="AF58" s="604"/>
      <c r="AG58" s="604"/>
      <c r="AH58" s="604"/>
      <c r="AI58" s="604"/>
      <c r="AJ58" s="604"/>
      <c r="AK58" s="604"/>
      <c r="AL58" s="604"/>
      <c r="AM58" s="604"/>
      <c r="AN58" s="604"/>
      <c r="AO58" s="604"/>
      <c r="AP58" s="604"/>
      <c r="AQ58" s="604"/>
      <c r="AR58" s="604"/>
      <c r="AS58" s="604"/>
      <c r="AT58" s="604"/>
    </row>
    <row r="59" spans="1:46" ht="15" thickBot="1" x14ac:dyDescent="0.2">
      <c r="A59" s="276" t="str">
        <f>'Tariffs Jan2023'!F53</f>
        <v>Sumo Power</v>
      </c>
      <c r="B59" s="277" t="str">
        <f>'Tariffs Jan2023'!D53</f>
        <v>AGN Central 2</v>
      </c>
      <c r="C59" s="277" t="str">
        <f>'Tariffs Jan2023'!G53</f>
        <v>Lite</v>
      </c>
      <c r="D59" s="278">
        <f>365*'Tariffs Jan2023'!H53/100</f>
        <v>383.24999999999994</v>
      </c>
      <c r="E59" s="278">
        <f>IF($C$5*'Tariffs Jan2023'!AK53/'Tariffs Jan2023'!AI53&gt;='Tariffs Jan2023'!J53,( 'Tariffs Jan2023'!J53*'Tariffs Jan2023'!O53/100)* 'Tariffs Jan2023'!AI53,($C$5*'Tariffs Jan2023'!AK53/'Tariffs Jan2023'!AI53*'Tariffs Jan2023'!O53/100)* 'Tariffs Jan2023'!AI53)</f>
        <v>486.00000000000011</v>
      </c>
      <c r="F59" s="278">
        <f>IF($C$5*'Tariffs Jan2023'!AK53/'Tariffs Jan2023'!AI53&lt;'Tariffs Jan2023'!J53,0,IF($C$5*'Tariffs Jan2023'!AK53/'Tariffs Jan2023'!AI53&lt;='Tariffs Jan2023'!K53,($C$5*'Tariffs Jan2023'!AK53/'Tariffs Jan2023'!AI53-'Tariffs Jan2023'!J53)*('Tariffs Jan2023'!P53/100)*'Tariffs Jan2023'!AI53,('Tariffs Jan2023'!K53-'Tariffs Jan2023'!J53)*('Tariffs Jan2023'!P53/100)*'Tariffs Jan2023'!AI53))</f>
        <v>0</v>
      </c>
      <c r="G59" s="278">
        <f>IF($C$5*'Tariffs Jan2023'!AK53/'Tariffs Jan2023'!AI53&lt;'Tariffs Jan2023'!K53,0,IF($C$5*'Tariffs Jan2023'!AK53/'Tariffs Jan2023'!AI53&lt;='Tariffs Jan2023'!L53,($C$5*'Tariffs Jan2023'!AK53/'Tariffs Jan2023'!AI53-'Tariffs Jan2023'!K53)*('Tariffs Jan2023'!Q53/100)*'Tariffs Jan2023'!AI53,('Tariffs Jan2023'!L53-'Tariffs Jan2023'!K53)*('Tariffs Jan2023'!Q53/100)*'Tariffs Jan2023'!AI53))</f>
        <v>0</v>
      </c>
      <c r="H59" s="278">
        <f>IF($C$5*'Tariffs Jan2023'!AK53/'Tariffs Jan2023'!AI53&lt;'Tariffs Jan2023'!L53,0,IF($C$5*'Tariffs Jan2023'!AK53/'Tariffs Jan2023'!AI53&lt;='Tariffs Jan2023'!M53,($C$5*'Tariffs Jan2023'!AK53/'Tariffs Jan2023'!AI53-'Tariffs Jan2023'!L53)*('Tariffs Jan2023'!R53/100)*'Tariffs Jan2023'!AI53,('Tariffs Jan2023'!M53-'Tariffs Jan2023'!L53)*('Tariffs Jan2023'!R53/100)*'Tariffs Jan2023'!AI53))</f>
        <v>0</v>
      </c>
      <c r="I59" s="278">
        <f>IF(($C$5*'Tariffs Jan2023'!AK53/'Tariffs Jan2023'!AI53&gt;'Tariffs Jan2023'!M53),($C$5*'Tariffs Jan2023'!AK53/'Tariffs Jan2023'!AI53-'Tariffs Jan2023'!M53)*'Tariffs Jan2023'!S53/100*'Tariffs Jan2023'!AI53,0)</f>
        <v>1059.5454545454543</v>
      </c>
      <c r="J59" s="278">
        <f>IF($C$5*'Tariffs Jan2023'!AL53/'Tariffs Jan2023'!AJ53&gt;='Tariffs Jan2023'!J53,('Tariffs Jan2023'!J53*'Tariffs Jan2023'!U53/100)* 'Tariffs Jan2023'!AJ53,($C$5*'Tariffs Jan2023'!AL53/'Tariffs Jan2023'!AJ53*'Tariffs Jan2023'!U53/100)* 'Tariffs Jan2023'!AJ53)</f>
        <v>486.00000000000011</v>
      </c>
      <c r="K59" s="278">
        <f>IF($C$5*'Tariffs Jan2023'!AL53/'Tariffs Jan2023'!AJ53&lt;'Tariffs Jan2023'!J53,0,IF($C$5*'Tariffs Jan2023'!AL53/'Tariffs Jan2023'!AJ53&lt;='Tariffs Jan2023'!K53,($C$5*'Tariffs Jan2023'!AL53/'Tariffs Jan2023'!AJ53-'Tariffs Jan2023'!J53)*('Tariffs Jan2023'!V53/100)*'Tariffs Jan2023'!AJ53,('Tariffs Jan2023'!K53-'Tariffs Jan2023'!J53)*('Tariffs Jan2023'!V53/100)*'Tariffs Jan2023'!AJ53))</f>
        <v>0</v>
      </c>
      <c r="L59" s="278">
        <f>IF($C$5*'Tariffs Jan2023'!AL53/'Tariffs Jan2023'!AJ53&lt;'Tariffs Jan2023'!K53,0,IF($C$5*'Tariffs Jan2023'!AL53/'Tariffs Jan2023'!AJ53&lt;='Tariffs Jan2023'!L53,($C$5*'Tariffs Jan2023'!AL53/'Tariffs Jan2023'!AJ53-'Tariffs Jan2023'!K53)*('Tariffs Jan2023'!W53/100)*'Tariffs Jan2023'!AJ53,('Tariffs Jan2023'!L53-'Tariffs Jan2023'!K53)*('Tariffs Jan2023'!W53/100)*'Tariffs Jan2023'!AJ53))</f>
        <v>0</v>
      </c>
      <c r="M59" s="278">
        <f>IF($C$5*'Tariffs Jan2023'!AL53/'Tariffs Jan2023'!AJ53&lt;'Tariffs Jan2023'!L53,0,IF($C$5*'Tariffs Jan2023'!AL53/'Tariffs Jan2023'!AJ53&lt;='Tariffs Jan2023'!M53,($C$5*'Tariffs Jan2023'!AL53/'Tariffs Jan2023'!AJ53-'Tariffs Jan2023'!L53)*('Tariffs Jan2023'!X53/100)*'Tariffs Jan2023'!AJ53,('Tariffs Jan2023'!M53-'Tariffs Jan2023'!L53)*('Tariffs Jan2023'!X53/100)*'Tariffs Jan2023'!AJ53))</f>
        <v>0</v>
      </c>
      <c r="N59" s="278">
        <f>IF(($C$5*'Tariffs Jan2023'!AL53/'Tariffs Jan2023'!AJ53&gt;'Tariffs Jan2023'!M53),($C$5*'Tariffs Jan2023'!AL53/'Tariffs Jan2023'!AJ53-'Tariffs Jan2023'!M53)*'Tariffs Jan2023'!Y53/100*'Tariffs Jan2023'!AJ53,0)</f>
        <v>1059.5454545454543</v>
      </c>
      <c r="O59" s="278">
        <f>SUM(E59:N59)</f>
        <v>3091.090909090909</v>
      </c>
      <c r="P59" s="504">
        <f t="shared" si="2"/>
        <v>3400.2000000000003</v>
      </c>
      <c r="Q59" s="278">
        <f>D59+O59</f>
        <v>3474.340909090909</v>
      </c>
      <c r="R59" s="280">
        <f>Q59*1.1</f>
        <v>3821.7750000000001</v>
      </c>
      <c r="S59" s="277">
        <f>'Tariffs Jan2023'!AN53</f>
        <v>0</v>
      </c>
      <c r="T59" s="277">
        <f>'Tariffs Jan2023'!AO53</f>
        <v>0</v>
      </c>
      <c r="U59" s="277">
        <f>'Tariffs Jan2023'!AP53</f>
        <v>0</v>
      </c>
      <c r="V59" s="277">
        <f>'Tariffs Jan2023'!AQ53</f>
        <v>0</v>
      </c>
      <c r="W59" s="540" t="str">
        <f t="shared" si="59"/>
        <v>No discount</v>
      </c>
      <c r="X59" s="541" t="str">
        <f t="shared" si="60"/>
        <v>Exclusive</v>
      </c>
      <c r="Y59" s="543">
        <f t="shared" si="66"/>
        <v>3474.340909090909</v>
      </c>
      <c r="Z59" s="544">
        <f t="shared" si="67"/>
        <v>3474.340909090909</v>
      </c>
      <c r="AA59" s="545">
        <f t="shared" si="65"/>
        <v>3821.7750000000001</v>
      </c>
      <c r="AB59" s="610">
        <f t="shared" si="65"/>
        <v>3821.7750000000001</v>
      </c>
      <c r="AC59" s="604"/>
      <c r="AD59" s="604"/>
      <c r="AE59" s="604"/>
      <c r="AF59" s="604"/>
      <c r="AG59" s="604"/>
      <c r="AH59" s="604"/>
      <c r="AI59" s="604"/>
      <c r="AJ59" s="604"/>
      <c r="AK59" s="604"/>
      <c r="AL59" s="604"/>
      <c r="AM59" s="604"/>
      <c r="AN59" s="604"/>
      <c r="AO59" s="604"/>
      <c r="AP59" s="604"/>
      <c r="AQ59" s="604"/>
      <c r="AR59" s="604"/>
      <c r="AS59" s="604"/>
      <c r="AT59" s="604"/>
    </row>
    <row r="60" spans="1:46" ht="15" thickTop="1" x14ac:dyDescent="0.15">
      <c r="A60" s="270" t="str">
        <f>'Tariffs Jan2023'!F54</f>
        <v>AGL</v>
      </c>
      <c r="B60" s="40" t="str">
        <f>'Tariffs Jan2023'!D54</f>
        <v>AGN Central 1</v>
      </c>
      <c r="C60" s="40" t="str">
        <f>'Tariffs Jan2023'!G54</f>
        <v>Value Saver</v>
      </c>
      <c r="D60" s="59">
        <f>365*'Tariffs Jan2023'!H54/100</f>
        <v>279.19181818181818</v>
      </c>
      <c r="E60" s="59">
        <f>IF($C$5*'Tariffs Jan2023'!AK54/'Tariffs Jan2023'!AI54&gt;='Tariffs Jan2023'!J54,( 'Tariffs Jan2023'!J54*'Tariffs Jan2023'!O54/100)* 'Tariffs Jan2023'!AI54,($C$5*'Tariffs Jan2023'!AK54/'Tariffs Jan2023'!AI54*'Tariffs Jan2023'!O54/100)* 'Tariffs Jan2023'!AI54)</f>
        <v>172.27636363636358</v>
      </c>
      <c r="F60" s="59">
        <f>IF($C$5*'Tariffs Jan2023'!AK54/'Tariffs Jan2023'!AI54&lt;'Tariffs Jan2023'!J54,0,IF($C$5*'Tariffs Jan2023'!AK54/'Tariffs Jan2023'!AI54&lt;='Tariffs Jan2023'!K54,($C$5*'Tariffs Jan2023'!AK54/'Tariffs Jan2023'!AI54-'Tariffs Jan2023'!J54)*('Tariffs Jan2023'!P54/100)*'Tariffs Jan2023'!AI54,('Tariffs Jan2023'!K54-'Tariffs Jan2023'!J54)*('Tariffs Jan2023'!P54/100)*'Tariffs Jan2023'!AI54))</f>
        <v>135.25363636363636</v>
      </c>
      <c r="G60" s="59">
        <f>IF($C$5*'Tariffs Jan2023'!AK54/'Tariffs Jan2023'!AI54&lt;'Tariffs Jan2023'!K54,0,IF($C$5*'Tariffs Jan2023'!AK54/'Tariffs Jan2023'!AI54&lt;='Tariffs Jan2023'!L54,($C$5*'Tariffs Jan2023'!AK54/'Tariffs Jan2023'!AI54-'Tariffs Jan2023'!K54)*('Tariffs Jan2023'!Q54/100)*'Tariffs Jan2023'!AI54,('Tariffs Jan2023'!L54-'Tariffs Jan2023'!K54)*('Tariffs Jan2023'!Q54/100)*'Tariffs Jan2023'!AI54))</f>
        <v>0</v>
      </c>
      <c r="H60" s="59">
        <f>IF($C$5*'Tariffs Jan2023'!AK54/'Tariffs Jan2023'!AI54&lt;'Tariffs Jan2023'!L54,0,IF($C$5*'Tariffs Jan2023'!AK54/'Tariffs Jan2023'!AI54&lt;='Tariffs Jan2023'!M54,($C$5*'Tariffs Jan2023'!AK54/'Tariffs Jan2023'!AI54-'Tariffs Jan2023'!L54)*('Tariffs Jan2023'!R54/100)*'Tariffs Jan2023'!AI54,('Tariffs Jan2023'!M54-'Tariffs Jan2023'!L54)*('Tariffs Jan2023'!R54/100)*'Tariffs Jan2023'!AI54))</f>
        <v>0</v>
      </c>
      <c r="I60" s="59">
        <f>IF(($C$5*'Tariffs Jan2023'!AK54/'Tariffs Jan2023'!AI54&gt;'Tariffs Jan2023'!M54),($C$5*'Tariffs Jan2023'!AK54/'Tariffs Jan2023'!AI54-'Tariffs Jan2023'!M54)*'Tariffs Jan2023'!S54/100*'Tariffs Jan2023'!AI54,0)</f>
        <v>509.31818181818187</v>
      </c>
      <c r="J60" s="59">
        <f>IF($C$5*'Tariffs Jan2023'!AL54/'Tariffs Jan2023'!AJ54&gt;='Tariffs Jan2023'!J54,('Tariffs Jan2023'!J54*'Tariffs Jan2023'!U54/100)* 'Tariffs Jan2023'!AJ54,($C$5*'Tariffs Jan2023'!AL54/'Tariffs Jan2023'!AJ54*'Tariffs Jan2023'!U54/100)* 'Tariffs Jan2023'!AJ54)</f>
        <v>172.27636363636358</v>
      </c>
      <c r="K60" s="59">
        <f>IF($C$5*'Tariffs Jan2023'!AL54/'Tariffs Jan2023'!AJ54&lt;'Tariffs Jan2023'!J54,0,IF($C$5*'Tariffs Jan2023'!AL54/'Tariffs Jan2023'!AJ54&lt;='Tariffs Jan2023'!K54,($C$5*'Tariffs Jan2023'!AL54/'Tariffs Jan2023'!AJ54-'Tariffs Jan2023'!J54)*('Tariffs Jan2023'!V54/100)*'Tariffs Jan2023'!AJ54,('Tariffs Jan2023'!K54-'Tariffs Jan2023'!J54)*('Tariffs Jan2023'!V54/100)*'Tariffs Jan2023'!AJ54))</f>
        <v>135.25363636363636</v>
      </c>
      <c r="L60" s="59">
        <f>IF($C$5*'Tariffs Jan2023'!AL54/'Tariffs Jan2023'!AJ54&lt;'Tariffs Jan2023'!K54,0,IF($C$5*'Tariffs Jan2023'!AL54/'Tariffs Jan2023'!AJ54&lt;='Tariffs Jan2023'!L54,($C$5*'Tariffs Jan2023'!AL54/'Tariffs Jan2023'!AJ54-'Tariffs Jan2023'!K54)*('Tariffs Jan2023'!W54/100)*'Tariffs Jan2023'!AJ54,('Tariffs Jan2023'!L54-'Tariffs Jan2023'!K54)*('Tariffs Jan2023'!W54/100)*'Tariffs Jan2023'!AJ54))</f>
        <v>0</v>
      </c>
      <c r="M60" s="59">
        <f>IF($C$5*'Tariffs Jan2023'!AL54/'Tariffs Jan2023'!AJ54&lt;'Tariffs Jan2023'!L54,0,IF($C$5*'Tariffs Jan2023'!AL54/'Tariffs Jan2023'!AJ54&lt;='Tariffs Jan2023'!M54,($C$5*'Tariffs Jan2023'!AL54/'Tariffs Jan2023'!AJ54-'Tariffs Jan2023'!L54)*('Tariffs Jan2023'!X54/100)*'Tariffs Jan2023'!AJ54,('Tariffs Jan2023'!M54-'Tariffs Jan2023'!L54)*('Tariffs Jan2023'!X54/100)*'Tariffs Jan2023'!AJ54))</f>
        <v>0</v>
      </c>
      <c r="N60" s="59">
        <f>IF(($C$5*'Tariffs Jan2023'!AL54/'Tariffs Jan2023'!AJ54&gt;'Tariffs Jan2023'!M54),($C$5*'Tariffs Jan2023'!AL54/'Tariffs Jan2023'!AJ54-'Tariffs Jan2023'!M54)*'Tariffs Jan2023'!Y54/100*'Tariffs Jan2023'!AJ54,0)</f>
        <v>509.31818181818187</v>
      </c>
      <c r="O60" s="59">
        <f t="shared" si="1"/>
        <v>1633.6963636363639</v>
      </c>
      <c r="P60" s="503">
        <f t="shared" si="2"/>
        <v>1797.0660000000005</v>
      </c>
      <c r="Q60" s="59">
        <f>D60+O60</f>
        <v>1912.8881818181821</v>
      </c>
      <c r="R60" s="272">
        <f t="shared" si="4"/>
        <v>2104.1770000000006</v>
      </c>
      <c r="S60" s="40">
        <f>'Tariffs Jan2023'!AN54</f>
        <v>0</v>
      </c>
      <c r="T60" s="40">
        <f>'Tariffs Jan2023'!AO54</f>
        <v>0</v>
      </c>
      <c r="U60" s="40">
        <f>'Tariffs Jan2023'!AP54</f>
        <v>0</v>
      </c>
      <c r="V60" s="40">
        <f>'Tariffs Jan2023'!AQ54</f>
        <v>0</v>
      </c>
      <c r="W60" s="537" t="str">
        <f>IF(SUM(S60:V60)=0,"No discount",IF(S60&gt;0,"Guaranteed off bill",IF(T60&gt;0,"Guaranteed off usage",IF(U60&gt;0,"Pay-on-time off bill","Pay-on-time off usage"))))</f>
        <v>No discount</v>
      </c>
      <c r="X60" s="538" t="str">
        <f>IF(OR(A60="Origin Energy",A60="Red Energy",A60="Powershop"),"Inclusive","Exclusive")</f>
        <v>Exclusive</v>
      </c>
      <c r="Y60" s="534">
        <f>IF(AND(W60="Guaranteed off bill",X60="Inclusive"),((Q60*1.1)-((Q60*1.1)*S60/100))/1.1,IF(AND(W60="Guaranteed off usage",X60="Inclusive"),((Q60*1.1)-((P60*1.1)*T60/100))/1.1,IF(AND(W60="Guaranteed off bill",X60="Exclusive"),Q60-(Q60*S60/100),IF(AND(W60="Guaranteed off usage",X60="Exclusive"),Q60-(P60*T60/100),IF(X60="Inclusive",((Q60*1.1))/1.1,Q60)))))</f>
        <v>1912.8881818181821</v>
      </c>
      <c r="Z60" s="535">
        <f>IF(AND(W60="Pay-on-time off bill",X60="Inclusive"),((Y60*1.1)-((Y60*1.1)*U60/100))/1.1,IF(AND(W60="Pay-on-time off usage",X60="Inclusive"),((Y60*1.1)-((P60*1.1)*V60/100))/1.1,IF(AND(W60="Pay-on-time off bill",X60="Exclusive"),Y60-(Y60*U60/100),IF(AND(W60="Pay-on-time off usage",X60="Exclusive"),Y60-(P60*V60/100),IF(X60="Inclusive",((Y60*1.1))/1.1,Y60)))))</f>
        <v>1912.8881818181821</v>
      </c>
      <c r="AA60" s="542">
        <f t="shared" si="65"/>
        <v>2104.1770000000006</v>
      </c>
      <c r="AB60" s="609">
        <f t="shared" si="65"/>
        <v>2104.1770000000006</v>
      </c>
      <c r="AC60" s="604"/>
      <c r="AD60" s="604"/>
      <c r="AE60" s="604"/>
      <c r="AF60" s="604"/>
      <c r="AG60" s="604"/>
      <c r="AH60" s="604"/>
      <c r="AI60" s="604"/>
      <c r="AJ60" s="604"/>
      <c r="AK60" s="604"/>
      <c r="AL60" s="604"/>
      <c r="AM60" s="604"/>
      <c r="AN60" s="604"/>
      <c r="AO60" s="604"/>
      <c r="AP60" s="604"/>
      <c r="AQ60" s="604"/>
      <c r="AR60" s="604"/>
      <c r="AS60" s="604"/>
      <c r="AT60" s="604"/>
    </row>
    <row r="61" spans="1:46" ht="14" x14ac:dyDescent="0.15">
      <c r="A61" s="270" t="str">
        <f>'Tariffs Jan2023'!F55</f>
        <v>Alinta Energy</v>
      </c>
      <c r="B61" s="40" t="str">
        <f>'Tariffs Jan2023'!D55</f>
        <v>AGN Central 1</v>
      </c>
      <c r="C61" s="40" t="str">
        <f>'Tariffs Jan2023'!G55</f>
        <v>Home Deal</v>
      </c>
      <c r="D61" s="59">
        <f>365*'Tariffs Jan2023'!H55/100</f>
        <v>216.14636363636362</v>
      </c>
      <c r="E61" s="59">
        <f>IF($C$5*'Tariffs Jan2023'!AK55/'Tariffs Jan2023'!AI55&gt;='Tariffs Jan2023'!J55,( 'Tariffs Jan2023'!J55*'Tariffs Jan2023'!O55/100)* 'Tariffs Jan2023'!AI55,($C$5*'Tariffs Jan2023'!AK55/'Tariffs Jan2023'!AI55*'Tariffs Jan2023'!O55/100)* 'Tariffs Jan2023'!AI55)</f>
        <v>138.18</v>
      </c>
      <c r="F61" s="59">
        <f>IF($C$5*'Tariffs Jan2023'!AK55/'Tariffs Jan2023'!AI55&lt;'Tariffs Jan2023'!J55,0,IF($C$5*'Tariffs Jan2023'!AK55/'Tariffs Jan2023'!AI55&lt;='Tariffs Jan2023'!K55,($C$5*'Tariffs Jan2023'!AK55/'Tariffs Jan2023'!AI55-'Tariffs Jan2023'!J55)*('Tariffs Jan2023'!P55/100)*'Tariffs Jan2023'!AI55,('Tariffs Jan2023'!K55-'Tariffs Jan2023'!J55)*('Tariffs Jan2023'!P55/100)*'Tariffs Jan2023'!AI55))</f>
        <v>99.038181818181826</v>
      </c>
      <c r="G61" s="59">
        <f>IF($C$5*'Tariffs Jan2023'!AK55/'Tariffs Jan2023'!AI55&lt;'Tariffs Jan2023'!K55,0,IF($C$5*'Tariffs Jan2023'!AK55/'Tariffs Jan2023'!AI55&lt;='Tariffs Jan2023'!L55,($C$5*'Tariffs Jan2023'!AK55/'Tariffs Jan2023'!AI55-'Tariffs Jan2023'!K55)*('Tariffs Jan2023'!Q55/100)*'Tariffs Jan2023'!AI55,('Tariffs Jan2023'!L55-'Tariffs Jan2023'!K55)*('Tariffs Jan2023'!Q55/100)*'Tariffs Jan2023'!AI55))</f>
        <v>0</v>
      </c>
      <c r="H61" s="59">
        <f>IF($C$5*'Tariffs Jan2023'!AK55/'Tariffs Jan2023'!AI55&lt;'Tariffs Jan2023'!L55,0,IF($C$5*'Tariffs Jan2023'!AK55/'Tariffs Jan2023'!AI55&lt;='Tariffs Jan2023'!M55,($C$5*'Tariffs Jan2023'!AK55/'Tariffs Jan2023'!AI55-'Tariffs Jan2023'!L55)*('Tariffs Jan2023'!R55/100)*'Tariffs Jan2023'!AI55,('Tariffs Jan2023'!M55-'Tariffs Jan2023'!L55)*('Tariffs Jan2023'!R55/100)*'Tariffs Jan2023'!AI55))</f>
        <v>0</v>
      </c>
      <c r="I61" s="59">
        <f>IF(($C$5*'Tariffs Jan2023'!AK55/'Tariffs Jan2023'!AI55&gt;'Tariffs Jan2023'!M55),($C$5*'Tariffs Jan2023'!AK55/'Tariffs Jan2023'!AI55-'Tariffs Jan2023'!M55)*'Tariffs Jan2023'!S55/100*'Tariffs Jan2023'!AI55,0)</f>
        <v>427.49999999999989</v>
      </c>
      <c r="J61" s="59">
        <f>IF($C$5*'Tariffs Jan2023'!AL55/'Tariffs Jan2023'!AJ55&gt;='Tariffs Jan2023'!J55,('Tariffs Jan2023'!J55*'Tariffs Jan2023'!U55/100)* 'Tariffs Jan2023'!AJ55,($C$5*'Tariffs Jan2023'!AL55/'Tariffs Jan2023'!AJ55*'Tariffs Jan2023'!U55/100)* 'Tariffs Jan2023'!AJ55)</f>
        <v>138.18</v>
      </c>
      <c r="K61" s="59">
        <f>IF($C$5*'Tariffs Jan2023'!AL55/'Tariffs Jan2023'!AJ55&lt;'Tariffs Jan2023'!J55,0,IF($C$5*'Tariffs Jan2023'!AL55/'Tariffs Jan2023'!AJ55&lt;='Tariffs Jan2023'!K55,($C$5*'Tariffs Jan2023'!AL55/'Tariffs Jan2023'!AJ55-'Tariffs Jan2023'!J55)*('Tariffs Jan2023'!V55/100)*'Tariffs Jan2023'!AJ55,('Tariffs Jan2023'!K55-'Tariffs Jan2023'!J55)*('Tariffs Jan2023'!V55/100)*'Tariffs Jan2023'!AJ55))</f>
        <v>99.038181818181826</v>
      </c>
      <c r="L61" s="59">
        <f>IF($C$5*'Tariffs Jan2023'!AL55/'Tariffs Jan2023'!AJ55&lt;'Tariffs Jan2023'!K55,0,IF($C$5*'Tariffs Jan2023'!AL55/'Tariffs Jan2023'!AJ55&lt;='Tariffs Jan2023'!L55,($C$5*'Tariffs Jan2023'!AL55/'Tariffs Jan2023'!AJ55-'Tariffs Jan2023'!K55)*('Tariffs Jan2023'!W55/100)*'Tariffs Jan2023'!AJ55,('Tariffs Jan2023'!L55-'Tariffs Jan2023'!K55)*('Tariffs Jan2023'!W55/100)*'Tariffs Jan2023'!AJ55))</f>
        <v>0</v>
      </c>
      <c r="M61" s="59">
        <f>IF($C$5*'Tariffs Jan2023'!AL55/'Tariffs Jan2023'!AJ55&lt;'Tariffs Jan2023'!L55,0,IF($C$5*'Tariffs Jan2023'!AL55/'Tariffs Jan2023'!AJ55&lt;='Tariffs Jan2023'!M55,($C$5*'Tariffs Jan2023'!AL55/'Tariffs Jan2023'!AJ55-'Tariffs Jan2023'!L55)*('Tariffs Jan2023'!X55/100)*'Tariffs Jan2023'!AJ55,('Tariffs Jan2023'!M55-'Tariffs Jan2023'!L55)*('Tariffs Jan2023'!X55/100)*'Tariffs Jan2023'!AJ55))</f>
        <v>0</v>
      </c>
      <c r="N61" s="59">
        <f>IF(($C$5*'Tariffs Jan2023'!AL55/'Tariffs Jan2023'!AJ55&gt;'Tariffs Jan2023'!M55),($C$5*'Tariffs Jan2023'!AL55/'Tariffs Jan2023'!AJ55-'Tariffs Jan2023'!M55)*'Tariffs Jan2023'!Y55/100*'Tariffs Jan2023'!AJ55,0)</f>
        <v>427.49999999999989</v>
      </c>
      <c r="O61" s="59">
        <f t="shared" si="1"/>
        <v>1329.4363636363632</v>
      </c>
      <c r="P61" s="503">
        <f t="shared" si="2"/>
        <v>1462.3799999999997</v>
      </c>
      <c r="Q61" s="59">
        <f t="shared" si="3"/>
        <v>1545.582727272727</v>
      </c>
      <c r="R61" s="272">
        <f t="shared" si="4"/>
        <v>1700.1409999999998</v>
      </c>
      <c r="S61" s="40">
        <f>'Tariffs Jan2023'!AN55</f>
        <v>0</v>
      </c>
      <c r="T61" s="40">
        <f>'Tariffs Jan2023'!AO55</f>
        <v>0</v>
      </c>
      <c r="U61" s="40">
        <f>'Tariffs Jan2023'!AP55</f>
        <v>0</v>
      </c>
      <c r="V61" s="40">
        <f>'Tariffs Jan2023'!AQ55</f>
        <v>0</v>
      </c>
      <c r="W61" s="537" t="str">
        <f t="shared" ref="W61:W81" si="75">IF(SUM(S61:V61)=0,"No discount",IF(S61&gt;0,"Guaranteed off bill",IF(T61&gt;0,"Guaranteed off usage",IF(U61&gt;0,"Pay-on-time off bill","Pay-on-time off usage"))))</f>
        <v>No discount</v>
      </c>
      <c r="X61" s="538" t="str">
        <f t="shared" ref="X61:X81" si="76">IF(OR(A61="Origin Energy",A61="Red Energy",A61="Powershop"),"Inclusive","Exclusive")</f>
        <v>Exclusive</v>
      </c>
      <c r="Y61" s="534">
        <f>IF(AND(W61="Guaranteed off bill",X61="Inclusive"),((Q61*1.1)-((Q61*1.1)*S61/100))/1.1,IF(AND(W61="Guaranteed off usage",X61="Inclusive"),((Q61*1.1)-((P61*1.1)*T61/100))/1.1,IF(AND(W61="Guaranteed off bill",X61="Exclusive"),Q61-(Q61*S61/100),IF(AND(W61="Guaranteed off usage",X61="Exclusive"),Q61-(P61*T61/100),IF(X61="Inclusive",((Q61*1.1))/1.1,Q61)))))</f>
        <v>1545.582727272727</v>
      </c>
      <c r="Z61" s="535">
        <f>IF(AND(W61="Pay-on-time off bill",X61="Inclusive"),((Y61*1.1)-((Y61*1.1)*U61/100))/1.1,IF(AND(W61="Pay-on-time off usage",X61="Inclusive"),((Y61*1.1)-((P61*1.1)*V61/100))/1.1,IF(AND(W61="Pay-on-time off bill",X61="Exclusive"),Y61-(Y61*U61/100),IF(AND(W61="Pay-on-time off usage",X61="Exclusive"),Y61-(P61*V61/100),IF(X61="Inclusive",((Y61*1.1))/1.1,Y61)))))</f>
        <v>1545.582727272727</v>
      </c>
      <c r="AA61" s="542">
        <f t="shared" si="65"/>
        <v>1700.1409999999998</v>
      </c>
      <c r="AB61" s="609">
        <f t="shared" si="65"/>
        <v>1700.1409999999998</v>
      </c>
      <c r="AC61" s="604"/>
      <c r="AD61" s="604"/>
      <c r="AE61" s="604"/>
      <c r="AF61" s="604"/>
      <c r="AG61" s="604"/>
      <c r="AH61" s="604"/>
      <c r="AI61" s="604"/>
      <c r="AJ61" s="604"/>
      <c r="AK61" s="604"/>
      <c r="AL61" s="604"/>
      <c r="AM61" s="604"/>
      <c r="AN61" s="604"/>
      <c r="AO61" s="604"/>
      <c r="AP61" s="604"/>
      <c r="AQ61" s="604"/>
      <c r="AR61" s="604"/>
      <c r="AS61" s="604"/>
      <c r="AT61" s="604"/>
    </row>
    <row r="62" spans="1:46" ht="14" x14ac:dyDescent="0.15">
      <c r="A62" s="270" t="str">
        <f>'Tariffs Jan2023'!F56</f>
        <v>Dodo Power &amp; Gas</v>
      </c>
      <c r="B62" s="40" t="str">
        <f>'Tariffs Jan2023'!D56</f>
        <v>AGN Central 1</v>
      </c>
      <c r="C62" s="40" t="str">
        <f>'Tariffs Jan2023'!G56</f>
        <v>Market offer</v>
      </c>
      <c r="D62" s="59">
        <f>365*'Tariffs Jan2023'!H56/100</f>
        <v>207.35318181818181</v>
      </c>
      <c r="E62" s="59">
        <f>IF($C$5*'Tariffs Jan2023'!AK56/'Tariffs Jan2023'!AI56&gt;='Tariffs Jan2023'!J56,( 'Tariffs Jan2023'!J56*'Tariffs Jan2023'!O56/100)* 'Tariffs Jan2023'!AI56,($C$5*'Tariffs Jan2023'!AK56/'Tariffs Jan2023'!AI56*'Tariffs Jan2023'!O56/100)* 'Tariffs Jan2023'!AI56)</f>
        <v>102.2890909090909</v>
      </c>
      <c r="F62" s="59">
        <f>IF($C$5*'Tariffs Jan2023'!AK56/'Tariffs Jan2023'!AI56&lt;'Tariffs Jan2023'!J56,0,IF($C$5*'Tariffs Jan2023'!AK56/'Tariffs Jan2023'!AI56&lt;='Tariffs Jan2023'!K56,($C$5*'Tariffs Jan2023'!AK56/'Tariffs Jan2023'!AI56-'Tariffs Jan2023'!J56)*('Tariffs Jan2023'!P56/100)*'Tariffs Jan2023'!AI56,('Tariffs Jan2023'!K56-'Tariffs Jan2023'!J56)*('Tariffs Jan2023'!P56/100)*'Tariffs Jan2023'!AI56))</f>
        <v>67.010909090909081</v>
      </c>
      <c r="G62" s="59">
        <f>IF($C$5*'Tariffs Jan2023'!AK56/'Tariffs Jan2023'!AI56&lt;'Tariffs Jan2023'!K56,0,IF($C$5*'Tariffs Jan2023'!AK56/'Tariffs Jan2023'!AI56&lt;='Tariffs Jan2023'!L56,($C$5*'Tariffs Jan2023'!AK56/'Tariffs Jan2023'!AI56-'Tariffs Jan2023'!K56)*('Tariffs Jan2023'!Q56/100)*'Tariffs Jan2023'!AI56,('Tariffs Jan2023'!L56-'Tariffs Jan2023'!K56)*('Tariffs Jan2023'!Q56/100)*'Tariffs Jan2023'!AI56))</f>
        <v>0</v>
      </c>
      <c r="H62" s="59">
        <f>IF($C$5*'Tariffs Jan2023'!AK56/'Tariffs Jan2023'!AI56&lt;'Tariffs Jan2023'!L56,0,IF($C$5*'Tariffs Jan2023'!AK56/'Tariffs Jan2023'!AI56&lt;='Tariffs Jan2023'!M56,($C$5*'Tariffs Jan2023'!AK56/'Tariffs Jan2023'!AI56-'Tariffs Jan2023'!L56)*('Tariffs Jan2023'!R56/100)*'Tariffs Jan2023'!AI56,('Tariffs Jan2023'!M56-'Tariffs Jan2023'!L56)*('Tariffs Jan2023'!R56/100)*'Tariffs Jan2023'!AI56))</f>
        <v>0</v>
      </c>
      <c r="I62" s="59">
        <f>IF(($C$5*'Tariffs Jan2023'!AK56/'Tariffs Jan2023'!AI56&gt;'Tariffs Jan2023'!M56),($C$5*'Tariffs Jan2023'!AK56/'Tariffs Jan2023'!AI56-'Tariffs Jan2023'!M56)*'Tariffs Jan2023'!S56/100*'Tariffs Jan2023'!AI56,0)</f>
        <v>298.59455454545446</v>
      </c>
      <c r="J62" s="59">
        <f>IF($C$5*'Tariffs Jan2023'!AL56/'Tariffs Jan2023'!AJ56&gt;='Tariffs Jan2023'!J56,('Tariffs Jan2023'!J56*'Tariffs Jan2023'!U56/100)* 'Tariffs Jan2023'!AJ56,($C$5*'Tariffs Jan2023'!AL56/'Tariffs Jan2023'!AJ56*'Tariffs Jan2023'!U56/100)* 'Tariffs Jan2023'!AJ56)</f>
        <v>204.5781818181818</v>
      </c>
      <c r="K62" s="59">
        <f>IF($C$5*'Tariffs Jan2023'!AL56/'Tariffs Jan2023'!AJ56&lt;'Tariffs Jan2023'!J56,0,IF($C$5*'Tariffs Jan2023'!AL56/'Tariffs Jan2023'!AJ56&lt;='Tariffs Jan2023'!K56,($C$5*'Tariffs Jan2023'!AL56/'Tariffs Jan2023'!AJ56-'Tariffs Jan2023'!J56)*('Tariffs Jan2023'!V56/100)*'Tariffs Jan2023'!AJ56,('Tariffs Jan2023'!K56-'Tariffs Jan2023'!J56)*('Tariffs Jan2023'!V56/100)*'Tariffs Jan2023'!AJ56))</f>
        <v>134.02181818181816</v>
      </c>
      <c r="L62" s="59">
        <f>IF($C$5*'Tariffs Jan2023'!AL56/'Tariffs Jan2023'!AJ56&lt;'Tariffs Jan2023'!K56,0,IF($C$5*'Tariffs Jan2023'!AL56/'Tariffs Jan2023'!AJ56&lt;='Tariffs Jan2023'!L56,($C$5*'Tariffs Jan2023'!AL56/'Tariffs Jan2023'!AJ56-'Tariffs Jan2023'!K56)*('Tariffs Jan2023'!W56/100)*'Tariffs Jan2023'!AJ56,('Tariffs Jan2023'!L56-'Tariffs Jan2023'!K56)*('Tariffs Jan2023'!W56/100)*'Tariffs Jan2023'!AJ56))</f>
        <v>0</v>
      </c>
      <c r="M62" s="59">
        <f>IF($C$5*'Tariffs Jan2023'!AL56/'Tariffs Jan2023'!AJ56&lt;'Tariffs Jan2023'!L56,0,IF($C$5*'Tariffs Jan2023'!AL56/'Tariffs Jan2023'!AJ56&lt;='Tariffs Jan2023'!M56,($C$5*'Tariffs Jan2023'!AL56/'Tariffs Jan2023'!AJ56-'Tariffs Jan2023'!L56)*('Tariffs Jan2023'!X56/100)*'Tariffs Jan2023'!AJ56,('Tariffs Jan2023'!M56-'Tariffs Jan2023'!L56)*('Tariffs Jan2023'!X56/100)*'Tariffs Jan2023'!AJ56))</f>
        <v>0</v>
      </c>
      <c r="N62" s="59">
        <f>IF(($C$5*'Tariffs Jan2023'!AL56/'Tariffs Jan2023'!AJ56&gt;'Tariffs Jan2023'!M56),($C$5*'Tariffs Jan2023'!AL56/'Tariffs Jan2023'!AJ56-'Tariffs Jan2023'!M56)*'Tariffs Jan2023'!Y56/100*'Tariffs Jan2023'!AJ56,0)</f>
        <v>597.18910909090891</v>
      </c>
      <c r="O62" s="59">
        <f t="shared" si="1"/>
        <v>1403.6836636363632</v>
      </c>
      <c r="P62" s="503">
        <f t="shared" si="2"/>
        <v>1544.0520299999996</v>
      </c>
      <c r="Q62" s="59">
        <f t="shared" si="3"/>
        <v>1611.0368454545451</v>
      </c>
      <c r="R62" s="272">
        <f t="shared" si="4"/>
        <v>1772.1405299999997</v>
      </c>
      <c r="S62" s="40">
        <f>'Tariffs Jan2023'!AN56</f>
        <v>0</v>
      </c>
      <c r="T62" s="40">
        <f>'Tariffs Jan2023'!AO56</f>
        <v>0</v>
      </c>
      <c r="U62" s="40">
        <f>'Tariffs Jan2023'!AP56</f>
        <v>0</v>
      </c>
      <c r="V62" s="40">
        <f>'Tariffs Jan2023'!AQ56</f>
        <v>0</v>
      </c>
      <c r="W62" s="537" t="str">
        <f t="shared" si="75"/>
        <v>No discount</v>
      </c>
      <c r="X62" s="538" t="str">
        <f t="shared" si="76"/>
        <v>Exclusive</v>
      </c>
      <c r="Y62" s="534">
        <f>IF(AND(W62="Guaranteed off bill",X62="Inclusive"),((Q62*1.1)-((Q62*1.1)*S62/100))/1.1,IF(AND(W62="Guaranteed off usage",X62="Inclusive"),((Q62*1.1)-((P62*1.1)*T62/100))/1.1,IF(AND(W62="Guaranteed off bill",X62="Exclusive"),Q62-(Q62*S62/100),IF(AND(W62="Guaranteed off usage",X62="Exclusive"),Q62-(P62*T62/100),IF(X62="Inclusive",((Q62*1.1))/1.1,Q62)))))</f>
        <v>1611.0368454545451</v>
      </c>
      <c r="Z62" s="535">
        <f>IF(AND(W62="Pay-on-time off bill",X62="Inclusive"),((Y62*1.1)-((Y62*1.1)*U62/100))/1.1,IF(AND(W62="Pay-on-time off usage",X62="Inclusive"),((Y62*1.1)-((P62*1.1)*V62/100))/1.1,IF(AND(W62="Pay-on-time off bill",X62="Exclusive"),Y62-(Y62*U62/100),IF(AND(W62="Pay-on-time off usage",X62="Exclusive"),Y62-(P62*V62/100),IF(X62="Inclusive",((Y62*1.1))/1.1,Y62)))))</f>
        <v>1611.0368454545451</v>
      </c>
      <c r="AA62" s="542">
        <f t="shared" si="65"/>
        <v>1772.1405299999997</v>
      </c>
      <c r="AB62" s="609">
        <f t="shared" si="65"/>
        <v>1772.1405299999997</v>
      </c>
      <c r="AC62" s="604"/>
      <c r="AD62" s="604"/>
      <c r="AE62" s="604"/>
      <c r="AF62" s="604"/>
      <c r="AG62" s="604"/>
      <c r="AH62" s="604"/>
      <c r="AI62" s="604"/>
      <c r="AJ62" s="604"/>
      <c r="AK62" s="604"/>
      <c r="AL62" s="604"/>
      <c r="AM62" s="604"/>
      <c r="AN62" s="604"/>
      <c r="AO62" s="604"/>
      <c r="AP62" s="604"/>
      <c r="AQ62" s="604"/>
      <c r="AR62" s="604"/>
      <c r="AS62" s="604"/>
      <c r="AT62" s="604"/>
    </row>
    <row r="63" spans="1:46" ht="14" x14ac:dyDescent="0.15">
      <c r="A63" s="270" t="str">
        <f>'Tariffs Jan2023'!F57</f>
        <v>EnergyAustralia</v>
      </c>
      <c r="B63" s="40" t="str">
        <f>'Tariffs Jan2023'!D57</f>
        <v>AGN Central 1</v>
      </c>
      <c r="C63" s="40" t="str">
        <f>'Tariffs Jan2023'!G57</f>
        <v>Flexi Plan</v>
      </c>
      <c r="D63" s="59">
        <f>365*'Tariffs Jan2023'!H57/100</f>
        <v>379.20181818181817</v>
      </c>
      <c r="E63" s="59">
        <f>IF($C$5*'Tariffs Jan2023'!AK57/'Tariffs Jan2023'!AI57&gt;='Tariffs Jan2023'!J57,( 'Tariffs Jan2023'!J57*'Tariffs Jan2023'!O57/100)* 'Tariffs Jan2023'!AI57,($C$5*'Tariffs Jan2023'!AK57/'Tariffs Jan2023'!AI57*'Tariffs Jan2023'!O57/100)* 'Tariffs Jan2023'!AI57)</f>
        <v>223.42090909090908</v>
      </c>
      <c r="F63" s="59">
        <f>IF($C$5*'Tariffs Jan2023'!AK57/'Tariffs Jan2023'!AI57&lt;'Tariffs Jan2023'!J57,0,IF($C$5*'Tariffs Jan2023'!AK57/'Tariffs Jan2023'!AI57&lt;='Tariffs Jan2023'!K57,($C$5*'Tariffs Jan2023'!AK57/'Tariffs Jan2023'!AI57-'Tariffs Jan2023'!J57)*('Tariffs Jan2023'!P57/100)*'Tariffs Jan2023'!AI57,('Tariffs Jan2023'!K57-'Tariffs Jan2023'!J57)*('Tariffs Jan2023'!P57/100)*'Tariffs Jan2023'!AI57))</f>
        <v>139.31863636363633</v>
      </c>
      <c r="G63" s="59">
        <f>IF($C$5*'Tariffs Jan2023'!AK57/'Tariffs Jan2023'!AI57&lt;'Tariffs Jan2023'!K57,0,IF($C$5*'Tariffs Jan2023'!AK57/'Tariffs Jan2023'!AI57&lt;='Tariffs Jan2023'!L57,($C$5*'Tariffs Jan2023'!AK57/'Tariffs Jan2023'!AI57-'Tariffs Jan2023'!K57)*('Tariffs Jan2023'!Q57/100)*'Tariffs Jan2023'!AI57,('Tariffs Jan2023'!L57-'Tariffs Jan2023'!K57)*('Tariffs Jan2023'!Q57/100)*'Tariffs Jan2023'!AI57))</f>
        <v>0</v>
      </c>
      <c r="H63" s="59">
        <f>IF($C$5*'Tariffs Jan2023'!AK57/'Tariffs Jan2023'!AI57&lt;'Tariffs Jan2023'!L57,0,IF($C$5*'Tariffs Jan2023'!AK57/'Tariffs Jan2023'!AI57&lt;='Tariffs Jan2023'!M57,($C$5*'Tariffs Jan2023'!AK57/'Tariffs Jan2023'!AI57-'Tariffs Jan2023'!L57)*('Tariffs Jan2023'!R57/100)*'Tariffs Jan2023'!AI57,('Tariffs Jan2023'!M57-'Tariffs Jan2023'!L57)*('Tariffs Jan2023'!R57/100)*'Tariffs Jan2023'!AI57))</f>
        <v>0</v>
      </c>
      <c r="I63" s="59">
        <f>IF(($C$5*'Tariffs Jan2023'!AK57/'Tariffs Jan2023'!AI57&gt;'Tariffs Jan2023'!M57),($C$5*'Tariffs Jan2023'!AK57/'Tariffs Jan2023'!AI57-'Tariffs Jan2023'!M57)*'Tariffs Jan2023'!S57/100*'Tariffs Jan2023'!AI57,0)</f>
        <v>642.27272727272725</v>
      </c>
      <c r="J63" s="59">
        <f>IF($C$5*'Tariffs Jan2023'!AL57/'Tariffs Jan2023'!AJ57&gt;='Tariffs Jan2023'!J57,('Tariffs Jan2023'!J57*'Tariffs Jan2023'!U57/100)* 'Tariffs Jan2023'!AJ57,($C$5*'Tariffs Jan2023'!AL57/'Tariffs Jan2023'!AJ57*'Tariffs Jan2023'!U57/100)* 'Tariffs Jan2023'!AJ57)</f>
        <v>223.42090909090908</v>
      </c>
      <c r="K63" s="59">
        <f>IF($C$5*'Tariffs Jan2023'!AL57/'Tariffs Jan2023'!AJ57&lt;'Tariffs Jan2023'!J57,0,IF($C$5*'Tariffs Jan2023'!AL57/'Tariffs Jan2023'!AJ57&lt;='Tariffs Jan2023'!K57,($C$5*'Tariffs Jan2023'!AL57/'Tariffs Jan2023'!AJ57-'Tariffs Jan2023'!J57)*('Tariffs Jan2023'!V57/100)*'Tariffs Jan2023'!AJ57,('Tariffs Jan2023'!K57-'Tariffs Jan2023'!J57)*('Tariffs Jan2023'!V57/100)*'Tariffs Jan2023'!AJ57))</f>
        <v>139.31863636363633</v>
      </c>
      <c r="L63" s="59">
        <f>IF($C$5*'Tariffs Jan2023'!AL57/'Tariffs Jan2023'!AJ57&lt;'Tariffs Jan2023'!K57,0,IF($C$5*'Tariffs Jan2023'!AL57/'Tariffs Jan2023'!AJ57&lt;='Tariffs Jan2023'!L57,($C$5*'Tariffs Jan2023'!AL57/'Tariffs Jan2023'!AJ57-'Tariffs Jan2023'!K57)*('Tariffs Jan2023'!W57/100)*'Tariffs Jan2023'!AJ57,('Tariffs Jan2023'!L57-'Tariffs Jan2023'!K57)*('Tariffs Jan2023'!W57/100)*'Tariffs Jan2023'!AJ57))</f>
        <v>0</v>
      </c>
      <c r="M63" s="59">
        <f>IF($C$5*'Tariffs Jan2023'!AL57/'Tariffs Jan2023'!AJ57&lt;'Tariffs Jan2023'!L57,0,IF($C$5*'Tariffs Jan2023'!AL57/'Tariffs Jan2023'!AJ57&lt;='Tariffs Jan2023'!M57,($C$5*'Tariffs Jan2023'!AL57/'Tariffs Jan2023'!AJ57-'Tariffs Jan2023'!L57)*('Tariffs Jan2023'!X57/100)*'Tariffs Jan2023'!AJ57,('Tariffs Jan2023'!M57-'Tariffs Jan2023'!L57)*('Tariffs Jan2023'!X57/100)*'Tariffs Jan2023'!AJ57))</f>
        <v>0</v>
      </c>
      <c r="N63" s="59">
        <f>IF(($C$5*'Tariffs Jan2023'!AL57/'Tariffs Jan2023'!AJ57&gt;'Tariffs Jan2023'!M57),($C$5*'Tariffs Jan2023'!AL57/'Tariffs Jan2023'!AJ57-'Tariffs Jan2023'!M57)*'Tariffs Jan2023'!Y57/100*'Tariffs Jan2023'!AJ57,0)</f>
        <v>642.27272727272725</v>
      </c>
      <c r="O63" s="59">
        <f t="shared" si="1"/>
        <v>2010.0245454545454</v>
      </c>
      <c r="P63" s="503">
        <f t="shared" si="2"/>
        <v>2211.027</v>
      </c>
      <c r="Q63" s="59">
        <f t="shared" si="3"/>
        <v>2389.2263636363637</v>
      </c>
      <c r="R63" s="272">
        <f t="shared" si="4"/>
        <v>2628.1490000000003</v>
      </c>
      <c r="S63" s="40">
        <f>'Tariffs Jan2023'!AN57</f>
        <v>12</v>
      </c>
      <c r="T63" s="40">
        <f>'Tariffs Jan2023'!AO57</f>
        <v>0</v>
      </c>
      <c r="U63" s="40">
        <f>'Tariffs Jan2023'!AP57</f>
        <v>0</v>
      </c>
      <c r="V63" s="40">
        <f>'Tariffs Jan2023'!AQ57</f>
        <v>0</v>
      </c>
      <c r="W63" s="537" t="str">
        <f t="shared" si="75"/>
        <v>Guaranteed off bill</v>
      </c>
      <c r="X63" s="538" t="str">
        <f t="shared" si="76"/>
        <v>Exclusive</v>
      </c>
      <c r="Y63" s="534">
        <f t="shared" ref="Y63" si="77">IF(AND(W63="Guaranteed off bill",X63="Inclusive"),((Q63*1.1)-((Q63*1.1)*S63/100))/1.1,IF(AND(W63="Guaranteed off usage",X63="Inclusive"),((Q63*1.1)-((P63*1.1)*T63/100))/1.1,IF(AND(W63="Guaranteed off bill",X63="Exclusive"),Q63-(Q63*S63/100),IF(AND(W63="Guaranteed off usage",X63="Exclusive"),Q63-(P63*T63/100),IF(X63="Inclusive",((Q63*1.1))/1.1,Q63)))))</f>
        <v>2102.5192000000002</v>
      </c>
      <c r="Z63" s="535">
        <f t="shared" ref="Z63" si="78">IF(AND(W63="Pay-on-time off bill",X63="Inclusive"),((Y63*1.1)-((Y63*1.1)*U63/100))/1.1,IF(AND(W63="Pay-on-time off usage",X63="Inclusive"),((Y63*1.1)-((P63*1.1)*V63/100))/1.1,IF(AND(W63="Pay-on-time off bill",X63="Exclusive"),Y63-(Y63*U63/100),IF(AND(W63="Pay-on-time off usage",X63="Exclusive"),Y63-(P63*V63/100),IF(X63="Inclusive",((Y63*1.1))/1.1,Y63)))))</f>
        <v>2102.5192000000002</v>
      </c>
      <c r="AA63" s="542">
        <f t="shared" si="65"/>
        <v>2312.7711200000003</v>
      </c>
      <c r="AB63" s="609">
        <f t="shared" si="65"/>
        <v>2312.7711200000003</v>
      </c>
      <c r="AC63" s="604"/>
      <c r="AD63" s="604"/>
      <c r="AE63" s="604"/>
      <c r="AF63" s="604"/>
      <c r="AG63" s="604"/>
      <c r="AH63" s="604"/>
      <c r="AI63" s="604"/>
      <c r="AJ63" s="604"/>
      <c r="AK63" s="604"/>
      <c r="AL63" s="604"/>
      <c r="AM63" s="604"/>
      <c r="AN63" s="604"/>
      <c r="AO63" s="604"/>
      <c r="AP63" s="604"/>
      <c r="AQ63" s="604"/>
      <c r="AR63" s="604"/>
      <c r="AS63" s="604"/>
      <c r="AT63" s="604"/>
    </row>
    <row r="64" spans="1:46" ht="14" x14ac:dyDescent="0.15">
      <c r="A64" s="270" t="str">
        <f>'Tariffs Jan2023'!F58</f>
        <v>Lumo Energy</v>
      </c>
      <c r="B64" s="40" t="str">
        <f>'Tariffs Jan2023'!D58</f>
        <v>AGN Central 1</v>
      </c>
      <c r="C64" s="40" t="str">
        <f>'Tariffs Jan2023'!G58</f>
        <v>Value</v>
      </c>
      <c r="D64" s="59">
        <f>365*'Tariffs Jan2023'!H58/100</f>
        <v>275.93999999999994</v>
      </c>
      <c r="E64" s="59">
        <f>IF($C$5*'Tariffs Jan2023'!AK58/'Tariffs Jan2023'!AI58&gt;='Tariffs Jan2023'!J58,( 'Tariffs Jan2023'!J58*'Tariffs Jan2023'!O58/100)* 'Tariffs Jan2023'!AI58,($C$5*'Tariffs Jan2023'!AK58/'Tariffs Jan2023'!AI58*'Tariffs Jan2023'!O58/100)* 'Tariffs Jan2023'!AI58)</f>
        <v>170.03318181818179</v>
      </c>
      <c r="F64" s="59">
        <f>IF($C$5*'Tariffs Jan2023'!AK58/'Tariffs Jan2023'!AI58&lt;'Tariffs Jan2023'!J58,0,IF($C$5*'Tariffs Jan2023'!AK58/'Tariffs Jan2023'!AI58&lt;='Tariffs Jan2023'!K58,($C$5*'Tariffs Jan2023'!AK58/'Tariffs Jan2023'!AI58-'Tariffs Jan2023'!J58)*('Tariffs Jan2023'!P58/100)*'Tariffs Jan2023'!AI58,('Tariffs Jan2023'!K58-'Tariffs Jan2023'!J58)*('Tariffs Jan2023'!P58/100)*'Tariffs Jan2023'!AI58))</f>
        <v>117.14590909090907</v>
      </c>
      <c r="G64" s="59">
        <f>IF($C$5*'Tariffs Jan2023'!AK58/'Tariffs Jan2023'!AI58&lt;'Tariffs Jan2023'!K58,0,IF($C$5*'Tariffs Jan2023'!AK58/'Tariffs Jan2023'!AI58&lt;='Tariffs Jan2023'!L58,($C$5*'Tariffs Jan2023'!AK58/'Tariffs Jan2023'!AI58-'Tariffs Jan2023'!K58)*('Tariffs Jan2023'!Q58/100)*'Tariffs Jan2023'!AI58,('Tariffs Jan2023'!L58-'Tariffs Jan2023'!K58)*('Tariffs Jan2023'!Q58/100)*'Tariffs Jan2023'!AI58))</f>
        <v>0</v>
      </c>
      <c r="H64" s="59">
        <f>IF($C$5*'Tariffs Jan2023'!AK58/'Tariffs Jan2023'!AI58&lt;'Tariffs Jan2023'!L58,0,IF($C$5*'Tariffs Jan2023'!AK58/'Tariffs Jan2023'!AI58&lt;='Tariffs Jan2023'!M58,($C$5*'Tariffs Jan2023'!AK58/'Tariffs Jan2023'!AI58-'Tariffs Jan2023'!L58)*('Tariffs Jan2023'!R58/100)*'Tariffs Jan2023'!AI58,('Tariffs Jan2023'!M58-'Tariffs Jan2023'!L58)*('Tariffs Jan2023'!R58/100)*'Tariffs Jan2023'!AI58))</f>
        <v>0</v>
      </c>
      <c r="I64" s="59">
        <f>IF(($C$5*'Tariffs Jan2023'!AK58/'Tariffs Jan2023'!AI58&gt;'Tariffs Jan2023'!M58),($C$5*'Tariffs Jan2023'!AK58/'Tariffs Jan2023'!AI58-'Tariffs Jan2023'!M58)*'Tariffs Jan2023'!S58/100*'Tariffs Jan2023'!AI58,0)</f>
        <v>564.5454545454545</v>
      </c>
      <c r="J64" s="59">
        <f>IF($C$5*'Tariffs Jan2023'!AL58/'Tariffs Jan2023'!AJ58&gt;='Tariffs Jan2023'!J58,('Tariffs Jan2023'!J58*'Tariffs Jan2023'!U58/100)* 'Tariffs Jan2023'!AJ58,($C$5*'Tariffs Jan2023'!AL58/'Tariffs Jan2023'!AJ58*'Tariffs Jan2023'!U58/100)* 'Tariffs Jan2023'!AJ58)</f>
        <v>170.03318181818179</v>
      </c>
      <c r="K64" s="59">
        <f>IF($C$5*'Tariffs Jan2023'!AL58/'Tariffs Jan2023'!AJ58&lt;'Tariffs Jan2023'!J58,0,IF($C$5*'Tariffs Jan2023'!AL58/'Tariffs Jan2023'!AJ58&lt;='Tariffs Jan2023'!K58,($C$5*'Tariffs Jan2023'!AL58/'Tariffs Jan2023'!AJ58-'Tariffs Jan2023'!J58)*('Tariffs Jan2023'!V58/100)*'Tariffs Jan2023'!AJ58,('Tariffs Jan2023'!K58-'Tariffs Jan2023'!J58)*('Tariffs Jan2023'!V58/100)*'Tariffs Jan2023'!AJ58))</f>
        <v>117.14590909090907</v>
      </c>
      <c r="L64" s="59">
        <f>IF($C$5*'Tariffs Jan2023'!AL58/'Tariffs Jan2023'!AJ58&lt;'Tariffs Jan2023'!K58,0,IF($C$5*'Tariffs Jan2023'!AL58/'Tariffs Jan2023'!AJ58&lt;='Tariffs Jan2023'!L58,($C$5*'Tariffs Jan2023'!AL58/'Tariffs Jan2023'!AJ58-'Tariffs Jan2023'!K58)*('Tariffs Jan2023'!W58/100)*'Tariffs Jan2023'!AJ58,('Tariffs Jan2023'!L58-'Tariffs Jan2023'!K58)*('Tariffs Jan2023'!W58/100)*'Tariffs Jan2023'!AJ58))</f>
        <v>0</v>
      </c>
      <c r="M64" s="59">
        <f>IF($C$5*'Tariffs Jan2023'!AL58/'Tariffs Jan2023'!AJ58&lt;'Tariffs Jan2023'!L58,0,IF($C$5*'Tariffs Jan2023'!AL58/'Tariffs Jan2023'!AJ58&lt;='Tariffs Jan2023'!M58,($C$5*'Tariffs Jan2023'!AL58/'Tariffs Jan2023'!AJ58-'Tariffs Jan2023'!L58)*('Tariffs Jan2023'!X58/100)*'Tariffs Jan2023'!AJ58,('Tariffs Jan2023'!M58-'Tariffs Jan2023'!L58)*('Tariffs Jan2023'!X58/100)*'Tariffs Jan2023'!AJ58))</f>
        <v>0</v>
      </c>
      <c r="N64" s="59">
        <f>IF(($C$5*'Tariffs Jan2023'!AL58/'Tariffs Jan2023'!AJ58&gt;'Tariffs Jan2023'!M58),($C$5*'Tariffs Jan2023'!AL58/'Tariffs Jan2023'!AJ58-'Tariffs Jan2023'!M58)*'Tariffs Jan2023'!Y58/100*'Tariffs Jan2023'!AJ58,0)</f>
        <v>564.5454545454545</v>
      </c>
      <c r="O64" s="59">
        <f t="shared" si="1"/>
        <v>1703.4490909090907</v>
      </c>
      <c r="P64" s="503">
        <f t="shared" si="2"/>
        <v>1873.7939999999999</v>
      </c>
      <c r="Q64" s="59">
        <f t="shared" si="3"/>
        <v>1979.3890909090906</v>
      </c>
      <c r="R64" s="272">
        <f t="shared" si="4"/>
        <v>2177.328</v>
      </c>
      <c r="S64" s="40">
        <f>'Tariffs Jan2023'!AN58</f>
        <v>0</v>
      </c>
      <c r="T64" s="40">
        <f>'Tariffs Jan2023'!AO58</f>
        <v>0</v>
      </c>
      <c r="U64" s="40">
        <f>'Tariffs Jan2023'!AP58</f>
        <v>0</v>
      </c>
      <c r="V64" s="40">
        <f>'Tariffs Jan2023'!AQ58</f>
        <v>0</v>
      </c>
      <c r="W64" s="537" t="str">
        <f t="shared" si="75"/>
        <v>No discount</v>
      </c>
      <c r="X64" s="538" t="str">
        <f t="shared" si="76"/>
        <v>Exclusive</v>
      </c>
      <c r="Y64" s="534">
        <f>IF(AND(W64="Guaranteed off bill",X64="Inclusive"),((Q64*1.1)-((Q64*1.1)*S64/100))/1.1,IF(AND(W64="Guaranteed off usage",X64="Inclusive"),((Q64*1.1)-((P64*1.1)*T64/100))/1.1,IF(AND(W64="Guaranteed off bill",X64="Exclusive"),Q64-(Q64*S64/100),IF(AND(W64="Guaranteed off usage",X64="Exclusive"),Q64-(P64*T64/100),IF(X64="Inclusive",((Q64*1.1))/1.1,Q64)))))</f>
        <v>1979.3890909090906</v>
      </c>
      <c r="Z64" s="535">
        <f>IF(AND(W64="Pay-on-time off bill",X64="Inclusive"),((Y64*1.1)-((Y64*1.1)*U64/100))/1.1,IF(AND(W64="Pay-on-time off usage",X64="Inclusive"),((Y64*1.1)-((P64*1.1)*V64/100))/1.1,IF(AND(W64="Pay-on-time off bill",X64="Exclusive"),Y64-(Y64*U64/100),IF(AND(W64="Pay-on-time off usage",X64="Exclusive"),Y64-(P64*V64/100),IF(X64="Inclusive",((Y64*1.1))/1.1,Y64)))))</f>
        <v>1979.3890909090906</v>
      </c>
      <c r="AA64" s="542">
        <f t="shared" si="65"/>
        <v>2177.328</v>
      </c>
      <c r="AB64" s="609">
        <f t="shared" si="65"/>
        <v>2177.328</v>
      </c>
      <c r="AC64" s="604"/>
      <c r="AD64" s="604"/>
      <c r="AE64" s="604"/>
      <c r="AF64" s="604"/>
      <c r="AG64" s="604"/>
      <c r="AH64" s="604"/>
      <c r="AI64" s="604"/>
      <c r="AJ64" s="604"/>
      <c r="AK64" s="604"/>
      <c r="AL64" s="604"/>
      <c r="AM64" s="604"/>
      <c r="AN64" s="604"/>
      <c r="AO64" s="604"/>
      <c r="AP64" s="604"/>
      <c r="AQ64" s="604"/>
      <c r="AR64" s="604"/>
      <c r="AS64" s="604"/>
      <c r="AT64" s="604"/>
    </row>
    <row r="65" spans="1:46" ht="14" x14ac:dyDescent="0.15">
      <c r="A65" s="270" t="str">
        <f>'Tariffs Jan2023'!F59</f>
        <v>Origin Energy</v>
      </c>
      <c r="B65" s="40" t="str">
        <f>'Tariffs Jan2023'!D59</f>
        <v>AGN Central 1</v>
      </c>
      <c r="C65" s="40" t="str">
        <f>'Tariffs Jan2023'!G59</f>
        <v>Go Variable</v>
      </c>
      <c r="D65" s="59">
        <f>365*'Tariffs Jan2023'!H59/100</f>
        <v>272.09090909090907</v>
      </c>
      <c r="E65" s="59">
        <f>IF($C$5*'Tariffs Jan2023'!AK59/'Tariffs Jan2023'!AI59&gt;='Tariffs Jan2023'!J59,( 'Tariffs Jan2023'!J59*'Tariffs Jan2023'!O59/100)* 'Tariffs Jan2023'!AI59,($C$5*'Tariffs Jan2023'!AK59/'Tariffs Jan2023'!AI59*'Tariffs Jan2023'!O59/100)* 'Tariffs Jan2023'!AI59)</f>
        <v>454.90909090909088</v>
      </c>
      <c r="F65" s="59">
        <f>IF($C$5*'Tariffs Jan2023'!AK59/'Tariffs Jan2023'!AI59&lt;'Tariffs Jan2023'!J59,0,IF($C$5*'Tariffs Jan2023'!AK59/'Tariffs Jan2023'!AI59&lt;='Tariffs Jan2023'!K59,($C$5*'Tariffs Jan2023'!AK59/'Tariffs Jan2023'!AI59-'Tariffs Jan2023'!J59)*('Tariffs Jan2023'!P59/100)*'Tariffs Jan2023'!AI59,('Tariffs Jan2023'!K59-'Tariffs Jan2023'!J59)*('Tariffs Jan2023'!P59/100)*'Tariffs Jan2023'!AI59))</f>
        <v>325.22727272727269</v>
      </c>
      <c r="G65" s="59">
        <f>IF($C$5*'Tariffs Jan2023'!AK59/'Tariffs Jan2023'!AI59&lt;'Tariffs Jan2023'!K59,0,IF($C$5*'Tariffs Jan2023'!AK59/'Tariffs Jan2023'!AI59&lt;='Tariffs Jan2023'!L59,($C$5*'Tariffs Jan2023'!AK59/'Tariffs Jan2023'!AI59-'Tariffs Jan2023'!K59)*('Tariffs Jan2023'!Q59/100)*'Tariffs Jan2023'!AI59,('Tariffs Jan2023'!L59-'Tariffs Jan2023'!K59)*('Tariffs Jan2023'!Q59/100)*'Tariffs Jan2023'!AI59))</f>
        <v>0</v>
      </c>
      <c r="H65" s="59">
        <f>IF($C$5*'Tariffs Jan2023'!AK59/'Tariffs Jan2023'!AI59&lt;'Tariffs Jan2023'!L59,0,IF($C$5*'Tariffs Jan2023'!AK59/'Tariffs Jan2023'!AI59&lt;='Tariffs Jan2023'!M59,($C$5*'Tariffs Jan2023'!AK59/'Tariffs Jan2023'!AI59-'Tariffs Jan2023'!L59)*('Tariffs Jan2023'!R59/100)*'Tariffs Jan2023'!AI59,('Tariffs Jan2023'!M59-'Tariffs Jan2023'!L59)*('Tariffs Jan2023'!R59/100)*'Tariffs Jan2023'!AI59))</f>
        <v>0</v>
      </c>
      <c r="I65" s="59">
        <f>IF(($C$5*'Tariffs Jan2023'!AK59/'Tariffs Jan2023'!AI59&gt;'Tariffs Jan2023'!M59),($C$5*'Tariffs Jan2023'!AK59/'Tariffs Jan2023'!AI59-'Tariffs Jan2023'!M59)*'Tariffs Jan2023'!S59/100*'Tariffs Jan2023'!AI59,0)</f>
        <v>0</v>
      </c>
      <c r="J65" s="59">
        <f>IF($C$5*'Tariffs Jan2023'!AL59/'Tariffs Jan2023'!AJ59&gt;='Tariffs Jan2023'!J59,('Tariffs Jan2023'!J59*'Tariffs Jan2023'!U59/100)* 'Tariffs Jan2023'!AJ59,($C$5*'Tariffs Jan2023'!AL59/'Tariffs Jan2023'!AJ59*'Tariffs Jan2023'!U59/100)* 'Tariffs Jan2023'!AJ59)</f>
        <v>454.90909090909088</v>
      </c>
      <c r="K65" s="59">
        <f>IF($C$5*'Tariffs Jan2023'!AL59/'Tariffs Jan2023'!AJ59&lt;'Tariffs Jan2023'!J59,0,IF($C$5*'Tariffs Jan2023'!AL59/'Tariffs Jan2023'!AJ59&lt;='Tariffs Jan2023'!K59,($C$5*'Tariffs Jan2023'!AL59/'Tariffs Jan2023'!AJ59-'Tariffs Jan2023'!J59)*('Tariffs Jan2023'!V59/100)*'Tariffs Jan2023'!AJ59,('Tariffs Jan2023'!K59-'Tariffs Jan2023'!J59)*('Tariffs Jan2023'!V59/100)*'Tariffs Jan2023'!AJ59))</f>
        <v>325.22727272727269</v>
      </c>
      <c r="L65" s="59">
        <f>IF($C$5*'Tariffs Jan2023'!AL59/'Tariffs Jan2023'!AJ59&lt;'Tariffs Jan2023'!K59,0,IF($C$5*'Tariffs Jan2023'!AL59/'Tariffs Jan2023'!AJ59&lt;='Tariffs Jan2023'!L59,($C$5*'Tariffs Jan2023'!AL59/'Tariffs Jan2023'!AJ59-'Tariffs Jan2023'!K59)*('Tariffs Jan2023'!W59/100)*'Tariffs Jan2023'!AJ59,('Tariffs Jan2023'!L59-'Tariffs Jan2023'!K59)*('Tariffs Jan2023'!W59/100)*'Tariffs Jan2023'!AJ59))</f>
        <v>0</v>
      </c>
      <c r="M65" s="59">
        <f>IF($C$5*'Tariffs Jan2023'!AL59/'Tariffs Jan2023'!AJ59&lt;'Tariffs Jan2023'!L59,0,IF($C$5*'Tariffs Jan2023'!AL59/'Tariffs Jan2023'!AJ59&lt;='Tariffs Jan2023'!M59,($C$5*'Tariffs Jan2023'!AL59/'Tariffs Jan2023'!AJ59-'Tariffs Jan2023'!L59)*('Tariffs Jan2023'!X59/100)*'Tariffs Jan2023'!AJ59,('Tariffs Jan2023'!M59-'Tariffs Jan2023'!L59)*('Tariffs Jan2023'!X59/100)*'Tariffs Jan2023'!AJ59))</f>
        <v>0</v>
      </c>
      <c r="N65" s="59">
        <f>IF(($C$5*'Tariffs Jan2023'!AL59/'Tariffs Jan2023'!AJ59&gt;'Tariffs Jan2023'!M59),($C$5*'Tariffs Jan2023'!AL59/'Tariffs Jan2023'!AJ59-'Tariffs Jan2023'!M59)*'Tariffs Jan2023'!Y59/100*'Tariffs Jan2023'!AJ59,0)</f>
        <v>0</v>
      </c>
      <c r="O65" s="59">
        <f t="shared" si="1"/>
        <v>1560.2727272727273</v>
      </c>
      <c r="P65" s="503">
        <f t="shared" si="2"/>
        <v>1716.3000000000002</v>
      </c>
      <c r="Q65" s="59">
        <f t="shared" si="3"/>
        <v>1832.3636363636363</v>
      </c>
      <c r="R65" s="272">
        <f t="shared" si="4"/>
        <v>2015.6000000000001</v>
      </c>
      <c r="S65" s="40">
        <f>'Tariffs Jan2023'!AN59</f>
        <v>0</v>
      </c>
      <c r="T65" s="40">
        <f>'Tariffs Jan2023'!AO59</f>
        <v>0</v>
      </c>
      <c r="U65" s="40">
        <f>'Tariffs Jan2023'!AP59</f>
        <v>0</v>
      </c>
      <c r="V65" s="40">
        <f>'Tariffs Jan2023'!AQ59</f>
        <v>0</v>
      </c>
      <c r="W65" s="537" t="str">
        <f t="shared" si="75"/>
        <v>No discount</v>
      </c>
      <c r="X65" s="538" t="str">
        <f t="shared" si="76"/>
        <v>Inclusive</v>
      </c>
      <c r="Y65" s="534">
        <f>IF(AND(W65="Guaranteed off bill",X65="Inclusive"),((Q65*1.1)-((Q65*1.1)*S65/100))/1.1,IF(AND(W65="Guaranteed off usage",X65="Inclusive"),((Q65*1.1)-((P65*1.1)*T65/100))/1.1,IF(AND(W65="Guaranteed off bill",X65="Exclusive"),Q65-(Q65*S65/100),IF(AND(W65="Guaranteed off usage",X65="Exclusive"),Q65-(P65*T65/100),IF(X65="Inclusive",((Q65*1.1))/1.1,Q65)))))</f>
        <v>1832.3636363636363</v>
      </c>
      <c r="Z65" s="535">
        <f>IF(AND(W65="Pay-on-time off bill",X65="Inclusive"),((Y65*1.1)-((Y65*1.1)*U65/100))/1.1,IF(AND(W65="Pay-on-time off usage",X65="Inclusive"),((Y65*1.1)-((P65*1.1)*V65/100))/1.1,IF(AND(W65="Pay-on-time off bill",X65="Exclusive"),Y65-(Y65*U65/100),IF(AND(W65="Pay-on-time off usage",X65="Exclusive"),Y65-(P65*V65/100),IF(X65="Inclusive",((Y65*1.1))/1.1,Y65)))))</f>
        <v>1832.3636363636363</v>
      </c>
      <c r="AA65" s="542">
        <f t="shared" si="65"/>
        <v>2015.6000000000001</v>
      </c>
      <c r="AB65" s="609">
        <f t="shared" si="65"/>
        <v>2015.6000000000001</v>
      </c>
      <c r="AC65" s="604"/>
      <c r="AD65" s="604"/>
      <c r="AE65" s="604"/>
      <c r="AF65" s="604"/>
      <c r="AG65" s="604"/>
      <c r="AH65" s="604"/>
      <c r="AI65" s="604"/>
      <c r="AJ65" s="604"/>
      <c r="AK65" s="604"/>
      <c r="AL65" s="604"/>
      <c r="AM65" s="604"/>
      <c r="AN65" s="604"/>
      <c r="AO65" s="604"/>
      <c r="AP65" s="604"/>
      <c r="AQ65" s="604"/>
      <c r="AR65" s="604"/>
      <c r="AS65" s="604"/>
      <c r="AT65" s="604"/>
    </row>
    <row r="66" spans="1:46" ht="14" x14ac:dyDescent="0.15">
      <c r="A66" s="270" t="str">
        <f>'Tariffs Jan2023'!F60</f>
        <v>Red Energy</v>
      </c>
      <c r="B66" s="40" t="str">
        <f>'Tariffs Jan2023'!D60</f>
        <v>AGN Central 1</v>
      </c>
      <c r="C66" s="40" t="str">
        <f>'Tariffs Jan2023'!G60</f>
        <v>Living Energy Saver</v>
      </c>
      <c r="D66" s="59">
        <f>365*'Tariffs Jan2023'!H60/100</f>
        <v>275.93999999999994</v>
      </c>
      <c r="E66" s="59">
        <f>IF($C$5*'Tariffs Jan2023'!AK60/'Tariffs Jan2023'!AI60&gt;='Tariffs Jan2023'!J60,( 'Tariffs Jan2023'!J60*'Tariffs Jan2023'!O60/100)* 'Tariffs Jan2023'!AI60,($C$5*'Tariffs Jan2023'!AK60/'Tariffs Jan2023'!AI60*'Tariffs Jan2023'!O60/100)* 'Tariffs Jan2023'!AI60)</f>
        <v>160.61181818181817</v>
      </c>
      <c r="F66" s="59">
        <f>IF($C$5*'Tariffs Jan2023'!AK60/'Tariffs Jan2023'!AI60&lt;'Tariffs Jan2023'!J60,0,IF($C$5*'Tariffs Jan2023'!AK60/'Tariffs Jan2023'!AI60&lt;='Tariffs Jan2023'!K60,($C$5*'Tariffs Jan2023'!AK60/'Tariffs Jan2023'!AI60-'Tariffs Jan2023'!J60)*('Tariffs Jan2023'!P60/100)*'Tariffs Jan2023'!AI60,('Tariffs Jan2023'!K60-'Tariffs Jan2023'!J60)*('Tariffs Jan2023'!P60/100)*'Tariffs Jan2023'!AI60))</f>
        <v>107.9072727272727</v>
      </c>
      <c r="G66" s="59">
        <f>IF($C$5*'Tariffs Jan2023'!AK60/'Tariffs Jan2023'!AI60&lt;'Tariffs Jan2023'!K60,0,IF($C$5*'Tariffs Jan2023'!AK60/'Tariffs Jan2023'!AI60&lt;='Tariffs Jan2023'!L60,($C$5*'Tariffs Jan2023'!AK60/'Tariffs Jan2023'!AI60-'Tariffs Jan2023'!K60)*('Tariffs Jan2023'!Q60/100)*'Tariffs Jan2023'!AI60,('Tariffs Jan2023'!L60-'Tariffs Jan2023'!K60)*('Tariffs Jan2023'!Q60/100)*'Tariffs Jan2023'!AI60))</f>
        <v>0</v>
      </c>
      <c r="H66" s="59">
        <f>IF($C$5*'Tariffs Jan2023'!AK60/'Tariffs Jan2023'!AI60&lt;'Tariffs Jan2023'!L60,0,IF($C$5*'Tariffs Jan2023'!AK60/'Tariffs Jan2023'!AI60&lt;='Tariffs Jan2023'!M60,($C$5*'Tariffs Jan2023'!AK60/'Tariffs Jan2023'!AI60-'Tariffs Jan2023'!L60)*('Tariffs Jan2023'!R60/100)*'Tariffs Jan2023'!AI60,('Tariffs Jan2023'!M60-'Tariffs Jan2023'!L60)*('Tariffs Jan2023'!R60/100)*'Tariffs Jan2023'!AI60))</f>
        <v>0</v>
      </c>
      <c r="I66" s="59">
        <f>IF(($C$5*'Tariffs Jan2023'!AK60/'Tariffs Jan2023'!AI60&gt;'Tariffs Jan2023'!M60),($C$5*'Tariffs Jan2023'!AK60/'Tariffs Jan2023'!AI60-'Tariffs Jan2023'!M60)*'Tariffs Jan2023'!S60/100*'Tariffs Jan2023'!AI60,0)</f>
        <v>507.27272727272725</v>
      </c>
      <c r="J66" s="59">
        <f>IF($C$5*'Tariffs Jan2023'!AL60/'Tariffs Jan2023'!AJ60&gt;='Tariffs Jan2023'!J60,('Tariffs Jan2023'!J60*'Tariffs Jan2023'!U60/100)* 'Tariffs Jan2023'!AJ60,($C$5*'Tariffs Jan2023'!AL60/'Tariffs Jan2023'!AJ60*'Tariffs Jan2023'!U60/100)* 'Tariffs Jan2023'!AJ60)</f>
        <v>160.61181818181817</v>
      </c>
      <c r="K66" s="59">
        <f>IF($C$5*'Tariffs Jan2023'!AL60/'Tariffs Jan2023'!AJ60&lt;'Tariffs Jan2023'!J60,0,IF($C$5*'Tariffs Jan2023'!AL60/'Tariffs Jan2023'!AJ60&lt;='Tariffs Jan2023'!K60,($C$5*'Tariffs Jan2023'!AL60/'Tariffs Jan2023'!AJ60-'Tariffs Jan2023'!J60)*('Tariffs Jan2023'!V60/100)*'Tariffs Jan2023'!AJ60,('Tariffs Jan2023'!K60-'Tariffs Jan2023'!J60)*('Tariffs Jan2023'!V60/100)*'Tariffs Jan2023'!AJ60))</f>
        <v>107.9072727272727</v>
      </c>
      <c r="L66" s="59">
        <f>IF($C$5*'Tariffs Jan2023'!AL60/'Tariffs Jan2023'!AJ60&lt;'Tariffs Jan2023'!K60,0,IF($C$5*'Tariffs Jan2023'!AL60/'Tariffs Jan2023'!AJ60&lt;='Tariffs Jan2023'!L60,($C$5*'Tariffs Jan2023'!AL60/'Tariffs Jan2023'!AJ60-'Tariffs Jan2023'!K60)*('Tariffs Jan2023'!W60/100)*'Tariffs Jan2023'!AJ60,('Tariffs Jan2023'!L60-'Tariffs Jan2023'!K60)*('Tariffs Jan2023'!W60/100)*'Tariffs Jan2023'!AJ60))</f>
        <v>0</v>
      </c>
      <c r="M66" s="59">
        <f>IF($C$5*'Tariffs Jan2023'!AL60/'Tariffs Jan2023'!AJ60&lt;'Tariffs Jan2023'!L60,0,IF($C$5*'Tariffs Jan2023'!AL60/'Tariffs Jan2023'!AJ60&lt;='Tariffs Jan2023'!M60,($C$5*'Tariffs Jan2023'!AL60/'Tariffs Jan2023'!AJ60-'Tariffs Jan2023'!L60)*('Tariffs Jan2023'!X60/100)*'Tariffs Jan2023'!AJ60,('Tariffs Jan2023'!M60-'Tariffs Jan2023'!L60)*('Tariffs Jan2023'!X60/100)*'Tariffs Jan2023'!AJ60))</f>
        <v>0</v>
      </c>
      <c r="N66" s="59">
        <f>IF(($C$5*'Tariffs Jan2023'!AL60/'Tariffs Jan2023'!AJ60&gt;'Tariffs Jan2023'!M60),($C$5*'Tariffs Jan2023'!AL60/'Tariffs Jan2023'!AJ60-'Tariffs Jan2023'!M60)*'Tariffs Jan2023'!Y60/100*'Tariffs Jan2023'!AJ60,0)</f>
        <v>507.27272727272725</v>
      </c>
      <c r="O66" s="59">
        <f t="shared" si="1"/>
        <v>1551.5836363636363</v>
      </c>
      <c r="P66" s="503">
        <f t="shared" si="2"/>
        <v>1706.742</v>
      </c>
      <c r="Q66" s="59">
        <f t="shared" si="3"/>
        <v>1827.5236363636363</v>
      </c>
      <c r="R66" s="272">
        <f t="shared" si="4"/>
        <v>2010.2760000000001</v>
      </c>
      <c r="S66" s="40">
        <f>'Tariffs Jan2023'!AN60</f>
        <v>0</v>
      </c>
      <c r="T66" s="40">
        <f>'Tariffs Jan2023'!AO60</f>
        <v>0</v>
      </c>
      <c r="U66" s="40">
        <f>'Tariffs Jan2023'!AP60</f>
        <v>0</v>
      </c>
      <c r="V66" s="40">
        <f>'Tariffs Jan2023'!AQ60</f>
        <v>0</v>
      </c>
      <c r="W66" s="537" t="str">
        <f t="shared" si="75"/>
        <v>No discount</v>
      </c>
      <c r="X66" s="538" t="str">
        <f t="shared" si="76"/>
        <v>Inclusive</v>
      </c>
      <c r="Y66" s="534">
        <f t="shared" ref="Y66:Y68" si="79">IF(AND(W66="Guaranteed off bill",X66="Inclusive"),((Q66*1.1)-((Q66*1.1)*S66/100))/1.1,IF(AND(W66="Guaranteed off usage",X66="Inclusive"),((Q66*1.1)-((P66*1.1)*T66/100))/1.1,IF(AND(W66="Guaranteed off bill",X66="Exclusive"),Q66-(Q66*S66/100),IF(AND(W66="Guaranteed off usage",X66="Exclusive"),Q66-(P66*T66/100),IF(X66="Inclusive",((Q66*1.1))/1.1,Q66)))))</f>
        <v>1827.5236363636363</v>
      </c>
      <c r="Z66" s="535">
        <f t="shared" ref="Z66:Z68" si="80">IF(AND(W66="Pay-on-time off bill",X66="Inclusive"),((Y66*1.1)-((Y66*1.1)*U66/100))/1.1,IF(AND(W66="Pay-on-time off usage",X66="Inclusive"),((Y66*1.1)-((P66*1.1)*V66/100))/1.1,IF(AND(W66="Pay-on-time off bill",X66="Exclusive"),Y66-(Y66*U66/100),IF(AND(W66="Pay-on-time off usage",X66="Exclusive"),Y66-(P66*V66/100),IF(X66="Inclusive",((Y66*1.1))/1.1,Y66)))))</f>
        <v>1827.5236363636363</v>
      </c>
      <c r="AA66" s="542">
        <f t="shared" si="65"/>
        <v>2010.2760000000001</v>
      </c>
      <c r="AB66" s="609">
        <f t="shared" si="65"/>
        <v>2010.2760000000001</v>
      </c>
      <c r="AC66" s="604"/>
      <c r="AD66" s="604"/>
      <c r="AE66" s="604"/>
      <c r="AF66" s="604"/>
      <c r="AG66" s="604"/>
      <c r="AH66" s="604"/>
      <c r="AI66" s="604"/>
      <c r="AJ66" s="604"/>
      <c r="AK66" s="604"/>
      <c r="AL66" s="604"/>
      <c r="AM66" s="604"/>
      <c r="AN66" s="604"/>
      <c r="AO66" s="604"/>
      <c r="AP66" s="604"/>
      <c r="AQ66" s="604"/>
      <c r="AR66" s="604"/>
      <c r="AS66" s="604"/>
      <c r="AT66" s="604"/>
    </row>
    <row r="67" spans="1:46" ht="14" x14ac:dyDescent="0.15">
      <c r="A67" s="270" t="str">
        <f>'Tariffs Jan2023'!F61</f>
        <v>Simply Energy</v>
      </c>
      <c r="B67" s="40" t="str">
        <f>'Tariffs Jan2023'!D61</f>
        <v>AGN Central 1</v>
      </c>
      <c r="C67" s="40" t="str">
        <f>'Tariffs Jan2023'!G61</f>
        <v>Stay Plus</v>
      </c>
      <c r="D67" s="59">
        <f>365*'Tariffs Jan2023'!H61/100</f>
        <v>281.68045454545455</v>
      </c>
      <c r="E67" s="59">
        <f>IF($C$5*'Tariffs Jan2023'!AK61/'Tariffs Jan2023'!AI61&gt;='Tariffs Jan2023'!J61,( 'Tariffs Jan2023'!J61*'Tariffs Jan2023'!O61/100)* 'Tariffs Jan2023'!AI61,($C$5*'Tariffs Jan2023'!AK61/'Tariffs Jan2023'!AI61*'Tariffs Jan2023'!O61/100)* 'Tariffs Jan2023'!AI61)</f>
        <v>180.35181818181815</v>
      </c>
      <c r="F67" s="59">
        <f>IF($C$5*'Tariffs Jan2023'!AK61/'Tariffs Jan2023'!AI61&lt;'Tariffs Jan2023'!J61,0,IF($C$5*'Tariffs Jan2023'!AK61/'Tariffs Jan2023'!AI61&lt;='Tariffs Jan2023'!K61,($C$5*'Tariffs Jan2023'!AK61/'Tariffs Jan2023'!AI61-'Tariffs Jan2023'!J61)*('Tariffs Jan2023'!P61/100)*'Tariffs Jan2023'!AI61,('Tariffs Jan2023'!K61-'Tariffs Jan2023'!J61)*('Tariffs Jan2023'!P61/100)*'Tariffs Jan2023'!AI61))</f>
        <v>124.90636363636364</v>
      </c>
      <c r="G67" s="59">
        <f>IF($C$5*'Tariffs Jan2023'!AK61/'Tariffs Jan2023'!AI61&lt;'Tariffs Jan2023'!K61,0,IF($C$5*'Tariffs Jan2023'!AK61/'Tariffs Jan2023'!AI61&lt;='Tariffs Jan2023'!L61,($C$5*'Tariffs Jan2023'!AK61/'Tariffs Jan2023'!AI61-'Tariffs Jan2023'!K61)*('Tariffs Jan2023'!Q61/100)*'Tariffs Jan2023'!AI61,('Tariffs Jan2023'!L61-'Tariffs Jan2023'!K61)*('Tariffs Jan2023'!Q61/100)*'Tariffs Jan2023'!AI61))</f>
        <v>0</v>
      </c>
      <c r="H67" s="59">
        <f>IF($C$5*'Tariffs Jan2023'!AK61/'Tariffs Jan2023'!AI61&lt;'Tariffs Jan2023'!L61,0,IF($C$5*'Tariffs Jan2023'!AK61/'Tariffs Jan2023'!AI61&lt;='Tariffs Jan2023'!M61,($C$5*'Tariffs Jan2023'!AK61/'Tariffs Jan2023'!AI61-'Tariffs Jan2023'!L61)*('Tariffs Jan2023'!R61/100)*'Tariffs Jan2023'!AI61,('Tariffs Jan2023'!M61-'Tariffs Jan2023'!L61)*('Tariffs Jan2023'!R61/100)*'Tariffs Jan2023'!AI61))</f>
        <v>0</v>
      </c>
      <c r="I67" s="59">
        <f>IF(($C$5*'Tariffs Jan2023'!AK61/'Tariffs Jan2023'!AI61&gt;'Tariffs Jan2023'!M61),($C$5*'Tariffs Jan2023'!AK61/'Tariffs Jan2023'!AI61-'Tariffs Jan2023'!M61)*'Tariffs Jan2023'!S61/100*'Tariffs Jan2023'!AI61,0)</f>
        <v>578.86363636363626</v>
      </c>
      <c r="J67" s="59">
        <f>IF($C$5*'Tariffs Jan2023'!AL61/'Tariffs Jan2023'!AJ61&gt;='Tariffs Jan2023'!J61,('Tariffs Jan2023'!J61*'Tariffs Jan2023'!U61/100)* 'Tariffs Jan2023'!AJ61,($C$5*'Tariffs Jan2023'!AL61/'Tariffs Jan2023'!AJ61*'Tariffs Jan2023'!U61/100)* 'Tariffs Jan2023'!AJ61)</f>
        <v>180.35181818181815</v>
      </c>
      <c r="K67" s="59">
        <f>IF($C$5*'Tariffs Jan2023'!AL61/'Tariffs Jan2023'!AJ61&lt;'Tariffs Jan2023'!J61,0,IF($C$5*'Tariffs Jan2023'!AL61/'Tariffs Jan2023'!AJ61&lt;='Tariffs Jan2023'!K61,($C$5*'Tariffs Jan2023'!AL61/'Tariffs Jan2023'!AJ61-'Tariffs Jan2023'!J61)*('Tariffs Jan2023'!V61/100)*'Tariffs Jan2023'!AJ61,('Tariffs Jan2023'!K61-'Tariffs Jan2023'!J61)*('Tariffs Jan2023'!V61/100)*'Tariffs Jan2023'!AJ61))</f>
        <v>124.90636363636364</v>
      </c>
      <c r="L67" s="59">
        <f>IF($C$5*'Tariffs Jan2023'!AL61/'Tariffs Jan2023'!AJ61&lt;'Tariffs Jan2023'!K61,0,IF($C$5*'Tariffs Jan2023'!AL61/'Tariffs Jan2023'!AJ61&lt;='Tariffs Jan2023'!L61,($C$5*'Tariffs Jan2023'!AL61/'Tariffs Jan2023'!AJ61-'Tariffs Jan2023'!K61)*('Tariffs Jan2023'!W61/100)*'Tariffs Jan2023'!AJ61,('Tariffs Jan2023'!L61-'Tariffs Jan2023'!K61)*('Tariffs Jan2023'!W61/100)*'Tariffs Jan2023'!AJ61))</f>
        <v>0</v>
      </c>
      <c r="M67" s="59">
        <f>IF($C$5*'Tariffs Jan2023'!AL61/'Tariffs Jan2023'!AJ61&lt;'Tariffs Jan2023'!L61,0,IF($C$5*'Tariffs Jan2023'!AL61/'Tariffs Jan2023'!AJ61&lt;='Tariffs Jan2023'!M61,($C$5*'Tariffs Jan2023'!AL61/'Tariffs Jan2023'!AJ61-'Tariffs Jan2023'!L61)*('Tariffs Jan2023'!X61/100)*'Tariffs Jan2023'!AJ61,('Tariffs Jan2023'!M61-'Tariffs Jan2023'!L61)*('Tariffs Jan2023'!X61/100)*'Tariffs Jan2023'!AJ61))</f>
        <v>0</v>
      </c>
      <c r="N67" s="59">
        <f>IF(($C$5*'Tariffs Jan2023'!AL61/'Tariffs Jan2023'!AJ61&gt;'Tariffs Jan2023'!M61),($C$5*'Tariffs Jan2023'!AL61/'Tariffs Jan2023'!AJ61-'Tariffs Jan2023'!M61)*'Tariffs Jan2023'!Y61/100*'Tariffs Jan2023'!AJ61,0)</f>
        <v>578.86363636363626</v>
      </c>
      <c r="O67" s="59">
        <f t="shared" si="1"/>
        <v>1768.2436363636361</v>
      </c>
      <c r="P67" s="503">
        <f t="shared" si="2"/>
        <v>1945.068</v>
      </c>
      <c r="Q67" s="59">
        <f t="shared" si="3"/>
        <v>2049.9240909090909</v>
      </c>
      <c r="R67" s="272">
        <f t="shared" si="4"/>
        <v>2254.9165000000003</v>
      </c>
      <c r="S67" s="40">
        <f>'Tariffs Jan2023'!AN61</f>
        <v>6</v>
      </c>
      <c r="T67" s="40">
        <f>'Tariffs Jan2023'!AO61</f>
        <v>0</v>
      </c>
      <c r="U67" s="40">
        <f>'Tariffs Jan2023'!AP61</f>
        <v>0</v>
      </c>
      <c r="V67" s="40">
        <f>'Tariffs Jan2023'!AQ61</f>
        <v>0</v>
      </c>
      <c r="W67" s="537" t="str">
        <f t="shared" si="75"/>
        <v>Guaranteed off bill</v>
      </c>
      <c r="X67" s="538" t="str">
        <f t="shared" si="76"/>
        <v>Exclusive</v>
      </c>
      <c r="Y67" s="534">
        <f t="shared" si="79"/>
        <v>1926.9286454545454</v>
      </c>
      <c r="Z67" s="535">
        <f t="shared" si="80"/>
        <v>1926.9286454545454</v>
      </c>
      <c r="AA67" s="542">
        <f t="shared" si="65"/>
        <v>2119.6215099999999</v>
      </c>
      <c r="AB67" s="609">
        <f t="shared" si="65"/>
        <v>2119.6215099999999</v>
      </c>
      <c r="AC67" s="604"/>
      <c r="AD67" s="604"/>
      <c r="AE67" s="604"/>
      <c r="AF67" s="604"/>
      <c r="AG67" s="604"/>
      <c r="AH67" s="604"/>
      <c r="AI67" s="604"/>
      <c r="AJ67" s="604"/>
      <c r="AK67" s="604"/>
      <c r="AL67" s="604"/>
      <c r="AM67" s="604"/>
      <c r="AN67" s="604"/>
      <c r="AO67" s="604"/>
      <c r="AP67" s="604"/>
      <c r="AQ67" s="604"/>
      <c r="AR67" s="604"/>
      <c r="AS67" s="604"/>
      <c r="AT67" s="604"/>
    </row>
    <row r="68" spans="1:46" ht="14" x14ac:dyDescent="0.15">
      <c r="A68" s="270" t="str">
        <f>'Tariffs Jan2023'!F62</f>
        <v>GloBird Energy</v>
      </c>
      <c r="B68" s="40" t="str">
        <f>'Tariffs Jan2023'!D62</f>
        <v>AGN Central 1</v>
      </c>
      <c r="C68" s="40" t="str">
        <f>'Tariffs Jan2023'!G62</f>
        <v>GloSave</v>
      </c>
      <c r="D68" s="59">
        <f>365*'Tariffs Jan2023'!H62/100</f>
        <v>215.35</v>
      </c>
      <c r="E68" s="59">
        <f>IF($C$5*'Tariffs Jan2023'!AK62/'Tariffs Jan2023'!AI62&gt;='Tariffs Jan2023'!J62,( 'Tariffs Jan2023'!J62*'Tariffs Jan2023'!O62/100)* 'Tariffs Jan2023'!AI62,($C$5*'Tariffs Jan2023'!AK62/'Tariffs Jan2023'!AI62*'Tariffs Jan2023'!O62/100)* 'Tariffs Jan2023'!AI62)</f>
        <v>196.36363636363637</v>
      </c>
      <c r="F68" s="59">
        <f>IF($C$5*'Tariffs Jan2023'!AK62/'Tariffs Jan2023'!AI62&lt;'Tariffs Jan2023'!J62,0,IF($C$5*'Tariffs Jan2023'!AK62/'Tariffs Jan2023'!AI62&lt;='Tariffs Jan2023'!K62,($C$5*'Tariffs Jan2023'!AK62/'Tariffs Jan2023'!AI62-'Tariffs Jan2023'!J62)*('Tariffs Jan2023'!P62/100)*'Tariffs Jan2023'!AI62,('Tariffs Jan2023'!K62-'Tariffs Jan2023'!J62)*('Tariffs Jan2023'!P62/100)*'Tariffs Jan2023'!AI62))</f>
        <v>0</v>
      </c>
      <c r="G68" s="59">
        <f>IF($C$5*'Tariffs Jan2023'!AK62/'Tariffs Jan2023'!AI62&lt;'Tariffs Jan2023'!K62,0,IF($C$5*'Tariffs Jan2023'!AK62/'Tariffs Jan2023'!AI62&lt;='Tariffs Jan2023'!L62,($C$5*'Tariffs Jan2023'!AK62/'Tariffs Jan2023'!AI62-'Tariffs Jan2023'!K62)*('Tariffs Jan2023'!Q62/100)*'Tariffs Jan2023'!AI62,('Tariffs Jan2023'!L62-'Tariffs Jan2023'!K62)*('Tariffs Jan2023'!Q62/100)*'Tariffs Jan2023'!AI62))</f>
        <v>0</v>
      </c>
      <c r="H68" s="59">
        <f>IF($C$5*'Tariffs Jan2023'!AK62/'Tariffs Jan2023'!AI62&lt;'Tariffs Jan2023'!L62,0,IF($C$5*'Tariffs Jan2023'!AK62/'Tariffs Jan2023'!AI62&lt;='Tariffs Jan2023'!M62,($C$5*'Tariffs Jan2023'!AK62/'Tariffs Jan2023'!AI62-'Tariffs Jan2023'!L62)*('Tariffs Jan2023'!R62/100)*'Tariffs Jan2023'!AI62,('Tariffs Jan2023'!M62-'Tariffs Jan2023'!L62)*('Tariffs Jan2023'!R62/100)*'Tariffs Jan2023'!AI62))</f>
        <v>0</v>
      </c>
      <c r="I68" s="59">
        <f>IF(($C$5*'Tariffs Jan2023'!AK62/'Tariffs Jan2023'!AI62&gt;'Tariffs Jan2023'!M62),($C$5*'Tariffs Jan2023'!AK62/'Tariffs Jan2023'!AI62-'Tariffs Jan2023'!M62)*'Tariffs Jan2023'!S62/100*'Tariffs Jan2023'!AI62,0)</f>
        <v>368.13027272727265</v>
      </c>
      <c r="J68" s="59">
        <f>IF($C$5*'Tariffs Jan2023'!AL62/'Tariffs Jan2023'!AJ62&gt;='Tariffs Jan2023'!J62,('Tariffs Jan2023'!J62*'Tariffs Jan2023'!U62/100)* 'Tariffs Jan2023'!AJ62,($C$5*'Tariffs Jan2023'!AL62/'Tariffs Jan2023'!AJ62*'Tariffs Jan2023'!U62/100)* 'Tariffs Jan2023'!AJ62)</f>
        <v>392.72727272727275</v>
      </c>
      <c r="K68" s="59">
        <f>IF($C$5*'Tariffs Jan2023'!AL62/'Tariffs Jan2023'!AJ62&lt;'Tariffs Jan2023'!J62,0,IF($C$5*'Tariffs Jan2023'!AL62/'Tariffs Jan2023'!AJ62&lt;='Tariffs Jan2023'!K62,($C$5*'Tariffs Jan2023'!AL62/'Tariffs Jan2023'!AJ62-'Tariffs Jan2023'!J62)*('Tariffs Jan2023'!V62/100)*'Tariffs Jan2023'!AJ62,('Tariffs Jan2023'!K62-'Tariffs Jan2023'!J62)*('Tariffs Jan2023'!V62/100)*'Tariffs Jan2023'!AJ62))</f>
        <v>0</v>
      </c>
      <c r="L68" s="59">
        <f>IF($C$5*'Tariffs Jan2023'!AL62/'Tariffs Jan2023'!AJ62&lt;'Tariffs Jan2023'!K62,0,IF($C$5*'Tariffs Jan2023'!AL62/'Tariffs Jan2023'!AJ62&lt;='Tariffs Jan2023'!L62,($C$5*'Tariffs Jan2023'!AL62/'Tariffs Jan2023'!AJ62-'Tariffs Jan2023'!K62)*('Tariffs Jan2023'!W62/100)*'Tariffs Jan2023'!AJ62,('Tariffs Jan2023'!L62-'Tariffs Jan2023'!K62)*('Tariffs Jan2023'!W62/100)*'Tariffs Jan2023'!AJ62))</f>
        <v>0</v>
      </c>
      <c r="M68" s="59">
        <f>IF($C$5*'Tariffs Jan2023'!AL62/'Tariffs Jan2023'!AJ62&lt;'Tariffs Jan2023'!L62,0,IF($C$5*'Tariffs Jan2023'!AL62/'Tariffs Jan2023'!AJ62&lt;='Tariffs Jan2023'!M62,($C$5*'Tariffs Jan2023'!AL62/'Tariffs Jan2023'!AJ62-'Tariffs Jan2023'!L62)*('Tariffs Jan2023'!X62/100)*'Tariffs Jan2023'!AJ62,('Tariffs Jan2023'!M62-'Tariffs Jan2023'!L62)*('Tariffs Jan2023'!X62/100)*'Tariffs Jan2023'!AJ62))</f>
        <v>0</v>
      </c>
      <c r="N68" s="59">
        <f>IF(($C$5*'Tariffs Jan2023'!AL62/'Tariffs Jan2023'!AJ62&gt;'Tariffs Jan2023'!M62),($C$5*'Tariffs Jan2023'!AL62/'Tariffs Jan2023'!AJ62-'Tariffs Jan2023'!M62)*'Tariffs Jan2023'!Y62/100*'Tariffs Jan2023'!AJ62,0)</f>
        <v>736.26054545454531</v>
      </c>
      <c r="O68" s="59">
        <f t="shared" si="1"/>
        <v>1693.4817272727271</v>
      </c>
      <c r="P68" s="503">
        <f t="shared" si="2"/>
        <v>1862.8299</v>
      </c>
      <c r="Q68" s="59">
        <f t="shared" si="3"/>
        <v>1908.831727272727</v>
      </c>
      <c r="R68" s="272">
        <f t="shared" si="4"/>
        <v>2099.7148999999999</v>
      </c>
      <c r="S68" s="40">
        <f>'Tariffs Jan2023'!AN62</f>
        <v>0</v>
      </c>
      <c r="T68" s="40">
        <f>'Tariffs Jan2023'!AO62</f>
        <v>0</v>
      </c>
      <c r="U68" s="40">
        <f>'Tariffs Jan2023'!AP62</f>
        <v>2</v>
      </c>
      <c r="V68" s="40">
        <f>'Tariffs Jan2023'!AQ62</f>
        <v>0</v>
      </c>
      <c r="W68" s="537" t="str">
        <f t="shared" si="75"/>
        <v>Pay-on-time off bill</v>
      </c>
      <c r="X68" s="538" t="str">
        <f t="shared" si="76"/>
        <v>Exclusive</v>
      </c>
      <c r="Y68" s="534">
        <f t="shared" si="79"/>
        <v>1908.831727272727</v>
      </c>
      <c r="Z68" s="535">
        <f t="shared" si="80"/>
        <v>1870.6550927272724</v>
      </c>
      <c r="AA68" s="542">
        <f t="shared" ref="AA68:AB81" si="81">Y68*1.1</f>
        <v>2099.7148999999999</v>
      </c>
      <c r="AB68" s="609">
        <f t="shared" si="81"/>
        <v>2057.7206019999999</v>
      </c>
      <c r="AC68" s="604"/>
      <c r="AD68" s="604"/>
      <c r="AE68" s="604"/>
      <c r="AF68" s="604"/>
      <c r="AG68" s="604"/>
      <c r="AH68" s="604"/>
      <c r="AI68" s="604"/>
      <c r="AJ68" s="604"/>
      <c r="AK68" s="604"/>
      <c r="AL68" s="604"/>
      <c r="AM68" s="604"/>
      <c r="AN68" s="604"/>
      <c r="AO68" s="604"/>
      <c r="AP68" s="604"/>
      <c r="AQ68" s="604"/>
      <c r="AR68" s="604"/>
      <c r="AS68" s="604"/>
      <c r="AT68" s="604"/>
    </row>
    <row r="69" spans="1:46" ht="14" x14ac:dyDescent="0.15">
      <c r="A69" s="270" t="str">
        <f>'Tariffs Jan2023'!F63</f>
        <v>1st Energy</v>
      </c>
      <c r="B69" s="40" t="str">
        <f>'Tariffs Jan2023'!D63</f>
        <v>AGN Central 1</v>
      </c>
      <c r="C69" s="40" t="str">
        <f>'Tariffs Jan2023'!G63</f>
        <v>1st Saver Plus</v>
      </c>
      <c r="D69" s="59">
        <f>365*'Tariffs Jan2023'!H63/100</f>
        <v>281.05</v>
      </c>
      <c r="E69" s="59">
        <f>IF($C$5*'Tariffs Jan2023'!AK63/'Tariffs Jan2023'!AI63&gt;='Tariffs Jan2023'!J63,( 'Tariffs Jan2023'!J63*'Tariffs Jan2023'!O63/100)* 'Tariffs Jan2023'!AI63,($C$5*'Tariffs Jan2023'!AK63/'Tariffs Jan2023'!AI63*'Tariffs Jan2023'!O63/100)* 'Tariffs Jan2023'!AI63)</f>
        <v>237.59999999999997</v>
      </c>
      <c r="F69" s="59">
        <f>IF($C$5*'Tariffs Jan2023'!AK63/'Tariffs Jan2023'!AI63&lt;'Tariffs Jan2023'!J63,0,IF($C$5*'Tariffs Jan2023'!AK63/'Tariffs Jan2023'!AI63&lt;='Tariffs Jan2023'!K63,($C$5*'Tariffs Jan2023'!AK63/'Tariffs Jan2023'!AI63-'Tariffs Jan2023'!J63)*('Tariffs Jan2023'!P63/100)*'Tariffs Jan2023'!AI63,('Tariffs Jan2023'!K63-'Tariffs Jan2023'!J63)*('Tariffs Jan2023'!P63/100)*'Tariffs Jan2023'!AI63))</f>
        <v>341.99999999999989</v>
      </c>
      <c r="G69" s="59">
        <f>IF($C$5*'Tariffs Jan2023'!AK63/'Tariffs Jan2023'!AI63&lt;'Tariffs Jan2023'!K63,0,IF($C$5*'Tariffs Jan2023'!AK63/'Tariffs Jan2023'!AI63&lt;='Tariffs Jan2023'!L63,($C$5*'Tariffs Jan2023'!AK63/'Tariffs Jan2023'!AI63-'Tariffs Jan2023'!K63)*('Tariffs Jan2023'!Q63/100)*'Tariffs Jan2023'!AI63,('Tariffs Jan2023'!L63-'Tariffs Jan2023'!K63)*('Tariffs Jan2023'!Q63/100)*'Tariffs Jan2023'!AI63))</f>
        <v>0</v>
      </c>
      <c r="H69" s="59">
        <f>IF($C$5*'Tariffs Jan2023'!AK63/'Tariffs Jan2023'!AI63&lt;'Tariffs Jan2023'!L63,0,IF($C$5*'Tariffs Jan2023'!AK63/'Tariffs Jan2023'!AI63&lt;='Tariffs Jan2023'!M63,($C$5*'Tariffs Jan2023'!AK63/'Tariffs Jan2023'!AI63-'Tariffs Jan2023'!L63)*('Tariffs Jan2023'!R63/100)*'Tariffs Jan2023'!AI63,('Tariffs Jan2023'!M63-'Tariffs Jan2023'!L63)*('Tariffs Jan2023'!R63/100)*'Tariffs Jan2023'!AI63))</f>
        <v>0</v>
      </c>
      <c r="I69" s="69">
        <f>IF(($C$5*'Tariffs Jan2023'!AK63/'Tariffs Jan2023'!AI63&gt;'Tariffs Jan2023'!M63),($C$5*'Tariffs Jan2023'!AK63/'Tariffs Jan2023'!AI63-'Tariffs Jan2023'!M63)*'Tariffs Jan2023'!S63/100*'Tariffs Jan2023'!AI63,0)</f>
        <v>564.29999999999995</v>
      </c>
      <c r="J69" s="69">
        <f>IF($C$5*'Tariffs Jan2023'!AL63/'Tariffs Jan2023'!AJ63&gt;='Tariffs Jan2023'!J63,('Tariffs Jan2023'!J63*'Tariffs Jan2023'!U63/100)* 'Tariffs Jan2023'!AJ63,($C$5*'Tariffs Jan2023'!AL63/'Tariffs Jan2023'!AJ63*'Tariffs Jan2023'!U63/100)* 'Tariffs Jan2023'!AJ63)</f>
        <v>237.59999999999997</v>
      </c>
      <c r="K69" s="69">
        <f>IF($C$5*'Tariffs Jan2023'!AL63/'Tariffs Jan2023'!AJ63&lt;'Tariffs Jan2023'!J63,0,IF($C$5*'Tariffs Jan2023'!AL63/'Tariffs Jan2023'!AJ63&lt;='Tariffs Jan2023'!K63,($C$5*'Tariffs Jan2023'!AL63/'Tariffs Jan2023'!AJ63-'Tariffs Jan2023'!J63)*('Tariffs Jan2023'!V63/100)*'Tariffs Jan2023'!AJ63,('Tariffs Jan2023'!K63-'Tariffs Jan2023'!J63)*('Tariffs Jan2023'!V63/100)*'Tariffs Jan2023'!AJ63))</f>
        <v>341.99999999999989</v>
      </c>
      <c r="L69" s="69">
        <f>IF($C$5*'Tariffs Jan2023'!AL63/'Tariffs Jan2023'!AJ63&lt;'Tariffs Jan2023'!K63,0,IF($C$5*'Tariffs Jan2023'!AL63/'Tariffs Jan2023'!AJ63&lt;='Tariffs Jan2023'!L63,($C$5*'Tariffs Jan2023'!AL63/'Tariffs Jan2023'!AJ63-'Tariffs Jan2023'!K63)*('Tariffs Jan2023'!W63/100)*'Tariffs Jan2023'!AJ63,('Tariffs Jan2023'!L63-'Tariffs Jan2023'!K63)*('Tariffs Jan2023'!W63/100)*'Tariffs Jan2023'!AJ63))</f>
        <v>0</v>
      </c>
      <c r="M69" s="69">
        <f>IF($C$5*'Tariffs Jan2023'!AL63/'Tariffs Jan2023'!AJ63&lt;'Tariffs Jan2023'!L63,0,IF($C$5*'Tariffs Jan2023'!AL63/'Tariffs Jan2023'!AJ63&lt;='Tariffs Jan2023'!M63,($C$5*'Tariffs Jan2023'!AL63/'Tariffs Jan2023'!AJ63-'Tariffs Jan2023'!L63)*('Tariffs Jan2023'!X63/100)*'Tariffs Jan2023'!AJ63,('Tariffs Jan2023'!M63-'Tariffs Jan2023'!L63)*('Tariffs Jan2023'!X63/100)*'Tariffs Jan2023'!AJ63))</f>
        <v>0</v>
      </c>
      <c r="N69" s="69">
        <f>IF(($C$5*'Tariffs Jan2023'!AL63/'Tariffs Jan2023'!AJ63&gt;'Tariffs Jan2023'!M63),($C$5*'Tariffs Jan2023'!AL63/'Tariffs Jan2023'!AJ63-'Tariffs Jan2023'!M63)*'Tariffs Jan2023'!Y63/100*'Tariffs Jan2023'!AJ63,0)</f>
        <v>564.29999999999995</v>
      </c>
      <c r="O69" s="59">
        <f t="shared" si="1"/>
        <v>2287.7999999999993</v>
      </c>
      <c r="P69" s="503">
        <f t="shared" ref="P69:P110" si="82">O69*1.1</f>
        <v>2516.5799999999995</v>
      </c>
      <c r="Q69" s="59">
        <f t="shared" si="3"/>
        <v>2568.8499999999995</v>
      </c>
      <c r="R69" s="272">
        <f t="shared" si="4"/>
        <v>2825.7349999999997</v>
      </c>
      <c r="S69" s="40">
        <f>'Tariffs Jan2023'!AN63</f>
        <v>0</v>
      </c>
      <c r="T69" s="40">
        <f>'Tariffs Jan2023'!AO63</f>
        <v>7</v>
      </c>
      <c r="U69" s="40">
        <f>'Tariffs Jan2023'!AP63</f>
        <v>0</v>
      </c>
      <c r="V69" s="40">
        <f>'Tariffs Jan2023'!AQ63</f>
        <v>3</v>
      </c>
      <c r="W69" s="537" t="str">
        <f t="shared" si="75"/>
        <v>Guaranteed off usage</v>
      </c>
      <c r="X69" s="538" t="str">
        <f t="shared" si="76"/>
        <v>Exclusive</v>
      </c>
      <c r="Y69" s="534">
        <f>Q69-(P69*T69)/100</f>
        <v>2392.6893999999993</v>
      </c>
      <c r="Z69" s="535">
        <f>Y69-(P69*V69)/100</f>
        <v>2317.1919999999991</v>
      </c>
      <c r="AA69" s="542">
        <f t="shared" si="81"/>
        <v>2631.9583399999992</v>
      </c>
      <c r="AB69" s="609">
        <f t="shared" si="81"/>
        <v>2548.9111999999991</v>
      </c>
      <c r="AC69" s="604"/>
      <c r="AD69" s="604"/>
      <c r="AE69" s="604"/>
      <c r="AF69" s="604"/>
      <c r="AG69" s="604"/>
      <c r="AH69" s="604"/>
      <c r="AI69" s="604"/>
      <c r="AJ69" s="604"/>
      <c r="AK69" s="604"/>
      <c r="AL69" s="604"/>
      <c r="AM69" s="604"/>
      <c r="AN69" s="604"/>
      <c r="AO69" s="604"/>
      <c r="AP69" s="604"/>
      <c r="AQ69" s="604"/>
      <c r="AR69" s="604"/>
      <c r="AS69" s="604"/>
      <c r="AT69" s="604"/>
    </row>
    <row r="70" spans="1:46" ht="14" x14ac:dyDescent="0.15">
      <c r="A70" s="270" t="str">
        <f>'Tariffs Jan2023'!F64</f>
        <v>Tango Energy</v>
      </c>
      <c r="B70" s="40" t="str">
        <f>'Tariffs Jan2023'!D64</f>
        <v>AGN Central 1</v>
      </c>
      <c r="C70" s="40" t="str">
        <f>'Tariffs Jan2023'!G64</f>
        <v>Home Select</v>
      </c>
      <c r="D70" s="59">
        <f>365*'Tariffs Jan2023'!H64/100</f>
        <v>364.99999999999994</v>
      </c>
      <c r="E70" s="59">
        <f>IF($C$5*'Tariffs Jan2023'!AK64/'Tariffs Jan2023'!AI64&gt;='Tariffs Jan2023'!J64,( 'Tariffs Jan2023'!J64*'Tariffs Jan2023'!O64/100)* 'Tariffs Jan2023'!AI64,($C$5*'Tariffs Jan2023'!AK64/'Tariffs Jan2023'!AI64*'Tariffs Jan2023'!O64/100)* 'Tariffs Jan2023'!AI64)</f>
        <v>115.29954545454542</v>
      </c>
      <c r="F70" s="59">
        <f>IF($C$5*'Tariffs Jan2023'!AK64/'Tariffs Jan2023'!AI64&lt;'Tariffs Jan2023'!J64,0,IF($C$5*'Tariffs Jan2023'!AK64/'Tariffs Jan2023'!AI64&lt;='Tariffs Jan2023'!K64,($C$5*'Tariffs Jan2023'!AK64/'Tariffs Jan2023'!AI64-'Tariffs Jan2023'!J64)*('Tariffs Jan2023'!P64/100)*'Tariffs Jan2023'!AI64,('Tariffs Jan2023'!K64-'Tariffs Jan2023'!J64)*('Tariffs Jan2023'!P64/100)*'Tariffs Jan2023'!AI64))</f>
        <v>80.560909090909092</v>
      </c>
      <c r="G70" s="59">
        <f>IF($C$5*'Tariffs Jan2023'!AK64/'Tariffs Jan2023'!AI64&lt;'Tariffs Jan2023'!K64,0,IF($C$5*'Tariffs Jan2023'!AK64/'Tariffs Jan2023'!AI64&lt;='Tariffs Jan2023'!L64,($C$5*'Tariffs Jan2023'!AK64/'Tariffs Jan2023'!AI64-'Tariffs Jan2023'!K64)*('Tariffs Jan2023'!Q64/100)*'Tariffs Jan2023'!AI64,('Tariffs Jan2023'!L64-'Tariffs Jan2023'!K64)*('Tariffs Jan2023'!Q64/100)*'Tariffs Jan2023'!AI64))</f>
        <v>0</v>
      </c>
      <c r="H70" s="59">
        <f>IF($C$5*'Tariffs Jan2023'!AK64/'Tariffs Jan2023'!AI64&lt;'Tariffs Jan2023'!L64,0,IF($C$5*'Tariffs Jan2023'!AK64/'Tariffs Jan2023'!AI64&lt;='Tariffs Jan2023'!M64,($C$5*'Tariffs Jan2023'!AK64/'Tariffs Jan2023'!AI64-'Tariffs Jan2023'!L64)*('Tariffs Jan2023'!R64/100)*'Tariffs Jan2023'!AI64,('Tariffs Jan2023'!M64-'Tariffs Jan2023'!L64)*('Tariffs Jan2023'!R64/100)*'Tariffs Jan2023'!AI64))</f>
        <v>0</v>
      </c>
      <c r="I70" s="69">
        <f>IF(($C$5*'Tariffs Jan2023'!AK64/'Tariffs Jan2023'!AI64&gt;'Tariffs Jan2023'!M64),($C$5*'Tariffs Jan2023'!AK64/'Tariffs Jan2023'!AI64-'Tariffs Jan2023'!M64)*'Tariffs Jan2023'!S64/100*'Tariffs Jan2023'!AI64,0)</f>
        <v>388.63636363636363</v>
      </c>
      <c r="J70" s="69">
        <f>IF($C$5*'Tariffs Jan2023'!AL64/'Tariffs Jan2023'!AJ64&gt;='Tariffs Jan2023'!J64,('Tariffs Jan2023'!J64*'Tariffs Jan2023'!U64/100)* 'Tariffs Jan2023'!AJ64,($C$5*'Tariffs Jan2023'!AL64/'Tariffs Jan2023'!AJ64*'Tariffs Jan2023'!U64/100)* 'Tariffs Jan2023'!AJ64)</f>
        <v>115.29954545454542</v>
      </c>
      <c r="K70" s="69">
        <f>IF($C$5*'Tariffs Jan2023'!AL64/'Tariffs Jan2023'!AJ64&lt;'Tariffs Jan2023'!J64,0,IF($C$5*'Tariffs Jan2023'!AL64/'Tariffs Jan2023'!AJ64&lt;='Tariffs Jan2023'!K64,($C$5*'Tariffs Jan2023'!AL64/'Tariffs Jan2023'!AJ64-'Tariffs Jan2023'!J64)*('Tariffs Jan2023'!V64/100)*'Tariffs Jan2023'!AJ64,('Tariffs Jan2023'!K64-'Tariffs Jan2023'!J64)*('Tariffs Jan2023'!V64/100)*'Tariffs Jan2023'!AJ64))</f>
        <v>80.560909090909092</v>
      </c>
      <c r="L70" s="69">
        <v>0</v>
      </c>
      <c r="M70" s="69">
        <v>0</v>
      </c>
      <c r="N70" s="69">
        <f>IF(($C$5*'Tariffs Jan2023'!AL64/'Tariffs Jan2023'!AJ64&gt;'Tariffs Jan2023'!M64),($C$5*'Tariffs Jan2023'!AL64/'Tariffs Jan2023'!AJ64-'Tariffs Jan2023'!M64)*'Tariffs Jan2023'!Y64/100*'Tariffs Jan2023'!AJ64,0)</f>
        <v>388.63636363636363</v>
      </c>
      <c r="O70" s="59">
        <f t="shared" ref="O70:O98" si="83">SUM(E70:N70)</f>
        <v>1168.9936363636361</v>
      </c>
      <c r="P70" s="503">
        <f t="shared" si="82"/>
        <v>1285.8929999999998</v>
      </c>
      <c r="Q70" s="59">
        <f t="shared" ref="Q70:Q98" si="84">D70+O70</f>
        <v>1533.9936363636361</v>
      </c>
      <c r="R70" s="272">
        <f t="shared" ref="R70:R98" si="85">Q70*1.1</f>
        <v>1687.3929999999998</v>
      </c>
      <c r="S70" s="40">
        <f>'Tariffs Jan2023'!AN64</f>
        <v>0</v>
      </c>
      <c r="T70" s="40">
        <f>'Tariffs Jan2023'!AO64</f>
        <v>0</v>
      </c>
      <c r="U70" s="40">
        <f>'Tariffs Jan2023'!AP64</f>
        <v>0</v>
      </c>
      <c r="V70" s="40">
        <f>'Tariffs Jan2023'!AQ64</f>
        <v>0</v>
      </c>
      <c r="W70" s="537" t="str">
        <f t="shared" si="75"/>
        <v>No discount</v>
      </c>
      <c r="X70" s="538" t="str">
        <f t="shared" si="76"/>
        <v>Exclusive</v>
      </c>
      <c r="Y70" s="534">
        <f t="shared" ref="Y70:Y80" si="86">IF(AND(W70="Guaranteed off bill",X70="Inclusive"),((Q70*1.1)-((Q70*1.1)*S70/100))/1.1,IF(AND(W70="Guaranteed off usage",X70="Inclusive"),((Q70*1.1)-((P70*1.1)*T70/100))/1.1,IF(AND(W70="Guaranteed off bill",X70="Exclusive"),Q70-(Q70*S70/100),IF(AND(W70="Guaranteed off usage",X70="Exclusive"),Q70-(P70*T70/100),IF(X70="Inclusive",((Q70*1.1))/1.1,Q70)))))</f>
        <v>1533.9936363636361</v>
      </c>
      <c r="Z70" s="535">
        <f t="shared" ref="Z70:Z80" si="87">IF(AND(W70="Pay-on-time off bill",X70="Inclusive"),((Y70*1.1)-((Y70*1.1)*U70/100))/1.1,IF(AND(W70="Pay-on-time off usage",X70="Inclusive"),((Y70*1.1)-((P70*1.1)*V70/100))/1.1,IF(AND(W70="Pay-on-time off bill",X70="Exclusive"),Y70-(Y70*U70/100),IF(AND(W70="Pay-on-time off usage",X70="Exclusive"),Y70-(P70*V70/100),IF(X70="Inclusive",((Y70*1.1))/1.1,Y70)))))</f>
        <v>1533.9936363636361</v>
      </c>
      <c r="AA70" s="542">
        <f t="shared" si="81"/>
        <v>1687.3929999999998</v>
      </c>
      <c r="AB70" s="609">
        <f t="shared" si="81"/>
        <v>1687.3929999999998</v>
      </c>
      <c r="AC70" s="604"/>
      <c r="AD70" s="604"/>
      <c r="AE70" s="604"/>
      <c r="AF70" s="604"/>
      <c r="AG70" s="604"/>
      <c r="AH70" s="604"/>
      <c r="AI70" s="604"/>
      <c r="AJ70" s="604"/>
      <c r="AK70" s="604"/>
      <c r="AL70" s="604"/>
      <c r="AM70" s="604"/>
      <c r="AN70" s="604"/>
      <c r="AO70" s="604"/>
      <c r="AP70" s="604"/>
      <c r="AQ70" s="604"/>
      <c r="AR70" s="604"/>
      <c r="AS70" s="604"/>
      <c r="AT70" s="604"/>
    </row>
    <row r="71" spans="1:46" ht="14" x14ac:dyDescent="0.15">
      <c r="A71" s="270" t="str">
        <f>'Tariffs Jan2023'!F65</f>
        <v>Momentum Energy</v>
      </c>
      <c r="B71" s="40" t="str">
        <f>'Tariffs Jan2023'!D65</f>
        <v>AGN Central 1</v>
      </c>
      <c r="C71" s="40" t="str">
        <f>'Tariffs Jan2023'!G65</f>
        <v>Nothing Fancy</v>
      </c>
      <c r="D71" s="59">
        <f>365*'Tariffs Jan2023'!H65/100</f>
        <v>316.82</v>
      </c>
      <c r="E71" s="59">
        <f>IF($C$5*'Tariffs Jan2023'!AK65/'Tariffs Jan2023'!AI65&gt;='Tariffs Jan2023'!J65,( 'Tariffs Jan2023'!J65*'Tariffs Jan2023'!O65/100)* 'Tariffs Jan2023'!AI65,($C$5*'Tariffs Jan2023'!AK65/'Tariffs Jan2023'!AI65*'Tariffs Jan2023'!O65/100)* 'Tariffs Jan2023'!AI65)</f>
        <v>207.27</v>
      </c>
      <c r="F71" s="59">
        <f>IF($C$5*'Tariffs Jan2023'!AK65/'Tariffs Jan2023'!AI65&lt;'Tariffs Jan2023'!J65,0,IF($C$5*'Tariffs Jan2023'!AK65/'Tariffs Jan2023'!AI65&lt;='Tariffs Jan2023'!K65,($C$5*'Tariffs Jan2023'!AK65/'Tariffs Jan2023'!AI65-'Tariffs Jan2023'!J65)*('Tariffs Jan2023'!P65/100)*'Tariffs Jan2023'!AI65,('Tariffs Jan2023'!K65-'Tariffs Jan2023'!J65)*('Tariffs Jan2023'!P65/100)*'Tariffs Jan2023'!AI65))</f>
        <v>138.21</v>
      </c>
      <c r="G71" s="59">
        <f>IF($C$5*'Tariffs Jan2023'!AK65/'Tariffs Jan2023'!AI65&lt;'Tariffs Jan2023'!K65,0,IF($C$5*'Tariffs Jan2023'!AK65/'Tariffs Jan2023'!AI65&lt;='Tariffs Jan2023'!L65,($C$5*'Tariffs Jan2023'!AK65/'Tariffs Jan2023'!AI65-'Tariffs Jan2023'!K65)*('Tariffs Jan2023'!Q65/100)*'Tariffs Jan2023'!AI65,('Tariffs Jan2023'!L65-'Tariffs Jan2023'!K65)*('Tariffs Jan2023'!Q65/100)*'Tariffs Jan2023'!AI65))</f>
        <v>0</v>
      </c>
      <c r="H71" s="59">
        <f>IF($C$5*'Tariffs Jan2023'!AK65/'Tariffs Jan2023'!AI65&lt;'Tariffs Jan2023'!L65,0,IF($C$5*'Tariffs Jan2023'!AK65/'Tariffs Jan2023'!AI65&lt;='Tariffs Jan2023'!M65,($C$5*'Tariffs Jan2023'!AK65/'Tariffs Jan2023'!AI65-'Tariffs Jan2023'!L65)*('Tariffs Jan2023'!R65/100)*'Tariffs Jan2023'!AI65,('Tariffs Jan2023'!M65-'Tariffs Jan2023'!L65)*('Tariffs Jan2023'!R65/100)*'Tariffs Jan2023'!AI65))</f>
        <v>0</v>
      </c>
      <c r="I71" s="69">
        <f>IF(($C$5*'Tariffs Jan2023'!AK65/'Tariffs Jan2023'!AI65&gt;'Tariffs Jan2023'!M65),($C$5*'Tariffs Jan2023'!AK65/'Tariffs Jan2023'!AI65-'Tariffs Jan2023'!M65)*'Tariffs Jan2023'!S65/100*'Tariffs Jan2023'!AI65,0)</f>
        <v>652.5</v>
      </c>
      <c r="J71" s="69">
        <f>IF($C$5*'Tariffs Jan2023'!AL65/'Tariffs Jan2023'!AJ65&gt;='Tariffs Jan2023'!J65,('Tariffs Jan2023'!J65*'Tariffs Jan2023'!U65/100)* 'Tariffs Jan2023'!AJ65,($C$5*'Tariffs Jan2023'!AL65/'Tariffs Jan2023'!AJ65*'Tariffs Jan2023'!U65/100)* 'Tariffs Jan2023'!AJ65)</f>
        <v>207.27</v>
      </c>
      <c r="K71" s="69">
        <f>IF($C$5*'Tariffs Jan2023'!AL65/'Tariffs Jan2023'!AJ65&lt;'Tariffs Jan2023'!J65,0,IF($C$5*'Tariffs Jan2023'!AL65/'Tariffs Jan2023'!AJ65&lt;='Tariffs Jan2023'!K65,($C$5*'Tariffs Jan2023'!AL65/'Tariffs Jan2023'!AJ65-'Tariffs Jan2023'!J65)*('Tariffs Jan2023'!V65/100)*'Tariffs Jan2023'!AJ65,('Tariffs Jan2023'!K65-'Tariffs Jan2023'!J65)*('Tariffs Jan2023'!V65/100)*'Tariffs Jan2023'!AJ65))</f>
        <v>138.21</v>
      </c>
      <c r="L71" s="69">
        <v>0</v>
      </c>
      <c r="M71" s="69">
        <v>0</v>
      </c>
      <c r="N71" s="69">
        <f>IF(($C$5*'Tariffs Jan2023'!AL65/'Tariffs Jan2023'!AJ65&gt;'Tariffs Jan2023'!M65),($C$5*'Tariffs Jan2023'!AL65/'Tariffs Jan2023'!AJ65-'Tariffs Jan2023'!M65)*'Tariffs Jan2023'!Y65/100*'Tariffs Jan2023'!AJ65,0)</f>
        <v>652.5</v>
      </c>
      <c r="O71" s="59">
        <f t="shared" ref="O71" si="88">SUM(E71:N71)</f>
        <v>1995.96</v>
      </c>
      <c r="P71" s="503">
        <f t="shared" ref="P71" si="89">O71*1.1</f>
        <v>2195.556</v>
      </c>
      <c r="Q71" s="59">
        <f t="shared" ref="Q71" si="90">D71+O71</f>
        <v>2312.7800000000002</v>
      </c>
      <c r="R71" s="272">
        <f t="shared" ref="R71" si="91">Q71*1.1</f>
        <v>2544.0580000000004</v>
      </c>
      <c r="S71" s="40">
        <f>'Tariffs Jan2023'!AN65</f>
        <v>0</v>
      </c>
      <c r="T71" s="40">
        <f>'Tariffs Jan2023'!AO65</f>
        <v>0</v>
      </c>
      <c r="U71" s="40">
        <f>'Tariffs Jan2023'!AP65</f>
        <v>0</v>
      </c>
      <c r="V71" s="40">
        <f>'Tariffs Jan2023'!AQ65</f>
        <v>0</v>
      </c>
      <c r="W71" s="537" t="str">
        <f t="shared" ref="W71" si="92">IF(SUM(S71:V71)=0,"No discount",IF(S71&gt;0,"Guaranteed off bill",IF(T71&gt;0,"Guaranteed off usage",IF(U71&gt;0,"Pay-on-time off bill","Pay-on-time off usage"))))</f>
        <v>No discount</v>
      </c>
      <c r="X71" s="538" t="str">
        <f t="shared" ref="X71" si="93">IF(OR(A71="Origin Energy",A71="Red Energy",A71="Powershop"),"Inclusive","Exclusive")</f>
        <v>Exclusive</v>
      </c>
      <c r="Y71" s="534">
        <f t="shared" ref="Y71" si="94">IF(AND(W71="Guaranteed off bill",X71="Inclusive"),((Q71*1.1)-((Q71*1.1)*S71/100))/1.1,IF(AND(W71="Guaranteed off usage",X71="Inclusive"),((Q71*1.1)-((P71*1.1)*T71/100))/1.1,IF(AND(W71="Guaranteed off bill",X71="Exclusive"),Q71-(Q71*S71/100),IF(AND(W71="Guaranteed off usage",X71="Exclusive"),Q71-(P71*T71/100),IF(X71="Inclusive",((Q71*1.1))/1.1,Q71)))))</f>
        <v>2312.7800000000002</v>
      </c>
      <c r="Z71" s="535">
        <f t="shared" ref="Z71" si="95">IF(AND(W71="Pay-on-time off bill",X71="Inclusive"),((Y71*1.1)-((Y71*1.1)*U71/100))/1.1,IF(AND(W71="Pay-on-time off usage",X71="Inclusive"),((Y71*1.1)-((P71*1.1)*V71/100))/1.1,IF(AND(W71="Pay-on-time off bill",X71="Exclusive"),Y71-(Y71*U71/100),IF(AND(W71="Pay-on-time off usage",X71="Exclusive"),Y71-(P71*V71/100),IF(X71="Inclusive",((Y71*1.1))/1.1,Y71)))))</f>
        <v>2312.7800000000002</v>
      </c>
      <c r="AA71" s="542">
        <f t="shared" ref="AA71" si="96">Y71*1.1</f>
        <v>2544.0580000000004</v>
      </c>
      <c r="AB71" s="609">
        <f t="shared" ref="AB71" si="97">Z71*1.1</f>
        <v>2544.0580000000004</v>
      </c>
      <c r="AC71" s="604"/>
      <c r="AD71" s="604"/>
      <c r="AE71" s="604"/>
      <c r="AF71" s="604"/>
      <c r="AG71" s="604"/>
      <c r="AH71" s="604"/>
      <c r="AI71" s="604"/>
      <c r="AJ71" s="604"/>
      <c r="AK71" s="604"/>
      <c r="AL71" s="604"/>
      <c r="AM71" s="604"/>
      <c r="AN71" s="604"/>
      <c r="AO71" s="604"/>
      <c r="AP71" s="604"/>
      <c r="AQ71" s="604"/>
      <c r="AR71" s="604"/>
      <c r="AS71" s="604"/>
      <c r="AT71" s="604"/>
    </row>
    <row r="72" spans="1:46" ht="15" thickBot="1" x14ac:dyDescent="0.2">
      <c r="A72" s="276" t="str">
        <f>'Tariffs Jan2023'!F66</f>
        <v>Sumo Power</v>
      </c>
      <c r="B72" s="277" t="str">
        <f>'Tariffs Jan2023'!D66</f>
        <v>AGN Central 1</v>
      </c>
      <c r="C72" s="277" t="str">
        <f>'Tariffs Jan2023'!G66</f>
        <v>Lite</v>
      </c>
      <c r="D72" s="278">
        <f>365*'Tariffs Jan2023'!H66/100</f>
        <v>383.24999999999994</v>
      </c>
      <c r="E72" s="278">
        <f>IF($C$5*'Tariffs Jan2023'!AK66/'Tariffs Jan2023'!AI66&gt;='Tariffs Jan2023'!J66,( 'Tariffs Jan2023'!J66*'Tariffs Jan2023'!O66/100)* 'Tariffs Jan2023'!AI66,($C$5*'Tariffs Jan2023'!AK66/'Tariffs Jan2023'!AI66*'Tariffs Jan2023'!O66/100)* 'Tariffs Jan2023'!AI66)</f>
        <v>486.00000000000011</v>
      </c>
      <c r="F72" s="278">
        <f>IF($C$5*'Tariffs Jan2023'!AK66/'Tariffs Jan2023'!AI66&lt;'Tariffs Jan2023'!J66,0,IF($C$5*'Tariffs Jan2023'!AK66/'Tariffs Jan2023'!AI66&lt;='Tariffs Jan2023'!K66,($C$5*'Tariffs Jan2023'!AK66/'Tariffs Jan2023'!AI66-'Tariffs Jan2023'!J66)*('Tariffs Jan2023'!P66/100)*'Tariffs Jan2023'!AI66,('Tariffs Jan2023'!K66-'Tariffs Jan2023'!J66)*('Tariffs Jan2023'!P66/100)*'Tariffs Jan2023'!AI66))</f>
        <v>0</v>
      </c>
      <c r="G72" s="278">
        <f>IF($C$5*'Tariffs Jan2023'!AK66/'Tariffs Jan2023'!AI66&lt;'Tariffs Jan2023'!K66,0,IF($C$5*'Tariffs Jan2023'!AK66/'Tariffs Jan2023'!AI66&lt;='Tariffs Jan2023'!L66,($C$5*'Tariffs Jan2023'!AK66/'Tariffs Jan2023'!AI66-'Tariffs Jan2023'!K66)*('Tariffs Jan2023'!Q66/100)*'Tariffs Jan2023'!AI66,('Tariffs Jan2023'!L66-'Tariffs Jan2023'!K66)*('Tariffs Jan2023'!Q66/100)*'Tariffs Jan2023'!AI66))</f>
        <v>0</v>
      </c>
      <c r="H72" s="278">
        <f>IF($C$5*'Tariffs Jan2023'!AK66/'Tariffs Jan2023'!AI66&lt;'Tariffs Jan2023'!L66,0,IF($C$5*'Tariffs Jan2023'!AK66/'Tariffs Jan2023'!AI66&lt;='Tariffs Jan2023'!M66,($C$5*'Tariffs Jan2023'!AK66/'Tariffs Jan2023'!AI66-'Tariffs Jan2023'!L66)*('Tariffs Jan2023'!R66/100)*'Tariffs Jan2023'!AI66,('Tariffs Jan2023'!M66-'Tariffs Jan2023'!L66)*('Tariffs Jan2023'!R66/100)*'Tariffs Jan2023'!AI66))</f>
        <v>0</v>
      </c>
      <c r="I72" s="547">
        <f>IF(($C$5*'Tariffs Jan2023'!AK66/'Tariffs Jan2023'!AI66&gt;'Tariffs Jan2023'!M66),($C$5*'Tariffs Jan2023'!AK66/'Tariffs Jan2023'!AI66-'Tariffs Jan2023'!M66)*'Tariffs Jan2023'!S66/100*'Tariffs Jan2023'!AI66,0)</f>
        <v>1059.5454545454543</v>
      </c>
      <c r="J72" s="547">
        <f>IF($C$5*'Tariffs Jan2023'!AL66/'Tariffs Jan2023'!AJ66&gt;='Tariffs Jan2023'!J66,('Tariffs Jan2023'!J66*'Tariffs Jan2023'!U66/100)* 'Tariffs Jan2023'!AJ66,($C$5*'Tariffs Jan2023'!AL66/'Tariffs Jan2023'!AJ66*'Tariffs Jan2023'!U66/100)* 'Tariffs Jan2023'!AJ66)</f>
        <v>486.00000000000011</v>
      </c>
      <c r="K72" s="547">
        <f>IF($C$5*'Tariffs Jan2023'!AL66/'Tariffs Jan2023'!AJ66&lt;'Tariffs Jan2023'!J66,0,IF($C$5*'Tariffs Jan2023'!AL66/'Tariffs Jan2023'!AJ66&lt;='Tariffs Jan2023'!K66,($C$5*'Tariffs Jan2023'!AL66/'Tariffs Jan2023'!AJ66-'Tariffs Jan2023'!J66)*('Tariffs Jan2023'!V66/100)*'Tariffs Jan2023'!AJ66,('Tariffs Jan2023'!K66-'Tariffs Jan2023'!J66)*('Tariffs Jan2023'!V66/100)*'Tariffs Jan2023'!AJ66))</f>
        <v>0</v>
      </c>
      <c r="L72" s="547">
        <v>0</v>
      </c>
      <c r="M72" s="547">
        <v>0</v>
      </c>
      <c r="N72" s="547">
        <f>IF(($C$5*'Tariffs Jan2023'!AL66/'Tariffs Jan2023'!AJ66&gt;'Tariffs Jan2023'!M66),($C$5*'Tariffs Jan2023'!AL66/'Tariffs Jan2023'!AJ66-'Tariffs Jan2023'!M66)*'Tariffs Jan2023'!Y66/100*'Tariffs Jan2023'!AJ66,0)</f>
        <v>1059.5454545454543</v>
      </c>
      <c r="O72" s="278">
        <f t="shared" si="83"/>
        <v>3091.090909090909</v>
      </c>
      <c r="P72" s="504">
        <f t="shared" si="82"/>
        <v>3400.2000000000003</v>
      </c>
      <c r="Q72" s="278">
        <f t="shared" si="84"/>
        <v>3474.340909090909</v>
      </c>
      <c r="R72" s="280">
        <f t="shared" si="85"/>
        <v>3821.7750000000001</v>
      </c>
      <c r="S72" s="277">
        <f>'Tariffs Jan2023'!AN66</f>
        <v>0</v>
      </c>
      <c r="T72" s="277">
        <f>'Tariffs Jan2023'!AO66</f>
        <v>0</v>
      </c>
      <c r="U72" s="277">
        <f>'Tariffs Jan2023'!AP66</f>
        <v>0</v>
      </c>
      <c r="V72" s="277">
        <f>'Tariffs Jan2023'!AQ66</f>
        <v>0</v>
      </c>
      <c r="W72" s="540" t="str">
        <f t="shared" si="75"/>
        <v>No discount</v>
      </c>
      <c r="X72" s="541" t="str">
        <f t="shared" si="76"/>
        <v>Exclusive</v>
      </c>
      <c r="Y72" s="543">
        <f t="shared" si="86"/>
        <v>3474.340909090909</v>
      </c>
      <c r="Z72" s="544">
        <f t="shared" si="87"/>
        <v>3474.340909090909</v>
      </c>
      <c r="AA72" s="545">
        <f t="shared" si="81"/>
        <v>3821.7750000000001</v>
      </c>
      <c r="AB72" s="610">
        <f t="shared" si="81"/>
        <v>3821.7750000000001</v>
      </c>
      <c r="AC72" s="604"/>
      <c r="AD72" s="604"/>
      <c r="AE72" s="604"/>
      <c r="AF72" s="604"/>
      <c r="AG72" s="604"/>
      <c r="AH72" s="604"/>
      <c r="AI72" s="604"/>
      <c r="AJ72" s="604"/>
      <c r="AK72" s="604"/>
      <c r="AL72" s="604"/>
      <c r="AM72" s="604"/>
      <c r="AN72" s="604"/>
      <c r="AO72" s="604"/>
      <c r="AP72" s="604"/>
      <c r="AQ72" s="604"/>
      <c r="AR72" s="604"/>
      <c r="AS72" s="604"/>
      <c r="AT72" s="604"/>
    </row>
    <row r="73" spans="1:46" ht="15" thickTop="1" x14ac:dyDescent="0.15">
      <c r="A73" s="270" t="str">
        <f>'Tariffs Jan2023'!F67</f>
        <v>AGL</v>
      </c>
      <c r="B73" s="40" t="str">
        <f>'Tariffs Jan2023'!D67</f>
        <v>AusNet Services West</v>
      </c>
      <c r="C73" s="40" t="str">
        <f>'Tariffs Jan2023'!G67</f>
        <v>Value Saver</v>
      </c>
      <c r="D73" s="59">
        <f>365*'Tariffs Jan2023'!H67/100</f>
        <v>338.18909090909091</v>
      </c>
      <c r="E73" s="59">
        <f>IF($C$5*'Tariffs Jan2023'!AK67/'Tariffs Jan2023'!AI67&gt;='Tariffs Jan2023'!J67,( 'Tariffs Jan2023'!J67*'Tariffs Jan2023'!O67/100)* 'Tariffs Jan2023'!AI67,($C$5*'Tariffs Jan2023'!AK67/'Tariffs Jan2023'!AI67*'Tariffs Jan2023'!O67/100)* 'Tariffs Jan2023'!AI67)</f>
        <v>322.90909090909082</v>
      </c>
      <c r="F73" s="59">
        <f>IF($C$5*'Tariffs Jan2023'!AK67/'Tariffs Jan2023'!AI67&lt;'Tariffs Jan2023'!J67,0,IF($C$5*'Tariffs Jan2023'!AK67/'Tariffs Jan2023'!AI67&lt;='Tariffs Jan2023'!K67,($C$5*'Tariffs Jan2023'!AK67/'Tariffs Jan2023'!AI67-'Tariffs Jan2023'!J67)*('Tariffs Jan2023'!P67/100)*'Tariffs Jan2023'!AI67,('Tariffs Jan2023'!K67-'Tariffs Jan2023'!J67)*('Tariffs Jan2023'!P67/100)*'Tariffs Jan2023'!AI67))</f>
        <v>234.76339090909082</v>
      </c>
      <c r="G73" s="59">
        <f>IF($C$5*'Tariffs Jan2023'!AK67/'Tariffs Jan2023'!AI67&lt;'Tariffs Jan2023'!K67,0,IF($C$5*'Tariffs Jan2023'!AK67/'Tariffs Jan2023'!AI67&lt;='Tariffs Jan2023'!L67,($C$5*'Tariffs Jan2023'!AK67/'Tariffs Jan2023'!AI67-'Tariffs Jan2023'!K67)*('Tariffs Jan2023'!Q67/100)*'Tariffs Jan2023'!AI67,('Tariffs Jan2023'!L67-'Tariffs Jan2023'!K67)*('Tariffs Jan2023'!Q67/100)*'Tariffs Jan2023'!AI67))</f>
        <v>0</v>
      </c>
      <c r="H73" s="59">
        <f>IF($C$5*'Tariffs Jan2023'!AK67/'Tariffs Jan2023'!AI67&lt;'Tariffs Jan2023'!L67,0,IF($C$5*'Tariffs Jan2023'!AK67/'Tariffs Jan2023'!AI67&lt;='Tariffs Jan2023'!M67,($C$5*'Tariffs Jan2023'!AK67/'Tariffs Jan2023'!AI67-'Tariffs Jan2023'!L67)*('Tariffs Jan2023'!R67/100)*'Tariffs Jan2023'!AI67,('Tariffs Jan2023'!M67-'Tariffs Jan2023'!L67)*('Tariffs Jan2023'!R67/100)*'Tariffs Jan2023'!AI67))</f>
        <v>0</v>
      </c>
      <c r="I73" s="69">
        <f>IF(($C$5*'Tariffs Jan2023'!AK67/'Tariffs Jan2023'!AI67&gt;'Tariffs Jan2023'!M67),($C$5*'Tariffs Jan2023'!AK67/'Tariffs Jan2023'!AI67-'Tariffs Jan2023'!M67)*'Tariffs Jan2023'!S67/100*'Tariffs Jan2023'!AI67,0)</f>
        <v>0</v>
      </c>
      <c r="J73" s="69">
        <f>IF($C$5*'Tariffs Jan2023'!AL67/'Tariffs Jan2023'!AJ67&gt;='Tariffs Jan2023'!J67,('Tariffs Jan2023'!J67*'Tariffs Jan2023'!U67/100)* 'Tariffs Jan2023'!AJ67,($C$5*'Tariffs Jan2023'!AL67/'Tariffs Jan2023'!AJ67*'Tariffs Jan2023'!U67/100)* 'Tariffs Jan2023'!AJ67)</f>
        <v>597.81818181818176</v>
      </c>
      <c r="K73" s="69">
        <f>IF($C$5*'Tariffs Jan2023'!AL67/'Tariffs Jan2023'!AJ67&lt;'Tariffs Jan2023'!J67,0,IF($C$5*'Tariffs Jan2023'!AL67/'Tariffs Jan2023'!AJ67&lt;='Tariffs Jan2023'!K67,($C$5*'Tariffs Jan2023'!AL67/'Tariffs Jan2023'!AJ67-'Tariffs Jan2023'!J67)*('Tariffs Jan2023'!V67/100)*'Tariffs Jan2023'!AJ67,('Tariffs Jan2023'!K67-'Tariffs Jan2023'!J67)*('Tariffs Jan2023'!V67/100)*'Tariffs Jan2023'!AJ67))</f>
        <v>369.73189090909079</v>
      </c>
      <c r="L73" s="69">
        <f>IF($C$5*'Tariffs Jan2023'!AL67/'Tariffs Jan2023'!AJ67&lt;'Tariffs Jan2023'!K67,0,IF($C$5*'Tariffs Jan2023'!AL67/'Tariffs Jan2023'!AJ67&lt;='Tariffs Jan2023'!L67,($C$5*'Tariffs Jan2023'!AL67/'Tariffs Jan2023'!AJ67-'Tariffs Jan2023'!K67)*('Tariffs Jan2023'!W67/100)*'Tariffs Jan2023'!AJ67,('Tariffs Jan2023'!L67-'Tariffs Jan2023'!K67)*('Tariffs Jan2023'!W67/100)*'Tariffs Jan2023'!AJ67))</f>
        <v>0</v>
      </c>
      <c r="M73" s="69">
        <f>IF($C$5*'Tariffs Jan2023'!AL67/'Tariffs Jan2023'!AJ67&lt;'Tariffs Jan2023'!L67,0,IF($C$5*'Tariffs Jan2023'!AL67/'Tariffs Jan2023'!AJ67&lt;='Tariffs Jan2023'!M67,($C$5*'Tariffs Jan2023'!AL67/'Tariffs Jan2023'!AJ67-'Tariffs Jan2023'!L67)*('Tariffs Jan2023'!X67/100)*'Tariffs Jan2023'!AJ67,('Tariffs Jan2023'!M67-'Tariffs Jan2023'!L67)*('Tariffs Jan2023'!X67/100)*'Tariffs Jan2023'!AJ67))</f>
        <v>0</v>
      </c>
      <c r="N73" s="69">
        <f>IF(($C$5*'Tariffs Jan2023'!AL67/'Tariffs Jan2023'!AJ67&gt;'Tariffs Jan2023'!M67),($C$5*'Tariffs Jan2023'!AL67/'Tariffs Jan2023'!AJ67-'Tariffs Jan2023'!M67)*'Tariffs Jan2023'!Y67/100*'Tariffs Jan2023'!AJ67,0)</f>
        <v>0</v>
      </c>
      <c r="O73" s="59">
        <f t="shared" si="83"/>
        <v>1525.2225545454544</v>
      </c>
      <c r="P73" s="503">
        <f t="shared" si="82"/>
        <v>1677.7448099999999</v>
      </c>
      <c r="Q73" s="59">
        <f t="shared" si="84"/>
        <v>1863.4116454545454</v>
      </c>
      <c r="R73" s="272">
        <f t="shared" si="85"/>
        <v>2049.75281</v>
      </c>
      <c r="S73" s="40">
        <f>'Tariffs Jan2023'!AN67</f>
        <v>0</v>
      </c>
      <c r="T73" s="40">
        <f>'Tariffs Jan2023'!AO67</f>
        <v>0</v>
      </c>
      <c r="U73" s="40">
        <f>'Tariffs Jan2023'!AP67</f>
        <v>0</v>
      </c>
      <c r="V73" s="40">
        <f>'Tariffs Jan2023'!AQ67</f>
        <v>0</v>
      </c>
      <c r="W73" s="537" t="str">
        <f t="shared" si="75"/>
        <v>No discount</v>
      </c>
      <c r="X73" s="538" t="str">
        <f t="shared" si="76"/>
        <v>Exclusive</v>
      </c>
      <c r="Y73" s="534">
        <f t="shared" si="86"/>
        <v>1863.4116454545454</v>
      </c>
      <c r="Z73" s="535">
        <f t="shared" si="87"/>
        <v>1863.4116454545454</v>
      </c>
      <c r="AA73" s="542">
        <f t="shared" si="81"/>
        <v>2049.75281</v>
      </c>
      <c r="AB73" s="609">
        <f t="shared" si="81"/>
        <v>2049.75281</v>
      </c>
      <c r="AC73" s="604"/>
      <c r="AD73" s="604"/>
      <c r="AE73" s="604"/>
      <c r="AF73" s="604"/>
      <c r="AG73" s="604"/>
      <c r="AH73" s="604"/>
      <c r="AI73" s="604"/>
      <c r="AJ73" s="604"/>
      <c r="AK73" s="604"/>
      <c r="AL73" s="604"/>
      <c r="AM73" s="604"/>
      <c r="AN73" s="604"/>
      <c r="AO73" s="604"/>
      <c r="AP73" s="604"/>
      <c r="AQ73" s="604"/>
      <c r="AR73" s="604"/>
      <c r="AS73" s="604"/>
      <c r="AT73" s="604"/>
    </row>
    <row r="74" spans="1:46" ht="14" x14ac:dyDescent="0.15">
      <c r="A74" s="270" t="str">
        <f>'Tariffs Jan2023'!F68</f>
        <v>Alinta Energy</v>
      </c>
      <c r="B74" s="40" t="str">
        <f>'Tariffs Jan2023'!D68</f>
        <v>AusNet Services West</v>
      </c>
      <c r="C74" s="40" t="str">
        <f>'Tariffs Jan2023'!G68</f>
        <v>Home Deal</v>
      </c>
      <c r="D74" s="59">
        <f>365*'Tariffs Jan2023'!H68/100</f>
        <v>274.47999999999996</v>
      </c>
      <c r="E74" s="59">
        <f>IF($C$5*'Tariffs Jan2023'!AK68/'Tariffs Jan2023'!AI68&gt;='Tariffs Jan2023'!J68,( 'Tariffs Jan2023'!J68*'Tariffs Jan2023'!O68/100)* 'Tariffs Jan2023'!AI68,($C$5*'Tariffs Jan2023'!AK68/'Tariffs Jan2023'!AI68*'Tariffs Jan2023'!O68/100)* 'Tariffs Jan2023'!AI68)</f>
        <v>259.63636363636363</v>
      </c>
      <c r="F74" s="59">
        <f>IF($C$5*'Tariffs Jan2023'!AK68/'Tariffs Jan2023'!AI68&lt;'Tariffs Jan2023'!J68,0,IF($C$5*'Tariffs Jan2023'!AK68/'Tariffs Jan2023'!AI68&lt;='Tariffs Jan2023'!K68,($C$5*'Tariffs Jan2023'!AK68/'Tariffs Jan2023'!AI68-'Tariffs Jan2023'!J68)*('Tariffs Jan2023'!P68/100)*'Tariffs Jan2023'!AI68,('Tariffs Jan2023'!K68-'Tariffs Jan2023'!J68)*('Tariffs Jan2023'!P68/100)*'Tariffs Jan2023'!AI68))</f>
        <v>0</v>
      </c>
      <c r="G74" s="59">
        <f>IF($C$5*'Tariffs Jan2023'!AK68/'Tariffs Jan2023'!AI68&lt;'Tariffs Jan2023'!K68,0,IF($C$5*'Tariffs Jan2023'!AK68/'Tariffs Jan2023'!AI68&lt;='Tariffs Jan2023'!L68,($C$5*'Tariffs Jan2023'!AK68/'Tariffs Jan2023'!AI68-'Tariffs Jan2023'!K68)*('Tariffs Jan2023'!Q68/100)*'Tariffs Jan2023'!AI68,('Tariffs Jan2023'!L68-'Tariffs Jan2023'!K68)*('Tariffs Jan2023'!Q68/100)*'Tariffs Jan2023'!AI68))</f>
        <v>0</v>
      </c>
      <c r="H74" s="59">
        <f>IF($C$5*'Tariffs Jan2023'!AK68/'Tariffs Jan2023'!AI68&lt;'Tariffs Jan2023'!L68,0,IF($C$5*'Tariffs Jan2023'!AK68/'Tariffs Jan2023'!AI68&lt;='Tariffs Jan2023'!M68,($C$5*'Tariffs Jan2023'!AK68/'Tariffs Jan2023'!AI68-'Tariffs Jan2023'!L68)*('Tariffs Jan2023'!R68/100)*'Tariffs Jan2023'!AI68,('Tariffs Jan2023'!M68-'Tariffs Jan2023'!L68)*('Tariffs Jan2023'!R68/100)*'Tariffs Jan2023'!AI68))</f>
        <v>0</v>
      </c>
      <c r="I74" s="69">
        <f>IF(($C$5*'Tariffs Jan2023'!AK68/'Tariffs Jan2023'!AI68&gt;'Tariffs Jan2023'!M68),($C$5*'Tariffs Jan2023'!AK68/'Tariffs Jan2023'!AI68-'Tariffs Jan2023'!M68)*'Tariffs Jan2023'!S68/100*'Tariffs Jan2023'!AI68,0)</f>
        <v>177.50402727272723</v>
      </c>
      <c r="J74" s="69">
        <f>IF($C$5*'Tariffs Jan2023'!AL68/'Tariffs Jan2023'!AJ68&gt;='Tariffs Jan2023'!J68,('Tariffs Jan2023'!J68*'Tariffs Jan2023'!U68/100)* 'Tariffs Jan2023'!AJ68,($C$5*'Tariffs Jan2023'!AL68/'Tariffs Jan2023'!AJ68*'Tariffs Jan2023'!U68/100)* 'Tariffs Jan2023'!AJ68)</f>
        <v>453.81818181818181</v>
      </c>
      <c r="K74" s="69">
        <f>IF($C$5*'Tariffs Jan2023'!AL68/'Tariffs Jan2023'!AJ68&lt;'Tariffs Jan2023'!J68,0,IF($C$5*'Tariffs Jan2023'!AL68/'Tariffs Jan2023'!AJ68&lt;='Tariffs Jan2023'!K68,($C$5*'Tariffs Jan2023'!AL68/'Tariffs Jan2023'!AJ68-'Tariffs Jan2023'!J68)*('Tariffs Jan2023'!V68/100)*'Tariffs Jan2023'!AJ68,('Tariffs Jan2023'!K68-'Tariffs Jan2023'!J68)*('Tariffs Jan2023'!V68/100)*'Tariffs Jan2023'!AJ68))</f>
        <v>0</v>
      </c>
      <c r="L74" s="69">
        <f>IF($C$5*'Tariffs Jan2023'!AL68/'Tariffs Jan2023'!AJ68&lt;'Tariffs Jan2023'!K68,0,IF($C$5*'Tariffs Jan2023'!AL68/'Tariffs Jan2023'!AJ68&lt;='Tariffs Jan2023'!L68,($C$5*'Tariffs Jan2023'!AL68/'Tariffs Jan2023'!AJ68-'Tariffs Jan2023'!K68)*('Tariffs Jan2023'!W68/100)*'Tariffs Jan2023'!AJ68,('Tariffs Jan2023'!L68-'Tariffs Jan2023'!K68)*('Tariffs Jan2023'!W68/100)*'Tariffs Jan2023'!AJ68))</f>
        <v>0</v>
      </c>
      <c r="M74" s="69">
        <f>IF($C$5*'Tariffs Jan2023'!AL68/'Tariffs Jan2023'!AJ68&lt;'Tariffs Jan2023'!L68,0,IF($C$5*'Tariffs Jan2023'!AL68/'Tariffs Jan2023'!AJ68&lt;='Tariffs Jan2023'!M68,($C$5*'Tariffs Jan2023'!AL68/'Tariffs Jan2023'!AJ68-'Tariffs Jan2023'!L68)*('Tariffs Jan2023'!X68/100)*'Tariffs Jan2023'!AJ68,('Tariffs Jan2023'!M68-'Tariffs Jan2023'!L68)*('Tariffs Jan2023'!X68/100)*'Tariffs Jan2023'!AJ68))</f>
        <v>0</v>
      </c>
      <c r="N74" s="69">
        <f>IF(($C$5*'Tariffs Jan2023'!AL68/'Tariffs Jan2023'!AJ68&gt;'Tariffs Jan2023'!M68),($C$5*'Tariffs Jan2023'!AL68/'Tariffs Jan2023'!AJ68-'Tariffs Jan2023'!M68)*'Tariffs Jan2023'!Y68/100*'Tariffs Jan2023'!AJ68,0)</f>
        <v>274.84494545454538</v>
      </c>
      <c r="O74" s="59">
        <f t="shared" si="83"/>
        <v>1165.8035181818182</v>
      </c>
      <c r="P74" s="503">
        <f t="shared" si="82"/>
        <v>1282.3838700000001</v>
      </c>
      <c r="Q74" s="59">
        <f t="shared" si="84"/>
        <v>1440.2835181818182</v>
      </c>
      <c r="R74" s="272">
        <f t="shared" si="85"/>
        <v>1584.3118700000002</v>
      </c>
      <c r="S74" s="40">
        <f>'Tariffs Jan2023'!AN68</f>
        <v>0</v>
      </c>
      <c r="T74" s="40">
        <f>'Tariffs Jan2023'!AO68</f>
        <v>0</v>
      </c>
      <c r="U74" s="40">
        <f>'Tariffs Jan2023'!AP68</f>
        <v>0</v>
      </c>
      <c r="V74" s="40">
        <f>'Tariffs Jan2023'!AQ68</f>
        <v>0</v>
      </c>
      <c r="W74" s="537" t="str">
        <f t="shared" si="75"/>
        <v>No discount</v>
      </c>
      <c r="X74" s="538" t="str">
        <f t="shared" si="76"/>
        <v>Exclusive</v>
      </c>
      <c r="Y74" s="534">
        <f t="shared" si="86"/>
        <v>1440.2835181818182</v>
      </c>
      <c r="Z74" s="535">
        <f t="shared" si="87"/>
        <v>1440.2835181818182</v>
      </c>
      <c r="AA74" s="542">
        <f t="shared" si="81"/>
        <v>1584.3118700000002</v>
      </c>
      <c r="AB74" s="609">
        <f t="shared" si="81"/>
        <v>1584.3118700000002</v>
      </c>
      <c r="AC74" s="604"/>
      <c r="AD74" s="604"/>
      <c r="AE74" s="604"/>
      <c r="AF74" s="604"/>
      <c r="AG74" s="604"/>
      <c r="AH74" s="604"/>
      <c r="AI74" s="604"/>
      <c r="AJ74" s="604"/>
      <c r="AK74" s="604"/>
      <c r="AL74" s="604"/>
      <c r="AM74" s="604"/>
      <c r="AN74" s="604"/>
      <c r="AO74" s="604"/>
      <c r="AP74" s="604"/>
      <c r="AQ74" s="604"/>
      <c r="AR74" s="604"/>
      <c r="AS74" s="604"/>
      <c r="AT74" s="604"/>
    </row>
    <row r="75" spans="1:46" ht="14" x14ac:dyDescent="0.15">
      <c r="A75" s="270" t="str">
        <f>'Tariffs Jan2023'!F69</f>
        <v>EnergyAustralia</v>
      </c>
      <c r="B75" s="40" t="str">
        <f>'Tariffs Jan2023'!D69</f>
        <v>AusNet Services West</v>
      </c>
      <c r="C75" s="40" t="str">
        <f>'Tariffs Jan2023'!G69</f>
        <v>Flexi Plan</v>
      </c>
      <c r="D75" s="59">
        <f>365*'Tariffs Jan2023'!H69/100</f>
        <v>451.8368181818181</v>
      </c>
      <c r="E75" s="59">
        <f>IF($C$5*'Tariffs Jan2023'!AK69/'Tariffs Jan2023'!AI69&gt;='Tariffs Jan2023'!J69,( 'Tariffs Jan2023'!J69*'Tariffs Jan2023'!O69/100)* 'Tariffs Jan2023'!AI69,($C$5*'Tariffs Jan2023'!AK69/'Tariffs Jan2023'!AI69*'Tariffs Jan2023'!O69/100)* 'Tariffs Jan2023'!AI69)</f>
        <v>402.5454545454545</v>
      </c>
      <c r="F75" s="59">
        <f>IF($C$5*'Tariffs Jan2023'!AK69/'Tariffs Jan2023'!AI69&lt;'Tariffs Jan2023'!J69,0,IF($C$5*'Tariffs Jan2023'!AK69/'Tariffs Jan2023'!AI69&lt;='Tariffs Jan2023'!K69,($C$5*'Tariffs Jan2023'!AK69/'Tariffs Jan2023'!AI69-'Tariffs Jan2023'!J69)*('Tariffs Jan2023'!P69/100)*'Tariffs Jan2023'!AI69,('Tariffs Jan2023'!K69-'Tariffs Jan2023'!J69)*('Tariffs Jan2023'!P69/100)*'Tariffs Jan2023'!AI69))</f>
        <v>276.48092727272717</v>
      </c>
      <c r="G75" s="59">
        <f>IF($C$5*'Tariffs Jan2023'!AK69/'Tariffs Jan2023'!AI69&lt;'Tariffs Jan2023'!K69,0,IF($C$5*'Tariffs Jan2023'!AK69/'Tariffs Jan2023'!AI69&lt;='Tariffs Jan2023'!L69,($C$5*'Tariffs Jan2023'!AK69/'Tariffs Jan2023'!AI69-'Tariffs Jan2023'!K69)*('Tariffs Jan2023'!Q69/100)*'Tariffs Jan2023'!AI69,('Tariffs Jan2023'!L69-'Tariffs Jan2023'!K69)*('Tariffs Jan2023'!Q69/100)*'Tariffs Jan2023'!AI69))</f>
        <v>0</v>
      </c>
      <c r="H75" s="59">
        <f>IF($C$5*'Tariffs Jan2023'!AK69/'Tariffs Jan2023'!AI69&lt;'Tariffs Jan2023'!L69,0,IF($C$5*'Tariffs Jan2023'!AK69/'Tariffs Jan2023'!AI69&lt;='Tariffs Jan2023'!M69,($C$5*'Tariffs Jan2023'!AK69/'Tariffs Jan2023'!AI69-'Tariffs Jan2023'!L69)*('Tariffs Jan2023'!R69/100)*'Tariffs Jan2023'!AI69,('Tariffs Jan2023'!M69-'Tariffs Jan2023'!L69)*('Tariffs Jan2023'!R69/100)*'Tariffs Jan2023'!AI69))</f>
        <v>0</v>
      </c>
      <c r="I75" s="69">
        <f>IF(($C$5*'Tariffs Jan2023'!AK69/'Tariffs Jan2023'!AI69&gt;'Tariffs Jan2023'!M69),($C$5*'Tariffs Jan2023'!AK69/'Tariffs Jan2023'!AI69-'Tariffs Jan2023'!M69)*'Tariffs Jan2023'!S69/100*'Tariffs Jan2023'!AI69,0)</f>
        <v>0</v>
      </c>
      <c r="J75" s="69">
        <f>IF($C$5*'Tariffs Jan2023'!AL69/'Tariffs Jan2023'!AJ69&gt;='Tariffs Jan2023'!J69,('Tariffs Jan2023'!J69*'Tariffs Jan2023'!U69/100)* 'Tariffs Jan2023'!AJ69,($C$5*'Tariffs Jan2023'!AL69/'Tariffs Jan2023'!AJ69*'Tariffs Jan2023'!U69/100)* 'Tariffs Jan2023'!AJ69)</f>
        <v>663.27272727272725</v>
      </c>
      <c r="K75" s="69">
        <f>IF($C$5*'Tariffs Jan2023'!AL69/'Tariffs Jan2023'!AJ69&lt;'Tariffs Jan2023'!J69,0,IF($C$5*'Tariffs Jan2023'!AL69/'Tariffs Jan2023'!AJ69&lt;='Tariffs Jan2023'!K69,($C$5*'Tariffs Jan2023'!AL69/'Tariffs Jan2023'!AJ69-'Tariffs Jan2023'!J69)*('Tariffs Jan2023'!V69/100)*'Tariffs Jan2023'!AJ69,('Tariffs Jan2023'!K69-'Tariffs Jan2023'!J69)*('Tariffs Jan2023'!V69/100)*'Tariffs Jan2023'!AJ69))</f>
        <v>492.43052727272703</v>
      </c>
      <c r="L75" s="69">
        <f>IF($C$5*'Tariffs Jan2023'!AL69/'Tariffs Jan2023'!AJ69&lt;'Tariffs Jan2023'!K69,0,IF($C$5*'Tariffs Jan2023'!AL69/'Tariffs Jan2023'!AJ69&lt;='Tariffs Jan2023'!L69,($C$5*'Tariffs Jan2023'!AL69/'Tariffs Jan2023'!AJ69-'Tariffs Jan2023'!K69)*('Tariffs Jan2023'!W69/100)*'Tariffs Jan2023'!AJ69,('Tariffs Jan2023'!L69-'Tariffs Jan2023'!K69)*('Tariffs Jan2023'!W69/100)*'Tariffs Jan2023'!AJ69))</f>
        <v>0</v>
      </c>
      <c r="M75" s="69">
        <f>IF($C$5*'Tariffs Jan2023'!AL69/'Tariffs Jan2023'!AJ69&lt;'Tariffs Jan2023'!L69,0,IF($C$5*'Tariffs Jan2023'!AL69/'Tariffs Jan2023'!AJ69&lt;='Tariffs Jan2023'!M69,($C$5*'Tariffs Jan2023'!AL69/'Tariffs Jan2023'!AJ69-'Tariffs Jan2023'!L69)*('Tariffs Jan2023'!X69/100)*'Tariffs Jan2023'!AJ69,('Tariffs Jan2023'!M69-'Tariffs Jan2023'!L69)*('Tariffs Jan2023'!X69/100)*'Tariffs Jan2023'!AJ69))</f>
        <v>0</v>
      </c>
      <c r="N75" s="69">
        <f>IF(($C$5*'Tariffs Jan2023'!AL69/'Tariffs Jan2023'!AJ69&gt;'Tariffs Jan2023'!M69),($C$5*'Tariffs Jan2023'!AL69/'Tariffs Jan2023'!AJ69-'Tariffs Jan2023'!M69)*'Tariffs Jan2023'!Y69/100*'Tariffs Jan2023'!AJ69,0)</f>
        <v>0</v>
      </c>
      <c r="O75" s="59">
        <f>SUM(E75:N75)</f>
        <v>1834.729636363636</v>
      </c>
      <c r="P75" s="503">
        <f t="shared" si="82"/>
        <v>2018.2025999999998</v>
      </c>
      <c r="Q75" s="59">
        <f>D75+O75</f>
        <v>2286.5664545454542</v>
      </c>
      <c r="R75" s="272">
        <f>Q75*1.1</f>
        <v>2515.2230999999997</v>
      </c>
      <c r="S75" s="40">
        <f>'Tariffs Jan2023'!AN69</f>
        <v>12</v>
      </c>
      <c r="T75" s="40">
        <f>'Tariffs Jan2023'!AO69</f>
        <v>0</v>
      </c>
      <c r="U75" s="40">
        <f>'Tariffs Jan2023'!AP69</f>
        <v>0</v>
      </c>
      <c r="V75" s="40">
        <f>'Tariffs Jan2023'!AQ69</f>
        <v>0</v>
      </c>
      <c r="W75" s="537" t="str">
        <f t="shared" si="75"/>
        <v>Guaranteed off bill</v>
      </c>
      <c r="X75" s="538" t="str">
        <f t="shared" si="76"/>
        <v>Exclusive</v>
      </c>
      <c r="Y75" s="534">
        <f t="shared" si="86"/>
        <v>2012.1784799999998</v>
      </c>
      <c r="Z75" s="535">
        <f t="shared" si="87"/>
        <v>2012.1784799999998</v>
      </c>
      <c r="AA75" s="542">
        <f t="shared" si="81"/>
        <v>2213.3963279999998</v>
      </c>
      <c r="AB75" s="609">
        <f t="shared" si="81"/>
        <v>2213.3963279999998</v>
      </c>
      <c r="AC75" s="604"/>
      <c r="AD75" s="604"/>
      <c r="AE75" s="604"/>
      <c r="AF75" s="604"/>
      <c r="AG75" s="604"/>
      <c r="AH75" s="604"/>
      <c r="AI75" s="604"/>
      <c r="AJ75" s="604"/>
      <c r="AK75" s="604"/>
      <c r="AL75" s="604"/>
      <c r="AM75" s="604"/>
      <c r="AN75" s="604"/>
      <c r="AO75" s="604"/>
      <c r="AP75" s="604"/>
      <c r="AQ75" s="604"/>
      <c r="AR75" s="604"/>
      <c r="AS75" s="604"/>
      <c r="AT75" s="604"/>
    </row>
    <row r="76" spans="1:46" ht="14" x14ac:dyDescent="0.15">
      <c r="A76" s="270" t="str">
        <f>'Tariffs Jan2023'!F70</f>
        <v>Lumo Energy</v>
      </c>
      <c r="B76" s="40" t="str">
        <f>'Tariffs Jan2023'!D70</f>
        <v>AusNet Services West</v>
      </c>
      <c r="C76" s="40" t="str">
        <f>'Tariffs Jan2023'!G70</f>
        <v>Value</v>
      </c>
      <c r="D76" s="59">
        <f>365*'Tariffs Jan2023'!H70/100</f>
        <v>334.70499999999998</v>
      </c>
      <c r="E76" s="59">
        <f>IF($C$5*'Tariffs Jan2023'!AK70/'Tariffs Jan2023'!AI70&gt;='Tariffs Jan2023'!J70,( 'Tariffs Jan2023'!J70*'Tariffs Jan2023'!O70/100)* 'Tariffs Jan2023'!AI70,($C$5*'Tariffs Jan2023'!AK70/'Tariffs Jan2023'!AI70*'Tariffs Jan2023'!O70/100)* 'Tariffs Jan2023'!AI70)</f>
        <v>293.45454545454544</v>
      </c>
      <c r="F76" s="59">
        <f>IF($C$5*'Tariffs Jan2023'!AK70/'Tariffs Jan2023'!AI70&lt;'Tariffs Jan2023'!J70,0,IF($C$5*'Tariffs Jan2023'!AK70/'Tariffs Jan2023'!AI70&lt;='Tariffs Jan2023'!K70,($C$5*'Tariffs Jan2023'!AK70/'Tariffs Jan2023'!AI70-'Tariffs Jan2023'!J70)*('Tariffs Jan2023'!P70/100)*'Tariffs Jan2023'!AI70,('Tariffs Jan2023'!K70-'Tariffs Jan2023'!J70)*('Tariffs Jan2023'!P70/100)*'Tariffs Jan2023'!AI70))</f>
        <v>211.85964545454536</v>
      </c>
      <c r="G76" s="59">
        <f>IF($C$5*'Tariffs Jan2023'!AK70/'Tariffs Jan2023'!AI70&lt;'Tariffs Jan2023'!K70,0,IF($C$5*'Tariffs Jan2023'!AK70/'Tariffs Jan2023'!AI70&lt;='Tariffs Jan2023'!L70,($C$5*'Tariffs Jan2023'!AK70/'Tariffs Jan2023'!AI70-'Tariffs Jan2023'!K70)*('Tariffs Jan2023'!Q70/100)*'Tariffs Jan2023'!AI70,('Tariffs Jan2023'!L70-'Tariffs Jan2023'!K70)*('Tariffs Jan2023'!Q70/100)*'Tariffs Jan2023'!AI70))</f>
        <v>0</v>
      </c>
      <c r="H76" s="59">
        <f>IF($C$5*'Tariffs Jan2023'!AK70/'Tariffs Jan2023'!AI70&lt;'Tariffs Jan2023'!L70,0,IF($C$5*'Tariffs Jan2023'!AK70/'Tariffs Jan2023'!AI70&lt;='Tariffs Jan2023'!M70,($C$5*'Tariffs Jan2023'!AK70/'Tariffs Jan2023'!AI70-'Tariffs Jan2023'!L70)*('Tariffs Jan2023'!R70/100)*'Tariffs Jan2023'!AI70,('Tariffs Jan2023'!M70-'Tariffs Jan2023'!L70)*('Tariffs Jan2023'!R70/100)*'Tariffs Jan2023'!AI70))</f>
        <v>0</v>
      </c>
      <c r="I76" s="69">
        <f>IF(($C$5*'Tariffs Jan2023'!AK70/'Tariffs Jan2023'!AI70&gt;'Tariffs Jan2023'!M70),($C$5*'Tariffs Jan2023'!AK70/'Tariffs Jan2023'!AI70-'Tariffs Jan2023'!M70)*'Tariffs Jan2023'!S70/100*'Tariffs Jan2023'!AI70,0)</f>
        <v>0</v>
      </c>
      <c r="J76" s="69">
        <f>IF($C$5*'Tariffs Jan2023'!AL70/'Tariffs Jan2023'!AJ70&gt;='Tariffs Jan2023'!J70,('Tariffs Jan2023'!J70*'Tariffs Jan2023'!U70/100)* 'Tariffs Jan2023'!AJ70,($C$5*'Tariffs Jan2023'!AL70/'Tariffs Jan2023'!AJ70*'Tariffs Jan2023'!U70/100)* 'Tariffs Jan2023'!AJ70)</f>
        <v>527.99999999999989</v>
      </c>
      <c r="K76" s="69">
        <f>IF($C$5*'Tariffs Jan2023'!AL70/'Tariffs Jan2023'!AJ70&lt;'Tariffs Jan2023'!J70,0,IF($C$5*'Tariffs Jan2023'!AL70/'Tariffs Jan2023'!AJ70&lt;='Tariffs Jan2023'!K70,($C$5*'Tariffs Jan2023'!AL70/'Tariffs Jan2023'!AJ70-'Tariffs Jan2023'!J70)*('Tariffs Jan2023'!V70/100)*'Tariffs Jan2023'!AJ70,('Tariffs Jan2023'!K70-'Tariffs Jan2023'!J70)*('Tariffs Jan2023'!V70/100)*'Tariffs Jan2023'!AJ70))</f>
        <v>387.72769090909082</v>
      </c>
      <c r="L76" s="69">
        <f>IF($C$5*'Tariffs Jan2023'!AL70/'Tariffs Jan2023'!AJ70&lt;'Tariffs Jan2023'!K70,0,IF($C$5*'Tariffs Jan2023'!AL70/'Tariffs Jan2023'!AJ70&lt;='Tariffs Jan2023'!L70,($C$5*'Tariffs Jan2023'!AL70/'Tariffs Jan2023'!AJ70-'Tariffs Jan2023'!K70)*('Tariffs Jan2023'!W70/100)*'Tariffs Jan2023'!AJ70,('Tariffs Jan2023'!L70-'Tariffs Jan2023'!K70)*('Tariffs Jan2023'!W70/100)*'Tariffs Jan2023'!AJ70))</f>
        <v>0</v>
      </c>
      <c r="M76" s="69">
        <f>IF($C$5*'Tariffs Jan2023'!AL70/'Tariffs Jan2023'!AJ70&lt;'Tariffs Jan2023'!L70,0,IF($C$5*'Tariffs Jan2023'!AL70/'Tariffs Jan2023'!AJ70&lt;='Tariffs Jan2023'!M70,($C$5*'Tariffs Jan2023'!AL70/'Tariffs Jan2023'!AJ70-'Tariffs Jan2023'!L70)*('Tariffs Jan2023'!X70/100)*'Tariffs Jan2023'!AJ70,('Tariffs Jan2023'!M70-'Tariffs Jan2023'!L70)*('Tariffs Jan2023'!X70/100)*'Tariffs Jan2023'!AJ70))</f>
        <v>0</v>
      </c>
      <c r="N76" s="69">
        <f>IF(($C$5*'Tariffs Jan2023'!AL70/'Tariffs Jan2023'!AJ70&gt;'Tariffs Jan2023'!M70),($C$5*'Tariffs Jan2023'!AL70/'Tariffs Jan2023'!AJ70-'Tariffs Jan2023'!M70)*'Tariffs Jan2023'!Y70/100*'Tariffs Jan2023'!AJ70,0)</f>
        <v>0</v>
      </c>
      <c r="O76" s="59">
        <f t="shared" si="83"/>
        <v>1421.0418818181815</v>
      </c>
      <c r="P76" s="503">
        <f t="shared" si="82"/>
        <v>1563.1460699999998</v>
      </c>
      <c r="Q76" s="59">
        <f t="shared" si="84"/>
        <v>1755.7468818181815</v>
      </c>
      <c r="R76" s="272">
        <f t="shared" si="85"/>
        <v>1931.3215699999998</v>
      </c>
      <c r="S76" s="40">
        <f>'Tariffs Jan2023'!AN70</f>
        <v>0</v>
      </c>
      <c r="T76" s="40">
        <f>'Tariffs Jan2023'!AO70</f>
        <v>0</v>
      </c>
      <c r="U76" s="40">
        <f>'Tariffs Jan2023'!AP70</f>
        <v>0</v>
      </c>
      <c r="V76" s="40">
        <f>'Tariffs Jan2023'!AQ70</f>
        <v>0</v>
      </c>
      <c r="W76" s="537" t="str">
        <f t="shared" si="75"/>
        <v>No discount</v>
      </c>
      <c r="X76" s="538" t="str">
        <f t="shared" si="76"/>
        <v>Exclusive</v>
      </c>
      <c r="Y76" s="534">
        <f t="shared" si="86"/>
        <v>1755.7468818181815</v>
      </c>
      <c r="Z76" s="535">
        <f t="shared" si="87"/>
        <v>1755.7468818181815</v>
      </c>
      <c r="AA76" s="542">
        <f t="shared" si="81"/>
        <v>1931.3215699999998</v>
      </c>
      <c r="AB76" s="609">
        <f t="shared" si="81"/>
        <v>1931.3215699999998</v>
      </c>
      <c r="AC76" s="604"/>
      <c r="AD76" s="604"/>
      <c r="AE76" s="604"/>
      <c r="AF76" s="604"/>
      <c r="AG76" s="604"/>
      <c r="AH76" s="604"/>
      <c r="AI76" s="604"/>
      <c r="AJ76" s="604"/>
      <c r="AK76" s="604"/>
      <c r="AL76" s="604"/>
      <c r="AM76" s="604"/>
      <c r="AN76" s="604"/>
      <c r="AO76" s="604"/>
      <c r="AP76" s="604"/>
      <c r="AQ76" s="604"/>
      <c r="AR76" s="604"/>
      <c r="AS76" s="604"/>
      <c r="AT76" s="604"/>
    </row>
    <row r="77" spans="1:46" ht="14" x14ac:dyDescent="0.15">
      <c r="A77" s="270" t="str">
        <f>'Tariffs Jan2023'!F71</f>
        <v>Origin Energy</v>
      </c>
      <c r="B77" s="40" t="str">
        <f>'Tariffs Jan2023'!D71</f>
        <v>AusNet Services West</v>
      </c>
      <c r="C77" s="40" t="str">
        <f>'Tariffs Jan2023'!G71</f>
        <v>Go Variable</v>
      </c>
      <c r="D77" s="59">
        <f>365*'Tariffs Jan2023'!H71/100</f>
        <v>320.20454545454544</v>
      </c>
      <c r="E77" s="59">
        <f>((C$5*'Tariffs Jan2023'!AK71/'Tariffs Jan2023'!AI71)*('Tariffs Jan2023'!O71/100))*'Tariffs Jan2023'!AI71</f>
        <v>698.72727272727263</v>
      </c>
      <c r="F77" s="59">
        <v>0</v>
      </c>
      <c r="G77" s="59">
        <v>0</v>
      </c>
      <c r="H77" s="59">
        <v>0</v>
      </c>
      <c r="I77" s="69">
        <v>0</v>
      </c>
      <c r="J77" s="69">
        <f>((C$5*'Tariffs Jan2023'!AL71/'Tariffs Jan2023'!AJ71)*('Tariffs Jan2023'!U71/100))*'Tariffs Jan2023'!AJ71</f>
        <v>698.72727272727263</v>
      </c>
      <c r="K77" s="69">
        <v>0</v>
      </c>
      <c r="L77" s="69">
        <v>0</v>
      </c>
      <c r="M77" s="69">
        <v>0</v>
      </c>
      <c r="N77" s="69">
        <v>0</v>
      </c>
      <c r="O77" s="59">
        <f t="shared" si="83"/>
        <v>1397.4545454545453</v>
      </c>
      <c r="P77" s="503">
        <f t="shared" si="82"/>
        <v>1537.1999999999998</v>
      </c>
      <c r="Q77" s="59">
        <f t="shared" si="84"/>
        <v>1717.6590909090908</v>
      </c>
      <c r="R77" s="272">
        <f t="shared" si="85"/>
        <v>1889.425</v>
      </c>
      <c r="S77" s="40">
        <f>'Tariffs Jan2023'!AN71</f>
        <v>0</v>
      </c>
      <c r="T77" s="40">
        <f>'Tariffs Jan2023'!AO71</f>
        <v>0</v>
      </c>
      <c r="U77" s="40">
        <f>'Tariffs Jan2023'!AP71</f>
        <v>0</v>
      </c>
      <c r="V77" s="40">
        <f>'Tariffs Jan2023'!AQ71</f>
        <v>0</v>
      </c>
      <c r="W77" s="537" t="str">
        <f t="shared" si="75"/>
        <v>No discount</v>
      </c>
      <c r="X77" s="538" t="str">
        <f t="shared" si="76"/>
        <v>Inclusive</v>
      </c>
      <c r="Y77" s="534">
        <f t="shared" si="86"/>
        <v>1717.6590909090908</v>
      </c>
      <c r="Z77" s="535">
        <f t="shared" si="87"/>
        <v>1717.6590909090908</v>
      </c>
      <c r="AA77" s="542">
        <f t="shared" si="81"/>
        <v>1889.425</v>
      </c>
      <c r="AB77" s="609">
        <f t="shared" si="81"/>
        <v>1889.425</v>
      </c>
      <c r="AC77" s="604"/>
      <c r="AD77" s="604"/>
      <c r="AE77" s="604"/>
      <c r="AF77" s="604"/>
      <c r="AG77" s="604"/>
      <c r="AH77" s="604"/>
      <c r="AI77" s="604"/>
      <c r="AJ77" s="604"/>
      <c r="AK77" s="604"/>
      <c r="AL77" s="604"/>
      <c r="AM77" s="604"/>
      <c r="AN77" s="604"/>
      <c r="AO77" s="604"/>
      <c r="AP77" s="604"/>
      <c r="AQ77" s="604"/>
      <c r="AR77" s="604"/>
      <c r="AS77" s="604"/>
      <c r="AT77" s="604"/>
    </row>
    <row r="78" spans="1:46" ht="14" x14ac:dyDescent="0.15">
      <c r="A78" s="270" t="str">
        <f>'Tariffs Jan2023'!F72</f>
        <v>Red Energy</v>
      </c>
      <c r="B78" s="40" t="str">
        <f>'Tariffs Jan2023'!D72</f>
        <v>AusNet Services West</v>
      </c>
      <c r="C78" s="40" t="str">
        <f>'Tariffs Jan2023'!G72</f>
        <v>Living Energy Saver</v>
      </c>
      <c r="D78" s="59">
        <f>365*'Tariffs Jan2023'!H72/100</f>
        <v>334.70499999999998</v>
      </c>
      <c r="E78" s="59">
        <f>IF($C$5*'Tariffs Jan2023'!AK72/'Tariffs Jan2023'!AI72&gt;='Tariffs Jan2023'!J72,( 'Tariffs Jan2023'!J72*'Tariffs Jan2023'!O72/100)* 'Tariffs Jan2023'!AI72,($C$5*'Tariffs Jan2023'!AK72/'Tariffs Jan2023'!AI72*'Tariffs Jan2023'!O72/100)* 'Tariffs Jan2023'!AI72)</f>
        <v>270.5454545454545</v>
      </c>
      <c r="F78" s="59">
        <f>IF($C$5*'Tariffs Jan2023'!AK72/'Tariffs Jan2023'!AI72&lt;'Tariffs Jan2023'!J72,0,IF($C$5*'Tariffs Jan2023'!AK72/'Tariffs Jan2023'!AI72&lt;='Tariffs Jan2023'!K72,($C$5*'Tariffs Jan2023'!AK72/'Tariffs Jan2023'!AI72-'Tariffs Jan2023'!J72)*('Tariffs Jan2023'!P72/100)*'Tariffs Jan2023'!AI72,('Tariffs Jan2023'!K72-'Tariffs Jan2023'!J72)*('Tariffs Jan2023'!P72/100)*'Tariffs Jan2023'!AI72))</f>
        <v>197.95379999999994</v>
      </c>
      <c r="G78" s="59">
        <f>IF($C$5*'Tariffs Jan2023'!AK72/'Tariffs Jan2023'!AI72&lt;'Tariffs Jan2023'!K72,0,IF($C$5*'Tariffs Jan2023'!AK72/'Tariffs Jan2023'!AI72&lt;='Tariffs Jan2023'!L72,($C$5*'Tariffs Jan2023'!AK72/'Tariffs Jan2023'!AI72-'Tariffs Jan2023'!K72)*('Tariffs Jan2023'!Q72/100)*'Tariffs Jan2023'!AI72,('Tariffs Jan2023'!L72-'Tariffs Jan2023'!K72)*('Tariffs Jan2023'!Q72/100)*'Tariffs Jan2023'!AI72))</f>
        <v>0</v>
      </c>
      <c r="H78" s="59">
        <f>IF($C$5*'Tariffs Jan2023'!AK72/'Tariffs Jan2023'!AI72&lt;'Tariffs Jan2023'!L72,0,IF($C$5*'Tariffs Jan2023'!AK72/'Tariffs Jan2023'!AI72&lt;='Tariffs Jan2023'!M72,($C$5*'Tariffs Jan2023'!AK72/'Tariffs Jan2023'!AI72-'Tariffs Jan2023'!L72)*('Tariffs Jan2023'!R72/100)*'Tariffs Jan2023'!AI72,('Tariffs Jan2023'!M72-'Tariffs Jan2023'!L72)*('Tariffs Jan2023'!R72/100)*'Tariffs Jan2023'!AI72))</f>
        <v>0</v>
      </c>
      <c r="I78" s="69">
        <f>IF(($C$5*'Tariffs Jan2023'!AK72/'Tariffs Jan2023'!AI72&gt;'Tariffs Jan2023'!M72),($C$5*'Tariffs Jan2023'!AK72/'Tariffs Jan2023'!AI72-'Tariffs Jan2023'!M72)*'Tariffs Jan2023'!S72/100*'Tariffs Jan2023'!AI72,0)</f>
        <v>0</v>
      </c>
      <c r="J78" s="69">
        <f>IF($C$5*'Tariffs Jan2023'!AL72/'Tariffs Jan2023'!AJ72&gt;='Tariffs Jan2023'!J72,('Tariffs Jan2023'!J72*'Tariffs Jan2023'!U72/100)* 'Tariffs Jan2023'!AJ72,($C$5*'Tariffs Jan2023'!AL72/'Tariffs Jan2023'!AJ72*'Tariffs Jan2023'!U72/100)* 'Tariffs Jan2023'!AJ72)</f>
        <v>527.99999999999989</v>
      </c>
      <c r="K78" s="69">
        <f>IF($C$5*'Tariffs Jan2023'!AL72/'Tariffs Jan2023'!AJ72&lt;'Tariffs Jan2023'!J72,0,IF($C$5*'Tariffs Jan2023'!AL72/'Tariffs Jan2023'!AJ72&lt;='Tariffs Jan2023'!K72,($C$5*'Tariffs Jan2023'!AL72/'Tariffs Jan2023'!AJ72-'Tariffs Jan2023'!J72)*('Tariffs Jan2023'!V72/100)*'Tariffs Jan2023'!AJ72,('Tariffs Jan2023'!K72-'Tariffs Jan2023'!J72)*('Tariffs Jan2023'!V72/100)*'Tariffs Jan2023'!AJ72))</f>
        <v>387.72769090909082</v>
      </c>
      <c r="L78" s="69">
        <f>IF($C$5*'Tariffs Jan2023'!AL72/'Tariffs Jan2023'!AJ72&lt;'Tariffs Jan2023'!K72,0,IF($C$5*'Tariffs Jan2023'!AL72/'Tariffs Jan2023'!AJ72&lt;='Tariffs Jan2023'!L72,($C$5*'Tariffs Jan2023'!AL72/'Tariffs Jan2023'!AJ72-'Tariffs Jan2023'!K72)*('Tariffs Jan2023'!W72/100)*'Tariffs Jan2023'!AJ72,('Tariffs Jan2023'!L72-'Tariffs Jan2023'!K72)*('Tariffs Jan2023'!W72/100)*'Tariffs Jan2023'!AJ72))</f>
        <v>0</v>
      </c>
      <c r="M78" s="69">
        <f>IF($C$5*'Tariffs Jan2023'!AL72/'Tariffs Jan2023'!AJ72&lt;'Tariffs Jan2023'!L72,0,IF($C$5*'Tariffs Jan2023'!AL72/'Tariffs Jan2023'!AJ72&lt;='Tariffs Jan2023'!M72,($C$5*'Tariffs Jan2023'!AL72/'Tariffs Jan2023'!AJ72-'Tariffs Jan2023'!L72)*('Tariffs Jan2023'!X72/100)*'Tariffs Jan2023'!AJ72,('Tariffs Jan2023'!M72-'Tariffs Jan2023'!L72)*('Tariffs Jan2023'!X72/100)*'Tariffs Jan2023'!AJ72))</f>
        <v>0</v>
      </c>
      <c r="N78" s="69">
        <f>IF(($C$5*'Tariffs Jan2023'!AL72/'Tariffs Jan2023'!AJ72&gt;'Tariffs Jan2023'!M72),($C$5*'Tariffs Jan2023'!AL72/'Tariffs Jan2023'!AJ72-'Tariffs Jan2023'!M72)*'Tariffs Jan2023'!Y72/100*'Tariffs Jan2023'!AJ72,0)</f>
        <v>0</v>
      </c>
      <c r="O78" s="59">
        <f t="shared" si="83"/>
        <v>1384.2269454545451</v>
      </c>
      <c r="P78" s="503">
        <f t="shared" si="82"/>
        <v>1522.6496399999996</v>
      </c>
      <c r="Q78" s="59">
        <f t="shared" si="84"/>
        <v>1718.931945454545</v>
      </c>
      <c r="R78" s="272">
        <f t="shared" si="85"/>
        <v>1890.8251399999997</v>
      </c>
      <c r="S78" s="40">
        <f>'Tariffs Jan2023'!AN72</f>
        <v>0</v>
      </c>
      <c r="T78" s="40">
        <f>'Tariffs Jan2023'!AO72</f>
        <v>0</v>
      </c>
      <c r="U78" s="40">
        <f>'Tariffs Jan2023'!AP72</f>
        <v>0</v>
      </c>
      <c r="V78" s="40">
        <f>'Tariffs Jan2023'!AQ72</f>
        <v>0</v>
      </c>
      <c r="W78" s="537" t="str">
        <f t="shared" si="75"/>
        <v>No discount</v>
      </c>
      <c r="X78" s="538" t="str">
        <f t="shared" si="76"/>
        <v>Inclusive</v>
      </c>
      <c r="Y78" s="534">
        <f t="shared" si="86"/>
        <v>1718.931945454545</v>
      </c>
      <c r="Z78" s="535">
        <f t="shared" si="87"/>
        <v>1718.931945454545</v>
      </c>
      <c r="AA78" s="542">
        <f t="shared" si="81"/>
        <v>1890.8251399999997</v>
      </c>
      <c r="AB78" s="609">
        <f t="shared" si="81"/>
        <v>1890.8251399999997</v>
      </c>
      <c r="AC78" s="604"/>
      <c r="AD78" s="604"/>
      <c r="AE78" s="604"/>
      <c r="AF78" s="604"/>
      <c r="AG78" s="604"/>
      <c r="AH78" s="604"/>
      <c r="AI78" s="604"/>
      <c r="AJ78" s="604"/>
      <c r="AK78" s="604"/>
      <c r="AL78" s="604"/>
      <c r="AM78" s="604"/>
      <c r="AN78" s="604"/>
      <c r="AO78" s="604"/>
      <c r="AP78" s="604"/>
      <c r="AQ78" s="604"/>
      <c r="AR78" s="604"/>
      <c r="AS78" s="604"/>
      <c r="AT78" s="604"/>
    </row>
    <row r="79" spans="1:46" ht="14" x14ac:dyDescent="0.15">
      <c r="A79" s="270" t="str">
        <f>'Tariffs Jan2023'!F73</f>
        <v>Simply Energy</v>
      </c>
      <c r="B79" s="40" t="str">
        <f>'Tariffs Jan2023'!D73</f>
        <v>AusNet Services West</v>
      </c>
      <c r="C79" s="40" t="str">
        <f>'Tariffs Jan2023'!G73</f>
        <v>Stay Plus</v>
      </c>
      <c r="D79" s="59">
        <f>365*'Tariffs Jan2023'!H73/100</f>
        <v>319.93909090909091</v>
      </c>
      <c r="E79" s="59">
        <f>IF($C$5*'Tariffs Jan2023'!AK73/'Tariffs Jan2023'!AI73&gt;='Tariffs Jan2023'!J73,( 'Tariffs Jan2023'!J73*'Tariffs Jan2023'!O73/100)* 'Tariffs Jan2023'!AI73,($C$5*'Tariffs Jan2023'!AK73/'Tariffs Jan2023'!AI73*'Tariffs Jan2023'!O73/100)* 'Tariffs Jan2023'!AI73)</f>
        <v>352.36363636363632</v>
      </c>
      <c r="F79" s="59">
        <f>IF($C$5*'Tariffs Jan2023'!AK73/'Tariffs Jan2023'!AI73&lt;'Tariffs Jan2023'!J73,0,IF($C$5*'Tariffs Jan2023'!AK73/'Tariffs Jan2023'!AI73&lt;='Tariffs Jan2023'!K73,($C$5*'Tariffs Jan2023'!AK73/'Tariffs Jan2023'!AI73-'Tariffs Jan2023'!J73)*('Tariffs Jan2023'!P73/100)*'Tariffs Jan2023'!AI73,('Tariffs Jan2023'!K73-'Tariffs Jan2023'!J73)*('Tariffs Jan2023'!P73/100)*'Tariffs Jan2023'!AI73))</f>
        <v>260.93909999999994</v>
      </c>
      <c r="G79" s="59">
        <f>IF($C$5*'Tariffs Jan2023'!AK73/'Tariffs Jan2023'!AI73&lt;'Tariffs Jan2023'!K73,0,IF($C$5*'Tariffs Jan2023'!AK73/'Tariffs Jan2023'!AI73&lt;='Tariffs Jan2023'!L73,($C$5*'Tariffs Jan2023'!AK73/'Tariffs Jan2023'!AI73-'Tariffs Jan2023'!K73)*('Tariffs Jan2023'!Q73/100)*'Tariffs Jan2023'!AI73,('Tariffs Jan2023'!L73-'Tariffs Jan2023'!K73)*('Tariffs Jan2023'!Q73/100)*'Tariffs Jan2023'!AI73))</f>
        <v>0</v>
      </c>
      <c r="H79" s="59">
        <f>IF($C$5*'Tariffs Jan2023'!AK73/'Tariffs Jan2023'!AI73&lt;'Tariffs Jan2023'!L73,0,IF($C$5*'Tariffs Jan2023'!AK73/'Tariffs Jan2023'!AI73&lt;='Tariffs Jan2023'!M73,($C$5*'Tariffs Jan2023'!AK73/'Tariffs Jan2023'!AI73-'Tariffs Jan2023'!L73)*('Tariffs Jan2023'!R73/100)*'Tariffs Jan2023'!AI73,('Tariffs Jan2023'!M73-'Tariffs Jan2023'!L73)*('Tariffs Jan2023'!R73/100)*'Tariffs Jan2023'!AI73))</f>
        <v>0</v>
      </c>
      <c r="I79" s="69">
        <f>IF(($C$5*'Tariffs Jan2023'!AK73/'Tariffs Jan2023'!AI73&gt;'Tariffs Jan2023'!M73),($C$5*'Tariffs Jan2023'!AK73/'Tariffs Jan2023'!AI73-'Tariffs Jan2023'!M73)*'Tariffs Jan2023'!S73/100*'Tariffs Jan2023'!AI73,0)</f>
        <v>0</v>
      </c>
      <c r="J79" s="69">
        <f>IF($C$5*'Tariffs Jan2023'!AL73/'Tariffs Jan2023'!AJ73&gt;='Tariffs Jan2023'!J73,('Tariffs Jan2023'!J73*'Tariffs Jan2023'!U73/100)* 'Tariffs Jan2023'!AJ73,($C$5*'Tariffs Jan2023'!AL73/'Tariffs Jan2023'!AJ73*'Tariffs Jan2023'!U73/100)* 'Tariffs Jan2023'!AJ73)</f>
        <v>576</v>
      </c>
      <c r="K79" s="69">
        <f>IF($C$5*'Tariffs Jan2023'!AL73/'Tariffs Jan2023'!AJ73&lt;'Tariffs Jan2023'!J73,0,IF($C$5*'Tariffs Jan2023'!AL73/'Tariffs Jan2023'!AJ73&lt;='Tariffs Jan2023'!K73,($C$5*'Tariffs Jan2023'!AL73/'Tariffs Jan2023'!AJ73-'Tariffs Jan2023'!J73)*('Tariffs Jan2023'!V73/100)*'Tariffs Jan2023'!AJ73,('Tariffs Jan2023'!K73-'Tariffs Jan2023'!J73)*('Tariffs Jan2023'!V73/100)*'Tariffs Jan2023'!AJ73))</f>
        <v>423.71929090909072</v>
      </c>
      <c r="L79" s="69">
        <f>IF($C$5*'Tariffs Jan2023'!AL73/'Tariffs Jan2023'!AJ73&lt;'Tariffs Jan2023'!K73,0,IF($C$5*'Tariffs Jan2023'!AL73/'Tariffs Jan2023'!AJ73&lt;='Tariffs Jan2023'!L73,($C$5*'Tariffs Jan2023'!AL73/'Tariffs Jan2023'!AJ73-'Tariffs Jan2023'!K73)*('Tariffs Jan2023'!W73/100)*'Tariffs Jan2023'!AJ73,('Tariffs Jan2023'!L73-'Tariffs Jan2023'!K73)*('Tariffs Jan2023'!W73/100)*'Tariffs Jan2023'!AJ73))</f>
        <v>0</v>
      </c>
      <c r="M79" s="69">
        <f>IF($C$5*'Tariffs Jan2023'!AL73/'Tariffs Jan2023'!AJ73&lt;'Tariffs Jan2023'!L73,0,IF($C$5*'Tariffs Jan2023'!AL73/'Tariffs Jan2023'!AJ73&lt;='Tariffs Jan2023'!M73,($C$5*'Tariffs Jan2023'!AL73/'Tariffs Jan2023'!AJ73-'Tariffs Jan2023'!L73)*('Tariffs Jan2023'!X73/100)*'Tariffs Jan2023'!AJ73,('Tariffs Jan2023'!M73-'Tariffs Jan2023'!L73)*('Tariffs Jan2023'!X73/100)*'Tariffs Jan2023'!AJ73))</f>
        <v>0</v>
      </c>
      <c r="N79" s="69">
        <f>IF(($C$5*'Tariffs Jan2023'!AL73/'Tariffs Jan2023'!AJ73&gt;'Tariffs Jan2023'!M73),($C$5*'Tariffs Jan2023'!AL73/'Tariffs Jan2023'!AJ73-'Tariffs Jan2023'!M73)*'Tariffs Jan2023'!Y73/100*'Tariffs Jan2023'!AJ73,0)</f>
        <v>0</v>
      </c>
      <c r="O79" s="59">
        <f t="shared" si="83"/>
        <v>1613.022027272727</v>
      </c>
      <c r="P79" s="503">
        <f t="shared" si="82"/>
        <v>1774.3242299999997</v>
      </c>
      <c r="Q79" s="59">
        <f t="shared" si="84"/>
        <v>1932.9611181818179</v>
      </c>
      <c r="R79" s="272">
        <f t="shared" si="85"/>
        <v>2126.2572299999997</v>
      </c>
      <c r="S79" s="40">
        <f>'Tariffs Jan2023'!AN73</f>
        <v>6</v>
      </c>
      <c r="T79" s="40">
        <f>'Tariffs Jan2023'!AO73</f>
        <v>0</v>
      </c>
      <c r="U79" s="40">
        <f>'Tariffs Jan2023'!AP73</f>
        <v>0</v>
      </c>
      <c r="V79" s="40">
        <f>'Tariffs Jan2023'!AQ73</f>
        <v>0</v>
      </c>
      <c r="W79" s="537" t="str">
        <f t="shared" si="75"/>
        <v>Guaranteed off bill</v>
      </c>
      <c r="X79" s="538" t="str">
        <f t="shared" si="76"/>
        <v>Exclusive</v>
      </c>
      <c r="Y79" s="534">
        <f t="shared" si="86"/>
        <v>1816.9834510909088</v>
      </c>
      <c r="Z79" s="535">
        <f t="shared" si="87"/>
        <v>1816.9834510909088</v>
      </c>
      <c r="AA79" s="542">
        <f t="shared" si="81"/>
        <v>1998.6817961999998</v>
      </c>
      <c r="AB79" s="609">
        <f t="shared" si="81"/>
        <v>1998.6817961999998</v>
      </c>
      <c r="AC79" s="604"/>
      <c r="AD79" s="604"/>
      <c r="AE79" s="604"/>
      <c r="AF79" s="604"/>
      <c r="AG79" s="604"/>
      <c r="AH79" s="604"/>
      <c r="AI79" s="604"/>
      <c r="AJ79" s="604"/>
      <c r="AK79" s="604"/>
      <c r="AL79" s="604"/>
      <c r="AM79" s="604"/>
      <c r="AN79" s="604"/>
      <c r="AO79" s="604"/>
      <c r="AP79" s="604"/>
      <c r="AQ79" s="604"/>
      <c r="AR79" s="604"/>
      <c r="AS79" s="604"/>
      <c r="AT79" s="604"/>
    </row>
    <row r="80" spans="1:46" ht="14" x14ac:dyDescent="0.15">
      <c r="A80" s="270" t="str">
        <f>'Tariffs Jan2023'!F74</f>
        <v>GloBird Energy</v>
      </c>
      <c r="B80" s="40" t="str">
        <f>'Tariffs Jan2023'!D74</f>
        <v>AusNet Services West</v>
      </c>
      <c r="C80" s="40" t="str">
        <f>'Tariffs Jan2023'!G74</f>
        <v>GloSave</v>
      </c>
      <c r="D80" s="59">
        <f>365*'Tariffs Jan2023'!H74/100</f>
        <v>299.3</v>
      </c>
      <c r="E80" s="59">
        <f>IF($C$5*'Tariffs Jan2023'!AK74/'Tariffs Jan2023'!AI74&gt;='Tariffs Jan2023'!J74,( 'Tariffs Jan2023'!J74*'Tariffs Jan2023'!O74/100)* 'Tariffs Jan2023'!AI74,($C$5*'Tariffs Jan2023'!AK74/'Tariffs Jan2023'!AI74*'Tariffs Jan2023'!O74/100)* 'Tariffs Jan2023'!AI74)</f>
        <v>275.99999999999994</v>
      </c>
      <c r="F80" s="59">
        <f>IF($C$5*'Tariffs Jan2023'!AK74/'Tariffs Jan2023'!AI74&lt;'Tariffs Jan2023'!J74,0,IF($C$5*'Tariffs Jan2023'!AK74/'Tariffs Jan2023'!AI74&lt;='Tariffs Jan2023'!K74,($C$5*'Tariffs Jan2023'!AK74/'Tariffs Jan2023'!AI74-'Tariffs Jan2023'!J74)*('Tariffs Jan2023'!P74/100)*'Tariffs Jan2023'!AI74,('Tariffs Jan2023'!K74-'Tariffs Jan2023'!J74)*('Tariffs Jan2023'!P74/100)*'Tariffs Jan2023'!AI74))</f>
        <v>0</v>
      </c>
      <c r="G80" s="59">
        <f>IF($C$5*'Tariffs Jan2023'!AK74/'Tariffs Jan2023'!AI74&lt;'Tariffs Jan2023'!K74,0,IF($C$5*'Tariffs Jan2023'!AK74/'Tariffs Jan2023'!AI74&lt;='Tariffs Jan2023'!L74,($C$5*'Tariffs Jan2023'!AK74/'Tariffs Jan2023'!AI74-'Tariffs Jan2023'!K74)*('Tariffs Jan2023'!Q74/100)*'Tariffs Jan2023'!AI74,('Tariffs Jan2023'!L74-'Tariffs Jan2023'!K74)*('Tariffs Jan2023'!Q74/100)*'Tariffs Jan2023'!AI74))</f>
        <v>0</v>
      </c>
      <c r="H80" s="59">
        <f>IF($C$5*'Tariffs Jan2023'!AK74/'Tariffs Jan2023'!AI74&lt;'Tariffs Jan2023'!L74,0,IF($C$5*'Tariffs Jan2023'!AK74/'Tariffs Jan2023'!AI74&lt;='Tariffs Jan2023'!M74,($C$5*'Tariffs Jan2023'!AK74/'Tariffs Jan2023'!AI74-'Tariffs Jan2023'!L74)*('Tariffs Jan2023'!R74/100)*'Tariffs Jan2023'!AI74,('Tariffs Jan2023'!M74-'Tariffs Jan2023'!L74)*('Tariffs Jan2023'!R74/100)*'Tariffs Jan2023'!AI74))</f>
        <v>0</v>
      </c>
      <c r="I80" s="69">
        <f>IF(($C$5*'Tariffs Jan2023'!AK74/'Tariffs Jan2023'!AI74&gt;'Tariffs Jan2023'!M74),($C$5*'Tariffs Jan2023'!AK74/'Tariffs Jan2023'!AI74-'Tariffs Jan2023'!M74)*'Tariffs Jan2023'!S74/100*'Tariffs Jan2023'!AI74,0)</f>
        <v>202.86174545454537</v>
      </c>
      <c r="J80" s="69">
        <f>IF($C$5*'Tariffs Jan2023'!AL74/'Tariffs Jan2023'!AJ74&gt;='Tariffs Jan2023'!J74,('Tariffs Jan2023'!J74*'Tariffs Jan2023'!U74/100)* 'Tariffs Jan2023'!AJ74,($C$5*'Tariffs Jan2023'!AL74/'Tariffs Jan2023'!AJ74*'Tariffs Jan2023'!U74/100)* 'Tariffs Jan2023'!AJ74)</f>
        <v>551.99999999999989</v>
      </c>
      <c r="K80" s="69">
        <f>IF($C$5*'Tariffs Jan2023'!AL74/'Tariffs Jan2023'!AJ74&lt;'Tariffs Jan2023'!J74,0,IF($C$5*'Tariffs Jan2023'!AL74/'Tariffs Jan2023'!AJ74&lt;='Tariffs Jan2023'!K74,($C$5*'Tariffs Jan2023'!AL74/'Tariffs Jan2023'!AJ74-'Tariffs Jan2023'!J74)*('Tariffs Jan2023'!V74/100)*'Tariffs Jan2023'!AJ74,('Tariffs Jan2023'!K74-'Tariffs Jan2023'!J74)*('Tariffs Jan2023'!V74/100)*'Tariffs Jan2023'!AJ74))</f>
        <v>0</v>
      </c>
      <c r="L80" s="69">
        <f>IF($C$5*'Tariffs Jan2023'!AL74/'Tariffs Jan2023'!AJ74&lt;'Tariffs Jan2023'!K74,0,IF($C$5*'Tariffs Jan2023'!AL74/'Tariffs Jan2023'!AJ74&lt;='Tariffs Jan2023'!L74,($C$5*'Tariffs Jan2023'!AL74/'Tariffs Jan2023'!AJ74-'Tariffs Jan2023'!K74)*('Tariffs Jan2023'!W74/100)*'Tariffs Jan2023'!AJ74,('Tariffs Jan2023'!L74-'Tariffs Jan2023'!K74)*('Tariffs Jan2023'!W74/100)*'Tariffs Jan2023'!AJ74))</f>
        <v>0</v>
      </c>
      <c r="M80" s="69">
        <f>IF($C$5*'Tariffs Jan2023'!AL74/'Tariffs Jan2023'!AJ74&lt;'Tariffs Jan2023'!L74,0,IF($C$5*'Tariffs Jan2023'!AL74/'Tariffs Jan2023'!AJ74&lt;='Tariffs Jan2023'!M74,($C$5*'Tariffs Jan2023'!AL74/'Tariffs Jan2023'!AJ74-'Tariffs Jan2023'!L74)*('Tariffs Jan2023'!X74/100)*'Tariffs Jan2023'!AJ74,('Tariffs Jan2023'!M74-'Tariffs Jan2023'!L74)*('Tariffs Jan2023'!X74/100)*'Tariffs Jan2023'!AJ74))</f>
        <v>0</v>
      </c>
      <c r="N80" s="69">
        <f>IF(($C$5*'Tariffs Jan2023'!AL74/'Tariffs Jan2023'!AJ74&gt;'Tariffs Jan2023'!M74),($C$5*'Tariffs Jan2023'!AL74/'Tariffs Jan2023'!AJ74-'Tariffs Jan2023'!M74)*'Tariffs Jan2023'!Y74/100*'Tariffs Jan2023'!AJ74,0)</f>
        <v>405.72349090909074</v>
      </c>
      <c r="O80" s="59">
        <f t="shared" si="83"/>
        <v>1436.5852363636359</v>
      </c>
      <c r="P80" s="503">
        <f t="shared" si="82"/>
        <v>1580.2437599999996</v>
      </c>
      <c r="Q80" s="59">
        <f t="shared" si="84"/>
        <v>1735.8852363636358</v>
      </c>
      <c r="R80" s="272">
        <f t="shared" si="85"/>
        <v>1909.4737599999996</v>
      </c>
      <c r="S80" s="40">
        <f>'Tariffs Jan2023'!AN74</f>
        <v>0</v>
      </c>
      <c r="T80" s="40">
        <f>'Tariffs Jan2023'!AO74</f>
        <v>0</v>
      </c>
      <c r="U80" s="40">
        <f>'Tariffs Jan2023'!AP74</f>
        <v>2</v>
      </c>
      <c r="V80" s="40">
        <f>'Tariffs Jan2023'!AQ74</f>
        <v>0</v>
      </c>
      <c r="W80" s="537" t="str">
        <f t="shared" si="75"/>
        <v>Pay-on-time off bill</v>
      </c>
      <c r="X80" s="538" t="str">
        <f t="shared" si="76"/>
        <v>Exclusive</v>
      </c>
      <c r="Y80" s="534">
        <f t="shared" si="86"/>
        <v>1735.8852363636358</v>
      </c>
      <c r="Z80" s="535">
        <f t="shared" si="87"/>
        <v>1701.167531636363</v>
      </c>
      <c r="AA80" s="542">
        <f t="shared" si="81"/>
        <v>1909.4737599999996</v>
      </c>
      <c r="AB80" s="609">
        <f t="shared" si="81"/>
        <v>1871.2842847999996</v>
      </c>
      <c r="AC80" s="604"/>
      <c r="AD80" s="604"/>
      <c r="AE80" s="604"/>
      <c r="AF80" s="604"/>
      <c r="AG80" s="604"/>
      <c r="AH80" s="604"/>
      <c r="AI80" s="604"/>
      <c r="AJ80" s="604"/>
      <c r="AK80" s="604"/>
      <c r="AL80" s="604"/>
      <c r="AM80" s="604"/>
      <c r="AN80" s="604"/>
      <c r="AO80" s="604"/>
      <c r="AP80" s="604"/>
      <c r="AQ80" s="604"/>
      <c r="AR80" s="604"/>
      <c r="AS80" s="604"/>
      <c r="AT80" s="604"/>
    </row>
    <row r="81" spans="1:46" ht="14" x14ac:dyDescent="0.15">
      <c r="A81" s="270" t="str">
        <f>'Tariffs Jan2023'!F75</f>
        <v>1st Energy</v>
      </c>
      <c r="B81" s="40" t="str">
        <f>'Tariffs Jan2023'!D75</f>
        <v>AusNet Services West</v>
      </c>
      <c r="C81" s="40" t="str">
        <f>'Tariffs Jan2023'!G75</f>
        <v>1st Saver Plus</v>
      </c>
      <c r="D81" s="59">
        <f>365*'Tariffs Jan2023'!H75/100</f>
        <v>332.14999999999992</v>
      </c>
      <c r="E81" s="59">
        <f>IF($C$5*'Tariffs Jan2023'!AK75/'Tariffs Jan2023'!AI75&gt;='Tariffs Jan2023'!J75,( 'Tariffs Jan2023'!J75*'Tariffs Jan2023'!O75/100)* 'Tariffs Jan2023'!AI75,($C$5*'Tariffs Jan2023'!AK75/'Tariffs Jan2023'!AI75*'Tariffs Jan2023'!O75/100)* 'Tariffs Jan2023'!AI75)</f>
        <v>612</v>
      </c>
      <c r="F81" s="59">
        <f>IF($C$5*'Tariffs Jan2023'!AK75/'Tariffs Jan2023'!AI75&lt;'Tariffs Jan2023'!J75,0,IF($C$5*'Tariffs Jan2023'!AK75/'Tariffs Jan2023'!AI75&lt;='Tariffs Jan2023'!K75,($C$5*'Tariffs Jan2023'!AK75/'Tariffs Jan2023'!AI75-'Tariffs Jan2023'!J75)*('Tariffs Jan2023'!P75/100)*'Tariffs Jan2023'!AI75,('Tariffs Jan2023'!K75-'Tariffs Jan2023'!J75)*('Tariffs Jan2023'!P75/100)*'Tariffs Jan2023'!AI75))</f>
        <v>445.5</v>
      </c>
      <c r="G81" s="59">
        <f>IF($C$5*'Tariffs Jan2023'!AK75/'Tariffs Jan2023'!AI75&lt;'Tariffs Jan2023'!K75,0,IF($C$5*'Tariffs Jan2023'!AK75/'Tariffs Jan2023'!AI75&lt;='Tariffs Jan2023'!L75,($C$5*'Tariffs Jan2023'!AK75/'Tariffs Jan2023'!AI75-'Tariffs Jan2023'!K75)*('Tariffs Jan2023'!Q75/100)*'Tariffs Jan2023'!AI75,('Tariffs Jan2023'!L75-'Tariffs Jan2023'!K75)*('Tariffs Jan2023'!Q75/100)*'Tariffs Jan2023'!AI75))</f>
        <v>0</v>
      </c>
      <c r="H81" s="59">
        <f>IF($C$5*'Tariffs Jan2023'!AK75/'Tariffs Jan2023'!AI75&lt;'Tariffs Jan2023'!L75,0,IF($C$5*'Tariffs Jan2023'!AK75/'Tariffs Jan2023'!AI75&lt;='Tariffs Jan2023'!M75,($C$5*'Tariffs Jan2023'!AK75/'Tariffs Jan2023'!AI75-'Tariffs Jan2023'!L75)*('Tariffs Jan2023'!R75/100)*'Tariffs Jan2023'!AI75,('Tariffs Jan2023'!M75-'Tariffs Jan2023'!L75)*('Tariffs Jan2023'!R75/100)*'Tariffs Jan2023'!AI75))</f>
        <v>0</v>
      </c>
      <c r="I81" s="69">
        <f>IF(($C$5*'Tariffs Jan2023'!AK75/'Tariffs Jan2023'!AI75&gt;'Tariffs Jan2023'!M75),($C$5*'Tariffs Jan2023'!AK75/'Tariffs Jan2023'!AI75-'Tariffs Jan2023'!M75)*'Tariffs Jan2023'!S75/100*'Tariffs Jan2023'!AI75,0)</f>
        <v>0</v>
      </c>
      <c r="J81" s="69">
        <f>IF($C$5*'Tariffs Jan2023'!AL75/'Tariffs Jan2023'!AJ75&gt;='Tariffs Jan2023'!J75,('Tariffs Jan2023'!J75*'Tariffs Jan2023'!U75/100)* 'Tariffs Jan2023'!AJ75,($C$5*'Tariffs Jan2023'!AL75/'Tariffs Jan2023'!AJ75*'Tariffs Jan2023'!U75/100)* 'Tariffs Jan2023'!AJ75)</f>
        <v>612</v>
      </c>
      <c r="K81" s="69">
        <f>IF($C$5*'Tariffs Jan2023'!AL75/'Tariffs Jan2023'!AJ75&lt;'Tariffs Jan2023'!J75,0,IF($C$5*'Tariffs Jan2023'!AL75/'Tariffs Jan2023'!AJ75&lt;='Tariffs Jan2023'!K75,($C$5*'Tariffs Jan2023'!AL75/'Tariffs Jan2023'!AJ75-'Tariffs Jan2023'!J75)*('Tariffs Jan2023'!V75/100)*'Tariffs Jan2023'!AJ75,('Tariffs Jan2023'!K75-'Tariffs Jan2023'!J75)*('Tariffs Jan2023'!V75/100)*'Tariffs Jan2023'!AJ75))</f>
        <v>445.5</v>
      </c>
      <c r="L81" s="69">
        <f>IF($C$5*'Tariffs Jan2023'!AL75/'Tariffs Jan2023'!AJ75&lt;'Tariffs Jan2023'!K75,0,IF($C$5*'Tariffs Jan2023'!AL75/'Tariffs Jan2023'!AJ75&lt;='Tariffs Jan2023'!L75,($C$5*'Tariffs Jan2023'!AL75/'Tariffs Jan2023'!AJ75-'Tariffs Jan2023'!K75)*('Tariffs Jan2023'!W75/100)*'Tariffs Jan2023'!AJ75,('Tariffs Jan2023'!L75-'Tariffs Jan2023'!K75)*('Tariffs Jan2023'!W75/100)*'Tariffs Jan2023'!AJ75))</f>
        <v>0</v>
      </c>
      <c r="M81" s="69">
        <f>IF($C$5*'Tariffs Jan2023'!AL75/'Tariffs Jan2023'!AJ75&lt;'Tariffs Jan2023'!L75,0,IF($C$5*'Tariffs Jan2023'!AL75/'Tariffs Jan2023'!AJ75&lt;='Tariffs Jan2023'!M75,($C$5*'Tariffs Jan2023'!AL75/'Tariffs Jan2023'!AJ75-'Tariffs Jan2023'!L75)*('Tariffs Jan2023'!X75/100)*'Tariffs Jan2023'!AJ75,('Tariffs Jan2023'!M75-'Tariffs Jan2023'!L75)*('Tariffs Jan2023'!X75/100)*'Tariffs Jan2023'!AJ75))</f>
        <v>0</v>
      </c>
      <c r="N81" s="69">
        <f>IF(($C$5*'Tariffs Jan2023'!AL75/'Tariffs Jan2023'!AJ75&gt;'Tariffs Jan2023'!M75),($C$5*'Tariffs Jan2023'!AL75/'Tariffs Jan2023'!AJ75-'Tariffs Jan2023'!M75)*'Tariffs Jan2023'!Y75/100*'Tariffs Jan2023'!AJ75,0)</f>
        <v>0</v>
      </c>
      <c r="O81" s="59">
        <f t="shared" si="83"/>
        <v>2115</v>
      </c>
      <c r="P81" s="503">
        <f t="shared" si="82"/>
        <v>2326.5</v>
      </c>
      <c r="Q81" s="59">
        <f t="shared" si="84"/>
        <v>2447.15</v>
      </c>
      <c r="R81" s="272">
        <f t="shared" si="85"/>
        <v>2691.8650000000002</v>
      </c>
      <c r="S81" s="40">
        <f>'Tariffs Jan2023'!AN75</f>
        <v>0</v>
      </c>
      <c r="T81" s="40">
        <f>'Tariffs Jan2023'!AO75</f>
        <v>7</v>
      </c>
      <c r="U81" s="40">
        <f>'Tariffs Jan2023'!AP75</f>
        <v>0</v>
      </c>
      <c r="V81" s="40">
        <f>'Tariffs Jan2023'!AQ75</f>
        <v>3</v>
      </c>
      <c r="W81" s="537" t="str">
        <f t="shared" si="75"/>
        <v>Guaranteed off usage</v>
      </c>
      <c r="X81" s="538" t="str">
        <f t="shared" si="76"/>
        <v>Exclusive</v>
      </c>
      <c r="Y81" s="534">
        <f>Q81-(P81*T81)/100</f>
        <v>2284.2950000000001</v>
      </c>
      <c r="Z81" s="535">
        <f>Y81-(P81*V81)/100</f>
        <v>2214.5</v>
      </c>
      <c r="AA81" s="542">
        <f t="shared" si="81"/>
        <v>2512.7245000000003</v>
      </c>
      <c r="AB81" s="609">
        <f t="shared" si="81"/>
        <v>2435.9500000000003</v>
      </c>
      <c r="AC81" s="604"/>
      <c r="AD81" s="604"/>
      <c r="AE81" s="604"/>
      <c r="AF81" s="604"/>
      <c r="AG81" s="604"/>
      <c r="AH81" s="604"/>
      <c r="AI81" s="604"/>
      <c r="AJ81" s="604"/>
      <c r="AK81" s="604"/>
      <c r="AL81" s="604"/>
      <c r="AM81" s="604"/>
      <c r="AN81" s="604"/>
      <c r="AO81" s="604"/>
      <c r="AP81" s="604"/>
      <c r="AQ81" s="604"/>
      <c r="AR81" s="604"/>
      <c r="AS81" s="604"/>
      <c r="AT81" s="604"/>
    </row>
    <row r="82" spans="1:46" ht="14" x14ac:dyDescent="0.15">
      <c r="A82" s="270" t="str">
        <f>'Tariffs Jan2023'!F76</f>
        <v>Tango Energy</v>
      </c>
      <c r="B82" s="40" t="str">
        <f>'Tariffs Jan2023'!D76</f>
        <v>AusNet Services West</v>
      </c>
      <c r="C82" s="40" t="str">
        <f>'Tariffs Jan2023'!G76</f>
        <v>Home Select</v>
      </c>
      <c r="D82" s="59">
        <f>365*'Tariffs Jan2023'!H76/100</f>
        <v>452.6</v>
      </c>
      <c r="E82" s="59">
        <f>IF($C$5*'Tariffs Jan2023'!AK76/'Tariffs Jan2023'!AI76&gt;='Tariffs Jan2023'!J76,( 'Tariffs Jan2023'!J76*'Tariffs Jan2023'!O76/100)* 'Tariffs Jan2023'!AI76,($C$5*'Tariffs Jan2023'!AK76/'Tariffs Jan2023'!AI76*'Tariffs Jan2023'!O76/100)* 'Tariffs Jan2023'!AI76)</f>
        <v>230.18181818181816</v>
      </c>
      <c r="F82" s="59">
        <f>IF($C$5*'Tariffs Jan2023'!AK76/'Tariffs Jan2023'!AI76&lt;'Tariffs Jan2023'!J76,0,IF($C$5*'Tariffs Jan2023'!AK76/'Tariffs Jan2023'!AI76&lt;='Tariffs Jan2023'!K76,($C$5*'Tariffs Jan2023'!AK76/'Tariffs Jan2023'!AI76-'Tariffs Jan2023'!J76)*('Tariffs Jan2023'!P76/100)*'Tariffs Jan2023'!AI76,('Tariffs Jan2023'!K76-'Tariffs Jan2023'!J76)*('Tariffs Jan2023'!P76/100)*'Tariffs Jan2023'!AI76))</f>
        <v>162.78019090909083</v>
      </c>
      <c r="G82" s="59">
        <f>IF($C$5*'Tariffs Jan2023'!AK76/'Tariffs Jan2023'!AI76&lt;'Tariffs Jan2023'!K76,0,IF($C$5*'Tariffs Jan2023'!AK76/'Tariffs Jan2023'!AI76&lt;='Tariffs Jan2023'!L76,($C$5*'Tariffs Jan2023'!AK76/'Tariffs Jan2023'!AI76-'Tariffs Jan2023'!K76)*('Tariffs Jan2023'!Q76/100)*'Tariffs Jan2023'!AI76,('Tariffs Jan2023'!L76-'Tariffs Jan2023'!K76)*('Tariffs Jan2023'!Q76/100)*'Tariffs Jan2023'!AI76))</f>
        <v>0</v>
      </c>
      <c r="H82" s="59">
        <f>IF($C$5*'Tariffs Jan2023'!AK76/'Tariffs Jan2023'!AI76&lt;'Tariffs Jan2023'!L76,0,IF($C$5*'Tariffs Jan2023'!AK76/'Tariffs Jan2023'!AI76&lt;='Tariffs Jan2023'!M76,($C$5*'Tariffs Jan2023'!AK76/'Tariffs Jan2023'!AI76-'Tariffs Jan2023'!L76)*('Tariffs Jan2023'!R76/100)*'Tariffs Jan2023'!AI76,('Tariffs Jan2023'!M76-'Tariffs Jan2023'!L76)*('Tariffs Jan2023'!R76/100)*'Tariffs Jan2023'!AI76))</f>
        <v>0</v>
      </c>
      <c r="I82" s="69">
        <f>IF(($C$5*'Tariffs Jan2023'!AK76/'Tariffs Jan2023'!AI76&gt;'Tariffs Jan2023'!M76),($C$5*'Tariffs Jan2023'!AK76/'Tariffs Jan2023'!AI76-'Tariffs Jan2023'!M76)*'Tariffs Jan2023'!S76/100*'Tariffs Jan2023'!AI76,0)</f>
        <v>0</v>
      </c>
      <c r="J82" s="69">
        <f>IF($C$5*'Tariffs Jan2023'!AL76/'Tariffs Jan2023'!AJ76&gt;='Tariffs Jan2023'!J76,('Tariffs Jan2023'!J76*'Tariffs Jan2023'!U76/100)* 'Tariffs Jan2023'!AJ76,($C$5*'Tariffs Jan2023'!AL76/'Tariffs Jan2023'!AJ76*'Tariffs Jan2023'!U76/100)* 'Tariffs Jan2023'!AJ76)</f>
        <v>353.45454545454544</v>
      </c>
      <c r="K82" s="69">
        <f>IF($C$5*'Tariffs Jan2023'!AL76/'Tariffs Jan2023'!AJ76&lt;'Tariffs Jan2023'!J76,0,IF($C$5*'Tariffs Jan2023'!AL76/'Tariffs Jan2023'!AJ76&lt;='Tariffs Jan2023'!K76,($C$5*'Tariffs Jan2023'!AL76/'Tariffs Jan2023'!AJ76-'Tariffs Jan2023'!J76)*('Tariffs Jan2023'!V76/100)*'Tariffs Jan2023'!AJ76,('Tariffs Jan2023'!K76-'Tariffs Jan2023'!J76)*('Tariffs Jan2023'!V76/100)*'Tariffs Jan2023'!AJ76))</f>
        <v>263.39307272727268</v>
      </c>
      <c r="L82" s="69">
        <f>IF($C$5*'Tariffs Jan2023'!AL76/'Tariffs Jan2023'!AJ76&lt;'Tariffs Jan2023'!K76,0,IF($C$5*'Tariffs Jan2023'!AL76/'Tariffs Jan2023'!AJ76&lt;='Tariffs Jan2023'!L76,($C$5*'Tariffs Jan2023'!AL76/'Tariffs Jan2023'!AJ76-'Tariffs Jan2023'!K76)*('Tariffs Jan2023'!W76/100)*'Tariffs Jan2023'!AJ76,('Tariffs Jan2023'!L76-'Tariffs Jan2023'!K76)*('Tariffs Jan2023'!W76/100)*'Tariffs Jan2023'!AJ76))</f>
        <v>0</v>
      </c>
      <c r="M82" s="69">
        <f>IF($C$5*'Tariffs Jan2023'!AL76/'Tariffs Jan2023'!AJ76&lt;'Tariffs Jan2023'!L76,0,IF($C$5*'Tariffs Jan2023'!AL76/'Tariffs Jan2023'!AJ76&lt;='Tariffs Jan2023'!M76,($C$5*'Tariffs Jan2023'!AL76/'Tariffs Jan2023'!AJ76-'Tariffs Jan2023'!L76)*('Tariffs Jan2023'!X76/100)*'Tariffs Jan2023'!AJ76,('Tariffs Jan2023'!M76-'Tariffs Jan2023'!L76)*('Tariffs Jan2023'!X76/100)*'Tariffs Jan2023'!AJ76))</f>
        <v>0</v>
      </c>
      <c r="N82" s="69">
        <f>IF(($C$5*'Tariffs Jan2023'!AL76/'Tariffs Jan2023'!AJ76&gt;'Tariffs Jan2023'!M76),($C$5*'Tariffs Jan2023'!AL76/'Tariffs Jan2023'!AJ76-'Tariffs Jan2023'!M76)*'Tariffs Jan2023'!Y76/100*'Tariffs Jan2023'!AJ76,0)</f>
        <v>0</v>
      </c>
      <c r="O82" s="59">
        <f t="shared" ref="O82" si="98">SUM(E82:N82)</f>
        <v>1009.8096272727271</v>
      </c>
      <c r="P82" s="503">
        <f t="shared" ref="P82" si="99">O82*1.1</f>
        <v>1110.7905899999998</v>
      </c>
      <c r="Q82" s="59">
        <f t="shared" ref="Q82" si="100">D82+O82</f>
        <v>1462.409627272727</v>
      </c>
      <c r="R82" s="272">
        <f t="shared" ref="R82" si="101">Q82*1.1</f>
        <v>1608.6505899999997</v>
      </c>
      <c r="S82" s="40">
        <f>'Tariffs Jan2023'!AN76</f>
        <v>0</v>
      </c>
      <c r="T82" s="40">
        <f>'Tariffs Jan2023'!AO76</f>
        <v>0</v>
      </c>
      <c r="U82" s="40">
        <f>'Tariffs Jan2023'!AP76</f>
        <v>0</v>
      </c>
      <c r="V82" s="40">
        <f>'Tariffs Jan2023'!AQ76</f>
        <v>0</v>
      </c>
      <c r="W82" s="537" t="str">
        <f t="shared" ref="W82" si="102">IF(SUM(S82:V82)=0,"No discount",IF(S82&gt;0,"Guaranteed off bill",IF(T82&gt;0,"Guaranteed off usage",IF(U82&gt;0,"Pay-on-time off bill","Pay-on-time off usage"))))</f>
        <v>No discount</v>
      </c>
      <c r="X82" s="538" t="str">
        <f t="shared" ref="X82" si="103">IF(OR(A82="Origin Energy",A82="Red Energy",A82="Powershop"),"Inclusive","Exclusive")</f>
        <v>Exclusive</v>
      </c>
      <c r="Y82" s="534">
        <f>Q82-(P82*T82)/100</f>
        <v>1462.409627272727</v>
      </c>
      <c r="Z82" s="535">
        <f>Y82-(P82*V82)/100</f>
        <v>1462.409627272727</v>
      </c>
      <c r="AA82" s="542">
        <f t="shared" ref="AA82" si="104">Y82*1.1</f>
        <v>1608.6505899999997</v>
      </c>
      <c r="AB82" s="609">
        <f t="shared" ref="AB82" si="105">Z82*1.1</f>
        <v>1608.6505899999997</v>
      </c>
      <c r="AC82" s="604"/>
      <c r="AD82" s="604"/>
      <c r="AE82" s="604"/>
      <c r="AF82" s="604"/>
      <c r="AG82" s="604"/>
      <c r="AH82" s="604"/>
      <c r="AI82" s="604"/>
      <c r="AJ82" s="604"/>
      <c r="AK82" s="604"/>
      <c r="AL82" s="604"/>
      <c r="AM82" s="604"/>
      <c r="AN82" s="604"/>
      <c r="AO82" s="604"/>
      <c r="AP82" s="604"/>
      <c r="AQ82" s="604"/>
      <c r="AR82" s="604"/>
      <c r="AS82" s="604"/>
      <c r="AT82" s="604"/>
    </row>
    <row r="83" spans="1:46" ht="14" x14ac:dyDescent="0.15">
      <c r="A83" s="270" t="str">
        <f>'Tariffs Jan2023'!F77</f>
        <v>Momentum Energy</v>
      </c>
      <c r="B83" s="40" t="str">
        <f>'Tariffs Jan2023'!D77</f>
        <v>AusNet Services West</v>
      </c>
      <c r="C83" s="40" t="str">
        <f>'Tariffs Jan2023'!G77</f>
        <v>Nothing Fancy</v>
      </c>
      <c r="D83" s="59">
        <f>365*'Tariffs Jan2023'!H77/100</f>
        <v>424.8599999999999</v>
      </c>
      <c r="E83" s="59">
        <f>IF($C$5*'Tariffs Jan2023'!AK77/'Tariffs Jan2023'!AI77&gt;='Tariffs Jan2023'!J77,( 'Tariffs Jan2023'!J77*'Tariffs Jan2023'!O77/100)* 'Tariffs Jan2023'!AI77,($C$5*'Tariffs Jan2023'!AK77/'Tariffs Jan2023'!AI77*'Tariffs Jan2023'!O77/100)* 'Tariffs Jan2023'!AI77)</f>
        <v>348</v>
      </c>
      <c r="F83" s="59">
        <f>IF($C$5*'Tariffs Jan2023'!AK77/'Tariffs Jan2023'!AI77&lt;'Tariffs Jan2023'!J77,0,IF($C$5*'Tariffs Jan2023'!AK77/'Tariffs Jan2023'!AI77&lt;='Tariffs Jan2023'!K77,($C$5*'Tariffs Jan2023'!AK77/'Tariffs Jan2023'!AI77-'Tariffs Jan2023'!J77)*('Tariffs Jan2023'!P77/100)*'Tariffs Jan2023'!AI77,('Tariffs Jan2023'!K77-'Tariffs Jan2023'!J77)*('Tariffs Jan2023'!P77/100)*'Tariffs Jan2023'!AI77))</f>
        <v>251.94119999999992</v>
      </c>
      <c r="G83" s="59">
        <f>IF($C$5*'Tariffs Jan2023'!AK77/'Tariffs Jan2023'!AI77&lt;'Tariffs Jan2023'!K77,0,IF($C$5*'Tariffs Jan2023'!AK77/'Tariffs Jan2023'!AI77&lt;='Tariffs Jan2023'!L77,($C$5*'Tariffs Jan2023'!AK77/'Tariffs Jan2023'!AI77-'Tariffs Jan2023'!K77)*('Tariffs Jan2023'!Q77/100)*'Tariffs Jan2023'!AI77,('Tariffs Jan2023'!L77-'Tariffs Jan2023'!K77)*('Tariffs Jan2023'!Q77/100)*'Tariffs Jan2023'!AI77))</f>
        <v>0</v>
      </c>
      <c r="H83" s="59">
        <f>IF($C$5*'Tariffs Jan2023'!AK77/'Tariffs Jan2023'!AI77&lt;'Tariffs Jan2023'!L77,0,IF($C$5*'Tariffs Jan2023'!AK77/'Tariffs Jan2023'!AI77&lt;='Tariffs Jan2023'!M77,($C$5*'Tariffs Jan2023'!AK77/'Tariffs Jan2023'!AI77-'Tariffs Jan2023'!L77)*('Tariffs Jan2023'!R77/100)*'Tariffs Jan2023'!AI77,('Tariffs Jan2023'!M77-'Tariffs Jan2023'!L77)*('Tariffs Jan2023'!R77/100)*'Tariffs Jan2023'!AI77))</f>
        <v>0</v>
      </c>
      <c r="I83" s="69">
        <f>IF(($C$5*'Tariffs Jan2023'!AK77/'Tariffs Jan2023'!AI77&gt;'Tariffs Jan2023'!M77),($C$5*'Tariffs Jan2023'!AK77/'Tariffs Jan2023'!AI77-'Tariffs Jan2023'!M77)*'Tariffs Jan2023'!S77/100*'Tariffs Jan2023'!AI77,0)</f>
        <v>0</v>
      </c>
      <c r="J83" s="69">
        <f>IF($C$5*'Tariffs Jan2023'!AL77/'Tariffs Jan2023'!AJ77&gt;='Tariffs Jan2023'!J77,('Tariffs Jan2023'!J77*'Tariffs Jan2023'!U77/100)* 'Tariffs Jan2023'!AJ77,($C$5*'Tariffs Jan2023'!AL77/'Tariffs Jan2023'!AJ77*'Tariffs Jan2023'!U77/100)* 'Tariffs Jan2023'!AJ77)</f>
        <v>623.99999999999989</v>
      </c>
      <c r="K83" s="69">
        <f>IF($C$5*'Tariffs Jan2023'!AL77/'Tariffs Jan2023'!AJ77&lt;'Tariffs Jan2023'!J77,0,IF($C$5*'Tariffs Jan2023'!AL77/'Tariffs Jan2023'!AJ77&lt;='Tariffs Jan2023'!K77,($C$5*'Tariffs Jan2023'!AL77/'Tariffs Jan2023'!AJ77-'Tariffs Jan2023'!J77)*('Tariffs Jan2023'!V77/100)*'Tariffs Jan2023'!AJ77,('Tariffs Jan2023'!K77-'Tariffs Jan2023'!J77)*('Tariffs Jan2023'!V77/100)*'Tariffs Jan2023'!AJ77))</f>
        <v>467.89079999999979</v>
      </c>
      <c r="L83" s="69">
        <f>IF($C$5*'Tariffs Jan2023'!AL77/'Tariffs Jan2023'!AJ77&lt;'Tariffs Jan2023'!K77,0,IF($C$5*'Tariffs Jan2023'!AL77/'Tariffs Jan2023'!AJ77&lt;='Tariffs Jan2023'!L77,($C$5*'Tariffs Jan2023'!AL77/'Tariffs Jan2023'!AJ77-'Tariffs Jan2023'!K77)*('Tariffs Jan2023'!W77/100)*'Tariffs Jan2023'!AJ77,('Tariffs Jan2023'!L77-'Tariffs Jan2023'!K77)*('Tariffs Jan2023'!W77/100)*'Tariffs Jan2023'!AJ77))</f>
        <v>0</v>
      </c>
      <c r="M83" s="69">
        <f>IF($C$5*'Tariffs Jan2023'!AL77/'Tariffs Jan2023'!AJ77&lt;'Tariffs Jan2023'!L77,0,IF($C$5*'Tariffs Jan2023'!AL77/'Tariffs Jan2023'!AJ77&lt;='Tariffs Jan2023'!M77,($C$5*'Tariffs Jan2023'!AL77/'Tariffs Jan2023'!AJ77-'Tariffs Jan2023'!L77)*('Tariffs Jan2023'!X77/100)*'Tariffs Jan2023'!AJ77,('Tariffs Jan2023'!M77-'Tariffs Jan2023'!L77)*('Tariffs Jan2023'!X77/100)*'Tariffs Jan2023'!AJ77))</f>
        <v>0</v>
      </c>
      <c r="N83" s="69">
        <f>IF(($C$5*'Tariffs Jan2023'!AL77/'Tariffs Jan2023'!AJ77&gt;'Tariffs Jan2023'!M77),($C$5*'Tariffs Jan2023'!AL77/'Tariffs Jan2023'!AJ77-'Tariffs Jan2023'!M77)*'Tariffs Jan2023'!Y77/100*'Tariffs Jan2023'!AJ77,0)</f>
        <v>0</v>
      </c>
      <c r="O83" s="59">
        <f t="shared" ref="O83:O84" si="106">SUM(E83:N83)</f>
        <v>1691.8319999999994</v>
      </c>
      <c r="P83" s="503">
        <f t="shared" ref="P83:P84" si="107">O83*1.1</f>
        <v>1861.0151999999996</v>
      </c>
      <c r="Q83" s="59">
        <f t="shared" ref="Q83:Q84" si="108">D83+O83</f>
        <v>2116.6919999999991</v>
      </c>
      <c r="R83" s="272">
        <f t="shared" ref="R83:R84" si="109">Q83*1.1</f>
        <v>2328.3611999999994</v>
      </c>
      <c r="S83" s="40">
        <f>'Tariffs Jan2023'!AN77</f>
        <v>0</v>
      </c>
      <c r="T83" s="40">
        <f>'Tariffs Jan2023'!AO77</f>
        <v>0</v>
      </c>
      <c r="U83" s="40">
        <f>'Tariffs Jan2023'!AP77</f>
        <v>0</v>
      </c>
      <c r="V83" s="40">
        <f>'Tariffs Jan2023'!AQ77</f>
        <v>0</v>
      </c>
      <c r="W83" s="537" t="str">
        <f t="shared" ref="W83:W84" si="110">IF(SUM(S83:V83)=0,"No discount",IF(S83&gt;0,"Guaranteed off bill",IF(T83&gt;0,"Guaranteed off usage",IF(U83&gt;0,"Pay-on-time off bill","Pay-on-time off usage"))))</f>
        <v>No discount</v>
      </c>
      <c r="X83" s="538" t="str">
        <f t="shared" ref="X83:X84" si="111">IF(OR(A83="Origin Energy",A83="Red Energy",A83="Powershop"),"Inclusive","Exclusive")</f>
        <v>Exclusive</v>
      </c>
      <c r="Y83" s="534">
        <f t="shared" ref="Y83:Y84" si="112">Q83-(P83*T83)/100</f>
        <v>2116.6919999999991</v>
      </c>
      <c r="Z83" s="535">
        <f t="shared" ref="Z83:Z84" si="113">Y83-(P83*V83)/100</f>
        <v>2116.6919999999991</v>
      </c>
      <c r="AA83" s="542">
        <f t="shared" ref="AA83:AA84" si="114">Y83*1.1</f>
        <v>2328.3611999999994</v>
      </c>
      <c r="AB83" s="609">
        <f t="shared" ref="AB83:AB84" si="115">Z83*1.1</f>
        <v>2328.3611999999994</v>
      </c>
      <c r="AC83" s="604"/>
      <c r="AD83" s="604"/>
      <c r="AE83" s="604"/>
      <c r="AF83" s="604"/>
      <c r="AG83" s="604"/>
      <c r="AH83" s="604"/>
      <c r="AI83" s="604"/>
      <c r="AJ83" s="604"/>
      <c r="AK83" s="604"/>
      <c r="AL83" s="604"/>
      <c r="AM83" s="604"/>
      <c r="AN83" s="604"/>
      <c r="AO83" s="604"/>
      <c r="AP83" s="604"/>
      <c r="AQ83" s="604"/>
      <c r="AR83" s="604"/>
      <c r="AS83" s="604"/>
      <c r="AT83" s="604"/>
    </row>
    <row r="84" spans="1:46" ht="15" thickBot="1" x14ac:dyDescent="0.2">
      <c r="A84" s="276" t="str">
        <f>'Tariffs Jan2023'!F78</f>
        <v>Sumo Power</v>
      </c>
      <c r="B84" s="277" t="str">
        <f>'Tariffs Jan2023'!D78</f>
        <v>AusNet Services West</v>
      </c>
      <c r="C84" s="277" t="str">
        <f>'Tariffs Jan2023'!G78</f>
        <v>Lite</v>
      </c>
      <c r="D84" s="278">
        <f>365*'Tariffs Jan2023'!H78/100</f>
        <v>383.24999999999994</v>
      </c>
      <c r="E84" s="278">
        <f>IF($C$5*'Tariffs Jan2023'!AK78/'Tariffs Jan2023'!AI78&gt;='Tariffs Jan2023'!J78,( 'Tariffs Jan2023'!J78*'Tariffs Jan2023'!O78/100)* 'Tariffs Jan2023'!AI78,($C$5*'Tariffs Jan2023'!AK78/'Tariffs Jan2023'!AI78*'Tariffs Jan2023'!O78/100)* 'Tariffs Jan2023'!AI78)</f>
        <v>1070.8928999999998</v>
      </c>
      <c r="F84" s="278">
        <f>IF($C$5*'Tariffs Jan2023'!AK78/'Tariffs Jan2023'!AI78&lt;'Tariffs Jan2023'!J78,0,IF($C$5*'Tariffs Jan2023'!AK78/'Tariffs Jan2023'!AI78&lt;='Tariffs Jan2023'!K78,($C$5*'Tariffs Jan2023'!AK78/'Tariffs Jan2023'!AI78-'Tariffs Jan2023'!J78)*('Tariffs Jan2023'!P78/100)*'Tariffs Jan2023'!AI78,('Tariffs Jan2023'!K78-'Tariffs Jan2023'!J78)*('Tariffs Jan2023'!P78/100)*'Tariffs Jan2023'!AI78))</f>
        <v>0</v>
      </c>
      <c r="G84" s="278">
        <f>IF($C$5*'Tariffs Jan2023'!AK78/'Tariffs Jan2023'!AI78&lt;'Tariffs Jan2023'!K78,0,IF($C$5*'Tariffs Jan2023'!AK78/'Tariffs Jan2023'!AI78&lt;='Tariffs Jan2023'!L78,($C$5*'Tariffs Jan2023'!AK78/'Tariffs Jan2023'!AI78-'Tariffs Jan2023'!K78)*('Tariffs Jan2023'!Q78/100)*'Tariffs Jan2023'!AI78,('Tariffs Jan2023'!L78-'Tariffs Jan2023'!K78)*('Tariffs Jan2023'!Q78/100)*'Tariffs Jan2023'!AI78))</f>
        <v>0</v>
      </c>
      <c r="H84" s="278">
        <f>IF($C$5*'Tariffs Jan2023'!AK78/'Tariffs Jan2023'!AI78&lt;'Tariffs Jan2023'!L78,0,IF($C$5*'Tariffs Jan2023'!AK78/'Tariffs Jan2023'!AI78&lt;='Tariffs Jan2023'!M78,($C$5*'Tariffs Jan2023'!AK78/'Tariffs Jan2023'!AI78-'Tariffs Jan2023'!L78)*('Tariffs Jan2023'!R78/100)*'Tariffs Jan2023'!AI78,('Tariffs Jan2023'!M78-'Tariffs Jan2023'!L78)*('Tariffs Jan2023'!R78/100)*'Tariffs Jan2023'!AI78))</f>
        <v>0</v>
      </c>
      <c r="I84" s="547">
        <f>IF(($C$5*'Tariffs Jan2023'!AK78/'Tariffs Jan2023'!AI78&gt;'Tariffs Jan2023'!M78),($C$5*'Tariffs Jan2023'!AK78/'Tariffs Jan2023'!AI78-'Tariffs Jan2023'!M78)*'Tariffs Jan2023'!S78/100*'Tariffs Jan2023'!AI78,0)</f>
        <v>0</v>
      </c>
      <c r="J84" s="547">
        <f>IF($C$5*'Tariffs Jan2023'!AL78/'Tariffs Jan2023'!AJ78&gt;='Tariffs Jan2023'!J78,('Tariffs Jan2023'!J78*'Tariffs Jan2023'!U78/100)* 'Tariffs Jan2023'!AJ78,($C$5*'Tariffs Jan2023'!AL78/'Tariffs Jan2023'!AJ78*'Tariffs Jan2023'!U78/100)* 'Tariffs Jan2023'!AJ78)</f>
        <v>1637.8361999999997</v>
      </c>
      <c r="K84" s="547">
        <f>IF($C$5*'Tariffs Jan2023'!AL78/'Tariffs Jan2023'!AJ78&lt;'Tariffs Jan2023'!J78,0,IF($C$5*'Tariffs Jan2023'!AL78/'Tariffs Jan2023'!AJ78&lt;='Tariffs Jan2023'!K78,($C$5*'Tariffs Jan2023'!AL78/'Tariffs Jan2023'!AJ78-'Tariffs Jan2023'!J78)*('Tariffs Jan2023'!V78/100)*'Tariffs Jan2023'!AJ78,('Tariffs Jan2023'!K78-'Tariffs Jan2023'!J78)*('Tariffs Jan2023'!V78/100)*'Tariffs Jan2023'!AJ78))</f>
        <v>0</v>
      </c>
      <c r="L84" s="547">
        <f>IF($C$5*'Tariffs Jan2023'!AL78/'Tariffs Jan2023'!AJ78&lt;'Tariffs Jan2023'!K78,0,IF($C$5*'Tariffs Jan2023'!AL78/'Tariffs Jan2023'!AJ78&lt;='Tariffs Jan2023'!L78,($C$5*'Tariffs Jan2023'!AL78/'Tariffs Jan2023'!AJ78-'Tariffs Jan2023'!K78)*('Tariffs Jan2023'!W78/100)*'Tariffs Jan2023'!AJ78,('Tariffs Jan2023'!L78-'Tariffs Jan2023'!K78)*('Tariffs Jan2023'!W78/100)*'Tariffs Jan2023'!AJ78))</f>
        <v>0</v>
      </c>
      <c r="M84" s="547">
        <f>IF($C$5*'Tariffs Jan2023'!AL78/'Tariffs Jan2023'!AJ78&lt;'Tariffs Jan2023'!L78,0,IF($C$5*'Tariffs Jan2023'!AL78/'Tariffs Jan2023'!AJ78&lt;='Tariffs Jan2023'!M78,($C$5*'Tariffs Jan2023'!AL78/'Tariffs Jan2023'!AJ78-'Tariffs Jan2023'!L78)*('Tariffs Jan2023'!X78/100)*'Tariffs Jan2023'!AJ78,('Tariffs Jan2023'!M78-'Tariffs Jan2023'!L78)*('Tariffs Jan2023'!X78/100)*'Tariffs Jan2023'!AJ78))</f>
        <v>0</v>
      </c>
      <c r="N84" s="547">
        <f>IF(($C$5*'Tariffs Jan2023'!AL78/'Tariffs Jan2023'!AJ78&gt;'Tariffs Jan2023'!M78),($C$5*'Tariffs Jan2023'!AL78/'Tariffs Jan2023'!AJ78-'Tariffs Jan2023'!M78)*'Tariffs Jan2023'!Y78/100*'Tariffs Jan2023'!AJ78,0)</f>
        <v>0</v>
      </c>
      <c r="O84" s="278">
        <f t="shared" si="106"/>
        <v>2708.7290999999996</v>
      </c>
      <c r="P84" s="504">
        <f t="shared" si="107"/>
        <v>2979.6020099999996</v>
      </c>
      <c r="Q84" s="278">
        <f t="shared" si="108"/>
        <v>3091.9790999999996</v>
      </c>
      <c r="R84" s="280">
        <f t="shared" si="109"/>
        <v>3401.1770099999999</v>
      </c>
      <c r="S84" s="277">
        <f>'Tariffs Jan2023'!AN78</f>
        <v>0</v>
      </c>
      <c r="T84" s="277">
        <f>'Tariffs Jan2023'!AO78</f>
        <v>0</v>
      </c>
      <c r="U84" s="277">
        <f>'Tariffs Jan2023'!AP78</f>
        <v>0</v>
      </c>
      <c r="V84" s="277">
        <f>'Tariffs Jan2023'!AQ78</f>
        <v>0</v>
      </c>
      <c r="W84" s="540" t="str">
        <f t="shared" si="110"/>
        <v>No discount</v>
      </c>
      <c r="X84" s="541" t="str">
        <f t="shared" si="111"/>
        <v>Exclusive</v>
      </c>
      <c r="Y84" s="543">
        <f t="shared" si="112"/>
        <v>3091.9790999999996</v>
      </c>
      <c r="Z84" s="544">
        <f t="shared" si="113"/>
        <v>3091.9790999999996</v>
      </c>
      <c r="AA84" s="545">
        <f t="shared" si="114"/>
        <v>3401.1770099999999</v>
      </c>
      <c r="AB84" s="610">
        <f t="shared" si="115"/>
        <v>3401.1770099999999</v>
      </c>
      <c r="AC84" s="604"/>
      <c r="AD84" s="604"/>
      <c r="AE84" s="604"/>
      <c r="AF84" s="604"/>
      <c r="AG84" s="604"/>
      <c r="AH84" s="604"/>
      <c r="AI84" s="604"/>
      <c r="AJ84" s="604"/>
      <c r="AK84" s="604"/>
      <c r="AL84" s="604"/>
      <c r="AM84" s="604"/>
      <c r="AN84" s="604"/>
      <c r="AO84" s="604"/>
      <c r="AP84" s="604"/>
      <c r="AQ84" s="604"/>
      <c r="AR84" s="604"/>
      <c r="AS84" s="604"/>
      <c r="AT84" s="604"/>
    </row>
    <row r="85" spans="1:46" ht="15" thickTop="1" x14ac:dyDescent="0.15">
      <c r="A85" s="270" t="str">
        <f>'Tariffs Jan2023'!F79</f>
        <v>AGL</v>
      </c>
      <c r="B85" s="40" t="str">
        <f>'Tariffs Jan2023'!D79</f>
        <v>AusNet Services Central 2</v>
      </c>
      <c r="C85" s="40" t="str">
        <f>'Tariffs Jan2023'!G79</f>
        <v>Value Saver</v>
      </c>
      <c r="D85" s="59">
        <f>365*'Tariffs Jan2023'!H79/100</f>
        <v>337.62499999999994</v>
      </c>
      <c r="E85" s="59">
        <f>IF($C$5*'Tariffs Jan2023'!AK79/'Tariffs Jan2023'!AI79&gt;='Tariffs Jan2023'!J79,( 'Tariffs Jan2023'!J79*'Tariffs Jan2023'!O79/100)* 'Tariffs Jan2023'!AI79,($C$5*'Tariffs Jan2023'!AK79/'Tariffs Jan2023'!AI79*'Tariffs Jan2023'!O79/100)* 'Tariffs Jan2023'!AI79)</f>
        <v>357.81818181818176</v>
      </c>
      <c r="F85" s="59">
        <f>IF($C$5*'Tariffs Jan2023'!AK79/'Tariffs Jan2023'!AI79&lt;'Tariffs Jan2023'!J79,0,IF($C$5*'Tariffs Jan2023'!AK79/'Tariffs Jan2023'!AI79&lt;='Tariffs Jan2023'!K79,($C$5*'Tariffs Jan2023'!AK79/'Tariffs Jan2023'!AI79-'Tariffs Jan2023'!J79)*('Tariffs Jan2023'!P79/100)*'Tariffs Jan2023'!AI79,('Tariffs Jan2023'!K79-'Tariffs Jan2023'!J79)*('Tariffs Jan2023'!P79/100)*'Tariffs Jan2023'!AI79))</f>
        <v>260.12110909090899</v>
      </c>
      <c r="G85" s="59">
        <f>IF($C$5*'Tariffs Jan2023'!AK79/'Tariffs Jan2023'!AI79&lt;'Tariffs Jan2023'!K79,0,IF($C$5*'Tariffs Jan2023'!AK79/'Tariffs Jan2023'!AI79&lt;='Tariffs Jan2023'!L79,($C$5*'Tariffs Jan2023'!AK79/'Tariffs Jan2023'!AI79-'Tariffs Jan2023'!K79)*('Tariffs Jan2023'!Q79/100)*'Tariffs Jan2023'!AI79,('Tariffs Jan2023'!L79-'Tariffs Jan2023'!K79)*('Tariffs Jan2023'!Q79/100)*'Tariffs Jan2023'!AI79))</f>
        <v>0</v>
      </c>
      <c r="H85" s="59">
        <f>IF($C$5*'Tariffs Jan2023'!AK79/'Tariffs Jan2023'!AI79&lt;'Tariffs Jan2023'!L79,0,IF($C$5*'Tariffs Jan2023'!AK79/'Tariffs Jan2023'!AI79&lt;='Tariffs Jan2023'!M79,($C$5*'Tariffs Jan2023'!AK79/'Tariffs Jan2023'!AI79-'Tariffs Jan2023'!L79)*('Tariffs Jan2023'!R79/100)*'Tariffs Jan2023'!AI79,('Tariffs Jan2023'!M79-'Tariffs Jan2023'!L79)*('Tariffs Jan2023'!R79/100)*'Tariffs Jan2023'!AI79))</f>
        <v>0</v>
      </c>
      <c r="I85" s="69">
        <f>IF(($C$5*'Tariffs Jan2023'!AK79/'Tariffs Jan2023'!AI79&gt;'Tariffs Jan2023'!M79),($C$5*'Tariffs Jan2023'!AK79/'Tariffs Jan2023'!AI79-'Tariffs Jan2023'!M79)*'Tariffs Jan2023'!S79/100*'Tariffs Jan2023'!AI79,0)</f>
        <v>0</v>
      </c>
      <c r="J85" s="69">
        <f>IF($C$5*'Tariffs Jan2023'!AL79/'Tariffs Jan2023'!AJ79&gt;='Tariffs Jan2023'!J79,('Tariffs Jan2023'!J79*'Tariffs Jan2023'!U79/100)* 'Tariffs Jan2023'!AJ79,($C$5*'Tariffs Jan2023'!AL79/'Tariffs Jan2023'!AJ79*'Tariffs Jan2023'!U79/100)* 'Tariffs Jan2023'!AJ79)</f>
        <v>621.81818181818176</v>
      </c>
      <c r="K85" s="69">
        <f>IF($C$5*'Tariffs Jan2023'!AL79/'Tariffs Jan2023'!AJ79&lt;'Tariffs Jan2023'!J79,0,IF($C$5*'Tariffs Jan2023'!AL79/'Tariffs Jan2023'!AJ79&lt;='Tariffs Jan2023'!K79,($C$5*'Tariffs Jan2023'!AL79/'Tariffs Jan2023'!AJ79-'Tariffs Jan2023'!J79)*('Tariffs Jan2023'!V79/100)*'Tariffs Jan2023'!AJ79,('Tariffs Jan2023'!K79-'Tariffs Jan2023'!J79)*('Tariffs Jan2023'!V79/100)*'Tariffs Jan2023'!AJ79))</f>
        <v>412.26741818181802</v>
      </c>
      <c r="L85" s="69">
        <f>IF($C$5*'Tariffs Jan2023'!AL79/'Tariffs Jan2023'!AJ79&lt;'Tariffs Jan2023'!K79,0,IF($C$5*'Tariffs Jan2023'!AL79/'Tariffs Jan2023'!AJ79&lt;='Tariffs Jan2023'!L79,($C$5*'Tariffs Jan2023'!AL79/'Tariffs Jan2023'!AJ79-'Tariffs Jan2023'!K79)*('Tariffs Jan2023'!W79/100)*'Tariffs Jan2023'!AJ79,('Tariffs Jan2023'!L79-'Tariffs Jan2023'!K79)*('Tariffs Jan2023'!W79/100)*'Tariffs Jan2023'!AJ79))</f>
        <v>0</v>
      </c>
      <c r="M85" s="69">
        <f>IF($C$5*'Tariffs Jan2023'!AL79/'Tariffs Jan2023'!AJ79&lt;'Tariffs Jan2023'!L79,0,IF($C$5*'Tariffs Jan2023'!AL79/'Tariffs Jan2023'!AJ79&lt;='Tariffs Jan2023'!M79,($C$5*'Tariffs Jan2023'!AL79/'Tariffs Jan2023'!AJ79-'Tariffs Jan2023'!L79)*('Tariffs Jan2023'!X79/100)*'Tariffs Jan2023'!AJ79,('Tariffs Jan2023'!M79-'Tariffs Jan2023'!L79)*('Tariffs Jan2023'!X79/100)*'Tariffs Jan2023'!AJ79))</f>
        <v>0</v>
      </c>
      <c r="N85" s="69">
        <f>IF(($C$5*'Tariffs Jan2023'!AL79/'Tariffs Jan2023'!AJ79&gt;'Tariffs Jan2023'!M79),($C$5*'Tariffs Jan2023'!AL79/'Tariffs Jan2023'!AJ79-'Tariffs Jan2023'!M79)*'Tariffs Jan2023'!Y79/100*'Tariffs Jan2023'!AJ79,0)</f>
        <v>0</v>
      </c>
      <c r="O85" s="59">
        <f t="shared" si="83"/>
        <v>1652.0248909090906</v>
      </c>
      <c r="P85" s="503">
        <f t="shared" si="82"/>
        <v>1817.2273799999998</v>
      </c>
      <c r="Q85" s="59">
        <f t="shared" si="84"/>
        <v>1989.6498909090906</v>
      </c>
      <c r="R85" s="272">
        <f t="shared" si="85"/>
        <v>2188.6148799999996</v>
      </c>
      <c r="S85" s="40">
        <f>'Tariffs Jan2023'!AN79</f>
        <v>0</v>
      </c>
      <c r="T85" s="40">
        <f>'Tariffs Jan2023'!AO79</f>
        <v>0</v>
      </c>
      <c r="U85" s="40">
        <f>'Tariffs Jan2023'!AP79</f>
        <v>0</v>
      </c>
      <c r="V85" s="40">
        <f>'Tariffs Jan2023'!AQ79</f>
        <v>0</v>
      </c>
      <c r="W85" s="537" t="str">
        <f>IF(SUM(S85:V85)=0,"No discount",IF(S85&gt;0,"Guaranteed off bill",IF(T85&gt;0,"Guaranteed off usage",IF(U85&gt;0,"Pay-on-time off bill","Pay-on-time off usage"))))</f>
        <v>No discount</v>
      </c>
      <c r="X85" s="538" t="str">
        <f>IF(OR(A85="Origin Energy",A85="Red Energy",A85="Powershop"),"Inclusive","Exclusive")</f>
        <v>Exclusive</v>
      </c>
      <c r="Y85" s="534">
        <f>IF(AND(W85="Guaranteed off bill",X85="Inclusive"),((Q85*1.1)-((Q85*1.1)*S85/100))/1.1,IF(AND(W85="Guaranteed off usage",X85="Inclusive"),((Q85*1.1)-((P85*1.1)*T85/100))/1.1,IF(AND(W85="Guaranteed off bill",X85="Exclusive"),Q85-(Q85*S85/100),IF(AND(W85="Guaranteed off usage",X85="Exclusive"),Q85-(P85*T85/100),IF(X85="Inclusive",((Q85*1.1))/1.1,Q85)))))</f>
        <v>1989.6498909090906</v>
      </c>
      <c r="Z85" s="535">
        <f>IF(AND(W85="Pay-on-time off bill",X85="Inclusive"),((Y85*1.1)-((Y85*1.1)*U85/100))/1.1,IF(AND(W85="Pay-on-time off usage",X85="Inclusive"),((Y85*1.1)-((P85*1.1)*V85/100))/1.1,IF(AND(W85="Pay-on-time off bill",X85="Exclusive"),Y85-(Y85*U85/100),IF(AND(W85="Pay-on-time off usage",X85="Exclusive"),Y85-(P85*V85/100),IF(X85="Inclusive",((Y85*1.1))/1.1,Y85)))))</f>
        <v>1989.6498909090906</v>
      </c>
      <c r="AA85" s="542">
        <f t="shared" ref="AA85:AB97" si="116">Y85*1.1</f>
        <v>2188.6148799999996</v>
      </c>
      <c r="AB85" s="609">
        <f t="shared" si="116"/>
        <v>2188.6148799999996</v>
      </c>
      <c r="AC85" s="604"/>
      <c r="AD85" s="604"/>
      <c r="AE85" s="604"/>
      <c r="AF85" s="604"/>
      <c r="AG85" s="604"/>
      <c r="AH85" s="604"/>
      <c r="AI85" s="604"/>
      <c r="AJ85" s="604"/>
      <c r="AK85" s="604"/>
      <c r="AL85" s="604"/>
      <c r="AM85" s="604"/>
      <c r="AN85" s="604"/>
      <c r="AO85" s="604"/>
      <c r="AP85" s="604"/>
      <c r="AQ85" s="604"/>
      <c r="AR85" s="604"/>
      <c r="AS85" s="604"/>
      <c r="AT85" s="604"/>
    </row>
    <row r="86" spans="1:46" ht="14" x14ac:dyDescent="0.15">
      <c r="A86" s="270" t="str">
        <f>'Tariffs Jan2023'!F80</f>
        <v>Alinta Energy</v>
      </c>
      <c r="B86" s="40" t="str">
        <f>'Tariffs Jan2023'!D80</f>
        <v>AusNet Services Central 2</v>
      </c>
      <c r="C86" s="40" t="str">
        <f>'Tariffs Jan2023'!G80</f>
        <v>Home Deal</v>
      </c>
      <c r="D86" s="59">
        <f>365*'Tariffs Jan2023'!H80/100</f>
        <v>250.45636363636359</v>
      </c>
      <c r="E86" s="59">
        <f>IF($C$5*'Tariffs Jan2023'!AK80/'Tariffs Jan2023'!AI80&gt;='Tariffs Jan2023'!J80,( 'Tariffs Jan2023'!J80*'Tariffs Jan2023'!O80/100)* 'Tariffs Jan2023'!AI80,($C$5*'Tariffs Jan2023'!AK80/'Tariffs Jan2023'!AI80*'Tariffs Jan2023'!O80/100)* 'Tariffs Jan2023'!AI80)</f>
        <v>291.2727272727272</v>
      </c>
      <c r="F86" s="59">
        <f>IF($C$5*'Tariffs Jan2023'!AK80/'Tariffs Jan2023'!AI80&lt;'Tariffs Jan2023'!J80,0,IF($C$5*'Tariffs Jan2023'!AK80/'Tariffs Jan2023'!AI80&lt;='Tariffs Jan2023'!K80,($C$5*'Tariffs Jan2023'!AK80/'Tariffs Jan2023'!AI80-'Tariffs Jan2023'!J80)*('Tariffs Jan2023'!P80/100)*'Tariffs Jan2023'!AI80,('Tariffs Jan2023'!K80-'Tariffs Jan2023'!J80)*('Tariffs Jan2023'!P80/100)*'Tariffs Jan2023'!AI80))</f>
        <v>0</v>
      </c>
      <c r="G86" s="59">
        <f>IF($C$5*'Tariffs Jan2023'!AK80/'Tariffs Jan2023'!AI80&lt;'Tariffs Jan2023'!K80,0,IF($C$5*'Tariffs Jan2023'!AK80/'Tariffs Jan2023'!AI80&lt;='Tariffs Jan2023'!L80,($C$5*'Tariffs Jan2023'!AK80/'Tariffs Jan2023'!AI80-'Tariffs Jan2023'!K80)*('Tariffs Jan2023'!Q80/100)*'Tariffs Jan2023'!AI80,('Tariffs Jan2023'!L80-'Tariffs Jan2023'!K80)*('Tariffs Jan2023'!Q80/100)*'Tariffs Jan2023'!AI80))</f>
        <v>0</v>
      </c>
      <c r="H86" s="59">
        <f>IF($C$5*'Tariffs Jan2023'!AK80/'Tariffs Jan2023'!AI80&lt;'Tariffs Jan2023'!L80,0,IF($C$5*'Tariffs Jan2023'!AK80/'Tariffs Jan2023'!AI80&lt;='Tariffs Jan2023'!M80,($C$5*'Tariffs Jan2023'!AK80/'Tariffs Jan2023'!AI80-'Tariffs Jan2023'!L80)*('Tariffs Jan2023'!R80/100)*'Tariffs Jan2023'!AI80,('Tariffs Jan2023'!M80-'Tariffs Jan2023'!L80)*('Tariffs Jan2023'!R80/100)*'Tariffs Jan2023'!AI80))</f>
        <v>0</v>
      </c>
      <c r="I86" s="69">
        <f>IF(($C$5*'Tariffs Jan2023'!AK80/'Tariffs Jan2023'!AI80&gt;'Tariffs Jan2023'!M80),($C$5*'Tariffs Jan2023'!AK80/'Tariffs Jan2023'!AI80-'Tariffs Jan2023'!M80)*'Tariffs Jan2023'!S80/100*'Tariffs Jan2023'!AI80,0)</f>
        <v>169.32411818181811</v>
      </c>
      <c r="J86" s="69">
        <f>IF($C$5*'Tariffs Jan2023'!AL80/'Tariffs Jan2023'!AJ80&gt;='Tariffs Jan2023'!J80,('Tariffs Jan2023'!J80*'Tariffs Jan2023'!U80/100)* 'Tariffs Jan2023'!AJ80,($C$5*'Tariffs Jan2023'!AL80/'Tariffs Jan2023'!AJ80*'Tariffs Jan2023'!U80/100)* 'Tariffs Jan2023'!AJ80)</f>
        <v>541.09090909090901</v>
      </c>
      <c r="K86" s="69">
        <f>IF($C$5*'Tariffs Jan2023'!AL80/'Tariffs Jan2023'!AJ80&lt;'Tariffs Jan2023'!J80,0,IF($C$5*'Tariffs Jan2023'!AL80/'Tariffs Jan2023'!AJ80&lt;='Tariffs Jan2023'!K80,($C$5*'Tariffs Jan2023'!AL80/'Tariffs Jan2023'!AJ80-'Tariffs Jan2023'!J80)*('Tariffs Jan2023'!V80/100)*'Tariffs Jan2023'!AJ80,('Tariffs Jan2023'!K80-'Tariffs Jan2023'!J80)*('Tariffs Jan2023'!V80/100)*'Tariffs Jan2023'!AJ80))</f>
        <v>0</v>
      </c>
      <c r="L86" s="69">
        <f>IF($C$5*'Tariffs Jan2023'!AL80/'Tariffs Jan2023'!AJ80&lt;'Tariffs Jan2023'!K80,0,IF($C$5*'Tariffs Jan2023'!AL80/'Tariffs Jan2023'!AJ80&lt;='Tariffs Jan2023'!L80,($C$5*'Tariffs Jan2023'!AL80/'Tariffs Jan2023'!AJ80-'Tariffs Jan2023'!K80)*('Tariffs Jan2023'!W80/100)*'Tariffs Jan2023'!AJ80,('Tariffs Jan2023'!L80-'Tariffs Jan2023'!K80)*('Tariffs Jan2023'!W80/100)*'Tariffs Jan2023'!AJ80))</f>
        <v>0</v>
      </c>
      <c r="M86" s="69">
        <f>IF($C$5*'Tariffs Jan2023'!AL80/'Tariffs Jan2023'!AJ80&lt;'Tariffs Jan2023'!L80,0,IF($C$5*'Tariffs Jan2023'!AL80/'Tariffs Jan2023'!AJ80&lt;='Tariffs Jan2023'!M80,($C$5*'Tariffs Jan2023'!AL80/'Tariffs Jan2023'!AJ80-'Tariffs Jan2023'!L80)*('Tariffs Jan2023'!X80/100)*'Tariffs Jan2023'!AJ80,('Tariffs Jan2023'!M80-'Tariffs Jan2023'!L80)*('Tariffs Jan2023'!X80/100)*'Tariffs Jan2023'!AJ80))</f>
        <v>0</v>
      </c>
      <c r="N86" s="69">
        <f>IF(($C$5*'Tariffs Jan2023'!AL80/'Tariffs Jan2023'!AJ80&gt;'Tariffs Jan2023'!M80),($C$5*'Tariffs Jan2023'!AL80/'Tariffs Jan2023'!AJ80-'Tariffs Jan2023'!M80)*'Tariffs Jan2023'!Y80/100*'Tariffs Jan2023'!AJ80,0)</f>
        <v>323.92439999999988</v>
      </c>
      <c r="O86" s="59">
        <f t="shared" si="83"/>
        <v>1325.6121545454541</v>
      </c>
      <c r="P86" s="503">
        <f t="shared" si="82"/>
        <v>1458.1733699999997</v>
      </c>
      <c r="Q86" s="59">
        <f t="shared" si="84"/>
        <v>1576.0685181818178</v>
      </c>
      <c r="R86" s="272">
        <f t="shared" si="85"/>
        <v>1733.6753699999997</v>
      </c>
      <c r="S86" s="40">
        <f>'Tariffs Jan2023'!AN80</f>
        <v>0</v>
      </c>
      <c r="T86" s="40">
        <f>'Tariffs Jan2023'!AO80</f>
        <v>0</v>
      </c>
      <c r="U86" s="40">
        <f>'Tariffs Jan2023'!AP80</f>
        <v>0</v>
      </c>
      <c r="V86" s="40">
        <f>'Tariffs Jan2023'!AQ80</f>
        <v>0</v>
      </c>
      <c r="W86" s="537" t="str">
        <f t="shared" ref="W86:W97" si="117">IF(SUM(S86:V86)=0,"No discount",IF(S86&gt;0,"Guaranteed off bill",IF(T86&gt;0,"Guaranteed off usage",IF(U86&gt;0,"Pay-on-time off bill","Pay-on-time off usage"))))</f>
        <v>No discount</v>
      </c>
      <c r="X86" s="538" t="str">
        <f t="shared" ref="X86:X97" si="118">IF(OR(A86="Origin Energy",A86="Red Energy",A86="Powershop"),"Inclusive","Exclusive")</f>
        <v>Exclusive</v>
      </c>
      <c r="Y86" s="534">
        <f>IF(AND(W86="Guaranteed off bill",X86="Inclusive"),((Q86*1.1)-((Q86*1.1)*S86/100))/1.1,IF(AND(W86="Guaranteed off usage",X86="Inclusive"),((Q86*1.1)-((P86*1.1)*T86/100))/1.1,IF(AND(W86="Guaranteed off bill",X86="Exclusive"),Q86-(Q86*S86/100),IF(AND(W86="Guaranteed off usage",X86="Exclusive"),Q86-(P86*T86/100),IF(X86="Inclusive",((Q86*1.1))/1.1,Q86)))))</f>
        <v>1576.0685181818178</v>
      </c>
      <c r="Z86" s="535">
        <f>IF(AND(W86="Pay-on-time off bill",X86="Inclusive"),((Y86*1.1)-((Y86*1.1)*U86/100))/1.1,IF(AND(W86="Pay-on-time off usage",X86="Inclusive"),((Y86*1.1)-((P86*1.1)*V86/100))/1.1,IF(AND(W86="Pay-on-time off bill",X86="Exclusive"),Y86-(Y86*U86/100),IF(AND(W86="Pay-on-time off usage",X86="Exclusive"),Y86-(P86*V86/100),IF(X86="Inclusive",((Y86*1.1))/1.1,Y86)))))</f>
        <v>1576.0685181818178</v>
      </c>
      <c r="AA86" s="542">
        <f t="shared" si="116"/>
        <v>1733.6753699999997</v>
      </c>
      <c r="AB86" s="609">
        <f t="shared" si="116"/>
        <v>1733.6753699999997</v>
      </c>
      <c r="AC86" s="604"/>
      <c r="AD86" s="604"/>
      <c r="AE86" s="604"/>
      <c r="AF86" s="604"/>
      <c r="AG86" s="604"/>
      <c r="AH86" s="604"/>
      <c r="AI86" s="604"/>
      <c r="AJ86" s="604"/>
      <c r="AK86" s="604"/>
      <c r="AL86" s="604"/>
      <c r="AM86" s="604"/>
      <c r="AN86" s="604"/>
      <c r="AO86" s="604"/>
      <c r="AP86" s="604"/>
      <c r="AQ86" s="604"/>
      <c r="AR86" s="604"/>
      <c r="AS86" s="604"/>
      <c r="AT86" s="604"/>
    </row>
    <row r="87" spans="1:46" ht="14" x14ac:dyDescent="0.15">
      <c r="A87" s="270" t="str">
        <f>'Tariffs Jan2023'!F81</f>
        <v>Dodo Power &amp; Gas</v>
      </c>
      <c r="B87" s="40" t="str">
        <f>'Tariffs Jan2023'!D81</f>
        <v>AusNet Services Central 2</v>
      </c>
      <c r="C87" s="40" t="str">
        <f>'Tariffs Jan2023'!G81</f>
        <v>Market offer</v>
      </c>
      <c r="D87" s="59">
        <f>365*'Tariffs Jan2023'!H81/100</f>
        <v>317.41727272727269</v>
      </c>
      <c r="E87" s="59">
        <f>IF($C$5*'Tariffs Jan2023'!AK81/'Tariffs Jan2023'!AI81&gt;='Tariffs Jan2023'!J81,( 'Tariffs Jan2023'!J81*'Tariffs Jan2023'!O81/100)* 'Tariffs Jan2023'!AI81,($C$5*'Tariffs Jan2023'!AK81/'Tariffs Jan2023'!AI81*'Tariffs Jan2023'!O81/100)* 'Tariffs Jan2023'!AI81)</f>
        <v>267.27272727272725</v>
      </c>
      <c r="F87" s="59">
        <f>IF($C$5*'Tariffs Jan2023'!AK81/'Tariffs Jan2023'!AI81&lt;'Tariffs Jan2023'!J81,0,IF($C$5*'Tariffs Jan2023'!AK81/'Tariffs Jan2023'!AI81&lt;='Tariffs Jan2023'!K81,($C$5*'Tariffs Jan2023'!AK81/'Tariffs Jan2023'!AI81-'Tariffs Jan2023'!J81)*('Tariffs Jan2023'!P81/100)*'Tariffs Jan2023'!AI81,('Tariffs Jan2023'!K81-'Tariffs Jan2023'!J81)*('Tariffs Jan2023'!P81/100)*'Tariffs Jan2023'!AI81))</f>
        <v>176.6860363636363</v>
      </c>
      <c r="G87" s="59">
        <f>IF($C$5*'Tariffs Jan2023'!AK81/'Tariffs Jan2023'!AI81&lt;'Tariffs Jan2023'!K81,0,IF($C$5*'Tariffs Jan2023'!AK81/'Tariffs Jan2023'!AI81&lt;='Tariffs Jan2023'!L81,($C$5*'Tariffs Jan2023'!AK81/'Tariffs Jan2023'!AI81-'Tariffs Jan2023'!K81)*('Tariffs Jan2023'!Q81/100)*'Tariffs Jan2023'!AI81,('Tariffs Jan2023'!L81-'Tariffs Jan2023'!K81)*('Tariffs Jan2023'!Q81/100)*'Tariffs Jan2023'!AI81))</f>
        <v>0</v>
      </c>
      <c r="H87" s="59">
        <f>IF($C$5*'Tariffs Jan2023'!AK81/'Tariffs Jan2023'!AI81&lt;'Tariffs Jan2023'!L81,0,IF($C$5*'Tariffs Jan2023'!AK81/'Tariffs Jan2023'!AI81&lt;='Tariffs Jan2023'!M81,($C$5*'Tariffs Jan2023'!AK81/'Tariffs Jan2023'!AI81-'Tariffs Jan2023'!L81)*('Tariffs Jan2023'!R81/100)*'Tariffs Jan2023'!AI81,('Tariffs Jan2023'!M81-'Tariffs Jan2023'!L81)*('Tariffs Jan2023'!R81/100)*'Tariffs Jan2023'!AI81))</f>
        <v>0</v>
      </c>
      <c r="I87" s="69">
        <f>IF(($C$5*'Tariffs Jan2023'!AK81/'Tariffs Jan2023'!AI81&gt;'Tariffs Jan2023'!M81),($C$5*'Tariffs Jan2023'!AK81/'Tariffs Jan2023'!AI81-'Tariffs Jan2023'!M81)*'Tariffs Jan2023'!S81/100*'Tariffs Jan2023'!AI81,0)</f>
        <v>0</v>
      </c>
      <c r="J87" s="69">
        <f>IF($C$5*'Tariffs Jan2023'!AL81/'Tariffs Jan2023'!AJ81&gt;='Tariffs Jan2023'!J81,('Tariffs Jan2023'!J81*'Tariffs Jan2023'!U81/100)* 'Tariffs Jan2023'!AJ81,($C$5*'Tariffs Jan2023'!AL81/'Tariffs Jan2023'!AJ81*'Tariffs Jan2023'!U81/100)* 'Tariffs Jan2023'!AJ81)</f>
        <v>429.81818181818176</v>
      </c>
      <c r="K87" s="69">
        <f>IF($C$5*'Tariffs Jan2023'!AL81/'Tariffs Jan2023'!AJ81&lt;'Tariffs Jan2023'!J81,0,IF($C$5*'Tariffs Jan2023'!AL81/'Tariffs Jan2023'!AJ81&lt;='Tariffs Jan2023'!K81,($C$5*'Tariffs Jan2023'!AL81/'Tariffs Jan2023'!AJ81-'Tariffs Jan2023'!J81)*('Tariffs Jan2023'!V81/100)*'Tariffs Jan2023'!AJ81,('Tariffs Jan2023'!K81-'Tariffs Jan2023'!J81)*('Tariffs Jan2023'!V81/100)*'Tariffs Jan2023'!AJ81))</f>
        <v>313.12691999999993</v>
      </c>
      <c r="L87" s="69">
        <f>IF($C$5*'Tariffs Jan2023'!AL81/'Tariffs Jan2023'!AJ81&lt;'Tariffs Jan2023'!K81,0,IF($C$5*'Tariffs Jan2023'!AL81/'Tariffs Jan2023'!AJ81&lt;='Tariffs Jan2023'!L81,($C$5*'Tariffs Jan2023'!AL81/'Tariffs Jan2023'!AJ81-'Tariffs Jan2023'!K81)*('Tariffs Jan2023'!W81/100)*'Tariffs Jan2023'!AJ81,('Tariffs Jan2023'!L81-'Tariffs Jan2023'!K81)*('Tariffs Jan2023'!W81/100)*'Tariffs Jan2023'!AJ81))</f>
        <v>0</v>
      </c>
      <c r="M87" s="69">
        <f>IF($C$5*'Tariffs Jan2023'!AL81/'Tariffs Jan2023'!AJ81&lt;'Tariffs Jan2023'!L81,0,IF($C$5*'Tariffs Jan2023'!AL81/'Tariffs Jan2023'!AJ81&lt;='Tariffs Jan2023'!M81,($C$5*'Tariffs Jan2023'!AL81/'Tariffs Jan2023'!AJ81-'Tariffs Jan2023'!L81)*('Tariffs Jan2023'!X81/100)*'Tariffs Jan2023'!AJ81,('Tariffs Jan2023'!M81-'Tariffs Jan2023'!L81)*('Tariffs Jan2023'!X81/100)*'Tariffs Jan2023'!AJ81))</f>
        <v>0</v>
      </c>
      <c r="N87" s="69">
        <f>IF(($C$5*'Tariffs Jan2023'!AL81/'Tariffs Jan2023'!AJ81&gt;'Tariffs Jan2023'!M81),($C$5*'Tariffs Jan2023'!AL81/'Tariffs Jan2023'!AJ81-'Tariffs Jan2023'!M81)*'Tariffs Jan2023'!Y81/100*'Tariffs Jan2023'!AJ81,0)</f>
        <v>0</v>
      </c>
      <c r="O87" s="59">
        <f t="shared" si="83"/>
        <v>1186.9038654545452</v>
      </c>
      <c r="P87" s="503">
        <f t="shared" si="82"/>
        <v>1305.5942519999999</v>
      </c>
      <c r="Q87" s="59">
        <f t="shared" si="84"/>
        <v>1504.3211381818178</v>
      </c>
      <c r="R87" s="272">
        <f t="shared" si="85"/>
        <v>1654.7532519999997</v>
      </c>
      <c r="S87" s="40">
        <f>'Tariffs Jan2023'!AN81</f>
        <v>0</v>
      </c>
      <c r="T87" s="40">
        <f>'Tariffs Jan2023'!AO81</f>
        <v>0</v>
      </c>
      <c r="U87" s="40">
        <f>'Tariffs Jan2023'!AP81</f>
        <v>0</v>
      </c>
      <c r="V87" s="40">
        <f>'Tariffs Jan2023'!AQ81</f>
        <v>0</v>
      </c>
      <c r="W87" s="537" t="str">
        <f t="shared" si="117"/>
        <v>No discount</v>
      </c>
      <c r="X87" s="538" t="str">
        <f t="shared" si="118"/>
        <v>Exclusive</v>
      </c>
      <c r="Y87" s="534">
        <f>IF(AND(W87="Guaranteed off bill",X87="Inclusive"),((Q87*1.1)-((Q87*1.1)*S87/100))/1.1,IF(AND(W87="Guaranteed off usage",X87="Inclusive"),((Q87*1.1)-((P87*1.1)*T87/100))/1.1,IF(AND(W87="Guaranteed off bill",X87="Exclusive"),Q87-(Q87*S87/100),IF(AND(W87="Guaranteed off usage",X87="Exclusive"),Q87-(P87*T87/100),IF(X87="Inclusive",((Q87*1.1))/1.1,Q87)))))</f>
        <v>1504.3211381818178</v>
      </c>
      <c r="Z87" s="535">
        <f>IF(AND(W87="Pay-on-time off bill",X87="Inclusive"),((Y87*1.1)-((Y87*1.1)*U87/100))/1.1,IF(AND(W87="Pay-on-time off usage",X87="Inclusive"),((Y87*1.1)-((P87*1.1)*V87/100))/1.1,IF(AND(W87="Pay-on-time off bill",X87="Exclusive"),Y87-(Y87*U87/100),IF(AND(W87="Pay-on-time off usage",X87="Exclusive"),Y87-(P87*V87/100),IF(X87="Inclusive",((Y87*1.1))/1.1,Y87)))))</f>
        <v>1504.3211381818178</v>
      </c>
      <c r="AA87" s="542">
        <f t="shared" si="116"/>
        <v>1654.7532519999997</v>
      </c>
      <c r="AB87" s="609">
        <f t="shared" si="116"/>
        <v>1654.7532519999997</v>
      </c>
      <c r="AC87" s="604"/>
      <c r="AD87" s="604"/>
      <c r="AE87" s="604"/>
      <c r="AF87" s="604"/>
      <c r="AG87" s="604"/>
      <c r="AH87" s="604"/>
      <c r="AI87" s="604"/>
      <c r="AJ87" s="604"/>
      <c r="AK87" s="604"/>
      <c r="AL87" s="604"/>
      <c r="AM87" s="604"/>
      <c r="AN87" s="604"/>
      <c r="AO87" s="604"/>
      <c r="AP87" s="604"/>
      <c r="AQ87" s="604"/>
      <c r="AR87" s="604"/>
      <c r="AS87" s="604"/>
      <c r="AT87" s="604"/>
    </row>
    <row r="88" spans="1:46" ht="14" x14ac:dyDescent="0.15">
      <c r="A88" s="270" t="str">
        <f>'Tariffs Jan2023'!F82</f>
        <v>EnergyAustralia</v>
      </c>
      <c r="B88" s="40" t="str">
        <f>'Tariffs Jan2023'!D82</f>
        <v>AusNet Services Central 2</v>
      </c>
      <c r="C88" s="40" t="str">
        <f>'Tariffs Jan2023'!G82</f>
        <v>Flexi Plan</v>
      </c>
      <c r="D88" s="59">
        <f>365*'Tariffs Jan2023'!H82/100</f>
        <v>455.22136363636361</v>
      </c>
      <c r="E88" s="59">
        <f>IF($C$5*'Tariffs Jan2023'!AK82/'Tariffs Jan2023'!AI82&gt;='Tariffs Jan2023'!J82,( 'Tariffs Jan2023'!J82*'Tariffs Jan2023'!O82/100)* 'Tariffs Jan2023'!AI82,($C$5*'Tariffs Jan2023'!AK82/'Tariffs Jan2023'!AI82*'Tariffs Jan2023'!O82/100)* 'Tariffs Jan2023'!AI82)</f>
        <v>459.2727272727272</v>
      </c>
      <c r="F88" s="59">
        <f>IF($C$5*'Tariffs Jan2023'!AK82/'Tariffs Jan2023'!AI82&lt;'Tariffs Jan2023'!J82,0,IF($C$5*'Tariffs Jan2023'!AK82/'Tariffs Jan2023'!AI82&lt;='Tariffs Jan2023'!K82,($C$5*'Tariffs Jan2023'!AK82/'Tariffs Jan2023'!AI82-'Tariffs Jan2023'!J82)*('Tariffs Jan2023'!P82/100)*'Tariffs Jan2023'!AI82,('Tariffs Jan2023'!K82-'Tariffs Jan2023'!J82)*('Tariffs Jan2023'!P82/100)*'Tariffs Jan2023'!AI82))</f>
        <v>292.02275454545446</v>
      </c>
      <c r="G88" s="59">
        <f>IF($C$5*'Tariffs Jan2023'!AK82/'Tariffs Jan2023'!AI82&lt;'Tariffs Jan2023'!K82,0,IF($C$5*'Tariffs Jan2023'!AK82/'Tariffs Jan2023'!AI82&lt;='Tariffs Jan2023'!L82,($C$5*'Tariffs Jan2023'!AK82/'Tariffs Jan2023'!AI82-'Tariffs Jan2023'!K82)*('Tariffs Jan2023'!Q82/100)*'Tariffs Jan2023'!AI82,('Tariffs Jan2023'!L82-'Tariffs Jan2023'!K82)*('Tariffs Jan2023'!Q82/100)*'Tariffs Jan2023'!AI82))</f>
        <v>0</v>
      </c>
      <c r="H88" s="59">
        <f>IF($C$5*'Tariffs Jan2023'!AK82/'Tariffs Jan2023'!AI82&lt;'Tariffs Jan2023'!L82,0,IF($C$5*'Tariffs Jan2023'!AK82/'Tariffs Jan2023'!AI82&lt;='Tariffs Jan2023'!M82,($C$5*'Tariffs Jan2023'!AK82/'Tariffs Jan2023'!AI82-'Tariffs Jan2023'!L82)*('Tariffs Jan2023'!R82/100)*'Tariffs Jan2023'!AI82,('Tariffs Jan2023'!M82-'Tariffs Jan2023'!L82)*('Tariffs Jan2023'!R82/100)*'Tariffs Jan2023'!AI82))</f>
        <v>0</v>
      </c>
      <c r="I88" s="69">
        <f>IF(($C$5*'Tariffs Jan2023'!AK82/'Tariffs Jan2023'!AI82&gt;'Tariffs Jan2023'!M82),($C$5*'Tariffs Jan2023'!AK82/'Tariffs Jan2023'!AI82-'Tariffs Jan2023'!M82)*'Tariffs Jan2023'!S82/100*'Tariffs Jan2023'!AI82,0)</f>
        <v>0</v>
      </c>
      <c r="J88" s="69">
        <f>IF($C$5*'Tariffs Jan2023'!AL82/'Tariffs Jan2023'!AJ82&gt;='Tariffs Jan2023'!J82,('Tariffs Jan2023'!J82*'Tariffs Jan2023'!U82/100)* 'Tariffs Jan2023'!AJ82,($C$5*'Tariffs Jan2023'!AL82/'Tariffs Jan2023'!AJ82*'Tariffs Jan2023'!U82/100)* 'Tariffs Jan2023'!AJ82)</f>
        <v>713.4545454545455</v>
      </c>
      <c r="K88" s="69">
        <f>IF($C$5*'Tariffs Jan2023'!AL82/'Tariffs Jan2023'!AJ82&lt;'Tariffs Jan2023'!J82,0,IF($C$5*'Tariffs Jan2023'!AL82/'Tariffs Jan2023'!AJ82&lt;='Tariffs Jan2023'!K82,($C$5*'Tariffs Jan2023'!AL82/'Tariffs Jan2023'!AJ82-'Tariffs Jan2023'!J82)*('Tariffs Jan2023'!V82/100)*'Tariffs Jan2023'!AJ82,('Tariffs Jan2023'!K82-'Tariffs Jan2023'!J82)*('Tariffs Jan2023'!V82/100)*'Tariffs Jan2023'!AJ82))</f>
        <v>508.79034545454527</v>
      </c>
      <c r="L88" s="69">
        <f>IF($C$5*'Tariffs Jan2023'!AL82/'Tariffs Jan2023'!AJ82&lt;'Tariffs Jan2023'!K82,0,IF($C$5*'Tariffs Jan2023'!AL82/'Tariffs Jan2023'!AJ82&lt;='Tariffs Jan2023'!L82,($C$5*'Tariffs Jan2023'!AL82/'Tariffs Jan2023'!AJ82-'Tariffs Jan2023'!K82)*('Tariffs Jan2023'!W82/100)*'Tariffs Jan2023'!AJ82,('Tariffs Jan2023'!L82-'Tariffs Jan2023'!K82)*('Tariffs Jan2023'!W82/100)*'Tariffs Jan2023'!AJ82))</f>
        <v>0</v>
      </c>
      <c r="M88" s="69">
        <f>IF($C$5*'Tariffs Jan2023'!AL82/'Tariffs Jan2023'!AJ82&lt;'Tariffs Jan2023'!L82,0,IF($C$5*'Tariffs Jan2023'!AL82/'Tariffs Jan2023'!AJ82&lt;='Tariffs Jan2023'!M82,($C$5*'Tariffs Jan2023'!AL82/'Tariffs Jan2023'!AJ82-'Tariffs Jan2023'!L82)*('Tariffs Jan2023'!X82/100)*'Tariffs Jan2023'!AJ82,('Tariffs Jan2023'!M82-'Tariffs Jan2023'!L82)*('Tariffs Jan2023'!X82/100)*'Tariffs Jan2023'!AJ82))</f>
        <v>0</v>
      </c>
      <c r="N88" s="69">
        <f>IF(($C$5*'Tariffs Jan2023'!AL82/'Tariffs Jan2023'!AJ82&gt;'Tariffs Jan2023'!M82),($C$5*'Tariffs Jan2023'!AL82/'Tariffs Jan2023'!AJ82-'Tariffs Jan2023'!M82)*'Tariffs Jan2023'!Y82/100*'Tariffs Jan2023'!AJ82,0)</f>
        <v>0</v>
      </c>
      <c r="O88" s="59">
        <f t="shared" si="83"/>
        <v>1973.5403727272724</v>
      </c>
      <c r="P88" s="503">
        <f t="shared" si="82"/>
        <v>2170.8944099999999</v>
      </c>
      <c r="Q88" s="59">
        <f t="shared" si="84"/>
        <v>2428.7617363636359</v>
      </c>
      <c r="R88" s="272">
        <f t="shared" si="85"/>
        <v>2671.6379099999999</v>
      </c>
      <c r="S88" s="40">
        <f>'Tariffs Jan2023'!AN82</f>
        <v>12</v>
      </c>
      <c r="T88" s="40">
        <f>'Tariffs Jan2023'!AO82</f>
        <v>0</v>
      </c>
      <c r="U88" s="40">
        <f>'Tariffs Jan2023'!AP82</f>
        <v>0</v>
      </c>
      <c r="V88" s="40">
        <f>'Tariffs Jan2023'!AQ82</f>
        <v>0</v>
      </c>
      <c r="W88" s="537" t="str">
        <f t="shared" si="117"/>
        <v>Guaranteed off bill</v>
      </c>
      <c r="X88" s="538" t="str">
        <f t="shared" si="118"/>
        <v>Exclusive</v>
      </c>
      <c r="Y88" s="534">
        <f t="shared" ref="Y88" si="119">IF(AND(W88="Guaranteed off bill",X88="Inclusive"),((Q88*1.1)-((Q88*1.1)*S88/100))/1.1,IF(AND(W88="Guaranteed off usage",X88="Inclusive"),((Q88*1.1)-((P88*1.1)*T88/100))/1.1,IF(AND(W88="Guaranteed off bill",X88="Exclusive"),Q88-(Q88*S88/100),IF(AND(W88="Guaranteed off usage",X88="Exclusive"),Q88-(P88*T88/100),IF(X88="Inclusive",((Q88*1.1))/1.1,Q88)))))</f>
        <v>2137.3103279999996</v>
      </c>
      <c r="Z88" s="535">
        <f t="shared" ref="Z88" si="120">IF(AND(W88="Pay-on-time off bill",X88="Inclusive"),((Y88*1.1)-((Y88*1.1)*U88/100))/1.1,IF(AND(W88="Pay-on-time off usage",X88="Inclusive"),((Y88*1.1)-((P88*1.1)*V88/100))/1.1,IF(AND(W88="Pay-on-time off bill",X88="Exclusive"),Y88-(Y88*U88/100),IF(AND(W88="Pay-on-time off usage",X88="Exclusive"),Y88-(P88*V88/100),IF(X88="Inclusive",((Y88*1.1))/1.1,Y88)))))</f>
        <v>2137.3103279999996</v>
      </c>
      <c r="AA88" s="542">
        <f t="shared" si="116"/>
        <v>2351.0413607999999</v>
      </c>
      <c r="AB88" s="609">
        <f t="shared" si="116"/>
        <v>2351.0413607999999</v>
      </c>
      <c r="AC88" s="604"/>
      <c r="AD88" s="604"/>
      <c r="AE88" s="604"/>
      <c r="AF88" s="604"/>
      <c r="AG88" s="604"/>
      <c r="AH88" s="604"/>
      <c r="AI88" s="604"/>
      <c r="AJ88" s="604"/>
      <c r="AK88" s="604"/>
      <c r="AL88" s="604"/>
      <c r="AM88" s="604"/>
      <c r="AN88" s="604"/>
      <c r="AO88" s="604"/>
      <c r="AP88" s="604"/>
      <c r="AQ88" s="604"/>
      <c r="AR88" s="604"/>
      <c r="AS88" s="604"/>
      <c r="AT88" s="604"/>
    </row>
    <row r="89" spans="1:46" ht="14" x14ac:dyDescent="0.15">
      <c r="A89" s="270" t="str">
        <f>'Tariffs Jan2023'!F83</f>
        <v>Lumo Energy</v>
      </c>
      <c r="B89" s="40" t="str">
        <f>'Tariffs Jan2023'!D83</f>
        <v>AusNet Services Central 2</v>
      </c>
      <c r="C89" s="40" t="str">
        <f>'Tariffs Jan2023'!G83</f>
        <v>Value</v>
      </c>
      <c r="D89" s="59">
        <f>365*'Tariffs Jan2023'!H83/100</f>
        <v>334.70499999999998</v>
      </c>
      <c r="E89" s="59">
        <f>IF($C$5*'Tariffs Jan2023'!AK83/'Tariffs Jan2023'!AI83&gt;='Tariffs Jan2023'!J83,( 'Tariffs Jan2023'!J83*'Tariffs Jan2023'!O83/100)* 'Tariffs Jan2023'!AI83,($C$5*'Tariffs Jan2023'!AK83/'Tariffs Jan2023'!AI83*'Tariffs Jan2023'!O83/100)* 'Tariffs Jan2023'!AI83)</f>
        <v>327.27272727272725</v>
      </c>
      <c r="F89" s="59">
        <f>IF($C$5*'Tariffs Jan2023'!AK83/'Tariffs Jan2023'!AI83&lt;'Tariffs Jan2023'!J83,0,IF($C$5*'Tariffs Jan2023'!AK83/'Tariffs Jan2023'!AI83&lt;='Tariffs Jan2023'!K83,($C$5*'Tariffs Jan2023'!AK83/'Tariffs Jan2023'!AI83-'Tariffs Jan2023'!J83)*('Tariffs Jan2023'!P83/100)*'Tariffs Jan2023'!AI83,('Tariffs Jan2023'!K83-'Tariffs Jan2023'!J83)*('Tariffs Jan2023'!P83/100)*'Tariffs Jan2023'!AI83))</f>
        <v>224.12950909090904</v>
      </c>
      <c r="G89" s="59">
        <f>IF($C$5*'Tariffs Jan2023'!AK83/'Tariffs Jan2023'!AI83&lt;'Tariffs Jan2023'!K83,0,IF($C$5*'Tariffs Jan2023'!AK83/'Tariffs Jan2023'!AI83&lt;='Tariffs Jan2023'!L83,($C$5*'Tariffs Jan2023'!AK83/'Tariffs Jan2023'!AI83-'Tariffs Jan2023'!K83)*('Tariffs Jan2023'!Q83/100)*'Tariffs Jan2023'!AI83,('Tariffs Jan2023'!L83-'Tariffs Jan2023'!K83)*('Tariffs Jan2023'!Q83/100)*'Tariffs Jan2023'!AI83))</f>
        <v>0</v>
      </c>
      <c r="H89" s="59">
        <f>IF($C$5*'Tariffs Jan2023'!AK83/'Tariffs Jan2023'!AI83&lt;'Tariffs Jan2023'!L83,0,IF($C$5*'Tariffs Jan2023'!AK83/'Tariffs Jan2023'!AI83&lt;='Tariffs Jan2023'!M83,($C$5*'Tariffs Jan2023'!AK83/'Tariffs Jan2023'!AI83-'Tariffs Jan2023'!L83)*('Tariffs Jan2023'!R83/100)*'Tariffs Jan2023'!AI83,('Tariffs Jan2023'!M83-'Tariffs Jan2023'!L83)*('Tariffs Jan2023'!R83/100)*'Tariffs Jan2023'!AI83))</f>
        <v>0</v>
      </c>
      <c r="I89" s="69">
        <f>IF(($C$5*'Tariffs Jan2023'!AK83/'Tariffs Jan2023'!AI83&gt;'Tariffs Jan2023'!M83),($C$5*'Tariffs Jan2023'!AK83/'Tariffs Jan2023'!AI83-'Tariffs Jan2023'!M83)*'Tariffs Jan2023'!S83/100*'Tariffs Jan2023'!AI83,0)</f>
        <v>0</v>
      </c>
      <c r="J89" s="69">
        <f>IF($C$5*'Tariffs Jan2023'!AL83/'Tariffs Jan2023'!AJ83&gt;='Tariffs Jan2023'!J83,('Tariffs Jan2023'!J83*'Tariffs Jan2023'!U83/100)* 'Tariffs Jan2023'!AJ83,($C$5*'Tariffs Jan2023'!AL83/'Tariffs Jan2023'!AJ83*'Tariffs Jan2023'!U83/100)* 'Tariffs Jan2023'!AJ83)</f>
        <v>560.72727272727263</v>
      </c>
      <c r="K89" s="69">
        <f>IF($C$5*'Tariffs Jan2023'!AL83/'Tariffs Jan2023'!AJ83&lt;'Tariffs Jan2023'!J83,0,IF($C$5*'Tariffs Jan2023'!AL83/'Tariffs Jan2023'!AJ83&lt;='Tariffs Jan2023'!K83,($C$5*'Tariffs Jan2023'!AL83/'Tariffs Jan2023'!AJ83-'Tariffs Jan2023'!J83)*('Tariffs Jan2023'!V83/100)*'Tariffs Jan2023'!AJ83,('Tariffs Jan2023'!K83-'Tariffs Jan2023'!J83)*('Tariffs Jan2023'!V83/100)*'Tariffs Jan2023'!AJ83))</f>
        <v>412.26741818181802</v>
      </c>
      <c r="L89" s="69">
        <f>IF($C$5*'Tariffs Jan2023'!AL83/'Tariffs Jan2023'!AJ83&lt;'Tariffs Jan2023'!K83,0,IF($C$5*'Tariffs Jan2023'!AL83/'Tariffs Jan2023'!AJ83&lt;='Tariffs Jan2023'!L83,($C$5*'Tariffs Jan2023'!AL83/'Tariffs Jan2023'!AJ83-'Tariffs Jan2023'!K83)*('Tariffs Jan2023'!W83/100)*'Tariffs Jan2023'!AJ83,('Tariffs Jan2023'!L83-'Tariffs Jan2023'!K83)*('Tariffs Jan2023'!W83/100)*'Tariffs Jan2023'!AJ83))</f>
        <v>0</v>
      </c>
      <c r="M89" s="69">
        <f>IF($C$5*'Tariffs Jan2023'!AL83/'Tariffs Jan2023'!AJ83&lt;'Tariffs Jan2023'!L83,0,IF($C$5*'Tariffs Jan2023'!AL83/'Tariffs Jan2023'!AJ83&lt;='Tariffs Jan2023'!M83,($C$5*'Tariffs Jan2023'!AL83/'Tariffs Jan2023'!AJ83-'Tariffs Jan2023'!L83)*('Tariffs Jan2023'!X83/100)*'Tariffs Jan2023'!AJ83,('Tariffs Jan2023'!M83-'Tariffs Jan2023'!L83)*('Tariffs Jan2023'!X83/100)*'Tariffs Jan2023'!AJ83))</f>
        <v>0</v>
      </c>
      <c r="N89" s="69">
        <f>IF(($C$5*'Tariffs Jan2023'!AL83/'Tariffs Jan2023'!AJ83&gt;'Tariffs Jan2023'!M83),($C$5*'Tariffs Jan2023'!AL83/'Tariffs Jan2023'!AJ83-'Tariffs Jan2023'!M83)*'Tariffs Jan2023'!Y83/100*'Tariffs Jan2023'!AJ83,0)</f>
        <v>0</v>
      </c>
      <c r="O89" s="59">
        <f t="shared" si="83"/>
        <v>1524.3969272727268</v>
      </c>
      <c r="P89" s="503">
        <f t="shared" si="82"/>
        <v>1676.8366199999996</v>
      </c>
      <c r="Q89" s="59">
        <f t="shared" si="84"/>
        <v>1859.1019272727267</v>
      </c>
      <c r="R89" s="272">
        <f t="shared" si="85"/>
        <v>2045.0121199999996</v>
      </c>
      <c r="S89" s="40">
        <f>'Tariffs Jan2023'!AN83</f>
        <v>0</v>
      </c>
      <c r="T89" s="40">
        <f>'Tariffs Jan2023'!AO83</f>
        <v>0</v>
      </c>
      <c r="U89" s="40">
        <f>'Tariffs Jan2023'!AP83</f>
        <v>0</v>
      </c>
      <c r="V89" s="40">
        <f>'Tariffs Jan2023'!AQ83</f>
        <v>0</v>
      </c>
      <c r="W89" s="537" t="str">
        <f t="shared" si="117"/>
        <v>No discount</v>
      </c>
      <c r="X89" s="538" t="str">
        <f t="shared" si="118"/>
        <v>Exclusive</v>
      </c>
      <c r="Y89" s="534">
        <f>IF(AND(W89="Guaranteed off bill",X89="Inclusive"),((Q89*1.1)-((Q89*1.1)*S89/100))/1.1,IF(AND(W89="Guaranteed off usage",X89="Inclusive"),((Q89*1.1)-((P89*1.1)*T89/100))/1.1,IF(AND(W89="Guaranteed off bill",X89="Exclusive"),Q89-(Q89*S89/100),IF(AND(W89="Guaranteed off usage",X89="Exclusive"),Q89-(P89*T89/100),IF(X89="Inclusive",((Q89*1.1))/1.1,Q89)))))</f>
        <v>1859.1019272727267</v>
      </c>
      <c r="Z89" s="535">
        <f>IF(AND(W89="Pay-on-time off bill",X89="Inclusive"),((Y89*1.1)-((Y89*1.1)*U89/100))/1.1,IF(AND(W89="Pay-on-time off usage",X89="Inclusive"),((Y89*1.1)-((P89*1.1)*V89/100))/1.1,IF(AND(W89="Pay-on-time off bill",X89="Exclusive"),Y89-(Y89*U89/100),IF(AND(W89="Pay-on-time off usage",X89="Exclusive"),Y89-(P89*V89/100),IF(X89="Inclusive",((Y89*1.1))/1.1,Y89)))))</f>
        <v>1859.1019272727267</v>
      </c>
      <c r="AA89" s="542">
        <f t="shared" si="116"/>
        <v>2045.0121199999996</v>
      </c>
      <c r="AB89" s="609">
        <f t="shared" si="116"/>
        <v>2045.0121199999996</v>
      </c>
      <c r="AC89" s="604"/>
      <c r="AD89" s="604"/>
      <c r="AE89" s="604"/>
      <c r="AF89" s="604"/>
      <c r="AG89" s="604"/>
      <c r="AH89" s="604"/>
      <c r="AI89" s="604"/>
      <c r="AJ89" s="604"/>
      <c r="AK89" s="604"/>
      <c r="AL89" s="604"/>
      <c r="AM89" s="604"/>
      <c r="AN89" s="604"/>
      <c r="AO89" s="604"/>
      <c r="AP89" s="604"/>
      <c r="AQ89" s="604"/>
      <c r="AR89" s="604"/>
      <c r="AS89" s="604"/>
      <c r="AT89" s="604"/>
    </row>
    <row r="90" spans="1:46" ht="14" x14ac:dyDescent="0.15">
      <c r="A90" s="270" t="str">
        <f>'Tariffs Jan2023'!F84</f>
        <v>Origin Energy</v>
      </c>
      <c r="B90" s="40" t="str">
        <f>'Tariffs Jan2023'!D84</f>
        <v>AusNet Services Central 2</v>
      </c>
      <c r="C90" s="40" t="str">
        <f>'Tariffs Jan2023'!G84</f>
        <v>Go Variable</v>
      </c>
      <c r="D90" s="59">
        <f>365*'Tariffs Jan2023'!H84/100</f>
        <v>319.44136363636358</v>
      </c>
      <c r="E90" s="59">
        <f>((C$5*'Tariffs Jan2023'!AK84/'Tariffs Jan2023'!AI84)*('Tariffs Jan2023'!O84/100))*'Tariffs Jan2023'!AI84</f>
        <v>738.81818181818176</v>
      </c>
      <c r="F90" s="59">
        <v>0</v>
      </c>
      <c r="G90" s="59">
        <v>0</v>
      </c>
      <c r="H90" s="59">
        <v>0</v>
      </c>
      <c r="I90" s="69">
        <v>0</v>
      </c>
      <c r="J90" s="69">
        <f>((C$5*'Tariffs Jan2023'!AL84/'Tariffs Jan2023'!AJ84)*('Tariffs Jan2023'!U84/100))*'Tariffs Jan2023'!AJ84</f>
        <v>738.81818181818176</v>
      </c>
      <c r="K90" s="69">
        <v>0</v>
      </c>
      <c r="L90" s="69">
        <v>0</v>
      </c>
      <c r="M90" s="69">
        <v>0</v>
      </c>
      <c r="N90" s="69">
        <v>0</v>
      </c>
      <c r="O90" s="59">
        <f t="shared" si="83"/>
        <v>1477.6363636363635</v>
      </c>
      <c r="P90" s="503">
        <f t="shared" si="82"/>
        <v>1625.4</v>
      </c>
      <c r="Q90" s="59">
        <f t="shared" si="84"/>
        <v>1797.0777272727271</v>
      </c>
      <c r="R90" s="272">
        <f t="shared" si="85"/>
        <v>1976.7855</v>
      </c>
      <c r="S90" s="40">
        <f>'Tariffs Jan2023'!AN84</f>
        <v>0</v>
      </c>
      <c r="T90" s="40">
        <f>'Tariffs Jan2023'!AO84</f>
        <v>0</v>
      </c>
      <c r="U90" s="40">
        <f>'Tariffs Jan2023'!AP84</f>
        <v>0</v>
      </c>
      <c r="V90" s="40">
        <f>'Tariffs Jan2023'!AQ84</f>
        <v>0</v>
      </c>
      <c r="W90" s="537" t="str">
        <f t="shared" si="117"/>
        <v>No discount</v>
      </c>
      <c r="X90" s="538" t="str">
        <f t="shared" si="118"/>
        <v>Inclusive</v>
      </c>
      <c r="Y90" s="534">
        <f>IF(AND(W90="Guaranteed off bill",X90="Inclusive"),((Q90*1.1)-((Q90*1.1)*S90/100))/1.1,IF(AND(W90="Guaranteed off usage",X90="Inclusive"),((Q90*1.1)-((P90*1.1)*T90/100))/1.1,IF(AND(W90="Guaranteed off bill",X90="Exclusive"),Q90-(Q90*S90/100),IF(AND(W90="Guaranteed off usage",X90="Exclusive"),Q90-(P90*T90/100),IF(X90="Inclusive",((Q90*1.1))/1.1,Q90)))))</f>
        <v>1797.0777272727271</v>
      </c>
      <c r="Z90" s="535">
        <f>IF(AND(W90="Pay-on-time off bill",X90="Inclusive"),((Y90*1.1)-((Y90*1.1)*U90/100))/1.1,IF(AND(W90="Pay-on-time off usage",X90="Inclusive"),((Y90*1.1)-((P90*1.1)*V90/100))/1.1,IF(AND(W90="Pay-on-time off bill",X90="Exclusive"),Y90-(Y90*U90/100),IF(AND(W90="Pay-on-time off usage",X90="Exclusive"),Y90-(P90*V90/100),IF(X90="Inclusive",((Y90*1.1))/1.1,Y90)))))</f>
        <v>1797.0777272727271</v>
      </c>
      <c r="AA90" s="542">
        <f t="shared" si="116"/>
        <v>1976.7855</v>
      </c>
      <c r="AB90" s="609">
        <f t="shared" si="116"/>
        <v>1976.7855</v>
      </c>
      <c r="AC90" s="604"/>
      <c r="AD90" s="604"/>
      <c r="AE90" s="604"/>
      <c r="AF90" s="604"/>
      <c r="AG90" s="604"/>
      <c r="AH90" s="604"/>
      <c r="AI90" s="604"/>
      <c r="AJ90" s="604"/>
      <c r="AK90" s="604"/>
      <c r="AL90" s="604"/>
      <c r="AM90" s="604"/>
      <c r="AN90" s="604"/>
      <c r="AO90" s="604"/>
      <c r="AP90" s="604"/>
      <c r="AQ90" s="604"/>
      <c r="AR90" s="604"/>
      <c r="AS90" s="604"/>
      <c r="AT90" s="604"/>
    </row>
    <row r="91" spans="1:46" ht="14" x14ac:dyDescent="0.15">
      <c r="A91" s="270" t="str">
        <f>'Tariffs Jan2023'!F85</f>
        <v>Red Energy</v>
      </c>
      <c r="B91" s="40" t="str">
        <f>'Tariffs Jan2023'!D85</f>
        <v>AusNet Services Central 2</v>
      </c>
      <c r="C91" s="40" t="str">
        <f>'Tariffs Jan2023'!G85</f>
        <v>Living Energy Saver</v>
      </c>
      <c r="D91" s="59">
        <f>365*'Tariffs Jan2023'!H85/100</f>
        <v>334.70499999999998</v>
      </c>
      <c r="E91" s="59">
        <f>IF($C$5*'Tariffs Jan2023'!AK85/'Tariffs Jan2023'!AI85&gt;='Tariffs Jan2023'!J85,( 'Tariffs Jan2023'!J85*'Tariffs Jan2023'!O85/100)* 'Tariffs Jan2023'!AI85,($C$5*'Tariffs Jan2023'!AK85/'Tariffs Jan2023'!AI85*'Tariffs Jan2023'!O85/100)* 'Tariffs Jan2023'!AI85)</f>
        <v>311.99999999999994</v>
      </c>
      <c r="F91" s="59">
        <f>IF($C$5*'Tariffs Jan2023'!AK85/'Tariffs Jan2023'!AI85&lt;'Tariffs Jan2023'!J85,0,IF($C$5*'Tariffs Jan2023'!AK85/'Tariffs Jan2023'!AI85&lt;='Tariffs Jan2023'!K85,($C$5*'Tariffs Jan2023'!AK85/'Tariffs Jan2023'!AI85-'Tariffs Jan2023'!J85)*('Tariffs Jan2023'!P85/100)*'Tariffs Jan2023'!AI85,('Tariffs Jan2023'!K85-'Tariffs Jan2023'!J85)*('Tariffs Jan2023'!P85/100)*'Tariffs Jan2023'!AI85))</f>
        <v>206.95169999999996</v>
      </c>
      <c r="G91" s="59">
        <f>IF($C$5*'Tariffs Jan2023'!AK85/'Tariffs Jan2023'!AI85&lt;'Tariffs Jan2023'!K85,0,IF($C$5*'Tariffs Jan2023'!AK85/'Tariffs Jan2023'!AI85&lt;='Tariffs Jan2023'!L85,($C$5*'Tariffs Jan2023'!AK85/'Tariffs Jan2023'!AI85-'Tariffs Jan2023'!K85)*('Tariffs Jan2023'!Q85/100)*'Tariffs Jan2023'!AI85,('Tariffs Jan2023'!L85-'Tariffs Jan2023'!K85)*('Tariffs Jan2023'!Q85/100)*'Tariffs Jan2023'!AI85))</f>
        <v>0</v>
      </c>
      <c r="H91" s="59">
        <f>IF($C$5*'Tariffs Jan2023'!AK85/'Tariffs Jan2023'!AI85&lt;'Tariffs Jan2023'!L85,0,IF($C$5*'Tariffs Jan2023'!AK85/'Tariffs Jan2023'!AI85&lt;='Tariffs Jan2023'!M85,($C$5*'Tariffs Jan2023'!AK85/'Tariffs Jan2023'!AI85-'Tariffs Jan2023'!L85)*('Tariffs Jan2023'!R85/100)*'Tariffs Jan2023'!AI85,('Tariffs Jan2023'!M85-'Tariffs Jan2023'!L85)*('Tariffs Jan2023'!R85/100)*'Tariffs Jan2023'!AI85))</f>
        <v>0</v>
      </c>
      <c r="I91" s="69">
        <f>IF(($C$5*'Tariffs Jan2023'!AK85/'Tariffs Jan2023'!AI85&gt;'Tariffs Jan2023'!M85),($C$5*'Tariffs Jan2023'!AK85/'Tariffs Jan2023'!AI85-'Tariffs Jan2023'!M85)*'Tariffs Jan2023'!S85/100*'Tariffs Jan2023'!AI85,0)</f>
        <v>0</v>
      </c>
      <c r="J91" s="69">
        <f>IF($C$5*'Tariffs Jan2023'!AL85/'Tariffs Jan2023'!AJ85&gt;='Tariffs Jan2023'!J85,('Tariffs Jan2023'!J85*'Tariffs Jan2023'!U85/100)* 'Tariffs Jan2023'!AJ85,($C$5*'Tariffs Jan2023'!AL85/'Tariffs Jan2023'!AJ85*'Tariffs Jan2023'!U85/100)* 'Tariffs Jan2023'!AJ85)</f>
        <v>504</v>
      </c>
      <c r="K91" s="69">
        <f>IF($C$5*'Tariffs Jan2023'!AL85/'Tariffs Jan2023'!AJ85&lt;'Tariffs Jan2023'!J85,0,IF($C$5*'Tariffs Jan2023'!AL85/'Tariffs Jan2023'!AJ85&lt;='Tariffs Jan2023'!K85,($C$5*'Tariffs Jan2023'!AL85/'Tariffs Jan2023'!AJ85-'Tariffs Jan2023'!J85)*('Tariffs Jan2023'!V85/100)*'Tariffs Jan2023'!AJ85,('Tariffs Jan2023'!K85-'Tariffs Jan2023'!J85)*('Tariffs Jan2023'!V85/100)*'Tariffs Jan2023'!AJ85))</f>
        <v>369.73189090909079</v>
      </c>
      <c r="L91" s="69">
        <f>IF($C$5*'Tariffs Jan2023'!AL85/'Tariffs Jan2023'!AJ85&lt;'Tariffs Jan2023'!K85,0,IF($C$5*'Tariffs Jan2023'!AL85/'Tariffs Jan2023'!AJ85&lt;='Tariffs Jan2023'!L85,($C$5*'Tariffs Jan2023'!AL85/'Tariffs Jan2023'!AJ85-'Tariffs Jan2023'!K85)*('Tariffs Jan2023'!W85/100)*'Tariffs Jan2023'!AJ85,('Tariffs Jan2023'!L85-'Tariffs Jan2023'!K85)*('Tariffs Jan2023'!W85/100)*'Tariffs Jan2023'!AJ85))</f>
        <v>0</v>
      </c>
      <c r="M91" s="69">
        <f>IF($C$5*'Tariffs Jan2023'!AL85/'Tariffs Jan2023'!AJ85&lt;'Tariffs Jan2023'!L85,0,IF($C$5*'Tariffs Jan2023'!AL85/'Tariffs Jan2023'!AJ85&lt;='Tariffs Jan2023'!M85,($C$5*'Tariffs Jan2023'!AL85/'Tariffs Jan2023'!AJ85-'Tariffs Jan2023'!L85)*('Tariffs Jan2023'!X85/100)*'Tariffs Jan2023'!AJ85,('Tariffs Jan2023'!M85-'Tariffs Jan2023'!L85)*('Tariffs Jan2023'!X85/100)*'Tariffs Jan2023'!AJ85))</f>
        <v>0</v>
      </c>
      <c r="N91" s="69">
        <f>IF(($C$5*'Tariffs Jan2023'!AL85/'Tariffs Jan2023'!AJ85&gt;'Tariffs Jan2023'!M85),($C$5*'Tariffs Jan2023'!AL85/'Tariffs Jan2023'!AJ85-'Tariffs Jan2023'!M85)*'Tariffs Jan2023'!Y85/100*'Tariffs Jan2023'!AJ85,0)</f>
        <v>0</v>
      </c>
      <c r="O91" s="59">
        <f t="shared" si="83"/>
        <v>1392.6835909090905</v>
      </c>
      <c r="P91" s="503">
        <f t="shared" si="82"/>
        <v>1531.9519499999997</v>
      </c>
      <c r="Q91" s="59">
        <f t="shared" si="84"/>
        <v>1727.3885909090905</v>
      </c>
      <c r="R91" s="272">
        <f t="shared" si="85"/>
        <v>1900.1274499999997</v>
      </c>
      <c r="S91" s="40">
        <f>'Tariffs Jan2023'!AN85</f>
        <v>0</v>
      </c>
      <c r="T91" s="40">
        <f>'Tariffs Jan2023'!AO85</f>
        <v>0</v>
      </c>
      <c r="U91" s="40">
        <f>'Tariffs Jan2023'!AP85</f>
        <v>0</v>
      </c>
      <c r="V91" s="40">
        <f>'Tariffs Jan2023'!AQ85</f>
        <v>0</v>
      </c>
      <c r="W91" s="537" t="str">
        <f t="shared" si="117"/>
        <v>No discount</v>
      </c>
      <c r="X91" s="538" t="str">
        <f t="shared" si="118"/>
        <v>Inclusive</v>
      </c>
      <c r="Y91" s="534">
        <f t="shared" ref="Y91:Y93" si="121">IF(AND(W91="Guaranteed off bill",X91="Inclusive"),((Q91*1.1)-((Q91*1.1)*S91/100))/1.1,IF(AND(W91="Guaranteed off usage",X91="Inclusive"),((Q91*1.1)-((P91*1.1)*T91/100))/1.1,IF(AND(W91="Guaranteed off bill",X91="Exclusive"),Q91-(Q91*S91/100),IF(AND(W91="Guaranteed off usage",X91="Exclusive"),Q91-(P91*T91/100),IF(X91="Inclusive",((Q91*1.1))/1.1,Q91)))))</f>
        <v>1727.3885909090905</v>
      </c>
      <c r="Z91" s="535">
        <f t="shared" ref="Z91:Z93" si="122">IF(AND(W91="Pay-on-time off bill",X91="Inclusive"),((Y91*1.1)-((Y91*1.1)*U91/100))/1.1,IF(AND(W91="Pay-on-time off usage",X91="Inclusive"),((Y91*1.1)-((P91*1.1)*V91/100))/1.1,IF(AND(W91="Pay-on-time off bill",X91="Exclusive"),Y91-(Y91*U91/100),IF(AND(W91="Pay-on-time off usage",X91="Exclusive"),Y91-(P91*V91/100),IF(X91="Inclusive",((Y91*1.1))/1.1,Y91)))))</f>
        <v>1727.3885909090905</v>
      </c>
      <c r="AA91" s="542">
        <f t="shared" si="116"/>
        <v>1900.1274499999997</v>
      </c>
      <c r="AB91" s="609">
        <f t="shared" si="116"/>
        <v>1900.1274499999997</v>
      </c>
      <c r="AC91" s="604"/>
      <c r="AD91" s="604"/>
      <c r="AE91" s="604"/>
      <c r="AF91" s="604"/>
      <c r="AG91" s="604"/>
      <c r="AH91" s="604"/>
      <c r="AI91" s="604"/>
      <c r="AJ91" s="604"/>
      <c r="AK91" s="604"/>
      <c r="AL91" s="604"/>
      <c r="AM91" s="604"/>
      <c r="AN91" s="604"/>
      <c r="AO91" s="604"/>
      <c r="AP91" s="604"/>
      <c r="AQ91" s="604"/>
      <c r="AR91" s="604"/>
      <c r="AS91" s="604"/>
      <c r="AT91" s="604"/>
    </row>
    <row r="92" spans="1:46" ht="14" x14ac:dyDescent="0.15">
      <c r="A92" s="270" t="str">
        <f>'Tariffs Jan2023'!F86</f>
        <v>Simply Energy</v>
      </c>
      <c r="B92" s="40" t="str">
        <f>'Tariffs Jan2023'!D86</f>
        <v>AusNet Services Central 2</v>
      </c>
      <c r="C92" s="40" t="str">
        <f>'Tariffs Jan2023'!G86</f>
        <v>Stay Plus</v>
      </c>
      <c r="D92" s="59">
        <f>365*'Tariffs Jan2023'!H86/100</f>
        <v>319.9722727272727</v>
      </c>
      <c r="E92" s="59">
        <f>IF($C$5*'Tariffs Jan2023'!AK86/'Tariffs Jan2023'!AI86&gt;='Tariffs Jan2023'!J86,( 'Tariffs Jan2023'!J86*'Tariffs Jan2023'!O86/100)* 'Tariffs Jan2023'!AI86,($C$5*'Tariffs Jan2023'!AK86/'Tariffs Jan2023'!AI86*'Tariffs Jan2023'!O86/100)* 'Tariffs Jan2023'!AI86)</f>
        <v>391.63636363636363</v>
      </c>
      <c r="F92" s="59">
        <f>IF($C$5*'Tariffs Jan2023'!AK86/'Tariffs Jan2023'!AI86&lt;'Tariffs Jan2023'!J86,0,IF($C$5*'Tariffs Jan2023'!AK86/'Tariffs Jan2023'!AI86&lt;='Tariffs Jan2023'!K86,($C$5*'Tariffs Jan2023'!AK86/'Tariffs Jan2023'!AI86-'Tariffs Jan2023'!J86)*('Tariffs Jan2023'!P86/100)*'Tariffs Jan2023'!AI86,('Tariffs Jan2023'!K86-'Tariffs Jan2023'!J86)*('Tariffs Jan2023'!P86/100)*'Tariffs Jan2023'!AI86))</f>
        <v>287.93279999999993</v>
      </c>
      <c r="G92" s="59">
        <f>IF($C$5*'Tariffs Jan2023'!AK86/'Tariffs Jan2023'!AI86&lt;'Tariffs Jan2023'!K86,0,IF($C$5*'Tariffs Jan2023'!AK86/'Tariffs Jan2023'!AI86&lt;='Tariffs Jan2023'!L86,($C$5*'Tariffs Jan2023'!AK86/'Tariffs Jan2023'!AI86-'Tariffs Jan2023'!K86)*('Tariffs Jan2023'!Q86/100)*'Tariffs Jan2023'!AI86,('Tariffs Jan2023'!L86-'Tariffs Jan2023'!K86)*('Tariffs Jan2023'!Q86/100)*'Tariffs Jan2023'!AI86))</f>
        <v>0</v>
      </c>
      <c r="H92" s="59">
        <f>IF($C$5*'Tariffs Jan2023'!AK86/'Tariffs Jan2023'!AI86&lt;'Tariffs Jan2023'!L86,0,IF($C$5*'Tariffs Jan2023'!AK86/'Tariffs Jan2023'!AI86&lt;='Tariffs Jan2023'!M86,($C$5*'Tariffs Jan2023'!AK86/'Tariffs Jan2023'!AI86-'Tariffs Jan2023'!L86)*('Tariffs Jan2023'!R86/100)*'Tariffs Jan2023'!AI86,('Tariffs Jan2023'!M86-'Tariffs Jan2023'!L86)*('Tariffs Jan2023'!R86/100)*'Tariffs Jan2023'!AI86))</f>
        <v>0</v>
      </c>
      <c r="I92" s="69">
        <f>IF(($C$5*'Tariffs Jan2023'!AK86/'Tariffs Jan2023'!AI86&gt;'Tariffs Jan2023'!M86),($C$5*'Tariffs Jan2023'!AK86/'Tariffs Jan2023'!AI86-'Tariffs Jan2023'!M86)*'Tariffs Jan2023'!S86/100*'Tariffs Jan2023'!AI86,0)</f>
        <v>0</v>
      </c>
      <c r="J92" s="69">
        <f>IF($C$5*'Tariffs Jan2023'!AL86/'Tariffs Jan2023'!AJ86&gt;='Tariffs Jan2023'!J86,('Tariffs Jan2023'!J86*'Tariffs Jan2023'!U86/100)* 'Tariffs Jan2023'!AJ86,($C$5*'Tariffs Jan2023'!AL86/'Tariffs Jan2023'!AJ86*'Tariffs Jan2023'!U86/100)* 'Tariffs Jan2023'!AJ86)</f>
        <v>597.81818181818176</v>
      </c>
      <c r="K92" s="69">
        <f>IF($C$5*'Tariffs Jan2023'!AL86/'Tariffs Jan2023'!AJ86&lt;'Tariffs Jan2023'!J86,0,IF($C$5*'Tariffs Jan2023'!AL86/'Tariffs Jan2023'!AJ86&lt;='Tariffs Jan2023'!K86,($C$5*'Tariffs Jan2023'!AL86/'Tariffs Jan2023'!AJ86-'Tariffs Jan2023'!J86)*('Tariffs Jan2023'!V86/100)*'Tariffs Jan2023'!AJ86,('Tariffs Jan2023'!K86-'Tariffs Jan2023'!J86)*('Tariffs Jan2023'!V86/100)*'Tariffs Jan2023'!AJ86))</f>
        <v>431.89919999999989</v>
      </c>
      <c r="L92" s="69">
        <f>IF($C$5*'Tariffs Jan2023'!AL86/'Tariffs Jan2023'!AJ86&lt;'Tariffs Jan2023'!K86,0,IF($C$5*'Tariffs Jan2023'!AL86/'Tariffs Jan2023'!AJ86&lt;='Tariffs Jan2023'!L86,($C$5*'Tariffs Jan2023'!AL86/'Tariffs Jan2023'!AJ86-'Tariffs Jan2023'!K86)*('Tariffs Jan2023'!W86/100)*'Tariffs Jan2023'!AJ86,('Tariffs Jan2023'!L86-'Tariffs Jan2023'!K86)*('Tariffs Jan2023'!W86/100)*'Tariffs Jan2023'!AJ86))</f>
        <v>0</v>
      </c>
      <c r="M92" s="69">
        <f>IF($C$5*'Tariffs Jan2023'!AL86/'Tariffs Jan2023'!AJ86&lt;'Tariffs Jan2023'!L86,0,IF($C$5*'Tariffs Jan2023'!AL86/'Tariffs Jan2023'!AJ86&lt;='Tariffs Jan2023'!M86,($C$5*'Tariffs Jan2023'!AL86/'Tariffs Jan2023'!AJ86-'Tariffs Jan2023'!L86)*('Tariffs Jan2023'!X86/100)*'Tariffs Jan2023'!AJ86,('Tariffs Jan2023'!M86-'Tariffs Jan2023'!L86)*('Tariffs Jan2023'!X86/100)*'Tariffs Jan2023'!AJ86))</f>
        <v>0</v>
      </c>
      <c r="N92" s="69">
        <f>IF(($C$5*'Tariffs Jan2023'!AL86/'Tariffs Jan2023'!AJ86&gt;'Tariffs Jan2023'!M86),($C$5*'Tariffs Jan2023'!AL86/'Tariffs Jan2023'!AJ86-'Tariffs Jan2023'!M86)*'Tariffs Jan2023'!Y86/100*'Tariffs Jan2023'!AJ86,0)</f>
        <v>0</v>
      </c>
      <c r="O92" s="59">
        <f t="shared" si="83"/>
        <v>1709.2865454545451</v>
      </c>
      <c r="P92" s="503">
        <f t="shared" si="82"/>
        <v>1880.2151999999999</v>
      </c>
      <c r="Q92" s="59">
        <f t="shared" si="84"/>
        <v>2029.2588181818178</v>
      </c>
      <c r="R92" s="272">
        <f t="shared" si="85"/>
        <v>2232.1846999999998</v>
      </c>
      <c r="S92" s="40">
        <f>'Tariffs Jan2023'!AN86</f>
        <v>6</v>
      </c>
      <c r="T92" s="40">
        <f>'Tariffs Jan2023'!AO86</f>
        <v>0</v>
      </c>
      <c r="U92" s="40">
        <f>'Tariffs Jan2023'!AP86</f>
        <v>0</v>
      </c>
      <c r="V92" s="40">
        <f>'Tariffs Jan2023'!AQ86</f>
        <v>0</v>
      </c>
      <c r="W92" s="537" t="str">
        <f t="shared" si="117"/>
        <v>Guaranteed off bill</v>
      </c>
      <c r="X92" s="538" t="str">
        <f t="shared" si="118"/>
        <v>Exclusive</v>
      </c>
      <c r="Y92" s="534">
        <f t="shared" si="121"/>
        <v>1907.5032890909088</v>
      </c>
      <c r="Z92" s="535">
        <f t="shared" si="122"/>
        <v>1907.5032890909088</v>
      </c>
      <c r="AA92" s="542">
        <f t="shared" si="116"/>
        <v>2098.2536179999997</v>
      </c>
      <c r="AB92" s="609">
        <f t="shared" si="116"/>
        <v>2098.2536179999997</v>
      </c>
      <c r="AC92" s="604"/>
      <c r="AD92" s="604"/>
      <c r="AE92" s="604"/>
      <c r="AF92" s="604"/>
      <c r="AG92" s="604"/>
      <c r="AH92" s="604"/>
      <c r="AI92" s="604"/>
      <c r="AJ92" s="604"/>
      <c r="AK92" s="604"/>
      <c r="AL92" s="604"/>
      <c r="AM92" s="604"/>
      <c r="AN92" s="604"/>
      <c r="AO92" s="604"/>
      <c r="AP92" s="604"/>
      <c r="AQ92" s="604"/>
      <c r="AR92" s="604"/>
      <c r="AS92" s="604"/>
      <c r="AT92" s="604"/>
    </row>
    <row r="93" spans="1:46" ht="14" x14ac:dyDescent="0.15">
      <c r="A93" s="270" t="str">
        <f>'Tariffs Jan2023'!F87</f>
        <v>GloBird Energy</v>
      </c>
      <c r="B93" s="40" t="str">
        <f>'Tariffs Jan2023'!D87</f>
        <v>AusNet Services Central 2</v>
      </c>
      <c r="C93" s="40" t="str">
        <f>'Tariffs Jan2023'!G87</f>
        <v>GloSave</v>
      </c>
      <c r="D93" s="59">
        <f>365*'Tariffs Jan2023'!H87/100</f>
        <v>299.3</v>
      </c>
      <c r="E93" s="59">
        <f>IF($C$5*'Tariffs Jan2023'!AK87/'Tariffs Jan2023'!AI87&gt;='Tariffs Jan2023'!J87,( 'Tariffs Jan2023'!J87*'Tariffs Jan2023'!O87/100)* 'Tariffs Jan2023'!AI87,($C$5*'Tariffs Jan2023'!AK87/'Tariffs Jan2023'!AI87*'Tariffs Jan2023'!O87/100)* 'Tariffs Jan2023'!AI87)</f>
        <v>300</v>
      </c>
      <c r="F93" s="59">
        <f>IF($C$5*'Tariffs Jan2023'!AK87/'Tariffs Jan2023'!AI87&lt;'Tariffs Jan2023'!J87,0,IF($C$5*'Tariffs Jan2023'!AK87/'Tariffs Jan2023'!AI87&lt;='Tariffs Jan2023'!K87,($C$5*'Tariffs Jan2023'!AK87/'Tariffs Jan2023'!AI87-'Tariffs Jan2023'!J87)*('Tariffs Jan2023'!P87/100)*'Tariffs Jan2023'!AI87,('Tariffs Jan2023'!K87-'Tariffs Jan2023'!J87)*('Tariffs Jan2023'!P87/100)*'Tariffs Jan2023'!AI87))</f>
        <v>0</v>
      </c>
      <c r="G93" s="59">
        <f>IF($C$5*'Tariffs Jan2023'!AK87/'Tariffs Jan2023'!AI87&lt;'Tariffs Jan2023'!K87,0,IF($C$5*'Tariffs Jan2023'!AK87/'Tariffs Jan2023'!AI87&lt;='Tariffs Jan2023'!L87,($C$5*'Tariffs Jan2023'!AK87/'Tariffs Jan2023'!AI87-'Tariffs Jan2023'!K87)*('Tariffs Jan2023'!Q87/100)*'Tariffs Jan2023'!AI87,('Tariffs Jan2023'!L87-'Tariffs Jan2023'!K87)*('Tariffs Jan2023'!Q87/100)*'Tariffs Jan2023'!AI87))</f>
        <v>0</v>
      </c>
      <c r="H93" s="59">
        <f>IF($C$5*'Tariffs Jan2023'!AK87/'Tariffs Jan2023'!AI87&lt;'Tariffs Jan2023'!L87,0,IF($C$5*'Tariffs Jan2023'!AK87/'Tariffs Jan2023'!AI87&lt;='Tariffs Jan2023'!M87,($C$5*'Tariffs Jan2023'!AK87/'Tariffs Jan2023'!AI87-'Tariffs Jan2023'!L87)*('Tariffs Jan2023'!R87/100)*'Tariffs Jan2023'!AI87,('Tariffs Jan2023'!M87-'Tariffs Jan2023'!L87)*('Tariffs Jan2023'!R87/100)*'Tariffs Jan2023'!AI87))</f>
        <v>0</v>
      </c>
      <c r="I93" s="69">
        <f>IF(($C$5*'Tariffs Jan2023'!AK87/'Tariffs Jan2023'!AI87&gt;'Tariffs Jan2023'!M87),($C$5*'Tariffs Jan2023'!AK87/'Tariffs Jan2023'!AI87-'Tariffs Jan2023'!M87)*'Tariffs Jan2023'!S87/100*'Tariffs Jan2023'!AI87,0)</f>
        <v>209.40567272727264</v>
      </c>
      <c r="J93" s="69">
        <f>IF($C$5*'Tariffs Jan2023'!AL87/'Tariffs Jan2023'!AJ87&gt;='Tariffs Jan2023'!J87,('Tariffs Jan2023'!J87*'Tariffs Jan2023'!U87/100)* 'Tariffs Jan2023'!AJ87,($C$5*'Tariffs Jan2023'!AL87/'Tariffs Jan2023'!AJ87*'Tariffs Jan2023'!U87/100)* 'Tariffs Jan2023'!AJ87)</f>
        <v>600</v>
      </c>
      <c r="K93" s="69">
        <f>IF($C$5*'Tariffs Jan2023'!AL87/'Tariffs Jan2023'!AJ87&lt;'Tariffs Jan2023'!J87,0,IF($C$5*'Tariffs Jan2023'!AL87/'Tariffs Jan2023'!AJ87&lt;='Tariffs Jan2023'!K87,($C$5*'Tariffs Jan2023'!AL87/'Tariffs Jan2023'!AJ87-'Tariffs Jan2023'!J87)*('Tariffs Jan2023'!V87/100)*'Tariffs Jan2023'!AJ87,('Tariffs Jan2023'!K87-'Tariffs Jan2023'!J87)*('Tariffs Jan2023'!V87/100)*'Tariffs Jan2023'!AJ87))</f>
        <v>0</v>
      </c>
      <c r="L93" s="69">
        <f>IF($C$5*'Tariffs Jan2023'!AL87/'Tariffs Jan2023'!AJ87&lt;'Tariffs Jan2023'!K87,0,IF($C$5*'Tariffs Jan2023'!AL87/'Tariffs Jan2023'!AJ87&lt;='Tariffs Jan2023'!L87,($C$5*'Tariffs Jan2023'!AL87/'Tariffs Jan2023'!AJ87-'Tariffs Jan2023'!K87)*('Tariffs Jan2023'!W87/100)*'Tariffs Jan2023'!AJ87,('Tariffs Jan2023'!L87-'Tariffs Jan2023'!K87)*('Tariffs Jan2023'!W87/100)*'Tariffs Jan2023'!AJ87))</f>
        <v>0</v>
      </c>
      <c r="M93" s="69">
        <f>IF($C$5*'Tariffs Jan2023'!AL87/'Tariffs Jan2023'!AJ87&lt;'Tariffs Jan2023'!L87,0,IF($C$5*'Tariffs Jan2023'!AL87/'Tariffs Jan2023'!AJ87&lt;='Tariffs Jan2023'!M87,($C$5*'Tariffs Jan2023'!AL87/'Tariffs Jan2023'!AJ87-'Tariffs Jan2023'!L87)*('Tariffs Jan2023'!X87/100)*'Tariffs Jan2023'!AJ87,('Tariffs Jan2023'!M87-'Tariffs Jan2023'!L87)*('Tariffs Jan2023'!X87/100)*'Tariffs Jan2023'!AJ87))</f>
        <v>0</v>
      </c>
      <c r="N93" s="69">
        <f>IF(($C$5*'Tariffs Jan2023'!AL87/'Tariffs Jan2023'!AJ87&gt;'Tariffs Jan2023'!M87),($C$5*'Tariffs Jan2023'!AL87/'Tariffs Jan2023'!AJ87-'Tariffs Jan2023'!M87)*'Tariffs Jan2023'!Y87/100*'Tariffs Jan2023'!AJ87,0)</f>
        <v>418.81134545454529</v>
      </c>
      <c r="O93" s="59">
        <f t="shared" si="83"/>
        <v>1528.217018181818</v>
      </c>
      <c r="P93" s="503">
        <f t="shared" si="82"/>
        <v>1681.03872</v>
      </c>
      <c r="Q93" s="59">
        <f t="shared" si="84"/>
        <v>1827.517018181818</v>
      </c>
      <c r="R93" s="272">
        <f t="shared" si="85"/>
        <v>2010.26872</v>
      </c>
      <c r="S93" s="40">
        <f>'Tariffs Jan2023'!AN87</f>
        <v>0</v>
      </c>
      <c r="T93" s="40">
        <f>'Tariffs Jan2023'!AO87</f>
        <v>0</v>
      </c>
      <c r="U93" s="40">
        <f>'Tariffs Jan2023'!AP87</f>
        <v>2</v>
      </c>
      <c r="V93" s="40">
        <f>'Tariffs Jan2023'!AQ87</f>
        <v>0</v>
      </c>
      <c r="W93" s="537" t="str">
        <f t="shared" si="117"/>
        <v>Pay-on-time off bill</v>
      </c>
      <c r="X93" s="538" t="str">
        <f t="shared" si="118"/>
        <v>Exclusive</v>
      </c>
      <c r="Y93" s="534">
        <f t="shared" si="121"/>
        <v>1827.517018181818</v>
      </c>
      <c r="Z93" s="535">
        <f t="shared" si="122"/>
        <v>1790.9666778181816</v>
      </c>
      <c r="AA93" s="542">
        <f t="shared" si="116"/>
        <v>2010.26872</v>
      </c>
      <c r="AB93" s="609">
        <f t="shared" si="116"/>
        <v>1970.0633455999998</v>
      </c>
      <c r="AC93" s="604"/>
      <c r="AD93" s="604"/>
      <c r="AE93" s="604"/>
      <c r="AF93" s="604"/>
      <c r="AG93" s="604"/>
      <c r="AH93" s="604"/>
      <c r="AI93" s="604"/>
      <c r="AJ93" s="604"/>
      <c r="AK93" s="604"/>
      <c r="AL93" s="604"/>
      <c r="AM93" s="604"/>
      <c r="AN93" s="604"/>
      <c r="AO93" s="604"/>
      <c r="AP93" s="604"/>
      <c r="AQ93" s="604"/>
      <c r="AR93" s="604"/>
      <c r="AS93" s="604"/>
      <c r="AT93" s="604"/>
    </row>
    <row r="94" spans="1:46" ht="14" x14ac:dyDescent="0.15">
      <c r="A94" s="270" t="str">
        <f>'Tariffs Jan2023'!F88</f>
        <v>1st Energy</v>
      </c>
      <c r="B94" s="40" t="str">
        <f>'Tariffs Jan2023'!D88</f>
        <v>AusNet Services Central 2</v>
      </c>
      <c r="C94" s="40" t="str">
        <f>'Tariffs Jan2023'!G88</f>
        <v>1st Saver Plus</v>
      </c>
      <c r="D94" s="59">
        <f>365*'Tariffs Jan2023'!H88/100</f>
        <v>332.14999999999992</v>
      </c>
      <c r="E94" s="59">
        <f>IF($C$5*'Tariffs Jan2023'!AK88/'Tariffs Jan2023'!AI88&gt;='Tariffs Jan2023'!J88,( 'Tariffs Jan2023'!J88*'Tariffs Jan2023'!O88/100)* 'Tariffs Jan2023'!AI88,($C$5*'Tariffs Jan2023'!AK88/'Tariffs Jan2023'!AI88*'Tariffs Jan2023'!O88/100)* 'Tariffs Jan2023'!AI88)</f>
        <v>647.99999999999989</v>
      </c>
      <c r="F94" s="59">
        <f>IF($C$5*'Tariffs Jan2023'!AK88/'Tariffs Jan2023'!AI88&lt;'Tariffs Jan2023'!J88,0,IF($C$5*'Tariffs Jan2023'!AK88/'Tariffs Jan2023'!AI88&lt;='Tariffs Jan2023'!K88,($C$5*'Tariffs Jan2023'!AK88/'Tariffs Jan2023'!AI88-'Tariffs Jan2023'!J88)*('Tariffs Jan2023'!P88/100)*'Tariffs Jan2023'!AI88,('Tariffs Jan2023'!K88-'Tariffs Jan2023'!J88)*('Tariffs Jan2023'!P88/100)*'Tariffs Jan2023'!AI88))</f>
        <v>432</v>
      </c>
      <c r="G94" s="59">
        <f>IF($C$5*'Tariffs Jan2023'!AK88/'Tariffs Jan2023'!AI88&lt;'Tariffs Jan2023'!K88,0,IF($C$5*'Tariffs Jan2023'!AK88/'Tariffs Jan2023'!AI88&lt;='Tariffs Jan2023'!L88,($C$5*'Tariffs Jan2023'!AK88/'Tariffs Jan2023'!AI88-'Tariffs Jan2023'!K88)*('Tariffs Jan2023'!Q88/100)*'Tariffs Jan2023'!AI88,('Tariffs Jan2023'!L88-'Tariffs Jan2023'!K88)*('Tariffs Jan2023'!Q88/100)*'Tariffs Jan2023'!AI88))</f>
        <v>0</v>
      </c>
      <c r="H94" s="59">
        <f>IF($C$5*'Tariffs Jan2023'!AK88/'Tariffs Jan2023'!AI88&lt;'Tariffs Jan2023'!L88,0,IF($C$5*'Tariffs Jan2023'!AK88/'Tariffs Jan2023'!AI88&lt;='Tariffs Jan2023'!M88,($C$5*'Tariffs Jan2023'!AK88/'Tariffs Jan2023'!AI88-'Tariffs Jan2023'!L88)*('Tariffs Jan2023'!R88/100)*'Tariffs Jan2023'!AI88,('Tariffs Jan2023'!M88-'Tariffs Jan2023'!L88)*('Tariffs Jan2023'!R88/100)*'Tariffs Jan2023'!AI88))</f>
        <v>0</v>
      </c>
      <c r="I94" s="69">
        <f>IF(($C$5*'Tariffs Jan2023'!AK88/'Tariffs Jan2023'!AI88&gt;'Tariffs Jan2023'!M88),($C$5*'Tariffs Jan2023'!AK88/'Tariffs Jan2023'!AI88-'Tariffs Jan2023'!M88)*'Tariffs Jan2023'!S88/100*'Tariffs Jan2023'!AI88,0)</f>
        <v>0</v>
      </c>
      <c r="J94" s="69">
        <f>IF($C$5*'Tariffs Jan2023'!AL88/'Tariffs Jan2023'!AJ88&gt;='Tariffs Jan2023'!J88,('Tariffs Jan2023'!J88*'Tariffs Jan2023'!U88/100)* 'Tariffs Jan2023'!AJ88,($C$5*'Tariffs Jan2023'!AL88/'Tariffs Jan2023'!AJ88*'Tariffs Jan2023'!U88/100)* 'Tariffs Jan2023'!AJ88)</f>
        <v>647.99999999999989</v>
      </c>
      <c r="K94" s="69">
        <f>IF($C$5*'Tariffs Jan2023'!AL88/'Tariffs Jan2023'!AJ88&lt;'Tariffs Jan2023'!J88,0,IF($C$5*'Tariffs Jan2023'!AL88/'Tariffs Jan2023'!AJ88&lt;='Tariffs Jan2023'!K88,($C$5*'Tariffs Jan2023'!AL88/'Tariffs Jan2023'!AJ88-'Tariffs Jan2023'!J88)*('Tariffs Jan2023'!V88/100)*'Tariffs Jan2023'!AJ88,('Tariffs Jan2023'!K88-'Tariffs Jan2023'!J88)*('Tariffs Jan2023'!V88/100)*'Tariffs Jan2023'!AJ88))</f>
        <v>432</v>
      </c>
      <c r="L94" s="69">
        <f>IF($C$5*'Tariffs Jan2023'!AL88/'Tariffs Jan2023'!AJ88&lt;'Tariffs Jan2023'!K88,0,IF($C$5*'Tariffs Jan2023'!AL88/'Tariffs Jan2023'!AJ88&lt;='Tariffs Jan2023'!L88,($C$5*'Tariffs Jan2023'!AL88/'Tariffs Jan2023'!AJ88-'Tariffs Jan2023'!K88)*('Tariffs Jan2023'!W88/100)*'Tariffs Jan2023'!AJ88,('Tariffs Jan2023'!L88-'Tariffs Jan2023'!K88)*('Tariffs Jan2023'!W88/100)*'Tariffs Jan2023'!AJ88))</f>
        <v>0</v>
      </c>
      <c r="M94" s="69">
        <f>IF($C$5*'Tariffs Jan2023'!AL88/'Tariffs Jan2023'!AJ88&lt;'Tariffs Jan2023'!L88,0,IF($C$5*'Tariffs Jan2023'!AL88/'Tariffs Jan2023'!AJ88&lt;='Tariffs Jan2023'!M88,($C$5*'Tariffs Jan2023'!AL88/'Tariffs Jan2023'!AJ88-'Tariffs Jan2023'!L88)*('Tariffs Jan2023'!X88/100)*'Tariffs Jan2023'!AJ88,('Tariffs Jan2023'!M88-'Tariffs Jan2023'!L88)*('Tariffs Jan2023'!X88/100)*'Tariffs Jan2023'!AJ88))</f>
        <v>0</v>
      </c>
      <c r="N94" s="69">
        <f>IF(($C$5*'Tariffs Jan2023'!AL88/'Tariffs Jan2023'!AJ88&gt;'Tariffs Jan2023'!M88),($C$5*'Tariffs Jan2023'!AL88/'Tariffs Jan2023'!AJ88-'Tariffs Jan2023'!M88)*'Tariffs Jan2023'!Y88/100*'Tariffs Jan2023'!AJ88,0)</f>
        <v>0</v>
      </c>
      <c r="O94" s="59">
        <f t="shared" si="83"/>
        <v>2160</v>
      </c>
      <c r="P94" s="503">
        <f t="shared" si="82"/>
        <v>2376</v>
      </c>
      <c r="Q94" s="59">
        <f t="shared" si="84"/>
        <v>2492.15</v>
      </c>
      <c r="R94" s="272">
        <f t="shared" si="85"/>
        <v>2741.3650000000002</v>
      </c>
      <c r="S94" s="40">
        <f>'Tariffs Jan2023'!AN88</f>
        <v>0</v>
      </c>
      <c r="T94" s="40">
        <f>'Tariffs Jan2023'!AO88</f>
        <v>7</v>
      </c>
      <c r="U94" s="40">
        <f>'Tariffs Jan2023'!AP88</f>
        <v>0</v>
      </c>
      <c r="V94" s="40">
        <f>'Tariffs Jan2023'!AQ88</f>
        <v>3</v>
      </c>
      <c r="W94" s="537" t="str">
        <f t="shared" si="117"/>
        <v>Guaranteed off usage</v>
      </c>
      <c r="X94" s="538" t="str">
        <f t="shared" si="118"/>
        <v>Exclusive</v>
      </c>
      <c r="Y94" s="534">
        <f>Q94-(P94*T94)/100</f>
        <v>2325.83</v>
      </c>
      <c r="Z94" s="535">
        <f>Y94-(P94*V94)/100</f>
        <v>2254.5499999999997</v>
      </c>
      <c r="AA94" s="542">
        <f t="shared" si="116"/>
        <v>2558.413</v>
      </c>
      <c r="AB94" s="609">
        <f t="shared" si="116"/>
        <v>2480.0050000000001</v>
      </c>
      <c r="AC94" s="604"/>
      <c r="AD94" s="604"/>
      <c r="AE94" s="604"/>
      <c r="AF94" s="604"/>
      <c r="AG94" s="604"/>
      <c r="AH94" s="604"/>
      <c r="AI94" s="604"/>
      <c r="AJ94" s="604"/>
      <c r="AK94" s="604"/>
      <c r="AL94" s="604"/>
      <c r="AM94" s="604"/>
      <c r="AN94" s="604"/>
      <c r="AO94" s="604"/>
      <c r="AP94" s="604"/>
      <c r="AQ94" s="604"/>
      <c r="AR94" s="604"/>
      <c r="AS94" s="604"/>
      <c r="AT94" s="604"/>
    </row>
    <row r="95" spans="1:46" ht="14" x14ac:dyDescent="0.15">
      <c r="A95" s="270" t="str">
        <f>'Tariffs Jan2023'!F89</f>
        <v>Tango Energy</v>
      </c>
      <c r="B95" s="40" t="str">
        <f>'Tariffs Jan2023'!D89</f>
        <v>AusNet Services Central 2</v>
      </c>
      <c r="C95" s="40" t="str">
        <f>'Tariffs Jan2023'!G89</f>
        <v>Home Select</v>
      </c>
      <c r="D95" s="59">
        <f>365*'Tariffs Jan2023'!H89/100</f>
        <v>423.39999999999992</v>
      </c>
      <c r="E95" s="59">
        <f>IF($C$5*'Tariffs Jan2023'!AK89/'Tariffs Jan2023'!AI89&gt;='Tariffs Jan2023'!J89,( 'Tariffs Jan2023'!J89*'Tariffs Jan2023'!O89/100)* 'Tariffs Jan2023'!AI89,($C$5*'Tariffs Jan2023'!AK89/'Tariffs Jan2023'!AI89*'Tariffs Jan2023'!O89/100)* 'Tariffs Jan2023'!AI89)</f>
        <v>240</v>
      </c>
      <c r="F95" s="59">
        <f>IF($C$5*'Tariffs Jan2023'!AK89/'Tariffs Jan2023'!AI89&lt;'Tariffs Jan2023'!J89,0,IF($C$5*'Tariffs Jan2023'!AK89/'Tariffs Jan2023'!AI89&lt;='Tariffs Jan2023'!K89,($C$5*'Tariffs Jan2023'!AK89/'Tariffs Jan2023'!AI89-'Tariffs Jan2023'!J89)*('Tariffs Jan2023'!P89/100)*'Tariffs Jan2023'!AI89,('Tariffs Jan2023'!K89-'Tariffs Jan2023'!J89)*('Tariffs Jan2023'!P89/100)*'Tariffs Jan2023'!AI89))</f>
        <v>157.87224545454541</v>
      </c>
      <c r="G95" s="59">
        <f>IF($C$5*'Tariffs Jan2023'!AK89/'Tariffs Jan2023'!AI89&lt;'Tariffs Jan2023'!K89,0,IF($C$5*'Tariffs Jan2023'!AK89/'Tariffs Jan2023'!AI89&lt;='Tariffs Jan2023'!L89,($C$5*'Tariffs Jan2023'!AK89/'Tariffs Jan2023'!AI89-'Tariffs Jan2023'!K89)*('Tariffs Jan2023'!Q89/100)*'Tariffs Jan2023'!AI89,('Tariffs Jan2023'!L89-'Tariffs Jan2023'!K89)*('Tariffs Jan2023'!Q89/100)*'Tariffs Jan2023'!AI89))</f>
        <v>0</v>
      </c>
      <c r="H95" s="59">
        <f>IF($C$5*'Tariffs Jan2023'!AK89/'Tariffs Jan2023'!AI89&lt;'Tariffs Jan2023'!L89,0,IF($C$5*'Tariffs Jan2023'!AK89/'Tariffs Jan2023'!AI89&lt;='Tariffs Jan2023'!M89,($C$5*'Tariffs Jan2023'!AK89/'Tariffs Jan2023'!AI89-'Tariffs Jan2023'!L89)*('Tariffs Jan2023'!R89/100)*'Tariffs Jan2023'!AI89,('Tariffs Jan2023'!M89-'Tariffs Jan2023'!L89)*('Tariffs Jan2023'!R89/100)*'Tariffs Jan2023'!AI89))</f>
        <v>0</v>
      </c>
      <c r="I95" s="69">
        <f>IF(($C$5*'Tariffs Jan2023'!AK89/'Tariffs Jan2023'!AI89&gt;'Tariffs Jan2023'!M89),($C$5*'Tariffs Jan2023'!AK89/'Tariffs Jan2023'!AI89-'Tariffs Jan2023'!M89)*'Tariffs Jan2023'!S89/100*'Tariffs Jan2023'!AI89,0)</f>
        <v>0</v>
      </c>
      <c r="J95" s="69">
        <f>IF($C$5*'Tariffs Jan2023'!AL89/'Tariffs Jan2023'!AJ89&gt;='Tariffs Jan2023'!J89,('Tariffs Jan2023'!J89*'Tariffs Jan2023'!U89/100)* 'Tariffs Jan2023'!AJ89,($C$5*'Tariffs Jan2023'!AL89/'Tariffs Jan2023'!AJ89*'Tariffs Jan2023'!U89/100)* 'Tariffs Jan2023'!AJ89)</f>
        <v>364.36363636363632</v>
      </c>
      <c r="K95" s="69">
        <f>IF($C$5*'Tariffs Jan2023'!AL89/'Tariffs Jan2023'!AJ89&lt;'Tariffs Jan2023'!J89,0,IF($C$5*'Tariffs Jan2023'!AL89/'Tariffs Jan2023'!AJ89&lt;='Tariffs Jan2023'!K89,($C$5*'Tariffs Jan2023'!AL89/'Tariffs Jan2023'!AJ89-'Tariffs Jan2023'!J89)*('Tariffs Jan2023'!V89/100)*'Tariffs Jan2023'!AJ89,('Tariffs Jan2023'!K89-'Tariffs Jan2023'!J89)*('Tariffs Jan2023'!V89/100)*'Tariffs Jan2023'!AJ89))</f>
        <v>268.30101818181805</v>
      </c>
      <c r="L95" s="69">
        <f>IF($C$5*'Tariffs Jan2023'!AL89/'Tariffs Jan2023'!AJ89&lt;'Tariffs Jan2023'!K89,0,IF($C$5*'Tariffs Jan2023'!AL89/'Tariffs Jan2023'!AJ89&lt;='Tariffs Jan2023'!L89,($C$5*'Tariffs Jan2023'!AL89/'Tariffs Jan2023'!AJ89-'Tariffs Jan2023'!K89)*('Tariffs Jan2023'!W89/100)*'Tariffs Jan2023'!AJ89,('Tariffs Jan2023'!L89-'Tariffs Jan2023'!K89)*('Tariffs Jan2023'!W89/100)*'Tariffs Jan2023'!AJ89))</f>
        <v>0</v>
      </c>
      <c r="M95" s="69">
        <f>IF($C$5*'Tariffs Jan2023'!AL89/'Tariffs Jan2023'!AJ89&lt;'Tariffs Jan2023'!L89,0,IF($C$5*'Tariffs Jan2023'!AL89/'Tariffs Jan2023'!AJ89&lt;='Tariffs Jan2023'!M89,($C$5*'Tariffs Jan2023'!AL89/'Tariffs Jan2023'!AJ89-'Tariffs Jan2023'!L89)*('Tariffs Jan2023'!X89/100)*'Tariffs Jan2023'!AJ89,('Tariffs Jan2023'!M89-'Tariffs Jan2023'!L89)*('Tariffs Jan2023'!X89/100)*'Tariffs Jan2023'!AJ89))</f>
        <v>0</v>
      </c>
      <c r="N95" s="69">
        <f>IF(($C$5*'Tariffs Jan2023'!AL89/'Tariffs Jan2023'!AJ89&gt;'Tariffs Jan2023'!M89),($C$5*'Tariffs Jan2023'!AL89/'Tariffs Jan2023'!AJ89-'Tariffs Jan2023'!M89)*'Tariffs Jan2023'!Y89/100*'Tariffs Jan2023'!AJ89,0)</f>
        <v>0</v>
      </c>
      <c r="O95" s="59">
        <f t="shared" si="83"/>
        <v>1030.5368999999998</v>
      </c>
      <c r="P95" s="503">
        <f t="shared" si="82"/>
        <v>1133.59059</v>
      </c>
      <c r="Q95" s="59">
        <f t="shared" si="84"/>
        <v>1453.9368999999997</v>
      </c>
      <c r="R95" s="272">
        <f t="shared" si="85"/>
        <v>1599.3305899999998</v>
      </c>
      <c r="S95" s="40">
        <f>'Tariffs Jan2023'!AN89</f>
        <v>0</v>
      </c>
      <c r="T95" s="40">
        <f>'Tariffs Jan2023'!AO89</f>
        <v>0</v>
      </c>
      <c r="U95" s="40">
        <f>'Tariffs Jan2023'!AP89</f>
        <v>0</v>
      </c>
      <c r="V95" s="40">
        <f>'Tariffs Jan2023'!AQ89</f>
        <v>0</v>
      </c>
      <c r="W95" s="537" t="str">
        <f t="shared" si="117"/>
        <v>No discount</v>
      </c>
      <c r="X95" s="538" t="str">
        <f t="shared" si="118"/>
        <v>Exclusive</v>
      </c>
      <c r="Y95" s="534">
        <f t="shared" ref="Y95:Y97" si="123">IF(AND(W95="Guaranteed off bill",X95="Inclusive"),((Q95*1.1)-((Q95*1.1)*S95/100))/1.1,IF(AND(W95="Guaranteed off usage",X95="Inclusive"),((Q95*1.1)-((P95*1.1)*T95/100))/1.1,IF(AND(W95="Guaranteed off bill",X95="Exclusive"),Q95-(Q95*S95/100),IF(AND(W95="Guaranteed off usage",X95="Exclusive"),Q95-(P95*T95/100),IF(X95="Inclusive",((Q95*1.1))/1.1,Q95)))))</f>
        <v>1453.9368999999997</v>
      </c>
      <c r="Z95" s="535">
        <f t="shared" ref="Z95:Z97" si="124">IF(AND(W95="Pay-on-time off bill",X95="Inclusive"),((Y95*1.1)-((Y95*1.1)*U95/100))/1.1,IF(AND(W95="Pay-on-time off usage",X95="Inclusive"),((Y95*1.1)-((P95*1.1)*V95/100))/1.1,IF(AND(W95="Pay-on-time off bill",X95="Exclusive"),Y95-(Y95*U95/100),IF(AND(W95="Pay-on-time off usage",X95="Exclusive"),Y95-(P95*V95/100),IF(X95="Inclusive",((Y95*1.1))/1.1,Y95)))))</f>
        <v>1453.9368999999997</v>
      </c>
      <c r="AA95" s="542">
        <f t="shared" si="116"/>
        <v>1599.3305899999998</v>
      </c>
      <c r="AB95" s="609">
        <f t="shared" si="116"/>
        <v>1599.3305899999998</v>
      </c>
      <c r="AC95" s="604"/>
      <c r="AD95" s="604"/>
      <c r="AE95" s="604"/>
      <c r="AF95" s="604"/>
      <c r="AG95" s="604"/>
      <c r="AH95" s="604"/>
      <c r="AI95" s="604"/>
      <c r="AJ95" s="604"/>
      <c r="AK95" s="604"/>
      <c r="AL95" s="604"/>
      <c r="AM95" s="604"/>
      <c r="AN95" s="604"/>
      <c r="AO95" s="604"/>
      <c r="AP95" s="604"/>
      <c r="AQ95" s="604"/>
      <c r="AR95" s="604"/>
      <c r="AS95" s="604"/>
      <c r="AT95" s="604"/>
    </row>
    <row r="96" spans="1:46" ht="14" x14ac:dyDescent="0.15">
      <c r="A96" s="270" t="str">
        <f>'Tariffs Jan2023'!F90</f>
        <v>Momentum Energy</v>
      </c>
      <c r="B96" s="40" t="str">
        <f>'Tariffs Jan2023'!D90</f>
        <v>AusNet Services Central 2</v>
      </c>
      <c r="C96" s="40" t="str">
        <f>'Tariffs Jan2023'!G90</f>
        <v>Nothing Fancy</v>
      </c>
      <c r="D96" s="59">
        <f>365*'Tariffs Jan2023'!H90/100</f>
        <v>424.8599999999999</v>
      </c>
      <c r="E96" s="59">
        <f>IF($C$5*'Tariffs Jan2023'!AK90/'Tariffs Jan2023'!AI90&gt;='Tariffs Jan2023'!J90,( 'Tariffs Jan2023'!J90*'Tariffs Jan2023'!O90/100)* 'Tariffs Jan2023'!AI90,($C$5*'Tariffs Jan2023'!AK90/'Tariffs Jan2023'!AI90*'Tariffs Jan2023'!O90/100)* 'Tariffs Jan2023'!AI90)</f>
        <v>384</v>
      </c>
      <c r="F96" s="59">
        <f>IF($C$5*'Tariffs Jan2023'!AK90/'Tariffs Jan2023'!AI90&lt;'Tariffs Jan2023'!J90,0,IF($C$5*'Tariffs Jan2023'!AK90/'Tariffs Jan2023'!AI90&lt;='Tariffs Jan2023'!K90,($C$5*'Tariffs Jan2023'!AK90/'Tariffs Jan2023'!AI90-'Tariffs Jan2023'!J90)*('Tariffs Jan2023'!P90/100)*'Tariffs Jan2023'!AI90,('Tariffs Jan2023'!K90-'Tariffs Jan2023'!J90)*('Tariffs Jan2023'!P90/100)*'Tariffs Jan2023'!AI90))</f>
        <v>260.93909999999994</v>
      </c>
      <c r="G96" s="59">
        <f>IF($C$5*'Tariffs Jan2023'!AK90/'Tariffs Jan2023'!AI90&lt;'Tariffs Jan2023'!K90,0,IF($C$5*'Tariffs Jan2023'!AK90/'Tariffs Jan2023'!AI90&lt;='Tariffs Jan2023'!L90,($C$5*'Tariffs Jan2023'!AK90/'Tariffs Jan2023'!AI90-'Tariffs Jan2023'!K90)*('Tariffs Jan2023'!Q90/100)*'Tariffs Jan2023'!AI90,('Tariffs Jan2023'!L90-'Tariffs Jan2023'!K90)*('Tariffs Jan2023'!Q90/100)*'Tariffs Jan2023'!AI90))</f>
        <v>0</v>
      </c>
      <c r="H96" s="59">
        <f>IF($C$5*'Tariffs Jan2023'!AK90/'Tariffs Jan2023'!AI90&lt;'Tariffs Jan2023'!L90,0,IF($C$5*'Tariffs Jan2023'!AK90/'Tariffs Jan2023'!AI90&lt;='Tariffs Jan2023'!M90,($C$5*'Tariffs Jan2023'!AK90/'Tariffs Jan2023'!AI90-'Tariffs Jan2023'!L90)*('Tariffs Jan2023'!R90/100)*'Tariffs Jan2023'!AI90,('Tariffs Jan2023'!M90-'Tariffs Jan2023'!L90)*('Tariffs Jan2023'!R90/100)*'Tariffs Jan2023'!AI90))</f>
        <v>0</v>
      </c>
      <c r="I96" s="69">
        <f>IF(($C$5*'Tariffs Jan2023'!AK90/'Tariffs Jan2023'!AI90&gt;'Tariffs Jan2023'!M90),($C$5*'Tariffs Jan2023'!AK90/'Tariffs Jan2023'!AI90-'Tariffs Jan2023'!M90)*'Tariffs Jan2023'!S90/100*'Tariffs Jan2023'!AI90,0)</f>
        <v>0</v>
      </c>
      <c r="J96" s="69">
        <f>IF($C$5*'Tariffs Jan2023'!AL90/'Tariffs Jan2023'!AJ90&gt;='Tariffs Jan2023'!J90,('Tariffs Jan2023'!J90*'Tariffs Jan2023'!U90/100)* 'Tariffs Jan2023'!AJ90,($C$5*'Tariffs Jan2023'!AL90/'Tariffs Jan2023'!AJ90*'Tariffs Jan2023'!U90/100)* 'Tariffs Jan2023'!AJ90)</f>
        <v>648.00000000000011</v>
      </c>
      <c r="K96" s="69">
        <f>IF($C$5*'Tariffs Jan2023'!AL90/'Tariffs Jan2023'!AJ90&lt;'Tariffs Jan2023'!J90,0,IF($C$5*'Tariffs Jan2023'!AL90/'Tariffs Jan2023'!AJ90&lt;='Tariffs Jan2023'!K90,($C$5*'Tariffs Jan2023'!AL90/'Tariffs Jan2023'!AJ90-'Tariffs Jan2023'!J90)*('Tariffs Jan2023'!V90/100)*'Tariffs Jan2023'!AJ90,('Tariffs Jan2023'!K90-'Tariffs Jan2023'!J90)*('Tariffs Jan2023'!V90/100)*'Tariffs Jan2023'!AJ90))</f>
        <v>467.89079999999979</v>
      </c>
      <c r="L96" s="69">
        <f>IF($C$5*'Tariffs Jan2023'!AL90/'Tariffs Jan2023'!AJ90&lt;'Tariffs Jan2023'!K90,0,IF($C$5*'Tariffs Jan2023'!AL90/'Tariffs Jan2023'!AJ90&lt;='Tariffs Jan2023'!L90,($C$5*'Tariffs Jan2023'!AL90/'Tariffs Jan2023'!AJ90-'Tariffs Jan2023'!K90)*('Tariffs Jan2023'!W90/100)*'Tariffs Jan2023'!AJ90,('Tariffs Jan2023'!L90-'Tariffs Jan2023'!K90)*('Tariffs Jan2023'!W90/100)*'Tariffs Jan2023'!AJ90))</f>
        <v>0</v>
      </c>
      <c r="M96" s="69">
        <f>IF($C$5*'Tariffs Jan2023'!AL90/'Tariffs Jan2023'!AJ90&lt;'Tariffs Jan2023'!L90,0,IF($C$5*'Tariffs Jan2023'!AL90/'Tariffs Jan2023'!AJ90&lt;='Tariffs Jan2023'!M90,($C$5*'Tariffs Jan2023'!AL90/'Tariffs Jan2023'!AJ90-'Tariffs Jan2023'!L90)*('Tariffs Jan2023'!X90/100)*'Tariffs Jan2023'!AJ90,('Tariffs Jan2023'!M90-'Tariffs Jan2023'!L90)*('Tariffs Jan2023'!X90/100)*'Tariffs Jan2023'!AJ90))</f>
        <v>0</v>
      </c>
      <c r="N96" s="69">
        <f>IF(($C$5*'Tariffs Jan2023'!AL90/'Tariffs Jan2023'!AJ90&gt;'Tariffs Jan2023'!M90),($C$5*'Tariffs Jan2023'!AL90/'Tariffs Jan2023'!AJ90-'Tariffs Jan2023'!M90)*'Tariffs Jan2023'!Y90/100*'Tariffs Jan2023'!AJ90,0)</f>
        <v>0</v>
      </c>
      <c r="O96" s="59">
        <f t="shared" ref="O96" si="125">SUM(E96:N96)</f>
        <v>1760.8298999999997</v>
      </c>
      <c r="P96" s="503">
        <f t="shared" ref="P96" si="126">O96*1.1</f>
        <v>1936.9128899999998</v>
      </c>
      <c r="Q96" s="59">
        <f t="shared" ref="Q96" si="127">D96+O96</f>
        <v>2185.6898999999994</v>
      </c>
      <c r="R96" s="272">
        <f t="shared" ref="R96" si="128">Q96*1.1</f>
        <v>2404.2588899999996</v>
      </c>
      <c r="S96" s="40">
        <f>'Tariffs Jan2023'!AN90</f>
        <v>0</v>
      </c>
      <c r="T96" s="40">
        <f>'Tariffs Jan2023'!AO90</f>
        <v>0</v>
      </c>
      <c r="U96" s="40">
        <f>'Tariffs Jan2023'!AP90</f>
        <v>0</v>
      </c>
      <c r="V96" s="40">
        <f>'Tariffs Jan2023'!AQ90</f>
        <v>0</v>
      </c>
      <c r="W96" s="537" t="str">
        <f t="shared" ref="W96" si="129">IF(SUM(S96:V96)=0,"No discount",IF(S96&gt;0,"Guaranteed off bill",IF(T96&gt;0,"Guaranteed off usage",IF(U96&gt;0,"Pay-on-time off bill","Pay-on-time off usage"))))</f>
        <v>No discount</v>
      </c>
      <c r="X96" s="538" t="str">
        <f t="shared" ref="X96" si="130">IF(OR(A96="Origin Energy",A96="Red Energy",A96="Powershop"),"Inclusive","Exclusive")</f>
        <v>Exclusive</v>
      </c>
      <c r="Y96" s="534">
        <f t="shared" ref="Y96" si="131">IF(AND(W96="Guaranteed off bill",X96="Inclusive"),((Q96*1.1)-((Q96*1.1)*S96/100))/1.1,IF(AND(W96="Guaranteed off usage",X96="Inclusive"),((Q96*1.1)-((P96*1.1)*T96/100))/1.1,IF(AND(W96="Guaranteed off bill",X96="Exclusive"),Q96-(Q96*S96/100),IF(AND(W96="Guaranteed off usage",X96="Exclusive"),Q96-(P96*T96/100),IF(X96="Inclusive",((Q96*1.1))/1.1,Q96)))))</f>
        <v>2185.6898999999994</v>
      </c>
      <c r="Z96" s="535">
        <f t="shared" ref="Z96" si="132">IF(AND(W96="Pay-on-time off bill",X96="Inclusive"),((Y96*1.1)-((Y96*1.1)*U96/100))/1.1,IF(AND(W96="Pay-on-time off usage",X96="Inclusive"),((Y96*1.1)-((P96*1.1)*V96/100))/1.1,IF(AND(W96="Pay-on-time off bill",X96="Exclusive"),Y96-(Y96*U96/100),IF(AND(W96="Pay-on-time off usage",X96="Exclusive"),Y96-(P96*V96/100),IF(X96="Inclusive",((Y96*1.1))/1.1,Y96)))))</f>
        <v>2185.6898999999994</v>
      </c>
      <c r="AA96" s="542">
        <f t="shared" ref="AA96" si="133">Y96*1.1</f>
        <v>2404.2588899999996</v>
      </c>
      <c r="AB96" s="609">
        <f t="shared" ref="AB96" si="134">Z96*1.1</f>
        <v>2404.2588899999996</v>
      </c>
      <c r="AC96" s="604"/>
      <c r="AD96" s="604"/>
      <c r="AE96" s="604"/>
      <c r="AF96" s="604"/>
      <c r="AG96" s="604"/>
      <c r="AH96" s="604"/>
      <c r="AI96" s="604"/>
      <c r="AJ96" s="604"/>
      <c r="AK96" s="604"/>
      <c r="AL96" s="604"/>
      <c r="AM96" s="604"/>
      <c r="AN96" s="604"/>
      <c r="AO96" s="604"/>
      <c r="AP96" s="604"/>
      <c r="AQ96" s="604"/>
      <c r="AR96" s="604"/>
      <c r="AS96" s="604"/>
      <c r="AT96" s="604"/>
    </row>
    <row r="97" spans="1:46" ht="15" thickBot="1" x14ac:dyDescent="0.2">
      <c r="A97" s="276" t="str">
        <f>'Tariffs Jan2023'!F91</f>
        <v>Sumo Power</v>
      </c>
      <c r="B97" s="277" t="str">
        <f>'Tariffs Jan2023'!D91</f>
        <v>AusNet Services Central 2</v>
      </c>
      <c r="C97" s="277" t="str">
        <f>'Tariffs Jan2023'!G91</f>
        <v>Lite</v>
      </c>
      <c r="D97" s="278">
        <f>365*'Tariffs Jan2023'!H91/100</f>
        <v>401.49999999999994</v>
      </c>
      <c r="E97" s="278">
        <f>IF($C$5*'Tariffs Jan2023'!AK91/'Tariffs Jan2023'!AI91&gt;='Tariffs Jan2023'!J91,( 'Tariffs Jan2023'!J91*'Tariffs Jan2023'!O91/100)* 'Tariffs Jan2023'!AI91,($C$5*'Tariffs Jan2023'!AK91/'Tariffs Jan2023'!AI91*'Tariffs Jan2023'!O91/100)* 'Tariffs Jan2023'!AI91)</f>
        <v>1112.8886999999997</v>
      </c>
      <c r="F97" s="278">
        <f>IF($C$5*'Tariffs Jan2023'!AK91/'Tariffs Jan2023'!AI91&lt;'Tariffs Jan2023'!J91,0,IF($C$5*'Tariffs Jan2023'!AK91/'Tariffs Jan2023'!AI91&lt;='Tariffs Jan2023'!K91,($C$5*'Tariffs Jan2023'!AK91/'Tariffs Jan2023'!AI91-'Tariffs Jan2023'!J91)*('Tariffs Jan2023'!P91/100)*'Tariffs Jan2023'!AI91,('Tariffs Jan2023'!K91-'Tariffs Jan2023'!J91)*('Tariffs Jan2023'!P91/100)*'Tariffs Jan2023'!AI91))</f>
        <v>0</v>
      </c>
      <c r="G97" s="278">
        <f>IF($C$5*'Tariffs Jan2023'!AK91/'Tariffs Jan2023'!AI91&lt;'Tariffs Jan2023'!K91,0,IF($C$5*'Tariffs Jan2023'!AK91/'Tariffs Jan2023'!AI91&lt;='Tariffs Jan2023'!L91,($C$5*'Tariffs Jan2023'!AK91/'Tariffs Jan2023'!AI91-'Tariffs Jan2023'!K91)*('Tariffs Jan2023'!Q91/100)*'Tariffs Jan2023'!AI91,('Tariffs Jan2023'!L91-'Tariffs Jan2023'!K91)*('Tariffs Jan2023'!Q91/100)*'Tariffs Jan2023'!AI91))</f>
        <v>0</v>
      </c>
      <c r="H97" s="278">
        <f>IF($C$5*'Tariffs Jan2023'!AK91/'Tariffs Jan2023'!AI91&lt;'Tariffs Jan2023'!L91,0,IF($C$5*'Tariffs Jan2023'!AK91/'Tariffs Jan2023'!AI91&lt;='Tariffs Jan2023'!M91,($C$5*'Tariffs Jan2023'!AK91/'Tariffs Jan2023'!AI91-'Tariffs Jan2023'!L91)*('Tariffs Jan2023'!R91/100)*'Tariffs Jan2023'!AI91,('Tariffs Jan2023'!M91-'Tariffs Jan2023'!L91)*('Tariffs Jan2023'!R91/100)*'Tariffs Jan2023'!AI91))</f>
        <v>0</v>
      </c>
      <c r="I97" s="547">
        <f>IF(($C$5*'Tariffs Jan2023'!AK91/'Tariffs Jan2023'!AI91&gt;'Tariffs Jan2023'!M91),($C$5*'Tariffs Jan2023'!AK91/'Tariffs Jan2023'!AI91-'Tariffs Jan2023'!M91)*'Tariffs Jan2023'!S91/100*'Tariffs Jan2023'!AI91,0)</f>
        <v>0</v>
      </c>
      <c r="J97" s="547">
        <f>IF($C$5*'Tariffs Jan2023'!AL91/'Tariffs Jan2023'!AJ91&gt;='Tariffs Jan2023'!J91,('Tariffs Jan2023'!J91*'Tariffs Jan2023'!U91/100)* 'Tariffs Jan2023'!AJ91,($C$5*'Tariffs Jan2023'!AL91/'Tariffs Jan2023'!AJ91*'Tariffs Jan2023'!U91/100)* 'Tariffs Jan2023'!AJ91)</f>
        <v>1679.8319999999999</v>
      </c>
      <c r="K97" s="547">
        <f>IF($C$5*'Tariffs Jan2023'!AL91/'Tariffs Jan2023'!AJ91&lt;'Tariffs Jan2023'!J91,0,IF($C$5*'Tariffs Jan2023'!AL91/'Tariffs Jan2023'!AJ91&lt;='Tariffs Jan2023'!K91,($C$5*'Tariffs Jan2023'!AL91/'Tariffs Jan2023'!AJ91-'Tariffs Jan2023'!J91)*('Tariffs Jan2023'!V91/100)*'Tariffs Jan2023'!AJ91,('Tariffs Jan2023'!K91-'Tariffs Jan2023'!J91)*('Tariffs Jan2023'!V91/100)*'Tariffs Jan2023'!AJ91))</f>
        <v>0</v>
      </c>
      <c r="L97" s="547">
        <f>IF($C$5*'Tariffs Jan2023'!AL91/'Tariffs Jan2023'!AJ91&lt;'Tariffs Jan2023'!K91,0,IF($C$5*'Tariffs Jan2023'!AL91/'Tariffs Jan2023'!AJ91&lt;='Tariffs Jan2023'!L91,($C$5*'Tariffs Jan2023'!AL91/'Tariffs Jan2023'!AJ91-'Tariffs Jan2023'!K91)*('Tariffs Jan2023'!W91/100)*'Tariffs Jan2023'!AJ91,('Tariffs Jan2023'!L91-'Tariffs Jan2023'!K91)*('Tariffs Jan2023'!W91/100)*'Tariffs Jan2023'!AJ91))</f>
        <v>0</v>
      </c>
      <c r="M97" s="547">
        <f>IF($C$5*'Tariffs Jan2023'!AL91/'Tariffs Jan2023'!AJ91&lt;'Tariffs Jan2023'!L91,0,IF($C$5*'Tariffs Jan2023'!AL91/'Tariffs Jan2023'!AJ91&lt;='Tariffs Jan2023'!M91,($C$5*'Tariffs Jan2023'!AL91/'Tariffs Jan2023'!AJ91-'Tariffs Jan2023'!L91)*('Tariffs Jan2023'!X91/100)*'Tariffs Jan2023'!AJ91,('Tariffs Jan2023'!M91-'Tariffs Jan2023'!L91)*('Tariffs Jan2023'!X91/100)*'Tariffs Jan2023'!AJ91))</f>
        <v>0</v>
      </c>
      <c r="N97" s="547">
        <f>IF(($C$5*'Tariffs Jan2023'!AL91/'Tariffs Jan2023'!AJ91&gt;'Tariffs Jan2023'!M91),($C$5*'Tariffs Jan2023'!AL91/'Tariffs Jan2023'!AJ91-'Tariffs Jan2023'!M91)*'Tariffs Jan2023'!Y91/100*'Tariffs Jan2023'!AJ91,0)</f>
        <v>0</v>
      </c>
      <c r="O97" s="278">
        <f t="shared" si="83"/>
        <v>2792.7206999999999</v>
      </c>
      <c r="P97" s="504">
        <f t="shared" si="82"/>
        <v>3071.9927700000003</v>
      </c>
      <c r="Q97" s="278">
        <f t="shared" si="84"/>
        <v>3194.2206999999999</v>
      </c>
      <c r="R97" s="280">
        <f t="shared" si="85"/>
        <v>3513.6427699999999</v>
      </c>
      <c r="S97" s="277">
        <f>'Tariffs Jan2023'!AN91</f>
        <v>0</v>
      </c>
      <c r="T97" s="277">
        <f>'Tariffs Jan2023'!AO91</f>
        <v>0</v>
      </c>
      <c r="U97" s="277">
        <f>'Tariffs Jan2023'!AP91</f>
        <v>0</v>
      </c>
      <c r="V97" s="277">
        <f>'Tariffs Jan2023'!AQ91</f>
        <v>0</v>
      </c>
      <c r="W97" s="540" t="str">
        <f t="shared" si="117"/>
        <v>No discount</v>
      </c>
      <c r="X97" s="541" t="str">
        <f t="shared" si="118"/>
        <v>Exclusive</v>
      </c>
      <c r="Y97" s="543">
        <f t="shared" si="123"/>
        <v>3194.2206999999999</v>
      </c>
      <c r="Z97" s="544">
        <f t="shared" si="124"/>
        <v>3194.2206999999999</v>
      </c>
      <c r="AA97" s="545">
        <f t="shared" si="116"/>
        <v>3513.6427699999999</v>
      </c>
      <c r="AB97" s="610">
        <f t="shared" si="116"/>
        <v>3513.6427699999999</v>
      </c>
      <c r="AC97" s="604"/>
      <c r="AD97" s="604"/>
      <c r="AE97" s="604"/>
      <c r="AF97" s="604"/>
      <c r="AG97" s="604"/>
      <c r="AH97" s="604"/>
      <c r="AI97" s="604"/>
      <c r="AJ97" s="604"/>
      <c r="AK97" s="604"/>
      <c r="AL97" s="604"/>
      <c r="AM97" s="604"/>
      <c r="AN97" s="604"/>
      <c r="AO97" s="604"/>
      <c r="AP97" s="604"/>
      <c r="AQ97" s="604"/>
      <c r="AR97" s="604"/>
      <c r="AS97" s="604"/>
      <c r="AT97" s="604"/>
    </row>
    <row r="98" spans="1:46" ht="15" thickTop="1" x14ac:dyDescent="0.15">
      <c r="A98" s="270" t="str">
        <f>'Tariffs Jan2023'!F92</f>
        <v>AGL</v>
      </c>
      <c r="B98" s="40" t="str">
        <f>'Tariffs Jan2023'!D92</f>
        <v>AusNet Services Central 1</v>
      </c>
      <c r="C98" s="40" t="str">
        <f>'Tariffs Jan2023'!G92</f>
        <v>Value Saver</v>
      </c>
      <c r="D98" s="59">
        <f>365*'Tariffs Jan2023'!H92/100</f>
        <v>337.62499999999994</v>
      </c>
      <c r="E98" s="59">
        <f>IF($C$5*'Tariffs Jan2023'!AK92/'Tariffs Jan2023'!AI92&gt;='Tariffs Jan2023'!J92,( 'Tariffs Jan2023'!J92*'Tariffs Jan2023'!O92/100)* 'Tariffs Jan2023'!AI92,($C$5*'Tariffs Jan2023'!AK92/'Tariffs Jan2023'!AI92*'Tariffs Jan2023'!O92/100)* 'Tariffs Jan2023'!AI92)</f>
        <v>357.81818181818176</v>
      </c>
      <c r="F98" s="59">
        <f>IF($C$5*'Tariffs Jan2023'!AK92/'Tariffs Jan2023'!AI92&lt;'Tariffs Jan2023'!J92,0,IF($C$5*'Tariffs Jan2023'!AK92/'Tariffs Jan2023'!AI92&lt;='Tariffs Jan2023'!K92,($C$5*'Tariffs Jan2023'!AK92/'Tariffs Jan2023'!AI92-'Tariffs Jan2023'!J92)*('Tariffs Jan2023'!P92/100)*'Tariffs Jan2023'!AI92,('Tariffs Jan2023'!K92-'Tariffs Jan2023'!J92)*('Tariffs Jan2023'!P92/100)*'Tariffs Jan2023'!AI92))</f>
        <v>260.12110909090899</v>
      </c>
      <c r="G98" s="59">
        <f>IF($C$5*'Tariffs Jan2023'!AK92/'Tariffs Jan2023'!AI92&lt;'Tariffs Jan2023'!K92,0,IF($C$5*'Tariffs Jan2023'!AK92/'Tariffs Jan2023'!AI92&lt;='Tariffs Jan2023'!L92,($C$5*'Tariffs Jan2023'!AK92/'Tariffs Jan2023'!AI92-'Tariffs Jan2023'!K92)*('Tariffs Jan2023'!Q92/100)*'Tariffs Jan2023'!AI92,('Tariffs Jan2023'!L92-'Tariffs Jan2023'!K92)*('Tariffs Jan2023'!Q92/100)*'Tariffs Jan2023'!AI92))</f>
        <v>0</v>
      </c>
      <c r="H98" s="59">
        <f>IF($C$5*'Tariffs Jan2023'!AK92/'Tariffs Jan2023'!AI92&lt;'Tariffs Jan2023'!L92,0,IF($C$5*'Tariffs Jan2023'!AK92/'Tariffs Jan2023'!AI92&lt;='Tariffs Jan2023'!M92,($C$5*'Tariffs Jan2023'!AK92/'Tariffs Jan2023'!AI92-'Tariffs Jan2023'!L92)*('Tariffs Jan2023'!R92/100)*'Tariffs Jan2023'!AI92,('Tariffs Jan2023'!M92-'Tariffs Jan2023'!L92)*('Tariffs Jan2023'!R92/100)*'Tariffs Jan2023'!AI92))</f>
        <v>0</v>
      </c>
      <c r="I98" s="69">
        <f>IF(($C$5*'Tariffs Jan2023'!AK92/'Tariffs Jan2023'!AI92&gt;'Tariffs Jan2023'!M92),($C$5*'Tariffs Jan2023'!AK92/'Tariffs Jan2023'!AI92-'Tariffs Jan2023'!M92)*'Tariffs Jan2023'!S92/100*'Tariffs Jan2023'!AI92,0)</f>
        <v>0</v>
      </c>
      <c r="J98" s="69">
        <f>IF($C$5*'Tariffs Jan2023'!AL92/'Tariffs Jan2023'!AJ92&gt;='Tariffs Jan2023'!J92,('Tariffs Jan2023'!J92*'Tariffs Jan2023'!U92/100)* 'Tariffs Jan2023'!AJ92,($C$5*'Tariffs Jan2023'!AL92/'Tariffs Jan2023'!AJ92*'Tariffs Jan2023'!U92/100)* 'Tariffs Jan2023'!AJ92)</f>
        <v>621.81818181818176</v>
      </c>
      <c r="K98" s="69">
        <f>IF($C$5*'Tariffs Jan2023'!AL92/'Tariffs Jan2023'!AJ92&lt;'Tariffs Jan2023'!J92,0,IF($C$5*'Tariffs Jan2023'!AL92/'Tariffs Jan2023'!AJ92&lt;='Tariffs Jan2023'!K92,($C$5*'Tariffs Jan2023'!AL92/'Tariffs Jan2023'!AJ92-'Tariffs Jan2023'!J92)*('Tariffs Jan2023'!V92/100)*'Tariffs Jan2023'!AJ92,('Tariffs Jan2023'!K92-'Tariffs Jan2023'!J92)*('Tariffs Jan2023'!V92/100)*'Tariffs Jan2023'!AJ92))</f>
        <v>412.26741818181802</v>
      </c>
      <c r="L98" s="69">
        <f>IF($C$5*'Tariffs Jan2023'!AL92/'Tariffs Jan2023'!AJ92&lt;'Tariffs Jan2023'!K92,0,IF($C$5*'Tariffs Jan2023'!AL92/'Tariffs Jan2023'!AJ92&lt;='Tariffs Jan2023'!L92,($C$5*'Tariffs Jan2023'!AL92/'Tariffs Jan2023'!AJ92-'Tariffs Jan2023'!K92)*('Tariffs Jan2023'!W92/100)*'Tariffs Jan2023'!AJ92,('Tariffs Jan2023'!L92-'Tariffs Jan2023'!K92)*('Tariffs Jan2023'!W92/100)*'Tariffs Jan2023'!AJ92))</f>
        <v>0</v>
      </c>
      <c r="M98" s="69">
        <f>IF($C$5*'Tariffs Jan2023'!AL92/'Tariffs Jan2023'!AJ92&lt;'Tariffs Jan2023'!L92,0,IF($C$5*'Tariffs Jan2023'!AL92/'Tariffs Jan2023'!AJ92&lt;='Tariffs Jan2023'!M92,($C$5*'Tariffs Jan2023'!AL92/'Tariffs Jan2023'!AJ92-'Tariffs Jan2023'!L92)*('Tariffs Jan2023'!X92/100)*'Tariffs Jan2023'!AJ92,('Tariffs Jan2023'!M92-'Tariffs Jan2023'!L92)*('Tariffs Jan2023'!X92/100)*'Tariffs Jan2023'!AJ92))</f>
        <v>0</v>
      </c>
      <c r="N98" s="69">
        <f>IF(($C$5*'Tariffs Jan2023'!AL92/'Tariffs Jan2023'!AJ92&gt;'Tariffs Jan2023'!M92),($C$5*'Tariffs Jan2023'!AL92/'Tariffs Jan2023'!AJ92-'Tariffs Jan2023'!M92)*'Tariffs Jan2023'!Y92/100*'Tariffs Jan2023'!AJ92,0)</f>
        <v>0</v>
      </c>
      <c r="O98" s="59">
        <f t="shared" si="83"/>
        <v>1652.0248909090906</v>
      </c>
      <c r="P98" s="503">
        <f t="shared" si="82"/>
        <v>1817.2273799999998</v>
      </c>
      <c r="Q98" s="59">
        <f t="shared" si="84"/>
        <v>1989.6498909090906</v>
      </c>
      <c r="R98" s="272">
        <f t="shared" si="85"/>
        <v>2188.6148799999996</v>
      </c>
      <c r="S98" s="40">
        <f>'Tariffs Jan2023'!AN92</f>
        <v>0</v>
      </c>
      <c r="T98" s="40">
        <f>'Tariffs Jan2023'!AO92</f>
        <v>0</v>
      </c>
      <c r="U98" s="40">
        <f>'Tariffs Jan2023'!AP92</f>
        <v>0</v>
      </c>
      <c r="V98" s="40">
        <f>'Tariffs Jan2023'!AQ92</f>
        <v>0</v>
      </c>
      <c r="W98" s="537" t="str">
        <f>IF(SUM(S98:V98)=0,"No discount",IF(S98&gt;0,"Guaranteed off bill",IF(T98&gt;0,"Guaranteed off usage",IF(U98&gt;0,"Pay-on-time off bill","Pay-on-time off usage"))))</f>
        <v>No discount</v>
      </c>
      <c r="X98" s="538" t="str">
        <f>IF(OR(A98="Origin Energy",A98="Red Energy",A98="Powershop"),"Inclusive","Exclusive")</f>
        <v>Exclusive</v>
      </c>
      <c r="Y98" s="534">
        <f>IF(AND(W98="Guaranteed off bill",X98="Inclusive"),((Q98*1.1)-((Q98*1.1)*S98/100))/1.1,IF(AND(W98="Guaranteed off usage",X98="Inclusive"),((Q98*1.1)-((P98*1.1)*T98/100))/1.1,IF(AND(W98="Guaranteed off bill",X98="Exclusive"),Q98-(Q98*S98/100),IF(AND(W98="Guaranteed off usage",X98="Exclusive"),Q98-(P98*T98/100),IF(X98="Inclusive",((Q98*1.1))/1.1,Q98)))))</f>
        <v>1989.6498909090906</v>
      </c>
      <c r="Z98" s="535">
        <f>IF(AND(W98="Pay-on-time off bill",X98="Inclusive"),((Y98*1.1)-((Y98*1.1)*U98/100))/1.1,IF(AND(W98="Pay-on-time off usage",X98="Inclusive"),((Y98*1.1)-((P98*1.1)*V98/100))/1.1,IF(AND(W98="Pay-on-time off bill",X98="Exclusive"),Y98-(Y98*U98/100),IF(AND(W98="Pay-on-time off usage",X98="Exclusive"),Y98-(P98*V98/100),IF(X98="Inclusive",((Y98*1.1))/1.1,Y98)))))</f>
        <v>1989.6498909090906</v>
      </c>
      <c r="AA98" s="542">
        <f t="shared" ref="AA98:AB110" si="135">Y98*1.1</f>
        <v>2188.6148799999996</v>
      </c>
      <c r="AB98" s="609">
        <f t="shared" si="135"/>
        <v>2188.6148799999996</v>
      </c>
      <c r="AC98" s="604"/>
      <c r="AD98" s="604"/>
      <c r="AE98" s="604"/>
      <c r="AF98" s="604"/>
      <c r="AG98" s="604"/>
      <c r="AH98" s="604"/>
      <c r="AI98" s="604"/>
      <c r="AJ98" s="604"/>
      <c r="AK98" s="604"/>
      <c r="AL98" s="604"/>
      <c r="AM98" s="604"/>
      <c r="AN98" s="604"/>
      <c r="AO98" s="604"/>
      <c r="AP98" s="604"/>
      <c r="AQ98" s="604"/>
      <c r="AR98" s="604"/>
      <c r="AS98" s="604"/>
      <c r="AT98" s="604"/>
    </row>
    <row r="99" spans="1:46" ht="14" x14ac:dyDescent="0.15">
      <c r="A99" s="270" t="str">
        <f>'Tariffs Jan2023'!F93</f>
        <v>Alinta Energy</v>
      </c>
      <c r="B99" s="40" t="str">
        <f>'Tariffs Jan2023'!D93</f>
        <v>AusNet Services Central 1</v>
      </c>
      <c r="C99" s="40" t="str">
        <f>'Tariffs Jan2023'!G93</f>
        <v>Home Deal</v>
      </c>
      <c r="D99" s="59">
        <f>365*'Tariffs Jan2023'!H93/100</f>
        <v>250.45636363636359</v>
      </c>
      <c r="E99" s="59">
        <f>IF($C$5*'Tariffs Jan2023'!AK93/'Tariffs Jan2023'!AI93&gt;='Tariffs Jan2023'!J93,( 'Tariffs Jan2023'!J93*'Tariffs Jan2023'!O93/100)* 'Tariffs Jan2023'!AI93,($C$5*'Tariffs Jan2023'!AK93/'Tariffs Jan2023'!AI93*'Tariffs Jan2023'!O93/100)* 'Tariffs Jan2023'!AI93)</f>
        <v>291.2727272727272</v>
      </c>
      <c r="F99" s="59">
        <f>IF($C$5*'Tariffs Jan2023'!AK93/'Tariffs Jan2023'!AI93&lt;'Tariffs Jan2023'!J93,0,IF($C$5*'Tariffs Jan2023'!AK93/'Tariffs Jan2023'!AI93&lt;='Tariffs Jan2023'!K93,($C$5*'Tariffs Jan2023'!AK93/'Tariffs Jan2023'!AI93-'Tariffs Jan2023'!J93)*('Tariffs Jan2023'!P93/100)*'Tariffs Jan2023'!AI93,('Tariffs Jan2023'!K93-'Tariffs Jan2023'!J93)*('Tariffs Jan2023'!P93/100)*'Tariffs Jan2023'!AI93))</f>
        <v>0</v>
      </c>
      <c r="G99" s="59">
        <f>IF($C$5*'Tariffs Jan2023'!AK93/'Tariffs Jan2023'!AI93&lt;'Tariffs Jan2023'!K93,0,IF($C$5*'Tariffs Jan2023'!AK93/'Tariffs Jan2023'!AI93&lt;='Tariffs Jan2023'!L93,($C$5*'Tariffs Jan2023'!AK93/'Tariffs Jan2023'!AI93-'Tariffs Jan2023'!K93)*('Tariffs Jan2023'!Q93/100)*'Tariffs Jan2023'!AI93,('Tariffs Jan2023'!L93-'Tariffs Jan2023'!K93)*('Tariffs Jan2023'!Q93/100)*'Tariffs Jan2023'!AI93))</f>
        <v>0</v>
      </c>
      <c r="H99" s="59">
        <f>IF($C$5*'Tariffs Jan2023'!AK93/'Tariffs Jan2023'!AI93&lt;'Tariffs Jan2023'!L93,0,IF($C$5*'Tariffs Jan2023'!AK93/'Tariffs Jan2023'!AI93&lt;='Tariffs Jan2023'!M93,($C$5*'Tariffs Jan2023'!AK93/'Tariffs Jan2023'!AI93-'Tariffs Jan2023'!L93)*('Tariffs Jan2023'!R93/100)*'Tariffs Jan2023'!AI93,('Tariffs Jan2023'!M93-'Tariffs Jan2023'!L93)*('Tariffs Jan2023'!R93/100)*'Tariffs Jan2023'!AI93))</f>
        <v>0</v>
      </c>
      <c r="I99" s="69">
        <f>IF(($C$5*'Tariffs Jan2023'!AK93/'Tariffs Jan2023'!AI93&gt;'Tariffs Jan2023'!M93),($C$5*'Tariffs Jan2023'!AK93/'Tariffs Jan2023'!AI93-'Tariffs Jan2023'!M93)*'Tariffs Jan2023'!S93/100*'Tariffs Jan2023'!AI93,0)</f>
        <v>169.32411818181811</v>
      </c>
      <c r="J99" s="69">
        <f>IF($C$5*'Tariffs Jan2023'!AL93/'Tariffs Jan2023'!AJ93&gt;='Tariffs Jan2023'!J93,('Tariffs Jan2023'!J93*'Tariffs Jan2023'!U93/100)* 'Tariffs Jan2023'!AJ93,($C$5*'Tariffs Jan2023'!AL93/'Tariffs Jan2023'!AJ93*'Tariffs Jan2023'!U93/100)* 'Tariffs Jan2023'!AJ93)</f>
        <v>541.09090909090901</v>
      </c>
      <c r="K99" s="69">
        <f>IF($C$5*'Tariffs Jan2023'!AL93/'Tariffs Jan2023'!AJ93&lt;'Tariffs Jan2023'!J93,0,IF($C$5*'Tariffs Jan2023'!AL93/'Tariffs Jan2023'!AJ93&lt;='Tariffs Jan2023'!K93,($C$5*'Tariffs Jan2023'!AL93/'Tariffs Jan2023'!AJ93-'Tariffs Jan2023'!J93)*('Tariffs Jan2023'!V93/100)*'Tariffs Jan2023'!AJ93,('Tariffs Jan2023'!K93-'Tariffs Jan2023'!J93)*('Tariffs Jan2023'!V93/100)*'Tariffs Jan2023'!AJ93))</f>
        <v>0</v>
      </c>
      <c r="L99" s="69">
        <f>IF($C$5*'Tariffs Jan2023'!AL93/'Tariffs Jan2023'!AJ93&lt;'Tariffs Jan2023'!K93,0,IF($C$5*'Tariffs Jan2023'!AL93/'Tariffs Jan2023'!AJ93&lt;='Tariffs Jan2023'!L93,($C$5*'Tariffs Jan2023'!AL93/'Tariffs Jan2023'!AJ93-'Tariffs Jan2023'!K93)*('Tariffs Jan2023'!W93/100)*'Tariffs Jan2023'!AJ93,('Tariffs Jan2023'!L93-'Tariffs Jan2023'!K93)*('Tariffs Jan2023'!W93/100)*'Tariffs Jan2023'!AJ93))</f>
        <v>0</v>
      </c>
      <c r="M99" s="69">
        <f>IF($C$5*'Tariffs Jan2023'!AL93/'Tariffs Jan2023'!AJ93&lt;'Tariffs Jan2023'!L93,0,IF($C$5*'Tariffs Jan2023'!AL93/'Tariffs Jan2023'!AJ93&lt;='Tariffs Jan2023'!M93,($C$5*'Tariffs Jan2023'!AL93/'Tariffs Jan2023'!AJ93-'Tariffs Jan2023'!L93)*('Tariffs Jan2023'!X93/100)*'Tariffs Jan2023'!AJ93,('Tariffs Jan2023'!M93-'Tariffs Jan2023'!L93)*('Tariffs Jan2023'!X93/100)*'Tariffs Jan2023'!AJ93))</f>
        <v>0</v>
      </c>
      <c r="N99" s="69">
        <f>IF(($C$5*'Tariffs Jan2023'!AL93/'Tariffs Jan2023'!AJ93&gt;'Tariffs Jan2023'!M93),($C$5*'Tariffs Jan2023'!AL93/'Tariffs Jan2023'!AJ93-'Tariffs Jan2023'!M93)*'Tariffs Jan2023'!Y93/100*'Tariffs Jan2023'!AJ93,0)</f>
        <v>323.92439999999988</v>
      </c>
      <c r="O99" s="59">
        <f>SUM(E99:N99)</f>
        <v>1325.6121545454541</v>
      </c>
      <c r="P99" s="503">
        <f t="shared" si="82"/>
        <v>1458.1733699999997</v>
      </c>
      <c r="Q99" s="59">
        <f>D99+O99</f>
        <v>1576.0685181818178</v>
      </c>
      <c r="R99" s="272">
        <f>Q99*1.1</f>
        <v>1733.6753699999997</v>
      </c>
      <c r="S99" s="40">
        <f>'Tariffs Jan2023'!AN93</f>
        <v>0</v>
      </c>
      <c r="T99" s="40">
        <f>'Tariffs Jan2023'!AO93</f>
        <v>0</v>
      </c>
      <c r="U99" s="40">
        <f>'Tariffs Jan2023'!AP93</f>
        <v>0</v>
      </c>
      <c r="V99" s="40">
        <f>'Tariffs Jan2023'!AQ93</f>
        <v>0</v>
      </c>
      <c r="W99" s="537" t="str">
        <f t="shared" ref="W99:W110" si="136">IF(SUM(S99:V99)=0,"No discount",IF(S99&gt;0,"Guaranteed off bill",IF(T99&gt;0,"Guaranteed off usage",IF(U99&gt;0,"Pay-on-time off bill","Pay-on-time off usage"))))</f>
        <v>No discount</v>
      </c>
      <c r="X99" s="538" t="str">
        <f t="shared" ref="X99:X110" si="137">IF(OR(A99="Origin Energy",A99="Red Energy",A99="Powershop"),"Inclusive","Exclusive")</f>
        <v>Exclusive</v>
      </c>
      <c r="Y99" s="534">
        <f>IF(AND(W99="Guaranteed off bill",X99="Inclusive"),((Q99*1.1)-((Q99*1.1)*S99/100))/1.1,IF(AND(W99="Guaranteed off usage",X99="Inclusive"),((Q99*1.1)-((P99*1.1)*T99/100))/1.1,IF(AND(W99="Guaranteed off bill",X99="Exclusive"),Q99-(Q99*S99/100),IF(AND(W99="Guaranteed off usage",X99="Exclusive"),Q99-(P99*T99/100),IF(X99="Inclusive",((Q99*1.1))/1.1,Q99)))))</f>
        <v>1576.0685181818178</v>
      </c>
      <c r="Z99" s="535">
        <f>IF(AND(W99="Pay-on-time off bill",X99="Inclusive"),((Y99*1.1)-((Y99*1.1)*U99/100))/1.1,IF(AND(W99="Pay-on-time off usage",X99="Inclusive"),((Y99*1.1)-((P99*1.1)*V99/100))/1.1,IF(AND(W99="Pay-on-time off bill",X99="Exclusive"),Y99-(Y99*U99/100),IF(AND(W99="Pay-on-time off usage",X99="Exclusive"),Y99-(P99*V99/100),IF(X99="Inclusive",((Y99*1.1))/1.1,Y99)))))</f>
        <v>1576.0685181818178</v>
      </c>
      <c r="AA99" s="542">
        <f t="shared" si="135"/>
        <v>1733.6753699999997</v>
      </c>
      <c r="AB99" s="609">
        <f t="shared" si="135"/>
        <v>1733.6753699999997</v>
      </c>
      <c r="AC99" s="604"/>
      <c r="AD99" s="604"/>
      <c r="AE99" s="604"/>
      <c r="AF99" s="604"/>
      <c r="AG99" s="604"/>
      <c r="AH99" s="604"/>
      <c r="AI99" s="604"/>
      <c r="AJ99" s="604"/>
      <c r="AK99" s="604"/>
      <c r="AL99" s="604"/>
      <c r="AM99" s="604"/>
      <c r="AN99" s="604"/>
      <c r="AO99" s="604"/>
      <c r="AP99" s="604"/>
      <c r="AQ99" s="604"/>
      <c r="AR99" s="604"/>
      <c r="AS99" s="604"/>
      <c r="AT99" s="604"/>
    </row>
    <row r="100" spans="1:46" ht="14" x14ac:dyDescent="0.15">
      <c r="A100" s="270" t="str">
        <f>'Tariffs Jan2023'!F94</f>
        <v>Dodo Power &amp; Gas</v>
      </c>
      <c r="B100" s="40" t="str">
        <f>'Tariffs Jan2023'!D94</f>
        <v>AusNet Services Central 1</v>
      </c>
      <c r="C100" s="40" t="str">
        <f>'Tariffs Jan2023'!G94</f>
        <v>Market offer</v>
      </c>
      <c r="D100" s="59">
        <f>365*'Tariffs Jan2023'!H94/100</f>
        <v>317.41727272727269</v>
      </c>
      <c r="E100" s="59">
        <f>IF($C$5*'Tariffs Jan2023'!AK94/'Tariffs Jan2023'!AI94&gt;='Tariffs Jan2023'!J94,( 'Tariffs Jan2023'!J94*'Tariffs Jan2023'!O94/100)* 'Tariffs Jan2023'!AI94,($C$5*'Tariffs Jan2023'!AK94/'Tariffs Jan2023'!AI94*'Tariffs Jan2023'!O94/100)* 'Tariffs Jan2023'!AI94)</f>
        <v>267.27272727272725</v>
      </c>
      <c r="F100" s="59">
        <f>IF($C$5*'Tariffs Jan2023'!AK94/'Tariffs Jan2023'!AI94&lt;'Tariffs Jan2023'!J94,0,IF($C$5*'Tariffs Jan2023'!AK94/'Tariffs Jan2023'!AI94&lt;='Tariffs Jan2023'!K94,($C$5*'Tariffs Jan2023'!AK94/'Tariffs Jan2023'!AI94-'Tariffs Jan2023'!J94)*('Tariffs Jan2023'!P94/100)*'Tariffs Jan2023'!AI94,('Tariffs Jan2023'!K94-'Tariffs Jan2023'!J94)*('Tariffs Jan2023'!P94/100)*'Tariffs Jan2023'!AI94))</f>
        <v>176.6860363636363</v>
      </c>
      <c r="G100" s="59">
        <f>IF($C$5*'Tariffs Jan2023'!AK94/'Tariffs Jan2023'!AI94&lt;'Tariffs Jan2023'!K94,0,IF($C$5*'Tariffs Jan2023'!AK94/'Tariffs Jan2023'!AI94&lt;='Tariffs Jan2023'!L94,($C$5*'Tariffs Jan2023'!AK94/'Tariffs Jan2023'!AI94-'Tariffs Jan2023'!K94)*('Tariffs Jan2023'!Q94/100)*'Tariffs Jan2023'!AI94,('Tariffs Jan2023'!L94-'Tariffs Jan2023'!K94)*('Tariffs Jan2023'!Q94/100)*'Tariffs Jan2023'!AI94))</f>
        <v>0</v>
      </c>
      <c r="H100" s="59">
        <f>IF($C$5*'Tariffs Jan2023'!AK94/'Tariffs Jan2023'!AI94&lt;'Tariffs Jan2023'!L94,0,IF($C$5*'Tariffs Jan2023'!AK94/'Tariffs Jan2023'!AI94&lt;='Tariffs Jan2023'!M94,($C$5*'Tariffs Jan2023'!AK94/'Tariffs Jan2023'!AI94-'Tariffs Jan2023'!L94)*('Tariffs Jan2023'!R94/100)*'Tariffs Jan2023'!AI94,('Tariffs Jan2023'!M94-'Tariffs Jan2023'!L94)*('Tariffs Jan2023'!R94/100)*'Tariffs Jan2023'!AI94))</f>
        <v>0</v>
      </c>
      <c r="I100" s="69">
        <f>IF(($C$5*'Tariffs Jan2023'!AK94/'Tariffs Jan2023'!AI94&gt;'Tariffs Jan2023'!M94),($C$5*'Tariffs Jan2023'!AK94/'Tariffs Jan2023'!AI94-'Tariffs Jan2023'!M94)*'Tariffs Jan2023'!S94/100*'Tariffs Jan2023'!AI94,0)</f>
        <v>0</v>
      </c>
      <c r="J100" s="69">
        <f>IF($C$5*'Tariffs Jan2023'!AL94/'Tariffs Jan2023'!AJ94&gt;='Tariffs Jan2023'!J94,('Tariffs Jan2023'!J94*'Tariffs Jan2023'!U94/100)* 'Tariffs Jan2023'!AJ94,($C$5*'Tariffs Jan2023'!AL94/'Tariffs Jan2023'!AJ94*'Tariffs Jan2023'!U94/100)* 'Tariffs Jan2023'!AJ94)</f>
        <v>429.81818181818176</v>
      </c>
      <c r="K100" s="69">
        <f>IF($C$5*'Tariffs Jan2023'!AL94/'Tariffs Jan2023'!AJ94&lt;'Tariffs Jan2023'!J94,0,IF($C$5*'Tariffs Jan2023'!AL94/'Tariffs Jan2023'!AJ94&lt;='Tariffs Jan2023'!K94,($C$5*'Tariffs Jan2023'!AL94/'Tariffs Jan2023'!AJ94-'Tariffs Jan2023'!J94)*('Tariffs Jan2023'!V94/100)*'Tariffs Jan2023'!AJ94,('Tariffs Jan2023'!K94-'Tariffs Jan2023'!J94)*('Tariffs Jan2023'!V94/100)*'Tariffs Jan2023'!AJ94))</f>
        <v>313.12691999999993</v>
      </c>
      <c r="L100" s="69">
        <f>IF($C$5*'Tariffs Jan2023'!AL94/'Tariffs Jan2023'!AJ94&lt;'Tariffs Jan2023'!K94,0,IF($C$5*'Tariffs Jan2023'!AL94/'Tariffs Jan2023'!AJ94&lt;='Tariffs Jan2023'!L94,($C$5*'Tariffs Jan2023'!AL94/'Tariffs Jan2023'!AJ94-'Tariffs Jan2023'!K94)*('Tariffs Jan2023'!W94/100)*'Tariffs Jan2023'!AJ94,('Tariffs Jan2023'!L94-'Tariffs Jan2023'!K94)*('Tariffs Jan2023'!W94/100)*'Tariffs Jan2023'!AJ94))</f>
        <v>0</v>
      </c>
      <c r="M100" s="69">
        <f>IF($C$5*'Tariffs Jan2023'!AL94/'Tariffs Jan2023'!AJ94&lt;'Tariffs Jan2023'!L94,0,IF($C$5*'Tariffs Jan2023'!AL94/'Tariffs Jan2023'!AJ94&lt;='Tariffs Jan2023'!M94,($C$5*'Tariffs Jan2023'!AL94/'Tariffs Jan2023'!AJ94-'Tariffs Jan2023'!L94)*('Tariffs Jan2023'!X94/100)*'Tariffs Jan2023'!AJ94,('Tariffs Jan2023'!M94-'Tariffs Jan2023'!L94)*('Tariffs Jan2023'!X94/100)*'Tariffs Jan2023'!AJ94))</f>
        <v>0</v>
      </c>
      <c r="N100" s="69">
        <f>IF(($C$5*'Tariffs Jan2023'!AL94/'Tariffs Jan2023'!AJ94&gt;'Tariffs Jan2023'!M94),($C$5*'Tariffs Jan2023'!AL94/'Tariffs Jan2023'!AJ94-'Tariffs Jan2023'!M94)*'Tariffs Jan2023'!Y94/100*'Tariffs Jan2023'!AJ94,0)</f>
        <v>0</v>
      </c>
      <c r="O100" s="59">
        <f t="shared" ref="O100:O110" si="138">SUM(E100:N100)</f>
        <v>1186.9038654545452</v>
      </c>
      <c r="P100" s="503">
        <f t="shared" si="82"/>
        <v>1305.5942519999999</v>
      </c>
      <c r="Q100" s="59">
        <f t="shared" ref="Q100:Q110" si="139">D100+O100</f>
        <v>1504.3211381818178</v>
      </c>
      <c r="R100" s="272">
        <f t="shared" ref="R100:R110" si="140">Q100*1.1</f>
        <v>1654.7532519999997</v>
      </c>
      <c r="S100" s="40">
        <f>'Tariffs Jan2023'!AN94</f>
        <v>0</v>
      </c>
      <c r="T100" s="40">
        <f>'Tariffs Jan2023'!AO94</f>
        <v>0</v>
      </c>
      <c r="U100" s="40">
        <f>'Tariffs Jan2023'!AP94</f>
        <v>0</v>
      </c>
      <c r="V100" s="40">
        <f>'Tariffs Jan2023'!AQ94</f>
        <v>0</v>
      </c>
      <c r="W100" s="537" t="str">
        <f t="shared" si="136"/>
        <v>No discount</v>
      </c>
      <c r="X100" s="538" t="str">
        <f t="shared" si="137"/>
        <v>Exclusive</v>
      </c>
      <c r="Y100" s="534">
        <f>IF(AND(W100="Guaranteed off bill",X100="Inclusive"),((Q100*1.1)-((Q100*1.1)*S100/100))/1.1,IF(AND(W100="Guaranteed off usage",X100="Inclusive"),((Q100*1.1)-((P100*1.1)*T100/100))/1.1,IF(AND(W100="Guaranteed off bill",X100="Exclusive"),Q100-(Q100*S100/100),IF(AND(W100="Guaranteed off usage",X100="Exclusive"),Q100-(P100*T100/100),IF(X100="Inclusive",((Q100*1.1))/1.1,Q100)))))</f>
        <v>1504.3211381818178</v>
      </c>
      <c r="Z100" s="535">
        <f>IF(AND(W100="Pay-on-time off bill",X100="Inclusive"),((Y100*1.1)-((Y100*1.1)*U100/100))/1.1,IF(AND(W100="Pay-on-time off usage",X100="Inclusive"),((Y100*1.1)-((P100*1.1)*V100/100))/1.1,IF(AND(W100="Pay-on-time off bill",X100="Exclusive"),Y100-(Y100*U100/100),IF(AND(W100="Pay-on-time off usage",X100="Exclusive"),Y100-(P100*V100/100),IF(X100="Inclusive",((Y100*1.1))/1.1,Y100)))))</f>
        <v>1504.3211381818178</v>
      </c>
      <c r="AA100" s="542">
        <f t="shared" si="135"/>
        <v>1654.7532519999997</v>
      </c>
      <c r="AB100" s="609">
        <f t="shared" si="135"/>
        <v>1654.7532519999997</v>
      </c>
      <c r="AC100" s="604"/>
      <c r="AD100" s="604"/>
      <c r="AE100" s="604"/>
      <c r="AF100" s="604"/>
      <c r="AG100" s="604"/>
      <c r="AH100" s="604"/>
      <c r="AI100" s="604"/>
      <c r="AJ100" s="604"/>
      <c r="AK100" s="604"/>
      <c r="AL100" s="604"/>
      <c r="AM100" s="604"/>
      <c r="AN100" s="604"/>
      <c r="AO100" s="604"/>
      <c r="AP100" s="604"/>
      <c r="AQ100" s="604"/>
      <c r="AR100" s="604"/>
      <c r="AS100" s="604"/>
      <c r="AT100" s="604"/>
    </row>
    <row r="101" spans="1:46" ht="14" x14ac:dyDescent="0.15">
      <c r="A101" s="270" t="str">
        <f>'Tariffs Jan2023'!F95</f>
        <v>EnergyAustralia</v>
      </c>
      <c r="B101" s="40" t="str">
        <f>'Tariffs Jan2023'!D95</f>
        <v>AusNet Services Central 1</v>
      </c>
      <c r="C101" s="40" t="str">
        <f>'Tariffs Jan2023'!G95</f>
        <v>Flexi Plan</v>
      </c>
      <c r="D101" s="59">
        <f>365*'Tariffs Jan2023'!H95/100</f>
        <v>451.8368181818181</v>
      </c>
      <c r="E101" s="59">
        <f>IF($C$5*'Tariffs Jan2023'!AK95/'Tariffs Jan2023'!AI95&gt;='Tariffs Jan2023'!J95,( 'Tariffs Jan2023'!J95*'Tariffs Jan2023'!O95/100)* 'Tariffs Jan2023'!AI95,($C$5*'Tariffs Jan2023'!AK95/'Tariffs Jan2023'!AI95*'Tariffs Jan2023'!O95/100)* 'Tariffs Jan2023'!AI95)</f>
        <v>473.45454545454538</v>
      </c>
      <c r="F101" s="59">
        <f>IF($C$5*'Tariffs Jan2023'!AK95/'Tariffs Jan2023'!AI95&lt;'Tariffs Jan2023'!J95,0,IF($C$5*'Tariffs Jan2023'!AK95/'Tariffs Jan2023'!AI95&lt;='Tariffs Jan2023'!K95,($C$5*'Tariffs Jan2023'!AK95/'Tariffs Jan2023'!AI95-'Tariffs Jan2023'!J95)*('Tariffs Jan2023'!P95/100)*'Tariffs Jan2023'!AI95,('Tariffs Jan2023'!K95-'Tariffs Jan2023'!J95)*('Tariffs Jan2023'!P95/100)*'Tariffs Jan2023'!AI95))</f>
        <v>285.47882727272724</v>
      </c>
      <c r="G101" s="59">
        <f>IF($C$5*'Tariffs Jan2023'!AK95/'Tariffs Jan2023'!AI95&lt;'Tariffs Jan2023'!K95,0,IF($C$5*'Tariffs Jan2023'!AK95/'Tariffs Jan2023'!AI95&lt;='Tariffs Jan2023'!L95,($C$5*'Tariffs Jan2023'!AK95/'Tariffs Jan2023'!AI95-'Tariffs Jan2023'!K95)*('Tariffs Jan2023'!Q95/100)*'Tariffs Jan2023'!AI95,('Tariffs Jan2023'!L95-'Tariffs Jan2023'!K95)*('Tariffs Jan2023'!Q95/100)*'Tariffs Jan2023'!AI95))</f>
        <v>0</v>
      </c>
      <c r="H101" s="59">
        <f>IF($C$5*'Tariffs Jan2023'!AK95/'Tariffs Jan2023'!AI95&lt;'Tariffs Jan2023'!L95,0,IF($C$5*'Tariffs Jan2023'!AK95/'Tariffs Jan2023'!AI95&lt;='Tariffs Jan2023'!M95,($C$5*'Tariffs Jan2023'!AK95/'Tariffs Jan2023'!AI95-'Tariffs Jan2023'!L95)*('Tariffs Jan2023'!R95/100)*'Tariffs Jan2023'!AI95,('Tariffs Jan2023'!M95-'Tariffs Jan2023'!L95)*('Tariffs Jan2023'!R95/100)*'Tariffs Jan2023'!AI95))</f>
        <v>0</v>
      </c>
      <c r="I101" s="69">
        <f>IF(($C$5*'Tariffs Jan2023'!AK95/'Tariffs Jan2023'!AI95&gt;'Tariffs Jan2023'!M95),($C$5*'Tariffs Jan2023'!AK95/'Tariffs Jan2023'!AI95-'Tariffs Jan2023'!M95)*'Tariffs Jan2023'!S95/100*'Tariffs Jan2023'!AI95,0)</f>
        <v>0</v>
      </c>
      <c r="J101" s="69">
        <f>IF($C$5*'Tariffs Jan2023'!AL95/'Tariffs Jan2023'!AJ95&gt;='Tariffs Jan2023'!J95,('Tariffs Jan2023'!J95*'Tariffs Jan2023'!U95/100)* 'Tariffs Jan2023'!AJ95,($C$5*'Tariffs Jan2023'!AL95/'Tariffs Jan2023'!AJ95*'Tariffs Jan2023'!U95/100)* 'Tariffs Jan2023'!AJ95)</f>
        <v>726.54545454545439</v>
      </c>
      <c r="K101" s="69">
        <f>IF($C$5*'Tariffs Jan2023'!AL95/'Tariffs Jan2023'!AJ95&lt;'Tariffs Jan2023'!J95,0,IF($C$5*'Tariffs Jan2023'!AL95/'Tariffs Jan2023'!AJ95&lt;='Tariffs Jan2023'!K95,($C$5*'Tariffs Jan2023'!AL95/'Tariffs Jan2023'!AJ95-'Tariffs Jan2023'!J95)*('Tariffs Jan2023'!V95/100)*'Tariffs Jan2023'!AJ95,('Tariffs Jan2023'!K95-'Tariffs Jan2023'!J95)*('Tariffs Jan2023'!V95/100)*'Tariffs Jan2023'!AJ95))</f>
        <v>495.70249090909067</v>
      </c>
      <c r="L101" s="69">
        <f>IF($C$5*'Tariffs Jan2023'!AL95/'Tariffs Jan2023'!AJ95&lt;'Tariffs Jan2023'!K95,0,IF($C$5*'Tariffs Jan2023'!AL95/'Tariffs Jan2023'!AJ95&lt;='Tariffs Jan2023'!L95,($C$5*'Tariffs Jan2023'!AL95/'Tariffs Jan2023'!AJ95-'Tariffs Jan2023'!K95)*('Tariffs Jan2023'!W95/100)*'Tariffs Jan2023'!AJ95,('Tariffs Jan2023'!L95-'Tariffs Jan2023'!K95)*('Tariffs Jan2023'!W95/100)*'Tariffs Jan2023'!AJ95))</f>
        <v>0</v>
      </c>
      <c r="M101" s="69">
        <f>IF($C$5*'Tariffs Jan2023'!AL95/'Tariffs Jan2023'!AJ95&lt;'Tariffs Jan2023'!L95,0,IF($C$5*'Tariffs Jan2023'!AL95/'Tariffs Jan2023'!AJ95&lt;='Tariffs Jan2023'!M95,($C$5*'Tariffs Jan2023'!AL95/'Tariffs Jan2023'!AJ95-'Tariffs Jan2023'!L95)*('Tariffs Jan2023'!X95/100)*'Tariffs Jan2023'!AJ95,('Tariffs Jan2023'!M95-'Tariffs Jan2023'!L95)*('Tariffs Jan2023'!X95/100)*'Tariffs Jan2023'!AJ95))</f>
        <v>0</v>
      </c>
      <c r="N101" s="69">
        <f>IF(($C$5*'Tariffs Jan2023'!AL95/'Tariffs Jan2023'!AJ95&gt;'Tariffs Jan2023'!M95),($C$5*'Tariffs Jan2023'!AL95/'Tariffs Jan2023'!AJ95-'Tariffs Jan2023'!M95)*'Tariffs Jan2023'!Y95/100*'Tariffs Jan2023'!AJ95,0)</f>
        <v>0</v>
      </c>
      <c r="O101" s="59">
        <f t="shared" si="138"/>
        <v>1981.1813181818175</v>
      </c>
      <c r="P101" s="503">
        <f t="shared" si="82"/>
        <v>2179.2994499999995</v>
      </c>
      <c r="Q101" s="59">
        <f t="shared" si="139"/>
        <v>2433.0181363636357</v>
      </c>
      <c r="R101" s="272">
        <f t="shared" si="140"/>
        <v>2676.3199499999996</v>
      </c>
      <c r="S101" s="40">
        <f>'Tariffs Jan2023'!AN95</f>
        <v>12</v>
      </c>
      <c r="T101" s="40">
        <f>'Tariffs Jan2023'!AO95</f>
        <v>0</v>
      </c>
      <c r="U101" s="40">
        <f>'Tariffs Jan2023'!AP95</f>
        <v>0</v>
      </c>
      <c r="V101" s="40">
        <f>'Tariffs Jan2023'!AQ95</f>
        <v>0</v>
      </c>
      <c r="W101" s="537" t="str">
        <f t="shared" si="136"/>
        <v>Guaranteed off bill</v>
      </c>
      <c r="X101" s="538" t="str">
        <f t="shared" si="137"/>
        <v>Exclusive</v>
      </c>
      <c r="Y101" s="534">
        <f t="shared" ref="Y101" si="141">IF(AND(W101="Guaranteed off bill",X101="Inclusive"),((Q101*1.1)-((Q101*1.1)*S101/100))/1.1,IF(AND(W101="Guaranteed off usage",X101="Inclusive"),((Q101*1.1)-((P101*1.1)*T101/100))/1.1,IF(AND(W101="Guaranteed off bill",X101="Exclusive"),Q101-(Q101*S101/100),IF(AND(W101="Guaranteed off usage",X101="Exclusive"),Q101-(P101*T101/100),IF(X101="Inclusive",((Q101*1.1))/1.1,Q101)))))</f>
        <v>2141.0559599999992</v>
      </c>
      <c r="Z101" s="535">
        <f t="shared" ref="Z101" si="142">IF(AND(W101="Pay-on-time off bill",X101="Inclusive"),((Y101*1.1)-((Y101*1.1)*U101/100))/1.1,IF(AND(W101="Pay-on-time off usage",X101="Inclusive"),((Y101*1.1)-((P101*1.1)*V101/100))/1.1,IF(AND(W101="Pay-on-time off bill",X101="Exclusive"),Y101-(Y101*U101/100),IF(AND(W101="Pay-on-time off usage",X101="Exclusive"),Y101-(P101*V101/100),IF(X101="Inclusive",((Y101*1.1))/1.1,Y101)))))</f>
        <v>2141.0559599999992</v>
      </c>
      <c r="AA101" s="542">
        <f t="shared" si="135"/>
        <v>2355.1615559999996</v>
      </c>
      <c r="AB101" s="609">
        <f t="shared" si="135"/>
        <v>2355.1615559999996</v>
      </c>
      <c r="AC101" s="604"/>
      <c r="AD101" s="604"/>
      <c r="AE101" s="604"/>
      <c r="AF101" s="604"/>
      <c r="AG101" s="604"/>
      <c r="AH101" s="604"/>
      <c r="AI101" s="604"/>
      <c r="AJ101" s="604"/>
      <c r="AK101" s="604"/>
      <c r="AL101" s="604"/>
      <c r="AM101" s="604"/>
      <c r="AN101" s="604"/>
      <c r="AO101" s="604"/>
      <c r="AP101" s="604"/>
      <c r="AQ101" s="604"/>
      <c r="AR101" s="604"/>
      <c r="AS101" s="604"/>
      <c r="AT101" s="604"/>
    </row>
    <row r="102" spans="1:46" ht="14" x14ac:dyDescent="0.15">
      <c r="A102" s="270" t="str">
        <f>'Tariffs Jan2023'!F96</f>
        <v>Lumo Energy</v>
      </c>
      <c r="B102" s="40" t="str">
        <f>'Tariffs Jan2023'!D96</f>
        <v>AusNet Services Central 1</v>
      </c>
      <c r="C102" s="40" t="str">
        <f>'Tariffs Jan2023'!G96</f>
        <v>Value</v>
      </c>
      <c r="D102" s="59">
        <f>365*'Tariffs Jan2023'!H96/100</f>
        <v>334.70499999999998</v>
      </c>
      <c r="E102" s="59">
        <f>IF($C$5*'Tariffs Jan2023'!AK96/'Tariffs Jan2023'!AI96&gt;='Tariffs Jan2023'!J96,( 'Tariffs Jan2023'!J96*'Tariffs Jan2023'!O96/100)* 'Tariffs Jan2023'!AI96,($C$5*'Tariffs Jan2023'!AK96/'Tariffs Jan2023'!AI96*'Tariffs Jan2023'!O96/100)* 'Tariffs Jan2023'!AI96)</f>
        <v>327.27272727272725</v>
      </c>
      <c r="F102" s="59">
        <f>IF($C$5*'Tariffs Jan2023'!AK96/'Tariffs Jan2023'!AI96&lt;'Tariffs Jan2023'!J96,0,IF($C$5*'Tariffs Jan2023'!AK96/'Tariffs Jan2023'!AI96&lt;='Tariffs Jan2023'!K96,($C$5*'Tariffs Jan2023'!AK96/'Tariffs Jan2023'!AI96-'Tariffs Jan2023'!J96)*('Tariffs Jan2023'!P96/100)*'Tariffs Jan2023'!AI96,('Tariffs Jan2023'!K96-'Tariffs Jan2023'!J96)*('Tariffs Jan2023'!P96/100)*'Tariffs Jan2023'!AI96))</f>
        <v>224.12950909090904</v>
      </c>
      <c r="G102" s="59">
        <f>IF($C$5*'Tariffs Jan2023'!AK96/'Tariffs Jan2023'!AI96&lt;'Tariffs Jan2023'!K96,0,IF($C$5*'Tariffs Jan2023'!AK96/'Tariffs Jan2023'!AI96&lt;='Tariffs Jan2023'!L96,($C$5*'Tariffs Jan2023'!AK96/'Tariffs Jan2023'!AI96-'Tariffs Jan2023'!K96)*('Tariffs Jan2023'!Q96/100)*'Tariffs Jan2023'!AI96,('Tariffs Jan2023'!L96-'Tariffs Jan2023'!K96)*('Tariffs Jan2023'!Q96/100)*'Tariffs Jan2023'!AI96))</f>
        <v>0</v>
      </c>
      <c r="H102" s="59">
        <f>IF($C$5*'Tariffs Jan2023'!AK96/'Tariffs Jan2023'!AI96&lt;'Tariffs Jan2023'!L96,0,IF($C$5*'Tariffs Jan2023'!AK96/'Tariffs Jan2023'!AI96&lt;='Tariffs Jan2023'!M96,($C$5*'Tariffs Jan2023'!AK96/'Tariffs Jan2023'!AI96-'Tariffs Jan2023'!L96)*('Tariffs Jan2023'!R96/100)*'Tariffs Jan2023'!AI96,('Tariffs Jan2023'!M96-'Tariffs Jan2023'!L96)*('Tariffs Jan2023'!R96/100)*'Tariffs Jan2023'!AI96))</f>
        <v>0</v>
      </c>
      <c r="I102" s="69">
        <f>IF(($C$5*'Tariffs Jan2023'!AK96/'Tariffs Jan2023'!AI96&gt;'Tariffs Jan2023'!M96),($C$5*'Tariffs Jan2023'!AK96/'Tariffs Jan2023'!AI96-'Tariffs Jan2023'!M96)*'Tariffs Jan2023'!S96/100*'Tariffs Jan2023'!AI96,0)</f>
        <v>0</v>
      </c>
      <c r="J102" s="69">
        <f>IF($C$5*'Tariffs Jan2023'!AL96/'Tariffs Jan2023'!AJ96&gt;='Tariffs Jan2023'!J96,('Tariffs Jan2023'!J96*'Tariffs Jan2023'!U96/100)* 'Tariffs Jan2023'!AJ96,($C$5*'Tariffs Jan2023'!AL96/'Tariffs Jan2023'!AJ96*'Tariffs Jan2023'!U96/100)* 'Tariffs Jan2023'!AJ96)</f>
        <v>560.72727272727263</v>
      </c>
      <c r="K102" s="69">
        <f>IF($C$5*'Tariffs Jan2023'!AL96/'Tariffs Jan2023'!AJ96&lt;'Tariffs Jan2023'!J96,0,IF($C$5*'Tariffs Jan2023'!AL96/'Tariffs Jan2023'!AJ96&lt;='Tariffs Jan2023'!K96,($C$5*'Tariffs Jan2023'!AL96/'Tariffs Jan2023'!AJ96-'Tariffs Jan2023'!J96)*('Tariffs Jan2023'!V96/100)*'Tariffs Jan2023'!AJ96,('Tariffs Jan2023'!K96-'Tariffs Jan2023'!J96)*('Tariffs Jan2023'!V96/100)*'Tariffs Jan2023'!AJ96))</f>
        <v>412.26741818181802</v>
      </c>
      <c r="L102" s="69">
        <f>IF($C$5*'Tariffs Jan2023'!AL96/'Tariffs Jan2023'!AJ96&lt;'Tariffs Jan2023'!K96,0,IF($C$5*'Tariffs Jan2023'!AL96/'Tariffs Jan2023'!AJ96&lt;='Tariffs Jan2023'!L96,($C$5*'Tariffs Jan2023'!AL96/'Tariffs Jan2023'!AJ96-'Tariffs Jan2023'!K96)*('Tariffs Jan2023'!W96/100)*'Tariffs Jan2023'!AJ96,('Tariffs Jan2023'!L96-'Tariffs Jan2023'!K96)*('Tariffs Jan2023'!W96/100)*'Tariffs Jan2023'!AJ96))</f>
        <v>0</v>
      </c>
      <c r="M102" s="69">
        <f>IF($C$5*'Tariffs Jan2023'!AL96/'Tariffs Jan2023'!AJ96&lt;'Tariffs Jan2023'!L96,0,IF($C$5*'Tariffs Jan2023'!AL96/'Tariffs Jan2023'!AJ96&lt;='Tariffs Jan2023'!M96,($C$5*'Tariffs Jan2023'!AL96/'Tariffs Jan2023'!AJ96-'Tariffs Jan2023'!L96)*('Tariffs Jan2023'!X96/100)*'Tariffs Jan2023'!AJ96,('Tariffs Jan2023'!M96-'Tariffs Jan2023'!L96)*('Tariffs Jan2023'!X96/100)*'Tariffs Jan2023'!AJ96))</f>
        <v>0</v>
      </c>
      <c r="N102" s="69">
        <f>IF(($C$5*'Tariffs Jan2023'!AL96/'Tariffs Jan2023'!AJ96&gt;'Tariffs Jan2023'!M96),($C$5*'Tariffs Jan2023'!AL96/'Tariffs Jan2023'!AJ96-'Tariffs Jan2023'!M96)*'Tariffs Jan2023'!Y96/100*'Tariffs Jan2023'!AJ96,0)</f>
        <v>0</v>
      </c>
      <c r="O102" s="59">
        <f t="shared" si="138"/>
        <v>1524.3969272727268</v>
      </c>
      <c r="P102" s="503">
        <f t="shared" si="82"/>
        <v>1676.8366199999996</v>
      </c>
      <c r="Q102" s="59">
        <f t="shared" si="139"/>
        <v>1859.1019272727267</v>
      </c>
      <c r="R102" s="272">
        <f t="shared" si="140"/>
        <v>2045.0121199999996</v>
      </c>
      <c r="S102" s="40">
        <f>'Tariffs Jan2023'!AN96</f>
        <v>0</v>
      </c>
      <c r="T102" s="40">
        <f>'Tariffs Jan2023'!AO96</f>
        <v>0</v>
      </c>
      <c r="U102" s="40">
        <f>'Tariffs Jan2023'!AP96</f>
        <v>0</v>
      </c>
      <c r="V102" s="40">
        <f>'Tariffs Jan2023'!AQ96</f>
        <v>0</v>
      </c>
      <c r="W102" s="537" t="str">
        <f t="shared" si="136"/>
        <v>No discount</v>
      </c>
      <c r="X102" s="538" t="str">
        <f t="shared" si="137"/>
        <v>Exclusive</v>
      </c>
      <c r="Y102" s="534">
        <f>IF(AND(W102="Guaranteed off bill",X102="Inclusive"),((Q102*1.1)-((Q102*1.1)*S102/100))/1.1,IF(AND(W102="Guaranteed off usage",X102="Inclusive"),((Q102*1.1)-((P102*1.1)*T102/100))/1.1,IF(AND(W102="Guaranteed off bill",X102="Exclusive"),Q102-(Q102*S102/100),IF(AND(W102="Guaranteed off usage",X102="Exclusive"),Q102-(P102*T102/100),IF(X102="Inclusive",((Q102*1.1))/1.1,Q102)))))</f>
        <v>1859.1019272727267</v>
      </c>
      <c r="Z102" s="535">
        <f>IF(AND(W102="Pay-on-time off bill",X102="Inclusive"),((Y102*1.1)-((Y102*1.1)*U102/100))/1.1,IF(AND(W102="Pay-on-time off usage",X102="Inclusive"),((Y102*1.1)-((P102*1.1)*V102/100))/1.1,IF(AND(W102="Pay-on-time off bill",X102="Exclusive"),Y102-(Y102*U102/100),IF(AND(W102="Pay-on-time off usage",X102="Exclusive"),Y102-(P102*V102/100),IF(X102="Inclusive",((Y102*1.1))/1.1,Y102)))))</f>
        <v>1859.1019272727267</v>
      </c>
      <c r="AA102" s="542">
        <f t="shared" si="135"/>
        <v>2045.0121199999996</v>
      </c>
      <c r="AB102" s="609">
        <f t="shared" si="135"/>
        <v>2045.0121199999996</v>
      </c>
      <c r="AC102" s="604"/>
      <c r="AD102" s="604"/>
      <c r="AE102" s="604"/>
      <c r="AF102" s="604"/>
      <c r="AG102" s="604"/>
      <c r="AH102" s="604"/>
      <c r="AI102" s="604"/>
      <c r="AJ102" s="604"/>
      <c r="AK102" s="604"/>
      <c r="AL102" s="604"/>
      <c r="AM102" s="604"/>
      <c r="AN102" s="604"/>
      <c r="AO102" s="604"/>
      <c r="AP102" s="604"/>
      <c r="AQ102" s="604"/>
      <c r="AR102" s="604"/>
      <c r="AS102" s="604"/>
      <c r="AT102" s="604"/>
    </row>
    <row r="103" spans="1:46" ht="14" x14ac:dyDescent="0.15">
      <c r="A103" s="270" t="str">
        <f>'Tariffs Jan2023'!F97</f>
        <v>Origin Energy</v>
      </c>
      <c r="B103" s="40" t="str">
        <f>'Tariffs Jan2023'!D97</f>
        <v>AusNet Services Central 1</v>
      </c>
      <c r="C103" s="40" t="str">
        <f>'Tariffs Jan2023'!G97</f>
        <v>Go Variable</v>
      </c>
      <c r="D103" s="59">
        <f>365*'Tariffs Jan2023'!H97/100</f>
        <v>319.44136363636358</v>
      </c>
      <c r="E103" s="59">
        <f>((C$5*'Tariffs Jan2023'!AK97/'Tariffs Jan2023'!AI97)*('Tariffs Jan2023'!O97/100))*'Tariffs Jan2023'!AI97</f>
        <v>738.81818181818176</v>
      </c>
      <c r="F103" s="59">
        <v>0</v>
      </c>
      <c r="G103" s="59">
        <v>0</v>
      </c>
      <c r="H103" s="59">
        <v>0</v>
      </c>
      <c r="I103" s="69">
        <v>0</v>
      </c>
      <c r="J103" s="69">
        <f>((C$5*'Tariffs Jan2023'!AL97/'Tariffs Jan2023'!AJ97)*('Tariffs Jan2023'!U97/100))*'Tariffs Jan2023'!AJ97</f>
        <v>738.81818181818176</v>
      </c>
      <c r="K103" s="69">
        <v>0</v>
      </c>
      <c r="L103" s="69">
        <v>0</v>
      </c>
      <c r="M103" s="69">
        <v>0</v>
      </c>
      <c r="N103" s="69">
        <v>0</v>
      </c>
      <c r="O103" s="59">
        <f t="shared" si="138"/>
        <v>1477.6363636363635</v>
      </c>
      <c r="P103" s="503">
        <f t="shared" si="82"/>
        <v>1625.4</v>
      </c>
      <c r="Q103" s="59">
        <f t="shared" si="139"/>
        <v>1797.0777272727271</v>
      </c>
      <c r="R103" s="272">
        <f t="shared" si="140"/>
        <v>1976.7855</v>
      </c>
      <c r="S103" s="40">
        <f>'Tariffs Jan2023'!AN97</f>
        <v>0</v>
      </c>
      <c r="T103" s="40">
        <f>'Tariffs Jan2023'!AO97</f>
        <v>0</v>
      </c>
      <c r="U103" s="40">
        <f>'Tariffs Jan2023'!AP97</f>
        <v>0</v>
      </c>
      <c r="V103" s="40">
        <f>'Tariffs Jan2023'!AQ97</f>
        <v>0</v>
      </c>
      <c r="W103" s="537" t="str">
        <f t="shared" si="136"/>
        <v>No discount</v>
      </c>
      <c r="X103" s="538" t="str">
        <f t="shared" si="137"/>
        <v>Inclusive</v>
      </c>
      <c r="Y103" s="534">
        <f>IF(AND(W103="Guaranteed off bill",X103="Inclusive"),((Q103*1.1)-((Q103*1.1)*S103/100))/1.1,IF(AND(W103="Guaranteed off usage",X103="Inclusive"),((Q103*1.1)-((P103*1.1)*T103/100))/1.1,IF(AND(W103="Guaranteed off bill",X103="Exclusive"),Q103-(Q103*S103/100),IF(AND(W103="Guaranteed off usage",X103="Exclusive"),Q103-(P103*T103/100),IF(X103="Inclusive",((Q103*1.1))/1.1,Q103)))))</f>
        <v>1797.0777272727271</v>
      </c>
      <c r="Z103" s="535">
        <f>IF(AND(W103="Pay-on-time off bill",X103="Inclusive"),((Y103*1.1)-((Y103*1.1)*U103/100))/1.1,IF(AND(W103="Pay-on-time off usage",X103="Inclusive"),((Y103*1.1)-((P103*1.1)*V103/100))/1.1,IF(AND(W103="Pay-on-time off bill",X103="Exclusive"),Y103-(Y103*U103/100),IF(AND(W103="Pay-on-time off usage",X103="Exclusive"),Y103-(P103*V103/100),IF(X103="Inclusive",((Y103*1.1))/1.1,Y103)))))</f>
        <v>1797.0777272727271</v>
      </c>
      <c r="AA103" s="542">
        <f t="shared" si="135"/>
        <v>1976.7855</v>
      </c>
      <c r="AB103" s="609">
        <f t="shared" si="135"/>
        <v>1976.7855</v>
      </c>
      <c r="AC103" s="604"/>
      <c r="AD103" s="604"/>
      <c r="AE103" s="604"/>
      <c r="AF103" s="604"/>
      <c r="AG103" s="604"/>
      <c r="AH103" s="604"/>
      <c r="AI103" s="604"/>
      <c r="AJ103" s="604"/>
      <c r="AK103" s="604"/>
      <c r="AL103" s="604"/>
      <c r="AM103" s="604"/>
      <c r="AN103" s="604"/>
      <c r="AO103" s="604"/>
      <c r="AP103" s="604"/>
      <c r="AQ103" s="604"/>
      <c r="AR103" s="604"/>
      <c r="AS103" s="604"/>
      <c r="AT103" s="604"/>
    </row>
    <row r="104" spans="1:46" ht="14" x14ac:dyDescent="0.15">
      <c r="A104" s="270" t="str">
        <f>'Tariffs Jan2023'!F98</f>
        <v>Red Energy</v>
      </c>
      <c r="B104" s="40" t="str">
        <f>'Tariffs Jan2023'!D98</f>
        <v>AusNet Services Central 1</v>
      </c>
      <c r="C104" s="40" t="str">
        <f>'Tariffs Jan2023'!G98</f>
        <v>Living Energy Saver</v>
      </c>
      <c r="D104" s="59">
        <f>365*'Tariffs Jan2023'!H98/100</f>
        <v>334.70499999999998</v>
      </c>
      <c r="E104" s="59">
        <f>IF($C$5*'Tariffs Jan2023'!AK98/'Tariffs Jan2023'!AI98&gt;='Tariffs Jan2023'!J98,( 'Tariffs Jan2023'!J98*'Tariffs Jan2023'!O98/100)* 'Tariffs Jan2023'!AI98,($C$5*'Tariffs Jan2023'!AK98/'Tariffs Jan2023'!AI98*'Tariffs Jan2023'!O98/100)* 'Tariffs Jan2023'!AI98)</f>
        <v>311.99999999999994</v>
      </c>
      <c r="F104" s="59">
        <f>IF($C$5*'Tariffs Jan2023'!AK98/'Tariffs Jan2023'!AI98&lt;'Tariffs Jan2023'!J98,0,IF($C$5*'Tariffs Jan2023'!AK98/'Tariffs Jan2023'!AI98&lt;='Tariffs Jan2023'!K98,($C$5*'Tariffs Jan2023'!AK98/'Tariffs Jan2023'!AI98-'Tariffs Jan2023'!J98)*('Tariffs Jan2023'!P98/100)*'Tariffs Jan2023'!AI98,('Tariffs Jan2023'!K98-'Tariffs Jan2023'!J98)*('Tariffs Jan2023'!P98/100)*'Tariffs Jan2023'!AI98))</f>
        <v>206.95169999999996</v>
      </c>
      <c r="G104" s="59">
        <f>IF($C$5*'Tariffs Jan2023'!AK98/'Tariffs Jan2023'!AI98&lt;'Tariffs Jan2023'!K98,0,IF($C$5*'Tariffs Jan2023'!AK98/'Tariffs Jan2023'!AI98&lt;='Tariffs Jan2023'!L98,($C$5*'Tariffs Jan2023'!AK98/'Tariffs Jan2023'!AI98-'Tariffs Jan2023'!K98)*('Tariffs Jan2023'!Q98/100)*'Tariffs Jan2023'!AI98,('Tariffs Jan2023'!L98-'Tariffs Jan2023'!K98)*('Tariffs Jan2023'!Q98/100)*'Tariffs Jan2023'!AI98))</f>
        <v>0</v>
      </c>
      <c r="H104" s="59">
        <f>IF($C$5*'Tariffs Jan2023'!AK98/'Tariffs Jan2023'!AI98&lt;'Tariffs Jan2023'!L98,0,IF($C$5*'Tariffs Jan2023'!AK98/'Tariffs Jan2023'!AI98&lt;='Tariffs Jan2023'!M98,($C$5*'Tariffs Jan2023'!AK98/'Tariffs Jan2023'!AI98-'Tariffs Jan2023'!L98)*('Tariffs Jan2023'!R98/100)*'Tariffs Jan2023'!AI98,('Tariffs Jan2023'!M98-'Tariffs Jan2023'!L98)*('Tariffs Jan2023'!R98/100)*'Tariffs Jan2023'!AI98))</f>
        <v>0</v>
      </c>
      <c r="I104" s="69">
        <f>IF(($C$5*'Tariffs Jan2023'!AK98/'Tariffs Jan2023'!AI98&gt;'Tariffs Jan2023'!M98),($C$5*'Tariffs Jan2023'!AK98/'Tariffs Jan2023'!AI98-'Tariffs Jan2023'!M98)*'Tariffs Jan2023'!S98/100*'Tariffs Jan2023'!AI98,0)</f>
        <v>0</v>
      </c>
      <c r="J104" s="69">
        <f>IF($C$5*'Tariffs Jan2023'!AL98/'Tariffs Jan2023'!AJ98&gt;='Tariffs Jan2023'!J98,('Tariffs Jan2023'!J98*'Tariffs Jan2023'!U98/100)* 'Tariffs Jan2023'!AJ98,($C$5*'Tariffs Jan2023'!AL98/'Tariffs Jan2023'!AJ98*'Tariffs Jan2023'!U98/100)* 'Tariffs Jan2023'!AJ98)</f>
        <v>504</v>
      </c>
      <c r="K104" s="69">
        <f>IF($C$5*'Tariffs Jan2023'!AL98/'Tariffs Jan2023'!AJ98&lt;'Tariffs Jan2023'!J98,0,IF($C$5*'Tariffs Jan2023'!AL98/'Tariffs Jan2023'!AJ98&lt;='Tariffs Jan2023'!K98,($C$5*'Tariffs Jan2023'!AL98/'Tariffs Jan2023'!AJ98-'Tariffs Jan2023'!J98)*('Tariffs Jan2023'!V98/100)*'Tariffs Jan2023'!AJ98,('Tariffs Jan2023'!K98-'Tariffs Jan2023'!J98)*('Tariffs Jan2023'!V98/100)*'Tariffs Jan2023'!AJ98))</f>
        <v>369.73189090909079</v>
      </c>
      <c r="L104" s="69">
        <f>IF($C$5*'Tariffs Jan2023'!AL98/'Tariffs Jan2023'!AJ98&lt;'Tariffs Jan2023'!K98,0,IF($C$5*'Tariffs Jan2023'!AL98/'Tariffs Jan2023'!AJ98&lt;='Tariffs Jan2023'!L98,($C$5*'Tariffs Jan2023'!AL98/'Tariffs Jan2023'!AJ98-'Tariffs Jan2023'!K98)*('Tariffs Jan2023'!W98/100)*'Tariffs Jan2023'!AJ98,('Tariffs Jan2023'!L98-'Tariffs Jan2023'!K98)*('Tariffs Jan2023'!W98/100)*'Tariffs Jan2023'!AJ98))</f>
        <v>0</v>
      </c>
      <c r="M104" s="69">
        <f>IF($C$5*'Tariffs Jan2023'!AL98/'Tariffs Jan2023'!AJ98&lt;'Tariffs Jan2023'!L98,0,IF($C$5*'Tariffs Jan2023'!AL98/'Tariffs Jan2023'!AJ98&lt;='Tariffs Jan2023'!M98,($C$5*'Tariffs Jan2023'!AL98/'Tariffs Jan2023'!AJ98-'Tariffs Jan2023'!L98)*('Tariffs Jan2023'!X98/100)*'Tariffs Jan2023'!AJ98,('Tariffs Jan2023'!M98-'Tariffs Jan2023'!L98)*('Tariffs Jan2023'!X98/100)*'Tariffs Jan2023'!AJ98))</f>
        <v>0</v>
      </c>
      <c r="N104" s="69">
        <f>IF(($C$5*'Tariffs Jan2023'!AL98/'Tariffs Jan2023'!AJ98&gt;'Tariffs Jan2023'!M98),($C$5*'Tariffs Jan2023'!AL98/'Tariffs Jan2023'!AJ98-'Tariffs Jan2023'!M98)*'Tariffs Jan2023'!Y98/100*'Tariffs Jan2023'!AJ98,0)</f>
        <v>0</v>
      </c>
      <c r="O104" s="59">
        <f t="shared" si="138"/>
        <v>1392.6835909090905</v>
      </c>
      <c r="P104" s="503">
        <f t="shared" si="82"/>
        <v>1531.9519499999997</v>
      </c>
      <c r="Q104" s="59">
        <f t="shared" si="139"/>
        <v>1727.3885909090905</v>
      </c>
      <c r="R104" s="272">
        <f t="shared" si="140"/>
        <v>1900.1274499999997</v>
      </c>
      <c r="S104" s="40">
        <f>'Tariffs Jan2023'!AN98</f>
        <v>0</v>
      </c>
      <c r="T104" s="40">
        <f>'Tariffs Jan2023'!AO98</f>
        <v>0</v>
      </c>
      <c r="U104" s="40">
        <f>'Tariffs Jan2023'!AP98</f>
        <v>0</v>
      </c>
      <c r="V104" s="40">
        <f>'Tariffs Jan2023'!AQ98</f>
        <v>0</v>
      </c>
      <c r="W104" s="537" t="str">
        <f t="shared" si="136"/>
        <v>No discount</v>
      </c>
      <c r="X104" s="538" t="str">
        <f t="shared" si="137"/>
        <v>Inclusive</v>
      </c>
      <c r="Y104" s="534">
        <f t="shared" ref="Y104:Y106" si="143">IF(AND(W104="Guaranteed off bill",X104="Inclusive"),((Q104*1.1)-((Q104*1.1)*S104/100))/1.1,IF(AND(W104="Guaranteed off usage",X104="Inclusive"),((Q104*1.1)-((P104*1.1)*T104/100))/1.1,IF(AND(W104="Guaranteed off bill",X104="Exclusive"),Q104-(Q104*S104/100),IF(AND(W104="Guaranteed off usage",X104="Exclusive"),Q104-(P104*T104/100),IF(X104="Inclusive",((Q104*1.1))/1.1,Q104)))))</f>
        <v>1727.3885909090905</v>
      </c>
      <c r="Z104" s="535">
        <f t="shared" ref="Z104:Z106" si="144">IF(AND(W104="Pay-on-time off bill",X104="Inclusive"),((Y104*1.1)-((Y104*1.1)*U104/100))/1.1,IF(AND(W104="Pay-on-time off usage",X104="Inclusive"),((Y104*1.1)-((P104*1.1)*V104/100))/1.1,IF(AND(W104="Pay-on-time off bill",X104="Exclusive"),Y104-(Y104*U104/100),IF(AND(W104="Pay-on-time off usage",X104="Exclusive"),Y104-(P104*V104/100),IF(X104="Inclusive",((Y104*1.1))/1.1,Y104)))))</f>
        <v>1727.3885909090905</v>
      </c>
      <c r="AA104" s="542">
        <f t="shared" si="135"/>
        <v>1900.1274499999997</v>
      </c>
      <c r="AB104" s="609">
        <f t="shared" si="135"/>
        <v>1900.1274499999997</v>
      </c>
      <c r="AC104" s="604"/>
      <c r="AD104" s="604"/>
      <c r="AE104" s="604"/>
      <c r="AF104" s="604"/>
      <c r="AG104" s="604"/>
      <c r="AH104" s="604"/>
      <c r="AI104" s="604"/>
      <c r="AJ104" s="604"/>
      <c r="AK104" s="604"/>
      <c r="AL104" s="604"/>
      <c r="AM104" s="604"/>
      <c r="AN104" s="604"/>
      <c r="AO104" s="604"/>
      <c r="AP104" s="604"/>
      <c r="AQ104" s="604"/>
      <c r="AR104" s="604"/>
      <c r="AS104" s="604"/>
      <c r="AT104" s="604"/>
    </row>
    <row r="105" spans="1:46" ht="14" x14ac:dyDescent="0.15">
      <c r="A105" s="270" t="str">
        <f>'Tariffs Jan2023'!F99</f>
        <v>Simply Energy</v>
      </c>
      <c r="B105" s="40" t="str">
        <f>'Tariffs Jan2023'!D99</f>
        <v>AusNet Services Central 1</v>
      </c>
      <c r="C105" s="40" t="str">
        <f>'Tariffs Jan2023'!G99</f>
        <v>Stay Plus</v>
      </c>
      <c r="D105" s="59">
        <f>365*'Tariffs Jan2023'!H99/100</f>
        <v>319.9722727272727</v>
      </c>
      <c r="E105" s="59">
        <f>IF($C$5*'Tariffs Jan2023'!AK99/'Tariffs Jan2023'!AI99&gt;='Tariffs Jan2023'!J99,( 'Tariffs Jan2023'!J99*'Tariffs Jan2023'!O99/100)* 'Tariffs Jan2023'!AI99,($C$5*'Tariffs Jan2023'!AK99/'Tariffs Jan2023'!AI99*'Tariffs Jan2023'!O99/100)* 'Tariffs Jan2023'!AI99)</f>
        <v>391.63636363636363</v>
      </c>
      <c r="F105" s="59">
        <f>IF($C$5*'Tariffs Jan2023'!AK99/'Tariffs Jan2023'!AI99&lt;'Tariffs Jan2023'!J99,0,IF($C$5*'Tariffs Jan2023'!AK99/'Tariffs Jan2023'!AI99&lt;='Tariffs Jan2023'!K99,($C$5*'Tariffs Jan2023'!AK99/'Tariffs Jan2023'!AI99-'Tariffs Jan2023'!J99)*('Tariffs Jan2023'!P99/100)*'Tariffs Jan2023'!AI99,('Tariffs Jan2023'!K99-'Tariffs Jan2023'!J99)*('Tariffs Jan2023'!P99/100)*'Tariffs Jan2023'!AI99))</f>
        <v>287.93279999999993</v>
      </c>
      <c r="G105" s="59">
        <f>IF($C$5*'Tariffs Jan2023'!AK99/'Tariffs Jan2023'!AI99&lt;'Tariffs Jan2023'!K99,0,IF($C$5*'Tariffs Jan2023'!AK99/'Tariffs Jan2023'!AI99&lt;='Tariffs Jan2023'!L99,($C$5*'Tariffs Jan2023'!AK99/'Tariffs Jan2023'!AI99-'Tariffs Jan2023'!K99)*('Tariffs Jan2023'!Q99/100)*'Tariffs Jan2023'!AI99,('Tariffs Jan2023'!L99-'Tariffs Jan2023'!K99)*('Tariffs Jan2023'!Q99/100)*'Tariffs Jan2023'!AI99))</f>
        <v>0</v>
      </c>
      <c r="H105" s="59">
        <f>IF($C$5*'Tariffs Jan2023'!AK99/'Tariffs Jan2023'!AI99&lt;'Tariffs Jan2023'!L99,0,IF($C$5*'Tariffs Jan2023'!AK99/'Tariffs Jan2023'!AI99&lt;='Tariffs Jan2023'!M99,($C$5*'Tariffs Jan2023'!AK99/'Tariffs Jan2023'!AI99-'Tariffs Jan2023'!L99)*('Tariffs Jan2023'!R99/100)*'Tariffs Jan2023'!AI99,('Tariffs Jan2023'!M99-'Tariffs Jan2023'!L99)*('Tariffs Jan2023'!R99/100)*'Tariffs Jan2023'!AI99))</f>
        <v>0</v>
      </c>
      <c r="I105" s="69">
        <f>IF(($C$5*'Tariffs Jan2023'!AK99/'Tariffs Jan2023'!AI99&gt;'Tariffs Jan2023'!M99),($C$5*'Tariffs Jan2023'!AK99/'Tariffs Jan2023'!AI99-'Tariffs Jan2023'!M99)*'Tariffs Jan2023'!S99/100*'Tariffs Jan2023'!AI99,0)</f>
        <v>0</v>
      </c>
      <c r="J105" s="69">
        <f>IF($C$5*'Tariffs Jan2023'!AL99/'Tariffs Jan2023'!AJ99&gt;='Tariffs Jan2023'!J99,('Tariffs Jan2023'!J99*'Tariffs Jan2023'!U99/100)* 'Tariffs Jan2023'!AJ99,($C$5*'Tariffs Jan2023'!AL99/'Tariffs Jan2023'!AJ99*'Tariffs Jan2023'!U99/100)* 'Tariffs Jan2023'!AJ99)</f>
        <v>597.81818181818176</v>
      </c>
      <c r="K105" s="69">
        <f>IF($C$5*'Tariffs Jan2023'!AL99/'Tariffs Jan2023'!AJ99&lt;'Tariffs Jan2023'!J99,0,IF($C$5*'Tariffs Jan2023'!AL99/'Tariffs Jan2023'!AJ99&lt;='Tariffs Jan2023'!K99,($C$5*'Tariffs Jan2023'!AL99/'Tariffs Jan2023'!AJ99-'Tariffs Jan2023'!J99)*('Tariffs Jan2023'!V99/100)*'Tariffs Jan2023'!AJ99,('Tariffs Jan2023'!K99-'Tariffs Jan2023'!J99)*('Tariffs Jan2023'!V99/100)*'Tariffs Jan2023'!AJ99))</f>
        <v>431.89919999999989</v>
      </c>
      <c r="L105" s="69">
        <f>IF($C$5*'Tariffs Jan2023'!AL99/'Tariffs Jan2023'!AJ99&lt;'Tariffs Jan2023'!K99,0,IF($C$5*'Tariffs Jan2023'!AL99/'Tariffs Jan2023'!AJ99&lt;='Tariffs Jan2023'!L99,($C$5*'Tariffs Jan2023'!AL99/'Tariffs Jan2023'!AJ99-'Tariffs Jan2023'!K99)*('Tariffs Jan2023'!W99/100)*'Tariffs Jan2023'!AJ99,('Tariffs Jan2023'!L99-'Tariffs Jan2023'!K99)*('Tariffs Jan2023'!W99/100)*'Tariffs Jan2023'!AJ99))</f>
        <v>0</v>
      </c>
      <c r="M105" s="69">
        <f>IF($C$5*'Tariffs Jan2023'!AL99/'Tariffs Jan2023'!AJ99&lt;'Tariffs Jan2023'!L99,0,IF($C$5*'Tariffs Jan2023'!AL99/'Tariffs Jan2023'!AJ99&lt;='Tariffs Jan2023'!M99,($C$5*'Tariffs Jan2023'!AL99/'Tariffs Jan2023'!AJ99-'Tariffs Jan2023'!L99)*('Tariffs Jan2023'!X99/100)*'Tariffs Jan2023'!AJ99,('Tariffs Jan2023'!M99-'Tariffs Jan2023'!L99)*('Tariffs Jan2023'!X99/100)*'Tariffs Jan2023'!AJ99))</f>
        <v>0</v>
      </c>
      <c r="N105" s="69">
        <f>IF(($C$5*'Tariffs Jan2023'!AL99/'Tariffs Jan2023'!AJ99&gt;'Tariffs Jan2023'!M99),($C$5*'Tariffs Jan2023'!AL99/'Tariffs Jan2023'!AJ99-'Tariffs Jan2023'!M99)*'Tariffs Jan2023'!Y99/100*'Tariffs Jan2023'!AJ99,0)</f>
        <v>0</v>
      </c>
      <c r="O105" s="59">
        <f t="shared" si="138"/>
        <v>1709.2865454545451</v>
      </c>
      <c r="P105" s="503">
        <f t="shared" si="82"/>
        <v>1880.2151999999999</v>
      </c>
      <c r="Q105" s="59">
        <f t="shared" si="139"/>
        <v>2029.2588181818178</v>
      </c>
      <c r="R105" s="272">
        <f t="shared" si="140"/>
        <v>2232.1846999999998</v>
      </c>
      <c r="S105" s="40">
        <f>'Tariffs Jan2023'!AN99</f>
        <v>6</v>
      </c>
      <c r="T105" s="40">
        <f>'Tariffs Jan2023'!AO99</f>
        <v>0</v>
      </c>
      <c r="U105" s="40">
        <f>'Tariffs Jan2023'!AP99</f>
        <v>0</v>
      </c>
      <c r="V105" s="40">
        <f>'Tariffs Jan2023'!AQ99</f>
        <v>0</v>
      </c>
      <c r="W105" s="537" t="str">
        <f t="shared" si="136"/>
        <v>Guaranteed off bill</v>
      </c>
      <c r="X105" s="538" t="str">
        <f t="shared" si="137"/>
        <v>Exclusive</v>
      </c>
      <c r="Y105" s="534">
        <f t="shared" si="143"/>
        <v>1907.5032890909088</v>
      </c>
      <c r="Z105" s="535">
        <f t="shared" si="144"/>
        <v>1907.5032890909088</v>
      </c>
      <c r="AA105" s="542">
        <f t="shared" si="135"/>
        <v>2098.2536179999997</v>
      </c>
      <c r="AB105" s="609">
        <f t="shared" si="135"/>
        <v>2098.2536179999997</v>
      </c>
      <c r="AC105" s="604"/>
      <c r="AD105" s="604"/>
      <c r="AE105" s="604"/>
      <c r="AF105" s="604"/>
      <c r="AG105" s="604"/>
      <c r="AH105" s="604"/>
      <c r="AI105" s="604"/>
      <c r="AJ105" s="604"/>
      <c r="AK105" s="604"/>
      <c r="AL105" s="604"/>
      <c r="AM105" s="604"/>
      <c r="AN105" s="604"/>
      <c r="AO105" s="604"/>
      <c r="AP105" s="604"/>
      <c r="AQ105" s="604"/>
      <c r="AR105" s="604"/>
      <c r="AS105" s="604"/>
      <c r="AT105" s="604"/>
    </row>
    <row r="106" spans="1:46" ht="14" x14ac:dyDescent="0.15">
      <c r="A106" s="270" t="str">
        <f>'Tariffs Jan2023'!F100</f>
        <v>GloBird Energy</v>
      </c>
      <c r="B106" s="40" t="str">
        <f>'Tariffs Jan2023'!D100</f>
        <v>AusNet Services Central 1</v>
      </c>
      <c r="C106" s="40" t="str">
        <f>'Tariffs Jan2023'!G100</f>
        <v>GloSave</v>
      </c>
      <c r="D106" s="59">
        <f>365*'Tariffs Jan2023'!H100/100</f>
        <v>299.3</v>
      </c>
      <c r="E106" s="59">
        <f>IF($C$5*'Tariffs Jan2023'!AK100/'Tariffs Jan2023'!AI100&gt;='Tariffs Jan2023'!J100,( 'Tariffs Jan2023'!J100*'Tariffs Jan2023'!O100/100)* 'Tariffs Jan2023'!AI100,($C$5*'Tariffs Jan2023'!AK100/'Tariffs Jan2023'!AI100*'Tariffs Jan2023'!O100/100)* 'Tariffs Jan2023'!AI100)</f>
        <v>300</v>
      </c>
      <c r="F106" s="59">
        <f>IF($C$5*'Tariffs Jan2023'!AK100/'Tariffs Jan2023'!AI100&lt;'Tariffs Jan2023'!J100,0,IF($C$5*'Tariffs Jan2023'!AK100/'Tariffs Jan2023'!AI100&lt;='Tariffs Jan2023'!K100,($C$5*'Tariffs Jan2023'!AK100/'Tariffs Jan2023'!AI100-'Tariffs Jan2023'!J100)*('Tariffs Jan2023'!P100/100)*'Tariffs Jan2023'!AI100,('Tariffs Jan2023'!K100-'Tariffs Jan2023'!J100)*('Tariffs Jan2023'!P100/100)*'Tariffs Jan2023'!AI100))</f>
        <v>0</v>
      </c>
      <c r="G106" s="59">
        <f>IF($C$5*'Tariffs Jan2023'!AK100/'Tariffs Jan2023'!AI100&lt;'Tariffs Jan2023'!K100,0,IF($C$5*'Tariffs Jan2023'!AK100/'Tariffs Jan2023'!AI100&lt;='Tariffs Jan2023'!L100,($C$5*'Tariffs Jan2023'!AK100/'Tariffs Jan2023'!AI100-'Tariffs Jan2023'!K100)*('Tariffs Jan2023'!Q100/100)*'Tariffs Jan2023'!AI100,('Tariffs Jan2023'!L100-'Tariffs Jan2023'!K100)*('Tariffs Jan2023'!Q100/100)*'Tariffs Jan2023'!AI100))</f>
        <v>0</v>
      </c>
      <c r="H106" s="59">
        <f>IF($C$5*'Tariffs Jan2023'!AK100/'Tariffs Jan2023'!AI100&lt;'Tariffs Jan2023'!L100,0,IF($C$5*'Tariffs Jan2023'!AK100/'Tariffs Jan2023'!AI100&lt;='Tariffs Jan2023'!M100,($C$5*'Tariffs Jan2023'!AK100/'Tariffs Jan2023'!AI100-'Tariffs Jan2023'!L100)*('Tariffs Jan2023'!R100/100)*'Tariffs Jan2023'!AI100,('Tariffs Jan2023'!M100-'Tariffs Jan2023'!L100)*('Tariffs Jan2023'!R100/100)*'Tariffs Jan2023'!AI100))</f>
        <v>0</v>
      </c>
      <c r="I106" s="69">
        <f>IF(($C$5*'Tariffs Jan2023'!AK100/'Tariffs Jan2023'!AI100&gt;'Tariffs Jan2023'!M100),($C$5*'Tariffs Jan2023'!AK100/'Tariffs Jan2023'!AI100-'Tariffs Jan2023'!M100)*'Tariffs Jan2023'!S100/100*'Tariffs Jan2023'!AI100,0)</f>
        <v>209.40567272727264</v>
      </c>
      <c r="J106" s="69">
        <f>IF($C$5*'Tariffs Jan2023'!AL100/'Tariffs Jan2023'!AJ100&gt;='Tariffs Jan2023'!J100,('Tariffs Jan2023'!J100*'Tariffs Jan2023'!U100/100)* 'Tariffs Jan2023'!AJ100,($C$5*'Tariffs Jan2023'!AL100/'Tariffs Jan2023'!AJ100*'Tariffs Jan2023'!U100/100)* 'Tariffs Jan2023'!AJ100)</f>
        <v>600</v>
      </c>
      <c r="K106" s="69">
        <f>IF($C$5*'Tariffs Jan2023'!AL100/'Tariffs Jan2023'!AJ100&lt;'Tariffs Jan2023'!J100,0,IF($C$5*'Tariffs Jan2023'!AL100/'Tariffs Jan2023'!AJ100&lt;='Tariffs Jan2023'!K100,($C$5*'Tariffs Jan2023'!AL100/'Tariffs Jan2023'!AJ100-'Tariffs Jan2023'!J100)*('Tariffs Jan2023'!V100/100)*'Tariffs Jan2023'!AJ100,('Tariffs Jan2023'!K100-'Tariffs Jan2023'!J100)*('Tariffs Jan2023'!V100/100)*'Tariffs Jan2023'!AJ100))</f>
        <v>0</v>
      </c>
      <c r="L106" s="69">
        <f>IF($C$5*'Tariffs Jan2023'!AL100/'Tariffs Jan2023'!AJ100&lt;'Tariffs Jan2023'!K100,0,IF($C$5*'Tariffs Jan2023'!AL100/'Tariffs Jan2023'!AJ100&lt;='Tariffs Jan2023'!L100,($C$5*'Tariffs Jan2023'!AL100/'Tariffs Jan2023'!AJ100-'Tariffs Jan2023'!K100)*('Tariffs Jan2023'!W100/100)*'Tariffs Jan2023'!AJ100,('Tariffs Jan2023'!L100-'Tariffs Jan2023'!K100)*('Tariffs Jan2023'!W100/100)*'Tariffs Jan2023'!AJ100))</f>
        <v>0</v>
      </c>
      <c r="M106" s="69">
        <f>IF($C$5*'Tariffs Jan2023'!AL100/'Tariffs Jan2023'!AJ100&lt;'Tariffs Jan2023'!L100,0,IF($C$5*'Tariffs Jan2023'!AL100/'Tariffs Jan2023'!AJ100&lt;='Tariffs Jan2023'!M100,($C$5*'Tariffs Jan2023'!AL100/'Tariffs Jan2023'!AJ100-'Tariffs Jan2023'!L100)*('Tariffs Jan2023'!X100/100)*'Tariffs Jan2023'!AJ100,('Tariffs Jan2023'!M100-'Tariffs Jan2023'!L100)*('Tariffs Jan2023'!X100/100)*'Tariffs Jan2023'!AJ100))</f>
        <v>0</v>
      </c>
      <c r="N106" s="69">
        <f>IF(($C$5*'Tariffs Jan2023'!AL100/'Tariffs Jan2023'!AJ100&gt;'Tariffs Jan2023'!M100),($C$5*'Tariffs Jan2023'!AL100/'Tariffs Jan2023'!AJ100-'Tariffs Jan2023'!M100)*'Tariffs Jan2023'!Y100/100*'Tariffs Jan2023'!AJ100,0)</f>
        <v>418.81134545454529</v>
      </c>
      <c r="O106" s="59">
        <f t="shared" si="138"/>
        <v>1528.217018181818</v>
      </c>
      <c r="P106" s="503">
        <f t="shared" si="82"/>
        <v>1681.03872</v>
      </c>
      <c r="Q106" s="59">
        <f t="shared" si="139"/>
        <v>1827.517018181818</v>
      </c>
      <c r="R106" s="272">
        <f t="shared" si="140"/>
        <v>2010.26872</v>
      </c>
      <c r="S106" s="40">
        <f>'Tariffs Jan2023'!AN100</f>
        <v>0</v>
      </c>
      <c r="T106" s="40">
        <f>'Tariffs Jan2023'!AO100</f>
        <v>0</v>
      </c>
      <c r="U106" s="40">
        <f>'Tariffs Jan2023'!AP100</f>
        <v>2</v>
      </c>
      <c r="V106" s="40">
        <f>'Tariffs Jan2023'!AQ100</f>
        <v>0</v>
      </c>
      <c r="W106" s="537" t="str">
        <f t="shared" si="136"/>
        <v>Pay-on-time off bill</v>
      </c>
      <c r="X106" s="538" t="str">
        <f t="shared" si="137"/>
        <v>Exclusive</v>
      </c>
      <c r="Y106" s="534">
        <f t="shared" si="143"/>
        <v>1827.517018181818</v>
      </c>
      <c r="Z106" s="535">
        <f t="shared" si="144"/>
        <v>1790.9666778181816</v>
      </c>
      <c r="AA106" s="542">
        <f t="shared" si="135"/>
        <v>2010.26872</v>
      </c>
      <c r="AB106" s="609">
        <f t="shared" si="135"/>
        <v>1970.0633455999998</v>
      </c>
      <c r="AC106" s="604"/>
      <c r="AD106" s="604"/>
      <c r="AE106" s="604"/>
      <c r="AF106" s="604"/>
      <c r="AG106" s="604"/>
      <c r="AH106" s="604"/>
      <c r="AI106" s="604"/>
      <c r="AJ106" s="604"/>
      <c r="AK106" s="604"/>
      <c r="AL106" s="604"/>
      <c r="AM106" s="604"/>
      <c r="AN106" s="604"/>
      <c r="AO106" s="604"/>
      <c r="AP106" s="604"/>
      <c r="AQ106" s="604"/>
      <c r="AR106" s="604"/>
      <c r="AS106" s="604"/>
      <c r="AT106" s="604"/>
    </row>
    <row r="107" spans="1:46" ht="14" x14ac:dyDescent="0.15">
      <c r="A107" s="270" t="str">
        <f>'Tariffs Jan2023'!F101</f>
        <v>1st Energy</v>
      </c>
      <c r="B107" s="40" t="str">
        <f>'Tariffs Jan2023'!D101</f>
        <v>AusNet Services Central 1</v>
      </c>
      <c r="C107" s="40" t="str">
        <f>'Tariffs Jan2023'!G101</f>
        <v>1st Saver Plus</v>
      </c>
      <c r="D107" s="59">
        <f>365*'Tariffs Jan2023'!H101/100</f>
        <v>332.14999999999992</v>
      </c>
      <c r="E107" s="59">
        <f>IF($C$5*'Tariffs Jan2023'!AK101/'Tariffs Jan2023'!AI101&gt;='Tariffs Jan2023'!J101,( 'Tariffs Jan2023'!J101*'Tariffs Jan2023'!O101/100)* 'Tariffs Jan2023'!AI101,($C$5*'Tariffs Jan2023'!AK101/'Tariffs Jan2023'!AI101*'Tariffs Jan2023'!O101/100)* 'Tariffs Jan2023'!AI101)</f>
        <v>647.99999999999989</v>
      </c>
      <c r="F107" s="59">
        <f>IF($C$5*'Tariffs Jan2023'!AK101/'Tariffs Jan2023'!AI101&lt;'Tariffs Jan2023'!J101,0,IF($C$5*'Tariffs Jan2023'!AK101/'Tariffs Jan2023'!AI101&lt;='Tariffs Jan2023'!K101,($C$5*'Tariffs Jan2023'!AK101/'Tariffs Jan2023'!AI101-'Tariffs Jan2023'!J101)*('Tariffs Jan2023'!P101/100)*'Tariffs Jan2023'!AI101,('Tariffs Jan2023'!K101-'Tariffs Jan2023'!J101)*('Tariffs Jan2023'!P101/100)*'Tariffs Jan2023'!AI101))</f>
        <v>432</v>
      </c>
      <c r="G107" s="59">
        <f>IF($C$5*'Tariffs Jan2023'!AK101/'Tariffs Jan2023'!AI101&lt;'Tariffs Jan2023'!K101,0,IF($C$5*'Tariffs Jan2023'!AK101/'Tariffs Jan2023'!AI101&lt;='Tariffs Jan2023'!L101,($C$5*'Tariffs Jan2023'!AK101/'Tariffs Jan2023'!AI101-'Tariffs Jan2023'!K101)*('Tariffs Jan2023'!Q101/100)*'Tariffs Jan2023'!AI101,('Tariffs Jan2023'!L101-'Tariffs Jan2023'!K101)*('Tariffs Jan2023'!Q101/100)*'Tariffs Jan2023'!AI101))</f>
        <v>0</v>
      </c>
      <c r="H107" s="59">
        <f>IF($C$5*'Tariffs Jan2023'!AK101/'Tariffs Jan2023'!AI101&lt;'Tariffs Jan2023'!L101,0,IF($C$5*'Tariffs Jan2023'!AK101/'Tariffs Jan2023'!AI101&lt;='Tariffs Jan2023'!M101,($C$5*'Tariffs Jan2023'!AK101/'Tariffs Jan2023'!AI101-'Tariffs Jan2023'!L101)*('Tariffs Jan2023'!R101/100)*'Tariffs Jan2023'!AI101,('Tariffs Jan2023'!M101-'Tariffs Jan2023'!L101)*('Tariffs Jan2023'!R101/100)*'Tariffs Jan2023'!AI101))</f>
        <v>0</v>
      </c>
      <c r="I107" s="69">
        <f>IF(($C$5*'Tariffs Jan2023'!AK101/'Tariffs Jan2023'!AI101&gt;'Tariffs Jan2023'!M101),($C$5*'Tariffs Jan2023'!AK101/'Tariffs Jan2023'!AI101-'Tariffs Jan2023'!M101)*'Tariffs Jan2023'!S101/100*'Tariffs Jan2023'!AI101,0)</f>
        <v>0</v>
      </c>
      <c r="J107" s="69">
        <f>IF($C$5*'Tariffs Jan2023'!AL101/'Tariffs Jan2023'!AJ101&gt;='Tariffs Jan2023'!J101,('Tariffs Jan2023'!J101*'Tariffs Jan2023'!U101/100)* 'Tariffs Jan2023'!AJ101,($C$5*'Tariffs Jan2023'!AL101/'Tariffs Jan2023'!AJ101*'Tariffs Jan2023'!U101/100)* 'Tariffs Jan2023'!AJ101)</f>
        <v>647.99999999999989</v>
      </c>
      <c r="K107" s="69">
        <f>IF($C$5*'Tariffs Jan2023'!AL101/'Tariffs Jan2023'!AJ101&lt;'Tariffs Jan2023'!J101,0,IF($C$5*'Tariffs Jan2023'!AL101/'Tariffs Jan2023'!AJ101&lt;='Tariffs Jan2023'!K101,($C$5*'Tariffs Jan2023'!AL101/'Tariffs Jan2023'!AJ101-'Tariffs Jan2023'!J101)*('Tariffs Jan2023'!V101/100)*'Tariffs Jan2023'!AJ101,('Tariffs Jan2023'!K101-'Tariffs Jan2023'!J101)*('Tariffs Jan2023'!V101/100)*'Tariffs Jan2023'!AJ101))</f>
        <v>432</v>
      </c>
      <c r="L107" s="69">
        <f>IF($C$5*'Tariffs Jan2023'!AL101/'Tariffs Jan2023'!AJ101&lt;'Tariffs Jan2023'!K101,0,IF($C$5*'Tariffs Jan2023'!AL101/'Tariffs Jan2023'!AJ101&lt;='Tariffs Jan2023'!L101,($C$5*'Tariffs Jan2023'!AL101/'Tariffs Jan2023'!AJ101-'Tariffs Jan2023'!K101)*('Tariffs Jan2023'!W101/100)*'Tariffs Jan2023'!AJ101,('Tariffs Jan2023'!L101-'Tariffs Jan2023'!K101)*('Tariffs Jan2023'!W101/100)*'Tariffs Jan2023'!AJ101))</f>
        <v>0</v>
      </c>
      <c r="M107" s="69">
        <f>IF($C$5*'Tariffs Jan2023'!AL101/'Tariffs Jan2023'!AJ101&lt;'Tariffs Jan2023'!L101,0,IF($C$5*'Tariffs Jan2023'!AL101/'Tariffs Jan2023'!AJ101&lt;='Tariffs Jan2023'!M101,($C$5*'Tariffs Jan2023'!AL101/'Tariffs Jan2023'!AJ101-'Tariffs Jan2023'!L101)*('Tariffs Jan2023'!X101/100)*'Tariffs Jan2023'!AJ101,('Tariffs Jan2023'!M101-'Tariffs Jan2023'!L101)*('Tariffs Jan2023'!X101/100)*'Tariffs Jan2023'!AJ101))</f>
        <v>0</v>
      </c>
      <c r="N107" s="69">
        <f>IF(($C$5*'Tariffs Jan2023'!AL101/'Tariffs Jan2023'!AJ101&gt;'Tariffs Jan2023'!M101),($C$5*'Tariffs Jan2023'!AL101/'Tariffs Jan2023'!AJ101-'Tariffs Jan2023'!M101)*'Tariffs Jan2023'!Y101/100*'Tariffs Jan2023'!AJ101,0)</f>
        <v>0</v>
      </c>
      <c r="O107" s="59">
        <f t="shared" si="138"/>
        <v>2160</v>
      </c>
      <c r="P107" s="503">
        <f t="shared" si="82"/>
        <v>2376</v>
      </c>
      <c r="Q107" s="59">
        <f t="shared" si="139"/>
        <v>2492.15</v>
      </c>
      <c r="R107" s="272">
        <f t="shared" si="140"/>
        <v>2741.3650000000002</v>
      </c>
      <c r="S107" s="40">
        <f>'Tariffs Jan2023'!AN101</f>
        <v>0</v>
      </c>
      <c r="T107" s="40">
        <f>'Tariffs Jan2023'!AO101</f>
        <v>7</v>
      </c>
      <c r="U107" s="40">
        <f>'Tariffs Jan2023'!AP101</f>
        <v>0</v>
      </c>
      <c r="V107" s="40">
        <f>'Tariffs Jan2023'!AQ101</f>
        <v>3</v>
      </c>
      <c r="W107" s="537" t="str">
        <f t="shared" si="136"/>
        <v>Guaranteed off usage</v>
      </c>
      <c r="X107" s="538" t="str">
        <f t="shared" si="137"/>
        <v>Exclusive</v>
      </c>
      <c r="Y107" s="534">
        <f>Q107-(P107*T107)/100</f>
        <v>2325.83</v>
      </c>
      <c r="Z107" s="535">
        <f>Y107-(P107*V107)/100</f>
        <v>2254.5499999999997</v>
      </c>
      <c r="AA107" s="542">
        <f t="shared" si="135"/>
        <v>2558.413</v>
      </c>
      <c r="AB107" s="609">
        <f t="shared" si="135"/>
        <v>2480.0050000000001</v>
      </c>
      <c r="AC107" s="604"/>
      <c r="AD107" s="604"/>
      <c r="AE107" s="604"/>
      <c r="AF107" s="604"/>
      <c r="AG107" s="604"/>
      <c r="AH107" s="604"/>
      <c r="AI107" s="604"/>
      <c r="AJ107" s="604"/>
      <c r="AK107" s="604"/>
      <c r="AL107" s="604"/>
      <c r="AM107" s="604"/>
      <c r="AN107" s="604"/>
      <c r="AO107" s="604"/>
      <c r="AP107" s="604"/>
      <c r="AQ107" s="604"/>
      <c r="AR107" s="604"/>
      <c r="AS107" s="604"/>
      <c r="AT107" s="604"/>
    </row>
    <row r="108" spans="1:46" ht="14" x14ac:dyDescent="0.15">
      <c r="A108" s="270" t="str">
        <f>'Tariffs Jan2023'!F102</f>
        <v>Tango Energy</v>
      </c>
      <c r="B108" s="40" t="str">
        <f>'Tariffs Jan2023'!D102</f>
        <v>AusNet Services Central 1</v>
      </c>
      <c r="C108" s="40" t="str">
        <f>'Tariffs Jan2023'!G102</f>
        <v>Home Select</v>
      </c>
      <c r="D108" s="59">
        <f>365*'Tariffs Jan2023'!H102/100</f>
        <v>423.39999999999992</v>
      </c>
      <c r="E108" s="59">
        <f>IF($C$5*'Tariffs Jan2023'!AK102/'Tariffs Jan2023'!AI102&gt;='Tariffs Jan2023'!J102,( 'Tariffs Jan2023'!J102*'Tariffs Jan2023'!O102/100)* 'Tariffs Jan2023'!AI102,($C$5*'Tariffs Jan2023'!AK102/'Tariffs Jan2023'!AI102*'Tariffs Jan2023'!O102/100)* 'Tariffs Jan2023'!AI102)</f>
        <v>240</v>
      </c>
      <c r="F108" s="59">
        <f>IF($C$5*'Tariffs Jan2023'!AK102/'Tariffs Jan2023'!AI102&lt;'Tariffs Jan2023'!J102,0,IF($C$5*'Tariffs Jan2023'!AK102/'Tariffs Jan2023'!AI102&lt;='Tariffs Jan2023'!K102,($C$5*'Tariffs Jan2023'!AK102/'Tariffs Jan2023'!AI102-'Tariffs Jan2023'!J102)*('Tariffs Jan2023'!P102/100)*'Tariffs Jan2023'!AI102,('Tariffs Jan2023'!K102-'Tariffs Jan2023'!J102)*('Tariffs Jan2023'!P102/100)*'Tariffs Jan2023'!AI102))</f>
        <v>157.87224545454541</v>
      </c>
      <c r="G108" s="59">
        <f>IF($C$5*'Tariffs Jan2023'!AK102/'Tariffs Jan2023'!AI102&lt;'Tariffs Jan2023'!K102,0,IF($C$5*'Tariffs Jan2023'!AK102/'Tariffs Jan2023'!AI102&lt;='Tariffs Jan2023'!L102,($C$5*'Tariffs Jan2023'!AK102/'Tariffs Jan2023'!AI102-'Tariffs Jan2023'!K102)*('Tariffs Jan2023'!Q102/100)*'Tariffs Jan2023'!AI102,('Tariffs Jan2023'!L102-'Tariffs Jan2023'!K102)*('Tariffs Jan2023'!Q102/100)*'Tariffs Jan2023'!AI102))</f>
        <v>0</v>
      </c>
      <c r="H108" s="59">
        <f>IF($C$5*'Tariffs Jan2023'!AK102/'Tariffs Jan2023'!AI102&lt;'Tariffs Jan2023'!L102,0,IF($C$5*'Tariffs Jan2023'!AK102/'Tariffs Jan2023'!AI102&lt;='Tariffs Jan2023'!M102,($C$5*'Tariffs Jan2023'!AK102/'Tariffs Jan2023'!AI102-'Tariffs Jan2023'!L102)*('Tariffs Jan2023'!R102/100)*'Tariffs Jan2023'!AI102,('Tariffs Jan2023'!M102-'Tariffs Jan2023'!L102)*('Tariffs Jan2023'!R102/100)*'Tariffs Jan2023'!AI102))</f>
        <v>0</v>
      </c>
      <c r="I108" s="69">
        <f>IF(($C$5*'Tariffs Jan2023'!AK102/'Tariffs Jan2023'!AI102&gt;'Tariffs Jan2023'!M102),($C$5*'Tariffs Jan2023'!AK102/'Tariffs Jan2023'!AI102-'Tariffs Jan2023'!M102)*'Tariffs Jan2023'!S102/100*'Tariffs Jan2023'!AI102,0)</f>
        <v>0</v>
      </c>
      <c r="J108" s="69">
        <f>IF($C$5*'Tariffs Jan2023'!AL102/'Tariffs Jan2023'!AJ102&gt;='Tariffs Jan2023'!J102,('Tariffs Jan2023'!J102*'Tariffs Jan2023'!U102/100)* 'Tariffs Jan2023'!AJ102,($C$5*'Tariffs Jan2023'!AL102/'Tariffs Jan2023'!AJ102*'Tariffs Jan2023'!U102/100)* 'Tariffs Jan2023'!AJ102)</f>
        <v>364.36363636363632</v>
      </c>
      <c r="K108" s="69">
        <f>IF($C$5*'Tariffs Jan2023'!AL102/'Tariffs Jan2023'!AJ102&lt;'Tariffs Jan2023'!J102,0,IF($C$5*'Tariffs Jan2023'!AL102/'Tariffs Jan2023'!AJ102&lt;='Tariffs Jan2023'!K102,($C$5*'Tariffs Jan2023'!AL102/'Tariffs Jan2023'!AJ102-'Tariffs Jan2023'!J102)*('Tariffs Jan2023'!V102/100)*'Tariffs Jan2023'!AJ102,('Tariffs Jan2023'!K102-'Tariffs Jan2023'!J102)*('Tariffs Jan2023'!V102/100)*'Tariffs Jan2023'!AJ102))</f>
        <v>268.30101818181805</v>
      </c>
      <c r="L108" s="69">
        <f>IF($C$5*'Tariffs Jan2023'!AL102/'Tariffs Jan2023'!AJ102&lt;'Tariffs Jan2023'!K102,0,IF($C$5*'Tariffs Jan2023'!AL102/'Tariffs Jan2023'!AJ102&lt;='Tariffs Jan2023'!L102,($C$5*'Tariffs Jan2023'!AL102/'Tariffs Jan2023'!AJ102-'Tariffs Jan2023'!K102)*('Tariffs Jan2023'!W102/100)*'Tariffs Jan2023'!AJ102,('Tariffs Jan2023'!L102-'Tariffs Jan2023'!K102)*('Tariffs Jan2023'!W102/100)*'Tariffs Jan2023'!AJ102))</f>
        <v>0</v>
      </c>
      <c r="M108" s="69">
        <f>IF($C$5*'Tariffs Jan2023'!AL102/'Tariffs Jan2023'!AJ102&lt;'Tariffs Jan2023'!L102,0,IF($C$5*'Tariffs Jan2023'!AL102/'Tariffs Jan2023'!AJ102&lt;='Tariffs Jan2023'!M102,($C$5*'Tariffs Jan2023'!AL102/'Tariffs Jan2023'!AJ102-'Tariffs Jan2023'!L102)*('Tariffs Jan2023'!X102/100)*'Tariffs Jan2023'!AJ102,('Tariffs Jan2023'!M102-'Tariffs Jan2023'!L102)*('Tariffs Jan2023'!X102/100)*'Tariffs Jan2023'!AJ102))</f>
        <v>0</v>
      </c>
      <c r="N108" s="69">
        <f>IF(($C$5*'Tariffs Jan2023'!AL102/'Tariffs Jan2023'!AJ102&gt;'Tariffs Jan2023'!M102),($C$5*'Tariffs Jan2023'!AL102/'Tariffs Jan2023'!AJ102-'Tariffs Jan2023'!M102)*'Tariffs Jan2023'!Y102/100*'Tariffs Jan2023'!AJ102,0)</f>
        <v>0</v>
      </c>
      <c r="O108" s="59">
        <f t="shared" si="138"/>
        <v>1030.5368999999998</v>
      </c>
      <c r="P108" s="503">
        <f t="shared" si="82"/>
        <v>1133.59059</v>
      </c>
      <c r="Q108" s="59">
        <f t="shared" si="139"/>
        <v>1453.9368999999997</v>
      </c>
      <c r="R108" s="272">
        <f t="shared" si="140"/>
        <v>1599.3305899999998</v>
      </c>
      <c r="S108" s="40">
        <f>'Tariffs Jan2023'!AN102</f>
        <v>0</v>
      </c>
      <c r="T108" s="40">
        <f>'Tariffs Jan2023'!AO102</f>
        <v>0</v>
      </c>
      <c r="U108" s="40">
        <f>'Tariffs Jan2023'!AP102</f>
        <v>0</v>
      </c>
      <c r="V108" s="40">
        <f>'Tariffs Jan2023'!AQ102</f>
        <v>0</v>
      </c>
      <c r="W108" s="537" t="str">
        <f t="shared" si="136"/>
        <v>No discount</v>
      </c>
      <c r="X108" s="538" t="str">
        <f t="shared" si="137"/>
        <v>Exclusive</v>
      </c>
      <c r="Y108" s="534">
        <f t="shared" ref="Y108:Y110" si="145">IF(AND(W108="Guaranteed off bill",X108="Inclusive"),((Q108*1.1)-((Q108*1.1)*S108/100))/1.1,IF(AND(W108="Guaranteed off usage",X108="Inclusive"),((Q108*1.1)-((P108*1.1)*T108/100))/1.1,IF(AND(W108="Guaranteed off bill",X108="Exclusive"),Q108-(Q108*S108/100),IF(AND(W108="Guaranteed off usage",X108="Exclusive"),Q108-(P108*T108/100),IF(X108="Inclusive",((Q108*1.1))/1.1,Q108)))))</f>
        <v>1453.9368999999997</v>
      </c>
      <c r="Z108" s="535">
        <f t="shared" ref="Z108:Z110" si="146">IF(AND(W108="Pay-on-time off bill",X108="Inclusive"),((Y108*1.1)-((Y108*1.1)*U108/100))/1.1,IF(AND(W108="Pay-on-time off usage",X108="Inclusive"),((Y108*1.1)-((P108*1.1)*V108/100))/1.1,IF(AND(W108="Pay-on-time off bill",X108="Exclusive"),Y108-(Y108*U108/100),IF(AND(W108="Pay-on-time off usage",X108="Exclusive"),Y108-(P108*V108/100),IF(X108="Inclusive",((Y108*1.1))/1.1,Y108)))))</f>
        <v>1453.9368999999997</v>
      </c>
      <c r="AA108" s="542">
        <f t="shared" si="135"/>
        <v>1599.3305899999998</v>
      </c>
      <c r="AB108" s="609">
        <f t="shared" si="135"/>
        <v>1599.3305899999998</v>
      </c>
      <c r="AC108" s="604"/>
      <c r="AD108" s="604"/>
      <c r="AE108" s="604"/>
      <c r="AF108" s="604"/>
      <c r="AG108" s="604"/>
      <c r="AH108" s="604"/>
      <c r="AI108" s="604"/>
      <c r="AJ108" s="604"/>
      <c r="AK108" s="604"/>
      <c r="AL108" s="604"/>
      <c r="AM108" s="604"/>
      <c r="AN108" s="604"/>
      <c r="AO108" s="604"/>
      <c r="AP108" s="604"/>
      <c r="AQ108" s="604"/>
      <c r="AR108" s="604"/>
      <c r="AS108" s="604"/>
      <c r="AT108" s="604"/>
    </row>
    <row r="109" spans="1:46" ht="14" x14ac:dyDescent="0.15">
      <c r="A109" s="270" t="str">
        <f>'Tariffs Jan2023'!F103</f>
        <v>Momentum Energy</v>
      </c>
      <c r="B109" s="40" t="str">
        <f>'Tariffs Jan2023'!D103</f>
        <v>AusNet Services Central 1</v>
      </c>
      <c r="C109" s="40" t="str">
        <f>'Tariffs Jan2023'!G103</f>
        <v>Nothing Fancy</v>
      </c>
      <c r="D109" s="59">
        <f>365*'Tariffs Jan2023'!H103/100</f>
        <v>424.8599999999999</v>
      </c>
      <c r="E109" s="59">
        <f>IF($C$5*'Tariffs Jan2023'!AK103/'Tariffs Jan2023'!AI103&gt;='Tariffs Jan2023'!J103,( 'Tariffs Jan2023'!J103*'Tariffs Jan2023'!O103/100)* 'Tariffs Jan2023'!AI103,($C$5*'Tariffs Jan2023'!AK103/'Tariffs Jan2023'!AI103*'Tariffs Jan2023'!O103/100)* 'Tariffs Jan2023'!AI103)</f>
        <v>384</v>
      </c>
      <c r="F109" s="59">
        <f>IF($C$5*'Tariffs Jan2023'!AK103/'Tariffs Jan2023'!AI103&lt;'Tariffs Jan2023'!J103,0,IF($C$5*'Tariffs Jan2023'!AK103/'Tariffs Jan2023'!AI103&lt;='Tariffs Jan2023'!K103,($C$5*'Tariffs Jan2023'!AK103/'Tariffs Jan2023'!AI103-'Tariffs Jan2023'!J103)*('Tariffs Jan2023'!P103/100)*'Tariffs Jan2023'!AI103,('Tariffs Jan2023'!K103-'Tariffs Jan2023'!J103)*('Tariffs Jan2023'!P103/100)*'Tariffs Jan2023'!AI103))</f>
        <v>260.93909999999994</v>
      </c>
      <c r="G109" s="59">
        <f>IF($C$5*'Tariffs Jan2023'!AK103/'Tariffs Jan2023'!AI103&lt;'Tariffs Jan2023'!K103,0,IF($C$5*'Tariffs Jan2023'!AK103/'Tariffs Jan2023'!AI103&lt;='Tariffs Jan2023'!L103,($C$5*'Tariffs Jan2023'!AK103/'Tariffs Jan2023'!AI103-'Tariffs Jan2023'!K103)*('Tariffs Jan2023'!Q103/100)*'Tariffs Jan2023'!AI103,('Tariffs Jan2023'!L103-'Tariffs Jan2023'!K103)*('Tariffs Jan2023'!Q103/100)*'Tariffs Jan2023'!AI103))</f>
        <v>0</v>
      </c>
      <c r="H109" s="59">
        <f>IF($C$5*'Tariffs Jan2023'!AK103/'Tariffs Jan2023'!AI103&lt;'Tariffs Jan2023'!L103,0,IF($C$5*'Tariffs Jan2023'!AK103/'Tariffs Jan2023'!AI103&lt;='Tariffs Jan2023'!M103,($C$5*'Tariffs Jan2023'!AK103/'Tariffs Jan2023'!AI103-'Tariffs Jan2023'!L103)*('Tariffs Jan2023'!R103/100)*'Tariffs Jan2023'!AI103,('Tariffs Jan2023'!M103-'Tariffs Jan2023'!L103)*('Tariffs Jan2023'!R103/100)*'Tariffs Jan2023'!AI103))</f>
        <v>0</v>
      </c>
      <c r="I109" s="69">
        <f>IF(($C$5*'Tariffs Jan2023'!AK103/'Tariffs Jan2023'!AI103&gt;'Tariffs Jan2023'!M103),($C$5*'Tariffs Jan2023'!AK103/'Tariffs Jan2023'!AI103-'Tariffs Jan2023'!M103)*'Tariffs Jan2023'!S103/100*'Tariffs Jan2023'!AI103,0)</f>
        <v>0</v>
      </c>
      <c r="J109" s="69">
        <f>IF($C$5*'Tariffs Jan2023'!AL103/'Tariffs Jan2023'!AJ103&gt;='Tariffs Jan2023'!J103,('Tariffs Jan2023'!J103*'Tariffs Jan2023'!U103/100)* 'Tariffs Jan2023'!AJ103,($C$5*'Tariffs Jan2023'!AL103/'Tariffs Jan2023'!AJ103*'Tariffs Jan2023'!U103/100)* 'Tariffs Jan2023'!AJ103)</f>
        <v>648.00000000000011</v>
      </c>
      <c r="K109" s="69">
        <f>IF($C$5*'Tariffs Jan2023'!AL103/'Tariffs Jan2023'!AJ103&lt;'Tariffs Jan2023'!J103,0,IF($C$5*'Tariffs Jan2023'!AL103/'Tariffs Jan2023'!AJ103&lt;='Tariffs Jan2023'!K103,($C$5*'Tariffs Jan2023'!AL103/'Tariffs Jan2023'!AJ103-'Tariffs Jan2023'!J103)*('Tariffs Jan2023'!V103/100)*'Tariffs Jan2023'!AJ103,('Tariffs Jan2023'!K103-'Tariffs Jan2023'!J103)*('Tariffs Jan2023'!V103/100)*'Tariffs Jan2023'!AJ103))</f>
        <v>467.89079999999979</v>
      </c>
      <c r="L109" s="69">
        <f>IF($C$5*'Tariffs Jan2023'!AL103/'Tariffs Jan2023'!AJ103&lt;'Tariffs Jan2023'!K103,0,IF($C$5*'Tariffs Jan2023'!AL103/'Tariffs Jan2023'!AJ103&lt;='Tariffs Jan2023'!L103,($C$5*'Tariffs Jan2023'!AL103/'Tariffs Jan2023'!AJ103-'Tariffs Jan2023'!K103)*('Tariffs Jan2023'!W103/100)*'Tariffs Jan2023'!AJ103,('Tariffs Jan2023'!L103-'Tariffs Jan2023'!K103)*('Tariffs Jan2023'!W103/100)*'Tariffs Jan2023'!AJ103))</f>
        <v>0</v>
      </c>
      <c r="M109" s="69">
        <f>IF($C$5*'Tariffs Jan2023'!AL103/'Tariffs Jan2023'!AJ103&lt;'Tariffs Jan2023'!L103,0,IF($C$5*'Tariffs Jan2023'!AL103/'Tariffs Jan2023'!AJ103&lt;='Tariffs Jan2023'!M103,($C$5*'Tariffs Jan2023'!AL103/'Tariffs Jan2023'!AJ103-'Tariffs Jan2023'!L103)*('Tariffs Jan2023'!X103/100)*'Tariffs Jan2023'!AJ103,('Tariffs Jan2023'!M103-'Tariffs Jan2023'!L103)*('Tariffs Jan2023'!X103/100)*'Tariffs Jan2023'!AJ103))</f>
        <v>0</v>
      </c>
      <c r="N109" s="69">
        <f>IF(($C$5*'Tariffs Jan2023'!AL103/'Tariffs Jan2023'!AJ103&gt;'Tariffs Jan2023'!M103),($C$5*'Tariffs Jan2023'!AL103/'Tariffs Jan2023'!AJ103-'Tariffs Jan2023'!M103)*'Tariffs Jan2023'!Y103/100*'Tariffs Jan2023'!AJ103,0)</f>
        <v>0</v>
      </c>
      <c r="O109" s="59">
        <f t="shared" ref="O109" si="147">SUM(E109:N109)</f>
        <v>1760.8298999999997</v>
      </c>
      <c r="P109" s="503">
        <f t="shared" ref="P109" si="148">O109*1.1</f>
        <v>1936.9128899999998</v>
      </c>
      <c r="Q109" s="59">
        <f t="shared" ref="Q109" si="149">D109+O109</f>
        <v>2185.6898999999994</v>
      </c>
      <c r="R109" s="272">
        <f t="shared" ref="R109" si="150">Q109*1.1</f>
        <v>2404.2588899999996</v>
      </c>
      <c r="S109" s="40">
        <f>'Tariffs Jan2023'!AN103</f>
        <v>0</v>
      </c>
      <c r="T109" s="40">
        <f>'Tariffs Jan2023'!AO103</f>
        <v>0</v>
      </c>
      <c r="U109" s="40">
        <f>'Tariffs Jan2023'!AP103</f>
        <v>0</v>
      </c>
      <c r="V109" s="40">
        <f>'Tariffs Jan2023'!AQ103</f>
        <v>0</v>
      </c>
      <c r="W109" s="537" t="str">
        <f t="shared" ref="W109" si="151">IF(SUM(S109:V109)=0,"No discount",IF(S109&gt;0,"Guaranteed off bill",IF(T109&gt;0,"Guaranteed off usage",IF(U109&gt;0,"Pay-on-time off bill","Pay-on-time off usage"))))</f>
        <v>No discount</v>
      </c>
      <c r="X109" s="538" t="str">
        <f t="shared" ref="X109" si="152">IF(OR(A109="Origin Energy",A109="Red Energy",A109="Powershop"),"Inclusive","Exclusive")</f>
        <v>Exclusive</v>
      </c>
      <c r="Y109" s="534">
        <f t="shared" ref="Y109" si="153">IF(AND(W109="Guaranteed off bill",X109="Inclusive"),((Q109*1.1)-((Q109*1.1)*S109/100))/1.1,IF(AND(W109="Guaranteed off usage",X109="Inclusive"),((Q109*1.1)-((P109*1.1)*T109/100))/1.1,IF(AND(W109="Guaranteed off bill",X109="Exclusive"),Q109-(Q109*S109/100),IF(AND(W109="Guaranteed off usage",X109="Exclusive"),Q109-(P109*T109/100),IF(X109="Inclusive",((Q109*1.1))/1.1,Q109)))))</f>
        <v>2185.6898999999994</v>
      </c>
      <c r="Z109" s="535">
        <f t="shared" ref="Z109" si="154">IF(AND(W109="Pay-on-time off bill",X109="Inclusive"),((Y109*1.1)-((Y109*1.1)*U109/100))/1.1,IF(AND(W109="Pay-on-time off usage",X109="Inclusive"),((Y109*1.1)-((P109*1.1)*V109/100))/1.1,IF(AND(W109="Pay-on-time off bill",X109="Exclusive"),Y109-(Y109*U109/100),IF(AND(W109="Pay-on-time off usage",X109="Exclusive"),Y109-(P109*V109/100),IF(X109="Inclusive",((Y109*1.1))/1.1,Y109)))))</f>
        <v>2185.6898999999994</v>
      </c>
      <c r="AA109" s="542">
        <f t="shared" ref="AA109" si="155">Y109*1.1</f>
        <v>2404.2588899999996</v>
      </c>
      <c r="AB109" s="609">
        <f t="shared" ref="AB109" si="156">Z109*1.1</f>
        <v>2404.2588899999996</v>
      </c>
      <c r="AC109" s="604"/>
      <c r="AD109" s="604"/>
      <c r="AE109" s="604"/>
      <c r="AF109" s="604"/>
      <c r="AG109" s="604"/>
      <c r="AH109" s="604"/>
      <c r="AI109" s="604"/>
      <c r="AJ109" s="604"/>
      <c r="AK109" s="604"/>
      <c r="AL109" s="604"/>
      <c r="AM109" s="604"/>
      <c r="AN109" s="604"/>
      <c r="AO109" s="604"/>
      <c r="AP109" s="604"/>
      <c r="AQ109" s="604"/>
      <c r="AR109" s="604"/>
      <c r="AS109" s="604"/>
      <c r="AT109" s="604"/>
    </row>
    <row r="110" spans="1:46" ht="15" thickBot="1" x14ac:dyDescent="0.2">
      <c r="A110" s="286" t="str">
        <f>'Tariffs Jan2023'!F104</f>
        <v>Sumo Power</v>
      </c>
      <c r="B110" s="287" t="str">
        <f>'Tariffs Jan2023'!D104</f>
        <v>AusNet Services Central 1</v>
      </c>
      <c r="C110" s="287" t="str">
        <f>'Tariffs Jan2023'!G104</f>
        <v>Lite</v>
      </c>
      <c r="D110" s="288">
        <f>365*'Tariffs Jan2023'!H104/100</f>
        <v>401.49999999999994</v>
      </c>
      <c r="E110" s="288">
        <f>IF($C$5*'Tariffs Jan2023'!AK104/'Tariffs Jan2023'!AI104&gt;='Tariffs Jan2023'!J104,( 'Tariffs Jan2023'!J104*'Tariffs Jan2023'!O104/100)* 'Tariffs Jan2023'!AI104,($C$5*'Tariffs Jan2023'!AK104/'Tariffs Jan2023'!AI104*'Tariffs Jan2023'!O104/100)* 'Tariffs Jan2023'!AI104)</f>
        <v>1112.8886999999997</v>
      </c>
      <c r="F110" s="288">
        <f>IF($C$5*'Tariffs Jan2023'!AK104/'Tariffs Jan2023'!AI104&lt;'Tariffs Jan2023'!J104,0,IF($C$5*'Tariffs Jan2023'!AK104/'Tariffs Jan2023'!AI104&lt;='Tariffs Jan2023'!K104,($C$5*'Tariffs Jan2023'!AK104/'Tariffs Jan2023'!AI104-'Tariffs Jan2023'!J104)*('Tariffs Jan2023'!P104/100)*'Tariffs Jan2023'!AI104,('Tariffs Jan2023'!K104-'Tariffs Jan2023'!J104)*('Tariffs Jan2023'!P104/100)*'Tariffs Jan2023'!AI104))</f>
        <v>0</v>
      </c>
      <c r="G110" s="288">
        <f>IF($C$5*'Tariffs Jan2023'!AK104/'Tariffs Jan2023'!AI104&lt;'Tariffs Jan2023'!K104,0,IF($C$5*'Tariffs Jan2023'!AK104/'Tariffs Jan2023'!AI104&lt;='Tariffs Jan2023'!L104,($C$5*'Tariffs Jan2023'!AK104/'Tariffs Jan2023'!AI104-'Tariffs Jan2023'!K104)*('Tariffs Jan2023'!Q104/100)*'Tariffs Jan2023'!AI104,('Tariffs Jan2023'!L104-'Tariffs Jan2023'!K104)*('Tariffs Jan2023'!Q104/100)*'Tariffs Jan2023'!AI104))</f>
        <v>0</v>
      </c>
      <c r="H110" s="288">
        <f>IF($C$5*'Tariffs Jan2023'!AK104/'Tariffs Jan2023'!AI104&lt;'Tariffs Jan2023'!L104,0,IF($C$5*'Tariffs Jan2023'!AK104/'Tariffs Jan2023'!AI104&lt;='Tariffs Jan2023'!M104,($C$5*'Tariffs Jan2023'!AK104/'Tariffs Jan2023'!AI104-'Tariffs Jan2023'!L104)*('Tariffs Jan2023'!R104/100)*'Tariffs Jan2023'!AI104,('Tariffs Jan2023'!M104-'Tariffs Jan2023'!L104)*('Tariffs Jan2023'!R104/100)*'Tariffs Jan2023'!AI104))</f>
        <v>0</v>
      </c>
      <c r="I110" s="548">
        <f>IF(($C$5*'Tariffs Jan2023'!AK104/'Tariffs Jan2023'!AI104&gt;'Tariffs Jan2023'!M104),($C$5*'Tariffs Jan2023'!AK104/'Tariffs Jan2023'!AI104-'Tariffs Jan2023'!M104)*'Tariffs Jan2023'!S104/100*'Tariffs Jan2023'!AI104,0)</f>
        <v>0</v>
      </c>
      <c r="J110" s="548">
        <f>IF($C$5*'Tariffs Jan2023'!AL104/'Tariffs Jan2023'!AJ104&gt;='Tariffs Jan2023'!J104,('Tariffs Jan2023'!J104*'Tariffs Jan2023'!U104/100)* 'Tariffs Jan2023'!AJ104,($C$5*'Tariffs Jan2023'!AL104/'Tariffs Jan2023'!AJ104*'Tariffs Jan2023'!U104/100)* 'Tariffs Jan2023'!AJ104)</f>
        <v>1679.8319999999999</v>
      </c>
      <c r="K110" s="548">
        <f>IF($C$5*'Tariffs Jan2023'!AL104/'Tariffs Jan2023'!AJ104&lt;'Tariffs Jan2023'!J104,0,IF($C$5*'Tariffs Jan2023'!AL104/'Tariffs Jan2023'!AJ104&lt;='Tariffs Jan2023'!K104,($C$5*'Tariffs Jan2023'!AL104/'Tariffs Jan2023'!AJ104-'Tariffs Jan2023'!J104)*('Tariffs Jan2023'!V104/100)*'Tariffs Jan2023'!AJ104,('Tariffs Jan2023'!K104-'Tariffs Jan2023'!J104)*('Tariffs Jan2023'!V104/100)*'Tariffs Jan2023'!AJ104))</f>
        <v>0</v>
      </c>
      <c r="L110" s="548">
        <f>IF($C$5*'Tariffs Jan2023'!AL104/'Tariffs Jan2023'!AJ104&lt;'Tariffs Jan2023'!K104,0,IF($C$5*'Tariffs Jan2023'!AL104/'Tariffs Jan2023'!AJ104&lt;='Tariffs Jan2023'!L104,($C$5*'Tariffs Jan2023'!AL104/'Tariffs Jan2023'!AJ104-'Tariffs Jan2023'!K104)*('Tariffs Jan2023'!W104/100)*'Tariffs Jan2023'!AJ104,('Tariffs Jan2023'!L104-'Tariffs Jan2023'!K104)*('Tariffs Jan2023'!W104/100)*'Tariffs Jan2023'!AJ104))</f>
        <v>0</v>
      </c>
      <c r="M110" s="548">
        <f>IF($C$5*'Tariffs Jan2023'!AL104/'Tariffs Jan2023'!AJ104&lt;'Tariffs Jan2023'!L104,0,IF($C$5*'Tariffs Jan2023'!AL104/'Tariffs Jan2023'!AJ104&lt;='Tariffs Jan2023'!M104,($C$5*'Tariffs Jan2023'!AL104/'Tariffs Jan2023'!AJ104-'Tariffs Jan2023'!L104)*('Tariffs Jan2023'!X104/100)*'Tariffs Jan2023'!AJ104,('Tariffs Jan2023'!M104-'Tariffs Jan2023'!L104)*('Tariffs Jan2023'!X104/100)*'Tariffs Jan2023'!AJ104))</f>
        <v>0</v>
      </c>
      <c r="N110" s="548">
        <f>IF(($C$5*'Tariffs Jan2023'!AL104/'Tariffs Jan2023'!AJ104&gt;'Tariffs Jan2023'!M104),($C$5*'Tariffs Jan2023'!AL104/'Tariffs Jan2023'!AJ104-'Tariffs Jan2023'!M104)*'Tariffs Jan2023'!Y104/100*'Tariffs Jan2023'!AJ104,0)</f>
        <v>0</v>
      </c>
      <c r="O110" s="288">
        <f t="shared" si="138"/>
        <v>2792.7206999999999</v>
      </c>
      <c r="P110" s="505">
        <f t="shared" si="82"/>
        <v>3071.9927700000003</v>
      </c>
      <c r="Q110" s="288">
        <f t="shared" si="139"/>
        <v>3194.2206999999999</v>
      </c>
      <c r="R110" s="290">
        <f t="shared" si="140"/>
        <v>3513.6427699999999</v>
      </c>
      <c r="S110" s="287">
        <f>'Tariffs Jan2023'!AN104</f>
        <v>0</v>
      </c>
      <c r="T110" s="287">
        <f>'Tariffs Jan2023'!AO104</f>
        <v>0</v>
      </c>
      <c r="U110" s="287">
        <f>'Tariffs Jan2023'!AP104</f>
        <v>0</v>
      </c>
      <c r="V110" s="287">
        <f>'Tariffs Jan2023'!AQ104</f>
        <v>0</v>
      </c>
      <c r="W110" s="586" t="str">
        <f t="shared" si="136"/>
        <v>No discount</v>
      </c>
      <c r="X110" s="587" t="str">
        <f t="shared" si="137"/>
        <v>Exclusive</v>
      </c>
      <c r="Y110" s="588">
        <f t="shared" si="145"/>
        <v>3194.2206999999999</v>
      </c>
      <c r="Z110" s="589">
        <f t="shared" si="146"/>
        <v>3194.2206999999999</v>
      </c>
      <c r="AA110" s="590">
        <f t="shared" si="135"/>
        <v>3513.6427699999999</v>
      </c>
      <c r="AB110" s="611">
        <f t="shared" si="135"/>
        <v>3513.6427699999999</v>
      </c>
      <c r="AC110" s="604"/>
      <c r="AD110" s="604"/>
      <c r="AE110" s="604"/>
      <c r="AF110" s="604"/>
      <c r="AG110" s="604"/>
      <c r="AH110" s="604"/>
      <c r="AI110" s="604"/>
      <c r="AJ110" s="604"/>
      <c r="AK110" s="604"/>
      <c r="AL110" s="604"/>
      <c r="AM110" s="604"/>
      <c r="AN110" s="604"/>
      <c r="AO110" s="604"/>
      <c r="AP110" s="604"/>
      <c r="AQ110" s="604"/>
      <c r="AR110" s="604"/>
      <c r="AS110" s="604"/>
      <c r="AT110" s="604"/>
    </row>
    <row r="111" spans="1:46" x14ac:dyDescent="0.15">
      <c r="A111" s="604"/>
      <c r="B111" s="604"/>
      <c r="C111" s="604"/>
      <c r="D111" s="604"/>
      <c r="E111" s="604"/>
      <c r="F111" s="604"/>
      <c r="G111" s="604"/>
      <c r="H111" s="604"/>
      <c r="I111" s="604"/>
      <c r="J111" s="604"/>
      <c r="K111" s="604"/>
      <c r="L111" s="604"/>
      <c r="M111" s="604"/>
      <c r="N111" s="604"/>
      <c r="O111" s="604"/>
      <c r="P111" s="604"/>
      <c r="Q111" s="604"/>
      <c r="R111" s="604"/>
      <c r="S111" s="604"/>
      <c r="T111" s="604"/>
      <c r="U111" s="604"/>
      <c r="V111" s="604"/>
      <c r="W111" s="604"/>
      <c r="X111" s="604"/>
      <c r="Y111" s="604"/>
      <c r="Z111" s="604"/>
      <c r="AA111" s="604"/>
      <c r="AB111" s="604"/>
      <c r="AC111" s="604"/>
      <c r="AD111" s="604"/>
      <c r="AE111" s="604"/>
      <c r="AF111" s="604"/>
      <c r="AG111" s="604"/>
      <c r="AH111" s="604"/>
      <c r="AI111" s="604"/>
      <c r="AJ111" s="604"/>
      <c r="AK111" s="604"/>
      <c r="AL111" s="604"/>
      <c r="AM111" s="604"/>
      <c r="AN111" s="604"/>
      <c r="AO111" s="604"/>
      <c r="AP111" s="604"/>
      <c r="AQ111" s="604"/>
      <c r="AR111" s="604"/>
      <c r="AS111" s="604"/>
      <c r="AT111" s="604"/>
    </row>
    <row r="112" spans="1:46" x14ac:dyDescent="0.15">
      <c r="A112" s="604"/>
      <c r="B112" s="604"/>
      <c r="C112" s="604"/>
      <c r="D112" s="604"/>
      <c r="E112" s="604"/>
      <c r="F112" s="604"/>
      <c r="G112" s="604"/>
      <c r="H112" s="604"/>
      <c r="I112" s="604"/>
      <c r="J112" s="604"/>
      <c r="K112" s="604"/>
      <c r="L112" s="604"/>
      <c r="M112" s="604"/>
      <c r="N112" s="604"/>
      <c r="O112" s="604"/>
      <c r="P112" s="604"/>
      <c r="Q112" s="604"/>
      <c r="R112" s="604"/>
      <c r="S112" s="604"/>
      <c r="T112" s="604"/>
      <c r="U112" s="604"/>
      <c r="V112" s="604"/>
      <c r="W112" s="604"/>
      <c r="X112" s="604"/>
      <c r="Y112" s="604"/>
      <c r="Z112" s="604"/>
      <c r="AA112" s="604"/>
      <c r="AB112" s="604"/>
      <c r="AC112" s="604"/>
      <c r="AD112" s="604"/>
      <c r="AE112" s="604"/>
      <c r="AF112" s="604"/>
      <c r="AG112" s="604"/>
      <c r="AH112" s="604"/>
      <c r="AI112" s="604"/>
      <c r="AJ112" s="604"/>
      <c r="AK112" s="604"/>
      <c r="AL112" s="604"/>
      <c r="AM112" s="604"/>
      <c r="AN112" s="604"/>
      <c r="AO112" s="604"/>
      <c r="AP112" s="604"/>
      <c r="AQ112" s="604"/>
      <c r="AR112" s="604"/>
      <c r="AS112" s="604"/>
      <c r="AT112" s="604"/>
    </row>
    <row r="113" spans="1:46" x14ac:dyDescent="0.15">
      <c r="A113" s="604"/>
      <c r="B113" s="604"/>
      <c r="C113" s="604"/>
      <c r="D113" s="604"/>
      <c r="E113" s="604"/>
      <c r="F113" s="604"/>
      <c r="G113" s="604"/>
      <c r="H113" s="604"/>
      <c r="I113" s="604"/>
      <c r="J113" s="604"/>
      <c r="K113" s="604"/>
      <c r="L113" s="604"/>
      <c r="M113" s="604"/>
      <c r="N113" s="604"/>
      <c r="O113" s="604"/>
      <c r="P113" s="604"/>
      <c r="Q113" s="604"/>
      <c r="R113" s="604"/>
      <c r="S113" s="604"/>
      <c r="T113" s="604"/>
      <c r="U113" s="604"/>
      <c r="V113" s="604"/>
      <c r="W113" s="604"/>
      <c r="X113" s="604"/>
      <c r="Y113" s="604"/>
      <c r="Z113" s="604"/>
      <c r="AA113" s="604"/>
      <c r="AB113" s="604"/>
      <c r="AC113" s="604"/>
      <c r="AD113" s="604"/>
      <c r="AE113" s="604"/>
      <c r="AF113" s="604"/>
      <c r="AG113" s="604"/>
      <c r="AH113" s="604"/>
      <c r="AI113" s="604"/>
      <c r="AJ113" s="604"/>
      <c r="AK113" s="604"/>
      <c r="AL113" s="604"/>
      <c r="AM113" s="604"/>
      <c r="AN113" s="604"/>
      <c r="AO113" s="604"/>
      <c r="AP113" s="604"/>
      <c r="AQ113" s="604"/>
      <c r="AR113" s="604"/>
      <c r="AS113" s="604"/>
      <c r="AT113" s="604"/>
    </row>
    <row r="114" spans="1:46" x14ac:dyDescent="0.15">
      <c r="A114" s="604"/>
      <c r="B114" s="604"/>
      <c r="C114" s="604"/>
      <c r="D114" s="604"/>
      <c r="E114" s="604"/>
      <c r="F114" s="604"/>
      <c r="G114" s="604"/>
      <c r="H114" s="604"/>
      <c r="I114" s="604"/>
      <c r="J114" s="604"/>
      <c r="K114" s="604"/>
      <c r="L114" s="604"/>
      <c r="M114" s="604"/>
      <c r="N114" s="604"/>
      <c r="O114" s="604"/>
      <c r="P114" s="604"/>
      <c r="Q114" s="604"/>
      <c r="R114" s="604"/>
      <c r="S114" s="604"/>
      <c r="T114" s="604"/>
      <c r="U114" s="604"/>
      <c r="V114" s="604"/>
      <c r="W114" s="604"/>
      <c r="X114" s="604"/>
      <c r="Y114" s="604"/>
      <c r="Z114" s="604"/>
      <c r="AA114" s="604"/>
      <c r="AB114" s="604"/>
      <c r="AC114" s="604"/>
      <c r="AD114" s="604"/>
      <c r="AE114" s="604"/>
      <c r="AF114" s="604"/>
      <c r="AG114" s="604"/>
      <c r="AH114" s="604"/>
      <c r="AI114" s="604"/>
      <c r="AJ114" s="604"/>
      <c r="AK114" s="604"/>
      <c r="AL114" s="604"/>
      <c r="AM114" s="604"/>
      <c r="AN114" s="604"/>
      <c r="AO114" s="604"/>
      <c r="AP114" s="604"/>
      <c r="AQ114" s="604"/>
      <c r="AR114" s="604"/>
      <c r="AS114" s="604"/>
      <c r="AT114" s="604"/>
    </row>
    <row r="115" spans="1:46" x14ac:dyDescent="0.15">
      <c r="A115" s="604"/>
      <c r="B115" s="604"/>
      <c r="C115" s="604"/>
      <c r="D115" s="604"/>
      <c r="E115" s="604"/>
      <c r="F115" s="604"/>
      <c r="G115" s="604"/>
      <c r="H115" s="604"/>
      <c r="I115" s="604"/>
      <c r="J115" s="604"/>
      <c r="K115" s="604"/>
      <c r="L115" s="604"/>
      <c r="M115" s="604"/>
      <c r="N115" s="604"/>
      <c r="O115" s="604"/>
      <c r="P115" s="604"/>
      <c r="Q115" s="604"/>
      <c r="R115" s="604"/>
      <c r="S115" s="604"/>
      <c r="T115" s="604"/>
      <c r="U115" s="604"/>
      <c r="V115" s="604"/>
      <c r="W115" s="604"/>
      <c r="X115" s="604"/>
      <c r="Y115" s="604"/>
      <c r="Z115" s="604"/>
      <c r="AA115" s="604"/>
      <c r="AB115" s="604"/>
      <c r="AC115" s="604"/>
      <c r="AD115" s="604"/>
      <c r="AE115" s="604"/>
      <c r="AF115" s="604"/>
      <c r="AG115" s="604"/>
      <c r="AH115" s="604"/>
      <c r="AI115" s="604"/>
      <c r="AJ115" s="604"/>
      <c r="AK115" s="604"/>
      <c r="AL115" s="604"/>
      <c r="AM115" s="604"/>
      <c r="AN115" s="604"/>
      <c r="AO115" s="604"/>
      <c r="AP115" s="604"/>
      <c r="AQ115" s="604"/>
      <c r="AR115" s="604"/>
      <c r="AS115" s="604"/>
      <c r="AT115" s="604"/>
    </row>
    <row r="116" spans="1:46" x14ac:dyDescent="0.15">
      <c r="A116" s="604"/>
      <c r="B116" s="604"/>
      <c r="C116" s="604"/>
      <c r="D116" s="604"/>
      <c r="E116" s="604"/>
      <c r="F116" s="604"/>
      <c r="G116" s="604"/>
      <c r="H116" s="604"/>
      <c r="I116" s="604"/>
      <c r="J116" s="604"/>
      <c r="K116" s="604"/>
      <c r="L116" s="604"/>
      <c r="M116" s="604"/>
      <c r="N116" s="604"/>
      <c r="O116" s="604"/>
      <c r="P116" s="604"/>
      <c r="Q116" s="604"/>
      <c r="R116" s="604"/>
      <c r="S116" s="604"/>
      <c r="T116" s="604"/>
      <c r="U116" s="604"/>
      <c r="V116" s="604"/>
      <c r="W116" s="604"/>
      <c r="X116" s="604"/>
      <c r="Y116" s="604"/>
      <c r="Z116" s="604"/>
      <c r="AA116" s="604"/>
      <c r="AB116" s="604"/>
      <c r="AC116" s="604"/>
      <c r="AD116" s="604"/>
      <c r="AE116" s="604"/>
      <c r="AF116" s="604"/>
      <c r="AG116" s="604"/>
      <c r="AH116" s="604"/>
      <c r="AI116" s="604"/>
      <c r="AJ116" s="604"/>
      <c r="AK116" s="604"/>
      <c r="AL116" s="604"/>
      <c r="AM116" s="604"/>
      <c r="AN116" s="604"/>
      <c r="AO116" s="604"/>
      <c r="AP116" s="604"/>
      <c r="AQ116" s="604"/>
      <c r="AR116" s="604"/>
      <c r="AS116" s="604"/>
      <c r="AT116" s="604"/>
    </row>
    <row r="117" spans="1:46" x14ac:dyDescent="0.15">
      <c r="A117" s="604"/>
      <c r="B117" s="604"/>
      <c r="C117" s="604"/>
      <c r="D117" s="604"/>
      <c r="E117" s="604"/>
      <c r="F117" s="604"/>
      <c r="G117" s="604"/>
      <c r="H117" s="604"/>
      <c r="I117" s="604"/>
      <c r="J117" s="604"/>
      <c r="K117" s="604"/>
      <c r="L117" s="604"/>
      <c r="M117" s="604"/>
      <c r="N117" s="604"/>
      <c r="O117" s="604"/>
      <c r="P117" s="604"/>
      <c r="Q117" s="604"/>
      <c r="R117" s="604"/>
      <c r="S117" s="604"/>
      <c r="T117" s="604"/>
      <c r="U117" s="604"/>
      <c r="V117" s="604"/>
      <c r="W117" s="604"/>
      <c r="X117" s="604"/>
      <c r="Y117" s="604"/>
      <c r="Z117" s="604"/>
      <c r="AA117" s="604"/>
      <c r="AB117" s="604"/>
      <c r="AC117" s="604"/>
      <c r="AD117" s="604"/>
      <c r="AE117" s="604"/>
      <c r="AF117" s="604"/>
      <c r="AG117" s="604"/>
      <c r="AH117" s="604"/>
      <c r="AI117" s="604"/>
      <c r="AJ117" s="604"/>
      <c r="AK117" s="604"/>
      <c r="AL117" s="604"/>
      <c r="AM117" s="604"/>
      <c r="AN117" s="604"/>
      <c r="AO117" s="604"/>
      <c r="AP117" s="604"/>
      <c r="AQ117" s="604"/>
      <c r="AR117" s="604"/>
      <c r="AS117" s="604"/>
      <c r="AT117" s="604"/>
    </row>
    <row r="118" spans="1:46" x14ac:dyDescent="0.15">
      <c r="A118" s="604"/>
      <c r="B118" s="604"/>
      <c r="C118" s="604"/>
      <c r="D118" s="604"/>
      <c r="E118" s="604"/>
      <c r="F118" s="604"/>
      <c r="G118" s="604"/>
      <c r="H118" s="604"/>
      <c r="I118" s="604"/>
      <c r="J118" s="604"/>
      <c r="K118" s="604"/>
      <c r="L118" s="604"/>
      <c r="M118" s="604"/>
      <c r="N118" s="604"/>
      <c r="O118" s="604"/>
      <c r="P118" s="604"/>
      <c r="Q118" s="604"/>
      <c r="R118" s="604"/>
      <c r="S118" s="604"/>
      <c r="T118" s="604"/>
      <c r="U118" s="604"/>
      <c r="V118" s="604"/>
      <c r="W118" s="604"/>
      <c r="X118" s="604"/>
      <c r="Y118" s="604"/>
      <c r="Z118" s="604"/>
      <c r="AA118" s="604"/>
      <c r="AB118" s="604"/>
      <c r="AC118" s="604"/>
      <c r="AD118" s="604"/>
      <c r="AE118" s="604"/>
      <c r="AF118" s="604"/>
      <c r="AG118" s="604"/>
      <c r="AH118" s="604"/>
      <c r="AI118" s="604"/>
      <c r="AJ118" s="604"/>
      <c r="AK118" s="604"/>
      <c r="AL118" s="604"/>
      <c r="AM118" s="604"/>
      <c r="AN118" s="604"/>
      <c r="AO118" s="604"/>
      <c r="AP118" s="604"/>
      <c r="AQ118" s="604"/>
      <c r="AR118" s="604"/>
      <c r="AS118" s="604"/>
      <c r="AT118" s="604"/>
    </row>
    <row r="119" spans="1:46" x14ac:dyDescent="0.15">
      <c r="A119" s="604"/>
      <c r="B119" s="604"/>
      <c r="C119" s="604"/>
      <c r="D119" s="604"/>
      <c r="E119" s="604"/>
      <c r="F119" s="604"/>
      <c r="G119" s="604"/>
      <c r="H119" s="604"/>
      <c r="I119" s="604"/>
      <c r="J119" s="604"/>
      <c r="K119" s="604"/>
      <c r="L119" s="604"/>
      <c r="M119" s="604"/>
      <c r="N119" s="604"/>
      <c r="O119" s="604"/>
      <c r="P119" s="604"/>
      <c r="Q119" s="604"/>
      <c r="R119" s="604"/>
      <c r="S119" s="604"/>
      <c r="T119" s="604"/>
      <c r="U119" s="604"/>
      <c r="V119" s="604"/>
      <c r="W119" s="604"/>
      <c r="X119" s="604"/>
      <c r="Y119" s="604"/>
      <c r="Z119" s="604"/>
      <c r="AA119" s="604"/>
      <c r="AB119" s="604"/>
      <c r="AC119" s="604"/>
      <c r="AD119" s="604"/>
      <c r="AE119" s="604"/>
      <c r="AF119" s="604"/>
      <c r="AG119" s="604"/>
      <c r="AH119" s="604"/>
      <c r="AI119" s="604"/>
      <c r="AJ119" s="604"/>
      <c r="AK119" s="604"/>
      <c r="AL119" s="604"/>
      <c r="AM119" s="604"/>
      <c r="AN119" s="604"/>
      <c r="AO119" s="604"/>
      <c r="AP119" s="604"/>
      <c r="AQ119" s="604"/>
      <c r="AR119" s="604"/>
      <c r="AS119" s="604"/>
      <c r="AT119" s="604"/>
    </row>
    <row r="120" spans="1:46" x14ac:dyDescent="0.15">
      <c r="A120" s="604"/>
      <c r="B120" s="604"/>
      <c r="C120" s="604"/>
      <c r="D120" s="604"/>
      <c r="E120" s="604"/>
      <c r="F120" s="604"/>
      <c r="G120" s="604"/>
      <c r="H120" s="604"/>
      <c r="I120" s="604"/>
      <c r="J120" s="604"/>
      <c r="K120" s="604"/>
      <c r="L120" s="604"/>
      <c r="M120" s="604"/>
      <c r="N120" s="604"/>
      <c r="O120" s="604"/>
      <c r="P120" s="604"/>
      <c r="Q120" s="604"/>
      <c r="R120" s="604"/>
      <c r="S120" s="604"/>
      <c r="T120" s="604"/>
      <c r="U120" s="604"/>
      <c r="V120" s="604"/>
      <c r="W120" s="604"/>
      <c r="X120" s="604"/>
      <c r="Y120" s="604"/>
      <c r="Z120" s="604"/>
      <c r="AA120" s="604"/>
      <c r="AB120" s="604"/>
      <c r="AC120" s="604"/>
      <c r="AD120" s="604"/>
      <c r="AE120" s="604"/>
      <c r="AF120" s="604"/>
      <c r="AG120" s="604"/>
      <c r="AH120" s="604"/>
      <c r="AI120" s="604"/>
      <c r="AJ120" s="604"/>
      <c r="AK120" s="604"/>
      <c r="AL120" s="604"/>
      <c r="AM120" s="604"/>
      <c r="AN120" s="604"/>
      <c r="AO120" s="604"/>
      <c r="AP120" s="604"/>
      <c r="AQ120" s="604"/>
      <c r="AR120" s="604"/>
      <c r="AS120" s="604"/>
      <c r="AT120" s="604"/>
    </row>
    <row r="121" spans="1:46" x14ac:dyDescent="0.15">
      <c r="A121" s="604"/>
      <c r="B121" s="604"/>
      <c r="C121" s="604"/>
      <c r="D121" s="604"/>
      <c r="E121" s="604"/>
      <c r="F121" s="604"/>
      <c r="G121" s="604"/>
      <c r="H121" s="604"/>
      <c r="I121" s="604"/>
      <c r="J121" s="604"/>
      <c r="K121" s="604"/>
      <c r="L121" s="604"/>
      <c r="M121" s="604"/>
      <c r="N121" s="604"/>
      <c r="O121" s="604"/>
      <c r="P121" s="604"/>
      <c r="Q121" s="604"/>
      <c r="R121" s="604"/>
      <c r="S121" s="604"/>
      <c r="T121" s="604"/>
      <c r="U121" s="604"/>
      <c r="V121" s="604"/>
      <c r="W121" s="604"/>
      <c r="X121" s="604"/>
      <c r="Y121" s="604"/>
      <c r="Z121" s="604"/>
      <c r="AA121" s="604"/>
      <c r="AB121" s="604"/>
      <c r="AC121" s="604"/>
      <c r="AD121" s="604"/>
      <c r="AE121" s="604"/>
      <c r="AF121" s="604"/>
      <c r="AG121" s="604"/>
      <c r="AH121" s="604"/>
      <c r="AI121" s="604"/>
      <c r="AJ121" s="604"/>
      <c r="AK121" s="604"/>
      <c r="AL121" s="604"/>
      <c r="AM121" s="604"/>
      <c r="AN121" s="604"/>
      <c r="AO121" s="604"/>
      <c r="AP121" s="604"/>
      <c r="AQ121" s="604"/>
      <c r="AR121" s="604"/>
      <c r="AS121" s="604"/>
      <c r="AT121" s="604"/>
    </row>
    <row r="122" spans="1:46" x14ac:dyDescent="0.15">
      <c r="A122" s="604"/>
      <c r="B122" s="604"/>
      <c r="C122" s="604"/>
      <c r="D122" s="604"/>
      <c r="E122" s="604"/>
      <c r="F122" s="604"/>
      <c r="G122" s="604"/>
      <c r="H122" s="604"/>
      <c r="I122" s="604"/>
      <c r="J122" s="604"/>
      <c r="K122" s="604"/>
      <c r="L122" s="604"/>
      <c r="M122" s="604"/>
      <c r="N122" s="604"/>
      <c r="O122" s="604"/>
      <c r="P122" s="604"/>
      <c r="Q122" s="604"/>
      <c r="R122" s="604"/>
      <c r="S122" s="604"/>
      <c r="T122" s="604"/>
      <c r="U122" s="604"/>
      <c r="V122" s="604"/>
      <c r="W122" s="604"/>
      <c r="X122" s="604"/>
      <c r="Y122" s="604"/>
      <c r="Z122" s="604"/>
      <c r="AA122" s="604"/>
      <c r="AB122" s="604"/>
      <c r="AC122" s="604"/>
      <c r="AD122" s="604"/>
      <c r="AE122" s="604"/>
      <c r="AF122" s="604"/>
      <c r="AG122" s="604"/>
      <c r="AH122" s="604"/>
      <c r="AI122" s="604"/>
      <c r="AJ122" s="604"/>
      <c r="AK122" s="604"/>
      <c r="AL122" s="604"/>
      <c r="AM122" s="604"/>
      <c r="AN122" s="604"/>
      <c r="AO122" s="604"/>
      <c r="AP122" s="604"/>
      <c r="AQ122" s="604"/>
      <c r="AR122" s="604"/>
      <c r="AS122" s="604"/>
      <c r="AT122" s="604"/>
    </row>
    <row r="123" spans="1:46" x14ac:dyDescent="0.15">
      <c r="A123" s="604"/>
      <c r="B123" s="604"/>
      <c r="C123" s="604"/>
      <c r="D123" s="604"/>
      <c r="E123" s="604"/>
      <c r="F123" s="604"/>
      <c r="G123" s="604"/>
      <c r="H123" s="604"/>
      <c r="I123" s="604"/>
      <c r="J123" s="604"/>
      <c r="K123" s="604"/>
      <c r="L123" s="604"/>
      <c r="M123" s="604"/>
      <c r="N123" s="604"/>
      <c r="O123" s="604"/>
      <c r="P123" s="604"/>
      <c r="Q123" s="604"/>
      <c r="R123" s="604"/>
      <c r="S123" s="604"/>
      <c r="T123" s="604"/>
      <c r="U123" s="604"/>
      <c r="V123" s="604"/>
      <c r="W123" s="604"/>
      <c r="X123" s="604"/>
      <c r="Y123" s="604"/>
      <c r="Z123" s="604"/>
      <c r="AA123" s="604"/>
      <c r="AB123" s="604"/>
      <c r="AC123" s="604"/>
      <c r="AD123" s="604"/>
      <c r="AE123" s="604"/>
      <c r="AF123" s="604"/>
      <c r="AG123" s="604"/>
      <c r="AH123" s="604"/>
      <c r="AI123" s="604"/>
      <c r="AJ123" s="604"/>
      <c r="AK123" s="604"/>
      <c r="AL123" s="604"/>
      <c r="AM123" s="604"/>
      <c r="AN123" s="604"/>
      <c r="AO123" s="604"/>
      <c r="AP123" s="604"/>
      <c r="AQ123" s="604"/>
      <c r="AR123" s="604"/>
      <c r="AS123" s="604"/>
      <c r="AT123" s="604"/>
    </row>
    <row r="124" spans="1:46" x14ac:dyDescent="0.15">
      <c r="A124" s="604"/>
      <c r="B124" s="604"/>
      <c r="C124" s="604"/>
      <c r="D124" s="604"/>
      <c r="E124" s="604"/>
      <c r="F124" s="604"/>
      <c r="G124" s="604"/>
      <c r="H124" s="604"/>
      <c r="I124" s="604"/>
      <c r="J124" s="604"/>
      <c r="K124" s="604"/>
      <c r="L124" s="604"/>
      <c r="M124" s="604"/>
      <c r="N124" s="604"/>
      <c r="O124" s="604"/>
      <c r="P124" s="604"/>
      <c r="Q124" s="604"/>
      <c r="R124" s="604"/>
      <c r="S124" s="604"/>
      <c r="T124" s="604"/>
      <c r="U124" s="604"/>
      <c r="V124" s="604"/>
      <c r="W124" s="604"/>
      <c r="X124" s="604"/>
      <c r="Y124" s="604"/>
      <c r="Z124" s="604"/>
      <c r="AA124" s="604"/>
      <c r="AB124" s="604"/>
      <c r="AC124" s="604"/>
      <c r="AD124" s="604"/>
      <c r="AE124" s="604"/>
      <c r="AF124" s="604"/>
      <c r="AG124" s="604"/>
      <c r="AH124" s="604"/>
      <c r="AI124" s="604"/>
      <c r="AJ124" s="604"/>
      <c r="AK124" s="604"/>
      <c r="AL124" s="604"/>
      <c r="AM124" s="604"/>
      <c r="AN124" s="604"/>
      <c r="AO124" s="604"/>
      <c r="AP124" s="604"/>
      <c r="AQ124" s="604"/>
      <c r="AR124" s="604"/>
      <c r="AS124" s="604"/>
      <c r="AT124" s="604"/>
    </row>
    <row r="125" spans="1:46" x14ac:dyDescent="0.15">
      <c r="A125" s="604"/>
      <c r="B125" s="604"/>
      <c r="C125" s="604"/>
      <c r="D125" s="604"/>
      <c r="E125" s="604"/>
      <c r="F125" s="604"/>
      <c r="G125" s="604"/>
      <c r="H125" s="604"/>
      <c r="I125" s="604"/>
      <c r="J125" s="604"/>
      <c r="K125" s="604"/>
      <c r="L125" s="604"/>
      <c r="M125" s="604"/>
      <c r="N125" s="604"/>
      <c r="O125" s="604"/>
      <c r="P125" s="604"/>
      <c r="Q125" s="604"/>
      <c r="R125" s="604"/>
      <c r="S125" s="604"/>
      <c r="T125" s="604"/>
      <c r="U125" s="604"/>
      <c r="V125" s="604"/>
      <c r="W125" s="604"/>
      <c r="X125" s="604"/>
      <c r="Y125" s="604"/>
      <c r="Z125" s="604"/>
      <c r="AA125" s="604"/>
      <c r="AB125" s="604"/>
      <c r="AC125" s="604"/>
      <c r="AD125" s="604"/>
      <c r="AE125" s="604"/>
      <c r="AF125" s="604"/>
      <c r="AG125" s="604"/>
      <c r="AH125" s="604"/>
      <c r="AI125" s="604"/>
      <c r="AJ125" s="604"/>
      <c r="AK125" s="604"/>
      <c r="AL125" s="604"/>
      <c r="AM125" s="604"/>
      <c r="AN125" s="604"/>
      <c r="AO125" s="604"/>
      <c r="AP125" s="604"/>
      <c r="AQ125" s="604"/>
      <c r="AR125" s="604"/>
      <c r="AS125" s="604"/>
      <c r="AT125" s="604"/>
    </row>
    <row r="126" spans="1:46" x14ac:dyDescent="0.15">
      <c r="A126" s="604"/>
      <c r="B126" s="604"/>
      <c r="C126" s="604"/>
      <c r="D126" s="604"/>
      <c r="E126" s="604"/>
      <c r="F126" s="604"/>
      <c r="G126" s="604"/>
      <c r="H126" s="604"/>
      <c r="I126" s="604"/>
      <c r="J126" s="604"/>
      <c r="K126" s="604"/>
      <c r="L126" s="604"/>
      <c r="M126" s="604"/>
      <c r="N126" s="604"/>
      <c r="O126" s="604"/>
      <c r="P126" s="604"/>
      <c r="Q126" s="604"/>
      <c r="R126" s="604"/>
      <c r="S126" s="604"/>
      <c r="T126" s="604"/>
      <c r="U126" s="604"/>
      <c r="V126" s="604"/>
      <c r="W126" s="604"/>
      <c r="X126" s="604"/>
      <c r="Y126" s="604"/>
      <c r="Z126" s="604"/>
      <c r="AA126" s="604"/>
      <c r="AB126" s="604"/>
      <c r="AC126" s="604"/>
      <c r="AD126" s="604"/>
      <c r="AE126" s="604"/>
      <c r="AF126" s="604"/>
      <c r="AG126" s="604"/>
      <c r="AH126" s="604"/>
      <c r="AI126" s="604"/>
      <c r="AJ126" s="604"/>
      <c r="AK126" s="604"/>
      <c r="AL126" s="604"/>
      <c r="AM126" s="604"/>
      <c r="AN126" s="604"/>
      <c r="AO126" s="604"/>
      <c r="AP126" s="604"/>
      <c r="AQ126" s="604"/>
      <c r="AR126" s="604"/>
      <c r="AS126" s="604"/>
      <c r="AT126" s="604"/>
    </row>
    <row r="127" spans="1:46" x14ac:dyDescent="0.15">
      <c r="A127" s="604"/>
      <c r="B127" s="604"/>
      <c r="C127" s="604"/>
      <c r="D127" s="604"/>
      <c r="E127" s="604"/>
      <c r="F127" s="604"/>
      <c r="G127" s="604"/>
      <c r="H127" s="604"/>
      <c r="I127" s="604"/>
      <c r="J127" s="604"/>
      <c r="K127" s="604"/>
      <c r="L127" s="604"/>
      <c r="M127" s="604"/>
      <c r="N127" s="604"/>
      <c r="O127" s="604"/>
      <c r="P127" s="604"/>
      <c r="Q127" s="604"/>
      <c r="R127" s="604"/>
      <c r="S127" s="604"/>
      <c r="T127" s="604"/>
      <c r="U127" s="604"/>
      <c r="V127" s="604"/>
      <c r="W127" s="604"/>
      <c r="X127" s="604"/>
      <c r="Y127" s="604"/>
      <c r="Z127" s="604"/>
      <c r="AA127" s="604"/>
      <c r="AB127" s="604"/>
      <c r="AC127" s="604"/>
      <c r="AD127" s="604"/>
      <c r="AE127" s="604"/>
      <c r="AF127" s="604"/>
      <c r="AG127" s="604"/>
      <c r="AH127" s="604"/>
      <c r="AI127" s="604"/>
      <c r="AJ127" s="604"/>
      <c r="AK127" s="604"/>
      <c r="AL127" s="604"/>
      <c r="AM127" s="604"/>
      <c r="AN127" s="604"/>
      <c r="AO127" s="604"/>
      <c r="AP127" s="604"/>
      <c r="AQ127" s="604"/>
      <c r="AR127" s="604"/>
      <c r="AS127" s="604"/>
      <c r="AT127" s="604"/>
    </row>
    <row r="128" spans="1:46" x14ac:dyDescent="0.15">
      <c r="A128" s="604"/>
      <c r="B128" s="604"/>
      <c r="C128" s="604"/>
      <c r="D128" s="604"/>
      <c r="E128" s="604"/>
      <c r="F128" s="604"/>
      <c r="G128" s="604"/>
      <c r="H128" s="604"/>
      <c r="I128" s="604"/>
      <c r="J128" s="604"/>
      <c r="K128" s="604"/>
      <c r="L128" s="604"/>
      <c r="M128" s="604"/>
      <c r="N128" s="604"/>
      <c r="O128" s="604"/>
      <c r="P128" s="604"/>
      <c r="Q128" s="604"/>
      <c r="R128" s="604"/>
      <c r="S128" s="604"/>
      <c r="T128" s="604"/>
      <c r="U128" s="604"/>
      <c r="V128" s="604"/>
      <c r="W128" s="604"/>
      <c r="X128" s="604"/>
      <c r="Y128" s="604"/>
      <c r="Z128" s="604"/>
      <c r="AA128" s="604"/>
      <c r="AB128" s="604"/>
      <c r="AC128" s="604"/>
      <c r="AD128" s="604"/>
      <c r="AE128" s="604"/>
      <c r="AF128" s="604"/>
      <c r="AG128" s="604"/>
      <c r="AH128" s="604"/>
      <c r="AI128" s="604"/>
      <c r="AJ128" s="604"/>
      <c r="AK128" s="604"/>
      <c r="AL128" s="604"/>
      <c r="AM128" s="604"/>
      <c r="AN128" s="604"/>
      <c r="AO128" s="604"/>
      <c r="AP128" s="604"/>
      <c r="AQ128" s="604"/>
      <c r="AR128" s="604"/>
      <c r="AS128" s="604"/>
      <c r="AT128" s="604"/>
    </row>
    <row r="129" spans="1:46" x14ac:dyDescent="0.15">
      <c r="A129" s="604"/>
      <c r="B129" s="604"/>
      <c r="C129" s="604"/>
      <c r="D129" s="604"/>
      <c r="E129" s="604"/>
      <c r="F129" s="604"/>
      <c r="G129" s="604"/>
      <c r="H129" s="604"/>
      <c r="I129" s="604"/>
      <c r="J129" s="604"/>
      <c r="K129" s="604"/>
      <c r="L129" s="604"/>
      <c r="M129" s="604"/>
      <c r="N129" s="604"/>
      <c r="O129" s="604"/>
      <c r="P129" s="604"/>
      <c r="Q129" s="604"/>
      <c r="R129" s="604"/>
      <c r="S129" s="604"/>
      <c r="T129" s="604"/>
      <c r="U129" s="604"/>
      <c r="V129" s="604"/>
      <c r="W129" s="604"/>
      <c r="X129" s="604"/>
      <c r="Y129" s="604"/>
      <c r="Z129" s="604"/>
      <c r="AA129" s="604"/>
      <c r="AB129" s="604"/>
      <c r="AC129" s="604"/>
      <c r="AD129" s="604"/>
      <c r="AE129" s="604"/>
      <c r="AF129" s="604"/>
      <c r="AG129" s="604"/>
      <c r="AH129" s="604"/>
      <c r="AI129" s="604"/>
      <c r="AJ129" s="604"/>
      <c r="AK129" s="604"/>
      <c r="AL129" s="604"/>
      <c r="AM129" s="604"/>
      <c r="AN129" s="604"/>
      <c r="AO129" s="604"/>
      <c r="AP129" s="604"/>
      <c r="AQ129" s="604"/>
      <c r="AR129" s="604"/>
      <c r="AS129" s="604"/>
      <c r="AT129" s="604"/>
    </row>
    <row r="130" spans="1:46" x14ac:dyDescent="0.15">
      <c r="A130" s="604"/>
      <c r="B130" s="604"/>
      <c r="C130" s="604"/>
      <c r="D130" s="604"/>
      <c r="E130" s="604"/>
      <c r="F130" s="604"/>
      <c r="G130" s="604"/>
      <c r="H130" s="604"/>
      <c r="I130" s="604"/>
      <c r="J130" s="604"/>
      <c r="K130" s="604"/>
      <c r="L130" s="604"/>
      <c r="M130" s="604"/>
      <c r="N130" s="604"/>
      <c r="O130" s="604"/>
      <c r="P130" s="604"/>
      <c r="Q130" s="604"/>
      <c r="R130" s="604"/>
      <c r="S130" s="604"/>
      <c r="T130" s="604"/>
      <c r="U130" s="604"/>
      <c r="V130" s="604"/>
      <c r="W130" s="604"/>
      <c r="X130" s="604"/>
      <c r="Y130" s="604"/>
      <c r="Z130" s="604"/>
      <c r="AA130" s="604"/>
      <c r="AB130" s="604"/>
      <c r="AC130" s="604"/>
      <c r="AD130" s="604"/>
      <c r="AE130" s="604"/>
      <c r="AF130" s="604"/>
      <c r="AG130" s="604"/>
      <c r="AH130" s="604"/>
      <c r="AI130" s="604"/>
      <c r="AJ130" s="604"/>
      <c r="AK130" s="604"/>
      <c r="AL130" s="604"/>
      <c r="AM130" s="604"/>
      <c r="AN130" s="604"/>
      <c r="AO130" s="604"/>
      <c r="AP130" s="604"/>
      <c r="AQ130" s="604"/>
      <c r="AR130" s="604"/>
      <c r="AS130" s="604"/>
      <c r="AT130" s="604"/>
    </row>
    <row r="131" spans="1:46" x14ac:dyDescent="0.15">
      <c r="A131" s="604"/>
      <c r="B131" s="604"/>
      <c r="C131" s="604"/>
      <c r="D131" s="604"/>
      <c r="E131" s="604"/>
      <c r="F131" s="604"/>
      <c r="G131" s="604"/>
      <c r="H131" s="604"/>
      <c r="I131" s="604"/>
      <c r="J131" s="604"/>
      <c r="K131" s="604"/>
      <c r="L131" s="604"/>
      <c r="M131" s="604"/>
      <c r="N131" s="604"/>
      <c r="O131" s="604"/>
      <c r="P131" s="604"/>
      <c r="Q131" s="604"/>
      <c r="R131" s="604"/>
      <c r="S131" s="604"/>
      <c r="T131" s="604"/>
      <c r="U131" s="604"/>
      <c r="V131" s="604"/>
      <c r="W131" s="604"/>
      <c r="X131" s="604"/>
      <c r="Y131" s="604"/>
      <c r="Z131" s="604"/>
      <c r="AA131" s="604"/>
      <c r="AB131" s="604"/>
      <c r="AC131" s="604"/>
      <c r="AD131" s="604"/>
      <c r="AE131" s="604"/>
      <c r="AF131" s="604"/>
      <c r="AG131" s="604"/>
      <c r="AH131" s="604"/>
      <c r="AI131" s="604"/>
      <c r="AJ131" s="604"/>
      <c r="AK131" s="604"/>
      <c r="AL131" s="604"/>
      <c r="AM131" s="604"/>
      <c r="AN131" s="604"/>
      <c r="AO131" s="604"/>
      <c r="AP131" s="604"/>
      <c r="AQ131" s="604"/>
      <c r="AR131" s="604"/>
      <c r="AS131" s="604"/>
      <c r="AT131" s="604"/>
    </row>
    <row r="132" spans="1:46" x14ac:dyDescent="0.15">
      <c r="A132" s="604"/>
      <c r="B132" s="604"/>
      <c r="C132" s="604"/>
      <c r="D132" s="604"/>
      <c r="E132" s="604"/>
      <c r="F132" s="604"/>
      <c r="G132" s="604"/>
      <c r="H132" s="604"/>
      <c r="I132" s="604"/>
      <c r="J132" s="604"/>
      <c r="K132" s="604"/>
      <c r="L132" s="604"/>
      <c r="M132" s="604"/>
      <c r="N132" s="604"/>
      <c r="O132" s="604"/>
      <c r="P132" s="604"/>
      <c r="Q132" s="604"/>
      <c r="R132" s="604"/>
      <c r="S132" s="604"/>
      <c r="T132" s="604"/>
      <c r="U132" s="604"/>
      <c r="V132" s="604"/>
      <c r="W132" s="604"/>
      <c r="X132" s="604"/>
      <c r="Y132" s="604"/>
      <c r="Z132" s="604"/>
      <c r="AA132" s="604"/>
      <c r="AB132" s="604"/>
      <c r="AC132" s="604"/>
      <c r="AD132" s="604"/>
      <c r="AE132" s="604"/>
      <c r="AF132" s="604"/>
      <c r="AG132" s="604"/>
      <c r="AH132" s="604"/>
      <c r="AI132" s="604"/>
      <c r="AJ132" s="604"/>
      <c r="AK132" s="604"/>
      <c r="AL132" s="604"/>
      <c r="AM132" s="604"/>
      <c r="AN132" s="604"/>
      <c r="AO132" s="604"/>
      <c r="AP132" s="604"/>
      <c r="AQ132" s="604"/>
      <c r="AR132" s="604"/>
      <c r="AS132" s="604"/>
      <c r="AT132" s="604"/>
    </row>
    <row r="133" spans="1:46" x14ac:dyDescent="0.15">
      <c r="A133" s="604"/>
      <c r="B133" s="604"/>
      <c r="C133" s="604"/>
      <c r="D133" s="604"/>
      <c r="E133" s="604"/>
      <c r="F133" s="604"/>
      <c r="G133" s="604"/>
      <c r="H133" s="604"/>
      <c r="I133" s="604"/>
      <c r="J133" s="604"/>
      <c r="K133" s="604"/>
      <c r="L133" s="604"/>
      <c r="M133" s="604"/>
      <c r="N133" s="604"/>
      <c r="O133" s="604"/>
      <c r="P133" s="604"/>
      <c r="Q133" s="604"/>
      <c r="R133" s="604"/>
      <c r="S133" s="604"/>
      <c r="T133" s="604"/>
      <c r="U133" s="604"/>
      <c r="V133" s="604"/>
      <c r="W133" s="604"/>
      <c r="X133" s="604"/>
      <c r="Y133" s="604"/>
      <c r="Z133" s="604"/>
      <c r="AA133" s="604"/>
      <c r="AB133" s="604"/>
      <c r="AC133" s="604"/>
      <c r="AD133" s="604"/>
      <c r="AE133" s="604"/>
      <c r="AF133" s="604"/>
      <c r="AG133" s="604"/>
      <c r="AH133" s="604"/>
      <c r="AI133" s="604"/>
      <c r="AJ133" s="604"/>
      <c r="AK133" s="604"/>
      <c r="AL133" s="604"/>
      <c r="AM133" s="604"/>
      <c r="AN133" s="604"/>
      <c r="AO133" s="604"/>
      <c r="AP133" s="604"/>
      <c r="AQ133" s="604"/>
      <c r="AR133" s="604"/>
      <c r="AS133" s="604"/>
      <c r="AT133" s="604"/>
    </row>
    <row r="134" spans="1:46" x14ac:dyDescent="0.15">
      <c r="A134" s="604"/>
      <c r="B134" s="604"/>
      <c r="C134" s="604"/>
      <c r="D134" s="604"/>
      <c r="E134" s="604"/>
      <c r="F134" s="604"/>
      <c r="G134" s="604"/>
      <c r="H134" s="604"/>
      <c r="I134" s="604"/>
      <c r="J134" s="604"/>
      <c r="K134" s="604"/>
      <c r="L134" s="604"/>
      <c r="M134" s="604"/>
      <c r="N134" s="604"/>
      <c r="O134" s="604"/>
      <c r="P134" s="604"/>
      <c r="Q134" s="604"/>
      <c r="R134" s="604"/>
      <c r="S134" s="604"/>
      <c r="T134" s="604"/>
      <c r="U134" s="604"/>
      <c r="V134" s="604"/>
      <c r="W134" s="604"/>
      <c r="X134" s="604"/>
      <c r="Y134" s="604"/>
      <c r="Z134" s="604"/>
      <c r="AA134" s="604"/>
      <c r="AB134" s="604"/>
      <c r="AC134" s="604"/>
      <c r="AD134" s="604"/>
      <c r="AE134" s="604"/>
      <c r="AF134" s="604"/>
      <c r="AG134" s="604"/>
      <c r="AH134" s="604"/>
      <c r="AI134" s="604"/>
      <c r="AJ134" s="604"/>
      <c r="AK134" s="604"/>
      <c r="AL134" s="604"/>
      <c r="AM134" s="604"/>
      <c r="AN134" s="604"/>
      <c r="AO134" s="604"/>
      <c r="AP134" s="604"/>
      <c r="AQ134" s="604"/>
      <c r="AR134" s="604"/>
      <c r="AS134" s="604"/>
      <c r="AT134" s="604"/>
    </row>
    <row r="135" spans="1:46" x14ac:dyDescent="0.15">
      <c r="A135" s="604"/>
      <c r="B135" s="604"/>
      <c r="C135" s="604"/>
      <c r="D135" s="604"/>
      <c r="E135" s="604"/>
      <c r="F135" s="604"/>
      <c r="G135" s="604"/>
      <c r="H135" s="604"/>
      <c r="I135" s="604"/>
      <c r="J135" s="604"/>
      <c r="K135" s="604"/>
      <c r="L135" s="604"/>
      <c r="M135" s="604"/>
      <c r="N135" s="604"/>
      <c r="O135" s="604"/>
      <c r="P135" s="604"/>
      <c r="Q135" s="604"/>
      <c r="R135" s="604"/>
      <c r="S135" s="604"/>
      <c r="T135" s="604"/>
      <c r="U135" s="604"/>
      <c r="V135" s="604"/>
      <c r="W135" s="604"/>
      <c r="X135" s="604"/>
      <c r="Y135" s="604"/>
      <c r="Z135" s="604"/>
      <c r="AA135" s="604"/>
      <c r="AB135" s="604"/>
      <c r="AC135" s="604"/>
      <c r="AD135" s="604"/>
      <c r="AE135" s="604"/>
      <c r="AF135" s="604"/>
      <c r="AG135" s="604"/>
      <c r="AH135" s="604"/>
      <c r="AI135" s="604"/>
      <c r="AJ135" s="604"/>
      <c r="AK135" s="604"/>
      <c r="AL135" s="604"/>
      <c r="AM135" s="604"/>
      <c r="AN135" s="604"/>
      <c r="AO135" s="604"/>
      <c r="AP135" s="604"/>
      <c r="AQ135" s="604"/>
      <c r="AR135" s="604"/>
      <c r="AS135" s="604"/>
      <c r="AT135" s="604"/>
    </row>
    <row r="136" spans="1:46" x14ac:dyDescent="0.15">
      <c r="A136" s="604"/>
      <c r="B136" s="604"/>
      <c r="C136" s="604"/>
      <c r="D136" s="604"/>
      <c r="E136" s="604"/>
      <c r="F136" s="604"/>
      <c r="G136" s="604"/>
      <c r="H136" s="604"/>
      <c r="I136" s="604"/>
      <c r="J136" s="604"/>
      <c r="K136" s="604"/>
      <c r="L136" s="604"/>
      <c r="M136" s="604"/>
      <c r="N136" s="604"/>
      <c r="O136" s="604"/>
      <c r="P136" s="604"/>
      <c r="Q136" s="604"/>
      <c r="R136" s="604"/>
      <c r="S136" s="604"/>
      <c r="T136" s="604"/>
      <c r="U136" s="604"/>
      <c r="V136" s="604"/>
      <c r="W136" s="604"/>
      <c r="X136" s="604"/>
      <c r="Y136" s="604"/>
      <c r="Z136" s="604"/>
      <c r="AA136" s="604"/>
      <c r="AB136" s="604"/>
      <c r="AC136" s="604"/>
      <c r="AD136" s="604"/>
      <c r="AE136" s="604"/>
      <c r="AF136" s="604"/>
      <c r="AG136" s="604"/>
      <c r="AH136" s="604"/>
      <c r="AI136" s="604"/>
      <c r="AJ136" s="604"/>
      <c r="AK136" s="604"/>
      <c r="AL136" s="604"/>
      <c r="AM136" s="604"/>
      <c r="AN136" s="604"/>
      <c r="AO136" s="604"/>
      <c r="AP136" s="604"/>
      <c r="AQ136" s="604"/>
      <c r="AR136" s="604"/>
      <c r="AS136" s="604"/>
      <c r="AT136" s="604"/>
    </row>
    <row r="137" spans="1:46" x14ac:dyDescent="0.15">
      <c r="A137" s="604"/>
      <c r="B137" s="604"/>
      <c r="C137" s="604"/>
      <c r="D137" s="604"/>
      <c r="E137" s="604"/>
      <c r="F137" s="604"/>
      <c r="G137" s="604"/>
      <c r="H137" s="604"/>
      <c r="I137" s="604"/>
      <c r="J137" s="604"/>
      <c r="K137" s="604"/>
      <c r="L137" s="604"/>
      <c r="M137" s="604"/>
      <c r="N137" s="604"/>
      <c r="O137" s="604"/>
      <c r="P137" s="604"/>
      <c r="Q137" s="604"/>
      <c r="R137" s="604"/>
      <c r="S137" s="604"/>
      <c r="T137" s="604"/>
      <c r="U137" s="604"/>
      <c r="V137" s="604"/>
      <c r="W137" s="604"/>
      <c r="X137" s="604"/>
      <c r="Y137" s="604"/>
      <c r="Z137" s="604"/>
      <c r="AA137" s="604"/>
      <c r="AB137" s="604"/>
      <c r="AC137" s="604"/>
      <c r="AD137" s="604"/>
      <c r="AE137" s="604"/>
      <c r="AF137" s="604"/>
      <c r="AG137" s="604"/>
      <c r="AH137" s="604"/>
      <c r="AI137" s="604"/>
      <c r="AJ137" s="604"/>
      <c r="AK137" s="604"/>
      <c r="AL137" s="604"/>
      <c r="AM137" s="604"/>
      <c r="AN137" s="604"/>
      <c r="AO137" s="604"/>
      <c r="AP137" s="604"/>
      <c r="AQ137" s="604"/>
      <c r="AR137" s="604"/>
      <c r="AS137" s="604"/>
      <c r="AT137" s="604"/>
    </row>
    <row r="138" spans="1:46" x14ac:dyDescent="0.15">
      <c r="A138" s="604"/>
      <c r="B138" s="604"/>
      <c r="C138" s="604"/>
      <c r="D138" s="604"/>
      <c r="E138" s="604"/>
      <c r="F138" s="604"/>
      <c r="G138" s="604"/>
      <c r="H138" s="604"/>
      <c r="I138" s="604"/>
      <c r="J138" s="604"/>
      <c r="K138" s="604"/>
      <c r="L138" s="604"/>
      <c r="M138" s="604"/>
      <c r="N138" s="604"/>
      <c r="O138" s="604"/>
      <c r="P138" s="604"/>
      <c r="Q138" s="604"/>
      <c r="R138" s="604"/>
      <c r="S138" s="604"/>
      <c r="T138" s="604"/>
      <c r="U138" s="604"/>
      <c r="V138" s="604"/>
      <c r="W138" s="604"/>
      <c r="X138" s="604"/>
      <c r="Y138" s="604"/>
      <c r="Z138" s="604"/>
      <c r="AA138" s="604"/>
      <c r="AB138" s="604"/>
      <c r="AC138" s="604"/>
      <c r="AD138" s="604"/>
      <c r="AE138" s="604"/>
      <c r="AF138" s="604"/>
      <c r="AG138" s="604"/>
      <c r="AH138" s="604"/>
      <c r="AI138" s="604"/>
      <c r="AJ138" s="604"/>
      <c r="AK138" s="604"/>
      <c r="AL138" s="604"/>
      <c r="AM138" s="604"/>
      <c r="AN138" s="604"/>
      <c r="AO138" s="604"/>
      <c r="AP138" s="604"/>
      <c r="AQ138" s="604"/>
      <c r="AR138" s="604"/>
      <c r="AS138" s="604"/>
      <c r="AT138" s="604"/>
    </row>
    <row r="139" spans="1:46" x14ac:dyDescent="0.15">
      <c r="A139" s="604"/>
      <c r="B139" s="604"/>
      <c r="C139" s="604"/>
      <c r="D139" s="604"/>
      <c r="E139" s="604"/>
      <c r="F139" s="604"/>
      <c r="G139" s="604"/>
      <c r="H139" s="604"/>
      <c r="I139" s="604"/>
      <c r="J139" s="604"/>
      <c r="K139" s="604"/>
      <c r="L139" s="604"/>
      <c r="M139" s="604"/>
      <c r="N139" s="604"/>
      <c r="O139" s="604"/>
      <c r="P139" s="604"/>
      <c r="Q139" s="604"/>
      <c r="R139" s="604"/>
      <c r="S139" s="604"/>
      <c r="T139" s="604"/>
      <c r="U139" s="604"/>
      <c r="V139" s="604"/>
      <c r="W139" s="604"/>
      <c r="X139" s="604"/>
      <c r="Y139" s="604"/>
      <c r="Z139" s="604"/>
      <c r="AA139" s="604"/>
      <c r="AB139" s="604"/>
      <c r="AC139" s="604"/>
      <c r="AD139" s="604"/>
      <c r="AE139" s="604"/>
      <c r="AF139" s="604"/>
      <c r="AG139" s="604"/>
      <c r="AH139" s="604"/>
      <c r="AI139" s="604"/>
      <c r="AJ139" s="604"/>
      <c r="AK139" s="604"/>
      <c r="AL139" s="604"/>
      <c r="AM139" s="604"/>
      <c r="AN139" s="604"/>
      <c r="AO139" s="604"/>
      <c r="AP139" s="604"/>
      <c r="AQ139" s="604"/>
      <c r="AR139" s="604"/>
      <c r="AS139" s="604"/>
      <c r="AT139" s="604"/>
    </row>
    <row r="140" spans="1:46" x14ac:dyDescent="0.15">
      <c r="A140" s="604"/>
      <c r="B140" s="604"/>
      <c r="C140" s="604"/>
      <c r="D140" s="604"/>
      <c r="E140" s="604"/>
      <c r="F140" s="604"/>
      <c r="G140" s="604"/>
      <c r="H140" s="604"/>
      <c r="I140" s="604"/>
      <c r="J140" s="604"/>
      <c r="K140" s="604"/>
      <c r="L140" s="604"/>
      <c r="M140" s="604"/>
      <c r="N140" s="604"/>
      <c r="O140" s="604"/>
      <c r="P140" s="604"/>
      <c r="Q140" s="604"/>
      <c r="R140" s="604"/>
      <c r="S140" s="604"/>
      <c r="T140" s="604"/>
      <c r="U140" s="604"/>
      <c r="V140" s="604"/>
      <c r="W140" s="604"/>
      <c r="X140" s="604"/>
      <c r="Y140" s="604"/>
      <c r="Z140" s="604"/>
      <c r="AA140" s="604"/>
      <c r="AB140" s="604"/>
      <c r="AC140" s="604"/>
      <c r="AD140" s="604"/>
      <c r="AE140" s="604"/>
      <c r="AF140" s="604"/>
      <c r="AG140" s="604"/>
      <c r="AH140" s="604"/>
      <c r="AI140" s="604"/>
      <c r="AJ140" s="604"/>
      <c r="AK140" s="604"/>
      <c r="AL140" s="604"/>
      <c r="AM140" s="604"/>
      <c r="AN140" s="604"/>
      <c r="AO140" s="604"/>
      <c r="AP140" s="604"/>
      <c r="AQ140" s="604"/>
      <c r="AR140" s="604"/>
      <c r="AS140" s="604"/>
      <c r="AT140" s="604"/>
    </row>
    <row r="141" spans="1:46" x14ac:dyDescent="0.15">
      <c r="A141" s="604"/>
      <c r="B141" s="604"/>
      <c r="C141" s="604"/>
      <c r="D141" s="604"/>
      <c r="E141" s="604"/>
      <c r="F141" s="604"/>
      <c r="G141" s="604"/>
      <c r="H141" s="604"/>
      <c r="I141" s="604"/>
      <c r="J141" s="604"/>
      <c r="K141" s="604"/>
      <c r="L141" s="604"/>
      <c r="M141" s="604"/>
      <c r="N141" s="604"/>
      <c r="O141" s="604"/>
      <c r="P141" s="604"/>
      <c r="Q141" s="604"/>
      <c r="R141" s="604"/>
      <c r="S141" s="604"/>
      <c r="T141" s="604"/>
      <c r="U141" s="604"/>
      <c r="V141" s="604"/>
      <c r="W141" s="604"/>
      <c r="X141" s="604"/>
      <c r="Y141" s="604"/>
      <c r="Z141" s="604"/>
      <c r="AA141" s="604"/>
      <c r="AB141" s="604"/>
      <c r="AC141" s="604"/>
      <c r="AD141" s="604"/>
      <c r="AE141" s="604"/>
      <c r="AF141" s="604"/>
      <c r="AG141" s="604"/>
      <c r="AH141" s="604"/>
      <c r="AI141" s="604"/>
      <c r="AJ141" s="604"/>
      <c r="AK141" s="604"/>
      <c r="AL141" s="604"/>
      <c r="AM141" s="604"/>
      <c r="AN141" s="604"/>
      <c r="AO141" s="604"/>
      <c r="AP141" s="604"/>
      <c r="AQ141" s="604"/>
      <c r="AR141" s="604"/>
      <c r="AS141" s="604"/>
      <c r="AT141" s="604"/>
    </row>
    <row r="142" spans="1:46" x14ac:dyDescent="0.15">
      <c r="A142" s="604"/>
      <c r="B142" s="604"/>
      <c r="C142" s="604"/>
      <c r="D142" s="604"/>
      <c r="E142" s="604"/>
      <c r="F142" s="604"/>
      <c r="G142" s="604"/>
      <c r="H142" s="604"/>
      <c r="I142" s="604"/>
      <c r="J142" s="604"/>
      <c r="K142" s="604"/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4"/>
      <c r="Y142" s="604"/>
      <c r="Z142" s="604"/>
      <c r="AA142" s="604"/>
      <c r="AB142" s="604"/>
      <c r="AC142" s="604"/>
      <c r="AD142" s="604"/>
      <c r="AE142" s="604"/>
      <c r="AF142" s="604"/>
      <c r="AG142" s="604"/>
      <c r="AH142" s="604"/>
      <c r="AI142" s="604"/>
      <c r="AJ142" s="604"/>
      <c r="AK142" s="604"/>
      <c r="AL142" s="604"/>
      <c r="AM142" s="604"/>
      <c r="AN142" s="604"/>
      <c r="AO142" s="604"/>
      <c r="AP142" s="604"/>
      <c r="AQ142" s="604"/>
      <c r="AR142" s="604"/>
      <c r="AS142" s="604"/>
      <c r="AT142" s="604"/>
    </row>
    <row r="143" spans="1:46" x14ac:dyDescent="0.15">
      <c r="A143" s="604"/>
      <c r="B143" s="604"/>
      <c r="C143" s="604"/>
      <c r="D143" s="604"/>
      <c r="E143" s="604"/>
      <c r="F143" s="604"/>
      <c r="G143" s="604"/>
      <c r="H143" s="604"/>
      <c r="I143" s="604"/>
      <c r="J143" s="604"/>
      <c r="K143" s="604"/>
      <c r="L143" s="604"/>
      <c r="M143" s="604"/>
      <c r="N143" s="604"/>
      <c r="O143" s="604"/>
      <c r="P143" s="604"/>
      <c r="Q143" s="604"/>
      <c r="R143" s="604"/>
      <c r="S143" s="604"/>
      <c r="T143" s="604"/>
      <c r="U143" s="604"/>
      <c r="V143" s="604"/>
      <c r="W143" s="604"/>
      <c r="X143" s="604"/>
      <c r="Y143" s="604"/>
      <c r="Z143" s="604"/>
      <c r="AA143" s="604"/>
      <c r="AB143" s="604"/>
      <c r="AC143" s="604"/>
      <c r="AD143" s="604"/>
      <c r="AE143" s="604"/>
      <c r="AF143" s="604"/>
      <c r="AG143" s="604"/>
      <c r="AH143" s="604"/>
      <c r="AI143" s="604"/>
      <c r="AJ143" s="604"/>
      <c r="AK143" s="604"/>
      <c r="AL143" s="604"/>
      <c r="AM143" s="604"/>
      <c r="AN143" s="604"/>
      <c r="AO143" s="604"/>
      <c r="AP143" s="604"/>
      <c r="AQ143" s="604"/>
      <c r="AR143" s="604"/>
      <c r="AS143" s="604"/>
      <c r="AT143" s="604"/>
    </row>
    <row r="144" spans="1:46" x14ac:dyDescent="0.15">
      <c r="A144" s="604"/>
      <c r="B144" s="604"/>
      <c r="C144" s="604"/>
      <c r="D144" s="604"/>
      <c r="E144" s="604"/>
      <c r="F144" s="604"/>
      <c r="G144" s="604"/>
      <c r="H144" s="604"/>
      <c r="I144" s="604"/>
      <c r="J144" s="604"/>
      <c r="K144" s="604"/>
      <c r="L144" s="604"/>
      <c r="M144" s="604"/>
      <c r="N144" s="604"/>
      <c r="O144" s="604"/>
      <c r="P144" s="604"/>
      <c r="Q144" s="604"/>
      <c r="R144" s="604"/>
      <c r="S144" s="604"/>
      <c r="T144" s="604"/>
      <c r="U144" s="604"/>
      <c r="V144" s="604"/>
      <c r="W144" s="604"/>
      <c r="X144" s="604"/>
      <c r="Y144" s="604"/>
      <c r="Z144" s="604"/>
      <c r="AA144" s="604"/>
      <c r="AB144" s="604"/>
      <c r="AC144" s="604"/>
      <c r="AD144" s="604"/>
      <c r="AE144" s="604"/>
      <c r="AF144" s="604"/>
      <c r="AG144" s="604"/>
      <c r="AH144" s="604"/>
      <c r="AI144" s="604"/>
      <c r="AJ144" s="604"/>
      <c r="AK144" s="604"/>
      <c r="AL144" s="604"/>
      <c r="AM144" s="604"/>
      <c r="AN144" s="604"/>
      <c r="AO144" s="604"/>
      <c r="AP144" s="604"/>
      <c r="AQ144" s="604"/>
      <c r="AR144" s="604"/>
      <c r="AS144" s="604"/>
      <c r="AT144" s="604"/>
    </row>
    <row r="145" spans="1:46" x14ac:dyDescent="0.15">
      <c r="A145" s="604"/>
      <c r="B145" s="604"/>
      <c r="C145" s="604"/>
      <c r="D145" s="604"/>
      <c r="E145" s="604"/>
      <c r="F145" s="604"/>
      <c r="G145" s="604"/>
      <c r="H145" s="604"/>
      <c r="I145" s="604"/>
      <c r="J145" s="604"/>
      <c r="K145" s="604"/>
      <c r="L145" s="604"/>
      <c r="M145" s="604"/>
      <c r="N145" s="604"/>
      <c r="O145" s="604"/>
      <c r="P145" s="604"/>
      <c r="Q145" s="604"/>
      <c r="R145" s="604"/>
      <c r="S145" s="604"/>
      <c r="T145" s="604"/>
      <c r="U145" s="604"/>
      <c r="V145" s="604"/>
      <c r="W145" s="604"/>
      <c r="X145" s="604"/>
      <c r="Y145" s="604"/>
      <c r="Z145" s="604"/>
      <c r="AA145" s="604"/>
      <c r="AB145" s="604"/>
      <c r="AC145" s="604"/>
      <c r="AD145" s="604"/>
      <c r="AE145" s="604"/>
      <c r="AF145" s="604"/>
      <c r="AG145" s="604"/>
      <c r="AH145" s="604"/>
      <c r="AI145" s="604"/>
      <c r="AJ145" s="604"/>
      <c r="AK145" s="604"/>
      <c r="AL145" s="604"/>
      <c r="AM145" s="604"/>
      <c r="AN145" s="604"/>
      <c r="AO145" s="604"/>
      <c r="AP145" s="604"/>
      <c r="AQ145" s="604"/>
      <c r="AR145" s="604"/>
      <c r="AS145" s="604"/>
      <c r="AT145" s="604"/>
    </row>
    <row r="146" spans="1:46" x14ac:dyDescent="0.15">
      <c r="A146" s="604"/>
      <c r="B146" s="604"/>
      <c r="C146" s="604"/>
      <c r="D146" s="604"/>
      <c r="E146" s="604"/>
      <c r="F146" s="604"/>
      <c r="G146" s="604"/>
      <c r="H146" s="604"/>
      <c r="I146" s="604"/>
      <c r="J146" s="604"/>
      <c r="K146" s="604"/>
      <c r="L146" s="604"/>
      <c r="M146" s="604"/>
      <c r="N146" s="604"/>
      <c r="O146" s="604"/>
      <c r="P146" s="604"/>
      <c r="Q146" s="604"/>
      <c r="R146" s="604"/>
      <c r="S146" s="604"/>
      <c r="T146" s="604"/>
      <c r="U146" s="604"/>
      <c r="V146" s="604"/>
      <c r="W146" s="604"/>
      <c r="X146" s="604"/>
      <c r="Y146" s="604"/>
      <c r="Z146" s="604"/>
      <c r="AA146" s="604"/>
      <c r="AB146" s="604"/>
      <c r="AC146" s="604"/>
      <c r="AD146" s="604"/>
      <c r="AE146" s="604"/>
      <c r="AF146" s="604"/>
      <c r="AG146" s="604"/>
      <c r="AH146" s="604"/>
      <c r="AI146" s="604"/>
      <c r="AJ146" s="604"/>
      <c r="AK146" s="604"/>
      <c r="AL146" s="604"/>
      <c r="AM146" s="604"/>
      <c r="AN146" s="604"/>
      <c r="AO146" s="604"/>
      <c r="AP146" s="604"/>
      <c r="AQ146" s="604"/>
      <c r="AR146" s="604"/>
      <c r="AS146" s="604"/>
      <c r="AT146" s="604"/>
    </row>
    <row r="147" spans="1:46" x14ac:dyDescent="0.15">
      <c r="A147" s="604"/>
      <c r="B147" s="604"/>
      <c r="C147" s="604"/>
      <c r="D147" s="604"/>
      <c r="E147" s="604"/>
      <c r="F147" s="604"/>
      <c r="G147" s="604"/>
      <c r="H147" s="604"/>
      <c r="I147" s="604"/>
      <c r="J147" s="604"/>
      <c r="K147" s="604"/>
      <c r="L147" s="604"/>
      <c r="M147" s="604"/>
      <c r="N147" s="604"/>
      <c r="O147" s="604"/>
      <c r="P147" s="604"/>
      <c r="Q147" s="604"/>
      <c r="R147" s="604"/>
      <c r="S147" s="604"/>
      <c r="T147" s="604"/>
      <c r="U147" s="604"/>
      <c r="V147" s="604"/>
      <c r="W147" s="604"/>
      <c r="X147" s="604"/>
      <c r="Y147" s="604"/>
      <c r="Z147" s="604"/>
      <c r="AA147" s="604"/>
      <c r="AB147" s="604"/>
      <c r="AC147" s="604"/>
      <c r="AD147" s="604"/>
      <c r="AE147" s="604"/>
      <c r="AF147" s="604"/>
      <c r="AG147" s="604"/>
      <c r="AH147" s="604"/>
      <c r="AI147" s="604"/>
      <c r="AJ147" s="604"/>
      <c r="AK147" s="604"/>
      <c r="AL147" s="604"/>
      <c r="AM147" s="604"/>
      <c r="AN147" s="604"/>
      <c r="AO147" s="604"/>
      <c r="AP147" s="604"/>
      <c r="AQ147" s="604"/>
      <c r="AR147" s="604"/>
      <c r="AS147" s="604"/>
      <c r="AT147" s="604"/>
    </row>
    <row r="148" spans="1:46" x14ac:dyDescent="0.15">
      <c r="A148" s="604"/>
      <c r="B148" s="604"/>
      <c r="C148" s="604"/>
      <c r="D148" s="604"/>
      <c r="E148" s="604"/>
      <c r="F148" s="604"/>
      <c r="G148" s="604"/>
      <c r="H148" s="604"/>
      <c r="I148" s="604"/>
      <c r="J148" s="604"/>
      <c r="K148" s="604"/>
      <c r="L148" s="604"/>
      <c r="M148" s="604"/>
      <c r="N148" s="604"/>
      <c r="O148" s="604"/>
      <c r="P148" s="604"/>
      <c r="Q148" s="604"/>
      <c r="R148" s="604"/>
      <c r="S148" s="604"/>
      <c r="T148" s="604"/>
      <c r="U148" s="604"/>
      <c r="V148" s="604"/>
      <c r="W148" s="604"/>
      <c r="X148" s="604"/>
      <c r="Y148" s="604"/>
      <c r="Z148" s="604"/>
      <c r="AA148" s="604"/>
      <c r="AB148" s="604"/>
      <c r="AC148" s="604"/>
      <c r="AD148" s="604"/>
      <c r="AE148" s="604"/>
      <c r="AF148" s="604"/>
      <c r="AG148" s="604"/>
      <c r="AH148" s="604"/>
      <c r="AI148" s="604"/>
      <c r="AJ148" s="604"/>
      <c r="AK148" s="604"/>
      <c r="AL148" s="604"/>
      <c r="AM148" s="604"/>
      <c r="AN148" s="604"/>
      <c r="AO148" s="604"/>
      <c r="AP148" s="604"/>
      <c r="AQ148" s="604"/>
      <c r="AR148" s="604"/>
      <c r="AS148" s="604"/>
      <c r="AT148" s="604"/>
    </row>
    <row r="149" spans="1:46" x14ac:dyDescent="0.15">
      <c r="A149" s="604"/>
      <c r="B149" s="604"/>
      <c r="C149" s="604"/>
      <c r="D149" s="604"/>
      <c r="E149" s="604"/>
      <c r="F149" s="604"/>
      <c r="G149" s="604"/>
      <c r="H149" s="604"/>
      <c r="I149" s="604"/>
      <c r="J149" s="604"/>
      <c r="K149" s="604"/>
      <c r="L149" s="604"/>
      <c r="M149" s="604"/>
      <c r="N149" s="604"/>
      <c r="O149" s="604"/>
      <c r="P149" s="604"/>
      <c r="Q149" s="604"/>
      <c r="R149" s="604"/>
      <c r="S149" s="604"/>
      <c r="T149" s="604"/>
      <c r="U149" s="604"/>
      <c r="V149" s="604"/>
      <c r="W149" s="604"/>
      <c r="X149" s="604"/>
      <c r="Y149" s="604"/>
      <c r="Z149" s="604"/>
      <c r="AA149" s="604"/>
      <c r="AB149" s="604"/>
      <c r="AC149" s="604"/>
      <c r="AD149" s="604"/>
      <c r="AE149" s="604"/>
      <c r="AF149" s="604"/>
      <c r="AG149" s="604"/>
      <c r="AH149" s="604"/>
      <c r="AI149" s="604"/>
      <c r="AJ149" s="604"/>
      <c r="AK149" s="604"/>
      <c r="AL149" s="604"/>
      <c r="AM149" s="604"/>
      <c r="AN149" s="604"/>
      <c r="AO149" s="604"/>
      <c r="AP149" s="604"/>
      <c r="AQ149" s="604"/>
      <c r="AR149" s="604"/>
      <c r="AS149" s="604"/>
      <c r="AT149" s="604"/>
    </row>
    <row r="150" spans="1:46" x14ac:dyDescent="0.15">
      <c r="A150" s="604"/>
      <c r="B150" s="604"/>
      <c r="C150" s="604"/>
      <c r="D150" s="604"/>
      <c r="E150" s="604"/>
      <c r="F150" s="604"/>
      <c r="G150" s="604"/>
      <c r="H150" s="604"/>
      <c r="I150" s="604"/>
      <c r="J150" s="604"/>
      <c r="K150" s="604"/>
      <c r="L150" s="604"/>
      <c r="M150" s="604"/>
      <c r="N150" s="604"/>
      <c r="O150" s="604"/>
      <c r="P150" s="604"/>
      <c r="Q150" s="604"/>
      <c r="R150" s="604"/>
      <c r="S150" s="604"/>
      <c r="T150" s="604"/>
      <c r="U150" s="604"/>
      <c r="V150" s="604"/>
      <c r="W150" s="604"/>
      <c r="X150" s="604"/>
      <c r="Y150" s="604"/>
      <c r="Z150" s="604"/>
      <c r="AA150" s="604"/>
      <c r="AB150" s="604"/>
      <c r="AC150" s="604"/>
      <c r="AD150" s="604"/>
      <c r="AE150" s="604"/>
      <c r="AF150" s="604"/>
      <c r="AG150" s="604"/>
      <c r="AH150" s="604"/>
      <c r="AI150" s="604"/>
      <c r="AJ150" s="604"/>
      <c r="AK150" s="604"/>
      <c r="AL150" s="604"/>
      <c r="AM150" s="604"/>
      <c r="AN150" s="604"/>
      <c r="AO150" s="604"/>
      <c r="AP150" s="604"/>
      <c r="AQ150" s="604"/>
      <c r="AR150" s="604"/>
      <c r="AS150" s="604"/>
      <c r="AT150" s="604"/>
    </row>
    <row r="151" spans="1:46" x14ac:dyDescent="0.15">
      <c r="A151" s="604"/>
      <c r="B151" s="604"/>
      <c r="C151" s="604"/>
      <c r="D151" s="604"/>
      <c r="E151" s="604"/>
      <c r="F151" s="604"/>
      <c r="G151" s="604"/>
      <c r="H151" s="604"/>
      <c r="I151" s="604"/>
      <c r="J151" s="604"/>
      <c r="K151" s="604"/>
      <c r="L151" s="604"/>
      <c r="M151" s="604"/>
      <c r="N151" s="604"/>
      <c r="O151" s="604"/>
      <c r="P151" s="604"/>
      <c r="Q151" s="604"/>
      <c r="R151" s="604"/>
      <c r="S151" s="604"/>
      <c r="T151" s="604"/>
      <c r="U151" s="604"/>
      <c r="V151" s="604"/>
      <c r="W151" s="604"/>
      <c r="X151" s="604"/>
      <c r="Y151" s="604"/>
      <c r="Z151" s="604"/>
      <c r="AA151" s="604"/>
      <c r="AB151" s="604"/>
      <c r="AC151" s="604"/>
      <c r="AD151" s="604"/>
      <c r="AE151" s="604"/>
      <c r="AF151" s="604"/>
      <c r="AG151" s="604"/>
      <c r="AH151" s="604"/>
      <c r="AI151" s="604"/>
      <c r="AJ151" s="604"/>
      <c r="AK151" s="604"/>
      <c r="AL151" s="604"/>
      <c r="AM151" s="604"/>
      <c r="AN151" s="604"/>
      <c r="AO151" s="604"/>
      <c r="AP151" s="604"/>
      <c r="AQ151" s="604"/>
      <c r="AR151" s="604"/>
      <c r="AS151" s="604"/>
      <c r="AT151" s="604"/>
    </row>
    <row r="152" spans="1:46" x14ac:dyDescent="0.15">
      <c r="A152" s="604"/>
      <c r="B152" s="604"/>
      <c r="C152" s="604"/>
      <c r="D152" s="604"/>
      <c r="E152" s="604"/>
      <c r="F152" s="604"/>
      <c r="G152" s="604"/>
      <c r="H152" s="604"/>
      <c r="I152" s="604"/>
      <c r="J152" s="604"/>
      <c r="K152" s="604"/>
      <c r="L152" s="604"/>
      <c r="M152" s="604"/>
      <c r="N152" s="604"/>
      <c r="O152" s="604"/>
      <c r="P152" s="604"/>
      <c r="Q152" s="604"/>
      <c r="R152" s="604"/>
      <c r="S152" s="604"/>
      <c r="T152" s="604"/>
      <c r="U152" s="604"/>
      <c r="V152" s="604"/>
      <c r="W152" s="604"/>
      <c r="X152" s="604"/>
      <c r="Y152" s="604"/>
      <c r="Z152" s="604"/>
      <c r="AA152" s="604"/>
      <c r="AB152" s="604"/>
      <c r="AC152" s="604"/>
      <c r="AD152" s="604"/>
      <c r="AE152" s="604"/>
      <c r="AF152" s="604"/>
      <c r="AG152" s="604"/>
      <c r="AH152" s="604"/>
      <c r="AI152" s="604"/>
      <c r="AJ152" s="604"/>
      <c r="AK152" s="604"/>
      <c r="AL152" s="604"/>
      <c r="AM152" s="604"/>
      <c r="AN152" s="604"/>
      <c r="AO152" s="604"/>
      <c r="AP152" s="604"/>
      <c r="AQ152" s="604"/>
      <c r="AR152" s="604"/>
      <c r="AS152" s="604"/>
      <c r="AT152" s="604"/>
    </row>
    <row r="153" spans="1:46" x14ac:dyDescent="0.15">
      <c r="A153" s="604"/>
      <c r="B153" s="604"/>
      <c r="C153" s="604"/>
      <c r="D153" s="604"/>
      <c r="E153" s="604"/>
      <c r="F153" s="604"/>
      <c r="G153" s="604"/>
      <c r="H153" s="604"/>
      <c r="I153" s="604"/>
      <c r="J153" s="604"/>
      <c r="K153" s="604"/>
      <c r="L153" s="604"/>
      <c r="M153" s="604"/>
      <c r="N153" s="604"/>
      <c r="O153" s="604"/>
      <c r="P153" s="604"/>
      <c r="Q153" s="604"/>
      <c r="R153" s="604"/>
      <c r="S153" s="604"/>
      <c r="T153" s="604"/>
      <c r="U153" s="604"/>
      <c r="V153" s="604"/>
      <c r="W153" s="604"/>
      <c r="X153" s="604"/>
      <c r="Y153" s="604"/>
      <c r="Z153" s="604"/>
      <c r="AA153" s="604"/>
      <c r="AB153" s="604"/>
      <c r="AC153" s="604"/>
      <c r="AD153" s="604"/>
      <c r="AE153" s="604"/>
      <c r="AF153" s="604"/>
      <c r="AG153" s="604"/>
      <c r="AH153" s="604"/>
      <c r="AI153" s="604"/>
      <c r="AJ153" s="604"/>
      <c r="AK153" s="604"/>
      <c r="AL153" s="604"/>
      <c r="AM153" s="604"/>
      <c r="AN153" s="604"/>
      <c r="AO153" s="604"/>
      <c r="AP153" s="604"/>
      <c r="AQ153" s="604"/>
      <c r="AR153" s="604"/>
      <c r="AS153" s="604"/>
      <c r="AT153" s="604"/>
    </row>
    <row r="154" spans="1:46" x14ac:dyDescent="0.15">
      <c r="A154" s="604"/>
      <c r="B154" s="604"/>
      <c r="C154" s="604"/>
      <c r="D154" s="604"/>
      <c r="E154" s="604"/>
      <c r="F154" s="604"/>
      <c r="G154" s="604"/>
      <c r="H154" s="604"/>
      <c r="I154" s="604"/>
      <c r="J154" s="604"/>
      <c r="K154" s="604"/>
      <c r="L154" s="604"/>
      <c r="M154" s="604"/>
      <c r="N154" s="604"/>
      <c r="O154" s="604"/>
      <c r="P154" s="604"/>
      <c r="Q154" s="604"/>
      <c r="R154" s="604"/>
      <c r="S154" s="604"/>
      <c r="T154" s="604"/>
      <c r="U154" s="604"/>
      <c r="V154" s="604"/>
      <c r="W154" s="604"/>
      <c r="X154" s="604"/>
      <c r="Y154" s="604"/>
      <c r="Z154" s="604"/>
      <c r="AA154" s="604"/>
      <c r="AB154" s="604"/>
      <c r="AC154" s="604"/>
      <c r="AD154" s="604"/>
      <c r="AE154" s="604"/>
      <c r="AF154" s="604"/>
      <c r="AG154" s="604"/>
      <c r="AH154" s="604"/>
      <c r="AI154" s="604"/>
      <c r="AJ154" s="604"/>
      <c r="AK154" s="604"/>
      <c r="AL154" s="604"/>
      <c r="AM154" s="604"/>
      <c r="AN154" s="604"/>
      <c r="AO154" s="604"/>
      <c r="AP154" s="604"/>
      <c r="AQ154" s="604"/>
      <c r="AR154" s="604"/>
      <c r="AS154" s="604"/>
      <c r="AT154" s="604"/>
    </row>
    <row r="155" spans="1:46" x14ac:dyDescent="0.15">
      <c r="A155" s="604"/>
      <c r="B155" s="604"/>
      <c r="C155" s="604"/>
      <c r="D155" s="604"/>
      <c r="E155" s="604"/>
      <c r="F155" s="604"/>
      <c r="G155" s="604"/>
      <c r="H155" s="604"/>
      <c r="I155" s="604"/>
      <c r="J155" s="604"/>
      <c r="K155" s="604"/>
      <c r="L155" s="604"/>
      <c r="M155" s="604"/>
      <c r="N155" s="604"/>
      <c r="O155" s="604"/>
      <c r="P155" s="604"/>
      <c r="Q155" s="604"/>
      <c r="R155" s="604"/>
      <c r="S155" s="604"/>
      <c r="T155" s="604"/>
      <c r="U155" s="604"/>
      <c r="V155" s="604"/>
      <c r="W155" s="604"/>
      <c r="X155" s="604"/>
      <c r="Y155" s="604"/>
      <c r="Z155" s="604"/>
      <c r="AA155" s="604"/>
      <c r="AB155" s="604"/>
      <c r="AC155" s="604"/>
      <c r="AD155" s="604"/>
      <c r="AE155" s="604"/>
      <c r="AF155" s="604"/>
      <c r="AG155" s="604"/>
      <c r="AH155" s="604"/>
      <c r="AI155" s="604"/>
      <c r="AJ155" s="604"/>
      <c r="AK155" s="604"/>
      <c r="AL155" s="604"/>
      <c r="AM155" s="604"/>
      <c r="AN155" s="604"/>
      <c r="AO155" s="604"/>
      <c r="AP155" s="604"/>
      <c r="AQ155" s="604"/>
      <c r="AR155" s="604"/>
      <c r="AS155" s="604"/>
      <c r="AT155" s="604"/>
    </row>
    <row r="156" spans="1:46" x14ac:dyDescent="0.15">
      <c r="A156" s="604"/>
      <c r="B156" s="604"/>
      <c r="C156" s="604"/>
      <c r="D156" s="604"/>
      <c r="E156" s="604"/>
      <c r="F156" s="604"/>
      <c r="G156" s="604"/>
      <c r="H156" s="604"/>
      <c r="I156" s="604"/>
      <c r="J156" s="604"/>
      <c r="K156" s="604"/>
      <c r="L156" s="604"/>
      <c r="M156" s="604"/>
      <c r="N156" s="604"/>
      <c r="O156" s="604"/>
      <c r="P156" s="604"/>
      <c r="Q156" s="604"/>
      <c r="R156" s="604"/>
      <c r="S156" s="604"/>
      <c r="T156" s="604"/>
      <c r="U156" s="604"/>
      <c r="V156" s="604"/>
      <c r="W156" s="604"/>
      <c r="X156" s="604"/>
      <c r="Y156" s="604"/>
      <c r="Z156" s="604"/>
      <c r="AA156" s="604"/>
      <c r="AB156" s="604"/>
      <c r="AC156" s="604"/>
      <c r="AD156" s="604"/>
      <c r="AE156" s="604"/>
      <c r="AF156" s="604"/>
      <c r="AG156" s="604"/>
      <c r="AH156" s="604"/>
      <c r="AI156" s="604"/>
      <c r="AJ156" s="604"/>
      <c r="AK156" s="604"/>
      <c r="AL156" s="604"/>
      <c r="AM156" s="604"/>
      <c r="AN156" s="604"/>
      <c r="AO156" s="604"/>
      <c r="AP156" s="604"/>
      <c r="AQ156" s="604"/>
      <c r="AR156" s="604"/>
      <c r="AS156" s="604"/>
      <c r="AT156" s="604"/>
    </row>
    <row r="157" spans="1:46" x14ac:dyDescent="0.15">
      <c r="A157" s="604"/>
      <c r="B157" s="604"/>
      <c r="C157" s="604"/>
      <c r="D157" s="604"/>
      <c r="E157" s="604"/>
      <c r="F157" s="604"/>
      <c r="G157" s="604"/>
      <c r="H157" s="604"/>
      <c r="I157" s="604"/>
      <c r="J157" s="604"/>
      <c r="K157" s="604"/>
      <c r="L157" s="604"/>
      <c r="M157" s="604"/>
      <c r="N157" s="604"/>
      <c r="O157" s="604"/>
      <c r="P157" s="604"/>
      <c r="Q157" s="604"/>
      <c r="R157" s="604"/>
      <c r="S157" s="604"/>
      <c r="T157" s="604"/>
      <c r="U157" s="604"/>
      <c r="V157" s="604"/>
      <c r="W157" s="604"/>
      <c r="X157" s="604"/>
      <c r="Y157" s="604"/>
      <c r="Z157" s="604"/>
      <c r="AA157" s="604"/>
      <c r="AB157" s="604"/>
      <c r="AC157" s="604"/>
      <c r="AD157" s="604"/>
      <c r="AE157" s="604"/>
      <c r="AF157" s="604"/>
      <c r="AG157" s="604"/>
      <c r="AH157" s="604"/>
      <c r="AI157" s="604"/>
      <c r="AJ157" s="604"/>
      <c r="AK157" s="604"/>
      <c r="AL157" s="604"/>
      <c r="AM157" s="604"/>
      <c r="AN157" s="604"/>
      <c r="AO157" s="604"/>
      <c r="AP157" s="604"/>
      <c r="AQ157" s="604"/>
      <c r="AR157" s="604"/>
      <c r="AS157" s="604"/>
      <c r="AT157" s="604"/>
    </row>
    <row r="158" spans="1:46" x14ac:dyDescent="0.15">
      <c r="A158" s="604"/>
      <c r="B158" s="604"/>
      <c r="C158" s="604"/>
      <c r="D158" s="604"/>
      <c r="E158" s="604"/>
      <c r="F158" s="604"/>
      <c r="G158" s="604"/>
      <c r="H158" s="604"/>
      <c r="I158" s="604"/>
      <c r="J158" s="604"/>
      <c r="K158" s="604"/>
      <c r="L158" s="604"/>
      <c r="M158" s="604"/>
      <c r="N158" s="604"/>
      <c r="O158" s="604"/>
      <c r="P158" s="604"/>
      <c r="Q158" s="604"/>
      <c r="R158" s="604"/>
      <c r="S158" s="604"/>
      <c r="T158" s="604"/>
      <c r="U158" s="604"/>
      <c r="V158" s="604"/>
      <c r="W158" s="604"/>
      <c r="X158" s="604"/>
      <c r="Y158" s="604"/>
      <c r="Z158" s="604"/>
      <c r="AA158" s="604"/>
      <c r="AB158" s="604"/>
      <c r="AC158" s="604"/>
      <c r="AD158" s="604"/>
      <c r="AE158" s="604"/>
      <c r="AF158" s="604"/>
      <c r="AG158" s="604"/>
      <c r="AH158" s="604"/>
      <c r="AI158" s="604"/>
      <c r="AJ158" s="604"/>
      <c r="AK158" s="604"/>
      <c r="AL158" s="604"/>
      <c r="AM158" s="604"/>
      <c r="AN158" s="604"/>
      <c r="AO158" s="604"/>
      <c r="AP158" s="604"/>
      <c r="AQ158" s="604"/>
      <c r="AR158" s="604"/>
      <c r="AS158" s="604"/>
      <c r="AT158" s="604"/>
    </row>
    <row r="159" spans="1:46" x14ac:dyDescent="0.15">
      <c r="A159" s="604"/>
      <c r="B159" s="604"/>
      <c r="C159" s="604"/>
      <c r="D159" s="604"/>
      <c r="E159" s="604"/>
      <c r="F159" s="604"/>
      <c r="G159" s="604"/>
      <c r="H159" s="604"/>
      <c r="I159" s="604"/>
      <c r="J159" s="604"/>
      <c r="K159" s="604"/>
      <c r="L159" s="604"/>
      <c r="M159" s="604"/>
      <c r="N159" s="604"/>
      <c r="O159" s="604"/>
      <c r="P159" s="604"/>
      <c r="Q159" s="604"/>
      <c r="R159" s="604"/>
      <c r="S159" s="604"/>
      <c r="T159" s="604"/>
      <c r="U159" s="604"/>
      <c r="V159" s="604"/>
      <c r="W159" s="604"/>
      <c r="X159" s="604"/>
      <c r="Y159" s="604"/>
      <c r="Z159" s="604"/>
      <c r="AA159" s="604"/>
      <c r="AB159" s="604"/>
      <c r="AC159" s="604"/>
      <c r="AD159" s="604"/>
      <c r="AE159" s="604"/>
      <c r="AF159" s="604"/>
      <c r="AG159" s="604"/>
      <c r="AH159" s="604"/>
      <c r="AI159" s="604"/>
      <c r="AJ159" s="604"/>
      <c r="AK159" s="604"/>
      <c r="AL159" s="604"/>
      <c r="AM159" s="604"/>
      <c r="AN159" s="604"/>
      <c r="AO159" s="604"/>
      <c r="AP159" s="604"/>
      <c r="AQ159" s="604"/>
      <c r="AR159" s="604"/>
      <c r="AS159" s="604"/>
      <c r="AT159" s="604"/>
    </row>
    <row r="160" spans="1:46" x14ac:dyDescent="0.15">
      <c r="A160" s="604"/>
      <c r="B160" s="604"/>
      <c r="C160" s="604"/>
      <c r="D160" s="604"/>
      <c r="E160" s="604"/>
      <c r="F160" s="604"/>
      <c r="G160" s="604"/>
      <c r="H160" s="604"/>
      <c r="I160" s="604"/>
      <c r="J160" s="604"/>
      <c r="K160" s="604"/>
      <c r="L160" s="604"/>
      <c r="M160" s="604"/>
      <c r="N160" s="604"/>
      <c r="O160" s="604"/>
      <c r="P160" s="604"/>
      <c r="Q160" s="604"/>
      <c r="R160" s="604"/>
      <c r="S160" s="604"/>
      <c r="T160" s="604"/>
      <c r="U160" s="604"/>
      <c r="V160" s="604"/>
      <c r="W160" s="604"/>
      <c r="X160" s="604"/>
      <c r="Y160" s="604"/>
      <c r="Z160" s="604"/>
      <c r="AA160" s="604"/>
      <c r="AB160" s="604"/>
      <c r="AC160" s="604"/>
      <c r="AD160" s="604"/>
      <c r="AE160" s="604"/>
      <c r="AF160" s="604"/>
      <c r="AG160" s="604"/>
      <c r="AH160" s="604"/>
      <c r="AI160" s="604"/>
      <c r="AJ160" s="604"/>
      <c r="AK160" s="604"/>
      <c r="AL160" s="604"/>
      <c r="AM160" s="604"/>
      <c r="AN160" s="604"/>
      <c r="AO160" s="604"/>
      <c r="AP160" s="604"/>
      <c r="AQ160" s="604"/>
      <c r="AR160" s="604"/>
      <c r="AS160" s="604"/>
      <c r="AT160" s="604"/>
    </row>
    <row r="161" spans="1:46" x14ac:dyDescent="0.15">
      <c r="A161" s="604"/>
      <c r="B161" s="604"/>
      <c r="C161" s="604"/>
      <c r="D161" s="604"/>
      <c r="E161" s="604"/>
      <c r="F161" s="604"/>
      <c r="G161" s="604"/>
      <c r="H161" s="604"/>
      <c r="I161" s="604"/>
      <c r="J161" s="604"/>
      <c r="K161" s="604"/>
      <c r="L161" s="604"/>
      <c r="M161" s="604"/>
      <c r="N161" s="604"/>
      <c r="O161" s="604"/>
      <c r="P161" s="604"/>
      <c r="Q161" s="604"/>
      <c r="R161" s="604"/>
      <c r="S161" s="604"/>
      <c r="T161" s="604"/>
      <c r="U161" s="604"/>
      <c r="V161" s="604"/>
      <c r="W161" s="604"/>
      <c r="X161" s="604"/>
      <c r="Y161" s="604"/>
      <c r="Z161" s="604"/>
      <c r="AA161" s="604"/>
      <c r="AB161" s="604"/>
      <c r="AC161" s="604"/>
      <c r="AD161" s="604"/>
      <c r="AE161" s="604"/>
      <c r="AF161" s="604"/>
      <c r="AG161" s="604"/>
      <c r="AH161" s="604"/>
      <c r="AI161" s="604"/>
      <c r="AJ161" s="604"/>
      <c r="AK161" s="604"/>
      <c r="AL161" s="604"/>
      <c r="AM161" s="604"/>
      <c r="AN161" s="604"/>
      <c r="AO161" s="604"/>
      <c r="AP161" s="604"/>
      <c r="AQ161" s="604"/>
      <c r="AR161" s="604"/>
      <c r="AS161" s="604"/>
      <c r="AT161" s="604"/>
    </row>
    <row r="162" spans="1:46" x14ac:dyDescent="0.15">
      <c r="A162" s="604"/>
      <c r="B162" s="604"/>
      <c r="C162" s="604"/>
      <c r="D162" s="604"/>
      <c r="E162" s="604"/>
      <c r="F162" s="604"/>
      <c r="G162" s="604"/>
      <c r="H162" s="604"/>
      <c r="I162" s="604"/>
      <c r="J162" s="604"/>
      <c r="K162" s="604"/>
      <c r="L162" s="604"/>
      <c r="M162" s="604"/>
      <c r="N162" s="604"/>
      <c r="O162" s="604"/>
      <c r="P162" s="604"/>
      <c r="Q162" s="604"/>
      <c r="R162" s="604"/>
      <c r="S162" s="604"/>
      <c r="T162" s="604"/>
      <c r="U162" s="604"/>
      <c r="V162" s="604"/>
      <c r="W162" s="604"/>
      <c r="X162" s="604"/>
      <c r="Y162" s="604"/>
      <c r="Z162" s="604"/>
      <c r="AA162" s="604"/>
      <c r="AB162" s="604"/>
      <c r="AC162" s="604"/>
      <c r="AD162" s="604"/>
      <c r="AE162" s="604"/>
      <c r="AF162" s="604"/>
      <c r="AG162" s="604"/>
      <c r="AH162" s="604"/>
      <c r="AI162" s="604"/>
      <c r="AJ162" s="604"/>
      <c r="AK162" s="604"/>
      <c r="AL162" s="604"/>
      <c r="AM162" s="604"/>
      <c r="AN162" s="604"/>
      <c r="AO162" s="604"/>
      <c r="AP162" s="604"/>
      <c r="AQ162" s="604"/>
      <c r="AR162" s="604"/>
      <c r="AS162" s="604"/>
      <c r="AT162" s="604"/>
    </row>
  </sheetData>
  <sheetProtection algorithmName="SHA-512" hashValue="5T7DnXuIcnPkS5yCjTUD0jHXQV1cM1vMoUH+ayae2SBiq1kJLJQctJfp8SZTDzLm8hoMMQf40Tbx0ARfQrS5xA==" saltValue="oNP3xYq09meFTLHHuAsiog==" spinCount="100000" sheet="1" objects="1" scenarios="1"/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98068-C89F-A445-BB73-9F520408534F}">
  <sheetPr codeName="Sheet78"/>
  <dimension ref="A1:BP118"/>
  <sheetViews>
    <sheetView zoomScaleNormal="220" zoomScalePageLayoutView="130" workbookViewId="0">
      <selection activeCell="A13" sqref="A13:XFD13"/>
    </sheetView>
  </sheetViews>
  <sheetFormatPr baseColWidth="10" defaultColWidth="11.5" defaultRowHeight="13" x14ac:dyDescent="0.15"/>
  <cols>
    <col min="1" max="1" width="8.1640625" customWidth="1"/>
    <col min="3" max="3" width="6.33203125" customWidth="1"/>
    <col min="4" max="4" width="25.33203125" customWidth="1"/>
    <col min="6" max="6" width="16.1640625" customWidth="1"/>
    <col min="7" max="7" width="21.83203125" bestFit="1" customWidth="1"/>
    <col min="9" max="9" width="12.83203125" customWidth="1"/>
    <col min="53" max="53" width="50.6640625" customWidth="1"/>
    <col min="54" max="54" width="12.1640625" customWidth="1"/>
    <col min="55" max="55" width="10.83203125" customWidth="1"/>
    <col min="57" max="57" width="20.5" customWidth="1"/>
    <col min="58" max="58" width="14" bestFit="1" customWidth="1"/>
  </cols>
  <sheetData>
    <row r="1" spans="1:67" ht="71" x14ac:dyDescent="0.2">
      <c r="A1" s="429" t="s">
        <v>443</v>
      </c>
      <c r="B1" s="429" t="s">
        <v>444</v>
      </c>
      <c r="C1" s="430" t="s">
        <v>445</v>
      </c>
      <c r="D1" s="431" t="s">
        <v>446</v>
      </c>
      <c r="E1" s="429" t="s">
        <v>447</v>
      </c>
      <c r="F1" s="430" t="s">
        <v>725</v>
      </c>
      <c r="G1" s="431" t="s">
        <v>448</v>
      </c>
      <c r="H1" s="432" t="s">
        <v>449</v>
      </c>
      <c r="I1" s="433" t="s">
        <v>1247</v>
      </c>
      <c r="J1" s="433" t="s">
        <v>1248</v>
      </c>
      <c r="K1" s="433" t="s">
        <v>1249</v>
      </c>
      <c r="L1" s="433" t="s">
        <v>1250</v>
      </c>
      <c r="M1" s="433" t="s">
        <v>1251</v>
      </c>
      <c r="N1" s="434" t="s">
        <v>1252</v>
      </c>
      <c r="O1" s="435" t="s">
        <v>1253</v>
      </c>
      <c r="P1" s="435" t="s">
        <v>1254</v>
      </c>
      <c r="Q1" s="435" t="s">
        <v>1255</v>
      </c>
      <c r="R1" s="435" t="s">
        <v>1256</v>
      </c>
      <c r="S1" s="435" t="s">
        <v>1257</v>
      </c>
      <c r="T1" s="435" t="s">
        <v>1258</v>
      </c>
      <c r="U1" s="436" t="s">
        <v>1259</v>
      </c>
      <c r="V1" s="436" t="s">
        <v>1260</v>
      </c>
      <c r="W1" s="436" t="s">
        <v>1261</v>
      </c>
      <c r="X1" s="436" t="s">
        <v>1262</v>
      </c>
      <c r="Y1" s="436" t="s">
        <v>1263</v>
      </c>
      <c r="Z1" s="436" t="s">
        <v>1264</v>
      </c>
      <c r="AA1" s="437" t="s">
        <v>1265</v>
      </c>
      <c r="AB1" s="437" t="s">
        <v>1266</v>
      </c>
      <c r="AC1" s="437" t="s">
        <v>1267</v>
      </c>
      <c r="AD1" s="437" t="s">
        <v>1268</v>
      </c>
      <c r="AE1" s="437" t="s">
        <v>1269</v>
      </c>
      <c r="AF1" s="437" t="s">
        <v>1270</v>
      </c>
      <c r="AG1" s="438" t="s">
        <v>474</v>
      </c>
      <c r="AH1" s="438" t="s">
        <v>475</v>
      </c>
      <c r="AI1" s="438" t="s">
        <v>476</v>
      </c>
      <c r="AJ1" s="438" t="s">
        <v>477</v>
      </c>
      <c r="AK1" s="479" t="s">
        <v>478</v>
      </c>
      <c r="AL1" s="479" t="s">
        <v>479</v>
      </c>
      <c r="AM1" s="439" t="s">
        <v>1099</v>
      </c>
      <c r="AN1" s="440" t="s">
        <v>480</v>
      </c>
      <c r="AO1" s="441" t="s">
        <v>481</v>
      </c>
      <c r="AP1" s="440" t="s">
        <v>482</v>
      </c>
      <c r="AQ1" s="442" t="s">
        <v>483</v>
      </c>
      <c r="AR1" s="443" t="s">
        <v>484</v>
      </c>
      <c r="AS1" s="442" t="s">
        <v>485</v>
      </c>
      <c r="AT1" s="444" t="s">
        <v>1271</v>
      </c>
      <c r="AU1" s="445" t="s">
        <v>1272</v>
      </c>
      <c r="AV1" s="444" t="s">
        <v>36</v>
      </c>
      <c r="AW1" s="445" t="s">
        <v>37</v>
      </c>
      <c r="AX1" s="443" t="s">
        <v>384</v>
      </c>
      <c r="AY1" s="446" t="s">
        <v>385</v>
      </c>
      <c r="AZ1" s="429" t="s">
        <v>386</v>
      </c>
      <c r="BA1" s="447" t="s">
        <v>387</v>
      </c>
      <c r="BB1" s="448" t="s">
        <v>388</v>
      </c>
      <c r="BC1" s="447" t="s">
        <v>389</v>
      </c>
      <c r="BD1" s="447" t="s">
        <v>390</v>
      </c>
      <c r="BE1" s="447" t="s">
        <v>1136</v>
      </c>
      <c r="BF1" s="563" t="s">
        <v>1137</v>
      </c>
      <c r="BG1" s="429" t="s">
        <v>391</v>
      </c>
      <c r="BH1" s="430" t="s">
        <v>392</v>
      </c>
      <c r="BI1" s="447" t="s">
        <v>393</v>
      </c>
      <c r="BJ1" s="447" t="s">
        <v>394</v>
      </c>
      <c r="BK1" s="449" t="s">
        <v>1273</v>
      </c>
      <c r="BL1" s="430" t="s">
        <v>395</v>
      </c>
      <c r="BM1" s="447" t="s">
        <v>396</v>
      </c>
      <c r="BN1" s="429" t="s">
        <v>397</v>
      </c>
    </row>
    <row r="2" spans="1:67" ht="13" customHeight="1" x14ac:dyDescent="0.2">
      <c r="A2" s="525">
        <v>3159</v>
      </c>
      <c r="B2" s="565">
        <v>44937</v>
      </c>
      <c r="C2" s="526" t="s">
        <v>1138</v>
      </c>
      <c r="D2" s="525" t="s">
        <v>1100</v>
      </c>
      <c r="E2" s="527">
        <v>44927</v>
      </c>
      <c r="F2" s="529" t="s">
        <v>1139</v>
      </c>
      <c r="G2" s="525" t="s">
        <v>1646</v>
      </c>
      <c r="H2" s="532">
        <v>74.5</v>
      </c>
      <c r="I2" s="531" t="s">
        <v>296</v>
      </c>
      <c r="J2" s="459">
        <v>3000</v>
      </c>
      <c r="K2" s="459">
        <v>6000</v>
      </c>
      <c r="L2" s="459">
        <v>9000</v>
      </c>
      <c r="M2" s="459">
        <v>15000</v>
      </c>
      <c r="N2" s="525"/>
      <c r="O2" s="532">
        <v>3.3272727272727272</v>
      </c>
      <c r="P2" s="532">
        <v>2.9454545454545453</v>
      </c>
      <c r="Q2" s="532">
        <v>2.3636363636363633</v>
      </c>
      <c r="R2" s="532">
        <v>1.9454545454545453</v>
      </c>
      <c r="S2" s="532">
        <v>1.8909090909090909</v>
      </c>
      <c r="T2" s="533"/>
      <c r="U2" s="532">
        <v>3.1181818181818182</v>
      </c>
      <c r="V2" s="532">
        <v>2.7272727272727271</v>
      </c>
      <c r="W2" s="532">
        <v>2.2363636363636363</v>
      </c>
      <c r="X2" s="532">
        <v>1.8909090909090909</v>
      </c>
      <c r="Y2" s="532">
        <v>1.6545454545454545</v>
      </c>
      <c r="Z2" s="533"/>
      <c r="AA2" s="533"/>
      <c r="AB2" s="533"/>
      <c r="AC2" s="533"/>
      <c r="AD2" s="533"/>
      <c r="AE2" s="533"/>
      <c r="AF2" s="533"/>
      <c r="AG2" s="528" t="s">
        <v>1143</v>
      </c>
      <c r="AH2" s="528" t="s">
        <v>1144</v>
      </c>
      <c r="AI2" s="528">
        <v>3</v>
      </c>
      <c r="AJ2" s="528">
        <v>3</v>
      </c>
      <c r="AK2" s="480">
        <v>0.5</v>
      </c>
      <c r="AL2" s="480">
        <v>0.5</v>
      </c>
      <c r="AM2" s="525" t="s">
        <v>1118</v>
      </c>
      <c r="AN2" s="528">
        <v>0</v>
      </c>
      <c r="AO2" s="528">
        <v>0</v>
      </c>
      <c r="AP2" s="528">
        <v>0</v>
      </c>
      <c r="AQ2" s="528">
        <v>0</v>
      </c>
      <c r="AR2" s="528">
        <v>0</v>
      </c>
      <c r="AS2" s="528">
        <v>0</v>
      </c>
      <c r="AT2" s="528">
        <v>0</v>
      </c>
      <c r="AU2" s="528">
        <v>0</v>
      </c>
      <c r="AV2" s="528">
        <v>0</v>
      </c>
      <c r="AW2" s="528">
        <v>0</v>
      </c>
      <c r="AX2" s="528">
        <v>0</v>
      </c>
      <c r="AY2" s="528">
        <v>0</v>
      </c>
      <c r="AZ2" s="528"/>
      <c r="BA2" s="528" t="s">
        <v>1145</v>
      </c>
      <c r="BB2" s="528"/>
      <c r="BC2" s="528" t="s">
        <v>1145</v>
      </c>
      <c r="BD2" s="528"/>
      <c r="BE2" s="528"/>
      <c r="BF2" s="528"/>
      <c r="BG2" s="597"/>
      <c r="BH2" s="598"/>
      <c r="BI2" s="566"/>
      <c r="BJ2" s="528" t="s">
        <v>1146</v>
      </c>
      <c r="BK2" s="528"/>
      <c r="BL2" s="529" t="s">
        <v>1647</v>
      </c>
      <c r="BM2" s="529" t="s">
        <v>430</v>
      </c>
      <c r="BN2" s="525" t="s">
        <v>408</v>
      </c>
    </row>
    <row r="3" spans="1:67" ht="13" customHeight="1" x14ac:dyDescent="0.2">
      <c r="A3" s="525">
        <v>1047</v>
      </c>
      <c r="B3" s="565">
        <v>44937</v>
      </c>
      <c r="C3" s="526" t="s">
        <v>1138</v>
      </c>
      <c r="D3" s="525" t="s">
        <v>1100</v>
      </c>
      <c r="E3" s="527">
        <v>44805</v>
      </c>
      <c r="F3" s="529" t="s">
        <v>1148</v>
      </c>
      <c r="G3" s="525" t="s">
        <v>1280</v>
      </c>
      <c r="H3" s="532">
        <v>64.86363636363636</v>
      </c>
      <c r="I3" s="531" t="s">
        <v>296</v>
      </c>
      <c r="J3" s="459">
        <v>3000</v>
      </c>
      <c r="K3" s="459">
        <v>6000</v>
      </c>
      <c r="L3" s="459">
        <v>6000</v>
      </c>
      <c r="M3" s="459">
        <v>6000</v>
      </c>
      <c r="N3" s="525"/>
      <c r="O3" s="532">
        <v>2.3545454545454541</v>
      </c>
      <c r="P3" s="532">
        <v>2.0818181818181816</v>
      </c>
      <c r="Q3" s="532">
        <v>0</v>
      </c>
      <c r="R3" s="532">
        <v>0</v>
      </c>
      <c r="S3" s="532">
        <v>1.6272727272727272</v>
      </c>
      <c r="T3" s="533"/>
      <c r="U3" s="532">
        <v>2.2636363636363637</v>
      </c>
      <c r="V3" s="532">
        <v>1.9818181818181817</v>
      </c>
      <c r="W3" s="532">
        <v>0</v>
      </c>
      <c r="X3" s="532">
        <v>0</v>
      </c>
      <c r="Y3" s="532">
        <v>1.6272727272727272</v>
      </c>
      <c r="Z3" s="533"/>
      <c r="AA3" s="533"/>
      <c r="AB3" s="533"/>
      <c r="AC3" s="533"/>
      <c r="AD3" s="533"/>
      <c r="AE3" s="533"/>
      <c r="AF3" s="533"/>
      <c r="AG3" s="528" t="s">
        <v>1143</v>
      </c>
      <c r="AH3" s="528" t="s">
        <v>1144</v>
      </c>
      <c r="AI3" s="528">
        <v>3</v>
      </c>
      <c r="AJ3" s="528">
        <v>3</v>
      </c>
      <c r="AK3" s="480">
        <v>0.5</v>
      </c>
      <c r="AL3" s="480">
        <v>0.5</v>
      </c>
      <c r="AM3" s="525" t="s">
        <v>1118</v>
      </c>
      <c r="AN3" s="528">
        <v>0</v>
      </c>
      <c r="AO3" s="528">
        <v>0</v>
      </c>
      <c r="AP3" s="528">
        <v>0</v>
      </c>
      <c r="AQ3" s="528">
        <v>0</v>
      </c>
      <c r="AR3" s="528">
        <v>0</v>
      </c>
      <c r="AS3" s="528">
        <v>0</v>
      </c>
      <c r="AT3" s="528">
        <v>0</v>
      </c>
      <c r="AU3" s="528">
        <v>0</v>
      </c>
      <c r="AV3" s="528">
        <v>0</v>
      </c>
      <c r="AW3" s="528">
        <v>0</v>
      </c>
      <c r="AX3" s="528">
        <v>0</v>
      </c>
      <c r="AY3" s="528">
        <v>0</v>
      </c>
      <c r="AZ3" s="528"/>
      <c r="BA3" s="528" t="s">
        <v>1145</v>
      </c>
      <c r="BB3" s="528"/>
      <c r="BC3" s="528" t="s">
        <v>1145</v>
      </c>
      <c r="BD3" s="528"/>
      <c r="BE3" s="528"/>
      <c r="BF3" s="528"/>
      <c r="BG3" s="529"/>
      <c r="BH3" s="525"/>
      <c r="BI3" s="528"/>
      <c r="BJ3" s="528" t="s">
        <v>4</v>
      </c>
      <c r="BK3" s="528"/>
      <c r="BL3" s="529"/>
      <c r="BM3" s="525" t="s">
        <v>430</v>
      </c>
      <c r="BN3" s="525" t="s">
        <v>368</v>
      </c>
    </row>
    <row r="4" spans="1:67" ht="13" customHeight="1" x14ac:dyDescent="0.2">
      <c r="A4" s="525">
        <v>2545</v>
      </c>
      <c r="B4" s="565">
        <v>44937</v>
      </c>
      <c r="C4" s="526" t="s">
        <v>1138</v>
      </c>
      <c r="D4" s="525" t="s">
        <v>1100</v>
      </c>
      <c r="E4" s="527">
        <v>44720</v>
      </c>
      <c r="F4" s="529" t="s">
        <v>1052</v>
      </c>
      <c r="G4" s="525" t="s">
        <v>1181</v>
      </c>
      <c r="H4" s="532">
        <v>53.93636363636363</v>
      </c>
      <c r="I4" s="531" t="s">
        <v>296</v>
      </c>
      <c r="J4" s="459">
        <v>3000</v>
      </c>
      <c r="K4" s="459">
        <v>6000</v>
      </c>
      <c r="L4" s="459">
        <v>9000</v>
      </c>
      <c r="M4" s="459">
        <v>15000</v>
      </c>
      <c r="N4" s="525"/>
      <c r="O4" s="532">
        <v>2.709090909090909</v>
      </c>
      <c r="P4" s="532">
        <v>2.3272727272727272</v>
      </c>
      <c r="Q4" s="532">
        <v>1.9090909090909089</v>
      </c>
      <c r="R4" s="532">
        <v>1.7454545454545451</v>
      </c>
      <c r="S4" s="532">
        <v>1.7</v>
      </c>
      <c r="T4" s="533"/>
      <c r="U4" s="532">
        <v>2.545454545454545</v>
      </c>
      <c r="V4" s="532">
        <v>2.2181818181818178</v>
      </c>
      <c r="W4" s="532">
        <v>1.8636363636363633</v>
      </c>
      <c r="X4" s="532">
        <v>1.718181818181818</v>
      </c>
      <c r="Y4" s="532">
        <v>1.6818181818181817</v>
      </c>
      <c r="Z4" s="533"/>
      <c r="AA4" s="533"/>
      <c r="AB4" s="533"/>
      <c r="AC4" s="533"/>
      <c r="AD4" s="533"/>
      <c r="AE4" s="533"/>
      <c r="AF4" s="533"/>
      <c r="AG4" s="528" t="s">
        <v>1143</v>
      </c>
      <c r="AH4" s="528" t="s">
        <v>1144</v>
      </c>
      <c r="AI4" s="528">
        <v>3</v>
      </c>
      <c r="AJ4" s="528">
        <v>3</v>
      </c>
      <c r="AK4" s="480">
        <v>0.5</v>
      </c>
      <c r="AL4" s="480">
        <v>0.5</v>
      </c>
      <c r="AM4" s="525" t="s">
        <v>1118</v>
      </c>
      <c r="AN4" s="528">
        <v>0</v>
      </c>
      <c r="AO4" s="528">
        <v>0</v>
      </c>
      <c r="AP4" s="528">
        <v>0</v>
      </c>
      <c r="AQ4" s="528">
        <v>0</v>
      </c>
      <c r="AR4" s="528">
        <v>0</v>
      </c>
      <c r="AS4" s="528">
        <v>0</v>
      </c>
      <c r="AT4" s="528">
        <v>0</v>
      </c>
      <c r="AU4" s="528">
        <v>0</v>
      </c>
      <c r="AV4" s="528">
        <v>0</v>
      </c>
      <c r="AW4" s="528">
        <v>0</v>
      </c>
      <c r="AX4" s="528">
        <v>0</v>
      </c>
      <c r="AY4" s="528">
        <v>0</v>
      </c>
      <c r="AZ4" s="528"/>
      <c r="BA4" s="528" t="s">
        <v>1145</v>
      </c>
      <c r="BB4" s="528"/>
      <c r="BC4" s="528" t="s">
        <v>1145</v>
      </c>
      <c r="BD4" s="528"/>
      <c r="BE4" s="528"/>
      <c r="BF4" s="528"/>
      <c r="BG4" s="529"/>
      <c r="BH4" s="525"/>
      <c r="BI4" s="528"/>
      <c r="BJ4" s="528" t="s">
        <v>1146</v>
      </c>
      <c r="BK4" s="528"/>
      <c r="BL4" s="529"/>
      <c r="BM4" s="529" t="s">
        <v>1155</v>
      </c>
      <c r="BN4" s="525" t="s">
        <v>368</v>
      </c>
    </row>
    <row r="5" spans="1:67" ht="13" customHeight="1" x14ac:dyDescent="0.2">
      <c r="A5" s="525">
        <v>3520</v>
      </c>
      <c r="B5" s="565">
        <v>44937</v>
      </c>
      <c r="C5" s="526" t="s">
        <v>1138</v>
      </c>
      <c r="D5" s="525" t="s">
        <v>1100</v>
      </c>
      <c r="E5" s="527">
        <v>44927</v>
      </c>
      <c r="F5" s="529" t="s">
        <v>1156</v>
      </c>
      <c r="G5" s="525" t="s">
        <v>1649</v>
      </c>
      <c r="H5" s="532">
        <v>100.73636363636363</v>
      </c>
      <c r="I5" s="531" t="s">
        <v>296</v>
      </c>
      <c r="J5" s="459">
        <v>3000</v>
      </c>
      <c r="K5" s="459">
        <v>6000</v>
      </c>
      <c r="L5" s="459">
        <v>9000</v>
      </c>
      <c r="M5" s="459">
        <v>15000</v>
      </c>
      <c r="N5" s="525"/>
      <c r="O5" s="532">
        <v>4.0636363636363635</v>
      </c>
      <c r="P5" s="532">
        <v>3.5090909090909088</v>
      </c>
      <c r="Q5" s="532">
        <v>2.8727272727272726</v>
      </c>
      <c r="R5" s="532">
        <v>2.4909090909090907</v>
      </c>
      <c r="S5" s="532">
        <v>2.418181818181818</v>
      </c>
      <c r="T5" s="533"/>
      <c r="U5" s="532">
        <v>3.9545454545454537</v>
      </c>
      <c r="V5" s="532">
        <v>3.3727272727272726</v>
      </c>
      <c r="W5" s="532">
        <v>2.8</v>
      </c>
      <c r="X5" s="532">
        <v>2.4</v>
      </c>
      <c r="Y5" s="532">
        <v>2.3818181818181818</v>
      </c>
      <c r="Z5" s="533"/>
      <c r="AA5" s="533"/>
      <c r="AB5" s="533"/>
      <c r="AC5" s="533"/>
      <c r="AD5" s="533"/>
      <c r="AE5" s="533"/>
      <c r="AF5" s="533"/>
      <c r="AG5" s="528" t="s">
        <v>1143</v>
      </c>
      <c r="AH5" s="528" t="s">
        <v>1144</v>
      </c>
      <c r="AI5" s="528">
        <v>3</v>
      </c>
      <c r="AJ5" s="528">
        <v>3</v>
      </c>
      <c r="AK5" s="480">
        <v>0.5</v>
      </c>
      <c r="AL5" s="480">
        <v>0.5</v>
      </c>
      <c r="AM5" s="525" t="s">
        <v>1118</v>
      </c>
      <c r="AN5" s="528">
        <v>12</v>
      </c>
      <c r="AO5" s="528">
        <v>0</v>
      </c>
      <c r="AP5" s="528">
        <v>0</v>
      </c>
      <c r="AQ5" s="528">
        <v>0</v>
      </c>
      <c r="AR5" s="528">
        <v>0</v>
      </c>
      <c r="AS5" s="528">
        <v>0</v>
      </c>
      <c r="AT5" s="528">
        <v>0</v>
      </c>
      <c r="AU5" s="528">
        <v>0</v>
      </c>
      <c r="AV5" s="528">
        <v>0</v>
      </c>
      <c r="AW5" s="528">
        <v>0</v>
      </c>
      <c r="AX5" s="528">
        <v>0</v>
      </c>
      <c r="AY5" s="528">
        <v>0</v>
      </c>
      <c r="AZ5" s="566">
        <v>12</v>
      </c>
      <c r="BA5" s="528" t="s">
        <v>1145</v>
      </c>
      <c r="BB5" s="528"/>
      <c r="BC5" s="528" t="s">
        <v>1145</v>
      </c>
      <c r="BD5" s="528"/>
      <c r="BE5" s="528"/>
      <c r="BF5" s="528"/>
      <c r="BG5" s="529"/>
      <c r="BH5" s="525"/>
      <c r="BI5" s="528"/>
      <c r="BJ5" s="528" t="s">
        <v>1146</v>
      </c>
      <c r="BK5" s="528"/>
      <c r="BL5" s="529"/>
      <c r="BM5" s="529" t="s">
        <v>1694</v>
      </c>
      <c r="BN5" s="525" t="s">
        <v>408</v>
      </c>
    </row>
    <row r="6" spans="1:67" ht="13" customHeight="1" x14ac:dyDescent="0.2">
      <c r="A6" s="525">
        <v>2877</v>
      </c>
      <c r="B6" s="565">
        <v>44937</v>
      </c>
      <c r="C6" s="526" t="s">
        <v>1138</v>
      </c>
      <c r="D6" s="525" t="s">
        <v>1100</v>
      </c>
      <c r="E6" s="527">
        <v>44896</v>
      </c>
      <c r="F6" s="529" t="s">
        <v>1159</v>
      </c>
      <c r="G6" s="525" t="s">
        <v>1105</v>
      </c>
      <c r="H6" s="532">
        <v>77</v>
      </c>
      <c r="I6" s="531" t="s">
        <v>296</v>
      </c>
      <c r="J6" s="459">
        <v>3000</v>
      </c>
      <c r="K6" s="459">
        <v>6000</v>
      </c>
      <c r="L6" s="459">
        <v>9000</v>
      </c>
      <c r="M6" s="459">
        <v>15000</v>
      </c>
      <c r="N6" s="525"/>
      <c r="O6" s="532">
        <v>3.0909090909090904</v>
      </c>
      <c r="P6" s="532">
        <v>2.7636363636363632</v>
      </c>
      <c r="Q6" s="532">
        <v>2.4363636363636365</v>
      </c>
      <c r="R6" s="532">
        <v>2.2818181818181813</v>
      </c>
      <c r="S6" s="532">
        <v>2.2454545454545456</v>
      </c>
      <c r="T6" s="533"/>
      <c r="U6" s="532">
        <v>2.9545454545454541</v>
      </c>
      <c r="V6" s="532">
        <v>2.6636363636363636</v>
      </c>
      <c r="W6" s="532">
        <v>2.3909090909090907</v>
      </c>
      <c r="X6" s="532">
        <v>2.2636363636363637</v>
      </c>
      <c r="Y6" s="532">
        <v>2.2272727272727271</v>
      </c>
      <c r="Z6" s="533"/>
      <c r="AA6" s="533"/>
      <c r="AB6" s="533"/>
      <c r="AC6" s="533"/>
      <c r="AD6" s="533"/>
      <c r="AE6" s="533"/>
      <c r="AF6" s="533"/>
      <c r="AG6" s="528" t="s">
        <v>1143</v>
      </c>
      <c r="AH6" s="528" t="s">
        <v>1144</v>
      </c>
      <c r="AI6" s="528">
        <v>3</v>
      </c>
      <c r="AJ6" s="528">
        <v>3</v>
      </c>
      <c r="AK6" s="480">
        <v>0.5</v>
      </c>
      <c r="AL6" s="480">
        <v>0.5</v>
      </c>
      <c r="AM6" s="525" t="s">
        <v>1118</v>
      </c>
      <c r="AN6" s="528">
        <v>0</v>
      </c>
      <c r="AO6" s="528">
        <v>0</v>
      </c>
      <c r="AP6" s="528">
        <v>0</v>
      </c>
      <c r="AQ6" s="528">
        <v>0</v>
      </c>
      <c r="AR6" s="528">
        <v>0</v>
      </c>
      <c r="AS6" s="528">
        <v>0</v>
      </c>
      <c r="AT6" s="528">
        <v>0</v>
      </c>
      <c r="AU6" s="528">
        <v>0</v>
      </c>
      <c r="AV6" s="528">
        <v>0</v>
      </c>
      <c r="AW6" s="528">
        <v>0</v>
      </c>
      <c r="AX6" s="528">
        <v>0</v>
      </c>
      <c r="AY6" s="528">
        <v>0</v>
      </c>
      <c r="AZ6" s="528"/>
      <c r="BA6" s="528" t="s">
        <v>1145</v>
      </c>
      <c r="BB6" s="528"/>
      <c r="BC6" s="528" t="s">
        <v>1145</v>
      </c>
      <c r="BD6" s="528"/>
      <c r="BE6" s="528"/>
      <c r="BF6" s="564">
        <v>45351</v>
      </c>
      <c r="BG6" s="529"/>
      <c r="BH6" s="525"/>
      <c r="BI6" s="528"/>
      <c r="BJ6" s="528" t="s">
        <v>1146</v>
      </c>
      <c r="BK6" s="528"/>
      <c r="BL6" s="529"/>
      <c r="BM6" s="529" t="s">
        <v>1695</v>
      </c>
      <c r="BN6" s="525" t="s">
        <v>368</v>
      </c>
    </row>
    <row r="7" spans="1:67" ht="13" customHeight="1" x14ac:dyDescent="0.2">
      <c r="A7" s="525">
        <v>3366</v>
      </c>
      <c r="B7" s="565">
        <v>44937</v>
      </c>
      <c r="C7" s="526" t="s">
        <v>1138</v>
      </c>
      <c r="D7" s="525" t="s">
        <v>1100</v>
      </c>
      <c r="E7" s="527">
        <v>44927</v>
      </c>
      <c r="F7" s="529" t="s">
        <v>1166</v>
      </c>
      <c r="G7" s="525" t="s">
        <v>1651</v>
      </c>
      <c r="H7" s="532">
        <v>76.281818181818167</v>
      </c>
      <c r="I7" s="531" t="s">
        <v>296</v>
      </c>
      <c r="J7" s="459">
        <v>6000</v>
      </c>
      <c r="K7" s="459">
        <v>6000</v>
      </c>
      <c r="L7" s="459">
        <v>6000</v>
      </c>
      <c r="M7" s="459">
        <v>6000</v>
      </c>
      <c r="N7" s="568"/>
      <c r="O7" s="532">
        <v>2.7272727272727271</v>
      </c>
      <c r="P7" s="532">
        <v>0</v>
      </c>
      <c r="Q7" s="532">
        <v>0</v>
      </c>
      <c r="R7" s="532">
        <v>0</v>
      </c>
      <c r="S7" s="532">
        <v>1.8090909090909089</v>
      </c>
      <c r="T7" s="533"/>
      <c r="U7" s="532">
        <v>2.7272727272727271</v>
      </c>
      <c r="V7" s="532">
        <v>0</v>
      </c>
      <c r="W7" s="532">
        <v>0</v>
      </c>
      <c r="X7" s="532">
        <v>0</v>
      </c>
      <c r="Y7" s="532">
        <v>1.8090909090909089</v>
      </c>
      <c r="Z7" s="533"/>
      <c r="AA7" s="533"/>
      <c r="AB7" s="533"/>
      <c r="AC7" s="533"/>
      <c r="AD7" s="533"/>
      <c r="AE7" s="533"/>
      <c r="AF7" s="533"/>
      <c r="AG7" s="528" t="s">
        <v>1145</v>
      </c>
      <c r="AH7" s="528"/>
      <c r="AI7" s="528">
        <v>3</v>
      </c>
      <c r="AJ7" s="528">
        <v>3</v>
      </c>
      <c r="AK7" s="480">
        <v>0.5</v>
      </c>
      <c r="AL7" s="480">
        <v>0.5</v>
      </c>
      <c r="AM7" s="525"/>
      <c r="AN7" s="528">
        <v>0</v>
      </c>
      <c r="AO7" s="528">
        <v>0</v>
      </c>
      <c r="AP7" s="528">
        <v>0</v>
      </c>
      <c r="AQ7" s="528">
        <v>0</v>
      </c>
      <c r="AR7" s="528">
        <v>0</v>
      </c>
      <c r="AS7" s="528">
        <v>0</v>
      </c>
      <c r="AT7" s="528">
        <v>0</v>
      </c>
      <c r="AU7" s="528">
        <v>0</v>
      </c>
      <c r="AV7" s="528">
        <v>0</v>
      </c>
      <c r="AW7" s="528">
        <v>0</v>
      </c>
      <c r="AX7" s="528">
        <v>0</v>
      </c>
      <c r="AY7" s="528">
        <v>0</v>
      </c>
      <c r="AZ7" s="528"/>
      <c r="BA7" s="528" t="s">
        <v>1145</v>
      </c>
      <c r="BB7" s="528">
        <v>12</v>
      </c>
      <c r="BC7" s="528" t="s">
        <v>1145</v>
      </c>
      <c r="BD7" s="528"/>
      <c r="BE7" s="528"/>
      <c r="BF7" s="528"/>
      <c r="BG7" s="529"/>
      <c r="BH7" s="525"/>
      <c r="BI7" s="600"/>
      <c r="BJ7" s="528" t="s">
        <v>1146</v>
      </c>
      <c r="BK7" s="528"/>
      <c r="BL7" s="529"/>
      <c r="BM7" s="525" t="s">
        <v>1696</v>
      </c>
      <c r="BN7" s="525" t="s">
        <v>408</v>
      </c>
      <c r="BO7" s="366"/>
    </row>
    <row r="8" spans="1:67" ht="13" customHeight="1" x14ac:dyDescent="0.2">
      <c r="A8" s="525">
        <v>2394</v>
      </c>
      <c r="B8" s="565">
        <v>44937</v>
      </c>
      <c r="C8" s="526" t="s">
        <v>1138</v>
      </c>
      <c r="D8" s="525" t="s">
        <v>1100</v>
      </c>
      <c r="E8" s="570">
        <v>44896</v>
      </c>
      <c r="F8" s="529" t="s">
        <v>1168</v>
      </c>
      <c r="G8" s="525" t="s">
        <v>1297</v>
      </c>
      <c r="H8" s="532">
        <v>77</v>
      </c>
      <c r="I8" s="531" t="s">
        <v>296</v>
      </c>
      <c r="J8" s="459">
        <v>3000</v>
      </c>
      <c r="K8" s="459">
        <v>6000</v>
      </c>
      <c r="L8" s="459">
        <v>9000</v>
      </c>
      <c r="M8" s="459">
        <v>15000</v>
      </c>
      <c r="N8" s="525"/>
      <c r="O8" s="532">
        <v>2.8727272727272726</v>
      </c>
      <c r="P8" s="532">
        <v>2.5181818181818181</v>
      </c>
      <c r="Q8" s="532">
        <v>2.1999999999999997</v>
      </c>
      <c r="R8" s="532">
        <v>2.0181818181818181</v>
      </c>
      <c r="S8" s="532">
        <v>1.9545454545454544</v>
      </c>
      <c r="T8" s="533"/>
      <c r="U8" s="532">
        <v>2.7</v>
      </c>
      <c r="V8" s="532">
        <v>2.4</v>
      </c>
      <c r="W8" s="532">
        <v>2.1</v>
      </c>
      <c r="X8" s="532">
        <v>2</v>
      </c>
      <c r="Y8" s="532">
        <v>1.9545454545454544</v>
      </c>
      <c r="Z8" s="533"/>
      <c r="AA8" s="533"/>
      <c r="AB8" s="533"/>
      <c r="AC8" s="533"/>
      <c r="AD8" s="533"/>
      <c r="AE8" s="533"/>
      <c r="AF8" s="533"/>
      <c r="AG8" s="528" t="s">
        <v>1143</v>
      </c>
      <c r="AH8" s="528" t="s">
        <v>1144</v>
      </c>
      <c r="AI8" s="528">
        <v>3</v>
      </c>
      <c r="AJ8" s="528">
        <v>3</v>
      </c>
      <c r="AK8" s="480">
        <v>0.5</v>
      </c>
      <c r="AL8" s="480">
        <v>0.5</v>
      </c>
      <c r="AM8" s="525" t="s">
        <v>1118</v>
      </c>
      <c r="AN8" s="528">
        <v>0</v>
      </c>
      <c r="AO8" s="528">
        <v>0</v>
      </c>
      <c r="AP8" s="528">
        <v>0</v>
      </c>
      <c r="AQ8" s="528">
        <v>0</v>
      </c>
      <c r="AR8" s="528">
        <v>0</v>
      </c>
      <c r="AS8" s="528">
        <v>0</v>
      </c>
      <c r="AT8" s="528">
        <v>0</v>
      </c>
      <c r="AU8" s="528">
        <v>0</v>
      </c>
      <c r="AV8" s="528">
        <v>0</v>
      </c>
      <c r="AW8" s="528">
        <v>0</v>
      </c>
      <c r="AX8" s="528">
        <v>0</v>
      </c>
      <c r="AY8" s="528">
        <v>0</v>
      </c>
      <c r="AZ8" s="528"/>
      <c r="BA8" s="528" t="s">
        <v>1145</v>
      </c>
      <c r="BB8" s="528"/>
      <c r="BC8" s="528" t="s">
        <v>1145</v>
      </c>
      <c r="BD8" s="528"/>
      <c r="BE8" s="528"/>
      <c r="BF8" s="528"/>
      <c r="BG8" s="529"/>
      <c r="BH8" s="525"/>
      <c r="BI8" s="528"/>
      <c r="BJ8" s="528" t="s">
        <v>1146</v>
      </c>
      <c r="BK8" s="528"/>
      <c r="BL8" s="529"/>
      <c r="BM8" s="529" t="s">
        <v>1697</v>
      </c>
      <c r="BN8" s="525" t="s">
        <v>368</v>
      </c>
    </row>
    <row r="9" spans="1:67" ht="13" customHeight="1" x14ac:dyDescent="0.2">
      <c r="A9" s="525">
        <v>271</v>
      </c>
      <c r="B9" s="565">
        <v>44937</v>
      </c>
      <c r="C9" s="526" t="s">
        <v>1138</v>
      </c>
      <c r="D9" s="525" t="s">
        <v>1100</v>
      </c>
      <c r="E9" s="527">
        <v>44907</v>
      </c>
      <c r="F9" s="529" t="s">
        <v>1169</v>
      </c>
      <c r="G9" s="525" t="s">
        <v>1698</v>
      </c>
      <c r="H9" s="532">
        <v>76.099999999999994</v>
      </c>
      <c r="I9" s="531" t="s">
        <v>296</v>
      </c>
      <c r="J9" s="459">
        <v>3000</v>
      </c>
      <c r="K9" s="459">
        <v>6000</v>
      </c>
      <c r="L9" s="459">
        <v>9000</v>
      </c>
      <c r="M9" s="459">
        <v>15000</v>
      </c>
      <c r="N9" s="525"/>
      <c r="O9" s="532">
        <v>3.4181818181818175</v>
      </c>
      <c r="P9" s="532">
        <v>3.0545454545454542</v>
      </c>
      <c r="Q9" s="532">
        <v>2.6181818181818177</v>
      </c>
      <c r="R9" s="532">
        <v>2.3818181818181818</v>
      </c>
      <c r="S9" s="532">
        <v>2.3181818181818179</v>
      </c>
      <c r="T9" s="533"/>
      <c r="U9" s="532">
        <v>3.2545454545454544</v>
      </c>
      <c r="V9" s="532">
        <v>2.9272727272727272</v>
      </c>
      <c r="W9" s="532">
        <v>2.5636363636363635</v>
      </c>
      <c r="X9" s="532">
        <v>2.336363636363636</v>
      </c>
      <c r="Y9" s="532">
        <v>2.2999999999999998</v>
      </c>
      <c r="Z9" s="533"/>
      <c r="AA9" s="532">
        <v>3.3818181818181818</v>
      </c>
      <c r="AB9" s="532">
        <v>3.0181818181818176</v>
      </c>
      <c r="AC9" s="532">
        <v>2.5999999999999996</v>
      </c>
      <c r="AD9" s="532">
        <v>2.3727272727272726</v>
      </c>
      <c r="AE9" s="532">
        <v>2.3181818181818179</v>
      </c>
      <c r="AF9" s="533"/>
      <c r="AG9" s="528" t="s">
        <v>1143</v>
      </c>
      <c r="AH9" s="528" t="s">
        <v>1144</v>
      </c>
      <c r="AI9" s="333">
        <v>2</v>
      </c>
      <c r="AJ9" s="333">
        <v>4</v>
      </c>
      <c r="AK9" s="483">
        <v>0.33329999999999999</v>
      </c>
      <c r="AL9" s="483">
        <v>0.66659999999999997</v>
      </c>
      <c r="AM9" s="525" t="s">
        <v>1123</v>
      </c>
      <c r="AN9" s="528">
        <v>6</v>
      </c>
      <c r="AO9" s="528">
        <v>0</v>
      </c>
      <c r="AP9" s="528">
        <v>0</v>
      </c>
      <c r="AQ9" s="528">
        <v>0</v>
      </c>
      <c r="AR9" s="528">
        <v>0</v>
      </c>
      <c r="AS9" s="528">
        <v>0</v>
      </c>
      <c r="AT9" s="528">
        <v>0</v>
      </c>
      <c r="AU9" s="528">
        <v>0</v>
      </c>
      <c r="AV9" s="528">
        <v>0</v>
      </c>
      <c r="AW9" s="528">
        <v>0</v>
      </c>
      <c r="AX9" s="528">
        <v>0</v>
      </c>
      <c r="AY9" s="528">
        <v>0</v>
      </c>
      <c r="AZ9" s="528"/>
      <c r="BA9" s="528" t="s">
        <v>1145</v>
      </c>
      <c r="BB9" s="528"/>
      <c r="BC9" s="528" t="s">
        <v>1145</v>
      </c>
      <c r="BD9" s="528"/>
      <c r="BE9" s="528"/>
      <c r="BF9" s="528"/>
      <c r="BG9" s="529"/>
      <c r="BH9" s="525"/>
      <c r="BI9" s="528"/>
      <c r="BJ9" s="528" t="s">
        <v>1146</v>
      </c>
      <c r="BK9" s="528"/>
      <c r="BL9" s="529"/>
      <c r="BM9" s="602" t="s">
        <v>1699</v>
      </c>
      <c r="BN9" s="525" t="s">
        <v>368</v>
      </c>
    </row>
    <row r="10" spans="1:67" ht="13" customHeight="1" x14ac:dyDescent="0.2">
      <c r="A10" s="525">
        <v>1682</v>
      </c>
      <c r="B10" s="565">
        <v>44938</v>
      </c>
      <c r="C10" s="526" t="s">
        <v>295</v>
      </c>
      <c r="D10" s="525" t="s">
        <v>1100</v>
      </c>
      <c r="E10" s="527">
        <v>44926</v>
      </c>
      <c r="F10" s="529" t="s">
        <v>1106</v>
      </c>
      <c r="G10" s="525" t="s">
        <v>2</v>
      </c>
      <c r="H10" s="532">
        <v>59</v>
      </c>
      <c r="I10" s="531" t="s">
        <v>296</v>
      </c>
      <c r="J10" s="459">
        <v>6000</v>
      </c>
      <c r="K10" s="459">
        <v>6000</v>
      </c>
      <c r="L10" s="459">
        <v>6000</v>
      </c>
      <c r="M10" s="459">
        <v>6000</v>
      </c>
      <c r="N10" s="525"/>
      <c r="O10" s="532">
        <v>2.8090909090909086</v>
      </c>
      <c r="P10" s="532">
        <v>0</v>
      </c>
      <c r="Q10" s="532">
        <v>0</v>
      </c>
      <c r="R10" s="532">
        <v>0</v>
      </c>
      <c r="S10" s="532">
        <v>2.4090909090909087</v>
      </c>
      <c r="T10" s="533"/>
      <c r="U10" s="532">
        <v>2.8090909090909086</v>
      </c>
      <c r="V10" s="532">
        <v>0</v>
      </c>
      <c r="W10" s="532">
        <v>0</v>
      </c>
      <c r="X10" s="532">
        <v>0</v>
      </c>
      <c r="Y10" s="532">
        <v>2.4090909090909087</v>
      </c>
      <c r="Z10" s="533"/>
      <c r="AA10" s="533"/>
      <c r="AB10" s="533"/>
      <c r="AC10" s="533"/>
      <c r="AD10" s="533"/>
      <c r="AE10" s="533"/>
      <c r="AF10" s="533"/>
      <c r="AG10" s="528" t="s">
        <v>297</v>
      </c>
      <c r="AH10" s="528" t="s">
        <v>298</v>
      </c>
      <c r="AI10" s="333">
        <v>2</v>
      </c>
      <c r="AJ10" s="333">
        <v>4</v>
      </c>
      <c r="AK10" s="483">
        <v>0.33329999999999999</v>
      </c>
      <c r="AL10" s="483">
        <v>0.66659999999999997</v>
      </c>
      <c r="AM10" s="525" t="s">
        <v>1124</v>
      </c>
      <c r="AN10" s="528">
        <v>0</v>
      </c>
      <c r="AO10" s="528">
        <v>0</v>
      </c>
      <c r="AP10" s="528">
        <v>2</v>
      </c>
      <c r="AQ10" s="528">
        <v>0</v>
      </c>
      <c r="AR10" s="528">
        <v>0</v>
      </c>
      <c r="AS10" s="528">
        <v>0</v>
      </c>
      <c r="AT10" s="528">
        <v>0</v>
      </c>
      <c r="AU10" s="528">
        <v>0</v>
      </c>
      <c r="AV10" s="528">
        <v>0</v>
      </c>
      <c r="AW10" s="528">
        <v>0</v>
      </c>
      <c r="AX10" s="528">
        <v>0</v>
      </c>
      <c r="AY10" s="528">
        <v>0</v>
      </c>
      <c r="AZ10" s="528"/>
      <c r="BA10" s="528" t="s">
        <v>1145</v>
      </c>
      <c r="BB10" s="528"/>
      <c r="BC10" s="528" t="s">
        <v>1145</v>
      </c>
      <c r="BD10" s="528"/>
      <c r="BE10" s="528"/>
      <c r="BF10" s="529"/>
      <c r="BG10" s="529" t="s">
        <v>1700</v>
      </c>
      <c r="BH10" s="525" t="s">
        <v>365</v>
      </c>
      <c r="BI10" s="528">
        <v>60</v>
      </c>
      <c r="BJ10" s="528" t="s">
        <v>1146</v>
      </c>
      <c r="BK10" s="528">
        <v>1</v>
      </c>
      <c r="BL10" s="525" t="s">
        <v>1701</v>
      </c>
      <c r="BM10" s="529" t="s">
        <v>1702</v>
      </c>
      <c r="BN10" s="525" t="s">
        <v>408</v>
      </c>
    </row>
    <row r="11" spans="1:67" ht="13" customHeight="1" x14ac:dyDescent="0.2">
      <c r="A11" s="525">
        <v>2745</v>
      </c>
      <c r="B11" s="565">
        <v>44937</v>
      </c>
      <c r="C11" s="526" t="s">
        <v>1138</v>
      </c>
      <c r="D11" s="525" t="s">
        <v>1100</v>
      </c>
      <c r="E11" s="527">
        <v>44927</v>
      </c>
      <c r="F11" s="525" t="s">
        <v>1274</v>
      </c>
      <c r="G11" s="525" t="s">
        <v>1467</v>
      </c>
      <c r="H11" s="532">
        <v>75</v>
      </c>
      <c r="I11" s="531" t="s">
        <v>296</v>
      </c>
      <c r="J11" s="409">
        <v>3000</v>
      </c>
      <c r="K11" s="409">
        <v>7500</v>
      </c>
      <c r="L11" s="409">
        <v>7500</v>
      </c>
      <c r="M11" s="409">
        <v>7500</v>
      </c>
      <c r="N11" s="332"/>
      <c r="O11" s="532">
        <v>4</v>
      </c>
      <c r="P11" s="532">
        <v>3.5</v>
      </c>
      <c r="Q11" s="532">
        <v>0</v>
      </c>
      <c r="R11" s="532">
        <v>0</v>
      </c>
      <c r="S11" s="532">
        <v>2.9</v>
      </c>
      <c r="T11" s="571"/>
      <c r="U11" s="532">
        <v>4</v>
      </c>
      <c r="V11" s="532">
        <v>3.5</v>
      </c>
      <c r="W11" s="532">
        <v>0</v>
      </c>
      <c r="X11" s="532">
        <v>0</v>
      </c>
      <c r="Y11" s="532">
        <v>2.9</v>
      </c>
      <c r="Z11" s="571"/>
      <c r="AA11" s="571"/>
      <c r="AB11" s="571"/>
      <c r="AC11" s="571"/>
      <c r="AD11" s="571"/>
      <c r="AE11" s="571"/>
      <c r="AF11" s="571"/>
      <c r="AG11" s="333" t="s">
        <v>1145</v>
      </c>
      <c r="AH11" s="333"/>
      <c r="AI11" s="528">
        <v>3</v>
      </c>
      <c r="AJ11" s="528">
        <v>3</v>
      </c>
      <c r="AK11" s="480">
        <v>0.5</v>
      </c>
      <c r="AL11" s="480">
        <v>0.5</v>
      </c>
      <c r="AM11" s="525"/>
      <c r="AN11" s="528">
        <v>0</v>
      </c>
      <c r="AO11" s="528">
        <v>7</v>
      </c>
      <c r="AP11" s="528">
        <v>0</v>
      </c>
      <c r="AQ11" s="528">
        <v>3</v>
      </c>
      <c r="AR11" s="528">
        <v>0</v>
      </c>
      <c r="AS11" s="528">
        <v>0</v>
      </c>
      <c r="AT11" s="528">
        <v>0</v>
      </c>
      <c r="AU11" s="528">
        <v>0</v>
      </c>
      <c r="AV11" s="528">
        <v>0</v>
      </c>
      <c r="AW11" s="528">
        <v>0</v>
      </c>
      <c r="AX11" s="528">
        <v>0</v>
      </c>
      <c r="AY11" s="528">
        <v>0</v>
      </c>
      <c r="AZ11" s="528"/>
      <c r="BA11" s="528" t="s">
        <v>1145</v>
      </c>
      <c r="BB11" s="528"/>
      <c r="BC11" s="528" t="s">
        <v>1145</v>
      </c>
      <c r="BD11" s="528"/>
      <c r="BE11" s="528"/>
      <c r="BF11" s="528"/>
      <c r="BG11" s="529"/>
      <c r="BH11" s="525"/>
      <c r="BI11" s="528"/>
      <c r="BJ11" s="528" t="s">
        <v>1146</v>
      </c>
      <c r="BK11" s="528">
        <v>1</v>
      </c>
      <c r="BL11" s="529"/>
      <c r="BM11" s="529" t="s">
        <v>1703</v>
      </c>
      <c r="BN11" s="525" t="s">
        <v>408</v>
      </c>
    </row>
    <row r="12" spans="1:67" ht="13" customHeight="1" x14ac:dyDescent="0.2">
      <c r="A12" s="525">
        <v>2936</v>
      </c>
      <c r="B12" s="565">
        <v>44937</v>
      </c>
      <c r="C12" s="526" t="s">
        <v>1138</v>
      </c>
      <c r="D12" s="525" t="s">
        <v>1100</v>
      </c>
      <c r="E12" s="527">
        <v>44853</v>
      </c>
      <c r="F12" s="525" t="s">
        <v>1483</v>
      </c>
      <c r="G12" s="525" t="s">
        <v>1550</v>
      </c>
      <c r="H12" s="532">
        <v>102.99999999999999</v>
      </c>
      <c r="I12" s="531" t="s">
        <v>296</v>
      </c>
      <c r="J12" s="459">
        <v>3000</v>
      </c>
      <c r="K12" s="459">
        <v>6000</v>
      </c>
      <c r="L12" s="459">
        <v>9000</v>
      </c>
      <c r="M12" s="459">
        <v>15000</v>
      </c>
      <c r="N12" s="332"/>
      <c r="O12" s="532">
        <v>2.2272727272727271</v>
      </c>
      <c r="P12" s="532">
        <v>2.0363636363636366</v>
      </c>
      <c r="Q12" s="532">
        <v>1.7999999999999998</v>
      </c>
      <c r="R12" s="532">
        <v>1.6818181818181817</v>
      </c>
      <c r="S12" s="532">
        <v>1.6545454545454545</v>
      </c>
      <c r="T12" s="571"/>
      <c r="U12" s="532">
        <v>2.0727272727272723</v>
      </c>
      <c r="V12" s="532">
        <v>1.9090909090909089</v>
      </c>
      <c r="W12" s="532">
        <v>1.7090909090909088</v>
      </c>
      <c r="X12" s="532">
        <v>1.5999999999999999</v>
      </c>
      <c r="Y12" s="532">
        <v>1.5818181818181818</v>
      </c>
      <c r="Z12" s="571"/>
      <c r="AA12" s="571"/>
      <c r="AB12" s="571"/>
      <c r="AC12" s="571"/>
      <c r="AD12" s="571"/>
      <c r="AE12" s="571"/>
      <c r="AF12" s="571"/>
      <c r="AG12" s="528" t="s">
        <v>1143</v>
      </c>
      <c r="AH12" s="528" t="s">
        <v>1144</v>
      </c>
      <c r="AI12" s="528">
        <v>3</v>
      </c>
      <c r="AJ12" s="528">
        <v>3</v>
      </c>
      <c r="AK12" s="480">
        <v>0.5</v>
      </c>
      <c r="AL12" s="480">
        <v>0.5</v>
      </c>
      <c r="AM12" s="525" t="s">
        <v>1118</v>
      </c>
      <c r="AN12" s="528">
        <v>0</v>
      </c>
      <c r="AO12" s="528">
        <v>0</v>
      </c>
      <c r="AP12" s="528">
        <v>0</v>
      </c>
      <c r="AQ12" s="528">
        <v>0</v>
      </c>
      <c r="AR12" s="528">
        <v>0</v>
      </c>
      <c r="AS12" s="528">
        <v>0</v>
      </c>
      <c r="AT12" s="528">
        <v>0</v>
      </c>
      <c r="AU12" s="528">
        <v>0</v>
      </c>
      <c r="AV12" s="528">
        <v>0</v>
      </c>
      <c r="AW12" s="528">
        <v>0</v>
      </c>
      <c r="AX12" s="528">
        <v>0</v>
      </c>
      <c r="AY12" s="528">
        <v>0</v>
      </c>
      <c r="AZ12" s="528"/>
      <c r="BA12" s="528" t="s">
        <v>1145</v>
      </c>
      <c r="BB12" s="528"/>
      <c r="BC12" s="528" t="s">
        <v>1145</v>
      </c>
      <c r="BD12" s="528"/>
      <c r="BE12" s="528"/>
      <c r="BF12" s="564"/>
      <c r="BG12" s="529"/>
      <c r="BH12" s="525"/>
      <c r="BI12" s="528"/>
      <c r="BJ12" s="528" t="s">
        <v>4</v>
      </c>
      <c r="BK12" s="528"/>
      <c r="BL12" s="529"/>
      <c r="BM12" s="525" t="s">
        <v>1704</v>
      </c>
      <c r="BN12" s="525" t="s">
        <v>368</v>
      </c>
    </row>
    <row r="13" spans="1:67" ht="16" x14ac:dyDescent="0.2">
      <c r="A13" s="525">
        <v>3704</v>
      </c>
      <c r="B13" s="565">
        <v>44939</v>
      </c>
      <c r="C13" s="526" t="s">
        <v>1138</v>
      </c>
      <c r="D13" s="525" t="s">
        <v>1100</v>
      </c>
      <c r="E13" s="527">
        <v>44927</v>
      </c>
      <c r="F13" s="525" t="s">
        <v>1057</v>
      </c>
      <c r="G13" s="525" t="s">
        <v>1734</v>
      </c>
      <c r="H13" s="340">
        <v>85.6</v>
      </c>
      <c r="I13" s="531" t="s">
        <v>296</v>
      </c>
      <c r="J13" s="459">
        <v>3000</v>
      </c>
      <c r="K13" s="459">
        <v>6000</v>
      </c>
      <c r="L13" s="459">
        <v>9000</v>
      </c>
      <c r="M13" s="459">
        <v>9000</v>
      </c>
      <c r="N13" s="297"/>
      <c r="O13" s="340">
        <v>3.7999999999999994</v>
      </c>
      <c r="P13" s="340">
        <v>3.3</v>
      </c>
      <c r="Q13" s="340">
        <v>2.9</v>
      </c>
      <c r="R13" s="340">
        <v>2.7</v>
      </c>
      <c r="S13" s="340">
        <v>2.5999999999999996</v>
      </c>
      <c r="T13" s="571"/>
      <c r="U13" s="340">
        <v>3.5999999999999996</v>
      </c>
      <c r="V13" s="340">
        <v>3.1999999999999997</v>
      </c>
      <c r="W13" s="340">
        <v>2.8</v>
      </c>
      <c r="X13" s="340">
        <v>2.5999999999999996</v>
      </c>
      <c r="Y13" s="340">
        <v>2.5999999999999996</v>
      </c>
      <c r="Z13" s="297"/>
      <c r="AA13" s="297"/>
      <c r="AB13" s="297"/>
      <c r="AC13" s="297"/>
      <c r="AD13" s="297"/>
      <c r="AE13" s="297"/>
      <c r="AF13" s="297"/>
      <c r="AG13" s="333" t="s">
        <v>1143</v>
      </c>
      <c r="AH13" s="333" t="s">
        <v>1144</v>
      </c>
      <c r="AI13" s="528">
        <v>3</v>
      </c>
      <c r="AJ13" s="528">
        <v>3</v>
      </c>
      <c r="AK13" s="480">
        <v>0.5</v>
      </c>
      <c r="AL13" s="480">
        <v>0.5</v>
      </c>
      <c r="AM13" s="525" t="s">
        <v>1118</v>
      </c>
      <c r="AN13" s="528">
        <v>0</v>
      </c>
      <c r="AO13" s="528">
        <v>0</v>
      </c>
      <c r="AP13" s="528">
        <v>0</v>
      </c>
      <c r="AQ13" s="528">
        <v>0</v>
      </c>
      <c r="AR13" s="528">
        <v>0</v>
      </c>
      <c r="AS13" s="528">
        <v>0</v>
      </c>
      <c r="AT13" s="528">
        <v>0</v>
      </c>
      <c r="AU13" s="528">
        <v>0</v>
      </c>
      <c r="AV13" s="528">
        <v>0</v>
      </c>
      <c r="AW13" s="528">
        <v>0</v>
      </c>
      <c r="AX13" s="528">
        <v>0</v>
      </c>
      <c r="AY13" s="528">
        <v>0</v>
      </c>
      <c r="AZ13" s="528"/>
      <c r="BA13" s="528" t="s">
        <v>1145</v>
      </c>
      <c r="BB13" s="528"/>
      <c r="BC13" s="528" t="s">
        <v>1145</v>
      </c>
      <c r="BD13" s="528"/>
      <c r="BE13" s="528"/>
      <c r="BF13" s="528"/>
      <c r="BG13" s="529"/>
      <c r="BH13" s="525"/>
      <c r="BI13" s="528"/>
      <c r="BJ13" s="528" t="s">
        <v>1146</v>
      </c>
      <c r="BK13" s="528"/>
      <c r="BL13" s="529" t="s">
        <v>1735</v>
      </c>
      <c r="BM13" s="530" t="s">
        <v>1740</v>
      </c>
      <c r="BN13" s="525" t="s">
        <v>1121</v>
      </c>
    </row>
    <row r="14" spans="1:67" ht="13" customHeight="1" x14ac:dyDescent="0.2">
      <c r="A14" s="525">
        <v>3634</v>
      </c>
      <c r="B14" s="565">
        <v>44937</v>
      </c>
      <c r="C14" s="526" t="s">
        <v>1138</v>
      </c>
      <c r="D14" s="525" t="s">
        <v>1100</v>
      </c>
      <c r="E14" s="527">
        <v>44935</v>
      </c>
      <c r="F14" s="525" t="s">
        <v>1173</v>
      </c>
      <c r="G14" s="525" t="s">
        <v>1705</v>
      </c>
      <c r="H14" s="532">
        <v>104.99999999999999</v>
      </c>
      <c r="I14" s="531" t="s">
        <v>296</v>
      </c>
      <c r="J14" s="409">
        <v>15000</v>
      </c>
      <c r="K14" s="409">
        <v>15000</v>
      </c>
      <c r="L14" s="409">
        <v>15000</v>
      </c>
      <c r="M14" s="409">
        <v>15000</v>
      </c>
      <c r="N14" s="332"/>
      <c r="O14" s="532">
        <v>5.0999999999999996</v>
      </c>
      <c r="P14" s="532">
        <v>0</v>
      </c>
      <c r="Q14" s="532">
        <v>0</v>
      </c>
      <c r="R14" s="532">
        <v>0</v>
      </c>
      <c r="S14" s="532">
        <v>3.5999999999999996</v>
      </c>
      <c r="T14" s="571"/>
      <c r="U14" s="532">
        <v>4.2</v>
      </c>
      <c r="V14" s="532">
        <v>0</v>
      </c>
      <c r="W14" s="532">
        <v>0</v>
      </c>
      <c r="X14" s="532">
        <v>0</v>
      </c>
      <c r="Y14" s="532">
        <v>2.9999999999999996</v>
      </c>
      <c r="Z14" s="571"/>
      <c r="AA14" s="571"/>
      <c r="AB14" s="571"/>
      <c r="AC14" s="571"/>
      <c r="AD14" s="571"/>
      <c r="AE14" s="571"/>
      <c r="AF14" s="571"/>
      <c r="AG14" s="528" t="s">
        <v>1143</v>
      </c>
      <c r="AH14" s="528" t="s">
        <v>1144</v>
      </c>
      <c r="AI14" s="528">
        <v>3</v>
      </c>
      <c r="AJ14" s="528">
        <v>3</v>
      </c>
      <c r="AK14" s="480">
        <v>0.5</v>
      </c>
      <c r="AL14" s="480">
        <v>0.5</v>
      </c>
      <c r="AM14" s="525" t="s">
        <v>1118</v>
      </c>
      <c r="AN14" s="528">
        <v>0</v>
      </c>
      <c r="AO14" s="528">
        <v>0</v>
      </c>
      <c r="AP14" s="528">
        <v>0</v>
      </c>
      <c r="AQ14" s="528">
        <v>0</v>
      </c>
      <c r="AR14" s="528">
        <v>0</v>
      </c>
      <c r="AS14" s="528">
        <v>0</v>
      </c>
      <c r="AT14" s="528">
        <v>0</v>
      </c>
      <c r="AU14" s="528">
        <v>0</v>
      </c>
      <c r="AV14" s="528">
        <v>0</v>
      </c>
      <c r="AW14" s="528">
        <v>0</v>
      </c>
      <c r="AX14" s="528">
        <v>0</v>
      </c>
      <c r="AY14" s="528">
        <v>0</v>
      </c>
      <c r="AZ14" s="528"/>
      <c r="BA14" s="528" t="s">
        <v>1145</v>
      </c>
      <c r="BB14" s="528"/>
      <c r="BC14" s="528" t="s">
        <v>1145</v>
      </c>
      <c r="BD14" s="528"/>
      <c r="BE14" s="528"/>
      <c r="BF14" s="564"/>
      <c r="BG14" s="529"/>
      <c r="BH14" s="525"/>
      <c r="BI14" s="528"/>
      <c r="BJ14" s="528" t="s">
        <v>4</v>
      </c>
      <c r="BK14" s="528"/>
      <c r="BL14" s="529"/>
      <c r="BM14" s="525" t="s">
        <v>1706</v>
      </c>
      <c r="BN14" s="525" t="s">
        <v>408</v>
      </c>
    </row>
    <row r="15" spans="1:67" ht="13" customHeight="1" x14ac:dyDescent="0.2">
      <c r="A15" s="525">
        <v>3160</v>
      </c>
      <c r="B15" s="565">
        <v>44937</v>
      </c>
      <c r="C15" s="526" t="s">
        <v>1138</v>
      </c>
      <c r="D15" s="525" t="s">
        <v>1108</v>
      </c>
      <c r="E15" s="527">
        <v>44927</v>
      </c>
      <c r="F15" s="529" t="s">
        <v>1139</v>
      </c>
      <c r="G15" s="525" t="s">
        <v>1646</v>
      </c>
      <c r="H15" s="532">
        <v>74.5</v>
      </c>
      <c r="I15" s="531" t="s">
        <v>1141</v>
      </c>
      <c r="J15" s="459">
        <v>3000</v>
      </c>
      <c r="K15" s="459">
        <v>6000</v>
      </c>
      <c r="L15" s="459">
        <v>9000</v>
      </c>
      <c r="M15" s="459">
        <v>15000</v>
      </c>
      <c r="N15" s="525"/>
      <c r="O15" s="532">
        <v>3.3272727272727272</v>
      </c>
      <c r="P15" s="532">
        <v>2.9454545454545453</v>
      </c>
      <c r="Q15" s="532">
        <v>2.3636363636363633</v>
      </c>
      <c r="R15" s="532">
        <v>1.9454545454545453</v>
      </c>
      <c r="S15" s="532">
        <v>1.8909090909090909</v>
      </c>
      <c r="T15" s="533"/>
      <c r="U15" s="532">
        <v>3.1181818181818182</v>
      </c>
      <c r="V15" s="532">
        <v>2.7272727272727271</v>
      </c>
      <c r="W15" s="532">
        <v>2.2363636363636363</v>
      </c>
      <c r="X15" s="532">
        <v>1.8909090909090909</v>
      </c>
      <c r="Y15" s="532">
        <v>1.6545454545454545</v>
      </c>
      <c r="Z15" s="533"/>
      <c r="AA15" s="533"/>
      <c r="AB15" s="533"/>
      <c r="AC15" s="533"/>
      <c r="AD15" s="533"/>
      <c r="AE15" s="533"/>
      <c r="AF15" s="533"/>
      <c r="AG15" s="528" t="s">
        <v>1143</v>
      </c>
      <c r="AH15" s="528" t="s">
        <v>1144</v>
      </c>
      <c r="AI15" s="528">
        <v>3</v>
      </c>
      <c r="AJ15" s="528">
        <v>3</v>
      </c>
      <c r="AK15" s="480">
        <v>0.5</v>
      </c>
      <c r="AL15" s="480">
        <v>0.5</v>
      </c>
      <c r="AM15" s="525" t="s">
        <v>1118</v>
      </c>
      <c r="AN15" s="528">
        <v>0</v>
      </c>
      <c r="AO15" s="528">
        <v>0</v>
      </c>
      <c r="AP15" s="528">
        <v>0</v>
      </c>
      <c r="AQ15" s="528">
        <v>0</v>
      </c>
      <c r="AR15" s="528">
        <v>0</v>
      </c>
      <c r="AS15" s="528">
        <v>0</v>
      </c>
      <c r="AT15" s="528">
        <v>0</v>
      </c>
      <c r="AU15" s="528">
        <v>0</v>
      </c>
      <c r="AV15" s="528">
        <v>0</v>
      </c>
      <c r="AW15" s="528">
        <v>0</v>
      </c>
      <c r="AX15" s="528">
        <v>0</v>
      </c>
      <c r="AY15" s="528">
        <v>0</v>
      </c>
      <c r="AZ15" s="528"/>
      <c r="BA15" s="528" t="s">
        <v>1145</v>
      </c>
      <c r="BB15" s="528"/>
      <c r="BC15" s="528" t="s">
        <v>1145</v>
      </c>
      <c r="BD15" s="528"/>
      <c r="BE15" s="528"/>
      <c r="BF15" s="528"/>
      <c r="BG15" s="597"/>
      <c r="BH15" s="598"/>
      <c r="BI15" s="566"/>
      <c r="BJ15" s="528" t="s">
        <v>1146</v>
      </c>
      <c r="BK15" s="528"/>
      <c r="BL15" s="529" t="s">
        <v>1647</v>
      </c>
      <c r="BM15" s="529" t="s">
        <v>430</v>
      </c>
      <c r="BN15" s="525" t="s">
        <v>408</v>
      </c>
    </row>
    <row r="16" spans="1:67" ht="13" customHeight="1" x14ac:dyDescent="0.2">
      <c r="A16" s="525">
        <v>1048</v>
      </c>
      <c r="B16" s="565">
        <v>44937</v>
      </c>
      <c r="C16" s="526" t="s">
        <v>1138</v>
      </c>
      <c r="D16" s="525" t="s">
        <v>1108</v>
      </c>
      <c r="E16" s="527">
        <v>44805</v>
      </c>
      <c r="F16" s="529" t="s">
        <v>1148</v>
      </c>
      <c r="G16" s="525" t="s">
        <v>1280</v>
      </c>
      <c r="H16" s="532">
        <v>64.86363636363636</v>
      </c>
      <c r="I16" s="531" t="s">
        <v>296</v>
      </c>
      <c r="J16" s="459">
        <v>3000</v>
      </c>
      <c r="K16" s="459">
        <v>6000</v>
      </c>
      <c r="L16" s="459">
        <v>6000</v>
      </c>
      <c r="M16" s="459">
        <v>6000</v>
      </c>
      <c r="N16" s="525"/>
      <c r="O16" s="532">
        <v>2.3545454545454541</v>
      </c>
      <c r="P16" s="532">
        <v>2.0818181818181816</v>
      </c>
      <c r="Q16" s="532">
        <v>0</v>
      </c>
      <c r="R16" s="532">
        <v>0</v>
      </c>
      <c r="S16" s="532">
        <v>1.6272727272727272</v>
      </c>
      <c r="T16" s="533"/>
      <c r="U16" s="532">
        <v>2.2636363636363637</v>
      </c>
      <c r="V16" s="532">
        <v>1.9818181818181817</v>
      </c>
      <c r="W16" s="532">
        <v>0</v>
      </c>
      <c r="X16" s="532">
        <v>0</v>
      </c>
      <c r="Y16" s="532">
        <v>1.6272727272727272</v>
      </c>
      <c r="Z16" s="533"/>
      <c r="AA16" s="533"/>
      <c r="AB16" s="533"/>
      <c r="AC16" s="533"/>
      <c r="AD16" s="533"/>
      <c r="AE16" s="533"/>
      <c r="AF16" s="533"/>
      <c r="AG16" s="528" t="s">
        <v>1143</v>
      </c>
      <c r="AH16" s="528" t="s">
        <v>1144</v>
      </c>
      <c r="AI16" s="528">
        <v>3</v>
      </c>
      <c r="AJ16" s="528">
        <v>3</v>
      </c>
      <c r="AK16" s="480">
        <v>0.5</v>
      </c>
      <c r="AL16" s="480">
        <v>0.5</v>
      </c>
      <c r="AM16" s="525" t="s">
        <v>1118</v>
      </c>
      <c r="AN16" s="528">
        <v>0</v>
      </c>
      <c r="AO16" s="528">
        <v>0</v>
      </c>
      <c r="AP16" s="528">
        <v>0</v>
      </c>
      <c r="AQ16" s="528">
        <v>0</v>
      </c>
      <c r="AR16" s="528">
        <v>0</v>
      </c>
      <c r="AS16" s="528">
        <v>0</v>
      </c>
      <c r="AT16" s="528">
        <v>0</v>
      </c>
      <c r="AU16" s="528">
        <v>0</v>
      </c>
      <c r="AV16" s="528">
        <v>0</v>
      </c>
      <c r="AW16" s="528">
        <v>0</v>
      </c>
      <c r="AX16" s="528">
        <v>0</v>
      </c>
      <c r="AY16" s="528">
        <v>0</v>
      </c>
      <c r="AZ16" s="528"/>
      <c r="BA16" s="528" t="s">
        <v>1145</v>
      </c>
      <c r="BB16" s="528"/>
      <c r="BC16" s="528" t="s">
        <v>1145</v>
      </c>
      <c r="BD16" s="528"/>
      <c r="BE16" s="528"/>
      <c r="BF16" s="528"/>
      <c r="BG16" s="529"/>
      <c r="BH16" s="525"/>
      <c r="BI16" s="528"/>
      <c r="BJ16" s="528" t="s">
        <v>4</v>
      </c>
      <c r="BK16" s="528"/>
      <c r="BL16" s="529"/>
      <c r="BM16" s="525" t="s">
        <v>430</v>
      </c>
      <c r="BN16" s="525" t="s">
        <v>368</v>
      </c>
    </row>
    <row r="17" spans="1:67" ht="13" customHeight="1" x14ac:dyDescent="0.2">
      <c r="A17" s="525">
        <v>2546</v>
      </c>
      <c r="B17" s="565">
        <v>44937</v>
      </c>
      <c r="C17" s="526" t="s">
        <v>1138</v>
      </c>
      <c r="D17" s="525" t="s">
        <v>1108</v>
      </c>
      <c r="E17" s="527">
        <v>44720</v>
      </c>
      <c r="F17" s="529" t="s">
        <v>1052</v>
      </c>
      <c r="G17" s="525" t="s">
        <v>1181</v>
      </c>
      <c r="H17" s="532">
        <v>53.93636363636363</v>
      </c>
      <c r="I17" s="531" t="s">
        <v>296</v>
      </c>
      <c r="J17" s="459">
        <v>3000</v>
      </c>
      <c r="K17" s="459">
        <v>6000</v>
      </c>
      <c r="L17" s="459">
        <v>9000</v>
      </c>
      <c r="M17" s="459">
        <v>15000</v>
      </c>
      <c r="N17" s="525"/>
      <c r="O17" s="532">
        <v>2.709090909090909</v>
      </c>
      <c r="P17" s="532">
        <v>2.3272727272727272</v>
      </c>
      <c r="Q17" s="532">
        <v>1.9090909090909089</v>
      </c>
      <c r="R17" s="532">
        <v>1.7454545454545451</v>
      </c>
      <c r="S17" s="532">
        <v>1.7</v>
      </c>
      <c r="T17" s="533"/>
      <c r="U17" s="532">
        <v>2.545454545454545</v>
      </c>
      <c r="V17" s="532">
        <v>2.2181818181818178</v>
      </c>
      <c r="W17" s="532">
        <v>1.8636363636363633</v>
      </c>
      <c r="X17" s="532">
        <v>1.718181818181818</v>
      </c>
      <c r="Y17" s="532">
        <v>1.6818181818181817</v>
      </c>
      <c r="Z17" s="533"/>
      <c r="AA17" s="533"/>
      <c r="AB17" s="533"/>
      <c r="AC17" s="533"/>
      <c r="AD17" s="533"/>
      <c r="AE17" s="533"/>
      <c r="AF17" s="533"/>
      <c r="AG17" s="528" t="s">
        <v>1143</v>
      </c>
      <c r="AH17" s="528" t="s">
        <v>1144</v>
      </c>
      <c r="AI17" s="528">
        <v>3</v>
      </c>
      <c r="AJ17" s="528">
        <v>3</v>
      </c>
      <c r="AK17" s="480">
        <v>0.5</v>
      </c>
      <c r="AL17" s="480">
        <v>0.5</v>
      </c>
      <c r="AM17" s="525" t="s">
        <v>1118</v>
      </c>
      <c r="AN17" s="528">
        <v>0</v>
      </c>
      <c r="AO17" s="528">
        <v>0</v>
      </c>
      <c r="AP17" s="528">
        <v>0</v>
      </c>
      <c r="AQ17" s="528">
        <v>0</v>
      </c>
      <c r="AR17" s="528">
        <v>0</v>
      </c>
      <c r="AS17" s="528">
        <v>0</v>
      </c>
      <c r="AT17" s="528">
        <v>0</v>
      </c>
      <c r="AU17" s="528">
        <v>0</v>
      </c>
      <c r="AV17" s="528">
        <v>0</v>
      </c>
      <c r="AW17" s="528">
        <v>0</v>
      </c>
      <c r="AX17" s="528">
        <v>0</v>
      </c>
      <c r="AY17" s="528">
        <v>0</v>
      </c>
      <c r="AZ17" s="528"/>
      <c r="BA17" s="528" t="s">
        <v>1145</v>
      </c>
      <c r="BB17" s="528"/>
      <c r="BC17" s="528" t="s">
        <v>1145</v>
      </c>
      <c r="BD17" s="528"/>
      <c r="BE17" s="528"/>
      <c r="BF17" s="528"/>
      <c r="BG17" s="529"/>
      <c r="BH17" s="525"/>
      <c r="BI17" s="528"/>
      <c r="BJ17" s="528" t="s">
        <v>1146</v>
      </c>
      <c r="BK17" s="528"/>
      <c r="BL17" s="529"/>
      <c r="BM17" s="529" t="s">
        <v>1155</v>
      </c>
      <c r="BN17" s="525" t="s">
        <v>368</v>
      </c>
    </row>
    <row r="18" spans="1:67" ht="13" customHeight="1" x14ac:dyDescent="0.2">
      <c r="A18" s="525">
        <v>3521</v>
      </c>
      <c r="B18" s="565">
        <v>44937</v>
      </c>
      <c r="C18" s="526" t="s">
        <v>1138</v>
      </c>
      <c r="D18" s="525" t="s">
        <v>1108</v>
      </c>
      <c r="E18" s="527">
        <v>44927</v>
      </c>
      <c r="F18" s="529" t="s">
        <v>1156</v>
      </c>
      <c r="G18" s="525" t="s">
        <v>1649</v>
      </c>
      <c r="H18" s="532">
        <v>99.581818181818178</v>
      </c>
      <c r="I18" s="531" t="s">
        <v>296</v>
      </c>
      <c r="J18" s="459">
        <v>3000</v>
      </c>
      <c r="K18" s="459">
        <v>6000</v>
      </c>
      <c r="L18" s="459">
        <v>9000</v>
      </c>
      <c r="M18" s="459">
        <v>15000</v>
      </c>
      <c r="N18" s="525"/>
      <c r="O18" s="532">
        <v>4.1454545454545446</v>
      </c>
      <c r="P18" s="532">
        <v>3.4454545454545453</v>
      </c>
      <c r="Q18" s="532">
        <v>2.8272727272727267</v>
      </c>
      <c r="R18" s="532">
        <v>2.5727272727272728</v>
      </c>
      <c r="S18" s="532">
        <v>2.3909090909090907</v>
      </c>
      <c r="T18" s="533"/>
      <c r="U18" s="532">
        <v>3.9</v>
      </c>
      <c r="V18" s="532">
        <v>3.2818181818181813</v>
      </c>
      <c r="W18" s="532">
        <v>2.6636363636363636</v>
      </c>
      <c r="X18" s="532">
        <v>2.4727272727272727</v>
      </c>
      <c r="Y18" s="532">
        <v>2.3454545454545452</v>
      </c>
      <c r="Z18" s="533"/>
      <c r="AA18" s="533"/>
      <c r="AB18" s="533"/>
      <c r="AC18" s="533"/>
      <c r="AD18" s="533"/>
      <c r="AE18" s="533"/>
      <c r="AF18" s="533"/>
      <c r="AG18" s="528" t="s">
        <v>1143</v>
      </c>
      <c r="AH18" s="528" t="s">
        <v>1144</v>
      </c>
      <c r="AI18" s="528">
        <v>3</v>
      </c>
      <c r="AJ18" s="528">
        <v>3</v>
      </c>
      <c r="AK18" s="480">
        <v>0.5</v>
      </c>
      <c r="AL18" s="480">
        <v>0.5</v>
      </c>
      <c r="AM18" s="525" t="s">
        <v>1118</v>
      </c>
      <c r="AN18" s="528">
        <v>12</v>
      </c>
      <c r="AO18" s="528">
        <v>0</v>
      </c>
      <c r="AP18" s="528">
        <v>0</v>
      </c>
      <c r="AQ18" s="528">
        <v>0</v>
      </c>
      <c r="AR18" s="528">
        <v>0</v>
      </c>
      <c r="AS18" s="528">
        <v>0</v>
      </c>
      <c r="AT18" s="528">
        <v>0</v>
      </c>
      <c r="AU18" s="528">
        <v>0</v>
      </c>
      <c r="AV18" s="528">
        <v>0</v>
      </c>
      <c r="AW18" s="528">
        <v>0</v>
      </c>
      <c r="AX18" s="528">
        <v>0</v>
      </c>
      <c r="AY18" s="528">
        <v>0</v>
      </c>
      <c r="AZ18" s="566">
        <v>12</v>
      </c>
      <c r="BA18" s="528" t="s">
        <v>1145</v>
      </c>
      <c r="BB18" s="528"/>
      <c r="BC18" s="528" t="s">
        <v>1145</v>
      </c>
      <c r="BD18" s="528"/>
      <c r="BE18" s="528"/>
      <c r="BF18" s="528"/>
      <c r="BG18" s="529"/>
      <c r="BH18" s="525"/>
      <c r="BI18" s="528"/>
      <c r="BJ18" s="528" t="s">
        <v>1146</v>
      </c>
      <c r="BK18" s="528"/>
      <c r="BL18" s="529"/>
      <c r="BM18" s="569" t="s">
        <v>430</v>
      </c>
      <c r="BN18" s="525" t="s">
        <v>408</v>
      </c>
    </row>
    <row r="19" spans="1:67" ht="13" customHeight="1" x14ac:dyDescent="0.2">
      <c r="A19" s="525">
        <v>2878</v>
      </c>
      <c r="B19" s="565">
        <v>44937</v>
      </c>
      <c r="C19" s="526" t="s">
        <v>1138</v>
      </c>
      <c r="D19" s="525" t="s">
        <v>1108</v>
      </c>
      <c r="E19" s="527">
        <v>44896</v>
      </c>
      <c r="F19" s="529" t="s">
        <v>1159</v>
      </c>
      <c r="G19" s="525" t="s">
        <v>1105</v>
      </c>
      <c r="H19" s="532">
        <v>77</v>
      </c>
      <c r="I19" s="531" t="s">
        <v>296</v>
      </c>
      <c r="J19" s="459">
        <v>3000</v>
      </c>
      <c r="K19" s="459">
        <v>6000</v>
      </c>
      <c r="L19" s="459">
        <v>9000</v>
      </c>
      <c r="M19" s="459">
        <v>15000</v>
      </c>
      <c r="N19" s="525"/>
      <c r="O19" s="532">
        <v>3.0909090909090904</v>
      </c>
      <c r="P19" s="532">
        <v>2.7636363636363632</v>
      </c>
      <c r="Q19" s="532">
        <v>2.4363636363636365</v>
      </c>
      <c r="R19" s="532">
        <v>2.2818181818181813</v>
      </c>
      <c r="S19" s="532">
        <v>2.2454545454545456</v>
      </c>
      <c r="T19" s="533"/>
      <c r="U19" s="532">
        <v>2.9545454545454541</v>
      </c>
      <c r="V19" s="532">
        <v>2.6636363636363636</v>
      </c>
      <c r="W19" s="532">
        <v>2.3909090909090907</v>
      </c>
      <c r="X19" s="532">
        <v>2.2636363636363637</v>
      </c>
      <c r="Y19" s="532">
        <v>2.2272727272727271</v>
      </c>
      <c r="Z19" s="533"/>
      <c r="AA19" s="533"/>
      <c r="AB19" s="533"/>
      <c r="AC19" s="533"/>
      <c r="AD19" s="533"/>
      <c r="AE19" s="533"/>
      <c r="AF19" s="533"/>
      <c r="AG19" s="528" t="s">
        <v>1143</v>
      </c>
      <c r="AH19" s="528" t="s">
        <v>1144</v>
      </c>
      <c r="AI19" s="528">
        <v>3</v>
      </c>
      <c r="AJ19" s="528">
        <v>3</v>
      </c>
      <c r="AK19" s="480">
        <v>0.5</v>
      </c>
      <c r="AL19" s="480">
        <v>0.5</v>
      </c>
      <c r="AM19" s="525" t="s">
        <v>1118</v>
      </c>
      <c r="AN19" s="528">
        <v>0</v>
      </c>
      <c r="AO19" s="528">
        <v>0</v>
      </c>
      <c r="AP19" s="528">
        <v>0</v>
      </c>
      <c r="AQ19" s="528">
        <v>0</v>
      </c>
      <c r="AR19" s="528">
        <v>0</v>
      </c>
      <c r="AS19" s="528">
        <v>0</v>
      </c>
      <c r="AT19" s="528">
        <v>0</v>
      </c>
      <c r="AU19" s="528">
        <v>0</v>
      </c>
      <c r="AV19" s="528">
        <v>0</v>
      </c>
      <c r="AW19" s="528">
        <v>0</v>
      </c>
      <c r="AX19" s="528">
        <v>0</v>
      </c>
      <c r="AY19" s="528">
        <v>0</v>
      </c>
      <c r="AZ19" s="528"/>
      <c r="BA19" s="528" t="s">
        <v>1145</v>
      </c>
      <c r="BB19" s="528"/>
      <c r="BC19" s="528" t="s">
        <v>1145</v>
      </c>
      <c r="BD19" s="528"/>
      <c r="BE19" s="528"/>
      <c r="BF19" s="564">
        <v>45351</v>
      </c>
      <c r="BG19" s="529"/>
      <c r="BH19" s="525"/>
      <c r="BI19" s="528"/>
      <c r="BJ19" s="528" t="s">
        <v>1146</v>
      </c>
      <c r="BK19" s="528"/>
      <c r="BL19" s="529"/>
      <c r="BM19" s="567" t="s">
        <v>1695</v>
      </c>
      <c r="BN19" s="525" t="s">
        <v>368</v>
      </c>
    </row>
    <row r="20" spans="1:67" ht="13" customHeight="1" x14ac:dyDescent="0.2">
      <c r="A20" s="525">
        <v>3367</v>
      </c>
      <c r="B20" s="565">
        <v>44937</v>
      </c>
      <c r="C20" s="526" t="s">
        <v>1138</v>
      </c>
      <c r="D20" s="525" t="s">
        <v>1108</v>
      </c>
      <c r="E20" s="527">
        <v>44927</v>
      </c>
      <c r="F20" s="529" t="s">
        <v>1166</v>
      </c>
      <c r="G20" s="525" t="s">
        <v>1651</v>
      </c>
      <c r="H20" s="532">
        <v>76.281818181818167</v>
      </c>
      <c r="I20" s="531" t="s">
        <v>296</v>
      </c>
      <c r="J20" s="459">
        <v>6000</v>
      </c>
      <c r="K20" s="459">
        <v>6000</v>
      </c>
      <c r="L20" s="459">
        <v>6000</v>
      </c>
      <c r="M20" s="459">
        <v>6000</v>
      </c>
      <c r="N20" s="568"/>
      <c r="O20" s="532">
        <v>2.7272727272727271</v>
      </c>
      <c r="P20" s="532">
        <v>0</v>
      </c>
      <c r="Q20" s="532">
        <v>0</v>
      </c>
      <c r="R20" s="532">
        <v>0</v>
      </c>
      <c r="S20" s="532">
        <v>1.8090909090909089</v>
      </c>
      <c r="T20" s="533"/>
      <c r="U20" s="532">
        <v>2.7272727272727271</v>
      </c>
      <c r="V20" s="532">
        <v>0</v>
      </c>
      <c r="W20" s="532">
        <v>0</v>
      </c>
      <c r="X20" s="532">
        <v>0</v>
      </c>
      <c r="Y20" s="532">
        <v>1.8090909090909089</v>
      </c>
      <c r="Z20" s="533"/>
      <c r="AA20" s="533"/>
      <c r="AB20" s="533"/>
      <c r="AC20" s="533"/>
      <c r="AD20" s="533"/>
      <c r="AE20" s="533"/>
      <c r="AF20" s="533"/>
      <c r="AG20" s="528" t="s">
        <v>1145</v>
      </c>
      <c r="AH20" s="528"/>
      <c r="AI20" s="528">
        <v>3</v>
      </c>
      <c r="AJ20" s="528">
        <v>3</v>
      </c>
      <c r="AK20" s="480">
        <v>0.5</v>
      </c>
      <c r="AL20" s="480">
        <v>0.5</v>
      </c>
      <c r="AM20" s="525"/>
      <c r="AN20" s="528">
        <v>0</v>
      </c>
      <c r="AO20" s="528">
        <v>0</v>
      </c>
      <c r="AP20" s="528">
        <v>0</v>
      </c>
      <c r="AQ20" s="528">
        <v>0</v>
      </c>
      <c r="AR20" s="528">
        <v>0</v>
      </c>
      <c r="AS20" s="528">
        <v>0</v>
      </c>
      <c r="AT20" s="528">
        <v>0</v>
      </c>
      <c r="AU20" s="528">
        <v>0</v>
      </c>
      <c r="AV20" s="528">
        <v>0</v>
      </c>
      <c r="AW20" s="528">
        <v>0</v>
      </c>
      <c r="AX20" s="528">
        <v>0</v>
      </c>
      <c r="AY20" s="528">
        <v>0</v>
      </c>
      <c r="AZ20" s="528"/>
      <c r="BA20" s="528" t="s">
        <v>1145</v>
      </c>
      <c r="BB20" s="528">
        <v>12</v>
      </c>
      <c r="BC20" s="528" t="s">
        <v>1145</v>
      </c>
      <c r="BD20" s="528"/>
      <c r="BE20" s="528"/>
      <c r="BF20" s="528"/>
      <c r="BG20" s="529"/>
      <c r="BH20" s="525"/>
      <c r="BI20" s="600"/>
      <c r="BJ20" s="528" t="s">
        <v>1146</v>
      </c>
      <c r="BK20" s="528"/>
      <c r="BL20" s="529"/>
      <c r="BM20" s="569" t="s">
        <v>1696</v>
      </c>
      <c r="BN20" s="525" t="s">
        <v>408</v>
      </c>
      <c r="BO20" s="366"/>
    </row>
    <row r="21" spans="1:67" ht="13" customHeight="1" x14ac:dyDescent="0.2">
      <c r="A21" s="525">
        <v>2395</v>
      </c>
      <c r="B21" s="565">
        <v>44937</v>
      </c>
      <c r="C21" s="526" t="s">
        <v>1138</v>
      </c>
      <c r="D21" s="525" t="s">
        <v>1108</v>
      </c>
      <c r="E21" s="570">
        <v>44896</v>
      </c>
      <c r="F21" s="529" t="s">
        <v>1168</v>
      </c>
      <c r="G21" s="525" t="s">
        <v>1297</v>
      </c>
      <c r="H21" s="532">
        <v>77</v>
      </c>
      <c r="I21" s="531" t="s">
        <v>296</v>
      </c>
      <c r="J21" s="459">
        <v>3000</v>
      </c>
      <c r="K21" s="459">
        <v>6000</v>
      </c>
      <c r="L21" s="459">
        <v>9000</v>
      </c>
      <c r="M21" s="459">
        <v>15000</v>
      </c>
      <c r="N21" s="525"/>
      <c r="O21" s="532">
        <v>2.8727272727272726</v>
      </c>
      <c r="P21" s="532">
        <v>2.5181818181818181</v>
      </c>
      <c r="Q21" s="532">
        <v>2.1999999999999997</v>
      </c>
      <c r="R21" s="532">
        <v>2.0181818181818181</v>
      </c>
      <c r="S21" s="532">
        <v>1.9545454545454544</v>
      </c>
      <c r="T21" s="533"/>
      <c r="U21" s="532">
        <v>2.7</v>
      </c>
      <c r="V21" s="532">
        <v>2.4</v>
      </c>
      <c r="W21" s="532">
        <v>2.1</v>
      </c>
      <c r="X21" s="532">
        <v>2</v>
      </c>
      <c r="Y21" s="532">
        <v>1.9545454545454544</v>
      </c>
      <c r="Z21" s="533"/>
      <c r="AA21" s="533"/>
      <c r="AB21" s="533"/>
      <c r="AC21" s="533"/>
      <c r="AD21" s="533"/>
      <c r="AE21" s="533"/>
      <c r="AF21" s="533"/>
      <c r="AG21" s="528" t="s">
        <v>1143</v>
      </c>
      <c r="AH21" s="528" t="s">
        <v>1144</v>
      </c>
      <c r="AI21" s="528">
        <v>3</v>
      </c>
      <c r="AJ21" s="528">
        <v>3</v>
      </c>
      <c r="AK21" s="480">
        <v>0.5</v>
      </c>
      <c r="AL21" s="480">
        <v>0.5</v>
      </c>
      <c r="AM21" s="525" t="s">
        <v>1118</v>
      </c>
      <c r="AN21" s="528">
        <v>0</v>
      </c>
      <c r="AO21" s="528">
        <v>0</v>
      </c>
      <c r="AP21" s="528">
        <v>0</v>
      </c>
      <c r="AQ21" s="528">
        <v>0</v>
      </c>
      <c r="AR21" s="528">
        <v>0</v>
      </c>
      <c r="AS21" s="528">
        <v>0</v>
      </c>
      <c r="AT21" s="528">
        <v>0</v>
      </c>
      <c r="AU21" s="528">
        <v>0</v>
      </c>
      <c r="AV21" s="528">
        <v>0</v>
      </c>
      <c r="AW21" s="528">
        <v>0</v>
      </c>
      <c r="AX21" s="528">
        <v>0</v>
      </c>
      <c r="AY21" s="528">
        <v>0</v>
      </c>
      <c r="AZ21" s="528"/>
      <c r="BA21" s="528" t="s">
        <v>1145</v>
      </c>
      <c r="BB21" s="528"/>
      <c r="BC21" s="528" t="s">
        <v>1145</v>
      </c>
      <c r="BD21" s="528"/>
      <c r="BE21" s="528"/>
      <c r="BF21" s="528"/>
      <c r="BG21" s="529"/>
      <c r="BH21" s="525"/>
      <c r="BI21" s="528"/>
      <c r="BJ21" s="528" t="s">
        <v>1146</v>
      </c>
      <c r="BK21" s="528"/>
      <c r="BL21" s="529"/>
      <c r="BM21" s="567" t="s">
        <v>430</v>
      </c>
      <c r="BN21" s="525" t="s">
        <v>368</v>
      </c>
    </row>
    <row r="22" spans="1:67" ht="13" customHeight="1" x14ac:dyDescent="0.2">
      <c r="A22" s="525">
        <v>272</v>
      </c>
      <c r="B22" s="565">
        <v>44937</v>
      </c>
      <c r="C22" s="526" t="s">
        <v>1138</v>
      </c>
      <c r="D22" s="525" t="s">
        <v>1108</v>
      </c>
      <c r="E22" s="527">
        <v>44907</v>
      </c>
      <c r="F22" s="529" t="s">
        <v>1169</v>
      </c>
      <c r="G22" s="525" t="s">
        <v>1698</v>
      </c>
      <c r="H22" s="532">
        <v>76.099999999999994</v>
      </c>
      <c r="I22" s="531" t="s">
        <v>296</v>
      </c>
      <c r="J22" s="459">
        <v>3000</v>
      </c>
      <c r="K22" s="459">
        <v>6000</v>
      </c>
      <c r="L22" s="459">
        <v>9000</v>
      </c>
      <c r="M22" s="459">
        <v>15000</v>
      </c>
      <c r="N22" s="525"/>
      <c r="O22" s="532">
        <v>3.4181818181818175</v>
      </c>
      <c r="P22" s="532">
        <v>3.0545454545454542</v>
      </c>
      <c r="Q22" s="532">
        <v>2.6181818181818177</v>
      </c>
      <c r="R22" s="532">
        <v>2.3818181818181818</v>
      </c>
      <c r="S22" s="532">
        <v>2.3181818181818179</v>
      </c>
      <c r="T22" s="533"/>
      <c r="U22" s="532">
        <v>3.2545454545454544</v>
      </c>
      <c r="V22" s="532">
        <v>2.9272727272727272</v>
      </c>
      <c r="W22" s="532">
        <v>2.5636363636363635</v>
      </c>
      <c r="X22" s="532">
        <v>2.336363636363636</v>
      </c>
      <c r="Y22" s="532">
        <v>2.2999999999999998</v>
      </c>
      <c r="Z22" s="533"/>
      <c r="AA22" s="532">
        <v>3.3818181818181818</v>
      </c>
      <c r="AB22" s="532">
        <v>3.0181818181818176</v>
      </c>
      <c r="AC22" s="532">
        <v>2.5999999999999996</v>
      </c>
      <c r="AD22" s="532">
        <v>2.3727272727272726</v>
      </c>
      <c r="AE22" s="532">
        <v>2.3181818181818179</v>
      </c>
      <c r="AF22" s="533"/>
      <c r="AG22" s="528" t="s">
        <v>1143</v>
      </c>
      <c r="AH22" s="528" t="s">
        <v>1144</v>
      </c>
      <c r="AI22" s="333">
        <v>2</v>
      </c>
      <c r="AJ22" s="333">
        <v>4</v>
      </c>
      <c r="AK22" s="483">
        <v>0.33329999999999999</v>
      </c>
      <c r="AL22" s="483">
        <v>0.66659999999999997</v>
      </c>
      <c r="AM22" s="525" t="s">
        <v>1123</v>
      </c>
      <c r="AN22" s="528">
        <v>6</v>
      </c>
      <c r="AO22" s="528">
        <v>0</v>
      </c>
      <c r="AP22" s="528">
        <v>0</v>
      </c>
      <c r="AQ22" s="528">
        <v>0</v>
      </c>
      <c r="AR22" s="528">
        <v>0</v>
      </c>
      <c r="AS22" s="528">
        <v>0</v>
      </c>
      <c r="AT22" s="528">
        <v>0</v>
      </c>
      <c r="AU22" s="528">
        <v>0</v>
      </c>
      <c r="AV22" s="528">
        <v>0</v>
      </c>
      <c r="AW22" s="528">
        <v>0</v>
      </c>
      <c r="AX22" s="528">
        <v>0</v>
      </c>
      <c r="AY22" s="528">
        <v>0</v>
      </c>
      <c r="AZ22" s="528"/>
      <c r="BA22" s="528" t="s">
        <v>1145</v>
      </c>
      <c r="BB22" s="528"/>
      <c r="BC22" s="528" t="s">
        <v>1145</v>
      </c>
      <c r="BD22" s="528"/>
      <c r="BE22" s="528"/>
      <c r="BF22" s="528"/>
      <c r="BG22" s="529"/>
      <c r="BH22" s="525"/>
      <c r="BI22" s="528"/>
      <c r="BJ22" s="528" t="s">
        <v>1146</v>
      </c>
      <c r="BK22" s="528"/>
      <c r="BL22" s="529"/>
      <c r="BM22" s="567" t="s">
        <v>1699</v>
      </c>
      <c r="BN22" s="525" t="s">
        <v>368</v>
      </c>
    </row>
    <row r="23" spans="1:67" ht="13" customHeight="1" x14ac:dyDescent="0.2">
      <c r="A23" s="525">
        <v>1683</v>
      </c>
      <c r="B23" s="565">
        <v>44938</v>
      </c>
      <c r="C23" s="526" t="s">
        <v>295</v>
      </c>
      <c r="D23" s="525" t="s">
        <v>1108</v>
      </c>
      <c r="E23" s="527">
        <v>44926</v>
      </c>
      <c r="F23" s="529" t="s">
        <v>1106</v>
      </c>
      <c r="G23" s="525" t="s">
        <v>2</v>
      </c>
      <c r="H23" s="532">
        <v>59</v>
      </c>
      <c r="I23" s="531" t="s">
        <v>296</v>
      </c>
      <c r="J23" s="459">
        <v>6000</v>
      </c>
      <c r="K23" s="459">
        <v>6000</v>
      </c>
      <c r="L23" s="459">
        <v>6000</v>
      </c>
      <c r="M23" s="459">
        <v>6000</v>
      </c>
      <c r="N23" s="525"/>
      <c r="O23" s="532">
        <v>2.8090909090909086</v>
      </c>
      <c r="P23" s="532">
        <v>0</v>
      </c>
      <c r="Q23" s="532">
        <v>0</v>
      </c>
      <c r="R23" s="532">
        <v>0</v>
      </c>
      <c r="S23" s="532">
        <v>2.4090909090909087</v>
      </c>
      <c r="T23" s="533"/>
      <c r="U23" s="532">
        <v>2.8090909090909086</v>
      </c>
      <c r="V23" s="532">
        <v>0</v>
      </c>
      <c r="W23" s="532">
        <v>0</v>
      </c>
      <c r="X23" s="532">
        <v>0</v>
      </c>
      <c r="Y23" s="532">
        <v>2.4090909090909087</v>
      </c>
      <c r="Z23" s="533"/>
      <c r="AA23" s="533"/>
      <c r="AB23" s="533"/>
      <c r="AC23" s="533"/>
      <c r="AD23" s="533"/>
      <c r="AE23" s="533"/>
      <c r="AF23" s="533"/>
      <c r="AG23" s="528" t="s">
        <v>297</v>
      </c>
      <c r="AH23" s="528" t="s">
        <v>298</v>
      </c>
      <c r="AI23" s="333">
        <v>2</v>
      </c>
      <c r="AJ23" s="333">
        <v>4</v>
      </c>
      <c r="AK23" s="483">
        <v>0.33329999999999999</v>
      </c>
      <c r="AL23" s="483">
        <v>0.66659999999999997</v>
      </c>
      <c r="AM23" s="525" t="s">
        <v>1124</v>
      </c>
      <c r="AN23" s="528">
        <v>0</v>
      </c>
      <c r="AO23" s="528">
        <v>0</v>
      </c>
      <c r="AP23" s="528">
        <v>2</v>
      </c>
      <c r="AQ23" s="528">
        <v>0</v>
      </c>
      <c r="AR23" s="528">
        <v>0</v>
      </c>
      <c r="AS23" s="528">
        <v>0</v>
      </c>
      <c r="AT23" s="528">
        <v>0</v>
      </c>
      <c r="AU23" s="528">
        <v>0</v>
      </c>
      <c r="AV23" s="528">
        <v>0</v>
      </c>
      <c r="AW23" s="528">
        <v>0</v>
      </c>
      <c r="AX23" s="528">
        <v>0</v>
      </c>
      <c r="AY23" s="528">
        <v>0</v>
      </c>
      <c r="AZ23" s="528"/>
      <c r="BA23" s="528" t="s">
        <v>1145</v>
      </c>
      <c r="BB23" s="528"/>
      <c r="BC23" s="528" t="s">
        <v>1145</v>
      </c>
      <c r="BD23" s="528"/>
      <c r="BE23" s="528"/>
      <c r="BF23" s="529"/>
      <c r="BG23" s="529" t="s">
        <v>1700</v>
      </c>
      <c r="BH23" s="525" t="s">
        <v>365</v>
      </c>
      <c r="BI23" s="528">
        <v>60</v>
      </c>
      <c r="BJ23" s="528" t="s">
        <v>1146</v>
      </c>
      <c r="BK23" s="528">
        <v>1</v>
      </c>
      <c r="BL23" s="525" t="s">
        <v>1701</v>
      </c>
      <c r="BM23" s="567" t="s">
        <v>1702</v>
      </c>
      <c r="BN23" s="525" t="s">
        <v>408</v>
      </c>
    </row>
    <row r="24" spans="1:67" ht="13" customHeight="1" x14ac:dyDescent="0.2">
      <c r="A24" s="525">
        <v>2746</v>
      </c>
      <c r="B24" s="565">
        <v>44937</v>
      </c>
      <c r="C24" s="526" t="s">
        <v>1138</v>
      </c>
      <c r="D24" s="525" t="s">
        <v>1108</v>
      </c>
      <c r="E24" s="527">
        <v>44927</v>
      </c>
      <c r="F24" s="525" t="s">
        <v>1274</v>
      </c>
      <c r="G24" s="525" t="s">
        <v>1467</v>
      </c>
      <c r="H24" s="532">
        <v>75</v>
      </c>
      <c r="I24" s="531" t="s">
        <v>296</v>
      </c>
      <c r="J24" s="409">
        <v>3000</v>
      </c>
      <c r="K24" s="409">
        <v>7500</v>
      </c>
      <c r="L24" s="409">
        <v>7500</v>
      </c>
      <c r="M24" s="409">
        <v>7500</v>
      </c>
      <c r="N24" s="332"/>
      <c r="O24" s="532">
        <v>4</v>
      </c>
      <c r="P24" s="532">
        <v>3.5</v>
      </c>
      <c r="Q24" s="532">
        <v>0</v>
      </c>
      <c r="R24" s="532">
        <v>0</v>
      </c>
      <c r="S24" s="532">
        <v>2.9</v>
      </c>
      <c r="T24" s="571"/>
      <c r="U24" s="532">
        <v>4</v>
      </c>
      <c r="V24" s="532">
        <v>3.5</v>
      </c>
      <c r="W24" s="532">
        <v>0</v>
      </c>
      <c r="X24" s="532">
        <v>0</v>
      </c>
      <c r="Y24" s="532">
        <v>2.9</v>
      </c>
      <c r="Z24" s="571"/>
      <c r="AA24" s="571"/>
      <c r="AB24" s="571"/>
      <c r="AC24" s="571"/>
      <c r="AD24" s="571"/>
      <c r="AE24" s="571"/>
      <c r="AF24" s="571"/>
      <c r="AG24" s="333" t="s">
        <v>1145</v>
      </c>
      <c r="AH24" s="333"/>
      <c r="AI24" s="528">
        <v>3</v>
      </c>
      <c r="AJ24" s="528">
        <v>3</v>
      </c>
      <c r="AK24" s="480">
        <v>0.5</v>
      </c>
      <c r="AL24" s="480">
        <v>0.5</v>
      </c>
      <c r="AM24" s="525"/>
      <c r="AN24" s="528">
        <v>0</v>
      </c>
      <c r="AO24" s="528">
        <v>7</v>
      </c>
      <c r="AP24" s="528">
        <v>0</v>
      </c>
      <c r="AQ24" s="528">
        <v>3</v>
      </c>
      <c r="AR24" s="528">
        <v>0</v>
      </c>
      <c r="AS24" s="528">
        <v>0</v>
      </c>
      <c r="AT24" s="528">
        <v>0</v>
      </c>
      <c r="AU24" s="528">
        <v>0</v>
      </c>
      <c r="AV24" s="528">
        <v>0</v>
      </c>
      <c r="AW24" s="528">
        <v>0</v>
      </c>
      <c r="AX24" s="528">
        <v>0</v>
      </c>
      <c r="AY24" s="528">
        <v>0</v>
      </c>
      <c r="AZ24" s="528"/>
      <c r="BA24" s="528" t="s">
        <v>1145</v>
      </c>
      <c r="BB24" s="528"/>
      <c r="BC24" s="528" t="s">
        <v>1145</v>
      </c>
      <c r="BD24" s="528"/>
      <c r="BE24" s="528"/>
      <c r="BF24" s="528"/>
      <c r="BG24" s="529"/>
      <c r="BH24" s="525"/>
      <c r="BI24" s="528"/>
      <c r="BJ24" s="528" t="s">
        <v>1146</v>
      </c>
      <c r="BK24" s="528">
        <v>1</v>
      </c>
      <c r="BL24" s="529"/>
      <c r="BM24" s="567" t="s">
        <v>1703</v>
      </c>
      <c r="BN24" s="525" t="s">
        <v>408</v>
      </c>
    </row>
    <row r="25" spans="1:67" ht="13" customHeight="1" x14ac:dyDescent="0.2">
      <c r="A25" s="525">
        <v>2937</v>
      </c>
      <c r="B25" s="565">
        <v>44937</v>
      </c>
      <c r="C25" s="526" t="s">
        <v>1138</v>
      </c>
      <c r="D25" s="525" t="s">
        <v>1108</v>
      </c>
      <c r="E25" s="527">
        <v>44853</v>
      </c>
      <c r="F25" s="525" t="s">
        <v>1483</v>
      </c>
      <c r="G25" s="525" t="s">
        <v>1550</v>
      </c>
      <c r="H25" s="532">
        <v>102.99999999999999</v>
      </c>
      <c r="I25" s="531" t="s">
        <v>296</v>
      </c>
      <c r="J25" s="459">
        <v>3000</v>
      </c>
      <c r="K25" s="459">
        <v>6000</v>
      </c>
      <c r="L25" s="459">
        <v>9000</v>
      </c>
      <c r="M25" s="459">
        <v>15000</v>
      </c>
      <c r="N25" s="332"/>
      <c r="O25" s="532">
        <v>2.2272727272727271</v>
      </c>
      <c r="P25" s="532">
        <v>2.0363636363636366</v>
      </c>
      <c r="Q25" s="532">
        <v>1.7999999999999998</v>
      </c>
      <c r="R25" s="532">
        <v>1.6818181818181817</v>
      </c>
      <c r="S25" s="532">
        <v>1.6545454545454545</v>
      </c>
      <c r="T25" s="571"/>
      <c r="U25" s="532">
        <v>2.0727272727272723</v>
      </c>
      <c r="V25" s="532">
        <v>1.9090909090909089</v>
      </c>
      <c r="W25" s="532">
        <v>1.7090909090909088</v>
      </c>
      <c r="X25" s="532">
        <v>1.5999999999999999</v>
      </c>
      <c r="Y25" s="532">
        <v>1.5818181818181818</v>
      </c>
      <c r="Z25" s="571"/>
      <c r="AA25" s="571"/>
      <c r="AB25" s="571"/>
      <c r="AC25" s="571"/>
      <c r="AD25" s="571"/>
      <c r="AE25" s="571"/>
      <c r="AF25" s="571"/>
      <c r="AG25" s="528" t="s">
        <v>1143</v>
      </c>
      <c r="AH25" s="528" t="s">
        <v>1144</v>
      </c>
      <c r="AI25" s="528">
        <v>3</v>
      </c>
      <c r="AJ25" s="528">
        <v>3</v>
      </c>
      <c r="AK25" s="480">
        <v>0.5</v>
      </c>
      <c r="AL25" s="480">
        <v>0.5</v>
      </c>
      <c r="AM25" s="525" t="s">
        <v>1118</v>
      </c>
      <c r="AN25" s="528">
        <v>0</v>
      </c>
      <c r="AO25" s="528">
        <v>0</v>
      </c>
      <c r="AP25" s="528">
        <v>0</v>
      </c>
      <c r="AQ25" s="528">
        <v>0</v>
      </c>
      <c r="AR25" s="528">
        <v>0</v>
      </c>
      <c r="AS25" s="528">
        <v>0</v>
      </c>
      <c r="AT25" s="528">
        <v>0</v>
      </c>
      <c r="AU25" s="528">
        <v>0</v>
      </c>
      <c r="AV25" s="528">
        <v>0</v>
      </c>
      <c r="AW25" s="528">
        <v>0</v>
      </c>
      <c r="AX25" s="528">
        <v>0</v>
      </c>
      <c r="AY25" s="528">
        <v>0</v>
      </c>
      <c r="AZ25" s="528"/>
      <c r="BA25" s="528" t="s">
        <v>1145</v>
      </c>
      <c r="BB25" s="528"/>
      <c r="BC25" s="528" t="s">
        <v>1145</v>
      </c>
      <c r="BD25" s="528"/>
      <c r="BE25" s="528"/>
      <c r="BF25" s="564"/>
      <c r="BG25" s="529"/>
      <c r="BH25" s="525"/>
      <c r="BI25" s="528"/>
      <c r="BJ25" s="528" t="s">
        <v>4</v>
      </c>
      <c r="BK25" s="528"/>
      <c r="BL25" s="529"/>
      <c r="BM25" s="569" t="s">
        <v>1704</v>
      </c>
      <c r="BN25" s="525" t="s">
        <v>368</v>
      </c>
    </row>
    <row r="26" spans="1:67" ht="16" x14ac:dyDescent="0.2">
      <c r="A26" s="525">
        <v>3705</v>
      </c>
      <c r="B26" s="565">
        <v>44939</v>
      </c>
      <c r="C26" s="526" t="s">
        <v>1138</v>
      </c>
      <c r="D26" s="525" t="s">
        <v>1108</v>
      </c>
      <c r="E26" s="527">
        <v>44927</v>
      </c>
      <c r="F26" s="525" t="s">
        <v>1057</v>
      </c>
      <c r="G26" s="525" t="s">
        <v>1734</v>
      </c>
      <c r="H26" s="340">
        <v>85.6</v>
      </c>
      <c r="I26" s="531" t="s">
        <v>296</v>
      </c>
      <c r="J26" s="459">
        <v>3000</v>
      </c>
      <c r="K26" s="459">
        <v>6000</v>
      </c>
      <c r="L26" s="459">
        <v>9000</v>
      </c>
      <c r="M26" s="459">
        <v>9000</v>
      </c>
      <c r="N26" s="297"/>
      <c r="O26" s="340">
        <v>3.7999999999999994</v>
      </c>
      <c r="P26" s="340">
        <v>3.3</v>
      </c>
      <c r="Q26" s="340">
        <v>2.9</v>
      </c>
      <c r="R26" s="340">
        <v>2.7</v>
      </c>
      <c r="S26" s="340">
        <v>2.5999999999999996</v>
      </c>
      <c r="T26" s="571"/>
      <c r="U26" s="340">
        <v>3.5999999999999996</v>
      </c>
      <c r="V26" s="340">
        <v>3.1999999999999997</v>
      </c>
      <c r="W26" s="340">
        <v>2.8</v>
      </c>
      <c r="X26" s="340">
        <v>2.5999999999999996</v>
      </c>
      <c r="Y26" s="340">
        <v>2.5999999999999996</v>
      </c>
      <c r="Z26" s="297"/>
      <c r="AA26" s="297"/>
      <c r="AB26" s="297"/>
      <c r="AC26" s="297"/>
      <c r="AD26" s="297"/>
      <c r="AE26" s="297"/>
      <c r="AF26" s="297"/>
      <c r="AG26" s="333" t="s">
        <v>1143</v>
      </c>
      <c r="AH26" s="333" t="s">
        <v>1144</v>
      </c>
      <c r="AI26" s="528">
        <v>3</v>
      </c>
      <c r="AJ26" s="528">
        <v>3</v>
      </c>
      <c r="AK26" s="480">
        <v>0.5</v>
      </c>
      <c r="AL26" s="480">
        <v>0.5</v>
      </c>
      <c r="AM26" s="525" t="s">
        <v>1118</v>
      </c>
      <c r="AN26" s="528">
        <v>0</v>
      </c>
      <c r="AO26" s="528">
        <v>0</v>
      </c>
      <c r="AP26" s="528">
        <v>0</v>
      </c>
      <c r="AQ26" s="528">
        <v>0</v>
      </c>
      <c r="AR26" s="528">
        <v>0</v>
      </c>
      <c r="AS26" s="528">
        <v>0</v>
      </c>
      <c r="AT26" s="528">
        <v>0</v>
      </c>
      <c r="AU26" s="528">
        <v>0</v>
      </c>
      <c r="AV26" s="528">
        <v>0</v>
      </c>
      <c r="AW26" s="528">
        <v>0</v>
      </c>
      <c r="AX26" s="528">
        <v>0</v>
      </c>
      <c r="AY26" s="528">
        <v>0</v>
      </c>
      <c r="AZ26" s="528"/>
      <c r="BA26" s="528" t="s">
        <v>1145</v>
      </c>
      <c r="BB26" s="528"/>
      <c r="BC26" s="528" t="s">
        <v>1145</v>
      </c>
      <c r="BD26" s="528"/>
      <c r="BE26" s="528"/>
      <c r="BF26" s="528"/>
      <c r="BG26" s="529"/>
      <c r="BH26" s="525"/>
      <c r="BI26" s="528"/>
      <c r="BJ26" s="528" t="s">
        <v>1146</v>
      </c>
      <c r="BK26" s="528"/>
      <c r="BL26" s="529" t="s">
        <v>1735</v>
      </c>
      <c r="BM26" s="530" t="s">
        <v>1740</v>
      </c>
      <c r="BN26" s="525" t="s">
        <v>1121</v>
      </c>
    </row>
    <row r="27" spans="1:67" ht="13" customHeight="1" x14ac:dyDescent="0.2">
      <c r="A27" s="525">
        <v>3635</v>
      </c>
      <c r="B27" s="565">
        <v>44937</v>
      </c>
      <c r="C27" s="526" t="s">
        <v>1138</v>
      </c>
      <c r="D27" s="525" t="s">
        <v>1108</v>
      </c>
      <c r="E27" s="527">
        <v>44935</v>
      </c>
      <c r="F27" s="525" t="s">
        <v>1173</v>
      </c>
      <c r="G27" s="525" t="s">
        <v>1705</v>
      </c>
      <c r="H27" s="532">
        <v>104.99999999999999</v>
      </c>
      <c r="I27" s="531" t="s">
        <v>296</v>
      </c>
      <c r="J27" s="409">
        <v>15000</v>
      </c>
      <c r="K27" s="409">
        <v>15000</v>
      </c>
      <c r="L27" s="409">
        <v>15000</v>
      </c>
      <c r="M27" s="409">
        <v>15000</v>
      </c>
      <c r="N27" s="332"/>
      <c r="O27" s="532">
        <v>5.0999999999999996</v>
      </c>
      <c r="P27" s="532">
        <v>0</v>
      </c>
      <c r="Q27" s="532">
        <v>0</v>
      </c>
      <c r="R27" s="532">
        <v>0</v>
      </c>
      <c r="S27" s="532">
        <v>3.5999999999999996</v>
      </c>
      <c r="T27" s="571"/>
      <c r="U27" s="532">
        <v>4.2</v>
      </c>
      <c r="V27" s="532">
        <v>0</v>
      </c>
      <c r="W27" s="532">
        <v>0</v>
      </c>
      <c r="X27" s="532">
        <v>0</v>
      </c>
      <c r="Y27" s="532">
        <v>2.9999999999999996</v>
      </c>
      <c r="Z27" s="571"/>
      <c r="AA27" s="571"/>
      <c r="AB27" s="571"/>
      <c r="AC27" s="571"/>
      <c r="AD27" s="571"/>
      <c r="AE27" s="571"/>
      <c r="AF27" s="571"/>
      <c r="AG27" s="528" t="s">
        <v>1143</v>
      </c>
      <c r="AH27" s="528" t="s">
        <v>1144</v>
      </c>
      <c r="AI27" s="528">
        <v>3</v>
      </c>
      <c r="AJ27" s="528">
        <v>3</v>
      </c>
      <c r="AK27" s="480">
        <v>0.5</v>
      </c>
      <c r="AL27" s="480">
        <v>0.5</v>
      </c>
      <c r="AM27" s="525" t="s">
        <v>1124</v>
      </c>
      <c r="AN27" s="528">
        <v>0</v>
      </c>
      <c r="AO27" s="528">
        <v>0</v>
      </c>
      <c r="AP27" s="528">
        <v>0</v>
      </c>
      <c r="AQ27" s="528">
        <v>0</v>
      </c>
      <c r="AR27" s="528">
        <v>0</v>
      </c>
      <c r="AS27" s="528">
        <v>0</v>
      </c>
      <c r="AT27" s="528">
        <v>0</v>
      </c>
      <c r="AU27" s="528">
        <v>0</v>
      </c>
      <c r="AV27" s="528">
        <v>0</v>
      </c>
      <c r="AW27" s="528">
        <v>0</v>
      </c>
      <c r="AX27" s="528">
        <v>0</v>
      </c>
      <c r="AY27" s="528">
        <v>0</v>
      </c>
      <c r="AZ27" s="528"/>
      <c r="BA27" s="528" t="s">
        <v>1145</v>
      </c>
      <c r="BB27" s="528"/>
      <c r="BC27" s="528" t="s">
        <v>1145</v>
      </c>
      <c r="BD27" s="528"/>
      <c r="BE27" s="528"/>
      <c r="BF27" s="564"/>
      <c r="BG27" s="529"/>
      <c r="BH27" s="525"/>
      <c r="BI27" s="528"/>
      <c r="BJ27" s="528" t="s">
        <v>4</v>
      </c>
      <c r="BK27" s="528"/>
      <c r="BL27" s="529"/>
      <c r="BM27" s="569" t="s">
        <v>1706</v>
      </c>
      <c r="BN27" s="525" t="s">
        <v>408</v>
      </c>
    </row>
    <row r="28" spans="1:67" ht="13" customHeight="1" x14ac:dyDescent="0.2">
      <c r="A28" s="525">
        <v>3153</v>
      </c>
      <c r="B28" s="565">
        <v>44937</v>
      </c>
      <c r="C28" s="526" t="s">
        <v>1138</v>
      </c>
      <c r="D28" s="525" t="s">
        <v>1109</v>
      </c>
      <c r="E28" s="527">
        <v>44927</v>
      </c>
      <c r="F28" s="529" t="s">
        <v>1139</v>
      </c>
      <c r="G28" s="525" t="s">
        <v>1646</v>
      </c>
      <c r="H28" s="532">
        <v>76.709090909090904</v>
      </c>
      <c r="I28" s="531" t="s">
        <v>1141</v>
      </c>
      <c r="J28" s="485">
        <v>1645</v>
      </c>
      <c r="K28" s="485">
        <v>3000</v>
      </c>
      <c r="L28" s="485">
        <v>3000</v>
      </c>
      <c r="M28" s="485">
        <v>3000</v>
      </c>
      <c r="N28" s="525"/>
      <c r="O28" s="532">
        <v>3.3454545454545452</v>
      </c>
      <c r="P28" s="532">
        <v>3.0909090909090904</v>
      </c>
      <c r="Q28" s="532">
        <v>0</v>
      </c>
      <c r="R28" s="532">
        <v>0</v>
      </c>
      <c r="S28" s="532">
        <v>2.4272727272727268</v>
      </c>
      <c r="T28" s="533"/>
      <c r="U28" s="532">
        <v>3.3454545454545452</v>
      </c>
      <c r="V28" s="532">
        <v>3.0909090909090904</v>
      </c>
      <c r="W28" s="532">
        <v>0</v>
      </c>
      <c r="X28" s="532">
        <v>0</v>
      </c>
      <c r="Y28" s="532">
        <v>2.4272727272727268</v>
      </c>
      <c r="Z28" s="533"/>
      <c r="AA28" s="533"/>
      <c r="AB28" s="533"/>
      <c r="AC28" s="533"/>
      <c r="AD28" s="533"/>
      <c r="AE28" s="533"/>
      <c r="AF28" s="533"/>
      <c r="AG28" s="528" t="s">
        <v>1145</v>
      </c>
      <c r="AH28" s="528"/>
      <c r="AI28" s="528">
        <v>3</v>
      </c>
      <c r="AJ28" s="528">
        <v>3</v>
      </c>
      <c r="AK28" s="480">
        <v>0.5</v>
      </c>
      <c r="AL28" s="480">
        <v>0.5</v>
      </c>
      <c r="AM28" s="525"/>
      <c r="AN28" s="528">
        <v>0</v>
      </c>
      <c r="AO28" s="528">
        <v>0</v>
      </c>
      <c r="AP28" s="528">
        <v>0</v>
      </c>
      <c r="AQ28" s="528">
        <v>0</v>
      </c>
      <c r="AR28" s="528">
        <v>0</v>
      </c>
      <c r="AS28" s="528">
        <v>0</v>
      </c>
      <c r="AT28" s="528">
        <v>0</v>
      </c>
      <c r="AU28" s="528">
        <v>0</v>
      </c>
      <c r="AV28" s="528">
        <v>0</v>
      </c>
      <c r="AW28" s="528">
        <v>0</v>
      </c>
      <c r="AX28" s="528">
        <v>0</v>
      </c>
      <c r="AY28" s="528">
        <v>0</v>
      </c>
      <c r="AZ28" s="528"/>
      <c r="BA28" s="528" t="s">
        <v>1145</v>
      </c>
      <c r="BB28" s="528"/>
      <c r="BC28" s="528" t="s">
        <v>1145</v>
      </c>
      <c r="BD28" s="528"/>
      <c r="BE28" s="528"/>
      <c r="BF28" s="528"/>
      <c r="BG28" s="597"/>
      <c r="BH28" s="598"/>
      <c r="BI28" s="566"/>
      <c r="BJ28" s="528" t="s">
        <v>1146</v>
      </c>
      <c r="BK28" s="528"/>
      <c r="BL28" s="529" t="s">
        <v>1647</v>
      </c>
      <c r="BM28" s="567" t="s">
        <v>430</v>
      </c>
      <c r="BN28" s="525" t="s">
        <v>408</v>
      </c>
    </row>
    <row r="29" spans="1:67" ht="13" customHeight="1" x14ac:dyDescent="0.2">
      <c r="A29" s="525">
        <v>1041</v>
      </c>
      <c r="B29" s="565">
        <v>44937</v>
      </c>
      <c r="C29" s="526" t="s">
        <v>1138</v>
      </c>
      <c r="D29" s="525" t="s">
        <v>1109</v>
      </c>
      <c r="E29" s="527">
        <v>44805</v>
      </c>
      <c r="F29" s="529" t="s">
        <v>1148</v>
      </c>
      <c r="G29" s="525" t="s">
        <v>1280</v>
      </c>
      <c r="H29" s="532">
        <v>62.981818181818177</v>
      </c>
      <c r="I29" s="531" t="s">
        <v>1141</v>
      </c>
      <c r="J29" s="485">
        <v>1645</v>
      </c>
      <c r="K29" s="485">
        <v>3000</v>
      </c>
      <c r="L29" s="485">
        <v>3000</v>
      </c>
      <c r="M29" s="485">
        <v>3000</v>
      </c>
      <c r="N29" s="525"/>
      <c r="O29" s="532">
        <v>2.2636363636363637</v>
      </c>
      <c r="P29" s="532">
        <v>2.2636363636363637</v>
      </c>
      <c r="Q29" s="532">
        <v>0</v>
      </c>
      <c r="R29" s="532">
        <v>0</v>
      </c>
      <c r="S29" s="532">
        <v>1.9909090909090907</v>
      </c>
      <c r="T29" s="533"/>
      <c r="U29" s="532">
        <v>2.2636363636363637</v>
      </c>
      <c r="V29" s="532">
        <v>2.2636363636363637</v>
      </c>
      <c r="W29" s="532">
        <v>0</v>
      </c>
      <c r="X29" s="532">
        <v>0</v>
      </c>
      <c r="Y29" s="532">
        <v>1.9909090909090907</v>
      </c>
      <c r="Z29" s="533"/>
      <c r="AA29" s="533"/>
      <c r="AB29" s="533"/>
      <c r="AC29" s="533"/>
      <c r="AD29" s="533"/>
      <c r="AE29" s="533"/>
      <c r="AF29" s="533"/>
      <c r="AG29" s="528" t="s">
        <v>1145</v>
      </c>
      <c r="AH29" s="528"/>
      <c r="AI29" s="528">
        <v>3</v>
      </c>
      <c r="AJ29" s="528">
        <v>3</v>
      </c>
      <c r="AK29" s="480">
        <v>0.5</v>
      </c>
      <c r="AL29" s="480">
        <v>0.5</v>
      </c>
      <c r="AM29" s="525"/>
      <c r="AN29" s="528">
        <v>0</v>
      </c>
      <c r="AO29" s="528">
        <v>0</v>
      </c>
      <c r="AP29" s="528">
        <v>0</v>
      </c>
      <c r="AQ29" s="528">
        <v>0</v>
      </c>
      <c r="AR29" s="528">
        <v>0</v>
      </c>
      <c r="AS29" s="528">
        <v>0</v>
      </c>
      <c r="AT29" s="528">
        <v>0</v>
      </c>
      <c r="AU29" s="528">
        <v>0</v>
      </c>
      <c r="AV29" s="528">
        <v>0</v>
      </c>
      <c r="AW29" s="528">
        <v>0</v>
      </c>
      <c r="AX29" s="528">
        <v>0</v>
      </c>
      <c r="AY29" s="528">
        <v>0</v>
      </c>
      <c r="AZ29" s="528"/>
      <c r="BA29" s="528" t="s">
        <v>1145</v>
      </c>
      <c r="BB29" s="528"/>
      <c r="BC29" s="528" t="s">
        <v>1145</v>
      </c>
      <c r="BD29" s="528"/>
      <c r="BE29" s="528"/>
      <c r="BF29" s="528"/>
      <c r="BG29" s="529"/>
      <c r="BH29" s="525"/>
      <c r="BI29" s="528"/>
      <c r="BJ29" s="528" t="s">
        <v>4</v>
      </c>
      <c r="BK29" s="528"/>
      <c r="BL29" s="529"/>
      <c r="BM29" s="569" t="s">
        <v>430</v>
      </c>
      <c r="BN29" s="525" t="s">
        <v>368</v>
      </c>
    </row>
    <row r="30" spans="1:67" ht="13" customHeight="1" x14ac:dyDescent="0.2">
      <c r="A30" s="525">
        <v>2549</v>
      </c>
      <c r="B30" s="565">
        <v>44937</v>
      </c>
      <c r="C30" s="526" t="s">
        <v>1138</v>
      </c>
      <c r="D30" s="525" t="s">
        <v>1109</v>
      </c>
      <c r="E30" s="527">
        <v>44720</v>
      </c>
      <c r="F30" s="529" t="s">
        <v>1052</v>
      </c>
      <c r="G30" s="525" t="s">
        <v>1181</v>
      </c>
      <c r="H30" s="532">
        <v>56.809090909090905</v>
      </c>
      <c r="I30" s="531" t="s">
        <v>1141</v>
      </c>
      <c r="J30" s="485">
        <v>1645</v>
      </c>
      <c r="K30" s="485">
        <v>3000</v>
      </c>
      <c r="L30" s="485">
        <v>3000</v>
      </c>
      <c r="M30" s="485">
        <v>3000</v>
      </c>
      <c r="N30" s="525"/>
      <c r="O30" s="532">
        <v>2.9272727272727272</v>
      </c>
      <c r="P30" s="532">
        <v>2.3818181818181818</v>
      </c>
      <c r="Q30" s="532">
        <v>0</v>
      </c>
      <c r="R30" s="532">
        <v>0</v>
      </c>
      <c r="S30" s="532">
        <v>1.9545454545454544</v>
      </c>
      <c r="T30" s="533"/>
      <c r="U30" s="532">
        <v>2.9272727272727272</v>
      </c>
      <c r="V30" s="532">
        <v>2.3818181818181818</v>
      </c>
      <c r="W30" s="532">
        <v>0</v>
      </c>
      <c r="X30" s="532">
        <v>0</v>
      </c>
      <c r="Y30" s="532">
        <v>1.9545454545454544</v>
      </c>
      <c r="Z30" s="533"/>
      <c r="AA30" s="533"/>
      <c r="AB30" s="533"/>
      <c r="AC30" s="533"/>
      <c r="AD30" s="533"/>
      <c r="AE30" s="533"/>
      <c r="AF30" s="533"/>
      <c r="AG30" s="528" t="s">
        <v>1143</v>
      </c>
      <c r="AH30" s="528" t="s">
        <v>1144</v>
      </c>
      <c r="AI30" s="333">
        <v>2</v>
      </c>
      <c r="AJ30" s="333">
        <v>4</v>
      </c>
      <c r="AK30" s="483">
        <v>0.33329999999999999</v>
      </c>
      <c r="AL30" s="483">
        <v>0.66659999999999997</v>
      </c>
      <c r="AM30" s="525" t="s">
        <v>1124</v>
      </c>
      <c r="AN30" s="528">
        <v>0</v>
      </c>
      <c r="AO30" s="528">
        <v>0</v>
      </c>
      <c r="AP30" s="528">
        <v>0</v>
      </c>
      <c r="AQ30" s="528">
        <v>0</v>
      </c>
      <c r="AR30" s="528">
        <v>0</v>
      </c>
      <c r="AS30" s="528">
        <v>0</v>
      </c>
      <c r="AT30" s="528">
        <v>0</v>
      </c>
      <c r="AU30" s="528">
        <v>0</v>
      </c>
      <c r="AV30" s="528">
        <v>0</v>
      </c>
      <c r="AW30" s="528">
        <v>0</v>
      </c>
      <c r="AX30" s="528">
        <v>0</v>
      </c>
      <c r="AY30" s="528">
        <v>0</v>
      </c>
      <c r="AZ30" s="528"/>
      <c r="BA30" s="528" t="s">
        <v>1145</v>
      </c>
      <c r="BB30" s="528"/>
      <c r="BC30" s="528" t="s">
        <v>1145</v>
      </c>
      <c r="BD30" s="528"/>
      <c r="BE30" s="528"/>
      <c r="BF30" s="528"/>
      <c r="BG30" s="529"/>
      <c r="BH30" s="525"/>
      <c r="BI30" s="528"/>
      <c r="BJ30" s="528" t="s">
        <v>1146</v>
      </c>
      <c r="BK30" s="528"/>
      <c r="BL30" s="529"/>
      <c r="BM30" s="567" t="s">
        <v>1192</v>
      </c>
      <c r="BN30" s="525" t="s">
        <v>368</v>
      </c>
    </row>
    <row r="31" spans="1:67" ht="13" customHeight="1" x14ac:dyDescent="0.2">
      <c r="A31" s="525">
        <v>3522</v>
      </c>
      <c r="B31" s="565">
        <v>44937</v>
      </c>
      <c r="C31" s="526" t="s">
        <v>1138</v>
      </c>
      <c r="D31" s="525" t="s">
        <v>1109</v>
      </c>
      <c r="E31" s="527">
        <v>44927</v>
      </c>
      <c r="F31" s="529" t="s">
        <v>1156</v>
      </c>
      <c r="G31" s="525" t="s">
        <v>1649</v>
      </c>
      <c r="H31" s="532">
        <v>104.23636363636362</v>
      </c>
      <c r="I31" s="531" t="s">
        <v>1141</v>
      </c>
      <c r="J31" s="485">
        <v>1645</v>
      </c>
      <c r="K31" s="485">
        <v>3000</v>
      </c>
      <c r="L31" s="485">
        <v>3000</v>
      </c>
      <c r="M31" s="485">
        <v>3000</v>
      </c>
      <c r="N31" s="525"/>
      <c r="O31" s="532">
        <v>4.5090909090909088</v>
      </c>
      <c r="P31" s="532">
        <v>3.5272727272727269</v>
      </c>
      <c r="Q31" s="532">
        <v>0</v>
      </c>
      <c r="R31" s="532">
        <v>0</v>
      </c>
      <c r="S31" s="532">
        <v>2.8363636363636364</v>
      </c>
      <c r="T31" s="533"/>
      <c r="U31" s="532">
        <v>4.5090909090909088</v>
      </c>
      <c r="V31" s="532">
        <v>3.5272727272727269</v>
      </c>
      <c r="W31" s="532">
        <v>0</v>
      </c>
      <c r="X31" s="532">
        <v>0</v>
      </c>
      <c r="Y31" s="532">
        <v>2.8363636363636364</v>
      </c>
      <c r="Z31" s="533"/>
      <c r="AA31" s="533"/>
      <c r="AB31" s="533"/>
      <c r="AC31" s="533"/>
      <c r="AD31" s="533"/>
      <c r="AE31" s="533"/>
      <c r="AF31" s="533"/>
      <c r="AG31" s="528" t="s">
        <v>1145</v>
      </c>
      <c r="AH31" s="528"/>
      <c r="AI31" s="528">
        <v>3</v>
      </c>
      <c r="AJ31" s="528">
        <v>3</v>
      </c>
      <c r="AK31" s="480">
        <v>0.5</v>
      </c>
      <c r="AL31" s="480">
        <v>0.5</v>
      </c>
      <c r="AM31" s="525"/>
      <c r="AN31" s="528">
        <v>12</v>
      </c>
      <c r="AO31" s="528">
        <v>0</v>
      </c>
      <c r="AP31" s="528">
        <v>0</v>
      </c>
      <c r="AQ31" s="528">
        <v>0</v>
      </c>
      <c r="AR31" s="528">
        <v>0</v>
      </c>
      <c r="AS31" s="528">
        <v>0</v>
      </c>
      <c r="AT31" s="528">
        <v>0</v>
      </c>
      <c r="AU31" s="528">
        <v>0</v>
      </c>
      <c r="AV31" s="528">
        <v>0</v>
      </c>
      <c r="AW31" s="528">
        <v>0</v>
      </c>
      <c r="AX31" s="528">
        <v>0</v>
      </c>
      <c r="AY31" s="528">
        <v>0</v>
      </c>
      <c r="AZ31" s="566">
        <v>12</v>
      </c>
      <c r="BA31" s="528" t="s">
        <v>1145</v>
      </c>
      <c r="BB31" s="528"/>
      <c r="BC31" s="528" t="s">
        <v>1145</v>
      </c>
      <c r="BD31" s="528"/>
      <c r="BE31" s="528"/>
      <c r="BF31" s="528"/>
      <c r="BG31" s="529"/>
      <c r="BH31" s="525"/>
      <c r="BI31" s="528"/>
      <c r="BJ31" s="528" t="s">
        <v>1146</v>
      </c>
      <c r="BK31" s="528"/>
      <c r="BL31" s="529"/>
      <c r="BM31" s="569" t="s">
        <v>430</v>
      </c>
      <c r="BN31" s="525" t="s">
        <v>408</v>
      </c>
    </row>
    <row r="32" spans="1:67" ht="13" customHeight="1" x14ac:dyDescent="0.2">
      <c r="A32" s="525">
        <v>2872</v>
      </c>
      <c r="B32" s="565">
        <v>44937</v>
      </c>
      <c r="C32" s="526" t="s">
        <v>1138</v>
      </c>
      <c r="D32" s="525" t="s">
        <v>1109</v>
      </c>
      <c r="E32" s="527">
        <v>44896</v>
      </c>
      <c r="F32" s="529" t="s">
        <v>1159</v>
      </c>
      <c r="G32" s="525" t="s">
        <v>1105</v>
      </c>
      <c r="H32" s="532">
        <v>75.599999999999994</v>
      </c>
      <c r="I32" s="531" t="s">
        <v>1141</v>
      </c>
      <c r="J32" s="485">
        <v>1645</v>
      </c>
      <c r="K32" s="485">
        <v>3000</v>
      </c>
      <c r="L32" s="485">
        <v>3000</v>
      </c>
      <c r="M32" s="485">
        <v>3000</v>
      </c>
      <c r="N32" s="525"/>
      <c r="O32" s="532">
        <v>3.2909090909090906</v>
      </c>
      <c r="P32" s="532">
        <v>2.8090909090909086</v>
      </c>
      <c r="Q32" s="532">
        <v>0</v>
      </c>
      <c r="R32" s="532">
        <v>0</v>
      </c>
      <c r="S32" s="532">
        <v>2.4636363636363634</v>
      </c>
      <c r="T32" s="533"/>
      <c r="U32" s="532">
        <v>3.2909090909090906</v>
      </c>
      <c r="V32" s="532">
        <v>2.8090909090909086</v>
      </c>
      <c r="W32" s="532">
        <v>0</v>
      </c>
      <c r="X32" s="532">
        <v>0</v>
      </c>
      <c r="Y32" s="532">
        <v>2.4636363636363634</v>
      </c>
      <c r="Z32" s="533"/>
      <c r="AA32" s="533"/>
      <c r="AB32" s="533"/>
      <c r="AC32" s="533"/>
      <c r="AD32" s="533"/>
      <c r="AE32" s="533"/>
      <c r="AF32" s="533"/>
      <c r="AG32" s="528" t="s">
        <v>1278</v>
      </c>
      <c r="AH32" s="528"/>
      <c r="AI32" s="528">
        <v>3</v>
      </c>
      <c r="AJ32" s="528">
        <v>3</v>
      </c>
      <c r="AK32" s="480">
        <v>0.5</v>
      </c>
      <c r="AL32" s="480">
        <v>0.5</v>
      </c>
      <c r="AM32" s="525"/>
      <c r="AN32" s="528">
        <v>0</v>
      </c>
      <c r="AO32" s="528">
        <v>0</v>
      </c>
      <c r="AP32" s="528">
        <v>0</v>
      </c>
      <c r="AQ32" s="528">
        <v>0</v>
      </c>
      <c r="AR32" s="528">
        <v>0</v>
      </c>
      <c r="AS32" s="528">
        <v>0</v>
      </c>
      <c r="AT32" s="528">
        <v>0</v>
      </c>
      <c r="AU32" s="528">
        <v>0</v>
      </c>
      <c r="AV32" s="528">
        <v>0</v>
      </c>
      <c r="AW32" s="528">
        <v>0</v>
      </c>
      <c r="AX32" s="528">
        <v>0</v>
      </c>
      <c r="AY32" s="528">
        <v>0</v>
      </c>
      <c r="AZ32" s="528"/>
      <c r="BA32" s="528" t="s">
        <v>1145</v>
      </c>
      <c r="BB32" s="528"/>
      <c r="BC32" s="528" t="s">
        <v>1145</v>
      </c>
      <c r="BD32" s="528"/>
      <c r="BE32" s="528"/>
      <c r="BF32" s="564">
        <v>45351</v>
      </c>
      <c r="BG32" s="529"/>
      <c r="BH32" s="525"/>
      <c r="BI32" s="528"/>
      <c r="BJ32" s="528" t="s">
        <v>1146</v>
      </c>
      <c r="BK32" s="528"/>
      <c r="BL32" s="529"/>
      <c r="BM32" s="567" t="s">
        <v>1707</v>
      </c>
      <c r="BN32" s="525" t="s">
        <v>368</v>
      </c>
    </row>
    <row r="33" spans="1:66" ht="13" customHeight="1" x14ac:dyDescent="0.2">
      <c r="A33" s="525">
        <v>3368</v>
      </c>
      <c r="B33" s="565">
        <v>44937</v>
      </c>
      <c r="C33" s="526" t="s">
        <v>1138</v>
      </c>
      <c r="D33" s="525" t="s">
        <v>1109</v>
      </c>
      <c r="E33" s="527">
        <v>44927</v>
      </c>
      <c r="F33" s="529" t="s">
        <v>1166</v>
      </c>
      <c r="G33" s="525" t="s">
        <v>1651</v>
      </c>
      <c r="H33" s="532">
        <v>74.545454545454533</v>
      </c>
      <c r="I33" s="531" t="s">
        <v>1141</v>
      </c>
      <c r="J33" s="568">
        <v>6000</v>
      </c>
      <c r="K33" s="568">
        <v>12000</v>
      </c>
      <c r="L33" s="568">
        <v>12000</v>
      </c>
      <c r="M33" s="568">
        <v>12000</v>
      </c>
      <c r="N33" s="525"/>
      <c r="O33" s="532">
        <v>2.5272727272727269</v>
      </c>
      <c r="P33" s="532">
        <v>2.4090909090909087</v>
      </c>
      <c r="Q33" s="532">
        <v>0</v>
      </c>
      <c r="R33" s="532">
        <v>0</v>
      </c>
      <c r="S33" s="532">
        <v>2.0818181818181816</v>
      </c>
      <c r="T33" s="533"/>
      <c r="U33" s="532">
        <v>2.5272727272727269</v>
      </c>
      <c r="V33" s="532">
        <v>2.4090909090909087</v>
      </c>
      <c r="W33" s="532">
        <v>0</v>
      </c>
      <c r="X33" s="532">
        <v>0</v>
      </c>
      <c r="Y33" s="532">
        <v>2.0818181818181816</v>
      </c>
      <c r="Z33" s="533"/>
      <c r="AA33" s="533"/>
      <c r="AB33" s="533"/>
      <c r="AC33" s="533"/>
      <c r="AD33" s="533"/>
      <c r="AE33" s="533"/>
      <c r="AF33" s="533"/>
      <c r="AG33" s="528" t="s">
        <v>1145</v>
      </c>
      <c r="AH33" s="528"/>
      <c r="AI33" s="528">
        <v>3</v>
      </c>
      <c r="AJ33" s="528">
        <v>3</v>
      </c>
      <c r="AK33" s="480">
        <v>0.5</v>
      </c>
      <c r="AL33" s="480">
        <v>0.5</v>
      </c>
      <c r="AM33" s="525"/>
      <c r="AN33" s="528">
        <v>0</v>
      </c>
      <c r="AO33" s="528">
        <v>0</v>
      </c>
      <c r="AP33" s="528">
        <v>0</v>
      </c>
      <c r="AQ33" s="528">
        <v>0</v>
      </c>
      <c r="AR33" s="528">
        <v>0</v>
      </c>
      <c r="AS33" s="528">
        <v>0</v>
      </c>
      <c r="AT33" s="528">
        <v>0</v>
      </c>
      <c r="AU33" s="528">
        <v>0</v>
      </c>
      <c r="AV33" s="528">
        <v>0</v>
      </c>
      <c r="AW33" s="528">
        <v>0</v>
      </c>
      <c r="AX33" s="528">
        <v>0</v>
      </c>
      <c r="AY33" s="528">
        <v>0</v>
      </c>
      <c r="AZ33" s="528"/>
      <c r="BA33" s="528" t="s">
        <v>1145</v>
      </c>
      <c r="BB33" s="528">
        <v>12</v>
      </c>
      <c r="BC33" s="528" t="s">
        <v>1145</v>
      </c>
      <c r="BD33" s="528"/>
      <c r="BE33" s="528"/>
      <c r="BF33" s="528"/>
      <c r="BG33" s="529"/>
      <c r="BH33" s="525"/>
      <c r="BI33" s="600"/>
      <c r="BJ33" s="528" t="s">
        <v>1146</v>
      </c>
      <c r="BK33" s="528"/>
      <c r="BL33" s="529"/>
      <c r="BM33" s="569" t="s">
        <v>430</v>
      </c>
      <c r="BN33" s="525" t="s">
        <v>408</v>
      </c>
    </row>
    <row r="34" spans="1:66" ht="13" customHeight="1" x14ac:dyDescent="0.2">
      <c r="A34" s="525">
        <v>2396</v>
      </c>
      <c r="B34" s="565">
        <v>44937</v>
      </c>
      <c r="C34" s="526" t="s">
        <v>1138</v>
      </c>
      <c r="D34" s="525" t="s">
        <v>1109</v>
      </c>
      <c r="E34" s="570">
        <v>44896</v>
      </c>
      <c r="F34" s="529" t="s">
        <v>1168</v>
      </c>
      <c r="G34" s="525" t="s">
        <v>1297</v>
      </c>
      <c r="H34" s="532">
        <v>75.599999999999994</v>
      </c>
      <c r="I34" s="531" t="s">
        <v>1141</v>
      </c>
      <c r="J34" s="485">
        <v>1645</v>
      </c>
      <c r="K34" s="485">
        <v>3000</v>
      </c>
      <c r="L34" s="485">
        <v>3000</v>
      </c>
      <c r="M34" s="485">
        <v>3000</v>
      </c>
      <c r="N34" s="525"/>
      <c r="O34" s="532">
        <v>3.1181818181818182</v>
      </c>
      <c r="P34" s="532">
        <v>2.627272727272727</v>
      </c>
      <c r="Q34" s="532">
        <v>0</v>
      </c>
      <c r="R34" s="532">
        <v>0</v>
      </c>
      <c r="S34" s="532">
        <v>2.2545454545454544</v>
      </c>
      <c r="T34" s="533"/>
      <c r="U34" s="532">
        <v>3.1181818181818182</v>
      </c>
      <c r="V34" s="532">
        <v>2.627272727272727</v>
      </c>
      <c r="W34" s="532">
        <v>0</v>
      </c>
      <c r="X34" s="532">
        <v>0</v>
      </c>
      <c r="Y34" s="532">
        <v>2.2545454545454544</v>
      </c>
      <c r="Z34" s="533"/>
      <c r="AA34" s="533"/>
      <c r="AB34" s="533"/>
      <c r="AC34" s="533"/>
      <c r="AD34" s="533"/>
      <c r="AE34" s="533"/>
      <c r="AF34" s="533"/>
      <c r="AG34" s="528" t="s">
        <v>1145</v>
      </c>
      <c r="AH34" s="528"/>
      <c r="AI34" s="528">
        <v>3</v>
      </c>
      <c r="AJ34" s="528">
        <v>3</v>
      </c>
      <c r="AK34" s="480">
        <v>0.5</v>
      </c>
      <c r="AL34" s="480">
        <v>0.5</v>
      </c>
      <c r="AM34" s="525"/>
      <c r="AN34" s="528">
        <v>0</v>
      </c>
      <c r="AO34" s="528">
        <v>0</v>
      </c>
      <c r="AP34" s="528">
        <v>0</v>
      </c>
      <c r="AQ34" s="528">
        <v>0</v>
      </c>
      <c r="AR34" s="528">
        <v>0</v>
      </c>
      <c r="AS34" s="528">
        <v>0</v>
      </c>
      <c r="AT34" s="528">
        <v>0</v>
      </c>
      <c r="AU34" s="528">
        <v>0</v>
      </c>
      <c r="AV34" s="528">
        <v>0</v>
      </c>
      <c r="AW34" s="528">
        <v>0</v>
      </c>
      <c r="AX34" s="528">
        <v>0</v>
      </c>
      <c r="AY34" s="528">
        <v>0</v>
      </c>
      <c r="AZ34" s="528"/>
      <c r="BA34" s="528" t="s">
        <v>1145</v>
      </c>
      <c r="BB34" s="528"/>
      <c r="BC34" s="528" t="s">
        <v>1145</v>
      </c>
      <c r="BD34" s="528"/>
      <c r="BE34" s="528"/>
      <c r="BF34" s="528"/>
      <c r="BG34" s="529"/>
      <c r="BH34" s="525"/>
      <c r="BI34" s="528"/>
      <c r="BJ34" s="528" t="s">
        <v>1146</v>
      </c>
      <c r="BK34" s="528"/>
      <c r="BL34" s="529"/>
      <c r="BM34" s="567" t="s">
        <v>1708</v>
      </c>
      <c r="BN34" s="525" t="s">
        <v>368</v>
      </c>
    </row>
    <row r="35" spans="1:66" ht="13" customHeight="1" x14ac:dyDescent="0.2">
      <c r="A35" s="525">
        <v>266</v>
      </c>
      <c r="B35" s="565">
        <v>44937</v>
      </c>
      <c r="C35" s="526" t="s">
        <v>1138</v>
      </c>
      <c r="D35" s="525" t="s">
        <v>1109</v>
      </c>
      <c r="E35" s="527">
        <v>44907</v>
      </c>
      <c r="F35" s="529" t="s">
        <v>1169</v>
      </c>
      <c r="G35" s="525" t="s">
        <v>1698</v>
      </c>
      <c r="H35" s="532">
        <v>77.099999999999994</v>
      </c>
      <c r="I35" s="531" t="s">
        <v>1141</v>
      </c>
      <c r="J35" s="485">
        <v>1645</v>
      </c>
      <c r="K35" s="485">
        <v>3000</v>
      </c>
      <c r="L35" s="485">
        <v>3000</v>
      </c>
      <c r="M35" s="485">
        <v>3000</v>
      </c>
      <c r="N35" s="525"/>
      <c r="O35" s="532">
        <v>3.5818181818181816</v>
      </c>
      <c r="P35" s="532">
        <v>3.0727272727272723</v>
      </c>
      <c r="Q35" s="532">
        <v>0</v>
      </c>
      <c r="R35" s="532">
        <v>0</v>
      </c>
      <c r="S35" s="532">
        <v>2.6181818181818177</v>
      </c>
      <c r="T35" s="533"/>
      <c r="U35" s="532">
        <v>3.5818181818181816</v>
      </c>
      <c r="V35" s="532">
        <v>3.0727272727272723</v>
      </c>
      <c r="W35" s="532">
        <v>0</v>
      </c>
      <c r="X35" s="532">
        <v>0</v>
      </c>
      <c r="Y35" s="532">
        <v>2.6181818181818177</v>
      </c>
      <c r="Z35" s="533"/>
      <c r="AA35" s="533"/>
      <c r="AB35" s="533"/>
      <c r="AC35" s="533"/>
      <c r="AD35" s="533"/>
      <c r="AE35" s="533"/>
      <c r="AF35" s="533"/>
      <c r="AG35" s="528" t="s">
        <v>1145</v>
      </c>
      <c r="AH35" s="528"/>
      <c r="AI35" s="528">
        <v>3</v>
      </c>
      <c r="AJ35" s="528">
        <v>3</v>
      </c>
      <c r="AK35" s="480">
        <v>0.5</v>
      </c>
      <c r="AL35" s="480">
        <v>0.5</v>
      </c>
      <c r="AM35" s="525"/>
      <c r="AN35" s="528">
        <v>6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528">
        <v>0</v>
      </c>
      <c r="AZ35" s="528"/>
      <c r="BA35" s="528" t="s">
        <v>1145</v>
      </c>
      <c r="BB35" s="528"/>
      <c r="BC35" s="528" t="s">
        <v>1145</v>
      </c>
      <c r="BD35" s="528"/>
      <c r="BE35" s="528"/>
      <c r="BF35" s="528"/>
      <c r="BG35" s="529"/>
      <c r="BH35" s="525"/>
      <c r="BI35" s="528"/>
      <c r="BJ35" s="528" t="s">
        <v>1146</v>
      </c>
      <c r="BK35" s="528"/>
      <c r="BL35" s="529"/>
      <c r="BM35" s="567" t="s">
        <v>430</v>
      </c>
      <c r="BN35" s="525" t="s">
        <v>368</v>
      </c>
    </row>
    <row r="36" spans="1:66" ht="13" customHeight="1" x14ac:dyDescent="0.2">
      <c r="A36" s="525">
        <v>1684</v>
      </c>
      <c r="B36" s="565">
        <v>44938</v>
      </c>
      <c r="C36" s="526" t="s">
        <v>295</v>
      </c>
      <c r="D36" s="525" t="s">
        <v>1109</v>
      </c>
      <c r="E36" s="527">
        <v>44926</v>
      </c>
      <c r="F36" s="529" t="s">
        <v>1106</v>
      </c>
      <c r="G36" s="525" t="s">
        <v>2</v>
      </c>
      <c r="H36" s="532">
        <v>59</v>
      </c>
      <c r="I36" s="531" t="s">
        <v>1141</v>
      </c>
      <c r="J36" s="525">
        <v>3000</v>
      </c>
      <c r="K36" s="525">
        <v>3000</v>
      </c>
      <c r="L36" s="525">
        <v>3000</v>
      </c>
      <c r="M36" s="525">
        <v>3000</v>
      </c>
      <c r="N36" s="525"/>
      <c r="O36" s="532">
        <v>3.0727272727272723</v>
      </c>
      <c r="P36" s="532">
        <v>0</v>
      </c>
      <c r="Q36" s="532">
        <v>0</v>
      </c>
      <c r="R36" s="532">
        <v>0</v>
      </c>
      <c r="S36" s="532">
        <v>2.4545454545454546</v>
      </c>
      <c r="T36" s="533"/>
      <c r="U36" s="532">
        <v>3.0727272727272723</v>
      </c>
      <c r="V36" s="532">
        <v>0</v>
      </c>
      <c r="W36" s="532">
        <v>0</v>
      </c>
      <c r="X36" s="532">
        <v>0</v>
      </c>
      <c r="Y36" s="532">
        <v>2.4545454545454546</v>
      </c>
      <c r="Z36" s="533"/>
      <c r="AA36" s="533"/>
      <c r="AB36" s="533"/>
      <c r="AC36" s="533"/>
      <c r="AD36" s="533"/>
      <c r="AE36" s="533"/>
      <c r="AF36" s="533"/>
      <c r="AG36" s="528" t="s">
        <v>1145</v>
      </c>
      <c r="AH36" s="528"/>
      <c r="AI36" s="528">
        <v>3</v>
      </c>
      <c r="AJ36" s="528">
        <v>3</v>
      </c>
      <c r="AK36" s="480">
        <v>0.5</v>
      </c>
      <c r="AL36" s="480">
        <v>0.5</v>
      </c>
      <c r="AM36" s="525"/>
      <c r="AN36" s="528">
        <v>0</v>
      </c>
      <c r="AO36" s="528">
        <v>0</v>
      </c>
      <c r="AP36" s="528">
        <v>2</v>
      </c>
      <c r="AQ36" s="528">
        <v>0</v>
      </c>
      <c r="AR36" s="528">
        <v>0</v>
      </c>
      <c r="AS36" s="528">
        <v>0</v>
      </c>
      <c r="AT36" s="528">
        <v>0</v>
      </c>
      <c r="AU36" s="528">
        <v>0</v>
      </c>
      <c r="AV36" s="528">
        <v>0</v>
      </c>
      <c r="AW36" s="528">
        <v>0</v>
      </c>
      <c r="AX36" s="528">
        <v>0</v>
      </c>
      <c r="AY36" s="528">
        <v>0</v>
      </c>
      <c r="AZ36" s="528"/>
      <c r="BA36" s="528" t="s">
        <v>1145</v>
      </c>
      <c r="BB36" s="528"/>
      <c r="BC36" s="528" t="s">
        <v>1145</v>
      </c>
      <c r="BD36" s="528"/>
      <c r="BE36" s="528"/>
      <c r="BF36" s="529"/>
      <c r="BG36" s="529" t="s">
        <v>1700</v>
      </c>
      <c r="BH36" s="525" t="s">
        <v>365</v>
      </c>
      <c r="BI36" s="528">
        <v>60</v>
      </c>
      <c r="BJ36" s="528" t="s">
        <v>1146</v>
      </c>
      <c r="BK36" s="528">
        <v>1</v>
      </c>
      <c r="BL36" s="525" t="s">
        <v>1701</v>
      </c>
      <c r="BM36" s="567" t="s">
        <v>1709</v>
      </c>
      <c r="BN36" s="525" t="s">
        <v>408</v>
      </c>
    </row>
    <row r="37" spans="1:66" ht="13" customHeight="1" x14ac:dyDescent="0.2">
      <c r="A37" s="525">
        <v>2741</v>
      </c>
      <c r="B37" s="565">
        <v>44937</v>
      </c>
      <c r="C37" s="526" t="s">
        <v>1138</v>
      </c>
      <c r="D37" s="525" t="s">
        <v>1109</v>
      </c>
      <c r="E37" s="527">
        <v>44927</v>
      </c>
      <c r="F37" s="525" t="s">
        <v>1274</v>
      </c>
      <c r="G37" s="525" t="s">
        <v>1467</v>
      </c>
      <c r="H37" s="532">
        <v>77</v>
      </c>
      <c r="I37" s="531" t="s">
        <v>1141</v>
      </c>
      <c r="J37" s="409">
        <v>1800</v>
      </c>
      <c r="K37" s="332">
        <v>4800</v>
      </c>
      <c r="L37" s="332">
        <v>4800</v>
      </c>
      <c r="M37" s="332">
        <v>4800</v>
      </c>
      <c r="N37" s="332"/>
      <c r="O37" s="532">
        <v>4.3999999999999995</v>
      </c>
      <c r="P37" s="532">
        <v>3.7999999999999994</v>
      </c>
      <c r="Q37" s="532">
        <v>0</v>
      </c>
      <c r="R37" s="532">
        <v>0</v>
      </c>
      <c r="S37" s="532">
        <v>3.3</v>
      </c>
      <c r="T37" s="571"/>
      <c r="U37" s="532">
        <v>4.3999999999999995</v>
      </c>
      <c r="V37" s="532">
        <v>3.7999999999999994</v>
      </c>
      <c r="W37" s="532">
        <v>0</v>
      </c>
      <c r="X37" s="532">
        <v>0</v>
      </c>
      <c r="Y37" s="532">
        <v>3.3</v>
      </c>
      <c r="Z37" s="571"/>
      <c r="AA37" s="571"/>
      <c r="AB37" s="571"/>
      <c r="AC37" s="571"/>
      <c r="AD37" s="571"/>
      <c r="AE37" s="571"/>
      <c r="AF37" s="571"/>
      <c r="AG37" s="333" t="s">
        <v>1145</v>
      </c>
      <c r="AH37" s="333"/>
      <c r="AI37" s="528">
        <v>3</v>
      </c>
      <c r="AJ37" s="528">
        <v>3</v>
      </c>
      <c r="AK37" s="480">
        <v>0.5</v>
      </c>
      <c r="AL37" s="480">
        <v>0.5</v>
      </c>
      <c r="AM37" s="525"/>
      <c r="AN37" s="528">
        <v>0</v>
      </c>
      <c r="AO37" s="528">
        <v>7</v>
      </c>
      <c r="AP37" s="528">
        <v>0</v>
      </c>
      <c r="AQ37" s="528">
        <v>3</v>
      </c>
      <c r="AR37" s="528">
        <v>0</v>
      </c>
      <c r="AS37" s="528">
        <v>0</v>
      </c>
      <c r="AT37" s="528">
        <v>0</v>
      </c>
      <c r="AU37" s="528">
        <v>0</v>
      </c>
      <c r="AV37" s="528">
        <v>0</v>
      </c>
      <c r="AW37" s="528">
        <v>0</v>
      </c>
      <c r="AX37" s="528">
        <v>0</v>
      </c>
      <c r="AY37" s="528">
        <v>0</v>
      </c>
      <c r="AZ37" s="528"/>
      <c r="BA37" s="528" t="s">
        <v>1145</v>
      </c>
      <c r="BB37" s="528"/>
      <c r="BC37" s="528" t="s">
        <v>1145</v>
      </c>
      <c r="BD37" s="528"/>
      <c r="BE37" s="528"/>
      <c r="BF37" s="528"/>
      <c r="BG37" s="529"/>
      <c r="BH37" s="525"/>
      <c r="BI37" s="528"/>
      <c r="BJ37" s="528" t="s">
        <v>1146</v>
      </c>
      <c r="BK37" s="528">
        <v>1</v>
      </c>
      <c r="BL37" s="529"/>
      <c r="BM37" s="567" t="s">
        <v>1710</v>
      </c>
      <c r="BN37" s="525" t="s">
        <v>408</v>
      </c>
    </row>
    <row r="38" spans="1:66" ht="13" customHeight="1" x14ac:dyDescent="0.2">
      <c r="A38" s="525">
        <v>2932</v>
      </c>
      <c r="B38" s="565">
        <v>44937</v>
      </c>
      <c r="C38" s="526" t="s">
        <v>1138</v>
      </c>
      <c r="D38" s="525" t="s">
        <v>1109</v>
      </c>
      <c r="E38" s="527">
        <v>44853</v>
      </c>
      <c r="F38" s="525" t="s">
        <v>1483</v>
      </c>
      <c r="G38" s="525" t="s">
        <v>1550</v>
      </c>
      <c r="H38" s="532">
        <v>97.999999999999986</v>
      </c>
      <c r="I38" s="531" t="s">
        <v>1141</v>
      </c>
      <c r="J38" s="485">
        <v>1645</v>
      </c>
      <c r="K38" s="485">
        <v>3000</v>
      </c>
      <c r="L38" s="485">
        <v>3000</v>
      </c>
      <c r="M38" s="485">
        <v>3000</v>
      </c>
      <c r="N38" s="332"/>
      <c r="O38" s="532">
        <v>2.3636363636363633</v>
      </c>
      <c r="P38" s="532">
        <v>2.0545454545454542</v>
      </c>
      <c r="Q38" s="532">
        <v>0</v>
      </c>
      <c r="R38" s="532">
        <v>0</v>
      </c>
      <c r="S38" s="532">
        <v>1.8090909090909089</v>
      </c>
      <c r="T38" s="571"/>
      <c r="U38" s="532">
        <v>2.3636363636363633</v>
      </c>
      <c r="V38" s="532">
        <v>2.0545454545454542</v>
      </c>
      <c r="W38" s="532">
        <v>0</v>
      </c>
      <c r="X38" s="532">
        <v>0</v>
      </c>
      <c r="Y38" s="532">
        <v>1.8090909090909089</v>
      </c>
      <c r="Z38" s="571"/>
      <c r="AA38" s="571"/>
      <c r="AB38" s="571"/>
      <c r="AC38" s="571"/>
      <c r="AD38" s="571"/>
      <c r="AE38" s="571"/>
      <c r="AF38" s="571"/>
      <c r="AG38" s="333" t="s">
        <v>1145</v>
      </c>
      <c r="AH38" s="333"/>
      <c r="AI38" s="528">
        <v>3</v>
      </c>
      <c r="AJ38" s="528">
        <v>3</v>
      </c>
      <c r="AK38" s="480">
        <v>0.5</v>
      </c>
      <c r="AL38" s="480">
        <v>0.5</v>
      </c>
      <c r="AM38" s="525"/>
      <c r="AN38" s="528">
        <v>0</v>
      </c>
      <c r="AO38" s="528">
        <v>0</v>
      </c>
      <c r="AP38" s="528">
        <v>0</v>
      </c>
      <c r="AQ38" s="528">
        <v>0</v>
      </c>
      <c r="AR38" s="528">
        <v>0</v>
      </c>
      <c r="AS38" s="528">
        <v>0</v>
      </c>
      <c r="AT38" s="528">
        <v>0</v>
      </c>
      <c r="AU38" s="528">
        <v>0</v>
      </c>
      <c r="AV38" s="528">
        <v>0</v>
      </c>
      <c r="AW38" s="528">
        <v>0</v>
      </c>
      <c r="AX38" s="528">
        <v>0</v>
      </c>
      <c r="AY38" s="528">
        <v>0</v>
      </c>
      <c r="AZ38" s="528"/>
      <c r="BA38" s="528" t="s">
        <v>1145</v>
      </c>
      <c r="BB38" s="528"/>
      <c r="BC38" s="528" t="s">
        <v>1145</v>
      </c>
      <c r="BD38" s="528"/>
      <c r="BE38" s="528"/>
      <c r="BF38" s="564"/>
      <c r="BG38" s="529"/>
      <c r="BH38" s="525"/>
      <c r="BI38" s="528"/>
      <c r="BJ38" s="528" t="s">
        <v>4</v>
      </c>
      <c r="BK38" s="528"/>
      <c r="BL38" s="529"/>
      <c r="BM38" s="569" t="s">
        <v>1711</v>
      </c>
      <c r="BN38" s="525" t="s">
        <v>368</v>
      </c>
    </row>
    <row r="39" spans="1:66" ht="16" x14ac:dyDescent="0.2">
      <c r="A39" s="525">
        <v>3700</v>
      </c>
      <c r="B39" s="565">
        <v>44939</v>
      </c>
      <c r="C39" s="526" t="s">
        <v>1138</v>
      </c>
      <c r="D39" s="525" t="s">
        <v>1109</v>
      </c>
      <c r="E39" s="527">
        <v>44927</v>
      </c>
      <c r="F39" s="525" t="s">
        <v>1057</v>
      </c>
      <c r="G39" s="525" t="s">
        <v>1734</v>
      </c>
      <c r="H39" s="340">
        <v>86.8</v>
      </c>
      <c r="I39" s="531" t="s">
        <v>296</v>
      </c>
      <c r="J39" s="485">
        <v>1645</v>
      </c>
      <c r="K39" s="485">
        <v>3000</v>
      </c>
      <c r="L39" s="485">
        <v>3000</v>
      </c>
      <c r="M39" s="485">
        <v>3000</v>
      </c>
      <c r="N39" s="297"/>
      <c r="O39" s="340">
        <v>4.0999999999999996</v>
      </c>
      <c r="P39" s="340">
        <v>3.4</v>
      </c>
      <c r="Q39" s="340">
        <v>0</v>
      </c>
      <c r="R39" s="340">
        <v>0</v>
      </c>
      <c r="S39" s="340">
        <v>2.9999999999999996</v>
      </c>
      <c r="T39" s="571"/>
      <c r="U39" s="340">
        <v>4.0999999999999996</v>
      </c>
      <c r="V39" s="340">
        <v>3.4</v>
      </c>
      <c r="W39" s="340">
        <v>0</v>
      </c>
      <c r="X39" s="340">
        <v>0</v>
      </c>
      <c r="Y39" s="340">
        <v>2.9999999999999996</v>
      </c>
      <c r="Z39" s="297"/>
      <c r="AA39" s="297"/>
      <c r="AB39" s="297"/>
      <c r="AC39" s="297"/>
      <c r="AD39" s="297"/>
      <c r="AE39" s="297"/>
      <c r="AF39" s="297"/>
      <c r="AG39" s="333" t="s">
        <v>1145</v>
      </c>
      <c r="AH39" s="297"/>
      <c r="AI39" s="528">
        <v>3</v>
      </c>
      <c r="AJ39" s="528">
        <v>3</v>
      </c>
      <c r="AK39" s="480">
        <v>0.5</v>
      </c>
      <c r="AL39" s="480">
        <v>0.5</v>
      </c>
      <c r="AM39" s="525"/>
      <c r="AN39" s="528">
        <v>0</v>
      </c>
      <c r="AO39" s="528">
        <v>0</v>
      </c>
      <c r="AP39" s="528">
        <v>0</v>
      </c>
      <c r="AQ39" s="528">
        <v>0</v>
      </c>
      <c r="AR39" s="528">
        <v>0</v>
      </c>
      <c r="AS39" s="528">
        <v>0</v>
      </c>
      <c r="AT39" s="528">
        <v>0</v>
      </c>
      <c r="AU39" s="528">
        <v>0</v>
      </c>
      <c r="AV39" s="528">
        <v>0</v>
      </c>
      <c r="AW39" s="528">
        <v>0</v>
      </c>
      <c r="AX39" s="528">
        <v>0</v>
      </c>
      <c r="AY39" s="528">
        <v>0</v>
      </c>
      <c r="AZ39" s="528"/>
      <c r="BA39" s="528" t="s">
        <v>1145</v>
      </c>
      <c r="BB39" s="528"/>
      <c r="BC39" s="528" t="s">
        <v>1145</v>
      </c>
      <c r="BD39" s="528"/>
      <c r="BE39" s="528"/>
      <c r="BF39" s="528"/>
      <c r="BG39" s="529"/>
      <c r="BH39" s="525"/>
      <c r="BI39" s="528"/>
      <c r="BJ39" s="528" t="s">
        <v>1146</v>
      </c>
      <c r="BK39" s="528"/>
      <c r="BL39" s="529" t="s">
        <v>1735</v>
      </c>
      <c r="BM39" s="569" t="s">
        <v>1737</v>
      </c>
      <c r="BN39" s="525" t="s">
        <v>1121</v>
      </c>
    </row>
    <row r="40" spans="1:66" ht="13" customHeight="1" x14ac:dyDescent="0.2">
      <c r="A40" s="525">
        <v>3630</v>
      </c>
      <c r="B40" s="565">
        <v>44937</v>
      </c>
      <c r="C40" s="526" t="s">
        <v>1138</v>
      </c>
      <c r="D40" s="525" t="s">
        <v>1109</v>
      </c>
      <c r="E40" s="527">
        <v>44935</v>
      </c>
      <c r="F40" s="525" t="s">
        <v>1173</v>
      </c>
      <c r="G40" s="525" t="s">
        <v>1705</v>
      </c>
      <c r="H40" s="532">
        <v>104.99999999999999</v>
      </c>
      <c r="I40" s="531" t="s">
        <v>1141</v>
      </c>
      <c r="J40" s="525">
        <v>3000</v>
      </c>
      <c r="K40" s="525">
        <v>3000</v>
      </c>
      <c r="L40" s="525">
        <v>3000</v>
      </c>
      <c r="M40" s="525">
        <v>3000</v>
      </c>
      <c r="N40" s="332"/>
      <c r="O40" s="532">
        <v>5.3</v>
      </c>
      <c r="P40" s="532">
        <v>0</v>
      </c>
      <c r="Q40" s="532">
        <v>0</v>
      </c>
      <c r="R40" s="532">
        <v>0</v>
      </c>
      <c r="S40" s="532">
        <v>4.5999999999999996</v>
      </c>
      <c r="T40" s="571"/>
      <c r="U40" s="532">
        <v>5.3</v>
      </c>
      <c r="V40" s="532">
        <v>0</v>
      </c>
      <c r="W40" s="532">
        <v>0</v>
      </c>
      <c r="X40" s="532">
        <v>0</v>
      </c>
      <c r="Y40" s="532">
        <v>4.5999999999999996</v>
      </c>
      <c r="Z40" s="571"/>
      <c r="AA40" s="571"/>
      <c r="AB40" s="571"/>
      <c r="AC40" s="571"/>
      <c r="AD40" s="571"/>
      <c r="AE40" s="571"/>
      <c r="AF40" s="571"/>
      <c r="AG40" s="333" t="s">
        <v>1145</v>
      </c>
      <c r="AH40" s="333"/>
      <c r="AI40" s="528">
        <v>3</v>
      </c>
      <c r="AJ40" s="528">
        <v>3</v>
      </c>
      <c r="AK40" s="480">
        <v>0.5</v>
      </c>
      <c r="AL40" s="480">
        <v>0.5</v>
      </c>
      <c r="AM40" s="525"/>
      <c r="AN40" s="528">
        <v>0</v>
      </c>
      <c r="AO40" s="528">
        <v>0</v>
      </c>
      <c r="AP40" s="528">
        <v>0</v>
      </c>
      <c r="AQ40" s="528">
        <v>0</v>
      </c>
      <c r="AR40" s="528">
        <v>0</v>
      </c>
      <c r="AS40" s="528">
        <v>0</v>
      </c>
      <c r="AT40" s="528">
        <v>0</v>
      </c>
      <c r="AU40" s="528">
        <v>0</v>
      </c>
      <c r="AV40" s="528">
        <v>0</v>
      </c>
      <c r="AW40" s="528">
        <v>0</v>
      </c>
      <c r="AX40" s="528">
        <v>0</v>
      </c>
      <c r="AY40" s="528">
        <v>0</v>
      </c>
      <c r="AZ40" s="528"/>
      <c r="BA40" s="528" t="s">
        <v>1145</v>
      </c>
      <c r="BB40" s="528"/>
      <c r="BC40" s="528" t="s">
        <v>1145</v>
      </c>
      <c r="BD40" s="528"/>
      <c r="BE40" s="528"/>
      <c r="BF40" s="564"/>
      <c r="BG40" s="529"/>
      <c r="BH40" s="525"/>
      <c r="BI40" s="528"/>
      <c r="BJ40" s="528" t="s">
        <v>4</v>
      </c>
      <c r="BK40" s="528"/>
      <c r="BL40" s="529"/>
      <c r="BM40" s="569" t="s">
        <v>1712</v>
      </c>
      <c r="BN40" s="525" t="s">
        <v>408</v>
      </c>
    </row>
    <row r="41" spans="1:66" ht="13" customHeight="1" x14ac:dyDescent="0.2">
      <c r="A41" s="525">
        <v>3151</v>
      </c>
      <c r="B41" s="565">
        <v>44937</v>
      </c>
      <c r="C41" s="526" t="s">
        <v>295</v>
      </c>
      <c r="D41" s="525" t="s">
        <v>1110</v>
      </c>
      <c r="E41" s="527">
        <v>44927</v>
      </c>
      <c r="F41" s="529" t="s">
        <v>1044</v>
      </c>
      <c r="G41" s="525" t="s">
        <v>1646</v>
      </c>
      <c r="H41" s="532">
        <v>76.490909090909085</v>
      </c>
      <c r="I41" s="531" t="s">
        <v>1141</v>
      </c>
      <c r="J41" s="485">
        <v>1645</v>
      </c>
      <c r="K41" s="485">
        <v>3000</v>
      </c>
      <c r="L41" s="485">
        <v>3000</v>
      </c>
      <c r="M41" s="485">
        <v>3000</v>
      </c>
      <c r="N41" s="525"/>
      <c r="O41" s="532">
        <v>3.4909090909090903</v>
      </c>
      <c r="P41" s="532">
        <v>3.3272727272727272</v>
      </c>
      <c r="Q41" s="532">
        <v>0</v>
      </c>
      <c r="R41" s="532">
        <v>0</v>
      </c>
      <c r="S41" s="532">
        <v>2.2636363636363637</v>
      </c>
      <c r="T41" s="533"/>
      <c r="U41" s="532">
        <v>3.4909090909090903</v>
      </c>
      <c r="V41" s="532">
        <v>3.3272727272727272</v>
      </c>
      <c r="W41" s="532">
        <v>0</v>
      </c>
      <c r="X41" s="532">
        <v>0</v>
      </c>
      <c r="Y41" s="532">
        <v>2.2636363636363637</v>
      </c>
      <c r="Z41" s="533"/>
      <c r="AA41" s="533"/>
      <c r="AB41" s="533"/>
      <c r="AC41" s="533"/>
      <c r="AD41" s="533"/>
      <c r="AE41" s="533"/>
      <c r="AF41" s="533"/>
      <c r="AG41" s="528" t="s">
        <v>1145</v>
      </c>
      <c r="AH41" s="528"/>
      <c r="AI41" s="528">
        <v>3</v>
      </c>
      <c r="AJ41" s="528">
        <v>3</v>
      </c>
      <c r="AK41" s="480">
        <v>0.5</v>
      </c>
      <c r="AL41" s="480">
        <v>0.5</v>
      </c>
      <c r="AM41" s="525"/>
      <c r="AN41" s="528">
        <v>0</v>
      </c>
      <c r="AO41" s="528">
        <v>0</v>
      </c>
      <c r="AP41" s="528">
        <v>0</v>
      </c>
      <c r="AQ41" s="528">
        <v>0</v>
      </c>
      <c r="AR41" s="528">
        <v>0</v>
      </c>
      <c r="AS41" s="528">
        <v>0</v>
      </c>
      <c r="AT41" s="528">
        <v>0</v>
      </c>
      <c r="AU41" s="528">
        <v>0</v>
      </c>
      <c r="AV41" s="528">
        <v>0</v>
      </c>
      <c r="AW41" s="528">
        <v>0</v>
      </c>
      <c r="AX41" s="528">
        <v>0</v>
      </c>
      <c r="AY41" s="528">
        <v>0</v>
      </c>
      <c r="AZ41" s="528"/>
      <c r="BA41" s="528" t="s">
        <v>1145</v>
      </c>
      <c r="BB41" s="528"/>
      <c r="BC41" s="528" t="s">
        <v>1145</v>
      </c>
      <c r="BD41" s="528"/>
      <c r="BE41" s="528"/>
      <c r="BF41" s="528"/>
      <c r="BG41" s="597"/>
      <c r="BH41" s="598"/>
      <c r="BI41" s="566"/>
      <c r="BJ41" s="528" t="s">
        <v>1146</v>
      </c>
      <c r="BK41" s="528"/>
      <c r="BL41" s="529" t="s">
        <v>1647</v>
      </c>
      <c r="BM41" s="567" t="s">
        <v>1713</v>
      </c>
      <c r="BN41" s="525" t="s">
        <v>408</v>
      </c>
    </row>
    <row r="42" spans="1:66" ht="13" customHeight="1" x14ac:dyDescent="0.2">
      <c r="A42" s="525">
        <v>1039</v>
      </c>
      <c r="B42" s="565">
        <v>44937</v>
      </c>
      <c r="C42" s="526" t="s">
        <v>1138</v>
      </c>
      <c r="D42" s="525" t="s">
        <v>1110</v>
      </c>
      <c r="E42" s="527">
        <v>44805</v>
      </c>
      <c r="F42" s="529" t="s">
        <v>1148</v>
      </c>
      <c r="G42" s="525" t="s">
        <v>1280</v>
      </c>
      <c r="H42" s="532">
        <v>59.218181818181812</v>
      </c>
      <c r="I42" s="531" t="s">
        <v>1141</v>
      </c>
      <c r="J42" s="485">
        <v>1645</v>
      </c>
      <c r="K42" s="485">
        <v>3000</v>
      </c>
      <c r="L42" s="485">
        <v>3000</v>
      </c>
      <c r="M42" s="485">
        <v>3000</v>
      </c>
      <c r="N42" s="525"/>
      <c r="O42" s="532">
        <v>2.8</v>
      </c>
      <c r="P42" s="532">
        <v>2.4363636363636365</v>
      </c>
      <c r="Q42" s="532">
        <v>0</v>
      </c>
      <c r="R42" s="532">
        <v>0</v>
      </c>
      <c r="S42" s="532">
        <v>1.8999999999999997</v>
      </c>
      <c r="T42" s="533"/>
      <c r="U42" s="532">
        <v>2.8</v>
      </c>
      <c r="V42" s="532">
        <v>2.4363636363636365</v>
      </c>
      <c r="W42" s="532">
        <v>0</v>
      </c>
      <c r="X42" s="532">
        <v>0</v>
      </c>
      <c r="Y42" s="532">
        <v>1.8999999999999997</v>
      </c>
      <c r="Z42" s="533"/>
      <c r="AA42" s="533"/>
      <c r="AB42" s="533"/>
      <c r="AC42" s="533"/>
      <c r="AD42" s="533"/>
      <c r="AE42" s="533"/>
      <c r="AF42" s="533"/>
      <c r="AG42" s="528" t="s">
        <v>1145</v>
      </c>
      <c r="AH42" s="528"/>
      <c r="AI42" s="528">
        <v>3</v>
      </c>
      <c r="AJ42" s="528">
        <v>3</v>
      </c>
      <c r="AK42" s="480">
        <v>0.5</v>
      </c>
      <c r="AL42" s="480">
        <v>0.5</v>
      </c>
      <c r="AM42" s="525"/>
      <c r="AN42" s="528">
        <v>0</v>
      </c>
      <c r="AO42" s="528">
        <v>0</v>
      </c>
      <c r="AP42" s="528">
        <v>0</v>
      </c>
      <c r="AQ42" s="528">
        <v>0</v>
      </c>
      <c r="AR42" s="528">
        <v>0</v>
      </c>
      <c r="AS42" s="528">
        <v>0</v>
      </c>
      <c r="AT42" s="528">
        <v>0</v>
      </c>
      <c r="AU42" s="528">
        <v>0</v>
      </c>
      <c r="AV42" s="528">
        <v>0</v>
      </c>
      <c r="AW42" s="528">
        <v>0</v>
      </c>
      <c r="AX42" s="528">
        <v>0</v>
      </c>
      <c r="AY42" s="528">
        <v>0</v>
      </c>
      <c r="AZ42" s="528"/>
      <c r="BA42" s="528" t="s">
        <v>1145</v>
      </c>
      <c r="BB42" s="528"/>
      <c r="BC42" s="528" t="s">
        <v>1145</v>
      </c>
      <c r="BD42" s="528"/>
      <c r="BE42" s="528"/>
      <c r="BF42" s="528"/>
      <c r="BG42" s="529"/>
      <c r="BH42" s="525"/>
      <c r="BI42" s="528"/>
      <c r="BJ42" s="528" t="s">
        <v>4</v>
      </c>
      <c r="BK42" s="528"/>
      <c r="BL42" s="529"/>
      <c r="BM42" s="569" t="s">
        <v>430</v>
      </c>
      <c r="BN42" s="525" t="s">
        <v>368</v>
      </c>
    </row>
    <row r="43" spans="1:66" ht="13" customHeight="1" x14ac:dyDescent="0.2">
      <c r="A43" s="525">
        <v>2552</v>
      </c>
      <c r="B43" s="565">
        <v>44937</v>
      </c>
      <c r="C43" s="526" t="s">
        <v>1138</v>
      </c>
      <c r="D43" s="525" t="s">
        <v>1110</v>
      </c>
      <c r="E43" s="527">
        <v>44720</v>
      </c>
      <c r="F43" s="525" t="s">
        <v>1052</v>
      </c>
      <c r="G43" s="525" t="s">
        <v>1181</v>
      </c>
      <c r="H43" s="532">
        <v>56.809090909090905</v>
      </c>
      <c r="I43" s="531" t="s">
        <v>1141</v>
      </c>
      <c r="J43" s="485">
        <v>1645</v>
      </c>
      <c r="K43" s="485">
        <v>3000</v>
      </c>
      <c r="L43" s="485">
        <v>3000</v>
      </c>
      <c r="M43" s="485">
        <v>3000</v>
      </c>
      <c r="N43" s="332"/>
      <c r="O43" s="532">
        <v>3.1090909090909089</v>
      </c>
      <c r="P43" s="532">
        <v>2.4727272727272727</v>
      </c>
      <c r="Q43" s="532">
        <v>0</v>
      </c>
      <c r="R43" s="532">
        <v>0</v>
      </c>
      <c r="S43" s="532">
        <v>1.9909090909090907</v>
      </c>
      <c r="T43" s="571"/>
      <c r="U43" s="532">
        <v>3.1090909090909089</v>
      </c>
      <c r="V43" s="532">
        <v>2.4727272727272727</v>
      </c>
      <c r="W43" s="532">
        <v>0</v>
      </c>
      <c r="X43" s="532">
        <v>0</v>
      </c>
      <c r="Y43" s="532">
        <v>1.9909090909090907</v>
      </c>
      <c r="Z43" s="571"/>
      <c r="AA43" s="571"/>
      <c r="AB43" s="571"/>
      <c r="AC43" s="571"/>
      <c r="AD43" s="571"/>
      <c r="AE43" s="571"/>
      <c r="AF43" s="571"/>
      <c r="AG43" s="528" t="s">
        <v>1143</v>
      </c>
      <c r="AH43" s="528" t="s">
        <v>1144</v>
      </c>
      <c r="AI43" s="333">
        <v>2</v>
      </c>
      <c r="AJ43" s="333">
        <v>4</v>
      </c>
      <c r="AK43" s="483">
        <v>0.33329999999999999</v>
      </c>
      <c r="AL43" s="483">
        <v>0.66659999999999997</v>
      </c>
      <c r="AM43" s="525" t="s">
        <v>1124</v>
      </c>
      <c r="AN43" s="528">
        <v>0</v>
      </c>
      <c r="AO43" s="528">
        <v>0</v>
      </c>
      <c r="AP43" s="528">
        <v>0</v>
      </c>
      <c r="AQ43" s="528">
        <v>0</v>
      </c>
      <c r="AR43" s="528">
        <v>0</v>
      </c>
      <c r="AS43" s="528">
        <v>0</v>
      </c>
      <c r="AT43" s="528">
        <v>0</v>
      </c>
      <c r="AU43" s="528">
        <v>0</v>
      </c>
      <c r="AV43" s="528">
        <v>0</v>
      </c>
      <c r="AW43" s="528">
        <v>0</v>
      </c>
      <c r="AX43" s="528">
        <v>0</v>
      </c>
      <c r="AY43" s="528">
        <v>0</v>
      </c>
      <c r="AZ43" s="528"/>
      <c r="BA43" s="528" t="s">
        <v>1145</v>
      </c>
      <c r="BB43" s="528"/>
      <c r="BC43" s="528" t="s">
        <v>1145</v>
      </c>
      <c r="BD43" s="528"/>
      <c r="BE43" s="528"/>
      <c r="BF43" s="528"/>
      <c r="BG43" s="529"/>
      <c r="BH43" s="525"/>
      <c r="BI43" s="528"/>
      <c r="BJ43" s="528" t="s">
        <v>4</v>
      </c>
      <c r="BK43" s="528"/>
      <c r="BL43" s="529"/>
      <c r="BM43" s="567" t="s">
        <v>1214</v>
      </c>
      <c r="BN43" s="525" t="s">
        <v>368</v>
      </c>
    </row>
    <row r="44" spans="1:66" ht="13" customHeight="1" x14ac:dyDescent="0.2">
      <c r="A44" s="525">
        <v>3524</v>
      </c>
      <c r="B44" s="565">
        <v>44937</v>
      </c>
      <c r="C44" s="526" t="s">
        <v>1138</v>
      </c>
      <c r="D44" s="525" t="s">
        <v>1110</v>
      </c>
      <c r="E44" s="527">
        <v>44927</v>
      </c>
      <c r="F44" s="529" t="s">
        <v>1156</v>
      </c>
      <c r="G44" s="525" t="s">
        <v>1649</v>
      </c>
      <c r="H44" s="532">
        <v>103.77272727272727</v>
      </c>
      <c r="I44" s="531" t="s">
        <v>1141</v>
      </c>
      <c r="J44" s="485">
        <v>1645</v>
      </c>
      <c r="K44" s="485">
        <v>3000</v>
      </c>
      <c r="L44" s="485">
        <v>3000</v>
      </c>
      <c r="M44" s="485">
        <v>3000</v>
      </c>
      <c r="N44" s="525"/>
      <c r="O44" s="532">
        <v>4.5727272727272723</v>
      </c>
      <c r="P44" s="532">
        <v>3.4727272727272722</v>
      </c>
      <c r="Q44" s="532">
        <v>0</v>
      </c>
      <c r="R44" s="532">
        <v>0</v>
      </c>
      <c r="S44" s="532">
        <v>2.8454545454545452</v>
      </c>
      <c r="T44" s="533"/>
      <c r="U44" s="532">
        <v>4.5727272727272723</v>
      </c>
      <c r="V44" s="532">
        <v>3.4727272727272722</v>
      </c>
      <c r="W44" s="532">
        <v>0</v>
      </c>
      <c r="X44" s="532">
        <v>0</v>
      </c>
      <c r="Y44" s="532">
        <v>2.8454545454545452</v>
      </c>
      <c r="Z44" s="533"/>
      <c r="AA44" s="533"/>
      <c r="AB44" s="533"/>
      <c r="AC44" s="533"/>
      <c r="AD44" s="533"/>
      <c r="AE44" s="533"/>
      <c r="AF44" s="533"/>
      <c r="AG44" s="528" t="s">
        <v>1145</v>
      </c>
      <c r="AH44" s="528"/>
      <c r="AI44" s="528">
        <v>3</v>
      </c>
      <c r="AJ44" s="528">
        <v>3</v>
      </c>
      <c r="AK44" s="480">
        <v>0.5</v>
      </c>
      <c r="AL44" s="480">
        <v>0.5</v>
      </c>
      <c r="AM44" s="525"/>
      <c r="AN44" s="528">
        <v>12</v>
      </c>
      <c r="AO44" s="528">
        <v>0</v>
      </c>
      <c r="AP44" s="528">
        <v>0</v>
      </c>
      <c r="AQ44" s="528">
        <v>0</v>
      </c>
      <c r="AR44" s="528">
        <v>0</v>
      </c>
      <c r="AS44" s="528">
        <v>0</v>
      </c>
      <c r="AT44" s="528">
        <v>0</v>
      </c>
      <c r="AU44" s="528">
        <v>0</v>
      </c>
      <c r="AV44" s="528">
        <v>0</v>
      </c>
      <c r="AW44" s="528">
        <v>0</v>
      </c>
      <c r="AX44" s="528">
        <v>0</v>
      </c>
      <c r="AY44" s="528">
        <v>0</v>
      </c>
      <c r="AZ44" s="566">
        <v>12</v>
      </c>
      <c r="BA44" s="528" t="s">
        <v>1145</v>
      </c>
      <c r="BB44" s="528"/>
      <c r="BC44" s="528" t="s">
        <v>1145</v>
      </c>
      <c r="BD44" s="528"/>
      <c r="BE44" s="528"/>
      <c r="BF44" s="528"/>
      <c r="BG44" s="529"/>
      <c r="BH44" s="525"/>
      <c r="BI44" s="528"/>
      <c r="BJ44" s="528" t="s">
        <v>1146</v>
      </c>
      <c r="BK44" s="528"/>
      <c r="BL44" s="529"/>
      <c r="BM44" s="569" t="s">
        <v>430</v>
      </c>
      <c r="BN44" s="525" t="s">
        <v>408</v>
      </c>
    </row>
    <row r="45" spans="1:66" ht="13" customHeight="1" x14ac:dyDescent="0.2">
      <c r="A45" s="525">
        <v>2870</v>
      </c>
      <c r="B45" s="565">
        <v>44937</v>
      </c>
      <c r="C45" s="526" t="s">
        <v>1138</v>
      </c>
      <c r="D45" s="525" t="s">
        <v>1110</v>
      </c>
      <c r="E45" s="527">
        <v>44896</v>
      </c>
      <c r="F45" s="529" t="s">
        <v>1159</v>
      </c>
      <c r="G45" s="525" t="s">
        <v>1105</v>
      </c>
      <c r="H45" s="532">
        <v>75.599999999999994</v>
      </c>
      <c r="I45" s="531" t="s">
        <v>1141</v>
      </c>
      <c r="J45" s="485">
        <v>1645</v>
      </c>
      <c r="K45" s="485">
        <v>3000</v>
      </c>
      <c r="L45" s="485">
        <v>3000</v>
      </c>
      <c r="M45" s="485">
        <v>3000</v>
      </c>
      <c r="N45" s="525"/>
      <c r="O45" s="532">
        <v>3.4454545454545453</v>
      </c>
      <c r="P45" s="532">
        <v>2.8818181818181814</v>
      </c>
      <c r="Q45" s="532">
        <v>0</v>
      </c>
      <c r="R45" s="532">
        <v>0</v>
      </c>
      <c r="S45" s="532">
        <v>2.5090909090909088</v>
      </c>
      <c r="T45" s="533"/>
      <c r="U45" s="532">
        <v>3.4454545454545453</v>
      </c>
      <c r="V45" s="532">
        <v>2.8818181818181814</v>
      </c>
      <c r="W45" s="532">
        <v>0</v>
      </c>
      <c r="X45" s="532">
        <v>0</v>
      </c>
      <c r="Y45" s="532">
        <v>2.5090909090909088</v>
      </c>
      <c r="Z45" s="533"/>
      <c r="AA45" s="533"/>
      <c r="AB45" s="533"/>
      <c r="AC45" s="533"/>
      <c r="AD45" s="533"/>
      <c r="AE45" s="533"/>
      <c r="AF45" s="533"/>
      <c r="AG45" s="528" t="s">
        <v>1278</v>
      </c>
      <c r="AH45" s="528"/>
      <c r="AI45" s="528">
        <v>3</v>
      </c>
      <c r="AJ45" s="528">
        <v>3</v>
      </c>
      <c r="AK45" s="480">
        <v>0.5</v>
      </c>
      <c r="AL45" s="480">
        <v>0.5</v>
      </c>
      <c r="AM45" s="525"/>
      <c r="AN45" s="528">
        <v>0</v>
      </c>
      <c r="AO45" s="528">
        <v>0</v>
      </c>
      <c r="AP45" s="528">
        <v>0</v>
      </c>
      <c r="AQ45" s="528">
        <v>0</v>
      </c>
      <c r="AR45" s="528">
        <v>0</v>
      </c>
      <c r="AS45" s="528">
        <v>0</v>
      </c>
      <c r="AT45" s="528">
        <v>0</v>
      </c>
      <c r="AU45" s="528">
        <v>0</v>
      </c>
      <c r="AV45" s="528">
        <v>0</v>
      </c>
      <c r="AW45" s="528">
        <v>0</v>
      </c>
      <c r="AX45" s="528">
        <v>0</v>
      </c>
      <c r="AY45" s="528">
        <v>0</v>
      </c>
      <c r="AZ45" s="528"/>
      <c r="BA45" s="528" t="s">
        <v>1145</v>
      </c>
      <c r="BB45" s="528"/>
      <c r="BC45" s="528" t="s">
        <v>1145</v>
      </c>
      <c r="BD45" s="528"/>
      <c r="BE45" s="528"/>
      <c r="BF45" s="564">
        <v>45351</v>
      </c>
      <c r="BG45" s="529"/>
      <c r="BH45" s="525"/>
      <c r="BI45" s="528"/>
      <c r="BJ45" s="528" t="s">
        <v>1146</v>
      </c>
      <c r="BK45" s="528"/>
      <c r="BL45" s="529"/>
      <c r="BM45" s="529" t="s">
        <v>1714</v>
      </c>
      <c r="BN45" s="525" t="s">
        <v>368</v>
      </c>
    </row>
    <row r="46" spans="1:66" ht="13" customHeight="1" x14ac:dyDescent="0.2">
      <c r="A46" s="525">
        <v>3370</v>
      </c>
      <c r="B46" s="565">
        <v>44937</v>
      </c>
      <c r="C46" s="526" t="s">
        <v>1138</v>
      </c>
      <c r="D46" s="525" t="s">
        <v>1110</v>
      </c>
      <c r="E46" s="527">
        <v>44927</v>
      </c>
      <c r="F46" s="529" t="s">
        <v>1166</v>
      </c>
      <c r="G46" s="525" t="s">
        <v>1651</v>
      </c>
      <c r="H46" s="532">
        <v>74.545454545454533</v>
      </c>
      <c r="I46" s="531" t="s">
        <v>1141</v>
      </c>
      <c r="J46" s="568">
        <v>6000</v>
      </c>
      <c r="K46" s="568">
        <v>12000</v>
      </c>
      <c r="L46" s="568">
        <v>12000</v>
      </c>
      <c r="M46" s="568">
        <v>12000</v>
      </c>
      <c r="N46" s="525"/>
      <c r="O46" s="532">
        <v>2.5272727272727269</v>
      </c>
      <c r="P46" s="532">
        <v>2.4090909090909087</v>
      </c>
      <c r="Q46" s="532">
        <v>0</v>
      </c>
      <c r="R46" s="532">
        <v>0</v>
      </c>
      <c r="S46" s="532">
        <v>2.0818181818181816</v>
      </c>
      <c r="T46" s="533"/>
      <c r="U46" s="532">
        <v>2.5272727272727269</v>
      </c>
      <c r="V46" s="532">
        <v>2.4090909090909087</v>
      </c>
      <c r="W46" s="532">
        <v>0</v>
      </c>
      <c r="X46" s="532">
        <v>0</v>
      </c>
      <c r="Y46" s="532">
        <v>2.0818181818181816</v>
      </c>
      <c r="Z46" s="533"/>
      <c r="AA46" s="533"/>
      <c r="AB46" s="533"/>
      <c r="AC46" s="533"/>
      <c r="AD46" s="533"/>
      <c r="AE46" s="533"/>
      <c r="AF46" s="533"/>
      <c r="AG46" s="528" t="s">
        <v>1145</v>
      </c>
      <c r="AH46" s="528"/>
      <c r="AI46" s="528">
        <v>3</v>
      </c>
      <c r="AJ46" s="528">
        <v>3</v>
      </c>
      <c r="AK46" s="480">
        <v>0.5</v>
      </c>
      <c r="AL46" s="480">
        <v>0.5</v>
      </c>
      <c r="AM46" s="525"/>
      <c r="AN46" s="528">
        <v>0</v>
      </c>
      <c r="AO46" s="528">
        <v>0</v>
      </c>
      <c r="AP46" s="528">
        <v>0</v>
      </c>
      <c r="AQ46" s="528">
        <v>0</v>
      </c>
      <c r="AR46" s="528">
        <v>0</v>
      </c>
      <c r="AS46" s="528">
        <v>0</v>
      </c>
      <c r="AT46" s="528">
        <v>0</v>
      </c>
      <c r="AU46" s="528">
        <v>0</v>
      </c>
      <c r="AV46" s="528">
        <v>0</v>
      </c>
      <c r="AW46" s="528">
        <v>0</v>
      </c>
      <c r="AX46" s="528">
        <v>0</v>
      </c>
      <c r="AY46" s="528">
        <v>0</v>
      </c>
      <c r="AZ46" s="528"/>
      <c r="BA46" s="528" t="s">
        <v>1145</v>
      </c>
      <c r="BB46" s="528">
        <v>12</v>
      </c>
      <c r="BC46" s="528" t="s">
        <v>1145</v>
      </c>
      <c r="BD46" s="528"/>
      <c r="BE46" s="528"/>
      <c r="BF46" s="528"/>
      <c r="BG46" s="529"/>
      <c r="BH46" s="525"/>
      <c r="BI46" s="600"/>
      <c r="BJ46" s="528" t="s">
        <v>1146</v>
      </c>
      <c r="BK46" s="528"/>
      <c r="BL46" s="529"/>
      <c r="BM46" s="569" t="s">
        <v>1715</v>
      </c>
      <c r="BN46" s="525" t="s">
        <v>408</v>
      </c>
    </row>
    <row r="47" spans="1:66" ht="13" customHeight="1" x14ac:dyDescent="0.2">
      <c r="A47" s="525">
        <v>2398</v>
      </c>
      <c r="B47" s="565">
        <v>44937</v>
      </c>
      <c r="C47" s="526" t="s">
        <v>1138</v>
      </c>
      <c r="D47" s="525" t="s">
        <v>1110</v>
      </c>
      <c r="E47" s="570">
        <v>44896</v>
      </c>
      <c r="F47" s="529" t="s">
        <v>1168</v>
      </c>
      <c r="G47" s="525" t="s">
        <v>1297</v>
      </c>
      <c r="H47" s="532">
        <v>75.599999999999994</v>
      </c>
      <c r="I47" s="531" t="s">
        <v>1141</v>
      </c>
      <c r="J47" s="485">
        <v>1645</v>
      </c>
      <c r="K47" s="485">
        <v>3000</v>
      </c>
      <c r="L47" s="485">
        <v>3000</v>
      </c>
      <c r="M47" s="485">
        <v>3000</v>
      </c>
      <c r="N47" s="525"/>
      <c r="O47" s="532">
        <v>3.2545454545454544</v>
      </c>
      <c r="P47" s="532">
        <v>2.6545454545454543</v>
      </c>
      <c r="Q47" s="532">
        <v>0</v>
      </c>
      <c r="R47" s="532">
        <v>0</v>
      </c>
      <c r="S47" s="532">
        <v>2.2545454545454544</v>
      </c>
      <c r="T47" s="533"/>
      <c r="U47" s="532">
        <v>3.2545454545454544</v>
      </c>
      <c r="V47" s="532">
        <v>2.6545454545454543</v>
      </c>
      <c r="W47" s="532">
        <v>0</v>
      </c>
      <c r="X47" s="532">
        <v>0</v>
      </c>
      <c r="Y47" s="532">
        <v>2.2545454545454544</v>
      </c>
      <c r="Z47" s="533"/>
      <c r="AA47" s="533"/>
      <c r="AB47" s="533"/>
      <c r="AC47" s="533"/>
      <c r="AD47" s="533"/>
      <c r="AE47" s="533"/>
      <c r="AF47" s="533"/>
      <c r="AG47" s="528" t="s">
        <v>1145</v>
      </c>
      <c r="AH47" s="528"/>
      <c r="AI47" s="528">
        <v>3</v>
      </c>
      <c r="AJ47" s="528">
        <v>3</v>
      </c>
      <c r="AK47" s="480">
        <v>0.5</v>
      </c>
      <c r="AL47" s="480">
        <v>0.5</v>
      </c>
      <c r="AM47" s="525"/>
      <c r="AN47" s="528">
        <v>0</v>
      </c>
      <c r="AO47" s="528">
        <v>0</v>
      </c>
      <c r="AP47" s="528">
        <v>0</v>
      </c>
      <c r="AQ47" s="528">
        <v>0</v>
      </c>
      <c r="AR47" s="528">
        <v>0</v>
      </c>
      <c r="AS47" s="528">
        <v>0</v>
      </c>
      <c r="AT47" s="528">
        <v>0</v>
      </c>
      <c r="AU47" s="528">
        <v>0</v>
      </c>
      <c r="AV47" s="528">
        <v>0</v>
      </c>
      <c r="AW47" s="528">
        <v>0</v>
      </c>
      <c r="AX47" s="528">
        <v>0</v>
      </c>
      <c r="AY47" s="528">
        <v>0</v>
      </c>
      <c r="AZ47" s="528"/>
      <c r="BA47" s="528" t="s">
        <v>1145</v>
      </c>
      <c r="BB47" s="528"/>
      <c r="BC47" s="528" t="s">
        <v>1145</v>
      </c>
      <c r="BD47" s="528"/>
      <c r="BE47" s="528"/>
      <c r="BF47" s="528"/>
      <c r="BG47" s="529"/>
      <c r="BH47" s="525"/>
      <c r="BI47" s="528"/>
      <c r="BJ47" s="528" t="s">
        <v>1146</v>
      </c>
      <c r="BK47" s="528"/>
      <c r="BL47" s="529"/>
      <c r="BM47" s="567" t="s">
        <v>430</v>
      </c>
      <c r="BN47" s="525" t="s">
        <v>368</v>
      </c>
    </row>
    <row r="48" spans="1:66" ht="13" customHeight="1" x14ac:dyDescent="0.2">
      <c r="A48" s="525">
        <v>265</v>
      </c>
      <c r="B48" s="565">
        <v>44937</v>
      </c>
      <c r="C48" s="526" t="s">
        <v>1138</v>
      </c>
      <c r="D48" s="525" t="s">
        <v>1110</v>
      </c>
      <c r="E48" s="527">
        <v>44907</v>
      </c>
      <c r="F48" s="529" t="s">
        <v>1169</v>
      </c>
      <c r="G48" s="525" t="s">
        <v>1698</v>
      </c>
      <c r="H48" s="532">
        <v>77.172727272727272</v>
      </c>
      <c r="I48" s="531" t="s">
        <v>1141</v>
      </c>
      <c r="J48" s="485">
        <v>1645</v>
      </c>
      <c r="K48" s="485">
        <v>3000</v>
      </c>
      <c r="L48" s="485">
        <v>3000</v>
      </c>
      <c r="M48" s="485">
        <v>3000</v>
      </c>
      <c r="N48" s="525"/>
      <c r="O48" s="532">
        <v>3.6545454545454539</v>
      </c>
      <c r="P48" s="532">
        <v>3.0727272727272723</v>
      </c>
      <c r="Q48" s="532">
        <v>0</v>
      </c>
      <c r="R48" s="532">
        <v>0</v>
      </c>
      <c r="S48" s="532">
        <v>2.5727272727272728</v>
      </c>
      <c r="T48" s="533"/>
      <c r="U48" s="532">
        <v>3.6545454545454539</v>
      </c>
      <c r="V48" s="532">
        <v>3.0727272727272723</v>
      </c>
      <c r="W48" s="532">
        <v>0</v>
      </c>
      <c r="X48" s="532">
        <v>0</v>
      </c>
      <c r="Y48" s="532">
        <v>2.5727272727272728</v>
      </c>
      <c r="Z48" s="533"/>
      <c r="AA48" s="533"/>
      <c r="AB48" s="533"/>
      <c r="AC48" s="533"/>
      <c r="AD48" s="533"/>
      <c r="AE48" s="533"/>
      <c r="AF48" s="533"/>
      <c r="AG48" s="528" t="s">
        <v>1145</v>
      </c>
      <c r="AH48" s="528"/>
      <c r="AI48" s="528">
        <v>3</v>
      </c>
      <c r="AJ48" s="528">
        <v>3</v>
      </c>
      <c r="AK48" s="480">
        <v>0.5</v>
      </c>
      <c r="AL48" s="480">
        <v>0.5</v>
      </c>
      <c r="AM48" s="525"/>
      <c r="AN48" s="528">
        <v>6</v>
      </c>
      <c r="AO48" s="528">
        <v>0</v>
      </c>
      <c r="AP48" s="528">
        <v>0</v>
      </c>
      <c r="AQ48" s="528">
        <v>0</v>
      </c>
      <c r="AR48" s="528">
        <v>0</v>
      </c>
      <c r="AS48" s="528">
        <v>0</v>
      </c>
      <c r="AT48" s="528">
        <v>0</v>
      </c>
      <c r="AU48" s="528">
        <v>0</v>
      </c>
      <c r="AV48" s="528">
        <v>0</v>
      </c>
      <c r="AW48" s="528">
        <v>0</v>
      </c>
      <c r="AX48" s="528">
        <v>0</v>
      </c>
      <c r="AY48" s="528">
        <v>0</v>
      </c>
      <c r="AZ48" s="528"/>
      <c r="BA48" s="528" t="s">
        <v>1145</v>
      </c>
      <c r="BB48" s="528"/>
      <c r="BC48" s="528" t="s">
        <v>1145</v>
      </c>
      <c r="BD48" s="528"/>
      <c r="BE48" s="528"/>
      <c r="BF48" s="528"/>
      <c r="BG48" s="529"/>
      <c r="BH48" s="525"/>
      <c r="BI48" s="528"/>
      <c r="BJ48" s="528" t="s">
        <v>1146</v>
      </c>
      <c r="BK48" s="528"/>
      <c r="BL48" s="529"/>
      <c r="BM48" s="529" t="s">
        <v>430</v>
      </c>
      <c r="BN48" s="525" t="s">
        <v>368</v>
      </c>
    </row>
    <row r="49" spans="1:66" ht="13" customHeight="1" x14ac:dyDescent="0.2">
      <c r="A49" s="525">
        <v>1686</v>
      </c>
      <c r="B49" s="565">
        <v>44938</v>
      </c>
      <c r="C49" s="526" t="s">
        <v>295</v>
      </c>
      <c r="D49" s="525" t="s">
        <v>1110</v>
      </c>
      <c r="E49" s="527">
        <v>44926</v>
      </c>
      <c r="F49" s="529" t="s">
        <v>1106</v>
      </c>
      <c r="G49" s="525" t="s">
        <v>2</v>
      </c>
      <c r="H49" s="532">
        <v>59</v>
      </c>
      <c r="I49" s="531" t="s">
        <v>1141</v>
      </c>
      <c r="J49" s="525">
        <v>3000</v>
      </c>
      <c r="K49" s="525">
        <v>3000</v>
      </c>
      <c r="L49" s="525">
        <v>3000</v>
      </c>
      <c r="M49" s="525">
        <v>3000</v>
      </c>
      <c r="N49" s="525"/>
      <c r="O49" s="532">
        <v>3.2727272727272725</v>
      </c>
      <c r="P49" s="532">
        <v>0</v>
      </c>
      <c r="Q49" s="532">
        <v>0</v>
      </c>
      <c r="R49" s="532">
        <v>0</v>
      </c>
      <c r="S49" s="532">
        <v>2.4545454545454546</v>
      </c>
      <c r="T49" s="533"/>
      <c r="U49" s="532">
        <v>3.2727272727272725</v>
      </c>
      <c r="V49" s="532">
        <v>0</v>
      </c>
      <c r="W49" s="532">
        <v>0</v>
      </c>
      <c r="X49" s="532">
        <v>0</v>
      </c>
      <c r="Y49" s="532">
        <v>2.4545454545454546</v>
      </c>
      <c r="Z49" s="533"/>
      <c r="AA49" s="533"/>
      <c r="AB49" s="533"/>
      <c r="AC49" s="533"/>
      <c r="AD49" s="533"/>
      <c r="AE49" s="533"/>
      <c r="AF49" s="533"/>
      <c r="AG49" s="528" t="s">
        <v>297</v>
      </c>
      <c r="AH49" s="528" t="s">
        <v>298</v>
      </c>
      <c r="AI49" s="333">
        <v>2</v>
      </c>
      <c r="AJ49" s="333">
        <v>4</v>
      </c>
      <c r="AK49" s="483">
        <v>0.33329999999999999</v>
      </c>
      <c r="AL49" s="483">
        <v>0.66659999999999997</v>
      </c>
      <c r="AM49" s="525" t="s">
        <v>1124</v>
      </c>
      <c r="AN49" s="528">
        <v>0</v>
      </c>
      <c r="AO49" s="528">
        <v>0</v>
      </c>
      <c r="AP49" s="528">
        <v>2</v>
      </c>
      <c r="AQ49" s="528">
        <v>0</v>
      </c>
      <c r="AR49" s="528">
        <v>0</v>
      </c>
      <c r="AS49" s="528">
        <v>0</v>
      </c>
      <c r="AT49" s="528">
        <v>0</v>
      </c>
      <c r="AU49" s="528">
        <v>0</v>
      </c>
      <c r="AV49" s="528">
        <v>0</v>
      </c>
      <c r="AW49" s="528">
        <v>0</v>
      </c>
      <c r="AX49" s="528">
        <v>0</v>
      </c>
      <c r="AY49" s="528">
        <v>0</v>
      </c>
      <c r="AZ49" s="528"/>
      <c r="BA49" s="528" t="s">
        <v>1145</v>
      </c>
      <c r="BB49" s="528"/>
      <c r="BC49" s="528" t="s">
        <v>1145</v>
      </c>
      <c r="BD49" s="528"/>
      <c r="BE49" s="528"/>
      <c r="BF49" s="529"/>
      <c r="BG49" s="529" t="s">
        <v>1700</v>
      </c>
      <c r="BH49" s="525" t="s">
        <v>365</v>
      </c>
      <c r="BI49" s="528">
        <v>60</v>
      </c>
      <c r="BJ49" s="528" t="s">
        <v>1146</v>
      </c>
      <c r="BK49" s="528">
        <v>1</v>
      </c>
      <c r="BL49" s="525" t="s">
        <v>1701</v>
      </c>
      <c r="BM49" s="567" t="s">
        <v>1716</v>
      </c>
      <c r="BN49" s="525" t="s">
        <v>408</v>
      </c>
    </row>
    <row r="50" spans="1:66" ht="13" customHeight="1" x14ac:dyDescent="0.2">
      <c r="A50" s="525">
        <v>2740</v>
      </c>
      <c r="B50" s="565">
        <v>44937</v>
      </c>
      <c r="C50" s="526" t="s">
        <v>1138</v>
      </c>
      <c r="D50" s="525" t="s">
        <v>1110</v>
      </c>
      <c r="E50" s="527">
        <v>44927</v>
      </c>
      <c r="F50" s="525" t="s">
        <v>1274</v>
      </c>
      <c r="G50" s="525" t="s">
        <v>1467</v>
      </c>
      <c r="H50" s="532">
        <v>77</v>
      </c>
      <c r="I50" s="531" t="s">
        <v>1141</v>
      </c>
      <c r="J50" s="409">
        <v>1800</v>
      </c>
      <c r="K50" s="332">
        <v>4800</v>
      </c>
      <c r="L50" s="332">
        <v>4800</v>
      </c>
      <c r="M50" s="332">
        <v>4800</v>
      </c>
      <c r="N50" s="332"/>
      <c r="O50" s="532">
        <v>4.3999999999999995</v>
      </c>
      <c r="P50" s="532">
        <v>3.7999999999999994</v>
      </c>
      <c r="Q50" s="532">
        <v>0</v>
      </c>
      <c r="R50" s="532">
        <v>0</v>
      </c>
      <c r="S50" s="532">
        <v>3.3</v>
      </c>
      <c r="T50" s="571"/>
      <c r="U50" s="532">
        <v>4.3999999999999995</v>
      </c>
      <c r="V50" s="532">
        <v>3.7999999999999994</v>
      </c>
      <c r="W50" s="532">
        <v>0</v>
      </c>
      <c r="X50" s="532">
        <v>0</v>
      </c>
      <c r="Y50" s="532">
        <v>3.3</v>
      </c>
      <c r="Z50" s="571"/>
      <c r="AA50" s="571"/>
      <c r="AB50" s="571"/>
      <c r="AC50" s="571"/>
      <c r="AD50" s="571"/>
      <c r="AE50" s="571"/>
      <c r="AF50" s="571"/>
      <c r="AG50" s="333" t="s">
        <v>1145</v>
      </c>
      <c r="AH50" s="333"/>
      <c r="AI50" s="528">
        <v>3</v>
      </c>
      <c r="AJ50" s="528">
        <v>3</v>
      </c>
      <c r="AK50" s="480">
        <v>0.5</v>
      </c>
      <c r="AL50" s="480">
        <v>0.5</v>
      </c>
      <c r="AM50" s="525"/>
      <c r="AN50" s="528">
        <v>0</v>
      </c>
      <c r="AO50" s="528">
        <v>7</v>
      </c>
      <c r="AP50" s="528">
        <v>0</v>
      </c>
      <c r="AQ50" s="528">
        <v>3</v>
      </c>
      <c r="AR50" s="528">
        <v>0</v>
      </c>
      <c r="AS50" s="528">
        <v>0</v>
      </c>
      <c r="AT50" s="528">
        <v>0</v>
      </c>
      <c r="AU50" s="528">
        <v>0</v>
      </c>
      <c r="AV50" s="528">
        <v>0</v>
      </c>
      <c r="AW50" s="528">
        <v>0</v>
      </c>
      <c r="AX50" s="528">
        <v>0</v>
      </c>
      <c r="AY50" s="528">
        <v>0</v>
      </c>
      <c r="AZ50" s="528"/>
      <c r="BA50" s="528" t="s">
        <v>1145</v>
      </c>
      <c r="BB50" s="528"/>
      <c r="BC50" s="528" t="s">
        <v>1145</v>
      </c>
      <c r="BD50" s="528"/>
      <c r="BE50" s="528"/>
      <c r="BF50" s="528"/>
      <c r="BG50" s="529"/>
      <c r="BH50" s="525"/>
      <c r="BI50" s="528"/>
      <c r="BJ50" s="528" t="s">
        <v>1146</v>
      </c>
      <c r="BK50" s="528">
        <v>1</v>
      </c>
      <c r="BL50" s="529"/>
      <c r="BM50" s="567" t="s">
        <v>1717</v>
      </c>
      <c r="BN50" s="525" t="s">
        <v>408</v>
      </c>
    </row>
    <row r="51" spans="1:66" ht="13" customHeight="1" x14ac:dyDescent="0.2">
      <c r="A51" s="525">
        <v>2931</v>
      </c>
      <c r="B51" s="565">
        <v>44937</v>
      </c>
      <c r="C51" s="526" t="s">
        <v>1138</v>
      </c>
      <c r="D51" s="525" t="s">
        <v>1110</v>
      </c>
      <c r="E51" s="527">
        <v>44853</v>
      </c>
      <c r="F51" s="525" t="s">
        <v>1483</v>
      </c>
      <c r="G51" s="525" t="s">
        <v>1550</v>
      </c>
      <c r="H51" s="532">
        <v>99.999999999999986</v>
      </c>
      <c r="I51" s="531" t="s">
        <v>1141</v>
      </c>
      <c r="J51" s="485">
        <v>1645</v>
      </c>
      <c r="K51" s="485">
        <v>3000</v>
      </c>
      <c r="L51" s="485">
        <v>3000</v>
      </c>
      <c r="M51" s="485">
        <v>3000</v>
      </c>
      <c r="N51" s="332"/>
      <c r="O51" s="532">
        <v>2.336363636363636</v>
      </c>
      <c r="P51" s="532">
        <v>1.9818181818181817</v>
      </c>
      <c r="Q51" s="532">
        <v>0</v>
      </c>
      <c r="R51" s="532">
        <v>0</v>
      </c>
      <c r="S51" s="532">
        <v>1.7272727272727271</v>
      </c>
      <c r="T51" s="571"/>
      <c r="U51" s="532">
        <v>2.336363636363636</v>
      </c>
      <c r="V51" s="532">
        <v>1.9818181818181817</v>
      </c>
      <c r="W51" s="532">
        <v>0</v>
      </c>
      <c r="X51" s="532">
        <v>0</v>
      </c>
      <c r="Y51" s="532">
        <v>1.7272727272727271</v>
      </c>
      <c r="Z51" s="571"/>
      <c r="AA51" s="571"/>
      <c r="AB51" s="571"/>
      <c r="AC51" s="571"/>
      <c r="AD51" s="571"/>
      <c r="AE51" s="571"/>
      <c r="AF51" s="571"/>
      <c r="AG51" s="333" t="s">
        <v>1145</v>
      </c>
      <c r="AH51" s="333"/>
      <c r="AI51" s="528">
        <v>3</v>
      </c>
      <c r="AJ51" s="528">
        <v>3</v>
      </c>
      <c r="AK51" s="480">
        <v>0.5</v>
      </c>
      <c r="AL51" s="480">
        <v>0.5</v>
      </c>
      <c r="AM51" s="525"/>
      <c r="AN51" s="528">
        <v>0</v>
      </c>
      <c r="AO51" s="528">
        <v>0</v>
      </c>
      <c r="AP51" s="528">
        <v>0</v>
      </c>
      <c r="AQ51" s="528">
        <v>0</v>
      </c>
      <c r="AR51" s="528">
        <v>0</v>
      </c>
      <c r="AS51" s="528">
        <v>0</v>
      </c>
      <c r="AT51" s="528">
        <v>0</v>
      </c>
      <c r="AU51" s="528">
        <v>0</v>
      </c>
      <c r="AV51" s="528">
        <v>0</v>
      </c>
      <c r="AW51" s="528">
        <v>0</v>
      </c>
      <c r="AX51" s="528">
        <v>0</v>
      </c>
      <c r="AY51" s="528">
        <v>0</v>
      </c>
      <c r="AZ51" s="528"/>
      <c r="BA51" s="528" t="s">
        <v>1145</v>
      </c>
      <c r="BB51" s="528"/>
      <c r="BC51" s="528" t="s">
        <v>1145</v>
      </c>
      <c r="BD51" s="528"/>
      <c r="BE51" s="528"/>
      <c r="BF51" s="564"/>
      <c r="BG51" s="529"/>
      <c r="BH51" s="525"/>
      <c r="BI51" s="528"/>
      <c r="BJ51" s="528" t="s">
        <v>4</v>
      </c>
      <c r="BK51" s="528"/>
      <c r="BL51" s="529"/>
      <c r="BM51" s="569" t="s">
        <v>1718</v>
      </c>
      <c r="BN51" s="525" t="s">
        <v>368</v>
      </c>
    </row>
    <row r="52" spans="1:66" ht="16" x14ac:dyDescent="0.2">
      <c r="A52" s="525">
        <v>3699</v>
      </c>
      <c r="B52" s="565">
        <v>44939</v>
      </c>
      <c r="C52" s="526" t="s">
        <v>1138</v>
      </c>
      <c r="D52" s="525" t="s">
        <v>1110</v>
      </c>
      <c r="E52" s="527">
        <v>44927</v>
      </c>
      <c r="F52" s="525" t="s">
        <v>1057</v>
      </c>
      <c r="G52" s="525" t="s">
        <v>1734</v>
      </c>
      <c r="H52" s="340">
        <v>86.8</v>
      </c>
      <c r="I52" s="531" t="s">
        <v>296</v>
      </c>
      <c r="J52" s="485">
        <v>1645</v>
      </c>
      <c r="K52" s="485">
        <v>3000</v>
      </c>
      <c r="L52" s="485">
        <v>3000</v>
      </c>
      <c r="M52" s="485">
        <v>3000</v>
      </c>
      <c r="N52" s="297"/>
      <c r="O52" s="340">
        <v>4.2</v>
      </c>
      <c r="P52" s="340">
        <v>3.4</v>
      </c>
      <c r="Q52" s="340">
        <v>0</v>
      </c>
      <c r="R52" s="340">
        <v>0</v>
      </c>
      <c r="S52" s="340">
        <v>2.9</v>
      </c>
      <c r="T52" s="571"/>
      <c r="U52" s="340">
        <v>4.2</v>
      </c>
      <c r="V52" s="340">
        <v>3.4</v>
      </c>
      <c r="W52" s="340">
        <v>0</v>
      </c>
      <c r="X52" s="340">
        <v>0</v>
      </c>
      <c r="Y52" s="340">
        <v>2.9</v>
      </c>
      <c r="Z52" s="297"/>
      <c r="AA52" s="297"/>
      <c r="AB52" s="297"/>
      <c r="AC52" s="297"/>
      <c r="AD52" s="297"/>
      <c r="AE52" s="297"/>
      <c r="AF52" s="297"/>
      <c r="AG52" s="333" t="s">
        <v>1145</v>
      </c>
      <c r="AH52" s="297"/>
      <c r="AI52" s="528">
        <v>3</v>
      </c>
      <c r="AJ52" s="528">
        <v>3</v>
      </c>
      <c r="AK52" s="480">
        <v>0.5</v>
      </c>
      <c r="AL52" s="480">
        <v>0.5</v>
      </c>
      <c r="AM52" s="525"/>
      <c r="AN52" s="528">
        <v>0</v>
      </c>
      <c r="AO52" s="528">
        <v>0</v>
      </c>
      <c r="AP52" s="528">
        <v>0</v>
      </c>
      <c r="AQ52" s="528">
        <v>0</v>
      </c>
      <c r="AR52" s="528">
        <v>0</v>
      </c>
      <c r="AS52" s="528">
        <v>0</v>
      </c>
      <c r="AT52" s="528">
        <v>0</v>
      </c>
      <c r="AU52" s="528">
        <v>0</v>
      </c>
      <c r="AV52" s="528">
        <v>0</v>
      </c>
      <c r="AW52" s="528">
        <v>0</v>
      </c>
      <c r="AX52" s="528">
        <v>0</v>
      </c>
      <c r="AY52" s="528">
        <v>0</v>
      </c>
      <c r="AZ52" s="528"/>
      <c r="BA52" s="528" t="s">
        <v>1145</v>
      </c>
      <c r="BB52" s="528"/>
      <c r="BC52" s="528" t="s">
        <v>1145</v>
      </c>
      <c r="BD52" s="528"/>
      <c r="BE52" s="528"/>
      <c r="BF52" s="528"/>
      <c r="BG52" s="529"/>
      <c r="BH52" s="525"/>
      <c r="BI52" s="528"/>
      <c r="BJ52" s="528" t="s">
        <v>1146</v>
      </c>
      <c r="BK52" s="528"/>
      <c r="BL52" s="529" t="s">
        <v>1735</v>
      </c>
      <c r="BM52" s="569" t="s">
        <v>1736</v>
      </c>
      <c r="BN52" s="525" t="s">
        <v>1121</v>
      </c>
    </row>
    <row r="53" spans="1:66" ht="13" customHeight="1" x14ac:dyDescent="0.2">
      <c r="A53" s="525">
        <v>3629</v>
      </c>
      <c r="B53" s="565">
        <v>44937</v>
      </c>
      <c r="C53" s="526" t="s">
        <v>1138</v>
      </c>
      <c r="D53" s="525" t="s">
        <v>1110</v>
      </c>
      <c r="E53" s="527">
        <v>44935</v>
      </c>
      <c r="F53" s="525" t="s">
        <v>1173</v>
      </c>
      <c r="G53" s="525" t="s">
        <v>1705</v>
      </c>
      <c r="H53" s="532">
        <v>104.99999999999999</v>
      </c>
      <c r="I53" s="531" t="s">
        <v>1141</v>
      </c>
      <c r="J53" s="525">
        <v>3000</v>
      </c>
      <c r="K53" s="525">
        <v>3000</v>
      </c>
      <c r="L53" s="525">
        <v>3000</v>
      </c>
      <c r="M53" s="525">
        <v>3000</v>
      </c>
      <c r="N53" s="332"/>
      <c r="O53" s="532">
        <v>5.4</v>
      </c>
      <c r="P53" s="532">
        <v>0</v>
      </c>
      <c r="Q53" s="532">
        <v>0</v>
      </c>
      <c r="R53" s="532">
        <v>0</v>
      </c>
      <c r="S53" s="532">
        <v>4.7090909090909081</v>
      </c>
      <c r="T53" s="571"/>
      <c r="U53" s="532">
        <v>5.4</v>
      </c>
      <c r="V53" s="532">
        <v>0</v>
      </c>
      <c r="W53" s="532">
        <v>0</v>
      </c>
      <c r="X53" s="532">
        <v>0</v>
      </c>
      <c r="Y53" s="532">
        <v>4.7090909090909081</v>
      </c>
      <c r="Z53" s="571"/>
      <c r="AA53" s="571"/>
      <c r="AB53" s="571"/>
      <c r="AC53" s="571"/>
      <c r="AD53" s="571"/>
      <c r="AE53" s="571"/>
      <c r="AF53" s="571"/>
      <c r="AG53" s="333" t="s">
        <v>1145</v>
      </c>
      <c r="AH53" s="333"/>
      <c r="AI53" s="528">
        <v>3</v>
      </c>
      <c r="AJ53" s="528">
        <v>3</v>
      </c>
      <c r="AK53" s="480">
        <v>0.5</v>
      </c>
      <c r="AL53" s="480">
        <v>0.5</v>
      </c>
      <c r="AM53" s="525"/>
      <c r="AN53" s="528">
        <v>0</v>
      </c>
      <c r="AO53" s="528">
        <v>0</v>
      </c>
      <c r="AP53" s="528">
        <v>0</v>
      </c>
      <c r="AQ53" s="528">
        <v>0</v>
      </c>
      <c r="AR53" s="528">
        <v>0</v>
      </c>
      <c r="AS53" s="528">
        <v>0</v>
      </c>
      <c r="AT53" s="528">
        <v>0</v>
      </c>
      <c r="AU53" s="528">
        <v>0</v>
      </c>
      <c r="AV53" s="528">
        <v>0</v>
      </c>
      <c r="AW53" s="528">
        <v>0</v>
      </c>
      <c r="AX53" s="528">
        <v>0</v>
      </c>
      <c r="AY53" s="528">
        <v>0</v>
      </c>
      <c r="AZ53" s="528"/>
      <c r="BA53" s="528" t="s">
        <v>1145</v>
      </c>
      <c r="BB53" s="528"/>
      <c r="BC53" s="528" t="s">
        <v>1145</v>
      </c>
      <c r="BD53" s="528"/>
      <c r="BE53" s="528"/>
      <c r="BF53" s="564"/>
      <c r="BG53" s="529"/>
      <c r="BH53" s="525"/>
      <c r="BI53" s="528"/>
      <c r="BJ53" s="528" t="s">
        <v>4</v>
      </c>
      <c r="BK53" s="528"/>
      <c r="BL53" s="529"/>
      <c r="BM53" s="569" t="s">
        <v>1719</v>
      </c>
      <c r="BN53" s="525" t="s">
        <v>408</v>
      </c>
    </row>
    <row r="54" spans="1:66" ht="13" customHeight="1" x14ac:dyDescent="0.2">
      <c r="A54" s="525">
        <v>3150</v>
      </c>
      <c r="B54" s="565">
        <v>44937</v>
      </c>
      <c r="C54" s="526" t="s">
        <v>295</v>
      </c>
      <c r="D54" s="525" t="s">
        <v>1111</v>
      </c>
      <c r="E54" s="527">
        <v>44927</v>
      </c>
      <c r="F54" s="529" t="s">
        <v>1044</v>
      </c>
      <c r="G54" s="525" t="s">
        <v>1646</v>
      </c>
      <c r="H54" s="532">
        <v>76.490909090909085</v>
      </c>
      <c r="I54" s="531" t="s">
        <v>1141</v>
      </c>
      <c r="J54" s="485">
        <v>1645</v>
      </c>
      <c r="K54" s="485">
        <v>3000</v>
      </c>
      <c r="L54" s="485">
        <v>3000</v>
      </c>
      <c r="M54" s="485">
        <v>3000</v>
      </c>
      <c r="N54" s="525"/>
      <c r="O54" s="532">
        <v>3.4909090909090903</v>
      </c>
      <c r="P54" s="532">
        <v>3.3272727272727272</v>
      </c>
      <c r="Q54" s="532">
        <v>0</v>
      </c>
      <c r="R54" s="532">
        <v>0</v>
      </c>
      <c r="S54" s="532">
        <v>2.2636363636363637</v>
      </c>
      <c r="T54" s="533"/>
      <c r="U54" s="532">
        <v>3.4909090909090903</v>
      </c>
      <c r="V54" s="532">
        <v>3.3272727272727272</v>
      </c>
      <c r="W54" s="532">
        <v>0</v>
      </c>
      <c r="X54" s="532">
        <v>0</v>
      </c>
      <c r="Y54" s="532">
        <v>2.2636363636363637</v>
      </c>
      <c r="Z54" s="533"/>
      <c r="AA54" s="533"/>
      <c r="AB54" s="533"/>
      <c r="AC54" s="533"/>
      <c r="AD54" s="533"/>
      <c r="AE54" s="533"/>
      <c r="AF54" s="533"/>
      <c r="AG54" s="528" t="s">
        <v>1145</v>
      </c>
      <c r="AH54" s="528"/>
      <c r="AI54" s="528">
        <v>3</v>
      </c>
      <c r="AJ54" s="528">
        <v>3</v>
      </c>
      <c r="AK54" s="480">
        <v>0.5</v>
      </c>
      <c r="AL54" s="480">
        <v>0.5</v>
      </c>
      <c r="AM54" s="525"/>
      <c r="AN54" s="528">
        <v>0</v>
      </c>
      <c r="AO54" s="528">
        <v>0</v>
      </c>
      <c r="AP54" s="528">
        <v>0</v>
      </c>
      <c r="AQ54" s="528">
        <v>0</v>
      </c>
      <c r="AR54" s="528">
        <v>0</v>
      </c>
      <c r="AS54" s="528">
        <v>0</v>
      </c>
      <c r="AT54" s="528">
        <v>0</v>
      </c>
      <c r="AU54" s="528">
        <v>0</v>
      </c>
      <c r="AV54" s="528">
        <v>0</v>
      </c>
      <c r="AW54" s="528">
        <v>0</v>
      </c>
      <c r="AX54" s="528">
        <v>0</v>
      </c>
      <c r="AY54" s="528">
        <v>0</v>
      </c>
      <c r="AZ54" s="528"/>
      <c r="BA54" s="528" t="s">
        <v>1145</v>
      </c>
      <c r="BB54" s="528"/>
      <c r="BC54" s="528" t="s">
        <v>1145</v>
      </c>
      <c r="BD54" s="528"/>
      <c r="BE54" s="528"/>
      <c r="BF54" s="528"/>
      <c r="BG54" s="597"/>
      <c r="BH54" s="598"/>
      <c r="BI54" s="566"/>
      <c r="BJ54" s="528" t="s">
        <v>1146</v>
      </c>
      <c r="BK54" s="528"/>
      <c r="BL54" s="529" t="s">
        <v>1647</v>
      </c>
      <c r="BM54" s="567" t="s">
        <v>430</v>
      </c>
      <c r="BN54" s="525" t="s">
        <v>408</v>
      </c>
    </row>
    <row r="55" spans="1:66" ht="13" customHeight="1" x14ac:dyDescent="0.2">
      <c r="A55" s="525">
        <v>1038</v>
      </c>
      <c r="B55" s="565">
        <v>44937</v>
      </c>
      <c r="C55" s="526" t="s">
        <v>1138</v>
      </c>
      <c r="D55" s="525" t="s">
        <v>1111</v>
      </c>
      <c r="E55" s="527">
        <v>44805</v>
      </c>
      <c r="F55" s="529" t="s">
        <v>1148</v>
      </c>
      <c r="G55" s="525" t="s">
        <v>1280</v>
      </c>
      <c r="H55" s="532">
        <v>59.218181818181812</v>
      </c>
      <c r="I55" s="531" t="s">
        <v>1141</v>
      </c>
      <c r="J55" s="485">
        <v>1645</v>
      </c>
      <c r="K55" s="485">
        <v>3000</v>
      </c>
      <c r="L55" s="485">
        <v>3000</v>
      </c>
      <c r="M55" s="485">
        <v>3000</v>
      </c>
      <c r="N55" s="525"/>
      <c r="O55" s="532">
        <v>2.8</v>
      </c>
      <c r="P55" s="532">
        <v>2.4363636363636365</v>
      </c>
      <c r="Q55" s="532">
        <v>0</v>
      </c>
      <c r="R55" s="532">
        <v>0</v>
      </c>
      <c r="S55" s="532">
        <v>1.8999999999999997</v>
      </c>
      <c r="T55" s="533"/>
      <c r="U55" s="532">
        <v>2.8</v>
      </c>
      <c r="V55" s="532">
        <v>2.4363636363636365</v>
      </c>
      <c r="W55" s="532">
        <v>0</v>
      </c>
      <c r="X55" s="532">
        <v>0</v>
      </c>
      <c r="Y55" s="532">
        <v>1.8999999999999997</v>
      </c>
      <c r="Z55" s="533"/>
      <c r="AA55" s="533"/>
      <c r="AB55" s="533"/>
      <c r="AC55" s="533"/>
      <c r="AD55" s="533"/>
      <c r="AE55" s="533"/>
      <c r="AF55" s="533"/>
      <c r="AG55" s="528" t="s">
        <v>1145</v>
      </c>
      <c r="AH55" s="528"/>
      <c r="AI55" s="528">
        <v>3</v>
      </c>
      <c r="AJ55" s="528">
        <v>3</v>
      </c>
      <c r="AK55" s="480">
        <v>0.5</v>
      </c>
      <c r="AL55" s="480">
        <v>0.5</v>
      </c>
      <c r="AM55" s="525"/>
      <c r="AN55" s="528">
        <v>0</v>
      </c>
      <c r="AO55" s="528">
        <v>0</v>
      </c>
      <c r="AP55" s="528">
        <v>0</v>
      </c>
      <c r="AQ55" s="528">
        <v>0</v>
      </c>
      <c r="AR55" s="528">
        <v>0</v>
      </c>
      <c r="AS55" s="528">
        <v>0</v>
      </c>
      <c r="AT55" s="528">
        <v>0</v>
      </c>
      <c r="AU55" s="528">
        <v>0</v>
      </c>
      <c r="AV55" s="528">
        <v>0</v>
      </c>
      <c r="AW55" s="528">
        <v>0</v>
      </c>
      <c r="AX55" s="528">
        <v>0</v>
      </c>
      <c r="AY55" s="528">
        <v>0</v>
      </c>
      <c r="AZ55" s="528"/>
      <c r="BA55" s="528" t="s">
        <v>1145</v>
      </c>
      <c r="BB55" s="528"/>
      <c r="BC55" s="528" t="s">
        <v>1145</v>
      </c>
      <c r="BD55" s="528"/>
      <c r="BE55" s="528"/>
      <c r="BF55" s="528"/>
      <c r="BG55" s="529"/>
      <c r="BH55" s="525"/>
      <c r="BI55" s="528"/>
      <c r="BJ55" s="528" t="s">
        <v>4</v>
      </c>
      <c r="BK55" s="528"/>
      <c r="BL55" s="529"/>
      <c r="BM55" s="569" t="s">
        <v>430</v>
      </c>
      <c r="BN55" s="525" t="s">
        <v>368</v>
      </c>
    </row>
    <row r="56" spans="1:66" ht="13" customHeight="1" x14ac:dyDescent="0.2">
      <c r="A56" s="525">
        <v>2555</v>
      </c>
      <c r="B56" s="565">
        <v>44937</v>
      </c>
      <c r="C56" s="526" t="s">
        <v>1138</v>
      </c>
      <c r="D56" s="525" t="s">
        <v>1111</v>
      </c>
      <c r="E56" s="527">
        <v>44720</v>
      </c>
      <c r="F56" s="525" t="s">
        <v>1052</v>
      </c>
      <c r="G56" s="525" t="s">
        <v>1181</v>
      </c>
      <c r="H56" s="532">
        <v>56.809090909090905</v>
      </c>
      <c r="I56" s="531" t="s">
        <v>1141</v>
      </c>
      <c r="J56" s="485">
        <v>1645</v>
      </c>
      <c r="K56" s="485">
        <v>3000</v>
      </c>
      <c r="L56" s="485">
        <v>3000</v>
      </c>
      <c r="M56" s="485">
        <v>3000</v>
      </c>
      <c r="N56" s="332"/>
      <c r="O56" s="532">
        <v>3.1090909090909089</v>
      </c>
      <c r="P56" s="532">
        <v>2.4727272727272727</v>
      </c>
      <c r="Q56" s="532">
        <v>0</v>
      </c>
      <c r="R56" s="532">
        <v>0</v>
      </c>
      <c r="S56" s="532">
        <v>1.9909090909090907</v>
      </c>
      <c r="T56" s="571"/>
      <c r="U56" s="532">
        <v>3.1090909090909089</v>
      </c>
      <c r="V56" s="532">
        <v>2.4727272727272727</v>
      </c>
      <c r="W56" s="532">
        <v>0</v>
      </c>
      <c r="X56" s="532">
        <v>0</v>
      </c>
      <c r="Y56" s="532">
        <v>1.9909090909090907</v>
      </c>
      <c r="Z56" s="571"/>
      <c r="AA56" s="571"/>
      <c r="AB56" s="571"/>
      <c r="AC56" s="571"/>
      <c r="AD56" s="571"/>
      <c r="AE56" s="571"/>
      <c r="AF56" s="571"/>
      <c r="AG56" s="528" t="s">
        <v>1143</v>
      </c>
      <c r="AH56" s="528" t="s">
        <v>1144</v>
      </c>
      <c r="AI56" s="333">
        <v>2</v>
      </c>
      <c r="AJ56" s="333">
        <v>4</v>
      </c>
      <c r="AK56" s="483">
        <v>0.33329999999999999</v>
      </c>
      <c r="AL56" s="483">
        <v>0.66659999999999997</v>
      </c>
      <c r="AM56" s="525" t="s">
        <v>1124</v>
      </c>
      <c r="AN56" s="528">
        <v>0</v>
      </c>
      <c r="AO56" s="528">
        <v>0</v>
      </c>
      <c r="AP56" s="528">
        <v>0</v>
      </c>
      <c r="AQ56" s="528">
        <v>0</v>
      </c>
      <c r="AR56" s="528">
        <v>0</v>
      </c>
      <c r="AS56" s="528">
        <v>0</v>
      </c>
      <c r="AT56" s="528">
        <v>0</v>
      </c>
      <c r="AU56" s="528">
        <v>0</v>
      </c>
      <c r="AV56" s="528">
        <v>0</v>
      </c>
      <c r="AW56" s="528">
        <v>0</v>
      </c>
      <c r="AX56" s="528">
        <v>0</v>
      </c>
      <c r="AY56" s="528">
        <v>0</v>
      </c>
      <c r="AZ56" s="528"/>
      <c r="BA56" s="528" t="s">
        <v>1145</v>
      </c>
      <c r="BB56" s="528"/>
      <c r="BC56" s="528" t="s">
        <v>1145</v>
      </c>
      <c r="BD56" s="528"/>
      <c r="BE56" s="528"/>
      <c r="BF56" s="528"/>
      <c r="BG56" s="529"/>
      <c r="BH56" s="525"/>
      <c r="BI56" s="528"/>
      <c r="BJ56" s="528" t="s">
        <v>4</v>
      </c>
      <c r="BK56" s="528"/>
      <c r="BL56" s="529"/>
      <c r="BM56" s="567" t="s">
        <v>1214</v>
      </c>
      <c r="BN56" s="525" t="s">
        <v>368</v>
      </c>
    </row>
    <row r="57" spans="1:66" ht="13" customHeight="1" x14ac:dyDescent="0.2">
      <c r="A57" s="525">
        <v>3523</v>
      </c>
      <c r="B57" s="565">
        <v>44937</v>
      </c>
      <c r="C57" s="526" t="s">
        <v>1138</v>
      </c>
      <c r="D57" s="525" t="s">
        <v>1111</v>
      </c>
      <c r="E57" s="527">
        <v>44927</v>
      </c>
      <c r="F57" s="529" t="s">
        <v>1156</v>
      </c>
      <c r="G57" s="525" t="s">
        <v>1649</v>
      </c>
      <c r="H57" s="532">
        <v>103.89090909090909</v>
      </c>
      <c r="I57" s="531" t="s">
        <v>1141</v>
      </c>
      <c r="J57" s="485">
        <v>1645</v>
      </c>
      <c r="K57" s="485">
        <v>3000</v>
      </c>
      <c r="L57" s="485">
        <v>3000</v>
      </c>
      <c r="M57" s="485">
        <v>3000</v>
      </c>
      <c r="N57" s="525"/>
      <c r="O57" s="532">
        <v>4.5272727272727273</v>
      </c>
      <c r="P57" s="532">
        <v>3.4272727272727268</v>
      </c>
      <c r="Q57" s="532">
        <v>0</v>
      </c>
      <c r="R57" s="532">
        <v>0</v>
      </c>
      <c r="S57" s="532">
        <v>2.8545454545454545</v>
      </c>
      <c r="T57" s="533"/>
      <c r="U57" s="532">
        <v>4.5272727272727273</v>
      </c>
      <c r="V57" s="532">
        <v>3.4272727272727268</v>
      </c>
      <c r="W57" s="532">
        <v>0</v>
      </c>
      <c r="X57" s="532">
        <v>0</v>
      </c>
      <c r="Y57" s="532">
        <v>2.8545454545454545</v>
      </c>
      <c r="Z57" s="533"/>
      <c r="AA57" s="533"/>
      <c r="AB57" s="533"/>
      <c r="AC57" s="533"/>
      <c r="AD57" s="533"/>
      <c r="AE57" s="533"/>
      <c r="AF57" s="533"/>
      <c r="AG57" s="528" t="s">
        <v>1145</v>
      </c>
      <c r="AH57" s="528"/>
      <c r="AI57" s="528">
        <v>3</v>
      </c>
      <c r="AJ57" s="528">
        <v>3</v>
      </c>
      <c r="AK57" s="480">
        <v>0.5</v>
      </c>
      <c r="AL57" s="480">
        <v>0.5</v>
      </c>
      <c r="AM57" s="525"/>
      <c r="AN57" s="528">
        <v>12</v>
      </c>
      <c r="AO57" s="528">
        <v>0</v>
      </c>
      <c r="AP57" s="528">
        <v>0</v>
      </c>
      <c r="AQ57" s="528">
        <v>0</v>
      </c>
      <c r="AR57" s="528">
        <v>0</v>
      </c>
      <c r="AS57" s="528">
        <v>0</v>
      </c>
      <c r="AT57" s="528">
        <v>0</v>
      </c>
      <c r="AU57" s="528">
        <v>0</v>
      </c>
      <c r="AV57" s="528">
        <v>0</v>
      </c>
      <c r="AW57" s="528">
        <v>0</v>
      </c>
      <c r="AX57" s="528">
        <v>0</v>
      </c>
      <c r="AY57" s="528">
        <v>0</v>
      </c>
      <c r="AZ57" s="566">
        <v>12</v>
      </c>
      <c r="BA57" s="528" t="s">
        <v>1145</v>
      </c>
      <c r="BB57" s="528"/>
      <c r="BC57" s="528" t="s">
        <v>1145</v>
      </c>
      <c r="BD57" s="528"/>
      <c r="BE57" s="528"/>
      <c r="BF57" s="528"/>
      <c r="BG57" s="529"/>
      <c r="BH57" s="525"/>
      <c r="BI57" s="528"/>
      <c r="BJ57" s="528" t="s">
        <v>1146</v>
      </c>
      <c r="BK57" s="528"/>
      <c r="BL57" s="529"/>
      <c r="BM57" s="569" t="s">
        <v>430</v>
      </c>
      <c r="BN57" s="525" t="s">
        <v>408</v>
      </c>
    </row>
    <row r="58" spans="1:66" ht="13" customHeight="1" x14ac:dyDescent="0.2">
      <c r="A58" s="525">
        <v>2869</v>
      </c>
      <c r="B58" s="565">
        <v>44937</v>
      </c>
      <c r="C58" s="526" t="s">
        <v>1138</v>
      </c>
      <c r="D58" s="525" t="s">
        <v>1111</v>
      </c>
      <c r="E58" s="527">
        <v>44896</v>
      </c>
      <c r="F58" s="529" t="s">
        <v>1159</v>
      </c>
      <c r="G58" s="525" t="s">
        <v>1105</v>
      </c>
      <c r="H58" s="532">
        <v>75.599999999999994</v>
      </c>
      <c r="I58" s="531" t="s">
        <v>1141</v>
      </c>
      <c r="J58" s="485">
        <v>1645</v>
      </c>
      <c r="K58" s="485">
        <v>3000</v>
      </c>
      <c r="L58" s="485">
        <v>3000</v>
      </c>
      <c r="M58" s="485">
        <v>3000</v>
      </c>
      <c r="N58" s="525"/>
      <c r="O58" s="532">
        <v>3.4454545454545453</v>
      </c>
      <c r="P58" s="532">
        <v>2.8818181818181814</v>
      </c>
      <c r="Q58" s="532">
        <v>0</v>
      </c>
      <c r="R58" s="532">
        <v>0</v>
      </c>
      <c r="S58" s="532">
        <v>2.5090909090909088</v>
      </c>
      <c r="T58" s="533"/>
      <c r="U58" s="532">
        <v>3.4454545454545453</v>
      </c>
      <c r="V58" s="532">
        <v>2.8818181818181814</v>
      </c>
      <c r="W58" s="532">
        <v>0</v>
      </c>
      <c r="X58" s="532">
        <v>0</v>
      </c>
      <c r="Y58" s="532">
        <v>2.5090909090909088</v>
      </c>
      <c r="Z58" s="533"/>
      <c r="AA58" s="533"/>
      <c r="AB58" s="533"/>
      <c r="AC58" s="533"/>
      <c r="AD58" s="533"/>
      <c r="AE58" s="533"/>
      <c r="AF58" s="533"/>
      <c r="AG58" s="528" t="s">
        <v>1278</v>
      </c>
      <c r="AH58" s="528"/>
      <c r="AI58" s="528">
        <v>3</v>
      </c>
      <c r="AJ58" s="528">
        <v>3</v>
      </c>
      <c r="AK58" s="480">
        <v>0.5</v>
      </c>
      <c r="AL58" s="480">
        <v>0.5</v>
      </c>
      <c r="AM58" s="525"/>
      <c r="AN58" s="528">
        <v>0</v>
      </c>
      <c r="AO58" s="528">
        <v>0</v>
      </c>
      <c r="AP58" s="528">
        <v>0</v>
      </c>
      <c r="AQ58" s="528">
        <v>0</v>
      </c>
      <c r="AR58" s="528">
        <v>0</v>
      </c>
      <c r="AS58" s="528">
        <v>0</v>
      </c>
      <c r="AT58" s="528">
        <v>0</v>
      </c>
      <c r="AU58" s="528">
        <v>0</v>
      </c>
      <c r="AV58" s="528">
        <v>0</v>
      </c>
      <c r="AW58" s="528">
        <v>0</v>
      </c>
      <c r="AX58" s="528">
        <v>0</v>
      </c>
      <c r="AY58" s="528">
        <v>0</v>
      </c>
      <c r="AZ58" s="528"/>
      <c r="BA58" s="528" t="s">
        <v>1145</v>
      </c>
      <c r="BB58" s="528"/>
      <c r="BC58" s="528" t="s">
        <v>1145</v>
      </c>
      <c r="BD58" s="528"/>
      <c r="BE58" s="528"/>
      <c r="BF58" s="564">
        <v>45351</v>
      </c>
      <c r="BG58" s="529"/>
      <c r="BH58" s="525"/>
      <c r="BI58" s="528"/>
      <c r="BJ58" s="528" t="s">
        <v>1146</v>
      </c>
      <c r="BK58" s="528"/>
      <c r="BL58" s="529"/>
      <c r="BM58" s="567" t="s">
        <v>1714</v>
      </c>
      <c r="BN58" s="525" t="s">
        <v>368</v>
      </c>
    </row>
    <row r="59" spans="1:66" ht="13" customHeight="1" x14ac:dyDescent="0.2">
      <c r="A59" s="525">
        <v>3369</v>
      </c>
      <c r="B59" s="565">
        <v>44937</v>
      </c>
      <c r="C59" s="526" t="s">
        <v>1138</v>
      </c>
      <c r="D59" s="525" t="s">
        <v>1111</v>
      </c>
      <c r="E59" s="527">
        <v>44927</v>
      </c>
      <c r="F59" s="529" t="s">
        <v>1166</v>
      </c>
      <c r="G59" s="525" t="s">
        <v>1651</v>
      </c>
      <c r="H59" s="532">
        <v>74.545454545454533</v>
      </c>
      <c r="I59" s="531" t="s">
        <v>1141</v>
      </c>
      <c r="J59" s="568">
        <v>6000</v>
      </c>
      <c r="K59" s="568">
        <v>12000</v>
      </c>
      <c r="L59" s="568">
        <v>12000</v>
      </c>
      <c r="M59" s="568">
        <v>12000</v>
      </c>
      <c r="N59" s="525"/>
      <c r="O59" s="532">
        <v>2.5272727272727269</v>
      </c>
      <c r="P59" s="532">
        <v>2.4090909090909087</v>
      </c>
      <c r="Q59" s="532">
        <v>0</v>
      </c>
      <c r="R59" s="532">
        <v>0</v>
      </c>
      <c r="S59" s="532">
        <v>2.0818181818181816</v>
      </c>
      <c r="T59" s="533"/>
      <c r="U59" s="532">
        <v>2.5272727272727269</v>
      </c>
      <c r="V59" s="532">
        <v>2.4090909090909087</v>
      </c>
      <c r="W59" s="532">
        <v>0</v>
      </c>
      <c r="X59" s="532">
        <v>0</v>
      </c>
      <c r="Y59" s="532">
        <v>2.0818181818181816</v>
      </c>
      <c r="Z59" s="533"/>
      <c r="AA59" s="533"/>
      <c r="AB59" s="533"/>
      <c r="AC59" s="533"/>
      <c r="AD59" s="533"/>
      <c r="AE59" s="533"/>
      <c r="AF59" s="533"/>
      <c r="AG59" s="528" t="s">
        <v>1145</v>
      </c>
      <c r="AH59" s="528"/>
      <c r="AI59" s="528">
        <v>3</v>
      </c>
      <c r="AJ59" s="528">
        <v>3</v>
      </c>
      <c r="AK59" s="480">
        <v>0.5</v>
      </c>
      <c r="AL59" s="480">
        <v>0.5</v>
      </c>
      <c r="AM59" s="525"/>
      <c r="AN59" s="528">
        <v>0</v>
      </c>
      <c r="AO59" s="528">
        <v>0</v>
      </c>
      <c r="AP59" s="528">
        <v>0</v>
      </c>
      <c r="AQ59" s="528">
        <v>0</v>
      </c>
      <c r="AR59" s="528">
        <v>0</v>
      </c>
      <c r="AS59" s="528">
        <v>0</v>
      </c>
      <c r="AT59" s="528">
        <v>0</v>
      </c>
      <c r="AU59" s="528">
        <v>0</v>
      </c>
      <c r="AV59" s="528">
        <v>0</v>
      </c>
      <c r="AW59" s="528">
        <v>0</v>
      </c>
      <c r="AX59" s="528">
        <v>0</v>
      </c>
      <c r="AY59" s="528">
        <v>0</v>
      </c>
      <c r="AZ59" s="528"/>
      <c r="BA59" s="528" t="s">
        <v>1145</v>
      </c>
      <c r="BB59" s="528">
        <v>12</v>
      </c>
      <c r="BC59" s="528" t="s">
        <v>1145</v>
      </c>
      <c r="BD59" s="528"/>
      <c r="BE59" s="528"/>
      <c r="BF59" s="528"/>
      <c r="BG59" s="529"/>
      <c r="BH59" s="525"/>
      <c r="BI59" s="600"/>
      <c r="BJ59" s="528" t="s">
        <v>1146</v>
      </c>
      <c r="BK59" s="528"/>
      <c r="BL59" s="529"/>
      <c r="BM59" s="569" t="s">
        <v>1715</v>
      </c>
      <c r="BN59" s="525" t="s">
        <v>408</v>
      </c>
    </row>
    <row r="60" spans="1:66" ht="13" customHeight="1" x14ac:dyDescent="0.2">
      <c r="A60" s="525">
        <v>2397</v>
      </c>
      <c r="B60" s="565">
        <v>44937</v>
      </c>
      <c r="C60" s="526" t="s">
        <v>1138</v>
      </c>
      <c r="D60" s="525" t="s">
        <v>1111</v>
      </c>
      <c r="E60" s="570">
        <v>44896</v>
      </c>
      <c r="F60" s="529" t="s">
        <v>1168</v>
      </c>
      <c r="G60" s="525" t="s">
        <v>1297</v>
      </c>
      <c r="H60" s="532">
        <v>75.599999999999994</v>
      </c>
      <c r="I60" s="531" t="s">
        <v>1141</v>
      </c>
      <c r="J60" s="485">
        <v>1645</v>
      </c>
      <c r="K60" s="485">
        <v>3000</v>
      </c>
      <c r="L60" s="485">
        <v>3000</v>
      </c>
      <c r="M60" s="485">
        <v>3000</v>
      </c>
      <c r="N60" s="525"/>
      <c r="O60" s="532">
        <v>3.2545454545454544</v>
      </c>
      <c r="P60" s="532">
        <v>2.6545454545454543</v>
      </c>
      <c r="Q60" s="532">
        <v>0</v>
      </c>
      <c r="R60" s="532">
        <v>0</v>
      </c>
      <c r="S60" s="532">
        <v>2.2545454545454544</v>
      </c>
      <c r="T60" s="533"/>
      <c r="U60" s="532">
        <v>3.2545454545454544</v>
      </c>
      <c r="V60" s="532">
        <v>2.6545454545454543</v>
      </c>
      <c r="W60" s="532">
        <v>0</v>
      </c>
      <c r="X60" s="532">
        <v>0</v>
      </c>
      <c r="Y60" s="532">
        <v>2.2545454545454544</v>
      </c>
      <c r="Z60" s="533"/>
      <c r="AA60" s="533"/>
      <c r="AB60" s="533"/>
      <c r="AC60" s="533"/>
      <c r="AD60" s="533"/>
      <c r="AE60" s="533"/>
      <c r="AF60" s="533"/>
      <c r="AG60" s="528" t="s">
        <v>1145</v>
      </c>
      <c r="AH60" s="528"/>
      <c r="AI60" s="528">
        <v>3</v>
      </c>
      <c r="AJ60" s="528">
        <v>3</v>
      </c>
      <c r="AK60" s="480">
        <v>0.5</v>
      </c>
      <c r="AL60" s="480">
        <v>0.5</v>
      </c>
      <c r="AM60" s="525"/>
      <c r="AN60" s="528">
        <v>0</v>
      </c>
      <c r="AO60" s="528">
        <v>0</v>
      </c>
      <c r="AP60" s="528">
        <v>0</v>
      </c>
      <c r="AQ60" s="528">
        <v>0</v>
      </c>
      <c r="AR60" s="528">
        <v>0</v>
      </c>
      <c r="AS60" s="528">
        <v>0</v>
      </c>
      <c r="AT60" s="528">
        <v>0</v>
      </c>
      <c r="AU60" s="528">
        <v>0</v>
      </c>
      <c r="AV60" s="528">
        <v>0</v>
      </c>
      <c r="AW60" s="528">
        <v>0</v>
      </c>
      <c r="AX60" s="528">
        <v>0</v>
      </c>
      <c r="AY60" s="528">
        <v>0</v>
      </c>
      <c r="AZ60" s="528"/>
      <c r="BA60" s="528" t="s">
        <v>1145</v>
      </c>
      <c r="BB60" s="528"/>
      <c r="BC60" s="528" t="s">
        <v>1145</v>
      </c>
      <c r="BD60" s="528"/>
      <c r="BE60" s="528"/>
      <c r="BF60" s="528"/>
      <c r="BG60" s="529"/>
      <c r="BH60" s="525"/>
      <c r="BI60" s="528"/>
      <c r="BJ60" s="528" t="s">
        <v>1146</v>
      </c>
      <c r="BK60" s="528"/>
      <c r="BL60" s="529"/>
      <c r="BM60" s="567" t="s">
        <v>1720</v>
      </c>
      <c r="BN60" s="525" t="s">
        <v>368</v>
      </c>
    </row>
    <row r="61" spans="1:66" ht="13" customHeight="1" x14ac:dyDescent="0.2">
      <c r="A61" s="525">
        <v>264</v>
      </c>
      <c r="B61" s="565">
        <v>44937</v>
      </c>
      <c r="C61" s="526" t="s">
        <v>1138</v>
      </c>
      <c r="D61" s="525" t="s">
        <v>1111</v>
      </c>
      <c r="E61" s="527">
        <v>44907</v>
      </c>
      <c r="F61" s="529" t="s">
        <v>1169</v>
      </c>
      <c r="G61" s="525" t="s">
        <v>1698</v>
      </c>
      <c r="H61" s="532">
        <v>77.172727272727272</v>
      </c>
      <c r="I61" s="531" t="s">
        <v>1141</v>
      </c>
      <c r="J61" s="485">
        <v>1645</v>
      </c>
      <c r="K61" s="485">
        <v>3000</v>
      </c>
      <c r="L61" s="485">
        <v>3000</v>
      </c>
      <c r="M61" s="485">
        <v>3000</v>
      </c>
      <c r="N61" s="525"/>
      <c r="O61" s="532">
        <v>3.6545454545454539</v>
      </c>
      <c r="P61" s="532">
        <v>3.0727272727272723</v>
      </c>
      <c r="Q61" s="532">
        <v>0</v>
      </c>
      <c r="R61" s="532">
        <v>0</v>
      </c>
      <c r="S61" s="532">
        <v>2.5727272727272728</v>
      </c>
      <c r="T61" s="533"/>
      <c r="U61" s="532">
        <v>3.6545454545454539</v>
      </c>
      <c r="V61" s="532">
        <v>3.0727272727272723</v>
      </c>
      <c r="W61" s="532">
        <v>0</v>
      </c>
      <c r="X61" s="532">
        <v>0</v>
      </c>
      <c r="Y61" s="532">
        <v>2.5727272727272728</v>
      </c>
      <c r="Z61" s="533"/>
      <c r="AA61" s="533"/>
      <c r="AB61" s="533"/>
      <c r="AC61" s="533"/>
      <c r="AD61" s="533"/>
      <c r="AE61" s="533"/>
      <c r="AF61" s="533"/>
      <c r="AG61" s="528" t="s">
        <v>1145</v>
      </c>
      <c r="AH61" s="528"/>
      <c r="AI61" s="528">
        <v>3</v>
      </c>
      <c r="AJ61" s="528">
        <v>3</v>
      </c>
      <c r="AK61" s="480">
        <v>0.5</v>
      </c>
      <c r="AL61" s="480">
        <v>0.5</v>
      </c>
      <c r="AM61" s="525"/>
      <c r="AN61" s="528">
        <v>6</v>
      </c>
      <c r="AO61" s="528">
        <v>0</v>
      </c>
      <c r="AP61" s="528">
        <v>0</v>
      </c>
      <c r="AQ61" s="528">
        <v>0</v>
      </c>
      <c r="AR61" s="528">
        <v>0</v>
      </c>
      <c r="AS61" s="528">
        <v>0</v>
      </c>
      <c r="AT61" s="528">
        <v>0</v>
      </c>
      <c r="AU61" s="528">
        <v>0</v>
      </c>
      <c r="AV61" s="528">
        <v>0</v>
      </c>
      <c r="AW61" s="528">
        <v>0</v>
      </c>
      <c r="AX61" s="528">
        <v>0</v>
      </c>
      <c r="AY61" s="528">
        <v>0</v>
      </c>
      <c r="AZ61" s="528"/>
      <c r="BA61" s="528" t="s">
        <v>1145</v>
      </c>
      <c r="BB61" s="528"/>
      <c r="BC61" s="528" t="s">
        <v>1145</v>
      </c>
      <c r="BD61" s="528"/>
      <c r="BE61" s="528"/>
      <c r="BF61" s="528"/>
      <c r="BG61" s="379"/>
      <c r="BH61" s="525"/>
      <c r="BI61" s="528"/>
      <c r="BJ61" s="528" t="s">
        <v>1146</v>
      </c>
      <c r="BK61" s="528"/>
      <c r="BL61" s="529"/>
      <c r="BM61" s="567" t="s">
        <v>430</v>
      </c>
      <c r="BN61" s="525" t="s">
        <v>368</v>
      </c>
    </row>
    <row r="62" spans="1:66" ht="13" customHeight="1" x14ac:dyDescent="0.2">
      <c r="A62" s="525">
        <v>1685</v>
      </c>
      <c r="B62" s="565">
        <v>44938</v>
      </c>
      <c r="C62" s="526" t="s">
        <v>295</v>
      </c>
      <c r="D62" s="525" t="s">
        <v>1111</v>
      </c>
      <c r="E62" s="527">
        <v>44926</v>
      </c>
      <c r="F62" s="529" t="s">
        <v>1106</v>
      </c>
      <c r="G62" s="525" t="s">
        <v>2</v>
      </c>
      <c r="H62" s="532">
        <v>59</v>
      </c>
      <c r="I62" s="531" t="s">
        <v>1141</v>
      </c>
      <c r="J62" s="525">
        <v>3000</v>
      </c>
      <c r="K62" s="525">
        <v>3000</v>
      </c>
      <c r="L62" s="525">
        <v>3000</v>
      </c>
      <c r="M62" s="525">
        <v>3000</v>
      </c>
      <c r="N62" s="525"/>
      <c r="O62" s="532">
        <v>3.2727272727272725</v>
      </c>
      <c r="P62" s="532">
        <v>0</v>
      </c>
      <c r="Q62" s="532">
        <v>0</v>
      </c>
      <c r="R62" s="532">
        <v>0</v>
      </c>
      <c r="S62" s="532">
        <v>2.4545454545454546</v>
      </c>
      <c r="T62" s="533"/>
      <c r="U62" s="532">
        <v>3.2727272727272725</v>
      </c>
      <c r="V62" s="532">
        <v>0</v>
      </c>
      <c r="W62" s="532">
        <v>0</v>
      </c>
      <c r="X62" s="532">
        <v>0</v>
      </c>
      <c r="Y62" s="532">
        <v>2.4545454545454546</v>
      </c>
      <c r="Z62" s="533"/>
      <c r="AA62" s="533"/>
      <c r="AB62" s="533"/>
      <c r="AC62" s="533"/>
      <c r="AD62" s="533"/>
      <c r="AE62" s="533"/>
      <c r="AF62" s="533"/>
      <c r="AG62" s="528" t="s">
        <v>297</v>
      </c>
      <c r="AH62" s="528" t="s">
        <v>298</v>
      </c>
      <c r="AI62" s="333">
        <v>2</v>
      </c>
      <c r="AJ62" s="333">
        <v>4</v>
      </c>
      <c r="AK62" s="483">
        <v>0.33329999999999999</v>
      </c>
      <c r="AL62" s="483">
        <v>0.66659999999999997</v>
      </c>
      <c r="AM62" s="525" t="s">
        <v>1124</v>
      </c>
      <c r="AN62" s="528">
        <v>0</v>
      </c>
      <c r="AO62" s="528">
        <v>0</v>
      </c>
      <c r="AP62" s="528">
        <v>2</v>
      </c>
      <c r="AQ62" s="528">
        <v>0</v>
      </c>
      <c r="AR62" s="528">
        <v>0</v>
      </c>
      <c r="AS62" s="528">
        <v>0</v>
      </c>
      <c r="AT62" s="528">
        <v>0</v>
      </c>
      <c r="AU62" s="528">
        <v>0</v>
      </c>
      <c r="AV62" s="528">
        <v>0</v>
      </c>
      <c r="AW62" s="528">
        <v>0</v>
      </c>
      <c r="AX62" s="528">
        <v>0</v>
      </c>
      <c r="AY62" s="528">
        <v>0</v>
      </c>
      <c r="AZ62" s="528"/>
      <c r="BA62" s="528" t="s">
        <v>1145</v>
      </c>
      <c r="BB62" s="528"/>
      <c r="BC62" s="528" t="s">
        <v>1145</v>
      </c>
      <c r="BD62" s="528"/>
      <c r="BE62" s="528"/>
      <c r="BF62" s="529"/>
      <c r="BG62" s="529" t="s">
        <v>1700</v>
      </c>
      <c r="BH62" s="525" t="s">
        <v>365</v>
      </c>
      <c r="BI62" s="528">
        <v>60</v>
      </c>
      <c r="BJ62" s="528" t="s">
        <v>1146</v>
      </c>
      <c r="BK62" s="528">
        <v>1</v>
      </c>
      <c r="BL62" s="525" t="s">
        <v>1701</v>
      </c>
      <c r="BM62" s="567" t="s">
        <v>1716</v>
      </c>
      <c r="BN62" s="525" t="s">
        <v>408</v>
      </c>
    </row>
    <row r="63" spans="1:66" ht="13" customHeight="1" x14ac:dyDescent="0.2">
      <c r="A63" s="525">
        <v>2739</v>
      </c>
      <c r="B63" s="565">
        <v>44937</v>
      </c>
      <c r="C63" s="526" t="s">
        <v>1138</v>
      </c>
      <c r="D63" s="525" t="s">
        <v>1111</v>
      </c>
      <c r="E63" s="527">
        <v>44927</v>
      </c>
      <c r="F63" s="525" t="s">
        <v>1274</v>
      </c>
      <c r="G63" s="525" t="s">
        <v>1467</v>
      </c>
      <c r="H63" s="532">
        <v>77</v>
      </c>
      <c r="I63" s="531" t="s">
        <v>1141</v>
      </c>
      <c r="J63" s="409">
        <v>1800</v>
      </c>
      <c r="K63" s="332">
        <v>4800</v>
      </c>
      <c r="L63" s="332">
        <v>4800</v>
      </c>
      <c r="M63" s="332">
        <v>4800</v>
      </c>
      <c r="N63" s="332"/>
      <c r="O63" s="532">
        <v>4.3999999999999995</v>
      </c>
      <c r="P63" s="532">
        <v>3.7999999999999994</v>
      </c>
      <c r="Q63" s="532">
        <v>0</v>
      </c>
      <c r="R63" s="532">
        <v>0</v>
      </c>
      <c r="S63" s="532">
        <v>3.3</v>
      </c>
      <c r="T63" s="571"/>
      <c r="U63" s="532">
        <v>4.3999999999999995</v>
      </c>
      <c r="V63" s="532">
        <v>3.7999999999999994</v>
      </c>
      <c r="W63" s="532">
        <v>0</v>
      </c>
      <c r="X63" s="532">
        <v>0</v>
      </c>
      <c r="Y63" s="532">
        <v>3.3</v>
      </c>
      <c r="Z63" s="571"/>
      <c r="AA63" s="571"/>
      <c r="AB63" s="571"/>
      <c r="AC63" s="571"/>
      <c r="AD63" s="571"/>
      <c r="AE63" s="571"/>
      <c r="AF63" s="571"/>
      <c r="AG63" s="333" t="s">
        <v>1145</v>
      </c>
      <c r="AH63" s="333"/>
      <c r="AI63" s="528">
        <v>3</v>
      </c>
      <c r="AJ63" s="528">
        <v>3</v>
      </c>
      <c r="AK63" s="480">
        <v>0.5</v>
      </c>
      <c r="AL63" s="480">
        <v>0.5</v>
      </c>
      <c r="AM63" s="525"/>
      <c r="AN63" s="528">
        <v>0</v>
      </c>
      <c r="AO63" s="528">
        <v>7</v>
      </c>
      <c r="AP63" s="528">
        <v>0</v>
      </c>
      <c r="AQ63" s="528">
        <v>3</v>
      </c>
      <c r="AR63" s="528">
        <v>0</v>
      </c>
      <c r="AS63" s="528">
        <v>0</v>
      </c>
      <c r="AT63" s="528">
        <v>0</v>
      </c>
      <c r="AU63" s="528">
        <v>0</v>
      </c>
      <c r="AV63" s="528">
        <v>0</v>
      </c>
      <c r="AW63" s="528">
        <v>0</v>
      </c>
      <c r="AX63" s="528">
        <v>0</v>
      </c>
      <c r="AY63" s="528">
        <v>0</v>
      </c>
      <c r="AZ63" s="528"/>
      <c r="BA63" s="528" t="s">
        <v>1145</v>
      </c>
      <c r="BB63" s="528"/>
      <c r="BC63" s="528" t="s">
        <v>1145</v>
      </c>
      <c r="BD63" s="528"/>
      <c r="BE63" s="528"/>
      <c r="BF63" s="528"/>
      <c r="BG63" s="529"/>
      <c r="BH63" s="525"/>
      <c r="BI63" s="528"/>
      <c r="BJ63" s="528" t="s">
        <v>1146</v>
      </c>
      <c r="BK63" s="528">
        <v>1</v>
      </c>
      <c r="BL63" s="529"/>
      <c r="BM63" s="567" t="s">
        <v>1717</v>
      </c>
      <c r="BN63" s="525" t="s">
        <v>408</v>
      </c>
    </row>
    <row r="64" spans="1:66" ht="13" customHeight="1" x14ac:dyDescent="0.2">
      <c r="A64" s="525">
        <v>2930</v>
      </c>
      <c r="B64" s="565">
        <v>44937</v>
      </c>
      <c r="C64" s="526" t="s">
        <v>1138</v>
      </c>
      <c r="D64" s="525" t="s">
        <v>1111</v>
      </c>
      <c r="E64" s="527">
        <v>44853</v>
      </c>
      <c r="F64" s="525" t="s">
        <v>1483</v>
      </c>
      <c r="G64" s="525" t="s">
        <v>1550</v>
      </c>
      <c r="H64" s="532">
        <v>99.999999999999986</v>
      </c>
      <c r="I64" s="531" t="s">
        <v>1141</v>
      </c>
      <c r="J64" s="485">
        <v>1645</v>
      </c>
      <c r="K64" s="485">
        <v>3000</v>
      </c>
      <c r="L64" s="485">
        <v>3000</v>
      </c>
      <c r="M64" s="485">
        <v>3000</v>
      </c>
      <c r="N64" s="332"/>
      <c r="O64" s="532">
        <v>2.336363636363636</v>
      </c>
      <c r="P64" s="532">
        <v>1.9818181818181817</v>
      </c>
      <c r="Q64" s="532">
        <v>0</v>
      </c>
      <c r="R64" s="532">
        <v>0</v>
      </c>
      <c r="S64" s="532">
        <v>1.7272727272727271</v>
      </c>
      <c r="T64" s="571"/>
      <c r="U64" s="532">
        <v>2.336363636363636</v>
      </c>
      <c r="V64" s="532">
        <v>1.9818181818181817</v>
      </c>
      <c r="W64" s="532">
        <v>0</v>
      </c>
      <c r="X64" s="532">
        <v>0</v>
      </c>
      <c r="Y64" s="532">
        <v>1.7272727272727271</v>
      </c>
      <c r="Z64" s="571"/>
      <c r="AA64" s="571"/>
      <c r="AB64" s="571"/>
      <c r="AC64" s="571"/>
      <c r="AD64" s="571"/>
      <c r="AE64" s="571"/>
      <c r="AF64" s="571"/>
      <c r="AG64" s="333" t="s">
        <v>1145</v>
      </c>
      <c r="AH64" s="333"/>
      <c r="AI64" s="528">
        <v>3</v>
      </c>
      <c r="AJ64" s="528">
        <v>3</v>
      </c>
      <c r="AK64" s="480">
        <v>0.5</v>
      </c>
      <c r="AL64" s="480">
        <v>0.5</v>
      </c>
      <c r="AM64" s="525"/>
      <c r="AN64" s="528">
        <v>0</v>
      </c>
      <c r="AO64" s="528">
        <v>0</v>
      </c>
      <c r="AP64" s="528">
        <v>0</v>
      </c>
      <c r="AQ64" s="528">
        <v>0</v>
      </c>
      <c r="AR64" s="528">
        <v>0</v>
      </c>
      <c r="AS64" s="528">
        <v>0</v>
      </c>
      <c r="AT64" s="528">
        <v>0</v>
      </c>
      <c r="AU64" s="528">
        <v>0</v>
      </c>
      <c r="AV64" s="528">
        <v>0</v>
      </c>
      <c r="AW64" s="528">
        <v>0</v>
      </c>
      <c r="AX64" s="528">
        <v>0</v>
      </c>
      <c r="AY64" s="528">
        <v>0</v>
      </c>
      <c r="AZ64" s="528"/>
      <c r="BA64" s="528" t="s">
        <v>1145</v>
      </c>
      <c r="BB64" s="528"/>
      <c r="BC64" s="528" t="s">
        <v>1145</v>
      </c>
      <c r="BD64" s="528"/>
      <c r="BE64" s="528"/>
      <c r="BF64" s="564"/>
      <c r="BG64" s="529"/>
      <c r="BH64" s="525"/>
      <c r="BI64" s="528"/>
      <c r="BJ64" s="528" t="s">
        <v>4</v>
      </c>
      <c r="BK64" s="528"/>
      <c r="BL64" s="529"/>
      <c r="BM64" s="569" t="s">
        <v>1718</v>
      </c>
      <c r="BN64" s="525" t="s">
        <v>368</v>
      </c>
    </row>
    <row r="65" spans="1:66" ht="16" x14ac:dyDescent="0.2">
      <c r="A65" s="525">
        <v>3698</v>
      </c>
      <c r="B65" s="565">
        <v>44939</v>
      </c>
      <c r="C65" s="526" t="s">
        <v>1138</v>
      </c>
      <c r="D65" s="525" t="s">
        <v>1111</v>
      </c>
      <c r="E65" s="527">
        <v>44927</v>
      </c>
      <c r="F65" s="525" t="s">
        <v>1057</v>
      </c>
      <c r="G65" s="525" t="s">
        <v>1734</v>
      </c>
      <c r="H65" s="340">
        <v>86.8</v>
      </c>
      <c r="I65" s="531" t="s">
        <v>296</v>
      </c>
      <c r="J65" s="485">
        <v>1645</v>
      </c>
      <c r="K65" s="485">
        <v>3000</v>
      </c>
      <c r="L65" s="485">
        <v>3000</v>
      </c>
      <c r="M65" s="485">
        <v>3000</v>
      </c>
      <c r="N65" s="297"/>
      <c r="O65" s="340">
        <v>4.2</v>
      </c>
      <c r="P65" s="340">
        <v>3.4</v>
      </c>
      <c r="Q65" s="340">
        <v>0</v>
      </c>
      <c r="R65" s="340">
        <v>0</v>
      </c>
      <c r="S65" s="340">
        <v>2.9</v>
      </c>
      <c r="T65" s="571"/>
      <c r="U65" s="340">
        <v>4.2</v>
      </c>
      <c r="V65" s="340">
        <v>3.4</v>
      </c>
      <c r="W65" s="340">
        <v>0</v>
      </c>
      <c r="X65" s="340">
        <v>0</v>
      </c>
      <c r="Y65" s="340">
        <v>2.9</v>
      </c>
      <c r="Z65" s="297"/>
      <c r="AA65" s="297"/>
      <c r="AB65" s="297"/>
      <c r="AC65" s="297"/>
      <c r="AD65" s="297"/>
      <c r="AE65" s="297"/>
      <c r="AF65" s="297"/>
      <c r="AG65" s="333" t="s">
        <v>1145</v>
      </c>
      <c r="AH65" s="297"/>
      <c r="AI65" s="528">
        <v>3</v>
      </c>
      <c r="AJ65" s="528">
        <v>3</v>
      </c>
      <c r="AK65" s="480">
        <v>0.5</v>
      </c>
      <c r="AL65" s="480">
        <v>0.5</v>
      </c>
      <c r="AM65" s="525"/>
      <c r="AN65" s="528">
        <v>0</v>
      </c>
      <c r="AO65" s="528">
        <v>0</v>
      </c>
      <c r="AP65" s="528">
        <v>0</v>
      </c>
      <c r="AQ65" s="528">
        <v>0</v>
      </c>
      <c r="AR65" s="528">
        <v>0</v>
      </c>
      <c r="AS65" s="528">
        <v>0</v>
      </c>
      <c r="AT65" s="528">
        <v>0</v>
      </c>
      <c r="AU65" s="528">
        <v>0</v>
      </c>
      <c r="AV65" s="528">
        <v>0</v>
      </c>
      <c r="AW65" s="528">
        <v>0</v>
      </c>
      <c r="AX65" s="528">
        <v>0</v>
      </c>
      <c r="AY65" s="528">
        <v>0</v>
      </c>
      <c r="AZ65" s="528"/>
      <c r="BA65" s="528" t="s">
        <v>1145</v>
      </c>
      <c r="BB65" s="528"/>
      <c r="BC65" s="528" t="s">
        <v>1145</v>
      </c>
      <c r="BD65" s="528"/>
      <c r="BE65" s="528"/>
      <c r="BF65" s="528"/>
      <c r="BG65" s="529"/>
      <c r="BH65" s="525"/>
      <c r="BI65" s="528"/>
      <c r="BJ65" s="528" t="s">
        <v>1146</v>
      </c>
      <c r="BK65" s="528"/>
      <c r="BL65" s="529" t="s">
        <v>1735</v>
      </c>
      <c r="BM65" s="569" t="s">
        <v>1736</v>
      </c>
      <c r="BN65" s="525" t="s">
        <v>1121</v>
      </c>
    </row>
    <row r="66" spans="1:66" ht="13" customHeight="1" x14ac:dyDescent="0.2">
      <c r="A66" s="525">
        <v>3628</v>
      </c>
      <c r="B66" s="565">
        <v>44937</v>
      </c>
      <c r="C66" s="526" t="s">
        <v>1138</v>
      </c>
      <c r="D66" s="525" t="s">
        <v>1111</v>
      </c>
      <c r="E66" s="527">
        <v>44935</v>
      </c>
      <c r="F66" s="525" t="s">
        <v>1173</v>
      </c>
      <c r="G66" s="525" t="s">
        <v>1705</v>
      </c>
      <c r="H66" s="532">
        <v>104.99999999999999</v>
      </c>
      <c r="I66" s="531" t="s">
        <v>1141</v>
      </c>
      <c r="J66" s="525">
        <v>3000</v>
      </c>
      <c r="K66" s="525">
        <v>3000</v>
      </c>
      <c r="L66" s="525">
        <v>3000</v>
      </c>
      <c r="M66" s="525">
        <v>3000</v>
      </c>
      <c r="N66" s="332"/>
      <c r="O66" s="532">
        <v>5.4</v>
      </c>
      <c r="P66" s="532">
        <v>0</v>
      </c>
      <c r="Q66" s="532">
        <v>0</v>
      </c>
      <c r="R66" s="532">
        <v>0</v>
      </c>
      <c r="S66" s="532">
        <v>4.7090909090909081</v>
      </c>
      <c r="T66" s="571"/>
      <c r="U66" s="532">
        <v>5.4</v>
      </c>
      <c r="V66" s="532">
        <v>0</v>
      </c>
      <c r="W66" s="532">
        <v>0</v>
      </c>
      <c r="X66" s="532">
        <v>0</v>
      </c>
      <c r="Y66" s="532">
        <v>4.7090909090909081</v>
      </c>
      <c r="Z66" s="571"/>
      <c r="AA66" s="571"/>
      <c r="AB66" s="571"/>
      <c r="AC66" s="571"/>
      <c r="AD66" s="571"/>
      <c r="AE66" s="571"/>
      <c r="AF66" s="571"/>
      <c r="AG66" s="333" t="s">
        <v>1145</v>
      </c>
      <c r="AH66" s="333"/>
      <c r="AI66" s="528">
        <v>3</v>
      </c>
      <c r="AJ66" s="528">
        <v>3</v>
      </c>
      <c r="AK66" s="480">
        <v>0.5</v>
      </c>
      <c r="AL66" s="480">
        <v>0.5</v>
      </c>
      <c r="AM66" s="525"/>
      <c r="AN66" s="528">
        <v>0</v>
      </c>
      <c r="AO66" s="528">
        <v>0</v>
      </c>
      <c r="AP66" s="528">
        <v>0</v>
      </c>
      <c r="AQ66" s="528">
        <v>0</v>
      </c>
      <c r="AR66" s="528">
        <v>0</v>
      </c>
      <c r="AS66" s="528">
        <v>0</v>
      </c>
      <c r="AT66" s="528">
        <v>0</v>
      </c>
      <c r="AU66" s="528">
        <v>0</v>
      </c>
      <c r="AV66" s="528">
        <v>0</v>
      </c>
      <c r="AW66" s="528">
        <v>0</v>
      </c>
      <c r="AX66" s="528">
        <v>0</v>
      </c>
      <c r="AY66" s="528">
        <v>0</v>
      </c>
      <c r="AZ66" s="528"/>
      <c r="BA66" s="528" t="s">
        <v>1145</v>
      </c>
      <c r="BB66" s="528"/>
      <c r="BC66" s="528" t="s">
        <v>1145</v>
      </c>
      <c r="BD66" s="528"/>
      <c r="BE66" s="528"/>
      <c r="BF66" s="564"/>
      <c r="BG66" s="529"/>
      <c r="BH66" s="525"/>
      <c r="BI66" s="528"/>
      <c r="BJ66" s="528" t="s">
        <v>4</v>
      </c>
      <c r="BK66" s="528"/>
      <c r="BL66" s="529"/>
      <c r="BM66" s="569" t="s">
        <v>1719</v>
      </c>
      <c r="BN66" s="525" t="s">
        <v>408</v>
      </c>
    </row>
    <row r="67" spans="1:66" ht="13" customHeight="1" x14ac:dyDescent="0.2">
      <c r="A67" s="525">
        <v>3158</v>
      </c>
      <c r="B67" s="565">
        <v>44937</v>
      </c>
      <c r="C67" s="526" t="s">
        <v>1138</v>
      </c>
      <c r="D67" s="525" t="s">
        <v>1113</v>
      </c>
      <c r="E67" s="527">
        <v>44927</v>
      </c>
      <c r="F67" s="529" t="s">
        <v>1139</v>
      </c>
      <c r="G67" s="525" t="s">
        <v>1646</v>
      </c>
      <c r="H67" s="532">
        <v>92.654545454545442</v>
      </c>
      <c r="I67" s="531" t="s">
        <v>296</v>
      </c>
      <c r="J67" s="459">
        <v>6000</v>
      </c>
      <c r="K67" s="459">
        <v>12000</v>
      </c>
      <c r="L67" s="459">
        <v>84000</v>
      </c>
      <c r="M67" s="459">
        <v>84000</v>
      </c>
      <c r="N67" s="525"/>
      <c r="O67" s="532">
        <v>2.6909090909090905</v>
      </c>
      <c r="P67" s="532">
        <v>2.6090909090909089</v>
      </c>
      <c r="Q67" s="532">
        <v>1.9454545454545453</v>
      </c>
      <c r="R67" s="532">
        <v>0</v>
      </c>
      <c r="S67" s="532">
        <v>1.8272727272727269</v>
      </c>
      <c r="T67" s="533"/>
      <c r="U67" s="532">
        <v>2.4909090909090907</v>
      </c>
      <c r="V67" s="532">
        <v>2.0545454545454542</v>
      </c>
      <c r="W67" s="532">
        <v>1.7636363636363634</v>
      </c>
      <c r="X67" s="532">
        <v>0</v>
      </c>
      <c r="Y67" s="532">
        <v>1.6818181818181817</v>
      </c>
      <c r="Z67" s="533"/>
      <c r="AA67" s="533"/>
      <c r="AB67" s="533"/>
      <c r="AC67" s="533"/>
      <c r="AD67" s="533"/>
      <c r="AE67" s="533"/>
      <c r="AF67" s="533"/>
      <c r="AG67" s="528" t="s">
        <v>1143</v>
      </c>
      <c r="AH67" s="528" t="s">
        <v>1144</v>
      </c>
      <c r="AI67" s="333">
        <v>2</v>
      </c>
      <c r="AJ67" s="333">
        <v>4</v>
      </c>
      <c r="AK67" s="483">
        <v>0.33329999999999999</v>
      </c>
      <c r="AL67" s="483">
        <v>0.66659999999999997</v>
      </c>
      <c r="AM67" s="525" t="s">
        <v>1124</v>
      </c>
      <c r="AN67" s="528">
        <v>0</v>
      </c>
      <c r="AO67" s="528">
        <v>0</v>
      </c>
      <c r="AP67" s="528">
        <v>0</v>
      </c>
      <c r="AQ67" s="528">
        <v>0</v>
      </c>
      <c r="AR67" s="528">
        <v>0</v>
      </c>
      <c r="AS67" s="528">
        <v>0</v>
      </c>
      <c r="AT67" s="528">
        <v>0</v>
      </c>
      <c r="AU67" s="528">
        <v>0</v>
      </c>
      <c r="AV67" s="528">
        <v>0</v>
      </c>
      <c r="AW67" s="528">
        <v>0</v>
      </c>
      <c r="AX67" s="528">
        <v>0</v>
      </c>
      <c r="AY67" s="528">
        <v>0</v>
      </c>
      <c r="AZ67" s="528"/>
      <c r="BA67" s="528" t="s">
        <v>1145</v>
      </c>
      <c r="BB67" s="528"/>
      <c r="BC67" s="528" t="s">
        <v>1145</v>
      </c>
      <c r="BD67" s="528"/>
      <c r="BE67" s="528"/>
      <c r="BF67" s="528"/>
      <c r="BG67" s="597"/>
      <c r="BH67" s="598"/>
      <c r="BI67" s="566"/>
      <c r="BJ67" s="528" t="s">
        <v>1146</v>
      </c>
      <c r="BK67" s="528"/>
      <c r="BL67" s="529" t="s">
        <v>1647</v>
      </c>
      <c r="BM67" s="567" t="s">
        <v>430</v>
      </c>
      <c r="BN67" s="525" t="s">
        <v>408</v>
      </c>
    </row>
    <row r="68" spans="1:66" ht="13" customHeight="1" x14ac:dyDescent="0.2">
      <c r="A68" s="525">
        <v>1046</v>
      </c>
      <c r="B68" s="565">
        <v>44937</v>
      </c>
      <c r="C68" s="526" t="s">
        <v>1138</v>
      </c>
      <c r="D68" s="525" t="s">
        <v>1113</v>
      </c>
      <c r="E68" s="527">
        <v>44805</v>
      </c>
      <c r="F68" s="529" t="s">
        <v>1148</v>
      </c>
      <c r="G68" s="525" t="s">
        <v>1280</v>
      </c>
      <c r="H68" s="532">
        <v>75.199999999999989</v>
      </c>
      <c r="I68" s="531" t="s">
        <v>296</v>
      </c>
      <c r="J68" s="459">
        <v>6000</v>
      </c>
      <c r="K68" s="459">
        <v>6000</v>
      </c>
      <c r="L68" s="459">
        <v>6000</v>
      </c>
      <c r="M68" s="459">
        <v>6000</v>
      </c>
      <c r="N68" s="525"/>
      <c r="O68" s="532">
        <v>2.1636363636363636</v>
      </c>
      <c r="P68" s="532">
        <v>0</v>
      </c>
      <c r="Q68" s="532">
        <v>0</v>
      </c>
      <c r="R68" s="532">
        <v>0</v>
      </c>
      <c r="S68" s="532">
        <v>1.9727272727272724</v>
      </c>
      <c r="T68" s="533"/>
      <c r="U68" s="532">
        <v>1.8909090909090909</v>
      </c>
      <c r="V68" s="532">
        <v>0</v>
      </c>
      <c r="W68" s="532">
        <v>0</v>
      </c>
      <c r="X68" s="532">
        <v>0</v>
      </c>
      <c r="Y68" s="532">
        <v>1.5272727272727271</v>
      </c>
      <c r="Z68" s="533"/>
      <c r="AA68" s="533"/>
      <c r="AB68" s="533"/>
      <c r="AC68" s="533"/>
      <c r="AD68" s="533"/>
      <c r="AE68" s="533"/>
      <c r="AF68" s="533"/>
      <c r="AG68" s="528" t="s">
        <v>1143</v>
      </c>
      <c r="AH68" s="528" t="s">
        <v>1144</v>
      </c>
      <c r="AI68" s="333">
        <v>2</v>
      </c>
      <c r="AJ68" s="333">
        <v>4</v>
      </c>
      <c r="AK68" s="483">
        <v>0.33329999999999999</v>
      </c>
      <c r="AL68" s="483">
        <v>0.66659999999999997</v>
      </c>
      <c r="AM68" s="525" t="s">
        <v>1124</v>
      </c>
      <c r="AN68" s="528">
        <v>0</v>
      </c>
      <c r="AO68" s="528">
        <v>0</v>
      </c>
      <c r="AP68" s="528">
        <v>0</v>
      </c>
      <c r="AQ68" s="528">
        <v>0</v>
      </c>
      <c r="AR68" s="528">
        <v>0</v>
      </c>
      <c r="AS68" s="528">
        <v>0</v>
      </c>
      <c r="AT68" s="528">
        <v>0</v>
      </c>
      <c r="AU68" s="528">
        <v>0</v>
      </c>
      <c r="AV68" s="528">
        <v>0</v>
      </c>
      <c r="AW68" s="528">
        <v>0</v>
      </c>
      <c r="AX68" s="528">
        <v>0</v>
      </c>
      <c r="AY68" s="528">
        <v>0</v>
      </c>
      <c r="AZ68" s="528"/>
      <c r="BA68" s="528" t="s">
        <v>1145</v>
      </c>
      <c r="BB68" s="528"/>
      <c r="BC68" s="528" t="s">
        <v>1145</v>
      </c>
      <c r="BD68" s="528"/>
      <c r="BE68" s="528"/>
      <c r="BF68" s="528"/>
      <c r="BG68" s="529"/>
      <c r="BH68" s="525"/>
      <c r="BI68" s="528"/>
      <c r="BJ68" s="528" t="s">
        <v>4</v>
      </c>
      <c r="BK68" s="528"/>
      <c r="BL68" s="529"/>
      <c r="BM68" s="569" t="s">
        <v>430</v>
      </c>
      <c r="BN68" s="525" t="s">
        <v>368</v>
      </c>
    </row>
    <row r="69" spans="1:66" ht="13" customHeight="1" x14ac:dyDescent="0.2">
      <c r="A69" s="525">
        <v>3525</v>
      </c>
      <c r="B69" s="565">
        <v>44937</v>
      </c>
      <c r="C69" s="526" t="s">
        <v>1138</v>
      </c>
      <c r="D69" s="525" t="s">
        <v>1113</v>
      </c>
      <c r="E69" s="527">
        <v>44927</v>
      </c>
      <c r="F69" s="529" t="s">
        <v>1156</v>
      </c>
      <c r="G69" s="525" t="s">
        <v>1649</v>
      </c>
      <c r="H69" s="532">
        <v>123.79090909090907</v>
      </c>
      <c r="I69" s="531" t="s">
        <v>296</v>
      </c>
      <c r="J69" s="459">
        <v>6000</v>
      </c>
      <c r="K69" s="459">
        <v>12000</v>
      </c>
      <c r="L69" s="459">
        <v>84000</v>
      </c>
      <c r="M69" s="459">
        <v>84000</v>
      </c>
      <c r="N69" s="525"/>
      <c r="O69" s="532">
        <v>3.3545454545454541</v>
      </c>
      <c r="P69" s="532">
        <v>3.0727272727272723</v>
      </c>
      <c r="Q69" s="532">
        <v>2.709090909090909</v>
      </c>
      <c r="R69" s="532">
        <v>0</v>
      </c>
      <c r="S69" s="532">
        <v>2.4272727272727268</v>
      </c>
      <c r="T69" s="533"/>
      <c r="U69" s="532">
        <v>2.7636363636363632</v>
      </c>
      <c r="V69" s="532">
        <v>2.7363636363636359</v>
      </c>
      <c r="W69" s="532">
        <v>2.6181818181818177</v>
      </c>
      <c r="X69" s="532">
        <v>0</v>
      </c>
      <c r="Y69" s="532">
        <v>2.3272727272727272</v>
      </c>
      <c r="Z69" s="533"/>
      <c r="AA69" s="533"/>
      <c r="AB69" s="533"/>
      <c r="AC69" s="533"/>
      <c r="AD69" s="533"/>
      <c r="AE69" s="533"/>
      <c r="AF69" s="533"/>
      <c r="AG69" s="528" t="s">
        <v>1143</v>
      </c>
      <c r="AH69" s="528" t="s">
        <v>1144</v>
      </c>
      <c r="AI69" s="333">
        <v>2</v>
      </c>
      <c r="AJ69" s="333">
        <v>4</v>
      </c>
      <c r="AK69" s="483">
        <v>0.33329999999999999</v>
      </c>
      <c r="AL69" s="483">
        <v>0.66659999999999997</v>
      </c>
      <c r="AM69" s="525" t="s">
        <v>1124</v>
      </c>
      <c r="AN69" s="528">
        <v>12</v>
      </c>
      <c r="AO69" s="528">
        <v>0</v>
      </c>
      <c r="AP69" s="528">
        <v>0</v>
      </c>
      <c r="AQ69" s="528">
        <v>0</v>
      </c>
      <c r="AR69" s="528">
        <v>0</v>
      </c>
      <c r="AS69" s="528">
        <v>0</v>
      </c>
      <c r="AT69" s="528">
        <v>0</v>
      </c>
      <c r="AU69" s="528">
        <v>0</v>
      </c>
      <c r="AV69" s="528">
        <v>0</v>
      </c>
      <c r="AW69" s="528">
        <v>0</v>
      </c>
      <c r="AX69" s="528">
        <v>0</v>
      </c>
      <c r="AY69" s="528">
        <v>0</v>
      </c>
      <c r="AZ69" s="566">
        <v>12</v>
      </c>
      <c r="BA69" s="528" t="s">
        <v>1145</v>
      </c>
      <c r="BB69" s="528"/>
      <c r="BC69" s="528" t="s">
        <v>1145</v>
      </c>
      <c r="BD69" s="528"/>
      <c r="BE69" s="528"/>
      <c r="BF69" s="528"/>
      <c r="BG69" s="529"/>
      <c r="BH69" s="525"/>
      <c r="BI69" s="528"/>
      <c r="BJ69" s="528" t="s">
        <v>1146</v>
      </c>
      <c r="BK69" s="528"/>
      <c r="BL69" s="529"/>
      <c r="BM69" s="525" t="s">
        <v>430</v>
      </c>
      <c r="BN69" s="525" t="s">
        <v>408</v>
      </c>
    </row>
    <row r="70" spans="1:66" ht="13" customHeight="1" x14ac:dyDescent="0.2">
      <c r="A70" s="525">
        <v>2876</v>
      </c>
      <c r="B70" s="565">
        <v>44937</v>
      </c>
      <c r="C70" s="526" t="s">
        <v>1138</v>
      </c>
      <c r="D70" s="525" t="s">
        <v>1113</v>
      </c>
      <c r="E70" s="527">
        <v>44896</v>
      </c>
      <c r="F70" s="529" t="s">
        <v>1159</v>
      </c>
      <c r="G70" s="525" t="s">
        <v>1105</v>
      </c>
      <c r="H70" s="532">
        <v>91.7</v>
      </c>
      <c r="I70" s="531" t="s">
        <v>296</v>
      </c>
      <c r="J70" s="459">
        <v>6000</v>
      </c>
      <c r="K70" s="459">
        <v>12000</v>
      </c>
      <c r="L70" s="459">
        <v>84000</v>
      </c>
      <c r="M70" s="459">
        <v>84000</v>
      </c>
      <c r="N70" s="525"/>
      <c r="O70" s="532">
        <v>2.4454545454545453</v>
      </c>
      <c r="P70" s="532">
        <v>2.3545454545454541</v>
      </c>
      <c r="Q70" s="532">
        <v>2.1999999999999997</v>
      </c>
      <c r="R70" s="532">
        <v>0</v>
      </c>
      <c r="S70" s="532">
        <v>2.1999999999999997</v>
      </c>
      <c r="T70" s="533"/>
      <c r="U70" s="532">
        <v>2.1999999999999997</v>
      </c>
      <c r="V70" s="532">
        <v>2.1545454545454543</v>
      </c>
      <c r="W70" s="532">
        <v>2.0545454545454542</v>
      </c>
      <c r="X70" s="532">
        <v>0</v>
      </c>
      <c r="Y70" s="532">
        <v>2.0090909090909088</v>
      </c>
      <c r="Z70" s="533"/>
      <c r="AA70" s="533"/>
      <c r="AB70" s="533"/>
      <c r="AC70" s="533"/>
      <c r="AD70" s="533"/>
      <c r="AE70" s="533"/>
      <c r="AF70" s="533"/>
      <c r="AG70" s="528" t="s">
        <v>1143</v>
      </c>
      <c r="AH70" s="528" t="s">
        <v>1144</v>
      </c>
      <c r="AI70" s="333">
        <v>2</v>
      </c>
      <c r="AJ70" s="333">
        <v>4</v>
      </c>
      <c r="AK70" s="483">
        <v>0.33329999999999999</v>
      </c>
      <c r="AL70" s="483">
        <v>0.66659999999999997</v>
      </c>
      <c r="AM70" s="525" t="s">
        <v>1124</v>
      </c>
      <c r="AN70" s="528">
        <v>0</v>
      </c>
      <c r="AO70" s="528">
        <v>0</v>
      </c>
      <c r="AP70" s="528">
        <v>0</v>
      </c>
      <c r="AQ70" s="528">
        <v>0</v>
      </c>
      <c r="AR70" s="528">
        <v>0</v>
      </c>
      <c r="AS70" s="528">
        <v>0</v>
      </c>
      <c r="AT70" s="528">
        <v>0</v>
      </c>
      <c r="AU70" s="528">
        <v>0</v>
      </c>
      <c r="AV70" s="528">
        <v>0</v>
      </c>
      <c r="AW70" s="528">
        <v>0</v>
      </c>
      <c r="AX70" s="528">
        <v>0</v>
      </c>
      <c r="AY70" s="528">
        <v>0</v>
      </c>
      <c r="AZ70" s="528"/>
      <c r="BA70" s="528" t="s">
        <v>1145</v>
      </c>
      <c r="BB70" s="528"/>
      <c r="BC70" s="528" t="s">
        <v>1145</v>
      </c>
      <c r="BD70" s="528"/>
      <c r="BE70" s="528"/>
      <c r="BF70" s="564">
        <v>45351</v>
      </c>
      <c r="BG70" s="529"/>
      <c r="BH70" s="525"/>
      <c r="BI70" s="528"/>
      <c r="BJ70" s="528" t="s">
        <v>1146</v>
      </c>
      <c r="BK70" s="528"/>
      <c r="BL70" s="529"/>
      <c r="BM70" s="529" t="s">
        <v>1721</v>
      </c>
      <c r="BN70" s="525" t="s">
        <v>368</v>
      </c>
    </row>
    <row r="71" spans="1:66" ht="13" customHeight="1" x14ac:dyDescent="0.2">
      <c r="A71" s="525">
        <v>3371</v>
      </c>
      <c r="B71" s="565">
        <v>44937</v>
      </c>
      <c r="C71" s="526" t="s">
        <v>1138</v>
      </c>
      <c r="D71" s="525" t="s">
        <v>1113</v>
      </c>
      <c r="E71" s="527">
        <v>44927</v>
      </c>
      <c r="F71" s="529" t="s">
        <v>1166</v>
      </c>
      <c r="G71" s="525" t="s">
        <v>1651</v>
      </c>
      <c r="H71" s="532">
        <v>87.72727272727272</v>
      </c>
      <c r="I71" s="531"/>
      <c r="J71" s="568"/>
      <c r="K71" s="568"/>
      <c r="L71" s="568"/>
      <c r="M71" s="525"/>
      <c r="N71" s="525"/>
      <c r="O71" s="532">
        <v>2.2181818181818178</v>
      </c>
      <c r="P71" s="532">
        <v>0</v>
      </c>
      <c r="Q71" s="532">
        <v>0</v>
      </c>
      <c r="R71" s="532">
        <v>0</v>
      </c>
      <c r="S71" s="532">
        <v>0</v>
      </c>
      <c r="T71" s="533"/>
      <c r="U71" s="532">
        <v>2.2181818181818178</v>
      </c>
      <c r="V71" s="532">
        <v>0</v>
      </c>
      <c r="W71" s="532">
        <v>0</v>
      </c>
      <c r="X71" s="532">
        <v>0</v>
      </c>
      <c r="Y71" s="532">
        <v>0</v>
      </c>
      <c r="Z71" s="533"/>
      <c r="AA71" s="533"/>
      <c r="AB71" s="533"/>
      <c r="AC71" s="533"/>
      <c r="AD71" s="533"/>
      <c r="AE71" s="533"/>
      <c r="AF71" s="533"/>
      <c r="AG71" s="528" t="s">
        <v>1145</v>
      </c>
      <c r="AH71" s="528"/>
      <c r="AI71" s="528">
        <v>3</v>
      </c>
      <c r="AJ71" s="528">
        <v>3</v>
      </c>
      <c r="AK71" s="480">
        <v>0.5</v>
      </c>
      <c r="AL71" s="480">
        <v>0.5</v>
      </c>
      <c r="AM71" s="525"/>
      <c r="AN71" s="528">
        <v>0</v>
      </c>
      <c r="AO71" s="528">
        <v>0</v>
      </c>
      <c r="AP71" s="528">
        <v>0</v>
      </c>
      <c r="AQ71" s="528">
        <v>0</v>
      </c>
      <c r="AR71" s="528">
        <v>0</v>
      </c>
      <c r="AS71" s="528">
        <v>0</v>
      </c>
      <c r="AT71" s="528">
        <v>0</v>
      </c>
      <c r="AU71" s="528">
        <v>0</v>
      </c>
      <c r="AV71" s="528">
        <v>0</v>
      </c>
      <c r="AW71" s="528">
        <v>0</v>
      </c>
      <c r="AX71" s="528">
        <v>0</v>
      </c>
      <c r="AY71" s="528">
        <v>0</v>
      </c>
      <c r="AZ71" s="528"/>
      <c r="BA71" s="528" t="s">
        <v>1145</v>
      </c>
      <c r="BB71" s="528">
        <v>12</v>
      </c>
      <c r="BC71" s="528" t="s">
        <v>1145</v>
      </c>
      <c r="BD71" s="528"/>
      <c r="BE71" s="528"/>
      <c r="BF71" s="528"/>
      <c r="BG71" s="529"/>
      <c r="BH71" s="525"/>
      <c r="BI71" s="528"/>
      <c r="BJ71" s="528" t="s">
        <v>1146</v>
      </c>
      <c r="BK71" s="528"/>
      <c r="BL71" s="529"/>
      <c r="BM71" s="525" t="s">
        <v>430</v>
      </c>
      <c r="BN71" s="525" t="s">
        <v>408</v>
      </c>
    </row>
    <row r="72" spans="1:66" ht="13" customHeight="1" x14ac:dyDescent="0.2">
      <c r="A72" s="525">
        <v>2399</v>
      </c>
      <c r="B72" s="565">
        <v>44937</v>
      </c>
      <c r="C72" s="526" t="s">
        <v>1138</v>
      </c>
      <c r="D72" s="525" t="s">
        <v>1113</v>
      </c>
      <c r="E72" s="570">
        <v>44896</v>
      </c>
      <c r="F72" s="529" t="s">
        <v>1168</v>
      </c>
      <c r="G72" s="525" t="s">
        <v>1297</v>
      </c>
      <c r="H72" s="532">
        <v>91.7</v>
      </c>
      <c r="I72" s="531" t="s">
        <v>296</v>
      </c>
      <c r="J72" s="459">
        <v>6000</v>
      </c>
      <c r="K72" s="459">
        <v>12000</v>
      </c>
      <c r="L72" s="459">
        <v>84000</v>
      </c>
      <c r="M72" s="459">
        <v>84000</v>
      </c>
      <c r="N72" s="525"/>
      <c r="O72" s="532">
        <v>2.2545454545454544</v>
      </c>
      <c r="P72" s="532">
        <v>2.1999999999999997</v>
      </c>
      <c r="Q72" s="532">
        <v>2.0545454545454542</v>
      </c>
      <c r="R72" s="532">
        <v>0</v>
      </c>
      <c r="S72" s="532">
        <v>2</v>
      </c>
      <c r="T72" s="533"/>
      <c r="U72" s="532">
        <v>2.1999999999999997</v>
      </c>
      <c r="V72" s="532">
        <v>2.1545454545454543</v>
      </c>
      <c r="W72" s="532">
        <v>2.0272727272727269</v>
      </c>
      <c r="X72" s="532">
        <v>0</v>
      </c>
      <c r="Y72" s="532">
        <v>1.9818181818181817</v>
      </c>
      <c r="Z72" s="533"/>
      <c r="AA72" s="533"/>
      <c r="AB72" s="533"/>
      <c r="AC72" s="533"/>
      <c r="AD72" s="533"/>
      <c r="AE72" s="533"/>
      <c r="AF72" s="533"/>
      <c r="AG72" s="528" t="s">
        <v>1143</v>
      </c>
      <c r="AH72" s="528" t="s">
        <v>1144</v>
      </c>
      <c r="AI72" s="333">
        <v>2</v>
      </c>
      <c r="AJ72" s="333">
        <v>4</v>
      </c>
      <c r="AK72" s="483">
        <v>0.33329999999999999</v>
      </c>
      <c r="AL72" s="483">
        <v>0.66659999999999997</v>
      </c>
      <c r="AM72" s="525" t="s">
        <v>1124</v>
      </c>
      <c r="AN72" s="528">
        <v>0</v>
      </c>
      <c r="AO72" s="528">
        <v>0</v>
      </c>
      <c r="AP72" s="528">
        <v>0</v>
      </c>
      <c r="AQ72" s="528">
        <v>0</v>
      </c>
      <c r="AR72" s="528">
        <v>0</v>
      </c>
      <c r="AS72" s="528">
        <v>0</v>
      </c>
      <c r="AT72" s="528">
        <v>0</v>
      </c>
      <c r="AU72" s="528">
        <v>0</v>
      </c>
      <c r="AV72" s="528">
        <v>0</v>
      </c>
      <c r="AW72" s="528">
        <v>0</v>
      </c>
      <c r="AX72" s="528">
        <v>0</v>
      </c>
      <c r="AY72" s="528">
        <v>0</v>
      </c>
      <c r="AZ72" s="528"/>
      <c r="BA72" s="528" t="s">
        <v>1145</v>
      </c>
      <c r="BB72" s="528"/>
      <c r="BC72" s="528" t="s">
        <v>1145</v>
      </c>
      <c r="BD72" s="528"/>
      <c r="BE72" s="528"/>
      <c r="BF72" s="528"/>
      <c r="BG72" s="529"/>
      <c r="BH72" s="525"/>
      <c r="BI72" s="528"/>
      <c r="BJ72" s="528" t="s">
        <v>1146</v>
      </c>
      <c r="BK72" s="528"/>
      <c r="BL72" s="529"/>
      <c r="BM72" s="529" t="s">
        <v>1722</v>
      </c>
      <c r="BN72" s="525" t="s">
        <v>368</v>
      </c>
    </row>
    <row r="73" spans="1:66" ht="13" customHeight="1" x14ac:dyDescent="0.2">
      <c r="A73" s="525">
        <v>270</v>
      </c>
      <c r="B73" s="565">
        <v>44937</v>
      </c>
      <c r="C73" s="526" t="s">
        <v>1138</v>
      </c>
      <c r="D73" s="525" t="s">
        <v>1113</v>
      </c>
      <c r="E73" s="527">
        <v>44907</v>
      </c>
      <c r="F73" s="529" t="s">
        <v>1169</v>
      </c>
      <c r="G73" s="525" t="s">
        <v>1698</v>
      </c>
      <c r="H73" s="532">
        <v>87.654545454545456</v>
      </c>
      <c r="I73" s="531" t="s">
        <v>296</v>
      </c>
      <c r="J73" s="459">
        <v>6000</v>
      </c>
      <c r="K73" s="459">
        <v>12000</v>
      </c>
      <c r="L73" s="459">
        <v>84000</v>
      </c>
      <c r="M73" s="459">
        <v>84000</v>
      </c>
      <c r="N73" s="525"/>
      <c r="O73" s="532">
        <v>2.9363636363636361</v>
      </c>
      <c r="P73" s="532">
        <v>2.9</v>
      </c>
      <c r="Q73" s="532">
        <v>2.2999999999999998</v>
      </c>
      <c r="R73" s="532">
        <v>0</v>
      </c>
      <c r="S73" s="532">
        <v>2.2909090909090906</v>
      </c>
      <c r="T73" s="533"/>
      <c r="U73" s="532">
        <v>2.4</v>
      </c>
      <c r="V73" s="532">
        <v>2.3545454545454541</v>
      </c>
      <c r="W73" s="532">
        <v>2.2181818181818178</v>
      </c>
      <c r="X73" s="532">
        <v>0</v>
      </c>
      <c r="Y73" s="532">
        <v>2.0636363636363635</v>
      </c>
      <c r="Z73" s="533"/>
      <c r="AA73" s="533"/>
      <c r="AB73" s="533"/>
      <c r="AC73" s="533"/>
      <c r="AD73" s="533"/>
      <c r="AE73" s="533"/>
      <c r="AF73" s="533"/>
      <c r="AG73" s="528" t="s">
        <v>1143</v>
      </c>
      <c r="AH73" s="528" t="s">
        <v>1144</v>
      </c>
      <c r="AI73" s="333">
        <v>2</v>
      </c>
      <c r="AJ73" s="333">
        <v>4</v>
      </c>
      <c r="AK73" s="483">
        <v>0.33329999999999999</v>
      </c>
      <c r="AL73" s="483">
        <v>0.66659999999999997</v>
      </c>
      <c r="AM73" s="525" t="s">
        <v>1124</v>
      </c>
      <c r="AN73" s="528">
        <v>6</v>
      </c>
      <c r="AO73" s="528">
        <v>0</v>
      </c>
      <c r="AP73" s="528">
        <v>0</v>
      </c>
      <c r="AQ73" s="528">
        <v>0</v>
      </c>
      <c r="AR73" s="528">
        <v>0</v>
      </c>
      <c r="AS73" s="528">
        <v>0</v>
      </c>
      <c r="AT73" s="528">
        <v>0</v>
      </c>
      <c r="AU73" s="528">
        <v>0</v>
      </c>
      <c r="AV73" s="528">
        <v>0</v>
      </c>
      <c r="AW73" s="528">
        <v>0</v>
      </c>
      <c r="AX73" s="528">
        <v>0</v>
      </c>
      <c r="AY73" s="528">
        <v>0</v>
      </c>
      <c r="AZ73" s="528"/>
      <c r="BA73" s="528" t="s">
        <v>1145</v>
      </c>
      <c r="BB73" s="528"/>
      <c r="BC73" s="528" t="s">
        <v>1145</v>
      </c>
      <c r="BD73" s="528"/>
      <c r="BE73" s="528"/>
      <c r="BF73" s="528"/>
      <c r="BG73" s="529"/>
      <c r="BH73" s="525"/>
      <c r="BI73" s="528"/>
      <c r="BJ73" s="528" t="s">
        <v>1146</v>
      </c>
      <c r="BK73" s="528"/>
      <c r="BL73" s="529"/>
      <c r="BM73" s="529" t="s">
        <v>430</v>
      </c>
      <c r="BN73" s="525" t="s">
        <v>368</v>
      </c>
    </row>
    <row r="74" spans="1:66" ht="13" customHeight="1" x14ac:dyDescent="0.2">
      <c r="A74" s="525">
        <v>1687</v>
      </c>
      <c r="B74" s="565">
        <v>44938</v>
      </c>
      <c r="C74" s="526" t="s">
        <v>295</v>
      </c>
      <c r="D74" s="525" t="s">
        <v>1113</v>
      </c>
      <c r="E74" s="527">
        <v>44926</v>
      </c>
      <c r="F74" s="529" t="s">
        <v>1106</v>
      </c>
      <c r="G74" s="525" t="s">
        <v>2</v>
      </c>
      <c r="H74" s="532">
        <v>82</v>
      </c>
      <c r="I74" s="531" t="s">
        <v>296</v>
      </c>
      <c r="J74" s="459">
        <v>6000</v>
      </c>
      <c r="K74" s="459">
        <v>6000</v>
      </c>
      <c r="L74" s="459">
        <v>6000</v>
      </c>
      <c r="M74" s="459">
        <v>6000</v>
      </c>
      <c r="N74" s="525"/>
      <c r="O74" s="532">
        <v>2.2999999999999998</v>
      </c>
      <c r="P74" s="532">
        <v>0</v>
      </c>
      <c r="Q74" s="532">
        <v>0</v>
      </c>
      <c r="R74" s="532">
        <v>0</v>
      </c>
      <c r="S74" s="532">
        <v>2.2545454545454544</v>
      </c>
      <c r="T74" s="533"/>
      <c r="U74" s="532">
        <v>2.2999999999999998</v>
      </c>
      <c r="V74" s="532">
        <v>0</v>
      </c>
      <c r="W74" s="532">
        <v>0</v>
      </c>
      <c r="X74" s="532">
        <v>0</v>
      </c>
      <c r="Y74" s="532">
        <v>2.2545454545454544</v>
      </c>
      <c r="Z74" s="533"/>
      <c r="AA74" s="533"/>
      <c r="AB74" s="533"/>
      <c r="AC74" s="533"/>
      <c r="AD74" s="533"/>
      <c r="AE74" s="533"/>
      <c r="AF74" s="533"/>
      <c r="AG74" s="528" t="s">
        <v>297</v>
      </c>
      <c r="AH74" s="528" t="s">
        <v>298</v>
      </c>
      <c r="AI74" s="333">
        <v>2</v>
      </c>
      <c r="AJ74" s="333">
        <v>4</v>
      </c>
      <c r="AK74" s="483">
        <v>0.33329999999999999</v>
      </c>
      <c r="AL74" s="483">
        <v>0.66659999999999997</v>
      </c>
      <c r="AM74" s="525" t="s">
        <v>1124</v>
      </c>
      <c r="AN74" s="528">
        <v>0</v>
      </c>
      <c r="AO74" s="528">
        <v>0</v>
      </c>
      <c r="AP74" s="528">
        <v>2</v>
      </c>
      <c r="AQ74" s="528">
        <v>0</v>
      </c>
      <c r="AR74" s="528">
        <v>0</v>
      </c>
      <c r="AS74" s="528">
        <v>0</v>
      </c>
      <c r="AT74" s="528">
        <v>0</v>
      </c>
      <c r="AU74" s="528">
        <v>0</v>
      </c>
      <c r="AV74" s="528">
        <v>0</v>
      </c>
      <c r="AW74" s="528">
        <v>0</v>
      </c>
      <c r="AX74" s="528">
        <v>0</v>
      </c>
      <c r="AY74" s="528">
        <v>0</v>
      </c>
      <c r="AZ74" s="528"/>
      <c r="BA74" s="528" t="s">
        <v>1145</v>
      </c>
      <c r="BB74" s="528"/>
      <c r="BC74" s="528" t="s">
        <v>1145</v>
      </c>
      <c r="BD74" s="528"/>
      <c r="BE74" s="528"/>
      <c r="BF74" s="529"/>
      <c r="BG74" s="529" t="s">
        <v>1700</v>
      </c>
      <c r="BH74" s="525" t="s">
        <v>365</v>
      </c>
      <c r="BI74" s="528">
        <v>60</v>
      </c>
      <c r="BJ74" s="528" t="s">
        <v>1146</v>
      </c>
      <c r="BK74" s="528">
        <v>1</v>
      </c>
      <c r="BL74" s="525" t="s">
        <v>1701</v>
      </c>
      <c r="BM74" s="529" t="s">
        <v>1723</v>
      </c>
      <c r="BN74" s="525" t="s">
        <v>408</v>
      </c>
    </row>
    <row r="75" spans="1:66" ht="13" customHeight="1" x14ac:dyDescent="0.2">
      <c r="A75" s="525">
        <v>2744</v>
      </c>
      <c r="B75" s="565">
        <v>44937</v>
      </c>
      <c r="C75" s="526" t="s">
        <v>1138</v>
      </c>
      <c r="D75" s="525" t="s">
        <v>1113</v>
      </c>
      <c r="E75" s="527">
        <v>44927</v>
      </c>
      <c r="F75" s="525" t="s">
        <v>1274</v>
      </c>
      <c r="G75" s="525" t="s">
        <v>1467</v>
      </c>
      <c r="H75" s="532">
        <v>90.999999999999986</v>
      </c>
      <c r="I75" s="531" t="s">
        <v>296</v>
      </c>
      <c r="J75" s="409">
        <v>6000</v>
      </c>
      <c r="K75" s="332">
        <v>13500</v>
      </c>
      <c r="L75" s="332">
        <v>13500</v>
      </c>
      <c r="M75" s="332">
        <v>13500</v>
      </c>
      <c r="N75" s="332"/>
      <c r="O75" s="532">
        <v>3.4</v>
      </c>
      <c r="P75" s="532">
        <v>3.3</v>
      </c>
      <c r="Q75" s="532">
        <v>0</v>
      </c>
      <c r="R75" s="532">
        <v>0</v>
      </c>
      <c r="S75" s="532">
        <v>2.7</v>
      </c>
      <c r="T75" s="571"/>
      <c r="U75" s="532">
        <v>3.4</v>
      </c>
      <c r="V75" s="532">
        <v>3.3</v>
      </c>
      <c r="W75" s="532">
        <v>0</v>
      </c>
      <c r="X75" s="532">
        <v>0</v>
      </c>
      <c r="Y75" s="532">
        <v>2.7</v>
      </c>
      <c r="Z75" s="571"/>
      <c r="AA75" s="571"/>
      <c r="AB75" s="571"/>
      <c r="AC75" s="571"/>
      <c r="AD75" s="571"/>
      <c r="AE75" s="571"/>
      <c r="AF75" s="571"/>
      <c r="AG75" s="333" t="s">
        <v>1145</v>
      </c>
      <c r="AH75" s="333"/>
      <c r="AI75" s="528">
        <v>3</v>
      </c>
      <c r="AJ75" s="528">
        <v>3</v>
      </c>
      <c r="AK75" s="480">
        <v>0.5</v>
      </c>
      <c r="AL75" s="480">
        <v>0.5</v>
      </c>
      <c r="AM75" s="525"/>
      <c r="AN75" s="528">
        <v>0</v>
      </c>
      <c r="AO75" s="528">
        <v>7</v>
      </c>
      <c r="AP75" s="528">
        <v>0</v>
      </c>
      <c r="AQ75" s="528">
        <v>3</v>
      </c>
      <c r="AR75" s="528">
        <v>0</v>
      </c>
      <c r="AS75" s="528">
        <v>0</v>
      </c>
      <c r="AT75" s="528">
        <v>0</v>
      </c>
      <c r="AU75" s="528">
        <v>0</v>
      </c>
      <c r="AV75" s="528">
        <v>0</v>
      </c>
      <c r="AW75" s="528">
        <v>0</v>
      </c>
      <c r="AX75" s="528">
        <v>0</v>
      </c>
      <c r="AY75" s="528">
        <v>0</v>
      </c>
      <c r="AZ75" s="528"/>
      <c r="BA75" s="528" t="s">
        <v>1145</v>
      </c>
      <c r="BB75" s="528"/>
      <c r="BC75" s="528" t="s">
        <v>1145</v>
      </c>
      <c r="BD75" s="528"/>
      <c r="BE75" s="528"/>
      <c r="BF75" s="528"/>
      <c r="BG75" s="529"/>
      <c r="BH75" s="525"/>
      <c r="BI75" s="528"/>
      <c r="BJ75" s="528" t="s">
        <v>1146</v>
      </c>
      <c r="BK75" s="528">
        <v>1</v>
      </c>
      <c r="BL75" s="529"/>
      <c r="BM75" s="529" t="s">
        <v>1724</v>
      </c>
      <c r="BN75" s="525" t="s">
        <v>408</v>
      </c>
    </row>
    <row r="76" spans="1:66" ht="13" customHeight="1" x14ac:dyDescent="0.2">
      <c r="A76" s="525">
        <v>2935</v>
      </c>
      <c r="B76" s="565">
        <v>44937</v>
      </c>
      <c r="C76" s="526" t="s">
        <v>1138</v>
      </c>
      <c r="D76" s="525" t="s">
        <v>1113</v>
      </c>
      <c r="E76" s="527">
        <v>44853</v>
      </c>
      <c r="F76" s="525" t="s">
        <v>1483</v>
      </c>
      <c r="G76" s="525" t="s">
        <v>1550</v>
      </c>
      <c r="H76" s="532">
        <v>124</v>
      </c>
      <c r="I76" s="531" t="s">
        <v>296</v>
      </c>
      <c r="J76" s="459">
        <v>6000</v>
      </c>
      <c r="K76" s="459">
        <v>12000</v>
      </c>
      <c r="L76" s="459">
        <v>84000</v>
      </c>
      <c r="M76" s="459">
        <v>84000</v>
      </c>
      <c r="N76" s="332"/>
      <c r="O76" s="532">
        <v>1.918181818181818</v>
      </c>
      <c r="P76" s="532">
        <v>1.8090909090909089</v>
      </c>
      <c r="Q76" s="532">
        <v>1.6181818181818182</v>
      </c>
      <c r="R76" s="532">
        <v>0</v>
      </c>
      <c r="S76" s="532">
        <v>1.6090909090909089</v>
      </c>
      <c r="T76" s="571"/>
      <c r="U76" s="532">
        <v>1.4727272727272727</v>
      </c>
      <c r="V76" s="532">
        <v>1.4636363636363636</v>
      </c>
      <c r="W76" s="532">
        <v>1.4181818181818182</v>
      </c>
      <c r="X76" s="532">
        <v>0</v>
      </c>
      <c r="Y76" s="532">
        <v>1.3727272727272726</v>
      </c>
      <c r="Z76" s="571"/>
      <c r="AA76" s="571"/>
      <c r="AB76" s="571"/>
      <c r="AC76" s="571"/>
      <c r="AD76" s="571"/>
      <c r="AE76" s="571"/>
      <c r="AF76" s="571"/>
      <c r="AG76" s="333" t="s">
        <v>1143</v>
      </c>
      <c r="AH76" s="333" t="s">
        <v>1144</v>
      </c>
      <c r="AI76" s="333">
        <v>2</v>
      </c>
      <c r="AJ76" s="333">
        <v>4</v>
      </c>
      <c r="AK76" s="483">
        <v>0.33329999999999999</v>
      </c>
      <c r="AL76" s="483">
        <v>0.66659999999999997</v>
      </c>
      <c r="AM76" s="525" t="s">
        <v>1124</v>
      </c>
      <c r="AN76" s="528">
        <v>0</v>
      </c>
      <c r="AO76" s="528">
        <v>0</v>
      </c>
      <c r="AP76" s="528">
        <v>0</v>
      </c>
      <c r="AQ76" s="528">
        <v>0</v>
      </c>
      <c r="AR76" s="528">
        <v>0</v>
      </c>
      <c r="AS76" s="528">
        <v>0</v>
      </c>
      <c r="AT76" s="528">
        <v>0</v>
      </c>
      <c r="AU76" s="528">
        <v>0</v>
      </c>
      <c r="AV76" s="528">
        <v>0</v>
      </c>
      <c r="AW76" s="528">
        <v>0</v>
      </c>
      <c r="AX76" s="528">
        <v>0</v>
      </c>
      <c r="AY76" s="528">
        <v>0</v>
      </c>
      <c r="AZ76" s="528"/>
      <c r="BA76" s="528" t="s">
        <v>1145</v>
      </c>
      <c r="BB76" s="528"/>
      <c r="BC76" s="528" t="s">
        <v>1145</v>
      </c>
      <c r="BD76" s="528"/>
      <c r="BE76" s="528"/>
      <c r="BF76" s="564"/>
      <c r="BG76" s="529"/>
      <c r="BH76" s="525"/>
      <c r="BI76" s="528"/>
      <c r="BJ76" s="528" t="s">
        <v>4</v>
      </c>
      <c r="BK76" s="528"/>
      <c r="BL76" s="529"/>
      <c r="BM76" s="525" t="s">
        <v>1725</v>
      </c>
      <c r="BN76" s="525" t="s">
        <v>368</v>
      </c>
    </row>
    <row r="77" spans="1:66" ht="16" x14ac:dyDescent="0.2">
      <c r="A77" s="525">
        <v>3703</v>
      </c>
      <c r="B77" s="565">
        <v>44939</v>
      </c>
      <c r="C77" s="526" t="s">
        <v>1138</v>
      </c>
      <c r="D77" s="525" t="s">
        <v>1113</v>
      </c>
      <c r="E77" s="527">
        <v>44927</v>
      </c>
      <c r="F77" s="525" t="s">
        <v>1057</v>
      </c>
      <c r="G77" s="525" t="s">
        <v>1734</v>
      </c>
      <c r="H77" s="340">
        <v>116.39999999999998</v>
      </c>
      <c r="I77" s="531" t="s">
        <v>296</v>
      </c>
      <c r="J77" s="459">
        <v>6000</v>
      </c>
      <c r="K77" s="459">
        <v>12000</v>
      </c>
      <c r="L77" s="459">
        <v>84000</v>
      </c>
      <c r="M77" s="459">
        <v>84000</v>
      </c>
      <c r="N77" s="297"/>
      <c r="O77" s="340">
        <v>2.9</v>
      </c>
      <c r="P77" s="340">
        <v>2.8</v>
      </c>
      <c r="Q77" s="340">
        <v>2.5999999999999996</v>
      </c>
      <c r="R77" s="340">
        <v>0</v>
      </c>
      <c r="S77" s="340">
        <v>2.5999999999999996</v>
      </c>
      <c r="T77" s="571"/>
      <c r="U77" s="340">
        <v>2.5999999999999996</v>
      </c>
      <c r="V77" s="340">
        <v>2.5999999999999996</v>
      </c>
      <c r="W77" s="340">
        <v>2.5</v>
      </c>
      <c r="X77" s="340">
        <v>0</v>
      </c>
      <c r="Y77" s="340">
        <v>2.5</v>
      </c>
      <c r="Z77" s="297"/>
      <c r="AA77" s="297"/>
      <c r="AB77" s="297"/>
      <c r="AC77" s="297"/>
      <c r="AD77" s="297"/>
      <c r="AE77" s="297"/>
      <c r="AF77" s="297"/>
      <c r="AG77" s="333" t="s">
        <v>1143</v>
      </c>
      <c r="AH77" s="333" t="s">
        <v>1144</v>
      </c>
      <c r="AI77" s="333">
        <v>2</v>
      </c>
      <c r="AJ77" s="333">
        <v>4</v>
      </c>
      <c r="AK77" s="483">
        <v>0.33329999999999999</v>
      </c>
      <c r="AL77" s="483">
        <v>0.66659999999999997</v>
      </c>
      <c r="AM77" s="525" t="s">
        <v>1124</v>
      </c>
      <c r="AN77" s="528">
        <v>0</v>
      </c>
      <c r="AO77" s="528">
        <v>0</v>
      </c>
      <c r="AP77" s="528">
        <v>0</v>
      </c>
      <c r="AQ77" s="528">
        <v>0</v>
      </c>
      <c r="AR77" s="528">
        <v>0</v>
      </c>
      <c r="AS77" s="528">
        <v>0</v>
      </c>
      <c r="AT77" s="528">
        <v>0</v>
      </c>
      <c r="AU77" s="528">
        <v>0</v>
      </c>
      <c r="AV77" s="528">
        <v>0</v>
      </c>
      <c r="AW77" s="528">
        <v>0</v>
      </c>
      <c r="AX77" s="528">
        <v>0</v>
      </c>
      <c r="AY77" s="528">
        <v>0</v>
      </c>
      <c r="AZ77" s="528"/>
      <c r="BA77" s="528" t="s">
        <v>1145</v>
      </c>
      <c r="BB77" s="528"/>
      <c r="BC77" s="528" t="s">
        <v>1145</v>
      </c>
      <c r="BD77" s="528"/>
      <c r="BE77" s="528"/>
      <c r="BF77" s="528"/>
      <c r="BG77" s="529"/>
      <c r="BH77" s="525"/>
      <c r="BI77" s="528"/>
      <c r="BJ77" s="528" t="s">
        <v>1146</v>
      </c>
      <c r="BK77" s="528"/>
      <c r="BL77" s="529" t="s">
        <v>1735</v>
      </c>
      <c r="BM77" s="569" t="s">
        <v>1739</v>
      </c>
      <c r="BN77" s="525" t="s">
        <v>1121</v>
      </c>
    </row>
    <row r="78" spans="1:66" ht="13" customHeight="1" x14ac:dyDescent="0.2">
      <c r="A78" s="525">
        <v>3633</v>
      </c>
      <c r="B78" s="565">
        <v>44937</v>
      </c>
      <c r="C78" s="526" t="s">
        <v>1138</v>
      </c>
      <c r="D78" s="525" t="s">
        <v>1113</v>
      </c>
      <c r="E78" s="527">
        <v>44935</v>
      </c>
      <c r="F78" s="525" t="s">
        <v>1173</v>
      </c>
      <c r="G78" s="525" t="s">
        <v>1705</v>
      </c>
      <c r="H78" s="532">
        <v>104.99999999999999</v>
      </c>
      <c r="I78" s="531" t="s">
        <v>296</v>
      </c>
      <c r="J78" s="409">
        <v>18000</v>
      </c>
      <c r="K78" s="409">
        <v>18000</v>
      </c>
      <c r="L78" s="409">
        <v>18000</v>
      </c>
      <c r="M78" s="409">
        <v>18000</v>
      </c>
      <c r="N78" s="332"/>
      <c r="O78" s="532">
        <v>5.0999999999999996</v>
      </c>
      <c r="P78" s="532">
        <v>0</v>
      </c>
      <c r="Q78" s="532">
        <v>0</v>
      </c>
      <c r="R78" s="532">
        <v>0</v>
      </c>
      <c r="S78" s="532">
        <v>4.5</v>
      </c>
      <c r="T78" s="571"/>
      <c r="U78" s="532">
        <v>3.9</v>
      </c>
      <c r="V78" s="532">
        <v>0</v>
      </c>
      <c r="W78" s="532">
        <v>0</v>
      </c>
      <c r="X78" s="532">
        <v>0</v>
      </c>
      <c r="Y78" s="532">
        <v>3.3</v>
      </c>
      <c r="Z78" s="571"/>
      <c r="AA78" s="571"/>
      <c r="AB78" s="571"/>
      <c r="AC78" s="571"/>
      <c r="AD78" s="571"/>
      <c r="AE78" s="571"/>
      <c r="AF78" s="571"/>
      <c r="AG78" s="333" t="s">
        <v>1143</v>
      </c>
      <c r="AH78" s="333" t="s">
        <v>1144</v>
      </c>
      <c r="AI78" s="333">
        <v>2</v>
      </c>
      <c r="AJ78" s="333">
        <v>4</v>
      </c>
      <c r="AK78" s="483">
        <v>0.33329999999999999</v>
      </c>
      <c r="AL78" s="483">
        <v>0.66659999999999997</v>
      </c>
      <c r="AM78" s="525" t="s">
        <v>1124</v>
      </c>
      <c r="AN78" s="528">
        <v>0</v>
      </c>
      <c r="AO78" s="528">
        <v>0</v>
      </c>
      <c r="AP78" s="528">
        <v>0</v>
      </c>
      <c r="AQ78" s="528">
        <v>0</v>
      </c>
      <c r="AR78" s="528">
        <v>0</v>
      </c>
      <c r="AS78" s="528">
        <v>0</v>
      </c>
      <c r="AT78" s="528">
        <v>0</v>
      </c>
      <c r="AU78" s="528">
        <v>0</v>
      </c>
      <c r="AV78" s="528">
        <v>0</v>
      </c>
      <c r="AW78" s="528">
        <v>0</v>
      </c>
      <c r="AX78" s="528">
        <v>0</v>
      </c>
      <c r="AY78" s="528">
        <v>0</v>
      </c>
      <c r="AZ78" s="528"/>
      <c r="BA78" s="528" t="s">
        <v>1145</v>
      </c>
      <c r="BB78" s="528"/>
      <c r="BC78" s="528" t="s">
        <v>1145</v>
      </c>
      <c r="BD78" s="528"/>
      <c r="BE78" s="528"/>
      <c r="BF78" s="564"/>
      <c r="BG78" s="529"/>
      <c r="BH78" s="525"/>
      <c r="BI78" s="528"/>
      <c r="BJ78" s="528" t="s">
        <v>4</v>
      </c>
      <c r="BK78" s="528"/>
      <c r="BL78" s="529"/>
      <c r="BM78" s="525" t="s">
        <v>1726</v>
      </c>
      <c r="BN78" s="525" t="s">
        <v>408</v>
      </c>
    </row>
    <row r="79" spans="1:66" ht="13" customHeight="1" x14ac:dyDescent="0.2">
      <c r="A79" s="525">
        <v>3157</v>
      </c>
      <c r="B79" s="565">
        <v>44937</v>
      </c>
      <c r="C79" s="526" t="s">
        <v>1138</v>
      </c>
      <c r="D79" s="525" t="s">
        <v>1114</v>
      </c>
      <c r="E79" s="527">
        <v>44927</v>
      </c>
      <c r="F79" s="529" t="s">
        <v>1139</v>
      </c>
      <c r="G79" s="525" t="s">
        <v>1646</v>
      </c>
      <c r="H79" s="532">
        <v>92.499999999999986</v>
      </c>
      <c r="I79" s="531" t="s">
        <v>296</v>
      </c>
      <c r="J79" s="459">
        <v>6000</v>
      </c>
      <c r="K79" s="459">
        <v>12000</v>
      </c>
      <c r="L79" s="459">
        <v>84000</v>
      </c>
      <c r="M79" s="459">
        <v>84000</v>
      </c>
      <c r="N79" s="525"/>
      <c r="O79" s="532">
        <v>2.9818181818181815</v>
      </c>
      <c r="P79" s="532">
        <v>2.8909090909090907</v>
      </c>
      <c r="Q79" s="532">
        <v>1.7545454545454544</v>
      </c>
      <c r="R79" s="532">
        <v>0</v>
      </c>
      <c r="S79" s="532">
        <v>1.6636363636363636</v>
      </c>
      <c r="T79" s="533"/>
      <c r="U79" s="532">
        <v>2.5909090909090908</v>
      </c>
      <c r="V79" s="532">
        <v>2.2909090909090906</v>
      </c>
      <c r="W79" s="532">
        <v>1.718181818181818</v>
      </c>
      <c r="X79" s="532">
        <v>0</v>
      </c>
      <c r="Y79" s="532">
        <v>1.6272727272727272</v>
      </c>
      <c r="Z79" s="533"/>
      <c r="AA79" s="533"/>
      <c r="AB79" s="533"/>
      <c r="AC79" s="533"/>
      <c r="AD79" s="533"/>
      <c r="AE79" s="533"/>
      <c r="AF79" s="533"/>
      <c r="AG79" s="528" t="s">
        <v>1143</v>
      </c>
      <c r="AH79" s="528" t="s">
        <v>1144</v>
      </c>
      <c r="AI79" s="333">
        <v>2</v>
      </c>
      <c r="AJ79" s="333">
        <v>4</v>
      </c>
      <c r="AK79" s="483">
        <v>0.33329999999999999</v>
      </c>
      <c r="AL79" s="483">
        <v>0.66659999999999997</v>
      </c>
      <c r="AM79" s="525" t="s">
        <v>1124</v>
      </c>
      <c r="AN79" s="528">
        <v>0</v>
      </c>
      <c r="AO79" s="528">
        <v>0</v>
      </c>
      <c r="AP79" s="528">
        <v>0</v>
      </c>
      <c r="AQ79" s="528">
        <v>0</v>
      </c>
      <c r="AR79" s="528">
        <v>0</v>
      </c>
      <c r="AS79" s="528">
        <v>0</v>
      </c>
      <c r="AT79" s="528">
        <v>0</v>
      </c>
      <c r="AU79" s="528">
        <v>0</v>
      </c>
      <c r="AV79" s="528">
        <v>0</v>
      </c>
      <c r="AW79" s="528">
        <v>0</v>
      </c>
      <c r="AX79" s="528">
        <v>0</v>
      </c>
      <c r="AY79" s="528">
        <v>0</v>
      </c>
      <c r="AZ79" s="528"/>
      <c r="BA79" s="528" t="s">
        <v>1145</v>
      </c>
      <c r="BB79" s="528"/>
      <c r="BC79" s="528" t="s">
        <v>1145</v>
      </c>
      <c r="BD79" s="528"/>
      <c r="BE79" s="528"/>
      <c r="BF79" s="528"/>
      <c r="BG79" s="597"/>
      <c r="BH79" s="598"/>
      <c r="BI79" s="566"/>
      <c r="BJ79" s="528" t="s">
        <v>1146</v>
      </c>
      <c r="BK79" s="528"/>
      <c r="BL79" s="529" t="s">
        <v>1647</v>
      </c>
      <c r="BM79" s="529" t="s">
        <v>430</v>
      </c>
      <c r="BN79" s="525" t="s">
        <v>408</v>
      </c>
    </row>
    <row r="80" spans="1:66" ht="13" customHeight="1" x14ac:dyDescent="0.2">
      <c r="A80" s="525">
        <v>1045</v>
      </c>
      <c r="B80" s="565">
        <v>44937</v>
      </c>
      <c r="C80" s="526" t="s">
        <v>1138</v>
      </c>
      <c r="D80" s="525" t="s">
        <v>1114</v>
      </c>
      <c r="E80" s="527">
        <v>44805</v>
      </c>
      <c r="F80" s="529" t="s">
        <v>1148</v>
      </c>
      <c r="G80" s="525" t="s">
        <v>1280</v>
      </c>
      <c r="H80" s="532">
        <v>68.61818181818181</v>
      </c>
      <c r="I80" s="531" t="s">
        <v>296</v>
      </c>
      <c r="J80" s="459">
        <v>6000</v>
      </c>
      <c r="K80" s="459">
        <v>6000</v>
      </c>
      <c r="L80" s="459">
        <v>6000</v>
      </c>
      <c r="M80" s="459">
        <v>6000</v>
      </c>
      <c r="N80" s="525"/>
      <c r="O80" s="532">
        <v>2.4272727272727268</v>
      </c>
      <c r="P80" s="532">
        <v>0</v>
      </c>
      <c r="Q80" s="532">
        <v>0</v>
      </c>
      <c r="R80" s="532">
        <v>0</v>
      </c>
      <c r="S80" s="532">
        <v>1.8818181818181816</v>
      </c>
      <c r="T80" s="533"/>
      <c r="U80" s="532">
        <v>2.2545454545454544</v>
      </c>
      <c r="V80" s="532">
        <v>0</v>
      </c>
      <c r="W80" s="532">
        <v>0</v>
      </c>
      <c r="X80" s="532">
        <v>0</v>
      </c>
      <c r="Y80" s="532">
        <v>1.7999999999999998</v>
      </c>
      <c r="Z80" s="533"/>
      <c r="AA80" s="533"/>
      <c r="AB80" s="533"/>
      <c r="AC80" s="533"/>
      <c r="AD80" s="533"/>
      <c r="AE80" s="533"/>
      <c r="AF80" s="533"/>
      <c r="AG80" s="528" t="s">
        <v>1143</v>
      </c>
      <c r="AH80" s="528" t="s">
        <v>1144</v>
      </c>
      <c r="AI80" s="333">
        <v>2</v>
      </c>
      <c r="AJ80" s="333">
        <v>4</v>
      </c>
      <c r="AK80" s="483">
        <v>0.33329999999999999</v>
      </c>
      <c r="AL80" s="483">
        <v>0.66659999999999997</v>
      </c>
      <c r="AM80" s="525" t="s">
        <v>1124</v>
      </c>
      <c r="AN80" s="528">
        <v>0</v>
      </c>
      <c r="AO80" s="528">
        <v>0</v>
      </c>
      <c r="AP80" s="528">
        <v>0</v>
      </c>
      <c r="AQ80" s="528">
        <v>0</v>
      </c>
      <c r="AR80" s="528">
        <v>0</v>
      </c>
      <c r="AS80" s="528">
        <v>0</v>
      </c>
      <c r="AT80" s="528">
        <v>0</v>
      </c>
      <c r="AU80" s="528">
        <v>0</v>
      </c>
      <c r="AV80" s="528">
        <v>0</v>
      </c>
      <c r="AW80" s="528">
        <v>0</v>
      </c>
      <c r="AX80" s="528">
        <v>0</v>
      </c>
      <c r="AY80" s="528">
        <v>0</v>
      </c>
      <c r="AZ80" s="528"/>
      <c r="BA80" s="528" t="s">
        <v>1145</v>
      </c>
      <c r="BB80" s="528"/>
      <c r="BC80" s="528" t="s">
        <v>1145</v>
      </c>
      <c r="BD80" s="528"/>
      <c r="BE80" s="528"/>
      <c r="BF80" s="528"/>
      <c r="BG80" s="529"/>
      <c r="BH80" s="525"/>
      <c r="BI80" s="528"/>
      <c r="BJ80" s="528" t="s">
        <v>4</v>
      </c>
      <c r="BK80" s="528"/>
      <c r="BL80" s="529"/>
      <c r="BM80" s="525" t="s">
        <v>430</v>
      </c>
      <c r="BN80" s="525" t="s">
        <v>368</v>
      </c>
    </row>
    <row r="81" spans="1:68" ht="13" customHeight="1" x14ac:dyDescent="0.2">
      <c r="A81" s="525">
        <v>2557</v>
      </c>
      <c r="B81" s="565">
        <v>44937</v>
      </c>
      <c r="C81" s="526" t="s">
        <v>1138</v>
      </c>
      <c r="D81" s="525" t="s">
        <v>1114</v>
      </c>
      <c r="E81" s="527">
        <v>44720</v>
      </c>
      <c r="F81" s="525" t="s">
        <v>1052</v>
      </c>
      <c r="G81" s="525" t="s">
        <v>1181</v>
      </c>
      <c r="H81" s="532">
        <v>86.963636363636354</v>
      </c>
      <c r="I81" s="531" t="s">
        <v>296</v>
      </c>
      <c r="J81" s="459">
        <v>6000</v>
      </c>
      <c r="K81" s="459">
        <v>12000</v>
      </c>
      <c r="L81" s="459">
        <v>84000</v>
      </c>
      <c r="M81" s="459">
        <v>84000</v>
      </c>
      <c r="N81" s="332"/>
      <c r="O81" s="532">
        <v>2.2272727272727271</v>
      </c>
      <c r="P81" s="532">
        <v>1.9636363636363636</v>
      </c>
      <c r="Q81" s="532">
        <v>1.5999999999999999</v>
      </c>
      <c r="R81" s="532">
        <v>0</v>
      </c>
      <c r="S81" s="532">
        <v>1.5909090909090908</v>
      </c>
      <c r="T81" s="571"/>
      <c r="U81" s="532">
        <v>1.7909090909090908</v>
      </c>
      <c r="V81" s="532">
        <v>1.7399999999999998</v>
      </c>
      <c r="W81" s="532">
        <v>1.5990909090909089</v>
      </c>
      <c r="X81" s="532">
        <v>0</v>
      </c>
      <c r="Y81" s="532">
        <v>1.5554545454545454</v>
      </c>
      <c r="Z81" s="571"/>
      <c r="AA81" s="571"/>
      <c r="AB81" s="571"/>
      <c r="AC81" s="571"/>
      <c r="AD81" s="571"/>
      <c r="AE81" s="571"/>
      <c r="AF81" s="571"/>
      <c r="AG81" s="333" t="s">
        <v>297</v>
      </c>
      <c r="AH81" s="333" t="s">
        <v>298</v>
      </c>
      <c r="AI81" s="333">
        <v>2</v>
      </c>
      <c r="AJ81" s="333">
        <v>4</v>
      </c>
      <c r="AK81" s="483">
        <v>0.33329999999999999</v>
      </c>
      <c r="AL81" s="483">
        <v>0.66659999999999997</v>
      </c>
      <c r="AM81" s="525" t="s">
        <v>1124</v>
      </c>
      <c r="AN81" s="528">
        <v>0</v>
      </c>
      <c r="AO81" s="528">
        <v>0</v>
      </c>
      <c r="AP81" s="528">
        <v>0</v>
      </c>
      <c r="AQ81" s="528">
        <v>0</v>
      </c>
      <c r="AR81" s="528">
        <v>0</v>
      </c>
      <c r="AS81" s="528">
        <v>0</v>
      </c>
      <c r="AT81" s="528">
        <v>0</v>
      </c>
      <c r="AU81" s="528">
        <v>0</v>
      </c>
      <c r="AV81" s="528">
        <v>0</v>
      </c>
      <c r="AW81" s="528">
        <v>0</v>
      </c>
      <c r="AX81" s="528">
        <v>0</v>
      </c>
      <c r="AY81" s="528">
        <v>0</v>
      </c>
      <c r="AZ81" s="528"/>
      <c r="BA81" s="528" t="s">
        <v>1145</v>
      </c>
      <c r="BB81" s="528"/>
      <c r="BC81" s="528" t="s">
        <v>1145</v>
      </c>
      <c r="BD81" s="528"/>
      <c r="BE81" s="528"/>
      <c r="BF81" s="528"/>
      <c r="BG81" s="529"/>
      <c r="BH81" s="525"/>
      <c r="BI81" s="528"/>
      <c r="BJ81" s="528" t="s">
        <v>4</v>
      </c>
      <c r="BK81" s="528"/>
      <c r="BL81" s="529"/>
      <c r="BM81" s="529" t="s">
        <v>1448</v>
      </c>
      <c r="BN81" s="525" t="s">
        <v>368</v>
      </c>
    </row>
    <row r="82" spans="1:68" ht="13" customHeight="1" x14ac:dyDescent="0.2">
      <c r="A82" s="525">
        <v>3527</v>
      </c>
      <c r="B82" s="565">
        <v>44937</v>
      </c>
      <c r="C82" s="526" t="s">
        <v>1138</v>
      </c>
      <c r="D82" s="525" t="s">
        <v>1114</v>
      </c>
      <c r="E82" s="527">
        <v>44927</v>
      </c>
      <c r="F82" s="529" t="s">
        <v>1156</v>
      </c>
      <c r="G82" s="525" t="s">
        <v>1649</v>
      </c>
      <c r="H82" s="532">
        <v>124.7181818181818</v>
      </c>
      <c r="I82" s="531" t="s">
        <v>296</v>
      </c>
      <c r="J82" s="459">
        <v>6000</v>
      </c>
      <c r="K82" s="459">
        <v>12000</v>
      </c>
      <c r="L82" s="459">
        <v>84000</v>
      </c>
      <c r="M82" s="459">
        <v>84000</v>
      </c>
      <c r="N82" s="525"/>
      <c r="O82" s="532">
        <v>3.8272727272727267</v>
      </c>
      <c r="P82" s="532">
        <v>3.2454545454545451</v>
      </c>
      <c r="Q82" s="532">
        <v>2.5909090909090908</v>
      </c>
      <c r="R82" s="532">
        <v>0</v>
      </c>
      <c r="S82" s="532">
        <v>2.418181818181818</v>
      </c>
      <c r="T82" s="533"/>
      <c r="U82" s="532">
        <v>2.9727272727272727</v>
      </c>
      <c r="V82" s="532">
        <v>2.8272727272727267</v>
      </c>
      <c r="W82" s="532">
        <v>2.4636363636363634</v>
      </c>
      <c r="X82" s="532">
        <v>0</v>
      </c>
      <c r="Y82" s="532">
        <v>2.3727272727272726</v>
      </c>
      <c r="Z82" s="533"/>
      <c r="AA82" s="533"/>
      <c r="AB82" s="533"/>
      <c r="AC82" s="533"/>
      <c r="AD82" s="533"/>
      <c r="AE82" s="533"/>
      <c r="AF82" s="533"/>
      <c r="AG82" s="528" t="s">
        <v>1143</v>
      </c>
      <c r="AH82" s="528" t="s">
        <v>1144</v>
      </c>
      <c r="AI82" s="333">
        <v>2</v>
      </c>
      <c r="AJ82" s="333">
        <v>4</v>
      </c>
      <c r="AK82" s="483">
        <v>0.33329999999999999</v>
      </c>
      <c r="AL82" s="483">
        <v>0.66659999999999997</v>
      </c>
      <c r="AM82" s="525" t="s">
        <v>1124</v>
      </c>
      <c r="AN82" s="528">
        <v>12</v>
      </c>
      <c r="AO82" s="528">
        <v>0</v>
      </c>
      <c r="AP82" s="528">
        <v>0</v>
      </c>
      <c r="AQ82" s="528">
        <v>0</v>
      </c>
      <c r="AR82" s="528">
        <v>0</v>
      </c>
      <c r="AS82" s="528">
        <v>0</v>
      </c>
      <c r="AT82" s="528">
        <v>0</v>
      </c>
      <c r="AU82" s="528">
        <v>0</v>
      </c>
      <c r="AV82" s="528">
        <v>0</v>
      </c>
      <c r="AW82" s="528">
        <v>0</v>
      </c>
      <c r="AX82" s="528">
        <v>0</v>
      </c>
      <c r="AY82" s="528">
        <v>0</v>
      </c>
      <c r="AZ82" s="566">
        <v>12</v>
      </c>
      <c r="BA82" s="528" t="s">
        <v>1145</v>
      </c>
      <c r="BB82" s="528"/>
      <c r="BC82" s="528" t="s">
        <v>1145</v>
      </c>
      <c r="BD82" s="528"/>
      <c r="BE82" s="528"/>
      <c r="BF82" s="528"/>
      <c r="BG82" s="529"/>
      <c r="BH82" s="525"/>
      <c r="BI82" s="528"/>
      <c r="BJ82" s="528" t="s">
        <v>1146</v>
      </c>
      <c r="BK82" s="528"/>
      <c r="BL82" s="529"/>
      <c r="BM82" s="525" t="s">
        <v>430</v>
      </c>
      <c r="BN82" s="525" t="s">
        <v>408</v>
      </c>
    </row>
    <row r="83" spans="1:68" ht="13" customHeight="1" x14ac:dyDescent="0.2">
      <c r="A83" s="525">
        <v>2875</v>
      </c>
      <c r="B83" s="565">
        <v>44937</v>
      </c>
      <c r="C83" s="526" t="s">
        <v>1138</v>
      </c>
      <c r="D83" s="525" t="s">
        <v>1114</v>
      </c>
      <c r="E83" s="527">
        <v>44896</v>
      </c>
      <c r="F83" s="529" t="s">
        <v>1159</v>
      </c>
      <c r="G83" s="525" t="s">
        <v>1105</v>
      </c>
      <c r="H83" s="532">
        <v>91.7</v>
      </c>
      <c r="I83" s="531" t="s">
        <v>296</v>
      </c>
      <c r="J83" s="459">
        <v>6000</v>
      </c>
      <c r="K83" s="459">
        <v>12000</v>
      </c>
      <c r="L83" s="459">
        <v>84000</v>
      </c>
      <c r="M83" s="459">
        <v>84000</v>
      </c>
      <c r="N83" s="525"/>
      <c r="O83" s="532">
        <v>2.7272727272727271</v>
      </c>
      <c r="P83" s="532">
        <v>2.4909090909090907</v>
      </c>
      <c r="Q83" s="532">
        <v>2.1909090909090909</v>
      </c>
      <c r="R83" s="532">
        <v>0</v>
      </c>
      <c r="S83" s="532">
        <v>2.1818181818181817</v>
      </c>
      <c r="T83" s="533"/>
      <c r="U83" s="532">
        <v>2.336363636363636</v>
      </c>
      <c r="V83" s="532">
        <v>2.2909090909090906</v>
      </c>
      <c r="W83" s="532">
        <v>2.1909090909090909</v>
      </c>
      <c r="X83" s="532">
        <v>0</v>
      </c>
      <c r="Y83" s="532">
        <v>2.1545454545454543</v>
      </c>
      <c r="Z83" s="533"/>
      <c r="AA83" s="533"/>
      <c r="AB83" s="533"/>
      <c r="AC83" s="533"/>
      <c r="AD83" s="533"/>
      <c r="AE83" s="533"/>
      <c r="AF83" s="533"/>
      <c r="AG83" s="528" t="s">
        <v>1143</v>
      </c>
      <c r="AH83" s="528" t="s">
        <v>1144</v>
      </c>
      <c r="AI83" s="333">
        <v>2</v>
      </c>
      <c r="AJ83" s="333">
        <v>4</v>
      </c>
      <c r="AK83" s="483">
        <v>0.33329999999999999</v>
      </c>
      <c r="AL83" s="483">
        <v>0.66659999999999997</v>
      </c>
      <c r="AM83" s="525" t="s">
        <v>1124</v>
      </c>
      <c r="AN83" s="528">
        <v>0</v>
      </c>
      <c r="AO83" s="528">
        <v>0</v>
      </c>
      <c r="AP83" s="528">
        <v>0</v>
      </c>
      <c r="AQ83" s="528">
        <v>0</v>
      </c>
      <c r="AR83" s="528">
        <v>0</v>
      </c>
      <c r="AS83" s="528">
        <v>0</v>
      </c>
      <c r="AT83" s="528">
        <v>0</v>
      </c>
      <c r="AU83" s="528">
        <v>0</v>
      </c>
      <c r="AV83" s="528">
        <v>0</v>
      </c>
      <c r="AW83" s="528">
        <v>0</v>
      </c>
      <c r="AX83" s="528">
        <v>0</v>
      </c>
      <c r="AY83" s="528">
        <v>0</v>
      </c>
      <c r="AZ83" s="528"/>
      <c r="BA83" s="528" t="s">
        <v>1145</v>
      </c>
      <c r="BB83" s="528"/>
      <c r="BC83" s="528" t="s">
        <v>1145</v>
      </c>
      <c r="BD83" s="528"/>
      <c r="BE83" s="528"/>
      <c r="BF83" s="564">
        <v>45351</v>
      </c>
      <c r="BG83" s="529"/>
      <c r="BH83" s="525"/>
      <c r="BI83" s="528"/>
      <c r="BJ83" s="528" t="s">
        <v>1146</v>
      </c>
      <c r="BK83" s="528"/>
      <c r="BL83" s="529"/>
      <c r="BM83" s="529" t="s">
        <v>1727</v>
      </c>
      <c r="BN83" s="525" t="s">
        <v>368</v>
      </c>
    </row>
    <row r="84" spans="1:68" ht="13" customHeight="1" x14ac:dyDescent="0.2">
      <c r="A84" s="525">
        <v>3373</v>
      </c>
      <c r="B84" s="565">
        <v>44937</v>
      </c>
      <c r="C84" s="526" t="s">
        <v>1138</v>
      </c>
      <c r="D84" s="525" t="s">
        <v>1114</v>
      </c>
      <c r="E84" s="527">
        <v>44927</v>
      </c>
      <c r="F84" s="529" t="s">
        <v>1166</v>
      </c>
      <c r="G84" s="525" t="s">
        <v>1651</v>
      </c>
      <c r="H84" s="532">
        <v>87.518181818181802</v>
      </c>
      <c r="I84" s="531"/>
      <c r="J84" s="568"/>
      <c r="K84" s="525"/>
      <c r="L84" s="525"/>
      <c r="M84" s="525"/>
      <c r="N84" s="525"/>
      <c r="O84" s="532">
        <v>2.3454545454545452</v>
      </c>
      <c r="P84" s="532">
        <v>0</v>
      </c>
      <c r="Q84" s="532">
        <v>0</v>
      </c>
      <c r="R84" s="532">
        <v>0</v>
      </c>
      <c r="S84" s="532">
        <v>0</v>
      </c>
      <c r="T84" s="533"/>
      <c r="U84" s="532">
        <v>2.3454545454545452</v>
      </c>
      <c r="V84" s="532">
        <v>0</v>
      </c>
      <c r="W84" s="532">
        <v>0</v>
      </c>
      <c r="X84" s="532">
        <v>0</v>
      </c>
      <c r="Y84" s="532">
        <v>0</v>
      </c>
      <c r="Z84" s="533"/>
      <c r="AA84" s="533"/>
      <c r="AB84" s="533"/>
      <c r="AC84" s="533"/>
      <c r="AD84" s="533"/>
      <c r="AE84" s="533"/>
      <c r="AF84" s="533"/>
      <c r="AG84" s="528" t="s">
        <v>1145</v>
      </c>
      <c r="AH84" s="528"/>
      <c r="AI84" s="528">
        <v>3</v>
      </c>
      <c r="AJ84" s="528">
        <v>3</v>
      </c>
      <c r="AK84" s="480">
        <v>0.5</v>
      </c>
      <c r="AL84" s="480">
        <v>0.5</v>
      </c>
      <c r="AM84" s="525"/>
      <c r="AN84" s="528">
        <v>0</v>
      </c>
      <c r="AO84" s="528">
        <v>0</v>
      </c>
      <c r="AP84" s="528">
        <v>0</v>
      </c>
      <c r="AQ84" s="528">
        <v>0</v>
      </c>
      <c r="AR84" s="528">
        <v>0</v>
      </c>
      <c r="AS84" s="528">
        <v>0</v>
      </c>
      <c r="AT84" s="528">
        <v>0</v>
      </c>
      <c r="AU84" s="528">
        <v>0</v>
      </c>
      <c r="AV84" s="528">
        <v>0</v>
      </c>
      <c r="AW84" s="528">
        <v>0</v>
      </c>
      <c r="AX84" s="528">
        <v>0</v>
      </c>
      <c r="AY84" s="528">
        <v>0</v>
      </c>
      <c r="AZ84" s="528"/>
      <c r="BA84" s="528" t="s">
        <v>1145</v>
      </c>
      <c r="BB84" s="528">
        <v>12</v>
      </c>
      <c r="BC84" s="528" t="s">
        <v>1145</v>
      </c>
      <c r="BD84" s="528"/>
      <c r="BE84" s="528"/>
      <c r="BF84" s="528"/>
      <c r="BG84" s="529"/>
      <c r="BH84" s="525"/>
      <c r="BI84" s="528"/>
      <c r="BJ84" s="528" t="s">
        <v>1146</v>
      </c>
      <c r="BK84" s="528"/>
      <c r="BL84" s="529"/>
      <c r="BM84" s="525" t="s">
        <v>1728</v>
      </c>
      <c r="BN84" s="525" t="s">
        <v>408</v>
      </c>
    </row>
    <row r="85" spans="1:68" ht="13" customHeight="1" x14ac:dyDescent="0.2">
      <c r="A85" s="525">
        <v>2401</v>
      </c>
      <c r="B85" s="565">
        <v>44937</v>
      </c>
      <c r="C85" s="526" t="s">
        <v>1138</v>
      </c>
      <c r="D85" s="525" t="s">
        <v>1114</v>
      </c>
      <c r="E85" s="570">
        <v>44896</v>
      </c>
      <c r="F85" s="529" t="s">
        <v>1168</v>
      </c>
      <c r="G85" s="525" t="s">
        <v>1297</v>
      </c>
      <c r="H85" s="532">
        <v>91.7</v>
      </c>
      <c r="I85" s="531" t="s">
        <v>296</v>
      </c>
      <c r="J85" s="459">
        <v>6000</v>
      </c>
      <c r="K85" s="459">
        <v>12000</v>
      </c>
      <c r="L85" s="459">
        <v>84000</v>
      </c>
      <c r="M85" s="459">
        <v>84000</v>
      </c>
      <c r="N85" s="525"/>
      <c r="O85" s="532">
        <v>2.5999999999999996</v>
      </c>
      <c r="P85" s="532">
        <v>2.2999999999999998</v>
      </c>
      <c r="Q85" s="532">
        <v>2</v>
      </c>
      <c r="R85" s="532">
        <v>0</v>
      </c>
      <c r="S85" s="532">
        <v>1.9545454545454544</v>
      </c>
      <c r="T85" s="533"/>
      <c r="U85" s="532">
        <v>2.1</v>
      </c>
      <c r="V85" s="532">
        <v>2.0545454545454542</v>
      </c>
      <c r="W85" s="532">
        <v>2</v>
      </c>
      <c r="X85" s="532">
        <v>0</v>
      </c>
      <c r="Y85" s="532">
        <v>1.8999999999999997</v>
      </c>
      <c r="Z85" s="533"/>
      <c r="AA85" s="533"/>
      <c r="AB85" s="533"/>
      <c r="AC85" s="533"/>
      <c r="AD85" s="533"/>
      <c r="AE85" s="533"/>
      <c r="AF85" s="533"/>
      <c r="AG85" s="528" t="s">
        <v>1143</v>
      </c>
      <c r="AH85" s="528" t="s">
        <v>1144</v>
      </c>
      <c r="AI85" s="333">
        <v>2</v>
      </c>
      <c r="AJ85" s="333">
        <v>4</v>
      </c>
      <c r="AK85" s="483">
        <v>0.33329999999999999</v>
      </c>
      <c r="AL85" s="483">
        <v>0.66659999999999997</v>
      </c>
      <c r="AM85" s="525" t="s">
        <v>1124</v>
      </c>
      <c r="AN85" s="528">
        <v>0</v>
      </c>
      <c r="AO85" s="528">
        <v>0</v>
      </c>
      <c r="AP85" s="528">
        <v>0</v>
      </c>
      <c r="AQ85" s="528">
        <v>0</v>
      </c>
      <c r="AR85" s="528">
        <v>0</v>
      </c>
      <c r="AS85" s="528">
        <v>0</v>
      </c>
      <c r="AT85" s="528">
        <v>0</v>
      </c>
      <c r="AU85" s="528">
        <v>0</v>
      </c>
      <c r="AV85" s="528">
        <v>0</v>
      </c>
      <c r="AW85" s="528">
        <v>0</v>
      </c>
      <c r="AX85" s="528">
        <v>0</v>
      </c>
      <c r="AY85" s="528">
        <v>0</v>
      </c>
      <c r="AZ85" s="528"/>
      <c r="BA85" s="528" t="s">
        <v>1145</v>
      </c>
      <c r="BB85" s="528"/>
      <c r="BC85" s="528" t="s">
        <v>1145</v>
      </c>
      <c r="BD85" s="528"/>
      <c r="BE85" s="528"/>
      <c r="BF85" s="528"/>
      <c r="BG85" s="529"/>
      <c r="BH85" s="525"/>
      <c r="BI85" s="528"/>
      <c r="BJ85" s="528" t="s">
        <v>1146</v>
      </c>
      <c r="BK85" s="528"/>
      <c r="BL85" s="529"/>
      <c r="BM85" s="529" t="s">
        <v>430</v>
      </c>
      <c r="BN85" s="525" t="s">
        <v>368</v>
      </c>
    </row>
    <row r="86" spans="1:68" ht="13" customHeight="1" x14ac:dyDescent="0.2">
      <c r="A86" s="525">
        <v>269</v>
      </c>
      <c r="B86" s="565">
        <v>44937</v>
      </c>
      <c r="C86" s="526" t="s">
        <v>295</v>
      </c>
      <c r="D86" s="525" t="s">
        <v>1114</v>
      </c>
      <c r="E86" s="527">
        <v>44907</v>
      </c>
      <c r="F86" s="529" t="s">
        <v>1169</v>
      </c>
      <c r="G86" s="525" t="s">
        <v>1698</v>
      </c>
      <c r="H86" s="532">
        <v>87.663636363636357</v>
      </c>
      <c r="I86" s="531" t="s">
        <v>296</v>
      </c>
      <c r="J86" s="459">
        <v>6000</v>
      </c>
      <c r="K86" s="459">
        <v>12000</v>
      </c>
      <c r="L86" s="459">
        <v>84000</v>
      </c>
      <c r="M86" s="459">
        <v>84000</v>
      </c>
      <c r="N86" s="525"/>
      <c r="O86" s="532">
        <v>3.2636363636363632</v>
      </c>
      <c r="P86" s="532">
        <v>3.1999999999999997</v>
      </c>
      <c r="Q86" s="532">
        <v>2.1727272727272728</v>
      </c>
      <c r="R86" s="532">
        <v>0</v>
      </c>
      <c r="S86" s="532">
        <v>2.1181818181818182</v>
      </c>
      <c r="T86" s="533"/>
      <c r="U86" s="532">
        <v>2.4909090909090907</v>
      </c>
      <c r="V86" s="532">
        <v>2.4</v>
      </c>
      <c r="W86" s="532">
        <v>2.1545454545454543</v>
      </c>
      <c r="X86" s="532">
        <v>0</v>
      </c>
      <c r="Y86" s="532">
        <v>2.0181818181818181</v>
      </c>
      <c r="Z86" s="533"/>
      <c r="AA86" s="533"/>
      <c r="AB86" s="533"/>
      <c r="AC86" s="533"/>
      <c r="AD86" s="533"/>
      <c r="AE86" s="533"/>
      <c r="AF86" s="533"/>
      <c r="AG86" s="528" t="s">
        <v>297</v>
      </c>
      <c r="AH86" s="528" t="s">
        <v>298</v>
      </c>
      <c r="AI86" s="333">
        <v>2</v>
      </c>
      <c r="AJ86" s="333">
        <v>4</v>
      </c>
      <c r="AK86" s="483">
        <v>0.33329999999999999</v>
      </c>
      <c r="AL86" s="483">
        <v>0.66659999999999997</v>
      </c>
      <c r="AM86" s="525" t="s">
        <v>1124</v>
      </c>
      <c r="AN86" s="528">
        <v>6</v>
      </c>
      <c r="AO86" s="528">
        <v>0</v>
      </c>
      <c r="AP86" s="528">
        <v>0</v>
      </c>
      <c r="AQ86" s="528">
        <v>0</v>
      </c>
      <c r="AR86" s="528">
        <v>0</v>
      </c>
      <c r="AS86" s="528">
        <v>0</v>
      </c>
      <c r="AT86" s="528">
        <v>0</v>
      </c>
      <c r="AU86" s="528">
        <v>0</v>
      </c>
      <c r="AV86" s="528">
        <v>0</v>
      </c>
      <c r="AW86" s="528">
        <v>0</v>
      </c>
      <c r="AX86" s="528">
        <v>0</v>
      </c>
      <c r="AY86" s="528">
        <v>0</v>
      </c>
      <c r="AZ86" s="528"/>
      <c r="BA86" s="528" t="s">
        <v>1145</v>
      </c>
      <c r="BB86" s="528"/>
      <c r="BC86" s="528" t="s">
        <v>1145</v>
      </c>
      <c r="BD86" s="528"/>
      <c r="BE86" s="528"/>
      <c r="BF86" s="528"/>
      <c r="BG86" s="529"/>
      <c r="BH86" s="525"/>
      <c r="BI86" s="528"/>
      <c r="BJ86" s="528" t="s">
        <v>1146</v>
      </c>
      <c r="BK86" s="528"/>
      <c r="BL86" s="529"/>
      <c r="BM86" s="529" t="s">
        <v>430</v>
      </c>
      <c r="BN86" s="525" t="s">
        <v>368</v>
      </c>
    </row>
    <row r="87" spans="1:68" ht="13" customHeight="1" x14ac:dyDescent="0.2">
      <c r="A87" s="525">
        <v>1689</v>
      </c>
      <c r="B87" s="565">
        <v>44938</v>
      </c>
      <c r="C87" s="526" t="s">
        <v>295</v>
      </c>
      <c r="D87" s="525" t="s">
        <v>1114</v>
      </c>
      <c r="E87" s="527">
        <v>44926</v>
      </c>
      <c r="F87" s="529" t="s">
        <v>1106</v>
      </c>
      <c r="G87" s="525" t="s">
        <v>2</v>
      </c>
      <c r="H87" s="532">
        <v>82</v>
      </c>
      <c r="I87" s="531" t="s">
        <v>296</v>
      </c>
      <c r="J87" s="459">
        <v>6000</v>
      </c>
      <c r="K87" s="459">
        <v>6000</v>
      </c>
      <c r="L87" s="459">
        <v>6000</v>
      </c>
      <c r="M87" s="459">
        <v>6000</v>
      </c>
      <c r="N87" s="525"/>
      <c r="O87" s="532">
        <v>2.5</v>
      </c>
      <c r="P87" s="532">
        <v>0</v>
      </c>
      <c r="Q87" s="532">
        <v>0</v>
      </c>
      <c r="R87" s="532">
        <v>0</v>
      </c>
      <c r="S87" s="532">
        <v>2.3272727272727272</v>
      </c>
      <c r="T87" s="533"/>
      <c r="U87" s="532">
        <v>2.5</v>
      </c>
      <c r="V87" s="532">
        <v>0</v>
      </c>
      <c r="W87" s="532">
        <v>0</v>
      </c>
      <c r="X87" s="532">
        <v>0</v>
      </c>
      <c r="Y87" s="532">
        <v>2.3272727272727272</v>
      </c>
      <c r="Z87" s="533"/>
      <c r="AA87" s="533"/>
      <c r="AB87" s="533"/>
      <c r="AC87" s="533"/>
      <c r="AD87" s="533"/>
      <c r="AE87" s="533"/>
      <c r="AF87" s="533"/>
      <c r="AG87" s="528" t="s">
        <v>297</v>
      </c>
      <c r="AH87" s="528" t="s">
        <v>298</v>
      </c>
      <c r="AI87" s="333">
        <v>2</v>
      </c>
      <c r="AJ87" s="333">
        <v>4</v>
      </c>
      <c r="AK87" s="483">
        <v>0.33329999999999999</v>
      </c>
      <c r="AL87" s="483">
        <v>0.66659999999999997</v>
      </c>
      <c r="AM87" s="525" t="s">
        <v>1124</v>
      </c>
      <c r="AN87" s="528">
        <v>0</v>
      </c>
      <c r="AO87" s="528">
        <v>0</v>
      </c>
      <c r="AP87" s="528">
        <v>2</v>
      </c>
      <c r="AQ87" s="528">
        <v>0</v>
      </c>
      <c r="AR87" s="528">
        <v>0</v>
      </c>
      <c r="AS87" s="528">
        <v>0</v>
      </c>
      <c r="AT87" s="528">
        <v>0</v>
      </c>
      <c r="AU87" s="528">
        <v>0</v>
      </c>
      <c r="AV87" s="528">
        <v>0</v>
      </c>
      <c r="AW87" s="528">
        <v>0</v>
      </c>
      <c r="AX87" s="528">
        <v>0</v>
      </c>
      <c r="AY87" s="528">
        <v>0</v>
      </c>
      <c r="AZ87" s="528"/>
      <c r="BA87" s="528" t="s">
        <v>1145</v>
      </c>
      <c r="BB87" s="528"/>
      <c r="BC87" s="528" t="s">
        <v>1145</v>
      </c>
      <c r="BD87" s="528"/>
      <c r="BE87" s="528"/>
      <c r="BF87" s="529"/>
      <c r="BG87" s="529" t="s">
        <v>1700</v>
      </c>
      <c r="BH87" s="525" t="s">
        <v>365</v>
      </c>
      <c r="BI87" s="528">
        <v>60</v>
      </c>
      <c r="BJ87" s="528" t="s">
        <v>1146</v>
      </c>
      <c r="BK87" s="528">
        <v>1</v>
      </c>
      <c r="BL87" s="525" t="s">
        <v>1701</v>
      </c>
      <c r="BM87" s="529" t="s">
        <v>1729</v>
      </c>
      <c r="BN87" s="525" t="s">
        <v>408</v>
      </c>
    </row>
    <row r="88" spans="1:68" ht="13" customHeight="1" x14ac:dyDescent="0.2">
      <c r="A88" s="525">
        <v>2743</v>
      </c>
      <c r="B88" s="565">
        <v>44937</v>
      </c>
      <c r="C88" s="526" t="s">
        <v>1138</v>
      </c>
      <c r="D88" s="525" t="s">
        <v>1114</v>
      </c>
      <c r="E88" s="527">
        <v>44927</v>
      </c>
      <c r="F88" s="525" t="s">
        <v>1274</v>
      </c>
      <c r="G88" s="525" t="s">
        <v>1467</v>
      </c>
      <c r="H88" s="532">
        <v>90.999999999999986</v>
      </c>
      <c r="I88" s="531" t="s">
        <v>296</v>
      </c>
      <c r="J88" s="409">
        <v>6000</v>
      </c>
      <c r="K88" s="332">
        <v>13500</v>
      </c>
      <c r="L88" s="332">
        <v>13500</v>
      </c>
      <c r="M88" s="332">
        <v>13500</v>
      </c>
      <c r="N88" s="332"/>
      <c r="O88" s="532">
        <v>3.5999999999999996</v>
      </c>
      <c r="P88" s="532">
        <v>3.1999999999999997</v>
      </c>
      <c r="Q88" s="532">
        <v>0</v>
      </c>
      <c r="R88" s="532">
        <v>0</v>
      </c>
      <c r="S88" s="532">
        <v>2.5999999999999996</v>
      </c>
      <c r="T88" s="571"/>
      <c r="U88" s="532">
        <v>3.5999999999999996</v>
      </c>
      <c r="V88" s="532">
        <v>3.1999999999999997</v>
      </c>
      <c r="W88" s="532">
        <v>0</v>
      </c>
      <c r="X88" s="532">
        <v>0</v>
      </c>
      <c r="Y88" s="532">
        <v>2.5999999999999996</v>
      </c>
      <c r="Z88" s="571"/>
      <c r="AA88" s="571"/>
      <c r="AB88" s="571"/>
      <c r="AC88" s="571"/>
      <c r="AD88" s="571"/>
      <c r="AE88" s="571"/>
      <c r="AF88" s="571"/>
      <c r="AG88" s="333" t="s">
        <v>1145</v>
      </c>
      <c r="AH88" s="333"/>
      <c r="AI88" s="528">
        <v>3</v>
      </c>
      <c r="AJ88" s="528">
        <v>3</v>
      </c>
      <c r="AK88" s="480">
        <v>0.5</v>
      </c>
      <c r="AL88" s="480">
        <v>0.5</v>
      </c>
      <c r="AM88" s="525"/>
      <c r="AN88" s="528">
        <v>0</v>
      </c>
      <c r="AO88" s="528">
        <v>7</v>
      </c>
      <c r="AP88" s="528">
        <v>0</v>
      </c>
      <c r="AQ88" s="528">
        <v>3</v>
      </c>
      <c r="AR88" s="528">
        <v>0</v>
      </c>
      <c r="AS88" s="528">
        <v>0</v>
      </c>
      <c r="AT88" s="528">
        <v>0</v>
      </c>
      <c r="AU88" s="528">
        <v>0</v>
      </c>
      <c r="AV88" s="528">
        <v>0</v>
      </c>
      <c r="AW88" s="528">
        <v>0</v>
      </c>
      <c r="AX88" s="528">
        <v>0</v>
      </c>
      <c r="AY88" s="528">
        <v>0</v>
      </c>
      <c r="AZ88" s="528"/>
      <c r="BA88" s="528" t="s">
        <v>1145</v>
      </c>
      <c r="BB88" s="528"/>
      <c r="BC88" s="528" t="s">
        <v>1145</v>
      </c>
      <c r="BD88" s="528"/>
      <c r="BE88" s="528"/>
      <c r="BF88" s="528"/>
      <c r="BG88" s="529"/>
      <c r="BH88" s="525"/>
      <c r="BI88" s="528"/>
      <c r="BJ88" s="528" t="s">
        <v>1146</v>
      </c>
      <c r="BK88" s="528">
        <v>1</v>
      </c>
      <c r="BL88" s="529"/>
      <c r="BM88" s="529" t="s">
        <v>1730</v>
      </c>
      <c r="BN88" s="525" t="s">
        <v>408</v>
      </c>
    </row>
    <row r="89" spans="1:68" ht="13" customHeight="1" x14ac:dyDescent="0.2">
      <c r="A89" s="525">
        <v>2934</v>
      </c>
      <c r="B89" s="565">
        <v>44937</v>
      </c>
      <c r="C89" s="526" t="s">
        <v>1138</v>
      </c>
      <c r="D89" s="525" t="s">
        <v>1114</v>
      </c>
      <c r="E89" s="527">
        <v>44853</v>
      </c>
      <c r="F89" s="525" t="s">
        <v>1483</v>
      </c>
      <c r="G89" s="525" t="s">
        <v>1550</v>
      </c>
      <c r="H89" s="532">
        <v>115.99999999999999</v>
      </c>
      <c r="I89" s="531" t="s">
        <v>296</v>
      </c>
      <c r="J89" s="459">
        <v>6000</v>
      </c>
      <c r="K89" s="459">
        <v>12000</v>
      </c>
      <c r="L89" s="459">
        <v>84000</v>
      </c>
      <c r="M89" s="459">
        <v>84000</v>
      </c>
      <c r="N89" s="332"/>
      <c r="O89" s="532">
        <v>2</v>
      </c>
      <c r="P89" s="532">
        <v>1.7545454545454544</v>
      </c>
      <c r="Q89" s="532">
        <v>1.4545454545454546</v>
      </c>
      <c r="R89" s="532">
        <v>0</v>
      </c>
      <c r="S89" s="532">
        <v>1.4272727272727272</v>
      </c>
      <c r="T89" s="571"/>
      <c r="U89" s="532">
        <v>1.5181818181818181</v>
      </c>
      <c r="V89" s="532">
        <v>1.4909090909090907</v>
      </c>
      <c r="W89" s="532">
        <v>1.4090909090909089</v>
      </c>
      <c r="X89" s="532">
        <v>0</v>
      </c>
      <c r="Y89" s="532">
        <v>1.3818181818181816</v>
      </c>
      <c r="Z89" s="571"/>
      <c r="AA89" s="571"/>
      <c r="AB89" s="571"/>
      <c r="AC89" s="571"/>
      <c r="AD89" s="571"/>
      <c r="AE89" s="571"/>
      <c r="AF89" s="571"/>
      <c r="AG89" s="333" t="s">
        <v>1143</v>
      </c>
      <c r="AH89" s="333" t="s">
        <v>1144</v>
      </c>
      <c r="AI89" s="333">
        <v>2</v>
      </c>
      <c r="AJ89" s="333">
        <v>4</v>
      </c>
      <c r="AK89" s="483">
        <v>0.33329999999999999</v>
      </c>
      <c r="AL89" s="483">
        <v>0.66659999999999997</v>
      </c>
      <c r="AM89" s="525" t="s">
        <v>1124</v>
      </c>
      <c r="AN89" s="528">
        <v>0</v>
      </c>
      <c r="AO89" s="528">
        <v>0</v>
      </c>
      <c r="AP89" s="528">
        <v>0</v>
      </c>
      <c r="AQ89" s="528">
        <v>0</v>
      </c>
      <c r="AR89" s="528">
        <v>0</v>
      </c>
      <c r="AS89" s="528">
        <v>0</v>
      </c>
      <c r="AT89" s="528">
        <v>0</v>
      </c>
      <c r="AU89" s="528">
        <v>0</v>
      </c>
      <c r="AV89" s="528">
        <v>0</v>
      </c>
      <c r="AW89" s="528">
        <v>0</v>
      </c>
      <c r="AX89" s="528">
        <v>0</v>
      </c>
      <c r="AY89" s="528">
        <v>0</v>
      </c>
      <c r="AZ89" s="528"/>
      <c r="BA89" s="528" t="s">
        <v>1145</v>
      </c>
      <c r="BB89" s="528"/>
      <c r="BC89" s="528" t="s">
        <v>1145</v>
      </c>
      <c r="BD89" s="528"/>
      <c r="BE89" s="528"/>
      <c r="BF89" s="564"/>
      <c r="BG89" s="529"/>
      <c r="BH89" s="525"/>
      <c r="BI89" s="528"/>
      <c r="BJ89" s="528" t="s">
        <v>4</v>
      </c>
      <c r="BK89" s="528"/>
      <c r="BL89" s="529"/>
      <c r="BM89" s="525" t="s">
        <v>1731</v>
      </c>
      <c r="BN89" s="525" t="s">
        <v>368</v>
      </c>
    </row>
    <row r="90" spans="1:68" ht="16" x14ac:dyDescent="0.2">
      <c r="A90" s="525">
        <v>3702</v>
      </c>
      <c r="B90" s="565">
        <v>44939</v>
      </c>
      <c r="C90" s="526" t="s">
        <v>1138</v>
      </c>
      <c r="D90" s="525" t="s">
        <v>1114</v>
      </c>
      <c r="E90" s="527">
        <v>44927</v>
      </c>
      <c r="F90" s="525" t="s">
        <v>1057</v>
      </c>
      <c r="G90" s="525" t="s">
        <v>1734</v>
      </c>
      <c r="H90" s="340">
        <v>116.39999999999998</v>
      </c>
      <c r="I90" s="531" t="s">
        <v>296</v>
      </c>
      <c r="J90" s="459">
        <v>6000</v>
      </c>
      <c r="K90" s="459">
        <v>12000</v>
      </c>
      <c r="L90" s="459">
        <v>84000</v>
      </c>
      <c r="M90" s="459">
        <v>84000</v>
      </c>
      <c r="N90" s="297"/>
      <c r="O90" s="340">
        <v>3.1999999999999997</v>
      </c>
      <c r="P90" s="340">
        <v>2.9</v>
      </c>
      <c r="Q90" s="340">
        <v>2.5</v>
      </c>
      <c r="R90" s="340">
        <v>0</v>
      </c>
      <c r="S90" s="340">
        <v>2.5</v>
      </c>
      <c r="T90" s="571"/>
      <c r="U90" s="340">
        <v>2.7</v>
      </c>
      <c r="V90" s="340">
        <v>2.5999999999999996</v>
      </c>
      <c r="W90" s="340">
        <v>2.5</v>
      </c>
      <c r="X90" s="340">
        <v>0</v>
      </c>
      <c r="Y90" s="340">
        <v>2.4</v>
      </c>
      <c r="Z90" s="297"/>
      <c r="AA90" s="297"/>
      <c r="AB90" s="297"/>
      <c r="AC90" s="297"/>
      <c r="AD90" s="297"/>
      <c r="AE90" s="297"/>
      <c r="AF90" s="297"/>
      <c r="AG90" s="333" t="s">
        <v>1143</v>
      </c>
      <c r="AH90" s="333" t="s">
        <v>1144</v>
      </c>
      <c r="AI90" s="333">
        <v>2</v>
      </c>
      <c r="AJ90" s="333">
        <v>4</v>
      </c>
      <c r="AK90" s="483">
        <v>0.33329999999999999</v>
      </c>
      <c r="AL90" s="483">
        <v>0.66659999999999997</v>
      </c>
      <c r="AM90" s="525" t="s">
        <v>1124</v>
      </c>
      <c r="AN90" s="528">
        <v>0</v>
      </c>
      <c r="AO90" s="528">
        <v>0</v>
      </c>
      <c r="AP90" s="528">
        <v>0</v>
      </c>
      <c r="AQ90" s="528">
        <v>0</v>
      </c>
      <c r="AR90" s="528">
        <v>0</v>
      </c>
      <c r="AS90" s="528">
        <v>0</v>
      </c>
      <c r="AT90" s="528">
        <v>0</v>
      </c>
      <c r="AU90" s="528">
        <v>0</v>
      </c>
      <c r="AV90" s="528">
        <v>0</v>
      </c>
      <c r="AW90" s="528">
        <v>0</v>
      </c>
      <c r="AX90" s="528">
        <v>0</v>
      </c>
      <c r="AY90" s="528">
        <v>0</v>
      </c>
      <c r="AZ90" s="528"/>
      <c r="BA90" s="528" t="s">
        <v>1145</v>
      </c>
      <c r="BB90" s="528"/>
      <c r="BC90" s="528" t="s">
        <v>1145</v>
      </c>
      <c r="BD90" s="528"/>
      <c r="BE90" s="528"/>
      <c r="BF90" s="528"/>
      <c r="BG90" s="529"/>
      <c r="BH90" s="525"/>
      <c r="BI90" s="528"/>
      <c r="BJ90" s="528" t="s">
        <v>1146</v>
      </c>
      <c r="BK90" s="528"/>
      <c r="BL90" s="529" t="s">
        <v>1735</v>
      </c>
      <c r="BM90" s="569" t="s">
        <v>1738</v>
      </c>
      <c r="BN90" s="525" t="s">
        <v>1121</v>
      </c>
    </row>
    <row r="91" spans="1:68" ht="13" customHeight="1" x14ac:dyDescent="0.2">
      <c r="A91" s="525">
        <v>3632</v>
      </c>
      <c r="B91" s="565">
        <v>44937</v>
      </c>
      <c r="C91" s="526" t="s">
        <v>1138</v>
      </c>
      <c r="D91" s="525" t="s">
        <v>1114</v>
      </c>
      <c r="E91" s="527">
        <v>44935</v>
      </c>
      <c r="F91" s="525" t="s">
        <v>1173</v>
      </c>
      <c r="G91" s="525" t="s">
        <v>1705</v>
      </c>
      <c r="H91" s="532">
        <v>109.99999999999999</v>
      </c>
      <c r="I91" s="531" t="s">
        <v>296</v>
      </c>
      <c r="J91" s="409">
        <v>18000</v>
      </c>
      <c r="K91" s="409">
        <v>18000</v>
      </c>
      <c r="L91" s="409">
        <v>18000</v>
      </c>
      <c r="M91" s="409">
        <v>18000</v>
      </c>
      <c r="N91" s="332"/>
      <c r="O91" s="532">
        <v>5.3</v>
      </c>
      <c r="P91" s="532">
        <v>0</v>
      </c>
      <c r="Q91" s="532">
        <v>0</v>
      </c>
      <c r="R91" s="532">
        <v>0</v>
      </c>
      <c r="S91" s="532">
        <v>4.5999999999999996</v>
      </c>
      <c r="T91" s="571"/>
      <c r="U91" s="532">
        <v>4</v>
      </c>
      <c r="V91" s="532">
        <v>0</v>
      </c>
      <c r="W91" s="532">
        <v>0</v>
      </c>
      <c r="X91" s="532">
        <v>0</v>
      </c>
      <c r="Y91" s="532">
        <v>3.4</v>
      </c>
      <c r="Z91" s="571"/>
      <c r="AA91" s="571"/>
      <c r="AB91" s="571"/>
      <c r="AC91" s="571"/>
      <c r="AD91" s="571"/>
      <c r="AE91" s="571"/>
      <c r="AF91" s="571"/>
      <c r="AG91" s="333" t="s">
        <v>1143</v>
      </c>
      <c r="AH91" s="333" t="s">
        <v>1144</v>
      </c>
      <c r="AI91" s="333">
        <v>2</v>
      </c>
      <c r="AJ91" s="333">
        <v>4</v>
      </c>
      <c r="AK91" s="483">
        <v>0.33329999999999999</v>
      </c>
      <c r="AL91" s="483">
        <v>0.66659999999999997</v>
      </c>
      <c r="AM91" s="525" t="s">
        <v>1124</v>
      </c>
      <c r="AN91" s="528">
        <v>0</v>
      </c>
      <c r="AO91" s="528">
        <v>0</v>
      </c>
      <c r="AP91" s="528">
        <v>0</v>
      </c>
      <c r="AQ91" s="528">
        <v>0</v>
      </c>
      <c r="AR91" s="528">
        <v>0</v>
      </c>
      <c r="AS91" s="528">
        <v>0</v>
      </c>
      <c r="AT91" s="528">
        <v>0</v>
      </c>
      <c r="AU91" s="528">
        <v>0</v>
      </c>
      <c r="AV91" s="528">
        <v>0</v>
      </c>
      <c r="AW91" s="528">
        <v>0</v>
      </c>
      <c r="AX91" s="528">
        <v>0</v>
      </c>
      <c r="AY91" s="528">
        <v>0</v>
      </c>
      <c r="AZ91" s="528"/>
      <c r="BA91" s="528" t="s">
        <v>1145</v>
      </c>
      <c r="BB91" s="528"/>
      <c r="BC91" s="528" t="s">
        <v>1145</v>
      </c>
      <c r="BD91" s="528"/>
      <c r="BE91" s="528"/>
      <c r="BF91" s="564"/>
      <c r="BG91" s="529"/>
      <c r="BH91" s="525"/>
      <c r="BI91" s="528"/>
      <c r="BJ91" s="528" t="s">
        <v>4</v>
      </c>
      <c r="BK91" s="528"/>
      <c r="BL91" s="529"/>
      <c r="BM91" s="525" t="s">
        <v>1732</v>
      </c>
      <c r="BN91" s="525" t="s">
        <v>408</v>
      </c>
    </row>
    <row r="92" spans="1:68" ht="13" customHeight="1" x14ac:dyDescent="0.2">
      <c r="A92" s="525">
        <v>3156</v>
      </c>
      <c r="B92" s="565">
        <v>44937</v>
      </c>
      <c r="C92" s="526" t="s">
        <v>1138</v>
      </c>
      <c r="D92" s="525" t="s">
        <v>1115</v>
      </c>
      <c r="E92" s="527">
        <v>44927</v>
      </c>
      <c r="F92" s="529" t="s">
        <v>1139</v>
      </c>
      <c r="G92" s="525" t="s">
        <v>1646</v>
      </c>
      <c r="H92" s="532">
        <v>92.499999999999986</v>
      </c>
      <c r="I92" s="531" t="s">
        <v>296</v>
      </c>
      <c r="J92" s="459">
        <v>6000</v>
      </c>
      <c r="K92" s="459">
        <v>12000</v>
      </c>
      <c r="L92" s="459">
        <v>84000</v>
      </c>
      <c r="M92" s="459">
        <v>84000</v>
      </c>
      <c r="N92" s="525"/>
      <c r="O92" s="532">
        <v>2.9818181818181815</v>
      </c>
      <c r="P92" s="532">
        <v>2.8909090909090907</v>
      </c>
      <c r="Q92" s="532">
        <v>1.7545454545454544</v>
      </c>
      <c r="R92" s="532">
        <v>0</v>
      </c>
      <c r="S92" s="532">
        <v>1.6636363636363636</v>
      </c>
      <c r="T92" s="533"/>
      <c r="U92" s="532">
        <v>2.5909090909090908</v>
      </c>
      <c r="V92" s="532">
        <v>2.2909090909090906</v>
      </c>
      <c r="W92" s="532">
        <v>1.718181818181818</v>
      </c>
      <c r="X92" s="532">
        <v>0</v>
      </c>
      <c r="Y92" s="532">
        <v>1.6272727272727272</v>
      </c>
      <c r="Z92" s="533"/>
      <c r="AA92" s="533"/>
      <c r="AB92" s="533"/>
      <c r="AC92" s="533"/>
      <c r="AD92" s="533"/>
      <c r="AE92" s="533"/>
      <c r="AF92" s="533"/>
      <c r="AG92" s="528" t="s">
        <v>1143</v>
      </c>
      <c r="AH92" s="528" t="s">
        <v>1144</v>
      </c>
      <c r="AI92" s="333">
        <v>2</v>
      </c>
      <c r="AJ92" s="333">
        <v>4</v>
      </c>
      <c r="AK92" s="483">
        <v>0.33329999999999999</v>
      </c>
      <c r="AL92" s="483">
        <v>0.66659999999999997</v>
      </c>
      <c r="AM92" s="525" t="s">
        <v>1124</v>
      </c>
      <c r="AN92" s="528">
        <v>0</v>
      </c>
      <c r="AO92" s="528">
        <v>0</v>
      </c>
      <c r="AP92" s="528">
        <v>0</v>
      </c>
      <c r="AQ92" s="528">
        <v>0</v>
      </c>
      <c r="AR92" s="528">
        <v>0</v>
      </c>
      <c r="AS92" s="528">
        <v>0</v>
      </c>
      <c r="AT92" s="528">
        <v>0</v>
      </c>
      <c r="AU92" s="528">
        <v>0</v>
      </c>
      <c r="AV92" s="528">
        <v>0</v>
      </c>
      <c r="AW92" s="528">
        <v>0</v>
      </c>
      <c r="AX92" s="528">
        <v>0</v>
      </c>
      <c r="AY92" s="528">
        <v>0</v>
      </c>
      <c r="AZ92" s="528"/>
      <c r="BA92" s="528" t="s">
        <v>1145</v>
      </c>
      <c r="BB92" s="528"/>
      <c r="BC92" s="528" t="s">
        <v>1145</v>
      </c>
      <c r="BD92" s="528"/>
      <c r="BE92" s="528"/>
      <c r="BF92" s="528"/>
      <c r="BG92" s="597"/>
      <c r="BH92" s="598"/>
      <c r="BI92" s="566"/>
      <c r="BJ92" s="528" t="s">
        <v>1146</v>
      </c>
      <c r="BK92" s="528"/>
      <c r="BL92" s="529" t="s">
        <v>1647</v>
      </c>
      <c r="BM92" s="529" t="s">
        <v>430</v>
      </c>
      <c r="BN92" s="525" t="s">
        <v>408</v>
      </c>
    </row>
    <row r="93" spans="1:68" ht="13" customHeight="1" x14ac:dyDescent="0.2">
      <c r="A93" s="525">
        <v>1044</v>
      </c>
      <c r="B93" s="565">
        <v>44937</v>
      </c>
      <c r="C93" s="526" t="s">
        <v>1138</v>
      </c>
      <c r="D93" s="525" t="s">
        <v>1115</v>
      </c>
      <c r="E93" s="527">
        <v>44805</v>
      </c>
      <c r="F93" s="529" t="s">
        <v>1148</v>
      </c>
      <c r="G93" s="525" t="s">
        <v>1280</v>
      </c>
      <c r="H93" s="532">
        <v>68.61818181818181</v>
      </c>
      <c r="I93" s="531" t="s">
        <v>296</v>
      </c>
      <c r="J93" s="459">
        <v>6000</v>
      </c>
      <c r="K93" s="459">
        <v>6000</v>
      </c>
      <c r="L93" s="459">
        <v>6000</v>
      </c>
      <c r="M93" s="459">
        <v>6000</v>
      </c>
      <c r="N93" s="525"/>
      <c r="O93" s="532">
        <v>2.4272727272727268</v>
      </c>
      <c r="P93" s="532">
        <v>0</v>
      </c>
      <c r="Q93" s="532">
        <v>0</v>
      </c>
      <c r="R93" s="532">
        <v>0</v>
      </c>
      <c r="S93" s="532">
        <v>1.8818181818181816</v>
      </c>
      <c r="T93" s="533"/>
      <c r="U93" s="532">
        <v>2.2545454545454544</v>
      </c>
      <c r="V93" s="532">
        <v>0</v>
      </c>
      <c r="W93" s="532">
        <v>0</v>
      </c>
      <c r="X93" s="532">
        <v>0</v>
      </c>
      <c r="Y93" s="532">
        <v>1.7999999999999998</v>
      </c>
      <c r="Z93" s="533"/>
      <c r="AA93" s="533"/>
      <c r="AB93" s="533"/>
      <c r="AC93" s="533"/>
      <c r="AD93" s="533"/>
      <c r="AE93" s="533"/>
      <c r="AF93" s="533"/>
      <c r="AG93" s="528" t="s">
        <v>1143</v>
      </c>
      <c r="AH93" s="528" t="s">
        <v>1144</v>
      </c>
      <c r="AI93" s="333">
        <v>2</v>
      </c>
      <c r="AJ93" s="333">
        <v>4</v>
      </c>
      <c r="AK93" s="483">
        <v>0.33329999999999999</v>
      </c>
      <c r="AL93" s="483">
        <v>0.66659999999999997</v>
      </c>
      <c r="AM93" s="525" t="s">
        <v>1124</v>
      </c>
      <c r="AN93" s="528">
        <v>0</v>
      </c>
      <c r="AO93" s="528">
        <v>0</v>
      </c>
      <c r="AP93" s="528">
        <v>0</v>
      </c>
      <c r="AQ93" s="528">
        <v>0</v>
      </c>
      <c r="AR93" s="528">
        <v>0</v>
      </c>
      <c r="AS93" s="528">
        <v>0</v>
      </c>
      <c r="AT93" s="528">
        <v>0</v>
      </c>
      <c r="AU93" s="528">
        <v>0</v>
      </c>
      <c r="AV93" s="528">
        <v>0</v>
      </c>
      <c r="AW93" s="528">
        <v>0</v>
      </c>
      <c r="AX93" s="528">
        <v>0</v>
      </c>
      <c r="AY93" s="528">
        <v>0</v>
      </c>
      <c r="AZ93" s="528"/>
      <c r="BA93" s="528" t="s">
        <v>1145</v>
      </c>
      <c r="BB93" s="528"/>
      <c r="BC93" s="528" t="s">
        <v>1145</v>
      </c>
      <c r="BD93" s="528"/>
      <c r="BE93" s="528"/>
      <c r="BF93" s="528"/>
      <c r="BG93" s="529"/>
      <c r="BH93" s="525"/>
      <c r="BI93" s="528"/>
      <c r="BJ93" s="528" t="s">
        <v>4</v>
      </c>
      <c r="BK93" s="528"/>
      <c r="BL93" s="529"/>
      <c r="BM93" s="525" t="s">
        <v>430</v>
      </c>
      <c r="BN93" s="525" t="s">
        <v>368</v>
      </c>
    </row>
    <row r="94" spans="1:68" ht="13" customHeight="1" x14ac:dyDescent="0.2">
      <c r="A94" s="525">
        <v>2556</v>
      </c>
      <c r="B94" s="565">
        <v>44937</v>
      </c>
      <c r="C94" s="526" t="s">
        <v>1138</v>
      </c>
      <c r="D94" s="525" t="s">
        <v>1115</v>
      </c>
      <c r="E94" s="527">
        <v>44720</v>
      </c>
      <c r="F94" s="525" t="s">
        <v>1052</v>
      </c>
      <c r="G94" s="525" t="s">
        <v>1181</v>
      </c>
      <c r="H94" s="532">
        <v>86.963636363636354</v>
      </c>
      <c r="I94" s="531" t="s">
        <v>296</v>
      </c>
      <c r="J94" s="459">
        <v>6000</v>
      </c>
      <c r="K94" s="459">
        <v>12000</v>
      </c>
      <c r="L94" s="459">
        <v>84000</v>
      </c>
      <c r="M94" s="459">
        <v>84000</v>
      </c>
      <c r="N94" s="332"/>
      <c r="O94" s="532">
        <v>2.2272727272727271</v>
      </c>
      <c r="P94" s="532">
        <v>1.9636363636363636</v>
      </c>
      <c r="Q94" s="532">
        <v>1.5999999999999999</v>
      </c>
      <c r="R94" s="532">
        <v>0</v>
      </c>
      <c r="S94" s="532">
        <v>1.5909090909090908</v>
      </c>
      <c r="T94" s="571"/>
      <c r="U94" s="532">
        <v>1.7909090909090908</v>
      </c>
      <c r="V94" s="532">
        <v>1.7399999999999998</v>
      </c>
      <c r="W94" s="532">
        <v>1.5990909090909089</v>
      </c>
      <c r="X94" s="532">
        <v>0</v>
      </c>
      <c r="Y94" s="532">
        <v>1.5554545454545454</v>
      </c>
      <c r="Z94" s="571"/>
      <c r="AA94" s="571"/>
      <c r="AB94" s="571"/>
      <c r="AC94" s="571"/>
      <c r="AD94" s="571"/>
      <c r="AE94" s="571"/>
      <c r="AF94" s="571"/>
      <c r="AG94" s="333" t="s">
        <v>297</v>
      </c>
      <c r="AH94" s="333" t="s">
        <v>298</v>
      </c>
      <c r="AI94" s="333">
        <v>2</v>
      </c>
      <c r="AJ94" s="333">
        <v>4</v>
      </c>
      <c r="AK94" s="483">
        <v>0.33329999999999999</v>
      </c>
      <c r="AL94" s="483">
        <v>0.66659999999999997</v>
      </c>
      <c r="AM94" s="525" t="s">
        <v>1124</v>
      </c>
      <c r="AN94" s="528">
        <v>0</v>
      </c>
      <c r="AO94" s="528">
        <v>0</v>
      </c>
      <c r="AP94" s="528">
        <v>0</v>
      </c>
      <c r="AQ94" s="528">
        <v>0</v>
      </c>
      <c r="AR94" s="528">
        <v>0</v>
      </c>
      <c r="AS94" s="528">
        <v>0</v>
      </c>
      <c r="AT94" s="528">
        <v>0</v>
      </c>
      <c r="AU94" s="528">
        <v>0</v>
      </c>
      <c r="AV94" s="528">
        <v>0</v>
      </c>
      <c r="AW94" s="528">
        <v>0</v>
      </c>
      <c r="AX94" s="528">
        <v>0</v>
      </c>
      <c r="AY94" s="528">
        <v>0</v>
      </c>
      <c r="AZ94" s="528"/>
      <c r="BA94" s="528" t="s">
        <v>1145</v>
      </c>
      <c r="BB94" s="528"/>
      <c r="BC94" s="528" t="s">
        <v>1145</v>
      </c>
      <c r="BD94" s="528"/>
      <c r="BE94" s="528"/>
      <c r="BF94" s="528"/>
      <c r="BG94" s="529"/>
      <c r="BH94" s="525"/>
      <c r="BI94" s="528"/>
      <c r="BJ94" s="528" t="s">
        <v>4</v>
      </c>
      <c r="BK94" s="528"/>
      <c r="BL94" s="529"/>
      <c r="BM94" s="529" t="s">
        <v>1448</v>
      </c>
      <c r="BN94" s="525" t="s">
        <v>368</v>
      </c>
    </row>
    <row r="95" spans="1:68" ht="13" customHeight="1" x14ac:dyDescent="0.2">
      <c r="A95" s="525">
        <v>3526</v>
      </c>
      <c r="B95" s="565">
        <v>44937</v>
      </c>
      <c r="C95" s="526" t="s">
        <v>1138</v>
      </c>
      <c r="D95" s="525" t="s">
        <v>1115</v>
      </c>
      <c r="E95" s="527">
        <v>44927</v>
      </c>
      <c r="F95" s="529" t="s">
        <v>1156</v>
      </c>
      <c r="G95" s="525" t="s">
        <v>1649</v>
      </c>
      <c r="H95" s="532">
        <v>123.79090909090907</v>
      </c>
      <c r="I95" s="531" t="s">
        <v>296</v>
      </c>
      <c r="J95" s="459">
        <v>6000</v>
      </c>
      <c r="K95" s="459">
        <v>12000</v>
      </c>
      <c r="L95" s="459">
        <v>84000</v>
      </c>
      <c r="M95" s="459">
        <v>84000</v>
      </c>
      <c r="N95" s="525"/>
      <c r="O95" s="532">
        <v>3.9454545454545449</v>
      </c>
      <c r="P95" s="532">
        <v>3.1727272727272728</v>
      </c>
      <c r="Q95" s="532">
        <v>2.5090909090909088</v>
      </c>
      <c r="R95" s="532">
        <v>0</v>
      </c>
      <c r="S95" s="532">
        <v>2.4454545454545453</v>
      </c>
      <c r="T95" s="533"/>
      <c r="U95" s="532">
        <v>3.0272727272727269</v>
      </c>
      <c r="V95" s="532">
        <v>2.754545454545454</v>
      </c>
      <c r="W95" s="532">
        <v>2.4727272727272727</v>
      </c>
      <c r="X95" s="532">
        <v>0</v>
      </c>
      <c r="Y95" s="532">
        <v>2.3727272727272726</v>
      </c>
      <c r="Z95" s="533"/>
      <c r="AA95" s="533"/>
      <c r="AB95" s="533"/>
      <c r="AC95" s="533"/>
      <c r="AD95" s="533"/>
      <c r="AE95" s="533"/>
      <c r="AF95" s="533"/>
      <c r="AG95" s="528" t="s">
        <v>1143</v>
      </c>
      <c r="AH95" s="528" t="s">
        <v>1144</v>
      </c>
      <c r="AI95" s="333">
        <v>2</v>
      </c>
      <c r="AJ95" s="333">
        <v>4</v>
      </c>
      <c r="AK95" s="483">
        <v>0.33329999999999999</v>
      </c>
      <c r="AL95" s="483">
        <v>0.66659999999999997</v>
      </c>
      <c r="AM95" s="525" t="s">
        <v>1124</v>
      </c>
      <c r="AN95" s="528">
        <v>12</v>
      </c>
      <c r="AO95" s="528">
        <v>0</v>
      </c>
      <c r="AP95" s="528">
        <v>0</v>
      </c>
      <c r="AQ95" s="528">
        <v>0</v>
      </c>
      <c r="AR95" s="528">
        <v>0</v>
      </c>
      <c r="AS95" s="528">
        <v>0</v>
      </c>
      <c r="AT95" s="528">
        <v>0</v>
      </c>
      <c r="AU95" s="528">
        <v>0</v>
      </c>
      <c r="AV95" s="528">
        <v>0</v>
      </c>
      <c r="AW95" s="528">
        <v>0</v>
      </c>
      <c r="AX95" s="528">
        <v>0</v>
      </c>
      <c r="AY95" s="528">
        <v>0</v>
      </c>
      <c r="AZ95" s="566">
        <v>12</v>
      </c>
      <c r="BA95" s="528" t="s">
        <v>1145</v>
      </c>
      <c r="BB95" s="528"/>
      <c r="BC95" s="528" t="s">
        <v>1145</v>
      </c>
      <c r="BD95" s="528"/>
      <c r="BE95" s="528"/>
      <c r="BF95" s="528"/>
      <c r="BG95" s="529"/>
      <c r="BH95" s="525"/>
      <c r="BI95" s="528"/>
      <c r="BJ95" s="528" t="s">
        <v>1146</v>
      </c>
      <c r="BK95" s="528"/>
      <c r="BL95" s="529"/>
      <c r="BM95" s="525" t="s">
        <v>430</v>
      </c>
      <c r="BN95" s="525" t="s">
        <v>408</v>
      </c>
    </row>
    <row r="96" spans="1:68" ht="13" customHeight="1" x14ac:dyDescent="0.2">
      <c r="A96" s="525">
        <v>2874</v>
      </c>
      <c r="B96" s="565">
        <v>44937</v>
      </c>
      <c r="C96" s="526" t="s">
        <v>1138</v>
      </c>
      <c r="D96" s="525" t="s">
        <v>1115</v>
      </c>
      <c r="E96" s="527">
        <v>44896</v>
      </c>
      <c r="F96" s="529" t="s">
        <v>1159</v>
      </c>
      <c r="G96" s="525" t="s">
        <v>1105</v>
      </c>
      <c r="H96" s="532">
        <v>91.7</v>
      </c>
      <c r="I96" s="531" t="s">
        <v>296</v>
      </c>
      <c r="J96" s="459">
        <v>6000</v>
      </c>
      <c r="K96" s="459">
        <v>12000</v>
      </c>
      <c r="L96" s="459">
        <v>84000</v>
      </c>
      <c r="M96" s="459">
        <v>84000</v>
      </c>
      <c r="N96" s="525"/>
      <c r="O96" s="532">
        <v>2.7272727272727271</v>
      </c>
      <c r="P96" s="532">
        <v>2.4909090909090907</v>
      </c>
      <c r="Q96" s="532">
        <v>2.1909090909090909</v>
      </c>
      <c r="R96" s="532">
        <v>0</v>
      </c>
      <c r="S96" s="532">
        <v>2.1818181818181817</v>
      </c>
      <c r="T96" s="533"/>
      <c r="U96" s="532">
        <v>2.336363636363636</v>
      </c>
      <c r="V96" s="532">
        <v>2.2909090909090906</v>
      </c>
      <c r="W96" s="532">
        <v>2.1909090909090909</v>
      </c>
      <c r="X96" s="532">
        <v>0</v>
      </c>
      <c r="Y96" s="532">
        <v>2.1545454545454543</v>
      </c>
      <c r="Z96" s="533"/>
      <c r="AA96" s="533"/>
      <c r="AB96" s="533"/>
      <c r="AC96" s="533"/>
      <c r="AD96" s="533"/>
      <c r="AE96" s="533"/>
      <c r="AF96" s="533"/>
      <c r="AG96" s="528" t="s">
        <v>1143</v>
      </c>
      <c r="AH96" s="528" t="s">
        <v>1144</v>
      </c>
      <c r="AI96" s="333">
        <v>2</v>
      </c>
      <c r="AJ96" s="333">
        <v>4</v>
      </c>
      <c r="AK96" s="483">
        <v>0.33329999999999999</v>
      </c>
      <c r="AL96" s="483">
        <v>0.66659999999999997</v>
      </c>
      <c r="AM96" s="525" t="s">
        <v>1124</v>
      </c>
      <c r="AN96" s="528">
        <v>0</v>
      </c>
      <c r="AO96" s="528">
        <v>0</v>
      </c>
      <c r="AP96" s="528">
        <v>0</v>
      </c>
      <c r="AQ96" s="528">
        <v>0</v>
      </c>
      <c r="AR96" s="528">
        <v>0</v>
      </c>
      <c r="AS96" s="528">
        <v>0</v>
      </c>
      <c r="AT96" s="528">
        <v>0</v>
      </c>
      <c r="AU96" s="528">
        <v>0</v>
      </c>
      <c r="AV96" s="528">
        <v>0</v>
      </c>
      <c r="AW96" s="528">
        <v>0</v>
      </c>
      <c r="AX96" s="528">
        <v>0</v>
      </c>
      <c r="AY96" s="528">
        <v>0</v>
      </c>
      <c r="AZ96" s="528"/>
      <c r="BA96" s="528" t="s">
        <v>1145</v>
      </c>
      <c r="BB96" s="528"/>
      <c r="BC96" s="528" t="s">
        <v>1145</v>
      </c>
      <c r="BD96" s="528"/>
      <c r="BE96" s="528"/>
      <c r="BF96" s="564">
        <v>45351</v>
      </c>
      <c r="BG96" s="529"/>
      <c r="BH96" s="525"/>
      <c r="BI96" s="528"/>
      <c r="BJ96" s="528" t="s">
        <v>1146</v>
      </c>
      <c r="BK96" s="528"/>
      <c r="BL96" s="529"/>
      <c r="BM96" s="529" t="s">
        <v>1727</v>
      </c>
      <c r="BN96" s="525" t="s">
        <v>368</v>
      </c>
      <c r="BO96" s="366"/>
      <c r="BP96" s="366"/>
    </row>
    <row r="97" spans="1:66" ht="13" customHeight="1" x14ac:dyDescent="0.2">
      <c r="A97" s="525">
        <v>3372</v>
      </c>
      <c r="B97" s="565">
        <v>44937</v>
      </c>
      <c r="C97" s="526" t="s">
        <v>1138</v>
      </c>
      <c r="D97" s="525" t="s">
        <v>1115</v>
      </c>
      <c r="E97" s="527">
        <v>44927</v>
      </c>
      <c r="F97" s="529" t="s">
        <v>1166</v>
      </c>
      <c r="G97" s="525" t="s">
        <v>1651</v>
      </c>
      <c r="H97" s="532">
        <v>87.518181818181802</v>
      </c>
      <c r="I97" s="531"/>
      <c r="J97" s="568"/>
      <c r="K97" s="525"/>
      <c r="L97" s="525"/>
      <c r="M97" s="525"/>
      <c r="N97" s="525"/>
      <c r="O97" s="532">
        <v>2.3454545454545452</v>
      </c>
      <c r="P97" s="532">
        <v>0</v>
      </c>
      <c r="Q97" s="532">
        <v>0</v>
      </c>
      <c r="R97" s="532">
        <v>0</v>
      </c>
      <c r="S97" s="532">
        <v>0</v>
      </c>
      <c r="T97" s="533"/>
      <c r="U97" s="532">
        <v>2.3454545454545452</v>
      </c>
      <c r="V97" s="532">
        <v>0</v>
      </c>
      <c r="W97" s="532">
        <v>0</v>
      </c>
      <c r="X97" s="532">
        <v>0</v>
      </c>
      <c r="Y97" s="532">
        <v>0</v>
      </c>
      <c r="Z97" s="533"/>
      <c r="AA97" s="533"/>
      <c r="AB97" s="533"/>
      <c r="AC97" s="533"/>
      <c r="AD97" s="533"/>
      <c r="AE97" s="533"/>
      <c r="AF97" s="533"/>
      <c r="AG97" s="528" t="s">
        <v>1145</v>
      </c>
      <c r="AH97" s="528"/>
      <c r="AI97" s="528">
        <v>3</v>
      </c>
      <c r="AJ97" s="528">
        <v>3</v>
      </c>
      <c r="AK97" s="480">
        <v>0.5</v>
      </c>
      <c r="AL97" s="480">
        <v>0.5</v>
      </c>
      <c r="AM97" s="525"/>
      <c r="AN97" s="528">
        <v>0</v>
      </c>
      <c r="AO97" s="528">
        <v>0</v>
      </c>
      <c r="AP97" s="528">
        <v>0</v>
      </c>
      <c r="AQ97" s="528">
        <v>0</v>
      </c>
      <c r="AR97" s="528">
        <v>0</v>
      </c>
      <c r="AS97" s="528">
        <v>0</v>
      </c>
      <c r="AT97" s="528">
        <v>0</v>
      </c>
      <c r="AU97" s="528">
        <v>0</v>
      </c>
      <c r="AV97" s="528">
        <v>0</v>
      </c>
      <c r="AW97" s="528">
        <v>0</v>
      </c>
      <c r="AX97" s="528">
        <v>0</v>
      </c>
      <c r="AY97" s="528">
        <v>0</v>
      </c>
      <c r="AZ97" s="528"/>
      <c r="BA97" s="528" t="s">
        <v>1145</v>
      </c>
      <c r="BB97" s="528">
        <v>12</v>
      </c>
      <c r="BC97" s="528" t="s">
        <v>1145</v>
      </c>
      <c r="BD97" s="528"/>
      <c r="BE97" s="528"/>
      <c r="BF97" s="528"/>
      <c r="BG97" s="529"/>
      <c r="BH97" s="525"/>
      <c r="BI97" s="528"/>
      <c r="BJ97" s="528" t="s">
        <v>1146</v>
      </c>
      <c r="BK97" s="528"/>
      <c r="BL97" s="529"/>
      <c r="BM97" s="525" t="s">
        <v>1728</v>
      </c>
      <c r="BN97" s="525" t="s">
        <v>408</v>
      </c>
    </row>
    <row r="98" spans="1:66" ht="13" customHeight="1" x14ac:dyDescent="0.2">
      <c r="A98" s="525">
        <v>2400</v>
      </c>
      <c r="B98" s="565">
        <v>44937</v>
      </c>
      <c r="C98" s="526" t="s">
        <v>1138</v>
      </c>
      <c r="D98" s="525" t="s">
        <v>1115</v>
      </c>
      <c r="E98" s="570">
        <v>44896</v>
      </c>
      <c r="F98" s="529" t="s">
        <v>1168</v>
      </c>
      <c r="G98" s="525" t="s">
        <v>1297</v>
      </c>
      <c r="H98" s="532">
        <v>91.7</v>
      </c>
      <c r="I98" s="531" t="s">
        <v>296</v>
      </c>
      <c r="J98" s="459">
        <v>6000</v>
      </c>
      <c r="K98" s="459">
        <v>12000</v>
      </c>
      <c r="L98" s="459">
        <v>84000</v>
      </c>
      <c r="M98" s="459">
        <v>84000</v>
      </c>
      <c r="N98" s="525"/>
      <c r="O98" s="532">
        <v>2.5999999999999996</v>
      </c>
      <c r="P98" s="532">
        <v>2.2999999999999998</v>
      </c>
      <c r="Q98" s="532">
        <v>2</v>
      </c>
      <c r="R98" s="532">
        <v>0</v>
      </c>
      <c r="S98" s="532">
        <v>1.9545454545454544</v>
      </c>
      <c r="T98" s="533"/>
      <c r="U98" s="532">
        <v>2.1</v>
      </c>
      <c r="V98" s="532">
        <v>2.0545454545454542</v>
      </c>
      <c r="W98" s="532">
        <v>2</v>
      </c>
      <c r="X98" s="532">
        <v>0</v>
      </c>
      <c r="Y98" s="532">
        <v>1.8999999999999997</v>
      </c>
      <c r="Z98" s="533"/>
      <c r="AA98" s="533"/>
      <c r="AB98" s="533"/>
      <c r="AC98" s="533"/>
      <c r="AD98" s="533"/>
      <c r="AE98" s="533"/>
      <c r="AF98" s="533"/>
      <c r="AG98" s="528" t="s">
        <v>1143</v>
      </c>
      <c r="AH98" s="528" t="s">
        <v>1144</v>
      </c>
      <c r="AI98" s="333">
        <v>2</v>
      </c>
      <c r="AJ98" s="333">
        <v>4</v>
      </c>
      <c r="AK98" s="483">
        <v>0.33329999999999999</v>
      </c>
      <c r="AL98" s="483">
        <v>0.66659999999999997</v>
      </c>
      <c r="AM98" s="525" t="s">
        <v>1124</v>
      </c>
      <c r="AN98" s="528">
        <v>0</v>
      </c>
      <c r="AO98" s="528">
        <v>0</v>
      </c>
      <c r="AP98" s="528">
        <v>0</v>
      </c>
      <c r="AQ98" s="528">
        <v>0</v>
      </c>
      <c r="AR98" s="528">
        <v>0</v>
      </c>
      <c r="AS98" s="528">
        <v>0</v>
      </c>
      <c r="AT98" s="528">
        <v>0</v>
      </c>
      <c r="AU98" s="528">
        <v>0</v>
      </c>
      <c r="AV98" s="528">
        <v>0</v>
      </c>
      <c r="AW98" s="528">
        <v>0</v>
      </c>
      <c r="AX98" s="528">
        <v>0</v>
      </c>
      <c r="AY98" s="528">
        <v>0</v>
      </c>
      <c r="AZ98" s="528"/>
      <c r="BA98" s="528" t="s">
        <v>1145</v>
      </c>
      <c r="BB98" s="528"/>
      <c r="BC98" s="528" t="s">
        <v>1145</v>
      </c>
      <c r="BD98" s="528"/>
      <c r="BE98" s="528"/>
      <c r="BF98" s="528"/>
      <c r="BG98" s="529"/>
      <c r="BH98" s="525"/>
      <c r="BI98" s="528"/>
      <c r="BJ98" s="528" t="s">
        <v>1146</v>
      </c>
      <c r="BK98" s="528"/>
      <c r="BL98" s="529"/>
      <c r="BM98" s="529" t="s">
        <v>1733</v>
      </c>
      <c r="BN98" s="525" t="s">
        <v>368</v>
      </c>
    </row>
    <row r="99" spans="1:66" ht="13" customHeight="1" x14ac:dyDescent="0.2">
      <c r="A99" s="525">
        <v>268</v>
      </c>
      <c r="B99" s="565">
        <v>44937</v>
      </c>
      <c r="C99" s="526" t="s">
        <v>1138</v>
      </c>
      <c r="D99" s="525" t="s">
        <v>1115</v>
      </c>
      <c r="E99" s="527">
        <v>44907</v>
      </c>
      <c r="F99" s="529" t="s">
        <v>1169</v>
      </c>
      <c r="G99" s="525" t="s">
        <v>1698</v>
      </c>
      <c r="H99" s="532">
        <v>87.663636363636357</v>
      </c>
      <c r="I99" s="531" t="s">
        <v>296</v>
      </c>
      <c r="J99" s="459">
        <v>6000</v>
      </c>
      <c r="K99" s="459">
        <v>12000</v>
      </c>
      <c r="L99" s="459">
        <v>84000</v>
      </c>
      <c r="M99" s="459">
        <v>84000</v>
      </c>
      <c r="N99" s="525"/>
      <c r="O99" s="532">
        <v>3.2636363636363632</v>
      </c>
      <c r="P99" s="532">
        <v>3.1999999999999997</v>
      </c>
      <c r="Q99" s="532">
        <v>2.1727272727272728</v>
      </c>
      <c r="R99" s="532">
        <v>0</v>
      </c>
      <c r="S99" s="532">
        <v>2.1181818181818182</v>
      </c>
      <c r="T99" s="533"/>
      <c r="U99" s="532">
        <v>2.4909090909090907</v>
      </c>
      <c r="V99" s="532">
        <v>2.4</v>
      </c>
      <c r="W99" s="532">
        <v>2.1545454545454543</v>
      </c>
      <c r="X99" s="532">
        <v>0</v>
      </c>
      <c r="Y99" s="532">
        <v>2.0181818181818181</v>
      </c>
      <c r="Z99" s="533"/>
      <c r="AA99" s="533"/>
      <c r="AB99" s="533"/>
      <c r="AC99" s="533"/>
      <c r="AD99" s="533"/>
      <c r="AE99" s="533"/>
      <c r="AF99" s="533"/>
      <c r="AG99" s="528" t="s">
        <v>1143</v>
      </c>
      <c r="AH99" s="528" t="s">
        <v>1144</v>
      </c>
      <c r="AI99" s="333">
        <v>2</v>
      </c>
      <c r="AJ99" s="333">
        <v>4</v>
      </c>
      <c r="AK99" s="483">
        <v>0.33329999999999999</v>
      </c>
      <c r="AL99" s="483">
        <v>0.66659999999999997</v>
      </c>
      <c r="AM99" s="525" t="s">
        <v>1124</v>
      </c>
      <c r="AN99" s="528">
        <v>6</v>
      </c>
      <c r="AO99" s="528">
        <v>0</v>
      </c>
      <c r="AP99" s="528">
        <v>0</v>
      </c>
      <c r="AQ99" s="528">
        <v>0</v>
      </c>
      <c r="AR99" s="528">
        <v>0</v>
      </c>
      <c r="AS99" s="528">
        <v>0</v>
      </c>
      <c r="AT99" s="528">
        <v>0</v>
      </c>
      <c r="AU99" s="528">
        <v>0</v>
      </c>
      <c r="AV99" s="528">
        <v>0</v>
      </c>
      <c r="AW99" s="528">
        <v>0</v>
      </c>
      <c r="AX99" s="528">
        <v>0</v>
      </c>
      <c r="AY99" s="528">
        <v>0</v>
      </c>
      <c r="AZ99" s="528"/>
      <c r="BA99" s="528" t="s">
        <v>1145</v>
      </c>
      <c r="BB99" s="528"/>
      <c r="BC99" s="528" t="s">
        <v>1145</v>
      </c>
      <c r="BD99" s="528"/>
      <c r="BE99" s="528"/>
      <c r="BF99" s="528"/>
      <c r="BG99" s="529"/>
      <c r="BH99" s="525"/>
      <c r="BI99" s="528"/>
      <c r="BJ99" s="528" t="s">
        <v>1146</v>
      </c>
      <c r="BK99" s="528"/>
      <c r="BL99" s="529"/>
      <c r="BM99" s="529" t="s">
        <v>430</v>
      </c>
      <c r="BN99" s="525" t="s">
        <v>368</v>
      </c>
    </row>
    <row r="100" spans="1:66" ht="13" customHeight="1" x14ac:dyDescent="0.2">
      <c r="A100" s="525">
        <v>1688</v>
      </c>
      <c r="B100" s="565">
        <v>44938</v>
      </c>
      <c r="C100" s="526" t="s">
        <v>295</v>
      </c>
      <c r="D100" s="525" t="s">
        <v>1115</v>
      </c>
      <c r="E100" s="527">
        <v>44926</v>
      </c>
      <c r="F100" s="529" t="s">
        <v>1106</v>
      </c>
      <c r="G100" s="525" t="s">
        <v>2</v>
      </c>
      <c r="H100" s="532">
        <v>82</v>
      </c>
      <c r="I100" s="531" t="s">
        <v>296</v>
      </c>
      <c r="J100" s="459">
        <v>6000</v>
      </c>
      <c r="K100" s="459">
        <v>6000</v>
      </c>
      <c r="L100" s="459">
        <v>6000</v>
      </c>
      <c r="M100" s="459">
        <v>6000</v>
      </c>
      <c r="N100" s="525"/>
      <c r="O100" s="532">
        <v>2.5</v>
      </c>
      <c r="P100" s="532">
        <v>0</v>
      </c>
      <c r="Q100" s="532">
        <v>0</v>
      </c>
      <c r="R100" s="532">
        <v>0</v>
      </c>
      <c r="S100" s="532">
        <v>2.3272727272727272</v>
      </c>
      <c r="T100" s="533"/>
      <c r="U100" s="532">
        <v>2.5</v>
      </c>
      <c r="V100" s="532">
        <v>0</v>
      </c>
      <c r="W100" s="532">
        <v>0</v>
      </c>
      <c r="X100" s="532">
        <v>0</v>
      </c>
      <c r="Y100" s="532">
        <v>2.3272727272727272</v>
      </c>
      <c r="Z100" s="533"/>
      <c r="AA100" s="533"/>
      <c r="AB100" s="533"/>
      <c r="AC100" s="533"/>
      <c r="AD100" s="533"/>
      <c r="AE100" s="533"/>
      <c r="AF100" s="533"/>
      <c r="AG100" s="528" t="s">
        <v>297</v>
      </c>
      <c r="AH100" s="528" t="s">
        <v>298</v>
      </c>
      <c r="AI100" s="333">
        <v>2</v>
      </c>
      <c r="AJ100" s="333">
        <v>4</v>
      </c>
      <c r="AK100" s="483">
        <v>0.33329999999999999</v>
      </c>
      <c r="AL100" s="483">
        <v>0.66659999999999997</v>
      </c>
      <c r="AM100" s="525" t="s">
        <v>1124</v>
      </c>
      <c r="AN100" s="528">
        <v>0</v>
      </c>
      <c r="AO100" s="528">
        <v>0</v>
      </c>
      <c r="AP100" s="528">
        <v>2</v>
      </c>
      <c r="AQ100" s="528">
        <v>0</v>
      </c>
      <c r="AR100" s="528">
        <v>0</v>
      </c>
      <c r="AS100" s="528">
        <v>0</v>
      </c>
      <c r="AT100" s="528">
        <v>0</v>
      </c>
      <c r="AU100" s="528">
        <v>0</v>
      </c>
      <c r="AV100" s="528">
        <v>0</v>
      </c>
      <c r="AW100" s="528">
        <v>0</v>
      </c>
      <c r="AX100" s="528">
        <v>0</v>
      </c>
      <c r="AY100" s="528">
        <v>0</v>
      </c>
      <c r="AZ100" s="528"/>
      <c r="BA100" s="528" t="s">
        <v>1145</v>
      </c>
      <c r="BB100" s="528"/>
      <c r="BC100" s="528" t="s">
        <v>1145</v>
      </c>
      <c r="BD100" s="528"/>
      <c r="BE100" s="528"/>
      <c r="BF100" s="529"/>
      <c r="BG100" s="529" t="s">
        <v>1700</v>
      </c>
      <c r="BH100" s="525" t="s">
        <v>365</v>
      </c>
      <c r="BI100" s="528">
        <v>60</v>
      </c>
      <c r="BJ100" s="528" t="s">
        <v>1146</v>
      </c>
      <c r="BK100" s="528">
        <v>1</v>
      </c>
      <c r="BL100" s="525" t="s">
        <v>1701</v>
      </c>
      <c r="BM100" s="529" t="s">
        <v>1729</v>
      </c>
      <c r="BN100" s="525" t="s">
        <v>408</v>
      </c>
    </row>
    <row r="101" spans="1:66" ht="13" customHeight="1" x14ac:dyDescent="0.2">
      <c r="A101" s="525">
        <v>2742</v>
      </c>
      <c r="B101" s="565">
        <v>44937</v>
      </c>
      <c r="C101" s="526" t="s">
        <v>1138</v>
      </c>
      <c r="D101" s="525" t="s">
        <v>1115</v>
      </c>
      <c r="E101" s="527">
        <v>44927</v>
      </c>
      <c r="F101" s="525" t="s">
        <v>1274</v>
      </c>
      <c r="G101" s="525" t="s">
        <v>1467</v>
      </c>
      <c r="H101" s="532">
        <v>90.999999999999986</v>
      </c>
      <c r="I101" s="531" t="s">
        <v>296</v>
      </c>
      <c r="J101" s="409">
        <v>6000</v>
      </c>
      <c r="K101" s="332">
        <v>13500</v>
      </c>
      <c r="L101" s="332">
        <v>13500</v>
      </c>
      <c r="M101" s="332">
        <v>13500</v>
      </c>
      <c r="N101" s="332"/>
      <c r="O101" s="532">
        <v>3.5999999999999996</v>
      </c>
      <c r="P101" s="532">
        <v>3.1999999999999997</v>
      </c>
      <c r="Q101" s="532">
        <v>0</v>
      </c>
      <c r="R101" s="532">
        <v>0</v>
      </c>
      <c r="S101" s="532">
        <v>2.5999999999999996</v>
      </c>
      <c r="T101" s="571"/>
      <c r="U101" s="532">
        <v>3.5999999999999996</v>
      </c>
      <c r="V101" s="532">
        <v>3.1999999999999997</v>
      </c>
      <c r="W101" s="532">
        <v>0</v>
      </c>
      <c r="X101" s="532">
        <v>0</v>
      </c>
      <c r="Y101" s="532">
        <v>2.5999999999999996</v>
      </c>
      <c r="Z101" s="571"/>
      <c r="AA101" s="571"/>
      <c r="AB101" s="571"/>
      <c r="AC101" s="571"/>
      <c r="AD101" s="571"/>
      <c r="AE101" s="571"/>
      <c r="AF101" s="571"/>
      <c r="AG101" s="333" t="s">
        <v>1145</v>
      </c>
      <c r="AH101" s="333"/>
      <c r="AI101" s="528">
        <v>3</v>
      </c>
      <c r="AJ101" s="528">
        <v>3</v>
      </c>
      <c r="AK101" s="480">
        <v>0.5</v>
      </c>
      <c r="AL101" s="480">
        <v>0.5</v>
      </c>
      <c r="AM101" s="525"/>
      <c r="AN101" s="528">
        <v>0</v>
      </c>
      <c r="AO101" s="528">
        <v>7</v>
      </c>
      <c r="AP101" s="528">
        <v>0</v>
      </c>
      <c r="AQ101" s="528">
        <v>3</v>
      </c>
      <c r="AR101" s="528">
        <v>0</v>
      </c>
      <c r="AS101" s="528">
        <v>0</v>
      </c>
      <c r="AT101" s="528">
        <v>0</v>
      </c>
      <c r="AU101" s="528">
        <v>0</v>
      </c>
      <c r="AV101" s="528">
        <v>0</v>
      </c>
      <c r="AW101" s="528">
        <v>0</v>
      </c>
      <c r="AX101" s="528">
        <v>0</v>
      </c>
      <c r="AY101" s="528">
        <v>0</v>
      </c>
      <c r="AZ101" s="528"/>
      <c r="BA101" s="528" t="s">
        <v>1145</v>
      </c>
      <c r="BB101" s="528"/>
      <c r="BC101" s="528" t="s">
        <v>1145</v>
      </c>
      <c r="BD101" s="528"/>
      <c r="BE101" s="528"/>
      <c r="BF101" s="528"/>
      <c r="BG101" s="529"/>
      <c r="BH101" s="525"/>
      <c r="BI101" s="528"/>
      <c r="BJ101" s="528" t="s">
        <v>1146</v>
      </c>
      <c r="BK101" s="528">
        <v>1</v>
      </c>
      <c r="BL101" s="529"/>
      <c r="BM101" s="529" t="s">
        <v>1730</v>
      </c>
      <c r="BN101" s="525" t="s">
        <v>408</v>
      </c>
    </row>
    <row r="102" spans="1:66" ht="13" customHeight="1" x14ac:dyDescent="0.2">
      <c r="A102" s="525">
        <v>2933</v>
      </c>
      <c r="B102" s="565">
        <v>44937</v>
      </c>
      <c r="C102" s="526" t="s">
        <v>1138</v>
      </c>
      <c r="D102" s="525" t="s">
        <v>1115</v>
      </c>
      <c r="E102" s="527">
        <v>44853</v>
      </c>
      <c r="F102" s="525" t="s">
        <v>1483</v>
      </c>
      <c r="G102" s="525" t="s">
        <v>1550</v>
      </c>
      <c r="H102" s="532">
        <v>115.99999999999999</v>
      </c>
      <c r="I102" s="531" t="s">
        <v>296</v>
      </c>
      <c r="J102" s="459">
        <v>6000</v>
      </c>
      <c r="K102" s="459">
        <v>12000</v>
      </c>
      <c r="L102" s="459">
        <v>84000</v>
      </c>
      <c r="M102" s="459">
        <v>84000</v>
      </c>
      <c r="N102" s="332"/>
      <c r="O102" s="532">
        <v>2</v>
      </c>
      <c r="P102" s="532">
        <v>1.7545454545454544</v>
      </c>
      <c r="Q102" s="532">
        <v>1.4545454545454546</v>
      </c>
      <c r="R102" s="532">
        <v>0</v>
      </c>
      <c r="S102" s="532">
        <v>1.4272727272727272</v>
      </c>
      <c r="T102" s="571"/>
      <c r="U102" s="532">
        <v>1.5181818181818181</v>
      </c>
      <c r="V102" s="532">
        <v>1.4909090909090907</v>
      </c>
      <c r="W102" s="532">
        <v>1.4090909090909089</v>
      </c>
      <c r="X102" s="532">
        <v>0</v>
      </c>
      <c r="Y102" s="532">
        <v>1.3818181818181816</v>
      </c>
      <c r="Z102" s="571"/>
      <c r="AA102" s="571"/>
      <c r="AB102" s="571"/>
      <c r="AC102" s="571"/>
      <c r="AD102" s="571"/>
      <c r="AE102" s="571"/>
      <c r="AF102" s="571"/>
      <c r="AG102" s="333" t="s">
        <v>1143</v>
      </c>
      <c r="AH102" s="333" t="s">
        <v>1144</v>
      </c>
      <c r="AI102" s="333">
        <v>2</v>
      </c>
      <c r="AJ102" s="333">
        <v>4</v>
      </c>
      <c r="AK102" s="483">
        <v>0.33329999999999999</v>
      </c>
      <c r="AL102" s="483">
        <v>0.66659999999999997</v>
      </c>
      <c r="AM102" s="525" t="s">
        <v>1124</v>
      </c>
      <c r="AN102" s="528">
        <v>0</v>
      </c>
      <c r="AO102" s="528">
        <v>0</v>
      </c>
      <c r="AP102" s="528">
        <v>0</v>
      </c>
      <c r="AQ102" s="528">
        <v>0</v>
      </c>
      <c r="AR102" s="528">
        <v>0</v>
      </c>
      <c r="AS102" s="528">
        <v>0</v>
      </c>
      <c r="AT102" s="528">
        <v>0</v>
      </c>
      <c r="AU102" s="528">
        <v>0</v>
      </c>
      <c r="AV102" s="528">
        <v>0</v>
      </c>
      <c r="AW102" s="528">
        <v>0</v>
      </c>
      <c r="AX102" s="528">
        <v>0</v>
      </c>
      <c r="AY102" s="528">
        <v>0</v>
      </c>
      <c r="AZ102" s="528"/>
      <c r="BA102" s="528" t="s">
        <v>1145</v>
      </c>
      <c r="BB102" s="528"/>
      <c r="BC102" s="528" t="s">
        <v>1145</v>
      </c>
      <c r="BD102" s="528"/>
      <c r="BE102" s="528"/>
      <c r="BF102" s="564"/>
      <c r="BG102" s="529"/>
      <c r="BH102" s="525"/>
      <c r="BI102" s="528"/>
      <c r="BJ102" s="528" t="s">
        <v>4</v>
      </c>
      <c r="BK102" s="528"/>
      <c r="BL102" s="529"/>
      <c r="BM102" s="525" t="s">
        <v>1731</v>
      </c>
      <c r="BN102" s="525" t="s">
        <v>368</v>
      </c>
    </row>
    <row r="103" spans="1:66" ht="16" x14ac:dyDescent="0.2">
      <c r="A103" s="525">
        <v>3701</v>
      </c>
      <c r="B103" s="565">
        <v>44939</v>
      </c>
      <c r="C103" s="526" t="s">
        <v>1138</v>
      </c>
      <c r="D103" s="525" t="s">
        <v>1115</v>
      </c>
      <c r="E103" s="527">
        <v>44927</v>
      </c>
      <c r="F103" s="525" t="s">
        <v>1057</v>
      </c>
      <c r="G103" s="525" t="s">
        <v>1734</v>
      </c>
      <c r="H103" s="340">
        <v>116.39999999999998</v>
      </c>
      <c r="I103" s="531" t="s">
        <v>296</v>
      </c>
      <c r="J103" s="459">
        <v>6000</v>
      </c>
      <c r="K103" s="459">
        <v>12000</v>
      </c>
      <c r="L103" s="459">
        <v>84000</v>
      </c>
      <c r="M103" s="459">
        <v>84000</v>
      </c>
      <c r="N103" s="297"/>
      <c r="O103" s="340">
        <v>3.1999999999999997</v>
      </c>
      <c r="P103" s="340">
        <v>2.9</v>
      </c>
      <c r="Q103" s="340">
        <v>2.5</v>
      </c>
      <c r="R103" s="340">
        <v>0</v>
      </c>
      <c r="S103" s="340">
        <v>2.5</v>
      </c>
      <c r="T103" s="571"/>
      <c r="U103" s="340">
        <v>2.7</v>
      </c>
      <c r="V103" s="340">
        <v>2.5999999999999996</v>
      </c>
      <c r="W103" s="340">
        <v>2.5</v>
      </c>
      <c r="X103" s="340">
        <v>0</v>
      </c>
      <c r="Y103" s="340">
        <v>2.4</v>
      </c>
      <c r="Z103" s="297"/>
      <c r="AA103" s="297"/>
      <c r="AB103" s="297"/>
      <c r="AC103" s="297"/>
      <c r="AD103" s="297"/>
      <c r="AE103" s="297"/>
      <c r="AF103" s="297"/>
      <c r="AG103" s="333" t="s">
        <v>1143</v>
      </c>
      <c r="AH103" s="333" t="s">
        <v>1144</v>
      </c>
      <c r="AI103" s="333">
        <v>2</v>
      </c>
      <c r="AJ103" s="333">
        <v>4</v>
      </c>
      <c r="AK103" s="483">
        <v>0.33329999999999999</v>
      </c>
      <c r="AL103" s="483">
        <v>0.66659999999999997</v>
      </c>
      <c r="AM103" s="525" t="s">
        <v>1124</v>
      </c>
      <c r="AN103" s="528">
        <v>0</v>
      </c>
      <c r="AO103" s="528">
        <v>0</v>
      </c>
      <c r="AP103" s="528">
        <v>0</v>
      </c>
      <c r="AQ103" s="528">
        <v>0</v>
      </c>
      <c r="AR103" s="528">
        <v>0</v>
      </c>
      <c r="AS103" s="528">
        <v>0</v>
      </c>
      <c r="AT103" s="528">
        <v>0</v>
      </c>
      <c r="AU103" s="528">
        <v>0</v>
      </c>
      <c r="AV103" s="528">
        <v>0</v>
      </c>
      <c r="AW103" s="528">
        <v>0</v>
      </c>
      <c r="AX103" s="528">
        <v>0</v>
      </c>
      <c r="AY103" s="528">
        <v>0</v>
      </c>
      <c r="AZ103" s="528"/>
      <c r="BA103" s="528" t="s">
        <v>1145</v>
      </c>
      <c r="BB103" s="528"/>
      <c r="BC103" s="528" t="s">
        <v>1145</v>
      </c>
      <c r="BD103" s="528"/>
      <c r="BE103" s="528"/>
      <c r="BF103" s="528"/>
      <c r="BG103" s="529"/>
      <c r="BH103" s="525"/>
      <c r="BI103" s="528"/>
      <c r="BJ103" s="528" t="s">
        <v>1146</v>
      </c>
      <c r="BK103" s="528"/>
      <c r="BL103" s="529" t="s">
        <v>1735</v>
      </c>
      <c r="BM103" s="569" t="s">
        <v>1738</v>
      </c>
      <c r="BN103" s="525" t="s">
        <v>1121</v>
      </c>
    </row>
    <row r="104" spans="1:66" ht="13" customHeight="1" x14ac:dyDescent="0.2">
      <c r="A104" s="525">
        <v>3631</v>
      </c>
      <c r="B104" s="565">
        <v>44937</v>
      </c>
      <c r="C104" s="526" t="s">
        <v>1138</v>
      </c>
      <c r="D104" s="525" t="s">
        <v>1115</v>
      </c>
      <c r="E104" s="527">
        <v>44935</v>
      </c>
      <c r="F104" s="525" t="s">
        <v>1173</v>
      </c>
      <c r="G104" s="525" t="s">
        <v>1705</v>
      </c>
      <c r="H104" s="532">
        <v>109.99999999999999</v>
      </c>
      <c r="I104" s="531" t="s">
        <v>296</v>
      </c>
      <c r="J104" s="409">
        <v>18000</v>
      </c>
      <c r="K104" s="409">
        <v>18000</v>
      </c>
      <c r="L104" s="409">
        <v>18000</v>
      </c>
      <c r="M104" s="409">
        <v>18000</v>
      </c>
      <c r="N104" s="332"/>
      <c r="O104" s="532">
        <v>5.3</v>
      </c>
      <c r="P104" s="532">
        <v>0</v>
      </c>
      <c r="Q104" s="532">
        <v>0</v>
      </c>
      <c r="R104" s="532">
        <v>0</v>
      </c>
      <c r="S104" s="532">
        <v>4.5999999999999996</v>
      </c>
      <c r="T104" s="571"/>
      <c r="U104" s="532">
        <v>4</v>
      </c>
      <c r="V104" s="532">
        <v>0</v>
      </c>
      <c r="W104" s="532">
        <v>0</v>
      </c>
      <c r="X104" s="532">
        <v>0</v>
      </c>
      <c r="Y104" s="532">
        <v>3.4</v>
      </c>
      <c r="Z104" s="571"/>
      <c r="AA104" s="571"/>
      <c r="AB104" s="571"/>
      <c r="AC104" s="571"/>
      <c r="AD104" s="571"/>
      <c r="AE104" s="571"/>
      <c r="AF104" s="571"/>
      <c r="AG104" s="333" t="s">
        <v>1143</v>
      </c>
      <c r="AH104" s="333" t="s">
        <v>1144</v>
      </c>
      <c r="AI104" s="333">
        <v>2</v>
      </c>
      <c r="AJ104" s="333">
        <v>4</v>
      </c>
      <c r="AK104" s="483">
        <v>0.33329999999999999</v>
      </c>
      <c r="AL104" s="483">
        <v>0.66659999999999997</v>
      </c>
      <c r="AM104" s="525" t="s">
        <v>1124</v>
      </c>
      <c r="AN104" s="528">
        <v>0</v>
      </c>
      <c r="AO104" s="528">
        <v>0</v>
      </c>
      <c r="AP104" s="528">
        <v>0</v>
      </c>
      <c r="AQ104" s="528">
        <v>0</v>
      </c>
      <c r="AR104" s="528">
        <v>0</v>
      </c>
      <c r="AS104" s="528">
        <v>0</v>
      </c>
      <c r="AT104" s="528">
        <v>0</v>
      </c>
      <c r="AU104" s="528">
        <v>0</v>
      </c>
      <c r="AV104" s="528">
        <v>0</v>
      </c>
      <c r="AW104" s="528">
        <v>0</v>
      </c>
      <c r="AX104" s="528">
        <v>0</v>
      </c>
      <c r="AY104" s="528">
        <v>0</v>
      </c>
      <c r="AZ104" s="528"/>
      <c r="BA104" s="528" t="s">
        <v>1145</v>
      </c>
      <c r="BB104" s="528"/>
      <c r="BC104" s="528" t="s">
        <v>1145</v>
      </c>
      <c r="BD104" s="528"/>
      <c r="BE104" s="528"/>
      <c r="BF104" s="564"/>
      <c r="BG104" s="529"/>
      <c r="BH104" s="525"/>
      <c r="BI104" s="528"/>
      <c r="BJ104" s="528" t="s">
        <v>4</v>
      </c>
      <c r="BK104" s="528"/>
      <c r="BL104" s="529"/>
      <c r="BM104" s="525" t="s">
        <v>1732</v>
      </c>
      <c r="BN104" s="525" t="s">
        <v>408</v>
      </c>
    </row>
    <row r="111" spans="1:66" ht="16" x14ac:dyDescent="0.2">
      <c r="A111" s="569"/>
      <c r="B111" s="612"/>
      <c r="C111" s="613"/>
      <c r="D111" s="569"/>
      <c r="E111" s="614"/>
      <c r="F111" s="569"/>
      <c r="G111" s="569"/>
      <c r="H111" s="615"/>
      <c r="I111" s="616"/>
      <c r="J111" s="617"/>
      <c r="K111" s="617"/>
      <c r="L111" s="617"/>
      <c r="M111" s="617"/>
      <c r="O111" s="615"/>
      <c r="P111" s="615"/>
      <c r="Q111" s="615"/>
      <c r="R111" s="615"/>
      <c r="S111" s="615"/>
      <c r="T111" s="618"/>
      <c r="U111" s="615"/>
      <c r="V111" s="615"/>
      <c r="W111" s="615"/>
      <c r="X111" s="615"/>
      <c r="Y111" s="615"/>
      <c r="AG111" s="619"/>
      <c r="AI111" s="620"/>
      <c r="AJ111" s="620"/>
      <c r="AK111" s="621"/>
      <c r="AL111" s="621"/>
      <c r="AM111" s="569"/>
      <c r="AN111" s="620"/>
      <c r="AO111" s="620"/>
      <c r="AP111" s="620"/>
      <c r="AQ111" s="620"/>
      <c r="AR111" s="620"/>
      <c r="AS111" s="620"/>
      <c r="AT111" s="620"/>
      <c r="AU111" s="620"/>
      <c r="AV111" s="620"/>
      <c r="AW111" s="620"/>
      <c r="AX111" s="620"/>
      <c r="AY111" s="620"/>
      <c r="AZ111" s="620"/>
      <c r="BA111" s="620"/>
      <c r="BB111" s="620"/>
      <c r="BC111" s="620"/>
      <c r="BD111" s="620"/>
      <c r="BE111" s="620"/>
      <c r="BF111" s="620"/>
      <c r="BG111" s="567"/>
      <c r="BH111" s="569"/>
      <c r="BI111" s="620"/>
      <c r="BJ111" s="620"/>
      <c r="BK111" s="620"/>
      <c r="BL111" s="567"/>
      <c r="BM111" s="569"/>
      <c r="BN111" s="569"/>
    </row>
    <row r="112" spans="1:66" ht="16" x14ac:dyDescent="0.2">
      <c r="A112" s="569"/>
      <c r="B112" s="612"/>
      <c r="C112" s="613"/>
      <c r="D112" s="569"/>
      <c r="E112" s="614"/>
      <c r="F112" s="569"/>
      <c r="G112" s="569"/>
      <c r="H112" s="615"/>
      <c r="I112" s="616"/>
      <c r="J112" s="617"/>
      <c r="K112" s="617"/>
      <c r="L112" s="617"/>
      <c r="M112" s="617"/>
      <c r="O112" s="615"/>
      <c r="P112" s="615"/>
      <c r="Q112" s="615"/>
      <c r="R112" s="615"/>
      <c r="S112" s="615"/>
      <c r="T112" s="618"/>
      <c r="U112" s="615"/>
      <c r="V112" s="615"/>
      <c r="W112" s="615"/>
      <c r="X112" s="615"/>
      <c r="Y112" s="615"/>
      <c r="AG112" s="619"/>
      <c r="AI112" s="620"/>
      <c r="AJ112" s="620"/>
      <c r="AK112" s="621"/>
      <c r="AL112" s="621"/>
      <c r="AM112" s="569"/>
      <c r="AN112" s="620"/>
      <c r="AO112" s="620"/>
      <c r="AP112" s="620"/>
      <c r="AQ112" s="620"/>
      <c r="AR112" s="620"/>
      <c r="AS112" s="620"/>
      <c r="AT112" s="620"/>
      <c r="AU112" s="620"/>
      <c r="AV112" s="620"/>
      <c r="AW112" s="620"/>
      <c r="AX112" s="620"/>
      <c r="AY112" s="620"/>
      <c r="AZ112" s="620"/>
      <c r="BA112" s="620"/>
      <c r="BB112" s="620"/>
      <c r="BC112" s="620"/>
      <c r="BD112" s="620"/>
      <c r="BE112" s="620"/>
      <c r="BF112" s="620"/>
      <c r="BG112" s="567"/>
      <c r="BH112" s="569"/>
      <c r="BI112" s="620"/>
      <c r="BJ112" s="620"/>
      <c r="BK112" s="620"/>
      <c r="BL112" s="567"/>
      <c r="BM112" s="569"/>
      <c r="BN112" s="569"/>
    </row>
    <row r="113" spans="1:66" ht="16" x14ac:dyDescent="0.2">
      <c r="A113" s="569"/>
      <c r="B113" s="612"/>
      <c r="C113" s="613"/>
      <c r="D113" s="569"/>
      <c r="E113" s="614"/>
      <c r="F113" s="569"/>
      <c r="G113" s="569"/>
      <c r="H113" s="615"/>
      <c r="I113" s="616"/>
      <c r="J113" s="617"/>
      <c r="K113" s="617"/>
      <c r="L113" s="617"/>
      <c r="M113" s="617"/>
      <c r="O113" s="615"/>
      <c r="P113" s="615"/>
      <c r="Q113" s="615"/>
      <c r="R113" s="615"/>
      <c r="S113" s="615"/>
      <c r="T113" s="618"/>
      <c r="U113" s="615"/>
      <c r="V113" s="615"/>
      <c r="W113" s="615"/>
      <c r="X113" s="615"/>
      <c r="Y113" s="615"/>
      <c r="AG113" s="619"/>
      <c r="AI113" s="620"/>
      <c r="AJ113" s="620"/>
      <c r="AK113" s="621"/>
      <c r="AL113" s="621"/>
      <c r="AM113" s="569"/>
      <c r="AN113" s="620"/>
      <c r="AO113" s="620"/>
      <c r="AP113" s="620"/>
      <c r="AQ113" s="620"/>
      <c r="AR113" s="620"/>
      <c r="AS113" s="620"/>
      <c r="AT113" s="620"/>
      <c r="AU113" s="620"/>
      <c r="AV113" s="620"/>
      <c r="AW113" s="620"/>
      <c r="AX113" s="620"/>
      <c r="AY113" s="620"/>
      <c r="AZ113" s="620"/>
      <c r="BA113" s="620"/>
      <c r="BB113" s="620"/>
      <c r="BC113" s="620"/>
      <c r="BD113" s="620"/>
      <c r="BE113" s="620"/>
      <c r="BF113" s="620"/>
      <c r="BG113" s="567"/>
      <c r="BH113" s="569"/>
      <c r="BI113" s="620"/>
      <c r="BJ113" s="620"/>
      <c r="BK113" s="620"/>
      <c r="BL113" s="567"/>
      <c r="BM113" s="569"/>
      <c r="BN113" s="569"/>
    </row>
    <row r="114" spans="1:66" ht="16" x14ac:dyDescent="0.2">
      <c r="A114" s="569"/>
      <c r="B114" s="612"/>
      <c r="C114" s="613"/>
      <c r="D114" s="569"/>
      <c r="E114" s="614"/>
      <c r="F114" s="569"/>
      <c r="G114" s="569"/>
      <c r="H114" s="615"/>
      <c r="I114" s="616"/>
      <c r="J114" s="622"/>
      <c r="K114" s="622"/>
      <c r="L114" s="622"/>
      <c r="M114" s="622"/>
      <c r="O114" s="615"/>
      <c r="P114" s="615"/>
      <c r="Q114" s="615"/>
      <c r="R114" s="615"/>
      <c r="S114" s="615"/>
      <c r="T114" s="618"/>
      <c r="U114" s="615"/>
      <c r="V114" s="615"/>
      <c r="W114" s="615"/>
      <c r="X114" s="615"/>
      <c r="Y114" s="615"/>
      <c r="AG114" s="619"/>
      <c r="AH114" s="619"/>
      <c r="AI114" s="619"/>
      <c r="AJ114" s="619"/>
      <c r="AK114" s="623"/>
      <c r="AL114" s="623"/>
      <c r="AM114" s="569"/>
      <c r="AN114" s="620"/>
      <c r="AO114" s="620"/>
      <c r="AP114" s="620"/>
      <c r="AQ114" s="620"/>
      <c r="AR114" s="620"/>
      <c r="AS114" s="620"/>
      <c r="AT114" s="620"/>
      <c r="AU114" s="620"/>
      <c r="AV114" s="620"/>
      <c r="AW114" s="620"/>
      <c r="AX114" s="620"/>
      <c r="AY114" s="620"/>
      <c r="AZ114" s="620"/>
      <c r="BA114" s="620"/>
      <c r="BB114" s="620"/>
      <c r="BC114" s="620"/>
      <c r="BD114" s="620"/>
      <c r="BE114" s="620"/>
      <c r="BF114" s="620"/>
      <c r="BG114" s="567"/>
      <c r="BH114" s="569"/>
      <c r="BI114" s="620"/>
      <c r="BJ114" s="620"/>
      <c r="BK114" s="620"/>
      <c r="BL114" s="567"/>
      <c r="BM114" s="569"/>
      <c r="BN114" s="569"/>
    </row>
    <row r="115" spans="1:66" ht="16" x14ac:dyDescent="0.2">
      <c r="A115" s="569"/>
      <c r="B115" s="612"/>
      <c r="C115" s="613"/>
      <c r="D115" s="569"/>
      <c r="E115" s="614"/>
      <c r="F115" s="569"/>
      <c r="G115" s="569"/>
      <c r="H115" s="615"/>
      <c r="I115" s="616"/>
      <c r="J115" s="622"/>
      <c r="K115" s="622"/>
      <c r="L115" s="622"/>
      <c r="M115" s="622"/>
      <c r="O115" s="615"/>
      <c r="P115" s="615"/>
      <c r="Q115" s="615"/>
      <c r="R115" s="615"/>
      <c r="S115" s="615"/>
      <c r="T115" s="618"/>
      <c r="U115" s="615"/>
      <c r="V115" s="615"/>
      <c r="W115" s="615"/>
      <c r="X115" s="615"/>
      <c r="Y115" s="615"/>
      <c r="AG115" s="619"/>
      <c r="AH115" s="619"/>
      <c r="AI115" s="619"/>
      <c r="AJ115" s="619"/>
      <c r="AK115" s="623"/>
      <c r="AL115" s="623"/>
      <c r="AM115" s="569"/>
      <c r="AN115" s="620"/>
      <c r="AO115" s="620"/>
      <c r="AP115" s="620"/>
      <c r="AQ115" s="620"/>
      <c r="AR115" s="620"/>
      <c r="AS115" s="620"/>
      <c r="AT115" s="620"/>
      <c r="AU115" s="620"/>
      <c r="AV115" s="620"/>
      <c r="AW115" s="620"/>
      <c r="AX115" s="620"/>
      <c r="AY115" s="620"/>
      <c r="AZ115" s="620"/>
      <c r="BA115" s="620"/>
      <c r="BB115" s="620"/>
      <c r="BC115" s="620"/>
      <c r="BD115" s="620"/>
      <c r="BE115" s="620"/>
      <c r="BF115" s="620"/>
      <c r="BG115" s="567"/>
      <c r="BH115" s="569"/>
      <c r="BI115" s="620"/>
      <c r="BJ115" s="620"/>
      <c r="BK115" s="620"/>
      <c r="BL115" s="567"/>
      <c r="BM115" s="569"/>
      <c r="BN115" s="569"/>
    </row>
    <row r="116" spans="1:66" ht="16" x14ac:dyDescent="0.2">
      <c r="A116" s="569"/>
      <c r="B116" s="612"/>
      <c r="C116" s="613"/>
      <c r="D116" s="569"/>
      <c r="E116" s="614"/>
      <c r="F116" s="569"/>
      <c r="G116" s="569"/>
      <c r="H116" s="615"/>
      <c r="I116" s="616"/>
      <c r="J116" s="622"/>
      <c r="K116" s="622"/>
      <c r="L116" s="622"/>
      <c r="M116" s="622"/>
      <c r="O116" s="615"/>
      <c r="P116" s="615"/>
      <c r="Q116" s="615"/>
      <c r="R116" s="615"/>
      <c r="S116" s="615"/>
      <c r="T116" s="618"/>
      <c r="U116" s="615"/>
      <c r="V116" s="615"/>
      <c r="W116" s="615"/>
      <c r="X116" s="615"/>
      <c r="Y116" s="615"/>
      <c r="AG116" s="619"/>
      <c r="AH116" s="619"/>
      <c r="AI116" s="619"/>
      <c r="AJ116" s="619"/>
      <c r="AK116" s="623"/>
      <c r="AL116" s="623"/>
      <c r="AM116" s="569"/>
      <c r="AN116" s="620"/>
      <c r="AO116" s="620"/>
      <c r="AP116" s="620"/>
      <c r="AQ116" s="620"/>
      <c r="AR116" s="620"/>
      <c r="AS116" s="620"/>
      <c r="AT116" s="620"/>
      <c r="AU116" s="620"/>
      <c r="AV116" s="620"/>
      <c r="AW116" s="620"/>
      <c r="AX116" s="620"/>
      <c r="AY116" s="620"/>
      <c r="AZ116" s="620"/>
      <c r="BA116" s="620"/>
      <c r="BB116" s="620"/>
      <c r="BC116" s="620"/>
      <c r="BD116" s="620"/>
      <c r="BE116" s="620"/>
      <c r="BF116" s="620"/>
      <c r="BG116" s="567"/>
      <c r="BH116" s="569"/>
      <c r="BI116" s="620"/>
      <c r="BJ116" s="620"/>
      <c r="BK116" s="620"/>
      <c r="BL116" s="567"/>
      <c r="BM116" s="569"/>
      <c r="BN116" s="569"/>
    </row>
    <row r="117" spans="1:66" ht="16" x14ac:dyDescent="0.2">
      <c r="A117" s="569"/>
      <c r="B117" s="612"/>
      <c r="C117" s="613"/>
      <c r="D117" s="569"/>
      <c r="E117" s="614"/>
      <c r="F117" s="569"/>
      <c r="G117" s="569"/>
      <c r="H117" s="615"/>
      <c r="I117" s="616"/>
      <c r="J117" s="622"/>
      <c r="K117" s="622"/>
      <c r="L117" s="622"/>
      <c r="M117" s="622"/>
      <c r="O117" s="615"/>
      <c r="P117" s="615"/>
      <c r="Q117" s="615"/>
      <c r="R117" s="615"/>
      <c r="S117" s="615"/>
      <c r="T117" s="618"/>
      <c r="U117" s="615"/>
      <c r="V117" s="615"/>
      <c r="W117" s="615"/>
      <c r="X117" s="615"/>
      <c r="Y117" s="615"/>
      <c r="AG117" s="619"/>
      <c r="AH117" s="619"/>
      <c r="AI117" s="620"/>
      <c r="AJ117" s="620"/>
      <c r="AK117" s="621"/>
      <c r="AL117" s="621"/>
      <c r="AM117" s="569"/>
      <c r="AN117" s="620"/>
      <c r="AO117" s="620"/>
      <c r="AP117" s="620"/>
      <c r="AQ117" s="620"/>
      <c r="AR117" s="620"/>
      <c r="AS117" s="620"/>
      <c r="AT117" s="620"/>
      <c r="AU117" s="620"/>
      <c r="AV117" s="620"/>
      <c r="AW117" s="620"/>
      <c r="AX117" s="620"/>
      <c r="AY117" s="620"/>
      <c r="AZ117" s="620"/>
      <c r="BA117" s="620"/>
      <c r="BB117" s="620"/>
      <c r="BC117" s="620"/>
      <c r="BD117" s="620"/>
      <c r="BE117" s="620"/>
      <c r="BF117" s="620"/>
      <c r="BG117" s="567"/>
      <c r="BH117" s="569"/>
      <c r="BI117" s="620"/>
      <c r="BJ117" s="620"/>
      <c r="BK117" s="620"/>
      <c r="BL117" s="567"/>
      <c r="BM117" s="530"/>
      <c r="BN117" s="569"/>
    </row>
    <row r="118" spans="1:66" ht="16" x14ac:dyDescent="0.2">
      <c r="A118" s="569"/>
      <c r="B118" s="612"/>
      <c r="C118" s="613"/>
      <c r="D118" s="569"/>
      <c r="E118" s="614"/>
      <c r="F118" s="569"/>
      <c r="G118" s="569"/>
      <c r="H118" s="615"/>
      <c r="I118" s="616"/>
      <c r="J118" s="622"/>
      <c r="K118" s="622"/>
      <c r="L118" s="622"/>
      <c r="M118" s="622"/>
      <c r="O118" s="615"/>
      <c r="P118" s="615"/>
      <c r="Q118" s="615"/>
      <c r="R118" s="615"/>
      <c r="S118" s="615"/>
      <c r="T118" s="618"/>
      <c r="U118" s="615"/>
      <c r="V118" s="615"/>
      <c r="W118" s="615"/>
      <c r="X118" s="615"/>
      <c r="Y118" s="615"/>
      <c r="AG118" s="619"/>
      <c r="AH118" s="619"/>
      <c r="AI118" s="620"/>
      <c r="AJ118" s="620"/>
      <c r="AK118" s="621"/>
      <c r="AL118" s="621"/>
      <c r="AM118" s="569"/>
      <c r="AN118" s="620"/>
      <c r="AO118" s="620"/>
      <c r="AP118" s="620"/>
      <c r="AQ118" s="620"/>
      <c r="AR118" s="620"/>
      <c r="AS118" s="620"/>
      <c r="AT118" s="620"/>
      <c r="AU118" s="620"/>
      <c r="AV118" s="620"/>
      <c r="AW118" s="620"/>
      <c r="AX118" s="620"/>
      <c r="AY118" s="620"/>
      <c r="AZ118" s="620"/>
      <c r="BA118" s="620"/>
      <c r="BB118" s="620"/>
      <c r="BC118" s="620"/>
      <c r="BD118" s="620"/>
      <c r="BE118" s="620"/>
      <c r="BF118" s="620"/>
      <c r="BG118" s="567"/>
      <c r="BH118" s="569"/>
      <c r="BI118" s="620"/>
      <c r="BJ118" s="620"/>
      <c r="BK118" s="620"/>
      <c r="BL118" s="567"/>
      <c r="BM118" s="530"/>
      <c r="BN118" s="569"/>
    </row>
  </sheetData>
  <sheetProtection algorithmName="SHA-512" hashValue="9//VWlrXAyPPra344ATQTAZmyBCcYTjs7mmZ4DxB+Xh6RIFFpG0rNv8oKln4PB7u0dUyolopZlLusd+KB7u+Lg==" saltValue="vxDUKZo7TEQUdU+YQEZNBA==" spinCount="100000" sheet="1" objects="1" scenarios="1"/>
  <hyperlinks>
    <hyperlink ref="BM9" r:id="rId1" xr:uid="{586F040D-4388-3B4A-A899-44ED76ADEDF5}"/>
  </hyperlinks>
  <pageMargins left="0.75" right="0.75" top="1" bottom="1" header="0.5" footer="0.5"/>
  <pageSetup paperSize="10" orientation="portrait" horizontalDpi="4294967292" verticalDpi="4294967292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601C3-9027-DA42-9498-657BCB1B60D1}">
  <sheetPr codeName="Sheet79"/>
  <dimension ref="A1:BP112"/>
  <sheetViews>
    <sheetView zoomScaleNormal="220" zoomScalePageLayoutView="130" workbookViewId="0">
      <selection activeCell="A13" sqref="A13:XFD13"/>
    </sheetView>
  </sheetViews>
  <sheetFormatPr baseColWidth="10" defaultColWidth="11.5" defaultRowHeight="13" x14ac:dyDescent="0.15"/>
  <cols>
    <col min="1" max="1" width="8.1640625" customWidth="1"/>
    <col min="3" max="3" width="6.33203125" customWidth="1"/>
    <col min="4" max="4" width="25.33203125" customWidth="1"/>
    <col min="6" max="6" width="16.1640625" customWidth="1"/>
    <col min="7" max="7" width="21.83203125" bestFit="1" customWidth="1"/>
    <col min="9" max="9" width="12.83203125" customWidth="1"/>
    <col min="53" max="53" width="50.6640625" customWidth="1"/>
    <col min="54" max="54" width="12.1640625" customWidth="1"/>
    <col min="55" max="55" width="10.83203125" customWidth="1"/>
    <col min="57" max="57" width="20.5" customWidth="1"/>
    <col min="58" max="58" width="14" bestFit="1" customWidth="1"/>
  </cols>
  <sheetData>
    <row r="1" spans="1:67" ht="71" x14ac:dyDescent="0.2">
      <c r="A1" s="429" t="s">
        <v>443</v>
      </c>
      <c r="B1" s="429" t="s">
        <v>444</v>
      </c>
      <c r="C1" s="430" t="s">
        <v>445</v>
      </c>
      <c r="D1" s="431" t="s">
        <v>446</v>
      </c>
      <c r="E1" s="429" t="s">
        <v>447</v>
      </c>
      <c r="F1" s="430" t="s">
        <v>725</v>
      </c>
      <c r="G1" s="431" t="s">
        <v>448</v>
      </c>
      <c r="H1" s="432" t="s">
        <v>449</v>
      </c>
      <c r="I1" s="433" t="s">
        <v>1247</v>
      </c>
      <c r="J1" s="433" t="s">
        <v>1248</v>
      </c>
      <c r="K1" s="433" t="s">
        <v>1249</v>
      </c>
      <c r="L1" s="433" t="s">
        <v>1250</v>
      </c>
      <c r="M1" s="433" t="s">
        <v>1251</v>
      </c>
      <c r="N1" s="434" t="s">
        <v>1252</v>
      </c>
      <c r="O1" s="435" t="s">
        <v>1253</v>
      </c>
      <c r="P1" s="435" t="s">
        <v>1254</v>
      </c>
      <c r="Q1" s="435" t="s">
        <v>1255</v>
      </c>
      <c r="R1" s="435" t="s">
        <v>1256</v>
      </c>
      <c r="S1" s="435" t="s">
        <v>1257</v>
      </c>
      <c r="T1" s="435" t="s">
        <v>1258</v>
      </c>
      <c r="U1" s="436" t="s">
        <v>1259</v>
      </c>
      <c r="V1" s="436" t="s">
        <v>1260</v>
      </c>
      <c r="W1" s="436" t="s">
        <v>1261</v>
      </c>
      <c r="X1" s="436" t="s">
        <v>1262</v>
      </c>
      <c r="Y1" s="436" t="s">
        <v>1263</v>
      </c>
      <c r="Z1" s="436" t="s">
        <v>1264</v>
      </c>
      <c r="AA1" s="437" t="s">
        <v>1265</v>
      </c>
      <c r="AB1" s="437" t="s">
        <v>1266</v>
      </c>
      <c r="AC1" s="437" t="s">
        <v>1267</v>
      </c>
      <c r="AD1" s="437" t="s">
        <v>1268</v>
      </c>
      <c r="AE1" s="437" t="s">
        <v>1269</v>
      </c>
      <c r="AF1" s="437" t="s">
        <v>1270</v>
      </c>
      <c r="AG1" s="438" t="s">
        <v>474</v>
      </c>
      <c r="AH1" s="438" t="s">
        <v>475</v>
      </c>
      <c r="AI1" s="438" t="s">
        <v>476</v>
      </c>
      <c r="AJ1" s="438" t="s">
        <v>477</v>
      </c>
      <c r="AK1" s="479" t="s">
        <v>478</v>
      </c>
      <c r="AL1" s="479" t="s">
        <v>479</v>
      </c>
      <c r="AM1" s="439" t="s">
        <v>1099</v>
      </c>
      <c r="AN1" s="440" t="s">
        <v>480</v>
      </c>
      <c r="AO1" s="441" t="s">
        <v>481</v>
      </c>
      <c r="AP1" s="440" t="s">
        <v>482</v>
      </c>
      <c r="AQ1" s="442" t="s">
        <v>483</v>
      </c>
      <c r="AR1" s="443" t="s">
        <v>484</v>
      </c>
      <c r="AS1" s="442" t="s">
        <v>485</v>
      </c>
      <c r="AT1" s="444" t="s">
        <v>1271</v>
      </c>
      <c r="AU1" s="445" t="s">
        <v>1272</v>
      </c>
      <c r="AV1" s="444" t="s">
        <v>36</v>
      </c>
      <c r="AW1" s="445" t="s">
        <v>37</v>
      </c>
      <c r="AX1" s="443" t="s">
        <v>384</v>
      </c>
      <c r="AY1" s="446" t="s">
        <v>385</v>
      </c>
      <c r="AZ1" s="429" t="s">
        <v>386</v>
      </c>
      <c r="BA1" s="447" t="s">
        <v>387</v>
      </c>
      <c r="BB1" s="448" t="s">
        <v>388</v>
      </c>
      <c r="BC1" s="447" t="s">
        <v>389</v>
      </c>
      <c r="BD1" s="447" t="s">
        <v>390</v>
      </c>
      <c r="BE1" s="447" t="s">
        <v>1136</v>
      </c>
      <c r="BF1" s="563" t="s">
        <v>1137</v>
      </c>
      <c r="BG1" s="429" t="s">
        <v>391</v>
      </c>
      <c r="BH1" s="430" t="s">
        <v>392</v>
      </c>
      <c r="BI1" s="447" t="s">
        <v>393</v>
      </c>
      <c r="BJ1" s="447" t="s">
        <v>394</v>
      </c>
      <c r="BK1" s="449" t="s">
        <v>1273</v>
      </c>
      <c r="BL1" s="430" t="s">
        <v>395</v>
      </c>
      <c r="BM1" s="447" t="s">
        <v>396</v>
      </c>
      <c r="BN1" s="429" t="s">
        <v>397</v>
      </c>
    </row>
    <row r="2" spans="1:67" ht="13" customHeight="1" x14ac:dyDescent="0.2">
      <c r="A2" s="525">
        <v>3159</v>
      </c>
      <c r="B2" s="565">
        <v>44755</v>
      </c>
      <c r="C2" s="526" t="s">
        <v>1138</v>
      </c>
      <c r="D2" s="525" t="s">
        <v>1100</v>
      </c>
      <c r="E2" s="527">
        <v>44691</v>
      </c>
      <c r="F2" s="529" t="s">
        <v>1139</v>
      </c>
      <c r="G2" s="525" t="s">
        <v>1646</v>
      </c>
      <c r="H2" s="532">
        <v>84</v>
      </c>
      <c r="I2" s="531" t="s">
        <v>296</v>
      </c>
      <c r="J2" s="459">
        <v>3000</v>
      </c>
      <c r="K2" s="459">
        <v>6000</v>
      </c>
      <c r="L2" s="459">
        <v>9000</v>
      </c>
      <c r="M2" s="459">
        <v>15000</v>
      </c>
      <c r="N2" s="525"/>
      <c r="O2" s="532">
        <v>2.2454545454545456</v>
      </c>
      <c r="P2" s="532">
        <v>1.9909090909090907</v>
      </c>
      <c r="Q2" s="532">
        <v>1.6363636363636362</v>
      </c>
      <c r="R2" s="532">
        <v>1.4181818181818182</v>
      </c>
      <c r="S2" s="532">
        <v>1.3363636363636362</v>
      </c>
      <c r="T2" s="533"/>
      <c r="U2" s="532">
        <v>2.1454545454545451</v>
      </c>
      <c r="V2" s="532">
        <v>1.8909090909090909</v>
      </c>
      <c r="W2" s="532">
        <v>1.5727272727272725</v>
      </c>
      <c r="X2" s="532">
        <v>1.3909090909090909</v>
      </c>
      <c r="Y2" s="532">
        <v>1.2999999999999998</v>
      </c>
      <c r="Z2" s="533"/>
      <c r="AA2" s="533"/>
      <c r="AB2" s="533"/>
      <c r="AC2" s="533"/>
      <c r="AD2" s="533"/>
      <c r="AE2" s="533"/>
      <c r="AF2" s="533"/>
      <c r="AG2" s="528" t="s">
        <v>1143</v>
      </c>
      <c r="AH2" s="528" t="s">
        <v>1144</v>
      </c>
      <c r="AI2" s="528">
        <v>3</v>
      </c>
      <c r="AJ2" s="528">
        <v>3</v>
      </c>
      <c r="AK2" s="480">
        <v>0.5</v>
      </c>
      <c r="AL2" s="480">
        <v>0.5</v>
      </c>
      <c r="AM2" s="525" t="s">
        <v>1118</v>
      </c>
      <c r="AN2" s="528">
        <v>0</v>
      </c>
      <c r="AO2" s="528">
        <v>0</v>
      </c>
      <c r="AP2" s="528">
        <v>0</v>
      </c>
      <c r="AQ2" s="528">
        <v>0</v>
      </c>
      <c r="AR2" s="528">
        <v>0</v>
      </c>
      <c r="AS2" s="528">
        <v>0</v>
      </c>
      <c r="AT2" s="528">
        <v>0</v>
      </c>
      <c r="AU2" s="528">
        <v>0</v>
      </c>
      <c r="AV2" s="528">
        <v>0</v>
      </c>
      <c r="AW2" s="528">
        <v>0</v>
      </c>
      <c r="AX2" s="528">
        <v>0</v>
      </c>
      <c r="AY2" s="528">
        <v>0</v>
      </c>
      <c r="AZ2" s="528"/>
      <c r="BA2" s="528" t="s">
        <v>1145</v>
      </c>
      <c r="BB2" s="528"/>
      <c r="BC2" s="528" t="s">
        <v>1145</v>
      </c>
      <c r="BD2" s="528"/>
      <c r="BE2" s="528"/>
      <c r="BF2" s="528"/>
      <c r="BG2" s="597"/>
      <c r="BH2" s="598"/>
      <c r="BI2" s="566"/>
      <c r="BJ2" s="528" t="s">
        <v>1146</v>
      </c>
      <c r="BK2" s="528"/>
      <c r="BL2" s="529" t="s">
        <v>1647</v>
      </c>
      <c r="BM2" s="602" t="s">
        <v>1648</v>
      </c>
      <c r="BN2" s="525" t="s">
        <v>408</v>
      </c>
    </row>
    <row r="3" spans="1:67" ht="13" customHeight="1" x14ac:dyDescent="0.2">
      <c r="A3" s="525"/>
      <c r="B3" s="599">
        <v>44782</v>
      </c>
      <c r="C3" s="526" t="s">
        <v>1138</v>
      </c>
      <c r="D3" s="525" t="s">
        <v>1100</v>
      </c>
      <c r="E3" s="527">
        <v>44774</v>
      </c>
      <c r="F3" s="529" t="s">
        <v>1148</v>
      </c>
      <c r="G3" s="525" t="s">
        <v>1280</v>
      </c>
      <c r="H3" s="532">
        <v>66.927272727272722</v>
      </c>
      <c r="I3" s="531" t="s">
        <v>296</v>
      </c>
      <c r="J3" s="459">
        <v>3000</v>
      </c>
      <c r="K3" s="459">
        <v>6000</v>
      </c>
      <c r="L3" s="459">
        <v>6000</v>
      </c>
      <c r="M3" s="459">
        <v>6000</v>
      </c>
      <c r="N3" s="525"/>
      <c r="O3" s="532">
        <v>2.4272727272727268</v>
      </c>
      <c r="P3" s="532">
        <v>2.1363636363636362</v>
      </c>
      <c r="Q3" s="138">
        <v>0</v>
      </c>
      <c r="R3" s="532">
        <v>0</v>
      </c>
      <c r="S3" s="532">
        <v>1.6818181818181817</v>
      </c>
      <c r="T3" s="533"/>
      <c r="U3" s="532">
        <v>2.3272727272727272</v>
      </c>
      <c r="V3" s="532">
        <v>2.0545454545454542</v>
      </c>
      <c r="W3" s="138">
        <v>0</v>
      </c>
      <c r="X3" s="532">
        <v>0</v>
      </c>
      <c r="Y3" s="532">
        <v>1.6818181818181817</v>
      </c>
      <c r="Z3" s="533"/>
      <c r="AA3" s="533"/>
      <c r="AB3" s="533"/>
      <c r="AC3" s="533"/>
      <c r="AD3" s="533"/>
      <c r="AE3" s="533"/>
      <c r="AF3" s="533"/>
      <c r="AG3" s="528" t="s">
        <v>1143</v>
      </c>
      <c r="AH3" s="528" t="s">
        <v>1144</v>
      </c>
      <c r="AI3" s="528">
        <v>3</v>
      </c>
      <c r="AJ3" s="528">
        <v>3</v>
      </c>
      <c r="AK3" s="480">
        <v>0.5</v>
      </c>
      <c r="AL3" s="480">
        <v>0.5</v>
      </c>
      <c r="AM3" s="525" t="s">
        <v>1118</v>
      </c>
      <c r="AN3" s="528">
        <v>0</v>
      </c>
      <c r="AO3" s="528">
        <v>0</v>
      </c>
      <c r="AP3" s="528">
        <v>0</v>
      </c>
      <c r="AQ3" s="528">
        <v>0</v>
      </c>
      <c r="AR3" s="528">
        <v>0</v>
      </c>
      <c r="AS3" s="528">
        <v>0</v>
      </c>
      <c r="AT3" s="528">
        <v>0</v>
      </c>
      <c r="AU3" s="528">
        <v>0</v>
      </c>
      <c r="AV3" s="528">
        <v>0</v>
      </c>
      <c r="AW3" s="528">
        <v>0</v>
      </c>
      <c r="AX3" s="528">
        <v>0</v>
      </c>
      <c r="AY3" s="528">
        <v>0</v>
      </c>
      <c r="AZ3" s="528"/>
      <c r="BA3" s="528" t="s">
        <v>1145</v>
      </c>
      <c r="BB3" s="528"/>
      <c r="BC3" s="528" t="s">
        <v>1145</v>
      </c>
      <c r="BD3" s="528"/>
      <c r="BE3" s="528"/>
      <c r="BF3" s="528"/>
      <c r="BG3" s="529"/>
      <c r="BH3" s="525"/>
      <c r="BI3" s="528"/>
      <c r="BJ3" s="528" t="s">
        <v>4</v>
      </c>
      <c r="BK3" s="528"/>
      <c r="BL3" s="529"/>
      <c r="BM3" s="525" t="s">
        <v>430</v>
      </c>
      <c r="BN3" s="525" t="s">
        <v>1121</v>
      </c>
    </row>
    <row r="4" spans="1:67" ht="13" customHeight="1" x14ac:dyDescent="0.2">
      <c r="A4" s="525">
        <v>2545</v>
      </c>
      <c r="B4" s="565">
        <v>44755</v>
      </c>
      <c r="C4" s="526" t="s">
        <v>1138</v>
      </c>
      <c r="D4" s="525" t="s">
        <v>1100</v>
      </c>
      <c r="E4" s="527">
        <v>44720</v>
      </c>
      <c r="F4" s="529" t="s">
        <v>1052</v>
      </c>
      <c r="G4" s="525" t="s">
        <v>1181</v>
      </c>
      <c r="H4" s="532">
        <v>53.93636363636363</v>
      </c>
      <c r="I4" s="531" t="s">
        <v>296</v>
      </c>
      <c r="J4" s="459">
        <v>3000</v>
      </c>
      <c r="K4" s="459">
        <v>6000</v>
      </c>
      <c r="L4" s="459">
        <v>9000</v>
      </c>
      <c r="M4" s="459">
        <v>15000</v>
      </c>
      <c r="N4" s="525"/>
      <c r="O4" s="532">
        <v>2.709090909090909</v>
      </c>
      <c r="P4" s="532">
        <v>2.3272727272727272</v>
      </c>
      <c r="Q4" s="532">
        <v>1.9090909090909089</v>
      </c>
      <c r="R4" s="532">
        <v>1.7454545454545451</v>
      </c>
      <c r="S4" s="532">
        <v>1.7</v>
      </c>
      <c r="T4" s="533"/>
      <c r="U4" s="532">
        <v>2.545454545454545</v>
      </c>
      <c r="V4" s="532">
        <v>2.2181818181818178</v>
      </c>
      <c r="W4" s="532">
        <v>1.8636363636363633</v>
      </c>
      <c r="X4" s="532">
        <v>1.718181818181818</v>
      </c>
      <c r="Y4" s="532">
        <v>1.6818181818181817</v>
      </c>
      <c r="Z4" s="533"/>
      <c r="AA4" s="533"/>
      <c r="AB4" s="533"/>
      <c r="AC4" s="533"/>
      <c r="AD4" s="533"/>
      <c r="AE4" s="533"/>
      <c r="AF4" s="533"/>
      <c r="AG4" s="528" t="s">
        <v>1143</v>
      </c>
      <c r="AH4" s="528" t="s">
        <v>1144</v>
      </c>
      <c r="AI4" s="528">
        <v>3</v>
      </c>
      <c r="AJ4" s="528">
        <v>3</v>
      </c>
      <c r="AK4" s="480">
        <v>0.5</v>
      </c>
      <c r="AL4" s="480">
        <v>0.5</v>
      </c>
      <c r="AM4" s="525" t="s">
        <v>1118</v>
      </c>
      <c r="AN4" s="528">
        <v>0</v>
      </c>
      <c r="AO4" s="528">
        <v>0</v>
      </c>
      <c r="AP4" s="528">
        <v>0</v>
      </c>
      <c r="AQ4" s="528">
        <v>0</v>
      </c>
      <c r="AR4" s="528">
        <v>0</v>
      </c>
      <c r="AS4" s="528">
        <v>0</v>
      </c>
      <c r="AT4" s="528">
        <v>0</v>
      </c>
      <c r="AU4" s="528">
        <v>0</v>
      </c>
      <c r="AV4" s="528">
        <v>0</v>
      </c>
      <c r="AW4" s="528">
        <v>0</v>
      </c>
      <c r="AX4" s="528">
        <v>0</v>
      </c>
      <c r="AY4" s="528">
        <v>0</v>
      </c>
      <c r="AZ4" s="528"/>
      <c r="BA4" s="528" t="s">
        <v>1145</v>
      </c>
      <c r="BB4" s="528"/>
      <c r="BC4" s="528" t="s">
        <v>1145</v>
      </c>
      <c r="BD4" s="528"/>
      <c r="BE4" s="528"/>
      <c r="BF4" s="528"/>
      <c r="BG4" s="529"/>
      <c r="BH4" s="525"/>
      <c r="BI4" s="528"/>
      <c r="BJ4" s="528" t="s">
        <v>1146</v>
      </c>
      <c r="BK4" s="528"/>
      <c r="BL4" s="529"/>
      <c r="BM4" s="529" t="s">
        <v>1155</v>
      </c>
      <c r="BN4" s="525" t="s">
        <v>408</v>
      </c>
    </row>
    <row r="5" spans="1:67" ht="13" customHeight="1" x14ac:dyDescent="0.2">
      <c r="A5" s="525">
        <v>3520</v>
      </c>
      <c r="B5" s="565">
        <v>44755</v>
      </c>
      <c r="C5" s="526" t="s">
        <v>1138</v>
      </c>
      <c r="D5" s="525" t="s">
        <v>1100</v>
      </c>
      <c r="E5" s="527">
        <v>44734</v>
      </c>
      <c r="F5" s="529" t="s">
        <v>1156</v>
      </c>
      <c r="G5" s="525" t="s">
        <v>1649</v>
      </c>
      <c r="H5" s="532">
        <v>84.5</v>
      </c>
      <c r="I5" s="531" t="s">
        <v>296</v>
      </c>
      <c r="J5" s="459">
        <v>3000</v>
      </c>
      <c r="K5" s="459">
        <v>6000</v>
      </c>
      <c r="L5" s="459">
        <v>9000</v>
      </c>
      <c r="M5" s="459">
        <v>15000</v>
      </c>
      <c r="N5" s="525"/>
      <c r="O5" s="532">
        <v>3.1545454545454543</v>
      </c>
      <c r="P5" s="532">
        <v>2.709090909090909</v>
      </c>
      <c r="Q5" s="532">
        <v>2.2181818181818178</v>
      </c>
      <c r="R5" s="532">
        <v>1.918181818181818</v>
      </c>
      <c r="S5" s="532">
        <v>1.8727272727272726</v>
      </c>
      <c r="T5" s="533"/>
      <c r="U5" s="532">
        <v>3.0545454545454542</v>
      </c>
      <c r="V5" s="532">
        <v>2.5999999999999996</v>
      </c>
      <c r="W5" s="532">
        <v>2.1636363636363636</v>
      </c>
      <c r="X5" s="532">
        <v>1.8545454545454545</v>
      </c>
      <c r="Y5" s="532">
        <v>1.8363636363636362</v>
      </c>
      <c r="Z5" s="533"/>
      <c r="AA5" s="533"/>
      <c r="AB5" s="533"/>
      <c r="AC5" s="533"/>
      <c r="AD5" s="533"/>
      <c r="AE5" s="533"/>
      <c r="AF5" s="533"/>
      <c r="AG5" s="528" t="s">
        <v>1143</v>
      </c>
      <c r="AH5" s="528" t="s">
        <v>1144</v>
      </c>
      <c r="AI5" s="528">
        <v>3</v>
      </c>
      <c r="AJ5" s="528">
        <v>3</v>
      </c>
      <c r="AK5" s="480">
        <v>0.5</v>
      </c>
      <c r="AL5" s="480">
        <v>0.5</v>
      </c>
      <c r="AM5" s="525" t="s">
        <v>1118</v>
      </c>
      <c r="AN5" s="528">
        <v>8</v>
      </c>
      <c r="AO5" s="528">
        <v>0</v>
      </c>
      <c r="AP5" s="528">
        <v>0</v>
      </c>
      <c r="AQ5" s="528">
        <v>0</v>
      </c>
      <c r="AR5" s="528">
        <v>0</v>
      </c>
      <c r="AS5" s="528">
        <v>0</v>
      </c>
      <c r="AT5" s="528">
        <v>0</v>
      </c>
      <c r="AU5" s="528">
        <v>0</v>
      </c>
      <c r="AV5" s="528">
        <v>0</v>
      </c>
      <c r="AW5" s="528">
        <v>0</v>
      </c>
      <c r="AX5" s="528">
        <v>0</v>
      </c>
      <c r="AY5" s="528">
        <v>0</v>
      </c>
      <c r="AZ5" s="566">
        <v>12</v>
      </c>
      <c r="BA5" s="528" t="s">
        <v>1145</v>
      </c>
      <c r="BB5" s="528"/>
      <c r="BC5" s="528" t="s">
        <v>1145</v>
      </c>
      <c r="BD5" s="528"/>
      <c r="BE5" s="528"/>
      <c r="BF5" s="528"/>
      <c r="BG5" s="529" t="s">
        <v>1622</v>
      </c>
      <c r="BH5" s="525" t="s">
        <v>365</v>
      </c>
      <c r="BI5" s="528">
        <v>25</v>
      </c>
      <c r="BJ5" s="528" t="s">
        <v>1146</v>
      </c>
      <c r="BK5" s="528"/>
      <c r="BL5" s="529" t="s">
        <v>1623</v>
      </c>
      <c r="BM5" s="529" t="s">
        <v>1650</v>
      </c>
      <c r="BN5" s="525" t="s">
        <v>408</v>
      </c>
    </row>
    <row r="6" spans="1:67" ht="13" customHeight="1" x14ac:dyDescent="0.2">
      <c r="A6" s="525">
        <v>2877</v>
      </c>
      <c r="B6" s="565">
        <v>44756</v>
      </c>
      <c r="C6" s="526" t="s">
        <v>1138</v>
      </c>
      <c r="D6" s="525" t="s">
        <v>1100</v>
      </c>
      <c r="E6" s="527">
        <v>44753</v>
      </c>
      <c r="F6" s="529" t="s">
        <v>1159</v>
      </c>
      <c r="G6" s="525" t="s">
        <v>1105</v>
      </c>
      <c r="H6" s="532">
        <v>68.900000000000006</v>
      </c>
      <c r="I6" s="531" t="s">
        <v>296</v>
      </c>
      <c r="J6" s="459">
        <v>3000</v>
      </c>
      <c r="K6" s="459">
        <v>6000</v>
      </c>
      <c r="L6" s="459">
        <v>9000</v>
      </c>
      <c r="M6" s="459">
        <v>15000</v>
      </c>
      <c r="N6" s="525"/>
      <c r="O6" s="532">
        <v>2.2454545454545456</v>
      </c>
      <c r="P6" s="532">
        <v>1.8545454545454545</v>
      </c>
      <c r="Q6" s="532">
        <v>1.7363636363636361</v>
      </c>
      <c r="R6" s="532">
        <v>1.6727272727272726</v>
      </c>
      <c r="S6" s="532">
        <v>1.6363636363636362</v>
      </c>
      <c r="T6" s="533"/>
      <c r="U6" s="532">
        <v>2.1454545454545451</v>
      </c>
      <c r="V6" s="532">
        <v>1.8545454545454545</v>
      </c>
      <c r="W6" s="532">
        <v>1.718181818181818</v>
      </c>
      <c r="X6" s="532">
        <v>1.6454545454545453</v>
      </c>
      <c r="Y6" s="532">
        <v>1.6090909090909089</v>
      </c>
      <c r="Z6" s="533"/>
      <c r="AA6" s="533"/>
      <c r="AB6" s="533"/>
      <c r="AC6" s="533"/>
      <c r="AD6" s="533"/>
      <c r="AE6" s="533"/>
      <c r="AF6" s="533"/>
      <c r="AG6" s="528" t="s">
        <v>1143</v>
      </c>
      <c r="AH6" s="528" t="s">
        <v>1144</v>
      </c>
      <c r="AI6" s="528">
        <v>3</v>
      </c>
      <c r="AJ6" s="528">
        <v>3</v>
      </c>
      <c r="AK6" s="480">
        <v>0.5</v>
      </c>
      <c r="AL6" s="480">
        <v>0.5</v>
      </c>
      <c r="AM6" s="525" t="s">
        <v>1118</v>
      </c>
      <c r="AN6" s="528">
        <v>0</v>
      </c>
      <c r="AO6" s="528">
        <v>0</v>
      </c>
      <c r="AP6" s="528">
        <v>0</v>
      </c>
      <c r="AQ6" s="528">
        <v>0</v>
      </c>
      <c r="AR6" s="528">
        <v>0</v>
      </c>
      <c r="AS6" s="528">
        <v>0</v>
      </c>
      <c r="AT6" s="528">
        <v>0</v>
      </c>
      <c r="AU6" s="528">
        <v>0</v>
      </c>
      <c r="AV6" s="528">
        <v>0</v>
      </c>
      <c r="AW6" s="528">
        <v>0</v>
      </c>
      <c r="AX6" s="528">
        <v>0</v>
      </c>
      <c r="AY6" s="528">
        <v>0</v>
      </c>
      <c r="AZ6" s="528"/>
      <c r="BA6" s="528" t="s">
        <v>1145</v>
      </c>
      <c r="BB6" s="528"/>
      <c r="BC6" s="528" t="s">
        <v>1145</v>
      </c>
      <c r="BD6" s="528"/>
      <c r="BE6" s="528"/>
      <c r="BF6" s="564">
        <v>45230</v>
      </c>
      <c r="BG6" s="529"/>
      <c r="BH6" s="525"/>
      <c r="BI6" s="528"/>
      <c r="BJ6" s="528" t="s">
        <v>1146</v>
      </c>
      <c r="BK6" s="528"/>
      <c r="BL6" s="529"/>
      <c r="BM6" s="529" t="s">
        <v>430</v>
      </c>
      <c r="BN6" s="525" t="s">
        <v>408</v>
      </c>
    </row>
    <row r="7" spans="1:67" ht="13" customHeight="1" x14ac:dyDescent="0.2">
      <c r="A7" s="525">
        <v>3366</v>
      </c>
      <c r="B7" s="565">
        <v>44755</v>
      </c>
      <c r="C7" s="526" t="s">
        <v>1138</v>
      </c>
      <c r="D7" s="525" t="s">
        <v>1100</v>
      </c>
      <c r="E7" s="527">
        <v>44743</v>
      </c>
      <c r="F7" s="529" t="s">
        <v>1166</v>
      </c>
      <c r="G7" s="525" t="s">
        <v>1651</v>
      </c>
      <c r="H7" s="532">
        <v>71.463636363636354</v>
      </c>
      <c r="I7" s="531" t="s">
        <v>296</v>
      </c>
      <c r="J7" s="568">
        <v>6000</v>
      </c>
      <c r="K7" s="568">
        <v>6000</v>
      </c>
      <c r="L7" s="568">
        <v>6000</v>
      </c>
      <c r="M7" s="568">
        <v>6000</v>
      </c>
      <c r="N7" s="568"/>
      <c r="O7" s="532">
        <v>2.5545454545454542</v>
      </c>
      <c r="P7" s="138">
        <v>0</v>
      </c>
      <c r="Q7" s="532">
        <v>0</v>
      </c>
      <c r="R7" s="138">
        <v>0</v>
      </c>
      <c r="S7" s="532">
        <v>1.7</v>
      </c>
      <c r="T7" s="533"/>
      <c r="U7" s="532">
        <v>2.5545454545454542</v>
      </c>
      <c r="V7" s="138">
        <v>0</v>
      </c>
      <c r="W7" s="532">
        <v>0</v>
      </c>
      <c r="X7" s="138">
        <v>0</v>
      </c>
      <c r="Y7" s="532">
        <v>1.7</v>
      </c>
      <c r="Z7" s="533"/>
      <c r="AA7" s="533"/>
      <c r="AB7" s="533"/>
      <c r="AC7" s="533"/>
      <c r="AD7" s="533"/>
      <c r="AE7" s="533"/>
      <c r="AF7" s="533"/>
      <c r="AG7" s="528" t="s">
        <v>1145</v>
      </c>
      <c r="AH7" s="528"/>
      <c r="AI7" s="528">
        <v>3</v>
      </c>
      <c r="AJ7" s="528">
        <v>3</v>
      </c>
      <c r="AK7" s="480">
        <v>0.5</v>
      </c>
      <c r="AL7" s="480">
        <v>0.5</v>
      </c>
      <c r="AM7" s="525"/>
      <c r="AN7" s="528">
        <v>0</v>
      </c>
      <c r="AO7" s="528">
        <v>0</v>
      </c>
      <c r="AP7" s="528">
        <v>0</v>
      </c>
      <c r="AQ7" s="528">
        <v>0</v>
      </c>
      <c r="AR7" s="528">
        <v>0</v>
      </c>
      <c r="AS7" s="528">
        <v>0</v>
      </c>
      <c r="AT7" s="528">
        <v>0</v>
      </c>
      <c r="AU7" s="528">
        <v>0</v>
      </c>
      <c r="AV7" s="528">
        <v>0</v>
      </c>
      <c r="AW7" s="528">
        <v>0</v>
      </c>
      <c r="AX7" s="528">
        <v>0</v>
      </c>
      <c r="AY7" s="528">
        <v>0</v>
      </c>
      <c r="AZ7" s="528"/>
      <c r="BA7" s="528" t="s">
        <v>1145</v>
      </c>
      <c r="BB7" s="528">
        <v>12</v>
      </c>
      <c r="BC7" s="528" t="s">
        <v>1145</v>
      </c>
      <c r="BD7" s="528"/>
      <c r="BE7" s="528"/>
      <c r="BF7" s="528"/>
      <c r="BG7" s="529"/>
      <c r="BH7" s="525"/>
      <c r="BI7" s="600"/>
      <c r="BJ7" s="528" t="s">
        <v>1146</v>
      </c>
      <c r="BK7" s="528"/>
      <c r="BL7" s="529"/>
      <c r="BM7" s="525" t="s">
        <v>1652</v>
      </c>
      <c r="BN7" s="525" t="s">
        <v>408</v>
      </c>
      <c r="BO7" s="366"/>
    </row>
    <row r="8" spans="1:67" ht="13" customHeight="1" x14ac:dyDescent="0.2">
      <c r="A8" s="525">
        <v>2394</v>
      </c>
      <c r="B8" s="565">
        <v>44756</v>
      </c>
      <c r="C8" s="526" t="s">
        <v>1138</v>
      </c>
      <c r="D8" s="525" t="s">
        <v>1100</v>
      </c>
      <c r="E8" s="570">
        <v>44651</v>
      </c>
      <c r="F8" s="529" t="s">
        <v>1168</v>
      </c>
      <c r="G8" s="525" t="s">
        <v>1297</v>
      </c>
      <c r="H8" s="532">
        <v>72</v>
      </c>
      <c r="I8" s="531" t="s">
        <v>296</v>
      </c>
      <c r="J8" s="459">
        <v>3000</v>
      </c>
      <c r="K8" s="459">
        <v>6000</v>
      </c>
      <c r="L8" s="459">
        <v>9000</v>
      </c>
      <c r="M8" s="459">
        <v>15000</v>
      </c>
      <c r="N8" s="525"/>
      <c r="O8" s="532">
        <v>2.2818181818181813</v>
      </c>
      <c r="P8" s="532">
        <v>2.1090909090909089</v>
      </c>
      <c r="Q8" s="532">
        <v>1.9363636363636361</v>
      </c>
      <c r="R8" s="532">
        <v>1.5999999999999999</v>
      </c>
      <c r="S8" s="532">
        <v>1.5999999999999999</v>
      </c>
      <c r="T8" s="533"/>
      <c r="U8" s="532">
        <v>2.2818181818181813</v>
      </c>
      <c r="V8" s="532">
        <v>2.1090909090909089</v>
      </c>
      <c r="W8" s="532">
        <v>1.7999999999999998</v>
      </c>
      <c r="X8" s="532">
        <v>1.5999999999999999</v>
      </c>
      <c r="Y8" s="532">
        <v>1.5272727272727271</v>
      </c>
      <c r="Z8" s="533"/>
      <c r="AA8" s="533"/>
      <c r="AB8" s="533"/>
      <c r="AC8" s="533"/>
      <c r="AD8" s="533"/>
      <c r="AE8" s="533"/>
      <c r="AF8" s="533"/>
      <c r="AG8" s="528" t="s">
        <v>1143</v>
      </c>
      <c r="AH8" s="528" t="s">
        <v>1144</v>
      </c>
      <c r="AI8" s="528">
        <v>3</v>
      </c>
      <c r="AJ8" s="528">
        <v>3</v>
      </c>
      <c r="AK8" s="480">
        <v>0.5</v>
      </c>
      <c r="AL8" s="480">
        <v>0.5</v>
      </c>
      <c r="AM8" s="525" t="s">
        <v>1118</v>
      </c>
      <c r="AN8" s="528">
        <v>0</v>
      </c>
      <c r="AO8" s="528">
        <v>0</v>
      </c>
      <c r="AP8" s="528">
        <v>0</v>
      </c>
      <c r="AQ8" s="528">
        <v>0</v>
      </c>
      <c r="AR8" s="528">
        <v>0</v>
      </c>
      <c r="AS8" s="528">
        <v>0</v>
      </c>
      <c r="AT8" s="528">
        <v>0</v>
      </c>
      <c r="AU8" s="528">
        <v>0</v>
      </c>
      <c r="AV8" s="528">
        <v>0</v>
      </c>
      <c r="AW8" s="528">
        <v>0</v>
      </c>
      <c r="AX8" s="528">
        <v>0</v>
      </c>
      <c r="AY8" s="528">
        <v>0</v>
      </c>
      <c r="AZ8" s="528"/>
      <c r="BA8" s="528" t="s">
        <v>1145</v>
      </c>
      <c r="BB8" s="528"/>
      <c r="BC8" s="528" t="s">
        <v>1145</v>
      </c>
      <c r="BD8" s="528"/>
      <c r="BE8" s="528"/>
      <c r="BF8" s="528"/>
      <c r="BG8" s="529"/>
      <c r="BH8" s="525"/>
      <c r="BI8" s="528"/>
      <c r="BJ8" s="528" t="s">
        <v>1146</v>
      </c>
      <c r="BK8" s="528"/>
      <c r="BL8" s="529"/>
      <c r="BM8" s="529" t="s">
        <v>1653</v>
      </c>
      <c r="BN8" s="525" t="s">
        <v>368</v>
      </c>
    </row>
    <row r="9" spans="1:67" ht="13" customHeight="1" x14ac:dyDescent="0.2">
      <c r="A9" s="525">
        <v>3578</v>
      </c>
      <c r="B9" s="565">
        <v>44755</v>
      </c>
      <c r="C9" s="526" t="s">
        <v>1138</v>
      </c>
      <c r="D9" s="525" t="s">
        <v>1100</v>
      </c>
      <c r="E9" s="527">
        <v>44743</v>
      </c>
      <c r="F9" s="529" t="s">
        <v>1169</v>
      </c>
      <c r="G9" s="525" t="s">
        <v>1654</v>
      </c>
      <c r="H9" s="532">
        <v>76.099999999999994</v>
      </c>
      <c r="I9" s="531" t="s">
        <v>296</v>
      </c>
      <c r="J9" s="459">
        <v>3000</v>
      </c>
      <c r="K9" s="459">
        <v>6000</v>
      </c>
      <c r="L9" s="459">
        <v>9000</v>
      </c>
      <c r="M9" s="459">
        <v>15000</v>
      </c>
      <c r="N9" s="525"/>
      <c r="O9" s="138">
        <v>3.418181818181818</v>
      </c>
      <c r="P9" s="138">
        <v>3.0545454545454542</v>
      </c>
      <c r="Q9" s="138">
        <v>2.6181818181818177</v>
      </c>
      <c r="R9" s="138">
        <v>2.3787878787878789</v>
      </c>
      <c r="S9" s="138">
        <v>2.3181818181818179</v>
      </c>
      <c r="T9" s="533"/>
      <c r="U9" s="532">
        <v>3.2545454545454544</v>
      </c>
      <c r="V9" s="532">
        <v>2.9272727272727272</v>
      </c>
      <c r="W9" s="532">
        <v>2.5636363636363635</v>
      </c>
      <c r="X9" s="532">
        <v>2.336363636363636</v>
      </c>
      <c r="Y9" s="532">
        <v>2.2999999999999998</v>
      </c>
      <c r="Z9" s="533"/>
      <c r="AA9" s="533"/>
      <c r="AB9" s="533"/>
      <c r="AC9" s="533"/>
      <c r="AD9" s="533"/>
      <c r="AE9" s="533"/>
      <c r="AF9" s="533"/>
      <c r="AG9" s="528" t="s">
        <v>1143</v>
      </c>
      <c r="AH9" s="528" t="s">
        <v>1144</v>
      </c>
      <c r="AI9" s="528">
        <v>3</v>
      </c>
      <c r="AJ9" s="528">
        <v>3</v>
      </c>
      <c r="AK9" s="480">
        <v>0.5</v>
      </c>
      <c r="AL9" s="480">
        <v>0.5</v>
      </c>
      <c r="AM9" s="525" t="s">
        <v>1123</v>
      </c>
      <c r="AN9" s="528">
        <v>0</v>
      </c>
      <c r="AO9" s="528">
        <v>0</v>
      </c>
      <c r="AP9" s="528">
        <v>0</v>
      </c>
      <c r="AQ9" s="528">
        <v>0</v>
      </c>
      <c r="AR9" s="528">
        <v>0</v>
      </c>
      <c r="AS9" s="528">
        <v>0</v>
      </c>
      <c r="AT9" s="528">
        <v>0</v>
      </c>
      <c r="AU9" s="528">
        <v>0</v>
      </c>
      <c r="AV9" s="528">
        <v>0</v>
      </c>
      <c r="AW9" s="528">
        <v>0</v>
      </c>
      <c r="AX9" s="528">
        <v>0</v>
      </c>
      <c r="AY9" s="528">
        <v>0</v>
      </c>
      <c r="AZ9" s="528"/>
      <c r="BA9" s="528" t="s">
        <v>1145</v>
      </c>
      <c r="BB9" s="528"/>
      <c r="BC9" s="528" t="s">
        <v>1145</v>
      </c>
      <c r="BD9" s="528"/>
      <c r="BE9" s="528"/>
      <c r="BF9" s="528"/>
      <c r="BG9" s="529"/>
      <c r="BH9" s="525"/>
      <c r="BI9" s="528"/>
      <c r="BJ9" s="528" t="s">
        <v>1146</v>
      </c>
      <c r="BK9" s="528"/>
      <c r="BL9" s="529"/>
      <c r="BM9" s="529" t="s">
        <v>1655</v>
      </c>
      <c r="BN9" s="525" t="s">
        <v>1121</v>
      </c>
    </row>
    <row r="10" spans="1:67" ht="13" customHeight="1" x14ac:dyDescent="0.2">
      <c r="A10" s="525">
        <v>1682</v>
      </c>
      <c r="B10" s="565">
        <v>44755</v>
      </c>
      <c r="C10" s="526" t="s">
        <v>295</v>
      </c>
      <c r="D10" s="525" t="s">
        <v>1100</v>
      </c>
      <c r="E10" s="527">
        <v>44715</v>
      </c>
      <c r="F10" s="529" t="s">
        <v>1106</v>
      </c>
      <c r="G10" s="525" t="s">
        <v>2</v>
      </c>
      <c r="H10" s="532">
        <v>59.999999999999993</v>
      </c>
      <c r="I10" s="531" t="s">
        <v>296</v>
      </c>
      <c r="J10" s="568">
        <v>6000</v>
      </c>
      <c r="K10" s="568">
        <v>6000</v>
      </c>
      <c r="L10" s="568">
        <v>6000</v>
      </c>
      <c r="M10" s="568">
        <v>6000</v>
      </c>
      <c r="N10" s="525"/>
      <c r="O10" s="532">
        <v>3.0545454545454542</v>
      </c>
      <c r="P10" s="138">
        <v>0</v>
      </c>
      <c r="Q10" s="532">
        <v>0</v>
      </c>
      <c r="R10" s="138">
        <v>0</v>
      </c>
      <c r="S10" s="532">
        <v>2.7</v>
      </c>
      <c r="T10" s="533"/>
      <c r="U10" s="532">
        <v>3.0545454545454542</v>
      </c>
      <c r="V10" s="138">
        <v>0</v>
      </c>
      <c r="W10" s="532">
        <v>0</v>
      </c>
      <c r="X10" s="138">
        <v>0</v>
      </c>
      <c r="Y10" s="532">
        <v>2.7</v>
      </c>
      <c r="Z10" s="533"/>
      <c r="AA10" s="533"/>
      <c r="AB10" s="533"/>
      <c r="AC10" s="533"/>
      <c r="AD10" s="533"/>
      <c r="AE10" s="533"/>
      <c r="AF10" s="533"/>
      <c r="AG10" s="528" t="s">
        <v>297</v>
      </c>
      <c r="AH10" s="528" t="s">
        <v>298</v>
      </c>
      <c r="AI10" s="528">
        <v>3</v>
      </c>
      <c r="AJ10" s="528">
        <v>3</v>
      </c>
      <c r="AK10" s="480">
        <v>0.5</v>
      </c>
      <c r="AL10" s="480">
        <v>0.5</v>
      </c>
      <c r="AM10" s="525" t="s">
        <v>1124</v>
      </c>
      <c r="AN10" s="528">
        <v>0</v>
      </c>
      <c r="AO10" s="528">
        <v>0</v>
      </c>
      <c r="AP10" s="528">
        <v>0</v>
      </c>
      <c r="AQ10" s="528">
        <v>0</v>
      </c>
      <c r="AR10" s="528">
        <v>0</v>
      </c>
      <c r="AS10" s="528">
        <v>0</v>
      </c>
      <c r="AT10" s="528">
        <v>0</v>
      </c>
      <c r="AU10" s="528">
        <v>0</v>
      </c>
      <c r="AV10" s="528">
        <v>0</v>
      </c>
      <c r="AW10" s="528">
        <v>0</v>
      </c>
      <c r="AX10" s="528">
        <v>0</v>
      </c>
      <c r="AY10" s="528">
        <v>0</v>
      </c>
      <c r="AZ10" s="528"/>
      <c r="BA10" s="528" t="s">
        <v>1145</v>
      </c>
      <c r="BB10" s="528"/>
      <c r="BC10" s="528" t="s">
        <v>1145</v>
      </c>
      <c r="BD10" s="528"/>
      <c r="BE10" s="528"/>
      <c r="BF10" s="529"/>
      <c r="BG10" s="525"/>
      <c r="BH10" s="528"/>
      <c r="BI10" s="528"/>
      <c r="BJ10" s="528" t="s">
        <v>1146</v>
      </c>
      <c r="BK10" s="528">
        <v>1</v>
      </c>
      <c r="BL10" s="525"/>
      <c r="BM10" s="529" t="s">
        <v>430</v>
      </c>
      <c r="BN10" s="525" t="s">
        <v>368</v>
      </c>
    </row>
    <row r="11" spans="1:67" ht="13" customHeight="1" x14ac:dyDescent="0.2">
      <c r="A11" s="525">
        <v>3347</v>
      </c>
      <c r="B11" s="565">
        <v>44755</v>
      </c>
      <c r="C11" s="526" t="s">
        <v>1138</v>
      </c>
      <c r="D11" s="525" t="s">
        <v>1100</v>
      </c>
      <c r="E11" s="527">
        <v>44593</v>
      </c>
      <c r="F11" s="525" t="s">
        <v>34</v>
      </c>
      <c r="G11" s="525" t="s">
        <v>1656</v>
      </c>
      <c r="H11" s="532">
        <v>66.054545454545448</v>
      </c>
      <c r="I11" s="394"/>
      <c r="J11" s="394"/>
      <c r="K11" s="394"/>
      <c r="L11" s="332"/>
      <c r="M11" s="332"/>
      <c r="N11" s="332"/>
      <c r="O11" s="532">
        <v>1.918181818181818</v>
      </c>
      <c r="P11" s="406">
        <v>0</v>
      </c>
      <c r="Q11" s="406">
        <v>0</v>
      </c>
      <c r="R11" s="406">
        <v>0</v>
      </c>
      <c r="S11" s="406">
        <v>0</v>
      </c>
      <c r="T11" s="571"/>
      <c r="U11" s="532">
        <v>1.8090909090909089</v>
      </c>
      <c r="V11" s="406">
        <v>0</v>
      </c>
      <c r="W11" s="406">
        <v>0</v>
      </c>
      <c r="X11" s="406">
        <v>0</v>
      </c>
      <c r="Y11" s="406">
        <v>0</v>
      </c>
      <c r="Z11" s="571"/>
      <c r="AA11" s="533"/>
      <c r="AB11" s="533"/>
      <c r="AC11" s="533"/>
      <c r="AD11" s="533"/>
      <c r="AE11" s="533"/>
      <c r="AF11" s="571"/>
      <c r="AG11" s="528" t="s">
        <v>1143</v>
      </c>
      <c r="AH11" s="528" t="s">
        <v>1144</v>
      </c>
      <c r="AI11" s="528">
        <v>3</v>
      </c>
      <c r="AJ11" s="528">
        <v>3</v>
      </c>
      <c r="AK11" s="480">
        <v>0.5</v>
      </c>
      <c r="AL11" s="480">
        <v>0.5</v>
      </c>
      <c r="AM11" s="525" t="s">
        <v>1118</v>
      </c>
      <c r="AN11" s="528">
        <v>0</v>
      </c>
      <c r="AO11" s="528">
        <v>0</v>
      </c>
      <c r="AP11" s="528">
        <v>0</v>
      </c>
      <c r="AQ11" s="528">
        <v>0</v>
      </c>
      <c r="AR11" s="528">
        <v>0</v>
      </c>
      <c r="AS11" s="528">
        <v>0</v>
      </c>
      <c r="AT11" s="528">
        <v>0</v>
      </c>
      <c r="AU11" s="528">
        <v>0</v>
      </c>
      <c r="AV11" s="528">
        <v>0</v>
      </c>
      <c r="AW11" s="528">
        <v>0</v>
      </c>
      <c r="AX11" s="528">
        <v>0</v>
      </c>
      <c r="AY11" s="528">
        <v>0</v>
      </c>
      <c r="AZ11" s="528"/>
      <c r="BA11" s="528" t="s">
        <v>1145</v>
      </c>
      <c r="BB11" s="528"/>
      <c r="BC11" s="528" t="s">
        <v>1145</v>
      </c>
      <c r="BD11" s="528"/>
      <c r="BE11" s="528"/>
      <c r="BF11" s="528"/>
      <c r="BG11" s="529"/>
      <c r="BH11" s="525"/>
      <c r="BI11" s="528"/>
      <c r="BJ11" s="528" t="s">
        <v>411</v>
      </c>
      <c r="BK11" s="528"/>
      <c r="BL11" s="529" t="s">
        <v>1284</v>
      </c>
      <c r="BM11" s="424" t="s">
        <v>1657</v>
      </c>
      <c r="BN11" s="525" t="s">
        <v>368</v>
      </c>
    </row>
    <row r="12" spans="1:67" ht="13" customHeight="1" x14ac:dyDescent="0.2">
      <c r="A12" s="525">
        <v>2745</v>
      </c>
      <c r="B12" s="565">
        <v>44755</v>
      </c>
      <c r="C12" s="526" t="s">
        <v>1138</v>
      </c>
      <c r="D12" s="525" t="s">
        <v>1100</v>
      </c>
      <c r="E12" s="527">
        <v>44708</v>
      </c>
      <c r="F12" s="525" t="s">
        <v>1274</v>
      </c>
      <c r="G12" s="525" t="s">
        <v>1467</v>
      </c>
      <c r="H12" s="532">
        <v>70.999999999999986</v>
      </c>
      <c r="I12" s="394" t="s">
        <v>296</v>
      </c>
      <c r="J12" s="459">
        <v>3000</v>
      </c>
      <c r="K12" s="459">
        <v>7500</v>
      </c>
      <c r="L12" s="459">
        <v>7500</v>
      </c>
      <c r="M12" s="459">
        <v>7500</v>
      </c>
      <c r="N12" s="332"/>
      <c r="O12" s="532">
        <v>2.6545454545454543</v>
      </c>
      <c r="P12" s="532">
        <v>2.2909090909090906</v>
      </c>
      <c r="Q12" s="532">
        <v>0</v>
      </c>
      <c r="R12" s="138">
        <v>0</v>
      </c>
      <c r="S12" s="532">
        <v>1.9090909090909089</v>
      </c>
      <c r="T12" s="571"/>
      <c r="U12" s="532">
        <v>2.6545454545454543</v>
      </c>
      <c r="V12" s="532">
        <v>2.2909090909090906</v>
      </c>
      <c r="W12" s="532">
        <v>0</v>
      </c>
      <c r="X12" s="138">
        <v>0</v>
      </c>
      <c r="Y12" s="532">
        <v>1.9090909090909089</v>
      </c>
      <c r="Z12" s="571"/>
      <c r="AA12" s="533"/>
      <c r="AB12" s="533"/>
      <c r="AC12" s="533"/>
      <c r="AD12" s="533"/>
      <c r="AE12" s="533"/>
      <c r="AF12" s="571"/>
      <c r="AG12" s="333" t="s">
        <v>1145</v>
      </c>
      <c r="AH12" s="333"/>
      <c r="AI12" s="528">
        <v>3</v>
      </c>
      <c r="AJ12" s="528">
        <v>3</v>
      </c>
      <c r="AK12" s="480">
        <v>0.5</v>
      </c>
      <c r="AL12" s="480">
        <v>0.5</v>
      </c>
      <c r="AM12" s="525"/>
      <c r="AN12" s="528">
        <v>0</v>
      </c>
      <c r="AO12" s="528">
        <v>7</v>
      </c>
      <c r="AP12" s="528">
        <v>0</v>
      </c>
      <c r="AQ12" s="528">
        <v>3</v>
      </c>
      <c r="AR12" s="528">
        <v>0</v>
      </c>
      <c r="AS12" s="528">
        <v>0</v>
      </c>
      <c r="AT12" s="528">
        <v>0</v>
      </c>
      <c r="AU12" s="528">
        <v>0</v>
      </c>
      <c r="AV12" s="528">
        <v>0</v>
      </c>
      <c r="AW12" s="528">
        <v>0</v>
      </c>
      <c r="AX12" s="528">
        <v>0</v>
      </c>
      <c r="AY12" s="528">
        <v>0</v>
      </c>
      <c r="AZ12" s="528"/>
      <c r="BA12" s="528" t="s">
        <v>1145</v>
      </c>
      <c r="BB12" s="528"/>
      <c r="BC12" s="528" t="s">
        <v>1145</v>
      </c>
      <c r="BD12" s="528"/>
      <c r="BE12" s="528"/>
      <c r="BF12" s="528"/>
      <c r="BG12" s="529"/>
      <c r="BH12" s="525"/>
      <c r="BI12" s="528"/>
      <c r="BJ12" s="528" t="s">
        <v>1146</v>
      </c>
      <c r="BK12" s="528"/>
      <c r="BL12" s="529"/>
      <c r="BM12" s="529" t="s">
        <v>430</v>
      </c>
      <c r="BN12" s="525" t="s">
        <v>368</v>
      </c>
    </row>
    <row r="13" spans="1:67" ht="13" customHeight="1" x14ac:dyDescent="0.2">
      <c r="A13" s="525">
        <v>3579</v>
      </c>
      <c r="B13" s="565">
        <v>44755</v>
      </c>
      <c r="C13" s="526" t="s">
        <v>1138</v>
      </c>
      <c r="D13" s="525" t="s">
        <v>1100</v>
      </c>
      <c r="E13" s="570">
        <v>44562</v>
      </c>
      <c r="F13" s="525" t="s">
        <v>1291</v>
      </c>
      <c r="G13" s="525" t="s">
        <v>1658</v>
      </c>
      <c r="H13" s="532">
        <v>77.75454545454545</v>
      </c>
      <c r="I13" s="394"/>
      <c r="J13" s="394"/>
      <c r="K13" s="394"/>
      <c r="L13" s="332"/>
      <c r="M13" s="332"/>
      <c r="N13" s="332"/>
      <c r="O13" s="532">
        <v>1.9727272727272724</v>
      </c>
      <c r="P13" s="406">
        <v>0</v>
      </c>
      <c r="Q13" s="406">
        <v>0</v>
      </c>
      <c r="R13" s="406">
        <v>0</v>
      </c>
      <c r="S13" s="406">
        <v>0</v>
      </c>
      <c r="T13" s="571"/>
      <c r="U13" s="532">
        <v>1.7909090909090908</v>
      </c>
      <c r="V13" s="406">
        <v>0</v>
      </c>
      <c r="W13" s="406">
        <v>0</v>
      </c>
      <c r="X13" s="406">
        <v>0</v>
      </c>
      <c r="Y13" s="406">
        <v>0</v>
      </c>
      <c r="Z13" s="571"/>
      <c r="AA13" s="533"/>
      <c r="AB13" s="533"/>
      <c r="AC13" s="533"/>
      <c r="AD13" s="533"/>
      <c r="AE13" s="533"/>
      <c r="AF13" s="571"/>
      <c r="AG13" s="333" t="s">
        <v>1143</v>
      </c>
      <c r="AH13" s="333" t="s">
        <v>1144</v>
      </c>
      <c r="AI13" s="528">
        <v>3</v>
      </c>
      <c r="AJ13" s="528">
        <v>3</v>
      </c>
      <c r="AK13" s="480">
        <v>0.5</v>
      </c>
      <c r="AL13" s="480">
        <v>0.5</v>
      </c>
      <c r="AM13" s="525" t="s">
        <v>1118</v>
      </c>
      <c r="AN13" s="528">
        <v>0</v>
      </c>
      <c r="AO13" s="528">
        <v>0</v>
      </c>
      <c r="AP13" s="528">
        <v>0</v>
      </c>
      <c r="AQ13" s="528">
        <v>0</v>
      </c>
      <c r="AR13" s="528">
        <v>0</v>
      </c>
      <c r="AS13" s="528">
        <v>0</v>
      </c>
      <c r="AT13" s="528">
        <v>0</v>
      </c>
      <c r="AU13" s="528">
        <v>0</v>
      </c>
      <c r="AV13" s="528">
        <v>0</v>
      </c>
      <c r="AW13" s="528">
        <v>0</v>
      </c>
      <c r="AX13" s="528">
        <v>0</v>
      </c>
      <c r="AY13" s="528">
        <v>0</v>
      </c>
      <c r="AZ13" s="528"/>
      <c r="BA13" s="528" t="s">
        <v>1145</v>
      </c>
      <c r="BB13" s="528"/>
      <c r="BC13" s="528" t="s">
        <v>1145</v>
      </c>
      <c r="BD13" s="528"/>
      <c r="BE13" s="528"/>
      <c r="BF13" s="528"/>
      <c r="BG13" s="529"/>
      <c r="BH13" s="525"/>
      <c r="BI13" s="528"/>
      <c r="BJ13" s="528" t="s">
        <v>1146</v>
      </c>
      <c r="BK13" s="528"/>
      <c r="BL13" s="529" t="s">
        <v>1659</v>
      </c>
      <c r="BM13" s="424" t="s">
        <v>1660</v>
      </c>
      <c r="BN13" s="525" t="s">
        <v>1121</v>
      </c>
    </row>
    <row r="14" spans="1:67" ht="13" customHeight="1" x14ac:dyDescent="0.2">
      <c r="A14" s="525">
        <v>2936</v>
      </c>
      <c r="B14" s="565">
        <v>44755</v>
      </c>
      <c r="C14" s="526" t="s">
        <v>1138</v>
      </c>
      <c r="D14" s="525" t="s">
        <v>1100</v>
      </c>
      <c r="E14" s="527">
        <v>44743</v>
      </c>
      <c r="F14" s="525" t="s">
        <v>1483</v>
      </c>
      <c r="G14" s="525" t="s">
        <v>1550</v>
      </c>
      <c r="H14" s="532">
        <v>67</v>
      </c>
      <c r="I14" s="531" t="s">
        <v>296</v>
      </c>
      <c r="J14" s="459">
        <v>3000</v>
      </c>
      <c r="K14" s="459">
        <v>6000</v>
      </c>
      <c r="L14" s="459">
        <v>9000</v>
      </c>
      <c r="M14" s="459">
        <v>15000</v>
      </c>
      <c r="N14" s="332"/>
      <c r="O14" s="532">
        <v>2.336363636363636</v>
      </c>
      <c r="P14" s="532">
        <v>2.1090909090909089</v>
      </c>
      <c r="Q14" s="532">
        <v>1.7818181818181817</v>
      </c>
      <c r="R14" s="532">
        <v>1.6272727272727272</v>
      </c>
      <c r="S14" s="532">
        <v>1.4636363636363636</v>
      </c>
      <c r="T14" s="571"/>
      <c r="U14" s="532">
        <v>2.1090909090909089</v>
      </c>
      <c r="V14" s="532">
        <v>1.8272727272727269</v>
      </c>
      <c r="W14" s="532">
        <v>1.5909090909090908</v>
      </c>
      <c r="X14" s="532">
        <v>1.4727272727272727</v>
      </c>
      <c r="Y14" s="532">
        <v>1.3636363636363635</v>
      </c>
      <c r="Z14" s="571"/>
      <c r="AA14" s="533"/>
      <c r="AB14" s="533"/>
      <c r="AC14" s="533"/>
      <c r="AD14" s="533"/>
      <c r="AE14" s="533"/>
      <c r="AF14" s="571"/>
      <c r="AG14" s="528" t="s">
        <v>1143</v>
      </c>
      <c r="AH14" s="528" t="s">
        <v>1144</v>
      </c>
      <c r="AI14" s="528">
        <v>3</v>
      </c>
      <c r="AJ14" s="528">
        <v>3</v>
      </c>
      <c r="AK14" s="480">
        <v>0.5</v>
      </c>
      <c r="AL14" s="480">
        <v>0.5</v>
      </c>
      <c r="AM14" s="525" t="s">
        <v>1118</v>
      </c>
      <c r="AN14" s="528">
        <v>0</v>
      </c>
      <c r="AO14" s="528">
        <v>0</v>
      </c>
      <c r="AP14" s="528">
        <v>0</v>
      </c>
      <c r="AQ14" s="528">
        <v>0</v>
      </c>
      <c r="AR14" s="528">
        <v>0</v>
      </c>
      <c r="AS14" s="528">
        <v>0</v>
      </c>
      <c r="AT14" s="528">
        <v>0</v>
      </c>
      <c r="AU14" s="528">
        <v>0</v>
      </c>
      <c r="AV14" s="528">
        <v>0</v>
      </c>
      <c r="AW14" s="528">
        <v>0</v>
      </c>
      <c r="AX14" s="528">
        <v>0</v>
      </c>
      <c r="AY14" s="528">
        <v>0</v>
      </c>
      <c r="AZ14" s="528"/>
      <c r="BA14" s="528" t="s">
        <v>1145</v>
      </c>
      <c r="BB14" s="528"/>
      <c r="BC14" s="528" t="s">
        <v>1145</v>
      </c>
      <c r="BD14" s="528"/>
      <c r="BE14" s="528">
        <v>12</v>
      </c>
      <c r="BF14" s="564"/>
      <c r="BG14" s="529"/>
      <c r="BH14" s="525"/>
      <c r="BI14" s="528"/>
      <c r="BJ14" s="528" t="s">
        <v>4</v>
      </c>
      <c r="BK14" s="528"/>
      <c r="BL14" s="529"/>
      <c r="BM14" s="525" t="s">
        <v>1661</v>
      </c>
      <c r="BN14" s="525" t="s">
        <v>408</v>
      </c>
    </row>
    <row r="15" spans="1:67" ht="13" customHeight="1" x14ac:dyDescent="0.2">
      <c r="A15" s="525">
        <v>3402</v>
      </c>
      <c r="B15" s="565">
        <v>44755</v>
      </c>
      <c r="C15" s="526" t="s">
        <v>1138</v>
      </c>
      <c r="D15" s="525" t="s">
        <v>1100</v>
      </c>
      <c r="E15" s="527">
        <v>44613</v>
      </c>
      <c r="F15" s="525" t="s">
        <v>1173</v>
      </c>
      <c r="G15" s="525" t="s">
        <v>1570</v>
      </c>
      <c r="H15" s="532">
        <v>62.999999999999993</v>
      </c>
      <c r="I15" s="531" t="s">
        <v>296</v>
      </c>
      <c r="J15" s="459">
        <v>3000</v>
      </c>
      <c r="K15" s="459">
        <v>6000</v>
      </c>
      <c r="L15" s="459">
        <v>9000</v>
      </c>
      <c r="M15" s="459">
        <v>15000</v>
      </c>
      <c r="N15" s="332"/>
      <c r="O15" s="532">
        <v>2.336363636363636</v>
      </c>
      <c r="P15" s="532">
        <v>1.9818181818181817</v>
      </c>
      <c r="Q15" s="532">
        <v>1.718181818181818</v>
      </c>
      <c r="R15" s="532">
        <v>1.3909090909090909</v>
      </c>
      <c r="S15" s="532">
        <v>1.2545454545454544</v>
      </c>
      <c r="T15" s="571"/>
      <c r="U15" s="532">
        <v>1.9818181818181817</v>
      </c>
      <c r="V15" s="532">
        <v>1.6636363636363636</v>
      </c>
      <c r="W15" s="532">
        <v>1.5636363636363635</v>
      </c>
      <c r="X15" s="532">
        <v>1.2999999999999998</v>
      </c>
      <c r="Y15" s="532">
        <v>1.0909090909090908</v>
      </c>
      <c r="Z15" s="571"/>
      <c r="AA15" s="533"/>
      <c r="AB15" s="533"/>
      <c r="AC15" s="533"/>
      <c r="AD15" s="533"/>
      <c r="AE15" s="533"/>
      <c r="AF15" s="571"/>
      <c r="AG15" s="528" t="s">
        <v>1143</v>
      </c>
      <c r="AH15" s="528" t="s">
        <v>1144</v>
      </c>
      <c r="AI15" s="528">
        <v>3</v>
      </c>
      <c r="AJ15" s="528">
        <v>3</v>
      </c>
      <c r="AK15" s="480">
        <v>0.5</v>
      </c>
      <c r="AL15" s="480">
        <v>0.5</v>
      </c>
      <c r="AM15" s="525" t="s">
        <v>1118</v>
      </c>
      <c r="AN15" s="528">
        <v>0</v>
      </c>
      <c r="AO15" s="528">
        <v>0</v>
      </c>
      <c r="AP15" s="528">
        <v>0</v>
      </c>
      <c r="AQ15" s="528">
        <v>0</v>
      </c>
      <c r="AR15" s="528">
        <v>0</v>
      </c>
      <c r="AS15" s="528">
        <v>0</v>
      </c>
      <c r="AT15" s="528">
        <v>0</v>
      </c>
      <c r="AU15" s="528">
        <v>0</v>
      </c>
      <c r="AV15" s="528">
        <v>0</v>
      </c>
      <c r="AW15" s="528">
        <v>0</v>
      </c>
      <c r="AX15" s="528">
        <v>0</v>
      </c>
      <c r="AY15" s="528">
        <v>0</v>
      </c>
      <c r="AZ15" s="528"/>
      <c r="BA15" s="528" t="s">
        <v>1145</v>
      </c>
      <c r="BB15" s="528"/>
      <c r="BC15" s="528" t="s">
        <v>1145</v>
      </c>
      <c r="BD15" s="528"/>
      <c r="BE15" s="528"/>
      <c r="BF15" s="564"/>
      <c r="BG15" s="529"/>
      <c r="BH15" s="525"/>
      <c r="BI15" s="528"/>
      <c r="BJ15" s="528" t="s">
        <v>411</v>
      </c>
      <c r="BK15" s="528"/>
      <c r="BL15" s="529"/>
      <c r="BM15" s="569" t="s">
        <v>430</v>
      </c>
      <c r="BN15" s="525" t="s">
        <v>368</v>
      </c>
    </row>
    <row r="16" spans="1:67" ht="13" customHeight="1" x14ac:dyDescent="0.2">
      <c r="A16" s="525">
        <v>3160</v>
      </c>
      <c r="B16" s="565">
        <v>44755</v>
      </c>
      <c r="C16" s="526" t="s">
        <v>1138</v>
      </c>
      <c r="D16" s="525" t="s">
        <v>1108</v>
      </c>
      <c r="E16" s="527">
        <v>44691</v>
      </c>
      <c r="F16" s="529" t="s">
        <v>1139</v>
      </c>
      <c r="G16" s="525" t="s">
        <v>1646</v>
      </c>
      <c r="H16" s="532">
        <v>84</v>
      </c>
      <c r="I16" s="531" t="s">
        <v>296</v>
      </c>
      <c r="J16" s="459">
        <v>3000</v>
      </c>
      <c r="K16" s="459">
        <v>6000</v>
      </c>
      <c r="L16" s="459">
        <v>9000</v>
      </c>
      <c r="M16" s="459">
        <v>15000</v>
      </c>
      <c r="N16" s="525"/>
      <c r="O16" s="532">
        <v>2.2454545454545456</v>
      </c>
      <c r="P16" s="532">
        <v>1.9909090909090907</v>
      </c>
      <c r="Q16" s="532">
        <v>1.6363636363636362</v>
      </c>
      <c r="R16" s="532">
        <v>1.4181818181818182</v>
      </c>
      <c r="S16" s="532">
        <v>1.3363636363636362</v>
      </c>
      <c r="T16" s="533"/>
      <c r="U16" s="532">
        <v>2.1454545454545451</v>
      </c>
      <c r="V16" s="532">
        <v>1.8909090909090909</v>
      </c>
      <c r="W16" s="532">
        <v>1.5727272727272725</v>
      </c>
      <c r="X16" s="532">
        <v>1.3909090909090909</v>
      </c>
      <c r="Y16" s="532">
        <v>1.2999999999999998</v>
      </c>
      <c r="Z16" s="533"/>
      <c r="AA16" s="533"/>
      <c r="AB16" s="533"/>
      <c r="AC16" s="533"/>
      <c r="AD16" s="533"/>
      <c r="AE16" s="533"/>
      <c r="AF16" s="533"/>
      <c r="AG16" s="528" t="s">
        <v>1143</v>
      </c>
      <c r="AH16" s="528" t="s">
        <v>1144</v>
      </c>
      <c r="AI16" s="528">
        <v>3</v>
      </c>
      <c r="AJ16" s="528">
        <v>3</v>
      </c>
      <c r="AK16" s="480">
        <v>0.5</v>
      </c>
      <c r="AL16" s="480">
        <v>0.5</v>
      </c>
      <c r="AM16" s="525" t="s">
        <v>1118</v>
      </c>
      <c r="AN16" s="528">
        <v>0</v>
      </c>
      <c r="AO16" s="528">
        <v>0</v>
      </c>
      <c r="AP16" s="528">
        <v>0</v>
      </c>
      <c r="AQ16" s="528">
        <v>0</v>
      </c>
      <c r="AR16" s="528">
        <v>0</v>
      </c>
      <c r="AS16" s="528">
        <v>0</v>
      </c>
      <c r="AT16" s="528">
        <v>0</v>
      </c>
      <c r="AU16" s="528">
        <v>0</v>
      </c>
      <c r="AV16" s="528">
        <v>0</v>
      </c>
      <c r="AW16" s="528">
        <v>0</v>
      </c>
      <c r="AX16" s="528">
        <v>0</v>
      </c>
      <c r="AY16" s="528">
        <v>0</v>
      </c>
      <c r="AZ16" s="528"/>
      <c r="BA16" s="528" t="s">
        <v>1145</v>
      </c>
      <c r="BB16" s="528"/>
      <c r="BC16" s="528" t="s">
        <v>1145</v>
      </c>
      <c r="BD16" s="528"/>
      <c r="BE16" s="528"/>
      <c r="BF16" s="528"/>
      <c r="BG16" s="597"/>
      <c r="BH16" s="598"/>
      <c r="BI16" s="566"/>
      <c r="BJ16" s="528" t="s">
        <v>1146</v>
      </c>
      <c r="BK16" s="528"/>
      <c r="BL16" s="529" t="s">
        <v>1647</v>
      </c>
      <c r="BM16" s="529" t="s">
        <v>430</v>
      </c>
      <c r="BN16" s="525" t="s">
        <v>408</v>
      </c>
    </row>
    <row r="17" spans="1:67" ht="13" customHeight="1" x14ac:dyDescent="0.2">
      <c r="A17" s="525"/>
      <c r="B17" s="599">
        <v>44782</v>
      </c>
      <c r="C17" s="526" t="s">
        <v>1138</v>
      </c>
      <c r="D17" s="525" t="s">
        <v>1108</v>
      </c>
      <c r="E17" s="527">
        <v>44774</v>
      </c>
      <c r="F17" s="529" t="s">
        <v>1148</v>
      </c>
      <c r="G17" s="525" t="s">
        <v>1280</v>
      </c>
      <c r="H17" s="532">
        <v>66.927272727272722</v>
      </c>
      <c r="I17" s="531" t="s">
        <v>296</v>
      </c>
      <c r="J17" s="459">
        <v>3000</v>
      </c>
      <c r="K17" s="459">
        <v>6000</v>
      </c>
      <c r="L17" s="459">
        <v>6000</v>
      </c>
      <c r="M17" s="459">
        <v>6000</v>
      </c>
      <c r="N17" s="525"/>
      <c r="O17" s="532">
        <v>2.4272727272727268</v>
      </c>
      <c r="P17" s="532">
        <v>2.1363636363636362</v>
      </c>
      <c r="Q17" s="601">
        <v>0</v>
      </c>
      <c r="R17" s="532">
        <v>0</v>
      </c>
      <c r="S17" s="532">
        <v>1.6818181818181817</v>
      </c>
      <c r="T17" s="533"/>
      <c r="U17" s="532">
        <v>2.3272727272727272</v>
      </c>
      <c r="V17" s="532">
        <v>2.0545454545454542</v>
      </c>
      <c r="W17" s="601">
        <v>0</v>
      </c>
      <c r="X17" s="532">
        <v>0</v>
      </c>
      <c r="Y17" s="532">
        <v>1.6818181818181817</v>
      </c>
      <c r="Z17" s="533"/>
      <c r="AA17" s="533"/>
      <c r="AB17" s="533"/>
      <c r="AC17" s="533"/>
      <c r="AD17" s="533"/>
      <c r="AE17" s="533"/>
      <c r="AF17" s="533"/>
      <c r="AG17" s="528" t="s">
        <v>1143</v>
      </c>
      <c r="AH17" s="528" t="s">
        <v>1144</v>
      </c>
      <c r="AI17" s="528">
        <v>3</v>
      </c>
      <c r="AJ17" s="528">
        <v>3</v>
      </c>
      <c r="AK17" s="480">
        <v>0.5</v>
      </c>
      <c r="AL17" s="480">
        <v>0.5</v>
      </c>
      <c r="AM17" s="525" t="s">
        <v>1118</v>
      </c>
      <c r="AN17" s="528">
        <v>0</v>
      </c>
      <c r="AO17" s="528">
        <v>0</v>
      </c>
      <c r="AP17" s="528">
        <v>0</v>
      </c>
      <c r="AQ17" s="528">
        <v>0</v>
      </c>
      <c r="AR17" s="528">
        <v>0</v>
      </c>
      <c r="AS17" s="528">
        <v>0</v>
      </c>
      <c r="AT17" s="528">
        <v>0</v>
      </c>
      <c r="AU17" s="528">
        <v>0</v>
      </c>
      <c r="AV17" s="528">
        <v>0</v>
      </c>
      <c r="AW17" s="528">
        <v>0</v>
      </c>
      <c r="AX17" s="528">
        <v>0</v>
      </c>
      <c r="AY17" s="528">
        <v>0</v>
      </c>
      <c r="AZ17" s="528"/>
      <c r="BA17" s="528" t="s">
        <v>1145</v>
      </c>
      <c r="BB17" s="528"/>
      <c r="BC17" s="528" t="s">
        <v>1145</v>
      </c>
      <c r="BD17" s="528"/>
      <c r="BE17" s="528"/>
      <c r="BF17" s="528"/>
      <c r="BG17" s="529"/>
      <c r="BH17" s="525"/>
      <c r="BI17" s="528"/>
      <c r="BJ17" s="528" t="s">
        <v>4</v>
      </c>
      <c r="BK17" s="528"/>
      <c r="BL17" s="529"/>
      <c r="BM17" s="525" t="s">
        <v>430</v>
      </c>
      <c r="BN17" s="525" t="s">
        <v>1121</v>
      </c>
    </row>
    <row r="18" spans="1:67" ht="13" customHeight="1" x14ac:dyDescent="0.2">
      <c r="A18" s="525">
        <v>2546</v>
      </c>
      <c r="B18" s="565">
        <v>44755</v>
      </c>
      <c r="C18" s="526" t="s">
        <v>1138</v>
      </c>
      <c r="D18" s="525" t="s">
        <v>1108</v>
      </c>
      <c r="E18" s="527">
        <v>44720</v>
      </c>
      <c r="F18" s="529" t="s">
        <v>1052</v>
      </c>
      <c r="G18" s="525" t="s">
        <v>1181</v>
      </c>
      <c r="H18" s="532">
        <v>53.93636363636363</v>
      </c>
      <c r="I18" s="531" t="s">
        <v>296</v>
      </c>
      <c r="J18" s="459">
        <v>3000</v>
      </c>
      <c r="K18" s="459">
        <v>6000</v>
      </c>
      <c r="L18" s="459">
        <v>9000</v>
      </c>
      <c r="M18" s="459">
        <v>15000</v>
      </c>
      <c r="N18" s="525"/>
      <c r="O18" s="532">
        <v>2.709090909090909</v>
      </c>
      <c r="P18" s="532">
        <v>2.3272727272727272</v>
      </c>
      <c r="Q18" s="532">
        <v>1.9090909090909089</v>
      </c>
      <c r="R18" s="532">
        <v>1.7454545454545451</v>
      </c>
      <c r="S18" s="532">
        <v>1.7</v>
      </c>
      <c r="T18" s="533"/>
      <c r="U18" s="532">
        <v>2.545454545454545</v>
      </c>
      <c r="V18" s="532">
        <v>2.2181818181818178</v>
      </c>
      <c r="W18" s="532">
        <v>1.8636363636363633</v>
      </c>
      <c r="X18" s="532">
        <v>1.718181818181818</v>
      </c>
      <c r="Y18" s="532">
        <v>1.6818181818181817</v>
      </c>
      <c r="Z18" s="533"/>
      <c r="AA18" s="533"/>
      <c r="AB18" s="533"/>
      <c r="AC18" s="533"/>
      <c r="AD18" s="533"/>
      <c r="AE18" s="533"/>
      <c r="AF18" s="533"/>
      <c r="AG18" s="528" t="s">
        <v>1143</v>
      </c>
      <c r="AH18" s="528" t="s">
        <v>1144</v>
      </c>
      <c r="AI18" s="528">
        <v>3</v>
      </c>
      <c r="AJ18" s="528">
        <v>3</v>
      </c>
      <c r="AK18" s="480">
        <v>0.5</v>
      </c>
      <c r="AL18" s="480">
        <v>0.5</v>
      </c>
      <c r="AM18" s="525" t="s">
        <v>1118</v>
      </c>
      <c r="AN18" s="528">
        <v>0</v>
      </c>
      <c r="AO18" s="528">
        <v>0</v>
      </c>
      <c r="AP18" s="528">
        <v>0</v>
      </c>
      <c r="AQ18" s="528">
        <v>0</v>
      </c>
      <c r="AR18" s="528">
        <v>0</v>
      </c>
      <c r="AS18" s="528">
        <v>0</v>
      </c>
      <c r="AT18" s="528">
        <v>0</v>
      </c>
      <c r="AU18" s="528">
        <v>0</v>
      </c>
      <c r="AV18" s="528">
        <v>0</v>
      </c>
      <c r="AW18" s="528">
        <v>0</v>
      </c>
      <c r="AX18" s="528">
        <v>0</v>
      </c>
      <c r="AY18" s="528">
        <v>0</v>
      </c>
      <c r="AZ18" s="528"/>
      <c r="BA18" s="528" t="s">
        <v>1145</v>
      </c>
      <c r="BB18" s="528"/>
      <c r="BC18" s="528" t="s">
        <v>1145</v>
      </c>
      <c r="BD18" s="528"/>
      <c r="BE18" s="528"/>
      <c r="BF18" s="528"/>
      <c r="BG18" s="529"/>
      <c r="BH18" s="525"/>
      <c r="BI18" s="528"/>
      <c r="BJ18" s="528" t="s">
        <v>1146</v>
      </c>
      <c r="BK18" s="528"/>
      <c r="BL18" s="529"/>
      <c r="BM18" s="529" t="s">
        <v>1155</v>
      </c>
      <c r="BN18" s="525" t="s">
        <v>408</v>
      </c>
    </row>
    <row r="19" spans="1:67" ht="13" customHeight="1" x14ac:dyDescent="0.2">
      <c r="A19" s="525">
        <v>3521</v>
      </c>
      <c r="B19" s="565">
        <v>44755</v>
      </c>
      <c r="C19" s="526" t="s">
        <v>1138</v>
      </c>
      <c r="D19" s="525" t="s">
        <v>1108</v>
      </c>
      <c r="E19" s="527">
        <v>44734</v>
      </c>
      <c r="F19" s="529" t="s">
        <v>1156</v>
      </c>
      <c r="G19" s="525" t="s">
        <v>1649</v>
      </c>
      <c r="H19" s="532">
        <v>83.499999999999986</v>
      </c>
      <c r="I19" s="531" t="s">
        <v>296</v>
      </c>
      <c r="J19" s="459">
        <v>3000</v>
      </c>
      <c r="K19" s="459">
        <v>6000</v>
      </c>
      <c r="L19" s="459">
        <v>9000</v>
      </c>
      <c r="M19" s="459">
        <v>15000</v>
      </c>
      <c r="N19" s="525"/>
      <c r="O19" s="532">
        <v>3.1999999999999997</v>
      </c>
      <c r="P19" s="532">
        <v>2.6545454545454543</v>
      </c>
      <c r="Q19" s="532">
        <v>2.1818181818181817</v>
      </c>
      <c r="R19" s="532">
        <v>1.9818181818181817</v>
      </c>
      <c r="S19" s="532">
        <v>1.8545454545454545</v>
      </c>
      <c r="T19" s="533"/>
      <c r="U19" s="532">
        <v>2.9999999999999996</v>
      </c>
      <c r="V19" s="532">
        <v>2.5272727272727269</v>
      </c>
      <c r="W19" s="532">
        <v>2.0545454545454542</v>
      </c>
      <c r="X19" s="532">
        <v>1.8999999999999997</v>
      </c>
      <c r="Y19" s="532">
        <v>1.8090909090909089</v>
      </c>
      <c r="Z19" s="533"/>
      <c r="AA19" s="533"/>
      <c r="AB19" s="533"/>
      <c r="AC19" s="533"/>
      <c r="AD19" s="533"/>
      <c r="AE19" s="533"/>
      <c r="AF19" s="533"/>
      <c r="AG19" s="528" t="s">
        <v>1143</v>
      </c>
      <c r="AH19" s="528" t="s">
        <v>1144</v>
      </c>
      <c r="AI19" s="528">
        <v>3</v>
      </c>
      <c r="AJ19" s="528">
        <v>3</v>
      </c>
      <c r="AK19" s="480">
        <v>0.5</v>
      </c>
      <c r="AL19" s="480">
        <v>0.5</v>
      </c>
      <c r="AM19" s="525" t="s">
        <v>1118</v>
      </c>
      <c r="AN19" s="528">
        <v>8</v>
      </c>
      <c r="AO19" s="528">
        <v>0</v>
      </c>
      <c r="AP19" s="528">
        <v>0</v>
      </c>
      <c r="AQ19" s="528">
        <v>0</v>
      </c>
      <c r="AR19" s="528">
        <v>0</v>
      </c>
      <c r="AS19" s="528">
        <v>0</v>
      </c>
      <c r="AT19" s="528">
        <v>0</v>
      </c>
      <c r="AU19" s="528">
        <v>0</v>
      </c>
      <c r="AV19" s="528">
        <v>0</v>
      </c>
      <c r="AW19" s="528">
        <v>0</v>
      </c>
      <c r="AX19" s="528">
        <v>0</v>
      </c>
      <c r="AY19" s="528">
        <v>0</v>
      </c>
      <c r="AZ19" s="566">
        <v>12</v>
      </c>
      <c r="BA19" s="528" t="s">
        <v>1145</v>
      </c>
      <c r="BB19" s="528"/>
      <c r="BC19" s="528" t="s">
        <v>1145</v>
      </c>
      <c r="BD19" s="528"/>
      <c r="BE19" s="528"/>
      <c r="BF19" s="528"/>
      <c r="BG19" s="529" t="s">
        <v>1622</v>
      </c>
      <c r="BH19" s="525" t="s">
        <v>365</v>
      </c>
      <c r="BI19" s="528">
        <v>25</v>
      </c>
      <c r="BJ19" s="528" t="s">
        <v>1146</v>
      </c>
      <c r="BK19" s="528"/>
      <c r="BL19" s="529" t="s">
        <v>1623</v>
      </c>
      <c r="BM19" s="525" t="s">
        <v>1662</v>
      </c>
      <c r="BN19" s="525" t="s">
        <v>408</v>
      </c>
    </row>
    <row r="20" spans="1:67" ht="13" customHeight="1" x14ac:dyDescent="0.2">
      <c r="A20" s="525">
        <v>2878</v>
      </c>
      <c r="B20" s="565">
        <v>44756</v>
      </c>
      <c r="C20" s="526" t="s">
        <v>1138</v>
      </c>
      <c r="D20" s="525" t="s">
        <v>1108</v>
      </c>
      <c r="E20" s="527">
        <v>44753</v>
      </c>
      <c r="F20" s="529" t="s">
        <v>1159</v>
      </c>
      <c r="G20" s="525" t="s">
        <v>1105</v>
      </c>
      <c r="H20" s="532">
        <v>68.900000000000006</v>
      </c>
      <c r="I20" s="531" t="s">
        <v>296</v>
      </c>
      <c r="J20" s="459">
        <v>3000</v>
      </c>
      <c r="K20" s="459">
        <v>6000</v>
      </c>
      <c r="L20" s="459">
        <v>9000</v>
      </c>
      <c r="M20" s="459">
        <v>15000</v>
      </c>
      <c r="N20" s="525"/>
      <c r="O20" s="532">
        <v>2.2454545454545456</v>
      </c>
      <c r="P20" s="532">
        <v>1.8545454545454545</v>
      </c>
      <c r="Q20" s="532">
        <v>1.7363636363636361</v>
      </c>
      <c r="R20" s="532">
        <v>1.6727272727272726</v>
      </c>
      <c r="S20" s="532">
        <v>1.6363636363636362</v>
      </c>
      <c r="T20" s="533"/>
      <c r="U20" s="532">
        <v>2.1454545454545451</v>
      </c>
      <c r="V20" s="532">
        <v>1.8545454545454545</v>
      </c>
      <c r="W20" s="532">
        <v>1.718181818181818</v>
      </c>
      <c r="X20" s="532">
        <v>1.6454545454545453</v>
      </c>
      <c r="Y20" s="532">
        <v>1.6090909090909089</v>
      </c>
      <c r="Z20" s="533"/>
      <c r="AA20" s="533"/>
      <c r="AB20" s="533"/>
      <c r="AC20" s="533"/>
      <c r="AD20" s="533"/>
      <c r="AE20" s="533"/>
      <c r="AF20" s="533"/>
      <c r="AG20" s="528" t="s">
        <v>1143</v>
      </c>
      <c r="AH20" s="528" t="s">
        <v>1144</v>
      </c>
      <c r="AI20" s="528">
        <v>3</v>
      </c>
      <c r="AJ20" s="528">
        <v>3</v>
      </c>
      <c r="AK20" s="480">
        <v>0.5</v>
      </c>
      <c r="AL20" s="480">
        <v>0.5</v>
      </c>
      <c r="AM20" s="525" t="s">
        <v>1118</v>
      </c>
      <c r="AN20" s="528">
        <v>0</v>
      </c>
      <c r="AO20" s="528">
        <v>0</v>
      </c>
      <c r="AP20" s="528">
        <v>0</v>
      </c>
      <c r="AQ20" s="528">
        <v>0</v>
      </c>
      <c r="AR20" s="528">
        <v>0</v>
      </c>
      <c r="AS20" s="528">
        <v>0</v>
      </c>
      <c r="AT20" s="528">
        <v>0</v>
      </c>
      <c r="AU20" s="528">
        <v>0</v>
      </c>
      <c r="AV20" s="528">
        <v>0</v>
      </c>
      <c r="AW20" s="528">
        <v>0</v>
      </c>
      <c r="AX20" s="528">
        <v>0</v>
      </c>
      <c r="AY20" s="528">
        <v>0</v>
      </c>
      <c r="AZ20" s="528"/>
      <c r="BA20" s="528" t="s">
        <v>1145</v>
      </c>
      <c r="BB20" s="528"/>
      <c r="BC20" s="528" t="s">
        <v>1145</v>
      </c>
      <c r="BD20" s="528"/>
      <c r="BE20" s="528"/>
      <c r="BF20" s="564">
        <v>45230</v>
      </c>
      <c r="BG20" s="529"/>
      <c r="BH20" s="525"/>
      <c r="BI20" s="528"/>
      <c r="BJ20" s="528" t="s">
        <v>1146</v>
      </c>
      <c r="BK20" s="528"/>
      <c r="BL20" s="529"/>
      <c r="BM20" s="529" t="s">
        <v>430</v>
      </c>
      <c r="BN20" s="525" t="s">
        <v>408</v>
      </c>
    </row>
    <row r="21" spans="1:67" ht="13" customHeight="1" x14ac:dyDescent="0.2">
      <c r="A21" s="525">
        <v>3367</v>
      </c>
      <c r="B21" s="565">
        <v>44755</v>
      </c>
      <c r="C21" s="526" t="s">
        <v>1138</v>
      </c>
      <c r="D21" s="525" t="s">
        <v>1108</v>
      </c>
      <c r="E21" s="527">
        <v>44743</v>
      </c>
      <c r="F21" s="529" t="s">
        <v>1166</v>
      </c>
      <c r="G21" s="525" t="s">
        <v>1651</v>
      </c>
      <c r="H21" s="532">
        <v>71.463636363636354</v>
      </c>
      <c r="I21" s="531" t="s">
        <v>296</v>
      </c>
      <c r="J21" s="568">
        <v>6000</v>
      </c>
      <c r="K21" s="568">
        <v>6000</v>
      </c>
      <c r="L21" s="568">
        <v>6000</v>
      </c>
      <c r="M21" s="568">
        <v>6000</v>
      </c>
      <c r="N21" s="568"/>
      <c r="O21" s="532">
        <v>2.5545454545454542</v>
      </c>
      <c r="P21" s="406">
        <v>0</v>
      </c>
      <c r="Q21" s="406">
        <v>0</v>
      </c>
      <c r="R21" s="406">
        <v>0</v>
      </c>
      <c r="S21" s="532">
        <v>1.7</v>
      </c>
      <c r="T21" s="533"/>
      <c r="U21" s="532">
        <v>2.5545454545454542</v>
      </c>
      <c r="V21" s="406">
        <v>0</v>
      </c>
      <c r="W21" s="406">
        <v>0</v>
      </c>
      <c r="X21" s="406">
        <v>0</v>
      </c>
      <c r="Y21" s="532">
        <v>1.7</v>
      </c>
      <c r="Z21" s="533"/>
      <c r="AA21" s="533"/>
      <c r="AB21" s="533"/>
      <c r="AC21" s="533"/>
      <c r="AD21" s="533"/>
      <c r="AE21" s="533"/>
      <c r="AF21" s="533"/>
      <c r="AG21" s="528" t="s">
        <v>1145</v>
      </c>
      <c r="AH21" s="528"/>
      <c r="AI21" s="528">
        <v>3</v>
      </c>
      <c r="AJ21" s="528">
        <v>3</v>
      </c>
      <c r="AK21" s="480">
        <v>0.5</v>
      </c>
      <c r="AL21" s="480">
        <v>0.5</v>
      </c>
      <c r="AM21" s="525"/>
      <c r="AN21" s="528">
        <v>0</v>
      </c>
      <c r="AO21" s="528">
        <v>0</v>
      </c>
      <c r="AP21" s="528">
        <v>0</v>
      </c>
      <c r="AQ21" s="528">
        <v>0</v>
      </c>
      <c r="AR21" s="528">
        <v>0</v>
      </c>
      <c r="AS21" s="528">
        <v>0</v>
      </c>
      <c r="AT21" s="528">
        <v>0</v>
      </c>
      <c r="AU21" s="528">
        <v>0</v>
      </c>
      <c r="AV21" s="528">
        <v>0</v>
      </c>
      <c r="AW21" s="528">
        <v>0</v>
      </c>
      <c r="AX21" s="528">
        <v>0</v>
      </c>
      <c r="AY21" s="528">
        <v>0</v>
      </c>
      <c r="AZ21" s="528"/>
      <c r="BA21" s="528" t="s">
        <v>1145</v>
      </c>
      <c r="BB21" s="528">
        <v>12</v>
      </c>
      <c r="BC21" s="528" t="s">
        <v>1145</v>
      </c>
      <c r="BD21" s="528"/>
      <c r="BE21" s="528"/>
      <c r="BF21" s="528"/>
      <c r="BG21" s="529"/>
      <c r="BH21" s="525"/>
      <c r="BI21" s="600"/>
      <c r="BJ21" s="528" t="s">
        <v>1146</v>
      </c>
      <c r="BK21" s="528"/>
      <c r="BL21" s="529"/>
      <c r="BM21" s="525" t="s">
        <v>1652</v>
      </c>
      <c r="BN21" s="525" t="s">
        <v>408</v>
      </c>
      <c r="BO21" s="366"/>
    </row>
    <row r="22" spans="1:67" ht="13" customHeight="1" x14ac:dyDescent="0.2">
      <c r="A22" s="525">
        <v>2395</v>
      </c>
      <c r="B22" s="565">
        <v>44756</v>
      </c>
      <c r="C22" s="526" t="s">
        <v>1138</v>
      </c>
      <c r="D22" s="525" t="s">
        <v>1108</v>
      </c>
      <c r="E22" s="570">
        <v>44651</v>
      </c>
      <c r="F22" s="529" t="s">
        <v>1168</v>
      </c>
      <c r="G22" s="525" t="s">
        <v>1297</v>
      </c>
      <c r="H22" s="532">
        <v>72</v>
      </c>
      <c r="I22" s="531" t="s">
        <v>296</v>
      </c>
      <c r="J22" s="459">
        <v>3000</v>
      </c>
      <c r="K22" s="459">
        <v>6000</v>
      </c>
      <c r="L22" s="459">
        <v>9000</v>
      </c>
      <c r="M22" s="459">
        <v>15000</v>
      </c>
      <c r="N22" s="525"/>
      <c r="O22" s="532">
        <v>2.2818181818181813</v>
      </c>
      <c r="P22" s="532">
        <v>2.1090909090909089</v>
      </c>
      <c r="Q22" s="532">
        <v>1.9363636363636361</v>
      </c>
      <c r="R22" s="532">
        <v>1.5999999999999999</v>
      </c>
      <c r="S22" s="532">
        <v>1.5999999999999999</v>
      </c>
      <c r="T22" s="533"/>
      <c r="U22" s="532">
        <v>2.2818181818181813</v>
      </c>
      <c r="V22" s="532">
        <v>2.1090909090909089</v>
      </c>
      <c r="W22" s="532">
        <v>1.7999999999999998</v>
      </c>
      <c r="X22" s="532">
        <v>1.5999999999999999</v>
      </c>
      <c r="Y22" s="532">
        <v>1.5272727272727271</v>
      </c>
      <c r="Z22" s="533"/>
      <c r="AA22" s="533"/>
      <c r="AB22" s="533"/>
      <c r="AC22" s="533"/>
      <c r="AD22" s="533"/>
      <c r="AE22" s="533"/>
      <c r="AF22" s="533"/>
      <c r="AG22" s="528" t="s">
        <v>1143</v>
      </c>
      <c r="AH22" s="528" t="s">
        <v>1144</v>
      </c>
      <c r="AI22" s="528">
        <v>3</v>
      </c>
      <c r="AJ22" s="528">
        <v>3</v>
      </c>
      <c r="AK22" s="480">
        <v>0.5</v>
      </c>
      <c r="AL22" s="480">
        <v>0.5</v>
      </c>
      <c r="AM22" s="525" t="s">
        <v>1118</v>
      </c>
      <c r="AN22" s="528">
        <v>0</v>
      </c>
      <c r="AO22" s="528">
        <v>0</v>
      </c>
      <c r="AP22" s="528">
        <v>0</v>
      </c>
      <c r="AQ22" s="528">
        <v>0</v>
      </c>
      <c r="AR22" s="528">
        <v>0</v>
      </c>
      <c r="AS22" s="528">
        <v>0</v>
      </c>
      <c r="AT22" s="528">
        <v>0</v>
      </c>
      <c r="AU22" s="528">
        <v>0</v>
      </c>
      <c r="AV22" s="528">
        <v>0</v>
      </c>
      <c r="AW22" s="528">
        <v>0</v>
      </c>
      <c r="AX22" s="528">
        <v>0</v>
      </c>
      <c r="AY22" s="528">
        <v>0</v>
      </c>
      <c r="AZ22" s="528"/>
      <c r="BA22" s="528" t="s">
        <v>1145</v>
      </c>
      <c r="BB22" s="528"/>
      <c r="BC22" s="528" t="s">
        <v>1145</v>
      </c>
      <c r="BD22" s="528"/>
      <c r="BE22" s="528"/>
      <c r="BF22" s="528"/>
      <c r="BG22" s="529"/>
      <c r="BH22" s="525"/>
      <c r="BI22" s="528"/>
      <c r="BJ22" s="528" t="s">
        <v>1146</v>
      </c>
      <c r="BK22" s="528"/>
      <c r="BL22" s="529"/>
      <c r="BM22" s="529" t="s">
        <v>430</v>
      </c>
      <c r="BN22" s="525" t="s">
        <v>368</v>
      </c>
    </row>
    <row r="23" spans="1:67" ht="13" customHeight="1" x14ac:dyDescent="0.2">
      <c r="A23" s="525">
        <v>3581</v>
      </c>
      <c r="B23" s="565">
        <v>44755</v>
      </c>
      <c r="C23" s="526" t="s">
        <v>1138</v>
      </c>
      <c r="D23" s="525" t="s">
        <v>1108</v>
      </c>
      <c r="E23" s="527">
        <v>44743</v>
      </c>
      <c r="F23" s="529" t="s">
        <v>1169</v>
      </c>
      <c r="G23" s="525" t="s">
        <v>1654</v>
      </c>
      <c r="H23" s="532">
        <v>76.099999999999994</v>
      </c>
      <c r="I23" s="531" t="s">
        <v>296</v>
      </c>
      <c r="J23" s="459">
        <v>3000</v>
      </c>
      <c r="K23" s="459">
        <v>6000</v>
      </c>
      <c r="L23" s="459">
        <v>9000</v>
      </c>
      <c r="M23" s="459">
        <v>15000</v>
      </c>
      <c r="N23" s="525"/>
      <c r="O23" s="138">
        <v>3.418181818181818</v>
      </c>
      <c r="P23" s="138">
        <v>3.0545454545454542</v>
      </c>
      <c r="Q23" s="138">
        <v>2.6181818181818177</v>
      </c>
      <c r="R23" s="138">
        <v>2.3787878787878789</v>
      </c>
      <c r="S23" s="138">
        <v>2.3181818181818179</v>
      </c>
      <c r="T23" s="533"/>
      <c r="U23" s="532">
        <v>3.2545454545454544</v>
      </c>
      <c r="V23" s="532">
        <v>2.9272727272727272</v>
      </c>
      <c r="W23" s="532">
        <v>2.5636363636363635</v>
      </c>
      <c r="X23" s="532">
        <v>2.336363636363636</v>
      </c>
      <c r="Y23" s="532">
        <v>2.2999999999999998</v>
      </c>
      <c r="Z23" s="533"/>
      <c r="AA23" s="533"/>
      <c r="AB23" s="533"/>
      <c r="AC23" s="533"/>
      <c r="AD23" s="533"/>
      <c r="AE23" s="533"/>
      <c r="AF23" s="533"/>
      <c r="AG23" s="528" t="s">
        <v>1143</v>
      </c>
      <c r="AH23" s="528" t="s">
        <v>1144</v>
      </c>
      <c r="AI23" s="528">
        <v>3</v>
      </c>
      <c r="AJ23" s="528">
        <v>3</v>
      </c>
      <c r="AK23" s="480">
        <v>0.5</v>
      </c>
      <c r="AL23" s="480">
        <v>0.5</v>
      </c>
      <c r="AM23" s="525" t="s">
        <v>1123</v>
      </c>
      <c r="AN23" s="528">
        <v>0</v>
      </c>
      <c r="AO23" s="528">
        <v>0</v>
      </c>
      <c r="AP23" s="528">
        <v>0</v>
      </c>
      <c r="AQ23" s="528">
        <v>0</v>
      </c>
      <c r="AR23" s="528">
        <v>0</v>
      </c>
      <c r="AS23" s="528">
        <v>0</v>
      </c>
      <c r="AT23" s="528">
        <v>0</v>
      </c>
      <c r="AU23" s="528">
        <v>0</v>
      </c>
      <c r="AV23" s="528">
        <v>0</v>
      </c>
      <c r="AW23" s="528">
        <v>0</v>
      </c>
      <c r="AX23" s="528">
        <v>0</v>
      </c>
      <c r="AY23" s="528">
        <v>0</v>
      </c>
      <c r="AZ23" s="528"/>
      <c r="BA23" s="528" t="s">
        <v>1145</v>
      </c>
      <c r="BB23" s="528"/>
      <c r="BC23" s="528" t="s">
        <v>1145</v>
      </c>
      <c r="BD23" s="528"/>
      <c r="BE23" s="528"/>
      <c r="BF23" s="528"/>
      <c r="BG23" s="529"/>
      <c r="BH23" s="525"/>
      <c r="BI23" s="528"/>
      <c r="BJ23" s="528" t="s">
        <v>1146</v>
      </c>
      <c r="BK23" s="528"/>
      <c r="BL23" s="529"/>
      <c r="BM23" s="529" t="s">
        <v>1655</v>
      </c>
      <c r="BN23" s="525" t="s">
        <v>1121</v>
      </c>
    </row>
    <row r="24" spans="1:67" ht="13" customHeight="1" x14ac:dyDescent="0.2">
      <c r="A24" s="525">
        <v>1683</v>
      </c>
      <c r="B24" s="565">
        <v>44755</v>
      </c>
      <c r="C24" s="526" t="s">
        <v>295</v>
      </c>
      <c r="D24" s="525" t="s">
        <v>1108</v>
      </c>
      <c r="E24" s="527">
        <v>44715</v>
      </c>
      <c r="F24" s="529" t="s">
        <v>1106</v>
      </c>
      <c r="G24" s="525" t="s">
        <v>2</v>
      </c>
      <c r="H24" s="532">
        <v>59.999999999999993</v>
      </c>
      <c r="I24" s="531" t="s">
        <v>296</v>
      </c>
      <c r="J24" s="568">
        <v>6000</v>
      </c>
      <c r="K24" s="568">
        <v>6000</v>
      </c>
      <c r="L24" s="568">
        <v>6000</v>
      </c>
      <c r="M24" s="568">
        <v>6000</v>
      </c>
      <c r="N24" s="525"/>
      <c r="O24" s="532">
        <v>3.0545454545454542</v>
      </c>
      <c r="P24" s="406">
        <v>0</v>
      </c>
      <c r="Q24" s="406">
        <v>0</v>
      </c>
      <c r="R24" s="406">
        <v>0</v>
      </c>
      <c r="S24" s="532">
        <v>2.7</v>
      </c>
      <c r="T24" s="533"/>
      <c r="U24" s="532">
        <v>3.0545454545454542</v>
      </c>
      <c r="V24" s="406">
        <v>0</v>
      </c>
      <c r="W24" s="406">
        <v>0</v>
      </c>
      <c r="X24" s="406">
        <v>0</v>
      </c>
      <c r="Y24" s="532">
        <v>2.7</v>
      </c>
      <c r="Z24" s="533"/>
      <c r="AA24" s="533"/>
      <c r="AB24" s="533"/>
      <c r="AC24" s="533"/>
      <c r="AD24" s="533"/>
      <c r="AE24" s="533"/>
      <c r="AF24" s="533"/>
      <c r="AG24" s="528" t="s">
        <v>297</v>
      </c>
      <c r="AH24" s="528" t="s">
        <v>298</v>
      </c>
      <c r="AI24" s="528">
        <v>3</v>
      </c>
      <c r="AJ24" s="528">
        <v>3</v>
      </c>
      <c r="AK24" s="480">
        <v>0.5</v>
      </c>
      <c r="AL24" s="480">
        <v>0.5</v>
      </c>
      <c r="AM24" s="525" t="s">
        <v>1124</v>
      </c>
      <c r="AN24" s="528">
        <v>0</v>
      </c>
      <c r="AO24" s="528">
        <v>0</v>
      </c>
      <c r="AP24" s="528">
        <v>0</v>
      </c>
      <c r="AQ24" s="528">
        <v>0</v>
      </c>
      <c r="AR24" s="528">
        <v>0</v>
      </c>
      <c r="AS24" s="528">
        <v>0</v>
      </c>
      <c r="AT24" s="528">
        <v>0</v>
      </c>
      <c r="AU24" s="528">
        <v>0</v>
      </c>
      <c r="AV24" s="528">
        <v>0</v>
      </c>
      <c r="AW24" s="528">
        <v>0</v>
      </c>
      <c r="AX24" s="528">
        <v>0</v>
      </c>
      <c r="AY24" s="528">
        <v>0</v>
      </c>
      <c r="AZ24" s="528"/>
      <c r="BA24" s="528" t="s">
        <v>1145</v>
      </c>
      <c r="BB24" s="528"/>
      <c r="BC24" s="528" t="s">
        <v>1145</v>
      </c>
      <c r="BD24" s="528"/>
      <c r="BE24" s="528"/>
      <c r="BF24" s="529"/>
      <c r="BG24" s="525"/>
      <c r="BH24" s="528"/>
      <c r="BI24" s="528"/>
      <c r="BJ24" s="528" t="s">
        <v>1146</v>
      </c>
      <c r="BK24" s="528">
        <v>1</v>
      </c>
      <c r="BL24" s="525"/>
      <c r="BM24" s="529" t="s">
        <v>430</v>
      </c>
      <c r="BN24" s="525" t="s">
        <v>368</v>
      </c>
    </row>
    <row r="25" spans="1:67" ht="13" customHeight="1" x14ac:dyDescent="0.2">
      <c r="A25" s="525">
        <v>3340</v>
      </c>
      <c r="B25" s="565">
        <v>44755</v>
      </c>
      <c r="C25" s="526" t="s">
        <v>1138</v>
      </c>
      <c r="D25" s="525" t="s">
        <v>1108</v>
      </c>
      <c r="E25" s="527">
        <v>44593</v>
      </c>
      <c r="F25" s="525" t="s">
        <v>34</v>
      </c>
      <c r="G25" s="525" t="s">
        <v>1656</v>
      </c>
      <c r="H25" s="532">
        <v>66.054545454545448</v>
      </c>
      <c r="I25" s="394"/>
      <c r="J25" s="409"/>
      <c r="K25" s="409"/>
      <c r="L25" s="332"/>
      <c r="M25" s="332"/>
      <c r="N25" s="332"/>
      <c r="O25" s="532">
        <v>1.918181818181818</v>
      </c>
      <c r="P25" s="406">
        <v>0</v>
      </c>
      <c r="Q25" s="406">
        <v>0</v>
      </c>
      <c r="R25" s="406">
        <v>0</v>
      </c>
      <c r="S25" s="406">
        <v>0</v>
      </c>
      <c r="T25" s="571"/>
      <c r="U25" s="532">
        <v>1.8090909090909089</v>
      </c>
      <c r="V25" s="406">
        <v>0</v>
      </c>
      <c r="W25" s="406">
        <v>0</v>
      </c>
      <c r="X25" s="406">
        <v>0</v>
      </c>
      <c r="Y25" s="406">
        <v>0</v>
      </c>
      <c r="Z25" s="571"/>
      <c r="AA25" s="571"/>
      <c r="AB25" s="571"/>
      <c r="AC25" s="571"/>
      <c r="AD25" s="571"/>
      <c r="AE25" s="571"/>
      <c r="AF25" s="571"/>
      <c r="AG25" s="528" t="s">
        <v>1143</v>
      </c>
      <c r="AH25" s="528" t="s">
        <v>1144</v>
      </c>
      <c r="AI25" s="528">
        <v>3</v>
      </c>
      <c r="AJ25" s="528">
        <v>3</v>
      </c>
      <c r="AK25" s="480">
        <v>0.5</v>
      </c>
      <c r="AL25" s="480">
        <v>0.5</v>
      </c>
      <c r="AM25" s="525" t="s">
        <v>1118</v>
      </c>
      <c r="AN25" s="528">
        <v>0</v>
      </c>
      <c r="AO25" s="528">
        <v>0</v>
      </c>
      <c r="AP25" s="528">
        <v>0</v>
      </c>
      <c r="AQ25" s="528">
        <v>0</v>
      </c>
      <c r="AR25" s="528">
        <v>0</v>
      </c>
      <c r="AS25" s="528">
        <v>0</v>
      </c>
      <c r="AT25" s="528">
        <v>0</v>
      </c>
      <c r="AU25" s="528">
        <v>0</v>
      </c>
      <c r="AV25" s="528">
        <v>0</v>
      </c>
      <c r="AW25" s="528">
        <v>0</v>
      </c>
      <c r="AX25" s="528">
        <v>0</v>
      </c>
      <c r="AY25" s="528">
        <v>0</v>
      </c>
      <c r="AZ25" s="528"/>
      <c r="BA25" s="528" t="s">
        <v>1145</v>
      </c>
      <c r="BB25" s="528"/>
      <c r="BC25" s="528" t="s">
        <v>1145</v>
      </c>
      <c r="BD25" s="528"/>
      <c r="BE25" s="528"/>
      <c r="BF25" s="528"/>
      <c r="BG25" s="529"/>
      <c r="BH25" s="525"/>
      <c r="BI25" s="528"/>
      <c r="BJ25" s="528" t="s">
        <v>411</v>
      </c>
      <c r="BK25" s="528"/>
      <c r="BL25" s="529" t="s">
        <v>1284</v>
      </c>
      <c r="BM25" s="424" t="s">
        <v>1657</v>
      </c>
      <c r="BN25" s="525" t="s">
        <v>368</v>
      </c>
    </row>
    <row r="26" spans="1:67" ht="13" customHeight="1" x14ac:dyDescent="0.2">
      <c r="A26" s="525">
        <v>2746</v>
      </c>
      <c r="B26" s="565">
        <v>44755</v>
      </c>
      <c r="C26" s="526" t="s">
        <v>1138</v>
      </c>
      <c r="D26" s="525" t="s">
        <v>1108</v>
      </c>
      <c r="E26" s="527">
        <v>44708</v>
      </c>
      <c r="F26" s="525" t="s">
        <v>1274</v>
      </c>
      <c r="G26" s="525" t="s">
        <v>1467</v>
      </c>
      <c r="H26" s="532">
        <v>70.999999999999986</v>
      </c>
      <c r="I26" s="394" t="s">
        <v>296</v>
      </c>
      <c r="J26" s="459">
        <v>3000</v>
      </c>
      <c r="K26" s="459">
        <v>7500</v>
      </c>
      <c r="L26" s="459">
        <v>7500</v>
      </c>
      <c r="M26" s="459">
        <v>7500</v>
      </c>
      <c r="N26" s="332"/>
      <c r="O26" s="532">
        <v>2.6545454545454543</v>
      </c>
      <c r="P26" s="532">
        <v>2.2909090909090906</v>
      </c>
      <c r="Q26" s="417">
        <v>0</v>
      </c>
      <c r="R26" s="340">
        <v>0</v>
      </c>
      <c r="S26" s="532">
        <v>1.9090909090909089</v>
      </c>
      <c r="T26" s="571"/>
      <c r="U26" s="532">
        <v>2.6545454545454543</v>
      </c>
      <c r="V26" s="532">
        <v>2.2909090909090906</v>
      </c>
      <c r="W26" s="417">
        <v>0</v>
      </c>
      <c r="X26" s="340">
        <v>0</v>
      </c>
      <c r="Y26" s="532">
        <v>1.9090909090909089</v>
      </c>
      <c r="Z26" s="571"/>
      <c r="AA26" s="571"/>
      <c r="AB26" s="571"/>
      <c r="AC26" s="571"/>
      <c r="AD26" s="571"/>
      <c r="AE26" s="571"/>
      <c r="AF26" s="571"/>
      <c r="AG26" s="333" t="s">
        <v>1145</v>
      </c>
      <c r="AH26" s="333"/>
      <c r="AI26" s="528">
        <v>3</v>
      </c>
      <c r="AJ26" s="528">
        <v>3</v>
      </c>
      <c r="AK26" s="480">
        <v>0.5</v>
      </c>
      <c r="AL26" s="480">
        <v>0.5</v>
      </c>
      <c r="AM26" s="525"/>
      <c r="AN26" s="528">
        <v>0</v>
      </c>
      <c r="AO26" s="528">
        <v>7</v>
      </c>
      <c r="AP26" s="528">
        <v>0</v>
      </c>
      <c r="AQ26" s="528">
        <v>3</v>
      </c>
      <c r="AR26" s="528">
        <v>0</v>
      </c>
      <c r="AS26" s="528">
        <v>0</v>
      </c>
      <c r="AT26" s="528">
        <v>0</v>
      </c>
      <c r="AU26" s="528">
        <v>0</v>
      </c>
      <c r="AV26" s="528">
        <v>0</v>
      </c>
      <c r="AW26" s="528">
        <v>0</v>
      </c>
      <c r="AX26" s="528">
        <v>0</v>
      </c>
      <c r="AY26" s="528">
        <v>0</v>
      </c>
      <c r="AZ26" s="528"/>
      <c r="BA26" s="528" t="s">
        <v>1145</v>
      </c>
      <c r="BB26" s="528"/>
      <c r="BC26" s="528" t="s">
        <v>1145</v>
      </c>
      <c r="BD26" s="528"/>
      <c r="BE26" s="528"/>
      <c r="BF26" s="528"/>
      <c r="BG26" s="529"/>
      <c r="BH26" s="525"/>
      <c r="BI26" s="528"/>
      <c r="BJ26" s="528" t="s">
        <v>1146</v>
      </c>
      <c r="BK26" s="528"/>
      <c r="BL26" s="529"/>
      <c r="BM26" s="529" t="s">
        <v>430</v>
      </c>
      <c r="BN26" s="525" t="s">
        <v>368</v>
      </c>
    </row>
    <row r="27" spans="1:67" ht="13" customHeight="1" x14ac:dyDescent="0.2">
      <c r="A27" s="525">
        <v>3582</v>
      </c>
      <c r="B27" s="565">
        <v>44755</v>
      </c>
      <c r="C27" s="526" t="s">
        <v>1138</v>
      </c>
      <c r="D27" s="525" t="s">
        <v>1108</v>
      </c>
      <c r="E27" s="570">
        <v>44562</v>
      </c>
      <c r="F27" s="525" t="s">
        <v>1291</v>
      </c>
      <c r="G27" s="525" t="s">
        <v>1658</v>
      </c>
      <c r="H27" s="532">
        <v>77.75454545454545</v>
      </c>
      <c r="I27" s="394"/>
      <c r="J27" s="409"/>
      <c r="K27" s="409"/>
      <c r="L27" s="332"/>
      <c r="M27" s="332"/>
      <c r="N27" s="332"/>
      <c r="O27" s="532">
        <v>1.9727272727272724</v>
      </c>
      <c r="P27" s="406">
        <v>0</v>
      </c>
      <c r="Q27" s="406">
        <v>0</v>
      </c>
      <c r="R27" s="406">
        <v>0</v>
      </c>
      <c r="S27" s="406">
        <v>0</v>
      </c>
      <c r="T27" s="571"/>
      <c r="U27" s="532">
        <v>1.7909090909090908</v>
      </c>
      <c r="V27" s="406">
        <v>0</v>
      </c>
      <c r="W27" s="406">
        <v>0</v>
      </c>
      <c r="X27" s="406">
        <v>0</v>
      </c>
      <c r="Y27" s="406">
        <v>0</v>
      </c>
      <c r="Z27" s="571"/>
      <c r="AA27" s="571"/>
      <c r="AB27" s="571"/>
      <c r="AC27" s="571"/>
      <c r="AD27" s="571"/>
      <c r="AE27" s="571"/>
      <c r="AF27" s="571"/>
      <c r="AG27" s="333" t="s">
        <v>1143</v>
      </c>
      <c r="AH27" s="333" t="s">
        <v>1144</v>
      </c>
      <c r="AI27" s="528">
        <v>3</v>
      </c>
      <c r="AJ27" s="528">
        <v>3</v>
      </c>
      <c r="AK27" s="480">
        <v>0.5</v>
      </c>
      <c r="AL27" s="480">
        <v>0.5</v>
      </c>
      <c r="AM27" s="525" t="s">
        <v>1118</v>
      </c>
      <c r="AN27" s="528">
        <v>0</v>
      </c>
      <c r="AO27" s="528">
        <v>0</v>
      </c>
      <c r="AP27" s="528">
        <v>0</v>
      </c>
      <c r="AQ27" s="528">
        <v>0</v>
      </c>
      <c r="AR27" s="528">
        <v>0</v>
      </c>
      <c r="AS27" s="528">
        <v>0</v>
      </c>
      <c r="AT27" s="528">
        <v>0</v>
      </c>
      <c r="AU27" s="528">
        <v>0</v>
      </c>
      <c r="AV27" s="528">
        <v>0</v>
      </c>
      <c r="AW27" s="528">
        <v>0</v>
      </c>
      <c r="AX27" s="528">
        <v>0</v>
      </c>
      <c r="AY27" s="528">
        <v>0</v>
      </c>
      <c r="AZ27" s="528"/>
      <c r="BA27" s="528" t="s">
        <v>1145</v>
      </c>
      <c r="BB27" s="528"/>
      <c r="BC27" s="528" t="s">
        <v>1145</v>
      </c>
      <c r="BD27" s="528"/>
      <c r="BE27" s="528"/>
      <c r="BF27" s="528"/>
      <c r="BG27" s="529"/>
      <c r="BH27" s="525"/>
      <c r="BI27" s="528"/>
      <c r="BJ27" s="528" t="s">
        <v>1146</v>
      </c>
      <c r="BK27" s="528"/>
      <c r="BL27" s="529" t="s">
        <v>1659</v>
      </c>
      <c r="BM27" s="424" t="s">
        <v>1660</v>
      </c>
      <c r="BN27" s="525" t="s">
        <v>1121</v>
      </c>
    </row>
    <row r="28" spans="1:67" ht="13" customHeight="1" x14ac:dyDescent="0.2">
      <c r="A28" s="525">
        <v>2937</v>
      </c>
      <c r="B28" s="565">
        <v>44755</v>
      </c>
      <c r="C28" s="526" t="s">
        <v>1138</v>
      </c>
      <c r="D28" s="525" t="s">
        <v>1108</v>
      </c>
      <c r="E28" s="527">
        <v>44743</v>
      </c>
      <c r="F28" s="525" t="s">
        <v>1483</v>
      </c>
      <c r="G28" s="525" t="s">
        <v>1550</v>
      </c>
      <c r="H28" s="532">
        <v>67</v>
      </c>
      <c r="I28" s="531" t="s">
        <v>296</v>
      </c>
      <c r="J28" s="459">
        <v>3000</v>
      </c>
      <c r="K28" s="459">
        <v>6000</v>
      </c>
      <c r="L28" s="459">
        <v>9000</v>
      </c>
      <c r="M28" s="459">
        <v>15000</v>
      </c>
      <c r="N28" s="332"/>
      <c r="O28" s="532">
        <v>2.336363636363636</v>
      </c>
      <c r="P28" s="532">
        <v>2.1090909090909089</v>
      </c>
      <c r="Q28" s="532">
        <v>1.7818181818181817</v>
      </c>
      <c r="R28" s="532">
        <v>1.6272727272727272</v>
      </c>
      <c r="S28" s="532">
        <v>1.4636363636363636</v>
      </c>
      <c r="T28" s="571"/>
      <c r="U28" s="532">
        <v>2.1090909090909089</v>
      </c>
      <c r="V28" s="532">
        <v>1.8272727272727269</v>
      </c>
      <c r="W28" s="532">
        <v>1.5909090909090908</v>
      </c>
      <c r="X28" s="532">
        <v>1.4727272727272727</v>
      </c>
      <c r="Y28" s="532">
        <v>1.3636363636363635</v>
      </c>
      <c r="Z28" s="571"/>
      <c r="AA28" s="571"/>
      <c r="AB28" s="571"/>
      <c r="AC28" s="571"/>
      <c r="AD28" s="571"/>
      <c r="AE28" s="571"/>
      <c r="AF28" s="571"/>
      <c r="AG28" s="528" t="s">
        <v>1143</v>
      </c>
      <c r="AH28" s="528" t="s">
        <v>1144</v>
      </c>
      <c r="AI28" s="528">
        <v>3</v>
      </c>
      <c r="AJ28" s="528">
        <v>3</v>
      </c>
      <c r="AK28" s="480">
        <v>0.5</v>
      </c>
      <c r="AL28" s="480">
        <v>0.5</v>
      </c>
      <c r="AM28" s="525" t="s">
        <v>1118</v>
      </c>
      <c r="AN28" s="528">
        <v>0</v>
      </c>
      <c r="AO28" s="528">
        <v>0</v>
      </c>
      <c r="AP28" s="528">
        <v>0</v>
      </c>
      <c r="AQ28" s="528">
        <v>0</v>
      </c>
      <c r="AR28" s="528">
        <v>0</v>
      </c>
      <c r="AS28" s="528">
        <v>0</v>
      </c>
      <c r="AT28" s="528">
        <v>0</v>
      </c>
      <c r="AU28" s="528">
        <v>0</v>
      </c>
      <c r="AV28" s="528">
        <v>0</v>
      </c>
      <c r="AW28" s="528">
        <v>0</v>
      </c>
      <c r="AX28" s="528">
        <v>0</v>
      </c>
      <c r="AY28" s="528">
        <v>0</v>
      </c>
      <c r="AZ28" s="528"/>
      <c r="BA28" s="528" t="s">
        <v>1145</v>
      </c>
      <c r="BB28" s="528"/>
      <c r="BC28" s="528" t="s">
        <v>1145</v>
      </c>
      <c r="BD28" s="528"/>
      <c r="BE28" s="528">
        <v>12</v>
      </c>
      <c r="BF28" s="564"/>
      <c r="BG28" s="529"/>
      <c r="BH28" s="525"/>
      <c r="BI28" s="528"/>
      <c r="BJ28" s="528" t="s">
        <v>4</v>
      </c>
      <c r="BK28" s="528"/>
      <c r="BL28" s="529"/>
      <c r="BM28" s="525" t="s">
        <v>1661</v>
      </c>
      <c r="BN28" s="525" t="s">
        <v>408</v>
      </c>
    </row>
    <row r="29" spans="1:67" ht="13" customHeight="1" x14ac:dyDescent="0.2">
      <c r="A29" s="525">
        <v>3403</v>
      </c>
      <c r="B29" s="565">
        <v>44755</v>
      </c>
      <c r="C29" s="526" t="s">
        <v>1138</v>
      </c>
      <c r="D29" s="525" t="s">
        <v>1108</v>
      </c>
      <c r="E29" s="527">
        <v>44613</v>
      </c>
      <c r="F29" s="525" t="s">
        <v>1173</v>
      </c>
      <c r="G29" s="525" t="s">
        <v>1570</v>
      </c>
      <c r="H29" s="532">
        <v>62.999999999999993</v>
      </c>
      <c r="I29" s="531" t="s">
        <v>296</v>
      </c>
      <c r="J29" s="459">
        <v>3000</v>
      </c>
      <c r="K29" s="459">
        <v>6000</v>
      </c>
      <c r="L29" s="459">
        <v>9000</v>
      </c>
      <c r="M29" s="459">
        <v>15000</v>
      </c>
      <c r="N29" s="332"/>
      <c r="O29" s="532">
        <v>2.336363636363636</v>
      </c>
      <c r="P29" s="532">
        <v>1.9818181818181817</v>
      </c>
      <c r="Q29" s="532">
        <v>1.718181818181818</v>
      </c>
      <c r="R29" s="532">
        <v>1.3909090909090909</v>
      </c>
      <c r="S29" s="532">
        <v>1.2545454545454544</v>
      </c>
      <c r="T29" s="571"/>
      <c r="U29" s="532">
        <v>1.9818181818181817</v>
      </c>
      <c r="V29" s="532">
        <v>1.6636363636363636</v>
      </c>
      <c r="W29" s="532">
        <v>1.5636363636363635</v>
      </c>
      <c r="X29" s="532">
        <v>1.2999999999999998</v>
      </c>
      <c r="Y29" s="532">
        <v>1.0909090909090908</v>
      </c>
      <c r="Z29" s="571"/>
      <c r="AA29" s="571"/>
      <c r="AB29" s="571"/>
      <c r="AC29" s="571"/>
      <c r="AD29" s="571"/>
      <c r="AE29" s="571"/>
      <c r="AF29" s="571"/>
      <c r="AG29" s="528" t="s">
        <v>1143</v>
      </c>
      <c r="AH29" s="528" t="s">
        <v>1144</v>
      </c>
      <c r="AI29" s="528">
        <v>3</v>
      </c>
      <c r="AJ29" s="528">
        <v>3</v>
      </c>
      <c r="AK29" s="480">
        <v>0.5</v>
      </c>
      <c r="AL29" s="480">
        <v>0.5</v>
      </c>
      <c r="AM29" s="525" t="s">
        <v>1124</v>
      </c>
      <c r="AN29" s="528">
        <v>0</v>
      </c>
      <c r="AO29" s="528">
        <v>0</v>
      </c>
      <c r="AP29" s="528">
        <v>0</v>
      </c>
      <c r="AQ29" s="528">
        <v>0</v>
      </c>
      <c r="AR29" s="528">
        <v>0</v>
      </c>
      <c r="AS29" s="528">
        <v>0</v>
      </c>
      <c r="AT29" s="528">
        <v>0</v>
      </c>
      <c r="AU29" s="528">
        <v>0</v>
      </c>
      <c r="AV29" s="528">
        <v>0</v>
      </c>
      <c r="AW29" s="528">
        <v>0</v>
      </c>
      <c r="AX29" s="528">
        <v>0</v>
      </c>
      <c r="AY29" s="528">
        <v>0</v>
      </c>
      <c r="AZ29" s="528"/>
      <c r="BA29" s="528" t="s">
        <v>1145</v>
      </c>
      <c r="BB29" s="528"/>
      <c r="BC29" s="528" t="s">
        <v>1145</v>
      </c>
      <c r="BD29" s="528"/>
      <c r="BE29" s="528"/>
      <c r="BF29" s="564"/>
      <c r="BG29" s="529"/>
      <c r="BH29" s="525"/>
      <c r="BI29" s="528"/>
      <c r="BJ29" s="528" t="s">
        <v>411</v>
      </c>
      <c r="BK29" s="528"/>
      <c r="BL29" s="529"/>
      <c r="BM29" s="525" t="s">
        <v>430</v>
      </c>
      <c r="BN29" s="525" t="s">
        <v>368</v>
      </c>
    </row>
    <row r="30" spans="1:67" ht="13" customHeight="1" x14ac:dyDescent="0.2">
      <c r="A30" s="525">
        <v>3153</v>
      </c>
      <c r="B30" s="565">
        <v>44755</v>
      </c>
      <c r="C30" s="526" t="s">
        <v>1138</v>
      </c>
      <c r="D30" s="525" t="s">
        <v>1109</v>
      </c>
      <c r="E30" s="527">
        <v>44691</v>
      </c>
      <c r="F30" s="529" t="s">
        <v>1139</v>
      </c>
      <c r="G30" s="525" t="s">
        <v>1646</v>
      </c>
      <c r="H30" s="532">
        <v>81.454545454545439</v>
      </c>
      <c r="I30" s="531" t="s">
        <v>1141</v>
      </c>
      <c r="J30" s="485">
        <v>1645</v>
      </c>
      <c r="K30" s="485">
        <v>3000</v>
      </c>
      <c r="L30" s="485">
        <v>3000</v>
      </c>
      <c r="M30" s="485">
        <v>3000</v>
      </c>
      <c r="N30" s="525"/>
      <c r="O30" s="532">
        <v>2.2636363636363637</v>
      </c>
      <c r="P30" s="532">
        <v>2.1</v>
      </c>
      <c r="Q30" s="406">
        <v>0</v>
      </c>
      <c r="R30" s="406">
        <v>0</v>
      </c>
      <c r="S30" s="532">
        <v>1.7545454545454544</v>
      </c>
      <c r="T30" s="533"/>
      <c r="U30" s="532">
        <v>2.2636363636363637</v>
      </c>
      <c r="V30" s="532">
        <v>2.1</v>
      </c>
      <c r="W30" s="406">
        <v>0</v>
      </c>
      <c r="X30" s="406">
        <v>0</v>
      </c>
      <c r="Y30" s="532">
        <v>1.7545454545454544</v>
      </c>
      <c r="Z30" s="533"/>
      <c r="AA30" s="533"/>
      <c r="AB30" s="533"/>
      <c r="AC30" s="533"/>
      <c r="AD30" s="533"/>
      <c r="AE30" s="533"/>
      <c r="AF30" s="533"/>
      <c r="AG30" s="528" t="s">
        <v>1145</v>
      </c>
      <c r="AH30" s="528"/>
      <c r="AI30" s="528">
        <v>3</v>
      </c>
      <c r="AJ30" s="528">
        <v>3</v>
      </c>
      <c r="AK30" s="480">
        <v>0.5</v>
      </c>
      <c r="AL30" s="480">
        <v>0.5</v>
      </c>
      <c r="AM30" s="525"/>
      <c r="AN30" s="528">
        <v>0</v>
      </c>
      <c r="AO30" s="528">
        <v>0</v>
      </c>
      <c r="AP30" s="528">
        <v>0</v>
      </c>
      <c r="AQ30" s="528">
        <v>0</v>
      </c>
      <c r="AR30" s="528">
        <v>0</v>
      </c>
      <c r="AS30" s="528">
        <v>0</v>
      </c>
      <c r="AT30" s="528">
        <v>0</v>
      </c>
      <c r="AU30" s="528">
        <v>0</v>
      </c>
      <c r="AV30" s="528">
        <v>0</v>
      </c>
      <c r="AW30" s="528">
        <v>0</v>
      </c>
      <c r="AX30" s="528">
        <v>0</v>
      </c>
      <c r="AY30" s="528">
        <v>0</v>
      </c>
      <c r="AZ30" s="528"/>
      <c r="BA30" s="528" t="s">
        <v>1145</v>
      </c>
      <c r="BB30" s="528"/>
      <c r="BC30" s="528" t="s">
        <v>1145</v>
      </c>
      <c r="BD30" s="528"/>
      <c r="BE30" s="528"/>
      <c r="BF30" s="528"/>
      <c r="BG30" s="597"/>
      <c r="BH30" s="598"/>
      <c r="BI30" s="566"/>
      <c r="BJ30" s="528" t="s">
        <v>1146</v>
      </c>
      <c r="BK30" s="528"/>
      <c r="BL30" s="529" t="s">
        <v>1647</v>
      </c>
      <c r="BM30" s="529" t="s">
        <v>430</v>
      </c>
      <c r="BN30" s="525" t="s">
        <v>408</v>
      </c>
    </row>
    <row r="31" spans="1:67" ht="13" customHeight="1" x14ac:dyDescent="0.2">
      <c r="A31" s="525"/>
      <c r="B31" s="599">
        <v>44782</v>
      </c>
      <c r="C31" s="526" t="s">
        <v>1138</v>
      </c>
      <c r="D31" s="525" t="s">
        <v>1109</v>
      </c>
      <c r="E31" s="527">
        <v>44774</v>
      </c>
      <c r="F31" s="529" t="s">
        <v>1148</v>
      </c>
      <c r="G31" s="525" t="s">
        <v>1280</v>
      </c>
      <c r="H31" s="532">
        <v>64.990909090909085</v>
      </c>
      <c r="I31" s="531" t="s">
        <v>1141</v>
      </c>
      <c r="J31" s="485">
        <v>1645</v>
      </c>
      <c r="K31" s="485">
        <v>3000</v>
      </c>
      <c r="L31" s="485">
        <v>3000</v>
      </c>
      <c r="M31" s="485">
        <v>3000</v>
      </c>
      <c r="N31" s="525"/>
      <c r="O31" s="532">
        <v>2.3272727272727272</v>
      </c>
      <c r="P31" s="532">
        <v>2.3272727272727272</v>
      </c>
      <c r="Q31" s="406">
        <v>0</v>
      </c>
      <c r="R31" s="406">
        <v>0</v>
      </c>
      <c r="S31" s="532">
        <v>2.0636363636363635</v>
      </c>
      <c r="T31" s="533"/>
      <c r="U31" s="532">
        <v>2.3272727272727272</v>
      </c>
      <c r="V31" s="532">
        <v>2.3272727272727272</v>
      </c>
      <c r="W31" s="406">
        <v>0</v>
      </c>
      <c r="X31" s="406">
        <v>0</v>
      </c>
      <c r="Y31" s="532">
        <v>2.0636363636363635</v>
      </c>
      <c r="Z31" s="533"/>
      <c r="AA31" s="533"/>
      <c r="AB31" s="533"/>
      <c r="AC31" s="533"/>
      <c r="AD31" s="533"/>
      <c r="AE31" s="533"/>
      <c r="AF31" s="533"/>
      <c r="AG31" s="528" t="s">
        <v>1145</v>
      </c>
      <c r="AH31" s="528"/>
      <c r="AI31" s="528">
        <v>3</v>
      </c>
      <c r="AJ31" s="528">
        <v>3</v>
      </c>
      <c r="AK31" s="480">
        <v>0.5</v>
      </c>
      <c r="AL31" s="480">
        <v>0.5</v>
      </c>
      <c r="AM31" s="525"/>
      <c r="AN31" s="528">
        <v>0</v>
      </c>
      <c r="AO31" s="528">
        <v>0</v>
      </c>
      <c r="AP31" s="528">
        <v>0</v>
      </c>
      <c r="AQ31" s="528">
        <v>0</v>
      </c>
      <c r="AR31" s="528">
        <v>0</v>
      </c>
      <c r="AS31" s="528">
        <v>0</v>
      </c>
      <c r="AT31" s="528">
        <v>0</v>
      </c>
      <c r="AU31" s="528">
        <v>0</v>
      </c>
      <c r="AV31" s="528">
        <v>0</v>
      </c>
      <c r="AW31" s="528">
        <v>0</v>
      </c>
      <c r="AX31" s="528">
        <v>0</v>
      </c>
      <c r="AY31" s="528">
        <v>0</v>
      </c>
      <c r="AZ31" s="528"/>
      <c r="BA31" s="528" t="s">
        <v>1145</v>
      </c>
      <c r="BB31" s="528"/>
      <c r="BC31" s="528" t="s">
        <v>1145</v>
      </c>
      <c r="BD31" s="528"/>
      <c r="BE31" s="528"/>
      <c r="BF31" s="528"/>
      <c r="BG31" s="529"/>
      <c r="BH31" s="525"/>
      <c r="BI31" s="528"/>
      <c r="BJ31" s="528" t="s">
        <v>4</v>
      </c>
      <c r="BK31" s="528"/>
      <c r="BL31" s="529"/>
      <c r="BM31" s="525" t="s">
        <v>430</v>
      </c>
      <c r="BN31" s="525" t="s">
        <v>1121</v>
      </c>
    </row>
    <row r="32" spans="1:67" ht="13" customHeight="1" x14ac:dyDescent="0.2">
      <c r="A32" s="525">
        <v>2549</v>
      </c>
      <c r="B32" s="565">
        <v>44755</v>
      </c>
      <c r="C32" s="526" t="s">
        <v>1138</v>
      </c>
      <c r="D32" s="525" t="s">
        <v>1109</v>
      </c>
      <c r="E32" s="527">
        <v>44720</v>
      </c>
      <c r="F32" s="529" t="s">
        <v>1052</v>
      </c>
      <c r="G32" s="525" t="s">
        <v>1181</v>
      </c>
      <c r="H32" s="532">
        <v>56.809090909090905</v>
      </c>
      <c r="I32" s="531" t="s">
        <v>1141</v>
      </c>
      <c r="J32" s="485">
        <v>1645</v>
      </c>
      <c r="K32" s="485">
        <v>3000</v>
      </c>
      <c r="L32" s="485">
        <v>3000</v>
      </c>
      <c r="M32" s="485">
        <v>3000</v>
      </c>
      <c r="N32" s="525"/>
      <c r="O32" s="532">
        <v>2.9272727272727272</v>
      </c>
      <c r="P32" s="532">
        <v>2.3818181818181818</v>
      </c>
      <c r="Q32" s="406">
        <v>0</v>
      </c>
      <c r="R32" s="406">
        <v>0</v>
      </c>
      <c r="S32" s="532">
        <v>1.9545454545454544</v>
      </c>
      <c r="T32" s="533"/>
      <c r="U32" s="532">
        <v>2.9272727272727272</v>
      </c>
      <c r="V32" s="532">
        <v>2.3818181818181818</v>
      </c>
      <c r="W32" s="601">
        <v>0</v>
      </c>
      <c r="X32" s="532">
        <v>0</v>
      </c>
      <c r="Y32" s="532">
        <v>1.9545454545454544</v>
      </c>
      <c r="Z32" s="533"/>
      <c r="AA32" s="533"/>
      <c r="AB32" s="533"/>
      <c r="AC32" s="533"/>
      <c r="AD32" s="533"/>
      <c r="AE32" s="533"/>
      <c r="AF32" s="533"/>
      <c r="AG32" s="528" t="s">
        <v>1143</v>
      </c>
      <c r="AH32" s="528" t="s">
        <v>1144</v>
      </c>
      <c r="AI32" s="528">
        <v>2</v>
      </c>
      <c r="AJ32" s="528">
        <v>4</v>
      </c>
      <c r="AK32" s="483">
        <v>0.33329999999999999</v>
      </c>
      <c r="AL32" s="483">
        <v>0.66659999999999997</v>
      </c>
      <c r="AM32" s="525" t="s">
        <v>1124</v>
      </c>
      <c r="AN32" s="528">
        <v>0</v>
      </c>
      <c r="AO32" s="528">
        <v>0</v>
      </c>
      <c r="AP32" s="528">
        <v>0</v>
      </c>
      <c r="AQ32" s="528">
        <v>0</v>
      </c>
      <c r="AR32" s="528">
        <v>0</v>
      </c>
      <c r="AS32" s="528">
        <v>0</v>
      </c>
      <c r="AT32" s="528">
        <v>0</v>
      </c>
      <c r="AU32" s="528">
        <v>0</v>
      </c>
      <c r="AV32" s="528">
        <v>0</v>
      </c>
      <c r="AW32" s="528">
        <v>0</v>
      </c>
      <c r="AX32" s="528">
        <v>0</v>
      </c>
      <c r="AY32" s="528">
        <v>0</v>
      </c>
      <c r="AZ32" s="528"/>
      <c r="BA32" s="528" t="s">
        <v>1145</v>
      </c>
      <c r="BB32" s="528"/>
      <c r="BC32" s="528" t="s">
        <v>1145</v>
      </c>
      <c r="BD32" s="528"/>
      <c r="BE32" s="528"/>
      <c r="BF32" s="528"/>
      <c r="BG32" s="529"/>
      <c r="BH32" s="525"/>
      <c r="BI32" s="528"/>
      <c r="BJ32" s="528" t="s">
        <v>1146</v>
      </c>
      <c r="BK32" s="528"/>
      <c r="BL32" s="529"/>
      <c r="BM32" s="529" t="s">
        <v>1192</v>
      </c>
      <c r="BN32" s="525" t="s">
        <v>408</v>
      </c>
    </row>
    <row r="33" spans="1:66" ht="13" customHeight="1" x14ac:dyDescent="0.2">
      <c r="A33" s="525">
        <v>3522</v>
      </c>
      <c r="B33" s="565">
        <v>44755</v>
      </c>
      <c r="C33" s="526" t="s">
        <v>1138</v>
      </c>
      <c r="D33" s="525" t="s">
        <v>1109</v>
      </c>
      <c r="E33" s="527">
        <v>44734</v>
      </c>
      <c r="F33" s="529" t="s">
        <v>1156</v>
      </c>
      <c r="G33" s="525" t="s">
        <v>1649</v>
      </c>
      <c r="H33" s="532">
        <v>87.5</v>
      </c>
      <c r="I33" s="531" t="s">
        <v>1141</v>
      </c>
      <c r="J33" s="485">
        <v>1645</v>
      </c>
      <c r="K33" s="485">
        <v>3000</v>
      </c>
      <c r="L33" s="485">
        <v>3000</v>
      </c>
      <c r="M33" s="485">
        <v>3000</v>
      </c>
      <c r="N33" s="525"/>
      <c r="O33" s="532">
        <v>3.4818181818181815</v>
      </c>
      <c r="P33" s="532">
        <v>2.7181818181818183</v>
      </c>
      <c r="Q33" s="406">
        <v>0</v>
      </c>
      <c r="R33" s="406">
        <v>0</v>
      </c>
      <c r="S33" s="532">
        <v>2.1909090909090909</v>
      </c>
      <c r="T33" s="533"/>
      <c r="U33" s="532">
        <v>3.4818181818181815</v>
      </c>
      <c r="V33" s="532">
        <v>2.7181818181818183</v>
      </c>
      <c r="W33" s="406">
        <v>0</v>
      </c>
      <c r="X33" s="406">
        <v>0</v>
      </c>
      <c r="Y33" s="532">
        <v>2.1909090909090909</v>
      </c>
      <c r="Z33" s="533"/>
      <c r="AA33" s="533"/>
      <c r="AB33" s="533"/>
      <c r="AC33" s="533"/>
      <c r="AD33" s="533"/>
      <c r="AE33" s="533"/>
      <c r="AF33" s="533"/>
      <c r="AG33" s="528" t="s">
        <v>1145</v>
      </c>
      <c r="AH33" s="528"/>
      <c r="AI33" s="528">
        <v>3</v>
      </c>
      <c r="AJ33" s="528">
        <v>3</v>
      </c>
      <c r="AK33" s="480">
        <v>0.5</v>
      </c>
      <c r="AL33" s="480">
        <v>0.5</v>
      </c>
      <c r="AM33" s="525"/>
      <c r="AN33" s="528">
        <v>8</v>
      </c>
      <c r="AO33" s="528">
        <v>0</v>
      </c>
      <c r="AP33" s="528">
        <v>0</v>
      </c>
      <c r="AQ33" s="528">
        <v>0</v>
      </c>
      <c r="AR33" s="528">
        <v>0</v>
      </c>
      <c r="AS33" s="528">
        <v>0</v>
      </c>
      <c r="AT33" s="528">
        <v>0</v>
      </c>
      <c r="AU33" s="528">
        <v>0</v>
      </c>
      <c r="AV33" s="528">
        <v>0</v>
      </c>
      <c r="AW33" s="528">
        <v>0</v>
      </c>
      <c r="AX33" s="528">
        <v>0</v>
      </c>
      <c r="AY33" s="528">
        <v>0</v>
      </c>
      <c r="AZ33" s="566">
        <v>12</v>
      </c>
      <c r="BA33" s="528" t="s">
        <v>1145</v>
      </c>
      <c r="BB33" s="528"/>
      <c r="BC33" s="528" t="s">
        <v>1145</v>
      </c>
      <c r="BD33" s="528"/>
      <c r="BE33" s="528"/>
      <c r="BF33" s="528"/>
      <c r="BG33" s="529" t="s">
        <v>1622</v>
      </c>
      <c r="BH33" s="525" t="s">
        <v>365</v>
      </c>
      <c r="BI33" s="528">
        <v>25</v>
      </c>
      <c r="BJ33" s="528" t="s">
        <v>1146</v>
      </c>
      <c r="BK33" s="528"/>
      <c r="BL33" s="529" t="s">
        <v>1623</v>
      </c>
      <c r="BM33" s="525" t="s">
        <v>1663</v>
      </c>
      <c r="BN33" s="525" t="s">
        <v>408</v>
      </c>
    </row>
    <row r="34" spans="1:66" ht="13" customHeight="1" x14ac:dyDescent="0.2">
      <c r="A34" s="525">
        <v>2872</v>
      </c>
      <c r="B34" s="565">
        <v>44756</v>
      </c>
      <c r="C34" s="526" t="s">
        <v>1138</v>
      </c>
      <c r="D34" s="525" t="s">
        <v>1109</v>
      </c>
      <c r="E34" s="527">
        <v>44753</v>
      </c>
      <c r="F34" s="529" t="s">
        <v>1159</v>
      </c>
      <c r="G34" s="525" t="s">
        <v>1105</v>
      </c>
      <c r="H34" s="532">
        <v>73.75454545454545</v>
      </c>
      <c r="I34" s="531" t="s">
        <v>1141</v>
      </c>
      <c r="J34" s="485">
        <v>1645</v>
      </c>
      <c r="K34" s="485">
        <v>3000</v>
      </c>
      <c r="L34" s="485">
        <v>3000</v>
      </c>
      <c r="M34" s="485">
        <v>3000</v>
      </c>
      <c r="N34" s="525"/>
      <c r="O34" s="532">
        <v>2.0818181818181816</v>
      </c>
      <c r="P34" s="532">
        <v>1.9818181818181817</v>
      </c>
      <c r="Q34" s="406">
        <v>0</v>
      </c>
      <c r="R34" s="406">
        <v>0</v>
      </c>
      <c r="S34" s="532">
        <v>1.8454545454545452</v>
      </c>
      <c r="T34" s="533"/>
      <c r="U34" s="532">
        <v>2.0818181818181816</v>
      </c>
      <c r="V34" s="532">
        <v>1.9818181818181817</v>
      </c>
      <c r="W34" s="406">
        <v>0</v>
      </c>
      <c r="X34" s="406">
        <v>0</v>
      </c>
      <c r="Y34" s="532">
        <v>1.8454545454545452</v>
      </c>
      <c r="Z34" s="533"/>
      <c r="AA34" s="533"/>
      <c r="AB34" s="533"/>
      <c r="AC34" s="533"/>
      <c r="AD34" s="533"/>
      <c r="AE34" s="533"/>
      <c r="AF34" s="533"/>
      <c r="AG34" s="528" t="s">
        <v>1278</v>
      </c>
      <c r="AH34" s="528"/>
      <c r="AI34" s="528">
        <v>3</v>
      </c>
      <c r="AJ34" s="528">
        <v>3</v>
      </c>
      <c r="AK34" s="480">
        <v>0.5</v>
      </c>
      <c r="AL34" s="480">
        <v>0.5</v>
      </c>
      <c r="AM34" s="525"/>
      <c r="AN34" s="528">
        <v>0</v>
      </c>
      <c r="AO34" s="528">
        <v>0</v>
      </c>
      <c r="AP34" s="528">
        <v>0</v>
      </c>
      <c r="AQ34" s="528">
        <v>0</v>
      </c>
      <c r="AR34" s="528">
        <v>0</v>
      </c>
      <c r="AS34" s="528">
        <v>0</v>
      </c>
      <c r="AT34" s="528">
        <v>0</v>
      </c>
      <c r="AU34" s="528">
        <v>0</v>
      </c>
      <c r="AV34" s="528">
        <v>0</v>
      </c>
      <c r="AW34" s="528">
        <v>0</v>
      </c>
      <c r="AX34" s="528">
        <v>0</v>
      </c>
      <c r="AY34" s="528">
        <v>0</v>
      </c>
      <c r="AZ34" s="528"/>
      <c r="BA34" s="528" t="s">
        <v>1145</v>
      </c>
      <c r="BB34" s="528"/>
      <c r="BC34" s="528" t="s">
        <v>1145</v>
      </c>
      <c r="BD34" s="528"/>
      <c r="BE34" s="528"/>
      <c r="BF34" s="564">
        <v>45230</v>
      </c>
      <c r="BG34" s="529"/>
      <c r="BH34" s="525"/>
      <c r="BI34" s="528"/>
      <c r="BJ34" s="528" t="s">
        <v>1146</v>
      </c>
      <c r="BK34" s="528"/>
      <c r="BL34" s="529"/>
      <c r="BM34" s="529" t="s">
        <v>430</v>
      </c>
      <c r="BN34" s="525" t="s">
        <v>408</v>
      </c>
    </row>
    <row r="35" spans="1:66" ht="13" customHeight="1" x14ac:dyDescent="0.2">
      <c r="A35" s="525">
        <v>3368</v>
      </c>
      <c r="B35" s="565">
        <v>44755</v>
      </c>
      <c r="C35" s="526" t="s">
        <v>1138</v>
      </c>
      <c r="D35" s="525" t="s">
        <v>1109</v>
      </c>
      <c r="E35" s="527">
        <v>44743</v>
      </c>
      <c r="F35" s="529" t="s">
        <v>1166</v>
      </c>
      <c r="G35" s="525" t="s">
        <v>1651</v>
      </c>
      <c r="H35" s="532">
        <v>69.909090909090907</v>
      </c>
      <c r="I35" s="531" t="s">
        <v>1141</v>
      </c>
      <c r="J35" s="568">
        <v>6000</v>
      </c>
      <c r="K35" s="568">
        <v>12000</v>
      </c>
      <c r="L35" s="568">
        <v>12000</v>
      </c>
      <c r="M35" s="568">
        <v>12000</v>
      </c>
      <c r="N35" s="525"/>
      <c r="O35" s="532">
        <v>2.3636363636363633</v>
      </c>
      <c r="P35" s="532">
        <v>2.2545454545454544</v>
      </c>
      <c r="Q35" s="406">
        <v>0</v>
      </c>
      <c r="R35" s="406">
        <v>0</v>
      </c>
      <c r="S35" s="532">
        <v>1.9545454545454544</v>
      </c>
      <c r="T35" s="533"/>
      <c r="U35" s="532">
        <v>2.3636363636363633</v>
      </c>
      <c r="V35" s="532">
        <v>2.2545454545454544</v>
      </c>
      <c r="W35" s="406">
        <v>0</v>
      </c>
      <c r="X35" s="406">
        <v>0</v>
      </c>
      <c r="Y35" s="532">
        <v>1.9545454545454544</v>
      </c>
      <c r="Z35" s="533"/>
      <c r="AA35" s="533"/>
      <c r="AB35" s="533"/>
      <c r="AC35" s="533"/>
      <c r="AD35" s="533"/>
      <c r="AE35" s="533"/>
      <c r="AF35" s="533"/>
      <c r="AG35" s="528" t="s">
        <v>1145</v>
      </c>
      <c r="AH35" s="528"/>
      <c r="AI35" s="528">
        <v>3</v>
      </c>
      <c r="AJ35" s="528">
        <v>3</v>
      </c>
      <c r="AK35" s="480">
        <v>0.5</v>
      </c>
      <c r="AL35" s="480">
        <v>0.5</v>
      </c>
      <c r="AM35" s="525"/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528">
        <v>0</v>
      </c>
      <c r="AZ35" s="528"/>
      <c r="BA35" s="528" t="s">
        <v>1145</v>
      </c>
      <c r="BB35" s="528">
        <v>12</v>
      </c>
      <c r="BC35" s="528" t="s">
        <v>1145</v>
      </c>
      <c r="BD35" s="528"/>
      <c r="BE35" s="528"/>
      <c r="BF35" s="528"/>
      <c r="BG35" s="529"/>
      <c r="BH35" s="525"/>
      <c r="BI35" s="600"/>
      <c r="BJ35" s="528" t="s">
        <v>1146</v>
      </c>
      <c r="BK35" s="528"/>
      <c r="BL35" s="529"/>
      <c r="BM35" s="525" t="s">
        <v>1664</v>
      </c>
      <c r="BN35" s="525" t="s">
        <v>408</v>
      </c>
    </row>
    <row r="36" spans="1:66" ht="13" customHeight="1" x14ac:dyDescent="0.2">
      <c r="A36" s="525">
        <v>2396</v>
      </c>
      <c r="B36" s="565">
        <v>44756</v>
      </c>
      <c r="C36" s="526" t="s">
        <v>1138</v>
      </c>
      <c r="D36" s="525" t="s">
        <v>1109</v>
      </c>
      <c r="E36" s="570">
        <v>44651</v>
      </c>
      <c r="F36" s="529" t="s">
        <v>1168</v>
      </c>
      <c r="G36" s="525" t="s">
        <v>1297</v>
      </c>
      <c r="H36" s="532">
        <v>73.75454545454545</v>
      </c>
      <c r="I36" s="531" t="s">
        <v>1141</v>
      </c>
      <c r="J36" s="485">
        <v>1645</v>
      </c>
      <c r="K36" s="485">
        <v>3000</v>
      </c>
      <c r="L36" s="485">
        <v>3000</v>
      </c>
      <c r="M36" s="485">
        <v>3000</v>
      </c>
      <c r="N36" s="525"/>
      <c r="O36" s="532">
        <v>2.2363636363636363</v>
      </c>
      <c r="P36" s="532">
        <v>2.127272727272727</v>
      </c>
      <c r="Q36" s="406">
        <v>0</v>
      </c>
      <c r="R36" s="406">
        <v>0</v>
      </c>
      <c r="S36" s="532">
        <v>1.7454545454545451</v>
      </c>
      <c r="T36" s="533"/>
      <c r="U36" s="532">
        <v>2.2363636363636363</v>
      </c>
      <c r="V36" s="532">
        <v>2.127272727272727</v>
      </c>
      <c r="W36" s="406">
        <v>0</v>
      </c>
      <c r="X36" s="406">
        <v>0</v>
      </c>
      <c r="Y36" s="532">
        <v>1.7454545454545451</v>
      </c>
      <c r="Z36" s="533"/>
      <c r="AA36" s="533"/>
      <c r="AB36" s="533"/>
      <c r="AC36" s="533"/>
      <c r="AD36" s="533"/>
      <c r="AE36" s="533"/>
      <c r="AF36" s="533"/>
      <c r="AG36" s="528" t="s">
        <v>1145</v>
      </c>
      <c r="AH36" s="528"/>
      <c r="AI36" s="528">
        <v>3</v>
      </c>
      <c r="AJ36" s="528">
        <v>3</v>
      </c>
      <c r="AK36" s="480">
        <v>0.5</v>
      </c>
      <c r="AL36" s="480">
        <v>0.5</v>
      </c>
      <c r="AM36" s="525"/>
      <c r="AN36" s="528">
        <v>0</v>
      </c>
      <c r="AO36" s="528">
        <v>0</v>
      </c>
      <c r="AP36" s="528">
        <v>0</v>
      </c>
      <c r="AQ36" s="528">
        <v>0</v>
      </c>
      <c r="AR36" s="528">
        <v>0</v>
      </c>
      <c r="AS36" s="528">
        <v>0</v>
      </c>
      <c r="AT36" s="528">
        <v>0</v>
      </c>
      <c r="AU36" s="528">
        <v>0</v>
      </c>
      <c r="AV36" s="528">
        <v>0</v>
      </c>
      <c r="AW36" s="528">
        <v>0</v>
      </c>
      <c r="AX36" s="528">
        <v>0</v>
      </c>
      <c r="AY36" s="528">
        <v>0</v>
      </c>
      <c r="AZ36" s="528"/>
      <c r="BA36" s="528" t="s">
        <v>1145</v>
      </c>
      <c r="BB36" s="528"/>
      <c r="BC36" s="528" t="s">
        <v>1145</v>
      </c>
      <c r="BD36" s="528"/>
      <c r="BE36" s="528"/>
      <c r="BF36" s="528"/>
      <c r="BG36" s="529"/>
      <c r="BH36" s="525"/>
      <c r="BI36" s="528"/>
      <c r="BJ36" s="528" t="s">
        <v>1146</v>
      </c>
      <c r="BK36" s="528"/>
      <c r="BL36" s="529"/>
      <c r="BM36" s="529" t="s">
        <v>1665</v>
      </c>
      <c r="BN36" s="525" t="s">
        <v>368</v>
      </c>
    </row>
    <row r="37" spans="1:66" ht="13" customHeight="1" x14ac:dyDescent="0.2">
      <c r="A37" s="525">
        <v>3565</v>
      </c>
      <c r="B37" s="565">
        <v>44755</v>
      </c>
      <c r="C37" s="526" t="s">
        <v>1138</v>
      </c>
      <c r="D37" s="525" t="s">
        <v>1109</v>
      </c>
      <c r="E37" s="527">
        <v>44743</v>
      </c>
      <c r="F37" s="529" t="s">
        <v>1169</v>
      </c>
      <c r="G37" s="525" t="s">
        <v>1654</v>
      </c>
      <c r="H37" s="532">
        <v>77.099999999999994</v>
      </c>
      <c r="I37" s="531" t="s">
        <v>1141</v>
      </c>
      <c r="J37" s="485">
        <v>1645</v>
      </c>
      <c r="K37" s="485">
        <v>3000</v>
      </c>
      <c r="L37" s="485">
        <v>3000</v>
      </c>
      <c r="M37" s="485">
        <v>3000</v>
      </c>
      <c r="N37" s="525"/>
      <c r="O37" s="532">
        <v>3.5818181818181816</v>
      </c>
      <c r="P37" s="532">
        <v>3.0727272727272723</v>
      </c>
      <c r="Q37" s="406">
        <v>0</v>
      </c>
      <c r="R37" s="406">
        <v>0</v>
      </c>
      <c r="S37" s="532">
        <v>2.6181818181818177</v>
      </c>
      <c r="T37" s="533"/>
      <c r="U37" s="532">
        <v>3.5818181818181816</v>
      </c>
      <c r="V37" s="532">
        <v>3.0727272727272723</v>
      </c>
      <c r="W37" s="406">
        <v>0</v>
      </c>
      <c r="X37" s="406">
        <v>0</v>
      </c>
      <c r="Y37" s="532">
        <v>2.6181818181818177</v>
      </c>
      <c r="Z37" s="533"/>
      <c r="AA37" s="533"/>
      <c r="AB37" s="533"/>
      <c r="AC37" s="533"/>
      <c r="AD37" s="533"/>
      <c r="AE37" s="533"/>
      <c r="AF37" s="533"/>
      <c r="AG37" s="528" t="s">
        <v>1145</v>
      </c>
      <c r="AH37" s="528"/>
      <c r="AI37" s="528">
        <v>3</v>
      </c>
      <c r="AJ37" s="528">
        <v>3</v>
      </c>
      <c r="AK37" s="480">
        <v>0.5</v>
      </c>
      <c r="AL37" s="480">
        <v>0.5</v>
      </c>
      <c r="AM37" s="525"/>
      <c r="AN37" s="528">
        <v>0</v>
      </c>
      <c r="AO37" s="528">
        <v>0</v>
      </c>
      <c r="AP37" s="528">
        <v>0</v>
      </c>
      <c r="AQ37" s="528">
        <v>0</v>
      </c>
      <c r="AR37" s="528">
        <v>0</v>
      </c>
      <c r="AS37" s="528">
        <v>0</v>
      </c>
      <c r="AT37" s="528">
        <v>0</v>
      </c>
      <c r="AU37" s="528">
        <v>0</v>
      </c>
      <c r="AV37" s="528">
        <v>0</v>
      </c>
      <c r="AW37" s="528">
        <v>0</v>
      </c>
      <c r="AX37" s="528">
        <v>0</v>
      </c>
      <c r="AY37" s="528">
        <v>0</v>
      </c>
      <c r="AZ37" s="528"/>
      <c r="BA37" s="528" t="s">
        <v>1145</v>
      </c>
      <c r="BB37" s="528"/>
      <c r="BC37" s="528" t="s">
        <v>1145</v>
      </c>
      <c r="BD37" s="528"/>
      <c r="BE37" s="528"/>
      <c r="BF37" s="528"/>
      <c r="BG37" s="529"/>
      <c r="BH37" s="525"/>
      <c r="BI37" s="528"/>
      <c r="BJ37" s="528" t="s">
        <v>1146</v>
      </c>
      <c r="BK37" s="528"/>
      <c r="BL37" s="529"/>
      <c r="BM37" s="529" t="s">
        <v>430</v>
      </c>
      <c r="BN37" s="525" t="s">
        <v>1121</v>
      </c>
    </row>
    <row r="38" spans="1:66" ht="13" customHeight="1" x14ac:dyDescent="0.2">
      <c r="A38" s="525">
        <v>1684</v>
      </c>
      <c r="B38" s="565">
        <v>44755</v>
      </c>
      <c r="C38" s="526" t="s">
        <v>295</v>
      </c>
      <c r="D38" s="525" t="s">
        <v>1109</v>
      </c>
      <c r="E38" s="527">
        <v>44715</v>
      </c>
      <c r="F38" s="529" t="s">
        <v>1106</v>
      </c>
      <c r="G38" s="525" t="s">
        <v>2</v>
      </c>
      <c r="H38" s="532">
        <v>59.999999999999993</v>
      </c>
      <c r="I38" s="531" t="s">
        <v>1141</v>
      </c>
      <c r="J38" s="525">
        <v>3000</v>
      </c>
      <c r="K38" s="525">
        <v>3000</v>
      </c>
      <c r="L38" s="525">
        <v>3000</v>
      </c>
      <c r="M38" s="525">
        <v>3000</v>
      </c>
      <c r="N38" s="525"/>
      <c r="O38" s="532">
        <v>3.2545454545454544</v>
      </c>
      <c r="P38" s="406">
        <v>0</v>
      </c>
      <c r="Q38" s="406">
        <v>0</v>
      </c>
      <c r="R38" s="406">
        <v>0</v>
      </c>
      <c r="S38" s="532">
        <v>2.754545454545454</v>
      </c>
      <c r="T38" s="533"/>
      <c r="U38" s="532">
        <v>3.2545454545454544</v>
      </c>
      <c r="V38" s="406">
        <v>0</v>
      </c>
      <c r="W38" s="406">
        <v>0</v>
      </c>
      <c r="X38" s="406">
        <v>0</v>
      </c>
      <c r="Y38" s="532">
        <v>2.754545454545454</v>
      </c>
      <c r="Z38" s="533"/>
      <c r="AA38" s="533"/>
      <c r="AB38" s="533"/>
      <c r="AC38" s="533"/>
      <c r="AD38" s="533"/>
      <c r="AE38" s="533"/>
      <c r="AF38" s="533"/>
      <c r="AG38" s="528" t="s">
        <v>1145</v>
      </c>
      <c r="AH38" s="528"/>
      <c r="AI38" s="528">
        <v>3</v>
      </c>
      <c r="AJ38" s="528">
        <v>3</v>
      </c>
      <c r="AK38" s="480">
        <v>0.5</v>
      </c>
      <c r="AL38" s="480">
        <v>0.5</v>
      </c>
      <c r="AM38" s="525"/>
      <c r="AN38" s="528">
        <v>0</v>
      </c>
      <c r="AO38" s="528">
        <v>0</v>
      </c>
      <c r="AP38" s="528">
        <v>0</v>
      </c>
      <c r="AQ38" s="528">
        <v>0</v>
      </c>
      <c r="AR38" s="528">
        <v>0</v>
      </c>
      <c r="AS38" s="528">
        <v>0</v>
      </c>
      <c r="AT38" s="528">
        <v>0</v>
      </c>
      <c r="AU38" s="528">
        <v>0</v>
      </c>
      <c r="AV38" s="528">
        <v>0</v>
      </c>
      <c r="AW38" s="528">
        <v>0</v>
      </c>
      <c r="AX38" s="528">
        <v>0</v>
      </c>
      <c r="AY38" s="528">
        <v>0</v>
      </c>
      <c r="AZ38" s="528"/>
      <c r="BA38" s="528" t="s">
        <v>1145</v>
      </c>
      <c r="BB38" s="528"/>
      <c r="BC38" s="528" t="s">
        <v>1145</v>
      </c>
      <c r="BD38" s="528"/>
      <c r="BE38" s="528"/>
      <c r="BF38" s="529"/>
      <c r="BG38" s="525"/>
      <c r="BH38" s="528"/>
      <c r="BI38" s="528"/>
      <c r="BJ38" s="528" t="s">
        <v>1146</v>
      </c>
      <c r="BK38" s="528">
        <v>1</v>
      </c>
      <c r="BL38" s="525"/>
      <c r="BM38" s="529" t="s">
        <v>430</v>
      </c>
      <c r="BN38" s="525" t="s">
        <v>368</v>
      </c>
    </row>
    <row r="39" spans="1:66" ht="13" customHeight="1" x14ac:dyDescent="0.2">
      <c r="A39" s="525">
        <v>3343</v>
      </c>
      <c r="B39" s="565">
        <v>44755</v>
      </c>
      <c r="C39" s="526" t="s">
        <v>1138</v>
      </c>
      <c r="D39" s="525" t="s">
        <v>1109</v>
      </c>
      <c r="E39" s="527">
        <v>44593</v>
      </c>
      <c r="F39" s="525" t="s">
        <v>34</v>
      </c>
      <c r="G39" s="525" t="s">
        <v>1656</v>
      </c>
      <c r="H39" s="532">
        <v>67.909090909090907</v>
      </c>
      <c r="I39" s="394"/>
      <c r="J39" s="394"/>
      <c r="K39" s="394"/>
      <c r="L39" s="332"/>
      <c r="M39" s="332"/>
      <c r="N39" s="332"/>
      <c r="O39" s="532">
        <v>1.9818181818181817</v>
      </c>
      <c r="P39" s="406">
        <v>0</v>
      </c>
      <c r="Q39" s="406">
        <v>0</v>
      </c>
      <c r="R39" s="406">
        <v>0</v>
      </c>
      <c r="S39" s="406">
        <v>0</v>
      </c>
      <c r="T39" s="571"/>
      <c r="U39" s="532">
        <v>1.9818181818181817</v>
      </c>
      <c r="V39" s="406">
        <v>0</v>
      </c>
      <c r="W39" s="406">
        <v>0</v>
      </c>
      <c r="X39" s="406">
        <v>0</v>
      </c>
      <c r="Y39" s="406">
        <v>0</v>
      </c>
      <c r="Z39" s="571"/>
      <c r="AA39" s="571"/>
      <c r="AB39" s="571"/>
      <c r="AC39" s="571"/>
      <c r="AD39" s="571"/>
      <c r="AE39" s="571"/>
      <c r="AF39" s="571"/>
      <c r="AG39" s="333" t="s">
        <v>1145</v>
      </c>
      <c r="AH39" s="333"/>
      <c r="AI39" s="528">
        <v>3</v>
      </c>
      <c r="AJ39" s="528">
        <v>3</v>
      </c>
      <c r="AK39" s="480">
        <v>0.5</v>
      </c>
      <c r="AL39" s="480">
        <v>0.5</v>
      </c>
      <c r="AM39" s="525"/>
      <c r="AN39" s="528">
        <v>0</v>
      </c>
      <c r="AO39" s="528">
        <v>0</v>
      </c>
      <c r="AP39" s="528">
        <v>0</v>
      </c>
      <c r="AQ39" s="528">
        <v>0</v>
      </c>
      <c r="AR39" s="528">
        <v>0</v>
      </c>
      <c r="AS39" s="528">
        <v>0</v>
      </c>
      <c r="AT39" s="528">
        <v>0</v>
      </c>
      <c r="AU39" s="528">
        <v>0</v>
      </c>
      <c r="AV39" s="528">
        <v>0</v>
      </c>
      <c r="AW39" s="528">
        <v>0</v>
      </c>
      <c r="AX39" s="528">
        <v>0</v>
      </c>
      <c r="AY39" s="528">
        <v>0</v>
      </c>
      <c r="AZ39" s="528"/>
      <c r="BA39" s="528" t="s">
        <v>1145</v>
      </c>
      <c r="BB39" s="528"/>
      <c r="BC39" s="528" t="s">
        <v>1145</v>
      </c>
      <c r="BD39" s="528"/>
      <c r="BE39" s="528"/>
      <c r="BF39" s="528"/>
      <c r="BG39" s="529"/>
      <c r="BH39" s="525"/>
      <c r="BI39" s="528"/>
      <c r="BJ39" s="528" t="s">
        <v>411</v>
      </c>
      <c r="BK39" s="528"/>
      <c r="BL39" s="529" t="s">
        <v>1284</v>
      </c>
      <c r="BM39" s="525" t="s">
        <v>1666</v>
      </c>
      <c r="BN39" s="525" t="s">
        <v>368</v>
      </c>
    </row>
    <row r="40" spans="1:66" ht="13" customHeight="1" x14ac:dyDescent="0.2">
      <c r="A40" s="525">
        <v>2741</v>
      </c>
      <c r="B40" s="565">
        <v>44755</v>
      </c>
      <c r="C40" s="526" t="s">
        <v>1138</v>
      </c>
      <c r="D40" s="525" t="s">
        <v>1109</v>
      </c>
      <c r="E40" s="527">
        <v>44708</v>
      </c>
      <c r="F40" s="525" t="s">
        <v>1274</v>
      </c>
      <c r="G40" s="525" t="s">
        <v>1467</v>
      </c>
      <c r="H40" s="532">
        <v>72.999999999999986</v>
      </c>
      <c r="I40" s="394" t="s">
        <v>296</v>
      </c>
      <c r="J40" s="485">
        <v>1645</v>
      </c>
      <c r="K40" s="485">
        <v>3000</v>
      </c>
      <c r="L40" s="485">
        <v>3000</v>
      </c>
      <c r="M40" s="485">
        <v>3000</v>
      </c>
      <c r="N40" s="332"/>
      <c r="O40" s="532">
        <v>2.9272727272727272</v>
      </c>
      <c r="P40" s="532">
        <v>2.545454545454545</v>
      </c>
      <c r="Q40" s="406">
        <v>0</v>
      </c>
      <c r="R40" s="406">
        <v>0</v>
      </c>
      <c r="S40" s="532">
        <v>2.1818181818181817</v>
      </c>
      <c r="T40" s="571"/>
      <c r="U40" s="532">
        <v>2.9272727272727272</v>
      </c>
      <c r="V40" s="532">
        <v>2.545454545454545</v>
      </c>
      <c r="W40" s="406">
        <v>0</v>
      </c>
      <c r="X40" s="406">
        <v>0</v>
      </c>
      <c r="Y40" s="532">
        <v>2.1818181818181817</v>
      </c>
      <c r="Z40" s="571"/>
      <c r="AA40" s="571"/>
      <c r="AB40" s="571"/>
      <c r="AC40" s="571"/>
      <c r="AD40" s="571"/>
      <c r="AE40" s="571"/>
      <c r="AF40" s="571"/>
      <c r="AG40" s="333" t="s">
        <v>1145</v>
      </c>
      <c r="AH40" s="333"/>
      <c r="AI40" s="528">
        <v>3</v>
      </c>
      <c r="AJ40" s="528">
        <v>3</v>
      </c>
      <c r="AK40" s="480">
        <v>0.5</v>
      </c>
      <c r="AL40" s="480">
        <v>0.5</v>
      </c>
      <c r="AM40" s="525"/>
      <c r="AN40" s="528">
        <v>0</v>
      </c>
      <c r="AO40" s="528">
        <v>7</v>
      </c>
      <c r="AP40" s="528">
        <v>0</v>
      </c>
      <c r="AQ40" s="528">
        <v>3</v>
      </c>
      <c r="AR40" s="528">
        <v>0</v>
      </c>
      <c r="AS40" s="528">
        <v>0</v>
      </c>
      <c r="AT40" s="528">
        <v>0</v>
      </c>
      <c r="AU40" s="528">
        <v>0</v>
      </c>
      <c r="AV40" s="528">
        <v>0</v>
      </c>
      <c r="AW40" s="528">
        <v>0</v>
      </c>
      <c r="AX40" s="528">
        <v>0</v>
      </c>
      <c r="AY40" s="528">
        <v>0</v>
      </c>
      <c r="AZ40" s="528"/>
      <c r="BA40" s="528" t="s">
        <v>1145</v>
      </c>
      <c r="BB40" s="528"/>
      <c r="BC40" s="528" t="s">
        <v>1145</v>
      </c>
      <c r="BD40" s="528"/>
      <c r="BE40" s="528"/>
      <c r="BF40" s="528"/>
      <c r="BG40" s="529"/>
      <c r="BH40" s="525"/>
      <c r="BI40" s="528"/>
      <c r="BJ40" s="528" t="s">
        <v>1146</v>
      </c>
      <c r="BK40" s="528"/>
      <c r="BL40" s="529"/>
      <c r="BM40" s="529" t="s">
        <v>430</v>
      </c>
      <c r="BN40" s="525" t="s">
        <v>368</v>
      </c>
    </row>
    <row r="41" spans="1:66" ht="13" customHeight="1" x14ac:dyDescent="0.2">
      <c r="A41" s="525">
        <v>3566</v>
      </c>
      <c r="B41" s="565">
        <v>44755</v>
      </c>
      <c r="C41" s="526" t="s">
        <v>1138</v>
      </c>
      <c r="D41" s="525" t="s">
        <v>1109</v>
      </c>
      <c r="E41" s="570">
        <v>44562</v>
      </c>
      <c r="F41" s="525" t="s">
        <v>1291</v>
      </c>
      <c r="G41" s="525" t="s">
        <v>1658</v>
      </c>
      <c r="H41" s="532">
        <v>78.75454545454545</v>
      </c>
      <c r="I41" s="394"/>
      <c r="J41" s="409"/>
      <c r="K41" s="332"/>
      <c r="L41" s="332"/>
      <c r="M41" s="332"/>
      <c r="N41" s="332"/>
      <c r="O41" s="532">
        <v>1.9545454545454544</v>
      </c>
      <c r="P41" s="406">
        <v>0</v>
      </c>
      <c r="Q41" s="406">
        <v>0</v>
      </c>
      <c r="R41" s="406">
        <v>0</v>
      </c>
      <c r="S41" s="406">
        <v>0</v>
      </c>
      <c r="T41" s="571"/>
      <c r="U41" s="532">
        <v>1.9545454545454544</v>
      </c>
      <c r="V41" s="406">
        <v>0</v>
      </c>
      <c r="W41" s="406">
        <v>0</v>
      </c>
      <c r="X41" s="406">
        <v>0</v>
      </c>
      <c r="Y41" s="406">
        <v>0</v>
      </c>
      <c r="Z41" s="571"/>
      <c r="AA41" s="571"/>
      <c r="AB41" s="571"/>
      <c r="AC41" s="571"/>
      <c r="AD41" s="571"/>
      <c r="AE41" s="571"/>
      <c r="AF41" s="571"/>
      <c r="AG41" s="333" t="s">
        <v>1145</v>
      </c>
      <c r="AH41" s="333"/>
      <c r="AI41" s="528">
        <v>3</v>
      </c>
      <c r="AJ41" s="528">
        <v>3</v>
      </c>
      <c r="AK41" s="480">
        <v>0.5</v>
      </c>
      <c r="AL41" s="480">
        <v>0.5</v>
      </c>
      <c r="AM41" s="525"/>
      <c r="AN41" s="528">
        <v>0</v>
      </c>
      <c r="AO41" s="528">
        <v>0</v>
      </c>
      <c r="AP41" s="528">
        <v>0</v>
      </c>
      <c r="AQ41" s="528">
        <v>0</v>
      </c>
      <c r="AR41" s="528">
        <v>0</v>
      </c>
      <c r="AS41" s="528">
        <v>0</v>
      </c>
      <c r="AT41" s="528">
        <v>0</v>
      </c>
      <c r="AU41" s="528">
        <v>0</v>
      </c>
      <c r="AV41" s="528">
        <v>0</v>
      </c>
      <c r="AW41" s="528">
        <v>0</v>
      </c>
      <c r="AX41" s="528">
        <v>0</v>
      </c>
      <c r="AY41" s="528">
        <v>0</v>
      </c>
      <c r="AZ41" s="528"/>
      <c r="BA41" s="528" t="s">
        <v>1145</v>
      </c>
      <c r="BB41" s="528"/>
      <c r="BC41" s="528" t="s">
        <v>1145</v>
      </c>
      <c r="BD41" s="528"/>
      <c r="BE41" s="528"/>
      <c r="BF41" s="528"/>
      <c r="BG41" s="529"/>
      <c r="BH41" s="525"/>
      <c r="BI41" s="528"/>
      <c r="BJ41" s="528" t="s">
        <v>1146</v>
      </c>
      <c r="BK41" s="528"/>
      <c r="BL41" s="529" t="s">
        <v>1659</v>
      </c>
      <c r="BM41" s="525" t="s">
        <v>1667</v>
      </c>
      <c r="BN41" s="525" t="s">
        <v>1121</v>
      </c>
    </row>
    <row r="42" spans="1:66" ht="13" customHeight="1" x14ac:dyDescent="0.2">
      <c r="A42" s="525">
        <v>2932</v>
      </c>
      <c r="B42" s="565">
        <v>44755</v>
      </c>
      <c r="C42" s="526" t="s">
        <v>1138</v>
      </c>
      <c r="D42" s="525" t="s">
        <v>1109</v>
      </c>
      <c r="E42" s="527">
        <v>44743</v>
      </c>
      <c r="F42" s="525" t="s">
        <v>1483</v>
      </c>
      <c r="G42" s="525" t="s">
        <v>1550</v>
      </c>
      <c r="H42" s="532">
        <v>80</v>
      </c>
      <c r="I42" s="531" t="s">
        <v>296</v>
      </c>
      <c r="J42" s="485">
        <v>1645</v>
      </c>
      <c r="K42" s="485">
        <v>3000</v>
      </c>
      <c r="L42" s="485">
        <v>3000</v>
      </c>
      <c r="M42" s="485">
        <v>3000</v>
      </c>
      <c r="N42" s="332"/>
      <c r="O42" s="532">
        <v>2.1999999999999997</v>
      </c>
      <c r="P42" s="532">
        <v>2.0636363636363635</v>
      </c>
      <c r="Q42" s="406">
        <v>0</v>
      </c>
      <c r="R42" s="406">
        <v>0</v>
      </c>
      <c r="S42" s="532">
        <v>1.7545454545454544</v>
      </c>
      <c r="T42" s="571"/>
      <c r="U42" s="532">
        <v>2.1999999999999997</v>
      </c>
      <c r="V42" s="532">
        <v>2.0636363636363635</v>
      </c>
      <c r="W42" s="406">
        <v>0</v>
      </c>
      <c r="X42" s="406">
        <v>0</v>
      </c>
      <c r="Y42" s="532">
        <v>1.7545454545454544</v>
      </c>
      <c r="Z42" s="571"/>
      <c r="AA42" s="571"/>
      <c r="AB42" s="571"/>
      <c r="AC42" s="571"/>
      <c r="AD42" s="571"/>
      <c r="AE42" s="571"/>
      <c r="AF42" s="571"/>
      <c r="AG42" s="333" t="s">
        <v>1145</v>
      </c>
      <c r="AH42" s="333"/>
      <c r="AI42" s="528">
        <v>3</v>
      </c>
      <c r="AJ42" s="528">
        <v>3</v>
      </c>
      <c r="AK42" s="480">
        <v>0.5</v>
      </c>
      <c r="AL42" s="480">
        <v>0.5</v>
      </c>
      <c r="AM42" s="525"/>
      <c r="AN42" s="528">
        <v>0</v>
      </c>
      <c r="AO42" s="528">
        <v>0</v>
      </c>
      <c r="AP42" s="528">
        <v>0</v>
      </c>
      <c r="AQ42" s="528">
        <v>0</v>
      </c>
      <c r="AR42" s="528">
        <v>0</v>
      </c>
      <c r="AS42" s="528">
        <v>0</v>
      </c>
      <c r="AT42" s="528">
        <v>0</v>
      </c>
      <c r="AU42" s="528">
        <v>0</v>
      </c>
      <c r="AV42" s="528">
        <v>0</v>
      </c>
      <c r="AW42" s="528">
        <v>0</v>
      </c>
      <c r="AX42" s="528">
        <v>0</v>
      </c>
      <c r="AY42" s="528">
        <v>0</v>
      </c>
      <c r="AZ42" s="528"/>
      <c r="BA42" s="528" t="s">
        <v>1145</v>
      </c>
      <c r="BB42" s="528"/>
      <c r="BC42" s="528" t="s">
        <v>1145</v>
      </c>
      <c r="BD42" s="528"/>
      <c r="BE42" s="528">
        <v>12</v>
      </c>
      <c r="BF42" s="564"/>
      <c r="BG42" s="529"/>
      <c r="BH42" s="525"/>
      <c r="BI42" s="528"/>
      <c r="BJ42" s="528" t="s">
        <v>4</v>
      </c>
      <c r="BK42" s="528"/>
      <c r="BL42" s="529"/>
      <c r="BM42" s="525" t="s">
        <v>1668</v>
      </c>
      <c r="BN42" s="525" t="s">
        <v>408</v>
      </c>
    </row>
    <row r="43" spans="1:66" ht="13" customHeight="1" x14ac:dyDescent="0.2">
      <c r="A43" s="525">
        <v>3398</v>
      </c>
      <c r="B43" s="565">
        <v>44755</v>
      </c>
      <c r="C43" s="526" t="s">
        <v>1138</v>
      </c>
      <c r="D43" s="525" t="s">
        <v>1109</v>
      </c>
      <c r="E43" s="527">
        <v>44613</v>
      </c>
      <c r="F43" s="525" t="s">
        <v>1173</v>
      </c>
      <c r="G43" s="525" t="s">
        <v>1570</v>
      </c>
      <c r="H43" s="532">
        <v>62.999999999999993</v>
      </c>
      <c r="I43" s="531" t="s">
        <v>296</v>
      </c>
      <c r="J43" s="485">
        <v>1645</v>
      </c>
      <c r="K43" s="485">
        <v>3000</v>
      </c>
      <c r="L43" s="485">
        <v>3000</v>
      </c>
      <c r="M43" s="485">
        <v>3000</v>
      </c>
      <c r="N43" s="332"/>
      <c r="O43" s="532">
        <v>2.2909090909090906</v>
      </c>
      <c r="P43" s="532">
        <v>1.9818181818181817</v>
      </c>
      <c r="Q43" s="406">
        <v>0</v>
      </c>
      <c r="R43" s="406">
        <v>0</v>
      </c>
      <c r="S43" s="532">
        <v>1.6636363636363636</v>
      </c>
      <c r="T43" s="571"/>
      <c r="U43" s="532">
        <v>2.2909090909090906</v>
      </c>
      <c r="V43" s="532">
        <v>1.9818181818181817</v>
      </c>
      <c r="W43" s="406">
        <v>0</v>
      </c>
      <c r="X43" s="406">
        <v>0</v>
      </c>
      <c r="Y43" s="532">
        <v>1.6636363636363636</v>
      </c>
      <c r="Z43" s="571"/>
      <c r="AA43" s="571"/>
      <c r="AB43" s="571"/>
      <c r="AC43" s="571"/>
      <c r="AD43" s="571"/>
      <c r="AE43" s="571"/>
      <c r="AF43" s="571"/>
      <c r="AG43" s="333" t="s">
        <v>1145</v>
      </c>
      <c r="AH43" s="333"/>
      <c r="AI43" s="528">
        <v>3</v>
      </c>
      <c r="AJ43" s="528">
        <v>3</v>
      </c>
      <c r="AK43" s="480">
        <v>0.5</v>
      </c>
      <c r="AL43" s="480">
        <v>0.5</v>
      </c>
      <c r="AM43" s="525"/>
      <c r="AN43" s="528">
        <v>0</v>
      </c>
      <c r="AO43" s="528">
        <v>0</v>
      </c>
      <c r="AP43" s="528">
        <v>0</v>
      </c>
      <c r="AQ43" s="528">
        <v>0</v>
      </c>
      <c r="AR43" s="528">
        <v>0</v>
      </c>
      <c r="AS43" s="528">
        <v>0</v>
      </c>
      <c r="AT43" s="528">
        <v>0</v>
      </c>
      <c r="AU43" s="528">
        <v>0</v>
      </c>
      <c r="AV43" s="528">
        <v>0</v>
      </c>
      <c r="AW43" s="528">
        <v>0</v>
      </c>
      <c r="AX43" s="528">
        <v>0</v>
      </c>
      <c r="AY43" s="528">
        <v>0</v>
      </c>
      <c r="AZ43" s="528"/>
      <c r="BA43" s="528" t="s">
        <v>1145</v>
      </c>
      <c r="BB43" s="528"/>
      <c r="BC43" s="528" t="s">
        <v>1145</v>
      </c>
      <c r="BD43" s="528"/>
      <c r="BE43" s="528"/>
      <c r="BF43" s="564"/>
      <c r="BG43" s="529"/>
      <c r="BH43" s="525"/>
      <c r="BI43" s="528"/>
      <c r="BJ43" s="528" t="s">
        <v>411</v>
      </c>
      <c r="BK43" s="528"/>
      <c r="BL43" s="529"/>
      <c r="BM43" s="525" t="s">
        <v>430</v>
      </c>
      <c r="BN43" s="525" t="s">
        <v>368</v>
      </c>
    </row>
    <row r="44" spans="1:66" ht="13" customHeight="1" x14ac:dyDescent="0.2">
      <c r="A44" s="525">
        <v>3151</v>
      </c>
      <c r="B44" s="565">
        <v>44755</v>
      </c>
      <c r="C44" s="526" t="s">
        <v>295</v>
      </c>
      <c r="D44" s="525" t="s">
        <v>1110</v>
      </c>
      <c r="E44" s="527">
        <v>44691</v>
      </c>
      <c r="F44" s="529" t="s">
        <v>1044</v>
      </c>
      <c r="G44" s="525" t="s">
        <v>1646</v>
      </c>
      <c r="H44" s="532">
        <v>81.199999999999989</v>
      </c>
      <c r="I44" s="531" t="s">
        <v>296</v>
      </c>
      <c r="J44" s="485">
        <v>1645</v>
      </c>
      <c r="K44" s="485">
        <v>3000</v>
      </c>
      <c r="L44" s="485">
        <v>3000</v>
      </c>
      <c r="M44" s="485">
        <v>3000</v>
      </c>
      <c r="N44" s="525"/>
      <c r="O44" s="532">
        <v>2.3909090909090907</v>
      </c>
      <c r="P44" s="532">
        <v>2.1727272727272728</v>
      </c>
      <c r="Q44" s="406">
        <v>0</v>
      </c>
      <c r="R44" s="406">
        <v>0</v>
      </c>
      <c r="S44" s="532">
        <v>1.6272727272727272</v>
      </c>
      <c r="T44" s="533"/>
      <c r="U44" s="532">
        <v>2.3909090909090907</v>
      </c>
      <c r="V44" s="532">
        <v>2.1727272727272728</v>
      </c>
      <c r="W44" s="406">
        <v>0</v>
      </c>
      <c r="X44" s="406">
        <v>0</v>
      </c>
      <c r="Y44" s="532">
        <v>1.6272727272727272</v>
      </c>
      <c r="Z44" s="533"/>
      <c r="AA44" s="533"/>
      <c r="AB44" s="533"/>
      <c r="AC44" s="533"/>
      <c r="AD44" s="533"/>
      <c r="AE44" s="533"/>
      <c r="AF44" s="533"/>
      <c r="AG44" s="528" t="s">
        <v>1145</v>
      </c>
      <c r="AH44" s="528"/>
      <c r="AI44" s="528">
        <v>3</v>
      </c>
      <c r="AJ44" s="528">
        <v>3</v>
      </c>
      <c r="AK44" s="480">
        <v>0.5</v>
      </c>
      <c r="AL44" s="480">
        <v>0.5</v>
      </c>
      <c r="AM44" s="525"/>
      <c r="AN44" s="528">
        <v>0</v>
      </c>
      <c r="AO44" s="528">
        <v>0</v>
      </c>
      <c r="AP44" s="528">
        <v>0</v>
      </c>
      <c r="AQ44" s="528">
        <v>0</v>
      </c>
      <c r="AR44" s="528">
        <v>0</v>
      </c>
      <c r="AS44" s="528">
        <v>0</v>
      </c>
      <c r="AT44" s="528">
        <v>0</v>
      </c>
      <c r="AU44" s="528">
        <v>0</v>
      </c>
      <c r="AV44" s="528">
        <v>0</v>
      </c>
      <c r="AW44" s="528">
        <v>0</v>
      </c>
      <c r="AX44" s="528">
        <v>0</v>
      </c>
      <c r="AY44" s="528">
        <v>0</v>
      </c>
      <c r="AZ44" s="528"/>
      <c r="BA44" s="528" t="s">
        <v>1145</v>
      </c>
      <c r="BB44" s="528"/>
      <c r="BC44" s="528" t="s">
        <v>1145</v>
      </c>
      <c r="BD44" s="528"/>
      <c r="BE44" s="528"/>
      <c r="BF44" s="528"/>
      <c r="BG44" s="597"/>
      <c r="BH44" s="598"/>
      <c r="BI44" s="566"/>
      <c r="BJ44" s="528" t="s">
        <v>1146</v>
      </c>
      <c r="BK44" s="528"/>
      <c r="BL44" s="529" t="s">
        <v>1647</v>
      </c>
      <c r="BM44" s="567" t="s">
        <v>1669</v>
      </c>
      <c r="BN44" s="525" t="s">
        <v>408</v>
      </c>
    </row>
    <row r="45" spans="1:66" ht="13" customHeight="1" x14ac:dyDescent="0.2">
      <c r="A45" s="525"/>
      <c r="B45" s="599">
        <v>44782</v>
      </c>
      <c r="C45" s="526" t="s">
        <v>1138</v>
      </c>
      <c r="D45" s="525" t="s">
        <v>1110</v>
      </c>
      <c r="E45" s="527">
        <v>44774</v>
      </c>
      <c r="F45" s="529" t="s">
        <v>1148</v>
      </c>
      <c r="G45" s="525" t="s">
        <v>1280</v>
      </c>
      <c r="H45" s="532">
        <v>61.109090909090902</v>
      </c>
      <c r="I45" s="531" t="s">
        <v>296</v>
      </c>
      <c r="J45" s="485">
        <v>1645</v>
      </c>
      <c r="K45" s="485">
        <v>3000</v>
      </c>
      <c r="L45" s="485">
        <v>3000</v>
      </c>
      <c r="M45" s="485">
        <v>3000</v>
      </c>
      <c r="N45" s="525"/>
      <c r="O45" s="532">
        <v>2.8909090909090907</v>
      </c>
      <c r="P45" s="532">
        <v>2.5181818181818181</v>
      </c>
      <c r="Q45" s="406">
        <v>0</v>
      </c>
      <c r="R45" s="406">
        <v>0</v>
      </c>
      <c r="S45" s="532">
        <v>1.9636363636363636</v>
      </c>
      <c r="T45" s="533"/>
      <c r="U45" s="532">
        <v>2.8909090909090907</v>
      </c>
      <c r="V45" s="532">
        <v>2.5181818181818181</v>
      </c>
      <c r="W45" s="406">
        <v>0</v>
      </c>
      <c r="X45" s="406">
        <v>0</v>
      </c>
      <c r="Y45" s="532">
        <v>1.9636363636363636</v>
      </c>
      <c r="Z45" s="533"/>
      <c r="AA45" s="533"/>
      <c r="AB45" s="533"/>
      <c r="AC45" s="533"/>
      <c r="AD45" s="533"/>
      <c r="AE45" s="533"/>
      <c r="AF45" s="533"/>
      <c r="AG45" s="528" t="s">
        <v>1145</v>
      </c>
      <c r="AH45" s="528"/>
      <c r="AI45" s="528">
        <v>3</v>
      </c>
      <c r="AJ45" s="528">
        <v>3</v>
      </c>
      <c r="AK45" s="480">
        <v>0.5</v>
      </c>
      <c r="AL45" s="480">
        <v>0.5</v>
      </c>
      <c r="AM45" s="525"/>
      <c r="AN45" s="528">
        <v>0</v>
      </c>
      <c r="AO45" s="528">
        <v>0</v>
      </c>
      <c r="AP45" s="528">
        <v>0</v>
      </c>
      <c r="AQ45" s="528">
        <v>0</v>
      </c>
      <c r="AR45" s="528">
        <v>0</v>
      </c>
      <c r="AS45" s="528">
        <v>0</v>
      </c>
      <c r="AT45" s="528">
        <v>0</v>
      </c>
      <c r="AU45" s="528">
        <v>0</v>
      </c>
      <c r="AV45" s="528">
        <v>0</v>
      </c>
      <c r="AW45" s="528">
        <v>0</v>
      </c>
      <c r="AX45" s="528">
        <v>0</v>
      </c>
      <c r="AY45" s="528">
        <v>0</v>
      </c>
      <c r="AZ45" s="528"/>
      <c r="BA45" s="528" t="s">
        <v>1145</v>
      </c>
      <c r="BB45" s="528"/>
      <c r="BC45" s="528" t="s">
        <v>1145</v>
      </c>
      <c r="BD45" s="528"/>
      <c r="BE45" s="528"/>
      <c r="BF45" s="528"/>
      <c r="BG45" s="529"/>
      <c r="BH45" s="525"/>
      <c r="BI45" s="528"/>
      <c r="BJ45" s="528" t="s">
        <v>4</v>
      </c>
      <c r="BK45" s="528"/>
      <c r="BL45" s="529"/>
      <c r="BM45" s="569" t="s">
        <v>430</v>
      </c>
      <c r="BN45" s="525" t="s">
        <v>1121</v>
      </c>
    </row>
    <row r="46" spans="1:66" ht="13" customHeight="1" x14ac:dyDescent="0.2">
      <c r="A46" s="525">
        <v>2552</v>
      </c>
      <c r="B46" s="565">
        <v>44755</v>
      </c>
      <c r="C46" s="526" t="s">
        <v>1138</v>
      </c>
      <c r="D46" s="525" t="s">
        <v>1110</v>
      </c>
      <c r="E46" s="527">
        <v>44720</v>
      </c>
      <c r="F46" s="525" t="s">
        <v>1052</v>
      </c>
      <c r="G46" s="525" t="s">
        <v>1181</v>
      </c>
      <c r="H46" s="532">
        <v>56.809090909090905</v>
      </c>
      <c r="I46" s="531" t="s">
        <v>296</v>
      </c>
      <c r="J46" s="485">
        <v>1645</v>
      </c>
      <c r="K46" s="485">
        <v>3000</v>
      </c>
      <c r="L46" s="485">
        <v>3000</v>
      </c>
      <c r="M46" s="485">
        <v>3000</v>
      </c>
      <c r="N46" s="332"/>
      <c r="O46" s="532">
        <v>3.1090909090909089</v>
      </c>
      <c r="P46" s="532">
        <v>2.4727272727272727</v>
      </c>
      <c r="Q46" s="406">
        <v>0</v>
      </c>
      <c r="R46" s="406">
        <v>0</v>
      </c>
      <c r="S46" s="532">
        <v>1.9909090909090907</v>
      </c>
      <c r="T46" s="571"/>
      <c r="U46" s="532">
        <v>3.1090909090909089</v>
      </c>
      <c r="V46" s="532">
        <v>2.4727272727272727</v>
      </c>
      <c r="W46" s="406">
        <v>0</v>
      </c>
      <c r="X46" s="340">
        <v>0</v>
      </c>
      <c r="Y46" s="532">
        <v>1.9909090909090907</v>
      </c>
      <c r="Z46" s="571"/>
      <c r="AA46" s="571"/>
      <c r="AB46" s="571"/>
      <c r="AC46" s="571"/>
      <c r="AD46" s="571"/>
      <c r="AE46" s="571"/>
      <c r="AF46" s="571"/>
      <c r="AG46" s="528" t="s">
        <v>1143</v>
      </c>
      <c r="AH46" s="528" t="s">
        <v>1144</v>
      </c>
      <c r="AI46" s="528">
        <v>2</v>
      </c>
      <c r="AJ46" s="528">
        <v>4</v>
      </c>
      <c r="AK46" s="483">
        <v>0.33329999999999999</v>
      </c>
      <c r="AL46" s="483">
        <v>0.66659999999999997</v>
      </c>
      <c r="AM46" s="525" t="s">
        <v>1124</v>
      </c>
      <c r="AN46" s="528">
        <v>0</v>
      </c>
      <c r="AO46" s="528">
        <v>0</v>
      </c>
      <c r="AP46" s="528">
        <v>0</v>
      </c>
      <c r="AQ46" s="528">
        <v>0</v>
      </c>
      <c r="AR46" s="528">
        <v>0</v>
      </c>
      <c r="AS46" s="528">
        <v>0</v>
      </c>
      <c r="AT46" s="528">
        <v>0</v>
      </c>
      <c r="AU46" s="528">
        <v>0</v>
      </c>
      <c r="AV46" s="528">
        <v>0</v>
      </c>
      <c r="AW46" s="528">
        <v>0</v>
      </c>
      <c r="AX46" s="528">
        <v>0</v>
      </c>
      <c r="AY46" s="528">
        <v>0</v>
      </c>
      <c r="AZ46" s="528"/>
      <c r="BA46" s="528" t="s">
        <v>1145</v>
      </c>
      <c r="BB46" s="528"/>
      <c r="BC46" s="528" t="s">
        <v>1145</v>
      </c>
      <c r="BD46" s="528"/>
      <c r="BE46" s="528"/>
      <c r="BF46" s="528"/>
      <c r="BG46" s="529"/>
      <c r="BH46" s="525"/>
      <c r="BI46" s="528"/>
      <c r="BJ46" s="528" t="s">
        <v>4</v>
      </c>
      <c r="BK46" s="528"/>
      <c r="BL46" s="529"/>
      <c r="BM46" s="567" t="s">
        <v>1214</v>
      </c>
      <c r="BN46" s="525" t="s">
        <v>408</v>
      </c>
    </row>
    <row r="47" spans="1:66" ht="13" customHeight="1" x14ac:dyDescent="0.2">
      <c r="A47" s="525">
        <v>3524</v>
      </c>
      <c r="B47" s="565">
        <v>44755</v>
      </c>
      <c r="C47" s="526" t="s">
        <v>1138</v>
      </c>
      <c r="D47" s="525" t="s">
        <v>1110</v>
      </c>
      <c r="E47" s="527">
        <v>44734</v>
      </c>
      <c r="F47" s="529" t="s">
        <v>1156</v>
      </c>
      <c r="G47" s="525" t="s">
        <v>1649</v>
      </c>
      <c r="H47" s="532">
        <v>87.1</v>
      </c>
      <c r="I47" s="531" t="s">
        <v>296</v>
      </c>
      <c r="J47" s="485">
        <v>1645</v>
      </c>
      <c r="K47" s="485">
        <v>3000</v>
      </c>
      <c r="L47" s="485">
        <v>3000</v>
      </c>
      <c r="M47" s="485">
        <v>3000</v>
      </c>
      <c r="N47" s="525"/>
      <c r="O47" s="532">
        <v>3.5181818181818181</v>
      </c>
      <c r="P47" s="532">
        <v>2.6727272727272724</v>
      </c>
      <c r="Q47" s="406">
        <v>0</v>
      </c>
      <c r="R47" s="406">
        <v>0</v>
      </c>
      <c r="S47" s="532">
        <v>2.1909090909090909</v>
      </c>
      <c r="T47" s="533"/>
      <c r="U47" s="532">
        <v>3.5181818181818181</v>
      </c>
      <c r="V47" s="532">
        <v>2.6727272727272724</v>
      </c>
      <c r="W47" s="406">
        <v>0</v>
      </c>
      <c r="X47" s="406">
        <v>0</v>
      </c>
      <c r="Y47" s="532">
        <v>2.1909090909090909</v>
      </c>
      <c r="Z47" s="533"/>
      <c r="AA47" s="533"/>
      <c r="AB47" s="533"/>
      <c r="AC47" s="533"/>
      <c r="AD47" s="533"/>
      <c r="AE47" s="533"/>
      <c r="AF47" s="533"/>
      <c r="AG47" s="528" t="s">
        <v>1145</v>
      </c>
      <c r="AH47" s="528"/>
      <c r="AI47" s="528">
        <v>3</v>
      </c>
      <c r="AJ47" s="528">
        <v>3</v>
      </c>
      <c r="AK47" s="480">
        <v>0.5</v>
      </c>
      <c r="AL47" s="480">
        <v>0.5</v>
      </c>
      <c r="AM47" s="525"/>
      <c r="AN47" s="528">
        <v>8</v>
      </c>
      <c r="AO47" s="528">
        <v>0</v>
      </c>
      <c r="AP47" s="528">
        <v>0</v>
      </c>
      <c r="AQ47" s="528">
        <v>0</v>
      </c>
      <c r="AR47" s="528">
        <v>0</v>
      </c>
      <c r="AS47" s="528">
        <v>0</v>
      </c>
      <c r="AT47" s="528">
        <v>0</v>
      </c>
      <c r="AU47" s="528">
        <v>0</v>
      </c>
      <c r="AV47" s="528">
        <v>0</v>
      </c>
      <c r="AW47" s="528">
        <v>0</v>
      </c>
      <c r="AX47" s="528">
        <v>0</v>
      </c>
      <c r="AY47" s="528">
        <v>0</v>
      </c>
      <c r="AZ47" s="566">
        <v>12</v>
      </c>
      <c r="BA47" s="528" t="s">
        <v>1145</v>
      </c>
      <c r="BB47" s="528"/>
      <c r="BC47" s="528" t="s">
        <v>1145</v>
      </c>
      <c r="BD47" s="528"/>
      <c r="BE47" s="528"/>
      <c r="BF47" s="528"/>
      <c r="BG47" s="529" t="s">
        <v>1622</v>
      </c>
      <c r="BH47" s="525" t="s">
        <v>365</v>
      </c>
      <c r="BI47" s="528">
        <v>25</v>
      </c>
      <c r="BJ47" s="528" t="s">
        <v>1146</v>
      </c>
      <c r="BK47" s="528"/>
      <c r="BL47" s="529" t="s">
        <v>1623</v>
      </c>
      <c r="BM47" s="569" t="s">
        <v>1670</v>
      </c>
      <c r="BN47" s="525" t="s">
        <v>408</v>
      </c>
    </row>
    <row r="48" spans="1:66" ht="13" customHeight="1" x14ac:dyDescent="0.2">
      <c r="A48" s="525">
        <v>2870</v>
      </c>
      <c r="B48" s="565">
        <v>44756</v>
      </c>
      <c r="C48" s="526" t="s">
        <v>1138</v>
      </c>
      <c r="D48" s="525" t="s">
        <v>1110</v>
      </c>
      <c r="E48" s="527">
        <v>44753</v>
      </c>
      <c r="F48" s="529" t="s">
        <v>1159</v>
      </c>
      <c r="G48" s="525" t="s">
        <v>1105</v>
      </c>
      <c r="H48" s="532">
        <v>73.75454545454545</v>
      </c>
      <c r="I48" s="531" t="s">
        <v>296</v>
      </c>
      <c r="J48" s="485">
        <v>1645</v>
      </c>
      <c r="K48" s="485">
        <v>3000</v>
      </c>
      <c r="L48" s="485">
        <v>3000</v>
      </c>
      <c r="M48" s="485">
        <v>3000</v>
      </c>
      <c r="N48" s="525"/>
      <c r="O48" s="532">
        <v>2.0818181818181816</v>
      </c>
      <c r="P48" s="532">
        <v>1.9818181818181817</v>
      </c>
      <c r="Q48" s="406">
        <v>0</v>
      </c>
      <c r="R48" s="406">
        <v>0</v>
      </c>
      <c r="S48" s="532">
        <v>1.8454545454545452</v>
      </c>
      <c r="T48" s="533"/>
      <c r="U48" s="532">
        <v>2.0818181818181816</v>
      </c>
      <c r="V48" s="532">
        <v>1.9818181818181817</v>
      </c>
      <c r="W48" s="406">
        <v>0</v>
      </c>
      <c r="X48" s="406">
        <v>0</v>
      </c>
      <c r="Y48" s="532">
        <v>1.8454545454545452</v>
      </c>
      <c r="Z48" s="533"/>
      <c r="AA48" s="533"/>
      <c r="AB48" s="533"/>
      <c r="AC48" s="533"/>
      <c r="AD48" s="533"/>
      <c r="AE48" s="533"/>
      <c r="AF48" s="533"/>
      <c r="AG48" s="528" t="s">
        <v>1278</v>
      </c>
      <c r="AH48" s="528"/>
      <c r="AI48" s="528">
        <v>3</v>
      </c>
      <c r="AJ48" s="528">
        <v>3</v>
      </c>
      <c r="AK48" s="480">
        <v>0.5</v>
      </c>
      <c r="AL48" s="480">
        <v>0.5</v>
      </c>
      <c r="AM48" s="525"/>
      <c r="AN48" s="528">
        <v>0</v>
      </c>
      <c r="AO48" s="528">
        <v>0</v>
      </c>
      <c r="AP48" s="528">
        <v>0</v>
      </c>
      <c r="AQ48" s="528">
        <v>0</v>
      </c>
      <c r="AR48" s="528">
        <v>0</v>
      </c>
      <c r="AS48" s="528">
        <v>0</v>
      </c>
      <c r="AT48" s="528">
        <v>0</v>
      </c>
      <c r="AU48" s="528">
        <v>0</v>
      </c>
      <c r="AV48" s="528">
        <v>0</v>
      </c>
      <c r="AW48" s="528">
        <v>0</v>
      </c>
      <c r="AX48" s="528">
        <v>0</v>
      </c>
      <c r="AY48" s="528">
        <v>0</v>
      </c>
      <c r="AZ48" s="528"/>
      <c r="BA48" s="528" t="s">
        <v>1145</v>
      </c>
      <c r="BB48" s="528"/>
      <c r="BC48" s="528" t="s">
        <v>1145</v>
      </c>
      <c r="BD48" s="528"/>
      <c r="BE48" s="528"/>
      <c r="BF48" s="564">
        <v>45230</v>
      </c>
      <c r="BG48" s="529"/>
      <c r="BH48" s="525"/>
      <c r="BI48" s="528"/>
      <c r="BJ48" s="528" t="s">
        <v>1146</v>
      </c>
      <c r="BK48" s="528"/>
      <c r="BL48" s="529"/>
      <c r="BM48" s="567" t="s">
        <v>430</v>
      </c>
      <c r="BN48" s="525" t="s">
        <v>408</v>
      </c>
    </row>
    <row r="49" spans="1:66" ht="13" customHeight="1" x14ac:dyDescent="0.2">
      <c r="A49" s="525">
        <v>3370</v>
      </c>
      <c r="B49" s="565">
        <v>44755</v>
      </c>
      <c r="C49" s="526" t="s">
        <v>1138</v>
      </c>
      <c r="D49" s="525" t="s">
        <v>1110</v>
      </c>
      <c r="E49" s="527">
        <v>44743</v>
      </c>
      <c r="F49" s="529" t="s">
        <v>1166</v>
      </c>
      <c r="G49" s="525" t="s">
        <v>1651</v>
      </c>
      <c r="H49" s="532">
        <v>69.909090909090907</v>
      </c>
      <c r="I49" s="531" t="s">
        <v>296</v>
      </c>
      <c r="J49" s="568">
        <v>6000</v>
      </c>
      <c r="K49" s="568">
        <v>12000</v>
      </c>
      <c r="L49" s="568">
        <v>12000</v>
      </c>
      <c r="M49" s="568">
        <v>12000</v>
      </c>
      <c r="N49" s="525"/>
      <c r="O49" s="532">
        <v>2.3636363636363633</v>
      </c>
      <c r="P49" s="532">
        <v>2.2545454545454544</v>
      </c>
      <c r="Q49" s="406">
        <v>0</v>
      </c>
      <c r="R49" s="406">
        <v>0</v>
      </c>
      <c r="S49" s="532">
        <v>1.9545454545454544</v>
      </c>
      <c r="T49" s="533"/>
      <c r="U49" s="532">
        <v>2.3636363636363633</v>
      </c>
      <c r="V49" s="532">
        <v>2.2545454545454544</v>
      </c>
      <c r="W49" s="406">
        <v>0</v>
      </c>
      <c r="X49" s="406">
        <v>0</v>
      </c>
      <c r="Y49" s="532">
        <v>1.9545454545454544</v>
      </c>
      <c r="Z49" s="533"/>
      <c r="AA49" s="533"/>
      <c r="AB49" s="533"/>
      <c r="AC49" s="533"/>
      <c r="AD49" s="533"/>
      <c r="AE49" s="533"/>
      <c r="AF49" s="533"/>
      <c r="AG49" s="528" t="s">
        <v>1145</v>
      </c>
      <c r="AH49" s="528"/>
      <c r="AI49" s="528">
        <v>3</v>
      </c>
      <c r="AJ49" s="528">
        <v>3</v>
      </c>
      <c r="AK49" s="480">
        <v>0.5</v>
      </c>
      <c r="AL49" s="480">
        <v>0.5</v>
      </c>
      <c r="AM49" s="525"/>
      <c r="AN49" s="528">
        <v>0</v>
      </c>
      <c r="AO49" s="528">
        <v>0</v>
      </c>
      <c r="AP49" s="528">
        <v>0</v>
      </c>
      <c r="AQ49" s="528">
        <v>0</v>
      </c>
      <c r="AR49" s="528">
        <v>0</v>
      </c>
      <c r="AS49" s="528">
        <v>0</v>
      </c>
      <c r="AT49" s="528">
        <v>0</v>
      </c>
      <c r="AU49" s="528">
        <v>0</v>
      </c>
      <c r="AV49" s="528">
        <v>0</v>
      </c>
      <c r="AW49" s="528">
        <v>0</v>
      </c>
      <c r="AX49" s="528">
        <v>0</v>
      </c>
      <c r="AY49" s="528">
        <v>0</v>
      </c>
      <c r="AZ49" s="528"/>
      <c r="BA49" s="528" t="s">
        <v>1145</v>
      </c>
      <c r="BB49" s="528">
        <v>12</v>
      </c>
      <c r="BC49" s="528" t="s">
        <v>1145</v>
      </c>
      <c r="BD49" s="528"/>
      <c r="BE49" s="528"/>
      <c r="BF49" s="528"/>
      <c r="BG49" s="529"/>
      <c r="BH49" s="525"/>
      <c r="BI49" s="600"/>
      <c r="BJ49" s="528" t="s">
        <v>1146</v>
      </c>
      <c r="BK49" s="528"/>
      <c r="BL49" s="529"/>
      <c r="BM49" s="569" t="s">
        <v>1671</v>
      </c>
      <c r="BN49" s="525" t="s">
        <v>408</v>
      </c>
    </row>
    <row r="50" spans="1:66" ht="13" customHeight="1" x14ac:dyDescent="0.2">
      <c r="A50" s="525">
        <v>2398</v>
      </c>
      <c r="B50" s="565">
        <v>44756</v>
      </c>
      <c r="C50" s="526" t="s">
        <v>1138</v>
      </c>
      <c r="D50" s="525" t="s">
        <v>1110</v>
      </c>
      <c r="E50" s="570">
        <v>44651</v>
      </c>
      <c r="F50" s="529" t="s">
        <v>1168</v>
      </c>
      <c r="G50" s="525" t="s">
        <v>1297</v>
      </c>
      <c r="H50" s="532">
        <v>73.75454545454545</v>
      </c>
      <c r="I50" s="531" t="s">
        <v>296</v>
      </c>
      <c r="J50" s="485">
        <v>1645</v>
      </c>
      <c r="K50" s="485">
        <v>3000</v>
      </c>
      <c r="L50" s="485">
        <v>3000</v>
      </c>
      <c r="M50" s="485">
        <v>3000</v>
      </c>
      <c r="N50" s="525"/>
      <c r="O50" s="532">
        <v>2.2363636363636363</v>
      </c>
      <c r="P50" s="532">
        <v>2.127272727272727</v>
      </c>
      <c r="Q50" s="406">
        <v>0</v>
      </c>
      <c r="R50" s="406">
        <v>0</v>
      </c>
      <c r="S50" s="532">
        <v>1.7454545454545451</v>
      </c>
      <c r="T50" s="533"/>
      <c r="U50" s="532">
        <v>2.2363636363636363</v>
      </c>
      <c r="V50" s="532">
        <v>2.127272727272727</v>
      </c>
      <c r="W50" s="406">
        <v>0</v>
      </c>
      <c r="X50" s="406">
        <v>0</v>
      </c>
      <c r="Y50" s="532">
        <v>1.7454545454545451</v>
      </c>
      <c r="Z50" s="533"/>
      <c r="AA50" s="533"/>
      <c r="AB50" s="533"/>
      <c r="AC50" s="533"/>
      <c r="AD50" s="533"/>
      <c r="AE50" s="533"/>
      <c r="AF50" s="533"/>
      <c r="AG50" s="528" t="s">
        <v>1145</v>
      </c>
      <c r="AH50" s="528"/>
      <c r="AI50" s="528">
        <v>3</v>
      </c>
      <c r="AJ50" s="528">
        <v>3</v>
      </c>
      <c r="AK50" s="480">
        <v>0.5</v>
      </c>
      <c r="AL50" s="480">
        <v>0.5</v>
      </c>
      <c r="AM50" s="525"/>
      <c r="AN50" s="528">
        <v>0</v>
      </c>
      <c r="AO50" s="528">
        <v>0</v>
      </c>
      <c r="AP50" s="528">
        <v>0</v>
      </c>
      <c r="AQ50" s="528">
        <v>0</v>
      </c>
      <c r="AR50" s="528">
        <v>0</v>
      </c>
      <c r="AS50" s="528">
        <v>0</v>
      </c>
      <c r="AT50" s="528">
        <v>0</v>
      </c>
      <c r="AU50" s="528">
        <v>0</v>
      </c>
      <c r="AV50" s="528">
        <v>0</v>
      </c>
      <c r="AW50" s="528">
        <v>0</v>
      </c>
      <c r="AX50" s="528">
        <v>0</v>
      </c>
      <c r="AY50" s="528">
        <v>0</v>
      </c>
      <c r="AZ50" s="528"/>
      <c r="BA50" s="528" t="s">
        <v>1145</v>
      </c>
      <c r="BB50" s="528"/>
      <c r="BC50" s="528" t="s">
        <v>1145</v>
      </c>
      <c r="BD50" s="528"/>
      <c r="BE50" s="528"/>
      <c r="BF50" s="528"/>
      <c r="BG50" s="529"/>
      <c r="BH50" s="525"/>
      <c r="BI50" s="528"/>
      <c r="BJ50" s="528" t="s">
        <v>1146</v>
      </c>
      <c r="BK50" s="528"/>
      <c r="BL50" s="529"/>
      <c r="BM50" s="567" t="s">
        <v>430</v>
      </c>
      <c r="BN50" s="525" t="s">
        <v>368</v>
      </c>
    </row>
    <row r="51" spans="1:66" ht="13" customHeight="1" x14ac:dyDescent="0.2">
      <c r="A51" s="525">
        <v>3562</v>
      </c>
      <c r="B51" s="565">
        <v>44755</v>
      </c>
      <c r="C51" s="526" t="s">
        <v>1138</v>
      </c>
      <c r="D51" s="525" t="s">
        <v>1110</v>
      </c>
      <c r="E51" s="527">
        <v>44743</v>
      </c>
      <c r="F51" s="529" t="s">
        <v>1169</v>
      </c>
      <c r="G51" s="525" t="s">
        <v>1654</v>
      </c>
      <c r="H51" s="532">
        <v>77.172727272727272</v>
      </c>
      <c r="I51" s="531" t="s">
        <v>296</v>
      </c>
      <c r="J51" s="485">
        <v>1645</v>
      </c>
      <c r="K51" s="485">
        <v>3000</v>
      </c>
      <c r="L51" s="485">
        <v>3000</v>
      </c>
      <c r="M51" s="485">
        <v>3000</v>
      </c>
      <c r="N51" s="525"/>
      <c r="O51" s="532">
        <v>3.6545454545454539</v>
      </c>
      <c r="P51" s="532">
        <v>3.0727272727272723</v>
      </c>
      <c r="Q51" s="406">
        <v>0</v>
      </c>
      <c r="R51" s="406">
        <v>0</v>
      </c>
      <c r="S51" s="532">
        <v>2.5727272727272728</v>
      </c>
      <c r="T51" s="533"/>
      <c r="U51" s="532">
        <v>3.6545454545454539</v>
      </c>
      <c r="V51" s="532">
        <v>3.0727272727272723</v>
      </c>
      <c r="W51" s="406">
        <v>0</v>
      </c>
      <c r="X51" s="406">
        <v>0</v>
      </c>
      <c r="Y51" s="532">
        <v>2.5727272727272728</v>
      </c>
      <c r="Z51" s="533"/>
      <c r="AA51" s="533"/>
      <c r="AB51" s="533"/>
      <c r="AC51" s="533"/>
      <c r="AD51" s="533"/>
      <c r="AE51" s="533"/>
      <c r="AF51" s="533"/>
      <c r="AG51" s="528" t="s">
        <v>1145</v>
      </c>
      <c r="AH51" s="528"/>
      <c r="AI51" s="528">
        <v>3</v>
      </c>
      <c r="AJ51" s="528">
        <v>3</v>
      </c>
      <c r="AK51" s="480">
        <v>0.5</v>
      </c>
      <c r="AL51" s="480">
        <v>0.5</v>
      </c>
      <c r="AM51" s="525"/>
      <c r="AN51" s="528">
        <v>0</v>
      </c>
      <c r="AO51" s="528">
        <v>0</v>
      </c>
      <c r="AP51" s="528">
        <v>0</v>
      </c>
      <c r="AQ51" s="528">
        <v>0</v>
      </c>
      <c r="AR51" s="528">
        <v>0</v>
      </c>
      <c r="AS51" s="528">
        <v>0</v>
      </c>
      <c r="AT51" s="528">
        <v>0</v>
      </c>
      <c r="AU51" s="528">
        <v>0</v>
      </c>
      <c r="AV51" s="528">
        <v>0</v>
      </c>
      <c r="AW51" s="528">
        <v>0</v>
      </c>
      <c r="AX51" s="528">
        <v>0</v>
      </c>
      <c r="AY51" s="528">
        <v>0</v>
      </c>
      <c r="AZ51" s="528"/>
      <c r="BA51" s="528" t="s">
        <v>1145</v>
      </c>
      <c r="BB51" s="528"/>
      <c r="BC51" s="528" t="s">
        <v>1145</v>
      </c>
      <c r="BD51" s="528"/>
      <c r="BE51" s="528"/>
      <c r="BF51" s="528"/>
      <c r="BG51" s="529"/>
      <c r="BH51" s="525"/>
      <c r="BI51" s="528"/>
      <c r="BJ51" s="528" t="s">
        <v>1146</v>
      </c>
      <c r="BK51" s="528"/>
      <c r="BL51" s="529"/>
      <c r="BM51" s="567" t="s">
        <v>1672</v>
      </c>
      <c r="BN51" s="525" t="s">
        <v>1121</v>
      </c>
    </row>
    <row r="52" spans="1:66" ht="13" customHeight="1" x14ac:dyDescent="0.2">
      <c r="A52" s="525">
        <v>1686</v>
      </c>
      <c r="B52" s="565">
        <v>44755</v>
      </c>
      <c r="C52" s="526" t="s">
        <v>295</v>
      </c>
      <c r="D52" s="525" t="s">
        <v>1110</v>
      </c>
      <c r="E52" s="527">
        <v>44715</v>
      </c>
      <c r="F52" s="529" t="s">
        <v>1106</v>
      </c>
      <c r="G52" s="525" t="s">
        <v>2</v>
      </c>
      <c r="H52" s="532">
        <v>59.999999999999993</v>
      </c>
      <c r="I52" s="531" t="s">
        <v>296</v>
      </c>
      <c r="J52" s="525">
        <v>3000</v>
      </c>
      <c r="K52" s="525">
        <v>3000</v>
      </c>
      <c r="L52" s="525">
        <v>3000</v>
      </c>
      <c r="M52" s="525">
        <v>3000</v>
      </c>
      <c r="N52" s="525"/>
      <c r="O52" s="532">
        <v>3.2545454545454544</v>
      </c>
      <c r="P52" s="406">
        <v>0</v>
      </c>
      <c r="Q52" s="406">
        <v>0</v>
      </c>
      <c r="R52" s="406">
        <v>0</v>
      </c>
      <c r="S52" s="532">
        <v>2.754545454545454</v>
      </c>
      <c r="T52" s="533"/>
      <c r="U52" s="532">
        <v>3.2545454545454544</v>
      </c>
      <c r="V52" s="406">
        <v>0</v>
      </c>
      <c r="W52" s="406">
        <v>0</v>
      </c>
      <c r="X52" s="406">
        <v>0</v>
      </c>
      <c r="Y52" s="532">
        <v>2.754545454545454</v>
      </c>
      <c r="Z52" s="533"/>
      <c r="AA52" s="533"/>
      <c r="AB52" s="533"/>
      <c r="AC52" s="533"/>
      <c r="AD52" s="533"/>
      <c r="AE52" s="533"/>
      <c r="AF52" s="533"/>
      <c r="AG52" s="528" t="s">
        <v>297</v>
      </c>
      <c r="AH52" s="528" t="s">
        <v>298</v>
      </c>
      <c r="AI52" s="528">
        <v>2</v>
      </c>
      <c r="AJ52" s="528">
        <v>4</v>
      </c>
      <c r="AK52" s="483">
        <v>0.33329999999999999</v>
      </c>
      <c r="AL52" s="483">
        <v>0.66659999999999997</v>
      </c>
      <c r="AM52" s="525" t="s">
        <v>1124</v>
      </c>
      <c r="AN52" s="528">
        <v>0</v>
      </c>
      <c r="AO52" s="528">
        <v>0</v>
      </c>
      <c r="AP52" s="528">
        <v>0</v>
      </c>
      <c r="AQ52" s="528">
        <v>0</v>
      </c>
      <c r="AR52" s="528">
        <v>0</v>
      </c>
      <c r="AS52" s="528">
        <v>0</v>
      </c>
      <c r="AT52" s="528">
        <v>0</v>
      </c>
      <c r="AU52" s="528">
        <v>0</v>
      </c>
      <c r="AV52" s="528">
        <v>0</v>
      </c>
      <c r="AW52" s="528">
        <v>0</v>
      </c>
      <c r="AX52" s="528">
        <v>0</v>
      </c>
      <c r="AY52" s="528">
        <v>0</v>
      </c>
      <c r="AZ52" s="528"/>
      <c r="BA52" s="528" t="s">
        <v>1145</v>
      </c>
      <c r="BB52" s="528"/>
      <c r="BC52" s="528" t="s">
        <v>1145</v>
      </c>
      <c r="BD52" s="528"/>
      <c r="BE52" s="528"/>
      <c r="BF52" s="529"/>
      <c r="BG52" s="525"/>
      <c r="BH52" s="528"/>
      <c r="BI52" s="528"/>
      <c r="BJ52" s="528" t="s">
        <v>1146</v>
      </c>
      <c r="BK52" s="528">
        <v>1</v>
      </c>
      <c r="BL52" s="525"/>
      <c r="BM52" s="567" t="s">
        <v>430</v>
      </c>
      <c r="BN52" s="525" t="s">
        <v>368</v>
      </c>
    </row>
    <row r="53" spans="1:66" ht="13" customHeight="1" x14ac:dyDescent="0.2">
      <c r="A53" s="525">
        <v>3342</v>
      </c>
      <c r="B53" s="565">
        <v>44755</v>
      </c>
      <c r="C53" s="526" t="s">
        <v>1138</v>
      </c>
      <c r="D53" s="525" t="s">
        <v>1110</v>
      </c>
      <c r="E53" s="527">
        <v>44593</v>
      </c>
      <c r="F53" s="525" t="s">
        <v>34</v>
      </c>
      <c r="G53" s="525" t="s">
        <v>1656</v>
      </c>
      <c r="H53" s="532">
        <v>73.163636363636357</v>
      </c>
      <c r="I53" s="394"/>
      <c r="J53" s="409"/>
      <c r="K53" s="332"/>
      <c r="L53" s="332"/>
      <c r="M53" s="332"/>
      <c r="N53" s="332"/>
      <c r="O53" s="532">
        <v>1.9636363636363636</v>
      </c>
      <c r="P53" s="406">
        <v>0</v>
      </c>
      <c r="Q53" s="406">
        <v>0</v>
      </c>
      <c r="R53" s="406">
        <v>0</v>
      </c>
      <c r="S53" s="406">
        <v>0</v>
      </c>
      <c r="T53" s="571"/>
      <c r="U53" s="532">
        <v>1.9636363636363636</v>
      </c>
      <c r="V53" s="406">
        <v>0</v>
      </c>
      <c r="W53" s="406">
        <v>0</v>
      </c>
      <c r="X53" s="406">
        <v>0</v>
      </c>
      <c r="Y53" s="406">
        <v>0</v>
      </c>
      <c r="Z53" s="571"/>
      <c r="AA53" s="571"/>
      <c r="AB53" s="571"/>
      <c r="AC53" s="571"/>
      <c r="AD53" s="571"/>
      <c r="AE53" s="571"/>
      <c r="AF53" s="571"/>
      <c r="AG53" s="333" t="s">
        <v>1145</v>
      </c>
      <c r="AH53" s="333"/>
      <c r="AI53" s="528">
        <v>3</v>
      </c>
      <c r="AJ53" s="528">
        <v>3</v>
      </c>
      <c r="AK53" s="480">
        <v>0.5</v>
      </c>
      <c r="AL53" s="480">
        <v>0.5</v>
      </c>
      <c r="AM53" s="525"/>
      <c r="AN53" s="528">
        <v>0</v>
      </c>
      <c r="AO53" s="528">
        <v>0</v>
      </c>
      <c r="AP53" s="528">
        <v>0</v>
      </c>
      <c r="AQ53" s="528">
        <v>0</v>
      </c>
      <c r="AR53" s="528">
        <v>0</v>
      </c>
      <c r="AS53" s="528">
        <v>0</v>
      </c>
      <c r="AT53" s="528">
        <v>0</v>
      </c>
      <c r="AU53" s="528">
        <v>0</v>
      </c>
      <c r="AV53" s="528">
        <v>0</v>
      </c>
      <c r="AW53" s="528">
        <v>0</v>
      </c>
      <c r="AX53" s="528">
        <v>0</v>
      </c>
      <c r="AY53" s="528">
        <v>0</v>
      </c>
      <c r="AZ53" s="528"/>
      <c r="BA53" s="528" t="s">
        <v>1145</v>
      </c>
      <c r="BB53" s="528"/>
      <c r="BC53" s="528" t="s">
        <v>1145</v>
      </c>
      <c r="BD53" s="528"/>
      <c r="BE53" s="528"/>
      <c r="BF53" s="528"/>
      <c r="BG53" s="529"/>
      <c r="BH53" s="525"/>
      <c r="BI53" s="528"/>
      <c r="BJ53" s="528" t="s">
        <v>411</v>
      </c>
      <c r="BK53" s="528"/>
      <c r="BL53" s="529" t="s">
        <v>1284</v>
      </c>
      <c r="BM53" s="569" t="s">
        <v>1673</v>
      </c>
      <c r="BN53" s="525" t="s">
        <v>368</v>
      </c>
    </row>
    <row r="54" spans="1:66" ht="13" customHeight="1" x14ac:dyDescent="0.2">
      <c r="A54" s="525">
        <v>2740</v>
      </c>
      <c r="B54" s="565">
        <v>44755</v>
      </c>
      <c r="C54" s="526" t="s">
        <v>1138</v>
      </c>
      <c r="D54" s="525" t="s">
        <v>1110</v>
      </c>
      <c r="E54" s="527">
        <v>44708</v>
      </c>
      <c r="F54" s="525" t="s">
        <v>1274</v>
      </c>
      <c r="G54" s="525" t="s">
        <v>1467</v>
      </c>
      <c r="H54" s="532">
        <v>72.999999999999986</v>
      </c>
      <c r="I54" s="394" t="s">
        <v>296</v>
      </c>
      <c r="J54" s="485">
        <v>1645</v>
      </c>
      <c r="K54" s="485">
        <v>3000</v>
      </c>
      <c r="L54" s="485">
        <v>3000</v>
      </c>
      <c r="M54" s="485">
        <v>3000</v>
      </c>
      <c r="N54" s="332"/>
      <c r="O54" s="532">
        <v>2.9272727272727272</v>
      </c>
      <c r="P54" s="532">
        <v>2.545454545454545</v>
      </c>
      <c r="Q54" s="406">
        <v>0</v>
      </c>
      <c r="R54" s="406">
        <v>0</v>
      </c>
      <c r="S54" s="532">
        <v>2.1818181818181817</v>
      </c>
      <c r="T54" s="571"/>
      <c r="U54" s="532">
        <v>2.9272727272727272</v>
      </c>
      <c r="V54" s="532">
        <v>2.545454545454545</v>
      </c>
      <c r="W54" s="406">
        <v>0</v>
      </c>
      <c r="X54" s="406">
        <v>0</v>
      </c>
      <c r="Y54" s="532">
        <v>2.1818181818181817</v>
      </c>
      <c r="Z54" s="571"/>
      <c r="AA54" s="571"/>
      <c r="AB54" s="571"/>
      <c r="AC54" s="571"/>
      <c r="AD54" s="571"/>
      <c r="AE54" s="571"/>
      <c r="AF54" s="571"/>
      <c r="AG54" s="333" t="s">
        <v>1145</v>
      </c>
      <c r="AH54" s="333"/>
      <c r="AI54" s="528">
        <v>3</v>
      </c>
      <c r="AJ54" s="528">
        <v>3</v>
      </c>
      <c r="AK54" s="480">
        <v>0.5</v>
      </c>
      <c r="AL54" s="480">
        <v>0.5</v>
      </c>
      <c r="AM54" s="525"/>
      <c r="AN54" s="528">
        <v>0</v>
      </c>
      <c r="AO54" s="528">
        <v>7</v>
      </c>
      <c r="AP54" s="528">
        <v>0</v>
      </c>
      <c r="AQ54" s="528">
        <v>3</v>
      </c>
      <c r="AR54" s="528">
        <v>0</v>
      </c>
      <c r="AS54" s="528">
        <v>0</v>
      </c>
      <c r="AT54" s="528">
        <v>0</v>
      </c>
      <c r="AU54" s="528">
        <v>0</v>
      </c>
      <c r="AV54" s="528">
        <v>0</v>
      </c>
      <c r="AW54" s="528">
        <v>0</v>
      </c>
      <c r="AX54" s="528">
        <v>0</v>
      </c>
      <c r="AY54" s="528">
        <v>0</v>
      </c>
      <c r="AZ54" s="528"/>
      <c r="BA54" s="528" t="s">
        <v>1145</v>
      </c>
      <c r="BB54" s="528"/>
      <c r="BC54" s="528" t="s">
        <v>1145</v>
      </c>
      <c r="BD54" s="528"/>
      <c r="BE54" s="528"/>
      <c r="BF54" s="528"/>
      <c r="BG54" s="529"/>
      <c r="BH54" s="525"/>
      <c r="BI54" s="528"/>
      <c r="BJ54" s="528" t="s">
        <v>1146</v>
      </c>
      <c r="BK54" s="528"/>
      <c r="BL54" s="529"/>
      <c r="BM54" s="567" t="s">
        <v>430</v>
      </c>
      <c r="BN54" s="525" t="s">
        <v>368</v>
      </c>
    </row>
    <row r="55" spans="1:66" ht="13" customHeight="1" x14ac:dyDescent="0.2">
      <c r="A55" s="525">
        <v>3563</v>
      </c>
      <c r="B55" s="565">
        <v>44755</v>
      </c>
      <c r="C55" s="526" t="s">
        <v>1138</v>
      </c>
      <c r="D55" s="525" t="s">
        <v>1110</v>
      </c>
      <c r="E55" s="570">
        <v>44562</v>
      </c>
      <c r="F55" s="525" t="s">
        <v>1291</v>
      </c>
      <c r="G55" s="525" t="s">
        <v>1658</v>
      </c>
      <c r="H55" s="532">
        <v>78.75454545454545</v>
      </c>
      <c r="I55" s="394"/>
      <c r="J55" s="409"/>
      <c r="K55" s="332"/>
      <c r="L55" s="332"/>
      <c r="M55" s="332"/>
      <c r="N55" s="332"/>
      <c r="O55" s="532">
        <v>2.0363636363636366</v>
      </c>
      <c r="P55" s="406">
        <v>0</v>
      </c>
      <c r="Q55" s="406">
        <v>0</v>
      </c>
      <c r="R55" s="406">
        <v>0</v>
      </c>
      <c r="S55" s="406">
        <v>0</v>
      </c>
      <c r="T55" s="571"/>
      <c r="U55" s="532">
        <v>2.0363636363636366</v>
      </c>
      <c r="V55" s="406">
        <v>0</v>
      </c>
      <c r="W55" s="406">
        <v>0</v>
      </c>
      <c r="X55" s="406">
        <v>0</v>
      </c>
      <c r="Y55" s="406">
        <v>0</v>
      </c>
      <c r="Z55" s="571"/>
      <c r="AA55" s="571"/>
      <c r="AB55" s="571"/>
      <c r="AC55" s="571"/>
      <c r="AD55" s="571"/>
      <c r="AE55" s="571"/>
      <c r="AF55" s="571"/>
      <c r="AG55" s="333" t="s">
        <v>1145</v>
      </c>
      <c r="AH55" s="333"/>
      <c r="AI55" s="528">
        <v>3</v>
      </c>
      <c r="AJ55" s="528">
        <v>3</v>
      </c>
      <c r="AK55" s="480">
        <v>0.5</v>
      </c>
      <c r="AL55" s="480">
        <v>0.5</v>
      </c>
      <c r="AM55" s="525"/>
      <c r="AN55" s="528">
        <v>0</v>
      </c>
      <c r="AO55" s="528">
        <v>0</v>
      </c>
      <c r="AP55" s="528">
        <v>0</v>
      </c>
      <c r="AQ55" s="528">
        <v>0</v>
      </c>
      <c r="AR55" s="528">
        <v>0</v>
      </c>
      <c r="AS55" s="528">
        <v>0</v>
      </c>
      <c r="AT55" s="528">
        <v>0</v>
      </c>
      <c r="AU55" s="528">
        <v>0</v>
      </c>
      <c r="AV55" s="528">
        <v>0</v>
      </c>
      <c r="AW55" s="528">
        <v>0</v>
      </c>
      <c r="AX55" s="528">
        <v>0</v>
      </c>
      <c r="AY55" s="528">
        <v>0</v>
      </c>
      <c r="AZ55" s="528"/>
      <c r="BA55" s="528" t="s">
        <v>1145</v>
      </c>
      <c r="BB55" s="528"/>
      <c r="BC55" s="528" t="s">
        <v>1145</v>
      </c>
      <c r="BD55" s="528"/>
      <c r="BE55" s="528"/>
      <c r="BF55" s="528"/>
      <c r="BG55" s="529"/>
      <c r="BH55" s="525"/>
      <c r="BI55" s="528"/>
      <c r="BJ55" s="528" t="s">
        <v>1146</v>
      </c>
      <c r="BK55" s="528"/>
      <c r="BL55" s="529" t="s">
        <v>1659</v>
      </c>
      <c r="BM55" s="569" t="s">
        <v>1674</v>
      </c>
      <c r="BN55" s="525" t="s">
        <v>1121</v>
      </c>
    </row>
    <row r="56" spans="1:66" ht="13" customHeight="1" x14ac:dyDescent="0.2">
      <c r="A56" s="525">
        <v>2931</v>
      </c>
      <c r="B56" s="565">
        <v>44755</v>
      </c>
      <c r="C56" s="526" t="s">
        <v>1138</v>
      </c>
      <c r="D56" s="525" t="s">
        <v>1110</v>
      </c>
      <c r="E56" s="527">
        <v>44743</v>
      </c>
      <c r="F56" s="525" t="s">
        <v>1483</v>
      </c>
      <c r="G56" s="525" t="s">
        <v>1550</v>
      </c>
      <c r="H56" s="532">
        <v>75</v>
      </c>
      <c r="I56" s="531" t="s">
        <v>296</v>
      </c>
      <c r="J56" s="485">
        <v>1645</v>
      </c>
      <c r="K56" s="485">
        <v>3000</v>
      </c>
      <c r="L56" s="485">
        <v>3000</v>
      </c>
      <c r="M56" s="485">
        <v>3000</v>
      </c>
      <c r="N56" s="332"/>
      <c r="O56" s="532">
        <v>2.2727272727272725</v>
      </c>
      <c r="P56" s="532">
        <v>2.1363636363636362</v>
      </c>
      <c r="Q56" s="406">
        <v>0</v>
      </c>
      <c r="R56" s="406">
        <v>0</v>
      </c>
      <c r="S56" s="532">
        <v>1.7636363636363634</v>
      </c>
      <c r="T56" s="571"/>
      <c r="U56" s="532">
        <v>2.2727272727272725</v>
      </c>
      <c r="V56" s="532">
        <v>2.1363636363636362</v>
      </c>
      <c r="W56" s="406">
        <v>0</v>
      </c>
      <c r="X56" s="406">
        <v>0</v>
      </c>
      <c r="Y56" s="532">
        <v>1.7636363636363634</v>
      </c>
      <c r="Z56" s="571"/>
      <c r="AA56" s="571"/>
      <c r="AB56" s="571"/>
      <c r="AC56" s="571"/>
      <c r="AD56" s="571"/>
      <c r="AE56" s="571"/>
      <c r="AF56" s="571"/>
      <c r="AG56" s="333" t="s">
        <v>1145</v>
      </c>
      <c r="AH56" s="333"/>
      <c r="AI56" s="528">
        <v>3</v>
      </c>
      <c r="AJ56" s="528">
        <v>3</v>
      </c>
      <c r="AK56" s="480">
        <v>0.5</v>
      </c>
      <c r="AL56" s="480">
        <v>0.5</v>
      </c>
      <c r="AM56" s="525"/>
      <c r="AN56" s="528">
        <v>0</v>
      </c>
      <c r="AO56" s="528">
        <v>0</v>
      </c>
      <c r="AP56" s="528">
        <v>0</v>
      </c>
      <c r="AQ56" s="528">
        <v>0</v>
      </c>
      <c r="AR56" s="528">
        <v>0</v>
      </c>
      <c r="AS56" s="528">
        <v>0</v>
      </c>
      <c r="AT56" s="528">
        <v>0</v>
      </c>
      <c r="AU56" s="528">
        <v>0</v>
      </c>
      <c r="AV56" s="528">
        <v>0</v>
      </c>
      <c r="AW56" s="528">
        <v>0</v>
      </c>
      <c r="AX56" s="528">
        <v>0</v>
      </c>
      <c r="AY56" s="528">
        <v>0</v>
      </c>
      <c r="AZ56" s="528"/>
      <c r="BA56" s="528" t="s">
        <v>1145</v>
      </c>
      <c r="BB56" s="528"/>
      <c r="BC56" s="528" t="s">
        <v>1145</v>
      </c>
      <c r="BD56" s="528"/>
      <c r="BE56" s="528">
        <v>12</v>
      </c>
      <c r="BF56" s="564"/>
      <c r="BG56" s="529"/>
      <c r="BH56" s="525"/>
      <c r="BI56" s="528"/>
      <c r="BJ56" s="528" t="s">
        <v>4</v>
      </c>
      <c r="BK56" s="528"/>
      <c r="BL56" s="529"/>
      <c r="BM56" s="569" t="s">
        <v>1675</v>
      </c>
      <c r="BN56" s="525" t="s">
        <v>408</v>
      </c>
    </row>
    <row r="57" spans="1:66" ht="13" customHeight="1" x14ac:dyDescent="0.2">
      <c r="A57" s="525">
        <v>3397</v>
      </c>
      <c r="B57" s="565">
        <v>44755</v>
      </c>
      <c r="C57" s="526" t="s">
        <v>1138</v>
      </c>
      <c r="D57" s="525" t="s">
        <v>1110</v>
      </c>
      <c r="E57" s="527">
        <v>44613</v>
      </c>
      <c r="F57" s="525" t="s">
        <v>1173</v>
      </c>
      <c r="G57" s="525" t="s">
        <v>1570</v>
      </c>
      <c r="H57" s="532">
        <v>67.999999999999986</v>
      </c>
      <c r="I57" s="531" t="s">
        <v>296</v>
      </c>
      <c r="J57" s="485">
        <v>1645</v>
      </c>
      <c r="K57" s="485">
        <v>3000</v>
      </c>
      <c r="L57" s="485">
        <v>3000</v>
      </c>
      <c r="M57" s="485">
        <v>3000</v>
      </c>
      <c r="N57" s="332"/>
      <c r="O57" s="532">
        <v>2.3909090909090907</v>
      </c>
      <c r="P57" s="532">
        <v>1.9363636363636361</v>
      </c>
      <c r="Q57" s="406">
        <v>0</v>
      </c>
      <c r="R57" s="406">
        <v>0</v>
      </c>
      <c r="S57" s="532">
        <v>1.6818181818181817</v>
      </c>
      <c r="T57" s="571"/>
      <c r="U57" s="532">
        <v>2.3909090909090907</v>
      </c>
      <c r="V57" s="532">
        <v>1.9363636363636361</v>
      </c>
      <c r="W57" s="406">
        <v>0</v>
      </c>
      <c r="X57" s="406">
        <v>0</v>
      </c>
      <c r="Y57" s="532">
        <v>1.6818181818181817</v>
      </c>
      <c r="Z57" s="571"/>
      <c r="AA57" s="571"/>
      <c r="AB57" s="571"/>
      <c r="AC57" s="571"/>
      <c r="AD57" s="571"/>
      <c r="AE57" s="571"/>
      <c r="AF57" s="571"/>
      <c r="AG57" s="333" t="s">
        <v>1145</v>
      </c>
      <c r="AH57" s="333"/>
      <c r="AI57" s="528">
        <v>3</v>
      </c>
      <c r="AJ57" s="528">
        <v>3</v>
      </c>
      <c r="AK57" s="480">
        <v>0.5</v>
      </c>
      <c r="AL57" s="480">
        <v>0.5</v>
      </c>
      <c r="AM57" s="525"/>
      <c r="AN57" s="528">
        <v>0</v>
      </c>
      <c r="AO57" s="528">
        <v>0</v>
      </c>
      <c r="AP57" s="528">
        <v>0</v>
      </c>
      <c r="AQ57" s="528">
        <v>0</v>
      </c>
      <c r="AR57" s="528">
        <v>0</v>
      </c>
      <c r="AS57" s="528">
        <v>0</v>
      </c>
      <c r="AT57" s="528">
        <v>0</v>
      </c>
      <c r="AU57" s="528">
        <v>0</v>
      </c>
      <c r="AV57" s="528">
        <v>0</v>
      </c>
      <c r="AW57" s="528">
        <v>0</v>
      </c>
      <c r="AX57" s="528">
        <v>0</v>
      </c>
      <c r="AY57" s="528">
        <v>0</v>
      </c>
      <c r="AZ57" s="528"/>
      <c r="BA57" s="528" t="s">
        <v>1145</v>
      </c>
      <c r="BB57" s="528"/>
      <c r="BC57" s="528" t="s">
        <v>1145</v>
      </c>
      <c r="BD57" s="528"/>
      <c r="BE57" s="528"/>
      <c r="BF57" s="564"/>
      <c r="BG57" s="529"/>
      <c r="BH57" s="525"/>
      <c r="BI57" s="528"/>
      <c r="BJ57" s="528" t="s">
        <v>411</v>
      </c>
      <c r="BK57" s="528"/>
      <c r="BL57" s="529"/>
      <c r="BM57" s="569" t="s">
        <v>430</v>
      </c>
      <c r="BN57" s="525" t="s">
        <v>368</v>
      </c>
    </row>
    <row r="58" spans="1:66" ht="13" customHeight="1" x14ac:dyDescent="0.2">
      <c r="A58" s="525">
        <v>3150</v>
      </c>
      <c r="B58" s="565">
        <v>44755</v>
      </c>
      <c r="C58" s="526" t="s">
        <v>295</v>
      </c>
      <c r="D58" s="525" t="s">
        <v>1111</v>
      </c>
      <c r="E58" s="527">
        <v>44691</v>
      </c>
      <c r="F58" s="529" t="s">
        <v>1044</v>
      </c>
      <c r="G58" s="525" t="s">
        <v>1646</v>
      </c>
      <c r="H58" s="532">
        <v>81.199999999999989</v>
      </c>
      <c r="I58" s="531" t="s">
        <v>296</v>
      </c>
      <c r="J58" s="485">
        <v>1645</v>
      </c>
      <c r="K58" s="485">
        <v>3000</v>
      </c>
      <c r="L58" s="485">
        <v>3000</v>
      </c>
      <c r="M58" s="485">
        <v>3000</v>
      </c>
      <c r="N58" s="525"/>
      <c r="O58" s="532">
        <v>2.3909090909090907</v>
      </c>
      <c r="P58" s="532">
        <v>2.1727272727272728</v>
      </c>
      <c r="Q58" s="406">
        <v>0</v>
      </c>
      <c r="R58" s="406">
        <v>0</v>
      </c>
      <c r="S58" s="532">
        <v>1.6272727272727272</v>
      </c>
      <c r="T58" s="533"/>
      <c r="U58" s="532">
        <v>2.3909090909090907</v>
      </c>
      <c r="V58" s="532">
        <v>2.1727272727272728</v>
      </c>
      <c r="W58" s="406">
        <v>0</v>
      </c>
      <c r="X58" s="406">
        <v>0</v>
      </c>
      <c r="Y58" s="532">
        <v>1.6272727272727272</v>
      </c>
      <c r="Z58" s="533"/>
      <c r="AA58" s="533"/>
      <c r="AB58" s="533"/>
      <c r="AC58" s="533"/>
      <c r="AD58" s="533"/>
      <c r="AE58" s="533"/>
      <c r="AF58" s="533"/>
      <c r="AG58" s="528" t="s">
        <v>1145</v>
      </c>
      <c r="AH58" s="528"/>
      <c r="AI58" s="528">
        <v>3</v>
      </c>
      <c r="AJ58" s="528">
        <v>3</v>
      </c>
      <c r="AK58" s="480">
        <v>0.5</v>
      </c>
      <c r="AL58" s="480">
        <v>0.5</v>
      </c>
      <c r="AM58" s="525"/>
      <c r="AN58" s="528">
        <v>0</v>
      </c>
      <c r="AO58" s="528">
        <v>0</v>
      </c>
      <c r="AP58" s="528">
        <v>0</v>
      </c>
      <c r="AQ58" s="528">
        <v>0</v>
      </c>
      <c r="AR58" s="528">
        <v>0</v>
      </c>
      <c r="AS58" s="528">
        <v>0</v>
      </c>
      <c r="AT58" s="528">
        <v>0</v>
      </c>
      <c r="AU58" s="528">
        <v>0</v>
      </c>
      <c r="AV58" s="528">
        <v>0</v>
      </c>
      <c r="AW58" s="528">
        <v>0</v>
      </c>
      <c r="AX58" s="528">
        <v>0</v>
      </c>
      <c r="AY58" s="528">
        <v>0</v>
      </c>
      <c r="AZ58" s="528"/>
      <c r="BA58" s="528" t="s">
        <v>1145</v>
      </c>
      <c r="BB58" s="528"/>
      <c r="BC58" s="528" t="s">
        <v>1145</v>
      </c>
      <c r="BD58" s="528"/>
      <c r="BE58" s="528"/>
      <c r="BF58" s="528"/>
      <c r="BG58" s="597"/>
      <c r="BH58" s="598"/>
      <c r="BI58" s="566"/>
      <c r="BJ58" s="528" t="s">
        <v>1146</v>
      </c>
      <c r="BK58" s="528"/>
      <c r="BL58" s="529" t="s">
        <v>1647</v>
      </c>
      <c r="BM58" s="567" t="s">
        <v>1669</v>
      </c>
      <c r="BN58" s="525" t="s">
        <v>408</v>
      </c>
    </row>
    <row r="59" spans="1:66" ht="13" customHeight="1" x14ac:dyDescent="0.2">
      <c r="A59" s="525"/>
      <c r="B59" s="599">
        <v>44782</v>
      </c>
      <c r="C59" s="526" t="s">
        <v>1138</v>
      </c>
      <c r="D59" s="525" t="s">
        <v>1111</v>
      </c>
      <c r="E59" s="527">
        <v>44774</v>
      </c>
      <c r="F59" s="529" t="s">
        <v>1148</v>
      </c>
      <c r="G59" s="525" t="s">
        <v>1280</v>
      </c>
      <c r="H59" s="532">
        <v>61.109090909090902</v>
      </c>
      <c r="I59" s="531" t="s">
        <v>296</v>
      </c>
      <c r="J59" s="485">
        <v>1645</v>
      </c>
      <c r="K59" s="485">
        <v>3000</v>
      </c>
      <c r="L59" s="485">
        <v>3000</v>
      </c>
      <c r="M59" s="485">
        <v>3000</v>
      </c>
      <c r="N59" s="525"/>
      <c r="O59" s="532">
        <v>2.8909090909090907</v>
      </c>
      <c r="P59" s="532">
        <v>2.5181818181818181</v>
      </c>
      <c r="Q59" s="406">
        <v>0</v>
      </c>
      <c r="R59" s="406">
        <v>0</v>
      </c>
      <c r="S59" s="532">
        <v>1.9636363636363636</v>
      </c>
      <c r="T59" s="533"/>
      <c r="U59" s="532">
        <v>2.8909090909090907</v>
      </c>
      <c r="V59" s="532">
        <v>2.5181818181818181</v>
      </c>
      <c r="W59" s="406">
        <v>0</v>
      </c>
      <c r="X59" s="406">
        <v>0</v>
      </c>
      <c r="Y59" s="532">
        <v>1.9636363636363636</v>
      </c>
      <c r="Z59" s="533"/>
      <c r="AA59" s="533"/>
      <c r="AB59" s="533"/>
      <c r="AC59" s="533"/>
      <c r="AD59" s="533"/>
      <c r="AE59" s="533"/>
      <c r="AF59" s="533"/>
      <c r="AG59" s="528" t="s">
        <v>1145</v>
      </c>
      <c r="AH59" s="528"/>
      <c r="AI59" s="528">
        <v>3</v>
      </c>
      <c r="AJ59" s="528">
        <v>3</v>
      </c>
      <c r="AK59" s="480">
        <v>0.5</v>
      </c>
      <c r="AL59" s="480">
        <v>0.5</v>
      </c>
      <c r="AM59" s="525"/>
      <c r="AN59" s="528">
        <v>0</v>
      </c>
      <c r="AO59" s="528">
        <v>0</v>
      </c>
      <c r="AP59" s="528">
        <v>0</v>
      </c>
      <c r="AQ59" s="528">
        <v>0</v>
      </c>
      <c r="AR59" s="528">
        <v>0</v>
      </c>
      <c r="AS59" s="528">
        <v>0</v>
      </c>
      <c r="AT59" s="528">
        <v>0</v>
      </c>
      <c r="AU59" s="528">
        <v>0</v>
      </c>
      <c r="AV59" s="528">
        <v>0</v>
      </c>
      <c r="AW59" s="528">
        <v>0</v>
      </c>
      <c r="AX59" s="528">
        <v>0</v>
      </c>
      <c r="AY59" s="528">
        <v>0</v>
      </c>
      <c r="AZ59" s="528"/>
      <c r="BA59" s="528" t="s">
        <v>1145</v>
      </c>
      <c r="BB59" s="528"/>
      <c r="BC59" s="528" t="s">
        <v>1145</v>
      </c>
      <c r="BD59" s="528"/>
      <c r="BE59" s="528"/>
      <c r="BF59" s="528"/>
      <c r="BG59" s="529"/>
      <c r="BH59" s="525"/>
      <c r="BI59" s="528"/>
      <c r="BJ59" s="528" t="s">
        <v>4</v>
      </c>
      <c r="BK59" s="528"/>
      <c r="BL59" s="529"/>
      <c r="BM59" s="569" t="s">
        <v>430</v>
      </c>
      <c r="BN59" s="525" t="s">
        <v>1121</v>
      </c>
    </row>
    <row r="60" spans="1:66" ht="13" customHeight="1" x14ac:dyDescent="0.2">
      <c r="A60" s="525">
        <v>2555</v>
      </c>
      <c r="B60" s="565">
        <v>44755</v>
      </c>
      <c r="C60" s="526" t="s">
        <v>1138</v>
      </c>
      <c r="D60" s="525" t="s">
        <v>1111</v>
      </c>
      <c r="E60" s="527">
        <v>44720</v>
      </c>
      <c r="F60" s="525" t="s">
        <v>1052</v>
      </c>
      <c r="G60" s="525" t="s">
        <v>1181</v>
      </c>
      <c r="H60" s="532">
        <v>56.809090909090905</v>
      </c>
      <c r="I60" s="531" t="s">
        <v>296</v>
      </c>
      <c r="J60" s="485">
        <v>1645</v>
      </c>
      <c r="K60" s="485">
        <v>3000</v>
      </c>
      <c r="L60" s="485">
        <v>3000</v>
      </c>
      <c r="M60" s="485">
        <v>3000</v>
      </c>
      <c r="N60" s="332"/>
      <c r="O60" s="532">
        <v>3.1090909090909089</v>
      </c>
      <c r="P60" s="532">
        <v>2.4727272727272727</v>
      </c>
      <c r="Q60" s="406">
        <v>0</v>
      </c>
      <c r="R60" s="406">
        <v>0</v>
      </c>
      <c r="S60" s="532">
        <v>1.9909090909090907</v>
      </c>
      <c r="T60" s="571"/>
      <c r="U60" s="532">
        <v>3.1090909090909089</v>
      </c>
      <c r="V60" s="532">
        <v>2.4727272727272727</v>
      </c>
      <c r="W60" s="406">
        <v>0</v>
      </c>
      <c r="X60" s="406">
        <v>0</v>
      </c>
      <c r="Y60" s="532">
        <v>1.9909090909090907</v>
      </c>
      <c r="Z60" s="571"/>
      <c r="AA60" s="571"/>
      <c r="AB60" s="571"/>
      <c r="AC60" s="571"/>
      <c r="AD60" s="571"/>
      <c r="AE60" s="571"/>
      <c r="AF60" s="571"/>
      <c r="AG60" s="528" t="s">
        <v>1143</v>
      </c>
      <c r="AH60" s="528" t="s">
        <v>1144</v>
      </c>
      <c r="AI60" s="528">
        <v>2</v>
      </c>
      <c r="AJ60" s="528">
        <v>4</v>
      </c>
      <c r="AK60" s="483">
        <v>0.33329999999999999</v>
      </c>
      <c r="AL60" s="483">
        <v>0.66659999999999997</v>
      </c>
      <c r="AM60" s="525" t="s">
        <v>1124</v>
      </c>
      <c r="AN60" s="528">
        <v>0</v>
      </c>
      <c r="AO60" s="528">
        <v>0</v>
      </c>
      <c r="AP60" s="528">
        <v>0</v>
      </c>
      <c r="AQ60" s="528">
        <v>0</v>
      </c>
      <c r="AR60" s="528">
        <v>0</v>
      </c>
      <c r="AS60" s="528">
        <v>0</v>
      </c>
      <c r="AT60" s="528">
        <v>0</v>
      </c>
      <c r="AU60" s="528">
        <v>0</v>
      </c>
      <c r="AV60" s="528">
        <v>0</v>
      </c>
      <c r="AW60" s="528">
        <v>0</v>
      </c>
      <c r="AX60" s="528">
        <v>0</v>
      </c>
      <c r="AY60" s="528">
        <v>0</v>
      </c>
      <c r="AZ60" s="528"/>
      <c r="BA60" s="528" t="s">
        <v>1145</v>
      </c>
      <c r="BB60" s="528"/>
      <c r="BC60" s="528" t="s">
        <v>1145</v>
      </c>
      <c r="BD60" s="528"/>
      <c r="BE60" s="528"/>
      <c r="BF60" s="528"/>
      <c r="BG60" s="529"/>
      <c r="BH60" s="525"/>
      <c r="BI60" s="528"/>
      <c r="BJ60" s="528" t="s">
        <v>4</v>
      </c>
      <c r="BK60" s="528"/>
      <c r="BL60" s="529"/>
      <c r="BM60" s="567" t="s">
        <v>1214</v>
      </c>
      <c r="BN60" s="525" t="s">
        <v>408</v>
      </c>
    </row>
    <row r="61" spans="1:66" ht="13" customHeight="1" x14ac:dyDescent="0.2">
      <c r="A61" s="525">
        <v>3523</v>
      </c>
      <c r="B61" s="565">
        <v>44755</v>
      </c>
      <c r="C61" s="526" t="s">
        <v>1138</v>
      </c>
      <c r="D61" s="525" t="s">
        <v>1111</v>
      </c>
      <c r="E61" s="527">
        <v>44734</v>
      </c>
      <c r="F61" s="529" t="s">
        <v>1156</v>
      </c>
      <c r="G61" s="525" t="s">
        <v>1649</v>
      </c>
      <c r="H61" s="532">
        <v>87.199999999999989</v>
      </c>
      <c r="I61" s="531" t="s">
        <v>296</v>
      </c>
      <c r="J61" s="485">
        <v>1645</v>
      </c>
      <c r="K61" s="485">
        <v>3000</v>
      </c>
      <c r="L61" s="485">
        <v>3000</v>
      </c>
      <c r="M61" s="485">
        <v>3000</v>
      </c>
      <c r="N61" s="525"/>
      <c r="O61" s="532">
        <v>3.4818181818181815</v>
      </c>
      <c r="P61" s="532">
        <v>2.6363636363636362</v>
      </c>
      <c r="Q61" s="406">
        <v>0</v>
      </c>
      <c r="R61" s="406">
        <v>0</v>
      </c>
      <c r="S61" s="532">
        <v>2.1999999999999997</v>
      </c>
      <c r="T61" s="533"/>
      <c r="U61" s="532">
        <v>3.4818181818181815</v>
      </c>
      <c r="V61" s="532">
        <v>2.6363636363636362</v>
      </c>
      <c r="W61" s="406">
        <v>0</v>
      </c>
      <c r="X61" s="406">
        <v>0</v>
      </c>
      <c r="Y61" s="532">
        <v>2.1999999999999997</v>
      </c>
      <c r="Z61" s="533"/>
      <c r="AA61" s="533"/>
      <c r="AB61" s="533"/>
      <c r="AC61" s="533"/>
      <c r="AD61" s="533"/>
      <c r="AE61" s="533"/>
      <c r="AF61" s="533"/>
      <c r="AG61" s="528" t="s">
        <v>1145</v>
      </c>
      <c r="AH61" s="528"/>
      <c r="AI61" s="528">
        <v>3</v>
      </c>
      <c r="AJ61" s="528">
        <v>3</v>
      </c>
      <c r="AK61" s="480">
        <v>0.5</v>
      </c>
      <c r="AL61" s="480">
        <v>0.5</v>
      </c>
      <c r="AM61" s="525"/>
      <c r="AN61" s="528">
        <v>8</v>
      </c>
      <c r="AO61" s="528">
        <v>0</v>
      </c>
      <c r="AP61" s="528">
        <v>0</v>
      </c>
      <c r="AQ61" s="528">
        <v>0</v>
      </c>
      <c r="AR61" s="528">
        <v>0</v>
      </c>
      <c r="AS61" s="528">
        <v>0</v>
      </c>
      <c r="AT61" s="528">
        <v>0</v>
      </c>
      <c r="AU61" s="528">
        <v>0</v>
      </c>
      <c r="AV61" s="528">
        <v>0</v>
      </c>
      <c r="AW61" s="528">
        <v>0</v>
      </c>
      <c r="AX61" s="528">
        <v>0</v>
      </c>
      <c r="AY61" s="528">
        <v>0</v>
      </c>
      <c r="AZ61" s="566">
        <v>12</v>
      </c>
      <c r="BA61" s="528" t="s">
        <v>1145</v>
      </c>
      <c r="BB61" s="528"/>
      <c r="BC61" s="528" t="s">
        <v>1145</v>
      </c>
      <c r="BD61" s="528"/>
      <c r="BE61" s="528"/>
      <c r="BF61" s="528"/>
      <c r="BG61" s="529" t="s">
        <v>1622</v>
      </c>
      <c r="BH61" s="525" t="s">
        <v>365</v>
      </c>
      <c r="BI61" s="528">
        <v>25</v>
      </c>
      <c r="BJ61" s="528" t="s">
        <v>1146</v>
      </c>
      <c r="BK61" s="528"/>
      <c r="BL61" s="529" t="s">
        <v>1623</v>
      </c>
      <c r="BM61" s="525" t="s">
        <v>1676</v>
      </c>
      <c r="BN61" s="525" t="s">
        <v>408</v>
      </c>
    </row>
    <row r="62" spans="1:66" ht="13" customHeight="1" x14ac:dyDescent="0.2">
      <c r="A62" s="525">
        <v>2869</v>
      </c>
      <c r="B62" s="565">
        <v>44756</v>
      </c>
      <c r="C62" s="526" t="s">
        <v>1138</v>
      </c>
      <c r="D62" s="525" t="s">
        <v>1111</v>
      </c>
      <c r="E62" s="527">
        <v>44753</v>
      </c>
      <c r="F62" s="529" t="s">
        <v>1159</v>
      </c>
      <c r="G62" s="525" t="s">
        <v>1105</v>
      </c>
      <c r="H62" s="532">
        <v>73.75454545454545</v>
      </c>
      <c r="I62" s="531" t="s">
        <v>296</v>
      </c>
      <c r="J62" s="485">
        <v>1645</v>
      </c>
      <c r="K62" s="485">
        <v>3000</v>
      </c>
      <c r="L62" s="485">
        <v>3000</v>
      </c>
      <c r="M62" s="485">
        <v>3000</v>
      </c>
      <c r="N62" s="525"/>
      <c r="O62" s="532">
        <v>2.0818181818181816</v>
      </c>
      <c r="P62" s="532">
        <v>1.9818181818181817</v>
      </c>
      <c r="Q62" s="406">
        <v>0</v>
      </c>
      <c r="R62" s="406">
        <v>0</v>
      </c>
      <c r="S62" s="532">
        <v>1.8454545454545452</v>
      </c>
      <c r="T62" s="533"/>
      <c r="U62" s="532">
        <v>2.0818181818181816</v>
      </c>
      <c r="V62" s="532">
        <v>1.9818181818181817</v>
      </c>
      <c r="W62" s="406">
        <v>0</v>
      </c>
      <c r="X62" s="406">
        <v>0</v>
      </c>
      <c r="Y62" s="532">
        <v>1.8454545454545452</v>
      </c>
      <c r="Z62" s="533"/>
      <c r="AA62" s="533"/>
      <c r="AB62" s="533"/>
      <c r="AC62" s="533"/>
      <c r="AD62" s="533"/>
      <c r="AE62" s="533"/>
      <c r="AF62" s="533"/>
      <c r="AG62" s="528" t="s">
        <v>1278</v>
      </c>
      <c r="AH62" s="528"/>
      <c r="AI62" s="528">
        <v>3</v>
      </c>
      <c r="AJ62" s="528">
        <v>3</v>
      </c>
      <c r="AK62" s="480">
        <v>0.5</v>
      </c>
      <c r="AL62" s="480">
        <v>0.5</v>
      </c>
      <c r="AM62" s="525"/>
      <c r="AN62" s="528">
        <v>0</v>
      </c>
      <c r="AO62" s="528">
        <v>0</v>
      </c>
      <c r="AP62" s="528">
        <v>0</v>
      </c>
      <c r="AQ62" s="528">
        <v>0</v>
      </c>
      <c r="AR62" s="528">
        <v>0</v>
      </c>
      <c r="AS62" s="528">
        <v>0</v>
      </c>
      <c r="AT62" s="528">
        <v>0</v>
      </c>
      <c r="AU62" s="528">
        <v>0</v>
      </c>
      <c r="AV62" s="528">
        <v>0</v>
      </c>
      <c r="AW62" s="528">
        <v>0</v>
      </c>
      <c r="AX62" s="528">
        <v>0</v>
      </c>
      <c r="AY62" s="528">
        <v>0</v>
      </c>
      <c r="AZ62" s="528"/>
      <c r="BA62" s="528" t="s">
        <v>1145</v>
      </c>
      <c r="BB62" s="528"/>
      <c r="BC62" s="528" t="s">
        <v>1145</v>
      </c>
      <c r="BD62" s="528"/>
      <c r="BE62" s="528"/>
      <c r="BF62" s="564">
        <v>45230</v>
      </c>
      <c r="BG62" s="529"/>
      <c r="BH62" s="525"/>
      <c r="BI62" s="528"/>
      <c r="BJ62" s="528" t="s">
        <v>1146</v>
      </c>
      <c r="BK62" s="528"/>
      <c r="BL62" s="529"/>
      <c r="BM62" s="529" t="s">
        <v>430</v>
      </c>
      <c r="BN62" s="525" t="s">
        <v>408</v>
      </c>
    </row>
    <row r="63" spans="1:66" ht="13" customHeight="1" x14ac:dyDescent="0.2">
      <c r="A63" s="525">
        <v>3369</v>
      </c>
      <c r="B63" s="565">
        <v>44755</v>
      </c>
      <c r="C63" s="526" t="s">
        <v>1138</v>
      </c>
      <c r="D63" s="525" t="s">
        <v>1111</v>
      </c>
      <c r="E63" s="527">
        <v>44743</v>
      </c>
      <c r="F63" s="529" t="s">
        <v>1166</v>
      </c>
      <c r="G63" s="525" t="s">
        <v>1651</v>
      </c>
      <c r="H63" s="532">
        <v>69.909090909090907</v>
      </c>
      <c r="I63" s="531" t="s">
        <v>296</v>
      </c>
      <c r="J63" s="568">
        <v>6000</v>
      </c>
      <c r="K63" s="568">
        <v>12000</v>
      </c>
      <c r="L63" s="568">
        <v>12000</v>
      </c>
      <c r="M63" s="568">
        <v>12000</v>
      </c>
      <c r="N63" s="525"/>
      <c r="O63" s="532">
        <v>2.3636363636363633</v>
      </c>
      <c r="P63" s="532">
        <v>2.2545454545454544</v>
      </c>
      <c r="Q63" s="406">
        <v>0</v>
      </c>
      <c r="R63" s="406">
        <v>0</v>
      </c>
      <c r="S63" s="532">
        <v>1.9545454545454544</v>
      </c>
      <c r="T63" s="533"/>
      <c r="U63" s="532">
        <v>2.3636363636363633</v>
      </c>
      <c r="V63" s="532">
        <v>2.2545454545454544</v>
      </c>
      <c r="W63" s="406">
        <v>0</v>
      </c>
      <c r="X63" s="406">
        <v>0</v>
      </c>
      <c r="Y63" s="532">
        <v>1.9545454545454544</v>
      </c>
      <c r="Z63" s="533"/>
      <c r="AA63" s="533"/>
      <c r="AB63" s="533"/>
      <c r="AC63" s="533"/>
      <c r="AD63" s="533"/>
      <c r="AE63" s="533"/>
      <c r="AF63" s="533"/>
      <c r="AG63" s="528" t="s">
        <v>1145</v>
      </c>
      <c r="AH63" s="528"/>
      <c r="AI63" s="528">
        <v>3</v>
      </c>
      <c r="AJ63" s="528">
        <v>3</v>
      </c>
      <c r="AK63" s="480">
        <v>0.5</v>
      </c>
      <c r="AL63" s="480">
        <v>0.5</v>
      </c>
      <c r="AM63" s="525"/>
      <c r="AN63" s="528">
        <v>0</v>
      </c>
      <c r="AO63" s="528">
        <v>0</v>
      </c>
      <c r="AP63" s="528">
        <v>0</v>
      </c>
      <c r="AQ63" s="528">
        <v>0</v>
      </c>
      <c r="AR63" s="528">
        <v>0</v>
      </c>
      <c r="AS63" s="528">
        <v>0</v>
      </c>
      <c r="AT63" s="528">
        <v>0</v>
      </c>
      <c r="AU63" s="528">
        <v>0</v>
      </c>
      <c r="AV63" s="528">
        <v>0</v>
      </c>
      <c r="AW63" s="528">
        <v>0</v>
      </c>
      <c r="AX63" s="528">
        <v>0</v>
      </c>
      <c r="AY63" s="528">
        <v>0</v>
      </c>
      <c r="AZ63" s="528"/>
      <c r="BA63" s="528" t="s">
        <v>1145</v>
      </c>
      <c r="BB63" s="528">
        <v>12</v>
      </c>
      <c r="BC63" s="528" t="s">
        <v>1145</v>
      </c>
      <c r="BD63" s="528"/>
      <c r="BE63" s="528"/>
      <c r="BF63" s="528"/>
      <c r="BG63" s="529"/>
      <c r="BH63" s="525"/>
      <c r="BI63" s="600"/>
      <c r="BJ63" s="528" t="s">
        <v>1146</v>
      </c>
      <c r="BK63" s="528"/>
      <c r="BL63" s="529"/>
      <c r="BM63" s="525" t="s">
        <v>1671</v>
      </c>
      <c r="BN63" s="525" t="s">
        <v>408</v>
      </c>
    </row>
    <row r="64" spans="1:66" ht="13" customHeight="1" x14ac:dyDescent="0.2">
      <c r="A64" s="525">
        <v>2397</v>
      </c>
      <c r="B64" s="565">
        <v>44756</v>
      </c>
      <c r="C64" s="526" t="s">
        <v>1138</v>
      </c>
      <c r="D64" s="525" t="s">
        <v>1111</v>
      </c>
      <c r="E64" s="570">
        <v>44651</v>
      </c>
      <c r="F64" s="529" t="s">
        <v>1168</v>
      </c>
      <c r="G64" s="525" t="s">
        <v>1297</v>
      </c>
      <c r="H64" s="532">
        <v>73.75454545454545</v>
      </c>
      <c r="I64" s="531" t="s">
        <v>296</v>
      </c>
      <c r="J64" s="485">
        <v>1645</v>
      </c>
      <c r="K64" s="485">
        <v>3000</v>
      </c>
      <c r="L64" s="485">
        <v>3000</v>
      </c>
      <c r="M64" s="485">
        <v>3000</v>
      </c>
      <c r="N64" s="525"/>
      <c r="O64" s="532">
        <v>2.2363636363636363</v>
      </c>
      <c r="P64" s="532">
        <v>2.127272727272727</v>
      </c>
      <c r="Q64" s="406">
        <v>0</v>
      </c>
      <c r="R64" s="406">
        <v>0</v>
      </c>
      <c r="S64" s="532">
        <v>1.7454545454545451</v>
      </c>
      <c r="T64" s="533"/>
      <c r="U64" s="532">
        <v>2.2363636363636363</v>
      </c>
      <c r="V64" s="532">
        <v>2.127272727272727</v>
      </c>
      <c r="W64" s="406">
        <v>0</v>
      </c>
      <c r="X64" s="406">
        <v>0</v>
      </c>
      <c r="Y64" s="532">
        <v>1.7454545454545451</v>
      </c>
      <c r="Z64" s="533"/>
      <c r="AA64" s="533"/>
      <c r="AB64" s="533"/>
      <c r="AC64" s="533"/>
      <c r="AD64" s="533"/>
      <c r="AE64" s="533"/>
      <c r="AF64" s="533"/>
      <c r="AG64" s="528" t="s">
        <v>1145</v>
      </c>
      <c r="AH64" s="528"/>
      <c r="AI64" s="528">
        <v>3</v>
      </c>
      <c r="AJ64" s="528">
        <v>3</v>
      </c>
      <c r="AK64" s="480">
        <v>0.5</v>
      </c>
      <c r="AL64" s="480">
        <v>0.5</v>
      </c>
      <c r="AM64" s="525"/>
      <c r="AN64" s="528">
        <v>0</v>
      </c>
      <c r="AO64" s="528">
        <v>0</v>
      </c>
      <c r="AP64" s="528">
        <v>0</v>
      </c>
      <c r="AQ64" s="528">
        <v>0</v>
      </c>
      <c r="AR64" s="528">
        <v>0</v>
      </c>
      <c r="AS64" s="528">
        <v>0</v>
      </c>
      <c r="AT64" s="528">
        <v>0</v>
      </c>
      <c r="AU64" s="528">
        <v>0</v>
      </c>
      <c r="AV64" s="528">
        <v>0</v>
      </c>
      <c r="AW64" s="528">
        <v>0</v>
      </c>
      <c r="AX64" s="528">
        <v>0</v>
      </c>
      <c r="AY64" s="528">
        <v>0</v>
      </c>
      <c r="AZ64" s="528"/>
      <c r="BA64" s="528" t="s">
        <v>1145</v>
      </c>
      <c r="BB64" s="528"/>
      <c r="BC64" s="528" t="s">
        <v>1145</v>
      </c>
      <c r="BD64" s="528"/>
      <c r="BE64" s="528"/>
      <c r="BF64" s="528"/>
      <c r="BG64" s="529"/>
      <c r="BH64" s="525"/>
      <c r="BI64" s="528"/>
      <c r="BJ64" s="528" t="s">
        <v>1146</v>
      </c>
      <c r="BK64" s="528"/>
      <c r="BL64" s="529"/>
      <c r="BM64" s="567" t="s">
        <v>1677</v>
      </c>
      <c r="BN64" s="525" t="s">
        <v>368</v>
      </c>
    </row>
    <row r="65" spans="1:66" ht="13" customHeight="1" x14ac:dyDescent="0.2">
      <c r="A65" s="525">
        <v>3559</v>
      </c>
      <c r="B65" s="565">
        <v>44755</v>
      </c>
      <c r="C65" s="526" t="s">
        <v>1138</v>
      </c>
      <c r="D65" s="525" t="s">
        <v>1111</v>
      </c>
      <c r="E65" s="527">
        <v>44743</v>
      </c>
      <c r="F65" s="529" t="s">
        <v>1169</v>
      </c>
      <c r="G65" s="525" t="s">
        <v>1654</v>
      </c>
      <c r="H65" s="532">
        <v>77.172727272727272</v>
      </c>
      <c r="I65" s="531" t="s">
        <v>296</v>
      </c>
      <c r="J65" s="485">
        <v>1645</v>
      </c>
      <c r="K65" s="485">
        <v>3000</v>
      </c>
      <c r="L65" s="485">
        <v>3000</v>
      </c>
      <c r="M65" s="485">
        <v>3000</v>
      </c>
      <c r="N65" s="525"/>
      <c r="O65" s="532">
        <v>3.6545454545454539</v>
      </c>
      <c r="P65" s="532">
        <v>3.0727272727272723</v>
      </c>
      <c r="Q65" s="406">
        <v>0</v>
      </c>
      <c r="R65" s="406">
        <v>0</v>
      </c>
      <c r="S65" s="532">
        <v>2.5727272727272728</v>
      </c>
      <c r="T65" s="533"/>
      <c r="U65" s="532">
        <v>3.6545454545454539</v>
      </c>
      <c r="V65" s="532">
        <v>3.0727272727272723</v>
      </c>
      <c r="W65" s="406">
        <v>0</v>
      </c>
      <c r="X65" s="406">
        <v>0</v>
      </c>
      <c r="Y65" s="532">
        <v>2.5727272727272728</v>
      </c>
      <c r="Z65" s="533"/>
      <c r="AA65" s="533"/>
      <c r="AB65" s="533"/>
      <c r="AC65" s="533"/>
      <c r="AD65" s="533"/>
      <c r="AE65" s="533"/>
      <c r="AF65" s="533"/>
      <c r="AG65" s="528" t="s">
        <v>1145</v>
      </c>
      <c r="AH65" s="528"/>
      <c r="AI65" s="528">
        <v>3</v>
      </c>
      <c r="AJ65" s="528">
        <v>3</v>
      </c>
      <c r="AK65" s="480">
        <v>0.5</v>
      </c>
      <c r="AL65" s="480">
        <v>0.5</v>
      </c>
      <c r="AM65" s="525"/>
      <c r="AN65" s="528">
        <v>0</v>
      </c>
      <c r="AO65" s="528">
        <v>0</v>
      </c>
      <c r="AP65" s="528">
        <v>0</v>
      </c>
      <c r="AQ65" s="528">
        <v>0</v>
      </c>
      <c r="AR65" s="528">
        <v>0</v>
      </c>
      <c r="AS65" s="528">
        <v>0</v>
      </c>
      <c r="AT65" s="528">
        <v>0</v>
      </c>
      <c r="AU65" s="528">
        <v>0</v>
      </c>
      <c r="AV65" s="528">
        <v>0</v>
      </c>
      <c r="AW65" s="528">
        <v>0</v>
      </c>
      <c r="AX65" s="528">
        <v>0</v>
      </c>
      <c r="AY65" s="528">
        <v>0</v>
      </c>
      <c r="AZ65" s="528"/>
      <c r="BA65" s="528" t="s">
        <v>1145</v>
      </c>
      <c r="BB65" s="528"/>
      <c r="BC65" s="528" t="s">
        <v>1145</v>
      </c>
      <c r="BD65" s="528"/>
      <c r="BE65" s="528"/>
      <c r="BF65" s="528"/>
      <c r="BG65" s="379"/>
      <c r="BH65" s="525"/>
      <c r="BI65" s="528"/>
      <c r="BJ65" s="528" t="s">
        <v>1146</v>
      </c>
      <c r="BK65" s="528"/>
      <c r="BL65" s="529"/>
      <c r="BM65" s="567" t="s">
        <v>1672</v>
      </c>
      <c r="BN65" s="525" t="s">
        <v>1121</v>
      </c>
    </row>
    <row r="66" spans="1:66" ht="13" customHeight="1" x14ac:dyDescent="0.2">
      <c r="A66" s="525">
        <v>1685</v>
      </c>
      <c r="B66" s="565">
        <v>44755</v>
      </c>
      <c r="C66" s="526" t="s">
        <v>295</v>
      </c>
      <c r="D66" s="525" t="s">
        <v>1111</v>
      </c>
      <c r="E66" s="527">
        <v>44715</v>
      </c>
      <c r="F66" s="529" t="s">
        <v>1106</v>
      </c>
      <c r="G66" s="525" t="s">
        <v>2</v>
      </c>
      <c r="H66" s="532">
        <v>59.999999999999993</v>
      </c>
      <c r="I66" s="531" t="s">
        <v>296</v>
      </c>
      <c r="J66" s="525">
        <v>3000</v>
      </c>
      <c r="K66" s="525">
        <v>3000</v>
      </c>
      <c r="L66" s="525">
        <v>3000</v>
      </c>
      <c r="M66" s="525">
        <v>3000</v>
      </c>
      <c r="N66" s="525"/>
      <c r="O66" s="532">
        <v>3.2545454545454544</v>
      </c>
      <c r="P66" s="406">
        <v>0</v>
      </c>
      <c r="Q66" s="406">
        <v>0</v>
      </c>
      <c r="R66" s="406">
        <v>0</v>
      </c>
      <c r="S66" s="532">
        <v>2.754545454545454</v>
      </c>
      <c r="T66" s="533"/>
      <c r="U66" s="532">
        <v>3.2545454545454544</v>
      </c>
      <c r="V66" s="406">
        <v>0</v>
      </c>
      <c r="W66" s="406">
        <v>0</v>
      </c>
      <c r="X66" s="406">
        <v>0</v>
      </c>
      <c r="Y66" s="532">
        <v>2.754545454545454</v>
      </c>
      <c r="Z66" s="533"/>
      <c r="AA66" s="533"/>
      <c r="AB66" s="533"/>
      <c r="AC66" s="533"/>
      <c r="AD66" s="533"/>
      <c r="AE66" s="533"/>
      <c r="AF66" s="533"/>
      <c r="AG66" s="528" t="s">
        <v>297</v>
      </c>
      <c r="AH66" s="528" t="s">
        <v>298</v>
      </c>
      <c r="AI66" s="528">
        <v>2</v>
      </c>
      <c r="AJ66" s="528">
        <v>4</v>
      </c>
      <c r="AK66" s="483">
        <v>0.33329999999999999</v>
      </c>
      <c r="AL66" s="483">
        <v>0.66659999999999997</v>
      </c>
      <c r="AM66" s="525" t="s">
        <v>1124</v>
      </c>
      <c r="AN66" s="528">
        <v>0</v>
      </c>
      <c r="AO66" s="528">
        <v>0</v>
      </c>
      <c r="AP66" s="528">
        <v>0</v>
      </c>
      <c r="AQ66" s="528">
        <v>0</v>
      </c>
      <c r="AR66" s="528">
        <v>0</v>
      </c>
      <c r="AS66" s="528">
        <v>0</v>
      </c>
      <c r="AT66" s="528">
        <v>0</v>
      </c>
      <c r="AU66" s="528">
        <v>0</v>
      </c>
      <c r="AV66" s="528">
        <v>0</v>
      </c>
      <c r="AW66" s="528">
        <v>0</v>
      </c>
      <c r="AX66" s="528">
        <v>0</v>
      </c>
      <c r="AY66" s="528">
        <v>0</v>
      </c>
      <c r="AZ66" s="528"/>
      <c r="BA66" s="528" t="s">
        <v>1145</v>
      </c>
      <c r="BB66" s="528"/>
      <c r="BC66" s="528" t="s">
        <v>1145</v>
      </c>
      <c r="BD66" s="528"/>
      <c r="BE66" s="528"/>
      <c r="BF66" s="529"/>
      <c r="BG66" s="525"/>
      <c r="BH66" s="528"/>
      <c r="BI66" s="528"/>
      <c r="BJ66" s="528" t="s">
        <v>1146</v>
      </c>
      <c r="BK66" s="528">
        <v>1</v>
      </c>
      <c r="BL66" s="525"/>
      <c r="BM66" s="567" t="s">
        <v>430</v>
      </c>
      <c r="BN66" s="525" t="s">
        <v>368</v>
      </c>
    </row>
    <row r="67" spans="1:66" ht="13" customHeight="1" x14ac:dyDescent="0.2">
      <c r="A67" s="525">
        <v>3341</v>
      </c>
      <c r="B67" s="565">
        <v>44755</v>
      </c>
      <c r="C67" s="526" t="s">
        <v>1138</v>
      </c>
      <c r="D67" s="525" t="s">
        <v>1111</v>
      </c>
      <c r="E67" s="527">
        <v>44593</v>
      </c>
      <c r="F67" s="525" t="s">
        <v>34</v>
      </c>
      <c r="G67" s="525" t="s">
        <v>1656</v>
      </c>
      <c r="H67" s="532">
        <v>73.163636363636357</v>
      </c>
      <c r="I67" s="394"/>
      <c r="J67" s="409"/>
      <c r="K67" s="332"/>
      <c r="L67" s="332"/>
      <c r="M67" s="332"/>
      <c r="N67" s="332"/>
      <c r="O67" s="532">
        <v>1.9636363636363636</v>
      </c>
      <c r="P67" s="406">
        <v>0</v>
      </c>
      <c r="Q67" s="406">
        <v>0</v>
      </c>
      <c r="R67" s="406">
        <v>0</v>
      </c>
      <c r="S67" s="406">
        <v>0</v>
      </c>
      <c r="T67" s="571"/>
      <c r="U67" s="532">
        <v>1.9636363636363636</v>
      </c>
      <c r="V67" s="406">
        <v>0</v>
      </c>
      <c r="W67" s="406">
        <v>0</v>
      </c>
      <c r="X67" s="406">
        <v>0</v>
      </c>
      <c r="Y67" s="406">
        <v>0</v>
      </c>
      <c r="Z67" s="571"/>
      <c r="AA67" s="571"/>
      <c r="AB67" s="571"/>
      <c r="AC67" s="571"/>
      <c r="AD67" s="571"/>
      <c r="AE67" s="571"/>
      <c r="AF67" s="571"/>
      <c r="AG67" s="333" t="s">
        <v>1145</v>
      </c>
      <c r="AH67" s="333"/>
      <c r="AI67" s="528">
        <v>3</v>
      </c>
      <c r="AJ67" s="528">
        <v>3</v>
      </c>
      <c r="AK67" s="480">
        <v>0.5</v>
      </c>
      <c r="AL67" s="480">
        <v>0.5</v>
      </c>
      <c r="AM67" s="525"/>
      <c r="AN67" s="528">
        <v>0</v>
      </c>
      <c r="AO67" s="528">
        <v>0</v>
      </c>
      <c r="AP67" s="528">
        <v>0</v>
      </c>
      <c r="AQ67" s="528">
        <v>0</v>
      </c>
      <c r="AR67" s="528">
        <v>0</v>
      </c>
      <c r="AS67" s="528">
        <v>0</v>
      </c>
      <c r="AT67" s="528">
        <v>0</v>
      </c>
      <c r="AU67" s="528">
        <v>0</v>
      </c>
      <c r="AV67" s="528">
        <v>0</v>
      </c>
      <c r="AW67" s="528">
        <v>0</v>
      </c>
      <c r="AX67" s="528">
        <v>0</v>
      </c>
      <c r="AY67" s="528">
        <v>0</v>
      </c>
      <c r="AZ67" s="528"/>
      <c r="BA67" s="528" t="s">
        <v>1145</v>
      </c>
      <c r="BB67" s="528"/>
      <c r="BC67" s="528" t="s">
        <v>1145</v>
      </c>
      <c r="BD67" s="528"/>
      <c r="BE67" s="528"/>
      <c r="BF67" s="528"/>
      <c r="BG67" s="529"/>
      <c r="BH67" s="525"/>
      <c r="BI67" s="528"/>
      <c r="BJ67" s="528" t="s">
        <v>411</v>
      </c>
      <c r="BK67" s="528"/>
      <c r="BL67" s="529" t="s">
        <v>1284</v>
      </c>
      <c r="BM67" s="569" t="s">
        <v>1673</v>
      </c>
      <c r="BN67" s="525" t="s">
        <v>368</v>
      </c>
    </row>
    <row r="68" spans="1:66" ht="13" customHeight="1" x14ac:dyDescent="0.2">
      <c r="A68" s="525">
        <v>2739</v>
      </c>
      <c r="B68" s="565">
        <v>44755</v>
      </c>
      <c r="C68" s="526" t="s">
        <v>1138</v>
      </c>
      <c r="D68" s="525" t="s">
        <v>1111</v>
      </c>
      <c r="E68" s="527">
        <v>44708</v>
      </c>
      <c r="F68" s="525" t="s">
        <v>1274</v>
      </c>
      <c r="G68" s="525" t="s">
        <v>1467</v>
      </c>
      <c r="H68" s="532">
        <v>72.999999999999986</v>
      </c>
      <c r="I68" s="394" t="s">
        <v>296</v>
      </c>
      <c r="J68" s="485">
        <v>1645</v>
      </c>
      <c r="K68" s="485">
        <v>3000</v>
      </c>
      <c r="L68" s="485">
        <v>3000</v>
      </c>
      <c r="M68" s="485">
        <v>3000</v>
      </c>
      <c r="N68" s="332"/>
      <c r="O68" s="532">
        <v>2.9272727272727272</v>
      </c>
      <c r="P68" s="532">
        <v>2.545454545454545</v>
      </c>
      <c r="Q68" s="406">
        <v>0</v>
      </c>
      <c r="R68" s="406">
        <v>0</v>
      </c>
      <c r="S68" s="532">
        <v>2.1818181818181817</v>
      </c>
      <c r="T68" s="571"/>
      <c r="U68" s="532">
        <v>2.9272727272727272</v>
      </c>
      <c r="V68" s="532">
        <v>2.545454545454545</v>
      </c>
      <c r="W68" s="406">
        <v>0</v>
      </c>
      <c r="X68" s="406">
        <v>0</v>
      </c>
      <c r="Y68" s="532">
        <v>2.1818181818181817</v>
      </c>
      <c r="Z68" s="571"/>
      <c r="AA68" s="571"/>
      <c r="AB68" s="571"/>
      <c r="AC68" s="571"/>
      <c r="AD68" s="571"/>
      <c r="AE68" s="571"/>
      <c r="AF68" s="571"/>
      <c r="AG68" s="333" t="s">
        <v>1145</v>
      </c>
      <c r="AH68" s="333"/>
      <c r="AI68" s="528">
        <v>3</v>
      </c>
      <c r="AJ68" s="528">
        <v>3</v>
      </c>
      <c r="AK68" s="480">
        <v>0.5</v>
      </c>
      <c r="AL68" s="480">
        <v>0.5</v>
      </c>
      <c r="AM68" s="525"/>
      <c r="AN68" s="528">
        <v>0</v>
      </c>
      <c r="AO68" s="528">
        <v>7</v>
      </c>
      <c r="AP68" s="528">
        <v>0</v>
      </c>
      <c r="AQ68" s="528">
        <v>3</v>
      </c>
      <c r="AR68" s="528">
        <v>0</v>
      </c>
      <c r="AS68" s="528">
        <v>0</v>
      </c>
      <c r="AT68" s="528">
        <v>0</v>
      </c>
      <c r="AU68" s="528">
        <v>0</v>
      </c>
      <c r="AV68" s="528">
        <v>0</v>
      </c>
      <c r="AW68" s="528">
        <v>0</v>
      </c>
      <c r="AX68" s="528">
        <v>0</v>
      </c>
      <c r="AY68" s="528">
        <v>0</v>
      </c>
      <c r="AZ68" s="528"/>
      <c r="BA68" s="528" t="s">
        <v>1145</v>
      </c>
      <c r="BB68" s="528"/>
      <c r="BC68" s="528" t="s">
        <v>1145</v>
      </c>
      <c r="BD68" s="528"/>
      <c r="BE68" s="528"/>
      <c r="BF68" s="528"/>
      <c r="BG68" s="529"/>
      <c r="BH68" s="525"/>
      <c r="BI68" s="528"/>
      <c r="BJ68" s="528" t="s">
        <v>1146</v>
      </c>
      <c r="BK68" s="528"/>
      <c r="BL68" s="529"/>
      <c r="BM68" s="567" t="s">
        <v>430</v>
      </c>
      <c r="BN68" s="525" t="s">
        <v>368</v>
      </c>
    </row>
    <row r="69" spans="1:66" ht="13" customHeight="1" x14ac:dyDescent="0.2">
      <c r="A69" s="525">
        <v>3560</v>
      </c>
      <c r="B69" s="565">
        <v>44755</v>
      </c>
      <c r="C69" s="526" t="s">
        <v>1138</v>
      </c>
      <c r="D69" s="525" t="s">
        <v>1111</v>
      </c>
      <c r="E69" s="570">
        <v>44562</v>
      </c>
      <c r="F69" s="525" t="s">
        <v>1291</v>
      </c>
      <c r="G69" s="525" t="s">
        <v>1658</v>
      </c>
      <c r="H69" s="532">
        <v>78.75454545454545</v>
      </c>
      <c r="I69" s="394"/>
      <c r="J69" s="409"/>
      <c r="K69" s="332"/>
      <c r="L69" s="332"/>
      <c r="M69" s="332"/>
      <c r="N69" s="332"/>
      <c r="O69" s="532">
        <v>2.0363636363636366</v>
      </c>
      <c r="P69" s="406">
        <v>0</v>
      </c>
      <c r="Q69" s="406">
        <v>0</v>
      </c>
      <c r="R69" s="406">
        <v>0</v>
      </c>
      <c r="S69" s="406">
        <v>0</v>
      </c>
      <c r="T69" s="571"/>
      <c r="U69" s="532">
        <v>2.0363636363636366</v>
      </c>
      <c r="V69" s="406">
        <v>0</v>
      </c>
      <c r="W69" s="406">
        <v>0</v>
      </c>
      <c r="X69" s="406">
        <v>0</v>
      </c>
      <c r="Y69" s="406">
        <v>0</v>
      </c>
      <c r="Z69" s="571"/>
      <c r="AA69" s="571"/>
      <c r="AB69" s="571"/>
      <c r="AC69" s="571"/>
      <c r="AD69" s="571"/>
      <c r="AE69" s="571"/>
      <c r="AF69" s="571"/>
      <c r="AG69" s="333" t="s">
        <v>1145</v>
      </c>
      <c r="AH69" s="333"/>
      <c r="AI69" s="528">
        <v>3</v>
      </c>
      <c r="AJ69" s="528">
        <v>3</v>
      </c>
      <c r="AK69" s="480">
        <v>0.5</v>
      </c>
      <c r="AL69" s="480">
        <v>0.5</v>
      </c>
      <c r="AM69" s="525"/>
      <c r="AN69" s="528">
        <v>0</v>
      </c>
      <c r="AO69" s="528">
        <v>0</v>
      </c>
      <c r="AP69" s="528">
        <v>0</v>
      </c>
      <c r="AQ69" s="528">
        <v>0</v>
      </c>
      <c r="AR69" s="528">
        <v>0</v>
      </c>
      <c r="AS69" s="528">
        <v>0</v>
      </c>
      <c r="AT69" s="528">
        <v>0</v>
      </c>
      <c r="AU69" s="528">
        <v>0</v>
      </c>
      <c r="AV69" s="528">
        <v>0</v>
      </c>
      <c r="AW69" s="528">
        <v>0</v>
      </c>
      <c r="AX69" s="528">
        <v>0</v>
      </c>
      <c r="AY69" s="528">
        <v>0</v>
      </c>
      <c r="AZ69" s="528"/>
      <c r="BA69" s="528" t="s">
        <v>1145</v>
      </c>
      <c r="BB69" s="528"/>
      <c r="BC69" s="528" t="s">
        <v>1145</v>
      </c>
      <c r="BD69" s="528"/>
      <c r="BE69" s="528"/>
      <c r="BF69" s="528"/>
      <c r="BG69" s="529"/>
      <c r="BH69" s="525"/>
      <c r="BI69" s="528"/>
      <c r="BJ69" s="528" t="s">
        <v>1146</v>
      </c>
      <c r="BK69" s="528"/>
      <c r="BL69" s="529" t="s">
        <v>1659</v>
      </c>
      <c r="BM69" s="569" t="s">
        <v>1674</v>
      </c>
      <c r="BN69" s="525" t="s">
        <v>1121</v>
      </c>
    </row>
    <row r="70" spans="1:66" ht="13" customHeight="1" x14ac:dyDescent="0.2">
      <c r="A70" s="525">
        <v>2930</v>
      </c>
      <c r="B70" s="565">
        <v>44755</v>
      </c>
      <c r="C70" s="526" t="s">
        <v>1138</v>
      </c>
      <c r="D70" s="525" t="s">
        <v>1111</v>
      </c>
      <c r="E70" s="527">
        <v>44743</v>
      </c>
      <c r="F70" s="525" t="s">
        <v>1483</v>
      </c>
      <c r="G70" s="525" t="s">
        <v>1550</v>
      </c>
      <c r="H70" s="532">
        <v>75</v>
      </c>
      <c r="I70" s="531" t="s">
        <v>296</v>
      </c>
      <c r="J70" s="485">
        <v>1645</v>
      </c>
      <c r="K70" s="485">
        <v>3000</v>
      </c>
      <c r="L70" s="485">
        <v>3000</v>
      </c>
      <c r="M70" s="485">
        <v>3000</v>
      </c>
      <c r="N70" s="332"/>
      <c r="O70" s="532">
        <v>2.2727272727272725</v>
      </c>
      <c r="P70" s="532">
        <v>2.1363636363636362</v>
      </c>
      <c r="Q70" s="406">
        <v>0</v>
      </c>
      <c r="R70" s="406">
        <v>0</v>
      </c>
      <c r="S70" s="532">
        <v>1.7636363636363634</v>
      </c>
      <c r="T70" s="571"/>
      <c r="U70" s="532">
        <v>2.2727272727272725</v>
      </c>
      <c r="V70" s="532">
        <v>2.1363636363636362</v>
      </c>
      <c r="W70" s="406">
        <v>0</v>
      </c>
      <c r="X70" s="406">
        <v>0</v>
      </c>
      <c r="Y70" s="532">
        <v>1.7636363636363634</v>
      </c>
      <c r="Z70" s="571"/>
      <c r="AA70" s="571"/>
      <c r="AB70" s="571"/>
      <c r="AC70" s="571"/>
      <c r="AD70" s="571"/>
      <c r="AE70" s="571"/>
      <c r="AF70" s="571"/>
      <c r="AG70" s="333" t="s">
        <v>1145</v>
      </c>
      <c r="AH70" s="333"/>
      <c r="AI70" s="528">
        <v>3</v>
      </c>
      <c r="AJ70" s="528">
        <v>3</v>
      </c>
      <c r="AK70" s="480">
        <v>0.5</v>
      </c>
      <c r="AL70" s="480">
        <v>0.5</v>
      </c>
      <c r="AM70" s="525"/>
      <c r="AN70" s="528">
        <v>0</v>
      </c>
      <c r="AO70" s="528">
        <v>0</v>
      </c>
      <c r="AP70" s="528">
        <v>0</v>
      </c>
      <c r="AQ70" s="528">
        <v>0</v>
      </c>
      <c r="AR70" s="528">
        <v>0</v>
      </c>
      <c r="AS70" s="528">
        <v>0</v>
      </c>
      <c r="AT70" s="528">
        <v>0</v>
      </c>
      <c r="AU70" s="528">
        <v>0</v>
      </c>
      <c r="AV70" s="528">
        <v>0</v>
      </c>
      <c r="AW70" s="528">
        <v>0</v>
      </c>
      <c r="AX70" s="528">
        <v>0</v>
      </c>
      <c r="AY70" s="528">
        <v>0</v>
      </c>
      <c r="AZ70" s="528"/>
      <c r="BA70" s="528" t="s">
        <v>1145</v>
      </c>
      <c r="BB70" s="528"/>
      <c r="BC70" s="528" t="s">
        <v>1145</v>
      </c>
      <c r="BD70" s="528"/>
      <c r="BE70" s="528">
        <v>12</v>
      </c>
      <c r="BF70" s="564"/>
      <c r="BG70" s="529"/>
      <c r="BH70" s="525"/>
      <c r="BI70" s="528"/>
      <c r="BJ70" s="528" t="s">
        <v>4</v>
      </c>
      <c r="BK70" s="528"/>
      <c r="BL70" s="529"/>
      <c r="BM70" s="569" t="s">
        <v>1675</v>
      </c>
      <c r="BN70" s="525" t="s">
        <v>408</v>
      </c>
    </row>
    <row r="71" spans="1:66" ht="13" customHeight="1" x14ac:dyDescent="0.2">
      <c r="A71" s="525">
        <v>3396</v>
      </c>
      <c r="B71" s="565">
        <v>44755</v>
      </c>
      <c r="C71" s="526" t="s">
        <v>1138</v>
      </c>
      <c r="D71" s="525" t="s">
        <v>1111</v>
      </c>
      <c r="E71" s="527">
        <v>44613</v>
      </c>
      <c r="F71" s="525" t="s">
        <v>1173</v>
      </c>
      <c r="G71" s="525" t="s">
        <v>1570</v>
      </c>
      <c r="H71" s="532">
        <v>67.999999999999986</v>
      </c>
      <c r="I71" s="531" t="s">
        <v>296</v>
      </c>
      <c r="J71" s="485">
        <v>1645</v>
      </c>
      <c r="K71" s="485">
        <v>3000</v>
      </c>
      <c r="L71" s="485">
        <v>3000</v>
      </c>
      <c r="M71" s="485">
        <v>3000</v>
      </c>
      <c r="N71" s="332"/>
      <c r="O71" s="532">
        <v>2.3909090909090907</v>
      </c>
      <c r="P71" s="532">
        <v>1.9363636363636361</v>
      </c>
      <c r="Q71" s="406">
        <v>0</v>
      </c>
      <c r="R71" s="406">
        <v>0</v>
      </c>
      <c r="S71" s="532">
        <v>1.6818181818181817</v>
      </c>
      <c r="T71" s="571"/>
      <c r="U71" s="532">
        <v>2.3909090909090907</v>
      </c>
      <c r="V71" s="532">
        <v>1.9363636363636361</v>
      </c>
      <c r="W71" s="406">
        <v>0</v>
      </c>
      <c r="X71" s="406">
        <v>0</v>
      </c>
      <c r="Y71" s="532">
        <v>1.6818181818181817</v>
      </c>
      <c r="Z71" s="571"/>
      <c r="AA71" s="571"/>
      <c r="AB71" s="571"/>
      <c r="AC71" s="571"/>
      <c r="AD71" s="571"/>
      <c r="AE71" s="571"/>
      <c r="AF71" s="571"/>
      <c r="AG71" s="333" t="s">
        <v>1145</v>
      </c>
      <c r="AH71" s="333"/>
      <c r="AI71" s="528">
        <v>3</v>
      </c>
      <c r="AJ71" s="528">
        <v>3</v>
      </c>
      <c r="AK71" s="480">
        <v>0.5</v>
      </c>
      <c r="AL71" s="480">
        <v>0.5</v>
      </c>
      <c r="AM71" s="525"/>
      <c r="AN71" s="528">
        <v>0</v>
      </c>
      <c r="AO71" s="528">
        <v>0</v>
      </c>
      <c r="AP71" s="528">
        <v>0</v>
      </c>
      <c r="AQ71" s="528">
        <v>0</v>
      </c>
      <c r="AR71" s="528">
        <v>0</v>
      </c>
      <c r="AS71" s="528">
        <v>0</v>
      </c>
      <c r="AT71" s="528">
        <v>0</v>
      </c>
      <c r="AU71" s="528">
        <v>0</v>
      </c>
      <c r="AV71" s="528">
        <v>0</v>
      </c>
      <c r="AW71" s="528">
        <v>0</v>
      </c>
      <c r="AX71" s="528">
        <v>0</v>
      </c>
      <c r="AY71" s="528">
        <v>0</v>
      </c>
      <c r="AZ71" s="528"/>
      <c r="BA71" s="528" t="s">
        <v>1145</v>
      </c>
      <c r="BB71" s="528"/>
      <c r="BC71" s="528" t="s">
        <v>1145</v>
      </c>
      <c r="BD71" s="528"/>
      <c r="BE71" s="528"/>
      <c r="BF71" s="564"/>
      <c r="BG71" s="529"/>
      <c r="BH71" s="525"/>
      <c r="BI71" s="528"/>
      <c r="BJ71" s="528" t="s">
        <v>411</v>
      </c>
      <c r="BK71" s="528"/>
      <c r="BL71" s="529"/>
      <c r="BM71" s="569" t="s">
        <v>430</v>
      </c>
      <c r="BN71" s="525" t="s">
        <v>368</v>
      </c>
    </row>
    <row r="72" spans="1:66" ht="13" customHeight="1" x14ac:dyDescent="0.2">
      <c r="A72" s="525">
        <v>3158</v>
      </c>
      <c r="B72" s="565">
        <v>44755</v>
      </c>
      <c r="C72" s="526" t="s">
        <v>1138</v>
      </c>
      <c r="D72" s="525" t="s">
        <v>1113</v>
      </c>
      <c r="E72" s="527">
        <v>44691</v>
      </c>
      <c r="F72" s="529" t="s">
        <v>1139</v>
      </c>
      <c r="G72" s="525" t="s">
        <v>1646</v>
      </c>
      <c r="H72" s="532">
        <v>93.11818181818181</v>
      </c>
      <c r="I72" s="531" t="s">
        <v>296</v>
      </c>
      <c r="J72" s="459">
        <v>6000</v>
      </c>
      <c r="K72" s="459">
        <v>12000</v>
      </c>
      <c r="L72" s="459">
        <v>84000</v>
      </c>
      <c r="M72" s="459">
        <v>84000</v>
      </c>
      <c r="N72" s="525"/>
      <c r="O72" s="532">
        <v>1.8454545454545452</v>
      </c>
      <c r="P72" s="532">
        <v>1.8181818181818181</v>
      </c>
      <c r="Q72" s="532">
        <v>1.5181818181818181</v>
      </c>
      <c r="R72" s="406">
        <v>0</v>
      </c>
      <c r="S72" s="532">
        <v>1.3636363636363635</v>
      </c>
      <c r="T72" s="533"/>
      <c r="U72" s="532">
        <v>1.6909090909090909</v>
      </c>
      <c r="V72" s="532">
        <v>1.4090909090909089</v>
      </c>
      <c r="W72" s="532">
        <v>1.3090909090909089</v>
      </c>
      <c r="X72" s="406">
        <v>0</v>
      </c>
      <c r="Y72" s="532">
        <v>1.2909090909090908</v>
      </c>
      <c r="Z72" s="533"/>
      <c r="AA72" s="533"/>
      <c r="AB72" s="533"/>
      <c r="AC72" s="533"/>
      <c r="AD72" s="533"/>
      <c r="AE72" s="533"/>
      <c r="AF72" s="533"/>
      <c r="AG72" s="528" t="s">
        <v>1143</v>
      </c>
      <c r="AH72" s="528" t="s">
        <v>1144</v>
      </c>
      <c r="AI72" s="528">
        <v>2</v>
      </c>
      <c r="AJ72" s="528">
        <v>4</v>
      </c>
      <c r="AK72" s="483">
        <v>0.33329999999999999</v>
      </c>
      <c r="AL72" s="483">
        <v>0.66659999999999997</v>
      </c>
      <c r="AM72" s="525" t="s">
        <v>1124</v>
      </c>
      <c r="AN72" s="528">
        <v>0</v>
      </c>
      <c r="AO72" s="528">
        <v>0</v>
      </c>
      <c r="AP72" s="528">
        <v>0</v>
      </c>
      <c r="AQ72" s="528">
        <v>0</v>
      </c>
      <c r="AR72" s="528">
        <v>0</v>
      </c>
      <c r="AS72" s="528">
        <v>0</v>
      </c>
      <c r="AT72" s="528">
        <v>0</v>
      </c>
      <c r="AU72" s="528">
        <v>0</v>
      </c>
      <c r="AV72" s="528">
        <v>0</v>
      </c>
      <c r="AW72" s="528">
        <v>0</v>
      </c>
      <c r="AX72" s="528">
        <v>0</v>
      </c>
      <c r="AY72" s="528">
        <v>0</v>
      </c>
      <c r="AZ72" s="528"/>
      <c r="BA72" s="528" t="s">
        <v>1145</v>
      </c>
      <c r="BB72" s="528"/>
      <c r="BC72" s="528" t="s">
        <v>1145</v>
      </c>
      <c r="BD72" s="528"/>
      <c r="BE72" s="528"/>
      <c r="BF72" s="528"/>
      <c r="BG72" s="597"/>
      <c r="BH72" s="598"/>
      <c r="BI72" s="566"/>
      <c r="BJ72" s="528" t="s">
        <v>1146</v>
      </c>
      <c r="BK72" s="528"/>
      <c r="BL72" s="529" t="s">
        <v>1647</v>
      </c>
      <c r="BM72" s="567" t="s">
        <v>430</v>
      </c>
      <c r="BN72" s="525" t="s">
        <v>408</v>
      </c>
    </row>
    <row r="73" spans="1:66" ht="13" customHeight="1" x14ac:dyDescent="0.2">
      <c r="A73" s="525"/>
      <c r="B73" s="599">
        <v>44782</v>
      </c>
      <c r="C73" s="526" t="s">
        <v>1138</v>
      </c>
      <c r="D73" s="525" t="s">
        <v>1113</v>
      </c>
      <c r="E73" s="527">
        <v>44774</v>
      </c>
      <c r="F73" s="529" t="s">
        <v>1148</v>
      </c>
      <c r="G73" s="525" t="s">
        <v>1280</v>
      </c>
      <c r="H73" s="532">
        <v>77.599999999999994</v>
      </c>
      <c r="I73" s="531" t="s">
        <v>296</v>
      </c>
      <c r="J73" s="568">
        <v>6000</v>
      </c>
      <c r="K73" s="568">
        <v>6000</v>
      </c>
      <c r="L73" s="568">
        <v>6000</v>
      </c>
      <c r="M73" s="568">
        <v>6000</v>
      </c>
      <c r="N73" s="525"/>
      <c r="O73" s="532">
        <v>2.2272727272727271</v>
      </c>
      <c r="P73" s="406">
        <v>0</v>
      </c>
      <c r="Q73" s="406">
        <v>0</v>
      </c>
      <c r="R73" s="406">
        <v>0</v>
      </c>
      <c r="S73" s="532">
        <v>2.0363636363636366</v>
      </c>
      <c r="T73" s="533"/>
      <c r="U73" s="532">
        <v>1.9545454545454544</v>
      </c>
      <c r="V73" s="406">
        <v>0</v>
      </c>
      <c r="W73" s="406">
        <v>0</v>
      </c>
      <c r="X73" s="406">
        <v>0</v>
      </c>
      <c r="Y73" s="532">
        <v>1.5818181818181818</v>
      </c>
      <c r="Z73" s="533"/>
      <c r="AA73" s="533"/>
      <c r="AB73" s="533"/>
      <c r="AC73" s="533"/>
      <c r="AD73" s="533"/>
      <c r="AE73" s="533"/>
      <c r="AF73" s="533"/>
      <c r="AG73" s="528" t="s">
        <v>1143</v>
      </c>
      <c r="AH73" s="528" t="s">
        <v>1144</v>
      </c>
      <c r="AI73" s="528">
        <v>2</v>
      </c>
      <c r="AJ73" s="528">
        <v>4</v>
      </c>
      <c r="AK73" s="483">
        <v>0.33329999999999999</v>
      </c>
      <c r="AL73" s="483">
        <v>0.66659999999999997</v>
      </c>
      <c r="AM73" s="525" t="s">
        <v>1124</v>
      </c>
      <c r="AN73" s="528">
        <v>0</v>
      </c>
      <c r="AO73" s="528">
        <v>0</v>
      </c>
      <c r="AP73" s="528">
        <v>0</v>
      </c>
      <c r="AQ73" s="528">
        <v>0</v>
      </c>
      <c r="AR73" s="528">
        <v>0</v>
      </c>
      <c r="AS73" s="528">
        <v>0</v>
      </c>
      <c r="AT73" s="528">
        <v>0</v>
      </c>
      <c r="AU73" s="528">
        <v>0</v>
      </c>
      <c r="AV73" s="528">
        <v>0</v>
      </c>
      <c r="AW73" s="528">
        <v>0</v>
      </c>
      <c r="AX73" s="528">
        <v>0</v>
      </c>
      <c r="AY73" s="528">
        <v>0</v>
      </c>
      <c r="AZ73" s="528"/>
      <c r="BA73" s="528" t="s">
        <v>1145</v>
      </c>
      <c r="BB73" s="528"/>
      <c r="BC73" s="528" t="s">
        <v>1145</v>
      </c>
      <c r="BD73" s="528"/>
      <c r="BE73" s="528"/>
      <c r="BF73" s="528"/>
      <c r="BG73" s="529"/>
      <c r="BH73" s="525"/>
      <c r="BI73" s="528"/>
      <c r="BJ73" s="528" t="s">
        <v>4</v>
      </c>
      <c r="BK73" s="528"/>
      <c r="BL73" s="529"/>
      <c r="BM73" s="569" t="s">
        <v>430</v>
      </c>
      <c r="BN73" s="525" t="s">
        <v>1121</v>
      </c>
    </row>
    <row r="74" spans="1:66" ht="13" customHeight="1" x14ac:dyDescent="0.2">
      <c r="A74" s="525">
        <v>3525</v>
      </c>
      <c r="B74" s="565">
        <v>44755</v>
      </c>
      <c r="C74" s="526" t="s">
        <v>1138</v>
      </c>
      <c r="D74" s="525" t="s">
        <v>1113</v>
      </c>
      <c r="E74" s="527">
        <v>44734</v>
      </c>
      <c r="F74" s="529" t="s">
        <v>1156</v>
      </c>
      <c r="G74" s="525" t="s">
        <v>1649</v>
      </c>
      <c r="H74" s="532">
        <v>103.69999999999999</v>
      </c>
      <c r="I74" s="531" t="s">
        <v>296</v>
      </c>
      <c r="J74" s="459">
        <v>6000</v>
      </c>
      <c r="K74" s="459">
        <v>12000</v>
      </c>
      <c r="L74" s="459">
        <v>84000</v>
      </c>
      <c r="M74" s="459">
        <v>84000</v>
      </c>
      <c r="N74" s="525"/>
      <c r="O74" s="532">
        <v>2.5818181818181816</v>
      </c>
      <c r="P74" s="532">
        <v>2.3727272727272726</v>
      </c>
      <c r="Q74" s="532">
        <v>2.0909090909090904</v>
      </c>
      <c r="R74" s="406">
        <v>0</v>
      </c>
      <c r="S74" s="532">
        <v>1.8818181818181816</v>
      </c>
      <c r="T74" s="533"/>
      <c r="U74" s="532">
        <v>2.127272727272727</v>
      </c>
      <c r="V74" s="532">
        <v>2.1090909090909089</v>
      </c>
      <c r="W74" s="532">
        <v>2.0181818181818181</v>
      </c>
      <c r="X74" s="406">
        <v>0</v>
      </c>
      <c r="Y74" s="532">
        <v>1.7909090909090908</v>
      </c>
      <c r="Z74" s="533"/>
      <c r="AA74" s="533"/>
      <c r="AB74" s="533"/>
      <c r="AC74" s="533"/>
      <c r="AD74" s="533"/>
      <c r="AE74" s="533"/>
      <c r="AF74" s="533"/>
      <c r="AG74" s="528" t="s">
        <v>1143</v>
      </c>
      <c r="AH74" s="528" t="s">
        <v>1144</v>
      </c>
      <c r="AI74" s="528">
        <v>2</v>
      </c>
      <c r="AJ74" s="528">
        <v>4</v>
      </c>
      <c r="AK74" s="483">
        <v>0.33329999999999999</v>
      </c>
      <c r="AL74" s="483">
        <v>0.66659999999999997</v>
      </c>
      <c r="AM74" s="525" t="s">
        <v>1124</v>
      </c>
      <c r="AN74" s="528">
        <v>8</v>
      </c>
      <c r="AO74" s="528">
        <v>0</v>
      </c>
      <c r="AP74" s="528">
        <v>0</v>
      </c>
      <c r="AQ74" s="528">
        <v>0</v>
      </c>
      <c r="AR74" s="528">
        <v>0</v>
      </c>
      <c r="AS74" s="528">
        <v>0</v>
      </c>
      <c r="AT74" s="528">
        <v>0</v>
      </c>
      <c r="AU74" s="528">
        <v>0</v>
      </c>
      <c r="AV74" s="528">
        <v>0</v>
      </c>
      <c r="AW74" s="528">
        <v>0</v>
      </c>
      <c r="AX74" s="528">
        <v>0</v>
      </c>
      <c r="AY74" s="528">
        <v>0</v>
      </c>
      <c r="AZ74" s="566">
        <v>12</v>
      </c>
      <c r="BA74" s="528" t="s">
        <v>1145</v>
      </c>
      <c r="BB74" s="528"/>
      <c r="BC74" s="528" t="s">
        <v>1145</v>
      </c>
      <c r="BD74" s="528"/>
      <c r="BE74" s="528"/>
      <c r="BF74" s="528"/>
      <c r="BG74" s="529" t="s">
        <v>1622</v>
      </c>
      <c r="BH74" s="525" t="s">
        <v>365</v>
      </c>
      <c r="BI74" s="528">
        <v>25</v>
      </c>
      <c r="BJ74" s="528" t="s">
        <v>1146</v>
      </c>
      <c r="BK74" s="528"/>
      <c r="BL74" s="529" t="s">
        <v>1623</v>
      </c>
      <c r="BM74" s="569" t="s">
        <v>1678</v>
      </c>
      <c r="BN74" s="525" t="s">
        <v>408</v>
      </c>
    </row>
    <row r="75" spans="1:66" ht="13" customHeight="1" x14ac:dyDescent="0.2">
      <c r="A75" s="525">
        <v>2876</v>
      </c>
      <c r="B75" s="565">
        <v>44756</v>
      </c>
      <c r="C75" s="526" t="s">
        <v>1138</v>
      </c>
      <c r="D75" s="525" t="s">
        <v>1113</v>
      </c>
      <c r="E75" s="527">
        <v>44753</v>
      </c>
      <c r="F75" s="529" t="s">
        <v>1159</v>
      </c>
      <c r="G75" s="525" t="s">
        <v>1105</v>
      </c>
      <c r="H75" s="532">
        <v>88.454545454545439</v>
      </c>
      <c r="I75" s="531" t="s">
        <v>296</v>
      </c>
      <c r="J75" s="459">
        <v>6000</v>
      </c>
      <c r="K75" s="459">
        <v>12000</v>
      </c>
      <c r="L75" s="459">
        <v>84000</v>
      </c>
      <c r="M75" s="459">
        <v>84000</v>
      </c>
      <c r="N75" s="525"/>
      <c r="O75" s="532">
        <v>1.9363636363636361</v>
      </c>
      <c r="P75" s="532">
        <v>1.8181818181818181</v>
      </c>
      <c r="Q75" s="532">
        <v>1.7999999999999998</v>
      </c>
      <c r="R75" s="406">
        <v>0</v>
      </c>
      <c r="S75" s="532">
        <v>1.5545454545454545</v>
      </c>
      <c r="T75" s="533"/>
      <c r="U75" s="532">
        <v>1.8181818181818181</v>
      </c>
      <c r="V75" s="532">
        <v>1.6545454545454545</v>
      </c>
      <c r="W75" s="532">
        <v>1.5545454545454545</v>
      </c>
      <c r="X75" s="406">
        <v>0</v>
      </c>
      <c r="Y75" s="532">
        <v>1.4545454545454546</v>
      </c>
      <c r="Z75" s="533"/>
      <c r="AA75" s="533"/>
      <c r="AB75" s="533"/>
      <c r="AC75" s="533"/>
      <c r="AD75" s="533"/>
      <c r="AE75" s="533"/>
      <c r="AF75" s="533"/>
      <c r="AG75" s="528" t="s">
        <v>1143</v>
      </c>
      <c r="AH75" s="528" t="s">
        <v>1144</v>
      </c>
      <c r="AI75" s="528">
        <v>2</v>
      </c>
      <c r="AJ75" s="528">
        <v>4</v>
      </c>
      <c r="AK75" s="483">
        <v>0.33329999999999999</v>
      </c>
      <c r="AL75" s="483">
        <v>0.66659999999999997</v>
      </c>
      <c r="AM75" s="525" t="s">
        <v>1124</v>
      </c>
      <c r="AN75" s="528">
        <v>0</v>
      </c>
      <c r="AO75" s="528">
        <v>0</v>
      </c>
      <c r="AP75" s="528">
        <v>0</v>
      </c>
      <c r="AQ75" s="528">
        <v>0</v>
      </c>
      <c r="AR75" s="528">
        <v>0</v>
      </c>
      <c r="AS75" s="528">
        <v>0</v>
      </c>
      <c r="AT75" s="528">
        <v>0</v>
      </c>
      <c r="AU75" s="528">
        <v>0</v>
      </c>
      <c r="AV75" s="528">
        <v>0</v>
      </c>
      <c r="AW75" s="528">
        <v>0</v>
      </c>
      <c r="AX75" s="528">
        <v>0</v>
      </c>
      <c r="AY75" s="528">
        <v>0</v>
      </c>
      <c r="AZ75" s="528"/>
      <c r="BA75" s="528" t="s">
        <v>1145</v>
      </c>
      <c r="BB75" s="528"/>
      <c r="BC75" s="528" t="s">
        <v>1145</v>
      </c>
      <c r="BD75" s="528"/>
      <c r="BE75" s="528"/>
      <c r="BF75" s="564">
        <v>45230</v>
      </c>
      <c r="BG75" s="529"/>
      <c r="BH75" s="525"/>
      <c r="BI75" s="528"/>
      <c r="BJ75" s="528" t="s">
        <v>1146</v>
      </c>
      <c r="BK75" s="528"/>
      <c r="BL75" s="529"/>
      <c r="BM75" s="567" t="s">
        <v>430</v>
      </c>
      <c r="BN75" s="525" t="s">
        <v>408</v>
      </c>
    </row>
    <row r="76" spans="1:66" ht="13" customHeight="1" x14ac:dyDescent="0.2">
      <c r="A76" s="525">
        <v>3371</v>
      </c>
      <c r="B76" s="565">
        <v>44755</v>
      </c>
      <c r="C76" s="526" t="s">
        <v>1138</v>
      </c>
      <c r="D76" s="525" t="s">
        <v>1113</v>
      </c>
      <c r="E76" s="527">
        <v>44743</v>
      </c>
      <c r="F76" s="529" t="s">
        <v>1166</v>
      </c>
      <c r="G76" s="525" t="s">
        <v>1651</v>
      </c>
      <c r="H76" s="532">
        <v>82.181818181818187</v>
      </c>
      <c r="I76" s="531"/>
      <c r="J76" s="568"/>
      <c r="K76" s="568"/>
      <c r="L76" s="568"/>
      <c r="M76" s="525"/>
      <c r="N76" s="525"/>
      <c r="O76" s="532">
        <v>2.0727272727272723</v>
      </c>
      <c r="P76" s="406">
        <v>0</v>
      </c>
      <c r="Q76" s="406">
        <v>0</v>
      </c>
      <c r="R76" s="406">
        <v>0</v>
      </c>
      <c r="S76" s="406">
        <v>0</v>
      </c>
      <c r="T76" s="533"/>
      <c r="U76" s="532">
        <v>2.0727272727272723</v>
      </c>
      <c r="V76" s="406">
        <v>0</v>
      </c>
      <c r="W76" s="406">
        <v>0</v>
      </c>
      <c r="X76" s="406">
        <v>0</v>
      </c>
      <c r="Y76" s="406">
        <v>0</v>
      </c>
      <c r="Z76" s="533"/>
      <c r="AA76" s="533"/>
      <c r="AB76" s="533"/>
      <c r="AC76" s="533"/>
      <c r="AD76" s="533"/>
      <c r="AE76" s="533"/>
      <c r="AF76" s="533"/>
      <c r="AG76" s="528" t="s">
        <v>1145</v>
      </c>
      <c r="AH76" s="528"/>
      <c r="AI76" s="528">
        <v>3</v>
      </c>
      <c r="AJ76" s="528">
        <v>3</v>
      </c>
      <c r="AK76" s="480">
        <v>0.5</v>
      </c>
      <c r="AL76" s="480">
        <v>0.5</v>
      </c>
      <c r="AM76" s="525"/>
      <c r="AN76" s="528">
        <v>0</v>
      </c>
      <c r="AO76" s="528">
        <v>0</v>
      </c>
      <c r="AP76" s="528">
        <v>0</v>
      </c>
      <c r="AQ76" s="528">
        <v>0</v>
      </c>
      <c r="AR76" s="528">
        <v>0</v>
      </c>
      <c r="AS76" s="528">
        <v>0</v>
      </c>
      <c r="AT76" s="528">
        <v>0</v>
      </c>
      <c r="AU76" s="528">
        <v>0</v>
      </c>
      <c r="AV76" s="528">
        <v>0</v>
      </c>
      <c r="AW76" s="528">
        <v>0</v>
      </c>
      <c r="AX76" s="528">
        <v>0</v>
      </c>
      <c r="AY76" s="528">
        <v>0</v>
      </c>
      <c r="AZ76" s="528"/>
      <c r="BA76" s="528" t="s">
        <v>1145</v>
      </c>
      <c r="BB76" s="528">
        <v>12</v>
      </c>
      <c r="BC76" s="528" t="s">
        <v>1145</v>
      </c>
      <c r="BD76" s="528"/>
      <c r="BE76" s="528"/>
      <c r="BF76" s="528"/>
      <c r="BG76" s="529"/>
      <c r="BH76" s="525"/>
      <c r="BI76" s="528"/>
      <c r="BJ76" s="528" t="s">
        <v>1146</v>
      </c>
      <c r="BK76" s="528"/>
      <c r="BL76" s="529"/>
      <c r="BM76" s="569" t="s">
        <v>1679</v>
      </c>
      <c r="BN76" s="525" t="s">
        <v>408</v>
      </c>
    </row>
    <row r="77" spans="1:66" ht="13" customHeight="1" x14ac:dyDescent="0.2">
      <c r="A77" s="525">
        <v>2399</v>
      </c>
      <c r="B77" s="565">
        <v>44756</v>
      </c>
      <c r="C77" s="526" t="s">
        <v>1138</v>
      </c>
      <c r="D77" s="525" t="s">
        <v>1113</v>
      </c>
      <c r="E77" s="570">
        <v>44651</v>
      </c>
      <c r="F77" s="529" t="s">
        <v>1168</v>
      </c>
      <c r="G77" s="525" t="s">
        <v>1297</v>
      </c>
      <c r="H77" s="532">
        <v>91.5</v>
      </c>
      <c r="I77" s="531" t="s">
        <v>296</v>
      </c>
      <c r="J77" s="459">
        <v>6000</v>
      </c>
      <c r="K77" s="459">
        <v>12000</v>
      </c>
      <c r="L77" s="459">
        <v>84000</v>
      </c>
      <c r="M77" s="459">
        <v>84000</v>
      </c>
      <c r="N77" s="525"/>
      <c r="O77" s="532">
        <v>1.9636363636363636</v>
      </c>
      <c r="P77" s="532">
        <v>1.8818181818181816</v>
      </c>
      <c r="Q77" s="532">
        <v>1.7999999999999998</v>
      </c>
      <c r="R77" s="406">
        <v>0</v>
      </c>
      <c r="S77" s="532">
        <v>1.6181818181818182</v>
      </c>
      <c r="T77" s="533"/>
      <c r="U77" s="532">
        <v>1.8818181818181816</v>
      </c>
      <c r="V77" s="532">
        <v>1.7999999999999998</v>
      </c>
      <c r="W77" s="532">
        <v>1.7545454545454544</v>
      </c>
      <c r="X77" s="406">
        <v>0</v>
      </c>
      <c r="Y77" s="532">
        <v>1.5727272727272725</v>
      </c>
      <c r="Z77" s="533"/>
      <c r="AA77" s="533"/>
      <c r="AB77" s="533"/>
      <c r="AC77" s="533"/>
      <c r="AD77" s="533"/>
      <c r="AE77" s="533"/>
      <c r="AF77" s="533"/>
      <c r="AG77" s="528" t="s">
        <v>1143</v>
      </c>
      <c r="AH77" s="528" t="s">
        <v>1144</v>
      </c>
      <c r="AI77" s="528">
        <v>2</v>
      </c>
      <c r="AJ77" s="528">
        <v>4</v>
      </c>
      <c r="AK77" s="483">
        <v>0.33329999999999999</v>
      </c>
      <c r="AL77" s="483">
        <v>0.66659999999999997</v>
      </c>
      <c r="AM77" s="525" t="s">
        <v>1124</v>
      </c>
      <c r="AN77" s="528">
        <v>0</v>
      </c>
      <c r="AO77" s="528">
        <v>0</v>
      </c>
      <c r="AP77" s="528">
        <v>0</v>
      </c>
      <c r="AQ77" s="528">
        <v>0</v>
      </c>
      <c r="AR77" s="528">
        <v>0</v>
      </c>
      <c r="AS77" s="528">
        <v>0</v>
      </c>
      <c r="AT77" s="528">
        <v>0</v>
      </c>
      <c r="AU77" s="528">
        <v>0</v>
      </c>
      <c r="AV77" s="528">
        <v>0</v>
      </c>
      <c r="AW77" s="528">
        <v>0</v>
      </c>
      <c r="AX77" s="528">
        <v>0</v>
      </c>
      <c r="AY77" s="528">
        <v>0</v>
      </c>
      <c r="AZ77" s="528"/>
      <c r="BA77" s="528" t="s">
        <v>1145</v>
      </c>
      <c r="BB77" s="528"/>
      <c r="BC77" s="528" t="s">
        <v>1145</v>
      </c>
      <c r="BD77" s="528"/>
      <c r="BE77" s="528"/>
      <c r="BF77" s="528"/>
      <c r="BG77" s="529"/>
      <c r="BH77" s="525"/>
      <c r="BI77" s="528"/>
      <c r="BJ77" s="528" t="s">
        <v>1146</v>
      </c>
      <c r="BK77" s="528"/>
      <c r="BL77" s="529"/>
      <c r="BM77" s="567" t="s">
        <v>1680</v>
      </c>
      <c r="BN77" s="525" t="s">
        <v>368</v>
      </c>
    </row>
    <row r="78" spans="1:66" ht="13" customHeight="1" x14ac:dyDescent="0.2">
      <c r="A78" s="525">
        <v>3575</v>
      </c>
      <c r="B78" s="565">
        <v>44755</v>
      </c>
      <c r="C78" s="526" t="s">
        <v>1138</v>
      </c>
      <c r="D78" s="525" t="s">
        <v>1113</v>
      </c>
      <c r="E78" s="527">
        <v>44743</v>
      </c>
      <c r="F78" s="529" t="s">
        <v>1169</v>
      </c>
      <c r="G78" s="525" t="s">
        <v>1654</v>
      </c>
      <c r="H78" s="532">
        <v>87.654545454545456</v>
      </c>
      <c r="I78" s="531" t="s">
        <v>296</v>
      </c>
      <c r="J78" s="459">
        <v>6000</v>
      </c>
      <c r="K78" s="459">
        <v>12000</v>
      </c>
      <c r="L78" s="459">
        <v>84000</v>
      </c>
      <c r="M78" s="459">
        <v>84000</v>
      </c>
      <c r="N78" s="525"/>
      <c r="O78" s="532">
        <v>2.9363636363636361</v>
      </c>
      <c r="P78" s="532">
        <v>2.9</v>
      </c>
      <c r="Q78" s="532">
        <v>2.2999999999999998</v>
      </c>
      <c r="R78" s="406">
        <v>0</v>
      </c>
      <c r="S78" s="532">
        <v>2.2909090909090906</v>
      </c>
      <c r="T78" s="533"/>
      <c r="U78" s="532">
        <v>2.4</v>
      </c>
      <c r="V78" s="532">
        <v>2.3545454545454541</v>
      </c>
      <c r="W78" s="532">
        <v>2.2181818181818178</v>
      </c>
      <c r="X78" s="406">
        <v>0</v>
      </c>
      <c r="Y78" s="532">
        <v>2.0636363636363635</v>
      </c>
      <c r="Z78" s="533"/>
      <c r="AA78" s="533"/>
      <c r="AB78" s="533"/>
      <c r="AC78" s="533"/>
      <c r="AD78" s="533"/>
      <c r="AE78" s="533"/>
      <c r="AF78" s="533"/>
      <c r="AG78" s="528" t="s">
        <v>1143</v>
      </c>
      <c r="AH78" s="528" t="s">
        <v>1144</v>
      </c>
      <c r="AI78" s="528">
        <v>2</v>
      </c>
      <c r="AJ78" s="528">
        <v>4</v>
      </c>
      <c r="AK78" s="483">
        <v>0.33329999999999999</v>
      </c>
      <c r="AL78" s="483">
        <v>0.66659999999999997</v>
      </c>
      <c r="AM78" s="525" t="s">
        <v>1124</v>
      </c>
      <c r="AN78" s="528">
        <v>0</v>
      </c>
      <c r="AO78" s="528">
        <v>0</v>
      </c>
      <c r="AP78" s="528">
        <v>0</v>
      </c>
      <c r="AQ78" s="528">
        <v>0</v>
      </c>
      <c r="AR78" s="528">
        <v>0</v>
      </c>
      <c r="AS78" s="528">
        <v>0</v>
      </c>
      <c r="AT78" s="528">
        <v>0</v>
      </c>
      <c r="AU78" s="528">
        <v>0</v>
      </c>
      <c r="AV78" s="528">
        <v>0</v>
      </c>
      <c r="AW78" s="528">
        <v>0</v>
      </c>
      <c r="AX78" s="528">
        <v>0</v>
      </c>
      <c r="AY78" s="528">
        <v>0</v>
      </c>
      <c r="AZ78" s="528"/>
      <c r="BA78" s="528" t="s">
        <v>1145</v>
      </c>
      <c r="BB78" s="528"/>
      <c r="BC78" s="528" t="s">
        <v>1145</v>
      </c>
      <c r="BD78" s="528"/>
      <c r="BE78" s="528"/>
      <c r="BF78" s="528"/>
      <c r="BG78" s="529"/>
      <c r="BH78" s="525"/>
      <c r="BI78" s="528"/>
      <c r="BJ78" s="528" t="s">
        <v>1146</v>
      </c>
      <c r="BK78" s="528"/>
      <c r="BL78" s="529"/>
      <c r="BM78" s="567" t="s">
        <v>430</v>
      </c>
      <c r="BN78" s="525" t="s">
        <v>1121</v>
      </c>
    </row>
    <row r="79" spans="1:66" ht="13" customHeight="1" x14ac:dyDescent="0.2">
      <c r="A79" s="525">
        <v>1687</v>
      </c>
      <c r="B79" s="565">
        <v>44755</v>
      </c>
      <c r="C79" s="526" t="s">
        <v>295</v>
      </c>
      <c r="D79" s="525" t="s">
        <v>1113</v>
      </c>
      <c r="E79" s="527">
        <v>44715</v>
      </c>
      <c r="F79" s="529" t="s">
        <v>1106</v>
      </c>
      <c r="G79" s="525" t="s">
        <v>2</v>
      </c>
      <c r="H79" s="532">
        <v>77.999999999999986</v>
      </c>
      <c r="I79" s="531" t="s">
        <v>296</v>
      </c>
      <c r="J79" s="568">
        <v>6000</v>
      </c>
      <c r="K79" s="568">
        <v>6000</v>
      </c>
      <c r="L79" s="568">
        <v>6000</v>
      </c>
      <c r="M79" s="568">
        <v>6000</v>
      </c>
      <c r="N79" s="525"/>
      <c r="O79" s="532">
        <v>2.5999999999999996</v>
      </c>
      <c r="P79" s="406">
        <v>0</v>
      </c>
      <c r="Q79" s="406">
        <v>0</v>
      </c>
      <c r="R79" s="406">
        <v>0</v>
      </c>
      <c r="S79" s="532">
        <v>2.5999999999999996</v>
      </c>
      <c r="T79" s="533"/>
      <c r="U79" s="532">
        <v>2.5999999999999996</v>
      </c>
      <c r="V79" s="406">
        <v>0</v>
      </c>
      <c r="W79" s="406">
        <v>0</v>
      </c>
      <c r="X79" s="406">
        <v>0</v>
      </c>
      <c r="Y79" s="532">
        <v>2.5999999999999996</v>
      </c>
      <c r="Z79" s="533"/>
      <c r="AA79" s="533"/>
      <c r="AB79" s="533"/>
      <c r="AC79" s="533"/>
      <c r="AD79" s="533"/>
      <c r="AE79" s="533"/>
      <c r="AF79" s="533"/>
      <c r="AG79" s="528" t="s">
        <v>297</v>
      </c>
      <c r="AH79" s="528" t="s">
        <v>298</v>
      </c>
      <c r="AI79" s="528">
        <v>2</v>
      </c>
      <c r="AJ79" s="528">
        <v>4</v>
      </c>
      <c r="AK79" s="483">
        <v>0.33329999999999999</v>
      </c>
      <c r="AL79" s="483">
        <v>0.66659999999999997</v>
      </c>
      <c r="AM79" s="525" t="s">
        <v>1124</v>
      </c>
      <c r="AN79" s="528">
        <v>0</v>
      </c>
      <c r="AO79" s="528">
        <v>0</v>
      </c>
      <c r="AP79" s="528">
        <v>0</v>
      </c>
      <c r="AQ79" s="528">
        <v>0</v>
      </c>
      <c r="AR79" s="528">
        <v>0</v>
      </c>
      <c r="AS79" s="528">
        <v>0</v>
      </c>
      <c r="AT79" s="528">
        <v>0</v>
      </c>
      <c r="AU79" s="528">
        <v>0</v>
      </c>
      <c r="AV79" s="528">
        <v>0</v>
      </c>
      <c r="AW79" s="528">
        <v>0</v>
      </c>
      <c r="AX79" s="528">
        <v>0</v>
      </c>
      <c r="AY79" s="528">
        <v>0</v>
      </c>
      <c r="AZ79" s="528"/>
      <c r="BA79" s="528" t="s">
        <v>1145</v>
      </c>
      <c r="BB79" s="528"/>
      <c r="BC79" s="528" t="s">
        <v>1145</v>
      </c>
      <c r="BD79" s="528"/>
      <c r="BE79" s="528"/>
      <c r="BF79" s="529"/>
      <c r="BG79" s="525"/>
      <c r="BH79" s="528"/>
      <c r="BI79" s="528"/>
      <c r="BJ79" s="528" t="s">
        <v>1146</v>
      </c>
      <c r="BK79" s="528">
        <v>1</v>
      </c>
      <c r="BL79" s="525"/>
      <c r="BM79" s="567" t="s">
        <v>430</v>
      </c>
      <c r="BN79" s="525" t="s">
        <v>368</v>
      </c>
    </row>
    <row r="80" spans="1:66" ht="13" customHeight="1" x14ac:dyDescent="0.2">
      <c r="A80" s="525">
        <v>3346</v>
      </c>
      <c r="B80" s="565">
        <v>44755</v>
      </c>
      <c r="C80" s="526" t="s">
        <v>1138</v>
      </c>
      <c r="D80" s="525" t="s">
        <v>1113</v>
      </c>
      <c r="E80" s="527">
        <v>44593</v>
      </c>
      <c r="F80" s="525" t="s">
        <v>34</v>
      </c>
      <c r="G80" s="525" t="s">
        <v>1656</v>
      </c>
      <c r="H80" s="532">
        <v>80.427272727272722</v>
      </c>
      <c r="I80" s="394"/>
      <c r="J80" s="394"/>
      <c r="K80" s="394"/>
      <c r="L80" s="332"/>
      <c r="M80" s="332"/>
      <c r="N80" s="332"/>
      <c r="O80" s="532">
        <v>1.7363636363636361</v>
      </c>
      <c r="P80" s="406">
        <v>0</v>
      </c>
      <c r="Q80" s="406">
        <v>0</v>
      </c>
      <c r="R80" s="406">
        <v>0</v>
      </c>
      <c r="S80" s="406">
        <v>0</v>
      </c>
      <c r="T80" s="571"/>
      <c r="U80" s="532">
        <v>1.5727272727272725</v>
      </c>
      <c r="V80" s="406">
        <v>0</v>
      </c>
      <c r="W80" s="406">
        <v>0</v>
      </c>
      <c r="X80" s="406">
        <v>0</v>
      </c>
      <c r="Y80" s="406">
        <v>0</v>
      </c>
      <c r="Z80" s="571"/>
      <c r="AA80" s="571"/>
      <c r="AB80" s="571"/>
      <c r="AC80" s="571"/>
      <c r="AD80" s="571"/>
      <c r="AE80" s="571"/>
      <c r="AF80" s="571"/>
      <c r="AG80" s="333" t="s">
        <v>1143</v>
      </c>
      <c r="AH80" s="333" t="s">
        <v>1144</v>
      </c>
      <c r="AI80" s="528">
        <v>2</v>
      </c>
      <c r="AJ80" s="528">
        <v>4</v>
      </c>
      <c r="AK80" s="483">
        <v>0.33329999999999999</v>
      </c>
      <c r="AL80" s="483">
        <v>0.66659999999999997</v>
      </c>
      <c r="AM80" s="525" t="s">
        <v>1124</v>
      </c>
      <c r="AN80" s="528">
        <v>0</v>
      </c>
      <c r="AO80" s="528">
        <v>0</v>
      </c>
      <c r="AP80" s="528">
        <v>0</v>
      </c>
      <c r="AQ80" s="528">
        <v>0</v>
      </c>
      <c r="AR80" s="528">
        <v>0</v>
      </c>
      <c r="AS80" s="528">
        <v>0</v>
      </c>
      <c r="AT80" s="528">
        <v>0</v>
      </c>
      <c r="AU80" s="528">
        <v>0</v>
      </c>
      <c r="AV80" s="528">
        <v>0</v>
      </c>
      <c r="AW80" s="528">
        <v>0</v>
      </c>
      <c r="AX80" s="528">
        <v>0</v>
      </c>
      <c r="AY80" s="528">
        <v>0</v>
      </c>
      <c r="AZ80" s="528"/>
      <c r="BA80" s="528" t="s">
        <v>1145</v>
      </c>
      <c r="BB80" s="528"/>
      <c r="BC80" s="528" t="s">
        <v>1145</v>
      </c>
      <c r="BD80" s="528"/>
      <c r="BE80" s="528"/>
      <c r="BF80" s="528"/>
      <c r="BG80" s="529"/>
      <c r="BH80" s="525"/>
      <c r="BI80" s="528"/>
      <c r="BJ80" s="528" t="s">
        <v>411</v>
      </c>
      <c r="BK80" s="528"/>
      <c r="BL80" s="529" t="s">
        <v>1284</v>
      </c>
      <c r="BM80" s="569" t="s">
        <v>1681</v>
      </c>
      <c r="BN80" s="525" t="s">
        <v>368</v>
      </c>
    </row>
    <row r="81" spans="1:66" ht="13" customHeight="1" x14ac:dyDescent="0.2">
      <c r="A81" s="525">
        <v>2744</v>
      </c>
      <c r="B81" s="565">
        <v>44755</v>
      </c>
      <c r="C81" s="526" t="s">
        <v>1138</v>
      </c>
      <c r="D81" s="525" t="s">
        <v>1113</v>
      </c>
      <c r="E81" s="527">
        <v>44708</v>
      </c>
      <c r="F81" s="525" t="s">
        <v>1274</v>
      </c>
      <c r="G81" s="525" t="s">
        <v>1467</v>
      </c>
      <c r="H81" s="532">
        <v>85.999999999999986</v>
      </c>
      <c r="I81" s="394" t="s">
        <v>296</v>
      </c>
      <c r="J81" s="409">
        <v>6000</v>
      </c>
      <c r="K81" s="332">
        <v>13500</v>
      </c>
      <c r="L81" s="332">
        <v>13500</v>
      </c>
      <c r="M81" s="332">
        <v>13500</v>
      </c>
      <c r="N81" s="332"/>
      <c r="O81" s="532">
        <v>2.1454545454545451</v>
      </c>
      <c r="P81" s="532">
        <v>2.0727272727272723</v>
      </c>
      <c r="Q81" s="406">
        <v>0</v>
      </c>
      <c r="R81" s="406">
        <v>0</v>
      </c>
      <c r="S81" s="532">
        <v>1.7</v>
      </c>
      <c r="T81" s="571"/>
      <c r="U81" s="532">
        <v>2.1454545454545451</v>
      </c>
      <c r="V81" s="532">
        <v>2.0727272727272723</v>
      </c>
      <c r="W81" s="406">
        <v>0</v>
      </c>
      <c r="X81" s="406">
        <v>0</v>
      </c>
      <c r="Y81" s="532">
        <v>1.7</v>
      </c>
      <c r="Z81" s="571"/>
      <c r="AA81" s="571"/>
      <c r="AB81" s="571"/>
      <c r="AC81" s="571"/>
      <c r="AD81" s="571"/>
      <c r="AE81" s="571"/>
      <c r="AF81" s="571"/>
      <c r="AG81" s="333" t="s">
        <v>1145</v>
      </c>
      <c r="AH81" s="333"/>
      <c r="AI81" s="528">
        <v>3</v>
      </c>
      <c r="AJ81" s="528">
        <v>3</v>
      </c>
      <c r="AK81" s="480">
        <v>0.5</v>
      </c>
      <c r="AL81" s="480">
        <v>0.5</v>
      </c>
      <c r="AM81" s="525"/>
      <c r="AN81" s="528">
        <v>0</v>
      </c>
      <c r="AO81" s="528">
        <v>7</v>
      </c>
      <c r="AP81" s="528">
        <v>0</v>
      </c>
      <c r="AQ81" s="528">
        <v>3</v>
      </c>
      <c r="AR81" s="528">
        <v>0</v>
      </c>
      <c r="AS81" s="528">
        <v>0</v>
      </c>
      <c r="AT81" s="528">
        <v>0</v>
      </c>
      <c r="AU81" s="528">
        <v>0</v>
      </c>
      <c r="AV81" s="528">
        <v>0</v>
      </c>
      <c r="AW81" s="528">
        <v>0</v>
      </c>
      <c r="AX81" s="528">
        <v>0</v>
      </c>
      <c r="AY81" s="528">
        <v>0</v>
      </c>
      <c r="AZ81" s="528"/>
      <c r="BA81" s="528" t="s">
        <v>1145</v>
      </c>
      <c r="BB81" s="528"/>
      <c r="BC81" s="528" t="s">
        <v>1145</v>
      </c>
      <c r="BD81" s="528"/>
      <c r="BE81" s="528"/>
      <c r="BF81" s="528"/>
      <c r="BG81" s="529"/>
      <c r="BH81" s="525"/>
      <c r="BI81" s="528"/>
      <c r="BJ81" s="528" t="s">
        <v>1146</v>
      </c>
      <c r="BK81" s="528"/>
      <c r="BL81" s="529"/>
      <c r="BM81" s="567" t="s">
        <v>430</v>
      </c>
      <c r="BN81" s="525" t="s">
        <v>368</v>
      </c>
    </row>
    <row r="82" spans="1:66" ht="13" customHeight="1" x14ac:dyDescent="0.2">
      <c r="A82" s="525">
        <v>3576</v>
      </c>
      <c r="B82" s="565">
        <v>44755</v>
      </c>
      <c r="C82" s="526" t="s">
        <v>1138</v>
      </c>
      <c r="D82" s="525" t="s">
        <v>1113</v>
      </c>
      <c r="E82" s="570">
        <v>44562</v>
      </c>
      <c r="F82" s="525" t="s">
        <v>1291</v>
      </c>
      <c r="G82" s="525" t="s">
        <v>1658</v>
      </c>
      <c r="H82" s="532">
        <v>102.90909090909091</v>
      </c>
      <c r="I82" s="571"/>
      <c r="J82" s="571"/>
      <c r="K82" s="571"/>
      <c r="L82" s="571"/>
      <c r="M82" s="332"/>
      <c r="N82" s="332"/>
      <c r="O82" s="532">
        <v>1.6272727272727272</v>
      </c>
      <c r="P82" s="406">
        <v>0</v>
      </c>
      <c r="Q82" s="406">
        <v>0</v>
      </c>
      <c r="R82" s="406">
        <v>0</v>
      </c>
      <c r="S82" s="406">
        <v>0</v>
      </c>
      <c r="T82" s="571"/>
      <c r="U82" s="532">
        <v>1.6272727272727272</v>
      </c>
      <c r="V82" s="406">
        <v>0</v>
      </c>
      <c r="W82" s="406">
        <v>0</v>
      </c>
      <c r="X82" s="406">
        <v>0</v>
      </c>
      <c r="Y82" s="406">
        <v>0</v>
      </c>
      <c r="Z82" s="571"/>
      <c r="AA82" s="571"/>
      <c r="AB82" s="571"/>
      <c r="AC82" s="571"/>
      <c r="AD82" s="571"/>
      <c r="AE82" s="571"/>
      <c r="AF82" s="571"/>
      <c r="AG82" s="333" t="s">
        <v>1143</v>
      </c>
      <c r="AH82" s="333" t="s">
        <v>1144</v>
      </c>
      <c r="AI82" s="528">
        <v>2</v>
      </c>
      <c r="AJ82" s="528">
        <v>4</v>
      </c>
      <c r="AK82" s="483">
        <v>0.33329999999999999</v>
      </c>
      <c r="AL82" s="483">
        <v>0.66659999999999997</v>
      </c>
      <c r="AM82" s="525" t="s">
        <v>1124</v>
      </c>
      <c r="AN82" s="528">
        <v>0</v>
      </c>
      <c r="AO82" s="528">
        <v>0</v>
      </c>
      <c r="AP82" s="528">
        <v>0</v>
      </c>
      <c r="AQ82" s="528">
        <v>0</v>
      </c>
      <c r="AR82" s="528">
        <v>0</v>
      </c>
      <c r="AS82" s="528">
        <v>0</v>
      </c>
      <c r="AT82" s="528">
        <v>0</v>
      </c>
      <c r="AU82" s="528">
        <v>0</v>
      </c>
      <c r="AV82" s="528">
        <v>0</v>
      </c>
      <c r="AW82" s="528">
        <v>0</v>
      </c>
      <c r="AX82" s="528">
        <v>0</v>
      </c>
      <c r="AY82" s="528">
        <v>0</v>
      </c>
      <c r="AZ82" s="528"/>
      <c r="BA82" s="528" t="s">
        <v>1145</v>
      </c>
      <c r="BB82" s="528"/>
      <c r="BC82" s="528" t="s">
        <v>1145</v>
      </c>
      <c r="BD82" s="528"/>
      <c r="BE82" s="528"/>
      <c r="BF82" s="528"/>
      <c r="BG82" s="529"/>
      <c r="BH82" s="525"/>
      <c r="BI82" s="528"/>
      <c r="BJ82" s="528" t="s">
        <v>1146</v>
      </c>
      <c r="BK82" s="528"/>
      <c r="BL82" s="529" t="s">
        <v>1659</v>
      </c>
      <c r="BM82" s="569" t="s">
        <v>1682</v>
      </c>
      <c r="BN82" s="525" t="s">
        <v>1121</v>
      </c>
    </row>
    <row r="83" spans="1:66" ht="13" customHeight="1" x14ac:dyDescent="0.2">
      <c r="A83" s="525">
        <v>2935</v>
      </c>
      <c r="B83" s="565">
        <v>44755</v>
      </c>
      <c r="C83" s="526" t="s">
        <v>1138</v>
      </c>
      <c r="D83" s="525" t="s">
        <v>1113</v>
      </c>
      <c r="E83" s="527">
        <v>44743</v>
      </c>
      <c r="F83" s="525" t="s">
        <v>1483</v>
      </c>
      <c r="G83" s="525" t="s">
        <v>1550</v>
      </c>
      <c r="H83" s="532">
        <v>94.999999999999986</v>
      </c>
      <c r="I83" s="531" t="s">
        <v>296</v>
      </c>
      <c r="J83" s="459">
        <v>6000</v>
      </c>
      <c r="K83" s="459">
        <v>12000</v>
      </c>
      <c r="L83" s="459">
        <v>84000</v>
      </c>
      <c r="M83" s="459">
        <v>84000</v>
      </c>
      <c r="N83" s="332"/>
      <c r="O83" s="532">
        <v>2.0090909090909088</v>
      </c>
      <c r="P83" s="532">
        <v>1.8636363636363633</v>
      </c>
      <c r="Q83" s="532">
        <v>1.7545454545454544</v>
      </c>
      <c r="R83" s="406">
        <v>0</v>
      </c>
      <c r="S83" s="532">
        <v>1.3909090909090909</v>
      </c>
      <c r="T83" s="571"/>
      <c r="U83" s="532">
        <v>1.6636363636363636</v>
      </c>
      <c r="V83" s="532">
        <v>1.2818181818181817</v>
      </c>
      <c r="W83" s="532">
        <v>1.2818181818181817</v>
      </c>
      <c r="X83" s="406">
        <v>0</v>
      </c>
      <c r="Y83" s="532">
        <v>1.2727272727272725</v>
      </c>
      <c r="Z83" s="571"/>
      <c r="AA83" s="571"/>
      <c r="AB83" s="571"/>
      <c r="AC83" s="571"/>
      <c r="AD83" s="571"/>
      <c r="AE83" s="571"/>
      <c r="AF83" s="571"/>
      <c r="AG83" s="333" t="s">
        <v>1143</v>
      </c>
      <c r="AH83" s="333" t="s">
        <v>1144</v>
      </c>
      <c r="AI83" s="528">
        <v>2</v>
      </c>
      <c r="AJ83" s="528">
        <v>4</v>
      </c>
      <c r="AK83" s="483">
        <v>0.33329999999999999</v>
      </c>
      <c r="AL83" s="483">
        <v>0.66659999999999997</v>
      </c>
      <c r="AM83" s="525" t="s">
        <v>1124</v>
      </c>
      <c r="AN83" s="528">
        <v>0</v>
      </c>
      <c r="AO83" s="528">
        <v>0</v>
      </c>
      <c r="AP83" s="528">
        <v>0</v>
      </c>
      <c r="AQ83" s="528">
        <v>0</v>
      </c>
      <c r="AR83" s="528">
        <v>0</v>
      </c>
      <c r="AS83" s="528">
        <v>0</v>
      </c>
      <c r="AT83" s="528">
        <v>0</v>
      </c>
      <c r="AU83" s="528">
        <v>0</v>
      </c>
      <c r="AV83" s="528">
        <v>0</v>
      </c>
      <c r="AW83" s="528">
        <v>0</v>
      </c>
      <c r="AX83" s="528">
        <v>0</v>
      </c>
      <c r="AY83" s="528">
        <v>0</v>
      </c>
      <c r="AZ83" s="528"/>
      <c r="BA83" s="528" t="s">
        <v>1145</v>
      </c>
      <c r="BB83" s="528"/>
      <c r="BC83" s="528" t="s">
        <v>1145</v>
      </c>
      <c r="BD83" s="528"/>
      <c r="BE83" s="528">
        <v>12</v>
      </c>
      <c r="BF83" s="564"/>
      <c r="BG83" s="529"/>
      <c r="BH83" s="525"/>
      <c r="BI83" s="528"/>
      <c r="BJ83" s="528" t="s">
        <v>4</v>
      </c>
      <c r="BK83" s="528"/>
      <c r="BL83" s="529"/>
      <c r="BM83" s="569" t="s">
        <v>1683</v>
      </c>
      <c r="BN83" s="525" t="s">
        <v>408</v>
      </c>
    </row>
    <row r="84" spans="1:66" ht="13" customHeight="1" x14ac:dyDescent="0.2">
      <c r="A84" s="525">
        <v>3401</v>
      </c>
      <c r="B84" s="565">
        <v>44755</v>
      </c>
      <c r="C84" s="526" t="s">
        <v>1138</v>
      </c>
      <c r="D84" s="525" t="s">
        <v>1113</v>
      </c>
      <c r="E84" s="527">
        <v>44613</v>
      </c>
      <c r="F84" s="525" t="s">
        <v>1173</v>
      </c>
      <c r="G84" s="525" t="s">
        <v>1570</v>
      </c>
      <c r="H84" s="532">
        <v>85</v>
      </c>
      <c r="I84" s="531" t="s">
        <v>296</v>
      </c>
      <c r="J84" s="459">
        <v>6000</v>
      </c>
      <c r="K84" s="459">
        <v>12000</v>
      </c>
      <c r="L84" s="459">
        <v>84000</v>
      </c>
      <c r="M84" s="459">
        <v>84000</v>
      </c>
      <c r="N84" s="332"/>
      <c r="O84" s="532">
        <v>1.7909090909090908</v>
      </c>
      <c r="P84" s="532">
        <v>1.7</v>
      </c>
      <c r="Q84" s="532">
        <v>1.3909090909090909</v>
      </c>
      <c r="R84" s="406">
        <v>0</v>
      </c>
      <c r="S84" s="532">
        <v>1.2818181818181817</v>
      </c>
      <c r="T84" s="571"/>
      <c r="U84" s="532">
        <v>1.6363636363636362</v>
      </c>
      <c r="V84" s="532">
        <v>1.3363636363636362</v>
      </c>
      <c r="W84" s="532">
        <v>1.2545454545454544</v>
      </c>
      <c r="X84" s="406">
        <v>0</v>
      </c>
      <c r="Y84" s="532">
        <v>1.1363636363636362</v>
      </c>
      <c r="Z84" s="571"/>
      <c r="AA84" s="571"/>
      <c r="AB84" s="571"/>
      <c r="AC84" s="571"/>
      <c r="AD84" s="571"/>
      <c r="AE84" s="571"/>
      <c r="AF84" s="571"/>
      <c r="AG84" s="333" t="s">
        <v>1143</v>
      </c>
      <c r="AH84" s="333" t="s">
        <v>1144</v>
      </c>
      <c r="AI84" s="528">
        <v>2</v>
      </c>
      <c r="AJ84" s="528">
        <v>4</v>
      </c>
      <c r="AK84" s="483">
        <v>0.33329999999999999</v>
      </c>
      <c r="AL84" s="483">
        <v>0.66659999999999997</v>
      </c>
      <c r="AM84" s="525" t="s">
        <v>1124</v>
      </c>
      <c r="AN84" s="528">
        <v>0</v>
      </c>
      <c r="AO84" s="528">
        <v>0</v>
      </c>
      <c r="AP84" s="528">
        <v>0</v>
      </c>
      <c r="AQ84" s="528">
        <v>0</v>
      </c>
      <c r="AR84" s="528">
        <v>0</v>
      </c>
      <c r="AS84" s="528">
        <v>0</v>
      </c>
      <c r="AT84" s="528">
        <v>0</v>
      </c>
      <c r="AU84" s="528">
        <v>0</v>
      </c>
      <c r="AV84" s="528">
        <v>0</v>
      </c>
      <c r="AW84" s="528">
        <v>0</v>
      </c>
      <c r="AX84" s="528">
        <v>0</v>
      </c>
      <c r="AY84" s="528">
        <v>0</v>
      </c>
      <c r="AZ84" s="528"/>
      <c r="BA84" s="528" t="s">
        <v>1145</v>
      </c>
      <c r="BB84" s="528"/>
      <c r="BC84" s="528" t="s">
        <v>1145</v>
      </c>
      <c r="BD84" s="528"/>
      <c r="BE84" s="528"/>
      <c r="BF84" s="564"/>
      <c r="BG84" s="529"/>
      <c r="BH84" s="525"/>
      <c r="BI84" s="528"/>
      <c r="BJ84" s="528" t="s">
        <v>411</v>
      </c>
      <c r="BK84" s="528"/>
      <c r="BL84" s="529"/>
      <c r="BM84" s="569" t="s">
        <v>430</v>
      </c>
      <c r="BN84" s="525" t="s">
        <v>368</v>
      </c>
    </row>
    <row r="85" spans="1:66" ht="13" customHeight="1" x14ac:dyDescent="0.2">
      <c r="A85" s="525">
        <v>3157</v>
      </c>
      <c r="B85" s="565">
        <v>44755</v>
      </c>
      <c r="C85" s="526" t="s">
        <v>1138</v>
      </c>
      <c r="D85" s="525" t="s">
        <v>1114</v>
      </c>
      <c r="E85" s="527">
        <v>44691</v>
      </c>
      <c r="F85" s="529" t="s">
        <v>1139</v>
      </c>
      <c r="G85" s="525" t="s">
        <v>1646</v>
      </c>
      <c r="H85" s="532">
        <v>92.999999999999986</v>
      </c>
      <c r="I85" s="531" t="s">
        <v>296</v>
      </c>
      <c r="J85" s="459">
        <v>6000</v>
      </c>
      <c r="K85" s="459">
        <v>12000</v>
      </c>
      <c r="L85" s="459">
        <v>84000</v>
      </c>
      <c r="M85" s="459">
        <v>84000</v>
      </c>
      <c r="N85" s="525"/>
      <c r="O85" s="532">
        <v>2.1090909090909089</v>
      </c>
      <c r="P85" s="532">
        <v>2.0363636363636366</v>
      </c>
      <c r="Q85" s="532">
        <v>1.3909090909090909</v>
      </c>
      <c r="R85" s="406">
        <v>0</v>
      </c>
      <c r="S85" s="532">
        <v>1.3363636363636362</v>
      </c>
      <c r="T85" s="533"/>
      <c r="U85" s="532">
        <v>1.8090909090909089</v>
      </c>
      <c r="V85" s="532">
        <v>1.5545454545454545</v>
      </c>
      <c r="W85" s="532">
        <v>1.3727272727272726</v>
      </c>
      <c r="X85" s="406">
        <v>0</v>
      </c>
      <c r="Y85" s="532">
        <v>1.2363636363636363</v>
      </c>
      <c r="Z85" s="533"/>
      <c r="AA85" s="533"/>
      <c r="AB85" s="533"/>
      <c r="AC85" s="533"/>
      <c r="AD85" s="533"/>
      <c r="AE85" s="533"/>
      <c r="AF85" s="533"/>
      <c r="AG85" s="528" t="s">
        <v>1143</v>
      </c>
      <c r="AH85" s="528" t="s">
        <v>1144</v>
      </c>
      <c r="AI85" s="528">
        <v>2</v>
      </c>
      <c r="AJ85" s="528">
        <v>4</v>
      </c>
      <c r="AK85" s="483">
        <v>0.33329999999999999</v>
      </c>
      <c r="AL85" s="483">
        <v>0.66659999999999997</v>
      </c>
      <c r="AM85" s="525" t="s">
        <v>1124</v>
      </c>
      <c r="AN85" s="528">
        <v>0</v>
      </c>
      <c r="AO85" s="528">
        <v>0</v>
      </c>
      <c r="AP85" s="528">
        <v>0</v>
      </c>
      <c r="AQ85" s="528">
        <v>0</v>
      </c>
      <c r="AR85" s="528">
        <v>0</v>
      </c>
      <c r="AS85" s="528">
        <v>0</v>
      </c>
      <c r="AT85" s="528">
        <v>0</v>
      </c>
      <c r="AU85" s="528">
        <v>0</v>
      </c>
      <c r="AV85" s="528">
        <v>0</v>
      </c>
      <c r="AW85" s="528">
        <v>0</v>
      </c>
      <c r="AX85" s="528">
        <v>0</v>
      </c>
      <c r="AY85" s="528">
        <v>0</v>
      </c>
      <c r="AZ85" s="528"/>
      <c r="BA85" s="528" t="s">
        <v>1145</v>
      </c>
      <c r="BB85" s="528"/>
      <c r="BC85" s="528" t="s">
        <v>1145</v>
      </c>
      <c r="BD85" s="528"/>
      <c r="BE85" s="528"/>
      <c r="BF85" s="528"/>
      <c r="BG85" s="597"/>
      <c r="BH85" s="598"/>
      <c r="BI85" s="566"/>
      <c r="BJ85" s="528" t="s">
        <v>1146</v>
      </c>
      <c r="BK85" s="528"/>
      <c r="BL85" s="529" t="s">
        <v>1647</v>
      </c>
      <c r="BM85" s="567" t="s">
        <v>430</v>
      </c>
      <c r="BN85" s="525" t="s">
        <v>408</v>
      </c>
    </row>
    <row r="86" spans="1:66" ht="13" customHeight="1" x14ac:dyDescent="0.2">
      <c r="A86" s="525"/>
      <c r="B86" s="599">
        <v>44782</v>
      </c>
      <c r="C86" s="526" t="s">
        <v>1138</v>
      </c>
      <c r="D86" s="525" t="s">
        <v>1114</v>
      </c>
      <c r="E86" s="527">
        <v>44774</v>
      </c>
      <c r="F86" s="529" t="s">
        <v>1148</v>
      </c>
      <c r="G86" s="525" t="s">
        <v>1280</v>
      </c>
      <c r="H86" s="532">
        <v>70.809090909090898</v>
      </c>
      <c r="I86" s="531" t="s">
        <v>296</v>
      </c>
      <c r="J86" s="568">
        <v>6000</v>
      </c>
      <c r="K86" s="568">
        <v>6000</v>
      </c>
      <c r="L86" s="568">
        <v>6000</v>
      </c>
      <c r="M86" s="568">
        <v>6000</v>
      </c>
      <c r="N86" s="525"/>
      <c r="O86" s="532">
        <v>2.5</v>
      </c>
      <c r="P86" s="406">
        <v>0</v>
      </c>
      <c r="Q86" s="406">
        <v>0</v>
      </c>
      <c r="R86" s="406">
        <v>0</v>
      </c>
      <c r="S86" s="532">
        <v>1.9363636363636361</v>
      </c>
      <c r="T86" s="533"/>
      <c r="U86" s="532">
        <v>2.3181818181818179</v>
      </c>
      <c r="V86" s="406">
        <v>0</v>
      </c>
      <c r="W86" s="406">
        <v>0</v>
      </c>
      <c r="X86" s="406">
        <v>0</v>
      </c>
      <c r="Y86" s="532">
        <v>1.8545454545454545</v>
      </c>
      <c r="Z86" s="533"/>
      <c r="AA86" s="533"/>
      <c r="AB86" s="533"/>
      <c r="AC86" s="533"/>
      <c r="AD86" s="533"/>
      <c r="AE86" s="533"/>
      <c r="AF86" s="533"/>
      <c r="AG86" s="528" t="s">
        <v>1143</v>
      </c>
      <c r="AH86" s="528" t="s">
        <v>1144</v>
      </c>
      <c r="AI86" s="528">
        <v>2</v>
      </c>
      <c r="AJ86" s="528">
        <v>4</v>
      </c>
      <c r="AK86" s="483">
        <v>0.33329999999999999</v>
      </c>
      <c r="AL86" s="483">
        <v>0.66659999999999997</v>
      </c>
      <c r="AM86" s="525" t="s">
        <v>1124</v>
      </c>
      <c r="AN86" s="528">
        <v>0</v>
      </c>
      <c r="AO86" s="528">
        <v>0</v>
      </c>
      <c r="AP86" s="528">
        <v>0</v>
      </c>
      <c r="AQ86" s="528">
        <v>0</v>
      </c>
      <c r="AR86" s="528">
        <v>0</v>
      </c>
      <c r="AS86" s="528">
        <v>0</v>
      </c>
      <c r="AT86" s="528">
        <v>0</v>
      </c>
      <c r="AU86" s="528">
        <v>0</v>
      </c>
      <c r="AV86" s="528">
        <v>0</v>
      </c>
      <c r="AW86" s="528">
        <v>0</v>
      </c>
      <c r="AX86" s="528">
        <v>0</v>
      </c>
      <c r="AY86" s="528">
        <v>0</v>
      </c>
      <c r="AZ86" s="528"/>
      <c r="BA86" s="528" t="s">
        <v>1145</v>
      </c>
      <c r="BB86" s="528"/>
      <c r="BC86" s="528" t="s">
        <v>1145</v>
      </c>
      <c r="BD86" s="528"/>
      <c r="BE86" s="528"/>
      <c r="BF86" s="528"/>
      <c r="BG86" s="529"/>
      <c r="BH86" s="525"/>
      <c r="BI86" s="528"/>
      <c r="BJ86" s="528" t="s">
        <v>4</v>
      </c>
      <c r="BK86" s="528"/>
      <c r="BL86" s="529"/>
      <c r="BM86" s="569" t="s">
        <v>430</v>
      </c>
      <c r="BN86" s="525" t="s">
        <v>1121</v>
      </c>
    </row>
    <row r="87" spans="1:66" ht="13" customHeight="1" x14ac:dyDescent="0.2">
      <c r="A87" s="525">
        <v>2557</v>
      </c>
      <c r="B87" s="565">
        <v>44755</v>
      </c>
      <c r="C87" s="526" t="s">
        <v>1138</v>
      </c>
      <c r="D87" s="525" t="s">
        <v>1114</v>
      </c>
      <c r="E87" s="527">
        <v>44720</v>
      </c>
      <c r="F87" s="525" t="s">
        <v>1052</v>
      </c>
      <c r="G87" s="525" t="s">
        <v>1181</v>
      </c>
      <c r="H87" s="532">
        <v>86.963636363636354</v>
      </c>
      <c r="I87" s="531" t="s">
        <v>296</v>
      </c>
      <c r="J87" s="459">
        <v>6000</v>
      </c>
      <c r="K87" s="459">
        <v>12000</v>
      </c>
      <c r="L87" s="459">
        <v>84000</v>
      </c>
      <c r="M87" s="459">
        <v>84000</v>
      </c>
      <c r="N87" s="332"/>
      <c r="O87" s="532">
        <v>2.2272727272727271</v>
      </c>
      <c r="P87" s="532">
        <v>1.9636363636363636</v>
      </c>
      <c r="Q87" s="532">
        <v>1.5999999999999999</v>
      </c>
      <c r="R87" s="406">
        <v>0</v>
      </c>
      <c r="S87" s="532">
        <v>1.5909090909090908</v>
      </c>
      <c r="T87" s="571"/>
      <c r="U87" s="532">
        <v>1.7909090909090908</v>
      </c>
      <c r="V87" s="532">
        <v>1.7399999999999998</v>
      </c>
      <c r="W87" s="532">
        <v>1.5990909090909089</v>
      </c>
      <c r="X87" s="406">
        <v>0</v>
      </c>
      <c r="Y87" s="532">
        <v>1.5554545454545454</v>
      </c>
      <c r="Z87" s="571"/>
      <c r="AA87" s="571"/>
      <c r="AB87" s="571"/>
      <c r="AC87" s="571"/>
      <c r="AD87" s="571"/>
      <c r="AE87" s="571"/>
      <c r="AF87" s="571"/>
      <c r="AG87" s="333" t="s">
        <v>297</v>
      </c>
      <c r="AH87" s="333" t="s">
        <v>298</v>
      </c>
      <c r="AI87" s="528">
        <v>2</v>
      </c>
      <c r="AJ87" s="528">
        <v>4</v>
      </c>
      <c r="AK87" s="483">
        <v>0.33329999999999999</v>
      </c>
      <c r="AL87" s="483">
        <v>0.66659999999999997</v>
      </c>
      <c r="AM87" s="525" t="s">
        <v>1124</v>
      </c>
      <c r="AN87" s="528">
        <v>0</v>
      </c>
      <c r="AO87" s="528">
        <v>0</v>
      </c>
      <c r="AP87" s="528">
        <v>0</v>
      </c>
      <c r="AQ87" s="528">
        <v>0</v>
      </c>
      <c r="AR87" s="528">
        <v>0</v>
      </c>
      <c r="AS87" s="528">
        <v>0</v>
      </c>
      <c r="AT87" s="528">
        <v>0</v>
      </c>
      <c r="AU87" s="528">
        <v>0</v>
      </c>
      <c r="AV87" s="528">
        <v>0</v>
      </c>
      <c r="AW87" s="528">
        <v>0</v>
      </c>
      <c r="AX87" s="528">
        <v>0</v>
      </c>
      <c r="AY87" s="528">
        <v>0</v>
      </c>
      <c r="AZ87" s="528"/>
      <c r="BA87" s="528" t="s">
        <v>1145</v>
      </c>
      <c r="BB87" s="528"/>
      <c r="BC87" s="528" t="s">
        <v>1145</v>
      </c>
      <c r="BD87" s="528"/>
      <c r="BE87" s="528"/>
      <c r="BF87" s="528"/>
      <c r="BG87" s="529"/>
      <c r="BH87" s="525"/>
      <c r="BI87" s="528"/>
      <c r="BJ87" s="528" t="s">
        <v>4</v>
      </c>
      <c r="BK87" s="528"/>
      <c r="BL87" s="529"/>
      <c r="BM87" s="567" t="s">
        <v>1448</v>
      </c>
      <c r="BN87" s="525" t="s">
        <v>408</v>
      </c>
    </row>
    <row r="88" spans="1:66" ht="13" customHeight="1" x14ac:dyDescent="0.2">
      <c r="A88" s="525">
        <v>3527</v>
      </c>
      <c r="B88" s="565">
        <v>44755</v>
      </c>
      <c r="C88" s="526" t="s">
        <v>1138</v>
      </c>
      <c r="D88" s="525" t="s">
        <v>1114</v>
      </c>
      <c r="E88" s="527">
        <v>44734</v>
      </c>
      <c r="F88" s="529" t="s">
        <v>1156</v>
      </c>
      <c r="G88" s="525" t="s">
        <v>1649</v>
      </c>
      <c r="H88" s="532">
        <v>104.5</v>
      </c>
      <c r="I88" s="531" t="s">
        <v>296</v>
      </c>
      <c r="J88" s="459">
        <v>6000</v>
      </c>
      <c r="K88" s="459">
        <v>12000</v>
      </c>
      <c r="L88" s="459">
        <v>84000</v>
      </c>
      <c r="M88" s="459">
        <v>84000</v>
      </c>
      <c r="N88" s="525"/>
      <c r="O88" s="532">
        <v>2.9636363636363634</v>
      </c>
      <c r="P88" s="532">
        <v>2.5</v>
      </c>
      <c r="Q88" s="532">
        <v>2</v>
      </c>
      <c r="R88" s="406">
        <v>0</v>
      </c>
      <c r="S88" s="532">
        <v>1.8727272727272726</v>
      </c>
      <c r="T88" s="533"/>
      <c r="U88" s="532">
        <v>2.2999999999999998</v>
      </c>
      <c r="V88" s="532">
        <v>2.1818181818181817</v>
      </c>
      <c r="W88" s="532">
        <v>1.8999999999999997</v>
      </c>
      <c r="X88" s="406">
        <v>0</v>
      </c>
      <c r="Y88" s="532">
        <v>1.8272727272727269</v>
      </c>
      <c r="Z88" s="533"/>
      <c r="AA88" s="533"/>
      <c r="AB88" s="533"/>
      <c r="AC88" s="533"/>
      <c r="AD88" s="533"/>
      <c r="AE88" s="533"/>
      <c r="AF88" s="533"/>
      <c r="AG88" s="528" t="s">
        <v>1143</v>
      </c>
      <c r="AH88" s="528" t="s">
        <v>1144</v>
      </c>
      <c r="AI88" s="528">
        <v>2</v>
      </c>
      <c r="AJ88" s="528">
        <v>4</v>
      </c>
      <c r="AK88" s="483">
        <v>0.33329999999999999</v>
      </c>
      <c r="AL88" s="483">
        <v>0.66659999999999997</v>
      </c>
      <c r="AM88" s="525" t="s">
        <v>1124</v>
      </c>
      <c r="AN88" s="528">
        <v>8</v>
      </c>
      <c r="AO88" s="528">
        <v>0</v>
      </c>
      <c r="AP88" s="528">
        <v>0</v>
      </c>
      <c r="AQ88" s="528">
        <v>0</v>
      </c>
      <c r="AR88" s="528">
        <v>0</v>
      </c>
      <c r="AS88" s="528">
        <v>0</v>
      </c>
      <c r="AT88" s="528">
        <v>0</v>
      </c>
      <c r="AU88" s="528">
        <v>0</v>
      </c>
      <c r="AV88" s="528">
        <v>0</v>
      </c>
      <c r="AW88" s="528">
        <v>0</v>
      </c>
      <c r="AX88" s="528">
        <v>0</v>
      </c>
      <c r="AY88" s="528">
        <v>0</v>
      </c>
      <c r="AZ88" s="566">
        <v>12</v>
      </c>
      <c r="BA88" s="528" t="s">
        <v>1145</v>
      </c>
      <c r="BB88" s="528"/>
      <c r="BC88" s="528" t="s">
        <v>1145</v>
      </c>
      <c r="BD88" s="528"/>
      <c r="BE88" s="528"/>
      <c r="BF88" s="528"/>
      <c r="BG88" s="529" t="s">
        <v>1622</v>
      </c>
      <c r="BH88" s="525" t="s">
        <v>365</v>
      </c>
      <c r="BI88" s="528">
        <v>25</v>
      </c>
      <c r="BJ88" s="528" t="s">
        <v>1146</v>
      </c>
      <c r="BK88" s="528"/>
      <c r="BL88" s="529" t="s">
        <v>1623</v>
      </c>
      <c r="BM88" s="569" t="s">
        <v>1684</v>
      </c>
      <c r="BN88" s="525" t="s">
        <v>408</v>
      </c>
    </row>
    <row r="89" spans="1:66" ht="13" customHeight="1" x14ac:dyDescent="0.2">
      <c r="A89" s="525">
        <v>2875</v>
      </c>
      <c r="B89" s="565">
        <v>44756</v>
      </c>
      <c r="C89" s="526" t="s">
        <v>1138</v>
      </c>
      <c r="D89" s="525" t="s">
        <v>1114</v>
      </c>
      <c r="E89" s="527">
        <v>44753</v>
      </c>
      <c r="F89" s="529" t="s">
        <v>1159</v>
      </c>
      <c r="G89" s="525" t="s">
        <v>1105</v>
      </c>
      <c r="H89" s="532">
        <v>88.454545454545439</v>
      </c>
      <c r="I89" s="531" t="s">
        <v>296</v>
      </c>
      <c r="J89" s="459">
        <v>6000</v>
      </c>
      <c r="K89" s="459">
        <v>12000</v>
      </c>
      <c r="L89" s="459">
        <v>84000</v>
      </c>
      <c r="M89" s="459">
        <v>84000</v>
      </c>
      <c r="N89" s="525"/>
      <c r="O89" s="532">
        <v>2.0818181818181816</v>
      </c>
      <c r="P89" s="532">
        <v>2.0363636363636366</v>
      </c>
      <c r="Q89" s="532">
        <v>1.6454545454545453</v>
      </c>
      <c r="R89" s="406">
        <v>0</v>
      </c>
      <c r="S89" s="532">
        <v>1.5545454545454545</v>
      </c>
      <c r="T89" s="533"/>
      <c r="U89" s="532">
        <v>1.7818181818181817</v>
      </c>
      <c r="V89" s="532">
        <v>1.6636363636363636</v>
      </c>
      <c r="W89" s="532">
        <v>1.5636363636363635</v>
      </c>
      <c r="X89" s="406">
        <v>0</v>
      </c>
      <c r="Y89" s="532">
        <v>1.5181818181818181</v>
      </c>
      <c r="Z89" s="533"/>
      <c r="AA89" s="533"/>
      <c r="AB89" s="533"/>
      <c r="AC89" s="533"/>
      <c r="AD89" s="533"/>
      <c r="AE89" s="533"/>
      <c r="AF89" s="533"/>
      <c r="AG89" s="528" t="s">
        <v>1143</v>
      </c>
      <c r="AH89" s="528" t="s">
        <v>1144</v>
      </c>
      <c r="AI89" s="528">
        <v>2</v>
      </c>
      <c r="AJ89" s="528">
        <v>4</v>
      </c>
      <c r="AK89" s="483">
        <v>0.33329999999999999</v>
      </c>
      <c r="AL89" s="483">
        <v>0.66659999999999997</v>
      </c>
      <c r="AM89" s="525" t="s">
        <v>1124</v>
      </c>
      <c r="AN89" s="528">
        <v>0</v>
      </c>
      <c r="AO89" s="528">
        <v>0</v>
      </c>
      <c r="AP89" s="528">
        <v>0</v>
      </c>
      <c r="AQ89" s="528">
        <v>0</v>
      </c>
      <c r="AR89" s="528">
        <v>0</v>
      </c>
      <c r="AS89" s="528">
        <v>0</v>
      </c>
      <c r="AT89" s="528">
        <v>0</v>
      </c>
      <c r="AU89" s="528">
        <v>0</v>
      </c>
      <c r="AV89" s="528">
        <v>0</v>
      </c>
      <c r="AW89" s="528">
        <v>0</v>
      </c>
      <c r="AX89" s="528">
        <v>0</v>
      </c>
      <c r="AY89" s="528">
        <v>0</v>
      </c>
      <c r="AZ89" s="528"/>
      <c r="BA89" s="528" t="s">
        <v>1145</v>
      </c>
      <c r="BB89" s="528"/>
      <c r="BC89" s="528" t="s">
        <v>1145</v>
      </c>
      <c r="BD89" s="528"/>
      <c r="BE89" s="528"/>
      <c r="BF89" s="564">
        <v>45230</v>
      </c>
      <c r="BG89" s="529"/>
      <c r="BH89" s="525"/>
      <c r="BI89" s="528"/>
      <c r="BJ89" s="528" t="s">
        <v>1146</v>
      </c>
      <c r="BK89" s="528"/>
      <c r="BL89" s="529"/>
      <c r="BM89" s="567" t="s">
        <v>430</v>
      </c>
      <c r="BN89" s="525" t="s">
        <v>408</v>
      </c>
    </row>
    <row r="90" spans="1:66" ht="13" customHeight="1" x14ac:dyDescent="0.2">
      <c r="A90" s="525">
        <v>3373</v>
      </c>
      <c r="B90" s="565">
        <v>44755</v>
      </c>
      <c r="C90" s="526" t="s">
        <v>1138</v>
      </c>
      <c r="D90" s="525" t="s">
        <v>1114</v>
      </c>
      <c r="E90" s="527">
        <v>44743</v>
      </c>
      <c r="F90" s="529" t="s">
        <v>1166</v>
      </c>
      <c r="G90" s="525" t="s">
        <v>1651</v>
      </c>
      <c r="H90" s="532">
        <v>81.990909090909085</v>
      </c>
      <c r="I90" s="531"/>
      <c r="J90" s="568"/>
      <c r="K90" s="525"/>
      <c r="L90" s="525"/>
      <c r="M90" s="525"/>
      <c r="N90" s="525"/>
      <c r="O90" s="532">
        <v>2.1999999999999997</v>
      </c>
      <c r="P90" s="406">
        <v>0</v>
      </c>
      <c r="Q90" s="406">
        <v>0</v>
      </c>
      <c r="R90" s="406">
        <v>0</v>
      </c>
      <c r="S90" s="406">
        <v>0</v>
      </c>
      <c r="T90" s="533"/>
      <c r="U90" s="532">
        <v>2.1999999999999997</v>
      </c>
      <c r="V90" s="406">
        <v>0</v>
      </c>
      <c r="W90" s="406">
        <v>0</v>
      </c>
      <c r="X90" s="406">
        <v>0</v>
      </c>
      <c r="Y90" s="406">
        <v>0</v>
      </c>
      <c r="Z90" s="533"/>
      <c r="AA90" s="533"/>
      <c r="AB90" s="533"/>
      <c r="AC90" s="533"/>
      <c r="AD90" s="533"/>
      <c r="AE90" s="533"/>
      <c r="AF90" s="533"/>
      <c r="AG90" s="528" t="s">
        <v>1145</v>
      </c>
      <c r="AH90" s="528"/>
      <c r="AI90" s="528">
        <v>3</v>
      </c>
      <c r="AJ90" s="528">
        <v>3</v>
      </c>
      <c r="AK90" s="480">
        <v>0.5</v>
      </c>
      <c r="AL90" s="480">
        <v>0.5</v>
      </c>
      <c r="AM90" s="525"/>
      <c r="AN90" s="528">
        <v>0</v>
      </c>
      <c r="AO90" s="528">
        <v>0</v>
      </c>
      <c r="AP90" s="528">
        <v>0</v>
      </c>
      <c r="AQ90" s="528">
        <v>0</v>
      </c>
      <c r="AR90" s="528">
        <v>0</v>
      </c>
      <c r="AS90" s="528">
        <v>0</v>
      </c>
      <c r="AT90" s="528">
        <v>0</v>
      </c>
      <c r="AU90" s="528">
        <v>0</v>
      </c>
      <c r="AV90" s="528">
        <v>0</v>
      </c>
      <c r="AW90" s="528">
        <v>0</v>
      </c>
      <c r="AX90" s="528">
        <v>0</v>
      </c>
      <c r="AY90" s="528">
        <v>0</v>
      </c>
      <c r="AZ90" s="528"/>
      <c r="BA90" s="528" t="s">
        <v>1145</v>
      </c>
      <c r="BB90" s="528">
        <v>12</v>
      </c>
      <c r="BC90" s="528" t="s">
        <v>1145</v>
      </c>
      <c r="BD90" s="528"/>
      <c r="BE90" s="528"/>
      <c r="BF90" s="528"/>
      <c r="BG90" s="529"/>
      <c r="BH90" s="525"/>
      <c r="BI90" s="528"/>
      <c r="BJ90" s="528" t="s">
        <v>1146</v>
      </c>
      <c r="BK90" s="528"/>
      <c r="BL90" s="529"/>
      <c r="BM90" s="569" t="s">
        <v>1685</v>
      </c>
      <c r="BN90" s="525" t="s">
        <v>408</v>
      </c>
    </row>
    <row r="91" spans="1:66" ht="13" customHeight="1" x14ac:dyDescent="0.2">
      <c r="A91" s="525">
        <v>2401</v>
      </c>
      <c r="B91" s="565">
        <v>44756</v>
      </c>
      <c r="C91" s="526" t="s">
        <v>1138</v>
      </c>
      <c r="D91" s="525" t="s">
        <v>1114</v>
      </c>
      <c r="E91" s="570">
        <v>44651</v>
      </c>
      <c r="F91" s="529" t="s">
        <v>1168</v>
      </c>
      <c r="G91" s="525" t="s">
        <v>1297</v>
      </c>
      <c r="H91" s="532">
        <v>91.5</v>
      </c>
      <c r="I91" s="531" t="s">
        <v>296</v>
      </c>
      <c r="J91" s="459">
        <v>6000</v>
      </c>
      <c r="K91" s="459">
        <v>12000</v>
      </c>
      <c r="L91" s="459">
        <v>84000</v>
      </c>
      <c r="M91" s="459">
        <v>84000</v>
      </c>
      <c r="N91" s="525"/>
      <c r="O91" s="532">
        <v>2.1636363636363636</v>
      </c>
      <c r="P91" s="532">
        <v>2.0545454545454542</v>
      </c>
      <c r="Q91" s="532">
        <v>1.9363636363636361</v>
      </c>
      <c r="R91" s="406">
        <v>0</v>
      </c>
      <c r="S91" s="532">
        <v>1.7090909090909088</v>
      </c>
      <c r="T91" s="533"/>
      <c r="U91" s="532">
        <v>1.9818181818181817</v>
      </c>
      <c r="V91" s="532">
        <v>1.8818181818181816</v>
      </c>
      <c r="W91" s="532">
        <v>1.7090909090909088</v>
      </c>
      <c r="X91" s="406">
        <v>0</v>
      </c>
      <c r="Y91" s="532">
        <v>1.6181818181818182</v>
      </c>
      <c r="Z91" s="533"/>
      <c r="AA91" s="533"/>
      <c r="AB91" s="533"/>
      <c r="AC91" s="533"/>
      <c r="AD91" s="533"/>
      <c r="AE91" s="533"/>
      <c r="AF91" s="533"/>
      <c r="AG91" s="528" t="s">
        <v>1143</v>
      </c>
      <c r="AH91" s="528" t="s">
        <v>1144</v>
      </c>
      <c r="AI91" s="528">
        <v>2</v>
      </c>
      <c r="AJ91" s="528">
        <v>4</v>
      </c>
      <c r="AK91" s="483">
        <v>0.33329999999999999</v>
      </c>
      <c r="AL91" s="483">
        <v>0.66659999999999997</v>
      </c>
      <c r="AM91" s="525" t="s">
        <v>1124</v>
      </c>
      <c r="AN91" s="528">
        <v>0</v>
      </c>
      <c r="AO91" s="528">
        <v>0</v>
      </c>
      <c r="AP91" s="528">
        <v>0</v>
      </c>
      <c r="AQ91" s="528">
        <v>0</v>
      </c>
      <c r="AR91" s="528">
        <v>0</v>
      </c>
      <c r="AS91" s="528">
        <v>0</v>
      </c>
      <c r="AT91" s="528">
        <v>0</v>
      </c>
      <c r="AU91" s="528">
        <v>0</v>
      </c>
      <c r="AV91" s="528">
        <v>0</v>
      </c>
      <c r="AW91" s="528">
        <v>0</v>
      </c>
      <c r="AX91" s="528">
        <v>0</v>
      </c>
      <c r="AY91" s="528">
        <v>0</v>
      </c>
      <c r="AZ91" s="528"/>
      <c r="BA91" s="528" t="s">
        <v>1145</v>
      </c>
      <c r="BB91" s="528"/>
      <c r="BC91" s="528" t="s">
        <v>1145</v>
      </c>
      <c r="BD91" s="528"/>
      <c r="BE91" s="528"/>
      <c r="BF91" s="528"/>
      <c r="BG91" s="529"/>
      <c r="BH91" s="525"/>
      <c r="BI91" s="528"/>
      <c r="BJ91" s="528" t="s">
        <v>1146</v>
      </c>
      <c r="BK91" s="528"/>
      <c r="BL91" s="529"/>
      <c r="BM91" s="567" t="s">
        <v>430</v>
      </c>
      <c r="BN91" s="525" t="s">
        <v>368</v>
      </c>
    </row>
    <row r="92" spans="1:66" ht="13" customHeight="1" x14ac:dyDescent="0.2">
      <c r="A92" s="525">
        <v>3572</v>
      </c>
      <c r="B92" s="565">
        <v>44755</v>
      </c>
      <c r="C92" s="526" t="s">
        <v>295</v>
      </c>
      <c r="D92" s="525" t="s">
        <v>1114</v>
      </c>
      <c r="E92" s="527">
        <v>44743</v>
      </c>
      <c r="F92" s="529" t="s">
        <v>1169</v>
      </c>
      <c r="G92" s="525" t="s">
        <v>1654</v>
      </c>
      <c r="H92" s="532">
        <v>87.663636363636357</v>
      </c>
      <c r="I92" s="531" t="s">
        <v>296</v>
      </c>
      <c r="J92" s="459">
        <v>6000</v>
      </c>
      <c r="K92" s="459">
        <v>12000</v>
      </c>
      <c r="L92" s="459">
        <v>84000</v>
      </c>
      <c r="M92" s="459">
        <v>84000</v>
      </c>
      <c r="N92" s="525"/>
      <c r="O92" s="532">
        <v>3.2636363636363632</v>
      </c>
      <c r="P92" s="532">
        <v>3.1999999999999997</v>
      </c>
      <c r="Q92" s="532">
        <v>2.1727272727272728</v>
      </c>
      <c r="R92" s="406">
        <v>0</v>
      </c>
      <c r="S92" s="532">
        <v>2.1181818181818182</v>
      </c>
      <c r="T92" s="533"/>
      <c r="U92" s="532">
        <v>2.4909090909090907</v>
      </c>
      <c r="V92" s="532">
        <v>2.4</v>
      </c>
      <c r="W92" s="532">
        <v>2.1545454545454543</v>
      </c>
      <c r="X92" s="406">
        <v>0</v>
      </c>
      <c r="Y92" s="532">
        <v>2.0181818181818181</v>
      </c>
      <c r="Z92" s="533"/>
      <c r="AA92" s="533"/>
      <c r="AB92" s="533"/>
      <c r="AC92" s="533"/>
      <c r="AD92" s="533"/>
      <c r="AE92" s="533"/>
      <c r="AF92" s="533"/>
      <c r="AG92" s="528" t="s">
        <v>297</v>
      </c>
      <c r="AH92" s="528" t="s">
        <v>298</v>
      </c>
      <c r="AI92" s="528">
        <v>2</v>
      </c>
      <c r="AJ92" s="528">
        <v>4</v>
      </c>
      <c r="AK92" s="483">
        <v>0.33329999999999999</v>
      </c>
      <c r="AL92" s="483">
        <v>0.66659999999999997</v>
      </c>
      <c r="AM92" s="525" t="s">
        <v>1124</v>
      </c>
      <c r="AN92" s="528">
        <v>0</v>
      </c>
      <c r="AO92" s="528">
        <v>0</v>
      </c>
      <c r="AP92" s="528">
        <v>0</v>
      </c>
      <c r="AQ92" s="528">
        <v>0</v>
      </c>
      <c r="AR92" s="528">
        <v>0</v>
      </c>
      <c r="AS92" s="528">
        <v>0</v>
      </c>
      <c r="AT92" s="528">
        <v>0</v>
      </c>
      <c r="AU92" s="528">
        <v>0</v>
      </c>
      <c r="AV92" s="528">
        <v>0</v>
      </c>
      <c r="AW92" s="528">
        <v>0</v>
      </c>
      <c r="AX92" s="528">
        <v>0</v>
      </c>
      <c r="AY92" s="528">
        <v>0</v>
      </c>
      <c r="AZ92" s="528"/>
      <c r="BA92" s="528" t="s">
        <v>1145</v>
      </c>
      <c r="BB92" s="528"/>
      <c r="BC92" s="528" t="s">
        <v>1145</v>
      </c>
      <c r="BD92" s="528"/>
      <c r="BE92" s="528"/>
      <c r="BF92" s="528"/>
      <c r="BG92" s="529"/>
      <c r="BH92" s="525"/>
      <c r="BI92" s="528"/>
      <c r="BJ92" s="528" t="s">
        <v>1146</v>
      </c>
      <c r="BK92" s="528"/>
      <c r="BL92" s="529"/>
      <c r="BM92" s="567" t="s">
        <v>1686</v>
      </c>
      <c r="BN92" s="525" t="s">
        <v>1121</v>
      </c>
    </row>
    <row r="93" spans="1:66" ht="13" customHeight="1" x14ac:dyDescent="0.2">
      <c r="A93" s="525">
        <v>1689</v>
      </c>
      <c r="B93" s="565">
        <v>44755</v>
      </c>
      <c r="C93" s="526" t="s">
        <v>295</v>
      </c>
      <c r="D93" s="525" t="s">
        <v>1114</v>
      </c>
      <c r="E93" s="527">
        <v>44715</v>
      </c>
      <c r="F93" s="529" t="s">
        <v>1106</v>
      </c>
      <c r="G93" s="525" t="s">
        <v>2</v>
      </c>
      <c r="H93" s="532">
        <v>77.999999999999986</v>
      </c>
      <c r="I93" s="531" t="s">
        <v>296</v>
      </c>
      <c r="J93" s="568">
        <v>6000</v>
      </c>
      <c r="K93" s="568">
        <v>6000</v>
      </c>
      <c r="L93" s="568">
        <v>6000</v>
      </c>
      <c r="M93" s="568">
        <v>6000</v>
      </c>
      <c r="N93" s="525"/>
      <c r="O93" s="532">
        <v>2.9</v>
      </c>
      <c r="P93" s="406">
        <v>0</v>
      </c>
      <c r="Q93" s="406">
        <v>0</v>
      </c>
      <c r="R93" s="406">
        <v>0</v>
      </c>
      <c r="S93" s="532">
        <v>2.754545454545454</v>
      </c>
      <c r="T93" s="533"/>
      <c r="U93" s="532">
        <v>2.5999999999999996</v>
      </c>
      <c r="V93" s="406">
        <v>0</v>
      </c>
      <c r="W93" s="406">
        <v>0</v>
      </c>
      <c r="X93" s="406">
        <v>0</v>
      </c>
      <c r="Y93" s="532">
        <v>2.5</v>
      </c>
      <c r="Z93" s="533"/>
      <c r="AA93" s="533"/>
      <c r="AB93" s="533"/>
      <c r="AC93" s="533"/>
      <c r="AD93" s="533"/>
      <c r="AE93" s="533"/>
      <c r="AF93" s="533"/>
      <c r="AG93" s="528" t="s">
        <v>297</v>
      </c>
      <c r="AH93" s="528" t="s">
        <v>298</v>
      </c>
      <c r="AI93" s="528">
        <v>2</v>
      </c>
      <c r="AJ93" s="528">
        <v>4</v>
      </c>
      <c r="AK93" s="483">
        <v>0.33329999999999999</v>
      </c>
      <c r="AL93" s="483">
        <v>0.66659999999999997</v>
      </c>
      <c r="AM93" s="525" t="s">
        <v>1124</v>
      </c>
      <c r="AN93" s="528">
        <v>0</v>
      </c>
      <c r="AO93" s="528">
        <v>0</v>
      </c>
      <c r="AP93" s="528">
        <v>0</v>
      </c>
      <c r="AQ93" s="528">
        <v>0</v>
      </c>
      <c r="AR93" s="528">
        <v>0</v>
      </c>
      <c r="AS93" s="528">
        <v>0</v>
      </c>
      <c r="AT93" s="528">
        <v>0</v>
      </c>
      <c r="AU93" s="528">
        <v>0</v>
      </c>
      <c r="AV93" s="528">
        <v>0</v>
      </c>
      <c r="AW93" s="528">
        <v>0</v>
      </c>
      <c r="AX93" s="528">
        <v>0</v>
      </c>
      <c r="AY93" s="528">
        <v>0</v>
      </c>
      <c r="AZ93" s="528"/>
      <c r="BA93" s="528" t="s">
        <v>1145</v>
      </c>
      <c r="BB93" s="528"/>
      <c r="BC93" s="528" t="s">
        <v>1145</v>
      </c>
      <c r="BD93" s="528"/>
      <c r="BE93" s="528"/>
      <c r="BF93" s="529"/>
      <c r="BG93" s="525"/>
      <c r="BH93" s="528"/>
      <c r="BI93" s="528"/>
      <c r="BJ93" s="528" t="s">
        <v>1146</v>
      </c>
      <c r="BK93" s="528">
        <v>1</v>
      </c>
      <c r="BL93" s="525"/>
      <c r="BM93" s="529" t="s">
        <v>430</v>
      </c>
      <c r="BN93" s="525" t="s">
        <v>368</v>
      </c>
    </row>
    <row r="94" spans="1:66" ht="13" customHeight="1" x14ac:dyDescent="0.2">
      <c r="A94" s="525">
        <v>3345</v>
      </c>
      <c r="B94" s="565">
        <v>44755</v>
      </c>
      <c r="C94" s="526" t="s">
        <v>1138</v>
      </c>
      <c r="D94" s="525" t="s">
        <v>1114</v>
      </c>
      <c r="E94" s="527">
        <v>44593</v>
      </c>
      <c r="F94" s="525" t="s">
        <v>34</v>
      </c>
      <c r="G94" s="525" t="s">
        <v>1656</v>
      </c>
      <c r="H94" s="532">
        <v>80.427272727272722</v>
      </c>
      <c r="I94" s="394"/>
      <c r="J94" s="394"/>
      <c r="K94" s="394"/>
      <c r="L94" s="332"/>
      <c r="M94" s="332"/>
      <c r="N94" s="332"/>
      <c r="O94" s="532">
        <v>1.9090909090909089</v>
      </c>
      <c r="P94" s="406">
        <v>0</v>
      </c>
      <c r="Q94" s="406">
        <v>0</v>
      </c>
      <c r="R94" s="406">
        <v>0</v>
      </c>
      <c r="S94" s="406">
        <v>0</v>
      </c>
      <c r="T94" s="571"/>
      <c r="U94" s="532">
        <v>1.6181818181818182</v>
      </c>
      <c r="V94" s="406">
        <v>0</v>
      </c>
      <c r="W94" s="406">
        <v>0</v>
      </c>
      <c r="X94" s="406">
        <v>0</v>
      </c>
      <c r="Y94" s="406">
        <v>0</v>
      </c>
      <c r="Z94" s="571"/>
      <c r="AA94" s="571"/>
      <c r="AB94" s="571"/>
      <c r="AC94" s="571"/>
      <c r="AD94" s="571"/>
      <c r="AE94" s="571"/>
      <c r="AF94" s="571"/>
      <c r="AG94" s="333" t="s">
        <v>1143</v>
      </c>
      <c r="AH94" s="333" t="s">
        <v>1144</v>
      </c>
      <c r="AI94" s="528">
        <v>2</v>
      </c>
      <c r="AJ94" s="528">
        <v>4</v>
      </c>
      <c r="AK94" s="483">
        <v>0.33329999999999999</v>
      </c>
      <c r="AL94" s="483">
        <v>0.66659999999999997</v>
      </c>
      <c r="AM94" s="525" t="s">
        <v>1124</v>
      </c>
      <c r="AN94" s="528">
        <v>0</v>
      </c>
      <c r="AO94" s="528">
        <v>0</v>
      </c>
      <c r="AP94" s="528">
        <v>0</v>
      </c>
      <c r="AQ94" s="528">
        <v>0</v>
      </c>
      <c r="AR94" s="528">
        <v>0</v>
      </c>
      <c r="AS94" s="528">
        <v>0</v>
      </c>
      <c r="AT94" s="528">
        <v>0</v>
      </c>
      <c r="AU94" s="528">
        <v>0</v>
      </c>
      <c r="AV94" s="528">
        <v>0</v>
      </c>
      <c r="AW94" s="528">
        <v>0</v>
      </c>
      <c r="AX94" s="528">
        <v>0</v>
      </c>
      <c r="AY94" s="528">
        <v>0</v>
      </c>
      <c r="AZ94" s="528"/>
      <c r="BA94" s="528" t="s">
        <v>1145</v>
      </c>
      <c r="BB94" s="528"/>
      <c r="BC94" s="528" t="s">
        <v>1145</v>
      </c>
      <c r="BD94" s="528"/>
      <c r="BE94" s="528"/>
      <c r="BF94" s="528"/>
      <c r="BG94" s="529"/>
      <c r="BH94" s="525"/>
      <c r="BI94" s="528"/>
      <c r="BJ94" s="528" t="s">
        <v>411</v>
      </c>
      <c r="BK94" s="528"/>
      <c r="BL94" s="529" t="s">
        <v>1284</v>
      </c>
      <c r="BM94" s="569" t="s">
        <v>1687</v>
      </c>
      <c r="BN94" s="525" t="s">
        <v>368</v>
      </c>
    </row>
    <row r="95" spans="1:66" ht="13" customHeight="1" x14ac:dyDescent="0.2">
      <c r="A95" s="525">
        <v>2743</v>
      </c>
      <c r="B95" s="565">
        <v>44755</v>
      </c>
      <c r="C95" s="526" t="s">
        <v>1138</v>
      </c>
      <c r="D95" s="525" t="s">
        <v>1114</v>
      </c>
      <c r="E95" s="527">
        <v>44708</v>
      </c>
      <c r="F95" s="525" t="s">
        <v>1274</v>
      </c>
      <c r="G95" s="525" t="s">
        <v>1467</v>
      </c>
      <c r="H95" s="532">
        <v>85.999999999999986</v>
      </c>
      <c r="I95" s="394" t="s">
        <v>296</v>
      </c>
      <c r="J95" s="409">
        <v>6000</v>
      </c>
      <c r="K95" s="332">
        <v>13500</v>
      </c>
      <c r="L95" s="332">
        <v>13500</v>
      </c>
      <c r="M95" s="332">
        <v>13500</v>
      </c>
      <c r="N95" s="332"/>
      <c r="O95" s="532">
        <v>2.2999999999999998</v>
      </c>
      <c r="P95" s="532">
        <v>2.0363636363636366</v>
      </c>
      <c r="Q95" s="406">
        <v>0</v>
      </c>
      <c r="R95" s="406">
        <v>0</v>
      </c>
      <c r="S95" s="532">
        <v>1.7</v>
      </c>
      <c r="T95" s="571"/>
      <c r="U95" s="532">
        <v>2.2999999999999998</v>
      </c>
      <c r="V95" s="532">
        <v>2.0363636363636366</v>
      </c>
      <c r="W95" s="406">
        <v>0</v>
      </c>
      <c r="X95" s="406">
        <v>0</v>
      </c>
      <c r="Y95" s="532">
        <v>1.7</v>
      </c>
      <c r="Z95" s="571"/>
      <c r="AA95" s="571"/>
      <c r="AB95" s="571"/>
      <c r="AC95" s="571"/>
      <c r="AD95" s="571"/>
      <c r="AE95" s="571"/>
      <c r="AF95" s="571"/>
      <c r="AG95" s="333" t="s">
        <v>1145</v>
      </c>
      <c r="AH95" s="333"/>
      <c r="AI95" s="528">
        <v>3</v>
      </c>
      <c r="AJ95" s="528">
        <v>3</v>
      </c>
      <c r="AK95" s="480">
        <v>0.5</v>
      </c>
      <c r="AL95" s="480">
        <v>0.5</v>
      </c>
      <c r="AM95" s="525"/>
      <c r="AN95" s="528">
        <v>0</v>
      </c>
      <c r="AO95" s="528">
        <v>7</v>
      </c>
      <c r="AP95" s="528">
        <v>0</v>
      </c>
      <c r="AQ95" s="528">
        <v>3</v>
      </c>
      <c r="AR95" s="528">
        <v>0</v>
      </c>
      <c r="AS95" s="528">
        <v>0</v>
      </c>
      <c r="AT95" s="528">
        <v>0</v>
      </c>
      <c r="AU95" s="528">
        <v>0</v>
      </c>
      <c r="AV95" s="528">
        <v>0</v>
      </c>
      <c r="AW95" s="528">
        <v>0</v>
      </c>
      <c r="AX95" s="528">
        <v>0</v>
      </c>
      <c r="AY95" s="528">
        <v>0</v>
      </c>
      <c r="AZ95" s="528"/>
      <c r="BA95" s="528" t="s">
        <v>1145</v>
      </c>
      <c r="BB95" s="528"/>
      <c r="BC95" s="528" t="s">
        <v>1145</v>
      </c>
      <c r="BD95" s="528"/>
      <c r="BE95" s="528"/>
      <c r="BF95" s="528"/>
      <c r="BG95" s="529"/>
      <c r="BH95" s="525"/>
      <c r="BI95" s="528"/>
      <c r="BJ95" s="528" t="s">
        <v>1146</v>
      </c>
      <c r="BK95" s="528"/>
      <c r="BL95" s="529"/>
      <c r="BM95" s="567" t="s">
        <v>430</v>
      </c>
      <c r="BN95" s="525" t="s">
        <v>368</v>
      </c>
    </row>
    <row r="96" spans="1:66" ht="13" customHeight="1" x14ac:dyDescent="0.2">
      <c r="A96" s="525">
        <v>3573</v>
      </c>
      <c r="B96" s="565">
        <v>44755</v>
      </c>
      <c r="C96" s="526" t="s">
        <v>1138</v>
      </c>
      <c r="D96" s="525" t="s">
        <v>1114</v>
      </c>
      <c r="E96" s="570">
        <v>44562</v>
      </c>
      <c r="F96" s="525" t="s">
        <v>1291</v>
      </c>
      <c r="G96" s="525" t="s">
        <v>1658</v>
      </c>
      <c r="H96" s="532">
        <v>102.90909090909091</v>
      </c>
      <c r="I96" s="571"/>
      <c r="J96" s="571"/>
      <c r="K96" s="571"/>
      <c r="L96" s="571"/>
      <c r="M96" s="332"/>
      <c r="N96" s="332"/>
      <c r="O96" s="532">
        <v>1.8090909090909089</v>
      </c>
      <c r="P96" s="406">
        <v>0</v>
      </c>
      <c r="Q96" s="406">
        <v>0</v>
      </c>
      <c r="R96" s="406">
        <v>0</v>
      </c>
      <c r="S96" s="406">
        <v>0</v>
      </c>
      <c r="T96" s="571"/>
      <c r="U96" s="532">
        <v>1.8090909090909089</v>
      </c>
      <c r="V96" s="406">
        <v>0</v>
      </c>
      <c r="W96" s="406">
        <v>0</v>
      </c>
      <c r="X96" s="406">
        <v>0</v>
      </c>
      <c r="Y96" s="406">
        <v>0</v>
      </c>
      <c r="Z96" s="571"/>
      <c r="AA96" s="571"/>
      <c r="AB96" s="571"/>
      <c r="AC96" s="571"/>
      <c r="AD96" s="571"/>
      <c r="AE96" s="571"/>
      <c r="AF96" s="571"/>
      <c r="AG96" s="333" t="s">
        <v>1143</v>
      </c>
      <c r="AH96" s="333" t="s">
        <v>1144</v>
      </c>
      <c r="AI96" s="528">
        <v>2</v>
      </c>
      <c r="AJ96" s="528">
        <v>4</v>
      </c>
      <c r="AK96" s="483">
        <v>0.33329999999999999</v>
      </c>
      <c r="AL96" s="483">
        <v>0.66659999999999997</v>
      </c>
      <c r="AM96" s="525" t="s">
        <v>1124</v>
      </c>
      <c r="AN96" s="528">
        <v>0</v>
      </c>
      <c r="AO96" s="528">
        <v>0</v>
      </c>
      <c r="AP96" s="528">
        <v>0</v>
      </c>
      <c r="AQ96" s="528">
        <v>0</v>
      </c>
      <c r="AR96" s="528">
        <v>0</v>
      </c>
      <c r="AS96" s="528">
        <v>0</v>
      </c>
      <c r="AT96" s="528">
        <v>0</v>
      </c>
      <c r="AU96" s="528">
        <v>0</v>
      </c>
      <c r="AV96" s="528">
        <v>0</v>
      </c>
      <c r="AW96" s="528">
        <v>0</v>
      </c>
      <c r="AX96" s="528">
        <v>0</v>
      </c>
      <c r="AY96" s="528">
        <v>0</v>
      </c>
      <c r="AZ96" s="528"/>
      <c r="BA96" s="528" t="s">
        <v>1145</v>
      </c>
      <c r="BB96" s="528"/>
      <c r="BC96" s="528" t="s">
        <v>1145</v>
      </c>
      <c r="BD96" s="528"/>
      <c r="BE96" s="528"/>
      <c r="BF96" s="528"/>
      <c r="BG96" s="529"/>
      <c r="BH96" s="525"/>
      <c r="BI96" s="528"/>
      <c r="BJ96" s="528" t="s">
        <v>1146</v>
      </c>
      <c r="BK96" s="528"/>
      <c r="BL96" s="529" t="s">
        <v>1659</v>
      </c>
      <c r="BM96" s="569" t="s">
        <v>1688</v>
      </c>
      <c r="BN96" s="525" t="s">
        <v>1121</v>
      </c>
    </row>
    <row r="97" spans="1:68" ht="13" customHeight="1" x14ac:dyDescent="0.2">
      <c r="A97" s="525">
        <v>2934</v>
      </c>
      <c r="B97" s="565">
        <v>44755</v>
      </c>
      <c r="C97" s="526" t="s">
        <v>1138</v>
      </c>
      <c r="D97" s="525" t="s">
        <v>1114</v>
      </c>
      <c r="E97" s="527">
        <v>44743</v>
      </c>
      <c r="F97" s="525" t="s">
        <v>1483</v>
      </c>
      <c r="G97" s="525" t="s">
        <v>1550</v>
      </c>
      <c r="H97" s="532">
        <v>75</v>
      </c>
      <c r="I97" s="531" t="s">
        <v>296</v>
      </c>
      <c r="J97" s="459">
        <v>6000</v>
      </c>
      <c r="K97" s="459">
        <v>12000</v>
      </c>
      <c r="L97" s="459">
        <v>84000</v>
      </c>
      <c r="M97" s="459">
        <v>84000</v>
      </c>
      <c r="N97" s="332"/>
      <c r="O97" s="532">
        <v>2.2363636363636363</v>
      </c>
      <c r="P97" s="532">
        <v>2.0090909090909088</v>
      </c>
      <c r="Q97" s="532">
        <v>1.8727272727272726</v>
      </c>
      <c r="R97" s="406">
        <v>0</v>
      </c>
      <c r="S97" s="532">
        <v>1.4545454545454546</v>
      </c>
      <c r="T97" s="571"/>
      <c r="U97" s="532">
        <v>1.9545454545454544</v>
      </c>
      <c r="V97" s="532">
        <v>1.6636363636363636</v>
      </c>
      <c r="W97" s="532">
        <v>1.3909090909090909</v>
      </c>
      <c r="X97" s="406">
        <v>0</v>
      </c>
      <c r="Y97" s="532">
        <v>1.3181818181818181</v>
      </c>
      <c r="Z97" s="571"/>
      <c r="AA97" s="571"/>
      <c r="AB97" s="571"/>
      <c r="AC97" s="571"/>
      <c r="AD97" s="571"/>
      <c r="AE97" s="571"/>
      <c r="AF97" s="571"/>
      <c r="AG97" s="333" t="s">
        <v>1143</v>
      </c>
      <c r="AH97" s="333" t="s">
        <v>1144</v>
      </c>
      <c r="AI97" s="528">
        <v>2</v>
      </c>
      <c r="AJ97" s="528">
        <v>4</v>
      </c>
      <c r="AK97" s="483">
        <v>0.33329999999999999</v>
      </c>
      <c r="AL97" s="483">
        <v>0.66659999999999997</v>
      </c>
      <c r="AM97" s="525" t="s">
        <v>1124</v>
      </c>
      <c r="AN97" s="528">
        <v>0</v>
      </c>
      <c r="AO97" s="528">
        <v>0</v>
      </c>
      <c r="AP97" s="528">
        <v>0</v>
      </c>
      <c r="AQ97" s="528">
        <v>0</v>
      </c>
      <c r="AR97" s="528">
        <v>0</v>
      </c>
      <c r="AS97" s="528">
        <v>0</v>
      </c>
      <c r="AT97" s="528">
        <v>0</v>
      </c>
      <c r="AU97" s="528">
        <v>0</v>
      </c>
      <c r="AV97" s="528">
        <v>0</v>
      </c>
      <c r="AW97" s="528">
        <v>0</v>
      </c>
      <c r="AX97" s="528">
        <v>0</v>
      </c>
      <c r="AY97" s="528">
        <v>0</v>
      </c>
      <c r="AZ97" s="528"/>
      <c r="BA97" s="528" t="s">
        <v>1145</v>
      </c>
      <c r="BB97" s="528"/>
      <c r="BC97" s="528" t="s">
        <v>1145</v>
      </c>
      <c r="BD97" s="528"/>
      <c r="BE97" s="528">
        <v>12</v>
      </c>
      <c r="BF97" s="564"/>
      <c r="BG97" s="529"/>
      <c r="BH97" s="525"/>
      <c r="BI97" s="528"/>
      <c r="BJ97" s="528" t="s">
        <v>4</v>
      </c>
      <c r="BK97" s="528"/>
      <c r="BL97" s="529"/>
      <c r="BM97" s="569" t="s">
        <v>1689</v>
      </c>
      <c r="BN97" s="525" t="s">
        <v>408</v>
      </c>
    </row>
    <row r="98" spans="1:68" ht="13" customHeight="1" x14ac:dyDescent="0.2">
      <c r="A98" s="525">
        <v>3400</v>
      </c>
      <c r="B98" s="565">
        <v>44755</v>
      </c>
      <c r="C98" s="526" t="s">
        <v>1138</v>
      </c>
      <c r="D98" s="525" t="s">
        <v>1114</v>
      </c>
      <c r="E98" s="527">
        <v>44613</v>
      </c>
      <c r="F98" s="525" t="s">
        <v>1173</v>
      </c>
      <c r="G98" s="525" t="s">
        <v>1570</v>
      </c>
      <c r="H98" s="532">
        <v>67</v>
      </c>
      <c r="I98" s="531" t="s">
        <v>296</v>
      </c>
      <c r="J98" s="459">
        <v>6000</v>
      </c>
      <c r="K98" s="459">
        <v>12000</v>
      </c>
      <c r="L98" s="459">
        <v>84000</v>
      </c>
      <c r="M98" s="459">
        <v>84000</v>
      </c>
      <c r="N98" s="332"/>
      <c r="O98" s="532">
        <v>2.1818181818181817</v>
      </c>
      <c r="P98" s="532">
        <v>1.9818181818181817</v>
      </c>
      <c r="Q98" s="532">
        <v>1.8999999999999997</v>
      </c>
      <c r="R98" s="406">
        <v>0</v>
      </c>
      <c r="S98" s="532">
        <v>1.7909090909090908</v>
      </c>
      <c r="T98" s="571"/>
      <c r="U98" s="532">
        <v>1.7272727272727271</v>
      </c>
      <c r="V98" s="532">
        <v>1.5090909090909088</v>
      </c>
      <c r="W98" s="532">
        <v>1.3545454545454545</v>
      </c>
      <c r="X98" s="406">
        <v>0</v>
      </c>
      <c r="Y98" s="532">
        <v>1.2</v>
      </c>
      <c r="Z98" s="571"/>
      <c r="AA98" s="571"/>
      <c r="AB98" s="571"/>
      <c r="AC98" s="571"/>
      <c r="AD98" s="571"/>
      <c r="AE98" s="571"/>
      <c r="AF98" s="571"/>
      <c r="AG98" s="333" t="s">
        <v>1143</v>
      </c>
      <c r="AH98" s="333" t="s">
        <v>1144</v>
      </c>
      <c r="AI98" s="528">
        <v>2</v>
      </c>
      <c r="AJ98" s="528">
        <v>4</v>
      </c>
      <c r="AK98" s="483">
        <v>0.33329999999999999</v>
      </c>
      <c r="AL98" s="483">
        <v>0.66659999999999997</v>
      </c>
      <c r="AM98" s="525" t="s">
        <v>1124</v>
      </c>
      <c r="AN98" s="528">
        <v>0</v>
      </c>
      <c r="AO98" s="528">
        <v>0</v>
      </c>
      <c r="AP98" s="528">
        <v>0</v>
      </c>
      <c r="AQ98" s="528">
        <v>0</v>
      </c>
      <c r="AR98" s="528">
        <v>0</v>
      </c>
      <c r="AS98" s="528">
        <v>0</v>
      </c>
      <c r="AT98" s="528">
        <v>0</v>
      </c>
      <c r="AU98" s="528">
        <v>0</v>
      </c>
      <c r="AV98" s="528">
        <v>0</v>
      </c>
      <c r="AW98" s="528">
        <v>0</v>
      </c>
      <c r="AX98" s="528">
        <v>0</v>
      </c>
      <c r="AY98" s="528">
        <v>0</v>
      </c>
      <c r="AZ98" s="528"/>
      <c r="BA98" s="528" t="s">
        <v>1145</v>
      </c>
      <c r="BB98" s="528"/>
      <c r="BC98" s="528" t="s">
        <v>1145</v>
      </c>
      <c r="BD98" s="528"/>
      <c r="BE98" s="528"/>
      <c r="BF98" s="564"/>
      <c r="BG98" s="529"/>
      <c r="BH98" s="525"/>
      <c r="BI98" s="528"/>
      <c r="BJ98" s="528" t="s">
        <v>411</v>
      </c>
      <c r="BK98" s="528"/>
      <c r="BL98" s="529"/>
      <c r="BM98" s="569" t="s">
        <v>430</v>
      </c>
      <c r="BN98" s="525" t="s">
        <v>368</v>
      </c>
    </row>
    <row r="99" spans="1:68" ht="13" customHeight="1" x14ac:dyDescent="0.2">
      <c r="A99" s="525">
        <v>3156</v>
      </c>
      <c r="B99" s="565">
        <v>44755</v>
      </c>
      <c r="C99" s="526" t="s">
        <v>1138</v>
      </c>
      <c r="D99" s="525" t="s">
        <v>1115</v>
      </c>
      <c r="E99" s="527">
        <v>44691</v>
      </c>
      <c r="F99" s="529" t="s">
        <v>1139</v>
      </c>
      <c r="G99" s="525" t="s">
        <v>1646</v>
      </c>
      <c r="H99" s="532">
        <v>92.999999999999986</v>
      </c>
      <c r="I99" s="531" t="s">
        <v>296</v>
      </c>
      <c r="J99" s="459">
        <v>6000</v>
      </c>
      <c r="K99" s="459">
        <v>12000</v>
      </c>
      <c r="L99" s="459">
        <v>84000</v>
      </c>
      <c r="M99" s="459">
        <v>84000</v>
      </c>
      <c r="N99" s="525"/>
      <c r="O99" s="532">
        <v>2.1090909090909089</v>
      </c>
      <c r="P99" s="532">
        <v>2.0363636363636366</v>
      </c>
      <c r="Q99" s="532">
        <v>1.3909090909090909</v>
      </c>
      <c r="R99" s="406">
        <v>0</v>
      </c>
      <c r="S99" s="532">
        <v>1.3363636363636362</v>
      </c>
      <c r="T99" s="533"/>
      <c r="U99" s="532">
        <v>1.8090909090909089</v>
      </c>
      <c r="V99" s="532">
        <v>1.5545454545454545</v>
      </c>
      <c r="W99" s="532">
        <v>1.3727272727272726</v>
      </c>
      <c r="X99" s="406">
        <v>0</v>
      </c>
      <c r="Y99" s="532">
        <v>1.2363636363636363</v>
      </c>
      <c r="Z99" s="533"/>
      <c r="AA99" s="533"/>
      <c r="AB99" s="533"/>
      <c r="AC99" s="533"/>
      <c r="AD99" s="533"/>
      <c r="AE99" s="533"/>
      <c r="AF99" s="533"/>
      <c r="AG99" s="528" t="s">
        <v>1143</v>
      </c>
      <c r="AH99" s="528" t="s">
        <v>1144</v>
      </c>
      <c r="AI99" s="528">
        <v>2</v>
      </c>
      <c r="AJ99" s="528">
        <v>4</v>
      </c>
      <c r="AK99" s="483">
        <v>0.33329999999999999</v>
      </c>
      <c r="AL99" s="483">
        <v>0.66659999999999997</v>
      </c>
      <c r="AM99" s="525" t="s">
        <v>1124</v>
      </c>
      <c r="AN99" s="528">
        <v>0</v>
      </c>
      <c r="AO99" s="528">
        <v>0</v>
      </c>
      <c r="AP99" s="528">
        <v>0</v>
      </c>
      <c r="AQ99" s="528">
        <v>0</v>
      </c>
      <c r="AR99" s="528">
        <v>0</v>
      </c>
      <c r="AS99" s="528">
        <v>0</v>
      </c>
      <c r="AT99" s="528">
        <v>0</v>
      </c>
      <c r="AU99" s="528">
        <v>0</v>
      </c>
      <c r="AV99" s="528">
        <v>0</v>
      </c>
      <c r="AW99" s="528">
        <v>0</v>
      </c>
      <c r="AX99" s="528">
        <v>0</v>
      </c>
      <c r="AY99" s="528">
        <v>0</v>
      </c>
      <c r="AZ99" s="528"/>
      <c r="BA99" s="528" t="s">
        <v>1145</v>
      </c>
      <c r="BB99" s="528"/>
      <c r="BC99" s="528" t="s">
        <v>1145</v>
      </c>
      <c r="BD99" s="528"/>
      <c r="BE99" s="528"/>
      <c r="BF99" s="528"/>
      <c r="BG99" s="597"/>
      <c r="BH99" s="598"/>
      <c r="BI99" s="566"/>
      <c r="BJ99" s="528" t="s">
        <v>1146</v>
      </c>
      <c r="BK99" s="528"/>
      <c r="BL99" s="529" t="s">
        <v>1647</v>
      </c>
      <c r="BM99" s="529" t="s">
        <v>430</v>
      </c>
      <c r="BN99" s="525" t="s">
        <v>408</v>
      </c>
    </row>
    <row r="100" spans="1:68" ht="13" customHeight="1" x14ac:dyDescent="0.2">
      <c r="A100" s="525"/>
      <c r="B100" s="599">
        <v>44782</v>
      </c>
      <c r="C100" s="526" t="s">
        <v>1138</v>
      </c>
      <c r="D100" s="525" t="s">
        <v>1115</v>
      </c>
      <c r="E100" s="527">
        <v>44774</v>
      </c>
      <c r="F100" s="529" t="s">
        <v>1148</v>
      </c>
      <c r="G100" s="525" t="s">
        <v>1280</v>
      </c>
      <c r="H100" s="532">
        <v>70.809090909090898</v>
      </c>
      <c r="I100" s="531" t="s">
        <v>296</v>
      </c>
      <c r="J100" s="568">
        <v>6000</v>
      </c>
      <c r="K100" s="568">
        <v>6000</v>
      </c>
      <c r="L100" s="568">
        <v>6000</v>
      </c>
      <c r="M100" s="568">
        <v>6000</v>
      </c>
      <c r="N100" s="525"/>
      <c r="O100" s="532">
        <v>2.5</v>
      </c>
      <c r="P100" s="406">
        <v>0</v>
      </c>
      <c r="Q100" s="406">
        <v>0</v>
      </c>
      <c r="R100" s="406">
        <v>0</v>
      </c>
      <c r="S100" s="532">
        <v>1.9363636363636361</v>
      </c>
      <c r="T100" s="533"/>
      <c r="U100" s="532">
        <v>2.3181818181818179</v>
      </c>
      <c r="V100" s="406">
        <v>0</v>
      </c>
      <c r="W100" s="406">
        <v>0</v>
      </c>
      <c r="X100" s="406">
        <v>0</v>
      </c>
      <c r="Y100" s="532">
        <v>1.8545454545454545</v>
      </c>
      <c r="Z100" s="533"/>
      <c r="AA100" s="533"/>
      <c r="AB100" s="533"/>
      <c r="AC100" s="533"/>
      <c r="AD100" s="533"/>
      <c r="AE100" s="533"/>
      <c r="AF100" s="533"/>
      <c r="AG100" s="528" t="s">
        <v>1143</v>
      </c>
      <c r="AH100" s="528" t="s">
        <v>1144</v>
      </c>
      <c r="AI100" s="528">
        <v>2</v>
      </c>
      <c r="AJ100" s="528">
        <v>4</v>
      </c>
      <c r="AK100" s="483">
        <v>0.33329999999999999</v>
      </c>
      <c r="AL100" s="483">
        <v>0.66659999999999997</v>
      </c>
      <c r="AM100" s="525" t="s">
        <v>1124</v>
      </c>
      <c r="AN100" s="528">
        <v>0</v>
      </c>
      <c r="AO100" s="528">
        <v>0</v>
      </c>
      <c r="AP100" s="528">
        <v>0</v>
      </c>
      <c r="AQ100" s="528">
        <v>0</v>
      </c>
      <c r="AR100" s="528">
        <v>0</v>
      </c>
      <c r="AS100" s="528">
        <v>0</v>
      </c>
      <c r="AT100" s="528">
        <v>0</v>
      </c>
      <c r="AU100" s="528">
        <v>0</v>
      </c>
      <c r="AV100" s="528">
        <v>0</v>
      </c>
      <c r="AW100" s="528">
        <v>0</v>
      </c>
      <c r="AX100" s="528">
        <v>0</v>
      </c>
      <c r="AY100" s="528">
        <v>0</v>
      </c>
      <c r="AZ100" s="528"/>
      <c r="BA100" s="528" t="s">
        <v>1145</v>
      </c>
      <c r="BB100" s="528"/>
      <c r="BC100" s="528" t="s">
        <v>1145</v>
      </c>
      <c r="BD100" s="528"/>
      <c r="BE100" s="528"/>
      <c r="BF100" s="528"/>
      <c r="BG100" s="529"/>
      <c r="BH100" s="525"/>
      <c r="BI100" s="528"/>
      <c r="BJ100" s="528" t="s">
        <v>4</v>
      </c>
      <c r="BK100" s="528"/>
      <c r="BL100" s="529"/>
      <c r="BM100" s="525" t="s">
        <v>430</v>
      </c>
      <c r="BN100" s="525" t="s">
        <v>1121</v>
      </c>
    </row>
    <row r="101" spans="1:68" ht="13" customHeight="1" x14ac:dyDescent="0.2">
      <c r="A101" s="525">
        <v>2556</v>
      </c>
      <c r="B101" s="565">
        <v>44755</v>
      </c>
      <c r="C101" s="526" t="s">
        <v>1138</v>
      </c>
      <c r="D101" s="525" t="s">
        <v>1115</v>
      </c>
      <c r="E101" s="527">
        <v>44720</v>
      </c>
      <c r="F101" s="525" t="s">
        <v>1052</v>
      </c>
      <c r="G101" s="525" t="s">
        <v>1181</v>
      </c>
      <c r="H101" s="532">
        <v>86.963636363636354</v>
      </c>
      <c r="I101" s="531" t="s">
        <v>296</v>
      </c>
      <c r="J101" s="394">
        <v>6000</v>
      </c>
      <c r="K101" s="459">
        <v>12000</v>
      </c>
      <c r="L101" s="459">
        <v>84000</v>
      </c>
      <c r="M101" s="459">
        <v>84000</v>
      </c>
      <c r="N101" s="332"/>
      <c r="O101" s="532">
        <v>2.2272727272727271</v>
      </c>
      <c r="P101" s="532">
        <v>1.9636363636363636</v>
      </c>
      <c r="Q101" s="532">
        <v>1.5999999999999999</v>
      </c>
      <c r="R101" s="406">
        <v>0</v>
      </c>
      <c r="S101" s="532">
        <v>1.5909090909090908</v>
      </c>
      <c r="T101" s="571"/>
      <c r="U101" s="532">
        <v>1.7909090909090908</v>
      </c>
      <c r="V101" s="532">
        <v>1.7399999999999998</v>
      </c>
      <c r="W101" s="532">
        <v>1.5990909090909089</v>
      </c>
      <c r="X101" s="406">
        <v>0</v>
      </c>
      <c r="Y101" s="532">
        <v>1.5554545454545454</v>
      </c>
      <c r="Z101" s="571"/>
      <c r="AA101" s="571"/>
      <c r="AB101" s="571"/>
      <c r="AC101" s="571"/>
      <c r="AD101" s="571"/>
      <c r="AE101" s="571"/>
      <c r="AF101" s="571"/>
      <c r="AG101" s="333" t="s">
        <v>297</v>
      </c>
      <c r="AH101" s="333" t="s">
        <v>298</v>
      </c>
      <c r="AI101" s="528">
        <v>2</v>
      </c>
      <c r="AJ101" s="528">
        <v>4</v>
      </c>
      <c r="AK101" s="483">
        <v>0.33329999999999999</v>
      </c>
      <c r="AL101" s="483">
        <v>0.66659999999999997</v>
      </c>
      <c r="AM101" s="525" t="s">
        <v>1124</v>
      </c>
      <c r="AN101" s="528">
        <v>0</v>
      </c>
      <c r="AO101" s="528">
        <v>0</v>
      </c>
      <c r="AP101" s="528">
        <v>0</v>
      </c>
      <c r="AQ101" s="528">
        <v>0</v>
      </c>
      <c r="AR101" s="528">
        <v>0</v>
      </c>
      <c r="AS101" s="528">
        <v>0</v>
      </c>
      <c r="AT101" s="528">
        <v>0</v>
      </c>
      <c r="AU101" s="528">
        <v>0</v>
      </c>
      <c r="AV101" s="528">
        <v>0</v>
      </c>
      <c r="AW101" s="528">
        <v>0</v>
      </c>
      <c r="AX101" s="528">
        <v>0</v>
      </c>
      <c r="AY101" s="528">
        <v>0</v>
      </c>
      <c r="AZ101" s="528"/>
      <c r="BA101" s="528" t="s">
        <v>1145</v>
      </c>
      <c r="BB101" s="528"/>
      <c r="BC101" s="528" t="s">
        <v>1145</v>
      </c>
      <c r="BD101" s="528"/>
      <c r="BE101" s="528"/>
      <c r="BF101" s="528"/>
      <c r="BG101" s="529"/>
      <c r="BH101" s="525"/>
      <c r="BI101" s="528"/>
      <c r="BJ101" s="528" t="s">
        <v>4</v>
      </c>
      <c r="BK101" s="528"/>
      <c r="BL101" s="529"/>
      <c r="BM101" s="529" t="s">
        <v>1448</v>
      </c>
      <c r="BN101" s="525" t="s">
        <v>408</v>
      </c>
    </row>
    <row r="102" spans="1:68" ht="13" customHeight="1" x14ac:dyDescent="0.2">
      <c r="A102" s="525">
        <v>3526</v>
      </c>
      <c r="B102" s="565">
        <v>44755</v>
      </c>
      <c r="C102" s="526" t="s">
        <v>1138</v>
      </c>
      <c r="D102" s="525" t="s">
        <v>1115</v>
      </c>
      <c r="E102" s="527">
        <v>44734</v>
      </c>
      <c r="F102" s="529" t="s">
        <v>1156</v>
      </c>
      <c r="G102" s="525" t="s">
        <v>1649</v>
      </c>
      <c r="H102" s="532">
        <v>103.69999999999999</v>
      </c>
      <c r="I102" s="531" t="s">
        <v>296</v>
      </c>
      <c r="J102" s="459">
        <v>6000</v>
      </c>
      <c r="K102" s="459">
        <v>12000</v>
      </c>
      <c r="L102" s="459">
        <v>84000</v>
      </c>
      <c r="M102" s="459">
        <v>84000</v>
      </c>
      <c r="N102" s="525"/>
      <c r="O102" s="532">
        <v>3.0545454545454542</v>
      </c>
      <c r="P102" s="532">
        <v>2.4545454545454546</v>
      </c>
      <c r="Q102" s="532">
        <v>1.9363636363636361</v>
      </c>
      <c r="R102" s="406">
        <v>0</v>
      </c>
      <c r="S102" s="532">
        <v>1.8818181818181816</v>
      </c>
      <c r="T102" s="533"/>
      <c r="U102" s="532">
        <v>2.336363636363636</v>
      </c>
      <c r="V102" s="532">
        <v>2.1181818181818182</v>
      </c>
      <c r="W102" s="532">
        <v>1.9090909090909089</v>
      </c>
      <c r="X102" s="406">
        <v>0</v>
      </c>
      <c r="Y102" s="532">
        <v>1.8272727272727269</v>
      </c>
      <c r="Z102" s="533"/>
      <c r="AA102" s="533"/>
      <c r="AB102" s="533"/>
      <c r="AC102" s="533"/>
      <c r="AD102" s="533"/>
      <c r="AE102" s="533"/>
      <c r="AF102" s="533"/>
      <c r="AG102" s="528" t="s">
        <v>1143</v>
      </c>
      <c r="AH102" s="528" t="s">
        <v>1144</v>
      </c>
      <c r="AI102" s="528">
        <v>2</v>
      </c>
      <c r="AJ102" s="528">
        <v>4</v>
      </c>
      <c r="AK102" s="483">
        <v>0.33329999999999999</v>
      </c>
      <c r="AL102" s="483">
        <v>0.66659999999999997</v>
      </c>
      <c r="AM102" s="525" t="s">
        <v>1124</v>
      </c>
      <c r="AN102" s="528">
        <v>8</v>
      </c>
      <c r="AO102" s="528">
        <v>0</v>
      </c>
      <c r="AP102" s="528">
        <v>0</v>
      </c>
      <c r="AQ102" s="528">
        <v>0</v>
      </c>
      <c r="AR102" s="528">
        <v>0</v>
      </c>
      <c r="AS102" s="528">
        <v>0</v>
      </c>
      <c r="AT102" s="528">
        <v>0</v>
      </c>
      <c r="AU102" s="528">
        <v>0</v>
      </c>
      <c r="AV102" s="528">
        <v>0</v>
      </c>
      <c r="AW102" s="528">
        <v>0</v>
      </c>
      <c r="AX102" s="528">
        <v>0</v>
      </c>
      <c r="AY102" s="528">
        <v>0</v>
      </c>
      <c r="AZ102" s="566">
        <v>12</v>
      </c>
      <c r="BA102" s="528" t="s">
        <v>1145</v>
      </c>
      <c r="BB102" s="528"/>
      <c r="BC102" s="528" t="s">
        <v>1145</v>
      </c>
      <c r="BD102" s="528"/>
      <c r="BE102" s="528"/>
      <c r="BF102" s="528"/>
      <c r="BG102" s="529" t="s">
        <v>1622</v>
      </c>
      <c r="BH102" s="525" t="s">
        <v>365</v>
      </c>
      <c r="BI102" s="528">
        <v>25</v>
      </c>
      <c r="BJ102" s="528" t="s">
        <v>1146</v>
      </c>
      <c r="BK102" s="528"/>
      <c r="BL102" s="529" t="s">
        <v>1623</v>
      </c>
      <c r="BM102" s="525" t="s">
        <v>1690</v>
      </c>
      <c r="BN102" s="525" t="s">
        <v>408</v>
      </c>
    </row>
    <row r="103" spans="1:68" ht="13" customHeight="1" x14ac:dyDescent="0.2">
      <c r="A103" s="525">
        <v>2874</v>
      </c>
      <c r="B103" s="565">
        <v>44756</v>
      </c>
      <c r="C103" s="526" t="s">
        <v>1138</v>
      </c>
      <c r="D103" s="525" t="s">
        <v>1115</v>
      </c>
      <c r="E103" s="527">
        <v>44753</v>
      </c>
      <c r="F103" s="529" t="s">
        <v>1159</v>
      </c>
      <c r="G103" s="525" t="s">
        <v>1105</v>
      </c>
      <c r="H103" s="532">
        <v>88.454545454545439</v>
      </c>
      <c r="I103" s="531" t="s">
        <v>296</v>
      </c>
      <c r="J103" s="459">
        <v>6000</v>
      </c>
      <c r="K103" s="459">
        <v>12000</v>
      </c>
      <c r="L103" s="459">
        <v>84000</v>
      </c>
      <c r="M103" s="459">
        <v>84000</v>
      </c>
      <c r="N103" s="525"/>
      <c r="O103" s="532">
        <v>2.0818181818181816</v>
      </c>
      <c r="P103" s="532">
        <v>2.0363636363636366</v>
      </c>
      <c r="Q103" s="532">
        <v>1.6454545454545453</v>
      </c>
      <c r="R103" s="406">
        <v>0</v>
      </c>
      <c r="S103" s="532">
        <v>1.5545454545454545</v>
      </c>
      <c r="T103" s="533"/>
      <c r="U103" s="532">
        <v>1.7818181818181817</v>
      </c>
      <c r="V103" s="532">
        <v>1.6636363636363636</v>
      </c>
      <c r="W103" s="532">
        <v>1.5636363636363635</v>
      </c>
      <c r="X103" s="406">
        <v>0</v>
      </c>
      <c r="Y103" s="532">
        <v>1.5181818181818181</v>
      </c>
      <c r="Z103" s="533"/>
      <c r="AA103" s="533"/>
      <c r="AB103" s="533"/>
      <c r="AC103" s="533"/>
      <c r="AD103" s="533"/>
      <c r="AE103" s="533"/>
      <c r="AF103" s="533"/>
      <c r="AG103" s="528" t="s">
        <v>1143</v>
      </c>
      <c r="AH103" s="528" t="s">
        <v>1144</v>
      </c>
      <c r="AI103" s="528">
        <v>2</v>
      </c>
      <c r="AJ103" s="528">
        <v>4</v>
      </c>
      <c r="AK103" s="483">
        <v>0.33329999999999999</v>
      </c>
      <c r="AL103" s="483">
        <v>0.66659999999999997</v>
      </c>
      <c r="AM103" s="525" t="s">
        <v>1124</v>
      </c>
      <c r="AN103" s="528">
        <v>0</v>
      </c>
      <c r="AO103" s="528">
        <v>0</v>
      </c>
      <c r="AP103" s="528">
        <v>0</v>
      </c>
      <c r="AQ103" s="528">
        <v>0</v>
      </c>
      <c r="AR103" s="528">
        <v>0</v>
      </c>
      <c r="AS103" s="528">
        <v>0</v>
      </c>
      <c r="AT103" s="528">
        <v>0</v>
      </c>
      <c r="AU103" s="528">
        <v>0</v>
      </c>
      <c r="AV103" s="528">
        <v>0</v>
      </c>
      <c r="AW103" s="528">
        <v>0</v>
      </c>
      <c r="AX103" s="528">
        <v>0</v>
      </c>
      <c r="AY103" s="528">
        <v>0</v>
      </c>
      <c r="AZ103" s="528"/>
      <c r="BA103" s="528" t="s">
        <v>1145</v>
      </c>
      <c r="BB103" s="528"/>
      <c r="BC103" s="528" t="s">
        <v>1145</v>
      </c>
      <c r="BD103" s="528"/>
      <c r="BE103" s="528"/>
      <c r="BF103" s="564">
        <v>45230</v>
      </c>
      <c r="BG103" s="529"/>
      <c r="BH103" s="525"/>
      <c r="BI103" s="528"/>
      <c r="BJ103" s="528" t="s">
        <v>1146</v>
      </c>
      <c r="BK103" s="528"/>
      <c r="BL103" s="529"/>
      <c r="BM103" s="529" t="s">
        <v>430</v>
      </c>
      <c r="BN103" s="525" t="s">
        <v>408</v>
      </c>
      <c r="BO103" s="366"/>
      <c r="BP103" s="366"/>
    </row>
    <row r="104" spans="1:68" ht="13" customHeight="1" x14ac:dyDescent="0.2">
      <c r="A104" s="525">
        <v>3372</v>
      </c>
      <c r="B104" s="565">
        <v>44755</v>
      </c>
      <c r="C104" s="526" t="s">
        <v>1138</v>
      </c>
      <c r="D104" s="525" t="s">
        <v>1115</v>
      </c>
      <c r="E104" s="527">
        <v>44743</v>
      </c>
      <c r="F104" s="529" t="s">
        <v>1166</v>
      </c>
      <c r="G104" s="525" t="s">
        <v>1651</v>
      </c>
      <c r="H104" s="532">
        <v>81.990909090909085</v>
      </c>
      <c r="I104" s="531"/>
      <c r="J104" s="568"/>
      <c r="K104" s="525"/>
      <c r="L104" s="525"/>
      <c r="M104" s="525"/>
      <c r="N104" s="525"/>
      <c r="O104" s="532">
        <v>2.1999999999999997</v>
      </c>
      <c r="P104" s="406">
        <v>0</v>
      </c>
      <c r="Q104" s="406">
        <v>0</v>
      </c>
      <c r="R104" s="406">
        <v>0</v>
      </c>
      <c r="S104" s="406">
        <v>0</v>
      </c>
      <c r="T104" s="533"/>
      <c r="U104" s="532">
        <v>2.1999999999999997</v>
      </c>
      <c r="V104" s="406">
        <v>0</v>
      </c>
      <c r="W104" s="406">
        <v>0</v>
      </c>
      <c r="X104" s="406">
        <v>0</v>
      </c>
      <c r="Y104" s="406">
        <v>0</v>
      </c>
      <c r="Z104" s="533"/>
      <c r="AA104" s="533"/>
      <c r="AB104" s="533"/>
      <c r="AC104" s="533"/>
      <c r="AD104" s="533"/>
      <c r="AE104" s="533"/>
      <c r="AF104" s="533"/>
      <c r="AG104" s="528" t="s">
        <v>1145</v>
      </c>
      <c r="AH104" s="528"/>
      <c r="AI104" s="528">
        <v>3</v>
      </c>
      <c r="AJ104" s="528">
        <v>3</v>
      </c>
      <c r="AK104" s="480">
        <v>0.5</v>
      </c>
      <c r="AL104" s="480">
        <v>0.5</v>
      </c>
      <c r="AM104" s="525"/>
      <c r="AN104" s="528">
        <v>0</v>
      </c>
      <c r="AO104" s="528">
        <v>0</v>
      </c>
      <c r="AP104" s="528">
        <v>0</v>
      </c>
      <c r="AQ104" s="528">
        <v>0</v>
      </c>
      <c r="AR104" s="528">
        <v>0</v>
      </c>
      <c r="AS104" s="528">
        <v>0</v>
      </c>
      <c r="AT104" s="528">
        <v>0</v>
      </c>
      <c r="AU104" s="528">
        <v>0</v>
      </c>
      <c r="AV104" s="528">
        <v>0</v>
      </c>
      <c r="AW104" s="528">
        <v>0</v>
      </c>
      <c r="AX104" s="528">
        <v>0</v>
      </c>
      <c r="AY104" s="528">
        <v>0</v>
      </c>
      <c r="AZ104" s="528"/>
      <c r="BA104" s="528" t="s">
        <v>1145</v>
      </c>
      <c r="BB104" s="528">
        <v>12</v>
      </c>
      <c r="BC104" s="528" t="s">
        <v>1145</v>
      </c>
      <c r="BD104" s="528"/>
      <c r="BE104" s="528"/>
      <c r="BF104" s="528"/>
      <c r="BG104" s="529"/>
      <c r="BH104" s="525"/>
      <c r="BI104" s="528"/>
      <c r="BJ104" s="528" t="s">
        <v>1146</v>
      </c>
      <c r="BK104" s="528"/>
      <c r="BL104" s="529"/>
      <c r="BM104" s="525" t="s">
        <v>1685</v>
      </c>
      <c r="BN104" s="525" t="s">
        <v>408</v>
      </c>
    </row>
    <row r="105" spans="1:68" ht="13" customHeight="1" x14ac:dyDescent="0.2">
      <c r="A105" s="525">
        <v>2400</v>
      </c>
      <c r="B105" s="565">
        <v>44756</v>
      </c>
      <c r="C105" s="526" t="s">
        <v>1138</v>
      </c>
      <c r="D105" s="525" t="s">
        <v>1115</v>
      </c>
      <c r="E105" s="570">
        <v>44651</v>
      </c>
      <c r="F105" s="529" t="s">
        <v>1168</v>
      </c>
      <c r="G105" s="525" t="s">
        <v>1297</v>
      </c>
      <c r="H105" s="532">
        <v>91.5</v>
      </c>
      <c r="I105" s="531" t="s">
        <v>296</v>
      </c>
      <c r="J105" s="459">
        <v>6000</v>
      </c>
      <c r="K105" s="459">
        <v>12000</v>
      </c>
      <c r="L105" s="459">
        <v>84000</v>
      </c>
      <c r="M105" s="459">
        <v>84000</v>
      </c>
      <c r="N105" s="525"/>
      <c r="O105" s="532">
        <v>2.1636363636363636</v>
      </c>
      <c r="P105" s="532">
        <v>2.0545454545454542</v>
      </c>
      <c r="Q105" s="532">
        <v>1.9363636363636361</v>
      </c>
      <c r="R105" s="406">
        <v>0</v>
      </c>
      <c r="S105" s="532">
        <v>1.7090909090909088</v>
      </c>
      <c r="T105" s="533"/>
      <c r="U105" s="532">
        <v>1.9818181818181817</v>
      </c>
      <c r="V105" s="532">
        <v>1.8818181818181816</v>
      </c>
      <c r="W105" s="532">
        <v>1.7090909090909088</v>
      </c>
      <c r="X105" s="406">
        <v>0</v>
      </c>
      <c r="Y105" s="532">
        <v>1.6181818181818182</v>
      </c>
      <c r="Z105" s="533"/>
      <c r="AA105" s="533"/>
      <c r="AB105" s="533"/>
      <c r="AC105" s="533"/>
      <c r="AD105" s="533"/>
      <c r="AE105" s="533"/>
      <c r="AF105" s="533"/>
      <c r="AG105" s="528" t="s">
        <v>1143</v>
      </c>
      <c r="AH105" s="528" t="s">
        <v>1144</v>
      </c>
      <c r="AI105" s="528">
        <v>2</v>
      </c>
      <c r="AJ105" s="528">
        <v>4</v>
      </c>
      <c r="AK105" s="483">
        <v>0.33329999999999999</v>
      </c>
      <c r="AL105" s="483">
        <v>0.66659999999999997</v>
      </c>
      <c r="AM105" s="525" t="s">
        <v>1124</v>
      </c>
      <c r="AN105" s="528">
        <v>0</v>
      </c>
      <c r="AO105" s="528">
        <v>0</v>
      </c>
      <c r="AP105" s="528">
        <v>0</v>
      </c>
      <c r="AQ105" s="528">
        <v>0</v>
      </c>
      <c r="AR105" s="528">
        <v>0</v>
      </c>
      <c r="AS105" s="528">
        <v>0</v>
      </c>
      <c r="AT105" s="528">
        <v>0</v>
      </c>
      <c r="AU105" s="528">
        <v>0</v>
      </c>
      <c r="AV105" s="528">
        <v>0</v>
      </c>
      <c r="AW105" s="528">
        <v>0</v>
      </c>
      <c r="AX105" s="528">
        <v>0</v>
      </c>
      <c r="AY105" s="528">
        <v>0</v>
      </c>
      <c r="AZ105" s="528"/>
      <c r="BA105" s="528" t="s">
        <v>1145</v>
      </c>
      <c r="BB105" s="528"/>
      <c r="BC105" s="528" t="s">
        <v>1145</v>
      </c>
      <c r="BD105" s="528"/>
      <c r="BE105" s="528"/>
      <c r="BF105" s="528"/>
      <c r="BG105" s="529"/>
      <c r="BH105" s="525"/>
      <c r="BI105" s="528"/>
      <c r="BJ105" s="528" t="s">
        <v>1146</v>
      </c>
      <c r="BK105" s="528"/>
      <c r="BL105" s="529"/>
      <c r="BM105" s="529" t="s">
        <v>1691</v>
      </c>
      <c r="BN105" s="525" t="s">
        <v>368</v>
      </c>
    </row>
    <row r="106" spans="1:68" ht="13" customHeight="1" x14ac:dyDescent="0.2">
      <c r="A106" s="525">
        <v>3569</v>
      </c>
      <c r="B106" s="565">
        <v>44755</v>
      </c>
      <c r="C106" s="526" t="s">
        <v>1138</v>
      </c>
      <c r="D106" s="525" t="s">
        <v>1115</v>
      </c>
      <c r="E106" s="527">
        <v>44743</v>
      </c>
      <c r="F106" s="529" t="s">
        <v>1169</v>
      </c>
      <c r="G106" s="525" t="s">
        <v>1654</v>
      </c>
      <c r="H106" s="532">
        <v>87.663636363636357</v>
      </c>
      <c r="I106" s="531" t="s">
        <v>296</v>
      </c>
      <c r="J106" s="459">
        <v>6000</v>
      </c>
      <c r="K106" s="459">
        <v>12000</v>
      </c>
      <c r="L106" s="459">
        <v>84000</v>
      </c>
      <c r="M106" s="459">
        <v>84000</v>
      </c>
      <c r="N106" s="525"/>
      <c r="O106" s="532">
        <v>3.2636363636363632</v>
      </c>
      <c r="P106" s="532">
        <v>3.1999999999999997</v>
      </c>
      <c r="Q106" s="532">
        <v>2.1727272727272728</v>
      </c>
      <c r="R106" s="406">
        <v>0</v>
      </c>
      <c r="S106" s="532">
        <v>2.1181818181818182</v>
      </c>
      <c r="T106" s="533"/>
      <c r="U106" s="532">
        <v>2.4909090909090907</v>
      </c>
      <c r="V106" s="532">
        <v>2.4</v>
      </c>
      <c r="W106" s="532">
        <v>2.1545454545454543</v>
      </c>
      <c r="X106" s="406">
        <v>0</v>
      </c>
      <c r="Y106" s="532">
        <v>2.0181818181818181</v>
      </c>
      <c r="Z106" s="533"/>
      <c r="AA106" s="533"/>
      <c r="AB106" s="533"/>
      <c r="AC106" s="533"/>
      <c r="AD106" s="533"/>
      <c r="AE106" s="533"/>
      <c r="AF106" s="533"/>
      <c r="AG106" s="528" t="s">
        <v>1143</v>
      </c>
      <c r="AH106" s="528" t="s">
        <v>1144</v>
      </c>
      <c r="AI106" s="528">
        <v>2</v>
      </c>
      <c r="AJ106" s="528">
        <v>4</v>
      </c>
      <c r="AK106" s="483">
        <v>0.33329999999999999</v>
      </c>
      <c r="AL106" s="483">
        <v>0.66659999999999997</v>
      </c>
      <c r="AM106" s="525" t="s">
        <v>1124</v>
      </c>
      <c r="AN106" s="528">
        <v>0</v>
      </c>
      <c r="AO106" s="528">
        <v>0</v>
      </c>
      <c r="AP106" s="528">
        <v>0</v>
      </c>
      <c r="AQ106" s="528">
        <v>0</v>
      </c>
      <c r="AR106" s="528">
        <v>0</v>
      </c>
      <c r="AS106" s="528">
        <v>0</v>
      </c>
      <c r="AT106" s="528">
        <v>0</v>
      </c>
      <c r="AU106" s="528">
        <v>0</v>
      </c>
      <c r="AV106" s="528">
        <v>0</v>
      </c>
      <c r="AW106" s="528">
        <v>0</v>
      </c>
      <c r="AX106" s="528">
        <v>0</v>
      </c>
      <c r="AY106" s="528">
        <v>0</v>
      </c>
      <c r="AZ106" s="528"/>
      <c r="BA106" s="528" t="s">
        <v>1145</v>
      </c>
      <c r="BB106" s="528"/>
      <c r="BC106" s="528" t="s">
        <v>1145</v>
      </c>
      <c r="BD106" s="528"/>
      <c r="BE106" s="528"/>
      <c r="BF106" s="528"/>
      <c r="BG106" s="529"/>
      <c r="BH106" s="525"/>
      <c r="BI106" s="528"/>
      <c r="BJ106" s="528" t="s">
        <v>1146</v>
      </c>
      <c r="BK106" s="528"/>
      <c r="BL106" s="529"/>
      <c r="BM106" s="529" t="s">
        <v>1686</v>
      </c>
      <c r="BN106" s="525" t="s">
        <v>1121</v>
      </c>
    </row>
    <row r="107" spans="1:68" ht="13" customHeight="1" x14ac:dyDescent="0.2">
      <c r="A107" s="525">
        <v>1688</v>
      </c>
      <c r="B107" s="565">
        <v>44755</v>
      </c>
      <c r="C107" s="526" t="s">
        <v>295</v>
      </c>
      <c r="D107" s="525" t="s">
        <v>1115</v>
      </c>
      <c r="E107" s="527">
        <v>44715</v>
      </c>
      <c r="F107" s="529" t="s">
        <v>1106</v>
      </c>
      <c r="G107" s="525" t="s">
        <v>2</v>
      </c>
      <c r="H107" s="532">
        <v>77.999999999999986</v>
      </c>
      <c r="I107" s="531" t="s">
        <v>296</v>
      </c>
      <c r="J107" s="568">
        <v>6000</v>
      </c>
      <c r="K107" s="568">
        <v>6000</v>
      </c>
      <c r="L107" s="568">
        <v>6000</v>
      </c>
      <c r="M107" s="568">
        <v>6000</v>
      </c>
      <c r="N107" s="525"/>
      <c r="O107" s="532">
        <v>2.9</v>
      </c>
      <c r="P107" s="406">
        <v>0</v>
      </c>
      <c r="Q107" s="406">
        <v>0</v>
      </c>
      <c r="R107" s="406">
        <v>0</v>
      </c>
      <c r="S107" s="532">
        <v>2.754545454545454</v>
      </c>
      <c r="T107" s="533"/>
      <c r="U107" s="532">
        <v>2.5999999999999996</v>
      </c>
      <c r="V107" s="406">
        <v>0</v>
      </c>
      <c r="W107" s="406">
        <v>0</v>
      </c>
      <c r="X107" s="406">
        <v>0</v>
      </c>
      <c r="Y107" s="532">
        <v>2.5</v>
      </c>
      <c r="Z107" s="533"/>
      <c r="AA107" s="533"/>
      <c r="AB107" s="533"/>
      <c r="AC107" s="533"/>
      <c r="AD107" s="533"/>
      <c r="AE107" s="533"/>
      <c r="AF107" s="533"/>
      <c r="AG107" s="528" t="s">
        <v>297</v>
      </c>
      <c r="AH107" s="528" t="s">
        <v>298</v>
      </c>
      <c r="AI107" s="528">
        <v>2</v>
      </c>
      <c r="AJ107" s="528">
        <v>4</v>
      </c>
      <c r="AK107" s="483">
        <v>0.33329999999999999</v>
      </c>
      <c r="AL107" s="483">
        <v>0.66659999999999997</v>
      </c>
      <c r="AM107" s="525" t="s">
        <v>1124</v>
      </c>
      <c r="AN107" s="528">
        <v>0</v>
      </c>
      <c r="AO107" s="528">
        <v>0</v>
      </c>
      <c r="AP107" s="528">
        <v>0</v>
      </c>
      <c r="AQ107" s="528">
        <v>0</v>
      </c>
      <c r="AR107" s="528">
        <v>0</v>
      </c>
      <c r="AS107" s="528">
        <v>0</v>
      </c>
      <c r="AT107" s="528">
        <v>0</v>
      </c>
      <c r="AU107" s="528">
        <v>0</v>
      </c>
      <c r="AV107" s="528">
        <v>0</v>
      </c>
      <c r="AW107" s="528">
        <v>0</v>
      </c>
      <c r="AX107" s="528">
        <v>0</v>
      </c>
      <c r="AY107" s="528">
        <v>0</v>
      </c>
      <c r="AZ107" s="528"/>
      <c r="BA107" s="528" t="s">
        <v>1145</v>
      </c>
      <c r="BB107" s="528"/>
      <c r="BC107" s="528" t="s">
        <v>1145</v>
      </c>
      <c r="BD107" s="528"/>
      <c r="BE107" s="528"/>
      <c r="BF107" s="529"/>
      <c r="BG107" s="525"/>
      <c r="BH107" s="528"/>
      <c r="BI107" s="528"/>
      <c r="BJ107" s="528" t="s">
        <v>1146</v>
      </c>
      <c r="BK107" s="528">
        <v>1</v>
      </c>
      <c r="BL107" s="525"/>
      <c r="BM107" s="529" t="s">
        <v>430</v>
      </c>
      <c r="BN107" s="525" t="s">
        <v>368</v>
      </c>
    </row>
    <row r="108" spans="1:68" ht="13" customHeight="1" x14ac:dyDescent="0.2">
      <c r="A108" s="525">
        <v>3344</v>
      </c>
      <c r="B108" s="565">
        <v>44755</v>
      </c>
      <c r="C108" s="526" t="s">
        <v>1138</v>
      </c>
      <c r="D108" s="525" t="s">
        <v>1115</v>
      </c>
      <c r="E108" s="527">
        <v>44593</v>
      </c>
      <c r="F108" s="525" t="s">
        <v>34</v>
      </c>
      <c r="G108" s="525" t="s">
        <v>1656</v>
      </c>
      <c r="H108" s="532">
        <v>80.427272727272722</v>
      </c>
      <c r="I108" s="394"/>
      <c r="J108" s="394"/>
      <c r="K108" s="394"/>
      <c r="L108" s="332"/>
      <c r="M108" s="332"/>
      <c r="N108" s="332"/>
      <c r="O108" s="532">
        <v>1.9090909090909089</v>
      </c>
      <c r="P108" s="406">
        <v>0</v>
      </c>
      <c r="Q108" s="406">
        <v>0</v>
      </c>
      <c r="R108" s="406">
        <v>0</v>
      </c>
      <c r="S108" s="406">
        <v>0</v>
      </c>
      <c r="T108" s="571"/>
      <c r="U108" s="532">
        <v>1.6181818181818182</v>
      </c>
      <c r="V108" s="406">
        <v>0</v>
      </c>
      <c r="W108" s="406">
        <v>0</v>
      </c>
      <c r="X108" s="406">
        <v>0</v>
      </c>
      <c r="Y108" s="406">
        <v>0</v>
      </c>
      <c r="Z108" s="571"/>
      <c r="AA108" s="571"/>
      <c r="AB108" s="571"/>
      <c r="AC108" s="571"/>
      <c r="AD108" s="571"/>
      <c r="AE108" s="571"/>
      <c r="AF108" s="571"/>
      <c r="AG108" s="333" t="s">
        <v>1143</v>
      </c>
      <c r="AH108" s="333" t="s">
        <v>1144</v>
      </c>
      <c r="AI108" s="528">
        <v>2</v>
      </c>
      <c r="AJ108" s="528">
        <v>4</v>
      </c>
      <c r="AK108" s="483">
        <v>0.33329999999999999</v>
      </c>
      <c r="AL108" s="483">
        <v>0.66659999999999997</v>
      </c>
      <c r="AM108" s="525" t="s">
        <v>1124</v>
      </c>
      <c r="AN108" s="528">
        <v>0</v>
      </c>
      <c r="AO108" s="528">
        <v>0</v>
      </c>
      <c r="AP108" s="528">
        <v>0</v>
      </c>
      <c r="AQ108" s="528">
        <v>0</v>
      </c>
      <c r="AR108" s="528">
        <v>0</v>
      </c>
      <c r="AS108" s="528">
        <v>0</v>
      </c>
      <c r="AT108" s="528">
        <v>0</v>
      </c>
      <c r="AU108" s="528">
        <v>0</v>
      </c>
      <c r="AV108" s="528">
        <v>0</v>
      </c>
      <c r="AW108" s="528">
        <v>0</v>
      </c>
      <c r="AX108" s="528">
        <v>0</v>
      </c>
      <c r="AY108" s="528">
        <v>0</v>
      </c>
      <c r="AZ108" s="528"/>
      <c r="BA108" s="528" t="s">
        <v>1145</v>
      </c>
      <c r="BB108" s="528"/>
      <c r="BC108" s="528" t="s">
        <v>1145</v>
      </c>
      <c r="BD108" s="528"/>
      <c r="BE108" s="528"/>
      <c r="BF108" s="528"/>
      <c r="BG108" s="529"/>
      <c r="BH108" s="525"/>
      <c r="BI108" s="528"/>
      <c r="BJ108" s="528" t="s">
        <v>411</v>
      </c>
      <c r="BK108" s="528"/>
      <c r="BL108" s="529" t="s">
        <v>1284</v>
      </c>
      <c r="BM108" s="525" t="s">
        <v>1687</v>
      </c>
      <c r="BN108" s="525" t="s">
        <v>368</v>
      </c>
    </row>
    <row r="109" spans="1:68" ht="13" customHeight="1" x14ac:dyDescent="0.2">
      <c r="A109" s="525">
        <v>2742</v>
      </c>
      <c r="B109" s="565">
        <v>44755</v>
      </c>
      <c r="C109" s="526" t="s">
        <v>1138</v>
      </c>
      <c r="D109" s="525" t="s">
        <v>1115</v>
      </c>
      <c r="E109" s="527">
        <v>44708</v>
      </c>
      <c r="F109" s="525" t="s">
        <v>1274</v>
      </c>
      <c r="G109" s="525" t="s">
        <v>1467</v>
      </c>
      <c r="H109" s="532">
        <v>85.999999999999986</v>
      </c>
      <c r="I109" s="394" t="s">
        <v>296</v>
      </c>
      <c r="J109" s="409">
        <v>6000</v>
      </c>
      <c r="K109" s="332">
        <v>13500</v>
      </c>
      <c r="L109" s="332">
        <v>13500</v>
      </c>
      <c r="M109" s="332">
        <v>13500</v>
      </c>
      <c r="N109" s="332"/>
      <c r="O109" s="532">
        <v>2.2999999999999998</v>
      </c>
      <c r="P109" s="532">
        <v>2.0363636363636366</v>
      </c>
      <c r="Q109" s="406">
        <v>0</v>
      </c>
      <c r="R109" s="406">
        <v>0</v>
      </c>
      <c r="S109" s="532">
        <v>1.7</v>
      </c>
      <c r="T109" s="571"/>
      <c r="U109" s="532">
        <v>2.2999999999999998</v>
      </c>
      <c r="V109" s="532">
        <v>2.0363636363636366</v>
      </c>
      <c r="W109" s="406">
        <v>0</v>
      </c>
      <c r="X109" s="406">
        <v>0</v>
      </c>
      <c r="Y109" s="532">
        <v>1.7</v>
      </c>
      <c r="Z109" s="571"/>
      <c r="AA109" s="571"/>
      <c r="AB109" s="571"/>
      <c r="AC109" s="571"/>
      <c r="AD109" s="571"/>
      <c r="AE109" s="571"/>
      <c r="AF109" s="571"/>
      <c r="AG109" s="333" t="s">
        <v>1145</v>
      </c>
      <c r="AH109" s="333"/>
      <c r="AI109" s="528">
        <v>3</v>
      </c>
      <c r="AJ109" s="528">
        <v>3</v>
      </c>
      <c r="AK109" s="480">
        <v>0.5</v>
      </c>
      <c r="AL109" s="480">
        <v>0.5</v>
      </c>
      <c r="AM109" s="525"/>
      <c r="AN109" s="528">
        <v>0</v>
      </c>
      <c r="AO109" s="528">
        <v>7</v>
      </c>
      <c r="AP109" s="528">
        <v>0</v>
      </c>
      <c r="AQ109" s="528">
        <v>3</v>
      </c>
      <c r="AR109" s="528">
        <v>0</v>
      </c>
      <c r="AS109" s="528">
        <v>0</v>
      </c>
      <c r="AT109" s="528">
        <v>0</v>
      </c>
      <c r="AU109" s="528">
        <v>0</v>
      </c>
      <c r="AV109" s="528">
        <v>0</v>
      </c>
      <c r="AW109" s="528">
        <v>0</v>
      </c>
      <c r="AX109" s="528">
        <v>0</v>
      </c>
      <c r="AY109" s="528">
        <v>0</v>
      </c>
      <c r="AZ109" s="528"/>
      <c r="BA109" s="528" t="s">
        <v>1145</v>
      </c>
      <c r="BB109" s="528"/>
      <c r="BC109" s="528" t="s">
        <v>1145</v>
      </c>
      <c r="BD109" s="528"/>
      <c r="BE109" s="528"/>
      <c r="BF109" s="528"/>
      <c r="BG109" s="529"/>
      <c r="BH109" s="525"/>
      <c r="BI109" s="528"/>
      <c r="BJ109" s="528" t="s">
        <v>1146</v>
      </c>
      <c r="BK109" s="528"/>
      <c r="BL109" s="529"/>
      <c r="BM109" s="529" t="s">
        <v>430</v>
      </c>
      <c r="BN109" s="525" t="s">
        <v>368</v>
      </c>
    </row>
    <row r="110" spans="1:68" ht="13" customHeight="1" x14ac:dyDescent="0.2">
      <c r="A110" s="525">
        <v>3570</v>
      </c>
      <c r="B110" s="565">
        <v>44755</v>
      </c>
      <c r="C110" s="526" t="s">
        <v>1138</v>
      </c>
      <c r="D110" s="525" t="s">
        <v>1115</v>
      </c>
      <c r="E110" s="570">
        <v>44562</v>
      </c>
      <c r="F110" s="525" t="s">
        <v>1291</v>
      </c>
      <c r="G110" s="525" t="s">
        <v>1658</v>
      </c>
      <c r="H110" s="532">
        <v>102.90909090909091</v>
      </c>
      <c r="I110" s="571"/>
      <c r="J110" s="571"/>
      <c r="K110" s="571"/>
      <c r="L110" s="571"/>
      <c r="M110" s="332"/>
      <c r="N110" s="332"/>
      <c r="O110" s="532">
        <v>1.8090909090909089</v>
      </c>
      <c r="P110" s="406">
        <v>0</v>
      </c>
      <c r="Q110" s="406">
        <v>0</v>
      </c>
      <c r="R110" s="406">
        <v>0</v>
      </c>
      <c r="S110" s="406">
        <v>0</v>
      </c>
      <c r="T110" s="571"/>
      <c r="U110" s="532">
        <v>1.8090909090909089</v>
      </c>
      <c r="V110" s="406">
        <v>0</v>
      </c>
      <c r="W110" s="406">
        <v>0</v>
      </c>
      <c r="X110" s="406">
        <v>0</v>
      </c>
      <c r="Y110" s="406">
        <v>0</v>
      </c>
      <c r="Z110" s="571"/>
      <c r="AA110" s="571"/>
      <c r="AB110" s="571"/>
      <c r="AC110" s="571"/>
      <c r="AD110" s="571"/>
      <c r="AE110" s="571"/>
      <c r="AF110" s="571"/>
      <c r="AG110" s="333" t="s">
        <v>1143</v>
      </c>
      <c r="AH110" s="333" t="s">
        <v>1144</v>
      </c>
      <c r="AI110" s="528">
        <v>2</v>
      </c>
      <c r="AJ110" s="528">
        <v>4</v>
      </c>
      <c r="AK110" s="483">
        <v>0.33329999999999999</v>
      </c>
      <c r="AL110" s="483">
        <v>0.66659999999999997</v>
      </c>
      <c r="AM110" s="525" t="s">
        <v>1124</v>
      </c>
      <c r="AN110" s="528">
        <v>0</v>
      </c>
      <c r="AO110" s="528">
        <v>0</v>
      </c>
      <c r="AP110" s="528">
        <v>0</v>
      </c>
      <c r="AQ110" s="528">
        <v>0</v>
      </c>
      <c r="AR110" s="528">
        <v>0</v>
      </c>
      <c r="AS110" s="528">
        <v>0</v>
      </c>
      <c r="AT110" s="528">
        <v>0</v>
      </c>
      <c r="AU110" s="528">
        <v>0</v>
      </c>
      <c r="AV110" s="528">
        <v>0</v>
      </c>
      <c r="AW110" s="528">
        <v>0</v>
      </c>
      <c r="AX110" s="528">
        <v>0</v>
      </c>
      <c r="AY110" s="528">
        <v>0</v>
      </c>
      <c r="AZ110" s="528"/>
      <c r="BA110" s="528" t="s">
        <v>1145</v>
      </c>
      <c r="BB110" s="528"/>
      <c r="BC110" s="528" t="s">
        <v>1145</v>
      </c>
      <c r="BD110" s="528"/>
      <c r="BE110" s="528"/>
      <c r="BF110" s="528"/>
      <c r="BG110" s="529"/>
      <c r="BH110" s="525"/>
      <c r="BI110" s="528"/>
      <c r="BJ110" s="528" t="s">
        <v>1146</v>
      </c>
      <c r="BK110" s="528"/>
      <c r="BL110" s="529" t="s">
        <v>1659</v>
      </c>
      <c r="BM110" s="525" t="s">
        <v>1688</v>
      </c>
      <c r="BN110" s="525" t="s">
        <v>1121</v>
      </c>
    </row>
    <row r="111" spans="1:68" ht="13" customHeight="1" x14ac:dyDescent="0.2">
      <c r="A111" s="525">
        <v>2933</v>
      </c>
      <c r="B111" s="565">
        <v>44755</v>
      </c>
      <c r="C111" s="526" t="s">
        <v>1138</v>
      </c>
      <c r="D111" s="525" t="s">
        <v>1115</v>
      </c>
      <c r="E111" s="527">
        <v>44743</v>
      </c>
      <c r="F111" s="525" t="s">
        <v>1483</v>
      </c>
      <c r="G111" s="525" t="s">
        <v>1550</v>
      </c>
      <c r="H111" s="532">
        <v>75</v>
      </c>
      <c r="I111" s="531" t="s">
        <v>296</v>
      </c>
      <c r="J111" s="459">
        <v>6000</v>
      </c>
      <c r="K111" s="459">
        <v>12000</v>
      </c>
      <c r="L111" s="459">
        <v>84000</v>
      </c>
      <c r="M111" s="459">
        <v>84000</v>
      </c>
      <c r="N111" s="332"/>
      <c r="O111" s="532">
        <v>2.2363636363636363</v>
      </c>
      <c r="P111" s="532">
        <v>2.0090909090909088</v>
      </c>
      <c r="Q111" s="532">
        <v>1.8727272727272726</v>
      </c>
      <c r="R111" s="406">
        <v>0</v>
      </c>
      <c r="S111" s="532">
        <v>1.4545454545454546</v>
      </c>
      <c r="T111" s="571"/>
      <c r="U111" s="532">
        <v>1.9545454545454544</v>
      </c>
      <c r="V111" s="532">
        <v>1.6636363636363636</v>
      </c>
      <c r="W111" s="532">
        <v>1.3909090909090909</v>
      </c>
      <c r="X111" s="406">
        <v>0</v>
      </c>
      <c r="Y111" s="532">
        <v>1.3181818181818181</v>
      </c>
      <c r="Z111" s="571"/>
      <c r="AA111" s="571"/>
      <c r="AB111" s="571"/>
      <c r="AC111" s="571"/>
      <c r="AD111" s="571"/>
      <c r="AE111" s="571"/>
      <c r="AF111" s="571"/>
      <c r="AG111" s="333" t="s">
        <v>1143</v>
      </c>
      <c r="AH111" s="333" t="s">
        <v>1144</v>
      </c>
      <c r="AI111" s="528">
        <v>2</v>
      </c>
      <c r="AJ111" s="528">
        <v>4</v>
      </c>
      <c r="AK111" s="483">
        <v>0.33329999999999999</v>
      </c>
      <c r="AL111" s="483">
        <v>0.66659999999999997</v>
      </c>
      <c r="AM111" s="525" t="s">
        <v>1124</v>
      </c>
      <c r="AN111" s="528">
        <v>0</v>
      </c>
      <c r="AO111" s="528">
        <v>0</v>
      </c>
      <c r="AP111" s="528">
        <v>0</v>
      </c>
      <c r="AQ111" s="528">
        <v>0</v>
      </c>
      <c r="AR111" s="528">
        <v>0</v>
      </c>
      <c r="AS111" s="528">
        <v>0</v>
      </c>
      <c r="AT111" s="528">
        <v>0</v>
      </c>
      <c r="AU111" s="528">
        <v>0</v>
      </c>
      <c r="AV111" s="528">
        <v>0</v>
      </c>
      <c r="AW111" s="528">
        <v>0</v>
      </c>
      <c r="AX111" s="528">
        <v>0</v>
      </c>
      <c r="AY111" s="528">
        <v>0</v>
      </c>
      <c r="AZ111" s="528"/>
      <c r="BA111" s="528" t="s">
        <v>1145</v>
      </c>
      <c r="BB111" s="528"/>
      <c r="BC111" s="528" t="s">
        <v>1145</v>
      </c>
      <c r="BD111" s="528"/>
      <c r="BE111" s="528">
        <v>12</v>
      </c>
      <c r="BF111" s="564"/>
      <c r="BG111" s="529"/>
      <c r="BH111" s="525"/>
      <c r="BI111" s="528"/>
      <c r="BJ111" s="528" t="s">
        <v>4</v>
      </c>
      <c r="BK111" s="528"/>
      <c r="BL111" s="529"/>
      <c r="BM111" s="525" t="s">
        <v>1689</v>
      </c>
      <c r="BN111" s="525" t="s">
        <v>408</v>
      </c>
    </row>
    <row r="112" spans="1:68" ht="13" customHeight="1" x14ac:dyDescent="0.2">
      <c r="A112" s="525">
        <v>3399</v>
      </c>
      <c r="B112" s="565">
        <v>44755</v>
      </c>
      <c r="C112" s="526" t="s">
        <v>1138</v>
      </c>
      <c r="D112" s="525" t="s">
        <v>1115</v>
      </c>
      <c r="E112" s="527">
        <v>44613</v>
      </c>
      <c r="F112" s="525" t="s">
        <v>1173</v>
      </c>
      <c r="G112" s="525" t="s">
        <v>1570</v>
      </c>
      <c r="H112" s="532">
        <v>67</v>
      </c>
      <c r="I112" s="531" t="s">
        <v>296</v>
      </c>
      <c r="J112" s="459">
        <v>6000</v>
      </c>
      <c r="K112" s="459">
        <v>12000</v>
      </c>
      <c r="L112" s="459">
        <v>84000</v>
      </c>
      <c r="M112" s="459">
        <v>84000</v>
      </c>
      <c r="N112" s="332"/>
      <c r="O112" s="532">
        <v>2.1818181818181817</v>
      </c>
      <c r="P112" s="532">
        <v>1.9818181818181817</v>
      </c>
      <c r="Q112" s="532">
        <v>1.8999999999999997</v>
      </c>
      <c r="R112" s="406">
        <v>0</v>
      </c>
      <c r="S112" s="532">
        <v>1.7909090909090908</v>
      </c>
      <c r="T112" s="571"/>
      <c r="U112" s="532">
        <v>1.7272727272727271</v>
      </c>
      <c r="V112" s="532">
        <v>1.5090909090909088</v>
      </c>
      <c r="W112" s="532">
        <v>1.3545454545454545</v>
      </c>
      <c r="X112" s="406">
        <v>0</v>
      </c>
      <c r="Y112" s="532">
        <v>1.2</v>
      </c>
      <c r="Z112" s="571"/>
      <c r="AA112" s="571"/>
      <c r="AB112" s="571"/>
      <c r="AC112" s="571"/>
      <c r="AD112" s="571"/>
      <c r="AE112" s="571"/>
      <c r="AF112" s="571"/>
      <c r="AG112" s="333" t="s">
        <v>1143</v>
      </c>
      <c r="AH112" s="333" t="s">
        <v>1144</v>
      </c>
      <c r="AI112" s="528">
        <v>2</v>
      </c>
      <c r="AJ112" s="528">
        <v>4</v>
      </c>
      <c r="AK112" s="483">
        <v>0.33329999999999999</v>
      </c>
      <c r="AL112" s="483">
        <v>0.66659999999999997</v>
      </c>
      <c r="AM112" s="525" t="s">
        <v>1124</v>
      </c>
      <c r="AN112" s="528">
        <v>0</v>
      </c>
      <c r="AO112" s="528">
        <v>0</v>
      </c>
      <c r="AP112" s="528">
        <v>0</v>
      </c>
      <c r="AQ112" s="528">
        <v>0</v>
      </c>
      <c r="AR112" s="528">
        <v>0</v>
      </c>
      <c r="AS112" s="528">
        <v>0</v>
      </c>
      <c r="AT112" s="528">
        <v>0</v>
      </c>
      <c r="AU112" s="528">
        <v>0</v>
      </c>
      <c r="AV112" s="528">
        <v>0</v>
      </c>
      <c r="AW112" s="528">
        <v>0</v>
      </c>
      <c r="AX112" s="528">
        <v>0</v>
      </c>
      <c r="AY112" s="528">
        <v>0</v>
      </c>
      <c r="AZ112" s="528"/>
      <c r="BA112" s="528" t="s">
        <v>1145</v>
      </c>
      <c r="BB112" s="528"/>
      <c r="BC112" s="528" t="s">
        <v>1145</v>
      </c>
      <c r="BD112" s="528"/>
      <c r="BE112" s="528"/>
      <c r="BF112" s="564"/>
      <c r="BG112" s="529"/>
      <c r="BH112" s="525"/>
      <c r="BI112" s="528"/>
      <c r="BJ112" s="528" t="s">
        <v>411</v>
      </c>
      <c r="BK112" s="528"/>
      <c r="BL112" s="529"/>
      <c r="BM112" s="525" t="s">
        <v>430</v>
      </c>
      <c r="BN112" s="525" t="s">
        <v>368</v>
      </c>
    </row>
  </sheetData>
  <sheetProtection algorithmName="SHA-512" hashValue="rcQxghaT/imCbM8zMqDx6lTMDiw8K3bVXxbNeFIwsfAzteuPx8CjREzAkiqGasUsq9zcP1AC02jhc8+AOYJLMw==" saltValue="juhA9A5DwQtUCYB94TeT0g==" spinCount="100000" sheet="1" objects="1" scenarios="1"/>
  <hyperlinks>
    <hyperlink ref="BM25" r:id="rId1" xr:uid="{62F9D1DE-ACBE-B144-A6B9-6C21A396ACAF}"/>
    <hyperlink ref="BM2" r:id="rId2" xr:uid="{03AB76A9-31E7-D94C-A137-6B344B74DC61}"/>
  </hyperlinks>
  <pageMargins left="0.75" right="0.75" top="1" bottom="1" header="0.5" footer="0.5"/>
  <pageSetup paperSize="10" orientation="portrait" horizontalDpi="4294967292" verticalDpi="429496729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BB5A6-AD49-5A4E-83E4-0DDE813BB41F}">
  <sheetPr codeName="Sheet72"/>
  <dimension ref="A1:BN127"/>
  <sheetViews>
    <sheetView zoomScaleNormal="220" zoomScalePageLayoutView="130" workbookViewId="0">
      <selection activeCell="A41" sqref="A41:XFD41"/>
    </sheetView>
  </sheetViews>
  <sheetFormatPr baseColWidth="10" defaultColWidth="11.5" defaultRowHeight="13" x14ac:dyDescent="0.15"/>
  <cols>
    <col min="1" max="1" width="8.1640625" customWidth="1"/>
    <col min="3" max="3" width="6.33203125" customWidth="1"/>
    <col min="4" max="4" width="25.33203125" customWidth="1"/>
    <col min="6" max="6" width="16.1640625" customWidth="1"/>
    <col min="7" max="7" width="21.83203125" bestFit="1" customWidth="1"/>
    <col min="9" max="9" width="12.83203125" customWidth="1"/>
    <col min="53" max="53" width="50.6640625" customWidth="1"/>
    <col min="54" max="54" width="12.1640625" customWidth="1"/>
    <col min="55" max="55" width="10.83203125" customWidth="1"/>
    <col min="57" max="57" width="20.5" customWidth="1"/>
    <col min="58" max="58" width="14" bestFit="1" customWidth="1"/>
  </cols>
  <sheetData>
    <row r="1" spans="1:66" ht="71" x14ac:dyDescent="0.2">
      <c r="A1" s="429" t="s">
        <v>443</v>
      </c>
      <c r="B1" s="429" t="s">
        <v>444</v>
      </c>
      <c r="C1" s="430" t="s">
        <v>445</v>
      </c>
      <c r="D1" s="431" t="s">
        <v>446</v>
      </c>
      <c r="E1" s="429" t="s">
        <v>447</v>
      </c>
      <c r="F1" s="430" t="s">
        <v>725</v>
      </c>
      <c r="G1" s="431" t="s">
        <v>448</v>
      </c>
      <c r="H1" s="432" t="s">
        <v>449</v>
      </c>
      <c r="I1" s="433" t="s">
        <v>1247</v>
      </c>
      <c r="J1" s="433" t="s">
        <v>1248</v>
      </c>
      <c r="K1" s="433" t="s">
        <v>1249</v>
      </c>
      <c r="L1" s="433" t="s">
        <v>1250</v>
      </c>
      <c r="M1" s="433" t="s">
        <v>1251</v>
      </c>
      <c r="N1" s="434" t="s">
        <v>1252</v>
      </c>
      <c r="O1" s="435" t="s">
        <v>1253</v>
      </c>
      <c r="P1" s="435" t="s">
        <v>1254</v>
      </c>
      <c r="Q1" s="435" t="s">
        <v>1255</v>
      </c>
      <c r="R1" s="435" t="s">
        <v>1256</v>
      </c>
      <c r="S1" s="435" t="s">
        <v>1257</v>
      </c>
      <c r="T1" s="435" t="s">
        <v>1258</v>
      </c>
      <c r="U1" s="436" t="s">
        <v>1259</v>
      </c>
      <c r="V1" s="436" t="s">
        <v>1260</v>
      </c>
      <c r="W1" s="436" t="s">
        <v>1261</v>
      </c>
      <c r="X1" s="436" t="s">
        <v>1262</v>
      </c>
      <c r="Y1" s="436" t="s">
        <v>1263</v>
      </c>
      <c r="Z1" s="436" t="s">
        <v>1264</v>
      </c>
      <c r="AA1" s="437" t="s">
        <v>1265</v>
      </c>
      <c r="AB1" s="437" t="s">
        <v>1266</v>
      </c>
      <c r="AC1" s="437" t="s">
        <v>1267</v>
      </c>
      <c r="AD1" s="437" t="s">
        <v>1268</v>
      </c>
      <c r="AE1" s="437" t="s">
        <v>1269</v>
      </c>
      <c r="AF1" s="437" t="s">
        <v>1270</v>
      </c>
      <c r="AG1" s="438" t="s">
        <v>474</v>
      </c>
      <c r="AH1" s="438" t="s">
        <v>475</v>
      </c>
      <c r="AI1" s="438" t="s">
        <v>476</v>
      </c>
      <c r="AJ1" s="438" t="s">
        <v>477</v>
      </c>
      <c r="AK1" s="479" t="s">
        <v>478</v>
      </c>
      <c r="AL1" s="479" t="s">
        <v>479</v>
      </c>
      <c r="AM1" s="439" t="s">
        <v>1099</v>
      </c>
      <c r="AN1" s="440" t="s">
        <v>480</v>
      </c>
      <c r="AO1" s="441" t="s">
        <v>481</v>
      </c>
      <c r="AP1" s="440" t="s">
        <v>482</v>
      </c>
      <c r="AQ1" s="442" t="s">
        <v>483</v>
      </c>
      <c r="AR1" s="443" t="s">
        <v>484</v>
      </c>
      <c r="AS1" s="442" t="s">
        <v>485</v>
      </c>
      <c r="AT1" s="444" t="s">
        <v>1271</v>
      </c>
      <c r="AU1" s="445" t="s">
        <v>1272</v>
      </c>
      <c r="AV1" s="444" t="s">
        <v>36</v>
      </c>
      <c r="AW1" s="445" t="s">
        <v>37</v>
      </c>
      <c r="AX1" s="443" t="s">
        <v>384</v>
      </c>
      <c r="AY1" s="446" t="s">
        <v>385</v>
      </c>
      <c r="AZ1" s="429" t="s">
        <v>386</v>
      </c>
      <c r="BA1" s="447" t="s">
        <v>387</v>
      </c>
      <c r="BB1" s="448" t="s">
        <v>388</v>
      </c>
      <c r="BC1" s="447" t="s">
        <v>389</v>
      </c>
      <c r="BD1" s="447" t="s">
        <v>390</v>
      </c>
      <c r="BE1" s="447" t="s">
        <v>1136</v>
      </c>
      <c r="BF1" s="563" t="s">
        <v>1137</v>
      </c>
      <c r="BG1" s="429" t="s">
        <v>391</v>
      </c>
      <c r="BH1" s="430" t="s">
        <v>392</v>
      </c>
      <c r="BI1" s="447" t="s">
        <v>393</v>
      </c>
      <c r="BJ1" s="447" t="s">
        <v>394</v>
      </c>
      <c r="BK1" s="449" t="s">
        <v>1273</v>
      </c>
      <c r="BL1" s="430" t="s">
        <v>395</v>
      </c>
      <c r="BM1" s="447" t="s">
        <v>396</v>
      </c>
      <c r="BN1" s="429" t="s">
        <v>397</v>
      </c>
    </row>
    <row r="2" spans="1:66" ht="13" customHeight="1" x14ac:dyDescent="0.2">
      <c r="A2" s="525">
        <v>3034</v>
      </c>
      <c r="B2" s="581">
        <v>44574</v>
      </c>
      <c r="C2" s="526" t="s">
        <v>1138</v>
      </c>
      <c r="D2" s="525" t="s">
        <v>1100</v>
      </c>
      <c r="E2" s="527">
        <v>44562</v>
      </c>
      <c r="F2" s="529" t="s">
        <v>1139</v>
      </c>
      <c r="G2" s="525" t="s">
        <v>1562</v>
      </c>
      <c r="H2" s="579">
        <v>84</v>
      </c>
      <c r="I2" s="531" t="s">
        <v>296</v>
      </c>
      <c r="J2" s="459">
        <v>3000</v>
      </c>
      <c r="K2" s="459">
        <v>6000</v>
      </c>
      <c r="L2" s="459">
        <v>9000</v>
      </c>
      <c r="M2" s="459">
        <v>15000</v>
      </c>
      <c r="N2" s="525"/>
      <c r="O2" s="406">
        <v>2.4090909090909087</v>
      </c>
      <c r="P2" s="406">
        <v>2.1363636363636362</v>
      </c>
      <c r="Q2" s="406">
        <v>1.7545454545454544</v>
      </c>
      <c r="R2" s="406">
        <v>1.5272727272727271</v>
      </c>
      <c r="S2" s="406">
        <v>1.4363636363636363</v>
      </c>
      <c r="T2" s="580"/>
      <c r="U2" s="406">
        <v>2.3090909090909091</v>
      </c>
      <c r="V2" s="406">
        <v>2.0363636363636366</v>
      </c>
      <c r="W2" s="406">
        <v>1.6909090909090909</v>
      </c>
      <c r="X2" s="406">
        <v>1.4999999999999998</v>
      </c>
      <c r="Y2" s="406">
        <v>1.3909090909090909</v>
      </c>
      <c r="Z2" s="580"/>
      <c r="AA2" s="580"/>
      <c r="AB2" s="580"/>
      <c r="AC2" s="580"/>
      <c r="AD2" s="580"/>
      <c r="AE2" s="580"/>
      <c r="AF2" s="580"/>
      <c r="AG2" s="528" t="s">
        <v>1143</v>
      </c>
      <c r="AH2" s="528" t="s">
        <v>1144</v>
      </c>
      <c r="AI2" s="528">
        <v>3</v>
      </c>
      <c r="AJ2" s="528">
        <v>3</v>
      </c>
      <c r="AK2" s="480">
        <v>0.5</v>
      </c>
      <c r="AL2" s="480">
        <v>0.5</v>
      </c>
      <c r="AM2" s="525" t="s">
        <v>1118</v>
      </c>
      <c r="AN2" s="528">
        <v>0</v>
      </c>
      <c r="AO2" s="528">
        <v>0</v>
      </c>
      <c r="AP2" s="528">
        <v>0</v>
      </c>
      <c r="AQ2" s="528">
        <v>0</v>
      </c>
      <c r="AR2" s="528">
        <v>0</v>
      </c>
      <c r="AS2" s="528">
        <v>0</v>
      </c>
      <c r="AT2" s="528">
        <v>0</v>
      </c>
      <c r="AU2" s="528">
        <v>0</v>
      </c>
      <c r="AV2" s="528">
        <v>0</v>
      </c>
      <c r="AW2" s="528">
        <v>0</v>
      </c>
      <c r="AX2" s="528">
        <v>0</v>
      </c>
      <c r="AY2" s="528">
        <v>0</v>
      </c>
      <c r="AZ2" s="528"/>
      <c r="BA2" s="528" t="s">
        <v>1145</v>
      </c>
      <c r="BB2" s="528"/>
      <c r="BC2" s="528" t="s">
        <v>1145</v>
      </c>
      <c r="BD2" s="528"/>
      <c r="BE2" s="528"/>
      <c r="BF2" s="528"/>
      <c r="BG2" s="529"/>
      <c r="BH2" s="525"/>
      <c r="BI2" s="528"/>
      <c r="BJ2" s="528" t="s">
        <v>1146</v>
      </c>
      <c r="BK2" s="528"/>
      <c r="BL2" s="529"/>
      <c r="BM2" s="529" t="s">
        <v>1621</v>
      </c>
      <c r="BN2" s="525" t="s">
        <v>408</v>
      </c>
    </row>
    <row r="3" spans="1:66" ht="13" customHeight="1" x14ac:dyDescent="0.2">
      <c r="A3" s="525">
        <v>2503</v>
      </c>
      <c r="B3" s="581">
        <v>44574</v>
      </c>
      <c r="C3" s="526" t="s">
        <v>1138</v>
      </c>
      <c r="D3" s="525" t="s">
        <v>1100</v>
      </c>
      <c r="E3" s="527">
        <v>44522</v>
      </c>
      <c r="F3" s="529" t="s">
        <v>1148</v>
      </c>
      <c r="G3" s="525" t="s">
        <v>1280</v>
      </c>
      <c r="H3" s="579">
        <v>46.981818181818177</v>
      </c>
      <c r="I3" s="531" t="s">
        <v>296</v>
      </c>
      <c r="J3" s="459">
        <v>3000</v>
      </c>
      <c r="K3" s="459">
        <v>6000</v>
      </c>
      <c r="L3" s="459">
        <v>6000</v>
      </c>
      <c r="M3" s="459">
        <v>6000</v>
      </c>
      <c r="N3" s="525"/>
      <c r="O3" s="406">
        <v>2.0181818181818181</v>
      </c>
      <c r="P3" s="406">
        <v>1.8272727272727269</v>
      </c>
      <c r="Q3" s="406">
        <v>0</v>
      </c>
      <c r="R3" s="406">
        <v>0</v>
      </c>
      <c r="S3" s="406">
        <v>1.4363636363636363</v>
      </c>
      <c r="T3" s="580"/>
      <c r="U3" s="406">
        <v>2.0181818181818181</v>
      </c>
      <c r="V3" s="406">
        <v>1.7272727272727271</v>
      </c>
      <c r="W3" s="406">
        <v>0</v>
      </c>
      <c r="X3" s="406">
        <v>0</v>
      </c>
      <c r="Y3" s="406">
        <v>1.4363636363636363</v>
      </c>
      <c r="Z3" s="580"/>
      <c r="AA3" s="580"/>
      <c r="AB3" s="580"/>
      <c r="AC3" s="580"/>
      <c r="AD3" s="580"/>
      <c r="AE3" s="580"/>
      <c r="AF3" s="580"/>
      <c r="AG3" s="528" t="s">
        <v>1143</v>
      </c>
      <c r="AH3" s="528" t="s">
        <v>1144</v>
      </c>
      <c r="AI3" s="528">
        <v>3</v>
      </c>
      <c r="AJ3" s="528">
        <v>3</v>
      </c>
      <c r="AK3" s="480">
        <v>0.5</v>
      </c>
      <c r="AL3" s="480">
        <v>0.5</v>
      </c>
      <c r="AM3" s="525" t="s">
        <v>1118</v>
      </c>
      <c r="AN3" s="528">
        <v>0</v>
      </c>
      <c r="AO3" s="528">
        <v>0</v>
      </c>
      <c r="AP3" s="528">
        <v>0</v>
      </c>
      <c r="AQ3" s="528">
        <v>0</v>
      </c>
      <c r="AR3" s="528">
        <v>0</v>
      </c>
      <c r="AS3" s="528">
        <v>0</v>
      </c>
      <c r="AT3" s="528">
        <v>0</v>
      </c>
      <c r="AU3" s="528">
        <v>0</v>
      </c>
      <c r="AV3" s="528">
        <v>0</v>
      </c>
      <c r="AW3" s="528">
        <v>0</v>
      </c>
      <c r="AX3" s="528">
        <v>0</v>
      </c>
      <c r="AY3" s="528">
        <v>0</v>
      </c>
      <c r="AZ3" s="528"/>
      <c r="BA3" s="528" t="s">
        <v>1145</v>
      </c>
      <c r="BB3" s="528"/>
      <c r="BC3" s="528" t="s">
        <v>1145</v>
      </c>
      <c r="BD3" s="528"/>
      <c r="BE3" s="528"/>
      <c r="BF3" s="528"/>
      <c r="BG3" s="529"/>
      <c r="BH3" s="525"/>
      <c r="BI3" s="528"/>
      <c r="BJ3" s="528" t="s">
        <v>4</v>
      </c>
      <c r="BK3" s="528"/>
      <c r="BL3" s="529"/>
      <c r="BM3" s="525" t="s">
        <v>430</v>
      </c>
      <c r="BN3" s="525" t="s">
        <v>368</v>
      </c>
    </row>
    <row r="4" spans="1:66" ht="13" customHeight="1" x14ac:dyDescent="0.2">
      <c r="A4" s="525">
        <v>2968</v>
      </c>
      <c r="B4" s="581">
        <v>44575</v>
      </c>
      <c r="C4" s="526" t="s">
        <v>1138</v>
      </c>
      <c r="D4" s="525" t="s">
        <v>1100</v>
      </c>
      <c r="E4" s="527">
        <v>44573</v>
      </c>
      <c r="F4" s="529" t="s">
        <v>1286</v>
      </c>
      <c r="G4" s="525" t="s">
        <v>1564</v>
      </c>
      <c r="H4" s="579">
        <v>77.999999999999986</v>
      </c>
      <c r="I4" s="531" t="s">
        <v>296</v>
      </c>
      <c r="J4" s="459">
        <v>3000</v>
      </c>
      <c r="K4" s="459">
        <v>6000</v>
      </c>
      <c r="L4" s="459">
        <v>9000</v>
      </c>
      <c r="M4" s="459">
        <v>15000</v>
      </c>
      <c r="N4" s="525"/>
      <c r="O4" s="406">
        <v>2.6818181818181817</v>
      </c>
      <c r="P4" s="406">
        <v>2.3727272727272726</v>
      </c>
      <c r="Q4" s="406">
        <v>1.9272727272727272</v>
      </c>
      <c r="R4" s="406">
        <v>1.6909090909090909</v>
      </c>
      <c r="S4" s="406">
        <v>1.6272727272727272</v>
      </c>
      <c r="T4" s="580"/>
      <c r="U4" s="406">
        <v>2.5636363636363635</v>
      </c>
      <c r="V4" s="406">
        <v>2.1545454545454543</v>
      </c>
      <c r="W4" s="406">
        <v>1.7818181818181817</v>
      </c>
      <c r="X4" s="406">
        <v>1.5818181818181818</v>
      </c>
      <c r="Y4" s="406">
        <v>1.5272727272727271</v>
      </c>
      <c r="Z4" s="580"/>
      <c r="AA4" s="580"/>
      <c r="AB4" s="580"/>
      <c r="AC4" s="580"/>
      <c r="AD4" s="580"/>
      <c r="AE4" s="580"/>
      <c r="AF4" s="580"/>
      <c r="AG4" s="528" t="s">
        <v>1143</v>
      </c>
      <c r="AH4" s="528" t="s">
        <v>1144</v>
      </c>
      <c r="AI4" s="528">
        <v>3</v>
      </c>
      <c r="AJ4" s="528">
        <v>3</v>
      </c>
      <c r="AK4" s="480">
        <v>0.5</v>
      </c>
      <c r="AL4" s="480">
        <v>0.5</v>
      </c>
      <c r="AM4" s="525" t="s">
        <v>1118</v>
      </c>
      <c r="AN4" s="528">
        <v>0</v>
      </c>
      <c r="AO4" s="528">
        <v>20</v>
      </c>
      <c r="AP4" s="528">
        <v>0</v>
      </c>
      <c r="AQ4" s="528">
        <v>0</v>
      </c>
      <c r="AR4" s="528">
        <v>0</v>
      </c>
      <c r="AS4" s="528">
        <v>0</v>
      </c>
      <c r="AT4" s="528">
        <v>0</v>
      </c>
      <c r="AU4" s="528">
        <v>0</v>
      </c>
      <c r="AV4" s="528">
        <v>0</v>
      </c>
      <c r="AW4" s="528">
        <v>0</v>
      </c>
      <c r="AX4" s="528">
        <v>0</v>
      </c>
      <c r="AY4" s="528">
        <v>0</v>
      </c>
      <c r="AZ4" s="528"/>
      <c r="BA4" s="528" t="s">
        <v>1145</v>
      </c>
      <c r="BB4" s="528"/>
      <c r="BC4" s="528" t="s">
        <v>1145</v>
      </c>
      <c r="BD4" s="528"/>
      <c r="BE4" s="528"/>
      <c r="BF4" s="528"/>
      <c r="BG4" s="529"/>
      <c r="BH4" s="525"/>
      <c r="BI4" s="528"/>
      <c r="BJ4" s="528" t="s">
        <v>1146</v>
      </c>
      <c r="BK4" s="528">
        <v>1</v>
      </c>
      <c r="BL4" s="529"/>
      <c r="BM4" s="529" t="s">
        <v>430</v>
      </c>
      <c r="BN4" s="525" t="s">
        <v>408</v>
      </c>
    </row>
    <row r="5" spans="1:66" ht="13" customHeight="1" x14ac:dyDescent="0.2">
      <c r="A5" s="525">
        <v>2545</v>
      </c>
      <c r="B5" s="581">
        <v>44575</v>
      </c>
      <c r="C5" s="526" t="s">
        <v>1138</v>
      </c>
      <c r="D5" s="525" t="s">
        <v>1100</v>
      </c>
      <c r="E5" s="527">
        <v>44546</v>
      </c>
      <c r="F5" s="529" t="s">
        <v>1052</v>
      </c>
      <c r="G5" s="525" t="s">
        <v>1181</v>
      </c>
      <c r="H5" s="579">
        <v>46.9</v>
      </c>
      <c r="I5" s="531" t="s">
        <v>296</v>
      </c>
      <c r="J5" s="459">
        <v>3000</v>
      </c>
      <c r="K5" s="459">
        <v>6000</v>
      </c>
      <c r="L5" s="459">
        <v>9000</v>
      </c>
      <c r="M5" s="459">
        <v>15000</v>
      </c>
      <c r="N5" s="525"/>
      <c r="O5" s="406">
        <v>2.4636363636363634</v>
      </c>
      <c r="P5" s="406">
        <v>2.1181818181818182</v>
      </c>
      <c r="Q5" s="406">
        <v>1.7363636363636361</v>
      </c>
      <c r="R5" s="406">
        <v>1.5909090909090908</v>
      </c>
      <c r="S5" s="406">
        <v>1.5454545454545452</v>
      </c>
      <c r="T5" s="580"/>
      <c r="U5" s="406">
        <v>2.3090909090909091</v>
      </c>
      <c r="V5" s="406">
        <v>2.0181818181818181</v>
      </c>
      <c r="W5" s="406">
        <v>1.6909090909090909</v>
      </c>
      <c r="X5" s="406">
        <v>1.5636363636363635</v>
      </c>
      <c r="Y5" s="406">
        <v>1.5272727272727271</v>
      </c>
      <c r="Z5" s="580"/>
      <c r="AA5" s="580"/>
      <c r="AB5" s="580"/>
      <c r="AC5" s="580"/>
      <c r="AD5" s="580"/>
      <c r="AE5" s="580"/>
      <c r="AF5" s="580"/>
      <c r="AG5" s="528" t="s">
        <v>1143</v>
      </c>
      <c r="AH5" s="528" t="s">
        <v>1144</v>
      </c>
      <c r="AI5" s="528">
        <v>3</v>
      </c>
      <c r="AJ5" s="528">
        <v>3</v>
      </c>
      <c r="AK5" s="480">
        <v>0.5</v>
      </c>
      <c r="AL5" s="480">
        <v>0.5</v>
      </c>
      <c r="AM5" s="525" t="s">
        <v>1118</v>
      </c>
      <c r="AN5" s="528">
        <v>0</v>
      </c>
      <c r="AO5" s="528">
        <v>0</v>
      </c>
      <c r="AP5" s="528">
        <v>0</v>
      </c>
      <c r="AQ5" s="528">
        <v>0</v>
      </c>
      <c r="AR5" s="528">
        <v>0</v>
      </c>
      <c r="AS5" s="528">
        <v>0</v>
      </c>
      <c r="AT5" s="528">
        <v>0</v>
      </c>
      <c r="AU5" s="528">
        <v>0</v>
      </c>
      <c r="AV5" s="528">
        <v>0</v>
      </c>
      <c r="AW5" s="528">
        <v>0</v>
      </c>
      <c r="AX5" s="528">
        <v>0</v>
      </c>
      <c r="AY5" s="528">
        <v>0</v>
      </c>
      <c r="AZ5" s="528"/>
      <c r="BA5" s="528" t="s">
        <v>1145</v>
      </c>
      <c r="BB5" s="528"/>
      <c r="BC5" s="528" t="s">
        <v>1145</v>
      </c>
      <c r="BD5" s="528"/>
      <c r="BE5" s="528"/>
      <c r="BF5" s="528"/>
      <c r="BG5" s="529"/>
      <c r="BH5" s="525"/>
      <c r="BI5" s="528"/>
      <c r="BJ5" s="528" t="s">
        <v>1146</v>
      </c>
      <c r="BK5" s="528"/>
      <c r="BL5" s="529"/>
      <c r="BM5" s="529" t="s">
        <v>430</v>
      </c>
      <c r="BN5" s="525" t="s">
        <v>408</v>
      </c>
    </row>
    <row r="6" spans="1:66" ht="13" customHeight="1" x14ac:dyDescent="0.2">
      <c r="A6" s="525">
        <v>2113</v>
      </c>
      <c r="B6" s="582">
        <v>44574</v>
      </c>
      <c r="C6" s="526" t="s">
        <v>1138</v>
      </c>
      <c r="D6" s="525" t="s">
        <v>1100</v>
      </c>
      <c r="E6" s="527">
        <v>44574</v>
      </c>
      <c r="F6" s="529" t="s">
        <v>1156</v>
      </c>
      <c r="G6" s="525" t="s">
        <v>1157</v>
      </c>
      <c r="H6" s="579">
        <v>84.5</v>
      </c>
      <c r="I6" s="531" t="s">
        <v>296</v>
      </c>
      <c r="J6" s="459">
        <v>3000</v>
      </c>
      <c r="K6" s="459">
        <v>6000</v>
      </c>
      <c r="L6" s="459">
        <v>9000</v>
      </c>
      <c r="M6" s="459">
        <v>15000</v>
      </c>
      <c r="N6" s="525"/>
      <c r="O6" s="406">
        <v>3.1545454545454543</v>
      </c>
      <c r="P6" s="406">
        <v>2.709090909090909</v>
      </c>
      <c r="Q6" s="406">
        <v>2.2181818181818178</v>
      </c>
      <c r="R6" s="406">
        <v>1.918181818181818</v>
      </c>
      <c r="S6" s="406">
        <v>1.8727272727272726</v>
      </c>
      <c r="T6" s="580"/>
      <c r="U6" s="406">
        <v>3.0545454545454542</v>
      </c>
      <c r="V6" s="406">
        <v>2.5999999999999996</v>
      </c>
      <c r="W6" s="406">
        <v>2.1636363636363636</v>
      </c>
      <c r="X6" s="406">
        <v>1.8545454545454545</v>
      </c>
      <c r="Y6" s="406">
        <v>1.8363636363636362</v>
      </c>
      <c r="Z6" s="580"/>
      <c r="AA6" s="580"/>
      <c r="AB6" s="580"/>
      <c r="AC6" s="580"/>
      <c r="AD6" s="580"/>
      <c r="AE6" s="580"/>
      <c r="AF6" s="580"/>
      <c r="AG6" s="528" t="s">
        <v>1143</v>
      </c>
      <c r="AH6" s="528" t="s">
        <v>1144</v>
      </c>
      <c r="AI6" s="528">
        <v>3</v>
      </c>
      <c r="AJ6" s="528">
        <v>3</v>
      </c>
      <c r="AK6" s="480">
        <v>0.5</v>
      </c>
      <c r="AL6" s="480">
        <v>0.5</v>
      </c>
      <c r="AM6" s="525" t="s">
        <v>1118</v>
      </c>
      <c r="AN6" s="528">
        <v>24</v>
      </c>
      <c r="AO6" s="528">
        <v>0</v>
      </c>
      <c r="AP6" s="528">
        <v>0</v>
      </c>
      <c r="AQ6" s="528">
        <v>0</v>
      </c>
      <c r="AR6" s="528">
        <v>0</v>
      </c>
      <c r="AS6" s="528">
        <v>0</v>
      </c>
      <c r="AT6" s="528">
        <v>0</v>
      </c>
      <c r="AU6" s="528">
        <v>0</v>
      </c>
      <c r="AV6" s="528">
        <v>0</v>
      </c>
      <c r="AW6" s="528">
        <v>0</v>
      </c>
      <c r="AX6" s="528">
        <v>0</v>
      </c>
      <c r="AY6" s="528">
        <v>0</v>
      </c>
      <c r="AZ6" s="566">
        <v>12</v>
      </c>
      <c r="BA6" s="528" t="s">
        <v>1145</v>
      </c>
      <c r="BB6" s="528">
        <v>12</v>
      </c>
      <c r="BC6" s="528" t="s">
        <v>1145</v>
      </c>
      <c r="BD6" s="528"/>
      <c r="BE6" s="528">
        <v>12</v>
      </c>
      <c r="BF6" s="528"/>
      <c r="BG6" s="529" t="s">
        <v>1622</v>
      </c>
      <c r="BH6" s="525" t="s">
        <v>365</v>
      </c>
      <c r="BI6" s="528">
        <v>25</v>
      </c>
      <c r="BJ6" s="528" t="s">
        <v>1146</v>
      </c>
      <c r="BK6" s="528"/>
      <c r="BL6" s="529" t="s">
        <v>1623</v>
      </c>
      <c r="BM6" s="525" t="s">
        <v>1624</v>
      </c>
      <c r="BN6" s="525" t="s">
        <v>408</v>
      </c>
    </row>
    <row r="7" spans="1:66" ht="13" customHeight="1" x14ac:dyDescent="0.2">
      <c r="A7" s="525">
        <v>2877</v>
      </c>
      <c r="B7" s="581">
        <v>44575</v>
      </c>
      <c r="C7" s="526" t="s">
        <v>1138</v>
      </c>
      <c r="D7" s="525" t="s">
        <v>1100</v>
      </c>
      <c r="E7" s="527">
        <v>44546</v>
      </c>
      <c r="F7" s="529" t="s">
        <v>1159</v>
      </c>
      <c r="G7" s="525" t="s">
        <v>1105</v>
      </c>
      <c r="H7" s="579">
        <v>64.054545454545448</v>
      </c>
      <c r="I7" s="531" t="s">
        <v>296</v>
      </c>
      <c r="J7" s="459">
        <v>3000</v>
      </c>
      <c r="K7" s="459">
        <v>6000</v>
      </c>
      <c r="L7" s="459">
        <v>9000</v>
      </c>
      <c r="M7" s="459">
        <v>15000</v>
      </c>
      <c r="N7" s="525"/>
      <c r="O7" s="406">
        <v>1.8999999999999997</v>
      </c>
      <c r="P7" s="406">
        <v>1.8818181818181816</v>
      </c>
      <c r="Q7" s="406">
        <v>1.7363636363636361</v>
      </c>
      <c r="R7" s="406">
        <v>1.6727272727272726</v>
      </c>
      <c r="S7" s="406">
        <v>1.6363636363636362</v>
      </c>
      <c r="T7" s="580"/>
      <c r="U7" s="406">
        <v>1.8818181818181816</v>
      </c>
      <c r="V7" s="406">
        <v>1.8727272727272726</v>
      </c>
      <c r="W7" s="406">
        <v>1.718181818181818</v>
      </c>
      <c r="X7" s="406">
        <v>1.6454545454545453</v>
      </c>
      <c r="Y7" s="406">
        <v>1.6090909090909089</v>
      </c>
      <c r="Z7" s="580"/>
      <c r="AA7" s="580"/>
      <c r="AB7" s="580"/>
      <c r="AC7" s="580"/>
      <c r="AD7" s="580"/>
      <c r="AE7" s="580"/>
      <c r="AF7" s="580"/>
      <c r="AG7" s="528" t="s">
        <v>1143</v>
      </c>
      <c r="AH7" s="528" t="s">
        <v>1144</v>
      </c>
      <c r="AI7" s="528">
        <v>3</v>
      </c>
      <c r="AJ7" s="528">
        <v>3</v>
      </c>
      <c r="AK7" s="480">
        <v>0.5</v>
      </c>
      <c r="AL7" s="480">
        <v>0.5</v>
      </c>
      <c r="AM7" s="525" t="s">
        <v>1118</v>
      </c>
      <c r="AN7" s="528">
        <v>0</v>
      </c>
      <c r="AO7" s="528">
        <v>0</v>
      </c>
      <c r="AP7" s="528">
        <v>0</v>
      </c>
      <c r="AQ7" s="528">
        <v>0</v>
      </c>
      <c r="AR7" s="528">
        <v>0</v>
      </c>
      <c r="AS7" s="528">
        <v>0</v>
      </c>
      <c r="AT7" s="528">
        <v>0</v>
      </c>
      <c r="AU7" s="528">
        <v>0</v>
      </c>
      <c r="AV7" s="528">
        <v>0</v>
      </c>
      <c r="AW7" s="528">
        <v>0</v>
      </c>
      <c r="AX7" s="528">
        <v>0</v>
      </c>
      <c r="AY7" s="528">
        <v>0</v>
      </c>
      <c r="AZ7" s="528"/>
      <c r="BA7" s="528" t="s">
        <v>1145</v>
      </c>
      <c r="BB7" s="528"/>
      <c r="BC7" s="528" t="s">
        <v>1145</v>
      </c>
      <c r="BD7" s="528"/>
      <c r="BE7" s="528"/>
      <c r="BF7" s="564">
        <v>45169</v>
      </c>
      <c r="BG7" s="529"/>
      <c r="BH7" s="525"/>
      <c r="BI7" s="528"/>
      <c r="BJ7" s="528" t="s">
        <v>1146</v>
      </c>
      <c r="BK7" s="528"/>
      <c r="BL7" s="529"/>
      <c r="BM7" s="529" t="s">
        <v>430</v>
      </c>
      <c r="BN7" s="525" t="s">
        <v>408</v>
      </c>
    </row>
    <row r="8" spans="1:66" ht="13" customHeight="1" x14ac:dyDescent="0.2">
      <c r="A8" s="525">
        <v>312</v>
      </c>
      <c r="B8" s="581">
        <v>44573</v>
      </c>
      <c r="C8" s="526" t="s">
        <v>10</v>
      </c>
      <c r="D8" s="525" t="s">
        <v>1100</v>
      </c>
      <c r="E8" s="527">
        <v>44287</v>
      </c>
      <c r="F8" s="525" t="s">
        <v>24</v>
      </c>
      <c r="G8" s="525" t="s">
        <v>20</v>
      </c>
      <c r="H8" s="579">
        <v>81.199999999999989</v>
      </c>
      <c r="I8" s="531" t="s">
        <v>296</v>
      </c>
      <c r="J8" s="459">
        <v>3000</v>
      </c>
      <c r="K8" s="459">
        <v>6000</v>
      </c>
      <c r="L8" s="459">
        <v>9000</v>
      </c>
      <c r="M8" s="459">
        <v>15000</v>
      </c>
      <c r="N8" s="525"/>
      <c r="O8" s="406">
        <v>2.1999999999999997</v>
      </c>
      <c r="P8" s="406">
        <v>2</v>
      </c>
      <c r="Q8" s="406">
        <v>1.7999999999999998</v>
      </c>
      <c r="R8" s="406">
        <v>1.5999999999999999</v>
      </c>
      <c r="S8" s="406">
        <v>1.5999999999999999</v>
      </c>
      <c r="T8" s="580"/>
      <c r="U8" s="406">
        <v>2</v>
      </c>
      <c r="V8" s="406">
        <v>1.8999999999999997</v>
      </c>
      <c r="W8" s="406">
        <v>1.7</v>
      </c>
      <c r="X8" s="406">
        <v>1.5999999999999999</v>
      </c>
      <c r="Y8" s="406">
        <v>1.5999999999999999</v>
      </c>
      <c r="Z8" s="580"/>
      <c r="AA8" s="580"/>
      <c r="AB8" s="580"/>
      <c r="AC8" s="580"/>
      <c r="AD8" s="580"/>
      <c r="AE8" s="580"/>
      <c r="AF8" s="580"/>
      <c r="AG8" s="528" t="s">
        <v>1116</v>
      </c>
      <c r="AH8" s="528" t="s">
        <v>1117</v>
      </c>
      <c r="AI8" s="528">
        <v>3</v>
      </c>
      <c r="AJ8" s="528">
        <v>3</v>
      </c>
      <c r="AK8" s="480">
        <v>0.5</v>
      </c>
      <c r="AL8" s="480">
        <v>0.5</v>
      </c>
      <c r="AM8" s="525" t="s">
        <v>1118</v>
      </c>
      <c r="AN8" s="528">
        <v>0</v>
      </c>
      <c r="AO8" s="528">
        <v>0</v>
      </c>
      <c r="AP8" s="528">
        <v>0</v>
      </c>
      <c r="AQ8" s="528">
        <v>0</v>
      </c>
      <c r="AR8" s="528">
        <v>0</v>
      </c>
      <c r="AS8" s="528">
        <v>0</v>
      </c>
      <c r="AT8" s="528">
        <v>0</v>
      </c>
      <c r="AU8" s="528">
        <v>0</v>
      </c>
      <c r="AV8" s="528">
        <v>0</v>
      </c>
      <c r="AW8" s="528">
        <v>0</v>
      </c>
      <c r="AX8" s="528">
        <v>0</v>
      </c>
      <c r="AY8" s="528">
        <v>0</v>
      </c>
      <c r="AZ8" s="528"/>
      <c r="BA8" s="528" t="s">
        <v>38</v>
      </c>
      <c r="BB8" s="528"/>
      <c r="BC8" s="528" t="s">
        <v>38</v>
      </c>
      <c r="BD8" s="528"/>
      <c r="BE8" s="528"/>
      <c r="BF8" s="528"/>
      <c r="BG8" s="529"/>
      <c r="BH8" s="525"/>
      <c r="BI8" s="528"/>
      <c r="BJ8" s="528" t="s">
        <v>4</v>
      </c>
      <c r="BK8" s="528"/>
      <c r="BL8" s="297"/>
      <c r="BM8" s="424" t="s">
        <v>1568</v>
      </c>
      <c r="BN8" s="525" t="s">
        <v>368</v>
      </c>
    </row>
    <row r="9" spans="1:66" ht="13" customHeight="1" x14ac:dyDescent="0.2">
      <c r="A9" s="525">
        <v>2853</v>
      </c>
      <c r="B9" s="581">
        <v>44573</v>
      </c>
      <c r="C9" s="526" t="s">
        <v>1138</v>
      </c>
      <c r="D9" s="525" t="s">
        <v>1100</v>
      </c>
      <c r="E9" s="527">
        <v>44562</v>
      </c>
      <c r="F9" s="529" t="s">
        <v>1166</v>
      </c>
      <c r="G9" s="525" t="s">
        <v>1478</v>
      </c>
      <c r="H9" s="579">
        <v>67.72727272727272</v>
      </c>
      <c r="I9" s="531" t="s">
        <v>296</v>
      </c>
      <c r="J9" s="568">
        <v>6000</v>
      </c>
      <c r="K9" s="568">
        <v>6000</v>
      </c>
      <c r="L9" s="568">
        <v>6000</v>
      </c>
      <c r="M9" s="568">
        <v>6000</v>
      </c>
      <c r="N9" s="568"/>
      <c r="O9" s="406">
        <v>2.3454545454545452</v>
      </c>
      <c r="P9" s="406">
        <v>0</v>
      </c>
      <c r="Q9" s="406">
        <v>0</v>
      </c>
      <c r="R9" s="406">
        <v>0</v>
      </c>
      <c r="S9" s="406">
        <v>1.5545454545454545</v>
      </c>
      <c r="T9" s="580"/>
      <c r="U9" s="406">
        <v>2.3454545454545452</v>
      </c>
      <c r="V9" s="406">
        <v>0</v>
      </c>
      <c r="W9" s="406">
        <v>0</v>
      </c>
      <c r="X9" s="406">
        <v>0</v>
      </c>
      <c r="Y9" s="406">
        <v>1.5545454545454545</v>
      </c>
      <c r="Z9" s="580"/>
      <c r="AA9" s="580"/>
      <c r="AB9" s="580"/>
      <c r="AC9" s="580"/>
      <c r="AD9" s="580"/>
      <c r="AE9" s="580"/>
      <c r="AF9" s="580"/>
      <c r="AG9" s="528" t="s">
        <v>1145</v>
      </c>
      <c r="AH9" s="528"/>
      <c r="AI9" s="528">
        <v>3</v>
      </c>
      <c r="AJ9" s="528">
        <v>3</v>
      </c>
      <c r="AK9" s="480">
        <v>0.5</v>
      </c>
      <c r="AL9" s="480">
        <v>0.5</v>
      </c>
      <c r="AM9" s="525"/>
      <c r="AN9" s="528">
        <v>0</v>
      </c>
      <c r="AO9" s="528">
        <v>0</v>
      </c>
      <c r="AP9" s="528">
        <v>0</v>
      </c>
      <c r="AQ9" s="528">
        <v>0</v>
      </c>
      <c r="AR9" s="528">
        <v>0</v>
      </c>
      <c r="AS9" s="528">
        <v>0</v>
      </c>
      <c r="AT9" s="528">
        <v>0</v>
      </c>
      <c r="AU9" s="528">
        <v>0</v>
      </c>
      <c r="AV9" s="528">
        <v>0</v>
      </c>
      <c r="AW9" s="528">
        <v>0</v>
      </c>
      <c r="AX9" s="528">
        <v>0</v>
      </c>
      <c r="AY9" s="528">
        <v>0</v>
      </c>
      <c r="AZ9" s="528"/>
      <c r="BA9" s="528" t="s">
        <v>1145</v>
      </c>
      <c r="BB9" s="528">
        <v>12</v>
      </c>
      <c r="BC9" s="528" t="s">
        <v>1145</v>
      </c>
      <c r="BD9" s="528"/>
      <c r="BE9" s="528">
        <v>12</v>
      </c>
      <c r="BF9" s="528"/>
      <c r="BG9" s="529"/>
      <c r="BH9" s="525"/>
      <c r="BI9" s="528"/>
      <c r="BJ9" s="528" t="s">
        <v>1146</v>
      </c>
      <c r="BK9" s="528"/>
      <c r="BL9" s="529"/>
      <c r="BM9" s="525" t="s">
        <v>1625</v>
      </c>
      <c r="BN9" s="525" t="s">
        <v>408</v>
      </c>
    </row>
    <row r="10" spans="1:66" ht="13" customHeight="1" x14ac:dyDescent="0.2">
      <c r="A10" s="525">
        <v>2394</v>
      </c>
      <c r="B10" s="581">
        <v>44575</v>
      </c>
      <c r="C10" s="526" t="s">
        <v>1138</v>
      </c>
      <c r="D10" s="525" t="s">
        <v>1100</v>
      </c>
      <c r="E10" s="570">
        <v>44546</v>
      </c>
      <c r="F10" s="529" t="s">
        <v>1168</v>
      </c>
      <c r="G10" s="525" t="s">
        <v>1297</v>
      </c>
      <c r="H10" s="579">
        <v>65.518181818181802</v>
      </c>
      <c r="I10" s="531" t="s">
        <v>296</v>
      </c>
      <c r="J10" s="459">
        <v>3000</v>
      </c>
      <c r="K10" s="459">
        <v>6000</v>
      </c>
      <c r="L10" s="459">
        <v>9000</v>
      </c>
      <c r="M10" s="459">
        <v>15000</v>
      </c>
      <c r="N10" s="525"/>
      <c r="O10" s="406">
        <v>2.0636363636363635</v>
      </c>
      <c r="P10" s="406">
        <v>1.9363636363636361</v>
      </c>
      <c r="Q10" s="406">
        <v>1.7090909090909088</v>
      </c>
      <c r="R10" s="406">
        <v>1.6181818181818182</v>
      </c>
      <c r="S10" s="406">
        <v>1.5272727272727271</v>
      </c>
      <c r="T10" s="580"/>
      <c r="U10" s="406">
        <v>1.9636363636363636</v>
      </c>
      <c r="V10" s="406">
        <v>1.7999999999999998</v>
      </c>
      <c r="W10" s="406">
        <v>1.6181818181818182</v>
      </c>
      <c r="X10" s="406">
        <v>1.5272727272727271</v>
      </c>
      <c r="Y10" s="406">
        <v>1.4818181818181817</v>
      </c>
      <c r="Z10" s="580"/>
      <c r="AA10" s="580"/>
      <c r="AB10" s="580"/>
      <c r="AC10" s="580"/>
      <c r="AD10" s="580"/>
      <c r="AE10" s="580"/>
      <c r="AF10" s="580"/>
      <c r="AG10" s="528" t="s">
        <v>1143</v>
      </c>
      <c r="AH10" s="528" t="s">
        <v>1144</v>
      </c>
      <c r="AI10" s="528">
        <v>3</v>
      </c>
      <c r="AJ10" s="528">
        <v>3</v>
      </c>
      <c r="AK10" s="480">
        <v>0.5</v>
      </c>
      <c r="AL10" s="480">
        <v>0.5</v>
      </c>
      <c r="AM10" s="525" t="s">
        <v>1118</v>
      </c>
      <c r="AN10" s="528">
        <v>0</v>
      </c>
      <c r="AO10" s="528">
        <v>0</v>
      </c>
      <c r="AP10" s="528">
        <v>0</v>
      </c>
      <c r="AQ10" s="528">
        <v>0</v>
      </c>
      <c r="AR10" s="528">
        <v>0</v>
      </c>
      <c r="AS10" s="528">
        <v>0</v>
      </c>
      <c r="AT10" s="528">
        <v>0</v>
      </c>
      <c r="AU10" s="528">
        <v>0</v>
      </c>
      <c r="AV10" s="528">
        <v>0</v>
      </c>
      <c r="AW10" s="528">
        <v>0</v>
      </c>
      <c r="AX10" s="528">
        <v>0</v>
      </c>
      <c r="AY10" s="528">
        <v>0</v>
      </c>
      <c r="AZ10" s="528"/>
      <c r="BA10" s="528" t="s">
        <v>1145</v>
      </c>
      <c r="BB10" s="528"/>
      <c r="BC10" s="528" t="s">
        <v>1145</v>
      </c>
      <c r="BD10" s="528"/>
      <c r="BE10" s="528"/>
      <c r="BF10" s="528"/>
      <c r="BG10" s="529"/>
      <c r="BH10" s="525"/>
      <c r="BI10" s="528"/>
      <c r="BJ10" s="528" t="s">
        <v>1146</v>
      </c>
      <c r="BK10" s="528"/>
      <c r="BL10" s="529"/>
      <c r="BM10" s="529" t="s">
        <v>430</v>
      </c>
      <c r="BN10" s="525" t="s">
        <v>408</v>
      </c>
    </row>
    <row r="11" spans="1:66" ht="13" customHeight="1" x14ac:dyDescent="0.2">
      <c r="A11" s="525">
        <v>608</v>
      </c>
      <c r="B11" s="581">
        <v>44575</v>
      </c>
      <c r="C11" s="526" t="s">
        <v>1138</v>
      </c>
      <c r="D11" s="525" t="s">
        <v>1100</v>
      </c>
      <c r="E11" s="570">
        <v>44562</v>
      </c>
      <c r="F11" s="529" t="s">
        <v>1169</v>
      </c>
      <c r="G11" s="525" t="s">
        <v>1617</v>
      </c>
      <c r="H11" s="579">
        <v>76.099999999999994</v>
      </c>
      <c r="I11" s="531" t="s">
        <v>296</v>
      </c>
      <c r="J11" s="459">
        <v>3000</v>
      </c>
      <c r="K11" s="459">
        <v>6000</v>
      </c>
      <c r="L11" s="459">
        <v>9000</v>
      </c>
      <c r="M11" s="459">
        <v>15000</v>
      </c>
      <c r="N11" s="525"/>
      <c r="O11" s="416">
        <v>3.418181818181818</v>
      </c>
      <c r="P11" s="416">
        <v>3.0545454545454542</v>
      </c>
      <c r="Q11" s="416">
        <v>2.6181818181818177</v>
      </c>
      <c r="R11" s="416">
        <v>2.3787878787878789</v>
      </c>
      <c r="S11" s="416">
        <v>2.3181818181818179</v>
      </c>
      <c r="T11" s="580"/>
      <c r="U11" s="406">
        <v>3.2545454545454544</v>
      </c>
      <c r="V11" s="406">
        <v>2.9272727272727272</v>
      </c>
      <c r="W11" s="406">
        <v>2.5636363636363635</v>
      </c>
      <c r="X11" s="406">
        <v>2.336363636363636</v>
      </c>
      <c r="Y11" s="406">
        <v>2.2999999999999998</v>
      </c>
      <c r="Z11" s="580"/>
      <c r="AA11" s="406">
        <v>3.3818181818181818</v>
      </c>
      <c r="AB11" s="406">
        <v>3.0181818181818176</v>
      </c>
      <c r="AC11" s="406">
        <v>2.5999999999999996</v>
      </c>
      <c r="AD11" s="406">
        <v>2.3727272727272726</v>
      </c>
      <c r="AE11" s="406">
        <v>2.3181818181818179</v>
      </c>
      <c r="AF11" s="580"/>
      <c r="AG11" s="528" t="s">
        <v>1143</v>
      </c>
      <c r="AH11" s="528" t="s">
        <v>1144</v>
      </c>
      <c r="AI11" s="528">
        <v>3</v>
      </c>
      <c r="AJ11" s="528">
        <v>3</v>
      </c>
      <c r="AK11" s="480">
        <v>0.5</v>
      </c>
      <c r="AL11" s="480">
        <v>0.5</v>
      </c>
      <c r="AM11" s="525" t="s">
        <v>1123</v>
      </c>
      <c r="AN11" s="528">
        <v>32</v>
      </c>
      <c r="AO11" s="528">
        <v>0</v>
      </c>
      <c r="AP11" s="528">
        <v>0</v>
      </c>
      <c r="AQ11" s="528">
        <v>0</v>
      </c>
      <c r="AR11" s="528">
        <v>0</v>
      </c>
      <c r="AS11" s="528">
        <v>0</v>
      </c>
      <c r="AT11" s="528">
        <v>0</v>
      </c>
      <c r="AU11" s="528">
        <v>0</v>
      </c>
      <c r="AV11" s="528">
        <v>0</v>
      </c>
      <c r="AW11" s="528">
        <v>0</v>
      </c>
      <c r="AX11" s="528">
        <v>0</v>
      </c>
      <c r="AY11" s="528">
        <v>0</v>
      </c>
      <c r="AZ11" s="528"/>
      <c r="BA11" s="528" t="s">
        <v>1145</v>
      </c>
      <c r="BB11" s="528"/>
      <c r="BC11" s="528" t="s">
        <v>1145</v>
      </c>
      <c r="BD11" s="528"/>
      <c r="BE11" s="528"/>
      <c r="BF11" s="528"/>
      <c r="BG11" s="529"/>
      <c r="BH11" s="525"/>
      <c r="BI11" s="528"/>
      <c r="BJ11" s="528" t="s">
        <v>1146</v>
      </c>
      <c r="BK11" s="528"/>
      <c r="BL11" s="529" t="s">
        <v>1626</v>
      </c>
      <c r="BM11" s="529" t="s">
        <v>430</v>
      </c>
      <c r="BN11" s="525" t="s">
        <v>408</v>
      </c>
    </row>
    <row r="12" spans="1:66" ht="13" customHeight="1" x14ac:dyDescent="0.2">
      <c r="A12" s="525">
        <v>1682</v>
      </c>
      <c r="B12" s="582">
        <v>44577</v>
      </c>
      <c r="C12" s="526" t="s">
        <v>295</v>
      </c>
      <c r="D12" s="525" t="s">
        <v>1100</v>
      </c>
      <c r="E12" s="527">
        <v>44563</v>
      </c>
      <c r="F12" s="529" t="s">
        <v>1106</v>
      </c>
      <c r="G12" s="525" t="s">
        <v>2</v>
      </c>
      <c r="H12" s="579">
        <v>59.999999999999993</v>
      </c>
      <c r="I12" s="531" t="s">
        <v>296</v>
      </c>
      <c r="J12" s="568">
        <v>6000</v>
      </c>
      <c r="K12" s="568">
        <v>6000</v>
      </c>
      <c r="L12" s="568">
        <v>6000</v>
      </c>
      <c r="M12" s="568">
        <v>6000</v>
      </c>
      <c r="N12" s="525"/>
      <c r="O12" s="406">
        <v>2.0545454545454542</v>
      </c>
      <c r="P12" s="406">
        <v>0</v>
      </c>
      <c r="Q12" s="406">
        <v>0</v>
      </c>
      <c r="R12" s="406">
        <v>0</v>
      </c>
      <c r="S12" s="406">
        <v>1.7</v>
      </c>
      <c r="T12" s="580"/>
      <c r="U12" s="406">
        <v>2.0545454545454542</v>
      </c>
      <c r="V12" s="406">
        <v>0</v>
      </c>
      <c r="W12" s="406">
        <v>0</v>
      </c>
      <c r="X12" s="406">
        <v>0</v>
      </c>
      <c r="Y12" s="406">
        <v>1.7</v>
      </c>
      <c r="Z12" s="580"/>
      <c r="AA12" s="580"/>
      <c r="AB12" s="580"/>
      <c r="AC12" s="580"/>
      <c r="AD12" s="580"/>
      <c r="AE12" s="580"/>
      <c r="AF12" s="580"/>
      <c r="AG12" s="528" t="s">
        <v>1145</v>
      </c>
      <c r="AH12" s="528"/>
      <c r="AI12" s="528">
        <v>3</v>
      </c>
      <c r="AJ12" s="528">
        <v>3</v>
      </c>
      <c r="AK12" s="480">
        <v>0.5</v>
      </c>
      <c r="AL12" s="480">
        <v>0.5</v>
      </c>
      <c r="AM12" s="525"/>
      <c r="AN12" s="528">
        <v>0</v>
      </c>
      <c r="AO12" s="528">
        <v>0</v>
      </c>
      <c r="AP12" s="528">
        <v>0</v>
      </c>
      <c r="AQ12" s="528">
        <v>0</v>
      </c>
      <c r="AR12" s="528">
        <v>0</v>
      </c>
      <c r="AS12" s="528">
        <v>0</v>
      </c>
      <c r="AT12" s="528">
        <v>0</v>
      </c>
      <c r="AU12" s="528">
        <v>0</v>
      </c>
      <c r="AV12" s="528">
        <v>0</v>
      </c>
      <c r="AW12" s="528">
        <v>0</v>
      </c>
      <c r="AX12" s="528">
        <v>0</v>
      </c>
      <c r="AY12" s="528">
        <v>0</v>
      </c>
      <c r="AZ12" s="528"/>
      <c r="BA12" s="528" t="s">
        <v>1145</v>
      </c>
      <c r="BB12" s="528"/>
      <c r="BC12" s="528" t="s">
        <v>1145</v>
      </c>
      <c r="BD12" s="528"/>
      <c r="BE12" s="528"/>
      <c r="BF12" s="529"/>
      <c r="BG12" s="525"/>
      <c r="BH12" s="528"/>
      <c r="BI12" s="528"/>
      <c r="BJ12" s="528" t="s">
        <v>1146</v>
      </c>
      <c r="BK12" s="528">
        <v>1</v>
      </c>
      <c r="BL12" s="525"/>
      <c r="BM12" s="529" t="s">
        <v>430</v>
      </c>
      <c r="BN12" s="525" t="s">
        <v>408</v>
      </c>
    </row>
    <row r="13" spans="1:66" ht="13" customHeight="1" x14ac:dyDescent="0.2">
      <c r="A13" s="525">
        <v>2901</v>
      </c>
      <c r="B13" s="581">
        <v>44575</v>
      </c>
      <c r="C13" s="526" t="s">
        <v>1138</v>
      </c>
      <c r="D13" s="525" t="s">
        <v>1100</v>
      </c>
      <c r="E13" s="527">
        <v>44228</v>
      </c>
      <c r="F13" s="525" t="s">
        <v>34</v>
      </c>
      <c r="G13" s="525" t="s">
        <v>1181</v>
      </c>
      <c r="H13" s="579">
        <v>66.054545454545448</v>
      </c>
      <c r="I13" s="394"/>
      <c r="J13" s="394"/>
      <c r="K13" s="394"/>
      <c r="L13" s="332"/>
      <c r="M13" s="332"/>
      <c r="N13" s="332"/>
      <c r="O13" s="406">
        <v>1.7363636363636361</v>
      </c>
      <c r="P13" s="406">
        <v>0</v>
      </c>
      <c r="Q13" s="406">
        <v>0</v>
      </c>
      <c r="R13" s="406">
        <v>0</v>
      </c>
      <c r="S13" s="406">
        <v>0</v>
      </c>
      <c r="T13" s="580"/>
      <c r="U13" s="406">
        <v>1.5636363636363635</v>
      </c>
      <c r="V13" s="406">
        <v>0</v>
      </c>
      <c r="W13" s="406">
        <v>0</v>
      </c>
      <c r="X13" s="406">
        <v>0</v>
      </c>
      <c r="Y13" s="406">
        <v>0</v>
      </c>
      <c r="Z13" s="580"/>
      <c r="AA13" s="580"/>
      <c r="AB13" s="580"/>
      <c r="AC13" s="580"/>
      <c r="AD13" s="580"/>
      <c r="AE13" s="580"/>
      <c r="AF13" s="580"/>
      <c r="AG13" s="528" t="s">
        <v>1143</v>
      </c>
      <c r="AH13" s="528" t="s">
        <v>1144</v>
      </c>
      <c r="AI13" s="528">
        <v>3</v>
      </c>
      <c r="AJ13" s="528">
        <v>3</v>
      </c>
      <c r="AK13" s="480">
        <v>0.5</v>
      </c>
      <c r="AL13" s="480">
        <v>0.5</v>
      </c>
      <c r="AM13" s="525" t="s">
        <v>1118</v>
      </c>
      <c r="AN13" s="528">
        <v>0</v>
      </c>
      <c r="AO13" s="528">
        <v>0</v>
      </c>
      <c r="AP13" s="528">
        <v>0</v>
      </c>
      <c r="AQ13" s="528">
        <v>0</v>
      </c>
      <c r="AR13" s="528">
        <v>0</v>
      </c>
      <c r="AS13" s="528">
        <v>0</v>
      </c>
      <c r="AT13" s="528">
        <v>0</v>
      </c>
      <c r="AU13" s="528">
        <v>0</v>
      </c>
      <c r="AV13" s="528">
        <v>0</v>
      </c>
      <c r="AW13" s="528">
        <v>0</v>
      </c>
      <c r="AX13" s="528">
        <v>0</v>
      </c>
      <c r="AY13" s="528">
        <v>0</v>
      </c>
      <c r="AZ13" s="528"/>
      <c r="BA13" s="528" t="s">
        <v>1145</v>
      </c>
      <c r="BB13" s="528"/>
      <c r="BC13" s="528" t="s">
        <v>1145</v>
      </c>
      <c r="BD13" s="528"/>
      <c r="BE13" s="528"/>
      <c r="BF13" s="528"/>
      <c r="BG13" s="529"/>
      <c r="BH13" s="525"/>
      <c r="BI13" s="528"/>
      <c r="BJ13" s="528" t="s">
        <v>1164</v>
      </c>
      <c r="BK13" s="528"/>
      <c r="BL13" s="529" t="s">
        <v>1284</v>
      </c>
      <c r="BM13" s="424" t="s">
        <v>1556</v>
      </c>
      <c r="BN13" s="525" t="s">
        <v>368</v>
      </c>
    </row>
    <row r="14" spans="1:66" ht="13" customHeight="1" x14ac:dyDescent="0.2">
      <c r="A14" s="525">
        <v>2745</v>
      </c>
      <c r="B14" s="581">
        <v>44575</v>
      </c>
      <c r="C14" s="526" t="s">
        <v>1138</v>
      </c>
      <c r="D14" s="525" t="s">
        <v>1100</v>
      </c>
      <c r="E14" s="527">
        <v>44562</v>
      </c>
      <c r="F14" s="525" t="s">
        <v>1274</v>
      </c>
      <c r="G14" s="525" t="s">
        <v>1467</v>
      </c>
      <c r="H14" s="579">
        <v>70.999999999999986</v>
      </c>
      <c r="I14" s="394" t="s">
        <v>296</v>
      </c>
      <c r="J14" s="459">
        <v>3000</v>
      </c>
      <c r="K14" s="459">
        <v>7500</v>
      </c>
      <c r="L14" s="459">
        <v>7500</v>
      </c>
      <c r="M14" s="459">
        <v>7500</v>
      </c>
      <c r="N14" s="332"/>
      <c r="O14" s="406">
        <v>2.6545454545454543</v>
      </c>
      <c r="P14" s="406">
        <v>2.2909090909090906</v>
      </c>
      <c r="Q14" s="406">
        <v>0</v>
      </c>
      <c r="R14" s="406">
        <v>0</v>
      </c>
      <c r="S14" s="406">
        <v>1.9090909090909089</v>
      </c>
      <c r="T14" s="580"/>
      <c r="U14" s="406">
        <v>2.6545454545454543</v>
      </c>
      <c r="V14" s="406">
        <v>2.2909090909090906</v>
      </c>
      <c r="W14" s="406">
        <v>0</v>
      </c>
      <c r="X14" s="406">
        <v>0</v>
      </c>
      <c r="Y14" s="406">
        <v>1.9090909090909089</v>
      </c>
      <c r="Z14" s="580"/>
      <c r="AA14" s="580"/>
      <c r="AB14" s="580"/>
      <c r="AC14" s="580"/>
      <c r="AD14" s="580"/>
      <c r="AE14" s="580"/>
      <c r="AF14" s="580"/>
      <c r="AG14" s="333" t="s">
        <v>1145</v>
      </c>
      <c r="AH14" s="333"/>
      <c r="AI14" s="528">
        <v>3</v>
      </c>
      <c r="AJ14" s="528">
        <v>3</v>
      </c>
      <c r="AK14" s="480">
        <v>0.5</v>
      </c>
      <c r="AL14" s="480">
        <v>0.5</v>
      </c>
      <c r="AM14" s="525"/>
      <c r="AN14" s="528">
        <v>0</v>
      </c>
      <c r="AO14" s="528">
        <v>12</v>
      </c>
      <c r="AP14" s="528">
        <v>0</v>
      </c>
      <c r="AQ14" s="528">
        <v>3</v>
      </c>
      <c r="AR14" s="528">
        <v>0</v>
      </c>
      <c r="AS14" s="528">
        <v>0</v>
      </c>
      <c r="AT14" s="528">
        <v>0</v>
      </c>
      <c r="AU14" s="528">
        <v>0</v>
      </c>
      <c r="AV14" s="528">
        <v>0</v>
      </c>
      <c r="AW14" s="528">
        <v>0</v>
      </c>
      <c r="AX14" s="528">
        <v>0</v>
      </c>
      <c r="AY14" s="528">
        <v>0</v>
      </c>
      <c r="AZ14" s="528"/>
      <c r="BA14" s="528" t="s">
        <v>1145</v>
      </c>
      <c r="BB14" s="528"/>
      <c r="BC14" s="528" t="s">
        <v>1145</v>
      </c>
      <c r="BD14" s="528"/>
      <c r="BE14" s="528"/>
      <c r="BF14" s="528"/>
      <c r="BG14" s="529"/>
      <c r="BH14" s="525"/>
      <c r="BI14" s="528"/>
      <c r="BJ14" s="528" t="s">
        <v>1164</v>
      </c>
      <c r="BK14" s="528"/>
      <c r="BL14" s="529"/>
      <c r="BM14" s="529" t="s">
        <v>430</v>
      </c>
      <c r="BN14" s="525" t="s">
        <v>408</v>
      </c>
    </row>
    <row r="15" spans="1:66" ht="13" customHeight="1" x14ac:dyDescent="0.2">
      <c r="A15" s="525">
        <v>3327</v>
      </c>
      <c r="B15" s="581">
        <v>44573</v>
      </c>
      <c r="C15" s="526" t="s">
        <v>1138</v>
      </c>
      <c r="D15" s="525" t="s">
        <v>1100</v>
      </c>
      <c r="E15" s="570">
        <v>44562</v>
      </c>
      <c r="F15" s="525" t="s">
        <v>1291</v>
      </c>
      <c r="G15" s="525" t="s">
        <v>1618</v>
      </c>
      <c r="H15" s="579">
        <v>58.690909090909088</v>
      </c>
      <c r="I15" s="394"/>
      <c r="J15" s="394"/>
      <c r="K15" s="394"/>
      <c r="L15" s="332"/>
      <c r="M15" s="332"/>
      <c r="N15" s="332"/>
      <c r="O15" s="406">
        <v>2.0181818181818181</v>
      </c>
      <c r="P15" s="406">
        <v>0</v>
      </c>
      <c r="Q15" s="406">
        <v>0</v>
      </c>
      <c r="R15" s="406">
        <v>0</v>
      </c>
      <c r="S15" s="406">
        <v>0</v>
      </c>
      <c r="T15" s="580"/>
      <c r="U15" s="406">
        <v>1.8727272727272726</v>
      </c>
      <c r="V15" s="406">
        <v>0</v>
      </c>
      <c r="W15" s="406">
        <v>0</v>
      </c>
      <c r="X15" s="406">
        <v>0</v>
      </c>
      <c r="Y15" s="406">
        <v>0</v>
      </c>
      <c r="Z15" s="580"/>
      <c r="AA15" s="580"/>
      <c r="AB15" s="580"/>
      <c r="AC15" s="580"/>
      <c r="AD15" s="580"/>
      <c r="AE15" s="580"/>
      <c r="AF15" s="580"/>
      <c r="AG15" s="333" t="s">
        <v>1143</v>
      </c>
      <c r="AH15" s="333" t="s">
        <v>1144</v>
      </c>
      <c r="AI15" s="528">
        <v>3</v>
      </c>
      <c r="AJ15" s="528">
        <v>3</v>
      </c>
      <c r="AK15" s="480">
        <v>0.5</v>
      </c>
      <c r="AL15" s="480">
        <v>0.5</v>
      </c>
      <c r="AM15" s="525" t="s">
        <v>1118</v>
      </c>
      <c r="AN15" s="528">
        <v>0</v>
      </c>
      <c r="AO15" s="528">
        <v>0</v>
      </c>
      <c r="AP15" s="528">
        <v>0</v>
      </c>
      <c r="AQ15" s="528">
        <v>0</v>
      </c>
      <c r="AR15" s="528">
        <v>0</v>
      </c>
      <c r="AS15" s="528">
        <v>0</v>
      </c>
      <c r="AT15" s="528">
        <v>0</v>
      </c>
      <c r="AU15" s="528">
        <v>0</v>
      </c>
      <c r="AV15" s="528">
        <v>0</v>
      </c>
      <c r="AW15" s="528">
        <v>0</v>
      </c>
      <c r="AX15" s="528">
        <v>0</v>
      </c>
      <c r="AY15" s="528">
        <v>0</v>
      </c>
      <c r="AZ15" s="528"/>
      <c r="BA15" s="528" t="s">
        <v>1145</v>
      </c>
      <c r="BB15" s="528"/>
      <c r="BC15" s="528" t="s">
        <v>1145</v>
      </c>
      <c r="BD15" s="528"/>
      <c r="BE15" s="528"/>
      <c r="BF15" s="528"/>
      <c r="BG15" s="529"/>
      <c r="BH15" s="525"/>
      <c r="BI15" s="528"/>
      <c r="BJ15" s="528" t="s">
        <v>411</v>
      </c>
      <c r="BK15" s="528"/>
      <c r="BL15" s="529" t="s">
        <v>1627</v>
      </c>
      <c r="BM15" s="424" t="s">
        <v>1628</v>
      </c>
      <c r="BN15" s="525" t="s">
        <v>1121</v>
      </c>
    </row>
    <row r="16" spans="1:66" ht="13" customHeight="1" x14ac:dyDescent="0.2">
      <c r="A16" s="525">
        <v>2936</v>
      </c>
      <c r="B16" s="581">
        <v>44574</v>
      </c>
      <c r="C16" s="526" t="s">
        <v>1138</v>
      </c>
      <c r="D16" s="525" t="s">
        <v>1100</v>
      </c>
      <c r="E16" s="527">
        <v>44452</v>
      </c>
      <c r="F16" s="525" t="s">
        <v>1483</v>
      </c>
      <c r="G16" s="525" t="s">
        <v>1550</v>
      </c>
      <c r="H16" s="579">
        <v>65</v>
      </c>
      <c r="I16" s="531" t="s">
        <v>296</v>
      </c>
      <c r="J16" s="459">
        <v>3000</v>
      </c>
      <c r="K16" s="459">
        <v>6000</v>
      </c>
      <c r="L16" s="459">
        <v>9000</v>
      </c>
      <c r="M16" s="459">
        <v>15000</v>
      </c>
      <c r="N16" s="332"/>
      <c r="O16" s="406">
        <v>1.6818181818181817</v>
      </c>
      <c r="P16" s="406">
        <v>1.4818181818181817</v>
      </c>
      <c r="Q16" s="406">
        <v>1.2999999999999998</v>
      </c>
      <c r="R16" s="406">
        <v>1.2363636363636363</v>
      </c>
      <c r="S16" s="406">
        <v>1.1909090909090909</v>
      </c>
      <c r="T16" s="580"/>
      <c r="U16" s="406">
        <v>1.4999999999999998</v>
      </c>
      <c r="V16" s="406">
        <v>1.4</v>
      </c>
      <c r="W16" s="406">
        <v>1.2999999999999998</v>
      </c>
      <c r="X16" s="406">
        <v>1.2</v>
      </c>
      <c r="Y16" s="406">
        <v>1.0999999999999999</v>
      </c>
      <c r="Z16" s="580"/>
      <c r="AA16" s="580"/>
      <c r="AB16" s="580"/>
      <c r="AC16" s="580"/>
      <c r="AD16" s="580"/>
      <c r="AE16" s="580"/>
      <c r="AF16" s="580"/>
      <c r="AG16" s="528" t="s">
        <v>1143</v>
      </c>
      <c r="AH16" s="528" t="s">
        <v>1144</v>
      </c>
      <c r="AI16" s="528">
        <v>3</v>
      </c>
      <c r="AJ16" s="528">
        <v>3</v>
      </c>
      <c r="AK16" s="480">
        <v>0.5</v>
      </c>
      <c r="AL16" s="480">
        <v>0.5</v>
      </c>
      <c r="AM16" s="525" t="s">
        <v>1118</v>
      </c>
      <c r="AN16" s="528">
        <v>0</v>
      </c>
      <c r="AO16" s="528">
        <v>0</v>
      </c>
      <c r="AP16" s="528">
        <v>0</v>
      </c>
      <c r="AQ16" s="528">
        <v>0</v>
      </c>
      <c r="AR16" s="528">
        <v>0</v>
      </c>
      <c r="AS16" s="528">
        <v>0</v>
      </c>
      <c r="AT16" s="528">
        <v>0</v>
      </c>
      <c r="AU16" s="528">
        <v>0</v>
      </c>
      <c r="AV16" s="528">
        <v>0</v>
      </c>
      <c r="AW16" s="528">
        <v>0</v>
      </c>
      <c r="AX16" s="528">
        <v>0</v>
      </c>
      <c r="AY16" s="528">
        <v>0</v>
      </c>
      <c r="AZ16" s="528"/>
      <c r="BA16" s="528" t="s">
        <v>1145</v>
      </c>
      <c r="BB16" s="528"/>
      <c r="BC16" s="528" t="s">
        <v>1145</v>
      </c>
      <c r="BD16" s="528"/>
      <c r="BE16" s="528">
        <v>12</v>
      </c>
      <c r="BF16" s="564"/>
      <c r="BG16" s="529"/>
      <c r="BH16" s="525"/>
      <c r="BI16" s="528"/>
      <c r="BJ16" s="528" t="s">
        <v>4</v>
      </c>
      <c r="BK16" s="528"/>
      <c r="BL16" s="529"/>
      <c r="BM16" s="525" t="s">
        <v>430</v>
      </c>
      <c r="BN16" s="525" t="s">
        <v>368</v>
      </c>
    </row>
    <row r="17" spans="1:66" ht="13" customHeight="1" x14ac:dyDescent="0.2">
      <c r="A17" s="525">
        <v>3242</v>
      </c>
      <c r="B17" s="581">
        <v>44573</v>
      </c>
      <c r="C17" s="526" t="s">
        <v>1138</v>
      </c>
      <c r="D17" s="525" t="s">
        <v>1100</v>
      </c>
      <c r="E17" s="527">
        <v>44562</v>
      </c>
      <c r="F17" s="529" t="s">
        <v>1619</v>
      </c>
      <c r="G17" s="525" t="s">
        <v>1620</v>
      </c>
      <c r="H17" s="579">
        <v>59.990909090909085</v>
      </c>
      <c r="I17" s="531" t="s">
        <v>296</v>
      </c>
      <c r="J17" s="459">
        <v>3000</v>
      </c>
      <c r="K17" s="459">
        <v>6000</v>
      </c>
      <c r="L17" s="459">
        <v>9000</v>
      </c>
      <c r="M17" s="459">
        <v>15000</v>
      </c>
      <c r="N17" s="332"/>
      <c r="O17" s="406">
        <v>2.2363636363636363</v>
      </c>
      <c r="P17" s="406">
        <v>2.1909090909090909</v>
      </c>
      <c r="Q17" s="406">
        <v>1.7</v>
      </c>
      <c r="R17" s="406">
        <v>1.4545454545454546</v>
      </c>
      <c r="S17" s="406">
        <v>1.3727272727272726</v>
      </c>
      <c r="T17" s="580"/>
      <c r="U17" s="406">
        <v>2.2363636363636363</v>
      </c>
      <c r="V17" s="406">
        <v>1.9727272727272724</v>
      </c>
      <c r="W17" s="406">
        <v>1.6272727272727272</v>
      </c>
      <c r="X17" s="406">
        <v>1.4454545454545453</v>
      </c>
      <c r="Y17" s="406">
        <v>1.3363636363636362</v>
      </c>
      <c r="Z17" s="580"/>
      <c r="AA17" s="580"/>
      <c r="AB17" s="580"/>
      <c r="AC17" s="580"/>
      <c r="AD17" s="580"/>
      <c r="AE17" s="580"/>
      <c r="AF17" s="580"/>
      <c r="AG17" s="528" t="s">
        <v>1143</v>
      </c>
      <c r="AH17" s="528" t="s">
        <v>1144</v>
      </c>
      <c r="AI17" s="528">
        <v>3</v>
      </c>
      <c r="AJ17" s="528">
        <v>3</v>
      </c>
      <c r="AK17" s="480">
        <v>0.5</v>
      </c>
      <c r="AL17" s="480">
        <v>0.5</v>
      </c>
      <c r="AM17" s="525" t="s">
        <v>1118</v>
      </c>
      <c r="AN17" s="528">
        <v>0</v>
      </c>
      <c r="AO17" s="528">
        <v>22</v>
      </c>
      <c r="AP17" s="528">
        <v>0</v>
      </c>
      <c r="AQ17" s="528">
        <v>0</v>
      </c>
      <c r="AR17" s="528">
        <v>0</v>
      </c>
      <c r="AS17" s="528">
        <v>0</v>
      </c>
      <c r="AT17" s="528">
        <v>0</v>
      </c>
      <c r="AU17" s="528">
        <v>0</v>
      </c>
      <c r="AV17" s="528">
        <v>0</v>
      </c>
      <c r="AW17" s="528">
        <v>0</v>
      </c>
      <c r="AX17" s="528">
        <v>0</v>
      </c>
      <c r="AY17" s="528">
        <v>0</v>
      </c>
      <c r="AZ17" s="528"/>
      <c r="BA17" s="528" t="s">
        <v>1145</v>
      </c>
      <c r="BB17" s="528"/>
      <c r="BC17" s="528" t="s">
        <v>1145</v>
      </c>
      <c r="BD17" s="528"/>
      <c r="BE17" s="528"/>
      <c r="BF17" s="528"/>
      <c r="BG17" s="529"/>
      <c r="BH17" s="525"/>
      <c r="BI17" s="528"/>
      <c r="BJ17" s="528" t="s">
        <v>4</v>
      </c>
      <c r="BK17" s="528"/>
      <c r="BL17" s="529" t="s">
        <v>1629</v>
      </c>
      <c r="BM17" s="525" t="s">
        <v>1630</v>
      </c>
      <c r="BN17" s="525" t="s">
        <v>1121</v>
      </c>
    </row>
    <row r="18" spans="1:66" ht="13" customHeight="1" x14ac:dyDescent="0.2">
      <c r="A18" s="525">
        <v>3035</v>
      </c>
      <c r="B18" s="581">
        <v>44574</v>
      </c>
      <c r="C18" s="526" t="s">
        <v>1138</v>
      </c>
      <c r="D18" s="525" t="s">
        <v>1108</v>
      </c>
      <c r="E18" s="527">
        <v>44562</v>
      </c>
      <c r="F18" s="529" t="s">
        <v>1139</v>
      </c>
      <c r="G18" s="525" t="s">
        <v>1562</v>
      </c>
      <c r="H18" s="579">
        <v>84</v>
      </c>
      <c r="I18" s="531" t="s">
        <v>296</v>
      </c>
      <c r="J18" s="459">
        <v>3000</v>
      </c>
      <c r="K18" s="459">
        <v>6000</v>
      </c>
      <c r="L18" s="459">
        <v>9000</v>
      </c>
      <c r="M18" s="459">
        <v>15000</v>
      </c>
      <c r="N18" s="525"/>
      <c r="O18" s="406">
        <v>2.4090909090909087</v>
      </c>
      <c r="P18" s="406">
        <v>2.1363636363636362</v>
      </c>
      <c r="Q18" s="406">
        <v>1.7545454545454544</v>
      </c>
      <c r="R18" s="406">
        <v>1.5272727272727271</v>
      </c>
      <c r="S18" s="406">
        <v>1.4363636363636363</v>
      </c>
      <c r="T18" s="580"/>
      <c r="U18" s="406">
        <v>2.3090909090909091</v>
      </c>
      <c r="V18" s="406">
        <v>2.0363636363636366</v>
      </c>
      <c r="W18" s="406">
        <v>1.6909090909090909</v>
      </c>
      <c r="X18" s="406">
        <v>1.4999999999999998</v>
      </c>
      <c r="Y18" s="406">
        <v>1.3909090909090909</v>
      </c>
      <c r="Z18" s="580"/>
      <c r="AA18" s="580"/>
      <c r="AB18" s="580"/>
      <c r="AC18" s="580"/>
      <c r="AD18" s="580"/>
      <c r="AE18" s="580"/>
      <c r="AF18" s="580"/>
      <c r="AG18" s="528" t="s">
        <v>1143</v>
      </c>
      <c r="AH18" s="528" t="s">
        <v>1144</v>
      </c>
      <c r="AI18" s="528">
        <v>3</v>
      </c>
      <c r="AJ18" s="528">
        <v>3</v>
      </c>
      <c r="AK18" s="480">
        <v>0.5</v>
      </c>
      <c r="AL18" s="480">
        <v>0.5</v>
      </c>
      <c r="AM18" s="525" t="s">
        <v>1118</v>
      </c>
      <c r="AN18" s="528">
        <v>0</v>
      </c>
      <c r="AO18" s="528">
        <v>0</v>
      </c>
      <c r="AP18" s="528">
        <v>0</v>
      </c>
      <c r="AQ18" s="528">
        <v>0</v>
      </c>
      <c r="AR18" s="528">
        <v>0</v>
      </c>
      <c r="AS18" s="528">
        <v>0</v>
      </c>
      <c r="AT18" s="528">
        <v>0</v>
      </c>
      <c r="AU18" s="528">
        <v>0</v>
      </c>
      <c r="AV18" s="528">
        <v>0</v>
      </c>
      <c r="AW18" s="528">
        <v>0</v>
      </c>
      <c r="AX18" s="528">
        <v>0</v>
      </c>
      <c r="AY18" s="528">
        <v>0</v>
      </c>
      <c r="AZ18" s="528"/>
      <c r="BA18" s="528" t="s">
        <v>1145</v>
      </c>
      <c r="BB18" s="528"/>
      <c r="BC18" s="528" t="s">
        <v>1145</v>
      </c>
      <c r="BD18" s="528"/>
      <c r="BE18" s="528"/>
      <c r="BF18" s="528"/>
      <c r="BG18" s="529"/>
      <c r="BH18" s="525"/>
      <c r="BI18" s="528"/>
      <c r="BJ18" s="528" t="s">
        <v>1146</v>
      </c>
      <c r="BK18" s="528"/>
      <c r="BL18" s="529"/>
      <c r="BM18" s="567" t="s">
        <v>430</v>
      </c>
      <c r="BN18" s="525" t="s">
        <v>408</v>
      </c>
    </row>
    <row r="19" spans="1:66" ht="13" customHeight="1" x14ac:dyDescent="0.2">
      <c r="A19" s="525">
        <v>2504</v>
      </c>
      <c r="B19" s="581">
        <v>44574</v>
      </c>
      <c r="C19" s="526" t="s">
        <v>1138</v>
      </c>
      <c r="D19" s="525" t="s">
        <v>1108</v>
      </c>
      <c r="E19" s="527">
        <v>44522</v>
      </c>
      <c r="F19" s="529" t="s">
        <v>1148</v>
      </c>
      <c r="G19" s="525" t="s">
        <v>1280</v>
      </c>
      <c r="H19" s="579">
        <v>46.981818181818177</v>
      </c>
      <c r="I19" s="531" t="s">
        <v>296</v>
      </c>
      <c r="J19" s="459">
        <v>3000</v>
      </c>
      <c r="K19" s="459">
        <v>6000</v>
      </c>
      <c r="L19" s="459">
        <v>6000</v>
      </c>
      <c r="M19" s="459">
        <v>6000</v>
      </c>
      <c r="N19" s="525"/>
      <c r="O19" s="406">
        <v>2.0181818181818181</v>
      </c>
      <c r="P19" s="406">
        <v>1.8272727272727269</v>
      </c>
      <c r="Q19" s="406">
        <v>0</v>
      </c>
      <c r="R19" s="406">
        <v>0</v>
      </c>
      <c r="S19" s="406">
        <v>1.4363636363636363</v>
      </c>
      <c r="T19" s="580"/>
      <c r="U19" s="406">
        <v>2.0181818181818181</v>
      </c>
      <c r="V19" s="406">
        <v>1.7272727272727271</v>
      </c>
      <c r="W19" s="406">
        <v>0</v>
      </c>
      <c r="X19" s="406">
        <v>0</v>
      </c>
      <c r="Y19" s="406">
        <v>1.4363636363636363</v>
      </c>
      <c r="Z19" s="580"/>
      <c r="AA19" s="580"/>
      <c r="AB19" s="580"/>
      <c r="AC19" s="580"/>
      <c r="AD19" s="580"/>
      <c r="AE19" s="580"/>
      <c r="AF19" s="580"/>
      <c r="AG19" s="528" t="s">
        <v>1143</v>
      </c>
      <c r="AH19" s="528" t="s">
        <v>1144</v>
      </c>
      <c r="AI19" s="528">
        <v>3</v>
      </c>
      <c r="AJ19" s="528">
        <v>3</v>
      </c>
      <c r="AK19" s="480">
        <v>0.5</v>
      </c>
      <c r="AL19" s="480">
        <v>0.5</v>
      </c>
      <c r="AM19" s="525" t="s">
        <v>1118</v>
      </c>
      <c r="AN19" s="528">
        <v>0</v>
      </c>
      <c r="AO19" s="528">
        <v>0</v>
      </c>
      <c r="AP19" s="528">
        <v>0</v>
      </c>
      <c r="AQ19" s="528">
        <v>0</v>
      </c>
      <c r="AR19" s="528">
        <v>0</v>
      </c>
      <c r="AS19" s="528">
        <v>0</v>
      </c>
      <c r="AT19" s="528">
        <v>0</v>
      </c>
      <c r="AU19" s="528">
        <v>0</v>
      </c>
      <c r="AV19" s="528">
        <v>0</v>
      </c>
      <c r="AW19" s="528">
        <v>0</v>
      </c>
      <c r="AX19" s="528">
        <v>0</v>
      </c>
      <c r="AY19" s="528">
        <v>0</v>
      </c>
      <c r="AZ19" s="528"/>
      <c r="BA19" s="528" t="s">
        <v>1145</v>
      </c>
      <c r="BB19" s="528"/>
      <c r="BC19" s="528" t="s">
        <v>1145</v>
      </c>
      <c r="BD19" s="528"/>
      <c r="BE19" s="528"/>
      <c r="BF19" s="528"/>
      <c r="BG19" s="529"/>
      <c r="BH19" s="525"/>
      <c r="BI19" s="528"/>
      <c r="BJ19" s="528" t="s">
        <v>4</v>
      </c>
      <c r="BK19" s="528"/>
      <c r="BL19" s="529"/>
      <c r="BM19" s="569" t="s">
        <v>430</v>
      </c>
      <c r="BN19" s="525" t="s">
        <v>368</v>
      </c>
    </row>
    <row r="20" spans="1:66" ht="13" customHeight="1" x14ac:dyDescent="0.2">
      <c r="A20" s="525">
        <v>2969</v>
      </c>
      <c r="B20" s="581">
        <v>44575</v>
      </c>
      <c r="C20" s="526" t="s">
        <v>1138</v>
      </c>
      <c r="D20" s="525" t="s">
        <v>1108</v>
      </c>
      <c r="E20" s="527">
        <v>44573</v>
      </c>
      <c r="F20" s="529" t="s">
        <v>1286</v>
      </c>
      <c r="G20" s="525" t="s">
        <v>1564</v>
      </c>
      <c r="H20" s="579">
        <v>77.999999999999986</v>
      </c>
      <c r="I20" s="531" t="s">
        <v>296</v>
      </c>
      <c r="J20" s="459">
        <v>3000</v>
      </c>
      <c r="K20" s="459">
        <v>6000</v>
      </c>
      <c r="L20" s="459">
        <v>9000</v>
      </c>
      <c r="M20" s="459">
        <v>15000</v>
      </c>
      <c r="N20" s="525"/>
      <c r="O20" s="406">
        <v>2.6818181818181817</v>
      </c>
      <c r="P20" s="406">
        <v>2.3727272727272726</v>
      </c>
      <c r="Q20" s="406">
        <v>1.9272727272727272</v>
      </c>
      <c r="R20" s="406">
        <v>1.6909090909090909</v>
      </c>
      <c r="S20" s="406">
        <v>1.6272727272727272</v>
      </c>
      <c r="T20" s="580"/>
      <c r="U20" s="406">
        <v>2.5636363636363635</v>
      </c>
      <c r="V20" s="406">
        <v>2.1545454545454543</v>
      </c>
      <c r="W20" s="406">
        <v>1.7818181818181817</v>
      </c>
      <c r="X20" s="406">
        <v>1.5818181818181818</v>
      </c>
      <c r="Y20" s="406">
        <v>1.5272727272727271</v>
      </c>
      <c r="Z20" s="580"/>
      <c r="AA20" s="580"/>
      <c r="AB20" s="580"/>
      <c r="AC20" s="580"/>
      <c r="AD20" s="580"/>
      <c r="AE20" s="580"/>
      <c r="AF20" s="580"/>
      <c r="AG20" s="528" t="s">
        <v>1143</v>
      </c>
      <c r="AH20" s="528" t="s">
        <v>1144</v>
      </c>
      <c r="AI20" s="528">
        <v>3</v>
      </c>
      <c r="AJ20" s="528">
        <v>3</v>
      </c>
      <c r="AK20" s="480">
        <v>0.5</v>
      </c>
      <c r="AL20" s="480">
        <v>0.5</v>
      </c>
      <c r="AM20" s="525" t="s">
        <v>1118</v>
      </c>
      <c r="AN20" s="528">
        <v>0</v>
      </c>
      <c r="AO20" s="528">
        <v>20</v>
      </c>
      <c r="AP20" s="528">
        <v>0</v>
      </c>
      <c r="AQ20" s="528">
        <v>0</v>
      </c>
      <c r="AR20" s="528">
        <v>0</v>
      </c>
      <c r="AS20" s="528">
        <v>0</v>
      </c>
      <c r="AT20" s="528">
        <v>0</v>
      </c>
      <c r="AU20" s="528">
        <v>0</v>
      </c>
      <c r="AV20" s="528">
        <v>0</v>
      </c>
      <c r="AW20" s="528">
        <v>0</v>
      </c>
      <c r="AX20" s="528">
        <v>0</v>
      </c>
      <c r="AY20" s="528">
        <v>0</v>
      </c>
      <c r="AZ20" s="528"/>
      <c r="BA20" s="528" t="s">
        <v>1145</v>
      </c>
      <c r="BB20" s="528"/>
      <c r="BC20" s="528" t="s">
        <v>1145</v>
      </c>
      <c r="BD20" s="528"/>
      <c r="BE20" s="528"/>
      <c r="BF20" s="528"/>
      <c r="BG20" s="529"/>
      <c r="BH20" s="525"/>
      <c r="BI20" s="528"/>
      <c r="BJ20" s="528" t="s">
        <v>1146</v>
      </c>
      <c r="BK20" s="528">
        <v>1</v>
      </c>
      <c r="BL20" s="529"/>
      <c r="BM20" s="567" t="s">
        <v>430</v>
      </c>
      <c r="BN20" s="525" t="s">
        <v>408</v>
      </c>
    </row>
    <row r="21" spans="1:66" ht="13" customHeight="1" x14ac:dyDescent="0.2">
      <c r="A21" s="525">
        <v>2546</v>
      </c>
      <c r="B21" s="581">
        <v>44575</v>
      </c>
      <c r="C21" s="526" t="s">
        <v>1138</v>
      </c>
      <c r="D21" s="525" t="s">
        <v>1108</v>
      </c>
      <c r="E21" s="527">
        <v>44546</v>
      </c>
      <c r="F21" s="529" t="s">
        <v>1052</v>
      </c>
      <c r="G21" s="525" t="s">
        <v>1181</v>
      </c>
      <c r="H21" s="579">
        <v>46.9</v>
      </c>
      <c r="I21" s="531" t="s">
        <v>296</v>
      </c>
      <c r="J21" s="459">
        <v>3000</v>
      </c>
      <c r="K21" s="459">
        <v>6000</v>
      </c>
      <c r="L21" s="459">
        <v>9000</v>
      </c>
      <c r="M21" s="459">
        <v>15000</v>
      </c>
      <c r="N21" s="525"/>
      <c r="O21" s="406">
        <v>2.4636363636363634</v>
      </c>
      <c r="P21" s="406">
        <v>2.1181818181818182</v>
      </c>
      <c r="Q21" s="406">
        <v>1.7363636363636361</v>
      </c>
      <c r="R21" s="406">
        <v>1.5909090909090908</v>
      </c>
      <c r="S21" s="406">
        <v>1.5454545454545452</v>
      </c>
      <c r="T21" s="580"/>
      <c r="U21" s="406">
        <v>2.3090909090909091</v>
      </c>
      <c r="V21" s="406">
        <v>2.0181818181818181</v>
      </c>
      <c r="W21" s="406">
        <v>1.6909090909090909</v>
      </c>
      <c r="X21" s="406">
        <v>1.5636363636363635</v>
      </c>
      <c r="Y21" s="406">
        <v>1.5272727272727271</v>
      </c>
      <c r="Z21" s="580"/>
      <c r="AA21" s="580"/>
      <c r="AB21" s="580"/>
      <c r="AC21" s="580"/>
      <c r="AD21" s="580"/>
      <c r="AE21" s="580"/>
      <c r="AF21" s="580"/>
      <c r="AG21" s="528" t="s">
        <v>1143</v>
      </c>
      <c r="AH21" s="528" t="s">
        <v>1144</v>
      </c>
      <c r="AI21" s="528">
        <v>3</v>
      </c>
      <c r="AJ21" s="528">
        <v>3</v>
      </c>
      <c r="AK21" s="480">
        <v>0.5</v>
      </c>
      <c r="AL21" s="480">
        <v>0.5</v>
      </c>
      <c r="AM21" s="525" t="s">
        <v>1118</v>
      </c>
      <c r="AN21" s="528">
        <v>0</v>
      </c>
      <c r="AO21" s="528">
        <v>0</v>
      </c>
      <c r="AP21" s="528">
        <v>0</v>
      </c>
      <c r="AQ21" s="528">
        <v>0</v>
      </c>
      <c r="AR21" s="528">
        <v>0</v>
      </c>
      <c r="AS21" s="528">
        <v>0</v>
      </c>
      <c r="AT21" s="528">
        <v>0</v>
      </c>
      <c r="AU21" s="528">
        <v>0</v>
      </c>
      <c r="AV21" s="528">
        <v>0</v>
      </c>
      <c r="AW21" s="528">
        <v>0</v>
      </c>
      <c r="AX21" s="528">
        <v>0</v>
      </c>
      <c r="AY21" s="528">
        <v>0</v>
      </c>
      <c r="AZ21" s="528"/>
      <c r="BA21" s="528" t="s">
        <v>1145</v>
      </c>
      <c r="BB21" s="528"/>
      <c r="BC21" s="528" t="s">
        <v>1145</v>
      </c>
      <c r="BD21" s="528"/>
      <c r="BE21" s="528"/>
      <c r="BF21" s="528"/>
      <c r="BG21" s="529"/>
      <c r="BH21" s="525"/>
      <c r="BI21" s="528"/>
      <c r="BJ21" s="528" t="s">
        <v>1146</v>
      </c>
      <c r="BK21" s="528"/>
      <c r="BL21" s="529"/>
      <c r="BM21" s="567" t="s">
        <v>430</v>
      </c>
      <c r="BN21" s="525" t="s">
        <v>408</v>
      </c>
    </row>
    <row r="22" spans="1:66" ht="13" customHeight="1" x14ac:dyDescent="0.2">
      <c r="A22" s="525">
        <v>2114</v>
      </c>
      <c r="B22" s="582">
        <v>44574</v>
      </c>
      <c r="C22" s="526" t="s">
        <v>1138</v>
      </c>
      <c r="D22" s="525" t="s">
        <v>1108</v>
      </c>
      <c r="E22" s="527">
        <v>44574</v>
      </c>
      <c r="F22" s="529" t="s">
        <v>1156</v>
      </c>
      <c r="G22" s="525" t="s">
        <v>1157</v>
      </c>
      <c r="H22" s="579">
        <v>83.499999999999986</v>
      </c>
      <c r="I22" s="531" t="s">
        <v>296</v>
      </c>
      <c r="J22" s="459">
        <v>3000</v>
      </c>
      <c r="K22" s="459">
        <v>6000</v>
      </c>
      <c r="L22" s="459">
        <v>9000</v>
      </c>
      <c r="M22" s="459">
        <v>15000</v>
      </c>
      <c r="N22" s="525"/>
      <c r="O22" s="406">
        <v>3.1999999999999997</v>
      </c>
      <c r="P22" s="406">
        <v>2.6545454545454543</v>
      </c>
      <c r="Q22" s="406">
        <v>2.1818181818181817</v>
      </c>
      <c r="R22" s="406">
        <v>1.9818181818181817</v>
      </c>
      <c r="S22" s="406">
        <v>1.8545454545454545</v>
      </c>
      <c r="T22" s="580"/>
      <c r="U22" s="406">
        <v>2.9999999999999996</v>
      </c>
      <c r="V22" s="406">
        <v>2.5272727272727269</v>
      </c>
      <c r="W22" s="406">
        <v>2.0545454545454542</v>
      </c>
      <c r="X22" s="406">
        <v>1.8999999999999997</v>
      </c>
      <c r="Y22" s="406">
        <v>1.8090909090909089</v>
      </c>
      <c r="Z22" s="580"/>
      <c r="AA22" s="580"/>
      <c r="AB22" s="580"/>
      <c r="AC22" s="580"/>
      <c r="AD22" s="580"/>
      <c r="AE22" s="580"/>
      <c r="AF22" s="580"/>
      <c r="AG22" s="528" t="s">
        <v>1143</v>
      </c>
      <c r="AH22" s="528" t="s">
        <v>1144</v>
      </c>
      <c r="AI22" s="528">
        <v>3</v>
      </c>
      <c r="AJ22" s="528">
        <v>3</v>
      </c>
      <c r="AK22" s="480">
        <v>0.5</v>
      </c>
      <c r="AL22" s="480">
        <v>0.5</v>
      </c>
      <c r="AM22" s="525" t="s">
        <v>1118</v>
      </c>
      <c r="AN22" s="528">
        <v>24</v>
      </c>
      <c r="AO22" s="528">
        <v>0</v>
      </c>
      <c r="AP22" s="528">
        <v>0</v>
      </c>
      <c r="AQ22" s="528">
        <v>0</v>
      </c>
      <c r="AR22" s="528">
        <v>0</v>
      </c>
      <c r="AS22" s="528">
        <v>0</v>
      </c>
      <c r="AT22" s="528">
        <v>0</v>
      </c>
      <c r="AU22" s="528">
        <v>0</v>
      </c>
      <c r="AV22" s="528">
        <v>0</v>
      </c>
      <c r="AW22" s="528">
        <v>0</v>
      </c>
      <c r="AX22" s="528">
        <v>0</v>
      </c>
      <c r="AY22" s="528">
        <v>0</v>
      </c>
      <c r="AZ22" s="566">
        <v>12</v>
      </c>
      <c r="BA22" s="528" t="s">
        <v>1145</v>
      </c>
      <c r="BB22" s="528">
        <v>12</v>
      </c>
      <c r="BC22" s="528" t="s">
        <v>1145</v>
      </c>
      <c r="BD22" s="528"/>
      <c r="BE22" s="528">
        <v>12</v>
      </c>
      <c r="BF22" s="528"/>
      <c r="BG22" s="529" t="s">
        <v>1622</v>
      </c>
      <c r="BH22" s="525" t="s">
        <v>365</v>
      </c>
      <c r="BI22" s="528">
        <v>25</v>
      </c>
      <c r="BJ22" s="528" t="s">
        <v>1146</v>
      </c>
      <c r="BK22" s="528"/>
      <c r="BL22" s="529" t="s">
        <v>1623</v>
      </c>
      <c r="BM22" s="569" t="s">
        <v>430</v>
      </c>
      <c r="BN22" s="525" t="s">
        <v>408</v>
      </c>
    </row>
    <row r="23" spans="1:66" ht="13" customHeight="1" x14ac:dyDescent="0.2">
      <c r="A23" s="525">
        <v>2878</v>
      </c>
      <c r="B23" s="581">
        <v>44575</v>
      </c>
      <c r="C23" s="526" t="s">
        <v>1138</v>
      </c>
      <c r="D23" s="525" t="s">
        <v>1108</v>
      </c>
      <c r="E23" s="527">
        <v>44546</v>
      </c>
      <c r="F23" s="529" t="s">
        <v>1159</v>
      </c>
      <c r="G23" s="525" t="s">
        <v>1105</v>
      </c>
      <c r="H23" s="579">
        <v>64.054545454545448</v>
      </c>
      <c r="I23" s="531" t="s">
        <v>296</v>
      </c>
      <c r="J23" s="459">
        <v>3000</v>
      </c>
      <c r="K23" s="459">
        <v>6000</v>
      </c>
      <c r="L23" s="459">
        <v>9000</v>
      </c>
      <c r="M23" s="459">
        <v>15000</v>
      </c>
      <c r="N23" s="525"/>
      <c r="O23" s="406">
        <v>1.8999999999999997</v>
      </c>
      <c r="P23" s="406">
        <v>1.8818181818181816</v>
      </c>
      <c r="Q23" s="406">
        <v>1.7363636363636361</v>
      </c>
      <c r="R23" s="406">
        <v>1.6727272727272726</v>
      </c>
      <c r="S23" s="406">
        <v>1.6363636363636362</v>
      </c>
      <c r="T23" s="580"/>
      <c r="U23" s="406">
        <v>1.8818181818181816</v>
      </c>
      <c r="V23" s="406">
        <v>1.8727272727272726</v>
      </c>
      <c r="W23" s="406">
        <v>1.718181818181818</v>
      </c>
      <c r="X23" s="406">
        <v>1.6454545454545453</v>
      </c>
      <c r="Y23" s="406">
        <v>1.6090909090909089</v>
      </c>
      <c r="Z23" s="580"/>
      <c r="AA23" s="580"/>
      <c r="AB23" s="580"/>
      <c r="AC23" s="580"/>
      <c r="AD23" s="580"/>
      <c r="AE23" s="580"/>
      <c r="AF23" s="580"/>
      <c r="AG23" s="528" t="s">
        <v>1143</v>
      </c>
      <c r="AH23" s="528" t="s">
        <v>1144</v>
      </c>
      <c r="AI23" s="528">
        <v>3</v>
      </c>
      <c r="AJ23" s="528">
        <v>3</v>
      </c>
      <c r="AK23" s="480">
        <v>0.5</v>
      </c>
      <c r="AL23" s="480">
        <v>0.5</v>
      </c>
      <c r="AM23" s="525" t="s">
        <v>1118</v>
      </c>
      <c r="AN23" s="528">
        <v>0</v>
      </c>
      <c r="AO23" s="528">
        <v>0</v>
      </c>
      <c r="AP23" s="528">
        <v>0</v>
      </c>
      <c r="AQ23" s="528">
        <v>0</v>
      </c>
      <c r="AR23" s="528">
        <v>0</v>
      </c>
      <c r="AS23" s="528">
        <v>0</v>
      </c>
      <c r="AT23" s="528">
        <v>0</v>
      </c>
      <c r="AU23" s="528">
        <v>0</v>
      </c>
      <c r="AV23" s="528">
        <v>0</v>
      </c>
      <c r="AW23" s="528">
        <v>0</v>
      </c>
      <c r="AX23" s="528">
        <v>0</v>
      </c>
      <c r="AY23" s="528">
        <v>0</v>
      </c>
      <c r="AZ23" s="528"/>
      <c r="BA23" s="528" t="s">
        <v>1145</v>
      </c>
      <c r="BB23" s="528"/>
      <c r="BC23" s="528" t="s">
        <v>1145</v>
      </c>
      <c r="BD23" s="528"/>
      <c r="BE23" s="528"/>
      <c r="BF23" s="564">
        <v>45169</v>
      </c>
      <c r="BG23" s="529"/>
      <c r="BH23" s="525"/>
      <c r="BI23" s="528"/>
      <c r="BJ23" s="528" t="s">
        <v>1146</v>
      </c>
      <c r="BK23" s="528"/>
      <c r="BL23" s="529"/>
      <c r="BM23" s="567" t="s">
        <v>430</v>
      </c>
      <c r="BN23" s="525" t="s">
        <v>408</v>
      </c>
    </row>
    <row r="24" spans="1:66" ht="13" customHeight="1" x14ac:dyDescent="0.2">
      <c r="A24" s="525">
        <v>313</v>
      </c>
      <c r="B24" s="581">
        <v>44573</v>
      </c>
      <c r="C24" s="526" t="s">
        <v>10</v>
      </c>
      <c r="D24" s="525" t="s">
        <v>1108</v>
      </c>
      <c r="E24" s="527">
        <v>44287</v>
      </c>
      <c r="F24" s="525" t="s">
        <v>24</v>
      </c>
      <c r="G24" s="525" t="s">
        <v>20</v>
      </c>
      <c r="H24" s="579">
        <v>81.199999999999989</v>
      </c>
      <c r="I24" s="531" t="s">
        <v>296</v>
      </c>
      <c r="J24" s="459">
        <v>3000</v>
      </c>
      <c r="K24" s="459">
        <v>6000</v>
      </c>
      <c r="L24" s="459">
        <v>9000</v>
      </c>
      <c r="M24" s="459">
        <v>15000</v>
      </c>
      <c r="N24" s="525"/>
      <c r="O24" s="406">
        <v>2.1999999999999997</v>
      </c>
      <c r="P24" s="406">
        <v>2</v>
      </c>
      <c r="Q24" s="406">
        <v>1.7999999999999998</v>
      </c>
      <c r="R24" s="406">
        <v>1.5999999999999999</v>
      </c>
      <c r="S24" s="406">
        <v>1.5999999999999999</v>
      </c>
      <c r="T24" s="580"/>
      <c r="U24" s="406">
        <v>2</v>
      </c>
      <c r="V24" s="406">
        <v>1.8999999999999997</v>
      </c>
      <c r="W24" s="406">
        <v>1.7</v>
      </c>
      <c r="X24" s="406">
        <v>1.5999999999999999</v>
      </c>
      <c r="Y24" s="406">
        <v>1.5999999999999999</v>
      </c>
      <c r="Z24" s="580"/>
      <c r="AA24" s="580"/>
      <c r="AB24" s="580"/>
      <c r="AC24" s="580"/>
      <c r="AD24" s="580"/>
      <c r="AE24" s="580"/>
      <c r="AF24" s="580"/>
      <c r="AG24" s="528" t="s">
        <v>1116</v>
      </c>
      <c r="AH24" s="528" t="s">
        <v>1117</v>
      </c>
      <c r="AI24" s="528">
        <v>3</v>
      </c>
      <c r="AJ24" s="528">
        <v>3</v>
      </c>
      <c r="AK24" s="480">
        <v>0.5</v>
      </c>
      <c r="AL24" s="480">
        <v>0.5</v>
      </c>
      <c r="AM24" s="525" t="s">
        <v>1118</v>
      </c>
      <c r="AN24" s="528">
        <v>0</v>
      </c>
      <c r="AO24" s="528">
        <v>0</v>
      </c>
      <c r="AP24" s="528">
        <v>0</v>
      </c>
      <c r="AQ24" s="528">
        <v>0</v>
      </c>
      <c r="AR24" s="528">
        <v>0</v>
      </c>
      <c r="AS24" s="528">
        <v>0</v>
      </c>
      <c r="AT24" s="528">
        <v>0</v>
      </c>
      <c r="AU24" s="528">
        <v>0</v>
      </c>
      <c r="AV24" s="528">
        <v>0</v>
      </c>
      <c r="AW24" s="528">
        <v>0</v>
      </c>
      <c r="AX24" s="528">
        <v>0</v>
      </c>
      <c r="AY24" s="528">
        <v>0</v>
      </c>
      <c r="AZ24" s="528"/>
      <c r="BA24" s="528" t="s">
        <v>38</v>
      </c>
      <c r="BB24" s="528"/>
      <c r="BC24" s="528" t="s">
        <v>38</v>
      </c>
      <c r="BD24" s="528"/>
      <c r="BE24" s="528"/>
      <c r="BF24" s="528"/>
      <c r="BG24" s="529"/>
      <c r="BH24" s="525"/>
      <c r="BI24" s="528"/>
      <c r="BJ24" s="528" t="s">
        <v>4</v>
      </c>
      <c r="BK24" s="528"/>
      <c r="BL24" s="297"/>
      <c r="BM24" s="530" t="s">
        <v>1568</v>
      </c>
      <c r="BN24" s="525" t="s">
        <v>368</v>
      </c>
    </row>
    <row r="25" spans="1:66" ht="13" customHeight="1" x14ac:dyDescent="0.2">
      <c r="A25" s="525">
        <v>2854</v>
      </c>
      <c r="B25" s="581">
        <v>44573</v>
      </c>
      <c r="C25" s="526" t="s">
        <v>1138</v>
      </c>
      <c r="D25" s="525" t="s">
        <v>1108</v>
      </c>
      <c r="E25" s="527">
        <v>44562</v>
      </c>
      <c r="F25" s="529" t="s">
        <v>1166</v>
      </c>
      <c r="G25" s="525" t="s">
        <v>1478</v>
      </c>
      <c r="H25" s="579">
        <v>67.72727272727272</v>
      </c>
      <c r="I25" s="531" t="s">
        <v>296</v>
      </c>
      <c r="J25" s="568">
        <v>6000</v>
      </c>
      <c r="K25" s="568">
        <v>6000</v>
      </c>
      <c r="L25" s="568">
        <v>6000</v>
      </c>
      <c r="M25" s="568">
        <v>6000</v>
      </c>
      <c r="N25" s="568"/>
      <c r="O25" s="406">
        <v>2.3454545454545452</v>
      </c>
      <c r="P25" s="406">
        <v>0</v>
      </c>
      <c r="Q25" s="406">
        <v>0</v>
      </c>
      <c r="R25" s="406">
        <v>0</v>
      </c>
      <c r="S25" s="406">
        <v>1.5545454545454545</v>
      </c>
      <c r="T25" s="580"/>
      <c r="U25" s="406">
        <v>2.3454545454545452</v>
      </c>
      <c r="V25" s="406">
        <v>0</v>
      </c>
      <c r="W25" s="406">
        <v>0</v>
      </c>
      <c r="X25" s="406">
        <v>0</v>
      </c>
      <c r="Y25" s="406">
        <v>1.5545454545454545</v>
      </c>
      <c r="Z25" s="580"/>
      <c r="AA25" s="580"/>
      <c r="AB25" s="580"/>
      <c r="AC25" s="580"/>
      <c r="AD25" s="580"/>
      <c r="AE25" s="580"/>
      <c r="AF25" s="580"/>
      <c r="AG25" s="528" t="s">
        <v>1145</v>
      </c>
      <c r="AH25" s="528"/>
      <c r="AI25" s="528">
        <v>3</v>
      </c>
      <c r="AJ25" s="528">
        <v>3</v>
      </c>
      <c r="AK25" s="480">
        <v>0.5</v>
      </c>
      <c r="AL25" s="480">
        <v>0.5</v>
      </c>
      <c r="AM25" s="525"/>
      <c r="AN25" s="528">
        <v>0</v>
      </c>
      <c r="AO25" s="528">
        <v>0</v>
      </c>
      <c r="AP25" s="528">
        <v>0</v>
      </c>
      <c r="AQ25" s="528">
        <v>0</v>
      </c>
      <c r="AR25" s="528">
        <v>0</v>
      </c>
      <c r="AS25" s="528">
        <v>0</v>
      </c>
      <c r="AT25" s="528">
        <v>0</v>
      </c>
      <c r="AU25" s="528">
        <v>0</v>
      </c>
      <c r="AV25" s="528">
        <v>0</v>
      </c>
      <c r="AW25" s="528">
        <v>0</v>
      </c>
      <c r="AX25" s="528">
        <v>0</v>
      </c>
      <c r="AY25" s="528">
        <v>0</v>
      </c>
      <c r="AZ25" s="528"/>
      <c r="BA25" s="528" t="s">
        <v>1145</v>
      </c>
      <c r="BB25" s="528">
        <v>12</v>
      </c>
      <c r="BC25" s="528" t="s">
        <v>1145</v>
      </c>
      <c r="BD25" s="528"/>
      <c r="BE25" s="528">
        <v>12</v>
      </c>
      <c r="BF25" s="528"/>
      <c r="BG25" s="529"/>
      <c r="BH25" s="525"/>
      <c r="BI25" s="528"/>
      <c r="BJ25" s="528" t="s">
        <v>1146</v>
      </c>
      <c r="BK25" s="528"/>
      <c r="BL25" s="529"/>
      <c r="BM25" s="569" t="s">
        <v>1625</v>
      </c>
      <c r="BN25" s="525" t="s">
        <v>408</v>
      </c>
    </row>
    <row r="26" spans="1:66" ht="13" customHeight="1" x14ac:dyDescent="0.2">
      <c r="A26" s="525">
        <v>2395</v>
      </c>
      <c r="B26" s="581">
        <v>44575</v>
      </c>
      <c r="C26" s="526" t="s">
        <v>1138</v>
      </c>
      <c r="D26" s="525" t="s">
        <v>1108</v>
      </c>
      <c r="E26" s="570">
        <v>44546</v>
      </c>
      <c r="F26" s="529" t="s">
        <v>1168</v>
      </c>
      <c r="G26" s="525" t="s">
        <v>1297</v>
      </c>
      <c r="H26" s="579">
        <v>65.518181818181802</v>
      </c>
      <c r="I26" s="531" t="s">
        <v>296</v>
      </c>
      <c r="J26" s="459">
        <v>3000</v>
      </c>
      <c r="K26" s="459">
        <v>6000</v>
      </c>
      <c r="L26" s="459">
        <v>9000</v>
      </c>
      <c r="M26" s="459">
        <v>15000</v>
      </c>
      <c r="N26" s="525"/>
      <c r="O26" s="406">
        <v>2.0636363636363635</v>
      </c>
      <c r="P26" s="406">
        <v>1.9363636363636361</v>
      </c>
      <c r="Q26" s="406">
        <v>1.7090909090909088</v>
      </c>
      <c r="R26" s="406">
        <v>1.6181818181818182</v>
      </c>
      <c r="S26" s="406">
        <v>1.5272727272727271</v>
      </c>
      <c r="T26" s="580"/>
      <c r="U26" s="406">
        <v>1.9636363636363636</v>
      </c>
      <c r="V26" s="406">
        <v>1.7999999999999998</v>
      </c>
      <c r="W26" s="406">
        <v>1.6181818181818182</v>
      </c>
      <c r="X26" s="406">
        <v>1.5272727272727271</v>
      </c>
      <c r="Y26" s="406">
        <v>1.4818181818181817</v>
      </c>
      <c r="Z26" s="580"/>
      <c r="AA26" s="580"/>
      <c r="AB26" s="580"/>
      <c r="AC26" s="580"/>
      <c r="AD26" s="580"/>
      <c r="AE26" s="580"/>
      <c r="AF26" s="580"/>
      <c r="AG26" s="528" t="s">
        <v>1143</v>
      </c>
      <c r="AH26" s="528" t="s">
        <v>1144</v>
      </c>
      <c r="AI26" s="528">
        <v>3</v>
      </c>
      <c r="AJ26" s="528">
        <v>3</v>
      </c>
      <c r="AK26" s="480">
        <v>0.5</v>
      </c>
      <c r="AL26" s="480">
        <v>0.5</v>
      </c>
      <c r="AM26" s="525" t="s">
        <v>1118</v>
      </c>
      <c r="AN26" s="528">
        <v>0</v>
      </c>
      <c r="AO26" s="528">
        <v>0</v>
      </c>
      <c r="AP26" s="528">
        <v>0</v>
      </c>
      <c r="AQ26" s="528">
        <v>0</v>
      </c>
      <c r="AR26" s="528">
        <v>0</v>
      </c>
      <c r="AS26" s="528">
        <v>0</v>
      </c>
      <c r="AT26" s="528">
        <v>0</v>
      </c>
      <c r="AU26" s="528">
        <v>0</v>
      </c>
      <c r="AV26" s="528">
        <v>0</v>
      </c>
      <c r="AW26" s="528">
        <v>0</v>
      </c>
      <c r="AX26" s="528">
        <v>0</v>
      </c>
      <c r="AY26" s="528">
        <v>0</v>
      </c>
      <c r="AZ26" s="528"/>
      <c r="BA26" s="528" t="s">
        <v>1145</v>
      </c>
      <c r="BB26" s="528"/>
      <c r="BC26" s="528" t="s">
        <v>1145</v>
      </c>
      <c r="BD26" s="528"/>
      <c r="BE26" s="528"/>
      <c r="BF26" s="528"/>
      <c r="BG26" s="529"/>
      <c r="BH26" s="525"/>
      <c r="BI26" s="528"/>
      <c r="BJ26" s="528" t="s">
        <v>1146</v>
      </c>
      <c r="BK26" s="528"/>
      <c r="BL26" s="529"/>
      <c r="BM26" s="567" t="s">
        <v>430</v>
      </c>
      <c r="BN26" s="525" t="s">
        <v>408</v>
      </c>
    </row>
    <row r="27" spans="1:66" ht="13" customHeight="1" x14ac:dyDescent="0.2">
      <c r="A27" s="525">
        <v>609</v>
      </c>
      <c r="B27" s="581">
        <v>44575</v>
      </c>
      <c r="C27" s="526" t="s">
        <v>1138</v>
      </c>
      <c r="D27" s="525" t="s">
        <v>1108</v>
      </c>
      <c r="E27" s="570">
        <v>44562</v>
      </c>
      <c r="F27" s="529" t="s">
        <v>1169</v>
      </c>
      <c r="G27" s="525" t="s">
        <v>1617</v>
      </c>
      <c r="H27" s="579">
        <v>76.099999999999994</v>
      </c>
      <c r="I27" s="531" t="s">
        <v>296</v>
      </c>
      <c r="J27" s="459">
        <v>3000</v>
      </c>
      <c r="K27" s="459">
        <v>6000</v>
      </c>
      <c r="L27" s="459">
        <v>9000</v>
      </c>
      <c r="M27" s="459">
        <v>15000</v>
      </c>
      <c r="N27" s="525"/>
      <c r="O27" s="416">
        <v>3.418181818181818</v>
      </c>
      <c r="P27" s="416">
        <v>3.0545454545454542</v>
      </c>
      <c r="Q27" s="416">
        <v>2.6181818181818177</v>
      </c>
      <c r="R27" s="416">
        <v>2.3787878787878789</v>
      </c>
      <c r="S27" s="416">
        <v>2.3181818181818179</v>
      </c>
      <c r="T27" s="580"/>
      <c r="U27" s="406">
        <v>3.2545454545454544</v>
      </c>
      <c r="V27" s="406">
        <v>2.9272727272727272</v>
      </c>
      <c r="W27" s="406">
        <v>2.5636363636363635</v>
      </c>
      <c r="X27" s="406">
        <v>2.336363636363636</v>
      </c>
      <c r="Y27" s="406">
        <v>2.2999999999999998</v>
      </c>
      <c r="Z27" s="580"/>
      <c r="AA27" s="406">
        <v>3.3818181818181818</v>
      </c>
      <c r="AB27" s="406">
        <v>3.0181818181818176</v>
      </c>
      <c r="AC27" s="406">
        <v>2.5999999999999996</v>
      </c>
      <c r="AD27" s="406">
        <v>2.3727272727272726</v>
      </c>
      <c r="AE27" s="406">
        <v>2.3181818181818179</v>
      </c>
      <c r="AF27" s="580"/>
      <c r="AG27" s="528" t="s">
        <v>1143</v>
      </c>
      <c r="AH27" s="528" t="s">
        <v>1144</v>
      </c>
      <c r="AI27" s="528">
        <v>3</v>
      </c>
      <c r="AJ27" s="528">
        <v>3</v>
      </c>
      <c r="AK27" s="480">
        <v>0.5</v>
      </c>
      <c r="AL27" s="480">
        <v>0.5</v>
      </c>
      <c r="AM27" s="525" t="s">
        <v>1123</v>
      </c>
      <c r="AN27" s="528">
        <v>32</v>
      </c>
      <c r="AO27" s="528">
        <v>0</v>
      </c>
      <c r="AP27" s="528">
        <v>0</v>
      </c>
      <c r="AQ27" s="528">
        <v>0</v>
      </c>
      <c r="AR27" s="528">
        <v>0</v>
      </c>
      <c r="AS27" s="528">
        <v>0</v>
      </c>
      <c r="AT27" s="528">
        <v>0</v>
      </c>
      <c r="AU27" s="528">
        <v>0</v>
      </c>
      <c r="AV27" s="528">
        <v>0</v>
      </c>
      <c r="AW27" s="528">
        <v>0</v>
      </c>
      <c r="AX27" s="528">
        <v>0</v>
      </c>
      <c r="AY27" s="528">
        <v>0</v>
      </c>
      <c r="AZ27" s="528"/>
      <c r="BA27" s="528" t="s">
        <v>1145</v>
      </c>
      <c r="BB27" s="528"/>
      <c r="BC27" s="528" t="s">
        <v>1145</v>
      </c>
      <c r="BD27" s="528"/>
      <c r="BE27" s="528"/>
      <c r="BF27" s="528"/>
      <c r="BG27" s="529"/>
      <c r="BH27" s="525"/>
      <c r="BI27" s="528"/>
      <c r="BJ27" s="528" t="s">
        <v>1146</v>
      </c>
      <c r="BK27" s="528"/>
      <c r="BL27" s="529" t="s">
        <v>1626</v>
      </c>
      <c r="BM27" s="567" t="s">
        <v>430</v>
      </c>
      <c r="BN27" s="525" t="s">
        <v>408</v>
      </c>
    </row>
    <row r="28" spans="1:66" ht="13" customHeight="1" x14ac:dyDescent="0.2">
      <c r="A28" s="525">
        <v>1683</v>
      </c>
      <c r="B28" s="582">
        <v>44577</v>
      </c>
      <c r="C28" s="526" t="s">
        <v>295</v>
      </c>
      <c r="D28" s="525" t="s">
        <v>1108</v>
      </c>
      <c r="E28" s="527">
        <v>44563</v>
      </c>
      <c r="F28" s="529" t="s">
        <v>1106</v>
      </c>
      <c r="G28" s="525" t="s">
        <v>2</v>
      </c>
      <c r="H28" s="579">
        <v>59.999999999999993</v>
      </c>
      <c r="I28" s="531" t="s">
        <v>296</v>
      </c>
      <c r="J28" s="568">
        <v>6000</v>
      </c>
      <c r="K28" s="568">
        <v>6000</v>
      </c>
      <c r="L28" s="568">
        <v>6000</v>
      </c>
      <c r="M28" s="568">
        <v>6000</v>
      </c>
      <c r="N28" s="525"/>
      <c r="O28" s="406">
        <v>2.0545454545454542</v>
      </c>
      <c r="P28" s="406">
        <v>0</v>
      </c>
      <c r="Q28" s="406">
        <v>0</v>
      </c>
      <c r="R28" s="406">
        <v>0</v>
      </c>
      <c r="S28" s="406">
        <v>1.7</v>
      </c>
      <c r="T28" s="580"/>
      <c r="U28" s="406">
        <v>2.0545454545454542</v>
      </c>
      <c r="V28" s="406">
        <v>0</v>
      </c>
      <c r="W28" s="406">
        <v>0</v>
      </c>
      <c r="X28" s="406">
        <v>0</v>
      </c>
      <c r="Y28" s="406">
        <v>1.7</v>
      </c>
      <c r="Z28" s="580"/>
      <c r="AA28" s="580"/>
      <c r="AB28" s="580"/>
      <c r="AC28" s="580"/>
      <c r="AD28" s="580"/>
      <c r="AE28" s="580"/>
      <c r="AF28" s="580"/>
      <c r="AG28" s="528" t="s">
        <v>1145</v>
      </c>
      <c r="AH28" s="528"/>
      <c r="AI28" s="528">
        <v>3</v>
      </c>
      <c r="AJ28" s="528">
        <v>3</v>
      </c>
      <c r="AK28" s="480">
        <v>0.5</v>
      </c>
      <c r="AL28" s="480">
        <v>0.5</v>
      </c>
      <c r="AM28" s="525"/>
      <c r="AN28" s="528">
        <v>0</v>
      </c>
      <c r="AO28" s="528">
        <v>0</v>
      </c>
      <c r="AP28" s="528">
        <v>0</v>
      </c>
      <c r="AQ28" s="528">
        <v>0</v>
      </c>
      <c r="AR28" s="528">
        <v>0</v>
      </c>
      <c r="AS28" s="528">
        <v>0</v>
      </c>
      <c r="AT28" s="528">
        <v>0</v>
      </c>
      <c r="AU28" s="528">
        <v>0</v>
      </c>
      <c r="AV28" s="528">
        <v>0</v>
      </c>
      <c r="AW28" s="528">
        <v>0</v>
      </c>
      <c r="AX28" s="528">
        <v>0</v>
      </c>
      <c r="AY28" s="528">
        <v>0</v>
      </c>
      <c r="AZ28" s="528"/>
      <c r="BA28" s="528" t="s">
        <v>1145</v>
      </c>
      <c r="BB28" s="528"/>
      <c r="BC28" s="528" t="s">
        <v>1145</v>
      </c>
      <c r="BD28" s="528"/>
      <c r="BE28" s="528"/>
      <c r="BF28" s="529"/>
      <c r="BG28" s="525"/>
      <c r="BH28" s="528"/>
      <c r="BI28" s="528"/>
      <c r="BJ28" s="528" t="s">
        <v>1146</v>
      </c>
      <c r="BK28" s="528">
        <v>1</v>
      </c>
      <c r="BL28" s="525"/>
      <c r="BM28" s="567" t="s">
        <v>430</v>
      </c>
      <c r="BN28" s="525" t="s">
        <v>408</v>
      </c>
    </row>
    <row r="29" spans="1:66" ht="13" customHeight="1" x14ac:dyDescent="0.2">
      <c r="A29" s="525">
        <v>2902</v>
      </c>
      <c r="B29" s="581">
        <v>44575</v>
      </c>
      <c r="C29" s="526" t="s">
        <v>1138</v>
      </c>
      <c r="D29" s="525" t="s">
        <v>1108</v>
      </c>
      <c r="E29" s="527">
        <v>44228</v>
      </c>
      <c r="F29" s="525" t="s">
        <v>34</v>
      </c>
      <c r="G29" s="525" t="s">
        <v>1181</v>
      </c>
      <c r="H29" s="579">
        <v>66.054545454545448</v>
      </c>
      <c r="I29" s="394"/>
      <c r="J29" s="409"/>
      <c r="K29" s="409"/>
      <c r="L29" s="332"/>
      <c r="M29" s="332"/>
      <c r="N29" s="332"/>
      <c r="O29" s="406">
        <v>1.7363636363636361</v>
      </c>
      <c r="P29" s="406">
        <v>0</v>
      </c>
      <c r="Q29" s="406">
        <v>0</v>
      </c>
      <c r="R29" s="406">
        <v>0</v>
      </c>
      <c r="S29" s="406">
        <v>0</v>
      </c>
      <c r="T29" s="580"/>
      <c r="U29" s="406">
        <v>1.5636363636363635</v>
      </c>
      <c r="V29" s="406">
        <v>0</v>
      </c>
      <c r="W29" s="406">
        <v>0</v>
      </c>
      <c r="X29" s="406">
        <v>0</v>
      </c>
      <c r="Y29" s="406">
        <v>0</v>
      </c>
      <c r="Z29" s="580"/>
      <c r="AA29" s="580"/>
      <c r="AB29" s="580"/>
      <c r="AC29" s="580"/>
      <c r="AD29" s="580"/>
      <c r="AE29" s="580"/>
      <c r="AF29" s="580"/>
      <c r="AG29" s="528" t="s">
        <v>1143</v>
      </c>
      <c r="AH29" s="528" t="s">
        <v>1144</v>
      </c>
      <c r="AI29" s="528">
        <v>3</v>
      </c>
      <c r="AJ29" s="528">
        <v>3</v>
      </c>
      <c r="AK29" s="480">
        <v>0.5</v>
      </c>
      <c r="AL29" s="480">
        <v>0.5</v>
      </c>
      <c r="AM29" s="525" t="s">
        <v>1118</v>
      </c>
      <c r="AN29" s="528">
        <v>0</v>
      </c>
      <c r="AO29" s="528">
        <v>0</v>
      </c>
      <c r="AP29" s="528">
        <v>0</v>
      </c>
      <c r="AQ29" s="528">
        <v>0</v>
      </c>
      <c r="AR29" s="528">
        <v>0</v>
      </c>
      <c r="AS29" s="528">
        <v>0</v>
      </c>
      <c r="AT29" s="528">
        <v>0</v>
      </c>
      <c r="AU29" s="528">
        <v>0</v>
      </c>
      <c r="AV29" s="528">
        <v>0</v>
      </c>
      <c r="AW29" s="528">
        <v>0</v>
      </c>
      <c r="AX29" s="528">
        <v>0</v>
      </c>
      <c r="AY29" s="528">
        <v>0</v>
      </c>
      <c r="AZ29" s="528"/>
      <c r="BA29" s="528" t="s">
        <v>1145</v>
      </c>
      <c r="BB29" s="528"/>
      <c r="BC29" s="528" t="s">
        <v>1145</v>
      </c>
      <c r="BD29" s="528"/>
      <c r="BE29" s="528"/>
      <c r="BF29" s="528"/>
      <c r="BG29" s="529"/>
      <c r="BH29" s="525"/>
      <c r="BI29" s="528"/>
      <c r="BJ29" s="528" t="s">
        <v>1164</v>
      </c>
      <c r="BK29" s="528"/>
      <c r="BL29" s="529" t="s">
        <v>1284</v>
      </c>
      <c r="BM29" s="530" t="s">
        <v>1556</v>
      </c>
      <c r="BN29" s="525" t="s">
        <v>408</v>
      </c>
    </row>
    <row r="30" spans="1:66" ht="13" customHeight="1" x14ac:dyDescent="0.2">
      <c r="A30" s="525">
        <v>2746</v>
      </c>
      <c r="B30" s="581">
        <v>44575</v>
      </c>
      <c r="C30" s="526" t="s">
        <v>1138</v>
      </c>
      <c r="D30" s="525" t="s">
        <v>1108</v>
      </c>
      <c r="E30" s="527">
        <v>44562</v>
      </c>
      <c r="F30" s="525" t="s">
        <v>1274</v>
      </c>
      <c r="G30" s="525" t="s">
        <v>1467</v>
      </c>
      <c r="H30" s="579">
        <v>70.999999999999986</v>
      </c>
      <c r="I30" s="394" t="s">
        <v>296</v>
      </c>
      <c r="J30" s="459">
        <v>3000</v>
      </c>
      <c r="K30" s="459">
        <v>7500</v>
      </c>
      <c r="L30" s="459">
        <v>7500</v>
      </c>
      <c r="M30" s="459">
        <v>7500</v>
      </c>
      <c r="N30" s="332"/>
      <c r="O30" s="406">
        <v>2.6545454545454543</v>
      </c>
      <c r="P30" s="406">
        <v>2.2909090909090906</v>
      </c>
      <c r="Q30" s="406">
        <v>0</v>
      </c>
      <c r="R30" s="406">
        <v>0</v>
      </c>
      <c r="S30" s="406">
        <v>1.9090909090909089</v>
      </c>
      <c r="T30" s="580"/>
      <c r="U30" s="406">
        <v>2.6545454545454543</v>
      </c>
      <c r="V30" s="406">
        <v>2.2909090909090906</v>
      </c>
      <c r="W30" s="406">
        <v>0</v>
      </c>
      <c r="X30" s="406">
        <v>0</v>
      </c>
      <c r="Y30" s="406">
        <v>1.9090909090909089</v>
      </c>
      <c r="Z30" s="580"/>
      <c r="AA30" s="580"/>
      <c r="AB30" s="580"/>
      <c r="AC30" s="580"/>
      <c r="AD30" s="580"/>
      <c r="AE30" s="580"/>
      <c r="AF30" s="580"/>
      <c r="AG30" s="333" t="s">
        <v>1145</v>
      </c>
      <c r="AH30" s="333"/>
      <c r="AI30" s="528">
        <v>3</v>
      </c>
      <c r="AJ30" s="528">
        <v>3</v>
      </c>
      <c r="AK30" s="480">
        <v>0.5</v>
      </c>
      <c r="AL30" s="480">
        <v>0.5</v>
      </c>
      <c r="AM30" s="525"/>
      <c r="AN30" s="528">
        <v>0</v>
      </c>
      <c r="AO30" s="528">
        <v>12</v>
      </c>
      <c r="AP30" s="528">
        <v>0</v>
      </c>
      <c r="AQ30" s="528">
        <v>3</v>
      </c>
      <c r="AR30" s="528">
        <v>0</v>
      </c>
      <c r="AS30" s="528">
        <v>0</v>
      </c>
      <c r="AT30" s="528">
        <v>0</v>
      </c>
      <c r="AU30" s="528">
        <v>0</v>
      </c>
      <c r="AV30" s="528">
        <v>0</v>
      </c>
      <c r="AW30" s="528">
        <v>0</v>
      </c>
      <c r="AX30" s="528">
        <v>0</v>
      </c>
      <c r="AY30" s="528">
        <v>0</v>
      </c>
      <c r="AZ30" s="528"/>
      <c r="BA30" s="528" t="s">
        <v>1145</v>
      </c>
      <c r="BB30" s="528"/>
      <c r="BC30" s="528" t="s">
        <v>1145</v>
      </c>
      <c r="BD30" s="528"/>
      <c r="BE30" s="528"/>
      <c r="BF30" s="528"/>
      <c r="BG30" s="529"/>
      <c r="BH30" s="525"/>
      <c r="BI30" s="528"/>
      <c r="BJ30" s="528" t="s">
        <v>1164</v>
      </c>
      <c r="BK30" s="528"/>
      <c r="BL30" s="529"/>
      <c r="BM30" s="567" t="s">
        <v>430</v>
      </c>
      <c r="BN30" s="525" t="s">
        <v>408</v>
      </c>
    </row>
    <row r="31" spans="1:66" ht="13" customHeight="1" x14ac:dyDescent="0.2">
      <c r="A31" s="525">
        <v>3328</v>
      </c>
      <c r="B31" s="581">
        <v>44573</v>
      </c>
      <c r="C31" s="526" t="s">
        <v>1138</v>
      </c>
      <c r="D31" s="525" t="s">
        <v>1108</v>
      </c>
      <c r="E31" s="570">
        <v>44562</v>
      </c>
      <c r="F31" s="525" t="s">
        <v>1291</v>
      </c>
      <c r="G31" s="525" t="s">
        <v>1618</v>
      </c>
      <c r="H31" s="579">
        <v>59.599999999999994</v>
      </c>
      <c r="I31" s="394"/>
      <c r="J31" s="409"/>
      <c r="K31" s="409"/>
      <c r="L31" s="332"/>
      <c r="M31" s="332"/>
      <c r="N31" s="332"/>
      <c r="O31" s="406">
        <v>2.0181818181818181</v>
      </c>
      <c r="P31" s="406">
        <v>0</v>
      </c>
      <c r="Q31" s="406">
        <v>0</v>
      </c>
      <c r="R31" s="406">
        <v>0</v>
      </c>
      <c r="S31" s="406">
        <v>0</v>
      </c>
      <c r="T31" s="580"/>
      <c r="U31" s="406">
        <v>1.8727272727272726</v>
      </c>
      <c r="V31" s="406">
        <v>0</v>
      </c>
      <c r="W31" s="406">
        <v>0</v>
      </c>
      <c r="X31" s="406">
        <v>0</v>
      </c>
      <c r="Y31" s="406">
        <v>0</v>
      </c>
      <c r="Z31" s="580"/>
      <c r="AA31" s="580"/>
      <c r="AB31" s="580"/>
      <c r="AC31" s="580"/>
      <c r="AD31" s="580"/>
      <c r="AE31" s="580"/>
      <c r="AF31" s="580"/>
      <c r="AG31" s="333" t="s">
        <v>1143</v>
      </c>
      <c r="AH31" s="333" t="s">
        <v>1144</v>
      </c>
      <c r="AI31" s="528">
        <v>3</v>
      </c>
      <c r="AJ31" s="528">
        <v>3</v>
      </c>
      <c r="AK31" s="480">
        <v>0.5</v>
      </c>
      <c r="AL31" s="480">
        <v>0.5</v>
      </c>
      <c r="AM31" s="525" t="s">
        <v>1118</v>
      </c>
      <c r="AN31" s="528">
        <v>0</v>
      </c>
      <c r="AO31" s="528">
        <v>0</v>
      </c>
      <c r="AP31" s="528">
        <v>0</v>
      </c>
      <c r="AQ31" s="528">
        <v>0</v>
      </c>
      <c r="AR31" s="528">
        <v>0</v>
      </c>
      <c r="AS31" s="528">
        <v>0</v>
      </c>
      <c r="AT31" s="528">
        <v>0</v>
      </c>
      <c r="AU31" s="528">
        <v>0</v>
      </c>
      <c r="AV31" s="528">
        <v>0</v>
      </c>
      <c r="AW31" s="528">
        <v>0</v>
      </c>
      <c r="AX31" s="528">
        <v>0</v>
      </c>
      <c r="AY31" s="528">
        <v>0</v>
      </c>
      <c r="AZ31" s="528"/>
      <c r="BA31" s="528" t="s">
        <v>1145</v>
      </c>
      <c r="BB31" s="528"/>
      <c r="BC31" s="528" t="s">
        <v>1145</v>
      </c>
      <c r="BD31" s="528"/>
      <c r="BE31" s="528"/>
      <c r="BF31" s="528"/>
      <c r="BG31" s="529"/>
      <c r="BH31" s="525"/>
      <c r="BI31" s="528"/>
      <c r="BJ31" s="528" t="s">
        <v>1164</v>
      </c>
      <c r="BK31" s="528"/>
      <c r="BL31" s="529" t="s">
        <v>1627</v>
      </c>
      <c r="BM31" s="530" t="s">
        <v>1628</v>
      </c>
      <c r="BN31" s="525" t="s">
        <v>1121</v>
      </c>
    </row>
    <row r="32" spans="1:66" ht="13" customHeight="1" x14ac:dyDescent="0.2">
      <c r="A32" s="525">
        <v>2937</v>
      </c>
      <c r="B32" s="581">
        <v>44574</v>
      </c>
      <c r="C32" s="526" t="s">
        <v>1138</v>
      </c>
      <c r="D32" s="525" t="s">
        <v>1108</v>
      </c>
      <c r="E32" s="527">
        <v>44452</v>
      </c>
      <c r="F32" s="525" t="s">
        <v>1483</v>
      </c>
      <c r="G32" s="525" t="s">
        <v>1550</v>
      </c>
      <c r="H32" s="579">
        <v>65</v>
      </c>
      <c r="I32" s="531" t="s">
        <v>296</v>
      </c>
      <c r="J32" s="459">
        <v>3000</v>
      </c>
      <c r="K32" s="459">
        <v>6000</v>
      </c>
      <c r="L32" s="459">
        <v>9000</v>
      </c>
      <c r="M32" s="459">
        <v>15000</v>
      </c>
      <c r="N32" s="332"/>
      <c r="O32" s="406">
        <v>1.6818181818181817</v>
      </c>
      <c r="P32" s="406">
        <v>1.4818181818181817</v>
      </c>
      <c r="Q32" s="406">
        <v>1.2999999999999998</v>
      </c>
      <c r="R32" s="406">
        <v>1.2363636363636363</v>
      </c>
      <c r="S32" s="406">
        <v>1.1909090909090909</v>
      </c>
      <c r="T32" s="580"/>
      <c r="U32" s="406">
        <v>1.4999999999999998</v>
      </c>
      <c r="V32" s="406">
        <v>1.4</v>
      </c>
      <c r="W32" s="406">
        <v>1.2999999999999998</v>
      </c>
      <c r="X32" s="406">
        <v>1.2</v>
      </c>
      <c r="Y32" s="406">
        <v>1.0999999999999999</v>
      </c>
      <c r="Z32" s="580"/>
      <c r="AA32" s="580"/>
      <c r="AB32" s="580"/>
      <c r="AC32" s="580"/>
      <c r="AD32" s="580"/>
      <c r="AE32" s="580"/>
      <c r="AF32" s="580"/>
      <c r="AG32" s="528" t="s">
        <v>1143</v>
      </c>
      <c r="AH32" s="528" t="s">
        <v>1144</v>
      </c>
      <c r="AI32" s="528">
        <v>3</v>
      </c>
      <c r="AJ32" s="528">
        <v>3</v>
      </c>
      <c r="AK32" s="480">
        <v>0.5</v>
      </c>
      <c r="AL32" s="480">
        <v>0.5</v>
      </c>
      <c r="AM32" s="525" t="s">
        <v>1124</v>
      </c>
      <c r="AN32" s="528">
        <v>0</v>
      </c>
      <c r="AO32" s="528">
        <v>0</v>
      </c>
      <c r="AP32" s="528">
        <v>0</v>
      </c>
      <c r="AQ32" s="528">
        <v>0</v>
      </c>
      <c r="AR32" s="528">
        <v>0</v>
      </c>
      <c r="AS32" s="528">
        <v>0</v>
      </c>
      <c r="AT32" s="528">
        <v>0</v>
      </c>
      <c r="AU32" s="528">
        <v>0</v>
      </c>
      <c r="AV32" s="528">
        <v>0</v>
      </c>
      <c r="AW32" s="528">
        <v>0</v>
      </c>
      <c r="AX32" s="528">
        <v>0</v>
      </c>
      <c r="AY32" s="528">
        <v>0</v>
      </c>
      <c r="AZ32" s="528"/>
      <c r="BA32" s="528" t="s">
        <v>1145</v>
      </c>
      <c r="BB32" s="528"/>
      <c r="BC32" s="528" t="s">
        <v>1145</v>
      </c>
      <c r="BD32" s="528"/>
      <c r="BE32" s="528">
        <v>12</v>
      </c>
      <c r="BF32" s="564"/>
      <c r="BG32" s="529"/>
      <c r="BH32" s="525"/>
      <c r="BI32" s="528"/>
      <c r="BJ32" s="528" t="s">
        <v>4</v>
      </c>
      <c r="BK32" s="528"/>
      <c r="BL32" s="529"/>
      <c r="BM32" s="569" t="s">
        <v>430</v>
      </c>
      <c r="BN32" s="525" t="s">
        <v>368</v>
      </c>
    </row>
    <row r="33" spans="1:66" ht="13" customHeight="1" x14ac:dyDescent="0.2">
      <c r="A33" s="525">
        <v>3243</v>
      </c>
      <c r="B33" s="581">
        <v>44573</v>
      </c>
      <c r="C33" s="526" t="s">
        <v>1138</v>
      </c>
      <c r="D33" s="525" t="s">
        <v>1108</v>
      </c>
      <c r="E33" s="527">
        <v>44562</v>
      </c>
      <c r="F33" s="529" t="s">
        <v>1619</v>
      </c>
      <c r="G33" s="525" t="s">
        <v>1620</v>
      </c>
      <c r="H33" s="579">
        <v>59.990909090909085</v>
      </c>
      <c r="I33" s="531" t="s">
        <v>296</v>
      </c>
      <c r="J33" s="459">
        <v>3000</v>
      </c>
      <c r="K33" s="459">
        <v>6000</v>
      </c>
      <c r="L33" s="459">
        <v>9000</v>
      </c>
      <c r="M33" s="459">
        <v>15000</v>
      </c>
      <c r="N33" s="332"/>
      <c r="O33" s="406">
        <v>2.2363636363636363</v>
      </c>
      <c r="P33" s="406">
        <v>2.1909090909090909</v>
      </c>
      <c r="Q33" s="406">
        <v>1.7</v>
      </c>
      <c r="R33" s="406">
        <v>1.4545454545454546</v>
      </c>
      <c r="S33" s="406">
        <v>1.3727272727272726</v>
      </c>
      <c r="T33" s="580"/>
      <c r="U33" s="406">
        <v>2.2363636363636363</v>
      </c>
      <c r="V33" s="406">
        <v>1.9727272727272724</v>
      </c>
      <c r="W33" s="406">
        <v>1.6272727272727272</v>
      </c>
      <c r="X33" s="406">
        <v>1.4454545454545453</v>
      </c>
      <c r="Y33" s="406">
        <v>1.3363636363636362</v>
      </c>
      <c r="Z33" s="580"/>
      <c r="AA33" s="580"/>
      <c r="AB33" s="580"/>
      <c r="AC33" s="580"/>
      <c r="AD33" s="580"/>
      <c r="AE33" s="580"/>
      <c r="AF33" s="580"/>
      <c r="AG33" s="528" t="s">
        <v>1143</v>
      </c>
      <c r="AH33" s="528" t="s">
        <v>1144</v>
      </c>
      <c r="AI33" s="528">
        <v>3</v>
      </c>
      <c r="AJ33" s="528">
        <v>3</v>
      </c>
      <c r="AK33" s="480">
        <v>0.5</v>
      </c>
      <c r="AL33" s="480">
        <v>0.5</v>
      </c>
      <c r="AM33" s="525" t="s">
        <v>1118</v>
      </c>
      <c r="AN33" s="528">
        <v>0</v>
      </c>
      <c r="AO33" s="528">
        <v>22</v>
      </c>
      <c r="AP33" s="528">
        <v>0</v>
      </c>
      <c r="AQ33" s="528">
        <v>0</v>
      </c>
      <c r="AR33" s="528">
        <v>0</v>
      </c>
      <c r="AS33" s="528">
        <v>0</v>
      </c>
      <c r="AT33" s="528">
        <v>0</v>
      </c>
      <c r="AU33" s="528">
        <v>0</v>
      </c>
      <c r="AV33" s="528">
        <v>0</v>
      </c>
      <c r="AW33" s="528">
        <v>0</v>
      </c>
      <c r="AX33" s="528">
        <v>0</v>
      </c>
      <c r="AY33" s="528">
        <v>0</v>
      </c>
      <c r="AZ33" s="528"/>
      <c r="BA33" s="528" t="s">
        <v>1145</v>
      </c>
      <c r="BB33" s="528"/>
      <c r="BC33" s="528" t="s">
        <v>1145</v>
      </c>
      <c r="BD33" s="528"/>
      <c r="BE33" s="528"/>
      <c r="BF33" s="528"/>
      <c r="BG33" s="529"/>
      <c r="BH33" s="525"/>
      <c r="BI33" s="528"/>
      <c r="BJ33" s="528" t="s">
        <v>4</v>
      </c>
      <c r="BK33" s="528"/>
      <c r="BL33" s="529" t="s">
        <v>1629</v>
      </c>
      <c r="BM33" s="569" t="s">
        <v>1630</v>
      </c>
      <c r="BN33" s="525" t="s">
        <v>1121</v>
      </c>
    </row>
    <row r="34" spans="1:66" ht="13" customHeight="1" x14ac:dyDescent="0.2">
      <c r="A34" s="525">
        <v>3028</v>
      </c>
      <c r="B34" s="581">
        <v>44574</v>
      </c>
      <c r="C34" s="526" t="s">
        <v>1138</v>
      </c>
      <c r="D34" s="525" t="s">
        <v>1109</v>
      </c>
      <c r="E34" s="527">
        <v>44562</v>
      </c>
      <c r="F34" s="529" t="s">
        <v>1139</v>
      </c>
      <c r="G34" s="525" t="s">
        <v>1562</v>
      </c>
      <c r="H34" s="579">
        <v>81.454545454545439</v>
      </c>
      <c r="I34" s="531" t="s">
        <v>296</v>
      </c>
      <c r="J34" s="485">
        <v>1645</v>
      </c>
      <c r="K34" s="485">
        <v>3000</v>
      </c>
      <c r="L34" s="485">
        <v>3000</v>
      </c>
      <c r="M34" s="485">
        <v>3000</v>
      </c>
      <c r="N34" s="525"/>
      <c r="O34" s="406">
        <v>2.4363636363636365</v>
      </c>
      <c r="P34" s="406">
        <v>2.2636363636363637</v>
      </c>
      <c r="Q34" s="406">
        <v>0</v>
      </c>
      <c r="R34" s="406">
        <v>0</v>
      </c>
      <c r="S34" s="406">
        <v>1.8909090909090909</v>
      </c>
      <c r="T34" s="580"/>
      <c r="U34" s="406">
        <v>2.4363636363636365</v>
      </c>
      <c r="V34" s="406">
        <v>2.2636363636363637</v>
      </c>
      <c r="W34" s="406">
        <v>0</v>
      </c>
      <c r="X34" s="406">
        <v>0</v>
      </c>
      <c r="Y34" s="406">
        <v>1.8909090909090909</v>
      </c>
      <c r="Z34" s="580"/>
      <c r="AA34" s="580"/>
      <c r="AB34" s="580"/>
      <c r="AC34" s="580"/>
      <c r="AD34" s="580"/>
      <c r="AE34" s="580"/>
      <c r="AF34" s="580"/>
      <c r="AG34" s="528" t="s">
        <v>1145</v>
      </c>
      <c r="AH34" s="528"/>
      <c r="AI34" s="528">
        <v>3</v>
      </c>
      <c r="AJ34" s="528">
        <v>3</v>
      </c>
      <c r="AK34" s="480">
        <v>0.5</v>
      </c>
      <c r="AL34" s="480">
        <v>0.5</v>
      </c>
      <c r="AM34" s="525"/>
      <c r="AN34" s="528">
        <v>0</v>
      </c>
      <c r="AO34" s="528">
        <v>0</v>
      </c>
      <c r="AP34" s="528">
        <v>0</v>
      </c>
      <c r="AQ34" s="528">
        <v>0</v>
      </c>
      <c r="AR34" s="528">
        <v>0</v>
      </c>
      <c r="AS34" s="528">
        <v>0</v>
      </c>
      <c r="AT34" s="528">
        <v>0</v>
      </c>
      <c r="AU34" s="528">
        <v>0</v>
      </c>
      <c r="AV34" s="528">
        <v>0</v>
      </c>
      <c r="AW34" s="528">
        <v>0</v>
      </c>
      <c r="AX34" s="528">
        <v>0</v>
      </c>
      <c r="AY34" s="528">
        <v>0</v>
      </c>
      <c r="AZ34" s="528"/>
      <c r="BA34" s="528" t="s">
        <v>1145</v>
      </c>
      <c r="BB34" s="528"/>
      <c r="BC34" s="528" t="s">
        <v>1145</v>
      </c>
      <c r="BD34" s="528"/>
      <c r="BE34" s="528"/>
      <c r="BF34" s="528"/>
      <c r="BG34" s="529"/>
      <c r="BH34" s="525"/>
      <c r="BI34" s="528"/>
      <c r="BJ34" s="528" t="s">
        <v>1146</v>
      </c>
      <c r="BK34" s="528"/>
      <c r="BL34" s="529"/>
      <c r="BM34" s="529" t="s">
        <v>430</v>
      </c>
      <c r="BN34" s="525" t="s">
        <v>408</v>
      </c>
    </row>
    <row r="35" spans="1:66" ht="13" customHeight="1" x14ac:dyDescent="0.2">
      <c r="A35" s="525">
        <v>2497</v>
      </c>
      <c r="B35" s="581">
        <v>44574</v>
      </c>
      <c r="C35" s="526" t="s">
        <v>1138</v>
      </c>
      <c r="D35" s="525" t="s">
        <v>1109</v>
      </c>
      <c r="E35" s="527">
        <v>44522</v>
      </c>
      <c r="F35" s="529" t="s">
        <v>1148</v>
      </c>
      <c r="G35" s="525" t="s">
        <v>1280</v>
      </c>
      <c r="H35" s="579">
        <v>48.190909090909088</v>
      </c>
      <c r="I35" s="531" t="s">
        <v>296</v>
      </c>
      <c r="J35" s="485">
        <v>1645</v>
      </c>
      <c r="K35" s="485">
        <v>3000</v>
      </c>
      <c r="L35" s="485">
        <v>3000</v>
      </c>
      <c r="M35" s="485">
        <v>3000</v>
      </c>
      <c r="N35" s="525"/>
      <c r="O35" s="406">
        <v>1.8727272727272726</v>
      </c>
      <c r="P35" s="406">
        <v>1.8727272727272726</v>
      </c>
      <c r="Q35" s="406">
        <v>0</v>
      </c>
      <c r="R35" s="406">
        <v>0</v>
      </c>
      <c r="S35" s="406">
        <v>1.6090909090909089</v>
      </c>
      <c r="T35" s="580"/>
      <c r="U35" s="406">
        <v>1.8727272727272726</v>
      </c>
      <c r="V35" s="406">
        <v>1.8727272727272726</v>
      </c>
      <c r="W35" s="406">
        <v>0</v>
      </c>
      <c r="X35" s="406">
        <v>0</v>
      </c>
      <c r="Y35" s="406">
        <v>1.6090909090909089</v>
      </c>
      <c r="Z35" s="580"/>
      <c r="AA35" s="580"/>
      <c r="AB35" s="580"/>
      <c r="AC35" s="580"/>
      <c r="AD35" s="580"/>
      <c r="AE35" s="580"/>
      <c r="AF35" s="580"/>
      <c r="AG35" s="528" t="s">
        <v>1145</v>
      </c>
      <c r="AH35" s="528"/>
      <c r="AI35" s="528">
        <v>3</v>
      </c>
      <c r="AJ35" s="528">
        <v>3</v>
      </c>
      <c r="AK35" s="480">
        <v>0.5</v>
      </c>
      <c r="AL35" s="480">
        <v>0.5</v>
      </c>
      <c r="AM35" s="525"/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528">
        <v>0</v>
      </c>
      <c r="AZ35" s="528"/>
      <c r="BA35" s="528" t="s">
        <v>1145</v>
      </c>
      <c r="BB35" s="528"/>
      <c r="BC35" s="528" t="s">
        <v>1145</v>
      </c>
      <c r="BD35" s="528"/>
      <c r="BE35" s="528"/>
      <c r="BF35" s="528"/>
      <c r="BG35" s="529"/>
      <c r="BH35" s="525"/>
      <c r="BI35" s="528"/>
      <c r="BJ35" s="528" t="s">
        <v>4</v>
      </c>
      <c r="BK35" s="528"/>
      <c r="BL35" s="529"/>
      <c r="BM35" s="525" t="s">
        <v>430</v>
      </c>
      <c r="BN35" s="525" t="s">
        <v>368</v>
      </c>
    </row>
    <row r="36" spans="1:66" ht="13" customHeight="1" x14ac:dyDescent="0.2">
      <c r="A36" s="525">
        <v>2962</v>
      </c>
      <c r="B36" s="581">
        <v>44575</v>
      </c>
      <c r="C36" s="526" t="s">
        <v>1138</v>
      </c>
      <c r="D36" s="525" t="s">
        <v>1109</v>
      </c>
      <c r="E36" s="527">
        <v>44573</v>
      </c>
      <c r="F36" s="529" t="s">
        <v>1286</v>
      </c>
      <c r="G36" s="525" t="s">
        <v>1564</v>
      </c>
      <c r="H36" s="579">
        <v>75</v>
      </c>
      <c r="I36" s="531" t="s">
        <v>296</v>
      </c>
      <c r="J36" s="485">
        <v>1645</v>
      </c>
      <c r="K36" s="485">
        <v>3000</v>
      </c>
      <c r="L36" s="485">
        <v>3000</v>
      </c>
      <c r="M36" s="485">
        <v>3000</v>
      </c>
      <c r="N36" s="525"/>
      <c r="O36" s="406">
        <v>2.6181818181818177</v>
      </c>
      <c r="P36" s="406">
        <v>2.3636363636363633</v>
      </c>
      <c r="Q36" s="406">
        <v>0</v>
      </c>
      <c r="R36" s="406">
        <v>0</v>
      </c>
      <c r="S36" s="406">
        <v>1.9272727272727272</v>
      </c>
      <c r="T36" s="580"/>
      <c r="U36" s="406">
        <v>2.6181818181818177</v>
      </c>
      <c r="V36" s="406">
        <v>2.3636363636363633</v>
      </c>
      <c r="W36" s="406">
        <v>0</v>
      </c>
      <c r="X36" s="406">
        <v>0</v>
      </c>
      <c r="Y36" s="406">
        <v>1.9272727272727272</v>
      </c>
      <c r="Z36" s="580"/>
      <c r="AA36" s="580"/>
      <c r="AB36" s="580"/>
      <c r="AC36" s="580"/>
      <c r="AD36" s="580"/>
      <c r="AE36" s="580"/>
      <c r="AF36" s="580"/>
      <c r="AG36" s="528" t="s">
        <v>1145</v>
      </c>
      <c r="AH36" s="528"/>
      <c r="AI36" s="528">
        <v>3</v>
      </c>
      <c r="AJ36" s="528">
        <v>3</v>
      </c>
      <c r="AK36" s="480">
        <v>0.5</v>
      </c>
      <c r="AL36" s="480">
        <v>0.5</v>
      </c>
      <c r="AM36" s="525"/>
      <c r="AN36" s="528">
        <v>0</v>
      </c>
      <c r="AO36" s="528">
        <v>20</v>
      </c>
      <c r="AP36" s="528">
        <v>0</v>
      </c>
      <c r="AQ36" s="528">
        <v>0</v>
      </c>
      <c r="AR36" s="528">
        <v>0</v>
      </c>
      <c r="AS36" s="528">
        <v>0</v>
      </c>
      <c r="AT36" s="528">
        <v>0</v>
      </c>
      <c r="AU36" s="528">
        <v>0</v>
      </c>
      <c r="AV36" s="528">
        <v>0</v>
      </c>
      <c r="AW36" s="528">
        <v>0</v>
      </c>
      <c r="AX36" s="528">
        <v>0</v>
      </c>
      <c r="AY36" s="528">
        <v>0</v>
      </c>
      <c r="AZ36" s="528"/>
      <c r="BA36" s="528" t="s">
        <v>1145</v>
      </c>
      <c r="BB36" s="528"/>
      <c r="BC36" s="528" t="s">
        <v>1145</v>
      </c>
      <c r="BD36" s="528"/>
      <c r="BE36" s="528"/>
      <c r="BF36" s="528"/>
      <c r="BG36" s="529"/>
      <c r="BH36" s="525"/>
      <c r="BI36" s="528"/>
      <c r="BJ36" s="528" t="s">
        <v>1146</v>
      </c>
      <c r="BK36" s="528">
        <v>1</v>
      </c>
      <c r="BL36" s="529"/>
      <c r="BM36" s="529" t="s">
        <v>430</v>
      </c>
      <c r="BN36" s="525" t="s">
        <v>408</v>
      </c>
    </row>
    <row r="37" spans="1:66" ht="13" customHeight="1" x14ac:dyDescent="0.2">
      <c r="A37" s="525">
        <v>2549</v>
      </c>
      <c r="B37" s="581">
        <v>44575</v>
      </c>
      <c r="C37" s="526" t="s">
        <v>1138</v>
      </c>
      <c r="D37" s="525" t="s">
        <v>1109</v>
      </c>
      <c r="E37" s="527">
        <v>44546</v>
      </c>
      <c r="F37" s="529" t="s">
        <v>1052</v>
      </c>
      <c r="G37" s="525" t="s">
        <v>1181</v>
      </c>
      <c r="H37" s="579">
        <v>49.4</v>
      </c>
      <c r="I37" s="531" t="s">
        <v>296</v>
      </c>
      <c r="J37" s="485">
        <v>1645</v>
      </c>
      <c r="K37" s="485">
        <v>3000</v>
      </c>
      <c r="L37" s="485">
        <v>3000</v>
      </c>
      <c r="M37" s="485">
        <v>3000</v>
      </c>
      <c r="N37" s="525"/>
      <c r="O37" s="406">
        <v>2.6636363636363636</v>
      </c>
      <c r="P37" s="406">
        <v>2.1636363636363636</v>
      </c>
      <c r="Q37" s="406">
        <v>0</v>
      </c>
      <c r="R37" s="406">
        <v>0</v>
      </c>
      <c r="S37" s="406">
        <v>1.7727272727272725</v>
      </c>
      <c r="T37" s="580"/>
      <c r="U37" s="406">
        <v>2.6636363636363636</v>
      </c>
      <c r="V37" s="406">
        <v>2.1636363636363636</v>
      </c>
      <c r="W37" s="406">
        <v>0</v>
      </c>
      <c r="X37" s="406">
        <v>0</v>
      </c>
      <c r="Y37" s="406">
        <v>1.7727272727272725</v>
      </c>
      <c r="Z37" s="580"/>
      <c r="AA37" s="580"/>
      <c r="AB37" s="580"/>
      <c r="AC37" s="580"/>
      <c r="AD37" s="580"/>
      <c r="AE37" s="580"/>
      <c r="AF37" s="580"/>
      <c r="AG37" s="528" t="s">
        <v>1143</v>
      </c>
      <c r="AH37" s="528" t="s">
        <v>1144</v>
      </c>
      <c r="AI37" s="528">
        <v>2</v>
      </c>
      <c r="AJ37" s="528">
        <v>4</v>
      </c>
      <c r="AK37" s="483">
        <v>0.33329999999999999</v>
      </c>
      <c r="AL37" s="483">
        <v>0.66659999999999997</v>
      </c>
      <c r="AM37" s="525" t="s">
        <v>1124</v>
      </c>
      <c r="AN37" s="528">
        <v>0</v>
      </c>
      <c r="AO37" s="528">
        <v>0</v>
      </c>
      <c r="AP37" s="528">
        <v>0</v>
      </c>
      <c r="AQ37" s="528">
        <v>0</v>
      </c>
      <c r="AR37" s="528">
        <v>0</v>
      </c>
      <c r="AS37" s="528">
        <v>0</v>
      </c>
      <c r="AT37" s="528">
        <v>0</v>
      </c>
      <c r="AU37" s="528">
        <v>0</v>
      </c>
      <c r="AV37" s="528">
        <v>0</v>
      </c>
      <c r="AW37" s="528">
        <v>0</v>
      </c>
      <c r="AX37" s="528">
        <v>0</v>
      </c>
      <c r="AY37" s="528">
        <v>0</v>
      </c>
      <c r="AZ37" s="528"/>
      <c r="BA37" s="528" t="s">
        <v>1145</v>
      </c>
      <c r="BB37" s="528"/>
      <c r="BC37" s="528" t="s">
        <v>1145</v>
      </c>
      <c r="BD37" s="528"/>
      <c r="BE37" s="528"/>
      <c r="BF37" s="528"/>
      <c r="BG37" s="529"/>
      <c r="BH37" s="525"/>
      <c r="BI37" s="528"/>
      <c r="BJ37" s="528" t="s">
        <v>1146</v>
      </c>
      <c r="BK37" s="528"/>
      <c r="BL37" s="529"/>
      <c r="BM37" s="529" t="s">
        <v>1192</v>
      </c>
      <c r="BN37" s="525" t="s">
        <v>408</v>
      </c>
    </row>
    <row r="38" spans="1:66" ht="13" customHeight="1" x14ac:dyDescent="0.2">
      <c r="A38" s="525">
        <v>2115</v>
      </c>
      <c r="B38" s="582">
        <v>44574</v>
      </c>
      <c r="C38" s="526" t="s">
        <v>1138</v>
      </c>
      <c r="D38" s="525" t="s">
        <v>1109</v>
      </c>
      <c r="E38" s="527">
        <v>44574</v>
      </c>
      <c r="F38" s="529" t="s">
        <v>1156</v>
      </c>
      <c r="G38" s="525" t="s">
        <v>1157</v>
      </c>
      <c r="H38" s="579">
        <v>87.5</v>
      </c>
      <c r="I38" s="531" t="s">
        <v>296</v>
      </c>
      <c r="J38" s="485">
        <v>1645</v>
      </c>
      <c r="K38" s="485">
        <v>3000</v>
      </c>
      <c r="L38" s="485">
        <v>3000</v>
      </c>
      <c r="M38" s="485">
        <v>3000</v>
      </c>
      <c r="N38" s="525"/>
      <c r="O38" s="406">
        <v>3.4818181818181815</v>
      </c>
      <c r="P38" s="406">
        <v>2.7181818181818183</v>
      </c>
      <c r="Q38" s="406">
        <v>0</v>
      </c>
      <c r="R38" s="406">
        <v>0</v>
      </c>
      <c r="S38" s="406">
        <v>2.1909090909090909</v>
      </c>
      <c r="T38" s="580"/>
      <c r="U38" s="406">
        <v>3.4818181818181815</v>
      </c>
      <c r="V38" s="406">
        <v>2.7181818181818183</v>
      </c>
      <c r="W38" s="406">
        <v>0</v>
      </c>
      <c r="X38" s="406">
        <v>0</v>
      </c>
      <c r="Y38" s="406">
        <v>2.1909090909090909</v>
      </c>
      <c r="Z38" s="580"/>
      <c r="AA38" s="580"/>
      <c r="AB38" s="580"/>
      <c r="AC38" s="580"/>
      <c r="AD38" s="580"/>
      <c r="AE38" s="580"/>
      <c r="AF38" s="580"/>
      <c r="AG38" s="528" t="s">
        <v>1145</v>
      </c>
      <c r="AH38" s="528"/>
      <c r="AI38" s="528">
        <v>3</v>
      </c>
      <c r="AJ38" s="528">
        <v>3</v>
      </c>
      <c r="AK38" s="480">
        <v>0.5</v>
      </c>
      <c r="AL38" s="480">
        <v>0.5</v>
      </c>
      <c r="AM38" s="525"/>
      <c r="AN38" s="528">
        <v>24</v>
      </c>
      <c r="AO38" s="528">
        <v>0</v>
      </c>
      <c r="AP38" s="528">
        <v>0</v>
      </c>
      <c r="AQ38" s="528">
        <v>0</v>
      </c>
      <c r="AR38" s="528">
        <v>0</v>
      </c>
      <c r="AS38" s="528">
        <v>0</v>
      </c>
      <c r="AT38" s="528">
        <v>0</v>
      </c>
      <c r="AU38" s="528">
        <v>0</v>
      </c>
      <c r="AV38" s="528">
        <v>0</v>
      </c>
      <c r="AW38" s="528">
        <v>0</v>
      </c>
      <c r="AX38" s="528">
        <v>0</v>
      </c>
      <c r="AY38" s="528">
        <v>0</v>
      </c>
      <c r="AZ38" s="566">
        <v>12</v>
      </c>
      <c r="BA38" s="528" t="s">
        <v>1145</v>
      </c>
      <c r="BB38" s="528">
        <v>12</v>
      </c>
      <c r="BC38" s="528" t="s">
        <v>1145</v>
      </c>
      <c r="BD38" s="528"/>
      <c r="BE38" s="528">
        <v>12</v>
      </c>
      <c r="BF38" s="528"/>
      <c r="BG38" s="529" t="s">
        <v>1622</v>
      </c>
      <c r="BH38" s="525" t="s">
        <v>365</v>
      </c>
      <c r="BI38" s="528">
        <v>25</v>
      </c>
      <c r="BJ38" s="528" t="s">
        <v>1146</v>
      </c>
      <c r="BK38" s="528"/>
      <c r="BL38" s="529" t="s">
        <v>1623</v>
      </c>
      <c r="BM38" s="525" t="s">
        <v>430</v>
      </c>
      <c r="BN38" s="525" t="s">
        <v>408</v>
      </c>
    </row>
    <row r="39" spans="1:66" ht="13" customHeight="1" x14ac:dyDescent="0.2">
      <c r="A39" s="525">
        <v>2872</v>
      </c>
      <c r="B39" s="581">
        <v>44575</v>
      </c>
      <c r="C39" s="526" t="s">
        <v>1138</v>
      </c>
      <c r="D39" s="525" t="s">
        <v>1109</v>
      </c>
      <c r="E39" s="527">
        <v>44546</v>
      </c>
      <c r="F39" s="529" t="s">
        <v>1159</v>
      </c>
      <c r="G39" s="525" t="s">
        <v>1105</v>
      </c>
      <c r="H39" s="579">
        <v>68.445454545454552</v>
      </c>
      <c r="I39" s="531" t="s">
        <v>296</v>
      </c>
      <c r="J39" s="485">
        <v>1645</v>
      </c>
      <c r="K39" s="485">
        <v>3000</v>
      </c>
      <c r="L39" s="485">
        <v>3000</v>
      </c>
      <c r="M39" s="485">
        <v>3000</v>
      </c>
      <c r="N39" s="525"/>
      <c r="O39" s="406">
        <v>2.0818181818181816</v>
      </c>
      <c r="P39" s="406">
        <v>1.9818181818181817</v>
      </c>
      <c r="Q39" s="406">
        <v>0</v>
      </c>
      <c r="R39" s="406">
        <v>0</v>
      </c>
      <c r="S39" s="406">
        <v>1.8454545454545452</v>
      </c>
      <c r="T39" s="580"/>
      <c r="U39" s="406">
        <v>2.0818181818181816</v>
      </c>
      <c r="V39" s="406">
        <v>1.9818181818181817</v>
      </c>
      <c r="W39" s="406">
        <v>0</v>
      </c>
      <c r="X39" s="406">
        <v>0</v>
      </c>
      <c r="Y39" s="406">
        <v>1.8454545454545452</v>
      </c>
      <c r="Z39" s="580"/>
      <c r="AA39" s="580"/>
      <c r="AB39" s="580"/>
      <c r="AC39" s="580"/>
      <c r="AD39" s="580"/>
      <c r="AE39" s="580"/>
      <c r="AF39" s="580"/>
      <c r="AG39" s="528" t="s">
        <v>1278</v>
      </c>
      <c r="AH39" s="528"/>
      <c r="AI39" s="528">
        <v>3</v>
      </c>
      <c r="AJ39" s="528">
        <v>3</v>
      </c>
      <c r="AK39" s="480">
        <v>0.5</v>
      </c>
      <c r="AL39" s="480">
        <v>0.5</v>
      </c>
      <c r="AM39" s="525"/>
      <c r="AN39" s="528">
        <v>0</v>
      </c>
      <c r="AO39" s="528">
        <v>0</v>
      </c>
      <c r="AP39" s="528">
        <v>0</v>
      </c>
      <c r="AQ39" s="528">
        <v>0</v>
      </c>
      <c r="AR39" s="528">
        <v>0</v>
      </c>
      <c r="AS39" s="528">
        <v>0</v>
      </c>
      <c r="AT39" s="528">
        <v>0</v>
      </c>
      <c r="AU39" s="528">
        <v>0</v>
      </c>
      <c r="AV39" s="528">
        <v>0</v>
      </c>
      <c r="AW39" s="528">
        <v>0</v>
      </c>
      <c r="AX39" s="528">
        <v>0</v>
      </c>
      <c r="AY39" s="528">
        <v>0</v>
      </c>
      <c r="AZ39" s="528"/>
      <c r="BA39" s="528" t="s">
        <v>1145</v>
      </c>
      <c r="BB39" s="528"/>
      <c r="BC39" s="528" t="s">
        <v>1145</v>
      </c>
      <c r="BD39" s="528"/>
      <c r="BE39" s="528"/>
      <c r="BF39" s="564">
        <v>45169</v>
      </c>
      <c r="BG39" s="529"/>
      <c r="BH39" s="525"/>
      <c r="BI39" s="528"/>
      <c r="BJ39" s="528" t="s">
        <v>1146</v>
      </c>
      <c r="BK39" s="528"/>
      <c r="BL39" s="529"/>
      <c r="BM39" s="529" t="s">
        <v>430</v>
      </c>
      <c r="BN39" s="525" t="s">
        <v>408</v>
      </c>
    </row>
    <row r="40" spans="1:66" ht="13" customHeight="1" x14ac:dyDescent="0.2">
      <c r="A40" s="525">
        <v>314</v>
      </c>
      <c r="B40" s="581">
        <v>44573</v>
      </c>
      <c r="C40" s="526" t="s">
        <v>10</v>
      </c>
      <c r="D40" s="525" t="s">
        <v>1109</v>
      </c>
      <c r="E40" s="527">
        <v>44287</v>
      </c>
      <c r="F40" s="525" t="s">
        <v>24</v>
      </c>
      <c r="G40" s="525" t="s">
        <v>20</v>
      </c>
      <c r="H40" s="579">
        <v>77.899999999999991</v>
      </c>
      <c r="I40" s="531" t="s">
        <v>296</v>
      </c>
      <c r="J40" s="485">
        <v>1645</v>
      </c>
      <c r="K40" s="485">
        <v>3000</v>
      </c>
      <c r="L40" s="485">
        <v>3000</v>
      </c>
      <c r="M40" s="485">
        <v>3000</v>
      </c>
      <c r="N40" s="525"/>
      <c r="O40" s="406">
        <v>2.2999999999999998</v>
      </c>
      <c r="P40" s="406">
        <v>2</v>
      </c>
      <c r="Q40" s="406">
        <v>0</v>
      </c>
      <c r="R40" s="406">
        <v>0</v>
      </c>
      <c r="S40" s="406">
        <v>1.7</v>
      </c>
      <c r="T40" s="580"/>
      <c r="U40" s="406">
        <v>2.5</v>
      </c>
      <c r="V40" s="406">
        <v>2.1999999999999997</v>
      </c>
      <c r="W40" s="406">
        <v>0</v>
      </c>
      <c r="X40" s="406">
        <v>0</v>
      </c>
      <c r="Y40" s="406">
        <v>2</v>
      </c>
      <c r="Z40" s="580"/>
      <c r="AA40" s="580"/>
      <c r="AB40" s="580"/>
      <c r="AC40" s="580"/>
      <c r="AD40" s="580"/>
      <c r="AE40" s="580"/>
      <c r="AF40" s="580"/>
      <c r="AG40" s="528" t="s">
        <v>1116</v>
      </c>
      <c r="AH40" s="528" t="s">
        <v>1117</v>
      </c>
      <c r="AI40" s="528">
        <v>2</v>
      </c>
      <c r="AJ40" s="528">
        <v>4</v>
      </c>
      <c r="AK40" s="483">
        <v>0.33329999999999999</v>
      </c>
      <c r="AL40" s="483">
        <v>0.66659999999999997</v>
      </c>
      <c r="AM40" s="525" t="s">
        <v>1124</v>
      </c>
      <c r="AN40" s="528">
        <v>0</v>
      </c>
      <c r="AO40" s="528">
        <v>0</v>
      </c>
      <c r="AP40" s="528">
        <v>0</v>
      </c>
      <c r="AQ40" s="528">
        <v>0</v>
      </c>
      <c r="AR40" s="528">
        <v>0</v>
      </c>
      <c r="AS40" s="528">
        <v>0</v>
      </c>
      <c r="AT40" s="528">
        <v>0</v>
      </c>
      <c r="AU40" s="528">
        <v>0</v>
      </c>
      <c r="AV40" s="528">
        <v>0</v>
      </c>
      <c r="AW40" s="528">
        <v>0</v>
      </c>
      <c r="AX40" s="528">
        <v>0</v>
      </c>
      <c r="AY40" s="528">
        <v>0</v>
      </c>
      <c r="AZ40" s="528"/>
      <c r="BA40" s="528" t="s">
        <v>38</v>
      </c>
      <c r="BB40" s="528"/>
      <c r="BC40" s="528" t="s">
        <v>38</v>
      </c>
      <c r="BD40" s="528"/>
      <c r="BE40" s="528"/>
      <c r="BF40" s="528"/>
      <c r="BG40" s="529"/>
      <c r="BH40" s="525"/>
      <c r="BI40" s="528"/>
      <c r="BJ40" s="528" t="s">
        <v>4</v>
      </c>
      <c r="BK40" s="528"/>
      <c r="BL40" s="297"/>
      <c r="BM40" s="297" t="s">
        <v>1578</v>
      </c>
      <c r="BN40" s="525" t="s">
        <v>368</v>
      </c>
    </row>
    <row r="41" spans="1:66" ht="13" customHeight="1" x14ac:dyDescent="0.2">
      <c r="A41" s="525">
        <v>2847</v>
      </c>
      <c r="B41" s="581">
        <v>44573</v>
      </c>
      <c r="C41" s="526" t="s">
        <v>1138</v>
      </c>
      <c r="D41" s="525" t="s">
        <v>1109</v>
      </c>
      <c r="E41" s="527">
        <v>44562</v>
      </c>
      <c r="F41" s="529" t="s">
        <v>1166</v>
      </c>
      <c r="G41" s="525" t="s">
        <v>1478</v>
      </c>
      <c r="H41" s="579">
        <v>66.818181818181813</v>
      </c>
      <c r="I41" s="531" t="s">
        <v>296</v>
      </c>
      <c r="J41" s="568">
        <v>6000</v>
      </c>
      <c r="K41" s="568">
        <v>12000</v>
      </c>
      <c r="L41" s="568">
        <v>12000</v>
      </c>
      <c r="M41" s="568">
        <v>12000</v>
      </c>
      <c r="N41" s="525"/>
      <c r="O41" s="406">
        <v>2.2727272727272725</v>
      </c>
      <c r="P41" s="406">
        <v>2.1</v>
      </c>
      <c r="Q41" s="406">
        <v>0</v>
      </c>
      <c r="R41" s="406">
        <v>0</v>
      </c>
      <c r="S41" s="406">
        <v>1.8181818181818181</v>
      </c>
      <c r="T41" s="580"/>
      <c r="U41" s="406">
        <v>2.2727272727272725</v>
      </c>
      <c r="V41" s="406">
        <v>2.1</v>
      </c>
      <c r="W41" s="406">
        <v>0</v>
      </c>
      <c r="X41" s="406">
        <v>0</v>
      </c>
      <c r="Y41" s="406">
        <v>1.8181818181818181</v>
      </c>
      <c r="Z41" s="580"/>
      <c r="AA41" s="580"/>
      <c r="AB41" s="580"/>
      <c r="AC41" s="580"/>
      <c r="AD41" s="580"/>
      <c r="AE41" s="580"/>
      <c r="AF41" s="580"/>
      <c r="AG41" s="528" t="s">
        <v>1145</v>
      </c>
      <c r="AH41" s="528"/>
      <c r="AI41" s="528">
        <v>3</v>
      </c>
      <c r="AJ41" s="528">
        <v>3</v>
      </c>
      <c r="AK41" s="480">
        <v>0.5</v>
      </c>
      <c r="AL41" s="480">
        <v>0.5</v>
      </c>
      <c r="AM41" s="525"/>
      <c r="AN41" s="528">
        <v>0</v>
      </c>
      <c r="AO41" s="528">
        <v>0</v>
      </c>
      <c r="AP41" s="528">
        <v>0</v>
      </c>
      <c r="AQ41" s="528">
        <v>0</v>
      </c>
      <c r="AR41" s="528">
        <v>0</v>
      </c>
      <c r="AS41" s="528">
        <v>0</v>
      </c>
      <c r="AT41" s="528">
        <v>0</v>
      </c>
      <c r="AU41" s="528">
        <v>0</v>
      </c>
      <c r="AV41" s="528">
        <v>0</v>
      </c>
      <c r="AW41" s="528">
        <v>0</v>
      </c>
      <c r="AX41" s="528">
        <v>0</v>
      </c>
      <c r="AY41" s="528">
        <v>0</v>
      </c>
      <c r="AZ41" s="528"/>
      <c r="BA41" s="528" t="s">
        <v>1145</v>
      </c>
      <c r="BB41" s="528">
        <v>12</v>
      </c>
      <c r="BC41" s="528" t="s">
        <v>1145</v>
      </c>
      <c r="BD41" s="528"/>
      <c r="BE41" s="528">
        <v>12</v>
      </c>
      <c r="BF41" s="528"/>
      <c r="BG41" s="529"/>
      <c r="BH41" s="525"/>
      <c r="BI41" s="528"/>
      <c r="BJ41" s="528" t="s">
        <v>1146</v>
      </c>
      <c r="BK41" s="528"/>
      <c r="BL41" s="529"/>
      <c r="BM41" s="525" t="s">
        <v>430</v>
      </c>
      <c r="BN41" s="525" t="s">
        <v>408</v>
      </c>
    </row>
    <row r="42" spans="1:66" ht="13" customHeight="1" x14ac:dyDescent="0.2">
      <c r="A42" s="525">
        <v>2396</v>
      </c>
      <c r="B42" s="581">
        <v>44575</v>
      </c>
      <c r="C42" s="526" t="s">
        <v>1138</v>
      </c>
      <c r="D42" s="525" t="s">
        <v>1109</v>
      </c>
      <c r="E42" s="570">
        <v>44546</v>
      </c>
      <c r="F42" s="529" t="s">
        <v>1168</v>
      </c>
      <c r="G42" s="525" t="s">
        <v>1297</v>
      </c>
      <c r="H42" s="579">
        <v>65.518181818181802</v>
      </c>
      <c r="I42" s="531" t="s">
        <v>296</v>
      </c>
      <c r="J42" s="485">
        <v>1645</v>
      </c>
      <c r="K42" s="485">
        <v>3000</v>
      </c>
      <c r="L42" s="485">
        <v>3000</v>
      </c>
      <c r="M42" s="485">
        <v>3000</v>
      </c>
      <c r="N42" s="525"/>
      <c r="O42" s="406">
        <v>2.4090909090909087</v>
      </c>
      <c r="P42" s="406">
        <v>2.2909090909090906</v>
      </c>
      <c r="Q42" s="406">
        <v>0</v>
      </c>
      <c r="R42" s="406">
        <v>0</v>
      </c>
      <c r="S42" s="406">
        <v>1.7090909090909088</v>
      </c>
      <c r="T42" s="580"/>
      <c r="U42" s="406">
        <v>2.4090909090909087</v>
      </c>
      <c r="V42" s="406">
        <v>2.2909090909090906</v>
      </c>
      <c r="W42" s="406">
        <v>0</v>
      </c>
      <c r="X42" s="406">
        <v>0</v>
      </c>
      <c r="Y42" s="406">
        <v>1.7090909090909088</v>
      </c>
      <c r="Z42" s="580"/>
      <c r="AA42" s="580"/>
      <c r="AB42" s="580"/>
      <c r="AC42" s="580"/>
      <c r="AD42" s="580"/>
      <c r="AE42" s="580"/>
      <c r="AF42" s="580"/>
      <c r="AG42" s="528" t="s">
        <v>1145</v>
      </c>
      <c r="AH42" s="528"/>
      <c r="AI42" s="528">
        <v>3</v>
      </c>
      <c r="AJ42" s="528">
        <v>3</v>
      </c>
      <c r="AK42" s="480">
        <v>0.5</v>
      </c>
      <c r="AL42" s="480">
        <v>0.5</v>
      </c>
      <c r="AM42" s="525"/>
      <c r="AN42" s="528">
        <v>0</v>
      </c>
      <c r="AO42" s="528">
        <v>0</v>
      </c>
      <c r="AP42" s="528">
        <v>0</v>
      </c>
      <c r="AQ42" s="528">
        <v>0</v>
      </c>
      <c r="AR42" s="528">
        <v>0</v>
      </c>
      <c r="AS42" s="528">
        <v>0</v>
      </c>
      <c r="AT42" s="528">
        <v>0</v>
      </c>
      <c r="AU42" s="528">
        <v>0</v>
      </c>
      <c r="AV42" s="528">
        <v>0</v>
      </c>
      <c r="AW42" s="528">
        <v>0</v>
      </c>
      <c r="AX42" s="528">
        <v>0</v>
      </c>
      <c r="AY42" s="528">
        <v>0</v>
      </c>
      <c r="AZ42" s="528"/>
      <c r="BA42" s="528" t="s">
        <v>1145</v>
      </c>
      <c r="BB42" s="528"/>
      <c r="BC42" s="528" t="s">
        <v>1145</v>
      </c>
      <c r="BD42" s="528"/>
      <c r="BE42" s="528"/>
      <c r="BF42" s="528"/>
      <c r="BG42" s="529"/>
      <c r="BH42" s="525"/>
      <c r="BI42" s="528"/>
      <c r="BJ42" s="528" t="s">
        <v>1146</v>
      </c>
      <c r="BK42" s="528"/>
      <c r="BL42" s="529"/>
      <c r="BM42" s="529" t="s">
        <v>430</v>
      </c>
      <c r="BN42" s="525" t="s">
        <v>408</v>
      </c>
    </row>
    <row r="43" spans="1:66" ht="13" customHeight="1" x14ac:dyDescent="0.2">
      <c r="A43" s="525">
        <v>603</v>
      </c>
      <c r="B43" s="581">
        <v>44575</v>
      </c>
      <c r="C43" s="526" t="s">
        <v>1138</v>
      </c>
      <c r="D43" s="525" t="s">
        <v>1109</v>
      </c>
      <c r="E43" s="570">
        <v>44562</v>
      </c>
      <c r="F43" s="529" t="s">
        <v>1169</v>
      </c>
      <c r="G43" s="525" t="s">
        <v>1617</v>
      </c>
      <c r="H43" s="579">
        <v>77.099999999999994</v>
      </c>
      <c r="I43" s="531" t="s">
        <v>296</v>
      </c>
      <c r="J43" s="485">
        <v>1645</v>
      </c>
      <c r="K43" s="485">
        <v>3000</v>
      </c>
      <c r="L43" s="485">
        <v>3000</v>
      </c>
      <c r="M43" s="485">
        <v>3000</v>
      </c>
      <c r="N43" s="525"/>
      <c r="O43" s="406">
        <v>3.5818181818181816</v>
      </c>
      <c r="P43" s="406">
        <v>3.0727272727272723</v>
      </c>
      <c r="Q43" s="406">
        <v>0</v>
      </c>
      <c r="R43" s="406">
        <v>0</v>
      </c>
      <c r="S43" s="406">
        <v>2.6181818181818177</v>
      </c>
      <c r="T43" s="580"/>
      <c r="U43" s="406">
        <v>3.5818181818181816</v>
      </c>
      <c r="V43" s="406">
        <v>3.0727272727272723</v>
      </c>
      <c r="W43" s="406">
        <v>0</v>
      </c>
      <c r="X43" s="406">
        <v>0</v>
      </c>
      <c r="Y43" s="406">
        <v>2.6181818181818177</v>
      </c>
      <c r="Z43" s="580"/>
      <c r="AA43" s="580"/>
      <c r="AB43" s="580"/>
      <c r="AC43" s="580"/>
      <c r="AD43" s="580"/>
      <c r="AE43" s="580"/>
      <c r="AF43" s="580"/>
      <c r="AG43" s="528" t="s">
        <v>1145</v>
      </c>
      <c r="AH43" s="528"/>
      <c r="AI43" s="528">
        <v>3</v>
      </c>
      <c r="AJ43" s="528">
        <v>3</v>
      </c>
      <c r="AK43" s="480">
        <v>0.5</v>
      </c>
      <c r="AL43" s="480">
        <v>0.5</v>
      </c>
      <c r="AM43" s="525"/>
      <c r="AN43" s="528">
        <v>32</v>
      </c>
      <c r="AO43" s="528">
        <v>0</v>
      </c>
      <c r="AP43" s="528">
        <v>0</v>
      </c>
      <c r="AQ43" s="528">
        <v>0</v>
      </c>
      <c r="AR43" s="528">
        <v>0</v>
      </c>
      <c r="AS43" s="528">
        <v>0</v>
      </c>
      <c r="AT43" s="528">
        <v>0</v>
      </c>
      <c r="AU43" s="528">
        <v>0</v>
      </c>
      <c r="AV43" s="528">
        <v>0</v>
      </c>
      <c r="AW43" s="528">
        <v>0</v>
      </c>
      <c r="AX43" s="528">
        <v>0</v>
      </c>
      <c r="AY43" s="528">
        <v>0</v>
      </c>
      <c r="AZ43" s="528"/>
      <c r="BA43" s="528" t="s">
        <v>1145</v>
      </c>
      <c r="BB43" s="528"/>
      <c r="BC43" s="528" t="s">
        <v>1145</v>
      </c>
      <c r="BD43" s="528"/>
      <c r="BE43" s="528"/>
      <c r="BF43" s="528"/>
      <c r="BG43" s="529"/>
      <c r="BH43" s="525"/>
      <c r="BI43" s="528"/>
      <c r="BJ43" s="528" t="s">
        <v>1146</v>
      </c>
      <c r="BK43" s="528"/>
      <c r="BL43" s="529" t="s">
        <v>1626</v>
      </c>
      <c r="BM43" s="529" t="s">
        <v>430</v>
      </c>
      <c r="BN43" s="525" t="s">
        <v>408</v>
      </c>
    </row>
    <row r="44" spans="1:66" ht="13" customHeight="1" x14ac:dyDescent="0.2">
      <c r="A44" s="525">
        <v>1684</v>
      </c>
      <c r="B44" s="582">
        <v>44577</v>
      </c>
      <c r="C44" s="526" t="s">
        <v>295</v>
      </c>
      <c r="D44" s="525" t="s">
        <v>1109</v>
      </c>
      <c r="E44" s="527">
        <v>44563</v>
      </c>
      <c r="F44" s="529" t="s">
        <v>1106</v>
      </c>
      <c r="G44" s="525" t="s">
        <v>2</v>
      </c>
      <c r="H44" s="579">
        <v>59.999999999999993</v>
      </c>
      <c r="I44" s="531" t="s">
        <v>296</v>
      </c>
      <c r="J44" s="525">
        <v>3000</v>
      </c>
      <c r="K44" s="525">
        <v>3000</v>
      </c>
      <c r="L44" s="525">
        <v>3000</v>
      </c>
      <c r="M44" s="525">
        <v>3000</v>
      </c>
      <c r="N44" s="525"/>
      <c r="O44" s="406">
        <v>2.2545454545454544</v>
      </c>
      <c r="P44" s="406">
        <v>0</v>
      </c>
      <c r="Q44" s="406">
        <v>0</v>
      </c>
      <c r="R44" s="406">
        <v>0</v>
      </c>
      <c r="S44" s="406">
        <v>1.7545454545454544</v>
      </c>
      <c r="T44" s="580"/>
      <c r="U44" s="406">
        <v>2.2545454545454544</v>
      </c>
      <c r="V44" s="406">
        <v>0</v>
      </c>
      <c r="W44" s="406">
        <v>0</v>
      </c>
      <c r="X44" s="406">
        <v>0</v>
      </c>
      <c r="Y44" s="406">
        <v>1.7545454545454544</v>
      </c>
      <c r="Z44" s="580"/>
      <c r="AA44" s="580"/>
      <c r="AB44" s="580"/>
      <c r="AC44" s="580"/>
      <c r="AD44" s="580"/>
      <c r="AE44" s="580"/>
      <c r="AF44" s="580"/>
      <c r="AG44" s="528" t="s">
        <v>1145</v>
      </c>
      <c r="AH44" s="528"/>
      <c r="AI44" s="528">
        <v>3</v>
      </c>
      <c r="AJ44" s="528">
        <v>3</v>
      </c>
      <c r="AK44" s="480">
        <v>0.5</v>
      </c>
      <c r="AL44" s="480">
        <v>0.5</v>
      </c>
      <c r="AM44" s="525"/>
      <c r="AN44" s="528">
        <v>0</v>
      </c>
      <c r="AO44" s="528">
        <v>0</v>
      </c>
      <c r="AP44" s="528">
        <v>0</v>
      </c>
      <c r="AQ44" s="528">
        <v>0</v>
      </c>
      <c r="AR44" s="528">
        <v>0</v>
      </c>
      <c r="AS44" s="528">
        <v>0</v>
      </c>
      <c r="AT44" s="528">
        <v>0</v>
      </c>
      <c r="AU44" s="528">
        <v>0</v>
      </c>
      <c r="AV44" s="528">
        <v>0</v>
      </c>
      <c r="AW44" s="528">
        <v>0</v>
      </c>
      <c r="AX44" s="528">
        <v>0</v>
      </c>
      <c r="AY44" s="528">
        <v>0</v>
      </c>
      <c r="AZ44" s="528"/>
      <c r="BA44" s="528" t="s">
        <v>1145</v>
      </c>
      <c r="BB44" s="528"/>
      <c r="BC44" s="528" t="s">
        <v>1145</v>
      </c>
      <c r="BD44" s="528"/>
      <c r="BE44" s="528"/>
      <c r="BF44" s="529"/>
      <c r="BG44" s="525"/>
      <c r="BH44" s="528"/>
      <c r="BI44" s="528"/>
      <c r="BJ44" s="528" t="s">
        <v>1146</v>
      </c>
      <c r="BK44" s="528">
        <v>1</v>
      </c>
      <c r="BL44" s="525"/>
      <c r="BM44" s="529" t="s">
        <v>430</v>
      </c>
      <c r="BN44" s="525" t="s">
        <v>408</v>
      </c>
    </row>
    <row r="45" spans="1:66" ht="13" customHeight="1" x14ac:dyDescent="0.2">
      <c r="A45" s="525">
        <v>2897</v>
      </c>
      <c r="B45" s="581">
        <v>44575</v>
      </c>
      <c r="C45" s="526" t="s">
        <v>1138</v>
      </c>
      <c r="D45" s="525" t="s">
        <v>1109</v>
      </c>
      <c r="E45" s="527">
        <v>44228</v>
      </c>
      <c r="F45" s="525" t="s">
        <v>34</v>
      </c>
      <c r="G45" s="525" t="s">
        <v>1181</v>
      </c>
      <c r="H45" s="579">
        <v>67.909090909090907</v>
      </c>
      <c r="I45" s="394"/>
      <c r="J45" s="394"/>
      <c r="K45" s="394"/>
      <c r="L45" s="332"/>
      <c r="M45" s="332"/>
      <c r="N45" s="332"/>
      <c r="O45" s="406">
        <v>1.7545454545454544</v>
      </c>
      <c r="P45" s="406">
        <v>0</v>
      </c>
      <c r="Q45" s="406">
        <v>0</v>
      </c>
      <c r="R45" s="406">
        <v>0</v>
      </c>
      <c r="S45" s="406">
        <v>0</v>
      </c>
      <c r="T45" s="580"/>
      <c r="U45" s="406">
        <v>1.7545454545454544</v>
      </c>
      <c r="V45" s="406">
        <v>0</v>
      </c>
      <c r="W45" s="406">
        <v>0</v>
      </c>
      <c r="X45" s="406">
        <v>0</v>
      </c>
      <c r="Y45" s="406">
        <v>0</v>
      </c>
      <c r="Z45" s="580"/>
      <c r="AA45" s="580"/>
      <c r="AB45" s="580"/>
      <c r="AC45" s="580"/>
      <c r="AD45" s="580"/>
      <c r="AE45" s="580"/>
      <c r="AF45" s="580"/>
      <c r="AG45" s="333" t="s">
        <v>1145</v>
      </c>
      <c r="AH45" s="333"/>
      <c r="AI45" s="528">
        <v>3</v>
      </c>
      <c r="AJ45" s="528">
        <v>3</v>
      </c>
      <c r="AK45" s="480">
        <v>0.5</v>
      </c>
      <c r="AL45" s="480">
        <v>0.5</v>
      </c>
      <c r="AM45" s="525"/>
      <c r="AN45" s="528">
        <v>0</v>
      </c>
      <c r="AO45" s="528">
        <v>0</v>
      </c>
      <c r="AP45" s="528">
        <v>0</v>
      </c>
      <c r="AQ45" s="528">
        <v>0</v>
      </c>
      <c r="AR45" s="528">
        <v>0</v>
      </c>
      <c r="AS45" s="528">
        <v>0</v>
      </c>
      <c r="AT45" s="528">
        <v>0</v>
      </c>
      <c r="AU45" s="528">
        <v>0</v>
      </c>
      <c r="AV45" s="528">
        <v>0</v>
      </c>
      <c r="AW45" s="528">
        <v>0</v>
      </c>
      <c r="AX45" s="528">
        <v>0</v>
      </c>
      <c r="AY45" s="528">
        <v>0</v>
      </c>
      <c r="AZ45" s="528"/>
      <c r="BA45" s="528" t="s">
        <v>1145</v>
      </c>
      <c r="BB45" s="528"/>
      <c r="BC45" s="528" t="s">
        <v>1145</v>
      </c>
      <c r="BD45" s="528"/>
      <c r="BE45" s="528"/>
      <c r="BF45" s="528"/>
      <c r="BG45" s="529"/>
      <c r="BH45" s="525"/>
      <c r="BI45" s="528"/>
      <c r="BJ45" s="528" t="s">
        <v>1164</v>
      </c>
      <c r="BK45" s="528"/>
      <c r="BL45" s="529" t="s">
        <v>1284</v>
      </c>
      <c r="BM45" s="525" t="s">
        <v>1557</v>
      </c>
      <c r="BN45" s="525" t="s">
        <v>368</v>
      </c>
    </row>
    <row r="46" spans="1:66" ht="13" customHeight="1" x14ac:dyDescent="0.2">
      <c r="A46" s="525">
        <v>2741</v>
      </c>
      <c r="B46" s="581">
        <v>44575</v>
      </c>
      <c r="C46" s="526" t="s">
        <v>1138</v>
      </c>
      <c r="D46" s="525" t="s">
        <v>1109</v>
      </c>
      <c r="E46" s="527">
        <v>44197</v>
      </c>
      <c r="F46" s="525" t="s">
        <v>1274</v>
      </c>
      <c r="G46" s="525" t="s">
        <v>1467</v>
      </c>
      <c r="H46" s="579">
        <v>72.999999999999986</v>
      </c>
      <c r="I46" s="394" t="s">
        <v>296</v>
      </c>
      <c r="J46" s="485">
        <v>1645</v>
      </c>
      <c r="K46" s="485">
        <v>3000</v>
      </c>
      <c r="L46" s="485">
        <v>3000</v>
      </c>
      <c r="M46" s="485">
        <v>3000</v>
      </c>
      <c r="N46" s="332"/>
      <c r="O46" s="406">
        <v>2.9272727272727272</v>
      </c>
      <c r="P46" s="406">
        <v>2.545454545454545</v>
      </c>
      <c r="Q46" s="406">
        <v>0</v>
      </c>
      <c r="R46" s="406">
        <v>0</v>
      </c>
      <c r="S46" s="406">
        <v>2.1818181818181817</v>
      </c>
      <c r="T46" s="580"/>
      <c r="U46" s="406">
        <v>2.9272727272727272</v>
      </c>
      <c r="V46" s="406">
        <v>2.545454545454545</v>
      </c>
      <c r="W46" s="406">
        <v>0</v>
      </c>
      <c r="X46" s="406">
        <v>0</v>
      </c>
      <c r="Y46" s="406">
        <v>2.1818181818181817</v>
      </c>
      <c r="Z46" s="580"/>
      <c r="AA46" s="580"/>
      <c r="AB46" s="580"/>
      <c r="AC46" s="580"/>
      <c r="AD46" s="580"/>
      <c r="AE46" s="580"/>
      <c r="AF46" s="580"/>
      <c r="AG46" s="333" t="s">
        <v>1145</v>
      </c>
      <c r="AH46" s="333"/>
      <c r="AI46" s="528">
        <v>3</v>
      </c>
      <c r="AJ46" s="528">
        <v>3</v>
      </c>
      <c r="AK46" s="480">
        <v>0.5</v>
      </c>
      <c r="AL46" s="480">
        <v>0.5</v>
      </c>
      <c r="AM46" s="525"/>
      <c r="AN46" s="528">
        <v>0</v>
      </c>
      <c r="AO46" s="528">
        <v>12</v>
      </c>
      <c r="AP46" s="528">
        <v>0</v>
      </c>
      <c r="AQ46" s="528">
        <v>3</v>
      </c>
      <c r="AR46" s="528">
        <v>0</v>
      </c>
      <c r="AS46" s="528">
        <v>0</v>
      </c>
      <c r="AT46" s="528">
        <v>0</v>
      </c>
      <c r="AU46" s="528">
        <v>0</v>
      </c>
      <c r="AV46" s="528">
        <v>0</v>
      </c>
      <c r="AW46" s="528">
        <v>0</v>
      </c>
      <c r="AX46" s="528">
        <v>0</v>
      </c>
      <c r="AY46" s="528">
        <v>0</v>
      </c>
      <c r="AZ46" s="528"/>
      <c r="BA46" s="528" t="s">
        <v>1145</v>
      </c>
      <c r="BB46" s="528"/>
      <c r="BC46" s="528" t="s">
        <v>1145</v>
      </c>
      <c r="BD46" s="528"/>
      <c r="BE46" s="528"/>
      <c r="BF46" s="528"/>
      <c r="BG46" s="529"/>
      <c r="BH46" s="525"/>
      <c r="BI46" s="528"/>
      <c r="BJ46" s="528" t="s">
        <v>1164</v>
      </c>
      <c r="BK46" s="528"/>
      <c r="BL46" s="529"/>
      <c r="BM46" s="529" t="s">
        <v>430</v>
      </c>
      <c r="BN46" s="525" t="s">
        <v>408</v>
      </c>
    </row>
    <row r="47" spans="1:66" ht="13" customHeight="1" x14ac:dyDescent="0.2">
      <c r="A47" s="525">
        <v>3323</v>
      </c>
      <c r="B47" s="581">
        <v>44573</v>
      </c>
      <c r="C47" s="526" t="s">
        <v>1138</v>
      </c>
      <c r="D47" s="525" t="s">
        <v>1109</v>
      </c>
      <c r="E47" s="570">
        <v>44562</v>
      </c>
      <c r="F47" s="525" t="s">
        <v>1291</v>
      </c>
      <c r="G47" s="525" t="s">
        <v>1618</v>
      </c>
      <c r="H47" s="579">
        <v>59.418181818181814</v>
      </c>
      <c r="I47" s="394"/>
      <c r="J47" s="409"/>
      <c r="K47" s="332"/>
      <c r="L47" s="332"/>
      <c r="M47" s="332"/>
      <c r="N47" s="332"/>
      <c r="O47" s="406">
        <v>1.8181818181818181</v>
      </c>
      <c r="P47" s="406">
        <v>0</v>
      </c>
      <c r="Q47" s="406">
        <v>0</v>
      </c>
      <c r="R47" s="406">
        <v>0</v>
      </c>
      <c r="S47" s="406">
        <v>0</v>
      </c>
      <c r="T47" s="580"/>
      <c r="U47" s="406">
        <v>1.8181818181818181</v>
      </c>
      <c r="V47" s="406">
        <v>0</v>
      </c>
      <c r="W47" s="406">
        <v>0</v>
      </c>
      <c r="X47" s="406">
        <v>0</v>
      </c>
      <c r="Y47" s="406">
        <v>0</v>
      </c>
      <c r="Z47" s="580"/>
      <c r="AA47" s="580"/>
      <c r="AB47" s="580"/>
      <c r="AC47" s="580"/>
      <c r="AD47" s="580"/>
      <c r="AE47" s="580"/>
      <c r="AF47" s="580"/>
      <c r="AG47" s="333" t="s">
        <v>1145</v>
      </c>
      <c r="AH47" s="333"/>
      <c r="AI47" s="528">
        <v>3</v>
      </c>
      <c r="AJ47" s="528">
        <v>3</v>
      </c>
      <c r="AK47" s="480">
        <v>0.5</v>
      </c>
      <c r="AL47" s="480">
        <v>0.5</v>
      </c>
      <c r="AM47" s="525"/>
      <c r="AN47" s="528">
        <v>0</v>
      </c>
      <c r="AO47" s="528">
        <v>0</v>
      </c>
      <c r="AP47" s="528">
        <v>0</v>
      </c>
      <c r="AQ47" s="528">
        <v>0</v>
      </c>
      <c r="AR47" s="528">
        <v>0</v>
      </c>
      <c r="AS47" s="528">
        <v>0</v>
      </c>
      <c r="AT47" s="528">
        <v>0</v>
      </c>
      <c r="AU47" s="528">
        <v>0</v>
      </c>
      <c r="AV47" s="528">
        <v>0</v>
      </c>
      <c r="AW47" s="528">
        <v>0</v>
      </c>
      <c r="AX47" s="528">
        <v>0</v>
      </c>
      <c r="AY47" s="528">
        <v>0</v>
      </c>
      <c r="AZ47" s="528"/>
      <c r="BA47" s="528" t="s">
        <v>1145</v>
      </c>
      <c r="BB47" s="528"/>
      <c r="BC47" s="528" t="s">
        <v>1145</v>
      </c>
      <c r="BD47" s="528"/>
      <c r="BE47" s="528"/>
      <c r="BF47" s="528"/>
      <c r="BG47" s="529"/>
      <c r="BH47" s="525"/>
      <c r="BI47" s="528"/>
      <c r="BJ47" s="528" t="s">
        <v>1164</v>
      </c>
      <c r="BK47" s="528"/>
      <c r="BL47" s="529" t="s">
        <v>1627</v>
      </c>
      <c r="BM47" s="525" t="s">
        <v>1631</v>
      </c>
      <c r="BN47" s="525" t="s">
        <v>1121</v>
      </c>
    </row>
    <row r="48" spans="1:66" ht="13" customHeight="1" x14ac:dyDescent="0.2">
      <c r="A48" s="525">
        <v>2932</v>
      </c>
      <c r="B48" s="581">
        <v>44574</v>
      </c>
      <c r="C48" s="526" t="s">
        <v>1138</v>
      </c>
      <c r="D48" s="525" t="s">
        <v>1109</v>
      </c>
      <c r="E48" s="527">
        <v>44452</v>
      </c>
      <c r="F48" s="525" t="s">
        <v>1483</v>
      </c>
      <c r="G48" s="525" t="s">
        <v>1550</v>
      </c>
      <c r="H48" s="579">
        <v>80</v>
      </c>
      <c r="I48" s="531" t="s">
        <v>296</v>
      </c>
      <c r="J48" s="485">
        <v>1645</v>
      </c>
      <c r="K48" s="485">
        <v>3000</v>
      </c>
      <c r="L48" s="485">
        <v>3000</v>
      </c>
      <c r="M48" s="485">
        <v>3000</v>
      </c>
      <c r="N48" s="332"/>
      <c r="O48" s="406">
        <v>1.7818181818181817</v>
      </c>
      <c r="P48" s="406">
        <v>1.5636363636363635</v>
      </c>
      <c r="Q48" s="406">
        <v>0</v>
      </c>
      <c r="R48" s="406">
        <v>0</v>
      </c>
      <c r="S48" s="406">
        <v>1.3636363636363635</v>
      </c>
      <c r="T48" s="580"/>
      <c r="U48" s="406">
        <v>1.7818181818181817</v>
      </c>
      <c r="V48" s="406">
        <v>1.5636363636363635</v>
      </c>
      <c r="W48" s="406">
        <v>0</v>
      </c>
      <c r="X48" s="406">
        <v>0</v>
      </c>
      <c r="Y48" s="406">
        <v>1.3636363636363635</v>
      </c>
      <c r="Z48" s="580"/>
      <c r="AA48" s="580"/>
      <c r="AB48" s="580"/>
      <c r="AC48" s="580"/>
      <c r="AD48" s="580"/>
      <c r="AE48" s="580"/>
      <c r="AF48" s="580"/>
      <c r="AG48" s="333" t="s">
        <v>1145</v>
      </c>
      <c r="AH48" s="333"/>
      <c r="AI48" s="528">
        <v>3</v>
      </c>
      <c r="AJ48" s="528">
        <v>3</v>
      </c>
      <c r="AK48" s="480">
        <v>0.5</v>
      </c>
      <c r="AL48" s="480">
        <v>0.5</v>
      </c>
      <c r="AM48" s="525"/>
      <c r="AN48" s="528">
        <v>0</v>
      </c>
      <c r="AO48" s="528">
        <v>0</v>
      </c>
      <c r="AP48" s="528">
        <v>0</v>
      </c>
      <c r="AQ48" s="528">
        <v>0</v>
      </c>
      <c r="AR48" s="528">
        <v>0</v>
      </c>
      <c r="AS48" s="528">
        <v>0</v>
      </c>
      <c r="AT48" s="528">
        <v>0</v>
      </c>
      <c r="AU48" s="528">
        <v>0</v>
      </c>
      <c r="AV48" s="528">
        <v>0</v>
      </c>
      <c r="AW48" s="528">
        <v>0</v>
      </c>
      <c r="AX48" s="528">
        <v>0</v>
      </c>
      <c r="AY48" s="528">
        <v>0</v>
      </c>
      <c r="AZ48" s="528"/>
      <c r="BA48" s="528" t="s">
        <v>1145</v>
      </c>
      <c r="BB48" s="528"/>
      <c r="BC48" s="528" t="s">
        <v>1145</v>
      </c>
      <c r="BD48" s="528"/>
      <c r="BE48" s="528">
        <v>12</v>
      </c>
      <c r="BF48" s="564"/>
      <c r="BG48" s="529"/>
      <c r="BH48" s="525"/>
      <c r="BI48" s="528"/>
      <c r="BJ48" s="528" t="s">
        <v>4</v>
      </c>
      <c r="BK48" s="528"/>
      <c r="BL48" s="529"/>
      <c r="BM48" s="525" t="s">
        <v>430</v>
      </c>
      <c r="BN48" s="525" t="s">
        <v>368</v>
      </c>
    </row>
    <row r="49" spans="1:66" ht="13" customHeight="1" x14ac:dyDescent="0.2">
      <c r="A49" s="525">
        <v>3237</v>
      </c>
      <c r="B49" s="581">
        <v>44573</v>
      </c>
      <c r="C49" s="526" t="s">
        <v>1138</v>
      </c>
      <c r="D49" s="525" t="s">
        <v>1109</v>
      </c>
      <c r="E49" s="527">
        <v>44562</v>
      </c>
      <c r="F49" s="529" t="s">
        <v>1619</v>
      </c>
      <c r="G49" s="525" t="s">
        <v>1620</v>
      </c>
      <c r="H49" s="579">
        <v>59.909090909090907</v>
      </c>
      <c r="I49" s="531" t="s">
        <v>296</v>
      </c>
      <c r="J49" s="485">
        <v>1645</v>
      </c>
      <c r="K49" s="485">
        <v>3000</v>
      </c>
      <c r="L49" s="485">
        <v>3000</v>
      </c>
      <c r="M49" s="485">
        <v>3000</v>
      </c>
      <c r="N49" s="332"/>
      <c r="O49" s="406">
        <v>2.5363636363636362</v>
      </c>
      <c r="P49" s="406">
        <v>2.2181818181818178</v>
      </c>
      <c r="Q49" s="406">
        <v>0</v>
      </c>
      <c r="R49" s="406">
        <v>0</v>
      </c>
      <c r="S49" s="406">
        <v>1.7818181818181817</v>
      </c>
      <c r="T49" s="580"/>
      <c r="U49" s="406">
        <v>2.5363636363636362</v>
      </c>
      <c r="V49" s="406">
        <v>2.2181818181818178</v>
      </c>
      <c r="W49" s="406">
        <v>0</v>
      </c>
      <c r="X49" s="406">
        <v>0</v>
      </c>
      <c r="Y49" s="406">
        <v>1.7818181818181817</v>
      </c>
      <c r="Z49" s="580"/>
      <c r="AA49" s="580"/>
      <c r="AB49" s="580"/>
      <c r="AC49" s="580"/>
      <c r="AD49" s="580"/>
      <c r="AE49" s="580"/>
      <c r="AF49" s="580"/>
      <c r="AG49" s="528" t="s">
        <v>1145</v>
      </c>
      <c r="AH49" s="528"/>
      <c r="AI49" s="528">
        <v>3</v>
      </c>
      <c r="AJ49" s="528">
        <v>3</v>
      </c>
      <c r="AK49" s="480">
        <v>0.5</v>
      </c>
      <c r="AL49" s="480">
        <v>0.5</v>
      </c>
      <c r="AM49" s="525"/>
      <c r="AN49" s="528">
        <v>0</v>
      </c>
      <c r="AO49" s="528">
        <v>22</v>
      </c>
      <c r="AP49" s="528">
        <v>0</v>
      </c>
      <c r="AQ49" s="528">
        <v>0</v>
      </c>
      <c r="AR49" s="528">
        <v>0</v>
      </c>
      <c r="AS49" s="528">
        <v>0</v>
      </c>
      <c r="AT49" s="528">
        <v>0</v>
      </c>
      <c r="AU49" s="528">
        <v>0</v>
      </c>
      <c r="AV49" s="528">
        <v>0</v>
      </c>
      <c r="AW49" s="528">
        <v>0</v>
      </c>
      <c r="AX49" s="528">
        <v>0</v>
      </c>
      <c r="AY49" s="528">
        <v>0</v>
      </c>
      <c r="AZ49" s="528"/>
      <c r="BA49" s="528" t="s">
        <v>1145</v>
      </c>
      <c r="BB49" s="528"/>
      <c r="BC49" s="528" t="s">
        <v>1145</v>
      </c>
      <c r="BD49" s="528"/>
      <c r="BE49" s="528"/>
      <c r="BF49" s="528"/>
      <c r="BG49" s="529"/>
      <c r="BH49" s="525"/>
      <c r="BI49" s="528"/>
      <c r="BJ49" s="528" t="s">
        <v>4</v>
      </c>
      <c r="BK49" s="528"/>
      <c r="BL49" s="529" t="s">
        <v>1629</v>
      </c>
      <c r="BM49" s="525" t="s">
        <v>1632</v>
      </c>
      <c r="BN49" s="525" t="s">
        <v>1121</v>
      </c>
    </row>
    <row r="50" spans="1:66" ht="13" customHeight="1" x14ac:dyDescent="0.2">
      <c r="A50" s="525">
        <v>3026</v>
      </c>
      <c r="B50" s="581">
        <v>44574</v>
      </c>
      <c r="C50" s="526" t="s">
        <v>1138</v>
      </c>
      <c r="D50" s="525" t="s">
        <v>1110</v>
      </c>
      <c r="E50" s="527">
        <v>44562</v>
      </c>
      <c r="F50" s="529" t="s">
        <v>1139</v>
      </c>
      <c r="G50" s="525" t="s">
        <v>1562</v>
      </c>
      <c r="H50" s="579">
        <v>81.199999999999989</v>
      </c>
      <c r="I50" s="531" t="s">
        <v>296</v>
      </c>
      <c r="J50" s="485">
        <v>1645</v>
      </c>
      <c r="K50" s="485">
        <v>3000</v>
      </c>
      <c r="L50" s="485">
        <v>3000</v>
      </c>
      <c r="M50" s="485">
        <v>3000</v>
      </c>
      <c r="N50" s="525"/>
      <c r="O50" s="406">
        <v>2.5636363636363635</v>
      </c>
      <c r="P50" s="406">
        <v>2.336363636363636</v>
      </c>
      <c r="Q50" s="406">
        <v>0</v>
      </c>
      <c r="R50" s="406">
        <v>0</v>
      </c>
      <c r="S50" s="406">
        <v>1.7454545454545451</v>
      </c>
      <c r="T50" s="580"/>
      <c r="U50" s="406">
        <v>2.5636363636363635</v>
      </c>
      <c r="V50" s="406">
        <v>2.336363636363636</v>
      </c>
      <c r="W50" s="406">
        <v>0</v>
      </c>
      <c r="X50" s="406">
        <v>0</v>
      </c>
      <c r="Y50" s="406">
        <v>1.7454545454545451</v>
      </c>
      <c r="Z50" s="580"/>
      <c r="AA50" s="580"/>
      <c r="AB50" s="580"/>
      <c r="AC50" s="580"/>
      <c r="AD50" s="580"/>
      <c r="AE50" s="580"/>
      <c r="AF50" s="580"/>
      <c r="AG50" s="528" t="s">
        <v>1145</v>
      </c>
      <c r="AH50" s="528"/>
      <c r="AI50" s="528">
        <v>3</v>
      </c>
      <c r="AJ50" s="528">
        <v>3</v>
      </c>
      <c r="AK50" s="480">
        <v>0.5</v>
      </c>
      <c r="AL50" s="480">
        <v>0.5</v>
      </c>
      <c r="AM50" s="525"/>
      <c r="AN50" s="528">
        <v>0</v>
      </c>
      <c r="AO50" s="528">
        <v>0</v>
      </c>
      <c r="AP50" s="528">
        <v>0</v>
      </c>
      <c r="AQ50" s="528">
        <v>0</v>
      </c>
      <c r="AR50" s="528">
        <v>0</v>
      </c>
      <c r="AS50" s="528">
        <v>0</v>
      </c>
      <c r="AT50" s="528">
        <v>0</v>
      </c>
      <c r="AU50" s="528">
        <v>0</v>
      </c>
      <c r="AV50" s="528">
        <v>0</v>
      </c>
      <c r="AW50" s="528">
        <v>0</v>
      </c>
      <c r="AX50" s="528">
        <v>0</v>
      </c>
      <c r="AY50" s="528">
        <v>0</v>
      </c>
      <c r="AZ50" s="528"/>
      <c r="BA50" s="528" t="s">
        <v>1145</v>
      </c>
      <c r="BB50" s="528"/>
      <c r="BC50" s="528" t="s">
        <v>1145</v>
      </c>
      <c r="BD50" s="528"/>
      <c r="BE50" s="528"/>
      <c r="BF50" s="528"/>
      <c r="BG50" s="529"/>
      <c r="BH50" s="525"/>
      <c r="BI50" s="528"/>
      <c r="BJ50" s="528" t="s">
        <v>1146</v>
      </c>
      <c r="BK50" s="528"/>
      <c r="BL50" s="529"/>
      <c r="BM50" s="529" t="s">
        <v>430</v>
      </c>
      <c r="BN50" s="525" t="s">
        <v>408</v>
      </c>
    </row>
    <row r="51" spans="1:66" ht="13" customHeight="1" x14ac:dyDescent="0.2">
      <c r="A51" s="525">
        <v>2495</v>
      </c>
      <c r="B51" s="581">
        <v>44574</v>
      </c>
      <c r="C51" s="526" t="s">
        <v>1138</v>
      </c>
      <c r="D51" s="525" t="s">
        <v>1110</v>
      </c>
      <c r="E51" s="527">
        <v>44522</v>
      </c>
      <c r="F51" s="529" t="s">
        <v>1148</v>
      </c>
      <c r="G51" s="525" t="s">
        <v>1280</v>
      </c>
      <c r="H51" s="579">
        <v>48.190909090909088</v>
      </c>
      <c r="I51" s="531" t="s">
        <v>296</v>
      </c>
      <c r="J51" s="485">
        <v>1645</v>
      </c>
      <c r="K51" s="485">
        <v>3000</v>
      </c>
      <c r="L51" s="485">
        <v>3000</v>
      </c>
      <c r="M51" s="485">
        <v>3000</v>
      </c>
      <c r="N51" s="525"/>
      <c r="O51" s="406">
        <v>2.3545454545454541</v>
      </c>
      <c r="P51" s="406">
        <v>1.9909090909090907</v>
      </c>
      <c r="Q51" s="406">
        <v>0</v>
      </c>
      <c r="R51" s="406">
        <v>0</v>
      </c>
      <c r="S51" s="406">
        <v>1.5272727272727271</v>
      </c>
      <c r="T51" s="580"/>
      <c r="U51" s="406">
        <v>2.3545454545454541</v>
      </c>
      <c r="V51" s="406">
        <v>1.9909090909090907</v>
      </c>
      <c r="W51" s="406">
        <v>0</v>
      </c>
      <c r="X51" s="406">
        <v>0</v>
      </c>
      <c r="Y51" s="406">
        <v>1.5272727272727271</v>
      </c>
      <c r="Z51" s="580"/>
      <c r="AA51" s="580"/>
      <c r="AB51" s="580"/>
      <c r="AC51" s="580"/>
      <c r="AD51" s="580"/>
      <c r="AE51" s="580"/>
      <c r="AF51" s="580"/>
      <c r="AG51" s="528" t="s">
        <v>1145</v>
      </c>
      <c r="AH51" s="528"/>
      <c r="AI51" s="528">
        <v>3</v>
      </c>
      <c r="AJ51" s="528">
        <v>3</v>
      </c>
      <c r="AK51" s="480">
        <v>0.5</v>
      </c>
      <c r="AL51" s="480">
        <v>0.5</v>
      </c>
      <c r="AM51" s="525"/>
      <c r="AN51" s="528">
        <v>0</v>
      </c>
      <c r="AO51" s="528">
        <v>0</v>
      </c>
      <c r="AP51" s="528">
        <v>0</v>
      </c>
      <c r="AQ51" s="528">
        <v>0</v>
      </c>
      <c r="AR51" s="528">
        <v>0</v>
      </c>
      <c r="AS51" s="528">
        <v>0</v>
      </c>
      <c r="AT51" s="528">
        <v>0</v>
      </c>
      <c r="AU51" s="528">
        <v>0</v>
      </c>
      <c r="AV51" s="528">
        <v>0</v>
      </c>
      <c r="AW51" s="528">
        <v>0</v>
      </c>
      <c r="AX51" s="528">
        <v>0</v>
      </c>
      <c r="AY51" s="528">
        <v>0</v>
      </c>
      <c r="AZ51" s="528"/>
      <c r="BA51" s="528" t="s">
        <v>1145</v>
      </c>
      <c r="BB51" s="528"/>
      <c r="BC51" s="528" t="s">
        <v>1145</v>
      </c>
      <c r="BD51" s="528"/>
      <c r="BE51" s="528"/>
      <c r="BF51" s="528"/>
      <c r="BG51" s="529"/>
      <c r="BH51" s="525"/>
      <c r="BI51" s="528"/>
      <c r="BJ51" s="528" t="s">
        <v>4</v>
      </c>
      <c r="BK51" s="528"/>
      <c r="BL51" s="529"/>
      <c r="BM51" s="525" t="s">
        <v>430</v>
      </c>
      <c r="BN51" s="525" t="s">
        <v>368</v>
      </c>
    </row>
    <row r="52" spans="1:66" ht="13" customHeight="1" x14ac:dyDescent="0.2">
      <c r="A52" s="525">
        <v>2961</v>
      </c>
      <c r="B52" s="581">
        <v>44575</v>
      </c>
      <c r="C52" s="526" t="s">
        <v>1138</v>
      </c>
      <c r="D52" s="525" t="s">
        <v>1110</v>
      </c>
      <c r="E52" s="527">
        <v>44573</v>
      </c>
      <c r="F52" s="529" t="s">
        <v>1286</v>
      </c>
      <c r="G52" s="525" t="s">
        <v>1564</v>
      </c>
      <c r="H52" s="579">
        <v>75</v>
      </c>
      <c r="I52" s="531" t="s">
        <v>296</v>
      </c>
      <c r="J52" s="485">
        <v>1645</v>
      </c>
      <c r="K52" s="485">
        <v>3000</v>
      </c>
      <c r="L52" s="485">
        <v>3000</v>
      </c>
      <c r="M52" s="485">
        <v>3000</v>
      </c>
      <c r="N52" s="525"/>
      <c r="O52" s="406">
        <v>2.8181818181818179</v>
      </c>
      <c r="P52" s="406">
        <v>2.4727272727272727</v>
      </c>
      <c r="Q52" s="406">
        <v>0</v>
      </c>
      <c r="R52" s="406">
        <v>0</v>
      </c>
      <c r="S52" s="406">
        <v>1.9909090909090907</v>
      </c>
      <c r="T52" s="580"/>
      <c r="U52" s="406">
        <v>2.8181818181818179</v>
      </c>
      <c r="V52" s="406">
        <v>2.4727272727272727</v>
      </c>
      <c r="W52" s="406">
        <v>0</v>
      </c>
      <c r="X52" s="406">
        <v>0</v>
      </c>
      <c r="Y52" s="406">
        <v>1.9909090909090907</v>
      </c>
      <c r="Z52" s="580"/>
      <c r="AA52" s="580"/>
      <c r="AB52" s="580"/>
      <c r="AC52" s="580"/>
      <c r="AD52" s="580"/>
      <c r="AE52" s="580"/>
      <c r="AF52" s="580"/>
      <c r="AG52" s="528" t="s">
        <v>1145</v>
      </c>
      <c r="AH52" s="528"/>
      <c r="AI52" s="528">
        <v>3</v>
      </c>
      <c r="AJ52" s="528">
        <v>3</v>
      </c>
      <c r="AK52" s="480">
        <v>0.5</v>
      </c>
      <c r="AL52" s="480">
        <v>0.5</v>
      </c>
      <c r="AM52" s="525"/>
      <c r="AN52" s="528">
        <v>0</v>
      </c>
      <c r="AO52" s="528">
        <v>20</v>
      </c>
      <c r="AP52" s="528">
        <v>0</v>
      </c>
      <c r="AQ52" s="528">
        <v>0</v>
      </c>
      <c r="AR52" s="528">
        <v>0</v>
      </c>
      <c r="AS52" s="528">
        <v>0</v>
      </c>
      <c r="AT52" s="528">
        <v>0</v>
      </c>
      <c r="AU52" s="528">
        <v>0</v>
      </c>
      <c r="AV52" s="528">
        <v>0</v>
      </c>
      <c r="AW52" s="528">
        <v>0</v>
      </c>
      <c r="AX52" s="528">
        <v>0</v>
      </c>
      <c r="AY52" s="528">
        <v>0</v>
      </c>
      <c r="AZ52" s="528"/>
      <c r="BA52" s="528" t="s">
        <v>1145</v>
      </c>
      <c r="BB52" s="528"/>
      <c r="BC52" s="528" t="s">
        <v>1145</v>
      </c>
      <c r="BD52" s="528"/>
      <c r="BE52" s="528"/>
      <c r="BF52" s="528"/>
      <c r="BG52" s="529"/>
      <c r="BH52" s="525"/>
      <c r="BI52" s="528"/>
      <c r="BJ52" s="528" t="s">
        <v>1146</v>
      </c>
      <c r="BK52" s="528">
        <v>1</v>
      </c>
      <c r="BL52" s="529"/>
      <c r="BM52" s="529" t="s">
        <v>430</v>
      </c>
      <c r="BN52" s="525" t="s">
        <v>408</v>
      </c>
    </row>
    <row r="53" spans="1:66" ht="13" customHeight="1" x14ac:dyDescent="0.2">
      <c r="A53" s="525">
        <v>2552</v>
      </c>
      <c r="B53" s="581">
        <v>44575</v>
      </c>
      <c r="C53" s="526" t="s">
        <v>1138</v>
      </c>
      <c r="D53" s="525" t="s">
        <v>1110</v>
      </c>
      <c r="E53" s="527">
        <v>44546</v>
      </c>
      <c r="F53" s="525" t="s">
        <v>1052</v>
      </c>
      <c r="G53" s="525" t="s">
        <v>1181</v>
      </c>
      <c r="H53" s="579">
        <v>49.4</v>
      </c>
      <c r="I53" s="531" t="s">
        <v>296</v>
      </c>
      <c r="J53" s="485">
        <v>1645</v>
      </c>
      <c r="K53" s="485">
        <v>3000</v>
      </c>
      <c r="L53" s="485">
        <v>3000</v>
      </c>
      <c r="M53" s="485">
        <v>3000</v>
      </c>
      <c r="N53" s="332"/>
      <c r="O53" s="406">
        <v>2.8272727272727267</v>
      </c>
      <c r="P53" s="406">
        <v>2.2454545454545456</v>
      </c>
      <c r="Q53" s="406">
        <v>0</v>
      </c>
      <c r="R53" s="406">
        <v>0</v>
      </c>
      <c r="S53" s="406">
        <v>1.8181818181818181</v>
      </c>
      <c r="T53" s="580"/>
      <c r="U53" s="406">
        <v>2.8272727272727267</v>
      </c>
      <c r="V53" s="406">
        <v>2.2454545454545456</v>
      </c>
      <c r="W53" s="406">
        <v>0</v>
      </c>
      <c r="X53" s="406">
        <v>0</v>
      </c>
      <c r="Y53" s="406">
        <v>1.8181818181818181</v>
      </c>
      <c r="Z53" s="580"/>
      <c r="AA53" s="580"/>
      <c r="AB53" s="580"/>
      <c r="AC53" s="580"/>
      <c r="AD53" s="580"/>
      <c r="AE53" s="580"/>
      <c r="AF53" s="580"/>
      <c r="AG53" s="528" t="s">
        <v>1143</v>
      </c>
      <c r="AH53" s="528" t="s">
        <v>1144</v>
      </c>
      <c r="AI53" s="528">
        <v>2</v>
      </c>
      <c r="AJ53" s="528">
        <v>4</v>
      </c>
      <c r="AK53" s="483">
        <v>0.33329999999999999</v>
      </c>
      <c r="AL53" s="483">
        <v>0.66659999999999997</v>
      </c>
      <c r="AM53" s="525" t="s">
        <v>1124</v>
      </c>
      <c r="AN53" s="528">
        <v>0</v>
      </c>
      <c r="AO53" s="528">
        <v>0</v>
      </c>
      <c r="AP53" s="528">
        <v>0</v>
      </c>
      <c r="AQ53" s="528">
        <v>0</v>
      </c>
      <c r="AR53" s="528">
        <v>0</v>
      </c>
      <c r="AS53" s="528">
        <v>0</v>
      </c>
      <c r="AT53" s="528">
        <v>0</v>
      </c>
      <c r="AU53" s="528">
        <v>0</v>
      </c>
      <c r="AV53" s="528">
        <v>0</v>
      </c>
      <c r="AW53" s="528">
        <v>0</v>
      </c>
      <c r="AX53" s="528">
        <v>0</v>
      </c>
      <c r="AY53" s="528">
        <v>0</v>
      </c>
      <c r="AZ53" s="528"/>
      <c r="BA53" s="528" t="s">
        <v>1145</v>
      </c>
      <c r="BB53" s="528"/>
      <c r="BC53" s="528" t="s">
        <v>1145</v>
      </c>
      <c r="BD53" s="528"/>
      <c r="BE53" s="528"/>
      <c r="BF53" s="528"/>
      <c r="BG53" s="529"/>
      <c r="BH53" s="525"/>
      <c r="BI53" s="528"/>
      <c r="BJ53" s="528" t="s">
        <v>4</v>
      </c>
      <c r="BK53" s="528"/>
      <c r="BL53" s="529"/>
      <c r="BM53" s="529" t="s">
        <v>1214</v>
      </c>
      <c r="BN53" s="525" t="s">
        <v>408</v>
      </c>
    </row>
    <row r="54" spans="1:66" ht="13" customHeight="1" x14ac:dyDescent="0.2">
      <c r="A54" s="525">
        <v>2117</v>
      </c>
      <c r="B54" s="582">
        <v>44574</v>
      </c>
      <c r="C54" s="526" t="s">
        <v>1138</v>
      </c>
      <c r="D54" s="525" t="s">
        <v>1110</v>
      </c>
      <c r="E54" s="527">
        <v>44574</v>
      </c>
      <c r="F54" s="529" t="s">
        <v>1156</v>
      </c>
      <c r="G54" s="525" t="s">
        <v>1157</v>
      </c>
      <c r="H54" s="579">
        <v>87.1</v>
      </c>
      <c r="I54" s="531" t="s">
        <v>296</v>
      </c>
      <c r="J54" s="485">
        <v>1645</v>
      </c>
      <c r="K54" s="485">
        <v>3000</v>
      </c>
      <c r="L54" s="485">
        <v>3000</v>
      </c>
      <c r="M54" s="485">
        <v>3000</v>
      </c>
      <c r="N54" s="525"/>
      <c r="O54" s="406">
        <v>3.5181818181818181</v>
      </c>
      <c r="P54" s="406">
        <v>2.6727272727272724</v>
      </c>
      <c r="Q54" s="406">
        <v>0</v>
      </c>
      <c r="R54" s="406">
        <v>0</v>
      </c>
      <c r="S54" s="406">
        <v>2.1909090909090909</v>
      </c>
      <c r="T54" s="580"/>
      <c r="U54" s="406">
        <v>3.5181818181818181</v>
      </c>
      <c r="V54" s="406">
        <v>2.6727272727272724</v>
      </c>
      <c r="W54" s="406">
        <v>0</v>
      </c>
      <c r="X54" s="406">
        <v>0</v>
      </c>
      <c r="Y54" s="406">
        <v>2.1909090909090909</v>
      </c>
      <c r="Z54" s="580"/>
      <c r="AA54" s="580"/>
      <c r="AB54" s="580"/>
      <c r="AC54" s="580"/>
      <c r="AD54" s="580"/>
      <c r="AE54" s="580"/>
      <c r="AF54" s="580"/>
      <c r="AG54" s="528" t="s">
        <v>1145</v>
      </c>
      <c r="AH54" s="528"/>
      <c r="AI54" s="528">
        <v>3</v>
      </c>
      <c r="AJ54" s="528">
        <v>3</v>
      </c>
      <c r="AK54" s="480">
        <v>0.5</v>
      </c>
      <c r="AL54" s="480">
        <v>0.5</v>
      </c>
      <c r="AM54" s="525"/>
      <c r="AN54" s="528">
        <v>24</v>
      </c>
      <c r="AO54" s="528">
        <v>0</v>
      </c>
      <c r="AP54" s="528">
        <v>0</v>
      </c>
      <c r="AQ54" s="528">
        <v>0</v>
      </c>
      <c r="AR54" s="528">
        <v>0</v>
      </c>
      <c r="AS54" s="528">
        <v>0</v>
      </c>
      <c r="AT54" s="528">
        <v>0</v>
      </c>
      <c r="AU54" s="528">
        <v>0</v>
      </c>
      <c r="AV54" s="528">
        <v>0</v>
      </c>
      <c r="AW54" s="528">
        <v>0</v>
      </c>
      <c r="AX54" s="528">
        <v>0</v>
      </c>
      <c r="AY54" s="528">
        <v>0</v>
      </c>
      <c r="AZ54" s="566">
        <v>12</v>
      </c>
      <c r="BA54" s="528" t="s">
        <v>1145</v>
      </c>
      <c r="BB54" s="528">
        <v>12</v>
      </c>
      <c r="BC54" s="528" t="s">
        <v>1145</v>
      </c>
      <c r="BD54" s="528"/>
      <c r="BE54" s="528">
        <v>12</v>
      </c>
      <c r="BF54" s="528"/>
      <c r="BG54" s="529" t="s">
        <v>1622</v>
      </c>
      <c r="BH54" s="525" t="s">
        <v>365</v>
      </c>
      <c r="BI54" s="528">
        <v>25</v>
      </c>
      <c r="BJ54" s="528" t="s">
        <v>1146</v>
      </c>
      <c r="BK54" s="528"/>
      <c r="BL54" s="529" t="s">
        <v>1623</v>
      </c>
      <c r="BM54" s="525" t="s">
        <v>430</v>
      </c>
      <c r="BN54" s="525" t="s">
        <v>408</v>
      </c>
    </row>
    <row r="55" spans="1:66" ht="13" customHeight="1" x14ac:dyDescent="0.2">
      <c r="A55" s="525">
        <v>2870</v>
      </c>
      <c r="B55" s="581">
        <v>44575</v>
      </c>
      <c r="C55" s="526" t="s">
        <v>1138</v>
      </c>
      <c r="D55" s="525" t="s">
        <v>1110</v>
      </c>
      <c r="E55" s="527">
        <v>44546</v>
      </c>
      <c r="F55" s="529" t="s">
        <v>1159</v>
      </c>
      <c r="G55" s="525" t="s">
        <v>1105</v>
      </c>
      <c r="H55" s="579">
        <v>68.900000000000006</v>
      </c>
      <c r="I55" s="531" t="s">
        <v>296</v>
      </c>
      <c r="J55" s="485">
        <v>1645</v>
      </c>
      <c r="K55" s="485">
        <v>3000</v>
      </c>
      <c r="L55" s="485">
        <v>3000</v>
      </c>
      <c r="M55" s="485">
        <v>3000</v>
      </c>
      <c r="N55" s="525"/>
      <c r="O55" s="406">
        <v>2.0818181818181816</v>
      </c>
      <c r="P55" s="406">
        <v>1.9818181818181817</v>
      </c>
      <c r="Q55" s="406">
        <v>0</v>
      </c>
      <c r="R55" s="406">
        <v>0</v>
      </c>
      <c r="S55" s="406">
        <v>1.8454545454545452</v>
      </c>
      <c r="T55" s="580"/>
      <c r="U55" s="406">
        <v>2.0818181818181816</v>
      </c>
      <c r="V55" s="406">
        <v>1.9818181818181817</v>
      </c>
      <c r="W55" s="406">
        <v>0</v>
      </c>
      <c r="X55" s="406">
        <v>0</v>
      </c>
      <c r="Y55" s="406">
        <v>1.8454545454545452</v>
      </c>
      <c r="Z55" s="580"/>
      <c r="AA55" s="580"/>
      <c r="AB55" s="580"/>
      <c r="AC55" s="580"/>
      <c r="AD55" s="580"/>
      <c r="AE55" s="580"/>
      <c r="AF55" s="580"/>
      <c r="AG55" s="528" t="s">
        <v>1278</v>
      </c>
      <c r="AH55" s="528"/>
      <c r="AI55" s="528">
        <v>3</v>
      </c>
      <c r="AJ55" s="528">
        <v>3</v>
      </c>
      <c r="AK55" s="480">
        <v>0.5</v>
      </c>
      <c r="AL55" s="480">
        <v>0.5</v>
      </c>
      <c r="AM55" s="525"/>
      <c r="AN55" s="528">
        <v>0</v>
      </c>
      <c r="AO55" s="528">
        <v>0</v>
      </c>
      <c r="AP55" s="528">
        <v>0</v>
      </c>
      <c r="AQ55" s="528">
        <v>0</v>
      </c>
      <c r="AR55" s="528">
        <v>0</v>
      </c>
      <c r="AS55" s="528">
        <v>0</v>
      </c>
      <c r="AT55" s="528">
        <v>0</v>
      </c>
      <c r="AU55" s="528">
        <v>0</v>
      </c>
      <c r="AV55" s="528">
        <v>0</v>
      </c>
      <c r="AW55" s="528">
        <v>0</v>
      </c>
      <c r="AX55" s="528">
        <v>0</v>
      </c>
      <c r="AY55" s="528">
        <v>0</v>
      </c>
      <c r="AZ55" s="528"/>
      <c r="BA55" s="528" t="s">
        <v>1145</v>
      </c>
      <c r="BB55" s="528"/>
      <c r="BC55" s="528" t="s">
        <v>1145</v>
      </c>
      <c r="BD55" s="528"/>
      <c r="BE55" s="528"/>
      <c r="BF55" s="564">
        <v>45169</v>
      </c>
      <c r="BG55" s="529"/>
      <c r="BH55" s="525"/>
      <c r="BI55" s="528"/>
      <c r="BJ55" s="528" t="s">
        <v>1146</v>
      </c>
      <c r="BK55" s="528"/>
      <c r="BL55" s="529"/>
      <c r="BM55" s="529" t="s">
        <v>430</v>
      </c>
      <c r="BN55" s="525" t="s">
        <v>408</v>
      </c>
    </row>
    <row r="56" spans="1:66" ht="13" customHeight="1" x14ac:dyDescent="0.2">
      <c r="A56" s="525">
        <v>316</v>
      </c>
      <c r="B56" s="581">
        <v>44573</v>
      </c>
      <c r="C56" s="526" t="s">
        <v>10</v>
      </c>
      <c r="D56" s="525" t="s">
        <v>1110</v>
      </c>
      <c r="E56" s="527">
        <v>44287</v>
      </c>
      <c r="F56" s="525" t="s">
        <v>24</v>
      </c>
      <c r="G56" s="525" t="s">
        <v>20</v>
      </c>
      <c r="H56" s="579">
        <v>79.2</v>
      </c>
      <c r="I56" s="531" t="s">
        <v>296</v>
      </c>
      <c r="J56" s="485">
        <v>1645</v>
      </c>
      <c r="K56" s="485">
        <v>3000</v>
      </c>
      <c r="L56" s="485">
        <v>3000</v>
      </c>
      <c r="M56" s="485">
        <v>3000</v>
      </c>
      <c r="N56" s="525"/>
      <c r="O56" s="406">
        <v>2.5999999999999996</v>
      </c>
      <c r="P56" s="406">
        <v>2.1999999999999997</v>
      </c>
      <c r="Q56" s="406">
        <v>0</v>
      </c>
      <c r="R56" s="406">
        <v>0</v>
      </c>
      <c r="S56" s="406">
        <v>1.8999999999999997</v>
      </c>
      <c r="T56" s="580"/>
      <c r="U56" s="406">
        <v>2.4</v>
      </c>
      <c r="V56" s="406">
        <v>2</v>
      </c>
      <c r="W56" s="406">
        <v>0</v>
      </c>
      <c r="X56" s="406">
        <v>0</v>
      </c>
      <c r="Y56" s="406">
        <v>1.7</v>
      </c>
      <c r="Z56" s="580"/>
      <c r="AA56" s="580"/>
      <c r="AB56" s="580"/>
      <c r="AC56" s="580"/>
      <c r="AD56" s="580"/>
      <c r="AE56" s="580"/>
      <c r="AF56" s="580"/>
      <c r="AG56" s="528" t="s">
        <v>1116</v>
      </c>
      <c r="AH56" s="528" t="s">
        <v>1117</v>
      </c>
      <c r="AI56" s="528">
        <v>2</v>
      </c>
      <c r="AJ56" s="528">
        <v>4</v>
      </c>
      <c r="AK56" s="483">
        <v>0.33329999999999999</v>
      </c>
      <c r="AL56" s="483">
        <v>0.66659999999999997</v>
      </c>
      <c r="AM56" s="525" t="s">
        <v>1124</v>
      </c>
      <c r="AN56" s="528">
        <v>0</v>
      </c>
      <c r="AO56" s="528">
        <v>0</v>
      </c>
      <c r="AP56" s="528">
        <v>0</v>
      </c>
      <c r="AQ56" s="528">
        <v>0</v>
      </c>
      <c r="AR56" s="528">
        <v>0</v>
      </c>
      <c r="AS56" s="528">
        <v>0</v>
      </c>
      <c r="AT56" s="528">
        <v>0</v>
      </c>
      <c r="AU56" s="528">
        <v>0</v>
      </c>
      <c r="AV56" s="528">
        <v>0</v>
      </c>
      <c r="AW56" s="528">
        <v>0</v>
      </c>
      <c r="AX56" s="528">
        <v>0</v>
      </c>
      <c r="AY56" s="528">
        <v>0</v>
      </c>
      <c r="AZ56" s="528"/>
      <c r="BA56" s="528" t="s">
        <v>38</v>
      </c>
      <c r="BB56" s="528"/>
      <c r="BC56" s="528" t="s">
        <v>38</v>
      </c>
      <c r="BD56" s="528"/>
      <c r="BE56" s="528"/>
      <c r="BF56" s="528"/>
      <c r="BG56" s="529"/>
      <c r="BH56" s="525"/>
      <c r="BI56" s="528"/>
      <c r="BJ56" s="528" t="s">
        <v>4</v>
      </c>
      <c r="BK56" s="528"/>
      <c r="BL56" s="297"/>
      <c r="BM56" s="297" t="s">
        <v>1583</v>
      </c>
      <c r="BN56" s="525" t="s">
        <v>368</v>
      </c>
    </row>
    <row r="57" spans="1:66" ht="13" customHeight="1" x14ac:dyDescent="0.2">
      <c r="A57" s="525">
        <v>2845</v>
      </c>
      <c r="B57" s="581">
        <v>44573</v>
      </c>
      <c r="C57" s="526" t="s">
        <v>1138</v>
      </c>
      <c r="D57" s="525" t="s">
        <v>1110</v>
      </c>
      <c r="E57" s="527">
        <v>44562</v>
      </c>
      <c r="F57" s="529" t="s">
        <v>1166</v>
      </c>
      <c r="G57" s="525" t="s">
        <v>1478</v>
      </c>
      <c r="H57" s="579">
        <v>66.818181818181813</v>
      </c>
      <c r="I57" s="531" t="s">
        <v>296</v>
      </c>
      <c r="J57" s="568">
        <v>6000</v>
      </c>
      <c r="K57" s="568">
        <v>12000</v>
      </c>
      <c r="L57" s="568">
        <v>12000</v>
      </c>
      <c r="M57" s="568">
        <v>12000</v>
      </c>
      <c r="N57" s="525"/>
      <c r="O57" s="406">
        <v>2.2727272727272725</v>
      </c>
      <c r="P57" s="406">
        <v>2.1</v>
      </c>
      <c r="Q57" s="406">
        <v>0</v>
      </c>
      <c r="R57" s="406">
        <v>0</v>
      </c>
      <c r="S57" s="406">
        <v>1.8181818181818181</v>
      </c>
      <c r="T57" s="580"/>
      <c r="U57" s="406">
        <v>2.2727272727272725</v>
      </c>
      <c r="V57" s="406">
        <v>2.1</v>
      </c>
      <c r="W57" s="406">
        <v>0</v>
      </c>
      <c r="X57" s="406">
        <v>0</v>
      </c>
      <c r="Y57" s="406">
        <v>1.8181818181818181</v>
      </c>
      <c r="Z57" s="580"/>
      <c r="AA57" s="580"/>
      <c r="AB57" s="580"/>
      <c r="AC57" s="580"/>
      <c r="AD57" s="580"/>
      <c r="AE57" s="580"/>
      <c r="AF57" s="580"/>
      <c r="AG57" s="528" t="s">
        <v>1145</v>
      </c>
      <c r="AH57" s="528"/>
      <c r="AI57" s="528">
        <v>3</v>
      </c>
      <c r="AJ57" s="528">
        <v>3</v>
      </c>
      <c r="AK57" s="480">
        <v>0.5</v>
      </c>
      <c r="AL57" s="480">
        <v>0.5</v>
      </c>
      <c r="AM57" s="525"/>
      <c r="AN57" s="528">
        <v>0</v>
      </c>
      <c r="AO57" s="528">
        <v>0</v>
      </c>
      <c r="AP57" s="528">
        <v>0</v>
      </c>
      <c r="AQ57" s="528">
        <v>0</v>
      </c>
      <c r="AR57" s="528">
        <v>0</v>
      </c>
      <c r="AS57" s="528">
        <v>0</v>
      </c>
      <c r="AT57" s="528">
        <v>0</v>
      </c>
      <c r="AU57" s="528">
        <v>0</v>
      </c>
      <c r="AV57" s="528">
        <v>0</v>
      </c>
      <c r="AW57" s="528">
        <v>0</v>
      </c>
      <c r="AX57" s="528">
        <v>0</v>
      </c>
      <c r="AY57" s="528">
        <v>0</v>
      </c>
      <c r="AZ57" s="528"/>
      <c r="BA57" s="528" t="s">
        <v>1145</v>
      </c>
      <c r="BB57" s="528">
        <v>12</v>
      </c>
      <c r="BC57" s="528" t="s">
        <v>1145</v>
      </c>
      <c r="BD57" s="528"/>
      <c r="BE57" s="528">
        <v>12</v>
      </c>
      <c r="BF57" s="528"/>
      <c r="BG57" s="529"/>
      <c r="BH57" s="525"/>
      <c r="BI57" s="528"/>
      <c r="BJ57" s="528" t="s">
        <v>1146</v>
      </c>
      <c r="BK57" s="528"/>
      <c r="BL57" s="529"/>
      <c r="BM57" s="525" t="s">
        <v>1633</v>
      </c>
      <c r="BN57" s="525" t="s">
        <v>408</v>
      </c>
    </row>
    <row r="58" spans="1:66" ht="13" customHeight="1" x14ac:dyDescent="0.2">
      <c r="A58" s="525">
        <v>2398</v>
      </c>
      <c r="B58" s="581">
        <v>44575</v>
      </c>
      <c r="C58" s="526" t="s">
        <v>1138</v>
      </c>
      <c r="D58" s="525" t="s">
        <v>1110</v>
      </c>
      <c r="E58" s="570">
        <v>44546</v>
      </c>
      <c r="F58" s="529" t="s">
        <v>1168</v>
      </c>
      <c r="G58" s="525" t="s">
        <v>1297</v>
      </c>
      <c r="H58" s="579">
        <v>65.518181818181802</v>
      </c>
      <c r="I58" s="531" t="s">
        <v>296</v>
      </c>
      <c r="J58" s="485">
        <v>1645</v>
      </c>
      <c r="K58" s="485">
        <v>3000</v>
      </c>
      <c r="L58" s="485">
        <v>3000</v>
      </c>
      <c r="M58" s="485">
        <v>3000</v>
      </c>
      <c r="N58" s="525"/>
      <c r="O58" s="406">
        <v>2.4090909090909087</v>
      </c>
      <c r="P58" s="406">
        <v>2.2909090909090906</v>
      </c>
      <c r="Q58" s="406">
        <v>0</v>
      </c>
      <c r="R58" s="406">
        <v>0</v>
      </c>
      <c r="S58" s="406">
        <v>1.6454545454545453</v>
      </c>
      <c r="T58" s="580"/>
      <c r="U58" s="406">
        <v>2.4090909090909087</v>
      </c>
      <c r="V58" s="406">
        <v>2.2909090909090906</v>
      </c>
      <c r="W58" s="406">
        <v>0</v>
      </c>
      <c r="X58" s="406">
        <v>0</v>
      </c>
      <c r="Y58" s="406">
        <v>1.6454545454545453</v>
      </c>
      <c r="Z58" s="580"/>
      <c r="AA58" s="580"/>
      <c r="AB58" s="580"/>
      <c r="AC58" s="580"/>
      <c r="AD58" s="580"/>
      <c r="AE58" s="580"/>
      <c r="AF58" s="580"/>
      <c r="AG58" s="528" t="s">
        <v>1145</v>
      </c>
      <c r="AH58" s="528"/>
      <c r="AI58" s="528">
        <v>3</v>
      </c>
      <c r="AJ58" s="528">
        <v>3</v>
      </c>
      <c r="AK58" s="480">
        <v>0.5</v>
      </c>
      <c r="AL58" s="480">
        <v>0.5</v>
      </c>
      <c r="AM58" s="525"/>
      <c r="AN58" s="528">
        <v>0</v>
      </c>
      <c r="AO58" s="528">
        <v>0</v>
      </c>
      <c r="AP58" s="528">
        <v>0</v>
      </c>
      <c r="AQ58" s="528">
        <v>0</v>
      </c>
      <c r="AR58" s="528">
        <v>0</v>
      </c>
      <c r="AS58" s="528">
        <v>0</v>
      </c>
      <c r="AT58" s="528">
        <v>0</v>
      </c>
      <c r="AU58" s="528">
        <v>0</v>
      </c>
      <c r="AV58" s="528">
        <v>0</v>
      </c>
      <c r="AW58" s="528">
        <v>0</v>
      </c>
      <c r="AX58" s="528">
        <v>0</v>
      </c>
      <c r="AY58" s="528">
        <v>0</v>
      </c>
      <c r="AZ58" s="528"/>
      <c r="BA58" s="528" t="s">
        <v>1145</v>
      </c>
      <c r="BB58" s="528"/>
      <c r="BC58" s="528" t="s">
        <v>1145</v>
      </c>
      <c r="BD58" s="528"/>
      <c r="BE58" s="528"/>
      <c r="BF58" s="528"/>
      <c r="BG58" s="529"/>
      <c r="BH58" s="525"/>
      <c r="BI58" s="528"/>
      <c r="BJ58" s="528" t="s">
        <v>1146</v>
      </c>
      <c r="BK58" s="528"/>
      <c r="BL58" s="529"/>
      <c r="BM58" s="529" t="s">
        <v>430</v>
      </c>
      <c r="BN58" s="525" t="s">
        <v>408</v>
      </c>
    </row>
    <row r="59" spans="1:66" ht="13" customHeight="1" x14ac:dyDescent="0.2">
      <c r="A59" s="525">
        <v>602</v>
      </c>
      <c r="B59" s="581">
        <v>44575</v>
      </c>
      <c r="C59" s="526" t="s">
        <v>1138</v>
      </c>
      <c r="D59" s="525" t="s">
        <v>1110</v>
      </c>
      <c r="E59" s="570">
        <v>44562</v>
      </c>
      <c r="F59" s="529" t="s">
        <v>1169</v>
      </c>
      <c r="G59" s="525" t="s">
        <v>1617</v>
      </c>
      <c r="H59" s="579">
        <v>77.172727272727272</v>
      </c>
      <c r="I59" s="531" t="s">
        <v>296</v>
      </c>
      <c r="J59" s="485">
        <v>1645</v>
      </c>
      <c r="K59" s="485">
        <v>3000</v>
      </c>
      <c r="L59" s="485">
        <v>3000</v>
      </c>
      <c r="M59" s="485">
        <v>3000</v>
      </c>
      <c r="N59" s="525"/>
      <c r="O59" s="406">
        <v>3.6545454545454539</v>
      </c>
      <c r="P59" s="406">
        <v>3.0727272727272723</v>
      </c>
      <c r="Q59" s="406">
        <v>0</v>
      </c>
      <c r="R59" s="406">
        <v>0</v>
      </c>
      <c r="S59" s="406">
        <v>2.5727272727272728</v>
      </c>
      <c r="T59" s="580"/>
      <c r="U59" s="406">
        <v>3.6545454545454539</v>
      </c>
      <c r="V59" s="406">
        <v>3.0727272727272723</v>
      </c>
      <c r="W59" s="406">
        <v>0</v>
      </c>
      <c r="X59" s="406">
        <v>0</v>
      </c>
      <c r="Y59" s="406">
        <v>2.5727272727272728</v>
      </c>
      <c r="Z59" s="580"/>
      <c r="AA59" s="580"/>
      <c r="AB59" s="580"/>
      <c r="AC59" s="580"/>
      <c r="AD59" s="580"/>
      <c r="AE59" s="580"/>
      <c r="AF59" s="580"/>
      <c r="AG59" s="528" t="s">
        <v>1145</v>
      </c>
      <c r="AH59" s="528"/>
      <c r="AI59" s="528">
        <v>3</v>
      </c>
      <c r="AJ59" s="528">
        <v>3</v>
      </c>
      <c r="AK59" s="480">
        <v>0.5</v>
      </c>
      <c r="AL59" s="480">
        <v>0.5</v>
      </c>
      <c r="AM59" s="525"/>
      <c r="AN59" s="528">
        <v>32</v>
      </c>
      <c r="AO59" s="528">
        <v>0</v>
      </c>
      <c r="AP59" s="528">
        <v>0</v>
      </c>
      <c r="AQ59" s="528">
        <v>0</v>
      </c>
      <c r="AR59" s="528">
        <v>0</v>
      </c>
      <c r="AS59" s="528">
        <v>0</v>
      </c>
      <c r="AT59" s="528">
        <v>0</v>
      </c>
      <c r="AU59" s="528">
        <v>0</v>
      </c>
      <c r="AV59" s="528">
        <v>0</v>
      </c>
      <c r="AW59" s="528">
        <v>0</v>
      </c>
      <c r="AX59" s="528">
        <v>0</v>
      </c>
      <c r="AY59" s="528">
        <v>0</v>
      </c>
      <c r="AZ59" s="528"/>
      <c r="BA59" s="528" t="s">
        <v>1145</v>
      </c>
      <c r="BB59" s="528"/>
      <c r="BC59" s="528" t="s">
        <v>1145</v>
      </c>
      <c r="BD59" s="528"/>
      <c r="BE59" s="528"/>
      <c r="BF59" s="528"/>
      <c r="BG59" s="529"/>
      <c r="BH59" s="525"/>
      <c r="BI59" s="528"/>
      <c r="BJ59" s="528" t="s">
        <v>1146</v>
      </c>
      <c r="BK59" s="528"/>
      <c r="BL59" s="529" t="s">
        <v>1626</v>
      </c>
      <c r="BM59" s="529" t="s">
        <v>430</v>
      </c>
      <c r="BN59" s="525" t="s">
        <v>408</v>
      </c>
    </row>
    <row r="60" spans="1:66" ht="13" customHeight="1" x14ac:dyDescent="0.2">
      <c r="A60" s="525">
        <v>1686</v>
      </c>
      <c r="B60" s="582">
        <v>44577</v>
      </c>
      <c r="C60" s="526" t="s">
        <v>295</v>
      </c>
      <c r="D60" s="525" t="s">
        <v>1110</v>
      </c>
      <c r="E60" s="527">
        <v>44563</v>
      </c>
      <c r="F60" s="529" t="s">
        <v>1106</v>
      </c>
      <c r="G60" s="525" t="s">
        <v>2</v>
      </c>
      <c r="H60" s="579">
        <v>59.999999999999993</v>
      </c>
      <c r="I60" s="531" t="s">
        <v>296</v>
      </c>
      <c r="J60" s="525">
        <v>3000</v>
      </c>
      <c r="K60" s="525">
        <v>3000</v>
      </c>
      <c r="L60" s="525">
        <v>3000</v>
      </c>
      <c r="M60" s="525">
        <v>3000</v>
      </c>
      <c r="N60" s="525"/>
      <c r="O60" s="406">
        <v>2.2545454545454544</v>
      </c>
      <c r="P60" s="406">
        <v>0</v>
      </c>
      <c r="Q60" s="406">
        <v>0</v>
      </c>
      <c r="R60" s="406">
        <v>0</v>
      </c>
      <c r="S60" s="406">
        <v>1.7545454545454544</v>
      </c>
      <c r="T60" s="580"/>
      <c r="U60" s="406">
        <v>2.2545454545454544</v>
      </c>
      <c r="V60" s="406">
        <v>0</v>
      </c>
      <c r="W60" s="406">
        <v>0</v>
      </c>
      <c r="X60" s="406">
        <v>0</v>
      </c>
      <c r="Y60" s="406">
        <v>1.7545454545454544</v>
      </c>
      <c r="Z60" s="580"/>
      <c r="AA60" s="580"/>
      <c r="AB60" s="580"/>
      <c r="AC60" s="580"/>
      <c r="AD60" s="580"/>
      <c r="AE60" s="580"/>
      <c r="AF60" s="580"/>
      <c r="AG60" s="528" t="s">
        <v>1145</v>
      </c>
      <c r="AH60" s="528"/>
      <c r="AI60" s="528">
        <v>3</v>
      </c>
      <c r="AJ60" s="528">
        <v>3</v>
      </c>
      <c r="AK60" s="480">
        <v>0.5</v>
      </c>
      <c r="AL60" s="480">
        <v>0.5</v>
      </c>
      <c r="AM60" s="525"/>
      <c r="AN60" s="528">
        <v>0</v>
      </c>
      <c r="AO60" s="528">
        <v>0</v>
      </c>
      <c r="AP60" s="528">
        <v>0</v>
      </c>
      <c r="AQ60" s="528">
        <v>0</v>
      </c>
      <c r="AR60" s="528">
        <v>0</v>
      </c>
      <c r="AS60" s="528">
        <v>0</v>
      </c>
      <c r="AT60" s="528">
        <v>0</v>
      </c>
      <c r="AU60" s="528">
        <v>0</v>
      </c>
      <c r="AV60" s="528">
        <v>0</v>
      </c>
      <c r="AW60" s="528">
        <v>0</v>
      </c>
      <c r="AX60" s="528">
        <v>0</v>
      </c>
      <c r="AY60" s="528">
        <v>0</v>
      </c>
      <c r="AZ60" s="528"/>
      <c r="BA60" s="528" t="s">
        <v>1145</v>
      </c>
      <c r="BB60" s="528"/>
      <c r="BC60" s="528" t="s">
        <v>1145</v>
      </c>
      <c r="BD60" s="528"/>
      <c r="BE60" s="528"/>
      <c r="BF60" s="529"/>
      <c r="BG60" s="525"/>
      <c r="BH60" s="528"/>
      <c r="BI60" s="528"/>
      <c r="BJ60" s="528" t="s">
        <v>1146</v>
      </c>
      <c r="BK60" s="528">
        <v>1</v>
      </c>
      <c r="BL60" s="525"/>
      <c r="BM60" s="529" t="s">
        <v>430</v>
      </c>
      <c r="BN60" s="525" t="s">
        <v>408</v>
      </c>
    </row>
    <row r="61" spans="1:66" ht="13" customHeight="1" x14ac:dyDescent="0.2">
      <c r="A61" s="525">
        <v>2896</v>
      </c>
      <c r="B61" s="581">
        <v>44575</v>
      </c>
      <c r="C61" s="526" t="s">
        <v>1138</v>
      </c>
      <c r="D61" s="525" t="s">
        <v>1110</v>
      </c>
      <c r="E61" s="527">
        <v>44228</v>
      </c>
      <c r="F61" s="525" t="s">
        <v>34</v>
      </c>
      <c r="G61" s="525" t="s">
        <v>1181</v>
      </c>
      <c r="H61" s="579">
        <v>67.909090909090907</v>
      </c>
      <c r="I61" s="394"/>
      <c r="J61" s="409"/>
      <c r="K61" s="332"/>
      <c r="L61" s="332"/>
      <c r="M61" s="332"/>
      <c r="N61" s="332"/>
      <c r="O61" s="406">
        <v>1.7999999999999998</v>
      </c>
      <c r="P61" s="406">
        <v>0</v>
      </c>
      <c r="Q61" s="406">
        <v>0</v>
      </c>
      <c r="R61" s="406">
        <v>0</v>
      </c>
      <c r="S61" s="406">
        <v>0</v>
      </c>
      <c r="T61" s="580"/>
      <c r="U61" s="406">
        <v>1.7999999999999998</v>
      </c>
      <c r="V61" s="406">
        <v>0</v>
      </c>
      <c r="W61" s="406">
        <v>0</v>
      </c>
      <c r="X61" s="406">
        <v>0</v>
      </c>
      <c r="Y61" s="406">
        <v>0</v>
      </c>
      <c r="Z61" s="580"/>
      <c r="AA61" s="580"/>
      <c r="AB61" s="580"/>
      <c r="AC61" s="580"/>
      <c r="AD61" s="580"/>
      <c r="AE61" s="580"/>
      <c r="AF61" s="580"/>
      <c r="AG61" s="333" t="s">
        <v>1145</v>
      </c>
      <c r="AH61" s="333"/>
      <c r="AI61" s="528">
        <v>3</v>
      </c>
      <c r="AJ61" s="528">
        <v>3</v>
      </c>
      <c r="AK61" s="480">
        <v>0.5</v>
      </c>
      <c r="AL61" s="480">
        <v>0.5</v>
      </c>
      <c r="AM61" s="525"/>
      <c r="AN61" s="528">
        <v>0</v>
      </c>
      <c r="AO61" s="528">
        <v>0</v>
      </c>
      <c r="AP61" s="528">
        <v>0</v>
      </c>
      <c r="AQ61" s="528">
        <v>0</v>
      </c>
      <c r="AR61" s="528">
        <v>0</v>
      </c>
      <c r="AS61" s="528">
        <v>0</v>
      </c>
      <c r="AT61" s="528">
        <v>0</v>
      </c>
      <c r="AU61" s="528">
        <v>0</v>
      </c>
      <c r="AV61" s="528">
        <v>0</v>
      </c>
      <c r="AW61" s="528">
        <v>0</v>
      </c>
      <c r="AX61" s="528">
        <v>0</v>
      </c>
      <c r="AY61" s="528">
        <v>0</v>
      </c>
      <c r="AZ61" s="528"/>
      <c r="BA61" s="528" t="s">
        <v>1145</v>
      </c>
      <c r="BB61" s="528"/>
      <c r="BC61" s="528" t="s">
        <v>1145</v>
      </c>
      <c r="BD61" s="528"/>
      <c r="BE61" s="528"/>
      <c r="BF61" s="528"/>
      <c r="BG61" s="529"/>
      <c r="BH61" s="525"/>
      <c r="BI61" s="528"/>
      <c r="BJ61" s="528" t="s">
        <v>1164</v>
      </c>
      <c r="BK61" s="528"/>
      <c r="BL61" s="529" t="s">
        <v>1284</v>
      </c>
      <c r="BM61" s="525" t="s">
        <v>1558</v>
      </c>
      <c r="BN61" s="525" t="s">
        <v>368</v>
      </c>
    </row>
    <row r="62" spans="1:66" ht="13" customHeight="1" x14ac:dyDescent="0.2">
      <c r="A62" s="525">
        <v>2740</v>
      </c>
      <c r="B62" s="581">
        <v>44575</v>
      </c>
      <c r="C62" s="526" t="s">
        <v>1138</v>
      </c>
      <c r="D62" s="525" t="s">
        <v>1110</v>
      </c>
      <c r="E62" s="527">
        <v>44197</v>
      </c>
      <c r="F62" s="525" t="s">
        <v>1274</v>
      </c>
      <c r="G62" s="525" t="s">
        <v>1467</v>
      </c>
      <c r="H62" s="579">
        <v>72.999999999999986</v>
      </c>
      <c r="I62" s="394" t="s">
        <v>296</v>
      </c>
      <c r="J62" s="485">
        <v>1645</v>
      </c>
      <c r="K62" s="485">
        <v>3000</v>
      </c>
      <c r="L62" s="485">
        <v>3000</v>
      </c>
      <c r="M62" s="485">
        <v>3000</v>
      </c>
      <c r="N62" s="332"/>
      <c r="O62" s="406">
        <v>2.9272727272727272</v>
      </c>
      <c r="P62" s="406">
        <v>2.545454545454545</v>
      </c>
      <c r="Q62" s="406">
        <v>0</v>
      </c>
      <c r="R62" s="406">
        <v>0</v>
      </c>
      <c r="S62" s="406">
        <v>2.1818181818181817</v>
      </c>
      <c r="T62" s="580"/>
      <c r="U62" s="406">
        <v>2.9272727272727272</v>
      </c>
      <c r="V62" s="406">
        <v>2.545454545454545</v>
      </c>
      <c r="W62" s="406">
        <v>0</v>
      </c>
      <c r="X62" s="406">
        <v>0</v>
      </c>
      <c r="Y62" s="406">
        <v>2.1818181818181817</v>
      </c>
      <c r="Z62" s="580"/>
      <c r="AA62" s="580"/>
      <c r="AB62" s="580"/>
      <c r="AC62" s="580"/>
      <c r="AD62" s="580"/>
      <c r="AE62" s="580"/>
      <c r="AF62" s="580"/>
      <c r="AG62" s="333" t="s">
        <v>1145</v>
      </c>
      <c r="AH62" s="333"/>
      <c r="AI62" s="528">
        <v>3</v>
      </c>
      <c r="AJ62" s="528">
        <v>3</v>
      </c>
      <c r="AK62" s="480">
        <v>0.5</v>
      </c>
      <c r="AL62" s="480">
        <v>0.5</v>
      </c>
      <c r="AM62" s="525"/>
      <c r="AN62" s="528">
        <v>0</v>
      </c>
      <c r="AO62" s="528">
        <v>12</v>
      </c>
      <c r="AP62" s="528">
        <v>0</v>
      </c>
      <c r="AQ62" s="528">
        <v>3</v>
      </c>
      <c r="AR62" s="528">
        <v>0</v>
      </c>
      <c r="AS62" s="528">
        <v>0</v>
      </c>
      <c r="AT62" s="528">
        <v>0</v>
      </c>
      <c r="AU62" s="528">
        <v>0</v>
      </c>
      <c r="AV62" s="528">
        <v>0</v>
      </c>
      <c r="AW62" s="528">
        <v>0</v>
      </c>
      <c r="AX62" s="528">
        <v>0</v>
      </c>
      <c r="AY62" s="528">
        <v>0</v>
      </c>
      <c r="AZ62" s="528"/>
      <c r="BA62" s="528" t="s">
        <v>1145</v>
      </c>
      <c r="BB62" s="528"/>
      <c r="BC62" s="528" t="s">
        <v>1145</v>
      </c>
      <c r="BD62" s="528"/>
      <c r="BE62" s="528"/>
      <c r="BF62" s="528"/>
      <c r="BG62" s="529"/>
      <c r="BH62" s="525"/>
      <c r="BI62" s="528"/>
      <c r="BJ62" s="528" t="s">
        <v>1164</v>
      </c>
      <c r="BK62" s="528"/>
      <c r="BL62" s="529"/>
      <c r="BM62" s="529" t="s">
        <v>430</v>
      </c>
      <c r="BN62" s="525" t="s">
        <v>408</v>
      </c>
    </row>
    <row r="63" spans="1:66" ht="13" customHeight="1" x14ac:dyDescent="0.2">
      <c r="A63" s="525">
        <v>3322</v>
      </c>
      <c r="B63" s="581">
        <v>44573</v>
      </c>
      <c r="C63" s="526" t="s">
        <v>1138</v>
      </c>
      <c r="D63" s="525" t="s">
        <v>1110</v>
      </c>
      <c r="E63" s="570">
        <v>44562</v>
      </c>
      <c r="F63" s="525" t="s">
        <v>1291</v>
      </c>
      <c r="G63" s="525" t="s">
        <v>1618</v>
      </c>
      <c r="H63" s="579">
        <v>59.418181818181814</v>
      </c>
      <c r="I63" s="394"/>
      <c r="J63" s="409"/>
      <c r="K63" s="332"/>
      <c r="L63" s="332"/>
      <c r="M63" s="332"/>
      <c r="N63" s="332"/>
      <c r="O63" s="406">
        <v>1.9545454545454544</v>
      </c>
      <c r="P63" s="406">
        <v>0</v>
      </c>
      <c r="Q63" s="406">
        <v>0</v>
      </c>
      <c r="R63" s="406">
        <v>0</v>
      </c>
      <c r="S63" s="406">
        <v>0</v>
      </c>
      <c r="T63" s="580"/>
      <c r="U63" s="406">
        <v>1.9545454545454544</v>
      </c>
      <c r="V63" s="406">
        <v>0</v>
      </c>
      <c r="W63" s="406">
        <v>0</v>
      </c>
      <c r="X63" s="406">
        <v>0</v>
      </c>
      <c r="Y63" s="406">
        <v>0</v>
      </c>
      <c r="Z63" s="580"/>
      <c r="AA63" s="580"/>
      <c r="AB63" s="580"/>
      <c r="AC63" s="580"/>
      <c r="AD63" s="580"/>
      <c r="AE63" s="580"/>
      <c r="AF63" s="580"/>
      <c r="AG63" s="333" t="s">
        <v>1145</v>
      </c>
      <c r="AH63" s="333"/>
      <c r="AI63" s="528">
        <v>3</v>
      </c>
      <c r="AJ63" s="528">
        <v>3</v>
      </c>
      <c r="AK63" s="480">
        <v>0.5</v>
      </c>
      <c r="AL63" s="480">
        <v>0.5</v>
      </c>
      <c r="AM63" s="525"/>
      <c r="AN63" s="528">
        <v>0</v>
      </c>
      <c r="AO63" s="528">
        <v>0</v>
      </c>
      <c r="AP63" s="528">
        <v>0</v>
      </c>
      <c r="AQ63" s="528">
        <v>0</v>
      </c>
      <c r="AR63" s="528">
        <v>0</v>
      </c>
      <c r="AS63" s="528">
        <v>0</v>
      </c>
      <c r="AT63" s="528">
        <v>0</v>
      </c>
      <c r="AU63" s="528">
        <v>0</v>
      </c>
      <c r="AV63" s="528">
        <v>0</v>
      </c>
      <c r="AW63" s="528">
        <v>0</v>
      </c>
      <c r="AX63" s="528">
        <v>0</v>
      </c>
      <c r="AY63" s="528">
        <v>0</v>
      </c>
      <c r="AZ63" s="528"/>
      <c r="BA63" s="528" t="s">
        <v>1145</v>
      </c>
      <c r="BB63" s="528"/>
      <c r="BC63" s="528" t="s">
        <v>1145</v>
      </c>
      <c r="BD63" s="528"/>
      <c r="BE63" s="528"/>
      <c r="BF63" s="528"/>
      <c r="BG63" s="529"/>
      <c r="BH63" s="525"/>
      <c r="BI63" s="528"/>
      <c r="BJ63" s="528" t="s">
        <v>1164</v>
      </c>
      <c r="BK63" s="528"/>
      <c r="BL63" s="529" t="s">
        <v>1627</v>
      </c>
      <c r="BM63" s="525" t="s">
        <v>1634</v>
      </c>
      <c r="BN63" s="525" t="s">
        <v>1121</v>
      </c>
    </row>
    <row r="64" spans="1:66" ht="13" customHeight="1" x14ac:dyDescent="0.2">
      <c r="A64" s="525">
        <v>2931</v>
      </c>
      <c r="B64" s="581">
        <v>44574</v>
      </c>
      <c r="C64" s="526" t="s">
        <v>1138</v>
      </c>
      <c r="D64" s="525" t="s">
        <v>1110</v>
      </c>
      <c r="E64" s="527">
        <v>44452</v>
      </c>
      <c r="F64" s="525" t="s">
        <v>1483</v>
      </c>
      <c r="G64" s="525" t="s">
        <v>1550</v>
      </c>
      <c r="H64" s="579">
        <v>75</v>
      </c>
      <c r="I64" s="531" t="s">
        <v>296</v>
      </c>
      <c r="J64" s="485">
        <v>1645</v>
      </c>
      <c r="K64" s="485">
        <v>3000</v>
      </c>
      <c r="L64" s="485">
        <v>3000</v>
      </c>
      <c r="M64" s="485">
        <v>3000</v>
      </c>
      <c r="N64" s="332"/>
      <c r="O64" s="406">
        <v>1.6818181818181817</v>
      </c>
      <c r="P64" s="406">
        <v>1.4999999999999998</v>
      </c>
      <c r="Q64" s="406">
        <v>0</v>
      </c>
      <c r="R64" s="406">
        <v>0</v>
      </c>
      <c r="S64" s="406">
        <v>1.2818181818181817</v>
      </c>
      <c r="T64" s="580"/>
      <c r="U64" s="406">
        <v>1.6818181818181817</v>
      </c>
      <c r="V64" s="406">
        <v>1.4999999999999998</v>
      </c>
      <c r="W64" s="406">
        <v>0</v>
      </c>
      <c r="X64" s="406">
        <v>0</v>
      </c>
      <c r="Y64" s="406">
        <v>1.2818181818181817</v>
      </c>
      <c r="Z64" s="580"/>
      <c r="AA64" s="580"/>
      <c r="AB64" s="580"/>
      <c r="AC64" s="580"/>
      <c r="AD64" s="580"/>
      <c r="AE64" s="580"/>
      <c r="AF64" s="580"/>
      <c r="AG64" s="333" t="s">
        <v>1145</v>
      </c>
      <c r="AH64" s="333"/>
      <c r="AI64" s="528">
        <v>3</v>
      </c>
      <c r="AJ64" s="528">
        <v>3</v>
      </c>
      <c r="AK64" s="480">
        <v>0.5</v>
      </c>
      <c r="AL64" s="480">
        <v>0.5</v>
      </c>
      <c r="AM64" s="525"/>
      <c r="AN64" s="528">
        <v>0</v>
      </c>
      <c r="AO64" s="528">
        <v>0</v>
      </c>
      <c r="AP64" s="528">
        <v>0</v>
      </c>
      <c r="AQ64" s="528">
        <v>0</v>
      </c>
      <c r="AR64" s="528">
        <v>0</v>
      </c>
      <c r="AS64" s="528">
        <v>0</v>
      </c>
      <c r="AT64" s="528">
        <v>0</v>
      </c>
      <c r="AU64" s="528">
        <v>0</v>
      </c>
      <c r="AV64" s="528">
        <v>0</v>
      </c>
      <c r="AW64" s="528">
        <v>0</v>
      </c>
      <c r="AX64" s="528">
        <v>0</v>
      </c>
      <c r="AY64" s="528">
        <v>0</v>
      </c>
      <c r="AZ64" s="528"/>
      <c r="BA64" s="528" t="s">
        <v>1145</v>
      </c>
      <c r="BB64" s="528"/>
      <c r="BC64" s="528" t="s">
        <v>1145</v>
      </c>
      <c r="BD64" s="528"/>
      <c r="BE64" s="528">
        <v>12</v>
      </c>
      <c r="BF64" s="564"/>
      <c r="BG64" s="529"/>
      <c r="BH64" s="525"/>
      <c r="BI64" s="528"/>
      <c r="BJ64" s="528" t="s">
        <v>4</v>
      </c>
      <c r="BK64" s="528"/>
      <c r="BL64" s="529"/>
      <c r="BM64" s="525" t="s">
        <v>430</v>
      </c>
      <c r="BN64" s="525" t="s">
        <v>368</v>
      </c>
    </row>
    <row r="65" spans="1:66" ht="13" customHeight="1" x14ac:dyDescent="0.2">
      <c r="A65" s="525">
        <v>3235</v>
      </c>
      <c r="B65" s="581">
        <v>44573</v>
      </c>
      <c r="C65" s="526" t="s">
        <v>1138</v>
      </c>
      <c r="D65" s="525" t="s">
        <v>1110</v>
      </c>
      <c r="E65" s="527">
        <v>44562</v>
      </c>
      <c r="F65" s="529" t="s">
        <v>1619</v>
      </c>
      <c r="G65" s="525" t="s">
        <v>1620</v>
      </c>
      <c r="H65" s="579">
        <v>59.909090909090907</v>
      </c>
      <c r="I65" s="531" t="s">
        <v>296</v>
      </c>
      <c r="J65" s="485">
        <v>1645</v>
      </c>
      <c r="K65" s="485">
        <v>3000</v>
      </c>
      <c r="L65" s="485">
        <v>3000</v>
      </c>
      <c r="M65" s="485">
        <v>3000</v>
      </c>
      <c r="N65" s="332"/>
      <c r="O65" s="406">
        <v>2.627272727272727</v>
      </c>
      <c r="P65" s="406">
        <v>2.4909090909090907</v>
      </c>
      <c r="Q65" s="406">
        <v>0</v>
      </c>
      <c r="R65" s="406">
        <v>0</v>
      </c>
      <c r="S65" s="406">
        <v>1.9090909090909089</v>
      </c>
      <c r="T65" s="580"/>
      <c r="U65" s="406">
        <v>2.627272727272727</v>
      </c>
      <c r="V65" s="406">
        <v>2.4909090909090907</v>
      </c>
      <c r="W65" s="406">
        <v>0</v>
      </c>
      <c r="X65" s="406">
        <v>0</v>
      </c>
      <c r="Y65" s="406">
        <v>1.9090909090909089</v>
      </c>
      <c r="Z65" s="580"/>
      <c r="AA65" s="580"/>
      <c r="AB65" s="580"/>
      <c r="AC65" s="580"/>
      <c r="AD65" s="580"/>
      <c r="AE65" s="580"/>
      <c r="AF65" s="580"/>
      <c r="AG65" s="528" t="s">
        <v>1145</v>
      </c>
      <c r="AH65" s="528"/>
      <c r="AI65" s="528">
        <v>3</v>
      </c>
      <c r="AJ65" s="528">
        <v>3</v>
      </c>
      <c r="AK65" s="480">
        <v>0.5</v>
      </c>
      <c r="AL65" s="480">
        <v>0.5</v>
      </c>
      <c r="AM65" s="525"/>
      <c r="AN65" s="528">
        <v>0</v>
      </c>
      <c r="AO65" s="528">
        <v>22</v>
      </c>
      <c r="AP65" s="528">
        <v>0</v>
      </c>
      <c r="AQ65" s="528">
        <v>0</v>
      </c>
      <c r="AR65" s="528">
        <v>0</v>
      </c>
      <c r="AS65" s="528">
        <v>0</v>
      </c>
      <c r="AT65" s="528">
        <v>0</v>
      </c>
      <c r="AU65" s="528">
        <v>0</v>
      </c>
      <c r="AV65" s="528">
        <v>0</v>
      </c>
      <c r="AW65" s="528">
        <v>0</v>
      </c>
      <c r="AX65" s="528">
        <v>0</v>
      </c>
      <c r="AY65" s="528">
        <v>0</v>
      </c>
      <c r="AZ65" s="528"/>
      <c r="BA65" s="528" t="s">
        <v>1145</v>
      </c>
      <c r="BB65" s="528"/>
      <c r="BC65" s="528" t="s">
        <v>1145</v>
      </c>
      <c r="BD65" s="528"/>
      <c r="BE65" s="528"/>
      <c r="BF65" s="528"/>
      <c r="BG65" s="529"/>
      <c r="BH65" s="525"/>
      <c r="BI65" s="528"/>
      <c r="BJ65" s="528" t="s">
        <v>4</v>
      </c>
      <c r="BK65" s="528"/>
      <c r="BL65" s="529" t="s">
        <v>1629</v>
      </c>
      <c r="BM65" s="525" t="s">
        <v>1635</v>
      </c>
      <c r="BN65" s="525" t="s">
        <v>1121</v>
      </c>
    </row>
    <row r="66" spans="1:66" ht="13" customHeight="1" x14ac:dyDescent="0.2">
      <c r="A66" s="525">
        <v>3025</v>
      </c>
      <c r="B66" s="581">
        <v>44574</v>
      </c>
      <c r="C66" s="526" t="s">
        <v>295</v>
      </c>
      <c r="D66" s="525" t="s">
        <v>1111</v>
      </c>
      <c r="E66" s="527">
        <v>44562</v>
      </c>
      <c r="F66" s="529" t="s">
        <v>1044</v>
      </c>
      <c r="G66" s="525" t="s">
        <v>1562</v>
      </c>
      <c r="H66" s="579">
        <v>81.199999999999989</v>
      </c>
      <c r="I66" s="531" t="s">
        <v>296</v>
      </c>
      <c r="J66" s="485">
        <v>1645</v>
      </c>
      <c r="K66" s="485">
        <v>3000</v>
      </c>
      <c r="L66" s="485">
        <v>3000</v>
      </c>
      <c r="M66" s="485">
        <v>3000</v>
      </c>
      <c r="N66" s="525"/>
      <c r="O66" s="406">
        <v>2.5636363636363635</v>
      </c>
      <c r="P66" s="406">
        <v>2.336363636363636</v>
      </c>
      <c r="Q66" s="406">
        <v>0</v>
      </c>
      <c r="R66" s="406">
        <v>0</v>
      </c>
      <c r="S66" s="406">
        <v>1.7454545454545451</v>
      </c>
      <c r="T66" s="580"/>
      <c r="U66" s="406">
        <v>2.5636363636363635</v>
      </c>
      <c r="V66" s="406">
        <v>2.336363636363636</v>
      </c>
      <c r="W66" s="406">
        <v>0</v>
      </c>
      <c r="X66" s="406">
        <v>0</v>
      </c>
      <c r="Y66" s="406">
        <v>1.7454545454545451</v>
      </c>
      <c r="Z66" s="580"/>
      <c r="AA66" s="580"/>
      <c r="AB66" s="580"/>
      <c r="AC66" s="580"/>
      <c r="AD66" s="580"/>
      <c r="AE66" s="580"/>
      <c r="AF66" s="580"/>
      <c r="AG66" s="528" t="s">
        <v>1145</v>
      </c>
      <c r="AH66" s="528"/>
      <c r="AI66" s="528">
        <v>3</v>
      </c>
      <c r="AJ66" s="528">
        <v>3</v>
      </c>
      <c r="AK66" s="480">
        <v>0.5</v>
      </c>
      <c r="AL66" s="480">
        <v>0.5</v>
      </c>
      <c r="AM66" s="525"/>
      <c r="AN66" s="528">
        <v>0</v>
      </c>
      <c r="AO66" s="528">
        <v>0</v>
      </c>
      <c r="AP66" s="528">
        <v>0</v>
      </c>
      <c r="AQ66" s="528">
        <v>0</v>
      </c>
      <c r="AR66" s="528">
        <v>0</v>
      </c>
      <c r="AS66" s="528">
        <v>0</v>
      </c>
      <c r="AT66" s="528">
        <v>0</v>
      </c>
      <c r="AU66" s="528">
        <v>0</v>
      </c>
      <c r="AV66" s="528">
        <v>0</v>
      </c>
      <c r="AW66" s="528">
        <v>0</v>
      </c>
      <c r="AX66" s="528">
        <v>0</v>
      </c>
      <c r="AY66" s="528">
        <v>0</v>
      </c>
      <c r="AZ66" s="528"/>
      <c r="BA66" s="528" t="s">
        <v>1145</v>
      </c>
      <c r="BB66" s="528"/>
      <c r="BC66" s="528" t="s">
        <v>1145</v>
      </c>
      <c r="BD66" s="528"/>
      <c r="BE66" s="528"/>
      <c r="BF66" s="528"/>
      <c r="BG66" s="529"/>
      <c r="BH66" s="525"/>
      <c r="BI66" s="528"/>
      <c r="BJ66" s="528" t="s">
        <v>1146</v>
      </c>
      <c r="BK66" s="528"/>
      <c r="BL66" s="529"/>
      <c r="BM66" s="529" t="s">
        <v>430</v>
      </c>
      <c r="BN66" s="525" t="s">
        <v>408</v>
      </c>
    </row>
    <row r="67" spans="1:66" ht="13" customHeight="1" x14ac:dyDescent="0.2">
      <c r="A67" s="525">
        <v>2494</v>
      </c>
      <c r="B67" s="581">
        <v>44574</v>
      </c>
      <c r="C67" s="526" t="s">
        <v>1138</v>
      </c>
      <c r="D67" s="525" t="s">
        <v>1111</v>
      </c>
      <c r="E67" s="527">
        <v>44522</v>
      </c>
      <c r="F67" s="529" t="s">
        <v>1148</v>
      </c>
      <c r="G67" s="525" t="s">
        <v>1280</v>
      </c>
      <c r="H67" s="579">
        <v>48.190909090909088</v>
      </c>
      <c r="I67" s="531" t="s">
        <v>296</v>
      </c>
      <c r="J67" s="485">
        <v>1645</v>
      </c>
      <c r="K67" s="485">
        <v>3000</v>
      </c>
      <c r="L67" s="485">
        <v>3000</v>
      </c>
      <c r="M67" s="485">
        <v>3000</v>
      </c>
      <c r="N67" s="525"/>
      <c r="O67" s="406">
        <v>2.3545454545454541</v>
      </c>
      <c r="P67" s="406">
        <v>1.9909090909090907</v>
      </c>
      <c r="Q67" s="406">
        <v>0</v>
      </c>
      <c r="R67" s="406">
        <v>0</v>
      </c>
      <c r="S67" s="406">
        <v>1.5272727272727271</v>
      </c>
      <c r="T67" s="580"/>
      <c r="U67" s="406">
        <v>2.3545454545454541</v>
      </c>
      <c r="V67" s="406">
        <v>1.9909090909090907</v>
      </c>
      <c r="W67" s="406">
        <v>0</v>
      </c>
      <c r="X67" s="406">
        <v>0</v>
      </c>
      <c r="Y67" s="406">
        <v>1.5272727272727271</v>
      </c>
      <c r="Z67" s="580"/>
      <c r="AA67" s="580"/>
      <c r="AB67" s="580"/>
      <c r="AC67" s="580"/>
      <c r="AD67" s="580"/>
      <c r="AE67" s="580"/>
      <c r="AF67" s="580"/>
      <c r="AG67" s="528" t="s">
        <v>1145</v>
      </c>
      <c r="AH67" s="528"/>
      <c r="AI67" s="528">
        <v>3</v>
      </c>
      <c r="AJ67" s="528">
        <v>3</v>
      </c>
      <c r="AK67" s="480">
        <v>0.5</v>
      </c>
      <c r="AL67" s="480">
        <v>0.5</v>
      </c>
      <c r="AM67" s="525"/>
      <c r="AN67" s="528">
        <v>0</v>
      </c>
      <c r="AO67" s="528">
        <v>0</v>
      </c>
      <c r="AP67" s="528">
        <v>0</v>
      </c>
      <c r="AQ67" s="528">
        <v>0</v>
      </c>
      <c r="AR67" s="528">
        <v>0</v>
      </c>
      <c r="AS67" s="528">
        <v>0</v>
      </c>
      <c r="AT67" s="528">
        <v>0</v>
      </c>
      <c r="AU67" s="528">
        <v>0</v>
      </c>
      <c r="AV67" s="528">
        <v>0</v>
      </c>
      <c r="AW67" s="528">
        <v>0</v>
      </c>
      <c r="AX67" s="528">
        <v>0</v>
      </c>
      <c r="AY67" s="528">
        <v>0</v>
      </c>
      <c r="AZ67" s="528"/>
      <c r="BA67" s="528" t="s">
        <v>1145</v>
      </c>
      <c r="BB67" s="528"/>
      <c r="BC67" s="528" t="s">
        <v>1145</v>
      </c>
      <c r="BD67" s="528"/>
      <c r="BE67" s="528"/>
      <c r="BF67" s="528"/>
      <c r="BG67" s="529"/>
      <c r="BH67" s="525"/>
      <c r="BI67" s="528"/>
      <c r="BJ67" s="528" t="s">
        <v>4</v>
      </c>
      <c r="BK67" s="528"/>
      <c r="BL67" s="529"/>
      <c r="BM67" s="525" t="s">
        <v>430</v>
      </c>
      <c r="BN67" s="525" t="s">
        <v>368</v>
      </c>
    </row>
    <row r="68" spans="1:66" ht="13" customHeight="1" x14ac:dyDescent="0.2">
      <c r="A68" s="525">
        <v>2960</v>
      </c>
      <c r="B68" s="581">
        <v>44575</v>
      </c>
      <c r="C68" s="526" t="s">
        <v>1138</v>
      </c>
      <c r="D68" s="525" t="s">
        <v>1111</v>
      </c>
      <c r="E68" s="527">
        <v>44573</v>
      </c>
      <c r="F68" s="529" t="s">
        <v>1286</v>
      </c>
      <c r="G68" s="525" t="s">
        <v>1564</v>
      </c>
      <c r="H68" s="579">
        <v>75</v>
      </c>
      <c r="I68" s="531" t="s">
        <v>296</v>
      </c>
      <c r="J68" s="485">
        <v>1645</v>
      </c>
      <c r="K68" s="485">
        <v>3000</v>
      </c>
      <c r="L68" s="485">
        <v>3000</v>
      </c>
      <c r="M68" s="485">
        <v>3000</v>
      </c>
      <c r="N68" s="525"/>
      <c r="O68" s="406">
        <v>2.8181818181818179</v>
      </c>
      <c r="P68" s="406">
        <v>2.4727272727272727</v>
      </c>
      <c r="Q68" s="406">
        <v>0</v>
      </c>
      <c r="R68" s="406">
        <v>0</v>
      </c>
      <c r="S68" s="406">
        <v>1.9909090909090907</v>
      </c>
      <c r="T68" s="580"/>
      <c r="U68" s="406">
        <v>2.8181818181818179</v>
      </c>
      <c r="V68" s="406">
        <v>2.4727272727272727</v>
      </c>
      <c r="W68" s="406">
        <v>0</v>
      </c>
      <c r="X68" s="406">
        <v>0</v>
      </c>
      <c r="Y68" s="406">
        <v>1.9909090909090907</v>
      </c>
      <c r="Z68" s="580"/>
      <c r="AA68" s="580"/>
      <c r="AB68" s="580"/>
      <c r="AC68" s="580"/>
      <c r="AD68" s="580"/>
      <c r="AE68" s="580"/>
      <c r="AF68" s="580"/>
      <c r="AG68" s="528" t="s">
        <v>1145</v>
      </c>
      <c r="AH68" s="528"/>
      <c r="AI68" s="528">
        <v>3</v>
      </c>
      <c r="AJ68" s="528">
        <v>3</v>
      </c>
      <c r="AK68" s="480">
        <v>0.5</v>
      </c>
      <c r="AL68" s="480">
        <v>0.5</v>
      </c>
      <c r="AM68" s="525"/>
      <c r="AN68" s="528">
        <v>0</v>
      </c>
      <c r="AO68" s="528">
        <v>20</v>
      </c>
      <c r="AP68" s="528">
        <v>0</v>
      </c>
      <c r="AQ68" s="528">
        <v>0</v>
      </c>
      <c r="AR68" s="528">
        <v>0</v>
      </c>
      <c r="AS68" s="528">
        <v>0</v>
      </c>
      <c r="AT68" s="528">
        <v>0</v>
      </c>
      <c r="AU68" s="528">
        <v>0</v>
      </c>
      <c r="AV68" s="528">
        <v>0</v>
      </c>
      <c r="AW68" s="528">
        <v>0</v>
      </c>
      <c r="AX68" s="528">
        <v>0</v>
      </c>
      <c r="AY68" s="528">
        <v>0</v>
      </c>
      <c r="AZ68" s="528"/>
      <c r="BA68" s="528" t="s">
        <v>1145</v>
      </c>
      <c r="BB68" s="528"/>
      <c r="BC68" s="528" t="s">
        <v>1145</v>
      </c>
      <c r="BD68" s="528"/>
      <c r="BE68" s="528"/>
      <c r="BF68" s="528"/>
      <c r="BG68" s="529"/>
      <c r="BH68" s="525"/>
      <c r="BI68" s="528"/>
      <c r="BJ68" s="528" t="s">
        <v>1146</v>
      </c>
      <c r="BK68" s="528">
        <v>1</v>
      </c>
      <c r="BL68" s="529"/>
      <c r="BM68" s="529" t="s">
        <v>430</v>
      </c>
      <c r="BN68" s="525" t="s">
        <v>408</v>
      </c>
    </row>
    <row r="69" spans="1:66" ht="13" customHeight="1" x14ac:dyDescent="0.2">
      <c r="A69" s="525">
        <v>2555</v>
      </c>
      <c r="B69" s="581">
        <v>44575</v>
      </c>
      <c r="C69" s="526" t="s">
        <v>1138</v>
      </c>
      <c r="D69" s="525" t="s">
        <v>1111</v>
      </c>
      <c r="E69" s="527">
        <v>44546</v>
      </c>
      <c r="F69" s="525" t="s">
        <v>1052</v>
      </c>
      <c r="G69" s="525" t="s">
        <v>1181</v>
      </c>
      <c r="H69" s="579">
        <v>49.4</v>
      </c>
      <c r="I69" s="531" t="s">
        <v>296</v>
      </c>
      <c r="J69" s="485">
        <v>1645</v>
      </c>
      <c r="K69" s="485">
        <v>3000</v>
      </c>
      <c r="L69" s="485">
        <v>3000</v>
      </c>
      <c r="M69" s="485">
        <v>3000</v>
      </c>
      <c r="N69" s="332"/>
      <c r="O69" s="406">
        <v>2.8272727272727267</v>
      </c>
      <c r="P69" s="406">
        <v>2.2454545454545456</v>
      </c>
      <c r="Q69" s="406">
        <v>0</v>
      </c>
      <c r="R69" s="406">
        <v>0</v>
      </c>
      <c r="S69" s="406">
        <v>1.8181818181818181</v>
      </c>
      <c r="T69" s="580"/>
      <c r="U69" s="406">
        <v>2.8272727272727267</v>
      </c>
      <c r="V69" s="406">
        <v>2.2454545454545456</v>
      </c>
      <c r="W69" s="406">
        <v>0</v>
      </c>
      <c r="X69" s="406">
        <v>0</v>
      </c>
      <c r="Y69" s="406">
        <v>1.8181818181818181</v>
      </c>
      <c r="Z69" s="580"/>
      <c r="AA69" s="580"/>
      <c r="AB69" s="580"/>
      <c r="AC69" s="580"/>
      <c r="AD69" s="580"/>
      <c r="AE69" s="580"/>
      <c r="AF69" s="580"/>
      <c r="AG69" s="528" t="s">
        <v>1143</v>
      </c>
      <c r="AH69" s="528" t="s">
        <v>1144</v>
      </c>
      <c r="AI69" s="528">
        <v>2</v>
      </c>
      <c r="AJ69" s="528">
        <v>4</v>
      </c>
      <c r="AK69" s="483">
        <v>0.33329999999999999</v>
      </c>
      <c r="AL69" s="483">
        <v>0.66659999999999997</v>
      </c>
      <c r="AM69" s="525" t="s">
        <v>1124</v>
      </c>
      <c r="AN69" s="528">
        <v>0</v>
      </c>
      <c r="AO69" s="528">
        <v>0</v>
      </c>
      <c r="AP69" s="528">
        <v>0</v>
      </c>
      <c r="AQ69" s="528">
        <v>0</v>
      </c>
      <c r="AR69" s="528">
        <v>0</v>
      </c>
      <c r="AS69" s="528">
        <v>0</v>
      </c>
      <c r="AT69" s="528">
        <v>0</v>
      </c>
      <c r="AU69" s="528">
        <v>0</v>
      </c>
      <c r="AV69" s="528">
        <v>0</v>
      </c>
      <c r="AW69" s="528">
        <v>0</v>
      </c>
      <c r="AX69" s="528">
        <v>0</v>
      </c>
      <c r="AY69" s="528">
        <v>0</v>
      </c>
      <c r="AZ69" s="528"/>
      <c r="BA69" s="528" t="s">
        <v>1145</v>
      </c>
      <c r="BB69" s="528"/>
      <c r="BC69" s="528" t="s">
        <v>1145</v>
      </c>
      <c r="BD69" s="528"/>
      <c r="BE69" s="528"/>
      <c r="BF69" s="528"/>
      <c r="BG69" s="529"/>
      <c r="BH69" s="525"/>
      <c r="BI69" s="528"/>
      <c r="BJ69" s="528" t="s">
        <v>4</v>
      </c>
      <c r="BK69" s="528"/>
      <c r="BL69" s="529"/>
      <c r="BM69" s="529" t="s">
        <v>1214</v>
      </c>
      <c r="BN69" s="525" t="s">
        <v>408</v>
      </c>
    </row>
    <row r="70" spans="1:66" ht="13" customHeight="1" x14ac:dyDescent="0.2">
      <c r="A70" s="525">
        <v>2116</v>
      </c>
      <c r="B70" s="582">
        <v>44574</v>
      </c>
      <c r="C70" s="526" t="s">
        <v>1138</v>
      </c>
      <c r="D70" s="525" t="s">
        <v>1111</v>
      </c>
      <c r="E70" s="527">
        <v>44574</v>
      </c>
      <c r="F70" s="529" t="s">
        <v>1156</v>
      </c>
      <c r="G70" s="525" t="s">
        <v>1157</v>
      </c>
      <c r="H70" s="579">
        <v>87.199999999999989</v>
      </c>
      <c r="I70" s="531" t="s">
        <v>296</v>
      </c>
      <c r="J70" s="485">
        <v>1645</v>
      </c>
      <c r="K70" s="485">
        <v>3000</v>
      </c>
      <c r="L70" s="485">
        <v>3000</v>
      </c>
      <c r="M70" s="485">
        <v>3000</v>
      </c>
      <c r="N70" s="525"/>
      <c r="O70" s="406">
        <v>3.4818181818181815</v>
      </c>
      <c r="P70" s="406">
        <v>2.6363636363636362</v>
      </c>
      <c r="Q70" s="406">
        <v>0</v>
      </c>
      <c r="R70" s="406">
        <v>0</v>
      </c>
      <c r="S70" s="406">
        <v>2.1999999999999997</v>
      </c>
      <c r="T70" s="580"/>
      <c r="U70" s="406">
        <v>3.4818181818181815</v>
      </c>
      <c r="V70" s="406">
        <v>2.6363636363636362</v>
      </c>
      <c r="W70" s="406">
        <v>0</v>
      </c>
      <c r="X70" s="406">
        <v>0</v>
      </c>
      <c r="Y70" s="406">
        <v>2.1999999999999997</v>
      </c>
      <c r="Z70" s="580"/>
      <c r="AA70" s="580"/>
      <c r="AB70" s="580"/>
      <c r="AC70" s="580"/>
      <c r="AD70" s="580"/>
      <c r="AE70" s="580"/>
      <c r="AF70" s="580"/>
      <c r="AG70" s="528" t="s">
        <v>1145</v>
      </c>
      <c r="AH70" s="528"/>
      <c r="AI70" s="528">
        <v>3</v>
      </c>
      <c r="AJ70" s="528">
        <v>3</v>
      </c>
      <c r="AK70" s="480">
        <v>0.5</v>
      </c>
      <c r="AL70" s="480">
        <v>0.5</v>
      </c>
      <c r="AM70" s="525"/>
      <c r="AN70" s="528">
        <v>24</v>
      </c>
      <c r="AO70" s="528">
        <v>0</v>
      </c>
      <c r="AP70" s="528">
        <v>0</v>
      </c>
      <c r="AQ70" s="528">
        <v>0</v>
      </c>
      <c r="AR70" s="528">
        <v>0</v>
      </c>
      <c r="AS70" s="528">
        <v>0</v>
      </c>
      <c r="AT70" s="528">
        <v>0</v>
      </c>
      <c r="AU70" s="528">
        <v>0</v>
      </c>
      <c r="AV70" s="528">
        <v>0</v>
      </c>
      <c r="AW70" s="528">
        <v>0</v>
      </c>
      <c r="AX70" s="528">
        <v>0</v>
      </c>
      <c r="AY70" s="528">
        <v>0</v>
      </c>
      <c r="AZ70" s="566">
        <v>12</v>
      </c>
      <c r="BA70" s="528" t="s">
        <v>1145</v>
      </c>
      <c r="BB70" s="528">
        <v>12</v>
      </c>
      <c r="BC70" s="528" t="s">
        <v>1145</v>
      </c>
      <c r="BD70" s="528"/>
      <c r="BE70" s="528">
        <v>12</v>
      </c>
      <c r="BF70" s="528"/>
      <c r="BG70" s="529" t="s">
        <v>1622</v>
      </c>
      <c r="BH70" s="525" t="s">
        <v>365</v>
      </c>
      <c r="BI70" s="528">
        <v>25</v>
      </c>
      <c r="BJ70" s="528" t="s">
        <v>1146</v>
      </c>
      <c r="BK70" s="528"/>
      <c r="BL70" s="529" t="s">
        <v>1623</v>
      </c>
      <c r="BM70" s="525" t="s">
        <v>430</v>
      </c>
      <c r="BN70" s="525" t="s">
        <v>408</v>
      </c>
    </row>
    <row r="71" spans="1:66" ht="13" customHeight="1" x14ac:dyDescent="0.2">
      <c r="A71" s="525">
        <v>2869</v>
      </c>
      <c r="B71" s="581">
        <v>44575</v>
      </c>
      <c r="C71" s="526" t="s">
        <v>1138</v>
      </c>
      <c r="D71" s="525" t="s">
        <v>1111</v>
      </c>
      <c r="E71" s="527">
        <v>44546</v>
      </c>
      <c r="F71" s="529" t="s">
        <v>1159</v>
      </c>
      <c r="G71" s="525" t="s">
        <v>1105</v>
      </c>
      <c r="H71" s="579">
        <v>68.900000000000006</v>
      </c>
      <c r="I71" s="531" t="s">
        <v>296</v>
      </c>
      <c r="J71" s="485">
        <v>1645</v>
      </c>
      <c r="K71" s="485">
        <v>3000</v>
      </c>
      <c r="L71" s="485">
        <v>3000</v>
      </c>
      <c r="M71" s="485">
        <v>3000</v>
      </c>
      <c r="N71" s="525"/>
      <c r="O71" s="406">
        <v>2.0818181818181816</v>
      </c>
      <c r="P71" s="406">
        <v>1.9818181818181817</v>
      </c>
      <c r="Q71" s="406">
        <v>0</v>
      </c>
      <c r="R71" s="406">
        <v>0</v>
      </c>
      <c r="S71" s="406">
        <v>1.8454545454545452</v>
      </c>
      <c r="T71" s="580"/>
      <c r="U71" s="406">
        <v>2.0818181818181816</v>
      </c>
      <c r="V71" s="406">
        <v>1.9818181818181817</v>
      </c>
      <c r="W71" s="406">
        <v>0</v>
      </c>
      <c r="X71" s="406">
        <v>0</v>
      </c>
      <c r="Y71" s="406">
        <v>1.8454545454545452</v>
      </c>
      <c r="Z71" s="580"/>
      <c r="AA71" s="580"/>
      <c r="AB71" s="580"/>
      <c r="AC71" s="580"/>
      <c r="AD71" s="580"/>
      <c r="AE71" s="580"/>
      <c r="AF71" s="580"/>
      <c r="AG71" s="528" t="s">
        <v>1278</v>
      </c>
      <c r="AH71" s="528"/>
      <c r="AI71" s="528">
        <v>3</v>
      </c>
      <c r="AJ71" s="528">
        <v>3</v>
      </c>
      <c r="AK71" s="480">
        <v>0.5</v>
      </c>
      <c r="AL71" s="480">
        <v>0.5</v>
      </c>
      <c r="AM71" s="525"/>
      <c r="AN71" s="528">
        <v>0</v>
      </c>
      <c r="AO71" s="528">
        <v>0</v>
      </c>
      <c r="AP71" s="528">
        <v>0</v>
      </c>
      <c r="AQ71" s="528">
        <v>0</v>
      </c>
      <c r="AR71" s="528">
        <v>0</v>
      </c>
      <c r="AS71" s="528">
        <v>0</v>
      </c>
      <c r="AT71" s="528">
        <v>0</v>
      </c>
      <c r="AU71" s="528">
        <v>0</v>
      </c>
      <c r="AV71" s="528">
        <v>0</v>
      </c>
      <c r="AW71" s="528">
        <v>0</v>
      </c>
      <c r="AX71" s="528">
        <v>0</v>
      </c>
      <c r="AY71" s="528">
        <v>0</v>
      </c>
      <c r="AZ71" s="528"/>
      <c r="BA71" s="528" t="s">
        <v>1145</v>
      </c>
      <c r="BB71" s="528"/>
      <c r="BC71" s="528" t="s">
        <v>1145</v>
      </c>
      <c r="BD71" s="528"/>
      <c r="BE71" s="528"/>
      <c r="BF71" s="564">
        <v>45169</v>
      </c>
      <c r="BG71" s="529"/>
      <c r="BH71" s="525"/>
      <c r="BI71" s="528"/>
      <c r="BJ71" s="528" t="s">
        <v>1146</v>
      </c>
      <c r="BK71" s="528"/>
      <c r="BL71" s="529"/>
      <c r="BM71" s="529" t="s">
        <v>430</v>
      </c>
      <c r="BN71" s="525" t="s">
        <v>408</v>
      </c>
    </row>
    <row r="72" spans="1:66" ht="13" customHeight="1" x14ac:dyDescent="0.2">
      <c r="A72" s="525">
        <v>315</v>
      </c>
      <c r="B72" s="581">
        <v>44573</v>
      </c>
      <c r="C72" s="526" t="s">
        <v>10</v>
      </c>
      <c r="D72" s="525" t="s">
        <v>1111</v>
      </c>
      <c r="E72" s="527">
        <v>44287</v>
      </c>
      <c r="F72" s="525" t="s">
        <v>24</v>
      </c>
      <c r="G72" s="525" t="s">
        <v>20</v>
      </c>
      <c r="H72" s="579">
        <v>79.2</v>
      </c>
      <c r="I72" s="531" t="s">
        <v>296</v>
      </c>
      <c r="J72" s="485">
        <v>1645</v>
      </c>
      <c r="K72" s="485">
        <v>3000</v>
      </c>
      <c r="L72" s="485">
        <v>3000</v>
      </c>
      <c r="M72" s="485">
        <v>3000</v>
      </c>
      <c r="N72" s="525"/>
      <c r="O72" s="406">
        <v>2.5999999999999996</v>
      </c>
      <c r="P72" s="406">
        <v>2.1999999999999997</v>
      </c>
      <c r="Q72" s="406">
        <v>0</v>
      </c>
      <c r="R72" s="406">
        <v>0</v>
      </c>
      <c r="S72" s="406">
        <v>1.8999999999999997</v>
      </c>
      <c r="T72" s="580"/>
      <c r="U72" s="406">
        <v>2.4</v>
      </c>
      <c r="V72" s="406">
        <v>2</v>
      </c>
      <c r="W72" s="406">
        <v>0</v>
      </c>
      <c r="X72" s="406">
        <v>0</v>
      </c>
      <c r="Y72" s="406">
        <v>1.7</v>
      </c>
      <c r="Z72" s="580"/>
      <c r="AA72" s="580"/>
      <c r="AB72" s="580"/>
      <c r="AC72" s="580"/>
      <c r="AD72" s="580"/>
      <c r="AE72" s="580"/>
      <c r="AF72" s="580"/>
      <c r="AG72" s="528" t="s">
        <v>1116</v>
      </c>
      <c r="AH72" s="528" t="s">
        <v>1117</v>
      </c>
      <c r="AI72" s="528">
        <v>2</v>
      </c>
      <c r="AJ72" s="528">
        <v>4</v>
      </c>
      <c r="AK72" s="483">
        <v>0.33329999999999999</v>
      </c>
      <c r="AL72" s="483">
        <v>0.66659999999999997</v>
      </c>
      <c r="AM72" s="525" t="s">
        <v>1124</v>
      </c>
      <c r="AN72" s="528">
        <v>0</v>
      </c>
      <c r="AO72" s="528">
        <v>0</v>
      </c>
      <c r="AP72" s="528">
        <v>0</v>
      </c>
      <c r="AQ72" s="528">
        <v>0</v>
      </c>
      <c r="AR72" s="528">
        <v>0</v>
      </c>
      <c r="AS72" s="528">
        <v>0</v>
      </c>
      <c r="AT72" s="528">
        <v>0</v>
      </c>
      <c r="AU72" s="528">
        <v>0</v>
      </c>
      <c r="AV72" s="528">
        <v>0</v>
      </c>
      <c r="AW72" s="528">
        <v>0</v>
      </c>
      <c r="AX72" s="528">
        <v>0</v>
      </c>
      <c r="AY72" s="528">
        <v>0</v>
      </c>
      <c r="AZ72" s="528"/>
      <c r="BA72" s="528" t="s">
        <v>38</v>
      </c>
      <c r="BB72" s="528"/>
      <c r="BC72" s="528" t="s">
        <v>38</v>
      </c>
      <c r="BD72" s="528"/>
      <c r="BE72" s="528"/>
      <c r="BF72" s="528"/>
      <c r="BG72" s="529"/>
      <c r="BH72" s="525"/>
      <c r="BI72" s="528"/>
      <c r="BJ72" s="528" t="s">
        <v>4</v>
      </c>
      <c r="BK72" s="528"/>
      <c r="BL72" s="297"/>
      <c r="BM72" s="297" t="s">
        <v>1583</v>
      </c>
      <c r="BN72" s="525" t="s">
        <v>368</v>
      </c>
    </row>
    <row r="73" spans="1:66" ht="13" customHeight="1" x14ac:dyDescent="0.2">
      <c r="A73" s="525">
        <v>2844</v>
      </c>
      <c r="B73" s="581">
        <v>44573</v>
      </c>
      <c r="C73" s="526" t="s">
        <v>1138</v>
      </c>
      <c r="D73" s="525" t="s">
        <v>1111</v>
      </c>
      <c r="E73" s="527">
        <v>44562</v>
      </c>
      <c r="F73" s="529" t="s">
        <v>1166</v>
      </c>
      <c r="G73" s="525" t="s">
        <v>1478</v>
      </c>
      <c r="H73" s="579">
        <v>66.818181818181813</v>
      </c>
      <c r="I73" s="531" t="s">
        <v>296</v>
      </c>
      <c r="J73" s="568">
        <v>6000</v>
      </c>
      <c r="K73" s="568">
        <v>12000</v>
      </c>
      <c r="L73" s="568">
        <v>12000</v>
      </c>
      <c r="M73" s="568">
        <v>12000</v>
      </c>
      <c r="N73" s="525"/>
      <c r="O73" s="406">
        <v>2.2727272727272725</v>
      </c>
      <c r="P73" s="406">
        <v>2.1</v>
      </c>
      <c r="Q73" s="406">
        <v>0</v>
      </c>
      <c r="R73" s="406">
        <v>0</v>
      </c>
      <c r="S73" s="406">
        <v>1.8181818181818181</v>
      </c>
      <c r="T73" s="580"/>
      <c r="U73" s="406">
        <v>2.2727272727272725</v>
      </c>
      <c r="V73" s="406">
        <v>2.1</v>
      </c>
      <c r="W73" s="406">
        <v>0</v>
      </c>
      <c r="X73" s="406">
        <v>0</v>
      </c>
      <c r="Y73" s="406">
        <v>1.8181818181818181</v>
      </c>
      <c r="Z73" s="580"/>
      <c r="AA73" s="580"/>
      <c r="AB73" s="580"/>
      <c r="AC73" s="580"/>
      <c r="AD73" s="580"/>
      <c r="AE73" s="580"/>
      <c r="AF73" s="580"/>
      <c r="AG73" s="528" t="s">
        <v>1145</v>
      </c>
      <c r="AH73" s="528"/>
      <c r="AI73" s="528">
        <v>3</v>
      </c>
      <c r="AJ73" s="528">
        <v>3</v>
      </c>
      <c r="AK73" s="480">
        <v>0.5</v>
      </c>
      <c r="AL73" s="480">
        <v>0.5</v>
      </c>
      <c r="AM73" s="525"/>
      <c r="AN73" s="528">
        <v>0</v>
      </c>
      <c r="AO73" s="528">
        <v>0</v>
      </c>
      <c r="AP73" s="528">
        <v>0</v>
      </c>
      <c r="AQ73" s="528">
        <v>0</v>
      </c>
      <c r="AR73" s="528">
        <v>0</v>
      </c>
      <c r="AS73" s="528">
        <v>0</v>
      </c>
      <c r="AT73" s="528">
        <v>0</v>
      </c>
      <c r="AU73" s="528">
        <v>0</v>
      </c>
      <c r="AV73" s="528">
        <v>0</v>
      </c>
      <c r="AW73" s="528">
        <v>0</v>
      </c>
      <c r="AX73" s="528">
        <v>0</v>
      </c>
      <c r="AY73" s="528">
        <v>0</v>
      </c>
      <c r="AZ73" s="528"/>
      <c r="BA73" s="528" t="s">
        <v>1145</v>
      </c>
      <c r="BB73" s="528">
        <v>12</v>
      </c>
      <c r="BC73" s="528" t="s">
        <v>1145</v>
      </c>
      <c r="BD73" s="528"/>
      <c r="BE73" s="528">
        <v>12</v>
      </c>
      <c r="BF73" s="528"/>
      <c r="BG73" s="529"/>
      <c r="BH73" s="525"/>
      <c r="BI73" s="528"/>
      <c r="BJ73" s="528" t="s">
        <v>1146</v>
      </c>
      <c r="BK73" s="528"/>
      <c r="BL73" s="529"/>
      <c r="BM73" s="525" t="s">
        <v>1633</v>
      </c>
      <c r="BN73" s="525" t="s">
        <v>408</v>
      </c>
    </row>
    <row r="74" spans="1:66" ht="13" customHeight="1" x14ac:dyDescent="0.2">
      <c r="A74" s="525">
        <v>2397</v>
      </c>
      <c r="B74" s="581">
        <v>44575</v>
      </c>
      <c r="C74" s="526" t="s">
        <v>1138</v>
      </c>
      <c r="D74" s="525" t="s">
        <v>1111</v>
      </c>
      <c r="E74" s="570">
        <v>44546</v>
      </c>
      <c r="F74" s="529" t="s">
        <v>1168</v>
      </c>
      <c r="G74" s="525" t="s">
        <v>1297</v>
      </c>
      <c r="H74" s="579">
        <v>65.518181818181802</v>
      </c>
      <c r="I74" s="531" t="s">
        <v>296</v>
      </c>
      <c r="J74" s="485">
        <v>1645</v>
      </c>
      <c r="K74" s="485">
        <v>3000</v>
      </c>
      <c r="L74" s="485">
        <v>3000</v>
      </c>
      <c r="M74" s="485">
        <v>3000</v>
      </c>
      <c r="N74" s="525"/>
      <c r="O74" s="406">
        <v>2.4090909090909087</v>
      </c>
      <c r="P74" s="406">
        <v>2.2909090909090906</v>
      </c>
      <c r="Q74" s="406">
        <v>0</v>
      </c>
      <c r="R74" s="406">
        <v>0</v>
      </c>
      <c r="S74" s="406">
        <v>1.6454545454545453</v>
      </c>
      <c r="T74" s="580"/>
      <c r="U74" s="406">
        <v>2.4090909090909087</v>
      </c>
      <c r="V74" s="406">
        <v>2.2909090909090906</v>
      </c>
      <c r="W74" s="406">
        <v>0</v>
      </c>
      <c r="X74" s="406">
        <v>0</v>
      </c>
      <c r="Y74" s="406">
        <v>1.6454545454545453</v>
      </c>
      <c r="Z74" s="580"/>
      <c r="AA74" s="580"/>
      <c r="AB74" s="580"/>
      <c r="AC74" s="580"/>
      <c r="AD74" s="580"/>
      <c r="AE74" s="580"/>
      <c r="AF74" s="580"/>
      <c r="AG74" s="528" t="s">
        <v>1145</v>
      </c>
      <c r="AH74" s="528"/>
      <c r="AI74" s="528">
        <v>3</v>
      </c>
      <c r="AJ74" s="528">
        <v>3</v>
      </c>
      <c r="AK74" s="480">
        <v>0.5</v>
      </c>
      <c r="AL74" s="480">
        <v>0.5</v>
      </c>
      <c r="AM74" s="525"/>
      <c r="AN74" s="528">
        <v>0</v>
      </c>
      <c r="AO74" s="528">
        <v>0</v>
      </c>
      <c r="AP74" s="528">
        <v>0</v>
      </c>
      <c r="AQ74" s="528">
        <v>0</v>
      </c>
      <c r="AR74" s="528">
        <v>0</v>
      </c>
      <c r="AS74" s="528">
        <v>0</v>
      </c>
      <c r="AT74" s="528">
        <v>0</v>
      </c>
      <c r="AU74" s="528">
        <v>0</v>
      </c>
      <c r="AV74" s="528">
        <v>0</v>
      </c>
      <c r="AW74" s="528">
        <v>0</v>
      </c>
      <c r="AX74" s="528">
        <v>0</v>
      </c>
      <c r="AY74" s="528">
        <v>0</v>
      </c>
      <c r="AZ74" s="528"/>
      <c r="BA74" s="528" t="s">
        <v>1145</v>
      </c>
      <c r="BB74" s="528"/>
      <c r="BC74" s="528" t="s">
        <v>1145</v>
      </c>
      <c r="BD74" s="528"/>
      <c r="BE74" s="528"/>
      <c r="BF74" s="528"/>
      <c r="BG74" s="529"/>
      <c r="BH74" s="525"/>
      <c r="BI74" s="528"/>
      <c r="BJ74" s="528" t="s">
        <v>1146</v>
      </c>
      <c r="BK74" s="528"/>
      <c r="BL74" s="529"/>
      <c r="BM74" s="529" t="s">
        <v>430</v>
      </c>
      <c r="BN74" s="525" t="s">
        <v>408</v>
      </c>
    </row>
    <row r="75" spans="1:66" ht="13" customHeight="1" x14ac:dyDescent="0.2">
      <c r="A75" s="525">
        <v>601</v>
      </c>
      <c r="B75" s="581">
        <v>44575</v>
      </c>
      <c r="C75" s="526" t="s">
        <v>1138</v>
      </c>
      <c r="D75" s="525" t="s">
        <v>1111</v>
      </c>
      <c r="E75" s="570">
        <v>44562</v>
      </c>
      <c r="F75" s="529" t="s">
        <v>1169</v>
      </c>
      <c r="G75" s="525" t="s">
        <v>1617</v>
      </c>
      <c r="H75" s="579">
        <v>77.172727272727272</v>
      </c>
      <c r="I75" s="531" t="s">
        <v>296</v>
      </c>
      <c r="J75" s="485">
        <v>1645</v>
      </c>
      <c r="K75" s="485">
        <v>3000</v>
      </c>
      <c r="L75" s="485">
        <v>3000</v>
      </c>
      <c r="M75" s="485">
        <v>3000</v>
      </c>
      <c r="N75" s="525"/>
      <c r="O75" s="406">
        <v>3.6545454545454539</v>
      </c>
      <c r="P75" s="406">
        <v>3.0727272727272723</v>
      </c>
      <c r="Q75" s="406">
        <v>0</v>
      </c>
      <c r="R75" s="406">
        <v>0</v>
      </c>
      <c r="S75" s="406">
        <v>2.5727272727272728</v>
      </c>
      <c r="T75" s="580"/>
      <c r="U75" s="406">
        <v>3.6545454545454539</v>
      </c>
      <c r="V75" s="406">
        <v>3.0727272727272723</v>
      </c>
      <c r="W75" s="406">
        <v>0</v>
      </c>
      <c r="X75" s="406">
        <v>0</v>
      </c>
      <c r="Y75" s="406">
        <v>2.5727272727272728</v>
      </c>
      <c r="Z75" s="580"/>
      <c r="AA75" s="580"/>
      <c r="AB75" s="580"/>
      <c r="AC75" s="580"/>
      <c r="AD75" s="580"/>
      <c r="AE75" s="580"/>
      <c r="AF75" s="580"/>
      <c r="AG75" s="528" t="s">
        <v>1145</v>
      </c>
      <c r="AH75" s="528"/>
      <c r="AI75" s="528">
        <v>3</v>
      </c>
      <c r="AJ75" s="528">
        <v>3</v>
      </c>
      <c r="AK75" s="480">
        <v>0.5</v>
      </c>
      <c r="AL75" s="480">
        <v>0.5</v>
      </c>
      <c r="AM75" s="525"/>
      <c r="AN75" s="528">
        <v>32</v>
      </c>
      <c r="AO75" s="528">
        <v>0</v>
      </c>
      <c r="AP75" s="528">
        <v>0</v>
      </c>
      <c r="AQ75" s="528">
        <v>0</v>
      </c>
      <c r="AR75" s="528">
        <v>0</v>
      </c>
      <c r="AS75" s="528">
        <v>0</v>
      </c>
      <c r="AT75" s="528">
        <v>0</v>
      </c>
      <c r="AU75" s="528">
        <v>0</v>
      </c>
      <c r="AV75" s="528">
        <v>0</v>
      </c>
      <c r="AW75" s="528">
        <v>0</v>
      </c>
      <c r="AX75" s="528">
        <v>0</v>
      </c>
      <c r="AY75" s="528">
        <v>0</v>
      </c>
      <c r="AZ75" s="528"/>
      <c r="BA75" s="528" t="s">
        <v>1145</v>
      </c>
      <c r="BB75" s="528"/>
      <c r="BC75" s="528" t="s">
        <v>1145</v>
      </c>
      <c r="BD75" s="528"/>
      <c r="BE75" s="528"/>
      <c r="BF75" s="528"/>
      <c r="BG75" s="379"/>
      <c r="BH75" s="525"/>
      <c r="BI75" s="528"/>
      <c r="BJ75" s="528" t="s">
        <v>1146</v>
      </c>
      <c r="BK75" s="528"/>
      <c r="BL75" s="529" t="s">
        <v>1626</v>
      </c>
      <c r="BM75" s="529" t="s">
        <v>430</v>
      </c>
      <c r="BN75" s="525" t="s">
        <v>408</v>
      </c>
    </row>
    <row r="76" spans="1:66" ht="13" customHeight="1" x14ac:dyDescent="0.2">
      <c r="A76" s="525">
        <v>1685</v>
      </c>
      <c r="B76" s="582">
        <v>44577</v>
      </c>
      <c r="C76" s="526" t="s">
        <v>295</v>
      </c>
      <c r="D76" s="525" t="s">
        <v>1111</v>
      </c>
      <c r="E76" s="527">
        <v>44563</v>
      </c>
      <c r="F76" s="529" t="s">
        <v>1106</v>
      </c>
      <c r="G76" s="525" t="s">
        <v>2</v>
      </c>
      <c r="H76" s="579">
        <v>59.999999999999993</v>
      </c>
      <c r="I76" s="531" t="s">
        <v>296</v>
      </c>
      <c r="J76" s="525">
        <v>3000</v>
      </c>
      <c r="K76" s="525">
        <v>3000</v>
      </c>
      <c r="L76" s="525">
        <v>3000</v>
      </c>
      <c r="M76" s="525">
        <v>3000</v>
      </c>
      <c r="N76" s="525"/>
      <c r="O76" s="406">
        <v>2.2545454545454544</v>
      </c>
      <c r="P76" s="406">
        <v>0</v>
      </c>
      <c r="Q76" s="406">
        <v>0</v>
      </c>
      <c r="R76" s="406">
        <v>0</v>
      </c>
      <c r="S76" s="406">
        <v>1.7545454545454544</v>
      </c>
      <c r="T76" s="580"/>
      <c r="U76" s="406">
        <v>2.2545454545454544</v>
      </c>
      <c r="V76" s="406">
        <v>0</v>
      </c>
      <c r="W76" s="406">
        <v>0</v>
      </c>
      <c r="X76" s="406">
        <v>0</v>
      </c>
      <c r="Y76" s="406">
        <v>1.7545454545454544</v>
      </c>
      <c r="Z76" s="580"/>
      <c r="AA76" s="580"/>
      <c r="AB76" s="580"/>
      <c r="AC76" s="580"/>
      <c r="AD76" s="580"/>
      <c r="AE76" s="580"/>
      <c r="AF76" s="580"/>
      <c r="AG76" s="528" t="s">
        <v>1278</v>
      </c>
      <c r="AH76" s="528"/>
      <c r="AI76" s="528">
        <v>3</v>
      </c>
      <c r="AJ76" s="528">
        <v>3</v>
      </c>
      <c r="AK76" s="480">
        <v>0.5</v>
      </c>
      <c r="AL76" s="480">
        <v>0.5</v>
      </c>
      <c r="AM76" s="525"/>
      <c r="AN76" s="528">
        <v>0</v>
      </c>
      <c r="AO76" s="528">
        <v>0</v>
      </c>
      <c r="AP76" s="528">
        <v>0</v>
      </c>
      <c r="AQ76" s="528">
        <v>0</v>
      </c>
      <c r="AR76" s="528">
        <v>0</v>
      </c>
      <c r="AS76" s="528">
        <v>0</v>
      </c>
      <c r="AT76" s="528">
        <v>0</v>
      </c>
      <c r="AU76" s="528">
        <v>0</v>
      </c>
      <c r="AV76" s="528">
        <v>0</v>
      </c>
      <c r="AW76" s="528">
        <v>0</v>
      </c>
      <c r="AX76" s="528">
        <v>0</v>
      </c>
      <c r="AY76" s="528">
        <v>0</v>
      </c>
      <c r="AZ76" s="528"/>
      <c r="BA76" s="528" t="s">
        <v>1145</v>
      </c>
      <c r="BB76" s="528"/>
      <c r="BC76" s="528" t="s">
        <v>1145</v>
      </c>
      <c r="BD76" s="528"/>
      <c r="BE76" s="528"/>
      <c r="BF76" s="529"/>
      <c r="BG76" s="525"/>
      <c r="BH76" s="528"/>
      <c r="BI76" s="528"/>
      <c r="BJ76" s="528" t="s">
        <v>1146</v>
      </c>
      <c r="BK76" s="528">
        <v>1</v>
      </c>
      <c r="BL76" s="525"/>
      <c r="BM76" s="529" t="s">
        <v>430</v>
      </c>
      <c r="BN76" s="525" t="s">
        <v>408</v>
      </c>
    </row>
    <row r="77" spans="1:66" ht="13" customHeight="1" x14ac:dyDescent="0.2">
      <c r="A77" s="525">
        <v>2895</v>
      </c>
      <c r="B77" s="581">
        <v>44575</v>
      </c>
      <c r="C77" s="526" t="s">
        <v>1138</v>
      </c>
      <c r="D77" s="525" t="s">
        <v>1111</v>
      </c>
      <c r="E77" s="527">
        <v>44228</v>
      </c>
      <c r="F77" s="525" t="s">
        <v>34</v>
      </c>
      <c r="G77" s="525" t="s">
        <v>1181</v>
      </c>
      <c r="H77" s="579">
        <v>67.909090909090907</v>
      </c>
      <c r="I77" s="394"/>
      <c r="J77" s="409"/>
      <c r="K77" s="332"/>
      <c r="L77" s="332"/>
      <c r="M77" s="332"/>
      <c r="N77" s="332"/>
      <c r="O77" s="406">
        <v>1.7999999999999998</v>
      </c>
      <c r="P77" s="406">
        <v>0</v>
      </c>
      <c r="Q77" s="406">
        <v>0</v>
      </c>
      <c r="R77" s="406">
        <v>0</v>
      </c>
      <c r="S77" s="406">
        <v>0</v>
      </c>
      <c r="T77" s="580"/>
      <c r="U77" s="406">
        <v>1.7999999999999998</v>
      </c>
      <c r="V77" s="406">
        <v>0</v>
      </c>
      <c r="W77" s="406">
        <v>0</v>
      </c>
      <c r="X77" s="406">
        <v>0</v>
      </c>
      <c r="Y77" s="406">
        <v>0</v>
      </c>
      <c r="Z77" s="580"/>
      <c r="AA77" s="580"/>
      <c r="AB77" s="580"/>
      <c r="AC77" s="580"/>
      <c r="AD77" s="580"/>
      <c r="AE77" s="580"/>
      <c r="AF77" s="580"/>
      <c r="AG77" s="333" t="s">
        <v>1145</v>
      </c>
      <c r="AH77" s="333"/>
      <c r="AI77" s="528">
        <v>3</v>
      </c>
      <c r="AJ77" s="528">
        <v>3</v>
      </c>
      <c r="AK77" s="480">
        <v>0.5</v>
      </c>
      <c r="AL77" s="480">
        <v>0.5</v>
      </c>
      <c r="AM77" s="525"/>
      <c r="AN77" s="528">
        <v>0</v>
      </c>
      <c r="AO77" s="528">
        <v>0</v>
      </c>
      <c r="AP77" s="528">
        <v>0</v>
      </c>
      <c r="AQ77" s="528">
        <v>0</v>
      </c>
      <c r="AR77" s="528">
        <v>0</v>
      </c>
      <c r="AS77" s="528">
        <v>0</v>
      </c>
      <c r="AT77" s="528">
        <v>0</v>
      </c>
      <c r="AU77" s="528">
        <v>0</v>
      </c>
      <c r="AV77" s="528">
        <v>0</v>
      </c>
      <c r="AW77" s="528">
        <v>0</v>
      </c>
      <c r="AX77" s="528">
        <v>0</v>
      </c>
      <c r="AY77" s="528">
        <v>0</v>
      </c>
      <c r="AZ77" s="528"/>
      <c r="BA77" s="528" t="s">
        <v>1145</v>
      </c>
      <c r="BB77" s="528"/>
      <c r="BC77" s="528" t="s">
        <v>1145</v>
      </c>
      <c r="BD77" s="528"/>
      <c r="BE77" s="528"/>
      <c r="BF77" s="528"/>
      <c r="BG77" s="529"/>
      <c r="BH77" s="525"/>
      <c r="BI77" s="528"/>
      <c r="BJ77" s="528" t="s">
        <v>1164</v>
      </c>
      <c r="BK77" s="528"/>
      <c r="BL77" s="529" t="s">
        <v>1284</v>
      </c>
      <c r="BM77" s="525" t="s">
        <v>1558</v>
      </c>
      <c r="BN77" s="525" t="s">
        <v>368</v>
      </c>
    </row>
    <row r="78" spans="1:66" ht="13" customHeight="1" x14ac:dyDescent="0.2">
      <c r="A78" s="525">
        <v>2739</v>
      </c>
      <c r="B78" s="581">
        <v>44575</v>
      </c>
      <c r="C78" s="526" t="s">
        <v>1138</v>
      </c>
      <c r="D78" s="525" t="s">
        <v>1111</v>
      </c>
      <c r="E78" s="527">
        <v>44562</v>
      </c>
      <c r="F78" s="525" t="s">
        <v>1274</v>
      </c>
      <c r="G78" s="525" t="s">
        <v>1467</v>
      </c>
      <c r="H78" s="579">
        <v>72.999999999999986</v>
      </c>
      <c r="I78" s="394" t="s">
        <v>296</v>
      </c>
      <c r="J78" s="485">
        <v>1645</v>
      </c>
      <c r="K78" s="485">
        <v>3000</v>
      </c>
      <c r="L78" s="485">
        <v>3000</v>
      </c>
      <c r="M78" s="485">
        <v>3000</v>
      </c>
      <c r="N78" s="332"/>
      <c r="O78" s="406">
        <v>2.9272727272727272</v>
      </c>
      <c r="P78" s="406">
        <v>2.545454545454545</v>
      </c>
      <c r="Q78" s="406">
        <v>0</v>
      </c>
      <c r="R78" s="406">
        <v>0</v>
      </c>
      <c r="S78" s="406">
        <v>2.1818181818181817</v>
      </c>
      <c r="T78" s="580"/>
      <c r="U78" s="406">
        <v>2.9272727272727272</v>
      </c>
      <c r="V78" s="406">
        <v>2.545454545454545</v>
      </c>
      <c r="W78" s="406">
        <v>0</v>
      </c>
      <c r="X78" s="406">
        <v>0</v>
      </c>
      <c r="Y78" s="406">
        <v>2.1818181818181817</v>
      </c>
      <c r="Z78" s="580"/>
      <c r="AA78" s="580"/>
      <c r="AB78" s="580"/>
      <c r="AC78" s="580"/>
      <c r="AD78" s="580"/>
      <c r="AE78" s="580"/>
      <c r="AF78" s="580"/>
      <c r="AG78" s="333" t="s">
        <v>1145</v>
      </c>
      <c r="AH78" s="333"/>
      <c r="AI78" s="528">
        <v>3</v>
      </c>
      <c r="AJ78" s="528">
        <v>3</v>
      </c>
      <c r="AK78" s="480">
        <v>0.5</v>
      </c>
      <c r="AL78" s="480">
        <v>0.5</v>
      </c>
      <c r="AM78" s="525"/>
      <c r="AN78" s="528">
        <v>0</v>
      </c>
      <c r="AO78" s="528">
        <v>12</v>
      </c>
      <c r="AP78" s="528">
        <v>0</v>
      </c>
      <c r="AQ78" s="528">
        <v>3</v>
      </c>
      <c r="AR78" s="528">
        <v>0</v>
      </c>
      <c r="AS78" s="528">
        <v>0</v>
      </c>
      <c r="AT78" s="528">
        <v>0</v>
      </c>
      <c r="AU78" s="528">
        <v>0</v>
      </c>
      <c r="AV78" s="528">
        <v>0</v>
      </c>
      <c r="AW78" s="528">
        <v>0</v>
      </c>
      <c r="AX78" s="528">
        <v>0</v>
      </c>
      <c r="AY78" s="528">
        <v>0</v>
      </c>
      <c r="AZ78" s="528"/>
      <c r="BA78" s="528" t="s">
        <v>1145</v>
      </c>
      <c r="BB78" s="528"/>
      <c r="BC78" s="528" t="s">
        <v>1145</v>
      </c>
      <c r="BD78" s="528"/>
      <c r="BE78" s="528"/>
      <c r="BF78" s="528"/>
      <c r="BG78" s="529"/>
      <c r="BH78" s="525"/>
      <c r="BI78" s="528"/>
      <c r="BJ78" s="528" t="s">
        <v>1164</v>
      </c>
      <c r="BK78" s="528"/>
      <c r="BL78" s="529"/>
      <c r="BM78" s="529" t="s">
        <v>430</v>
      </c>
      <c r="BN78" s="525" t="s">
        <v>408</v>
      </c>
    </row>
    <row r="79" spans="1:66" ht="13" customHeight="1" x14ac:dyDescent="0.2">
      <c r="A79" s="525">
        <v>3321</v>
      </c>
      <c r="B79" s="581">
        <v>44573</v>
      </c>
      <c r="C79" s="526" t="s">
        <v>1138</v>
      </c>
      <c r="D79" s="525" t="s">
        <v>1111</v>
      </c>
      <c r="E79" s="570">
        <v>44562</v>
      </c>
      <c r="F79" s="525" t="s">
        <v>1291</v>
      </c>
      <c r="G79" s="525" t="s">
        <v>1618</v>
      </c>
      <c r="H79" s="579">
        <v>59.418181818181814</v>
      </c>
      <c r="I79" s="394"/>
      <c r="J79" s="409"/>
      <c r="K79" s="332"/>
      <c r="L79" s="332"/>
      <c r="M79" s="332"/>
      <c r="N79" s="332"/>
      <c r="O79" s="406">
        <v>1.9545454545454544</v>
      </c>
      <c r="P79" s="406">
        <v>0</v>
      </c>
      <c r="Q79" s="406">
        <v>0</v>
      </c>
      <c r="R79" s="406">
        <v>0</v>
      </c>
      <c r="S79" s="406">
        <v>0</v>
      </c>
      <c r="T79" s="580"/>
      <c r="U79" s="406">
        <v>1.9545454545454544</v>
      </c>
      <c r="V79" s="406">
        <v>0</v>
      </c>
      <c r="W79" s="406">
        <v>0</v>
      </c>
      <c r="X79" s="406">
        <v>0</v>
      </c>
      <c r="Y79" s="406">
        <v>0</v>
      </c>
      <c r="Z79" s="580"/>
      <c r="AA79" s="580"/>
      <c r="AB79" s="580"/>
      <c r="AC79" s="580"/>
      <c r="AD79" s="580"/>
      <c r="AE79" s="580"/>
      <c r="AF79" s="580"/>
      <c r="AG79" s="333" t="s">
        <v>1145</v>
      </c>
      <c r="AH79" s="333"/>
      <c r="AI79" s="528">
        <v>3</v>
      </c>
      <c r="AJ79" s="528">
        <v>3</v>
      </c>
      <c r="AK79" s="480">
        <v>0.5</v>
      </c>
      <c r="AL79" s="480">
        <v>0.5</v>
      </c>
      <c r="AM79" s="525"/>
      <c r="AN79" s="528">
        <v>0</v>
      </c>
      <c r="AO79" s="528">
        <v>0</v>
      </c>
      <c r="AP79" s="528">
        <v>0</v>
      </c>
      <c r="AQ79" s="528">
        <v>0</v>
      </c>
      <c r="AR79" s="528">
        <v>0</v>
      </c>
      <c r="AS79" s="528">
        <v>0</v>
      </c>
      <c r="AT79" s="528">
        <v>0</v>
      </c>
      <c r="AU79" s="528">
        <v>0</v>
      </c>
      <c r="AV79" s="528">
        <v>0</v>
      </c>
      <c r="AW79" s="528">
        <v>0</v>
      </c>
      <c r="AX79" s="528">
        <v>0</v>
      </c>
      <c r="AY79" s="528">
        <v>0</v>
      </c>
      <c r="AZ79" s="528"/>
      <c r="BA79" s="528" t="s">
        <v>1145</v>
      </c>
      <c r="BB79" s="528"/>
      <c r="BC79" s="528" t="s">
        <v>1145</v>
      </c>
      <c r="BD79" s="528"/>
      <c r="BE79" s="528"/>
      <c r="BF79" s="528"/>
      <c r="BG79" s="529"/>
      <c r="BH79" s="525"/>
      <c r="BI79" s="528"/>
      <c r="BJ79" s="528" t="s">
        <v>1164</v>
      </c>
      <c r="BK79" s="528"/>
      <c r="BL79" s="529" t="s">
        <v>1627</v>
      </c>
      <c r="BM79" s="525" t="s">
        <v>1634</v>
      </c>
      <c r="BN79" s="525" t="s">
        <v>1121</v>
      </c>
    </row>
    <row r="80" spans="1:66" ht="13" customHeight="1" x14ac:dyDescent="0.2">
      <c r="A80" s="525">
        <v>2930</v>
      </c>
      <c r="B80" s="581">
        <v>44574</v>
      </c>
      <c r="C80" s="526" t="s">
        <v>1138</v>
      </c>
      <c r="D80" s="525" t="s">
        <v>1111</v>
      </c>
      <c r="E80" s="527">
        <v>44452</v>
      </c>
      <c r="F80" s="525" t="s">
        <v>1483</v>
      </c>
      <c r="G80" s="525" t="s">
        <v>1550</v>
      </c>
      <c r="H80" s="579">
        <v>75</v>
      </c>
      <c r="I80" s="531" t="s">
        <v>296</v>
      </c>
      <c r="J80" s="485">
        <v>1645</v>
      </c>
      <c r="K80" s="485">
        <v>3000</v>
      </c>
      <c r="L80" s="485">
        <v>3000</v>
      </c>
      <c r="M80" s="485">
        <v>3000</v>
      </c>
      <c r="N80" s="332"/>
      <c r="O80" s="406">
        <v>1.6818181818181817</v>
      </c>
      <c r="P80" s="406">
        <v>1.4999999999999998</v>
      </c>
      <c r="Q80" s="406">
        <v>0</v>
      </c>
      <c r="R80" s="406">
        <v>0</v>
      </c>
      <c r="S80" s="406">
        <v>1.2818181818181817</v>
      </c>
      <c r="T80" s="580"/>
      <c r="U80" s="406">
        <v>1.6818181818181817</v>
      </c>
      <c r="V80" s="406">
        <v>1.4999999999999998</v>
      </c>
      <c r="W80" s="406">
        <v>0</v>
      </c>
      <c r="X80" s="406">
        <v>0</v>
      </c>
      <c r="Y80" s="406">
        <v>1.2818181818181817</v>
      </c>
      <c r="Z80" s="580"/>
      <c r="AA80" s="580"/>
      <c r="AB80" s="580"/>
      <c r="AC80" s="580"/>
      <c r="AD80" s="580"/>
      <c r="AE80" s="580"/>
      <c r="AF80" s="580"/>
      <c r="AG80" s="333" t="s">
        <v>1145</v>
      </c>
      <c r="AH80" s="333"/>
      <c r="AI80" s="528">
        <v>3</v>
      </c>
      <c r="AJ80" s="528">
        <v>3</v>
      </c>
      <c r="AK80" s="480">
        <v>0.5</v>
      </c>
      <c r="AL80" s="480">
        <v>0.5</v>
      </c>
      <c r="AM80" s="525"/>
      <c r="AN80" s="528">
        <v>0</v>
      </c>
      <c r="AO80" s="528">
        <v>0</v>
      </c>
      <c r="AP80" s="528">
        <v>0</v>
      </c>
      <c r="AQ80" s="528">
        <v>0</v>
      </c>
      <c r="AR80" s="528">
        <v>0</v>
      </c>
      <c r="AS80" s="528">
        <v>0</v>
      </c>
      <c r="AT80" s="528">
        <v>0</v>
      </c>
      <c r="AU80" s="528">
        <v>0</v>
      </c>
      <c r="AV80" s="528">
        <v>0</v>
      </c>
      <c r="AW80" s="528">
        <v>0</v>
      </c>
      <c r="AX80" s="528">
        <v>0</v>
      </c>
      <c r="AY80" s="528">
        <v>0</v>
      </c>
      <c r="AZ80" s="528"/>
      <c r="BA80" s="528" t="s">
        <v>1145</v>
      </c>
      <c r="BB80" s="528"/>
      <c r="BC80" s="528" t="s">
        <v>1145</v>
      </c>
      <c r="BD80" s="528"/>
      <c r="BE80" s="528">
        <v>12</v>
      </c>
      <c r="BF80" s="564"/>
      <c r="BG80" s="529"/>
      <c r="BH80" s="525"/>
      <c r="BI80" s="528"/>
      <c r="BJ80" s="528" t="s">
        <v>4</v>
      </c>
      <c r="BK80" s="528"/>
      <c r="BL80" s="529"/>
      <c r="BM80" s="525" t="s">
        <v>430</v>
      </c>
      <c r="BN80" s="525" t="s">
        <v>368</v>
      </c>
    </row>
    <row r="81" spans="1:66" ht="13" customHeight="1" x14ac:dyDescent="0.2">
      <c r="A81" s="525">
        <v>3234</v>
      </c>
      <c r="B81" s="581">
        <v>44573</v>
      </c>
      <c r="C81" s="526" t="s">
        <v>1138</v>
      </c>
      <c r="D81" s="525" t="s">
        <v>1111</v>
      </c>
      <c r="E81" s="527">
        <v>44562</v>
      </c>
      <c r="F81" s="529" t="s">
        <v>1619</v>
      </c>
      <c r="G81" s="525" t="s">
        <v>1620</v>
      </c>
      <c r="H81" s="579">
        <v>59.909090909090907</v>
      </c>
      <c r="I81" s="531" t="s">
        <v>296</v>
      </c>
      <c r="J81" s="485">
        <v>1645</v>
      </c>
      <c r="K81" s="485">
        <v>3000</v>
      </c>
      <c r="L81" s="485">
        <v>3000</v>
      </c>
      <c r="M81" s="485">
        <v>3000</v>
      </c>
      <c r="N81" s="332"/>
      <c r="O81" s="406">
        <v>2.627272727272727</v>
      </c>
      <c r="P81" s="406">
        <v>2.4909090909090907</v>
      </c>
      <c r="Q81" s="406">
        <v>0</v>
      </c>
      <c r="R81" s="406">
        <v>0</v>
      </c>
      <c r="S81" s="406">
        <v>1.9090909090909089</v>
      </c>
      <c r="T81" s="580"/>
      <c r="U81" s="406">
        <v>2.627272727272727</v>
      </c>
      <c r="V81" s="406">
        <v>2.4909090909090907</v>
      </c>
      <c r="W81" s="406">
        <v>0</v>
      </c>
      <c r="X81" s="406">
        <v>0</v>
      </c>
      <c r="Y81" s="406">
        <v>1.9090909090909089</v>
      </c>
      <c r="Z81" s="580"/>
      <c r="AA81" s="580"/>
      <c r="AB81" s="580"/>
      <c r="AC81" s="580"/>
      <c r="AD81" s="580"/>
      <c r="AE81" s="580"/>
      <c r="AF81" s="580"/>
      <c r="AG81" s="528" t="s">
        <v>1145</v>
      </c>
      <c r="AH81" s="528"/>
      <c r="AI81" s="528">
        <v>3</v>
      </c>
      <c r="AJ81" s="528">
        <v>3</v>
      </c>
      <c r="AK81" s="480">
        <v>0.5</v>
      </c>
      <c r="AL81" s="480">
        <v>0.5</v>
      </c>
      <c r="AM81" s="525"/>
      <c r="AN81" s="528">
        <v>0</v>
      </c>
      <c r="AO81" s="528">
        <v>22</v>
      </c>
      <c r="AP81" s="528">
        <v>0</v>
      </c>
      <c r="AQ81" s="528">
        <v>0</v>
      </c>
      <c r="AR81" s="528">
        <v>0</v>
      </c>
      <c r="AS81" s="528">
        <v>0</v>
      </c>
      <c r="AT81" s="528">
        <v>0</v>
      </c>
      <c r="AU81" s="528">
        <v>0</v>
      </c>
      <c r="AV81" s="528">
        <v>0</v>
      </c>
      <c r="AW81" s="528">
        <v>0</v>
      </c>
      <c r="AX81" s="528">
        <v>0</v>
      </c>
      <c r="AY81" s="528">
        <v>0</v>
      </c>
      <c r="AZ81" s="528"/>
      <c r="BA81" s="528" t="s">
        <v>1145</v>
      </c>
      <c r="BB81" s="528"/>
      <c r="BC81" s="528" t="s">
        <v>1145</v>
      </c>
      <c r="BD81" s="528"/>
      <c r="BE81" s="528"/>
      <c r="BF81" s="528"/>
      <c r="BG81" s="529"/>
      <c r="BH81" s="525"/>
      <c r="BI81" s="528"/>
      <c r="BJ81" s="528" t="s">
        <v>4</v>
      </c>
      <c r="BK81" s="528"/>
      <c r="BL81" s="529" t="s">
        <v>1629</v>
      </c>
      <c r="BM81" s="525" t="s">
        <v>1635</v>
      </c>
      <c r="BN81" s="525" t="s">
        <v>1121</v>
      </c>
    </row>
    <row r="82" spans="1:66" ht="13" customHeight="1" x14ac:dyDescent="0.2">
      <c r="A82" s="525">
        <v>3033</v>
      </c>
      <c r="B82" s="581">
        <v>44574</v>
      </c>
      <c r="C82" s="526" t="s">
        <v>1138</v>
      </c>
      <c r="D82" s="525" t="s">
        <v>1113</v>
      </c>
      <c r="E82" s="527">
        <v>44562</v>
      </c>
      <c r="F82" s="529" t="s">
        <v>1139</v>
      </c>
      <c r="G82" s="525" t="s">
        <v>1562</v>
      </c>
      <c r="H82" s="579">
        <v>93.11818181818181</v>
      </c>
      <c r="I82" s="531" t="s">
        <v>296</v>
      </c>
      <c r="J82" s="459">
        <v>6000</v>
      </c>
      <c r="K82" s="459">
        <v>12000</v>
      </c>
      <c r="L82" s="459">
        <v>84000</v>
      </c>
      <c r="M82" s="459">
        <v>84000</v>
      </c>
      <c r="N82" s="525"/>
      <c r="O82" s="406">
        <v>1.9818181818181817</v>
      </c>
      <c r="P82" s="406">
        <v>1.9545454545454544</v>
      </c>
      <c r="Q82" s="406">
        <v>1.6363636363636362</v>
      </c>
      <c r="R82" s="406">
        <v>0</v>
      </c>
      <c r="S82" s="406">
        <v>1.4636363636363636</v>
      </c>
      <c r="T82" s="580"/>
      <c r="U82" s="406">
        <v>1.8181818181818181</v>
      </c>
      <c r="V82" s="406">
        <v>1.5090909090909088</v>
      </c>
      <c r="W82" s="406">
        <v>1.4090909090909089</v>
      </c>
      <c r="X82" s="406">
        <v>0</v>
      </c>
      <c r="Y82" s="406">
        <v>1.3909090909090909</v>
      </c>
      <c r="Z82" s="580"/>
      <c r="AA82" s="580"/>
      <c r="AB82" s="580"/>
      <c r="AC82" s="580"/>
      <c r="AD82" s="580"/>
      <c r="AE82" s="580"/>
      <c r="AF82" s="580"/>
      <c r="AG82" s="528" t="s">
        <v>1143</v>
      </c>
      <c r="AH82" s="528" t="s">
        <v>1144</v>
      </c>
      <c r="AI82" s="528">
        <v>2</v>
      </c>
      <c r="AJ82" s="528">
        <v>4</v>
      </c>
      <c r="AK82" s="483">
        <v>0.33329999999999999</v>
      </c>
      <c r="AL82" s="483">
        <v>0.66659999999999997</v>
      </c>
      <c r="AM82" s="525" t="s">
        <v>1124</v>
      </c>
      <c r="AN82" s="528">
        <v>0</v>
      </c>
      <c r="AO82" s="528">
        <v>0</v>
      </c>
      <c r="AP82" s="528">
        <v>0</v>
      </c>
      <c r="AQ82" s="528">
        <v>0</v>
      </c>
      <c r="AR82" s="528">
        <v>0</v>
      </c>
      <c r="AS82" s="528">
        <v>0</v>
      </c>
      <c r="AT82" s="528">
        <v>0</v>
      </c>
      <c r="AU82" s="528">
        <v>0</v>
      </c>
      <c r="AV82" s="528">
        <v>0</v>
      </c>
      <c r="AW82" s="528">
        <v>0</v>
      </c>
      <c r="AX82" s="528">
        <v>0</v>
      </c>
      <c r="AY82" s="528">
        <v>0</v>
      </c>
      <c r="AZ82" s="528"/>
      <c r="BA82" s="528" t="s">
        <v>1145</v>
      </c>
      <c r="BB82" s="528"/>
      <c r="BC82" s="528" t="s">
        <v>1145</v>
      </c>
      <c r="BD82" s="528"/>
      <c r="BE82" s="528"/>
      <c r="BF82" s="528"/>
      <c r="BG82" s="529"/>
      <c r="BH82" s="525"/>
      <c r="BI82" s="528"/>
      <c r="BJ82" s="528" t="s">
        <v>1146</v>
      </c>
      <c r="BK82" s="528"/>
      <c r="BL82" s="529"/>
      <c r="BM82" s="529" t="s">
        <v>430</v>
      </c>
      <c r="BN82" s="525" t="s">
        <v>408</v>
      </c>
    </row>
    <row r="83" spans="1:66" ht="13" customHeight="1" x14ac:dyDescent="0.2">
      <c r="A83" s="525">
        <v>2502</v>
      </c>
      <c r="B83" s="581">
        <v>44574</v>
      </c>
      <c r="C83" s="526" t="s">
        <v>1138</v>
      </c>
      <c r="D83" s="525" t="s">
        <v>1113</v>
      </c>
      <c r="E83" s="527">
        <v>44522</v>
      </c>
      <c r="F83" s="529" t="s">
        <v>1148</v>
      </c>
      <c r="G83" s="525" t="s">
        <v>1280</v>
      </c>
      <c r="H83" s="579">
        <v>72.381818181818176</v>
      </c>
      <c r="I83" s="531" t="s">
        <v>296</v>
      </c>
      <c r="J83" s="568">
        <v>6000</v>
      </c>
      <c r="K83" s="568">
        <v>6000</v>
      </c>
      <c r="L83" s="568">
        <v>6000</v>
      </c>
      <c r="M83" s="568">
        <v>6000</v>
      </c>
      <c r="N83" s="525"/>
      <c r="O83" s="406">
        <v>1.6818181818181817</v>
      </c>
      <c r="P83" s="406">
        <v>0</v>
      </c>
      <c r="Q83" s="406">
        <v>0</v>
      </c>
      <c r="R83" s="406">
        <v>0</v>
      </c>
      <c r="S83" s="406">
        <v>1.5090909090909088</v>
      </c>
      <c r="T83" s="580"/>
      <c r="U83" s="406">
        <v>1.4272727272727272</v>
      </c>
      <c r="V83" s="406">
        <v>0</v>
      </c>
      <c r="W83" s="406">
        <v>0</v>
      </c>
      <c r="X83" s="406">
        <v>0</v>
      </c>
      <c r="Y83" s="406">
        <v>1.2545454545454544</v>
      </c>
      <c r="Z83" s="580"/>
      <c r="AA83" s="580"/>
      <c r="AB83" s="580"/>
      <c r="AC83" s="580"/>
      <c r="AD83" s="580"/>
      <c r="AE83" s="580"/>
      <c r="AF83" s="580"/>
      <c r="AG83" s="528" t="s">
        <v>1143</v>
      </c>
      <c r="AH83" s="528" t="s">
        <v>1144</v>
      </c>
      <c r="AI83" s="528">
        <v>2</v>
      </c>
      <c r="AJ83" s="528">
        <v>4</v>
      </c>
      <c r="AK83" s="483">
        <v>0.33329999999999999</v>
      </c>
      <c r="AL83" s="483">
        <v>0.66659999999999997</v>
      </c>
      <c r="AM83" s="525" t="s">
        <v>1124</v>
      </c>
      <c r="AN83" s="528">
        <v>0</v>
      </c>
      <c r="AO83" s="528">
        <v>0</v>
      </c>
      <c r="AP83" s="528">
        <v>0</v>
      </c>
      <c r="AQ83" s="528">
        <v>0</v>
      </c>
      <c r="AR83" s="528">
        <v>0</v>
      </c>
      <c r="AS83" s="528">
        <v>0</v>
      </c>
      <c r="AT83" s="528">
        <v>0</v>
      </c>
      <c r="AU83" s="528">
        <v>0</v>
      </c>
      <c r="AV83" s="528">
        <v>0</v>
      </c>
      <c r="AW83" s="528">
        <v>0</v>
      </c>
      <c r="AX83" s="528">
        <v>0</v>
      </c>
      <c r="AY83" s="528">
        <v>0</v>
      </c>
      <c r="AZ83" s="528"/>
      <c r="BA83" s="528" t="s">
        <v>1145</v>
      </c>
      <c r="BB83" s="528"/>
      <c r="BC83" s="528" t="s">
        <v>1145</v>
      </c>
      <c r="BD83" s="528"/>
      <c r="BE83" s="528"/>
      <c r="BF83" s="528"/>
      <c r="BG83" s="529"/>
      <c r="BH83" s="525"/>
      <c r="BI83" s="528"/>
      <c r="BJ83" s="528" t="s">
        <v>4</v>
      </c>
      <c r="BK83" s="528"/>
      <c r="BL83" s="529"/>
      <c r="BM83" s="525" t="s">
        <v>430</v>
      </c>
      <c r="BN83" s="525" t="s">
        <v>368</v>
      </c>
    </row>
    <row r="84" spans="1:66" ht="13" customHeight="1" x14ac:dyDescent="0.2">
      <c r="A84" s="525">
        <v>2967</v>
      </c>
      <c r="B84" s="581">
        <v>44575</v>
      </c>
      <c r="C84" s="526" t="s">
        <v>1138</v>
      </c>
      <c r="D84" s="525" t="s">
        <v>1113</v>
      </c>
      <c r="E84" s="527">
        <v>44573</v>
      </c>
      <c r="F84" s="529" t="s">
        <v>1286</v>
      </c>
      <c r="G84" s="525" t="s">
        <v>1564</v>
      </c>
      <c r="H84" s="579">
        <v>85</v>
      </c>
      <c r="I84" s="531" t="s">
        <v>296</v>
      </c>
      <c r="J84" s="459">
        <v>6000</v>
      </c>
      <c r="K84" s="459">
        <v>12000</v>
      </c>
      <c r="L84" s="459">
        <v>84000</v>
      </c>
      <c r="M84" s="459">
        <v>84000</v>
      </c>
      <c r="N84" s="525"/>
      <c r="O84" s="406">
        <v>2.0272727272727269</v>
      </c>
      <c r="P84" s="406">
        <v>1.8636363636363633</v>
      </c>
      <c r="Q84" s="406">
        <v>1.5818181818181818</v>
      </c>
      <c r="R84" s="406">
        <v>0</v>
      </c>
      <c r="S84" s="406">
        <v>1.5818181818181818</v>
      </c>
      <c r="T84" s="580"/>
      <c r="U84" s="406">
        <v>1.5545454545454545</v>
      </c>
      <c r="V84" s="406">
        <v>1.5363636363636362</v>
      </c>
      <c r="W84" s="406">
        <v>1.4636363636363636</v>
      </c>
      <c r="X84" s="406">
        <v>0</v>
      </c>
      <c r="Y84" s="406">
        <v>1.3909090909090909</v>
      </c>
      <c r="Z84" s="580"/>
      <c r="AA84" s="580"/>
      <c r="AB84" s="580"/>
      <c r="AC84" s="580"/>
      <c r="AD84" s="580"/>
      <c r="AE84" s="580"/>
      <c r="AF84" s="580"/>
      <c r="AG84" s="528" t="s">
        <v>1143</v>
      </c>
      <c r="AH84" s="528" t="s">
        <v>1144</v>
      </c>
      <c r="AI84" s="528">
        <v>2</v>
      </c>
      <c r="AJ84" s="528">
        <v>4</v>
      </c>
      <c r="AK84" s="483">
        <v>0.33329999999999999</v>
      </c>
      <c r="AL84" s="483">
        <v>0.66659999999999997</v>
      </c>
      <c r="AM84" s="525" t="s">
        <v>1124</v>
      </c>
      <c r="AN84" s="528">
        <v>0</v>
      </c>
      <c r="AO84" s="528">
        <v>20</v>
      </c>
      <c r="AP84" s="528">
        <v>0</v>
      </c>
      <c r="AQ84" s="528">
        <v>0</v>
      </c>
      <c r="AR84" s="528">
        <v>0</v>
      </c>
      <c r="AS84" s="528">
        <v>0</v>
      </c>
      <c r="AT84" s="528">
        <v>0</v>
      </c>
      <c r="AU84" s="528">
        <v>0</v>
      </c>
      <c r="AV84" s="528">
        <v>0</v>
      </c>
      <c r="AW84" s="528">
        <v>0</v>
      </c>
      <c r="AX84" s="528">
        <v>0</v>
      </c>
      <c r="AY84" s="528">
        <v>0</v>
      </c>
      <c r="AZ84" s="528"/>
      <c r="BA84" s="528" t="s">
        <v>1145</v>
      </c>
      <c r="BB84" s="528"/>
      <c r="BC84" s="528" t="s">
        <v>1145</v>
      </c>
      <c r="BD84" s="528"/>
      <c r="BE84" s="528"/>
      <c r="BF84" s="528"/>
      <c r="BG84" s="529"/>
      <c r="BH84" s="525"/>
      <c r="BI84" s="528"/>
      <c r="BJ84" s="528" t="s">
        <v>1146</v>
      </c>
      <c r="BK84" s="528">
        <v>1</v>
      </c>
      <c r="BL84" s="529"/>
      <c r="BM84" s="529" t="s">
        <v>430</v>
      </c>
      <c r="BN84" s="525" t="s">
        <v>408</v>
      </c>
    </row>
    <row r="85" spans="1:66" ht="13" customHeight="1" x14ac:dyDescent="0.2">
      <c r="A85" s="525">
        <v>2118</v>
      </c>
      <c r="B85" s="582">
        <v>44574</v>
      </c>
      <c r="C85" s="526" t="s">
        <v>1138</v>
      </c>
      <c r="D85" s="525" t="s">
        <v>1113</v>
      </c>
      <c r="E85" s="527">
        <v>44574</v>
      </c>
      <c r="F85" s="529" t="s">
        <v>1156</v>
      </c>
      <c r="G85" s="525" t="s">
        <v>1157</v>
      </c>
      <c r="H85" s="579">
        <v>103.69999999999999</v>
      </c>
      <c r="I85" s="531" t="s">
        <v>296</v>
      </c>
      <c r="J85" s="459">
        <v>6000</v>
      </c>
      <c r="K85" s="459">
        <v>12000</v>
      </c>
      <c r="L85" s="459">
        <v>84000</v>
      </c>
      <c r="M85" s="459">
        <v>84000</v>
      </c>
      <c r="N85" s="525"/>
      <c r="O85" s="406">
        <v>2.5818181818181816</v>
      </c>
      <c r="P85" s="406">
        <v>2.3727272727272726</v>
      </c>
      <c r="Q85" s="406">
        <v>2.0909090909090904</v>
      </c>
      <c r="R85" s="406">
        <v>0</v>
      </c>
      <c r="S85" s="406">
        <v>1.8818181818181816</v>
      </c>
      <c r="T85" s="580"/>
      <c r="U85" s="406">
        <v>2.127272727272727</v>
      </c>
      <c r="V85" s="406">
        <v>2.1090909090909089</v>
      </c>
      <c r="W85" s="406">
        <v>2.0181818181818181</v>
      </c>
      <c r="X85" s="406">
        <v>0</v>
      </c>
      <c r="Y85" s="406">
        <v>1.7909090909090908</v>
      </c>
      <c r="Z85" s="580"/>
      <c r="AA85" s="580"/>
      <c r="AB85" s="580"/>
      <c r="AC85" s="580"/>
      <c r="AD85" s="580"/>
      <c r="AE85" s="580"/>
      <c r="AF85" s="580"/>
      <c r="AG85" s="528" t="s">
        <v>1143</v>
      </c>
      <c r="AH85" s="528" t="s">
        <v>1144</v>
      </c>
      <c r="AI85" s="528">
        <v>2</v>
      </c>
      <c r="AJ85" s="528">
        <v>4</v>
      </c>
      <c r="AK85" s="483">
        <v>0.33329999999999999</v>
      </c>
      <c r="AL85" s="483">
        <v>0.66659999999999997</v>
      </c>
      <c r="AM85" s="525" t="s">
        <v>1124</v>
      </c>
      <c r="AN85" s="528">
        <v>24</v>
      </c>
      <c r="AO85" s="528">
        <v>0</v>
      </c>
      <c r="AP85" s="528">
        <v>0</v>
      </c>
      <c r="AQ85" s="528">
        <v>0</v>
      </c>
      <c r="AR85" s="528">
        <v>0</v>
      </c>
      <c r="AS85" s="528">
        <v>0</v>
      </c>
      <c r="AT85" s="528">
        <v>0</v>
      </c>
      <c r="AU85" s="528">
        <v>0</v>
      </c>
      <c r="AV85" s="528">
        <v>0</v>
      </c>
      <c r="AW85" s="528">
        <v>0</v>
      </c>
      <c r="AX85" s="528">
        <v>0</v>
      </c>
      <c r="AY85" s="528">
        <v>0</v>
      </c>
      <c r="AZ85" s="566">
        <v>12</v>
      </c>
      <c r="BA85" s="528" t="s">
        <v>1145</v>
      </c>
      <c r="BB85" s="528">
        <v>12</v>
      </c>
      <c r="BC85" s="528" t="s">
        <v>1145</v>
      </c>
      <c r="BD85" s="528"/>
      <c r="BE85" s="528">
        <v>12</v>
      </c>
      <c r="BF85" s="528"/>
      <c r="BG85" s="529" t="s">
        <v>1622</v>
      </c>
      <c r="BH85" s="525" t="s">
        <v>365</v>
      </c>
      <c r="BI85" s="528">
        <v>25</v>
      </c>
      <c r="BJ85" s="528" t="s">
        <v>1146</v>
      </c>
      <c r="BK85" s="528"/>
      <c r="BL85" s="529" t="s">
        <v>1623</v>
      </c>
      <c r="BM85" s="525" t="s">
        <v>430</v>
      </c>
      <c r="BN85" s="525" t="s">
        <v>408</v>
      </c>
    </row>
    <row r="86" spans="1:66" ht="13" customHeight="1" x14ac:dyDescent="0.2">
      <c r="A86" s="525">
        <v>2876</v>
      </c>
      <c r="B86" s="581">
        <v>44575</v>
      </c>
      <c r="C86" s="526" t="s">
        <v>1138</v>
      </c>
      <c r="D86" s="525" t="s">
        <v>1113</v>
      </c>
      <c r="E86" s="527">
        <v>44546</v>
      </c>
      <c r="F86" s="529" t="s">
        <v>1159</v>
      </c>
      <c r="G86" s="525" t="s">
        <v>1105</v>
      </c>
      <c r="H86" s="579">
        <v>78.599999999999994</v>
      </c>
      <c r="I86" s="531" t="s">
        <v>296</v>
      </c>
      <c r="J86" s="459">
        <v>6000</v>
      </c>
      <c r="K86" s="459">
        <v>12000</v>
      </c>
      <c r="L86" s="459">
        <v>84000</v>
      </c>
      <c r="M86" s="459">
        <v>84000</v>
      </c>
      <c r="N86" s="525"/>
      <c r="O86" s="406">
        <v>1.8363636363636362</v>
      </c>
      <c r="P86" s="406">
        <v>1.8181818181818181</v>
      </c>
      <c r="Q86" s="406">
        <v>1.7999999999999998</v>
      </c>
      <c r="R86" s="406">
        <v>0</v>
      </c>
      <c r="S86" s="406">
        <v>1.5545454545454545</v>
      </c>
      <c r="T86" s="580"/>
      <c r="U86" s="406">
        <v>1.6818181818181817</v>
      </c>
      <c r="V86" s="406">
        <v>1.6545454545454545</v>
      </c>
      <c r="W86" s="406">
        <v>1.5545454545454545</v>
      </c>
      <c r="X86" s="406">
        <v>0</v>
      </c>
      <c r="Y86" s="406">
        <v>1.4545454545454546</v>
      </c>
      <c r="Z86" s="580"/>
      <c r="AA86" s="580"/>
      <c r="AB86" s="580"/>
      <c r="AC86" s="580"/>
      <c r="AD86" s="580"/>
      <c r="AE86" s="580"/>
      <c r="AF86" s="580"/>
      <c r="AG86" s="528" t="s">
        <v>1143</v>
      </c>
      <c r="AH86" s="528" t="s">
        <v>1144</v>
      </c>
      <c r="AI86" s="528">
        <v>2</v>
      </c>
      <c r="AJ86" s="528">
        <v>4</v>
      </c>
      <c r="AK86" s="483">
        <v>0.33329999999999999</v>
      </c>
      <c r="AL86" s="483">
        <v>0.66659999999999997</v>
      </c>
      <c r="AM86" s="525" t="s">
        <v>1124</v>
      </c>
      <c r="AN86" s="528">
        <v>0</v>
      </c>
      <c r="AO86" s="528">
        <v>0</v>
      </c>
      <c r="AP86" s="528">
        <v>0</v>
      </c>
      <c r="AQ86" s="528">
        <v>0</v>
      </c>
      <c r="AR86" s="528">
        <v>0</v>
      </c>
      <c r="AS86" s="528">
        <v>0</v>
      </c>
      <c r="AT86" s="528">
        <v>0</v>
      </c>
      <c r="AU86" s="528">
        <v>0</v>
      </c>
      <c r="AV86" s="528">
        <v>0</v>
      </c>
      <c r="AW86" s="528">
        <v>0</v>
      </c>
      <c r="AX86" s="528">
        <v>0</v>
      </c>
      <c r="AY86" s="528">
        <v>0</v>
      </c>
      <c r="AZ86" s="528"/>
      <c r="BA86" s="528" t="s">
        <v>1145</v>
      </c>
      <c r="BB86" s="528"/>
      <c r="BC86" s="528" t="s">
        <v>1145</v>
      </c>
      <c r="BD86" s="528"/>
      <c r="BE86" s="528"/>
      <c r="BF86" s="564">
        <v>45169</v>
      </c>
      <c r="BG86" s="529"/>
      <c r="BH86" s="525"/>
      <c r="BI86" s="528"/>
      <c r="BJ86" s="528" t="s">
        <v>1146</v>
      </c>
      <c r="BK86" s="528"/>
      <c r="BL86" s="529"/>
      <c r="BM86" s="529" t="s">
        <v>430</v>
      </c>
      <c r="BN86" s="525" t="s">
        <v>408</v>
      </c>
    </row>
    <row r="87" spans="1:66" ht="13" customHeight="1" x14ac:dyDescent="0.2">
      <c r="A87" s="525">
        <v>317</v>
      </c>
      <c r="B87" s="581">
        <v>44573</v>
      </c>
      <c r="C87" s="526" t="s">
        <v>10</v>
      </c>
      <c r="D87" s="525" t="s">
        <v>1113</v>
      </c>
      <c r="E87" s="527">
        <v>44287</v>
      </c>
      <c r="F87" s="525" t="s">
        <v>24</v>
      </c>
      <c r="G87" s="525" t="s">
        <v>20</v>
      </c>
      <c r="H87" s="579">
        <v>97.899999999999991</v>
      </c>
      <c r="I87" s="531" t="s">
        <v>296</v>
      </c>
      <c r="J87" s="459">
        <v>6000</v>
      </c>
      <c r="K87" s="459">
        <v>12000</v>
      </c>
      <c r="L87" s="459">
        <v>84000</v>
      </c>
      <c r="M87" s="459">
        <v>84000</v>
      </c>
      <c r="N87" s="525"/>
      <c r="O87" s="406">
        <v>2</v>
      </c>
      <c r="P87" s="406">
        <v>1.7999999999999998</v>
      </c>
      <c r="Q87" s="406">
        <v>1.7</v>
      </c>
      <c r="R87" s="406">
        <v>0</v>
      </c>
      <c r="S87" s="406">
        <v>1.5999999999999999</v>
      </c>
      <c r="T87" s="580"/>
      <c r="U87" s="406">
        <v>1.4999999999999998</v>
      </c>
      <c r="V87" s="406">
        <v>1.4999999999999998</v>
      </c>
      <c r="W87" s="406">
        <v>1.4999999999999998</v>
      </c>
      <c r="X87" s="406">
        <v>0</v>
      </c>
      <c r="Y87" s="406">
        <v>1.4</v>
      </c>
      <c r="Z87" s="580"/>
      <c r="AA87" s="580"/>
      <c r="AB87" s="580"/>
      <c r="AC87" s="580"/>
      <c r="AD87" s="580"/>
      <c r="AE87" s="580"/>
      <c r="AF87" s="580"/>
      <c r="AG87" s="528" t="s">
        <v>1116</v>
      </c>
      <c r="AH87" s="528" t="s">
        <v>1117</v>
      </c>
      <c r="AI87" s="528">
        <v>2</v>
      </c>
      <c r="AJ87" s="528">
        <v>4</v>
      </c>
      <c r="AK87" s="483">
        <v>0.33329999999999999</v>
      </c>
      <c r="AL87" s="483">
        <v>0.66659999999999997</v>
      </c>
      <c r="AM87" s="525" t="s">
        <v>1124</v>
      </c>
      <c r="AN87" s="528">
        <v>0</v>
      </c>
      <c r="AO87" s="528">
        <v>0</v>
      </c>
      <c r="AP87" s="528">
        <v>0</v>
      </c>
      <c r="AQ87" s="528">
        <v>0</v>
      </c>
      <c r="AR87" s="528">
        <v>0</v>
      </c>
      <c r="AS87" s="528">
        <v>0</v>
      </c>
      <c r="AT87" s="528">
        <v>0</v>
      </c>
      <c r="AU87" s="528">
        <v>0</v>
      </c>
      <c r="AV87" s="528">
        <v>0</v>
      </c>
      <c r="AW87" s="528">
        <v>0</v>
      </c>
      <c r="AX87" s="528">
        <v>0</v>
      </c>
      <c r="AY87" s="528">
        <v>0</v>
      </c>
      <c r="AZ87" s="528"/>
      <c r="BA87" s="528" t="s">
        <v>38</v>
      </c>
      <c r="BB87" s="528"/>
      <c r="BC87" s="528" t="s">
        <v>38</v>
      </c>
      <c r="BD87" s="528"/>
      <c r="BE87" s="528"/>
      <c r="BF87" s="528"/>
      <c r="BG87" s="529"/>
      <c r="BH87" s="525"/>
      <c r="BI87" s="528"/>
      <c r="BJ87" s="528" t="s">
        <v>4</v>
      </c>
      <c r="BK87" s="528"/>
      <c r="BL87" s="297"/>
      <c r="BM87" s="297" t="s">
        <v>1591</v>
      </c>
      <c r="BN87" s="525" t="s">
        <v>368</v>
      </c>
    </row>
    <row r="88" spans="1:66" ht="13" customHeight="1" x14ac:dyDescent="0.2">
      <c r="A88" s="525">
        <v>2852</v>
      </c>
      <c r="B88" s="581">
        <v>44573</v>
      </c>
      <c r="C88" s="526" t="s">
        <v>1138</v>
      </c>
      <c r="D88" s="525" t="s">
        <v>1113</v>
      </c>
      <c r="E88" s="527">
        <v>44562</v>
      </c>
      <c r="F88" s="529" t="s">
        <v>1166</v>
      </c>
      <c r="G88" s="525" t="s">
        <v>1478</v>
      </c>
      <c r="H88" s="579">
        <v>78.636363636363626</v>
      </c>
      <c r="I88" s="531"/>
      <c r="J88" s="568"/>
      <c r="K88" s="568"/>
      <c r="L88" s="568"/>
      <c r="M88" s="525"/>
      <c r="N88" s="525"/>
      <c r="O88" s="406">
        <v>1.9363636363636361</v>
      </c>
      <c r="P88" s="406">
        <v>0</v>
      </c>
      <c r="Q88" s="406">
        <v>0</v>
      </c>
      <c r="R88" s="406">
        <v>0</v>
      </c>
      <c r="S88" s="406">
        <v>0</v>
      </c>
      <c r="T88" s="580"/>
      <c r="U88" s="406">
        <v>1.9363636363636361</v>
      </c>
      <c r="V88" s="406">
        <v>0</v>
      </c>
      <c r="W88" s="406">
        <v>0</v>
      </c>
      <c r="X88" s="406">
        <v>0</v>
      </c>
      <c r="Y88" s="406">
        <v>0</v>
      </c>
      <c r="Z88" s="580"/>
      <c r="AA88" s="580"/>
      <c r="AB88" s="580"/>
      <c r="AC88" s="580"/>
      <c r="AD88" s="580"/>
      <c r="AE88" s="580"/>
      <c r="AF88" s="580"/>
      <c r="AG88" s="528" t="s">
        <v>1145</v>
      </c>
      <c r="AH88" s="528"/>
      <c r="AI88" s="528">
        <v>3</v>
      </c>
      <c r="AJ88" s="528">
        <v>3</v>
      </c>
      <c r="AK88" s="480">
        <v>0.5</v>
      </c>
      <c r="AL88" s="480">
        <v>0.5</v>
      </c>
      <c r="AM88" s="525"/>
      <c r="AN88" s="528">
        <v>0</v>
      </c>
      <c r="AO88" s="528">
        <v>0</v>
      </c>
      <c r="AP88" s="528">
        <v>0</v>
      </c>
      <c r="AQ88" s="528">
        <v>0</v>
      </c>
      <c r="AR88" s="528">
        <v>0</v>
      </c>
      <c r="AS88" s="528">
        <v>0</v>
      </c>
      <c r="AT88" s="528">
        <v>0</v>
      </c>
      <c r="AU88" s="528">
        <v>0</v>
      </c>
      <c r="AV88" s="528">
        <v>0</v>
      </c>
      <c r="AW88" s="528">
        <v>0</v>
      </c>
      <c r="AX88" s="528">
        <v>0</v>
      </c>
      <c r="AY88" s="528">
        <v>0</v>
      </c>
      <c r="AZ88" s="528"/>
      <c r="BA88" s="528" t="s">
        <v>1145</v>
      </c>
      <c r="BB88" s="528">
        <v>12</v>
      </c>
      <c r="BC88" s="528" t="s">
        <v>1145</v>
      </c>
      <c r="BD88" s="528"/>
      <c r="BE88" s="528">
        <v>12</v>
      </c>
      <c r="BF88" s="528"/>
      <c r="BG88" s="529"/>
      <c r="BH88" s="525"/>
      <c r="BI88" s="528"/>
      <c r="BJ88" s="528" t="s">
        <v>1146</v>
      </c>
      <c r="BK88" s="528"/>
      <c r="BL88" s="529"/>
      <c r="BM88" s="525" t="s">
        <v>430</v>
      </c>
      <c r="BN88" s="525" t="s">
        <v>408</v>
      </c>
    </row>
    <row r="89" spans="1:66" ht="13" customHeight="1" x14ac:dyDescent="0.2">
      <c r="A89" s="525">
        <v>2399</v>
      </c>
      <c r="B89" s="581">
        <v>44575</v>
      </c>
      <c r="C89" s="526" t="s">
        <v>1138</v>
      </c>
      <c r="D89" s="525" t="s">
        <v>1113</v>
      </c>
      <c r="E89" s="570">
        <v>44546</v>
      </c>
      <c r="F89" s="529" t="s">
        <v>1168</v>
      </c>
      <c r="G89" s="525" t="s">
        <v>1297</v>
      </c>
      <c r="H89" s="579">
        <v>74.25454545454545</v>
      </c>
      <c r="I89" s="531" t="s">
        <v>296</v>
      </c>
      <c r="J89" s="459">
        <v>6000</v>
      </c>
      <c r="K89" s="459">
        <v>12000</v>
      </c>
      <c r="L89" s="459">
        <v>84000</v>
      </c>
      <c r="M89" s="459">
        <v>84000</v>
      </c>
      <c r="N89" s="525"/>
      <c r="O89" s="406">
        <v>1.9363636363636361</v>
      </c>
      <c r="P89" s="406">
        <v>1.7999999999999998</v>
      </c>
      <c r="Q89" s="406">
        <v>1.6181818181818182</v>
      </c>
      <c r="R89" s="406">
        <v>0</v>
      </c>
      <c r="S89" s="406">
        <v>1.5272727272727271</v>
      </c>
      <c r="T89" s="580"/>
      <c r="U89" s="406">
        <v>1.7999999999999998</v>
      </c>
      <c r="V89" s="406">
        <v>1.7545454545454544</v>
      </c>
      <c r="W89" s="406">
        <v>1.5727272727272725</v>
      </c>
      <c r="X89" s="406">
        <v>0</v>
      </c>
      <c r="Y89" s="406">
        <v>1.4818181818181817</v>
      </c>
      <c r="Z89" s="580"/>
      <c r="AA89" s="580"/>
      <c r="AB89" s="580"/>
      <c r="AC89" s="580"/>
      <c r="AD89" s="580"/>
      <c r="AE89" s="580"/>
      <c r="AF89" s="580"/>
      <c r="AG89" s="528" t="s">
        <v>1143</v>
      </c>
      <c r="AH89" s="528" t="s">
        <v>1144</v>
      </c>
      <c r="AI89" s="528">
        <v>2</v>
      </c>
      <c r="AJ89" s="528">
        <v>4</v>
      </c>
      <c r="AK89" s="483">
        <v>0.33329999999999999</v>
      </c>
      <c r="AL89" s="483">
        <v>0.66659999999999997</v>
      </c>
      <c r="AM89" s="525" t="s">
        <v>1124</v>
      </c>
      <c r="AN89" s="528">
        <v>0</v>
      </c>
      <c r="AO89" s="528">
        <v>0</v>
      </c>
      <c r="AP89" s="528">
        <v>0</v>
      </c>
      <c r="AQ89" s="528">
        <v>0</v>
      </c>
      <c r="AR89" s="528">
        <v>0</v>
      </c>
      <c r="AS89" s="528">
        <v>0</v>
      </c>
      <c r="AT89" s="528">
        <v>0</v>
      </c>
      <c r="AU89" s="528">
        <v>0</v>
      </c>
      <c r="AV89" s="528">
        <v>0</v>
      </c>
      <c r="AW89" s="528">
        <v>0</v>
      </c>
      <c r="AX89" s="528">
        <v>0</v>
      </c>
      <c r="AY89" s="528">
        <v>0</v>
      </c>
      <c r="AZ89" s="528"/>
      <c r="BA89" s="528" t="s">
        <v>1145</v>
      </c>
      <c r="BB89" s="528"/>
      <c r="BC89" s="528" t="s">
        <v>1145</v>
      </c>
      <c r="BD89" s="528"/>
      <c r="BE89" s="528"/>
      <c r="BF89" s="528"/>
      <c r="BG89" s="529"/>
      <c r="BH89" s="525"/>
      <c r="BI89" s="528"/>
      <c r="BJ89" s="528" t="s">
        <v>1146</v>
      </c>
      <c r="BK89" s="528"/>
      <c r="BL89" s="529"/>
      <c r="BM89" s="529" t="s">
        <v>430</v>
      </c>
      <c r="BN89" s="525" t="s">
        <v>408</v>
      </c>
    </row>
    <row r="90" spans="1:66" ht="13" customHeight="1" x14ac:dyDescent="0.2">
      <c r="A90" s="525">
        <v>607</v>
      </c>
      <c r="B90" s="581">
        <v>44575</v>
      </c>
      <c r="C90" s="526" t="s">
        <v>1138</v>
      </c>
      <c r="D90" s="525" t="s">
        <v>1113</v>
      </c>
      <c r="E90" s="570">
        <v>44562</v>
      </c>
      <c r="F90" s="529" t="s">
        <v>1169</v>
      </c>
      <c r="G90" s="525" t="s">
        <v>1617</v>
      </c>
      <c r="H90" s="579">
        <v>87.654545454545456</v>
      </c>
      <c r="I90" s="531" t="s">
        <v>296</v>
      </c>
      <c r="J90" s="459">
        <v>6000</v>
      </c>
      <c r="K90" s="459">
        <v>12000</v>
      </c>
      <c r="L90" s="459">
        <v>84000</v>
      </c>
      <c r="M90" s="459">
        <v>84000</v>
      </c>
      <c r="N90" s="525"/>
      <c r="O90" s="406">
        <v>2.9363636363636361</v>
      </c>
      <c r="P90" s="406">
        <v>2.9</v>
      </c>
      <c r="Q90" s="406">
        <v>2.2999999999999998</v>
      </c>
      <c r="R90" s="406">
        <v>0</v>
      </c>
      <c r="S90" s="406">
        <v>2.2909090909090906</v>
      </c>
      <c r="T90" s="580"/>
      <c r="U90" s="406">
        <v>2.4</v>
      </c>
      <c r="V90" s="406">
        <v>2.3545454545454541</v>
      </c>
      <c r="W90" s="406">
        <v>2.2181818181818178</v>
      </c>
      <c r="X90" s="406">
        <v>0</v>
      </c>
      <c r="Y90" s="406">
        <v>2.0636363636363635</v>
      </c>
      <c r="Z90" s="580"/>
      <c r="AA90" s="580"/>
      <c r="AB90" s="580"/>
      <c r="AC90" s="580"/>
      <c r="AD90" s="580"/>
      <c r="AE90" s="580"/>
      <c r="AF90" s="580"/>
      <c r="AG90" s="528" t="s">
        <v>1143</v>
      </c>
      <c r="AH90" s="528" t="s">
        <v>1144</v>
      </c>
      <c r="AI90" s="528">
        <v>2</v>
      </c>
      <c r="AJ90" s="528">
        <v>4</v>
      </c>
      <c r="AK90" s="483">
        <v>0.33329999999999999</v>
      </c>
      <c r="AL90" s="483">
        <v>0.66659999999999997</v>
      </c>
      <c r="AM90" s="525" t="s">
        <v>1124</v>
      </c>
      <c r="AN90" s="528">
        <v>32</v>
      </c>
      <c r="AO90" s="528">
        <v>0</v>
      </c>
      <c r="AP90" s="528">
        <v>0</v>
      </c>
      <c r="AQ90" s="528">
        <v>0</v>
      </c>
      <c r="AR90" s="528">
        <v>0</v>
      </c>
      <c r="AS90" s="528">
        <v>0</v>
      </c>
      <c r="AT90" s="528">
        <v>0</v>
      </c>
      <c r="AU90" s="528">
        <v>0</v>
      </c>
      <c r="AV90" s="528">
        <v>0</v>
      </c>
      <c r="AW90" s="528">
        <v>0</v>
      </c>
      <c r="AX90" s="528">
        <v>0</v>
      </c>
      <c r="AY90" s="528">
        <v>0</v>
      </c>
      <c r="AZ90" s="528"/>
      <c r="BA90" s="528" t="s">
        <v>1145</v>
      </c>
      <c r="BB90" s="528"/>
      <c r="BC90" s="528" t="s">
        <v>1145</v>
      </c>
      <c r="BD90" s="528"/>
      <c r="BE90" s="528"/>
      <c r="BF90" s="528"/>
      <c r="BG90" s="529"/>
      <c r="BH90" s="525"/>
      <c r="BI90" s="528"/>
      <c r="BJ90" s="528" t="s">
        <v>1146</v>
      </c>
      <c r="BK90" s="528"/>
      <c r="BL90" s="529" t="s">
        <v>1626</v>
      </c>
      <c r="BM90" s="529" t="s">
        <v>430</v>
      </c>
      <c r="BN90" s="525" t="s">
        <v>408</v>
      </c>
    </row>
    <row r="91" spans="1:66" ht="13" customHeight="1" x14ac:dyDescent="0.2">
      <c r="A91" s="525">
        <v>1687</v>
      </c>
      <c r="B91" s="582">
        <v>44577</v>
      </c>
      <c r="C91" s="526" t="s">
        <v>295</v>
      </c>
      <c r="D91" s="525" t="s">
        <v>1113</v>
      </c>
      <c r="E91" s="527">
        <v>44563</v>
      </c>
      <c r="F91" s="529" t="s">
        <v>1106</v>
      </c>
      <c r="G91" s="525" t="s">
        <v>2</v>
      </c>
      <c r="H91" s="579">
        <v>77.999999999999986</v>
      </c>
      <c r="I91" s="531" t="s">
        <v>296</v>
      </c>
      <c r="J91" s="568">
        <v>6000</v>
      </c>
      <c r="K91" s="568">
        <v>6000</v>
      </c>
      <c r="L91" s="568">
        <v>6000</v>
      </c>
      <c r="M91" s="568">
        <v>6000</v>
      </c>
      <c r="N91" s="525"/>
      <c r="O91" s="406">
        <v>1.5999999999999999</v>
      </c>
      <c r="P91" s="406">
        <v>0</v>
      </c>
      <c r="Q91" s="406">
        <v>0</v>
      </c>
      <c r="R91" s="406">
        <v>0</v>
      </c>
      <c r="S91" s="406">
        <v>1.5999999999999999</v>
      </c>
      <c r="T91" s="580"/>
      <c r="U91" s="406">
        <v>1.5999999999999999</v>
      </c>
      <c r="V91" s="406">
        <v>0</v>
      </c>
      <c r="W91" s="406">
        <v>0</v>
      </c>
      <c r="X91" s="406">
        <v>0</v>
      </c>
      <c r="Y91" s="406">
        <v>1.5999999999999999</v>
      </c>
      <c r="Z91" s="580"/>
      <c r="AA91" s="580"/>
      <c r="AB91" s="580"/>
      <c r="AC91" s="580"/>
      <c r="AD91" s="580"/>
      <c r="AE91" s="580"/>
      <c r="AF91" s="580"/>
      <c r="AG91" s="528" t="s">
        <v>1145</v>
      </c>
      <c r="AH91" s="528"/>
      <c r="AI91" s="528">
        <v>3</v>
      </c>
      <c r="AJ91" s="528">
        <v>3</v>
      </c>
      <c r="AK91" s="480">
        <v>0.5</v>
      </c>
      <c r="AL91" s="480">
        <v>0.5</v>
      </c>
      <c r="AM91" s="525"/>
      <c r="AN91" s="528">
        <v>0</v>
      </c>
      <c r="AO91" s="528">
        <v>0</v>
      </c>
      <c r="AP91" s="528">
        <v>0</v>
      </c>
      <c r="AQ91" s="528">
        <v>0</v>
      </c>
      <c r="AR91" s="528">
        <v>0</v>
      </c>
      <c r="AS91" s="528">
        <v>0</v>
      </c>
      <c r="AT91" s="528">
        <v>0</v>
      </c>
      <c r="AU91" s="528">
        <v>0</v>
      </c>
      <c r="AV91" s="528">
        <v>0</v>
      </c>
      <c r="AW91" s="528">
        <v>0</v>
      </c>
      <c r="AX91" s="528">
        <v>0</v>
      </c>
      <c r="AY91" s="528">
        <v>0</v>
      </c>
      <c r="AZ91" s="528"/>
      <c r="BA91" s="528" t="s">
        <v>1145</v>
      </c>
      <c r="BB91" s="528"/>
      <c r="BC91" s="528" t="s">
        <v>1145</v>
      </c>
      <c r="BD91" s="528"/>
      <c r="BE91" s="528"/>
      <c r="BF91" s="529"/>
      <c r="BG91" s="525"/>
      <c r="BH91" s="528"/>
      <c r="BI91" s="528"/>
      <c r="BJ91" s="528" t="s">
        <v>1146</v>
      </c>
      <c r="BK91" s="528">
        <v>1</v>
      </c>
      <c r="BL91" s="525"/>
      <c r="BM91" s="529" t="s">
        <v>430</v>
      </c>
      <c r="BN91" s="525" t="s">
        <v>408</v>
      </c>
    </row>
    <row r="92" spans="1:66" ht="13" customHeight="1" x14ac:dyDescent="0.2">
      <c r="A92" s="525">
        <v>2900</v>
      </c>
      <c r="B92" s="581">
        <v>44575</v>
      </c>
      <c r="C92" s="526" t="s">
        <v>1138</v>
      </c>
      <c r="D92" s="525" t="s">
        <v>1113</v>
      </c>
      <c r="E92" s="527">
        <v>44228</v>
      </c>
      <c r="F92" s="525" t="s">
        <v>34</v>
      </c>
      <c r="G92" s="525" t="s">
        <v>1181</v>
      </c>
      <c r="H92" s="579">
        <v>75.499999999999986</v>
      </c>
      <c r="I92" s="394"/>
      <c r="J92" s="394"/>
      <c r="K92" s="394"/>
      <c r="L92" s="332"/>
      <c r="M92" s="332"/>
      <c r="N92" s="332"/>
      <c r="O92" s="406">
        <v>1.6272727272727272</v>
      </c>
      <c r="P92" s="406">
        <v>0</v>
      </c>
      <c r="Q92" s="406">
        <v>0</v>
      </c>
      <c r="R92" s="406">
        <v>0</v>
      </c>
      <c r="S92" s="406">
        <v>0</v>
      </c>
      <c r="T92" s="580"/>
      <c r="U92" s="406">
        <v>1.4636363636363636</v>
      </c>
      <c r="V92" s="406">
        <v>0</v>
      </c>
      <c r="W92" s="406">
        <v>0</v>
      </c>
      <c r="X92" s="406">
        <v>0</v>
      </c>
      <c r="Y92" s="406">
        <v>0</v>
      </c>
      <c r="Z92" s="580"/>
      <c r="AA92" s="580"/>
      <c r="AB92" s="580"/>
      <c r="AC92" s="580"/>
      <c r="AD92" s="580"/>
      <c r="AE92" s="580"/>
      <c r="AF92" s="580"/>
      <c r="AG92" s="333" t="s">
        <v>1143</v>
      </c>
      <c r="AH92" s="333" t="s">
        <v>1144</v>
      </c>
      <c r="AI92" s="528">
        <v>2</v>
      </c>
      <c r="AJ92" s="528">
        <v>4</v>
      </c>
      <c r="AK92" s="483">
        <v>0.33329999999999999</v>
      </c>
      <c r="AL92" s="483">
        <v>0.66659999999999997</v>
      </c>
      <c r="AM92" s="525" t="s">
        <v>1124</v>
      </c>
      <c r="AN92" s="528">
        <v>0</v>
      </c>
      <c r="AO92" s="528">
        <v>0</v>
      </c>
      <c r="AP92" s="528">
        <v>0</v>
      </c>
      <c r="AQ92" s="528">
        <v>0</v>
      </c>
      <c r="AR92" s="528">
        <v>0</v>
      </c>
      <c r="AS92" s="528">
        <v>0</v>
      </c>
      <c r="AT92" s="528">
        <v>0</v>
      </c>
      <c r="AU92" s="528">
        <v>0</v>
      </c>
      <c r="AV92" s="528">
        <v>0</v>
      </c>
      <c r="AW92" s="528">
        <v>0</v>
      </c>
      <c r="AX92" s="528">
        <v>0</v>
      </c>
      <c r="AY92" s="528">
        <v>0</v>
      </c>
      <c r="AZ92" s="528"/>
      <c r="BA92" s="528" t="s">
        <v>1145</v>
      </c>
      <c r="BB92" s="528"/>
      <c r="BC92" s="528" t="s">
        <v>1145</v>
      </c>
      <c r="BD92" s="528"/>
      <c r="BE92" s="528"/>
      <c r="BF92" s="528"/>
      <c r="BG92" s="529"/>
      <c r="BH92" s="525"/>
      <c r="BI92" s="528"/>
      <c r="BJ92" s="528" t="s">
        <v>1164</v>
      </c>
      <c r="BK92" s="528"/>
      <c r="BL92" s="529" t="s">
        <v>1284</v>
      </c>
      <c r="BM92" s="525" t="s">
        <v>1559</v>
      </c>
      <c r="BN92" s="525" t="s">
        <v>368</v>
      </c>
    </row>
    <row r="93" spans="1:66" ht="13" customHeight="1" x14ac:dyDescent="0.2">
      <c r="A93" s="525">
        <v>2744</v>
      </c>
      <c r="B93" s="581">
        <v>44575</v>
      </c>
      <c r="C93" s="526" t="s">
        <v>1138</v>
      </c>
      <c r="D93" s="525" t="s">
        <v>1113</v>
      </c>
      <c r="E93" s="527">
        <v>44197</v>
      </c>
      <c r="F93" s="525" t="s">
        <v>1274</v>
      </c>
      <c r="G93" s="525" t="s">
        <v>1467</v>
      </c>
      <c r="H93" s="579">
        <v>85.999999999999986</v>
      </c>
      <c r="I93" s="394" t="s">
        <v>296</v>
      </c>
      <c r="J93" s="409">
        <v>6000</v>
      </c>
      <c r="K93" s="332">
        <v>13500</v>
      </c>
      <c r="L93" s="332">
        <v>13500</v>
      </c>
      <c r="M93" s="332">
        <v>13500</v>
      </c>
      <c r="N93" s="332"/>
      <c r="O93" s="406">
        <v>2.1454545454545451</v>
      </c>
      <c r="P93" s="406">
        <v>2.0727272727272723</v>
      </c>
      <c r="Q93" s="406">
        <v>0</v>
      </c>
      <c r="R93" s="406">
        <v>0</v>
      </c>
      <c r="S93" s="406">
        <v>1.7</v>
      </c>
      <c r="T93" s="580"/>
      <c r="U93" s="406">
        <v>2.1454545454545451</v>
      </c>
      <c r="V93" s="406">
        <v>2.0727272727272723</v>
      </c>
      <c r="W93" s="406">
        <v>0</v>
      </c>
      <c r="X93" s="406">
        <v>0</v>
      </c>
      <c r="Y93" s="406">
        <v>1.7</v>
      </c>
      <c r="Z93" s="580"/>
      <c r="AA93" s="580"/>
      <c r="AB93" s="580"/>
      <c r="AC93" s="580"/>
      <c r="AD93" s="580"/>
      <c r="AE93" s="580"/>
      <c r="AF93" s="580"/>
      <c r="AG93" s="333" t="s">
        <v>1145</v>
      </c>
      <c r="AH93" s="333"/>
      <c r="AI93" s="528">
        <v>3</v>
      </c>
      <c r="AJ93" s="528">
        <v>3</v>
      </c>
      <c r="AK93" s="480">
        <v>0.5</v>
      </c>
      <c r="AL93" s="480">
        <v>0.5</v>
      </c>
      <c r="AM93" s="525"/>
      <c r="AN93" s="528">
        <v>0</v>
      </c>
      <c r="AO93" s="528">
        <v>12</v>
      </c>
      <c r="AP93" s="528">
        <v>0</v>
      </c>
      <c r="AQ93" s="528">
        <v>3</v>
      </c>
      <c r="AR93" s="528">
        <v>0</v>
      </c>
      <c r="AS93" s="528">
        <v>0</v>
      </c>
      <c r="AT93" s="528">
        <v>0</v>
      </c>
      <c r="AU93" s="528">
        <v>0</v>
      </c>
      <c r="AV93" s="528">
        <v>0</v>
      </c>
      <c r="AW93" s="528">
        <v>0</v>
      </c>
      <c r="AX93" s="528">
        <v>0</v>
      </c>
      <c r="AY93" s="528">
        <v>0</v>
      </c>
      <c r="AZ93" s="528"/>
      <c r="BA93" s="528" t="s">
        <v>1145</v>
      </c>
      <c r="BB93" s="528"/>
      <c r="BC93" s="528" t="s">
        <v>1145</v>
      </c>
      <c r="BD93" s="528"/>
      <c r="BE93" s="528"/>
      <c r="BF93" s="528"/>
      <c r="BG93" s="529"/>
      <c r="BH93" s="525"/>
      <c r="BI93" s="528"/>
      <c r="BJ93" s="528" t="s">
        <v>1164</v>
      </c>
      <c r="BK93" s="528"/>
      <c r="BL93" s="529"/>
      <c r="BM93" s="529" t="s">
        <v>430</v>
      </c>
      <c r="BN93" s="525" t="s">
        <v>408</v>
      </c>
    </row>
    <row r="94" spans="1:66" ht="13" customHeight="1" x14ac:dyDescent="0.2">
      <c r="A94" s="525">
        <v>3326</v>
      </c>
      <c r="B94" s="581">
        <v>44573</v>
      </c>
      <c r="C94" s="526" t="s">
        <v>1138</v>
      </c>
      <c r="D94" s="525" t="s">
        <v>1113</v>
      </c>
      <c r="E94" s="570">
        <v>44562</v>
      </c>
      <c r="F94" s="525" t="s">
        <v>1291</v>
      </c>
      <c r="G94" s="525" t="s">
        <v>1618</v>
      </c>
      <c r="H94" s="579">
        <v>80.336363636363629</v>
      </c>
      <c r="I94" s="394"/>
      <c r="J94" s="409"/>
      <c r="K94" s="332"/>
      <c r="L94" s="332"/>
      <c r="M94" s="332"/>
      <c r="N94" s="332"/>
      <c r="O94" s="406">
        <v>1.5909090909090908</v>
      </c>
      <c r="P94" s="406">
        <v>0</v>
      </c>
      <c r="Q94" s="406">
        <v>0</v>
      </c>
      <c r="R94" s="406">
        <v>0</v>
      </c>
      <c r="S94" s="406">
        <v>0</v>
      </c>
      <c r="T94" s="580"/>
      <c r="U94" s="406">
        <v>1.4363636363636363</v>
      </c>
      <c r="V94" s="406">
        <v>0</v>
      </c>
      <c r="W94" s="406">
        <v>0</v>
      </c>
      <c r="X94" s="406">
        <v>0</v>
      </c>
      <c r="Y94" s="406">
        <v>0</v>
      </c>
      <c r="Z94" s="580"/>
      <c r="AA94" s="580"/>
      <c r="AB94" s="580"/>
      <c r="AC94" s="580"/>
      <c r="AD94" s="580"/>
      <c r="AE94" s="580"/>
      <c r="AF94" s="580"/>
      <c r="AG94" s="333" t="s">
        <v>1143</v>
      </c>
      <c r="AH94" s="333" t="s">
        <v>1144</v>
      </c>
      <c r="AI94" s="528">
        <v>2</v>
      </c>
      <c r="AJ94" s="528">
        <v>4</v>
      </c>
      <c r="AK94" s="483">
        <v>0.33329999999999999</v>
      </c>
      <c r="AL94" s="483">
        <v>0.66659999999999997</v>
      </c>
      <c r="AM94" s="525" t="s">
        <v>1124</v>
      </c>
      <c r="AN94" s="528">
        <v>0</v>
      </c>
      <c r="AO94" s="528">
        <v>0</v>
      </c>
      <c r="AP94" s="528">
        <v>0</v>
      </c>
      <c r="AQ94" s="528">
        <v>0</v>
      </c>
      <c r="AR94" s="528">
        <v>0</v>
      </c>
      <c r="AS94" s="528">
        <v>0</v>
      </c>
      <c r="AT94" s="528">
        <v>0</v>
      </c>
      <c r="AU94" s="528">
        <v>0</v>
      </c>
      <c r="AV94" s="528">
        <v>0</v>
      </c>
      <c r="AW94" s="528">
        <v>0</v>
      </c>
      <c r="AX94" s="528">
        <v>0</v>
      </c>
      <c r="AY94" s="528">
        <v>0</v>
      </c>
      <c r="AZ94" s="528"/>
      <c r="BA94" s="528" t="s">
        <v>1145</v>
      </c>
      <c r="BB94" s="528"/>
      <c r="BC94" s="528" t="s">
        <v>1145</v>
      </c>
      <c r="BD94" s="528"/>
      <c r="BE94" s="528"/>
      <c r="BF94" s="528"/>
      <c r="BG94" s="529"/>
      <c r="BH94" s="525"/>
      <c r="BI94" s="528"/>
      <c r="BJ94" s="528" t="s">
        <v>1164</v>
      </c>
      <c r="BK94" s="528"/>
      <c r="BL94" s="529" t="s">
        <v>1627</v>
      </c>
      <c r="BM94" s="525" t="s">
        <v>1636</v>
      </c>
      <c r="BN94" s="525" t="s">
        <v>1121</v>
      </c>
    </row>
    <row r="95" spans="1:66" ht="13" customHeight="1" x14ac:dyDescent="0.2">
      <c r="A95" s="525">
        <v>2935</v>
      </c>
      <c r="B95" s="581">
        <v>44574</v>
      </c>
      <c r="C95" s="526" t="s">
        <v>1138</v>
      </c>
      <c r="D95" s="525" t="s">
        <v>1113</v>
      </c>
      <c r="E95" s="527">
        <v>44452</v>
      </c>
      <c r="F95" s="525" t="s">
        <v>1483</v>
      </c>
      <c r="G95" s="525" t="s">
        <v>1550</v>
      </c>
      <c r="H95" s="579">
        <v>94</v>
      </c>
      <c r="I95" s="531" t="s">
        <v>296</v>
      </c>
      <c r="J95" s="459">
        <v>6000</v>
      </c>
      <c r="K95" s="459">
        <v>12000</v>
      </c>
      <c r="L95" s="459">
        <v>84000</v>
      </c>
      <c r="M95" s="459">
        <v>84000</v>
      </c>
      <c r="N95" s="332"/>
      <c r="O95" s="406">
        <v>1.4181818181818182</v>
      </c>
      <c r="P95" s="406">
        <v>1.3090909090909089</v>
      </c>
      <c r="Q95" s="406">
        <v>1.2363636363636363</v>
      </c>
      <c r="R95" s="406">
        <v>0</v>
      </c>
      <c r="S95" s="406">
        <v>1.0999999999999999</v>
      </c>
      <c r="T95" s="580"/>
      <c r="U95" s="406">
        <v>1.1545454545454545</v>
      </c>
      <c r="V95" s="406">
        <v>1.0545454545454545</v>
      </c>
      <c r="W95" s="406">
        <v>1.0363636363636362</v>
      </c>
      <c r="X95" s="406">
        <v>0</v>
      </c>
      <c r="Y95" s="406">
        <v>1</v>
      </c>
      <c r="Z95" s="580"/>
      <c r="AA95" s="580"/>
      <c r="AB95" s="580"/>
      <c r="AC95" s="580"/>
      <c r="AD95" s="580"/>
      <c r="AE95" s="580"/>
      <c r="AF95" s="580"/>
      <c r="AG95" s="333" t="s">
        <v>1143</v>
      </c>
      <c r="AH95" s="333" t="s">
        <v>1144</v>
      </c>
      <c r="AI95" s="528">
        <v>2</v>
      </c>
      <c r="AJ95" s="528">
        <v>4</v>
      </c>
      <c r="AK95" s="483">
        <v>0.33329999999999999</v>
      </c>
      <c r="AL95" s="483">
        <v>0.66659999999999997</v>
      </c>
      <c r="AM95" s="525" t="s">
        <v>1124</v>
      </c>
      <c r="AN95" s="528">
        <v>0</v>
      </c>
      <c r="AO95" s="528">
        <v>0</v>
      </c>
      <c r="AP95" s="528">
        <v>0</v>
      </c>
      <c r="AQ95" s="528">
        <v>0</v>
      </c>
      <c r="AR95" s="528">
        <v>0</v>
      </c>
      <c r="AS95" s="528">
        <v>0</v>
      </c>
      <c r="AT95" s="528">
        <v>0</v>
      </c>
      <c r="AU95" s="528">
        <v>0</v>
      </c>
      <c r="AV95" s="528">
        <v>0</v>
      </c>
      <c r="AW95" s="528">
        <v>0</v>
      </c>
      <c r="AX95" s="528">
        <v>0</v>
      </c>
      <c r="AY95" s="528">
        <v>0</v>
      </c>
      <c r="AZ95" s="528"/>
      <c r="BA95" s="528" t="s">
        <v>1145</v>
      </c>
      <c r="BB95" s="528"/>
      <c r="BC95" s="528" t="s">
        <v>1145</v>
      </c>
      <c r="BD95" s="528"/>
      <c r="BE95" s="528">
        <v>12</v>
      </c>
      <c r="BF95" s="564"/>
      <c r="BG95" s="529"/>
      <c r="BH95" s="525"/>
      <c r="BI95" s="528"/>
      <c r="BJ95" s="528" t="s">
        <v>4</v>
      </c>
      <c r="BK95" s="528"/>
      <c r="BL95" s="529"/>
      <c r="BM95" s="525" t="s">
        <v>430</v>
      </c>
      <c r="BN95" s="525" t="s">
        <v>368</v>
      </c>
    </row>
    <row r="96" spans="1:66" ht="13" customHeight="1" x14ac:dyDescent="0.2">
      <c r="A96" s="525">
        <v>3032</v>
      </c>
      <c r="B96" s="581">
        <v>44574</v>
      </c>
      <c r="C96" s="526" t="s">
        <v>1138</v>
      </c>
      <c r="D96" s="525" t="s">
        <v>1114</v>
      </c>
      <c r="E96" s="527">
        <v>44562</v>
      </c>
      <c r="F96" s="529" t="s">
        <v>1139</v>
      </c>
      <c r="G96" s="525" t="s">
        <v>1562</v>
      </c>
      <c r="H96" s="579">
        <v>92.999999999999986</v>
      </c>
      <c r="I96" s="531" t="s">
        <v>296</v>
      </c>
      <c r="J96" s="459">
        <v>6000</v>
      </c>
      <c r="K96" s="459">
        <v>12000</v>
      </c>
      <c r="L96" s="459">
        <v>84000</v>
      </c>
      <c r="M96" s="459">
        <v>84000</v>
      </c>
      <c r="N96" s="525"/>
      <c r="O96" s="406">
        <v>2.2636363636363637</v>
      </c>
      <c r="P96" s="406">
        <v>2.1818181818181817</v>
      </c>
      <c r="Q96" s="406">
        <v>1.4999999999999998</v>
      </c>
      <c r="R96" s="406">
        <v>0</v>
      </c>
      <c r="S96" s="406">
        <v>1.4363636363636363</v>
      </c>
      <c r="T96" s="580"/>
      <c r="U96" s="406">
        <v>1.9363636363636361</v>
      </c>
      <c r="V96" s="406">
        <v>1.6727272727272726</v>
      </c>
      <c r="W96" s="406">
        <v>1.4727272727272727</v>
      </c>
      <c r="X96" s="406">
        <v>0</v>
      </c>
      <c r="Y96" s="406">
        <v>1.3272727272727272</v>
      </c>
      <c r="Z96" s="580"/>
      <c r="AA96" s="580"/>
      <c r="AB96" s="580"/>
      <c r="AC96" s="580"/>
      <c r="AD96" s="580"/>
      <c r="AE96" s="580"/>
      <c r="AF96" s="580"/>
      <c r="AG96" s="528" t="s">
        <v>1143</v>
      </c>
      <c r="AH96" s="528" t="s">
        <v>1144</v>
      </c>
      <c r="AI96" s="528">
        <v>2</v>
      </c>
      <c r="AJ96" s="528">
        <v>4</v>
      </c>
      <c r="AK96" s="483">
        <v>0.33329999999999999</v>
      </c>
      <c r="AL96" s="483">
        <v>0.66659999999999997</v>
      </c>
      <c r="AM96" s="525" t="s">
        <v>1124</v>
      </c>
      <c r="AN96" s="528">
        <v>0</v>
      </c>
      <c r="AO96" s="528">
        <v>0</v>
      </c>
      <c r="AP96" s="528">
        <v>0</v>
      </c>
      <c r="AQ96" s="528">
        <v>0</v>
      </c>
      <c r="AR96" s="528">
        <v>0</v>
      </c>
      <c r="AS96" s="528">
        <v>0</v>
      </c>
      <c r="AT96" s="528">
        <v>0</v>
      </c>
      <c r="AU96" s="528">
        <v>0</v>
      </c>
      <c r="AV96" s="528">
        <v>0</v>
      </c>
      <c r="AW96" s="528">
        <v>0</v>
      </c>
      <c r="AX96" s="528">
        <v>0</v>
      </c>
      <c r="AY96" s="528">
        <v>0</v>
      </c>
      <c r="AZ96" s="528"/>
      <c r="BA96" s="528" t="s">
        <v>1145</v>
      </c>
      <c r="BB96" s="528"/>
      <c r="BC96" s="528" t="s">
        <v>1145</v>
      </c>
      <c r="BD96" s="528"/>
      <c r="BE96" s="528"/>
      <c r="BF96" s="528"/>
      <c r="BG96" s="529"/>
      <c r="BH96" s="525"/>
      <c r="BI96" s="528"/>
      <c r="BJ96" s="528" t="s">
        <v>1146</v>
      </c>
      <c r="BK96" s="528"/>
      <c r="BL96" s="529"/>
      <c r="BM96" s="529" t="s">
        <v>430</v>
      </c>
      <c r="BN96" s="525" t="s">
        <v>408</v>
      </c>
    </row>
    <row r="97" spans="1:66" ht="13" customHeight="1" x14ac:dyDescent="0.2">
      <c r="A97" s="525">
        <v>2501</v>
      </c>
      <c r="B97" s="581">
        <v>44574</v>
      </c>
      <c r="C97" s="526" t="s">
        <v>1138</v>
      </c>
      <c r="D97" s="525" t="s">
        <v>1114</v>
      </c>
      <c r="E97" s="527">
        <v>44522</v>
      </c>
      <c r="F97" s="529" t="s">
        <v>1148</v>
      </c>
      <c r="G97" s="525" t="s">
        <v>1280</v>
      </c>
      <c r="H97" s="579">
        <v>67.827272727272728</v>
      </c>
      <c r="I97" s="531" t="s">
        <v>296</v>
      </c>
      <c r="J97" s="568">
        <v>6000</v>
      </c>
      <c r="K97" s="568">
        <v>6000</v>
      </c>
      <c r="L97" s="568">
        <v>6000</v>
      </c>
      <c r="M97" s="568">
        <v>6000</v>
      </c>
      <c r="N97" s="525"/>
      <c r="O97" s="406">
        <v>1.9272727272727272</v>
      </c>
      <c r="P97" s="406">
        <v>0</v>
      </c>
      <c r="Q97" s="406">
        <v>0</v>
      </c>
      <c r="R97" s="406">
        <v>0</v>
      </c>
      <c r="S97" s="406">
        <v>1.4181818181818182</v>
      </c>
      <c r="T97" s="580"/>
      <c r="U97" s="406">
        <v>1.7545454545454544</v>
      </c>
      <c r="V97" s="406">
        <v>0</v>
      </c>
      <c r="W97" s="406">
        <v>0</v>
      </c>
      <c r="X97" s="406">
        <v>0</v>
      </c>
      <c r="Y97" s="406">
        <v>1.4181818181818182</v>
      </c>
      <c r="Z97" s="580"/>
      <c r="AA97" s="580"/>
      <c r="AB97" s="580"/>
      <c r="AC97" s="580"/>
      <c r="AD97" s="580"/>
      <c r="AE97" s="580"/>
      <c r="AF97" s="580"/>
      <c r="AG97" s="528" t="s">
        <v>1143</v>
      </c>
      <c r="AH97" s="528" t="s">
        <v>1144</v>
      </c>
      <c r="AI97" s="528">
        <v>2</v>
      </c>
      <c r="AJ97" s="528">
        <v>4</v>
      </c>
      <c r="AK97" s="483">
        <v>0.33329999999999999</v>
      </c>
      <c r="AL97" s="483">
        <v>0.66659999999999997</v>
      </c>
      <c r="AM97" s="525" t="s">
        <v>1124</v>
      </c>
      <c r="AN97" s="528">
        <v>0</v>
      </c>
      <c r="AO97" s="528">
        <v>0</v>
      </c>
      <c r="AP97" s="528">
        <v>0</v>
      </c>
      <c r="AQ97" s="528">
        <v>0</v>
      </c>
      <c r="AR97" s="528">
        <v>0</v>
      </c>
      <c r="AS97" s="528">
        <v>0</v>
      </c>
      <c r="AT97" s="528">
        <v>0</v>
      </c>
      <c r="AU97" s="528">
        <v>0</v>
      </c>
      <c r="AV97" s="528">
        <v>0</v>
      </c>
      <c r="AW97" s="528">
        <v>0</v>
      </c>
      <c r="AX97" s="528">
        <v>0</v>
      </c>
      <c r="AY97" s="528">
        <v>0</v>
      </c>
      <c r="AZ97" s="528"/>
      <c r="BA97" s="528" t="s">
        <v>1145</v>
      </c>
      <c r="BB97" s="528"/>
      <c r="BC97" s="528" t="s">
        <v>1145</v>
      </c>
      <c r="BD97" s="528"/>
      <c r="BE97" s="528"/>
      <c r="BF97" s="528"/>
      <c r="BG97" s="529"/>
      <c r="BH97" s="525"/>
      <c r="BI97" s="528"/>
      <c r="BJ97" s="528" t="s">
        <v>4</v>
      </c>
      <c r="BK97" s="528"/>
      <c r="BL97" s="529"/>
      <c r="BM97" s="525" t="s">
        <v>430</v>
      </c>
      <c r="BN97" s="525" t="s">
        <v>368</v>
      </c>
    </row>
    <row r="98" spans="1:66" ht="13" customHeight="1" x14ac:dyDescent="0.2">
      <c r="A98" s="525">
        <v>2966</v>
      </c>
      <c r="B98" s="581">
        <v>44575</v>
      </c>
      <c r="C98" s="526" t="s">
        <v>1138</v>
      </c>
      <c r="D98" s="525" t="s">
        <v>1114</v>
      </c>
      <c r="E98" s="527">
        <v>44573</v>
      </c>
      <c r="F98" s="529" t="s">
        <v>1286</v>
      </c>
      <c r="G98" s="525" t="s">
        <v>1564</v>
      </c>
      <c r="H98" s="579">
        <v>85</v>
      </c>
      <c r="I98" s="531" t="s">
        <v>296</v>
      </c>
      <c r="J98" s="459">
        <v>6000</v>
      </c>
      <c r="K98" s="459">
        <v>12000</v>
      </c>
      <c r="L98" s="459">
        <v>84000</v>
      </c>
      <c r="M98" s="459">
        <v>84000</v>
      </c>
      <c r="N98" s="525"/>
      <c r="O98" s="406">
        <v>2.4727272727272727</v>
      </c>
      <c r="P98" s="406">
        <v>2.0636363636363635</v>
      </c>
      <c r="Q98" s="406">
        <v>1.5545454545454545</v>
      </c>
      <c r="R98" s="406">
        <v>0</v>
      </c>
      <c r="S98" s="406">
        <v>1.5363636363636362</v>
      </c>
      <c r="T98" s="580"/>
      <c r="U98" s="406">
        <v>1.718181818181818</v>
      </c>
      <c r="V98" s="406">
        <v>1.6545454545454545</v>
      </c>
      <c r="W98" s="406">
        <v>1.4727272727272727</v>
      </c>
      <c r="X98" s="406">
        <v>0</v>
      </c>
      <c r="Y98" s="406">
        <v>1.4</v>
      </c>
      <c r="Z98" s="580"/>
      <c r="AA98" s="580"/>
      <c r="AB98" s="580"/>
      <c r="AC98" s="580"/>
      <c r="AD98" s="580"/>
      <c r="AE98" s="580"/>
      <c r="AF98" s="580"/>
      <c r="AG98" s="528" t="s">
        <v>1143</v>
      </c>
      <c r="AH98" s="528" t="s">
        <v>1144</v>
      </c>
      <c r="AI98" s="528">
        <v>2</v>
      </c>
      <c r="AJ98" s="528">
        <v>4</v>
      </c>
      <c r="AK98" s="483">
        <v>0.33329999999999999</v>
      </c>
      <c r="AL98" s="483">
        <v>0.66659999999999997</v>
      </c>
      <c r="AM98" s="525" t="s">
        <v>1124</v>
      </c>
      <c r="AN98" s="528">
        <v>0</v>
      </c>
      <c r="AO98" s="528">
        <v>20</v>
      </c>
      <c r="AP98" s="528">
        <v>0</v>
      </c>
      <c r="AQ98" s="528">
        <v>0</v>
      </c>
      <c r="AR98" s="528">
        <v>0</v>
      </c>
      <c r="AS98" s="528">
        <v>0</v>
      </c>
      <c r="AT98" s="528">
        <v>0</v>
      </c>
      <c r="AU98" s="528">
        <v>0</v>
      </c>
      <c r="AV98" s="528">
        <v>0</v>
      </c>
      <c r="AW98" s="528">
        <v>0</v>
      </c>
      <c r="AX98" s="528">
        <v>0</v>
      </c>
      <c r="AY98" s="528">
        <v>0</v>
      </c>
      <c r="AZ98" s="528"/>
      <c r="BA98" s="528" t="s">
        <v>1145</v>
      </c>
      <c r="BB98" s="528"/>
      <c r="BC98" s="528" t="s">
        <v>1145</v>
      </c>
      <c r="BD98" s="528"/>
      <c r="BE98" s="528"/>
      <c r="BF98" s="528"/>
      <c r="BG98" s="529"/>
      <c r="BH98" s="525"/>
      <c r="BI98" s="528"/>
      <c r="BJ98" s="528" t="s">
        <v>1146</v>
      </c>
      <c r="BK98" s="528">
        <v>1</v>
      </c>
      <c r="BL98" s="529"/>
      <c r="BM98" s="529" t="s">
        <v>430</v>
      </c>
      <c r="BN98" s="525" t="s">
        <v>408</v>
      </c>
    </row>
    <row r="99" spans="1:66" ht="13" customHeight="1" x14ac:dyDescent="0.2">
      <c r="A99" s="525">
        <v>2557</v>
      </c>
      <c r="B99" s="581">
        <v>44575</v>
      </c>
      <c r="C99" s="526" t="s">
        <v>1138</v>
      </c>
      <c r="D99" s="525" t="s">
        <v>1114</v>
      </c>
      <c r="E99" s="527">
        <v>44546</v>
      </c>
      <c r="F99" s="525" t="s">
        <v>1052</v>
      </c>
      <c r="G99" s="525" t="s">
        <v>1181</v>
      </c>
      <c r="H99" s="579">
        <v>79.054545454545448</v>
      </c>
      <c r="I99" s="531" t="s">
        <v>296</v>
      </c>
      <c r="J99" s="394">
        <v>6000</v>
      </c>
      <c r="K99" s="394">
        <v>12000</v>
      </c>
      <c r="L99" s="332">
        <v>24000</v>
      </c>
      <c r="M99" s="332">
        <v>24000</v>
      </c>
      <c r="N99" s="332"/>
      <c r="O99" s="406">
        <v>2.1181818181818182</v>
      </c>
      <c r="P99" s="406">
        <v>1.8727272727272726</v>
      </c>
      <c r="Q99" s="406">
        <v>1.5272727272727271</v>
      </c>
      <c r="R99" s="406">
        <v>0</v>
      </c>
      <c r="S99" s="406">
        <v>1.5181818181818181</v>
      </c>
      <c r="T99" s="580"/>
      <c r="U99" s="406">
        <v>1.7</v>
      </c>
      <c r="V99" s="406">
        <v>1.6545454545454545</v>
      </c>
      <c r="W99" s="406">
        <v>1.5272727272727271</v>
      </c>
      <c r="X99" s="406">
        <v>0</v>
      </c>
      <c r="Y99" s="406">
        <v>1.4818181818181817</v>
      </c>
      <c r="Z99" s="580"/>
      <c r="AA99" s="580"/>
      <c r="AB99" s="580"/>
      <c r="AC99" s="580"/>
      <c r="AD99" s="580"/>
      <c r="AE99" s="580"/>
      <c r="AF99" s="580"/>
      <c r="AG99" s="333" t="s">
        <v>297</v>
      </c>
      <c r="AH99" s="333" t="s">
        <v>298</v>
      </c>
      <c r="AI99" s="528">
        <v>2</v>
      </c>
      <c r="AJ99" s="528">
        <v>4</v>
      </c>
      <c r="AK99" s="483">
        <v>0.33329999999999999</v>
      </c>
      <c r="AL99" s="483">
        <v>0.66659999999999997</v>
      </c>
      <c r="AM99" s="525" t="s">
        <v>1124</v>
      </c>
      <c r="AN99" s="528">
        <v>0</v>
      </c>
      <c r="AO99" s="528">
        <v>0</v>
      </c>
      <c r="AP99" s="528">
        <v>0</v>
      </c>
      <c r="AQ99" s="528">
        <v>0</v>
      </c>
      <c r="AR99" s="528">
        <v>0</v>
      </c>
      <c r="AS99" s="528">
        <v>0</v>
      </c>
      <c r="AT99" s="528">
        <v>0</v>
      </c>
      <c r="AU99" s="528">
        <v>0</v>
      </c>
      <c r="AV99" s="528">
        <v>0</v>
      </c>
      <c r="AW99" s="528">
        <v>0</v>
      </c>
      <c r="AX99" s="528">
        <v>0</v>
      </c>
      <c r="AY99" s="528">
        <v>0</v>
      </c>
      <c r="AZ99" s="528"/>
      <c r="BA99" s="528" t="s">
        <v>1145</v>
      </c>
      <c r="BB99" s="528"/>
      <c r="BC99" s="528" t="s">
        <v>1145</v>
      </c>
      <c r="BD99" s="528"/>
      <c r="BE99" s="528"/>
      <c r="BF99" s="528"/>
      <c r="BG99" s="529"/>
      <c r="BH99" s="525"/>
      <c r="BI99" s="528"/>
      <c r="BJ99" s="528" t="s">
        <v>4</v>
      </c>
      <c r="BK99" s="528"/>
      <c r="BL99" s="529"/>
      <c r="BM99" s="529" t="s">
        <v>1448</v>
      </c>
      <c r="BN99" s="525" t="s">
        <v>408</v>
      </c>
    </row>
    <row r="100" spans="1:66" ht="13" customHeight="1" x14ac:dyDescent="0.2">
      <c r="A100" s="525">
        <v>2120</v>
      </c>
      <c r="B100" s="582">
        <v>44574</v>
      </c>
      <c r="C100" s="526" t="s">
        <v>1138</v>
      </c>
      <c r="D100" s="525" t="s">
        <v>1114</v>
      </c>
      <c r="E100" s="527">
        <v>44574</v>
      </c>
      <c r="F100" s="529" t="s">
        <v>1156</v>
      </c>
      <c r="G100" s="525" t="s">
        <v>1157</v>
      </c>
      <c r="H100" s="579">
        <v>103.69999999999999</v>
      </c>
      <c r="I100" s="531" t="s">
        <v>296</v>
      </c>
      <c r="J100" s="459">
        <v>6000</v>
      </c>
      <c r="K100" s="459">
        <v>12000</v>
      </c>
      <c r="L100" s="459">
        <v>84000</v>
      </c>
      <c r="M100" s="459">
        <v>84000</v>
      </c>
      <c r="N100" s="525"/>
      <c r="O100" s="406">
        <v>2.9636363636363634</v>
      </c>
      <c r="P100" s="406">
        <v>2.5</v>
      </c>
      <c r="Q100" s="406">
        <v>2</v>
      </c>
      <c r="R100" s="406">
        <v>0</v>
      </c>
      <c r="S100" s="406">
        <v>1.8727272727272726</v>
      </c>
      <c r="T100" s="580"/>
      <c r="U100" s="406">
        <v>2.2999999999999998</v>
      </c>
      <c r="V100" s="406">
        <v>2.1818181818181817</v>
      </c>
      <c r="W100" s="406">
        <v>1.8999999999999997</v>
      </c>
      <c r="X100" s="406">
        <v>0</v>
      </c>
      <c r="Y100" s="406">
        <v>1.8272727272727269</v>
      </c>
      <c r="Z100" s="580"/>
      <c r="AA100" s="580"/>
      <c r="AB100" s="580"/>
      <c r="AC100" s="580"/>
      <c r="AD100" s="580"/>
      <c r="AE100" s="580"/>
      <c r="AF100" s="580"/>
      <c r="AG100" s="528" t="s">
        <v>1143</v>
      </c>
      <c r="AH100" s="528" t="s">
        <v>1144</v>
      </c>
      <c r="AI100" s="528">
        <v>2</v>
      </c>
      <c r="AJ100" s="528">
        <v>4</v>
      </c>
      <c r="AK100" s="483">
        <v>0.33329999999999999</v>
      </c>
      <c r="AL100" s="483">
        <v>0.66659999999999997</v>
      </c>
      <c r="AM100" s="525" t="s">
        <v>1124</v>
      </c>
      <c r="AN100" s="528">
        <v>24</v>
      </c>
      <c r="AO100" s="528">
        <v>0</v>
      </c>
      <c r="AP100" s="528">
        <v>0</v>
      </c>
      <c r="AQ100" s="528">
        <v>0</v>
      </c>
      <c r="AR100" s="528">
        <v>0</v>
      </c>
      <c r="AS100" s="528">
        <v>0</v>
      </c>
      <c r="AT100" s="528">
        <v>0</v>
      </c>
      <c r="AU100" s="528">
        <v>0</v>
      </c>
      <c r="AV100" s="528">
        <v>0</v>
      </c>
      <c r="AW100" s="528">
        <v>0</v>
      </c>
      <c r="AX100" s="528">
        <v>0</v>
      </c>
      <c r="AY100" s="528">
        <v>0</v>
      </c>
      <c r="AZ100" s="566">
        <v>12</v>
      </c>
      <c r="BA100" s="528" t="s">
        <v>1145</v>
      </c>
      <c r="BB100" s="528">
        <v>12</v>
      </c>
      <c r="BC100" s="528" t="s">
        <v>1145</v>
      </c>
      <c r="BD100" s="528"/>
      <c r="BE100" s="528">
        <v>12</v>
      </c>
      <c r="BF100" s="528"/>
      <c r="BG100" s="529" t="s">
        <v>1622</v>
      </c>
      <c r="BH100" s="525" t="s">
        <v>365</v>
      </c>
      <c r="BI100" s="528">
        <v>25</v>
      </c>
      <c r="BJ100" s="528" t="s">
        <v>1146</v>
      </c>
      <c r="BK100" s="528"/>
      <c r="BL100" s="529" t="s">
        <v>1623</v>
      </c>
      <c r="BM100" s="525" t="s">
        <v>1637</v>
      </c>
      <c r="BN100" s="525" t="s">
        <v>408</v>
      </c>
    </row>
    <row r="101" spans="1:66" ht="13" customHeight="1" x14ac:dyDescent="0.2">
      <c r="A101" s="525">
        <v>2875</v>
      </c>
      <c r="B101" s="581">
        <v>44575</v>
      </c>
      <c r="C101" s="526" t="s">
        <v>1138</v>
      </c>
      <c r="D101" s="525" t="s">
        <v>1114</v>
      </c>
      <c r="E101" s="527">
        <v>44546</v>
      </c>
      <c r="F101" s="529" t="s">
        <v>1159</v>
      </c>
      <c r="G101" s="525" t="s">
        <v>1105</v>
      </c>
      <c r="H101" s="579">
        <v>78.599999999999994</v>
      </c>
      <c r="I101" s="531" t="s">
        <v>296</v>
      </c>
      <c r="J101" s="459">
        <v>6000</v>
      </c>
      <c r="K101" s="459">
        <v>12000</v>
      </c>
      <c r="L101" s="459">
        <v>84000</v>
      </c>
      <c r="M101" s="459">
        <v>84000</v>
      </c>
      <c r="N101" s="525"/>
      <c r="O101" s="406">
        <v>1.9727272727272724</v>
      </c>
      <c r="P101" s="406">
        <v>1.918181818181818</v>
      </c>
      <c r="Q101" s="406">
        <v>1.7454545454545451</v>
      </c>
      <c r="R101" s="406">
        <v>0</v>
      </c>
      <c r="S101" s="406">
        <v>1.5545454545454545</v>
      </c>
      <c r="T101" s="580"/>
      <c r="U101" s="406">
        <v>1.6818181818181817</v>
      </c>
      <c r="V101" s="406">
        <v>1.6636363636363636</v>
      </c>
      <c r="W101" s="406">
        <v>1.5636363636363635</v>
      </c>
      <c r="X101" s="406">
        <v>0</v>
      </c>
      <c r="Y101" s="406">
        <v>1.5181818181818181</v>
      </c>
      <c r="Z101" s="580"/>
      <c r="AA101" s="580"/>
      <c r="AB101" s="580"/>
      <c r="AC101" s="580"/>
      <c r="AD101" s="580"/>
      <c r="AE101" s="580"/>
      <c r="AF101" s="580"/>
      <c r="AG101" s="528" t="s">
        <v>1143</v>
      </c>
      <c r="AH101" s="528" t="s">
        <v>1144</v>
      </c>
      <c r="AI101" s="528">
        <v>2</v>
      </c>
      <c r="AJ101" s="528">
        <v>4</v>
      </c>
      <c r="AK101" s="483">
        <v>0.33329999999999999</v>
      </c>
      <c r="AL101" s="483">
        <v>0.66659999999999997</v>
      </c>
      <c r="AM101" s="525" t="s">
        <v>1124</v>
      </c>
      <c r="AN101" s="528">
        <v>0</v>
      </c>
      <c r="AO101" s="528">
        <v>0</v>
      </c>
      <c r="AP101" s="528">
        <v>0</v>
      </c>
      <c r="AQ101" s="528">
        <v>0</v>
      </c>
      <c r="AR101" s="528">
        <v>0</v>
      </c>
      <c r="AS101" s="528">
        <v>0</v>
      </c>
      <c r="AT101" s="528">
        <v>0</v>
      </c>
      <c r="AU101" s="528">
        <v>0</v>
      </c>
      <c r="AV101" s="528">
        <v>0</v>
      </c>
      <c r="AW101" s="528">
        <v>0</v>
      </c>
      <c r="AX101" s="528">
        <v>0</v>
      </c>
      <c r="AY101" s="528">
        <v>0</v>
      </c>
      <c r="AZ101" s="528"/>
      <c r="BA101" s="528" t="s">
        <v>1145</v>
      </c>
      <c r="BB101" s="528"/>
      <c r="BC101" s="528" t="s">
        <v>1145</v>
      </c>
      <c r="BD101" s="528"/>
      <c r="BE101" s="528"/>
      <c r="BF101" s="564">
        <v>45169</v>
      </c>
      <c r="BG101" s="529"/>
      <c r="BH101" s="525"/>
      <c r="BI101" s="528"/>
      <c r="BJ101" s="528" t="s">
        <v>1146</v>
      </c>
      <c r="BK101" s="528"/>
      <c r="BL101" s="529"/>
      <c r="BM101" s="529" t="s">
        <v>430</v>
      </c>
      <c r="BN101" s="525" t="s">
        <v>408</v>
      </c>
    </row>
    <row r="102" spans="1:66" ht="13" customHeight="1" x14ac:dyDescent="0.2">
      <c r="A102" s="525">
        <v>319</v>
      </c>
      <c r="B102" s="581">
        <v>44573</v>
      </c>
      <c r="C102" s="526" t="s">
        <v>10</v>
      </c>
      <c r="D102" s="525" t="s">
        <v>1114</v>
      </c>
      <c r="E102" s="527">
        <v>44287</v>
      </c>
      <c r="F102" s="525" t="s">
        <v>24</v>
      </c>
      <c r="G102" s="525" t="s">
        <v>20</v>
      </c>
      <c r="H102" s="579">
        <v>99.3</v>
      </c>
      <c r="I102" s="531" t="s">
        <v>296</v>
      </c>
      <c r="J102" s="459">
        <v>6000</v>
      </c>
      <c r="K102" s="459">
        <v>12000</v>
      </c>
      <c r="L102" s="459">
        <v>84000</v>
      </c>
      <c r="M102" s="459">
        <v>84000</v>
      </c>
      <c r="N102" s="525"/>
      <c r="O102" s="406">
        <v>2.1999999999999997</v>
      </c>
      <c r="P102" s="406">
        <v>1.8999999999999997</v>
      </c>
      <c r="Q102" s="406">
        <v>1.5999999999999999</v>
      </c>
      <c r="R102" s="406">
        <v>0</v>
      </c>
      <c r="S102" s="406">
        <v>1.4999999999999998</v>
      </c>
      <c r="T102" s="580"/>
      <c r="U102" s="406">
        <v>1.5999999999999999</v>
      </c>
      <c r="V102" s="406">
        <v>1.5999999999999999</v>
      </c>
      <c r="W102" s="406">
        <v>1.4999999999999998</v>
      </c>
      <c r="X102" s="406">
        <v>0</v>
      </c>
      <c r="Y102" s="406">
        <v>1.4999999999999998</v>
      </c>
      <c r="Z102" s="580"/>
      <c r="AA102" s="580"/>
      <c r="AB102" s="580"/>
      <c r="AC102" s="580"/>
      <c r="AD102" s="580"/>
      <c r="AE102" s="580"/>
      <c r="AF102" s="580"/>
      <c r="AG102" s="528" t="s">
        <v>1116</v>
      </c>
      <c r="AH102" s="528" t="s">
        <v>1117</v>
      </c>
      <c r="AI102" s="528">
        <v>2</v>
      </c>
      <c r="AJ102" s="528">
        <v>4</v>
      </c>
      <c r="AK102" s="483">
        <v>0.33329999999999999</v>
      </c>
      <c r="AL102" s="483">
        <v>0.66659999999999997</v>
      </c>
      <c r="AM102" s="525" t="s">
        <v>1124</v>
      </c>
      <c r="AN102" s="528">
        <v>0</v>
      </c>
      <c r="AO102" s="528">
        <v>0</v>
      </c>
      <c r="AP102" s="528">
        <v>0</v>
      </c>
      <c r="AQ102" s="528">
        <v>0</v>
      </c>
      <c r="AR102" s="528">
        <v>0</v>
      </c>
      <c r="AS102" s="528">
        <v>0</v>
      </c>
      <c r="AT102" s="528">
        <v>0</v>
      </c>
      <c r="AU102" s="528">
        <v>0</v>
      </c>
      <c r="AV102" s="528">
        <v>0</v>
      </c>
      <c r="AW102" s="528">
        <v>0</v>
      </c>
      <c r="AX102" s="528">
        <v>0</v>
      </c>
      <c r="AY102" s="528">
        <v>0</v>
      </c>
      <c r="AZ102" s="528"/>
      <c r="BA102" s="528" t="s">
        <v>38</v>
      </c>
      <c r="BB102" s="528"/>
      <c r="BC102" s="528" t="s">
        <v>38</v>
      </c>
      <c r="BD102" s="528"/>
      <c r="BE102" s="528"/>
      <c r="BF102" s="528"/>
      <c r="BG102" s="529"/>
      <c r="BH102" s="525"/>
      <c r="BI102" s="528"/>
      <c r="BJ102" s="528" t="s">
        <v>4</v>
      </c>
      <c r="BK102" s="528"/>
      <c r="BL102" s="297"/>
      <c r="BM102" s="297" t="s">
        <v>1596</v>
      </c>
      <c r="BN102" s="525" t="s">
        <v>368</v>
      </c>
    </row>
    <row r="103" spans="1:66" ht="13" customHeight="1" x14ac:dyDescent="0.2">
      <c r="A103" s="525">
        <v>2851</v>
      </c>
      <c r="B103" s="581">
        <v>44573</v>
      </c>
      <c r="C103" s="526" t="s">
        <v>1138</v>
      </c>
      <c r="D103" s="525" t="s">
        <v>1114</v>
      </c>
      <c r="E103" s="527">
        <v>44562</v>
      </c>
      <c r="F103" s="529" t="s">
        <v>1166</v>
      </c>
      <c r="G103" s="525" t="s">
        <v>1478</v>
      </c>
      <c r="H103" s="579">
        <v>77.699999999999989</v>
      </c>
      <c r="I103" s="531"/>
      <c r="J103" s="409"/>
      <c r="K103" s="332"/>
      <c r="L103" s="332"/>
      <c r="M103" s="332"/>
      <c r="N103" s="525"/>
      <c r="O103" s="406">
        <v>2.0818181818181816</v>
      </c>
      <c r="P103" s="406">
        <v>0</v>
      </c>
      <c r="Q103" s="406">
        <v>0</v>
      </c>
      <c r="R103" s="406">
        <v>0</v>
      </c>
      <c r="S103" s="406">
        <v>0</v>
      </c>
      <c r="T103" s="580"/>
      <c r="U103" s="406">
        <v>2.0818181818181816</v>
      </c>
      <c r="V103" s="406">
        <v>0</v>
      </c>
      <c r="W103" s="406">
        <v>0</v>
      </c>
      <c r="X103" s="406">
        <v>0</v>
      </c>
      <c r="Y103" s="406">
        <v>0</v>
      </c>
      <c r="Z103" s="580"/>
      <c r="AA103" s="580"/>
      <c r="AB103" s="580"/>
      <c r="AC103" s="580"/>
      <c r="AD103" s="580"/>
      <c r="AE103" s="580"/>
      <c r="AF103" s="580"/>
      <c r="AG103" s="528" t="s">
        <v>1145</v>
      </c>
      <c r="AH103" s="528"/>
      <c r="AI103" s="528">
        <v>3</v>
      </c>
      <c r="AJ103" s="528">
        <v>3</v>
      </c>
      <c r="AK103" s="480">
        <v>0.5</v>
      </c>
      <c r="AL103" s="480">
        <v>0.5</v>
      </c>
      <c r="AM103" s="525"/>
      <c r="AN103" s="528">
        <v>0</v>
      </c>
      <c r="AO103" s="528">
        <v>0</v>
      </c>
      <c r="AP103" s="528">
        <v>0</v>
      </c>
      <c r="AQ103" s="528">
        <v>0</v>
      </c>
      <c r="AR103" s="528">
        <v>0</v>
      </c>
      <c r="AS103" s="528">
        <v>0</v>
      </c>
      <c r="AT103" s="528">
        <v>0</v>
      </c>
      <c r="AU103" s="528">
        <v>0</v>
      </c>
      <c r="AV103" s="528">
        <v>0</v>
      </c>
      <c r="AW103" s="528">
        <v>0</v>
      </c>
      <c r="AX103" s="528">
        <v>0</v>
      </c>
      <c r="AY103" s="528">
        <v>0</v>
      </c>
      <c r="AZ103" s="528"/>
      <c r="BA103" s="528" t="s">
        <v>1145</v>
      </c>
      <c r="BB103" s="528">
        <v>12</v>
      </c>
      <c r="BC103" s="528" t="s">
        <v>1145</v>
      </c>
      <c r="BD103" s="528"/>
      <c r="BE103" s="528">
        <v>12</v>
      </c>
      <c r="BF103" s="528"/>
      <c r="BG103" s="529"/>
      <c r="BH103" s="525"/>
      <c r="BI103" s="528"/>
      <c r="BJ103" s="528" t="s">
        <v>1146</v>
      </c>
      <c r="BK103" s="528"/>
      <c r="BL103" s="529"/>
      <c r="BM103" s="525" t="s">
        <v>1638</v>
      </c>
      <c r="BN103" s="525" t="s">
        <v>408</v>
      </c>
    </row>
    <row r="104" spans="1:66" ht="13" customHeight="1" x14ac:dyDescent="0.2">
      <c r="A104" s="525">
        <v>2401</v>
      </c>
      <c r="B104" s="581">
        <v>44575</v>
      </c>
      <c r="C104" s="526" t="s">
        <v>1138</v>
      </c>
      <c r="D104" s="525" t="s">
        <v>1114</v>
      </c>
      <c r="E104" s="570">
        <v>44546</v>
      </c>
      <c r="F104" s="529" t="s">
        <v>1168</v>
      </c>
      <c r="G104" s="525" t="s">
        <v>1297</v>
      </c>
      <c r="H104" s="579">
        <v>74.25454545454545</v>
      </c>
      <c r="I104" s="531" t="s">
        <v>296</v>
      </c>
      <c r="J104" s="459">
        <v>6000</v>
      </c>
      <c r="K104" s="459">
        <v>12000</v>
      </c>
      <c r="L104" s="459">
        <v>84000</v>
      </c>
      <c r="M104" s="459">
        <v>84000</v>
      </c>
      <c r="N104" s="525"/>
      <c r="O104" s="406">
        <v>2.1636363636363636</v>
      </c>
      <c r="P104" s="406">
        <v>1.9363636363636361</v>
      </c>
      <c r="Q104" s="406">
        <v>1.7090909090909088</v>
      </c>
      <c r="R104" s="406">
        <v>0</v>
      </c>
      <c r="S104" s="406">
        <v>1.6636363636363636</v>
      </c>
      <c r="T104" s="580"/>
      <c r="U104" s="406">
        <v>1.7545454545454544</v>
      </c>
      <c r="V104" s="406">
        <v>1.7090909090909088</v>
      </c>
      <c r="W104" s="406">
        <v>1.6181818181818182</v>
      </c>
      <c r="X104" s="406">
        <v>0</v>
      </c>
      <c r="Y104" s="406">
        <v>1.5727272727272725</v>
      </c>
      <c r="Z104" s="580"/>
      <c r="AA104" s="580"/>
      <c r="AB104" s="580"/>
      <c r="AC104" s="580"/>
      <c r="AD104" s="580"/>
      <c r="AE104" s="580"/>
      <c r="AF104" s="580"/>
      <c r="AG104" s="528" t="s">
        <v>1143</v>
      </c>
      <c r="AH104" s="528" t="s">
        <v>1144</v>
      </c>
      <c r="AI104" s="528">
        <v>2</v>
      </c>
      <c r="AJ104" s="528">
        <v>4</v>
      </c>
      <c r="AK104" s="483">
        <v>0.33329999999999999</v>
      </c>
      <c r="AL104" s="483">
        <v>0.66659999999999997</v>
      </c>
      <c r="AM104" s="525" t="s">
        <v>1124</v>
      </c>
      <c r="AN104" s="528">
        <v>0</v>
      </c>
      <c r="AO104" s="528">
        <v>0</v>
      </c>
      <c r="AP104" s="528">
        <v>0</v>
      </c>
      <c r="AQ104" s="528">
        <v>0</v>
      </c>
      <c r="AR104" s="528">
        <v>0</v>
      </c>
      <c r="AS104" s="528">
        <v>0</v>
      </c>
      <c r="AT104" s="528">
        <v>0</v>
      </c>
      <c r="AU104" s="528">
        <v>0</v>
      </c>
      <c r="AV104" s="528">
        <v>0</v>
      </c>
      <c r="AW104" s="528">
        <v>0</v>
      </c>
      <c r="AX104" s="528">
        <v>0</v>
      </c>
      <c r="AY104" s="528">
        <v>0</v>
      </c>
      <c r="AZ104" s="528"/>
      <c r="BA104" s="528" t="s">
        <v>1145</v>
      </c>
      <c r="BB104" s="528"/>
      <c r="BC104" s="528" t="s">
        <v>1145</v>
      </c>
      <c r="BD104" s="528"/>
      <c r="BE104" s="528"/>
      <c r="BF104" s="528"/>
      <c r="BG104" s="529"/>
      <c r="BH104" s="525"/>
      <c r="BI104" s="528"/>
      <c r="BJ104" s="528" t="s">
        <v>1146</v>
      </c>
      <c r="BK104" s="528"/>
      <c r="BL104" s="529"/>
      <c r="BM104" s="529" t="s">
        <v>430</v>
      </c>
      <c r="BN104" s="525" t="s">
        <v>408</v>
      </c>
    </row>
    <row r="105" spans="1:66" ht="13" customHeight="1" x14ac:dyDescent="0.2">
      <c r="A105" s="525">
        <v>606</v>
      </c>
      <c r="B105" s="581">
        <v>44575</v>
      </c>
      <c r="C105" s="526" t="s">
        <v>295</v>
      </c>
      <c r="D105" s="525" t="s">
        <v>1114</v>
      </c>
      <c r="E105" s="570">
        <v>44562</v>
      </c>
      <c r="F105" s="529" t="s">
        <v>1169</v>
      </c>
      <c r="G105" s="525" t="s">
        <v>1617</v>
      </c>
      <c r="H105" s="579">
        <v>87.663636363636357</v>
      </c>
      <c r="I105" s="531" t="s">
        <v>296</v>
      </c>
      <c r="J105" s="459">
        <v>6000</v>
      </c>
      <c r="K105" s="459">
        <v>12000</v>
      </c>
      <c r="L105" s="459">
        <v>84000</v>
      </c>
      <c r="M105" s="459">
        <v>84000</v>
      </c>
      <c r="N105" s="525"/>
      <c r="O105" s="406">
        <v>3.2636363636363632</v>
      </c>
      <c r="P105" s="406">
        <v>3.1999999999999997</v>
      </c>
      <c r="Q105" s="406">
        <v>2.1727272727272728</v>
      </c>
      <c r="R105" s="406">
        <v>0</v>
      </c>
      <c r="S105" s="406">
        <v>2.1181818181818182</v>
      </c>
      <c r="T105" s="580"/>
      <c r="U105" s="406">
        <v>2.4909090909090907</v>
      </c>
      <c r="V105" s="406">
        <v>2.4</v>
      </c>
      <c r="W105" s="406">
        <v>2.1545454545454543</v>
      </c>
      <c r="X105" s="406">
        <v>0</v>
      </c>
      <c r="Y105" s="406">
        <v>2.0181818181818181</v>
      </c>
      <c r="Z105" s="580"/>
      <c r="AA105" s="580"/>
      <c r="AB105" s="580"/>
      <c r="AC105" s="580"/>
      <c r="AD105" s="580"/>
      <c r="AE105" s="580"/>
      <c r="AF105" s="580"/>
      <c r="AG105" s="528" t="s">
        <v>297</v>
      </c>
      <c r="AH105" s="528" t="s">
        <v>298</v>
      </c>
      <c r="AI105" s="528">
        <v>2</v>
      </c>
      <c r="AJ105" s="528">
        <v>4</v>
      </c>
      <c r="AK105" s="483">
        <v>0.33329999999999999</v>
      </c>
      <c r="AL105" s="483">
        <v>0.66659999999999997</v>
      </c>
      <c r="AM105" s="525" t="s">
        <v>1124</v>
      </c>
      <c r="AN105" s="528">
        <v>32</v>
      </c>
      <c r="AO105" s="528">
        <v>0</v>
      </c>
      <c r="AP105" s="528">
        <v>0</v>
      </c>
      <c r="AQ105" s="528">
        <v>0</v>
      </c>
      <c r="AR105" s="528">
        <v>0</v>
      </c>
      <c r="AS105" s="528">
        <v>0</v>
      </c>
      <c r="AT105" s="528">
        <v>0</v>
      </c>
      <c r="AU105" s="528">
        <v>0</v>
      </c>
      <c r="AV105" s="528">
        <v>0</v>
      </c>
      <c r="AW105" s="528">
        <v>0</v>
      </c>
      <c r="AX105" s="528">
        <v>0</v>
      </c>
      <c r="AY105" s="528">
        <v>0</v>
      </c>
      <c r="AZ105" s="528"/>
      <c r="BA105" s="528" t="s">
        <v>1145</v>
      </c>
      <c r="BB105" s="528"/>
      <c r="BC105" s="528" t="s">
        <v>1145</v>
      </c>
      <c r="BD105" s="528"/>
      <c r="BE105" s="528"/>
      <c r="BF105" s="528"/>
      <c r="BG105" s="529"/>
      <c r="BH105" s="525"/>
      <c r="BI105" s="528"/>
      <c r="BJ105" s="528" t="s">
        <v>1146</v>
      </c>
      <c r="BK105" s="528"/>
      <c r="BL105" s="529" t="s">
        <v>1626</v>
      </c>
      <c r="BM105" s="529" t="s">
        <v>430</v>
      </c>
      <c r="BN105" s="525" t="s">
        <v>408</v>
      </c>
    </row>
    <row r="106" spans="1:66" ht="13" customHeight="1" x14ac:dyDescent="0.2">
      <c r="A106" s="525">
        <v>1689</v>
      </c>
      <c r="B106" s="582">
        <v>44577</v>
      </c>
      <c r="C106" s="526" t="s">
        <v>295</v>
      </c>
      <c r="D106" s="525" t="s">
        <v>1114</v>
      </c>
      <c r="E106" s="527">
        <v>44563</v>
      </c>
      <c r="F106" s="529" t="s">
        <v>1106</v>
      </c>
      <c r="G106" s="525" t="s">
        <v>2</v>
      </c>
      <c r="H106" s="579">
        <v>77.999999999999986</v>
      </c>
      <c r="I106" s="531" t="s">
        <v>296</v>
      </c>
      <c r="J106" s="568">
        <v>6000</v>
      </c>
      <c r="K106" s="568">
        <v>6000</v>
      </c>
      <c r="L106" s="568">
        <v>6000</v>
      </c>
      <c r="M106" s="568">
        <v>6000</v>
      </c>
      <c r="N106" s="525"/>
      <c r="O106" s="406">
        <v>1.8999999999999997</v>
      </c>
      <c r="P106" s="406">
        <v>0</v>
      </c>
      <c r="Q106" s="406">
        <v>0</v>
      </c>
      <c r="R106" s="406">
        <v>0</v>
      </c>
      <c r="S106" s="406">
        <v>1.7545454545454544</v>
      </c>
      <c r="T106" s="580"/>
      <c r="U106" s="406">
        <v>1.5999999999999999</v>
      </c>
      <c r="V106" s="406">
        <v>0</v>
      </c>
      <c r="W106" s="406">
        <v>0</v>
      </c>
      <c r="X106" s="406">
        <v>0</v>
      </c>
      <c r="Y106" s="406">
        <v>1.4999999999999998</v>
      </c>
      <c r="Z106" s="580"/>
      <c r="AA106" s="580"/>
      <c r="AB106" s="580"/>
      <c r="AC106" s="580"/>
      <c r="AD106" s="580"/>
      <c r="AE106" s="580"/>
      <c r="AF106" s="580"/>
      <c r="AG106" s="528" t="s">
        <v>297</v>
      </c>
      <c r="AH106" s="528" t="s">
        <v>298</v>
      </c>
      <c r="AI106" s="528">
        <v>2</v>
      </c>
      <c r="AJ106" s="528">
        <v>4</v>
      </c>
      <c r="AK106" s="483">
        <v>0.33329999999999999</v>
      </c>
      <c r="AL106" s="483">
        <v>0.66659999999999997</v>
      </c>
      <c r="AM106" s="525" t="s">
        <v>1124</v>
      </c>
      <c r="AN106" s="528">
        <v>0</v>
      </c>
      <c r="AO106" s="528">
        <v>0</v>
      </c>
      <c r="AP106" s="528">
        <v>0</v>
      </c>
      <c r="AQ106" s="528">
        <v>0</v>
      </c>
      <c r="AR106" s="528">
        <v>0</v>
      </c>
      <c r="AS106" s="528">
        <v>0</v>
      </c>
      <c r="AT106" s="528">
        <v>0</v>
      </c>
      <c r="AU106" s="528">
        <v>0</v>
      </c>
      <c r="AV106" s="528">
        <v>0</v>
      </c>
      <c r="AW106" s="528">
        <v>0</v>
      </c>
      <c r="AX106" s="528">
        <v>0</v>
      </c>
      <c r="AY106" s="528">
        <v>0</v>
      </c>
      <c r="AZ106" s="528"/>
      <c r="BA106" s="528" t="s">
        <v>1145</v>
      </c>
      <c r="BB106" s="528"/>
      <c r="BC106" s="528" t="s">
        <v>1145</v>
      </c>
      <c r="BD106" s="528"/>
      <c r="BE106" s="528"/>
      <c r="BF106" s="529"/>
      <c r="BG106" s="525"/>
      <c r="BH106" s="528"/>
      <c r="BI106" s="528"/>
      <c r="BJ106" s="528" t="s">
        <v>1146</v>
      </c>
      <c r="BK106" s="528">
        <v>1</v>
      </c>
      <c r="BL106" s="525"/>
      <c r="BM106" s="529" t="s">
        <v>430</v>
      </c>
      <c r="BN106" s="525" t="s">
        <v>408</v>
      </c>
    </row>
    <row r="107" spans="1:66" ht="13" customHeight="1" x14ac:dyDescent="0.2">
      <c r="A107" s="525">
        <v>2899</v>
      </c>
      <c r="B107" s="581">
        <v>44575</v>
      </c>
      <c r="C107" s="526" t="s">
        <v>1138</v>
      </c>
      <c r="D107" s="525" t="s">
        <v>1114</v>
      </c>
      <c r="E107" s="527">
        <v>44228</v>
      </c>
      <c r="F107" s="525" t="s">
        <v>34</v>
      </c>
      <c r="G107" s="525" t="s">
        <v>1181</v>
      </c>
      <c r="H107" s="579">
        <v>75.499999999999986</v>
      </c>
      <c r="I107" s="394"/>
      <c r="J107" s="394"/>
      <c r="K107" s="394"/>
      <c r="L107" s="332"/>
      <c r="M107" s="332"/>
      <c r="N107" s="332"/>
      <c r="O107" s="406">
        <v>1.8090909090909089</v>
      </c>
      <c r="P107" s="406">
        <v>0</v>
      </c>
      <c r="Q107" s="406">
        <v>0</v>
      </c>
      <c r="R107" s="406">
        <v>0</v>
      </c>
      <c r="S107" s="406">
        <v>0</v>
      </c>
      <c r="T107" s="580"/>
      <c r="U107" s="406">
        <v>1.5181818181818181</v>
      </c>
      <c r="V107" s="406">
        <v>0</v>
      </c>
      <c r="W107" s="406">
        <v>0</v>
      </c>
      <c r="X107" s="406">
        <v>0</v>
      </c>
      <c r="Y107" s="406">
        <v>0</v>
      </c>
      <c r="Z107" s="580"/>
      <c r="AA107" s="580"/>
      <c r="AB107" s="580"/>
      <c r="AC107" s="580"/>
      <c r="AD107" s="580"/>
      <c r="AE107" s="580"/>
      <c r="AF107" s="580"/>
      <c r="AG107" s="333" t="s">
        <v>1143</v>
      </c>
      <c r="AH107" s="333" t="s">
        <v>1144</v>
      </c>
      <c r="AI107" s="528">
        <v>2</v>
      </c>
      <c r="AJ107" s="528">
        <v>4</v>
      </c>
      <c r="AK107" s="483">
        <v>0.33329999999999999</v>
      </c>
      <c r="AL107" s="483">
        <v>0.66659999999999997</v>
      </c>
      <c r="AM107" s="525" t="s">
        <v>1124</v>
      </c>
      <c r="AN107" s="528">
        <v>0</v>
      </c>
      <c r="AO107" s="528">
        <v>0</v>
      </c>
      <c r="AP107" s="528">
        <v>0</v>
      </c>
      <c r="AQ107" s="528">
        <v>0</v>
      </c>
      <c r="AR107" s="528">
        <v>0</v>
      </c>
      <c r="AS107" s="528">
        <v>0</v>
      </c>
      <c r="AT107" s="528">
        <v>0</v>
      </c>
      <c r="AU107" s="528">
        <v>0</v>
      </c>
      <c r="AV107" s="528">
        <v>0</v>
      </c>
      <c r="AW107" s="528">
        <v>0</v>
      </c>
      <c r="AX107" s="528">
        <v>0</v>
      </c>
      <c r="AY107" s="528">
        <v>0</v>
      </c>
      <c r="AZ107" s="528"/>
      <c r="BA107" s="528" t="s">
        <v>1145</v>
      </c>
      <c r="BB107" s="528"/>
      <c r="BC107" s="528" t="s">
        <v>1145</v>
      </c>
      <c r="BD107" s="528"/>
      <c r="BE107" s="528"/>
      <c r="BF107" s="528"/>
      <c r="BG107" s="529"/>
      <c r="BH107" s="525"/>
      <c r="BI107" s="528"/>
      <c r="BJ107" s="528" t="s">
        <v>1164</v>
      </c>
      <c r="BK107" s="528"/>
      <c r="BL107" s="529" t="s">
        <v>1284</v>
      </c>
      <c r="BM107" s="525" t="s">
        <v>1560</v>
      </c>
      <c r="BN107" s="525" t="s">
        <v>368</v>
      </c>
    </row>
    <row r="108" spans="1:66" ht="13" customHeight="1" x14ac:dyDescent="0.2">
      <c r="A108" s="525">
        <v>2743</v>
      </c>
      <c r="B108" s="581">
        <v>44575</v>
      </c>
      <c r="C108" s="526" t="s">
        <v>1138</v>
      </c>
      <c r="D108" s="525" t="s">
        <v>1114</v>
      </c>
      <c r="E108" s="527">
        <v>44197</v>
      </c>
      <c r="F108" s="525" t="s">
        <v>1274</v>
      </c>
      <c r="G108" s="525" t="s">
        <v>1467</v>
      </c>
      <c r="H108" s="579">
        <v>85.999999999999986</v>
      </c>
      <c r="I108" s="394" t="s">
        <v>296</v>
      </c>
      <c r="J108" s="409">
        <v>6000</v>
      </c>
      <c r="K108" s="332">
        <v>13500</v>
      </c>
      <c r="L108" s="332">
        <v>13500</v>
      </c>
      <c r="M108" s="332">
        <v>13500</v>
      </c>
      <c r="N108" s="332"/>
      <c r="O108" s="406">
        <v>2.2999999999999998</v>
      </c>
      <c r="P108" s="406">
        <v>2.0363636363636366</v>
      </c>
      <c r="Q108" s="406">
        <v>0</v>
      </c>
      <c r="R108" s="406">
        <v>0</v>
      </c>
      <c r="S108" s="406">
        <v>1.7</v>
      </c>
      <c r="T108" s="580"/>
      <c r="U108" s="406">
        <v>2.2999999999999998</v>
      </c>
      <c r="V108" s="406">
        <v>2.0363636363636366</v>
      </c>
      <c r="W108" s="406">
        <v>0</v>
      </c>
      <c r="X108" s="406">
        <v>0</v>
      </c>
      <c r="Y108" s="406">
        <v>1.7</v>
      </c>
      <c r="Z108" s="580"/>
      <c r="AA108" s="580"/>
      <c r="AB108" s="580"/>
      <c r="AC108" s="580"/>
      <c r="AD108" s="580"/>
      <c r="AE108" s="580"/>
      <c r="AF108" s="580"/>
      <c r="AG108" s="333" t="s">
        <v>1145</v>
      </c>
      <c r="AH108" s="333"/>
      <c r="AI108" s="528">
        <v>3</v>
      </c>
      <c r="AJ108" s="528">
        <v>3</v>
      </c>
      <c r="AK108" s="480">
        <v>0.5</v>
      </c>
      <c r="AL108" s="480">
        <v>0.5</v>
      </c>
      <c r="AM108" s="525"/>
      <c r="AN108" s="528">
        <v>0</v>
      </c>
      <c r="AO108" s="528">
        <v>12</v>
      </c>
      <c r="AP108" s="528">
        <v>0</v>
      </c>
      <c r="AQ108" s="528">
        <v>3</v>
      </c>
      <c r="AR108" s="528">
        <v>0</v>
      </c>
      <c r="AS108" s="528">
        <v>0</v>
      </c>
      <c r="AT108" s="528">
        <v>0</v>
      </c>
      <c r="AU108" s="528">
        <v>0</v>
      </c>
      <c r="AV108" s="528">
        <v>0</v>
      </c>
      <c r="AW108" s="528">
        <v>0</v>
      </c>
      <c r="AX108" s="528">
        <v>0</v>
      </c>
      <c r="AY108" s="528">
        <v>0</v>
      </c>
      <c r="AZ108" s="528"/>
      <c r="BA108" s="528" t="s">
        <v>1145</v>
      </c>
      <c r="BB108" s="528"/>
      <c r="BC108" s="528" t="s">
        <v>1145</v>
      </c>
      <c r="BD108" s="528"/>
      <c r="BE108" s="528"/>
      <c r="BF108" s="528"/>
      <c r="BG108" s="529"/>
      <c r="BH108" s="525"/>
      <c r="BI108" s="528"/>
      <c r="BJ108" s="528" t="s">
        <v>1164</v>
      </c>
      <c r="BK108" s="528"/>
      <c r="BL108" s="529"/>
      <c r="BM108" s="529" t="s">
        <v>430</v>
      </c>
      <c r="BN108" s="525" t="s">
        <v>408</v>
      </c>
    </row>
    <row r="109" spans="1:66" ht="13" customHeight="1" x14ac:dyDescent="0.2">
      <c r="A109" s="525">
        <v>3325</v>
      </c>
      <c r="B109" s="581">
        <v>44573</v>
      </c>
      <c r="C109" s="526" t="s">
        <v>1138</v>
      </c>
      <c r="D109" s="525" t="s">
        <v>1114</v>
      </c>
      <c r="E109" s="570">
        <v>44562</v>
      </c>
      <c r="F109" s="525" t="s">
        <v>1291</v>
      </c>
      <c r="G109" s="525" t="s">
        <v>1618</v>
      </c>
      <c r="H109" s="579">
        <v>80.336363636363629</v>
      </c>
      <c r="I109" s="394"/>
      <c r="J109" s="409"/>
      <c r="K109" s="332"/>
      <c r="L109" s="332"/>
      <c r="M109" s="332"/>
      <c r="N109" s="332"/>
      <c r="O109" s="406">
        <v>1.8090909090909089</v>
      </c>
      <c r="P109" s="406">
        <v>0</v>
      </c>
      <c r="Q109" s="406">
        <v>0</v>
      </c>
      <c r="R109" s="406">
        <v>0</v>
      </c>
      <c r="S109" s="406">
        <v>0</v>
      </c>
      <c r="T109" s="580"/>
      <c r="U109" s="406">
        <v>1.4909090909090907</v>
      </c>
      <c r="V109" s="406">
        <v>0</v>
      </c>
      <c r="W109" s="406">
        <v>0</v>
      </c>
      <c r="X109" s="406">
        <v>0</v>
      </c>
      <c r="Y109" s="406">
        <v>0</v>
      </c>
      <c r="Z109" s="580"/>
      <c r="AA109" s="580"/>
      <c r="AB109" s="580"/>
      <c r="AC109" s="580"/>
      <c r="AD109" s="580"/>
      <c r="AE109" s="580"/>
      <c r="AF109" s="580"/>
      <c r="AG109" s="333" t="s">
        <v>1143</v>
      </c>
      <c r="AH109" s="333" t="s">
        <v>1144</v>
      </c>
      <c r="AI109" s="528">
        <v>2</v>
      </c>
      <c r="AJ109" s="528">
        <v>4</v>
      </c>
      <c r="AK109" s="483">
        <v>0.33329999999999999</v>
      </c>
      <c r="AL109" s="483">
        <v>0.66659999999999997</v>
      </c>
      <c r="AM109" s="525" t="s">
        <v>1124</v>
      </c>
      <c r="AN109" s="528">
        <v>0</v>
      </c>
      <c r="AO109" s="528">
        <v>0</v>
      </c>
      <c r="AP109" s="528">
        <v>0</v>
      </c>
      <c r="AQ109" s="528">
        <v>0</v>
      </c>
      <c r="AR109" s="528">
        <v>0</v>
      </c>
      <c r="AS109" s="528">
        <v>0</v>
      </c>
      <c r="AT109" s="528">
        <v>0</v>
      </c>
      <c r="AU109" s="528">
        <v>0</v>
      </c>
      <c r="AV109" s="528">
        <v>0</v>
      </c>
      <c r="AW109" s="528">
        <v>0</v>
      </c>
      <c r="AX109" s="528">
        <v>0</v>
      </c>
      <c r="AY109" s="528">
        <v>0</v>
      </c>
      <c r="AZ109" s="528"/>
      <c r="BA109" s="528" t="s">
        <v>1145</v>
      </c>
      <c r="BB109" s="528"/>
      <c r="BC109" s="528" t="s">
        <v>1145</v>
      </c>
      <c r="BD109" s="528"/>
      <c r="BE109" s="528"/>
      <c r="BF109" s="528"/>
      <c r="BG109" s="529"/>
      <c r="BH109" s="525"/>
      <c r="BI109" s="528"/>
      <c r="BJ109" s="528" t="s">
        <v>1164</v>
      </c>
      <c r="BK109" s="528"/>
      <c r="BL109" s="529" t="s">
        <v>1627</v>
      </c>
      <c r="BM109" s="525" t="s">
        <v>1639</v>
      </c>
      <c r="BN109" s="525" t="s">
        <v>1121</v>
      </c>
    </row>
    <row r="110" spans="1:66" ht="13" customHeight="1" x14ac:dyDescent="0.2">
      <c r="A110" s="525">
        <v>2934</v>
      </c>
      <c r="B110" s="581">
        <v>44574</v>
      </c>
      <c r="C110" s="526" t="s">
        <v>1138</v>
      </c>
      <c r="D110" s="525" t="s">
        <v>1114</v>
      </c>
      <c r="E110" s="527">
        <v>44452</v>
      </c>
      <c r="F110" s="525" t="s">
        <v>1483</v>
      </c>
      <c r="G110" s="525" t="s">
        <v>1550</v>
      </c>
      <c r="H110" s="579">
        <v>99.999999999999986</v>
      </c>
      <c r="I110" s="531" t="s">
        <v>296</v>
      </c>
      <c r="J110" s="459">
        <v>6000</v>
      </c>
      <c r="K110" s="459">
        <v>12000</v>
      </c>
      <c r="L110" s="459">
        <v>84000</v>
      </c>
      <c r="M110" s="459">
        <v>84000</v>
      </c>
      <c r="N110" s="332"/>
      <c r="O110" s="406">
        <v>1.4272727272727272</v>
      </c>
      <c r="P110" s="406">
        <v>1.0818181818181818</v>
      </c>
      <c r="Q110" s="406">
        <v>1.0545454545454545</v>
      </c>
      <c r="R110" s="406">
        <v>0</v>
      </c>
      <c r="S110" s="406">
        <v>1</v>
      </c>
      <c r="T110" s="580"/>
      <c r="U110" s="406">
        <v>1.1545454545454545</v>
      </c>
      <c r="V110" s="406">
        <v>1.0818181818181818</v>
      </c>
      <c r="W110" s="406">
        <v>1.0545454545454545</v>
      </c>
      <c r="X110" s="406">
        <v>0</v>
      </c>
      <c r="Y110" s="406">
        <v>1</v>
      </c>
      <c r="Z110" s="580"/>
      <c r="AA110" s="580"/>
      <c r="AB110" s="580"/>
      <c r="AC110" s="580"/>
      <c r="AD110" s="580"/>
      <c r="AE110" s="580"/>
      <c r="AF110" s="580"/>
      <c r="AG110" s="333" t="s">
        <v>1143</v>
      </c>
      <c r="AH110" s="333" t="s">
        <v>1144</v>
      </c>
      <c r="AI110" s="528">
        <v>2</v>
      </c>
      <c r="AJ110" s="528">
        <v>4</v>
      </c>
      <c r="AK110" s="483">
        <v>0.33329999999999999</v>
      </c>
      <c r="AL110" s="483">
        <v>0.66659999999999997</v>
      </c>
      <c r="AM110" s="525" t="s">
        <v>1124</v>
      </c>
      <c r="AN110" s="528">
        <v>0</v>
      </c>
      <c r="AO110" s="528">
        <v>0</v>
      </c>
      <c r="AP110" s="528">
        <v>0</v>
      </c>
      <c r="AQ110" s="528">
        <v>0</v>
      </c>
      <c r="AR110" s="528">
        <v>0</v>
      </c>
      <c r="AS110" s="528">
        <v>0</v>
      </c>
      <c r="AT110" s="528">
        <v>0</v>
      </c>
      <c r="AU110" s="528">
        <v>0</v>
      </c>
      <c r="AV110" s="528">
        <v>0</v>
      </c>
      <c r="AW110" s="528">
        <v>0</v>
      </c>
      <c r="AX110" s="528">
        <v>0</v>
      </c>
      <c r="AY110" s="528">
        <v>0</v>
      </c>
      <c r="AZ110" s="528"/>
      <c r="BA110" s="528" t="s">
        <v>1145</v>
      </c>
      <c r="BB110" s="528"/>
      <c r="BC110" s="528" t="s">
        <v>1145</v>
      </c>
      <c r="BD110" s="528"/>
      <c r="BE110" s="528">
        <v>12</v>
      </c>
      <c r="BF110" s="564"/>
      <c r="BG110" s="529"/>
      <c r="BH110" s="525"/>
      <c r="BI110" s="528"/>
      <c r="BJ110" s="528" t="s">
        <v>4</v>
      </c>
      <c r="BK110" s="528"/>
      <c r="BL110" s="529"/>
      <c r="BM110" s="525" t="s">
        <v>430</v>
      </c>
      <c r="BN110" s="525" t="s">
        <v>368</v>
      </c>
    </row>
    <row r="111" spans="1:66" ht="13" customHeight="1" x14ac:dyDescent="0.2">
      <c r="A111" s="525">
        <v>3241</v>
      </c>
      <c r="B111" s="581">
        <v>44573</v>
      </c>
      <c r="C111" s="526" t="s">
        <v>1138</v>
      </c>
      <c r="D111" s="525" t="s">
        <v>1114</v>
      </c>
      <c r="E111" s="527">
        <v>44562</v>
      </c>
      <c r="F111" s="529" t="s">
        <v>1619</v>
      </c>
      <c r="G111" s="525" t="s">
        <v>1620</v>
      </c>
      <c r="H111" s="579">
        <v>69.990909090909085</v>
      </c>
      <c r="I111" s="531" t="s">
        <v>296</v>
      </c>
      <c r="J111" s="459">
        <v>6000</v>
      </c>
      <c r="K111" s="459">
        <v>12000</v>
      </c>
      <c r="L111" s="459">
        <v>84000</v>
      </c>
      <c r="M111" s="459">
        <v>84000</v>
      </c>
      <c r="N111" s="332"/>
      <c r="O111" s="406">
        <v>2.5363636363636362</v>
      </c>
      <c r="P111" s="406">
        <v>1.8727272727272726</v>
      </c>
      <c r="Q111" s="406">
        <v>1.6909090909090909</v>
      </c>
      <c r="R111" s="406">
        <v>0</v>
      </c>
      <c r="S111" s="406">
        <v>1.4545454545454546</v>
      </c>
      <c r="T111" s="580"/>
      <c r="U111" s="406">
        <v>1.8545454545454545</v>
      </c>
      <c r="V111" s="406">
        <v>1.6090909090909089</v>
      </c>
      <c r="W111" s="406">
        <v>1.4</v>
      </c>
      <c r="X111" s="406">
        <v>0</v>
      </c>
      <c r="Y111" s="406">
        <v>1.2818181818181817</v>
      </c>
      <c r="Z111" s="580"/>
      <c r="AA111" s="580"/>
      <c r="AB111" s="580"/>
      <c r="AC111" s="580"/>
      <c r="AD111" s="580"/>
      <c r="AE111" s="580"/>
      <c r="AF111" s="580"/>
      <c r="AG111" s="528" t="s">
        <v>1143</v>
      </c>
      <c r="AH111" s="528" t="s">
        <v>1144</v>
      </c>
      <c r="AI111" s="528">
        <v>2</v>
      </c>
      <c r="AJ111" s="528">
        <v>4</v>
      </c>
      <c r="AK111" s="483">
        <v>0.33329999999999999</v>
      </c>
      <c r="AL111" s="483">
        <v>0.66659999999999997</v>
      </c>
      <c r="AM111" s="525" t="s">
        <v>1124</v>
      </c>
      <c r="AN111" s="528">
        <v>0</v>
      </c>
      <c r="AO111" s="528">
        <v>22</v>
      </c>
      <c r="AP111" s="528">
        <v>0</v>
      </c>
      <c r="AQ111" s="528">
        <v>0</v>
      </c>
      <c r="AR111" s="528">
        <v>0</v>
      </c>
      <c r="AS111" s="528">
        <v>0</v>
      </c>
      <c r="AT111" s="528">
        <v>0</v>
      </c>
      <c r="AU111" s="528">
        <v>0</v>
      </c>
      <c r="AV111" s="528">
        <v>0</v>
      </c>
      <c r="AW111" s="528">
        <v>0</v>
      </c>
      <c r="AX111" s="528">
        <v>0</v>
      </c>
      <c r="AY111" s="528">
        <v>0</v>
      </c>
      <c r="AZ111" s="528"/>
      <c r="BA111" s="528" t="s">
        <v>1145</v>
      </c>
      <c r="BB111" s="528"/>
      <c r="BC111" s="528" t="s">
        <v>1145</v>
      </c>
      <c r="BD111" s="528"/>
      <c r="BE111" s="528"/>
      <c r="BF111" s="528"/>
      <c r="BG111" s="529"/>
      <c r="BH111" s="525"/>
      <c r="BI111" s="528"/>
      <c r="BJ111" s="528" t="s">
        <v>4</v>
      </c>
      <c r="BK111" s="528"/>
      <c r="BL111" s="529" t="s">
        <v>1629</v>
      </c>
      <c r="BM111" s="525" t="s">
        <v>1640</v>
      </c>
      <c r="BN111" s="525" t="s">
        <v>1121</v>
      </c>
    </row>
    <row r="112" spans="1:66" ht="13" customHeight="1" x14ac:dyDescent="0.2">
      <c r="A112" s="525">
        <v>3031</v>
      </c>
      <c r="B112" s="581">
        <v>44574</v>
      </c>
      <c r="C112" s="526" t="s">
        <v>1138</v>
      </c>
      <c r="D112" s="525" t="s">
        <v>1115</v>
      </c>
      <c r="E112" s="527">
        <v>44562</v>
      </c>
      <c r="F112" s="529" t="s">
        <v>1139</v>
      </c>
      <c r="G112" s="525" t="s">
        <v>1562</v>
      </c>
      <c r="H112" s="579">
        <v>92.999999999999986</v>
      </c>
      <c r="I112" s="531" t="s">
        <v>296</v>
      </c>
      <c r="J112" s="459">
        <v>6000</v>
      </c>
      <c r="K112" s="459">
        <v>12000</v>
      </c>
      <c r="L112" s="459">
        <v>84000</v>
      </c>
      <c r="M112" s="459">
        <v>84000</v>
      </c>
      <c r="N112" s="583"/>
      <c r="O112" s="406">
        <v>2.2636363636363637</v>
      </c>
      <c r="P112" s="406">
        <v>2.1818181818181817</v>
      </c>
      <c r="Q112" s="406">
        <v>1.4999999999999998</v>
      </c>
      <c r="R112" s="406">
        <v>0</v>
      </c>
      <c r="S112" s="406">
        <v>1.4363636363636363</v>
      </c>
      <c r="T112" s="580"/>
      <c r="U112" s="406">
        <v>1.9363636363636361</v>
      </c>
      <c r="V112" s="406">
        <v>1.6727272727272726</v>
      </c>
      <c r="W112" s="406">
        <v>1.4727272727272727</v>
      </c>
      <c r="X112" s="406">
        <v>0</v>
      </c>
      <c r="Y112" s="406">
        <v>1.3272727272727272</v>
      </c>
      <c r="Z112" s="580"/>
      <c r="AA112" s="580"/>
      <c r="AB112" s="580"/>
      <c r="AC112" s="580"/>
      <c r="AD112" s="580"/>
      <c r="AE112" s="580"/>
      <c r="AF112" s="580"/>
      <c r="AG112" s="528" t="s">
        <v>1143</v>
      </c>
      <c r="AH112" s="528" t="s">
        <v>1144</v>
      </c>
      <c r="AI112" s="528">
        <v>2</v>
      </c>
      <c r="AJ112" s="528">
        <v>4</v>
      </c>
      <c r="AK112" s="483">
        <v>0.33329999999999999</v>
      </c>
      <c r="AL112" s="483">
        <v>0.66659999999999997</v>
      </c>
      <c r="AM112" s="525" t="s">
        <v>1124</v>
      </c>
      <c r="AN112" s="528">
        <v>0</v>
      </c>
      <c r="AO112" s="528">
        <v>0</v>
      </c>
      <c r="AP112" s="528">
        <v>0</v>
      </c>
      <c r="AQ112" s="528">
        <v>0</v>
      </c>
      <c r="AR112" s="528">
        <v>0</v>
      </c>
      <c r="AS112" s="528">
        <v>0</v>
      </c>
      <c r="AT112" s="528">
        <v>0</v>
      </c>
      <c r="AU112" s="528">
        <v>0</v>
      </c>
      <c r="AV112" s="528">
        <v>0</v>
      </c>
      <c r="AW112" s="528">
        <v>0</v>
      </c>
      <c r="AX112" s="528">
        <v>0</v>
      </c>
      <c r="AY112" s="528">
        <v>0</v>
      </c>
      <c r="AZ112" s="528"/>
      <c r="BA112" s="528" t="s">
        <v>1145</v>
      </c>
      <c r="BB112" s="528"/>
      <c r="BC112" s="528" t="s">
        <v>1145</v>
      </c>
      <c r="BD112" s="528"/>
      <c r="BE112" s="528"/>
      <c r="BF112" s="528"/>
      <c r="BG112" s="529"/>
      <c r="BH112" s="525"/>
      <c r="BI112" s="528"/>
      <c r="BJ112" s="528" t="s">
        <v>1146</v>
      </c>
      <c r="BK112" s="528"/>
      <c r="BL112" s="529"/>
      <c r="BM112" s="529" t="s">
        <v>430</v>
      </c>
      <c r="BN112" s="525" t="s">
        <v>408</v>
      </c>
    </row>
    <row r="113" spans="1:66" ht="13" customHeight="1" x14ac:dyDescent="0.2">
      <c r="A113" s="525">
        <v>2500</v>
      </c>
      <c r="B113" s="581">
        <v>44574</v>
      </c>
      <c r="C113" s="526" t="s">
        <v>1138</v>
      </c>
      <c r="D113" s="525" t="s">
        <v>1115</v>
      </c>
      <c r="E113" s="527">
        <v>44522</v>
      </c>
      <c r="F113" s="529" t="s">
        <v>1148</v>
      </c>
      <c r="G113" s="525" t="s">
        <v>1280</v>
      </c>
      <c r="H113" s="579">
        <v>67.827272727272728</v>
      </c>
      <c r="I113" s="531" t="s">
        <v>296</v>
      </c>
      <c r="J113" s="568">
        <v>6000</v>
      </c>
      <c r="K113" s="568">
        <v>6000</v>
      </c>
      <c r="L113" s="568">
        <v>6000</v>
      </c>
      <c r="M113" s="568">
        <v>6000</v>
      </c>
      <c r="N113" s="583"/>
      <c r="O113" s="406">
        <v>1.9272727272727272</v>
      </c>
      <c r="P113" s="406">
        <v>0</v>
      </c>
      <c r="Q113" s="406">
        <v>0</v>
      </c>
      <c r="R113" s="406">
        <v>0</v>
      </c>
      <c r="S113" s="406">
        <v>1.4181818181818182</v>
      </c>
      <c r="T113" s="580"/>
      <c r="U113" s="406">
        <v>1.7545454545454544</v>
      </c>
      <c r="V113" s="406">
        <v>0</v>
      </c>
      <c r="W113" s="406">
        <v>0</v>
      </c>
      <c r="X113" s="406">
        <v>0</v>
      </c>
      <c r="Y113" s="406">
        <v>1.4181818181818182</v>
      </c>
      <c r="Z113" s="580"/>
      <c r="AA113" s="580"/>
      <c r="AB113" s="580"/>
      <c r="AC113" s="580"/>
      <c r="AD113" s="580"/>
      <c r="AE113" s="580"/>
      <c r="AF113" s="580"/>
      <c r="AG113" s="528" t="s">
        <v>1143</v>
      </c>
      <c r="AH113" s="528" t="s">
        <v>1144</v>
      </c>
      <c r="AI113" s="528">
        <v>2</v>
      </c>
      <c r="AJ113" s="528">
        <v>4</v>
      </c>
      <c r="AK113" s="483">
        <v>0.33329999999999999</v>
      </c>
      <c r="AL113" s="483">
        <v>0.66659999999999997</v>
      </c>
      <c r="AM113" s="525" t="s">
        <v>1124</v>
      </c>
      <c r="AN113" s="528">
        <v>0</v>
      </c>
      <c r="AO113" s="528">
        <v>0</v>
      </c>
      <c r="AP113" s="528">
        <v>0</v>
      </c>
      <c r="AQ113" s="528">
        <v>0</v>
      </c>
      <c r="AR113" s="528">
        <v>0</v>
      </c>
      <c r="AS113" s="528">
        <v>0</v>
      </c>
      <c r="AT113" s="528">
        <v>0</v>
      </c>
      <c r="AU113" s="528">
        <v>0</v>
      </c>
      <c r="AV113" s="528">
        <v>0</v>
      </c>
      <c r="AW113" s="528">
        <v>0</v>
      </c>
      <c r="AX113" s="528">
        <v>0</v>
      </c>
      <c r="AY113" s="528">
        <v>0</v>
      </c>
      <c r="AZ113" s="528"/>
      <c r="BA113" s="528" t="s">
        <v>1145</v>
      </c>
      <c r="BB113" s="528"/>
      <c r="BC113" s="528" t="s">
        <v>1145</v>
      </c>
      <c r="BD113" s="528"/>
      <c r="BE113" s="528"/>
      <c r="BF113" s="528"/>
      <c r="BG113" s="529"/>
      <c r="BH113" s="525"/>
      <c r="BI113" s="528"/>
      <c r="BJ113" s="528" t="s">
        <v>4</v>
      </c>
      <c r="BK113" s="528"/>
      <c r="BL113" s="529"/>
      <c r="BM113" s="525" t="s">
        <v>430</v>
      </c>
      <c r="BN113" s="525" t="s">
        <v>368</v>
      </c>
    </row>
    <row r="114" spans="1:66" ht="13" customHeight="1" x14ac:dyDescent="0.2">
      <c r="A114" s="525">
        <v>2965</v>
      </c>
      <c r="B114" s="581">
        <v>44575</v>
      </c>
      <c r="C114" s="526" t="s">
        <v>1138</v>
      </c>
      <c r="D114" s="525" t="s">
        <v>1115</v>
      </c>
      <c r="E114" s="527">
        <v>44573</v>
      </c>
      <c r="F114" s="529" t="s">
        <v>1286</v>
      </c>
      <c r="G114" s="525" t="s">
        <v>1564</v>
      </c>
      <c r="H114" s="579">
        <v>85</v>
      </c>
      <c r="I114" s="531" t="s">
        <v>296</v>
      </c>
      <c r="J114" s="459">
        <v>6000</v>
      </c>
      <c r="K114" s="459">
        <v>12000</v>
      </c>
      <c r="L114" s="459">
        <v>84000</v>
      </c>
      <c r="M114" s="459">
        <v>84000</v>
      </c>
      <c r="N114" s="583"/>
      <c r="O114" s="406">
        <v>2.4727272727272727</v>
      </c>
      <c r="P114" s="406">
        <v>2.0636363636363635</v>
      </c>
      <c r="Q114" s="406">
        <v>1.5545454545454545</v>
      </c>
      <c r="R114" s="406">
        <v>0</v>
      </c>
      <c r="S114" s="406">
        <v>1.5363636363636362</v>
      </c>
      <c r="T114" s="580"/>
      <c r="U114" s="406">
        <v>1.718181818181818</v>
      </c>
      <c r="V114" s="406">
        <v>1.6545454545454545</v>
      </c>
      <c r="W114" s="406">
        <v>1.4727272727272727</v>
      </c>
      <c r="X114" s="406">
        <v>0</v>
      </c>
      <c r="Y114" s="406">
        <v>1.4</v>
      </c>
      <c r="Z114" s="580"/>
      <c r="AA114" s="580"/>
      <c r="AB114" s="580"/>
      <c r="AC114" s="580"/>
      <c r="AD114" s="580"/>
      <c r="AE114" s="580"/>
      <c r="AF114" s="580"/>
      <c r="AG114" s="528" t="s">
        <v>1143</v>
      </c>
      <c r="AH114" s="528" t="s">
        <v>1144</v>
      </c>
      <c r="AI114" s="528">
        <v>2</v>
      </c>
      <c r="AJ114" s="528">
        <v>4</v>
      </c>
      <c r="AK114" s="483">
        <v>0.33329999999999999</v>
      </c>
      <c r="AL114" s="483">
        <v>0.66659999999999997</v>
      </c>
      <c r="AM114" s="525" t="s">
        <v>1124</v>
      </c>
      <c r="AN114" s="528">
        <v>0</v>
      </c>
      <c r="AO114" s="528">
        <v>20</v>
      </c>
      <c r="AP114" s="528">
        <v>0</v>
      </c>
      <c r="AQ114" s="528">
        <v>0</v>
      </c>
      <c r="AR114" s="528">
        <v>0</v>
      </c>
      <c r="AS114" s="528">
        <v>0</v>
      </c>
      <c r="AT114" s="528">
        <v>0</v>
      </c>
      <c r="AU114" s="528">
        <v>0</v>
      </c>
      <c r="AV114" s="528">
        <v>0</v>
      </c>
      <c r="AW114" s="528">
        <v>0</v>
      </c>
      <c r="AX114" s="528">
        <v>0</v>
      </c>
      <c r="AY114" s="528">
        <v>0</v>
      </c>
      <c r="AZ114" s="528"/>
      <c r="BA114" s="528" t="s">
        <v>1145</v>
      </c>
      <c r="BB114" s="528"/>
      <c r="BC114" s="528" t="s">
        <v>1145</v>
      </c>
      <c r="BD114" s="528"/>
      <c r="BE114" s="528"/>
      <c r="BF114" s="528"/>
      <c r="BG114" s="529"/>
      <c r="BH114" s="525"/>
      <c r="BI114" s="528"/>
      <c r="BJ114" s="528" t="s">
        <v>1146</v>
      </c>
      <c r="BK114" s="528">
        <v>1</v>
      </c>
      <c r="BL114" s="529"/>
      <c r="BM114" s="529" t="s">
        <v>430</v>
      </c>
      <c r="BN114" s="525" t="s">
        <v>408</v>
      </c>
    </row>
    <row r="115" spans="1:66" ht="13" customHeight="1" x14ac:dyDescent="0.2">
      <c r="A115" s="525">
        <v>2556</v>
      </c>
      <c r="B115" s="581">
        <v>44575</v>
      </c>
      <c r="C115" s="526" t="s">
        <v>1138</v>
      </c>
      <c r="D115" s="525" t="s">
        <v>1115</v>
      </c>
      <c r="E115" s="527">
        <v>44546</v>
      </c>
      <c r="F115" s="525" t="s">
        <v>1052</v>
      </c>
      <c r="G115" s="525" t="s">
        <v>1181</v>
      </c>
      <c r="H115" s="579">
        <v>79.054545454545448</v>
      </c>
      <c r="I115" s="531" t="s">
        <v>296</v>
      </c>
      <c r="J115" s="394">
        <v>6000</v>
      </c>
      <c r="K115" s="394">
        <v>12000</v>
      </c>
      <c r="L115" s="332">
        <v>24000</v>
      </c>
      <c r="M115" s="332">
        <v>24000</v>
      </c>
      <c r="N115" s="584"/>
      <c r="O115" s="406">
        <v>2.1181818181818182</v>
      </c>
      <c r="P115" s="406">
        <v>1.8727272727272726</v>
      </c>
      <c r="Q115" s="406">
        <v>1.5272727272727271</v>
      </c>
      <c r="R115" s="406">
        <v>0</v>
      </c>
      <c r="S115" s="406">
        <v>1.5181818181818181</v>
      </c>
      <c r="T115" s="580"/>
      <c r="U115" s="406">
        <v>1.7</v>
      </c>
      <c r="V115" s="406">
        <v>1.6545454545454545</v>
      </c>
      <c r="W115" s="406">
        <v>1.5272727272727271</v>
      </c>
      <c r="X115" s="406">
        <v>0</v>
      </c>
      <c r="Y115" s="406">
        <v>1.4818181818181817</v>
      </c>
      <c r="Z115" s="580"/>
      <c r="AA115" s="580"/>
      <c r="AB115" s="580"/>
      <c r="AC115" s="580"/>
      <c r="AD115" s="580"/>
      <c r="AE115" s="580"/>
      <c r="AF115" s="580"/>
      <c r="AG115" s="333" t="s">
        <v>297</v>
      </c>
      <c r="AH115" s="333" t="s">
        <v>298</v>
      </c>
      <c r="AI115" s="528">
        <v>2</v>
      </c>
      <c r="AJ115" s="528">
        <v>4</v>
      </c>
      <c r="AK115" s="483">
        <v>0.33329999999999999</v>
      </c>
      <c r="AL115" s="483">
        <v>0.66659999999999997</v>
      </c>
      <c r="AM115" s="525" t="s">
        <v>1124</v>
      </c>
      <c r="AN115" s="528">
        <v>0</v>
      </c>
      <c r="AO115" s="528">
        <v>0</v>
      </c>
      <c r="AP115" s="528">
        <v>0</v>
      </c>
      <c r="AQ115" s="528">
        <v>0</v>
      </c>
      <c r="AR115" s="528">
        <v>0</v>
      </c>
      <c r="AS115" s="528">
        <v>0</v>
      </c>
      <c r="AT115" s="528">
        <v>0</v>
      </c>
      <c r="AU115" s="528">
        <v>0</v>
      </c>
      <c r="AV115" s="528">
        <v>0</v>
      </c>
      <c r="AW115" s="528">
        <v>0</v>
      </c>
      <c r="AX115" s="528">
        <v>0</v>
      </c>
      <c r="AY115" s="528">
        <v>0</v>
      </c>
      <c r="AZ115" s="528"/>
      <c r="BA115" s="528" t="s">
        <v>1145</v>
      </c>
      <c r="BB115" s="528"/>
      <c r="BC115" s="528" t="s">
        <v>1145</v>
      </c>
      <c r="BD115" s="528"/>
      <c r="BE115" s="528"/>
      <c r="BF115" s="528"/>
      <c r="BG115" s="529"/>
      <c r="BH115" s="525"/>
      <c r="BI115" s="528"/>
      <c r="BJ115" s="528" t="s">
        <v>4</v>
      </c>
      <c r="BK115" s="528"/>
      <c r="BL115" s="529"/>
      <c r="BM115" s="529" t="s">
        <v>1448</v>
      </c>
      <c r="BN115" s="525" t="s">
        <v>408</v>
      </c>
    </row>
    <row r="116" spans="1:66" ht="13" customHeight="1" x14ac:dyDescent="0.2">
      <c r="A116" s="525">
        <v>2119</v>
      </c>
      <c r="B116" s="582">
        <v>44574</v>
      </c>
      <c r="C116" s="526" t="s">
        <v>1138</v>
      </c>
      <c r="D116" s="525" t="s">
        <v>1115</v>
      </c>
      <c r="E116" s="527">
        <v>44574</v>
      </c>
      <c r="F116" s="529" t="s">
        <v>1156</v>
      </c>
      <c r="G116" s="525" t="s">
        <v>1157</v>
      </c>
      <c r="H116" s="579">
        <v>103.69999999999999</v>
      </c>
      <c r="I116" s="531" t="s">
        <v>296</v>
      </c>
      <c r="J116" s="459">
        <v>6000</v>
      </c>
      <c r="K116" s="459">
        <v>12000</v>
      </c>
      <c r="L116" s="459">
        <v>84000</v>
      </c>
      <c r="M116" s="459">
        <v>84000</v>
      </c>
      <c r="N116" s="583"/>
      <c r="O116" s="406">
        <v>3.0545454545454542</v>
      </c>
      <c r="P116" s="406">
        <v>2.4545454545454546</v>
      </c>
      <c r="Q116" s="406">
        <v>1.9363636363636361</v>
      </c>
      <c r="R116" s="406">
        <v>0</v>
      </c>
      <c r="S116" s="406">
        <v>1.8818181818181816</v>
      </c>
      <c r="T116" s="580"/>
      <c r="U116" s="406">
        <v>2.336363636363636</v>
      </c>
      <c r="V116" s="406">
        <v>2.1181818181818182</v>
      </c>
      <c r="W116" s="406">
        <v>1.9090909090909089</v>
      </c>
      <c r="X116" s="406">
        <v>0</v>
      </c>
      <c r="Y116" s="406">
        <v>1.8272727272727269</v>
      </c>
      <c r="Z116" s="580"/>
      <c r="AA116" s="580"/>
      <c r="AB116" s="580"/>
      <c r="AC116" s="580"/>
      <c r="AD116" s="580"/>
      <c r="AE116" s="580"/>
      <c r="AF116" s="580"/>
      <c r="AG116" s="528" t="s">
        <v>1143</v>
      </c>
      <c r="AH116" s="528" t="s">
        <v>1144</v>
      </c>
      <c r="AI116" s="528">
        <v>2</v>
      </c>
      <c r="AJ116" s="528">
        <v>4</v>
      </c>
      <c r="AK116" s="483">
        <v>0.33329999999999999</v>
      </c>
      <c r="AL116" s="483">
        <v>0.66659999999999997</v>
      </c>
      <c r="AM116" s="525" t="s">
        <v>1124</v>
      </c>
      <c r="AN116" s="528">
        <v>24</v>
      </c>
      <c r="AO116" s="528">
        <v>0</v>
      </c>
      <c r="AP116" s="528">
        <v>0</v>
      </c>
      <c r="AQ116" s="528">
        <v>0</v>
      </c>
      <c r="AR116" s="528">
        <v>0</v>
      </c>
      <c r="AS116" s="528">
        <v>0</v>
      </c>
      <c r="AT116" s="528">
        <v>0</v>
      </c>
      <c r="AU116" s="528">
        <v>0</v>
      </c>
      <c r="AV116" s="528">
        <v>0</v>
      </c>
      <c r="AW116" s="528">
        <v>0</v>
      </c>
      <c r="AX116" s="528">
        <v>0</v>
      </c>
      <c r="AY116" s="528">
        <v>0</v>
      </c>
      <c r="AZ116" s="566">
        <v>12</v>
      </c>
      <c r="BA116" s="528" t="s">
        <v>1145</v>
      </c>
      <c r="BB116" s="528">
        <v>12</v>
      </c>
      <c r="BC116" s="528" t="s">
        <v>1145</v>
      </c>
      <c r="BD116" s="528"/>
      <c r="BE116" s="528">
        <v>12</v>
      </c>
      <c r="BF116" s="528"/>
      <c r="BG116" s="529" t="s">
        <v>1622</v>
      </c>
      <c r="BH116" s="525" t="s">
        <v>365</v>
      </c>
      <c r="BI116" s="528">
        <v>25</v>
      </c>
      <c r="BJ116" s="528" t="s">
        <v>1146</v>
      </c>
      <c r="BK116" s="528"/>
      <c r="BL116" s="529" t="s">
        <v>1623</v>
      </c>
      <c r="BM116" s="525" t="s">
        <v>1637</v>
      </c>
      <c r="BN116" s="525" t="s">
        <v>408</v>
      </c>
    </row>
    <row r="117" spans="1:66" ht="13" customHeight="1" x14ac:dyDescent="0.2">
      <c r="A117" s="525">
        <v>2874</v>
      </c>
      <c r="B117" s="581">
        <v>44575</v>
      </c>
      <c r="C117" s="526" t="s">
        <v>1138</v>
      </c>
      <c r="D117" s="525" t="s">
        <v>1115</v>
      </c>
      <c r="E117" s="527">
        <v>44546</v>
      </c>
      <c r="F117" s="529" t="s">
        <v>1159</v>
      </c>
      <c r="G117" s="525" t="s">
        <v>1105</v>
      </c>
      <c r="H117" s="579">
        <v>78.599999999999994</v>
      </c>
      <c r="I117" s="531" t="s">
        <v>296</v>
      </c>
      <c r="J117" s="459">
        <v>6000</v>
      </c>
      <c r="K117" s="459">
        <v>12000</v>
      </c>
      <c r="L117" s="459">
        <v>84000</v>
      </c>
      <c r="M117" s="459">
        <v>84000</v>
      </c>
      <c r="N117" s="583"/>
      <c r="O117" s="406">
        <v>1.9727272727272724</v>
      </c>
      <c r="P117" s="406">
        <v>1.918181818181818</v>
      </c>
      <c r="Q117" s="406">
        <v>1.7454545454545451</v>
      </c>
      <c r="R117" s="406">
        <v>0</v>
      </c>
      <c r="S117" s="406">
        <v>1.5545454545454545</v>
      </c>
      <c r="T117" s="580"/>
      <c r="U117" s="406">
        <v>1.6818181818181817</v>
      </c>
      <c r="V117" s="406">
        <v>1.6636363636363636</v>
      </c>
      <c r="W117" s="406">
        <v>1.5636363636363635</v>
      </c>
      <c r="X117" s="406">
        <v>0</v>
      </c>
      <c r="Y117" s="406">
        <v>1.5181818181818181</v>
      </c>
      <c r="Z117" s="580"/>
      <c r="AA117" s="580"/>
      <c r="AB117" s="580"/>
      <c r="AC117" s="580"/>
      <c r="AD117" s="580"/>
      <c r="AE117" s="580"/>
      <c r="AF117" s="580"/>
      <c r="AG117" s="528" t="s">
        <v>1143</v>
      </c>
      <c r="AH117" s="528" t="s">
        <v>1144</v>
      </c>
      <c r="AI117" s="528">
        <v>2</v>
      </c>
      <c r="AJ117" s="528">
        <v>4</v>
      </c>
      <c r="AK117" s="483">
        <v>0.33329999999999999</v>
      </c>
      <c r="AL117" s="483">
        <v>0.66659999999999997</v>
      </c>
      <c r="AM117" s="525" t="s">
        <v>1124</v>
      </c>
      <c r="AN117" s="528">
        <v>0</v>
      </c>
      <c r="AO117" s="528">
        <v>0</v>
      </c>
      <c r="AP117" s="528">
        <v>0</v>
      </c>
      <c r="AQ117" s="528">
        <v>0</v>
      </c>
      <c r="AR117" s="528">
        <v>0</v>
      </c>
      <c r="AS117" s="528">
        <v>0</v>
      </c>
      <c r="AT117" s="528">
        <v>0</v>
      </c>
      <c r="AU117" s="528">
        <v>0</v>
      </c>
      <c r="AV117" s="528">
        <v>0</v>
      </c>
      <c r="AW117" s="528">
        <v>0</v>
      </c>
      <c r="AX117" s="528">
        <v>0</v>
      </c>
      <c r="AY117" s="528">
        <v>0</v>
      </c>
      <c r="AZ117" s="528"/>
      <c r="BA117" s="528" t="s">
        <v>1145</v>
      </c>
      <c r="BB117" s="528"/>
      <c r="BC117" s="528" t="s">
        <v>1145</v>
      </c>
      <c r="BD117" s="528"/>
      <c r="BE117" s="528"/>
      <c r="BF117" s="564">
        <v>45169</v>
      </c>
      <c r="BG117" s="529"/>
      <c r="BH117" s="525"/>
      <c r="BI117" s="528"/>
      <c r="BJ117" s="528" t="s">
        <v>1146</v>
      </c>
      <c r="BK117" s="528"/>
      <c r="BL117" s="529"/>
      <c r="BM117" s="529" t="s">
        <v>430</v>
      </c>
      <c r="BN117" s="525" t="s">
        <v>408</v>
      </c>
    </row>
    <row r="118" spans="1:66" ht="13" customHeight="1" x14ac:dyDescent="0.2">
      <c r="A118" s="525">
        <v>318</v>
      </c>
      <c r="B118" s="581">
        <v>44573</v>
      </c>
      <c r="C118" s="526" t="s">
        <v>10</v>
      </c>
      <c r="D118" s="525" t="s">
        <v>1115</v>
      </c>
      <c r="E118" s="527">
        <v>44287</v>
      </c>
      <c r="F118" s="525" t="s">
        <v>24</v>
      </c>
      <c r="G118" s="525" t="s">
        <v>20</v>
      </c>
      <c r="H118" s="579">
        <v>99.3</v>
      </c>
      <c r="I118" s="531" t="s">
        <v>296</v>
      </c>
      <c r="J118" s="459">
        <v>6000</v>
      </c>
      <c r="K118" s="459">
        <v>12000</v>
      </c>
      <c r="L118" s="459">
        <v>84000</v>
      </c>
      <c r="M118" s="459">
        <v>84000</v>
      </c>
      <c r="N118" s="583"/>
      <c r="O118" s="406">
        <v>2.1999999999999997</v>
      </c>
      <c r="P118" s="406">
        <v>1.8999999999999997</v>
      </c>
      <c r="Q118" s="406">
        <v>1.5999999999999999</v>
      </c>
      <c r="R118" s="406">
        <v>0</v>
      </c>
      <c r="S118" s="406">
        <v>1.4999999999999998</v>
      </c>
      <c r="T118" s="580"/>
      <c r="U118" s="406">
        <v>1.5999999999999999</v>
      </c>
      <c r="V118" s="406">
        <v>1.5999999999999999</v>
      </c>
      <c r="W118" s="406">
        <v>1.4999999999999998</v>
      </c>
      <c r="X118" s="406">
        <v>0</v>
      </c>
      <c r="Y118" s="406">
        <v>1.4999999999999998</v>
      </c>
      <c r="Z118" s="580"/>
      <c r="AA118" s="580"/>
      <c r="AB118" s="580"/>
      <c r="AC118" s="580"/>
      <c r="AD118" s="580"/>
      <c r="AE118" s="580"/>
      <c r="AF118" s="580"/>
      <c r="AG118" s="528" t="s">
        <v>1116</v>
      </c>
      <c r="AH118" s="528" t="s">
        <v>1117</v>
      </c>
      <c r="AI118" s="528">
        <v>2</v>
      </c>
      <c r="AJ118" s="528">
        <v>4</v>
      </c>
      <c r="AK118" s="483">
        <v>0.33329999999999999</v>
      </c>
      <c r="AL118" s="483">
        <v>0.66659999999999997</v>
      </c>
      <c r="AM118" s="525" t="s">
        <v>1124</v>
      </c>
      <c r="AN118" s="528">
        <v>0</v>
      </c>
      <c r="AO118" s="528">
        <v>0</v>
      </c>
      <c r="AP118" s="528">
        <v>0</v>
      </c>
      <c r="AQ118" s="528">
        <v>0</v>
      </c>
      <c r="AR118" s="528">
        <v>0</v>
      </c>
      <c r="AS118" s="528">
        <v>0</v>
      </c>
      <c r="AT118" s="528">
        <v>0</v>
      </c>
      <c r="AU118" s="528">
        <v>0</v>
      </c>
      <c r="AV118" s="528">
        <v>0</v>
      </c>
      <c r="AW118" s="528">
        <v>0</v>
      </c>
      <c r="AX118" s="528">
        <v>0</v>
      </c>
      <c r="AY118" s="528">
        <v>0</v>
      </c>
      <c r="AZ118" s="528"/>
      <c r="BA118" s="528" t="s">
        <v>38</v>
      </c>
      <c r="BB118" s="528"/>
      <c r="BC118" s="528" t="s">
        <v>38</v>
      </c>
      <c r="BD118" s="528"/>
      <c r="BE118" s="528"/>
      <c r="BF118" s="528"/>
      <c r="BG118" s="529"/>
      <c r="BH118" s="525"/>
      <c r="BI118" s="528"/>
      <c r="BJ118" s="528" t="s">
        <v>4</v>
      </c>
      <c r="BK118" s="528"/>
      <c r="BL118" s="297"/>
      <c r="BM118" s="297" t="s">
        <v>1596</v>
      </c>
      <c r="BN118" s="525" t="s">
        <v>368</v>
      </c>
    </row>
    <row r="119" spans="1:66" ht="13" customHeight="1" x14ac:dyDescent="0.2">
      <c r="A119" s="525">
        <v>2850</v>
      </c>
      <c r="B119" s="581">
        <v>44573</v>
      </c>
      <c r="C119" s="526" t="s">
        <v>1138</v>
      </c>
      <c r="D119" s="525" t="s">
        <v>1115</v>
      </c>
      <c r="E119" s="527">
        <v>44562</v>
      </c>
      <c r="F119" s="529" t="s">
        <v>1166</v>
      </c>
      <c r="G119" s="525" t="s">
        <v>1478</v>
      </c>
      <c r="H119" s="579">
        <v>77.699999999999989</v>
      </c>
      <c r="I119" s="531"/>
      <c r="J119" s="568"/>
      <c r="K119" s="525"/>
      <c r="L119" s="525"/>
      <c r="M119" s="525"/>
      <c r="N119" s="583"/>
      <c r="O119" s="406">
        <v>2.0818181818181816</v>
      </c>
      <c r="P119" s="406">
        <v>0</v>
      </c>
      <c r="Q119" s="406">
        <v>0</v>
      </c>
      <c r="R119" s="406">
        <v>0</v>
      </c>
      <c r="S119" s="406">
        <v>0</v>
      </c>
      <c r="T119" s="580"/>
      <c r="U119" s="406">
        <v>2.0818181818181816</v>
      </c>
      <c r="V119" s="406">
        <v>0</v>
      </c>
      <c r="W119" s="406">
        <v>0</v>
      </c>
      <c r="X119" s="406">
        <v>0</v>
      </c>
      <c r="Y119" s="406">
        <v>0</v>
      </c>
      <c r="Z119" s="580"/>
      <c r="AA119" s="580"/>
      <c r="AB119" s="580"/>
      <c r="AC119" s="580"/>
      <c r="AD119" s="580"/>
      <c r="AE119" s="580"/>
      <c r="AF119" s="580"/>
      <c r="AG119" s="528" t="s">
        <v>1145</v>
      </c>
      <c r="AH119" s="528"/>
      <c r="AI119" s="528">
        <v>3</v>
      </c>
      <c r="AJ119" s="528">
        <v>3</v>
      </c>
      <c r="AK119" s="480">
        <v>0.5</v>
      </c>
      <c r="AL119" s="480">
        <v>0.5</v>
      </c>
      <c r="AM119" s="525"/>
      <c r="AN119" s="528">
        <v>0</v>
      </c>
      <c r="AO119" s="528">
        <v>0</v>
      </c>
      <c r="AP119" s="528">
        <v>0</v>
      </c>
      <c r="AQ119" s="528">
        <v>0</v>
      </c>
      <c r="AR119" s="528">
        <v>0</v>
      </c>
      <c r="AS119" s="528">
        <v>0</v>
      </c>
      <c r="AT119" s="528">
        <v>0</v>
      </c>
      <c r="AU119" s="528">
        <v>0</v>
      </c>
      <c r="AV119" s="528">
        <v>0</v>
      </c>
      <c r="AW119" s="528">
        <v>0</v>
      </c>
      <c r="AX119" s="528">
        <v>0</v>
      </c>
      <c r="AY119" s="528">
        <v>0</v>
      </c>
      <c r="AZ119" s="528"/>
      <c r="BA119" s="528" t="s">
        <v>1145</v>
      </c>
      <c r="BB119" s="528">
        <v>12</v>
      </c>
      <c r="BC119" s="528" t="s">
        <v>1145</v>
      </c>
      <c r="BD119" s="528"/>
      <c r="BE119" s="528">
        <v>12</v>
      </c>
      <c r="BF119" s="528"/>
      <c r="BG119" s="529"/>
      <c r="BH119" s="525"/>
      <c r="BI119" s="528"/>
      <c r="BJ119" s="528" t="s">
        <v>1146</v>
      </c>
      <c r="BK119" s="528"/>
      <c r="BL119" s="529"/>
      <c r="BM119" s="525" t="s">
        <v>1638</v>
      </c>
      <c r="BN119" s="525" t="s">
        <v>408</v>
      </c>
    </row>
    <row r="120" spans="1:66" ht="13" customHeight="1" x14ac:dyDescent="0.2">
      <c r="A120" s="525">
        <v>2400</v>
      </c>
      <c r="B120" s="581">
        <v>44575</v>
      </c>
      <c r="C120" s="526" t="s">
        <v>1138</v>
      </c>
      <c r="D120" s="525" t="s">
        <v>1115</v>
      </c>
      <c r="E120" s="570">
        <v>44546</v>
      </c>
      <c r="F120" s="529" t="s">
        <v>1168</v>
      </c>
      <c r="G120" s="525" t="s">
        <v>1297</v>
      </c>
      <c r="H120" s="579">
        <v>74.25454545454545</v>
      </c>
      <c r="I120" s="531" t="s">
        <v>296</v>
      </c>
      <c r="J120" s="459">
        <v>6000</v>
      </c>
      <c r="K120" s="459">
        <v>12000</v>
      </c>
      <c r="L120" s="459">
        <v>84000</v>
      </c>
      <c r="M120" s="459">
        <v>84000</v>
      </c>
      <c r="N120" s="583"/>
      <c r="O120" s="406">
        <v>2.1636363636363636</v>
      </c>
      <c r="P120" s="406">
        <v>1.9363636363636361</v>
      </c>
      <c r="Q120" s="406">
        <v>1.7090909090909088</v>
      </c>
      <c r="R120" s="406">
        <v>0</v>
      </c>
      <c r="S120" s="406">
        <v>1.6636363636363636</v>
      </c>
      <c r="T120" s="580"/>
      <c r="U120" s="406">
        <v>1.7545454545454544</v>
      </c>
      <c r="V120" s="406">
        <v>1.7090909090909088</v>
      </c>
      <c r="W120" s="406">
        <v>1.6181818181818182</v>
      </c>
      <c r="X120" s="406">
        <v>0</v>
      </c>
      <c r="Y120" s="406">
        <v>1.5727272727272725</v>
      </c>
      <c r="Z120" s="580"/>
      <c r="AA120" s="580"/>
      <c r="AB120" s="580"/>
      <c r="AC120" s="580"/>
      <c r="AD120" s="580"/>
      <c r="AE120" s="580"/>
      <c r="AF120" s="580"/>
      <c r="AG120" s="528" t="s">
        <v>1143</v>
      </c>
      <c r="AH120" s="528" t="s">
        <v>1144</v>
      </c>
      <c r="AI120" s="528">
        <v>2</v>
      </c>
      <c r="AJ120" s="528">
        <v>4</v>
      </c>
      <c r="AK120" s="483">
        <v>0.33329999999999999</v>
      </c>
      <c r="AL120" s="483">
        <v>0.66659999999999997</v>
      </c>
      <c r="AM120" s="525" t="s">
        <v>1124</v>
      </c>
      <c r="AN120" s="528">
        <v>0</v>
      </c>
      <c r="AO120" s="528">
        <v>0</v>
      </c>
      <c r="AP120" s="528">
        <v>0</v>
      </c>
      <c r="AQ120" s="528">
        <v>0</v>
      </c>
      <c r="AR120" s="528">
        <v>0</v>
      </c>
      <c r="AS120" s="528">
        <v>0</v>
      </c>
      <c r="AT120" s="528">
        <v>0</v>
      </c>
      <c r="AU120" s="528">
        <v>0</v>
      </c>
      <c r="AV120" s="528">
        <v>0</v>
      </c>
      <c r="AW120" s="528">
        <v>0</v>
      </c>
      <c r="AX120" s="528">
        <v>0</v>
      </c>
      <c r="AY120" s="528">
        <v>0</v>
      </c>
      <c r="AZ120" s="528"/>
      <c r="BA120" s="528" t="s">
        <v>1145</v>
      </c>
      <c r="BB120" s="528"/>
      <c r="BC120" s="528" t="s">
        <v>1145</v>
      </c>
      <c r="BD120" s="528"/>
      <c r="BE120" s="528"/>
      <c r="BF120" s="528"/>
      <c r="BG120" s="529"/>
      <c r="BH120" s="525"/>
      <c r="BI120" s="528"/>
      <c r="BJ120" s="528" t="s">
        <v>1146</v>
      </c>
      <c r="BK120" s="528"/>
      <c r="BL120" s="529"/>
      <c r="BM120" s="529" t="s">
        <v>430</v>
      </c>
      <c r="BN120" s="525" t="s">
        <v>408</v>
      </c>
    </row>
    <row r="121" spans="1:66" ht="13" customHeight="1" x14ac:dyDescent="0.2">
      <c r="A121" s="525">
        <v>605</v>
      </c>
      <c r="B121" s="581">
        <v>44575</v>
      </c>
      <c r="C121" s="526" t="s">
        <v>1138</v>
      </c>
      <c r="D121" s="525" t="s">
        <v>1115</v>
      </c>
      <c r="E121" s="570">
        <v>44562</v>
      </c>
      <c r="F121" s="529" t="s">
        <v>1169</v>
      </c>
      <c r="G121" s="525" t="s">
        <v>1617</v>
      </c>
      <c r="H121" s="579">
        <v>87.663636363636357</v>
      </c>
      <c r="I121" s="531" t="s">
        <v>296</v>
      </c>
      <c r="J121" s="459">
        <v>6000</v>
      </c>
      <c r="K121" s="459">
        <v>12000</v>
      </c>
      <c r="L121" s="459">
        <v>84000</v>
      </c>
      <c r="M121" s="459">
        <v>84000</v>
      </c>
      <c r="N121" s="583"/>
      <c r="O121" s="406">
        <v>3.2636363636363632</v>
      </c>
      <c r="P121" s="406">
        <v>3.1999999999999997</v>
      </c>
      <c r="Q121" s="406">
        <v>2.1727272727272728</v>
      </c>
      <c r="R121" s="406">
        <v>0</v>
      </c>
      <c r="S121" s="406">
        <v>2.1181818181818182</v>
      </c>
      <c r="T121" s="580"/>
      <c r="U121" s="406">
        <v>2.4909090909090907</v>
      </c>
      <c r="V121" s="406">
        <v>2.4</v>
      </c>
      <c r="W121" s="406">
        <v>2.1545454545454543</v>
      </c>
      <c r="X121" s="406">
        <v>0</v>
      </c>
      <c r="Y121" s="406">
        <v>2.0181818181818181</v>
      </c>
      <c r="Z121" s="580"/>
      <c r="AA121" s="580"/>
      <c r="AB121" s="580"/>
      <c r="AC121" s="580"/>
      <c r="AD121" s="580"/>
      <c r="AE121" s="580"/>
      <c r="AF121" s="580"/>
      <c r="AG121" s="528" t="s">
        <v>1143</v>
      </c>
      <c r="AH121" s="528" t="s">
        <v>1144</v>
      </c>
      <c r="AI121" s="528">
        <v>2</v>
      </c>
      <c r="AJ121" s="528">
        <v>4</v>
      </c>
      <c r="AK121" s="483">
        <v>0.33329999999999999</v>
      </c>
      <c r="AL121" s="483">
        <v>0.66659999999999997</v>
      </c>
      <c r="AM121" s="525" t="s">
        <v>1124</v>
      </c>
      <c r="AN121" s="528">
        <v>32</v>
      </c>
      <c r="AO121" s="528">
        <v>0</v>
      </c>
      <c r="AP121" s="528">
        <v>0</v>
      </c>
      <c r="AQ121" s="528">
        <v>0</v>
      </c>
      <c r="AR121" s="528">
        <v>0</v>
      </c>
      <c r="AS121" s="528">
        <v>0</v>
      </c>
      <c r="AT121" s="528">
        <v>0</v>
      </c>
      <c r="AU121" s="528">
        <v>0</v>
      </c>
      <c r="AV121" s="528">
        <v>0</v>
      </c>
      <c r="AW121" s="528">
        <v>0</v>
      </c>
      <c r="AX121" s="528">
        <v>0</v>
      </c>
      <c r="AY121" s="528">
        <v>0</v>
      </c>
      <c r="AZ121" s="528"/>
      <c r="BA121" s="528" t="s">
        <v>1145</v>
      </c>
      <c r="BB121" s="528"/>
      <c r="BC121" s="528" t="s">
        <v>1145</v>
      </c>
      <c r="BD121" s="528"/>
      <c r="BE121" s="528"/>
      <c r="BF121" s="528"/>
      <c r="BG121" s="529"/>
      <c r="BH121" s="525"/>
      <c r="BI121" s="528"/>
      <c r="BJ121" s="528" t="s">
        <v>1146</v>
      </c>
      <c r="BK121" s="528"/>
      <c r="BL121" s="529" t="s">
        <v>1626</v>
      </c>
      <c r="BM121" s="529" t="s">
        <v>430</v>
      </c>
      <c r="BN121" s="525" t="s">
        <v>408</v>
      </c>
    </row>
    <row r="122" spans="1:66" ht="13" customHeight="1" x14ac:dyDescent="0.2">
      <c r="A122" s="525">
        <v>1688</v>
      </c>
      <c r="B122" s="582">
        <v>44577</v>
      </c>
      <c r="C122" s="526" t="s">
        <v>295</v>
      </c>
      <c r="D122" s="525" t="s">
        <v>1115</v>
      </c>
      <c r="E122" s="527">
        <v>44563</v>
      </c>
      <c r="F122" s="529" t="s">
        <v>1106</v>
      </c>
      <c r="G122" s="525" t="s">
        <v>2</v>
      </c>
      <c r="H122" s="579">
        <v>77.999999999999986</v>
      </c>
      <c r="I122" s="531" t="s">
        <v>296</v>
      </c>
      <c r="J122" s="568">
        <v>6000</v>
      </c>
      <c r="K122" s="568">
        <v>6000</v>
      </c>
      <c r="L122" s="568">
        <v>6000</v>
      </c>
      <c r="M122" s="568">
        <v>6000</v>
      </c>
      <c r="N122" s="583"/>
      <c r="O122" s="406">
        <v>1.8999999999999997</v>
      </c>
      <c r="P122" s="406">
        <v>0</v>
      </c>
      <c r="Q122" s="406">
        <v>0</v>
      </c>
      <c r="R122" s="406">
        <v>0</v>
      </c>
      <c r="S122" s="406">
        <v>1.7545454545454544</v>
      </c>
      <c r="T122" s="580"/>
      <c r="U122" s="406">
        <v>1.5999999999999999</v>
      </c>
      <c r="V122" s="406">
        <v>0</v>
      </c>
      <c r="W122" s="406">
        <v>0</v>
      </c>
      <c r="X122" s="406">
        <v>0</v>
      </c>
      <c r="Y122" s="406">
        <v>1.4999999999999998</v>
      </c>
      <c r="Z122" s="580"/>
      <c r="AA122" s="580"/>
      <c r="AB122" s="580"/>
      <c r="AC122" s="580"/>
      <c r="AD122" s="580"/>
      <c r="AE122" s="580"/>
      <c r="AF122" s="580"/>
      <c r="AG122" s="528" t="s">
        <v>297</v>
      </c>
      <c r="AH122" s="528" t="s">
        <v>298</v>
      </c>
      <c r="AI122" s="528">
        <v>2</v>
      </c>
      <c r="AJ122" s="528">
        <v>4</v>
      </c>
      <c r="AK122" s="483">
        <v>0.33329999999999999</v>
      </c>
      <c r="AL122" s="483">
        <v>0.66659999999999997</v>
      </c>
      <c r="AM122" s="525" t="s">
        <v>1124</v>
      </c>
      <c r="AN122" s="528">
        <v>0</v>
      </c>
      <c r="AO122" s="528">
        <v>0</v>
      </c>
      <c r="AP122" s="528">
        <v>0</v>
      </c>
      <c r="AQ122" s="528">
        <v>0</v>
      </c>
      <c r="AR122" s="528">
        <v>0</v>
      </c>
      <c r="AS122" s="528">
        <v>0</v>
      </c>
      <c r="AT122" s="528">
        <v>0</v>
      </c>
      <c r="AU122" s="528">
        <v>0</v>
      </c>
      <c r="AV122" s="528">
        <v>0</v>
      </c>
      <c r="AW122" s="528">
        <v>0</v>
      </c>
      <c r="AX122" s="528">
        <v>0</v>
      </c>
      <c r="AY122" s="528">
        <v>0</v>
      </c>
      <c r="AZ122" s="528"/>
      <c r="BA122" s="528" t="s">
        <v>1145</v>
      </c>
      <c r="BB122" s="528"/>
      <c r="BC122" s="528" t="s">
        <v>1145</v>
      </c>
      <c r="BD122" s="528"/>
      <c r="BE122" s="528"/>
      <c r="BF122" s="529"/>
      <c r="BG122" s="525"/>
      <c r="BH122" s="528"/>
      <c r="BI122" s="528"/>
      <c r="BJ122" s="528" t="s">
        <v>1146</v>
      </c>
      <c r="BK122" s="528">
        <v>1</v>
      </c>
      <c r="BL122" s="525"/>
      <c r="BM122" s="529" t="s">
        <v>430</v>
      </c>
      <c r="BN122" s="525" t="s">
        <v>408</v>
      </c>
    </row>
    <row r="123" spans="1:66" ht="13" customHeight="1" x14ac:dyDescent="0.2">
      <c r="A123" s="525">
        <v>2898</v>
      </c>
      <c r="B123" s="581">
        <v>44575</v>
      </c>
      <c r="C123" s="526" t="s">
        <v>1138</v>
      </c>
      <c r="D123" s="525" t="s">
        <v>1115</v>
      </c>
      <c r="E123" s="527">
        <v>44228</v>
      </c>
      <c r="F123" s="525" t="s">
        <v>34</v>
      </c>
      <c r="G123" s="525" t="s">
        <v>1181</v>
      </c>
      <c r="H123" s="579">
        <v>75.499999999999986</v>
      </c>
      <c r="I123" s="394"/>
      <c r="J123" s="394"/>
      <c r="K123" s="394"/>
      <c r="L123" s="332"/>
      <c r="M123" s="332"/>
      <c r="N123" s="584"/>
      <c r="O123" s="406">
        <v>1.8090909090909089</v>
      </c>
      <c r="P123" s="406">
        <v>0</v>
      </c>
      <c r="Q123" s="406">
        <v>0</v>
      </c>
      <c r="R123" s="406">
        <v>0</v>
      </c>
      <c r="S123" s="406">
        <v>0</v>
      </c>
      <c r="T123" s="580"/>
      <c r="U123" s="406">
        <v>1.5181818181818181</v>
      </c>
      <c r="V123" s="406">
        <v>0</v>
      </c>
      <c r="W123" s="406">
        <v>0</v>
      </c>
      <c r="X123" s="406">
        <v>0</v>
      </c>
      <c r="Y123" s="406">
        <v>0</v>
      </c>
      <c r="Z123" s="580"/>
      <c r="AA123" s="580"/>
      <c r="AB123" s="580"/>
      <c r="AC123" s="580"/>
      <c r="AD123" s="580"/>
      <c r="AE123" s="580"/>
      <c r="AF123" s="580"/>
      <c r="AG123" s="333" t="s">
        <v>1143</v>
      </c>
      <c r="AH123" s="333" t="s">
        <v>1144</v>
      </c>
      <c r="AI123" s="528">
        <v>2</v>
      </c>
      <c r="AJ123" s="528">
        <v>4</v>
      </c>
      <c r="AK123" s="483">
        <v>0.33329999999999999</v>
      </c>
      <c r="AL123" s="483">
        <v>0.66659999999999997</v>
      </c>
      <c r="AM123" s="525" t="s">
        <v>1124</v>
      </c>
      <c r="AN123" s="528">
        <v>0</v>
      </c>
      <c r="AO123" s="528">
        <v>0</v>
      </c>
      <c r="AP123" s="528">
        <v>0</v>
      </c>
      <c r="AQ123" s="528">
        <v>0</v>
      </c>
      <c r="AR123" s="528">
        <v>0</v>
      </c>
      <c r="AS123" s="528">
        <v>0</v>
      </c>
      <c r="AT123" s="528">
        <v>0</v>
      </c>
      <c r="AU123" s="528">
        <v>0</v>
      </c>
      <c r="AV123" s="528">
        <v>0</v>
      </c>
      <c r="AW123" s="528">
        <v>0</v>
      </c>
      <c r="AX123" s="528">
        <v>0</v>
      </c>
      <c r="AY123" s="528">
        <v>0</v>
      </c>
      <c r="AZ123" s="528"/>
      <c r="BA123" s="528" t="s">
        <v>1145</v>
      </c>
      <c r="BB123" s="528"/>
      <c r="BC123" s="528" t="s">
        <v>1145</v>
      </c>
      <c r="BD123" s="528"/>
      <c r="BE123" s="528"/>
      <c r="BF123" s="528"/>
      <c r="BG123" s="529"/>
      <c r="BH123" s="525"/>
      <c r="BI123" s="528"/>
      <c r="BJ123" s="528" t="s">
        <v>1164</v>
      </c>
      <c r="BK123" s="528"/>
      <c r="BL123" s="529" t="s">
        <v>1284</v>
      </c>
      <c r="BM123" s="525" t="s">
        <v>1557</v>
      </c>
      <c r="BN123" s="525" t="s">
        <v>368</v>
      </c>
    </row>
    <row r="124" spans="1:66" ht="13" customHeight="1" x14ac:dyDescent="0.2">
      <c r="A124" s="525">
        <v>2742</v>
      </c>
      <c r="B124" s="581">
        <v>44575</v>
      </c>
      <c r="C124" s="526" t="s">
        <v>1138</v>
      </c>
      <c r="D124" s="525" t="s">
        <v>1115</v>
      </c>
      <c r="E124" s="527">
        <v>44197</v>
      </c>
      <c r="F124" s="525" t="s">
        <v>1274</v>
      </c>
      <c r="G124" s="525" t="s">
        <v>1467</v>
      </c>
      <c r="H124" s="579">
        <v>85.999999999999986</v>
      </c>
      <c r="I124" s="394" t="s">
        <v>296</v>
      </c>
      <c r="J124" s="409">
        <v>6000</v>
      </c>
      <c r="K124" s="332">
        <v>13500</v>
      </c>
      <c r="L124" s="332">
        <v>13500</v>
      </c>
      <c r="M124" s="332">
        <v>13500</v>
      </c>
      <c r="N124" s="584"/>
      <c r="O124" s="406">
        <v>2.2999999999999998</v>
      </c>
      <c r="P124" s="406">
        <v>2.0363636363636366</v>
      </c>
      <c r="Q124" s="406">
        <v>0</v>
      </c>
      <c r="R124" s="406">
        <v>0</v>
      </c>
      <c r="S124" s="406">
        <v>1.7</v>
      </c>
      <c r="T124" s="580"/>
      <c r="U124" s="406">
        <v>2.2999999999999998</v>
      </c>
      <c r="V124" s="406">
        <v>2.0363636363636366</v>
      </c>
      <c r="W124" s="406">
        <v>0</v>
      </c>
      <c r="X124" s="406">
        <v>0</v>
      </c>
      <c r="Y124" s="406">
        <v>1.7</v>
      </c>
      <c r="Z124" s="580"/>
      <c r="AA124" s="580"/>
      <c r="AB124" s="580"/>
      <c r="AC124" s="580"/>
      <c r="AD124" s="580"/>
      <c r="AE124" s="580"/>
      <c r="AF124" s="580"/>
      <c r="AG124" s="333" t="s">
        <v>1145</v>
      </c>
      <c r="AH124" s="333"/>
      <c r="AI124" s="528">
        <v>3</v>
      </c>
      <c r="AJ124" s="528">
        <v>3</v>
      </c>
      <c r="AK124" s="480">
        <v>0.5</v>
      </c>
      <c r="AL124" s="480">
        <v>0.5</v>
      </c>
      <c r="AM124" s="525"/>
      <c r="AN124" s="528">
        <v>0</v>
      </c>
      <c r="AO124" s="528">
        <v>12</v>
      </c>
      <c r="AP124" s="528">
        <v>0</v>
      </c>
      <c r="AQ124" s="528">
        <v>3</v>
      </c>
      <c r="AR124" s="528">
        <v>0</v>
      </c>
      <c r="AS124" s="528">
        <v>0</v>
      </c>
      <c r="AT124" s="528">
        <v>0</v>
      </c>
      <c r="AU124" s="528">
        <v>0</v>
      </c>
      <c r="AV124" s="528">
        <v>0</v>
      </c>
      <c r="AW124" s="528">
        <v>0</v>
      </c>
      <c r="AX124" s="528">
        <v>0</v>
      </c>
      <c r="AY124" s="528">
        <v>0</v>
      </c>
      <c r="AZ124" s="528"/>
      <c r="BA124" s="528" t="s">
        <v>1145</v>
      </c>
      <c r="BB124" s="528"/>
      <c r="BC124" s="528" t="s">
        <v>1145</v>
      </c>
      <c r="BD124" s="528"/>
      <c r="BE124" s="528"/>
      <c r="BF124" s="528"/>
      <c r="BG124" s="529"/>
      <c r="BH124" s="525"/>
      <c r="BI124" s="528"/>
      <c r="BJ124" s="528" t="s">
        <v>1164</v>
      </c>
      <c r="BK124" s="528"/>
      <c r="BL124" s="529"/>
      <c r="BM124" s="529" t="s">
        <v>430</v>
      </c>
      <c r="BN124" s="525" t="s">
        <v>408</v>
      </c>
    </row>
    <row r="125" spans="1:66" ht="13" customHeight="1" x14ac:dyDescent="0.2">
      <c r="A125" s="525">
        <v>3324</v>
      </c>
      <c r="B125" s="581">
        <v>44573</v>
      </c>
      <c r="C125" s="526" t="s">
        <v>1138</v>
      </c>
      <c r="D125" s="525" t="s">
        <v>1115</v>
      </c>
      <c r="E125" s="570">
        <v>44562</v>
      </c>
      <c r="F125" s="525" t="s">
        <v>1291</v>
      </c>
      <c r="G125" s="525" t="s">
        <v>1618</v>
      </c>
      <c r="H125" s="579">
        <v>80.336363636363629</v>
      </c>
      <c r="I125" s="394"/>
      <c r="J125" s="409"/>
      <c r="K125" s="332"/>
      <c r="L125" s="332"/>
      <c r="M125" s="332"/>
      <c r="N125" s="584"/>
      <c r="O125" s="406">
        <v>1.8090909090909089</v>
      </c>
      <c r="P125" s="406">
        <v>0</v>
      </c>
      <c r="Q125" s="406">
        <v>0</v>
      </c>
      <c r="R125" s="406">
        <v>0</v>
      </c>
      <c r="S125" s="406">
        <v>0</v>
      </c>
      <c r="T125" s="580"/>
      <c r="U125" s="406">
        <v>1.4909090909090907</v>
      </c>
      <c r="V125" s="406">
        <v>0</v>
      </c>
      <c r="W125" s="406">
        <v>0</v>
      </c>
      <c r="X125" s="406">
        <v>0</v>
      </c>
      <c r="Y125" s="406">
        <v>0</v>
      </c>
      <c r="Z125" s="580"/>
      <c r="AA125" s="580"/>
      <c r="AB125" s="580"/>
      <c r="AC125" s="580"/>
      <c r="AD125" s="580"/>
      <c r="AE125" s="580"/>
      <c r="AF125" s="580"/>
      <c r="AG125" s="333" t="s">
        <v>1143</v>
      </c>
      <c r="AH125" s="333" t="s">
        <v>1144</v>
      </c>
      <c r="AI125" s="528">
        <v>2</v>
      </c>
      <c r="AJ125" s="528">
        <v>4</v>
      </c>
      <c r="AK125" s="483">
        <v>0.33329999999999999</v>
      </c>
      <c r="AL125" s="483">
        <v>0.66659999999999997</v>
      </c>
      <c r="AM125" s="525" t="s">
        <v>1124</v>
      </c>
      <c r="AN125" s="528">
        <v>0</v>
      </c>
      <c r="AO125" s="528">
        <v>0</v>
      </c>
      <c r="AP125" s="528">
        <v>0</v>
      </c>
      <c r="AQ125" s="528">
        <v>0</v>
      </c>
      <c r="AR125" s="528">
        <v>0</v>
      </c>
      <c r="AS125" s="528">
        <v>0</v>
      </c>
      <c r="AT125" s="528">
        <v>0</v>
      </c>
      <c r="AU125" s="528">
        <v>0</v>
      </c>
      <c r="AV125" s="528">
        <v>0</v>
      </c>
      <c r="AW125" s="528">
        <v>0</v>
      </c>
      <c r="AX125" s="528">
        <v>0</v>
      </c>
      <c r="AY125" s="528">
        <v>0</v>
      </c>
      <c r="AZ125" s="528"/>
      <c r="BA125" s="528" t="s">
        <v>1145</v>
      </c>
      <c r="BB125" s="528"/>
      <c r="BC125" s="528" t="s">
        <v>1145</v>
      </c>
      <c r="BD125" s="528"/>
      <c r="BE125" s="528"/>
      <c r="BF125" s="528"/>
      <c r="BG125" s="529"/>
      <c r="BH125" s="525"/>
      <c r="BI125" s="528"/>
      <c r="BJ125" s="528" t="s">
        <v>1164</v>
      </c>
      <c r="BK125" s="528"/>
      <c r="BL125" s="529" t="s">
        <v>1627</v>
      </c>
      <c r="BM125" s="525" t="s">
        <v>1639</v>
      </c>
      <c r="BN125" s="525" t="s">
        <v>1121</v>
      </c>
    </row>
    <row r="126" spans="1:66" ht="13" customHeight="1" x14ac:dyDescent="0.2">
      <c r="A126" s="525">
        <v>2933</v>
      </c>
      <c r="B126" s="581">
        <v>44574</v>
      </c>
      <c r="C126" s="526" t="s">
        <v>1138</v>
      </c>
      <c r="D126" s="525" t="s">
        <v>1115</v>
      </c>
      <c r="E126" s="527">
        <v>44452</v>
      </c>
      <c r="F126" s="525" t="s">
        <v>1483</v>
      </c>
      <c r="G126" s="525" t="s">
        <v>1550</v>
      </c>
      <c r="H126" s="579">
        <v>99.999999999999986</v>
      </c>
      <c r="I126" s="531" t="s">
        <v>296</v>
      </c>
      <c r="J126" s="459">
        <v>6000</v>
      </c>
      <c r="K126" s="459">
        <v>12000</v>
      </c>
      <c r="L126" s="459">
        <v>84000</v>
      </c>
      <c r="M126" s="459">
        <v>84000</v>
      </c>
      <c r="N126" s="584"/>
      <c r="O126" s="406">
        <v>1.4272727272727272</v>
      </c>
      <c r="P126" s="406">
        <v>1.0818181818181818</v>
      </c>
      <c r="Q126" s="406">
        <v>1.0545454545454545</v>
      </c>
      <c r="R126" s="406">
        <v>0</v>
      </c>
      <c r="S126" s="406">
        <v>1</v>
      </c>
      <c r="T126" s="580"/>
      <c r="U126" s="406">
        <v>1.1545454545454545</v>
      </c>
      <c r="V126" s="406">
        <v>1.0818181818181818</v>
      </c>
      <c r="W126" s="406">
        <v>1.0545454545454545</v>
      </c>
      <c r="X126" s="406">
        <v>0</v>
      </c>
      <c r="Y126" s="406">
        <v>1</v>
      </c>
      <c r="Z126" s="580"/>
      <c r="AA126" s="580"/>
      <c r="AB126" s="580"/>
      <c r="AC126" s="580"/>
      <c r="AD126" s="580"/>
      <c r="AE126" s="580"/>
      <c r="AF126" s="580"/>
      <c r="AG126" s="333" t="s">
        <v>1143</v>
      </c>
      <c r="AH126" s="333" t="s">
        <v>1144</v>
      </c>
      <c r="AI126" s="528">
        <v>2</v>
      </c>
      <c r="AJ126" s="528">
        <v>4</v>
      </c>
      <c r="AK126" s="483">
        <v>0.33329999999999999</v>
      </c>
      <c r="AL126" s="483">
        <v>0.66659999999999997</v>
      </c>
      <c r="AM126" s="525" t="s">
        <v>1124</v>
      </c>
      <c r="AN126" s="528">
        <v>0</v>
      </c>
      <c r="AO126" s="528">
        <v>0</v>
      </c>
      <c r="AP126" s="528">
        <v>0</v>
      </c>
      <c r="AQ126" s="528">
        <v>0</v>
      </c>
      <c r="AR126" s="528">
        <v>0</v>
      </c>
      <c r="AS126" s="528">
        <v>0</v>
      </c>
      <c r="AT126" s="528">
        <v>0</v>
      </c>
      <c r="AU126" s="528">
        <v>0</v>
      </c>
      <c r="AV126" s="528">
        <v>0</v>
      </c>
      <c r="AW126" s="528">
        <v>0</v>
      </c>
      <c r="AX126" s="528">
        <v>0</v>
      </c>
      <c r="AY126" s="528">
        <v>0</v>
      </c>
      <c r="AZ126" s="528"/>
      <c r="BA126" s="528" t="s">
        <v>1145</v>
      </c>
      <c r="BB126" s="528"/>
      <c r="BC126" s="528" t="s">
        <v>1145</v>
      </c>
      <c r="BD126" s="528"/>
      <c r="BE126" s="528">
        <v>12</v>
      </c>
      <c r="BF126" s="564"/>
      <c r="BG126" s="529"/>
      <c r="BH126" s="525"/>
      <c r="BI126" s="528"/>
      <c r="BJ126" s="528" t="s">
        <v>4</v>
      </c>
      <c r="BK126" s="528"/>
      <c r="BL126" s="529"/>
      <c r="BM126" s="525" t="s">
        <v>430</v>
      </c>
      <c r="BN126" s="525" t="s">
        <v>368</v>
      </c>
    </row>
    <row r="127" spans="1:66" ht="16" x14ac:dyDescent="0.2">
      <c r="A127" s="525">
        <v>3240</v>
      </c>
      <c r="B127" s="581">
        <v>44573</v>
      </c>
      <c r="C127" s="526" t="s">
        <v>1138</v>
      </c>
      <c r="D127" s="525" t="s">
        <v>1115</v>
      </c>
      <c r="E127" s="527">
        <v>44562</v>
      </c>
      <c r="F127" s="529" t="s">
        <v>1619</v>
      </c>
      <c r="G127" s="525" t="s">
        <v>1620</v>
      </c>
      <c r="H127" s="579">
        <v>69.990909090909085</v>
      </c>
      <c r="I127" s="531" t="s">
        <v>296</v>
      </c>
      <c r="J127" s="459">
        <v>6000</v>
      </c>
      <c r="K127" s="459">
        <v>12000</v>
      </c>
      <c r="L127" s="459">
        <v>84000</v>
      </c>
      <c r="M127" s="459">
        <v>84000</v>
      </c>
      <c r="O127" s="406">
        <v>2.5363636363636362</v>
      </c>
      <c r="P127" s="406">
        <v>1.8727272727272726</v>
      </c>
      <c r="Q127" s="406">
        <v>1.6909090909090909</v>
      </c>
      <c r="R127" s="406">
        <v>0</v>
      </c>
      <c r="S127" s="406">
        <v>1.4545454545454546</v>
      </c>
      <c r="T127" s="580"/>
      <c r="U127" s="406">
        <v>1.8545454545454545</v>
      </c>
      <c r="V127" s="406">
        <v>1.6090909090909089</v>
      </c>
      <c r="W127" s="406">
        <v>1.4</v>
      </c>
      <c r="X127" s="406">
        <v>0</v>
      </c>
      <c r="Y127" s="406">
        <v>1.2818181818181817</v>
      </c>
      <c r="Z127" s="580"/>
      <c r="AA127" s="580"/>
      <c r="AB127" s="580"/>
      <c r="AC127" s="580"/>
      <c r="AD127" s="580"/>
      <c r="AE127" s="580"/>
      <c r="AF127" s="580"/>
      <c r="AG127" s="528" t="s">
        <v>1143</v>
      </c>
      <c r="AH127" s="528" t="s">
        <v>1144</v>
      </c>
      <c r="AI127" s="528">
        <v>2</v>
      </c>
      <c r="AJ127" s="528">
        <v>4</v>
      </c>
      <c r="AK127" s="483">
        <v>0.33329999999999999</v>
      </c>
      <c r="AL127" s="483">
        <v>0.66659999999999997</v>
      </c>
      <c r="AM127" s="525" t="s">
        <v>1124</v>
      </c>
      <c r="AN127" s="528">
        <v>0</v>
      </c>
      <c r="AO127" s="528">
        <v>22</v>
      </c>
      <c r="AP127" s="528">
        <v>0</v>
      </c>
      <c r="AQ127" s="528">
        <v>0</v>
      </c>
      <c r="AR127" s="528">
        <v>0</v>
      </c>
      <c r="AS127" s="528">
        <v>0</v>
      </c>
      <c r="AT127" s="528">
        <v>0</v>
      </c>
      <c r="AU127" s="528">
        <v>0</v>
      </c>
      <c r="AV127" s="528">
        <v>0</v>
      </c>
      <c r="AW127" s="528">
        <v>0</v>
      </c>
      <c r="AX127" s="528">
        <v>0</v>
      </c>
      <c r="AY127" s="528">
        <v>0</v>
      </c>
      <c r="AZ127" s="528"/>
      <c r="BA127" s="528" t="s">
        <v>1145</v>
      </c>
      <c r="BB127" s="528"/>
      <c r="BC127" s="528" t="s">
        <v>1145</v>
      </c>
      <c r="BD127" s="528"/>
      <c r="BE127" s="528"/>
      <c r="BF127" s="528"/>
      <c r="BG127" s="529"/>
      <c r="BH127" s="525"/>
      <c r="BI127" s="528"/>
      <c r="BJ127" s="528" t="s">
        <v>4</v>
      </c>
      <c r="BK127" s="528"/>
      <c r="BL127" s="529" t="s">
        <v>1629</v>
      </c>
      <c r="BM127" s="525" t="s">
        <v>1640</v>
      </c>
      <c r="BN127" s="525" t="s">
        <v>1121</v>
      </c>
    </row>
  </sheetData>
  <sheetProtection algorithmName="SHA-512" hashValue="a7A8zqRCWBR/0cow8acvy7DEpg4t8cJ2VxB+3yMjCfkWycv1KuTSUq3b8iYsBsIzfL+FUVhFn7i6rrt+bjV7DA==" saltValue="XyLIUAiOWuF6X1wRQDzSBw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A2A9B-281B-3942-B00A-2BF923DEF1F9}">
  <sheetPr codeName="Sheet71"/>
  <dimension ref="A1:BN128"/>
  <sheetViews>
    <sheetView topLeftCell="A4" zoomScaleNormal="220" zoomScalePageLayoutView="130" workbookViewId="0">
      <selection activeCell="A41" sqref="A41:XFD41"/>
    </sheetView>
  </sheetViews>
  <sheetFormatPr baseColWidth="10" defaultColWidth="11.5" defaultRowHeight="13" x14ac:dyDescent="0.15"/>
  <cols>
    <col min="1" max="1" width="8.1640625" customWidth="1"/>
    <col min="3" max="3" width="6.33203125" customWidth="1"/>
    <col min="4" max="4" width="25.33203125" customWidth="1"/>
    <col min="6" max="6" width="16.1640625" customWidth="1"/>
    <col min="7" max="7" width="21.83203125" bestFit="1" customWidth="1"/>
    <col min="9" max="9" width="12.83203125" customWidth="1"/>
    <col min="53" max="53" width="50.6640625" customWidth="1"/>
    <col min="54" max="54" width="12.1640625" customWidth="1"/>
    <col min="55" max="55" width="10.83203125" customWidth="1"/>
    <col min="57" max="57" width="20.5" customWidth="1"/>
    <col min="58" max="58" width="14" bestFit="1" customWidth="1"/>
  </cols>
  <sheetData>
    <row r="1" spans="1:66" ht="71" x14ac:dyDescent="0.2">
      <c r="A1" s="429" t="s">
        <v>443</v>
      </c>
      <c r="B1" s="429" t="s">
        <v>444</v>
      </c>
      <c r="C1" s="430" t="s">
        <v>445</v>
      </c>
      <c r="D1" s="431" t="s">
        <v>446</v>
      </c>
      <c r="E1" s="429" t="s">
        <v>447</v>
      </c>
      <c r="F1" s="430" t="s">
        <v>725</v>
      </c>
      <c r="G1" s="431" t="s">
        <v>448</v>
      </c>
      <c r="H1" s="432" t="s">
        <v>449</v>
      </c>
      <c r="I1" s="433" t="s">
        <v>1247</v>
      </c>
      <c r="J1" s="433" t="s">
        <v>1248</v>
      </c>
      <c r="K1" s="433" t="s">
        <v>1249</v>
      </c>
      <c r="L1" s="433" t="s">
        <v>1250</v>
      </c>
      <c r="M1" s="433" t="s">
        <v>1251</v>
      </c>
      <c r="N1" s="434" t="s">
        <v>1252</v>
      </c>
      <c r="O1" s="435" t="s">
        <v>1253</v>
      </c>
      <c r="P1" s="435" t="s">
        <v>1254</v>
      </c>
      <c r="Q1" s="435" t="s">
        <v>1255</v>
      </c>
      <c r="R1" s="435" t="s">
        <v>1256</v>
      </c>
      <c r="S1" s="435" t="s">
        <v>1257</v>
      </c>
      <c r="T1" s="435" t="s">
        <v>1258</v>
      </c>
      <c r="U1" s="436" t="s">
        <v>1259</v>
      </c>
      <c r="V1" s="436" t="s">
        <v>1260</v>
      </c>
      <c r="W1" s="436" t="s">
        <v>1261</v>
      </c>
      <c r="X1" s="436" t="s">
        <v>1262</v>
      </c>
      <c r="Y1" s="436" t="s">
        <v>1263</v>
      </c>
      <c r="Z1" s="436" t="s">
        <v>1264</v>
      </c>
      <c r="AA1" s="437" t="s">
        <v>1265</v>
      </c>
      <c r="AB1" s="437" t="s">
        <v>1266</v>
      </c>
      <c r="AC1" s="437" t="s">
        <v>1267</v>
      </c>
      <c r="AD1" s="437" t="s">
        <v>1268</v>
      </c>
      <c r="AE1" s="437" t="s">
        <v>1269</v>
      </c>
      <c r="AF1" s="437" t="s">
        <v>1270</v>
      </c>
      <c r="AG1" s="438" t="s">
        <v>474</v>
      </c>
      <c r="AH1" s="438" t="s">
        <v>475</v>
      </c>
      <c r="AI1" s="438" t="s">
        <v>476</v>
      </c>
      <c r="AJ1" s="438" t="s">
        <v>477</v>
      </c>
      <c r="AK1" s="479" t="s">
        <v>478</v>
      </c>
      <c r="AL1" s="479" t="s">
        <v>479</v>
      </c>
      <c r="AM1" s="439" t="s">
        <v>1099</v>
      </c>
      <c r="AN1" s="440" t="s">
        <v>480</v>
      </c>
      <c r="AO1" s="441" t="s">
        <v>481</v>
      </c>
      <c r="AP1" s="440" t="s">
        <v>482</v>
      </c>
      <c r="AQ1" s="442" t="s">
        <v>483</v>
      </c>
      <c r="AR1" s="443" t="s">
        <v>484</v>
      </c>
      <c r="AS1" s="442" t="s">
        <v>485</v>
      </c>
      <c r="AT1" s="444" t="s">
        <v>1271</v>
      </c>
      <c r="AU1" s="445" t="s">
        <v>1272</v>
      </c>
      <c r="AV1" s="444" t="s">
        <v>36</v>
      </c>
      <c r="AW1" s="445" t="s">
        <v>37</v>
      </c>
      <c r="AX1" s="443" t="s">
        <v>384</v>
      </c>
      <c r="AY1" s="446" t="s">
        <v>385</v>
      </c>
      <c r="AZ1" s="429" t="s">
        <v>386</v>
      </c>
      <c r="BA1" s="447" t="s">
        <v>387</v>
      </c>
      <c r="BB1" s="448" t="s">
        <v>388</v>
      </c>
      <c r="BC1" s="447" t="s">
        <v>389</v>
      </c>
      <c r="BD1" s="447" t="s">
        <v>390</v>
      </c>
      <c r="BE1" s="447" t="s">
        <v>1136</v>
      </c>
      <c r="BF1" s="563" t="s">
        <v>1137</v>
      </c>
      <c r="BG1" s="429" t="s">
        <v>391</v>
      </c>
      <c r="BH1" s="430" t="s">
        <v>392</v>
      </c>
      <c r="BI1" s="447" t="s">
        <v>393</v>
      </c>
      <c r="BJ1" s="447" t="s">
        <v>394</v>
      </c>
      <c r="BK1" s="449" t="s">
        <v>1273</v>
      </c>
      <c r="BL1" s="430" t="s">
        <v>395</v>
      </c>
      <c r="BM1" s="447" t="s">
        <v>396</v>
      </c>
      <c r="BN1" s="429" t="s">
        <v>397</v>
      </c>
    </row>
    <row r="2" spans="1:66" ht="13" customHeight="1" x14ac:dyDescent="0.2">
      <c r="A2" s="525">
        <v>3034</v>
      </c>
      <c r="B2" s="565">
        <v>44456</v>
      </c>
      <c r="C2" s="526" t="s">
        <v>295</v>
      </c>
      <c r="D2" s="525" t="s">
        <v>1100</v>
      </c>
      <c r="E2" s="527">
        <v>44378</v>
      </c>
      <c r="F2" s="529" t="s">
        <v>1044</v>
      </c>
      <c r="G2" s="525" t="s">
        <v>1562</v>
      </c>
      <c r="H2" s="532">
        <v>73.081818181818178</v>
      </c>
      <c r="I2" s="531" t="s">
        <v>296</v>
      </c>
      <c r="J2" s="459">
        <v>3000</v>
      </c>
      <c r="K2" s="459">
        <v>6000</v>
      </c>
      <c r="L2" s="459">
        <v>9000</v>
      </c>
      <c r="M2" s="459">
        <v>15000</v>
      </c>
      <c r="N2" s="525"/>
      <c r="O2" s="532">
        <v>2.4090909090909087</v>
      </c>
      <c r="P2" s="532">
        <v>2.1363636363636362</v>
      </c>
      <c r="Q2" s="532">
        <v>1.7545454545454544</v>
      </c>
      <c r="R2" s="532">
        <v>1.5272727272727271</v>
      </c>
      <c r="S2" s="532">
        <v>1.4363636363636363</v>
      </c>
      <c r="T2" s="533"/>
      <c r="U2" s="532">
        <v>2.3090909090909091</v>
      </c>
      <c r="V2" s="532">
        <v>2.0363636363636366</v>
      </c>
      <c r="W2" s="532">
        <v>1.6909090909090909</v>
      </c>
      <c r="X2" s="532">
        <v>1.4999999999999998</v>
      </c>
      <c r="Y2" s="532">
        <v>1.3909090909090909</v>
      </c>
      <c r="Z2" s="533"/>
      <c r="AA2" s="533"/>
      <c r="AB2" s="533"/>
      <c r="AC2" s="533"/>
      <c r="AD2" s="533"/>
      <c r="AE2" s="533"/>
      <c r="AF2" s="533"/>
      <c r="AG2" s="528" t="s">
        <v>297</v>
      </c>
      <c r="AH2" s="528" t="s">
        <v>298</v>
      </c>
      <c r="AI2" s="528">
        <v>3</v>
      </c>
      <c r="AJ2" s="528">
        <v>3</v>
      </c>
      <c r="AK2" s="480">
        <v>0.5</v>
      </c>
      <c r="AL2" s="480">
        <v>0.5</v>
      </c>
      <c r="AM2" s="525" t="s">
        <v>1118</v>
      </c>
      <c r="AN2" s="528">
        <v>0</v>
      </c>
      <c r="AO2" s="528">
        <v>0</v>
      </c>
      <c r="AP2" s="528">
        <v>0</v>
      </c>
      <c r="AQ2" s="528">
        <v>0</v>
      </c>
      <c r="AR2" s="528">
        <v>0</v>
      </c>
      <c r="AS2" s="528">
        <v>0</v>
      </c>
      <c r="AT2" s="528">
        <v>0</v>
      </c>
      <c r="AU2" s="528">
        <v>0</v>
      </c>
      <c r="AV2" s="528">
        <v>0</v>
      </c>
      <c r="AW2" s="528">
        <v>0</v>
      </c>
      <c r="AX2" s="528">
        <v>0</v>
      </c>
      <c r="AY2" s="528">
        <v>0</v>
      </c>
      <c r="AZ2" s="528"/>
      <c r="BA2" s="528" t="s">
        <v>1278</v>
      </c>
      <c r="BB2" s="528"/>
      <c r="BC2" s="528" t="s">
        <v>1278</v>
      </c>
      <c r="BD2" s="528"/>
      <c r="BE2" s="528"/>
      <c r="BF2" s="528"/>
      <c r="BG2" s="529"/>
      <c r="BH2" s="525"/>
      <c r="BI2" s="528"/>
      <c r="BJ2" s="528" t="s">
        <v>4</v>
      </c>
      <c r="BK2" s="528"/>
      <c r="BL2" s="529"/>
      <c r="BM2" s="529" t="s">
        <v>1563</v>
      </c>
      <c r="BN2" s="525" t="s">
        <v>368</v>
      </c>
    </row>
    <row r="3" spans="1:66" ht="13" customHeight="1" x14ac:dyDescent="0.2">
      <c r="A3" s="525">
        <v>2503</v>
      </c>
      <c r="B3" s="565">
        <v>44455</v>
      </c>
      <c r="C3" s="526" t="s">
        <v>295</v>
      </c>
      <c r="D3" s="525" t="s">
        <v>1100</v>
      </c>
      <c r="E3" s="527">
        <v>44326</v>
      </c>
      <c r="F3" s="529" t="s">
        <v>1046</v>
      </c>
      <c r="G3" s="525" t="s">
        <v>1280</v>
      </c>
      <c r="H3" s="532">
        <v>46.981818181818177</v>
      </c>
      <c r="I3" s="531" t="s">
        <v>296</v>
      </c>
      <c r="J3" s="459">
        <v>3000</v>
      </c>
      <c r="K3" s="459">
        <v>6000</v>
      </c>
      <c r="L3" s="459">
        <v>6000</v>
      </c>
      <c r="M3" s="459">
        <v>6000</v>
      </c>
      <c r="N3" s="525"/>
      <c r="O3" s="532">
        <v>2.0181818181818181</v>
      </c>
      <c r="P3" s="532">
        <v>1.8272727272727269</v>
      </c>
      <c r="Q3" s="532">
        <v>0</v>
      </c>
      <c r="R3" s="532">
        <v>0</v>
      </c>
      <c r="S3" s="532">
        <v>1.4363636363636363</v>
      </c>
      <c r="T3" s="533"/>
      <c r="U3" s="532">
        <v>2.0181818181818181</v>
      </c>
      <c r="V3" s="532">
        <v>1.7272727272727271</v>
      </c>
      <c r="W3" s="532">
        <v>0</v>
      </c>
      <c r="X3" s="532">
        <v>0</v>
      </c>
      <c r="Y3" s="532">
        <v>1.4363636363636363</v>
      </c>
      <c r="Z3" s="533"/>
      <c r="AA3" s="533"/>
      <c r="AB3" s="533"/>
      <c r="AC3" s="533"/>
      <c r="AD3" s="533"/>
      <c r="AE3" s="533"/>
      <c r="AF3" s="533"/>
      <c r="AG3" s="528" t="s">
        <v>297</v>
      </c>
      <c r="AH3" s="528" t="s">
        <v>298</v>
      </c>
      <c r="AI3" s="528">
        <v>3</v>
      </c>
      <c r="AJ3" s="528">
        <v>3</v>
      </c>
      <c r="AK3" s="480">
        <v>0.5</v>
      </c>
      <c r="AL3" s="480">
        <v>0.5</v>
      </c>
      <c r="AM3" s="525" t="s">
        <v>1118</v>
      </c>
      <c r="AN3" s="528">
        <v>0</v>
      </c>
      <c r="AO3" s="528">
        <v>0</v>
      </c>
      <c r="AP3" s="528">
        <v>0</v>
      </c>
      <c r="AQ3" s="528">
        <v>0</v>
      </c>
      <c r="AR3" s="528">
        <v>0</v>
      </c>
      <c r="AS3" s="528">
        <v>0</v>
      </c>
      <c r="AT3" s="528">
        <v>0</v>
      </c>
      <c r="AU3" s="528">
        <v>0</v>
      </c>
      <c r="AV3" s="528">
        <v>0</v>
      </c>
      <c r="AW3" s="528">
        <v>0</v>
      </c>
      <c r="AX3" s="528">
        <v>0</v>
      </c>
      <c r="AY3" s="528">
        <v>0</v>
      </c>
      <c r="AZ3" s="528"/>
      <c r="BA3" s="528" t="s">
        <v>1278</v>
      </c>
      <c r="BB3" s="528"/>
      <c r="BC3" s="528" t="s">
        <v>1278</v>
      </c>
      <c r="BD3" s="528"/>
      <c r="BE3" s="528"/>
      <c r="BF3" s="528"/>
      <c r="BG3" s="529"/>
      <c r="BH3" s="525"/>
      <c r="BI3" s="528"/>
      <c r="BJ3" s="528" t="s">
        <v>4</v>
      </c>
      <c r="BK3" s="528"/>
      <c r="BL3" s="529"/>
      <c r="BM3" s="525" t="s">
        <v>430</v>
      </c>
      <c r="BN3" s="525" t="s">
        <v>368</v>
      </c>
    </row>
    <row r="4" spans="1:66" ht="13" customHeight="1" x14ac:dyDescent="0.2">
      <c r="A4" s="525">
        <v>2968</v>
      </c>
      <c r="B4" s="565">
        <v>44455</v>
      </c>
      <c r="C4" s="526" t="s">
        <v>295</v>
      </c>
      <c r="D4" s="525" t="s">
        <v>1100</v>
      </c>
      <c r="E4" s="527">
        <v>44223</v>
      </c>
      <c r="F4" s="529" t="s">
        <v>1050</v>
      </c>
      <c r="G4" s="525" t="s">
        <v>1564</v>
      </c>
      <c r="H4" s="532">
        <v>77.999999999999986</v>
      </c>
      <c r="I4" s="531" t="s">
        <v>296</v>
      </c>
      <c r="J4" s="459">
        <v>3000</v>
      </c>
      <c r="K4" s="459">
        <v>6000</v>
      </c>
      <c r="L4" s="459">
        <v>9000</v>
      </c>
      <c r="M4" s="459">
        <v>15000</v>
      </c>
      <c r="N4" s="525"/>
      <c r="O4" s="532">
        <v>2.6818181818181817</v>
      </c>
      <c r="P4" s="532">
        <v>2.3727272727272726</v>
      </c>
      <c r="Q4" s="532">
        <v>1.9272727272727272</v>
      </c>
      <c r="R4" s="532">
        <v>1.6909090909090909</v>
      </c>
      <c r="S4" s="532">
        <v>1.6272727272727272</v>
      </c>
      <c r="T4" s="533"/>
      <c r="U4" s="532">
        <v>2.5636363636363635</v>
      </c>
      <c r="V4" s="532">
        <v>2.1545454545454543</v>
      </c>
      <c r="W4" s="532">
        <v>1.7818181818181817</v>
      </c>
      <c r="X4" s="532">
        <v>1.5818181818181818</v>
      </c>
      <c r="Y4" s="532">
        <v>1.5272727272727271</v>
      </c>
      <c r="Z4" s="533"/>
      <c r="AA4" s="533"/>
      <c r="AB4" s="533"/>
      <c r="AC4" s="533"/>
      <c r="AD4" s="533"/>
      <c r="AE4" s="533"/>
      <c r="AF4" s="533"/>
      <c r="AG4" s="528" t="s">
        <v>297</v>
      </c>
      <c r="AH4" s="528" t="s">
        <v>298</v>
      </c>
      <c r="AI4" s="528">
        <v>3</v>
      </c>
      <c r="AJ4" s="528">
        <v>3</v>
      </c>
      <c r="AK4" s="480">
        <v>0.5</v>
      </c>
      <c r="AL4" s="480">
        <v>0.5</v>
      </c>
      <c r="AM4" s="525" t="s">
        <v>1118</v>
      </c>
      <c r="AN4" s="528">
        <v>0</v>
      </c>
      <c r="AO4" s="528">
        <v>20</v>
      </c>
      <c r="AP4" s="528">
        <v>0</v>
      </c>
      <c r="AQ4" s="528">
        <v>0</v>
      </c>
      <c r="AR4" s="528">
        <v>0</v>
      </c>
      <c r="AS4" s="528">
        <v>0</v>
      </c>
      <c r="AT4" s="528">
        <v>0</v>
      </c>
      <c r="AU4" s="528">
        <v>0</v>
      </c>
      <c r="AV4" s="528">
        <v>0</v>
      </c>
      <c r="AW4" s="528">
        <v>0</v>
      </c>
      <c r="AX4" s="528">
        <v>0</v>
      </c>
      <c r="AY4" s="528">
        <v>0</v>
      </c>
      <c r="AZ4" s="528"/>
      <c r="BA4" s="528" t="s">
        <v>1278</v>
      </c>
      <c r="BB4" s="528"/>
      <c r="BC4" s="528" t="s">
        <v>1278</v>
      </c>
      <c r="BD4" s="528"/>
      <c r="BE4" s="528"/>
      <c r="BF4" s="528"/>
      <c r="BG4" s="529"/>
      <c r="BH4" s="525"/>
      <c r="BI4" s="528"/>
      <c r="BJ4" s="528" t="s">
        <v>4</v>
      </c>
      <c r="BK4" s="528">
        <v>1</v>
      </c>
      <c r="BL4" s="529"/>
      <c r="BM4" s="424" t="s">
        <v>1565</v>
      </c>
      <c r="BN4" s="525" t="s">
        <v>368</v>
      </c>
    </row>
    <row r="5" spans="1:66" ht="13" customHeight="1" x14ac:dyDescent="0.2">
      <c r="A5" s="525">
        <v>2545</v>
      </c>
      <c r="B5" s="565">
        <v>44455</v>
      </c>
      <c r="C5" s="526" t="s">
        <v>295</v>
      </c>
      <c r="D5" s="525" t="s">
        <v>1100</v>
      </c>
      <c r="E5" s="527">
        <v>44305</v>
      </c>
      <c r="F5" s="529" t="s">
        <v>1052</v>
      </c>
      <c r="G5" s="525" t="s">
        <v>1181</v>
      </c>
      <c r="H5" s="532">
        <v>46.9</v>
      </c>
      <c r="I5" s="531" t="s">
        <v>296</v>
      </c>
      <c r="J5" s="459">
        <v>3000</v>
      </c>
      <c r="K5" s="459">
        <v>6000</v>
      </c>
      <c r="L5" s="459">
        <v>9000</v>
      </c>
      <c r="M5" s="459">
        <v>15000</v>
      </c>
      <c r="N5" s="525"/>
      <c r="O5" s="532">
        <v>2.2545454545454544</v>
      </c>
      <c r="P5" s="532">
        <v>1.918181818181818</v>
      </c>
      <c r="Q5" s="532">
        <v>1.6272727272727272</v>
      </c>
      <c r="R5" s="532">
        <v>1.4818181818181817</v>
      </c>
      <c r="S5" s="532">
        <v>1.4363636363636363</v>
      </c>
      <c r="T5" s="533"/>
      <c r="U5" s="532">
        <v>2.1181818181818182</v>
      </c>
      <c r="V5" s="532">
        <v>1.8272727272727269</v>
      </c>
      <c r="W5" s="532">
        <v>1.5818181818181818</v>
      </c>
      <c r="X5" s="532">
        <v>1.4545454545454546</v>
      </c>
      <c r="Y5" s="532">
        <v>1.4272727272727272</v>
      </c>
      <c r="Z5" s="533"/>
      <c r="AA5" s="533"/>
      <c r="AB5" s="533"/>
      <c r="AC5" s="533"/>
      <c r="AD5" s="533"/>
      <c r="AE5" s="533"/>
      <c r="AF5" s="533"/>
      <c r="AG5" s="528" t="s">
        <v>297</v>
      </c>
      <c r="AH5" s="528" t="s">
        <v>298</v>
      </c>
      <c r="AI5" s="528">
        <v>3</v>
      </c>
      <c r="AJ5" s="528">
        <v>3</v>
      </c>
      <c r="AK5" s="480">
        <v>0.5</v>
      </c>
      <c r="AL5" s="480">
        <v>0.5</v>
      </c>
      <c r="AM5" s="525" t="s">
        <v>1118</v>
      </c>
      <c r="AN5" s="528">
        <v>0</v>
      </c>
      <c r="AO5" s="528">
        <v>0</v>
      </c>
      <c r="AP5" s="528">
        <v>0</v>
      </c>
      <c r="AQ5" s="528">
        <v>0</v>
      </c>
      <c r="AR5" s="528">
        <v>0</v>
      </c>
      <c r="AS5" s="528">
        <v>0</v>
      </c>
      <c r="AT5" s="528">
        <v>0</v>
      </c>
      <c r="AU5" s="528">
        <v>0</v>
      </c>
      <c r="AV5" s="528">
        <v>0</v>
      </c>
      <c r="AW5" s="528">
        <v>0</v>
      </c>
      <c r="AX5" s="528">
        <v>0</v>
      </c>
      <c r="AY5" s="528">
        <v>0</v>
      </c>
      <c r="AZ5" s="528"/>
      <c r="BA5" s="528" t="s">
        <v>1278</v>
      </c>
      <c r="BB5" s="528"/>
      <c r="BC5" s="528" t="s">
        <v>1278</v>
      </c>
      <c r="BD5" s="528"/>
      <c r="BE5" s="528"/>
      <c r="BF5" s="528"/>
      <c r="BG5" s="529"/>
      <c r="BH5" s="525"/>
      <c r="BI5" s="528"/>
      <c r="BJ5" s="528" t="s">
        <v>4</v>
      </c>
      <c r="BK5" s="528"/>
      <c r="BL5" s="529"/>
      <c r="BM5" s="530" t="s">
        <v>1155</v>
      </c>
      <c r="BN5" s="525" t="s">
        <v>368</v>
      </c>
    </row>
    <row r="6" spans="1:66" ht="13" customHeight="1" x14ac:dyDescent="0.2">
      <c r="A6" s="525">
        <v>2113</v>
      </c>
      <c r="B6" s="565">
        <v>44456</v>
      </c>
      <c r="C6" s="526" t="s">
        <v>295</v>
      </c>
      <c r="D6" s="525" t="s">
        <v>1100</v>
      </c>
      <c r="E6" s="527">
        <v>44448</v>
      </c>
      <c r="F6" s="529" t="s">
        <v>1054</v>
      </c>
      <c r="G6" s="525" t="s">
        <v>1157</v>
      </c>
      <c r="H6" s="532">
        <v>82</v>
      </c>
      <c r="I6" s="531" t="s">
        <v>296</v>
      </c>
      <c r="J6" s="459">
        <v>3000</v>
      </c>
      <c r="K6" s="459">
        <v>6000</v>
      </c>
      <c r="L6" s="459">
        <v>9000</v>
      </c>
      <c r="M6" s="459">
        <v>15000</v>
      </c>
      <c r="N6" s="525"/>
      <c r="O6" s="532">
        <v>3.0636363636363635</v>
      </c>
      <c r="P6" s="532">
        <v>2.627272727272727</v>
      </c>
      <c r="Q6" s="532">
        <v>2.1545454545454543</v>
      </c>
      <c r="R6" s="532">
        <v>1.8636363636363633</v>
      </c>
      <c r="S6" s="532">
        <v>1.8090909090909089</v>
      </c>
      <c r="T6" s="533"/>
      <c r="U6" s="532">
        <v>2.9636363636363634</v>
      </c>
      <c r="V6" s="532">
        <v>2.5181818181818181</v>
      </c>
      <c r="W6" s="532">
        <v>2.1</v>
      </c>
      <c r="X6" s="532">
        <v>1.7909090909090908</v>
      </c>
      <c r="Y6" s="532">
        <v>1.7818181818181817</v>
      </c>
      <c r="Z6" s="533"/>
      <c r="AA6" s="533"/>
      <c r="AB6" s="533"/>
      <c r="AC6" s="533"/>
      <c r="AD6" s="533"/>
      <c r="AE6" s="533"/>
      <c r="AF6" s="533"/>
      <c r="AG6" s="528" t="s">
        <v>297</v>
      </c>
      <c r="AH6" s="528" t="s">
        <v>298</v>
      </c>
      <c r="AI6" s="528">
        <v>2</v>
      </c>
      <c r="AJ6" s="528">
        <v>4</v>
      </c>
      <c r="AK6" s="483">
        <v>0.33329999999999999</v>
      </c>
      <c r="AL6" s="483">
        <v>0.66659999999999997</v>
      </c>
      <c r="AM6" s="525" t="s">
        <v>1124</v>
      </c>
      <c r="AN6" s="528">
        <v>26</v>
      </c>
      <c r="AO6" s="528">
        <v>0</v>
      </c>
      <c r="AP6" s="528">
        <v>0</v>
      </c>
      <c r="AQ6" s="528">
        <v>0</v>
      </c>
      <c r="AR6" s="528">
        <v>0</v>
      </c>
      <c r="AS6" s="528">
        <v>0</v>
      </c>
      <c r="AT6" s="528">
        <v>0</v>
      </c>
      <c r="AU6" s="528">
        <v>0</v>
      </c>
      <c r="AV6" s="528">
        <v>0</v>
      </c>
      <c r="AW6" s="528">
        <v>0</v>
      </c>
      <c r="AX6" s="528">
        <v>0</v>
      </c>
      <c r="AY6" s="528">
        <v>0</v>
      </c>
      <c r="AZ6" s="566">
        <v>12</v>
      </c>
      <c r="BA6" s="528" t="s">
        <v>1278</v>
      </c>
      <c r="BB6" s="528">
        <v>12</v>
      </c>
      <c r="BC6" s="528" t="s">
        <v>1278</v>
      </c>
      <c r="BD6" s="528"/>
      <c r="BE6" s="528">
        <v>12</v>
      </c>
      <c r="BF6" s="528"/>
      <c r="BG6" s="529"/>
      <c r="BH6" s="525"/>
      <c r="BI6" s="528"/>
      <c r="BJ6" s="528" t="s">
        <v>4</v>
      </c>
      <c r="BK6" s="528"/>
      <c r="BL6" s="529"/>
      <c r="BM6" s="567" t="s">
        <v>1566</v>
      </c>
      <c r="BN6" s="525" t="s">
        <v>408</v>
      </c>
    </row>
    <row r="7" spans="1:66" ht="13" customHeight="1" x14ac:dyDescent="0.2">
      <c r="A7" s="525">
        <v>2877</v>
      </c>
      <c r="B7" s="565">
        <v>44455</v>
      </c>
      <c r="C7" s="526" t="s">
        <v>295</v>
      </c>
      <c r="D7" s="525" t="s">
        <v>1100</v>
      </c>
      <c r="E7" s="527">
        <v>44378</v>
      </c>
      <c r="F7" s="529" t="s">
        <v>1055</v>
      </c>
      <c r="G7" s="525" t="s">
        <v>1105</v>
      </c>
      <c r="H7" s="532">
        <v>64.054545454545448</v>
      </c>
      <c r="I7" s="531" t="s">
        <v>296</v>
      </c>
      <c r="J7" s="459">
        <v>3000</v>
      </c>
      <c r="K7" s="459">
        <v>6000</v>
      </c>
      <c r="L7" s="459">
        <v>9000</v>
      </c>
      <c r="M7" s="459">
        <v>15000</v>
      </c>
      <c r="N7" s="525"/>
      <c r="O7" s="532">
        <v>1.8999999999999997</v>
      </c>
      <c r="P7" s="532">
        <v>1.8818181818181816</v>
      </c>
      <c r="Q7" s="532">
        <v>1.7363636363636361</v>
      </c>
      <c r="R7" s="532">
        <v>1.6727272727272726</v>
      </c>
      <c r="S7" s="532">
        <v>1.6363636363636362</v>
      </c>
      <c r="T7" s="533"/>
      <c r="U7" s="532">
        <v>1.8818181818181816</v>
      </c>
      <c r="V7" s="532">
        <v>1.8727272727272726</v>
      </c>
      <c r="W7" s="532">
        <v>1.718181818181818</v>
      </c>
      <c r="X7" s="532">
        <v>1.6454545454545453</v>
      </c>
      <c r="Y7" s="532">
        <v>1.6090909090909089</v>
      </c>
      <c r="Z7" s="533"/>
      <c r="AA7" s="533"/>
      <c r="AB7" s="533"/>
      <c r="AC7" s="533"/>
      <c r="AD7" s="533"/>
      <c r="AE7" s="533"/>
      <c r="AF7" s="533"/>
      <c r="AG7" s="528" t="s">
        <v>297</v>
      </c>
      <c r="AH7" s="528" t="s">
        <v>298</v>
      </c>
      <c r="AI7" s="528">
        <v>3</v>
      </c>
      <c r="AJ7" s="528">
        <v>3</v>
      </c>
      <c r="AK7" s="480">
        <v>0.5</v>
      </c>
      <c r="AL7" s="480">
        <v>0.5</v>
      </c>
      <c r="AM7" s="525" t="s">
        <v>1118</v>
      </c>
      <c r="AN7" s="528">
        <v>0</v>
      </c>
      <c r="AO7" s="528">
        <v>0</v>
      </c>
      <c r="AP7" s="528">
        <v>0</v>
      </c>
      <c r="AQ7" s="528">
        <v>0</v>
      </c>
      <c r="AR7" s="528">
        <v>0</v>
      </c>
      <c r="AS7" s="528">
        <v>0</v>
      </c>
      <c r="AT7" s="528">
        <v>0</v>
      </c>
      <c r="AU7" s="528">
        <v>0</v>
      </c>
      <c r="AV7" s="528">
        <v>0</v>
      </c>
      <c r="AW7" s="528">
        <v>0</v>
      </c>
      <c r="AX7" s="528">
        <v>0</v>
      </c>
      <c r="AY7" s="528">
        <v>0</v>
      </c>
      <c r="AZ7" s="528"/>
      <c r="BA7" s="528" t="s">
        <v>1278</v>
      </c>
      <c r="BB7" s="528"/>
      <c r="BC7" s="528" t="s">
        <v>1278</v>
      </c>
      <c r="BD7" s="528"/>
      <c r="BE7" s="528"/>
      <c r="BF7" s="564">
        <v>44926</v>
      </c>
      <c r="BG7" s="529"/>
      <c r="BH7" s="525"/>
      <c r="BI7" s="528"/>
      <c r="BJ7" s="528" t="s">
        <v>4</v>
      </c>
      <c r="BK7" s="528"/>
      <c r="BL7" s="529"/>
      <c r="BM7" s="530" t="s">
        <v>1567</v>
      </c>
      <c r="BN7" s="525" t="s">
        <v>368</v>
      </c>
    </row>
    <row r="8" spans="1:66" ht="13" customHeight="1" x14ac:dyDescent="0.2">
      <c r="A8" s="525">
        <v>312</v>
      </c>
      <c r="B8" s="565">
        <v>44455</v>
      </c>
      <c r="C8" s="526" t="s">
        <v>295</v>
      </c>
      <c r="D8" s="525" t="s">
        <v>1100</v>
      </c>
      <c r="E8" s="527">
        <v>44287</v>
      </c>
      <c r="F8" s="525" t="s">
        <v>1057</v>
      </c>
      <c r="G8" s="525" t="s">
        <v>1181</v>
      </c>
      <c r="H8" s="532">
        <v>81.199999999999989</v>
      </c>
      <c r="I8" s="531" t="s">
        <v>296</v>
      </c>
      <c r="J8" s="459">
        <v>3000</v>
      </c>
      <c r="K8" s="459">
        <v>6000</v>
      </c>
      <c r="L8" s="459">
        <v>9000</v>
      </c>
      <c r="M8" s="459">
        <v>15000</v>
      </c>
      <c r="N8" s="525"/>
      <c r="O8" s="532">
        <v>2.1999999999999997</v>
      </c>
      <c r="P8" s="532">
        <v>2</v>
      </c>
      <c r="Q8" s="532">
        <v>1.7999999999999998</v>
      </c>
      <c r="R8" s="532">
        <v>1.5999999999999999</v>
      </c>
      <c r="S8" s="532">
        <v>1.5999999999999999</v>
      </c>
      <c r="T8" s="533"/>
      <c r="U8" s="532">
        <v>2</v>
      </c>
      <c r="V8" s="532">
        <v>1.8999999999999997</v>
      </c>
      <c r="W8" s="532">
        <v>1.7</v>
      </c>
      <c r="X8" s="532">
        <v>1.5999999999999999</v>
      </c>
      <c r="Y8" s="532">
        <v>1.5999999999999999</v>
      </c>
      <c r="Z8" s="533"/>
      <c r="AA8" s="533"/>
      <c r="AB8" s="533"/>
      <c r="AC8" s="533"/>
      <c r="AD8" s="533"/>
      <c r="AE8" s="533"/>
      <c r="AF8" s="533"/>
      <c r="AG8" s="528" t="s">
        <v>297</v>
      </c>
      <c r="AH8" s="528" t="s">
        <v>298</v>
      </c>
      <c r="AI8" s="528">
        <v>3</v>
      </c>
      <c r="AJ8" s="528">
        <v>3</v>
      </c>
      <c r="AK8" s="480">
        <v>0.5</v>
      </c>
      <c r="AL8" s="480">
        <v>0.5</v>
      </c>
      <c r="AM8" s="525" t="s">
        <v>1118</v>
      </c>
      <c r="AN8" s="528">
        <v>0</v>
      </c>
      <c r="AO8" s="528">
        <v>0</v>
      </c>
      <c r="AP8" s="528">
        <v>0</v>
      </c>
      <c r="AQ8" s="528">
        <v>0</v>
      </c>
      <c r="AR8" s="528">
        <v>0</v>
      </c>
      <c r="AS8" s="528">
        <v>0</v>
      </c>
      <c r="AT8" s="528">
        <v>0</v>
      </c>
      <c r="AU8" s="528">
        <v>0</v>
      </c>
      <c r="AV8" s="528">
        <v>0</v>
      </c>
      <c r="AW8" s="528">
        <v>0</v>
      </c>
      <c r="AX8" s="528">
        <v>0</v>
      </c>
      <c r="AY8" s="528">
        <v>0</v>
      </c>
      <c r="AZ8" s="528"/>
      <c r="BA8" s="528" t="s">
        <v>1278</v>
      </c>
      <c r="BB8" s="528"/>
      <c r="BC8" s="528" t="s">
        <v>1278</v>
      </c>
      <c r="BD8" s="528"/>
      <c r="BE8" s="528"/>
      <c r="BF8" s="528"/>
      <c r="BG8" s="529"/>
      <c r="BH8" s="525"/>
      <c r="BI8" s="528"/>
      <c r="BJ8" s="528" t="s">
        <v>4</v>
      </c>
      <c r="BK8" s="528"/>
      <c r="BL8" s="297"/>
      <c r="BM8" s="424" t="s">
        <v>1568</v>
      </c>
      <c r="BN8" s="525" t="s">
        <v>368</v>
      </c>
    </row>
    <row r="9" spans="1:66" ht="13" customHeight="1" x14ac:dyDescent="0.2">
      <c r="A9" s="525">
        <v>2853</v>
      </c>
      <c r="B9" s="565">
        <v>44456</v>
      </c>
      <c r="C9" s="526" t="s">
        <v>295</v>
      </c>
      <c r="D9" s="525" t="s">
        <v>1100</v>
      </c>
      <c r="E9" s="527">
        <v>44319</v>
      </c>
      <c r="F9" s="529" t="s">
        <v>981</v>
      </c>
      <c r="G9" s="525" t="s">
        <v>1478</v>
      </c>
      <c r="H9" s="532">
        <v>62.18181818181818</v>
      </c>
      <c r="I9" s="531" t="s">
        <v>296</v>
      </c>
      <c r="J9" s="568">
        <v>6000</v>
      </c>
      <c r="K9" s="568">
        <v>6000</v>
      </c>
      <c r="L9" s="568">
        <v>6000</v>
      </c>
      <c r="M9" s="568">
        <v>6000</v>
      </c>
      <c r="N9" s="568"/>
      <c r="O9" s="532">
        <v>2.1454545454545451</v>
      </c>
      <c r="P9" s="532">
        <v>0</v>
      </c>
      <c r="Q9" s="532">
        <v>0</v>
      </c>
      <c r="R9" s="532">
        <v>0</v>
      </c>
      <c r="S9" s="532">
        <v>1.4272727272727272</v>
      </c>
      <c r="T9" s="533"/>
      <c r="U9" s="532">
        <v>2.1454545454545451</v>
      </c>
      <c r="V9" s="532">
        <v>0</v>
      </c>
      <c r="W9" s="532">
        <v>0</v>
      </c>
      <c r="X9" s="532">
        <v>0</v>
      </c>
      <c r="Y9" s="532">
        <v>1.4272727272727272</v>
      </c>
      <c r="Z9" s="533"/>
      <c r="AA9" s="533"/>
      <c r="AB9" s="533"/>
      <c r="AC9" s="533"/>
      <c r="AD9" s="533"/>
      <c r="AE9" s="533"/>
      <c r="AF9" s="533"/>
      <c r="AG9" s="528" t="s">
        <v>1278</v>
      </c>
      <c r="AH9" s="528"/>
      <c r="AI9" s="528">
        <v>3</v>
      </c>
      <c r="AJ9" s="528">
        <v>3</v>
      </c>
      <c r="AK9" s="480">
        <v>0.5</v>
      </c>
      <c r="AL9" s="480">
        <v>0.5</v>
      </c>
      <c r="AM9" s="525"/>
      <c r="AN9" s="528">
        <v>0</v>
      </c>
      <c r="AO9" s="528">
        <v>0</v>
      </c>
      <c r="AP9" s="528">
        <v>0</v>
      </c>
      <c r="AQ9" s="528">
        <v>0</v>
      </c>
      <c r="AR9" s="528">
        <v>0</v>
      </c>
      <c r="AS9" s="528">
        <v>0</v>
      </c>
      <c r="AT9" s="528">
        <v>0</v>
      </c>
      <c r="AU9" s="528">
        <v>0</v>
      </c>
      <c r="AV9" s="528">
        <v>0</v>
      </c>
      <c r="AW9" s="528">
        <v>0</v>
      </c>
      <c r="AX9" s="528">
        <v>0</v>
      </c>
      <c r="AY9" s="528">
        <v>0</v>
      </c>
      <c r="AZ9" s="528"/>
      <c r="BA9" s="528" t="s">
        <v>1278</v>
      </c>
      <c r="BB9" s="528">
        <v>12</v>
      </c>
      <c r="BC9" s="528" t="s">
        <v>1278</v>
      </c>
      <c r="BD9" s="528"/>
      <c r="BE9" s="528">
        <v>12</v>
      </c>
      <c r="BF9" s="528"/>
      <c r="BG9" s="529"/>
      <c r="BH9" s="525"/>
      <c r="BI9" s="528"/>
      <c r="BJ9" s="528" t="s">
        <v>4</v>
      </c>
      <c r="BK9" s="528"/>
      <c r="BL9" s="529"/>
      <c r="BM9" s="569" t="s">
        <v>430</v>
      </c>
      <c r="BN9" s="525" t="s">
        <v>368</v>
      </c>
    </row>
    <row r="10" spans="1:66" ht="13" customHeight="1" x14ac:dyDescent="0.2">
      <c r="A10" s="525">
        <v>2394</v>
      </c>
      <c r="B10" s="565">
        <v>44455</v>
      </c>
      <c r="C10" s="526" t="s">
        <v>295</v>
      </c>
      <c r="D10" s="525" t="s">
        <v>1100</v>
      </c>
      <c r="E10" s="570">
        <v>44197</v>
      </c>
      <c r="F10" s="529" t="s">
        <v>982</v>
      </c>
      <c r="G10" s="525" t="s">
        <v>1297</v>
      </c>
      <c r="H10" s="532">
        <v>65.518181818181802</v>
      </c>
      <c r="I10" s="531" t="s">
        <v>296</v>
      </c>
      <c r="J10" s="459">
        <v>3000</v>
      </c>
      <c r="K10" s="459">
        <v>6000</v>
      </c>
      <c r="L10" s="459">
        <v>9000</v>
      </c>
      <c r="M10" s="459">
        <v>15000</v>
      </c>
      <c r="N10" s="525"/>
      <c r="O10" s="532">
        <v>2.0636363636363635</v>
      </c>
      <c r="P10" s="532">
        <v>1.9363636363636361</v>
      </c>
      <c r="Q10" s="532">
        <v>1.7090909090909088</v>
      </c>
      <c r="R10" s="532">
        <v>1.6181818181818182</v>
      </c>
      <c r="S10" s="532">
        <v>1.5272727272727271</v>
      </c>
      <c r="T10" s="533"/>
      <c r="U10" s="532">
        <v>1.9636363636363636</v>
      </c>
      <c r="V10" s="532">
        <v>1.7999999999999998</v>
      </c>
      <c r="W10" s="532">
        <v>1.6181818181818182</v>
      </c>
      <c r="X10" s="532">
        <v>1.5272727272727271</v>
      </c>
      <c r="Y10" s="532">
        <v>1.4818181818181817</v>
      </c>
      <c r="Z10" s="533"/>
      <c r="AA10" s="533"/>
      <c r="AB10" s="533"/>
      <c r="AC10" s="533"/>
      <c r="AD10" s="533"/>
      <c r="AE10" s="533"/>
      <c r="AF10" s="533"/>
      <c r="AG10" s="528" t="s">
        <v>297</v>
      </c>
      <c r="AH10" s="528" t="s">
        <v>298</v>
      </c>
      <c r="AI10" s="528">
        <v>3</v>
      </c>
      <c r="AJ10" s="528">
        <v>3</v>
      </c>
      <c r="AK10" s="480">
        <v>0.5</v>
      </c>
      <c r="AL10" s="480">
        <v>0.5</v>
      </c>
      <c r="AM10" s="525" t="s">
        <v>1118</v>
      </c>
      <c r="AN10" s="528">
        <v>0</v>
      </c>
      <c r="AO10" s="528">
        <v>0</v>
      </c>
      <c r="AP10" s="528">
        <v>0</v>
      </c>
      <c r="AQ10" s="528">
        <v>0</v>
      </c>
      <c r="AR10" s="528">
        <v>0</v>
      </c>
      <c r="AS10" s="528">
        <v>0</v>
      </c>
      <c r="AT10" s="528">
        <v>0</v>
      </c>
      <c r="AU10" s="528">
        <v>0</v>
      </c>
      <c r="AV10" s="528">
        <v>0</v>
      </c>
      <c r="AW10" s="528">
        <v>0</v>
      </c>
      <c r="AX10" s="528">
        <v>0</v>
      </c>
      <c r="AY10" s="528">
        <v>0</v>
      </c>
      <c r="AZ10" s="528"/>
      <c r="BA10" s="528" t="s">
        <v>1278</v>
      </c>
      <c r="BB10" s="528"/>
      <c r="BC10" s="528" t="s">
        <v>1278</v>
      </c>
      <c r="BD10" s="528"/>
      <c r="BE10" s="528"/>
      <c r="BF10" s="528"/>
      <c r="BG10" s="529"/>
      <c r="BH10" s="525"/>
      <c r="BI10" s="528"/>
      <c r="BJ10" s="528" t="s">
        <v>4</v>
      </c>
      <c r="BK10" s="528"/>
      <c r="BL10" s="529"/>
      <c r="BM10" s="530" t="s">
        <v>1480</v>
      </c>
      <c r="BN10" s="525" t="s">
        <v>368</v>
      </c>
    </row>
    <row r="11" spans="1:66" ht="13" customHeight="1" x14ac:dyDescent="0.2">
      <c r="A11" s="525">
        <v>2958</v>
      </c>
      <c r="B11" s="565">
        <v>44456</v>
      </c>
      <c r="C11" s="526" t="s">
        <v>295</v>
      </c>
      <c r="D11" s="525" t="s">
        <v>1100</v>
      </c>
      <c r="E11" s="570">
        <v>44440</v>
      </c>
      <c r="F11" s="529" t="s">
        <v>984</v>
      </c>
      <c r="G11" s="525" t="s">
        <v>1405</v>
      </c>
      <c r="H11" s="532">
        <v>83.672727272727272</v>
      </c>
      <c r="I11" s="531" t="s">
        <v>296</v>
      </c>
      <c r="J11" s="459">
        <v>3000</v>
      </c>
      <c r="K11" s="459">
        <v>6000</v>
      </c>
      <c r="L11" s="459">
        <v>9000</v>
      </c>
      <c r="M11" s="459">
        <v>15000</v>
      </c>
      <c r="N11" s="525"/>
      <c r="O11" s="138">
        <v>2.4727272727272727</v>
      </c>
      <c r="P11" s="138">
        <v>2.1393939393939392</v>
      </c>
      <c r="Q11" s="138">
        <v>1.812121212121212</v>
      </c>
      <c r="R11" s="138">
        <v>1.6333333333333333</v>
      </c>
      <c r="S11" s="138">
        <v>1.5909090909090908</v>
      </c>
      <c r="T11" s="533"/>
      <c r="U11" s="532">
        <v>2.336363636363636</v>
      </c>
      <c r="V11" s="532">
        <v>2.0363636363636366</v>
      </c>
      <c r="W11" s="532">
        <v>1.7636363636363634</v>
      </c>
      <c r="X11" s="532">
        <v>1.6090909090909089</v>
      </c>
      <c r="Y11" s="532">
        <v>1.5818181818181818</v>
      </c>
      <c r="Z11" s="533"/>
      <c r="AA11" s="532">
        <v>2.4363636363636365</v>
      </c>
      <c r="AB11" s="532">
        <v>2.1090909090909089</v>
      </c>
      <c r="AC11" s="532">
        <v>1.7999999999999998</v>
      </c>
      <c r="AD11" s="532">
        <v>1.6272727272727272</v>
      </c>
      <c r="AE11" s="532">
        <v>1.5909090909090908</v>
      </c>
      <c r="AF11" s="533"/>
      <c r="AG11" s="528" t="s">
        <v>297</v>
      </c>
      <c r="AH11" s="528" t="s">
        <v>298</v>
      </c>
      <c r="AI11" s="528">
        <v>3</v>
      </c>
      <c r="AJ11" s="528">
        <v>3</v>
      </c>
      <c r="AK11" s="480">
        <v>0.5</v>
      </c>
      <c r="AL11" s="480">
        <v>0.5</v>
      </c>
      <c r="AM11" s="525" t="s">
        <v>1123</v>
      </c>
      <c r="AN11" s="528">
        <v>16</v>
      </c>
      <c r="AO11" s="528">
        <v>0</v>
      </c>
      <c r="AP11" s="528">
        <v>0</v>
      </c>
      <c r="AQ11" s="528">
        <v>0</v>
      </c>
      <c r="AR11" s="528">
        <v>0</v>
      </c>
      <c r="AS11" s="528">
        <v>0</v>
      </c>
      <c r="AT11" s="528">
        <v>0</v>
      </c>
      <c r="AU11" s="528">
        <v>0</v>
      </c>
      <c r="AV11" s="528">
        <v>0</v>
      </c>
      <c r="AW11" s="528">
        <v>0</v>
      </c>
      <c r="AX11" s="528">
        <v>0</v>
      </c>
      <c r="AY11" s="528">
        <v>0</v>
      </c>
      <c r="AZ11" s="528"/>
      <c r="BA11" s="528" t="s">
        <v>1278</v>
      </c>
      <c r="BB11" s="528"/>
      <c r="BC11" s="528" t="s">
        <v>1278</v>
      </c>
      <c r="BD11" s="528"/>
      <c r="BE11" s="528"/>
      <c r="BF11" s="528"/>
      <c r="BG11" s="529"/>
      <c r="BH11" s="525"/>
      <c r="BI11" s="528"/>
      <c r="BJ11" s="528" t="s">
        <v>4</v>
      </c>
      <c r="BK11" s="528"/>
      <c r="BL11" s="529"/>
      <c r="BM11" s="567" t="s">
        <v>1569</v>
      </c>
      <c r="BN11" s="525" t="s">
        <v>408</v>
      </c>
    </row>
    <row r="12" spans="1:66" ht="13" customHeight="1" x14ac:dyDescent="0.2">
      <c r="A12" s="525">
        <v>2635</v>
      </c>
      <c r="B12" s="565">
        <v>44455</v>
      </c>
      <c r="C12" s="526" t="s">
        <v>295</v>
      </c>
      <c r="D12" s="525" t="s">
        <v>1100</v>
      </c>
      <c r="E12" s="570">
        <v>44067</v>
      </c>
      <c r="F12" s="525" t="s">
        <v>985</v>
      </c>
      <c r="G12" s="525" t="s">
        <v>1570</v>
      </c>
      <c r="H12" s="532">
        <v>62</v>
      </c>
      <c r="I12" s="394" t="s">
        <v>296</v>
      </c>
      <c r="J12" s="459">
        <v>3000</v>
      </c>
      <c r="K12" s="459">
        <v>6000</v>
      </c>
      <c r="L12" s="459">
        <v>9000</v>
      </c>
      <c r="M12" s="459">
        <v>15000</v>
      </c>
      <c r="N12" s="332"/>
      <c r="O12" s="532">
        <v>1.8545454545454545</v>
      </c>
      <c r="P12" s="532">
        <v>1.7</v>
      </c>
      <c r="Q12" s="532">
        <v>1.4999999999999998</v>
      </c>
      <c r="R12" s="532">
        <v>1.2999999999999998</v>
      </c>
      <c r="S12" s="532">
        <v>1.1545454545454545</v>
      </c>
      <c r="T12" s="571"/>
      <c r="U12" s="532">
        <v>1.7999999999999998</v>
      </c>
      <c r="V12" s="532">
        <v>1.5545454545454545</v>
      </c>
      <c r="W12" s="532">
        <v>1.4545454545454546</v>
      </c>
      <c r="X12" s="532">
        <v>1.2545454545454544</v>
      </c>
      <c r="Y12" s="532">
        <v>1.0999999999999999</v>
      </c>
      <c r="Z12" s="571"/>
      <c r="AA12" s="571"/>
      <c r="AB12" s="571"/>
      <c r="AC12" s="571"/>
      <c r="AD12" s="571"/>
      <c r="AE12" s="571"/>
      <c r="AF12" s="571"/>
      <c r="AG12" s="333" t="s">
        <v>297</v>
      </c>
      <c r="AH12" s="333" t="s">
        <v>298</v>
      </c>
      <c r="AI12" s="528">
        <v>3</v>
      </c>
      <c r="AJ12" s="528">
        <v>3</v>
      </c>
      <c r="AK12" s="480">
        <v>0.5</v>
      </c>
      <c r="AL12" s="480">
        <v>0.5</v>
      </c>
      <c r="AM12" s="525" t="s">
        <v>1118</v>
      </c>
      <c r="AN12" s="528">
        <v>0</v>
      </c>
      <c r="AO12" s="528">
        <v>0</v>
      </c>
      <c r="AP12" s="528">
        <v>0</v>
      </c>
      <c r="AQ12" s="528">
        <v>0</v>
      </c>
      <c r="AR12" s="528">
        <v>0</v>
      </c>
      <c r="AS12" s="528">
        <v>0</v>
      </c>
      <c r="AT12" s="528">
        <v>0</v>
      </c>
      <c r="AU12" s="528">
        <v>0</v>
      </c>
      <c r="AV12" s="528">
        <v>0</v>
      </c>
      <c r="AW12" s="528">
        <v>0</v>
      </c>
      <c r="AX12" s="528">
        <v>0</v>
      </c>
      <c r="AY12" s="528">
        <v>0</v>
      </c>
      <c r="AZ12" s="528"/>
      <c r="BA12" s="528" t="s">
        <v>1278</v>
      </c>
      <c r="BB12" s="528"/>
      <c r="BC12" s="528" t="s">
        <v>1278</v>
      </c>
      <c r="BD12" s="528"/>
      <c r="BE12" s="528"/>
      <c r="BF12" s="528"/>
      <c r="BG12" s="529"/>
      <c r="BH12" s="525"/>
      <c r="BI12" s="528"/>
      <c r="BJ12" s="528" t="s">
        <v>411</v>
      </c>
      <c r="BK12" s="528"/>
      <c r="BL12" s="529" t="s">
        <v>1571</v>
      </c>
      <c r="BM12" s="530" t="s">
        <v>1572</v>
      </c>
      <c r="BN12" s="525" t="s">
        <v>368</v>
      </c>
    </row>
    <row r="13" spans="1:66" ht="13" customHeight="1" x14ac:dyDescent="0.2">
      <c r="A13" s="525">
        <v>1682</v>
      </c>
      <c r="B13" s="565">
        <v>44456</v>
      </c>
      <c r="C13" s="526" t="s">
        <v>295</v>
      </c>
      <c r="D13" s="525" t="s">
        <v>1100</v>
      </c>
      <c r="E13" s="527">
        <v>44442</v>
      </c>
      <c r="F13" s="529" t="s">
        <v>1106</v>
      </c>
      <c r="G13" s="525" t="s">
        <v>2</v>
      </c>
      <c r="H13" s="532">
        <v>52</v>
      </c>
      <c r="I13" s="531" t="s">
        <v>296</v>
      </c>
      <c r="J13" s="568">
        <v>6000</v>
      </c>
      <c r="K13" s="568">
        <v>6000</v>
      </c>
      <c r="L13" s="568">
        <v>6000</v>
      </c>
      <c r="M13" s="568">
        <v>6000</v>
      </c>
      <c r="N13" s="525"/>
      <c r="O13" s="532">
        <v>1.7272727272727271</v>
      </c>
      <c r="P13" s="532">
        <v>0</v>
      </c>
      <c r="Q13" s="532">
        <v>0</v>
      </c>
      <c r="R13" s="532">
        <v>0</v>
      </c>
      <c r="S13" s="532">
        <v>1.2999999999999998</v>
      </c>
      <c r="T13" s="533"/>
      <c r="U13" s="532">
        <v>1.7272727272727271</v>
      </c>
      <c r="V13" s="532">
        <v>0</v>
      </c>
      <c r="W13" s="532">
        <v>0</v>
      </c>
      <c r="X13" s="532">
        <v>0</v>
      </c>
      <c r="Y13" s="532">
        <v>1.2999999999999998</v>
      </c>
      <c r="Z13" s="533"/>
      <c r="AA13" s="533"/>
      <c r="AB13" s="533"/>
      <c r="AC13" s="533"/>
      <c r="AD13" s="533"/>
      <c r="AE13" s="533"/>
      <c r="AF13" s="533"/>
      <c r="AG13" s="528" t="s">
        <v>1278</v>
      </c>
      <c r="AH13" s="528"/>
      <c r="AI13" s="528">
        <v>3</v>
      </c>
      <c r="AJ13" s="528">
        <v>3</v>
      </c>
      <c r="AK13" s="480">
        <v>0.5</v>
      </c>
      <c r="AL13" s="480">
        <v>0.5</v>
      </c>
      <c r="AM13" s="525"/>
      <c r="AN13" s="528">
        <v>0</v>
      </c>
      <c r="AO13" s="528">
        <v>0</v>
      </c>
      <c r="AP13" s="528">
        <v>0</v>
      </c>
      <c r="AQ13" s="528">
        <v>0</v>
      </c>
      <c r="AR13" s="528">
        <v>0</v>
      </c>
      <c r="AS13" s="528">
        <v>0</v>
      </c>
      <c r="AT13" s="528">
        <v>0</v>
      </c>
      <c r="AU13" s="528">
        <v>0</v>
      </c>
      <c r="AV13" s="528">
        <v>0</v>
      </c>
      <c r="AW13" s="528">
        <v>0</v>
      </c>
      <c r="AX13" s="528">
        <v>0</v>
      </c>
      <c r="AY13" s="528">
        <v>0</v>
      </c>
      <c r="AZ13" s="528"/>
      <c r="BA13" s="528" t="s">
        <v>1278</v>
      </c>
      <c r="BB13" s="528"/>
      <c r="BC13" s="528" t="s">
        <v>1278</v>
      </c>
      <c r="BD13" s="528"/>
      <c r="BE13" s="528"/>
      <c r="BF13" s="529"/>
      <c r="BG13" s="525"/>
      <c r="BH13" s="528"/>
      <c r="BI13" s="528"/>
      <c r="BJ13" s="528" t="s">
        <v>4</v>
      </c>
      <c r="BK13" s="528">
        <v>1</v>
      </c>
      <c r="BL13" s="525"/>
      <c r="BM13" s="530" t="s">
        <v>1573</v>
      </c>
      <c r="BN13" s="525" t="s">
        <v>408</v>
      </c>
    </row>
    <row r="14" spans="1:66" ht="13" customHeight="1" x14ac:dyDescent="0.2">
      <c r="A14" s="525">
        <v>2901</v>
      </c>
      <c r="B14" s="565">
        <v>44455</v>
      </c>
      <c r="C14" s="526" t="s">
        <v>295</v>
      </c>
      <c r="D14" s="525" t="s">
        <v>1100</v>
      </c>
      <c r="E14" s="527">
        <v>44228</v>
      </c>
      <c r="F14" s="525" t="s">
        <v>34</v>
      </c>
      <c r="G14" s="525" t="s">
        <v>1181</v>
      </c>
      <c r="H14" s="532">
        <v>66.054545454545448</v>
      </c>
      <c r="I14" s="394"/>
      <c r="J14" s="394"/>
      <c r="K14" s="394"/>
      <c r="L14" s="332"/>
      <c r="M14" s="332"/>
      <c r="N14" s="332"/>
      <c r="O14" s="532">
        <v>1.7363636363636361</v>
      </c>
      <c r="P14" s="532">
        <v>0</v>
      </c>
      <c r="Q14" s="532">
        <v>0</v>
      </c>
      <c r="R14" s="532">
        <v>0</v>
      </c>
      <c r="S14" s="532">
        <v>0</v>
      </c>
      <c r="T14" s="571"/>
      <c r="U14" s="532">
        <v>1.5636363636363635</v>
      </c>
      <c r="V14" s="532">
        <v>0</v>
      </c>
      <c r="W14" s="532">
        <v>0</v>
      </c>
      <c r="X14" s="532">
        <v>0</v>
      </c>
      <c r="Y14" s="532">
        <v>0</v>
      </c>
      <c r="Z14" s="571"/>
      <c r="AA14" s="571"/>
      <c r="AB14" s="571"/>
      <c r="AC14" s="571"/>
      <c r="AD14" s="571"/>
      <c r="AE14" s="571"/>
      <c r="AF14" s="571"/>
      <c r="AG14" s="528" t="s">
        <v>297</v>
      </c>
      <c r="AH14" s="528" t="s">
        <v>298</v>
      </c>
      <c r="AI14" s="528">
        <v>3</v>
      </c>
      <c r="AJ14" s="528">
        <v>3</v>
      </c>
      <c r="AK14" s="480">
        <v>0.5</v>
      </c>
      <c r="AL14" s="480">
        <v>0.5</v>
      </c>
      <c r="AM14" s="525" t="s">
        <v>1118</v>
      </c>
      <c r="AN14" s="528">
        <v>0</v>
      </c>
      <c r="AO14" s="528">
        <v>0</v>
      </c>
      <c r="AP14" s="528">
        <v>0</v>
      </c>
      <c r="AQ14" s="528">
        <v>0</v>
      </c>
      <c r="AR14" s="528">
        <v>0</v>
      </c>
      <c r="AS14" s="528">
        <v>0</v>
      </c>
      <c r="AT14" s="528">
        <v>0</v>
      </c>
      <c r="AU14" s="528">
        <v>0</v>
      </c>
      <c r="AV14" s="528">
        <v>0</v>
      </c>
      <c r="AW14" s="528">
        <v>0</v>
      </c>
      <c r="AX14" s="528">
        <v>0</v>
      </c>
      <c r="AY14" s="528">
        <v>0</v>
      </c>
      <c r="AZ14" s="528"/>
      <c r="BA14" s="528" t="s">
        <v>1278</v>
      </c>
      <c r="BB14" s="528"/>
      <c r="BC14" s="528" t="s">
        <v>1278</v>
      </c>
      <c r="BD14" s="528"/>
      <c r="BE14" s="528"/>
      <c r="BF14" s="528"/>
      <c r="BG14" s="529"/>
      <c r="BH14" s="525"/>
      <c r="BI14" s="528"/>
      <c r="BJ14" s="528" t="s">
        <v>411</v>
      </c>
      <c r="BK14" s="528"/>
      <c r="BL14" s="529" t="s">
        <v>1284</v>
      </c>
      <c r="BM14" s="424" t="s">
        <v>1556</v>
      </c>
      <c r="BN14" s="525" t="s">
        <v>368</v>
      </c>
    </row>
    <row r="15" spans="1:66" ht="13" customHeight="1" x14ac:dyDescent="0.2">
      <c r="A15" s="525">
        <v>2745</v>
      </c>
      <c r="B15" s="565">
        <v>44455</v>
      </c>
      <c r="C15" s="526" t="s">
        <v>295</v>
      </c>
      <c r="D15" s="525" t="s">
        <v>1100</v>
      </c>
      <c r="E15" s="527">
        <v>44197</v>
      </c>
      <c r="F15" s="525" t="s">
        <v>1274</v>
      </c>
      <c r="G15" s="525" t="s">
        <v>1467</v>
      </c>
      <c r="H15" s="532">
        <v>70.999999999999986</v>
      </c>
      <c r="I15" s="394" t="s">
        <v>296</v>
      </c>
      <c r="J15" s="459">
        <v>3000</v>
      </c>
      <c r="K15" s="459">
        <v>6000</v>
      </c>
      <c r="L15" s="459">
        <v>6000</v>
      </c>
      <c r="M15" s="459">
        <v>6000</v>
      </c>
      <c r="N15" s="332"/>
      <c r="O15" s="532">
        <v>2.4636363636363634</v>
      </c>
      <c r="P15" s="532">
        <v>2.1636363636363636</v>
      </c>
      <c r="Q15" s="532">
        <v>0</v>
      </c>
      <c r="R15" s="532">
        <v>0</v>
      </c>
      <c r="S15" s="532">
        <v>1.8181818181818181</v>
      </c>
      <c r="T15" s="571"/>
      <c r="U15" s="532">
        <v>2.4636363636363634</v>
      </c>
      <c r="V15" s="532">
        <v>2.1636363636363636</v>
      </c>
      <c r="W15" s="532">
        <v>0</v>
      </c>
      <c r="X15" s="532">
        <v>0</v>
      </c>
      <c r="Y15" s="532">
        <v>1.8181818181818181</v>
      </c>
      <c r="Z15" s="571"/>
      <c r="AA15" s="571"/>
      <c r="AB15" s="571"/>
      <c r="AC15" s="571"/>
      <c r="AD15" s="571"/>
      <c r="AE15" s="571"/>
      <c r="AF15" s="571"/>
      <c r="AG15" s="333" t="s">
        <v>1278</v>
      </c>
      <c r="AH15" s="333"/>
      <c r="AI15" s="528">
        <v>3</v>
      </c>
      <c r="AJ15" s="528">
        <v>3</v>
      </c>
      <c r="AK15" s="480">
        <v>0.5</v>
      </c>
      <c r="AL15" s="480">
        <v>0.5</v>
      </c>
      <c r="AM15" s="525"/>
      <c r="AN15" s="528">
        <v>0</v>
      </c>
      <c r="AO15" s="528">
        <v>12</v>
      </c>
      <c r="AP15" s="528">
        <v>0</v>
      </c>
      <c r="AQ15" s="528">
        <v>3</v>
      </c>
      <c r="AR15" s="528">
        <v>0</v>
      </c>
      <c r="AS15" s="528">
        <v>0</v>
      </c>
      <c r="AT15" s="528">
        <v>0</v>
      </c>
      <c r="AU15" s="528">
        <v>0</v>
      </c>
      <c r="AV15" s="528">
        <v>0</v>
      </c>
      <c r="AW15" s="528">
        <v>0</v>
      </c>
      <c r="AX15" s="528">
        <v>0</v>
      </c>
      <c r="AY15" s="528">
        <v>0</v>
      </c>
      <c r="AZ15" s="528"/>
      <c r="BA15" s="528" t="s">
        <v>1278</v>
      </c>
      <c r="BB15" s="528"/>
      <c r="BC15" s="528" t="s">
        <v>1278</v>
      </c>
      <c r="BD15" s="528"/>
      <c r="BE15" s="528"/>
      <c r="BF15" s="528"/>
      <c r="BG15" s="529"/>
      <c r="BH15" s="525"/>
      <c r="BI15" s="528"/>
      <c r="BJ15" s="528" t="s">
        <v>411</v>
      </c>
      <c r="BK15" s="528">
        <v>1</v>
      </c>
      <c r="BL15" s="529"/>
      <c r="BM15" s="424" t="s">
        <v>1468</v>
      </c>
      <c r="BN15" s="525" t="s">
        <v>368</v>
      </c>
    </row>
    <row r="16" spans="1:66" ht="13" customHeight="1" x14ac:dyDescent="0.2">
      <c r="A16" s="525">
        <v>2338</v>
      </c>
      <c r="B16" s="565">
        <v>44455</v>
      </c>
      <c r="C16" s="526" t="s">
        <v>295</v>
      </c>
      <c r="D16" s="525" t="s">
        <v>1100</v>
      </c>
      <c r="E16" s="570">
        <v>44228</v>
      </c>
      <c r="F16" s="525" t="s">
        <v>1291</v>
      </c>
      <c r="G16" s="525" t="s">
        <v>1181</v>
      </c>
      <c r="H16" s="532">
        <v>58.690909090909088</v>
      </c>
      <c r="I16" s="394"/>
      <c r="J16" s="394"/>
      <c r="K16" s="394"/>
      <c r="L16" s="332"/>
      <c r="M16" s="332"/>
      <c r="N16" s="332"/>
      <c r="O16" s="532">
        <v>2.0181818181818181</v>
      </c>
      <c r="P16" s="532">
        <v>0</v>
      </c>
      <c r="Q16" s="532">
        <v>0</v>
      </c>
      <c r="R16" s="532">
        <v>0</v>
      </c>
      <c r="S16" s="532">
        <v>0</v>
      </c>
      <c r="T16" s="571"/>
      <c r="U16" s="532">
        <v>1.8727272727272726</v>
      </c>
      <c r="V16" s="532">
        <v>0</v>
      </c>
      <c r="W16" s="532">
        <v>0</v>
      </c>
      <c r="X16" s="532">
        <v>0</v>
      </c>
      <c r="Y16" s="532">
        <v>0</v>
      </c>
      <c r="Z16" s="571"/>
      <c r="AA16" s="571"/>
      <c r="AB16" s="571"/>
      <c r="AC16" s="571"/>
      <c r="AD16" s="571"/>
      <c r="AE16" s="571"/>
      <c r="AF16" s="571"/>
      <c r="AG16" s="528" t="s">
        <v>297</v>
      </c>
      <c r="AH16" s="528" t="s">
        <v>298</v>
      </c>
      <c r="AI16" s="528">
        <v>3</v>
      </c>
      <c r="AJ16" s="528">
        <v>3</v>
      </c>
      <c r="AK16" s="480">
        <v>0.5</v>
      </c>
      <c r="AL16" s="480">
        <v>0.5</v>
      </c>
      <c r="AM16" s="525" t="s">
        <v>1118</v>
      </c>
      <c r="AN16" s="528">
        <v>0</v>
      </c>
      <c r="AO16" s="528">
        <v>0</v>
      </c>
      <c r="AP16" s="528">
        <v>0</v>
      </c>
      <c r="AQ16" s="528">
        <v>0</v>
      </c>
      <c r="AR16" s="528">
        <v>0</v>
      </c>
      <c r="AS16" s="528">
        <v>0</v>
      </c>
      <c r="AT16" s="528">
        <v>0</v>
      </c>
      <c r="AU16" s="528">
        <v>0</v>
      </c>
      <c r="AV16" s="528">
        <v>0</v>
      </c>
      <c r="AW16" s="528">
        <v>0</v>
      </c>
      <c r="AX16" s="528">
        <v>0</v>
      </c>
      <c r="AY16" s="528">
        <v>0</v>
      </c>
      <c r="AZ16" s="528"/>
      <c r="BA16" s="528" t="s">
        <v>1278</v>
      </c>
      <c r="BB16" s="528"/>
      <c r="BC16" s="528" t="s">
        <v>1278</v>
      </c>
      <c r="BD16" s="528"/>
      <c r="BE16" s="528"/>
      <c r="BF16" s="528"/>
      <c r="BG16" s="529"/>
      <c r="BH16" s="525"/>
      <c r="BI16" s="528"/>
      <c r="BJ16" s="528" t="s">
        <v>4</v>
      </c>
      <c r="BK16" s="528"/>
      <c r="BL16" s="529" t="s">
        <v>1284</v>
      </c>
      <c r="BM16" s="572" t="s">
        <v>1551</v>
      </c>
      <c r="BN16" s="525" t="s">
        <v>368</v>
      </c>
    </row>
    <row r="17" spans="1:66" ht="13" customHeight="1" x14ac:dyDescent="0.2">
      <c r="A17" s="525">
        <v>2936</v>
      </c>
      <c r="B17" s="565">
        <v>44456</v>
      </c>
      <c r="C17" s="526" t="s">
        <v>295</v>
      </c>
      <c r="D17" s="525" t="s">
        <v>1100</v>
      </c>
      <c r="E17" s="527">
        <v>44452</v>
      </c>
      <c r="F17" s="525" t="s">
        <v>1483</v>
      </c>
      <c r="G17" s="525" t="s">
        <v>1550</v>
      </c>
      <c r="H17" s="532">
        <v>65</v>
      </c>
      <c r="I17" s="531" t="s">
        <v>296</v>
      </c>
      <c r="J17" s="459">
        <v>3000</v>
      </c>
      <c r="K17" s="459">
        <v>6000</v>
      </c>
      <c r="L17" s="459">
        <v>9000</v>
      </c>
      <c r="M17" s="459">
        <v>15000</v>
      </c>
      <c r="N17" s="332"/>
      <c r="O17" s="532">
        <v>1.6818181818181817</v>
      </c>
      <c r="P17" s="532">
        <v>1.4818181818181817</v>
      </c>
      <c r="Q17" s="532">
        <v>1.2999999999999998</v>
      </c>
      <c r="R17" s="532">
        <v>1.2363636363636363</v>
      </c>
      <c r="S17" s="532">
        <v>1.1909090909090909</v>
      </c>
      <c r="T17" s="571"/>
      <c r="U17" s="532">
        <v>1.4999999999999998</v>
      </c>
      <c r="V17" s="532">
        <v>1.4</v>
      </c>
      <c r="W17" s="532">
        <v>1.2999999999999998</v>
      </c>
      <c r="X17" s="532">
        <v>1.2</v>
      </c>
      <c r="Y17" s="532">
        <v>1.0999999999999999</v>
      </c>
      <c r="Z17" s="571"/>
      <c r="AA17" s="571"/>
      <c r="AB17" s="571"/>
      <c r="AC17" s="571"/>
      <c r="AD17" s="571"/>
      <c r="AE17" s="571"/>
      <c r="AF17" s="571"/>
      <c r="AG17" s="528" t="s">
        <v>297</v>
      </c>
      <c r="AH17" s="528" t="s">
        <v>298</v>
      </c>
      <c r="AI17" s="528">
        <v>3</v>
      </c>
      <c r="AJ17" s="528">
        <v>3</v>
      </c>
      <c r="AK17" s="480">
        <v>0.5</v>
      </c>
      <c r="AL17" s="480">
        <v>0.5</v>
      </c>
      <c r="AM17" s="525" t="s">
        <v>1118</v>
      </c>
      <c r="AN17" s="528">
        <v>0</v>
      </c>
      <c r="AO17" s="528">
        <v>0</v>
      </c>
      <c r="AP17" s="528">
        <v>0</v>
      </c>
      <c r="AQ17" s="528">
        <v>0</v>
      </c>
      <c r="AR17" s="528">
        <v>0</v>
      </c>
      <c r="AS17" s="528">
        <v>0</v>
      </c>
      <c r="AT17" s="528">
        <v>0</v>
      </c>
      <c r="AU17" s="528">
        <v>0</v>
      </c>
      <c r="AV17" s="528">
        <v>0</v>
      </c>
      <c r="AW17" s="528">
        <v>0</v>
      </c>
      <c r="AX17" s="528">
        <v>0</v>
      </c>
      <c r="AY17" s="528">
        <v>0</v>
      </c>
      <c r="AZ17" s="528"/>
      <c r="BA17" s="528" t="s">
        <v>1278</v>
      </c>
      <c r="BB17" s="528"/>
      <c r="BC17" s="528" t="s">
        <v>1278</v>
      </c>
      <c r="BD17" s="528"/>
      <c r="BE17" s="528">
        <v>12</v>
      </c>
      <c r="BF17" s="564"/>
      <c r="BG17" s="529"/>
      <c r="BH17" s="525"/>
      <c r="BI17" s="528"/>
      <c r="BJ17" s="528" t="s">
        <v>4</v>
      </c>
      <c r="BK17" s="528"/>
      <c r="BL17" s="529"/>
      <c r="BM17" s="525" t="s">
        <v>430</v>
      </c>
      <c r="BN17" s="525" t="s">
        <v>408</v>
      </c>
    </row>
    <row r="18" spans="1:66" ht="13" customHeight="1" x14ac:dyDescent="0.2">
      <c r="A18" s="525">
        <v>3035</v>
      </c>
      <c r="B18" s="565">
        <v>44456</v>
      </c>
      <c r="C18" s="526" t="s">
        <v>295</v>
      </c>
      <c r="D18" s="525" t="s">
        <v>1108</v>
      </c>
      <c r="E18" s="527">
        <v>44378</v>
      </c>
      <c r="F18" s="529" t="s">
        <v>1044</v>
      </c>
      <c r="G18" s="525" t="s">
        <v>1562</v>
      </c>
      <c r="H18" s="532">
        <v>73.081818181818178</v>
      </c>
      <c r="I18" s="531" t="s">
        <v>296</v>
      </c>
      <c r="J18" s="459">
        <v>3000</v>
      </c>
      <c r="K18" s="459">
        <v>6000</v>
      </c>
      <c r="L18" s="459">
        <v>9000</v>
      </c>
      <c r="M18" s="459">
        <v>15000</v>
      </c>
      <c r="N18" s="525"/>
      <c r="O18" s="532">
        <v>2.4090909090909087</v>
      </c>
      <c r="P18" s="532">
        <v>2.1363636363636362</v>
      </c>
      <c r="Q18" s="532">
        <v>1.7545454545454544</v>
      </c>
      <c r="R18" s="532">
        <v>1.5272727272727271</v>
      </c>
      <c r="S18" s="532">
        <v>1.4363636363636363</v>
      </c>
      <c r="T18" s="533"/>
      <c r="U18" s="532">
        <v>2.3090909090909091</v>
      </c>
      <c r="V18" s="532">
        <v>2.0363636363636366</v>
      </c>
      <c r="W18" s="532">
        <v>1.6909090909090909</v>
      </c>
      <c r="X18" s="532">
        <v>1.4999999999999998</v>
      </c>
      <c r="Y18" s="532">
        <v>1.3909090909090909</v>
      </c>
      <c r="Z18" s="533"/>
      <c r="AA18" s="533"/>
      <c r="AB18" s="533"/>
      <c r="AC18" s="533"/>
      <c r="AD18" s="533"/>
      <c r="AE18" s="533"/>
      <c r="AF18" s="533"/>
      <c r="AG18" s="528" t="s">
        <v>297</v>
      </c>
      <c r="AH18" s="528" t="s">
        <v>298</v>
      </c>
      <c r="AI18" s="528">
        <v>3</v>
      </c>
      <c r="AJ18" s="528">
        <v>3</v>
      </c>
      <c r="AK18" s="480">
        <v>0.5</v>
      </c>
      <c r="AL18" s="480">
        <v>0.5</v>
      </c>
      <c r="AM18" s="525" t="s">
        <v>1118</v>
      </c>
      <c r="AN18" s="528">
        <v>0</v>
      </c>
      <c r="AO18" s="528">
        <v>0</v>
      </c>
      <c r="AP18" s="528">
        <v>0</v>
      </c>
      <c r="AQ18" s="528">
        <v>0</v>
      </c>
      <c r="AR18" s="528">
        <v>0</v>
      </c>
      <c r="AS18" s="528">
        <v>0</v>
      </c>
      <c r="AT18" s="528">
        <v>0</v>
      </c>
      <c r="AU18" s="528">
        <v>0</v>
      </c>
      <c r="AV18" s="528">
        <v>0</v>
      </c>
      <c r="AW18" s="528">
        <v>0</v>
      </c>
      <c r="AX18" s="528">
        <v>0</v>
      </c>
      <c r="AY18" s="528">
        <v>0</v>
      </c>
      <c r="AZ18" s="528"/>
      <c r="BA18" s="528" t="s">
        <v>1278</v>
      </c>
      <c r="BB18" s="528"/>
      <c r="BC18" s="528" t="s">
        <v>1278</v>
      </c>
      <c r="BD18" s="528"/>
      <c r="BE18" s="528"/>
      <c r="BF18" s="528"/>
      <c r="BG18" s="529"/>
      <c r="BH18" s="525"/>
      <c r="BI18" s="528"/>
      <c r="BJ18" s="528" t="s">
        <v>4</v>
      </c>
      <c r="BK18" s="528"/>
      <c r="BL18" s="529"/>
      <c r="BM18" s="567" t="s">
        <v>430</v>
      </c>
      <c r="BN18" s="525" t="s">
        <v>368</v>
      </c>
    </row>
    <row r="19" spans="1:66" ht="13" customHeight="1" x14ac:dyDescent="0.2">
      <c r="A19" s="525">
        <v>2504</v>
      </c>
      <c r="B19" s="565">
        <v>44455</v>
      </c>
      <c r="C19" s="526" t="s">
        <v>295</v>
      </c>
      <c r="D19" s="525" t="s">
        <v>1108</v>
      </c>
      <c r="E19" s="527">
        <v>44326</v>
      </c>
      <c r="F19" s="529" t="s">
        <v>1046</v>
      </c>
      <c r="G19" s="525" t="s">
        <v>1280</v>
      </c>
      <c r="H19" s="532">
        <v>46.981818181818177</v>
      </c>
      <c r="I19" s="531" t="s">
        <v>296</v>
      </c>
      <c r="J19" s="459">
        <v>3000</v>
      </c>
      <c r="K19" s="459">
        <v>6000</v>
      </c>
      <c r="L19" s="459">
        <v>6000</v>
      </c>
      <c r="M19" s="459">
        <v>6000</v>
      </c>
      <c r="N19" s="525"/>
      <c r="O19" s="532">
        <v>2.0181818181818181</v>
      </c>
      <c r="P19" s="532">
        <v>1.8272727272727269</v>
      </c>
      <c r="Q19" s="532">
        <v>0</v>
      </c>
      <c r="R19" s="532">
        <v>0</v>
      </c>
      <c r="S19" s="532">
        <v>1.4363636363636363</v>
      </c>
      <c r="T19" s="533"/>
      <c r="U19" s="532">
        <v>2.0181818181818181</v>
      </c>
      <c r="V19" s="532">
        <v>1.7272727272727271</v>
      </c>
      <c r="W19" s="532">
        <v>0</v>
      </c>
      <c r="X19" s="532">
        <v>0</v>
      </c>
      <c r="Y19" s="532">
        <v>1.4363636363636363</v>
      </c>
      <c r="Z19" s="533"/>
      <c r="AA19" s="533"/>
      <c r="AB19" s="533"/>
      <c r="AC19" s="533"/>
      <c r="AD19" s="533"/>
      <c r="AE19" s="533"/>
      <c r="AF19" s="533"/>
      <c r="AG19" s="528" t="s">
        <v>297</v>
      </c>
      <c r="AH19" s="528" t="s">
        <v>298</v>
      </c>
      <c r="AI19" s="528">
        <v>3</v>
      </c>
      <c r="AJ19" s="528">
        <v>3</v>
      </c>
      <c r="AK19" s="480">
        <v>0.5</v>
      </c>
      <c r="AL19" s="480">
        <v>0.5</v>
      </c>
      <c r="AM19" s="525" t="s">
        <v>1118</v>
      </c>
      <c r="AN19" s="528">
        <v>0</v>
      </c>
      <c r="AO19" s="528">
        <v>0</v>
      </c>
      <c r="AP19" s="528">
        <v>0</v>
      </c>
      <c r="AQ19" s="528">
        <v>0</v>
      </c>
      <c r="AR19" s="528">
        <v>0</v>
      </c>
      <c r="AS19" s="528">
        <v>0</v>
      </c>
      <c r="AT19" s="528">
        <v>0</v>
      </c>
      <c r="AU19" s="528">
        <v>0</v>
      </c>
      <c r="AV19" s="528">
        <v>0</v>
      </c>
      <c r="AW19" s="528">
        <v>0</v>
      </c>
      <c r="AX19" s="528">
        <v>0</v>
      </c>
      <c r="AY19" s="528">
        <v>0</v>
      </c>
      <c r="AZ19" s="528"/>
      <c r="BA19" s="528" t="s">
        <v>1278</v>
      </c>
      <c r="BB19" s="528"/>
      <c r="BC19" s="528" t="s">
        <v>1278</v>
      </c>
      <c r="BD19" s="528"/>
      <c r="BE19" s="528"/>
      <c r="BF19" s="528"/>
      <c r="BG19" s="529"/>
      <c r="BH19" s="525"/>
      <c r="BI19" s="528"/>
      <c r="BJ19" s="528" t="s">
        <v>4</v>
      </c>
      <c r="BK19" s="528"/>
      <c r="BL19" s="529"/>
      <c r="BM19" s="525" t="s">
        <v>430</v>
      </c>
      <c r="BN19" s="525" t="s">
        <v>368</v>
      </c>
    </row>
    <row r="20" spans="1:66" ht="13" customHeight="1" x14ac:dyDescent="0.2">
      <c r="A20" s="525">
        <v>2969</v>
      </c>
      <c r="B20" s="565">
        <v>44455</v>
      </c>
      <c r="C20" s="526" t="s">
        <v>295</v>
      </c>
      <c r="D20" s="525" t="s">
        <v>1108</v>
      </c>
      <c r="E20" s="527">
        <v>44223</v>
      </c>
      <c r="F20" s="529" t="s">
        <v>1050</v>
      </c>
      <c r="G20" s="525" t="s">
        <v>1564</v>
      </c>
      <c r="H20" s="532">
        <v>77.999999999999986</v>
      </c>
      <c r="I20" s="531" t="s">
        <v>296</v>
      </c>
      <c r="J20" s="459">
        <v>3000</v>
      </c>
      <c r="K20" s="459">
        <v>6000</v>
      </c>
      <c r="L20" s="459">
        <v>9000</v>
      </c>
      <c r="M20" s="459">
        <v>15000</v>
      </c>
      <c r="N20" s="525"/>
      <c r="O20" s="532">
        <v>2.6818181818181817</v>
      </c>
      <c r="P20" s="532">
        <v>2.3727272727272726</v>
      </c>
      <c r="Q20" s="532">
        <v>1.9272727272727272</v>
      </c>
      <c r="R20" s="532">
        <v>1.6909090909090909</v>
      </c>
      <c r="S20" s="532">
        <v>1.6272727272727272</v>
      </c>
      <c r="T20" s="533"/>
      <c r="U20" s="532">
        <v>2.5636363636363635</v>
      </c>
      <c r="V20" s="532">
        <v>2.1545454545454543</v>
      </c>
      <c r="W20" s="532">
        <v>1.7818181818181817</v>
      </c>
      <c r="X20" s="532">
        <v>1.5818181818181818</v>
      </c>
      <c r="Y20" s="532">
        <v>1.5272727272727271</v>
      </c>
      <c r="Z20" s="533"/>
      <c r="AA20" s="533"/>
      <c r="AB20" s="533"/>
      <c r="AC20" s="533"/>
      <c r="AD20" s="533"/>
      <c r="AE20" s="533"/>
      <c r="AF20" s="533"/>
      <c r="AG20" s="528" t="s">
        <v>297</v>
      </c>
      <c r="AH20" s="528" t="s">
        <v>298</v>
      </c>
      <c r="AI20" s="528">
        <v>3</v>
      </c>
      <c r="AJ20" s="528">
        <v>3</v>
      </c>
      <c r="AK20" s="480">
        <v>0.5</v>
      </c>
      <c r="AL20" s="480">
        <v>0.5</v>
      </c>
      <c r="AM20" s="525" t="s">
        <v>1118</v>
      </c>
      <c r="AN20" s="528">
        <v>0</v>
      </c>
      <c r="AO20" s="528">
        <v>20</v>
      </c>
      <c r="AP20" s="528">
        <v>0</v>
      </c>
      <c r="AQ20" s="528">
        <v>0</v>
      </c>
      <c r="AR20" s="528">
        <v>0</v>
      </c>
      <c r="AS20" s="528">
        <v>0</v>
      </c>
      <c r="AT20" s="528">
        <v>0</v>
      </c>
      <c r="AU20" s="528">
        <v>0</v>
      </c>
      <c r="AV20" s="528">
        <v>0</v>
      </c>
      <c r="AW20" s="528">
        <v>0</v>
      </c>
      <c r="AX20" s="528">
        <v>0</v>
      </c>
      <c r="AY20" s="528">
        <v>0</v>
      </c>
      <c r="AZ20" s="528"/>
      <c r="BA20" s="528" t="s">
        <v>1278</v>
      </c>
      <c r="BB20" s="528"/>
      <c r="BC20" s="528" t="s">
        <v>1278</v>
      </c>
      <c r="BD20" s="528"/>
      <c r="BE20" s="528"/>
      <c r="BF20" s="528"/>
      <c r="BG20" s="529"/>
      <c r="BH20" s="525"/>
      <c r="BI20" s="528"/>
      <c r="BJ20" s="528" t="s">
        <v>4</v>
      </c>
      <c r="BK20" s="528">
        <v>1</v>
      </c>
      <c r="BL20" s="529"/>
      <c r="BM20" s="424" t="s">
        <v>1565</v>
      </c>
      <c r="BN20" s="525" t="s">
        <v>368</v>
      </c>
    </row>
    <row r="21" spans="1:66" ht="13" customHeight="1" x14ac:dyDescent="0.2">
      <c r="A21" s="525">
        <v>2546</v>
      </c>
      <c r="B21" s="565">
        <v>44455</v>
      </c>
      <c r="C21" s="526" t="s">
        <v>295</v>
      </c>
      <c r="D21" s="525" t="s">
        <v>1108</v>
      </c>
      <c r="E21" s="527">
        <v>44305</v>
      </c>
      <c r="F21" s="529" t="s">
        <v>1052</v>
      </c>
      <c r="G21" s="525" t="s">
        <v>1181</v>
      </c>
      <c r="H21" s="532">
        <v>46.9</v>
      </c>
      <c r="I21" s="531" t="s">
        <v>296</v>
      </c>
      <c r="J21" s="459">
        <v>3000</v>
      </c>
      <c r="K21" s="459">
        <v>6000</v>
      </c>
      <c r="L21" s="459">
        <v>9000</v>
      </c>
      <c r="M21" s="459">
        <v>15000</v>
      </c>
      <c r="N21" s="525"/>
      <c r="O21" s="532">
        <v>2.2545454545454544</v>
      </c>
      <c r="P21" s="532">
        <v>1.918181818181818</v>
      </c>
      <c r="Q21" s="532">
        <v>1.6272727272727272</v>
      </c>
      <c r="R21" s="532">
        <v>1.4818181818181817</v>
      </c>
      <c r="S21" s="532">
        <v>1.4363636363636363</v>
      </c>
      <c r="T21" s="533"/>
      <c r="U21" s="532">
        <v>2.1181818181818182</v>
      </c>
      <c r="V21" s="532">
        <v>1.8272727272727269</v>
      </c>
      <c r="W21" s="532">
        <v>1.5818181818181818</v>
      </c>
      <c r="X21" s="532">
        <v>1.4545454545454546</v>
      </c>
      <c r="Y21" s="532">
        <v>1.4272727272727272</v>
      </c>
      <c r="Z21" s="533"/>
      <c r="AA21" s="533"/>
      <c r="AB21" s="533"/>
      <c r="AC21" s="533"/>
      <c r="AD21" s="533"/>
      <c r="AE21" s="533"/>
      <c r="AF21" s="533"/>
      <c r="AG21" s="528" t="s">
        <v>297</v>
      </c>
      <c r="AH21" s="528" t="s">
        <v>298</v>
      </c>
      <c r="AI21" s="528">
        <v>3</v>
      </c>
      <c r="AJ21" s="528">
        <v>3</v>
      </c>
      <c r="AK21" s="480">
        <v>0.5</v>
      </c>
      <c r="AL21" s="480">
        <v>0.5</v>
      </c>
      <c r="AM21" s="525" t="s">
        <v>1118</v>
      </c>
      <c r="AN21" s="528">
        <v>0</v>
      </c>
      <c r="AO21" s="528">
        <v>0</v>
      </c>
      <c r="AP21" s="528">
        <v>0</v>
      </c>
      <c r="AQ21" s="528">
        <v>0</v>
      </c>
      <c r="AR21" s="528">
        <v>0</v>
      </c>
      <c r="AS21" s="528">
        <v>0</v>
      </c>
      <c r="AT21" s="528">
        <v>0</v>
      </c>
      <c r="AU21" s="528">
        <v>0</v>
      </c>
      <c r="AV21" s="528">
        <v>0</v>
      </c>
      <c r="AW21" s="528">
        <v>0</v>
      </c>
      <c r="AX21" s="528">
        <v>0</v>
      </c>
      <c r="AY21" s="528">
        <v>0</v>
      </c>
      <c r="AZ21" s="528"/>
      <c r="BA21" s="528" t="s">
        <v>1278</v>
      </c>
      <c r="BB21" s="528"/>
      <c r="BC21" s="528" t="s">
        <v>1278</v>
      </c>
      <c r="BD21" s="528"/>
      <c r="BE21" s="528"/>
      <c r="BF21" s="528"/>
      <c r="BG21" s="529"/>
      <c r="BH21" s="525"/>
      <c r="BI21" s="528"/>
      <c r="BJ21" s="528" t="s">
        <v>4</v>
      </c>
      <c r="BK21" s="528"/>
      <c r="BL21" s="529"/>
      <c r="BM21" s="530" t="s">
        <v>1574</v>
      </c>
      <c r="BN21" s="525" t="s">
        <v>368</v>
      </c>
    </row>
    <row r="22" spans="1:66" ht="13" customHeight="1" x14ac:dyDescent="0.2">
      <c r="A22" s="525">
        <v>2114</v>
      </c>
      <c r="B22" s="565">
        <v>44456</v>
      </c>
      <c r="C22" s="526" t="s">
        <v>295</v>
      </c>
      <c r="D22" s="525" t="s">
        <v>1108</v>
      </c>
      <c r="E22" s="527">
        <v>44448</v>
      </c>
      <c r="F22" s="529" t="s">
        <v>1054</v>
      </c>
      <c r="G22" s="525" t="s">
        <v>1157</v>
      </c>
      <c r="H22" s="532">
        <v>80.999999999999986</v>
      </c>
      <c r="I22" s="531" t="s">
        <v>296</v>
      </c>
      <c r="J22" s="459">
        <v>3000</v>
      </c>
      <c r="K22" s="459">
        <v>6000</v>
      </c>
      <c r="L22" s="459">
        <v>9000</v>
      </c>
      <c r="M22" s="459">
        <v>15000</v>
      </c>
      <c r="N22" s="525"/>
      <c r="O22" s="532">
        <v>3.1</v>
      </c>
      <c r="P22" s="532">
        <v>2.5727272727272728</v>
      </c>
      <c r="Q22" s="532">
        <v>2.1090909090909089</v>
      </c>
      <c r="R22" s="532">
        <v>1.918181818181818</v>
      </c>
      <c r="S22" s="532">
        <v>1.7909090909090908</v>
      </c>
      <c r="T22" s="533"/>
      <c r="U22" s="532">
        <v>2.9090909090909092</v>
      </c>
      <c r="V22" s="532">
        <v>2.4545454545454546</v>
      </c>
      <c r="W22" s="532">
        <v>1.9909090909090907</v>
      </c>
      <c r="X22" s="532">
        <v>1.8363636363636362</v>
      </c>
      <c r="Y22" s="532">
        <v>1.7636363636363634</v>
      </c>
      <c r="Z22" s="533"/>
      <c r="AA22" s="533"/>
      <c r="AB22" s="533"/>
      <c r="AC22" s="533"/>
      <c r="AD22" s="533"/>
      <c r="AE22" s="533"/>
      <c r="AF22" s="533"/>
      <c r="AG22" s="528" t="s">
        <v>297</v>
      </c>
      <c r="AH22" s="528" t="s">
        <v>298</v>
      </c>
      <c r="AI22" s="528">
        <v>2</v>
      </c>
      <c r="AJ22" s="528">
        <v>4</v>
      </c>
      <c r="AK22" s="483">
        <v>0.33329999999999999</v>
      </c>
      <c r="AL22" s="483">
        <v>0.66659999999999997</v>
      </c>
      <c r="AM22" s="525" t="s">
        <v>1124</v>
      </c>
      <c r="AN22" s="528">
        <v>26</v>
      </c>
      <c r="AO22" s="528">
        <v>0</v>
      </c>
      <c r="AP22" s="528">
        <v>0</v>
      </c>
      <c r="AQ22" s="528">
        <v>0</v>
      </c>
      <c r="AR22" s="528">
        <v>0</v>
      </c>
      <c r="AS22" s="528">
        <v>0</v>
      </c>
      <c r="AT22" s="528">
        <v>0</v>
      </c>
      <c r="AU22" s="528">
        <v>0</v>
      </c>
      <c r="AV22" s="528">
        <v>0</v>
      </c>
      <c r="AW22" s="528">
        <v>0</v>
      </c>
      <c r="AX22" s="528">
        <v>0</v>
      </c>
      <c r="AY22" s="528">
        <v>0</v>
      </c>
      <c r="AZ22" s="566">
        <v>12</v>
      </c>
      <c r="BA22" s="528" t="s">
        <v>1278</v>
      </c>
      <c r="BB22" s="528">
        <v>12</v>
      </c>
      <c r="BC22" s="528" t="s">
        <v>1278</v>
      </c>
      <c r="BD22" s="528"/>
      <c r="BE22" s="528">
        <v>12</v>
      </c>
      <c r="BF22" s="528"/>
      <c r="BG22" s="529"/>
      <c r="BH22" s="525"/>
      <c r="BI22" s="528"/>
      <c r="BJ22" s="528" t="s">
        <v>4</v>
      </c>
      <c r="BK22" s="528"/>
      <c r="BL22" s="529"/>
      <c r="BM22" s="569" t="s">
        <v>430</v>
      </c>
      <c r="BN22" s="525" t="s">
        <v>408</v>
      </c>
    </row>
    <row r="23" spans="1:66" ht="13" customHeight="1" x14ac:dyDescent="0.2">
      <c r="A23" s="525">
        <v>2878</v>
      </c>
      <c r="B23" s="565">
        <v>44455</v>
      </c>
      <c r="C23" s="526" t="s">
        <v>295</v>
      </c>
      <c r="D23" s="525" t="s">
        <v>1108</v>
      </c>
      <c r="E23" s="527">
        <v>44378</v>
      </c>
      <c r="F23" s="529" t="s">
        <v>1055</v>
      </c>
      <c r="G23" s="525" t="s">
        <v>1105</v>
      </c>
      <c r="H23" s="532">
        <v>64.054545454545448</v>
      </c>
      <c r="I23" s="531" t="s">
        <v>296</v>
      </c>
      <c r="J23" s="459">
        <v>3000</v>
      </c>
      <c r="K23" s="459">
        <v>6000</v>
      </c>
      <c r="L23" s="459">
        <v>9000</v>
      </c>
      <c r="M23" s="459">
        <v>15000</v>
      </c>
      <c r="N23" s="525"/>
      <c r="O23" s="532">
        <v>1.8999999999999997</v>
      </c>
      <c r="P23" s="532">
        <v>1.8818181818181816</v>
      </c>
      <c r="Q23" s="532">
        <v>1.7363636363636361</v>
      </c>
      <c r="R23" s="532">
        <v>1.6727272727272726</v>
      </c>
      <c r="S23" s="532">
        <v>1.6363636363636362</v>
      </c>
      <c r="T23" s="533"/>
      <c r="U23" s="532">
        <v>1.8818181818181816</v>
      </c>
      <c r="V23" s="532">
        <v>1.8727272727272726</v>
      </c>
      <c r="W23" s="532">
        <v>1.718181818181818</v>
      </c>
      <c r="X23" s="532">
        <v>1.6454545454545453</v>
      </c>
      <c r="Y23" s="532">
        <v>1.6090909090909089</v>
      </c>
      <c r="Z23" s="533"/>
      <c r="AA23" s="533"/>
      <c r="AB23" s="533"/>
      <c r="AC23" s="533"/>
      <c r="AD23" s="533"/>
      <c r="AE23" s="533"/>
      <c r="AF23" s="533"/>
      <c r="AG23" s="528" t="s">
        <v>297</v>
      </c>
      <c r="AH23" s="528" t="s">
        <v>298</v>
      </c>
      <c r="AI23" s="528">
        <v>3</v>
      </c>
      <c r="AJ23" s="528">
        <v>3</v>
      </c>
      <c r="AK23" s="480">
        <v>0.5</v>
      </c>
      <c r="AL23" s="480">
        <v>0.5</v>
      </c>
      <c r="AM23" s="525" t="s">
        <v>1118</v>
      </c>
      <c r="AN23" s="528">
        <v>0</v>
      </c>
      <c r="AO23" s="528">
        <v>0</v>
      </c>
      <c r="AP23" s="528">
        <v>0</v>
      </c>
      <c r="AQ23" s="528">
        <v>0</v>
      </c>
      <c r="AR23" s="528">
        <v>0</v>
      </c>
      <c r="AS23" s="528">
        <v>0</v>
      </c>
      <c r="AT23" s="528">
        <v>0</v>
      </c>
      <c r="AU23" s="528">
        <v>0</v>
      </c>
      <c r="AV23" s="528">
        <v>0</v>
      </c>
      <c r="AW23" s="528">
        <v>0</v>
      </c>
      <c r="AX23" s="528">
        <v>0</v>
      </c>
      <c r="AY23" s="528">
        <v>0</v>
      </c>
      <c r="AZ23" s="528"/>
      <c r="BA23" s="528" t="s">
        <v>1278</v>
      </c>
      <c r="BB23" s="528"/>
      <c r="BC23" s="528" t="s">
        <v>1278</v>
      </c>
      <c r="BD23" s="528"/>
      <c r="BE23" s="528"/>
      <c r="BF23" s="564">
        <v>44926</v>
      </c>
      <c r="BG23" s="529"/>
      <c r="BH23" s="525"/>
      <c r="BI23" s="528"/>
      <c r="BJ23" s="528" t="s">
        <v>4</v>
      </c>
      <c r="BK23" s="528"/>
      <c r="BL23" s="529"/>
      <c r="BM23" s="569" t="s">
        <v>1567</v>
      </c>
      <c r="BN23" s="525" t="s">
        <v>368</v>
      </c>
    </row>
    <row r="24" spans="1:66" ht="13" customHeight="1" x14ac:dyDescent="0.2">
      <c r="A24" s="525">
        <v>313</v>
      </c>
      <c r="B24" s="565">
        <v>44455</v>
      </c>
      <c r="C24" s="526" t="s">
        <v>295</v>
      </c>
      <c r="D24" s="525" t="s">
        <v>1108</v>
      </c>
      <c r="E24" s="527">
        <v>44287</v>
      </c>
      <c r="F24" s="525" t="s">
        <v>1057</v>
      </c>
      <c r="G24" s="525" t="s">
        <v>1181</v>
      </c>
      <c r="H24" s="532">
        <v>81.199999999999989</v>
      </c>
      <c r="I24" s="531" t="s">
        <v>296</v>
      </c>
      <c r="J24" s="459">
        <v>3000</v>
      </c>
      <c r="K24" s="459">
        <v>6000</v>
      </c>
      <c r="L24" s="459">
        <v>9000</v>
      </c>
      <c r="M24" s="459">
        <v>15000</v>
      </c>
      <c r="N24" s="525"/>
      <c r="O24" s="532">
        <v>2.1999999999999997</v>
      </c>
      <c r="P24" s="532">
        <v>2</v>
      </c>
      <c r="Q24" s="532">
        <v>1.7999999999999998</v>
      </c>
      <c r="R24" s="532">
        <v>1.5999999999999999</v>
      </c>
      <c r="S24" s="532">
        <v>1.5999999999999999</v>
      </c>
      <c r="T24" s="533"/>
      <c r="U24" s="532">
        <v>2</v>
      </c>
      <c r="V24" s="532">
        <v>1.8999999999999997</v>
      </c>
      <c r="W24" s="532">
        <v>1.7</v>
      </c>
      <c r="X24" s="532">
        <v>1.5999999999999999</v>
      </c>
      <c r="Y24" s="532">
        <v>1.5999999999999999</v>
      </c>
      <c r="Z24" s="533"/>
      <c r="AA24" s="533"/>
      <c r="AB24" s="533"/>
      <c r="AC24" s="533"/>
      <c r="AD24" s="533"/>
      <c r="AE24" s="533"/>
      <c r="AF24" s="533"/>
      <c r="AG24" s="528" t="s">
        <v>297</v>
      </c>
      <c r="AH24" s="528" t="s">
        <v>298</v>
      </c>
      <c r="AI24" s="528">
        <v>3</v>
      </c>
      <c r="AJ24" s="528">
        <v>3</v>
      </c>
      <c r="AK24" s="480">
        <v>0.5</v>
      </c>
      <c r="AL24" s="480">
        <v>0.5</v>
      </c>
      <c r="AM24" s="525" t="s">
        <v>1118</v>
      </c>
      <c r="AN24" s="528">
        <v>0</v>
      </c>
      <c r="AO24" s="528">
        <v>0</v>
      </c>
      <c r="AP24" s="528">
        <v>0</v>
      </c>
      <c r="AQ24" s="528">
        <v>0</v>
      </c>
      <c r="AR24" s="528">
        <v>0</v>
      </c>
      <c r="AS24" s="528">
        <v>0</v>
      </c>
      <c r="AT24" s="528">
        <v>0</v>
      </c>
      <c r="AU24" s="528">
        <v>0</v>
      </c>
      <c r="AV24" s="528">
        <v>0</v>
      </c>
      <c r="AW24" s="528">
        <v>0</v>
      </c>
      <c r="AX24" s="528">
        <v>0</v>
      </c>
      <c r="AY24" s="528">
        <v>0</v>
      </c>
      <c r="AZ24" s="528"/>
      <c r="BA24" s="528" t="s">
        <v>1278</v>
      </c>
      <c r="BB24" s="528"/>
      <c r="BC24" s="528" t="s">
        <v>1278</v>
      </c>
      <c r="BD24" s="528"/>
      <c r="BE24" s="528"/>
      <c r="BF24" s="528"/>
      <c r="BG24" s="529"/>
      <c r="BH24" s="525"/>
      <c r="BI24" s="528"/>
      <c r="BJ24" s="528" t="s">
        <v>4</v>
      </c>
      <c r="BK24" s="528"/>
      <c r="BL24" s="297"/>
      <c r="BM24" s="530" t="s">
        <v>1568</v>
      </c>
      <c r="BN24" s="525" t="s">
        <v>368</v>
      </c>
    </row>
    <row r="25" spans="1:66" ht="13" customHeight="1" x14ac:dyDescent="0.2">
      <c r="A25" s="525">
        <v>2854</v>
      </c>
      <c r="B25" s="565">
        <v>44456</v>
      </c>
      <c r="C25" s="526" t="s">
        <v>295</v>
      </c>
      <c r="D25" s="525" t="s">
        <v>1108</v>
      </c>
      <c r="E25" s="527">
        <v>44319</v>
      </c>
      <c r="F25" s="529" t="s">
        <v>981</v>
      </c>
      <c r="G25" s="525" t="s">
        <v>1478</v>
      </c>
      <c r="H25" s="532">
        <v>62.18181818181818</v>
      </c>
      <c r="I25" s="531" t="s">
        <v>296</v>
      </c>
      <c r="J25" s="568">
        <v>6000</v>
      </c>
      <c r="K25" s="568">
        <v>6000</v>
      </c>
      <c r="L25" s="568">
        <v>6000</v>
      </c>
      <c r="M25" s="568">
        <v>6000</v>
      </c>
      <c r="N25" s="568"/>
      <c r="O25" s="532">
        <v>2.1454545454545451</v>
      </c>
      <c r="P25" s="532">
        <v>0</v>
      </c>
      <c r="Q25" s="532">
        <v>0</v>
      </c>
      <c r="R25" s="532">
        <v>0</v>
      </c>
      <c r="S25" s="532">
        <v>1.4272727272727272</v>
      </c>
      <c r="T25" s="533"/>
      <c r="U25" s="532">
        <v>2.1454545454545451</v>
      </c>
      <c r="V25" s="532">
        <v>0</v>
      </c>
      <c r="W25" s="532">
        <v>0</v>
      </c>
      <c r="X25" s="532">
        <v>0</v>
      </c>
      <c r="Y25" s="532">
        <v>1.4272727272727272</v>
      </c>
      <c r="Z25" s="533"/>
      <c r="AA25" s="533"/>
      <c r="AB25" s="533"/>
      <c r="AC25" s="533"/>
      <c r="AD25" s="533"/>
      <c r="AE25" s="533"/>
      <c r="AF25" s="533"/>
      <c r="AG25" s="528" t="s">
        <v>1278</v>
      </c>
      <c r="AH25" s="528"/>
      <c r="AI25" s="528">
        <v>3</v>
      </c>
      <c r="AJ25" s="528">
        <v>3</v>
      </c>
      <c r="AK25" s="480">
        <v>0.5</v>
      </c>
      <c r="AL25" s="480">
        <v>0.5</v>
      </c>
      <c r="AM25" s="525"/>
      <c r="AN25" s="528">
        <v>0</v>
      </c>
      <c r="AO25" s="528">
        <v>0</v>
      </c>
      <c r="AP25" s="528">
        <v>0</v>
      </c>
      <c r="AQ25" s="528">
        <v>0</v>
      </c>
      <c r="AR25" s="528">
        <v>0</v>
      </c>
      <c r="AS25" s="528">
        <v>0</v>
      </c>
      <c r="AT25" s="528">
        <v>0</v>
      </c>
      <c r="AU25" s="528">
        <v>0</v>
      </c>
      <c r="AV25" s="528">
        <v>0</v>
      </c>
      <c r="AW25" s="528">
        <v>0</v>
      </c>
      <c r="AX25" s="528">
        <v>0</v>
      </c>
      <c r="AY25" s="528">
        <v>0</v>
      </c>
      <c r="AZ25" s="528"/>
      <c r="BA25" s="528" t="s">
        <v>1278</v>
      </c>
      <c r="BB25" s="528">
        <v>12</v>
      </c>
      <c r="BC25" s="528" t="s">
        <v>1278</v>
      </c>
      <c r="BD25" s="528"/>
      <c r="BE25" s="528">
        <v>12</v>
      </c>
      <c r="BF25" s="528"/>
      <c r="BG25" s="529"/>
      <c r="BH25" s="525"/>
      <c r="BI25" s="528"/>
      <c r="BJ25" s="528" t="s">
        <v>4</v>
      </c>
      <c r="BK25" s="528"/>
      <c r="BL25" s="529"/>
      <c r="BM25" s="525" t="s">
        <v>430</v>
      </c>
      <c r="BN25" s="525" t="s">
        <v>368</v>
      </c>
    </row>
    <row r="26" spans="1:66" ht="13" customHeight="1" x14ac:dyDescent="0.2">
      <c r="A26" s="525">
        <v>2395</v>
      </c>
      <c r="B26" s="565">
        <v>44455</v>
      </c>
      <c r="C26" s="526" t="s">
        <v>295</v>
      </c>
      <c r="D26" s="525" t="s">
        <v>1108</v>
      </c>
      <c r="E26" s="570">
        <v>44197</v>
      </c>
      <c r="F26" s="529" t="s">
        <v>982</v>
      </c>
      <c r="G26" s="525" t="s">
        <v>1297</v>
      </c>
      <c r="H26" s="532">
        <v>65.518181818181802</v>
      </c>
      <c r="I26" s="531" t="s">
        <v>296</v>
      </c>
      <c r="J26" s="459">
        <v>3000</v>
      </c>
      <c r="K26" s="459">
        <v>6000</v>
      </c>
      <c r="L26" s="459">
        <v>9000</v>
      </c>
      <c r="M26" s="459">
        <v>15000</v>
      </c>
      <c r="N26" s="525"/>
      <c r="O26" s="532">
        <v>2.0636363636363635</v>
      </c>
      <c r="P26" s="532">
        <v>1.9363636363636361</v>
      </c>
      <c r="Q26" s="532">
        <v>1.7090909090909088</v>
      </c>
      <c r="R26" s="532">
        <v>1.6181818181818182</v>
      </c>
      <c r="S26" s="532">
        <v>1.5272727272727271</v>
      </c>
      <c r="T26" s="533"/>
      <c r="U26" s="532">
        <v>1.9636363636363636</v>
      </c>
      <c r="V26" s="532">
        <v>1.7999999999999998</v>
      </c>
      <c r="W26" s="532">
        <v>1.6181818181818182</v>
      </c>
      <c r="X26" s="532">
        <v>1.5272727272727271</v>
      </c>
      <c r="Y26" s="532">
        <v>1.4818181818181817</v>
      </c>
      <c r="Z26" s="533"/>
      <c r="AA26" s="533"/>
      <c r="AB26" s="533"/>
      <c r="AC26" s="533"/>
      <c r="AD26" s="533"/>
      <c r="AE26" s="533"/>
      <c r="AF26" s="533"/>
      <c r="AG26" s="528" t="s">
        <v>297</v>
      </c>
      <c r="AH26" s="528" t="s">
        <v>298</v>
      </c>
      <c r="AI26" s="528">
        <v>3</v>
      </c>
      <c r="AJ26" s="528">
        <v>3</v>
      </c>
      <c r="AK26" s="480">
        <v>0.5</v>
      </c>
      <c r="AL26" s="480">
        <v>0.5</v>
      </c>
      <c r="AM26" s="525" t="s">
        <v>1118</v>
      </c>
      <c r="AN26" s="528">
        <v>0</v>
      </c>
      <c r="AO26" s="528">
        <v>0</v>
      </c>
      <c r="AP26" s="528">
        <v>0</v>
      </c>
      <c r="AQ26" s="528">
        <v>0</v>
      </c>
      <c r="AR26" s="528">
        <v>0</v>
      </c>
      <c r="AS26" s="528">
        <v>0</v>
      </c>
      <c r="AT26" s="528">
        <v>0</v>
      </c>
      <c r="AU26" s="528">
        <v>0</v>
      </c>
      <c r="AV26" s="528">
        <v>0</v>
      </c>
      <c r="AW26" s="528">
        <v>0</v>
      </c>
      <c r="AX26" s="528">
        <v>0</v>
      </c>
      <c r="AY26" s="528">
        <v>0</v>
      </c>
      <c r="AZ26" s="528"/>
      <c r="BA26" s="528" t="s">
        <v>1278</v>
      </c>
      <c r="BB26" s="528"/>
      <c r="BC26" s="528" t="s">
        <v>1278</v>
      </c>
      <c r="BD26" s="528"/>
      <c r="BE26" s="528"/>
      <c r="BF26" s="528"/>
      <c r="BG26" s="529"/>
      <c r="BH26" s="525"/>
      <c r="BI26" s="528"/>
      <c r="BJ26" s="528" t="s">
        <v>4</v>
      </c>
      <c r="BK26" s="528"/>
      <c r="BL26" s="529"/>
      <c r="BM26" s="530" t="s">
        <v>1491</v>
      </c>
      <c r="BN26" s="525" t="s">
        <v>368</v>
      </c>
    </row>
    <row r="27" spans="1:66" ht="13" customHeight="1" x14ac:dyDescent="0.2">
      <c r="A27" s="525">
        <v>2959</v>
      </c>
      <c r="B27" s="565">
        <v>44456</v>
      </c>
      <c r="C27" s="526" t="s">
        <v>295</v>
      </c>
      <c r="D27" s="525" t="s">
        <v>1108</v>
      </c>
      <c r="E27" s="570">
        <v>44440</v>
      </c>
      <c r="F27" s="529" t="s">
        <v>984</v>
      </c>
      <c r="G27" s="525" t="s">
        <v>1405</v>
      </c>
      <c r="H27" s="532">
        <v>83.672727272727272</v>
      </c>
      <c r="I27" s="531" t="s">
        <v>296</v>
      </c>
      <c r="J27" s="459">
        <v>3000</v>
      </c>
      <c r="K27" s="459">
        <v>6000</v>
      </c>
      <c r="L27" s="459">
        <v>9000</v>
      </c>
      <c r="M27" s="459">
        <v>15000</v>
      </c>
      <c r="N27" s="525"/>
      <c r="O27" s="138">
        <v>2.4727272727272727</v>
      </c>
      <c r="P27" s="138">
        <v>2.1393939393939392</v>
      </c>
      <c r="Q27" s="138">
        <v>1.812121212121212</v>
      </c>
      <c r="R27" s="138">
        <v>1.6333333333333333</v>
      </c>
      <c r="S27" s="138">
        <v>1.5909090909090908</v>
      </c>
      <c r="T27" s="533"/>
      <c r="U27" s="532">
        <v>2.336363636363636</v>
      </c>
      <c r="V27" s="532">
        <v>2.0363636363636366</v>
      </c>
      <c r="W27" s="532">
        <v>1.7636363636363634</v>
      </c>
      <c r="X27" s="532">
        <v>1.6090909090909089</v>
      </c>
      <c r="Y27" s="532">
        <v>1.5818181818181818</v>
      </c>
      <c r="Z27" s="533"/>
      <c r="AA27" s="532">
        <v>2.4363636363636365</v>
      </c>
      <c r="AB27" s="532">
        <v>2.1090909090909089</v>
      </c>
      <c r="AC27" s="532">
        <v>1.7999999999999998</v>
      </c>
      <c r="AD27" s="532">
        <v>1.6272727272727272</v>
      </c>
      <c r="AE27" s="532">
        <v>1.5909090909090908</v>
      </c>
      <c r="AF27" s="533"/>
      <c r="AG27" s="528" t="s">
        <v>297</v>
      </c>
      <c r="AH27" s="528" t="s">
        <v>298</v>
      </c>
      <c r="AI27" s="528">
        <v>3</v>
      </c>
      <c r="AJ27" s="528">
        <v>3</v>
      </c>
      <c r="AK27" s="480">
        <v>0.5</v>
      </c>
      <c r="AL27" s="480">
        <v>0.5</v>
      </c>
      <c r="AM27" s="525" t="s">
        <v>1123</v>
      </c>
      <c r="AN27" s="528">
        <v>16</v>
      </c>
      <c r="AO27" s="528">
        <v>0</v>
      </c>
      <c r="AP27" s="528">
        <v>0</v>
      </c>
      <c r="AQ27" s="528">
        <v>0</v>
      </c>
      <c r="AR27" s="528">
        <v>0</v>
      </c>
      <c r="AS27" s="528">
        <v>0</v>
      </c>
      <c r="AT27" s="528">
        <v>0</v>
      </c>
      <c r="AU27" s="528">
        <v>0</v>
      </c>
      <c r="AV27" s="528">
        <v>0</v>
      </c>
      <c r="AW27" s="528">
        <v>0</v>
      </c>
      <c r="AX27" s="528">
        <v>0</v>
      </c>
      <c r="AY27" s="528">
        <v>0</v>
      </c>
      <c r="AZ27" s="528"/>
      <c r="BA27" s="528" t="s">
        <v>1278</v>
      </c>
      <c r="BB27" s="528"/>
      <c r="BC27" s="528" t="s">
        <v>1278</v>
      </c>
      <c r="BD27" s="528"/>
      <c r="BE27" s="528"/>
      <c r="BF27" s="528"/>
      <c r="BG27" s="529"/>
      <c r="BH27" s="525"/>
      <c r="BI27" s="528"/>
      <c r="BJ27" s="528" t="s">
        <v>4</v>
      </c>
      <c r="BK27" s="528"/>
      <c r="BL27" s="529"/>
      <c r="BM27" s="567" t="s">
        <v>1569</v>
      </c>
      <c r="BN27" s="525" t="s">
        <v>408</v>
      </c>
    </row>
    <row r="28" spans="1:66" ht="13" customHeight="1" x14ac:dyDescent="0.2">
      <c r="A28" s="525">
        <v>2637</v>
      </c>
      <c r="B28" s="565">
        <v>44455</v>
      </c>
      <c r="C28" s="526" t="s">
        <v>295</v>
      </c>
      <c r="D28" s="525" t="s">
        <v>1108</v>
      </c>
      <c r="E28" s="570">
        <v>44067</v>
      </c>
      <c r="F28" s="525" t="s">
        <v>985</v>
      </c>
      <c r="G28" s="525" t="s">
        <v>1570</v>
      </c>
      <c r="H28" s="532">
        <v>59.999999999999993</v>
      </c>
      <c r="I28" s="394" t="s">
        <v>296</v>
      </c>
      <c r="J28" s="459">
        <v>3000</v>
      </c>
      <c r="K28" s="459">
        <v>6000</v>
      </c>
      <c r="L28" s="459">
        <v>9000</v>
      </c>
      <c r="M28" s="459">
        <v>15000</v>
      </c>
      <c r="N28" s="332"/>
      <c r="O28" s="532">
        <v>2</v>
      </c>
      <c r="P28" s="532">
        <v>1.7</v>
      </c>
      <c r="Q28" s="532">
        <v>1.5545454545454545</v>
      </c>
      <c r="R28" s="532">
        <v>1.2999999999999998</v>
      </c>
      <c r="S28" s="532">
        <v>1.2</v>
      </c>
      <c r="T28" s="571"/>
      <c r="U28" s="532">
        <v>1.7999999999999998</v>
      </c>
      <c r="V28" s="532">
        <v>1.4999999999999998</v>
      </c>
      <c r="W28" s="532">
        <v>1.4</v>
      </c>
      <c r="X28" s="532">
        <v>1.2545454545454544</v>
      </c>
      <c r="Y28" s="532">
        <v>1</v>
      </c>
      <c r="Z28" s="571"/>
      <c r="AA28" s="571"/>
      <c r="AB28" s="571"/>
      <c r="AC28" s="571"/>
      <c r="AD28" s="571"/>
      <c r="AE28" s="571"/>
      <c r="AF28" s="571"/>
      <c r="AG28" s="333" t="s">
        <v>297</v>
      </c>
      <c r="AH28" s="333" t="s">
        <v>298</v>
      </c>
      <c r="AI28" s="528">
        <v>3</v>
      </c>
      <c r="AJ28" s="528">
        <v>3</v>
      </c>
      <c r="AK28" s="480">
        <v>0.5</v>
      </c>
      <c r="AL28" s="480">
        <v>0.5</v>
      </c>
      <c r="AM28" s="525" t="s">
        <v>1118</v>
      </c>
      <c r="AN28" s="528">
        <v>0</v>
      </c>
      <c r="AO28" s="528">
        <v>0</v>
      </c>
      <c r="AP28" s="528">
        <v>0</v>
      </c>
      <c r="AQ28" s="528">
        <v>0</v>
      </c>
      <c r="AR28" s="528">
        <v>0</v>
      </c>
      <c r="AS28" s="528">
        <v>0</v>
      </c>
      <c r="AT28" s="528">
        <v>0</v>
      </c>
      <c r="AU28" s="528">
        <v>0</v>
      </c>
      <c r="AV28" s="528">
        <v>0</v>
      </c>
      <c r="AW28" s="528">
        <v>0</v>
      </c>
      <c r="AX28" s="528">
        <v>0</v>
      </c>
      <c r="AY28" s="528">
        <v>0</v>
      </c>
      <c r="AZ28" s="528"/>
      <c r="BA28" s="528" t="s">
        <v>1278</v>
      </c>
      <c r="BB28" s="528"/>
      <c r="BC28" s="528" t="s">
        <v>1278</v>
      </c>
      <c r="BD28" s="528"/>
      <c r="BE28" s="528"/>
      <c r="BF28" s="528"/>
      <c r="BG28" s="529"/>
      <c r="BH28" s="525"/>
      <c r="BI28" s="528"/>
      <c r="BJ28" s="528" t="s">
        <v>411</v>
      </c>
      <c r="BK28" s="528"/>
      <c r="BL28" s="529" t="s">
        <v>1571</v>
      </c>
      <c r="BM28" s="424" t="s">
        <v>1575</v>
      </c>
      <c r="BN28" s="525" t="s">
        <v>368</v>
      </c>
    </row>
    <row r="29" spans="1:66" ht="13" customHeight="1" x14ac:dyDescent="0.2">
      <c r="A29" s="525">
        <v>1683</v>
      </c>
      <c r="B29" s="565">
        <v>44456</v>
      </c>
      <c r="C29" s="526" t="s">
        <v>295</v>
      </c>
      <c r="D29" s="525" t="s">
        <v>1108</v>
      </c>
      <c r="E29" s="527">
        <v>44442</v>
      </c>
      <c r="F29" s="529" t="s">
        <v>1106</v>
      </c>
      <c r="G29" s="525" t="s">
        <v>2</v>
      </c>
      <c r="H29" s="532">
        <v>52</v>
      </c>
      <c r="I29" s="531" t="s">
        <v>296</v>
      </c>
      <c r="J29" s="568">
        <v>6000</v>
      </c>
      <c r="K29" s="568">
        <v>6000</v>
      </c>
      <c r="L29" s="568">
        <v>6000</v>
      </c>
      <c r="M29" s="568">
        <v>6000</v>
      </c>
      <c r="N29" s="525"/>
      <c r="O29" s="532">
        <v>1.7272727272727271</v>
      </c>
      <c r="P29" s="532">
        <v>0</v>
      </c>
      <c r="Q29" s="532">
        <v>0</v>
      </c>
      <c r="R29" s="532">
        <v>0</v>
      </c>
      <c r="S29" s="532">
        <v>1.2999999999999998</v>
      </c>
      <c r="T29" s="533"/>
      <c r="U29" s="532">
        <v>1.7272727272727271</v>
      </c>
      <c r="V29" s="532">
        <v>0</v>
      </c>
      <c r="W29" s="532">
        <v>0</v>
      </c>
      <c r="X29" s="532">
        <v>0</v>
      </c>
      <c r="Y29" s="532">
        <v>1.2999999999999998</v>
      </c>
      <c r="Z29" s="533"/>
      <c r="AA29" s="533"/>
      <c r="AB29" s="533"/>
      <c r="AC29" s="533"/>
      <c r="AD29" s="533"/>
      <c r="AE29" s="533"/>
      <c r="AF29" s="533"/>
      <c r="AG29" s="528" t="s">
        <v>1278</v>
      </c>
      <c r="AH29" s="528"/>
      <c r="AI29" s="528">
        <v>3</v>
      </c>
      <c r="AJ29" s="528">
        <v>3</v>
      </c>
      <c r="AK29" s="480">
        <v>0.5</v>
      </c>
      <c r="AL29" s="480">
        <v>0.5</v>
      </c>
      <c r="AM29" s="525"/>
      <c r="AN29" s="528">
        <v>0</v>
      </c>
      <c r="AO29" s="528">
        <v>0</v>
      </c>
      <c r="AP29" s="528">
        <v>0</v>
      </c>
      <c r="AQ29" s="528">
        <v>0</v>
      </c>
      <c r="AR29" s="528">
        <v>0</v>
      </c>
      <c r="AS29" s="528">
        <v>0</v>
      </c>
      <c r="AT29" s="528">
        <v>0</v>
      </c>
      <c r="AU29" s="528">
        <v>0</v>
      </c>
      <c r="AV29" s="528">
        <v>0</v>
      </c>
      <c r="AW29" s="528">
        <v>0</v>
      </c>
      <c r="AX29" s="528">
        <v>0</v>
      </c>
      <c r="AY29" s="528">
        <v>0</v>
      </c>
      <c r="AZ29" s="528"/>
      <c r="BA29" s="528" t="s">
        <v>1278</v>
      </c>
      <c r="BB29" s="528"/>
      <c r="BC29" s="528" t="s">
        <v>1278</v>
      </c>
      <c r="BD29" s="528"/>
      <c r="BE29" s="528"/>
      <c r="BF29" s="529"/>
      <c r="BG29" s="525"/>
      <c r="BH29" s="528"/>
      <c r="BI29" s="528"/>
      <c r="BJ29" s="528" t="s">
        <v>4</v>
      </c>
      <c r="BK29" s="528">
        <v>1</v>
      </c>
      <c r="BL29" s="525"/>
      <c r="BM29" s="530" t="s">
        <v>1573</v>
      </c>
      <c r="BN29" s="525" t="s">
        <v>408</v>
      </c>
    </row>
    <row r="30" spans="1:66" ht="13" customHeight="1" x14ac:dyDescent="0.2">
      <c r="A30" s="525">
        <v>2902</v>
      </c>
      <c r="B30" s="565">
        <v>44455</v>
      </c>
      <c r="C30" s="526" t="s">
        <v>295</v>
      </c>
      <c r="D30" s="525" t="s">
        <v>1108</v>
      </c>
      <c r="E30" s="527">
        <v>44228</v>
      </c>
      <c r="F30" s="525" t="s">
        <v>34</v>
      </c>
      <c r="G30" s="525" t="s">
        <v>1181</v>
      </c>
      <c r="H30" s="532">
        <v>66.054545454545448</v>
      </c>
      <c r="I30" s="394"/>
      <c r="J30" s="409"/>
      <c r="K30" s="409"/>
      <c r="L30" s="332"/>
      <c r="M30" s="332"/>
      <c r="N30" s="332"/>
      <c r="O30" s="532">
        <v>1.7363636363636361</v>
      </c>
      <c r="P30" s="532">
        <v>0</v>
      </c>
      <c r="Q30" s="532">
        <v>0</v>
      </c>
      <c r="R30" s="532">
        <v>0</v>
      </c>
      <c r="S30" s="532">
        <v>0</v>
      </c>
      <c r="T30" s="571"/>
      <c r="U30" s="532">
        <v>1.5636363636363635</v>
      </c>
      <c r="V30" s="532">
        <v>0</v>
      </c>
      <c r="W30" s="532">
        <v>0</v>
      </c>
      <c r="X30" s="532">
        <v>0</v>
      </c>
      <c r="Y30" s="532">
        <v>0</v>
      </c>
      <c r="Z30" s="571"/>
      <c r="AA30" s="571"/>
      <c r="AB30" s="571"/>
      <c r="AC30" s="571"/>
      <c r="AD30" s="571"/>
      <c r="AE30" s="571"/>
      <c r="AF30" s="571"/>
      <c r="AG30" s="528" t="s">
        <v>297</v>
      </c>
      <c r="AH30" s="528" t="s">
        <v>298</v>
      </c>
      <c r="AI30" s="528">
        <v>3</v>
      </c>
      <c r="AJ30" s="528">
        <v>3</v>
      </c>
      <c r="AK30" s="480">
        <v>0.5</v>
      </c>
      <c r="AL30" s="480">
        <v>0.5</v>
      </c>
      <c r="AM30" s="525" t="s">
        <v>1118</v>
      </c>
      <c r="AN30" s="528">
        <v>0</v>
      </c>
      <c r="AO30" s="528">
        <v>0</v>
      </c>
      <c r="AP30" s="528">
        <v>0</v>
      </c>
      <c r="AQ30" s="528">
        <v>0</v>
      </c>
      <c r="AR30" s="528">
        <v>0</v>
      </c>
      <c r="AS30" s="528">
        <v>0</v>
      </c>
      <c r="AT30" s="528">
        <v>0</v>
      </c>
      <c r="AU30" s="528">
        <v>0</v>
      </c>
      <c r="AV30" s="528">
        <v>0</v>
      </c>
      <c r="AW30" s="528">
        <v>0</v>
      </c>
      <c r="AX30" s="528">
        <v>0</v>
      </c>
      <c r="AY30" s="528">
        <v>0</v>
      </c>
      <c r="AZ30" s="528"/>
      <c r="BA30" s="528" t="s">
        <v>1278</v>
      </c>
      <c r="BB30" s="528"/>
      <c r="BC30" s="528" t="s">
        <v>1278</v>
      </c>
      <c r="BD30" s="528"/>
      <c r="BE30" s="528"/>
      <c r="BF30" s="528"/>
      <c r="BG30" s="529"/>
      <c r="BH30" s="525"/>
      <c r="BI30" s="528"/>
      <c r="BJ30" s="528" t="s">
        <v>411</v>
      </c>
      <c r="BK30" s="528"/>
      <c r="BL30" s="529" t="s">
        <v>1284</v>
      </c>
      <c r="BM30" s="530" t="s">
        <v>1556</v>
      </c>
      <c r="BN30" s="525" t="s">
        <v>368</v>
      </c>
    </row>
    <row r="31" spans="1:66" ht="13" customHeight="1" x14ac:dyDescent="0.2">
      <c r="A31" s="525">
        <v>2746</v>
      </c>
      <c r="B31" s="565">
        <v>44455</v>
      </c>
      <c r="C31" s="526" t="s">
        <v>295</v>
      </c>
      <c r="D31" s="525" t="s">
        <v>1108</v>
      </c>
      <c r="E31" s="527">
        <v>44197</v>
      </c>
      <c r="F31" s="525" t="s">
        <v>1274</v>
      </c>
      <c r="G31" s="525" t="s">
        <v>1467</v>
      </c>
      <c r="H31" s="532">
        <v>70.999999999999986</v>
      </c>
      <c r="I31" s="394" t="s">
        <v>296</v>
      </c>
      <c r="J31" s="459">
        <v>3000</v>
      </c>
      <c r="K31" s="459">
        <v>6000</v>
      </c>
      <c r="L31" s="459">
        <v>6000</v>
      </c>
      <c r="M31" s="459">
        <v>6000</v>
      </c>
      <c r="N31" s="332"/>
      <c r="O31" s="532">
        <v>2.4636363636363634</v>
      </c>
      <c r="P31" s="532">
        <v>2.1636363636363636</v>
      </c>
      <c r="Q31" s="532">
        <v>0</v>
      </c>
      <c r="R31" s="532">
        <v>0</v>
      </c>
      <c r="S31" s="532">
        <v>1.8181818181818181</v>
      </c>
      <c r="T31" s="571"/>
      <c r="U31" s="532">
        <v>2.4636363636363634</v>
      </c>
      <c r="V31" s="532">
        <v>2.1636363636363636</v>
      </c>
      <c r="W31" s="532">
        <v>0</v>
      </c>
      <c r="X31" s="532">
        <v>0</v>
      </c>
      <c r="Y31" s="532">
        <v>1.8181818181818181</v>
      </c>
      <c r="Z31" s="571"/>
      <c r="AA31" s="571"/>
      <c r="AB31" s="571"/>
      <c r="AC31" s="571"/>
      <c r="AD31" s="571"/>
      <c r="AE31" s="571"/>
      <c r="AF31" s="571"/>
      <c r="AG31" s="333" t="s">
        <v>1278</v>
      </c>
      <c r="AH31" s="333"/>
      <c r="AI31" s="528">
        <v>3</v>
      </c>
      <c r="AJ31" s="528">
        <v>3</v>
      </c>
      <c r="AK31" s="480">
        <v>0.5</v>
      </c>
      <c r="AL31" s="480">
        <v>0.5</v>
      </c>
      <c r="AM31" s="525"/>
      <c r="AN31" s="528">
        <v>0</v>
      </c>
      <c r="AO31" s="528">
        <v>12</v>
      </c>
      <c r="AP31" s="528">
        <v>0</v>
      </c>
      <c r="AQ31" s="528">
        <v>3</v>
      </c>
      <c r="AR31" s="528">
        <v>0</v>
      </c>
      <c r="AS31" s="528">
        <v>0</v>
      </c>
      <c r="AT31" s="528">
        <v>0</v>
      </c>
      <c r="AU31" s="528">
        <v>0</v>
      </c>
      <c r="AV31" s="528">
        <v>0</v>
      </c>
      <c r="AW31" s="528">
        <v>0</v>
      </c>
      <c r="AX31" s="528">
        <v>0</v>
      </c>
      <c r="AY31" s="528">
        <v>0</v>
      </c>
      <c r="AZ31" s="528"/>
      <c r="BA31" s="528" t="s">
        <v>1278</v>
      </c>
      <c r="BB31" s="528"/>
      <c r="BC31" s="528" t="s">
        <v>1278</v>
      </c>
      <c r="BD31" s="528"/>
      <c r="BE31" s="528"/>
      <c r="BF31" s="528"/>
      <c r="BG31" s="529"/>
      <c r="BH31" s="525"/>
      <c r="BI31" s="528"/>
      <c r="BJ31" s="528" t="s">
        <v>411</v>
      </c>
      <c r="BK31" s="528">
        <v>1</v>
      </c>
      <c r="BL31" s="529"/>
      <c r="BM31" s="424" t="s">
        <v>1468</v>
      </c>
      <c r="BN31" s="525" t="s">
        <v>368</v>
      </c>
    </row>
    <row r="32" spans="1:66" ht="13" customHeight="1" x14ac:dyDescent="0.2">
      <c r="A32" s="525">
        <v>2339</v>
      </c>
      <c r="B32" s="565">
        <v>44455</v>
      </c>
      <c r="C32" s="526" t="s">
        <v>295</v>
      </c>
      <c r="D32" s="525" t="s">
        <v>1108</v>
      </c>
      <c r="E32" s="570">
        <v>44228</v>
      </c>
      <c r="F32" s="525" t="s">
        <v>1291</v>
      </c>
      <c r="G32" s="525" t="s">
        <v>1181</v>
      </c>
      <c r="H32" s="532">
        <v>58.690909090909088</v>
      </c>
      <c r="I32" s="394"/>
      <c r="J32" s="409"/>
      <c r="K32" s="409"/>
      <c r="L32" s="332"/>
      <c r="M32" s="332"/>
      <c r="N32" s="332"/>
      <c r="O32" s="532">
        <v>2.0181818181818181</v>
      </c>
      <c r="P32" s="532">
        <v>0</v>
      </c>
      <c r="Q32" s="532">
        <v>0</v>
      </c>
      <c r="R32" s="532">
        <v>0</v>
      </c>
      <c r="S32" s="532">
        <v>0</v>
      </c>
      <c r="T32" s="571"/>
      <c r="U32" s="532">
        <v>1.8727272727272726</v>
      </c>
      <c r="V32" s="532">
        <v>0</v>
      </c>
      <c r="W32" s="532">
        <v>0</v>
      </c>
      <c r="X32" s="532">
        <v>0</v>
      </c>
      <c r="Y32" s="532">
        <v>0</v>
      </c>
      <c r="Z32" s="571"/>
      <c r="AA32" s="571"/>
      <c r="AB32" s="571"/>
      <c r="AC32" s="571"/>
      <c r="AD32" s="571"/>
      <c r="AE32" s="571"/>
      <c r="AF32" s="571"/>
      <c r="AG32" s="528" t="s">
        <v>297</v>
      </c>
      <c r="AH32" s="528" t="s">
        <v>298</v>
      </c>
      <c r="AI32" s="528">
        <v>3</v>
      </c>
      <c r="AJ32" s="528">
        <v>3</v>
      </c>
      <c r="AK32" s="480">
        <v>0.5</v>
      </c>
      <c r="AL32" s="480">
        <v>0.5</v>
      </c>
      <c r="AM32" s="525" t="s">
        <v>1118</v>
      </c>
      <c r="AN32" s="528">
        <v>0</v>
      </c>
      <c r="AO32" s="528">
        <v>0</v>
      </c>
      <c r="AP32" s="528">
        <v>0</v>
      </c>
      <c r="AQ32" s="528">
        <v>0</v>
      </c>
      <c r="AR32" s="528">
        <v>0</v>
      </c>
      <c r="AS32" s="528">
        <v>0</v>
      </c>
      <c r="AT32" s="528">
        <v>0</v>
      </c>
      <c r="AU32" s="528">
        <v>0</v>
      </c>
      <c r="AV32" s="528">
        <v>0</v>
      </c>
      <c r="AW32" s="528">
        <v>0</v>
      </c>
      <c r="AX32" s="528">
        <v>0</v>
      </c>
      <c r="AY32" s="528">
        <v>0</v>
      </c>
      <c r="AZ32" s="528"/>
      <c r="BA32" s="528" t="s">
        <v>1278</v>
      </c>
      <c r="BB32" s="528"/>
      <c r="BC32" s="528" t="s">
        <v>1278</v>
      </c>
      <c r="BD32" s="528"/>
      <c r="BE32" s="528"/>
      <c r="BF32" s="528"/>
      <c r="BG32" s="529"/>
      <c r="BH32" s="525"/>
      <c r="BI32" s="528"/>
      <c r="BJ32" s="528" t="s">
        <v>4</v>
      </c>
      <c r="BK32" s="528"/>
      <c r="BL32" s="529" t="s">
        <v>1284</v>
      </c>
      <c r="BM32" s="573" t="s">
        <v>1551</v>
      </c>
      <c r="BN32" s="525" t="s">
        <v>368</v>
      </c>
    </row>
    <row r="33" spans="1:66" ht="13" customHeight="1" x14ac:dyDescent="0.2">
      <c r="A33" s="525">
        <v>2937</v>
      </c>
      <c r="B33" s="565">
        <v>44456</v>
      </c>
      <c r="C33" s="526" t="s">
        <v>295</v>
      </c>
      <c r="D33" s="525" t="s">
        <v>1108</v>
      </c>
      <c r="E33" s="527">
        <v>44452</v>
      </c>
      <c r="F33" s="525" t="s">
        <v>1483</v>
      </c>
      <c r="G33" s="525" t="s">
        <v>1550</v>
      </c>
      <c r="H33" s="532">
        <v>65</v>
      </c>
      <c r="I33" s="531" t="s">
        <v>296</v>
      </c>
      <c r="J33" s="459">
        <v>3000</v>
      </c>
      <c r="K33" s="459">
        <v>6000</v>
      </c>
      <c r="L33" s="459">
        <v>9000</v>
      </c>
      <c r="M33" s="459">
        <v>15000</v>
      </c>
      <c r="N33" s="332"/>
      <c r="O33" s="532">
        <v>1.6818181818181817</v>
      </c>
      <c r="P33" s="532">
        <v>1.4818181818181817</v>
      </c>
      <c r="Q33" s="532">
        <v>1.2999999999999998</v>
      </c>
      <c r="R33" s="532">
        <v>1.2363636363636363</v>
      </c>
      <c r="S33" s="532">
        <v>1.1909090909090909</v>
      </c>
      <c r="T33" s="571"/>
      <c r="U33" s="532">
        <v>1.4999999999999998</v>
      </c>
      <c r="V33" s="532">
        <v>1.4</v>
      </c>
      <c r="W33" s="532">
        <v>1.2999999999999998</v>
      </c>
      <c r="X33" s="532">
        <v>1.2</v>
      </c>
      <c r="Y33" s="532">
        <v>1.0999999999999999</v>
      </c>
      <c r="Z33" s="571"/>
      <c r="AA33" s="571"/>
      <c r="AB33" s="571"/>
      <c r="AC33" s="571"/>
      <c r="AD33" s="571"/>
      <c r="AE33" s="571"/>
      <c r="AF33" s="571"/>
      <c r="AG33" s="528" t="s">
        <v>297</v>
      </c>
      <c r="AH33" s="528" t="s">
        <v>298</v>
      </c>
      <c r="AI33" s="528">
        <v>3</v>
      </c>
      <c r="AJ33" s="528">
        <v>3</v>
      </c>
      <c r="AK33" s="480">
        <v>0.5</v>
      </c>
      <c r="AL33" s="480">
        <v>0.5</v>
      </c>
      <c r="AM33" s="525" t="s">
        <v>1118</v>
      </c>
      <c r="AN33" s="528">
        <v>0</v>
      </c>
      <c r="AO33" s="528">
        <v>0</v>
      </c>
      <c r="AP33" s="528">
        <v>0</v>
      </c>
      <c r="AQ33" s="528">
        <v>0</v>
      </c>
      <c r="AR33" s="528">
        <v>0</v>
      </c>
      <c r="AS33" s="528">
        <v>0</v>
      </c>
      <c r="AT33" s="528">
        <v>0</v>
      </c>
      <c r="AU33" s="528">
        <v>0</v>
      </c>
      <c r="AV33" s="528">
        <v>0</v>
      </c>
      <c r="AW33" s="528">
        <v>0</v>
      </c>
      <c r="AX33" s="528">
        <v>0</v>
      </c>
      <c r="AY33" s="528">
        <v>0</v>
      </c>
      <c r="AZ33" s="528"/>
      <c r="BA33" s="528" t="s">
        <v>1278</v>
      </c>
      <c r="BB33" s="528"/>
      <c r="BC33" s="528" t="s">
        <v>1278</v>
      </c>
      <c r="BD33" s="528"/>
      <c r="BE33" s="528">
        <v>12</v>
      </c>
      <c r="BF33" s="564"/>
      <c r="BG33" s="529"/>
      <c r="BH33" s="525"/>
      <c r="BI33" s="528"/>
      <c r="BJ33" s="528" t="s">
        <v>4</v>
      </c>
      <c r="BK33" s="528"/>
      <c r="BL33" s="529"/>
      <c r="BM33" s="525" t="s">
        <v>430</v>
      </c>
      <c r="BN33" s="525" t="s">
        <v>408</v>
      </c>
    </row>
    <row r="34" spans="1:66" ht="13" customHeight="1" x14ac:dyDescent="0.2">
      <c r="A34" s="525">
        <v>3028</v>
      </c>
      <c r="B34" s="565">
        <v>44456</v>
      </c>
      <c r="C34" s="526" t="s">
        <v>295</v>
      </c>
      <c r="D34" s="525" t="s">
        <v>1109</v>
      </c>
      <c r="E34" s="527">
        <v>44378</v>
      </c>
      <c r="F34" s="529" t="s">
        <v>1044</v>
      </c>
      <c r="G34" s="525" t="s">
        <v>1562</v>
      </c>
      <c r="H34" s="532">
        <v>70.872727272727261</v>
      </c>
      <c r="I34" s="531" t="s">
        <v>296</v>
      </c>
      <c r="J34" s="485">
        <v>1645</v>
      </c>
      <c r="K34" s="485">
        <v>3000</v>
      </c>
      <c r="L34" s="485">
        <v>3000</v>
      </c>
      <c r="M34" s="485">
        <v>3000</v>
      </c>
      <c r="N34" s="525"/>
      <c r="O34" s="532">
        <v>2.4363636363636365</v>
      </c>
      <c r="P34" s="532">
        <v>2.2636363636363637</v>
      </c>
      <c r="Q34" s="532">
        <v>0</v>
      </c>
      <c r="R34" s="532">
        <v>0</v>
      </c>
      <c r="S34" s="532">
        <v>1.8909090909090909</v>
      </c>
      <c r="T34" s="533"/>
      <c r="U34" s="532">
        <v>2.4363636363636365</v>
      </c>
      <c r="V34" s="532">
        <v>2.2636363636363637</v>
      </c>
      <c r="W34" s="532">
        <v>0</v>
      </c>
      <c r="X34" s="532">
        <v>0</v>
      </c>
      <c r="Y34" s="532">
        <v>1.8909090909090909</v>
      </c>
      <c r="Z34" s="533"/>
      <c r="AA34" s="533"/>
      <c r="AB34" s="533"/>
      <c r="AC34" s="533"/>
      <c r="AD34" s="533"/>
      <c r="AE34" s="533"/>
      <c r="AF34" s="533"/>
      <c r="AG34" s="528" t="s">
        <v>1278</v>
      </c>
      <c r="AH34" s="528"/>
      <c r="AI34" s="528">
        <v>3</v>
      </c>
      <c r="AJ34" s="528">
        <v>3</v>
      </c>
      <c r="AK34" s="480">
        <v>0.5</v>
      </c>
      <c r="AL34" s="480">
        <v>0.5</v>
      </c>
      <c r="AM34" s="525"/>
      <c r="AN34" s="528">
        <v>0</v>
      </c>
      <c r="AO34" s="528">
        <v>0</v>
      </c>
      <c r="AP34" s="528">
        <v>0</v>
      </c>
      <c r="AQ34" s="528">
        <v>0</v>
      </c>
      <c r="AR34" s="528">
        <v>0</v>
      </c>
      <c r="AS34" s="528">
        <v>0</v>
      </c>
      <c r="AT34" s="528">
        <v>0</v>
      </c>
      <c r="AU34" s="528">
        <v>0</v>
      </c>
      <c r="AV34" s="528">
        <v>0</v>
      </c>
      <c r="AW34" s="528">
        <v>0</v>
      </c>
      <c r="AX34" s="528">
        <v>0</v>
      </c>
      <c r="AY34" s="528">
        <v>0</v>
      </c>
      <c r="AZ34" s="528"/>
      <c r="BA34" s="528" t="s">
        <v>1278</v>
      </c>
      <c r="BB34" s="528"/>
      <c r="BC34" s="528" t="s">
        <v>1278</v>
      </c>
      <c r="BD34" s="528"/>
      <c r="BE34" s="528"/>
      <c r="BF34" s="528"/>
      <c r="BG34" s="529"/>
      <c r="BH34" s="525"/>
      <c r="BI34" s="528"/>
      <c r="BJ34" s="528" t="s">
        <v>4</v>
      </c>
      <c r="BK34" s="528"/>
      <c r="BL34" s="529"/>
      <c r="BM34" s="567" t="s">
        <v>1576</v>
      </c>
      <c r="BN34" s="525" t="s">
        <v>368</v>
      </c>
    </row>
    <row r="35" spans="1:66" ht="13" customHeight="1" x14ac:dyDescent="0.2">
      <c r="A35" s="525">
        <v>2497</v>
      </c>
      <c r="B35" s="565">
        <v>44455</v>
      </c>
      <c r="C35" s="526" t="s">
        <v>295</v>
      </c>
      <c r="D35" s="525" t="s">
        <v>1109</v>
      </c>
      <c r="E35" s="527">
        <v>44326</v>
      </c>
      <c r="F35" s="529" t="s">
        <v>1046</v>
      </c>
      <c r="G35" s="525" t="s">
        <v>1280</v>
      </c>
      <c r="H35" s="532">
        <v>48.190909090909088</v>
      </c>
      <c r="I35" s="531" t="s">
        <v>296</v>
      </c>
      <c r="J35" s="485">
        <v>1645</v>
      </c>
      <c r="K35" s="485">
        <v>3000</v>
      </c>
      <c r="L35" s="485">
        <v>3000</v>
      </c>
      <c r="M35" s="485">
        <v>3000</v>
      </c>
      <c r="N35" s="525"/>
      <c r="O35" s="532">
        <v>1.8727272727272726</v>
      </c>
      <c r="P35" s="532">
        <v>1.8727272727272726</v>
      </c>
      <c r="Q35" s="532">
        <v>0</v>
      </c>
      <c r="R35" s="532">
        <v>0</v>
      </c>
      <c r="S35" s="532">
        <v>1.6090909090909089</v>
      </c>
      <c r="T35" s="533"/>
      <c r="U35" s="532">
        <v>1.8727272727272726</v>
      </c>
      <c r="V35" s="532">
        <v>1.8727272727272726</v>
      </c>
      <c r="W35" s="532">
        <v>0</v>
      </c>
      <c r="X35" s="532">
        <v>0</v>
      </c>
      <c r="Y35" s="532">
        <v>1.6090909090909089</v>
      </c>
      <c r="Z35" s="533"/>
      <c r="AA35" s="533"/>
      <c r="AB35" s="533"/>
      <c r="AC35" s="533"/>
      <c r="AD35" s="533"/>
      <c r="AE35" s="533"/>
      <c r="AF35" s="533"/>
      <c r="AG35" s="528" t="s">
        <v>1278</v>
      </c>
      <c r="AH35" s="528"/>
      <c r="AI35" s="528">
        <v>3</v>
      </c>
      <c r="AJ35" s="528">
        <v>3</v>
      </c>
      <c r="AK35" s="480">
        <v>0.5</v>
      </c>
      <c r="AL35" s="480">
        <v>0.5</v>
      </c>
      <c r="AM35" s="525"/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528">
        <v>0</v>
      </c>
      <c r="AZ35" s="528"/>
      <c r="BA35" s="528" t="s">
        <v>1278</v>
      </c>
      <c r="BB35" s="528"/>
      <c r="BC35" s="528" t="s">
        <v>1278</v>
      </c>
      <c r="BD35" s="528"/>
      <c r="BE35" s="528"/>
      <c r="BF35" s="528"/>
      <c r="BG35" s="529"/>
      <c r="BH35" s="525"/>
      <c r="BI35" s="528"/>
      <c r="BJ35" s="528" t="s">
        <v>4</v>
      </c>
      <c r="BK35" s="528"/>
      <c r="BL35" s="529"/>
      <c r="BM35" s="569" t="s">
        <v>430</v>
      </c>
      <c r="BN35" s="525" t="s">
        <v>368</v>
      </c>
    </row>
    <row r="36" spans="1:66" ht="13" customHeight="1" x14ac:dyDescent="0.2">
      <c r="A36" s="525">
        <v>2962</v>
      </c>
      <c r="B36" s="565">
        <v>44455</v>
      </c>
      <c r="C36" s="526" t="s">
        <v>295</v>
      </c>
      <c r="D36" s="525" t="s">
        <v>1109</v>
      </c>
      <c r="E36" s="527">
        <v>44223</v>
      </c>
      <c r="F36" s="529" t="s">
        <v>1050</v>
      </c>
      <c r="G36" s="525" t="s">
        <v>1564</v>
      </c>
      <c r="H36" s="532">
        <v>75</v>
      </c>
      <c r="I36" s="531" t="s">
        <v>296</v>
      </c>
      <c r="J36" s="485">
        <v>1645</v>
      </c>
      <c r="K36" s="485">
        <v>3000</v>
      </c>
      <c r="L36" s="485">
        <v>3000</v>
      </c>
      <c r="M36" s="485">
        <v>3000</v>
      </c>
      <c r="N36" s="525"/>
      <c r="O36" s="532">
        <v>2.6181818181818177</v>
      </c>
      <c r="P36" s="532">
        <v>2.3636363636363633</v>
      </c>
      <c r="Q36" s="532">
        <v>0</v>
      </c>
      <c r="R36" s="532">
        <v>0</v>
      </c>
      <c r="S36" s="532">
        <v>1.9272727272727272</v>
      </c>
      <c r="T36" s="533"/>
      <c r="U36" s="532">
        <v>2.6181818181818177</v>
      </c>
      <c r="V36" s="532">
        <v>2.3636363636363633</v>
      </c>
      <c r="W36" s="532">
        <v>0</v>
      </c>
      <c r="X36" s="532">
        <v>0</v>
      </c>
      <c r="Y36" s="532">
        <v>1.9272727272727272</v>
      </c>
      <c r="Z36" s="533"/>
      <c r="AA36" s="533"/>
      <c r="AB36" s="533"/>
      <c r="AC36" s="533"/>
      <c r="AD36" s="533"/>
      <c r="AE36" s="533"/>
      <c r="AF36" s="533"/>
      <c r="AG36" s="528" t="s">
        <v>1278</v>
      </c>
      <c r="AH36" s="528"/>
      <c r="AI36" s="528">
        <v>3</v>
      </c>
      <c r="AJ36" s="528">
        <v>3</v>
      </c>
      <c r="AK36" s="480">
        <v>0.5</v>
      </c>
      <c r="AL36" s="480">
        <v>0.5</v>
      </c>
      <c r="AM36" s="525"/>
      <c r="AN36" s="528">
        <v>0</v>
      </c>
      <c r="AO36" s="528">
        <v>20</v>
      </c>
      <c r="AP36" s="528">
        <v>0</v>
      </c>
      <c r="AQ36" s="528">
        <v>0</v>
      </c>
      <c r="AR36" s="528">
        <v>0</v>
      </c>
      <c r="AS36" s="528">
        <v>0</v>
      </c>
      <c r="AT36" s="528">
        <v>0</v>
      </c>
      <c r="AU36" s="528">
        <v>0</v>
      </c>
      <c r="AV36" s="528">
        <v>0</v>
      </c>
      <c r="AW36" s="528">
        <v>0</v>
      </c>
      <c r="AX36" s="528">
        <v>0</v>
      </c>
      <c r="AY36" s="528">
        <v>0</v>
      </c>
      <c r="AZ36" s="528"/>
      <c r="BA36" s="528" t="s">
        <v>1278</v>
      </c>
      <c r="BB36" s="528"/>
      <c r="BC36" s="528" t="s">
        <v>1278</v>
      </c>
      <c r="BD36" s="528"/>
      <c r="BE36" s="528"/>
      <c r="BF36" s="528"/>
      <c r="BG36" s="529"/>
      <c r="BH36" s="525"/>
      <c r="BI36" s="528"/>
      <c r="BJ36" s="528" t="s">
        <v>4</v>
      </c>
      <c r="BK36" s="528">
        <v>1</v>
      </c>
      <c r="BL36" s="529"/>
      <c r="BM36" s="567" t="s">
        <v>430</v>
      </c>
      <c r="BN36" s="525" t="s">
        <v>368</v>
      </c>
    </row>
    <row r="37" spans="1:66" ht="13" customHeight="1" x14ac:dyDescent="0.2">
      <c r="A37" s="525">
        <v>2549</v>
      </c>
      <c r="B37" s="565">
        <v>44455</v>
      </c>
      <c r="C37" s="526" t="s">
        <v>295</v>
      </c>
      <c r="D37" s="525" t="s">
        <v>1109</v>
      </c>
      <c r="E37" s="527">
        <v>44305</v>
      </c>
      <c r="F37" s="529" t="s">
        <v>1052</v>
      </c>
      <c r="G37" s="525" t="s">
        <v>1181</v>
      </c>
      <c r="H37" s="532">
        <v>49.4</v>
      </c>
      <c r="I37" s="531" t="s">
        <v>296</v>
      </c>
      <c r="J37" s="485">
        <v>1645</v>
      </c>
      <c r="K37" s="485">
        <v>3000</v>
      </c>
      <c r="L37" s="485">
        <v>3000</v>
      </c>
      <c r="M37" s="485">
        <v>3000</v>
      </c>
      <c r="N37" s="525"/>
      <c r="O37" s="532">
        <v>2.4090909090909087</v>
      </c>
      <c r="P37" s="532">
        <v>1.9636363636363636</v>
      </c>
      <c r="Q37" s="532">
        <v>0</v>
      </c>
      <c r="R37" s="532">
        <v>0</v>
      </c>
      <c r="S37" s="532">
        <v>1.6727272727272726</v>
      </c>
      <c r="T37" s="533"/>
      <c r="U37" s="532">
        <v>2.4090909090909087</v>
      </c>
      <c r="V37" s="532">
        <v>1.9636363636363636</v>
      </c>
      <c r="W37" s="532">
        <v>0</v>
      </c>
      <c r="X37" s="532">
        <v>0</v>
      </c>
      <c r="Y37" s="532">
        <v>1.6727272727272726</v>
      </c>
      <c r="Z37" s="533"/>
      <c r="AA37" s="533"/>
      <c r="AB37" s="533"/>
      <c r="AC37" s="533"/>
      <c r="AD37" s="533"/>
      <c r="AE37" s="533"/>
      <c r="AF37" s="533"/>
      <c r="AG37" s="528" t="s">
        <v>1278</v>
      </c>
      <c r="AH37" s="528"/>
      <c r="AI37" s="528">
        <v>3</v>
      </c>
      <c r="AJ37" s="528">
        <v>3</v>
      </c>
      <c r="AK37" s="480">
        <v>0.5</v>
      </c>
      <c r="AL37" s="480">
        <v>0.5</v>
      </c>
      <c r="AM37" s="525"/>
      <c r="AN37" s="528">
        <v>0</v>
      </c>
      <c r="AO37" s="528">
        <v>0</v>
      </c>
      <c r="AP37" s="528">
        <v>0</v>
      </c>
      <c r="AQ37" s="528">
        <v>0</v>
      </c>
      <c r="AR37" s="528">
        <v>0</v>
      </c>
      <c r="AS37" s="528">
        <v>0</v>
      </c>
      <c r="AT37" s="528">
        <v>0</v>
      </c>
      <c r="AU37" s="528">
        <v>0</v>
      </c>
      <c r="AV37" s="528">
        <v>0</v>
      </c>
      <c r="AW37" s="528">
        <v>0</v>
      </c>
      <c r="AX37" s="528">
        <v>0</v>
      </c>
      <c r="AY37" s="528">
        <v>0</v>
      </c>
      <c r="AZ37" s="528"/>
      <c r="BA37" s="528" t="s">
        <v>1278</v>
      </c>
      <c r="BB37" s="528"/>
      <c r="BC37" s="528" t="s">
        <v>1278</v>
      </c>
      <c r="BD37" s="528"/>
      <c r="BE37" s="528"/>
      <c r="BF37" s="528"/>
      <c r="BG37" s="529"/>
      <c r="BH37" s="525"/>
      <c r="BI37" s="528"/>
      <c r="BJ37" s="528" t="s">
        <v>4</v>
      </c>
      <c r="BK37" s="528"/>
      <c r="BL37" s="529"/>
      <c r="BM37" s="567" t="s">
        <v>1192</v>
      </c>
      <c r="BN37" s="525" t="s">
        <v>368</v>
      </c>
    </row>
    <row r="38" spans="1:66" ht="13" customHeight="1" x14ac:dyDescent="0.2">
      <c r="A38" s="525">
        <v>2115</v>
      </c>
      <c r="B38" s="565">
        <v>44456</v>
      </c>
      <c r="C38" s="526" t="s">
        <v>295</v>
      </c>
      <c r="D38" s="525" t="s">
        <v>1109</v>
      </c>
      <c r="E38" s="527">
        <v>44448</v>
      </c>
      <c r="F38" s="529" t="s">
        <v>1054</v>
      </c>
      <c r="G38" s="525" t="s">
        <v>1157</v>
      </c>
      <c r="H38" s="532">
        <v>84.899999999999991</v>
      </c>
      <c r="I38" s="531" t="s">
        <v>296</v>
      </c>
      <c r="J38" s="485">
        <v>1645</v>
      </c>
      <c r="K38" s="485">
        <v>3000</v>
      </c>
      <c r="L38" s="485">
        <v>3000</v>
      </c>
      <c r="M38" s="485">
        <v>3000</v>
      </c>
      <c r="N38" s="525"/>
      <c r="O38" s="532">
        <v>3.3818181818181818</v>
      </c>
      <c r="P38" s="532">
        <v>2.6363636363636362</v>
      </c>
      <c r="Q38" s="532">
        <v>0</v>
      </c>
      <c r="R38" s="532">
        <v>0</v>
      </c>
      <c r="S38" s="532">
        <v>2.1181818181818182</v>
      </c>
      <c r="T38" s="533"/>
      <c r="U38" s="532">
        <v>3.3818181818181818</v>
      </c>
      <c r="V38" s="532">
        <v>2.6363636363636362</v>
      </c>
      <c r="W38" s="532">
        <v>0</v>
      </c>
      <c r="X38" s="532">
        <v>0</v>
      </c>
      <c r="Y38" s="532">
        <v>2.1181818181818182</v>
      </c>
      <c r="Z38" s="533"/>
      <c r="AA38" s="533"/>
      <c r="AB38" s="533"/>
      <c r="AC38" s="533"/>
      <c r="AD38" s="533"/>
      <c r="AE38" s="533"/>
      <c r="AF38" s="533"/>
      <c r="AG38" s="528" t="s">
        <v>1278</v>
      </c>
      <c r="AH38" s="525"/>
      <c r="AI38" s="528">
        <v>3</v>
      </c>
      <c r="AJ38" s="528">
        <v>3</v>
      </c>
      <c r="AK38" s="480">
        <v>0.5</v>
      </c>
      <c r="AL38" s="480">
        <v>0.5</v>
      </c>
      <c r="AM38" s="525"/>
      <c r="AN38" s="528">
        <v>26</v>
      </c>
      <c r="AO38" s="528">
        <v>0</v>
      </c>
      <c r="AP38" s="528">
        <v>0</v>
      </c>
      <c r="AQ38" s="528">
        <v>0</v>
      </c>
      <c r="AR38" s="528">
        <v>0</v>
      </c>
      <c r="AS38" s="528">
        <v>0</v>
      </c>
      <c r="AT38" s="528">
        <v>0</v>
      </c>
      <c r="AU38" s="528">
        <v>0</v>
      </c>
      <c r="AV38" s="528">
        <v>0</v>
      </c>
      <c r="AW38" s="528">
        <v>0</v>
      </c>
      <c r="AX38" s="528">
        <v>0</v>
      </c>
      <c r="AY38" s="528">
        <v>0</v>
      </c>
      <c r="AZ38" s="566">
        <v>12</v>
      </c>
      <c r="BA38" s="528" t="s">
        <v>1278</v>
      </c>
      <c r="BB38" s="528">
        <v>12</v>
      </c>
      <c r="BC38" s="528" t="s">
        <v>1278</v>
      </c>
      <c r="BD38" s="528"/>
      <c r="BE38" s="528">
        <v>12</v>
      </c>
      <c r="BF38" s="528"/>
      <c r="BG38" s="529"/>
      <c r="BH38" s="525"/>
      <c r="BI38" s="528"/>
      <c r="BJ38" s="528" t="s">
        <v>4</v>
      </c>
      <c r="BK38" s="528"/>
      <c r="BL38" s="529"/>
      <c r="BM38" s="569" t="s">
        <v>1577</v>
      </c>
      <c r="BN38" s="525" t="s">
        <v>408</v>
      </c>
    </row>
    <row r="39" spans="1:66" ht="13" customHeight="1" x14ac:dyDescent="0.2">
      <c r="A39" s="525">
        <v>2872</v>
      </c>
      <c r="B39" s="565">
        <v>44455</v>
      </c>
      <c r="C39" s="526" t="s">
        <v>295</v>
      </c>
      <c r="D39" s="525" t="s">
        <v>1109</v>
      </c>
      <c r="E39" s="527">
        <v>44378</v>
      </c>
      <c r="F39" s="529" t="s">
        <v>1055</v>
      </c>
      <c r="G39" s="525" t="s">
        <v>1105</v>
      </c>
      <c r="H39" s="532">
        <v>68.445454545454552</v>
      </c>
      <c r="I39" s="531" t="s">
        <v>296</v>
      </c>
      <c r="J39" s="485">
        <v>1645</v>
      </c>
      <c r="K39" s="485">
        <v>3000</v>
      </c>
      <c r="L39" s="485">
        <v>3000</v>
      </c>
      <c r="M39" s="485">
        <v>3000</v>
      </c>
      <c r="N39" s="525"/>
      <c r="O39" s="532">
        <v>2.0818181818181816</v>
      </c>
      <c r="P39" s="532">
        <v>1.9818181818181817</v>
      </c>
      <c r="Q39" s="532">
        <v>0</v>
      </c>
      <c r="R39" s="532">
        <v>0</v>
      </c>
      <c r="S39" s="532">
        <v>1.8454545454545452</v>
      </c>
      <c r="T39" s="533"/>
      <c r="U39" s="532">
        <v>2.0818181818181816</v>
      </c>
      <c r="V39" s="532">
        <v>1.9818181818181817</v>
      </c>
      <c r="W39" s="532">
        <v>0</v>
      </c>
      <c r="X39" s="532">
        <v>0</v>
      </c>
      <c r="Y39" s="532">
        <v>1.8454545454545452</v>
      </c>
      <c r="Z39" s="533"/>
      <c r="AA39" s="533"/>
      <c r="AB39" s="533"/>
      <c r="AC39" s="533"/>
      <c r="AD39" s="533"/>
      <c r="AE39" s="533"/>
      <c r="AF39" s="533"/>
      <c r="AG39" s="528" t="s">
        <v>1278</v>
      </c>
      <c r="AH39" s="528"/>
      <c r="AI39" s="528">
        <v>3</v>
      </c>
      <c r="AJ39" s="528">
        <v>3</v>
      </c>
      <c r="AK39" s="480">
        <v>0.5</v>
      </c>
      <c r="AL39" s="480">
        <v>0.5</v>
      </c>
      <c r="AM39" s="525"/>
      <c r="AN39" s="528">
        <v>0</v>
      </c>
      <c r="AO39" s="528">
        <v>0</v>
      </c>
      <c r="AP39" s="528">
        <v>0</v>
      </c>
      <c r="AQ39" s="528">
        <v>0</v>
      </c>
      <c r="AR39" s="528">
        <v>0</v>
      </c>
      <c r="AS39" s="528">
        <v>0</v>
      </c>
      <c r="AT39" s="528">
        <v>0</v>
      </c>
      <c r="AU39" s="528">
        <v>0</v>
      </c>
      <c r="AV39" s="528">
        <v>0</v>
      </c>
      <c r="AW39" s="528">
        <v>0</v>
      </c>
      <c r="AX39" s="528">
        <v>0</v>
      </c>
      <c r="AY39" s="528">
        <v>0</v>
      </c>
      <c r="AZ39" s="528"/>
      <c r="BA39" s="528" t="s">
        <v>1278</v>
      </c>
      <c r="BB39" s="528"/>
      <c r="BC39" s="528" t="s">
        <v>1278</v>
      </c>
      <c r="BD39" s="528"/>
      <c r="BE39" s="528"/>
      <c r="BF39" s="564">
        <v>44926</v>
      </c>
      <c r="BG39" s="529"/>
      <c r="BH39" s="525"/>
      <c r="BI39" s="528"/>
      <c r="BJ39" s="528" t="s">
        <v>4</v>
      </c>
      <c r="BK39" s="528"/>
      <c r="BL39" s="529"/>
      <c r="BM39" s="567" t="s">
        <v>430</v>
      </c>
      <c r="BN39" s="525" t="s">
        <v>368</v>
      </c>
    </row>
    <row r="40" spans="1:66" ht="13" customHeight="1" x14ac:dyDescent="0.2">
      <c r="A40" s="525">
        <v>314</v>
      </c>
      <c r="B40" s="565">
        <v>44455</v>
      </c>
      <c r="C40" s="526" t="s">
        <v>295</v>
      </c>
      <c r="D40" s="525" t="s">
        <v>1109</v>
      </c>
      <c r="E40" s="527">
        <v>44287</v>
      </c>
      <c r="F40" s="525" t="s">
        <v>1057</v>
      </c>
      <c r="G40" s="525" t="s">
        <v>1181</v>
      </c>
      <c r="H40" s="532">
        <v>77.899999999999991</v>
      </c>
      <c r="I40" s="531" t="s">
        <v>296</v>
      </c>
      <c r="J40" s="485">
        <v>1645</v>
      </c>
      <c r="K40" s="485">
        <v>3000</v>
      </c>
      <c r="L40" s="485">
        <v>3000</v>
      </c>
      <c r="M40" s="485">
        <v>3000</v>
      </c>
      <c r="N40" s="525"/>
      <c r="O40" s="532">
        <v>2.2999999999999998</v>
      </c>
      <c r="P40" s="532">
        <v>2</v>
      </c>
      <c r="Q40" s="532">
        <v>0</v>
      </c>
      <c r="R40" s="532">
        <v>0</v>
      </c>
      <c r="S40" s="532">
        <v>1.7</v>
      </c>
      <c r="T40" s="533"/>
      <c r="U40" s="532">
        <v>2.5</v>
      </c>
      <c r="V40" s="532">
        <v>2.1999999999999997</v>
      </c>
      <c r="W40" s="532">
        <v>0</v>
      </c>
      <c r="X40" s="532">
        <v>0</v>
      </c>
      <c r="Y40" s="532">
        <v>2</v>
      </c>
      <c r="Z40" s="533"/>
      <c r="AA40" s="533"/>
      <c r="AB40" s="533"/>
      <c r="AC40" s="533"/>
      <c r="AD40" s="533"/>
      <c r="AE40" s="533"/>
      <c r="AF40" s="533"/>
      <c r="AG40" s="528" t="s">
        <v>297</v>
      </c>
      <c r="AH40" s="528" t="s">
        <v>298</v>
      </c>
      <c r="AI40" s="528">
        <v>2</v>
      </c>
      <c r="AJ40" s="528">
        <v>4</v>
      </c>
      <c r="AK40" s="483">
        <v>0.33329999999999999</v>
      </c>
      <c r="AL40" s="483">
        <v>0.66659999999999997</v>
      </c>
      <c r="AM40" s="525" t="s">
        <v>1124</v>
      </c>
      <c r="AN40" s="528">
        <v>0</v>
      </c>
      <c r="AO40" s="528">
        <v>0</v>
      </c>
      <c r="AP40" s="528">
        <v>0</v>
      </c>
      <c r="AQ40" s="528">
        <v>0</v>
      </c>
      <c r="AR40" s="528">
        <v>0</v>
      </c>
      <c r="AS40" s="528">
        <v>0</v>
      </c>
      <c r="AT40" s="528">
        <v>0</v>
      </c>
      <c r="AU40" s="528">
        <v>0</v>
      </c>
      <c r="AV40" s="528">
        <v>0</v>
      </c>
      <c r="AW40" s="528">
        <v>0</v>
      </c>
      <c r="AX40" s="528">
        <v>0</v>
      </c>
      <c r="AY40" s="528">
        <v>0</v>
      </c>
      <c r="AZ40" s="528"/>
      <c r="BA40" s="528" t="s">
        <v>1278</v>
      </c>
      <c r="BB40" s="528"/>
      <c r="BC40" s="528" t="s">
        <v>1278</v>
      </c>
      <c r="BD40" s="528"/>
      <c r="BE40" s="528"/>
      <c r="BF40" s="528"/>
      <c r="BG40" s="529"/>
      <c r="BH40" s="525"/>
      <c r="BI40" s="528"/>
      <c r="BJ40" s="528" t="s">
        <v>4</v>
      </c>
      <c r="BK40" s="528"/>
      <c r="BL40" s="297"/>
      <c r="BM40" t="s">
        <v>1578</v>
      </c>
      <c r="BN40" s="525" t="s">
        <v>368</v>
      </c>
    </row>
    <row r="41" spans="1:66" ht="13" customHeight="1" x14ac:dyDescent="0.2">
      <c r="A41" s="525">
        <v>2847</v>
      </c>
      <c r="B41" s="565">
        <v>44456</v>
      </c>
      <c r="C41" s="526" t="s">
        <v>295</v>
      </c>
      <c r="D41" s="525" t="s">
        <v>1109</v>
      </c>
      <c r="E41" s="527">
        <v>44319</v>
      </c>
      <c r="F41" s="529" t="s">
        <v>981</v>
      </c>
      <c r="G41" s="525" t="s">
        <v>1478</v>
      </c>
      <c r="H41" s="532">
        <v>61.272727272727273</v>
      </c>
      <c r="I41" s="531" t="s">
        <v>296</v>
      </c>
      <c r="J41" s="568">
        <v>6000</v>
      </c>
      <c r="K41" s="568">
        <v>12000</v>
      </c>
      <c r="L41" s="568">
        <v>12000</v>
      </c>
      <c r="M41" s="568">
        <v>12000</v>
      </c>
      <c r="N41" s="525"/>
      <c r="O41" s="532">
        <v>2.9090909090909092</v>
      </c>
      <c r="P41" s="532">
        <v>1.9272727272727272</v>
      </c>
      <c r="Q41" s="532">
        <v>0</v>
      </c>
      <c r="R41" s="532">
        <v>0</v>
      </c>
      <c r="S41" s="532">
        <v>1.6727272727272726</v>
      </c>
      <c r="T41" s="533"/>
      <c r="U41" s="532">
        <v>2.9090909090909092</v>
      </c>
      <c r="V41" s="532">
        <v>1.9272727272727272</v>
      </c>
      <c r="W41" s="532">
        <v>0</v>
      </c>
      <c r="X41" s="532">
        <v>0</v>
      </c>
      <c r="Y41" s="532">
        <v>1.6727272727272726</v>
      </c>
      <c r="Z41" s="533"/>
      <c r="AA41" s="533"/>
      <c r="AB41" s="533"/>
      <c r="AC41" s="533"/>
      <c r="AD41" s="533"/>
      <c r="AE41" s="533"/>
      <c r="AF41" s="533"/>
      <c r="AG41" s="528" t="s">
        <v>1278</v>
      </c>
      <c r="AH41" s="528"/>
      <c r="AI41" s="528">
        <v>3</v>
      </c>
      <c r="AJ41" s="528">
        <v>3</v>
      </c>
      <c r="AK41" s="480">
        <v>0.5</v>
      </c>
      <c r="AL41" s="480">
        <v>0.5</v>
      </c>
      <c r="AM41" s="525"/>
      <c r="AN41" s="528">
        <v>0</v>
      </c>
      <c r="AO41" s="528">
        <v>0</v>
      </c>
      <c r="AP41" s="528">
        <v>0</v>
      </c>
      <c r="AQ41" s="528">
        <v>0</v>
      </c>
      <c r="AR41" s="528">
        <v>0</v>
      </c>
      <c r="AS41" s="528">
        <v>0</v>
      </c>
      <c r="AT41" s="528">
        <v>0</v>
      </c>
      <c r="AU41" s="528">
        <v>0</v>
      </c>
      <c r="AV41" s="528">
        <v>0</v>
      </c>
      <c r="AW41" s="528">
        <v>0</v>
      </c>
      <c r="AX41" s="528">
        <v>0</v>
      </c>
      <c r="AY41" s="528">
        <v>0</v>
      </c>
      <c r="AZ41" s="528"/>
      <c r="BA41" s="528" t="s">
        <v>1278</v>
      </c>
      <c r="BB41" s="528">
        <v>12</v>
      </c>
      <c r="BC41" s="528" t="s">
        <v>1278</v>
      </c>
      <c r="BD41" s="528"/>
      <c r="BE41" s="528">
        <v>12</v>
      </c>
      <c r="BF41" s="528"/>
      <c r="BG41" s="529"/>
      <c r="BH41" s="525"/>
      <c r="BI41" s="528"/>
      <c r="BJ41" s="528" t="s">
        <v>4</v>
      </c>
      <c r="BK41" s="528"/>
      <c r="BL41" s="529"/>
      <c r="BM41" s="569" t="s">
        <v>430</v>
      </c>
      <c r="BN41" s="525" t="s">
        <v>368</v>
      </c>
    </row>
    <row r="42" spans="1:66" ht="13" customHeight="1" x14ac:dyDescent="0.2">
      <c r="A42" s="525">
        <v>2396</v>
      </c>
      <c r="B42" s="565">
        <v>44455</v>
      </c>
      <c r="C42" s="526" t="s">
        <v>295</v>
      </c>
      <c r="D42" s="525" t="s">
        <v>1109</v>
      </c>
      <c r="E42" s="570">
        <v>44197</v>
      </c>
      <c r="F42" s="529" t="s">
        <v>982</v>
      </c>
      <c r="G42" s="525" t="s">
        <v>1297</v>
      </c>
      <c r="H42" s="532">
        <v>65.518181818181802</v>
      </c>
      <c r="I42" s="531" t="s">
        <v>296</v>
      </c>
      <c r="J42" s="485">
        <v>1645</v>
      </c>
      <c r="K42" s="485">
        <v>3000</v>
      </c>
      <c r="L42" s="485">
        <v>3000</v>
      </c>
      <c r="M42" s="485">
        <v>3000</v>
      </c>
      <c r="N42" s="525"/>
      <c r="O42" s="532">
        <v>2.4090909090909087</v>
      </c>
      <c r="P42" s="532">
        <v>2.2909090909090906</v>
      </c>
      <c r="Q42" s="532">
        <v>0</v>
      </c>
      <c r="R42" s="532">
        <v>0</v>
      </c>
      <c r="S42" s="532">
        <v>1.7090909090909088</v>
      </c>
      <c r="T42" s="533"/>
      <c r="U42" s="532">
        <v>2.4090909090909087</v>
      </c>
      <c r="V42" s="532">
        <v>2.2909090909090906</v>
      </c>
      <c r="W42" s="532">
        <v>0</v>
      </c>
      <c r="X42" s="532">
        <v>0</v>
      </c>
      <c r="Y42" s="532">
        <v>1.7090909090909088</v>
      </c>
      <c r="Z42" s="533"/>
      <c r="AA42" s="533"/>
      <c r="AB42" s="533"/>
      <c r="AC42" s="533"/>
      <c r="AD42" s="533"/>
      <c r="AE42" s="533"/>
      <c r="AF42" s="533"/>
      <c r="AG42" s="528" t="s">
        <v>1278</v>
      </c>
      <c r="AH42" s="528"/>
      <c r="AI42" s="528">
        <v>3</v>
      </c>
      <c r="AJ42" s="528">
        <v>3</v>
      </c>
      <c r="AK42" s="480">
        <v>0.5</v>
      </c>
      <c r="AL42" s="480">
        <v>0.5</v>
      </c>
      <c r="AM42" s="525"/>
      <c r="AN42" s="528">
        <v>0</v>
      </c>
      <c r="AO42" s="528">
        <v>0</v>
      </c>
      <c r="AP42" s="528">
        <v>0</v>
      </c>
      <c r="AQ42" s="528">
        <v>0</v>
      </c>
      <c r="AR42" s="528">
        <v>0</v>
      </c>
      <c r="AS42" s="528">
        <v>0</v>
      </c>
      <c r="AT42" s="528">
        <v>0</v>
      </c>
      <c r="AU42" s="528">
        <v>0</v>
      </c>
      <c r="AV42" s="528">
        <v>0</v>
      </c>
      <c r="AW42" s="528">
        <v>0</v>
      </c>
      <c r="AX42" s="528">
        <v>0</v>
      </c>
      <c r="AY42" s="528">
        <v>0</v>
      </c>
      <c r="AZ42" s="528"/>
      <c r="BA42" s="528" t="s">
        <v>1278</v>
      </c>
      <c r="BB42" s="528"/>
      <c r="BC42" s="528" t="s">
        <v>1278</v>
      </c>
      <c r="BD42" s="528"/>
      <c r="BE42" s="528"/>
      <c r="BF42" s="528"/>
      <c r="BG42" s="529"/>
      <c r="BH42" s="525"/>
      <c r="BI42" s="528"/>
      <c r="BJ42" s="528" t="s">
        <v>4</v>
      </c>
      <c r="BK42" s="528"/>
      <c r="BL42" s="529"/>
      <c r="BM42" s="530" t="s">
        <v>1501</v>
      </c>
      <c r="BN42" s="525" t="s">
        <v>368</v>
      </c>
    </row>
    <row r="43" spans="1:66" ht="13" customHeight="1" x14ac:dyDescent="0.2">
      <c r="A43" s="525">
        <v>2953</v>
      </c>
      <c r="B43" s="565">
        <v>44456</v>
      </c>
      <c r="C43" s="526" t="s">
        <v>295</v>
      </c>
      <c r="D43" s="525" t="s">
        <v>1109</v>
      </c>
      <c r="E43" s="570">
        <v>44440</v>
      </c>
      <c r="F43" s="529" t="s">
        <v>984</v>
      </c>
      <c r="G43" s="525" t="s">
        <v>1405</v>
      </c>
      <c r="H43" s="532">
        <v>81.181818181818173</v>
      </c>
      <c r="I43" s="531" t="s">
        <v>296</v>
      </c>
      <c r="J43" s="485">
        <v>1645</v>
      </c>
      <c r="K43" s="485">
        <v>3000</v>
      </c>
      <c r="L43" s="485">
        <v>3000</v>
      </c>
      <c r="M43" s="485">
        <v>3000</v>
      </c>
      <c r="N43" s="525"/>
      <c r="O43" s="532">
        <v>2.7</v>
      </c>
      <c r="P43" s="532">
        <v>2.1909090909090909</v>
      </c>
      <c r="Q43" s="532">
        <v>0</v>
      </c>
      <c r="R43" s="532">
        <v>0</v>
      </c>
      <c r="S43" s="532">
        <v>1.8636363636363633</v>
      </c>
      <c r="T43" s="533"/>
      <c r="U43" s="532">
        <v>2.7</v>
      </c>
      <c r="V43" s="532">
        <v>2.1909090909090909</v>
      </c>
      <c r="W43" s="532">
        <v>0</v>
      </c>
      <c r="X43" s="532">
        <v>0</v>
      </c>
      <c r="Y43" s="532">
        <v>1.8636363636363633</v>
      </c>
      <c r="Z43" s="533"/>
      <c r="AA43" s="533"/>
      <c r="AB43" s="533"/>
      <c r="AC43" s="533"/>
      <c r="AD43" s="533"/>
      <c r="AE43" s="533"/>
      <c r="AF43" s="533"/>
      <c r="AG43" s="528" t="s">
        <v>1278</v>
      </c>
      <c r="AH43" s="528"/>
      <c r="AI43" s="528">
        <v>3</v>
      </c>
      <c r="AJ43" s="528">
        <v>3</v>
      </c>
      <c r="AK43" s="480">
        <v>0.5</v>
      </c>
      <c r="AL43" s="480">
        <v>0.5</v>
      </c>
      <c r="AM43" s="525"/>
      <c r="AN43" s="528">
        <v>16</v>
      </c>
      <c r="AO43" s="528">
        <v>0</v>
      </c>
      <c r="AP43" s="528">
        <v>0</v>
      </c>
      <c r="AQ43" s="528">
        <v>0</v>
      </c>
      <c r="AR43" s="528">
        <v>0</v>
      </c>
      <c r="AS43" s="528">
        <v>0</v>
      </c>
      <c r="AT43" s="528">
        <v>0</v>
      </c>
      <c r="AU43" s="528">
        <v>0</v>
      </c>
      <c r="AV43" s="528">
        <v>0</v>
      </c>
      <c r="AW43" s="528">
        <v>0</v>
      </c>
      <c r="AX43" s="528">
        <v>0</v>
      </c>
      <c r="AY43" s="528">
        <v>0</v>
      </c>
      <c r="AZ43" s="528"/>
      <c r="BA43" s="528" t="s">
        <v>1278</v>
      </c>
      <c r="BB43" s="528"/>
      <c r="BC43" s="528" t="s">
        <v>1278</v>
      </c>
      <c r="BD43" s="528"/>
      <c r="BE43" s="528"/>
      <c r="BF43" s="528"/>
      <c r="BG43" s="529"/>
      <c r="BH43" s="525"/>
      <c r="BI43" s="528"/>
      <c r="BJ43" s="528" t="s">
        <v>4</v>
      </c>
      <c r="BK43" s="528"/>
      <c r="BL43" s="529"/>
      <c r="BM43" s="529" t="s">
        <v>430</v>
      </c>
      <c r="BN43" s="525" t="s">
        <v>408</v>
      </c>
    </row>
    <row r="44" spans="1:66" ht="13" customHeight="1" x14ac:dyDescent="0.2">
      <c r="A44" s="525">
        <v>2643</v>
      </c>
      <c r="B44" s="565">
        <v>44455</v>
      </c>
      <c r="C44" s="526" t="s">
        <v>295</v>
      </c>
      <c r="D44" s="525" t="s">
        <v>1109</v>
      </c>
      <c r="E44" s="570">
        <v>44067</v>
      </c>
      <c r="F44" s="525" t="s">
        <v>985</v>
      </c>
      <c r="G44" s="525" t="s">
        <v>1570</v>
      </c>
      <c r="H44" s="532">
        <v>59.999999999999993</v>
      </c>
      <c r="I44" s="394" t="s">
        <v>296</v>
      </c>
      <c r="J44" s="485">
        <v>1645</v>
      </c>
      <c r="K44" s="485">
        <v>3000</v>
      </c>
      <c r="L44" s="485">
        <v>3000</v>
      </c>
      <c r="M44" s="485">
        <v>3000</v>
      </c>
      <c r="N44" s="332"/>
      <c r="O44" s="532">
        <v>2</v>
      </c>
      <c r="P44" s="532">
        <v>1.7999999999999998</v>
      </c>
      <c r="Q44" s="532">
        <v>0</v>
      </c>
      <c r="R44" s="532">
        <v>0</v>
      </c>
      <c r="S44" s="532">
        <v>1.4999999999999998</v>
      </c>
      <c r="T44" s="571"/>
      <c r="U44" s="532">
        <v>2</v>
      </c>
      <c r="V44" s="532">
        <v>1.7999999999999998</v>
      </c>
      <c r="W44" s="532">
        <v>0</v>
      </c>
      <c r="X44" s="532">
        <v>0</v>
      </c>
      <c r="Y44" s="532">
        <v>1.4999999999999998</v>
      </c>
      <c r="Z44" s="571"/>
      <c r="AA44" s="571"/>
      <c r="AB44" s="571"/>
      <c r="AC44" s="571"/>
      <c r="AD44" s="571"/>
      <c r="AE44" s="571"/>
      <c r="AF44" s="571"/>
      <c r="AG44" s="333" t="s">
        <v>1278</v>
      </c>
      <c r="AH44" s="333"/>
      <c r="AI44" s="528">
        <v>3</v>
      </c>
      <c r="AJ44" s="528">
        <v>3</v>
      </c>
      <c r="AK44" s="480">
        <v>0.5</v>
      </c>
      <c r="AL44" s="480">
        <v>0.5</v>
      </c>
      <c r="AM44" s="525"/>
      <c r="AN44" s="528">
        <v>0</v>
      </c>
      <c r="AO44" s="528">
        <v>0</v>
      </c>
      <c r="AP44" s="528">
        <v>0</v>
      </c>
      <c r="AQ44" s="528">
        <v>0</v>
      </c>
      <c r="AR44" s="528">
        <v>0</v>
      </c>
      <c r="AS44" s="528">
        <v>0</v>
      </c>
      <c r="AT44" s="528">
        <v>0</v>
      </c>
      <c r="AU44" s="528">
        <v>0</v>
      </c>
      <c r="AV44" s="528">
        <v>0</v>
      </c>
      <c r="AW44" s="528">
        <v>0</v>
      </c>
      <c r="AX44" s="528">
        <v>0</v>
      </c>
      <c r="AY44" s="528">
        <v>0</v>
      </c>
      <c r="AZ44" s="528"/>
      <c r="BA44" s="528" t="s">
        <v>1278</v>
      </c>
      <c r="BB44" s="528"/>
      <c r="BC44" s="528" t="s">
        <v>1278</v>
      </c>
      <c r="BD44" s="528"/>
      <c r="BE44" s="528"/>
      <c r="BF44" s="528"/>
      <c r="BG44" s="529"/>
      <c r="BH44" s="525"/>
      <c r="BI44" s="528"/>
      <c r="BJ44" s="528" t="s">
        <v>411</v>
      </c>
      <c r="BK44" s="528"/>
      <c r="BL44" s="529" t="s">
        <v>1571</v>
      </c>
      <c r="BM44" s="530" t="s">
        <v>1579</v>
      </c>
      <c r="BN44" s="525" t="s">
        <v>368</v>
      </c>
    </row>
    <row r="45" spans="1:66" ht="13" customHeight="1" x14ac:dyDescent="0.2">
      <c r="A45" s="525">
        <v>1684</v>
      </c>
      <c r="B45" s="565">
        <v>44456</v>
      </c>
      <c r="C45" s="526" t="s">
        <v>295</v>
      </c>
      <c r="D45" s="525" t="s">
        <v>1109</v>
      </c>
      <c r="E45" s="527">
        <v>44442</v>
      </c>
      <c r="F45" s="529" t="s">
        <v>1106</v>
      </c>
      <c r="G45" s="525" t="s">
        <v>2</v>
      </c>
      <c r="H45" s="532">
        <v>54.999999999999993</v>
      </c>
      <c r="I45" s="531" t="s">
        <v>296</v>
      </c>
      <c r="J45" s="525">
        <v>3000</v>
      </c>
      <c r="K45" s="525">
        <v>3000</v>
      </c>
      <c r="L45" s="525">
        <v>3000</v>
      </c>
      <c r="M45" s="525">
        <v>3000</v>
      </c>
      <c r="N45" s="525"/>
      <c r="O45" s="532">
        <v>1.7545454545454544</v>
      </c>
      <c r="P45" s="532">
        <v>0</v>
      </c>
      <c r="Q45" s="532">
        <v>0</v>
      </c>
      <c r="R45" s="532">
        <v>0</v>
      </c>
      <c r="S45" s="532">
        <v>1.6727272727272726</v>
      </c>
      <c r="T45" s="533"/>
      <c r="U45" s="532">
        <v>1.7545454545454544</v>
      </c>
      <c r="V45" s="532">
        <v>0</v>
      </c>
      <c r="W45" s="532">
        <v>0</v>
      </c>
      <c r="X45" s="532">
        <v>0</v>
      </c>
      <c r="Y45" s="532">
        <v>1.6727272727272726</v>
      </c>
      <c r="Z45" s="533"/>
      <c r="AA45" s="533"/>
      <c r="AB45" s="533"/>
      <c r="AC45" s="533"/>
      <c r="AD45" s="533"/>
      <c r="AE45" s="533"/>
      <c r="AF45" s="533"/>
      <c r="AG45" s="528" t="s">
        <v>1278</v>
      </c>
      <c r="AH45" s="528"/>
      <c r="AI45" s="528">
        <v>3</v>
      </c>
      <c r="AJ45" s="528">
        <v>3</v>
      </c>
      <c r="AK45" s="480">
        <v>0.5</v>
      </c>
      <c r="AL45" s="480">
        <v>0.5</v>
      </c>
      <c r="AM45" s="525"/>
      <c r="AN45" s="528">
        <v>0</v>
      </c>
      <c r="AO45" s="528">
        <v>0</v>
      </c>
      <c r="AP45" s="528">
        <v>0</v>
      </c>
      <c r="AQ45" s="528">
        <v>0</v>
      </c>
      <c r="AR45" s="528">
        <v>0</v>
      </c>
      <c r="AS45" s="528">
        <v>0</v>
      </c>
      <c r="AT45" s="528">
        <v>0</v>
      </c>
      <c r="AU45" s="528">
        <v>0</v>
      </c>
      <c r="AV45" s="528">
        <v>0</v>
      </c>
      <c r="AW45" s="528">
        <v>0</v>
      </c>
      <c r="AX45" s="528">
        <v>0</v>
      </c>
      <c r="AY45" s="528">
        <v>0</v>
      </c>
      <c r="AZ45" s="528"/>
      <c r="BA45" s="528" t="s">
        <v>1278</v>
      </c>
      <c r="BB45" s="528"/>
      <c r="BC45" s="528" t="s">
        <v>1278</v>
      </c>
      <c r="BD45" s="528"/>
      <c r="BE45" s="528"/>
      <c r="BF45" s="529"/>
      <c r="BG45" s="525"/>
      <c r="BH45" s="528"/>
      <c r="BI45" s="528"/>
      <c r="BJ45" s="528" t="s">
        <v>4</v>
      </c>
      <c r="BK45" s="528">
        <v>1</v>
      </c>
      <c r="BL45" s="525"/>
      <c r="BM45" s="530" t="s">
        <v>1580</v>
      </c>
      <c r="BN45" s="525" t="s">
        <v>408</v>
      </c>
    </row>
    <row r="46" spans="1:66" ht="13" customHeight="1" x14ac:dyDescent="0.2">
      <c r="A46" s="525">
        <v>2897</v>
      </c>
      <c r="B46" s="565">
        <v>44455</v>
      </c>
      <c r="C46" s="526" t="s">
        <v>295</v>
      </c>
      <c r="D46" s="525" t="s">
        <v>1109</v>
      </c>
      <c r="E46" s="527">
        <v>44228</v>
      </c>
      <c r="F46" s="525" t="s">
        <v>34</v>
      </c>
      <c r="G46" s="525" t="s">
        <v>1181</v>
      </c>
      <c r="H46" s="532">
        <v>67.909090909090907</v>
      </c>
      <c r="I46" s="394"/>
      <c r="J46" s="394"/>
      <c r="K46" s="394"/>
      <c r="L46" s="332"/>
      <c r="M46" s="332"/>
      <c r="N46" s="332"/>
      <c r="O46" s="532">
        <v>1.7545454545454544</v>
      </c>
      <c r="P46" s="532">
        <v>0</v>
      </c>
      <c r="Q46" s="532">
        <v>0</v>
      </c>
      <c r="R46" s="532">
        <v>0</v>
      </c>
      <c r="S46" s="532">
        <v>0</v>
      </c>
      <c r="T46" s="571"/>
      <c r="U46" s="532">
        <v>1.7545454545454544</v>
      </c>
      <c r="V46" s="532">
        <v>0</v>
      </c>
      <c r="W46" s="532">
        <v>0</v>
      </c>
      <c r="X46" s="532">
        <v>0</v>
      </c>
      <c r="Y46" s="532">
        <v>0</v>
      </c>
      <c r="Z46" s="571"/>
      <c r="AA46" s="571"/>
      <c r="AB46" s="571"/>
      <c r="AC46" s="571"/>
      <c r="AD46" s="571"/>
      <c r="AE46" s="571"/>
      <c r="AF46" s="571"/>
      <c r="AG46" s="333" t="s">
        <v>1278</v>
      </c>
      <c r="AH46" s="333"/>
      <c r="AI46" s="528">
        <v>3</v>
      </c>
      <c r="AJ46" s="528">
        <v>3</v>
      </c>
      <c r="AK46" s="480">
        <v>0.5</v>
      </c>
      <c r="AL46" s="480">
        <v>0.5</v>
      </c>
      <c r="AM46" s="525"/>
      <c r="AN46" s="528">
        <v>0</v>
      </c>
      <c r="AO46" s="528">
        <v>0</v>
      </c>
      <c r="AP46" s="528">
        <v>0</v>
      </c>
      <c r="AQ46" s="528">
        <v>0</v>
      </c>
      <c r="AR46" s="528">
        <v>0</v>
      </c>
      <c r="AS46" s="528">
        <v>0</v>
      </c>
      <c r="AT46" s="528">
        <v>0</v>
      </c>
      <c r="AU46" s="528">
        <v>0</v>
      </c>
      <c r="AV46" s="528">
        <v>0</v>
      </c>
      <c r="AW46" s="528">
        <v>0</v>
      </c>
      <c r="AX46" s="528">
        <v>0</v>
      </c>
      <c r="AY46" s="528">
        <v>0</v>
      </c>
      <c r="AZ46" s="528"/>
      <c r="BA46" s="528" t="s">
        <v>1278</v>
      </c>
      <c r="BB46" s="528"/>
      <c r="BC46" s="528" t="s">
        <v>1278</v>
      </c>
      <c r="BD46" s="528"/>
      <c r="BE46" s="528"/>
      <c r="BF46" s="528"/>
      <c r="BG46" s="529"/>
      <c r="BH46" s="525"/>
      <c r="BI46" s="528"/>
      <c r="BJ46" s="528" t="s">
        <v>411</v>
      </c>
      <c r="BK46" s="528"/>
      <c r="BL46" s="529" t="s">
        <v>1284</v>
      </c>
      <c r="BM46" s="569" t="s">
        <v>1557</v>
      </c>
      <c r="BN46" s="525" t="s">
        <v>368</v>
      </c>
    </row>
    <row r="47" spans="1:66" ht="13" customHeight="1" x14ac:dyDescent="0.2">
      <c r="A47" s="525">
        <v>2741</v>
      </c>
      <c r="B47" s="565">
        <v>44455</v>
      </c>
      <c r="C47" s="526" t="s">
        <v>295</v>
      </c>
      <c r="D47" s="525" t="s">
        <v>1109</v>
      </c>
      <c r="E47" s="527">
        <v>44197</v>
      </c>
      <c r="F47" s="525" t="s">
        <v>1274</v>
      </c>
      <c r="G47" s="525" t="s">
        <v>1467</v>
      </c>
      <c r="H47" s="532">
        <v>72.999999999999986</v>
      </c>
      <c r="I47" s="394" t="s">
        <v>296</v>
      </c>
      <c r="J47" s="485">
        <v>1645</v>
      </c>
      <c r="K47" s="485">
        <v>3000</v>
      </c>
      <c r="L47" s="485">
        <v>3000</v>
      </c>
      <c r="M47" s="485">
        <v>3000</v>
      </c>
      <c r="N47" s="332"/>
      <c r="O47" s="532">
        <v>2.7363636363636359</v>
      </c>
      <c r="P47" s="532">
        <v>2.418181818181818</v>
      </c>
      <c r="Q47" s="532">
        <v>0</v>
      </c>
      <c r="R47" s="532">
        <v>0</v>
      </c>
      <c r="S47" s="532">
        <v>2.0727272727272723</v>
      </c>
      <c r="T47" s="571"/>
      <c r="U47" s="532">
        <v>2.7363636363636359</v>
      </c>
      <c r="V47" s="532">
        <v>2.418181818181818</v>
      </c>
      <c r="W47" s="532">
        <v>0</v>
      </c>
      <c r="X47" s="532">
        <v>0</v>
      </c>
      <c r="Y47" s="532">
        <v>2.0727272727272723</v>
      </c>
      <c r="Z47" s="571"/>
      <c r="AA47" s="571"/>
      <c r="AB47" s="571"/>
      <c r="AC47" s="571"/>
      <c r="AD47" s="571"/>
      <c r="AE47" s="571"/>
      <c r="AF47" s="571"/>
      <c r="AG47" s="333" t="s">
        <v>1278</v>
      </c>
      <c r="AH47" s="333"/>
      <c r="AI47" s="528">
        <v>3</v>
      </c>
      <c r="AJ47" s="528">
        <v>3</v>
      </c>
      <c r="AK47" s="480">
        <v>0.5</v>
      </c>
      <c r="AL47" s="480">
        <v>0.5</v>
      </c>
      <c r="AM47" s="525"/>
      <c r="AN47" s="528">
        <v>0</v>
      </c>
      <c r="AO47" s="528">
        <v>12</v>
      </c>
      <c r="AP47" s="528">
        <v>0</v>
      </c>
      <c r="AQ47" s="528">
        <v>3</v>
      </c>
      <c r="AR47" s="528">
        <v>0</v>
      </c>
      <c r="AS47" s="528">
        <v>0</v>
      </c>
      <c r="AT47" s="528">
        <v>0</v>
      </c>
      <c r="AU47" s="528">
        <v>0</v>
      </c>
      <c r="AV47" s="528">
        <v>0</v>
      </c>
      <c r="AW47" s="528">
        <v>0</v>
      </c>
      <c r="AX47" s="528">
        <v>0</v>
      </c>
      <c r="AY47" s="528">
        <v>0</v>
      </c>
      <c r="AZ47" s="528"/>
      <c r="BA47" s="528" t="s">
        <v>1278</v>
      </c>
      <c r="BB47" s="528"/>
      <c r="BC47" s="528" t="s">
        <v>1278</v>
      </c>
      <c r="BD47" s="528"/>
      <c r="BE47" s="528"/>
      <c r="BF47" s="528"/>
      <c r="BG47" s="529"/>
      <c r="BH47" s="525"/>
      <c r="BI47" s="528"/>
      <c r="BJ47" s="528" t="s">
        <v>411</v>
      </c>
      <c r="BK47" s="528">
        <v>1</v>
      </c>
      <c r="BL47" s="529"/>
      <c r="BM47" s="530" t="s">
        <v>1493</v>
      </c>
      <c r="BN47" s="525" t="s">
        <v>368</v>
      </c>
    </row>
    <row r="48" spans="1:66" ht="13" customHeight="1" x14ac:dyDescent="0.2">
      <c r="A48" s="525">
        <v>2337</v>
      </c>
      <c r="B48" s="565">
        <v>44455</v>
      </c>
      <c r="C48" s="526" t="s">
        <v>295</v>
      </c>
      <c r="D48" s="525" t="s">
        <v>1109</v>
      </c>
      <c r="E48" s="570">
        <v>44228</v>
      </c>
      <c r="F48" s="525" t="s">
        <v>1291</v>
      </c>
      <c r="G48" s="525" t="s">
        <v>1181</v>
      </c>
      <c r="H48" s="532">
        <v>59.418181818181814</v>
      </c>
      <c r="I48" s="394"/>
      <c r="J48" s="409"/>
      <c r="K48" s="332"/>
      <c r="L48" s="332"/>
      <c r="M48" s="332"/>
      <c r="N48" s="332"/>
      <c r="O48" s="532">
        <v>1.8181818181818181</v>
      </c>
      <c r="P48" s="532">
        <v>0</v>
      </c>
      <c r="Q48" s="532">
        <v>0</v>
      </c>
      <c r="R48" s="532">
        <v>0</v>
      </c>
      <c r="S48" s="532">
        <v>0</v>
      </c>
      <c r="T48" s="571"/>
      <c r="U48" s="532">
        <v>1.8181818181818181</v>
      </c>
      <c r="V48" s="532">
        <v>0</v>
      </c>
      <c r="W48" s="532">
        <v>0</v>
      </c>
      <c r="X48" s="532">
        <v>0</v>
      </c>
      <c r="Y48" s="532">
        <v>0</v>
      </c>
      <c r="Z48" s="571"/>
      <c r="AA48" s="571"/>
      <c r="AB48" s="571"/>
      <c r="AC48" s="571"/>
      <c r="AD48" s="571"/>
      <c r="AE48" s="571"/>
      <c r="AF48" s="571"/>
      <c r="AG48" s="333" t="s">
        <v>1278</v>
      </c>
      <c r="AH48" s="333"/>
      <c r="AI48" s="528">
        <v>3</v>
      </c>
      <c r="AJ48" s="528">
        <v>3</v>
      </c>
      <c r="AK48" s="480">
        <v>0.5</v>
      </c>
      <c r="AL48" s="480">
        <v>0.5</v>
      </c>
      <c r="AM48" s="525"/>
      <c r="AN48" s="528">
        <v>0</v>
      </c>
      <c r="AO48" s="528">
        <v>0</v>
      </c>
      <c r="AP48" s="528">
        <v>0</v>
      </c>
      <c r="AQ48" s="528">
        <v>0</v>
      </c>
      <c r="AR48" s="528">
        <v>0</v>
      </c>
      <c r="AS48" s="528">
        <v>0</v>
      </c>
      <c r="AT48" s="528">
        <v>0</v>
      </c>
      <c r="AU48" s="528">
        <v>0</v>
      </c>
      <c r="AV48" s="528">
        <v>0</v>
      </c>
      <c r="AW48" s="528">
        <v>0</v>
      </c>
      <c r="AX48" s="528">
        <v>0</v>
      </c>
      <c r="AY48" s="528">
        <v>0</v>
      </c>
      <c r="AZ48" s="528"/>
      <c r="BA48" s="528" t="s">
        <v>1278</v>
      </c>
      <c r="BB48" s="528"/>
      <c r="BC48" s="528" t="s">
        <v>1278</v>
      </c>
      <c r="BD48" s="528"/>
      <c r="BE48" s="528"/>
      <c r="BF48" s="528"/>
      <c r="BG48" s="529"/>
      <c r="BH48" s="525"/>
      <c r="BI48" s="528"/>
      <c r="BJ48" s="528" t="s">
        <v>4</v>
      </c>
      <c r="BK48" s="528"/>
      <c r="BL48" s="529" t="s">
        <v>1284</v>
      </c>
      <c r="BM48" s="525" t="s">
        <v>1552</v>
      </c>
      <c r="BN48" s="525" t="s">
        <v>368</v>
      </c>
    </row>
    <row r="49" spans="1:66" ht="13" customHeight="1" x14ac:dyDescent="0.2">
      <c r="A49" s="525">
        <v>2932</v>
      </c>
      <c r="B49" s="565">
        <v>44456</v>
      </c>
      <c r="C49" s="526" t="s">
        <v>295</v>
      </c>
      <c r="D49" s="525" t="s">
        <v>1109</v>
      </c>
      <c r="E49" s="527">
        <v>44452</v>
      </c>
      <c r="F49" s="525" t="s">
        <v>1483</v>
      </c>
      <c r="G49" s="525" t="s">
        <v>1550</v>
      </c>
      <c r="H49" s="532">
        <v>80</v>
      </c>
      <c r="I49" s="531" t="s">
        <v>296</v>
      </c>
      <c r="J49" s="485">
        <v>1645</v>
      </c>
      <c r="K49" s="485">
        <v>3000</v>
      </c>
      <c r="L49" s="485">
        <v>3000</v>
      </c>
      <c r="M49" s="485">
        <v>3000</v>
      </c>
      <c r="N49" s="332"/>
      <c r="O49" s="532">
        <v>1.7818181818181817</v>
      </c>
      <c r="P49" s="532">
        <v>1.5636363636363635</v>
      </c>
      <c r="Q49" s="532">
        <v>0</v>
      </c>
      <c r="R49" s="532">
        <v>0</v>
      </c>
      <c r="S49" s="532">
        <v>1.3636363636363635</v>
      </c>
      <c r="T49" s="571"/>
      <c r="U49" s="532">
        <v>1.7818181818181817</v>
      </c>
      <c r="V49" s="532">
        <v>1.5636363636363635</v>
      </c>
      <c r="W49" s="532">
        <v>0</v>
      </c>
      <c r="X49" s="532">
        <v>0</v>
      </c>
      <c r="Y49" s="532">
        <v>1.3636363636363635</v>
      </c>
      <c r="Z49" s="571"/>
      <c r="AA49" s="571"/>
      <c r="AB49" s="571"/>
      <c r="AC49" s="571"/>
      <c r="AD49" s="571"/>
      <c r="AE49" s="571"/>
      <c r="AF49" s="571"/>
      <c r="AG49" s="333" t="s">
        <v>1278</v>
      </c>
      <c r="AH49" s="333"/>
      <c r="AI49" s="528">
        <v>3</v>
      </c>
      <c r="AJ49" s="528">
        <v>3</v>
      </c>
      <c r="AK49" s="480">
        <v>0.5</v>
      </c>
      <c r="AL49" s="480">
        <v>0.5</v>
      </c>
      <c r="AM49" s="525"/>
      <c r="AN49" s="528">
        <v>0</v>
      </c>
      <c r="AO49" s="528">
        <v>0</v>
      </c>
      <c r="AP49" s="528">
        <v>0</v>
      </c>
      <c r="AQ49" s="528">
        <v>0</v>
      </c>
      <c r="AR49" s="528">
        <v>0</v>
      </c>
      <c r="AS49" s="528">
        <v>0</v>
      </c>
      <c r="AT49" s="528">
        <v>0</v>
      </c>
      <c r="AU49" s="528">
        <v>0</v>
      </c>
      <c r="AV49" s="528">
        <v>0</v>
      </c>
      <c r="AW49" s="528">
        <v>0</v>
      </c>
      <c r="AX49" s="528">
        <v>0</v>
      </c>
      <c r="AY49" s="528">
        <v>0</v>
      </c>
      <c r="AZ49" s="528"/>
      <c r="BA49" s="528" t="s">
        <v>1278</v>
      </c>
      <c r="BB49" s="528"/>
      <c r="BC49" s="528" t="s">
        <v>1278</v>
      </c>
      <c r="BD49" s="528"/>
      <c r="BE49" s="528">
        <v>12</v>
      </c>
      <c r="BF49" s="564"/>
      <c r="BG49" s="529"/>
      <c r="BH49" s="525"/>
      <c r="BI49" s="528"/>
      <c r="BJ49" s="528" t="s">
        <v>4</v>
      </c>
      <c r="BK49" s="528"/>
      <c r="BL49" s="529"/>
      <c r="BM49" s="569" t="s">
        <v>430</v>
      </c>
      <c r="BN49" s="525" t="s">
        <v>408</v>
      </c>
    </row>
    <row r="50" spans="1:66" ht="13" customHeight="1" x14ac:dyDescent="0.2">
      <c r="A50" s="525">
        <v>3026</v>
      </c>
      <c r="B50" s="565">
        <v>44456</v>
      </c>
      <c r="C50" s="526" t="s">
        <v>295</v>
      </c>
      <c r="D50" s="525" t="s">
        <v>1110</v>
      </c>
      <c r="E50" s="527">
        <v>44378</v>
      </c>
      <c r="F50" s="529" t="s">
        <v>1044</v>
      </c>
      <c r="G50" s="525" t="s">
        <v>1562</v>
      </c>
      <c r="H50" s="532">
        <v>70.63636363636364</v>
      </c>
      <c r="I50" s="531" t="s">
        <v>296</v>
      </c>
      <c r="J50" s="485">
        <v>1645</v>
      </c>
      <c r="K50" s="485">
        <v>3000</v>
      </c>
      <c r="L50" s="485">
        <v>3000</v>
      </c>
      <c r="M50" s="485">
        <v>3000</v>
      </c>
      <c r="N50" s="525"/>
      <c r="O50" s="532">
        <v>2.5636363636363635</v>
      </c>
      <c r="P50" s="532">
        <v>2.336363636363636</v>
      </c>
      <c r="Q50" s="532">
        <v>0</v>
      </c>
      <c r="R50" s="532">
        <v>0</v>
      </c>
      <c r="S50" s="532">
        <v>1.7454545454545451</v>
      </c>
      <c r="T50" s="533"/>
      <c r="U50" s="532">
        <v>2.5636363636363635</v>
      </c>
      <c r="V50" s="532">
        <v>2.336363636363636</v>
      </c>
      <c r="W50" s="532">
        <v>0</v>
      </c>
      <c r="X50" s="532">
        <v>0</v>
      </c>
      <c r="Y50" s="532">
        <v>1.7454545454545451</v>
      </c>
      <c r="Z50" s="533"/>
      <c r="AA50" s="533"/>
      <c r="AB50" s="533"/>
      <c r="AC50" s="533"/>
      <c r="AD50" s="533"/>
      <c r="AE50" s="533"/>
      <c r="AF50" s="533"/>
      <c r="AG50" s="528" t="s">
        <v>1278</v>
      </c>
      <c r="AH50" s="528"/>
      <c r="AI50" s="528">
        <v>3</v>
      </c>
      <c r="AJ50" s="528">
        <v>3</v>
      </c>
      <c r="AK50" s="480">
        <v>0.5</v>
      </c>
      <c r="AL50" s="480">
        <v>0.5</v>
      </c>
      <c r="AM50" s="525"/>
      <c r="AN50" s="528">
        <v>0</v>
      </c>
      <c r="AO50" s="528">
        <v>0</v>
      </c>
      <c r="AP50" s="528">
        <v>0</v>
      </c>
      <c r="AQ50" s="528">
        <v>0</v>
      </c>
      <c r="AR50" s="528">
        <v>0</v>
      </c>
      <c r="AS50" s="528">
        <v>0</v>
      </c>
      <c r="AT50" s="528">
        <v>0</v>
      </c>
      <c r="AU50" s="528">
        <v>0</v>
      </c>
      <c r="AV50" s="528">
        <v>0</v>
      </c>
      <c r="AW50" s="528">
        <v>0</v>
      </c>
      <c r="AX50" s="528">
        <v>0</v>
      </c>
      <c r="AY50" s="528">
        <v>0</v>
      </c>
      <c r="AZ50" s="528"/>
      <c r="BA50" s="528" t="s">
        <v>1278</v>
      </c>
      <c r="BB50" s="528"/>
      <c r="BC50" s="528" t="s">
        <v>1278</v>
      </c>
      <c r="BD50" s="528"/>
      <c r="BE50" s="528"/>
      <c r="BF50" s="528"/>
      <c r="BG50" s="529"/>
      <c r="BH50" s="525"/>
      <c r="BI50" s="528"/>
      <c r="BJ50" s="528" t="s">
        <v>4</v>
      </c>
      <c r="BK50" s="528"/>
      <c r="BL50" s="529"/>
      <c r="BM50" s="567" t="s">
        <v>1581</v>
      </c>
      <c r="BN50" s="525" t="s">
        <v>368</v>
      </c>
    </row>
    <row r="51" spans="1:66" ht="13" customHeight="1" x14ac:dyDescent="0.2">
      <c r="A51" s="525">
        <v>2495</v>
      </c>
      <c r="B51" s="565">
        <v>44455</v>
      </c>
      <c r="C51" s="526" t="s">
        <v>295</v>
      </c>
      <c r="D51" s="525" t="s">
        <v>1110</v>
      </c>
      <c r="E51" s="527">
        <v>44326</v>
      </c>
      <c r="F51" s="529" t="s">
        <v>1046</v>
      </c>
      <c r="G51" s="525" t="s">
        <v>1280</v>
      </c>
      <c r="H51" s="532">
        <v>48.190909090909088</v>
      </c>
      <c r="I51" s="531" t="s">
        <v>296</v>
      </c>
      <c r="J51" s="485">
        <v>1645</v>
      </c>
      <c r="K51" s="485">
        <v>3000</v>
      </c>
      <c r="L51" s="485">
        <v>3000</v>
      </c>
      <c r="M51" s="485">
        <v>3000</v>
      </c>
      <c r="N51" s="525"/>
      <c r="O51" s="532">
        <v>2.3545454545454541</v>
      </c>
      <c r="P51" s="532">
        <v>1.9909090909090907</v>
      </c>
      <c r="Q51" s="532">
        <v>0</v>
      </c>
      <c r="R51" s="532">
        <v>0</v>
      </c>
      <c r="S51" s="532">
        <v>1.5272727272727271</v>
      </c>
      <c r="T51" s="533"/>
      <c r="U51" s="532">
        <v>2.3545454545454541</v>
      </c>
      <c r="V51" s="532">
        <v>1.9909090909090907</v>
      </c>
      <c r="W51" s="532">
        <v>0</v>
      </c>
      <c r="X51" s="532">
        <v>0</v>
      </c>
      <c r="Y51" s="532">
        <v>1.5272727272727271</v>
      </c>
      <c r="Z51" s="533"/>
      <c r="AA51" s="533"/>
      <c r="AB51" s="533"/>
      <c r="AC51" s="533"/>
      <c r="AD51" s="533"/>
      <c r="AE51" s="533"/>
      <c r="AF51" s="533"/>
      <c r="AG51" s="528" t="s">
        <v>1278</v>
      </c>
      <c r="AH51" s="528"/>
      <c r="AI51" s="528">
        <v>3</v>
      </c>
      <c r="AJ51" s="528">
        <v>3</v>
      </c>
      <c r="AK51" s="480">
        <v>0.5</v>
      </c>
      <c r="AL51" s="480">
        <v>0.5</v>
      </c>
      <c r="AM51" s="525"/>
      <c r="AN51" s="528">
        <v>0</v>
      </c>
      <c r="AO51" s="528">
        <v>0</v>
      </c>
      <c r="AP51" s="528">
        <v>0</v>
      </c>
      <c r="AQ51" s="528">
        <v>0</v>
      </c>
      <c r="AR51" s="528">
        <v>0</v>
      </c>
      <c r="AS51" s="528">
        <v>0</v>
      </c>
      <c r="AT51" s="528">
        <v>0</v>
      </c>
      <c r="AU51" s="528">
        <v>0</v>
      </c>
      <c r="AV51" s="528">
        <v>0</v>
      </c>
      <c r="AW51" s="528">
        <v>0</v>
      </c>
      <c r="AX51" s="528">
        <v>0</v>
      </c>
      <c r="AY51" s="528">
        <v>0</v>
      </c>
      <c r="AZ51" s="528"/>
      <c r="BA51" s="528" t="s">
        <v>1278</v>
      </c>
      <c r="BB51" s="528"/>
      <c r="BC51" s="528" t="s">
        <v>1278</v>
      </c>
      <c r="BD51" s="528"/>
      <c r="BE51" s="528"/>
      <c r="BF51" s="528"/>
      <c r="BG51" s="529"/>
      <c r="BH51" s="525"/>
      <c r="BI51" s="528"/>
      <c r="BJ51" s="528" t="s">
        <v>4</v>
      </c>
      <c r="BK51" s="528"/>
      <c r="BL51" s="529"/>
      <c r="BM51" s="569" t="s">
        <v>430</v>
      </c>
      <c r="BN51" s="525" t="s">
        <v>368</v>
      </c>
    </row>
    <row r="52" spans="1:66" ht="13" customHeight="1" x14ac:dyDescent="0.2">
      <c r="A52" s="525">
        <v>2961</v>
      </c>
      <c r="B52" s="565">
        <v>44455</v>
      </c>
      <c r="C52" s="526" t="s">
        <v>295</v>
      </c>
      <c r="D52" s="525" t="s">
        <v>1110</v>
      </c>
      <c r="E52" s="527">
        <v>44223</v>
      </c>
      <c r="F52" s="529" t="s">
        <v>1050</v>
      </c>
      <c r="G52" s="525" t="s">
        <v>1564</v>
      </c>
      <c r="H52" s="532">
        <v>75</v>
      </c>
      <c r="I52" s="531" t="s">
        <v>296</v>
      </c>
      <c r="J52" s="485">
        <v>1645</v>
      </c>
      <c r="K52" s="485">
        <v>3000</v>
      </c>
      <c r="L52" s="485">
        <v>3000</v>
      </c>
      <c r="M52" s="485">
        <v>3000</v>
      </c>
      <c r="N52" s="525"/>
      <c r="O52" s="532">
        <v>2.8181818181818179</v>
      </c>
      <c r="P52" s="532">
        <v>2.4727272727272727</v>
      </c>
      <c r="Q52" s="532">
        <v>0</v>
      </c>
      <c r="R52" s="532">
        <v>0</v>
      </c>
      <c r="S52" s="532">
        <v>1.9909090909090907</v>
      </c>
      <c r="T52" s="533"/>
      <c r="U52" s="532">
        <v>2.8181818181818179</v>
      </c>
      <c r="V52" s="532">
        <v>2.4727272727272727</v>
      </c>
      <c r="W52" s="532">
        <v>0</v>
      </c>
      <c r="X52" s="532">
        <v>0</v>
      </c>
      <c r="Y52" s="532">
        <v>1.9909090909090907</v>
      </c>
      <c r="Z52" s="533"/>
      <c r="AA52" s="533"/>
      <c r="AB52" s="533"/>
      <c r="AC52" s="533"/>
      <c r="AD52" s="533"/>
      <c r="AE52" s="533"/>
      <c r="AF52" s="533"/>
      <c r="AG52" s="528" t="s">
        <v>1278</v>
      </c>
      <c r="AH52" s="528"/>
      <c r="AI52" s="528">
        <v>3</v>
      </c>
      <c r="AJ52" s="528">
        <v>3</v>
      </c>
      <c r="AK52" s="480">
        <v>0.5</v>
      </c>
      <c r="AL52" s="480">
        <v>0.5</v>
      </c>
      <c r="AM52" s="525"/>
      <c r="AN52" s="528">
        <v>0</v>
      </c>
      <c r="AO52" s="528">
        <v>20</v>
      </c>
      <c r="AP52" s="528">
        <v>0</v>
      </c>
      <c r="AQ52" s="528">
        <v>0</v>
      </c>
      <c r="AR52" s="528">
        <v>0</v>
      </c>
      <c r="AS52" s="528">
        <v>0</v>
      </c>
      <c r="AT52" s="528">
        <v>0</v>
      </c>
      <c r="AU52" s="528">
        <v>0</v>
      </c>
      <c r="AV52" s="528">
        <v>0</v>
      </c>
      <c r="AW52" s="528">
        <v>0</v>
      </c>
      <c r="AX52" s="528">
        <v>0</v>
      </c>
      <c r="AY52" s="528">
        <v>0</v>
      </c>
      <c r="AZ52" s="528"/>
      <c r="BA52" s="528" t="s">
        <v>1278</v>
      </c>
      <c r="BB52" s="528"/>
      <c r="BC52" s="528" t="s">
        <v>1278</v>
      </c>
      <c r="BD52" s="528"/>
      <c r="BE52" s="528"/>
      <c r="BF52" s="528"/>
      <c r="BG52" s="529"/>
      <c r="BH52" s="525"/>
      <c r="BI52" s="528"/>
      <c r="BJ52" s="528" t="s">
        <v>4</v>
      </c>
      <c r="BK52" s="528">
        <v>1</v>
      </c>
      <c r="BL52" s="529"/>
      <c r="BM52" s="567" t="s">
        <v>430</v>
      </c>
      <c r="BN52" s="525" t="s">
        <v>368</v>
      </c>
    </row>
    <row r="53" spans="1:66" ht="13" customHeight="1" x14ac:dyDescent="0.2">
      <c r="A53" s="525">
        <v>2552</v>
      </c>
      <c r="B53" s="565">
        <v>44455</v>
      </c>
      <c r="C53" s="526" t="s">
        <v>295</v>
      </c>
      <c r="D53" s="525" t="s">
        <v>1110</v>
      </c>
      <c r="E53" s="527">
        <v>44305</v>
      </c>
      <c r="F53" s="525" t="s">
        <v>1052</v>
      </c>
      <c r="G53" s="525" t="s">
        <v>1181</v>
      </c>
      <c r="H53" s="532">
        <v>49.4</v>
      </c>
      <c r="I53" s="531" t="s">
        <v>296</v>
      </c>
      <c r="J53" s="485">
        <v>1645</v>
      </c>
      <c r="K53" s="485">
        <v>3000</v>
      </c>
      <c r="L53" s="485">
        <v>3000</v>
      </c>
      <c r="M53" s="485">
        <v>3000</v>
      </c>
      <c r="N53" s="332"/>
      <c r="O53" s="532">
        <v>2.5636363636363635</v>
      </c>
      <c r="P53" s="532">
        <v>2.0363636363636366</v>
      </c>
      <c r="Q53" s="532">
        <v>0</v>
      </c>
      <c r="R53" s="532">
        <v>0</v>
      </c>
      <c r="S53" s="532">
        <v>1.7</v>
      </c>
      <c r="T53" s="571"/>
      <c r="U53" s="532">
        <v>2.5636363636363635</v>
      </c>
      <c r="V53" s="532">
        <v>2.0363636363636366</v>
      </c>
      <c r="W53" s="532">
        <v>0</v>
      </c>
      <c r="X53" s="532">
        <v>0</v>
      </c>
      <c r="Y53" s="532">
        <v>1.7</v>
      </c>
      <c r="Z53" s="571"/>
      <c r="AA53" s="571"/>
      <c r="AB53" s="571"/>
      <c r="AC53" s="571"/>
      <c r="AD53" s="571"/>
      <c r="AE53" s="571"/>
      <c r="AF53" s="571"/>
      <c r="AG53" s="333" t="s">
        <v>1278</v>
      </c>
      <c r="AH53" s="333"/>
      <c r="AI53" s="528">
        <v>3</v>
      </c>
      <c r="AJ53" s="528">
        <v>3</v>
      </c>
      <c r="AK53" s="480">
        <v>0.5</v>
      </c>
      <c r="AL53" s="480">
        <v>0.5</v>
      </c>
      <c r="AM53" s="525"/>
      <c r="AN53" s="528">
        <v>0</v>
      </c>
      <c r="AO53" s="528">
        <v>0</v>
      </c>
      <c r="AP53" s="528">
        <v>0</v>
      </c>
      <c r="AQ53" s="528">
        <v>0</v>
      </c>
      <c r="AR53" s="528">
        <v>0</v>
      </c>
      <c r="AS53" s="528">
        <v>0</v>
      </c>
      <c r="AT53" s="528">
        <v>0</v>
      </c>
      <c r="AU53" s="528">
        <v>0</v>
      </c>
      <c r="AV53" s="528">
        <v>0</v>
      </c>
      <c r="AW53" s="528">
        <v>0</v>
      </c>
      <c r="AX53" s="528">
        <v>0</v>
      </c>
      <c r="AY53" s="528">
        <v>0</v>
      </c>
      <c r="AZ53" s="528"/>
      <c r="BA53" s="528" t="s">
        <v>1278</v>
      </c>
      <c r="BB53" s="528"/>
      <c r="BC53" s="528" t="s">
        <v>1278</v>
      </c>
      <c r="BD53" s="528"/>
      <c r="BE53" s="528"/>
      <c r="BF53" s="528"/>
      <c r="BG53" s="529"/>
      <c r="BH53" s="525"/>
      <c r="BI53" s="528"/>
      <c r="BJ53" s="528" t="s">
        <v>4</v>
      </c>
      <c r="BK53" s="528"/>
      <c r="BL53" s="529"/>
      <c r="BM53" s="567" t="s">
        <v>1214</v>
      </c>
      <c r="BN53" s="525" t="s">
        <v>368</v>
      </c>
    </row>
    <row r="54" spans="1:66" ht="13" customHeight="1" x14ac:dyDescent="0.2">
      <c r="A54" s="525">
        <v>2117</v>
      </c>
      <c r="B54" s="565">
        <v>44456</v>
      </c>
      <c r="C54" s="526" t="s">
        <v>295</v>
      </c>
      <c r="D54" s="525" t="s">
        <v>1110</v>
      </c>
      <c r="E54" s="527">
        <v>44448</v>
      </c>
      <c r="F54" s="529" t="s">
        <v>1054</v>
      </c>
      <c r="G54" s="525" t="s">
        <v>1157</v>
      </c>
      <c r="H54" s="532">
        <v>84.5</v>
      </c>
      <c r="I54" s="531" t="s">
        <v>296</v>
      </c>
      <c r="J54" s="485">
        <v>1645</v>
      </c>
      <c r="K54" s="485">
        <v>3000</v>
      </c>
      <c r="L54" s="485">
        <v>3000</v>
      </c>
      <c r="M54" s="485">
        <v>3000</v>
      </c>
      <c r="N54" s="525"/>
      <c r="O54" s="532">
        <v>3.4090909090909087</v>
      </c>
      <c r="P54" s="532">
        <v>2.5909090909090908</v>
      </c>
      <c r="Q54" s="532">
        <v>0</v>
      </c>
      <c r="R54" s="532">
        <v>0</v>
      </c>
      <c r="S54" s="532">
        <v>2.1181818181818182</v>
      </c>
      <c r="T54" s="533"/>
      <c r="U54" s="532">
        <v>3.4090909090909087</v>
      </c>
      <c r="V54" s="532">
        <v>2.5909090909090908</v>
      </c>
      <c r="W54" s="532">
        <v>0</v>
      </c>
      <c r="X54" s="532">
        <v>0</v>
      </c>
      <c r="Y54" s="532">
        <v>2.1181818181818182</v>
      </c>
      <c r="Z54" s="533"/>
      <c r="AA54" s="533"/>
      <c r="AB54" s="533"/>
      <c r="AC54" s="533"/>
      <c r="AD54" s="533"/>
      <c r="AE54" s="533"/>
      <c r="AF54" s="533"/>
      <c r="AG54" s="528" t="s">
        <v>1278</v>
      </c>
      <c r="AH54" s="525"/>
      <c r="AI54" s="528">
        <v>3</v>
      </c>
      <c r="AJ54" s="528">
        <v>3</v>
      </c>
      <c r="AK54" s="480">
        <v>0.5</v>
      </c>
      <c r="AL54" s="480">
        <v>0.5</v>
      </c>
      <c r="AM54" s="525"/>
      <c r="AN54" s="528">
        <v>26</v>
      </c>
      <c r="AO54" s="528">
        <v>0</v>
      </c>
      <c r="AP54" s="528">
        <v>0</v>
      </c>
      <c r="AQ54" s="528">
        <v>0</v>
      </c>
      <c r="AR54" s="528">
        <v>0</v>
      </c>
      <c r="AS54" s="528">
        <v>0</v>
      </c>
      <c r="AT54" s="528">
        <v>0</v>
      </c>
      <c r="AU54" s="528">
        <v>0</v>
      </c>
      <c r="AV54" s="528">
        <v>0</v>
      </c>
      <c r="AW54" s="528">
        <v>0</v>
      </c>
      <c r="AX54" s="528">
        <v>0</v>
      </c>
      <c r="AY54" s="528">
        <v>0</v>
      </c>
      <c r="AZ54" s="566">
        <v>12</v>
      </c>
      <c r="BA54" s="528" t="s">
        <v>1278</v>
      </c>
      <c r="BB54" s="528">
        <v>12</v>
      </c>
      <c r="BC54" s="528" t="s">
        <v>1278</v>
      </c>
      <c r="BD54" s="528"/>
      <c r="BE54" s="528">
        <v>12</v>
      </c>
      <c r="BF54" s="528"/>
      <c r="BG54" s="529"/>
      <c r="BH54" s="525"/>
      <c r="BI54" s="528"/>
      <c r="BJ54" s="528" t="s">
        <v>4</v>
      </c>
      <c r="BK54" s="528"/>
      <c r="BL54" s="529"/>
      <c r="BM54" s="569" t="s">
        <v>430</v>
      </c>
      <c r="BN54" s="525" t="s">
        <v>408</v>
      </c>
    </row>
    <row r="55" spans="1:66" ht="13" customHeight="1" x14ac:dyDescent="0.2">
      <c r="A55" s="525">
        <v>2870</v>
      </c>
      <c r="B55" s="565">
        <v>44455</v>
      </c>
      <c r="C55" s="526" t="s">
        <v>295</v>
      </c>
      <c r="D55" s="525" t="s">
        <v>1110</v>
      </c>
      <c r="E55" s="527">
        <v>44378</v>
      </c>
      <c r="F55" s="529" t="s">
        <v>1055</v>
      </c>
      <c r="G55" s="525" t="s">
        <v>1105</v>
      </c>
      <c r="H55" s="532">
        <v>68.900000000000006</v>
      </c>
      <c r="I55" s="531" t="s">
        <v>296</v>
      </c>
      <c r="J55" s="485">
        <v>1645</v>
      </c>
      <c r="K55" s="485">
        <v>3000</v>
      </c>
      <c r="L55" s="485">
        <v>3000</v>
      </c>
      <c r="M55" s="485">
        <v>3000</v>
      </c>
      <c r="N55" s="525"/>
      <c r="O55" s="532">
        <v>2.0818181818181816</v>
      </c>
      <c r="P55" s="532">
        <v>1.9818181818181817</v>
      </c>
      <c r="Q55" s="532">
        <v>0</v>
      </c>
      <c r="R55" s="532">
        <v>0</v>
      </c>
      <c r="S55" s="532">
        <v>1.8454545454545452</v>
      </c>
      <c r="T55" s="533"/>
      <c r="U55" s="532">
        <v>2.0818181818181816</v>
      </c>
      <c r="V55" s="532">
        <v>1.9818181818181817</v>
      </c>
      <c r="W55" s="532">
        <v>0</v>
      </c>
      <c r="X55" s="532">
        <v>0</v>
      </c>
      <c r="Y55" s="532">
        <v>1.8454545454545452</v>
      </c>
      <c r="Z55" s="533"/>
      <c r="AA55" s="533"/>
      <c r="AB55" s="533"/>
      <c r="AC55" s="533"/>
      <c r="AD55" s="533"/>
      <c r="AE55" s="533"/>
      <c r="AF55" s="533"/>
      <c r="AG55" s="528" t="s">
        <v>1278</v>
      </c>
      <c r="AH55" s="528"/>
      <c r="AI55" s="528">
        <v>3</v>
      </c>
      <c r="AJ55" s="528">
        <v>3</v>
      </c>
      <c r="AK55" s="480">
        <v>0.5</v>
      </c>
      <c r="AL55" s="480">
        <v>0.5</v>
      </c>
      <c r="AM55" s="525"/>
      <c r="AN55" s="528">
        <v>0</v>
      </c>
      <c r="AO55" s="528">
        <v>0</v>
      </c>
      <c r="AP55" s="528">
        <v>0</v>
      </c>
      <c r="AQ55" s="528">
        <v>0</v>
      </c>
      <c r="AR55" s="528">
        <v>0</v>
      </c>
      <c r="AS55" s="528">
        <v>0</v>
      </c>
      <c r="AT55" s="528">
        <v>0</v>
      </c>
      <c r="AU55" s="528">
        <v>0</v>
      </c>
      <c r="AV55" s="528">
        <v>0</v>
      </c>
      <c r="AW55" s="528">
        <v>0</v>
      </c>
      <c r="AX55" s="528">
        <v>0</v>
      </c>
      <c r="AY55" s="528">
        <v>0</v>
      </c>
      <c r="AZ55" s="528"/>
      <c r="BA55" s="528" t="s">
        <v>1278</v>
      </c>
      <c r="BB55" s="528"/>
      <c r="BC55" s="528" t="s">
        <v>1278</v>
      </c>
      <c r="BD55" s="528"/>
      <c r="BE55" s="528"/>
      <c r="BF55" s="564">
        <v>44926</v>
      </c>
      <c r="BG55" s="529"/>
      <c r="BH55" s="525"/>
      <c r="BI55" s="528"/>
      <c r="BJ55" s="528" t="s">
        <v>4</v>
      </c>
      <c r="BK55" s="528"/>
      <c r="BL55" s="529"/>
      <c r="BM55" s="569" t="s">
        <v>1582</v>
      </c>
      <c r="BN55" s="525" t="s">
        <v>368</v>
      </c>
    </row>
    <row r="56" spans="1:66" ht="13" customHeight="1" x14ac:dyDescent="0.2">
      <c r="A56" s="525">
        <v>316</v>
      </c>
      <c r="B56" s="565">
        <v>44455</v>
      </c>
      <c r="C56" s="526" t="s">
        <v>295</v>
      </c>
      <c r="D56" s="525" t="s">
        <v>1110</v>
      </c>
      <c r="E56" s="527">
        <v>44287</v>
      </c>
      <c r="F56" s="525" t="s">
        <v>1057</v>
      </c>
      <c r="G56" s="525" t="s">
        <v>1181</v>
      </c>
      <c r="H56" s="532">
        <v>79.2</v>
      </c>
      <c r="I56" s="531" t="s">
        <v>296</v>
      </c>
      <c r="J56" s="485">
        <v>1645</v>
      </c>
      <c r="K56" s="485">
        <v>3000</v>
      </c>
      <c r="L56" s="485">
        <v>3000</v>
      </c>
      <c r="M56" s="485">
        <v>3000</v>
      </c>
      <c r="N56" s="525"/>
      <c r="O56" s="532">
        <v>2.5999999999999996</v>
      </c>
      <c r="P56" s="532">
        <v>2.1999999999999997</v>
      </c>
      <c r="Q56" s="532">
        <v>0</v>
      </c>
      <c r="R56" s="532">
        <v>0</v>
      </c>
      <c r="S56" s="532">
        <v>1.8999999999999997</v>
      </c>
      <c r="T56" s="533"/>
      <c r="U56" s="532">
        <v>2.4</v>
      </c>
      <c r="V56" s="532">
        <v>2</v>
      </c>
      <c r="W56" s="532">
        <v>0</v>
      </c>
      <c r="X56" s="532">
        <v>0</v>
      </c>
      <c r="Y56" s="532">
        <v>1.7</v>
      </c>
      <c r="Z56" s="533"/>
      <c r="AA56" s="533"/>
      <c r="AB56" s="533"/>
      <c r="AC56" s="533"/>
      <c r="AD56" s="533"/>
      <c r="AE56" s="533"/>
      <c r="AF56" s="533"/>
      <c r="AG56" s="528" t="s">
        <v>297</v>
      </c>
      <c r="AH56" s="528" t="s">
        <v>298</v>
      </c>
      <c r="AI56" s="528">
        <v>2</v>
      </c>
      <c r="AJ56" s="528">
        <v>4</v>
      </c>
      <c r="AK56" s="483">
        <v>0.33329999999999999</v>
      </c>
      <c r="AL56" s="483">
        <v>0.66659999999999997</v>
      </c>
      <c r="AM56" s="525" t="s">
        <v>1124</v>
      </c>
      <c r="AN56" s="528">
        <v>0</v>
      </c>
      <c r="AO56" s="528">
        <v>0</v>
      </c>
      <c r="AP56" s="528">
        <v>0</v>
      </c>
      <c r="AQ56" s="528">
        <v>0</v>
      </c>
      <c r="AR56" s="528">
        <v>0</v>
      </c>
      <c r="AS56" s="528">
        <v>0</v>
      </c>
      <c r="AT56" s="528">
        <v>0</v>
      </c>
      <c r="AU56" s="528">
        <v>0</v>
      </c>
      <c r="AV56" s="528">
        <v>0</v>
      </c>
      <c r="AW56" s="528">
        <v>0</v>
      </c>
      <c r="AX56" s="528">
        <v>0</v>
      </c>
      <c r="AY56" s="528">
        <v>0</v>
      </c>
      <c r="AZ56" s="528"/>
      <c r="BA56" s="528" t="s">
        <v>1278</v>
      </c>
      <c r="BB56" s="528"/>
      <c r="BC56" s="528" t="s">
        <v>1278</v>
      </c>
      <c r="BD56" s="528"/>
      <c r="BE56" s="528"/>
      <c r="BF56" s="528"/>
      <c r="BG56" s="529"/>
      <c r="BH56" s="525"/>
      <c r="BI56" s="528"/>
      <c r="BJ56" s="528" t="s">
        <v>4</v>
      </c>
      <c r="BK56" s="528"/>
      <c r="BL56" s="297"/>
      <c r="BM56" t="s">
        <v>1583</v>
      </c>
      <c r="BN56" s="525" t="s">
        <v>368</v>
      </c>
    </row>
    <row r="57" spans="1:66" ht="13" customHeight="1" x14ac:dyDescent="0.2">
      <c r="A57" s="525">
        <v>2845</v>
      </c>
      <c r="B57" s="565">
        <v>44456</v>
      </c>
      <c r="C57" s="526" t="s">
        <v>295</v>
      </c>
      <c r="D57" s="525" t="s">
        <v>1110</v>
      </c>
      <c r="E57" s="527">
        <v>44319</v>
      </c>
      <c r="F57" s="529" t="s">
        <v>981</v>
      </c>
      <c r="G57" s="525" t="s">
        <v>1478</v>
      </c>
      <c r="H57" s="532">
        <v>61.272727272727273</v>
      </c>
      <c r="I57" s="531" t="s">
        <v>296</v>
      </c>
      <c r="J57" s="568">
        <v>6000</v>
      </c>
      <c r="K57" s="568">
        <v>12000</v>
      </c>
      <c r="L57" s="568">
        <v>12000</v>
      </c>
      <c r="M57" s="568">
        <v>12000</v>
      </c>
      <c r="N57" s="525"/>
      <c r="O57" s="532">
        <v>2.9090909090909092</v>
      </c>
      <c r="P57" s="532">
        <v>1.9272727272727272</v>
      </c>
      <c r="Q57" s="532">
        <v>0</v>
      </c>
      <c r="R57" s="532">
        <v>0</v>
      </c>
      <c r="S57" s="532">
        <v>1.6727272727272726</v>
      </c>
      <c r="T57" s="533"/>
      <c r="U57" s="532">
        <v>2.9090909090909092</v>
      </c>
      <c r="V57" s="532">
        <v>1.9272727272727272</v>
      </c>
      <c r="W57" s="532">
        <v>0</v>
      </c>
      <c r="X57" s="532">
        <v>0</v>
      </c>
      <c r="Y57" s="532">
        <v>1.6727272727272726</v>
      </c>
      <c r="Z57" s="533"/>
      <c r="AA57" s="533"/>
      <c r="AB57" s="533"/>
      <c r="AC57" s="533"/>
      <c r="AD57" s="533"/>
      <c r="AE57" s="533"/>
      <c r="AF57" s="533"/>
      <c r="AG57" s="528" t="s">
        <v>1278</v>
      </c>
      <c r="AH57" s="528"/>
      <c r="AI57" s="528">
        <v>3</v>
      </c>
      <c r="AJ57" s="528">
        <v>3</v>
      </c>
      <c r="AK57" s="480">
        <v>0.5</v>
      </c>
      <c r="AL57" s="480">
        <v>0.5</v>
      </c>
      <c r="AM57" s="525"/>
      <c r="AN57" s="528">
        <v>0</v>
      </c>
      <c r="AO57" s="528">
        <v>0</v>
      </c>
      <c r="AP57" s="528">
        <v>0</v>
      </c>
      <c r="AQ57" s="528">
        <v>0</v>
      </c>
      <c r="AR57" s="528">
        <v>0</v>
      </c>
      <c r="AS57" s="528">
        <v>0</v>
      </c>
      <c r="AT57" s="528">
        <v>0</v>
      </c>
      <c r="AU57" s="528">
        <v>0</v>
      </c>
      <c r="AV57" s="528">
        <v>0</v>
      </c>
      <c r="AW57" s="528">
        <v>0</v>
      </c>
      <c r="AX57" s="528">
        <v>0</v>
      </c>
      <c r="AY57" s="528">
        <v>0</v>
      </c>
      <c r="AZ57" s="528"/>
      <c r="BA57" s="528" t="s">
        <v>1278</v>
      </c>
      <c r="BB57" s="528">
        <v>12</v>
      </c>
      <c r="BC57" s="528" t="s">
        <v>1278</v>
      </c>
      <c r="BD57" s="528"/>
      <c r="BE57" s="528">
        <v>12</v>
      </c>
      <c r="BF57" s="528"/>
      <c r="BG57" s="529"/>
      <c r="BH57" s="525"/>
      <c r="BI57" s="528"/>
      <c r="BJ57" s="528" t="s">
        <v>4</v>
      </c>
      <c r="BK57" s="528"/>
      <c r="BL57" s="529"/>
      <c r="BM57" s="569" t="s">
        <v>430</v>
      </c>
      <c r="BN57" s="525" t="s">
        <v>368</v>
      </c>
    </row>
    <row r="58" spans="1:66" ht="13" customHeight="1" x14ac:dyDescent="0.2">
      <c r="A58" s="525">
        <v>2398</v>
      </c>
      <c r="B58" s="565">
        <v>44455</v>
      </c>
      <c r="C58" s="526" t="s">
        <v>295</v>
      </c>
      <c r="D58" s="525" t="s">
        <v>1110</v>
      </c>
      <c r="E58" s="570">
        <v>44197</v>
      </c>
      <c r="F58" s="529" t="s">
        <v>982</v>
      </c>
      <c r="G58" s="525" t="s">
        <v>1297</v>
      </c>
      <c r="H58" s="532">
        <v>65.518181818181802</v>
      </c>
      <c r="I58" s="531" t="s">
        <v>296</v>
      </c>
      <c r="J58" s="485">
        <v>1645</v>
      </c>
      <c r="K58" s="485">
        <v>3000</v>
      </c>
      <c r="L58" s="485">
        <v>3000</v>
      </c>
      <c r="M58" s="485">
        <v>3000</v>
      </c>
      <c r="N58" s="525"/>
      <c r="O58" s="532">
        <v>2.4090909090909087</v>
      </c>
      <c r="P58" s="532">
        <v>2.2909090909090906</v>
      </c>
      <c r="Q58" s="532">
        <v>0</v>
      </c>
      <c r="R58" s="532">
        <v>0</v>
      </c>
      <c r="S58" s="532">
        <v>1.6454545454545453</v>
      </c>
      <c r="T58" s="533"/>
      <c r="U58" s="532">
        <v>2.4090909090909087</v>
      </c>
      <c r="V58" s="532">
        <v>2.2909090909090906</v>
      </c>
      <c r="W58" s="532">
        <v>0</v>
      </c>
      <c r="X58" s="532">
        <v>0</v>
      </c>
      <c r="Y58" s="532">
        <v>1.6454545454545453</v>
      </c>
      <c r="Z58" s="533"/>
      <c r="AA58" s="533"/>
      <c r="AB58" s="533"/>
      <c r="AC58" s="533"/>
      <c r="AD58" s="533"/>
      <c r="AE58" s="533"/>
      <c r="AF58" s="533"/>
      <c r="AG58" s="528" t="s">
        <v>1278</v>
      </c>
      <c r="AH58" s="528"/>
      <c r="AI58" s="528">
        <v>3</v>
      </c>
      <c r="AJ58" s="528">
        <v>3</v>
      </c>
      <c r="AK58" s="480">
        <v>0.5</v>
      </c>
      <c r="AL58" s="480">
        <v>0.5</v>
      </c>
      <c r="AM58" s="525"/>
      <c r="AN58" s="528">
        <v>0</v>
      </c>
      <c r="AO58" s="528">
        <v>0</v>
      </c>
      <c r="AP58" s="528">
        <v>0</v>
      </c>
      <c r="AQ58" s="528">
        <v>0</v>
      </c>
      <c r="AR58" s="528">
        <v>0</v>
      </c>
      <c r="AS58" s="528">
        <v>0</v>
      </c>
      <c r="AT58" s="528">
        <v>0</v>
      </c>
      <c r="AU58" s="528">
        <v>0</v>
      </c>
      <c r="AV58" s="528">
        <v>0</v>
      </c>
      <c r="AW58" s="528">
        <v>0</v>
      </c>
      <c r="AX58" s="528">
        <v>0</v>
      </c>
      <c r="AY58" s="528">
        <v>0</v>
      </c>
      <c r="AZ58" s="528"/>
      <c r="BA58" s="528" t="s">
        <v>1278</v>
      </c>
      <c r="BB58" s="528"/>
      <c r="BC58" s="528" t="s">
        <v>1278</v>
      </c>
      <c r="BD58" s="528"/>
      <c r="BE58" s="528"/>
      <c r="BF58" s="528"/>
      <c r="BG58" s="529"/>
      <c r="BH58" s="525"/>
      <c r="BI58" s="528"/>
      <c r="BJ58" s="528" t="s">
        <v>4</v>
      </c>
      <c r="BK58" s="528"/>
      <c r="BL58" s="529"/>
      <c r="BM58" s="530" t="s">
        <v>1510</v>
      </c>
      <c r="BN58" s="525" t="s">
        <v>368</v>
      </c>
    </row>
    <row r="59" spans="1:66" ht="13" customHeight="1" x14ac:dyDescent="0.2">
      <c r="A59" s="525">
        <v>2952</v>
      </c>
      <c r="B59" s="565">
        <v>44456</v>
      </c>
      <c r="C59" s="526" t="s">
        <v>295</v>
      </c>
      <c r="D59" s="525" t="s">
        <v>1110</v>
      </c>
      <c r="E59" s="570">
        <v>44440</v>
      </c>
      <c r="F59" s="529" t="s">
        <v>984</v>
      </c>
      <c r="G59" s="525" t="s">
        <v>1405</v>
      </c>
      <c r="H59" s="532">
        <v>69.899999999999991</v>
      </c>
      <c r="I59" s="531" t="s">
        <v>296</v>
      </c>
      <c r="J59" s="485">
        <v>1645</v>
      </c>
      <c r="K59" s="485">
        <v>3000</v>
      </c>
      <c r="L59" s="485">
        <v>3000</v>
      </c>
      <c r="M59" s="485">
        <v>3000</v>
      </c>
      <c r="N59" s="525"/>
      <c r="O59" s="532">
        <v>2.9727272727272727</v>
      </c>
      <c r="P59" s="532">
        <v>2.3545454545454541</v>
      </c>
      <c r="Q59" s="532">
        <v>0</v>
      </c>
      <c r="R59" s="532">
        <v>0</v>
      </c>
      <c r="S59" s="532">
        <v>1.9818181818181817</v>
      </c>
      <c r="T59" s="533"/>
      <c r="U59" s="532">
        <v>2.9727272727272727</v>
      </c>
      <c r="V59" s="532">
        <v>2.3545454545454541</v>
      </c>
      <c r="W59" s="532">
        <v>0</v>
      </c>
      <c r="X59" s="532">
        <v>0</v>
      </c>
      <c r="Y59" s="532">
        <v>1.9818181818181817</v>
      </c>
      <c r="Z59" s="533"/>
      <c r="AA59" s="533"/>
      <c r="AB59" s="533"/>
      <c r="AC59" s="533"/>
      <c r="AD59" s="533"/>
      <c r="AE59" s="533"/>
      <c r="AF59" s="533"/>
      <c r="AG59" s="528" t="s">
        <v>1278</v>
      </c>
      <c r="AH59" s="528"/>
      <c r="AI59" s="528">
        <v>3</v>
      </c>
      <c r="AJ59" s="528">
        <v>3</v>
      </c>
      <c r="AK59" s="480">
        <v>0.5</v>
      </c>
      <c r="AL59" s="480">
        <v>0.5</v>
      </c>
      <c r="AM59" s="525"/>
      <c r="AN59" s="528">
        <v>16</v>
      </c>
      <c r="AO59" s="528">
        <v>0</v>
      </c>
      <c r="AP59" s="528">
        <v>0</v>
      </c>
      <c r="AQ59" s="528">
        <v>0</v>
      </c>
      <c r="AR59" s="528">
        <v>0</v>
      </c>
      <c r="AS59" s="528">
        <v>0</v>
      </c>
      <c r="AT59" s="528">
        <v>0</v>
      </c>
      <c r="AU59" s="528">
        <v>0</v>
      </c>
      <c r="AV59" s="528">
        <v>0</v>
      </c>
      <c r="AW59" s="528">
        <v>0</v>
      </c>
      <c r="AX59" s="528">
        <v>0</v>
      </c>
      <c r="AY59" s="528">
        <v>0</v>
      </c>
      <c r="AZ59" s="528"/>
      <c r="BA59" s="528" t="s">
        <v>1278</v>
      </c>
      <c r="BB59" s="528"/>
      <c r="BC59" s="528" t="s">
        <v>1278</v>
      </c>
      <c r="BD59" s="528"/>
      <c r="BE59" s="528"/>
      <c r="BF59" s="528"/>
      <c r="BG59" s="529"/>
      <c r="BH59" s="525"/>
      <c r="BI59" s="528"/>
      <c r="BJ59" s="528" t="s">
        <v>4</v>
      </c>
      <c r="BK59" s="528"/>
      <c r="BL59" s="529"/>
      <c r="BM59" s="567" t="s">
        <v>1584</v>
      </c>
      <c r="BN59" s="525" t="s">
        <v>408</v>
      </c>
    </row>
    <row r="60" spans="1:66" ht="13" customHeight="1" x14ac:dyDescent="0.2">
      <c r="A60" s="525">
        <v>2641</v>
      </c>
      <c r="B60" s="565">
        <v>44455</v>
      </c>
      <c r="C60" s="526" t="s">
        <v>295</v>
      </c>
      <c r="D60" s="525" t="s">
        <v>1110</v>
      </c>
      <c r="E60" s="570">
        <v>44067</v>
      </c>
      <c r="F60" s="525" t="s">
        <v>985</v>
      </c>
      <c r="G60" s="525" t="s">
        <v>1570</v>
      </c>
      <c r="H60" s="532">
        <v>67.999999999999986</v>
      </c>
      <c r="I60" s="394" t="s">
        <v>296</v>
      </c>
      <c r="J60" s="485">
        <v>1645</v>
      </c>
      <c r="K60" s="485">
        <v>3000</v>
      </c>
      <c r="L60" s="485">
        <v>3000</v>
      </c>
      <c r="M60" s="485">
        <v>3000</v>
      </c>
      <c r="N60" s="332"/>
      <c r="O60" s="532">
        <v>1.8545454545454545</v>
      </c>
      <c r="P60" s="532">
        <v>1.7545454545454544</v>
      </c>
      <c r="Q60" s="532">
        <v>0</v>
      </c>
      <c r="R60" s="532">
        <v>0</v>
      </c>
      <c r="S60" s="532">
        <v>1.5999999999999999</v>
      </c>
      <c r="T60" s="571"/>
      <c r="U60" s="532">
        <v>1.8545454545454545</v>
      </c>
      <c r="V60" s="532">
        <v>1.7545454545454544</v>
      </c>
      <c r="W60" s="532">
        <v>0</v>
      </c>
      <c r="X60" s="532">
        <v>0</v>
      </c>
      <c r="Y60" s="532">
        <v>1.5999999999999999</v>
      </c>
      <c r="Z60" s="571"/>
      <c r="AA60" s="571"/>
      <c r="AB60" s="571"/>
      <c r="AC60" s="571"/>
      <c r="AD60" s="571"/>
      <c r="AE60" s="571"/>
      <c r="AF60" s="571"/>
      <c r="AG60" s="333" t="s">
        <v>1278</v>
      </c>
      <c r="AH60" s="333"/>
      <c r="AI60" s="528">
        <v>3</v>
      </c>
      <c r="AJ60" s="528">
        <v>3</v>
      </c>
      <c r="AK60" s="480">
        <v>0.5</v>
      </c>
      <c r="AL60" s="480">
        <v>0.5</v>
      </c>
      <c r="AM60" s="525"/>
      <c r="AN60" s="528">
        <v>0</v>
      </c>
      <c r="AO60" s="528">
        <v>0</v>
      </c>
      <c r="AP60" s="528">
        <v>0</v>
      </c>
      <c r="AQ60" s="528">
        <v>0</v>
      </c>
      <c r="AR60" s="528">
        <v>0</v>
      </c>
      <c r="AS60" s="528">
        <v>0</v>
      </c>
      <c r="AT60" s="528">
        <v>0</v>
      </c>
      <c r="AU60" s="528">
        <v>0</v>
      </c>
      <c r="AV60" s="528">
        <v>0</v>
      </c>
      <c r="AW60" s="528">
        <v>0</v>
      </c>
      <c r="AX60" s="528">
        <v>0</v>
      </c>
      <c r="AY60" s="528">
        <v>0</v>
      </c>
      <c r="AZ60" s="528"/>
      <c r="BA60" s="528" t="s">
        <v>1278</v>
      </c>
      <c r="BB60" s="528"/>
      <c r="BC60" s="528" t="s">
        <v>1278</v>
      </c>
      <c r="BD60" s="528"/>
      <c r="BE60" s="528"/>
      <c r="BF60" s="528"/>
      <c r="BG60" s="529"/>
      <c r="BH60" s="525"/>
      <c r="BI60" s="528"/>
      <c r="BJ60" s="528" t="s">
        <v>411</v>
      </c>
      <c r="BK60" s="528"/>
      <c r="BL60" s="529" t="s">
        <v>1571</v>
      </c>
      <c r="BM60" s="530" t="s">
        <v>1585</v>
      </c>
      <c r="BN60" s="525" t="s">
        <v>368</v>
      </c>
    </row>
    <row r="61" spans="1:66" ht="13" customHeight="1" x14ac:dyDescent="0.2">
      <c r="A61" s="525">
        <v>1686</v>
      </c>
      <c r="B61" s="565">
        <v>44456</v>
      </c>
      <c r="C61" s="526" t="s">
        <v>295</v>
      </c>
      <c r="D61" s="525" t="s">
        <v>1110</v>
      </c>
      <c r="E61" s="527">
        <v>44442</v>
      </c>
      <c r="F61" s="529" t="s">
        <v>1106</v>
      </c>
      <c r="G61" s="525" t="s">
        <v>2</v>
      </c>
      <c r="H61" s="532">
        <v>54.999999999999993</v>
      </c>
      <c r="I61" s="531" t="s">
        <v>296</v>
      </c>
      <c r="J61" s="525">
        <v>3000</v>
      </c>
      <c r="K61" s="525">
        <v>3000</v>
      </c>
      <c r="L61" s="525">
        <v>3000</v>
      </c>
      <c r="M61" s="525">
        <v>3000</v>
      </c>
      <c r="N61" s="525"/>
      <c r="O61" s="532">
        <v>1.8999999999999997</v>
      </c>
      <c r="P61" s="532">
        <v>0</v>
      </c>
      <c r="Q61" s="532">
        <v>0</v>
      </c>
      <c r="R61" s="532">
        <v>0</v>
      </c>
      <c r="S61" s="532">
        <v>1.4272727272727272</v>
      </c>
      <c r="T61" s="533"/>
      <c r="U61" s="532">
        <v>1.8999999999999997</v>
      </c>
      <c r="V61" s="532">
        <v>0</v>
      </c>
      <c r="W61" s="532">
        <v>0</v>
      </c>
      <c r="X61" s="532">
        <v>0</v>
      </c>
      <c r="Y61" s="532">
        <v>1.4272727272727272</v>
      </c>
      <c r="Z61" s="533"/>
      <c r="AA61" s="533"/>
      <c r="AB61" s="533"/>
      <c r="AC61" s="533"/>
      <c r="AD61" s="533"/>
      <c r="AE61" s="533"/>
      <c r="AF61" s="533"/>
      <c r="AG61" s="528" t="s">
        <v>1278</v>
      </c>
      <c r="AH61" s="528"/>
      <c r="AI61" s="528">
        <v>3</v>
      </c>
      <c r="AJ61" s="528">
        <v>3</v>
      </c>
      <c r="AK61" s="480">
        <v>0.5</v>
      </c>
      <c r="AL61" s="480">
        <v>0.5</v>
      </c>
      <c r="AM61" s="525"/>
      <c r="AN61" s="528">
        <v>0</v>
      </c>
      <c r="AO61" s="528">
        <v>0</v>
      </c>
      <c r="AP61" s="528">
        <v>0</v>
      </c>
      <c r="AQ61" s="528">
        <v>0</v>
      </c>
      <c r="AR61" s="528">
        <v>0</v>
      </c>
      <c r="AS61" s="528">
        <v>0</v>
      </c>
      <c r="AT61" s="528">
        <v>0</v>
      </c>
      <c r="AU61" s="528">
        <v>0</v>
      </c>
      <c r="AV61" s="528">
        <v>0</v>
      </c>
      <c r="AW61" s="528">
        <v>0</v>
      </c>
      <c r="AX61" s="528">
        <v>0</v>
      </c>
      <c r="AY61" s="528">
        <v>0</v>
      </c>
      <c r="AZ61" s="528"/>
      <c r="BA61" s="528" t="s">
        <v>1278</v>
      </c>
      <c r="BB61" s="528"/>
      <c r="BC61" s="528" t="s">
        <v>1278</v>
      </c>
      <c r="BD61" s="528"/>
      <c r="BE61" s="528"/>
      <c r="BF61" s="529"/>
      <c r="BG61" s="525"/>
      <c r="BH61" s="528"/>
      <c r="BI61" s="528"/>
      <c r="BJ61" s="528" t="s">
        <v>4</v>
      </c>
      <c r="BK61" s="528">
        <v>1</v>
      </c>
      <c r="BL61" s="525"/>
      <c r="BM61" s="530" t="s">
        <v>1586</v>
      </c>
      <c r="BN61" s="525" t="s">
        <v>408</v>
      </c>
    </row>
    <row r="62" spans="1:66" ht="13" customHeight="1" x14ac:dyDescent="0.2">
      <c r="A62" s="525">
        <v>2896</v>
      </c>
      <c r="B62" s="565">
        <v>44455</v>
      </c>
      <c r="C62" s="526" t="s">
        <v>295</v>
      </c>
      <c r="D62" s="525" t="s">
        <v>1110</v>
      </c>
      <c r="E62" s="527">
        <v>44228</v>
      </c>
      <c r="F62" s="525" t="s">
        <v>34</v>
      </c>
      <c r="G62" s="525" t="s">
        <v>1181</v>
      </c>
      <c r="H62" s="532">
        <v>67.909090909090907</v>
      </c>
      <c r="I62" s="394"/>
      <c r="J62" s="409"/>
      <c r="K62" s="332"/>
      <c r="L62" s="332"/>
      <c r="M62" s="332"/>
      <c r="N62" s="332"/>
      <c r="O62" s="532">
        <v>1.7999999999999998</v>
      </c>
      <c r="P62" s="532">
        <v>0</v>
      </c>
      <c r="Q62" s="532">
        <v>0</v>
      </c>
      <c r="R62" s="532">
        <v>0</v>
      </c>
      <c r="S62" s="532">
        <v>0</v>
      </c>
      <c r="T62" s="571"/>
      <c r="U62" s="532">
        <v>1.7999999999999998</v>
      </c>
      <c r="V62" s="532">
        <v>0</v>
      </c>
      <c r="W62" s="532">
        <v>0</v>
      </c>
      <c r="X62" s="532">
        <v>0</v>
      </c>
      <c r="Y62" s="532">
        <v>0</v>
      </c>
      <c r="Z62" s="571"/>
      <c r="AA62" s="571"/>
      <c r="AB62" s="571"/>
      <c r="AC62" s="571"/>
      <c r="AD62" s="571"/>
      <c r="AE62" s="571"/>
      <c r="AF62" s="571"/>
      <c r="AG62" s="333" t="s">
        <v>1278</v>
      </c>
      <c r="AH62" s="333"/>
      <c r="AI62" s="528">
        <v>3</v>
      </c>
      <c r="AJ62" s="528">
        <v>3</v>
      </c>
      <c r="AK62" s="480">
        <v>0.5</v>
      </c>
      <c r="AL62" s="480">
        <v>0.5</v>
      </c>
      <c r="AM62" s="525"/>
      <c r="AN62" s="528">
        <v>0</v>
      </c>
      <c r="AO62" s="528">
        <v>0</v>
      </c>
      <c r="AP62" s="528">
        <v>0</v>
      </c>
      <c r="AQ62" s="528">
        <v>0</v>
      </c>
      <c r="AR62" s="528">
        <v>0</v>
      </c>
      <c r="AS62" s="528">
        <v>0</v>
      </c>
      <c r="AT62" s="528">
        <v>0</v>
      </c>
      <c r="AU62" s="528">
        <v>0</v>
      </c>
      <c r="AV62" s="528">
        <v>0</v>
      </c>
      <c r="AW62" s="528">
        <v>0</v>
      </c>
      <c r="AX62" s="528">
        <v>0</v>
      </c>
      <c r="AY62" s="528">
        <v>0</v>
      </c>
      <c r="AZ62" s="528"/>
      <c r="BA62" s="528" t="s">
        <v>1278</v>
      </c>
      <c r="BB62" s="528"/>
      <c r="BC62" s="528" t="s">
        <v>1278</v>
      </c>
      <c r="BD62" s="528"/>
      <c r="BE62" s="528"/>
      <c r="BF62" s="528"/>
      <c r="BG62" s="529"/>
      <c r="BH62" s="525"/>
      <c r="BI62" s="528"/>
      <c r="BJ62" s="528" t="s">
        <v>411</v>
      </c>
      <c r="BK62" s="528"/>
      <c r="BL62" s="529" t="s">
        <v>1284</v>
      </c>
      <c r="BM62" s="569" t="s">
        <v>1558</v>
      </c>
      <c r="BN62" s="525" t="s">
        <v>368</v>
      </c>
    </row>
    <row r="63" spans="1:66" ht="13" customHeight="1" x14ac:dyDescent="0.2">
      <c r="A63" s="525">
        <v>2740</v>
      </c>
      <c r="B63" s="565">
        <v>44455</v>
      </c>
      <c r="C63" s="526" t="s">
        <v>295</v>
      </c>
      <c r="D63" s="525" t="s">
        <v>1110</v>
      </c>
      <c r="E63" s="527">
        <v>44197</v>
      </c>
      <c r="F63" s="525" t="s">
        <v>1274</v>
      </c>
      <c r="G63" s="525" t="s">
        <v>1467</v>
      </c>
      <c r="H63" s="532">
        <v>72.999999999999986</v>
      </c>
      <c r="I63" s="394" t="s">
        <v>296</v>
      </c>
      <c r="J63" s="485">
        <v>1645</v>
      </c>
      <c r="K63" s="485">
        <v>3000</v>
      </c>
      <c r="L63" s="485">
        <v>3000</v>
      </c>
      <c r="M63" s="485">
        <v>3000</v>
      </c>
      <c r="N63" s="332"/>
      <c r="O63" s="532">
        <v>2.7363636363636359</v>
      </c>
      <c r="P63" s="532">
        <v>2.418181818181818</v>
      </c>
      <c r="Q63" s="532">
        <v>0</v>
      </c>
      <c r="R63" s="532">
        <v>0</v>
      </c>
      <c r="S63" s="532">
        <v>2.0727272727272723</v>
      </c>
      <c r="T63" s="571"/>
      <c r="U63" s="532">
        <v>2.7363636363636359</v>
      </c>
      <c r="V63" s="532">
        <v>2.418181818181818</v>
      </c>
      <c r="W63" s="532">
        <v>0</v>
      </c>
      <c r="X63" s="532">
        <v>0</v>
      </c>
      <c r="Y63" s="532">
        <v>2.0727272727272723</v>
      </c>
      <c r="Z63" s="571"/>
      <c r="AA63" s="571"/>
      <c r="AB63" s="571"/>
      <c r="AC63" s="571"/>
      <c r="AD63" s="571"/>
      <c r="AE63" s="571"/>
      <c r="AF63" s="571"/>
      <c r="AG63" s="333" t="s">
        <v>1278</v>
      </c>
      <c r="AH63" s="333"/>
      <c r="AI63" s="528">
        <v>3</v>
      </c>
      <c r="AJ63" s="528">
        <v>3</v>
      </c>
      <c r="AK63" s="480">
        <v>0.5</v>
      </c>
      <c r="AL63" s="480">
        <v>0.5</v>
      </c>
      <c r="AM63" s="525"/>
      <c r="AN63" s="528">
        <v>0</v>
      </c>
      <c r="AO63" s="528">
        <v>12</v>
      </c>
      <c r="AP63" s="528">
        <v>0</v>
      </c>
      <c r="AQ63" s="528">
        <v>3</v>
      </c>
      <c r="AR63" s="528">
        <v>0</v>
      </c>
      <c r="AS63" s="528">
        <v>0</v>
      </c>
      <c r="AT63" s="528">
        <v>0</v>
      </c>
      <c r="AU63" s="528">
        <v>0</v>
      </c>
      <c r="AV63" s="528">
        <v>0</v>
      </c>
      <c r="AW63" s="528">
        <v>0</v>
      </c>
      <c r="AX63" s="528">
        <v>0</v>
      </c>
      <c r="AY63" s="528">
        <v>0</v>
      </c>
      <c r="AZ63" s="528"/>
      <c r="BA63" s="528" t="s">
        <v>1278</v>
      </c>
      <c r="BB63" s="528"/>
      <c r="BC63" s="528" t="s">
        <v>1278</v>
      </c>
      <c r="BD63" s="528"/>
      <c r="BE63" s="528"/>
      <c r="BF63" s="528"/>
      <c r="BG63" s="529"/>
      <c r="BH63" s="525"/>
      <c r="BI63" s="528"/>
      <c r="BJ63" s="528" t="s">
        <v>411</v>
      </c>
      <c r="BK63" s="528">
        <v>1</v>
      </c>
      <c r="BL63" s="529"/>
      <c r="BM63" s="530" t="s">
        <v>1469</v>
      </c>
      <c r="BN63" s="525" t="s">
        <v>368</v>
      </c>
    </row>
    <row r="64" spans="1:66" ht="13" customHeight="1" x14ac:dyDescent="0.2">
      <c r="A64" s="525">
        <v>2336</v>
      </c>
      <c r="B64" s="565">
        <v>44455</v>
      </c>
      <c r="C64" s="526" t="s">
        <v>295</v>
      </c>
      <c r="D64" s="525" t="s">
        <v>1110</v>
      </c>
      <c r="E64" s="570">
        <v>44228</v>
      </c>
      <c r="F64" s="525" t="s">
        <v>1291</v>
      </c>
      <c r="G64" s="525" t="s">
        <v>1181</v>
      </c>
      <c r="H64" s="532">
        <v>59.418181818181814</v>
      </c>
      <c r="I64" s="394"/>
      <c r="J64" s="409"/>
      <c r="K64" s="332"/>
      <c r="L64" s="332"/>
      <c r="M64" s="332"/>
      <c r="N64" s="332"/>
      <c r="O64" s="532">
        <v>1.9545454545454544</v>
      </c>
      <c r="P64" s="532">
        <v>0</v>
      </c>
      <c r="Q64" s="532">
        <v>0</v>
      </c>
      <c r="R64" s="532">
        <v>0</v>
      </c>
      <c r="S64" s="532">
        <v>0</v>
      </c>
      <c r="T64" s="571"/>
      <c r="U64" s="532">
        <v>1.9545454545454544</v>
      </c>
      <c r="V64" s="532">
        <v>0</v>
      </c>
      <c r="W64" s="532">
        <v>0</v>
      </c>
      <c r="X64" s="532">
        <v>0</v>
      </c>
      <c r="Y64" s="532">
        <v>0</v>
      </c>
      <c r="Z64" s="571"/>
      <c r="AA64" s="571"/>
      <c r="AB64" s="571"/>
      <c r="AC64" s="571"/>
      <c r="AD64" s="571"/>
      <c r="AE64" s="571"/>
      <c r="AF64" s="571"/>
      <c r="AG64" s="333" t="s">
        <v>1278</v>
      </c>
      <c r="AH64" s="333"/>
      <c r="AI64" s="528">
        <v>3</v>
      </c>
      <c r="AJ64" s="528">
        <v>3</v>
      </c>
      <c r="AK64" s="480">
        <v>0.5</v>
      </c>
      <c r="AL64" s="480">
        <v>0.5</v>
      </c>
      <c r="AM64" s="525"/>
      <c r="AN64" s="528">
        <v>0</v>
      </c>
      <c r="AO64" s="528">
        <v>0</v>
      </c>
      <c r="AP64" s="528">
        <v>0</v>
      </c>
      <c r="AQ64" s="528">
        <v>0</v>
      </c>
      <c r="AR64" s="528">
        <v>0</v>
      </c>
      <c r="AS64" s="528">
        <v>0</v>
      </c>
      <c r="AT64" s="528">
        <v>0</v>
      </c>
      <c r="AU64" s="528">
        <v>0</v>
      </c>
      <c r="AV64" s="528">
        <v>0</v>
      </c>
      <c r="AW64" s="528">
        <v>0</v>
      </c>
      <c r="AX64" s="528">
        <v>0</v>
      </c>
      <c r="AY64" s="528">
        <v>0</v>
      </c>
      <c r="AZ64" s="528"/>
      <c r="BA64" s="528" t="s">
        <v>1278</v>
      </c>
      <c r="BB64" s="528"/>
      <c r="BC64" s="528" t="s">
        <v>1278</v>
      </c>
      <c r="BD64" s="528"/>
      <c r="BE64" s="528"/>
      <c r="BF64" s="528"/>
      <c r="BG64" s="529"/>
      <c r="BH64" s="525"/>
      <c r="BI64" s="528"/>
      <c r="BJ64" s="528" t="s">
        <v>4</v>
      </c>
      <c r="BK64" s="528"/>
      <c r="BL64" s="529" t="s">
        <v>1284</v>
      </c>
      <c r="BM64" s="569" t="s">
        <v>1553</v>
      </c>
      <c r="BN64" s="525" t="s">
        <v>368</v>
      </c>
    </row>
    <row r="65" spans="1:66" ht="13" customHeight="1" x14ac:dyDescent="0.2">
      <c r="A65" s="525">
        <v>2931</v>
      </c>
      <c r="B65" s="565">
        <v>44456</v>
      </c>
      <c r="C65" s="526" t="s">
        <v>295</v>
      </c>
      <c r="D65" s="525" t="s">
        <v>1110</v>
      </c>
      <c r="E65" s="527">
        <v>44452</v>
      </c>
      <c r="F65" s="525" t="s">
        <v>1483</v>
      </c>
      <c r="G65" s="525" t="s">
        <v>1550</v>
      </c>
      <c r="H65" s="532">
        <v>75</v>
      </c>
      <c r="I65" s="531" t="s">
        <v>296</v>
      </c>
      <c r="J65" s="485">
        <v>1645</v>
      </c>
      <c r="K65" s="485">
        <v>3000</v>
      </c>
      <c r="L65" s="485">
        <v>3000</v>
      </c>
      <c r="M65" s="485">
        <v>3000</v>
      </c>
      <c r="N65" s="332"/>
      <c r="O65" s="532">
        <v>1.6818181818181817</v>
      </c>
      <c r="P65" s="532">
        <v>1.4999999999999998</v>
      </c>
      <c r="Q65" s="532">
        <v>0</v>
      </c>
      <c r="R65" s="532">
        <v>0</v>
      </c>
      <c r="S65" s="532">
        <v>1.2818181818181817</v>
      </c>
      <c r="T65" s="571"/>
      <c r="U65" s="532">
        <v>1.6818181818181817</v>
      </c>
      <c r="V65" s="532">
        <v>1.4999999999999998</v>
      </c>
      <c r="W65" s="532">
        <v>0</v>
      </c>
      <c r="X65" s="532">
        <v>0</v>
      </c>
      <c r="Y65" s="532">
        <v>1.2818181818181817</v>
      </c>
      <c r="Z65" s="571"/>
      <c r="AA65" s="571"/>
      <c r="AB65" s="571"/>
      <c r="AC65" s="571"/>
      <c r="AD65" s="571"/>
      <c r="AE65" s="571"/>
      <c r="AF65" s="571"/>
      <c r="AG65" s="333" t="s">
        <v>1278</v>
      </c>
      <c r="AH65" s="333"/>
      <c r="AI65" s="528">
        <v>3</v>
      </c>
      <c r="AJ65" s="528">
        <v>3</v>
      </c>
      <c r="AK65" s="480">
        <v>0.5</v>
      </c>
      <c r="AL65" s="480">
        <v>0.5</v>
      </c>
      <c r="AM65" s="525"/>
      <c r="AN65" s="528">
        <v>0</v>
      </c>
      <c r="AO65" s="528">
        <v>0</v>
      </c>
      <c r="AP65" s="528">
        <v>0</v>
      </c>
      <c r="AQ65" s="528">
        <v>0</v>
      </c>
      <c r="AR65" s="528">
        <v>0</v>
      </c>
      <c r="AS65" s="528">
        <v>0</v>
      </c>
      <c r="AT65" s="528">
        <v>0</v>
      </c>
      <c r="AU65" s="528">
        <v>0</v>
      </c>
      <c r="AV65" s="528">
        <v>0</v>
      </c>
      <c r="AW65" s="528">
        <v>0</v>
      </c>
      <c r="AX65" s="528">
        <v>0</v>
      </c>
      <c r="AY65" s="528">
        <v>0</v>
      </c>
      <c r="AZ65" s="528"/>
      <c r="BA65" s="528" t="s">
        <v>1278</v>
      </c>
      <c r="BB65" s="528"/>
      <c r="BC65" s="528" t="s">
        <v>1278</v>
      </c>
      <c r="BD65" s="528"/>
      <c r="BE65" s="528">
        <v>12</v>
      </c>
      <c r="BF65" s="564"/>
      <c r="BG65" s="529"/>
      <c r="BH65" s="525"/>
      <c r="BI65" s="528"/>
      <c r="BJ65" s="528" t="s">
        <v>4</v>
      </c>
      <c r="BK65" s="528"/>
      <c r="BL65" s="529"/>
      <c r="BM65" s="569" t="s">
        <v>430</v>
      </c>
      <c r="BN65" s="525" t="s">
        <v>408</v>
      </c>
    </row>
    <row r="66" spans="1:66" ht="13" customHeight="1" x14ac:dyDescent="0.2">
      <c r="A66" s="525">
        <v>3025</v>
      </c>
      <c r="B66" s="565">
        <v>44456</v>
      </c>
      <c r="C66" s="526" t="s">
        <v>295</v>
      </c>
      <c r="D66" s="525" t="s">
        <v>1111</v>
      </c>
      <c r="E66" s="527">
        <v>44378</v>
      </c>
      <c r="F66" s="529" t="s">
        <v>1044</v>
      </c>
      <c r="G66" s="525" t="s">
        <v>1562</v>
      </c>
      <c r="H66" s="532">
        <v>70.63636363636364</v>
      </c>
      <c r="I66" s="531" t="s">
        <v>296</v>
      </c>
      <c r="J66" s="485">
        <v>1645</v>
      </c>
      <c r="K66" s="485">
        <v>3000</v>
      </c>
      <c r="L66" s="485">
        <v>3000</v>
      </c>
      <c r="M66" s="485">
        <v>3000</v>
      </c>
      <c r="N66" s="525"/>
      <c r="O66" s="532">
        <v>2.5636363636363635</v>
      </c>
      <c r="P66" s="532">
        <v>2.336363636363636</v>
      </c>
      <c r="Q66" s="532">
        <v>0</v>
      </c>
      <c r="R66" s="532">
        <v>0</v>
      </c>
      <c r="S66" s="532">
        <v>1.7454545454545451</v>
      </c>
      <c r="T66" s="533"/>
      <c r="U66" s="532">
        <v>2.5636363636363635</v>
      </c>
      <c r="V66" s="532">
        <v>2.336363636363636</v>
      </c>
      <c r="W66" s="532">
        <v>0</v>
      </c>
      <c r="X66" s="532">
        <v>0</v>
      </c>
      <c r="Y66" s="532">
        <v>1.7454545454545451</v>
      </c>
      <c r="Z66" s="533"/>
      <c r="AA66" s="533"/>
      <c r="AB66" s="533"/>
      <c r="AC66" s="533"/>
      <c r="AD66" s="533"/>
      <c r="AE66" s="533"/>
      <c r="AF66" s="533"/>
      <c r="AG66" s="528" t="s">
        <v>1278</v>
      </c>
      <c r="AH66" s="528"/>
      <c r="AI66" s="528">
        <v>3</v>
      </c>
      <c r="AJ66" s="528">
        <v>3</v>
      </c>
      <c r="AK66" s="480">
        <v>0.5</v>
      </c>
      <c r="AL66" s="480">
        <v>0.5</v>
      </c>
      <c r="AM66" s="525"/>
      <c r="AN66" s="528">
        <v>0</v>
      </c>
      <c r="AO66" s="528">
        <v>0</v>
      </c>
      <c r="AP66" s="528">
        <v>0</v>
      </c>
      <c r="AQ66" s="528">
        <v>0</v>
      </c>
      <c r="AR66" s="528">
        <v>0</v>
      </c>
      <c r="AS66" s="528">
        <v>0</v>
      </c>
      <c r="AT66" s="528">
        <v>0</v>
      </c>
      <c r="AU66" s="528">
        <v>0</v>
      </c>
      <c r="AV66" s="528">
        <v>0</v>
      </c>
      <c r="AW66" s="528">
        <v>0</v>
      </c>
      <c r="AX66" s="528">
        <v>0</v>
      </c>
      <c r="AY66" s="528">
        <v>0</v>
      </c>
      <c r="AZ66" s="528"/>
      <c r="BA66" s="528" t="s">
        <v>1278</v>
      </c>
      <c r="BB66" s="528"/>
      <c r="BC66" s="528" t="s">
        <v>1278</v>
      </c>
      <c r="BD66" s="528"/>
      <c r="BE66" s="528"/>
      <c r="BF66" s="528"/>
      <c r="BG66" s="529"/>
      <c r="BH66" s="525"/>
      <c r="BI66" s="528"/>
      <c r="BJ66" s="528" t="s">
        <v>4</v>
      </c>
      <c r="BK66" s="528"/>
      <c r="BL66" s="529"/>
      <c r="BM66" s="529" t="s">
        <v>1587</v>
      </c>
      <c r="BN66" s="525" t="s">
        <v>368</v>
      </c>
    </row>
    <row r="67" spans="1:66" ht="13" customHeight="1" x14ac:dyDescent="0.2">
      <c r="A67" s="525">
        <v>2494</v>
      </c>
      <c r="B67" s="565">
        <v>44455</v>
      </c>
      <c r="C67" s="526" t="s">
        <v>295</v>
      </c>
      <c r="D67" s="525" t="s">
        <v>1111</v>
      </c>
      <c r="E67" s="527">
        <v>44326</v>
      </c>
      <c r="F67" s="529" t="s">
        <v>1046</v>
      </c>
      <c r="G67" s="525" t="s">
        <v>1280</v>
      </c>
      <c r="H67" s="532">
        <v>48.190909090909088</v>
      </c>
      <c r="I67" s="531" t="s">
        <v>296</v>
      </c>
      <c r="J67" s="485">
        <v>1645</v>
      </c>
      <c r="K67" s="485">
        <v>3000</v>
      </c>
      <c r="L67" s="485">
        <v>3000</v>
      </c>
      <c r="M67" s="485">
        <v>3000</v>
      </c>
      <c r="N67" s="525"/>
      <c r="O67" s="532">
        <v>2.3545454545454541</v>
      </c>
      <c r="P67" s="532">
        <v>1.9909090909090907</v>
      </c>
      <c r="Q67" s="532">
        <v>0</v>
      </c>
      <c r="R67" s="532">
        <v>0</v>
      </c>
      <c r="S67" s="532">
        <v>1.5272727272727271</v>
      </c>
      <c r="T67" s="533"/>
      <c r="U67" s="532">
        <v>2.3545454545454541</v>
      </c>
      <c r="V67" s="532">
        <v>1.9909090909090907</v>
      </c>
      <c r="W67" s="532">
        <v>0</v>
      </c>
      <c r="X67" s="532">
        <v>0</v>
      </c>
      <c r="Y67" s="532">
        <v>1.5272727272727271</v>
      </c>
      <c r="Z67" s="533"/>
      <c r="AA67" s="533"/>
      <c r="AB67" s="533"/>
      <c r="AC67" s="533"/>
      <c r="AD67" s="533"/>
      <c r="AE67" s="533"/>
      <c r="AF67" s="533"/>
      <c r="AG67" s="528" t="s">
        <v>1278</v>
      </c>
      <c r="AH67" s="528"/>
      <c r="AI67" s="528">
        <v>3</v>
      </c>
      <c r="AJ67" s="528">
        <v>3</v>
      </c>
      <c r="AK67" s="480">
        <v>0.5</v>
      </c>
      <c r="AL67" s="480">
        <v>0.5</v>
      </c>
      <c r="AM67" s="525"/>
      <c r="AN67" s="528">
        <v>0</v>
      </c>
      <c r="AO67" s="528">
        <v>0</v>
      </c>
      <c r="AP67" s="528">
        <v>0</v>
      </c>
      <c r="AQ67" s="528">
        <v>0</v>
      </c>
      <c r="AR67" s="528">
        <v>0</v>
      </c>
      <c r="AS67" s="528">
        <v>0</v>
      </c>
      <c r="AT67" s="528">
        <v>0</v>
      </c>
      <c r="AU67" s="528">
        <v>0</v>
      </c>
      <c r="AV67" s="528">
        <v>0</v>
      </c>
      <c r="AW67" s="528">
        <v>0</v>
      </c>
      <c r="AX67" s="528">
        <v>0</v>
      </c>
      <c r="AY67" s="528">
        <v>0</v>
      </c>
      <c r="AZ67" s="528"/>
      <c r="BA67" s="528" t="s">
        <v>1278</v>
      </c>
      <c r="BB67" s="528"/>
      <c r="BC67" s="528" t="s">
        <v>1278</v>
      </c>
      <c r="BD67" s="528"/>
      <c r="BE67" s="528"/>
      <c r="BF67" s="528"/>
      <c r="BG67" s="529"/>
      <c r="BH67" s="525"/>
      <c r="BI67" s="528"/>
      <c r="BJ67" s="528" t="s">
        <v>4</v>
      </c>
      <c r="BK67" s="528"/>
      <c r="BL67" s="529"/>
      <c r="BM67" s="525" t="s">
        <v>430</v>
      </c>
      <c r="BN67" s="525" t="s">
        <v>368</v>
      </c>
    </row>
    <row r="68" spans="1:66" ht="13" customHeight="1" x14ac:dyDescent="0.2">
      <c r="A68" s="525">
        <v>2960</v>
      </c>
      <c r="B68" s="565">
        <v>44455</v>
      </c>
      <c r="C68" s="526" t="s">
        <v>295</v>
      </c>
      <c r="D68" s="525" t="s">
        <v>1111</v>
      </c>
      <c r="E68" s="527">
        <v>44223</v>
      </c>
      <c r="F68" s="529" t="s">
        <v>1050</v>
      </c>
      <c r="G68" s="525" t="s">
        <v>1564</v>
      </c>
      <c r="H68" s="532">
        <v>75</v>
      </c>
      <c r="I68" s="531" t="s">
        <v>296</v>
      </c>
      <c r="J68" s="485">
        <v>1645</v>
      </c>
      <c r="K68" s="485">
        <v>3000</v>
      </c>
      <c r="L68" s="485">
        <v>3000</v>
      </c>
      <c r="M68" s="485">
        <v>3000</v>
      </c>
      <c r="N68" s="525"/>
      <c r="O68" s="532">
        <v>2.8181818181818179</v>
      </c>
      <c r="P68" s="532">
        <v>2.4727272727272727</v>
      </c>
      <c r="Q68" s="532">
        <v>0</v>
      </c>
      <c r="R68" s="532">
        <v>0</v>
      </c>
      <c r="S68" s="532">
        <v>1.9909090909090907</v>
      </c>
      <c r="T68" s="533"/>
      <c r="U68" s="532">
        <v>2.8181818181818179</v>
      </c>
      <c r="V68" s="532">
        <v>2.4727272727272727</v>
      </c>
      <c r="W68" s="532">
        <v>0</v>
      </c>
      <c r="X68" s="532">
        <v>0</v>
      </c>
      <c r="Y68" s="532">
        <v>1.9909090909090907</v>
      </c>
      <c r="Z68" s="533"/>
      <c r="AA68" s="533"/>
      <c r="AB68" s="533"/>
      <c r="AC68" s="533"/>
      <c r="AD68" s="533"/>
      <c r="AE68" s="533"/>
      <c r="AF68" s="533"/>
      <c r="AG68" s="528" t="s">
        <v>1278</v>
      </c>
      <c r="AH68" s="528"/>
      <c r="AI68" s="528">
        <v>3</v>
      </c>
      <c r="AJ68" s="528">
        <v>3</v>
      </c>
      <c r="AK68" s="480">
        <v>0.5</v>
      </c>
      <c r="AL68" s="480">
        <v>0.5</v>
      </c>
      <c r="AM68" s="525"/>
      <c r="AN68" s="528">
        <v>0</v>
      </c>
      <c r="AO68" s="528">
        <v>20</v>
      </c>
      <c r="AP68" s="528">
        <v>0</v>
      </c>
      <c r="AQ68" s="528">
        <v>0</v>
      </c>
      <c r="AR68" s="528">
        <v>0</v>
      </c>
      <c r="AS68" s="528">
        <v>0</v>
      </c>
      <c r="AT68" s="528">
        <v>0</v>
      </c>
      <c r="AU68" s="528">
        <v>0</v>
      </c>
      <c r="AV68" s="528">
        <v>0</v>
      </c>
      <c r="AW68" s="528">
        <v>0</v>
      </c>
      <c r="AX68" s="528">
        <v>0</v>
      </c>
      <c r="AY68" s="528">
        <v>0</v>
      </c>
      <c r="AZ68" s="528"/>
      <c r="BA68" s="528" t="s">
        <v>1278</v>
      </c>
      <c r="BB68" s="528"/>
      <c r="BC68" s="528" t="s">
        <v>1278</v>
      </c>
      <c r="BD68" s="528"/>
      <c r="BE68" s="528"/>
      <c r="BF68" s="528"/>
      <c r="BG68" s="529"/>
      <c r="BH68" s="525"/>
      <c r="BI68" s="528"/>
      <c r="BJ68" s="528" t="s">
        <v>4</v>
      </c>
      <c r="BK68" s="528">
        <v>1</v>
      </c>
      <c r="BL68" s="529"/>
      <c r="BM68" s="529" t="s">
        <v>430</v>
      </c>
      <c r="BN68" s="525" t="s">
        <v>368</v>
      </c>
    </row>
    <row r="69" spans="1:66" ht="13" customHeight="1" x14ac:dyDescent="0.2">
      <c r="A69" s="525">
        <v>2555</v>
      </c>
      <c r="B69" s="565">
        <v>44455</v>
      </c>
      <c r="C69" s="526" t="s">
        <v>295</v>
      </c>
      <c r="D69" s="525" t="s">
        <v>1111</v>
      </c>
      <c r="E69" s="527">
        <v>44305</v>
      </c>
      <c r="F69" s="525" t="s">
        <v>1052</v>
      </c>
      <c r="G69" s="525" t="s">
        <v>1181</v>
      </c>
      <c r="H69" s="532">
        <v>49.4</v>
      </c>
      <c r="I69" s="531" t="s">
        <v>296</v>
      </c>
      <c r="J69" s="485">
        <v>1645</v>
      </c>
      <c r="K69" s="485">
        <v>3000</v>
      </c>
      <c r="L69" s="485">
        <v>3000</v>
      </c>
      <c r="M69" s="485">
        <v>3000</v>
      </c>
      <c r="N69" s="332"/>
      <c r="O69" s="532">
        <v>2.5636363636363635</v>
      </c>
      <c r="P69" s="532">
        <v>2.0363636363636366</v>
      </c>
      <c r="Q69" s="532">
        <v>0</v>
      </c>
      <c r="R69" s="532">
        <v>0</v>
      </c>
      <c r="S69" s="532">
        <v>1.7</v>
      </c>
      <c r="T69" s="571"/>
      <c r="U69" s="532">
        <v>2.5636363636363635</v>
      </c>
      <c r="V69" s="532">
        <v>2.0363636363636366</v>
      </c>
      <c r="W69" s="532">
        <v>0</v>
      </c>
      <c r="X69" s="532">
        <v>0</v>
      </c>
      <c r="Y69" s="532">
        <v>1.7</v>
      </c>
      <c r="Z69" s="571"/>
      <c r="AA69" s="571"/>
      <c r="AB69" s="571"/>
      <c r="AC69" s="571"/>
      <c r="AD69" s="571"/>
      <c r="AE69" s="571"/>
      <c r="AF69" s="571"/>
      <c r="AG69" s="333" t="s">
        <v>1278</v>
      </c>
      <c r="AH69" s="333"/>
      <c r="AI69" s="528">
        <v>3</v>
      </c>
      <c r="AJ69" s="528">
        <v>3</v>
      </c>
      <c r="AK69" s="480">
        <v>0.5</v>
      </c>
      <c r="AL69" s="480">
        <v>0.5</v>
      </c>
      <c r="AM69" s="525"/>
      <c r="AN69" s="528">
        <v>0</v>
      </c>
      <c r="AO69" s="528">
        <v>0</v>
      </c>
      <c r="AP69" s="528">
        <v>0</v>
      </c>
      <c r="AQ69" s="528">
        <v>0</v>
      </c>
      <c r="AR69" s="528">
        <v>0</v>
      </c>
      <c r="AS69" s="528">
        <v>0</v>
      </c>
      <c r="AT69" s="528">
        <v>0</v>
      </c>
      <c r="AU69" s="528">
        <v>0</v>
      </c>
      <c r="AV69" s="528">
        <v>0</v>
      </c>
      <c r="AW69" s="528">
        <v>0</v>
      </c>
      <c r="AX69" s="528">
        <v>0</v>
      </c>
      <c r="AY69" s="528">
        <v>0</v>
      </c>
      <c r="AZ69" s="528"/>
      <c r="BA69" s="528" t="s">
        <v>1278</v>
      </c>
      <c r="BB69" s="528"/>
      <c r="BC69" s="528" t="s">
        <v>1278</v>
      </c>
      <c r="BD69" s="528"/>
      <c r="BE69" s="528"/>
      <c r="BF69" s="528"/>
      <c r="BG69" s="529"/>
      <c r="BH69" s="525"/>
      <c r="BI69" s="528"/>
      <c r="BJ69" s="528" t="s">
        <v>4</v>
      </c>
      <c r="BK69" s="528"/>
      <c r="BL69" s="529"/>
      <c r="BM69" s="529" t="s">
        <v>1214</v>
      </c>
      <c r="BN69" s="525" t="s">
        <v>368</v>
      </c>
    </row>
    <row r="70" spans="1:66" ht="13" customHeight="1" x14ac:dyDescent="0.2">
      <c r="A70" s="525">
        <v>2116</v>
      </c>
      <c r="B70" s="565">
        <v>44456</v>
      </c>
      <c r="C70" s="526" t="s">
        <v>295</v>
      </c>
      <c r="D70" s="525" t="s">
        <v>1111</v>
      </c>
      <c r="E70" s="527">
        <v>44448</v>
      </c>
      <c r="F70" s="529" t="s">
        <v>1054</v>
      </c>
      <c r="G70" s="525" t="s">
        <v>1157</v>
      </c>
      <c r="H70" s="532">
        <v>84.6</v>
      </c>
      <c r="I70" s="531" t="s">
        <v>296</v>
      </c>
      <c r="J70" s="485">
        <v>1645</v>
      </c>
      <c r="K70" s="485">
        <v>3000</v>
      </c>
      <c r="L70" s="485">
        <v>3000</v>
      </c>
      <c r="M70" s="485">
        <v>3000</v>
      </c>
      <c r="N70" s="525"/>
      <c r="O70" s="532">
        <v>3.3818181818181818</v>
      </c>
      <c r="P70" s="532">
        <v>2.5636363636363635</v>
      </c>
      <c r="Q70" s="532">
        <v>0</v>
      </c>
      <c r="R70" s="532">
        <v>0</v>
      </c>
      <c r="S70" s="532">
        <v>2.127272727272727</v>
      </c>
      <c r="T70" s="533"/>
      <c r="U70" s="532">
        <v>3.3818181818181818</v>
      </c>
      <c r="V70" s="532">
        <v>2.5636363636363635</v>
      </c>
      <c r="W70" s="532">
        <v>0</v>
      </c>
      <c r="X70" s="532">
        <v>0</v>
      </c>
      <c r="Y70" s="532">
        <v>2.127272727272727</v>
      </c>
      <c r="Z70" s="533"/>
      <c r="AA70" s="533"/>
      <c r="AB70" s="533"/>
      <c r="AC70" s="533"/>
      <c r="AD70" s="533"/>
      <c r="AE70" s="533"/>
      <c r="AF70" s="533"/>
      <c r="AG70" s="528" t="s">
        <v>1278</v>
      </c>
      <c r="AH70" s="525"/>
      <c r="AI70" s="528">
        <v>3</v>
      </c>
      <c r="AJ70" s="528">
        <v>3</v>
      </c>
      <c r="AK70" s="480">
        <v>0.5</v>
      </c>
      <c r="AL70" s="480">
        <v>0.5</v>
      </c>
      <c r="AM70" s="525"/>
      <c r="AN70" s="528">
        <v>26</v>
      </c>
      <c r="AO70" s="528">
        <v>0</v>
      </c>
      <c r="AP70" s="528">
        <v>0</v>
      </c>
      <c r="AQ70" s="528">
        <v>0</v>
      </c>
      <c r="AR70" s="528">
        <v>0</v>
      </c>
      <c r="AS70" s="528">
        <v>0</v>
      </c>
      <c r="AT70" s="528">
        <v>0</v>
      </c>
      <c r="AU70" s="528">
        <v>0</v>
      </c>
      <c r="AV70" s="528">
        <v>0</v>
      </c>
      <c r="AW70" s="528">
        <v>0</v>
      </c>
      <c r="AX70" s="528">
        <v>0</v>
      </c>
      <c r="AY70" s="528">
        <v>0</v>
      </c>
      <c r="AZ70" s="566">
        <v>12</v>
      </c>
      <c r="BA70" s="528" t="s">
        <v>1278</v>
      </c>
      <c r="BB70" s="528">
        <v>12</v>
      </c>
      <c r="BC70" s="528" t="s">
        <v>1278</v>
      </c>
      <c r="BD70" s="528"/>
      <c r="BE70" s="528">
        <v>12</v>
      </c>
      <c r="BF70" s="528"/>
      <c r="BG70" s="529"/>
      <c r="BH70" s="525"/>
      <c r="BI70" s="528"/>
      <c r="BJ70" s="528" t="s">
        <v>4</v>
      </c>
      <c r="BK70" s="528"/>
      <c r="BL70" s="529"/>
      <c r="BM70" s="525" t="s">
        <v>430</v>
      </c>
      <c r="BN70" s="525" t="s">
        <v>408</v>
      </c>
    </row>
    <row r="71" spans="1:66" ht="13" customHeight="1" x14ac:dyDescent="0.2">
      <c r="A71" s="525">
        <v>2869</v>
      </c>
      <c r="B71" s="565">
        <v>44455</v>
      </c>
      <c r="C71" s="526" t="s">
        <v>295</v>
      </c>
      <c r="D71" s="525" t="s">
        <v>1111</v>
      </c>
      <c r="E71" s="527">
        <v>44378</v>
      </c>
      <c r="F71" s="529" t="s">
        <v>1055</v>
      </c>
      <c r="G71" s="525" t="s">
        <v>1105</v>
      </c>
      <c r="H71" s="532">
        <v>68.900000000000006</v>
      </c>
      <c r="I71" s="531" t="s">
        <v>296</v>
      </c>
      <c r="J71" s="485">
        <v>1645</v>
      </c>
      <c r="K71" s="485">
        <v>3000</v>
      </c>
      <c r="L71" s="485">
        <v>3000</v>
      </c>
      <c r="M71" s="485">
        <v>3000</v>
      </c>
      <c r="N71" s="525"/>
      <c r="O71" s="532">
        <v>2.0818181818181816</v>
      </c>
      <c r="P71" s="532">
        <v>1.9818181818181817</v>
      </c>
      <c r="Q71" s="532">
        <v>0</v>
      </c>
      <c r="R71" s="532">
        <v>0</v>
      </c>
      <c r="S71" s="532">
        <v>1.8454545454545452</v>
      </c>
      <c r="T71" s="533"/>
      <c r="U71" s="532">
        <v>2.0818181818181816</v>
      </c>
      <c r="V71" s="532">
        <v>1.9818181818181817</v>
      </c>
      <c r="W71" s="532">
        <v>0</v>
      </c>
      <c r="X71" s="532">
        <v>0</v>
      </c>
      <c r="Y71" s="532">
        <v>1.8454545454545452</v>
      </c>
      <c r="Z71" s="533"/>
      <c r="AA71" s="533"/>
      <c r="AB71" s="533"/>
      <c r="AC71" s="533"/>
      <c r="AD71" s="533"/>
      <c r="AE71" s="533"/>
      <c r="AF71" s="533"/>
      <c r="AG71" s="528" t="s">
        <v>1278</v>
      </c>
      <c r="AH71" s="528"/>
      <c r="AI71" s="528">
        <v>3</v>
      </c>
      <c r="AJ71" s="528">
        <v>3</v>
      </c>
      <c r="AK71" s="480">
        <v>0.5</v>
      </c>
      <c r="AL71" s="480">
        <v>0.5</v>
      </c>
      <c r="AM71" s="525"/>
      <c r="AN71" s="528">
        <v>0</v>
      </c>
      <c r="AO71" s="528">
        <v>0</v>
      </c>
      <c r="AP71" s="528">
        <v>0</v>
      </c>
      <c r="AQ71" s="528">
        <v>0</v>
      </c>
      <c r="AR71" s="528">
        <v>0</v>
      </c>
      <c r="AS71" s="528">
        <v>0</v>
      </c>
      <c r="AT71" s="528">
        <v>0</v>
      </c>
      <c r="AU71" s="528">
        <v>0</v>
      </c>
      <c r="AV71" s="528">
        <v>0</v>
      </c>
      <c r="AW71" s="528">
        <v>0</v>
      </c>
      <c r="AX71" s="528">
        <v>0</v>
      </c>
      <c r="AY71" s="528">
        <v>0</v>
      </c>
      <c r="AZ71" s="528"/>
      <c r="BA71" s="528" t="s">
        <v>1278</v>
      </c>
      <c r="BB71" s="528"/>
      <c r="BC71" s="528" t="s">
        <v>1278</v>
      </c>
      <c r="BD71" s="528"/>
      <c r="BE71" s="528"/>
      <c r="BF71" s="564">
        <v>44926</v>
      </c>
      <c r="BG71" s="529"/>
      <c r="BH71" s="525"/>
      <c r="BI71" s="528"/>
      <c r="BJ71" s="528" t="s">
        <v>4</v>
      </c>
      <c r="BK71" s="528"/>
      <c r="BL71" s="529"/>
      <c r="BM71" s="525" t="s">
        <v>1582</v>
      </c>
      <c r="BN71" s="525" t="s">
        <v>368</v>
      </c>
    </row>
    <row r="72" spans="1:66" ht="13" customHeight="1" x14ac:dyDescent="0.2">
      <c r="A72" s="525">
        <v>315</v>
      </c>
      <c r="B72" s="565">
        <v>44455</v>
      </c>
      <c r="C72" s="526" t="s">
        <v>295</v>
      </c>
      <c r="D72" s="525" t="s">
        <v>1111</v>
      </c>
      <c r="E72" s="527">
        <v>44287</v>
      </c>
      <c r="F72" s="525" t="s">
        <v>1057</v>
      </c>
      <c r="G72" s="525" t="s">
        <v>1181</v>
      </c>
      <c r="H72" s="532">
        <v>79.2</v>
      </c>
      <c r="I72" s="531" t="s">
        <v>296</v>
      </c>
      <c r="J72" s="485">
        <v>1645</v>
      </c>
      <c r="K72" s="485">
        <v>3000</v>
      </c>
      <c r="L72" s="485">
        <v>3000</v>
      </c>
      <c r="M72" s="485">
        <v>3000</v>
      </c>
      <c r="N72" s="525"/>
      <c r="O72" s="532">
        <v>2.5999999999999996</v>
      </c>
      <c r="P72" s="532">
        <v>2.1999999999999997</v>
      </c>
      <c r="Q72" s="532">
        <v>0</v>
      </c>
      <c r="R72" s="532">
        <v>0</v>
      </c>
      <c r="S72" s="532">
        <v>1.8999999999999997</v>
      </c>
      <c r="T72" s="533"/>
      <c r="U72" s="532">
        <v>2.4</v>
      </c>
      <c r="V72" s="532">
        <v>2</v>
      </c>
      <c r="W72" s="532">
        <v>0</v>
      </c>
      <c r="X72" s="532">
        <v>0</v>
      </c>
      <c r="Y72" s="532">
        <v>1.7</v>
      </c>
      <c r="Z72" s="533"/>
      <c r="AA72" s="533"/>
      <c r="AB72" s="533"/>
      <c r="AC72" s="533"/>
      <c r="AD72" s="533"/>
      <c r="AE72" s="533"/>
      <c r="AF72" s="533"/>
      <c r="AG72" s="528" t="s">
        <v>297</v>
      </c>
      <c r="AH72" s="528" t="s">
        <v>298</v>
      </c>
      <c r="AI72" s="528">
        <v>2</v>
      </c>
      <c r="AJ72" s="528">
        <v>4</v>
      </c>
      <c r="AK72" s="483">
        <v>0.33329999999999999</v>
      </c>
      <c r="AL72" s="483">
        <v>0.66659999999999997</v>
      </c>
      <c r="AM72" s="525" t="s">
        <v>1124</v>
      </c>
      <c r="AN72" s="528">
        <v>0</v>
      </c>
      <c r="AO72" s="528">
        <v>0</v>
      </c>
      <c r="AP72" s="528">
        <v>0</v>
      </c>
      <c r="AQ72" s="528">
        <v>0</v>
      </c>
      <c r="AR72" s="528">
        <v>0</v>
      </c>
      <c r="AS72" s="528">
        <v>0</v>
      </c>
      <c r="AT72" s="528">
        <v>0</v>
      </c>
      <c r="AU72" s="528">
        <v>0</v>
      </c>
      <c r="AV72" s="528">
        <v>0</v>
      </c>
      <c r="AW72" s="528">
        <v>0</v>
      </c>
      <c r="AX72" s="528">
        <v>0</v>
      </c>
      <c r="AY72" s="528">
        <v>0</v>
      </c>
      <c r="AZ72" s="528"/>
      <c r="BA72" s="528" t="s">
        <v>1278</v>
      </c>
      <c r="BB72" s="528"/>
      <c r="BC72" s="528" t="s">
        <v>1278</v>
      </c>
      <c r="BD72" s="528"/>
      <c r="BE72" s="528"/>
      <c r="BF72" s="528"/>
      <c r="BG72" s="529"/>
      <c r="BH72" s="525"/>
      <c r="BI72" s="528"/>
      <c r="BJ72" s="528" t="s">
        <v>4</v>
      </c>
      <c r="BK72" s="528"/>
      <c r="BL72" s="297"/>
      <c r="BM72" s="297" t="s">
        <v>1583</v>
      </c>
      <c r="BN72" s="525" t="s">
        <v>368</v>
      </c>
    </row>
    <row r="73" spans="1:66" ht="13" customHeight="1" x14ac:dyDescent="0.2">
      <c r="A73" s="525">
        <v>2844</v>
      </c>
      <c r="B73" s="565">
        <v>44456</v>
      </c>
      <c r="C73" s="526" t="s">
        <v>295</v>
      </c>
      <c r="D73" s="525" t="s">
        <v>1111</v>
      </c>
      <c r="E73" s="527">
        <v>44319</v>
      </c>
      <c r="F73" s="529" t="s">
        <v>981</v>
      </c>
      <c r="G73" s="525" t="s">
        <v>1478</v>
      </c>
      <c r="H73" s="532">
        <v>61.272727272727273</v>
      </c>
      <c r="I73" s="531" t="s">
        <v>296</v>
      </c>
      <c r="J73" s="568">
        <v>6000</v>
      </c>
      <c r="K73" s="568">
        <v>12000</v>
      </c>
      <c r="L73" s="568">
        <v>12000</v>
      </c>
      <c r="M73" s="568">
        <v>12000</v>
      </c>
      <c r="N73" s="525"/>
      <c r="O73" s="532">
        <v>2.9090909090909092</v>
      </c>
      <c r="P73" s="532">
        <v>1.9272727272727272</v>
      </c>
      <c r="Q73" s="532">
        <v>0</v>
      </c>
      <c r="R73" s="532">
        <v>0</v>
      </c>
      <c r="S73" s="532">
        <v>1.6727272727272726</v>
      </c>
      <c r="T73" s="533"/>
      <c r="U73" s="532">
        <v>2.9090909090909092</v>
      </c>
      <c r="V73" s="532">
        <v>1.9272727272727272</v>
      </c>
      <c r="W73" s="532">
        <v>0</v>
      </c>
      <c r="X73" s="532">
        <v>0</v>
      </c>
      <c r="Y73" s="532">
        <v>1.6727272727272726</v>
      </c>
      <c r="Z73" s="533"/>
      <c r="AA73" s="533"/>
      <c r="AB73" s="533"/>
      <c r="AC73" s="533"/>
      <c r="AD73" s="533"/>
      <c r="AE73" s="533"/>
      <c r="AF73" s="533"/>
      <c r="AG73" s="528" t="s">
        <v>1278</v>
      </c>
      <c r="AH73" s="528"/>
      <c r="AI73" s="528">
        <v>3</v>
      </c>
      <c r="AJ73" s="528">
        <v>3</v>
      </c>
      <c r="AK73" s="480">
        <v>0.5</v>
      </c>
      <c r="AL73" s="480">
        <v>0.5</v>
      </c>
      <c r="AM73" s="525"/>
      <c r="AN73" s="528">
        <v>0</v>
      </c>
      <c r="AO73" s="528">
        <v>0</v>
      </c>
      <c r="AP73" s="528">
        <v>0</v>
      </c>
      <c r="AQ73" s="528">
        <v>0</v>
      </c>
      <c r="AR73" s="528">
        <v>0</v>
      </c>
      <c r="AS73" s="528">
        <v>0</v>
      </c>
      <c r="AT73" s="528">
        <v>0</v>
      </c>
      <c r="AU73" s="528">
        <v>0</v>
      </c>
      <c r="AV73" s="528">
        <v>0</v>
      </c>
      <c r="AW73" s="528">
        <v>0</v>
      </c>
      <c r="AX73" s="528">
        <v>0</v>
      </c>
      <c r="AY73" s="528">
        <v>0</v>
      </c>
      <c r="AZ73" s="528"/>
      <c r="BA73" s="528" t="s">
        <v>1278</v>
      </c>
      <c r="BB73" s="528">
        <v>12</v>
      </c>
      <c r="BC73" s="528" t="s">
        <v>1278</v>
      </c>
      <c r="BD73" s="528"/>
      <c r="BE73" s="528">
        <v>12</v>
      </c>
      <c r="BF73" s="528"/>
      <c r="BG73" s="529"/>
      <c r="BH73" s="525"/>
      <c r="BI73" s="528"/>
      <c r="BJ73" s="528" t="s">
        <v>4</v>
      </c>
      <c r="BK73" s="528"/>
      <c r="BL73" s="529"/>
      <c r="BM73" s="525" t="s">
        <v>430</v>
      </c>
      <c r="BN73" s="525" t="s">
        <v>368</v>
      </c>
    </row>
    <row r="74" spans="1:66" ht="13" customHeight="1" x14ac:dyDescent="0.2">
      <c r="A74" s="525">
        <v>2397</v>
      </c>
      <c r="B74" s="565">
        <v>44455</v>
      </c>
      <c r="C74" s="526" t="s">
        <v>295</v>
      </c>
      <c r="D74" s="525" t="s">
        <v>1111</v>
      </c>
      <c r="E74" s="570">
        <v>44197</v>
      </c>
      <c r="F74" s="529" t="s">
        <v>982</v>
      </c>
      <c r="G74" s="525" t="s">
        <v>1297</v>
      </c>
      <c r="H74" s="532">
        <v>65.518181818181802</v>
      </c>
      <c r="I74" s="531" t="s">
        <v>296</v>
      </c>
      <c r="J74" s="485">
        <v>1645</v>
      </c>
      <c r="K74" s="485">
        <v>3000</v>
      </c>
      <c r="L74" s="485">
        <v>3000</v>
      </c>
      <c r="M74" s="485">
        <v>3000</v>
      </c>
      <c r="N74" s="525"/>
      <c r="O74" s="532">
        <v>2.4090909090909087</v>
      </c>
      <c r="P74" s="532">
        <v>2.2909090909090906</v>
      </c>
      <c r="Q74" s="532">
        <v>0</v>
      </c>
      <c r="R74" s="532">
        <v>0</v>
      </c>
      <c r="S74" s="532">
        <v>1.6454545454545453</v>
      </c>
      <c r="T74" s="533"/>
      <c r="U74" s="532">
        <v>2.4090909090909087</v>
      </c>
      <c r="V74" s="532">
        <v>2.2909090909090906</v>
      </c>
      <c r="W74" s="532">
        <v>0</v>
      </c>
      <c r="X74" s="532">
        <v>0</v>
      </c>
      <c r="Y74" s="532">
        <v>1.6454545454545453</v>
      </c>
      <c r="Z74" s="533"/>
      <c r="AA74" s="533"/>
      <c r="AB74" s="533"/>
      <c r="AC74" s="533"/>
      <c r="AD74" s="533"/>
      <c r="AE74" s="533"/>
      <c r="AF74" s="533"/>
      <c r="AG74" s="528" t="s">
        <v>1278</v>
      </c>
      <c r="AH74" s="528"/>
      <c r="AI74" s="528">
        <v>3</v>
      </c>
      <c r="AJ74" s="528">
        <v>3</v>
      </c>
      <c r="AK74" s="480">
        <v>0.5</v>
      </c>
      <c r="AL74" s="480">
        <v>0.5</v>
      </c>
      <c r="AM74" s="525"/>
      <c r="AN74" s="528">
        <v>0</v>
      </c>
      <c r="AO74" s="528">
        <v>0</v>
      </c>
      <c r="AP74" s="528">
        <v>0</v>
      </c>
      <c r="AQ74" s="528">
        <v>0</v>
      </c>
      <c r="AR74" s="528">
        <v>0</v>
      </c>
      <c r="AS74" s="528">
        <v>0</v>
      </c>
      <c r="AT74" s="528">
        <v>0</v>
      </c>
      <c r="AU74" s="528">
        <v>0</v>
      </c>
      <c r="AV74" s="528">
        <v>0</v>
      </c>
      <c r="AW74" s="528">
        <v>0</v>
      </c>
      <c r="AX74" s="528">
        <v>0</v>
      </c>
      <c r="AY74" s="528">
        <v>0</v>
      </c>
      <c r="AZ74" s="528"/>
      <c r="BA74" s="528" t="s">
        <v>1278</v>
      </c>
      <c r="BB74" s="528"/>
      <c r="BC74" s="528" t="s">
        <v>1278</v>
      </c>
      <c r="BD74" s="528"/>
      <c r="BE74" s="528"/>
      <c r="BF74" s="528"/>
      <c r="BG74" s="529"/>
      <c r="BH74" s="525"/>
      <c r="BI74" s="528"/>
      <c r="BJ74" s="528" t="s">
        <v>4</v>
      </c>
      <c r="BK74" s="528"/>
      <c r="BL74" s="529"/>
      <c r="BM74" s="424" t="s">
        <v>1517</v>
      </c>
      <c r="BN74" s="525" t="s">
        <v>368</v>
      </c>
    </row>
    <row r="75" spans="1:66" ht="13" customHeight="1" x14ac:dyDescent="0.2">
      <c r="A75" s="525">
        <v>2951</v>
      </c>
      <c r="B75" s="565">
        <v>44456</v>
      </c>
      <c r="C75" s="526" t="s">
        <v>295</v>
      </c>
      <c r="D75" s="525" t="s">
        <v>1111</v>
      </c>
      <c r="E75" s="570">
        <v>44440</v>
      </c>
      <c r="F75" s="529" t="s">
        <v>984</v>
      </c>
      <c r="G75" s="525" t="s">
        <v>1405</v>
      </c>
      <c r="H75" s="532">
        <v>69.899999999999991</v>
      </c>
      <c r="I75" s="531" t="s">
        <v>296</v>
      </c>
      <c r="J75" s="485">
        <v>1645</v>
      </c>
      <c r="K75" s="485">
        <v>3000</v>
      </c>
      <c r="L75" s="485">
        <v>3000</v>
      </c>
      <c r="M75" s="485">
        <v>3000</v>
      </c>
      <c r="N75" s="525"/>
      <c r="O75" s="532">
        <v>2.9727272727272727</v>
      </c>
      <c r="P75" s="532">
        <v>2.3545454545454541</v>
      </c>
      <c r="Q75" s="532">
        <v>0</v>
      </c>
      <c r="R75" s="532">
        <v>0</v>
      </c>
      <c r="S75" s="532">
        <v>1.9818181818181817</v>
      </c>
      <c r="T75" s="533"/>
      <c r="U75" s="532">
        <v>2.9727272727272727</v>
      </c>
      <c r="V75" s="532">
        <v>2.3545454545454541</v>
      </c>
      <c r="W75" s="532">
        <v>0</v>
      </c>
      <c r="X75" s="532">
        <v>0</v>
      </c>
      <c r="Y75" s="532">
        <v>1.9818181818181817</v>
      </c>
      <c r="Z75" s="533"/>
      <c r="AA75" s="533"/>
      <c r="AB75" s="533"/>
      <c r="AC75" s="533"/>
      <c r="AD75" s="533"/>
      <c r="AE75" s="533"/>
      <c r="AF75" s="533"/>
      <c r="AG75" s="528" t="s">
        <v>1278</v>
      </c>
      <c r="AH75" s="528"/>
      <c r="AI75" s="528">
        <v>3</v>
      </c>
      <c r="AJ75" s="528">
        <v>3</v>
      </c>
      <c r="AK75" s="480">
        <v>0.5</v>
      </c>
      <c r="AL75" s="480">
        <v>0.5</v>
      </c>
      <c r="AM75" s="525"/>
      <c r="AN75" s="528">
        <v>16</v>
      </c>
      <c r="AO75" s="528">
        <v>0</v>
      </c>
      <c r="AP75" s="528">
        <v>0</v>
      </c>
      <c r="AQ75" s="528">
        <v>0</v>
      </c>
      <c r="AR75" s="528">
        <v>0</v>
      </c>
      <c r="AS75" s="528">
        <v>0</v>
      </c>
      <c r="AT75" s="528">
        <v>0</v>
      </c>
      <c r="AU75" s="528">
        <v>0</v>
      </c>
      <c r="AV75" s="528">
        <v>0</v>
      </c>
      <c r="AW75" s="528">
        <v>0</v>
      </c>
      <c r="AX75" s="528">
        <v>0</v>
      </c>
      <c r="AY75" s="528">
        <v>0</v>
      </c>
      <c r="AZ75" s="528"/>
      <c r="BA75" s="528" t="s">
        <v>1278</v>
      </c>
      <c r="BB75" s="528"/>
      <c r="BC75" s="528" t="s">
        <v>1278</v>
      </c>
      <c r="BD75" s="528"/>
      <c r="BE75" s="528"/>
      <c r="BF75" s="528"/>
      <c r="BG75" s="379"/>
      <c r="BH75" s="525"/>
      <c r="BI75" s="528"/>
      <c r="BJ75" s="528" t="s">
        <v>4</v>
      </c>
      <c r="BK75" s="528"/>
      <c r="BL75" s="529"/>
      <c r="BM75" s="529" t="s">
        <v>1584</v>
      </c>
      <c r="BN75" s="525" t="s">
        <v>408</v>
      </c>
    </row>
    <row r="76" spans="1:66" ht="13" customHeight="1" x14ac:dyDescent="0.2">
      <c r="A76" s="525">
        <v>2639</v>
      </c>
      <c r="B76" s="565">
        <v>44455</v>
      </c>
      <c r="C76" s="526" t="s">
        <v>295</v>
      </c>
      <c r="D76" s="525" t="s">
        <v>1111</v>
      </c>
      <c r="E76" s="570">
        <v>44067</v>
      </c>
      <c r="F76" s="525" t="s">
        <v>985</v>
      </c>
      <c r="G76" s="525" t="s">
        <v>1570</v>
      </c>
      <c r="H76" s="532">
        <v>65</v>
      </c>
      <c r="I76" s="394" t="s">
        <v>296</v>
      </c>
      <c r="J76" s="485">
        <v>1645</v>
      </c>
      <c r="K76" s="485">
        <v>3000</v>
      </c>
      <c r="L76" s="485">
        <v>3000</v>
      </c>
      <c r="M76" s="485">
        <v>3000</v>
      </c>
      <c r="N76" s="332"/>
      <c r="O76" s="532">
        <v>1.8999999999999997</v>
      </c>
      <c r="P76" s="532">
        <v>1.718181818181818</v>
      </c>
      <c r="Q76" s="532">
        <v>0</v>
      </c>
      <c r="R76" s="532">
        <v>0</v>
      </c>
      <c r="S76" s="532">
        <v>1.5636363636363635</v>
      </c>
      <c r="T76" s="571"/>
      <c r="U76" s="532">
        <v>1.8999999999999997</v>
      </c>
      <c r="V76" s="532">
        <v>1.718181818181818</v>
      </c>
      <c r="W76" s="532">
        <v>0</v>
      </c>
      <c r="X76" s="532">
        <v>0</v>
      </c>
      <c r="Y76" s="532">
        <v>1.5636363636363635</v>
      </c>
      <c r="Z76" s="571"/>
      <c r="AA76" s="571"/>
      <c r="AB76" s="571"/>
      <c r="AC76" s="571"/>
      <c r="AD76" s="571"/>
      <c r="AE76" s="571"/>
      <c r="AF76" s="571"/>
      <c r="AG76" s="333" t="s">
        <v>1278</v>
      </c>
      <c r="AH76" s="333"/>
      <c r="AI76" s="528">
        <v>3</v>
      </c>
      <c r="AJ76" s="528">
        <v>3</v>
      </c>
      <c r="AK76" s="480">
        <v>0.5</v>
      </c>
      <c r="AL76" s="480">
        <v>0.5</v>
      </c>
      <c r="AM76" s="525"/>
      <c r="AN76" s="528">
        <v>0</v>
      </c>
      <c r="AO76" s="528">
        <v>0</v>
      </c>
      <c r="AP76" s="528">
        <v>0</v>
      </c>
      <c r="AQ76" s="528">
        <v>0</v>
      </c>
      <c r="AR76" s="528">
        <v>0</v>
      </c>
      <c r="AS76" s="528">
        <v>0</v>
      </c>
      <c r="AT76" s="528">
        <v>0</v>
      </c>
      <c r="AU76" s="528">
        <v>0</v>
      </c>
      <c r="AV76" s="528">
        <v>0</v>
      </c>
      <c r="AW76" s="528">
        <v>0</v>
      </c>
      <c r="AX76" s="528">
        <v>0</v>
      </c>
      <c r="AY76" s="528">
        <v>0</v>
      </c>
      <c r="AZ76" s="528"/>
      <c r="BA76" s="528" t="s">
        <v>1278</v>
      </c>
      <c r="BB76" s="528"/>
      <c r="BC76" s="528" t="s">
        <v>1278</v>
      </c>
      <c r="BD76" s="528"/>
      <c r="BE76" s="528"/>
      <c r="BF76" s="528"/>
      <c r="BG76" s="529"/>
      <c r="BH76" s="525"/>
      <c r="BI76" s="528"/>
      <c r="BJ76" s="528" t="s">
        <v>411</v>
      </c>
      <c r="BK76" s="528"/>
      <c r="BL76" s="529" t="s">
        <v>1571</v>
      </c>
      <c r="BM76" s="424" t="s">
        <v>1588</v>
      </c>
      <c r="BN76" s="525" t="s">
        <v>368</v>
      </c>
    </row>
    <row r="77" spans="1:66" ht="13" customHeight="1" x14ac:dyDescent="0.2">
      <c r="A77" s="525">
        <v>1685</v>
      </c>
      <c r="B77" s="565">
        <v>44456</v>
      </c>
      <c r="C77" s="526" t="s">
        <v>295</v>
      </c>
      <c r="D77" s="525" t="s">
        <v>1111</v>
      </c>
      <c r="E77" s="527">
        <v>44442</v>
      </c>
      <c r="F77" s="529" t="s">
        <v>1106</v>
      </c>
      <c r="G77" s="525" t="s">
        <v>2</v>
      </c>
      <c r="H77" s="532">
        <v>54.999999999999993</v>
      </c>
      <c r="I77" s="531" t="s">
        <v>296</v>
      </c>
      <c r="J77" s="525">
        <v>3000</v>
      </c>
      <c r="K77" s="525">
        <v>3000</v>
      </c>
      <c r="L77" s="525">
        <v>3000</v>
      </c>
      <c r="M77" s="525">
        <v>3000</v>
      </c>
      <c r="N77" s="525"/>
      <c r="O77" s="532">
        <v>1.8999999999999997</v>
      </c>
      <c r="P77" s="532">
        <v>0</v>
      </c>
      <c r="Q77" s="532">
        <v>0</v>
      </c>
      <c r="R77" s="532">
        <v>0</v>
      </c>
      <c r="S77" s="532">
        <v>1.4272727272727272</v>
      </c>
      <c r="T77" s="533"/>
      <c r="U77" s="532">
        <v>1.8999999999999997</v>
      </c>
      <c r="V77" s="532">
        <v>0</v>
      </c>
      <c r="W77" s="532">
        <v>0</v>
      </c>
      <c r="X77" s="532">
        <v>0</v>
      </c>
      <c r="Y77" s="532">
        <v>1.4272727272727272</v>
      </c>
      <c r="Z77" s="533"/>
      <c r="AA77" s="533"/>
      <c r="AB77" s="533"/>
      <c r="AC77" s="533"/>
      <c r="AD77" s="533"/>
      <c r="AE77" s="533"/>
      <c r="AF77" s="533"/>
      <c r="AG77" s="528" t="s">
        <v>1278</v>
      </c>
      <c r="AH77" s="528"/>
      <c r="AI77" s="528">
        <v>3</v>
      </c>
      <c r="AJ77" s="528">
        <v>3</v>
      </c>
      <c r="AK77" s="480">
        <v>0.5</v>
      </c>
      <c r="AL77" s="480">
        <v>0.5</v>
      </c>
      <c r="AM77" s="525"/>
      <c r="AN77" s="528">
        <v>0</v>
      </c>
      <c r="AO77" s="528">
        <v>0</v>
      </c>
      <c r="AP77" s="528">
        <v>0</v>
      </c>
      <c r="AQ77" s="528">
        <v>0</v>
      </c>
      <c r="AR77" s="528">
        <v>0</v>
      </c>
      <c r="AS77" s="528">
        <v>0</v>
      </c>
      <c r="AT77" s="528">
        <v>0</v>
      </c>
      <c r="AU77" s="528">
        <v>0</v>
      </c>
      <c r="AV77" s="528">
        <v>0</v>
      </c>
      <c r="AW77" s="528">
        <v>0</v>
      </c>
      <c r="AX77" s="528">
        <v>0</v>
      </c>
      <c r="AY77" s="528">
        <v>0</v>
      </c>
      <c r="AZ77" s="528"/>
      <c r="BA77" s="528" t="s">
        <v>1278</v>
      </c>
      <c r="BB77" s="528"/>
      <c r="BC77" s="528" t="s">
        <v>1278</v>
      </c>
      <c r="BD77" s="528"/>
      <c r="BE77" s="528"/>
      <c r="BF77" s="529"/>
      <c r="BG77" s="525"/>
      <c r="BH77" s="528"/>
      <c r="BI77" s="528"/>
      <c r="BJ77" s="528" t="s">
        <v>4</v>
      </c>
      <c r="BK77" s="528">
        <v>1</v>
      </c>
      <c r="BL77" s="525"/>
      <c r="BM77" s="424" t="s">
        <v>1586</v>
      </c>
      <c r="BN77" s="525" t="s">
        <v>408</v>
      </c>
    </row>
    <row r="78" spans="1:66" ht="13" customHeight="1" x14ac:dyDescent="0.2">
      <c r="A78" s="525">
        <v>2895</v>
      </c>
      <c r="B78" s="565">
        <v>44455</v>
      </c>
      <c r="C78" s="526" t="s">
        <v>295</v>
      </c>
      <c r="D78" s="525" t="s">
        <v>1111</v>
      </c>
      <c r="E78" s="527">
        <v>44228</v>
      </c>
      <c r="F78" s="525" t="s">
        <v>34</v>
      </c>
      <c r="G78" s="525" t="s">
        <v>1181</v>
      </c>
      <c r="H78" s="532">
        <v>67.909090909090907</v>
      </c>
      <c r="I78" s="394"/>
      <c r="J78" s="409"/>
      <c r="K78" s="332"/>
      <c r="L78" s="332"/>
      <c r="M78" s="332"/>
      <c r="N78" s="332"/>
      <c r="O78" s="532">
        <v>1.7999999999999998</v>
      </c>
      <c r="P78" s="532">
        <v>0</v>
      </c>
      <c r="Q78" s="532">
        <v>0</v>
      </c>
      <c r="R78" s="532">
        <v>0</v>
      </c>
      <c r="S78" s="532">
        <v>0</v>
      </c>
      <c r="T78" s="571"/>
      <c r="U78" s="532">
        <v>1.7999999999999998</v>
      </c>
      <c r="V78" s="532">
        <v>0</v>
      </c>
      <c r="W78" s="532">
        <v>0</v>
      </c>
      <c r="X78" s="532">
        <v>0</v>
      </c>
      <c r="Y78" s="532">
        <v>0</v>
      </c>
      <c r="Z78" s="571"/>
      <c r="AA78" s="571"/>
      <c r="AB78" s="571"/>
      <c r="AC78" s="571"/>
      <c r="AD78" s="571"/>
      <c r="AE78" s="571"/>
      <c r="AF78" s="571"/>
      <c r="AG78" s="333" t="s">
        <v>1278</v>
      </c>
      <c r="AH78" s="333"/>
      <c r="AI78" s="528">
        <v>3</v>
      </c>
      <c r="AJ78" s="528">
        <v>3</v>
      </c>
      <c r="AK78" s="480">
        <v>0.5</v>
      </c>
      <c r="AL78" s="480">
        <v>0.5</v>
      </c>
      <c r="AM78" s="525"/>
      <c r="AN78" s="528">
        <v>0</v>
      </c>
      <c r="AO78" s="528">
        <v>0</v>
      </c>
      <c r="AP78" s="528">
        <v>0</v>
      </c>
      <c r="AQ78" s="528">
        <v>0</v>
      </c>
      <c r="AR78" s="528">
        <v>0</v>
      </c>
      <c r="AS78" s="528">
        <v>0</v>
      </c>
      <c r="AT78" s="528">
        <v>0</v>
      </c>
      <c r="AU78" s="528">
        <v>0</v>
      </c>
      <c r="AV78" s="528">
        <v>0</v>
      </c>
      <c r="AW78" s="528">
        <v>0</v>
      </c>
      <c r="AX78" s="528">
        <v>0</v>
      </c>
      <c r="AY78" s="528">
        <v>0</v>
      </c>
      <c r="AZ78" s="528"/>
      <c r="BA78" s="528" t="s">
        <v>1278</v>
      </c>
      <c r="BB78" s="528"/>
      <c r="BC78" s="528" t="s">
        <v>1278</v>
      </c>
      <c r="BD78" s="528"/>
      <c r="BE78" s="528"/>
      <c r="BF78" s="528"/>
      <c r="BG78" s="529"/>
      <c r="BH78" s="525"/>
      <c r="BI78" s="528"/>
      <c r="BJ78" s="528" t="s">
        <v>411</v>
      </c>
      <c r="BK78" s="528"/>
      <c r="BL78" s="529" t="s">
        <v>1284</v>
      </c>
      <c r="BM78" s="525" t="s">
        <v>1558</v>
      </c>
      <c r="BN78" s="525" t="s">
        <v>368</v>
      </c>
    </row>
    <row r="79" spans="1:66" ht="13" customHeight="1" x14ac:dyDescent="0.2">
      <c r="A79" s="525">
        <v>2739</v>
      </c>
      <c r="B79" s="565">
        <v>44455</v>
      </c>
      <c r="C79" s="526" t="s">
        <v>295</v>
      </c>
      <c r="D79" s="525" t="s">
        <v>1111</v>
      </c>
      <c r="E79" s="527">
        <v>44197</v>
      </c>
      <c r="F79" s="525" t="s">
        <v>1274</v>
      </c>
      <c r="G79" s="525" t="s">
        <v>1467</v>
      </c>
      <c r="H79" s="532">
        <v>72.999999999999986</v>
      </c>
      <c r="I79" s="394" t="s">
        <v>296</v>
      </c>
      <c r="J79" s="485">
        <v>1645</v>
      </c>
      <c r="K79" s="485">
        <v>3000</v>
      </c>
      <c r="L79" s="485">
        <v>3000</v>
      </c>
      <c r="M79" s="485">
        <v>3000</v>
      </c>
      <c r="N79" s="332"/>
      <c r="O79" s="532">
        <v>2.7363636363636359</v>
      </c>
      <c r="P79" s="532">
        <v>2.418181818181818</v>
      </c>
      <c r="Q79" s="532">
        <v>0</v>
      </c>
      <c r="R79" s="532">
        <v>0</v>
      </c>
      <c r="S79" s="532">
        <v>2.0727272727272723</v>
      </c>
      <c r="T79" s="571"/>
      <c r="U79" s="532">
        <v>2.7363636363636359</v>
      </c>
      <c r="V79" s="532">
        <v>2.418181818181818</v>
      </c>
      <c r="W79" s="532">
        <v>0</v>
      </c>
      <c r="X79" s="532">
        <v>0</v>
      </c>
      <c r="Y79" s="532">
        <v>2.0727272727272723</v>
      </c>
      <c r="Z79" s="571"/>
      <c r="AA79" s="571"/>
      <c r="AB79" s="571"/>
      <c r="AC79" s="571"/>
      <c r="AD79" s="571"/>
      <c r="AE79" s="571"/>
      <c r="AF79" s="571"/>
      <c r="AG79" s="333" t="s">
        <v>1278</v>
      </c>
      <c r="AH79" s="333"/>
      <c r="AI79" s="528">
        <v>3</v>
      </c>
      <c r="AJ79" s="528">
        <v>3</v>
      </c>
      <c r="AK79" s="480">
        <v>0.5</v>
      </c>
      <c r="AL79" s="480">
        <v>0.5</v>
      </c>
      <c r="AM79" s="525"/>
      <c r="AN79" s="528">
        <v>0</v>
      </c>
      <c r="AO79" s="528">
        <v>12</v>
      </c>
      <c r="AP79" s="528">
        <v>0</v>
      </c>
      <c r="AQ79" s="528">
        <v>3</v>
      </c>
      <c r="AR79" s="528">
        <v>0</v>
      </c>
      <c r="AS79" s="528">
        <v>0</v>
      </c>
      <c r="AT79" s="528">
        <v>0</v>
      </c>
      <c r="AU79" s="528">
        <v>0</v>
      </c>
      <c r="AV79" s="528">
        <v>0</v>
      </c>
      <c r="AW79" s="528">
        <v>0</v>
      </c>
      <c r="AX79" s="528">
        <v>0</v>
      </c>
      <c r="AY79" s="528">
        <v>0</v>
      </c>
      <c r="AZ79" s="528"/>
      <c r="BA79" s="528" t="s">
        <v>1278</v>
      </c>
      <c r="BB79" s="528"/>
      <c r="BC79" s="528" t="s">
        <v>1278</v>
      </c>
      <c r="BD79" s="528"/>
      <c r="BE79" s="528"/>
      <c r="BF79" s="528"/>
      <c r="BG79" s="529"/>
      <c r="BH79" s="525"/>
      <c r="BI79" s="528"/>
      <c r="BJ79" s="528" t="s">
        <v>411</v>
      </c>
      <c r="BK79" s="528">
        <v>1</v>
      </c>
      <c r="BL79" s="529"/>
      <c r="BM79" s="424" t="s">
        <v>1469</v>
      </c>
      <c r="BN79" s="525" t="s">
        <v>368</v>
      </c>
    </row>
    <row r="80" spans="1:66" ht="13" customHeight="1" x14ac:dyDescent="0.2">
      <c r="A80" s="525">
        <v>2335</v>
      </c>
      <c r="B80" s="565">
        <v>44455</v>
      </c>
      <c r="C80" s="526" t="s">
        <v>295</v>
      </c>
      <c r="D80" s="525" t="s">
        <v>1111</v>
      </c>
      <c r="E80" s="570">
        <v>44228</v>
      </c>
      <c r="F80" s="525" t="s">
        <v>1291</v>
      </c>
      <c r="G80" s="525" t="s">
        <v>1181</v>
      </c>
      <c r="H80" s="532">
        <v>59.418181818181814</v>
      </c>
      <c r="I80" s="394"/>
      <c r="J80" s="409"/>
      <c r="K80" s="332"/>
      <c r="L80" s="332"/>
      <c r="M80" s="332"/>
      <c r="N80" s="332"/>
      <c r="O80" s="532">
        <v>1.9545454545454544</v>
      </c>
      <c r="P80" s="532">
        <v>0</v>
      </c>
      <c r="Q80" s="532">
        <v>0</v>
      </c>
      <c r="R80" s="532">
        <v>0</v>
      </c>
      <c r="S80" s="532">
        <v>0</v>
      </c>
      <c r="T80" s="571"/>
      <c r="U80" s="532">
        <v>1.9545454545454544</v>
      </c>
      <c r="V80" s="532">
        <v>0</v>
      </c>
      <c r="W80" s="532">
        <v>0</v>
      </c>
      <c r="X80" s="532">
        <v>0</v>
      </c>
      <c r="Y80" s="532">
        <v>0</v>
      </c>
      <c r="Z80" s="571"/>
      <c r="AA80" s="571"/>
      <c r="AB80" s="571"/>
      <c r="AC80" s="571"/>
      <c r="AD80" s="571"/>
      <c r="AE80" s="571"/>
      <c r="AF80" s="571"/>
      <c r="AG80" s="333" t="s">
        <v>1278</v>
      </c>
      <c r="AH80" s="333"/>
      <c r="AI80" s="528">
        <v>3</v>
      </c>
      <c r="AJ80" s="528">
        <v>3</v>
      </c>
      <c r="AK80" s="480">
        <v>0.5</v>
      </c>
      <c r="AL80" s="480">
        <v>0.5</v>
      </c>
      <c r="AM80" s="525"/>
      <c r="AN80" s="528">
        <v>0</v>
      </c>
      <c r="AO80" s="528">
        <v>0</v>
      </c>
      <c r="AP80" s="528">
        <v>0</v>
      </c>
      <c r="AQ80" s="528">
        <v>0</v>
      </c>
      <c r="AR80" s="528">
        <v>0</v>
      </c>
      <c r="AS80" s="528">
        <v>0</v>
      </c>
      <c r="AT80" s="528">
        <v>0</v>
      </c>
      <c r="AU80" s="528">
        <v>0</v>
      </c>
      <c r="AV80" s="528">
        <v>0</v>
      </c>
      <c r="AW80" s="528">
        <v>0</v>
      </c>
      <c r="AX80" s="528">
        <v>0</v>
      </c>
      <c r="AY80" s="528">
        <v>0</v>
      </c>
      <c r="AZ80" s="528"/>
      <c r="BA80" s="528" t="s">
        <v>1278</v>
      </c>
      <c r="BB80" s="528"/>
      <c r="BC80" s="528" t="s">
        <v>1278</v>
      </c>
      <c r="BD80" s="528"/>
      <c r="BE80" s="528"/>
      <c r="BF80" s="528"/>
      <c r="BG80" s="529"/>
      <c r="BH80" s="525"/>
      <c r="BI80" s="528"/>
      <c r="BJ80" s="528" t="s">
        <v>4</v>
      </c>
      <c r="BK80" s="528"/>
      <c r="BL80" s="529" t="s">
        <v>1284</v>
      </c>
      <c r="BM80" s="569" t="s">
        <v>1553</v>
      </c>
      <c r="BN80" s="525" t="s">
        <v>368</v>
      </c>
    </row>
    <row r="81" spans="1:66" ht="13" customHeight="1" x14ac:dyDescent="0.2">
      <c r="A81" s="525">
        <v>2930</v>
      </c>
      <c r="B81" s="565">
        <v>44456</v>
      </c>
      <c r="C81" s="526" t="s">
        <v>295</v>
      </c>
      <c r="D81" s="525" t="s">
        <v>1111</v>
      </c>
      <c r="E81" s="527">
        <v>44452</v>
      </c>
      <c r="F81" s="525" t="s">
        <v>1483</v>
      </c>
      <c r="G81" s="525" t="s">
        <v>1550</v>
      </c>
      <c r="H81" s="532">
        <v>75</v>
      </c>
      <c r="I81" s="531" t="s">
        <v>296</v>
      </c>
      <c r="J81" s="485">
        <v>1645</v>
      </c>
      <c r="K81" s="485">
        <v>3000</v>
      </c>
      <c r="L81" s="485">
        <v>3000</v>
      </c>
      <c r="M81" s="485">
        <v>3000</v>
      </c>
      <c r="N81" s="332"/>
      <c r="O81" s="532">
        <v>1.6818181818181817</v>
      </c>
      <c r="P81" s="532">
        <v>1.4999999999999998</v>
      </c>
      <c r="Q81" s="532">
        <v>0</v>
      </c>
      <c r="R81" s="532">
        <v>0</v>
      </c>
      <c r="S81" s="532">
        <v>1.2818181818181817</v>
      </c>
      <c r="T81" s="571"/>
      <c r="U81" s="532">
        <v>1.6818181818181817</v>
      </c>
      <c r="V81" s="532">
        <v>1.4999999999999998</v>
      </c>
      <c r="W81" s="532">
        <v>0</v>
      </c>
      <c r="X81" s="532">
        <v>0</v>
      </c>
      <c r="Y81" s="532">
        <v>1.2818181818181817</v>
      </c>
      <c r="Z81" s="571"/>
      <c r="AA81" s="571"/>
      <c r="AB81" s="571"/>
      <c r="AC81" s="571"/>
      <c r="AD81" s="571"/>
      <c r="AE81" s="571"/>
      <c r="AF81" s="571"/>
      <c r="AG81" s="333" t="s">
        <v>1278</v>
      </c>
      <c r="AH81" s="333"/>
      <c r="AI81" s="528">
        <v>3</v>
      </c>
      <c r="AJ81" s="528">
        <v>3</v>
      </c>
      <c r="AK81" s="480">
        <v>0.5</v>
      </c>
      <c r="AL81" s="480">
        <v>0.5</v>
      </c>
      <c r="AM81" s="525"/>
      <c r="AN81" s="528">
        <v>0</v>
      </c>
      <c r="AO81" s="528">
        <v>0</v>
      </c>
      <c r="AP81" s="528">
        <v>0</v>
      </c>
      <c r="AQ81" s="528">
        <v>0</v>
      </c>
      <c r="AR81" s="528">
        <v>0</v>
      </c>
      <c r="AS81" s="528">
        <v>0</v>
      </c>
      <c r="AT81" s="528">
        <v>0</v>
      </c>
      <c r="AU81" s="528">
        <v>0</v>
      </c>
      <c r="AV81" s="528">
        <v>0</v>
      </c>
      <c r="AW81" s="528">
        <v>0</v>
      </c>
      <c r="AX81" s="528">
        <v>0</v>
      </c>
      <c r="AY81" s="528">
        <v>0</v>
      </c>
      <c r="AZ81" s="528"/>
      <c r="BA81" s="528" t="s">
        <v>1278</v>
      </c>
      <c r="BB81" s="528"/>
      <c r="BC81" s="528" t="s">
        <v>1278</v>
      </c>
      <c r="BD81" s="528"/>
      <c r="BE81" s="528">
        <v>12</v>
      </c>
      <c r="BF81" s="564"/>
      <c r="BG81" s="529"/>
      <c r="BH81" s="525"/>
      <c r="BI81" s="528"/>
      <c r="BJ81" s="528" t="s">
        <v>4</v>
      </c>
      <c r="BK81" s="528"/>
      <c r="BL81" s="529"/>
      <c r="BM81" s="569" t="s">
        <v>430</v>
      </c>
      <c r="BN81" s="525" t="s">
        <v>408</v>
      </c>
    </row>
    <row r="82" spans="1:66" ht="13" customHeight="1" x14ac:dyDescent="0.2">
      <c r="A82" s="525">
        <v>3033</v>
      </c>
      <c r="B82" s="565">
        <v>44456</v>
      </c>
      <c r="C82" s="526" t="s">
        <v>295</v>
      </c>
      <c r="D82" s="525" t="s">
        <v>1113</v>
      </c>
      <c r="E82" s="527">
        <v>44378</v>
      </c>
      <c r="F82" s="529" t="s">
        <v>1044</v>
      </c>
      <c r="G82" s="525" t="s">
        <v>1562</v>
      </c>
      <c r="H82" s="532">
        <v>81.018181818181816</v>
      </c>
      <c r="I82" s="531" t="s">
        <v>296</v>
      </c>
      <c r="J82" s="459">
        <v>6000</v>
      </c>
      <c r="K82" s="459">
        <v>12000</v>
      </c>
      <c r="L82" s="459">
        <v>84000</v>
      </c>
      <c r="M82" s="459">
        <v>84000</v>
      </c>
      <c r="N82" s="525"/>
      <c r="O82" s="532">
        <v>1.9818181818181817</v>
      </c>
      <c r="P82" s="532">
        <v>1.9545454545454544</v>
      </c>
      <c r="Q82" s="532">
        <v>1.6363636363636362</v>
      </c>
      <c r="R82" s="532">
        <v>0</v>
      </c>
      <c r="S82" s="532">
        <v>1.4636363636363636</v>
      </c>
      <c r="T82" s="533"/>
      <c r="U82" s="532">
        <v>1.8181818181818181</v>
      </c>
      <c r="V82" s="532">
        <v>1.5090909090909088</v>
      </c>
      <c r="W82" s="532">
        <v>1.4090909090909089</v>
      </c>
      <c r="X82" s="532">
        <v>0</v>
      </c>
      <c r="Y82" s="532">
        <v>1.3909090909090909</v>
      </c>
      <c r="Z82" s="533"/>
      <c r="AA82" s="533"/>
      <c r="AB82" s="533"/>
      <c r="AC82" s="533"/>
      <c r="AD82" s="533"/>
      <c r="AE82" s="533"/>
      <c r="AF82" s="533"/>
      <c r="AG82" s="528" t="s">
        <v>297</v>
      </c>
      <c r="AH82" s="528" t="s">
        <v>298</v>
      </c>
      <c r="AI82" s="528">
        <v>2</v>
      </c>
      <c r="AJ82" s="528">
        <v>4</v>
      </c>
      <c r="AK82" s="483">
        <v>0.33329999999999999</v>
      </c>
      <c r="AL82" s="483">
        <v>0.66659999999999997</v>
      </c>
      <c r="AM82" s="525" t="s">
        <v>1124</v>
      </c>
      <c r="AN82" s="528">
        <v>0</v>
      </c>
      <c r="AO82" s="528">
        <v>0</v>
      </c>
      <c r="AP82" s="528">
        <v>0</v>
      </c>
      <c r="AQ82" s="528">
        <v>0</v>
      </c>
      <c r="AR82" s="528">
        <v>0</v>
      </c>
      <c r="AS82" s="528">
        <v>0</v>
      </c>
      <c r="AT82" s="528">
        <v>0</v>
      </c>
      <c r="AU82" s="528">
        <v>0</v>
      </c>
      <c r="AV82" s="528">
        <v>0</v>
      </c>
      <c r="AW82" s="528">
        <v>0</v>
      </c>
      <c r="AX82" s="528">
        <v>0</v>
      </c>
      <c r="AY82" s="528">
        <v>0</v>
      </c>
      <c r="AZ82" s="528"/>
      <c r="BA82" s="528" t="s">
        <v>1278</v>
      </c>
      <c r="BB82" s="528"/>
      <c r="BC82" s="528" t="s">
        <v>1278</v>
      </c>
      <c r="BD82" s="528"/>
      <c r="BE82" s="528"/>
      <c r="BF82" s="528"/>
      <c r="BG82" s="529"/>
      <c r="BH82" s="525"/>
      <c r="BI82" s="528"/>
      <c r="BJ82" s="528" t="s">
        <v>4</v>
      </c>
      <c r="BK82" s="528"/>
      <c r="BL82" s="529"/>
      <c r="BM82" s="529" t="s">
        <v>1589</v>
      </c>
      <c r="BN82" s="525" t="s">
        <v>368</v>
      </c>
    </row>
    <row r="83" spans="1:66" ht="13" customHeight="1" x14ac:dyDescent="0.2">
      <c r="A83" s="525">
        <v>2502</v>
      </c>
      <c r="B83" s="565">
        <v>44455</v>
      </c>
      <c r="C83" s="526" t="s">
        <v>295</v>
      </c>
      <c r="D83" s="525" t="s">
        <v>1113</v>
      </c>
      <c r="E83" s="527">
        <v>44326</v>
      </c>
      <c r="F83" s="529" t="s">
        <v>1046</v>
      </c>
      <c r="G83" s="525" t="s">
        <v>1280</v>
      </c>
      <c r="H83" s="532">
        <v>72.381818181818176</v>
      </c>
      <c r="I83" s="531" t="s">
        <v>296</v>
      </c>
      <c r="J83" s="568">
        <v>6000</v>
      </c>
      <c r="K83" s="568">
        <v>6000</v>
      </c>
      <c r="L83" s="568">
        <v>6000</v>
      </c>
      <c r="M83" s="568">
        <v>6000</v>
      </c>
      <c r="N83" s="525"/>
      <c r="O83" s="532">
        <v>1.6818181818181817</v>
      </c>
      <c r="P83" s="532">
        <v>0</v>
      </c>
      <c r="Q83" s="532">
        <v>0</v>
      </c>
      <c r="R83" s="532">
        <v>0</v>
      </c>
      <c r="S83" s="532">
        <v>1.5090909090909088</v>
      </c>
      <c r="T83" s="533"/>
      <c r="U83" s="532">
        <v>1.4272727272727272</v>
      </c>
      <c r="V83" s="532">
        <v>0</v>
      </c>
      <c r="W83" s="532">
        <v>0</v>
      </c>
      <c r="X83" s="532">
        <v>0</v>
      </c>
      <c r="Y83" s="532">
        <v>1.2545454545454544</v>
      </c>
      <c r="Z83" s="533"/>
      <c r="AA83" s="533"/>
      <c r="AB83" s="533"/>
      <c r="AC83" s="533"/>
      <c r="AD83" s="533"/>
      <c r="AE83" s="533"/>
      <c r="AF83" s="533"/>
      <c r="AG83" s="528" t="s">
        <v>297</v>
      </c>
      <c r="AH83" s="528" t="s">
        <v>298</v>
      </c>
      <c r="AI83" s="528">
        <v>2</v>
      </c>
      <c r="AJ83" s="528">
        <v>4</v>
      </c>
      <c r="AK83" s="483">
        <v>0.33329999999999999</v>
      </c>
      <c r="AL83" s="483">
        <v>0.66659999999999997</v>
      </c>
      <c r="AM83" s="525" t="s">
        <v>1124</v>
      </c>
      <c r="AN83" s="528">
        <v>0</v>
      </c>
      <c r="AO83" s="528">
        <v>0</v>
      </c>
      <c r="AP83" s="528">
        <v>0</v>
      </c>
      <c r="AQ83" s="528">
        <v>0</v>
      </c>
      <c r="AR83" s="528">
        <v>0</v>
      </c>
      <c r="AS83" s="528">
        <v>0</v>
      </c>
      <c r="AT83" s="528">
        <v>0</v>
      </c>
      <c r="AU83" s="528">
        <v>0</v>
      </c>
      <c r="AV83" s="528">
        <v>0</v>
      </c>
      <c r="AW83" s="528">
        <v>0</v>
      </c>
      <c r="AX83" s="528">
        <v>0</v>
      </c>
      <c r="AY83" s="528">
        <v>0</v>
      </c>
      <c r="AZ83" s="528"/>
      <c r="BA83" s="528" t="s">
        <v>1278</v>
      </c>
      <c r="BB83" s="528"/>
      <c r="BC83" s="528" t="s">
        <v>1278</v>
      </c>
      <c r="BD83" s="528"/>
      <c r="BE83" s="528"/>
      <c r="BF83" s="528"/>
      <c r="BG83" s="529"/>
      <c r="BH83" s="525"/>
      <c r="BI83" s="528"/>
      <c r="BJ83" s="528" t="s">
        <v>4</v>
      </c>
      <c r="BK83" s="528"/>
      <c r="BL83" s="529"/>
      <c r="BM83" s="525" t="s">
        <v>430</v>
      </c>
      <c r="BN83" s="525" t="s">
        <v>368</v>
      </c>
    </row>
    <row r="84" spans="1:66" ht="13" customHeight="1" x14ac:dyDescent="0.2">
      <c r="A84" s="525">
        <v>2967</v>
      </c>
      <c r="B84" s="565">
        <v>44455</v>
      </c>
      <c r="C84" s="526" t="s">
        <v>295</v>
      </c>
      <c r="D84" s="525" t="s">
        <v>1113</v>
      </c>
      <c r="E84" s="527">
        <v>44223</v>
      </c>
      <c r="F84" s="529" t="s">
        <v>1050</v>
      </c>
      <c r="G84" s="525" t="s">
        <v>1564</v>
      </c>
      <c r="H84" s="532">
        <v>85</v>
      </c>
      <c r="I84" s="531" t="s">
        <v>296</v>
      </c>
      <c r="J84" s="459">
        <v>6000</v>
      </c>
      <c r="K84" s="459">
        <v>12000</v>
      </c>
      <c r="L84" s="459">
        <v>84000</v>
      </c>
      <c r="M84" s="459">
        <v>84000</v>
      </c>
      <c r="N84" s="525"/>
      <c r="O84" s="532">
        <v>2.0272727272727269</v>
      </c>
      <c r="P84" s="532">
        <v>1.8636363636363633</v>
      </c>
      <c r="Q84" s="532">
        <v>1.5818181818181818</v>
      </c>
      <c r="R84" s="532">
        <v>0</v>
      </c>
      <c r="S84" s="532">
        <v>1.5818181818181818</v>
      </c>
      <c r="T84" s="533"/>
      <c r="U84" s="532">
        <v>1.5545454545454545</v>
      </c>
      <c r="V84" s="532">
        <v>1.5363636363636362</v>
      </c>
      <c r="W84" s="532">
        <v>1.4636363636363636</v>
      </c>
      <c r="X84" s="532">
        <v>0</v>
      </c>
      <c r="Y84" s="532">
        <v>1.3909090909090909</v>
      </c>
      <c r="Z84" s="533"/>
      <c r="AA84" s="533"/>
      <c r="AB84" s="533"/>
      <c r="AC84" s="533"/>
      <c r="AD84" s="533"/>
      <c r="AE84" s="533"/>
      <c r="AF84" s="533"/>
      <c r="AG84" s="528" t="s">
        <v>297</v>
      </c>
      <c r="AH84" s="528" t="s">
        <v>298</v>
      </c>
      <c r="AI84" s="528">
        <v>2</v>
      </c>
      <c r="AJ84" s="528">
        <v>4</v>
      </c>
      <c r="AK84" s="483">
        <v>0.33329999999999999</v>
      </c>
      <c r="AL84" s="483">
        <v>0.66659999999999997</v>
      </c>
      <c r="AM84" s="525" t="s">
        <v>1124</v>
      </c>
      <c r="AN84" s="528">
        <v>0</v>
      </c>
      <c r="AO84" s="528">
        <v>20</v>
      </c>
      <c r="AP84" s="528">
        <v>0</v>
      </c>
      <c r="AQ84" s="528">
        <v>0</v>
      </c>
      <c r="AR84" s="528">
        <v>0</v>
      </c>
      <c r="AS84" s="528">
        <v>0</v>
      </c>
      <c r="AT84" s="528">
        <v>0</v>
      </c>
      <c r="AU84" s="528">
        <v>0</v>
      </c>
      <c r="AV84" s="528">
        <v>0</v>
      </c>
      <c r="AW84" s="528">
        <v>0</v>
      </c>
      <c r="AX84" s="528">
        <v>0</v>
      </c>
      <c r="AY84" s="528">
        <v>0</v>
      </c>
      <c r="AZ84" s="528"/>
      <c r="BA84" s="528" t="s">
        <v>1278</v>
      </c>
      <c r="BB84" s="528"/>
      <c r="BC84" s="528" t="s">
        <v>1278</v>
      </c>
      <c r="BD84" s="528"/>
      <c r="BE84" s="528"/>
      <c r="BF84" s="528"/>
      <c r="BG84" s="529"/>
      <c r="BH84" s="525"/>
      <c r="BI84" s="528"/>
      <c r="BJ84" s="528" t="s">
        <v>4</v>
      </c>
      <c r="BK84" s="528">
        <v>1</v>
      </c>
      <c r="BL84" s="529"/>
      <c r="BM84" s="424" t="s">
        <v>1590</v>
      </c>
      <c r="BN84" s="525" t="s">
        <v>368</v>
      </c>
    </row>
    <row r="85" spans="1:66" ht="13" customHeight="1" x14ac:dyDescent="0.2">
      <c r="A85" s="525">
        <v>2118</v>
      </c>
      <c r="B85" s="565">
        <v>44456</v>
      </c>
      <c r="C85" s="526" t="s">
        <v>295</v>
      </c>
      <c r="D85" s="525" t="s">
        <v>1113</v>
      </c>
      <c r="E85" s="527">
        <v>44448</v>
      </c>
      <c r="F85" s="529" t="s">
        <v>1054</v>
      </c>
      <c r="G85" s="525" t="s">
        <v>1157</v>
      </c>
      <c r="H85" s="532">
        <v>100.6</v>
      </c>
      <c r="I85" s="531" t="s">
        <v>296</v>
      </c>
      <c r="J85" s="459">
        <v>6000</v>
      </c>
      <c r="K85" s="459">
        <v>12000</v>
      </c>
      <c r="L85" s="459">
        <v>84000</v>
      </c>
      <c r="M85" s="459">
        <v>84000</v>
      </c>
      <c r="N85" s="525"/>
      <c r="O85" s="532">
        <v>2.5</v>
      </c>
      <c r="P85" s="532">
        <v>2.2999999999999998</v>
      </c>
      <c r="Q85" s="532">
        <v>2.0272727272727269</v>
      </c>
      <c r="R85" s="532">
        <v>0</v>
      </c>
      <c r="S85" s="532">
        <v>1.8181818181818181</v>
      </c>
      <c r="T85" s="533"/>
      <c r="U85" s="532">
        <v>2.0727272727272723</v>
      </c>
      <c r="V85" s="532">
        <v>2.0545454545454542</v>
      </c>
      <c r="W85" s="532">
        <v>1.9636363636363636</v>
      </c>
      <c r="X85" s="532">
        <v>0</v>
      </c>
      <c r="Y85" s="532">
        <v>1.7363636363636361</v>
      </c>
      <c r="Z85" s="533"/>
      <c r="AA85" s="533"/>
      <c r="AB85" s="533"/>
      <c r="AC85" s="533"/>
      <c r="AD85" s="533"/>
      <c r="AE85" s="533"/>
      <c r="AF85" s="533"/>
      <c r="AG85" s="528" t="s">
        <v>297</v>
      </c>
      <c r="AH85" s="528" t="s">
        <v>298</v>
      </c>
      <c r="AI85" s="528">
        <v>2</v>
      </c>
      <c r="AJ85" s="528">
        <v>4</v>
      </c>
      <c r="AK85" s="483">
        <v>0.33329999999999999</v>
      </c>
      <c r="AL85" s="483">
        <v>0.66659999999999997</v>
      </c>
      <c r="AM85" s="525" t="s">
        <v>1124</v>
      </c>
      <c r="AN85" s="528">
        <v>26</v>
      </c>
      <c r="AO85" s="528">
        <v>0</v>
      </c>
      <c r="AP85" s="528">
        <v>0</v>
      </c>
      <c r="AQ85" s="528">
        <v>0</v>
      </c>
      <c r="AR85" s="528">
        <v>0</v>
      </c>
      <c r="AS85" s="528">
        <v>0</v>
      </c>
      <c r="AT85" s="528">
        <v>0</v>
      </c>
      <c r="AU85" s="528">
        <v>0</v>
      </c>
      <c r="AV85" s="528">
        <v>0</v>
      </c>
      <c r="AW85" s="528">
        <v>0</v>
      </c>
      <c r="AX85" s="528">
        <v>0</v>
      </c>
      <c r="AY85" s="528">
        <v>0</v>
      </c>
      <c r="AZ85" s="566">
        <v>12</v>
      </c>
      <c r="BA85" s="528" t="s">
        <v>1278</v>
      </c>
      <c r="BB85" s="528">
        <v>12</v>
      </c>
      <c r="BC85" s="528" t="s">
        <v>1278</v>
      </c>
      <c r="BD85" s="528"/>
      <c r="BE85" s="528">
        <v>12</v>
      </c>
      <c r="BF85" s="528"/>
      <c r="BG85" s="529"/>
      <c r="BH85" s="525"/>
      <c r="BI85" s="528"/>
      <c r="BJ85" s="528" t="s">
        <v>4</v>
      </c>
      <c r="BK85" s="528"/>
      <c r="BL85" s="529"/>
      <c r="BM85" s="525" t="s">
        <v>430</v>
      </c>
      <c r="BN85" s="525" t="s">
        <v>408</v>
      </c>
    </row>
    <row r="86" spans="1:66" ht="13" customHeight="1" x14ac:dyDescent="0.2">
      <c r="A86" s="525">
        <v>2876</v>
      </c>
      <c r="B86" s="565">
        <v>44455</v>
      </c>
      <c r="C86" s="526" t="s">
        <v>295</v>
      </c>
      <c r="D86" s="525" t="s">
        <v>1113</v>
      </c>
      <c r="E86" s="527">
        <v>44378</v>
      </c>
      <c r="F86" s="529" t="s">
        <v>1055</v>
      </c>
      <c r="G86" s="525" t="s">
        <v>1105</v>
      </c>
      <c r="H86" s="532">
        <v>78.599999999999994</v>
      </c>
      <c r="I86" s="531" t="s">
        <v>296</v>
      </c>
      <c r="J86" s="459">
        <v>6000</v>
      </c>
      <c r="K86" s="459">
        <v>12000</v>
      </c>
      <c r="L86" s="459">
        <v>84000</v>
      </c>
      <c r="M86" s="459">
        <v>84000</v>
      </c>
      <c r="N86" s="525"/>
      <c r="O86" s="532">
        <v>1.8363636363636362</v>
      </c>
      <c r="P86" s="532">
        <v>1.8181818181818181</v>
      </c>
      <c r="Q86" s="532">
        <v>1.7999999999999998</v>
      </c>
      <c r="R86" s="532">
        <v>0</v>
      </c>
      <c r="S86" s="532">
        <v>1.5545454545454545</v>
      </c>
      <c r="T86" s="533"/>
      <c r="U86" s="532">
        <v>1.6818181818181817</v>
      </c>
      <c r="V86" s="532">
        <v>1.6545454545454545</v>
      </c>
      <c r="W86" s="532">
        <v>1.5545454545454545</v>
      </c>
      <c r="X86" s="532">
        <v>0</v>
      </c>
      <c r="Y86" s="532">
        <v>1.4545454545454546</v>
      </c>
      <c r="Z86" s="533"/>
      <c r="AA86" s="533"/>
      <c r="AB86" s="533"/>
      <c r="AC86" s="533"/>
      <c r="AD86" s="533"/>
      <c r="AE86" s="533"/>
      <c r="AF86" s="533"/>
      <c r="AG86" s="528" t="s">
        <v>297</v>
      </c>
      <c r="AH86" s="528" t="s">
        <v>298</v>
      </c>
      <c r="AI86" s="528">
        <v>2</v>
      </c>
      <c r="AJ86" s="528">
        <v>4</v>
      </c>
      <c r="AK86" s="483">
        <v>0.33329999999999999</v>
      </c>
      <c r="AL86" s="483">
        <v>0.66659999999999997</v>
      </c>
      <c r="AM86" s="525" t="s">
        <v>1124</v>
      </c>
      <c r="AN86" s="528">
        <v>0</v>
      </c>
      <c r="AO86" s="528">
        <v>0</v>
      </c>
      <c r="AP86" s="528">
        <v>0</v>
      </c>
      <c r="AQ86" s="528">
        <v>0</v>
      </c>
      <c r="AR86" s="528">
        <v>0</v>
      </c>
      <c r="AS86" s="528">
        <v>0</v>
      </c>
      <c r="AT86" s="528">
        <v>0</v>
      </c>
      <c r="AU86" s="528">
        <v>0</v>
      </c>
      <c r="AV86" s="528">
        <v>0</v>
      </c>
      <c r="AW86" s="528">
        <v>0</v>
      </c>
      <c r="AX86" s="528">
        <v>0</v>
      </c>
      <c r="AY86" s="528">
        <v>0</v>
      </c>
      <c r="AZ86" s="528"/>
      <c r="BA86" s="528" t="s">
        <v>1278</v>
      </c>
      <c r="BB86" s="528"/>
      <c r="BC86" s="528" t="s">
        <v>1278</v>
      </c>
      <c r="BD86" s="528"/>
      <c r="BE86" s="528"/>
      <c r="BF86" s="564">
        <v>44926</v>
      </c>
      <c r="BG86" s="529"/>
      <c r="BH86" s="525"/>
      <c r="BI86" s="528"/>
      <c r="BJ86" s="528" t="s">
        <v>4</v>
      </c>
      <c r="BK86" s="528"/>
      <c r="BL86" s="529"/>
      <c r="BM86" s="529" t="s">
        <v>430</v>
      </c>
      <c r="BN86" s="525" t="s">
        <v>368</v>
      </c>
    </row>
    <row r="87" spans="1:66" ht="13" customHeight="1" x14ac:dyDescent="0.2">
      <c r="A87" s="525">
        <v>317</v>
      </c>
      <c r="B87" s="565">
        <v>44455</v>
      </c>
      <c r="C87" s="526" t="s">
        <v>295</v>
      </c>
      <c r="D87" s="525" t="s">
        <v>1113</v>
      </c>
      <c r="E87" s="527">
        <v>44287</v>
      </c>
      <c r="F87" s="525" t="s">
        <v>1057</v>
      </c>
      <c r="G87" s="525" t="s">
        <v>1181</v>
      </c>
      <c r="H87" s="532">
        <v>97.899999999999991</v>
      </c>
      <c r="I87" s="531" t="s">
        <v>296</v>
      </c>
      <c r="J87" s="459">
        <v>6000</v>
      </c>
      <c r="K87" s="459">
        <v>12000</v>
      </c>
      <c r="L87" s="459">
        <v>84000</v>
      </c>
      <c r="M87" s="459">
        <v>84000</v>
      </c>
      <c r="N87" s="525"/>
      <c r="O87" s="532">
        <v>2</v>
      </c>
      <c r="P87" s="532">
        <v>1.7999999999999998</v>
      </c>
      <c r="Q87" s="532">
        <v>1.7</v>
      </c>
      <c r="R87" s="532">
        <v>0</v>
      </c>
      <c r="S87" s="532">
        <v>1.5999999999999999</v>
      </c>
      <c r="T87" s="533"/>
      <c r="U87" s="532">
        <v>1.4999999999999998</v>
      </c>
      <c r="V87" s="532">
        <v>1.4999999999999998</v>
      </c>
      <c r="W87" s="532">
        <v>1.4999999999999998</v>
      </c>
      <c r="X87" s="532">
        <v>0</v>
      </c>
      <c r="Y87" s="532">
        <v>1.4</v>
      </c>
      <c r="Z87" s="533"/>
      <c r="AA87" s="533"/>
      <c r="AB87" s="533"/>
      <c r="AC87" s="533"/>
      <c r="AD87" s="533"/>
      <c r="AE87" s="533"/>
      <c r="AF87" s="533"/>
      <c r="AG87" s="528" t="s">
        <v>297</v>
      </c>
      <c r="AH87" s="528" t="s">
        <v>298</v>
      </c>
      <c r="AI87" s="528">
        <v>2</v>
      </c>
      <c r="AJ87" s="528">
        <v>4</v>
      </c>
      <c r="AK87" s="483">
        <v>0.33329999999999999</v>
      </c>
      <c r="AL87" s="483">
        <v>0.66659999999999997</v>
      </c>
      <c r="AM87" s="525" t="s">
        <v>1124</v>
      </c>
      <c r="AN87" s="528">
        <v>0</v>
      </c>
      <c r="AO87" s="528">
        <v>0</v>
      </c>
      <c r="AP87" s="528">
        <v>0</v>
      </c>
      <c r="AQ87" s="528">
        <v>0</v>
      </c>
      <c r="AR87" s="528">
        <v>0</v>
      </c>
      <c r="AS87" s="528">
        <v>0</v>
      </c>
      <c r="AT87" s="528">
        <v>0</v>
      </c>
      <c r="AU87" s="528">
        <v>0</v>
      </c>
      <c r="AV87" s="528">
        <v>0</v>
      </c>
      <c r="AW87" s="528">
        <v>0</v>
      </c>
      <c r="AX87" s="528">
        <v>0</v>
      </c>
      <c r="AY87" s="528">
        <v>0</v>
      </c>
      <c r="AZ87" s="528"/>
      <c r="BA87" s="528" t="s">
        <v>1278</v>
      </c>
      <c r="BB87" s="528"/>
      <c r="BC87" s="528" t="s">
        <v>1278</v>
      </c>
      <c r="BD87" s="528"/>
      <c r="BE87" s="528"/>
      <c r="BF87" s="528"/>
      <c r="BG87" s="529"/>
      <c r="BH87" s="525"/>
      <c r="BI87" s="528"/>
      <c r="BJ87" s="528" t="s">
        <v>4</v>
      </c>
      <c r="BK87" s="528"/>
      <c r="BL87" s="297"/>
      <c r="BM87" s="297" t="s">
        <v>1591</v>
      </c>
      <c r="BN87" s="525" t="s">
        <v>368</v>
      </c>
    </row>
    <row r="88" spans="1:66" ht="13" customHeight="1" x14ac:dyDescent="0.2">
      <c r="A88" s="525">
        <v>2852</v>
      </c>
      <c r="B88" s="565">
        <v>44456</v>
      </c>
      <c r="C88" s="526" t="s">
        <v>295</v>
      </c>
      <c r="D88" s="525" t="s">
        <v>1113</v>
      </c>
      <c r="E88" s="527">
        <v>44319</v>
      </c>
      <c r="F88" s="529" t="s">
        <v>981</v>
      </c>
      <c r="G88" s="525" t="s">
        <v>1478</v>
      </c>
      <c r="H88" s="532">
        <v>72.090909090909079</v>
      </c>
      <c r="I88" s="531"/>
      <c r="J88" s="568"/>
      <c r="K88" s="568"/>
      <c r="L88" s="568"/>
      <c r="M88" s="525"/>
      <c r="N88" s="525"/>
      <c r="O88" s="532">
        <v>1.7727272727272725</v>
      </c>
      <c r="P88" s="532">
        <v>0</v>
      </c>
      <c r="Q88" s="532">
        <v>0</v>
      </c>
      <c r="R88" s="532">
        <v>0</v>
      </c>
      <c r="S88" s="532">
        <v>0</v>
      </c>
      <c r="T88" s="533"/>
      <c r="U88" s="532">
        <v>1.7727272727272725</v>
      </c>
      <c r="V88" s="532">
        <v>0</v>
      </c>
      <c r="W88" s="532">
        <v>0</v>
      </c>
      <c r="X88" s="532">
        <v>0</v>
      </c>
      <c r="Y88" s="532">
        <v>0</v>
      </c>
      <c r="Z88" s="533"/>
      <c r="AA88" s="533"/>
      <c r="AB88" s="533"/>
      <c r="AC88" s="533"/>
      <c r="AD88" s="533"/>
      <c r="AE88" s="533"/>
      <c r="AF88" s="533"/>
      <c r="AG88" s="528" t="s">
        <v>1278</v>
      </c>
      <c r="AH88" s="528"/>
      <c r="AI88" s="528">
        <v>3</v>
      </c>
      <c r="AJ88" s="528">
        <v>3</v>
      </c>
      <c r="AK88" s="480">
        <v>0.5</v>
      </c>
      <c r="AL88" s="480">
        <v>0.5</v>
      </c>
      <c r="AM88" s="525"/>
      <c r="AN88" s="528">
        <v>0</v>
      </c>
      <c r="AO88" s="528">
        <v>0</v>
      </c>
      <c r="AP88" s="528">
        <v>0</v>
      </c>
      <c r="AQ88" s="528">
        <v>0</v>
      </c>
      <c r="AR88" s="528">
        <v>0</v>
      </c>
      <c r="AS88" s="528">
        <v>0</v>
      </c>
      <c r="AT88" s="528">
        <v>0</v>
      </c>
      <c r="AU88" s="528">
        <v>0</v>
      </c>
      <c r="AV88" s="528">
        <v>0</v>
      </c>
      <c r="AW88" s="528">
        <v>0</v>
      </c>
      <c r="AX88" s="528">
        <v>0</v>
      </c>
      <c r="AY88" s="528">
        <v>0</v>
      </c>
      <c r="AZ88" s="528"/>
      <c r="BA88" s="528" t="s">
        <v>1278</v>
      </c>
      <c r="BB88" s="528">
        <v>12</v>
      </c>
      <c r="BC88" s="528" t="s">
        <v>1278</v>
      </c>
      <c r="BD88" s="528"/>
      <c r="BE88" s="528">
        <v>12</v>
      </c>
      <c r="BF88" s="528"/>
      <c r="BG88" s="529"/>
      <c r="BH88" s="525"/>
      <c r="BI88" s="528"/>
      <c r="BJ88" s="528" t="s">
        <v>4</v>
      </c>
      <c r="BK88" s="528"/>
      <c r="BL88" s="529"/>
      <c r="BM88" s="525" t="s">
        <v>430</v>
      </c>
      <c r="BN88" s="525" t="s">
        <v>368</v>
      </c>
    </row>
    <row r="89" spans="1:66" ht="13" customHeight="1" x14ac:dyDescent="0.2">
      <c r="A89" s="525">
        <v>2399</v>
      </c>
      <c r="B89" s="565">
        <v>44455</v>
      </c>
      <c r="C89" s="526" t="s">
        <v>295</v>
      </c>
      <c r="D89" s="525" t="s">
        <v>1113</v>
      </c>
      <c r="E89" s="570">
        <v>44197</v>
      </c>
      <c r="F89" s="529" t="s">
        <v>982</v>
      </c>
      <c r="G89" s="525" t="s">
        <v>1297</v>
      </c>
      <c r="H89" s="532">
        <v>74.25454545454545</v>
      </c>
      <c r="I89" s="531" t="s">
        <v>296</v>
      </c>
      <c r="J89" s="459">
        <v>6000</v>
      </c>
      <c r="K89" s="459">
        <v>12000</v>
      </c>
      <c r="L89" s="459">
        <v>84000</v>
      </c>
      <c r="M89" s="459">
        <v>84000</v>
      </c>
      <c r="N89" s="525"/>
      <c r="O89" s="532">
        <v>1.9363636363636361</v>
      </c>
      <c r="P89" s="532">
        <v>1.7999999999999998</v>
      </c>
      <c r="Q89" s="532">
        <v>1.6181818181818182</v>
      </c>
      <c r="R89" s="532">
        <v>0</v>
      </c>
      <c r="S89" s="532">
        <v>1.5272727272727271</v>
      </c>
      <c r="T89" s="533"/>
      <c r="U89" s="532">
        <v>1.7999999999999998</v>
      </c>
      <c r="V89" s="532">
        <v>1.7545454545454544</v>
      </c>
      <c r="W89" s="532">
        <v>1.5727272727272725</v>
      </c>
      <c r="X89" s="532">
        <v>0</v>
      </c>
      <c r="Y89" s="532">
        <v>1.4818181818181817</v>
      </c>
      <c r="Z89" s="533"/>
      <c r="AA89" s="533"/>
      <c r="AB89" s="533"/>
      <c r="AC89" s="533"/>
      <c r="AD89" s="533"/>
      <c r="AE89" s="533"/>
      <c r="AF89" s="533"/>
      <c r="AG89" s="528" t="s">
        <v>297</v>
      </c>
      <c r="AH89" s="528" t="s">
        <v>298</v>
      </c>
      <c r="AI89" s="528">
        <v>2</v>
      </c>
      <c r="AJ89" s="528">
        <v>4</v>
      </c>
      <c r="AK89" s="483">
        <v>0.33329999999999999</v>
      </c>
      <c r="AL89" s="483">
        <v>0.66659999999999997</v>
      </c>
      <c r="AM89" s="525" t="s">
        <v>1124</v>
      </c>
      <c r="AN89" s="528">
        <v>0</v>
      </c>
      <c r="AO89" s="528">
        <v>0</v>
      </c>
      <c r="AP89" s="528">
        <v>0</v>
      </c>
      <c r="AQ89" s="528">
        <v>0</v>
      </c>
      <c r="AR89" s="528">
        <v>0</v>
      </c>
      <c r="AS89" s="528">
        <v>0</v>
      </c>
      <c r="AT89" s="528">
        <v>0</v>
      </c>
      <c r="AU89" s="528">
        <v>0</v>
      </c>
      <c r="AV89" s="528">
        <v>0</v>
      </c>
      <c r="AW89" s="528">
        <v>0</v>
      </c>
      <c r="AX89" s="528">
        <v>0</v>
      </c>
      <c r="AY89" s="528">
        <v>0</v>
      </c>
      <c r="AZ89" s="528"/>
      <c r="BA89" s="528" t="s">
        <v>1278</v>
      </c>
      <c r="BB89" s="528"/>
      <c r="BC89" s="528" t="s">
        <v>1278</v>
      </c>
      <c r="BD89" s="528"/>
      <c r="BE89" s="528"/>
      <c r="BF89" s="528"/>
      <c r="BG89" s="529"/>
      <c r="BH89" s="525"/>
      <c r="BI89" s="528"/>
      <c r="BJ89" s="528" t="s">
        <v>4</v>
      </c>
      <c r="BK89" s="528"/>
      <c r="BL89" s="529"/>
      <c r="BM89" s="424" t="s">
        <v>1528</v>
      </c>
      <c r="BN89" s="525" t="s">
        <v>368</v>
      </c>
    </row>
    <row r="90" spans="1:66" ht="13" customHeight="1" x14ac:dyDescent="0.2">
      <c r="A90" s="525">
        <v>2957</v>
      </c>
      <c r="B90" s="565">
        <v>44456</v>
      </c>
      <c r="C90" s="526" t="s">
        <v>295</v>
      </c>
      <c r="D90" s="525" t="s">
        <v>1113</v>
      </c>
      <c r="E90" s="570">
        <v>44440</v>
      </c>
      <c r="F90" s="529" t="s">
        <v>984</v>
      </c>
      <c r="G90" s="525" t="s">
        <v>1405</v>
      </c>
      <c r="H90" s="532">
        <v>92.61818181818181</v>
      </c>
      <c r="I90" s="531" t="s">
        <v>296</v>
      </c>
      <c r="J90" s="459">
        <v>6000</v>
      </c>
      <c r="K90" s="459">
        <v>12000</v>
      </c>
      <c r="L90" s="459">
        <v>84000</v>
      </c>
      <c r="M90" s="459">
        <v>84000</v>
      </c>
      <c r="N90" s="525"/>
      <c r="O90" s="532">
        <v>2.4090909090909087</v>
      </c>
      <c r="P90" s="532">
        <v>2.0545454545454542</v>
      </c>
      <c r="Q90" s="532">
        <v>1.6090909090909089</v>
      </c>
      <c r="R90" s="532">
        <v>0</v>
      </c>
      <c r="S90" s="532">
        <v>1.5999999999999999</v>
      </c>
      <c r="T90" s="533"/>
      <c r="U90" s="532">
        <v>1.8181818181818181</v>
      </c>
      <c r="V90" s="532">
        <v>1.7636363636363634</v>
      </c>
      <c r="W90" s="532">
        <v>1.6090909090909089</v>
      </c>
      <c r="X90" s="532">
        <v>0</v>
      </c>
      <c r="Y90" s="532">
        <v>1.5545454545454545</v>
      </c>
      <c r="Z90" s="533"/>
      <c r="AA90" s="533"/>
      <c r="AB90" s="533"/>
      <c r="AC90" s="533"/>
      <c r="AD90" s="533"/>
      <c r="AE90" s="533"/>
      <c r="AF90" s="533"/>
      <c r="AG90" s="528" t="s">
        <v>297</v>
      </c>
      <c r="AH90" s="528" t="s">
        <v>298</v>
      </c>
      <c r="AI90" s="528">
        <v>2</v>
      </c>
      <c r="AJ90" s="528">
        <v>4</v>
      </c>
      <c r="AK90" s="483">
        <v>0.33329999999999999</v>
      </c>
      <c r="AL90" s="483">
        <v>0.66659999999999997</v>
      </c>
      <c r="AM90" s="525" t="s">
        <v>1124</v>
      </c>
      <c r="AN90" s="528">
        <v>16</v>
      </c>
      <c r="AO90" s="528">
        <v>0</v>
      </c>
      <c r="AP90" s="528">
        <v>0</v>
      </c>
      <c r="AQ90" s="528">
        <v>0</v>
      </c>
      <c r="AR90" s="528">
        <v>0</v>
      </c>
      <c r="AS90" s="528">
        <v>0</v>
      </c>
      <c r="AT90" s="528">
        <v>0</v>
      </c>
      <c r="AU90" s="528">
        <v>0</v>
      </c>
      <c r="AV90" s="528">
        <v>0</v>
      </c>
      <c r="AW90" s="528">
        <v>0</v>
      </c>
      <c r="AX90" s="528">
        <v>0</v>
      </c>
      <c r="AY90" s="528">
        <v>0</v>
      </c>
      <c r="AZ90" s="528"/>
      <c r="BA90" s="528" t="s">
        <v>1278</v>
      </c>
      <c r="BB90" s="528"/>
      <c r="BC90" s="528" t="s">
        <v>1278</v>
      </c>
      <c r="BD90" s="528"/>
      <c r="BE90" s="528"/>
      <c r="BF90" s="528"/>
      <c r="BG90" s="529"/>
      <c r="BH90" s="525"/>
      <c r="BI90" s="528"/>
      <c r="BJ90" s="528" t="s">
        <v>4</v>
      </c>
      <c r="BK90" s="528"/>
      <c r="BL90" s="529"/>
      <c r="BM90" s="529" t="s">
        <v>430</v>
      </c>
      <c r="BN90" s="525" t="s">
        <v>408</v>
      </c>
    </row>
    <row r="91" spans="1:66" ht="13" customHeight="1" x14ac:dyDescent="0.2">
      <c r="A91" s="525">
        <v>2747</v>
      </c>
      <c r="B91" s="565">
        <v>44455</v>
      </c>
      <c r="C91" s="526" t="s">
        <v>295</v>
      </c>
      <c r="D91" s="525" t="s">
        <v>1113</v>
      </c>
      <c r="E91" s="570">
        <v>44067</v>
      </c>
      <c r="F91" s="525" t="s">
        <v>985</v>
      </c>
      <c r="G91" s="525" t="s">
        <v>1570</v>
      </c>
      <c r="H91" s="532">
        <v>72</v>
      </c>
      <c r="I91" s="394" t="s">
        <v>296</v>
      </c>
      <c r="J91" s="459">
        <v>6000</v>
      </c>
      <c r="K91" s="459">
        <v>12000</v>
      </c>
      <c r="L91" s="459">
        <v>84000</v>
      </c>
      <c r="M91" s="459">
        <v>84000</v>
      </c>
      <c r="N91" s="332"/>
      <c r="O91" s="532">
        <v>1.6181818181818182</v>
      </c>
      <c r="P91" s="532">
        <v>1.5181818181818181</v>
      </c>
      <c r="Q91" s="532">
        <v>1.3181818181818181</v>
      </c>
      <c r="R91" s="532">
        <v>0</v>
      </c>
      <c r="S91" s="532">
        <v>1.2727272727272725</v>
      </c>
      <c r="T91" s="571"/>
      <c r="U91" s="532">
        <v>1.4</v>
      </c>
      <c r="V91" s="532">
        <v>1.3181818181818181</v>
      </c>
      <c r="W91" s="532">
        <v>1.2818181818181817</v>
      </c>
      <c r="X91" s="532">
        <v>0</v>
      </c>
      <c r="Y91" s="532">
        <v>1.2545454545454544</v>
      </c>
      <c r="Z91" s="571"/>
      <c r="AA91" s="571"/>
      <c r="AB91" s="571"/>
      <c r="AC91" s="571"/>
      <c r="AD91" s="571"/>
      <c r="AE91" s="571"/>
      <c r="AF91" s="571"/>
      <c r="AG91" s="333" t="s">
        <v>297</v>
      </c>
      <c r="AH91" s="333" t="s">
        <v>298</v>
      </c>
      <c r="AI91" s="528">
        <v>2</v>
      </c>
      <c r="AJ91" s="528">
        <v>4</v>
      </c>
      <c r="AK91" s="483">
        <v>0.33329999999999999</v>
      </c>
      <c r="AL91" s="483">
        <v>0.66659999999999997</v>
      </c>
      <c r="AM91" s="525" t="s">
        <v>1124</v>
      </c>
      <c r="AN91" s="528">
        <v>0</v>
      </c>
      <c r="AO91" s="528">
        <v>0</v>
      </c>
      <c r="AP91" s="528">
        <v>0</v>
      </c>
      <c r="AQ91" s="528">
        <v>0</v>
      </c>
      <c r="AR91" s="528">
        <v>0</v>
      </c>
      <c r="AS91" s="528">
        <v>0</v>
      </c>
      <c r="AT91" s="528">
        <v>0</v>
      </c>
      <c r="AU91" s="528">
        <v>0</v>
      </c>
      <c r="AV91" s="528">
        <v>0</v>
      </c>
      <c r="AW91" s="528">
        <v>0</v>
      </c>
      <c r="AX91" s="528">
        <v>0</v>
      </c>
      <c r="AY91" s="528">
        <v>0</v>
      </c>
      <c r="AZ91" s="528"/>
      <c r="BA91" s="528" t="s">
        <v>1278</v>
      </c>
      <c r="BB91" s="528"/>
      <c r="BC91" s="528" t="s">
        <v>1278</v>
      </c>
      <c r="BD91" s="528"/>
      <c r="BE91" s="528"/>
      <c r="BF91" s="528"/>
      <c r="BG91" s="529"/>
      <c r="BH91" s="525"/>
      <c r="BI91" s="528"/>
      <c r="BJ91" s="528" t="s">
        <v>411</v>
      </c>
      <c r="BK91" s="528"/>
      <c r="BL91" s="529" t="s">
        <v>1571</v>
      </c>
      <c r="BM91" s="530" t="s">
        <v>1592</v>
      </c>
      <c r="BN91" s="525" t="s">
        <v>368</v>
      </c>
    </row>
    <row r="92" spans="1:66" ht="13" customHeight="1" x14ac:dyDescent="0.2">
      <c r="A92" s="525">
        <v>1687</v>
      </c>
      <c r="B92" s="565">
        <v>44456</v>
      </c>
      <c r="C92" s="526" t="s">
        <v>295</v>
      </c>
      <c r="D92" s="525" t="s">
        <v>1113</v>
      </c>
      <c r="E92" s="527">
        <v>44442</v>
      </c>
      <c r="F92" s="529" t="s">
        <v>1106</v>
      </c>
      <c r="G92" s="525" t="s">
        <v>2</v>
      </c>
      <c r="H92" s="532">
        <v>70</v>
      </c>
      <c r="I92" s="531" t="s">
        <v>296</v>
      </c>
      <c r="J92" s="568">
        <v>6000</v>
      </c>
      <c r="K92" s="568">
        <v>6000</v>
      </c>
      <c r="L92" s="568">
        <v>6000</v>
      </c>
      <c r="M92" s="568">
        <v>6000</v>
      </c>
      <c r="N92" s="525"/>
      <c r="O92" s="532">
        <v>1.5818181818181818</v>
      </c>
      <c r="P92" s="532">
        <v>0</v>
      </c>
      <c r="Q92" s="532">
        <v>0</v>
      </c>
      <c r="R92" s="532">
        <v>0</v>
      </c>
      <c r="S92" s="532">
        <v>1.4</v>
      </c>
      <c r="T92" s="533"/>
      <c r="U92" s="532">
        <v>1.5818181818181818</v>
      </c>
      <c r="V92" s="532">
        <v>0</v>
      </c>
      <c r="W92" s="532">
        <v>0</v>
      </c>
      <c r="X92" s="532">
        <v>0</v>
      </c>
      <c r="Y92" s="532">
        <v>1.4</v>
      </c>
      <c r="Z92" s="533"/>
      <c r="AA92" s="533"/>
      <c r="AB92" s="533"/>
      <c r="AC92" s="533"/>
      <c r="AD92" s="533"/>
      <c r="AE92" s="533"/>
      <c r="AF92" s="533"/>
      <c r="AG92" s="528" t="s">
        <v>1278</v>
      </c>
      <c r="AH92" s="528"/>
      <c r="AI92" s="528">
        <v>3</v>
      </c>
      <c r="AJ92" s="528">
        <v>3</v>
      </c>
      <c r="AK92" s="480">
        <v>0.5</v>
      </c>
      <c r="AL92" s="480">
        <v>0.5</v>
      </c>
      <c r="AM92" s="525"/>
      <c r="AN92" s="528">
        <v>0</v>
      </c>
      <c r="AO92" s="528">
        <v>0</v>
      </c>
      <c r="AP92" s="528">
        <v>0</v>
      </c>
      <c r="AQ92" s="528">
        <v>0</v>
      </c>
      <c r="AR92" s="528">
        <v>0</v>
      </c>
      <c r="AS92" s="528">
        <v>0</v>
      </c>
      <c r="AT92" s="528">
        <v>0</v>
      </c>
      <c r="AU92" s="528">
        <v>0</v>
      </c>
      <c r="AV92" s="528">
        <v>0</v>
      </c>
      <c r="AW92" s="528">
        <v>0</v>
      </c>
      <c r="AX92" s="528">
        <v>0</v>
      </c>
      <c r="AY92" s="528">
        <v>0</v>
      </c>
      <c r="AZ92" s="528"/>
      <c r="BA92" s="528" t="s">
        <v>1278</v>
      </c>
      <c r="BB92" s="528"/>
      <c r="BC92" s="528" t="s">
        <v>1278</v>
      </c>
      <c r="BD92" s="528"/>
      <c r="BE92" s="528"/>
      <c r="BF92" s="529"/>
      <c r="BG92" s="525"/>
      <c r="BH92" s="528"/>
      <c r="BI92" s="528"/>
      <c r="BJ92" s="528" t="s">
        <v>4</v>
      </c>
      <c r="BK92" s="528">
        <v>1</v>
      </c>
      <c r="BL92" s="525"/>
      <c r="BM92" s="530" t="s">
        <v>1593</v>
      </c>
      <c r="BN92" s="525" t="s">
        <v>408</v>
      </c>
    </row>
    <row r="93" spans="1:66" ht="13" customHeight="1" x14ac:dyDescent="0.2">
      <c r="A93" s="525">
        <v>2900</v>
      </c>
      <c r="B93" s="565">
        <v>44455</v>
      </c>
      <c r="C93" s="526" t="s">
        <v>295</v>
      </c>
      <c r="D93" s="525" t="s">
        <v>1113</v>
      </c>
      <c r="E93" s="527">
        <v>44228</v>
      </c>
      <c r="F93" s="525" t="s">
        <v>34</v>
      </c>
      <c r="G93" s="525" t="s">
        <v>1181</v>
      </c>
      <c r="H93" s="532">
        <v>75.499999999999986</v>
      </c>
      <c r="I93" s="394"/>
      <c r="J93" s="394"/>
      <c r="K93" s="394"/>
      <c r="L93" s="332"/>
      <c r="M93" s="332"/>
      <c r="N93" s="332"/>
      <c r="O93" s="532">
        <v>1.6272727272727272</v>
      </c>
      <c r="P93" s="532">
        <v>0</v>
      </c>
      <c r="Q93" s="532">
        <v>0</v>
      </c>
      <c r="R93" s="532">
        <v>0</v>
      </c>
      <c r="S93" s="532">
        <v>0</v>
      </c>
      <c r="T93" s="571"/>
      <c r="U93" s="532">
        <v>1.4636363636363636</v>
      </c>
      <c r="V93" s="532">
        <v>0</v>
      </c>
      <c r="W93" s="532">
        <v>0</v>
      </c>
      <c r="X93" s="532">
        <v>0</v>
      </c>
      <c r="Y93" s="532">
        <v>0</v>
      </c>
      <c r="Z93" s="571"/>
      <c r="AA93" s="571"/>
      <c r="AB93" s="571"/>
      <c r="AC93" s="571"/>
      <c r="AD93" s="571"/>
      <c r="AE93" s="571"/>
      <c r="AF93" s="571"/>
      <c r="AG93" s="333" t="s">
        <v>297</v>
      </c>
      <c r="AH93" s="333" t="s">
        <v>298</v>
      </c>
      <c r="AI93" s="528">
        <v>2</v>
      </c>
      <c r="AJ93" s="528">
        <v>4</v>
      </c>
      <c r="AK93" s="483">
        <v>0.33329999999999999</v>
      </c>
      <c r="AL93" s="483">
        <v>0.66659999999999997</v>
      </c>
      <c r="AM93" s="525" t="s">
        <v>1124</v>
      </c>
      <c r="AN93" s="528">
        <v>0</v>
      </c>
      <c r="AO93" s="528">
        <v>0</v>
      </c>
      <c r="AP93" s="528">
        <v>0</v>
      </c>
      <c r="AQ93" s="528">
        <v>0</v>
      </c>
      <c r="AR93" s="528">
        <v>0</v>
      </c>
      <c r="AS93" s="528">
        <v>0</v>
      </c>
      <c r="AT93" s="528">
        <v>0</v>
      </c>
      <c r="AU93" s="528">
        <v>0</v>
      </c>
      <c r="AV93" s="528">
        <v>0</v>
      </c>
      <c r="AW93" s="528">
        <v>0</v>
      </c>
      <c r="AX93" s="528">
        <v>0</v>
      </c>
      <c r="AY93" s="528">
        <v>0</v>
      </c>
      <c r="AZ93" s="528"/>
      <c r="BA93" s="528" t="s">
        <v>1278</v>
      </c>
      <c r="BB93" s="528"/>
      <c r="BC93" s="528" t="s">
        <v>1278</v>
      </c>
      <c r="BD93" s="528"/>
      <c r="BE93" s="528"/>
      <c r="BF93" s="528"/>
      <c r="BG93" s="529"/>
      <c r="BH93" s="525"/>
      <c r="BI93" s="528"/>
      <c r="BJ93" s="528" t="s">
        <v>411</v>
      </c>
      <c r="BK93" s="528"/>
      <c r="BL93" s="529" t="s">
        <v>1284</v>
      </c>
      <c r="BM93" s="525" t="s">
        <v>1559</v>
      </c>
      <c r="BN93" s="525" t="s">
        <v>368</v>
      </c>
    </row>
    <row r="94" spans="1:66" ht="13" customHeight="1" x14ac:dyDescent="0.2">
      <c r="A94" s="525">
        <v>2744</v>
      </c>
      <c r="B94" s="565">
        <v>44455</v>
      </c>
      <c r="C94" s="526" t="s">
        <v>295</v>
      </c>
      <c r="D94" s="525" t="s">
        <v>1113</v>
      </c>
      <c r="E94" s="527">
        <v>44197</v>
      </c>
      <c r="F94" s="525" t="s">
        <v>1274</v>
      </c>
      <c r="G94" s="525" t="s">
        <v>1467</v>
      </c>
      <c r="H94" s="532">
        <v>85.999999999999986</v>
      </c>
      <c r="I94" s="394" t="s">
        <v>296</v>
      </c>
      <c r="J94" s="409">
        <v>6000</v>
      </c>
      <c r="K94" s="332">
        <v>12000</v>
      </c>
      <c r="L94" s="332">
        <v>12000</v>
      </c>
      <c r="M94" s="332">
        <v>12000</v>
      </c>
      <c r="N94" s="332"/>
      <c r="O94" s="532">
        <v>1.9818181818181817</v>
      </c>
      <c r="P94" s="532">
        <v>1.918181818181818</v>
      </c>
      <c r="Q94" s="532">
        <v>0</v>
      </c>
      <c r="R94" s="532">
        <v>0</v>
      </c>
      <c r="S94" s="532">
        <v>1.6181818181818182</v>
      </c>
      <c r="T94" s="571"/>
      <c r="U94" s="532">
        <v>1.9818181818181817</v>
      </c>
      <c r="V94" s="532">
        <v>1.918181818181818</v>
      </c>
      <c r="W94" s="532">
        <v>0</v>
      </c>
      <c r="X94" s="532">
        <v>0</v>
      </c>
      <c r="Y94" s="532">
        <v>1.6181818181818182</v>
      </c>
      <c r="Z94" s="571"/>
      <c r="AA94" s="571"/>
      <c r="AB94" s="571"/>
      <c r="AC94" s="571"/>
      <c r="AD94" s="571"/>
      <c r="AE94" s="571"/>
      <c r="AF94" s="571"/>
      <c r="AG94" s="333" t="s">
        <v>1278</v>
      </c>
      <c r="AH94" s="333"/>
      <c r="AI94" s="528">
        <v>3</v>
      </c>
      <c r="AJ94" s="528">
        <v>3</v>
      </c>
      <c r="AK94" s="480">
        <v>0.5</v>
      </c>
      <c r="AL94" s="480">
        <v>0.5</v>
      </c>
      <c r="AM94" s="525"/>
      <c r="AN94" s="528">
        <v>0</v>
      </c>
      <c r="AO94" s="528">
        <v>12</v>
      </c>
      <c r="AP94" s="528">
        <v>0</v>
      </c>
      <c r="AQ94" s="528">
        <v>3</v>
      </c>
      <c r="AR94" s="528">
        <v>0</v>
      </c>
      <c r="AS94" s="528">
        <v>0</v>
      </c>
      <c r="AT94" s="528">
        <v>0</v>
      </c>
      <c r="AU94" s="528">
        <v>0</v>
      </c>
      <c r="AV94" s="528">
        <v>0</v>
      </c>
      <c r="AW94" s="528">
        <v>0</v>
      </c>
      <c r="AX94" s="528">
        <v>0</v>
      </c>
      <c r="AY94" s="528">
        <v>0</v>
      </c>
      <c r="AZ94" s="528"/>
      <c r="BA94" s="528" t="s">
        <v>1278</v>
      </c>
      <c r="BB94" s="528"/>
      <c r="BC94" s="528" t="s">
        <v>1278</v>
      </c>
      <c r="BD94" s="528"/>
      <c r="BE94" s="528"/>
      <c r="BF94" s="528"/>
      <c r="BG94" s="529"/>
      <c r="BH94" s="525"/>
      <c r="BI94" s="528"/>
      <c r="BJ94" s="528" t="s">
        <v>411</v>
      </c>
      <c r="BK94" s="528">
        <v>1</v>
      </c>
      <c r="BL94" s="529"/>
      <c r="BM94" s="530" t="s">
        <v>1519</v>
      </c>
      <c r="BN94" s="525" t="s">
        <v>368</v>
      </c>
    </row>
    <row r="95" spans="1:66" ht="13" customHeight="1" x14ac:dyDescent="0.2">
      <c r="A95" s="525">
        <v>2334</v>
      </c>
      <c r="B95" s="565">
        <v>44455</v>
      </c>
      <c r="C95" s="526" t="s">
        <v>295</v>
      </c>
      <c r="D95" s="525" t="s">
        <v>1113</v>
      </c>
      <c r="E95" s="570">
        <v>44228</v>
      </c>
      <c r="F95" s="525" t="s">
        <v>1291</v>
      </c>
      <c r="G95" s="525" t="s">
        <v>1181</v>
      </c>
      <c r="H95" s="532">
        <v>80.336363636363629</v>
      </c>
      <c r="I95" s="394"/>
      <c r="J95" s="409"/>
      <c r="K95" s="332"/>
      <c r="L95" s="332"/>
      <c r="M95" s="332"/>
      <c r="N95" s="332"/>
      <c r="O95" s="532">
        <v>1.5909090909090908</v>
      </c>
      <c r="P95" s="532">
        <v>0</v>
      </c>
      <c r="Q95" s="532">
        <v>0</v>
      </c>
      <c r="R95" s="532">
        <v>0</v>
      </c>
      <c r="S95" s="532">
        <v>0</v>
      </c>
      <c r="T95" s="571"/>
      <c r="U95" s="532">
        <v>1.4363636363636363</v>
      </c>
      <c r="V95" s="532">
        <v>0</v>
      </c>
      <c r="W95" s="532">
        <v>0</v>
      </c>
      <c r="X95" s="532">
        <v>0</v>
      </c>
      <c r="Y95" s="532">
        <v>0</v>
      </c>
      <c r="Z95" s="571"/>
      <c r="AA95" s="571"/>
      <c r="AB95" s="571"/>
      <c r="AC95" s="571"/>
      <c r="AD95" s="571"/>
      <c r="AE95" s="571"/>
      <c r="AF95" s="571"/>
      <c r="AG95" s="333" t="s">
        <v>297</v>
      </c>
      <c r="AH95" s="333" t="s">
        <v>298</v>
      </c>
      <c r="AI95" s="528">
        <v>2</v>
      </c>
      <c r="AJ95" s="528">
        <v>4</v>
      </c>
      <c r="AK95" s="483">
        <v>0.33329999999999999</v>
      </c>
      <c r="AL95" s="483">
        <v>0.66659999999999997</v>
      </c>
      <c r="AM95" s="525" t="s">
        <v>1124</v>
      </c>
      <c r="AN95" s="528">
        <v>0</v>
      </c>
      <c r="AO95" s="528">
        <v>0</v>
      </c>
      <c r="AP95" s="528">
        <v>0</v>
      </c>
      <c r="AQ95" s="528">
        <v>0</v>
      </c>
      <c r="AR95" s="528">
        <v>0</v>
      </c>
      <c r="AS95" s="528">
        <v>0</v>
      </c>
      <c r="AT95" s="528">
        <v>0</v>
      </c>
      <c r="AU95" s="528">
        <v>0</v>
      </c>
      <c r="AV95" s="528">
        <v>0</v>
      </c>
      <c r="AW95" s="528">
        <v>0</v>
      </c>
      <c r="AX95" s="528">
        <v>0</v>
      </c>
      <c r="AY95" s="528">
        <v>0</v>
      </c>
      <c r="AZ95" s="528"/>
      <c r="BA95" s="528" t="s">
        <v>1278</v>
      </c>
      <c r="BB95" s="528"/>
      <c r="BC95" s="528" t="s">
        <v>1278</v>
      </c>
      <c r="BD95" s="528"/>
      <c r="BE95" s="528"/>
      <c r="BF95" s="528"/>
      <c r="BG95" s="529"/>
      <c r="BH95" s="525"/>
      <c r="BI95" s="528"/>
      <c r="BJ95" s="528" t="s">
        <v>4</v>
      </c>
      <c r="BK95" s="528"/>
      <c r="BL95" s="529" t="s">
        <v>1284</v>
      </c>
      <c r="BM95" s="569" t="s">
        <v>1554</v>
      </c>
      <c r="BN95" s="525" t="s">
        <v>368</v>
      </c>
    </row>
    <row r="96" spans="1:66" ht="13" customHeight="1" x14ac:dyDescent="0.2">
      <c r="A96" s="525">
        <v>2935</v>
      </c>
      <c r="B96" s="565">
        <v>44456</v>
      </c>
      <c r="C96" s="526" t="s">
        <v>295</v>
      </c>
      <c r="D96" s="525" t="s">
        <v>1113</v>
      </c>
      <c r="E96" s="527">
        <v>44452</v>
      </c>
      <c r="F96" s="525" t="s">
        <v>1483</v>
      </c>
      <c r="G96" s="525" t="s">
        <v>1550</v>
      </c>
      <c r="H96" s="532">
        <v>94</v>
      </c>
      <c r="I96" s="531" t="s">
        <v>296</v>
      </c>
      <c r="J96" s="459">
        <v>6000</v>
      </c>
      <c r="K96" s="459">
        <v>12000</v>
      </c>
      <c r="L96" s="459">
        <v>84000</v>
      </c>
      <c r="M96" s="459">
        <v>84000</v>
      </c>
      <c r="N96" s="332"/>
      <c r="O96" s="532">
        <v>1.4181818181818182</v>
      </c>
      <c r="P96" s="532">
        <v>1.3090909090909089</v>
      </c>
      <c r="Q96" s="532">
        <v>1.2363636363636363</v>
      </c>
      <c r="R96" s="532">
        <v>0</v>
      </c>
      <c r="S96" s="532">
        <v>1.0999999999999999</v>
      </c>
      <c r="T96" s="571"/>
      <c r="U96" s="532">
        <v>1.1545454545454545</v>
      </c>
      <c r="V96" s="532">
        <v>1.0545454545454545</v>
      </c>
      <c r="W96" s="532">
        <v>1.0363636363636362</v>
      </c>
      <c r="X96" s="532">
        <v>0</v>
      </c>
      <c r="Y96" s="532">
        <v>1</v>
      </c>
      <c r="Z96" s="571"/>
      <c r="AA96" s="571"/>
      <c r="AB96" s="571"/>
      <c r="AC96" s="571"/>
      <c r="AD96" s="571"/>
      <c r="AE96" s="571"/>
      <c r="AF96" s="571"/>
      <c r="AG96" s="333" t="s">
        <v>297</v>
      </c>
      <c r="AH96" s="333" t="s">
        <v>298</v>
      </c>
      <c r="AI96" s="528">
        <v>2</v>
      </c>
      <c r="AJ96" s="528">
        <v>4</v>
      </c>
      <c r="AK96" s="483">
        <v>0.33329999999999999</v>
      </c>
      <c r="AL96" s="483">
        <v>0.66659999999999997</v>
      </c>
      <c r="AM96" s="525" t="s">
        <v>1124</v>
      </c>
      <c r="AN96" s="528">
        <v>0</v>
      </c>
      <c r="AO96" s="528">
        <v>0</v>
      </c>
      <c r="AP96" s="528">
        <v>0</v>
      </c>
      <c r="AQ96" s="528">
        <v>0</v>
      </c>
      <c r="AR96" s="528">
        <v>0</v>
      </c>
      <c r="AS96" s="528">
        <v>0</v>
      </c>
      <c r="AT96" s="528">
        <v>0</v>
      </c>
      <c r="AU96" s="528">
        <v>0</v>
      </c>
      <c r="AV96" s="528">
        <v>0</v>
      </c>
      <c r="AW96" s="528">
        <v>0</v>
      </c>
      <c r="AX96" s="528">
        <v>0</v>
      </c>
      <c r="AY96" s="528">
        <v>0</v>
      </c>
      <c r="AZ96" s="528"/>
      <c r="BA96" s="528" t="s">
        <v>1278</v>
      </c>
      <c r="BB96" s="528"/>
      <c r="BC96" s="528" t="s">
        <v>1278</v>
      </c>
      <c r="BD96" s="528"/>
      <c r="BE96" s="528">
        <v>12</v>
      </c>
      <c r="BF96" s="564"/>
      <c r="BG96" s="529"/>
      <c r="BH96" s="525"/>
      <c r="BI96" s="528"/>
      <c r="BJ96" s="528" t="s">
        <v>4</v>
      </c>
      <c r="BK96" s="528"/>
      <c r="BL96" s="529"/>
      <c r="BM96" s="569" t="s">
        <v>430</v>
      </c>
      <c r="BN96" s="525" t="s">
        <v>408</v>
      </c>
    </row>
    <row r="97" spans="1:66" ht="13" customHeight="1" x14ac:dyDescent="0.2">
      <c r="A97" s="525">
        <v>3032</v>
      </c>
      <c r="B97" s="565">
        <v>44456</v>
      </c>
      <c r="C97" s="526" t="s">
        <v>295</v>
      </c>
      <c r="D97" s="525" t="s">
        <v>1114</v>
      </c>
      <c r="E97" s="527">
        <v>44378</v>
      </c>
      <c r="F97" s="529" t="s">
        <v>1044</v>
      </c>
      <c r="G97" s="525" t="s">
        <v>1562</v>
      </c>
      <c r="H97" s="532">
        <v>80.909090909090907</v>
      </c>
      <c r="I97" s="531" t="s">
        <v>296</v>
      </c>
      <c r="J97" s="459">
        <v>6000</v>
      </c>
      <c r="K97" s="459">
        <v>12000</v>
      </c>
      <c r="L97" s="459">
        <v>84000</v>
      </c>
      <c r="M97" s="459">
        <v>84000</v>
      </c>
      <c r="N97" s="525"/>
      <c r="O97" s="532">
        <v>2.2636363636363637</v>
      </c>
      <c r="P97" s="532">
        <v>2.1818181818181817</v>
      </c>
      <c r="Q97" s="532">
        <v>1.4999999999999998</v>
      </c>
      <c r="R97" s="532">
        <v>0</v>
      </c>
      <c r="S97" s="532">
        <v>1.4363636363636363</v>
      </c>
      <c r="T97" s="533"/>
      <c r="U97" s="532">
        <v>1.9363636363636361</v>
      </c>
      <c r="V97" s="532">
        <v>1.6727272727272726</v>
      </c>
      <c r="W97" s="532">
        <v>1.4727272727272727</v>
      </c>
      <c r="X97" s="532">
        <v>0</v>
      </c>
      <c r="Y97" s="532">
        <v>1.3272727272727272</v>
      </c>
      <c r="Z97" s="533"/>
      <c r="AA97" s="533"/>
      <c r="AB97" s="533"/>
      <c r="AC97" s="533"/>
      <c r="AD97" s="533"/>
      <c r="AE97" s="533"/>
      <c r="AF97" s="533"/>
      <c r="AG97" s="528" t="s">
        <v>297</v>
      </c>
      <c r="AH97" s="528" t="s">
        <v>298</v>
      </c>
      <c r="AI97" s="528">
        <v>2</v>
      </c>
      <c r="AJ97" s="528">
        <v>4</v>
      </c>
      <c r="AK97" s="483">
        <v>0.33329999999999999</v>
      </c>
      <c r="AL97" s="483">
        <v>0.66659999999999997</v>
      </c>
      <c r="AM97" s="525" t="s">
        <v>1124</v>
      </c>
      <c r="AN97" s="528">
        <v>0</v>
      </c>
      <c r="AO97" s="528">
        <v>0</v>
      </c>
      <c r="AP97" s="528">
        <v>0</v>
      </c>
      <c r="AQ97" s="528">
        <v>0</v>
      </c>
      <c r="AR97" s="528">
        <v>0</v>
      </c>
      <c r="AS97" s="528">
        <v>0</v>
      </c>
      <c r="AT97" s="528">
        <v>0</v>
      </c>
      <c r="AU97" s="528">
        <v>0</v>
      </c>
      <c r="AV97" s="528">
        <v>0</v>
      </c>
      <c r="AW97" s="528">
        <v>0</v>
      </c>
      <c r="AX97" s="528">
        <v>0</v>
      </c>
      <c r="AY97" s="528">
        <v>0</v>
      </c>
      <c r="AZ97" s="528"/>
      <c r="BA97" s="528" t="s">
        <v>1278</v>
      </c>
      <c r="BB97" s="528"/>
      <c r="BC97" s="528" t="s">
        <v>1278</v>
      </c>
      <c r="BD97" s="528"/>
      <c r="BE97" s="528"/>
      <c r="BF97" s="528"/>
      <c r="BG97" s="529"/>
      <c r="BH97" s="525"/>
      <c r="BI97" s="528"/>
      <c r="BJ97" s="528" t="s">
        <v>4</v>
      </c>
      <c r="BK97" s="528"/>
      <c r="BL97" s="529"/>
      <c r="BM97" s="567" t="s">
        <v>1594</v>
      </c>
      <c r="BN97" s="525" t="s">
        <v>368</v>
      </c>
    </row>
    <row r="98" spans="1:66" ht="13" customHeight="1" x14ac:dyDescent="0.2">
      <c r="A98" s="525">
        <v>2501</v>
      </c>
      <c r="B98" s="565">
        <v>44455</v>
      </c>
      <c r="C98" s="526" t="s">
        <v>295</v>
      </c>
      <c r="D98" s="525" t="s">
        <v>1114</v>
      </c>
      <c r="E98" s="527">
        <v>44326</v>
      </c>
      <c r="F98" s="529" t="s">
        <v>1046</v>
      </c>
      <c r="G98" s="525" t="s">
        <v>1280</v>
      </c>
      <c r="H98" s="532">
        <v>67.827272727272728</v>
      </c>
      <c r="I98" s="531" t="s">
        <v>296</v>
      </c>
      <c r="J98" s="568">
        <v>6000</v>
      </c>
      <c r="K98" s="568">
        <v>6000</v>
      </c>
      <c r="L98" s="568">
        <v>6000</v>
      </c>
      <c r="M98" s="568">
        <v>6000</v>
      </c>
      <c r="N98" s="525"/>
      <c r="O98" s="532">
        <v>1.9272727272727272</v>
      </c>
      <c r="P98" s="532">
        <v>0</v>
      </c>
      <c r="Q98" s="532">
        <v>0</v>
      </c>
      <c r="R98" s="532">
        <v>0</v>
      </c>
      <c r="S98" s="532">
        <v>1.4181818181818182</v>
      </c>
      <c r="T98" s="533"/>
      <c r="U98" s="532">
        <v>1.7545454545454544</v>
      </c>
      <c r="V98" s="532">
        <v>0</v>
      </c>
      <c r="W98" s="532">
        <v>0</v>
      </c>
      <c r="X98" s="532">
        <v>0</v>
      </c>
      <c r="Y98" s="532">
        <v>1.4181818181818182</v>
      </c>
      <c r="Z98" s="533"/>
      <c r="AA98" s="533"/>
      <c r="AB98" s="533"/>
      <c r="AC98" s="533"/>
      <c r="AD98" s="533"/>
      <c r="AE98" s="533"/>
      <c r="AF98" s="533"/>
      <c r="AG98" s="528" t="s">
        <v>297</v>
      </c>
      <c r="AH98" s="528" t="s">
        <v>298</v>
      </c>
      <c r="AI98" s="528">
        <v>2</v>
      </c>
      <c r="AJ98" s="528">
        <v>4</v>
      </c>
      <c r="AK98" s="483">
        <v>0.33329999999999999</v>
      </c>
      <c r="AL98" s="483">
        <v>0.66659999999999997</v>
      </c>
      <c r="AM98" s="525" t="s">
        <v>1124</v>
      </c>
      <c r="AN98" s="528">
        <v>0</v>
      </c>
      <c r="AO98" s="528">
        <v>0</v>
      </c>
      <c r="AP98" s="528">
        <v>0</v>
      </c>
      <c r="AQ98" s="528">
        <v>0</v>
      </c>
      <c r="AR98" s="528">
        <v>0</v>
      </c>
      <c r="AS98" s="528">
        <v>0</v>
      </c>
      <c r="AT98" s="528">
        <v>0</v>
      </c>
      <c r="AU98" s="528">
        <v>0</v>
      </c>
      <c r="AV98" s="528">
        <v>0</v>
      </c>
      <c r="AW98" s="528">
        <v>0</v>
      </c>
      <c r="AX98" s="528">
        <v>0</v>
      </c>
      <c r="AY98" s="528">
        <v>0</v>
      </c>
      <c r="AZ98" s="528"/>
      <c r="BA98" s="528" t="s">
        <v>1278</v>
      </c>
      <c r="BB98" s="528"/>
      <c r="BC98" s="528" t="s">
        <v>1278</v>
      </c>
      <c r="BD98" s="528"/>
      <c r="BE98" s="528"/>
      <c r="BF98" s="528"/>
      <c r="BG98" s="529"/>
      <c r="BH98" s="525"/>
      <c r="BI98" s="528"/>
      <c r="BJ98" s="528" t="s">
        <v>4</v>
      </c>
      <c r="BK98" s="528"/>
      <c r="BL98" s="529"/>
      <c r="BM98" s="569" t="s">
        <v>430</v>
      </c>
      <c r="BN98" s="525" t="s">
        <v>368</v>
      </c>
    </row>
    <row r="99" spans="1:66" ht="13" customHeight="1" x14ac:dyDescent="0.2">
      <c r="A99" s="525">
        <v>2966</v>
      </c>
      <c r="B99" s="565">
        <v>44455</v>
      </c>
      <c r="C99" s="526" t="s">
        <v>295</v>
      </c>
      <c r="D99" s="525" t="s">
        <v>1114</v>
      </c>
      <c r="E99" s="527">
        <v>44223</v>
      </c>
      <c r="F99" s="529" t="s">
        <v>1050</v>
      </c>
      <c r="G99" s="525" t="s">
        <v>1564</v>
      </c>
      <c r="H99" s="532">
        <v>85</v>
      </c>
      <c r="I99" s="531" t="s">
        <v>296</v>
      </c>
      <c r="J99" s="459">
        <v>6000</v>
      </c>
      <c r="K99" s="459">
        <v>12000</v>
      </c>
      <c r="L99" s="459">
        <v>84000</v>
      </c>
      <c r="M99" s="459">
        <v>84000</v>
      </c>
      <c r="N99" s="525"/>
      <c r="O99" s="532">
        <v>2.4727272727272727</v>
      </c>
      <c r="P99" s="532">
        <v>2.0636363636363635</v>
      </c>
      <c r="Q99" s="532">
        <v>1.5545454545454545</v>
      </c>
      <c r="R99" s="532">
        <v>0</v>
      </c>
      <c r="S99" s="532">
        <v>1.5363636363636362</v>
      </c>
      <c r="T99" s="533"/>
      <c r="U99" s="532">
        <v>1.718181818181818</v>
      </c>
      <c r="V99" s="532">
        <v>1.6545454545454545</v>
      </c>
      <c r="W99" s="532">
        <v>1.4727272727272727</v>
      </c>
      <c r="X99" s="532">
        <v>0</v>
      </c>
      <c r="Y99" s="532">
        <v>1.4</v>
      </c>
      <c r="Z99" s="533"/>
      <c r="AA99" s="533"/>
      <c r="AB99" s="533"/>
      <c r="AC99" s="533"/>
      <c r="AD99" s="533"/>
      <c r="AE99" s="533"/>
      <c r="AF99" s="533"/>
      <c r="AG99" s="528" t="s">
        <v>297</v>
      </c>
      <c r="AH99" s="528" t="s">
        <v>298</v>
      </c>
      <c r="AI99" s="528">
        <v>2</v>
      </c>
      <c r="AJ99" s="528">
        <v>4</v>
      </c>
      <c r="AK99" s="483">
        <v>0.33329999999999999</v>
      </c>
      <c r="AL99" s="483">
        <v>0.66659999999999997</v>
      </c>
      <c r="AM99" s="525" t="s">
        <v>1124</v>
      </c>
      <c r="AN99" s="528">
        <v>0</v>
      </c>
      <c r="AO99" s="528">
        <v>20</v>
      </c>
      <c r="AP99" s="528">
        <v>0</v>
      </c>
      <c r="AQ99" s="528">
        <v>0</v>
      </c>
      <c r="AR99" s="528">
        <v>0</v>
      </c>
      <c r="AS99" s="528">
        <v>0</v>
      </c>
      <c r="AT99" s="528">
        <v>0</v>
      </c>
      <c r="AU99" s="528">
        <v>0</v>
      </c>
      <c r="AV99" s="528">
        <v>0</v>
      </c>
      <c r="AW99" s="528">
        <v>0</v>
      </c>
      <c r="AX99" s="528">
        <v>0</v>
      </c>
      <c r="AY99" s="528">
        <v>0</v>
      </c>
      <c r="AZ99" s="528"/>
      <c r="BA99" s="528" t="s">
        <v>1278</v>
      </c>
      <c r="BB99" s="528"/>
      <c r="BC99" s="528" t="s">
        <v>1278</v>
      </c>
      <c r="BD99" s="528"/>
      <c r="BE99" s="528"/>
      <c r="BF99" s="528"/>
      <c r="BG99" s="529"/>
      <c r="BH99" s="525"/>
      <c r="BI99" s="528"/>
      <c r="BJ99" s="528" t="s">
        <v>4</v>
      </c>
      <c r="BK99" s="528">
        <v>1</v>
      </c>
      <c r="BL99" s="529"/>
      <c r="BM99" s="530" t="s">
        <v>1595</v>
      </c>
      <c r="BN99" s="525" t="s">
        <v>368</v>
      </c>
    </row>
    <row r="100" spans="1:66" ht="13" customHeight="1" x14ac:dyDescent="0.2">
      <c r="A100" s="525">
        <v>2557</v>
      </c>
      <c r="B100" s="565">
        <v>44455</v>
      </c>
      <c r="C100" s="526" t="s">
        <v>295</v>
      </c>
      <c r="D100" s="525" t="s">
        <v>1114</v>
      </c>
      <c r="E100" s="527">
        <v>44305</v>
      </c>
      <c r="F100" s="525" t="s">
        <v>1052</v>
      </c>
      <c r="G100" s="525" t="s">
        <v>1181</v>
      </c>
      <c r="H100" s="532">
        <v>70.272727272727266</v>
      </c>
      <c r="I100" s="531" t="s">
        <v>296</v>
      </c>
      <c r="J100" s="394">
        <v>6000</v>
      </c>
      <c r="K100" s="394">
        <v>12000</v>
      </c>
      <c r="L100" s="332">
        <v>24000</v>
      </c>
      <c r="M100" s="332">
        <v>24000</v>
      </c>
      <c r="N100" s="332"/>
      <c r="O100" s="532">
        <v>2.0090909090909088</v>
      </c>
      <c r="P100" s="532">
        <v>1.7363636363636361</v>
      </c>
      <c r="Q100" s="532">
        <v>1.3909090909090909</v>
      </c>
      <c r="R100" s="532">
        <v>0</v>
      </c>
      <c r="S100" s="532">
        <v>1.3909090909090909</v>
      </c>
      <c r="T100" s="571"/>
      <c r="U100" s="532">
        <v>1.5636363636363635</v>
      </c>
      <c r="V100" s="532">
        <v>1.5181818181818181</v>
      </c>
      <c r="W100" s="532">
        <v>1.3909090909090909</v>
      </c>
      <c r="X100" s="532">
        <v>0</v>
      </c>
      <c r="Y100" s="532">
        <v>1.3454545454545452</v>
      </c>
      <c r="Z100" s="571"/>
      <c r="AA100" s="571"/>
      <c r="AB100" s="571"/>
      <c r="AC100" s="571"/>
      <c r="AD100" s="571"/>
      <c r="AE100" s="571"/>
      <c r="AF100" s="571"/>
      <c r="AG100" s="333" t="s">
        <v>297</v>
      </c>
      <c r="AH100" s="333" t="s">
        <v>298</v>
      </c>
      <c r="AI100" s="528">
        <v>2</v>
      </c>
      <c r="AJ100" s="528">
        <v>4</v>
      </c>
      <c r="AK100" s="483">
        <v>0.33329999999999999</v>
      </c>
      <c r="AL100" s="483">
        <v>0.66659999999999997</v>
      </c>
      <c r="AM100" s="525" t="s">
        <v>1124</v>
      </c>
      <c r="AN100" s="528">
        <v>0</v>
      </c>
      <c r="AO100" s="528">
        <v>0</v>
      </c>
      <c r="AP100" s="528">
        <v>0</v>
      </c>
      <c r="AQ100" s="528">
        <v>0</v>
      </c>
      <c r="AR100" s="528">
        <v>0</v>
      </c>
      <c r="AS100" s="528">
        <v>0</v>
      </c>
      <c r="AT100" s="528">
        <v>0</v>
      </c>
      <c r="AU100" s="528">
        <v>0</v>
      </c>
      <c r="AV100" s="528">
        <v>0</v>
      </c>
      <c r="AW100" s="528">
        <v>0</v>
      </c>
      <c r="AX100" s="528">
        <v>0</v>
      </c>
      <c r="AY100" s="528">
        <v>0</v>
      </c>
      <c r="AZ100" s="528"/>
      <c r="BA100" s="528" t="s">
        <v>1278</v>
      </c>
      <c r="BB100" s="528"/>
      <c r="BC100" s="528" t="s">
        <v>1278</v>
      </c>
      <c r="BD100" s="528"/>
      <c r="BE100" s="528"/>
      <c r="BF100" s="528"/>
      <c r="BG100" s="529"/>
      <c r="BH100" s="525"/>
      <c r="BI100" s="528"/>
      <c r="BJ100" s="528" t="s">
        <v>4</v>
      </c>
      <c r="BK100" s="528"/>
      <c r="BL100" s="529"/>
      <c r="BM100" s="567" t="s">
        <v>1448</v>
      </c>
      <c r="BN100" s="525" t="s">
        <v>368</v>
      </c>
    </row>
    <row r="101" spans="1:66" ht="13" customHeight="1" x14ac:dyDescent="0.2">
      <c r="A101" s="525">
        <v>2120</v>
      </c>
      <c r="B101" s="565">
        <v>44456</v>
      </c>
      <c r="C101" s="526" t="s">
        <v>295</v>
      </c>
      <c r="D101" s="525" t="s">
        <v>1114</v>
      </c>
      <c r="E101" s="527">
        <v>44448</v>
      </c>
      <c r="F101" s="529" t="s">
        <v>1054</v>
      </c>
      <c r="G101" s="525" t="s">
        <v>1157</v>
      </c>
      <c r="H101" s="532">
        <v>101.39999999999999</v>
      </c>
      <c r="I101" s="531" t="s">
        <v>296</v>
      </c>
      <c r="J101" s="459">
        <v>6000</v>
      </c>
      <c r="K101" s="459">
        <v>12000</v>
      </c>
      <c r="L101" s="459">
        <v>84000</v>
      </c>
      <c r="M101" s="459">
        <v>84000</v>
      </c>
      <c r="N101" s="525"/>
      <c r="O101" s="532">
        <v>2.8727272727272726</v>
      </c>
      <c r="P101" s="532">
        <v>2.4272727272727268</v>
      </c>
      <c r="Q101" s="532">
        <v>1.9363636363636361</v>
      </c>
      <c r="R101" s="532">
        <v>0</v>
      </c>
      <c r="S101" s="532">
        <v>1.8090909090909089</v>
      </c>
      <c r="T101" s="533"/>
      <c r="U101" s="532">
        <v>2.2272727272727271</v>
      </c>
      <c r="V101" s="532">
        <v>2.1090909090909089</v>
      </c>
      <c r="W101" s="532">
        <v>1.8363636363636362</v>
      </c>
      <c r="X101" s="532">
        <v>0</v>
      </c>
      <c r="Y101" s="532">
        <v>1.7818181818181817</v>
      </c>
      <c r="Z101" s="533"/>
      <c r="AA101" s="533"/>
      <c r="AB101" s="533"/>
      <c r="AC101" s="533"/>
      <c r="AD101" s="533"/>
      <c r="AE101" s="533"/>
      <c r="AF101" s="533"/>
      <c r="AG101" s="528" t="s">
        <v>297</v>
      </c>
      <c r="AH101" s="528" t="s">
        <v>298</v>
      </c>
      <c r="AI101" s="528">
        <v>2</v>
      </c>
      <c r="AJ101" s="528">
        <v>4</v>
      </c>
      <c r="AK101" s="483">
        <v>0.33329999999999999</v>
      </c>
      <c r="AL101" s="483">
        <v>0.66659999999999997</v>
      </c>
      <c r="AM101" s="525" t="s">
        <v>1124</v>
      </c>
      <c r="AN101" s="528">
        <v>26</v>
      </c>
      <c r="AO101" s="528">
        <v>0</v>
      </c>
      <c r="AP101" s="528">
        <v>0</v>
      </c>
      <c r="AQ101" s="528">
        <v>0</v>
      </c>
      <c r="AR101" s="528">
        <v>0</v>
      </c>
      <c r="AS101" s="528">
        <v>0</v>
      </c>
      <c r="AT101" s="528">
        <v>0</v>
      </c>
      <c r="AU101" s="528">
        <v>0</v>
      </c>
      <c r="AV101" s="528">
        <v>0</v>
      </c>
      <c r="AW101" s="528">
        <v>0</v>
      </c>
      <c r="AX101" s="528">
        <v>0</v>
      </c>
      <c r="AY101" s="528">
        <v>0</v>
      </c>
      <c r="AZ101" s="566">
        <v>12</v>
      </c>
      <c r="BA101" s="528" t="s">
        <v>1278</v>
      </c>
      <c r="BB101" s="528">
        <v>12</v>
      </c>
      <c r="BC101" s="528" t="s">
        <v>1278</v>
      </c>
      <c r="BD101" s="528"/>
      <c r="BE101" s="528">
        <v>12</v>
      </c>
      <c r="BF101" s="528"/>
      <c r="BG101" s="529"/>
      <c r="BH101" s="525"/>
      <c r="BI101" s="528"/>
      <c r="BJ101" s="528" t="s">
        <v>4</v>
      </c>
      <c r="BK101" s="528"/>
      <c r="BL101" s="529"/>
      <c r="BM101" s="569" t="s">
        <v>430</v>
      </c>
      <c r="BN101" s="525" t="s">
        <v>408</v>
      </c>
    </row>
    <row r="102" spans="1:66" ht="13" customHeight="1" x14ac:dyDescent="0.2">
      <c r="A102" s="525">
        <v>2875</v>
      </c>
      <c r="B102" s="565">
        <v>44455</v>
      </c>
      <c r="C102" s="526" t="s">
        <v>295</v>
      </c>
      <c r="D102" s="525" t="s">
        <v>1114</v>
      </c>
      <c r="E102" s="527">
        <v>44378</v>
      </c>
      <c r="F102" s="529" t="s">
        <v>1055</v>
      </c>
      <c r="G102" s="525" t="s">
        <v>1105</v>
      </c>
      <c r="H102" s="532">
        <v>78.599999999999994</v>
      </c>
      <c r="I102" s="531" t="s">
        <v>296</v>
      </c>
      <c r="J102" s="459">
        <v>6000</v>
      </c>
      <c r="K102" s="459">
        <v>12000</v>
      </c>
      <c r="L102" s="459">
        <v>84000</v>
      </c>
      <c r="M102" s="459">
        <v>84000</v>
      </c>
      <c r="N102" s="525"/>
      <c r="O102" s="532">
        <v>1.9727272727272724</v>
      </c>
      <c r="P102" s="532">
        <v>1.918181818181818</v>
      </c>
      <c r="Q102" s="532">
        <v>1.7454545454545451</v>
      </c>
      <c r="R102" s="532">
        <v>0</v>
      </c>
      <c r="S102" s="532">
        <v>1.5545454545454545</v>
      </c>
      <c r="T102" s="533"/>
      <c r="U102" s="532">
        <v>1.6818181818181817</v>
      </c>
      <c r="V102" s="532">
        <v>1.6636363636363636</v>
      </c>
      <c r="W102" s="532">
        <v>1.5636363636363635</v>
      </c>
      <c r="X102" s="532">
        <v>0</v>
      </c>
      <c r="Y102" s="532">
        <v>1.5181818181818181</v>
      </c>
      <c r="Z102" s="533"/>
      <c r="AA102" s="533"/>
      <c r="AB102" s="533"/>
      <c r="AC102" s="533"/>
      <c r="AD102" s="533"/>
      <c r="AE102" s="533"/>
      <c r="AF102" s="533"/>
      <c r="AG102" s="528" t="s">
        <v>297</v>
      </c>
      <c r="AH102" s="528" t="s">
        <v>298</v>
      </c>
      <c r="AI102" s="528">
        <v>2</v>
      </c>
      <c r="AJ102" s="528">
        <v>4</v>
      </c>
      <c r="AK102" s="483">
        <v>0.33329999999999999</v>
      </c>
      <c r="AL102" s="483">
        <v>0.66659999999999997</v>
      </c>
      <c r="AM102" s="525" t="s">
        <v>1124</v>
      </c>
      <c r="AN102" s="528">
        <v>0</v>
      </c>
      <c r="AO102" s="528">
        <v>0</v>
      </c>
      <c r="AP102" s="528">
        <v>0</v>
      </c>
      <c r="AQ102" s="528">
        <v>0</v>
      </c>
      <c r="AR102" s="528">
        <v>0</v>
      </c>
      <c r="AS102" s="528">
        <v>0</v>
      </c>
      <c r="AT102" s="528">
        <v>0</v>
      </c>
      <c r="AU102" s="528">
        <v>0</v>
      </c>
      <c r="AV102" s="528">
        <v>0</v>
      </c>
      <c r="AW102" s="528">
        <v>0</v>
      </c>
      <c r="AX102" s="528">
        <v>0</v>
      </c>
      <c r="AY102" s="528">
        <v>0</v>
      </c>
      <c r="AZ102" s="528"/>
      <c r="BA102" s="528" t="s">
        <v>1278</v>
      </c>
      <c r="BB102" s="528"/>
      <c r="BC102" s="528" t="s">
        <v>1278</v>
      </c>
      <c r="BD102" s="528"/>
      <c r="BE102" s="528"/>
      <c r="BF102" s="564">
        <v>44926</v>
      </c>
      <c r="BG102" s="529"/>
      <c r="BH102" s="525"/>
      <c r="BI102" s="528"/>
      <c r="BJ102" s="528" t="s">
        <v>4</v>
      </c>
      <c r="BK102" s="528"/>
      <c r="BL102" s="529"/>
      <c r="BM102" s="567" t="s">
        <v>430</v>
      </c>
      <c r="BN102" s="525" t="s">
        <v>368</v>
      </c>
    </row>
    <row r="103" spans="1:66" ht="13" customHeight="1" x14ac:dyDescent="0.2">
      <c r="A103" s="525">
        <v>319</v>
      </c>
      <c r="B103" s="565">
        <v>44455</v>
      </c>
      <c r="C103" s="526" t="s">
        <v>295</v>
      </c>
      <c r="D103" s="525" t="s">
        <v>1114</v>
      </c>
      <c r="E103" s="527">
        <v>44287</v>
      </c>
      <c r="F103" s="525" t="s">
        <v>1057</v>
      </c>
      <c r="G103" s="525" t="s">
        <v>1181</v>
      </c>
      <c r="H103" s="532">
        <v>99.3</v>
      </c>
      <c r="I103" s="531" t="s">
        <v>296</v>
      </c>
      <c r="J103" s="459">
        <v>6000</v>
      </c>
      <c r="K103" s="459">
        <v>12000</v>
      </c>
      <c r="L103" s="459">
        <v>84000</v>
      </c>
      <c r="M103" s="459">
        <v>84000</v>
      </c>
      <c r="N103" s="525"/>
      <c r="O103" s="532">
        <v>2.1999999999999997</v>
      </c>
      <c r="P103" s="532">
        <v>1.8999999999999997</v>
      </c>
      <c r="Q103" s="532">
        <v>1.5999999999999999</v>
      </c>
      <c r="R103" s="532">
        <v>0</v>
      </c>
      <c r="S103" s="532">
        <v>1.4999999999999998</v>
      </c>
      <c r="T103" s="533"/>
      <c r="U103" s="532">
        <v>1.5999999999999999</v>
      </c>
      <c r="V103" s="532">
        <v>1.5999999999999999</v>
      </c>
      <c r="W103" s="532">
        <v>1.4999999999999998</v>
      </c>
      <c r="X103" s="532">
        <v>0</v>
      </c>
      <c r="Y103" s="532">
        <v>1.4999999999999998</v>
      </c>
      <c r="Z103" s="533"/>
      <c r="AA103" s="533"/>
      <c r="AB103" s="533"/>
      <c r="AC103" s="533"/>
      <c r="AD103" s="533"/>
      <c r="AE103" s="533"/>
      <c r="AF103" s="533"/>
      <c r="AG103" s="528" t="s">
        <v>297</v>
      </c>
      <c r="AH103" s="528" t="s">
        <v>298</v>
      </c>
      <c r="AI103" s="528">
        <v>2</v>
      </c>
      <c r="AJ103" s="528">
        <v>4</v>
      </c>
      <c r="AK103" s="483">
        <v>0.33329999999999999</v>
      </c>
      <c r="AL103" s="483">
        <v>0.66659999999999997</v>
      </c>
      <c r="AM103" s="525" t="s">
        <v>1124</v>
      </c>
      <c r="AN103" s="528">
        <v>0</v>
      </c>
      <c r="AO103" s="528">
        <v>0</v>
      </c>
      <c r="AP103" s="528">
        <v>0</v>
      </c>
      <c r="AQ103" s="528">
        <v>0</v>
      </c>
      <c r="AR103" s="528">
        <v>0</v>
      </c>
      <c r="AS103" s="528">
        <v>0</v>
      </c>
      <c r="AT103" s="528">
        <v>0</v>
      </c>
      <c r="AU103" s="528">
        <v>0</v>
      </c>
      <c r="AV103" s="528">
        <v>0</v>
      </c>
      <c r="AW103" s="528">
        <v>0</v>
      </c>
      <c r="AX103" s="528">
        <v>0</v>
      </c>
      <c r="AY103" s="528">
        <v>0</v>
      </c>
      <c r="AZ103" s="528"/>
      <c r="BA103" s="528" t="s">
        <v>1278</v>
      </c>
      <c r="BB103" s="528"/>
      <c r="BC103" s="528" t="s">
        <v>1278</v>
      </c>
      <c r="BD103" s="528"/>
      <c r="BE103" s="528"/>
      <c r="BF103" s="528"/>
      <c r="BG103" s="529"/>
      <c r="BH103" s="525"/>
      <c r="BI103" s="528"/>
      <c r="BJ103" s="528" t="s">
        <v>4</v>
      </c>
      <c r="BK103" s="528"/>
      <c r="BL103" s="297"/>
      <c r="BM103" t="s">
        <v>1596</v>
      </c>
      <c r="BN103" s="525" t="s">
        <v>368</v>
      </c>
    </row>
    <row r="104" spans="1:66" ht="13" customHeight="1" x14ac:dyDescent="0.2">
      <c r="A104" s="525">
        <v>2851</v>
      </c>
      <c r="B104" s="565">
        <v>44456</v>
      </c>
      <c r="C104" s="526" t="s">
        <v>295</v>
      </c>
      <c r="D104" s="525" t="s">
        <v>1114</v>
      </c>
      <c r="E104" s="527">
        <v>44319</v>
      </c>
      <c r="F104" s="529" t="s">
        <v>981</v>
      </c>
      <c r="G104" s="525" t="s">
        <v>1478</v>
      </c>
      <c r="H104" s="532">
        <v>71.290909090909082</v>
      </c>
      <c r="I104" s="531"/>
      <c r="J104" s="409"/>
      <c r="K104" s="332"/>
      <c r="L104" s="332"/>
      <c r="M104" s="332"/>
      <c r="N104" s="525"/>
      <c r="O104" s="532">
        <v>1.918181818181818</v>
      </c>
      <c r="P104" s="532">
        <v>0</v>
      </c>
      <c r="Q104" s="532">
        <v>0</v>
      </c>
      <c r="R104" s="532">
        <v>0</v>
      </c>
      <c r="S104" s="532">
        <v>0</v>
      </c>
      <c r="T104" s="533"/>
      <c r="U104" s="532">
        <v>1.918181818181818</v>
      </c>
      <c r="V104" s="532">
        <v>0</v>
      </c>
      <c r="W104" s="532">
        <v>0</v>
      </c>
      <c r="X104" s="532">
        <v>0</v>
      </c>
      <c r="Y104" s="532">
        <v>0</v>
      </c>
      <c r="Z104" s="533"/>
      <c r="AA104" s="533"/>
      <c r="AB104" s="533"/>
      <c r="AC104" s="533"/>
      <c r="AD104" s="533"/>
      <c r="AE104" s="533"/>
      <c r="AF104" s="533"/>
      <c r="AG104" s="528" t="s">
        <v>1278</v>
      </c>
      <c r="AH104" s="528"/>
      <c r="AI104" s="528">
        <v>3</v>
      </c>
      <c r="AJ104" s="528">
        <v>3</v>
      </c>
      <c r="AK104" s="480">
        <v>0.5</v>
      </c>
      <c r="AL104" s="480">
        <v>0.5</v>
      </c>
      <c r="AM104" s="525"/>
      <c r="AN104" s="528">
        <v>0</v>
      </c>
      <c r="AO104" s="528">
        <v>0</v>
      </c>
      <c r="AP104" s="528">
        <v>0</v>
      </c>
      <c r="AQ104" s="528">
        <v>0</v>
      </c>
      <c r="AR104" s="528">
        <v>0</v>
      </c>
      <c r="AS104" s="528">
        <v>0</v>
      </c>
      <c r="AT104" s="528">
        <v>0</v>
      </c>
      <c r="AU104" s="528">
        <v>0</v>
      </c>
      <c r="AV104" s="528">
        <v>0</v>
      </c>
      <c r="AW104" s="528">
        <v>0</v>
      </c>
      <c r="AX104" s="528">
        <v>0</v>
      </c>
      <c r="AY104" s="528">
        <v>0</v>
      </c>
      <c r="AZ104" s="528"/>
      <c r="BA104" s="528" t="s">
        <v>1278</v>
      </c>
      <c r="BB104" s="528">
        <v>12</v>
      </c>
      <c r="BC104" s="528" t="s">
        <v>1278</v>
      </c>
      <c r="BD104" s="528"/>
      <c r="BE104" s="528">
        <v>12</v>
      </c>
      <c r="BF104" s="528"/>
      <c r="BG104" s="529"/>
      <c r="BH104" s="525"/>
      <c r="BI104" s="528"/>
      <c r="BJ104" s="528" t="s">
        <v>4</v>
      </c>
      <c r="BK104" s="528"/>
      <c r="BL104" s="529"/>
      <c r="BM104" s="569" t="s">
        <v>430</v>
      </c>
      <c r="BN104" s="525" t="s">
        <v>368</v>
      </c>
    </row>
    <row r="105" spans="1:66" ht="13" customHeight="1" x14ac:dyDescent="0.2">
      <c r="A105" s="525">
        <v>2401</v>
      </c>
      <c r="B105" s="565">
        <v>44455</v>
      </c>
      <c r="C105" s="526" t="s">
        <v>295</v>
      </c>
      <c r="D105" s="525" t="s">
        <v>1114</v>
      </c>
      <c r="E105" s="570">
        <v>44197</v>
      </c>
      <c r="F105" s="529" t="s">
        <v>982</v>
      </c>
      <c r="G105" s="525" t="s">
        <v>1297</v>
      </c>
      <c r="H105" s="532">
        <v>74.25454545454545</v>
      </c>
      <c r="I105" s="531" t="s">
        <v>296</v>
      </c>
      <c r="J105" s="459">
        <v>6000</v>
      </c>
      <c r="K105" s="459">
        <v>12000</v>
      </c>
      <c r="L105" s="459">
        <v>84000</v>
      </c>
      <c r="M105" s="459">
        <v>84000</v>
      </c>
      <c r="N105" s="525"/>
      <c r="O105" s="532">
        <v>2.1636363636363636</v>
      </c>
      <c r="P105" s="532">
        <v>1.9363636363636361</v>
      </c>
      <c r="Q105" s="532">
        <v>1.7090909090909088</v>
      </c>
      <c r="R105" s="532">
        <v>0</v>
      </c>
      <c r="S105" s="532">
        <v>1.6636363636363636</v>
      </c>
      <c r="T105" s="533"/>
      <c r="U105" s="532">
        <v>1.7545454545454544</v>
      </c>
      <c r="V105" s="532">
        <v>1.7090909090909088</v>
      </c>
      <c r="W105" s="532">
        <v>1.6181818181818182</v>
      </c>
      <c r="X105" s="532">
        <v>0</v>
      </c>
      <c r="Y105" s="532">
        <v>1.5727272727272725</v>
      </c>
      <c r="Z105" s="533"/>
      <c r="AA105" s="533"/>
      <c r="AB105" s="533"/>
      <c r="AC105" s="533"/>
      <c r="AD105" s="533"/>
      <c r="AE105" s="533"/>
      <c r="AF105" s="533"/>
      <c r="AG105" s="528" t="s">
        <v>297</v>
      </c>
      <c r="AH105" s="528" t="s">
        <v>298</v>
      </c>
      <c r="AI105" s="528">
        <v>2</v>
      </c>
      <c r="AJ105" s="528">
        <v>4</v>
      </c>
      <c r="AK105" s="483">
        <v>0.33329999999999999</v>
      </c>
      <c r="AL105" s="483">
        <v>0.66659999999999997</v>
      </c>
      <c r="AM105" s="525" t="s">
        <v>1124</v>
      </c>
      <c r="AN105" s="528">
        <v>0</v>
      </c>
      <c r="AO105" s="528">
        <v>0</v>
      </c>
      <c r="AP105" s="528">
        <v>0</v>
      </c>
      <c r="AQ105" s="528">
        <v>0</v>
      </c>
      <c r="AR105" s="528">
        <v>0</v>
      </c>
      <c r="AS105" s="528">
        <v>0</v>
      </c>
      <c r="AT105" s="528">
        <v>0</v>
      </c>
      <c r="AU105" s="528">
        <v>0</v>
      </c>
      <c r="AV105" s="528">
        <v>0</v>
      </c>
      <c r="AW105" s="528">
        <v>0</v>
      </c>
      <c r="AX105" s="528">
        <v>0</v>
      </c>
      <c r="AY105" s="528">
        <v>0</v>
      </c>
      <c r="AZ105" s="528"/>
      <c r="BA105" s="528" t="s">
        <v>1278</v>
      </c>
      <c r="BB105" s="528"/>
      <c r="BC105" s="528" t="s">
        <v>1278</v>
      </c>
      <c r="BD105" s="528"/>
      <c r="BE105" s="528"/>
      <c r="BF105" s="528"/>
      <c r="BG105" s="529"/>
      <c r="BH105" s="525"/>
      <c r="BI105" s="528"/>
      <c r="BJ105" s="528" t="s">
        <v>4</v>
      </c>
      <c r="BK105" s="528"/>
      <c r="BL105" s="529"/>
      <c r="BM105" s="424" t="s">
        <v>1539</v>
      </c>
      <c r="BN105" s="525" t="s">
        <v>368</v>
      </c>
    </row>
    <row r="106" spans="1:66" ht="13" customHeight="1" x14ac:dyDescent="0.2">
      <c r="A106" s="525">
        <v>2956</v>
      </c>
      <c r="B106" s="565">
        <v>44456</v>
      </c>
      <c r="C106" s="526" t="s">
        <v>295</v>
      </c>
      <c r="D106" s="525" t="s">
        <v>1114</v>
      </c>
      <c r="E106" s="570">
        <v>44440</v>
      </c>
      <c r="F106" s="529" t="s">
        <v>984</v>
      </c>
      <c r="G106" s="525" t="s">
        <v>1405</v>
      </c>
      <c r="H106" s="532">
        <v>92.61818181818181</v>
      </c>
      <c r="I106" s="531" t="s">
        <v>296</v>
      </c>
      <c r="J106" s="459">
        <v>6000</v>
      </c>
      <c r="K106" s="459">
        <v>12000</v>
      </c>
      <c r="L106" s="459">
        <v>84000</v>
      </c>
      <c r="M106" s="459">
        <v>84000</v>
      </c>
      <c r="N106" s="525"/>
      <c r="O106" s="532">
        <v>2.4090909090909087</v>
      </c>
      <c r="P106" s="532">
        <v>2.0545454545454542</v>
      </c>
      <c r="Q106" s="532">
        <v>1.6090909090909089</v>
      </c>
      <c r="R106" s="532">
        <v>0</v>
      </c>
      <c r="S106" s="532">
        <v>1.5999999999999999</v>
      </c>
      <c r="T106" s="533"/>
      <c r="U106" s="532">
        <v>1.8181818181818181</v>
      </c>
      <c r="V106" s="532">
        <v>1.7636363636363634</v>
      </c>
      <c r="W106" s="532">
        <v>1.6090909090909089</v>
      </c>
      <c r="X106" s="532">
        <v>0</v>
      </c>
      <c r="Y106" s="532">
        <v>1.5545454545454545</v>
      </c>
      <c r="Z106" s="533"/>
      <c r="AA106" s="533"/>
      <c r="AB106" s="533"/>
      <c r="AC106" s="533"/>
      <c r="AD106" s="533"/>
      <c r="AE106" s="533"/>
      <c r="AF106" s="533"/>
      <c r="AG106" s="528" t="s">
        <v>297</v>
      </c>
      <c r="AH106" s="528" t="s">
        <v>298</v>
      </c>
      <c r="AI106" s="528">
        <v>2</v>
      </c>
      <c r="AJ106" s="528">
        <v>4</v>
      </c>
      <c r="AK106" s="483">
        <v>0.33329999999999999</v>
      </c>
      <c r="AL106" s="483">
        <v>0.66659999999999997</v>
      </c>
      <c r="AM106" s="525" t="s">
        <v>1124</v>
      </c>
      <c r="AN106" s="528">
        <v>16</v>
      </c>
      <c r="AO106" s="528">
        <v>0</v>
      </c>
      <c r="AP106" s="528">
        <v>0</v>
      </c>
      <c r="AQ106" s="528">
        <v>0</v>
      </c>
      <c r="AR106" s="528">
        <v>0</v>
      </c>
      <c r="AS106" s="528">
        <v>0</v>
      </c>
      <c r="AT106" s="528">
        <v>0</v>
      </c>
      <c r="AU106" s="528">
        <v>0</v>
      </c>
      <c r="AV106" s="528">
        <v>0</v>
      </c>
      <c r="AW106" s="528">
        <v>0</v>
      </c>
      <c r="AX106" s="528">
        <v>0</v>
      </c>
      <c r="AY106" s="528">
        <v>0</v>
      </c>
      <c r="AZ106" s="528"/>
      <c r="BA106" s="528" t="s">
        <v>1278</v>
      </c>
      <c r="BB106" s="528"/>
      <c r="BC106" s="528" t="s">
        <v>1278</v>
      </c>
      <c r="BD106" s="528"/>
      <c r="BE106" s="528"/>
      <c r="BF106" s="528"/>
      <c r="BG106" s="529"/>
      <c r="BH106" s="525"/>
      <c r="BI106" s="528"/>
      <c r="BJ106" s="528" t="s">
        <v>4</v>
      </c>
      <c r="BK106" s="528"/>
      <c r="BL106" s="529"/>
      <c r="BM106" s="567" t="s">
        <v>1597</v>
      </c>
      <c r="BN106" s="525" t="s">
        <v>408</v>
      </c>
    </row>
    <row r="107" spans="1:66" ht="13" customHeight="1" x14ac:dyDescent="0.2">
      <c r="A107" s="525">
        <v>2647</v>
      </c>
      <c r="B107" s="565">
        <v>44455</v>
      </c>
      <c r="C107" s="526" t="s">
        <v>295</v>
      </c>
      <c r="D107" s="525" t="s">
        <v>1114</v>
      </c>
      <c r="E107" s="570">
        <v>44067</v>
      </c>
      <c r="F107" s="525" t="s">
        <v>985</v>
      </c>
      <c r="G107" s="525" t="s">
        <v>1570</v>
      </c>
      <c r="H107" s="532">
        <v>75</v>
      </c>
      <c r="I107" s="394" t="s">
        <v>296</v>
      </c>
      <c r="J107" s="459">
        <v>6000</v>
      </c>
      <c r="K107" s="459">
        <v>12000</v>
      </c>
      <c r="L107" s="459">
        <v>84000</v>
      </c>
      <c r="M107" s="459">
        <v>84000</v>
      </c>
      <c r="N107" s="332"/>
      <c r="O107" s="532">
        <v>1.7999999999999998</v>
      </c>
      <c r="P107" s="532">
        <v>1.6545454545454545</v>
      </c>
      <c r="Q107" s="532">
        <v>1.3545454545454545</v>
      </c>
      <c r="R107" s="532">
        <v>0</v>
      </c>
      <c r="S107" s="532">
        <v>1.2999999999999998</v>
      </c>
      <c r="T107" s="571"/>
      <c r="U107" s="532">
        <v>1.4545454545454546</v>
      </c>
      <c r="V107" s="532">
        <v>1.4</v>
      </c>
      <c r="W107" s="532">
        <v>1.2545454545454544</v>
      </c>
      <c r="X107" s="532">
        <v>0</v>
      </c>
      <c r="Y107" s="532">
        <v>1.2</v>
      </c>
      <c r="Z107" s="571"/>
      <c r="AA107" s="571"/>
      <c r="AB107" s="571"/>
      <c r="AC107" s="571"/>
      <c r="AD107" s="571"/>
      <c r="AE107" s="571"/>
      <c r="AF107" s="571"/>
      <c r="AG107" s="333" t="s">
        <v>297</v>
      </c>
      <c r="AH107" s="333" t="s">
        <v>298</v>
      </c>
      <c r="AI107" s="528">
        <v>2</v>
      </c>
      <c r="AJ107" s="528">
        <v>4</v>
      </c>
      <c r="AK107" s="483">
        <v>0.33329999999999999</v>
      </c>
      <c r="AL107" s="483">
        <v>0.66659999999999997</v>
      </c>
      <c r="AM107" s="525" t="s">
        <v>1124</v>
      </c>
      <c r="AN107" s="528">
        <v>0</v>
      </c>
      <c r="AO107" s="528">
        <v>0</v>
      </c>
      <c r="AP107" s="528">
        <v>0</v>
      </c>
      <c r="AQ107" s="528">
        <v>0</v>
      </c>
      <c r="AR107" s="528">
        <v>0</v>
      </c>
      <c r="AS107" s="528">
        <v>0</v>
      </c>
      <c r="AT107" s="528">
        <v>0</v>
      </c>
      <c r="AU107" s="528">
        <v>0</v>
      </c>
      <c r="AV107" s="528">
        <v>0</v>
      </c>
      <c r="AW107" s="528">
        <v>0</v>
      </c>
      <c r="AX107" s="528">
        <v>0</v>
      </c>
      <c r="AY107" s="528">
        <v>0</v>
      </c>
      <c r="AZ107" s="528"/>
      <c r="BA107" s="528" t="s">
        <v>1278</v>
      </c>
      <c r="BB107" s="528"/>
      <c r="BC107" s="528" t="s">
        <v>1278</v>
      </c>
      <c r="BD107" s="528"/>
      <c r="BE107" s="528"/>
      <c r="BF107" s="528"/>
      <c r="BG107" s="529"/>
      <c r="BH107" s="525"/>
      <c r="BI107" s="528"/>
      <c r="BJ107" s="528" t="s">
        <v>411</v>
      </c>
      <c r="BK107" s="528"/>
      <c r="BL107" s="529" t="s">
        <v>1571</v>
      </c>
      <c r="BM107" s="424" t="s">
        <v>1598</v>
      </c>
      <c r="BN107" s="525" t="s">
        <v>368</v>
      </c>
    </row>
    <row r="108" spans="1:66" ht="13" customHeight="1" x14ac:dyDescent="0.2">
      <c r="A108" s="525">
        <v>1689</v>
      </c>
      <c r="B108" s="565">
        <v>44456</v>
      </c>
      <c r="C108" s="526" t="s">
        <v>295</v>
      </c>
      <c r="D108" s="525" t="s">
        <v>1114</v>
      </c>
      <c r="E108" s="527">
        <v>44442</v>
      </c>
      <c r="F108" s="529" t="s">
        <v>1106</v>
      </c>
      <c r="G108" s="525" t="s">
        <v>2</v>
      </c>
      <c r="H108" s="532">
        <v>70</v>
      </c>
      <c r="I108" s="531" t="s">
        <v>296</v>
      </c>
      <c r="J108" s="568">
        <v>6000</v>
      </c>
      <c r="K108" s="568">
        <v>6000</v>
      </c>
      <c r="L108" s="568">
        <v>6000</v>
      </c>
      <c r="M108" s="568">
        <v>6000</v>
      </c>
      <c r="N108" s="525"/>
      <c r="O108" s="532">
        <v>1.6545454545454545</v>
      </c>
      <c r="P108" s="532">
        <v>0</v>
      </c>
      <c r="Q108" s="532">
        <v>0</v>
      </c>
      <c r="R108" s="532">
        <v>0</v>
      </c>
      <c r="S108" s="532">
        <v>1.4</v>
      </c>
      <c r="T108" s="533"/>
      <c r="U108" s="532">
        <v>1.6545454545454545</v>
      </c>
      <c r="V108" s="532">
        <v>0</v>
      </c>
      <c r="W108" s="532">
        <v>0</v>
      </c>
      <c r="X108" s="532">
        <v>0</v>
      </c>
      <c r="Y108" s="532">
        <v>1.4</v>
      </c>
      <c r="Z108" s="533"/>
      <c r="AA108" s="533"/>
      <c r="AB108" s="533"/>
      <c r="AC108" s="533"/>
      <c r="AD108" s="533"/>
      <c r="AE108" s="533"/>
      <c r="AF108" s="533"/>
      <c r="AG108" s="528" t="s">
        <v>1278</v>
      </c>
      <c r="AH108" s="528"/>
      <c r="AI108" s="528">
        <v>3</v>
      </c>
      <c r="AJ108" s="528">
        <v>3</v>
      </c>
      <c r="AK108" s="480">
        <v>0.5</v>
      </c>
      <c r="AL108" s="480">
        <v>0.5</v>
      </c>
      <c r="AM108" s="525"/>
      <c r="AN108" s="528">
        <v>0</v>
      </c>
      <c r="AO108" s="528">
        <v>0</v>
      </c>
      <c r="AP108" s="528">
        <v>0</v>
      </c>
      <c r="AQ108" s="528">
        <v>0</v>
      </c>
      <c r="AR108" s="528">
        <v>0</v>
      </c>
      <c r="AS108" s="528">
        <v>0</v>
      </c>
      <c r="AT108" s="528">
        <v>0</v>
      </c>
      <c r="AU108" s="528">
        <v>0</v>
      </c>
      <c r="AV108" s="528">
        <v>0</v>
      </c>
      <c r="AW108" s="528">
        <v>0</v>
      </c>
      <c r="AX108" s="528">
        <v>0</v>
      </c>
      <c r="AY108" s="528">
        <v>0</v>
      </c>
      <c r="AZ108" s="528"/>
      <c r="BA108" s="528" t="s">
        <v>1278</v>
      </c>
      <c r="BB108" s="528"/>
      <c r="BC108" s="528" t="s">
        <v>1278</v>
      </c>
      <c r="BD108" s="528"/>
      <c r="BE108" s="528"/>
      <c r="BF108" s="529"/>
      <c r="BG108" s="525"/>
      <c r="BH108" s="528"/>
      <c r="BI108" s="528"/>
      <c r="BJ108" s="528" t="s">
        <v>4</v>
      </c>
      <c r="BK108" s="528">
        <v>1</v>
      </c>
      <c r="BL108" s="525"/>
      <c r="BM108" s="530" t="s">
        <v>1599</v>
      </c>
      <c r="BN108" s="525" t="s">
        <v>408</v>
      </c>
    </row>
    <row r="109" spans="1:66" ht="13" customHeight="1" x14ac:dyDescent="0.2">
      <c r="A109" s="525">
        <v>2899</v>
      </c>
      <c r="B109" s="565">
        <v>44455</v>
      </c>
      <c r="C109" s="526" t="s">
        <v>295</v>
      </c>
      <c r="D109" s="525" t="s">
        <v>1114</v>
      </c>
      <c r="E109" s="527">
        <v>44228</v>
      </c>
      <c r="F109" s="525" t="s">
        <v>34</v>
      </c>
      <c r="G109" s="525" t="s">
        <v>1181</v>
      </c>
      <c r="H109" s="532">
        <v>75.499999999999986</v>
      </c>
      <c r="I109" s="394"/>
      <c r="J109" s="394"/>
      <c r="K109" s="394"/>
      <c r="L109" s="332"/>
      <c r="M109" s="332"/>
      <c r="N109" s="332"/>
      <c r="O109" s="532">
        <v>1.8090909090909089</v>
      </c>
      <c r="P109" s="532">
        <v>0</v>
      </c>
      <c r="Q109" s="532">
        <v>0</v>
      </c>
      <c r="R109" s="532">
        <v>0</v>
      </c>
      <c r="S109" s="532">
        <v>0</v>
      </c>
      <c r="T109" s="571"/>
      <c r="U109" s="532">
        <v>1.5181818181818181</v>
      </c>
      <c r="V109" s="532">
        <v>0</v>
      </c>
      <c r="W109" s="532">
        <v>0</v>
      </c>
      <c r="X109" s="532">
        <v>0</v>
      </c>
      <c r="Y109" s="532">
        <v>0</v>
      </c>
      <c r="Z109" s="571"/>
      <c r="AA109" s="571"/>
      <c r="AB109" s="571"/>
      <c r="AC109" s="571"/>
      <c r="AD109" s="571"/>
      <c r="AE109" s="571"/>
      <c r="AF109" s="571"/>
      <c r="AG109" s="333" t="s">
        <v>297</v>
      </c>
      <c r="AH109" s="333" t="s">
        <v>298</v>
      </c>
      <c r="AI109" s="528">
        <v>2</v>
      </c>
      <c r="AJ109" s="528">
        <v>4</v>
      </c>
      <c r="AK109" s="483">
        <v>0.33329999999999999</v>
      </c>
      <c r="AL109" s="483">
        <v>0.66659999999999997</v>
      </c>
      <c r="AM109" s="525" t="s">
        <v>1124</v>
      </c>
      <c r="AN109" s="528">
        <v>0</v>
      </c>
      <c r="AO109" s="528">
        <v>0</v>
      </c>
      <c r="AP109" s="528">
        <v>0</v>
      </c>
      <c r="AQ109" s="528">
        <v>0</v>
      </c>
      <c r="AR109" s="528">
        <v>0</v>
      </c>
      <c r="AS109" s="528">
        <v>0</v>
      </c>
      <c r="AT109" s="528">
        <v>0</v>
      </c>
      <c r="AU109" s="528">
        <v>0</v>
      </c>
      <c r="AV109" s="528">
        <v>0</v>
      </c>
      <c r="AW109" s="528">
        <v>0</v>
      </c>
      <c r="AX109" s="528">
        <v>0</v>
      </c>
      <c r="AY109" s="528">
        <v>0</v>
      </c>
      <c r="AZ109" s="528"/>
      <c r="BA109" s="528" t="s">
        <v>1278</v>
      </c>
      <c r="BB109" s="528"/>
      <c r="BC109" s="528" t="s">
        <v>1278</v>
      </c>
      <c r="BD109" s="528"/>
      <c r="BE109" s="528"/>
      <c r="BF109" s="528"/>
      <c r="BG109" s="529"/>
      <c r="BH109" s="525"/>
      <c r="BI109" s="528"/>
      <c r="BJ109" s="528" t="s">
        <v>411</v>
      </c>
      <c r="BK109" s="528"/>
      <c r="BL109" s="529" t="s">
        <v>1284</v>
      </c>
      <c r="BM109" s="525" t="s">
        <v>1560</v>
      </c>
      <c r="BN109" s="525" t="s">
        <v>368</v>
      </c>
    </row>
    <row r="110" spans="1:66" ht="13" customHeight="1" x14ac:dyDescent="0.2">
      <c r="A110" s="525">
        <v>2743</v>
      </c>
      <c r="B110" s="565">
        <v>44455</v>
      </c>
      <c r="C110" s="526" t="s">
        <v>295</v>
      </c>
      <c r="D110" s="525" t="s">
        <v>1114</v>
      </c>
      <c r="E110" s="527">
        <v>44197</v>
      </c>
      <c r="F110" s="525" t="s">
        <v>1274</v>
      </c>
      <c r="G110" s="525" t="s">
        <v>1467</v>
      </c>
      <c r="H110" s="532">
        <v>85.999999999999986</v>
      </c>
      <c r="I110" s="394" t="s">
        <v>296</v>
      </c>
      <c r="J110" s="409">
        <v>6000</v>
      </c>
      <c r="K110" s="332">
        <v>12000</v>
      </c>
      <c r="L110" s="332">
        <v>12000</v>
      </c>
      <c r="M110" s="332">
        <v>12000</v>
      </c>
      <c r="N110" s="332"/>
      <c r="O110" s="532">
        <v>2.127272727272727</v>
      </c>
      <c r="P110" s="532">
        <v>1.9545454545454544</v>
      </c>
      <c r="Q110" s="532">
        <v>0</v>
      </c>
      <c r="R110" s="532">
        <v>0</v>
      </c>
      <c r="S110" s="532">
        <v>1.6181818181818182</v>
      </c>
      <c r="T110" s="571"/>
      <c r="U110" s="532">
        <v>2.127272727272727</v>
      </c>
      <c r="V110" s="532">
        <v>1.9545454545454544</v>
      </c>
      <c r="W110" s="532">
        <v>0</v>
      </c>
      <c r="X110" s="532">
        <v>0</v>
      </c>
      <c r="Y110" s="532">
        <v>1.6181818181818182</v>
      </c>
      <c r="Z110" s="571"/>
      <c r="AA110" s="571"/>
      <c r="AB110" s="571"/>
      <c r="AC110" s="571"/>
      <c r="AD110" s="571"/>
      <c r="AE110" s="571"/>
      <c r="AF110" s="571"/>
      <c r="AG110" s="333" t="s">
        <v>1278</v>
      </c>
      <c r="AH110" s="333"/>
      <c r="AI110" s="528">
        <v>3</v>
      </c>
      <c r="AJ110" s="528">
        <v>3</v>
      </c>
      <c r="AK110" s="480">
        <v>0.5</v>
      </c>
      <c r="AL110" s="480">
        <v>0.5</v>
      </c>
      <c r="AM110" s="525"/>
      <c r="AN110" s="528">
        <v>0</v>
      </c>
      <c r="AO110" s="528">
        <v>12</v>
      </c>
      <c r="AP110" s="528">
        <v>0</v>
      </c>
      <c r="AQ110" s="528">
        <v>3</v>
      </c>
      <c r="AR110" s="528">
        <v>0</v>
      </c>
      <c r="AS110" s="528">
        <v>0</v>
      </c>
      <c r="AT110" s="528">
        <v>0</v>
      </c>
      <c r="AU110" s="528">
        <v>0</v>
      </c>
      <c r="AV110" s="528">
        <v>0</v>
      </c>
      <c r="AW110" s="528">
        <v>0</v>
      </c>
      <c r="AX110" s="528">
        <v>0</v>
      </c>
      <c r="AY110" s="528">
        <v>0</v>
      </c>
      <c r="AZ110" s="528"/>
      <c r="BA110" s="528" t="s">
        <v>1278</v>
      </c>
      <c r="BB110" s="528"/>
      <c r="BC110" s="528" t="s">
        <v>1278</v>
      </c>
      <c r="BD110" s="528"/>
      <c r="BE110" s="528"/>
      <c r="BF110" s="528"/>
      <c r="BG110" s="529"/>
      <c r="BH110" s="525"/>
      <c r="BI110" s="528"/>
      <c r="BJ110" s="528" t="s">
        <v>411</v>
      </c>
      <c r="BK110" s="528">
        <v>1</v>
      </c>
      <c r="BL110" s="529"/>
      <c r="BM110" s="424" t="s">
        <v>1530</v>
      </c>
      <c r="BN110" s="525" t="s">
        <v>368</v>
      </c>
    </row>
    <row r="111" spans="1:66" ht="13" customHeight="1" x14ac:dyDescent="0.2">
      <c r="A111" s="525">
        <v>2333</v>
      </c>
      <c r="B111" s="565">
        <v>44455</v>
      </c>
      <c r="C111" s="526" t="s">
        <v>295</v>
      </c>
      <c r="D111" s="525" t="s">
        <v>1114</v>
      </c>
      <c r="E111" s="570">
        <v>44228</v>
      </c>
      <c r="F111" s="525" t="s">
        <v>1291</v>
      </c>
      <c r="G111" s="525" t="s">
        <v>1181</v>
      </c>
      <c r="H111" s="532">
        <v>80.336363636363629</v>
      </c>
      <c r="I111" s="394"/>
      <c r="J111" s="409"/>
      <c r="K111" s="332"/>
      <c r="L111" s="332"/>
      <c r="M111" s="332"/>
      <c r="N111" s="332"/>
      <c r="O111" s="532">
        <v>1.8090909090909089</v>
      </c>
      <c r="P111" s="532">
        <v>0</v>
      </c>
      <c r="Q111" s="532">
        <v>0</v>
      </c>
      <c r="R111" s="532">
        <v>0</v>
      </c>
      <c r="S111" s="532">
        <v>0</v>
      </c>
      <c r="T111" s="571"/>
      <c r="U111" s="532">
        <v>1.4909090909090907</v>
      </c>
      <c r="V111" s="532">
        <v>0</v>
      </c>
      <c r="W111" s="532">
        <v>0</v>
      </c>
      <c r="X111" s="532">
        <v>0</v>
      </c>
      <c r="Y111" s="532">
        <v>0</v>
      </c>
      <c r="Z111" s="571"/>
      <c r="AA111" s="571"/>
      <c r="AB111" s="571"/>
      <c r="AC111" s="571"/>
      <c r="AD111" s="571"/>
      <c r="AE111" s="571"/>
      <c r="AF111" s="571"/>
      <c r="AG111" s="333" t="s">
        <v>297</v>
      </c>
      <c r="AH111" s="333" t="s">
        <v>298</v>
      </c>
      <c r="AI111" s="528">
        <v>2</v>
      </c>
      <c r="AJ111" s="528">
        <v>4</v>
      </c>
      <c r="AK111" s="483">
        <v>0.33329999999999999</v>
      </c>
      <c r="AL111" s="483">
        <v>0.66659999999999997</v>
      </c>
      <c r="AM111" s="525" t="s">
        <v>1124</v>
      </c>
      <c r="AN111" s="528">
        <v>0</v>
      </c>
      <c r="AO111" s="528">
        <v>0</v>
      </c>
      <c r="AP111" s="528">
        <v>0</v>
      </c>
      <c r="AQ111" s="528">
        <v>0</v>
      </c>
      <c r="AR111" s="528">
        <v>0</v>
      </c>
      <c r="AS111" s="528">
        <v>0</v>
      </c>
      <c r="AT111" s="528">
        <v>0</v>
      </c>
      <c r="AU111" s="528">
        <v>0</v>
      </c>
      <c r="AV111" s="528">
        <v>0</v>
      </c>
      <c r="AW111" s="528">
        <v>0</v>
      </c>
      <c r="AX111" s="528">
        <v>0</v>
      </c>
      <c r="AY111" s="528">
        <v>0</v>
      </c>
      <c r="AZ111" s="528"/>
      <c r="BA111" s="528" t="s">
        <v>1278</v>
      </c>
      <c r="BB111" s="528"/>
      <c r="BC111" s="528" t="s">
        <v>1278</v>
      </c>
      <c r="BD111" s="528"/>
      <c r="BE111" s="528"/>
      <c r="BF111" s="528"/>
      <c r="BG111" s="529"/>
      <c r="BH111" s="525"/>
      <c r="BI111" s="528"/>
      <c r="BJ111" s="528" t="s">
        <v>4</v>
      </c>
      <c r="BK111" s="528"/>
      <c r="BL111" s="529" t="s">
        <v>1284</v>
      </c>
      <c r="BM111" s="525" t="s">
        <v>1555</v>
      </c>
      <c r="BN111" s="525" t="s">
        <v>368</v>
      </c>
    </row>
    <row r="112" spans="1:66" ht="13" customHeight="1" x14ac:dyDescent="0.2">
      <c r="A112" s="525">
        <v>2934</v>
      </c>
      <c r="B112" s="565">
        <v>44456</v>
      </c>
      <c r="C112" s="526" t="s">
        <v>295</v>
      </c>
      <c r="D112" s="525" t="s">
        <v>1114</v>
      </c>
      <c r="E112" s="527">
        <v>44452</v>
      </c>
      <c r="F112" s="525" t="s">
        <v>1483</v>
      </c>
      <c r="G112" s="525" t="s">
        <v>1550</v>
      </c>
      <c r="H112" s="532">
        <v>99.999999999999986</v>
      </c>
      <c r="I112" s="531" t="s">
        <v>296</v>
      </c>
      <c r="J112" s="459">
        <v>6000</v>
      </c>
      <c r="K112" s="459">
        <v>12000</v>
      </c>
      <c r="L112" s="459">
        <v>84000</v>
      </c>
      <c r="M112" s="459">
        <v>84000</v>
      </c>
      <c r="N112" s="332"/>
      <c r="O112" s="532">
        <v>1.4272727272727272</v>
      </c>
      <c r="P112" s="532">
        <v>1.0818181818181818</v>
      </c>
      <c r="Q112" s="532">
        <v>1.0545454545454545</v>
      </c>
      <c r="R112" s="532">
        <v>0</v>
      </c>
      <c r="S112" s="532">
        <v>1</v>
      </c>
      <c r="T112" s="571"/>
      <c r="U112" s="532">
        <v>1.1545454545454545</v>
      </c>
      <c r="V112" s="532">
        <v>1.0818181818181818</v>
      </c>
      <c r="W112" s="532">
        <v>1.0545454545454545</v>
      </c>
      <c r="X112" s="532">
        <v>0</v>
      </c>
      <c r="Y112" s="532">
        <v>1</v>
      </c>
      <c r="Z112" s="571"/>
      <c r="AA112" s="571"/>
      <c r="AB112" s="571"/>
      <c r="AC112" s="571"/>
      <c r="AD112" s="571"/>
      <c r="AE112" s="571"/>
      <c r="AF112" s="571"/>
      <c r="AG112" s="333" t="s">
        <v>297</v>
      </c>
      <c r="AH112" s="333" t="s">
        <v>298</v>
      </c>
      <c r="AI112" s="528">
        <v>2</v>
      </c>
      <c r="AJ112" s="528">
        <v>4</v>
      </c>
      <c r="AK112" s="483">
        <v>0.33329999999999999</v>
      </c>
      <c r="AL112" s="483">
        <v>0.66659999999999997</v>
      </c>
      <c r="AM112" s="525" t="s">
        <v>1124</v>
      </c>
      <c r="AN112" s="528">
        <v>0</v>
      </c>
      <c r="AO112" s="528">
        <v>0</v>
      </c>
      <c r="AP112" s="528">
        <v>0</v>
      </c>
      <c r="AQ112" s="528">
        <v>0</v>
      </c>
      <c r="AR112" s="528">
        <v>0</v>
      </c>
      <c r="AS112" s="528">
        <v>0</v>
      </c>
      <c r="AT112" s="528">
        <v>0</v>
      </c>
      <c r="AU112" s="528">
        <v>0</v>
      </c>
      <c r="AV112" s="528">
        <v>0</v>
      </c>
      <c r="AW112" s="528">
        <v>0</v>
      </c>
      <c r="AX112" s="528">
        <v>0</v>
      </c>
      <c r="AY112" s="528">
        <v>0</v>
      </c>
      <c r="AZ112" s="528"/>
      <c r="BA112" s="528" t="s">
        <v>1278</v>
      </c>
      <c r="BB112" s="528"/>
      <c r="BC112" s="528" t="s">
        <v>1278</v>
      </c>
      <c r="BD112" s="528"/>
      <c r="BE112" s="528">
        <v>12</v>
      </c>
      <c r="BF112" s="564"/>
      <c r="BG112" s="529"/>
      <c r="BH112" s="525"/>
      <c r="BI112" s="528"/>
      <c r="BJ112" s="528" t="s">
        <v>4</v>
      </c>
      <c r="BK112" s="528"/>
      <c r="BL112" s="529"/>
      <c r="BM112" s="525" t="s">
        <v>430</v>
      </c>
      <c r="BN112" s="525" t="s">
        <v>408</v>
      </c>
    </row>
    <row r="113" spans="1:66" ht="13" customHeight="1" x14ac:dyDescent="0.2">
      <c r="A113" s="525">
        <v>3031</v>
      </c>
      <c r="B113" s="565">
        <v>44456</v>
      </c>
      <c r="C113" s="526" t="s">
        <v>295</v>
      </c>
      <c r="D113" s="525" t="s">
        <v>1115</v>
      </c>
      <c r="E113" s="527">
        <v>44378</v>
      </c>
      <c r="F113" s="529" t="s">
        <v>1044</v>
      </c>
      <c r="G113" s="525" t="s">
        <v>1562</v>
      </c>
      <c r="H113" s="532">
        <v>80.909090909090907</v>
      </c>
      <c r="I113" s="531" t="s">
        <v>296</v>
      </c>
      <c r="J113" s="459">
        <v>6000</v>
      </c>
      <c r="K113" s="459">
        <v>12000</v>
      </c>
      <c r="L113" s="459">
        <v>84000</v>
      </c>
      <c r="M113" s="459">
        <v>84000</v>
      </c>
      <c r="N113" s="525"/>
      <c r="O113" s="532">
        <v>2.2636363636363637</v>
      </c>
      <c r="P113" s="532">
        <v>2.1818181818181817</v>
      </c>
      <c r="Q113" s="532">
        <v>1.4999999999999998</v>
      </c>
      <c r="R113" s="532">
        <v>0</v>
      </c>
      <c r="S113" s="532">
        <v>1.4363636363636363</v>
      </c>
      <c r="T113" s="533"/>
      <c r="U113" s="532">
        <v>1.9363636363636361</v>
      </c>
      <c r="V113" s="532">
        <v>1.6727272727272726</v>
      </c>
      <c r="W113" s="532">
        <v>1.4727272727272727</v>
      </c>
      <c r="X113" s="532">
        <v>0</v>
      </c>
      <c r="Y113" s="532">
        <v>1.3272727272727272</v>
      </c>
      <c r="Z113" s="533"/>
      <c r="AA113" s="533"/>
      <c r="AB113" s="533"/>
      <c r="AC113" s="533"/>
      <c r="AD113" s="533"/>
      <c r="AE113" s="533"/>
      <c r="AF113" s="533"/>
      <c r="AG113" s="528" t="s">
        <v>297</v>
      </c>
      <c r="AH113" s="528" t="s">
        <v>298</v>
      </c>
      <c r="AI113" s="528">
        <v>2</v>
      </c>
      <c r="AJ113" s="528">
        <v>4</v>
      </c>
      <c r="AK113" s="483">
        <v>0.33329999999999999</v>
      </c>
      <c r="AL113" s="483">
        <v>0.66659999999999997</v>
      </c>
      <c r="AM113" s="525" t="s">
        <v>1124</v>
      </c>
      <c r="AN113" s="528">
        <v>0</v>
      </c>
      <c r="AO113" s="528">
        <v>0</v>
      </c>
      <c r="AP113" s="528">
        <v>0</v>
      </c>
      <c r="AQ113" s="528">
        <v>0</v>
      </c>
      <c r="AR113" s="528">
        <v>0</v>
      </c>
      <c r="AS113" s="528">
        <v>0</v>
      </c>
      <c r="AT113" s="528">
        <v>0</v>
      </c>
      <c r="AU113" s="528">
        <v>0</v>
      </c>
      <c r="AV113" s="528">
        <v>0</v>
      </c>
      <c r="AW113" s="528">
        <v>0</v>
      </c>
      <c r="AX113" s="528">
        <v>0</v>
      </c>
      <c r="AY113" s="528">
        <v>0</v>
      </c>
      <c r="AZ113" s="528"/>
      <c r="BA113" s="528" t="s">
        <v>1278</v>
      </c>
      <c r="BB113" s="528"/>
      <c r="BC113" s="528" t="s">
        <v>1278</v>
      </c>
      <c r="BD113" s="528"/>
      <c r="BE113" s="528"/>
      <c r="BF113" s="528"/>
      <c r="BG113" s="529"/>
      <c r="BH113" s="525"/>
      <c r="BI113" s="528"/>
      <c r="BJ113" s="528" t="s">
        <v>4</v>
      </c>
      <c r="BK113" s="528"/>
      <c r="BL113" s="529"/>
      <c r="BM113" s="529" t="s">
        <v>1600</v>
      </c>
      <c r="BN113" s="525" t="s">
        <v>368</v>
      </c>
    </row>
    <row r="114" spans="1:66" ht="13" customHeight="1" x14ac:dyDescent="0.2">
      <c r="A114" s="525">
        <v>2500</v>
      </c>
      <c r="B114" s="565">
        <v>44455</v>
      </c>
      <c r="C114" s="526" t="s">
        <v>295</v>
      </c>
      <c r="D114" s="525" t="s">
        <v>1115</v>
      </c>
      <c r="E114" s="527">
        <v>44326</v>
      </c>
      <c r="F114" s="529" t="s">
        <v>1046</v>
      </c>
      <c r="G114" s="525" t="s">
        <v>1280</v>
      </c>
      <c r="H114" s="532">
        <v>67.827272727272728</v>
      </c>
      <c r="I114" s="531" t="s">
        <v>296</v>
      </c>
      <c r="J114" s="568">
        <v>6000</v>
      </c>
      <c r="K114" s="568">
        <v>6000</v>
      </c>
      <c r="L114" s="568">
        <v>6000</v>
      </c>
      <c r="M114" s="568">
        <v>6000</v>
      </c>
      <c r="N114" s="525"/>
      <c r="O114" s="532">
        <v>1.9272727272727272</v>
      </c>
      <c r="P114" s="532">
        <v>0</v>
      </c>
      <c r="Q114" s="532">
        <v>0</v>
      </c>
      <c r="R114" s="532">
        <v>0</v>
      </c>
      <c r="S114" s="532">
        <v>1.4181818181818182</v>
      </c>
      <c r="T114" s="533"/>
      <c r="U114" s="532">
        <v>1.7545454545454544</v>
      </c>
      <c r="V114" s="532">
        <v>0</v>
      </c>
      <c r="W114" s="532">
        <v>0</v>
      </c>
      <c r="X114" s="532">
        <v>0</v>
      </c>
      <c r="Y114" s="532">
        <v>1.4181818181818182</v>
      </c>
      <c r="Z114" s="533"/>
      <c r="AA114" s="533"/>
      <c r="AB114" s="533"/>
      <c r="AC114" s="533"/>
      <c r="AD114" s="533"/>
      <c r="AE114" s="533"/>
      <c r="AF114" s="533"/>
      <c r="AG114" s="528" t="s">
        <v>297</v>
      </c>
      <c r="AH114" s="528" t="s">
        <v>298</v>
      </c>
      <c r="AI114" s="528">
        <v>2</v>
      </c>
      <c r="AJ114" s="528">
        <v>4</v>
      </c>
      <c r="AK114" s="483">
        <v>0.33329999999999999</v>
      </c>
      <c r="AL114" s="483">
        <v>0.66659999999999997</v>
      </c>
      <c r="AM114" s="525" t="s">
        <v>1124</v>
      </c>
      <c r="AN114" s="528">
        <v>0</v>
      </c>
      <c r="AO114" s="528">
        <v>0</v>
      </c>
      <c r="AP114" s="528">
        <v>0</v>
      </c>
      <c r="AQ114" s="528">
        <v>0</v>
      </c>
      <c r="AR114" s="528">
        <v>0</v>
      </c>
      <c r="AS114" s="528">
        <v>0</v>
      </c>
      <c r="AT114" s="528">
        <v>0</v>
      </c>
      <c r="AU114" s="528">
        <v>0</v>
      </c>
      <c r="AV114" s="528">
        <v>0</v>
      </c>
      <c r="AW114" s="528">
        <v>0</v>
      </c>
      <c r="AX114" s="528">
        <v>0</v>
      </c>
      <c r="AY114" s="528">
        <v>0</v>
      </c>
      <c r="AZ114" s="528"/>
      <c r="BA114" s="528" t="s">
        <v>1278</v>
      </c>
      <c r="BB114" s="528"/>
      <c r="BC114" s="528" t="s">
        <v>1278</v>
      </c>
      <c r="BD114" s="528"/>
      <c r="BE114" s="528"/>
      <c r="BF114" s="528"/>
      <c r="BG114" s="529"/>
      <c r="BH114" s="525"/>
      <c r="BI114" s="528"/>
      <c r="BJ114" s="528" t="s">
        <v>4</v>
      </c>
      <c r="BK114" s="528"/>
      <c r="BL114" s="529"/>
      <c r="BM114" s="525" t="s">
        <v>430</v>
      </c>
      <c r="BN114" s="525" t="s">
        <v>368</v>
      </c>
    </row>
    <row r="115" spans="1:66" ht="13" customHeight="1" x14ac:dyDescent="0.2">
      <c r="A115" s="525">
        <v>2965</v>
      </c>
      <c r="B115" s="565">
        <v>44455</v>
      </c>
      <c r="C115" s="526" t="s">
        <v>295</v>
      </c>
      <c r="D115" s="525" t="s">
        <v>1115</v>
      </c>
      <c r="E115" s="527">
        <v>44223</v>
      </c>
      <c r="F115" s="529" t="s">
        <v>1050</v>
      </c>
      <c r="G115" s="525" t="s">
        <v>1564</v>
      </c>
      <c r="H115" s="532">
        <v>85</v>
      </c>
      <c r="I115" s="531" t="s">
        <v>296</v>
      </c>
      <c r="J115" s="459">
        <v>6000</v>
      </c>
      <c r="K115" s="459">
        <v>12000</v>
      </c>
      <c r="L115" s="459">
        <v>84000</v>
      </c>
      <c r="M115" s="459">
        <v>84000</v>
      </c>
      <c r="N115" s="525"/>
      <c r="O115" s="532">
        <v>2.4727272727272727</v>
      </c>
      <c r="P115" s="532">
        <v>2.0636363636363635</v>
      </c>
      <c r="Q115" s="532">
        <v>1.5545454545454545</v>
      </c>
      <c r="R115" s="532">
        <v>0</v>
      </c>
      <c r="S115" s="532">
        <v>1.5363636363636362</v>
      </c>
      <c r="T115" s="533"/>
      <c r="U115" s="532">
        <v>1.718181818181818</v>
      </c>
      <c r="V115" s="532">
        <v>1.6545454545454545</v>
      </c>
      <c r="W115" s="532">
        <v>1.4727272727272727</v>
      </c>
      <c r="X115" s="532">
        <v>0</v>
      </c>
      <c r="Y115" s="532">
        <v>1.4</v>
      </c>
      <c r="Z115" s="533"/>
      <c r="AA115" s="533"/>
      <c r="AB115" s="533"/>
      <c r="AC115" s="533"/>
      <c r="AD115" s="533"/>
      <c r="AE115" s="533"/>
      <c r="AF115" s="533"/>
      <c r="AG115" s="528" t="s">
        <v>297</v>
      </c>
      <c r="AH115" s="528" t="s">
        <v>298</v>
      </c>
      <c r="AI115" s="528">
        <v>2</v>
      </c>
      <c r="AJ115" s="528">
        <v>4</v>
      </c>
      <c r="AK115" s="483">
        <v>0.33329999999999999</v>
      </c>
      <c r="AL115" s="483">
        <v>0.66659999999999997</v>
      </c>
      <c r="AM115" s="525" t="s">
        <v>1124</v>
      </c>
      <c r="AN115" s="528">
        <v>0</v>
      </c>
      <c r="AO115" s="528">
        <v>20</v>
      </c>
      <c r="AP115" s="528">
        <v>0</v>
      </c>
      <c r="AQ115" s="528">
        <v>0</v>
      </c>
      <c r="AR115" s="528">
        <v>0</v>
      </c>
      <c r="AS115" s="528">
        <v>0</v>
      </c>
      <c r="AT115" s="528">
        <v>0</v>
      </c>
      <c r="AU115" s="528">
        <v>0</v>
      </c>
      <c r="AV115" s="528">
        <v>0</v>
      </c>
      <c r="AW115" s="528">
        <v>0</v>
      </c>
      <c r="AX115" s="528">
        <v>0</v>
      </c>
      <c r="AY115" s="528">
        <v>0</v>
      </c>
      <c r="AZ115" s="528"/>
      <c r="BA115" s="528" t="s">
        <v>1278</v>
      </c>
      <c r="BB115" s="528"/>
      <c r="BC115" s="528" t="s">
        <v>1278</v>
      </c>
      <c r="BD115" s="528"/>
      <c r="BE115" s="528"/>
      <c r="BF115" s="528"/>
      <c r="BG115" s="529"/>
      <c r="BH115" s="525"/>
      <c r="BI115" s="528"/>
      <c r="BJ115" s="528" t="s">
        <v>4</v>
      </c>
      <c r="BK115" s="528">
        <v>1</v>
      </c>
      <c r="BL115" s="529"/>
      <c r="BM115" s="530" t="s">
        <v>1595</v>
      </c>
      <c r="BN115" s="525" t="s">
        <v>368</v>
      </c>
    </row>
    <row r="116" spans="1:66" ht="13" customHeight="1" x14ac:dyDescent="0.2">
      <c r="A116" s="525">
        <v>2556</v>
      </c>
      <c r="B116" s="565">
        <v>44455</v>
      </c>
      <c r="C116" s="526" t="s">
        <v>295</v>
      </c>
      <c r="D116" s="525" t="s">
        <v>1115</v>
      </c>
      <c r="E116" s="527">
        <v>44305</v>
      </c>
      <c r="F116" s="525" t="s">
        <v>1052</v>
      </c>
      <c r="G116" s="525" t="s">
        <v>1181</v>
      </c>
      <c r="H116" s="532">
        <v>70.272727272727266</v>
      </c>
      <c r="I116" s="531" t="s">
        <v>296</v>
      </c>
      <c r="J116" s="394">
        <v>6000</v>
      </c>
      <c r="K116" s="394">
        <v>12000</v>
      </c>
      <c r="L116" s="332">
        <v>24000</v>
      </c>
      <c r="M116" s="332">
        <v>24000</v>
      </c>
      <c r="N116" s="332"/>
      <c r="O116" s="532">
        <v>2.0090909090909088</v>
      </c>
      <c r="P116" s="532">
        <v>1.7363636363636361</v>
      </c>
      <c r="Q116" s="532">
        <v>1.3909090909090909</v>
      </c>
      <c r="R116" s="532">
        <v>0</v>
      </c>
      <c r="S116" s="532">
        <v>1.3909090909090909</v>
      </c>
      <c r="T116" s="571"/>
      <c r="U116" s="532">
        <v>1.5636363636363635</v>
      </c>
      <c r="V116" s="532">
        <v>1.5181818181818181</v>
      </c>
      <c r="W116" s="532">
        <v>1.3909090909090909</v>
      </c>
      <c r="X116" s="532">
        <v>0</v>
      </c>
      <c r="Y116" s="532">
        <v>1.3454545454545452</v>
      </c>
      <c r="Z116" s="571"/>
      <c r="AA116" s="571"/>
      <c r="AB116" s="571"/>
      <c r="AC116" s="571"/>
      <c r="AD116" s="571"/>
      <c r="AE116" s="571"/>
      <c r="AF116" s="571"/>
      <c r="AG116" s="333" t="s">
        <v>297</v>
      </c>
      <c r="AH116" s="333" t="s">
        <v>298</v>
      </c>
      <c r="AI116" s="528">
        <v>2</v>
      </c>
      <c r="AJ116" s="528">
        <v>4</v>
      </c>
      <c r="AK116" s="483">
        <v>0.33329999999999999</v>
      </c>
      <c r="AL116" s="483">
        <v>0.66659999999999997</v>
      </c>
      <c r="AM116" s="525" t="s">
        <v>1124</v>
      </c>
      <c r="AN116" s="528">
        <v>0</v>
      </c>
      <c r="AO116" s="528">
        <v>0</v>
      </c>
      <c r="AP116" s="528">
        <v>0</v>
      </c>
      <c r="AQ116" s="528">
        <v>0</v>
      </c>
      <c r="AR116" s="528">
        <v>0</v>
      </c>
      <c r="AS116" s="528">
        <v>0</v>
      </c>
      <c r="AT116" s="528">
        <v>0</v>
      </c>
      <c r="AU116" s="528">
        <v>0</v>
      </c>
      <c r="AV116" s="528">
        <v>0</v>
      </c>
      <c r="AW116" s="528">
        <v>0</v>
      </c>
      <c r="AX116" s="528">
        <v>0</v>
      </c>
      <c r="AY116" s="528">
        <v>0</v>
      </c>
      <c r="AZ116" s="528"/>
      <c r="BA116" s="528" t="s">
        <v>1278</v>
      </c>
      <c r="BB116" s="528"/>
      <c r="BC116" s="528" t="s">
        <v>1278</v>
      </c>
      <c r="BD116" s="528"/>
      <c r="BE116" s="528"/>
      <c r="BF116" s="528"/>
      <c r="BG116" s="529"/>
      <c r="BH116" s="525"/>
      <c r="BI116" s="528"/>
      <c r="BJ116" s="528" t="s">
        <v>4</v>
      </c>
      <c r="BK116" s="528"/>
      <c r="BL116" s="529"/>
      <c r="BM116" s="567" t="s">
        <v>1448</v>
      </c>
      <c r="BN116" s="525" t="s">
        <v>368</v>
      </c>
    </row>
    <row r="117" spans="1:66" ht="13" customHeight="1" x14ac:dyDescent="0.2">
      <c r="A117" s="525">
        <v>2119</v>
      </c>
      <c r="B117" s="565">
        <v>44456</v>
      </c>
      <c r="C117" s="526" t="s">
        <v>295</v>
      </c>
      <c r="D117" s="525" t="s">
        <v>1115</v>
      </c>
      <c r="E117" s="527">
        <v>44448</v>
      </c>
      <c r="F117" s="529" t="s">
        <v>1054</v>
      </c>
      <c r="G117" s="525" t="s">
        <v>1157</v>
      </c>
      <c r="H117" s="532">
        <v>100.6</v>
      </c>
      <c r="I117" s="531" t="s">
        <v>296</v>
      </c>
      <c r="J117" s="459">
        <v>6000</v>
      </c>
      <c r="K117" s="459">
        <v>12000</v>
      </c>
      <c r="L117" s="459">
        <v>84000</v>
      </c>
      <c r="M117" s="459">
        <v>84000</v>
      </c>
      <c r="N117" s="525"/>
      <c r="O117" s="532">
        <v>2.9636363636363634</v>
      </c>
      <c r="P117" s="532">
        <v>2.3818181818181818</v>
      </c>
      <c r="Q117" s="532">
        <v>1.8818181818181816</v>
      </c>
      <c r="R117" s="532">
        <v>0</v>
      </c>
      <c r="S117" s="532">
        <v>1.8181818181818181</v>
      </c>
      <c r="T117" s="533"/>
      <c r="U117" s="532">
        <v>2.2727272727272725</v>
      </c>
      <c r="V117" s="532">
        <v>2.0636363636363635</v>
      </c>
      <c r="W117" s="532">
        <v>1.8545454545454545</v>
      </c>
      <c r="X117" s="532">
        <v>0</v>
      </c>
      <c r="Y117" s="532">
        <v>1.7818181818181817</v>
      </c>
      <c r="Z117" s="533"/>
      <c r="AA117" s="533"/>
      <c r="AB117" s="533"/>
      <c r="AC117" s="533"/>
      <c r="AD117" s="533"/>
      <c r="AE117" s="533"/>
      <c r="AF117" s="533"/>
      <c r="AG117" s="528" t="s">
        <v>297</v>
      </c>
      <c r="AH117" s="528" t="s">
        <v>298</v>
      </c>
      <c r="AI117" s="528">
        <v>2</v>
      </c>
      <c r="AJ117" s="528">
        <v>4</v>
      </c>
      <c r="AK117" s="483">
        <v>0.33329999999999999</v>
      </c>
      <c r="AL117" s="483">
        <v>0.66659999999999997</v>
      </c>
      <c r="AM117" s="525" t="s">
        <v>1124</v>
      </c>
      <c r="AN117" s="528">
        <v>26</v>
      </c>
      <c r="AO117" s="528">
        <v>0</v>
      </c>
      <c r="AP117" s="528">
        <v>0</v>
      </c>
      <c r="AQ117" s="528">
        <v>0</v>
      </c>
      <c r="AR117" s="528">
        <v>0</v>
      </c>
      <c r="AS117" s="528">
        <v>0</v>
      </c>
      <c r="AT117" s="528">
        <v>0</v>
      </c>
      <c r="AU117" s="528">
        <v>0</v>
      </c>
      <c r="AV117" s="528">
        <v>0</v>
      </c>
      <c r="AW117" s="528">
        <v>0</v>
      </c>
      <c r="AX117" s="528">
        <v>0</v>
      </c>
      <c r="AY117" s="528">
        <v>0</v>
      </c>
      <c r="AZ117" s="566">
        <v>12</v>
      </c>
      <c r="BA117" s="528" t="s">
        <v>1278</v>
      </c>
      <c r="BB117" s="528">
        <v>12</v>
      </c>
      <c r="BC117" s="528" t="s">
        <v>1278</v>
      </c>
      <c r="BD117" s="528"/>
      <c r="BE117" s="528">
        <v>12</v>
      </c>
      <c r="BF117" s="528"/>
      <c r="BG117" s="529"/>
      <c r="BH117" s="525"/>
      <c r="BI117" s="528"/>
      <c r="BJ117" s="528" t="s">
        <v>4</v>
      </c>
      <c r="BK117" s="528"/>
      <c r="BL117" s="529"/>
      <c r="BM117" s="569" t="s">
        <v>1601</v>
      </c>
      <c r="BN117" s="525" t="s">
        <v>408</v>
      </c>
    </row>
    <row r="118" spans="1:66" ht="13" customHeight="1" x14ac:dyDescent="0.2">
      <c r="A118" s="525">
        <v>2874</v>
      </c>
      <c r="B118" s="565">
        <v>44455</v>
      </c>
      <c r="C118" s="526" t="s">
        <v>295</v>
      </c>
      <c r="D118" s="525" t="s">
        <v>1115</v>
      </c>
      <c r="E118" s="527">
        <v>44378</v>
      </c>
      <c r="F118" s="529" t="s">
        <v>1055</v>
      </c>
      <c r="G118" s="525" t="s">
        <v>1105</v>
      </c>
      <c r="H118" s="532">
        <v>78.599999999999994</v>
      </c>
      <c r="I118" s="531" t="s">
        <v>296</v>
      </c>
      <c r="J118" s="459">
        <v>6000</v>
      </c>
      <c r="K118" s="459">
        <v>12000</v>
      </c>
      <c r="L118" s="459">
        <v>84000</v>
      </c>
      <c r="M118" s="459">
        <v>84000</v>
      </c>
      <c r="N118" s="525"/>
      <c r="O118" s="532">
        <v>1.9727272727272724</v>
      </c>
      <c r="P118" s="532">
        <v>1.918181818181818</v>
      </c>
      <c r="Q118" s="532">
        <v>1.7454545454545451</v>
      </c>
      <c r="R118" s="532">
        <v>0</v>
      </c>
      <c r="S118" s="532">
        <v>1.5545454545454545</v>
      </c>
      <c r="T118" s="533"/>
      <c r="U118" s="532">
        <v>1.6818181818181817</v>
      </c>
      <c r="V118" s="532">
        <v>1.6636363636363636</v>
      </c>
      <c r="W118" s="532">
        <v>1.5636363636363635</v>
      </c>
      <c r="X118" s="532">
        <v>0</v>
      </c>
      <c r="Y118" s="532">
        <v>1.5181818181818181</v>
      </c>
      <c r="Z118" s="533"/>
      <c r="AA118" s="533"/>
      <c r="AB118" s="533"/>
      <c r="AC118" s="533"/>
      <c r="AD118" s="533"/>
      <c r="AE118" s="533"/>
      <c r="AF118" s="533"/>
      <c r="AG118" s="528" t="s">
        <v>297</v>
      </c>
      <c r="AH118" s="528" t="s">
        <v>298</v>
      </c>
      <c r="AI118" s="528">
        <v>2</v>
      </c>
      <c r="AJ118" s="528">
        <v>4</v>
      </c>
      <c r="AK118" s="483">
        <v>0.33329999999999999</v>
      </c>
      <c r="AL118" s="483">
        <v>0.66659999999999997</v>
      </c>
      <c r="AM118" s="525" t="s">
        <v>1124</v>
      </c>
      <c r="AN118" s="528">
        <v>0</v>
      </c>
      <c r="AO118" s="528">
        <v>0</v>
      </c>
      <c r="AP118" s="528">
        <v>0</v>
      </c>
      <c r="AQ118" s="528">
        <v>0</v>
      </c>
      <c r="AR118" s="528">
        <v>0</v>
      </c>
      <c r="AS118" s="528">
        <v>0</v>
      </c>
      <c r="AT118" s="528">
        <v>0</v>
      </c>
      <c r="AU118" s="528">
        <v>0</v>
      </c>
      <c r="AV118" s="528">
        <v>0</v>
      </c>
      <c r="AW118" s="528">
        <v>0</v>
      </c>
      <c r="AX118" s="528">
        <v>0</v>
      </c>
      <c r="AY118" s="528">
        <v>0</v>
      </c>
      <c r="AZ118" s="528"/>
      <c r="BA118" s="528" t="s">
        <v>1278</v>
      </c>
      <c r="BB118" s="528"/>
      <c r="BC118" s="528" t="s">
        <v>1278</v>
      </c>
      <c r="BD118" s="528"/>
      <c r="BE118" s="528"/>
      <c r="BF118" s="564">
        <v>44926</v>
      </c>
      <c r="BG118" s="529"/>
      <c r="BH118" s="525"/>
      <c r="BI118" s="528"/>
      <c r="BJ118" s="528" t="s">
        <v>4</v>
      </c>
      <c r="BK118" s="528"/>
      <c r="BL118" s="529"/>
      <c r="BM118" s="567" t="s">
        <v>430</v>
      </c>
      <c r="BN118" s="525" t="s">
        <v>368</v>
      </c>
    </row>
    <row r="119" spans="1:66" ht="13" customHeight="1" x14ac:dyDescent="0.2">
      <c r="A119" s="525">
        <v>318</v>
      </c>
      <c r="B119" s="565">
        <v>44455</v>
      </c>
      <c r="C119" s="526" t="s">
        <v>295</v>
      </c>
      <c r="D119" s="525" t="s">
        <v>1115</v>
      </c>
      <c r="E119" s="527">
        <v>44287</v>
      </c>
      <c r="F119" s="525" t="s">
        <v>1057</v>
      </c>
      <c r="G119" s="525" t="s">
        <v>1181</v>
      </c>
      <c r="H119" s="532">
        <v>99.3</v>
      </c>
      <c r="I119" s="531" t="s">
        <v>296</v>
      </c>
      <c r="J119" s="459">
        <v>6000</v>
      </c>
      <c r="K119" s="459">
        <v>12000</v>
      </c>
      <c r="L119" s="459">
        <v>84000</v>
      </c>
      <c r="M119" s="459">
        <v>84000</v>
      </c>
      <c r="N119" s="525"/>
      <c r="O119" s="532">
        <v>2.1999999999999997</v>
      </c>
      <c r="P119" s="532">
        <v>1.8999999999999997</v>
      </c>
      <c r="Q119" s="532">
        <v>1.5999999999999999</v>
      </c>
      <c r="R119" s="532">
        <v>0</v>
      </c>
      <c r="S119" s="532">
        <v>1.4999999999999998</v>
      </c>
      <c r="T119" s="533"/>
      <c r="U119" s="532">
        <v>1.5999999999999999</v>
      </c>
      <c r="V119" s="532">
        <v>1.5999999999999999</v>
      </c>
      <c r="W119" s="532">
        <v>1.4999999999999998</v>
      </c>
      <c r="X119" s="532">
        <v>0</v>
      </c>
      <c r="Y119" s="532">
        <v>1.4999999999999998</v>
      </c>
      <c r="Z119" s="533"/>
      <c r="AA119" s="533"/>
      <c r="AB119" s="533"/>
      <c r="AC119" s="533"/>
      <c r="AD119" s="533"/>
      <c r="AE119" s="533"/>
      <c r="AF119" s="533"/>
      <c r="AG119" s="528" t="s">
        <v>297</v>
      </c>
      <c r="AH119" s="528" t="s">
        <v>298</v>
      </c>
      <c r="AI119" s="528">
        <v>2</v>
      </c>
      <c r="AJ119" s="528">
        <v>4</v>
      </c>
      <c r="AK119" s="483">
        <v>0.33329999999999999</v>
      </c>
      <c r="AL119" s="483">
        <v>0.66659999999999997</v>
      </c>
      <c r="AM119" s="525" t="s">
        <v>1124</v>
      </c>
      <c r="AN119" s="528">
        <v>0</v>
      </c>
      <c r="AO119" s="528">
        <v>0</v>
      </c>
      <c r="AP119" s="528">
        <v>0</v>
      </c>
      <c r="AQ119" s="528">
        <v>0</v>
      </c>
      <c r="AR119" s="528">
        <v>0</v>
      </c>
      <c r="AS119" s="528">
        <v>0</v>
      </c>
      <c r="AT119" s="528">
        <v>0</v>
      </c>
      <c r="AU119" s="528">
        <v>0</v>
      </c>
      <c r="AV119" s="528">
        <v>0</v>
      </c>
      <c r="AW119" s="528">
        <v>0</v>
      </c>
      <c r="AX119" s="528">
        <v>0</v>
      </c>
      <c r="AY119" s="528">
        <v>0</v>
      </c>
      <c r="AZ119" s="528"/>
      <c r="BA119" s="528" t="s">
        <v>1278</v>
      </c>
      <c r="BB119" s="528"/>
      <c r="BC119" s="528" t="s">
        <v>1278</v>
      </c>
      <c r="BD119" s="528"/>
      <c r="BE119" s="528"/>
      <c r="BF119" s="528"/>
      <c r="BG119" s="529"/>
      <c r="BH119" s="525"/>
      <c r="BI119" s="528"/>
      <c r="BJ119" s="528" t="s">
        <v>4</v>
      </c>
      <c r="BK119" s="528"/>
      <c r="BL119" s="297"/>
      <c r="BM119" t="s">
        <v>1596</v>
      </c>
      <c r="BN119" s="525" t="s">
        <v>368</v>
      </c>
    </row>
    <row r="120" spans="1:66" ht="13" customHeight="1" x14ac:dyDescent="0.2">
      <c r="A120" s="525">
        <v>2850</v>
      </c>
      <c r="B120" s="565">
        <v>44456</v>
      </c>
      <c r="C120" s="526" t="s">
        <v>295</v>
      </c>
      <c r="D120" s="525" t="s">
        <v>1115</v>
      </c>
      <c r="E120" s="527">
        <v>44319</v>
      </c>
      <c r="F120" s="529" t="s">
        <v>981</v>
      </c>
      <c r="G120" s="525" t="s">
        <v>1478</v>
      </c>
      <c r="H120" s="532">
        <v>71.290909090909082</v>
      </c>
      <c r="I120" s="531"/>
      <c r="J120" s="568"/>
      <c r="K120" s="525"/>
      <c r="L120" s="525"/>
      <c r="M120" s="525"/>
      <c r="N120" s="525"/>
      <c r="O120" s="532">
        <v>1.918181818181818</v>
      </c>
      <c r="P120" s="532">
        <v>0</v>
      </c>
      <c r="Q120" s="532">
        <v>0</v>
      </c>
      <c r="R120" s="532">
        <v>0</v>
      </c>
      <c r="S120" s="532">
        <v>0</v>
      </c>
      <c r="T120" s="533"/>
      <c r="U120" s="532">
        <v>1.918181818181818</v>
      </c>
      <c r="V120" s="532">
        <v>0</v>
      </c>
      <c r="W120" s="532">
        <v>0</v>
      </c>
      <c r="X120" s="532">
        <v>0</v>
      </c>
      <c r="Y120" s="532">
        <v>0</v>
      </c>
      <c r="Z120" s="533"/>
      <c r="AA120" s="533"/>
      <c r="AB120" s="533"/>
      <c r="AC120" s="533"/>
      <c r="AD120" s="533"/>
      <c r="AE120" s="533"/>
      <c r="AF120" s="533"/>
      <c r="AG120" s="528" t="s">
        <v>1278</v>
      </c>
      <c r="AH120" s="528"/>
      <c r="AI120" s="528">
        <v>3</v>
      </c>
      <c r="AJ120" s="528">
        <v>3</v>
      </c>
      <c r="AK120" s="480">
        <v>0.5</v>
      </c>
      <c r="AL120" s="480">
        <v>0.5</v>
      </c>
      <c r="AM120" s="525"/>
      <c r="AN120" s="528">
        <v>0</v>
      </c>
      <c r="AO120" s="528">
        <v>0</v>
      </c>
      <c r="AP120" s="528">
        <v>0</v>
      </c>
      <c r="AQ120" s="528">
        <v>0</v>
      </c>
      <c r="AR120" s="528">
        <v>0</v>
      </c>
      <c r="AS120" s="528">
        <v>0</v>
      </c>
      <c r="AT120" s="528">
        <v>0</v>
      </c>
      <c r="AU120" s="528">
        <v>0</v>
      </c>
      <c r="AV120" s="528">
        <v>0</v>
      </c>
      <c r="AW120" s="528">
        <v>0</v>
      </c>
      <c r="AX120" s="528">
        <v>0</v>
      </c>
      <c r="AY120" s="528">
        <v>0</v>
      </c>
      <c r="AZ120" s="528"/>
      <c r="BA120" s="528" t="s">
        <v>1278</v>
      </c>
      <c r="BB120" s="528">
        <v>12</v>
      </c>
      <c r="BC120" s="528" t="s">
        <v>1278</v>
      </c>
      <c r="BD120" s="528"/>
      <c r="BE120" s="528">
        <v>12</v>
      </c>
      <c r="BF120" s="528"/>
      <c r="BG120" s="529"/>
      <c r="BH120" s="525"/>
      <c r="BI120" s="528"/>
      <c r="BJ120" s="528" t="s">
        <v>4</v>
      </c>
      <c r="BK120" s="528"/>
      <c r="BL120" s="529"/>
      <c r="BM120" s="569" t="s">
        <v>430</v>
      </c>
      <c r="BN120" s="525" t="s">
        <v>368</v>
      </c>
    </row>
    <row r="121" spans="1:66" ht="13" customHeight="1" x14ac:dyDescent="0.2">
      <c r="A121" s="525">
        <v>2400</v>
      </c>
      <c r="B121" s="565">
        <v>44455</v>
      </c>
      <c r="C121" s="526" t="s">
        <v>295</v>
      </c>
      <c r="D121" s="525" t="s">
        <v>1115</v>
      </c>
      <c r="E121" s="570">
        <v>44197</v>
      </c>
      <c r="F121" s="529" t="s">
        <v>982</v>
      </c>
      <c r="G121" s="525" t="s">
        <v>1297</v>
      </c>
      <c r="H121" s="532">
        <v>74.25454545454545</v>
      </c>
      <c r="I121" s="531" t="s">
        <v>296</v>
      </c>
      <c r="J121" s="459">
        <v>6000</v>
      </c>
      <c r="K121" s="459">
        <v>12000</v>
      </c>
      <c r="L121" s="459">
        <v>84000</v>
      </c>
      <c r="M121" s="459">
        <v>84000</v>
      </c>
      <c r="N121" s="525"/>
      <c r="O121" s="532">
        <v>2.1636363636363636</v>
      </c>
      <c r="P121" s="532">
        <v>1.9363636363636361</v>
      </c>
      <c r="Q121" s="532">
        <v>1.7090909090909088</v>
      </c>
      <c r="R121" s="532">
        <v>0</v>
      </c>
      <c r="S121" s="532">
        <v>1.6636363636363636</v>
      </c>
      <c r="T121" s="533"/>
      <c r="U121" s="532">
        <v>1.7545454545454544</v>
      </c>
      <c r="V121" s="532">
        <v>1.7090909090909088</v>
      </c>
      <c r="W121" s="532">
        <v>1.6181818181818182</v>
      </c>
      <c r="X121" s="532">
        <v>0</v>
      </c>
      <c r="Y121" s="532">
        <v>1.5727272727272725</v>
      </c>
      <c r="Z121" s="533"/>
      <c r="AA121" s="533"/>
      <c r="AB121" s="533"/>
      <c r="AC121" s="533"/>
      <c r="AD121" s="533"/>
      <c r="AE121" s="533"/>
      <c r="AF121" s="533"/>
      <c r="AG121" s="528" t="s">
        <v>297</v>
      </c>
      <c r="AH121" s="528" t="s">
        <v>298</v>
      </c>
      <c r="AI121" s="528">
        <v>2</v>
      </c>
      <c r="AJ121" s="528">
        <v>4</v>
      </c>
      <c r="AK121" s="483">
        <v>0.33329999999999999</v>
      </c>
      <c r="AL121" s="483">
        <v>0.66659999999999997</v>
      </c>
      <c r="AM121" s="525" t="s">
        <v>1124</v>
      </c>
      <c r="AN121" s="528">
        <v>0</v>
      </c>
      <c r="AO121" s="528">
        <v>0</v>
      </c>
      <c r="AP121" s="528">
        <v>0</v>
      </c>
      <c r="AQ121" s="528">
        <v>0</v>
      </c>
      <c r="AR121" s="528">
        <v>0</v>
      </c>
      <c r="AS121" s="528">
        <v>0</v>
      </c>
      <c r="AT121" s="528">
        <v>0</v>
      </c>
      <c r="AU121" s="528">
        <v>0</v>
      </c>
      <c r="AV121" s="528">
        <v>0</v>
      </c>
      <c r="AW121" s="528">
        <v>0</v>
      </c>
      <c r="AX121" s="528">
        <v>0</v>
      </c>
      <c r="AY121" s="528">
        <v>0</v>
      </c>
      <c r="AZ121" s="528"/>
      <c r="BA121" s="528" t="s">
        <v>1278</v>
      </c>
      <c r="BB121" s="528"/>
      <c r="BC121" s="528" t="s">
        <v>1278</v>
      </c>
      <c r="BD121" s="528"/>
      <c r="BE121" s="528"/>
      <c r="BF121" s="528"/>
      <c r="BG121" s="529"/>
      <c r="BH121" s="525"/>
      <c r="BI121" s="528"/>
      <c r="BJ121" s="528" t="s">
        <v>4</v>
      </c>
      <c r="BK121" s="528"/>
      <c r="BL121" s="529"/>
      <c r="BM121" s="530" t="s">
        <v>1546</v>
      </c>
      <c r="BN121" s="525" t="s">
        <v>368</v>
      </c>
    </row>
    <row r="122" spans="1:66" ht="13" customHeight="1" x14ac:dyDescent="0.2">
      <c r="A122" s="525">
        <v>2955</v>
      </c>
      <c r="B122" s="565">
        <v>44456</v>
      </c>
      <c r="C122" s="526" t="s">
        <v>295</v>
      </c>
      <c r="D122" s="525" t="s">
        <v>1115</v>
      </c>
      <c r="E122" s="570">
        <v>44440</v>
      </c>
      <c r="F122" s="529" t="s">
        <v>984</v>
      </c>
      <c r="G122" s="525" t="s">
        <v>1405</v>
      </c>
      <c r="H122" s="532">
        <v>92.61818181818181</v>
      </c>
      <c r="I122" s="531" t="s">
        <v>296</v>
      </c>
      <c r="J122" s="459">
        <v>6000</v>
      </c>
      <c r="K122" s="459">
        <v>12000</v>
      </c>
      <c r="L122" s="459">
        <v>84000</v>
      </c>
      <c r="M122" s="459">
        <v>84000</v>
      </c>
      <c r="N122" s="525"/>
      <c r="O122" s="532">
        <v>2.4090909090909087</v>
      </c>
      <c r="P122" s="532">
        <v>2.0545454545454542</v>
      </c>
      <c r="Q122" s="532">
        <v>1.6090909090909089</v>
      </c>
      <c r="R122" s="532">
        <v>0</v>
      </c>
      <c r="S122" s="532">
        <v>1.5999999999999999</v>
      </c>
      <c r="T122" s="533"/>
      <c r="U122" s="532">
        <v>1.8181818181818181</v>
      </c>
      <c r="V122" s="532">
        <v>1.7636363636363634</v>
      </c>
      <c r="W122" s="532">
        <v>1.6090909090909089</v>
      </c>
      <c r="X122" s="532">
        <v>0</v>
      </c>
      <c r="Y122" s="532">
        <v>1.5545454545454545</v>
      </c>
      <c r="Z122" s="533"/>
      <c r="AA122" s="533"/>
      <c r="AB122" s="533"/>
      <c r="AC122" s="533"/>
      <c r="AD122" s="533"/>
      <c r="AE122" s="533"/>
      <c r="AF122" s="533"/>
      <c r="AG122" s="528" t="s">
        <v>297</v>
      </c>
      <c r="AH122" s="528" t="s">
        <v>298</v>
      </c>
      <c r="AI122" s="528">
        <v>2</v>
      </c>
      <c r="AJ122" s="528">
        <v>4</v>
      </c>
      <c r="AK122" s="483">
        <v>0.33329999999999999</v>
      </c>
      <c r="AL122" s="483">
        <v>0.66659999999999997</v>
      </c>
      <c r="AM122" s="525" t="s">
        <v>1124</v>
      </c>
      <c r="AN122" s="528">
        <v>16</v>
      </c>
      <c r="AO122" s="528">
        <v>0</v>
      </c>
      <c r="AP122" s="528">
        <v>0</v>
      </c>
      <c r="AQ122" s="528">
        <v>0</v>
      </c>
      <c r="AR122" s="528">
        <v>0</v>
      </c>
      <c r="AS122" s="528">
        <v>0</v>
      </c>
      <c r="AT122" s="528">
        <v>0</v>
      </c>
      <c r="AU122" s="528">
        <v>0</v>
      </c>
      <c r="AV122" s="528">
        <v>0</v>
      </c>
      <c r="AW122" s="528">
        <v>0</v>
      </c>
      <c r="AX122" s="528">
        <v>0</v>
      </c>
      <c r="AY122" s="528">
        <v>0</v>
      </c>
      <c r="AZ122" s="528"/>
      <c r="BA122" s="528" t="s">
        <v>1278</v>
      </c>
      <c r="BB122" s="528"/>
      <c r="BC122" s="528" t="s">
        <v>1278</v>
      </c>
      <c r="BD122" s="528"/>
      <c r="BE122" s="528"/>
      <c r="BF122" s="528"/>
      <c r="BG122" s="529"/>
      <c r="BH122" s="525"/>
      <c r="BI122" s="528"/>
      <c r="BJ122" s="528" t="s">
        <v>4</v>
      </c>
      <c r="BK122" s="528"/>
      <c r="BL122" s="529"/>
      <c r="BM122" s="567" t="s">
        <v>1597</v>
      </c>
      <c r="BN122" s="525" t="s">
        <v>408</v>
      </c>
    </row>
    <row r="123" spans="1:66" ht="13" customHeight="1" x14ac:dyDescent="0.2">
      <c r="A123" s="525">
        <v>2645</v>
      </c>
      <c r="B123" s="565">
        <v>44455</v>
      </c>
      <c r="C123" s="526" t="s">
        <v>295</v>
      </c>
      <c r="D123" s="525" t="s">
        <v>1115</v>
      </c>
      <c r="E123" s="570">
        <v>44067</v>
      </c>
      <c r="F123" s="525" t="s">
        <v>985</v>
      </c>
      <c r="G123" s="525" t="s">
        <v>1570</v>
      </c>
      <c r="H123" s="532">
        <v>64</v>
      </c>
      <c r="I123" s="394" t="s">
        <v>296</v>
      </c>
      <c r="J123" s="459">
        <v>6000</v>
      </c>
      <c r="K123" s="459">
        <v>12000</v>
      </c>
      <c r="L123" s="459">
        <v>84000</v>
      </c>
      <c r="M123" s="459">
        <v>84000</v>
      </c>
      <c r="N123" s="332"/>
      <c r="O123" s="532">
        <v>1.8999999999999997</v>
      </c>
      <c r="P123" s="532">
        <v>1.7</v>
      </c>
      <c r="Q123" s="532">
        <v>1.5999999999999999</v>
      </c>
      <c r="R123" s="532">
        <v>0</v>
      </c>
      <c r="S123" s="532">
        <v>1.5909090909090908</v>
      </c>
      <c r="T123" s="571"/>
      <c r="U123" s="532">
        <v>1.5181818181818181</v>
      </c>
      <c r="V123" s="532">
        <v>1.2999999999999998</v>
      </c>
      <c r="W123" s="532">
        <v>1.2545454545454544</v>
      </c>
      <c r="X123" s="532">
        <v>0</v>
      </c>
      <c r="Y123" s="532">
        <v>1.2</v>
      </c>
      <c r="Z123" s="571"/>
      <c r="AA123" s="571"/>
      <c r="AB123" s="571"/>
      <c r="AC123" s="571"/>
      <c r="AD123" s="571"/>
      <c r="AE123" s="571"/>
      <c r="AF123" s="571"/>
      <c r="AG123" s="333" t="s">
        <v>297</v>
      </c>
      <c r="AH123" s="333" t="s">
        <v>298</v>
      </c>
      <c r="AI123" s="528">
        <v>2</v>
      </c>
      <c r="AJ123" s="528">
        <v>4</v>
      </c>
      <c r="AK123" s="483">
        <v>0.33329999999999999</v>
      </c>
      <c r="AL123" s="483">
        <v>0.66659999999999997</v>
      </c>
      <c r="AM123" s="525" t="s">
        <v>1124</v>
      </c>
      <c r="AN123" s="528">
        <v>0</v>
      </c>
      <c r="AO123" s="528">
        <v>0</v>
      </c>
      <c r="AP123" s="528">
        <v>0</v>
      </c>
      <c r="AQ123" s="528">
        <v>0</v>
      </c>
      <c r="AR123" s="528">
        <v>0</v>
      </c>
      <c r="AS123" s="528">
        <v>0</v>
      </c>
      <c r="AT123" s="528">
        <v>0</v>
      </c>
      <c r="AU123" s="528">
        <v>0</v>
      </c>
      <c r="AV123" s="528">
        <v>0</v>
      </c>
      <c r="AW123" s="528">
        <v>0</v>
      </c>
      <c r="AX123" s="528">
        <v>0</v>
      </c>
      <c r="AY123" s="528">
        <v>0</v>
      </c>
      <c r="AZ123" s="528"/>
      <c r="BA123" s="528" t="s">
        <v>1278</v>
      </c>
      <c r="BB123" s="528"/>
      <c r="BC123" s="528" t="s">
        <v>1278</v>
      </c>
      <c r="BD123" s="528"/>
      <c r="BE123" s="528"/>
      <c r="BF123" s="528"/>
      <c r="BG123" s="529"/>
      <c r="BH123" s="525"/>
      <c r="BI123" s="528"/>
      <c r="BJ123" s="528" t="s">
        <v>411</v>
      </c>
      <c r="BK123" s="528"/>
      <c r="BL123" s="529" t="s">
        <v>1571</v>
      </c>
      <c r="BM123" s="530" t="s">
        <v>1602</v>
      </c>
      <c r="BN123" s="525" t="s">
        <v>368</v>
      </c>
    </row>
    <row r="124" spans="1:66" ht="13" customHeight="1" x14ac:dyDescent="0.2">
      <c r="A124" s="525">
        <v>1688</v>
      </c>
      <c r="B124" s="565">
        <v>44456</v>
      </c>
      <c r="C124" s="526" t="s">
        <v>295</v>
      </c>
      <c r="D124" s="525" t="s">
        <v>1115</v>
      </c>
      <c r="E124" s="527">
        <v>44442</v>
      </c>
      <c r="F124" s="529" t="s">
        <v>1106</v>
      </c>
      <c r="G124" s="525" t="s">
        <v>2</v>
      </c>
      <c r="H124" s="532">
        <v>70</v>
      </c>
      <c r="I124" s="531" t="s">
        <v>296</v>
      </c>
      <c r="J124" s="568">
        <v>6000</v>
      </c>
      <c r="K124" s="568">
        <v>6000</v>
      </c>
      <c r="L124" s="568">
        <v>6000</v>
      </c>
      <c r="M124" s="568">
        <v>6000</v>
      </c>
      <c r="N124" s="525"/>
      <c r="O124" s="532">
        <v>1.6545454545454545</v>
      </c>
      <c r="P124" s="532">
        <v>0</v>
      </c>
      <c r="Q124" s="532">
        <v>0</v>
      </c>
      <c r="R124" s="532">
        <v>0</v>
      </c>
      <c r="S124" s="532">
        <v>1.4</v>
      </c>
      <c r="T124" s="533"/>
      <c r="U124" s="532">
        <v>1.6545454545454545</v>
      </c>
      <c r="V124" s="532">
        <v>0</v>
      </c>
      <c r="W124" s="532">
        <v>0</v>
      </c>
      <c r="X124" s="532">
        <v>0</v>
      </c>
      <c r="Y124" s="532">
        <v>1.4</v>
      </c>
      <c r="Z124" s="533"/>
      <c r="AA124" s="533"/>
      <c r="AB124" s="533"/>
      <c r="AC124" s="533"/>
      <c r="AD124" s="533"/>
      <c r="AE124" s="533"/>
      <c r="AF124" s="533"/>
      <c r="AG124" s="528" t="s">
        <v>1278</v>
      </c>
      <c r="AH124" s="528"/>
      <c r="AI124" s="528">
        <v>3</v>
      </c>
      <c r="AJ124" s="528">
        <v>3</v>
      </c>
      <c r="AK124" s="480">
        <v>0.5</v>
      </c>
      <c r="AL124" s="480">
        <v>0.5</v>
      </c>
      <c r="AM124" s="525"/>
      <c r="AN124" s="528">
        <v>0</v>
      </c>
      <c r="AO124" s="528">
        <v>0</v>
      </c>
      <c r="AP124" s="528">
        <v>0</v>
      </c>
      <c r="AQ124" s="528">
        <v>0</v>
      </c>
      <c r="AR124" s="528">
        <v>0</v>
      </c>
      <c r="AS124" s="528">
        <v>0</v>
      </c>
      <c r="AT124" s="528">
        <v>0</v>
      </c>
      <c r="AU124" s="528">
        <v>0</v>
      </c>
      <c r="AV124" s="528">
        <v>0</v>
      </c>
      <c r="AW124" s="528">
        <v>0</v>
      </c>
      <c r="AX124" s="528">
        <v>0</v>
      </c>
      <c r="AY124" s="528">
        <v>0</v>
      </c>
      <c r="AZ124" s="528"/>
      <c r="BA124" s="528" t="s">
        <v>1278</v>
      </c>
      <c r="BB124" s="528"/>
      <c r="BC124" s="528" t="s">
        <v>1278</v>
      </c>
      <c r="BD124" s="528"/>
      <c r="BE124" s="528"/>
      <c r="BF124" s="529"/>
      <c r="BG124" s="525"/>
      <c r="BH124" s="528"/>
      <c r="BI124" s="528"/>
      <c r="BJ124" s="528" t="s">
        <v>4</v>
      </c>
      <c r="BK124" s="528">
        <v>1</v>
      </c>
      <c r="BL124" s="525"/>
      <c r="BM124" s="530" t="s">
        <v>1599</v>
      </c>
      <c r="BN124" s="525" t="s">
        <v>408</v>
      </c>
    </row>
    <row r="125" spans="1:66" ht="13" customHeight="1" x14ac:dyDescent="0.2">
      <c r="A125" s="525">
        <v>2898</v>
      </c>
      <c r="B125" s="565">
        <v>44455</v>
      </c>
      <c r="C125" s="526" t="s">
        <v>295</v>
      </c>
      <c r="D125" s="525" t="s">
        <v>1115</v>
      </c>
      <c r="E125" s="527">
        <v>44228</v>
      </c>
      <c r="F125" s="525" t="s">
        <v>34</v>
      </c>
      <c r="G125" s="525" t="s">
        <v>1181</v>
      </c>
      <c r="H125" s="532">
        <v>75.499999999999986</v>
      </c>
      <c r="I125" s="394"/>
      <c r="J125" s="394"/>
      <c r="K125" s="394"/>
      <c r="L125" s="332"/>
      <c r="M125" s="332"/>
      <c r="N125" s="332"/>
      <c r="O125" s="532">
        <v>1.8090909090909089</v>
      </c>
      <c r="P125" s="532">
        <v>0</v>
      </c>
      <c r="Q125" s="532">
        <v>0</v>
      </c>
      <c r="R125" s="532">
        <v>0</v>
      </c>
      <c r="S125" s="532">
        <v>0</v>
      </c>
      <c r="T125" s="571"/>
      <c r="U125" s="532">
        <v>1.5181818181818181</v>
      </c>
      <c r="V125" s="532">
        <v>0</v>
      </c>
      <c r="W125" s="532">
        <v>0</v>
      </c>
      <c r="X125" s="532">
        <v>0</v>
      </c>
      <c r="Y125" s="532">
        <v>0</v>
      </c>
      <c r="Z125" s="571"/>
      <c r="AA125" s="571"/>
      <c r="AB125" s="571"/>
      <c r="AC125" s="571"/>
      <c r="AD125" s="571"/>
      <c r="AE125" s="571"/>
      <c r="AF125" s="571"/>
      <c r="AG125" s="333" t="s">
        <v>297</v>
      </c>
      <c r="AH125" s="333" t="s">
        <v>298</v>
      </c>
      <c r="AI125" s="528">
        <v>2</v>
      </c>
      <c r="AJ125" s="528">
        <v>4</v>
      </c>
      <c r="AK125" s="483">
        <v>0.33329999999999999</v>
      </c>
      <c r="AL125" s="483">
        <v>0.66659999999999997</v>
      </c>
      <c r="AM125" s="525" t="s">
        <v>1124</v>
      </c>
      <c r="AN125" s="528">
        <v>0</v>
      </c>
      <c r="AO125" s="528">
        <v>0</v>
      </c>
      <c r="AP125" s="528">
        <v>0</v>
      </c>
      <c r="AQ125" s="528">
        <v>0</v>
      </c>
      <c r="AR125" s="528">
        <v>0</v>
      </c>
      <c r="AS125" s="528">
        <v>0</v>
      </c>
      <c r="AT125" s="528">
        <v>0</v>
      </c>
      <c r="AU125" s="528">
        <v>0</v>
      </c>
      <c r="AV125" s="528">
        <v>0</v>
      </c>
      <c r="AW125" s="528">
        <v>0</v>
      </c>
      <c r="AX125" s="528">
        <v>0</v>
      </c>
      <c r="AY125" s="528">
        <v>0</v>
      </c>
      <c r="AZ125" s="528"/>
      <c r="BA125" s="528" t="s">
        <v>1278</v>
      </c>
      <c r="BB125" s="528"/>
      <c r="BC125" s="528" t="s">
        <v>1278</v>
      </c>
      <c r="BD125" s="528"/>
      <c r="BE125" s="528"/>
      <c r="BF125" s="528"/>
      <c r="BG125" s="529"/>
      <c r="BH125" s="525"/>
      <c r="BI125" s="528"/>
      <c r="BJ125" s="528" t="s">
        <v>411</v>
      </c>
      <c r="BK125" s="528"/>
      <c r="BL125" s="529" t="s">
        <v>1284</v>
      </c>
      <c r="BM125" s="569" t="s">
        <v>1557</v>
      </c>
      <c r="BN125" s="525" t="s">
        <v>368</v>
      </c>
    </row>
    <row r="126" spans="1:66" ht="13" customHeight="1" x14ac:dyDescent="0.2">
      <c r="A126" s="525">
        <v>2742</v>
      </c>
      <c r="B126" s="565">
        <v>44455</v>
      </c>
      <c r="C126" s="526" t="s">
        <v>295</v>
      </c>
      <c r="D126" s="525" t="s">
        <v>1115</v>
      </c>
      <c r="E126" s="527">
        <v>44197</v>
      </c>
      <c r="F126" s="525" t="s">
        <v>1274</v>
      </c>
      <c r="G126" s="525" t="s">
        <v>1467</v>
      </c>
      <c r="H126" s="532">
        <v>85.999999999999986</v>
      </c>
      <c r="I126" s="394" t="s">
        <v>296</v>
      </c>
      <c r="J126" s="409">
        <v>6000</v>
      </c>
      <c r="K126" s="332">
        <v>12000</v>
      </c>
      <c r="L126" s="332">
        <v>12000</v>
      </c>
      <c r="M126" s="332">
        <v>12000</v>
      </c>
      <c r="N126" s="332"/>
      <c r="O126" s="532">
        <v>2.127272727272727</v>
      </c>
      <c r="P126" s="532">
        <v>1.9545454545454544</v>
      </c>
      <c r="Q126" s="532">
        <v>0</v>
      </c>
      <c r="R126" s="532">
        <v>0</v>
      </c>
      <c r="S126" s="532">
        <v>1.6181818181818182</v>
      </c>
      <c r="T126" s="571"/>
      <c r="U126" s="532">
        <v>2.127272727272727</v>
      </c>
      <c r="V126" s="532">
        <v>1.9545454545454544</v>
      </c>
      <c r="W126" s="532">
        <v>0</v>
      </c>
      <c r="X126" s="532">
        <v>0</v>
      </c>
      <c r="Y126" s="532">
        <v>1.6181818181818182</v>
      </c>
      <c r="Z126" s="571"/>
      <c r="AA126" s="571"/>
      <c r="AB126" s="571"/>
      <c r="AC126" s="571"/>
      <c r="AD126" s="571"/>
      <c r="AE126" s="571"/>
      <c r="AF126" s="571"/>
      <c r="AG126" s="333" t="s">
        <v>1278</v>
      </c>
      <c r="AH126" s="333"/>
      <c r="AI126" s="528">
        <v>3</v>
      </c>
      <c r="AJ126" s="528">
        <v>3</v>
      </c>
      <c r="AK126" s="480">
        <v>0.5</v>
      </c>
      <c r="AL126" s="480">
        <v>0.5</v>
      </c>
      <c r="AM126" s="525"/>
      <c r="AN126" s="528">
        <v>0</v>
      </c>
      <c r="AO126" s="528">
        <v>12</v>
      </c>
      <c r="AP126" s="528">
        <v>0</v>
      </c>
      <c r="AQ126" s="528">
        <v>3</v>
      </c>
      <c r="AR126" s="528">
        <v>0</v>
      </c>
      <c r="AS126" s="528">
        <v>0</v>
      </c>
      <c r="AT126" s="528">
        <v>0</v>
      </c>
      <c r="AU126" s="528">
        <v>0</v>
      </c>
      <c r="AV126" s="528">
        <v>0</v>
      </c>
      <c r="AW126" s="528">
        <v>0</v>
      </c>
      <c r="AX126" s="528">
        <v>0</v>
      </c>
      <c r="AY126" s="528">
        <v>0</v>
      </c>
      <c r="AZ126" s="528"/>
      <c r="BA126" s="528" t="s">
        <v>1278</v>
      </c>
      <c r="BB126" s="528"/>
      <c r="BC126" s="528" t="s">
        <v>1278</v>
      </c>
      <c r="BD126" s="528"/>
      <c r="BE126" s="528"/>
      <c r="BF126" s="528"/>
      <c r="BG126" s="529"/>
      <c r="BH126" s="525"/>
      <c r="BI126" s="528"/>
      <c r="BJ126" s="528" t="s">
        <v>411</v>
      </c>
      <c r="BK126" s="528">
        <v>1</v>
      </c>
      <c r="BL126" s="529"/>
      <c r="BM126" s="530" t="s">
        <v>1530</v>
      </c>
      <c r="BN126" s="525" t="s">
        <v>368</v>
      </c>
    </row>
    <row r="127" spans="1:66" ht="13" customHeight="1" x14ac:dyDescent="0.2">
      <c r="A127" s="525">
        <v>2332</v>
      </c>
      <c r="B127" s="565">
        <v>44455</v>
      </c>
      <c r="C127" s="526" t="s">
        <v>295</v>
      </c>
      <c r="D127" s="525" t="s">
        <v>1115</v>
      </c>
      <c r="E127" s="570">
        <v>44228</v>
      </c>
      <c r="F127" s="525" t="s">
        <v>1291</v>
      </c>
      <c r="G127" s="525" t="s">
        <v>1181</v>
      </c>
      <c r="H127" s="532">
        <v>80.336363636363629</v>
      </c>
      <c r="I127" s="394"/>
      <c r="J127" s="409"/>
      <c r="K127" s="332"/>
      <c r="L127" s="332"/>
      <c r="M127" s="332"/>
      <c r="N127" s="332"/>
      <c r="O127" s="532">
        <v>1.8090909090909089</v>
      </c>
      <c r="P127" s="532">
        <v>0</v>
      </c>
      <c r="Q127" s="532">
        <v>0</v>
      </c>
      <c r="R127" s="532">
        <v>0</v>
      </c>
      <c r="S127" s="532">
        <v>0</v>
      </c>
      <c r="T127" s="571"/>
      <c r="U127" s="532">
        <v>1.4909090909090907</v>
      </c>
      <c r="V127" s="532">
        <v>0</v>
      </c>
      <c r="W127" s="532">
        <v>0</v>
      </c>
      <c r="X127" s="532">
        <v>0</v>
      </c>
      <c r="Y127" s="532">
        <v>0</v>
      </c>
      <c r="Z127" s="571"/>
      <c r="AA127" s="571"/>
      <c r="AB127" s="571"/>
      <c r="AC127" s="571"/>
      <c r="AD127" s="571"/>
      <c r="AE127" s="571"/>
      <c r="AF127" s="571"/>
      <c r="AG127" s="333" t="s">
        <v>297</v>
      </c>
      <c r="AH127" s="333" t="s">
        <v>298</v>
      </c>
      <c r="AI127" s="528">
        <v>2</v>
      </c>
      <c r="AJ127" s="528">
        <v>4</v>
      </c>
      <c r="AK127" s="483">
        <v>0.33329999999999999</v>
      </c>
      <c r="AL127" s="483">
        <v>0.66659999999999997</v>
      </c>
      <c r="AM127" s="525" t="s">
        <v>1124</v>
      </c>
      <c r="AN127" s="528">
        <v>0</v>
      </c>
      <c r="AO127" s="528">
        <v>0</v>
      </c>
      <c r="AP127" s="528">
        <v>0</v>
      </c>
      <c r="AQ127" s="528">
        <v>0</v>
      </c>
      <c r="AR127" s="528">
        <v>0</v>
      </c>
      <c r="AS127" s="528">
        <v>0</v>
      </c>
      <c r="AT127" s="528">
        <v>0</v>
      </c>
      <c r="AU127" s="528">
        <v>0</v>
      </c>
      <c r="AV127" s="528">
        <v>0</v>
      </c>
      <c r="AW127" s="528">
        <v>0</v>
      </c>
      <c r="AX127" s="528">
        <v>0</v>
      </c>
      <c r="AY127" s="528">
        <v>0</v>
      </c>
      <c r="AZ127" s="528"/>
      <c r="BA127" s="528" t="s">
        <v>1278</v>
      </c>
      <c r="BB127" s="528"/>
      <c r="BC127" s="528" t="s">
        <v>1278</v>
      </c>
      <c r="BD127" s="528"/>
      <c r="BE127" s="528"/>
      <c r="BF127" s="528"/>
      <c r="BG127" s="529"/>
      <c r="BH127" s="525"/>
      <c r="BI127" s="528"/>
      <c r="BJ127" s="528" t="s">
        <v>4</v>
      </c>
      <c r="BK127" s="528"/>
      <c r="BL127" s="529" t="s">
        <v>1284</v>
      </c>
      <c r="BM127" s="569" t="s">
        <v>1555</v>
      </c>
      <c r="BN127" s="525" t="s">
        <v>368</v>
      </c>
    </row>
    <row r="128" spans="1:66" ht="13" customHeight="1" x14ac:dyDescent="0.2">
      <c r="A128" s="525">
        <v>2933</v>
      </c>
      <c r="B128" s="565">
        <v>44456</v>
      </c>
      <c r="C128" s="526" t="s">
        <v>295</v>
      </c>
      <c r="D128" s="525" t="s">
        <v>1115</v>
      </c>
      <c r="E128" s="527">
        <v>44452</v>
      </c>
      <c r="F128" s="525" t="s">
        <v>1483</v>
      </c>
      <c r="G128" s="525" t="s">
        <v>1550</v>
      </c>
      <c r="H128" s="532">
        <v>99.999999999999986</v>
      </c>
      <c r="I128" s="531" t="s">
        <v>296</v>
      </c>
      <c r="J128" s="459">
        <v>6000</v>
      </c>
      <c r="K128" s="459">
        <v>12000</v>
      </c>
      <c r="L128" s="459">
        <v>84000</v>
      </c>
      <c r="M128" s="459">
        <v>84000</v>
      </c>
      <c r="N128" s="332"/>
      <c r="O128" s="532">
        <v>1.4272727272727272</v>
      </c>
      <c r="P128" s="532">
        <v>1.0818181818181818</v>
      </c>
      <c r="Q128" s="532">
        <v>1.0545454545454545</v>
      </c>
      <c r="R128" s="532">
        <v>0</v>
      </c>
      <c r="S128" s="532">
        <v>1</v>
      </c>
      <c r="T128" s="571"/>
      <c r="U128" s="532">
        <v>1.1545454545454545</v>
      </c>
      <c r="V128" s="532">
        <v>1.0818181818181818</v>
      </c>
      <c r="W128" s="532">
        <v>1.0545454545454545</v>
      </c>
      <c r="X128" s="532">
        <v>0</v>
      </c>
      <c r="Y128" s="532">
        <v>1</v>
      </c>
      <c r="Z128" s="571"/>
      <c r="AA128" s="571"/>
      <c r="AB128" s="571"/>
      <c r="AC128" s="571"/>
      <c r="AD128" s="571"/>
      <c r="AE128" s="571"/>
      <c r="AF128" s="571"/>
      <c r="AG128" s="333" t="s">
        <v>297</v>
      </c>
      <c r="AH128" s="333" t="s">
        <v>298</v>
      </c>
      <c r="AI128" s="528">
        <v>2</v>
      </c>
      <c r="AJ128" s="528">
        <v>4</v>
      </c>
      <c r="AK128" s="483">
        <v>0.33329999999999999</v>
      </c>
      <c r="AL128" s="483">
        <v>0.66659999999999997</v>
      </c>
      <c r="AM128" s="525" t="s">
        <v>1124</v>
      </c>
      <c r="AN128" s="528">
        <v>0</v>
      </c>
      <c r="AO128" s="528">
        <v>0</v>
      </c>
      <c r="AP128" s="528">
        <v>0</v>
      </c>
      <c r="AQ128" s="528">
        <v>0</v>
      </c>
      <c r="AR128" s="528">
        <v>0</v>
      </c>
      <c r="AS128" s="528">
        <v>0</v>
      </c>
      <c r="AT128" s="528">
        <v>0</v>
      </c>
      <c r="AU128" s="528">
        <v>0</v>
      </c>
      <c r="AV128" s="528">
        <v>0</v>
      </c>
      <c r="AW128" s="528">
        <v>0</v>
      </c>
      <c r="AX128" s="528">
        <v>0</v>
      </c>
      <c r="AY128" s="528">
        <v>0</v>
      </c>
      <c r="AZ128" s="528"/>
      <c r="BA128" s="528" t="s">
        <v>1278</v>
      </c>
      <c r="BB128" s="528"/>
      <c r="BC128" s="528" t="s">
        <v>1278</v>
      </c>
      <c r="BD128" s="528"/>
      <c r="BE128" s="528">
        <v>12</v>
      </c>
      <c r="BF128" s="564"/>
      <c r="BG128" s="529"/>
      <c r="BH128" s="525"/>
      <c r="BI128" s="528"/>
      <c r="BJ128" s="528" t="s">
        <v>4</v>
      </c>
      <c r="BK128" s="528"/>
      <c r="BL128" s="529"/>
      <c r="BM128" s="569" t="s">
        <v>430</v>
      </c>
      <c r="BN128" s="525" t="s">
        <v>408</v>
      </c>
    </row>
  </sheetData>
  <sheetProtection algorithmName="SHA-512" hashValue="qF4LL/dXN8V05ig1R8CTzmechLvZHpdzkpW72JJtCje6pLuCM704LXKqzojuSoFqI4sSikclr6LxeJaCBQYxGg==" saltValue="S/DWKbLfNGcwqOQkRFDNA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9B911-2B3D-F248-91A3-F6C22B13BD48}">
  <sheetPr codeName="Sheet68"/>
  <dimension ref="A1:BN136"/>
  <sheetViews>
    <sheetView zoomScaleNormal="220" zoomScalePageLayoutView="130" workbookViewId="0">
      <selection activeCell="A17" sqref="A17:XFD17"/>
    </sheetView>
  </sheetViews>
  <sheetFormatPr baseColWidth="10" defaultColWidth="11.5" defaultRowHeight="13" x14ac:dyDescent="0.15"/>
  <cols>
    <col min="1" max="1" width="8.1640625" customWidth="1"/>
    <col min="3" max="3" width="6.33203125" customWidth="1"/>
    <col min="4" max="4" width="25.33203125" customWidth="1"/>
    <col min="6" max="6" width="16.1640625" customWidth="1"/>
    <col min="7" max="7" width="21.83203125" bestFit="1" customWidth="1"/>
    <col min="9" max="9" width="12.83203125" customWidth="1"/>
    <col min="53" max="53" width="50.6640625" customWidth="1"/>
    <col min="54" max="54" width="12.1640625" customWidth="1"/>
    <col min="55" max="55" width="10.83203125" customWidth="1"/>
    <col min="57" max="57" width="20.5" customWidth="1"/>
    <col min="58" max="58" width="14" bestFit="1" customWidth="1"/>
  </cols>
  <sheetData>
    <row r="1" spans="1:66" ht="71" x14ac:dyDescent="0.2">
      <c r="A1" s="429" t="s">
        <v>443</v>
      </c>
      <c r="B1" s="429" t="s">
        <v>444</v>
      </c>
      <c r="C1" s="430" t="s">
        <v>445</v>
      </c>
      <c r="D1" s="431" t="s">
        <v>446</v>
      </c>
      <c r="E1" s="429" t="s">
        <v>447</v>
      </c>
      <c r="F1" s="430" t="s">
        <v>725</v>
      </c>
      <c r="G1" s="431" t="s">
        <v>448</v>
      </c>
      <c r="H1" s="432" t="s">
        <v>449</v>
      </c>
      <c r="I1" s="433" t="s">
        <v>1247</v>
      </c>
      <c r="J1" s="433" t="s">
        <v>1248</v>
      </c>
      <c r="K1" s="433" t="s">
        <v>1249</v>
      </c>
      <c r="L1" s="433" t="s">
        <v>1250</v>
      </c>
      <c r="M1" s="433" t="s">
        <v>1251</v>
      </c>
      <c r="N1" s="434" t="s">
        <v>1252</v>
      </c>
      <c r="O1" s="435" t="s">
        <v>1253</v>
      </c>
      <c r="P1" s="435" t="s">
        <v>1254</v>
      </c>
      <c r="Q1" s="435" t="s">
        <v>1255</v>
      </c>
      <c r="R1" s="435" t="s">
        <v>1256</v>
      </c>
      <c r="S1" s="435" t="s">
        <v>1257</v>
      </c>
      <c r="T1" s="435" t="s">
        <v>1258</v>
      </c>
      <c r="U1" s="436" t="s">
        <v>1259</v>
      </c>
      <c r="V1" s="436" t="s">
        <v>1260</v>
      </c>
      <c r="W1" s="436" t="s">
        <v>1261</v>
      </c>
      <c r="X1" s="436" t="s">
        <v>1262</v>
      </c>
      <c r="Y1" s="436" t="s">
        <v>1263</v>
      </c>
      <c r="Z1" s="436" t="s">
        <v>1264</v>
      </c>
      <c r="AA1" s="437" t="s">
        <v>1265</v>
      </c>
      <c r="AB1" s="437" t="s">
        <v>1266</v>
      </c>
      <c r="AC1" s="437" t="s">
        <v>1267</v>
      </c>
      <c r="AD1" s="437" t="s">
        <v>1268</v>
      </c>
      <c r="AE1" s="437" t="s">
        <v>1269</v>
      </c>
      <c r="AF1" s="437" t="s">
        <v>1270</v>
      </c>
      <c r="AG1" s="438" t="s">
        <v>474</v>
      </c>
      <c r="AH1" s="438" t="s">
        <v>475</v>
      </c>
      <c r="AI1" s="438" t="s">
        <v>476</v>
      </c>
      <c r="AJ1" s="438" t="s">
        <v>477</v>
      </c>
      <c r="AK1" s="479" t="s">
        <v>478</v>
      </c>
      <c r="AL1" s="479" t="s">
        <v>479</v>
      </c>
      <c r="AM1" s="439" t="s">
        <v>1099</v>
      </c>
      <c r="AN1" s="440" t="s">
        <v>480</v>
      </c>
      <c r="AO1" s="441" t="s">
        <v>481</v>
      </c>
      <c r="AP1" s="440" t="s">
        <v>482</v>
      </c>
      <c r="AQ1" s="442" t="s">
        <v>483</v>
      </c>
      <c r="AR1" s="443" t="s">
        <v>484</v>
      </c>
      <c r="AS1" s="442" t="s">
        <v>485</v>
      </c>
      <c r="AT1" s="444" t="s">
        <v>1271</v>
      </c>
      <c r="AU1" s="445" t="s">
        <v>1272</v>
      </c>
      <c r="AV1" s="444" t="s">
        <v>36</v>
      </c>
      <c r="AW1" s="445" t="s">
        <v>37</v>
      </c>
      <c r="AX1" s="443" t="s">
        <v>384</v>
      </c>
      <c r="AY1" s="446" t="s">
        <v>385</v>
      </c>
      <c r="AZ1" s="429" t="s">
        <v>386</v>
      </c>
      <c r="BA1" s="447" t="s">
        <v>387</v>
      </c>
      <c r="BB1" s="448" t="s">
        <v>388</v>
      </c>
      <c r="BC1" s="447" t="s">
        <v>389</v>
      </c>
      <c r="BD1" s="447" t="s">
        <v>390</v>
      </c>
      <c r="BE1" s="447" t="s">
        <v>1136</v>
      </c>
      <c r="BF1" s="563" t="s">
        <v>1137</v>
      </c>
      <c r="BG1" s="429" t="s">
        <v>391</v>
      </c>
      <c r="BH1" s="430" t="s">
        <v>392</v>
      </c>
      <c r="BI1" s="447" t="s">
        <v>393</v>
      </c>
      <c r="BJ1" s="447" t="s">
        <v>394</v>
      </c>
      <c r="BK1" s="449" t="s">
        <v>1273</v>
      </c>
      <c r="BL1" s="430" t="s">
        <v>395</v>
      </c>
      <c r="BM1" s="447" t="s">
        <v>396</v>
      </c>
      <c r="BN1" s="429" t="s">
        <v>397</v>
      </c>
    </row>
    <row r="2" spans="1:66" ht="13" customHeight="1" x14ac:dyDescent="0.2">
      <c r="A2" s="451">
        <v>1372</v>
      </c>
      <c r="B2" s="527">
        <v>44208</v>
      </c>
      <c r="C2" s="526" t="s">
        <v>1138</v>
      </c>
      <c r="D2" s="525" t="s">
        <v>1100</v>
      </c>
      <c r="E2" s="527">
        <v>44197</v>
      </c>
      <c r="F2" s="529" t="s">
        <v>1139</v>
      </c>
      <c r="G2" s="525" t="s">
        <v>1140</v>
      </c>
      <c r="H2" s="340">
        <v>64.681818181818187</v>
      </c>
      <c r="I2" s="531" t="s">
        <v>1141</v>
      </c>
      <c r="J2" s="525">
        <v>3000</v>
      </c>
      <c r="K2" s="525">
        <v>6000</v>
      </c>
      <c r="L2" s="525">
        <v>9000</v>
      </c>
      <c r="M2" s="525">
        <v>15000</v>
      </c>
      <c r="N2" s="525"/>
      <c r="O2" s="340">
        <v>2.1363636363636362</v>
      </c>
      <c r="P2" s="340">
        <v>1.8909090909090909</v>
      </c>
      <c r="Q2" s="340">
        <v>1.5545454545454545</v>
      </c>
      <c r="R2" s="532">
        <v>1.3454545454545452</v>
      </c>
      <c r="S2" s="532">
        <v>1.2727272727272725</v>
      </c>
      <c r="T2" s="532"/>
      <c r="U2" s="532">
        <v>2.0454545454545454</v>
      </c>
      <c r="V2" s="532">
        <v>1.7999999999999998</v>
      </c>
      <c r="W2" s="532">
        <v>1.4909090909090907</v>
      </c>
      <c r="X2" s="532">
        <v>1.3272727272727272</v>
      </c>
      <c r="Y2" s="532">
        <v>1.2363636363636363</v>
      </c>
      <c r="Z2" s="533"/>
      <c r="AA2" s="532"/>
      <c r="AB2" s="532"/>
      <c r="AC2" s="532"/>
      <c r="AD2" s="532"/>
      <c r="AE2" s="532"/>
      <c r="AF2" s="532"/>
      <c r="AG2" s="528" t="s">
        <v>1143</v>
      </c>
      <c r="AH2" s="528" t="s">
        <v>1144</v>
      </c>
      <c r="AI2" s="333">
        <v>3</v>
      </c>
      <c r="AJ2" s="333">
        <v>3</v>
      </c>
      <c r="AK2" s="480">
        <v>0.5</v>
      </c>
      <c r="AL2" s="480">
        <v>0.5</v>
      </c>
      <c r="AM2" s="525" t="s">
        <v>1118</v>
      </c>
      <c r="AN2" s="528">
        <v>0</v>
      </c>
      <c r="AO2" s="528">
        <v>0</v>
      </c>
      <c r="AP2" s="528">
        <v>0</v>
      </c>
      <c r="AQ2" s="528">
        <v>0</v>
      </c>
      <c r="AR2" s="528">
        <v>0</v>
      </c>
      <c r="AS2" s="528">
        <v>0</v>
      </c>
      <c r="AT2" s="528">
        <v>0</v>
      </c>
      <c r="AU2" s="528">
        <v>0</v>
      </c>
      <c r="AV2" s="528">
        <v>0</v>
      </c>
      <c r="AW2" s="528">
        <v>0</v>
      </c>
      <c r="AX2" s="528">
        <v>0</v>
      </c>
      <c r="AY2" s="528">
        <v>0</v>
      </c>
      <c r="AZ2" s="528"/>
      <c r="BA2" s="528" t="s">
        <v>1145</v>
      </c>
      <c r="BB2" s="528">
        <v>12</v>
      </c>
      <c r="BC2" s="528" t="s">
        <v>1145</v>
      </c>
      <c r="BD2" s="528"/>
      <c r="BE2" s="528">
        <v>12</v>
      </c>
      <c r="BF2" s="564"/>
      <c r="BG2" s="529"/>
      <c r="BH2" s="525"/>
      <c r="BI2" s="528"/>
      <c r="BJ2" s="528" t="s">
        <v>1146</v>
      </c>
      <c r="BK2" s="528"/>
      <c r="BL2" s="529"/>
      <c r="BM2" s="530" t="s">
        <v>1470</v>
      </c>
      <c r="BN2" s="525" t="s">
        <v>408</v>
      </c>
    </row>
    <row r="3" spans="1:66" ht="13" customHeight="1" x14ac:dyDescent="0.2">
      <c r="A3" s="451">
        <v>2503</v>
      </c>
      <c r="B3" s="527">
        <v>44208</v>
      </c>
      <c r="C3" s="526" t="s">
        <v>1138</v>
      </c>
      <c r="D3" s="525" t="s">
        <v>1100</v>
      </c>
      <c r="E3" s="527">
        <v>44197</v>
      </c>
      <c r="F3" s="529" t="s">
        <v>1148</v>
      </c>
      <c r="G3" s="525" t="s">
        <v>1280</v>
      </c>
      <c r="H3" s="340">
        <v>56</v>
      </c>
      <c r="I3" s="531" t="s">
        <v>1141</v>
      </c>
      <c r="J3" s="525">
        <v>3000</v>
      </c>
      <c r="K3" s="525">
        <v>6000</v>
      </c>
      <c r="L3" s="525">
        <v>6000</v>
      </c>
      <c r="M3" s="525">
        <v>6000</v>
      </c>
      <c r="N3" s="525"/>
      <c r="O3" s="340">
        <v>2.0181818181818181</v>
      </c>
      <c r="P3" s="340">
        <v>1.8272727272727269</v>
      </c>
      <c r="Q3" s="340">
        <v>0</v>
      </c>
      <c r="R3" s="532">
        <v>0</v>
      </c>
      <c r="S3" s="532">
        <v>1.4363636363636363</v>
      </c>
      <c r="T3" s="532"/>
      <c r="U3" s="532">
        <v>2.0181818181818181</v>
      </c>
      <c r="V3" s="532">
        <v>1.7272727272727271</v>
      </c>
      <c r="W3" s="532">
        <v>0</v>
      </c>
      <c r="X3" s="532">
        <v>0</v>
      </c>
      <c r="Y3" s="532">
        <v>1.4363636363636363</v>
      </c>
      <c r="Z3" s="533"/>
      <c r="AA3" s="532"/>
      <c r="AB3" s="532"/>
      <c r="AC3" s="532"/>
      <c r="AD3" s="532"/>
      <c r="AE3" s="532"/>
      <c r="AF3" s="532"/>
      <c r="AG3" s="528" t="s">
        <v>1143</v>
      </c>
      <c r="AH3" s="528" t="s">
        <v>1144</v>
      </c>
      <c r="AI3" s="333">
        <v>3</v>
      </c>
      <c r="AJ3" s="333">
        <v>3</v>
      </c>
      <c r="AK3" s="480">
        <v>0.5</v>
      </c>
      <c r="AL3" s="480">
        <v>0.5</v>
      </c>
      <c r="AM3" s="525" t="s">
        <v>1118</v>
      </c>
      <c r="AN3" s="528">
        <v>0</v>
      </c>
      <c r="AO3" s="528">
        <v>0</v>
      </c>
      <c r="AP3" s="528">
        <v>0</v>
      </c>
      <c r="AQ3" s="528">
        <v>0</v>
      </c>
      <c r="AR3" s="528">
        <v>0</v>
      </c>
      <c r="AS3" s="528">
        <v>0</v>
      </c>
      <c r="AT3" s="528">
        <v>0</v>
      </c>
      <c r="AU3" s="528">
        <v>0</v>
      </c>
      <c r="AV3" s="528">
        <v>0</v>
      </c>
      <c r="AW3" s="528">
        <v>0</v>
      </c>
      <c r="AX3" s="528">
        <v>0</v>
      </c>
      <c r="AY3" s="528">
        <v>0</v>
      </c>
      <c r="AZ3" s="528"/>
      <c r="BA3" s="528" t="s">
        <v>1145</v>
      </c>
      <c r="BB3" s="528"/>
      <c r="BC3" s="528" t="s">
        <v>1145</v>
      </c>
      <c r="BD3" s="528"/>
      <c r="BE3" s="528"/>
      <c r="BF3" s="564"/>
      <c r="BG3" s="529"/>
      <c r="BH3" s="525"/>
      <c r="BI3" s="528"/>
      <c r="BJ3" s="528" t="s">
        <v>4</v>
      </c>
      <c r="BK3" s="528"/>
      <c r="BL3" s="529"/>
      <c r="BM3" s="530" t="s">
        <v>430</v>
      </c>
      <c r="BN3" s="525" t="s">
        <v>408</v>
      </c>
    </row>
    <row r="4" spans="1:66" ht="13" customHeight="1" x14ac:dyDescent="0.2">
      <c r="A4" s="451"/>
      <c r="B4" s="527">
        <v>44208</v>
      </c>
      <c r="C4" s="526" t="s">
        <v>1138</v>
      </c>
      <c r="D4" s="525" t="s">
        <v>1100</v>
      </c>
      <c r="E4" s="527">
        <v>44197</v>
      </c>
      <c r="F4" s="529" t="s">
        <v>1152</v>
      </c>
      <c r="G4" s="525" t="s">
        <v>1471</v>
      </c>
      <c r="H4" s="340">
        <v>46.86363636363636</v>
      </c>
      <c r="I4" s="531" t="s">
        <v>1141</v>
      </c>
      <c r="J4" s="525">
        <v>3000</v>
      </c>
      <c r="K4" s="525">
        <v>6000</v>
      </c>
      <c r="L4" s="525">
        <v>9000</v>
      </c>
      <c r="M4" s="525">
        <v>15000</v>
      </c>
      <c r="N4" s="525"/>
      <c r="O4" s="340">
        <v>1.9818181818181817</v>
      </c>
      <c r="P4" s="340">
        <v>1.7363636363636361</v>
      </c>
      <c r="Q4" s="340">
        <v>1.4999999999999998</v>
      </c>
      <c r="R4" s="532">
        <v>1.3818181818181816</v>
      </c>
      <c r="S4" s="532">
        <v>1.3181818181818181</v>
      </c>
      <c r="T4" s="532"/>
      <c r="U4" s="532">
        <v>1.7999999999999998</v>
      </c>
      <c r="V4" s="532">
        <v>1.6818181818181817</v>
      </c>
      <c r="W4" s="532">
        <v>1.4999999999999998</v>
      </c>
      <c r="X4" s="532">
        <v>1.3818181818181816</v>
      </c>
      <c r="Y4" s="532">
        <v>1.2636363636363634</v>
      </c>
      <c r="Z4" s="533"/>
      <c r="AA4" s="532"/>
      <c r="AB4" s="532"/>
      <c r="AC4" s="532"/>
      <c r="AD4" s="532"/>
      <c r="AE4" s="532"/>
      <c r="AF4" s="532"/>
      <c r="AG4" s="528" t="s">
        <v>1143</v>
      </c>
      <c r="AH4" s="528" t="s">
        <v>1144</v>
      </c>
      <c r="AI4" s="333">
        <v>3</v>
      </c>
      <c r="AJ4" s="333">
        <v>3</v>
      </c>
      <c r="AK4" s="480">
        <v>0.5</v>
      </c>
      <c r="AL4" s="480">
        <v>0.5</v>
      </c>
      <c r="AM4" s="525" t="s">
        <v>1118</v>
      </c>
      <c r="AN4" s="528">
        <v>0</v>
      </c>
      <c r="AO4" s="528">
        <v>0</v>
      </c>
      <c r="AP4" s="528">
        <v>0</v>
      </c>
      <c r="AQ4" s="528">
        <v>0</v>
      </c>
      <c r="AR4" s="528">
        <v>0</v>
      </c>
      <c r="AS4" s="528">
        <v>0</v>
      </c>
      <c r="AT4" s="528">
        <v>0</v>
      </c>
      <c r="AU4" s="528">
        <v>0</v>
      </c>
      <c r="AV4" s="528">
        <v>0</v>
      </c>
      <c r="AW4" s="528">
        <v>0</v>
      </c>
      <c r="AX4" s="528">
        <v>0</v>
      </c>
      <c r="AY4" s="528">
        <v>0</v>
      </c>
      <c r="AZ4" s="528"/>
      <c r="BA4" s="528" t="s">
        <v>1145</v>
      </c>
      <c r="BB4" s="528"/>
      <c r="BC4" s="528" t="s">
        <v>1145</v>
      </c>
      <c r="BD4" s="528"/>
      <c r="BE4" s="528"/>
      <c r="BF4" s="564"/>
      <c r="BG4" s="529"/>
      <c r="BH4" s="525"/>
      <c r="BI4" s="528"/>
      <c r="BJ4" s="528" t="s">
        <v>1146</v>
      </c>
      <c r="BK4" s="528">
        <v>1</v>
      </c>
      <c r="BL4" s="529"/>
      <c r="BM4" s="530" t="s">
        <v>1472</v>
      </c>
      <c r="BN4" s="525" t="s">
        <v>1121</v>
      </c>
    </row>
    <row r="5" spans="1:66" ht="13" customHeight="1" x14ac:dyDescent="0.2">
      <c r="A5" s="451">
        <v>2312</v>
      </c>
      <c r="B5" s="527">
        <v>44208</v>
      </c>
      <c r="C5" s="526" t="s">
        <v>1138</v>
      </c>
      <c r="D5" s="525" t="s">
        <v>1100</v>
      </c>
      <c r="E5" s="527">
        <v>44201</v>
      </c>
      <c r="F5" s="529" t="s">
        <v>1286</v>
      </c>
      <c r="G5" s="525" t="s">
        <v>418</v>
      </c>
      <c r="H5" s="340">
        <v>77.999999999999986</v>
      </c>
      <c r="I5" s="531" t="s">
        <v>1141</v>
      </c>
      <c r="J5" s="525">
        <v>3000</v>
      </c>
      <c r="K5" s="525">
        <v>6000</v>
      </c>
      <c r="L5" s="525">
        <v>9000</v>
      </c>
      <c r="M5" s="525">
        <v>15000</v>
      </c>
      <c r="N5" s="525"/>
      <c r="O5" s="340">
        <v>2.9</v>
      </c>
      <c r="P5" s="340">
        <v>2.6090909090909089</v>
      </c>
      <c r="Q5" s="340">
        <v>2.4</v>
      </c>
      <c r="R5" s="532">
        <v>2.1999999999999997</v>
      </c>
      <c r="S5" s="532">
        <v>2</v>
      </c>
      <c r="T5" s="532"/>
      <c r="U5" s="532">
        <v>2.7</v>
      </c>
      <c r="V5" s="532">
        <v>2.5363636363636362</v>
      </c>
      <c r="W5" s="532">
        <v>2.1</v>
      </c>
      <c r="X5" s="532">
        <v>1.8999999999999997</v>
      </c>
      <c r="Y5" s="532">
        <v>1.7</v>
      </c>
      <c r="Z5" s="533"/>
      <c r="AA5" s="532"/>
      <c r="AB5" s="532"/>
      <c r="AC5" s="532"/>
      <c r="AD5" s="532"/>
      <c r="AE5" s="532"/>
      <c r="AF5" s="532"/>
      <c r="AG5" s="528" t="s">
        <v>1143</v>
      </c>
      <c r="AH5" s="528" t="s">
        <v>1144</v>
      </c>
      <c r="AI5" s="333">
        <v>3</v>
      </c>
      <c r="AJ5" s="333">
        <v>3</v>
      </c>
      <c r="AK5" s="480">
        <v>0.5</v>
      </c>
      <c r="AL5" s="480">
        <v>0.5</v>
      </c>
      <c r="AM5" s="525" t="s">
        <v>1118</v>
      </c>
      <c r="AN5" s="528">
        <v>0</v>
      </c>
      <c r="AO5" s="528">
        <v>16</v>
      </c>
      <c r="AP5" s="528">
        <v>0</v>
      </c>
      <c r="AQ5" s="528">
        <v>0</v>
      </c>
      <c r="AR5" s="528">
        <v>0</v>
      </c>
      <c r="AS5" s="528">
        <v>0</v>
      </c>
      <c r="AT5" s="528">
        <v>0</v>
      </c>
      <c r="AU5" s="528">
        <v>0</v>
      </c>
      <c r="AV5" s="528">
        <v>0</v>
      </c>
      <c r="AW5" s="528">
        <v>0</v>
      </c>
      <c r="AX5" s="528">
        <v>0</v>
      </c>
      <c r="AY5" s="528">
        <v>0</v>
      </c>
      <c r="AZ5" s="528"/>
      <c r="BA5" s="528" t="s">
        <v>1145</v>
      </c>
      <c r="BB5" s="528"/>
      <c r="BC5" s="528" t="s">
        <v>1145</v>
      </c>
      <c r="BD5" s="528"/>
      <c r="BE5" s="528"/>
      <c r="BF5" s="564"/>
      <c r="BG5" s="529"/>
      <c r="BH5" s="525"/>
      <c r="BI5" s="528"/>
      <c r="BJ5" s="528" t="s">
        <v>1146</v>
      </c>
      <c r="BK5" s="528">
        <v>1</v>
      </c>
      <c r="BL5" s="529"/>
      <c r="BM5" s="530" t="s">
        <v>1473</v>
      </c>
      <c r="BN5" s="525" t="s">
        <v>408</v>
      </c>
    </row>
    <row r="6" spans="1:66" ht="13" customHeight="1" x14ac:dyDescent="0.2">
      <c r="A6" s="451">
        <v>2545</v>
      </c>
      <c r="B6" s="527">
        <v>44208</v>
      </c>
      <c r="C6" s="526" t="s">
        <v>1138</v>
      </c>
      <c r="D6" s="525" t="s">
        <v>1100</v>
      </c>
      <c r="E6" s="527">
        <v>44028</v>
      </c>
      <c r="F6" s="529" t="s">
        <v>1052</v>
      </c>
      <c r="G6" s="525" t="s">
        <v>1181</v>
      </c>
      <c r="H6" s="340">
        <v>52.527272727272724</v>
      </c>
      <c r="I6" s="531" t="s">
        <v>1141</v>
      </c>
      <c r="J6" s="525">
        <v>3000</v>
      </c>
      <c r="K6" s="525">
        <v>6000</v>
      </c>
      <c r="L6" s="525">
        <v>9000</v>
      </c>
      <c r="M6" s="525">
        <v>15000</v>
      </c>
      <c r="N6" s="525"/>
      <c r="O6" s="340">
        <v>2.3636363636363633</v>
      </c>
      <c r="P6" s="340">
        <v>2.0727272727272723</v>
      </c>
      <c r="Q6" s="340">
        <v>1.7909090909090908</v>
      </c>
      <c r="R6" s="532">
        <v>1.6454545454545453</v>
      </c>
      <c r="S6" s="532">
        <v>1.5999999999999999</v>
      </c>
      <c r="T6" s="532"/>
      <c r="U6" s="532">
        <v>2.2363636363636363</v>
      </c>
      <c r="V6" s="532">
        <v>1.9818181818181817</v>
      </c>
      <c r="W6" s="532">
        <v>1.7454545454545451</v>
      </c>
      <c r="X6" s="532">
        <v>1.6181818181818182</v>
      </c>
      <c r="Y6" s="532">
        <v>1.5909090909090908</v>
      </c>
      <c r="Z6" s="533"/>
      <c r="AA6" s="532"/>
      <c r="AB6" s="532"/>
      <c r="AC6" s="532"/>
      <c r="AD6" s="532"/>
      <c r="AE6" s="532"/>
      <c r="AF6" s="532"/>
      <c r="AG6" s="528" t="s">
        <v>1143</v>
      </c>
      <c r="AH6" s="528" t="s">
        <v>1144</v>
      </c>
      <c r="AI6" s="333">
        <v>3</v>
      </c>
      <c r="AJ6" s="333">
        <v>3</v>
      </c>
      <c r="AK6" s="480">
        <v>0.5</v>
      </c>
      <c r="AL6" s="480">
        <v>0.5</v>
      </c>
      <c r="AM6" s="525" t="s">
        <v>1118</v>
      </c>
      <c r="AN6" s="528">
        <v>0</v>
      </c>
      <c r="AO6" s="528">
        <v>0</v>
      </c>
      <c r="AP6" s="528">
        <v>0</v>
      </c>
      <c r="AQ6" s="528">
        <v>0</v>
      </c>
      <c r="AR6" s="528">
        <v>0</v>
      </c>
      <c r="AS6" s="528">
        <v>0</v>
      </c>
      <c r="AT6" s="528">
        <v>0</v>
      </c>
      <c r="AU6" s="528">
        <v>0</v>
      </c>
      <c r="AV6" s="528">
        <v>0</v>
      </c>
      <c r="AW6" s="528">
        <v>0</v>
      </c>
      <c r="AX6" s="528">
        <v>0</v>
      </c>
      <c r="AY6" s="528">
        <v>0</v>
      </c>
      <c r="AZ6" s="528"/>
      <c r="BA6" s="528" t="s">
        <v>1145</v>
      </c>
      <c r="BB6" s="528"/>
      <c r="BC6" s="528" t="s">
        <v>1145</v>
      </c>
      <c r="BD6" s="528"/>
      <c r="BE6" s="528"/>
      <c r="BF6" s="564"/>
      <c r="BG6" s="529"/>
      <c r="BH6" s="525"/>
      <c r="BI6" s="528"/>
      <c r="BJ6" s="528" t="s">
        <v>1146</v>
      </c>
      <c r="BK6" s="528"/>
      <c r="BL6" s="529"/>
      <c r="BM6" s="530" t="s">
        <v>1155</v>
      </c>
      <c r="BN6" s="525" t="s">
        <v>368</v>
      </c>
    </row>
    <row r="7" spans="1:66" ht="13" customHeight="1" x14ac:dyDescent="0.2">
      <c r="A7" s="451">
        <v>2113</v>
      </c>
      <c r="B7" s="527">
        <v>44208</v>
      </c>
      <c r="C7" s="526" t="s">
        <v>1138</v>
      </c>
      <c r="D7" s="525" t="s">
        <v>1100</v>
      </c>
      <c r="E7" s="527">
        <v>44197</v>
      </c>
      <c r="F7" s="529" t="s">
        <v>1156</v>
      </c>
      <c r="G7" s="525" t="s">
        <v>1157</v>
      </c>
      <c r="H7" s="340">
        <v>82</v>
      </c>
      <c r="I7" s="531" t="s">
        <v>1141</v>
      </c>
      <c r="J7" s="525">
        <v>3000</v>
      </c>
      <c r="K7" s="525">
        <v>6000</v>
      </c>
      <c r="L7" s="525">
        <v>9000</v>
      </c>
      <c r="M7" s="525">
        <v>15000</v>
      </c>
      <c r="N7" s="525"/>
      <c r="O7" s="340">
        <v>3.0636363636363635</v>
      </c>
      <c r="P7" s="340">
        <v>2.627272727272727</v>
      </c>
      <c r="Q7" s="340">
        <v>2.1545454545454543</v>
      </c>
      <c r="R7" s="532">
        <v>1.8636363636363633</v>
      </c>
      <c r="S7" s="532">
        <v>1.8090909090909089</v>
      </c>
      <c r="T7" s="532"/>
      <c r="U7" s="532">
        <v>2.9636363636363634</v>
      </c>
      <c r="V7" s="532">
        <v>2.5181818181818181</v>
      </c>
      <c r="W7" s="532">
        <v>2.1</v>
      </c>
      <c r="X7" s="532">
        <v>1.7909090909090908</v>
      </c>
      <c r="Y7" s="532">
        <v>1.7818181818181817</v>
      </c>
      <c r="Z7" s="533"/>
      <c r="AA7" s="532"/>
      <c r="AB7" s="532"/>
      <c r="AC7" s="532"/>
      <c r="AD7" s="532"/>
      <c r="AE7" s="532"/>
      <c r="AF7" s="532"/>
      <c r="AG7" s="528" t="s">
        <v>1143</v>
      </c>
      <c r="AH7" s="528" t="s">
        <v>1144</v>
      </c>
      <c r="AI7" s="333">
        <v>2</v>
      </c>
      <c r="AJ7" s="333">
        <v>4</v>
      </c>
      <c r="AK7" s="480">
        <v>0.33329999999999999</v>
      </c>
      <c r="AL7" s="480">
        <v>0.66659999999999997</v>
      </c>
      <c r="AM7" s="525" t="s">
        <v>1124</v>
      </c>
      <c r="AN7" s="528">
        <v>27</v>
      </c>
      <c r="AO7" s="528">
        <v>0</v>
      </c>
      <c r="AP7" s="528">
        <v>0</v>
      </c>
      <c r="AQ7" s="528">
        <v>0</v>
      </c>
      <c r="AR7" s="528">
        <v>0</v>
      </c>
      <c r="AS7" s="528">
        <v>0</v>
      </c>
      <c r="AT7" s="528">
        <v>0</v>
      </c>
      <c r="AU7" s="528">
        <v>0</v>
      </c>
      <c r="AV7" s="528">
        <v>0</v>
      </c>
      <c r="AW7" s="528">
        <v>0</v>
      </c>
      <c r="AX7" s="528">
        <v>0</v>
      </c>
      <c r="AY7" s="528">
        <v>0</v>
      </c>
      <c r="AZ7" s="528">
        <v>12</v>
      </c>
      <c r="BA7" s="528" t="s">
        <v>1145</v>
      </c>
      <c r="BB7" s="528">
        <v>12</v>
      </c>
      <c r="BC7" s="528" t="s">
        <v>1145</v>
      </c>
      <c r="BD7" s="528"/>
      <c r="BE7" s="528">
        <v>12</v>
      </c>
      <c r="BF7" s="564"/>
      <c r="BG7" s="529"/>
      <c r="BH7" s="525"/>
      <c r="BI7" s="528"/>
      <c r="BJ7" s="528" t="s">
        <v>1146</v>
      </c>
      <c r="BK7" s="528"/>
      <c r="BL7" s="529"/>
      <c r="BM7" s="530" t="s">
        <v>1474</v>
      </c>
      <c r="BN7" s="525" t="s">
        <v>408</v>
      </c>
    </row>
    <row r="8" spans="1:66" ht="13" customHeight="1" x14ac:dyDescent="0.2">
      <c r="A8" s="451">
        <v>2877</v>
      </c>
      <c r="B8" s="527">
        <v>44208</v>
      </c>
      <c r="C8" s="526" t="s">
        <v>1138</v>
      </c>
      <c r="D8" s="525" t="s">
        <v>1100</v>
      </c>
      <c r="E8" s="527">
        <v>44197</v>
      </c>
      <c r="F8" s="529" t="s">
        <v>1159</v>
      </c>
      <c r="G8" s="525" t="s">
        <v>1105</v>
      </c>
      <c r="H8" s="340">
        <v>63.054545454545448</v>
      </c>
      <c r="I8" s="531" t="s">
        <v>1141</v>
      </c>
      <c r="J8" s="525">
        <v>3000</v>
      </c>
      <c r="K8" s="525">
        <v>6000</v>
      </c>
      <c r="L8" s="525">
        <v>9000</v>
      </c>
      <c r="M8" s="525">
        <v>15000</v>
      </c>
      <c r="N8" s="525"/>
      <c r="O8" s="340">
        <v>1.7999999999999998</v>
      </c>
      <c r="P8" s="340">
        <v>1.7818181818181817</v>
      </c>
      <c r="Q8" s="340">
        <v>1.6363636363636362</v>
      </c>
      <c r="R8" s="532">
        <v>1.5727272727272725</v>
      </c>
      <c r="S8" s="532">
        <v>1.5363636363636362</v>
      </c>
      <c r="T8" s="532"/>
      <c r="U8" s="532">
        <v>1.7818181818181817</v>
      </c>
      <c r="V8" s="532">
        <v>1.7727272727272725</v>
      </c>
      <c r="W8" s="532">
        <v>1.6181818181818182</v>
      </c>
      <c r="X8" s="532">
        <v>1.5454545454545452</v>
      </c>
      <c r="Y8" s="532">
        <v>1.5090909090909088</v>
      </c>
      <c r="Z8" s="533"/>
      <c r="AA8" s="532"/>
      <c r="AB8" s="532"/>
      <c r="AC8" s="532"/>
      <c r="AD8" s="532"/>
      <c r="AE8" s="532"/>
      <c r="AF8" s="532"/>
      <c r="AG8" s="528" t="s">
        <v>1143</v>
      </c>
      <c r="AH8" s="528" t="s">
        <v>1144</v>
      </c>
      <c r="AI8" s="333">
        <v>3</v>
      </c>
      <c r="AJ8" s="333">
        <v>3</v>
      </c>
      <c r="AK8" s="480">
        <v>0.5</v>
      </c>
      <c r="AL8" s="480">
        <v>0.5</v>
      </c>
      <c r="AM8" s="525" t="s">
        <v>1118</v>
      </c>
      <c r="AN8" s="528">
        <v>0</v>
      </c>
      <c r="AO8" s="528">
        <v>0</v>
      </c>
      <c r="AP8" s="528">
        <v>0</v>
      </c>
      <c r="AQ8" s="528">
        <v>0</v>
      </c>
      <c r="AR8" s="528">
        <v>0</v>
      </c>
      <c r="AS8" s="528">
        <v>0</v>
      </c>
      <c r="AT8" s="528">
        <v>0</v>
      </c>
      <c r="AU8" s="528">
        <v>0</v>
      </c>
      <c r="AV8" s="528">
        <v>0</v>
      </c>
      <c r="AW8" s="528">
        <v>0</v>
      </c>
      <c r="AX8" s="528">
        <v>0</v>
      </c>
      <c r="AY8" s="528">
        <v>0</v>
      </c>
      <c r="AZ8" s="528"/>
      <c r="BA8" s="528" t="s">
        <v>1145</v>
      </c>
      <c r="BB8" s="528"/>
      <c r="BC8" s="528" t="s">
        <v>1145</v>
      </c>
      <c r="BD8" s="528"/>
      <c r="BE8" s="528"/>
      <c r="BF8" s="564">
        <v>44651</v>
      </c>
      <c r="BG8" s="529"/>
      <c r="BH8" s="525"/>
      <c r="BI8" s="528"/>
      <c r="BJ8" s="528" t="s">
        <v>1146</v>
      </c>
      <c r="BK8" s="528"/>
      <c r="BL8" s="529"/>
      <c r="BM8" s="530" t="s">
        <v>1476</v>
      </c>
      <c r="BN8" s="525" t="s">
        <v>408</v>
      </c>
    </row>
    <row r="9" spans="1:66" ht="13" customHeight="1" x14ac:dyDescent="0.2">
      <c r="A9" s="451">
        <v>312</v>
      </c>
      <c r="B9" s="527">
        <v>44208</v>
      </c>
      <c r="C9" s="526" t="s">
        <v>1138</v>
      </c>
      <c r="D9" s="525" t="s">
        <v>1100</v>
      </c>
      <c r="E9" s="527">
        <v>44197</v>
      </c>
      <c r="F9" s="529" t="s">
        <v>1160</v>
      </c>
      <c r="G9" s="525" t="s">
        <v>1161</v>
      </c>
      <c r="H9" s="340">
        <v>81.199999999999989</v>
      </c>
      <c r="I9" s="531" t="s">
        <v>1141</v>
      </c>
      <c r="J9" s="525">
        <v>3000</v>
      </c>
      <c r="K9" s="525">
        <v>6000</v>
      </c>
      <c r="L9" s="525">
        <v>9000</v>
      </c>
      <c r="M9" s="525">
        <v>15000</v>
      </c>
      <c r="N9" s="525"/>
      <c r="O9" s="340">
        <v>2.2999999999999998</v>
      </c>
      <c r="P9" s="340">
        <v>2.1</v>
      </c>
      <c r="Q9" s="340">
        <v>1.7999999999999998</v>
      </c>
      <c r="R9" s="532">
        <v>1.7</v>
      </c>
      <c r="S9" s="532">
        <v>1.7</v>
      </c>
      <c r="T9" s="532"/>
      <c r="U9" s="532">
        <v>2.1</v>
      </c>
      <c r="V9" s="532">
        <v>2</v>
      </c>
      <c r="W9" s="532">
        <v>1.7</v>
      </c>
      <c r="X9" s="532">
        <v>1.5999999999999999</v>
      </c>
      <c r="Y9" s="532">
        <v>1.5999999999999999</v>
      </c>
      <c r="Z9" s="533"/>
      <c r="AA9" s="532"/>
      <c r="AB9" s="532"/>
      <c r="AC9" s="532"/>
      <c r="AD9" s="532"/>
      <c r="AE9" s="532"/>
      <c r="AF9" s="532"/>
      <c r="AG9" s="528" t="s">
        <v>1143</v>
      </c>
      <c r="AH9" s="528" t="s">
        <v>1144</v>
      </c>
      <c r="AI9" s="333">
        <v>3</v>
      </c>
      <c r="AJ9" s="333">
        <v>3</v>
      </c>
      <c r="AK9" s="480">
        <v>0.5</v>
      </c>
      <c r="AL9" s="480">
        <v>0.5</v>
      </c>
      <c r="AM9" s="525" t="s">
        <v>1118</v>
      </c>
      <c r="AN9" s="528">
        <v>0</v>
      </c>
      <c r="AO9" s="528">
        <v>0</v>
      </c>
      <c r="AP9" s="528">
        <v>0</v>
      </c>
      <c r="AQ9" s="528">
        <v>0</v>
      </c>
      <c r="AR9" s="528">
        <v>0</v>
      </c>
      <c r="AS9" s="528">
        <v>0</v>
      </c>
      <c r="AT9" s="528">
        <v>0</v>
      </c>
      <c r="AU9" s="528">
        <v>0</v>
      </c>
      <c r="AV9" s="528">
        <v>0</v>
      </c>
      <c r="AW9" s="528">
        <v>0</v>
      </c>
      <c r="AX9" s="528">
        <v>0</v>
      </c>
      <c r="AY9" s="528">
        <v>0</v>
      </c>
      <c r="AZ9" s="528"/>
      <c r="BA9" s="528" t="s">
        <v>1145</v>
      </c>
      <c r="BB9" s="528"/>
      <c r="BC9" s="528" t="s">
        <v>1145</v>
      </c>
      <c r="BD9" s="528"/>
      <c r="BE9" s="528"/>
      <c r="BF9" s="564"/>
      <c r="BG9" s="529"/>
      <c r="BH9" s="525"/>
      <c r="BI9" s="528"/>
      <c r="BJ9" s="528" t="s">
        <v>4</v>
      </c>
      <c r="BK9" s="528"/>
      <c r="BL9" s="529"/>
      <c r="BM9" s="530" t="s">
        <v>1477</v>
      </c>
      <c r="BN9" s="525" t="s">
        <v>408</v>
      </c>
    </row>
    <row r="10" spans="1:66" ht="13" customHeight="1" x14ac:dyDescent="0.2">
      <c r="A10" s="451">
        <v>2853</v>
      </c>
      <c r="B10" s="527">
        <v>44208</v>
      </c>
      <c r="C10" s="526" t="s">
        <v>1138</v>
      </c>
      <c r="D10" s="525" t="s">
        <v>1100</v>
      </c>
      <c r="E10" s="527">
        <v>44197</v>
      </c>
      <c r="F10" s="529" t="s">
        <v>1166</v>
      </c>
      <c r="G10" s="525" t="s">
        <v>1478</v>
      </c>
      <c r="H10" s="340">
        <v>55.945454545454538</v>
      </c>
      <c r="I10" s="531" t="s">
        <v>1141</v>
      </c>
      <c r="J10" s="525">
        <v>6000</v>
      </c>
      <c r="K10" s="525">
        <v>9000</v>
      </c>
      <c r="L10" s="525">
        <v>9000</v>
      </c>
      <c r="M10" s="525">
        <v>9000</v>
      </c>
      <c r="N10" s="525"/>
      <c r="O10" s="340">
        <v>1.9272727272727272</v>
      </c>
      <c r="P10" s="340">
        <v>1.5636363636363635</v>
      </c>
      <c r="Q10" s="340">
        <v>0</v>
      </c>
      <c r="R10" s="532">
        <v>0</v>
      </c>
      <c r="S10" s="532">
        <v>1.1636363636363636</v>
      </c>
      <c r="T10" s="532"/>
      <c r="U10" s="532">
        <v>1.7636363636363634</v>
      </c>
      <c r="V10" s="532">
        <v>1.4</v>
      </c>
      <c r="W10" s="532">
        <v>0</v>
      </c>
      <c r="X10" s="532">
        <v>0</v>
      </c>
      <c r="Y10" s="532">
        <v>1.0818181818181818</v>
      </c>
      <c r="Z10" s="533"/>
      <c r="AA10" s="532"/>
      <c r="AB10" s="532"/>
      <c r="AC10" s="532"/>
      <c r="AD10" s="532"/>
      <c r="AE10" s="532"/>
      <c r="AF10" s="532"/>
      <c r="AG10" s="528" t="s">
        <v>1143</v>
      </c>
      <c r="AH10" s="528" t="s">
        <v>1144</v>
      </c>
      <c r="AI10" s="333">
        <v>3</v>
      </c>
      <c r="AJ10" s="333">
        <v>3</v>
      </c>
      <c r="AK10" s="480">
        <v>0.5</v>
      </c>
      <c r="AL10" s="480">
        <v>0.5</v>
      </c>
      <c r="AM10" s="525" t="s">
        <v>1118</v>
      </c>
      <c r="AN10" s="528">
        <v>0</v>
      </c>
      <c r="AO10" s="528">
        <v>0</v>
      </c>
      <c r="AP10" s="528">
        <v>0</v>
      </c>
      <c r="AQ10" s="528">
        <v>0</v>
      </c>
      <c r="AR10" s="528">
        <v>0</v>
      </c>
      <c r="AS10" s="528">
        <v>0</v>
      </c>
      <c r="AT10" s="528">
        <v>0</v>
      </c>
      <c r="AU10" s="528">
        <v>0</v>
      </c>
      <c r="AV10" s="528">
        <v>0</v>
      </c>
      <c r="AW10" s="528">
        <v>0</v>
      </c>
      <c r="AX10" s="528">
        <v>0</v>
      </c>
      <c r="AY10" s="528">
        <v>0</v>
      </c>
      <c r="AZ10" s="528"/>
      <c r="BA10" s="528" t="s">
        <v>1145</v>
      </c>
      <c r="BB10" s="528">
        <v>12</v>
      </c>
      <c r="BC10" s="528" t="s">
        <v>1145</v>
      </c>
      <c r="BD10" s="528"/>
      <c r="BE10" s="528">
        <v>12</v>
      </c>
      <c r="BF10" s="564"/>
      <c r="BG10" s="529"/>
      <c r="BH10" s="525"/>
      <c r="BI10" s="528"/>
      <c r="BJ10" s="528" t="s">
        <v>1146</v>
      </c>
      <c r="BK10" s="528"/>
      <c r="BL10" s="529"/>
      <c r="BM10" s="530" t="s">
        <v>1479</v>
      </c>
      <c r="BN10" s="525" t="s">
        <v>408</v>
      </c>
    </row>
    <row r="11" spans="1:66" ht="13" customHeight="1" x14ac:dyDescent="0.2">
      <c r="A11" s="451">
        <v>2394</v>
      </c>
      <c r="B11" s="527">
        <v>44208</v>
      </c>
      <c r="C11" s="526" t="s">
        <v>1138</v>
      </c>
      <c r="D11" s="525" t="s">
        <v>1100</v>
      </c>
      <c r="E11" s="527">
        <v>44197</v>
      </c>
      <c r="F11" s="529" t="s">
        <v>1168</v>
      </c>
      <c r="G11" s="525" t="s">
        <v>1297</v>
      </c>
      <c r="H11" s="340">
        <v>65.518181818181802</v>
      </c>
      <c r="I11" s="531" t="s">
        <v>1141</v>
      </c>
      <c r="J11" s="525">
        <v>3000</v>
      </c>
      <c r="K11" s="525">
        <v>6000</v>
      </c>
      <c r="L11" s="525">
        <v>9000</v>
      </c>
      <c r="M11" s="525">
        <v>15000</v>
      </c>
      <c r="N11" s="525"/>
      <c r="O11" s="340">
        <v>2.0636363636363635</v>
      </c>
      <c r="P11" s="340">
        <v>1.9363636363636361</v>
      </c>
      <c r="Q11" s="340">
        <v>1.7090909090909088</v>
      </c>
      <c r="R11" s="532">
        <v>1.6181818181818182</v>
      </c>
      <c r="S11" s="532">
        <v>1.5272727272727271</v>
      </c>
      <c r="T11" s="532"/>
      <c r="U11" s="532">
        <v>1.9636363636363636</v>
      </c>
      <c r="V11" s="532">
        <v>1.7999999999999998</v>
      </c>
      <c r="W11" s="532">
        <v>1.6181818181818182</v>
      </c>
      <c r="X11" s="532">
        <v>1.5272727272727271</v>
      </c>
      <c r="Y11" s="532">
        <v>1.4818181818181817</v>
      </c>
      <c r="Z11" s="533"/>
      <c r="AA11" s="532"/>
      <c r="AB11" s="532"/>
      <c r="AC11" s="532"/>
      <c r="AD11" s="532"/>
      <c r="AE11" s="532"/>
      <c r="AF11" s="532"/>
      <c r="AG11" s="528" t="s">
        <v>1143</v>
      </c>
      <c r="AH11" s="528" t="s">
        <v>1144</v>
      </c>
      <c r="AI11" s="333">
        <v>3</v>
      </c>
      <c r="AJ11" s="333">
        <v>3</v>
      </c>
      <c r="AK11" s="480">
        <v>0.5</v>
      </c>
      <c r="AL11" s="480">
        <v>0.5</v>
      </c>
      <c r="AM11" s="525" t="s">
        <v>1118</v>
      </c>
      <c r="AN11" s="528">
        <v>0</v>
      </c>
      <c r="AO11" s="528">
        <v>0</v>
      </c>
      <c r="AP11" s="528">
        <v>0</v>
      </c>
      <c r="AQ11" s="528">
        <v>0</v>
      </c>
      <c r="AR11" s="528">
        <v>0</v>
      </c>
      <c r="AS11" s="528">
        <v>0</v>
      </c>
      <c r="AT11" s="528">
        <v>0</v>
      </c>
      <c r="AU11" s="528">
        <v>0</v>
      </c>
      <c r="AV11" s="528">
        <v>0</v>
      </c>
      <c r="AW11" s="528">
        <v>0</v>
      </c>
      <c r="AX11" s="528">
        <v>0</v>
      </c>
      <c r="AY11" s="528">
        <v>0</v>
      </c>
      <c r="AZ11" s="528"/>
      <c r="BA11" s="528" t="s">
        <v>1145</v>
      </c>
      <c r="BB11" s="528"/>
      <c r="BC11" s="528" t="s">
        <v>1145</v>
      </c>
      <c r="BD11" s="528"/>
      <c r="BE11" s="528"/>
      <c r="BF11" s="564"/>
      <c r="BG11" s="529"/>
      <c r="BH11" s="525"/>
      <c r="BI11" s="528"/>
      <c r="BJ11" s="528" t="s">
        <v>1146</v>
      </c>
      <c r="BK11" s="528"/>
      <c r="BL11" s="529"/>
      <c r="BM11" s="530" t="s">
        <v>1480</v>
      </c>
      <c r="BN11" s="525" t="s">
        <v>408</v>
      </c>
    </row>
    <row r="12" spans="1:66" ht="13" customHeight="1" x14ac:dyDescent="0.2">
      <c r="A12" s="451"/>
      <c r="B12" s="527">
        <v>44229</v>
      </c>
      <c r="C12" s="526" t="s">
        <v>1138</v>
      </c>
      <c r="D12" s="525" t="s">
        <v>1100</v>
      </c>
      <c r="E12" s="527">
        <v>44197</v>
      </c>
      <c r="F12" s="529" t="s">
        <v>1169</v>
      </c>
      <c r="G12" s="525" t="s">
        <v>1561</v>
      </c>
      <c r="H12" s="340">
        <v>83.672727272727272</v>
      </c>
      <c r="I12" s="531" t="s">
        <v>1141</v>
      </c>
      <c r="J12" s="525">
        <v>3000</v>
      </c>
      <c r="K12" s="525">
        <v>6000</v>
      </c>
      <c r="L12" s="525">
        <v>9000</v>
      </c>
      <c r="M12" s="525">
        <v>15000</v>
      </c>
      <c r="N12" s="525"/>
      <c r="O12" s="340">
        <v>2.4700000000000002</v>
      </c>
      <c r="P12" s="340">
        <v>2.14</v>
      </c>
      <c r="Q12" s="340">
        <v>1.81</v>
      </c>
      <c r="R12" s="532">
        <v>1.64</v>
      </c>
      <c r="S12" s="532">
        <v>1.59</v>
      </c>
      <c r="T12" s="532"/>
      <c r="U12" s="532">
        <v>2.336363636363636</v>
      </c>
      <c r="V12" s="532">
        <v>2.0363636363636366</v>
      </c>
      <c r="W12" s="532">
        <v>1.7636363636363634</v>
      </c>
      <c r="X12" s="532">
        <v>1.6090909090909089</v>
      </c>
      <c r="Y12" s="532">
        <v>1.5818181818181818</v>
      </c>
      <c r="Z12" s="533"/>
      <c r="AA12" s="532">
        <v>2.4363636363636365</v>
      </c>
      <c r="AB12" s="532">
        <v>2.1090909090909089</v>
      </c>
      <c r="AC12" s="532">
        <v>1.7999999999999998</v>
      </c>
      <c r="AD12" s="532">
        <v>1.6272727272727272</v>
      </c>
      <c r="AE12" s="532">
        <v>1.5909090909090908</v>
      </c>
      <c r="AF12" s="532"/>
      <c r="AG12" s="528" t="s">
        <v>1143</v>
      </c>
      <c r="AH12" s="528" t="s">
        <v>1144</v>
      </c>
      <c r="AI12" s="333">
        <v>3</v>
      </c>
      <c r="AJ12" s="333">
        <v>3</v>
      </c>
      <c r="AK12" s="480">
        <v>0.5</v>
      </c>
      <c r="AL12" s="480">
        <v>0.5</v>
      </c>
      <c r="AM12" s="525" t="s">
        <v>1123</v>
      </c>
      <c r="AN12" s="528">
        <v>21</v>
      </c>
      <c r="AO12" s="528">
        <v>0</v>
      </c>
      <c r="AP12" s="528">
        <v>0</v>
      </c>
      <c r="AQ12" s="528">
        <v>0</v>
      </c>
      <c r="AR12" s="528">
        <v>0</v>
      </c>
      <c r="AS12" s="528">
        <v>0</v>
      </c>
      <c r="AT12" s="528">
        <v>0</v>
      </c>
      <c r="AU12" s="528">
        <v>0</v>
      </c>
      <c r="AV12" s="528">
        <v>0</v>
      </c>
      <c r="AW12" s="528">
        <v>0</v>
      </c>
      <c r="AX12" s="528">
        <v>0</v>
      </c>
      <c r="AY12" s="528">
        <v>0</v>
      </c>
      <c r="AZ12" s="528"/>
      <c r="BA12" s="528" t="s">
        <v>1145</v>
      </c>
      <c r="BB12" s="528"/>
      <c r="BC12" s="528" t="s">
        <v>1145</v>
      </c>
      <c r="BD12" s="528"/>
      <c r="BE12" s="528"/>
      <c r="BF12" s="564"/>
      <c r="BG12" s="529"/>
      <c r="BH12" s="525"/>
      <c r="BI12" s="528"/>
      <c r="BJ12" s="528" t="s">
        <v>1146</v>
      </c>
      <c r="BK12" s="528"/>
      <c r="BL12" s="529"/>
      <c r="BM12" s="530" t="s">
        <v>430</v>
      </c>
      <c r="BN12" s="525" t="s">
        <v>1121</v>
      </c>
    </row>
    <row r="13" spans="1:66" ht="13" customHeight="1" x14ac:dyDescent="0.2">
      <c r="A13" s="451">
        <v>2682</v>
      </c>
      <c r="B13" s="527">
        <v>44208</v>
      </c>
      <c r="C13" s="526" t="s">
        <v>1138</v>
      </c>
      <c r="D13" s="525" t="s">
        <v>1100</v>
      </c>
      <c r="E13" s="527">
        <v>44013</v>
      </c>
      <c r="F13" s="529" t="s">
        <v>1173</v>
      </c>
      <c r="G13" s="525" t="s">
        <v>1481</v>
      </c>
      <c r="H13" s="340">
        <v>72.999999999999986</v>
      </c>
      <c r="I13" s="531" t="s">
        <v>1141</v>
      </c>
      <c r="J13" s="525">
        <v>3000</v>
      </c>
      <c r="K13" s="525">
        <v>6000</v>
      </c>
      <c r="L13" s="525">
        <v>9000</v>
      </c>
      <c r="M13" s="525">
        <v>15000</v>
      </c>
      <c r="N13" s="525"/>
      <c r="O13" s="340">
        <v>2.2363636363636363</v>
      </c>
      <c r="P13" s="340">
        <v>1.918181818181818</v>
      </c>
      <c r="Q13" s="340">
        <v>1.6090909090909089</v>
      </c>
      <c r="R13" s="532">
        <v>1.4</v>
      </c>
      <c r="S13" s="532">
        <v>1.2999999999999998</v>
      </c>
      <c r="T13" s="532"/>
      <c r="U13" s="532">
        <v>1.9818181818181817</v>
      </c>
      <c r="V13" s="532">
        <v>1.718181818181818</v>
      </c>
      <c r="W13" s="532">
        <v>1.3545454545454545</v>
      </c>
      <c r="X13" s="532">
        <v>1.2999999999999998</v>
      </c>
      <c r="Y13" s="532">
        <v>1.2</v>
      </c>
      <c r="Z13" s="533"/>
      <c r="AA13" s="532"/>
      <c r="AB13" s="532"/>
      <c r="AC13" s="532"/>
      <c r="AD13" s="532"/>
      <c r="AE13" s="532"/>
      <c r="AF13" s="532"/>
      <c r="AG13" s="528" t="s">
        <v>1143</v>
      </c>
      <c r="AH13" s="528" t="s">
        <v>1144</v>
      </c>
      <c r="AI13" s="333">
        <v>3</v>
      </c>
      <c r="AJ13" s="333">
        <v>3</v>
      </c>
      <c r="AK13" s="480">
        <v>0.5</v>
      </c>
      <c r="AL13" s="480">
        <v>0.5</v>
      </c>
      <c r="AM13" s="525" t="s">
        <v>1118</v>
      </c>
      <c r="AN13" s="528">
        <v>0</v>
      </c>
      <c r="AO13" s="528">
        <v>0</v>
      </c>
      <c r="AP13" s="528">
        <v>0</v>
      </c>
      <c r="AQ13" s="528">
        <v>0</v>
      </c>
      <c r="AR13" s="528">
        <v>0</v>
      </c>
      <c r="AS13" s="528">
        <v>0</v>
      </c>
      <c r="AT13" s="528">
        <v>0</v>
      </c>
      <c r="AU13" s="528">
        <v>0</v>
      </c>
      <c r="AV13" s="528">
        <v>0</v>
      </c>
      <c r="AW13" s="528">
        <v>0</v>
      </c>
      <c r="AX13" s="528">
        <v>0</v>
      </c>
      <c r="AY13" s="528">
        <v>0</v>
      </c>
      <c r="AZ13" s="528"/>
      <c r="BA13" s="528" t="s">
        <v>1145</v>
      </c>
      <c r="BB13" s="528"/>
      <c r="BC13" s="528" t="s">
        <v>1145</v>
      </c>
      <c r="BD13" s="528"/>
      <c r="BE13" s="528"/>
      <c r="BF13" s="564"/>
      <c r="BG13" s="529"/>
      <c r="BH13" s="525"/>
      <c r="BI13" s="528"/>
      <c r="BJ13" s="528" t="s">
        <v>411</v>
      </c>
      <c r="BK13" s="528"/>
      <c r="BL13" s="529"/>
      <c r="BM13" s="530" t="s">
        <v>1482</v>
      </c>
      <c r="BN13" s="525" t="s">
        <v>368</v>
      </c>
    </row>
    <row r="14" spans="1:66" ht="13" customHeight="1" x14ac:dyDescent="0.2">
      <c r="A14" s="451">
        <v>1682</v>
      </c>
      <c r="B14" s="527">
        <v>44208</v>
      </c>
      <c r="C14" s="526" t="s">
        <v>295</v>
      </c>
      <c r="D14" s="525" t="s">
        <v>1100</v>
      </c>
      <c r="E14" s="527">
        <v>44166</v>
      </c>
      <c r="F14" s="529" t="s">
        <v>1106</v>
      </c>
      <c r="G14" s="525" t="s">
        <v>2</v>
      </c>
      <c r="H14" s="340">
        <v>62.999999999999993</v>
      </c>
      <c r="I14" s="531" t="s">
        <v>296</v>
      </c>
      <c r="J14" s="525">
        <v>6000</v>
      </c>
      <c r="K14" s="525">
        <v>6000</v>
      </c>
      <c r="L14" s="525">
        <v>6000</v>
      </c>
      <c r="M14" s="525">
        <v>6000</v>
      </c>
      <c r="N14" s="525"/>
      <c r="O14" s="340">
        <v>1.8545454545454545</v>
      </c>
      <c r="P14" s="340">
        <v>0</v>
      </c>
      <c r="Q14" s="340">
        <v>0</v>
      </c>
      <c r="R14" s="532">
        <v>0</v>
      </c>
      <c r="S14" s="532">
        <v>1.4999999999999998</v>
      </c>
      <c r="T14" s="532"/>
      <c r="U14" s="532">
        <v>1.8545454545454545</v>
      </c>
      <c r="V14" s="532">
        <v>0</v>
      </c>
      <c r="W14" s="532">
        <v>0</v>
      </c>
      <c r="X14" s="532">
        <v>0</v>
      </c>
      <c r="Y14" s="532">
        <v>1.4999999999999998</v>
      </c>
      <c r="Z14" s="533"/>
      <c r="AA14" s="532"/>
      <c r="AB14" s="532"/>
      <c r="AC14" s="532"/>
      <c r="AD14" s="532"/>
      <c r="AE14" s="532"/>
      <c r="AF14" s="532"/>
      <c r="AG14" s="528" t="s">
        <v>1278</v>
      </c>
      <c r="AH14" s="528"/>
      <c r="AI14" s="333">
        <v>3</v>
      </c>
      <c r="AJ14" s="333">
        <v>3</v>
      </c>
      <c r="AK14" s="480">
        <v>0.5</v>
      </c>
      <c r="AL14" s="480">
        <v>0.5</v>
      </c>
      <c r="AM14" s="525"/>
      <c r="AN14" s="528">
        <v>0</v>
      </c>
      <c r="AO14" s="528">
        <v>0</v>
      </c>
      <c r="AP14" s="528">
        <v>0</v>
      </c>
      <c r="AQ14" s="528">
        <v>0</v>
      </c>
      <c r="AR14" s="528">
        <v>0</v>
      </c>
      <c r="AS14" s="528">
        <v>0</v>
      </c>
      <c r="AT14" s="528">
        <v>0</v>
      </c>
      <c r="AU14" s="528">
        <v>0</v>
      </c>
      <c r="AV14" s="528">
        <v>0</v>
      </c>
      <c r="AW14" s="528">
        <v>0</v>
      </c>
      <c r="AX14" s="528">
        <v>0</v>
      </c>
      <c r="AY14" s="528">
        <v>0</v>
      </c>
      <c r="AZ14" s="528"/>
      <c r="BA14" s="528" t="s">
        <v>1145</v>
      </c>
      <c r="BB14" s="528"/>
      <c r="BC14" s="528" t="s">
        <v>1145</v>
      </c>
      <c r="BD14" s="528"/>
      <c r="BE14" s="528"/>
      <c r="BF14" s="564"/>
      <c r="BG14" s="529"/>
      <c r="BH14" s="525"/>
      <c r="BI14" s="528"/>
      <c r="BJ14" s="528" t="s">
        <v>1146</v>
      </c>
      <c r="BK14" s="528">
        <v>1</v>
      </c>
      <c r="BL14" s="529"/>
      <c r="BM14" s="530" t="s">
        <v>1475</v>
      </c>
      <c r="BN14" s="525" t="s">
        <v>368</v>
      </c>
    </row>
    <row r="15" spans="1:66" ht="13" customHeight="1" x14ac:dyDescent="0.2">
      <c r="A15" s="451"/>
      <c r="B15" s="527">
        <v>44211</v>
      </c>
      <c r="C15" s="526" t="s">
        <v>1138</v>
      </c>
      <c r="D15" s="525" t="s">
        <v>1100</v>
      </c>
      <c r="E15" s="527">
        <v>44228</v>
      </c>
      <c r="F15" s="529" t="s">
        <v>34</v>
      </c>
      <c r="G15" s="525" t="s">
        <v>1181</v>
      </c>
      <c r="H15" s="340">
        <v>66.054545454545448</v>
      </c>
      <c r="I15" s="531"/>
      <c r="J15" s="525"/>
      <c r="K15" s="525"/>
      <c r="L15" s="525"/>
      <c r="M15" s="525"/>
      <c r="N15" s="525"/>
      <c r="O15" s="340">
        <v>1.7363636363636361</v>
      </c>
      <c r="P15" s="340">
        <v>0</v>
      </c>
      <c r="Q15" s="340">
        <v>0</v>
      </c>
      <c r="R15" s="532">
        <v>0</v>
      </c>
      <c r="S15" s="532">
        <v>0</v>
      </c>
      <c r="T15" s="532"/>
      <c r="U15" s="532">
        <v>1.5636363636363635</v>
      </c>
      <c r="V15" s="532">
        <v>0</v>
      </c>
      <c r="W15" s="532">
        <v>0</v>
      </c>
      <c r="X15" s="532">
        <v>0</v>
      </c>
      <c r="Y15" s="532">
        <v>0</v>
      </c>
      <c r="Z15" s="533"/>
      <c r="AA15" s="532"/>
      <c r="AB15" s="532"/>
      <c r="AC15" s="532"/>
      <c r="AD15" s="532"/>
      <c r="AE15" s="532"/>
      <c r="AF15" s="532"/>
      <c r="AG15" s="528" t="s">
        <v>1143</v>
      </c>
      <c r="AH15" s="528" t="s">
        <v>1144</v>
      </c>
      <c r="AI15" s="333">
        <v>3</v>
      </c>
      <c r="AJ15" s="333">
        <v>3</v>
      </c>
      <c r="AK15" s="480">
        <v>0.5</v>
      </c>
      <c r="AL15" s="480">
        <v>0.5</v>
      </c>
      <c r="AM15" s="525" t="s">
        <v>1118</v>
      </c>
      <c r="AN15" s="528">
        <v>0</v>
      </c>
      <c r="AO15" s="528">
        <v>0</v>
      </c>
      <c r="AP15" s="528">
        <v>0</v>
      </c>
      <c r="AQ15" s="528">
        <v>0</v>
      </c>
      <c r="AR15" s="528">
        <v>0</v>
      </c>
      <c r="AS15" s="528">
        <v>0</v>
      </c>
      <c r="AT15" s="528">
        <v>0</v>
      </c>
      <c r="AU15" s="528">
        <v>0</v>
      </c>
      <c r="AV15" s="528">
        <v>0</v>
      </c>
      <c r="AW15" s="528">
        <v>0</v>
      </c>
      <c r="AX15" s="528">
        <v>0</v>
      </c>
      <c r="AY15" s="528">
        <v>0</v>
      </c>
      <c r="AZ15" s="528"/>
      <c r="BA15" s="528" t="s">
        <v>1145</v>
      </c>
      <c r="BB15" s="528"/>
      <c r="BC15" s="528" t="s">
        <v>1145</v>
      </c>
      <c r="BD15" s="528"/>
      <c r="BE15" s="528"/>
      <c r="BF15" s="564"/>
      <c r="BG15" s="529"/>
      <c r="BH15" s="525"/>
      <c r="BI15" s="528"/>
      <c r="BJ15" s="528" t="s">
        <v>1164</v>
      </c>
      <c r="BK15" s="528"/>
      <c r="BL15" s="529" t="s">
        <v>1284</v>
      </c>
      <c r="BM15" s="530" t="s">
        <v>1556</v>
      </c>
      <c r="BN15" s="525" t="s">
        <v>1121</v>
      </c>
    </row>
    <row r="16" spans="1:66" ht="13" customHeight="1" x14ac:dyDescent="0.2">
      <c r="A16" s="451">
        <v>2745</v>
      </c>
      <c r="B16" s="527">
        <v>44208</v>
      </c>
      <c r="C16" s="526" t="s">
        <v>1138</v>
      </c>
      <c r="D16" s="525" t="s">
        <v>1100</v>
      </c>
      <c r="E16" s="527">
        <v>44197</v>
      </c>
      <c r="F16" s="529" t="s">
        <v>1274</v>
      </c>
      <c r="G16" s="525" t="s">
        <v>1467</v>
      </c>
      <c r="H16" s="340">
        <v>70.999999999999986</v>
      </c>
      <c r="I16" s="531" t="s">
        <v>1141</v>
      </c>
      <c r="J16" s="525">
        <v>3000</v>
      </c>
      <c r="K16" s="525">
        <v>6000</v>
      </c>
      <c r="L16" s="525">
        <v>6000</v>
      </c>
      <c r="M16" s="525">
        <v>6000</v>
      </c>
      <c r="N16" s="525"/>
      <c r="O16" s="340">
        <v>2.4636363636363634</v>
      </c>
      <c r="P16" s="340">
        <v>2.1636363636363636</v>
      </c>
      <c r="Q16" s="340">
        <v>0</v>
      </c>
      <c r="R16" s="532">
        <v>0</v>
      </c>
      <c r="S16" s="532">
        <v>1.8181818181818181</v>
      </c>
      <c r="T16" s="532"/>
      <c r="U16" s="532">
        <v>2.4636363636363634</v>
      </c>
      <c r="V16" s="532">
        <v>2.1636363636363636</v>
      </c>
      <c r="W16" s="532">
        <v>0</v>
      </c>
      <c r="X16" s="532">
        <v>0</v>
      </c>
      <c r="Y16" s="532">
        <v>1.8181818181818181</v>
      </c>
      <c r="Z16" s="533"/>
      <c r="AA16" s="532"/>
      <c r="AB16" s="532"/>
      <c r="AC16" s="532"/>
      <c r="AD16" s="532"/>
      <c r="AE16" s="532"/>
      <c r="AF16" s="532"/>
      <c r="AG16" s="528" t="s">
        <v>1145</v>
      </c>
      <c r="AH16" s="528"/>
      <c r="AI16" s="333">
        <v>3</v>
      </c>
      <c r="AJ16" s="333">
        <v>3</v>
      </c>
      <c r="AK16" s="480">
        <v>0.5</v>
      </c>
      <c r="AL16" s="480">
        <v>0.5</v>
      </c>
      <c r="AM16" s="525"/>
      <c r="AN16" s="528">
        <v>0</v>
      </c>
      <c r="AO16" s="528">
        <v>12</v>
      </c>
      <c r="AP16" s="528">
        <v>0</v>
      </c>
      <c r="AQ16" s="528">
        <v>3</v>
      </c>
      <c r="AR16" s="528">
        <v>0</v>
      </c>
      <c r="AS16" s="528">
        <v>0</v>
      </c>
      <c r="AT16" s="528">
        <v>0</v>
      </c>
      <c r="AU16" s="528">
        <v>0</v>
      </c>
      <c r="AV16" s="528">
        <v>0</v>
      </c>
      <c r="AW16" s="528">
        <v>0</v>
      </c>
      <c r="AX16" s="528">
        <v>0</v>
      </c>
      <c r="AY16" s="528">
        <v>0</v>
      </c>
      <c r="AZ16" s="528"/>
      <c r="BA16" s="528" t="s">
        <v>1145</v>
      </c>
      <c r="BB16" s="528"/>
      <c r="BC16" s="528" t="s">
        <v>1145</v>
      </c>
      <c r="BD16" s="528"/>
      <c r="BE16" s="528"/>
      <c r="BF16" s="564"/>
      <c r="BG16" s="529"/>
      <c r="BH16" s="525"/>
      <c r="BI16" s="528"/>
      <c r="BJ16" s="528" t="s">
        <v>1164</v>
      </c>
      <c r="BK16" s="528">
        <v>1</v>
      </c>
      <c r="BL16" s="529"/>
      <c r="BM16" s="530" t="s">
        <v>1468</v>
      </c>
      <c r="BN16" s="525" t="s">
        <v>408</v>
      </c>
    </row>
    <row r="17" spans="1:66" ht="13" customHeight="1" x14ac:dyDescent="0.2">
      <c r="A17" s="451">
        <v>2338</v>
      </c>
      <c r="B17" s="527">
        <v>44210</v>
      </c>
      <c r="C17" s="526" t="s">
        <v>1138</v>
      </c>
      <c r="D17" s="525" t="s">
        <v>1100</v>
      </c>
      <c r="E17" s="527">
        <v>44228</v>
      </c>
      <c r="F17" s="529" t="s">
        <v>1291</v>
      </c>
      <c r="G17" s="525" t="s">
        <v>1181</v>
      </c>
      <c r="H17" s="340">
        <v>58.690909090909088</v>
      </c>
      <c r="I17" s="531"/>
      <c r="J17" s="525"/>
      <c r="K17" s="525"/>
      <c r="L17" s="525"/>
      <c r="M17" s="525"/>
      <c r="N17" s="525"/>
      <c r="O17" s="340">
        <v>2.0181818181818181</v>
      </c>
      <c r="P17" s="340">
        <v>0</v>
      </c>
      <c r="Q17" s="340">
        <v>0</v>
      </c>
      <c r="R17" s="532">
        <v>0</v>
      </c>
      <c r="S17" s="532">
        <v>0</v>
      </c>
      <c r="T17" s="532"/>
      <c r="U17" s="532">
        <v>1.8727272727272726</v>
      </c>
      <c r="V17" s="532">
        <v>0</v>
      </c>
      <c r="W17" s="532">
        <v>0</v>
      </c>
      <c r="X17" s="532">
        <v>0</v>
      </c>
      <c r="Y17" s="532">
        <v>0</v>
      </c>
      <c r="Z17" s="533"/>
      <c r="AA17" s="532"/>
      <c r="AB17" s="532"/>
      <c r="AC17" s="532"/>
      <c r="AD17" s="532"/>
      <c r="AE17" s="532"/>
      <c r="AF17" s="532"/>
      <c r="AG17" s="528" t="s">
        <v>1143</v>
      </c>
      <c r="AH17" s="528" t="s">
        <v>1144</v>
      </c>
      <c r="AI17" s="333">
        <v>3</v>
      </c>
      <c r="AJ17" s="333">
        <v>3</v>
      </c>
      <c r="AK17" s="480">
        <v>0.5</v>
      </c>
      <c r="AL17" s="480">
        <v>0.5</v>
      </c>
      <c r="AM17" s="525" t="s">
        <v>1118</v>
      </c>
      <c r="AN17" s="528">
        <v>0</v>
      </c>
      <c r="AO17" s="528">
        <v>0</v>
      </c>
      <c r="AP17" s="528">
        <v>0</v>
      </c>
      <c r="AQ17" s="528">
        <v>0</v>
      </c>
      <c r="AR17" s="528">
        <v>0</v>
      </c>
      <c r="AS17" s="528">
        <v>0</v>
      </c>
      <c r="AT17" s="528">
        <v>0</v>
      </c>
      <c r="AU17" s="528">
        <v>0</v>
      </c>
      <c r="AV17" s="528">
        <v>0</v>
      </c>
      <c r="AW17" s="528">
        <v>0</v>
      </c>
      <c r="AX17" s="528">
        <v>0</v>
      </c>
      <c r="AY17" s="528">
        <v>0</v>
      </c>
      <c r="AZ17" s="528"/>
      <c r="BA17" s="528" t="s">
        <v>1145</v>
      </c>
      <c r="BB17" s="528"/>
      <c r="BC17" s="528" t="s">
        <v>1145</v>
      </c>
      <c r="BD17" s="528"/>
      <c r="BE17" s="528"/>
      <c r="BF17" s="564"/>
      <c r="BG17" s="529"/>
      <c r="BH17" s="525"/>
      <c r="BI17" s="528"/>
      <c r="BJ17" s="528" t="s">
        <v>4</v>
      </c>
      <c r="BK17" s="528"/>
      <c r="BL17" s="529" t="s">
        <v>1284</v>
      </c>
      <c r="BM17" s="530" t="s">
        <v>1551</v>
      </c>
      <c r="BN17" s="525" t="s">
        <v>408</v>
      </c>
    </row>
    <row r="18" spans="1:66" ht="13" customHeight="1" x14ac:dyDescent="0.2">
      <c r="A18" s="451"/>
      <c r="B18" s="527">
        <v>44209</v>
      </c>
      <c r="C18" s="526" t="s">
        <v>10</v>
      </c>
      <c r="D18" s="525" t="s">
        <v>1100</v>
      </c>
      <c r="E18" s="527">
        <v>44153</v>
      </c>
      <c r="F18" s="529" t="s">
        <v>1483</v>
      </c>
      <c r="G18" s="525" t="s">
        <v>1550</v>
      </c>
      <c r="H18" s="340">
        <v>70</v>
      </c>
      <c r="I18" s="531" t="s">
        <v>296</v>
      </c>
      <c r="J18" s="525">
        <v>3000</v>
      </c>
      <c r="K18" s="525">
        <v>6000</v>
      </c>
      <c r="L18" s="525">
        <v>9000</v>
      </c>
      <c r="M18" s="525">
        <v>15000</v>
      </c>
      <c r="N18" s="525"/>
      <c r="O18" s="340">
        <v>1.7999999999999998</v>
      </c>
      <c r="P18" s="340">
        <v>1.5999999999999999</v>
      </c>
      <c r="Q18" s="340">
        <v>1.2999999999999998</v>
      </c>
      <c r="R18" s="532">
        <v>1.2999999999999998</v>
      </c>
      <c r="S18" s="532">
        <v>1.2</v>
      </c>
      <c r="T18" s="532"/>
      <c r="U18" s="532">
        <v>1.5999999999999999</v>
      </c>
      <c r="V18" s="532">
        <v>1.4</v>
      </c>
      <c r="W18" s="532">
        <v>1.2999999999999998</v>
      </c>
      <c r="X18" s="532">
        <v>1.2</v>
      </c>
      <c r="Y18" s="532">
        <v>1.0999999999999999</v>
      </c>
      <c r="Z18" s="533"/>
      <c r="AA18" s="532"/>
      <c r="AB18" s="532"/>
      <c r="AC18" s="532"/>
      <c r="AD18" s="532"/>
      <c r="AE18" s="532"/>
      <c r="AF18" s="532"/>
      <c r="AG18" s="528" t="s">
        <v>1116</v>
      </c>
      <c r="AH18" s="528" t="s">
        <v>1117</v>
      </c>
      <c r="AI18" s="333">
        <v>3</v>
      </c>
      <c r="AJ18" s="333">
        <v>3</v>
      </c>
      <c r="AK18" s="480">
        <v>0.5</v>
      </c>
      <c r="AL18" s="480">
        <v>0.5</v>
      </c>
      <c r="AM18" s="525" t="s">
        <v>1118</v>
      </c>
      <c r="AN18" s="528">
        <v>0</v>
      </c>
      <c r="AO18" s="528">
        <v>0</v>
      </c>
      <c r="AP18" s="528">
        <v>0</v>
      </c>
      <c r="AQ18" s="528">
        <v>0</v>
      </c>
      <c r="AR18" s="528">
        <v>0</v>
      </c>
      <c r="AS18" s="528">
        <v>0</v>
      </c>
      <c r="AT18" s="528">
        <v>0</v>
      </c>
      <c r="AU18" s="528">
        <v>0</v>
      </c>
      <c r="AV18" s="528">
        <v>0</v>
      </c>
      <c r="AW18" s="528">
        <v>0</v>
      </c>
      <c r="AX18" s="528">
        <v>0</v>
      </c>
      <c r="AY18" s="528">
        <v>0</v>
      </c>
      <c r="AZ18" s="528"/>
      <c r="BA18" s="528" t="s">
        <v>38</v>
      </c>
      <c r="BB18" s="528"/>
      <c r="BC18" s="528" t="s">
        <v>38</v>
      </c>
      <c r="BD18" s="528"/>
      <c r="BE18" s="528">
        <v>12</v>
      </c>
      <c r="BF18" s="564"/>
      <c r="BG18" s="529"/>
      <c r="BH18" s="525"/>
      <c r="BI18" s="528"/>
      <c r="BJ18" s="528" t="s">
        <v>43</v>
      </c>
      <c r="BK18" s="528"/>
      <c r="BL18" s="529"/>
      <c r="BM18" s="530" t="s">
        <v>430</v>
      </c>
      <c r="BN18" s="525" t="s">
        <v>1121</v>
      </c>
    </row>
    <row r="19" spans="1:66" ht="13" customHeight="1" x14ac:dyDescent="0.2">
      <c r="A19" s="451">
        <v>1351</v>
      </c>
      <c r="B19" s="527">
        <v>44208</v>
      </c>
      <c r="C19" s="526" t="s">
        <v>1138</v>
      </c>
      <c r="D19" s="525" t="s">
        <v>1108</v>
      </c>
      <c r="E19" s="527">
        <v>44197</v>
      </c>
      <c r="F19" s="529" t="s">
        <v>1139</v>
      </c>
      <c r="G19" s="525" t="s">
        <v>1140</v>
      </c>
      <c r="H19" s="340">
        <v>64.681818181818187</v>
      </c>
      <c r="I19" s="531" t="s">
        <v>1141</v>
      </c>
      <c r="J19" s="525">
        <v>3000</v>
      </c>
      <c r="K19" s="525">
        <v>6000</v>
      </c>
      <c r="L19" s="525">
        <v>9000</v>
      </c>
      <c r="M19" s="525">
        <v>15000</v>
      </c>
      <c r="N19" s="525"/>
      <c r="O19" s="340">
        <v>2.1363636363636362</v>
      </c>
      <c r="P19" s="340">
        <v>1.8909090909090909</v>
      </c>
      <c r="Q19" s="340">
        <v>1.5545454545454545</v>
      </c>
      <c r="R19" s="532">
        <v>1.3454545454545452</v>
      </c>
      <c r="S19" s="532">
        <v>1.2727272727272725</v>
      </c>
      <c r="T19" s="532"/>
      <c r="U19" s="532">
        <v>2.0454545454545454</v>
      </c>
      <c r="V19" s="532">
        <v>1.7999999999999998</v>
      </c>
      <c r="W19" s="532">
        <v>1.4909090909090907</v>
      </c>
      <c r="X19" s="532">
        <v>1.3272727272727272</v>
      </c>
      <c r="Y19" s="532">
        <v>1.2363636363636363</v>
      </c>
      <c r="Z19" s="533"/>
      <c r="AA19" s="532"/>
      <c r="AB19" s="532"/>
      <c r="AC19" s="532"/>
      <c r="AD19" s="532"/>
      <c r="AE19" s="532"/>
      <c r="AF19" s="532"/>
      <c r="AG19" s="528" t="s">
        <v>1143</v>
      </c>
      <c r="AH19" s="528" t="s">
        <v>1144</v>
      </c>
      <c r="AI19" s="333">
        <v>3</v>
      </c>
      <c r="AJ19" s="333">
        <v>3</v>
      </c>
      <c r="AK19" s="480">
        <v>0.5</v>
      </c>
      <c r="AL19" s="480">
        <v>0.5</v>
      </c>
      <c r="AM19" s="525" t="s">
        <v>1118</v>
      </c>
      <c r="AN19" s="528">
        <v>0</v>
      </c>
      <c r="AO19" s="528">
        <v>0</v>
      </c>
      <c r="AP19" s="528">
        <v>0</v>
      </c>
      <c r="AQ19" s="528">
        <v>0</v>
      </c>
      <c r="AR19" s="528">
        <v>0</v>
      </c>
      <c r="AS19" s="528">
        <v>0</v>
      </c>
      <c r="AT19" s="528">
        <v>0</v>
      </c>
      <c r="AU19" s="528">
        <v>0</v>
      </c>
      <c r="AV19" s="528">
        <v>0</v>
      </c>
      <c r="AW19" s="528">
        <v>0</v>
      </c>
      <c r="AX19" s="528">
        <v>0</v>
      </c>
      <c r="AY19" s="528">
        <v>0</v>
      </c>
      <c r="AZ19" s="528"/>
      <c r="BA19" s="528" t="s">
        <v>1145</v>
      </c>
      <c r="BB19" s="528">
        <v>12</v>
      </c>
      <c r="BC19" s="528" t="s">
        <v>1145</v>
      </c>
      <c r="BD19" s="528"/>
      <c r="BE19" s="528">
        <v>12</v>
      </c>
      <c r="BF19" s="564"/>
      <c r="BG19" s="529"/>
      <c r="BH19" s="525"/>
      <c r="BI19" s="528"/>
      <c r="BJ19" s="528" t="s">
        <v>1146</v>
      </c>
      <c r="BK19" s="528"/>
      <c r="BL19" s="529"/>
      <c r="BM19" s="530" t="s">
        <v>1484</v>
      </c>
      <c r="BN19" s="525" t="s">
        <v>408</v>
      </c>
    </row>
    <row r="20" spans="1:66" ht="13" customHeight="1" x14ac:dyDescent="0.2">
      <c r="A20" s="451">
        <v>2504</v>
      </c>
      <c r="B20" s="527">
        <v>44208</v>
      </c>
      <c r="C20" s="526" t="s">
        <v>1138</v>
      </c>
      <c r="D20" s="525" t="s">
        <v>1108</v>
      </c>
      <c r="E20" s="527">
        <v>44197</v>
      </c>
      <c r="F20" s="529" t="s">
        <v>1148</v>
      </c>
      <c r="G20" s="525" t="s">
        <v>1280</v>
      </c>
      <c r="H20" s="340">
        <v>56</v>
      </c>
      <c r="I20" s="531" t="s">
        <v>1141</v>
      </c>
      <c r="J20" s="525">
        <v>3000</v>
      </c>
      <c r="K20" s="525">
        <v>6000</v>
      </c>
      <c r="L20" s="525">
        <v>6000</v>
      </c>
      <c r="M20" s="525">
        <v>6000</v>
      </c>
      <c r="N20" s="525"/>
      <c r="O20" s="340">
        <v>2.0181818181818181</v>
      </c>
      <c r="P20" s="340">
        <v>1.8272727272727269</v>
      </c>
      <c r="Q20" s="340">
        <v>0</v>
      </c>
      <c r="R20" s="532">
        <v>0</v>
      </c>
      <c r="S20" s="532">
        <v>1.4363636363636363</v>
      </c>
      <c r="T20" s="532"/>
      <c r="U20" s="532">
        <v>2.0181818181818181</v>
      </c>
      <c r="V20" s="532">
        <v>1.7272727272727271</v>
      </c>
      <c r="W20" s="532">
        <v>0</v>
      </c>
      <c r="X20" s="532">
        <v>0</v>
      </c>
      <c r="Y20" s="532">
        <v>1.4363636363636363</v>
      </c>
      <c r="Z20" s="533"/>
      <c r="AA20" s="532"/>
      <c r="AB20" s="532"/>
      <c r="AC20" s="532"/>
      <c r="AD20" s="532"/>
      <c r="AE20" s="532"/>
      <c r="AF20" s="532"/>
      <c r="AG20" s="528" t="s">
        <v>1143</v>
      </c>
      <c r="AH20" s="528" t="s">
        <v>1144</v>
      </c>
      <c r="AI20" s="333">
        <v>3</v>
      </c>
      <c r="AJ20" s="333">
        <v>3</v>
      </c>
      <c r="AK20" s="480">
        <v>0.5</v>
      </c>
      <c r="AL20" s="480">
        <v>0.5</v>
      </c>
      <c r="AM20" s="525" t="s">
        <v>1118</v>
      </c>
      <c r="AN20" s="528">
        <v>0</v>
      </c>
      <c r="AO20" s="528">
        <v>0</v>
      </c>
      <c r="AP20" s="528">
        <v>0</v>
      </c>
      <c r="AQ20" s="528">
        <v>0</v>
      </c>
      <c r="AR20" s="528">
        <v>0</v>
      </c>
      <c r="AS20" s="528">
        <v>0</v>
      </c>
      <c r="AT20" s="528">
        <v>0</v>
      </c>
      <c r="AU20" s="528">
        <v>0</v>
      </c>
      <c r="AV20" s="528">
        <v>0</v>
      </c>
      <c r="AW20" s="528">
        <v>0</v>
      </c>
      <c r="AX20" s="528">
        <v>0</v>
      </c>
      <c r="AY20" s="528">
        <v>0</v>
      </c>
      <c r="AZ20" s="528"/>
      <c r="BA20" s="528" t="s">
        <v>1145</v>
      </c>
      <c r="BB20" s="528"/>
      <c r="BC20" s="528" t="s">
        <v>1145</v>
      </c>
      <c r="BD20" s="528"/>
      <c r="BE20" s="528"/>
      <c r="BF20" s="564"/>
      <c r="BG20" s="529"/>
      <c r="BH20" s="525"/>
      <c r="BI20" s="528"/>
      <c r="BJ20" s="528" t="s">
        <v>4</v>
      </c>
      <c r="BK20" s="528"/>
      <c r="BL20" s="529"/>
      <c r="BM20" s="530" t="s">
        <v>430</v>
      </c>
      <c r="BN20" s="525" t="s">
        <v>408</v>
      </c>
    </row>
    <row r="21" spans="1:66" ht="13" customHeight="1" x14ac:dyDescent="0.2">
      <c r="A21" s="451"/>
      <c r="B21" s="527">
        <v>44208</v>
      </c>
      <c r="C21" s="526" t="s">
        <v>1138</v>
      </c>
      <c r="D21" s="525" t="s">
        <v>1108</v>
      </c>
      <c r="E21" s="527">
        <v>44197</v>
      </c>
      <c r="F21" s="529" t="s">
        <v>1152</v>
      </c>
      <c r="G21" s="525" t="s">
        <v>1471</v>
      </c>
      <c r="H21" s="340">
        <v>46.86363636363636</v>
      </c>
      <c r="I21" s="531" t="s">
        <v>1141</v>
      </c>
      <c r="J21" s="525">
        <v>3000</v>
      </c>
      <c r="K21" s="525">
        <v>6000</v>
      </c>
      <c r="L21" s="525">
        <v>9000</v>
      </c>
      <c r="M21" s="525">
        <v>15000</v>
      </c>
      <c r="N21" s="525"/>
      <c r="O21" s="340">
        <v>1.9818181818181817</v>
      </c>
      <c r="P21" s="340">
        <v>1.7363636363636361</v>
      </c>
      <c r="Q21" s="340">
        <v>1.4999999999999998</v>
      </c>
      <c r="R21" s="532">
        <v>1.3818181818181816</v>
      </c>
      <c r="S21" s="532">
        <v>1.3181818181818181</v>
      </c>
      <c r="T21" s="532"/>
      <c r="U21" s="532">
        <v>1.7999999999999998</v>
      </c>
      <c r="V21" s="532">
        <v>1.6818181818181817</v>
      </c>
      <c r="W21" s="532">
        <v>1.4999999999999998</v>
      </c>
      <c r="X21" s="532">
        <v>1.3818181818181816</v>
      </c>
      <c r="Y21" s="532">
        <v>1.2636363636363634</v>
      </c>
      <c r="Z21" s="533"/>
      <c r="AA21" s="532"/>
      <c r="AB21" s="532"/>
      <c r="AC21" s="532"/>
      <c r="AD21" s="532"/>
      <c r="AE21" s="532"/>
      <c r="AF21" s="532"/>
      <c r="AG21" s="528" t="s">
        <v>1143</v>
      </c>
      <c r="AH21" s="528" t="s">
        <v>1144</v>
      </c>
      <c r="AI21" s="333">
        <v>3</v>
      </c>
      <c r="AJ21" s="333">
        <v>3</v>
      </c>
      <c r="AK21" s="480">
        <v>0.5</v>
      </c>
      <c r="AL21" s="480">
        <v>0.5</v>
      </c>
      <c r="AM21" s="525" t="s">
        <v>1118</v>
      </c>
      <c r="AN21" s="528">
        <v>0</v>
      </c>
      <c r="AO21" s="528">
        <v>0</v>
      </c>
      <c r="AP21" s="528">
        <v>0</v>
      </c>
      <c r="AQ21" s="528">
        <v>0</v>
      </c>
      <c r="AR21" s="528">
        <v>0</v>
      </c>
      <c r="AS21" s="528">
        <v>0</v>
      </c>
      <c r="AT21" s="528">
        <v>0</v>
      </c>
      <c r="AU21" s="528">
        <v>0</v>
      </c>
      <c r="AV21" s="528">
        <v>0</v>
      </c>
      <c r="AW21" s="528">
        <v>0</v>
      </c>
      <c r="AX21" s="528">
        <v>0</v>
      </c>
      <c r="AY21" s="528">
        <v>0</v>
      </c>
      <c r="AZ21" s="528"/>
      <c r="BA21" s="528" t="s">
        <v>1145</v>
      </c>
      <c r="BB21" s="528"/>
      <c r="BC21" s="528" t="s">
        <v>1145</v>
      </c>
      <c r="BD21" s="528"/>
      <c r="BE21" s="528"/>
      <c r="BF21" s="564"/>
      <c r="BG21" s="529"/>
      <c r="BH21" s="525"/>
      <c r="BI21" s="528"/>
      <c r="BJ21" s="528" t="s">
        <v>1146</v>
      </c>
      <c r="BK21" s="528">
        <v>1</v>
      </c>
      <c r="BL21" s="529"/>
      <c r="BM21" s="530" t="s">
        <v>1485</v>
      </c>
      <c r="BN21" s="525" t="s">
        <v>1121</v>
      </c>
    </row>
    <row r="22" spans="1:66" ht="13" customHeight="1" x14ac:dyDescent="0.2">
      <c r="A22" s="451">
        <v>2313</v>
      </c>
      <c r="B22" s="527">
        <v>44208</v>
      </c>
      <c r="C22" s="526" t="s">
        <v>1138</v>
      </c>
      <c r="D22" s="525" t="s">
        <v>1108</v>
      </c>
      <c r="E22" s="527">
        <v>44201</v>
      </c>
      <c r="F22" s="529" t="s">
        <v>1286</v>
      </c>
      <c r="G22" s="525" t="s">
        <v>418</v>
      </c>
      <c r="H22" s="340">
        <v>77.999999999999986</v>
      </c>
      <c r="I22" s="531" t="s">
        <v>1141</v>
      </c>
      <c r="J22" s="525">
        <v>3000</v>
      </c>
      <c r="K22" s="525">
        <v>6000</v>
      </c>
      <c r="L22" s="525">
        <v>9000</v>
      </c>
      <c r="M22" s="525">
        <v>15000</v>
      </c>
      <c r="N22" s="525"/>
      <c r="O22" s="340">
        <v>2.9</v>
      </c>
      <c r="P22" s="340">
        <v>2.6090909090909089</v>
      </c>
      <c r="Q22" s="340">
        <v>2.4</v>
      </c>
      <c r="R22" s="532">
        <v>2.1999999999999997</v>
      </c>
      <c r="S22" s="532">
        <v>2</v>
      </c>
      <c r="T22" s="532"/>
      <c r="U22" s="532">
        <v>2.7</v>
      </c>
      <c r="V22" s="532">
        <v>2.5363636363636362</v>
      </c>
      <c r="W22" s="532">
        <v>2.1</v>
      </c>
      <c r="X22" s="532">
        <v>1.8999999999999997</v>
      </c>
      <c r="Y22" s="532">
        <v>1.7</v>
      </c>
      <c r="Z22" s="533"/>
      <c r="AA22" s="532"/>
      <c r="AB22" s="532"/>
      <c r="AC22" s="532"/>
      <c r="AD22" s="532"/>
      <c r="AE22" s="532"/>
      <c r="AF22" s="532"/>
      <c r="AG22" s="528" t="s">
        <v>1143</v>
      </c>
      <c r="AH22" s="528" t="s">
        <v>1144</v>
      </c>
      <c r="AI22" s="333">
        <v>3</v>
      </c>
      <c r="AJ22" s="333">
        <v>3</v>
      </c>
      <c r="AK22" s="480">
        <v>0.5</v>
      </c>
      <c r="AL22" s="480">
        <v>0.5</v>
      </c>
      <c r="AM22" s="525" t="s">
        <v>1118</v>
      </c>
      <c r="AN22" s="528">
        <v>0</v>
      </c>
      <c r="AO22" s="528">
        <v>16</v>
      </c>
      <c r="AP22" s="528">
        <v>0</v>
      </c>
      <c r="AQ22" s="528">
        <v>0</v>
      </c>
      <c r="AR22" s="528">
        <v>0</v>
      </c>
      <c r="AS22" s="528">
        <v>0</v>
      </c>
      <c r="AT22" s="528">
        <v>0</v>
      </c>
      <c r="AU22" s="528">
        <v>0</v>
      </c>
      <c r="AV22" s="528">
        <v>0</v>
      </c>
      <c r="AW22" s="528">
        <v>0</v>
      </c>
      <c r="AX22" s="528">
        <v>0</v>
      </c>
      <c r="AY22" s="528">
        <v>0</v>
      </c>
      <c r="AZ22" s="528"/>
      <c r="BA22" s="528" t="s">
        <v>1145</v>
      </c>
      <c r="BB22" s="528"/>
      <c r="BC22" s="528" t="s">
        <v>1145</v>
      </c>
      <c r="BD22" s="528"/>
      <c r="BE22" s="528"/>
      <c r="BF22" s="564"/>
      <c r="BG22" s="529"/>
      <c r="BH22" s="525"/>
      <c r="BI22" s="528"/>
      <c r="BJ22" s="528" t="s">
        <v>1146</v>
      </c>
      <c r="BK22" s="528">
        <v>1</v>
      </c>
      <c r="BL22" s="529"/>
      <c r="BM22" s="530" t="s">
        <v>1473</v>
      </c>
      <c r="BN22" s="525" t="s">
        <v>408</v>
      </c>
    </row>
    <row r="23" spans="1:66" ht="13" customHeight="1" x14ac:dyDescent="0.2">
      <c r="A23" s="451">
        <v>2546</v>
      </c>
      <c r="B23" s="527">
        <v>44208</v>
      </c>
      <c r="C23" s="526" t="s">
        <v>1138</v>
      </c>
      <c r="D23" s="525" t="s">
        <v>1108</v>
      </c>
      <c r="E23" s="527">
        <v>44028</v>
      </c>
      <c r="F23" s="529" t="s">
        <v>1052</v>
      </c>
      <c r="G23" s="525" t="s">
        <v>1181</v>
      </c>
      <c r="H23" s="340">
        <v>52.527272727272724</v>
      </c>
      <c r="I23" s="531" t="s">
        <v>1141</v>
      </c>
      <c r="J23" s="525">
        <v>3000</v>
      </c>
      <c r="K23" s="525">
        <v>6000</v>
      </c>
      <c r="L23" s="525">
        <v>9000</v>
      </c>
      <c r="M23" s="525">
        <v>15000</v>
      </c>
      <c r="N23" s="525"/>
      <c r="O23" s="340">
        <v>2.6363636363636362</v>
      </c>
      <c r="P23" s="340">
        <v>2.3545454545454541</v>
      </c>
      <c r="Q23" s="340">
        <v>2.1181818181818182</v>
      </c>
      <c r="R23" s="532">
        <v>2</v>
      </c>
      <c r="S23" s="532">
        <v>1.9636363636363636</v>
      </c>
      <c r="T23" s="532"/>
      <c r="U23" s="532">
        <v>2.5181818181818181</v>
      </c>
      <c r="V23" s="532">
        <v>2.2818181818181813</v>
      </c>
      <c r="W23" s="532">
        <v>2.0818181818181816</v>
      </c>
      <c r="X23" s="532">
        <v>1.9727272727272724</v>
      </c>
      <c r="Y23" s="532">
        <v>1.9454545454545453</v>
      </c>
      <c r="Z23" s="533"/>
      <c r="AA23" s="532"/>
      <c r="AB23" s="532"/>
      <c r="AC23" s="532"/>
      <c r="AD23" s="532"/>
      <c r="AE23" s="532"/>
      <c r="AF23" s="532"/>
      <c r="AG23" s="528" t="s">
        <v>1143</v>
      </c>
      <c r="AH23" s="528" t="s">
        <v>1144</v>
      </c>
      <c r="AI23" s="333">
        <v>3</v>
      </c>
      <c r="AJ23" s="333">
        <v>3</v>
      </c>
      <c r="AK23" s="480">
        <v>0.5</v>
      </c>
      <c r="AL23" s="480">
        <v>0.5</v>
      </c>
      <c r="AM23" s="525" t="s">
        <v>1118</v>
      </c>
      <c r="AN23" s="528">
        <v>0</v>
      </c>
      <c r="AO23" s="528">
        <v>0</v>
      </c>
      <c r="AP23" s="528">
        <v>0</v>
      </c>
      <c r="AQ23" s="528">
        <v>0</v>
      </c>
      <c r="AR23" s="528">
        <v>0</v>
      </c>
      <c r="AS23" s="528">
        <v>0</v>
      </c>
      <c r="AT23" s="528">
        <v>0</v>
      </c>
      <c r="AU23" s="528">
        <v>0</v>
      </c>
      <c r="AV23" s="528">
        <v>0</v>
      </c>
      <c r="AW23" s="528">
        <v>0</v>
      </c>
      <c r="AX23" s="528">
        <v>0</v>
      </c>
      <c r="AY23" s="528">
        <v>0</v>
      </c>
      <c r="AZ23" s="528"/>
      <c r="BA23" s="528" t="s">
        <v>1145</v>
      </c>
      <c r="BB23" s="528"/>
      <c r="BC23" s="528" t="s">
        <v>1145</v>
      </c>
      <c r="BD23" s="528"/>
      <c r="BE23" s="528"/>
      <c r="BF23" s="564"/>
      <c r="BG23" s="529"/>
      <c r="BH23" s="525"/>
      <c r="BI23" s="528"/>
      <c r="BJ23" s="528" t="s">
        <v>1146</v>
      </c>
      <c r="BK23" s="528"/>
      <c r="BL23" s="529"/>
      <c r="BM23" s="530" t="s">
        <v>1155</v>
      </c>
      <c r="BN23" s="525" t="s">
        <v>368</v>
      </c>
    </row>
    <row r="24" spans="1:66" ht="13" customHeight="1" x14ac:dyDescent="0.2">
      <c r="A24" s="451">
        <v>2114</v>
      </c>
      <c r="B24" s="527">
        <v>44208</v>
      </c>
      <c r="C24" s="526" t="s">
        <v>1138</v>
      </c>
      <c r="D24" s="525" t="s">
        <v>1108</v>
      </c>
      <c r="E24" s="527">
        <v>44197</v>
      </c>
      <c r="F24" s="529" t="s">
        <v>1156</v>
      </c>
      <c r="G24" s="525" t="s">
        <v>1157</v>
      </c>
      <c r="H24" s="340">
        <v>80.999999999999986</v>
      </c>
      <c r="I24" s="531" t="s">
        <v>1141</v>
      </c>
      <c r="J24" s="525">
        <v>3000</v>
      </c>
      <c r="K24" s="525">
        <v>6000</v>
      </c>
      <c r="L24" s="525">
        <v>9000</v>
      </c>
      <c r="M24" s="525">
        <v>15000</v>
      </c>
      <c r="N24" s="525"/>
      <c r="O24" s="340">
        <v>3.1</v>
      </c>
      <c r="P24" s="340">
        <v>2.5727272727272728</v>
      </c>
      <c r="Q24" s="340">
        <v>2.1090909090909089</v>
      </c>
      <c r="R24" s="532">
        <v>1.918181818181818</v>
      </c>
      <c r="S24" s="532">
        <v>1.7909090909090908</v>
      </c>
      <c r="T24" s="532"/>
      <c r="U24" s="532">
        <v>2.9090909090909092</v>
      </c>
      <c r="V24" s="532">
        <v>2.4545454545454546</v>
      </c>
      <c r="W24" s="532">
        <v>1.9909090909090907</v>
      </c>
      <c r="X24" s="532">
        <v>1.8363636363636362</v>
      </c>
      <c r="Y24" s="532">
        <v>1.7636363636363634</v>
      </c>
      <c r="Z24" s="533"/>
      <c r="AA24" s="532"/>
      <c r="AB24" s="532"/>
      <c r="AC24" s="532"/>
      <c r="AD24" s="532"/>
      <c r="AE24" s="532"/>
      <c r="AF24" s="532"/>
      <c r="AG24" s="528" t="s">
        <v>1143</v>
      </c>
      <c r="AH24" s="528" t="s">
        <v>1144</v>
      </c>
      <c r="AI24" s="333">
        <v>2</v>
      </c>
      <c r="AJ24" s="333">
        <v>4</v>
      </c>
      <c r="AK24" s="480">
        <v>0.33329999999999999</v>
      </c>
      <c r="AL24" s="480">
        <v>0.66659999999999997</v>
      </c>
      <c r="AM24" s="525" t="s">
        <v>1124</v>
      </c>
      <c r="AN24" s="528">
        <v>27</v>
      </c>
      <c r="AO24" s="528">
        <v>0</v>
      </c>
      <c r="AP24" s="528">
        <v>0</v>
      </c>
      <c r="AQ24" s="528">
        <v>0</v>
      </c>
      <c r="AR24" s="528">
        <v>0</v>
      </c>
      <c r="AS24" s="528">
        <v>0</v>
      </c>
      <c r="AT24" s="528">
        <v>0</v>
      </c>
      <c r="AU24" s="528">
        <v>0</v>
      </c>
      <c r="AV24" s="528">
        <v>0</v>
      </c>
      <c r="AW24" s="528">
        <v>0</v>
      </c>
      <c r="AX24" s="528">
        <v>0</v>
      </c>
      <c r="AY24" s="528">
        <v>0</v>
      </c>
      <c r="AZ24" s="528">
        <v>12</v>
      </c>
      <c r="BA24" s="528" t="s">
        <v>1145</v>
      </c>
      <c r="BB24" s="528">
        <v>12</v>
      </c>
      <c r="BC24" s="528" t="s">
        <v>1145</v>
      </c>
      <c r="BD24" s="528"/>
      <c r="BE24" s="528">
        <v>12</v>
      </c>
      <c r="BF24" s="564"/>
      <c r="BG24" s="529"/>
      <c r="BH24" s="525"/>
      <c r="BI24" s="528"/>
      <c r="BJ24" s="528" t="s">
        <v>1146</v>
      </c>
      <c r="BK24" s="528"/>
      <c r="BL24" s="529"/>
      <c r="BM24" s="530" t="s">
        <v>1486</v>
      </c>
      <c r="BN24" s="525" t="s">
        <v>408</v>
      </c>
    </row>
    <row r="25" spans="1:66" ht="13" customHeight="1" x14ac:dyDescent="0.2">
      <c r="A25" s="451">
        <v>2878</v>
      </c>
      <c r="B25" s="527">
        <v>44208</v>
      </c>
      <c r="C25" s="526" t="s">
        <v>1138</v>
      </c>
      <c r="D25" s="525" t="s">
        <v>1108</v>
      </c>
      <c r="E25" s="527">
        <v>44197</v>
      </c>
      <c r="F25" s="529" t="s">
        <v>1159</v>
      </c>
      <c r="G25" s="525" t="s">
        <v>1105</v>
      </c>
      <c r="H25" s="340">
        <v>63.054545454545448</v>
      </c>
      <c r="I25" s="531" t="s">
        <v>1141</v>
      </c>
      <c r="J25" s="525">
        <v>3000</v>
      </c>
      <c r="K25" s="525">
        <v>6000</v>
      </c>
      <c r="L25" s="525">
        <v>9000</v>
      </c>
      <c r="M25" s="525">
        <v>15000</v>
      </c>
      <c r="N25" s="525"/>
      <c r="O25" s="340">
        <v>1.7999999999999998</v>
      </c>
      <c r="P25" s="340">
        <v>1.7818181818181817</v>
      </c>
      <c r="Q25" s="340">
        <v>1.6363636363636362</v>
      </c>
      <c r="R25" s="532">
        <v>1.5727272727272725</v>
      </c>
      <c r="S25" s="532">
        <v>1.5363636363636362</v>
      </c>
      <c r="T25" s="532"/>
      <c r="U25" s="532">
        <v>1.7818181818181817</v>
      </c>
      <c r="V25" s="532">
        <v>1.7727272727272725</v>
      </c>
      <c r="W25" s="532">
        <v>1.6181818181818182</v>
      </c>
      <c r="X25" s="532">
        <v>1.5454545454545452</v>
      </c>
      <c r="Y25" s="532">
        <v>1.5090909090909088</v>
      </c>
      <c r="Z25" s="533"/>
      <c r="AA25" s="532"/>
      <c r="AB25" s="532"/>
      <c r="AC25" s="532"/>
      <c r="AD25" s="532"/>
      <c r="AE25" s="532"/>
      <c r="AF25" s="532"/>
      <c r="AG25" s="528" t="s">
        <v>1143</v>
      </c>
      <c r="AH25" s="528" t="s">
        <v>1144</v>
      </c>
      <c r="AI25" s="333">
        <v>3</v>
      </c>
      <c r="AJ25" s="333">
        <v>3</v>
      </c>
      <c r="AK25" s="480">
        <v>0.5</v>
      </c>
      <c r="AL25" s="480">
        <v>0.5</v>
      </c>
      <c r="AM25" s="525" t="s">
        <v>1118</v>
      </c>
      <c r="AN25" s="528">
        <v>0</v>
      </c>
      <c r="AO25" s="528">
        <v>0</v>
      </c>
      <c r="AP25" s="528">
        <v>0</v>
      </c>
      <c r="AQ25" s="528">
        <v>0</v>
      </c>
      <c r="AR25" s="528">
        <v>0</v>
      </c>
      <c r="AS25" s="528">
        <v>0</v>
      </c>
      <c r="AT25" s="528">
        <v>0</v>
      </c>
      <c r="AU25" s="528">
        <v>0</v>
      </c>
      <c r="AV25" s="528">
        <v>0</v>
      </c>
      <c r="AW25" s="528">
        <v>0</v>
      </c>
      <c r="AX25" s="528">
        <v>0</v>
      </c>
      <c r="AY25" s="528">
        <v>0</v>
      </c>
      <c r="AZ25" s="528"/>
      <c r="BA25" s="528" t="s">
        <v>1145</v>
      </c>
      <c r="BB25" s="528"/>
      <c r="BC25" s="528" t="s">
        <v>1145</v>
      </c>
      <c r="BD25" s="528"/>
      <c r="BE25" s="528"/>
      <c r="BF25" s="564">
        <v>44651</v>
      </c>
      <c r="BG25" s="529"/>
      <c r="BH25" s="525"/>
      <c r="BI25" s="528"/>
      <c r="BJ25" s="528" t="s">
        <v>1146</v>
      </c>
      <c r="BK25" s="528"/>
      <c r="BL25" s="529"/>
      <c r="BM25" s="530" t="s">
        <v>1488</v>
      </c>
      <c r="BN25" s="525" t="s">
        <v>408</v>
      </c>
    </row>
    <row r="26" spans="1:66" ht="13" customHeight="1" x14ac:dyDescent="0.2">
      <c r="A26" s="451">
        <v>313</v>
      </c>
      <c r="B26" s="527">
        <v>44208</v>
      </c>
      <c r="C26" s="526" t="s">
        <v>1138</v>
      </c>
      <c r="D26" s="525" t="s">
        <v>1108</v>
      </c>
      <c r="E26" s="527">
        <v>44197</v>
      </c>
      <c r="F26" s="529" t="s">
        <v>1160</v>
      </c>
      <c r="G26" s="525" t="s">
        <v>1161</v>
      </c>
      <c r="H26" s="340">
        <v>81.199999999999989</v>
      </c>
      <c r="I26" s="531" t="s">
        <v>1141</v>
      </c>
      <c r="J26" s="525">
        <v>3000</v>
      </c>
      <c r="K26" s="525">
        <v>6000</v>
      </c>
      <c r="L26" s="525">
        <v>9000</v>
      </c>
      <c r="M26" s="525">
        <v>15000</v>
      </c>
      <c r="N26" s="525"/>
      <c r="O26" s="340">
        <v>2.2999999999999998</v>
      </c>
      <c r="P26" s="340">
        <v>2.1</v>
      </c>
      <c r="Q26" s="340">
        <v>1.7999999999999998</v>
      </c>
      <c r="R26" s="532">
        <v>1.7</v>
      </c>
      <c r="S26" s="532">
        <v>1.7</v>
      </c>
      <c r="T26" s="532"/>
      <c r="U26" s="532">
        <v>2.1</v>
      </c>
      <c r="V26" s="532">
        <v>2</v>
      </c>
      <c r="W26" s="532">
        <v>1.7</v>
      </c>
      <c r="X26" s="532">
        <v>1.5999999999999999</v>
      </c>
      <c r="Y26" s="532">
        <v>1.5999999999999999</v>
      </c>
      <c r="Z26" s="533"/>
      <c r="AA26" s="532"/>
      <c r="AB26" s="532"/>
      <c r="AC26" s="532"/>
      <c r="AD26" s="532"/>
      <c r="AE26" s="532"/>
      <c r="AF26" s="532"/>
      <c r="AG26" s="528" t="s">
        <v>1143</v>
      </c>
      <c r="AH26" s="528" t="s">
        <v>1144</v>
      </c>
      <c r="AI26" s="333">
        <v>3</v>
      </c>
      <c r="AJ26" s="333">
        <v>3</v>
      </c>
      <c r="AK26" s="480">
        <v>0.5</v>
      </c>
      <c r="AL26" s="480">
        <v>0.5</v>
      </c>
      <c r="AM26" s="525" t="s">
        <v>1118</v>
      </c>
      <c r="AN26" s="528">
        <v>0</v>
      </c>
      <c r="AO26" s="528">
        <v>0</v>
      </c>
      <c r="AP26" s="528">
        <v>0</v>
      </c>
      <c r="AQ26" s="528">
        <v>0</v>
      </c>
      <c r="AR26" s="528">
        <v>0</v>
      </c>
      <c r="AS26" s="528">
        <v>0</v>
      </c>
      <c r="AT26" s="528">
        <v>0</v>
      </c>
      <c r="AU26" s="528">
        <v>0</v>
      </c>
      <c r="AV26" s="528">
        <v>0</v>
      </c>
      <c r="AW26" s="528">
        <v>0</v>
      </c>
      <c r="AX26" s="528">
        <v>0</v>
      </c>
      <c r="AY26" s="528">
        <v>0</v>
      </c>
      <c r="AZ26" s="528"/>
      <c r="BA26" s="528" t="s">
        <v>1145</v>
      </c>
      <c r="BB26" s="528"/>
      <c r="BC26" s="528" t="s">
        <v>1145</v>
      </c>
      <c r="BD26" s="528"/>
      <c r="BE26" s="528"/>
      <c r="BF26" s="564"/>
      <c r="BG26" s="529"/>
      <c r="BH26" s="525"/>
      <c r="BI26" s="528"/>
      <c r="BJ26" s="528" t="s">
        <v>4</v>
      </c>
      <c r="BK26" s="528"/>
      <c r="BL26" s="529"/>
      <c r="BM26" s="530" t="s">
        <v>1489</v>
      </c>
      <c r="BN26" s="525" t="s">
        <v>408</v>
      </c>
    </row>
    <row r="27" spans="1:66" ht="13" customHeight="1" x14ac:dyDescent="0.2">
      <c r="A27" s="451">
        <v>2854</v>
      </c>
      <c r="B27" s="527">
        <v>44208</v>
      </c>
      <c r="C27" s="526" t="s">
        <v>1138</v>
      </c>
      <c r="D27" s="525" t="s">
        <v>1108</v>
      </c>
      <c r="E27" s="527">
        <v>44197</v>
      </c>
      <c r="F27" s="529" t="s">
        <v>1166</v>
      </c>
      <c r="G27" s="525" t="s">
        <v>1478</v>
      </c>
      <c r="H27" s="340">
        <v>55.945454545454538</v>
      </c>
      <c r="I27" s="531" t="s">
        <v>1141</v>
      </c>
      <c r="J27" s="525">
        <v>6000</v>
      </c>
      <c r="K27" s="525">
        <v>9000</v>
      </c>
      <c r="L27" s="525">
        <v>9000</v>
      </c>
      <c r="M27" s="525">
        <v>9000</v>
      </c>
      <c r="N27" s="525"/>
      <c r="O27" s="340">
        <v>1.9272727272727272</v>
      </c>
      <c r="P27" s="340">
        <v>1.5636363636363635</v>
      </c>
      <c r="Q27" s="340">
        <v>0</v>
      </c>
      <c r="R27" s="532">
        <v>0</v>
      </c>
      <c r="S27" s="532">
        <v>1.1636363636363636</v>
      </c>
      <c r="T27" s="532"/>
      <c r="U27" s="532">
        <v>1.7636363636363634</v>
      </c>
      <c r="V27" s="532">
        <v>1.4</v>
      </c>
      <c r="W27" s="532">
        <v>0</v>
      </c>
      <c r="X27" s="532">
        <v>0</v>
      </c>
      <c r="Y27" s="532">
        <v>1.0818181818181818</v>
      </c>
      <c r="Z27" s="533"/>
      <c r="AA27" s="532"/>
      <c r="AB27" s="532"/>
      <c r="AC27" s="532"/>
      <c r="AD27" s="532"/>
      <c r="AE27" s="532"/>
      <c r="AF27" s="532"/>
      <c r="AG27" s="528" t="s">
        <v>1143</v>
      </c>
      <c r="AH27" s="528" t="s">
        <v>1144</v>
      </c>
      <c r="AI27" s="333">
        <v>3</v>
      </c>
      <c r="AJ27" s="333">
        <v>3</v>
      </c>
      <c r="AK27" s="480">
        <v>0.5</v>
      </c>
      <c r="AL27" s="480">
        <v>0.5</v>
      </c>
      <c r="AM27" s="525" t="s">
        <v>1118</v>
      </c>
      <c r="AN27" s="528">
        <v>0</v>
      </c>
      <c r="AO27" s="528">
        <v>0</v>
      </c>
      <c r="AP27" s="528">
        <v>0</v>
      </c>
      <c r="AQ27" s="528">
        <v>0</v>
      </c>
      <c r="AR27" s="528">
        <v>0</v>
      </c>
      <c r="AS27" s="528">
        <v>0</v>
      </c>
      <c r="AT27" s="528">
        <v>0</v>
      </c>
      <c r="AU27" s="528">
        <v>0</v>
      </c>
      <c r="AV27" s="528">
        <v>0</v>
      </c>
      <c r="AW27" s="528">
        <v>0</v>
      </c>
      <c r="AX27" s="528">
        <v>0</v>
      </c>
      <c r="AY27" s="528">
        <v>0</v>
      </c>
      <c r="AZ27" s="528"/>
      <c r="BA27" s="528" t="s">
        <v>1145</v>
      </c>
      <c r="BB27" s="528">
        <v>12</v>
      </c>
      <c r="BC27" s="528" t="s">
        <v>1145</v>
      </c>
      <c r="BD27" s="528"/>
      <c r="BE27" s="528">
        <v>12</v>
      </c>
      <c r="BF27" s="564"/>
      <c r="BG27" s="529"/>
      <c r="BH27" s="525"/>
      <c r="BI27" s="528"/>
      <c r="BJ27" s="528" t="s">
        <v>1146</v>
      </c>
      <c r="BK27" s="528"/>
      <c r="BL27" s="529"/>
      <c r="BM27" s="530" t="s">
        <v>1490</v>
      </c>
      <c r="BN27" s="525" t="s">
        <v>408</v>
      </c>
    </row>
    <row r="28" spans="1:66" ht="13" customHeight="1" x14ac:dyDescent="0.2">
      <c r="A28" s="451">
        <v>2395</v>
      </c>
      <c r="B28" s="527">
        <v>44208</v>
      </c>
      <c r="C28" s="526" t="s">
        <v>1138</v>
      </c>
      <c r="D28" s="525" t="s">
        <v>1108</v>
      </c>
      <c r="E28" s="527">
        <v>44197</v>
      </c>
      <c r="F28" s="529" t="s">
        <v>1168</v>
      </c>
      <c r="G28" s="525" t="s">
        <v>1297</v>
      </c>
      <c r="H28" s="340">
        <v>65.518181818181802</v>
      </c>
      <c r="I28" s="531" t="s">
        <v>1141</v>
      </c>
      <c r="J28" s="525">
        <v>3000</v>
      </c>
      <c r="K28" s="525">
        <v>6000</v>
      </c>
      <c r="L28" s="525">
        <v>9000</v>
      </c>
      <c r="M28" s="525">
        <v>15000</v>
      </c>
      <c r="N28" s="525"/>
      <c r="O28" s="340">
        <v>2.0636363636363635</v>
      </c>
      <c r="P28" s="340">
        <v>1.9363636363636361</v>
      </c>
      <c r="Q28" s="340">
        <v>1.7090909090909088</v>
      </c>
      <c r="R28" s="532">
        <v>1.6181818181818182</v>
      </c>
      <c r="S28" s="532">
        <v>1.5272727272727271</v>
      </c>
      <c r="T28" s="532"/>
      <c r="U28" s="532">
        <v>1.9636363636363636</v>
      </c>
      <c r="V28" s="532">
        <v>1.7999999999999998</v>
      </c>
      <c r="W28" s="532">
        <v>1.6181818181818182</v>
      </c>
      <c r="X28" s="532">
        <v>1.5272727272727271</v>
      </c>
      <c r="Y28" s="532">
        <v>1.4818181818181817</v>
      </c>
      <c r="Z28" s="533"/>
      <c r="AA28" s="532"/>
      <c r="AB28" s="532"/>
      <c r="AC28" s="532"/>
      <c r="AD28" s="532"/>
      <c r="AE28" s="532"/>
      <c r="AF28" s="532"/>
      <c r="AG28" s="528" t="s">
        <v>1143</v>
      </c>
      <c r="AH28" s="528" t="s">
        <v>1144</v>
      </c>
      <c r="AI28" s="333">
        <v>3</v>
      </c>
      <c r="AJ28" s="333">
        <v>3</v>
      </c>
      <c r="AK28" s="480">
        <v>0.5</v>
      </c>
      <c r="AL28" s="480">
        <v>0.5</v>
      </c>
      <c r="AM28" s="525" t="s">
        <v>1118</v>
      </c>
      <c r="AN28" s="528">
        <v>0</v>
      </c>
      <c r="AO28" s="528">
        <v>0</v>
      </c>
      <c r="AP28" s="528">
        <v>0</v>
      </c>
      <c r="AQ28" s="528">
        <v>0</v>
      </c>
      <c r="AR28" s="528">
        <v>0</v>
      </c>
      <c r="AS28" s="528">
        <v>0</v>
      </c>
      <c r="AT28" s="528">
        <v>0</v>
      </c>
      <c r="AU28" s="528">
        <v>0</v>
      </c>
      <c r="AV28" s="528">
        <v>0</v>
      </c>
      <c r="AW28" s="528">
        <v>0</v>
      </c>
      <c r="AX28" s="528">
        <v>0</v>
      </c>
      <c r="AY28" s="528">
        <v>0</v>
      </c>
      <c r="AZ28" s="528"/>
      <c r="BA28" s="528" t="s">
        <v>1145</v>
      </c>
      <c r="BB28" s="528"/>
      <c r="BC28" s="528" t="s">
        <v>1145</v>
      </c>
      <c r="BD28" s="528"/>
      <c r="BE28" s="528"/>
      <c r="BF28" s="564"/>
      <c r="BG28" s="529"/>
      <c r="BH28" s="525"/>
      <c r="BI28" s="528"/>
      <c r="BJ28" s="528" t="s">
        <v>1146</v>
      </c>
      <c r="BK28" s="528"/>
      <c r="BL28" s="529"/>
      <c r="BM28" s="530" t="s">
        <v>1491</v>
      </c>
      <c r="BN28" s="525" t="s">
        <v>408</v>
      </c>
    </row>
    <row r="29" spans="1:66" ht="13" customHeight="1" x14ac:dyDescent="0.2">
      <c r="A29" s="451"/>
      <c r="B29" s="527">
        <v>44229</v>
      </c>
      <c r="C29" s="526" t="s">
        <v>1138</v>
      </c>
      <c r="D29" s="525" t="s">
        <v>1108</v>
      </c>
      <c r="E29" s="527">
        <v>44197</v>
      </c>
      <c r="F29" s="529" t="s">
        <v>1169</v>
      </c>
      <c r="G29" s="525" t="s">
        <v>1561</v>
      </c>
      <c r="H29" s="340">
        <v>83.672727272727272</v>
      </c>
      <c r="I29" s="531" t="s">
        <v>1141</v>
      </c>
      <c r="J29" s="525">
        <v>3000</v>
      </c>
      <c r="K29" s="525">
        <v>6000</v>
      </c>
      <c r="L29" s="525">
        <v>9000</v>
      </c>
      <c r="M29" s="525">
        <v>15000</v>
      </c>
      <c r="N29" s="525"/>
      <c r="O29" s="340">
        <v>2.4700000000000002</v>
      </c>
      <c r="P29" s="340">
        <v>2.14</v>
      </c>
      <c r="Q29" s="340">
        <v>1.81</v>
      </c>
      <c r="R29" s="532">
        <v>1.64</v>
      </c>
      <c r="S29" s="532">
        <v>1.59</v>
      </c>
      <c r="T29" s="532"/>
      <c r="U29" s="532">
        <v>2.336363636363636</v>
      </c>
      <c r="V29" s="532">
        <v>2.0363636363636366</v>
      </c>
      <c r="W29" s="532">
        <v>1.7636363636363634</v>
      </c>
      <c r="X29" s="532">
        <v>1.6090909090909089</v>
      </c>
      <c r="Y29" s="532">
        <v>1.5818181818181818</v>
      </c>
      <c r="Z29" s="533"/>
      <c r="AA29" s="532">
        <v>2.4363636363636365</v>
      </c>
      <c r="AB29" s="532">
        <v>2.1090909090909089</v>
      </c>
      <c r="AC29" s="532">
        <v>1.7999999999999998</v>
      </c>
      <c r="AD29" s="532">
        <v>1.6272727272727272</v>
      </c>
      <c r="AE29" s="532">
        <v>1.5909090909090908</v>
      </c>
      <c r="AF29" s="532"/>
      <c r="AG29" s="528" t="s">
        <v>1143</v>
      </c>
      <c r="AH29" s="528" t="s">
        <v>1144</v>
      </c>
      <c r="AI29" s="333">
        <v>3</v>
      </c>
      <c r="AJ29" s="333">
        <v>3</v>
      </c>
      <c r="AK29" s="480">
        <v>0.5</v>
      </c>
      <c r="AL29" s="480">
        <v>0.5</v>
      </c>
      <c r="AM29" s="525" t="s">
        <v>1123</v>
      </c>
      <c r="AN29" s="528">
        <v>21</v>
      </c>
      <c r="AO29" s="528">
        <v>0</v>
      </c>
      <c r="AP29" s="528">
        <v>0</v>
      </c>
      <c r="AQ29" s="528">
        <v>0</v>
      </c>
      <c r="AR29" s="528">
        <v>0</v>
      </c>
      <c r="AS29" s="528">
        <v>0</v>
      </c>
      <c r="AT29" s="528">
        <v>0</v>
      </c>
      <c r="AU29" s="528">
        <v>0</v>
      </c>
      <c r="AV29" s="528">
        <v>0</v>
      </c>
      <c r="AW29" s="528">
        <v>0</v>
      </c>
      <c r="AX29" s="528">
        <v>0</v>
      </c>
      <c r="AY29" s="528">
        <v>0</v>
      </c>
      <c r="AZ29" s="528"/>
      <c r="BA29" s="528" t="s">
        <v>1145</v>
      </c>
      <c r="BB29" s="528"/>
      <c r="BC29" s="528" t="s">
        <v>1145</v>
      </c>
      <c r="BD29" s="528"/>
      <c r="BE29" s="528"/>
      <c r="BF29" s="564"/>
      <c r="BG29" s="529"/>
      <c r="BH29" s="525"/>
      <c r="BI29" s="528"/>
      <c r="BJ29" s="528" t="s">
        <v>1146</v>
      </c>
      <c r="BK29" s="528"/>
      <c r="BL29" s="529"/>
      <c r="BM29" s="530"/>
      <c r="BN29" s="525" t="s">
        <v>1121</v>
      </c>
    </row>
    <row r="30" spans="1:66" ht="13" customHeight="1" x14ac:dyDescent="0.2">
      <c r="A30" s="451">
        <v>2683</v>
      </c>
      <c r="B30" s="527">
        <v>44208</v>
      </c>
      <c r="C30" s="526" t="s">
        <v>1138</v>
      </c>
      <c r="D30" s="525" t="s">
        <v>1108</v>
      </c>
      <c r="E30" s="527">
        <v>44013</v>
      </c>
      <c r="F30" s="529" t="s">
        <v>1173</v>
      </c>
      <c r="G30" s="525" t="s">
        <v>1481</v>
      </c>
      <c r="H30" s="340">
        <v>62.999999999999993</v>
      </c>
      <c r="I30" s="531" t="s">
        <v>1141</v>
      </c>
      <c r="J30" s="525">
        <v>3000</v>
      </c>
      <c r="K30" s="525">
        <v>6000</v>
      </c>
      <c r="L30" s="525">
        <v>9000</v>
      </c>
      <c r="M30" s="525">
        <v>15000</v>
      </c>
      <c r="N30" s="525"/>
      <c r="O30" s="340">
        <v>2.336363636363636</v>
      </c>
      <c r="P30" s="340">
        <v>1.9818181818181817</v>
      </c>
      <c r="Q30" s="340">
        <v>1.718181818181818</v>
      </c>
      <c r="R30" s="532">
        <v>1.3909090909090909</v>
      </c>
      <c r="S30" s="532">
        <v>1.2545454545454544</v>
      </c>
      <c r="T30" s="532"/>
      <c r="U30" s="532">
        <v>1.9818181818181817</v>
      </c>
      <c r="V30" s="532">
        <v>1.6636363636363636</v>
      </c>
      <c r="W30" s="532">
        <v>1.5636363636363635</v>
      </c>
      <c r="X30" s="532">
        <v>1.2999999999999998</v>
      </c>
      <c r="Y30" s="532">
        <v>1.0909090909090908</v>
      </c>
      <c r="Z30" s="533"/>
      <c r="AA30" s="532"/>
      <c r="AB30" s="532"/>
      <c r="AC30" s="532"/>
      <c r="AD30" s="532"/>
      <c r="AE30" s="532"/>
      <c r="AF30" s="532"/>
      <c r="AG30" s="528" t="s">
        <v>1143</v>
      </c>
      <c r="AH30" s="528" t="s">
        <v>1144</v>
      </c>
      <c r="AI30" s="333">
        <v>3</v>
      </c>
      <c r="AJ30" s="333">
        <v>3</v>
      </c>
      <c r="AK30" s="480">
        <v>0.5</v>
      </c>
      <c r="AL30" s="480">
        <v>0.5</v>
      </c>
      <c r="AM30" s="525" t="s">
        <v>1118</v>
      </c>
      <c r="AN30" s="528">
        <v>0</v>
      </c>
      <c r="AO30" s="528">
        <v>0</v>
      </c>
      <c r="AP30" s="528">
        <v>0</v>
      </c>
      <c r="AQ30" s="528">
        <v>0</v>
      </c>
      <c r="AR30" s="528">
        <v>0</v>
      </c>
      <c r="AS30" s="528">
        <v>0</v>
      </c>
      <c r="AT30" s="528">
        <v>0</v>
      </c>
      <c r="AU30" s="528">
        <v>0</v>
      </c>
      <c r="AV30" s="528">
        <v>0</v>
      </c>
      <c r="AW30" s="528">
        <v>0</v>
      </c>
      <c r="AX30" s="528">
        <v>0</v>
      </c>
      <c r="AY30" s="528">
        <v>0</v>
      </c>
      <c r="AZ30" s="528"/>
      <c r="BA30" s="528" t="s">
        <v>1145</v>
      </c>
      <c r="BB30" s="528"/>
      <c r="BC30" s="528" t="s">
        <v>1145</v>
      </c>
      <c r="BD30" s="528"/>
      <c r="BE30" s="528"/>
      <c r="BF30" s="564"/>
      <c r="BG30" s="529"/>
      <c r="BH30" s="525"/>
      <c r="BI30" s="528"/>
      <c r="BJ30" s="528" t="s">
        <v>1164</v>
      </c>
      <c r="BK30" s="528"/>
      <c r="BL30" s="529"/>
      <c r="BM30" s="530" t="s">
        <v>1492</v>
      </c>
      <c r="BN30" s="525" t="s">
        <v>368</v>
      </c>
    </row>
    <row r="31" spans="1:66" ht="13" customHeight="1" x14ac:dyDescent="0.2">
      <c r="A31" s="451">
        <v>1683</v>
      </c>
      <c r="B31" s="527">
        <v>44208</v>
      </c>
      <c r="C31" s="526" t="s">
        <v>295</v>
      </c>
      <c r="D31" s="525" t="s">
        <v>1108</v>
      </c>
      <c r="E31" s="527">
        <v>43867</v>
      </c>
      <c r="F31" s="529" t="s">
        <v>1106</v>
      </c>
      <c r="G31" s="525" t="s">
        <v>2</v>
      </c>
      <c r="H31" s="340">
        <v>65</v>
      </c>
      <c r="I31" s="531" t="s">
        <v>296</v>
      </c>
      <c r="J31" s="525">
        <v>6000</v>
      </c>
      <c r="K31" s="525">
        <v>6000</v>
      </c>
      <c r="L31" s="525">
        <v>6000</v>
      </c>
      <c r="M31" s="525">
        <v>6000</v>
      </c>
      <c r="N31" s="525"/>
      <c r="O31" s="340">
        <v>2.0636363636363635</v>
      </c>
      <c r="P31" s="340">
        <v>0</v>
      </c>
      <c r="Q31" s="340">
        <v>0</v>
      </c>
      <c r="R31" s="532">
        <v>0</v>
      </c>
      <c r="S31" s="532">
        <v>1.5272727272727271</v>
      </c>
      <c r="T31" s="532"/>
      <c r="U31" s="532">
        <v>1.9545454545454544</v>
      </c>
      <c r="V31" s="532">
        <v>0</v>
      </c>
      <c r="W31" s="532">
        <v>0</v>
      </c>
      <c r="X31" s="532">
        <v>0</v>
      </c>
      <c r="Y31" s="532">
        <v>1.5272727272727271</v>
      </c>
      <c r="Z31" s="533"/>
      <c r="AA31" s="532"/>
      <c r="AB31" s="532"/>
      <c r="AC31" s="532"/>
      <c r="AD31" s="532"/>
      <c r="AE31" s="532"/>
      <c r="AF31" s="532"/>
      <c r="AG31" s="528" t="s">
        <v>1143</v>
      </c>
      <c r="AH31" s="528" t="s">
        <v>1144</v>
      </c>
      <c r="AI31" s="333">
        <v>2</v>
      </c>
      <c r="AJ31" s="333">
        <v>4</v>
      </c>
      <c r="AK31" s="480">
        <v>0.33329999999999999</v>
      </c>
      <c r="AL31" s="480">
        <v>0.66659999999999997</v>
      </c>
      <c r="AM31" s="525" t="s">
        <v>1124</v>
      </c>
      <c r="AN31" s="528">
        <v>0</v>
      </c>
      <c r="AO31" s="528">
        <v>0</v>
      </c>
      <c r="AP31" s="528">
        <v>0</v>
      </c>
      <c r="AQ31" s="528">
        <v>0</v>
      </c>
      <c r="AR31" s="528">
        <v>0</v>
      </c>
      <c r="AS31" s="528">
        <v>0</v>
      </c>
      <c r="AT31" s="528">
        <v>0</v>
      </c>
      <c r="AU31" s="528">
        <v>0</v>
      </c>
      <c r="AV31" s="528">
        <v>0</v>
      </c>
      <c r="AW31" s="528">
        <v>0</v>
      </c>
      <c r="AX31" s="528">
        <v>0</v>
      </c>
      <c r="AY31" s="528">
        <v>0</v>
      </c>
      <c r="AZ31" s="528"/>
      <c r="BA31" s="528" t="s">
        <v>1145</v>
      </c>
      <c r="BB31" s="528"/>
      <c r="BC31" s="528" t="s">
        <v>1145</v>
      </c>
      <c r="BD31" s="528"/>
      <c r="BE31" s="528"/>
      <c r="BF31" s="564"/>
      <c r="BG31" s="529"/>
      <c r="BH31" s="525"/>
      <c r="BI31" s="528"/>
      <c r="BJ31" s="528" t="s">
        <v>1146</v>
      </c>
      <c r="BK31" s="528">
        <v>1</v>
      </c>
      <c r="BL31" s="529"/>
      <c r="BM31" s="530" t="s">
        <v>1487</v>
      </c>
      <c r="BN31" s="525" t="s">
        <v>368</v>
      </c>
    </row>
    <row r="32" spans="1:66" ht="13" customHeight="1" x14ac:dyDescent="0.2">
      <c r="A32" s="451"/>
      <c r="B32" s="527">
        <v>44211</v>
      </c>
      <c r="C32" s="526" t="s">
        <v>1138</v>
      </c>
      <c r="D32" s="525" t="s">
        <v>1108</v>
      </c>
      <c r="E32" s="527">
        <v>44228</v>
      </c>
      <c r="F32" s="529" t="s">
        <v>34</v>
      </c>
      <c r="G32" s="525" t="s">
        <v>1181</v>
      </c>
      <c r="H32" s="340">
        <v>66.054545454545448</v>
      </c>
      <c r="I32" s="531"/>
      <c r="J32" s="525"/>
      <c r="K32" s="525"/>
      <c r="L32" s="525"/>
      <c r="M32" s="525"/>
      <c r="N32" s="525"/>
      <c r="O32" s="340">
        <v>1.7363636363636361</v>
      </c>
      <c r="P32" s="340">
        <v>0</v>
      </c>
      <c r="Q32" s="340">
        <v>0</v>
      </c>
      <c r="R32" s="532">
        <v>0</v>
      </c>
      <c r="S32" s="532">
        <v>0</v>
      </c>
      <c r="T32" s="532"/>
      <c r="U32" s="532">
        <v>1.5636363636363635</v>
      </c>
      <c r="V32" s="532">
        <v>0</v>
      </c>
      <c r="W32" s="532">
        <v>0</v>
      </c>
      <c r="X32" s="532">
        <v>0</v>
      </c>
      <c r="Y32" s="532">
        <v>0</v>
      </c>
      <c r="Z32" s="533"/>
      <c r="AA32" s="532"/>
      <c r="AB32" s="532"/>
      <c r="AC32" s="532"/>
      <c r="AD32" s="532"/>
      <c r="AE32" s="532"/>
      <c r="AF32" s="532"/>
      <c r="AG32" s="528" t="s">
        <v>1143</v>
      </c>
      <c r="AH32" s="528" t="s">
        <v>1144</v>
      </c>
      <c r="AI32" s="333">
        <v>3</v>
      </c>
      <c r="AJ32" s="333">
        <v>3</v>
      </c>
      <c r="AK32" s="480">
        <v>0.5</v>
      </c>
      <c r="AL32" s="480">
        <v>0.5</v>
      </c>
      <c r="AM32" s="525" t="s">
        <v>1118</v>
      </c>
      <c r="AN32" s="528">
        <v>0</v>
      </c>
      <c r="AO32" s="528">
        <v>0</v>
      </c>
      <c r="AP32" s="528">
        <v>0</v>
      </c>
      <c r="AQ32" s="528">
        <v>0</v>
      </c>
      <c r="AR32" s="528">
        <v>0</v>
      </c>
      <c r="AS32" s="528">
        <v>0</v>
      </c>
      <c r="AT32" s="528">
        <v>0</v>
      </c>
      <c r="AU32" s="528">
        <v>0</v>
      </c>
      <c r="AV32" s="528">
        <v>0</v>
      </c>
      <c r="AW32" s="528">
        <v>0</v>
      </c>
      <c r="AX32" s="528">
        <v>0</v>
      </c>
      <c r="AY32" s="528">
        <v>0</v>
      </c>
      <c r="AZ32" s="528"/>
      <c r="BA32" s="528" t="s">
        <v>1145</v>
      </c>
      <c r="BB32" s="528"/>
      <c r="BC32" s="528" t="s">
        <v>1145</v>
      </c>
      <c r="BD32" s="528"/>
      <c r="BE32" s="528"/>
      <c r="BF32" s="564"/>
      <c r="BG32" s="529"/>
      <c r="BH32" s="525"/>
      <c r="BI32" s="528"/>
      <c r="BJ32" s="528" t="s">
        <v>1164</v>
      </c>
      <c r="BK32" s="528"/>
      <c r="BL32" s="529" t="s">
        <v>1284</v>
      </c>
      <c r="BM32" s="530" t="s">
        <v>1556</v>
      </c>
      <c r="BN32" s="525" t="s">
        <v>1121</v>
      </c>
    </row>
    <row r="33" spans="1:66" ht="13" customHeight="1" x14ac:dyDescent="0.2">
      <c r="A33" s="451">
        <v>2746</v>
      </c>
      <c r="B33" s="527">
        <v>44208</v>
      </c>
      <c r="C33" s="526" t="s">
        <v>1138</v>
      </c>
      <c r="D33" s="525" t="s">
        <v>1108</v>
      </c>
      <c r="E33" s="527">
        <v>44197</v>
      </c>
      <c r="F33" s="529" t="s">
        <v>1274</v>
      </c>
      <c r="G33" s="525" t="s">
        <v>1467</v>
      </c>
      <c r="H33" s="340">
        <v>70.999999999999986</v>
      </c>
      <c r="I33" s="531" t="s">
        <v>1141</v>
      </c>
      <c r="J33" s="525">
        <v>3000</v>
      </c>
      <c r="K33" s="525">
        <v>6000</v>
      </c>
      <c r="L33" s="525">
        <v>6000</v>
      </c>
      <c r="M33" s="525">
        <v>6000</v>
      </c>
      <c r="N33" s="525"/>
      <c r="O33" s="340">
        <v>2.4636363636363634</v>
      </c>
      <c r="P33" s="340">
        <v>2.1636363636363636</v>
      </c>
      <c r="Q33" s="340">
        <v>0</v>
      </c>
      <c r="R33" s="532">
        <v>0</v>
      </c>
      <c r="S33" s="532">
        <v>1.8181818181818181</v>
      </c>
      <c r="T33" s="532"/>
      <c r="U33" s="532">
        <v>2.4636363636363634</v>
      </c>
      <c r="V33" s="532">
        <v>2.1636363636363636</v>
      </c>
      <c r="W33" s="532">
        <v>0</v>
      </c>
      <c r="X33" s="532">
        <v>0</v>
      </c>
      <c r="Y33" s="532">
        <v>1.8181818181818181</v>
      </c>
      <c r="Z33" s="533"/>
      <c r="AA33" s="532"/>
      <c r="AB33" s="532"/>
      <c r="AC33" s="532"/>
      <c r="AD33" s="532"/>
      <c r="AE33" s="532"/>
      <c r="AF33" s="532"/>
      <c r="AG33" s="528" t="s">
        <v>1145</v>
      </c>
      <c r="AH33" s="528"/>
      <c r="AI33" s="333">
        <v>3</v>
      </c>
      <c r="AJ33" s="333">
        <v>3</v>
      </c>
      <c r="AK33" s="480">
        <v>0.5</v>
      </c>
      <c r="AL33" s="480">
        <v>0.5</v>
      </c>
      <c r="AM33" s="525"/>
      <c r="AN33" s="528">
        <v>0</v>
      </c>
      <c r="AO33" s="528">
        <v>12</v>
      </c>
      <c r="AP33" s="528">
        <v>0</v>
      </c>
      <c r="AQ33" s="528">
        <v>3</v>
      </c>
      <c r="AR33" s="528">
        <v>0</v>
      </c>
      <c r="AS33" s="528">
        <v>0</v>
      </c>
      <c r="AT33" s="528">
        <v>0</v>
      </c>
      <c r="AU33" s="528">
        <v>0</v>
      </c>
      <c r="AV33" s="528">
        <v>0</v>
      </c>
      <c r="AW33" s="528">
        <v>0</v>
      </c>
      <c r="AX33" s="528">
        <v>0</v>
      </c>
      <c r="AY33" s="528">
        <v>0</v>
      </c>
      <c r="AZ33" s="528"/>
      <c r="BA33" s="528" t="s">
        <v>1145</v>
      </c>
      <c r="BB33" s="528"/>
      <c r="BC33" s="528" t="s">
        <v>1145</v>
      </c>
      <c r="BD33" s="528"/>
      <c r="BE33" s="528"/>
      <c r="BF33" s="564"/>
      <c r="BG33" s="529"/>
      <c r="BH33" s="525"/>
      <c r="BI33" s="528"/>
      <c r="BJ33" s="528" t="s">
        <v>1164</v>
      </c>
      <c r="BK33" s="528">
        <v>1</v>
      </c>
      <c r="BL33" s="529"/>
      <c r="BM33" s="530" t="s">
        <v>1468</v>
      </c>
      <c r="BN33" s="525" t="s">
        <v>408</v>
      </c>
    </row>
    <row r="34" spans="1:66" ht="13" customHeight="1" x14ac:dyDescent="0.2">
      <c r="A34" s="451">
        <v>2339</v>
      </c>
      <c r="B34" s="527">
        <v>44210</v>
      </c>
      <c r="C34" s="526" t="s">
        <v>1138</v>
      </c>
      <c r="D34" s="525" t="s">
        <v>1108</v>
      </c>
      <c r="E34" s="527">
        <v>44228</v>
      </c>
      <c r="F34" s="529" t="s">
        <v>1291</v>
      </c>
      <c r="G34" s="525" t="s">
        <v>1181</v>
      </c>
      <c r="H34" s="340">
        <v>58.690909090909088</v>
      </c>
      <c r="I34" s="531"/>
      <c r="J34" s="525"/>
      <c r="K34" s="525"/>
      <c r="L34" s="525"/>
      <c r="M34" s="525"/>
      <c r="N34" s="525"/>
      <c r="O34" s="340">
        <v>2.0181818181818181</v>
      </c>
      <c r="P34" s="340">
        <v>0</v>
      </c>
      <c r="Q34" s="340">
        <v>0</v>
      </c>
      <c r="R34" s="532">
        <v>0</v>
      </c>
      <c r="S34" s="532">
        <v>0</v>
      </c>
      <c r="T34" s="532"/>
      <c r="U34" s="532">
        <v>1.8727272727272726</v>
      </c>
      <c r="V34" s="532">
        <v>0</v>
      </c>
      <c r="W34" s="532">
        <v>0</v>
      </c>
      <c r="X34" s="532">
        <v>0</v>
      </c>
      <c r="Y34" s="532">
        <v>0</v>
      </c>
      <c r="Z34" s="533"/>
      <c r="AA34" s="532"/>
      <c r="AB34" s="532"/>
      <c r="AC34" s="532"/>
      <c r="AD34" s="532"/>
      <c r="AE34" s="532"/>
      <c r="AF34" s="532"/>
      <c r="AG34" s="528" t="s">
        <v>1143</v>
      </c>
      <c r="AH34" s="528" t="s">
        <v>1144</v>
      </c>
      <c r="AI34" s="333">
        <v>3</v>
      </c>
      <c r="AJ34" s="333">
        <v>3</v>
      </c>
      <c r="AK34" s="480">
        <v>0.5</v>
      </c>
      <c r="AL34" s="480">
        <v>0.5</v>
      </c>
      <c r="AM34" s="525" t="s">
        <v>1118</v>
      </c>
      <c r="AN34" s="528">
        <v>0</v>
      </c>
      <c r="AO34" s="528">
        <v>0</v>
      </c>
      <c r="AP34" s="528">
        <v>0</v>
      </c>
      <c r="AQ34" s="528">
        <v>0</v>
      </c>
      <c r="AR34" s="528">
        <v>0</v>
      </c>
      <c r="AS34" s="528">
        <v>0</v>
      </c>
      <c r="AT34" s="528">
        <v>0</v>
      </c>
      <c r="AU34" s="528">
        <v>0</v>
      </c>
      <c r="AV34" s="528">
        <v>0</v>
      </c>
      <c r="AW34" s="528">
        <v>0</v>
      </c>
      <c r="AX34" s="528">
        <v>0</v>
      </c>
      <c r="AY34" s="528">
        <v>0</v>
      </c>
      <c r="AZ34" s="528"/>
      <c r="BA34" s="528" t="s">
        <v>1145</v>
      </c>
      <c r="BB34" s="528"/>
      <c r="BC34" s="528" t="s">
        <v>1145</v>
      </c>
      <c r="BD34" s="528"/>
      <c r="BE34" s="528"/>
      <c r="BF34" s="564"/>
      <c r="BG34" s="529"/>
      <c r="BH34" s="525"/>
      <c r="BI34" s="528"/>
      <c r="BJ34" s="528" t="s">
        <v>4</v>
      </c>
      <c r="BK34" s="528"/>
      <c r="BL34" s="529" t="s">
        <v>1284</v>
      </c>
      <c r="BM34" s="530" t="s">
        <v>1551</v>
      </c>
      <c r="BN34" s="525" t="s">
        <v>408</v>
      </c>
    </row>
    <row r="35" spans="1:66" ht="13" customHeight="1" x14ac:dyDescent="0.2">
      <c r="A35" s="451"/>
      <c r="B35" s="527">
        <v>44209</v>
      </c>
      <c r="C35" s="526" t="s">
        <v>10</v>
      </c>
      <c r="D35" s="525" t="s">
        <v>1108</v>
      </c>
      <c r="E35" s="527">
        <v>44153</v>
      </c>
      <c r="F35" s="529" t="s">
        <v>1483</v>
      </c>
      <c r="G35" s="525" t="s">
        <v>1550</v>
      </c>
      <c r="H35" s="340">
        <v>70</v>
      </c>
      <c r="I35" s="531" t="s">
        <v>296</v>
      </c>
      <c r="J35" s="525">
        <v>3000</v>
      </c>
      <c r="K35" s="525">
        <v>6000</v>
      </c>
      <c r="L35" s="525">
        <v>9000</v>
      </c>
      <c r="M35" s="525">
        <v>15000</v>
      </c>
      <c r="N35" s="525"/>
      <c r="O35" s="340">
        <v>1.7999999999999998</v>
      </c>
      <c r="P35" s="340">
        <v>1.5999999999999999</v>
      </c>
      <c r="Q35" s="340">
        <v>1.2999999999999998</v>
      </c>
      <c r="R35" s="532">
        <v>1.2999999999999998</v>
      </c>
      <c r="S35" s="532">
        <v>1.2</v>
      </c>
      <c r="T35" s="532"/>
      <c r="U35" s="532">
        <v>1.5999999999999999</v>
      </c>
      <c r="V35" s="532">
        <v>1.4</v>
      </c>
      <c r="W35" s="532">
        <v>1.2999999999999998</v>
      </c>
      <c r="X35" s="532">
        <v>1.2</v>
      </c>
      <c r="Y35" s="532">
        <v>1.0999999999999999</v>
      </c>
      <c r="Z35" s="533"/>
      <c r="AA35" s="532"/>
      <c r="AB35" s="532"/>
      <c r="AC35" s="532"/>
      <c r="AD35" s="532"/>
      <c r="AE35" s="532"/>
      <c r="AF35" s="532"/>
      <c r="AG35" s="528" t="s">
        <v>1116</v>
      </c>
      <c r="AH35" s="528" t="s">
        <v>1117</v>
      </c>
      <c r="AI35" s="333">
        <v>3</v>
      </c>
      <c r="AJ35" s="333">
        <v>3</v>
      </c>
      <c r="AK35" s="480">
        <v>0.5</v>
      </c>
      <c r="AL35" s="480">
        <v>0.5</v>
      </c>
      <c r="AM35" s="525" t="s">
        <v>1124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528">
        <v>0</v>
      </c>
      <c r="AZ35" s="528"/>
      <c r="BA35" s="528" t="s">
        <v>38</v>
      </c>
      <c r="BB35" s="528"/>
      <c r="BC35" s="528" t="s">
        <v>38</v>
      </c>
      <c r="BD35" s="528"/>
      <c r="BE35" s="528">
        <v>12</v>
      </c>
      <c r="BF35" s="564"/>
      <c r="BG35" s="529"/>
      <c r="BH35" s="525"/>
      <c r="BI35" s="528"/>
      <c r="BJ35" s="528" t="s">
        <v>43</v>
      </c>
      <c r="BK35" s="528"/>
      <c r="BL35" s="529"/>
      <c r="BM35" s="530" t="s">
        <v>430</v>
      </c>
      <c r="BN35" s="525" t="s">
        <v>1121</v>
      </c>
    </row>
    <row r="36" spans="1:66" ht="13" customHeight="1" x14ac:dyDescent="0.2">
      <c r="A36" s="451">
        <v>1369</v>
      </c>
      <c r="B36" s="527">
        <v>44208</v>
      </c>
      <c r="C36" s="526" t="s">
        <v>1138</v>
      </c>
      <c r="D36" s="525" t="s">
        <v>1109</v>
      </c>
      <c r="E36" s="527">
        <v>44197</v>
      </c>
      <c r="F36" s="529" t="s">
        <v>1139</v>
      </c>
      <c r="G36" s="525" t="s">
        <v>1140</v>
      </c>
      <c r="H36" s="340">
        <v>62.718181818181812</v>
      </c>
      <c r="I36" s="531" t="s">
        <v>1141</v>
      </c>
      <c r="J36" s="525">
        <v>1645</v>
      </c>
      <c r="K36" s="525">
        <v>3000</v>
      </c>
      <c r="L36" s="525">
        <v>3000</v>
      </c>
      <c r="M36" s="525">
        <v>3000</v>
      </c>
      <c r="N36" s="525"/>
      <c r="O36" s="340">
        <v>2.1545454545454543</v>
      </c>
      <c r="P36" s="340">
        <v>2</v>
      </c>
      <c r="Q36" s="340">
        <v>0</v>
      </c>
      <c r="R36" s="532">
        <v>0</v>
      </c>
      <c r="S36" s="532">
        <v>1.6727272727272726</v>
      </c>
      <c r="T36" s="532"/>
      <c r="U36" s="532">
        <v>2.1545454545454543</v>
      </c>
      <c r="V36" s="532">
        <v>2</v>
      </c>
      <c r="W36" s="532">
        <v>0</v>
      </c>
      <c r="X36" s="532">
        <v>0</v>
      </c>
      <c r="Y36" s="532">
        <v>1.6727272727272726</v>
      </c>
      <c r="Z36" s="533"/>
      <c r="AA36" s="532"/>
      <c r="AB36" s="532"/>
      <c r="AC36" s="532"/>
      <c r="AD36" s="532"/>
      <c r="AE36" s="532"/>
      <c r="AF36" s="532"/>
      <c r="AG36" s="528" t="s">
        <v>1145</v>
      </c>
      <c r="AH36" s="528"/>
      <c r="AI36" s="333">
        <v>3</v>
      </c>
      <c r="AJ36" s="333">
        <v>3</v>
      </c>
      <c r="AK36" s="480">
        <v>0.5</v>
      </c>
      <c r="AL36" s="480">
        <v>0.5</v>
      </c>
      <c r="AM36" s="525"/>
      <c r="AN36" s="528">
        <v>0</v>
      </c>
      <c r="AO36" s="528">
        <v>0</v>
      </c>
      <c r="AP36" s="528">
        <v>0</v>
      </c>
      <c r="AQ36" s="528">
        <v>0</v>
      </c>
      <c r="AR36" s="528">
        <v>0</v>
      </c>
      <c r="AS36" s="528">
        <v>0</v>
      </c>
      <c r="AT36" s="528">
        <v>0</v>
      </c>
      <c r="AU36" s="528">
        <v>0</v>
      </c>
      <c r="AV36" s="528">
        <v>0</v>
      </c>
      <c r="AW36" s="528">
        <v>0</v>
      </c>
      <c r="AX36" s="528">
        <v>0</v>
      </c>
      <c r="AY36" s="528">
        <v>0</v>
      </c>
      <c r="AZ36" s="528"/>
      <c r="BA36" s="528" t="s">
        <v>1145</v>
      </c>
      <c r="BB36" s="528">
        <v>12</v>
      </c>
      <c r="BC36" s="528" t="s">
        <v>1145</v>
      </c>
      <c r="BD36" s="528"/>
      <c r="BE36" s="528">
        <v>12</v>
      </c>
      <c r="BF36" s="564"/>
      <c r="BG36" s="529"/>
      <c r="BH36" s="525"/>
      <c r="BI36" s="528"/>
      <c r="BJ36" s="528" t="s">
        <v>1146</v>
      </c>
      <c r="BK36" s="528"/>
      <c r="BL36" s="529"/>
      <c r="BM36" s="530" t="s">
        <v>1494</v>
      </c>
      <c r="BN36" s="525" t="s">
        <v>408</v>
      </c>
    </row>
    <row r="37" spans="1:66" ht="13" customHeight="1" x14ac:dyDescent="0.2">
      <c r="A37" s="451">
        <v>2497</v>
      </c>
      <c r="B37" s="527">
        <v>44208</v>
      </c>
      <c r="C37" s="526" t="s">
        <v>1138</v>
      </c>
      <c r="D37" s="525" t="s">
        <v>1109</v>
      </c>
      <c r="E37" s="527">
        <v>44197</v>
      </c>
      <c r="F37" s="529" t="s">
        <v>1148</v>
      </c>
      <c r="G37" s="525" t="s">
        <v>1280</v>
      </c>
      <c r="H37" s="340">
        <v>55.199999999999996</v>
      </c>
      <c r="I37" s="531" t="s">
        <v>1141</v>
      </c>
      <c r="J37" s="525">
        <v>1645</v>
      </c>
      <c r="K37" s="525">
        <v>3000</v>
      </c>
      <c r="L37" s="525">
        <v>3000</v>
      </c>
      <c r="M37" s="525">
        <v>3000</v>
      </c>
      <c r="N37" s="525"/>
      <c r="O37" s="340">
        <v>1.8636363636363633</v>
      </c>
      <c r="P37" s="340">
        <v>1.8636363636363633</v>
      </c>
      <c r="Q37" s="340">
        <v>0</v>
      </c>
      <c r="R37" s="532">
        <v>0</v>
      </c>
      <c r="S37" s="532">
        <v>1.5999999999999999</v>
      </c>
      <c r="T37" s="532"/>
      <c r="U37" s="532">
        <v>1.8636363636363633</v>
      </c>
      <c r="V37" s="532">
        <v>1.8636363636363633</v>
      </c>
      <c r="W37" s="532">
        <v>0</v>
      </c>
      <c r="X37" s="532">
        <v>0</v>
      </c>
      <c r="Y37" s="532">
        <v>1.5999999999999999</v>
      </c>
      <c r="Z37" s="533"/>
      <c r="AA37" s="532"/>
      <c r="AB37" s="532"/>
      <c r="AC37" s="532"/>
      <c r="AD37" s="532"/>
      <c r="AE37" s="532"/>
      <c r="AF37" s="532"/>
      <c r="AG37" s="528" t="s">
        <v>1145</v>
      </c>
      <c r="AH37" s="528"/>
      <c r="AI37" s="333">
        <v>3</v>
      </c>
      <c r="AJ37" s="333">
        <v>3</v>
      </c>
      <c r="AK37" s="480">
        <v>0.5</v>
      </c>
      <c r="AL37" s="480">
        <v>0.5</v>
      </c>
      <c r="AM37" s="525"/>
      <c r="AN37" s="528">
        <v>0</v>
      </c>
      <c r="AO37" s="528">
        <v>0</v>
      </c>
      <c r="AP37" s="528">
        <v>0</v>
      </c>
      <c r="AQ37" s="528">
        <v>0</v>
      </c>
      <c r="AR37" s="528">
        <v>0</v>
      </c>
      <c r="AS37" s="528">
        <v>0</v>
      </c>
      <c r="AT37" s="528">
        <v>0</v>
      </c>
      <c r="AU37" s="528">
        <v>0</v>
      </c>
      <c r="AV37" s="528">
        <v>0</v>
      </c>
      <c r="AW37" s="528">
        <v>0</v>
      </c>
      <c r="AX37" s="528">
        <v>0</v>
      </c>
      <c r="AY37" s="528">
        <v>0</v>
      </c>
      <c r="AZ37" s="528"/>
      <c r="BA37" s="528" t="s">
        <v>1145</v>
      </c>
      <c r="BB37" s="528"/>
      <c r="BC37" s="528" t="s">
        <v>1145</v>
      </c>
      <c r="BD37" s="528"/>
      <c r="BE37" s="528"/>
      <c r="BF37" s="564"/>
      <c r="BG37" s="529"/>
      <c r="BH37" s="525"/>
      <c r="BI37" s="528"/>
      <c r="BJ37" s="528" t="s">
        <v>4</v>
      </c>
      <c r="BK37" s="528"/>
      <c r="BL37" s="529"/>
      <c r="BM37" s="530" t="s">
        <v>430</v>
      </c>
      <c r="BN37" s="525" t="s">
        <v>408</v>
      </c>
    </row>
    <row r="38" spans="1:66" ht="13" customHeight="1" x14ac:dyDescent="0.2">
      <c r="A38" s="451"/>
      <c r="B38" s="527">
        <v>44208</v>
      </c>
      <c r="C38" s="526" t="s">
        <v>1138</v>
      </c>
      <c r="D38" s="525" t="s">
        <v>1109</v>
      </c>
      <c r="E38" s="527">
        <v>44197</v>
      </c>
      <c r="F38" s="529" t="s">
        <v>1152</v>
      </c>
      <c r="G38" s="525" t="s">
        <v>1471</v>
      </c>
      <c r="H38" s="340">
        <v>48.118181818181817</v>
      </c>
      <c r="I38" s="531" t="s">
        <v>1141</v>
      </c>
      <c r="J38" s="525">
        <v>1645</v>
      </c>
      <c r="K38" s="525">
        <v>3000</v>
      </c>
      <c r="L38" s="525">
        <v>3000</v>
      </c>
      <c r="M38" s="525">
        <v>3000</v>
      </c>
      <c r="N38" s="525"/>
      <c r="O38" s="340">
        <v>2.1636363636363636</v>
      </c>
      <c r="P38" s="340">
        <v>1.7363636363636361</v>
      </c>
      <c r="Q38" s="340">
        <v>0</v>
      </c>
      <c r="R38" s="532">
        <v>0</v>
      </c>
      <c r="S38" s="532">
        <v>1.4363636363636363</v>
      </c>
      <c r="T38" s="532"/>
      <c r="U38" s="532">
        <v>2.1636363636363636</v>
      </c>
      <c r="V38" s="532">
        <v>1.7363636363636361</v>
      </c>
      <c r="W38" s="532">
        <v>0</v>
      </c>
      <c r="X38" s="532">
        <v>0</v>
      </c>
      <c r="Y38" s="532">
        <v>1.4363636363636363</v>
      </c>
      <c r="Z38" s="533"/>
      <c r="AA38" s="532"/>
      <c r="AB38" s="532"/>
      <c r="AC38" s="532"/>
      <c r="AD38" s="532"/>
      <c r="AE38" s="532"/>
      <c r="AF38" s="532"/>
      <c r="AG38" s="528" t="s">
        <v>1145</v>
      </c>
      <c r="AH38" s="528"/>
      <c r="AI38" s="333">
        <v>3</v>
      </c>
      <c r="AJ38" s="333">
        <v>3</v>
      </c>
      <c r="AK38" s="480">
        <v>0.5</v>
      </c>
      <c r="AL38" s="480">
        <v>0.5</v>
      </c>
      <c r="AM38" s="525"/>
      <c r="AN38" s="528">
        <v>0</v>
      </c>
      <c r="AO38" s="528">
        <v>0</v>
      </c>
      <c r="AP38" s="528">
        <v>0</v>
      </c>
      <c r="AQ38" s="528">
        <v>0</v>
      </c>
      <c r="AR38" s="528">
        <v>0</v>
      </c>
      <c r="AS38" s="528">
        <v>0</v>
      </c>
      <c r="AT38" s="528">
        <v>0</v>
      </c>
      <c r="AU38" s="528">
        <v>0</v>
      </c>
      <c r="AV38" s="528">
        <v>0</v>
      </c>
      <c r="AW38" s="528">
        <v>0</v>
      </c>
      <c r="AX38" s="528">
        <v>0</v>
      </c>
      <c r="AY38" s="528">
        <v>0</v>
      </c>
      <c r="AZ38" s="528"/>
      <c r="BA38" s="528" t="s">
        <v>1145</v>
      </c>
      <c r="BB38" s="528"/>
      <c r="BC38" s="528" t="s">
        <v>1145</v>
      </c>
      <c r="BD38" s="528"/>
      <c r="BE38" s="528"/>
      <c r="BF38" s="564"/>
      <c r="BG38" s="529"/>
      <c r="BH38" s="525"/>
      <c r="BI38" s="528"/>
      <c r="BJ38" s="528" t="s">
        <v>1146</v>
      </c>
      <c r="BK38" s="528">
        <v>1</v>
      </c>
      <c r="BL38" s="529"/>
      <c r="BM38" s="530" t="s">
        <v>1495</v>
      </c>
      <c r="BN38" s="525" t="s">
        <v>1121</v>
      </c>
    </row>
    <row r="39" spans="1:66" ht="13" customHeight="1" x14ac:dyDescent="0.2">
      <c r="A39" s="451">
        <v>2547</v>
      </c>
      <c r="B39" s="527">
        <v>44209</v>
      </c>
      <c r="C39" s="526" t="s">
        <v>1138</v>
      </c>
      <c r="D39" s="525" t="s">
        <v>1109</v>
      </c>
      <c r="E39" s="527">
        <v>44201</v>
      </c>
      <c r="F39" s="529" t="s">
        <v>1050</v>
      </c>
      <c r="G39" s="525" t="s">
        <v>418</v>
      </c>
      <c r="H39" s="340">
        <v>75</v>
      </c>
      <c r="I39" s="531" t="s">
        <v>1141</v>
      </c>
      <c r="J39" s="525">
        <v>1645</v>
      </c>
      <c r="K39" s="525">
        <v>3000</v>
      </c>
      <c r="L39" s="525">
        <v>3000</v>
      </c>
      <c r="M39" s="525">
        <v>3000</v>
      </c>
      <c r="N39" s="525"/>
      <c r="O39" s="340">
        <v>2.9909090909090907</v>
      </c>
      <c r="P39" s="340">
        <v>2.6545454545454543</v>
      </c>
      <c r="Q39" s="340">
        <v>0</v>
      </c>
      <c r="R39" s="532">
        <v>0</v>
      </c>
      <c r="S39" s="532">
        <v>2.2181818181818178</v>
      </c>
      <c r="T39" s="532"/>
      <c r="U39" s="532">
        <v>2.9909090909090907</v>
      </c>
      <c r="V39" s="532">
        <v>2.6545454545454543</v>
      </c>
      <c r="W39" s="532">
        <v>0</v>
      </c>
      <c r="X39" s="532">
        <v>0</v>
      </c>
      <c r="Y39" s="532">
        <v>2.2181818181818178</v>
      </c>
      <c r="Z39" s="533"/>
      <c r="AA39" s="532"/>
      <c r="AB39" s="532"/>
      <c r="AC39" s="532"/>
      <c r="AD39" s="532"/>
      <c r="AE39" s="532"/>
      <c r="AF39" s="532"/>
      <c r="AG39" s="528" t="s">
        <v>1145</v>
      </c>
      <c r="AH39" s="528"/>
      <c r="AI39" s="333">
        <v>3</v>
      </c>
      <c r="AJ39" s="333">
        <v>3</v>
      </c>
      <c r="AK39" s="480">
        <v>0.5</v>
      </c>
      <c r="AL39" s="480">
        <v>0.5</v>
      </c>
      <c r="AM39" s="525"/>
      <c r="AN39" s="528">
        <v>0</v>
      </c>
      <c r="AO39" s="528">
        <v>16</v>
      </c>
      <c r="AP39" s="528">
        <v>0</v>
      </c>
      <c r="AQ39" s="528">
        <v>0</v>
      </c>
      <c r="AR39" s="528">
        <v>0</v>
      </c>
      <c r="AS39" s="528">
        <v>0</v>
      </c>
      <c r="AT39" s="528">
        <v>0</v>
      </c>
      <c r="AU39" s="528">
        <v>0</v>
      </c>
      <c r="AV39" s="528">
        <v>0</v>
      </c>
      <c r="AW39" s="528">
        <v>0</v>
      </c>
      <c r="AX39" s="528">
        <v>0</v>
      </c>
      <c r="AY39" s="528">
        <v>0</v>
      </c>
      <c r="AZ39" s="528"/>
      <c r="BA39" s="528" t="s">
        <v>1145</v>
      </c>
      <c r="BB39" s="528"/>
      <c r="BC39" s="528" t="s">
        <v>1145</v>
      </c>
      <c r="BD39" s="528"/>
      <c r="BE39" s="528"/>
      <c r="BF39" s="564"/>
      <c r="BG39" s="529"/>
      <c r="BH39" s="525"/>
      <c r="BI39" s="528"/>
      <c r="BJ39" s="528" t="s">
        <v>4</v>
      </c>
      <c r="BK39" s="528">
        <v>1</v>
      </c>
      <c r="BL39" s="529"/>
      <c r="BM39" s="530" t="s">
        <v>430</v>
      </c>
      <c r="BN39" s="525" t="s">
        <v>408</v>
      </c>
    </row>
    <row r="40" spans="1:66" ht="13" customHeight="1" x14ac:dyDescent="0.2">
      <c r="A40" s="451">
        <v>2549</v>
      </c>
      <c r="B40" s="527">
        <v>44208</v>
      </c>
      <c r="C40" s="526" t="s">
        <v>1138</v>
      </c>
      <c r="D40" s="525" t="s">
        <v>1109</v>
      </c>
      <c r="E40" s="527">
        <v>44028</v>
      </c>
      <c r="F40" s="529" t="s">
        <v>1052</v>
      </c>
      <c r="G40" s="525" t="s">
        <v>1181</v>
      </c>
      <c r="H40" s="340">
        <v>54.954545454545453</v>
      </c>
      <c r="I40" s="531" t="s">
        <v>1141</v>
      </c>
      <c r="J40" s="525">
        <v>1645</v>
      </c>
      <c r="K40" s="525">
        <v>3000</v>
      </c>
      <c r="L40" s="525">
        <v>3000</v>
      </c>
      <c r="M40" s="525">
        <v>3000</v>
      </c>
      <c r="N40" s="525"/>
      <c r="O40" s="340">
        <v>2.5545454545454542</v>
      </c>
      <c r="P40" s="340">
        <v>2.1181818181818182</v>
      </c>
      <c r="Q40" s="340">
        <v>0</v>
      </c>
      <c r="R40" s="532">
        <v>0</v>
      </c>
      <c r="S40" s="532">
        <v>1.8454545454545452</v>
      </c>
      <c r="T40" s="532"/>
      <c r="U40" s="532">
        <v>2.5545454545454542</v>
      </c>
      <c r="V40" s="532">
        <v>2.1181818181818182</v>
      </c>
      <c r="W40" s="532">
        <v>0</v>
      </c>
      <c r="X40" s="532">
        <v>0</v>
      </c>
      <c r="Y40" s="532">
        <v>1.8454545454545452</v>
      </c>
      <c r="Z40" s="533"/>
      <c r="AA40" s="532"/>
      <c r="AB40" s="532"/>
      <c r="AC40" s="532"/>
      <c r="AD40" s="532"/>
      <c r="AE40" s="532"/>
      <c r="AF40" s="532"/>
      <c r="AG40" s="528" t="s">
        <v>1278</v>
      </c>
      <c r="AH40" s="528"/>
      <c r="AI40" s="333">
        <v>3</v>
      </c>
      <c r="AJ40" s="333">
        <v>3</v>
      </c>
      <c r="AK40" s="480">
        <v>0.5</v>
      </c>
      <c r="AL40" s="480">
        <v>0.5</v>
      </c>
      <c r="AM40" s="525"/>
      <c r="AN40" s="528">
        <v>0</v>
      </c>
      <c r="AO40" s="528">
        <v>0</v>
      </c>
      <c r="AP40" s="528">
        <v>0</v>
      </c>
      <c r="AQ40" s="528">
        <v>0</v>
      </c>
      <c r="AR40" s="528">
        <v>0</v>
      </c>
      <c r="AS40" s="528">
        <v>0</v>
      </c>
      <c r="AT40" s="528">
        <v>0</v>
      </c>
      <c r="AU40" s="528">
        <v>0</v>
      </c>
      <c r="AV40" s="528">
        <v>0</v>
      </c>
      <c r="AW40" s="528">
        <v>0</v>
      </c>
      <c r="AX40" s="528">
        <v>0</v>
      </c>
      <c r="AY40" s="528">
        <v>0</v>
      </c>
      <c r="AZ40" s="528"/>
      <c r="BA40" s="528" t="s">
        <v>1145</v>
      </c>
      <c r="BB40" s="528"/>
      <c r="BC40" s="528" t="s">
        <v>1145</v>
      </c>
      <c r="BD40" s="528"/>
      <c r="BE40" s="528"/>
      <c r="BF40" s="564"/>
      <c r="BG40" s="529"/>
      <c r="BH40" s="525"/>
      <c r="BI40" s="528"/>
      <c r="BJ40" s="528" t="s">
        <v>1146</v>
      </c>
      <c r="BK40" s="528"/>
      <c r="BL40" s="529"/>
      <c r="BM40" s="530" t="s">
        <v>1192</v>
      </c>
      <c r="BN40" s="525" t="s">
        <v>368</v>
      </c>
    </row>
    <row r="41" spans="1:66" ht="13" customHeight="1" x14ac:dyDescent="0.2">
      <c r="A41" s="451">
        <v>2115</v>
      </c>
      <c r="B41" s="527">
        <v>44208</v>
      </c>
      <c r="C41" s="526" t="s">
        <v>1138</v>
      </c>
      <c r="D41" s="525" t="s">
        <v>1109</v>
      </c>
      <c r="E41" s="527">
        <v>44197</v>
      </c>
      <c r="F41" s="529" t="s">
        <v>1156</v>
      </c>
      <c r="G41" s="525" t="s">
        <v>1157</v>
      </c>
      <c r="H41" s="340">
        <v>84.899999999999991</v>
      </c>
      <c r="I41" s="531" t="s">
        <v>1141</v>
      </c>
      <c r="J41" s="525">
        <v>1645</v>
      </c>
      <c r="K41" s="525">
        <v>3000</v>
      </c>
      <c r="L41" s="525">
        <v>3000</v>
      </c>
      <c r="M41" s="525">
        <v>3000</v>
      </c>
      <c r="N41" s="525"/>
      <c r="O41" s="340">
        <v>3.3818181818181818</v>
      </c>
      <c r="P41" s="340">
        <v>2.6363636363636362</v>
      </c>
      <c r="Q41" s="340">
        <v>0</v>
      </c>
      <c r="R41" s="532">
        <v>0</v>
      </c>
      <c r="S41" s="532">
        <v>2.1181818181818182</v>
      </c>
      <c r="T41" s="532"/>
      <c r="U41" s="532">
        <v>3.3818181818181818</v>
      </c>
      <c r="V41" s="532">
        <v>2.6363636363636362</v>
      </c>
      <c r="W41" s="532">
        <v>0</v>
      </c>
      <c r="X41" s="532">
        <v>0</v>
      </c>
      <c r="Y41" s="532">
        <v>2.1181818181818182</v>
      </c>
      <c r="Z41" s="533"/>
      <c r="AA41" s="532"/>
      <c r="AB41" s="532"/>
      <c r="AC41" s="532"/>
      <c r="AD41" s="532"/>
      <c r="AE41" s="532"/>
      <c r="AF41" s="532"/>
      <c r="AG41" s="528" t="s">
        <v>1145</v>
      </c>
      <c r="AH41" s="528"/>
      <c r="AI41" s="333">
        <v>3</v>
      </c>
      <c r="AJ41" s="333">
        <v>3</v>
      </c>
      <c r="AK41" s="480">
        <v>0.5</v>
      </c>
      <c r="AL41" s="480">
        <v>0.5</v>
      </c>
      <c r="AM41" s="525"/>
      <c r="AN41" s="528">
        <v>27</v>
      </c>
      <c r="AO41" s="528">
        <v>0</v>
      </c>
      <c r="AP41" s="528">
        <v>0</v>
      </c>
      <c r="AQ41" s="528">
        <v>0</v>
      </c>
      <c r="AR41" s="528">
        <v>0</v>
      </c>
      <c r="AS41" s="528">
        <v>0</v>
      </c>
      <c r="AT41" s="528">
        <v>0</v>
      </c>
      <c r="AU41" s="528">
        <v>0</v>
      </c>
      <c r="AV41" s="528">
        <v>0</v>
      </c>
      <c r="AW41" s="528">
        <v>0</v>
      </c>
      <c r="AX41" s="528">
        <v>0</v>
      </c>
      <c r="AY41" s="528">
        <v>0</v>
      </c>
      <c r="AZ41" s="528">
        <v>12</v>
      </c>
      <c r="BA41" s="528" t="s">
        <v>1145</v>
      </c>
      <c r="BB41" s="528">
        <v>12</v>
      </c>
      <c r="BC41" s="528" t="s">
        <v>1145</v>
      </c>
      <c r="BD41" s="528"/>
      <c r="BE41" s="528">
        <v>12</v>
      </c>
      <c r="BF41" s="564"/>
      <c r="BG41" s="529"/>
      <c r="BH41" s="525"/>
      <c r="BI41" s="528"/>
      <c r="BJ41" s="528" t="s">
        <v>1146</v>
      </c>
      <c r="BK41" s="528"/>
      <c r="BL41" s="529"/>
      <c r="BM41" s="530" t="s">
        <v>1496</v>
      </c>
      <c r="BN41" s="525" t="s">
        <v>408</v>
      </c>
    </row>
    <row r="42" spans="1:66" ht="13" customHeight="1" x14ac:dyDescent="0.2">
      <c r="A42" s="451">
        <v>2872</v>
      </c>
      <c r="B42" s="527">
        <v>44208</v>
      </c>
      <c r="C42" s="526" t="s">
        <v>1138</v>
      </c>
      <c r="D42" s="525" t="s">
        <v>1109</v>
      </c>
      <c r="E42" s="527">
        <v>44197</v>
      </c>
      <c r="F42" s="529" t="s">
        <v>1159</v>
      </c>
      <c r="G42" s="525" t="s">
        <v>1105</v>
      </c>
      <c r="H42" s="340">
        <v>67.899999999999991</v>
      </c>
      <c r="I42" s="531" t="s">
        <v>1141</v>
      </c>
      <c r="J42" s="525">
        <v>1645</v>
      </c>
      <c r="K42" s="525">
        <v>3000</v>
      </c>
      <c r="L42" s="525">
        <v>3000</v>
      </c>
      <c r="M42" s="525">
        <v>3000</v>
      </c>
      <c r="N42" s="525"/>
      <c r="O42" s="340">
        <v>1.9818181818181817</v>
      </c>
      <c r="P42" s="340">
        <v>1.8818181818181816</v>
      </c>
      <c r="Q42" s="340">
        <v>0</v>
      </c>
      <c r="R42" s="532">
        <v>0</v>
      </c>
      <c r="S42" s="532">
        <v>1.7454545454545451</v>
      </c>
      <c r="T42" s="532"/>
      <c r="U42" s="532">
        <v>1.9818181818181817</v>
      </c>
      <c r="V42" s="532">
        <v>1.8818181818181816</v>
      </c>
      <c r="W42" s="532">
        <v>0</v>
      </c>
      <c r="X42" s="532">
        <v>0</v>
      </c>
      <c r="Y42" s="532">
        <v>1.7454545454545451</v>
      </c>
      <c r="Z42" s="533"/>
      <c r="AA42" s="532"/>
      <c r="AB42" s="532"/>
      <c r="AC42" s="532"/>
      <c r="AD42" s="532"/>
      <c r="AE42" s="532"/>
      <c r="AF42" s="532"/>
      <c r="AG42" s="528" t="s">
        <v>1278</v>
      </c>
      <c r="AH42" s="528"/>
      <c r="AI42" s="333">
        <v>3</v>
      </c>
      <c r="AJ42" s="333">
        <v>3</v>
      </c>
      <c r="AK42" s="480">
        <v>0.5</v>
      </c>
      <c r="AL42" s="480">
        <v>0.5</v>
      </c>
      <c r="AM42" s="525"/>
      <c r="AN42" s="528">
        <v>0</v>
      </c>
      <c r="AO42" s="528">
        <v>0</v>
      </c>
      <c r="AP42" s="528">
        <v>0</v>
      </c>
      <c r="AQ42" s="528">
        <v>0</v>
      </c>
      <c r="AR42" s="528">
        <v>0</v>
      </c>
      <c r="AS42" s="528">
        <v>0</v>
      </c>
      <c r="AT42" s="528">
        <v>0</v>
      </c>
      <c r="AU42" s="528">
        <v>0</v>
      </c>
      <c r="AV42" s="528">
        <v>0</v>
      </c>
      <c r="AW42" s="528">
        <v>0</v>
      </c>
      <c r="AX42" s="528">
        <v>0</v>
      </c>
      <c r="AY42" s="528">
        <v>0</v>
      </c>
      <c r="AZ42" s="528"/>
      <c r="BA42" s="528" t="s">
        <v>1145</v>
      </c>
      <c r="BB42" s="528"/>
      <c r="BC42" s="528" t="s">
        <v>1145</v>
      </c>
      <c r="BD42" s="528"/>
      <c r="BE42" s="528"/>
      <c r="BF42" s="564">
        <v>44651</v>
      </c>
      <c r="BG42" s="529"/>
      <c r="BH42" s="525"/>
      <c r="BI42" s="528"/>
      <c r="BJ42" s="528" t="s">
        <v>1146</v>
      </c>
      <c r="BK42" s="528"/>
      <c r="BL42" s="529"/>
      <c r="BM42" s="530" t="s">
        <v>1498</v>
      </c>
      <c r="BN42" s="525" t="s">
        <v>408</v>
      </c>
    </row>
    <row r="43" spans="1:66" ht="13" customHeight="1" x14ac:dyDescent="0.2">
      <c r="A43" s="451">
        <v>314</v>
      </c>
      <c r="B43" s="527">
        <v>44208</v>
      </c>
      <c r="C43" s="526" t="s">
        <v>1138</v>
      </c>
      <c r="D43" s="525" t="s">
        <v>1109</v>
      </c>
      <c r="E43" s="527">
        <v>44197</v>
      </c>
      <c r="F43" s="529" t="s">
        <v>1160</v>
      </c>
      <c r="G43" s="525" t="s">
        <v>1161</v>
      </c>
      <c r="H43" s="340">
        <v>77.899999999999991</v>
      </c>
      <c r="I43" s="531" t="s">
        <v>1141</v>
      </c>
      <c r="J43" s="525">
        <v>1645</v>
      </c>
      <c r="K43" s="525">
        <v>3000</v>
      </c>
      <c r="L43" s="525">
        <v>3000</v>
      </c>
      <c r="M43" s="525">
        <v>3000</v>
      </c>
      <c r="N43" s="525"/>
      <c r="O43" s="340">
        <v>2.5999999999999996</v>
      </c>
      <c r="P43" s="340">
        <v>2.2999999999999998</v>
      </c>
      <c r="Q43" s="340">
        <v>0</v>
      </c>
      <c r="R43" s="532">
        <v>0</v>
      </c>
      <c r="S43" s="532">
        <v>2</v>
      </c>
      <c r="T43" s="532"/>
      <c r="U43" s="532">
        <v>2.4</v>
      </c>
      <c r="V43" s="532">
        <v>2.1</v>
      </c>
      <c r="W43" s="532">
        <v>0</v>
      </c>
      <c r="X43" s="532">
        <v>0</v>
      </c>
      <c r="Y43" s="532">
        <v>1.7999999999999998</v>
      </c>
      <c r="Z43" s="533"/>
      <c r="AA43" s="532"/>
      <c r="AB43" s="532"/>
      <c r="AC43" s="532"/>
      <c r="AD43" s="532"/>
      <c r="AE43" s="532"/>
      <c r="AF43" s="532"/>
      <c r="AG43" s="528" t="s">
        <v>1143</v>
      </c>
      <c r="AH43" s="528" t="s">
        <v>1144</v>
      </c>
      <c r="AI43" s="333">
        <v>2</v>
      </c>
      <c r="AJ43" s="333">
        <v>4</v>
      </c>
      <c r="AK43" s="480">
        <v>0.33329999999999999</v>
      </c>
      <c r="AL43" s="480">
        <v>0.66659999999999997</v>
      </c>
      <c r="AM43" s="525" t="s">
        <v>1124</v>
      </c>
      <c r="AN43" s="528">
        <v>0</v>
      </c>
      <c r="AO43" s="528">
        <v>0</v>
      </c>
      <c r="AP43" s="528">
        <v>0</v>
      </c>
      <c r="AQ43" s="528">
        <v>0</v>
      </c>
      <c r="AR43" s="528">
        <v>0</v>
      </c>
      <c r="AS43" s="528">
        <v>0</v>
      </c>
      <c r="AT43" s="528">
        <v>0</v>
      </c>
      <c r="AU43" s="528">
        <v>0</v>
      </c>
      <c r="AV43" s="528">
        <v>0</v>
      </c>
      <c r="AW43" s="528">
        <v>0</v>
      </c>
      <c r="AX43" s="528">
        <v>0</v>
      </c>
      <c r="AY43" s="528">
        <v>0</v>
      </c>
      <c r="AZ43" s="528"/>
      <c r="BA43" s="528" t="s">
        <v>1145</v>
      </c>
      <c r="BB43" s="528"/>
      <c r="BC43" s="528" t="s">
        <v>1145</v>
      </c>
      <c r="BD43" s="528"/>
      <c r="BE43" s="528"/>
      <c r="BF43" s="564"/>
      <c r="BG43" s="529"/>
      <c r="BH43" s="525"/>
      <c r="BI43" s="528"/>
      <c r="BJ43" s="528" t="s">
        <v>4</v>
      </c>
      <c r="BK43" s="528"/>
      <c r="BL43" s="529"/>
      <c r="BM43" s="530" t="s">
        <v>1499</v>
      </c>
      <c r="BN43" s="525" t="s">
        <v>408</v>
      </c>
    </row>
    <row r="44" spans="1:66" ht="13" customHeight="1" x14ac:dyDescent="0.2">
      <c r="A44" s="451">
        <v>2847</v>
      </c>
      <c r="B44" s="527">
        <v>44208</v>
      </c>
      <c r="C44" s="526" t="s">
        <v>1138</v>
      </c>
      <c r="D44" s="525" t="s">
        <v>1109</v>
      </c>
      <c r="E44" s="527">
        <v>44197</v>
      </c>
      <c r="F44" s="529" t="s">
        <v>1166</v>
      </c>
      <c r="G44" s="525" t="s">
        <v>1478</v>
      </c>
      <c r="H44" s="340">
        <v>55.272727272727266</v>
      </c>
      <c r="I44" s="531" t="s">
        <v>1141</v>
      </c>
      <c r="J44" s="525">
        <v>6000</v>
      </c>
      <c r="K44" s="525">
        <v>12000</v>
      </c>
      <c r="L44" s="525">
        <v>12000</v>
      </c>
      <c r="M44" s="525">
        <v>12000</v>
      </c>
      <c r="N44" s="525"/>
      <c r="O44" s="340">
        <v>1.7636363636363634</v>
      </c>
      <c r="P44" s="340">
        <v>1.6818181818181817</v>
      </c>
      <c r="Q44" s="340">
        <v>0</v>
      </c>
      <c r="R44" s="532">
        <v>0</v>
      </c>
      <c r="S44" s="532">
        <v>1.4454545454545453</v>
      </c>
      <c r="T44" s="532"/>
      <c r="U44" s="532">
        <v>1.7636363636363634</v>
      </c>
      <c r="V44" s="532">
        <v>1.6818181818181817</v>
      </c>
      <c r="W44" s="532">
        <v>0</v>
      </c>
      <c r="X44" s="532">
        <v>0</v>
      </c>
      <c r="Y44" s="532">
        <v>1.4454545454545453</v>
      </c>
      <c r="Z44" s="533"/>
      <c r="AA44" s="532"/>
      <c r="AB44" s="532"/>
      <c r="AC44" s="532"/>
      <c r="AD44" s="532"/>
      <c r="AE44" s="532"/>
      <c r="AF44" s="532"/>
      <c r="AG44" s="528" t="s">
        <v>1145</v>
      </c>
      <c r="AH44" s="528"/>
      <c r="AI44" s="333">
        <v>3</v>
      </c>
      <c r="AJ44" s="333">
        <v>3</v>
      </c>
      <c r="AK44" s="480">
        <v>0.5</v>
      </c>
      <c r="AL44" s="480">
        <v>0.5</v>
      </c>
      <c r="AM44" s="525"/>
      <c r="AN44" s="528">
        <v>0</v>
      </c>
      <c r="AO44" s="528">
        <v>0</v>
      </c>
      <c r="AP44" s="528">
        <v>0</v>
      </c>
      <c r="AQ44" s="528">
        <v>0</v>
      </c>
      <c r="AR44" s="528">
        <v>0</v>
      </c>
      <c r="AS44" s="528">
        <v>0</v>
      </c>
      <c r="AT44" s="528">
        <v>0</v>
      </c>
      <c r="AU44" s="528">
        <v>0</v>
      </c>
      <c r="AV44" s="528">
        <v>0</v>
      </c>
      <c r="AW44" s="528">
        <v>0</v>
      </c>
      <c r="AX44" s="528">
        <v>0</v>
      </c>
      <c r="AY44" s="528">
        <v>0</v>
      </c>
      <c r="AZ44" s="528"/>
      <c r="BA44" s="528" t="s">
        <v>1145</v>
      </c>
      <c r="BB44" s="528">
        <v>12</v>
      </c>
      <c r="BC44" s="528" t="s">
        <v>1145</v>
      </c>
      <c r="BD44" s="528"/>
      <c r="BE44" s="528">
        <v>12</v>
      </c>
      <c r="BF44" s="564"/>
      <c r="BG44" s="529"/>
      <c r="BH44" s="525"/>
      <c r="BI44" s="528"/>
      <c r="BJ44" s="528" t="s">
        <v>1146</v>
      </c>
      <c r="BK44" s="528"/>
      <c r="BL44" s="529"/>
      <c r="BM44" s="530" t="s">
        <v>1500</v>
      </c>
      <c r="BN44" s="525" t="s">
        <v>408</v>
      </c>
    </row>
    <row r="45" spans="1:66" ht="13" customHeight="1" x14ac:dyDescent="0.2">
      <c r="A45" s="451">
        <v>2396</v>
      </c>
      <c r="B45" s="527">
        <v>44208</v>
      </c>
      <c r="C45" s="526" t="s">
        <v>1138</v>
      </c>
      <c r="D45" s="525" t="s">
        <v>1109</v>
      </c>
      <c r="E45" s="527">
        <v>44197</v>
      </c>
      <c r="F45" s="529" t="s">
        <v>1168</v>
      </c>
      <c r="G45" s="525" t="s">
        <v>1297</v>
      </c>
      <c r="H45" s="340">
        <v>65.518181818181802</v>
      </c>
      <c r="I45" s="531" t="s">
        <v>1141</v>
      </c>
      <c r="J45" s="525">
        <v>1645</v>
      </c>
      <c r="K45" s="525">
        <v>3000</v>
      </c>
      <c r="L45" s="525">
        <v>3000</v>
      </c>
      <c r="M45" s="525">
        <v>3000</v>
      </c>
      <c r="N45" s="525"/>
      <c r="O45" s="340">
        <v>2.4090909090909087</v>
      </c>
      <c r="P45" s="340">
        <v>2.2909090909090906</v>
      </c>
      <c r="Q45" s="340">
        <v>0</v>
      </c>
      <c r="R45" s="532">
        <v>0</v>
      </c>
      <c r="S45" s="532">
        <v>1.7090909090909088</v>
      </c>
      <c r="T45" s="532"/>
      <c r="U45" s="532">
        <v>2.4090909090909087</v>
      </c>
      <c r="V45" s="532">
        <v>2.2909090909090906</v>
      </c>
      <c r="W45" s="532">
        <v>0</v>
      </c>
      <c r="X45" s="532">
        <v>0</v>
      </c>
      <c r="Y45" s="532">
        <v>1.7090909090909088</v>
      </c>
      <c r="Z45" s="533"/>
      <c r="AA45" s="532"/>
      <c r="AB45" s="532"/>
      <c r="AC45" s="532"/>
      <c r="AD45" s="532"/>
      <c r="AE45" s="532"/>
      <c r="AF45" s="532"/>
      <c r="AG45" s="528" t="s">
        <v>1145</v>
      </c>
      <c r="AH45" s="528"/>
      <c r="AI45" s="333">
        <v>3</v>
      </c>
      <c r="AJ45" s="333">
        <v>3</v>
      </c>
      <c r="AK45" s="480">
        <v>0.5</v>
      </c>
      <c r="AL45" s="480">
        <v>0.5</v>
      </c>
      <c r="AM45" s="525"/>
      <c r="AN45" s="528">
        <v>0</v>
      </c>
      <c r="AO45" s="528">
        <v>0</v>
      </c>
      <c r="AP45" s="528">
        <v>0</v>
      </c>
      <c r="AQ45" s="528">
        <v>0</v>
      </c>
      <c r="AR45" s="528">
        <v>0</v>
      </c>
      <c r="AS45" s="528">
        <v>0</v>
      </c>
      <c r="AT45" s="528">
        <v>0</v>
      </c>
      <c r="AU45" s="528">
        <v>0</v>
      </c>
      <c r="AV45" s="528">
        <v>0</v>
      </c>
      <c r="AW45" s="528">
        <v>0</v>
      </c>
      <c r="AX45" s="528">
        <v>0</v>
      </c>
      <c r="AY45" s="528">
        <v>0</v>
      </c>
      <c r="AZ45" s="528"/>
      <c r="BA45" s="528" t="s">
        <v>1145</v>
      </c>
      <c r="BB45" s="528"/>
      <c r="BC45" s="528" t="s">
        <v>1145</v>
      </c>
      <c r="BD45" s="528"/>
      <c r="BE45" s="528"/>
      <c r="BF45" s="564"/>
      <c r="BG45" s="529"/>
      <c r="BH45" s="525"/>
      <c r="BI45" s="528"/>
      <c r="BJ45" s="528" t="s">
        <v>1146</v>
      </c>
      <c r="BK45" s="528"/>
      <c r="BL45" s="529"/>
      <c r="BM45" s="530" t="s">
        <v>1501</v>
      </c>
      <c r="BN45" s="525" t="s">
        <v>408</v>
      </c>
    </row>
    <row r="46" spans="1:66" ht="13" customHeight="1" x14ac:dyDescent="0.2">
      <c r="A46" s="451"/>
      <c r="B46" s="527">
        <v>44229</v>
      </c>
      <c r="C46" s="526" t="s">
        <v>1138</v>
      </c>
      <c r="D46" s="525" t="s">
        <v>1109</v>
      </c>
      <c r="E46" s="527">
        <v>44197</v>
      </c>
      <c r="F46" s="529" t="s">
        <v>1169</v>
      </c>
      <c r="G46" s="525" t="s">
        <v>1561</v>
      </c>
      <c r="H46" s="340">
        <v>81.181818181818173</v>
      </c>
      <c r="I46" s="531" t="s">
        <v>1141</v>
      </c>
      <c r="J46" s="525">
        <v>1645</v>
      </c>
      <c r="K46" s="525">
        <v>3000</v>
      </c>
      <c r="L46" s="525">
        <v>3000</v>
      </c>
      <c r="M46" s="525">
        <v>3000</v>
      </c>
      <c r="N46" s="525"/>
      <c r="O46" s="340">
        <v>2.7</v>
      </c>
      <c r="P46" s="340">
        <v>2.1909090909090909</v>
      </c>
      <c r="Q46" s="340">
        <v>0</v>
      </c>
      <c r="R46" s="532">
        <v>0</v>
      </c>
      <c r="S46" s="532">
        <v>1.8636363636363633</v>
      </c>
      <c r="T46" s="532"/>
      <c r="U46" s="532">
        <v>2.7</v>
      </c>
      <c r="V46" s="532">
        <v>2.1909090909090909</v>
      </c>
      <c r="W46" s="532">
        <v>0</v>
      </c>
      <c r="X46" s="532">
        <v>0</v>
      </c>
      <c r="Y46" s="532">
        <v>1.8636363636363633</v>
      </c>
      <c r="Z46" s="533"/>
      <c r="AA46" s="532"/>
      <c r="AB46" s="532"/>
      <c r="AC46" s="532"/>
      <c r="AD46" s="532"/>
      <c r="AE46" s="532"/>
      <c r="AF46" s="532"/>
      <c r="AG46" s="528" t="s">
        <v>1145</v>
      </c>
      <c r="AH46" s="528"/>
      <c r="AI46" s="333">
        <v>3</v>
      </c>
      <c r="AJ46" s="333">
        <v>3</v>
      </c>
      <c r="AK46" s="480">
        <v>0.5</v>
      </c>
      <c r="AL46" s="480">
        <v>0.5</v>
      </c>
      <c r="AM46" s="525"/>
      <c r="AN46" s="528">
        <v>21</v>
      </c>
      <c r="AO46" s="528">
        <v>0</v>
      </c>
      <c r="AP46" s="528">
        <v>0</v>
      </c>
      <c r="AQ46" s="528">
        <v>0</v>
      </c>
      <c r="AR46" s="528">
        <v>0</v>
      </c>
      <c r="AS46" s="528">
        <v>0</v>
      </c>
      <c r="AT46" s="528">
        <v>0</v>
      </c>
      <c r="AU46" s="528">
        <v>0</v>
      </c>
      <c r="AV46" s="528">
        <v>0</v>
      </c>
      <c r="AW46" s="528">
        <v>0</v>
      </c>
      <c r="AX46" s="528">
        <v>0</v>
      </c>
      <c r="AY46" s="528">
        <v>0</v>
      </c>
      <c r="AZ46" s="528"/>
      <c r="BA46" s="528" t="s">
        <v>1145</v>
      </c>
      <c r="BB46" s="528"/>
      <c r="BC46" s="528" t="s">
        <v>1145</v>
      </c>
      <c r="BD46" s="528"/>
      <c r="BE46" s="528"/>
      <c r="BF46" s="564"/>
      <c r="BG46" s="529"/>
      <c r="BH46" s="525"/>
      <c r="BI46" s="528"/>
      <c r="BJ46" s="528" t="s">
        <v>1146</v>
      </c>
      <c r="BK46" s="528"/>
      <c r="BL46" s="529"/>
      <c r="BM46" s="530"/>
      <c r="BN46" s="525" t="s">
        <v>1121</v>
      </c>
    </row>
    <row r="47" spans="1:66" ht="13" customHeight="1" x14ac:dyDescent="0.2">
      <c r="A47" s="451">
        <v>2678</v>
      </c>
      <c r="B47" s="527">
        <v>44208</v>
      </c>
      <c r="C47" s="526" t="s">
        <v>1138</v>
      </c>
      <c r="D47" s="525" t="s">
        <v>1109</v>
      </c>
      <c r="E47" s="527">
        <v>44013</v>
      </c>
      <c r="F47" s="529" t="s">
        <v>1173</v>
      </c>
      <c r="G47" s="525" t="s">
        <v>1481</v>
      </c>
      <c r="H47" s="340">
        <v>62.999999999999993</v>
      </c>
      <c r="I47" s="531" t="s">
        <v>1141</v>
      </c>
      <c r="J47" s="525">
        <v>1645</v>
      </c>
      <c r="K47" s="525">
        <v>3000</v>
      </c>
      <c r="L47" s="525">
        <v>3000</v>
      </c>
      <c r="M47" s="525">
        <v>3000</v>
      </c>
      <c r="N47" s="525"/>
      <c r="O47" s="340">
        <v>2.2909090909090906</v>
      </c>
      <c r="P47" s="340">
        <v>1.9818181818181817</v>
      </c>
      <c r="Q47" s="340">
        <v>0</v>
      </c>
      <c r="R47" s="532">
        <v>0</v>
      </c>
      <c r="S47" s="532">
        <v>1.6636363636363636</v>
      </c>
      <c r="T47" s="532"/>
      <c r="U47" s="532">
        <v>2.2909090909090906</v>
      </c>
      <c r="V47" s="532">
        <v>1.9818181818181817</v>
      </c>
      <c r="W47" s="532">
        <v>0</v>
      </c>
      <c r="X47" s="532">
        <v>0</v>
      </c>
      <c r="Y47" s="532">
        <v>1.6636363636363636</v>
      </c>
      <c r="Z47" s="533"/>
      <c r="AA47" s="532"/>
      <c r="AB47" s="532"/>
      <c r="AC47" s="532"/>
      <c r="AD47" s="532"/>
      <c r="AE47" s="532"/>
      <c r="AF47" s="532"/>
      <c r="AG47" s="528" t="s">
        <v>1145</v>
      </c>
      <c r="AH47" s="528"/>
      <c r="AI47" s="333">
        <v>3</v>
      </c>
      <c r="AJ47" s="333">
        <v>3</v>
      </c>
      <c r="AK47" s="480">
        <v>0.5</v>
      </c>
      <c r="AL47" s="480">
        <v>0.5</v>
      </c>
      <c r="AM47" s="525"/>
      <c r="AN47" s="528">
        <v>0</v>
      </c>
      <c r="AO47" s="528">
        <v>0</v>
      </c>
      <c r="AP47" s="528">
        <v>0</v>
      </c>
      <c r="AQ47" s="528">
        <v>0</v>
      </c>
      <c r="AR47" s="528">
        <v>0</v>
      </c>
      <c r="AS47" s="528">
        <v>0</v>
      </c>
      <c r="AT47" s="528">
        <v>0</v>
      </c>
      <c r="AU47" s="528">
        <v>0</v>
      </c>
      <c r="AV47" s="528">
        <v>0</v>
      </c>
      <c r="AW47" s="528">
        <v>0</v>
      </c>
      <c r="AX47" s="528">
        <v>0</v>
      </c>
      <c r="AY47" s="528">
        <v>0</v>
      </c>
      <c r="AZ47" s="528"/>
      <c r="BA47" s="528" t="s">
        <v>1145</v>
      </c>
      <c r="BB47" s="528"/>
      <c r="BC47" s="528" t="s">
        <v>1145</v>
      </c>
      <c r="BD47" s="528"/>
      <c r="BE47" s="528"/>
      <c r="BF47" s="564"/>
      <c r="BG47" s="529"/>
      <c r="BH47" s="525"/>
      <c r="BI47" s="528"/>
      <c r="BJ47" s="528" t="s">
        <v>1164</v>
      </c>
      <c r="BK47" s="528"/>
      <c r="BL47" s="529"/>
      <c r="BM47" s="530" t="s">
        <v>1502</v>
      </c>
      <c r="BN47" s="525" t="s">
        <v>368</v>
      </c>
    </row>
    <row r="48" spans="1:66" ht="13" customHeight="1" x14ac:dyDescent="0.2">
      <c r="A48" s="451">
        <v>1684</v>
      </c>
      <c r="B48" s="527">
        <v>44208</v>
      </c>
      <c r="C48" s="526" t="s">
        <v>295</v>
      </c>
      <c r="D48" s="525" t="s">
        <v>1109</v>
      </c>
      <c r="E48" s="527">
        <v>44166</v>
      </c>
      <c r="F48" s="529" t="s">
        <v>1106</v>
      </c>
      <c r="G48" s="525" t="s">
        <v>2</v>
      </c>
      <c r="H48" s="340">
        <v>59.999999999999993</v>
      </c>
      <c r="I48" s="531" t="s">
        <v>296</v>
      </c>
      <c r="J48" s="525">
        <v>3000</v>
      </c>
      <c r="K48" s="525">
        <v>3000</v>
      </c>
      <c r="L48" s="525">
        <v>3000</v>
      </c>
      <c r="M48" s="525">
        <v>3000</v>
      </c>
      <c r="N48" s="525"/>
      <c r="O48" s="340">
        <v>2.0545454545454542</v>
      </c>
      <c r="P48" s="340">
        <v>0</v>
      </c>
      <c r="Q48" s="340">
        <v>0</v>
      </c>
      <c r="R48" s="532">
        <v>0</v>
      </c>
      <c r="S48" s="532">
        <v>1.5545454545454545</v>
      </c>
      <c r="T48" s="532"/>
      <c r="U48" s="532">
        <v>2.0545454545454542</v>
      </c>
      <c r="V48" s="532">
        <v>0</v>
      </c>
      <c r="W48" s="532">
        <v>0</v>
      </c>
      <c r="X48" s="532">
        <v>0</v>
      </c>
      <c r="Y48" s="532">
        <v>1.5545454545454545</v>
      </c>
      <c r="Z48" s="533"/>
      <c r="AA48" s="532"/>
      <c r="AB48" s="532"/>
      <c r="AC48" s="532"/>
      <c r="AD48" s="532"/>
      <c r="AE48" s="532"/>
      <c r="AF48" s="532"/>
      <c r="AG48" s="528" t="s">
        <v>1145</v>
      </c>
      <c r="AH48" s="528"/>
      <c r="AI48" s="333">
        <v>3</v>
      </c>
      <c r="AJ48" s="333">
        <v>3</v>
      </c>
      <c r="AK48" s="480">
        <v>0.5</v>
      </c>
      <c r="AL48" s="480">
        <v>0.5</v>
      </c>
      <c r="AM48" s="525"/>
      <c r="AN48" s="528">
        <v>0</v>
      </c>
      <c r="AO48" s="528">
        <v>0</v>
      </c>
      <c r="AP48" s="528">
        <v>0</v>
      </c>
      <c r="AQ48" s="528">
        <v>0</v>
      </c>
      <c r="AR48" s="528">
        <v>0</v>
      </c>
      <c r="AS48" s="528">
        <v>0</v>
      </c>
      <c r="AT48" s="528">
        <v>0</v>
      </c>
      <c r="AU48" s="528">
        <v>0</v>
      </c>
      <c r="AV48" s="528">
        <v>0</v>
      </c>
      <c r="AW48" s="528">
        <v>0</v>
      </c>
      <c r="AX48" s="528">
        <v>0</v>
      </c>
      <c r="AY48" s="528">
        <v>0</v>
      </c>
      <c r="AZ48" s="528"/>
      <c r="BA48" s="528" t="s">
        <v>1145</v>
      </c>
      <c r="BB48" s="528"/>
      <c r="BC48" s="528" t="s">
        <v>1145</v>
      </c>
      <c r="BD48" s="528"/>
      <c r="BE48" s="528"/>
      <c r="BF48" s="564"/>
      <c r="BG48" s="529"/>
      <c r="BH48" s="525"/>
      <c r="BI48" s="528"/>
      <c r="BJ48" s="528" t="s">
        <v>1146</v>
      </c>
      <c r="BK48" s="528">
        <v>1</v>
      </c>
      <c r="BL48" s="529"/>
      <c r="BM48" s="530" t="s">
        <v>1497</v>
      </c>
      <c r="BN48" s="525" t="s">
        <v>368</v>
      </c>
    </row>
    <row r="49" spans="1:66" ht="13" customHeight="1" x14ac:dyDescent="0.2">
      <c r="A49" s="451"/>
      <c r="B49" s="527">
        <v>44211</v>
      </c>
      <c r="C49" s="526" t="s">
        <v>1138</v>
      </c>
      <c r="D49" s="525" t="s">
        <v>1109</v>
      </c>
      <c r="E49" s="527">
        <v>44228</v>
      </c>
      <c r="F49" s="529" t="s">
        <v>34</v>
      </c>
      <c r="G49" s="525" t="s">
        <v>1181</v>
      </c>
      <c r="H49" s="340">
        <v>67.909090909090907</v>
      </c>
      <c r="I49" s="531"/>
      <c r="J49" s="525"/>
      <c r="K49" s="525"/>
      <c r="L49" s="525"/>
      <c r="M49" s="525"/>
      <c r="N49" s="525"/>
      <c r="O49" s="340">
        <v>1.7545454545454544</v>
      </c>
      <c r="P49" s="340">
        <v>0</v>
      </c>
      <c r="Q49" s="340">
        <v>0</v>
      </c>
      <c r="R49" s="532">
        <v>0</v>
      </c>
      <c r="S49" s="532">
        <v>0</v>
      </c>
      <c r="T49" s="532"/>
      <c r="U49" s="532">
        <v>1.7545454545454544</v>
      </c>
      <c r="V49" s="532">
        <v>0</v>
      </c>
      <c r="W49" s="532">
        <v>0</v>
      </c>
      <c r="X49" s="532">
        <v>0</v>
      </c>
      <c r="Y49" s="532">
        <v>0</v>
      </c>
      <c r="Z49" s="533"/>
      <c r="AA49" s="532"/>
      <c r="AB49" s="532"/>
      <c r="AC49" s="532"/>
      <c r="AD49" s="532"/>
      <c r="AE49" s="532"/>
      <c r="AF49" s="532"/>
      <c r="AG49" s="528" t="s">
        <v>1145</v>
      </c>
      <c r="AH49" s="528"/>
      <c r="AI49" s="333">
        <v>3</v>
      </c>
      <c r="AJ49" s="333">
        <v>3</v>
      </c>
      <c r="AK49" s="480">
        <v>0.5</v>
      </c>
      <c r="AL49" s="480">
        <v>0.5</v>
      </c>
      <c r="AM49" s="525"/>
      <c r="AN49" s="528">
        <v>0</v>
      </c>
      <c r="AO49" s="528">
        <v>0</v>
      </c>
      <c r="AP49" s="528">
        <v>0</v>
      </c>
      <c r="AQ49" s="528">
        <v>0</v>
      </c>
      <c r="AR49" s="528">
        <v>0</v>
      </c>
      <c r="AS49" s="528">
        <v>0</v>
      </c>
      <c r="AT49" s="528">
        <v>0</v>
      </c>
      <c r="AU49" s="528">
        <v>0</v>
      </c>
      <c r="AV49" s="528">
        <v>0</v>
      </c>
      <c r="AW49" s="528">
        <v>0</v>
      </c>
      <c r="AX49" s="528">
        <v>0</v>
      </c>
      <c r="AY49" s="528">
        <v>0</v>
      </c>
      <c r="AZ49" s="528"/>
      <c r="BA49" s="528" t="s">
        <v>1145</v>
      </c>
      <c r="BB49" s="528"/>
      <c r="BC49" s="528" t="s">
        <v>1145</v>
      </c>
      <c r="BD49" s="528"/>
      <c r="BE49" s="528"/>
      <c r="BF49" s="564"/>
      <c r="BG49" s="529"/>
      <c r="BH49" s="525"/>
      <c r="BI49" s="528"/>
      <c r="BJ49" s="528" t="s">
        <v>1164</v>
      </c>
      <c r="BK49" s="528"/>
      <c r="BL49" s="529" t="s">
        <v>1284</v>
      </c>
      <c r="BM49" s="530" t="s">
        <v>1557</v>
      </c>
      <c r="BN49" s="525" t="s">
        <v>1121</v>
      </c>
    </row>
    <row r="50" spans="1:66" ht="13" customHeight="1" x14ac:dyDescent="0.2">
      <c r="A50" s="451">
        <v>2741</v>
      </c>
      <c r="B50" s="527">
        <v>44208</v>
      </c>
      <c r="C50" s="526" t="s">
        <v>1138</v>
      </c>
      <c r="D50" s="525" t="s">
        <v>1109</v>
      </c>
      <c r="E50" s="527">
        <v>44197</v>
      </c>
      <c r="F50" s="529" t="s">
        <v>1274</v>
      </c>
      <c r="G50" s="525" t="s">
        <v>1467</v>
      </c>
      <c r="H50" s="340">
        <v>72.999999999999986</v>
      </c>
      <c r="I50" s="531" t="s">
        <v>1141</v>
      </c>
      <c r="J50" s="525">
        <v>1645</v>
      </c>
      <c r="K50" s="525">
        <v>3000</v>
      </c>
      <c r="L50" s="525">
        <v>3000</v>
      </c>
      <c r="M50" s="525">
        <v>3000</v>
      </c>
      <c r="N50" s="525"/>
      <c r="O50" s="340">
        <v>2.7363636363636359</v>
      </c>
      <c r="P50" s="340">
        <v>2.418181818181818</v>
      </c>
      <c r="Q50" s="340">
        <v>0</v>
      </c>
      <c r="R50" s="532">
        <v>0</v>
      </c>
      <c r="S50" s="532">
        <v>2.0727272727272723</v>
      </c>
      <c r="T50" s="532"/>
      <c r="U50" s="532">
        <v>2.7363636363636359</v>
      </c>
      <c r="V50" s="532">
        <v>2.418181818181818</v>
      </c>
      <c r="W50" s="532">
        <v>0</v>
      </c>
      <c r="X50" s="532">
        <v>0</v>
      </c>
      <c r="Y50" s="532">
        <v>2.0727272727272723</v>
      </c>
      <c r="Z50" s="533"/>
      <c r="AA50" s="532"/>
      <c r="AB50" s="532"/>
      <c r="AC50" s="532"/>
      <c r="AD50" s="532"/>
      <c r="AE50" s="532"/>
      <c r="AF50" s="532"/>
      <c r="AG50" s="528" t="s">
        <v>1145</v>
      </c>
      <c r="AH50" s="528"/>
      <c r="AI50" s="333">
        <v>3</v>
      </c>
      <c r="AJ50" s="333">
        <v>3</v>
      </c>
      <c r="AK50" s="480">
        <v>0.5</v>
      </c>
      <c r="AL50" s="480">
        <v>0.5</v>
      </c>
      <c r="AM50" s="525"/>
      <c r="AN50" s="528">
        <v>0</v>
      </c>
      <c r="AO50" s="528">
        <v>12</v>
      </c>
      <c r="AP50" s="528">
        <v>0</v>
      </c>
      <c r="AQ50" s="528">
        <v>3</v>
      </c>
      <c r="AR50" s="528">
        <v>0</v>
      </c>
      <c r="AS50" s="528">
        <v>0</v>
      </c>
      <c r="AT50" s="528">
        <v>0</v>
      </c>
      <c r="AU50" s="528">
        <v>0</v>
      </c>
      <c r="AV50" s="528">
        <v>0</v>
      </c>
      <c r="AW50" s="528">
        <v>0</v>
      </c>
      <c r="AX50" s="528">
        <v>0</v>
      </c>
      <c r="AY50" s="528">
        <v>0</v>
      </c>
      <c r="AZ50" s="528"/>
      <c r="BA50" s="528" t="s">
        <v>1145</v>
      </c>
      <c r="BB50" s="528"/>
      <c r="BC50" s="528" t="s">
        <v>1145</v>
      </c>
      <c r="BD50" s="528"/>
      <c r="BE50" s="528"/>
      <c r="BF50" s="564"/>
      <c r="BG50" s="529"/>
      <c r="BH50" s="525"/>
      <c r="BI50" s="528"/>
      <c r="BJ50" s="528" t="s">
        <v>1164</v>
      </c>
      <c r="BK50" s="528">
        <v>1</v>
      </c>
      <c r="BL50" s="529"/>
      <c r="BM50" s="530" t="s">
        <v>1493</v>
      </c>
      <c r="BN50" s="525" t="s">
        <v>408</v>
      </c>
    </row>
    <row r="51" spans="1:66" ht="13" customHeight="1" x14ac:dyDescent="0.2">
      <c r="A51" s="451">
        <v>2337</v>
      </c>
      <c r="B51" s="527">
        <v>44210</v>
      </c>
      <c r="C51" s="526" t="s">
        <v>1138</v>
      </c>
      <c r="D51" s="525" t="s">
        <v>1109</v>
      </c>
      <c r="E51" s="527">
        <v>44228</v>
      </c>
      <c r="F51" s="529" t="s">
        <v>1291</v>
      </c>
      <c r="G51" s="525" t="s">
        <v>1181</v>
      </c>
      <c r="H51" s="340">
        <v>59.418181818181814</v>
      </c>
      <c r="I51" s="531"/>
      <c r="J51" s="525"/>
      <c r="K51" s="525"/>
      <c r="L51" s="525"/>
      <c r="M51" s="525"/>
      <c r="N51" s="525"/>
      <c r="O51" s="340">
        <v>1.8181818181818181</v>
      </c>
      <c r="P51" s="340">
        <v>0</v>
      </c>
      <c r="Q51" s="340">
        <v>0</v>
      </c>
      <c r="R51" s="532">
        <v>0</v>
      </c>
      <c r="S51" s="532">
        <v>0</v>
      </c>
      <c r="T51" s="532"/>
      <c r="U51" s="532">
        <v>1.8181818181818181</v>
      </c>
      <c r="V51" s="532">
        <v>0</v>
      </c>
      <c r="W51" s="532">
        <v>0</v>
      </c>
      <c r="X51" s="532">
        <v>0</v>
      </c>
      <c r="Y51" s="532">
        <v>0</v>
      </c>
      <c r="Z51" s="533"/>
      <c r="AA51" s="532"/>
      <c r="AB51" s="532"/>
      <c r="AC51" s="532"/>
      <c r="AD51" s="532"/>
      <c r="AE51" s="532"/>
      <c r="AF51" s="532"/>
      <c r="AG51" s="528" t="s">
        <v>1145</v>
      </c>
      <c r="AH51" s="528"/>
      <c r="AI51" s="333">
        <v>3</v>
      </c>
      <c r="AJ51" s="333">
        <v>3</v>
      </c>
      <c r="AK51" s="480">
        <v>0.5</v>
      </c>
      <c r="AL51" s="480">
        <v>0.5</v>
      </c>
      <c r="AM51" s="525"/>
      <c r="AN51" s="528">
        <v>0</v>
      </c>
      <c r="AO51" s="528">
        <v>0</v>
      </c>
      <c r="AP51" s="528">
        <v>0</v>
      </c>
      <c r="AQ51" s="528">
        <v>0</v>
      </c>
      <c r="AR51" s="528">
        <v>0</v>
      </c>
      <c r="AS51" s="528">
        <v>0</v>
      </c>
      <c r="AT51" s="528">
        <v>0</v>
      </c>
      <c r="AU51" s="528">
        <v>0</v>
      </c>
      <c r="AV51" s="528">
        <v>0</v>
      </c>
      <c r="AW51" s="528">
        <v>0</v>
      </c>
      <c r="AX51" s="528">
        <v>0</v>
      </c>
      <c r="AY51" s="528">
        <v>0</v>
      </c>
      <c r="AZ51" s="528"/>
      <c r="BA51" s="528" t="s">
        <v>1145</v>
      </c>
      <c r="BB51" s="528"/>
      <c r="BC51" s="528" t="s">
        <v>1145</v>
      </c>
      <c r="BD51" s="528"/>
      <c r="BE51" s="528"/>
      <c r="BF51" s="564"/>
      <c r="BG51" s="529"/>
      <c r="BH51" s="525"/>
      <c r="BI51" s="528"/>
      <c r="BJ51" s="528" t="s">
        <v>4</v>
      </c>
      <c r="BK51" s="528"/>
      <c r="BL51" s="529" t="s">
        <v>1284</v>
      </c>
      <c r="BM51" s="530" t="s">
        <v>1552</v>
      </c>
      <c r="BN51" s="525" t="s">
        <v>408</v>
      </c>
    </row>
    <row r="52" spans="1:66" ht="13" customHeight="1" x14ac:dyDescent="0.2">
      <c r="A52" s="451"/>
      <c r="B52" s="527">
        <v>44209</v>
      </c>
      <c r="C52" s="526" t="s">
        <v>10</v>
      </c>
      <c r="D52" s="525" t="s">
        <v>1109</v>
      </c>
      <c r="E52" s="527">
        <v>44153</v>
      </c>
      <c r="F52" s="529" t="s">
        <v>1483</v>
      </c>
      <c r="G52" s="525" t="s">
        <v>1550</v>
      </c>
      <c r="H52" s="340">
        <v>80</v>
      </c>
      <c r="I52" s="531" t="s">
        <v>296</v>
      </c>
      <c r="J52" s="525">
        <v>1645</v>
      </c>
      <c r="K52" s="525">
        <v>3000</v>
      </c>
      <c r="L52" s="525">
        <v>3000</v>
      </c>
      <c r="M52" s="525">
        <v>3000</v>
      </c>
      <c r="N52" s="525"/>
      <c r="O52" s="340">
        <v>1.7999999999999998</v>
      </c>
      <c r="P52" s="340">
        <v>1.5999999999999999</v>
      </c>
      <c r="Q52" s="340">
        <v>0</v>
      </c>
      <c r="R52" s="532">
        <v>0</v>
      </c>
      <c r="S52" s="532">
        <v>1.4</v>
      </c>
      <c r="T52" s="532"/>
      <c r="U52" s="532">
        <v>1.7999999999999998</v>
      </c>
      <c r="V52" s="532">
        <v>1.5999999999999999</v>
      </c>
      <c r="W52" s="532">
        <v>0</v>
      </c>
      <c r="X52" s="532">
        <v>0</v>
      </c>
      <c r="Y52" s="532">
        <v>1.4</v>
      </c>
      <c r="Z52" s="533"/>
      <c r="AA52" s="532"/>
      <c r="AB52" s="532"/>
      <c r="AC52" s="532"/>
      <c r="AD52" s="532"/>
      <c r="AE52" s="532"/>
      <c r="AF52" s="532"/>
      <c r="AG52" s="528" t="s">
        <v>38</v>
      </c>
      <c r="AH52" s="528"/>
      <c r="AI52" s="333">
        <v>3</v>
      </c>
      <c r="AJ52" s="333">
        <v>3</v>
      </c>
      <c r="AK52" s="480">
        <v>0.5</v>
      </c>
      <c r="AL52" s="480">
        <v>0.5</v>
      </c>
      <c r="AM52" s="525" t="s">
        <v>1118</v>
      </c>
      <c r="AN52" s="528">
        <v>0</v>
      </c>
      <c r="AO52" s="528">
        <v>0</v>
      </c>
      <c r="AP52" s="528">
        <v>0</v>
      </c>
      <c r="AQ52" s="528">
        <v>0</v>
      </c>
      <c r="AR52" s="528">
        <v>0</v>
      </c>
      <c r="AS52" s="528">
        <v>0</v>
      </c>
      <c r="AT52" s="528">
        <v>0</v>
      </c>
      <c r="AU52" s="528">
        <v>0</v>
      </c>
      <c r="AV52" s="528">
        <v>0</v>
      </c>
      <c r="AW52" s="528">
        <v>0</v>
      </c>
      <c r="AX52" s="528">
        <v>0</v>
      </c>
      <c r="AY52" s="528">
        <v>0</v>
      </c>
      <c r="AZ52" s="528"/>
      <c r="BA52" s="528" t="s">
        <v>38</v>
      </c>
      <c r="BB52" s="528"/>
      <c r="BC52" s="528" t="s">
        <v>38</v>
      </c>
      <c r="BD52" s="528"/>
      <c r="BE52" s="528">
        <v>12</v>
      </c>
      <c r="BF52" s="564"/>
      <c r="BG52" s="529"/>
      <c r="BH52" s="525"/>
      <c r="BI52" s="528"/>
      <c r="BJ52" s="528" t="s">
        <v>43</v>
      </c>
      <c r="BK52" s="528"/>
      <c r="BL52" s="529"/>
      <c r="BM52" s="530" t="s">
        <v>430</v>
      </c>
      <c r="BN52" s="525" t="s">
        <v>1121</v>
      </c>
    </row>
    <row r="53" spans="1:66" ht="13" customHeight="1" x14ac:dyDescent="0.2">
      <c r="A53" s="451">
        <v>1342</v>
      </c>
      <c r="B53" s="527">
        <v>44208</v>
      </c>
      <c r="C53" s="526" t="s">
        <v>1138</v>
      </c>
      <c r="D53" s="525" t="s">
        <v>1110</v>
      </c>
      <c r="E53" s="527">
        <v>44197</v>
      </c>
      <c r="F53" s="529" t="s">
        <v>1139</v>
      </c>
      <c r="G53" s="525" t="s">
        <v>1140</v>
      </c>
      <c r="H53" s="340">
        <v>62.518181818181809</v>
      </c>
      <c r="I53" s="531" t="s">
        <v>1141</v>
      </c>
      <c r="J53" s="525">
        <v>1645</v>
      </c>
      <c r="K53" s="525">
        <v>3000</v>
      </c>
      <c r="L53" s="525">
        <v>3000</v>
      </c>
      <c r="M53" s="525">
        <v>3000</v>
      </c>
      <c r="N53" s="525"/>
      <c r="O53" s="340">
        <v>2.2727272727272725</v>
      </c>
      <c r="P53" s="340">
        <v>2.0636363636363635</v>
      </c>
      <c r="Q53" s="340">
        <v>0</v>
      </c>
      <c r="R53" s="532">
        <v>0</v>
      </c>
      <c r="S53" s="532">
        <v>1.5454545454545452</v>
      </c>
      <c r="T53" s="532"/>
      <c r="U53" s="532">
        <v>2.2727272727272725</v>
      </c>
      <c r="V53" s="532">
        <v>2.0636363636363635</v>
      </c>
      <c r="W53" s="532">
        <v>0</v>
      </c>
      <c r="X53" s="532">
        <v>0</v>
      </c>
      <c r="Y53" s="532">
        <v>1.5454545454545452</v>
      </c>
      <c r="Z53" s="533"/>
      <c r="AA53" s="532"/>
      <c r="AB53" s="532"/>
      <c r="AC53" s="532"/>
      <c r="AD53" s="532"/>
      <c r="AE53" s="532"/>
      <c r="AF53" s="532"/>
      <c r="AG53" s="528" t="s">
        <v>1145</v>
      </c>
      <c r="AH53" s="528"/>
      <c r="AI53" s="333">
        <v>3</v>
      </c>
      <c r="AJ53" s="333">
        <v>3</v>
      </c>
      <c r="AK53" s="480">
        <v>0.5</v>
      </c>
      <c r="AL53" s="480">
        <v>0.5</v>
      </c>
      <c r="AM53" s="525"/>
      <c r="AN53" s="528">
        <v>0</v>
      </c>
      <c r="AO53" s="528">
        <v>0</v>
      </c>
      <c r="AP53" s="528">
        <v>0</v>
      </c>
      <c r="AQ53" s="528">
        <v>0</v>
      </c>
      <c r="AR53" s="528">
        <v>0</v>
      </c>
      <c r="AS53" s="528">
        <v>0</v>
      </c>
      <c r="AT53" s="528">
        <v>0</v>
      </c>
      <c r="AU53" s="528">
        <v>0</v>
      </c>
      <c r="AV53" s="528">
        <v>0</v>
      </c>
      <c r="AW53" s="528">
        <v>0</v>
      </c>
      <c r="AX53" s="528">
        <v>0</v>
      </c>
      <c r="AY53" s="528">
        <v>0</v>
      </c>
      <c r="AZ53" s="528"/>
      <c r="BA53" s="528" t="s">
        <v>1145</v>
      </c>
      <c r="BB53" s="528">
        <v>12</v>
      </c>
      <c r="BC53" s="528" t="s">
        <v>1145</v>
      </c>
      <c r="BD53" s="528"/>
      <c r="BE53" s="528">
        <v>12</v>
      </c>
      <c r="BF53" s="564"/>
      <c r="BG53" s="529"/>
      <c r="BH53" s="525"/>
      <c r="BI53" s="528"/>
      <c r="BJ53" s="528" t="s">
        <v>1146</v>
      </c>
      <c r="BK53" s="528"/>
      <c r="BL53" s="529"/>
      <c r="BM53" s="530" t="s">
        <v>1503</v>
      </c>
      <c r="BN53" s="525" t="s">
        <v>408</v>
      </c>
    </row>
    <row r="54" spans="1:66" ht="13" customHeight="1" x14ac:dyDescent="0.2">
      <c r="A54" s="451">
        <v>2495</v>
      </c>
      <c r="B54" s="527">
        <v>44208</v>
      </c>
      <c r="C54" s="526" t="s">
        <v>1138</v>
      </c>
      <c r="D54" s="525" t="s">
        <v>1110</v>
      </c>
      <c r="E54" s="527">
        <v>44197</v>
      </c>
      <c r="F54" s="529" t="s">
        <v>1148</v>
      </c>
      <c r="G54" s="525" t="s">
        <v>1280</v>
      </c>
      <c r="H54" s="340">
        <v>55.199999999999996</v>
      </c>
      <c r="I54" s="531" t="s">
        <v>296</v>
      </c>
      <c r="J54" s="525">
        <v>1645</v>
      </c>
      <c r="K54" s="525">
        <v>3000</v>
      </c>
      <c r="L54" s="525">
        <v>3000</v>
      </c>
      <c r="M54" s="525">
        <v>3000</v>
      </c>
      <c r="N54" s="525"/>
      <c r="O54" s="340">
        <v>2.2999999999999998</v>
      </c>
      <c r="P54" s="340">
        <v>1.9545454545454544</v>
      </c>
      <c r="Q54" s="340">
        <v>0</v>
      </c>
      <c r="R54" s="532">
        <v>0</v>
      </c>
      <c r="S54" s="532">
        <v>1.4999999999999998</v>
      </c>
      <c r="T54" s="532"/>
      <c r="U54" s="532">
        <v>2.2999999999999998</v>
      </c>
      <c r="V54" s="532">
        <v>1.9545454545454544</v>
      </c>
      <c r="W54" s="532">
        <v>0</v>
      </c>
      <c r="X54" s="532">
        <v>0</v>
      </c>
      <c r="Y54" s="532">
        <v>1.4999999999999998</v>
      </c>
      <c r="Z54" s="533"/>
      <c r="AA54" s="532"/>
      <c r="AB54" s="532"/>
      <c r="AC54" s="532"/>
      <c r="AD54" s="532"/>
      <c r="AE54" s="532"/>
      <c r="AF54" s="532"/>
      <c r="AG54" s="528" t="s">
        <v>1145</v>
      </c>
      <c r="AH54" s="528"/>
      <c r="AI54" s="333">
        <v>3</v>
      </c>
      <c r="AJ54" s="333">
        <v>3</v>
      </c>
      <c r="AK54" s="480">
        <v>0.5</v>
      </c>
      <c r="AL54" s="480">
        <v>0.5</v>
      </c>
      <c r="AM54" s="525"/>
      <c r="AN54" s="528">
        <v>0</v>
      </c>
      <c r="AO54" s="528">
        <v>0</v>
      </c>
      <c r="AP54" s="528">
        <v>0</v>
      </c>
      <c r="AQ54" s="528">
        <v>0</v>
      </c>
      <c r="AR54" s="528">
        <v>0</v>
      </c>
      <c r="AS54" s="528">
        <v>0</v>
      </c>
      <c r="AT54" s="528">
        <v>0</v>
      </c>
      <c r="AU54" s="528">
        <v>0</v>
      </c>
      <c r="AV54" s="528">
        <v>0</v>
      </c>
      <c r="AW54" s="528">
        <v>0</v>
      </c>
      <c r="AX54" s="528">
        <v>0</v>
      </c>
      <c r="AY54" s="528">
        <v>0</v>
      </c>
      <c r="AZ54" s="528"/>
      <c r="BA54" s="528" t="s">
        <v>1145</v>
      </c>
      <c r="BB54" s="528"/>
      <c r="BC54" s="528" t="s">
        <v>1145</v>
      </c>
      <c r="BD54" s="528"/>
      <c r="BE54" s="528"/>
      <c r="BF54" s="564"/>
      <c r="BG54" s="529"/>
      <c r="BH54" s="525"/>
      <c r="BI54" s="528"/>
      <c r="BJ54" s="528" t="s">
        <v>4</v>
      </c>
      <c r="BK54" s="528"/>
      <c r="BL54" s="529"/>
      <c r="BM54" s="530" t="s">
        <v>430</v>
      </c>
      <c r="BN54" s="525" t="s">
        <v>408</v>
      </c>
    </row>
    <row r="55" spans="1:66" ht="13" customHeight="1" x14ac:dyDescent="0.2">
      <c r="A55" s="451"/>
      <c r="B55" s="527">
        <v>44208</v>
      </c>
      <c r="C55" s="526" t="s">
        <v>1138</v>
      </c>
      <c r="D55" s="525" t="s">
        <v>1110</v>
      </c>
      <c r="E55" s="527">
        <v>44197</v>
      </c>
      <c r="F55" s="529" t="s">
        <v>1152</v>
      </c>
      <c r="G55" s="525" t="s">
        <v>1471</v>
      </c>
      <c r="H55" s="340">
        <v>48.118181818181817</v>
      </c>
      <c r="I55" s="531" t="s">
        <v>1141</v>
      </c>
      <c r="J55" s="525">
        <v>1645</v>
      </c>
      <c r="K55" s="525">
        <v>3000</v>
      </c>
      <c r="L55" s="525">
        <v>3000</v>
      </c>
      <c r="M55" s="525">
        <v>3000</v>
      </c>
      <c r="N55" s="525"/>
      <c r="O55" s="340">
        <v>2.2181818181818178</v>
      </c>
      <c r="P55" s="340">
        <v>1.7999999999999998</v>
      </c>
      <c r="Q55" s="340">
        <v>0</v>
      </c>
      <c r="R55" s="532">
        <v>0</v>
      </c>
      <c r="S55" s="532">
        <v>1.6181818181818182</v>
      </c>
      <c r="T55" s="532"/>
      <c r="U55" s="532">
        <v>2.2181818181818178</v>
      </c>
      <c r="V55" s="532">
        <v>1.7999999999999998</v>
      </c>
      <c r="W55" s="532">
        <v>0</v>
      </c>
      <c r="X55" s="532">
        <v>0</v>
      </c>
      <c r="Y55" s="532">
        <v>1.6181818181818182</v>
      </c>
      <c r="Z55" s="533"/>
      <c r="AA55" s="532"/>
      <c r="AB55" s="532"/>
      <c r="AC55" s="532"/>
      <c r="AD55" s="532"/>
      <c r="AE55" s="532"/>
      <c r="AF55" s="532"/>
      <c r="AG55" s="528" t="s">
        <v>1145</v>
      </c>
      <c r="AH55" s="528"/>
      <c r="AI55" s="333">
        <v>3</v>
      </c>
      <c r="AJ55" s="333">
        <v>3</v>
      </c>
      <c r="AK55" s="480">
        <v>0.5</v>
      </c>
      <c r="AL55" s="480">
        <v>0.5</v>
      </c>
      <c r="AM55" s="525"/>
      <c r="AN55" s="528">
        <v>0</v>
      </c>
      <c r="AO55" s="528">
        <v>0</v>
      </c>
      <c r="AP55" s="528">
        <v>0</v>
      </c>
      <c r="AQ55" s="528">
        <v>0</v>
      </c>
      <c r="AR55" s="528">
        <v>0</v>
      </c>
      <c r="AS55" s="528">
        <v>0</v>
      </c>
      <c r="AT55" s="528">
        <v>0</v>
      </c>
      <c r="AU55" s="528">
        <v>0</v>
      </c>
      <c r="AV55" s="528">
        <v>0</v>
      </c>
      <c r="AW55" s="528">
        <v>0</v>
      </c>
      <c r="AX55" s="528">
        <v>0</v>
      </c>
      <c r="AY55" s="528">
        <v>0</v>
      </c>
      <c r="AZ55" s="528"/>
      <c r="BA55" s="528" t="s">
        <v>1145</v>
      </c>
      <c r="BB55" s="528"/>
      <c r="BC55" s="528" t="s">
        <v>1145</v>
      </c>
      <c r="BD55" s="528"/>
      <c r="BE55" s="528"/>
      <c r="BF55" s="564"/>
      <c r="BG55" s="529"/>
      <c r="BH55" s="525"/>
      <c r="BI55" s="528"/>
      <c r="BJ55" s="528" t="s">
        <v>1146</v>
      </c>
      <c r="BK55" s="528">
        <v>1</v>
      </c>
      <c r="BL55" s="529"/>
      <c r="BM55" s="530" t="s">
        <v>1504</v>
      </c>
      <c r="BN55" s="525" t="s">
        <v>1121</v>
      </c>
    </row>
    <row r="56" spans="1:66" ht="13" customHeight="1" x14ac:dyDescent="0.2">
      <c r="A56" s="451">
        <v>2550</v>
      </c>
      <c r="B56" s="527">
        <v>44209</v>
      </c>
      <c r="C56" s="526" t="s">
        <v>1138</v>
      </c>
      <c r="D56" s="525" t="s">
        <v>1110</v>
      </c>
      <c r="E56" s="527">
        <v>44201</v>
      </c>
      <c r="F56" s="529" t="s">
        <v>1050</v>
      </c>
      <c r="G56" s="525" t="s">
        <v>418</v>
      </c>
      <c r="H56" s="340">
        <v>75</v>
      </c>
      <c r="I56" s="531" t="s">
        <v>1141</v>
      </c>
      <c r="J56" s="525">
        <v>1645</v>
      </c>
      <c r="K56" s="525">
        <v>3000</v>
      </c>
      <c r="L56" s="525">
        <v>3000</v>
      </c>
      <c r="M56" s="525">
        <v>3000</v>
      </c>
      <c r="N56" s="525"/>
      <c r="O56" s="340">
        <v>3.1727272727272728</v>
      </c>
      <c r="P56" s="340">
        <v>2.5</v>
      </c>
      <c r="Q56" s="340">
        <v>0</v>
      </c>
      <c r="R56" s="532">
        <v>0</v>
      </c>
      <c r="S56" s="532">
        <v>2.2545454545454544</v>
      </c>
      <c r="T56" s="532"/>
      <c r="U56" s="532">
        <v>3.1727272727272728</v>
      </c>
      <c r="V56" s="532">
        <v>2.5</v>
      </c>
      <c r="W56" s="532">
        <v>0</v>
      </c>
      <c r="X56" s="532">
        <v>0</v>
      </c>
      <c r="Y56" s="532">
        <v>2.2545454545454544</v>
      </c>
      <c r="Z56" s="533"/>
      <c r="AA56" s="532"/>
      <c r="AB56" s="532"/>
      <c r="AC56" s="532"/>
      <c r="AD56" s="532"/>
      <c r="AE56" s="532"/>
      <c r="AF56" s="532"/>
      <c r="AG56" s="528" t="s">
        <v>1145</v>
      </c>
      <c r="AH56" s="528"/>
      <c r="AI56" s="333">
        <v>3</v>
      </c>
      <c r="AJ56" s="333">
        <v>3</v>
      </c>
      <c r="AK56" s="480">
        <v>0.5</v>
      </c>
      <c r="AL56" s="480">
        <v>0.5</v>
      </c>
      <c r="AM56" s="525"/>
      <c r="AN56" s="528">
        <v>0</v>
      </c>
      <c r="AO56" s="528">
        <v>16</v>
      </c>
      <c r="AP56" s="528">
        <v>0</v>
      </c>
      <c r="AQ56" s="528">
        <v>0</v>
      </c>
      <c r="AR56" s="528">
        <v>0</v>
      </c>
      <c r="AS56" s="528">
        <v>0</v>
      </c>
      <c r="AT56" s="528">
        <v>0</v>
      </c>
      <c r="AU56" s="528">
        <v>0</v>
      </c>
      <c r="AV56" s="528">
        <v>0</v>
      </c>
      <c r="AW56" s="528">
        <v>0</v>
      </c>
      <c r="AX56" s="528">
        <v>0</v>
      </c>
      <c r="AY56" s="528">
        <v>0</v>
      </c>
      <c r="AZ56" s="528"/>
      <c r="BA56" s="528" t="s">
        <v>1145</v>
      </c>
      <c r="BB56" s="528"/>
      <c r="BC56" s="528" t="s">
        <v>1145</v>
      </c>
      <c r="BD56" s="528"/>
      <c r="BE56" s="528"/>
      <c r="BF56" s="564"/>
      <c r="BG56" s="529"/>
      <c r="BH56" s="525"/>
      <c r="BI56" s="528"/>
      <c r="BJ56" s="528" t="s">
        <v>4</v>
      </c>
      <c r="BK56" s="528">
        <v>1</v>
      </c>
      <c r="BL56" s="529"/>
      <c r="BM56" s="530" t="s">
        <v>430</v>
      </c>
      <c r="BN56" s="525" t="s">
        <v>408</v>
      </c>
    </row>
    <row r="57" spans="1:66" ht="13" customHeight="1" x14ac:dyDescent="0.2">
      <c r="A57" s="451">
        <v>2552</v>
      </c>
      <c r="B57" s="527">
        <v>44208</v>
      </c>
      <c r="C57" s="526" t="s">
        <v>1138</v>
      </c>
      <c r="D57" s="525" t="s">
        <v>1110</v>
      </c>
      <c r="E57" s="527">
        <v>44028</v>
      </c>
      <c r="F57" s="529" t="s">
        <v>1052</v>
      </c>
      <c r="G57" s="525" t="s">
        <v>1181</v>
      </c>
      <c r="H57" s="340">
        <v>54.954545454545453</v>
      </c>
      <c r="I57" s="531" t="s">
        <v>1141</v>
      </c>
      <c r="J57" s="525">
        <v>1645</v>
      </c>
      <c r="K57" s="525">
        <v>3000</v>
      </c>
      <c r="L57" s="525">
        <v>3000</v>
      </c>
      <c r="M57" s="525">
        <v>3000</v>
      </c>
      <c r="N57" s="525"/>
      <c r="O57" s="340">
        <v>2.7</v>
      </c>
      <c r="P57" s="340">
        <v>2.1909090909090909</v>
      </c>
      <c r="Q57" s="340">
        <v>0</v>
      </c>
      <c r="R57" s="532">
        <v>0</v>
      </c>
      <c r="S57" s="532">
        <v>1.8818181818181816</v>
      </c>
      <c r="T57" s="532"/>
      <c r="U57" s="532">
        <v>2.7</v>
      </c>
      <c r="V57" s="532">
        <v>2.1909090909090909</v>
      </c>
      <c r="W57" s="532">
        <v>0</v>
      </c>
      <c r="X57" s="532">
        <v>0</v>
      </c>
      <c r="Y57" s="532">
        <v>1.8818181818181816</v>
      </c>
      <c r="Z57" s="533"/>
      <c r="AA57" s="532"/>
      <c r="AB57" s="532"/>
      <c r="AC57" s="532"/>
      <c r="AD57" s="532"/>
      <c r="AE57" s="532"/>
      <c r="AF57" s="532"/>
      <c r="AG57" s="528" t="s">
        <v>1145</v>
      </c>
      <c r="AH57" s="528"/>
      <c r="AI57" s="333">
        <v>3</v>
      </c>
      <c r="AJ57" s="333">
        <v>3</v>
      </c>
      <c r="AK57" s="480">
        <v>0.5</v>
      </c>
      <c r="AL57" s="480">
        <v>0.5</v>
      </c>
      <c r="AM57" s="525"/>
      <c r="AN57" s="528">
        <v>0</v>
      </c>
      <c r="AO57" s="528">
        <v>0</v>
      </c>
      <c r="AP57" s="528">
        <v>0</v>
      </c>
      <c r="AQ57" s="528">
        <v>0</v>
      </c>
      <c r="AR57" s="528">
        <v>0</v>
      </c>
      <c r="AS57" s="528">
        <v>0</v>
      </c>
      <c r="AT57" s="528">
        <v>0</v>
      </c>
      <c r="AU57" s="528">
        <v>0</v>
      </c>
      <c r="AV57" s="528">
        <v>0</v>
      </c>
      <c r="AW57" s="528">
        <v>0</v>
      </c>
      <c r="AX57" s="528">
        <v>0</v>
      </c>
      <c r="AY57" s="528">
        <v>0</v>
      </c>
      <c r="AZ57" s="528"/>
      <c r="BA57" s="528" t="s">
        <v>1145</v>
      </c>
      <c r="BB57" s="528"/>
      <c r="BC57" s="528" t="s">
        <v>1145</v>
      </c>
      <c r="BD57" s="528"/>
      <c r="BE57" s="528"/>
      <c r="BF57" s="564"/>
      <c r="BG57" s="529"/>
      <c r="BH57" s="525"/>
      <c r="BI57" s="528"/>
      <c r="BJ57" s="528" t="s">
        <v>4</v>
      </c>
      <c r="BK57" s="528"/>
      <c r="BL57" s="529"/>
      <c r="BM57" s="530" t="s">
        <v>1214</v>
      </c>
      <c r="BN57" s="525" t="s">
        <v>368</v>
      </c>
    </row>
    <row r="58" spans="1:66" ht="13" customHeight="1" x14ac:dyDescent="0.2">
      <c r="A58" s="451">
        <v>2117</v>
      </c>
      <c r="B58" s="527">
        <v>44208</v>
      </c>
      <c r="C58" s="526" t="s">
        <v>1138</v>
      </c>
      <c r="D58" s="525" t="s">
        <v>1110</v>
      </c>
      <c r="E58" s="527">
        <v>44197</v>
      </c>
      <c r="F58" s="529" t="s">
        <v>1156</v>
      </c>
      <c r="G58" s="525" t="s">
        <v>1157</v>
      </c>
      <c r="H58" s="340">
        <v>84.5</v>
      </c>
      <c r="I58" s="531" t="s">
        <v>1141</v>
      </c>
      <c r="J58" s="525">
        <v>1645</v>
      </c>
      <c r="K58" s="525">
        <v>3000</v>
      </c>
      <c r="L58" s="525">
        <v>3000</v>
      </c>
      <c r="M58" s="525">
        <v>3000</v>
      </c>
      <c r="N58" s="525"/>
      <c r="O58" s="340">
        <v>3.4090909090909087</v>
      </c>
      <c r="P58" s="340">
        <v>2.5909090909090908</v>
      </c>
      <c r="Q58" s="340">
        <v>0</v>
      </c>
      <c r="R58" s="532">
        <v>0</v>
      </c>
      <c r="S58" s="532">
        <v>2.1181818181818182</v>
      </c>
      <c r="T58" s="532"/>
      <c r="U58" s="532">
        <v>3.4090909090909087</v>
      </c>
      <c r="V58" s="532">
        <v>2.5909090909090908</v>
      </c>
      <c r="W58" s="532">
        <v>0</v>
      </c>
      <c r="X58" s="532">
        <v>0</v>
      </c>
      <c r="Y58" s="532">
        <v>2.1181818181818182</v>
      </c>
      <c r="Z58" s="533"/>
      <c r="AA58" s="532"/>
      <c r="AB58" s="532"/>
      <c r="AC58" s="532"/>
      <c r="AD58" s="532"/>
      <c r="AE58" s="532"/>
      <c r="AF58" s="532"/>
      <c r="AG58" s="528" t="s">
        <v>1145</v>
      </c>
      <c r="AH58" s="528"/>
      <c r="AI58" s="333">
        <v>3</v>
      </c>
      <c r="AJ58" s="333">
        <v>3</v>
      </c>
      <c r="AK58" s="480">
        <v>0.5</v>
      </c>
      <c r="AL58" s="480">
        <v>0.5</v>
      </c>
      <c r="AM58" s="525"/>
      <c r="AN58" s="528">
        <v>27</v>
      </c>
      <c r="AO58" s="528">
        <v>0</v>
      </c>
      <c r="AP58" s="528">
        <v>0</v>
      </c>
      <c r="AQ58" s="528">
        <v>0</v>
      </c>
      <c r="AR58" s="528">
        <v>0</v>
      </c>
      <c r="AS58" s="528">
        <v>0</v>
      </c>
      <c r="AT58" s="528">
        <v>0</v>
      </c>
      <c r="AU58" s="528">
        <v>0</v>
      </c>
      <c r="AV58" s="528">
        <v>0</v>
      </c>
      <c r="AW58" s="528">
        <v>0</v>
      </c>
      <c r="AX58" s="528">
        <v>0</v>
      </c>
      <c r="AY58" s="528">
        <v>0</v>
      </c>
      <c r="AZ58" s="528">
        <v>12</v>
      </c>
      <c r="BA58" s="528" t="s">
        <v>1145</v>
      </c>
      <c r="BB58" s="528">
        <v>12</v>
      </c>
      <c r="BC58" s="528" t="s">
        <v>1145</v>
      </c>
      <c r="BD58" s="528"/>
      <c r="BE58" s="528">
        <v>12</v>
      </c>
      <c r="BF58" s="564"/>
      <c r="BG58" s="529"/>
      <c r="BH58" s="525"/>
      <c r="BI58" s="528"/>
      <c r="BJ58" s="528" t="s">
        <v>1146</v>
      </c>
      <c r="BK58" s="528"/>
      <c r="BL58" s="529"/>
      <c r="BM58" s="530" t="s">
        <v>1505</v>
      </c>
      <c r="BN58" s="525" t="s">
        <v>408</v>
      </c>
    </row>
    <row r="59" spans="1:66" ht="13" customHeight="1" x14ac:dyDescent="0.2">
      <c r="A59" s="451">
        <v>2870</v>
      </c>
      <c r="B59" s="527">
        <v>44208</v>
      </c>
      <c r="C59" s="526" t="s">
        <v>1138</v>
      </c>
      <c r="D59" s="525" t="s">
        <v>1110</v>
      </c>
      <c r="E59" s="527">
        <v>44197</v>
      </c>
      <c r="F59" s="529" t="s">
        <v>1159</v>
      </c>
      <c r="G59" s="525" t="s">
        <v>1105</v>
      </c>
      <c r="H59" s="340">
        <v>67.899999999999991</v>
      </c>
      <c r="I59" s="531" t="s">
        <v>1141</v>
      </c>
      <c r="J59" s="525">
        <v>1645</v>
      </c>
      <c r="K59" s="525">
        <v>3000</v>
      </c>
      <c r="L59" s="525">
        <v>3000</v>
      </c>
      <c r="M59" s="525">
        <v>3000</v>
      </c>
      <c r="N59" s="525"/>
      <c r="O59" s="340">
        <v>1.9818181818181817</v>
      </c>
      <c r="P59" s="340">
        <v>1.8818181818181816</v>
      </c>
      <c r="Q59" s="340">
        <v>0</v>
      </c>
      <c r="R59" s="532">
        <v>0</v>
      </c>
      <c r="S59" s="532">
        <v>1.7454545454545451</v>
      </c>
      <c r="T59" s="532"/>
      <c r="U59" s="532">
        <v>1.9818181818181817</v>
      </c>
      <c r="V59" s="532">
        <v>1.8818181818181816</v>
      </c>
      <c r="W59" s="532">
        <v>0</v>
      </c>
      <c r="X59" s="532">
        <v>0</v>
      </c>
      <c r="Y59" s="532">
        <v>1.7454545454545451</v>
      </c>
      <c r="Z59" s="533"/>
      <c r="AA59" s="532"/>
      <c r="AB59" s="532"/>
      <c r="AC59" s="532"/>
      <c r="AD59" s="532"/>
      <c r="AE59" s="532"/>
      <c r="AF59" s="532"/>
      <c r="AG59" s="528" t="s">
        <v>1278</v>
      </c>
      <c r="AH59" s="528"/>
      <c r="AI59" s="333">
        <v>3</v>
      </c>
      <c r="AJ59" s="333">
        <v>3</v>
      </c>
      <c r="AK59" s="480">
        <v>0.5</v>
      </c>
      <c r="AL59" s="480">
        <v>0.5</v>
      </c>
      <c r="AM59" s="525"/>
      <c r="AN59" s="528">
        <v>0</v>
      </c>
      <c r="AO59" s="528">
        <v>0</v>
      </c>
      <c r="AP59" s="528">
        <v>0</v>
      </c>
      <c r="AQ59" s="528">
        <v>0</v>
      </c>
      <c r="AR59" s="528">
        <v>0</v>
      </c>
      <c r="AS59" s="528">
        <v>0</v>
      </c>
      <c r="AT59" s="528">
        <v>0</v>
      </c>
      <c r="AU59" s="528">
        <v>0</v>
      </c>
      <c r="AV59" s="528">
        <v>0</v>
      </c>
      <c r="AW59" s="528">
        <v>0</v>
      </c>
      <c r="AX59" s="528">
        <v>0</v>
      </c>
      <c r="AY59" s="528">
        <v>0</v>
      </c>
      <c r="AZ59" s="528"/>
      <c r="BA59" s="528" t="s">
        <v>1145</v>
      </c>
      <c r="BB59" s="528"/>
      <c r="BC59" s="528" t="s">
        <v>1145</v>
      </c>
      <c r="BD59" s="528"/>
      <c r="BE59" s="528"/>
      <c r="BF59" s="564">
        <v>44651</v>
      </c>
      <c r="BG59" s="529"/>
      <c r="BH59" s="525"/>
      <c r="BI59" s="528"/>
      <c r="BJ59" s="528" t="s">
        <v>1146</v>
      </c>
      <c r="BK59" s="528"/>
      <c r="BL59" s="529"/>
      <c r="BM59" s="530" t="s">
        <v>1507</v>
      </c>
      <c r="BN59" s="525" t="s">
        <v>408</v>
      </c>
    </row>
    <row r="60" spans="1:66" ht="13" customHeight="1" x14ac:dyDescent="0.2">
      <c r="A60" s="451">
        <v>316</v>
      </c>
      <c r="B60" s="527">
        <v>44208</v>
      </c>
      <c r="C60" s="526" t="s">
        <v>1138</v>
      </c>
      <c r="D60" s="525" t="s">
        <v>1110</v>
      </c>
      <c r="E60" s="527">
        <v>44197</v>
      </c>
      <c r="F60" s="529" t="s">
        <v>1160</v>
      </c>
      <c r="G60" s="525" t="s">
        <v>1161</v>
      </c>
      <c r="H60" s="340">
        <v>79.2</v>
      </c>
      <c r="I60" s="531" t="s">
        <v>1141</v>
      </c>
      <c r="J60" s="525">
        <v>1645</v>
      </c>
      <c r="K60" s="525">
        <v>3000</v>
      </c>
      <c r="L60" s="525">
        <v>3000</v>
      </c>
      <c r="M60" s="525">
        <v>3000</v>
      </c>
      <c r="N60" s="525"/>
      <c r="O60" s="340">
        <v>2.7</v>
      </c>
      <c r="P60" s="340">
        <v>2.2999999999999998</v>
      </c>
      <c r="Q60" s="340">
        <v>0</v>
      </c>
      <c r="R60" s="532">
        <v>0</v>
      </c>
      <c r="S60" s="532">
        <v>2</v>
      </c>
      <c r="T60" s="532"/>
      <c r="U60" s="532">
        <v>2.5</v>
      </c>
      <c r="V60" s="532">
        <v>2.1</v>
      </c>
      <c r="W60" s="532">
        <v>0</v>
      </c>
      <c r="X60" s="532">
        <v>0</v>
      </c>
      <c r="Y60" s="532">
        <v>1.7999999999999998</v>
      </c>
      <c r="Z60" s="533"/>
      <c r="AA60" s="532"/>
      <c r="AB60" s="532"/>
      <c r="AC60" s="532"/>
      <c r="AD60" s="532"/>
      <c r="AE60" s="532"/>
      <c r="AF60" s="532"/>
      <c r="AG60" s="528" t="s">
        <v>1143</v>
      </c>
      <c r="AH60" s="528" t="s">
        <v>1144</v>
      </c>
      <c r="AI60" s="333">
        <v>2</v>
      </c>
      <c r="AJ60" s="333">
        <v>4</v>
      </c>
      <c r="AK60" s="480">
        <v>0.33329999999999999</v>
      </c>
      <c r="AL60" s="480">
        <v>0.66659999999999997</v>
      </c>
      <c r="AM60" s="525" t="s">
        <v>1124</v>
      </c>
      <c r="AN60" s="528">
        <v>0</v>
      </c>
      <c r="AO60" s="528">
        <v>0</v>
      </c>
      <c r="AP60" s="528">
        <v>0</v>
      </c>
      <c r="AQ60" s="528">
        <v>0</v>
      </c>
      <c r="AR60" s="528">
        <v>0</v>
      </c>
      <c r="AS60" s="528">
        <v>0</v>
      </c>
      <c r="AT60" s="528">
        <v>0</v>
      </c>
      <c r="AU60" s="528">
        <v>0</v>
      </c>
      <c r="AV60" s="528">
        <v>0</v>
      </c>
      <c r="AW60" s="528">
        <v>0</v>
      </c>
      <c r="AX60" s="528">
        <v>0</v>
      </c>
      <c r="AY60" s="528">
        <v>0</v>
      </c>
      <c r="AZ60" s="528"/>
      <c r="BA60" s="528" t="s">
        <v>1145</v>
      </c>
      <c r="BB60" s="528"/>
      <c r="BC60" s="528" t="s">
        <v>1145</v>
      </c>
      <c r="BD60" s="528"/>
      <c r="BE60" s="528"/>
      <c r="BF60" s="564"/>
      <c r="BG60" s="529"/>
      <c r="BH60" s="525"/>
      <c r="BI60" s="528"/>
      <c r="BJ60" s="528" t="s">
        <v>4</v>
      </c>
      <c r="BK60" s="528"/>
      <c r="BL60" s="529"/>
      <c r="BM60" s="530" t="s">
        <v>1508</v>
      </c>
      <c r="BN60" s="525" t="s">
        <v>408</v>
      </c>
    </row>
    <row r="61" spans="1:66" ht="13" customHeight="1" x14ac:dyDescent="0.2">
      <c r="A61" s="451">
        <v>2845</v>
      </c>
      <c r="B61" s="527">
        <v>44208</v>
      </c>
      <c r="C61" s="526" t="s">
        <v>1138</v>
      </c>
      <c r="D61" s="525" t="s">
        <v>1110</v>
      </c>
      <c r="E61" s="527">
        <v>44197</v>
      </c>
      <c r="F61" s="529" t="s">
        <v>1166</v>
      </c>
      <c r="G61" s="525" t="s">
        <v>1478</v>
      </c>
      <c r="H61" s="340">
        <v>55.272727272727266</v>
      </c>
      <c r="I61" s="531" t="s">
        <v>1141</v>
      </c>
      <c r="J61" s="525">
        <v>6000</v>
      </c>
      <c r="K61" s="525">
        <v>12000</v>
      </c>
      <c r="L61" s="525">
        <v>12000</v>
      </c>
      <c r="M61" s="525">
        <v>12000</v>
      </c>
      <c r="N61" s="525"/>
      <c r="O61" s="340">
        <v>1.7636363636363634</v>
      </c>
      <c r="P61" s="340">
        <v>1.6818181818181817</v>
      </c>
      <c r="Q61" s="340">
        <v>0</v>
      </c>
      <c r="R61" s="532">
        <v>0</v>
      </c>
      <c r="S61" s="532">
        <v>1.4454545454545453</v>
      </c>
      <c r="T61" s="532"/>
      <c r="U61" s="532">
        <v>1.7636363636363634</v>
      </c>
      <c r="V61" s="532">
        <v>1.6818181818181817</v>
      </c>
      <c r="W61" s="532">
        <v>0</v>
      </c>
      <c r="X61" s="532">
        <v>0</v>
      </c>
      <c r="Y61" s="532">
        <v>1.4454545454545453</v>
      </c>
      <c r="Z61" s="533"/>
      <c r="AA61" s="532"/>
      <c r="AB61" s="532"/>
      <c r="AC61" s="532"/>
      <c r="AD61" s="532"/>
      <c r="AE61" s="532"/>
      <c r="AF61" s="532"/>
      <c r="AG61" s="528" t="s">
        <v>1145</v>
      </c>
      <c r="AH61" s="528"/>
      <c r="AI61" s="333">
        <v>3</v>
      </c>
      <c r="AJ61" s="333">
        <v>3</v>
      </c>
      <c r="AK61" s="480">
        <v>0.5</v>
      </c>
      <c r="AL61" s="480">
        <v>0.5</v>
      </c>
      <c r="AM61" s="525"/>
      <c r="AN61" s="528">
        <v>0</v>
      </c>
      <c r="AO61" s="528">
        <v>0</v>
      </c>
      <c r="AP61" s="528">
        <v>0</v>
      </c>
      <c r="AQ61" s="528">
        <v>0</v>
      </c>
      <c r="AR61" s="528">
        <v>0</v>
      </c>
      <c r="AS61" s="528">
        <v>0</v>
      </c>
      <c r="AT61" s="528">
        <v>0</v>
      </c>
      <c r="AU61" s="528">
        <v>0</v>
      </c>
      <c r="AV61" s="528">
        <v>0</v>
      </c>
      <c r="AW61" s="528">
        <v>0</v>
      </c>
      <c r="AX61" s="528">
        <v>0</v>
      </c>
      <c r="AY61" s="528">
        <v>0</v>
      </c>
      <c r="AZ61" s="528"/>
      <c r="BA61" s="528" t="s">
        <v>1145</v>
      </c>
      <c r="BB61" s="528">
        <v>12</v>
      </c>
      <c r="BC61" s="528" t="s">
        <v>1145</v>
      </c>
      <c r="BD61" s="528"/>
      <c r="BE61" s="528">
        <v>12</v>
      </c>
      <c r="BF61" s="564"/>
      <c r="BG61" s="529"/>
      <c r="BH61" s="525"/>
      <c r="BI61" s="528"/>
      <c r="BJ61" s="528" t="s">
        <v>1146</v>
      </c>
      <c r="BK61" s="528"/>
      <c r="BL61" s="529"/>
      <c r="BM61" s="530" t="s">
        <v>1509</v>
      </c>
      <c r="BN61" s="525" t="s">
        <v>408</v>
      </c>
    </row>
    <row r="62" spans="1:66" ht="13" customHeight="1" x14ac:dyDescent="0.2">
      <c r="A62" s="451">
        <v>2398</v>
      </c>
      <c r="B62" s="527">
        <v>44208</v>
      </c>
      <c r="C62" s="526" t="s">
        <v>1138</v>
      </c>
      <c r="D62" s="525" t="s">
        <v>1110</v>
      </c>
      <c r="E62" s="527">
        <v>44197</v>
      </c>
      <c r="F62" s="529" t="s">
        <v>1168</v>
      </c>
      <c r="G62" s="525" t="s">
        <v>1297</v>
      </c>
      <c r="H62" s="340">
        <v>65.518181818181802</v>
      </c>
      <c r="I62" s="531" t="s">
        <v>1141</v>
      </c>
      <c r="J62" s="525">
        <v>1645</v>
      </c>
      <c r="K62" s="525">
        <v>3000</v>
      </c>
      <c r="L62" s="525">
        <v>3000</v>
      </c>
      <c r="M62" s="525">
        <v>3000</v>
      </c>
      <c r="N62" s="525"/>
      <c r="O62" s="340">
        <v>2.4090909090909087</v>
      </c>
      <c r="P62" s="340">
        <v>2.2909090909090906</v>
      </c>
      <c r="Q62" s="340">
        <v>0</v>
      </c>
      <c r="R62" s="532">
        <v>0</v>
      </c>
      <c r="S62" s="532">
        <v>1.6454545454545453</v>
      </c>
      <c r="T62" s="532"/>
      <c r="U62" s="532">
        <v>2.4090909090909087</v>
      </c>
      <c r="V62" s="532">
        <v>2.2909090909090906</v>
      </c>
      <c r="W62" s="532">
        <v>0</v>
      </c>
      <c r="X62" s="532">
        <v>0</v>
      </c>
      <c r="Y62" s="532">
        <v>1.6454545454545453</v>
      </c>
      <c r="Z62" s="533"/>
      <c r="AA62" s="532"/>
      <c r="AB62" s="532"/>
      <c r="AC62" s="532"/>
      <c r="AD62" s="532"/>
      <c r="AE62" s="532"/>
      <c r="AF62" s="532"/>
      <c r="AG62" s="528" t="s">
        <v>1145</v>
      </c>
      <c r="AH62" s="528"/>
      <c r="AI62" s="333">
        <v>3</v>
      </c>
      <c r="AJ62" s="333">
        <v>3</v>
      </c>
      <c r="AK62" s="480">
        <v>0.5</v>
      </c>
      <c r="AL62" s="480">
        <v>0.5</v>
      </c>
      <c r="AM62" s="525"/>
      <c r="AN62" s="528">
        <v>0</v>
      </c>
      <c r="AO62" s="528">
        <v>0</v>
      </c>
      <c r="AP62" s="528">
        <v>0</v>
      </c>
      <c r="AQ62" s="528">
        <v>0</v>
      </c>
      <c r="AR62" s="528">
        <v>0</v>
      </c>
      <c r="AS62" s="528">
        <v>0</v>
      </c>
      <c r="AT62" s="528">
        <v>0</v>
      </c>
      <c r="AU62" s="528">
        <v>0</v>
      </c>
      <c r="AV62" s="528">
        <v>0</v>
      </c>
      <c r="AW62" s="528">
        <v>0</v>
      </c>
      <c r="AX62" s="528">
        <v>0</v>
      </c>
      <c r="AY62" s="528">
        <v>0</v>
      </c>
      <c r="AZ62" s="528"/>
      <c r="BA62" s="528" t="s">
        <v>1145</v>
      </c>
      <c r="BB62" s="528"/>
      <c r="BC62" s="528" t="s">
        <v>1145</v>
      </c>
      <c r="BD62" s="528"/>
      <c r="BE62" s="528"/>
      <c r="BF62" s="564"/>
      <c r="BG62" s="529"/>
      <c r="BH62" s="525"/>
      <c r="BI62" s="528"/>
      <c r="BJ62" s="528" t="s">
        <v>1146</v>
      </c>
      <c r="BK62" s="528"/>
      <c r="BL62" s="529"/>
      <c r="BM62" s="530" t="s">
        <v>1510</v>
      </c>
      <c r="BN62" s="525" t="s">
        <v>408</v>
      </c>
    </row>
    <row r="63" spans="1:66" ht="13" customHeight="1" x14ac:dyDescent="0.2">
      <c r="A63" s="451"/>
      <c r="B63" s="527">
        <v>44229</v>
      </c>
      <c r="C63" s="526" t="s">
        <v>1138</v>
      </c>
      <c r="D63" s="525" t="s">
        <v>1110</v>
      </c>
      <c r="E63" s="527">
        <v>44197</v>
      </c>
      <c r="F63" s="529" t="s">
        <v>1169</v>
      </c>
      <c r="G63" s="525" t="s">
        <v>1561</v>
      </c>
      <c r="H63" s="340">
        <v>69.899999999999991</v>
      </c>
      <c r="I63" s="531" t="s">
        <v>1141</v>
      </c>
      <c r="J63" s="525">
        <v>1645</v>
      </c>
      <c r="K63" s="525">
        <v>3000</v>
      </c>
      <c r="L63" s="525">
        <v>3000</v>
      </c>
      <c r="M63" s="525">
        <v>3000</v>
      </c>
      <c r="N63" s="525"/>
      <c r="O63" s="340">
        <v>2.9727272727272727</v>
      </c>
      <c r="P63" s="340">
        <v>2.3545454545454541</v>
      </c>
      <c r="Q63" s="340">
        <v>0</v>
      </c>
      <c r="R63" s="532">
        <v>0</v>
      </c>
      <c r="S63" s="532">
        <v>1.9818181818181817</v>
      </c>
      <c r="T63" s="532"/>
      <c r="U63" s="532">
        <v>2.9727272727272727</v>
      </c>
      <c r="V63" s="532">
        <v>2.3545454545454541</v>
      </c>
      <c r="W63" s="532">
        <v>0</v>
      </c>
      <c r="X63" s="532">
        <v>0</v>
      </c>
      <c r="Y63" s="532">
        <v>1.9818181818181817</v>
      </c>
      <c r="Z63" s="533"/>
      <c r="AA63" s="532"/>
      <c r="AB63" s="532"/>
      <c r="AC63" s="532"/>
      <c r="AD63" s="532"/>
      <c r="AE63" s="532"/>
      <c r="AF63" s="532"/>
      <c r="AG63" s="528" t="s">
        <v>1145</v>
      </c>
      <c r="AH63" s="528"/>
      <c r="AI63" s="333">
        <v>3</v>
      </c>
      <c r="AJ63" s="333">
        <v>3</v>
      </c>
      <c r="AK63" s="480">
        <v>0.5</v>
      </c>
      <c r="AL63" s="480">
        <v>0.5</v>
      </c>
      <c r="AM63" s="525"/>
      <c r="AN63" s="528">
        <v>21</v>
      </c>
      <c r="AO63" s="528">
        <v>0</v>
      </c>
      <c r="AP63" s="528">
        <v>0</v>
      </c>
      <c r="AQ63" s="528">
        <v>0</v>
      </c>
      <c r="AR63" s="528">
        <v>0</v>
      </c>
      <c r="AS63" s="528">
        <v>0</v>
      </c>
      <c r="AT63" s="528">
        <v>0</v>
      </c>
      <c r="AU63" s="528">
        <v>0</v>
      </c>
      <c r="AV63" s="528">
        <v>0</v>
      </c>
      <c r="AW63" s="528">
        <v>0</v>
      </c>
      <c r="AX63" s="528">
        <v>0</v>
      </c>
      <c r="AY63" s="528">
        <v>0</v>
      </c>
      <c r="AZ63" s="528"/>
      <c r="BA63" s="528" t="s">
        <v>1145</v>
      </c>
      <c r="BB63" s="528"/>
      <c r="BC63" s="528" t="s">
        <v>1145</v>
      </c>
      <c r="BD63" s="528"/>
      <c r="BE63" s="528"/>
      <c r="BF63" s="564"/>
      <c r="BG63" s="529"/>
      <c r="BH63" s="525"/>
      <c r="BI63" s="528"/>
      <c r="BJ63" s="528" t="s">
        <v>1146</v>
      </c>
      <c r="BK63" s="528"/>
      <c r="BL63" s="529"/>
      <c r="BM63" s="530"/>
      <c r="BN63" s="525" t="s">
        <v>1121</v>
      </c>
    </row>
    <row r="64" spans="1:66" ht="13" customHeight="1" x14ac:dyDescent="0.2">
      <c r="A64" s="451">
        <v>2677</v>
      </c>
      <c r="B64" s="527">
        <v>44208</v>
      </c>
      <c r="C64" s="526" t="s">
        <v>1138</v>
      </c>
      <c r="D64" s="525" t="s">
        <v>1110</v>
      </c>
      <c r="E64" s="527">
        <v>44013</v>
      </c>
      <c r="F64" s="529" t="s">
        <v>1173</v>
      </c>
      <c r="G64" s="525" t="s">
        <v>1481</v>
      </c>
      <c r="H64" s="340">
        <v>75</v>
      </c>
      <c r="I64" s="531" t="s">
        <v>1141</v>
      </c>
      <c r="J64" s="525">
        <v>1645</v>
      </c>
      <c r="K64" s="525">
        <v>3000</v>
      </c>
      <c r="L64" s="525">
        <v>3000</v>
      </c>
      <c r="M64" s="525">
        <v>3000</v>
      </c>
      <c r="N64" s="525"/>
      <c r="O64" s="340">
        <v>2.2363636363636363</v>
      </c>
      <c r="P64" s="340">
        <v>2.1818181818181817</v>
      </c>
      <c r="Q64" s="340">
        <v>0</v>
      </c>
      <c r="R64" s="532">
        <v>0</v>
      </c>
      <c r="S64" s="532">
        <v>1.5909090909090908</v>
      </c>
      <c r="T64" s="532"/>
      <c r="U64" s="532">
        <v>2.2363636363636363</v>
      </c>
      <c r="V64" s="532">
        <v>2.1818181818181817</v>
      </c>
      <c r="W64" s="532">
        <v>0</v>
      </c>
      <c r="X64" s="532">
        <v>0</v>
      </c>
      <c r="Y64" s="532">
        <v>1.5909090909090908</v>
      </c>
      <c r="Z64" s="533"/>
      <c r="AA64" s="532"/>
      <c r="AB64" s="532"/>
      <c r="AC64" s="532"/>
      <c r="AD64" s="532"/>
      <c r="AE64" s="532"/>
      <c r="AF64" s="532"/>
      <c r="AG64" s="528" t="s">
        <v>1145</v>
      </c>
      <c r="AH64" s="528"/>
      <c r="AI64" s="333">
        <v>3</v>
      </c>
      <c r="AJ64" s="333">
        <v>3</v>
      </c>
      <c r="AK64" s="480">
        <v>0.5</v>
      </c>
      <c r="AL64" s="480">
        <v>0.5</v>
      </c>
      <c r="AM64" s="525"/>
      <c r="AN64" s="528">
        <v>0</v>
      </c>
      <c r="AO64" s="528">
        <v>0</v>
      </c>
      <c r="AP64" s="528">
        <v>0</v>
      </c>
      <c r="AQ64" s="528">
        <v>0</v>
      </c>
      <c r="AR64" s="528">
        <v>0</v>
      </c>
      <c r="AS64" s="528">
        <v>0</v>
      </c>
      <c r="AT64" s="528">
        <v>0</v>
      </c>
      <c r="AU64" s="528">
        <v>0</v>
      </c>
      <c r="AV64" s="528">
        <v>0</v>
      </c>
      <c r="AW64" s="528">
        <v>0</v>
      </c>
      <c r="AX64" s="528">
        <v>0</v>
      </c>
      <c r="AY64" s="528">
        <v>0</v>
      </c>
      <c r="AZ64" s="528"/>
      <c r="BA64" s="528" t="s">
        <v>1145</v>
      </c>
      <c r="BB64" s="528"/>
      <c r="BC64" s="528" t="s">
        <v>1145</v>
      </c>
      <c r="BD64" s="528"/>
      <c r="BE64" s="528"/>
      <c r="BF64" s="564"/>
      <c r="BG64" s="529"/>
      <c r="BH64" s="525"/>
      <c r="BI64" s="528"/>
      <c r="BJ64" s="528" t="s">
        <v>1164</v>
      </c>
      <c r="BK64" s="528"/>
      <c r="BL64" s="529"/>
      <c r="BM64" s="530" t="s">
        <v>1511</v>
      </c>
      <c r="BN64" s="525" t="s">
        <v>368</v>
      </c>
    </row>
    <row r="65" spans="1:66" ht="13" customHeight="1" x14ac:dyDescent="0.2">
      <c r="A65" s="451">
        <v>1686</v>
      </c>
      <c r="B65" s="527">
        <v>44208</v>
      </c>
      <c r="C65" s="526" t="s">
        <v>295</v>
      </c>
      <c r="D65" s="525" t="s">
        <v>1110</v>
      </c>
      <c r="E65" s="527">
        <v>44166</v>
      </c>
      <c r="F65" s="529" t="s">
        <v>1106</v>
      </c>
      <c r="G65" s="525" t="s">
        <v>2</v>
      </c>
      <c r="H65" s="340">
        <v>59.999999999999993</v>
      </c>
      <c r="I65" s="531" t="s">
        <v>296</v>
      </c>
      <c r="J65" s="525">
        <v>3000</v>
      </c>
      <c r="K65" s="525">
        <v>3000</v>
      </c>
      <c r="L65" s="525">
        <v>3000</v>
      </c>
      <c r="M65" s="525">
        <v>3000</v>
      </c>
      <c r="N65" s="525"/>
      <c r="O65" s="340">
        <v>2.0545454545454542</v>
      </c>
      <c r="P65" s="340">
        <v>0</v>
      </c>
      <c r="Q65" s="340">
        <v>0</v>
      </c>
      <c r="R65" s="532">
        <v>0</v>
      </c>
      <c r="S65" s="532">
        <v>1.4999999999999998</v>
      </c>
      <c r="T65" s="532"/>
      <c r="U65" s="532">
        <v>2.0545454545454542</v>
      </c>
      <c r="V65" s="532">
        <v>0</v>
      </c>
      <c r="W65" s="532">
        <v>0</v>
      </c>
      <c r="X65" s="532">
        <v>0</v>
      </c>
      <c r="Y65" s="532">
        <v>1.4999999999999998</v>
      </c>
      <c r="Z65" s="533"/>
      <c r="AA65" s="532"/>
      <c r="AB65" s="532"/>
      <c r="AC65" s="532"/>
      <c r="AD65" s="532"/>
      <c r="AE65" s="532"/>
      <c r="AF65" s="532"/>
      <c r="AG65" s="528" t="s">
        <v>1145</v>
      </c>
      <c r="AH65" s="528"/>
      <c r="AI65" s="333">
        <v>3</v>
      </c>
      <c r="AJ65" s="333">
        <v>3</v>
      </c>
      <c r="AK65" s="480">
        <v>0.5</v>
      </c>
      <c r="AL65" s="480">
        <v>0.5</v>
      </c>
      <c r="AM65" s="525"/>
      <c r="AN65" s="528">
        <v>0</v>
      </c>
      <c r="AO65" s="528">
        <v>0</v>
      </c>
      <c r="AP65" s="528">
        <v>0</v>
      </c>
      <c r="AQ65" s="528">
        <v>0</v>
      </c>
      <c r="AR65" s="528">
        <v>0</v>
      </c>
      <c r="AS65" s="528">
        <v>0</v>
      </c>
      <c r="AT65" s="528">
        <v>0</v>
      </c>
      <c r="AU65" s="528">
        <v>0</v>
      </c>
      <c r="AV65" s="528">
        <v>0</v>
      </c>
      <c r="AW65" s="528">
        <v>0</v>
      </c>
      <c r="AX65" s="528">
        <v>0</v>
      </c>
      <c r="AY65" s="528">
        <v>0</v>
      </c>
      <c r="AZ65" s="528"/>
      <c r="BA65" s="528" t="s">
        <v>1145</v>
      </c>
      <c r="BB65" s="528"/>
      <c r="BC65" s="528" t="s">
        <v>1145</v>
      </c>
      <c r="BD65" s="528"/>
      <c r="BE65" s="528"/>
      <c r="BF65" s="564"/>
      <c r="BG65" s="529"/>
      <c r="BH65" s="525"/>
      <c r="BI65" s="528"/>
      <c r="BJ65" s="528" t="s">
        <v>1146</v>
      </c>
      <c r="BK65" s="528">
        <v>1</v>
      </c>
      <c r="BL65" s="529"/>
      <c r="BM65" s="530" t="s">
        <v>1506</v>
      </c>
      <c r="BN65" s="525" t="s">
        <v>368</v>
      </c>
    </row>
    <row r="66" spans="1:66" ht="13" customHeight="1" x14ac:dyDescent="0.2">
      <c r="A66" s="451"/>
      <c r="B66" s="527">
        <v>44211</v>
      </c>
      <c r="C66" s="526" t="s">
        <v>1138</v>
      </c>
      <c r="D66" s="525" t="s">
        <v>1110</v>
      </c>
      <c r="E66" s="527">
        <v>44228</v>
      </c>
      <c r="F66" s="529" t="s">
        <v>34</v>
      </c>
      <c r="G66" s="525" t="s">
        <v>1181</v>
      </c>
      <c r="H66" s="340">
        <v>67.909090909090907</v>
      </c>
      <c r="I66" s="531"/>
      <c r="J66" s="525"/>
      <c r="K66" s="525"/>
      <c r="L66" s="525"/>
      <c r="M66" s="525"/>
      <c r="N66" s="525"/>
      <c r="O66" s="340">
        <v>1.7999999999999998</v>
      </c>
      <c r="P66" s="340">
        <v>0</v>
      </c>
      <c r="Q66" s="340">
        <v>0</v>
      </c>
      <c r="R66" s="532">
        <v>0</v>
      </c>
      <c r="S66" s="532">
        <v>0</v>
      </c>
      <c r="T66" s="532"/>
      <c r="U66" s="532">
        <v>1.7999999999999998</v>
      </c>
      <c r="V66" s="532">
        <v>0</v>
      </c>
      <c r="W66" s="532">
        <v>0</v>
      </c>
      <c r="X66" s="532">
        <v>0</v>
      </c>
      <c r="Y66" s="532">
        <v>0</v>
      </c>
      <c r="Z66" s="533"/>
      <c r="AA66" s="532"/>
      <c r="AB66" s="532"/>
      <c r="AC66" s="532"/>
      <c r="AD66" s="532"/>
      <c r="AE66" s="532"/>
      <c r="AF66" s="532"/>
      <c r="AG66" s="528" t="s">
        <v>1145</v>
      </c>
      <c r="AH66" s="528"/>
      <c r="AI66" s="333">
        <v>3</v>
      </c>
      <c r="AJ66" s="333">
        <v>3</v>
      </c>
      <c r="AK66" s="480">
        <v>0.5</v>
      </c>
      <c r="AL66" s="480">
        <v>0.5</v>
      </c>
      <c r="AM66" s="525"/>
      <c r="AN66" s="528">
        <v>0</v>
      </c>
      <c r="AO66" s="528">
        <v>0</v>
      </c>
      <c r="AP66" s="528">
        <v>0</v>
      </c>
      <c r="AQ66" s="528">
        <v>0</v>
      </c>
      <c r="AR66" s="528">
        <v>0</v>
      </c>
      <c r="AS66" s="528">
        <v>0</v>
      </c>
      <c r="AT66" s="528">
        <v>0</v>
      </c>
      <c r="AU66" s="528">
        <v>0</v>
      </c>
      <c r="AV66" s="528">
        <v>0</v>
      </c>
      <c r="AW66" s="528">
        <v>0</v>
      </c>
      <c r="AX66" s="528">
        <v>0</v>
      </c>
      <c r="AY66" s="528">
        <v>0</v>
      </c>
      <c r="AZ66" s="528"/>
      <c r="BA66" s="528" t="s">
        <v>1145</v>
      </c>
      <c r="BB66" s="528"/>
      <c r="BC66" s="528" t="s">
        <v>1145</v>
      </c>
      <c r="BD66" s="528"/>
      <c r="BE66" s="528"/>
      <c r="BF66" s="564"/>
      <c r="BG66" s="529"/>
      <c r="BH66" s="525"/>
      <c r="BI66" s="528"/>
      <c r="BJ66" s="528" t="s">
        <v>1164</v>
      </c>
      <c r="BK66" s="528"/>
      <c r="BL66" s="529" t="s">
        <v>1284</v>
      </c>
      <c r="BM66" s="530" t="s">
        <v>1558</v>
      </c>
      <c r="BN66" s="525" t="s">
        <v>1121</v>
      </c>
    </row>
    <row r="67" spans="1:66" ht="13" customHeight="1" x14ac:dyDescent="0.2">
      <c r="A67" s="451">
        <v>2740</v>
      </c>
      <c r="B67" s="527">
        <v>44208</v>
      </c>
      <c r="C67" s="526" t="s">
        <v>1138</v>
      </c>
      <c r="D67" s="525" t="s">
        <v>1110</v>
      </c>
      <c r="E67" s="527">
        <v>44197</v>
      </c>
      <c r="F67" s="529" t="s">
        <v>1274</v>
      </c>
      <c r="G67" s="525" t="s">
        <v>1467</v>
      </c>
      <c r="H67" s="340">
        <v>72.999999999999986</v>
      </c>
      <c r="I67" s="531" t="s">
        <v>1141</v>
      </c>
      <c r="J67" s="525">
        <v>1645</v>
      </c>
      <c r="K67" s="525">
        <v>3000</v>
      </c>
      <c r="L67" s="525">
        <v>3000</v>
      </c>
      <c r="M67" s="525">
        <v>3000</v>
      </c>
      <c r="N67" s="525"/>
      <c r="O67" s="340">
        <v>2.7363636363636359</v>
      </c>
      <c r="P67" s="340">
        <v>2.418181818181818</v>
      </c>
      <c r="Q67" s="340">
        <v>0</v>
      </c>
      <c r="R67" s="532">
        <v>0</v>
      </c>
      <c r="S67" s="532">
        <v>2.0727272727272723</v>
      </c>
      <c r="T67" s="532"/>
      <c r="U67" s="532">
        <v>2.7363636363636359</v>
      </c>
      <c r="V67" s="532">
        <v>2.418181818181818</v>
      </c>
      <c r="W67" s="532">
        <v>0</v>
      </c>
      <c r="X67" s="532">
        <v>0</v>
      </c>
      <c r="Y67" s="532">
        <v>2.0727272727272723</v>
      </c>
      <c r="Z67" s="533"/>
      <c r="AA67" s="532"/>
      <c r="AB67" s="532"/>
      <c r="AC67" s="532"/>
      <c r="AD67" s="532"/>
      <c r="AE67" s="532"/>
      <c r="AF67" s="532"/>
      <c r="AG67" s="528" t="s">
        <v>1145</v>
      </c>
      <c r="AH67" s="528"/>
      <c r="AI67" s="333">
        <v>3</v>
      </c>
      <c r="AJ67" s="333">
        <v>3</v>
      </c>
      <c r="AK67" s="480">
        <v>0.5</v>
      </c>
      <c r="AL67" s="480">
        <v>0.5</v>
      </c>
      <c r="AM67" s="525"/>
      <c r="AN67" s="528">
        <v>0</v>
      </c>
      <c r="AO67" s="528">
        <v>12</v>
      </c>
      <c r="AP67" s="528">
        <v>0</v>
      </c>
      <c r="AQ67" s="528">
        <v>3</v>
      </c>
      <c r="AR67" s="528">
        <v>0</v>
      </c>
      <c r="AS67" s="528">
        <v>0</v>
      </c>
      <c r="AT67" s="528">
        <v>0</v>
      </c>
      <c r="AU67" s="528">
        <v>0</v>
      </c>
      <c r="AV67" s="528">
        <v>0</v>
      </c>
      <c r="AW67" s="528">
        <v>0</v>
      </c>
      <c r="AX67" s="528">
        <v>0</v>
      </c>
      <c r="AY67" s="528">
        <v>0</v>
      </c>
      <c r="AZ67" s="528"/>
      <c r="BA67" s="528" t="s">
        <v>1145</v>
      </c>
      <c r="BB67" s="528"/>
      <c r="BC67" s="528" t="s">
        <v>1145</v>
      </c>
      <c r="BD67" s="528"/>
      <c r="BE67" s="528"/>
      <c r="BF67" s="564"/>
      <c r="BG67" s="529"/>
      <c r="BH67" s="525"/>
      <c r="BI67" s="528"/>
      <c r="BJ67" s="528" t="s">
        <v>1164</v>
      </c>
      <c r="BK67" s="528">
        <v>1</v>
      </c>
      <c r="BL67" s="529"/>
      <c r="BM67" s="530" t="s">
        <v>1469</v>
      </c>
      <c r="BN67" s="525" t="s">
        <v>408</v>
      </c>
    </row>
    <row r="68" spans="1:66" ht="13" customHeight="1" x14ac:dyDescent="0.2">
      <c r="A68" s="451">
        <v>2336</v>
      </c>
      <c r="B68" s="527">
        <v>44210</v>
      </c>
      <c r="C68" s="526" t="s">
        <v>1138</v>
      </c>
      <c r="D68" s="525" t="s">
        <v>1110</v>
      </c>
      <c r="E68" s="527">
        <v>44228</v>
      </c>
      <c r="F68" s="529" t="s">
        <v>1291</v>
      </c>
      <c r="G68" s="525" t="s">
        <v>1181</v>
      </c>
      <c r="H68" s="340">
        <v>59.418181818181814</v>
      </c>
      <c r="I68" s="531"/>
      <c r="J68" s="525"/>
      <c r="K68" s="525"/>
      <c r="L68" s="525"/>
      <c r="M68" s="525"/>
      <c r="N68" s="525"/>
      <c r="O68" s="340">
        <v>1.9545454545454544</v>
      </c>
      <c r="P68" s="340">
        <v>0</v>
      </c>
      <c r="Q68" s="340">
        <v>0</v>
      </c>
      <c r="R68" s="532">
        <v>0</v>
      </c>
      <c r="S68" s="532">
        <v>0</v>
      </c>
      <c r="T68" s="532"/>
      <c r="U68" s="532">
        <v>1.9545454545454544</v>
      </c>
      <c r="V68" s="532">
        <v>0</v>
      </c>
      <c r="W68" s="532">
        <v>0</v>
      </c>
      <c r="X68" s="532">
        <v>0</v>
      </c>
      <c r="Y68" s="532">
        <v>0</v>
      </c>
      <c r="Z68" s="533"/>
      <c r="AA68" s="532"/>
      <c r="AB68" s="532"/>
      <c r="AC68" s="532"/>
      <c r="AD68" s="532"/>
      <c r="AE68" s="532"/>
      <c r="AF68" s="532"/>
      <c r="AG68" s="528" t="s">
        <v>1145</v>
      </c>
      <c r="AH68" s="528"/>
      <c r="AI68" s="333">
        <v>3</v>
      </c>
      <c r="AJ68" s="333">
        <v>3</v>
      </c>
      <c r="AK68" s="480">
        <v>0.5</v>
      </c>
      <c r="AL68" s="480">
        <v>0.5</v>
      </c>
      <c r="AM68" s="525"/>
      <c r="AN68" s="528">
        <v>0</v>
      </c>
      <c r="AO68" s="528">
        <v>0</v>
      </c>
      <c r="AP68" s="528">
        <v>0</v>
      </c>
      <c r="AQ68" s="528">
        <v>0</v>
      </c>
      <c r="AR68" s="528">
        <v>0</v>
      </c>
      <c r="AS68" s="528">
        <v>0</v>
      </c>
      <c r="AT68" s="528">
        <v>0</v>
      </c>
      <c r="AU68" s="528">
        <v>0</v>
      </c>
      <c r="AV68" s="528">
        <v>0</v>
      </c>
      <c r="AW68" s="528">
        <v>0</v>
      </c>
      <c r="AX68" s="528">
        <v>0</v>
      </c>
      <c r="AY68" s="528">
        <v>0</v>
      </c>
      <c r="AZ68" s="528"/>
      <c r="BA68" s="528" t="s">
        <v>1145</v>
      </c>
      <c r="BB68" s="528"/>
      <c r="BC68" s="528" t="s">
        <v>1145</v>
      </c>
      <c r="BD68" s="528"/>
      <c r="BE68" s="528"/>
      <c r="BF68" s="564"/>
      <c r="BG68" s="529"/>
      <c r="BH68" s="525"/>
      <c r="BI68" s="528"/>
      <c r="BJ68" s="528" t="s">
        <v>4</v>
      </c>
      <c r="BK68" s="528"/>
      <c r="BL68" s="529" t="s">
        <v>1284</v>
      </c>
      <c r="BM68" s="530" t="s">
        <v>1553</v>
      </c>
      <c r="BN68" s="525" t="s">
        <v>408</v>
      </c>
    </row>
    <row r="69" spans="1:66" ht="13" customHeight="1" x14ac:dyDescent="0.2">
      <c r="A69" s="451"/>
      <c r="B69" s="527">
        <v>44209</v>
      </c>
      <c r="C69" s="526" t="s">
        <v>10</v>
      </c>
      <c r="D69" s="525" t="s">
        <v>1110</v>
      </c>
      <c r="E69" s="527">
        <v>44153</v>
      </c>
      <c r="F69" s="529" t="s">
        <v>1483</v>
      </c>
      <c r="G69" s="525" t="s">
        <v>1550</v>
      </c>
      <c r="H69" s="340">
        <v>82</v>
      </c>
      <c r="I69" s="531" t="s">
        <v>296</v>
      </c>
      <c r="J69" s="525">
        <v>1645</v>
      </c>
      <c r="K69" s="525">
        <v>3000</v>
      </c>
      <c r="L69" s="525">
        <v>3000</v>
      </c>
      <c r="M69" s="525">
        <v>3000</v>
      </c>
      <c r="N69" s="525"/>
      <c r="O69" s="340">
        <v>1.7999999999999998</v>
      </c>
      <c r="P69" s="340">
        <v>1.5999999999999999</v>
      </c>
      <c r="Q69" s="340">
        <v>0</v>
      </c>
      <c r="R69" s="532">
        <v>0</v>
      </c>
      <c r="S69" s="532">
        <v>1.2999999999999998</v>
      </c>
      <c r="T69" s="532"/>
      <c r="U69" s="532">
        <v>1.7999999999999998</v>
      </c>
      <c r="V69" s="532">
        <v>1.5999999999999999</v>
      </c>
      <c r="W69" s="532">
        <v>0</v>
      </c>
      <c r="X69" s="532">
        <v>0</v>
      </c>
      <c r="Y69" s="532">
        <v>1.2999999999999998</v>
      </c>
      <c r="Z69" s="533"/>
      <c r="AA69" s="532"/>
      <c r="AB69" s="532"/>
      <c r="AC69" s="532"/>
      <c r="AD69" s="532"/>
      <c r="AE69" s="532"/>
      <c r="AF69" s="532"/>
      <c r="AG69" s="528" t="s">
        <v>38</v>
      </c>
      <c r="AH69" s="528"/>
      <c r="AI69" s="333">
        <v>3</v>
      </c>
      <c r="AJ69" s="333">
        <v>3</v>
      </c>
      <c r="AK69" s="480">
        <v>0.5</v>
      </c>
      <c r="AL69" s="480">
        <v>0.5</v>
      </c>
      <c r="AM69" s="525" t="s">
        <v>1118</v>
      </c>
      <c r="AN69" s="528">
        <v>0</v>
      </c>
      <c r="AO69" s="528">
        <v>0</v>
      </c>
      <c r="AP69" s="528">
        <v>0</v>
      </c>
      <c r="AQ69" s="528">
        <v>0</v>
      </c>
      <c r="AR69" s="528">
        <v>0</v>
      </c>
      <c r="AS69" s="528">
        <v>0</v>
      </c>
      <c r="AT69" s="528">
        <v>0</v>
      </c>
      <c r="AU69" s="528">
        <v>0</v>
      </c>
      <c r="AV69" s="528">
        <v>0</v>
      </c>
      <c r="AW69" s="528">
        <v>0</v>
      </c>
      <c r="AX69" s="528">
        <v>0</v>
      </c>
      <c r="AY69" s="528">
        <v>0</v>
      </c>
      <c r="AZ69" s="528"/>
      <c r="BA69" s="528" t="s">
        <v>38</v>
      </c>
      <c r="BB69" s="528"/>
      <c r="BC69" s="528" t="s">
        <v>38</v>
      </c>
      <c r="BD69" s="528"/>
      <c r="BE69" s="528">
        <v>12</v>
      </c>
      <c r="BF69" s="564"/>
      <c r="BG69" s="529"/>
      <c r="BH69" s="525"/>
      <c r="BI69" s="528"/>
      <c r="BJ69" s="528" t="s">
        <v>43</v>
      </c>
      <c r="BK69" s="528"/>
      <c r="BL69" s="529"/>
      <c r="BM69" s="530" t="s">
        <v>430</v>
      </c>
      <c r="BN69" s="525" t="s">
        <v>1121</v>
      </c>
    </row>
    <row r="70" spans="1:66" ht="13" customHeight="1" x14ac:dyDescent="0.2">
      <c r="A70" s="451">
        <v>1366</v>
      </c>
      <c r="B70" s="527">
        <v>44208</v>
      </c>
      <c r="C70" s="526" t="s">
        <v>295</v>
      </c>
      <c r="D70" s="525" t="s">
        <v>1111</v>
      </c>
      <c r="E70" s="527">
        <v>44197</v>
      </c>
      <c r="F70" s="529" t="s">
        <v>1044</v>
      </c>
      <c r="G70" s="525" t="s">
        <v>1140</v>
      </c>
      <c r="H70" s="340">
        <v>62.518181818181809</v>
      </c>
      <c r="I70" s="531" t="s">
        <v>296</v>
      </c>
      <c r="J70" s="525">
        <v>1645</v>
      </c>
      <c r="K70" s="525">
        <v>3000</v>
      </c>
      <c r="L70" s="525">
        <v>3000</v>
      </c>
      <c r="M70" s="525">
        <v>3000</v>
      </c>
      <c r="N70" s="525"/>
      <c r="O70" s="340">
        <v>2.2727272727272725</v>
      </c>
      <c r="P70" s="340">
        <v>2.0636363636363635</v>
      </c>
      <c r="Q70" s="340">
        <v>0</v>
      </c>
      <c r="R70" s="532">
        <v>0</v>
      </c>
      <c r="S70" s="532">
        <v>1.5454545454545452</v>
      </c>
      <c r="T70" s="532"/>
      <c r="U70" s="532">
        <v>2.2727272727272725</v>
      </c>
      <c r="V70" s="532">
        <v>2.0636363636363635</v>
      </c>
      <c r="W70" s="532">
        <v>0</v>
      </c>
      <c r="X70" s="532">
        <v>0</v>
      </c>
      <c r="Y70" s="532">
        <v>1.5454545454545452</v>
      </c>
      <c r="Z70" s="533"/>
      <c r="AA70" s="532"/>
      <c r="AB70" s="532"/>
      <c r="AC70" s="532"/>
      <c r="AD70" s="532"/>
      <c r="AE70" s="532"/>
      <c r="AF70" s="532"/>
      <c r="AG70" s="528" t="s">
        <v>1145</v>
      </c>
      <c r="AH70" s="528"/>
      <c r="AI70" s="333">
        <v>3</v>
      </c>
      <c r="AJ70" s="333">
        <v>3</v>
      </c>
      <c r="AK70" s="480">
        <v>0.5</v>
      </c>
      <c r="AL70" s="480">
        <v>0.5</v>
      </c>
      <c r="AM70" s="525"/>
      <c r="AN70" s="528">
        <v>0</v>
      </c>
      <c r="AO70" s="528">
        <v>0</v>
      </c>
      <c r="AP70" s="528">
        <v>0</v>
      </c>
      <c r="AQ70" s="528">
        <v>0</v>
      </c>
      <c r="AR70" s="528">
        <v>0</v>
      </c>
      <c r="AS70" s="528">
        <v>0</v>
      </c>
      <c r="AT70" s="528">
        <v>0</v>
      </c>
      <c r="AU70" s="528">
        <v>0</v>
      </c>
      <c r="AV70" s="528">
        <v>0</v>
      </c>
      <c r="AW70" s="528">
        <v>0</v>
      </c>
      <c r="AX70" s="528">
        <v>0</v>
      </c>
      <c r="AY70" s="528">
        <v>0</v>
      </c>
      <c r="AZ70" s="528"/>
      <c r="BA70" s="528" t="s">
        <v>1145</v>
      </c>
      <c r="BB70" s="528">
        <v>12</v>
      </c>
      <c r="BC70" s="528" t="s">
        <v>1145</v>
      </c>
      <c r="BD70" s="528"/>
      <c r="BE70" s="528">
        <v>12</v>
      </c>
      <c r="BF70" s="564"/>
      <c r="BG70" s="529"/>
      <c r="BH70" s="525"/>
      <c r="BI70" s="528"/>
      <c r="BJ70" s="528" t="s">
        <v>1146</v>
      </c>
      <c r="BK70" s="528"/>
      <c r="BL70" s="529"/>
      <c r="BM70" s="530" t="s">
        <v>1512</v>
      </c>
      <c r="BN70" s="525" t="s">
        <v>408</v>
      </c>
    </row>
    <row r="71" spans="1:66" ht="13" customHeight="1" x14ac:dyDescent="0.2">
      <c r="A71" s="451">
        <v>2494</v>
      </c>
      <c r="B71" s="527">
        <v>44208</v>
      </c>
      <c r="C71" s="526" t="s">
        <v>1138</v>
      </c>
      <c r="D71" s="525" t="s">
        <v>1111</v>
      </c>
      <c r="E71" s="527">
        <v>44197</v>
      </c>
      <c r="F71" s="529" t="s">
        <v>1148</v>
      </c>
      <c r="G71" s="525" t="s">
        <v>1280</v>
      </c>
      <c r="H71" s="340">
        <v>55.199999999999996</v>
      </c>
      <c r="I71" s="531" t="s">
        <v>296</v>
      </c>
      <c r="J71" s="525">
        <v>1645</v>
      </c>
      <c r="K71" s="525">
        <v>3000</v>
      </c>
      <c r="L71" s="525">
        <v>3000</v>
      </c>
      <c r="M71" s="525">
        <v>3000</v>
      </c>
      <c r="N71" s="525"/>
      <c r="O71" s="340">
        <v>2.2999999999999998</v>
      </c>
      <c r="P71" s="340">
        <v>1.9545454545454544</v>
      </c>
      <c r="Q71" s="340">
        <v>0</v>
      </c>
      <c r="R71" s="532">
        <v>0</v>
      </c>
      <c r="S71" s="532">
        <v>1.4999999999999998</v>
      </c>
      <c r="T71" s="532"/>
      <c r="U71" s="532">
        <v>2.2999999999999998</v>
      </c>
      <c r="V71" s="532">
        <v>1.9545454545454544</v>
      </c>
      <c r="W71" s="532">
        <v>0</v>
      </c>
      <c r="X71" s="532">
        <v>0</v>
      </c>
      <c r="Y71" s="532">
        <v>1.4999999999999998</v>
      </c>
      <c r="Z71" s="533"/>
      <c r="AA71" s="532"/>
      <c r="AB71" s="532"/>
      <c r="AC71" s="532"/>
      <c r="AD71" s="532"/>
      <c r="AE71" s="532"/>
      <c r="AF71" s="532"/>
      <c r="AG71" s="528" t="s">
        <v>1145</v>
      </c>
      <c r="AH71" s="528"/>
      <c r="AI71" s="333">
        <v>3</v>
      </c>
      <c r="AJ71" s="333">
        <v>3</v>
      </c>
      <c r="AK71" s="480">
        <v>0.5</v>
      </c>
      <c r="AL71" s="480">
        <v>0.5</v>
      </c>
      <c r="AM71" s="525"/>
      <c r="AN71" s="528">
        <v>0</v>
      </c>
      <c r="AO71" s="528">
        <v>0</v>
      </c>
      <c r="AP71" s="528">
        <v>0</v>
      </c>
      <c r="AQ71" s="528">
        <v>0</v>
      </c>
      <c r="AR71" s="528">
        <v>0</v>
      </c>
      <c r="AS71" s="528">
        <v>0</v>
      </c>
      <c r="AT71" s="528">
        <v>0</v>
      </c>
      <c r="AU71" s="528">
        <v>0</v>
      </c>
      <c r="AV71" s="528">
        <v>0</v>
      </c>
      <c r="AW71" s="528">
        <v>0</v>
      </c>
      <c r="AX71" s="528">
        <v>0</v>
      </c>
      <c r="AY71" s="528">
        <v>0</v>
      </c>
      <c r="AZ71" s="528"/>
      <c r="BA71" s="528" t="s">
        <v>1145</v>
      </c>
      <c r="BB71" s="528"/>
      <c r="BC71" s="528" t="s">
        <v>1145</v>
      </c>
      <c r="BD71" s="528"/>
      <c r="BE71" s="528"/>
      <c r="BF71" s="564"/>
      <c r="BG71" s="529"/>
      <c r="BH71" s="525"/>
      <c r="BI71" s="528"/>
      <c r="BJ71" s="528" t="s">
        <v>4</v>
      </c>
      <c r="BK71" s="528"/>
      <c r="BL71" s="529"/>
      <c r="BM71" s="530" t="s">
        <v>430</v>
      </c>
      <c r="BN71" s="525" t="s">
        <v>408</v>
      </c>
    </row>
    <row r="72" spans="1:66" ht="13" customHeight="1" x14ac:dyDescent="0.2">
      <c r="A72" s="451"/>
      <c r="B72" s="527">
        <v>44208</v>
      </c>
      <c r="C72" s="526" t="s">
        <v>1138</v>
      </c>
      <c r="D72" s="525" t="s">
        <v>1111</v>
      </c>
      <c r="E72" s="527">
        <v>44197</v>
      </c>
      <c r="F72" s="529" t="s">
        <v>1152</v>
      </c>
      <c r="G72" s="525" t="s">
        <v>1471</v>
      </c>
      <c r="H72" s="340">
        <v>48.118181818181817</v>
      </c>
      <c r="I72" s="531" t="s">
        <v>1141</v>
      </c>
      <c r="J72" s="525">
        <v>1645</v>
      </c>
      <c r="K72" s="525">
        <v>3000</v>
      </c>
      <c r="L72" s="525">
        <v>3000</v>
      </c>
      <c r="M72" s="525">
        <v>3000</v>
      </c>
      <c r="N72" s="525"/>
      <c r="O72" s="340">
        <v>2.2181818181818178</v>
      </c>
      <c r="P72" s="340">
        <v>1.7999999999999998</v>
      </c>
      <c r="Q72" s="340">
        <v>0</v>
      </c>
      <c r="R72" s="532">
        <v>0</v>
      </c>
      <c r="S72" s="532">
        <v>1.6181818181818182</v>
      </c>
      <c r="T72" s="532"/>
      <c r="U72" s="532">
        <v>2.2181818181818178</v>
      </c>
      <c r="V72" s="532">
        <v>1.7999999999999998</v>
      </c>
      <c r="W72" s="532">
        <v>0</v>
      </c>
      <c r="X72" s="532">
        <v>0</v>
      </c>
      <c r="Y72" s="532">
        <v>1.6181818181818182</v>
      </c>
      <c r="Z72" s="533"/>
      <c r="AA72" s="532"/>
      <c r="AB72" s="532"/>
      <c r="AC72" s="532"/>
      <c r="AD72" s="532"/>
      <c r="AE72" s="532"/>
      <c r="AF72" s="532"/>
      <c r="AG72" s="528" t="s">
        <v>1145</v>
      </c>
      <c r="AH72" s="528"/>
      <c r="AI72" s="333">
        <v>3</v>
      </c>
      <c r="AJ72" s="333">
        <v>3</v>
      </c>
      <c r="AK72" s="480">
        <v>0.5</v>
      </c>
      <c r="AL72" s="480">
        <v>0.5</v>
      </c>
      <c r="AM72" s="525"/>
      <c r="AN72" s="528">
        <v>0</v>
      </c>
      <c r="AO72" s="528">
        <v>0</v>
      </c>
      <c r="AP72" s="528">
        <v>0</v>
      </c>
      <c r="AQ72" s="528">
        <v>0</v>
      </c>
      <c r="AR72" s="528">
        <v>0</v>
      </c>
      <c r="AS72" s="528">
        <v>0</v>
      </c>
      <c r="AT72" s="528">
        <v>0</v>
      </c>
      <c r="AU72" s="528">
        <v>0</v>
      </c>
      <c r="AV72" s="528">
        <v>0</v>
      </c>
      <c r="AW72" s="528">
        <v>0</v>
      </c>
      <c r="AX72" s="528">
        <v>0</v>
      </c>
      <c r="AY72" s="528">
        <v>0</v>
      </c>
      <c r="AZ72" s="528"/>
      <c r="BA72" s="528" t="s">
        <v>1145</v>
      </c>
      <c r="BB72" s="528"/>
      <c r="BC72" s="528" t="s">
        <v>1145</v>
      </c>
      <c r="BD72" s="528"/>
      <c r="BE72" s="528"/>
      <c r="BF72" s="564"/>
      <c r="BG72" s="529"/>
      <c r="BH72" s="525"/>
      <c r="BI72" s="528"/>
      <c r="BJ72" s="528" t="s">
        <v>1146</v>
      </c>
      <c r="BK72" s="528">
        <v>1</v>
      </c>
      <c r="BL72" s="529"/>
      <c r="BM72" s="530" t="s">
        <v>1513</v>
      </c>
      <c r="BN72" s="525" t="s">
        <v>1121</v>
      </c>
    </row>
    <row r="73" spans="1:66" ht="13" customHeight="1" x14ac:dyDescent="0.2">
      <c r="A73" s="451">
        <v>2553</v>
      </c>
      <c r="B73" s="527">
        <v>44209</v>
      </c>
      <c r="C73" s="526" t="s">
        <v>1138</v>
      </c>
      <c r="D73" s="525" t="s">
        <v>1111</v>
      </c>
      <c r="E73" s="527">
        <v>44201</v>
      </c>
      <c r="F73" s="529" t="s">
        <v>1050</v>
      </c>
      <c r="G73" s="525" t="s">
        <v>418</v>
      </c>
      <c r="H73" s="340">
        <v>75</v>
      </c>
      <c r="I73" s="531" t="s">
        <v>1141</v>
      </c>
      <c r="J73" s="525">
        <v>1645</v>
      </c>
      <c r="K73" s="525">
        <v>3000</v>
      </c>
      <c r="L73" s="525">
        <v>3000</v>
      </c>
      <c r="M73" s="525">
        <v>3000</v>
      </c>
      <c r="N73" s="525"/>
      <c r="O73" s="340">
        <v>3.1727272727272728</v>
      </c>
      <c r="P73" s="340">
        <v>2.5</v>
      </c>
      <c r="Q73" s="340">
        <v>0</v>
      </c>
      <c r="R73" s="532">
        <v>0</v>
      </c>
      <c r="S73" s="532">
        <v>2.2545454545454544</v>
      </c>
      <c r="T73" s="532"/>
      <c r="U73" s="532">
        <v>3.1727272727272728</v>
      </c>
      <c r="V73" s="532">
        <v>2.5</v>
      </c>
      <c r="W73" s="532">
        <v>0</v>
      </c>
      <c r="X73" s="532">
        <v>0</v>
      </c>
      <c r="Y73" s="532">
        <v>2.2545454545454544</v>
      </c>
      <c r="Z73" s="533"/>
      <c r="AA73" s="532"/>
      <c r="AB73" s="532"/>
      <c r="AC73" s="532"/>
      <c r="AD73" s="532"/>
      <c r="AE73" s="532"/>
      <c r="AF73" s="532"/>
      <c r="AG73" s="528" t="s">
        <v>1145</v>
      </c>
      <c r="AH73" s="528"/>
      <c r="AI73" s="333">
        <v>3</v>
      </c>
      <c r="AJ73" s="333">
        <v>3</v>
      </c>
      <c r="AK73" s="480">
        <v>0.5</v>
      </c>
      <c r="AL73" s="480">
        <v>0.5</v>
      </c>
      <c r="AM73" s="525"/>
      <c r="AN73" s="528">
        <v>0</v>
      </c>
      <c r="AO73" s="528">
        <v>16</v>
      </c>
      <c r="AP73" s="528">
        <v>0</v>
      </c>
      <c r="AQ73" s="528">
        <v>0</v>
      </c>
      <c r="AR73" s="528">
        <v>0</v>
      </c>
      <c r="AS73" s="528">
        <v>0</v>
      </c>
      <c r="AT73" s="528">
        <v>0</v>
      </c>
      <c r="AU73" s="528">
        <v>0</v>
      </c>
      <c r="AV73" s="528">
        <v>0</v>
      </c>
      <c r="AW73" s="528">
        <v>0</v>
      </c>
      <c r="AX73" s="528">
        <v>0</v>
      </c>
      <c r="AY73" s="528">
        <v>0</v>
      </c>
      <c r="AZ73" s="528"/>
      <c r="BA73" s="528" t="s">
        <v>1145</v>
      </c>
      <c r="BB73" s="528"/>
      <c r="BC73" s="528" t="s">
        <v>1145</v>
      </c>
      <c r="BD73" s="528"/>
      <c r="BE73" s="528"/>
      <c r="BF73" s="564"/>
      <c r="BG73" s="529"/>
      <c r="BH73" s="525"/>
      <c r="BI73" s="528"/>
      <c r="BJ73" s="528" t="s">
        <v>4</v>
      </c>
      <c r="BK73" s="528">
        <v>1</v>
      </c>
      <c r="BL73" s="529"/>
      <c r="BM73" s="530" t="s">
        <v>430</v>
      </c>
      <c r="BN73" s="525" t="s">
        <v>408</v>
      </c>
    </row>
    <row r="74" spans="1:66" ht="13" customHeight="1" x14ac:dyDescent="0.2">
      <c r="A74" s="451">
        <v>2555</v>
      </c>
      <c r="B74" s="527">
        <v>44208</v>
      </c>
      <c r="C74" s="526" t="s">
        <v>1138</v>
      </c>
      <c r="D74" s="525" t="s">
        <v>1111</v>
      </c>
      <c r="E74" s="527">
        <v>44028</v>
      </c>
      <c r="F74" s="529" t="s">
        <v>1052</v>
      </c>
      <c r="G74" s="525" t="s">
        <v>1181</v>
      </c>
      <c r="H74" s="340">
        <v>54.954545454545453</v>
      </c>
      <c r="I74" s="531" t="s">
        <v>1141</v>
      </c>
      <c r="J74" s="525">
        <v>1645</v>
      </c>
      <c r="K74" s="525">
        <v>3000</v>
      </c>
      <c r="L74" s="525">
        <v>3000</v>
      </c>
      <c r="M74" s="525">
        <v>3000</v>
      </c>
      <c r="N74" s="525"/>
      <c r="O74" s="340">
        <v>2.7</v>
      </c>
      <c r="P74" s="340">
        <v>2.1909090909090909</v>
      </c>
      <c r="Q74" s="340">
        <v>0</v>
      </c>
      <c r="R74" s="532">
        <v>0</v>
      </c>
      <c r="S74" s="532">
        <v>1.8818181818181816</v>
      </c>
      <c r="T74" s="532"/>
      <c r="U74" s="532">
        <v>2.7</v>
      </c>
      <c r="V74" s="532">
        <v>2.1909090909090909</v>
      </c>
      <c r="W74" s="532">
        <v>0</v>
      </c>
      <c r="X74" s="532">
        <v>0</v>
      </c>
      <c r="Y74" s="532">
        <v>1.8818181818181816</v>
      </c>
      <c r="Z74" s="533"/>
      <c r="AA74" s="532"/>
      <c r="AB74" s="532"/>
      <c r="AC74" s="532"/>
      <c r="AD74" s="532"/>
      <c r="AE74" s="532"/>
      <c r="AF74" s="532"/>
      <c r="AG74" s="528" t="s">
        <v>1145</v>
      </c>
      <c r="AH74" s="528"/>
      <c r="AI74" s="333">
        <v>3</v>
      </c>
      <c r="AJ74" s="333">
        <v>3</v>
      </c>
      <c r="AK74" s="480">
        <v>0.5</v>
      </c>
      <c r="AL74" s="480">
        <v>0.5</v>
      </c>
      <c r="AM74" s="525"/>
      <c r="AN74" s="528">
        <v>0</v>
      </c>
      <c r="AO74" s="528">
        <v>0</v>
      </c>
      <c r="AP74" s="528">
        <v>0</v>
      </c>
      <c r="AQ74" s="528">
        <v>0</v>
      </c>
      <c r="AR74" s="528">
        <v>0</v>
      </c>
      <c r="AS74" s="528">
        <v>0</v>
      </c>
      <c r="AT74" s="528">
        <v>0</v>
      </c>
      <c r="AU74" s="528">
        <v>0</v>
      </c>
      <c r="AV74" s="528">
        <v>0</v>
      </c>
      <c r="AW74" s="528">
        <v>0</v>
      </c>
      <c r="AX74" s="528">
        <v>0</v>
      </c>
      <c r="AY74" s="528">
        <v>0</v>
      </c>
      <c r="AZ74" s="528"/>
      <c r="BA74" s="528" t="s">
        <v>1145</v>
      </c>
      <c r="BB74" s="528"/>
      <c r="BC74" s="528" t="s">
        <v>1145</v>
      </c>
      <c r="BD74" s="528"/>
      <c r="BE74" s="528"/>
      <c r="BF74" s="564"/>
      <c r="BG74" s="529"/>
      <c r="BH74" s="525"/>
      <c r="BI74" s="528"/>
      <c r="BJ74" s="528" t="s">
        <v>4</v>
      </c>
      <c r="BK74" s="528"/>
      <c r="BL74" s="529"/>
      <c r="BM74" s="530" t="s">
        <v>1214</v>
      </c>
      <c r="BN74" s="525" t="s">
        <v>368</v>
      </c>
    </row>
    <row r="75" spans="1:66" ht="13" customHeight="1" x14ac:dyDescent="0.2">
      <c r="A75" s="451">
        <v>2116</v>
      </c>
      <c r="B75" s="527">
        <v>44208</v>
      </c>
      <c r="C75" s="526" t="s">
        <v>1138</v>
      </c>
      <c r="D75" s="525" t="s">
        <v>1111</v>
      </c>
      <c r="E75" s="527">
        <v>44197</v>
      </c>
      <c r="F75" s="529" t="s">
        <v>1156</v>
      </c>
      <c r="G75" s="525" t="s">
        <v>1157</v>
      </c>
      <c r="H75" s="340">
        <v>84.6</v>
      </c>
      <c r="I75" s="531" t="s">
        <v>1141</v>
      </c>
      <c r="J75" s="525">
        <v>1645</v>
      </c>
      <c r="K75" s="525">
        <v>3000</v>
      </c>
      <c r="L75" s="525">
        <v>3000</v>
      </c>
      <c r="M75" s="525">
        <v>3000</v>
      </c>
      <c r="N75" s="525"/>
      <c r="O75" s="340">
        <v>3.3818181818181818</v>
      </c>
      <c r="P75" s="340">
        <v>2.5636363636363635</v>
      </c>
      <c r="Q75" s="340">
        <v>0</v>
      </c>
      <c r="R75" s="532">
        <v>0</v>
      </c>
      <c r="S75" s="532">
        <v>2.127272727272727</v>
      </c>
      <c r="T75" s="532"/>
      <c r="U75" s="532">
        <v>3.3818181818181818</v>
      </c>
      <c r="V75" s="532">
        <v>2.5636363636363635</v>
      </c>
      <c r="W75" s="532">
        <v>0</v>
      </c>
      <c r="X75" s="532">
        <v>0</v>
      </c>
      <c r="Y75" s="532">
        <v>2.127272727272727</v>
      </c>
      <c r="Z75" s="533"/>
      <c r="AA75" s="532"/>
      <c r="AB75" s="532"/>
      <c r="AC75" s="532"/>
      <c r="AD75" s="532"/>
      <c r="AE75" s="532"/>
      <c r="AF75" s="532"/>
      <c r="AG75" s="528" t="s">
        <v>1145</v>
      </c>
      <c r="AH75" s="528"/>
      <c r="AI75" s="333">
        <v>3</v>
      </c>
      <c r="AJ75" s="333">
        <v>3</v>
      </c>
      <c r="AK75" s="480">
        <v>0.5</v>
      </c>
      <c r="AL75" s="480">
        <v>0.5</v>
      </c>
      <c r="AM75" s="525"/>
      <c r="AN75" s="528">
        <v>27</v>
      </c>
      <c r="AO75" s="528">
        <v>0</v>
      </c>
      <c r="AP75" s="528">
        <v>0</v>
      </c>
      <c r="AQ75" s="528">
        <v>0</v>
      </c>
      <c r="AR75" s="528">
        <v>0</v>
      </c>
      <c r="AS75" s="528">
        <v>0</v>
      </c>
      <c r="AT75" s="528">
        <v>0</v>
      </c>
      <c r="AU75" s="528">
        <v>0</v>
      </c>
      <c r="AV75" s="528">
        <v>0</v>
      </c>
      <c r="AW75" s="528">
        <v>0</v>
      </c>
      <c r="AX75" s="528">
        <v>0</v>
      </c>
      <c r="AY75" s="528">
        <v>0</v>
      </c>
      <c r="AZ75" s="528">
        <v>12</v>
      </c>
      <c r="BA75" s="528" t="s">
        <v>1145</v>
      </c>
      <c r="BB75" s="528">
        <v>12</v>
      </c>
      <c r="BC75" s="528" t="s">
        <v>1145</v>
      </c>
      <c r="BD75" s="528"/>
      <c r="BE75" s="528">
        <v>12</v>
      </c>
      <c r="BF75" s="564"/>
      <c r="BG75" s="529"/>
      <c r="BH75" s="525"/>
      <c r="BI75" s="528"/>
      <c r="BJ75" s="528" t="s">
        <v>1146</v>
      </c>
      <c r="BK75" s="528"/>
      <c r="BL75" s="529"/>
      <c r="BM75" s="530" t="s">
        <v>1514</v>
      </c>
      <c r="BN75" s="525" t="s">
        <v>408</v>
      </c>
    </row>
    <row r="76" spans="1:66" ht="13" customHeight="1" x14ac:dyDescent="0.2">
      <c r="A76" s="451">
        <v>2869</v>
      </c>
      <c r="B76" s="527">
        <v>44208</v>
      </c>
      <c r="C76" s="526" t="s">
        <v>1138</v>
      </c>
      <c r="D76" s="525" t="s">
        <v>1111</v>
      </c>
      <c r="E76" s="527">
        <v>44197</v>
      </c>
      <c r="F76" s="529" t="s">
        <v>1159</v>
      </c>
      <c r="G76" s="525" t="s">
        <v>1105</v>
      </c>
      <c r="H76" s="340">
        <v>67.899999999999991</v>
      </c>
      <c r="I76" s="531" t="s">
        <v>296</v>
      </c>
      <c r="J76" s="525">
        <v>1645</v>
      </c>
      <c r="K76" s="525">
        <v>3000</v>
      </c>
      <c r="L76" s="525">
        <v>3000</v>
      </c>
      <c r="M76" s="525">
        <v>3000</v>
      </c>
      <c r="N76" s="525"/>
      <c r="O76" s="340">
        <v>1.9818181818181817</v>
      </c>
      <c r="P76" s="340">
        <v>1.8818181818181816</v>
      </c>
      <c r="Q76" s="340">
        <v>0</v>
      </c>
      <c r="R76" s="532">
        <v>0</v>
      </c>
      <c r="S76" s="532">
        <v>1.7454545454545451</v>
      </c>
      <c r="T76" s="532"/>
      <c r="U76" s="532">
        <v>1.9818181818181817</v>
      </c>
      <c r="V76" s="532">
        <v>1.8818181818181816</v>
      </c>
      <c r="W76" s="532">
        <v>0</v>
      </c>
      <c r="X76" s="532">
        <v>0</v>
      </c>
      <c r="Y76" s="532">
        <v>1.7454545454545451</v>
      </c>
      <c r="Z76" s="533"/>
      <c r="AA76" s="532"/>
      <c r="AB76" s="532"/>
      <c r="AC76" s="532"/>
      <c r="AD76" s="532"/>
      <c r="AE76" s="532"/>
      <c r="AF76" s="532"/>
      <c r="AG76" s="528" t="s">
        <v>1278</v>
      </c>
      <c r="AH76" s="528"/>
      <c r="AI76" s="333">
        <v>3</v>
      </c>
      <c r="AJ76" s="333">
        <v>3</v>
      </c>
      <c r="AK76" s="480">
        <v>0.5</v>
      </c>
      <c r="AL76" s="480">
        <v>0.5</v>
      </c>
      <c r="AM76" s="525"/>
      <c r="AN76" s="528">
        <v>0</v>
      </c>
      <c r="AO76" s="528">
        <v>0</v>
      </c>
      <c r="AP76" s="528">
        <v>0</v>
      </c>
      <c r="AQ76" s="528">
        <v>0</v>
      </c>
      <c r="AR76" s="528">
        <v>0</v>
      </c>
      <c r="AS76" s="528">
        <v>0</v>
      </c>
      <c r="AT76" s="528">
        <v>0</v>
      </c>
      <c r="AU76" s="528">
        <v>0</v>
      </c>
      <c r="AV76" s="528">
        <v>0</v>
      </c>
      <c r="AW76" s="528">
        <v>0</v>
      </c>
      <c r="AX76" s="528">
        <v>0</v>
      </c>
      <c r="AY76" s="528">
        <v>0</v>
      </c>
      <c r="AZ76" s="528"/>
      <c r="BA76" s="528" t="s">
        <v>1145</v>
      </c>
      <c r="BB76" s="528"/>
      <c r="BC76" s="528" t="s">
        <v>1145</v>
      </c>
      <c r="BD76" s="528"/>
      <c r="BE76" s="528"/>
      <c r="BF76" s="564">
        <v>44651</v>
      </c>
      <c r="BG76" s="529"/>
      <c r="BH76" s="525"/>
      <c r="BI76" s="528"/>
      <c r="BJ76" s="528" t="s">
        <v>1146</v>
      </c>
      <c r="BK76" s="528"/>
      <c r="BL76" s="529"/>
      <c r="BM76" s="530" t="s">
        <v>1515</v>
      </c>
      <c r="BN76" s="525" t="s">
        <v>408</v>
      </c>
    </row>
    <row r="77" spans="1:66" ht="13" customHeight="1" x14ac:dyDescent="0.2">
      <c r="A77" s="451">
        <v>315</v>
      </c>
      <c r="B77" s="527">
        <v>44208</v>
      </c>
      <c r="C77" s="526" t="s">
        <v>1138</v>
      </c>
      <c r="D77" s="525" t="s">
        <v>1111</v>
      </c>
      <c r="E77" s="527">
        <v>44197</v>
      </c>
      <c r="F77" s="529" t="s">
        <v>1160</v>
      </c>
      <c r="G77" s="525" t="s">
        <v>1161</v>
      </c>
      <c r="H77" s="340">
        <v>79.2</v>
      </c>
      <c r="I77" s="531" t="s">
        <v>1141</v>
      </c>
      <c r="J77" s="525">
        <v>1645</v>
      </c>
      <c r="K77" s="525">
        <v>3000</v>
      </c>
      <c r="L77" s="525">
        <v>3000</v>
      </c>
      <c r="M77" s="525">
        <v>3000</v>
      </c>
      <c r="N77" s="525"/>
      <c r="O77" s="340">
        <v>2.7</v>
      </c>
      <c r="P77" s="340">
        <v>2.2999999999999998</v>
      </c>
      <c r="Q77" s="340">
        <v>0</v>
      </c>
      <c r="R77" s="532">
        <v>0</v>
      </c>
      <c r="S77" s="532">
        <v>2</v>
      </c>
      <c r="T77" s="532"/>
      <c r="U77" s="532">
        <v>2.5</v>
      </c>
      <c r="V77" s="532">
        <v>2.1</v>
      </c>
      <c r="W77" s="532">
        <v>0</v>
      </c>
      <c r="X77" s="532">
        <v>0</v>
      </c>
      <c r="Y77" s="532">
        <v>1.7999999999999998</v>
      </c>
      <c r="Z77" s="533"/>
      <c r="AA77" s="532"/>
      <c r="AB77" s="532"/>
      <c r="AC77" s="532"/>
      <c r="AD77" s="532"/>
      <c r="AE77" s="532"/>
      <c r="AF77" s="532"/>
      <c r="AG77" s="528" t="s">
        <v>1143</v>
      </c>
      <c r="AH77" s="528" t="s">
        <v>1144</v>
      </c>
      <c r="AI77" s="333">
        <v>2</v>
      </c>
      <c r="AJ77" s="333">
        <v>4</v>
      </c>
      <c r="AK77" s="480">
        <v>0.33329999999999999</v>
      </c>
      <c r="AL77" s="480">
        <v>0.66659999999999997</v>
      </c>
      <c r="AM77" s="525" t="s">
        <v>1124</v>
      </c>
      <c r="AN77" s="528">
        <v>0</v>
      </c>
      <c r="AO77" s="528">
        <v>0</v>
      </c>
      <c r="AP77" s="528">
        <v>0</v>
      </c>
      <c r="AQ77" s="528">
        <v>0</v>
      </c>
      <c r="AR77" s="528">
        <v>0</v>
      </c>
      <c r="AS77" s="528">
        <v>0</v>
      </c>
      <c r="AT77" s="528">
        <v>0</v>
      </c>
      <c r="AU77" s="528">
        <v>0</v>
      </c>
      <c r="AV77" s="528">
        <v>0</v>
      </c>
      <c r="AW77" s="528">
        <v>0</v>
      </c>
      <c r="AX77" s="528">
        <v>0</v>
      </c>
      <c r="AY77" s="528">
        <v>0</v>
      </c>
      <c r="AZ77" s="528"/>
      <c r="BA77" s="528" t="s">
        <v>1145</v>
      </c>
      <c r="BB77" s="528"/>
      <c r="BC77" s="528" t="s">
        <v>1145</v>
      </c>
      <c r="BD77" s="528"/>
      <c r="BE77" s="528"/>
      <c r="BF77" s="564"/>
      <c r="BG77" s="529"/>
      <c r="BH77" s="525"/>
      <c r="BI77" s="528"/>
      <c r="BJ77" s="528" t="s">
        <v>4</v>
      </c>
      <c r="BK77" s="528"/>
      <c r="BL77" s="529"/>
      <c r="BM77" s="530" t="s">
        <v>1516</v>
      </c>
      <c r="BN77" s="525" t="s">
        <v>408</v>
      </c>
    </row>
    <row r="78" spans="1:66" ht="13" customHeight="1" x14ac:dyDescent="0.2">
      <c r="A78" s="451">
        <v>2844</v>
      </c>
      <c r="B78" s="527">
        <v>44208</v>
      </c>
      <c r="C78" s="526" t="s">
        <v>1138</v>
      </c>
      <c r="D78" s="525" t="s">
        <v>1111</v>
      </c>
      <c r="E78" s="527">
        <v>44197</v>
      </c>
      <c r="F78" s="529" t="s">
        <v>1166</v>
      </c>
      <c r="G78" s="525" t="s">
        <v>1478</v>
      </c>
      <c r="H78" s="340">
        <v>55.272727272727266</v>
      </c>
      <c r="I78" s="531" t="s">
        <v>1141</v>
      </c>
      <c r="J78" s="525">
        <v>6000</v>
      </c>
      <c r="K78" s="525">
        <v>12000</v>
      </c>
      <c r="L78" s="525">
        <v>12000</v>
      </c>
      <c r="M78" s="525">
        <v>12000</v>
      </c>
      <c r="N78" s="525"/>
      <c r="O78" s="340">
        <v>1.7636363636363634</v>
      </c>
      <c r="P78" s="340">
        <v>1.6818181818181817</v>
      </c>
      <c r="Q78" s="340">
        <v>0</v>
      </c>
      <c r="R78" s="532">
        <v>0</v>
      </c>
      <c r="S78" s="532">
        <v>1.4454545454545453</v>
      </c>
      <c r="T78" s="532"/>
      <c r="U78" s="532">
        <v>1.7636363636363634</v>
      </c>
      <c r="V78" s="532">
        <v>1.6818181818181817</v>
      </c>
      <c r="W78" s="532">
        <v>0</v>
      </c>
      <c r="X78" s="532">
        <v>0</v>
      </c>
      <c r="Y78" s="532">
        <v>1.4454545454545453</v>
      </c>
      <c r="Z78" s="533"/>
      <c r="AA78" s="532"/>
      <c r="AB78" s="532"/>
      <c r="AC78" s="532"/>
      <c r="AD78" s="532"/>
      <c r="AE78" s="532"/>
      <c r="AF78" s="532"/>
      <c r="AG78" s="528" t="s">
        <v>1145</v>
      </c>
      <c r="AH78" s="528"/>
      <c r="AI78" s="333">
        <v>3</v>
      </c>
      <c r="AJ78" s="333">
        <v>3</v>
      </c>
      <c r="AK78" s="480">
        <v>0.5</v>
      </c>
      <c r="AL78" s="480">
        <v>0.5</v>
      </c>
      <c r="AM78" s="525"/>
      <c r="AN78" s="528">
        <v>0</v>
      </c>
      <c r="AO78" s="528">
        <v>0</v>
      </c>
      <c r="AP78" s="528">
        <v>0</v>
      </c>
      <c r="AQ78" s="528">
        <v>0</v>
      </c>
      <c r="AR78" s="528">
        <v>0</v>
      </c>
      <c r="AS78" s="528">
        <v>0</v>
      </c>
      <c r="AT78" s="528">
        <v>0</v>
      </c>
      <c r="AU78" s="528">
        <v>0</v>
      </c>
      <c r="AV78" s="528">
        <v>0</v>
      </c>
      <c r="AW78" s="528">
        <v>0</v>
      </c>
      <c r="AX78" s="528">
        <v>0</v>
      </c>
      <c r="AY78" s="528">
        <v>0</v>
      </c>
      <c r="AZ78" s="528"/>
      <c r="BA78" s="528" t="s">
        <v>1145</v>
      </c>
      <c r="BB78" s="528">
        <v>12</v>
      </c>
      <c r="BC78" s="528" t="s">
        <v>1145</v>
      </c>
      <c r="BD78" s="528"/>
      <c r="BE78" s="528">
        <v>12</v>
      </c>
      <c r="BF78" s="564"/>
      <c r="BG78" s="529"/>
      <c r="BH78" s="525"/>
      <c r="BI78" s="528"/>
      <c r="BJ78" s="528" t="s">
        <v>1146</v>
      </c>
      <c r="BK78" s="528"/>
      <c r="BL78" s="529"/>
      <c r="BM78" s="530" t="s">
        <v>1509</v>
      </c>
      <c r="BN78" s="525" t="s">
        <v>408</v>
      </c>
    </row>
    <row r="79" spans="1:66" ht="13" customHeight="1" x14ac:dyDescent="0.2">
      <c r="A79" s="451">
        <v>2397</v>
      </c>
      <c r="B79" s="527">
        <v>44208</v>
      </c>
      <c r="C79" s="526" t="s">
        <v>1138</v>
      </c>
      <c r="D79" s="525" t="s">
        <v>1111</v>
      </c>
      <c r="E79" s="527">
        <v>44197</v>
      </c>
      <c r="F79" s="529" t="s">
        <v>1168</v>
      </c>
      <c r="G79" s="525" t="s">
        <v>1297</v>
      </c>
      <c r="H79" s="340">
        <v>65.518181818181802</v>
      </c>
      <c r="I79" s="531" t="s">
        <v>1141</v>
      </c>
      <c r="J79" s="525">
        <v>1645</v>
      </c>
      <c r="K79" s="525">
        <v>3000</v>
      </c>
      <c r="L79" s="525">
        <v>3000</v>
      </c>
      <c r="M79" s="525">
        <v>3000</v>
      </c>
      <c r="N79" s="525"/>
      <c r="O79" s="340">
        <v>2.4090909090909087</v>
      </c>
      <c r="P79" s="340">
        <v>2.2909090909090906</v>
      </c>
      <c r="Q79" s="340">
        <v>0</v>
      </c>
      <c r="R79" s="532">
        <v>0</v>
      </c>
      <c r="S79" s="532">
        <v>1.6454545454545453</v>
      </c>
      <c r="T79" s="532"/>
      <c r="U79" s="532">
        <v>2.4090909090909087</v>
      </c>
      <c r="V79" s="532">
        <v>2.2909090909090906</v>
      </c>
      <c r="W79" s="532">
        <v>0</v>
      </c>
      <c r="X79" s="532">
        <v>0</v>
      </c>
      <c r="Y79" s="532">
        <v>1.6454545454545453</v>
      </c>
      <c r="Z79" s="533"/>
      <c r="AA79" s="532"/>
      <c r="AB79" s="532"/>
      <c r="AC79" s="532"/>
      <c r="AD79" s="532"/>
      <c r="AE79" s="532"/>
      <c r="AF79" s="532"/>
      <c r="AG79" s="528" t="s">
        <v>1145</v>
      </c>
      <c r="AH79" s="528"/>
      <c r="AI79" s="333">
        <v>3</v>
      </c>
      <c r="AJ79" s="333">
        <v>3</v>
      </c>
      <c r="AK79" s="480">
        <v>0.5</v>
      </c>
      <c r="AL79" s="480">
        <v>0.5</v>
      </c>
      <c r="AM79" s="525"/>
      <c r="AN79" s="528">
        <v>0</v>
      </c>
      <c r="AO79" s="528">
        <v>0</v>
      </c>
      <c r="AP79" s="528">
        <v>0</v>
      </c>
      <c r="AQ79" s="528">
        <v>0</v>
      </c>
      <c r="AR79" s="528">
        <v>0</v>
      </c>
      <c r="AS79" s="528">
        <v>0</v>
      </c>
      <c r="AT79" s="528">
        <v>0</v>
      </c>
      <c r="AU79" s="528">
        <v>0</v>
      </c>
      <c r="AV79" s="528">
        <v>0</v>
      </c>
      <c r="AW79" s="528">
        <v>0</v>
      </c>
      <c r="AX79" s="528">
        <v>0</v>
      </c>
      <c r="AY79" s="528">
        <v>0</v>
      </c>
      <c r="AZ79" s="528"/>
      <c r="BA79" s="528" t="s">
        <v>1145</v>
      </c>
      <c r="BB79" s="528"/>
      <c r="BC79" s="528" t="s">
        <v>1145</v>
      </c>
      <c r="BD79" s="528"/>
      <c r="BE79" s="528"/>
      <c r="BF79" s="564"/>
      <c r="BG79" s="529"/>
      <c r="BH79" s="525"/>
      <c r="BI79" s="528"/>
      <c r="BJ79" s="528" t="s">
        <v>1146</v>
      </c>
      <c r="BK79" s="528"/>
      <c r="BL79" s="529"/>
      <c r="BM79" s="530" t="s">
        <v>1517</v>
      </c>
      <c r="BN79" s="525" t="s">
        <v>408</v>
      </c>
    </row>
    <row r="80" spans="1:66" ht="13" customHeight="1" x14ac:dyDescent="0.2">
      <c r="A80" s="451"/>
      <c r="B80" s="527">
        <v>44229</v>
      </c>
      <c r="C80" s="526" t="s">
        <v>1138</v>
      </c>
      <c r="D80" s="525" t="s">
        <v>1111</v>
      </c>
      <c r="E80" s="527">
        <v>44197</v>
      </c>
      <c r="F80" s="529" t="s">
        <v>1169</v>
      </c>
      <c r="G80" s="525" t="s">
        <v>1561</v>
      </c>
      <c r="H80" s="340">
        <v>69.899999999999991</v>
      </c>
      <c r="I80" s="531" t="s">
        <v>1141</v>
      </c>
      <c r="J80" s="525">
        <v>1645</v>
      </c>
      <c r="K80" s="525">
        <v>3000</v>
      </c>
      <c r="L80" s="525">
        <v>3000</v>
      </c>
      <c r="M80" s="525">
        <v>3000</v>
      </c>
      <c r="N80" s="525"/>
      <c r="O80" s="340">
        <v>2.9727272727272727</v>
      </c>
      <c r="P80" s="340">
        <v>2.3545454545454541</v>
      </c>
      <c r="Q80" s="340">
        <v>0</v>
      </c>
      <c r="R80" s="532">
        <v>0</v>
      </c>
      <c r="S80" s="532">
        <v>1.9818181818181817</v>
      </c>
      <c r="T80" s="532"/>
      <c r="U80" s="532">
        <v>2.9727272727272727</v>
      </c>
      <c r="V80" s="532">
        <v>2.3545454545454541</v>
      </c>
      <c r="W80" s="532">
        <v>0</v>
      </c>
      <c r="X80" s="532">
        <v>0</v>
      </c>
      <c r="Y80" s="532">
        <v>1.9818181818181817</v>
      </c>
      <c r="Z80" s="533"/>
      <c r="AA80" s="532"/>
      <c r="AB80" s="532"/>
      <c r="AC80" s="532"/>
      <c r="AD80" s="532"/>
      <c r="AE80" s="532"/>
      <c r="AF80" s="532"/>
      <c r="AG80" s="528" t="s">
        <v>1145</v>
      </c>
      <c r="AH80" s="528"/>
      <c r="AI80" s="333">
        <v>3</v>
      </c>
      <c r="AJ80" s="333">
        <v>3</v>
      </c>
      <c r="AK80" s="480">
        <v>0.5</v>
      </c>
      <c r="AL80" s="480">
        <v>0.5</v>
      </c>
      <c r="AM80" s="525"/>
      <c r="AN80" s="528">
        <v>21</v>
      </c>
      <c r="AO80" s="528">
        <v>0</v>
      </c>
      <c r="AP80" s="528">
        <v>0</v>
      </c>
      <c r="AQ80" s="528">
        <v>0</v>
      </c>
      <c r="AR80" s="528">
        <v>0</v>
      </c>
      <c r="AS80" s="528">
        <v>0</v>
      </c>
      <c r="AT80" s="528">
        <v>0</v>
      </c>
      <c r="AU80" s="528">
        <v>0</v>
      </c>
      <c r="AV80" s="528">
        <v>0</v>
      </c>
      <c r="AW80" s="528">
        <v>0</v>
      </c>
      <c r="AX80" s="528">
        <v>0</v>
      </c>
      <c r="AY80" s="528">
        <v>0</v>
      </c>
      <c r="AZ80" s="528"/>
      <c r="BA80" s="528" t="s">
        <v>1145</v>
      </c>
      <c r="BB80" s="528"/>
      <c r="BC80" s="528" t="s">
        <v>1145</v>
      </c>
      <c r="BD80" s="528"/>
      <c r="BE80" s="528"/>
      <c r="BF80" s="564"/>
      <c r="BG80" s="529"/>
      <c r="BH80" s="525"/>
      <c r="BI80" s="528"/>
      <c r="BJ80" s="528" t="s">
        <v>1146</v>
      </c>
      <c r="BK80" s="528"/>
      <c r="BL80" s="529"/>
      <c r="BM80" s="530"/>
      <c r="BN80" s="525" t="s">
        <v>1121</v>
      </c>
    </row>
    <row r="81" spans="1:66" ht="13" customHeight="1" x14ac:dyDescent="0.2">
      <c r="A81" s="451">
        <v>2676</v>
      </c>
      <c r="B81" s="527">
        <v>44208</v>
      </c>
      <c r="C81" s="526" t="s">
        <v>1138</v>
      </c>
      <c r="D81" s="525" t="s">
        <v>1111</v>
      </c>
      <c r="E81" s="527">
        <v>44013</v>
      </c>
      <c r="F81" s="529" t="s">
        <v>1173</v>
      </c>
      <c r="G81" s="525" t="s">
        <v>1481</v>
      </c>
      <c r="H81" s="340">
        <v>67.999999999999986</v>
      </c>
      <c r="I81" s="531" t="s">
        <v>1141</v>
      </c>
      <c r="J81" s="525">
        <v>1645</v>
      </c>
      <c r="K81" s="525">
        <v>3000</v>
      </c>
      <c r="L81" s="525">
        <v>3000</v>
      </c>
      <c r="M81" s="525">
        <v>3000</v>
      </c>
      <c r="N81" s="525"/>
      <c r="O81" s="340">
        <v>2.3909090909090907</v>
      </c>
      <c r="P81" s="340">
        <v>1.9363636363636361</v>
      </c>
      <c r="Q81" s="340">
        <v>0</v>
      </c>
      <c r="R81" s="532">
        <v>0</v>
      </c>
      <c r="S81" s="532">
        <v>1.6818181818181817</v>
      </c>
      <c r="T81" s="532"/>
      <c r="U81" s="532">
        <v>2.3909090909090907</v>
      </c>
      <c r="V81" s="532">
        <v>1.9363636363636361</v>
      </c>
      <c r="W81" s="532">
        <v>0</v>
      </c>
      <c r="X81" s="532">
        <v>0</v>
      </c>
      <c r="Y81" s="532">
        <v>1.6818181818181817</v>
      </c>
      <c r="Z81" s="533"/>
      <c r="AA81" s="532"/>
      <c r="AB81" s="532"/>
      <c r="AC81" s="532"/>
      <c r="AD81" s="532"/>
      <c r="AE81" s="532"/>
      <c r="AF81" s="532"/>
      <c r="AG81" s="528" t="s">
        <v>1145</v>
      </c>
      <c r="AH81" s="528"/>
      <c r="AI81" s="333">
        <v>3</v>
      </c>
      <c r="AJ81" s="333">
        <v>3</v>
      </c>
      <c r="AK81" s="480">
        <v>0.5</v>
      </c>
      <c r="AL81" s="480">
        <v>0.5</v>
      </c>
      <c r="AM81" s="525"/>
      <c r="AN81" s="528">
        <v>0</v>
      </c>
      <c r="AO81" s="528">
        <v>0</v>
      </c>
      <c r="AP81" s="528">
        <v>0</v>
      </c>
      <c r="AQ81" s="528">
        <v>0</v>
      </c>
      <c r="AR81" s="528">
        <v>0</v>
      </c>
      <c r="AS81" s="528">
        <v>0</v>
      </c>
      <c r="AT81" s="528">
        <v>0</v>
      </c>
      <c r="AU81" s="528">
        <v>0</v>
      </c>
      <c r="AV81" s="528">
        <v>0</v>
      </c>
      <c r="AW81" s="528">
        <v>0</v>
      </c>
      <c r="AX81" s="528">
        <v>0</v>
      </c>
      <c r="AY81" s="528">
        <v>0</v>
      </c>
      <c r="AZ81" s="528"/>
      <c r="BA81" s="528" t="s">
        <v>1145</v>
      </c>
      <c r="BB81" s="528"/>
      <c r="BC81" s="528" t="s">
        <v>1145</v>
      </c>
      <c r="BD81" s="528"/>
      <c r="BE81" s="528"/>
      <c r="BF81" s="564"/>
      <c r="BG81" s="529"/>
      <c r="BH81" s="525"/>
      <c r="BI81" s="528"/>
      <c r="BJ81" s="528" t="s">
        <v>1164</v>
      </c>
      <c r="BK81" s="528"/>
      <c r="BL81" s="529"/>
      <c r="BM81" s="530" t="s">
        <v>1518</v>
      </c>
      <c r="BN81" s="525" t="s">
        <v>368</v>
      </c>
    </row>
    <row r="82" spans="1:66" ht="13" customHeight="1" x14ac:dyDescent="0.2">
      <c r="A82" s="451">
        <v>1685</v>
      </c>
      <c r="B82" s="527">
        <v>44208</v>
      </c>
      <c r="C82" s="526" t="s">
        <v>295</v>
      </c>
      <c r="D82" s="525" t="s">
        <v>1111</v>
      </c>
      <c r="E82" s="527">
        <v>44166</v>
      </c>
      <c r="F82" s="529" t="s">
        <v>1106</v>
      </c>
      <c r="G82" s="525" t="s">
        <v>2</v>
      </c>
      <c r="H82" s="340">
        <v>59.999999999999993</v>
      </c>
      <c r="I82" s="531" t="s">
        <v>296</v>
      </c>
      <c r="J82" s="525">
        <v>3000</v>
      </c>
      <c r="K82" s="525">
        <v>3000</v>
      </c>
      <c r="L82" s="525">
        <v>3000</v>
      </c>
      <c r="M82" s="525">
        <v>3000</v>
      </c>
      <c r="N82" s="525"/>
      <c r="O82" s="340">
        <v>2.0545454545454542</v>
      </c>
      <c r="P82" s="340">
        <v>0</v>
      </c>
      <c r="Q82" s="340">
        <v>0</v>
      </c>
      <c r="R82" s="532">
        <v>0</v>
      </c>
      <c r="S82" s="532">
        <v>1.4999999999999998</v>
      </c>
      <c r="T82" s="532"/>
      <c r="U82" s="532">
        <v>2.0545454545454542</v>
      </c>
      <c r="V82" s="532">
        <v>0</v>
      </c>
      <c r="W82" s="532">
        <v>0</v>
      </c>
      <c r="X82" s="532">
        <v>0</v>
      </c>
      <c r="Y82" s="532">
        <v>1.4999999999999998</v>
      </c>
      <c r="Z82" s="533"/>
      <c r="AA82" s="532"/>
      <c r="AB82" s="532"/>
      <c r="AC82" s="532"/>
      <c r="AD82" s="532"/>
      <c r="AE82" s="532"/>
      <c r="AF82" s="532"/>
      <c r="AG82" s="528" t="s">
        <v>1278</v>
      </c>
      <c r="AH82" s="528"/>
      <c r="AI82" s="333">
        <v>3</v>
      </c>
      <c r="AJ82" s="333">
        <v>3</v>
      </c>
      <c r="AK82" s="480">
        <v>0.5</v>
      </c>
      <c r="AL82" s="480">
        <v>0.5</v>
      </c>
      <c r="AM82" s="525"/>
      <c r="AN82" s="528">
        <v>0</v>
      </c>
      <c r="AO82" s="528">
        <v>0</v>
      </c>
      <c r="AP82" s="528">
        <v>0</v>
      </c>
      <c r="AQ82" s="528">
        <v>0</v>
      </c>
      <c r="AR82" s="528">
        <v>0</v>
      </c>
      <c r="AS82" s="528">
        <v>0</v>
      </c>
      <c r="AT82" s="528">
        <v>0</v>
      </c>
      <c r="AU82" s="528">
        <v>0</v>
      </c>
      <c r="AV82" s="528">
        <v>0</v>
      </c>
      <c r="AW82" s="528">
        <v>0</v>
      </c>
      <c r="AX82" s="528">
        <v>0</v>
      </c>
      <c r="AY82" s="528">
        <v>0</v>
      </c>
      <c r="AZ82" s="528"/>
      <c r="BA82" s="528" t="s">
        <v>1145</v>
      </c>
      <c r="BB82" s="528"/>
      <c r="BC82" s="528" t="s">
        <v>1145</v>
      </c>
      <c r="BD82" s="528"/>
      <c r="BE82" s="528"/>
      <c r="BF82" s="564"/>
      <c r="BG82" s="529"/>
      <c r="BH82" s="525"/>
      <c r="BI82" s="528"/>
      <c r="BJ82" s="528" t="s">
        <v>1146</v>
      </c>
      <c r="BK82" s="528">
        <v>1</v>
      </c>
      <c r="BL82" s="529"/>
      <c r="BM82" s="530" t="s">
        <v>1506</v>
      </c>
      <c r="BN82" s="525" t="s">
        <v>368</v>
      </c>
    </row>
    <row r="83" spans="1:66" ht="13" customHeight="1" x14ac:dyDescent="0.2">
      <c r="A83" s="451"/>
      <c r="B83" s="527">
        <v>44211</v>
      </c>
      <c r="C83" s="526" t="s">
        <v>1138</v>
      </c>
      <c r="D83" s="525" t="s">
        <v>1111</v>
      </c>
      <c r="E83" s="527">
        <v>44228</v>
      </c>
      <c r="F83" s="529" t="s">
        <v>34</v>
      </c>
      <c r="G83" s="525" t="s">
        <v>1181</v>
      </c>
      <c r="H83" s="340">
        <v>67.909090909090907</v>
      </c>
      <c r="I83" s="531"/>
      <c r="J83" s="525"/>
      <c r="K83" s="525"/>
      <c r="L83" s="525"/>
      <c r="M83" s="525"/>
      <c r="N83" s="525"/>
      <c r="O83" s="340">
        <v>1.7999999999999998</v>
      </c>
      <c r="P83" s="340">
        <v>0</v>
      </c>
      <c r="Q83" s="340">
        <v>0</v>
      </c>
      <c r="R83" s="532">
        <v>0</v>
      </c>
      <c r="S83" s="532">
        <v>0</v>
      </c>
      <c r="T83" s="532"/>
      <c r="U83" s="532">
        <v>1.7999999999999998</v>
      </c>
      <c r="V83" s="532">
        <v>0</v>
      </c>
      <c r="W83" s="532">
        <v>0</v>
      </c>
      <c r="X83" s="532">
        <v>0</v>
      </c>
      <c r="Y83" s="532">
        <v>0</v>
      </c>
      <c r="Z83" s="533"/>
      <c r="AA83" s="532"/>
      <c r="AB83" s="532"/>
      <c r="AC83" s="532"/>
      <c r="AD83" s="532"/>
      <c r="AE83" s="532"/>
      <c r="AF83" s="532"/>
      <c r="AG83" s="528" t="s">
        <v>1145</v>
      </c>
      <c r="AH83" s="528"/>
      <c r="AI83" s="333">
        <v>3</v>
      </c>
      <c r="AJ83" s="333">
        <v>3</v>
      </c>
      <c r="AK83" s="480">
        <v>0.5</v>
      </c>
      <c r="AL83" s="480">
        <v>0.5</v>
      </c>
      <c r="AM83" s="525"/>
      <c r="AN83" s="528">
        <v>0</v>
      </c>
      <c r="AO83" s="528">
        <v>0</v>
      </c>
      <c r="AP83" s="528">
        <v>0</v>
      </c>
      <c r="AQ83" s="528">
        <v>0</v>
      </c>
      <c r="AR83" s="528">
        <v>0</v>
      </c>
      <c r="AS83" s="528">
        <v>0</v>
      </c>
      <c r="AT83" s="528">
        <v>0</v>
      </c>
      <c r="AU83" s="528">
        <v>0</v>
      </c>
      <c r="AV83" s="528">
        <v>0</v>
      </c>
      <c r="AW83" s="528">
        <v>0</v>
      </c>
      <c r="AX83" s="528">
        <v>0</v>
      </c>
      <c r="AY83" s="528">
        <v>0</v>
      </c>
      <c r="AZ83" s="528"/>
      <c r="BA83" s="528" t="s">
        <v>1145</v>
      </c>
      <c r="BB83" s="528"/>
      <c r="BC83" s="528" t="s">
        <v>1145</v>
      </c>
      <c r="BD83" s="528"/>
      <c r="BE83" s="528"/>
      <c r="BF83" s="564"/>
      <c r="BG83" s="529"/>
      <c r="BH83" s="525"/>
      <c r="BI83" s="528"/>
      <c r="BJ83" s="528" t="s">
        <v>1164</v>
      </c>
      <c r="BK83" s="528"/>
      <c r="BL83" s="529" t="s">
        <v>1284</v>
      </c>
      <c r="BM83" s="530" t="s">
        <v>1558</v>
      </c>
      <c r="BN83" s="525" t="s">
        <v>1121</v>
      </c>
    </row>
    <row r="84" spans="1:66" ht="13" customHeight="1" x14ac:dyDescent="0.2">
      <c r="A84" s="451">
        <v>2739</v>
      </c>
      <c r="B84" s="527">
        <v>44208</v>
      </c>
      <c r="C84" s="526" t="s">
        <v>1138</v>
      </c>
      <c r="D84" s="525" t="s">
        <v>1111</v>
      </c>
      <c r="E84" s="527">
        <v>44197</v>
      </c>
      <c r="F84" s="529" t="s">
        <v>1274</v>
      </c>
      <c r="G84" s="525" t="s">
        <v>1467</v>
      </c>
      <c r="H84" s="340">
        <v>72.999999999999986</v>
      </c>
      <c r="I84" s="531" t="s">
        <v>1141</v>
      </c>
      <c r="J84" s="525">
        <v>1645</v>
      </c>
      <c r="K84" s="525">
        <v>3000</v>
      </c>
      <c r="L84" s="525">
        <v>3000</v>
      </c>
      <c r="M84" s="525">
        <v>3000</v>
      </c>
      <c r="N84" s="525"/>
      <c r="O84" s="340">
        <v>2.7363636363636359</v>
      </c>
      <c r="P84" s="340">
        <v>2.418181818181818</v>
      </c>
      <c r="Q84" s="340">
        <v>0</v>
      </c>
      <c r="R84" s="532">
        <v>0</v>
      </c>
      <c r="S84" s="532">
        <v>2.0727272727272723</v>
      </c>
      <c r="T84" s="532"/>
      <c r="U84" s="532">
        <v>2.7363636363636359</v>
      </c>
      <c r="V84" s="532">
        <v>2.418181818181818</v>
      </c>
      <c r="W84" s="532">
        <v>0</v>
      </c>
      <c r="X84" s="532">
        <v>0</v>
      </c>
      <c r="Y84" s="532">
        <v>2.0727272727272723</v>
      </c>
      <c r="Z84" s="533"/>
      <c r="AA84" s="532"/>
      <c r="AB84" s="532"/>
      <c r="AC84" s="532"/>
      <c r="AD84" s="532"/>
      <c r="AE84" s="532"/>
      <c r="AF84" s="532"/>
      <c r="AG84" s="528" t="s">
        <v>1145</v>
      </c>
      <c r="AH84" s="528"/>
      <c r="AI84" s="333">
        <v>3</v>
      </c>
      <c r="AJ84" s="333">
        <v>3</v>
      </c>
      <c r="AK84" s="480">
        <v>0.5</v>
      </c>
      <c r="AL84" s="480">
        <v>0.5</v>
      </c>
      <c r="AM84" s="525"/>
      <c r="AN84" s="528">
        <v>0</v>
      </c>
      <c r="AO84" s="528">
        <v>12</v>
      </c>
      <c r="AP84" s="528">
        <v>0</v>
      </c>
      <c r="AQ84" s="528">
        <v>3</v>
      </c>
      <c r="AR84" s="528">
        <v>0</v>
      </c>
      <c r="AS84" s="528">
        <v>0</v>
      </c>
      <c r="AT84" s="528">
        <v>0</v>
      </c>
      <c r="AU84" s="528">
        <v>0</v>
      </c>
      <c r="AV84" s="528">
        <v>0</v>
      </c>
      <c r="AW84" s="528">
        <v>0</v>
      </c>
      <c r="AX84" s="528">
        <v>0</v>
      </c>
      <c r="AY84" s="528">
        <v>0</v>
      </c>
      <c r="AZ84" s="528"/>
      <c r="BA84" s="528" t="s">
        <v>1145</v>
      </c>
      <c r="BB84" s="528"/>
      <c r="BC84" s="528" t="s">
        <v>1145</v>
      </c>
      <c r="BD84" s="528"/>
      <c r="BE84" s="528"/>
      <c r="BF84" s="564"/>
      <c r="BG84" s="529"/>
      <c r="BH84" s="525"/>
      <c r="BI84" s="528"/>
      <c r="BJ84" s="528" t="s">
        <v>1164</v>
      </c>
      <c r="BK84" s="528">
        <v>1</v>
      </c>
      <c r="BL84" s="529"/>
      <c r="BM84" s="530" t="s">
        <v>1469</v>
      </c>
      <c r="BN84" s="525" t="s">
        <v>408</v>
      </c>
    </row>
    <row r="85" spans="1:66" ht="13" customHeight="1" x14ac:dyDescent="0.2">
      <c r="A85" s="451">
        <v>2335</v>
      </c>
      <c r="B85" s="527">
        <v>44210</v>
      </c>
      <c r="C85" s="526" t="s">
        <v>1138</v>
      </c>
      <c r="D85" s="525" t="s">
        <v>1111</v>
      </c>
      <c r="E85" s="527">
        <v>44228</v>
      </c>
      <c r="F85" s="529" t="s">
        <v>1291</v>
      </c>
      <c r="G85" s="525" t="s">
        <v>1181</v>
      </c>
      <c r="H85" s="340">
        <v>59.418181818181814</v>
      </c>
      <c r="I85" s="531"/>
      <c r="J85" s="525"/>
      <c r="K85" s="525"/>
      <c r="L85" s="525"/>
      <c r="M85" s="525"/>
      <c r="N85" s="525"/>
      <c r="O85" s="340">
        <v>1.9545454545454544</v>
      </c>
      <c r="P85" s="340">
        <v>0</v>
      </c>
      <c r="Q85" s="340">
        <v>0</v>
      </c>
      <c r="R85" s="532">
        <v>0</v>
      </c>
      <c r="S85" s="532">
        <v>0</v>
      </c>
      <c r="T85" s="532"/>
      <c r="U85" s="532">
        <v>1.9545454545454544</v>
      </c>
      <c r="V85" s="532">
        <v>0</v>
      </c>
      <c r="W85" s="532">
        <v>0</v>
      </c>
      <c r="X85" s="532">
        <v>0</v>
      </c>
      <c r="Y85" s="532">
        <v>0</v>
      </c>
      <c r="Z85" s="533"/>
      <c r="AA85" s="532"/>
      <c r="AB85" s="532"/>
      <c r="AC85" s="532"/>
      <c r="AD85" s="532"/>
      <c r="AE85" s="532"/>
      <c r="AF85" s="532"/>
      <c r="AG85" s="528" t="s">
        <v>1145</v>
      </c>
      <c r="AH85" s="528"/>
      <c r="AI85" s="333">
        <v>3</v>
      </c>
      <c r="AJ85" s="333">
        <v>3</v>
      </c>
      <c r="AK85" s="480">
        <v>0.5</v>
      </c>
      <c r="AL85" s="480">
        <v>0.5</v>
      </c>
      <c r="AM85" s="525"/>
      <c r="AN85" s="528">
        <v>0</v>
      </c>
      <c r="AO85" s="528">
        <v>0</v>
      </c>
      <c r="AP85" s="528">
        <v>0</v>
      </c>
      <c r="AQ85" s="528">
        <v>0</v>
      </c>
      <c r="AR85" s="528">
        <v>0</v>
      </c>
      <c r="AS85" s="528">
        <v>0</v>
      </c>
      <c r="AT85" s="528">
        <v>0</v>
      </c>
      <c r="AU85" s="528">
        <v>0</v>
      </c>
      <c r="AV85" s="528">
        <v>0</v>
      </c>
      <c r="AW85" s="528">
        <v>0</v>
      </c>
      <c r="AX85" s="528">
        <v>0</v>
      </c>
      <c r="AY85" s="528">
        <v>0</v>
      </c>
      <c r="AZ85" s="528"/>
      <c r="BA85" s="528" t="s">
        <v>1145</v>
      </c>
      <c r="BB85" s="528"/>
      <c r="BC85" s="528" t="s">
        <v>1145</v>
      </c>
      <c r="BD85" s="528"/>
      <c r="BE85" s="528"/>
      <c r="BF85" s="564"/>
      <c r="BG85" s="529"/>
      <c r="BH85" s="525"/>
      <c r="BI85" s="528"/>
      <c r="BJ85" s="528" t="s">
        <v>4</v>
      </c>
      <c r="BK85" s="528"/>
      <c r="BL85" s="529" t="s">
        <v>1284</v>
      </c>
      <c r="BM85" s="530" t="s">
        <v>1553</v>
      </c>
      <c r="BN85" s="525" t="s">
        <v>408</v>
      </c>
    </row>
    <row r="86" spans="1:66" ht="13" customHeight="1" x14ac:dyDescent="0.2">
      <c r="A86" s="451"/>
      <c r="B86" s="527">
        <v>44209</v>
      </c>
      <c r="C86" s="526" t="s">
        <v>10</v>
      </c>
      <c r="D86" s="525" t="s">
        <v>1111</v>
      </c>
      <c r="E86" s="527">
        <v>44153</v>
      </c>
      <c r="F86" s="529" t="s">
        <v>1483</v>
      </c>
      <c r="G86" s="525" t="s">
        <v>1550</v>
      </c>
      <c r="H86" s="340">
        <v>82</v>
      </c>
      <c r="I86" s="531" t="s">
        <v>296</v>
      </c>
      <c r="J86" s="525">
        <v>1645</v>
      </c>
      <c r="K86" s="525">
        <v>3000</v>
      </c>
      <c r="L86" s="525">
        <v>3000</v>
      </c>
      <c r="M86" s="525">
        <v>3000</v>
      </c>
      <c r="N86" s="525"/>
      <c r="O86" s="340">
        <v>1.7999999999999998</v>
      </c>
      <c r="P86" s="340">
        <v>1.5999999999999999</v>
      </c>
      <c r="Q86" s="340">
        <v>0</v>
      </c>
      <c r="R86" s="532">
        <v>0</v>
      </c>
      <c r="S86" s="532">
        <v>1.2999999999999998</v>
      </c>
      <c r="T86" s="532"/>
      <c r="U86" s="532">
        <v>1.7999999999999998</v>
      </c>
      <c r="V86" s="532">
        <v>1.5999999999999999</v>
      </c>
      <c r="W86" s="532">
        <v>0</v>
      </c>
      <c r="X86" s="532">
        <v>0</v>
      </c>
      <c r="Y86" s="532">
        <v>1.2999999999999998</v>
      </c>
      <c r="Z86" s="533"/>
      <c r="AA86" s="532"/>
      <c r="AB86" s="532"/>
      <c r="AC86" s="532"/>
      <c r="AD86" s="532"/>
      <c r="AE86" s="532"/>
      <c r="AF86" s="532"/>
      <c r="AG86" s="528" t="s">
        <v>38</v>
      </c>
      <c r="AH86" s="528"/>
      <c r="AI86" s="333">
        <v>3</v>
      </c>
      <c r="AJ86" s="333">
        <v>3</v>
      </c>
      <c r="AK86" s="480">
        <v>0.5</v>
      </c>
      <c r="AL86" s="480">
        <v>0.5</v>
      </c>
      <c r="AM86" s="525" t="s">
        <v>1118</v>
      </c>
      <c r="AN86" s="528">
        <v>0</v>
      </c>
      <c r="AO86" s="528">
        <v>0</v>
      </c>
      <c r="AP86" s="528">
        <v>0</v>
      </c>
      <c r="AQ86" s="528">
        <v>0</v>
      </c>
      <c r="AR86" s="528">
        <v>0</v>
      </c>
      <c r="AS86" s="528">
        <v>0</v>
      </c>
      <c r="AT86" s="528">
        <v>0</v>
      </c>
      <c r="AU86" s="528">
        <v>0</v>
      </c>
      <c r="AV86" s="528">
        <v>0</v>
      </c>
      <c r="AW86" s="528">
        <v>0</v>
      </c>
      <c r="AX86" s="528">
        <v>0</v>
      </c>
      <c r="AY86" s="528">
        <v>0</v>
      </c>
      <c r="AZ86" s="528"/>
      <c r="BA86" s="528" t="s">
        <v>38</v>
      </c>
      <c r="BB86" s="528"/>
      <c r="BC86" s="528" t="s">
        <v>38</v>
      </c>
      <c r="BD86" s="528"/>
      <c r="BE86" s="528">
        <v>12</v>
      </c>
      <c r="BF86" s="564"/>
      <c r="BG86" s="529"/>
      <c r="BH86" s="525"/>
      <c r="BI86" s="528"/>
      <c r="BJ86" s="528" t="s">
        <v>43</v>
      </c>
      <c r="BK86" s="528"/>
      <c r="BL86" s="529"/>
      <c r="BM86" s="530" t="s">
        <v>430</v>
      </c>
      <c r="BN86" s="525" t="s">
        <v>1121</v>
      </c>
    </row>
    <row r="87" spans="1:66" ht="13" customHeight="1" x14ac:dyDescent="0.2">
      <c r="A87" s="451">
        <v>1345</v>
      </c>
      <c r="B87" s="527">
        <v>44208</v>
      </c>
      <c r="C87" s="526" t="s">
        <v>1138</v>
      </c>
      <c r="D87" s="525" t="s">
        <v>1113</v>
      </c>
      <c r="E87" s="527">
        <v>44197</v>
      </c>
      <c r="F87" s="529" t="s">
        <v>1139</v>
      </c>
      <c r="G87" s="525" t="s">
        <v>1140</v>
      </c>
      <c r="H87" s="340">
        <v>71.709090909090904</v>
      </c>
      <c r="I87" s="531" t="s">
        <v>1141</v>
      </c>
      <c r="J87" s="525">
        <v>6000</v>
      </c>
      <c r="K87" s="525">
        <v>12000</v>
      </c>
      <c r="L87" s="525">
        <v>84000</v>
      </c>
      <c r="M87" s="525">
        <v>84000</v>
      </c>
      <c r="N87" s="525"/>
      <c r="O87" s="340">
        <v>1.7545454545454544</v>
      </c>
      <c r="P87" s="340">
        <v>1.7272727272727271</v>
      </c>
      <c r="Q87" s="340">
        <v>1.4454545454545453</v>
      </c>
      <c r="R87" s="532">
        <v>0</v>
      </c>
      <c r="S87" s="532">
        <v>1.2999999999999998</v>
      </c>
      <c r="T87" s="532"/>
      <c r="U87" s="532">
        <v>1.6090909090909089</v>
      </c>
      <c r="V87" s="532">
        <v>1.3363636363636362</v>
      </c>
      <c r="W87" s="532">
        <v>1.2454545454545454</v>
      </c>
      <c r="X87" s="532">
        <v>0</v>
      </c>
      <c r="Y87" s="532">
        <v>1.2272727272727273</v>
      </c>
      <c r="Z87" s="533"/>
      <c r="AA87" s="532"/>
      <c r="AB87" s="532"/>
      <c r="AC87" s="532"/>
      <c r="AD87" s="532"/>
      <c r="AE87" s="532"/>
      <c r="AF87" s="532"/>
      <c r="AG87" s="528" t="s">
        <v>1143</v>
      </c>
      <c r="AH87" s="528" t="s">
        <v>1144</v>
      </c>
      <c r="AI87" s="333">
        <v>2</v>
      </c>
      <c r="AJ87" s="333">
        <v>4</v>
      </c>
      <c r="AK87" s="480">
        <v>0.33329999999999999</v>
      </c>
      <c r="AL87" s="480">
        <v>0.66659999999999997</v>
      </c>
      <c r="AM87" s="525" t="s">
        <v>1124</v>
      </c>
      <c r="AN87" s="528">
        <v>0</v>
      </c>
      <c r="AO87" s="528">
        <v>0</v>
      </c>
      <c r="AP87" s="528">
        <v>0</v>
      </c>
      <c r="AQ87" s="528">
        <v>0</v>
      </c>
      <c r="AR87" s="528">
        <v>0</v>
      </c>
      <c r="AS87" s="528">
        <v>0</v>
      </c>
      <c r="AT87" s="528">
        <v>0</v>
      </c>
      <c r="AU87" s="528">
        <v>0</v>
      </c>
      <c r="AV87" s="528">
        <v>0</v>
      </c>
      <c r="AW87" s="528">
        <v>0</v>
      </c>
      <c r="AX87" s="528">
        <v>0</v>
      </c>
      <c r="AY87" s="528">
        <v>0</v>
      </c>
      <c r="AZ87" s="528"/>
      <c r="BA87" s="528" t="s">
        <v>1145</v>
      </c>
      <c r="BB87" s="528">
        <v>12</v>
      </c>
      <c r="BC87" s="528" t="s">
        <v>1145</v>
      </c>
      <c r="BD87" s="528"/>
      <c r="BE87" s="528">
        <v>12</v>
      </c>
      <c r="BF87" s="564"/>
      <c r="BG87" s="529"/>
      <c r="BH87" s="525"/>
      <c r="BI87" s="528"/>
      <c r="BJ87" s="528" t="s">
        <v>1146</v>
      </c>
      <c r="BK87" s="528"/>
      <c r="BL87" s="529"/>
      <c r="BM87" s="530" t="s">
        <v>1520</v>
      </c>
      <c r="BN87" s="525" t="s">
        <v>408</v>
      </c>
    </row>
    <row r="88" spans="1:66" ht="13" customHeight="1" x14ac:dyDescent="0.2">
      <c r="A88" s="451">
        <v>2502</v>
      </c>
      <c r="B88" s="527">
        <v>44208</v>
      </c>
      <c r="C88" s="526" t="s">
        <v>1138</v>
      </c>
      <c r="D88" s="525" t="s">
        <v>1113</v>
      </c>
      <c r="E88" s="527">
        <v>44197</v>
      </c>
      <c r="F88" s="529" t="s">
        <v>1148</v>
      </c>
      <c r="G88" s="525" t="s">
        <v>1280</v>
      </c>
      <c r="H88" s="340">
        <v>75</v>
      </c>
      <c r="I88" s="531" t="s">
        <v>1141</v>
      </c>
      <c r="J88" s="525">
        <v>6000</v>
      </c>
      <c r="K88" s="525">
        <v>6000</v>
      </c>
      <c r="L88" s="525">
        <v>6000</v>
      </c>
      <c r="M88" s="525">
        <v>6000</v>
      </c>
      <c r="N88" s="525"/>
      <c r="O88" s="340">
        <v>1.7363636363636361</v>
      </c>
      <c r="P88" s="340">
        <v>0</v>
      </c>
      <c r="Q88" s="340">
        <v>0</v>
      </c>
      <c r="R88" s="532">
        <v>0</v>
      </c>
      <c r="S88" s="532">
        <v>1.5636363636363635</v>
      </c>
      <c r="T88" s="532"/>
      <c r="U88" s="532">
        <v>1.4818181818181817</v>
      </c>
      <c r="V88" s="532">
        <v>0</v>
      </c>
      <c r="W88" s="532">
        <v>0</v>
      </c>
      <c r="X88" s="532">
        <v>0</v>
      </c>
      <c r="Y88" s="532">
        <v>1.2999999999999998</v>
      </c>
      <c r="Z88" s="533"/>
      <c r="AA88" s="532"/>
      <c r="AB88" s="532"/>
      <c r="AC88" s="532"/>
      <c r="AD88" s="532"/>
      <c r="AE88" s="532"/>
      <c r="AF88" s="532"/>
      <c r="AG88" s="528" t="s">
        <v>1143</v>
      </c>
      <c r="AH88" s="528" t="s">
        <v>1144</v>
      </c>
      <c r="AI88" s="333">
        <v>2</v>
      </c>
      <c r="AJ88" s="333">
        <v>4</v>
      </c>
      <c r="AK88" s="480">
        <v>0.33329999999999999</v>
      </c>
      <c r="AL88" s="480">
        <v>0.66659999999999997</v>
      </c>
      <c r="AM88" s="525" t="s">
        <v>1124</v>
      </c>
      <c r="AN88" s="528">
        <v>0</v>
      </c>
      <c r="AO88" s="528">
        <v>0</v>
      </c>
      <c r="AP88" s="528">
        <v>0</v>
      </c>
      <c r="AQ88" s="528">
        <v>0</v>
      </c>
      <c r="AR88" s="528">
        <v>0</v>
      </c>
      <c r="AS88" s="528">
        <v>0</v>
      </c>
      <c r="AT88" s="528">
        <v>0</v>
      </c>
      <c r="AU88" s="528">
        <v>0</v>
      </c>
      <c r="AV88" s="528">
        <v>0</v>
      </c>
      <c r="AW88" s="528">
        <v>0</v>
      </c>
      <c r="AX88" s="528">
        <v>0</v>
      </c>
      <c r="AY88" s="528">
        <v>0</v>
      </c>
      <c r="AZ88" s="528"/>
      <c r="BA88" s="528" t="s">
        <v>1145</v>
      </c>
      <c r="BB88" s="528"/>
      <c r="BC88" s="528" t="s">
        <v>1145</v>
      </c>
      <c r="BD88" s="528"/>
      <c r="BE88" s="528"/>
      <c r="BF88" s="564"/>
      <c r="BG88" s="529"/>
      <c r="BH88" s="525"/>
      <c r="BI88" s="528"/>
      <c r="BJ88" s="528" t="s">
        <v>4</v>
      </c>
      <c r="BK88" s="528"/>
      <c r="BL88" s="529"/>
      <c r="BM88" s="530" t="s">
        <v>430</v>
      </c>
      <c r="BN88" s="525" t="s">
        <v>408</v>
      </c>
    </row>
    <row r="89" spans="1:66" ht="13" customHeight="1" x14ac:dyDescent="0.2">
      <c r="A89" s="451"/>
      <c r="B89" s="527">
        <v>44208</v>
      </c>
      <c r="C89" s="526" t="s">
        <v>1138</v>
      </c>
      <c r="D89" s="525" t="s">
        <v>1113</v>
      </c>
      <c r="E89" s="527">
        <v>44197</v>
      </c>
      <c r="F89" s="529" t="s">
        <v>1152</v>
      </c>
      <c r="G89" s="525" t="s">
        <v>1471</v>
      </c>
      <c r="H89" s="340">
        <v>58.081818181818178</v>
      </c>
      <c r="I89" s="531" t="s">
        <v>1141</v>
      </c>
      <c r="J89" s="525">
        <v>6000</v>
      </c>
      <c r="K89" s="525">
        <v>12000</v>
      </c>
      <c r="L89" s="525">
        <v>12000</v>
      </c>
      <c r="M89" s="525">
        <v>12000</v>
      </c>
      <c r="N89" s="525"/>
      <c r="O89" s="340">
        <v>1.6818181818181817</v>
      </c>
      <c r="P89" s="340">
        <v>1.5636363636363635</v>
      </c>
      <c r="Q89" s="340">
        <v>0</v>
      </c>
      <c r="R89" s="532">
        <v>0</v>
      </c>
      <c r="S89" s="532">
        <v>1.4363636363636363</v>
      </c>
      <c r="T89" s="532"/>
      <c r="U89" s="532">
        <v>1.4363636363636363</v>
      </c>
      <c r="V89" s="532">
        <v>1.3818181818181816</v>
      </c>
      <c r="W89" s="532">
        <v>0</v>
      </c>
      <c r="X89" s="532">
        <v>0</v>
      </c>
      <c r="Y89" s="532">
        <v>1.3181818181818181</v>
      </c>
      <c r="Z89" s="533"/>
      <c r="AA89" s="532"/>
      <c r="AB89" s="532"/>
      <c r="AC89" s="532"/>
      <c r="AD89" s="532"/>
      <c r="AE89" s="532"/>
      <c r="AF89" s="532"/>
      <c r="AG89" s="528" t="s">
        <v>1143</v>
      </c>
      <c r="AH89" s="528" t="s">
        <v>1144</v>
      </c>
      <c r="AI89" s="333">
        <v>2</v>
      </c>
      <c r="AJ89" s="333">
        <v>4</v>
      </c>
      <c r="AK89" s="480">
        <v>0.33329999999999999</v>
      </c>
      <c r="AL89" s="480">
        <v>0.66659999999999997</v>
      </c>
      <c r="AM89" s="525" t="s">
        <v>1124</v>
      </c>
      <c r="AN89" s="528">
        <v>0</v>
      </c>
      <c r="AO89" s="528">
        <v>0</v>
      </c>
      <c r="AP89" s="528">
        <v>0</v>
      </c>
      <c r="AQ89" s="528">
        <v>0</v>
      </c>
      <c r="AR89" s="528">
        <v>0</v>
      </c>
      <c r="AS89" s="528">
        <v>0</v>
      </c>
      <c r="AT89" s="528">
        <v>0</v>
      </c>
      <c r="AU89" s="528">
        <v>0</v>
      </c>
      <c r="AV89" s="528">
        <v>0</v>
      </c>
      <c r="AW89" s="528">
        <v>0</v>
      </c>
      <c r="AX89" s="528">
        <v>0</v>
      </c>
      <c r="AY89" s="528">
        <v>0</v>
      </c>
      <c r="AZ89" s="528"/>
      <c r="BA89" s="528" t="s">
        <v>1145</v>
      </c>
      <c r="BB89" s="528"/>
      <c r="BC89" s="528" t="s">
        <v>1145</v>
      </c>
      <c r="BD89" s="528"/>
      <c r="BE89" s="528"/>
      <c r="BF89" s="564"/>
      <c r="BG89" s="529"/>
      <c r="BH89" s="525"/>
      <c r="BI89" s="528"/>
      <c r="BJ89" s="528" t="s">
        <v>1146</v>
      </c>
      <c r="BK89" s="528">
        <v>1</v>
      </c>
      <c r="BL89" s="529"/>
      <c r="BM89" s="530" t="s">
        <v>1521</v>
      </c>
      <c r="BN89" s="525" t="s">
        <v>1121</v>
      </c>
    </row>
    <row r="90" spans="1:66" ht="13" customHeight="1" x14ac:dyDescent="0.2">
      <c r="A90" s="451">
        <v>2311</v>
      </c>
      <c r="B90" s="527">
        <v>44208</v>
      </c>
      <c r="C90" s="526" t="s">
        <v>1138</v>
      </c>
      <c r="D90" s="525" t="s">
        <v>1113</v>
      </c>
      <c r="E90" s="527">
        <v>44201</v>
      </c>
      <c r="F90" s="529" t="s">
        <v>1286</v>
      </c>
      <c r="G90" s="525" t="s">
        <v>418</v>
      </c>
      <c r="H90" s="340">
        <v>85</v>
      </c>
      <c r="I90" s="531" t="s">
        <v>1141</v>
      </c>
      <c r="J90" s="525">
        <v>6000</v>
      </c>
      <c r="K90" s="525">
        <v>12000</v>
      </c>
      <c r="L90" s="525">
        <v>84000</v>
      </c>
      <c r="M90" s="525">
        <v>84000</v>
      </c>
      <c r="N90" s="525"/>
      <c r="O90" s="340">
        <v>2.4</v>
      </c>
      <c r="P90" s="340">
        <v>2.2545454545454544</v>
      </c>
      <c r="Q90" s="340">
        <v>2</v>
      </c>
      <c r="R90" s="532">
        <v>0</v>
      </c>
      <c r="S90" s="532">
        <v>1.7999999999999998</v>
      </c>
      <c r="T90" s="532"/>
      <c r="U90" s="532">
        <v>2.0909090909090904</v>
      </c>
      <c r="V90" s="532">
        <v>1.9363636363636361</v>
      </c>
      <c r="W90" s="532">
        <v>1.6909090909090909</v>
      </c>
      <c r="X90" s="532">
        <v>0</v>
      </c>
      <c r="Y90" s="532">
        <v>1.5818181818181818</v>
      </c>
      <c r="Z90" s="533"/>
      <c r="AA90" s="532"/>
      <c r="AB90" s="532"/>
      <c r="AC90" s="532"/>
      <c r="AD90" s="532"/>
      <c r="AE90" s="532"/>
      <c r="AF90" s="532"/>
      <c r="AG90" s="528" t="s">
        <v>1143</v>
      </c>
      <c r="AH90" s="528" t="s">
        <v>1144</v>
      </c>
      <c r="AI90" s="333">
        <v>2</v>
      </c>
      <c r="AJ90" s="333">
        <v>4</v>
      </c>
      <c r="AK90" s="480">
        <v>0.33329999999999999</v>
      </c>
      <c r="AL90" s="480">
        <v>0.66659999999999997</v>
      </c>
      <c r="AM90" s="525" t="s">
        <v>1124</v>
      </c>
      <c r="AN90" s="528">
        <v>0</v>
      </c>
      <c r="AO90" s="528">
        <v>16</v>
      </c>
      <c r="AP90" s="528">
        <v>0</v>
      </c>
      <c r="AQ90" s="528">
        <v>0</v>
      </c>
      <c r="AR90" s="528">
        <v>0</v>
      </c>
      <c r="AS90" s="528">
        <v>0</v>
      </c>
      <c r="AT90" s="528">
        <v>0</v>
      </c>
      <c r="AU90" s="528">
        <v>0</v>
      </c>
      <c r="AV90" s="528">
        <v>0</v>
      </c>
      <c r="AW90" s="528">
        <v>0</v>
      </c>
      <c r="AX90" s="528">
        <v>0</v>
      </c>
      <c r="AY90" s="528">
        <v>0</v>
      </c>
      <c r="AZ90" s="528"/>
      <c r="BA90" s="528" t="s">
        <v>1145</v>
      </c>
      <c r="BB90" s="528"/>
      <c r="BC90" s="528" t="s">
        <v>1145</v>
      </c>
      <c r="BD90" s="528"/>
      <c r="BE90" s="528"/>
      <c r="BF90" s="564"/>
      <c r="BG90" s="529"/>
      <c r="BH90" s="525"/>
      <c r="BI90" s="528"/>
      <c r="BJ90" s="528" t="s">
        <v>1146</v>
      </c>
      <c r="BK90" s="528">
        <v>1</v>
      </c>
      <c r="BL90" s="529"/>
      <c r="BM90" s="530" t="s">
        <v>1522</v>
      </c>
      <c r="BN90" s="525" t="s">
        <v>408</v>
      </c>
    </row>
    <row r="91" spans="1:66" ht="13" customHeight="1" x14ac:dyDescent="0.2">
      <c r="A91" s="451">
        <v>2118</v>
      </c>
      <c r="B91" s="527">
        <v>44208</v>
      </c>
      <c r="C91" s="526" t="s">
        <v>1138</v>
      </c>
      <c r="D91" s="525" t="s">
        <v>1113</v>
      </c>
      <c r="E91" s="527">
        <v>44197</v>
      </c>
      <c r="F91" s="529" t="s">
        <v>1156</v>
      </c>
      <c r="G91" s="525" t="s">
        <v>1157</v>
      </c>
      <c r="H91" s="340">
        <v>100.6</v>
      </c>
      <c r="I91" s="531" t="s">
        <v>1141</v>
      </c>
      <c r="J91" s="525">
        <v>6000</v>
      </c>
      <c r="K91" s="525">
        <v>12000</v>
      </c>
      <c r="L91" s="525">
        <v>84000</v>
      </c>
      <c r="M91" s="525">
        <v>84000</v>
      </c>
      <c r="N91" s="525"/>
      <c r="O91" s="340">
        <v>2.5</v>
      </c>
      <c r="P91" s="340">
        <v>2.2999999999999998</v>
      </c>
      <c r="Q91" s="340">
        <v>2.0272727272727269</v>
      </c>
      <c r="R91" s="532">
        <v>0</v>
      </c>
      <c r="S91" s="532">
        <v>1.8181818181818181</v>
      </c>
      <c r="T91" s="532"/>
      <c r="U91" s="532">
        <v>2.0727272727272723</v>
      </c>
      <c r="V91" s="532">
        <v>2.0545454545454542</v>
      </c>
      <c r="W91" s="532">
        <v>1.9636363636363636</v>
      </c>
      <c r="X91" s="532">
        <v>0</v>
      </c>
      <c r="Y91" s="532">
        <v>1.7363636363636361</v>
      </c>
      <c r="Z91" s="533"/>
      <c r="AA91" s="532"/>
      <c r="AB91" s="532"/>
      <c r="AC91" s="532"/>
      <c r="AD91" s="532"/>
      <c r="AE91" s="532"/>
      <c r="AF91" s="532"/>
      <c r="AG91" s="528" t="s">
        <v>1143</v>
      </c>
      <c r="AH91" s="528" t="s">
        <v>1144</v>
      </c>
      <c r="AI91" s="333">
        <v>2</v>
      </c>
      <c r="AJ91" s="333">
        <v>4</v>
      </c>
      <c r="AK91" s="480">
        <v>0.33329999999999999</v>
      </c>
      <c r="AL91" s="480">
        <v>0.66659999999999997</v>
      </c>
      <c r="AM91" s="525" t="s">
        <v>1124</v>
      </c>
      <c r="AN91" s="528">
        <v>27</v>
      </c>
      <c r="AO91" s="528">
        <v>0</v>
      </c>
      <c r="AP91" s="528">
        <v>0</v>
      </c>
      <c r="AQ91" s="528">
        <v>0</v>
      </c>
      <c r="AR91" s="528">
        <v>0</v>
      </c>
      <c r="AS91" s="528">
        <v>0</v>
      </c>
      <c r="AT91" s="528">
        <v>0</v>
      </c>
      <c r="AU91" s="528">
        <v>0</v>
      </c>
      <c r="AV91" s="528">
        <v>0</v>
      </c>
      <c r="AW91" s="528">
        <v>0</v>
      </c>
      <c r="AX91" s="528">
        <v>0</v>
      </c>
      <c r="AY91" s="528">
        <v>0</v>
      </c>
      <c r="AZ91" s="528">
        <v>12</v>
      </c>
      <c r="BA91" s="528" t="s">
        <v>1145</v>
      </c>
      <c r="BB91" s="528">
        <v>12</v>
      </c>
      <c r="BC91" s="528" t="s">
        <v>1145</v>
      </c>
      <c r="BD91" s="528"/>
      <c r="BE91" s="528">
        <v>12</v>
      </c>
      <c r="BF91" s="564"/>
      <c r="BG91" s="529"/>
      <c r="BH91" s="525"/>
      <c r="BI91" s="528"/>
      <c r="BJ91" s="528" t="s">
        <v>1146</v>
      </c>
      <c r="BK91" s="528"/>
      <c r="BL91" s="529"/>
      <c r="BM91" s="530" t="s">
        <v>1523</v>
      </c>
      <c r="BN91" s="525" t="s">
        <v>408</v>
      </c>
    </row>
    <row r="92" spans="1:66" ht="13" customHeight="1" x14ac:dyDescent="0.2">
      <c r="A92" s="451">
        <v>2876</v>
      </c>
      <c r="B92" s="527">
        <v>44208</v>
      </c>
      <c r="C92" s="526" t="s">
        <v>1138</v>
      </c>
      <c r="D92" s="525" t="s">
        <v>1113</v>
      </c>
      <c r="E92" s="527">
        <v>44197</v>
      </c>
      <c r="F92" s="529" t="s">
        <v>1159</v>
      </c>
      <c r="G92" s="525" t="s">
        <v>1105</v>
      </c>
      <c r="H92" s="340">
        <v>77.599999999999994</v>
      </c>
      <c r="I92" s="531" t="s">
        <v>1141</v>
      </c>
      <c r="J92" s="525">
        <v>6000</v>
      </c>
      <c r="K92" s="525">
        <v>12000</v>
      </c>
      <c r="L92" s="525">
        <v>84000</v>
      </c>
      <c r="M92" s="525">
        <v>84000</v>
      </c>
      <c r="N92" s="525"/>
      <c r="O92" s="340">
        <v>1.7363636363636361</v>
      </c>
      <c r="P92" s="340">
        <v>1.718181818181818</v>
      </c>
      <c r="Q92" s="340">
        <v>1.7</v>
      </c>
      <c r="R92" s="532">
        <v>0</v>
      </c>
      <c r="S92" s="532">
        <v>1.4545454545454546</v>
      </c>
      <c r="T92" s="532"/>
      <c r="U92" s="532">
        <v>1.5818181818181818</v>
      </c>
      <c r="V92" s="532">
        <v>1.5545454545454545</v>
      </c>
      <c r="W92" s="532">
        <v>1.4545454545454546</v>
      </c>
      <c r="X92" s="532">
        <v>0</v>
      </c>
      <c r="Y92" s="532">
        <v>1.3545454545454545</v>
      </c>
      <c r="Z92" s="533"/>
      <c r="AA92" s="532"/>
      <c r="AB92" s="532"/>
      <c r="AC92" s="532"/>
      <c r="AD92" s="532"/>
      <c r="AE92" s="532"/>
      <c r="AF92" s="532"/>
      <c r="AG92" s="528" t="s">
        <v>1143</v>
      </c>
      <c r="AH92" s="528" t="s">
        <v>1144</v>
      </c>
      <c r="AI92" s="333">
        <v>2</v>
      </c>
      <c r="AJ92" s="333">
        <v>4</v>
      </c>
      <c r="AK92" s="480">
        <v>0.33329999999999999</v>
      </c>
      <c r="AL92" s="480">
        <v>0.66659999999999997</v>
      </c>
      <c r="AM92" s="525" t="s">
        <v>1124</v>
      </c>
      <c r="AN92" s="528">
        <v>0</v>
      </c>
      <c r="AO92" s="528">
        <v>0</v>
      </c>
      <c r="AP92" s="528">
        <v>0</v>
      </c>
      <c r="AQ92" s="528">
        <v>0</v>
      </c>
      <c r="AR92" s="528">
        <v>0</v>
      </c>
      <c r="AS92" s="528">
        <v>0</v>
      </c>
      <c r="AT92" s="528">
        <v>0</v>
      </c>
      <c r="AU92" s="528">
        <v>0</v>
      </c>
      <c r="AV92" s="528">
        <v>0</v>
      </c>
      <c r="AW92" s="528">
        <v>0</v>
      </c>
      <c r="AX92" s="528">
        <v>0</v>
      </c>
      <c r="AY92" s="528">
        <v>0</v>
      </c>
      <c r="AZ92" s="528"/>
      <c r="BA92" s="528" t="s">
        <v>1145</v>
      </c>
      <c r="BB92" s="528"/>
      <c r="BC92" s="528" t="s">
        <v>1145</v>
      </c>
      <c r="BD92" s="528"/>
      <c r="BE92" s="528"/>
      <c r="BF92" s="564">
        <v>44651</v>
      </c>
      <c r="BG92" s="529"/>
      <c r="BH92" s="525"/>
      <c r="BI92" s="528"/>
      <c r="BJ92" s="528" t="s">
        <v>1146</v>
      </c>
      <c r="BK92" s="528"/>
      <c r="BL92" s="529"/>
      <c r="BM92" s="530" t="s">
        <v>1525</v>
      </c>
      <c r="BN92" s="525" t="s">
        <v>408</v>
      </c>
    </row>
    <row r="93" spans="1:66" ht="13" customHeight="1" x14ac:dyDescent="0.2">
      <c r="A93" s="451">
        <v>317</v>
      </c>
      <c r="B93" s="527">
        <v>44208</v>
      </c>
      <c r="C93" s="526" t="s">
        <v>1138</v>
      </c>
      <c r="D93" s="525" t="s">
        <v>1113</v>
      </c>
      <c r="E93" s="527">
        <v>44197</v>
      </c>
      <c r="F93" s="529" t="s">
        <v>1160</v>
      </c>
      <c r="G93" s="525" t="s">
        <v>1161</v>
      </c>
      <c r="H93" s="340">
        <v>97.899999999999991</v>
      </c>
      <c r="I93" s="531" t="s">
        <v>1141</v>
      </c>
      <c r="J93" s="525">
        <v>6000</v>
      </c>
      <c r="K93" s="525">
        <v>12000</v>
      </c>
      <c r="L93" s="525">
        <v>84000</v>
      </c>
      <c r="M93" s="525">
        <v>84000</v>
      </c>
      <c r="N93" s="525"/>
      <c r="O93" s="340">
        <v>2</v>
      </c>
      <c r="P93" s="340">
        <v>1.8999999999999997</v>
      </c>
      <c r="Q93" s="340">
        <v>1.7</v>
      </c>
      <c r="R93" s="532">
        <v>0</v>
      </c>
      <c r="S93" s="532">
        <v>1.7</v>
      </c>
      <c r="T93" s="532"/>
      <c r="U93" s="532">
        <v>1.5999999999999999</v>
      </c>
      <c r="V93" s="532">
        <v>1.5999999999999999</v>
      </c>
      <c r="W93" s="532">
        <v>1.4999999999999998</v>
      </c>
      <c r="X93" s="532">
        <v>0</v>
      </c>
      <c r="Y93" s="532">
        <v>1.4999999999999998</v>
      </c>
      <c r="Z93" s="533"/>
      <c r="AA93" s="532"/>
      <c r="AB93" s="532"/>
      <c r="AC93" s="532"/>
      <c r="AD93" s="532"/>
      <c r="AE93" s="532"/>
      <c r="AF93" s="532"/>
      <c r="AG93" s="528" t="s">
        <v>1143</v>
      </c>
      <c r="AH93" s="528" t="s">
        <v>1144</v>
      </c>
      <c r="AI93" s="333">
        <v>2</v>
      </c>
      <c r="AJ93" s="333">
        <v>4</v>
      </c>
      <c r="AK93" s="480">
        <v>0.33329999999999999</v>
      </c>
      <c r="AL93" s="480">
        <v>0.66659999999999997</v>
      </c>
      <c r="AM93" s="525" t="s">
        <v>1124</v>
      </c>
      <c r="AN93" s="528">
        <v>0</v>
      </c>
      <c r="AO93" s="528">
        <v>0</v>
      </c>
      <c r="AP93" s="528">
        <v>0</v>
      </c>
      <c r="AQ93" s="528">
        <v>0</v>
      </c>
      <c r="AR93" s="528">
        <v>0</v>
      </c>
      <c r="AS93" s="528">
        <v>0</v>
      </c>
      <c r="AT93" s="528">
        <v>0</v>
      </c>
      <c r="AU93" s="528">
        <v>0</v>
      </c>
      <c r="AV93" s="528">
        <v>0</v>
      </c>
      <c r="AW93" s="528">
        <v>0</v>
      </c>
      <c r="AX93" s="528">
        <v>0</v>
      </c>
      <c r="AY93" s="528">
        <v>0</v>
      </c>
      <c r="AZ93" s="528"/>
      <c r="BA93" s="528" t="s">
        <v>1145</v>
      </c>
      <c r="BB93" s="528"/>
      <c r="BC93" s="528" t="s">
        <v>1145</v>
      </c>
      <c r="BD93" s="528"/>
      <c r="BE93" s="528"/>
      <c r="BF93" s="564"/>
      <c r="BG93" s="529"/>
      <c r="BH93" s="525"/>
      <c r="BI93" s="528"/>
      <c r="BJ93" s="528" t="s">
        <v>4</v>
      </c>
      <c r="BK93" s="528"/>
      <c r="BL93" s="529"/>
      <c r="BM93" s="530" t="s">
        <v>1526</v>
      </c>
      <c r="BN93" s="525" t="s">
        <v>408</v>
      </c>
    </row>
    <row r="94" spans="1:66" ht="13" customHeight="1" x14ac:dyDescent="0.2">
      <c r="A94" s="451">
        <v>2852</v>
      </c>
      <c r="B94" s="527">
        <v>44208</v>
      </c>
      <c r="C94" s="526" t="s">
        <v>1138</v>
      </c>
      <c r="D94" s="525" t="s">
        <v>1113</v>
      </c>
      <c r="E94" s="527">
        <v>44197</v>
      </c>
      <c r="F94" s="529" t="s">
        <v>1166</v>
      </c>
      <c r="G94" s="525" t="s">
        <v>1478</v>
      </c>
      <c r="H94" s="340">
        <v>63.272727272727259</v>
      </c>
      <c r="I94" s="531" t="s">
        <v>1141</v>
      </c>
      <c r="J94" s="525">
        <v>3000</v>
      </c>
      <c r="K94" s="525">
        <v>3000</v>
      </c>
      <c r="L94" s="525">
        <v>3000</v>
      </c>
      <c r="M94" s="525">
        <v>3000</v>
      </c>
      <c r="N94" s="525"/>
      <c r="O94" s="340">
        <v>1.9272727272727272</v>
      </c>
      <c r="P94" s="340">
        <v>0</v>
      </c>
      <c r="Q94" s="340">
        <v>0</v>
      </c>
      <c r="R94" s="532">
        <v>0</v>
      </c>
      <c r="S94" s="532">
        <v>1.6818181818181817</v>
      </c>
      <c r="T94" s="532"/>
      <c r="U94" s="532">
        <v>1.4</v>
      </c>
      <c r="V94" s="532">
        <v>0</v>
      </c>
      <c r="W94" s="532">
        <v>0</v>
      </c>
      <c r="X94" s="532">
        <v>0</v>
      </c>
      <c r="Y94" s="532">
        <v>1.2818181818181817</v>
      </c>
      <c r="Z94" s="533"/>
      <c r="AA94" s="532"/>
      <c r="AB94" s="532"/>
      <c r="AC94" s="532"/>
      <c r="AD94" s="532"/>
      <c r="AE94" s="532"/>
      <c r="AF94" s="532"/>
      <c r="AG94" s="528" t="s">
        <v>1143</v>
      </c>
      <c r="AH94" s="528" t="s">
        <v>1144</v>
      </c>
      <c r="AI94" s="333">
        <v>2</v>
      </c>
      <c r="AJ94" s="333">
        <v>4</v>
      </c>
      <c r="AK94" s="480">
        <v>0.33329999999999999</v>
      </c>
      <c r="AL94" s="480">
        <v>0.66659999999999997</v>
      </c>
      <c r="AM94" s="525" t="s">
        <v>1124</v>
      </c>
      <c r="AN94" s="528">
        <v>0</v>
      </c>
      <c r="AO94" s="528">
        <v>0</v>
      </c>
      <c r="AP94" s="528">
        <v>0</v>
      </c>
      <c r="AQ94" s="528">
        <v>0</v>
      </c>
      <c r="AR94" s="528">
        <v>0</v>
      </c>
      <c r="AS94" s="528">
        <v>0</v>
      </c>
      <c r="AT94" s="528">
        <v>0</v>
      </c>
      <c r="AU94" s="528">
        <v>0</v>
      </c>
      <c r="AV94" s="528">
        <v>0</v>
      </c>
      <c r="AW94" s="528">
        <v>0</v>
      </c>
      <c r="AX94" s="528">
        <v>0</v>
      </c>
      <c r="AY94" s="528">
        <v>0</v>
      </c>
      <c r="AZ94" s="528"/>
      <c r="BA94" s="528" t="s">
        <v>1145</v>
      </c>
      <c r="BB94" s="528">
        <v>12</v>
      </c>
      <c r="BC94" s="528" t="s">
        <v>1145</v>
      </c>
      <c r="BD94" s="528"/>
      <c r="BE94" s="528">
        <v>12</v>
      </c>
      <c r="BF94" s="564"/>
      <c r="BG94" s="529"/>
      <c r="BH94" s="525"/>
      <c r="BI94" s="528"/>
      <c r="BJ94" s="528" t="s">
        <v>1146</v>
      </c>
      <c r="BK94" s="528"/>
      <c r="BL94" s="529"/>
      <c r="BM94" s="530" t="s">
        <v>1527</v>
      </c>
      <c r="BN94" s="525" t="s">
        <v>408</v>
      </c>
    </row>
    <row r="95" spans="1:66" ht="13" customHeight="1" x14ac:dyDescent="0.2">
      <c r="A95" s="451">
        <v>2399</v>
      </c>
      <c r="B95" s="527">
        <v>44208</v>
      </c>
      <c r="C95" s="526" t="s">
        <v>1138</v>
      </c>
      <c r="D95" s="525" t="s">
        <v>1113</v>
      </c>
      <c r="E95" s="527">
        <v>44197</v>
      </c>
      <c r="F95" s="529" t="s">
        <v>1168</v>
      </c>
      <c r="G95" s="525" t="s">
        <v>1297</v>
      </c>
      <c r="H95" s="340">
        <v>74.25454545454545</v>
      </c>
      <c r="I95" s="531" t="s">
        <v>1141</v>
      </c>
      <c r="J95" s="525">
        <v>6000</v>
      </c>
      <c r="K95" s="525">
        <v>12000</v>
      </c>
      <c r="L95" s="525">
        <v>84000</v>
      </c>
      <c r="M95" s="525">
        <v>84000</v>
      </c>
      <c r="N95" s="525"/>
      <c r="O95" s="340">
        <v>1.9363636363636361</v>
      </c>
      <c r="P95" s="340">
        <v>1.7999999999999998</v>
      </c>
      <c r="Q95" s="340">
        <v>1.6181818181818182</v>
      </c>
      <c r="R95" s="532">
        <v>0</v>
      </c>
      <c r="S95" s="532">
        <v>1.5272727272727271</v>
      </c>
      <c r="T95" s="532"/>
      <c r="U95" s="532">
        <v>1.7999999999999998</v>
      </c>
      <c r="V95" s="532">
        <v>1.7545454545454544</v>
      </c>
      <c r="W95" s="532">
        <v>1.5727272727272725</v>
      </c>
      <c r="X95" s="532">
        <v>0</v>
      </c>
      <c r="Y95" s="532">
        <v>1.4818181818181817</v>
      </c>
      <c r="Z95" s="533"/>
      <c r="AA95" s="532"/>
      <c r="AB95" s="532"/>
      <c r="AC95" s="532"/>
      <c r="AD95" s="532"/>
      <c r="AE95" s="532"/>
      <c r="AF95" s="532"/>
      <c r="AG95" s="528" t="s">
        <v>1143</v>
      </c>
      <c r="AH95" s="528" t="s">
        <v>1144</v>
      </c>
      <c r="AI95" s="333">
        <v>2</v>
      </c>
      <c r="AJ95" s="333">
        <v>4</v>
      </c>
      <c r="AK95" s="480">
        <v>0.33329999999999999</v>
      </c>
      <c r="AL95" s="480">
        <v>0.66659999999999997</v>
      </c>
      <c r="AM95" s="525" t="s">
        <v>1124</v>
      </c>
      <c r="AN95" s="528">
        <v>0</v>
      </c>
      <c r="AO95" s="528">
        <v>0</v>
      </c>
      <c r="AP95" s="528">
        <v>0</v>
      </c>
      <c r="AQ95" s="528">
        <v>0</v>
      </c>
      <c r="AR95" s="528">
        <v>0</v>
      </c>
      <c r="AS95" s="528">
        <v>0</v>
      </c>
      <c r="AT95" s="528">
        <v>0</v>
      </c>
      <c r="AU95" s="528">
        <v>0</v>
      </c>
      <c r="AV95" s="528">
        <v>0</v>
      </c>
      <c r="AW95" s="528">
        <v>0</v>
      </c>
      <c r="AX95" s="528">
        <v>0</v>
      </c>
      <c r="AY95" s="528">
        <v>0</v>
      </c>
      <c r="AZ95" s="528"/>
      <c r="BA95" s="528" t="s">
        <v>1145</v>
      </c>
      <c r="BB95" s="528"/>
      <c r="BC95" s="528" t="s">
        <v>1145</v>
      </c>
      <c r="BD95" s="528"/>
      <c r="BE95" s="528"/>
      <c r="BF95" s="564"/>
      <c r="BG95" s="529"/>
      <c r="BH95" s="525"/>
      <c r="BI95" s="528"/>
      <c r="BJ95" s="528" t="s">
        <v>1146</v>
      </c>
      <c r="BK95" s="528"/>
      <c r="BL95" s="529"/>
      <c r="BM95" s="530" t="s">
        <v>1528</v>
      </c>
      <c r="BN95" s="525" t="s">
        <v>408</v>
      </c>
    </row>
    <row r="96" spans="1:66" ht="13" customHeight="1" x14ac:dyDescent="0.2">
      <c r="A96" s="451"/>
      <c r="B96" s="527">
        <v>44229</v>
      </c>
      <c r="C96" s="526" t="s">
        <v>1138</v>
      </c>
      <c r="D96" s="525" t="s">
        <v>1113</v>
      </c>
      <c r="E96" s="527">
        <v>44197</v>
      </c>
      <c r="F96" s="529" t="s">
        <v>1169</v>
      </c>
      <c r="G96" s="525" t="s">
        <v>1561</v>
      </c>
      <c r="H96" s="340">
        <v>92.62</v>
      </c>
      <c r="I96" s="531" t="s">
        <v>1141</v>
      </c>
      <c r="J96" s="525">
        <v>6000</v>
      </c>
      <c r="K96" s="525">
        <v>12000</v>
      </c>
      <c r="L96" s="525">
        <v>84000</v>
      </c>
      <c r="M96" s="525">
        <v>84000</v>
      </c>
      <c r="N96" s="525"/>
      <c r="O96" s="340">
        <v>2.41</v>
      </c>
      <c r="P96" s="340">
        <v>2.0499999999999998</v>
      </c>
      <c r="Q96" s="340">
        <v>1.61</v>
      </c>
      <c r="R96" s="532">
        <v>0</v>
      </c>
      <c r="S96" s="532">
        <v>1.6</v>
      </c>
      <c r="T96" s="532"/>
      <c r="U96" s="532">
        <v>1.82</v>
      </c>
      <c r="V96" s="532">
        <v>1.76</v>
      </c>
      <c r="W96" s="532">
        <v>1.61</v>
      </c>
      <c r="X96" s="532">
        <v>0</v>
      </c>
      <c r="Y96" s="532">
        <v>1.55</v>
      </c>
      <c r="Z96" s="533"/>
      <c r="AA96" s="532"/>
      <c r="AB96" s="532"/>
      <c r="AC96" s="532"/>
      <c r="AD96" s="532"/>
      <c r="AE96" s="532"/>
      <c r="AF96" s="532"/>
      <c r="AG96" s="528" t="s">
        <v>1143</v>
      </c>
      <c r="AH96" s="528" t="s">
        <v>1144</v>
      </c>
      <c r="AI96" s="333">
        <v>2</v>
      </c>
      <c r="AJ96" s="333">
        <v>4</v>
      </c>
      <c r="AK96" s="480">
        <v>0.33329999999999999</v>
      </c>
      <c r="AL96" s="480">
        <v>0.66659999999999997</v>
      </c>
      <c r="AM96" s="525" t="s">
        <v>1124</v>
      </c>
      <c r="AN96" s="528">
        <v>21</v>
      </c>
      <c r="AO96" s="528">
        <v>0</v>
      </c>
      <c r="AP96" s="528">
        <v>0</v>
      </c>
      <c r="AQ96" s="528">
        <v>0</v>
      </c>
      <c r="AR96" s="528">
        <v>0</v>
      </c>
      <c r="AS96" s="528">
        <v>0</v>
      </c>
      <c r="AT96" s="528">
        <v>0</v>
      </c>
      <c r="AU96" s="528">
        <v>0</v>
      </c>
      <c r="AV96" s="528">
        <v>0</v>
      </c>
      <c r="AW96" s="528">
        <v>0</v>
      </c>
      <c r="AX96" s="528">
        <v>0</v>
      </c>
      <c r="AY96" s="528">
        <v>0</v>
      </c>
      <c r="AZ96" s="528"/>
      <c r="BA96" s="528" t="s">
        <v>1145</v>
      </c>
      <c r="BB96" s="528"/>
      <c r="BC96" s="528" t="s">
        <v>1145</v>
      </c>
      <c r="BD96" s="528"/>
      <c r="BE96" s="528"/>
      <c r="BF96" s="564"/>
      <c r="BG96" s="529"/>
      <c r="BH96" s="525"/>
      <c r="BI96" s="528"/>
      <c r="BJ96" s="528" t="s">
        <v>1146</v>
      </c>
      <c r="BK96" s="528"/>
      <c r="BL96" s="529"/>
      <c r="BM96" s="530"/>
      <c r="BN96" s="525" t="s">
        <v>1121</v>
      </c>
    </row>
    <row r="97" spans="1:66" ht="13" customHeight="1" x14ac:dyDescent="0.2">
      <c r="A97" s="451">
        <v>2681</v>
      </c>
      <c r="B97" s="527">
        <v>44208</v>
      </c>
      <c r="C97" s="526" t="s">
        <v>1138</v>
      </c>
      <c r="D97" s="525" t="s">
        <v>1113</v>
      </c>
      <c r="E97" s="527">
        <v>44013</v>
      </c>
      <c r="F97" s="529" t="s">
        <v>1173</v>
      </c>
      <c r="G97" s="525" t="s">
        <v>1481</v>
      </c>
      <c r="H97" s="340">
        <v>85</v>
      </c>
      <c r="I97" s="531" t="s">
        <v>1141</v>
      </c>
      <c r="J97" s="525">
        <v>6000</v>
      </c>
      <c r="K97" s="525">
        <v>12000</v>
      </c>
      <c r="L97" s="525">
        <v>84000</v>
      </c>
      <c r="M97" s="525">
        <v>84000</v>
      </c>
      <c r="N97" s="525"/>
      <c r="O97" s="340">
        <v>1.7909090909090908</v>
      </c>
      <c r="P97" s="340">
        <v>1.7</v>
      </c>
      <c r="Q97" s="340">
        <v>1.3909090909090909</v>
      </c>
      <c r="R97" s="532">
        <v>0</v>
      </c>
      <c r="S97" s="532">
        <v>1.2818181818181817</v>
      </c>
      <c r="T97" s="532"/>
      <c r="U97" s="532">
        <v>1.6363636363636362</v>
      </c>
      <c r="V97" s="532">
        <v>1.3363636363636362</v>
      </c>
      <c r="W97" s="532">
        <v>1.2545454545454544</v>
      </c>
      <c r="X97" s="532">
        <v>0</v>
      </c>
      <c r="Y97" s="532">
        <v>1.1363636363636362</v>
      </c>
      <c r="Z97" s="533"/>
      <c r="AA97" s="532"/>
      <c r="AB97" s="532"/>
      <c r="AC97" s="532"/>
      <c r="AD97" s="532"/>
      <c r="AE97" s="532"/>
      <c r="AF97" s="532"/>
      <c r="AG97" s="528" t="s">
        <v>1143</v>
      </c>
      <c r="AH97" s="528" t="s">
        <v>1144</v>
      </c>
      <c r="AI97" s="333">
        <v>2</v>
      </c>
      <c r="AJ97" s="333">
        <v>4</v>
      </c>
      <c r="AK97" s="480">
        <v>0.33329999999999999</v>
      </c>
      <c r="AL97" s="480">
        <v>0.66659999999999997</v>
      </c>
      <c r="AM97" s="525" t="s">
        <v>1124</v>
      </c>
      <c r="AN97" s="528">
        <v>0</v>
      </c>
      <c r="AO97" s="528">
        <v>0</v>
      </c>
      <c r="AP97" s="528">
        <v>0</v>
      </c>
      <c r="AQ97" s="528">
        <v>0</v>
      </c>
      <c r="AR97" s="528">
        <v>0</v>
      </c>
      <c r="AS97" s="528">
        <v>0</v>
      </c>
      <c r="AT97" s="528">
        <v>0</v>
      </c>
      <c r="AU97" s="528">
        <v>0</v>
      </c>
      <c r="AV97" s="528">
        <v>0</v>
      </c>
      <c r="AW97" s="528">
        <v>0</v>
      </c>
      <c r="AX97" s="528">
        <v>0</v>
      </c>
      <c r="AY97" s="528">
        <v>0</v>
      </c>
      <c r="AZ97" s="528"/>
      <c r="BA97" s="528" t="s">
        <v>1145</v>
      </c>
      <c r="BB97" s="528"/>
      <c r="BC97" s="528" t="s">
        <v>1145</v>
      </c>
      <c r="BD97" s="528"/>
      <c r="BE97" s="528"/>
      <c r="BF97" s="564"/>
      <c r="BG97" s="529"/>
      <c r="BH97" s="525"/>
      <c r="BI97" s="528"/>
      <c r="BJ97" s="528" t="s">
        <v>1164</v>
      </c>
      <c r="BK97" s="528"/>
      <c r="BL97" s="529"/>
      <c r="BM97" s="530" t="s">
        <v>1529</v>
      </c>
      <c r="BN97" s="525" t="s">
        <v>368</v>
      </c>
    </row>
    <row r="98" spans="1:66" ht="13" customHeight="1" x14ac:dyDescent="0.2">
      <c r="A98" s="451">
        <v>1687</v>
      </c>
      <c r="B98" s="527">
        <v>44208</v>
      </c>
      <c r="C98" s="526" t="s">
        <v>295</v>
      </c>
      <c r="D98" s="525" t="s">
        <v>1113</v>
      </c>
      <c r="E98" s="527">
        <v>44166</v>
      </c>
      <c r="F98" s="529" t="s">
        <v>1106</v>
      </c>
      <c r="G98" s="525" t="s">
        <v>2</v>
      </c>
      <c r="H98" s="340">
        <v>77.999999999999986</v>
      </c>
      <c r="I98" s="531" t="s">
        <v>296</v>
      </c>
      <c r="J98" s="525">
        <v>6000</v>
      </c>
      <c r="K98" s="525">
        <v>6000</v>
      </c>
      <c r="L98" s="525">
        <v>6000</v>
      </c>
      <c r="M98" s="525">
        <v>6000</v>
      </c>
      <c r="N98" s="525"/>
      <c r="O98" s="340">
        <v>1.5636363636363635</v>
      </c>
      <c r="P98" s="340">
        <v>0</v>
      </c>
      <c r="Q98" s="340">
        <v>0</v>
      </c>
      <c r="R98" s="532">
        <v>0</v>
      </c>
      <c r="S98" s="532">
        <v>1.4</v>
      </c>
      <c r="T98" s="532"/>
      <c r="U98" s="532">
        <v>1.5636363636363635</v>
      </c>
      <c r="V98" s="532">
        <v>0</v>
      </c>
      <c r="W98" s="532">
        <v>0</v>
      </c>
      <c r="X98" s="532">
        <v>0</v>
      </c>
      <c r="Y98" s="532">
        <v>1.2181818181818183</v>
      </c>
      <c r="Z98" s="533"/>
      <c r="AA98" s="532"/>
      <c r="AB98" s="532"/>
      <c r="AC98" s="532"/>
      <c r="AD98" s="532"/>
      <c r="AE98" s="532"/>
      <c r="AF98" s="532"/>
      <c r="AG98" s="528" t="s">
        <v>1143</v>
      </c>
      <c r="AH98" s="528" t="s">
        <v>1144</v>
      </c>
      <c r="AI98" s="333">
        <v>2</v>
      </c>
      <c r="AJ98" s="333">
        <v>4</v>
      </c>
      <c r="AK98" s="480">
        <v>0.33329999999999999</v>
      </c>
      <c r="AL98" s="480">
        <v>0.66659999999999997</v>
      </c>
      <c r="AM98" s="525" t="s">
        <v>1124</v>
      </c>
      <c r="AN98" s="528">
        <v>0</v>
      </c>
      <c r="AO98" s="528">
        <v>0</v>
      </c>
      <c r="AP98" s="528">
        <v>0</v>
      </c>
      <c r="AQ98" s="528">
        <v>0</v>
      </c>
      <c r="AR98" s="528">
        <v>0</v>
      </c>
      <c r="AS98" s="528">
        <v>0</v>
      </c>
      <c r="AT98" s="528">
        <v>0</v>
      </c>
      <c r="AU98" s="528">
        <v>0</v>
      </c>
      <c r="AV98" s="528">
        <v>0</v>
      </c>
      <c r="AW98" s="528">
        <v>0</v>
      </c>
      <c r="AX98" s="528">
        <v>0</v>
      </c>
      <c r="AY98" s="528">
        <v>0</v>
      </c>
      <c r="AZ98" s="528"/>
      <c r="BA98" s="528" t="s">
        <v>1145</v>
      </c>
      <c r="BB98" s="528"/>
      <c r="BC98" s="528" t="s">
        <v>1145</v>
      </c>
      <c r="BD98" s="528"/>
      <c r="BE98" s="528"/>
      <c r="BF98" s="564"/>
      <c r="BG98" s="529"/>
      <c r="BH98" s="525"/>
      <c r="BI98" s="528"/>
      <c r="BJ98" s="528" t="s">
        <v>1146</v>
      </c>
      <c r="BK98" s="528">
        <v>1</v>
      </c>
      <c r="BL98" s="529"/>
      <c r="BM98" s="530" t="s">
        <v>1524</v>
      </c>
      <c r="BN98" s="525" t="s">
        <v>368</v>
      </c>
    </row>
    <row r="99" spans="1:66" ht="13" customHeight="1" x14ac:dyDescent="0.2">
      <c r="A99" s="451"/>
      <c r="B99" s="527">
        <v>44211</v>
      </c>
      <c r="C99" s="526" t="s">
        <v>1138</v>
      </c>
      <c r="D99" s="525" t="s">
        <v>1113</v>
      </c>
      <c r="E99" s="527">
        <v>44228</v>
      </c>
      <c r="F99" s="529" t="s">
        <v>34</v>
      </c>
      <c r="G99" s="525" t="s">
        <v>1181</v>
      </c>
      <c r="H99" s="340">
        <v>75.499999999999986</v>
      </c>
      <c r="I99" s="531"/>
      <c r="J99" s="525"/>
      <c r="K99" s="525"/>
      <c r="L99" s="525"/>
      <c r="M99" s="525"/>
      <c r="N99" s="525"/>
      <c r="O99" s="340">
        <v>1.6272727272727272</v>
      </c>
      <c r="P99" s="340">
        <v>0</v>
      </c>
      <c r="Q99" s="340">
        <v>0</v>
      </c>
      <c r="R99" s="532">
        <v>0</v>
      </c>
      <c r="S99" s="532">
        <v>0</v>
      </c>
      <c r="T99" s="532"/>
      <c r="U99" s="532">
        <v>1.4636363636363636</v>
      </c>
      <c r="V99" s="532">
        <v>0</v>
      </c>
      <c r="W99" s="532">
        <v>0</v>
      </c>
      <c r="X99" s="532">
        <v>0</v>
      </c>
      <c r="Y99" s="532">
        <v>0</v>
      </c>
      <c r="Z99" s="533"/>
      <c r="AA99" s="532"/>
      <c r="AB99" s="532"/>
      <c r="AC99" s="532"/>
      <c r="AD99" s="532"/>
      <c r="AE99" s="532"/>
      <c r="AF99" s="532"/>
      <c r="AG99" s="528" t="s">
        <v>1143</v>
      </c>
      <c r="AH99" s="528" t="s">
        <v>1144</v>
      </c>
      <c r="AI99" s="333">
        <v>2</v>
      </c>
      <c r="AJ99" s="333">
        <v>4</v>
      </c>
      <c r="AK99" s="480">
        <v>0.33329999999999999</v>
      </c>
      <c r="AL99" s="480">
        <v>0.66659999999999997</v>
      </c>
      <c r="AM99" s="525" t="s">
        <v>1124</v>
      </c>
      <c r="AN99" s="528">
        <v>0</v>
      </c>
      <c r="AO99" s="528">
        <v>0</v>
      </c>
      <c r="AP99" s="528">
        <v>0</v>
      </c>
      <c r="AQ99" s="528">
        <v>0</v>
      </c>
      <c r="AR99" s="528">
        <v>0</v>
      </c>
      <c r="AS99" s="528">
        <v>0</v>
      </c>
      <c r="AT99" s="528">
        <v>0</v>
      </c>
      <c r="AU99" s="528">
        <v>0</v>
      </c>
      <c r="AV99" s="528">
        <v>0</v>
      </c>
      <c r="AW99" s="528">
        <v>0</v>
      </c>
      <c r="AX99" s="528">
        <v>0</v>
      </c>
      <c r="AY99" s="528">
        <v>0</v>
      </c>
      <c r="AZ99" s="528"/>
      <c r="BA99" s="528" t="s">
        <v>1145</v>
      </c>
      <c r="BB99" s="528"/>
      <c r="BC99" s="528" t="s">
        <v>1145</v>
      </c>
      <c r="BD99" s="528"/>
      <c r="BE99" s="528"/>
      <c r="BF99" s="564"/>
      <c r="BG99" s="529"/>
      <c r="BH99" s="525"/>
      <c r="BI99" s="528"/>
      <c r="BJ99" s="528" t="s">
        <v>1164</v>
      </c>
      <c r="BK99" s="528"/>
      <c r="BL99" s="529" t="s">
        <v>1284</v>
      </c>
      <c r="BM99" s="530" t="s">
        <v>1559</v>
      </c>
      <c r="BN99" s="525" t="s">
        <v>1121</v>
      </c>
    </row>
    <row r="100" spans="1:66" ht="13" customHeight="1" x14ac:dyDescent="0.2">
      <c r="A100" s="451">
        <v>2744</v>
      </c>
      <c r="B100" s="527">
        <v>44208</v>
      </c>
      <c r="C100" s="526" t="s">
        <v>1138</v>
      </c>
      <c r="D100" s="525" t="s">
        <v>1113</v>
      </c>
      <c r="E100" s="527">
        <v>44197</v>
      </c>
      <c r="F100" s="529" t="s">
        <v>1274</v>
      </c>
      <c r="G100" s="525" t="s">
        <v>1467</v>
      </c>
      <c r="H100" s="340">
        <v>85.999999999999986</v>
      </c>
      <c r="I100" s="531" t="s">
        <v>1141</v>
      </c>
      <c r="J100" s="525">
        <v>6000</v>
      </c>
      <c r="K100" s="525">
        <v>12000</v>
      </c>
      <c r="L100" s="525">
        <v>12000</v>
      </c>
      <c r="M100" s="525">
        <v>12000</v>
      </c>
      <c r="N100" s="525"/>
      <c r="O100" s="340">
        <v>1.9818181818181817</v>
      </c>
      <c r="P100" s="340">
        <v>1.918181818181818</v>
      </c>
      <c r="Q100" s="340">
        <v>0</v>
      </c>
      <c r="R100" s="532">
        <v>0</v>
      </c>
      <c r="S100" s="532">
        <v>1.6181818181818182</v>
      </c>
      <c r="T100" s="532"/>
      <c r="U100" s="532">
        <v>1.9818181818181817</v>
      </c>
      <c r="V100" s="532">
        <v>1.918181818181818</v>
      </c>
      <c r="W100" s="532">
        <v>0</v>
      </c>
      <c r="X100" s="532">
        <v>0</v>
      </c>
      <c r="Y100" s="532">
        <v>1.6181818181818182</v>
      </c>
      <c r="Z100" s="533"/>
      <c r="AA100" s="532"/>
      <c r="AB100" s="532"/>
      <c r="AC100" s="532"/>
      <c r="AD100" s="532"/>
      <c r="AE100" s="532"/>
      <c r="AF100" s="532"/>
      <c r="AG100" s="528" t="s">
        <v>1145</v>
      </c>
      <c r="AH100" s="528"/>
      <c r="AI100" s="333">
        <v>3</v>
      </c>
      <c r="AJ100" s="333">
        <v>3</v>
      </c>
      <c r="AK100" s="480">
        <v>0.5</v>
      </c>
      <c r="AL100" s="480">
        <v>0.5</v>
      </c>
      <c r="AM100" s="525"/>
      <c r="AN100" s="528">
        <v>0</v>
      </c>
      <c r="AO100" s="528">
        <v>12</v>
      </c>
      <c r="AP100" s="528">
        <v>0</v>
      </c>
      <c r="AQ100" s="528">
        <v>3</v>
      </c>
      <c r="AR100" s="528">
        <v>0</v>
      </c>
      <c r="AS100" s="528">
        <v>0</v>
      </c>
      <c r="AT100" s="528">
        <v>0</v>
      </c>
      <c r="AU100" s="528">
        <v>0</v>
      </c>
      <c r="AV100" s="528">
        <v>0</v>
      </c>
      <c r="AW100" s="528">
        <v>0</v>
      </c>
      <c r="AX100" s="528">
        <v>0</v>
      </c>
      <c r="AY100" s="528">
        <v>0</v>
      </c>
      <c r="AZ100" s="528"/>
      <c r="BA100" s="528" t="s">
        <v>1145</v>
      </c>
      <c r="BB100" s="528"/>
      <c r="BC100" s="528" t="s">
        <v>1145</v>
      </c>
      <c r="BD100" s="528"/>
      <c r="BE100" s="528"/>
      <c r="BF100" s="564"/>
      <c r="BG100" s="529"/>
      <c r="BH100" s="525"/>
      <c r="BI100" s="528"/>
      <c r="BJ100" s="528" t="s">
        <v>1164</v>
      </c>
      <c r="BK100" s="528">
        <v>1</v>
      </c>
      <c r="BL100" s="529"/>
      <c r="BM100" s="530" t="s">
        <v>1519</v>
      </c>
      <c r="BN100" s="525" t="s">
        <v>408</v>
      </c>
    </row>
    <row r="101" spans="1:66" ht="13" customHeight="1" x14ac:dyDescent="0.2">
      <c r="A101" s="451">
        <v>2334</v>
      </c>
      <c r="B101" s="527">
        <v>44210</v>
      </c>
      <c r="C101" s="526" t="s">
        <v>1138</v>
      </c>
      <c r="D101" s="525" t="s">
        <v>1113</v>
      </c>
      <c r="E101" s="527">
        <v>44228</v>
      </c>
      <c r="F101" s="529" t="s">
        <v>1291</v>
      </c>
      <c r="G101" s="525" t="s">
        <v>1181</v>
      </c>
      <c r="H101" s="340">
        <v>80.336363636363629</v>
      </c>
      <c r="I101" s="531"/>
      <c r="J101" s="525"/>
      <c r="K101" s="525"/>
      <c r="L101" s="525"/>
      <c r="M101" s="525"/>
      <c r="N101" s="525"/>
      <c r="O101" s="340">
        <v>1.5909090909090908</v>
      </c>
      <c r="P101" s="340">
        <v>0</v>
      </c>
      <c r="Q101" s="340">
        <v>0</v>
      </c>
      <c r="R101" s="532">
        <v>0</v>
      </c>
      <c r="S101" s="532">
        <v>0</v>
      </c>
      <c r="T101" s="532"/>
      <c r="U101" s="532">
        <v>1.4363636363636363</v>
      </c>
      <c r="V101" s="532">
        <v>0</v>
      </c>
      <c r="W101" s="532">
        <v>0</v>
      </c>
      <c r="X101" s="532">
        <v>0</v>
      </c>
      <c r="Y101" s="532">
        <v>0</v>
      </c>
      <c r="Z101" s="533"/>
      <c r="AA101" s="532"/>
      <c r="AB101" s="532"/>
      <c r="AC101" s="532"/>
      <c r="AD101" s="532"/>
      <c r="AE101" s="532"/>
      <c r="AF101" s="532"/>
      <c r="AG101" s="528" t="s">
        <v>1143</v>
      </c>
      <c r="AH101" s="528" t="s">
        <v>1144</v>
      </c>
      <c r="AI101" s="333">
        <v>2</v>
      </c>
      <c r="AJ101" s="333">
        <v>4</v>
      </c>
      <c r="AK101" s="480">
        <v>0.33329999999999999</v>
      </c>
      <c r="AL101" s="480">
        <v>0.66659999999999997</v>
      </c>
      <c r="AM101" s="525" t="s">
        <v>1124</v>
      </c>
      <c r="AN101" s="528">
        <v>0</v>
      </c>
      <c r="AO101" s="528">
        <v>0</v>
      </c>
      <c r="AP101" s="528">
        <v>0</v>
      </c>
      <c r="AQ101" s="528">
        <v>0</v>
      </c>
      <c r="AR101" s="528">
        <v>0</v>
      </c>
      <c r="AS101" s="528">
        <v>0</v>
      </c>
      <c r="AT101" s="528">
        <v>0</v>
      </c>
      <c r="AU101" s="528">
        <v>0</v>
      </c>
      <c r="AV101" s="528">
        <v>0</v>
      </c>
      <c r="AW101" s="528">
        <v>0</v>
      </c>
      <c r="AX101" s="528">
        <v>0</v>
      </c>
      <c r="AY101" s="528">
        <v>0</v>
      </c>
      <c r="AZ101" s="528"/>
      <c r="BA101" s="528" t="s">
        <v>1145</v>
      </c>
      <c r="BB101" s="528"/>
      <c r="BC101" s="528" t="s">
        <v>1145</v>
      </c>
      <c r="BD101" s="528"/>
      <c r="BE101" s="528"/>
      <c r="BF101" s="564"/>
      <c r="BG101" s="529"/>
      <c r="BH101" s="525"/>
      <c r="BI101" s="528"/>
      <c r="BJ101" s="528" t="s">
        <v>4</v>
      </c>
      <c r="BK101" s="528"/>
      <c r="BL101" s="529" t="s">
        <v>1284</v>
      </c>
      <c r="BM101" s="530" t="s">
        <v>1554</v>
      </c>
      <c r="BN101" s="525" t="s">
        <v>408</v>
      </c>
    </row>
    <row r="102" spans="1:66" ht="13" customHeight="1" x14ac:dyDescent="0.2">
      <c r="A102" s="451"/>
      <c r="B102" s="527">
        <v>44209</v>
      </c>
      <c r="C102" s="526" t="s">
        <v>10</v>
      </c>
      <c r="D102" s="525" t="s">
        <v>1113</v>
      </c>
      <c r="E102" s="527">
        <v>44153</v>
      </c>
      <c r="F102" s="529" t="s">
        <v>1483</v>
      </c>
      <c r="G102" s="525" t="s">
        <v>1550</v>
      </c>
      <c r="H102" s="340">
        <v>99.999999999999986</v>
      </c>
      <c r="I102" s="531" t="s">
        <v>296</v>
      </c>
      <c r="J102" s="525">
        <v>6000</v>
      </c>
      <c r="K102" s="525">
        <v>12000</v>
      </c>
      <c r="L102" s="525">
        <v>84000</v>
      </c>
      <c r="M102" s="525">
        <v>84000</v>
      </c>
      <c r="N102" s="525"/>
      <c r="O102" s="340">
        <v>1.4999999999999998</v>
      </c>
      <c r="P102" s="340">
        <v>1.3545454545454545</v>
      </c>
      <c r="Q102" s="340">
        <v>1.2545454545454544</v>
      </c>
      <c r="R102" s="532">
        <v>0</v>
      </c>
      <c r="S102" s="532">
        <v>1.2</v>
      </c>
      <c r="T102" s="532"/>
      <c r="U102" s="532">
        <v>1.2</v>
      </c>
      <c r="V102" s="532">
        <v>1.0999999999999999</v>
      </c>
      <c r="W102" s="532">
        <v>1.0545454545454545</v>
      </c>
      <c r="X102" s="532">
        <v>0</v>
      </c>
      <c r="Y102" s="532">
        <v>1</v>
      </c>
      <c r="Z102" s="533"/>
      <c r="AA102" s="532"/>
      <c r="AB102" s="532"/>
      <c r="AC102" s="532"/>
      <c r="AD102" s="532"/>
      <c r="AE102" s="532"/>
      <c r="AF102" s="532"/>
      <c r="AG102" s="528" t="s">
        <v>1116</v>
      </c>
      <c r="AH102" s="528" t="s">
        <v>1117</v>
      </c>
      <c r="AI102" s="333">
        <v>2</v>
      </c>
      <c r="AJ102" s="333">
        <v>4</v>
      </c>
      <c r="AK102" s="480">
        <v>0.33329999999999999</v>
      </c>
      <c r="AL102" s="480">
        <v>0.66659999999999997</v>
      </c>
      <c r="AM102" s="525" t="s">
        <v>1124</v>
      </c>
      <c r="AN102" s="528">
        <v>0</v>
      </c>
      <c r="AO102" s="528">
        <v>0</v>
      </c>
      <c r="AP102" s="528">
        <v>0</v>
      </c>
      <c r="AQ102" s="528">
        <v>0</v>
      </c>
      <c r="AR102" s="528">
        <v>0</v>
      </c>
      <c r="AS102" s="528">
        <v>0</v>
      </c>
      <c r="AT102" s="528">
        <v>0</v>
      </c>
      <c r="AU102" s="528">
        <v>0</v>
      </c>
      <c r="AV102" s="528">
        <v>0</v>
      </c>
      <c r="AW102" s="528">
        <v>0</v>
      </c>
      <c r="AX102" s="528">
        <v>0</v>
      </c>
      <c r="AY102" s="528">
        <v>0</v>
      </c>
      <c r="AZ102" s="528"/>
      <c r="BA102" s="528" t="s">
        <v>38</v>
      </c>
      <c r="BB102" s="528"/>
      <c r="BC102" s="528" t="s">
        <v>38</v>
      </c>
      <c r="BD102" s="528"/>
      <c r="BE102" s="528">
        <v>12</v>
      </c>
      <c r="BF102" s="564"/>
      <c r="BG102" s="529"/>
      <c r="BH102" s="525"/>
      <c r="BI102" s="528"/>
      <c r="BJ102" s="528" t="s">
        <v>43</v>
      </c>
      <c r="BK102" s="528"/>
      <c r="BL102" s="529"/>
      <c r="BM102" s="530" t="s">
        <v>430</v>
      </c>
      <c r="BN102" s="525" t="s">
        <v>1121</v>
      </c>
    </row>
    <row r="103" spans="1:66" ht="13" customHeight="1" x14ac:dyDescent="0.2">
      <c r="A103" s="451">
        <v>1348</v>
      </c>
      <c r="B103" s="527">
        <v>44208</v>
      </c>
      <c r="C103" s="526" t="s">
        <v>1138</v>
      </c>
      <c r="D103" s="525" t="s">
        <v>1114</v>
      </c>
      <c r="E103" s="527">
        <v>44197</v>
      </c>
      <c r="F103" s="529" t="s">
        <v>1139</v>
      </c>
      <c r="G103" s="525" t="s">
        <v>1140</v>
      </c>
      <c r="H103" s="340">
        <v>71.609090909090895</v>
      </c>
      <c r="I103" s="531" t="s">
        <v>1141</v>
      </c>
      <c r="J103" s="525">
        <v>6000</v>
      </c>
      <c r="K103" s="525">
        <v>12000</v>
      </c>
      <c r="L103" s="525">
        <v>84000</v>
      </c>
      <c r="M103" s="525">
        <v>84000</v>
      </c>
      <c r="N103" s="525"/>
      <c r="O103" s="340">
        <v>2</v>
      </c>
      <c r="P103" s="340">
        <v>1.9363636363636361</v>
      </c>
      <c r="Q103" s="340">
        <v>1.3272727272727272</v>
      </c>
      <c r="R103" s="532">
        <v>0</v>
      </c>
      <c r="S103" s="532">
        <v>1.2727272727272725</v>
      </c>
      <c r="T103" s="532"/>
      <c r="U103" s="532">
        <v>1.718181818181818</v>
      </c>
      <c r="V103" s="532">
        <v>1.4818181818181817</v>
      </c>
      <c r="W103" s="532">
        <v>1.2999999999999998</v>
      </c>
      <c r="X103" s="532">
        <v>0</v>
      </c>
      <c r="Y103" s="532">
        <v>1.1818181818181817</v>
      </c>
      <c r="Z103" s="533"/>
      <c r="AA103" s="532"/>
      <c r="AB103" s="532"/>
      <c r="AC103" s="532"/>
      <c r="AD103" s="532"/>
      <c r="AE103" s="532"/>
      <c r="AF103" s="532"/>
      <c r="AG103" s="528" t="s">
        <v>1143</v>
      </c>
      <c r="AH103" s="528" t="s">
        <v>1144</v>
      </c>
      <c r="AI103" s="333">
        <v>2</v>
      </c>
      <c r="AJ103" s="333">
        <v>4</v>
      </c>
      <c r="AK103" s="480">
        <v>0.33329999999999999</v>
      </c>
      <c r="AL103" s="480">
        <v>0.66659999999999997</v>
      </c>
      <c r="AM103" s="525" t="s">
        <v>1124</v>
      </c>
      <c r="AN103" s="528">
        <v>0</v>
      </c>
      <c r="AO103" s="528">
        <v>0</v>
      </c>
      <c r="AP103" s="528">
        <v>0</v>
      </c>
      <c r="AQ103" s="528">
        <v>0</v>
      </c>
      <c r="AR103" s="528">
        <v>0</v>
      </c>
      <c r="AS103" s="528">
        <v>0</v>
      </c>
      <c r="AT103" s="528">
        <v>0</v>
      </c>
      <c r="AU103" s="528">
        <v>0</v>
      </c>
      <c r="AV103" s="528">
        <v>0</v>
      </c>
      <c r="AW103" s="528">
        <v>0</v>
      </c>
      <c r="AX103" s="528">
        <v>0</v>
      </c>
      <c r="AY103" s="528">
        <v>0</v>
      </c>
      <c r="AZ103" s="528"/>
      <c r="BA103" s="528" t="s">
        <v>1145</v>
      </c>
      <c r="BB103" s="528">
        <v>12</v>
      </c>
      <c r="BC103" s="528" t="s">
        <v>1145</v>
      </c>
      <c r="BD103" s="528"/>
      <c r="BE103" s="528">
        <v>12</v>
      </c>
      <c r="BF103" s="564"/>
      <c r="BG103" s="529"/>
      <c r="BH103" s="525"/>
      <c r="BI103" s="528"/>
      <c r="BJ103" s="528" t="s">
        <v>1146</v>
      </c>
      <c r="BK103" s="528"/>
      <c r="BL103" s="529"/>
      <c r="BM103" s="530" t="s">
        <v>1531</v>
      </c>
      <c r="BN103" s="525" t="s">
        <v>408</v>
      </c>
    </row>
    <row r="104" spans="1:66" ht="13" customHeight="1" x14ac:dyDescent="0.2">
      <c r="A104" s="451">
        <v>2501</v>
      </c>
      <c r="B104" s="527">
        <v>44208</v>
      </c>
      <c r="C104" s="526" t="s">
        <v>1138</v>
      </c>
      <c r="D104" s="525" t="s">
        <v>1114</v>
      </c>
      <c r="E104" s="527">
        <v>44197</v>
      </c>
      <c r="F104" s="529" t="s">
        <v>1148</v>
      </c>
      <c r="G104" s="525" t="s">
        <v>1280</v>
      </c>
      <c r="H104" s="340">
        <v>70</v>
      </c>
      <c r="I104" s="531" t="s">
        <v>1141</v>
      </c>
      <c r="J104" s="525">
        <v>6000</v>
      </c>
      <c r="K104" s="525">
        <v>6000</v>
      </c>
      <c r="L104" s="525">
        <v>6000</v>
      </c>
      <c r="M104" s="525">
        <v>6000</v>
      </c>
      <c r="N104" s="525"/>
      <c r="O104" s="340">
        <v>1.9909090909090907</v>
      </c>
      <c r="P104" s="340">
        <v>0</v>
      </c>
      <c r="Q104" s="340">
        <v>0</v>
      </c>
      <c r="R104" s="532">
        <v>0</v>
      </c>
      <c r="S104" s="532">
        <v>1.4727272727272727</v>
      </c>
      <c r="T104" s="532"/>
      <c r="U104" s="532">
        <v>1.8090909090909089</v>
      </c>
      <c r="V104" s="532">
        <v>0</v>
      </c>
      <c r="W104" s="532">
        <v>0</v>
      </c>
      <c r="X104" s="532">
        <v>0</v>
      </c>
      <c r="Y104" s="532">
        <v>1.4727272727272727</v>
      </c>
      <c r="Z104" s="533"/>
      <c r="AA104" s="532"/>
      <c r="AB104" s="532"/>
      <c r="AC104" s="532"/>
      <c r="AD104" s="532"/>
      <c r="AE104" s="532"/>
      <c r="AF104" s="532"/>
      <c r="AG104" s="528" t="s">
        <v>1143</v>
      </c>
      <c r="AH104" s="528" t="s">
        <v>1144</v>
      </c>
      <c r="AI104" s="333">
        <v>2</v>
      </c>
      <c r="AJ104" s="333">
        <v>4</v>
      </c>
      <c r="AK104" s="480">
        <v>0.33329999999999999</v>
      </c>
      <c r="AL104" s="480">
        <v>0.66659999999999997</v>
      </c>
      <c r="AM104" s="525" t="s">
        <v>1124</v>
      </c>
      <c r="AN104" s="528">
        <v>0</v>
      </c>
      <c r="AO104" s="528">
        <v>0</v>
      </c>
      <c r="AP104" s="528">
        <v>0</v>
      </c>
      <c r="AQ104" s="528">
        <v>0</v>
      </c>
      <c r="AR104" s="528">
        <v>0</v>
      </c>
      <c r="AS104" s="528">
        <v>0</v>
      </c>
      <c r="AT104" s="528">
        <v>0</v>
      </c>
      <c r="AU104" s="528">
        <v>0</v>
      </c>
      <c r="AV104" s="528">
        <v>0</v>
      </c>
      <c r="AW104" s="528">
        <v>0</v>
      </c>
      <c r="AX104" s="528">
        <v>0</v>
      </c>
      <c r="AY104" s="528">
        <v>0</v>
      </c>
      <c r="AZ104" s="528"/>
      <c r="BA104" s="528" t="s">
        <v>1145</v>
      </c>
      <c r="BB104" s="528"/>
      <c r="BC104" s="528" t="s">
        <v>1145</v>
      </c>
      <c r="BD104" s="528"/>
      <c r="BE104" s="528"/>
      <c r="BF104" s="564"/>
      <c r="BG104" s="529"/>
      <c r="BH104" s="525"/>
      <c r="BI104" s="528"/>
      <c r="BJ104" s="528" t="s">
        <v>4</v>
      </c>
      <c r="BK104" s="528"/>
      <c r="BL104" s="529"/>
      <c r="BM104" s="530" t="s">
        <v>430</v>
      </c>
      <c r="BN104" s="525" t="s">
        <v>408</v>
      </c>
    </row>
    <row r="105" spans="1:66" ht="13" customHeight="1" x14ac:dyDescent="0.2">
      <c r="A105" s="451"/>
      <c r="B105" s="527">
        <v>44208</v>
      </c>
      <c r="C105" s="526" t="s">
        <v>1138</v>
      </c>
      <c r="D105" s="525" t="s">
        <v>1114</v>
      </c>
      <c r="E105" s="527">
        <v>44197</v>
      </c>
      <c r="F105" s="529" t="s">
        <v>1152</v>
      </c>
      <c r="G105" s="525" t="s">
        <v>1471</v>
      </c>
      <c r="H105" s="340">
        <v>58.081818181818178</v>
      </c>
      <c r="I105" s="531" t="s">
        <v>1141</v>
      </c>
      <c r="J105" s="525">
        <v>6000</v>
      </c>
      <c r="K105" s="525">
        <v>12000</v>
      </c>
      <c r="L105" s="525">
        <v>12000</v>
      </c>
      <c r="M105" s="525">
        <v>12000</v>
      </c>
      <c r="N105" s="525"/>
      <c r="O105" s="340">
        <v>2.0363636363636366</v>
      </c>
      <c r="P105" s="340">
        <v>1.7363636363636361</v>
      </c>
      <c r="Q105" s="340">
        <v>0</v>
      </c>
      <c r="R105" s="532">
        <v>0</v>
      </c>
      <c r="S105" s="532">
        <v>1.2636363636363634</v>
      </c>
      <c r="T105" s="532"/>
      <c r="U105" s="532">
        <v>1.4999999999999998</v>
      </c>
      <c r="V105" s="532">
        <v>1.4363636363636363</v>
      </c>
      <c r="W105" s="532">
        <v>0</v>
      </c>
      <c r="X105" s="532">
        <v>0</v>
      </c>
      <c r="Y105" s="532">
        <v>1.2636363636363634</v>
      </c>
      <c r="Z105" s="533"/>
      <c r="AA105" s="532"/>
      <c r="AB105" s="532"/>
      <c r="AC105" s="532"/>
      <c r="AD105" s="532"/>
      <c r="AE105" s="532"/>
      <c r="AF105" s="532"/>
      <c r="AG105" s="528" t="s">
        <v>1143</v>
      </c>
      <c r="AH105" s="528" t="s">
        <v>1144</v>
      </c>
      <c r="AI105" s="333">
        <v>2</v>
      </c>
      <c r="AJ105" s="333">
        <v>4</v>
      </c>
      <c r="AK105" s="480">
        <v>0.33329999999999999</v>
      </c>
      <c r="AL105" s="480">
        <v>0.66659999999999997</v>
      </c>
      <c r="AM105" s="525" t="s">
        <v>1124</v>
      </c>
      <c r="AN105" s="528">
        <v>0</v>
      </c>
      <c r="AO105" s="528">
        <v>0</v>
      </c>
      <c r="AP105" s="528">
        <v>0</v>
      </c>
      <c r="AQ105" s="528">
        <v>0</v>
      </c>
      <c r="AR105" s="528">
        <v>0</v>
      </c>
      <c r="AS105" s="528">
        <v>0</v>
      </c>
      <c r="AT105" s="528">
        <v>0</v>
      </c>
      <c r="AU105" s="528">
        <v>0</v>
      </c>
      <c r="AV105" s="528">
        <v>0</v>
      </c>
      <c r="AW105" s="528">
        <v>0</v>
      </c>
      <c r="AX105" s="528">
        <v>0</v>
      </c>
      <c r="AY105" s="528">
        <v>0</v>
      </c>
      <c r="AZ105" s="528"/>
      <c r="BA105" s="528" t="s">
        <v>1145</v>
      </c>
      <c r="BB105" s="528"/>
      <c r="BC105" s="528" t="s">
        <v>1145</v>
      </c>
      <c r="BD105" s="528"/>
      <c r="BE105" s="528"/>
      <c r="BF105" s="564"/>
      <c r="BG105" s="529"/>
      <c r="BH105" s="525"/>
      <c r="BI105" s="528"/>
      <c r="BJ105" s="528" t="s">
        <v>1146</v>
      </c>
      <c r="BK105" s="528">
        <v>1</v>
      </c>
      <c r="BL105" s="529"/>
      <c r="BM105" s="530" t="s">
        <v>1532</v>
      </c>
      <c r="BN105" s="525" t="s">
        <v>1121</v>
      </c>
    </row>
    <row r="106" spans="1:66" ht="13" customHeight="1" x14ac:dyDescent="0.2">
      <c r="A106" s="451">
        <v>2310</v>
      </c>
      <c r="B106" s="527">
        <v>44208</v>
      </c>
      <c r="C106" s="526" t="s">
        <v>1138</v>
      </c>
      <c r="D106" s="525" t="s">
        <v>1114</v>
      </c>
      <c r="E106" s="527">
        <v>44201</v>
      </c>
      <c r="F106" s="529" t="s">
        <v>1286</v>
      </c>
      <c r="G106" s="525" t="s">
        <v>418</v>
      </c>
      <c r="H106" s="340">
        <v>85</v>
      </c>
      <c r="I106" s="531" t="s">
        <v>1141</v>
      </c>
      <c r="J106" s="525">
        <v>6000</v>
      </c>
      <c r="K106" s="525">
        <v>12000</v>
      </c>
      <c r="L106" s="525">
        <v>84000</v>
      </c>
      <c r="M106" s="525">
        <v>84000</v>
      </c>
      <c r="N106" s="525"/>
      <c r="O106" s="340">
        <v>2.8727272727272726</v>
      </c>
      <c r="P106" s="340">
        <v>2.5545454545454542</v>
      </c>
      <c r="Q106" s="340">
        <v>2.1</v>
      </c>
      <c r="R106" s="532">
        <v>0</v>
      </c>
      <c r="S106" s="532">
        <v>1.7999999999999998</v>
      </c>
      <c r="T106" s="532"/>
      <c r="U106" s="532">
        <v>2.4</v>
      </c>
      <c r="V106" s="532">
        <v>2.1999999999999997</v>
      </c>
      <c r="W106" s="532">
        <v>2</v>
      </c>
      <c r="X106" s="532">
        <v>0</v>
      </c>
      <c r="Y106" s="532">
        <v>1.5999999999999999</v>
      </c>
      <c r="Z106" s="533"/>
      <c r="AA106" s="532"/>
      <c r="AB106" s="532"/>
      <c r="AC106" s="532"/>
      <c r="AD106" s="532"/>
      <c r="AE106" s="532"/>
      <c r="AF106" s="532"/>
      <c r="AG106" s="528" t="s">
        <v>1143</v>
      </c>
      <c r="AH106" s="528" t="s">
        <v>1144</v>
      </c>
      <c r="AI106" s="333">
        <v>2</v>
      </c>
      <c r="AJ106" s="333">
        <v>4</v>
      </c>
      <c r="AK106" s="480">
        <v>0.33329999999999999</v>
      </c>
      <c r="AL106" s="480">
        <v>0.66659999999999997</v>
      </c>
      <c r="AM106" s="525" t="s">
        <v>1124</v>
      </c>
      <c r="AN106" s="528">
        <v>0</v>
      </c>
      <c r="AO106" s="528">
        <v>16</v>
      </c>
      <c r="AP106" s="528">
        <v>0</v>
      </c>
      <c r="AQ106" s="528">
        <v>0</v>
      </c>
      <c r="AR106" s="528">
        <v>0</v>
      </c>
      <c r="AS106" s="528">
        <v>0</v>
      </c>
      <c r="AT106" s="528">
        <v>0</v>
      </c>
      <c r="AU106" s="528">
        <v>0</v>
      </c>
      <c r="AV106" s="528">
        <v>0</v>
      </c>
      <c r="AW106" s="528">
        <v>0</v>
      </c>
      <c r="AX106" s="528">
        <v>0</v>
      </c>
      <c r="AY106" s="528">
        <v>0</v>
      </c>
      <c r="AZ106" s="528"/>
      <c r="BA106" s="528" t="s">
        <v>1145</v>
      </c>
      <c r="BB106" s="528"/>
      <c r="BC106" s="528" t="s">
        <v>1145</v>
      </c>
      <c r="BD106" s="528"/>
      <c r="BE106" s="528"/>
      <c r="BF106" s="564"/>
      <c r="BG106" s="529"/>
      <c r="BH106" s="525"/>
      <c r="BI106" s="528"/>
      <c r="BJ106" s="528" t="s">
        <v>1146</v>
      </c>
      <c r="BK106" s="528">
        <v>1</v>
      </c>
      <c r="BL106" s="529"/>
      <c r="BM106" s="530" t="s">
        <v>1533</v>
      </c>
      <c r="BN106" s="525" t="s">
        <v>408</v>
      </c>
    </row>
    <row r="107" spans="1:66" ht="13" customHeight="1" x14ac:dyDescent="0.2">
      <c r="A107" s="451">
        <v>2557</v>
      </c>
      <c r="B107" s="527">
        <v>44208</v>
      </c>
      <c r="C107" s="526" t="s">
        <v>1138</v>
      </c>
      <c r="D107" s="525" t="s">
        <v>1114</v>
      </c>
      <c r="E107" s="527">
        <v>44028</v>
      </c>
      <c r="F107" s="529" t="s">
        <v>1052</v>
      </c>
      <c r="G107" s="525" t="s">
        <v>1181</v>
      </c>
      <c r="H107" s="340">
        <v>75.25454545454545</v>
      </c>
      <c r="I107" s="531" t="s">
        <v>1141</v>
      </c>
      <c r="J107" s="525">
        <v>6000</v>
      </c>
      <c r="K107" s="525">
        <v>12000</v>
      </c>
      <c r="L107" s="525">
        <v>24000</v>
      </c>
      <c r="M107" s="525">
        <v>24000</v>
      </c>
      <c r="N107" s="525"/>
      <c r="O107" s="340">
        <v>2.2363636363636363</v>
      </c>
      <c r="P107" s="340">
        <v>1.9363636363636361</v>
      </c>
      <c r="Q107" s="340">
        <v>1.5727272727272725</v>
      </c>
      <c r="R107" s="532">
        <v>0</v>
      </c>
      <c r="S107" s="532">
        <v>1.5636363636363635</v>
      </c>
      <c r="T107" s="532"/>
      <c r="U107" s="532">
        <v>1.7454545454545451</v>
      </c>
      <c r="V107" s="532">
        <v>1.6909090909090909</v>
      </c>
      <c r="W107" s="532">
        <v>1.5727272727272725</v>
      </c>
      <c r="X107" s="532">
        <v>0</v>
      </c>
      <c r="Y107" s="532">
        <v>1.5272727272727271</v>
      </c>
      <c r="Z107" s="533"/>
      <c r="AA107" s="532"/>
      <c r="AB107" s="532"/>
      <c r="AC107" s="532"/>
      <c r="AD107" s="532"/>
      <c r="AE107" s="532"/>
      <c r="AF107" s="532"/>
      <c r="AG107" s="528" t="s">
        <v>297</v>
      </c>
      <c r="AH107" s="528" t="s">
        <v>298</v>
      </c>
      <c r="AI107" s="333">
        <v>2</v>
      </c>
      <c r="AJ107" s="333">
        <v>4</v>
      </c>
      <c r="AK107" s="480">
        <v>0.33329999999999999</v>
      </c>
      <c r="AL107" s="480">
        <v>0.66659999999999997</v>
      </c>
      <c r="AM107" s="525" t="s">
        <v>1124</v>
      </c>
      <c r="AN107" s="528">
        <v>0</v>
      </c>
      <c r="AO107" s="528">
        <v>0</v>
      </c>
      <c r="AP107" s="528">
        <v>0</v>
      </c>
      <c r="AQ107" s="528">
        <v>0</v>
      </c>
      <c r="AR107" s="528">
        <v>0</v>
      </c>
      <c r="AS107" s="528">
        <v>0</v>
      </c>
      <c r="AT107" s="528">
        <v>0</v>
      </c>
      <c r="AU107" s="528">
        <v>0</v>
      </c>
      <c r="AV107" s="528">
        <v>0</v>
      </c>
      <c r="AW107" s="528">
        <v>0</v>
      </c>
      <c r="AX107" s="528">
        <v>0</v>
      </c>
      <c r="AY107" s="528">
        <v>0</v>
      </c>
      <c r="AZ107" s="528"/>
      <c r="BA107" s="528" t="s">
        <v>1145</v>
      </c>
      <c r="BB107" s="528"/>
      <c r="BC107" s="528" t="s">
        <v>1145</v>
      </c>
      <c r="BD107" s="528"/>
      <c r="BE107" s="528"/>
      <c r="BF107" s="564"/>
      <c r="BG107" s="529"/>
      <c r="BH107" s="525"/>
      <c r="BI107" s="528"/>
      <c r="BJ107" s="528" t="s">
        <v>4</v>
      </c>
      <c r="BK107" s="528"/>
      <c r="BL107" s="529"/>
      <c r="BM107" s="530" t="s">
        <v>1448</v>
      </c>
      <c r="BN107" s="525" t="s">
        <v>368</v>
      </c>
    </row>
    <row r="108" spans="1:66" ht="13" customHeight="1" x14ac:dyDescent="0.2">
      <c r="A108" s="451">
        <v>2120</v>
      </c>
      <c r="B108" s="527">
        <v>44208</v>
      </c>
      <c r="C108" s="526" t="s">
        <v>1138</v>
      </c>
      <c r="D108" s="525" t="s">
        <v>1114</v>
      </c>
      <c r="E108" s="527">
        <v>44197</v>
      </c>
      <c r="F108" s="529" t="s">
        <v>1156</v>
      </c>
      <c r="G108" s="525" t="s">
        <v>1157</v>
      </c>
      <c r="H108" s="340">
        <v>101.39999999999999</v>
      </c>
      <c r="I108" s="531" t="s">
        <v>1141</v>
      </c>
      <c r="J108" s="525">
        <v>6000</v>
      </c>
      <c r="K108" s="525">
        <v>12000</v>
      </c>
      <c r="L108" s="525">
        <v>84000</v>
      </c>
      <c r="M108" s="525">
        <v>84000</v>
      </c>
      <c r="N108" s="525"/>
      <c r="O108" s="340">
        <v>2.8727272727272726</v>
      </c>
      <c r="P108" s="340">
        <v>2.4272727272727268</v>
      </c>
      <c r="Q108" s="340">
        <v>1.9363636363636361</v>
      </c>
      <c r="R108" s="532">
        <v>0</v>
      </c>
      <c r="S108" s="532">
        <v>1.8090909090909089</v>
      </c>
      <c r="T108" s="532"/>
      <c r="U108" s="532">
        <v>2.2272727272727271</v>
      </c>
      <c r="V108" s="532">
        <v>2.1090909090909089</v>
      </c>
      <c r="W108" s="532">
        <v>1.8363636363636362</v>
      </c>
      <c r="X108" s="532">
        <v>0</v>
      </c>
      <c r="Y108" s="532">
        <v>1.7818181818181817</v>
      </c>
      <c r="Z108" s="533"/>
      <c r="AA108" s="532"/>
      <c r="AB108" s="532"/>
      <c r="AC108" s="532"/>
      <c r="AD108" s="532"/>
      <c r="AE108" s="532"/>
      <c r="AF108" s="532"/>
      <c r="AG108" s="528" t="s">
        <v>1143</v>
      </c>
      <c r="AH108" s="528" t="s">
        <v>1144</v>
      </c>
      <c r="AI108" s="333">
        <v>2</v>
      </c>
      <c r="AJ108" s="333">
        <v>4</v>
      </c>
      <c r="AK108" s="480">
        <v>0.33329999999999999</v>
      </c>
      <c r="AL108" s="480">
        <v>0.66659999999999997</v>
      </c>
      <c r="AM108" s="525" t="s">
        <v>1124</v>
      </c>
      <c r="AN108" s="528">
        <v>27</v>
      </c>
      <c r="AO108" s="528">
        <v>0</v>
      </c>
      <c r="AP108" s="528">
        <v>0</v>
      </c>
      <c r="AQ108" s="528">
        <v>0</v>
      </c>
      <c r="AR108" s="528">
        <v>0</v>
      </c>
      <c r="AS108" s="528">
        <v>0</v>
      </c>
      <c r="AT108" s="528">
        <v>0</v>
      </c>
      <c r="AU108" s="528">
        <v>0</v>
      </c>
      <c r="AV108" s="528">
        <v>0</v>
      </c>
      <c r="AW108" s="528">
        <v>0</v>
      </c>
      <c r="AX108" s="528">
        <v>0</v>
      </c>
      <c r="AY108" s="528">
        <v>0</v>
      </c>
      <c r="AZ108" s="528">
        <v>12</v>
      </c>
      <c r="BA108" s="528" t="s">
        <v>1145</v>
      </c>
      <c r="BB108" s="528">
        <v>12</v>
      </c>
      <c r="BC108" s="528" t="s">
        <v>1145</v>
      </c>
      <c r="BD108" s="528"/>
      <c r="BE108" s="528">
        <v>12</v>
      </c>
      <c r="BF108" s="564"/>
      <c r="BG108" s="529"/>
      <c r="BH108" s="525"/>
      <c r="BI108" s="528"/>
      <c r="BJ108" s="528" t="s">
        <v>1146</v>
      </c>
      <c r="BK108" s="528"/>
      <c r="BL108" s="529"/>
      <c r="BM108" s="530" t="s">
        <v>1534</v>
      </c>
      <c r="BN108" s="525" t="s">
        <v>408</v>
      </c>
    </row>
    <row r="109" spans="1:66" ht="13" customHeight="1" x14ac:dyDescent="0.2">
      <c r="A109" s="451">
        <v>2875</v>
      </c>
      <c r="B109" s="527">
        <v>44208</v>
      </c>
      <c r="C109" s="526" t="s">
        <v>1138</v>
      </c>
      <c r="D109" s="525" t="s">
        <v>1114</v>
      </c>
      <c r="E109" s="527">
        <v>44197</v>
      </c>
      <c r="F109" s="529" t="s">
        <v>1159</v>
      </c>
      <c r="G109" s="525" t="s">
        <v>1105</v>
      </c>
      <c r="H109" s="340">
        <v>77.599999999999994</v>
      </c>
      <c r="I109" s="531" t="s">
        <v>1141</v>
      </c>
      <c r="J109" s="525">
        <v>6000</v>
      </c>
      <c r="K109" s="525">
        <v>12000</v>
      </c>
      <c r="L109" s="525">
        <v>84000</v>
      </c>
      <c r="M109" s="525">
        <v>84000</v>
      </c>
      <c r="N109" s="525"/>
      <c r="O109" s="340">
        <v>1.8727272727272726</v>
      </c>
      <c r="P109" s="340">
        <v>1.8181818181818181</v>
      </c>
      <c r="Q109" s="340">
        <v>1.6454545454545453</v>
      </c>
      <c r="R109" s="532">
        <v>0</v>
      </c>
      <c r="S109" s="532">
        <v>1.4545454545454546</v>
      </c>
      <c r="T109" s="532"/>
      <c r="U109" s="532">
        <v>1.5818181818181818</v>
      </c>
      <c r="V109" s="532">
        <v>1.5636363636363635</v>
      </c>
      <c r="W109" s="532">
        <v>1.4636363636363636</v>
      </c>
      <c r="X109" s="532">
        <v>0</v>
      </c>
      <c r="Y109" s="532">
        <v>1.4181818181818182</v>
      </c>
      <c r="Z109" s="533"/>
      <c r="AA109" s="532"/>
      <c r="AB109" s="532"/>
      <c r="AC109" s="532"/>
      <c r="AD109" s="532"/>
      <c r="AE109" s="532"/>
      <c r="AF109" s="532"/>
      <c r="AG109" s="528" t="s">
        <v>1143</v>
      </c>
      <c r="AH109" s="528" t="s">
        <v>1144</v>
      </c>
      <c r="AI109" s="333">
        <v>2</v>
      </c>
      <c r="AJ109" s="333">
        <v>4</v>
      </c>
      <c r="AK109" s="480">
        <v>0.33329999999999999</v>
      </c>
      <c r="AL109" s="480">
        <v>0.66659999999999997</v>
      </c>
      <c r="AM109" s="525" t="s">
        <v>1124</v>
      </c>
      <c r="AN109" s="528">
        <v>0</v>
      </c>
      <c r="AO109" s="528">
        <v>0</v>
      </c>
      <c r="AP109" s="528">
        <v>0</v>
      </c>
      <c r="AQ109" s="528">
        <v>0</v>
      </c>
      <c r="AR109" s="528">
        <v>0</v>
      </c>
      <c r="AS109" s="528">
        <v>0</v>
      </c>
      <c r="AT109" s="528">
        <v>0</v>
      </c>
      <c r="AU109" s="528">
        <v>0</v>
      </c>
      <c r="AV109" s="528">
        <v>0</v>
      </c>
      <c r="AW109" s="528">
        <v>0</v>
      </c>
      <c r="AX109" s="528">
        <v>0</v>
      </c>
      <c r="AY109" s="528">
        <v>0</v>
      </c>
      <c r="AZ109" s="528"/>
      <c r="BA109" s="528" t="s">
        <v>1145</v>
      </c>
      <c r="BB109" s="528"/>
      <c r="BC109" s="528" t="s">
        <v>1145</v>
      </c>
      <c r="BD109" s="528"/>
      <c r="BE109" s="528"/>
      <c r="BF109" s="564">
        <v>44651</v>
      </c>
      <c r="BG109" s="529"/>
      <c r="BH109" s="525"/>
      <c r="BI109" s="528"/>
      <c r="BJ109" s="528" t="s">
        <v>1146</v>
      </c>
      <c r="BK109" s="528"/>
      <c r="BL109" s="529"/>
      <c r="BM109" s="530" t="s">
        <v>1536</v>
      </c>
      <c r="BN109" s="525" t="s">
        <v>408</v>
      </c>
    </row>
    <row r="110" spans="1:66" ht="13" customHeight="1" x14ac:dyDescent="0.2">
      <c r="A110" s="451">
        <v>319</v>
      </c>
      <c r="B110" s="527">
        <v>44208</v>
      </c>
      <c r="C110" s="526" t="s">
        <v>1138</v>
      </c>
      <c r="D110" s="525" t="s">
        <v>1114</v>
      </c>
      <c r="E110" s="527">
        <v>44197</v>
      </c>
      <c r="F110" s="529" t="s">
        <v>1160</v>
      </c>
      <c r="G110" s="525" t="s">
        <v>1161</v>
      </c>
      <c r="H110" s="340">
        <v>99.3</v>
      </c>
      <c r="I110" s="531" t="s">
        <v>1141</v>
      </c>
      <c r="J110" s="525">
        <v>6000</v>
      </c>
      <c r="K110" s="525">
        <v>12000</v>
      </c>
      <c r="L110" s="525">
        <v>84000</v>
      </c>
      <c r="M110" s="525">
        <v>84000</v>
      </c>
      <c r="N110" s="525"/>
      <c r="O110" s="340">
        <v>2.1999999999999997</v>
      </c>
      <c r="P110" s="340">
        <v>2</v>
      </c>
      <c r="Q110" s="340">
        <v>1.5999999999999999</v>
      </c>
      <c r="R110" s="532">
        <v>0</v>
      </c>
      <c r="S110" s="532">
        <v>1.5999999999999999</v>
      </c>
      <c r="T110" s="532"/>
      <c r="U110" s="532">
        <v>1.7</v>
      </c>
      <c r="V110" s="532">
        <v>1.7</v>
      </c>
      <c r="W110" s="532">
        <v>1.5999999999999999</v>
      </c>
      <c r="X110" s="532">
        <v>0</v>
      </c>
      <c r="Y110" s="532">
        <v>1.4999999999999998</v>
      </c>
      <c r="Z110" s="533"/>
      <c r="AA110" s="532"/>
      <c r="AB110" s="532"/>
      <c r="AC110" s="532"/>
      <c r="AD110" s="532"/>
      <c r="AE110" s="532"/>
      <c r="AF110" s="532"/>
      <c r="AG110" s="528" t="s">
        <v>1143</v>
      </c>
      <c r="AH110" s="528" t="s">
        <v>1144</v>
      </c>
      <c r="AI110" s="333">
        <v>2</v>
      </c>
      <c r="AJ110" s="333">
        <v>4</v>
      </c>
      <c r="AK110" s="480">
        <v>0.33329999999999999</v>
      </c>
      <c r="AL110" s="480">
        <v>0.66659999999999997</v>
      </c>
      <c r="AM110" s="525" t="s">
        <v>1124</v>
      </c>
      <c r="AN110" s="528">
        <v>0</v>
      </c>
      <c r="AO110" s="528">
        <v>0</v>
      </c>
      <c r="AP110" s="528">
        <v>0</v>
      </c>
      <c r="AQ110" s="528">
        <v>0</v>
      </c>
      <c r="AR110" s="528">
        <v>0</v>
      </c>
      <c r="AS110" s="528">
        <v>0</v>
      </c>
      <c r="AT110" s="528">
        <v>0</v>
      </c>
      <c r="AU110" s="528">
        <v>0</v>
      </c>
      <c r="AV110" s="528">
        <v>0</v>
      </c>
      <c r="AW110" s="528">
        <v>0</v>
      </c>
      <c r="AX110" s="528">
        <v>0</v>
      </c>
      <c r="AY110" s="528">
        <v>0</v>
      </c>
      <c r="AZ110" s="528"/>
      <c r="BA110" s="528" t="s">
        <v>1145</v>
      </c>
      <c r="BB110" s="528"/>
      <c r="BC110" s="528" t="s">
        <v>1145</v>
      </c>
      <c r="BD110" s="528"/>
      <c r="BE110" s="528"/>
      <c r="BF110" s="564"/>
      <c r="BG110" s="529"/>
      <c r="BH110" s="525"/>
      <c r="BI110" s="528"/>
      <c r="BJ110" s="528" t="s">
        <v>4</v>
      </c>
      <c r="BK110" s="528"/>
      <c r="BL110" s="529"/>
      <c r="BM110" s="530" t="s">
        <v>1537</v>
      </c>
      <c r="BN110" s="525" t="s">
        <v>408</v>
      </c>
    </row>
    <row r="111" spans="1:66" ht="13" customHeight="1" x14ac:dyDescent="0.2">
      <c r="A111" s="451">
        <v>2851</v>
      </c>
      <c r="B111" s="527">
        <v>44208</v>
      </c>
      <c r="C111" s="526" t="s">
        <v>1138</v>
      </c>
      <c r="D111" s="525" t="s">
        <v>1114</v>
      </c>
      <c r="E111" s="527">
        <v>44197</v>
      </c>
      <c r="F111" s="529" t="s">
        <v>1166</v>
      </c>
      <c r="G111" s="525" t="s">
        <v>1478</v>
      </c>
      <c r="H111" s="340">
        <v>62.454545454545453</v>
      </c>
      <c r="I111" s="531" t="s">
        <v>1141</v>
      </c>
      <c r="J111" s="525">
        <v>3000</v>
      </c>
      <c r="K111" s="525">
        <v>3000</v>
      </c>
      <c r="L111" s="525">
        <v>3000</v>
      </c>
      <c r="M111" s="525">
        <v>3000</v>
      </c>
      <c r="N111" s="525"/>
      <c r="O111" s="340">
        <v>2.2454545454545456</v>
      </c>
      <c r="P111" s="340">
        <v>0</v>
      </c>
      <c r="Q111" s="340">
        <v>0</v>
      </c>
      <c r="R111" s="532">
        <v>0</v>
      </c>
      <c r="S111" s="532">
        <v>1.7636363636363634</v>
      </c>
      <c r="T111" s="532"/>
      <c r="U111" s="532">
        <v>1.5999999999999999</v>
      </c>
      <c r="V111" s="532">
        <v>0</v>
      </c>
      <c r="W111" s="532">
        <v>0</v>
      </c>
      <c r="X111" s="532">
        <v>0</v>
      </c>
      <c r="Y111" s="532">
        <v>1.2818181818181817</v>
      </c>
      <c r="Z111" s="533"/>
      <c r="AA111" s="532"/>
      <c r="AB111" s="532"/>
      <c r="AC111" s="532"/>
      <c r="AD111" s="532"/>
      <c r="AE111" s="532"/>
      <c r="AF111" s="532"/>
      <c r="AG111" s="528" t="s">
        <v>1143</v>
      </c>
      <c r="AH111" s="528" t="s">
        <v>1144</v>
      </c>
      <c r="AI111" s="333">
        <v>2</v>
      </c>
      <c r="AJ111" s="333">
        <v>4</v>
      </c>
      <c r="AK111" s="480">
        <v>0.33329999999999999</v>
      </c>
      <c r="AL111" s="480">
        <v>0.66659999999999997</v>
      </c>
      <c r="AM111" s="525" t="s">
        <v>1124</v>
      </c>
      <c r="AN111" s="528">
        <v>0</v>
      </c>
      <c r="AO111" s="528">
        <v>0</v>
      </c>
      <c r="AP111" s="528">
        <v>0</v>
      </c>
      <c r="AQ111" s="528">
        <v>0</v>
      </c>
      <c r="AR111" s="528">
        <v>0</v>
      </c>
      <c r="AS111" s="528">
        <v>0</v>
      </c>
      <c r="AT111" s="528">
        <v>0</v>
      </c>
      <c r="AU111" s="528">
        <v>0</v>
      </c>
      <c r="AV111" s="528">
        <v>0</v>
      </c>
      <c r="AW111" s="528">
        <v>0</v>
      </c>
      <c r="AX111" s="528">
        <v>0</v>
      </c>
      <c r="AY111" s="528">
        <v>0</v>
      </c>
      <c r="AZ111" s="528"/>
      <c r="BA111" s="528" t="s">
        <v>1145</v>
      </c>
      <c r="BB111" s="528">
        <v>12</v>
      </c>
      <c r="BC111" s="528" t="s">
        <v>1145</v>
      </c>
      <c r="BD111" s="528"/>
      <c r="BE111" s="528">
        <v>12</v>
      </c>
      <c r="BF111" s="564"/>
      <c r="BG111" s="529"/>
      <c r="BH111" s="525"/>
      <c r="BI111" s="528"/>
      <c r="BJ111" s="528" t="s">
        <v>1146</v>
      </c>
      <c r="BK111" s="528"/>
      <c r="BL111" s="529"/>
      <c r="BM111" s="530" t="s">
        <v>1538</v>
      </c>
      <c r="BN111" s="525" t="s">
        <v>408</v>
      </c>
    </row>
    <row r="112" spans="1:66" ht="13" customHeight="1" x14ac:dyDescent="0.2">
      <c r="A112" s="451">
        <v>2401</v>
      </c>
      <c r="B112" s="527">
        <v>44208</v>
      </c>
      <c r="C112" s="526" t="s">
        <v>1138</v>
      </c>
      <c r="D112" s="525" t="s">
        <v>1114</v>
      </c>
      <c r="E112" s="527">
        <v>44197</v>
      </c>
      <c r="F112" s="529" t="s">
        <v>1168</v>
      </c>
      <c r="G112" s="525" t="s">
        <v>1297</v>
      </c>
      <c r="H112" s="340">
        <v>74.25454545454545</v>
      </c>
      <c r="I112" s="531" t="s">
        <v>1141</v>
      </c>
      <c r="J112" s="525">
        <v>6000</v>
      </c>
      <c r="K112" s="525">
        <v>12000</v>
      </c>
      <c r="L112" s="525">
        <v>84000</v>
      </c>
      <c r="M112" s="525">
        <v>84000</v>
      </c>
      <c r="N112" s="525"/>
      <c r="O112" s="340">
        <v>2.1636363636363636</v>
      </c>
      <c r="P112" s="340">
        <v>1.9363636363636361</v>
      </c>
      <c r="Q112" s="340">
        <v>1.7090909090909088</v>
      </c>
      <c r="R112" s="532">
        <v>0</v>
      </c>
      <c r="S112" s="532">
        <v>1.6636363636363636</v>
      </c>
      <c r="T112" s="532"/>
      <c r="U112" s="532">
        <v>1.7545454545454544</v>
      </c>
      <c r="V112" s="532">
        <v>1.7090909090909088</v>
      </c>
      <c r="W112" s="532">
        <v>1.6181818181818182</v>
      </c>
      <c r="X112" s="532">
        <v>0</v>
      </c>
      <c r="Y112" s="532">
        <v>1.5727272727272725</v>
      </c>
      <c r="Z112" s="533"/>
      <c r="AA112" s="532"/>
      <c r="AB112" s="532"/>
      <c r="AC112" s="532"/>
      <c r="AD112" s="532"/>
      <c r="AE112" s="532"/>
      <c r="AF112" s="532"/>
      <c r="AG112" s="528" t="s">
        <v>1143</v>
      </c>
      <c r="AH112" s="528" t="s">
        <v>1144</v>
      </c>
      <c r="AI112" s="333">
        <v>2</v>
      </c>
      <c r="AJ112" s="333">
        <v>4</v>
      </c>
      <c r="AK112" s="480">
        <v>0.33329999999999999</v>
      </c>
      <c r="AL112" s="480">
        <v>0.66659999999999997</v>
      </c>
      <c r="AM112" s="525" t="s">
        <v>1124</v>
      </c>
      <c r="AN112" s="528">
        <v>0</v>
      </c>
      <c r="AO112" s="528">
        <v>0</v>
      </c>
      <c r="AP112" s="528">
        <v>0</v>
      </c>
      <c r="AQ112" s="528">
        <v>0</v>
      </c>
      <c r="AR112" s="528">
        <v>0</v>
      </c>
      <c r="AS112" s="528">
        <v>0</v>
      </c>
      <c r="AT112" s="528">
        <v>0</v>
      </c>
      <c r="AU112" s="528">
        <v>0</v>
      </c>
      <c r="AV112" s="528">
        <v>0</v>
      </c>
      <c r="AW112" s="528">
        <v>0</v>
      </c>
      <c r="AX112" s="528">
        <v>0</v>
      </c>
      <c r="AY112" s="528">
        <v>0</v>
      </c>
      <c r="AZ112" s="528"/>
      <c r="BA112" s="528" t="s">
        <v>1145</v>
      </c>
      <c r="BB112" s="528"/>
      <c r="BC112" s="528" t="s">
        <v>1145</v>
      </c>
      <c r="BD112" s="528"/>
      <c r="BE112" s="528"/>
      <c r="BF112" s="564"/>
      <c r="BG112" s="529"/>
      <c r="BH112" s="525"/>
      <c r="BI112" s="528"/>
      <c r="BJ112" s="528" t="s">
        <v>1146</v>
      </c>
      <c r="BK112" s="528"/>
      <c r="BL112" s="529"/>
      <c r="BM112" s="530" t="s">
        <v>1539</v>
      </c>
      <c r="BN112" s="525" t="s">
        <v>408</v>
      </c>
    </row>
    <row r="113" spans="1:66" ht="13" customHeight="1" x14ac:dyDescent="0.2">
      <c r="A113" s="451"/>
      <c r="B113" s="527">
        <v>44229</v>
      </c>
      <c r="C113" s="526" t="s">
        <v>295</v>
      </c>
      <c r="D113" s="525" t="s">
        <v>1114</v>
      </c>
      <c r="E113" s="527">
        <v>44197</v>
      </c>
      <c r="F113" s="529" t="s">
        <v>1169</v>
      </c>
      <c r="G113" s="525" t="s">
        <v>1561</v>
      </c>
      <c r="H113" s="340">
        <v>92.61818181818181</v>
      </c>
      <c r="I113" s="531" t="s">
        <v>1141</v>
      </c>
      <c r="J113" s="525">
        <v>6000</v>
      </c>
      <c r="K113" s="525">
        <v>12000</v>
      </c>
      <c r="L113" s="525">
        <v>84000</v>
      </c>
      <c r="M113" s="525">
        <v>84000</v>
      </c>
      <c r="N113" s="525"/>
      <c r="O113" s="340">
        <v>2.4090909090909087</v>
      </c>
      <c r="P113" s="340">
        <v>2.0545454545454542</v>
      </c>
      <c r="Q113" s="340">
        <v>1.6090909090909089</v>
      </c>
      <c r="R113" s="532">
        <v>0</v>
      </c>
      <c r="S113" s="532">
        <v>1.5999999999999999</v>
      </c>
      <c r="T113" s="532"/>
      <c r="U113" s="532">
        <v>1.8181818181818181</v>
      </c>
      <c r="V113" s="532">
        <v>1.7636363636363634</v>
      </c>
      <c r="W113" s="532">
        <v>1.6090909090909089</v>
      </c>
      <c r="X113" s="532">
        <v>0</v>
      </c>
      <c r="Y113" s="532">
        <v>1.5545454545454545</v>
      </c>
      <c r="Z113" s="533"/>
      <c r="AA113" s="532"/>
      <c r="AB113" s="532"/>
      <c r="AC113" s="532"/>
      <c r="AD113" s="532"/>
      <c r="AE113" s="532"/>
      <c r="AF113" s="532"/>
      <c r="AG113" s="528" t="s">
        <v>297</v>
      </c>
      <c r="AH113" s="528" t="s">
        <v>298</v>
      </c>
      <c r="AI113" s="333">
        <v>2</v>
      </c>
      <c r="AJ113" s="333">
        <v>4</v>
      </c>
      <c r="AK113" s="480">
        <v>0.33329999999999999</v>
      </c>
      <c r="AL113" s="480">
        <v>0.66659999999999997</v>
      </c>
      <c r="AM113" s="525" t="s">
        <v>1124</v>
      </c>
      <c r="AN113" s="528">
        <v>21</v>
      </c>
      <c r="AO113" s="528">
        <v>0</v>
      </c>
      <c r="AP113" s="528">
        <v>0</v>
      </c>
      <c r="AQ113" s="528">
        <v>0</v>
      </c>
      <c r="AR113" s="528">
        <v>0</v>
      </c>
      <c r="AS113" s="528">
        <v>0</v>
      </c>
      <c r="AT113" s="528">
        <v>0</v>
      </c>
      <c r="AU113" s="528">
        <v>0</v>
      </c>
      <c r="AV113" s="528">
        <v>0</v>
      </c>
      <c r="AW113" s="528">
        <v>0</v>
      </c>
      <c r="AX113" s="528">
        <v>0</v>
      </c>
      <c r="AY113" s="528">
        <v>0</v>
      </c>
      <c r="AZ113" s="528"/>
      <c r="BA113" s="528" t="s">
        <v>1145</v>
      </c>
      <c r="BB113" s="528"/>
      <c r="BC113" s="528" t="s">
        <v>1145</v>
      </c>
      <c r="BD113" s="528"/>
      <c r="BE113" s="528"/>
      <c r="BF113" s="564"/>
      <c r="BG113" s="529"/>
      <c r="BH113" s="525"/>
      <c r="BI113" s="528"/>
      <c r="BJ113" s="528" t="s">
        <v>1146</v>
      </c>
      <c r="BK113" s="528"/>
      <c r="BL113" s="529"/>
      <c r="BM113" s="530"/>
      <c r="BN113" s="525" t="s">
        <v>1121</v>
      </c>
    </row>
    <row r="114" spans="1:66" ht="13" customHeight="1" x14ac:dyDescent="0.2">
      <c r="A114" s="451">
        <v>2680</v>
      </c>
      <c r="B114" s="527">
        <v>44208</v>
      </c>
      <c r="C114" s="526" t="s">
        <v>1138</v>
      </c>
      <c r="D114" s="525" t="s">
        <v>1114</v>
      </c>
      <c r="E114" s="527">
        <v>44013</v>
      </c>
      <c r="F114" s="529" t="s">
        <v>1173</v>
      </c>
      <c r="G114" s="525" t="s">
        <v>1481</v>
      </c>
      <c r="H114" s="340">
        <v>80</v>
      </c>
      <c r="I114" s="531" t="s">
        <v>1141</v>
      </c>
      <c r="J114" s="525">
        <v>6000</v>
      </c>
      <c r="K114" s="525">
        <v>12000</v>
      </c>
      <c r="L114" s="525">
        <v>84000</v>
      </c>
      <c r="M114" s="525">
        <v>84000</v>
      </c>
      <c r="N114" s="525"/>
      <c r="O114" s="340">
        <v>1.9090909090909089</v>
      </c>
      <c r="P114" s="340">
        <v>1.8999999999999997</v>
      </c>
      <c r="Q114" s="340">
        <v>1.8727272727272726</v>
      </c>
      <c r="R114" s="532">
        <v>0</v>
      </c>
      <c r="S114" s="532">
        <v>1.4636363636363636</v>
      </c>
      <c r="T114" s="532"/>
      <c r="U114" s="532">
        <v>1.718181818181818</v>
      </c>
      <c r="V114" s="532">
        <v>1.7</v>
      </c>
      <c r="W114" s="532">
        <v>1.4</v>
      </c>
      <c r="X114" s="532">
        <v>0</v>
      </c>
      <c r="Y114" s="532">
        <v>1.0909090909090908</v>
      </c>
      <c r="Z114" s="533"/>
      <c r="AA114" s="532"/>
      <c r="AB114" s="532"/>
      <c r="AC114" s="532"/>
      <c r="AD114" s="532"/>
      <c r="AE114" s="532"/>
      <c r="AF114" s="532"/>
      <c r="AG114" s="528" t="s">
        <v>1143</v>
      </c>
      <c r="AH114" s="528" t="s">
        <v>1144</v>
      </c>
      <c r="AI114" s="333">
        <v>2</v>
      </c>
      <c r="AJ114" s="333">
        <v>4</v>
      </c>
      <c r="AK114" s="480">
        <v>0.33329999999999999</v>
      </c>
      <c r="AL114" s="480">
        <v>0.66659999999999997</v>
      </c>
      <c r="AM114" s="525" t="s">
        <v>1124</v>
      </c>
      <c r="AN114" s="528">
        <v>0</v>
      </c>
      <c r="AO114" s="528">
        <v>0</v>
      </c>
      <c r="AP114" s="528">
        <v>0</v>
      </c>
      <c r="AQ114" s="528">
        <v>0</v>
      </c>
      <c r="AR114" s="528">
        <v>0</v>
      </c>
      <c r="AS114" s="528">
        <v>0</v>
      </c>
      <c r="AT114" s="528">
        <v>0</v>
      </c>
      <c r="AU114" s="528">
        <v>0</v>
      </c>
      <c r="AV114" s="528">
        <v>0</v>
      </c>
      <c r="AW114" s="528">
        <v>0</v>
      </c>
      <c r="AX114" s="528">
        <v>0</v>
      </c>
      <c r="AY114" s="528">
        <v>0</v>
      </c>
      <c r="AZ114" s="528"/>
      <c r="BA114" s="528" t="s">
        <v>1145</v>
      </c>
      <c r="BB114" s="528"/>
      <c r="BC114" s="528" t="s">
        <v>1145</v>
      </c>
      <c r="BD114" s="528"/>
      <c r="BE114" s="528"/>
      <c r="BF114" s="564"/>
      <c r="BG114" s="529"/>
      <c r="BH114" s="525"/>
      <c r="BI114" s="528"/>
      <c r="BJ114" s="528" t="s">
        <v>1164</v>
      </c>
      <c r="BK114" s="528"/>
      <c r="BL114" s="529"/>
      <c r="BM114" s="530" t="s">
        <v>1540</v>
      </c>
      <c r="BN114" s="525" t="s">
        <v>368</v>
      </c>
    </row>
    <row r="115" spans="1:66" ht="13" customHeight="1" x14ac:dyDescent="0.2">
      <c r="A115" s="451">
        <v>1689</v>
      </c>
      <c r="B115" s="527">
        <v>44208</v>
      </c>
      <c r="C115" s="526" t="s">
        <v>295</v>
      </c>
      <c r="D115" s="525" t="s">
        <v>1114</v>
      </c>
      <c r="E115" s="527">
        <v>44166</v>
      </c>
      <c r="F115" s="529" t="s">
        <v>1106</v>
      </c>
      <c r="G115" s="525" t="s">
        <v>2</v>
      </c>
      <c r="H115" s="340">
        <v>77.999999999999986</v>
      </c>
      <c r="I115" s="531" t="s">
        <v>296</v>
      </c>
      <c r="J115" s="525">
        <v>6000</v>
      </c>
      <c r="K115" s="525">
        <v>6000</v>
      </c>
      <c r="L115" s="525">
        <v>6000</v>
      </c>
      <c r="M115" s="525">
        <v>6000</v>
      </c>
      <c r="N115" s="525"/>
      <c r="O115" s="340">
        <v>1.8363636363636362</v>
      </c>
      <c r="P115" s="340">
        <v>0</v>
      </c>
      <c r="Q115" s="340">
        <v>0</v>
      </c>
      <c r="R115" s="532">
        <v>0</v>
      </c>
      <c r="S115" s="532">
        <v>1.5818181818181818</v>
      </c>
      <c r="T115" s="532"/>
      <c r="U115" s="532">
        <v>1.4181818181818182</v>
      </c>
      <c r="V115" s="532">
        <v>0</v>
      </c>
      <c r="W115" s="532">
        <v>0</v>
      </c>
      <c r="X115" s="532">
        <v>0</v>
      </c>
      <c r="Y115" s="532">
        <v>1.2999999999999998</v>
      </c>
      <c r="Z115" s="533"/>
      <c r="AA115" s="532"/>
      <c r="AB115" s="532"/>
      <c r="AC115" s="532"/>
      <c r="AD115" s="532"/>
      <c r="AE115" s="532"/>
      <c r="AF115" s="532"/>
      <c r="AG115" s="528" t="s">
        <v>1143</v>
      </c>
      <c r="AH115" s="528" t="s">
        <v>1144</v>
      </c>
      <c r="AI115" s="333">
        <v>2</v>
      </c>
      <c r="AJ115" s="333">
        <v>4</v>
      </c>
      <c r="AK115" s="480">
        <v>0.33329999999999999</v>
      </c>
      <c r="AL115" s="480">
        <v>0.66659999999999997</v>
      </c>
      <c r="AM115" s="525" t="s">
        <v>1124</v>
      </c>
      <c r="AN115" s="528">
        <v>0</v>
      </c>
      <c r="AO115" s="528">
        <v>0</v>
      </c>
      <c r="AP115" s="528">
        <v>0</v>
      </c>
      <c r="AQ115" s="528">
        <v>0</v>
      </c>
      <c r="AR115" s="528">
        <v>0</v>
      </c>
      <c r="AS115" s="528">
        <v>0</v>
      </c>
      <c r="AT115" s="528">
        <v>0</v>
      </c>
      <c r="AU115" s="528">
        <v>0</v>
      </c>
      <c r="AV115" s="528">
        <v>0</v>
      </c>
      <c r="AW115" s="528">
        <v>0</v>
      </c>
      <c r="AX115" s="528">
        <v>0</v>
      </c>
      <c r="AY115" s="528">
        <v>0</v>
      </c>
      <c r="AZ115" s="528"/>
      <c r="BA115" s="528" t="s">
        <v>1145</v>
      </c>
      <c r="BB115" s="528"/>
      <c r="BC115" s="528" t="s">
        <v>1145</v>
      </c>
      <c r="BD115" s="528"/>
      <c r="BE115" s="528"/>
      <c r="BF115" s="564"/>
      <c r="BG115" s="529"/>
      <c r="BH115" s="525"/>
      <c r="BI115" s="528"/>
      <c r="BJ115" s="528" t="s">
        <v>1146</v>
      </c>
      <c r="BK115" s="528">
        <v>1</v>
      </c>
      <c r="BL115" s="529"/>
      <c r="BM115" s="530" t="s">
        <v>1535</v>
      </c>
      <c r="BN115" s="525" t="s">
        <v>368</v>
      </c>
    </row>
    <row r="116" spans="1:66" ht="13" customHeight="1" x14ac:dyDescent="0.2">
      <c r="A116" s="451"/>
      <c r="B116" s="527">
        <v>44211</v>
      </c>
      <c r="C116" s="526" t="s">
        <v>1138</v>
      </c>
      <c r="D116" s="525" t="s">
        <v>1114</v>
      </c>
      <c r="E116" s="527">
        <v>44228</v>
      </c>
      <c r="F116" s="529" t="s">
        <v>34</v>
      </c>
      <c r="G116" s="525" t="s">
        <v>1181</v>
      </c>
      <c r="H116" s="340">
        <v>75.499999999999986</v>
      </c>
      <c r="I116" s="531"/>
      <c r="J116" s="525"/>
      <c r="K116" s="525"/>
      <c r="L116" s="525"/>
      <c r="M116" s="525"/>
      <c r="N116" s="525"/>
      <c r="O116" s="340">
        <v>1.8090909090909089</v>
      </c>
      <c r="P116" s="340">
        <v>0</v>
      </c>
      <c r="Q116" s="340">
        <v>0</v>
      </c>
      <c r="R116" s="532">
        <v>0</v>
      </c>
      <c r="S116" s="532">
        <v>0</v>
      </c>
      <c r="T116" s="532"/>
      <c r="U116" s="532">
        <v>1.5181818181818181</v>
      </c>
      <c r="V116" s="532">
        <v>0</v>
      </c>
      <c r="W116" s="532">
        <v>0</v>
      </c>
      <c r="X116" s="532">
        <v>0</v>
      </c>
      <c r="Y116" s="532">
        <v>0</v>
      </c>
      <c r="Z116" s="533"/>
      <c r="AA116" s="532"/>
      <c r="AB116" s="532"/>
      <c r="AC116" s="532"/>
      <c r="AD116" s="532"/>
      <c r="AE116" s="532"/>
      <c r="AF116" s="532"/>
      <c r="AG116" s="528" t="s">
        <v>1143</v>
      </c>
      <c r="AH116" s="528" t="s">
        <v>1144</v>
      </c>
      <c r="AI116" s="333">
        <v>2</v>
      </c>
      <c r="AJ116" s="333">
        <v>4</v>
      </c>
      <c r="AK116" s="480">
        <v>0.33329999999999999</v>
      </c>
      <c r="AL116" s="480">
        <v>0.66659999999999997</v>
      </c>
      <c r="AM116" s="525" t="s">
        <v>1124</v>
      </c>
      <c r="AN116" s="528">
        <v>0</v>
      </c>
      <c r="AO116" s="528">
        <v>0</v>
      </c>
      <c r="AP116" s="528">
        <v>0</v>
      </c>
      <c r="AQ116" s="528">
        <v>0</v>
      </c>
      <c r="AR116" s="528">
        <v>0</v>
      </c>
      <c r="AS116" s="528">
        <v>0</v>
      </c>
      <c r="AT116" s="528">
        <v>0</v>
      </c>
      <c r="AU116" s="528">
        <v>0</v>
      </c>
      <c r="AV116" s="528">
        <v>0</v>
      </c>
      <c r="AW116" s="528">
        <v>0</v>
      </c>
      <c r="AX116" s="528">
        <v>0</v>
      </c>
      <c r="AY116" s="528">
        <v>0</v>
      </c>
      <c r="AZ116" s="528"/>
      <c r="BA116" s="528" t="s">
        <v>1145</v>
      </c>
      <c r="BB116" s="528"/>
      <c r="BC116" s="528" t="s">
        <v>1145</v>
      </c>
      <c r="BD116" s="528"/>
      <c r="BE116" s="528"/>
      <c r="BF116" s="564"/>
      <c r="BG116" s="529"/>
      <c r="BH116" s="525"/>
      <c r="BI116" s="528"/>
      <c r="BJ116" s="528" t="s">
        <v>1164</v>
      </c>
      <c r="BK116" s="528"/>
      <c r="BL116" s="529" t="s">
        <v>1284</v>
      </c>
      <c r="BM116" s="530" t="s">
        <v>1560</v>
      </c>
      <c r="BN116" s="525" t="s">
        <v>1121</v>
      </c>
    </row>
    <row r="117" spans="1:66" ht="13" customHeight="1" x14ac:dyDescent="0.2">
      <c r="A117" s="451">
        <v>2743</v>
      </c>
      <c r="B117" s="527">
        <v>44208</v>
      </c>
      <c r="C117" s="526" t="s">
        <v>1138</v>
      </c>
      <c r="D117" s="525" t="s">
        <v>1114</v>
      </c>
      <c r="E117" s="527">
        <v>44197</v>
      </c>
      <c r="F117" s="529" t="s">
        <v>1274</v>
      </c>
      <c r="G117" s="525" t="s">
        <v>1467</v>
      </c>
      <c r="H117" s="340">
        <v>85.999999999999986</v>
      </c>
      <c r="I117" s="531" t="s">
        <v>1141</v>
      </c>
      <c r="J117" s="525">
        <v>6000</v>
      </c>
      <c r="K117" s="525">
        <v>12000</v>
      </c>
      <c r="L117" s="525">
        <v>12000</v>
      </c>
      <c r="M117" s="525">
        <v>12000</v>
      </c>
      <c r="N117" s="525"/>
      <c r="O117" s="340">
        <v>2.127272727272727</v>
      </c>
      <c r="P117" s="340">
        <v>1.9545454545454544</v>
      </c>
      <c r="Q117" s="340">
        <v>0</v>
      </c>
      <c r="R117" s="532">
        <v>0</v>
      </c>
      <c r="S117" s="532">
        <v>1.6181818181818182</v>
      </c>
      <c r="T117" s="532"/>
      <c r="U117" s="532">
        <v>2.127272727272727</v>
      </c>
      <c r="V117" s="532">
        <v>1.9545454545454544</v>
      </c>
      <c r="W117" s="532">
        <v>0</v>
      </c>
      <c r="X117" s="532">
        <v>0</v>
      </c>
      <c r="Y117" s="532">
        <v>1.6181818181818182</v>
      </c>
      <c r="Z117" s="533"/>
      <c r="AA117" s="532"/>
      <c r="AB117" s="532"/>
      <c r="AC117" s="532"/>
      <c r="AD117" s="532"/>
      <c r="AE117" s="532"/>
      <c r="AF117" s="532"/>
      <c r="AG117" s="528" t="s">
        <v>1145</v>
      </c>
      <c r="AH117" s="528"/>
      <c r="AI117" s="333">
        <v>3</v>
      </c>
      <c r="AJ117" s="333">
        <v>3</v>
      </c>
      <c r="AK117" s="480">
        <v>0.5</v>
      </c>
      <c r="AL117" s="480">
        <v>0.5</v>
      </c>
      <c r="AM117" s="525"/>
      <c r="AN117" s="528">
        <v>0</v>
      </c>
      <c r="AO117" s="528">
        <v>12</v>
      </c>
      <c r="AP117" s="528">
        <v>0</v>
      </c>
      <c r="AQ117" s="528">
        <v>3</v>
      </c>
      <c r="AR117" s="528">
        <v>0</v>
      </c>
      <c r="AS117" s="528">
        <v>0</v>
      </c>
      <c r="AT117" s="528">
        <v>0</v>
      </c>
      <c r="AU117" s="528">
        <v>0</v>
      </c>
      <c r="AV117" s="528">
        <v>0</v>
      </c>
      <c r="AW117" s="528">
        <v>0</v>
      </c>
      <c r="AX117" s="528">
        <v>0</v>
      </c>
      <c r="AY117" s="528">
        <v>0</v>
      </c>
      <c r="AZ117" s="528"/>
      <c r="BA117" s="528" t="s">
        <v>1145</v>
      </c>
      <c r="BB117" s="528"/>
      <c r="BC117" s="528" t="s">
        <v>1145</v>
      </c>
      <c r="BD117" s="528"/>
      <c r="BE117" s="528"/>
      <c r="BF117" s="564"/>
      <c r="BG117" s="529"/>
      <c r="BH117" s="525"/>
      <c r="BI117" s="528"/>
      <c r="BJ117" s="528" t="s">
        <v>1164</v>
      </c>
      <c r="BK117" s="528">
        <v>1</v>
      </c>
      <c r="BL117" s="529"/>
      <c r="BM117" s="530" t="s">
        <v>1530</v>
      </c>
      <c r="BN117" s="525" t="s">
        <v>408</v>
      </c>
    </row>
    <row r="118" spans="1:66" ht="13" customHeight="1" x14ac:dyDescent="0.2">
      <c r="A118" s="451">
        <v>2333</v>
      </c>
      <c r="B118" s="527">
        <v>44210</v>
      </c>
      <c r="C118" s="526" t="s">
        <v>1138</v>
      </c>
      <c r="D118" s="525" t="s">
        <v>1114</v>
      </c>
      <c r="E118" s="527">
        <v>44228</v>
      </c>
      <c r="F118" s="529" t="s">
        <v>1291</v>
      </c>
      <c r="G118" s="525" t="s">
        <v>1181</v>
      </c>
      <c r="H118" s="340">
        <v>80.336363636363629</v>
      </c>
      <c r="I118" s="531"/>
      <c r="J118" s="525"/>
      <c r="K118" s="525"/>
      <c r="L118" s="525"/>
      <c r="M118" s="525"/>
      <c r="N118" s="525"/>
      <c r="O118" s="340">
        <v>1.8090909090909089</v>
      </c>
      <c r="P118" s="340">
        <v>0</v>
      </c>
      <c r="Q118" s="340">
        <v>0</v>
      </c>
      <c r="R118" s="532">
        <v>0</v>
      </c>
      <c r="S118" s="532">
        <v>0</v>
      </c>
      <c r="T118" s="532"/>
      <c r="U118" s="532">
        <v>1.4909090909090907</v>
      </c>
      <c r="V118" s="532">
        <v>0</v>
      </c>
      <c r="W118" s="532">
        <v>0</v>
      </c>
      <c r="X118" s="532">
        <v>0</v>
      </c>
      <c r="Y118" s="532">
        <v>0</v>
      </c>
      <c r="Z118" s="533"/>
      <c r="AA118" s="532"/>
      <c r="AB118" s="532"/>
      <c r="AC118" s="532"/>
      <c r="AD118" s="532"/>
      <c r="AE118" s="532"/>
      <c r="AF118" s="532"/>
      <c r="AG118" s="528" t="s">
        <v>1143</v>
      </c>
      <c r="AH118" s="528" t="s">
        <v>1144</v>
      </c>
      <c r="AI118" s="333">
        <v>2</v>
      </c>
      <c r="AJ118" s="333">
        <v>4</v>
      </c>
      <c r="AK118" s="480">
        <v>0.33329999999999999</v>
      </c>
      <c r="AL118" s="480">
        <v>0.66659999999999997</v>
      </c>
      <c r="AM118" s="525" t="s">
        <v>1124</v>
      </c>
      <c r="AN118" s="528">
        <v>0</v>
      </c>
      <c r="AO118" s="528">
        <v>0</v>
      </c>
      <c r="AP118" s="528">
        <v>0</v>
      </c>
      <c r="AQ118" s="528">
        <v>0</v>
      </c>
      <c r="AR118" s="528">
        <v>0</v>
      </c>
      <c r="AS118" s="528">
        <v>0</v>
      </c>
      <c r="AT118" s="528">
        <v>0</v>
      </c>
      <c r="AU118" s="528">
        <v>0</v>
      </c>
      <c r="AV118" s="528">
        <v>0</v>
      </c>
      <c r="AW118" s="528">
        <v>0</v>
      </c>
      <c r="AX118" s="528">
        <v>0</v>
      </c>
      <c r="AY118" s="528">
        <v>0</v>
      </c>
      <c r="AZ118" s="528"/>
      <c r="BA118" s="528" t="s">
        <v>1145</v>
      </c>
      <c r="BB118" s="528"/>
      <c r="BC118" s="528" t="s">
        <v>1145</v>
      </c>
      <c r="BD118" s="528"/>
      <c r="BE118" s="528"/>
      <c r="BF118" s="564"/>
      <c r="BG118" s="529"/>
      <c r="BH118" s="525"/>
      <c r="BI118" s="528"/>
      <c r="BJ118" s="528" t="s">
        <v>4</v>
      </c>
      <c r="BK118" s="528"/>
      <c r="BL118" s="529" t="s">
        <v>1284</v>
      </c>
      <c r="BM118" s="530" t="s">
        <v>1555</v>
      </c>
      <c r="BN118" s="525" t="s">
        <v>408</v>
      </c>
    </row>
    <row r="119" spans="1:66" ht="13" customHeight="1" x14ac:dyDescent="0.2">
      <c r="A119" s="451"/>
      <c r="B119" s="527">
        <v>44209</v>
      </c>
      <c r="C119" s="526" t="s">
        <v>10</v>
      </c>
      <c r="D119" s="525" t="s">
        <v>1114</v>
      </c>
      <c r="E119" s="527">
        <v>44153</v>
      </c>
      <c r="F119" s="529" t="s">
        <v>1483</v>
      </c>
      <c r="G119" s="525" t="s">
        <v>1550</v>
      </c>
      <c r="H119" s="340">
        <v>99.999999999999986</v>
      </c>
      <c r="I119" s="531" t="s">
        <v>296</v>
      </c>
      <c r="J119" s="525">
        <v>6000</v>
      </c>
      <c r="K119" s="525">
        <v>12000</v>
      </c>
      <c r="L119" s="525">
        <v>84000</v>
      </c>
      <c r="M119" s="525">
        <v>84000</v>
      </c>
      <c r="N119" s="525"/>
      <c r="O119" s="340">
        <v>1.6545454545454545</v>
      </c>
      <c r="P119" s="340">
        <v>1.4545454545454546</v>
      </c>
      <c r="Q119" s="340">
        <v>1.2</v>
      </c>
      <c r="R119" s="532">
        <v>0</v>
      </c>
      <c r="S119" s="532">
        <v>1.0999999999999999</v>
      </c>
      <c r="T119" s="532"/>
      <c r="U119" s="532">
        <v>1.2999999999999998</v>
      </c>
      <c r="V119" s="532">
        <v>1.2</v>
      </c>
      <c r="W119" s="532">
        <v>1.1545454545454545</v>
      </c>
      <c r="X119" s="532">
        <v>0</v>
      </c>
      <c r="Y119" s="532">
        <v>1.0545454545454545</v>
      </c>
      <c r="Z119" s="533"/>
      <c r="AA119" s="532"/>
      <c r="AB119" s="532"/>
      <c r="AC119" s="532"/>
      <c r="AD119" s="532"/>
      <c r="AE119" s="532"/>
      <c r="AF119" s="532"/>
      <c r="AG119" s="528" t="s">
        <v>1116</v>
      </c>
      <c r="AH119" s="528" t="s">
        <v>1117</v>
      </c>
      <c r="AI119" s="333">
        <v>2</v>
      </c>
      <c r="AJ119" s="333">
        <v>4</v>
      </c>
      <c r="AK119" s="480">
        <v>0.33329999999999999</v>
      </c>
      <c r="AL119" s="480">
        <v>0.66659999999999997</v>
      </c>
      <c r="AM119" s="525" t="s">
        <v>1124</v>
      </c>
      <c r="AN119" s="528">
        <v>0</v>
      </c>
      <c r="AO119" s="528">
        <v>0</v>
      </c>
      <c r="AP119" s="528">
        <v>0</v>
      </c>
      <c r="AQ119" s="528">
        <v>0</v>
      </c>
      <c r="AR119" s="528">
        <v>0</v>
      </c>
      <c r="AS119" s="528">
        <v>0</v>
      </c>
      <c r="AT119" s="528">
        <v>0</v>
      </c>
      <c r="AU119" s="528">
        <v>0</v>
      </c>
      <c r="AV119" s="528">
        <v>0</v>
      </c>
      <c r="AW119" s="528">
        <v>0</v>
      </c>
      <c r="AX119" s="528">
        <v>0</v>
      </c>
      <c r="AY119" s="528">
        <v>0</v>
      </c>
      <c r="AZ119" s="528"/>
      <c r="BA119" s="528" t="s">
        <v>38</v>
      </c>
      <c r="BB119" s="528"/>
      <c r="BC119" s="528" t="s">
        <v>38</v>
      </c>
      <c r="BD119" s="528"/>
      <c r="BE119" s="528">
        <v>12</v>
      </c>
      <c r="BF119" s="564"/>
      <c r="BG119" s="529"/>
      <c r="BH119" s="525"/>
      <c r="BI119" s="528"/>
      <c r="BJ119" s="528" t="s">
        <v>43</v>
      </c>
      <c r="BK119" s="528"/>
      <c r="BL119" s="529"/>
      <c r="BM119" s="530" t="s">
        <v>430</v>
      </c>
      <c r="BN119" s="525" t="s">
        <v>1121</v>
      </c>
    </row>
    <row r="120" spans="1:66" ht="13" customHeight="1" x14ac:dyDescent="0.2">
      <c r="A120" s="451">
        <v>1357</v>
      </c>
      <c r="B120" s="527">
        <v>44208</v>
      </c>
      <c r="C120" s="526" t="s">
        <v>1138</v>
      </c>
      <c r="D120" s="525" t="s">
        <v>1115</v>
      </c>
      <c r="E120" s="527">
        <v>44197</v>
      </c>
      <c r="F120" s="529" t="s">
        <v>1139</v>
      </c>
      <c r="G120" s="525" t="s">
        <v>1140</v>
      </c>
      <c r="H120" s="340">
        <v>71.609090909090895</v>
      </c>
      <c r="I120" s="531" t="s">
        <v>1141</v>
      </c>
      <c r="J120" s="525">
        <v>6000</v>
      </c>
      <c r="K120" s="525">
        <v>12000</v>
      </c>
      <c r="L120" s="525">
        <v>84000</v>
      </c>
      <c r="M120" s="525">
        <v>84000</v>
      </c>
      <c r="N120" s="525"/>
      <c r="O120" s="340">
        <v>2</v>
      </c>
      <c r="P120" s="340">
        <v>1.9363636363636361</v>
      </c>
      <c r="Q120" s="340">
        <v>1.3272727272727272</v>
      </c>
      <c r="R120" s="532">
        <v>0</v>
      </c>
      <c r="S120" s="532">
        <v>1.2727272727272725</v>
      </c>
      <c r="T120" s="532"/>
      <c r="U120" s="532">
        <v>1.718181818181818</v>
      </c>
      <c r="V120" s="532">
        <v>1.4818181818181817</v>
      </c>
      <c r="W120" s="532">
        <v>1.2999999999999998</v>
      </c>
      <c r="X120" s="532">
        <v>0</v>
      </c>
      <c r="Y120" s="532">
        <v>1.1818181818181817</v>
      </c>
      <c r="Z120" s="533"/>
      <c r="AA120" s="532"/>
      <c r="AB120" s="532"/>
      <c r="AC120" s="532"/>
      <c r="AD120" s="532"/>
      <c r="AE120" s="532"/>
      <c r="AF120" s="532"/>
      <c r="AG120" s="528" t="s">
        <v>1143</v>
      </c>
      <c r="AH120" s="528" t="s">
        <v>1144</v>
      </c>
      <c r="AI120" s="333">
        <v>2</v>
      </c>
      <c r="AJ120" s="333">
        <v>4</v>
      </c>
      <c r="AK120" s="480">
        <v>0.33329999999999999</v>
      </c>
      <c r="AL120" s="480">
        <v>0.66659999999999997</v>
      </c>
      <c r="AM120" s="525" t="s">
        <v>1124</v>
      </c>
      <c r="AN120" s="528">
        <v>0</v>
      </c>
      <c r="AO120" s="528">
        <v>0</v>
      </c>
      <c r="AP120" s="528">
        <v>0</v>
      </c>
      <c r="AQ120" s="528">
        <v>0</v>
      </c>
      <c r="AR120" s="528">
        <v>0</v>
      </c>
      <c r="AS120" s="528">
        <v>0</v>
      </c>
      <c r="AT120" s="528">
        <v>0</v>
      </c>
      <c r="AU120" s="528">
        <v>0</v>
      </c>
      <c r="AV120" s="528">
        <v>0</v>
      </c>
      <c r="AW120" s="528">
        <v>0</v>
      </c>
      <c r="AX120" s="528">
        <v>0</v>
      </c>
      <c r="AY120" s="528">
        <v>0</v>
      </c>
      <c r="AZ120" s="528"/>
      <c r="BA120" s="528" t="s">
        <v>1145</v>
      </c>
      <c r="BB120" s="528">
        <v>12</v>
      </c>
      <c r="BC120" s="528" t="s">
        <v>1145</v>
      </c>
      <c r="BD120" s="528"/>
      <c r="BE120" s="528">
        <v>12</v>
      </c>
      <c r="BF120" s="564"/>
      <c r="BG120" s="529"/>
      <c r="BH120" s="525"/>
      <c r="BI120" s="528"/>
      <c r="BJ120" s="528" t="s">
        <v>1146</v>
      </c>
      <c r="BK120" s="528"/>
      <c r="BL120" s="529"/>
      <c r="BM120" s="530" t="s">
        <v>1541</v>
      </c>
      <c r="BN120" s="525" t="s">
        <v>408</v>
      </c>
    </row>
    <row r="121" spans="1:66" ht="13" customHeight="1" x14ac:dyDescent="0.2">
      <c r="A121" s="451">
        <v>2500</v>
      </c>
      <c r="B121" s="527">
        <v>44208</v>
      </c>
      <c r="C121" s="526" t="s">
        <v>1138</v>
      </c>
      <c r="D121" s="525" t="s">
        <v>1115</v>
      </c>
      <c r="E121" s="527">
        <v>44197</v>
      </c>
      <c r="F121" s="529" t="s">
        <v>1148</v>
      </c>
      <c r="G121" s="525" t="s">
        <v>1280</v>
      </c>
      <c r="H121" s="340">
        <v>70</v>
      </c>
      <c r="I121" s="531" t="s">
        <v>1141</v>
      </c>
      <c r="J121" s="525">
        <v>6000</v>
      </c>
      <c r="K121" s="525">
        <v>6000</v>
      </c>
      <c r="L121" s="525">
        <v>6000</v>
      </c>
      <c r="M121" s="525">
        <v>6000</v>
      </c>
      <c r="N121" s="525"/>
      <c r="O121" s="340">
        <v>1.9909090909090907</v>
      </c>
      <c r="P121" s="340">
        <v>0</v>
      </c>
      <c r="Q121" s="340">
        <v>0</v>
      </c>
      <c r="R121" s="532">
        <v>0</v>
      </c>
      <c r="S121" s="532">
        <v>1.4727272727272727</v>
      </c>
      <c r="T121" s="532"/>
      <c r="U121" s="532">
        <v>1.8090909090909089</v>
      </c>
      <c r="V121" s="532">
        <v>0</v>
      </c>
      <c r="W121" s="532">
        <v>0</v>
      </c>
      <c r="X121" s="532">
        <v>0</v>
      </c>
      <c r="Y121" s="532">
        <v>1.4727272727272727</v>
      </c>
      <c r="Z121" s="533"/>
      <c r="AA121" s="532"/>
      <c r="AB121" s="532"/>
      <c r="AC121" s="532"/>
      <c r="AD121" s="532"/>
      <c r="AE121" s="532"/>
      <c r="AF121" s="532"/>
      <c r="AG121" s="528" t="s">
        <v>1143</v>
      </c>
      <c r="AH121" s="528" t="s">
        <v>1144</v>
      </c>
      <c r="AI121" s="333">
        <v>2</v>
      </c>
      <c r="AJ121" s="333">
        <v>4</v>
      </c>
      <c r="AK121" s="480">
        <v>0.33329999999999999</v>
      </c>
      <c r="AL121" s="480">
        <v>0.66659999999999997</v>
      </c>
      <c r="AM121" s="525" t="s">
        <v>1124</v>
      </c>
      <c r="AN121" s="528">
        <v>0</v>
      </c>
      <c r="AO121" s="528">
        <v>0</v>
      </c>
      <c r="AP121" s="528">
        <v>0</v>
      </c>
      <c r="AQ121" s="528">
        <v>0</v>
      </c>
      <c r="AR121" s="528">
        <v>0</v>
      </c>
      <c r="AS121" s="528">
        <v>0</v>
      </c>
      <c r="AT121" s="528">
        <v>0</v>
      </c>
      <c r="AU121" s="528">
        <v>0</v>
      </c>
      <c r="AV121" s="528">
        <v>0</v>
      </c>
      <c r="AW121" s="528">
        <v>0</v>
      </c>
      <c r="AX121" s="528">
        <v>0</v>
      </c>
      <c r="AY121" s="528">
        <v>0</v>
      </c>
      <c r="AZ121" s="528"/>
      <c r="BA121" s="528" t="s">
        <v>1145</v>
      </c>
      <c r="BB121" s="528"/>
      <c r="BC121" s="528" t="s">
        <v>1145</v>
      </c>
      <c r="BD121" s="528"/>
      <c r="BE121" s="528"/>
      <c r="BF121" s="564"/>
      <c r="BG121" s="529"/>
      <c r="BH121" s="525"/>
      <c r="BI121" s="528"/>
      <c r="BJ121" s="528" t="s">
        <v>4</v>
      </c>
      <c r="BK121" s="528"/>
      <c r="BL121" s="529"/>
      <c r="BM121" s="530" t="s">
        <v>430</v>
      </c>
      <c r="BN121" s="525" t="s">
        <v>408</v>
      </c>
    </row>
    <row r="122" spans="1:66" ht="13" customHeight="1" x14ac:dyDescent="0.2">
      <c r="A122" s="451"/>
      <c r="B122" s="527">
        <v>44208</v>
      </c>
      <c r="C122" s="526" t="s">
        <v>1138</v>
      </c>
      <c r="D122" s="525" t="s">
        <v>1115</v>
      </c>
      <c r="E122" s="527">
        <v>44197</v>
      </c>
      <c r="F122" s="529" t="s">
        <v>1152</v>
      </c>
      <c r="G122" s="525" t="s">
        <v>1471</v>
      </c>
      <c r="H122" s="340">
        <v>58.081818181818178</v>
      </c>
      <c r="I122" s="531" t="s">
        <v>1141</v>
      </c>
      <c r="J122" s="525">
        <v>6000</v>
      </c>
      <c r="K122" s="525">
        <v>12000</v>
      </c>
      <c r="L122" s="525">
        <v>12000</v>
      </c>
      <c r="M122" s="525">
        <v>12000</v>
      </c>
      <c r="N122" s="525"/>
      <c r="O122" s="340">
        <v>2.0363636363636366</v>
      </c>
      <c r="P122" s="340">
        <v>1.7363636363636361</v>
      </c>
      <c r="Q122" s="340">
        <v>0</v>
      </c>
      <c r="R122" s="532">
        <v>0</v>
      </c>
      <c r="S122" s="532">
        <v>1.2636363636363634</v>
      </c>
      <c r="T122" s="532"/>
      <c r="U122" s="532">
        <v>1.4999999999999998</v>
      </c>
      <c r="V122" s="532">
        <v>1.4363636363636363</v>
      </c>
      <c r="W122" s="532">
        <v>0</v>
      </c>
      <c r="X122" s="532">
        <v>0</v>
      </c>
      <c r="Y122" s="532">
        <v>1.2636363636363634</v>
      </c>
      <c r="Z122" s="533"/>
      <c r="AA122" s="532"/>
      <c r="AB122" s="532"/>
      <c r="AC122" s="532"/>
      <c r="AD122" s="532"/>
      <c r="AE122" s="532"/>
      <c r="AF122" s="532"/>
      <c r="AG122" s="528" t="s">
        <v>1143</v>
      </c>
      <c r="AH122" s="528" t="s">
        <v>1144</v>
      </c>
      <c r="AI122" s="333">
        <v>2</v>
      </c>
      <c r="AJ122" s="333">
        <v>4</v>
      </c>
      <c r="AK122" s="480">
        <v>0.33329999999999999</v>
      </c>
      <c r="AL122" s="480">
        <v>0.66659999999999997</v>
      </c>
      <c r="AM122" s="525" t="s">
        <v>1124</v>
      </c>
      <c r="AN122" s="528">
        <v>0</v>
      </c>
      <c r="AO122" s="528">
        <v>0</v>
      </c>
      <c r="AP122" s="528">
        <v>0</v>
      </c>
      <c r="AQ122" s="528">
        <v>0</v>
      </c>
      <c r="AR122" s="528">
        <v>0</v>
      </c>
      <c r="AS122" s="528">
        <v>0</v>
      </c>
      <c r="AT122" s="528">
        <v>0</v>
      </c>
      <c r="AU122" s="528">
        <v>0</v>
      </c>
      <c r="AV122" s="528">
        <v>0</v>
      </c>
      <c r="AW122" s="528">
        <v>0</v>
      </c>
      <c r="AX122" s="528">
        <v>0</v>
      </c>
      <c r="AY122" s="528">
        <v>0</v>
      </c>
      <c r="AZ122" s="528"/>
      <c r="BA122" s="528" t="s">
        <v>1145</v>
      </c>
      <c r="BB122" s="528"/>
      <c r="BC122" s="528" t="s">
        <v>1145</v>
      </c>
      <c r="BD122" s="528"/>
      <c r="BE122" s="528"/>
      <c r="BF122" s="564"/>
      <c r="BG122" s="529"/>
      <c r="BH122" s="525"/>
      <c r="BI122" s="528"/>
      <c r="BJ122" s="528" t="s">
        <v>1146</v>
      </c>
      <c r="BK122" s="528">
        <v>1</v>
      </c>
      <c r="BL122" s="529"/>
      <c r="BM122" s="530" t="s">
        <v>1542</v>
      </c>
      <c r="BN122" s="525" t="s">
        <v>1121</v>
      </c>
    </row>
    <row r="123" spans="1:66" ht="13" customHeight="1" x14ac:dyDescent="0.2">
      <c r="A123" s="451">
        <v>2309</v>
      </c>
      <c r="B123" s="527">
        <v>44208</v>
      </c>
      <c r="C123" s="526" t="s">
        <v>1138</v>
      </c>
      <c r="D123" s="525" t="s">
        <v>1115</v>
      </c>
      <c r="E123" s="527">
        <v>44201</v>
      </c>
      <c r="F123" s="529" t="s">
        <v>1286</v>
      </c>
      <c r="G123" s="525" t="s">
        <v>418</v>
      </c>
      <c r="H123" s="340">
        <v>85</v>
      </c>
      <c r="I123" s="531" t="s">
        <v>1141</v>
      </c>
      <c r="J123" s="525">
        <v>6000</v>
      </c>
      <c r="K123" s="525">
        <v>12000</v>
      </c>
      <c r="L123" s="525">
        <v>84000</v>
      </c>
      <c r="M123" s="525">
        <v>84000</v>
      </c>
      <c r="N123" s="525"/>
      <c r="O123" s="340">
        <v>2.8727272727272726</v>
      </c>
      <c r="P123" s="340">
        <v>2.5545454545454542</v>
      </c>
      <c r="Q123" s="340">
        <v>2.1</v>
      </c>
      <c r="R123" s="532">
        <v>0</v>
      </c>
      <c r="S123" s="532">
        <v>1.7999999999999998</v>
      </c>
      <c r="T123" s="532"/>
      <c r="U123" s="532">
        <v>2.4</v>
      </c>
      <c r="V123" s="532">
        <v>2.1999999999999997</v>
      </c>
      <c r="W123" s="532">
        <v>2</v>
      </c>
      <c r="X123" s="532">
        <v>0</v>
      </c>
      <c r="Y123" s="532">
        <v>1.5999999999999999</v>
      </c>
      <c r="Z123" s="533"/>
      <c r="AA123" s="532"/>
      <c r="AB123" s="532"/>
      <c r="AC123" s="532"/>
      <c r="AD123" s="532"/>
      <c r="AE123" s="532"/>
      <c r="AF123" s="532"/>
      <c r="AG123" s="528" t="s">
        <v>1143</v>
      </c>
      <c r="AH123" s="528" t="s">
        <v>1144</v>
      </c>
      <c r="AI123" s="333">
        <v>2</v>
      </c>
      <c r="AJ123" s="333">
        <v>4</v>
      </c>
      <c r="AK123" s="480">
        <v>0.33329999999999999</v>
      </c>
      <c r="AL123" s="480">
        <v>0.66659999999999997</v>
      </c>
      <c r="AM123" s="525" t="s">
        <v>1124</v>
      </c>
      <c r="AN123" s="528">
        <v>0</v>
      </c>
      <c r="AO123" s="528">
        <v>16</v>
      </c>
      <c r="AP123" s="528">
        <v>0</v>
      </c>
      <c r="AQ123" s="528">
        <v>0</v>
      </c>
      <c r="AR123" s="528">
        <v>0</v>
      </c>
      <c r="AS123" s="528">
        <v>0</v>
      </c>
      <c r="AT123" s="528">
        <v>0</v>
      </c>
      <c r="AU123" s="528">
        <v>0</v>
      </c>
      <c r="AV123" s="528">
        <v>0</v>
      </c>
      <c r="AW123" s="528">
        <v>0</v>
      </c>
      <c r="AX123" s="528">
        <v>0</v>
      </c>
      <c r="AY123" s="528">
        <v>0</v>
      </c>
      <c r="AZ123" s="528"/>
      <c r="BA123" s="528" t="s">
        <v>1145</v>
      </c>
      <c r="BB123" s="528"/>
      <c r="BC123" s="528" t="s">
        <v>1145</v>
      </c>
      <c r="BD123" s="528"/>
      <c r="BE123" s="528"/>
      <c r="BF123" s="564"/>
      <c r="BG123" s="529"/>
      <c r="BH123" s="525"/>
      <c r="BI123" s="528"/>
      <c r="BJ123" s="528" t="s">
        <v>1146</v>
      </c>
      <c r="BK123" s="528">
        <v>1</v>
      </c>
      <c r="BL123" s="529"/>
      <c r="BM123" s="530" t="s">
        <v>1533</v>
      </c>
      <c r="BN123" s="525" t="s">
        <v>408</v>
      </c>
    </row>
    <row r="124" spans="1:66" ht="13" customHeight="1" x14ac:dyDescent="0.2">
      <c r="A124" s="451">
        <v>2556</v>
      </c>
      <c r="B124" s="527">
        <v>44208</v>
      </c>
      <c r="C124" s="526" t="s">
        <v>1138</v>
      </c>
      <c r="D124" s="525" t="s">
        <v>1115</v>
      </c>
      <c r="E124" s="527">
        <v>44028</v>
      </c>
      <c r="F124" s="529" t="s">
        <v>1052</v>
      </c>
      <c r="G124" s="525" t="s">
        <v>1181</v>
      </c>
      <c r="H124" s="340">
        <v>75.25454545454545</v>
      </c>
      <c r="I124" s="531" t="s">
        <v>1141</v>
      </c>
      <c r="J124" s="525">
        <v>6000</v>
      </c>
      <c r="K124" s="525">
        <v>12000</v>
      </c>
      <c r="L124" s="525">
        <v>24000</v>
      </c>
      <c r="M124" s="525">
        <v>24000</v>
      </c>
      <c r="N124" s="525"/>
      <c r="O124" s="340">
        <v>2.2363636363636363</v>
      </c>
      <c r="P124" s="340">
        <v>1.9363636363636361</v>
      </c>
      <c r="Q124" s="340">
        <v>1.5727272727272725</v>
      </c>
      <c r="R124" s="532">
        <v>0</v>
      </c>
      <c r="S124" s="532">
        <v>1.5636363636363635</v>
      </c>
      <c r="T124" s="532"/>
      <c r="U124" s="532">
        <v>1.7454545454545451</v>
      </c>
      <c r="V124" s="532">
        <v>1.6909090909090909</v>
      </c>
      <c r="W124" s="532">
        <v>1.5727272727272725</v>
      </c>
      <c r="X124" s="532">
        <v>0</v>
      </c>
      <c r="Y124" s="532">
        <v>1.5272727272727271</v>
      </c>
      <c r="Z124" s="533"/>
      <c r="AA124" s="532"/>
      <c r="AB124" s="532"/>
      <c r="AC124" s="532"/>
      <c r="AD124" s="532"/>
      <c r="AE124" s="532"/>
      <c r="AF124" s="532"/>
      <c r="AG124" s="528" t="s">
        <v>297</v>
      </c>
      <c r="AH124" s="528" t="s">
        <v>298</v>
      </c>
      <c r="AI124" s="333">
        <v>2</v>
      </c>
      <c r="AJ124" s="333">
        <v>4</v>
      </c>
      <c r="AK124" s="480">
        <v>0.33329999999999999</v>
      </c>
      <c r="AL124" s="480">
        <v>0.66659999999999997</v>
      </c>
      <c r="AM124" s="525" t="s">
        <v>1124</v>
      </c>
      <c r="AN124" s="528">
        <v>0</v>
      </c>
      <c r="AO124" s="528">
        <v>0</v>
      </c>
      <c r="AP124" s="528">
        <v>0</v>
      </c>
      <c r="AQ124" s="528">
        <v>0</v>
      </c>
      <c r="AR124" s="528">
        <v>0</v>
      </c>
      <c r="AS124" s="528">
        <v>0</v>
      </c>
      <c r="AT124" s="528">
        <v>0</v>
      </c>
      <c r="AU124" s="528">
        <v>0</v>
      </c>
      <c r="AV124" s="528">
        <v>0</v>
      </c>
      <c r="AW124" s="528">
        <v>0</v>
      </c>
      <c r="AX124" s="528">
        <v>0</v>
      </c>
      <c r="AY124" s="528">
        <v>0</v>
      </c>
      <c r="AZ124" s="528"/>
      <c r="BA124" s="528" t="s">
        <v>1145</v>
      </c>
      <c r="BB124" s="528"/>
      <c r="BC124" s="528" t="s">
        <v>1145</v>
      </c>
      <c r="BD124" s="528"/>
      <c r="BE124" s="528"/>
      <c r="BF124" s="564"/>
      <c r="BG124" s="529"/>
      <c r="BH124" s="525"/>
      <c r="BI124" s="528"/>
      <c r="BJ124" s="528" t="s">
        <v>4</v>
      </c>
      <c r="BK124" s="528"/>
      <c r="BL124" s="529"/>
      <c r="BM124" s="530" t="s">
        <v>1448</v>
      </c>
      <c r="BN124" s="525" t="s">
        <v>368</v>
      </c>
    </row>
    <row r="125" spans="1:66" ht="13" customHeight="1" x14ac:dyDescent="0.2">
      <c r="A125" s="451">
        <v>2119</v>
      </c>
      <c r="B125" s="527">
        <v>44208</v>
      </c>
      <c r="C125" s="526" t="s">
        <v>1138</v>
      </c>
      <c r="D125" s="525" t="s">
        <v>1115</v>
      </c>
      <c r="E125" s="527">
        <v>44197</v>
      </c>
      <c r="F125" s="529" t="s">
        <v>1156</v>
      </c>
      <c r="G125" s="525" t="s">
        <v>1157</v>
      </c>
      <c r="H125" s="340">
        <v>100.6</v>
      </c>
      <c r="I125" s="531" t="s">
        <v>1141</v>
      </c>
      <c r="J125" s="525">
        <v>6000</v>
      </c>
      <c r="K125" s="525">
        <v>12000</v>
      </c>
      <c r="L125" s="525">
        <v>84000</v>
      </c>
      <c r="M125" s="525">
        <v>84000</v>
      </c>
      <c r="N125" s="525"/>
      <c r="O125" s="340">
        <v>2.9636363636363634</v>
      </c>
      <c r="P125" s="340">
        <v>2.3818181818181818</v>
      </c>
      <c r="Q125" s="340">
        <v>1.8818181818181816</v>
      </c>
      <c r="R125" s="532">
        <v>0</v>
      </c>
      <c r="S125" s="532">
        <v>1.8181818181818181</v>
      </c>
      <c r="T125" s="532"/>
      <c r="U125" s="532">
        <v>2.2727272727272725</v>
      </c>
      <c r="V125" s="532">
        <v>2.0636363636363635</v>
      </c>
      <c r="W125" s="532">
        <v>1.8545454545454545</v>
      </c>
      <c r="X125" s="532">
        <v>0</v>
      </c>
      <c r="Y125" s="532">
        <v>1.7818181818181817</v>
      </c>
      <c r="Z125" s="533"/>
      <c r="AA125" s="532"/>
      <c r="AB125" s="532"/>
      <c r="AC125" s="532"/>
      <c r="AD125" s="532"/>
      <c r="AE125" s="532"/>
      <c r="AF125" s="532"/>
      <c r="AG125" s="528" t="s">
        <v>1143</v>
      </c>
      <c r="AH125" s="528" t="s">
        <v>1144</v>
      </c>
      <c r="AI125" s="333">
        <v>2</v>
      </c>
      <c r="AJ125" s="333">
        <v>4</v>
      </c>
      <c r="AK125" s="480">
        <v>0.33329999999999999</v>
      </c>
      <c r="AL125" s="480">
        <v>0.66659999999999997</v>
      </c>
      <c r="AM125" s="525" t="s">
        <v>1124</v>
      </c>
      <c r="AN125" s="528">
        <v>27</v>
      </c>
      <c r="AO125" s="528">
        <v>0</v>
      </c>
      <c r="AP125" s="528">
        <v>0</v>
      </c>
      <c r="AQ125" s="528">
        <v>0</v>
      </c>
      <c r="AR125" s="528">
        <v>0</v>
      </c>
      <c r="AS125" s="528">
        <v>0</v>
      </c>
      <c r="AT125" s="528">
        <v>0</v>
      </c>
      <c r="AU125" s="528">
        <v>0</v>
      </c>
      <c r="AV125" s="528">
        <v>0</v>
      </c>
      <c r="AW125" s="528">
        <v>0</v>
      </c>
      <c r="AX125" s="528">
        <v>0</v>
      </c>
      <c r="AY125" s="528">
        <v>0</v>
      </c>
      <c r="AZ125" s="528">
        <v>12</v>
      </c>
      <c r="BA125" s="528" t="s">
        <v>1145</v>
      </c>
      <c r="BB125" s="528">
        <v>12</v>
      </c>
      <c r="BC125" s="528" t="s">
        <v>1145</v>
      </c>
      <c r="BD125" s="528"/>
      <c r="BE125" s="528">
        <v>12</v>
      </c>
      <c r="BF125" s="564"/>
      <c r="BG125" s="529"/>
      <c r="BH125" s="525"/>
      <c r="BI125" s="528"/>
      <c r="BJ125" s="528" t="s">
        <v>1146</v>
      </c>
      <c r="BK125" s="528"/>
      <c r="BL125" s="529"/>
      <c r="BM125" s="530" t="s">
        <v>1543</v>
      </c>
      <c r="BN125" s="525" t="s">
        <v>408</v>
      </c>
    </row>
    <row r="126" spans="1:66" ht="13" customHeight="1" x14ac:dyDescent="0.2">
      <c r="A126" s="451">
        <v>2874</v>
      </c>
      <c r="B126" s="527">
        <v>44208</v>
      </c>
      <c r="C126" s="526" t="s">
        <v>1138</v>
      </c>
      <c r="D126" s="525" t="s">
        <v>1115</v>
      </c>
      <c r="E126" s="527">
        <v>44197</v>
      </c>
      <c r="F126" s="529" t="s">
        <v>1159</v>
      </c>
      <c r="G126" s="525" t="s">
        <v>1105</v>
      </c>
      <c r="H126" s="340">
        <v>77.599999999999994</v>
      </c>
      <c r="I126" s="531" t="s">
        <v>1141</v>
      </c>
      <c r="J126" s="525">
        <v>6000</v>
      </c>
      <c r="K126" s="525">
        <v>12000</v>
      </c>
      <c r="L126" s="525">
        <v>84000</v>
      </c>
      <c r="M126" s="525">
        <v>84000</v>
      </c>
      <c r="N126" s="525"/>
      <c r="O126" s="340">
        <v>1.8727272727272726</v>
      </c>
      <c r="P126" s="340">
        <v>1.8181818181818181</v>
      </c>
      <c r="Q126" s="340">
        <v>1.6454545454545453</v>
      </c>
      <c r="R126" s="532">
        <v>0</v>
      </c>
      <c r="S126" s="532">
        <v>1.4545454545454546</v>
      </c>
      <c r="T126" s="532"/>
      <c r="U126" s="532">
        <v>1.5818181818181818</v>
      </c>
      <c r="V126" s="532">
        <v>1.5636363636363635</v>
      </c>
      <c r="W126" s="532">
        <v>1.4636363636363636</v>
      </c>
      <c r="X126" s="532">
        <v>0</v>
      </c>
      <c r="Y126" s="532">
        <v>1.4181818181818182</v>
      </c>
      <c r="Z126" s="533"/>
      <c r="AA126" s="532"/>
      <c r="AB126" s="532"/>
      <c r="AC126" s="532"/>
      <c r="AD126" s="532"/>
      <c r="AE126" s="532"/>
      <c r="AF126" s="532"/>
      <c r="AG126" s="528" t="s">
        <v>1143</v>
      </c>
      <c r="AH126" s="528" t="s">
        <v>1144</v>
      </c>
      <c r="AI126" s="333">
        <v>2</v>
      </c>
      <c r="AJ126" s="333">
        <v>4</v>
      </c>
      <c r="AK126" s="480">
        <v>0.33329999999999999</v>
      </c>
      <c r="AL126" s="480">
        <v>0.66659999999999997</v>
      </c>
      <c r="AM126" s="525" t="s">
        <v>1124</v>
      </c>
      <c r="AN126" s="528">
        <v>0</v>
      </c>
      <c r="AO126" s="528">
        <v>0</v>
      </c>
      <c r="AP126" s="528">
        <v>0</v>
      </c>
      <c r="AQ126" s="528">
        <v>0</v>
      </c>
      <c r="AR126" s="528">
        <v>0</v>
      </c>
      <c r="AS126" s="528">
        <v>0</v>
      </c>
      <c r="AT126" s="528">
        <v>0</v>
      </c>
      <c r="AU126" s="528">
        <v>0</v>
      </c>
      <c r="AV126" s="528">
        <v>0</v>
      </c>
      <c r="AW126" s="528">
        <v>0</v>
      </c>
      <c r="AX126" s="528">
        <v>0</v>
      </c>
      <c r="AY126" s="528">
        <v>0</v>
      </c>
      <c r="AZ126" s="528"/>
      <c r="BA126" s="528" t="s">
        <v>1145</v>
      </c>
      <c r="BB126" s="528"/>
      <c r="BC126" s="528" t="s">
        <v>1145</v>
      </c>
      <c r="BD126" s="528"/>
      <c r="BE126" s="528"/>
      <c r="BF126" s="564">
        <v>44651</v>
      </c>
      <c r="BG126" s="529"/>
      <c r="BH126" s="525"/>
      <c r="BI126" s="528"/>
      <c r="BJ126" s="528" t="s">
        <v>1146</v>
      </c>
      <c r="BK126" s="528"/>
      <c r="BL126" s="529"/>
      <c r="BM126" s="530" t="s">
        <v>1544</v>
      </c>
      <c r="BN126" s="525" t="s">
        <v>408</v>
      </c>
    </row>
    <row r="127" spans="1:66" ht="13" customHeight="1" x14ac:dyDescent="0.2">
      <c r="A127" s="451">
        <v>318</v>
      </c>
      <c r="B127" s="527">
        <v>44208</v>
      </c>
      <c r="C127" s="526" t="s">
        <v>1138</v>
      </c>
      <c r="D127" s="525" t="s">
        <v>1115</v>
      </c>
      <c r="E127" s="527">
        <v>44197</v>
      </c>
      <c r="F127" s="529" t="s">
        <v>1160</v>
      </c>
      <c r="G127" s="525" t="s">
        <v>1161</v>
      </c>
      <c r="H127" s="340">
        <v>99.3</v>
      </c>
      <c r="I127" s="531" t="s">
        <v>1141</v>
      </c>
      <c r="J127" s="525">
        <v>6000</v>
      </c>
      <c r="K127" s="525">
        <v>12000</v>
      </c>
      <c r="L127" s="525">
        <v>84000</v>
      </c>
      <c r="M127" s="525">
        <v>84000</v>
      </c>
      <c r="N127" s="525"/>
      <c r="O127" s="340">
        <v>2.1999999999999997</v>
      </c>
      <c r="P127" s="340">
        <v>2</v>
      </c>
      <c r="Q127" s="340">
        <v>1.5999999999999999</v>
      </c>
      <c r="R127" s="532">
        <v>0</v>
      </c>
      <c r="S127" s="532">
        <v>1.5999999999999999</v>
      </c>
      <c r="T127" s="532"/>
      <c r="U127" s="532">
        <v>1.7</v>
      </c>
      <c r="V127" s="532">
        <v>1.7</v>
      </c>
      <c r="W127" s="532">
        <v>1.5999999999999999</v>
      </c>
      <c r="X127" s="532">
        <v>0</v>
      </c>
      <c r="Y127" s="532">
        <v>1.4999999999999998</v>
      </c>
      <c r="Z127" s="533"/>
      <c r="AA127" s="532"/>
      <c r="AB127" s="532"/>
      <c r="AC127" s="532"/>
      <c r="AD127" s="532"/>
      <c r="AE127" s="532"/>
      <c r="AF127" s="532"/>
      <c r="AG127" s="528" t="s">
        <v>1143</v>
      </c>
      <c r="AH127" s="528" t="s">
        <v>1144</v>
      </c>
      <c r="AI127" s="333">
        <v>2</v>
      </c>
      <c r="AJ127" s="333">
        <v>4</v>
      </c>
      <c r="AK127" s="480">
        <v>0.33329999999999999</v>
      </c>
      <c r="AL127" s="480">
        <v>0.66659999999999997</v>
      </c>
      <c r="AM127" s="525" t="s">
        <v>1124</v>
      </c>
      <c r="AN127" s="528">
        <v>0</v>
      </c>
      <c r="AO127" s="528">
        <v>0</v>
      </c>
      <c r="AP127" s="528">
        <v>0</v>
      </c>
      <c r="AQ127" s="528">
        <v>0</v>
      </c>
      <c r="AR127" s="528">
        <v>0</v>
      </c>
      <c r="AS127" s="528">
        <v>0</v>
      </c>
      <c r="AT127" s="528">
        <v>0</v>
      </c>
      <c r="AU127" s="528">
        <v>0</v>
      </c>
      <c r="AV127" s="528">
        <v>0</v>
      </c>
      <c r="AW127" s="528">
        <v>0</v>
      </c>
      <c r="AX127" s="528">
        <v>0</v>
      </c>
      <c r="AY127" s="528">
        <v>0</v>
      </c>
      <c r="AZ127" s="528"/>
      <c r="BA127" s="528" t="s">
        <v>1145</v>
      </c>
      <c r="BB127" s="528"/>
      <c r="BC127" s="528" t="s">
        <v>1145</v>
      </c>
      <c r="BD127" s="528"/>
      <c r="BE127" s="528"/>
      <c r="BF127" s="564"/>
      <c r="BG127" s="529"/>
      <c r="BH127" s="525"/>
      <c r="BI127" s="528"/>
      <c r="BJ127" s="528" t="s">
        <v>4</v>
      </c>
      <c r="BK127" s="528"/>
      <c r="BL127" s="529"/>
      <c r="BM127" s="530" t="s">
        <v>1545</v>
      </c>
      <c r="BN127" s="525" t="s">
        <v>408</v>
      </c>
    </row>
    <row r="128" spans="1:66" ht="13" customHeight="1" x14ac:dyDescent="0.2">
      <c r="A128" s="451">
        <v>2850</v>
      </c>
      <c r="B128" s="527">
        <v>44208</v>
      </c>
      <c r="C128" s="526" t="s">
        <v>1138</v>
      </c>
      <c r="D128" s="525" t="s">
        <v>1115</v>
      </c>
      <c r="E128" s="527">
        <v>44197</v>
      </c>
      <c r="F128" s="529" t="s">
        <v>1166</v>
      </c>
      <c r="G128" s="525" t="s">
        <v>1478</v>
      </c>
      <c r="H128" s="340">
        <v>62.454545454545453</v>
      </c>
      <c r="I128" s="531" t="s">
        <v>1141</v>
      </c>
      <c r="J128" s="525">
        <v>3000</v>
      </c>
      <c r="K128" s="525">
        <v>3000</v>
      </c>
      <c r="L128" s="525">
        <v>3000</v>
      </c>
      <c r="M128" s="525">
        <v>3000</v>
      </c>
      <c r="N128" s="525"/>
      <c r="O128" s="340">
        <v>2.2454545454545456</v>
      </c>
      <c r="P128" s="340">
        <v>0</v>
      </c>
      <c r="Q128" s="340">
        <v>0</v>
      </c>
      <c r="R128" s="532">
        <v>0</v>
      </c>
      <c r="S128" s="532">
        <v>1.7636363636363634</v>
      </c>
      <c r="T128" s="532"/>
      <c r="U128" s="532">
        <v>1.5999999999999999</v>
      </c>
      <c r="V128" s="532">
        <v>0</v>
      </c>
      <c r="W128" s="532">
        <v>0</v>
      </c>
      <c r="X128" s="532">
        <v>0</v>
      </c>
      <c r="Y128" s="532">
        <v>1.2818181818181817</v>
      </c>
      <c r="Z128" s="533"/>
      <c r="AA128" s="532"/>
      <c r="AB128" s="532"/>
      <c r="AC128" s="532"/>
      <c r="AD128" s="532"/>
      <c r="AE128" s="532"/>
      <c r="AF128" s="532"/>
      <c r="AG128" s="528" t="s">
        <v>1143</v>
      </c>
      <c r="AH128" s="528" t="s">
        <v>1144</v>
      </c>
      <c r="AI128" s="333">
        <v>2</v>
      </c>
      <c r="AJ128" s="333">
        <v>4</v>
      </c>
      <c r="AK128" s="480">
        <v>0.33329999999999999</v>
      </c>
      <c r="AL128" s="480">
        <v>0.66659999999999997</v>
      </c>
      <c r="AM128" s="525" t="s">
        <v>1124</v>
      </c>
      <c r="AN128" s="528">
        <v>0</v>
      </c>
      <c r="AO128" s="528">
        <v>0</v>
      </c>
      <c r="AP128" s="528">
        <v>0</v>
      </c>
      <c r="AQ128" s="528">
        <v>0</v>
      </c>
      <c r="AR128" s="528">
        <v>0</v>
      </c>
      <c r="AS128" s="528">
        <v>0</v>
      </c>
      <c r="AT128" s="528">
        <v>0</v>
      </c>
      <c r="AU128" s="528">
        <v>0</v>
      </c>
      <c r="AV128" s="528">
        <v>0</v>
      </c>
      <c r="AW128" s="528">
        <v>0</v>
      </c>
      <c r="AX128" s="528">
        <v>0</v>
      </c>
      <c r="AY128" s="528">
        <v>0</v>
      </c>
      <c r="AZ128" s="528"/>
      <c r="BA128" s="528" t="s">
        <v>1145</v>
      </c>
      <c r="BB128" s="528">
        <v>12</v>
      </c>
      <c r="BC128" s="528" t="s">
        <v>1145</v>
      </c>
      <c r="BD128" s="528"/>
      <c r="BE128" s="528">
        <v>12</v>
      </c>
      <c r="BF128" s="564"/>
      <c r="BG128" s="529"/>
      <c r="BH128" s="525"/>
      <c r="BI128" s="528"/>
      <c r="BJ128" s="528" t="s">
        <v>1146</v>
      </c>
      <c r="BK128" s="528"/>
      <c r="BL128" s="529"/>
      <c r="BM128" s="530" t="s">
        <v>1538</v>
      </c>
      <c r="BN128" s="525" t="s">
        <v>408</v>
      </c>
    </row>
    <row r="129" spans="1:66" ht="13" customHeight="1" x14ac:dyDescent="0.2">
      <c r="A129" s="451">
        <v>2400</v>
      </c>
      <c r="B129" s="527">
        <v>44208</v>
      </c>
      <c r="C129" s="526" t="s">
        <v>1138</v>
      </c>
      <c r="D129" s="525" t="s">
        <v>1115</v>
      </c>
      <c r="E129" s="527">
        <v>44197</v>
      </c>
      <c r="F129" s="529" t="s">
        <v>1168</v>
      </c>
      <c r="G129" s="525" t="s">
        <v>1297</v>
      </c>
      <c r="H129" s="340">
        <v>74.25454545454545</v>
      </c>
      <c r="I129" s="531" t="s">
        <v>1141</v>
      </c>
      <c r="J129" s="525">
        <v>6000</v>
      </c>
      <c r="K129" s="525">
        <v>12000</v>
      </c>
      <c r="L129" s="525">
        <v>84000</v>
      </c>
      <c r="M129" s="525">
        <v>84000</v>
      </c>
      <c r="N129" s="525"/>
      <c r="O129" s="340">
        <v>2.1636363636363636</v>
      </c>
      <c r="P129" s="340">
        <v>1.9363636363636361</v>
      </c>
      <c r="Q129" s="340">
        <v>1.7090909090909088</v>
      </c>
      <c r="R129" s="532">
        <v>0</v>
      </c>
      <c r="S129" s="532">
        <v>1.6636363636363636</v>
      </c>
      <c r="T129" s="532"/>
      <c r="U129" s="532">
        <v>1.7545454545454544</v>
      </c>
      <c r="V129" s="532">
        <v>1.7090909090909088</v>
      </c>
      <c r="W129" s="532">
        <v>1.6181818181818182</v>
      </c>
      <c r="X129" s="532">
        <v>0</v>
      </c>
      <c r="Y129" s="532">
        <v>1.5727272727272725</v>
      </c>
      <c r="Z129" s="533"/>
      <c r="AA129" s="532"/>
      <c r="AB129" s="532"/>
      <c r="AC129" s="532"/>
      <c r="AD129" s="532"/>
      <c r="AE129" s="532"/>
      <c r="AF129" s="532"/>
      <c r="AG129" s="528" t="s">
        <v>1143</v>
      </c>
      <c r="AH129" s="528" t="s">
        <v>1144</v>
      </c>
      <c r="AI129" s="333">
        <v>2</v>
      </c>
      <c r="AJ129" s="333">
        <v>4</v>
      </c>
      <c r="AK129" s="480">
        <v>0.33329999999999999</v>
      </c>
      <c r="AL129" s="480">
        <v>0.66659999999999997</v>
      </c>
      <c r="AM129" s="525" t="s">
        <v>1124</v>
      </c>
      <c r="AN129" s="528">
        <v>0</v>
      </c>
      <c r="AO129" s="528">
        <v>0</v>
      </c>
      <c r="AP129" s="528">
        <v>0</v>
      </c>
      <c r="AQ129" s="528">
        <v>0</v>
      </c>
      <c r="AR129" s="528">
        <v>0</v>
      </c>
      <c r="AS129" s="528">
        <v>0</v>
      </c>
      <c r="AT129" s="528">
        <v>0</v>
      </c>
      <c r="AU129" s="528">
        <v>0</v>
      </c>
      <c r="AV129" s="528">
        <v>0</v>
      </c>
      <c r="AW129" s="528">
        <v>0</v>
      </c>
      <c r="AX129" s="528">
        <v>0</v>
      </c>
      <c r="AY129" s="528">
        <v>0</v>
      </c>
      <c r="AZ129" s="528"/>
      <c r="BA129" s="528" t="s">
        <v>1145</v>
      </c>
      <c r="BB129" s="528"/>
      <c r="BC129" s="528" t="s">
        <v>1145</v>
      </c>
      <c r="BD129" s="528"/>
      <c r="BE129" s="528"/>
      <c r="BF129" s="564"/>
      <c r="BG129" s="529"/>
      <c r="BH129" s="525"/>
      <c r="BI129" s="528"/>
      <c r="BJ129" s="528" t="s">
        <v>1146</v>
      </c>
      <c r="BK129" s="528"/>
      <c r="BL129" s="529"/>
      <c r="BM129" s="530" t="s">
        <v>1546</v>
      </c>
      <c r="BN129" s="525" t="s">
        <v>408</v>
      </c>
    </row>
    <row r="130" spans="1:66" ht="13" customHeight="1" x14ac:dyDescent="0.2">
      <c r="A130" s="451"/>
      <c r="B130" s="527">
        <v>44229</v>
      </c>
      <c r="C130" s="526" t="s">
        <v>1138</v>
      </c>
      <c r="D130" s="525" t="s">
        <v>1115</v>
      </c>
      <c r="E130" s="527">
        <v>44197</v>
      </c>
      <c r="F130" s="529" t="s">
        <v>1169</v>
      </c>
      <c r="G130" s="525" t="s">
        <v>1561</v>
      </c>
      <c r="H130" s="340">
        <v>92.61818181818181</v>
      </c>
      <c r="I130" s="531" t="s">
        <v>1141</v>
      </c>
      <c r="J130" s="525">
        <v>6000</v>
      </c>
      <c r="K130" s="525">
        <v>12000</v>
      </c>
      <c r="L130" s="525">
        <v>84000</v>
      </c>
      <c r="M130" s="525">
        <v>84000</v>
      </c>
      <c r="N130" s="525"/>
      <c r="O130" s="340">
        <v>2.4090909090909087</v>
      </c>
      <c r="P130" s="340">
        <v>2.0545454545454542</v>
      </c>
      <c r="Q130" s="340">
        <v>1.6090909090909089</v>
      </c>
      <c r="R130" s="532">
        <v>0</v>
      </c>
      <c r="S130" s="532">
        <v>1.5999999999999999</v>
      </c>
      <c r="T130" s="532"/>
      <c r="U130" s="532">
        <v>1.8181818181818181</v>
      </c>
      <c r="V130" s="532">
        <v>1.7636363636363634</v>
      </c>
      <c r="W130" s="532">
        <v>1.6090909090909089</v>
      </c>
      <c r="X130" s="532">
        <v>0</v>
      </c>
      <c r="Y130" s="532">
        <v>1.5545454545454545</v>
      </c>
      <c r="Z130" s="533"/>
      <c r="AA130" s="532"/>
      <c r="AB130" s="532"/>
      <c r="AC130" s="532"/>
      <c r="AD130" s="532"/>
      <c r="AE130" s="532"/>
      <c r="AF130" s="532"/>
      <c r="AG130" s="528" t="s">
        <v>1143</v>
      </c>
      <c r="AH130" s="528" t="s">
        <v>1144</v>
      </c>
      <c r="AI130" s="333">
        <v>2</v>
      </c>
      <c r="AJ130" s="333">
        <v>4</v>
      </c>
      <c r="AK130" s="480">
        <v>0.33329999999999999</v>
      </c>
      <c r="AL130" s="480">
        <v>0.66659999999999997</v>
      </c>
      <c r="AM130" s="525" t="s">
        <v>1124</v>
      </c>
      <c r="AN130" s="528">
        <v>21</v>
      </c>
      <c r="AO130" s="528">
        <v>0</v>
      </c>
      <c r="AP130" s="528">
        <v>0</v>
      </c>
      <c r="AQ130" s="528">
        <v>0</v>
      </c>
      <c r="AR130" s="528">
        <v>0</v>
      </c>
      <c r="AS130" s="528">
        <v>0</v>
      </c>
      <c r="AT130" s="528">
        <v>0</v>
      </c>
      <c r="AU130" s="528">
        <v>0</v>
      </c>
      <c r="AV130" s="528">
        <v>0</v>
      </c>
      <c r="AW130" s="528">
        <v>0</v>
      </c>
      <c r="AX130" s="528">
        <v>0</v>
      </c>
      <c r="AY130" s="528">
        <v>0</v>
      </c>
      <c r="AZ130" s="528"/>
      <c r="BA130" s="528" t="s">
        <v>1145</v>
      </c>
      <c r="BB130" s="528"/>
      <c r="BC130" s="528" t="s">
        <v>1145</v>
      </c>
      <c r="BD130" s="528"/>
      <c r="BE130" s="528"/>
      <c r="BF130" s="564"/>
      <c r="BG130" s="529"/>
      <c r="BH130" s="525"/>
      <c r="BI130" s="528"/>
      <c r="BJ130" s="528" t="s">
        <v>1146</v>
      </c>
      <c r="BK130" s="528"/>
      <c r="BL130" s="529"/>
      <c r="BM130" s="530"/>
      <c r="BN130" s="525" t="s">
        <v>1121</v>
      </c>
    </row>
    <row r="131" spans="1:66" ht="13" customHeight="1" x14ac:dyDescent="0.2">
      <c r="A131" s="451">
        <v>2679</v>
      </c>
      <c r="B131" s="527">
        <v>44208</v>
      </c>
      <c r="C131" s="526" t="s">
        <v>1138</v>
      </c>
      <c r="D131" s="525" t="s">
        <v>1115</v>
      </c>
      <c r="E131" s="527">
        <v>44013</v>
      </c>
      <c r="F131" s="529" t="s">
        <v>1173</v>
      </c>
      <c r="G131" s="525" t="s">
        <v>1481</v>
      </c>
      <c r="H131" s="340">
        <v>67</v>
      </c>
      <c r="I131" s="531" t="s">
        <v>1141</v>
      </c>
      <c r="J131" s="525">
        <v>6000</v>
      </c>
      <c r="K131" s="525">
        <v>12000</v>
      </c>
      <c r="L131" s="525">
        <v>84000</v>
      </c>
      <c r="M131" s="525">
        <v>84000</v>
      </c>
      <c r="N131" s="525"/>
      <c r="O131" s="340">
        <v>2.1818181818181817</v>
      </c>
      <c r="P131" s="340">
        <v>1.9818181818181817</v>
      </c>
      <c r="Q131" s="340">
        <v>1.8999999999999997</v>
      </c>
      <c r="R131" s="532">
        <v>0</v>
      </c>
      <c r="S131" s="532">
        <v>1.7909090909090908</v>
      </c>
      <c r="T131" s="532"/>
      <c r="U131" s="532">
        <v>1.7272727272727271</v>
      </c>
      <c r="V131" s="532">
        <v>1.5090909090909088</v>
      </c>
      <c r="W131" s="532">
        <v>1.3545454545454545</v>
      </c>
      <c r="X131" s="532">
        <v>0</v>
      </c>
      <c r="Y131" s="532">
        <v>1.2</v>
      </c>
      <c r="Z131" s="533"/>
      <c r="AA131" s="532"/>
      <c r="AB131" s="532"/>
      <c r="AC131" s="532"/>
      <c r="AD131" s="532"/>
      <c r="AE131" s="532"/>
      <c r="AF131" s="532"/>
      <c r="AG131" s="528" t="s">
        <v>1143</v>
      </c>
      <c r="AH131" s="528" t="s">
        <v>1144</v>
      </c>
      <c r="AI131" s="333">
        <v>2</v>
      </c>
      <c r="AJ131" s="333">
        <v>4</v>
      </c>
      <c r="AK131" s="480">
        <v>0.33329999999999999</v>
      </c>
      <c r="AL131" s="480">
        <v>0.66659999999999997</v>
      </c>
      <c r="AM131" s="525" t="s">
        <v>1124</v>
      </c>
      <c r="AN131" s="528">
        <v>0</v>
      </c>
      <c r="AO131" s="528">
        <v>0</v>
      </c>
      <c r="AP131" s="528">
        <v>0</v>
      </c>
      <c r="AQ131" s="528">
        <v>0</v>
      </c>
      <c r="AR131" s="528">
        <v>0</v>
      </c>
      <c r="AS131" s="528">
        <v>0</v>
      </c>
      <c r="AT131" s="528">
        <v>0</v>
      </c>
      <c r="AU131" s="528">
        <v>0</v>
      </c>
      <c r="AV131" s="528">
        <v>0</v>
      </c>
      <c r="AW131" s="528">
        <v>0</v>
      </c>
      <c r="AX131" s="528">
        <v>0</v>
      </c>
      <c r="AY131" s="528">
        <v>0</v>
      </c>
      <c r="AZ131" s="528"/>
      <c r="BA131" s="528" t="s">
        <v>1145</v>
      </c>
      <c r="BB131" s="528"/>
      <c r="BC131" s="528" t="s">
        <v>1145</v>
      </c>
      <c r="BD131" s="528"/>
      <c r="BE131" s="528"/>
      <c r="BF131" s="564"/>
      <c r="BG131" s="529"/>
      <c r="BH131" s="525"/>
      <c r="BI131" s="528"/>
      <c r="BJ131" s="528" t="s">
        <v>1164</v>
      </c>
      <c r="BK131" s="528"/>
      <c r="BL131" s="529"/>
      <c r="BM131" s="530" t="s">
        <v>1547</v>
      </c>
      <c r="BN131" s="525" t="s">
        <v>368</v>
      </c>
    </row>
    <row r="132" spans="1:66" ht="13" customHeight="1" x14ac:dyDescent="0.2">
      <c r="A132" s="451">
        <v>1688</v>
      </c>
      <c r="B132" s="527">
        <v>44208</v>
      </c>
      <c r="C132" s="526" t="s">
        <v>295</v>
      </c>
      <c r="D132" s="525" t="s">
        <v>1115</v>
      </c>
      <c r="E132" s="527">
        <v>44166</v>
      </c>
      <c r="F132" s="529" t="s">
        <v>1106</v>
      </c>
      <c r="G132" s="525" t="s">
        <v>2</v>
      </c>
      <c r="H132" s="340">
        <v>77.999999999999986</v>
      </c>
      <c r="I132" s="531" t="s">
        <v>296</v>
      </c>
      <c r="J132" s="525">
        <v>6000</v>
      </c>
      <c r="K132" s="525">
        <v>6000</v>
      </c>
      <c r="L132" s="525">
        <v>6000</v>
      </c>
      <c r="M132" s="525">
        <v>6000</v>
      </c>
      <c r="N132" s="525"/>
      <c r="O132" s="340">
        <v>1.8363636363636362</v>
      </c>
      <c r="P132" s="340">
        <v>0</v>
      </c>
      <c r="Q132" s="340">
        <v>0</v>
      </c>
      <c r="R132" s="532">
        <v>0</v>
      </c>
      <c r="S132" s="532">
        <v>1.5818181818181818</v>
      </c>
      <c r="T132" s="532"/>
      <c r="U132" s="532">
        <v>1.4181818181818182</v>
      </c>
      <c r="V132" s="532">
        <v>0</v>
      </c>
      <c r="W132" s="532">
        <v>0</v>
      </c>
      <c r="X132" s="532">
        <v>0</v>
      </c>
      <c r="Y132" s="532">
        <v>1.2999999999999998</v>
      </c>
      <c r="Z132" s="533"/>
      <c r="AA132" s="532"/>
      <c r="AB132" s="532"/>
      <c r="AC132" s="532"/>
      <c r="AD132" s="532"/>
      <c r="AE132" s="532"/>
      <c r="AF132" s="532"/>
      <c r="AG132" s="528" t="s">
        <v>1143</v>
      </c>
      <c r="AH132" s="528" t="s">
        <v>1144</v>
      </c>
      <c r="AI132" s="333">
        <v>2</v>
      </c>
      <c r="AJ132" s="333">
        <v>4</v>
      </c>
      <c r="AK132" s="480">
        <v>0.33329999999999999</v>
      </c>
      <c r="AL132" s="480">
        <v>0.66659999999999997</v>
      </c>
      <c r="AM132" s="525" t="s">
        <v>1124</v>
      </c>
      <c r="AN132" s="528">
        <v>0</v>
      </c>
      <c r="AO132" s="528">
        <v>0</v>
      </c>
      <c r="AP132" s="528">
        <v>0</v>
      </c>
      <c r="AQ132" s="528">
        <v>0</v>
      </c>
      <c r="AR132" s="528">
        <v>0</v>
      </c>
      <c r="AS132" s="528">
        <v>0</v>
      </c>
      <c r="AT132" s="528">
        <v>0</v>
      </c>
      <c r="AU132" s="528">
        <v>0</v>
      </c>
      <c r="AV132" s="528">
        <v>0</v>
      </c>
      <c r="AW132" s="528">
        <v>0</v>
      </c>
      <c r="AX132" s="528">
        <v>0</v>
      </c>
      <c r="AY132" s="528">
        <v>0</v>
      </c>
      <c r="AZ132" s="528"/>
      <c r="BA132" s="528" t="s">
        <v>1145</v>
      </c>
      <c r="BB132" s="528"/>
      <c r="BC132" s="528" t="s">
        <v>1145</v>
      </c>
      <c r="BD132" s="528"/>
      <c r="BE132" s="528"/>
      <c r="BF132" s="564"/>
      <c r="BG132" s="529"/>
      <c r="BH132" s="525"/>
      <c r="BI132" s="528"/>
      <c r="BJ132" s="528" t="s">
        <v>1146</v>
      </c>
      <c r="BK132" s="528">
        <v>1</v>
      </c>
      <c r="BL132" s="529"/>
      <c r="BM132" s="530" t="s">
        <v>1535</v>
      </c>
      <c r="BN132" s="525" t="s">
        <v>368</v>
      </c>
    </row>
    <row r="133" spans="1:66" ht="13" customHeight="1" x14ac:dyDescent="0.2">
      <c r="A133" s="451"/>
      <c r="B133" s="527">
        <v>44211</v>
      </c>
      <c r="C133" s="526" t="s">
        <v>1138</v>
      </c>
      <c r="D133" s="525" t="s">
        <v>1115</v>
      </c>
      <c r="E133" s="527">
        <v>44228</v>
      </c>
      <c r="F133" s="529" t="s">
        <v>34</v>
      </c>
      <c r="G133" s="525" t="s">
        <v>1181</v>
      </c>
      <c r="H133" s="340">
        <v>75.499999999999986</v>
      </c>
      <c r="I133" s="531"/>
      <c r="J133" s="525"/>
      <c r="K133" s="525"/>
      <c r="L133" s="525"/>
      <c r="M133" s="525"/>
      <c r="N133" s="525"/>
      <c r="O133" s="340">
        <v>1.8090909090909089</v>
      </c>
      <c r="P133" s="340">
        <v>0</v>
      </c>
      <c r="Q133" s="340">
        <v>0</v>
      </c>
      <c r="R133" s="532">
        <v>0</v>
      </c>
      <c r="S133" s="532">
        <v>0</v>
      </c>
      <c r="T133" s="532"/>
      <c r="U133" s="532">
        <v>1.5181818181818181</v>
      </c>
      <c r="V133" s="532">
        <v>0</v>
      </c>
      <c r="W133" s="532">
        <v>0</v>
      </c>
      <c r="X133" s="532">
        <v>0</v>
      </c>
      <c r="Y133" s="532">
        <v>0</v>
      </c>
      <c r="Z133" s="533"/>
      <c r="AA133" s="532"/>
      <c r="AB133" s="532"/>
      <c r="AC133" s="532"/>
      <c r="AD133" s="532"/>
      <c r="AE133" s="532"/>
      <c r="AF133" s="532"/>
      <c r="AG133" s="528" t="s">
        <v>1143</v>
      </c>
      <c r="AH133" s="528" t="s">
        <v>1144</v>
      </c>
      <c r="AI133" s="333">
        <v>2</v>
      </c>
      <c r="AJ133" s="333">
        <v>4</v>
      </c>
      <c r="AK133" s="480">
        <v>0.33329999999999999</v>
      </c>
      <c r="AL133" s="480">
        <v>0.66659999999999997</v>
      </c>
      <c r="AM133" s="525" t="s">
        <v>1124</v>
      </c>
      <c r="AN133" s="528">
        <v>0</v>
      </c>
      <c r="AO133" s="528">
        <v>0</v>
      </c>
      <c r="AP133" s="528">
        <v>0</v>
      </c>
      <c r="AQ133" s="528">
        <v>0</v>
      </c>
      <c r="AR133" s="528">
        <v>0</v>
      </c>
      <c r="AS133" s="528">
        <v>0</v>
      </c>
      <c r="AT133" s="528">
        <v>0</v>
      </c>
      <c r="AU133" s="528">
        <v>0</v>
      </c>
      <c r="AV133" s="528">
        <v>0</v>
      </c>
      <c r="AW133" s="528">
        <v>0</v>
      </c>
      <c r="AX133" s="528">
        <v>0</v>
      </c>
      <c r="AY133" s="528">
        <v>0</v>
      </c>
      <c r="AZ133" s="528"/>
      <c r="BA133" s="528" t="s">
        <v>1145</v>
      </c>
      <c r="BB133" s="528"/>
      <c r="BC133" s="528" t="s">
        <v>1145</v>
      </c>
      <c r="BD133" s="528"/>
      <c r="BE133" s="528"/>
      <c r="BF133" s="564"/>
      <c r="BG133" s="529"/>
      <c r="BH133" s="525"/>
      <c r="BI133" s="528"/>
      <c r="BJ133" s="528" t="s">
        <v>1164</v>
      </c>
      <c r="BK133" s="528"/>
      <c r="BL133" s="529" t="s">
        <v>1284</v>
      </c>
      <c r="BM133" s="530" t="s">
        <v>1557</v>
      </c>
      <c r="BN133" s="525" t="s">
        <v>1121</v>
      </c>
    </row>
    <row r="134" spans="1:66" ht="13" customHeight="1" x14ac:dyDescent="0.2">
      <c r="A134" s="451">
        <v>2742</v>
      </c>
      <c r="B134" s="527">
        <v>44208</v>
      </c>
      <c r="C134" s="526" t="s">
        <v>1138</v>
      </c>
      <c r="D134" s="525" t="s">
        <v>1115</v>
      </c>
      <c r="E134" s="527">
        <v>44197</v>
      </c>
      <c r="F134" s="529" t="s">
        <v>1274</v>
      </c>
      <c r="G134" s="525" t="s">
        <v>1467</v>
      </c>
      <c r="H134" s="340">
        <v>85.999999999999986</v>
      </c>
      <c r="I134" s="531" t="s">
        <v>1141</v>
      </c>
      <c r="J134" s="525">
        <v>6000</v>
      </c>
      <c r="K134" s="525">
        <v>12000</v>
      </c>
      <c r="L134" s="525">
        <v>12000</v>
      </c>
      <c r="M134" s="525">
        <v>12000</v>
      </c>
      <c r="N134" s="525"/>
      <c r="O134" s="340">
        <v>2.127272727272727</v>
      </c>
      <c r="P134" s="340">
        <v>1.9545454545454544</v>
      </c>
      <c r="Q134" s="340">
        <v>0</v>
      </c>
      <c r="R134" s="532">
        <v>0</v>
      </c>
      <c r="S134" s="532">
        <v>1.6181818181818182</v>
      </c>
      <c r="T134" s="532"/>
      <c r="U134" s="532">
        <v>2.127272727272727</v>
      </c>
      <c r="V134" s="532">
        <v>1.9545454545454544</v>
      </c>
      <c r="W134" s="532">
        <v>0</v>
      </c>
      <c r="X134" s="532">
        <v>0</v>
      </c>
      <c r="Y134" s="532">
        <v>1.6181818181818182</v>
      </c>
      <c r="Z134" s="533"/>
      <c r="AA134" s="532"/>
      <c r="AB134" s="532"/>
      <c r="AC134" s="532"/>
      <c r="AD134" s="532"/>
      <c r="AE134" s="532"/>
      <c r="AF134" s="532"/>
      <c r="AG134" s="528" t="s">
        <v>1145</v>
      </c>
      <c r="AH134" s="528"/>
      <c r="AI134" s="333">
        <v>3</v>
      </c>
      <c r="AJ134" s="333">
        <v>3</v>
      </c>
      <c r="AK134" s="480">
        <v>0.5</v>
      </c>
      <c r="AL134" s="480">
        <v>0.5</v>
      </c>
      <c r="AM134" s="525"/>
      <c r="AN134" s="528">
        <v>0</v>
      </c>
      <c r="AO134" s="528">
        <v>12</v>
      </c>
      <c r="AP134" s="528">
        <v>0</v>
      </c>
      <c r="AQ134" s="528">
        <v>3</v>
      </c>
      <c r="AR134" s="528">
        <v>0</v>
      </c>
      <c r="AS134" s="528">
        <v>0</v>
      </c>
      <c r="AT134" s="528">
        <v>0</v>
      </c>
      <c r="AU134" s="528">
        <v>0</v>
      </c>
      <c r="AV134" s="528">
        <v>0</v>
      </c>
      <c r="AW134" s="528">
        <v>0</v>
      </c>
      <c r="AX134" s="528">
        <v>0</v>
      </c>
      <c r="AY134" s="528">
        <v>0</v>
      </c>
      <c r="AZ134" s="528"/>
      <c r="BA134" s="528" t="s">
        <v>1145</v>
      </c>
      <c r="BB134" s="528"/>
      <c r="BC134" s="528" t="s">
        <v>1145</v>
      </c>
      <c r="BD134" s="528"/>
      <c r="BE134" s="528"/>
      <c r="BF134" s="564"/>
      <c r="BG134" s="529"/>
      <c r="BH134" s="525"/>
      <c r="BI134" s="528"/>
      <c r="BJ134" s="528" t="s">
        <v>1164</v>
      </c>
      <c r="BK134" s="528">
        <v>1</v>
      </c>
      <c r="BL134" s="529"/>
      <c r="BM134" s="530" t="s">
        <v>1530</v>
      </c>
      <c r="BN134" s="525" t="s">
        <v>408</v>
      </c>
    </row>
    <row r="135" spans="1:66" ht="13" customHeight="1" x14ac:dyDescent="0.2">
      <c r="A135" s="451">
        <v>2332</v>
      </c>
      <c r="B135" s="527">
        <v>44210</v>
      </c>
      <c r="C135" s="526" t="s">
        <v>1138</v>
      </c>
      <c r="D135" s="525" t="s">
        <v>1115</v>
      </c>
      <c r="E135" s="527">
        <v>44228</v>
      </c>
      <c r="F135" s="529" t="s">
        <v>1291</v>
      </c>
      <c r="G135" s="525" t="s">
        <v>1181</v>
      </c>
      <c r="H135" s="340">
        <v>80.336363636363629</v>
      </c>
      <c r="I135" s="531"/>
      <c r="J135" s="525"/>
      <c r="K135" s="525"/>
      <c r="L135" s="525"/>
      <c r="M135" s="525"/>
      <c r="N135" s="525"/>
      <c r="O135" s="340">
        <v>1.8090909090909089</v>
      </c>
      <c r="P135" s="340">
        <v>0</v>
      </c>
      <c r="Q135" s="340">
        <v>0</v>
      </c>
      <c r="R135" s="532">
        <v>0</v>
      </c>
      <c r="S135" s="532">
        <v>0</v>
      </c>
      <c r="T135" s="532"/>
      <c r="U135" s="532">
        <v>1.4909090909090907</v>
      </c>
      <c r="V135" s="532">
        <v>0</v>
      </c>
      <c r="W135" s="532">
        <v>0</v>
      </c>
      <c r="X135" s="532">
        <v>0</v>
      </c>
      <c r="Y135" s="532">
        <v>0</v>
      </c>
      <c r="Z135" s="533"/>
      <c r="AA135" s="532"/>
      <c r="AB135" s="532"/>
      <c r="AC135" s="532"/>
      <c r="AD135" s="532"/>
      <c r="AE135" s="532"/>
      <c r="AF135" s="532"/>
      <c r="AG135" s="528" t="s">
        <v>1143</v>
      </c>
      <c r="AH135" s="528" t="s">
        <v>1144</v>
      </c>
      <c r="AI135" s="333">
        <v>2</v>
      </c>
      <c r="AJ135" s="333">
        <v>4</v>
      </c>
      <c r="AK135" s="480">
        <v>0.33329999999999999</v>
      </c>
      <c r="AL135" s="480">
        <v>0.66659999999999997</v>
      </c>
      <c r="AM135" s="525" t="s">
        <v>1124</v>
      </c>
      <c r="AN135" s="528">
        <v>0</v>
      </c>
      <c r="AO135" s="528">
        <v>0</v>
      </c>
      <c r="AP135" s="528">
        <v>0</v>
      </c>
      <c r="AQ135" s="528">
        <v>0</v>
      </c>
      <c r="AR135" s="528">
        <v>0</v>
      </c>
      <c r="AS135" s="528">
        <v>0</v>
      </c>
      <c r="AT135" s="528">
        <v>0</v>
      </c>
      <c r="AU135" s="528">
        <v>0</v>
      </c>
      <c r="AV135" s="528">
        <v>0</v>
      </c>
      <c r="AW135" s="528">
        <v>0</v>
      </c>
      <c r="AX135" s="528">
        <v>0</v>
      </c>
      <c r="AY135" s="528">
        <v>0</v>
      </c>
      <c r="AZ135" s="528"/>
      <c r="BA135" s="528" t="s">
        <v>1145</v>
      </c>
      <c r="BB135" s="528"/>
      <c r="BC135" s="528" t="s">
        <v>1145</v>
      </c>
      <c r="BD135" s="528"/>
      <c r="BE135" s="528"/>
      <c r="BF135" s="564"/>
      <c r="BG135" s="529"/>
      <c r="BH135" s="525"/>
      <c r="BI135" s="528"/>
      <c r="BJ135" s="528" t="s">
        <v>4</v>
      </c>
      <c r="BK135" s="528"/>
      <c r="BL135" s="529" t="s">
        <v>1284</v>
      </c>
      <c r="BM135" s="530" t="s">
        <v>1555</v>
      </c>
      <c r="BN135" s="525" t="s">
        <v>408</v>
      </c>
    </row>
    <row r="136" spans="1:66" ht="13" customHeight="1" x14ac:dyDescent="0.2">
      <c r="A136" s="451"/>
      <c r="B136" s="527">
        <v>44209</v>
      </c>
      <c r="C136" s="526" t="s">
        <v>10</v>
      </c>
      <c r="D136" s="525" t="s">
        <v>1115</v>
      </c>
      <c r="E136" s="527">
        <v>44153</v>
      </c>
      <c r="F136" s="529" t="s">
        <v>1483</v>
      </c>
      <c r="G136" s="525" t="s">
        <v>1550</v>
      </c>
      <c r="H136" s="340">
        <v>99.999999999999986</v>
      </c>
      <c r="I136" s="531" t="s">
        <v>296</v>
      </c>
      <c r="J136" s="525">
        <v>6000</v>
      </c>
      <c r="K136" s="525">
        <v>12000</v>
      </c>
      <c r="L136" s="525">
        <v>84000</v>
      </c>
      <c r="M136" s="525">
        <v>84000</v>
      </c>
      <c r="N136" s="525"/>
      <c r="O136" s="340">
        <v>1.6545454545454545</v>
      </c>
      <c r="P136" s="340">
        <v>1.4545454545454546</v>
      </c>
      <c r="Q136" s="340">
        <v>1.2</v>
      </c>
      <c r="R136" s="532">
        <v>0</v>
      </c>
      <c r="S136" s="532">
        <v>1.0999999999999999</v>
      </c>
      <c r="T136" s="532"/>
      <c r="U136" s="532">
        <v>1.2999999999999998</v>
      </c>
      <c r="V136" s="532">
        <v>1.2</v>
      </c>
      <c r="W136" s="532">
        <v>1.1545454545454545</v>
      </c>
      <c r="X136" s="532">
        <v>0</v>
      </c>
      <c r="Y136" s="532">
        <v>1.0545454545454545</v>
      </c>
      <c r="Z136" s="533"/>
      <c r="AA136" s="532"/>
      <c r="AB136" s="532"/>
      <c r="AC136" s="532"/>
      <c r="AD136" s="532"/>
      <c r="AE136" s="532"/>
      <c r="AF136" s="532"/>
      <c r="AG136" s="528" t="s">
        <v>1116</v>
      </c>
      <c r="AH136" s="528" t="s">
        <v>1117</v>
      </c>
      <c r="AI136" s="333">
        <v>2</v>
      </c>
      <c r="AJ136" s="333">
        <v>4</v>
      </c>
      <c r="AK136" s="480">
        <v>0.33329999999999999</v>
      </c>
      <c r="AL136" s="480">
        <v>0.66659999999999997</v>
      </c>
      <c r="AM136" s="525" t="s">
        <v>1124</v>
      </c>
      <c r="AN136" s="528">
        <v>0</v>
      </c>
      <c r="AO136" s="528">
        <v>0</v>
      </c>
      <c r="AP136" s="528">
        <v>0</v>
      </c>
      <c r="AQ136" s="528">
        <v>0</v>
      </c>
      <c r="AR136" s="528">
        <v>0</v>
      </c>
      <c r="AS136" s="528">
        <v>0</v>
      </c>
      <c r="AT136" s="528">
        <v>0</v>
      </c>
      <c r="AU136" s="528">
        <v>0</v>
      </c>
      <c r="AV136" s="528">
        <v>0</v>
      </c>
      <c r="AW136" s="528">
        <v>0</v>
      </c>
      <c r="AX136" s="528">
        <v>0</v>
      </c>
      <c r="AY136" s="528">
        <v>0</v>
      </c>
      <c r="AZ136" s="528"/>
      <c r="BA136" s="528" t="s">
        <v>38</v>
      </c>
      <c r="BB136" s="528"/>
      <c r="BC136" s="528" t="s">
        <v>38</v>
      </c>
      <c r="BD136" s="528"/>
      <c r="BE136" s="528">
        <v>12</v>
      </c>
      <c r="BF136" s="564"/>
      <c r="BG136" s="529"/>
      <c r="BH136" s="525"/>
      <c r="BI136" s="528"/>
      <c r="BJ136" s="528" t="s">
        <v>43</v>
      </c>
      <c r="BK136" s="528"/>
      <c r="BL136" s="529"/>
      <c r="BM136" s="530" t="s">
        <v>430</v>
      </c>
      <c r="BN136" s="525" t="s">
        <v>1121</v>
      </c>
    </row>
  </sheetData>
  <sheetProtection algorithmName="SHA-512" hashValue="Q8paoDAym8/ZJQwA2JKrgBATBk8yye6W9FMwiHVqm7Gh17KVhrOdxoi6VHqFbIVi09SxPlGzjT/DpQm2TAskbA==" saltValue="9YU1rlAgpjbfDQeMyo4H2A==" spinCount="100000" sheet="1" objects="1" scenarios="1"/>
  <hyperlinks>
    <hyperlink ref="BM5" r:id="rId1" xr:uid="{97DACC35-132E-9245-95E1-CFC86F138C89}"/>
    <hyperlink ref="BM9" r:id="rId2" xr:uid="{0FBE893D-AED6-A147-AA06-1FFE87DE73DE}"/>
    <hyperlink ref="BM22" r:id="rId3" xr:uid="{175C9088-4C66-D94D-8429-52D4BABAB5B9}"/>
    <hyperlink ref="BM27" r:id="rId4" xr:uid="{66482752-D60B-2846-901C-AC0DC2CCB8B3}"/>
    <hyperlink ref="BM26" r:id="rId5" xr:uid="{8F480ABF-A639-3944-BC1A-AE091C114409}"/>
    <hyperlink ref="BM44" r:id="rId6" xr:uid="{9B40FE38-DE03-544E-9755-F143D2012707}"/>
    <hyperlink ref="BM43" r:id="rId7" xr:uid="{67E62BDB-43A4-F140-ADFE-DD2A41E2E763}"/>
    <hyperlink ref="BM61" r:id="rId8" xr:uid="{16599371-039D-5740-A469-38EC416E5348}"/>
    <hyperlink ref="BM78" r:id="rId9" xr:uid="{2991BCAA-DA8C-954B-964F-2FD9D9DC69E2}"/>
    <hyperlink ref="BM77" r:id="rId10" xr:uid="{7A3BF9FF-031E-4A44-8375-7961245F2B00}"/>
    <hyperlink ref="BM90" r:id="rId11" xr:uid="{5E2F1FEC-D73C-E143-BDE6-4164AE844662}"/>
    <hyperlink ref="BM94" r:id="rId12" xr:uid="{374A18CD-D9FD-1444-AD0B-ECF40DD069DE}"/>
    <hyperlink ref="BM93" r:id="rId13" xr:uid="{71D40556-3713-324B-971B-51457735A399}"/>
    <hyperlink ref="BM106" r:id="rId14" xr:uid="{1D27275D-8A58-8C4E-955C-FF7E625C9BF5}"/>
    <hyperlink ref="BM111" r:id="rId15" xr:uid="{37ACC172-7176-234A-AAA2-BD17494F488E}"/>
    <hyperlink ref="BM110" r:id="rId16" xr:uid="{CA798A50-4058-FE47-AEE8-EE30CE5F4185}"/>
    <hyperlink ref="BM123" r:id="rId17" xr:uid="{3F49816C-85DE-F24B-9588-1918893791E9}"/>
    <hyperlink ref="BM128" r:id="rId18" xr:uid="{64FC047F-1B2D-2D4D-A320-FD7DBCC515A3}"/>
    <hyperlink ref="BM127" r:id="rId19" xr:uid="{6F0AA29B-548F-4C4D-A2B1-2E1C638A9D0A}"/>
    <hyperlink ref="BM32" r:id="rId20" xr:uid="{CC72D6B3-D461-8A4A-8B94-53405D338F6C}"/>
  </hyperlinks>
  <pageMargins left="0.75" right="0.75" top="1" bottom="1" header="0.5" footer="0.5"/>
  <pageSetup paperSize="10" orientation="portrait" horizontalDpi="4294967292" verticalDpi="4294967292"/>
  <legacyDrawing r:id="rId2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63E0-A53B-5A4F-BD94-905A62864FCD}">
  <sheetPr codeName="Sheet66"/>
  <dimension ref="A1:BO136"/>
  <sheetViews>
    <sheetView zoomScaleNormal="100" zoomScalePageLayoutView="130" workbookViewId="0">
      <selection activeCell="A2" sqref="A2:XFD35"/>
    </sheetView>
  </sheetViews>
  <sheetFormatPr baseColWidth="10" defaultColWidth="11.5" defaultRowHeight="13" x14ac:dyDescent="0.15"/>
  <cols>
    <col min="1" max="1" width="8.1640625" customWidth="1"/>
    <col min="2" max="2" width="10.5" bestFit="1" customWidth="1"/>
    <col min="3" max="3" width="6.33203125" customWidth="1"/>
    <col min="4" max="4" width="23.33203125" bestFit="1" customWidth="1"/>
    <col min="5" max="5" width="8.5" bestFit="1" customWidth="1"/>
    <col min="6" max="6" width="17" bestFit="1" customWidth="1"/>
    <col min="7" max="7" width="21.83203125" bestFit="1" customWidth="1"/>
    <col min="8" max="8" width="7.5" bestFit="1" customWidth="1"/>
    <col min="9" max="9" width="13" customWidth="1"/>
    <col min="10" max="10" width="9.1640625" bestFit="1" customWidth="1"/>
    <col min="11" max="11" width="9.6640625" bestFit="1" customWidth="1"/>
    <col min="12" max="14" width="9.33203125" bestFit="1" customWidth="1"/>
    <col min="15" max="20" width="10.6640625" bestFit="1" customWidth="1"/>
    <col min="22" max="26" width="9.1640625" bestFit="1" customWidth="1"/>
    <col min="27" max="27" width="11.33203125" bestFit="1" customWidth="1"/>
    <col min="28" max="28" width="10.6640625" bestFit="1" customWidth="1"/>
    <col min="53" max="53" width="50.6640625" customWidth="1"/>
    <col min="54" max="54" width="12.1640625" customWidth="1"/>
    <col min="55" max="55" width="10.83203125" customWidth="1"/>
    <col min="57" max="57" width="20.5" customWidth="1"/>
    <col min="58" max="58" width="14" bestFit="1" customWidth="1"/>
    <col min="59" max="59" width="9.5" bestFit="1" customWidth="1"/>
    <col min="60" max="60" width="8.83203125" bestFit="1" customWidth="1"/>
    <col min="61" max="61" width="9" bestFit="1" customWidth="1"/>
    <col min="62" max="62" width="9.5" bestFit="1" customWidth="1"/>
    <col min="63" max="63" width="11" bestFit="1" customWidth="1"/>
  </cols>
  <sheetData>
    <row r="1" spans="1:67" ht="71" x14ac:dyDescent="0.2">
      <c r="A1" s="429" t="s">
        <v>443</v>
      </c>
      <c r="B1" s="429" t="s">
        <v>444</v>
      </c>
      <c r="C1" s="430" t="s">
        <v>445</v>
      </c>
      <c r="D1" s="431" t="s">
        <v>446</v>
      </c>
      <c r="E1" s="429" t="s">
        <v>447</v>
      </c>
      <c r="F1" s="430" t="s">
        <v>725</v>
      </c>
      <c r="G1" s="431" t="s">
        <v>448</v>
      </c>
      <c r="H1" s="432" t="s">
        <v>449</v>
      </c>
      <c r="I1" s="433" t="s">
        <v>1247</v>
      </c>
      <c r="J1" s="433" t="s">
        <v>1248</v>
      </c>
      <c r="K1" s="433" t="s">
        <v>1249</v>
      </c>
      <c r="L1" s="433" t="s">
        <v>1250</v>
      </c>
      <c r="M1" s="433" t="s">
        <v>1251</v>
      </c>
      <c r="N1" s="434" t="s">
        <v>1252</v>
      </c>
      <c r="O1" s="435" t="s">
        <v>1253</v>
      </c>
      <c r="P1" s="435" t="s">
        <v>1254</v>
      </c>
      <c r="Q1" s="435" t="s">
        <v>1255</v>
      </c>
      <c r="R1" s="435" t="s">
        <v>1256</v>
      </c>
      <c r="S1" s="435" t="s">
        <v>1257</v>
      </c>
      <c r="T1" s="435" t="s">
        <v>1258</v>
      </c>
      <c r="U1" s="436" t="s">
        <v>1259</v>
      </c>
      <c r="V1" s="436" t="s">
        <v>1260</v>
      </c>
      <c r="W1" s="436" t="s">
        <v>1261</v>
      </c>
      <c r="X1" s="436" t="s">
        <v>1262</v>
      </c>
      <c r="Y1" s="436" t="s">
        <v>1263</v>
      </c>
      <c r="Z1" s="436" t="s">
        <v>1264</v>
      </c>
      <c r="AA1" s="437" t="s">
        <v>1265</v>
      </c>
      <c r="AB1" s="437" t="s">
        <v>1266</v>
      </c>
      <c r="AC1" s="437" t="s">
        <v>1267</v>
      </c>
      <c r="AD1" s="437" t="s">
        <v>1268</v>
      </c>
      <c r="AE1" s="437" t="s">
        <v>1269</v>
      </c>
      <c r="AF1" s="437" t="s">
        <v>1270</v>
      </c>
      <c r="AG1" s="438" t="s">
        <v>474</v>
      </c>
      <c r="AH1" s="438" t="s">
        <v>475</v>
      </c>
      <c r="AI1" s="438" t="s">
        <v>476</v>
      </c>
      <c r="AJ1" s="438" t="s">
        <v>477</v>
      </c>
      <c r="AK1" s="479" t="s">
        <v>478</v>
      </c>
      <c r="AL1" s="479" t="s">
        <v>479</v>
      </c>
      <c r="AM1" s="439" t="s">
        <v>1099</v>
      </c>
      <c r="AN1" s="440" t="s">
        <v>480</v>
      </c>
      <c r="AO1" s="441" t="s">
        <v>481</v>
      </c>
      <c r="AP1" s="440" t="s">
        <v>482</v>
      </c>
      <c r="AQ1" s="442" t="s">
        <v>483</v>
      </c>
      <c r="AR1" s="443" t="s">
        <v>484</v>
      </c>
      <c r="AS1" s="442" t="s">
        <v>485</v>
      </c>
      <c r="AT1" s="444" t="s">
        <v>1271</v>
      </c>
      <c r="AU1" s="445" t="s">
        <v>1272</v>
      </c>
      <c r="AV1" s="444" t="s">
        <v>36</v>
      </c>
      <c r="AW1" s="445" t="s">
        <v>37</v>
      </c>
      <c r="AX1" s="443" t="s">
        <v>384</v>
      </c>
      <c r="AY1" s="446" t="s">
        <v>385</v>
      </c>
      <c r="AZ1" s="429" t="s">
        <v>386</v>
      </c>
      <c r="BA1" s="447" t="s">
        <v>387</v>
      </c>
      <c r="BB1" s="448" t="s">
        <v>388</v>
      </c>
      <c r="BC1" s="447" t="s">
        <v>389</v>
      </c>
      <c r="BD1" s="447" t="s">
        <v>390</v>
      </c>
      <c r="BE1" s="447" t="s">
        <v>1136</v>
      </c>
      <c r="BF1" s="447" t="s">
        <v>1137</v>
      </c>
      <c r="BG1" s="429" t="s">
        <v>391</v>
      </c>
      <c r="BH1" s="430" t="s">
        <v>392</v>
      </c>
      <c r="BI1" s="447" t="s">
        <v>393</v>
      </c>
      <c r="BJ1" s="447" t="s">
        <v>394</v>
      </c>
      <c r="BK1" s="449" t="s">
        <v>1273</v>
      </c>
      <c r="BL1" s="430" t="s">
        <v>395</v>
      </c>
      <c r="BM1" s="447" t="s">
        <v>396</v>
      </c>
      <c r="BN1" s="429" t="s">
        <v>397</v>
      </c>
      <c r="BO1" s="450"/>
    </row>
    <row r="2" spans="1:67" ht="13" customHeight="1" x14ac:dyDescent="0.2">
      <c r="A2" s="451">
        <v>2381</v>
      </c>
      <c r="B2" s="452">
        <v>44028</v>
      </c>
      <c r="C2" s="453" t="s">
        <v>295</v>
      </c>
      <c r="D2" s="454" t="s">
        <v>1100</v>
      </c>
      <c r="E2" s="452">
        <v>44013</v>
      </c>
      <c r="F2" s="455" t="s">
        <v>1044</v>
      </c>
      <c r="G2" s="454" t="s">
        <v>1277</v>
      </c>
      <c r="H2" s="456">
        <v>78.06</v>
      </c>
      <c r="I2" s="458" t="s">
        <v>296</v>
      </c>
      <c r="J2" s="459">
        <v>3000</v>
      </c>
      <c r="K2" s="459">
        <v>6000</v>
      </c>
      <c r="L2" s="459">
        <v>9000</v>
      </c>
      <c r="M2" s="459">
        <v>15000</v>
      </c>
      <c r="N2" s="454"/>
      <c r="O2" s="456">
        <v>2.02</v>
      </c>
      <c r="P2" s="456">
        <v>1.79</v>
      </c>
      <c r="Q2" s="456">
        <v>1.44</v>
      </c>
      <c r="R2" s="456">
        <v>1.25</v>
      </c>
      <c r="S2" s="456">
        <v>1.1599999999999999</v>
      </c>
      <c r="T2" s="457" t="s">
        <v>1395</v>
      </c>
      <c r="U2" s="456">
        <v>1.92</v>
      </c>
      <c r="V2" s="456">
        <v>1.69</v>
      </c>
      <c r="W2" s="456">
        <v>1.39</v>
      </c>
      <c r="X2" s="456">
        <v>1.23</v>
      </c>
      <c r="Y2" s="456">
        <v>1.1399999999999999</v>
      </c>
      <c r="Z2" s="456" t="s">
        <v>1395</v>
      </c>
      <c r="AA2" s="456" t="s">
        <v>1395</v>
      </c>
      <c r="AB2" s="456" t="s">
        <v>1395</v>
      </c>
      <c r="AC2" s="456" t="s">
        <v>1395</v>
      </c>
      <c r="AD2" s="456" t="s">
        <v>1395</v>
      </c>
      <c r="AE2" s="456" t="s">
        <v>1395</v>
      </c>
      <c r="AF2" s="456"/>
      <c r="AG2" s="460" t="s">
        <v>297</v>
      </c>
      <c r="AH2" s="460" t="s">
        <v>298</v>
      </c>
      <c r="AI2" s="460">
        <v>3</v>
      </c>
      <c r="AJ2" s="460">
        <v>3</v>
      </c>
      <c r="AK2" s="480">
        <v>0.5</v>
      </c>
      <c r="AL2" s="480">
        <v>0.5</v>
      </c>
      <c r="AM2" s="454" t="s">
        <v>1118</v>
      </c>
      <c r="AN2" s="460">
        <v>0</v>
      </c>
      <c r="AO2" s="460">
        <v>0</v>
      </c>
      <c r="AP2" s="460">
        <v>0</v>
      </c>
      <c r="AQ2" s="460">
        <v>0</v>
      </c>
      <c r="AR2" s="460">
        <v>0</v>
      </c>
      <c r="AS2" s="460">
        <v>0</v>
      </c>
      <c r="AT2" s="460">
        <v>0</v>
      </c>
      <c r="AU2" s="460">
        <v>0</v>
      </c>
      <c r="AV2" s="460">
        <v>0</v>
      </c>
      <c r="AW2" s="460">
        <v>0</v>
      </c>
      <c r="AX2" s="460">
        <v>0</v>
      </c>
      <c r="AY2" s="460">
        <v>0</v>
      </c>
      <c r="AZ2" s="454"/>
      <c r="BA2" s="460" t="s">
        <v>1278</v>
      </c>
      <c r="BB2" s="460"/>
      <c r="BC2" s="460" t="s">
        <v>1278</v>
      </c>
      <c r="BD2" s="460"/>
      <c r="BE2" s="460"/>
      <c r="BF2" s="460"/>
      <c r="BG2" s="455"/>
      <c r="BH2" s="454"/>
      <c r="BI2" s="460"/>
      <c r="BJ2" s="460" t="s">
        <v>4</v>
      </c>
      <c r="BK2" s="460"/>
      <c r="BL2" s="455"/>
      <c r="BM2" s="481" t="s">
        <v>1396</v>
      </c>
      <c r="BN2" s="454" t="s">
        <v>368</v>
      </c>
      <c r="BO2" s="450"/>
    </row>
    <row r="3" spans="1:67" ht="13" customHeight="1" x14ac:dyDescent="0.2">
      <c r="A3" s="451">
        <v>2503</v>
      </c>
      <c r="B3" s="452">
        <v>44029</v>
      </c>
      <c r="C3" s="453" t="s">
        <v>295</v>
      </c>
      <c r="D3" s="454" t="s">
        <v>1100</v>
      </c>
      <c r="E3" s="452">
        <v>44013</v>
      </c>
      <c r="F3" s="455" t="s">
        <v>1046</v>
      </c>
      <c r="G3" s="454" t="s">
        <v>1280</v>
      </c>
      <c r="H3" s="456">
        <v>69</v>
      </c>
      <c r="I3" s="458" t="s">
        <v>296</v>
      </c>
      <c r="J3" s="459">
        <v>3000</v>
      </c>
      <c r="K3" s="459">
        <v>6000</v>
      </c>
      <c r="L3" s="459">
        <v>6000</v>
      </c>
      <c r="M3" s="459">
        <v>6000</v>
      </c>
      <c r="N3" s="454"/>
      <c r="O3" s="456">
        <v>2.1</v>
      </c>
      <c r="P3" s="456">
        <v>1.9</v>
      </c>
      <c r="Q3" s="482">
        <v>0</v>
      </c>
      <c r="R3" s="456">
        <v>0</v>
      </c>
      <c r="S3" s="456">
        <v>1.5</v>
      </c>
      <c r="T3" s="457" t="s">
        <v>1395</v>
      </c>
      <c r="U3" s="456">
        <v>2.1</v>
      </c>
      <c r="V3" s="456">
        <v>1.8</v>
      </c>
      <c r="W3" s="482">
        <v>0</v>
      </c>
      <c r="X3" s="456">
        <v>0</v>
      </c>
      <c r="Y3" s="456">
        <v>1.5</v>
      </c>
      <c r="Z3" s="456" t="s">
        <v>1395</v>
      </c>
      <c r="AA3" s="456" t="s">
        <v>1395</v>
      </c>
      <c r="AB3" s="456" t="s">
        <v>1395</v>
      </c>
      <c r="AC3" s="456" t="s">
        <v>1395</v>
      </c>
      <c r="AD3" s="456" t="s">
        <v>1395</v>
      </c>
      <c r="AE3" s="456" t="s">
        <v>1395</v>
      </c>
      <c r="AF3" s="456"/>
      <c r="AG3" s="460" t="s">
        <v>297</v>
      </c>
      <c r="AH3" s="460" t="s">
        <v>298</v>
      </c>
      <c r="AI3" s="460">
        <v>3</v>
      </c>
      <c r="AJ3" s="460">
        <v>3</v>
      </c>
      <c r="AK3" s="480">
        <v>0.5</v>
      </c>
      <c r="AL3" s="480">
        <v>0.5</v>
      </c>
      <c r="AM3" s="454" t="s">
        <v>1118</v>
      </c>
      <c r="AN3" s="460">
        <v>0</v>
      </c>
      <c r="AO3" s="460">
        <v>0</v>
      </c>
      <c r="AP3" s="460">
        <v>0</v>
      </c>
      <c r="AQ3" s="460">
        <v>0</v>
      </c>
      <c r="AR3" s="460">
        <v>0</v>
      </c>
      <c r="AS3" s="460">
        <v>0</v>
      </c>
      <c r="AT3" s="460">
        <v>0</v>
      </c>
      <c r="AU3" s="460">
        <v>0</v>
      </c>
      <c r="AV3" s="460">
        <v>0</v>
      </c>
      <c r="AW3" s="460">
        <v>0</v>
      </c>
      <c r="AX3" s="460">
        <v>0</v>
      </c>
      <c r="AY3" s="460">
        <v>0</v>
      </c>
      <c r="AZ3" s="454"/>
      <c r="BA3" s="460" t="s">
        <v>1278</v>
      </c>
      <c r="BB3" s="460"/>
      <c r="BC3" s="460" t="s">
        <v>1278</v>
      </c>
      <c r="BD3" s="460"/>
      <c r="BE3" s="460"/>
      <c r="BF3" s="460"/>
      <c r="BG3" s="455"/>
      <c r="BH3" s="454"/>
      <c r="BI3" s="460"/>
      <c r="BJ3" s="460" t="s">
        <v>4</v>
      </c>
      <c r="BK3" s="460"/>
      <c r="BL3" s="455"/>
      <c r="BM3" s="481" t="s">
        <v>430</v>
      </c>
      <c r="BN3" s="454" t="s">
        <v>368</v>
      </c>
      <c r="BO3" s="450"/>
    </row>
    <row r="4" spans="1:67" ht="13" customHeight="1" x14ac:dyDescent="0.2">
      <c r="A4" s="451">
        <v>2610</v>
      </c>
      <c r="B4" s="452">
        <v>44028</v>
      </c>
      <c r="C4" s="453" t="s">
        <v>295</v>
      </c>
      <c r="D4" s="454" t="s">
        <v>1100</v>
      </c>
      <c r="E4" s="452">
        <v>43910</v>
      </c>
      <c r="F4" s="455" t="s">
        <v>1048</v>
      </c>
      <c r="G4" s="454" t="s">
        <v>1397</v>
      </c>
      <c r="H4" s="456">
        <v>49.98</v>
      </c>
      <c r="I4" s="458" t="s">
        <v>296</v>
      </c>
      <c r="J4" s="459">
        <v>3000</v>
      </c>
      <c r="K4" s="459">
        <v>6000</v>
      </c>
      <c r="L4" s="459">
        <v>9000</v>
      </c>
      <c r="M4" s="459">
        <v>15000</v>
      </c>
      <c r="N4" s="454"/>
      <c r="O4" s="456">
        <v>2.15</v>
      </c>
      <c r="P4" s="456">
        <v>1.85</v>
      </c>
      <c r="Q4" s="456">
        <v>1.6</v>
      </c>
      <c r="R4" s="456">
        <v>1.5</v>
      </c>
      <c r="S4" s="456">
        <v>1.47</v>
      </c>
      <c r="T4" s="457" t="s">
        <v>1395</v>
      </c>
      <c r="U4" s="456">
        <v>2.15</v>
      </c>
      <c r="V4" s="456">
        <v>1.89</v>
      </c>
      <c r="W4" s="456">
        <v>1.64</v>
      </c>
      <c r="X4" s="456">
        <v>1.5</v>
      </c>
      <c r="Y4" s="456">
        <v>1.44</v>
      </c>
      <c r="Z4" s="456" t="s">
        <v>1395</v>
      </c>
      <c r="AA4" s="456" t="s">
        <v>1395</v>
      </c>
      <c r="AB4" s="456" t="s">
        <v>1395</v>
      </c>
      <c r="AC4" s="456" t="s">
        <v>1395</v>
      </c>
      <c r="AD4" s="456" t="s">
        <v>1395</v>
      </c>
      <c r="AE4" s="456" t="s">
        <v>1395</v>
      </c>
      <c r="AF4" s="456"/>
      <c r="AG4" s="460" t="s">
        <v>297</v>
      </c>
      <c r="AH4" s="460" t="s">
        <v>298</v>
      </c>
      <c r="AI4" s="460">
        <v>3</v>
      </c>
      <c r="AJ4" s="460">
        <v>3</v>
      </c>
      <c r="AK4" s="480">
        <v>0.5</v>
      </c>
      <c r="AL4" s="480">
        <v>0.5</v>
      </c>
      <c r="AM4" s="454" t="s">
        <v>1118</v>
      </c>
      <c r="AN4" s="460">
        <v>0</v>
      </c>
      <c r="AO4" s="460">
        <v>0</v>
      </c>
      <c r="AP4" s="460">
        <v>0</v>
      </c>
      <c r="AQ4" s="460">
        <v>0</v>
      </c>
      <c r="AR4" s="460">
        <v>0</v>
      </c>
      <c r="AS4" s="460">
        <v>0</v>
      </c>
      <c r="AT4" s="460">
        <v>0</v>
      </c>
      <c r="AU4" s="460">
        <v>0</v>
      </c>
      <c r="AV4" s="460">
        <v>0</v>
      </c>
      <c r="AW4" s="460">
        <v>0</v>
      </c>
      <c r="AX4" s="460">
        <v>0</v>
      </c>
      <c r="AY4" s="460">
        <v>0</v>
      </c>
      <c r="AZ4" s="454"/>
      <c r="BA4" s="460" t="s">
        <v>1278</v>
      </c>
      <c r="BB4" s="460"/>
      <c r="BC4" s="460" t="s">
        <v>1278</v>
      </c>
      <c r="BD4" s="460"/>
      <c r="BE4" s="460"/>
      <c r="BF4" s="460"/>
      <c r="BG4" s="455"/>
      <c r="BH4" s="454"/>
      <c r="BI4" s="460"/>
      <c r="BJ4" s="460" t="s">
        <v>4</v>
      </c>
      <c r="BK4" s="460">
        <v>1</v>
      </c>
      <c r="BL4" s="455"/>
      <c r="BM4" s="481" t="s">
        <v>1398</v>
      </c>
      <c r="BN4" s="454" t="s">
        <v>368</v>
      </c>
      <c r="BO4" s="450"/>
    </row>
    <row r="5" spans="1:67" ht="13" customHeight="1" x14ac:dyDescent="0.2">
      <c r="A5" s="451">
        <v>2312</v>
      </c>
      <c r="B5" s="452">
        <v>44032</v>
      </c>
      <c r="C5" s="453" t="s">
        <v>295</v>
      </c>
      <c r="D5" s="454" t="s">
        <v>1100</v>
      </c>
      <c r="E5" s="452">
        <v>43831</v>
      </c>
      <c r="F5" s="455" t="s">
        <v>1050</v>
      </c>
      <c r="G5" s="454" t="s">
        <v>418</v>
      </c>
      <c r="H5" s="456">
        <v>78</v>
      </c>
      <c r="I5" s="458" t="s">
        <v>296</v>
      </c>
      <c r="J5" s="459">
        <v>3000</v>
      </c>
      <c r="K5" s="459">
        <v>6000</v>
      </c>
      <c r="L5" s="459">
        <v>9000</v>
      </c>
      <c r="M5" s="459">
        <v>15000</v>
      </c>
      <c r="N5" s="454"/>
      <c r="O5" s="456">
        <v>2.9</v>
      </c>
      <c r="P5" s="456">
        <v>2.61</v>
      </c>
      <c r="Q5" s="456">
        <v>2.4</v>
      </c>
      <c r="R5" s="456">
        <v>2.2000000000000002</v>
      </c>
      <c r="S5" s="456">
        <v>2</v>
      </c>
      <c r="T5" s="457" t="s">
        <v>1395</v>
      </c>
      <c r="U5" s="456">
        <v>2.7</v>
      </c>
      <c r="V5" s="456">
        <v>2.54</v>
      </c>
      <c r="W5" s="456">
        <v>2.1</v>
      </c>
      <c r="X5" s="456">
        <v>1.9</v>
      </c>
      <c r="Y5" s="456">
        <v>1.7</v>
      </c>
      <c r="Z5" s="456" t="s">
        <v>1395</v>
      </c>
      <c r="AA5" s="456" t="s">
        <v>1395</v>
      </c>
      <c r="AB5" s="456" t="s">
        <v>1395</v>
      </c>
      <c r="AC5" s="456" t="s">
        <v>1395</v>
      </c>
      <c r="AD5" s="456" t="s">
        <v>1395</v>
      </c>
      <c r="AE5" s="456" t="s">
        <v>1395</v>
      </c>
      <c r="AF5" s="456"/>
      <c r="AG5" s="460" t="s">
        <v>297</v>
      </c>
      <c r="AH5" s="460" t="s">
        <v>298</v>
      </c>
      <c r="AI5" s="460">
        <v>3</v>
      </c>
      <c r="AJ5" s="460">
        <v>3</v>
      </c>
      <c r="AK5" s="480">
        <v>0.5</v>
      </c>
      <c r="AL5" s="480">
        <v>0.5</v>
      </c>
      <c r="AM5" s="454" t="s">
        <v>1118</v>
      </c>
      <c r="AN5" s="460">
        <v>0</v>
      </c>
      <c r="AO5" s="460">
        <v>16</v>
      </c>
      <c r="AP5" s="460">
        <v>0</v>
      </c>
      <c r="AQ5" s="460">
        <v>0</v>
      </c>
      <c r="AR5" s="460">
        <v>0</v>
      </c>
      <c r="AS5" s="460">
        <v>0</v>
      </c>
      <c r="AT5" s="460">
        <v>0</v>
      </c>
      <c r="AU5" s="460">
        <v>0</v>
      </c>
      <c r="AV5" s="460">
        <v>0</v>
      </c>
      <c r="AW5" s="460">
        <v>0</v>
      </c>
      <c r="AX5" s="460">
        <v>0</v>
      </c>
      <c r="AY5" s="460">
        <v>0</v>
      </c>
      <c r="AZ5" s="454"/>
      <c r="BA5" s="460" t="s">
        <v>1278</v>
      </c>
      <c r="BB5" s="460"/>
      <c r="BC5" s="460" t="s">
        <v>1278</v>
      </c>
      <c r="BD5" s="460"/>
      <c r="BE5" s="460"/>
      <c r="BF5" s="460"/>
      <c r="BG5" s="455"/>
      <c r="BH5" s="454"/>
      <c r="BI5" s="460"/>
      <c r="BJ5" s="460" t="s">
        <v>4</v>
      </c>
      <c r="BK5" s="460">
        <v>1</v>
      </c>
      <c r="BL5" s="455"/>
      <c r="BM5" s="481" t="s">
        <v>1287</v>
      </c>
      <c r="BN5" s="454" t="s">
        <v>368</v>
      </c>
      <c r="BO5" s="450"/>
    </row>
    <row r="6" spans="1:67" ht="13" customHeight="1" x14ac:dyDescent="0.2">
      <c r="A6" s="451">
        <v>2545</v>
      </c>
      <c r="B6" s="452">
        <v>44028</v>
      </c>
      <c r="C6" s="453" t="s">
        <v>295</v>
      </c>
      <c r="D6" s="454" t="s">
        <v>1100</v>
      </c>
      <c r="E6" s="452">
        <v>44028</v>
      </c>
      <c r="F6" s="455" t="s">
        <v>1052</v>
      </c>
      <c r="G6" s="454" t="s">
        <v>1181</v>
      </c>
      <c r="H6" s="456">
        <v>52.53</v>
      </c>
      <c r="I6" s="458" t="s">
        <v>296</v>
      </c>
      <c r="J6" s="459">
        <v>3000</v>
      </c>
      <c r="K6" s="459">
        <v>6000</v>
      </c>
      <c r="L6" s="459">
        <v>9000</v>
      </c>
      <c r="M6" s="459">
        <v>15000</v>
      </c>
      <c r="N6" s="454"/>
      <c r="O6" s="456">
        <v>2.36</v>
      </c>
      <c r="P6" s="456">
        <v>2.0699999999999998</v>
      </c>
      <c r="Q6" s="456">
        <v>1.79</v>
      </c>
      <c r="R6" s="456">
        <v>1.65</v>
      </c>
      <c r="S6" s="456">
        <v>1.6</v>
      </c>
      <c r="T6" s="457" t="s">
        <v>1395</v>
      </c>
      <c r="U6" s="456">
        <v>2.2400000000000002</v>
      </c>
      <c r="V6" s="456">
        <v>1.98</v>
      </c>
      <c r="W6" s="456">
        <v>1.75</v>
      </c>
      <c r="X6" s="456">
        <v>1.62</v>
      </c>
      <c r="Y6" s="456">
        <v>1.59</v>
      </c>
      <c r="Z6" s="456" t="s">
        <v>1395</v>
      </c>
      <c r="AA6" s="456" t="s">
        <v>1395</v>
      </c>
      <c r="AB6" s="456" t="s">
        <v>1395</v>
      </c>
      <c r="AC6" s="456" t="s">
        <v>1395</v>
      </c>
      <c r="AD6" s="456" t="s">
        <v>1395</v>
      </c>
      <c r="AE6" s="456" t="s">
        <v>1395</v>
      </c>
      <c r="AF6" s="456"/>
      <c r="AG6" s="460" t="s">
        <v>297</v>
      </c>
      <c r="AH6" s="460" t="s">
        <v>298</v>
      </c>
      <c r="AI6" s="460">
        <v>3</v>
      </c>
      <c r="AJ6" s="460">
        <v>3</v>
      </c>
      <c r="AK6" s="480">
        <v>0.5</v>
      </c>
      <c r="AL6" s="480">
        <v>0.5</v>
      </c>
      <c r="AM6" s="454" t="s">
        <v>1118</v>
      </c>
      <c r="AN6" s="460">
        <v>0</v>
      </c>
      <c r="AO6" s="460">
        <v>0</v>
      </c>
      <c r="AP6" s="460">
        <v>0</v>
      </c>
      <c r="AQ6" s="460">
        <v>0</v>
      </c>
      <c r="AR6" s="460">
        <v>0</v>
      </c>
      <c r="AS6" s="460">
        <v>0</v>
      </c>
      <c r="AT6" s="460">
        <v>0</v>
      </c>
      <c r="AU6" s="460">
        <v>0</v>
      </c>
      <c r="AV6" s="460">
        <v>0</v>
      </c>
      <c r="AW6" s="460">
        <v>0</v>
      </c>
      <c r="AX6" s="460">
        <v>0</v>
      </c>
      <c r="AY6" s="460">
        <v>0</v>
      </c>
      <c r="AZ6" s="454"/>
      <c r="BA6" s="460" t="s">
        <v>1278</v>
      </c>
      <c r="BB6" s="460"/>
      <c r="BC6" s="460" t="s">
        <v>1278</v>
      </c>
      <c r="BD6" s="460"/>
      <c r="BE6" s="460"/>
      <c r="BF6" s="460"/>
      <c r="BG6" s="455"/>
      <c r="BH6" s="454"/>
      <c r="BI6" s="460"/>
      <c r="BJ6" s="460" t="s">
        <v>4</v>
      </c>
      <c r="BK6" s="460"/>
      <c r="BL6" s="455"/>
      <c r="BM6" s="481" t="s">
        <v>1155</v>
      </c>
      <c r="BN6" s="454" t="s">
        <v>408</v>
      </c>
      <c r="BO6" s="450"/>
    </row>
    <row r="7" spans="1:67" ht="13" customHeight="1" x14ac:dyDescent="0.2">
      <c r="A7" s="451">
        <v>2113</v>
      </c>
      <c r="B7" s="452">
        <v>44028</v>
      </c>
      <c r="C7" s="453" t="s">
        <v>295</v>
      </c>
      <c r="D7" s="454" t="s">
        <v>1100</v>
      </c>
      <c r="E7" s="452">
        <v>43924</v>
      </c>
      <c r="F7" s="455" t="s">
        <v>1054</v>
      </c>
      <c r="G7" s="454" t="s">
        <v>1157</v>
      </c>
      <c r="H7" s="456">
        <v>79.8</v>
      </c>
      <c r="I7" s="458" t="s">
        <v>296</v>
      </c>
      <c r="J7" s="459">
        <v>6000</v>
      </c>
      <c r="K7" s="459">
        <v>6000</v>
      </c>
      <c r="L7" s="459">
        <v>6000</v>
      </c>
      <c r="M7" s="459">
        <v>6000</v>
      </c>
      <c r="N7" s="454"/>
      <c r="O7" s="456">
        <v>2.62</v>
      </c>
      <c r="P7" s="482">
        <v>0</v>
      </c>
      <c r="Q7" s="456">
        <v>0</v>
      </c>
      <c r="R7" s="456">
        <v>0</v>
      </c>
      <c r="S7" s="456">
        <v>1.89</v>
      </c>
      <c r="T7" s="457" t="s">
        <v>1395</v>
      </c>
      <c r="U7" s="456">
        <v>2.62</v>
      </c>
      <c r="V7" s="482">
        <v>0</v>
      </c>
      <c r="W7" s="456">
        <v>0</v>
      </c>
      <c r="X7" s="456">
        <v>0</v>
      </c>
      <c r="Y7" s="456">
        <v>1.89</v>
      </c>
      <c r="Z7" s="456" t="s">
        <v>1395</v>
      </c>
      <c r="AA7" s="456" t="s">
        <v>1395</v>
      </c>
      <c r="AB7" s="456" t="s">
        <v>1395</v>
      </c>
      <c r="AC7" s="456" t="s">
        <v>1395</v>
      </c>
      <c r="AD7" s="456" t="s">
        <v>1395</v>
      </c>
      <c r="AE7" s="456" t="s">
        <v>1395</v>
      </c>
      <c r="AF7" s="456"/>
      <c r="AG7" s="460" t="s">
        <v>1278</v>
      </c>
      <c r="AH7" s="460"/>
      <c r="AI7" s="460">
        <v>3</v>
      </c>
      <c r="AJ7" s="460">
        <v>3</v>
      </c>
      <c r="AK7" s="480">
        <v>0.5</v>
      </c>
      <c r="AL7" s="480">
        <v>0.5</v>
      </c>
      <c r="AM7" s="454"/>
      <c r="AN7" s="460">
        <v>23</v>
      </c>
      <c r="AO7" s="460">
        <v>0</v>
      </c>
      <c r="AP7" s="460">
        <v>0</v>
      </c>
      <c r="AQ7" s="460">
        <v>0</v>
      </c>
      <c r="AR7" s="460">
        <v>0</v>
      </c>
      <c r="AS7" s="460">
        <v>0</v>
      </c>
      <c r="AT7" s="460">
        <v>0</v>
      </c>
      <c r="AU7" s="460">
        <v>0</v>
      </c>
      <c r="AV7" s="460">
        <v>0</v>
      </c>
      <c r="AW7" s="460">
        <v>0</v>
      </c>
      <c r="AX7" s="460">
        <v>0</v>
      </c>
      <c r="AY7" s="460">
        <v>0</v>
      </c>
      <c r="AZ7" s="454">
        <v>12</v>
      </c>
      <c r="BA7" s="460" t="s">
        <v>1278</v>
      </c>
      <c r="BB7" s="460">
        <v>12</v>
      </c>
      <c r="BC7" s="460" t="s">
        <v>1278</v>
      </c>
      <c r="BD7" s="460"/>
      <c r="BE7" s="460">
        <v>12</v>
      </c>
      <c r="BF7" s="460"/>
      <c r="BG7" s="455"/>
      <c r="BH7" s="454"/>
      <c r="BI7" s="460"/>
      <c r="BJ7" s="460" t="s">
        <v>4</v>
      </c>
      <c r="BK7" s="460"/>
      <c r="BL7" s="455"/>
      <c r="BM7" s="481" t="s">
        <v>1399</v>
      </c>
      <c r="BN7" s="454" t="s">
        <v>368</v>
      </c>
      <c r="BO7" s="450"/>
    </row>
    <row r="8" spans="1:67" ht="13" customHeight="1" x14ac:dyDescent="0.2">
      <c r="A8" s="451">
        <v>1974</v>
      </c>
      <c r="B8" s="452">
        <v>44028</v>
      </c>
      <c r="C8" s="453" t="s">
        <v>295</v>
      </c>
      <c r="D8" s="454" t="s">
        <v>1100</v>
      </c>
      <c r="E8" s="452">
        <v>44025</v>
      </c>
      <c r="F8" s="455" t="s">
        <v>1055</v>
      </c>
      <c r="G8" s="454" t="s">
        <v>1400</v>
      </c>
      <c r="H8" s="456">
        <v>63.05</v>
      </c>
      <c r="I8" s="458" t="s">
        <v>296</v>
      </c>
      <c r="J8" s="459">
        <v>3000</v>
      </c>
      <c r="K8" s="459">
        <v>6000</v>
      </c>
      <c r="L8" s="459">
        <v>9000</v>
      </c>
      <c r="M8" s="459">
        <v>15000</v>
      </c>
      <c r="N8" s="454"/>
      <c r="O8" s="456">
        <v>2.04</v>
      </c>
      <c r="P8" s="456">
        <v>1.89</v>
      </c>
      <c r="Q8" s="456">
        <v>1.75</v>
      </c>
      <c r="R8" s="456">
        <v>1.57</v>
      </c>
      <c r="S8" s="456">
        <v>1.54</v>
      </c>
      <c r="T8" s="457" t="s">
        <v>1395</v>
      </c>
      <c r="U8" s="456">
        <v>1.88</v>
      </c>
      <c r="V8" s="456">
        <v>1.78</v>
      </c>
      <c r="W8" s="456">
        <v>1.65</v>
      </c>
      <c r="X8" s="456">
        <v>1.55</v>
      </c>
      <c r="Y8" s="456">
        <v>1.51</v>
      </c>
      <c r="Z8" s="456" t="s">
        <v>1395</v>
      </c>
      <c r="AA8" s="456" t="s">
        <v>1395</v>
      </c>
      <c r="AB8" s="456" t="s">
        <v>1395</v>
      </c>
      <c r="AC8" s="456" t="s">
        <v>1395</v>
      </c>
      <c r="AD8" s="456" t="s">
        <v>1395</v>
      </c>
      <c r="AE8" s="456" t="s">
        <v>1395</v>
      </c>
      <c r="AF8" s="456"/>
      <c r="AG8" s="460" t="s">
        <v>297</v>
      </c>
      <c r="AH8" s="460" t="s">
        <v>298</v>
      </c>
      <c r="AI8" s="460">
        <v>3</v>
      </c>
      <c r="AJ8" s="460">
        <v>3</v>
      </c>
      <c r="AK8" s="480">
        <v>0.5</v>
      </c>
      <c r="AL8" s="480">
        <v>0.5</v>
      </c>
      <c r="AM8" s="454" t="s">
        <v>1118</v>
      </c>
      <c r="AN8" s="460">
        <v>0</v>
      </c>
      <c r="AO8" s="460">
        <v>0</v>
      </c>
      <c r="AP8" s="460">
        <v>0</v>
      </c>
      <c r="AQ8" s="460">
        <v>0</v>
      </c>
      <c r="AR8" s="460">
        <v>0</v>
      </c>
      <c r="AS8" s="460">
        <v>0</v>
      </c>
      <c r="AT8" s="460">
        <v>0</v>
      </c>
      <c r="AU8" s="460">
        <v>0</v>
      </c>
      <c r="AV8" s="460">
        <v>0</v>
      </c>
      <c r="AW8" s="460">
        <v>0</v>
      </c>
      <c r="AX8" s="460">
        <v>0</v>
      </c>
      <c r="AY8" s="460">
        <v>0</v>
      </c>
      <c r="AZ8" s="454"/>
      <c r="BA8" s="460" t="s">
        <v>1278</v>
      </c>
      <c r="BB8" s="460"/>
      <c r="BC8" s="460" t="s">
        <v>1278</v>
      </c>
      <c r="BD8" s="460"/>
      <c r="BE8" s="460"/>
      <c r="BF8" s="460"/>
      <c r="BG8" s="455"/>
      <c r="BH8" s="454"/>
      <c r="BI8" s="460"/>
      <c r="BJ8" s="460" t="s">
        <v>4</v>
      </c>
      <c r="BK8" s="460"/>
      <c r="BL8" s="455"/>
      <c r="BM8" s="481" t="s">
        <v>1401</v>
      </c>
      <c r="BN8" s="454" t="s">
        <v>408</v>
      </c>
      <c r="BO8" s="450"/>
    </row>
    <row r="9" spans="1:67" ht="13" customHeight="1" x14ac:dyDescent="0.2">
      <c r="A9" s="451">
        <v>312</v>
      </c>
      <c r="B9" s="452">
        <v>44028</v>
      </c>
      <c r="C9" s="453" t="s">
        <v>295</v>
      </c>
      <c r="D9" s="454" t="s">
        <v>1100</v>
      </c>
      <c r="E9" s="452">
        <v>44013</v>
      </c>
      <c r="F9" s="455" t="s">
        <v>1057</v>
      </c>
      <c r="G9" s="454" t="s">
        <v>1181</v>
      </c>
      <c r="H9" s="456">
        <v>81.239999999999995</v>
      </c>
      <c r="I9" s="458" t="s">
        <v>296</v>
      </c>
      <c r="J9" s="459">
        <v>3000</v>
      </c>
      <c r="K9" s="459">
        <v>6000</v>
      </c>
      <c r="L9" s="459">
        <v>9000</v>
      </c>
      <c r="M9" s="459">
        <v>15000</v>
      </c>
      <c r="N9" s="454"/>
      <c r="O9" s="456">
        <v>2.31</v>
      </c>
      <c r="P9" s="456">
        <v>2.11</v>
      </c>
      <c r="Q9" s="456">
        <v>1.86</v>
      </c>
      <c r="R9" s="456">
        <v>1.74</v>
      </c>
      <c r="S9" s="456">
        <v>1.7</v>
      </c>
      <c r="T9" s="457" t="s">
        <v>1395</v>
      </c>
      <c r="U9" s="456">
        <v>2.15</v>
      </c>
      <c r="V9" s="456">
        <v>1.97</v>
      </c>
      <c r="W9" s="456">
        <v>1.77</v>
      </c>
      <c r="X9" s="456">
        <v>1.66</v>
      </c>
      <c r="Y9" s="456">
        <v>1.64</v>
      </c>
      <c r="Z9" s="456" t="s">
        <v>1395</v>
      </c>
      <c r="AA9" s="456" t="s">
        <v>1395</v>
      </c>
      <c r="AB9" s="456" t="s">
        <v>1395</v>
      </c>
      <c r="AC9" s="456" t="s">
        <v>1395</v>
      </c>
      <c r="AD9" s="456" t="s">
        <v>1395</v>
      </c>
      <c r="AE9" s="456" t="s">
        <v>1395</v>
      </c>
      <c r="AF9" s="456"/>
      <c r="AG9" s="460" t="s">
        <v>297</v>
      </c>
      <c r="AH9" s="460" t="s">
        <v>298</v>
      </c>
      <c r="AI9" s="460">
        <v>3</v>
      </c>
      <c r="AJ9" s="460">
        <v>3</v>
      </c>
      <c r="AK9" s="480">
        <v>0.5</v>
      </c>
      <c r="AL9" s="480">
        <v>0.5</v>
      </c>
      <c r="AM9" s="454" t="s">
        <v>1118</v>
      </c>
      <c r="AN9" s="460">
        <v>0</v>
      </c>
      <c r="AO9" s="460">
        <v>0</v>
      </c>
      <c r="AP9" s="460">
        <v>0</v>
      </c>
      <c r="AQ9" s="460">
        <v>0</v>
      </c>
      <c r="AR9" s="460">
        <v>0</v>
      </c>
      <c r="AS9" s="460">
        <v>0</v>
      </c>
      <c r="AT9" s="460">
        <v>0</v>
      </c>
      <c r="AU9" s="460">
        <v>0</v>
      </c>
      <c r="AV9" s="460">
        <v>0</v>
      </c>
      <c r="AW9" s="460">
        <v>0</v>
      </c>
      <c r="AX9" s="460">
        <v>0</v>
      </c>
      <c r="AY9" s="460">
        <v>0</v>
      </c>
      <c r="AZ9" s="454"/>
      <c r="BA9" s="460" t="s">
        <v>1278</v>
      </c>
      <c r="BB9" s="460"/>
      <c r="BC9" s="460" t="s">
        <v>1278</v>
      </c>
      <c r="BD9" s="460"/>
      <c r="BE9" s="460"/>
      <c r="BF9" s="460"/>
      <c r="BG9" s="455"/>
      <c r="BH9" s="454"/>
      <c r="BI9" s="460"/>
      <c r="BJ9" s="460" t="s">
        <v>4</v>
      </c>
      <c r="BK9" s="460"/>
      <c r="BL9" s="455"/>
      <c r="BM9" s="481" t="s">
        <v>1402</v>
      </c>
      <c r="BN9" s="454" t="s">
        <v>368</v>
      </c>
      <c r="BO9" s="450"/>
    </row>
    <row r="10" spans="1:67" ht="13" customHeight="1" x14ac:dyDescent="0.2">
      <c r="A10" s="451">
        <v>2257</v>
      </c>
      <c r="B10" s="452">
        <v>44028</v>
      </c>
      <c r="C10" s="453" t="s">
        <v>295</v>
      </c>
      <c r="D10" s="454" t="s">
        <v>1100</v>
      </c>
      <c r="E10" s="452">
        <v>44013</v>
      </c>
      <c r="F10" s="455" t="s">
        <v>981</v>
      </c>
      <c r="G10" s="454" t="s">
        <v>1167</v>
      </c>
      <c r="H10" s="456">
        <v>70</v>
      </c>
      <c r="I10" s="458" t="s">
        <v>296</v>
      </c>
      <c r="J10" s="459">
        <v>6000</v>
      </c>
      <c r="K10" s="459">
        <v>9000</v>
      </c>
      <c r="L10" s="459">
        <v>9000</v>
      </c>
      <c r="M10" s="459">
        <v>9000</v>
      </c>
      <c r="N10" s="454"/>
      <c r="O10" s="456">
        <v>2.4</v>
      </c>
      <c r="P10" s="456">
        <v>1.95</v>
      </c>
      <c r="Q10" s="482">
        <v>0</v>
      </c>
      <c r="R10" s="456">
        <v>0</v>
      </c>
      <c r="S10" s="456">
        <v>1.45</v>
      </c>
      <c r="T10" s="457" t="s">
        <v>1395</v>
      </c>
      <c r="U10" s="461">
        <v>2.2000000000000002</v>
      </c>
      <c r="V10" s="461">
        <v>1.75</v>
      </c>
      <c r="W10" s="482">
        <v>0</v>
      </c>
      <c r="X10" s="461">
        <v>0</v>
      </c>
      <c r="Y10" s="461">
        <v>1.35</v>
      </c>
      <c r="Z10" s="456" t="s">
        <v>1395</v>
      </c>
      <c r="AA10" s="456" t="s">
        <v>1395</v>
      </c>
      <c r="AB10" s="456" t="s">
        <v>1395</v>
      </c>
      <c r="AC10" s="456" t="s">
        <v>1395</v>
      </c>
      <c r="AD10" s="456" t="s">
        <v>1395</v>
      </c>
      <c r="AE10" s="456" t="s">
        <v>1395</v>
      </c>
      <c r="AF10" s="456"/>
      <c r="AG10" s="460" t="s">
        <v>297</v>
      </c>
      <c r="AH10" s="460" t="s">
        <v>298</v>
      </c>
      <c r="AI10" s="460">
        <v>3</v>
      </c>
      <c r="AJ10" s="460">
        <v>3</v>
      </c>
      <c r="AK10" s="480">
        <v>0.5</v>
      </c>
      <c r="AL10" s="480">
        <v>0.5</v>
      </c>
      <c r="AM10" s="454" t="s">
        <v>1118</v>
      </c>
      <c r="AN10" s="460">
        <v>11</v>
      </c>
      <c r="AO10" s="460">
        <v>0</v>
      </c>
      <c r="AP10" s="460">
        <v>0</v>
      </c>
      <c r="AQ10" s="460">
        <v>0</v>
      </c>
      <c r="AR10" s="460">
        <v>0</v>
      </c>
      <c r="AS10" s="460">
        <v>0</v>
      </c>
      <c r="AT10" s="460">
        <v>0</v>
      </c>
      <c r="AU10" s="460">
        <v>0</v>
      </c>
      <c r="AV10" s="460">
        <v>0</v>
      </c>
      <c r="AW10" s="460">
        <v>0</v>
      </c>
      <c r="AX10" s="460">
        <v>0</v>
      </c>
      <c r="AY10" s="460">
        <v>0</v>
      </c>
      <c r="AZ10" s="454"/>
      <c r="BA10" s="460" t="s">
        <v>1278</v>
      </c>
      <c r="BB10" s="460">
        <v>12</v>
      </c>
      <c r="BC10" s="460" t="s">
        <v>1278</v>
      </c>
      <c r="BD10" s="460"/>
      <c r="BE10" s="460"/>
      <c r="BF10" s="460"/>
      <c r="BG10" s="455"/>
      <c r="BH10" s="454"/>
      <c r="BI10" s="460"/>
      <c r="BJ10" s="460" t="s">
        <v>4</v>
      </c>
      <c r="BK10" s="460"/>
      <c r="BL10" s="455"/>
      <c r="BM10" s="454" t="s">
        <v>1403</v>
      </c>
      <c r="BN10" s="454" t="s">
        <v>368</v>
      </c>
      <c r="BO10" s="450"/>
    </row>
    <row r="11" spans="1:67" ht="13" customHeight="1" x14ac:dyDescent="0.2">
      <c r="A11" s="451">
        <v>2394</v>
      </c>
      <c r="B11" s="452">
        <v>44029</v>
      </c>
      <c r="C11" s="453" t="s">
        <v>295</v>
      </c>
      <c r="D11" s="454" t="s">
        <v>1100</v>
      </c>
      <c r="E11" s="452">
        <v>43984</v>
      </c>
      <c r="F11" s="455" t="s">
        <v>982</v>
      </c>
      <c r="G11" s="454" t="s">
        <v>1297</v>
      </c>
      <c r="H11" s="456">
        <v>65.52</v>
      </c>
      <c r="I11" s="458" t="s">
        <v>296</v>
      </c>
      <c r="J11" s="459">
        <v>3000</v>
      </c>
      <c r="K11" s="459">
        <v>6000</v>
      </c>
      <c r="L11" s="459">
        <v>9000</v>
      </c>
      <c r="M11" s="459">
        <v>15000</v>
      </c>
      <c r="N11" s="454"/>
      <c r="O11" s="456">
        <v>2.06</v>
      </c>
      <c r="P11" s="456">
        <v>1.94</v>
      </c>
      <c r="Q11" s="456">
        <v>1.71</v>
      </c>
      <c r="R11" s="456">
        <v>1.62</v>
      </c>
      <c r="S11" s="456">
        <v>1.53</v>
      </c>
      <c r="T11" s="457" t="s">
        <v>1395</v>
      </c>
      <c r="U11" s="456">
        <v>1.96</v>
      </c>
      <c r="V11" s="456">
        <v>1.8</v>
      </c>
      <c r="W11" s="456">
        <v>1.62</v>
      </c>
      <c r="X11" s="456">
        <v>1.53</v>
      </c>
      <c r="Y11" s="456">
        <v>1.48</v>
      </c>
      <c r="Z11" s="456" t="s">
        <v>1395</v>
      </c>
      <c r="AA11" s="456" t="s">
        <v>1395</v>
      </c>
      <c r="AB11" s="456" t="s">
        <v>1395</v>
      </c>
      <c r="AC11" s="456" t="s">
        <v>1395</v>
      </c>
      <c r="AD11" s="456" t="s">
        <v>1395</v>
      </c>
      <c r="AE11" s="456" t="s">
        <v>1395</v>
      </c>
      <c r="AF11" s="456"/>
      <c r="AG11" s="460" t="s">
        <v>297</v>
      </c>
      <c r="AH11" s="460" t="s">
        <v>298</v>
      </c>
      <c r="AI11" s="460">
        <v>3</v>
      </c>
      <c r="AJ11" s="460">
        <v>3</v>
      </c>
      <c r="AK11" s="480">
        <v>0.5</v>
      </c>
      <c r="AL11" s="480">
        <v>0.5</v>
      </c>
      <c r="AM11" s="454" t="s">
        <v>1118</v>
      </c>
      <c r="AN11" s="460">
        <v>0</v>
      </c>
      <c r="AO11" s="460">
        <v>0</v>
      </c>
      <c r="AP11" s="460">
        <v>0</v>
      </c>
      <c r="AQ11" s="460">
        <v>0</v>
      </c>
      <c r="AR11" s="460">
        <v>0</v>
      </c>
      <c r="AS11" s="460">
        <v>0</v>
      </c>
      <c r="AT11" s="460">
        <v>0</v>
      </c>
      <c r="AU11" s="460">
        <v>0</v>
      </c>
      <c r="AV11" s="460">
        <v>0</v>
      </c>
      <c r="AW11" s="460">
        <v>0</v>
      </c>
      <c r="AX11" s="460">
        <v>0</v>
      </c>
      <c r="AY11" s="460">
        <v>0</v>
      </c>
      <c r="AZ11" s="454"/>
      <c r="BA11" s="460" t="s">
        <v>1278</v>
      </c>
      <c r="BB11" s="460"/>
      <c r="BC11" s="460" t="s">
        <v>1278</v>
      </c>
      <c r="BD11" s="460"/>
      <c r="BE11" s="460"/>
      <c r="BF11" s="460"/>
      <c r="BG11" s="455"/>
      <c r="BH11" s="454"/>
      <c r="BI11" s="460"/>
      <c r="BJ11" s="460" t="s">
        <v>4</v>
      </c>
      <c r="BK11" s="460"/>
      <c r="BL11" s="455"/>
      <c r="BM11" s="481" t="s">
        <v>1404</v>
      </c>
      <c r="BN11" s="454" t="s">
        <v>368</v>
      </c>
      <c r="BO11" s="450"/>
    </row>
    <row r="12" spans="1:67" ht="13" customHeight="1" x14ac:dyDescent="0.2">
      <c r="A12" s="451">
        <v>2696</v>
      </c>
      <c r="B12" s="452">
        <v>44029</v>
      </c>
      <c r="C12" s="453" t="s">
        <v>295</v>
      </c>
      <c r="D12" s="454" t="s">
        <v>1100</v>
      </c>
      <c r="E12" s="452">
        <v>44013</v>
      </c>
      <c r="F12" s="455" t="s">
        <v>984</v>
      </c>
      <c r="G12" s="454" t="s">
        <v>1405</v>
      </c>
      <c r="H12" s="456">
        <v>83.67</v>
      </c>
      <c r="I12" s="458" t="s">
        <v>296</v>
      </c>
      <c r="J12" s="459">
        <v>3000</v>
      </c>
      <c r="K12" s="459">
        <v>6000</v>
      </c>
      <c r="L12" s="459">
        <v>9000</v>
      </c>
      <c r="M12" s="459">
        <v>15000</v>
      </c>
      <c r="N12" s="454"/>
      <c r="O12" s="462">
        <v>2.4900000000000002</v>
      </c>
      <c r="P12" s="462">
        <v>2.15</v>
      </c>
      <c r="Q12" s="462">
        <v>1.82</v>
      </c>
      <c r="R12" s="462">
        <v>1.64</v>
      </c>
      <c r="S12" s="462">
        <v>1.59</v>
      </c>
      <c r="T12" s="463" t="s">
        <v>1395</v>
      </c>
      <c r="U12" s="462">
        <v>2.34</v>
      </c>
      <c r="V12" s="462">
        <v>2.04</v>
      </c>
      <c r="W12" s="462">
        <v>1.76</v>
      </c>
      <c r="X12" s="462">
        <v>1.61</v>
      </c>
      <c r="Y12" s="462">
        <v>1.58</v>
      </c>
      <c r="Z12" s="456" t="s">
        <v>1395</v>
      </c>
      <c r="AA12" s="456">
        <v>2.44</v>
      </c>
      <c r="AB12" s="456">
        <v>2.11</v>
      </c>
      <c r="AC12" s="456">
        <v>1.8</v>
      </c>
      <c r="AD12" s="456">
        <v>1.63</v>
      </c>
      <c r="AE12" s="456">
        <v>1.59</v>
      </c>
      <c r="AF12" s="456"/>
      <c r="AG12" s="460" t="s">
        <v>297</v>
      </c>
      <c r="AH12" s="460" t="s">
        <v>298</v>
      </c>
      <c r="AI12" s="460">
        <v>3</v>
      </c>
      <c r="AJ12" s="460">
        <v>3</v>
      </c>
      <c r="AK12" s="480">
        <v>0.5</v>
      </c>
      <c r="AL12" s="480">
        <v>0.5</v>
      </c>
      <c r="AM12" s="454" t="s">
        <v>1123</v>
      </c>
      <c r="AN12" s="460">
        <v>20</v>
      </c>
      <c r="AO12" s="460">
        <v>0</v>
      </c>
      <c r="AP12" s="460">
        <v>0</v>
      </c>
      <c r="AQ12" s="460">
        <v>0</v>
      </c>
      <c r="AR12" s="460">
        <v>0</v>
      </c>
      <c r="AS12" s="460">
        <v>0</v>
      </c>
      <c r="AT12" s="460">
        <v>0</v>
      </c>
      <c r="AU12" s="460">
        <v>0</v>
      </c>
      <c r="AV12" s="460">
        <v>0</v>
      </c>
      <c r="AW12" s="460">
        <v>0</v>
      </c>
      <c r="AX12" s="460">
        <v>0</v>
      </c>
      <c r="AY12" s="460">
        <v>0</v>
      </c>
      <c r="AZ12" s="454"/>
      <c r="BA12" s="460" t="s">
        <v>1278</v>
      </c>
      <c r="BB12" s="460"/>
      <c r="BC12" s="460" t="s">
        <v>1278</v>
      </c>
      <c r="BD12" s="460"/>
      <c r="BE12" s="460"/>
      <c r="BF12" s="460"/>
      <c r="BG12" s="455"/>
      <c r="BH12" s="454"/>
      <c r="BI12" s="460"/>
      <c r="BJ12" s="460" t="s">
        <v>4</v>
      </c>
      <c r="BK12" s="460"/>
      <c r="BL12" s="455"/>
      <c r="BM12" s="481" t="s">
        <v>430</v>
      </c>
      <c r="BN12" s="454" t="s">
        <v>368</v>
      </c>
      <c r="BO12" s="450"/>
    </row>
    <row r="13" spans="1:67" ht="13" customHeight="1" x14ac:dyDescent="0.2">
      <c r="A13" s="451">
        <v>2223</v>
      </c>
      <c r="B13" s="452">
        <v>44032</v>
      </c>
      <c r="C13" s="453" t="s">
        <v>295</v>
      </c>
      <c r="D13" s="454" t="s">
        <v>1100</v>
      </c>
      <c r="E13" s="452">
        <v>43831</v>
      </c>
      <c r="F13" s="455" t="s">
        <v>985</v>
      </c>
      <c r="G13" s="454" t="s">
        <v>1174</v>
      </c>
      <c r="H13" s="456">
        <v>75</v>
      </c>
      <c r="I13" s="458" t="s">
        <v>296</v>
      </c>
      <c r="J13" s="459">
        <v>3000</v>
      </c>
      <c r="K13" s="459">
        <v>6000</v>
      </c>
      <c r="L13" s="459">
        <v>9000</v>
      </c>
      <c r="M13" s="459">
        <v>15000</v>
      </c>
      <c r="N13" s="454"/>
      <c r="O13" s="456">
        <v>2.2799999999999998</v>
      </c>
      <c r="P13" s="456">
        <v>1.97</v>
      </c>
      <c r="Q13" s="456">
        <v>1.62</v>
      </c>
      <c r="R13" s="456">
        <v>1.41</v>
      </c>
      <c r="S13" s="456">
        <v>1.31</v>
      </c>
      <c r="T13" s="457" t="s">
        <v>1395</v>
      </c>
      <c r="U13" s="456">
        <v>2.02</v>
      </c>
      <c r="V13" s="456">
        <v>1.77</v>
      </c>
      <c r="W13" s="456">
        <v>1.41</v>
      </c>
      <c r="X13" s="456">
        <v>1.3</v>
      </c>
      <c r="Y13" s="456">
        <v>1.21</v>
      </c>
      <c r="Z13" s="456" t="s">
        <v>1395</v>
      </c>
      <c r="AA13" s="456" t="s">
        <v>1395</v>
      </c>
      <c r="AB13" s="456" t="s">
        <v>1395</v>
      </c>
      <c r="AC13" s="456" t="s">
        <v>1395</v>
      </c>
      <c r="AD13" s="456" t="s">
        <v>1395</v>
      </c>
      <c r="AE13" s="456" t="s">
        <v>1395</v>
      </c>
      <c r="AF13" s="456"/>
      <c r="AG13" s="460" t="s">
        <v>297</v>
      </c>
      <c r="AH13" s="460" t="s">
        <v>298</v>
      </c>
      <c r="AI13" s="460">
        <v>3</v>
      </c>
      <c r="AJ13" s="460">
        <v>3</v>
      </c>
      <c r="AK13" s="480">
        <v>0.5</v>
      </c>
      <c r="AL13" s="480">
        <v>0.5</v>
      </c>
      <c r="AM13" s="454" t="s">
        <v>1118</v>
      </c>
      <c r="AN13" s="460">
        <v>0</v>
      </c>
      <c r="AO13" s="460">
        <v>0</v>
      </c>
      <c r="AP13" s="460">
        <v>5</v>
      </c>
      <c r="AQ13" s="460">
        <v>0</v>
      </c>
      <c r="AR13" s="460">
        <v>0</v>
      </c>
      <c r="AS13" s="460">
        <v>0</v>
      </c>
      <c r="AT13" s="460">
        <v>0</v>
      </c>
      <c r="AU13" s="460">
        <v>0</v>
      </c>
      <c r="AV13" s="460">
        <v>0</v>
      </c>
      <c r="AW13" s="460">
        <v>0</v>
      </c>
      <c r="AX13" s="460">
        <v>0</v>
      </c>
      <c r="AY13" s="460">
        <v>0</v>
      </c>
      <c r="AZ13" s="454"/>
      <c r="BA13" s="460" t="s">
        <v>1278</v>
      </c>
      <c r="BB13" s="460">
        <v>12</v>
      </c>
      <c r="BC13" s="460" t="s">
        <v>1278</v>
      </c>
      <c r="BD13" s="460"/>
      <c r="BE13" s="460"/>
      <c r="BF13" s="460"/>
      <c r="BG13" s="455"/>
      <c r="BH13" s="454"/>
      <c r="BI13" s="460"/>
      <c r="BJ13" s="460" t="s">
        <v>411</v>
      </c>
      <c r="BK13" s="460"/>
      <c r="BL13" s="455"/>
      <c r="BM13" s="481" t="s">
        <v>1406</v>
      </c>
      <c r="BN13" s="454" t="s">
        <v>368</v>
      </c>
      <c r="BO13" s="450"/>
    </row>
    <row r="14" spans="1:67" ht="13" customHeight="1" x14ac:dyDescent="0.2">
      <c r="A14" s="451">
        <v>1920</v>
      </c>
      <c r="B14" s="452">
        <v>44028</v>
      </c>
      <c r="C14" s="453" t="s">
        <v>295</v>
      </c>
      <c r="D14" s="454" t="s">
        <v>1100</v>
      </c>
      <c r="E14" s="452">
        <v>43831</v>
      </c>
      <c r="F14" s="455" t="s">
        <v>987</v>
      </c>
      <c r="G14" s="454" t="s">
        <v>1127</v>
      </c>
      <c r="H14" s="456">
        <v>53.11</v>
      </c>
      <c r="I14" s="458" t="s">
        <v>296</v>
      </c>
      <c r="J14" s="459">
        <v>3000</v>
      </c>
      <c r="K14" s="459">
        <v>6000</v>
      </c>
      <c r="L14" s="459">
        <v>9000</v>
      </c>
      <c r="M14" s="459">
        <v>15000</v>
      </c>
      <c r="N14" s="454"/>
      <c r="O14" s="456">
        <v>2.2799999999999998</v>
      </c>
      <c r="P14" s="456">
        <v>2.0099999999999998</v>
      </c>
      <c r="Q14" s="456">
        <v>1.73</v>
      </c>
      <c r="R14" s="456">
        <v>1.6</v>
      </c>
      <c r="S14" s="456">
        <v>1.53</v>
      </c>
      <c r="T14" s="457" t="s">
        <v>1395</v>
      </c>
      <c r="U14" s="456">
        <v>2.21</v>
      </c>
      <c r="V14" s="456">
        <v>1.97</v>
      </c>
      <c r="W14" s="456">
        <v>1.7</v>
      </c>
      <c r="X14" s="456">
        <v>1.6</v>
      </c>
      <c r="Y14" s="456">
        <v>1.56</v>
      </c>
      <c r="Z14" s="456" t="s">
        <v>1395</v>
      </c>
      <c r="AA14" s="456" t="s">
        <v>1395</v>
      </c>
      <c r="AB14" s="456" t="s">
        <v>1395</v>
      </c>
      <c r="AC14" s="456" t="s">
        <v>1395</v>
      </c>
      <c r="AD14" s="456" t="s">
        <v>1395</v>
      </c>
      <c r="AE14" s="456" t="s">
        <v>1395</v>
      </c>
      <c r="AF14" s="456"/>
      <c r="AG14" s="460" t="s">
        <v>297</v>
      </c>
      <c r="AH14" s="460" t="s">
        <v>298</v>
      </c>
      <c r="AI14" s="460">
        <v>3</v>
      </c>
      <c r="AJ14" s="460">
        <v>3</v>
      </c>
      <c r="AK14" s="480">
        <v>0.5</v>
      </c>
      <c r="AL14" s="480">
        <v>0.5</v>
      </c>
      <c r="AM14" s="454" t="s">
        <v>1118</v>
      </c>
      <c r="AN14" s="460">
        <v>0</v>
      </c>
      <c r="AO14" s="460">
        <v>0</v>
      </c>
      <c r="AP14" s="460">
        <v>0</v>
      </c>
      <c r="AQ14" s="460">
        <v>0</v>
      </c>
      <c r="AR14" s="460">
        <v>0</v>
      </c>
      <c r="AS14" s="460">
        <v>0</v>
      </c>
      <c r="AT14" s="460">
        <v>0</v>
      </c>
      <c r="AU14" s="460">
        <v>0</v>
      </c>
      <c r="AV14" s="460">
        <v>0</v>
      </c>
      <c r="AW14" s="460">
        <v>0</v>
      </c>
      <c r="AX14" s="460">
        <v>0</v>
      </c>
      <c r="AY14" s="460">
        <v>0</v>
      </c>
      <c r="AZ14" s="454"/>
      <c r="BA14" s="460" t="s">
        <v>1278</v>
      </c>
      <c r="BB14" s="460"/>
      <c r="BC14" s="460" t="s">
        <v>1278</v>
      </c>
      <c r="BD14" s="460"/>
      <c r="BE14" s="460"/>
      <c r="BF14" s="460"/>
      <c r="BG14" s="455"/>
      <c r="BH14" s="454"/>
      <c r="BI14" s="460"/>
      <c r="BJ14" s="460" t="s">
        <v>4</v>
      </c>
      <c r="BK14" s="460">
        <v>1</v>
      </c>
      <c r="BL14" s="455"/>
      <c r="BM14" s="481" t="s">
        <v>1282</v>
      </c>
      <c r="BN14" s="454" t="s">
        <v>368</v>
      </c>
      <c r="BO14" s="450"/>
    </row>
    <row r="15" spans="1:67" ht="13" customHeight="1" x14ac:dyDescent="0.2">
      <c r="A15" s="464">
        <v>1682</v>
      </c>
      <c r="B15" s="452">
        <v>44029</v>
      </c>
      <c r="C15" s="453" t="s">
        <v>295</v>
      </c>
      <c r="D15" s="454" t="s">
        <v>1100</v>
      </c>
      <c r="E15" s="452">
        <v>44007</v>
      </c>
      <c r="F15" s="455" t="s">
        <v>1106</v>
      </c>
      <c r="G15" s="454" t="s">
        <v>2</v>
      </c>
      <c r="H15" s="456">
        <v>62</v>
      </c>
      <c r="I15" s="458" t="s">
        <v>296</v>
      </c>
      <c r="J15" s="459">
        <v>6000</v>
      </c>
      <c r="K15" s="459">
        <v>6000</v>
      </c>
      <c r="L15" s="459">
        <v>6000</v>
      </c>
      <c r="M15" s="459">
        <v>6000</v>
      </c>
      <c r="N15" s="454"/>
      <c r="O15" s="456">
        <v>1.88</v>
      </c>
      <c r="P15" s="482">
        <v>0</v>
      </c>
      <c r="Q15" s="456">
        <v>0</v>
      </c>
      <c r="R15" s="456">
        <v>0</v>
      </c>
      <c r="S15" s="456">
        <v>1.38</v>
      </c>
      <c r="T15" s="457" t="s">
        <v>1395</v>
      </c>
      <c r="U15" s="456">
        <v>1.7</v>
      </c>
      <c r="V15" s="482">
        <v>0</v>
      </c>
      <c r="W15" s="456">
        <v>0</v>
      </c>
      <c r="X15" s="456">
        <v>0</v>
      </c>
      <c r="Y15" s="456">
        <v>1.38</v>
      </c>
      <c r="Z15" s="456" t="s">
        <v>1395</v>
      </c>
      <c r="AA15" s="456" t="s">
        <v>1395</v>
      </c>
      <c r="AB15" s="456" t="s">
        <v>1395</v>
      </c>
      <c r="AC15" s="456" t="s">
        <v>1395</v>
      </c>
      <c r="AD15" s="456" t="s">
        <v>1395</v>
      </c>
      <c r="AE15" s="456" t="s">
        <v>1395</v>
      </c>
      <c r="AF15" s="456"/>
      <c r="AG15" s="460" t="s">
        <v>297</v>
      </c>
      <c r="AH15" s="460" t="s">
        <v>298</v>
      </c>
      <c r="AI15" s="460">
        <v>2</v>
      </c>
      <c r="AJ15" s="460">
        <v>4</v>
      </c>
      <c r="AK15" s="483">
        <v>0.33329999999999999</v>
      </c>
      <c r="AL15" s="483">
        <v>0.66659999999999997</v>
      </c>
      <c r="AM15" s="454" t="s">
        <v>1124</v>
      </c>
      <c r="AN15" s="460">
        <v>0</v>
      </c>
      <c r="AO15" s="460">
        <v>0</v>
      </c>
      <c r="AP15" s="460">
        <v>0</v>
      </c>
      <c r="AQ15" s="460">
        <v>0</v>
      </c>
      <c r="AR15" s="460">
        <v>0</v>
      </c>
      <c r="AS15" s="460">
        <v>0</v>
      </c>
      <c r="AT15" s="460">
        <v>0</v>
      </c>
      <c r="AU15" s="460">
        <v>0</v>
      </c>
      <c r="AV15" s="460">
        <v>0</v>
      </c>
      <c r="AW15" s="460">
        <v>0</v>
      </c>
      <c r="AX15" s="460">
        <v>0</v>
      </c>
      <c r="AY15" s="460">
        <v>0</v>
      </c>
      <c r="AZ15" s="454"/>
      <c r="BA15" s="460" t="s">
        <v>1278</v>
      </c>
      <c r="BB15" s="460"/>
      <c r="BC15" s="460" t="s">
        <v>1278</v>
      </c>
      <c r="BD15" s="460"/>
      <c r="BE15" s="460"/>
      <c r="BF15" s="460"/>
      <c r="BG15" s="455"/>
      <c r="BH15" s="454"/>
      <c r="BI15" s="460"/>
      <c r="BJ15" s="460" t="s">
        <v>4</v>
      </c>
      <c r="BK15" s="460">
        <v>1</v>
      </c>
      <c r="BL15" s="455"/>
      <c r="BM15" s="481" t="s">
        <v>1407</v>
      </c>
      <c r="BN15" s="454" t="s">
        <v>368</v>
      </c>
      <c r="BO15" s="450"/>
    </row>
    <row r="16" spans="1:67" ht="13" customHeight="1" x14ac:dyDescent="0.2">
      <c r="A16" s="451">
        <v>2215</v>
      </c>
      <c r="B16" s="452">
        <v>44029</v>
      </c>
      <c r="C16" s="453" t="s">
        <v>295</v>
      </c>
      <c r="D16" s="454" t="s">
        <v>1100</v>
      </c>
      <c r="E16" s="465">
        <v>44013</v>
      </c>
      <c r="F16" s="454" t="s">
        <v>34</v>
      </c>
      <c r="G16" s="454" t="s">
        <v>1178</v>
      </c>
      <c r="H16" s="456">
        <v>70.7</v>
      </c>
      <c r="I16" s="467"/>
      <c r="J16" s="488"/>
      <c r="K16" s="488"/>
      <c r="L16" s="469"/>
      <c r="M16" s="469"/>
      <c r="N16" s="468"/>
      <c r="O16" s="456">
        <v>1.89</v>
      </c>
      <c r="P16" s="456">
        <v>0</v>
      </c>
      <c r="Q16" s="456">
        <v>0</v>
      </c>
      <c r="R16" s="456">
        <v>0</v>
      </c>
      <c r="S16" s="456">
        <v>0</v>
      </c>
      <c r="T16" s="466" t="s">
        <v>1395</v>
      </c>
      <c r="U16" s="456">
        <v>1.7</v>
      </c>
      <c r="V16" s="456">
        <v>0</v>
      </c>
      <c r="W16" s="456">
        <v>0</v>
      </c>
      <c r="X16" s="456">
        <v>0</v>
      </c>
      <c r="Y16" s="456">
        <v>0</v>
      </c>
      <c r="Z16" s="456" t="s">
        <v>1395</v>
      </c>
      <c r="AA16" s="456" t="s">
        <v>1395</v>
      </c>
      <c r="AB16" s="456" t="s">
        <v>1395</v>
      </c>
      <c r="AC16" s="456" t="s">
        <v>1395</v>
      </c>
      <c r="AD16" s="456" t="s">
        <v>1395</v>
      </c>
      <c r="AE16" s="456" t="s">
        <v>1395</v>
      </c>
      <c r="AF16" s="456"/>
      <c r="AG16" s="460" t="s">
        <v>297</v>
      </c>
      <c r="AH16" s="460" t="s">
        <v>298</v>
      </c>
      <c r="AI16" s="460">
        <v>3</v>
      </c>
      <c r="AJ16" s="460">
        <v>3</v>
      </c>
      <c r="AK16" s="480">
        <v>0.5</v>
      </c>
      <c r="AL16" s="480">
        <v>0.5</v>
      </c>
      <c r="AM16" s="454" t="s">
        <v>1118</v>
      </c>
      <c r="AN16" s="460">
        <v>0</v>
      </c>
      <c r="AO16" s="460">
        <v>0</v>
      </c>
      <c r="AP16" s="460">
        <v>5</v>
      </c>
      <c r="AQ16" s="460">
        <v>0</v>
      </c>
      <c r="AR16" s="460">
        <v>0</v>
      </c>
      <c r="AS16" s="460">
        <v>0</v>
      </c>
      <c r="AT16" s="460">
        <v>0</v>
      </c>
      <c r="AU16" s="460">
        <v>0</v>
      </c>
      <c r="AV16" s="460">
        <v>0</v>
      </c>
      <c r="AW16" s="460">
        <v>0</v>
      </c>
      <c r="AX16" s="460">
        <v>0</v>
      </c>
      <c r="AY16" s="460">
        <v>0</v>
      </c>
      <c r="AZ16" s="460"/>
      <c r="BA16" s="460" t="s">
        <v>1278</v>
      </c>
      <c r="BB16" s="460"/>
      <c r="BC16" s="460" t="s">
        <v>1278</v>
      </c>
      <c r="BD16" s="460"/>
      <c r="BE16" s="460"/>
      <c r="BF16" s="460"/>
      <c r="BG16" s="455"/>
      <c r="BH16" s="454"/>
      <c r="BI16" s="460"/>
      <c r="BJ16" s="460" t="s">
        <v>411</v>
      </c>
      <c r="BK16" s="460"/>
      <c r="BL16" s="455" t="s">
        <v>47</v>
      </c>
      <c r="BM16" s="484" t="s">
        <v>1408</v>
      </c>
      <c r="BN16" s="454" t="s">
        <v>368</v>
      </c>
      <c r="BO16" s="450"/>
    </row>
    <row r="17" spans="1:67" ht="13" customHeight="1" x14ac:dyDescent="0.2">
      <c r="A17" s="451">
        <v>2467</v>
      </c>
      <c r="B17" s="452">
        <v>44028</v>
      </c>
      <c r="C17" s="453" t="s">
        <v>295</v>
      </c>
      <c r="D17" s="454" t="s">
        <v>1100</v>
      </c>
      <c r="E17" s="465">
        <v>44013</v>
      </c>
      <c r="F17" s="454" t="s">
        <v>1274</v>
      </c>
      <c r="G17" s="454" t="s">
        <v>1275</v>
      </c>
      <c r="H17" s="456">
        <v>71</v>
      </c>
      <c r="I17" s="467" t="s">
        <v>296</v>
      </c>
      <c r="J17" s="469">
        <v>3000</v>
      </c>
      <c r="K17" s="469">
        <v>6000</v>
      </c>
      <c r="L17" s="469">
        <v>6000</v>
      </c>
      <c r="M17" s="469">
        <v>6000</v>
      </c>
      <c r="N17" s="468"/>
      <c r="O17" s="456">
        <v>2.46</v>
      </c>
      <c r="P17" s="456">
        <v>2.16</v>
      </c>
      <c r="Q17" s="482">
        <v>0</v>
      </c>
      <c r="R17" s="456">
        <v>0</v>
      </c>
      <c r="S17" s="456">
        <v>1.82</v>
      </c>
      <c r="T17" s="466" t="s">
        <v>1395</v>
      </c>
      <c r="U17" s="456">
        <v>2.46</v>
      </c>
      <c r="V17" s="456">
        <v>2.16</v>
      </c>
      <c r="W17" s="482">
        <v>0</v>
      </c>
      <c r="X17" s="456">
        <v>0</v>
      </c>
      <c r="Y17" s="456">
        <v>1.82</v>
      </c>
      <c r="Z17" s="456" t="s">
        <v>1395</v>
      </c>
      <c r="AA17" s="456" t="s">
        <v>1395</v>
      </c>
      <c r="AB17" s="456" t="s">
        <v>1395</v>
      </c>
      <c r="AC17" s="466" t="s">
        <v>1395</v>
      </c>
      <c r="AD17" s="466" t="s">
        <v>1395</v>
      </c>
      <c r="AE17" s="466" t="s">
        <v>1395</v>
      </c>
      <c r="AF17" s="466"/>
      <c r="AG17" s="470" t="s">
        <v>1278</v>
      </c>
      <c r="AH17" s="470"/>
      <c r="AI17" s="460">
        <v>3</v>
      </c>
      <c r="AJ17" s="460">
        <v>3</v>
      </c>
      <c r="AK17" s="480">
        <v>0.5</v>
      </c>
      <c r="AL17" s="480">
        <v>0.5</v>
      </c>
      <c r="AM17" s="454"/>
      <c r="AN17" s="460">
        <v>0</v>
      </c>
      <c r="AO17" s="460">
        <v>0</v>
      </c>
      <c r="AP17" s="460">
        <v>0</v>
      </c>
      <c r="AQ17" s="460">
        <v>15</v>
      </c>
      <c r="AR17" s="460">
        <v>0</v>
      </c>
      <c r="AS17" s="460">
        <v>0</v>
      </c>
      <c r="AT17" s="460">
        <v>0</v>
      </c>
      <c r="AU17" s="460">
        <v>0</v>
      </c>
      <c r="AV17" s="460">
        <v>0</v>
      </c>
      <c r="AW17" s="460">
        <v>0</v>
      </c>
      <c r="AX17" s="460">
        <v>0</v>
      </c>
      <c r="AY17" s="460">
        <v>0</v>
      </c>
      <c r="AZ17" s="460"/>
      <c r="BA17" s="460" t="s">
        <v>1278</v>
      </c>
      <c r="BB17" s="460"/>
      <c r="BC17" s="460" t="s">
        <v>1278</v>
      </c>
      <c r="BD17" s="460"/>
      <c r="BE17" s="460"/>
      <c r="BF17" s="460"/>
      <c r="BG17" s="455"/>
      <c r="BH17" s="454"/>
      <c r="BI17" s="460"/>
      <c r="BJ17" s="460" t="s">
        <v>411</v>
      </c>
      <c r="BK17" s="460">
        <v>1</v>
      </c>
      <c r="BL17" s="455"/>
      <c r="BM17" s="481" t="s">
        <v>1409</v>
      </c>
      <c r="BN17" s="454" t="s">
        <v>368</v>
      </c>
      <c r="BO17" s="471"/>
    </row>
    <row r="18" spans="1:67" ht="13" customHeight="1" x14ac:dyDescent="0.2">
      <c r="A18" s="451">
        <v>2338</v>
      </c>
      <c r="B18" s="452">
        <v>44028</v>
      </c>
      <c r="C18" s="453" t="s">
        <v>295</v>
      </c>
      <c r="D18" s="454" t="s">
        <v>1100</v>
      </c>
      <c r="E18" s="465">
        <v>44013</v>
      </c>
      <c r="F18" s="454" t="s">
        <v>1291</v>
      </c>
      <c r="G18" s="454" t="s">
        <v>1181</v>
      </c>
      <c r="H18" s="456">
        <v>68.77</v>
      </c>
      <c r="I18" s="467"/>
      <c r="J18" s="469"/>
      <c r="K18" s="469"/>
      <c r="L18" s="469"/>
      <c r="M18" s="469"/>
      <c r="N18" s="468"/>
      <c r="O18" s="456">
        <v>2.08</v>
      </c>
      <c r="P18" s="456">
        <v>0</v>
      </c>
      <c r="Q18" s="456">
        <v>0</v>
      </c>
      <c r="R18" s="456">
        <v>0</v>
      </c>
      <c r="S18" s="456">
        <v>0</v>
      </c>
      <c r="T18" s="466" t="s">
        <v>1395</v>
      </c>
      <c r="U18" s="456">
        <v>1.81</v>
      </c>
      <c r="V18" s="456">
        <v>0</v>
      </c>
      <c r="W18" s="456">
        <v>0</v>
      </c>
      <c r="X18" s="456">
        <v>0</v>
      </c>
      <c r="Y18" s="456">
        <v>0</v>
      </c>
      <c r="Z18" s="456" t="s">
        <v>1395</v>
      </c>
      <c r="AA18" s="456" t="s">
        <v>1395</v>
      </c>
      <c r="AB18" s="456" t="s">
        <v>1395</v>
      </c>
      <c r="AC18" s="456" t="s">
        <v>1395</v>
      </c>
      <c r="AD18" s="456" t="s">
        <v>1395</v>
      </c>
      <c r="AE18" s="456" t="s">
        <v>1395</v>
      </c>
      <c r="AF18" s="456"/>
      <c r="AG18" s="460" t="s">
        <v>297</v>
      </c>
      <c r="AH18" s="460" t="s">
        <v>298</v>
      </c>
      <c r="AI18" s="460">
        <v>3</v>
      </c>
      <c r="AJ18" s="460">
        <v>3</v>
      </c>
      <c r="AK18" s="480">
        <v>0.5</v>
      </c>
      <c r="AL18" s="480">
        <v>0.5</v>
      </c>
      <c r="AM18" s="454" t="s">
        <v>1118</v>
      </c>
      <c r="AN18" s="460">
        <v>0</v>
      </c>
      <c r="AO18" s="460">
        <v>0</v>
      </c>
      <c r="AP18" s="460">
        <v>0</v>
      </c>
      <c r="AQ18" s="460">
        <v>0</v>
      </c>
      <c r="AR18" s="460">
        <v>0</v>
      </c>
      <c r="AS18" s="460">
        <v>0</v>
      </c>
      <c r="AT18" s="460">
        <v>0</v>
      </c>
      <c r="AU18" s="460">
        <v>0</v>
      </c>
      <c r="AV18" s="460">
        <v>0</v>
      </c>
      <c r="AW18" s="460">
        <v>0</v>
      </c>
      <c r="AX18" s="460">
        <v>0</v>
      </c>
      <c r="AY18" s="460">
        <v>0</v>
      </c>
      <c r="AZ18" s="460"/>
      <c r="BA18" s="460" t="s">
        <v>1278</v>
      </c>
      <c r="BB18" s="460"/>
      <c r="BC18" s="460" t="s">
        <v>1278</v>
      </c>
      <c r="BD18" s="460"/>
      <c r="BE18" s="460"/>
      <c r="BF18" s="460"/>
      <c r="BG18" s="455"/>
      <c r="BH18" s="454"/>
      <c r="BI18" s="460"/>
      <c r="BJ18" s="460" t="s">
        <v>4</v>
      </c>
      <c r="BK18" s="460"/>
      <c r="BL18" s="455" t="s">
        <v>1284</v>
      </c>
      <c r="BM18" s="484" t="s">
        <v>1410</v>
      </c>
      <c r="BN18" s="454" t="s">
        <v>408</v>
      </c>
      <c r="BO18" s="450"/>
    </row>
    <row r="19" spans="1:67" ht="13" customHeight="1" x14ac:dyDescent="0.2">
      <c r="A19" s="451">
        <v>2382</v>
      </c>
      <c r="B19" s="452">
        <v>44028</v>
      </c>
      <c r="C19" s="453" t="s">
        <v>295</v>
      </c>
      <c r="D19" s="454" t="s">
        <v>1108</v>
      </c>
      <c r="E19" s="452">
        <v>44013</v>
      </c>
      <c r="F19" s="455" t="s">
        <v>1044</v>
      </c>
      <c r="G19" s="454" t="s">
        <v>1277</v>
      </c>
      <c r="H19" s="461">
        <v>83.13</v>
      </c>
      <c r="I19" s="458" t="s">
        <v>296</v>
      </c>
      <c r="J19" s="459">
        <v>3000</v>
      </c>
      <c r="K19" s="459">
        <v>6000</v>
      </c>
      <c r="L19" s="459">
        <v>9000</v>
      </c>
      <c r="M19" s="459">
        <v>15000</v>
      </c>
      <c r="N19" s="454"/>
      <c r="O19" s="461">
        <v>1.98</v>
      </c>
      <c r="P19" s="461">
        <v>1.77</v>
      </c>
      <c r="Q19" s="461">
        <v>1.44</v>
      </c>
      <c r="R19" s="461">
        <v>1.25</v>
      </c>
      <c r="S19" s="461">
        <v>1.23</v>
      </c>
      <c r="T19" s="461" t="s">
        <v>1395</v>
      </c>
      <c r="U19" s="461">
        <v>1.89</v>
      </c>
      <c r="V19" s="461">
        <v>1.67</v>
      </c>
      <c r="W19" s="461">
        <v>1.38</v>
      </c>
      <c r="X19" s="461">
        <v>1.23</v>
      </c>
      <c r="Y19" s="461">
        <v>1.19</v>
      </c>
      <c r="Z19" s="461" t="s">
        <v>1395</v>
      </c>
      <c r="AA19" s="461" t="s">
        <v>1395</v>
      </c>
      <c r="AB19" s="461" t="s">
        <v>1395</v>
      </c>
      <c r="AC19" s="461" t="s">
        <v>1395</v>
      </c>
      <c r="AD19" s="461" t="s">
        <v>1395</v>
      </c>
      <c r="AE19" s="461" t="s">
        <v>1395</v>
      </c>
      <c r="AF19" s="461"/>
      <c r="AG19" s="460" t="s">
        <v>297</v>
      </c>
      <c r="AH19" s="460" t="s">
        <v>298</v>
      </c>
      <c r="AI19" s="460">
        <v>3</v>
      </c>
      <c r="AJ19" s="460">
        <v>3</v>
      </c>
      <c r="AK19" s="480">
        <v>0.5</v>
      </c>
      <c r="AL19" s="480">
        <v>0.5</v>
      </c>
      <c r="AM19" s="454" t="s">
        <v>1118</v>
      </c>
      <c r="AN19" s="460">
        <v>0</v>
      </c>
      <c r="AO19" s="460">
        <v>0</v>
      </c>
      <c r="AP19" s="460">
        <v>0</v>
      </c>
      <c r="AQ19" s="460">
        <v>0</v>
      </c>
      <c r="AR19" s="460">
        <v>0</v>
      </c>
      <c r="AS19" s="460">
        <v>0</v>
      </c>
      <c r="AT19" s="460">
        <v>0</v>
      </c>
      <c r="AU19" s="460">
        <v>0</v>
      </c>
      <c r="AV19" s="460">
        <v>0</v>
      </c>
      <c r="AW19" s="460">
        <v>0</v>
      </c>
      <c r="AX19" s="460">
        <v>0</v>
      </c>
      <c r="AY19" s="460">
        <v>0</v>
      </c>
      <c r="AZ19" s="460"/>
      <c r="BA19" s="460" t="s">
        <v>1278</v>
      </c>
      <c r="BB19" s="460"/>
      <c r="BC19" s="460" t="s">
        <v>1278</v>
      </c>
      <c r="BD19" s="460"/>
      <c r="BE19" s="460"/>
      <c r="BF19" s="460"/>
      <c r="BG19" s="455"/>
      <c r="BH19" s="454"/>
      <c r="BI19" s="460"/>
      <c r="BJ19" s="460" t="s">
        <v>4</v>
      </c>
      <c r="BK19" s="460"/>
      <c r="BL19" s="455"/>
      <c r="BM19" s="454" t="s">
        <v>1411</v>
      </c>
      <c r="BN19" s="454" t="s">
        <v>368</v>
      </c>
      <c r="BO19" s="450"/>
    </row>
    <row r="20" spans="1:67" ht="13" customHeight="1" x14ac:dyDescent="0.2">
      <c r="A20" s="451">
        <v>2504</v>
      </c>
      <c r="B20" s="452">
        <v>44029</v>
      </c>
      <c r="C20" s="453" t="s">
        <v>295</v>
      </c>
      <c r="D20" s="454" t="s">
        <v>1108</v>
      </c>
      <c r="E20" s="452">
        <v>44013</v>
      </c>
      <c r="F20" s="455" t="s">
        <v>1046</v>
      </c>
      <c r="G20" s="454" t="s">
        <v>1280</v>
      </c>
      <c r="H20" s="461">
        <v>69</v>
      </c>
      <c r="I20" s="458" t="s">
        <v>296</v>
      </c>
      <c r="J20" s="459">
        <v>3000</v>
      </c>
      <c r="K20" s="459">
        <v>6000</v>
      </c>
      <c r="L20" s="459">
        <v>6000</v>
      </c>
      <c r="M20" s="459">
        <v>6000</v>
      </c>
      <c r="N20" s="454"/>
      <c r="O20" s="461">
        <v>2.1</v>
      </c>
      <c r="P20" s="461">
        <v>1.9</v>
      </c>
      <c r="Q20" s="482">
        <v>0</v>
      </c>
      <c r="R20" s="461">
        <v>0</v>
      </c>
      <c r="S20" s="461">
        <v>1.5</v>
      </c>
      <c r="T20" s="461" t="s">
        <v>1395</v>
      </c>
      <c r="U20" s="461">
        <v>2.1</v>
      </c>
      <c r="V20" s="461">
        <v>1.8</v>
      </c>
      <c r="W20" s="482">
        <v>0</v>
      </c>
      <c r="X20" s="461">
        <v>0</v>
      </c>
      <c r="Y20" s="461">
        <v>1.5</v>
      </c>
      <c r="Z20" s="461" t="s">
        <v>1395</v>
      </c>
      <c r="AA20" s="461" t="s">
        <v>1395</v>
      </c>
      <c r="AB20" s="461" t="s">
        <v>1395</v>
      </c>
      <c r="AC20" s="461" t="s">
        <v>1395</v>
      </c>
      <c r="AD20" s="461" t="s">
        <v>1395</v>
      </c>
      <c r="AE20" s="461" t="s">
        <v>1395</v>
      </c>
      <c r="AF20" s="461"/>
      <c r="AG20" s="460" t="s">
        <v>297</v>
      </c>
      <c r="AH20" s="460" t="s">
        <v>298</v>
      </c>
      <c r="AI20" s="460">
        <v>3</v>
      </c>
      <c r="AJ20" s="460">
        <v>3</v>
      </c>
      <c r="AK20" s="480">
        <v>0.5</v>
      </c>
      <c r="AL20" s="480">
        <v>0.5</v>
      </c>
      <c r="AM20" s="454" t="s">
        <v>1118</v>
      </c>
      <c r="AN20" s="460">
        <v>0</v>
      </c>
      <c r="AO20" s="460">
        <v>0</v>
      </c>
      <c r="AP20" s="460">
        <v>0</v>
      </c>
      <c r="AQ20" s="460">
        <v>0</v>
      </c>
      <c r="AR20" s="460">
        <v>0</v>
      </c>
      <c r="AS20" s="460">
        <v>0</v>
      </c>
      <c r="AT20" s="460">
        <v>0</v>
      </c>
      <c r="AU20" s="460">
        <v>0</v>
      </c>
      <c r="AV20" s="460">
        <v>0</v>
      </c>
      <c r="AW20" s="460">
        <v>0</v>
      </c>
      <c r="AX20" s="460">
        <v>0</v>
      </c>
      <c r="AY20" s="460">
        <v>0</v>
      </c>
      <c r="AZ20" s="454"/>
      <c r="BA20" s="460" t="s">
        <v>1278</v>
      </c>
      <c r="BB20" s="460"/>
      <c r="BC20" s="460" t="s">
        <v>1278</v>
      </c>
      <c r="BD20" s="460"/>
      <c r="BE20" s="460"/>
      <c r="BF20" s="460"/>
      <c r="BG20" s="455"/>
      <c r="BH20" s="454"/>
      <c r="BI20" s="460"/>
      <c r="BJ20" s="460" t="s">
        <v>4</v>
      </c>
      <c r="BK20" s="460"/>
      <c r="BL20" s="455"/>
      <c r="BM20" s="454" t="s">
        <v>430</v>
      </c>
      <c r="BN20" s="454" t="s">
        <v>368</v>
      </c>
      <c r="BO20" s="471"/>
    </row>
    <row r="21" spans="1:67" ht="13" customHeight="1" x14ac:dyDescent="0.2">
      <c r="A21" s="451">
        <v>2611</v>
      </c>
      <c r="B21" s="452">
        <v>44028</v>
      </c>
      <c r="C21" s="453" t="s">
        <v>295</v>
      </c>
      <c r="D21" s="454" t="s">
        <v>1108</v>
      </c>
      <c r="E21" s="452">
        <v>43910</v>
      </c>
      <c r="F21" s="455" t="s">
        <v>1048</v>
      </c>
      <c r="G21" s="454" t="s">
        <v>1397</v>
      </c>
      <c r="H21" s="461">
        <v>49.98</v>
      </c>
      <c r="I21" s="458" t="s">
        <v>296</v>
      </c>
      <c r="J21" s="459">
        <v>3000</v>
      </c>
      <c r="K21" s="459">
        <v>6000</v>
      </c>
      <c r="L21" s="459">
        <v>9000</v>
      </c>
      <c r="M21" s="459">
        <v>15000</v>
      </c>
      <c r="N21" s="454"/>
      <c r="O21" s="461">
        <v>2.15</v>
      </c>
      <c r="P21" s="461">
        <v>1.85</v>
      </c>
      <c r="Q21" s="461">
        <v>1.6</v>
      </c>
      <c r="R21" s="461">
        <v>1.5</v>
      </c>
      <c r="S21" s="461">
        <v>1.47</v>
      </c>
      <c r="T21" s="461" t="s">
        <v>1395</v>
      </c>
      <c r="U21" s="461">
        <v>2.15</v>
      </c>
      <c r="V21" s="461">
        <v>1.89</v>
      </c>
      <c r="W21" s="461">
        <v>1.64</v>
      </c>
      <c r="X21" s="461">
        <v>1.5</v>
      </c>
      <c r="Y21" s="461">
        <v>1.44</v>
      </c>
      <c r="Z21" s="461" t="s">
        <v>1395</v>
      </c>
      <c r="AA21" s="461" t="s">
        <v>1395</v>
      </c>
      <c r="AB21" s="461" t="s">
        <v>1395</v>
      </c>
      <c r="AC21" s="461" t="s">
        <v>1395</v>
      </c>
      <c r="AD21" s="461" t="s">
        <v>1395</v>
      </c>
      <c r="AE21" s="461" t="s">
        <v>1395</v>
      </c>
      <c r="AF21" s="461"/>
      <c r="AG21" s="460" t="s">
        <v>297</v>
      </c>
      <c r="AH21" s="460" t="s">
        <v>298</v>
      </c>
      <c r="AI21" s="460">
        <v>3</v>
      </c>
      <c r="AJ21" s="460">
        <v>3</v>
      </c>
      <c r="AK21" s="480">
        <v>0.5</v>
      </c>
      <c r="AL21" s="480">
        <v>0.5</v>
      </c>
      <c r="AM21" s="454" t="s">
        <v>1118</v>
      </c>
      <c r="AN21" s="460">
        <v>0</v>
      </c>
      <c r="AO21" s="460">
        <v>0</v>
      </c>
      <c r="AP21" s="460">
        <v>0</v>
      </c>
      <c r="AQ21" s="460">
        <v>0</v>
      </c>
      <c r="AR21" s="460">
        <v>0</v>
      </c>
      <c r="AS21" s="460">
        <v>0</v>
      </c>
      <c r="AT21" s="460">
        <v>0</v>
      </c>
      <c r="AU21" s="460">
        <v>0</v>
      </c>
      <c r="AV21" s="460">
        <v>0</v>
      </c>
      <c r="AW21" s="460">
        <v>0</v>
      </c>
      <c r="AX21" s="460">
        <v>0</v>
      </c>
      <c r="AY21" s="460">
        <v>0</v>
      </c>
      <c r="AZ21" s="454"/>
      <c r="BA21" s="460" t="s">
        <v>1278</v>
      </c>
      <c r="BB21" s="460"/>
      <c r="BC21" s="460" t="s">
        <v>1278</v>
      </c>
      <c r="BD21" s="460"/>
      <c r="BE21" s="460"/>
      <c r="BF21" s="460"/>
      <c r="BG21" s="455"/>
      <c r="BH21" s="454"/>
      <c r="BI21" s="460"/>
      <c r="BJ21" s="460" t="s">
        <v>4</v>
      </c>
      <c r="BK21" s="460">
        <v>1</v>
      </c>
      <c r="BL21" s="455"/>
      <c r="BM21" s="454" t="s">
        <v>1412</v>
      </c>
      <c r="BN21" s="454" t="s">
        <v>368</v>
      </c>
      <c r="BO21" s="450"/>
    </row>
    <row r="22" spans="1:67" ht="13" customHeight="1" x14ac:dyDescent="0.2">
      <c r="A22" s="451">
        <v>2313</v>
      </c>
      <c r="B22" s="452">
        <v>44032</v>
      </c>
      <c r="C22" s="453" t="s">
        <v>295</v>
      </c>
      <c r="D22" s="454" t="s">
        <v>1108</v>
      </c>
      <c r="E22" s="452">
        <v>43831</v>
      </c>
      <c r="F22" s="455" t="s">
        <v>1050</v>
      </c>
      <c r="G22" s="454" t="s">
        <v>418</v>
      </c>
      <c r="H22" s="461">
        <v>78</v>
      </c>
      <c r="I22" s="458" t="s">
        <v>296</v>
      </c>
      <c r="J22" s="459">
        <v>3000</v>
      </c>
      <c r="K22" s="459">
        <v>6000</v>
      </c>
      <c r="L22" s="459">
        <v>9000</v>
      </c>
      <c r="M22" s="459">
        <v>15000</v>
      </c>
      <c r="N22" s="454"/>
      <c r="O22" s="461">
        <v>2.9</v>
      </c>
      <c r="P22" s="461">
        <v>2.61</v>
      </c>
      <c r="Q22" s="461">
        <v>2.4</v>
      </c>
      <c r="R22" s="461">
        <v>2.2000000000000002</v>
      </c>
      <c r="S22" s="461">
        <v>2</v>
      </c>
      <c r="T22" s="461" t="s">
        <v>1395</v>
      </c>
      <c r="U22" s="461">
        <v>2.7</v>
      </c>
      <c r="V22" s="461">
        <v>2.54</v>
      </c>
      <c r="W22" s="461">
        <v>2.1</v>
      </c>
      <c r="X22" s="461">
        <v>1.9</v>
      </c>
      <c r="Y22" s="461">
        <v>1.7</v>
      </c>
      <c r="Z22" s="461" t="s">
        <v>1395</v>
      </c>
      <c r="AA22" s="461" t="s">
        <v>1395</v>
      </c>
      <c r="AB22" s="461" t="s">
        <v>1395</v>
      </c>
      <c r="AC22" s="461" t="s">
        <v>1395</v>
      </c>
      <c r="AD22" s="461" t="s">
        <v>1395</v>
      </c>
      <c r="AE22" s="461" t="s">
        <v>1395</v>
      </c>
      <c r="AF22" s="461"/>
      <c r="AG22" s="460" t="s">
        <v>297</v>
      </c>
      <c r="AH22" s="460" t="s">
        <v>298</v>
      </c>
      <c r="AI22" s="460">
        <v>3</v>
      </c>
      <c r="AJ22" s="460">
        <v>3</v>
      </c>
      <c r="AK22" s="480">
        <v>0.5</v>
      </c>
      <c r="AL22" s="480">
        <v>0.5</v>
      </c>
      <c r="AM22" s="454" t="s">
        <v>1118</v>
      </c>
      <c r="AN22" s="460">
        <v>0</v>
      </c>
      <c r="AO22" s="460">
        <v>16</v>
      </c>
      <c r="AP22" s="460">
        <v>0</v>
      </c>
      <c r="AQ22" s="460">
        <v>0</v>
      </c>
      <c r="AR22" s="460">
        <v>0</v>
      </c>
      <c r="AS22" s="460">
        <v>0</v>
      </c>
      <c r="AT22" s="460">
        <v>0</v>
      </c>
      <c r="AU22" s="460">
        <v>0</v>
      </c>
      <c r="AV22" s="460">
        <v>0</v>
      </c>
      <c r="AW22" s="460">
        <v>0</v>
      </c>
      <c r="AX22" s="460">
        <v>0</v>
      </c>
      <c r="AY22" s="460">
        <v>0</v>
      </c>
      <c r="AZ22" s="454"/>
      <c r="BA22" s="460" t="s">
        <v>1278</v>
      </c>
      <c r="BB22" s="460"/>
      <c r="BC22" s="460" t="s">
        <v>1278</v>
      </c>
      <c r="BD22" s="460"/>
      <c r="BE22" s="460"/>
      <c r="BF22" s="460"/>
      <c r="BG22" s="455"/>
      <c r="BH22" s="454"/>
      <c r="BI22" s="460"/>
      <c r="BJ22" s="460" t="s">
        <v>4</v>
      </c>
      <c r="BK22" s="460">
        <v>1</v>
      </c>
      <c r="BL22" s="455"/>
      <c r="BM22" s="454" t="s">
        <v>1287</v>
      </c>
      <c r="BN22" s="454" t="s">
        <v>368</v>
      </c>
      <c r="BO22" s="450"/>
    </row>
    <row r="23" spans="1:67" ht="13" customHeight="1" x14ac:dyDescent="0.2">
      <c r="A23" s="451">
        <v>2546</v>
      </c>
      <c r="B23" s="452">
        <v>44028</v>
      </c>
      <c r="C23" s="453" t="s">
        <v>295</v>
      </c>
      <c r="D23" s="454" t="s">
        <v>1108</v>
      </c>
      <c r="E23" s="465">
        <v>44028</v>
      </c>
      <c r="F23" s="454" t="s">
        <v>1052</v>
      </c>
      <c r="G23" s="454" t="s">
        <v>1181</v>
      </c>
      <c r="H23" s="461">
        <v>52.53</v>
      </c>
      <c r="I23" s="467" t="s">
        <v>296</v>
      </c>
      <c r="J23" s="459">
        <v>3000</v>
      </c>
      <c r="K23" s="459">
        <v>6000</v>
      </c>
      <c r="L23" s="459">
        <v>9000</v>
      </c>
      <c r="M23" s="459">
        <v>15000</v>
      </c>
      <c r="N23" s="468"/>
      <c r="O23" s="461">
        <v>2.64</v>
      </c>
      <c r="P23" s="461">
        <v>2.35</v>
      </c>
      <c r="Q23" s="461">
        <v>2.12</v>
      </c>
      <c r="R23" s="461">
        <v>2</v>
      </c>
      <c r="S23" s="461">
        <v>1.96</v>
      </c>
      <c r="T23" s="456" t="s">
        <v>1395</v>
      </c>
      <c r="U23" s="461">
        <v>2.52</v>
      </c>
      <c r="V23" s="461">
        <v>2.2799999999999998</v>
      </c>
      <c r="W23" s="461">
        <v>2.08</v>
      </c>
      <c r="X23" s="461">
        <v>1.97</v>
      </c>
      <c r="Y23" s="461">
        <v>1.95</v>
      </c>
      <c r="Z23" s="456" t="s">
        <v>1395</v>
      </c>
      <c r="AA23" s="461" t="s">
        <v>1395</v>
      </c>
      <c r="AB23" s="461" t="s">
        <v>1395</v>
      </c>
      <c r="AC23" s="461" t="s">
        <v>1395</v>
      </c>
      <c r="AD23" s="461" t="s">
        <v>1395</v>
      </c>
      <c r="AE23" s="461" t="s">
        <v>1395</v>
      </c>
      <c r="AF23" s="456"/>
      <c r="AG23" s="470" t="s">
        <v>297</v>
      </c>
      <c r="AH23" s="470" t="s">
        <v>298</v>
      </c>
      <c r="AI23" s="460">
        <v>3</v>
      </c>
      <c r="AJ23" s="460">
        <v>3</v>
      </c>
      <c r="AK23" s="480">
        <v>0.5</v>
      </c>
      <c r="AL23" s="480">
        <v>0.5</v>
      </c>
      <c r="AM23" s="454" t="s">
        <v>1118</v>
      </c>
      <c r="AN23" s="460">
        <v>0</v>
      </c>
      <c r="AO23" s="460">
        <v>0</v>
      </c>
      <c r="AP23" s="460">
        <v>0</v>
      </c>
      <c r="AQ23" s="460">
        <v>0</v>
      </c>
      <c r="AR23" s="460">
        <v>0</v>
      </c>
      <c r="AS23" s="460">
        <v>0</v>
      </c>
      <c r="AT23" s="460">
        <v>0</v>
      </c>
      <c r="AU23" s="460">
        <v>0</v>
      </c>
      <c r="AV23" s="460">
        <v>0</v>
      </c>
      <c r="AW23" s="460">
        <v>0</v>
      </c>
      <c r="AX23" s="460">
        <v>0</v>
      </c>
      <c r="AY23" s="460">
        <v>0</v>
      </c>
      <c r="AZ23" s="460"/>
      <c r="BA23" s="460" t="s">
        <v>1278</v>
      </c>
      <c r="BB23" s="460"/>
      <c r="BC23" s="460" t="s">
        <v>1278</v>
      </c>
      <c r="BD23" s="460"/>
      <c r="BE23" s="460"/>
      <c r="BF23" s="460"/>
      <c r="BG23" s="455"/>
      <c r="BH23" s="454"/>
      <c r="BI23" s="460"/>
      <c r="BJ23" s="460" t="s">
        <v>4</v>
      </c>
      <c r="BK23" s="460"/>
      <c r="BL23" s="455"/>
      <c r="BM23" s="481" t="s">
        <v>1155</v>
      </c>
      <c r="BN23" s="454" t="s">
        <v>408</v>
      </c>
      <c r="BO23" s="450"/>
    </row>
    <row r="24" spans="1:67" ht="13" customHeight="1" x14ac:dyDescent="0.2">
      <c r="A24" s="451">
        <v>2114</v>
      </c>
      <c r="B24" s="452">
        <v>44028</v>
      </c>
      <c r="C24" s="453" t="s">
        <v>295</v>
      </c>
      <c r="D24" s="454" t="s">
        <v>1108</v>
      </c>
      <c r="E24" s="452">
        <v>43924</v>
      </c>
      <c r="F24" s="455" t="s">
        <v>1054</v>
      </c>
      <c r="G24" s="454" t="s">
        <v>1157</v>
      </c>
      <c r="H24" s="461">
        <v>79.8</v>
      </c>
      <c r="I24" s="458" t="s">
        <v>296</v>
      </c>
      <c r="J24" s="459">
        <v>6000</v>
      </c>
      <c r="K24" s="459">
        <v>6000</v>
      </c>
      <c r="L24" s="459">
        <v>6000</v>
      </c>
      <c r="M24" s="459">
        <v>6000</v>
      </c>
      <c r="N24" s="454"/>
      <c r="O24" s="461">
        <v>2.62</v>
      </c>
      <c r="P24" s="482">
        <v>0</v>
      </c>
      <c r="Q24" s="461">
        <v>0</v>
      </c>
      <c r="R24" s="461">
        <v>0</v>
      </c>
      <c r="S24" s="461">
        <v>1.89</v>
      </c>
      <c r="T24" s="461" t="s">
        <v>1395</v>
      </c>
      <c r="U24" s="461">
        <v>2.62</v>
      </c>
      <c r="V24" s="482">
        <v>0</v>
      </c>
      <c r="W24" s="461">
        <v>0</v>
      </c>
      <c r="X24" s="461">
        <v>0</v>
      </c>
      <c r="Y24" s="461">
        <v>1.89</v>
      </c>
      <c r="Z24" s="461" t="s">
        <v>1395</v>
      </c>
      <c r="AA24" s="461" t="s">
        <v>1395</v>
      </c>
      <c r="AB24" s="461" t="s">
        <v>1395</v>
      </c>
      <c r="AC24" s="461" t="s">
        <v>1395</v>
      </c>
      <c r="AD24" s="461" t="s">
        <v>1395</v>
      </c>
      <c r="AE24" s="461" t="s">
        <v>1395</v>
      </c>
      <c r="AF24" s="461"/>
      <c r="AG24" s="460" t="s">
        <v>1278</v>
      </c>
      <c r="AH24" s="454"/>
      <c r="AI24" s="460">
        <v>3</v>
      </c>
      <c r="AJ24" s="460">
        <v>3</v>
      </c>
      <c r="AK24" s="480">
        <v>0.5</v>
      </c>
      <c r="AL24" s="480">
        <v>0.5</v>
      </c>
      <c r="AM24" s="454"/>
      <c r="AN24" s="460">
        <v>23</v>
      </c>
      <c r="AO24" s="460">
        <v>0</v>
      </c>
      <c r="AP24" s="460">
        <v>0</v>
      </c>
      <c r="AQ24" s="460">
        <v>0</v>
      </c>
      <c r="AR24" s="460">
        <v>0</v>
      </c>
      <c r="AS24" s="460">
        <v>0</v>
      </c>
      <c r="AT24" s="460">
        <v>0</v>
      </c>
      <c r="AU24" s="460">
        <v>0</v>
      </c>
      <c r="AV24" s="460">
        <v>0</v>
      </c>
      <c r="AW24" s="460">
        <v>0</v>
      </c>
      <c r="AX24" s="460">
        <v>0</v>
      </c>
      <c r="AY24" s="460">
        <v>0</v>
      </c>
      <c r="AZ24" s="472">
        <v>12</v>
      </c>
      <c r="BA24" s="460" t="s">
        <v>1278</v>
      </c>
      <c r="BB24" s="460">
        <v>12</v>
      </c>
      <c r="BC24" s="460" t="s">
        <v>1278</v>
      </c>
      <c r="BD24" s="460"/>
      <c r="BE24" s="460">
        <v>12</v>
      </c>
      <c r="BF24" s="460"/>
      <c r="BG24" s="455"/>
      <c r="BH24" s="454"/>
      <c r="BI24" s="460"/>
      <c r="BJ24" s="460" t="s">
        <v>4</v>
      </c>
      <c r="BK24" s="460"/>
      <c r="BL24" s="455"/>
      <c r="BM24" s="484" t="s">
        <v>1413</v>
      </c>
      <c r="BN24" s="454" t="s">
        <v>368</v>
      </c>
      <c r="BO24" s="450"/>
    </row>
    <row r="25" spans="1:67" ht="13" customHeight="1" x14ac:dyDescent="0.2">
      <c r="A25" s="451">
        <v>1975</v>
      </c>
      <c r="B25" s="452">
        <v>44028</v>
      </c>
      <c r="C25" s="453" t="s">
        <v>295</v>
      </c>
      <c r="D25" s="454" t="s">
        <v>1108</v>
      </c>
      <c r="E25" s="452">
        <v>44025</v>
      </c>
      <c r="F25" s="455" t="s">
        <v>1055</v>
      </c>
      <c r="G25" s="454" t="s">
        <v>1400</v>
      </c>
      <c r="H25" s="461">
        <v>63.05</v>
      </c>
      <c r="I25" s="458" t="s">
        <v>296</v>
      </c>
      <c r="J25" s="459">
        <v>3000</v>
      </c>
      <c r="K25" s="459">
        <v>6000</v>
      </c>
      <c r="L25" s="459">
        <v>9000</v>
      </c>
      <c r="M25" s="459">
        <v>15000</v>
      </c>
      <c r="N25" s="454"/>
      <c r="O25" s="461">
        <v>2.04</v>
      </c>
      <c r="P25" s="461">
        <v>1.89</v>
      </c>
      <c r="Q25" s="461">
        <v>1.75</v>
      </c>
      <c r="R25" s="461">
        <v>1.57</v>
      </c>
      <c r="S25" s="461">
        <v>1.54</v>
      </c>
      <c r="T25" s="461" t="s">
        <v>1395</v>
      </c>
      <c r="U25" s="461">
        <v>1.88</v>
      </c>
      <c r="V25" s="461">
        <v>1.78</v>
      </c>
      <c r="W25" s="461">
        <v>1.65</v>
      </c>
      <c r="X25" s="461">
        <v>1.55</v>
      </c>
      <c r="Y25" s="461">
        <v>1.51</v>
      </c>
      <c r="Z25" s="461" t="s">
        <v>1395</v>
      </c>
      <c r="AA25" s="461" t="s">
        <v>1395</v>
      </c>
      <c r="AB25" s="461" t="s">
        <v>1395</v>
      </c>
      <c r="AC25" s="461" t="s">
        <v>1395</v>
      </c>
      <c r="AD25" s="461" t="s">
        <v>1395</v>
      </c>
      <c r="AE25" s="461" t="s">
        <v>1395</v>
      </c>
      <c r="AF25" s="461"/>
      <c r="AG25" s="460" t="s">
        <v>297</v>
      </c>
      <c r="AH25" s="460" t="s">
        <v>298</v>
      </c>
      <c r="AI25" s="460">
        <v>3</v>
      </c>
      <c r="AJ25" s="460">
        <v>3</v>
      </c>
      <c r="AK25" s="480">
        <v>0.5</v>
      </c>
      <c r="AL25" s="480">
        <v>0.5</v>
      </c>
      <c r="AM25" s="454" t="s">
        <v>1118</v>
      </c>
      <c r="AN25" s="460">
        <v>0</v>
      </c>
      <c r="AO25" s="460">
        <v>0</v>
      </c>
      <c r="AP25" s="460">
        <v>0</v>
      </c>
      <c r="AQ25" s="460">
        <v>0</v>
      </c>
      <c r="AR25" s="460">
        <v>0</v>
      </c>
      <c r="AS25" s="460">
        <v>0</v>
      </c>
      <c r="AT25" s="460">
        <v>0</v>
      </c>
      <c r="AU25" s="460">
        <v>0</v>
      </c>
      <c r="AV25" s="460">
        <v>0</v>
      </c>
      <c r="AW25" s="460">
        <v>0</v>
      </c>
      <c r="AX25" s="460">
        <v>0</v>
      </c>
      <c r="AY25" s="460">
        <v>0</v>
      </c>
      <c r="AZ25" s="454"/>
      <c r="BA25" s="460" t="s">
        <v>1278</v>
      </c>
      <c r="BB25" s="460"/>
      <c r="BC25" s="460" t="s">
        <v>1278</v>
      </c>
      <c r="BD25" s="460"/>
      <c r="BE25" s="460"/>
      <c r="BF25" s="460"/>
      <c r="BG25" s="460"/>
      <c r="BH25" s="460"/>
      <c r="BI25" s="460"/>
      <c r="BJ25" s="460" t="s">
        <v>4</v>
      </c>
      <c r="BK25" s="460"/>
      <c r="BL25" s="455"/>
      <c r="BM25" s="481" t="s">
        <v>430</v>
      </c>
      <c r="BN25" s="454" t="s">
        <v>408</v>
      </c>
      <c r="BO25" s="450"/>
    </row>
    <row r="26" spans="1:67" ht="13" customHeight="1" x14ac:dyDescent="0.2">
      <c r="A26" s="451">
        <v>313</v>
      </c>
      <c r="B26" s="452">
        <v>44028</v>
      </c>
      <c r="C26" s="453" t="s">
        <v>295</v>
      </c>
      <c r="D26" s="454" t="s">
        <v>1108</v>
      </c>
      <c r="E26" s="452">
        <v>44013</v>
      </c>
      <c r="F26" s="454" t="s">
        <v>1057</v>
      </c>
      <c r="G26" s="454" t="s">
        <v>1181</v>
      </c>
      <c r="H26" s="461">
        <v>81.239999999999995</v>
      </c>
      <c r="I26" s="458" t="s">
        <v>296</v>
      </c>
      <c r="J26" s="459">
        <v>3000</v>
      </c>
      <c r="K26" s="459">
        <v>6000</v>
      </c>
      <c r="L26" s="459">
        <v>9000</v>
      </c>
      <c r="M26" s="459">
        <v>15000</v>
      </c>
      <c r="N26" s="454"/>
      <c r="O26" s="461">
        <v>2.31</v>
      </c>
      <c r="P26" s="461">
        <v>2.11</v>
      </c>
      <c r="Q26" s="461">
        <v>1.86</v>
      </c>
      <c r="R26" s="461">
        <v>1.74</v>
      </c>
      <c r="S26" s="461">
        <v>1.7</v>
      </c>
      <c r="T26" s="461" t="s">
        <v>1395</v>
      </c>
      <c r="U26" s="461">
        <v>2.15</v>
      </c>
      <c r="V26" s="461">
        <v>1.97</v>
      </c>
      <c r="W26" s="461">
        <v>1.77</v>
      </c>
      <c r="X26" s="461">
        <v>1.66</v>
      </c>
      <c r="Y26" s="461">
        <v>1.64</v>
      </c>
      <c r="Z26" s="461" t="s">
        <v>1395</v>
      </c>
      <c r="AA26" s="461" t="s">
        <v>1395</v>
      </c>
      <c r="AB26" s="461" t="s">
        <v>1395</v>
      </c>
      <c r="AC26" s="461" t="s">
        <v>1395</v>
      </c>
      <c r="AD26" s="461" t="s">
        <v>1395</v>
      </c>
      <c r="AE26" s="461" t="s">
        <v>1395</v>
      </c>
      <c r="AF26" s="461"/>
      <c r="AG26" s="460" t="s">
        <v>297</v>
      </c>
      <c r="AH26" s="460" t="s">
        <v>298</v>
      </c>
      <c r="AI26" s="460">
        <v>3</v>
      </c>
      <c r="AJ26" s="460">
        <v>3</v>
      </c>
      <c r="AK26" s="480">
        <v>0.5</v>
      </c>
      <c r="AL26" s="480">
        <v>0.5</v>
      </c>
      <c r="AM26" s="454" t="s">
        <v>1118</v>
      </c>
      <c r="AN26" s="460">
        <v>0</v>
      </c>
      <c r="AO26" s="460">
        <v>0</v>
      </c>
      <c r="AP26" s="460">
        <v>0</v>
      </c>
      <c r="AQ26" s="460">
        <v>0</v>
      </c>
      <c r="AR26" s="460">
        <v>0</v>
      </c>
      <c r="AS26" s="460">
        <v>0</v>
      </c>
      <c r="AT26" s="460">
        <v>0</v>
      </c>
      <c r="AU26" s="460">
        <v>0</v>
      </c>
      <c r="AV26" s="460">
        <v>0</v>
      </c>
      <c r="AW26" s="460">
        <v>0</v>
      </c>
      <c r="AX26" s="460">
        <v>0</v>
      </c>
      <c r="AY26" s="460">
        <v>0</v>
      </c>
      <c r="AZ26" s="454"/>
      <c r="BA26" s="460" t="s">
        <v>1278</v>
      </c>
      <c r="BB26" s="460"/>
      <c r="BC26" s="460" t="s">
        <v>1278</v>
      </c>
      <c r="BD26" s="460"/>
      <c r="BE26" s="460"/>
      <c r="BF26" s="460"/>
      <c r="BG26" s="455"/>
      <c r="BH26" s="454"/>
      <c r="BI26" s="460"/>
      <c r="BJ26" s="460" t="s">
        <v>4</v>
      </c>
      <c r="BK26" s="460"/>
      <c r="BL26" s="455"/>
      <c r="BM26" s="484" t="s">
        <v>1402</v>
      </c>
      <c r="BN26" s="454" t="s">
        <v>368</v>
      </c>
      <c r="BO26" s="450"/>
    </row>
    <row r="27" spans="1:67" ht="13" customHeight="1" x14ac:dyDescent="0.2">
      <c r="A27" s="451">
        <v>2258</v>
      </c>
      <c r="B27" s="452">
        <v>44028</v>
      </c>
      <c r="C27" s="453" t="s">
        <v>295</v>
      </c>
      <c r="D27" s="454" t="s">
        <v>1108</v>
      </c>
      <c r="E27" s="452">
        <v>44013</v>
      </c>
      <c r="F27" s="455" t="s">
        <v>981</v>
      </c>
      <c r="G27" s="454" t="s">
        <v>1167</v>
      </c>
      <c r="H27" s="461">
        <v>70</v>
      </c>
      <c r="I27" s="458" t="s">
        <v>296</v>
      </c>
      <c r="J27" s="459">
        <v>6000</v>
      </c>
      <c r="K27" s="459">
        <v>9000</v>
      </c>
      <c r="L27" s="459">
        <v>9000</v>
      </c>
      <c r="M27" s="459">
        <v>9000</v>
      </c>
      <c r="N27" s="459"/>
      <c r="O27" s="461">
        <v>2.4</v>
      </c>
      <c r="P27" s="461">
        <v>1.95</v>
      </c>
      <c r="Q27" s="482">
        <v>0</v>
      </c>
      <c r="R27" s="461">
        <v>0</v>
      </c>
      <c r="S27" s="461">
        <v>1.45</v>
      </c>
      <c r="T27" s="461" t="s">
        <v>1395</v>
      </c>
      <c r="U27" s="461">
        <v>2.2000000000000002</v>
      </c>
      <c r="V27" s="461">
        <v>1.75</v>
      </c>
      <c r="W27" s="482">
        <v>0</v>
      </c>
      <c r="X27" s="461">
        <v>0</v>
      </c>
      <c r="Y27" s="461">
        <v>1.35</v>
      </c>
      <c r="Z27" s="461" t="s">
        <v>1395</v>
      </c>
      <c r="AA27" s="461" t="s">
        <v>1395</v>
      </c>
      <c r="AB27" s="461" t="s">
        <v>1395</v>
      </c>
      <c r="AC27" s="461" t="s">
        <v>1395</v>
      </c>
      <c r="AD27" s="461" t="s">
        <v>1395</v>
      </c>
      <c r="AE27" s="461" t="s">
        <v>1395</v>
      </c>
      <c r="AF27" s="461"/>
      <c r="AG27" s="460" t="s">
        <v>297</v>
      </c>
      <c r="AH27" s="460" t="s">
        <v>298</v>
      </c>
      <c r="AI27" s="460">
        <v>3</v>
      </c>
      <c r="AJ27" s="460">
        <v>3</v>
      </c>
      <c r="AK27" s="480">
        <v>0.5</v>
      </c>
      <c r="AL27" s="480">
        <v>0.5</v>
      </c>
      <c r="AM27" s="454" t="s">
        <v>1118</v>
      </c>
      <c r="AN27" s="460">
        <v>11</v>
      </c>
      <c r="AO27" s="460">
        <v>0</v>
      </c>
      <c r="AP27" s="460">
        <v>0</v>
      </c>
      <c r="AQ27" s="460">
        <v>0</v>
      </c>
      <c r="AR27" s="460">
        <v>0</v>
      </c>
      <c r="AS27" s="460">
        <v>0</v>
      </c>
      <c r="AT27" s="460">
        <v>0</v>
      </c>
      <c r="AU27" s="460">
        <v>0</v>
      </c>
      <c r="AV27" s="460">
        <v>0</v>
      </c>
      <c r="AW27" s="460">
        <v>0</v>
      </c>
      <c r="AX27" s="460">
        <v>0</v>
      </c>
      <c r="AY27" s="460">
        <v>0</v>
      </c>
      <c r="AZ27" s="454"/>
      <c r="BA27" s="460" t="s">
        <v>1278</v>
      </c>
      <c r="BB27" s="460">
        <v>12</v>
      </c>
      <c r="BC27" s="460" t="s">
        <v>1278</v>
      </c>
      <c r="BD27" s="460"/>
      <c r="BE27" s="460"/>
      <c r="BF27" s="460"/>
      <c r="BG27" s="455"/>
      <c r="BH27" s="454"/>
      <c r="BI27" s="460"/>
      <c r="BJ27" s="460" t="s">
        <v>4</v>
      </c>
      <c r="BK27" s="460"/>
      <c r="BL27" s="455"/>
      <c r="BM27" s="454" t="s">
        <v>430</v>
      </c>
      <c r="BN27" s="454" t="s">
        <v>368</v>
      </c>
      <c r="BO27" s="450"/>
    </row>
    <row r="28" spans="1:67" ht="13" customHeight="1" x14ac:dyDescent="0.2">
      <c r="A28" s="451">
        <v>2395</v>
      </c>
      <c r="B28" s="452">
        <v>44029</v>
      </c>
      <c r="C28" s="453" t="s">
        <v>295</v>
      </c>
      <c r="D28" s="454" t="s">
        <v>1108</v>
      </c>
      <c r="E28" s="465">
        <v>43984</v>
      </c>
      <c r="F28" s="455" t="s">
        <v>982</v>
      </c>
      <c r="G28" s="454" t="s">
        <v>1297</v>
      </c>
      <c r="H28" s="461">
        <v>65.52</v>
      </c>
      <c r="I28" s="458" t="s">
        <v>296</v>
      </c>
      <c r="J28" s="459">
        <v>3000</v>
      </c>
      <c r="K28" s="459">
        <v>6000</v>
      </c>
      <c r="L28" s="459">
        <v>9000</v>
      </c>
      <c r="M28" s="459">
        <v>15000</v>
      </c>
      <c r="N28" s="454"/>
      <c r="O28" s="461">
        <v>2.06</v>
      </c>
      <c r="P28" s="461">
        <v>1.94</v>
      </c>
      <c r="Q28" s="461">
        <v>1.71</v>
      </c>
      <c r="R28" s="461">
        <v>1.62</v>
      </c>
      <c r="S28" s="461">
        <v>1.53</v>
      </c>
      <c r="T28" s="461" t="s">
        <v>1395</v>
      </c>
      <c r="U28" s="461">
        <v>1.96</v>
      </c>
      <c r="V28" s="461">
        <v>1.8</v>
      </c>
      <c r="W28" s="461">
        <v>1.62</v>
      </c>
      <c r="X28" s="461">
        <v>1.53</v>
      </c>
      <c r="Y28" s="461">
        <v>1.48</v>
      </c>
      <c r="Z28" s="461" t="s">
        <v>1395</v>
      </c>
      <c r="AA28" s="461" t="s">
        <v>1395</v>
      </c>
      <c r="AB28" s="461" t="s">
        <v>1395</v>
      </c>
      <c r="AC28" s="461" t="s">
        <v>1395</v>
      </c>
      <c r="AD28" s="461" t="s">
        <v>1395</v>
      </c>
      <c r="AE28" s="461" t="s">
        <v>1395</v>
      </c>
      <c r="AF28" s="461"/>
      <c r="AG28" s="460" t="s">
        <v>297</v>
      </c>
      <c r="AH28" s="460" t="s">
        <v>298</v>
      </c>
      <c r="AI28" s="460">
        <v>3</v>
      </c>
      <c r="AJ28" s="460">
        <v>3</v>
      </c>
      <c r="AK28" s="480">
        <v>0.5</v>
      </c>
      <c r="AL28" s="480">
        <v>0.5</v>
      </c>
      <c r="AM28" s="454" t="s">
        <v>1118</v>
      </c>
      <c r="AN28" s="460">
        <v>0</v>
      </c>
      <c r="AO28" s="460">
        <v>0</v>
      </c>
      <c r="AP28" s="460">
        <v>0</v>
      </c>
      <c r="AQ28" s="460">
        <v>0</v>
      </c>
      <c r="AR28" s="460">
        <v>0</v>
      </c>
      <c r="AS28" s="460">
        <v>0</v>
      </c>
      <c r="AT28" s="460">
        <v>0</v>
      </c>
      <c r="AU28" s="460">
        <v>0</v>
      </c>
      <c r="AV28" s="460">
        <v>0</v>
      </c>
      <c r="AW28" s="460">
        <v>0</v>
      </c>
      <c r="AX28" s="460">
        <v>0</v>
      </c>
      <c r="AY28" s="460">
        <v>0</v>
      </c>
      <c r="AZ28" s="460"/>
      <c r="BA28" s="460" t="s">
        <v>1278</v>
      </c>
      <c r="BB28" s="460"/>
      <c r="BC28" s="460" t="s">
        <v>1278</v>
      </c>
      <c r="BD28" s="460"/>
      <c r="BE28" s="460"/>
      <c r="BF28" s="460"/>
      <c r="BG28" s="455"/>
      <c r="BH28" s="454"/>
      <c r="BI28" s="460"/>
      <c r="BJ28" s="460" t="s">
        <v>4</v>
      </c>
      <c r="BK28" s="460"/>
      <c r="BL28" s="455"/>
      <c r="BM28" s="484" t="s">
        <v>1414</v>
      </c>
      <c r="BN28" s="454" t="s">
        <v>368</v>
      </c>
      <c r="BO28" s="450"/>
    </row>
    <row r="29" spans="1:67" ht="13" customHeight="1" x14ac:dyDescent="0.2">
      <c r="A29" s="451">
        <v>2697</v>
      </c>
      <c r="B29" s="452">
        <v>44029</v>
      </c>
      <c r="C29" s="453" t="s">
        <v>295</v>
      </c>
      <c r="D29" s="454" t="s">
        <v>1108</v>
      </c>
      <c r="E29" s="465">
        <v>44013</v>
      </c>
      <c r="F29" s="455" t="s">
        <v>984</v>
      </c>
      <c r="G29" s="454" t="s">
        <v>1405</v>
      </c>
      <c r="H29" s="461">
        <v>83.67</v>
      </c>
      <c r="I29" s="458" t="s">
        <v>296</v>
      </c>
      <c r="J29" s="459">
        <v>3000</v>
      </c>
      <c r="K29" s="459">
        <v>6000</v>
      </c>
      <c r="L29" s="459">
        <v>9000</v>
      </c>
      <c r="M29" s="459">
        <v>15000</v>
      </c>
      <c r="N29" s="454"/>
      <c r="O29" s="462">
        <v>2.4900000000000002</v>
      </c>
      <c r="P29" s="462">
        <v>2.15</v>
      </c>
      <c r="Q29" s="462">
        <v>1.82</v>
      </c>
      <c r="R29" s="462">
        <v>1.64</v>
      </c>
      <c r="S29" s="462">
        <v>1.59</v>
      </c>
      <c r="T29" s="461" t="s">
        <v>1395</v>
      </c>
      <c r="U29" s="461">
        <v>2.34</v>
      </c>
      <c r="V29" s="461">
        <v>2.04</v>
      </c>
      <c r="W29" s="461">
        <v>1.76</v>
      </c>
      <c r="X29" s="461">
        <v>1.61</v>
      </c>
      <c r="Y29" s="461">
        <v>1.58</v>
      </c>
      <c r="Z29" s="461" t="s">
        <v>1395</v>
      </c>
      <c r="AA29" s="461">
        <v>2.44</v>
      </c>
      <c r="AB29" s="461">
        <v>2.11</v>
      </c>
      <c r="AC29" s="461">
        <v>1.8</v>
      </c>
      <c r="AD29" s="461">
        <v>1.63</v>
      </c>
      <c r="AE29" s="461">
        <v>1.59</v>
      </c>
      <c r="AF29" s="461"/>
      <c r="AG29" s="460" t="s">
        <v>297</v>
      </c>
      <c r="AH29" s="460" t="s">
        <v>298</v>
      </c>
      <c r="AI29" s="460">
        <v>3</v>
      </c>
      <c r="AJ29" s="460">
        <v>3</v>
      </c>
      <c r="AK29" s="480">
        <v>0.5</v>
      </c>
      <c r="AL29" s="480">
        <v>0.5</v>
      </c>
      <c r="AM29" s="454" t="s">
        <v>1123</v>
      </c>
      <c r="AN29" s="460">
        <v>20</v>
      </c>
      <c r="AO29" s="460">
        <v>0</v>
      </c>
      <c r="AP29" s="460">
        <v>0</v>
      </c>
      <c r="AQ29" s="460">
        <v>0</v>
      </c>
      <c r="AR29" s="460">
        <v>0</v>
      </c>
      <c r="AS29" s="460">
        <v>0</v>
      </c>
      <c r="AT29" s="460">
        <v>0</v>
      </c>
      <c r="AU29" s="460">
        <v>0</v>
      </c>
      <c r="AV29" s="460">
        <v>0</v>
      </c>
      <c r="AW29" s="460">
        <v>0</v>
      </c>
      <c r="AX29" s="460">
        <v>0</v>
      </c>
      <c r="AY29" s="460">
        <v>0</v>
      </c>
      <c r="AZ29" s="454"/>
      <c r="BA29" s="460" t="s">
        <v>1278</v>
      </c>
      <c r="BB29" s="460"/>
      <c r="BC29" s="460" t="s">
        <v>1278</v>
      </c>
      <c r="BD29" s="460"/>
      <c r="BE29" s="460"/>
      <c r="BF29" s="460"/>
      <c r="BG29" s="455"/>
      <c r="BH29" s="454"/>
      <c r="BI29" s="460"/>
      <c r="BJ29" s="460" t="s">
        <v>4</v>
      </c>
      <c r="BK29" s="460"/>
      <c r="BL29" s="455"/>
      <c r="BM29" s="484" t="s">
        <v>430</v>
      </c>
      <c r="BN29" s="454" t="s">
        <v>368</v>
      </c>
      <c r="BO29" s="450"/>
    </row>
    <row r="30" spans="1:67" ht="13" customHeight="1" x14ac:dyDescent="0.2">
      <c r="A30" s="451">
        <v>2224</v>
      </c>
      <c r="B30" s="452">
        <v>44032</v>
      </c>
      <c r="C30" s="453" t="s">
        <v>295</v>
      </c>
      <c r="D30" s="454" t="s">
        <v>1108</v>
      </c>
      <c r="E30" s="465">
        <v>43831</v>
      </c>
      <c r="F30" s="454" t="s">
        <v>985</v>
      </c>
      <c r="G30" s="454" t="s">
        <v>1174</v>
      </c>
      <c r="H30" s="461">
        <v>65</v>
      </c>
      <c r="I30" s="467" t="s">
        <v>296</v>
      </c>
      <c r="J30" s="469">
        <v>3000</v>
      </c>
      <c r="K30" s="469">
        <v>6000</v>
      </c>
      <c r="L30" s="469">
        <v>9000</v>
      </c>
      <c r="M30" s="469">
        <v>15000</v>
      </c>
      <c r="N30" s="468"/>
      <c r="O30" s="461">
        <v>2.33</v>
      </c>
      <c r="P30" s="461">
        <v>2.0299999999999998</v>
      </c>
      <c r="Q30" s="461">
        <v>1.77</v>
      </c>
      <c r="R30" s="461">
        <v>1.41</v>
      </c>
      <c r="S30" s="461">
        <v>1.3</v>
      </c>
      <c r="T30" s="456" t="s">
        <v>1395</v>
      </c>
      <c r="U30" s="461">
        <v>2.0299999999999998</v>
      </c>
      <c r="V30" s="461">
        <v>1.72</v>
      </c>
      <c r="W30" s="461">
        <v>1.57</v>
      </c>
      <c r="X30" s="461">
        <v>1.31</v>
      </c>
      <c r="Y30" s="461">
        <v>1.1100000000000001</v>
      </c>
      <c r="Z30" s="456"/>
      <c r="AA30" s="461"/>
      <c r="AB30" s="461"/>
      <c r="AC30" s="461"/>
      <c r="AD30" s="461"/>
      <c r="AE30" s="461"/>
      <c r="AF30" s="456"/>
      <c r="AG30" s="470" t="s">
        <v>297</v>
      </c>
      <c r="AH30" s="470" t="s">
        <v>298</v>
      </c>
      <c r="AI30" s="460">
        <v>3</v>
      </c>
      <c r="AJ30" s="460">
        <v>3</v>
      </c>
      <c r="AK30" s="480">
        <v>0.5</v>
      </c>
      <c r="AL30" s="480">
        <v>0.5</v>
      </c>
      <c r="AM30" s="454" t="s">
        <v>1118</v>
      </c>
      <c r="AN30" s="460">
        <v>0</v>
      </c>
      <c r="AO30" s="460">
        <v>0</v>
      </c>
      <c r="AP30" s="460">
        <v>5</v>
      </c>
      <c r="AQ30" s="460">
        <v>0</v>
      </c>
      <c r="AR30" s="460">
        <v>0</v>
      </c>
      <c r="AS30" s="460">
        <v>0</v>
      </c>
      <c r="AT30" s="460">
        <v>0</v>
      </c>
      <c r="AU30" s="460">
        <v>0</v>
      </c>
      <c r="AV30" s="460">
        <v>0</v>
      </c>
      <c r="AW30" s="460">
        <v>0</v>
      </c>
      <c r="AX30" s="460">
        <v>0</v>
      </c>
      <c r="AY30" s="460">
        <v>0</v>
      </c>
      <c r="AZ30" s="460"/>
      <c r="BA30" s="460" t="s">
        <v>1278</v>
      </c>
      <c r="BB30" s="460">
        <v>12</v>
      </c>
      <c r="BC30" s="460" t="s">
        <v>1278</v>
      </c>
      <c r="BD30" s="460"/>
      <c r="BE30" s="460"/>
      <c r="BF30" s="460"/>
      <c r="BG30" s="455"/>
      <c r="BH30" s="454"/>
      <c r="BI30" s="460"/>
      <c r="BJ30" s="460" t="s">
        <v>411</v>
      </c>
      <c r="BK30" s="460"/>
      <c r="BL30" s="455"/>
      <c r="BM30" s="481" t="s">
        <v>1415</v>
      </c>
      <c r="BN30" s="454" t="s">
        <v>368</v>
      </c>
      <c r="BO30" s="450"/>
    </row>
    <row r="31" spans="1:67" ht="13" customHeight="1" x14ac:dyDescent="0.2">
      <c r="A31" s="451">
        <v>1921</v>
      </c>
      <c r="B31" s="452">
        <v>44028</v>
      </c>
      <c r="C31" s="453" t="s">
        <v>295</v>
      </c>
      <c r="D31" s="454" t="s">
        <v>1108</v>
      </c>
      <c r="E31" s="452">
        <v>43831</v>
      </c>
      <c r="F31" s="455" t="s">
        <v>987</v>
      </c>
      <c r="G31" s="454" t="s">
        <v>1127</v>
      </c>
      <c r="H31" s="461">
        <v>53.11</v>
      </c>
      <c r="I31" s="458" t="s">
        <v>296</v>
      </c>
      <c r="J31" s="469">
        <v>3000</v>
      </c>
      <c r="K31" s="469">
        <v>6000</v>
      </c>
      <c r="L31" s="469">
        <v>9000</v>
      </c>
      <c r="M31" s="469">
        <v>15000</v>
      </c>
      <c r="N31" s="454"/>
      <c r="O31" s="461">
        <v>2.2799999999999998</v>
      </c>
      <c r="P31" s="461">
        <v>2.0099999999999998</v>
      </c>
      <c r="Q31" s="461">
        <v>1.73</v>
      </c>
      <c r="R31" s="461">
        <v>1.6</v>
      </c>
      <c r="S31" s="461">
        <v>1.53</v>
      </c>
      <c r="T31" s="461" t="s">
        <v>1395</v>
      </c>
      <c r="U31" s="461">
        <v>2.21</v>
      </c>
      <c r="V31" s="461">
        <v>1.97</v>
      </c>
      <c r="W31" s="461">
        <v>1.7</v>
      </c>
      <c r="X31" s="461">
        <v>1.6</v>
      </c>
      <c r="Y31" s="461">
        <v>1.56</v>
      </c>
      <c r="Z31" s="461"/>
      <c r="AA31" s="461"/>
      <c r="AB31" s="461"/>
      <c r="AC31" s="461"/>
      <c r="AD31" s="461"/>
      <c r="AE31" s="461"/>
      <c r="AF31" s="461"/>
      <c r="AG31" s="460" t="s">
        <v>297</v>
      </c>
      <c r="AH31" s="460" t="s">
        <v>298</v>
      </c>
      <c r="AI31" s="460">
        <v>3</v>
      </c>
      <c r="AJ31" s="460">
        <v>3</v>
      </c>
      <c r="AK31" s="480">
        <v>0.5</v>
      </c>
      <c r="AL31" s="480">
        <v>0.5</v>
      </c>
      <c r="AM31" s="454" t="s">
        <v>1118</v>
      </c>
      <c r="AN31" s="460">
        <v>0</v>
      </c>
      <c r="AO31" s="460">
        <v>0</v>
      </c>
      <c r="AP31" s="460">
        <v>0</v>
      </c>
      <c r="AQ31" s="460">
        <v>0</v>
      </c>
      <c r="AR31" s="460">
        <v>0</v>
      </c>
      <c r="AS31" s="460">
        <v>0</v>
      </c>
      <c r="AT31" s="460">
        <v>0</v>
      </c>
      <c r="AU31" s="460">
        <v>0</v>
      </c>
      <c r="AV31" s="460">
        <v>0</v>
      </c>
      <c r="AW31" s="460">
        <v>0</v>
      </c>
      <c r="AX31" s="460">
        <v>0</v>
      </c>
      <c r="AY31" s="460">
        <v>0</v>
      </c>
      <c r="AZ31" s="460"/>
      <c r="BA31" s="460" t="s">
        <v>1278</v>
      </c>
      <c r="BB31" s="460"/>
      <c r="BC31" s="460" t="s">
        <v>1278</v>
      </c>
      <c r="BD31" s="460"/>
      <c r="BE31" s="460"/>
      <c r="BF31" s="460"/>
      <c r="BG31" s="455"/>
      <c r="BH31" s="454"/>
      <c r="BI31" s="460"/>
      <c r="BJ31" s="460" t="s">
        <v>4</v>
      </c>
      <c r="BK31" s="460">
        <v>1</v>
      </c>
      <c r="BL31" s="455"/>
      <c r="BM31" s="454" t="s">
        <v>1189</v>
      </c>
      <c r="BN31" s="454" t="s">
        <v>368</v>
      </c>
      <c r="BO31" s="450"/>
    </row>
    <row r="32" spans="1:67" ht="13" customHeight="1" x14ac:dyDescent="0.2">
      <c r="A32" s="451">
        <v>1683</v>
      </c>
      <c r="B32" s="452">
        <v>44029</v>
      </c>
      <c r="C32" s="453" t="s">
        <v>295</v>
      </c>
      <c r="D32" s="454" t="s">
        <v>1108</v>
      </c>
      <c r="E32" s="452">
        <v>44007</v>
      </c>
      <c r="F32" s="455" t="s">
        <v>1106</v>
      </c>
      <c r="G32" s="454" t="s">
        <v>2</v>
      </c>
      <c r="H32" s="461">
        <v>62</v>
      </c>
      <c r="I32" s="458" t="s">
        <v>296</v>
      </c>
      <c r="J32" s="459">
        <v>6000</v>
      </c>
      <c r="K32" s="459">
        <v>6000</v>
      </c>
      <c r="L32" s="459">
        <v>6000</v>
      </c>
      <c r="M32" s="459">
        <v>6000</v>
      </c>
      <c r="N32" s="454"/>
      <c r="O32" s="461">
        <v>1.88</v>
      </c>
      <c r="P32" s="482">
        <v>0</v>
      </c>
      <c r="Q32" s="461">
        <v>0</v>
      </c>
      <c r="R32" s="461">
        <v>0</v>
      </c>
      <c r="S32" s="461">
        <v>1.38</v>
      </c>
      <c r="T32" s="461" t="s">
        <v>1395</v>
      </c>
      <c r="U32" s="461">
        <v>1.7</v>
      </c>
      <c r="V32" s="482">
        <v>0</v>
      </c>
      <c r="W32" s="461">
        <v>0</v>
      </c>
      <c r="X32" s="461">
        <v>0</v>
      </c>
      <c r="Y32" s="461">
        <v>1.38</v>
      </c>
      <c r="Z32" s="461"/>
      <c r="AA32" s="461"/>
      <c r="AB32" s="461"/>
      <c r="AC32" s="461"/>
      <c r="AD32" s="461"/>
      <c r="AE32" s="461"/>
      <c r="AF32" s="461"/>
      <c r="AG32" s="470" t="s">
        <v>297</v>
      </c>
      <c r="AH32" s="470" t="s">
        <v>298</v>
      </c>
      <c r="AI32" s="460">
        <v>2</v>
      </c>
      <c r="AJ32" s="460">
        <v>4</v>
      </c>
      <c r="AK32" s="483">
        <v>0.33329999999999999</v>
      </c>
      <c r="AL32" s="483">
        <v>0.66659999999999997</v>
      </c>
      <c r="AM32" s="454" t="s">
        <v>1124</v>
      </c>
      <c r="AN32" s="460">
        <v>0</v>
      </c>
      <c r="AO32" s="460">
        <v>0</v>
      </c>
      <c r="AP32" s="460">
        <v>0</v>
      </c>
      <c r="AQ32" s="460">
        <v>0</v>
      </c>
      <c r="AR32" s="460">
        <v>0</v>
      </c>
      <c r="AS32" s="460">
        <v>0</v>
      </c>
      <c r="AT32" s="460">
        <v>0</v>
      </c>
      <c r="AU32" s="460">
        <v>0</v>
      </c>
      <c r="AV32" s="460">
        <v>0</v>
      </c>
      <c r="AW32" s="460">
        <v>0</v>
      </c>
      <c r="AX32" s="460">
        <v>0</v>
      </c>
      <c r="AY32" s="460">
        <v>0</v>
      </c>
      <c r="AZ32" s="460"/>
      <c r="BA32" s="460" t="s">
        <v>1278</v>
      </c>
      <c r="BB32" s="460"/>
      <c r="BC32" s="460" t="s">
        <v>1278</v>
      </c>
      <c r="BD32" s="460"/>
      <c r="BE32" s="460"/>
      <c r="BF32" s="455"/>
      <c r="BG32" s="454"/>
      <c r="BH32" s="460"/>
      <c r="BI32" s="460"/>
      <c r="BJ32" s="460" t="s">
        <v>4</v>
      </c>
      <c r="BK32" s="460">
        <v>1</v>
      </c>
      <c r="BL32" s="454"/>
      <c r="BM32" s="481" t="s">
        <v>1407</v>
      </c>
      <c r="BN32" s="454" t="s">
        <v>368</v>
      </c>
      <c r="BO32" s="450"/>
    </row>
    <row r="33" spans="1:67" ht="13" customHeight="1" x14ac:dyDescent="0.2">
      <c r="A33" s="451">
        <v>2216</v>
      </c>
      <c r="B33" s="452">
        <v>44029</v>
      </c>
      <c r="C33" s="453" t="s">
        <v>295</v>
      </c>
      <c r="D33" s="454" t="s">
        <v>1108</v>
      </c>
      <c r="E33" s="465">
        <v>44013</v>
      </c>
      <c r="F33" s="454" t="s">
        <v>34</v>
      </c>
      <c r="G33" s="454" t="s">
        <v>1178</v>
      </c>
      <c r="H33" s="461">
        <v>70.7</v>
      </c>
      <c r="I33" s="467"/>
      <c r="J33" s="469"/>
      <c r="K33" s="469"/>
      <c r="L33" s="469"/>
      <c r="M33" s="469"/>
      <c r="N33" s="468"/>
      <c r="O33" s="461">
        <v>1.89</v>
      </c>
      <c r="P33" s="461">
        <v>0</v>
      </c>
      <c r="Q33" s="461">
        <v>0</v>
      </c>
      <c r="R33" s="461">
        <v>0</v>
      </c>
      <c r="S33" s="461">
        <v>0</v>
      </c>
      <c r="T33" s="456" t="s">
        <v>1395</v>
      </c>
      <c r="U33" s="461">
        <v>1.7</v>
      </c>
      <c r="V33" s="461">
        <v>0</v>
      </c>
      <c r="W33" s="461">
        <v>0</v>
      </c>
      <c r="X33" s="461">
        <v>0</v>
      </c>
      <c r="Y33" s="461">
        <v>0</v>
      </c>
      <c r="Z33" s="456"/>
      <c r="AA33" s="461"/>
      <c r="AB33" s="461"/>
      <c r="AC33" s="461"/>
      <c r="AD33" s="461"/>
      <c r="AE33" s="461"/>
      <c r="AF33" s="456"/>
      <c r="AG33" s="460" t="s">
        <v>297</v>
      </c>
      <c r="AH33" s="460" t="s">
        <v>298</v>
      </c>
      <c r="AI33" s="460">
        <v>3</v>
      </c>
      <c r="AJ33" s="460">
        <v>3</v>
      </c>
      <c r="AK33" s="480">
        <v>0.5</v>
      </c>
      <c r="AL33" s="480">
        <v>0.5</v>
      </c>
      <c r="AM33" s="454" t="s">
        <v>1118</v>
      </c>
      <c r="AN33" s="460">
        <v>0</v>
      </c>
      <c r="AO33" s="460">
        <v>0</v>
      </c>
      <c r="AP33" s="460">
        <v>5</v>
      </c>
      <c r="AQ33" s="460">
        <v>0</v>
      </c>
      <c r="AR33" s="460">
        <v>0</v>
      </c>
      <c r="AS33" s="460">
        <v>0</v>
      </c>
      <c r="AT33" s="460">
        <v>0</v>
      </c>
      <c r="AU33" s="460">
        <v>0</v>
      </c>
      <c r="AV33" s="460">
        <v>0</v>
      </c>
      <c r="AW33" s="460">
        <v>0</v>
      </c>
      <c r="AX33" s="460">
        <v>0</v>
      </c>
      <c r="AY33" s="460">
        <v>0</v>
      </c>
      <c r="AZ33" s="460"/>
      <c r="BA33" s="460" t="s">
        <v>1278</v>
      </c>
      <c r="BB33" s="460"/>
      <c r="BC33" s="460" t="s">
        <v>1278</v>
      </c>
      <c r="BD33" s="460"/>
      <c r="BE33" s="460"/>
      <c r="BF33" s="460"/>
      <c r="BG33" s="455"/>
      <c r="BH33" s="454"/>
      <c r="BI33" s="460"/>
      <c r="BJ33" s="460" t="s">
        <v>411</v>
      </c>
      <c r="BK33" s="460"/>
      <c r="BL33" s="455" t="s">
        <v>47</v>
      </c>
      <c r="BM33" s="484" t="s">
        <v>1408</v>
      </c>
      <c r="BN33" s="454" t="s">
        <v>368</v>
      </c>
      <c r="BO33" s="450"/>
    </row>
    <row r="34" spans="1:67" ht="13" customHeight="1" x14ac:dyDescent="0.2">
      <c r="A34" s="451">
        <v>2468</v>
      </c>
      <c r="B34" s="452">
        <v>44028</v>
      </c>
      <c r="C34" s="453" t="s">
        <v>295</v>
      </c>
      <c r="D34" s="454" t="s">
        <v>1108</v>
      </c>
      <c r="E34" s="465">
        <v>44013</v>
      </c>
      <c r="F34" s="454" t="s">
        <v>1274</v>
      </c>
      <c r="G34" s="454" t="s">
        <v>1275</v>
      </c>
      <c r="H34" s="461">
        <v>71</v>
      </c>
      <c r="I34" s="467" t="s">
        <v>296</v>
      </c>
      <c r="J34" s="469">
        <v>3000</v>
      </c>
      <c r="K34" s="469">
        <v>6000</v>
      </c>
      <c r="L34" s="469">
        <v>6000</v>
      </c>
      <c r="M34" s="469">
        <v>6000</v>
      </c>
      <c r="N34" s="468"/>
      <c r="O34" s="461">
        <v>2.46</v>
      </c>
      <c r="P34" s="461">
        <v>2.16</v>
      </c>
      <c r="Q34" s="482">
        <v>0</v>
      </c>
      <c r="R34" s="461">
        <v>0</v>
      </c>
      <c r="S34" s="461">
        <v>1.82</v>
      </c>
      <c r="T34" s="456" t="s">
        <v>1395</v>
      </c>
      <c r="U34" s="461">
        <v>2.46</v>
      </c>
      <c r="V34" s="461">
        <v>2.16</v>
      </c>
      <c r="W34" s="482">
        <v>0</v>
      </c>
      <c r="X34" s="461">
        <v>0</v>
      </c>
      <c r="Y34" s="461">
        <v>1.82</v>
      </c>
      <c r="Z34" s="456"/>
      <c r="AA34" s="461"/>
      <c r="AB34" s="461"/>
      <c r="AC34" s="461"/>
      <c r="AD34" s="461"/>
      <c r="AE34" s="461"/>
      <c r="AF34" s="456"/>
      <c r="AG34" s="470" t="s">
        <v>1278</v>
      </c>
      <c r="AH34" s="470"/>
      <c r="AI34" s="460">
        <v>3</v>
      </c>
      <c r="AJ34" s="460">
        <v>3</v>
      </c>
      <c r="AK34" s="480">
        <v>0.5</v>
      </c>
      <c r="AL34" s="480">
        <v>0.5</v>
      </c>
      <c r="AM34" s="454"/>
      <c r="AN34" s="460">
        <v>0</v>
      </c>
      <c r="AO34" s="460">
        <v>0</v>
      </c>
      <c r="AP34" s="460">
        <v>0</v>
      </c>
      <c r="AQ34" s="460">
        <v>15</v>
      </c>
      <c r="AR34" s="460">
        <v>0</v>
      </c>
      <c r="AS34" s="460">
        <v>0</v>
      </c>
      <c r="AT34" s="460">
        <v>0</v>
      </c>
      <c r="AU34" s="460">
        <v>0</v>
      </c>
      <c r="AV34" s="460">
        <v>0</v>
      </c>
      <c r="AW34" s="460">
        <v>0</v>
      </c>
      <c r="AX34" s="460">
        <v>0</v>
      </c>
      <c r="AY34" s="460">
        <v>0</v>
      </c>
      <c r="AZ34" s="460"/>
      <c r="BA34" s="460" t="s">
        <v>1278</v>
      </c>
      <c r="BB34" s="460"/>
      <c r="BC34" s="460" t="s">
        <v>1278</v>
      </c>
      <c r="BD34" s="460"/>
      <c r="BE34" s="460"/>
      <c r="BF34" s="460"/>
      <c r="BG34" s="455"/>
      <c r="BH34" s="454"/>
      <c r="BI34" s="460"/>
      <c r="BJ34" s="460" t="s">
        <v>411</v>
      </c>
      <c r="BK34" s="460">
        <v>1</v>
      </c>
      <c r="BL34" s="455"/>
      <c r="BM34" s="454" t="s">
        <v>1409</v>
      </c>
      <c r="BN34" s="454" t="s">
        <v>368</v>
      </c>
      <c r="BO34" s="450"/>
    </row>
    <row r="35" spans="1:67" ht="13" customHeight="1" x14ac:dyDescent="0.2">
      <c r="A35" s="451">
        <v>2339</v>
      </c>
      <c r="B35" s="452">
        <v>44028</v>
      </c>
      <c r="C35" s="453" t="s">
        <v>295</v>
      </c>
      <c r="D35" s="454" t="s">
        <v>1108</v>
      </c>
      <c r="E35" s="465">
        <v>44013</v>
      </c>
      <c r="F35" s="454" t="s">
        <v>1291</v>
      </c>
      <c r="G35" s="454" t="s">
        <v>1181</v>
      </c>
      <c r="H35" s="461">
        <v>68.77</v>
      </c>
      <c r="I35" s="467"/>
      <c r="J35" s="469"/>
      <c r="K35" s="469"/>
      <c r="L35" s="469"/>
      <c r="M35" s="469"/>
      <c r="N35" s="468"/>
      <c r="O35" s="461">
        <v>2.08</v>
      </c>
      <c r="P35" s="461">
        <v>0</v>
      </c>
      <c r="Q35" s="461">
        <v>0</v>
      </c>
      <c r="R35" s="461">
        <v>0</v>
      </c>
      <c r="S35" s="461">
        <v>0</v>
      </c>
      <c r="T35" s="456" t="s">
        <v>1395</v>
      </c>
      <c r="U35" s="461">
        <v>1.81</v>
      </c>
      <c r="V35" s="461">
        <v>0</v>
      </c>
      <c r="W35" s="461">
        <v>0</v>
      </c>
      <c r="X35" s="461">
        <v>0</v>
      </c>
      <c r="Y35" s="461">
        <v>0</v>
      </c>
      <c r="Z35" s="456"/>
      <c r="AA35" s="461"/>
      <c r="AB35" s="461"/>
      <c r="AC35" s="461"/>
      <c r="AD35" s="461"/>
      <c r="AE35" s="461"/>
      <c r="AF35" s="456"/>
      <c r="AG35" s="460" t="s">
        <v>297</v>
      </c>
      <c r="AH35" s="460" t="s">
        <v>298</v>
      </c>
      <c r="AI35" s="460">
        <v>3</v>
      </c>
      <c r="AJ35" s="460">
        <v>3</v>
      </c>
      <c r="AK35" s="480">
        <v>0.5</v>
      </c>
      <c r="AL35" s="480">
        <v>0.5</v>
      </c>
      <c r="AM35" s="454" t="s">
        <v>1118</v>
      </c>
      <c r="AN35" s="460">
        <v>0</v>
      </c>
      <c r="AO35" s="460">
        <v>0</v>
      </c>
      <c r="AP35" s="460">
        <v>0</v>
      </c>
      <c r="AQ35" s="460">
        <v>0</v>
      </c>
      <c r="AR35" s="460">
        <v>0</v>
      </c>
      <c r="AS35" s="460">
        <v>0</v>
      </c>
      <c r="AT35" s="460">
        <v>0</v>
      </c>
      <c r="AU35" s="460">
        <v>0</v>
      </c>
      <c r="AV35" s="460">
        <v>0</v>
      </c>
      <c r="AW35" s="460">
        <v>0</v>
      </c>
      <c r="AX35" s="460">
        <v>0</v>
      </c>
      <c r="AY35" s="460">
        <v>0</v>
      </c>
      <c r="AZ35" s="460"/>
      <c r="BA35" s="460" t="s">
        <v>1278</v>
      </c>
      <c r="BB35" s="460"/>
      <c r="BC35" s="460" t="s">
        <v>1278</v>
      </c>
      <c r="BD35" s="460"/>
      <c r="BE35" s="460"/>
      <c r="BF35" s="460"/>
      <c r="BG35" s="455"/>
      <c r="BH35" s="454"/>
      <c r="BI35" s="460"/>
      <c r="BJ35" s="460" t="s">
        <v>4</v>
      </c>
      <c r="BK35" s="460"/>
      <c r="BL35" s="455" t="s">
        <v>1284</v>
      </c>
      <c r="BM35" s="484" t="s">
        <v>1410</v>
      </c>
      <c r="BN35" s="454" t="s">
        <v>408</v>
      </c>
      <c r="BO35" s="450"/>
    </row>
    <row r="36" spans="1:67" ht="13" customHeight="1" x14ac:dyDescent="0.2">
      <c r="A36" s="451">
        <v>2383</v>
      </c>
      <c r="B36" s="452">
        <v>44028</v>
      </c>
      <c r="C36" s="453" t="s">
        <v>295</v>
      </c>
      <c r="D36" s="454" t="s">
        <v>1109</v>
      </c>
      <c r="E36" s="452">
        <v>44013</v>
      </c>
      <c r="F36" s="455" t="s">
        <v>1044</v>
      </c>
      <c r="G36" s="454" t="s">
        <v>1277</v>
      </c>
      <c r="H36" s="461">
        <v>75.954545454545439</v>
      </c>
      <c r="I36" s="458" t="s">
        <v>296</v>
      </c>
      <c r="J36" s="485">
        <v>1645</v>
      </c>
      <c r="K36" s="485">
        <v>3000</v>
      </c>
      <c r="L36" s="485">
        <v>3000</v>
      </c>
      <c r="M36" s="485">
        <v>3000</v>
      </c>
      <c r="N36" s="454"/>
      <c r="O36" s="461">
        <v>2.0454545454545454</v>
      </c>
      <c r="P36" s="461">
        <v>1.8909090909090909</v>
      </c>
      <c r="Q36" s="461">
        <v>0</v>
      </c>
      <c r="R36" s="461">
        <v>0</v>
      </c>
      <c r="S36" s="461">
        <v>1.5818181818181818</v>
      </c>
      <c r="T36" s="461" t="s">
        <v>1395</v>
      </c>
      <c r="U36" s="461">
        <v>2.0454545454545454</v>
      </c>
      <c r="V36" s="461">
        <v>1.8909090909090909</v>
      </c>
      <c r="W36" s="461">
        <v>0</v>
      </c>
      <c r="X36" s="461">
        <v>0</v>
      </c>
      <c r="Y36" s="461">
        <v>1.5818181818181818</v>
      </c>
      <c r="Z36" s="461"/>
      <c r="AA36" s="461"/>
      <c r="AB36" s="461"/>
      <c r="AC36" s="461"/>
      <c r="AD36" s="461"/>
      <c r="AE36" s="461"/>
      <c r="AF36" s="461"/>
      <c r="AG36" s="460" t="s">
        <v>1278</v>
      </c>
      <c r="AH36" s="460"/>
      <c r="AI36" s="460">
        <v>3</v>
      </c>
      <c r="AJ36" s="460">
        <v>3</v>
      </c>
      <c r="AK36" s="480">
        <v>0.5</v>
      </c>
      <c r="AL36" s="480">
        <v>0.5</v>
      </c>
      <c r="AM36" s="454"/>
      <c r="AN36" s="460">
        <v>0</v>
      </c>
      <c r="AO36" s="460">
        <v>0</v>
      </c>
      <c r="AP36" s="460">
        <v>0</v>
      </c>
      <c r="AQ36" s="460">
        <v>0</v>
      </c>
      <c r="AR36" s="460">
        <v>0</v>
      </c>
      <c r="AS36" s="460">
        <v>0</v>
      </c>
      <c r="AT36" s="460">
        <v>0</v>
      </c>
      <c r="AU36" s="460">
        <v>0</v>
      </c>
      <c r="AV36" s="460">
        <v>0</v>
      </c>
      <c r="AW36" s="460">
        <v>0</v>
      </c>
      <c r="AX36" s="460">
        <v>0</v>
      </c>
      <c r="AY36" s="460">
        <v>0</v>
      </c>
      <c r="AZ36" s="460"/>
      <c r="BA36" s="460" t="s">
        <v>1278</v>
      </c>
      <c r="BB36" s="460"/>
      <c r="BC36" s="460" t="s">
        <v>1278</v>
      </c>
      <c r="BD36" s="460"/>
      <c r="BE36" s="460"/>
      <c r="BF36" s="460"/>
      <c r="BG36" s="455"/>
      <c r="BH36" s="454"/>
      <c r="BI36" s="460"/>
      <c r="BJ36" s="460" t="s">
        <v>4</v>
      </c>
      <c r="BK36" s="460"/>
      <c r="BL36" s="455"/>
      <c r="BM36" s="481" t="s">
        <v>1416</v>
      </c>
      <c r="BN36" s="454" t="s">
        <v>368</v>
      </c>
      <c r="BO36" s="450"/>
    </row>
    <row r="37" spans="1:67" ht="13" customHeight="1" x14ac:dyDescent="0.2">
      <c r="A37" s="451">
        <v>2497</v>
      </c>
      <c r="B37" s="452">
        <v>44029</v>
      </c>
      <c r="C37" s="453" t="s">
        <v>295</v>
      </c>
      <c r="D37" s="454" t="s">
        <v>1109</v>
      </c>
      <c r="E37" s="452">
        <v>44013</v>
      </c>
      <c r="F37" s="455" t="s">
        <v>1046</v>
      </c>
      <c r="G37" s="454" t="s">
        <v>1280</v>
      </c>
      <c r="H37" s="461">
        <v>67</v>
      </c>
      <c r="I37" s="458" t="s">
        <v>296</v>
      </c>
      <c r="J37" s="485">
        <v>1645</v>
      </c>
      <c r="K37" s="485">
        <v>3000</v>
      </c>
      <c r="L37" s="485">
        <v>3000</v>
      </c>
      <c r="M37" s="485">
        <v>3000</v>
      </c>
      <c r="N37" s="454"/>
      <c r="O37" s="461">
        <v>2.1</v>
      </c>
      <c r="P37" s="461">
        <v>2.1</v>
      </c>
      <c r="Q37" s="461">
        <v>0</v>
      </c>
      <c r="R37" s="461">
        <v>0</v>
      </c>
      <c r="S37" s="461">
        <v>1.7999999999999998</v>
      </c>
      <c r="T37" s="461" t="s">
        <v>1395</v>
      </c>
      <c r="U37" s="461">
        <v>2.1</v>
      </c>
      <c r="V37" s="461">
        <v>2.1</v>
      </c>
      <c r="W37" s="461">
        <v>0</v>
      </c>
      <c r="X37" s="461">
        <v>0</v>
      </c>
      <c r="Y37" s="461">
        <v>1.7999999999999998</v>
      </c>
      <c r="Z37" s="461"/>
      <c r="AA37" s="461"/>
      <c r="AB37" s="461"/>
      <c r="AC37" s="461"/>
      <c r="AD37" s="461"/>
      <c r="AE37" s="461"/>
      <c r="AF37" s="461"/>
      <c r="AG37" s="460" t="s">
        <v>1278</v>
      </c>
      <c r="AH37" s="460"/>
      <c r="AI37" s="460">
        <v>3</v>
      </c>
      <c r="AJ37" s="460">
        <v>3</v>
      </c>
      <c r="AK37" s="480">
        <v>0.5</v>
      </c>
      <c r="AL37" s="480">
        <v>0.5</v>
      </c>
      <c r="AM37" s="454"/>
      <c r="AN37" s="460">
        <v>0</v>
      </c>
      <c r="AO37" s="460">
        <v>0</v>
      </c>
      <c r="AP37" s="460">
        <v>0</v>
      </c>
      <c r="AQ37" s="460">
        <v>0</v>
      </c>
      <c r="AR37" s="460">
        <v>0</v>
      </c>
      <c r="AS37" s="460">
        <v>0</v>
      </c>
      <c r="AT37" s="460">
        <v>0</v>
      </c>
      <c r="AU37" s="460">
        <v>0</v>
      </c>
      <c r="AV37" s="460">
        <v>0</v>
      </c>
      <c r="AW37" s="460">
        <v>0</v>
      </c>
      <c r="AX37" s="460">
        <v>0</v>
      </c>
      <c r="AY37" s="460">
        <v>0</v>
      </c>
      <c r="AZ37" s="454"/>
      <c r="BA37" s="460" t="s">
        <v>1278</v>
      </c>
      <c r="BB37" s="460"/>
      <c r="BC37" s="460" t="s">
        <v>1278</v>
      </c>
      <c r="BD37" s="460"/>
      <c r="BE37" s="460"/>
      <c r="BF37" s="460"/>
      <c r="BG37" s="455"/>
      <c r="BH37" s="454"/>
      <c r="BI37" s="460"/>
      <c r="BJ37" s="460" t="s">
        <v>4</v>
      </c>
      <c r="BK37" s="460"/>
      <c r="BL37" s="455"/>
      <c r="BM37" s="454" t="s">
        <v>430</v>
      </c>
      <c r="BN37" s="454" t="s">
        <v>368</v>
      </c>
      <c r="BO37" s="450"/>
    </row>
    <row r="38" spans="1:67" ht="13" customHeight="1" x14ac:dyDescent="0.2">
      <c r="A38" s="451">
        <v>2604</v>
      </c>
      <c r="B38" s="452">
        <v>44028</v>
      </c>
      <c r="C38" s="453" t="s">
        <v>295</v>
      </c>
      <c r="D38" s="454" t="s">
        <v>1109</v>
      </c>
      <c r="E38" s="452">
        <v>43910</v>
      </c>
      <c r="F38" s="455" t="s">
        <v>1048</v>
      </c>
      <c r="G38" s="454" t="s">
        <v>1397</v>
      </c>
      <c r="H38" s="461">
        <v>51.327272727272721</v>
      </c>
      <c r="I38" s="458" t="s">
        <v>296</v>
      </c>
      <c r="J38" s="485">
        <v>1645</v>
      </c>
      <c r="K38" s="485">
        <v>3000</v>
      </c>
      <c r="L38" s="485">
        <v>3000</v>
      </c>
      <c r="M38" s="485">
        <v>3000</v>
      </c>
      <c r="N38" s="454"/>
      <c r="O38" s="461">
        <v>2.4</v>
      </c>
      <c r="P38" s="461">
        <v>2.0454545454545454</v>
      </c>
      <c r="Q38" s="461">
        <v>0</v>
      </c>
      <c r="R38" s="461">
        <v>0</v>
      </c>
      <c r="S38" s="461">
        <v>1.7909090909090908</v>
      </c>
      <c r="T38" s="461" t="s">
        <v>1395</v>
      </c>
      <c r="U38" s="461">
        <v>2.4</v>
      </c>
      <c r="V38" s="461">
        <v>2.0454545454545454</v>
      </c>
      <c r="W38" s="461">
        <v>0</v>
      </c>
      <c r="X38" s="461">
        <v>0</v>
      </c>
      <c r="Y38" s="461">
        <v>1.7909090909090908</v>
      </c>
      <c r="Z38" s="461"/>
      <c r="AA38" s="461"/>
      <c r="AB38" s="461"/>
      <c r="AC38" s="461"/>
      <c r="AD38" s="461"/>
      <c r="AE38" s="461"/>
      <c r="AF38" s="461"/>
      <c r="AG38" s="460" t="s">
        <v>1278</v>
      </c>
      <c r="AH38" s="460"/>
      <c r="AI38" s="460">
        <v>3</v>
      </c>
      <c r="AJ38" s="460">
        <v>3</v>
      </c>
      <c r="AK38" s="480">
        <v>0.5</v>
      </c>
      <c r="AL38" s="480">
        <v>0.5</v>
      </c>
      <c r="AM38" s="454"/>
      <c r="AN38" s="460">
        <v>0</v>
      </c>
      <c r="AO38" s="460">
        <v>0</v>
      </c>
      <c r="AP38" s="460">
        <v>0</v>
      </c>
      <c r="AQ38" s="460">
        <v>0</v>
      </c>
      <c r="AR38" s="460">
        <v>0</v>
      </c>
      <c r="AS38" s="460">
        <v>0</v>
      </c>
      <c r="AT38" s="460">
        <v>0</v>
      </c>
      <c r="AU38" s="460">
        <v>0</v>
      </c>
      <c r="AV38" s="460">
        <v>0</v>
      </c>
      <c r="AW38" s="460">
        <v>0</v>
      </c>
      <c r="AX38" s="460">
        <v>0</v>
      </c>
      <c r="AY38" s="460">
        <v>0</v>
      </c>
      <c r="AZ38" s="454"/>
      <c r="BA38" s="460" t="s">
        <v>1278</v>
      </c>
      <c r="BB38" s="460"/>
      <c r="BC38" s="460" t="s">
        <v>1278</v>
      </c>
      <c r="BD38" s="460"/>
      <c r="BE38" s="460"/>
      <c r="BF38" s="460"/>
      <c r="BG38" s="455"/>
      <c r="BH38" s="454"/>
      <c r="BI38" s="460"/>
      <c r="BJ38" s="460" t="s">
        <v>4</v>
      </c>
      <c r="BK38" s="460">
        <v>1</v>
      </c>
      <c r="BL38" s="455"/>
      <c r="BM38" s="454" t="s">
        <v>1417</v>
      </c>
      <c r="BN38" s="454" t="s">
        <v>368</v>
      </c>
      <c r="BO38" s="450"/>
    </row>
    <row r="39" spans="1:67" ht="13" customHeight="1" x14ac:dyDescent="0.2">
      <c r="A39" s="451">
        <v>2547</v>
      </c>
      <c r="B39" s="452">
        <v>44032</v>
      </c>
      <c r="C39" s="453" t="s">
        <v>295</v>
      </c>
      <c r="D39" s="454" t="s">
        <v>1109</v>
      </c>
      <c r="E39" s="452">
        <v>43831</v>
      </c>
      <c r="F39" s="455" t="s">
        <v>1050</v>
      </c>
      <c r="G39" s="454" t="s">
        <v>418</v>
      </c>
      <c r="H39" s="461">
        <v>75</v>
      </c>
      <c r="I39" s="458" t="s">
        <v>296</v>
      </c>
      <c r="J39" s="485">
        <v>1645</v>
      </c>
      <c r="K39" s="485">
        <v>3000</v>
      </c>
      <c r="L39" s="485">
        <v>3000</v>
      </c>
      <c r="M39" s="485">
        <v>3000</v>
      </c>
      <c r="N39" s="454"/>
      <c r="O39" s="461">
        <v>2.9909090909090907</v>
      </c>
      <c r="P39" s="461">
        <v>2.6545454545454543</v>
      </c>
      <c r="Q39" s="461">
        <v>0</v>
      </c>
      <c r="R39" s="461">
        <v>0</v>
      </c>
      <c r="S39" s="461">
        <v>2.2181818181818178</v>
      </c>
      <c r="T39" s="461" t="s">
        <v>1395</v>
      </c>
      <c r="U39" s="461">
        <v>2.9909090909090907</v>
      </c>
      <c r="V39" s="461">
        <v>2.6545454545454543</v>
      </c>
      <c r="W39" s="461">
        <v>0</v>
      </c>
      <c r="X39" s="461">
        <v>0</v>
      </c>
      <c r="Y39" s="461">
        <v>2.2181818181818178</v>
      </c>
      <c r="Z39" s="461"/>
      <c r="AA39" s="461"/>
      <c r="AB39" s="461"/>
      <c r="AC39" s="461"/>
      <c r="AD39" s="461"/>
      <c r="AE39" s="461"/>
      <c r="AF39" s="461"/>
      <c r="AG39" s="460" t="s">
        <v>1278</v>
      </c>
      <c r="AH39" s="460"/>
      <c r="AI39" s="460">
        <v>3</v>
      </c>
      <c r="AJ39" s="460">
        <v>3</v>
      </c>
      <c r="AK39" s="480">
        <v>0.5</v>
      </c>
      <c r="AL39" s="480">
        <v>0.5</v>
      </c>
      <c r="AM39" s="454"/>
      <c r="AN39" s="460">
        <v>0</v>
      </c>
      <c r="AO39" s="460">
        <v>16</v>
      </c>
      <c r="AP39" s="460">
        <v>0</v>
      </c>
      <c r="AQ39" s="460">
        <v>0</v>
      </c>
      <c r="AR39" s="460">
        <v>0</v>
      </c>
      <c r="AS39" s="460">
        <v>0</v>
      </c>
      <c r="AT39" s="460">
        <v>0</v>
      </c>
      <c r="AU39" s="460">
        <v>0</v>
      </c>
      <c r="AV39" s="460">
        <v>0</v>
      </c>
      <c r="AW39" s="460">
        <v>0</v>
      </c>
      <c r="AX39" s="460">
        <v>0</v>
      </c>
      <c r="AY39" s="460">
        <v>0</v>
      </c>
      <c r="AZ39" s="454"/>
      <c r="BA39" s="460" t="s">
        <v>1278</v>
      </c>
      <c r="BB39" s="460"/>
      <c r="BC39" s="460" t="s">
        <v>1278</v>
      </c>
      <c r="BD39" s="460"/>
      <c r="BE39" s="460"/>
      <c r="BF39" s="460"/>
      <c r="BG39" s="455"/>
      <c r="BH39" s="454"/>
      <c r="BI39" s="460"/>
      <c r="BJ39" s="460" t="s">
        <v>4</v>
      </c>
      <c r="BK39" s="460">
        <v>1</v>
      </c>
      <c r="BL39" s="455"/>
      <c r="BM39" s="454" t="s">
        <v>1324</v>
      </c>
      <c r="BN39" s="454" t="s">
        <v>368</v>
      </c>
      <c r="BO39" s="450"/>
    </row>
    <row r="40" spans="1:67" ht="13" customHeight="1" x14ac:dyDescent="0.2">
      <c r="A40" s="451">
        <v>2549</v>
      </c>
      <c r="B40" s="452">
        <v>44028</v>
      </c>
      <c r="C40" s="453" t="s">
        <v>295</v>
      </c>
      <c r="D40" s="454" t="s">
        <v>1109</v>
      </c>
      <c r="E40" s="452">
        <v>44028</v>
      </c>
      <c r="F40" s="455" t="s">
        <v>1052</v>
      </c>
      <c r="G40" s="454" t="s">
        <v>1181</v>
      </c>
      <c r="H40" s="461">
        <v>54.954545454545453</v>
      </c>
      <c r="I40" s="458" t="s">
        <v>296</v>
      </c>
      <c r="J40" s="485">
        <v>1645</v>
      </c>
      <c r="K40" s="485">
        <v>3000</v>
      </c>
      <c r="L40" s="485">
        <v>3000</v>
      </c>
      <c r="M40" s="485">
        <v>3000</v>
      </c>
      <c r="N40" s="454"/>
      <c r="O40" s="461">
        <v>2.5545454545454542</v>
      </c>
      <c r="P40" s="461">
        <v>2.1181818181818182</v>
      </c>
      <c r="Q40" s="461">
        <v>0</v>
      </c>
      <c r="R40" s="461">
        <v>0</v>
      </c>
      <c r="S40" s="461">
        <v>1.8454545454545452</v>
      </c>
      <c r="T40" s="461" t="s">
        <v>1395</v>
      </c>
      <c r="U40" s="461">
        <v>2.5545454545454542</v>
      </c>
      <c r="V40" s="461">
        <v>2.1181818181818182</v>
      </c>
      <c r="W40" s="461">
        <v>0</v>
      </c>
      <c r="X40" s="461">
        <v>0</v>
      </c>
      <c r="Y40" s="461">
        <v>1.8454545454545452</v>
      </c>
      <c r="Z40" s="461"/>
      <c r="AA40" s="461"/>
      <c r="AB40" s="461"/>
      <c r="AC40" s="461"/>
      <c r="AD40" s="461"/>
      <c r="AE40" s="461"/>
      <c r="AF40" s="461"/>
      <c r="AG40" s="460" t="s">
        <v>1278</v>
      </c>
      <c r="AH40" s="460"/>
      <c r="AI40" s="460">
        <v>3</v>
      </c>
      <c r="AJ40" s="460">
        <v>3</v>
      </c>
      <c r="AK40" s="480">
        <v>0.5</v>
      </c>
      <c r="AL40" s="480">
        <v>0.5</v>
      </c>
      <c r="AM40" s="454"/>
      <c r="AN40" s="460">
        <v>0</v>
      </c>
      <c r="AO40" s="460">
        <v>0</v>
      </c>
      <c r="AP40" s="460">
        <v>0</v>
      </c>
      <c r="AQ40" s="460">
        <v>0</v>
      </c>
      <c r="AR40" s="460">
        <v>0</v>
      </c>
      <c r="AS40" s="460">
        <v>0</v>
      </c>
      <c r="AT40" s="460">
        <v>0</v>
      </c>
      <c r="AU40" s="460">
        <v>0</v>
      </c>
      <c r="AV40" s="460">
        <v>0</v>
      </c>
      <c r="AW40" s="460">
        <v>0</v>
      </c>
      <c r="AX40" s="460">
        <v>0</v>
      </c>
      <c r="AY40" s="460">
        <v>0</v>
      </c>
      <c r="AZ40" s="454"/>
      <c r="BA40" s="460" t="s">
        <v>1278</v>
      </c>
      <c r="BB40" s="460"/>
      <c r="BC40" s="460" t="s">
        <v>1278</v>
      </c>
      <c r="BD40" s="460"/>
      <c r="BE40" s="460"/>
      <c r="BF40" s="460"/>
      <c r="BG40" s="455"/>
      <c r="BH40" s="454"/>
      <c r="BI40" s="460"/>
      <c r="BJ40" s="460" t="s">
        <v>4</v>
      </c>
      <c r="BK40" s="460"/>
      <c r="BL40" s="455"/>
      <c r="BM40" s="454" t="s">
        <v>1192</v>
      </c>
      <c r="BN40" s="454" t="s">
        <v>408</v>
      </c>
      <c r="BO40" s="450"/>
    </row>
    <row r="41" spans="1:67" ht="13" customHeight="1" x14ac:dyDescent="0.2">
      <c r="A41" s="451">
        <v>2115</v>
      </c>
      <c r="B41" s="452">
        <v>44028</v>
      </c>
      <c r="C41" s="453" t="s">
        <v>295</v>
      </c>
      <c r="D41" s="454" t="s">
        <v>1109</v>
      </c>
      <c r="E41" s="452">
        <v>43924</v>
      </c>
      <c r="F41" s="455" t="s">
        <v>1054</v>
      </c>
      <c r="G41" s="454" t="s">
        <v>1157</v>
      </c>
      <c r="H41" s="461">
        <v>82.5</v>
      </c>
      <c r="I41" s="458" t="s">
        <v>296</v>
      </c>
      <c r="J41" s="459">
        <v>3000</v>
      </c>
      <c r="K41" s="459">
        <v>3000</v>
      </c>
      <c r="L41" s="459">
        <v>3000</v>
      </c>
      <c r="M41" s="459">
        <v>3000</v>
      </c>
      <c r="N41" s="454"/>
      <c r="O41" s="461">
        <v>3.0272727272727269</v>
      </c>
      <c r="P41" s="482">
        <v>0</v>
      </c>
      <c r="Q41" s="461">
        <v>0</v>
      </c>
      <c r="R41" s="461">
        <v>0</v>
      </c>
      <c r="S41" s="461">
        <v>2.0272727272727269</v>
      </c>
      <c r="T41" s="461" t="s">
        <v>1395</v>
      </c>
      <c r="U41" s="461">
        <v>3.0272727272727269</v>
      </c>
      <c r="V41" s="482">
        <v>0</v>
      </c>
      <c r="W41" s="461">
        <v>0</v>
      </c>
      <c r="X41" s="461">
        <v>0</v>
      </c>
      <c r="Y41" s="461">
        <v>2.0272727272727269</v>
      </c>
      <c r="Z41" s="461"/>
      <c r="AA41" s="461"/>
      <c r="AB41" s="461"/>
      <c r="AC41" s="461"/>
      <c r="AD41" s="461"/>
      <c r="AE41" s="461"/>
      <c r="AF41" s="461"/>
      <c r="AG41" s="460" t="s">
        <v>1278</v>
      </c>
      <c r="AH41" s="454"/>
      <c r="AI41" s="460">
        <v>3</v>
      </c>
      <c r="AJ41" s="460">
        <v>3</v>
      </c>
      <c r="AK41" s="480">
        <v>0.5</v>
      </c>
      <c r="AL41" s="480">
        <v>0.5</v>
      </c>
      <c r="AM41" s="454"/>
      <c r="AN41" s="460">
        <v>23</v>
      </c>
      <c r="AO41" s="460">
        <v>0</v>
      </c>
      <c r="AP41" s="460">
        <v>0</v>
      </c>
      <c r="AQ41" s="460">
        <v>0</v>
      </c>
      <c r="AR41" s="460">
        <v>0</v>
      </c>
      <c r="AS41" s="460">
        <v>0</v>
      </c>
      <c r="AT41" s="460">
        <v>0</v>
      </c>
      <c r="AU41" s="460">
        <v>0</v>
      </c>
      <c r="AV41" s="460">
        <v>0</v>
      </c>
      <c r="AW41" s="460">
        <v>0</v>
      </c>
      <c r="AX41" s="460">
        <v>0</v>
      </c>
      <c r="AY41" s="460">
        <v>0</v>
      </c>
      <c r="AZ41" s="472">
        <v>12</v>
      </c>
      <c r="BA41" s="460" t="s">
        <v>1278</v>
      </c>
      <c r="BB41" s="460">
        <v>12</v>
      </c>
      <c r="BC41" s="460" t="s">
        <v>1278</v>
      </c>
      <c r="BD41" s="460"/>
      <c r="BE41" s="460">
        <v>12</v>
      </c>
      <c r="BF41" s="460"/>
      <c r="BG41" s="455"/>
      <c r="BH41" s="454"/>
      <c r="BI41" s="460"/>
      <c r="BJ41" s="460" t="s">
        <v>4</v>
      </c>
      <c r="BK41" s="460"/>
      <c r="BL41" s="455"/>
      <c r="BM41" s="484" t="s">
        <v>1418</v>
      </c>
      <c r="BN41" s="454" t="s">
        <v>368</v>
      </c>
      <c r="BO41" s="450"/>
    </row>
    <row r="42" spans="1:67" ht="13" customHeight="1" x14ac:dyDescent="0.2">
      <c r="A42" s="451">
        <v>1969</v>
      </c>
      <c r="B42" s="452">
        <v>44028</v>
      </c>
      <c r="C42" s="453" t="s">
        <v>295</v>
      </c>
      <c r="D42" s="454" t="s">
        <v>1109</v>
      </c>
      <c r="E42" s="452">
        <v>44025</v>
      </c>
      <c r="F42" s="455" t="s">
        <v>1055</v>
      </c>
      <c r="G42" s="454" t="s">
        <v>1400</v>
      </c>
      <c r="H42" s="461">
        <v>67.899999999999991</v>
      </c>
      <c r="I42" s="458" t="s">
        <v>296</v>
      </c>
      <c r="J42" s="485">
        <v>1645</v>
      </c>
      <c r="K42" s="485">
        <v>3000</v>
      </c>
      <c r="L42" s="485">
        <v>3000</v>
      </c>
      <c r="M42" s="485">
        <v>3000</v>
      </c>
      <c r="N42" s="454"/>
      <c r="O42" s="461">
        <v>2.3272727272727272</v>
      </c>
      <c r="P42" s="461">
        <v>2.0363636363636366</v>
      </c>
      <c r="Q42" s="461">
        <v>0</v>
      </c>
      <c r="R42" s="461">
        <v>0</v>
      </c>
      <c r="S42" s="461">
        <v>1.7454545454545451</v>
      </c>
      <c r="T42" s="461" t="s">
        <v>1395</v>
      </c>
      <c r="U42" s="461">
        <v>2.3272727272727272</v>
      </c>
      <c r="V42" s="461">
        <v>2.0363636363636366</v>
      </c>
      <c r="W42" s="461">
        <v>0</v>
      </c>
      <c r="X42" s="461">
        <v>0</v>
      </c>
      <c r="Y42" s="461">
        <v>1.7454545454545451</v>
      </c>
      <c r="Z42" s="461"/>
      <c r="AA42" s="461"/>
      <c r="AB42" s="461"/>
      <c r="AC42" s="461"/>
      <c r="AD42" s="461"/>
      <c r="AE42" s="461"/>
      <c r="AF42" s="461"/>
      <c r="AG42" s="460" t="s">
        <v>297</v>
      </c>
      <c r="AH42" s="460" t="s">
        <v>298</v>
      </c>
      <c r="AI42" s="460">
        <v>2</v>
      </c>
      <c r="AJ42" s="460">
        <v>4</v>
      </c>
      <c r="AK42" s="483">
        <v>0.33329999999999999</v>
      </c>
      <c r="AL42" s="483">
        <v>0.66659999999999997</v>
      </c>
      <c r="AM42" s="454" t="s">
        <v>1124</v>
      </c>
      <c r="AN42" s="460">
        <v>0</v>
      </c>
      <c r="AO42" s="460">
        <v>0</v>
      </c>
      <c r="AP42" s="460">
        <v>0</v>
      </c>
      <c r="AQ42" s="460">
        <v>0</v>
      </c>
      <c r="AR42" s="460">
        <v>0</v>
      </c>
      <c r="AS42" s="460">
        <v>0</v>
      </c>
      <c r="AT42" s="460">
        <v>0</v>
      </c>
      <c r="AU42" s="460">
        <v>0</v>
      </c>
      <c r="AV42" s="460">
        <v>0</v>
      </c>
      <c r="AW42" s="460">
        <v>0</v>
      </c>
      <c r="AX42" s="460">
        <v>0</v>
      </c>
      <c r="AY42" s="460">
        <v>0</v>
      </c>
      <c r="AZ42" s="454"/>
      <c r="BA42" s="460" t="s">
        <v>1278</v>
      </c>
      <c r="BB42" s="460"/>
      <c r="BC42" s="460" t="s">
        <v>1278</v>
      </c>
      <c r="BD42" s="460"/>
      <c r="BE42" s="460"/>
      <c r="BF42" s="460"/>
      <c r="BG42" s="460"/>
      <c r="BH42" s="460"/>
      <c r="BI42" s="460"/>
      <c r="BJ42" s="460" t="s">
        <v>4</v>
      </c>
      <c r="BK42" s="460"/>
      <c r="BL42" s="455"/>
      <c r="BM42" s="484" t="s">
        <v>430</v>
      </c>
      <c r="BN42" s="454" t="s">
        <v>408</v>
      </c>
      <c r="BO42" s="450"/>
    </row>
    <row r="43" spans="1:67" ht="13" customHeight="1" x14ac:dyDescent="0.2">
      <c r="A43" s="451">
        <v>314</v>
      </c>
      <c r="B43" s="452">
        <v>44028</v>
      </c>
      <c r="C43" s="453" t="s">
        <v>295</v>
      </c>
      <c r="D43" s="454" t="s">
        <v>1109</v>
      </c>
      <c r="E43" s="452">
        <v>44013</v>
      </c>
      <c r="F43" s="454" t="s">
        <v>1057</v>
      </c>
      <c r="G43" s="454" t="s">
        <v>1181</v>
      </c>
      <c r="H43" s="461">
        <v>77.918181818181807</v>
      </c>
      <c r="I43" s="458" t="s">
        <v>296</v>
      </c>
      <c r="J43" s="485">
        <v>1645</v>
      </c>
      <c r="K43" s="485">
        <v>3000</v>
      </c>
      <c r="L43" s="485">
        <v>3000</v>
      </c>
      <c r="M43" s="485">
        <v>3000</v>
      </c>
      <c r="N43" s="454"/>
      <c r="O43" s="461">
        <v>2.4454545454545453</v>
      </c>
      <c r="P43" s="461">
        <v>2.1181818181818182</v>
      </c>
      <c r="Q43" s="461">
        <v>0</v>
      </c>
      <c r="R43" s="461">
        <v>0</v>
      </c>
      <c r="S43" s="461">
        <v>1.8727272727272726</v>
      </c>
      <c r="T43" s="461" t="s">
        <v>1395</v>
      </c>
      <c r="U43" s="461">
        <v>2.1999999999999997</v>
      </c>
      <c r="V43" s="461">
        <v>1.8999999999999997</v>
      </c>
      <c r="W43" s="461">
        <v>0</v>
      </c>
      <c r="X43" s="461">
        <v>0</v>
      </c>
      <c r="Y43" s="461">
        <v>1.6727272727272726</v>
      </c>
      <c r="Z43" s="461"/>
      <c r="AA43" s="461"/>
      <c r="AB43" s="461"/>
      <c r="AC43" s="461"/>
      <c r="AD43" s="461"/>
      <c r="AE43" s="461"/>
      <c r="AF43" s="461"/>
      <c r="AG43" s="460" t="s">
        <v>297</v>
      </c>
      <c r="AH43" s="460" t="s">
        <v>298</v>
      </c>
      <c r="AI43" s="460">
        <v>2</v>
      </c>
      <c r="AJ43" s="460">
        <v>4</v>
      </c>
      <c r="AK43" s="483">
        <v>0.33329999999999999</v>
      </c>
      <c r="AL43" s="483">
        <v>0.66659999999999997</v>
      </c>
      <c r="AM43" s="454" t="s">
        <v>1124</v>
      </c>
      <c r="AN43" s="460">
        <v>0</v>
      </c>
      <c r="AO43" s="460">
        <v>0</v>
      </c>
      <c r="AP43" s="460">
        <v>0</v>
      </c>
      <c r="AQ43" s="460">
        <v>0</v>
      </c>
      <c r="AR43" s="460">
        <v>0</v>
      </c>
      <c r="AS43" s="460">
        <v>0</v>
      </c>
      <c r="AT43" s="460">
        <v>0</v>
      </c>
      <c r="AU43" s="460">
        <v>0</v>
      </c>
      <c r="AV43" s="460">
        <v>0</v>
      </c>
      <c r="AW43" s="460">
        <v>0</v>
      </c>
      <c r="AX43" s="460">
        <v>0</v>
      </c>
      <c r="AY43" s="460">
        <v>0</v>
      </c>
      <c r="AZ43" s="454"/>
      <c r="BA43" s="460" t="s">
        <v>1278</v>
      </c>
      <c r="BB43" s="460"/>
      <c r="BC43" s="460" t="s">
        <v>1278</v>
      </c>
      <c r="BD43" s="460"/>
      <c r="BE43" s="460"/>
      <c r="BF43" s="460"/>
      <c r="BG43" s="455"/>
      <c r="BH43" s="454"/>
      <c r="BI43" s="460"/>
      <c r="BJ43" s="460" t="s">
        <v>4</v>
      </c>
      <c r="BK43" s="460"/>
      <c r="BL43" s="455"/>
      <c r="BM43" s="484" t="s">
        <v>1419</v>
      </c>
      <c r="BN43" s="454" t="s">
        <v>368</v>
      </c>
      <c r="BO43" s="450"/>
    </row>
    <row r="44" spans="1:67" ht="13" customHeight="1" x14ac:dyDescent="0.2">
      <c r="A44" s="451">
        <v>2259</v>
      </c>
      <c r="B44" s="452">
        <v>44028</v>
      </c>
      <c r="C44" s="453" t="s">
        <v>295</v>
      </c>
      <c r="D44" s="454" t="s">
        <v>1109</v>
      </c>
      <c r="E44" s="452">
        <v>44013</v>
      </c>
      <c r="F44" s="455" t="s">
        <v>981</v>
      </c>
      <c r="G44" s="454" t="s">
        <v>1167</v>
      </c>
      <c r="H44" s="461">
        <v>69</v>
      </c>
      <c r="I44" s="458" t="s">
        <v>296</v>
      </c>
      <c r="J44" s="459">
        <v>6000</v>
      </c>
      <c r="K44" s="459">
        <v>12000</v>
      </c>
      <c r="L44" s="459">
        <v>12000</v>
      </c>
      <c r="M44" s="459">
        <v>12000</v>
      </c>
      <c r="N44" s="454"/>
      <c r="O44" s="461">
        <v>2.2000000000000002</v>
      </c>
      <c r="P44" s="461">
        <v>2.1</v>
      </c>
      <c r="Q44" s="461">
        <v>0</v>
      </c>
      <c r="R44" s="461">
        <v>0</v>
      </c>
      <c r="S44" s="461">
        <v>1.8</v>
      </c>
      <c r="T44" s="461" t="s">
        <v>1395</v>
      </c>
      <c r="U44" s="461">
        <v>2.2000000000000002</v>
      </c>
      <c r="V44" s="461">
        <v>2.1</v>
      </c>
      <c r="W44" s="461">
        <v>0</v>
      </c>
      <c r="X44" s="461">
        <v>0</v>
      </c>
      <c r="Y44" s="461">
        <v>1.8</v>
      </c>
      <c r="Z44" s="461"/>
      <c r="AA44" s="461"/>
      <c r="AB44" s="461"/>
      <c r="AC44" s="461"/>
      <c r="AD44" s="461"/>
      <c r="AE44" s="461"/>
      <c r="AF44" s="461"/>
      <c r="AG44" s="460" t="s">
        <v>1278</v>
      </c>
      <c r="AH44" s="460"/>
      <c r="AI44" s="460">
        <v>3</v>
      </c>
      <c r="AJ44" s="460">
        <v>3</v>
      </c>
      <c r="AK44" s="480">
        <v>0.5</v>
      </c>
      <c r="AL44" s="480">
        <v>0.5</v>
      </c>
      <c r="AM44" s="454"/>
      <c r="AN44" s="460">
        <v>11</v>
      </c>
      <c r="AO44" s="460">
        <v>0</v>
      </c>
      <c r="AP44" s="460">
        <v>0</v>
      </c>
      <c r="AQ44" s="460">
        <v>0</v>
      </c>
      <c r="AR44" s="460">
        <v>0</v>
      </c>
      <c r="AS44" s="460">
        <v>0</v>
      </c>
      <c r="AT44" s="460">
        <v>0</v>
      </c>
      <c r="AU44" s="460">
        <v>0</v>
      </c>
      <c r="AV44" s="460">
        <v>0</v>
      </c>
      <c r="AW44" s="460">
        <v>0</v>
      </c>
      <c r="AX44" s="460">
        <v>0</v>
      </c>
      <c r="AY44" s="460">
        <v>0</v>
      </c>
      <c r="AZ44" s="454"/>
      <c r="BA44" s="460" t="s">
        <v>1278</v>
      </c>
      <c r="BB44" s="460">
        <v>12</v>
      </c>
      <c r="BC44" s="460" t="s">
        <v>1278</v>
      </c>
      <c r="BD44" s="460"/>
      <c r="BE44" s="460"/>
      <c r="BF44" s="460"/>
      <c r="BG44" s="455"/>
      <c r="BH44" s="454"/>
      <c r="BI44" s="460"/>
      <c r="BJ44" s="460" t="s">
        <v>4</v>
      </c>
      <c r="BK44" s="460"/>
      <c r="BL44" s="455"/>
      <c r="BM44" s="484" t="s">
        <v>430</v>
      </c>
      <c r="BN44" s="454" t="s">
        <v>368</v>
      </c>
      <c r="BO44" s="450"/>
    </row>
    <row r="45" spans="1:67" ht="13" customHeight="1" x14ac:dyDescent="0.2">
      <c r="A45" s="451">
        <v>2396</v>
      </c>
      <c r="B45" s="452">
        <v>44029</v>
      </c>
      <c r="C45" s="453" t="s">
        <v>295</v>
      </c>
      <c r="D45" s="454" t="s">
        <v>1109</v>
      </c>
      <c r="E45" s="465">
        <v>43984</v>
      </c>
      <c r="F45" s="455" t="s">
        <v>982</v>
      </c>
      <c r="G45" s="454" t="s">
        <v>1297</v>
      </c>
      <c r="H45" s="461">
        <v>65.518181818181802</v>
      </c>
      <c r="I45" s="458" t="s">
        <v>296</v>
      </c>
      <c r="J45" s="485">
        <v>1645</v>
      </c>
      <c r="K45" s="485">
        <v>3000</v>
      </c>
      <c r="L45" s="485">
        <v>3000</v>
      </c>
      <c r="M45" s="485">
        <v>3000</v>
      </c>
      <c r="N45" s="454"/>
      <c r="O45" s="461">
        <v>2.4090909090909087</v>
      </c>
      <c r="P45" s="461">
        <v>2.2909090909090906</v>
      </c>
      <c r="Q45" s="461">
        <v>0</v>
      </c>
      <c r="R45" s="461">
        <v>0</v>
      </c>
      <c r="S45" s="461">
        <v>1.7090909090909088</v>
      </c>
      <c r="T45" s="461" t="s">
        <v>1395</v>
      </c>
      <c r="U45" s="461">
        <v>2.4090909090909087</v>
      </c>
      <c r="V45" s="461">
        <v>2.2909090909090906</v>
      </c>
      <c r="W45" s="461">
        <v>0</v>
      </c>
      <c r="X45" s="461">
        <v>0</v>
      </c>
      <c r="Y45" s="461">
        <v>1.7090909090909088</v>
      </c>
      <c r="Z45" s="461"/>
      <c r="AA45" s="461"/>
      <c r="AB45" s="461"/>
      <c r="AC45" s="461"/>
      <c r="AD45" s="461"/>
      <c r="AE45" s="461"/>
      <c r="AF45" s="461"/>
      <c r="AG45" s="460" t="s">
        <v>1278</v>
      </c>
      <c r="AH45" s="460"/>
      <c r="AI45" s="460">
        <v>3</v>
      </c>
      <c r="AJ45" s="460">
        <v>3</v>
      </c>
      <c r="AK45" s="480">
        <v>0.5</v>
      </c>
      <c r="AL45" s="480">
        <v>0.5</v>
      </c>
      <c r="AM45" s="454"/>
      <c r="AN45" s="460">
        <v>0</v>
      </c>
      <c r="AO45" s="460">
        <v>0</v>
      </c>
      <c r="AP45" s="460">
        <v>0</v>
      </c>
      <c r="AQ45" s="460">
        <v>0</v>
      </c>
      <c r="AR45" s="460">
        <v>0</v>
      </c>
      <c r="AS45" s="460">
        <v>0</v>
      </c>
      <c r="AT45" s="460">
        <v>0</v>
      </c>
      <c r="AU45" s="460">
        <v>0</v>
      </c>
      <c r="AV45" s="460">
        <v>0</v>
      </c>
      <c r="AW45" s="460">
        <v>0</v>
      </c>
      <c r="AX45" s="460">
        <v>0</v>
      </c>
      <c r="AY45" s="460">
        <v>0</v>
      </c>
      <c r="AZ45" s="460"/>
      <c r="BA45" s="460" t="s">
        <v>1278</v>
      </c>
      <c r="BB45" s="460"/>
      <c r="BC45" s="460" t="s">
        <v>1278</v>
      </c>
      <c r="BD45" s="460"/>
      <c r="BE45" s="460"/>
      <c r="BF45" s="460"/>
      <c r="BG45" s="455"/>
      <c r="BH45" s="454"/>
      <c r="BI45" s="460"/>
      <c r="BJ45" s="460" t="s">
        <v>4</v>
      </c>
      <c r="BK45" s="460"/>
      <c r="BL45" s="455"/>
      <c r="BM45" s="484" t="s">
        <v>1420</v>
      </c>
      <c r="BN45" s="454" t="s">
        <v>368</v>
      </c>
      <c r="BO45" s="450"/>
    </row>
    <row r="46" spans="1:67" ht="13" customHeight="1" x14ac:dyDescent="0.2">
      <c r="A46" s="451">
        <v>2691</v>
      </c>
      <c r="B46" s="452">
        <v>44029</v>
      </c>
      <c r="C46" s="453" t="s">
        <v>295</v>
      </c>
      <c r="D46" s="454" t="s">
        <v>1109</v>
      </c>
      <c r="E46" s="465">
        <v>44013</v>
      </c>
      <c r="F46" s="455" t="s">
        <v>984</v>
      </c>
      <c r="G46" s="454" t="s">
        <v>1405</v>
      </c>
      <c r="H46" s="461">
        <v>81.181818181818173</v>
      </c>
      <c r="I46" s="458" t="s">
        <v>296</v>
      </c>
      <c r="J46" s="485">
        <v>1645</v>
      </c>
      <c r="K46" s="485">
        <v>3000</v>
      </c>
      <c r="L46" s="485">
        <v>3000</v>
      </c>
      <c r="M46" s="485">
        <v>3000</v>
      </c>
      <c r="N46" s="454"/>
      <c r="O46" s="461">
        <v>2.7</v>
      </c>
      <c r="P46" s="461">
        <v>2.1909090909090909</v>
      </c>
      <c r="Q46" s="461">
        <v>0</v>
      </c>
      <c r="R46" s="461">
        <v>0</v>
      </c>
      <c r="S46" s="461">
        <v>1.8636363636363633</v>
      </c>
      <c r="T46" s="461" t="s">
        <v>1395</v>
      </c>
      <c r="U46" s="461">
        <v>2.7</v>
      </c>
      <c r="V46" s="461">
        <v>2.1909090909090909</v>
      </c>
      <c r="W46" s="461">
        <v>0</v>
      </c>
      <c r="X46" s="461">
        <v>0</v>
      </c>
      <c r="Y46" s="461">
        <v>1.8636363636363633</v>
      </c>
      <c r="Z46" s="461"/>
      <c r="AA46" s="461"/>
      <c r="AB46" s="461"/>
      <c r="AC46" s="461"/>
      <c r="AD46" s="461"/>
      <c r="AE46" s="461"/>
      <c r="AF46" s="461"/>
      <c r="AG46" s="460" t="s">
        <v>1278</v>
      </c>
      <c r="AH46" s="460"/>
      <c r="AI46" s="460">
        <v>3</v>
      </c>
      <c r="AJ46" s="460">
        <v>3</v>
      </c>
      <c r="AK46" s="480">
        <v>0.5</v>
      </c>
      <c r="AL46" s="480">
        <v>0.5</v>
      </c>
      <c r="AM46" s="454"/>
      <c r="AN46" s="460">
        <v>20</v>
      </c>
      <c r="AO46" s="460">
        <v>0</v>
      </c>
      <c r="AP46" s="460">
        <v>0</v>
      </c>
      <c r="AQ46" s="460">
        <v>0</v>
      </c>
      <c r="AR46" s="460">
        <v>0</v>
      </c>
      <c r="AS46" s="460">
        <v>0</v>
      </c>
      <c r="AT46" s="460">
        <v>0</v>
      </c>
      <c r="AU46" s="460">
        <v>0</v>
      </c>
      <c r="AV46" s="460">
        <v>0</v>
      </c>
      <c r="AW46" s="460">
        <v>0</v>
      </c>
      <c r="AX46" s="460">
        <v>0</v>
      </c>
      <c r="AY46" s="460">
        <v>0</v>
      </c>
      <c r="AZ46" s="454"/>
      <c r="BA46" s="460" t="s">
        <v>1278</v>
      </c>
      <c r="BB46" s="460"/>
      <c r="BC46" s="460" t="s">
        <v>1278</v>
      </c>
      <c r="BD46" s="460"/>
      <c r="BE46" s="460"/>
      <c r="BF46" s="460"/>
      <c r="BG46" s="455"/>
      <c r="BH46" s="454"/>
      <c r="BI46" s="460"/>
      <c r="BJ46" s="460" t="s">
        <v>4</v>
      </c>
      <c r="BK46" s="460"/>
      <c r="BL46" s="455"/>
      <c r="BM46" s="484" t="s">
        <v>430</v>
      </c>
      <c r="BN46" s="454" t="s">
        <v>368</v>
      </c>
      <c r="BO46" s="450"/>
    </row>
    <row r="47" spans="1:67" ht="13" customHeight="1" x14ac:dyDescent="0.2">
      <c r="A47" s="451">
        <v>2222</v>
      </c>
      <c r="B47" s="452">
        <v>44032</v>
      </c>
      <c r="C47" s="453" t="s">
        <v>295</v>
      </c>
      <c r="D47" s="454" t="s">
        <v>1109</v>
      </c>
      <c r="E47" s="465">
        <v>43831</v>
      </c>
      <c r="F47" s="454" t="s">
        <v>985</v>
      </c>
      <c r="G47" s="454" t="s">
        <v>1174</v>
      </c>
      <c r="H47" s="461">
        <v>65</v>
      </c>
      <c r="I47" s="467" t="s">
        <v>296</v>
      </c>
      <c r="J47" s="485">
        <v>1645</v>
      </c>
      <c r="K47" s="485">
        <v>3000</v>
      </c>
      <c r="L47" s="485">
        <v>3000</v>
      </c>
      <c r="M47" s="485">
        <v>3000</v>
      </c>
      <c r="N47" s="468"/>
      <c r="O47" s="461">
        <v>2.3272727272727272</v>
      </c>
      <c r="P47" s="461">
        <v>2.0181818181818181</v>
      </c>
      <c r="Q47" s="461">
        <v>0</v>
      </c>
      <c r="R47" s="461">
        <v>0</v>
      </c>
      <c r="S47" s="461">
        <v>1.718181818181818</v>
      </c>
      <c r="T47" s="456" t="s">
        <v>1395</v>
      </c>
      <c r="U47" s="461">
        <v>2.3272727272727272</v>
      </c>
      <c r="V47" s="461">
        <v>2.0181818181818181</v>
      </c>
      <c r="W47" s="461">
        <v>0</v>
      </c>
      <c r="X47" s="461">
        <v>0</v>
      </c>
      <c r="Y47" s="461">
        <v>1.718181818181818</v>
      </c>
      <c r="Z47" s="456"/>
      <c r="AA47" s="461"/>
      <c r="AB47" s="461"/>
      <c r="AC47" s="461"/>
      <c r="AD47" s="461"/>
      <c r="AE47" s="461"/>
      <c r="AF47" s="456"/>
      <c r="AG47" s="470" t="s">
        <v>1278</v>
      </c>
      <c r="AH47" s="470"/>
      <c r="AI47" s="460">
        <v>3</v>
      </c>
      <c r="AJ47" s="460">
        <v>3</v>
      </c>
      <c r="AK47" s="480">
        <v>0.5</v>
      </c>
      <c r="AL47" s="480">
        <v>0.5</v>
      </c>
      <c r="AM47" s="454"/>
      <c r="AN47" s="460">
        <v>0</v>
      </c>
      <c r="AO47" s="460">
        <v>0</v>
      </c>
      <c r="AP47" s="460">
        <v>5</v>
      </c>
      <c r="AQ47" s="460">
        <v>0</v>
      </c>
      <c r="AR47" s="460">
        <v>0</v>
      </c>
      <c r="AS47" s="460">
        <v>0</v>
      </c>
      <c r="AT47" s="460">
        <v>0</v>
      </c>
      <c r="AU47" s="460">
        <v>0</v>
      </c>
      <c r="AV47" s="460">
        <v>0</v>
      </c>
      <c r="AW47" s="460">
        <v>0</v>
      </c>
      <c r="AX47" s="460">
        <v>0</v>
      </c>
      <c r="AY47" s="460">
        <v>0</v>
      </c>
      <c r="AZ47" s="460"/>
      <c r="BA47" s="460" t="s">
        <v>1278</v>
      </c>
      <c r="BB47" s="460">
        <v>12</v>
      </c>
      <c r="BC47" s="460" t="s">
        <v>1278</v>
      </c>
      <c r="BD47" s="460"/>
      <c r="BE47" s="460"/>
      <c r="BF47" s="460"/>
      <c r="BG47" s="455"/>
      <c r="BH47" s="454"/>
      <c r="BI47" s="460"/>
      <c r="BJ47" s="460" t="s">
        <v>411</v>
      </c>
      <c r="BK47" s="460"/>
      <c r="BL47" s="455"/>
      <c r="BM47" s="454" t="s">
        <v>1421</v>
      </c>
      <c r="BN47" s="454" t="s">
        <v>368</v>
      </c>
      <c r="BO47" s="450"/>
    </row>
    <row r="48" spans="1:67" ht="13" customHeight="1" x14ac:dyDescent="0.2">
      <c r="A48" s="451">
        <v>1914</v>
      </c>
      <c r="B48" s="452">
        <v>44028</v>
      </c>
      <c r="C48" s="453" t="s">
        <v>295</v>
      </c>
      <c r="D48" s="454" t="s">
        <v>1109</v>
      </c>
      <c r="E48" s="452">
        <v>43831</v>
      </c>
      <c r="F48" s="455" t="s">
        <v>987</v>
      </c>
      <c r="G48" s="454" t="s">
        <v>1127</v>
      </c>
      <c r="H48" s="461">
        <v>54.536000000000001</v>
      </c>
      <c r="I48" s="458" t="s">
        <v>296</v>
      </c>
      <c r="J48" s="485">
        <v>1645</v>
      </c>
      <c r="K48" s="485">
        <v>3000</v>
      </c>
      <c r="L48" s="485">
        <v>3000</v>
      </c>
      <c r="M48" s="485">
        <v>3000</v>
      </c>
      <c r="N48" s="454"/>
      <c r="O48" s="461">
        <v>2.5499999999999998</v>
      </c>
      <c r="P48" s="461">
        <v>2.1760000000000002</v>
      </c>
      <c r="Q48" s="461">
        <v>0</v>
      </c>
      <c r="R48" s="461">
        <v>0</v>
      </c>
      <c r="S48" s="461">
        <v>1.9040000000000001</v>
      </c>
      <c r="T48" s="461" t="s">
        <v>1395</v>
      </c>
      <c r="U48" s="461">
        <v>2.5499999999999998</v>
      </c>
      <c r="V48" s="461">
        <v>2.1760000000000002</v>
      </c>
      <c r="W48" s="461">
        <v>0</v>
      </c>
      <c r="X48" s="461">
        <v>0</v>
      </c>
      <c r="Y48" s="461">
        <v>1.9040000000000001</v>
      </c>
      <c r="Z48" s="461"/>
      <c r="AA48" s="461"/>
      <c r="AB48" s="461"/>
      <c r="AC48" s="461"/>
      <c r="AD48" s="461"/>
      <c r="AE48" s="461"/>
      <c r="AF48" s="461"/>
      <c r="AG48" s="460" t="s">
        <v>1278</v>
      </c>
      <c r="AH48" s="460"/>
      <c r="AI48" s="460">
        <v>3</v>
      </c>
      <c r="AJ48" s="460">
        <v>3</v>
      </c>
      <c r="AK48" s="480">
        <v>0.5</v>
      </c>
      <c r="AL48" s="480">
        <v>0.5</v>
      </c>
      <c r="AM48" s="454"/>
      <c r="AN48" s="460">
        <v>0</v>
      </c>
      <c r="AO48" s="460">
        <v>0</v>
      </c>
      <c r="AP48" s="460">
        <v>0</v>
      </c>
      <c r="AQ48" s="460">
        <v>0</v>
      </c>
      <c r="AR48" s="460">
        <v>0</v>
      </c>
      <c r="AS48" s="460">
        <v>0</v>
      </c>
      <c r="AT48" s="460">
        <v>0</v>
      </c>
      <c r="AU48" s="460">
        <v>0</v>
      </c>
      <c r="AV48" s="460">
        <v>0</v>
      </c>
      <c r="AW48" s="460">
        <v>0</v>
      </c>
      <c r="AX48" s="460">
        <v>0</v>
      </c>
      <c r="AY48" s="460">
        <v>0</v>
      </c>
      <c r="AZ48" s="460"/>
      <c r="BA48" s="460" t="s">
        <v>1278</v>
      </c>
      <c r="BB48" s="460"/>
      <c r="BC48" s="460" t="s">
        <v>1278</v>
      </c>
      <c r="BD48" s="460"/>
      <c r="BE48" s="460"/>
      <c r="BF48" s="460"/>
      <c r="BG48" s="455"/>
      <c r="BH48" s="454"/>
      <c r="BI48" s="460"/>
      <c r="BJ48" s="460" t="s">
        <v>4</v>
      </c>
      <c r="BK48" s="460">
        <v>1</v>
      </c>
      <c r="BL48" s="455"/>
      <c r="BM48" s="454" t="s">
        <v>1313</v>
      </c>
      <c r="BN48" s="454" t="s">
        <v>368</v>
      </c>
      <c r="BO48" s="450"/>
    </row>
    <row r="49" spans="1:67" ht="13" customHeight="1" x14ac:dyDescent="0.2">
      <c r="A49" s="451">
        <v>1684</v>
      </c>
      <c r="B49" s="452">
        <v>44029</v>
      </c>
      <c r="C49" s="453" t="s">
        <v>295</v>
      </c>
      <c r="D49" s="454" t="s">
        <v>1109</v>
      </c>
      <c r="E49" s="452">
        <v>44007</v>
      </c>
      <c r="F49" s="455" t="s">
        <v>1106</v>
      </c>
      <c r="G49" s="454" t="s">
        <v>2</v>
      </c>
      <c r="H49" s="461">
        <v>57</v>
      </c>
      <c r="I49" s="458" t="s">
        <v>296</v>
      </c>
      <c r="J49" s="459">
        <v>3000</v>
      </c>
      <c r="K49" s="459">
        <v>3000</v>
      </c>
      <c r="L49" s="459">
        <v>3000</v>
      </c>
      <c r="M49" s="459">
        <v>3000</v>
      </c>
      <c r="N49" s="454"/>
      <c r="O49" s="461">
        <v>1.7272727272727271</v>
      </c>
      <c r="P49" s="482">
        <v>0</v>
      </c>
      <c r="Q49" s="461">
        <v>0</v>
      </c>
      <c r="R49" s="461">
        <v>0</v>
      </c>
      <c r="S49" s="461">
        <v>1.7272727272727271</v>
      </c>
      <c r="T49" s="461" t="s">
        <v>1395</v>
      </c>
      <c r="U49" s="461">
        <v>1.7272727272727271</v>
      </c>
      <c r="V49" s="482">
        <v>0</v>
      </c>
      <c r="W49" s="461">
        <v>0</v>
      </c>
      <c r="X49" s="461">
        <v>0</v>
      </c>
      <c r="Y49" s="461">
        <v>1.7272727272727271</v>
      </c>
      <c r="Z49" s="461"/>
      <c r="AA49" s="461"/>
      <c r="AB49" s="461"/>
      <c r="AC49" s="461"/>
      <c r="AD49" s="461"/>
      <c r="AE49" s="461"/>
      <c r="AF49" s="461"/>
      <c r="AG49" s="460" t="s">
        <v>1278</v>
      </c>
      <c r="AH49" s="460"/>
      <c r="AI49" s="460">
        <v>3</v>
      </c>
      <c r="AJ49" s="460">
        <v>3</v>
      </c>
      <c r="AK49" s="480">
        <v>0.5</v>
      </c>
      <c r="AL49" s="480">
        <v>0.5</v>
      </c>
      <c r="AM49" s="454"/>
      <c r="AN49" s="460">
        <v>0</v>
      </c>
      <c r="AO49" s="460">
        <v>0</v>
      </c>
      <c r="AP49" s="460">
        <v>0</v>
      </c>
      <c r="AQ49" s="460">
        <v>0</v>
      </c>
      <c r="AR49" s="460">
        <v>0</v>
      </c>
      <c r="AS49" s="460">
        <v>0</v>
      </c>
      <c r="AT49" s="460">
        <v>0</v>
      </c>
      <c r="AU49" s="460">
        <v>0</v>
      </c>
      <c r="AV49" s="460">
        <v>0</v>
      </c>
      <c r="AW49" s="460">
        <v>0</v>
      </c>
      <c r="AX49" s="460">
        <v>0</v>
      </c>
      <c r="AY49" s="460">
        <v>0</v>
      </c>
      <c r="AZ49" s="460"/>
      <c r="BA49" s="460" t="s">
        <v>1278</v>
      </c>
      <c r="BB49" s="460"/>
      <c r="BC49" s="460" t="s">
        <v>1278</v>
      </c>
      <c r="BD49" s="460"/>
      <c r="BE49" s="460"/>
      <c r="BF49" s="455"/>
      <c r="BG49" s="454"/>
      <c r="BH49" s="460"/>
      <c r="BI49" s="460"/>
      <c r="BJ49" s="460" t="s">
        <v>4</v>
      </c>
      <c r="BK49" s="460">
        <v>1</v>
      </c>
      <c r="BL49" s="454"/>
      <c r="BM49" s="454" t="s">
        <v>1422</v>
      </c>
      <c r="BN49" s="454" t="s">
        <v>368</v>
      </c>
      <c r="BO49" s="450"/>
    </row>
    <row r="50" spans="1:67" ht="13" customHeight="1" x14ac:dyDescent="0.2">
      <c r="A50" s="451">
        <v>2214</v>
      </c>
      <c r="B50" s="452">
        <v>44029</v>
      </c>
      <c r="C50" s="453" t="s">
        <v>295</v>
      </c>
      <c r="D50" s="454" t="s">
        <v>1109</v>
      </c>
      <c r="E50" s="465">
        <v>44013</v>
      </c>
      <c r="F50" s="454" t="s">
        <v>34</v>
      </c>
      <c r="G50" s="454" t="s">
        <v>1178</v>
      </c>
      <c r="H50" s="461">
        <v>72.654545454545456</v>
      </c>
      <c r="I50" s="467"/>
      <c r="J50" s="488"/>
      <c r="K50" s="488"/>
      <c r="L50" s="469"/>
      <c r="M50" s="469"/>
      <c r="N50" s="468"/>
      <c r="O50" s="461">
        <v>1.8999999999999997</v>
      </c>
      <c r="P50" s="461">
        <v>0</v>
      </c>
      <c r="Q50" s="461">
        <v>0</v>
      </c>
      <c r="R50" s="461">
        <v>0</v>
      </c>
      <c r="S50" s="461">
        <v>0</v>
      </c>
      <c r="T50" s="456" t="s">
        <v>1395</v>
      </c>
      <c r="U50" s="461">
        <v>1.8999999999999997</v>
      </c>
      <c r="V50" s="461">
        <v>0</v>
      </c>
      <c r="W50" s="461">
        <v>0</v>
      </c>
      <c r="X50" s="461">
        <v>0</v>
      </c>
      <c r="Y50" s="461">
        <v>0</v>
      </c>
      <c r="Z50" s="456"/>
      <c r="AA50" s="461"/>
      <c r="AB50" s="461"/>
      <c r="AC50" s="461"/>
      <c r="AD50" s="461"/>
      <c r="AE50" s="461"/>
      <c r="AF50" s="456"/>
      <c r="AG50" s="470" t="s">
        <v>1278</v>
      </c>
      <c r="AH50" s="470"/>
      <c r="AI50" s="460">
        <v>3</v>
      </c>
      <c r="AJ50" s="460">
        <v>3</v>
      </c>
      <c r="AK50" s="480">
        <v>0.5</v>
      </c>
      <c r="AL50" s="480">
        <v>0.5</v>
      </c>
      <c r="AM50" s="454"/>
      <c r="AN50" s="460">
        <v>0</v>
      </c>
      <c r="AO50" s="460">
        <v>0</v>
      </c>
      <c r="AP50" s="460">
        <v>5</v>
      </c>
      <c r="AQ50" s="460">
        <v>0</v>
      </c>
      <c r="AR50" s="460">
        <v>0</v>
      </c>
      <c r="AS50" s="460">
        <v>0</v>
      </c>
      <c r="AT50" s="460">
        <v>0</v>
      </c>
      <c r="AU50" s="460">
        <v>0</v>
      </c>
      <c r="AV50" s="460">
        <v>0</v>
      </c>
      <c r="AW50" s="460">
        <v>0</v>
      </c>
      <c r="AX50" s="460">
        <v>0</v>
      </c>
      <c r="AY50" s="460">
        <v>0</v>
      </c>
      <c r="AZ50" s="460"/>
      <c r="BA50" s="460" t="s">
        <v>1278</v>
      </c>
      <c r="BB50" s="460"/>
      <c r="BC50" s="460" t="s">
        <v>1278</v>
      </c>
      <c r="BD50" s="460"/>
      <c r="BE50" s="460"/>
      <c r="BF50" s="460"/>
      <c r="BG50" s="455"/>
      <c r="BH50" s="454"/>
      <c r="BI50" s="460"/>
      <c r="BJ50" s="460" t="s">
        <v>411</v>
      </c>
      <c r="BK50" s="460"/>
      <c r="BL50" s="455" t="s">
        <v>47</v>
      </c>
      <c r="BM50" s="484" t="s">
        <v>430</v>
      </c>
      <c r="BN50" s="454" t="s">
        <v>368</v>
      </c>
      <c r="BO50" s="450"/>
    </row>
    <row r="51" spans="1:67" ht="13" customHeight="1" x14ac:dyDescent="0.2">
      <c r="A51" s="451">
        <v>2463</v>
      </c>
      <c r="B51" s="452">
        <v>44028</v>
      </c>
      <c r="C51" s="453" t="s">
        <v>295</v>
      </c>
      <c r="D51" s="454" t="s">
        <v>1109</v>
      </c>
      <c r="E51" s="452">
        <v>44013</v>
      </c>
      <c r="F51" s="455" t="s">
        <v>1274</v>
      </c>
      <c r="G51" s="454" t="s">
        <v>1275</v>
      </c>
      <c r="H51" s="461">
        <v>72.999999999999986</v>
      </c>
      <c r="I51" s="458" t="s">
        <v>296</v>
      </c>
      <c r="J51" s="485">
        <v>1645</v>
      </c>
      <c r="K51" s="485">
        <v>3000</v>
      </c>
      <c r="L51" s="485">
        <v>3000</v>
      </c>
      <c r="M51" s="485">
        <v>3000</v>
      </c>
      <c r="N51" s="454"/>
      <c r="O51" s="461">
        <v>2.7363636363636359</v>
      </c>
      <c r="P51" s="461">
        <v>2.418181818181818</v>
      </c>
      <c r="Q51" s="461">
        <v>0</v>
      </c>
      <c r="R51" s="461">
        <v>0</v>
      </c>
      <c r="S51" s="461">
        <v>2.0727272727272723</v>
      </c>
      <c r="T51" s="461" t="s">
        <v>1395</v>
      </c>
      <c r="U51" s="461">
        <v>2.7363636363636359</v>
      </c>
      <c r="V51" s="461">
        <v>2.418181818181818</v>
      </c>
      <c r="W51" s="482">
        <v>0</v>
      </c>
      <c r="X51" s="461">
        <v>0</v>
      </c>
      <c r="Y51" s="461">
        <v>2.0727272727272723</v>
      </c>
      <c r="Z51" s="461"/>
      <c r="AA51" s="461"/>
      <c r="AB51" s="461"/>
      <c r="AC51" s="461"/>
      <c r="AD51" s="461"/>
      <c r="AE51" s="461"/>
      <c r="AF51" s="461"/>
      <c r="AG51" s="460" t="s">
        <v>1278</v>
      </c>
      <c r="AH51" s="460"/>
      <c r="AI51" s="460">
        <v>3</v>
      </c>
      <c r="AJ51" s="460">
        <v>3</v>
      </c>
      <c r="AK51" s="480">
        <v>0.5</v>
      </c>
      <c r="AL51" s="480">
        <v>0.5</v>
      </c>
      <c r="AM51" s="454"/>
      <c r="AN51" s="460">
        <v>0</v>
      </c>
      <c r="AO51" s="460">
        <v>0</v>
      </c>
      <c r="AP51" s="460">
        <v>0</v>
      </c>
      <c r="AQ51" s="460">
        <v>15</v>
      </c>
      <c r="AR51" s="460">
        <v>0</v>
      </c>
      <c r="AS51" s="460">
        <v>0</v>
      </c>
      <c r="AT51" s="460">
        <v>0</v>
      </c>
      <c r="AU51" s="460">
        <v>0</v>
      </c>
      <c r="AV51" s="460">
        <v>0</v>
      </c>
      <c r="AW51" s="460">
        <v>0</v>
      </c>
      <c r="AX51" s="460">
        <v>0</v>
      </c>
      <c r="AY51" s="460">
        <v>0</v>
      </c>
      <c r="AZ51" s="460"/>
      <c r="BA51" s="460" t="s">
        <v>1278</v>
      </c>
      <c r="BB51" s="460"/>
      <c r="BC51" s="460" t="s">
        <v>1278</v>
      </c>
      <c r="BD51" s="460"/>
      <c r="BE51" s="460"/>
      <c r="BF51" s="460"/>
      <c r="BG51" s="455"/>
      <c r="BH51" s="473"/>
      <c r="BI51" s="474"/>
      <c r="BJ51" s="474" t="s">
        <v>411</v>
      </c>
      <c r="BK51" s="474">
        <v>1</v>
      </c>
      <c r="BL51" s="475"/>
      <c r="BM51" s="473" t="s">
        <v>1423</v>
      </c>
      <c r="BN51" s="473" t="s">
        <v>368</v>
      </c>
      <c r="BO51" s="450"/>
    </row>
    <row r="52" spans="1:67" ht="13" customHeight="1" x14ac:dyDescent="0.2">
      <c r="A52" s="451">
        <v>2337</v>
      </c>
      <c r="B52" s="452">
        <v>44028</v>
      </c>
      <c r="C52" s="453" t="s">
        <v>295</v>
      </c>
      <c r="D52" s="454" t="s">
        <v>1109</v>
      </c>
      <c r="E52" s="452">
        <v>44013</v>
      </c>
      <c r="F52" s="455" t="s">
        <v>1291</v>
      </c>
      <c r="G52" s="454" t="s">
        <v>1181</v>
      </c>
      <c r="H52" s="461">
        <v>61.581818181818171</v>
      </c>
      <c r="I52" s="458"/>
      <c r="J52" s="459"/>
      <c r="K52" s="459"/>
      <c r="L52" s="459"/>
      <c r="M52" s="459"/>
      <c r="N52" s="454"/>
      <c r="O52" s="461">
        <v>1.9090909090909089</v>
      </c>
      <c r="P52" s="461">
        <v>0</v>
      </c>
      <c r="Q52" s="461">
        <v>0</v>
      </c>
      <c r="R52" s="461">
        <v>0</v>
      </c>
      <c r="S52" s="461">
        <v>0</v>
      </c>
      <c r="T52" s="461" t="s">
        <v>1395</v>
      </c>
      <c r="U52" s="461">
        <v>1.9090909090909089</v>
      </c>
      <c r="V52" s="461">
        <v>0</v>
      </c>
      <c r="W52" s="461">
        <v>0</v>
      </c>
      <c r="X52" s="461">
        <v>0</v>
      </c>
      <c r="Y52" s="461">
        <v>0</v>
      </c>
      <c r="Z52" s="461"/>
      <c r="AA52" s="461"/>
      <c r="AB52" s="461"/>
      <c r="AC52" s="461"/>
      <c r="AD52" s="461"/>
      <c r="AE52" s="461"/>
      <c r="AF52" s="461"/>
      <c r="AG52" s="460" t="s">
        <v>1278</v>
      </c>
      <c r="AH52" s="460"/>
      <c r="AI52" s="460">
        <v>3</v>
      </c>
      <c r="AJ52" s="460">
        <v>3</v>
      </c>
      <c r="AK52" s="480">
        <v>0.5</v>
      </c>
      <c r="AL52" s="480">
        <v>0.5</v>
      </c>
      <c r="AM52" s="454"/>
      <c r="AN52" s="460">
        <v>0</v>
      </c>
      <c r="AO52" s="460">
        <v>0</v>
      </c>
      <c r="AP52" s="460">
        <v>0</v>
      </c>
      <c r="AQ52" s="460">
        <v>0</v>
      </c>
      <c r="AR52" s="460">
        <v>0</v>
      </c>
      <c r="AS52" s="460">
        <v>0</v>
      </c>
      <c r="AT52" s="460">
        <v>0</v>
      </c>
      <c r="AU52" s="460">
        <v>0</v>
      </c>
      <c r="AV52" s="460">
        <v>0</v>
      </c>
      <c r="AW52" s="460">
        <v>0</v>
      </c>
      <c r="AX52" s="460">
        <v>0</v>
      </c>
      <c r="AY52" s="460">
        <v>0</v>
      </c>
      <c r="AZ52" s="460"/>
      <c r="BA52" s="460" t="s">
        <v>1278</v>
      </c>
      <c r="BB52" s="460"/>
      <c r="BC52" s="460" t="s">
        <v>1278</v>
      </c>
      <c r="BD52" s="460"/>
      <c r="BE52" s="460"/>
      <c r="BF52" s="460"/>
      <c r="BG52" s="455"/>
      <c r="BH52" s="473"/>
      <c r="BI52" s="474"/>
      <c r="BJ52" s="474" t="s">
        <v>4</v>
      </c>
      <c r="BK52" s="474"/>
      <c r="BL52" s="475" t="s">
        <v>1284</v>
      </c>
      <c r="BM52" s="473" t="s">
        <v>430</v>
      </c>
      <c r="BN52" s="473" t="s">
        <v>408</v>
      </c>
      <c r="BO52" s="450"/>
    </row>
    <row r="53" spans="1:67" ht="13" customHeight="1" x14ac:dyDescent="0.2">
      <c r="A53" s="451">
        <v>2385</v>
      </c>
      <c r="B53" s="452">
        <v>44028</v>
      </c>
      <c r="C53" s="453" t="s">
        <v>295</v>
      </c>
      <c r="D53" s="454" t="s">
        <v>1110</v>
      </c>
      <c r="E53" s="452">
        <v>44013</v>
      </c>
      <c r="F53" s="455" t="s">
        <v>1044</v>
      </c>
      <c r="G53" s="454" t="s">
        <v>1277</v>
      </c>
      <c r="H53" s="461">
        <v>75.954545454545439</v>
      </c>
      <c r="I53" s="458" t="s">
        <v>296</v>
      </c>
      <c r="J53" s="485">
        <v>1645</v>
      </c>
      <c r="K53" s="485">
        <v>3000</v>
      </c>
      <c r="L53" s="485">
        <v>3000</v>
      </c>
      <c r="M53" s="485">
        <v>3000</v>
      </c>
      <c r="N53" s="454"/>
      <c r="O53" s="461">
        <v>2.1181818181818182</v>
      </c>
      <c r="P53" s="461">
        <v>2.0545454545454542</v>
      </c>
      <c r="Q53" s="461">
        <v>0</v>
      </c>
      <c r="R53" s="461">
        <v>0</v>
      </c>
      <c r="S53" s="461">
        <v>1.4</v>
      </c>
      <c r="T53" s="461"/>
      <c r="U53" s="461">
        <v>2.1181818181818182</v>
      </c>
      <c r="V53" s="461">
        <v>2.0545454545454542</v>
      </c>
      <c r="W53" s="461">
        <v>0</v>
      </c>
      <c r="X53" s="461">
        <v>0</v>
      </c>
      <c r="Y53" s="461">
        <v>1.4</v>
      </c>
      <c r="Z53" s="461"/>
      <c r="AA53" s="461"/>
      <c r="AB53" s="461"/>
      <c r="AC53" s="461"/>
      <c r="AD53" s="461"/>
      <c r="AE53" s="461"/>
      <c r="AF53" s="461"/>
      <c r="AG53" s="460" t="s">
        <v>1278</v>
      </c>
      <c r="AH53" s="460"/>
      <c r="AI53" s="460">
        <v>3</v>
      </c>
      <c r="AJ53" s="460">
        <v>3</v>
      </c>
      <c r="AK53" s="480">
        <v>0.5</v>
      </c>
      <c r="AL53" s="480">
        <v>0.5</v>
      </c>
      <c r="AM53" s="454"/>
      <c r="AN53" s="460">
        <v>0</v>
      </c>
      <c r="AO53" s="460">
        <v>0</v>
      </c>
      <c r="AP53" s="460">
        <v>0</v>
      </c>
      <c r="AQ53" s="460">
        <v>0</v>
      </c>
      <c r="AR53" s="460">
        <v>0</v>
      </c>
      <c r="AS53" s="460">
        <v>0</v>
      </c>
      <c r="AT53" s="460">
        <v>0</v>
      </c>
      <c r="AU53" s="460">
        <v>0</v>
      </c>
      <c r="AV53" s="460">
        <v>0</v>
      </c>
      <c r="AW53" s="460">
        <v>0</v>
      </c>
      <c r="AX53" s="460">
        <v>0</v>
      </c>
      <c r="AY53" s="460">
        <v>0</v>
      </c>
      <c r="AZ53" s="460"/>
      <c r="BA53" s="460" t="s">
        <v>1278</v>
      </c>
      <c r="BB53" s="460"/>
      <c r="BC53" s="460" t="s">
        <v>1278</v>
      </c>
      <c r="BD53" s="460"/>
      <c r="BE53" s="460"/>
      <c r="BF53" s="460"/>
      <c r="BG53" s="455"/>
      <c r="BH53" s="454"/>
      <c r="BI53" s="460"/>
      <c r="BJ53" s="460" t="s">
        <v>4</v>
      </c>
      <c r="BK53" s="460"/>
      <c r="BL53" s="455"/>
      <c r="BM53" s="454" t="s">
        <v>1424</v>
      </c>
      <c r="BN53" s="454" t="s">
        <v>368</v>
      </c>
      <c r="BO53" s="450"/>
    </row>
    <row r="54" spans="1:67" ht="13" customHeight="1" x14ac:dyDescent="0.2">
      <c r="A54" s="451">
        <v>2495</v>
      </c>
      <c r="B54" s="452">
        <v>44029</v>
      </c>
      <c r="C54" s="453" t="s">
        <v>295</v>
      </c>
      <c r="D54" s="454" t="s">
        <v>1110</v>
      </c>
      <c r="E54" s="452">
        <v>44013</v>
      </c>
      <c r="F54" s="455" t="s">
        <v>1046</v>
      </c>
      <c r="G54" s="454" t="s">
        <v>1280</v>
      </c>
      <c r="H54" s="461">
        <v>62.999999999999993</v>
      </c>
      <c r="I54" s="458" t="s">
        <v>296</v>
      </c>
      <c r="J54" s="485">
        <v>1645</v>
      </c>
      <c r="K54" s="485">
        <v>3000</v>
      </c>
      <c r="L54" s="485">
        <v>3000</v>
      </c>
      <c r="M54" s="485">
        <v>3000</v>
      </c>
      <c r="N54" s="454"/>
      <c r="O54" s="461">
        <v>2.5999999999999996</v>
      </c>
      <c r="P54" s="461">
        <v>2.1999999999999997</v>
      </c>
      <c r="Q54" s="461">
        <v>0</v>
      </c>
      <c r="R54" s="461">
        <v>0</v>
      </c>
      <c r="S54" s="461">
        <v>1.7</v>
      </c>
      <c r="T54" s="461"/>
      <c r="U54" s="461">
        <v>2.5999999999999996</v>
      </c>
      <c r="V54" s="461">
        <v>2.1999999999999997</v>
      </c>
      <c r="W54" s="461">
        <v>0</v>
      </c>
      <c r="X54" s="461">
        <v>0</v>
      </c>
      <c r="Y54" s="461">
        <v>1.7</v>
      </c>
      <c r="Z54" s="461"/>
      <c r="AA54" s="461"/>
      <c r="AB54" s="461"/>
      <c r="AC54" s="461"/>
      <c r="AD54" s="461"/>
      <c r="AE54" s="461"/>
      <c r="AF54" s="461"/>
      <c r="AG54" s="460" t="s">
        <v>1278</v>
      </c>
      <c r="AH54" s="460"/>
      <c r="AI54" s="460">
        <v>3</v>
      </c>
      <c r="AJ54" s="460">
        <v>3</v>
      </c>
      <c r="AK54" s="480">
        <v>0.5</v>
      </c>
      <c r="AL54" s="480">
        <v>0.5</v>
      </c>
      <c r="AM54" s="454"/>
      <c r="AN54" s="460">
        <v>0</v>
      </c>
      <c r="AO54" s="460">
        <v>0</v>
      </c>
      <c r="AP54" s="460">
        <v>0</v>
      </c>
      <c r="AQ54" s="460">
        <v>0</v>
      </c>
      <c r="AR54" s="460">
        <v>0</v>
      </c>
      <c r="AS54" s="460">
        <v>0</v>
      </c>
      <c r="AT54" s="460">
        <v>0</v>
      </c>
      <c r="AU54" s="460">
        <v>0</v>
      </c>
      <c r="AV54" s="460">
        <v>0</v>
      </c>
      <c r="AW54" s="460">
        <v>0</v>
      </c>
      <c r="AX54" s="460">
        <v>0</v>
      </c>
      <c r="AY54" s="460">
        <v>0</v>
      </c>
      <c r="AZ54" s="454"/>
      <c r="BA54" s="460" t="s">
        <v>1278</v>
      </c>
      <c r="BB54" s="460"/>
      <c r="BC54" s="460" t="s">
        <v>1278</v>
      </c>
      <c r="BD54" s="460"/>
      <c r="BE54" s="460"/>
      <c r="BF54" s="460"/>
      <c r="BG54" s="455"/>
      <c r="BH54" s="454"/>
      <c r="BI54" s="460"/>
      <c r="BJ54" s="460" t="s">
        <v>4</v>
      </c>
      <c r="BK54" s="460"/>
      <c r="BL54" s="455"/>
      <c r="BM54" s="481" t="s">
        <v>430</v>
      </c>
      <c r="BN54" s="454" t="s">
        <v>368</v>
      </c>
      <c r="BO54" s="450"/>
    </row>
    <row r="55" spans="1:67" ht="13" customHeight="1" x14ac:dyDescent="0.2">
      <c r="A55" s="451">
        <v>2602</v>
      </c>
      <c r="B55" s="452">
        <v>44028</v>
      </c>
      <c r="C55" s="453" t="s">
        <v>295</v>
      </c>
      <c r="D55" s="454" t="s">
        <v>1110</v>
      </c>
      <c r="E55" s="452">
        <v>43910</v>
      </c>
      <c r="F55" s="455" t="s">
        <v>1048</v>
      </c>
      <c r="G55" s="454" t="s">
        <v>1397</v>
      </c>
      <c r="H55" s="461">
        <v>51.327272727272721</v>
      </c>
      <c r="I55" s="458" t="s">
        <v>296</v>
      </c>
      <c r="J55" s="485">
        <v>1645</v>
      </c>
      <c r="K55" s="485">
        <v>3000</v>
      </c>
      <c r="L55" s="485">
        <v>3000</v>
      </c>
      <c r="M55" s="485">
        <v>3000</v>
      </c>
      <c r="N55" s="454"/>
      <c r="O55" s="461">
        <v>2.4</v>
      </c>
      <c r="P55" s="461">
        <v>2.0454545454545454</v>
      </c>
      <c r="Q55" s="461">
        <v>0</v>
      </c>
      <c r="R55" s="461">
        <v>0</v>
      </c>
      <c r="S55" s="461">
        <v>1.7636363636363634</v>
      </c>
      <c r="T55" s="461"/>
      <c r="U55" s="461">
        <v>2.4</v>
      </c>
      <c r="V55" s="461">
        <v>2.0454545454545454</v>
      </c>
      <c r="W55" s="461">
        <v>0</v>
      </c>
      <c r="X55" s="461">
        <v>0</v>
      </c>
      <c r="Y55" s="461">
        <v>1.7636363636363634</v>
      </c>
      <c r="Z55" s="461"/>
      <c r="AA55" s="461"/>
      <c r="AB55" s="461"/>
      <c r="AC55" s="461"/>
      <c r="AD55" s="461"/>
      <c r="AE55" s="461"/>
      <c r="AF55" s="461"/>
      <c r="AG55" s="460" t="s">
        <v>1278</v>
      </c>
      <c r="AH55" s="460"/>
      <c r="AI55" s="460">
        <v>3</v>
      </c>
      <c r="AJ55" s="460">
        <v>3</v>
      </c>
      <c r="AK55" s="480">
        <v>0.5</v>
      </c>
      <c r="AL55" s="480">
        <v>0.5</v>
      </c>
      <c r="AM55" s="454"/>
      <c r="AN55" s="460">
        <v>0</v>
      </c>
      <c r="AO55" s="460">
        <v>0</v>
      </c>
      <c r="AP55" s="460">
        <v>0</v>
      </c>
      <c r="AQ55" s="460">
        <v>0</v>
      </c>
      <c r="AR55" s="460">
        <v>0</v>
      </c>
      <c r="AS55" s="460">
        <v>0</v>
      </c>
      <c r="AT55" s="460">
        <v>0</v>
      </c>
      <c r="AU55" s="460">
        <v>0</v>
      </c>
      <c r="AV55" s="460">
        <v>0</v>
      </c>
      <c r="AW55" s="460">
        <v>0</v>
      </c>
      <c r="AX55" s="460">
        <v>0</v>
      </c>
      <c r="AY55" s="460">
        <v>0</v>
      </c>
      <c r="AZ55" s="454"/>
      <c r="BA55" s="460" t="s">
        <v>1278</v>
      </c>
      <c r="BB55" s="460"/>
      <c r="BC55" s="460" t="s">
        <v>1278</v>
      </c>
      <c r="BD55" s="460"/>
      <c r="BE55" s="460"/>
      <c r="BF55" s="460"/>
      <c r="BG55" s="455"/>
      <c r="BH55" s="454"/>
      <c r="BI55" s="460"/>
      <c r="BJ55" s="460" t="s">
        <v>4</v>
      </c>
      <c r="BK55" s="460">
        <v>1</v>
      </c>
      <c r="BL55" s="455"/>
      <c r="BM55" s="454" t="s">
        <v>1425</v>
      </c>
      <c r="BN55" s="454" t="s">
        <v>368</v>
      </c>
      <c r="BO55" s="450"/>
    </row>
    <row r="56" spans="1:67" ht="13" customHeight="1" x14ac:dyDescent="0.2">
      <c r="A56" s="451">
        <v>2550</v>
      </c>
      <c r="B56" s="452">
        <v>44032</v>
      </c>
      <c r="C56" s="453" t="s">
        <v>295</v>
      </c>
      <c r="D56" s="454" t="s">
        <v>1110</v>
      </c>
      <c r="E56" s="452">
        <v>43831</v>
      </c>
      <c r="F56" s="455" t="s">
        <v>1050</v>
      </c>
      <c r="G56" s="454" t="s">
        <v>418</v>
      </c>
      <c r="H56" s="461">
        <v>75</v>
      </c>
      <c r="I56" s="458" t="s">
        <v>296</v>
      </c>
      <c r="J56" s="485">
        <v>1645</v>
      </c>
      <c r="K56" s="485">
        <v>3000</v>
      </c>
      <c r="L56" s="485">
        <v>3000</v>
      </c>
      <c r="M56" s="485">
        <v>3000</v>
      </c>
      <c r="N56" s="454"/>
      <c r="O56" s="461">
        <v>3.1727272727272728</v>
      </c>
      <c r="P56" s="461">
        <v>2.5</v>
      </c>
      <c r="Q56" s="461">
        <v>0</v>
      </c>
      <c r="R56" s="461">
        <v>0</v>
      </c>
      <c r="S56" s="461">
        <v>2.2545454545454544</v>
      </c>
      <c r="T56" s="461"/>
      <c r="U56" s="461">
        <v>3.1727272727272728</v>
      </c>
      <c r="V56" s="461">
        <v>2.5</v>
      </c>
      <c r="W56" s="461">
        <v>0</v>
      </c>
      <c r="X56" s="461">
        <v>0</v>
      </c>
      <c r="Y56" s="461">
        <v>2.2545454545454544</v>
      </c>
      <c r="Z56" s="461"/>
      <c r="AA56" s="461"/>
      <c r="AB56" s="461"/>
      <c r="AC56" s="461"/>
      <c r="AD56" s="461"/>
      <c r="AE56" s="461"/>
      <c r="AF56" s="461"/>
      <c r="AG56" s="460" t="s">
        <v>1278</v>
      </c>
      <c r="AH56" s="460"/>
      <c r="AI56" s="460">
        <v>3</v>
      </c>
      <c r="AJ56" s="460">
        <v>3</v>
      </c>
      <c r="AK56" s="480">
        <v>0.5</v>
      </c>
      <c r="AL56" s="480">
        <v>0.5</v>
      </c>
      <c r="AM56" s="454"/>
      <c r="AN56" s="460">
        <v>0</v>
      </c>
      <c r="AO56" s="460">
        <v>16</v>
      </c>
      <c r="AP56" s="460">
        <v>0</v>
      </c>
      <c r="AQ56" s="460">
        <v>0</v>
      </c>
      <c r="AR56" s="460">
        <v>0</v>
      </c>
      <c r="AS56" s="460">
        <v>0</v>
      </c>
      <c r="AT56" s="460">
        <v>0</v>
      </c>
      <c r="AU56" s="460">
        <v>0</v>
      </c>
      <c r="AV56" s="460">
        <v>0</v>
      </c>
      <c r="AW56" s="460">
        <v>0</v>
      </c>
      <c r="AX56" s="460">
        <v>0</v>
      </c>
      <c r="AY56" s="460">
        <v>0</v>
      </c>
      <c r="AZ56" s="454"/>
      <c r="BA56" s="460" t="s">
        <v>1278</v>
      </c>
      <c r="BB56" s="460"/>
      <c r="BC56" s="460" t="s">
        <v>1278</v>
      </c>
      <c r="BD56" s="460"/>
      <c r="BE56" s="460"/>
      <c r="BF56" s="460"/>
      <c r="BG56" s="455"/>
      <c r="BH56" s="454"/>
      <c r="BI56" s="460"/>
      <c r="BJ56" s="460" t="s">
        <v>4</v>
      </c>
      <c r="BK56" s="460">
        <v>1</v>
      </c>
      <c r="BL56" s="455"/>
      <c r="BM56" s="454" t="s">
        <v>1341</v>
      </c>
      <c r="BN56" s="454" t="s">
        <v>368</v>
      </c>
      <c r="BO56" s="450"/>
    </row>
    <row r="57" spans="1:67" ht="13" customHeight="1" x14ac:dyDescent="0.2">
      <c r="A57" s="451">
        <v>2552</v>
      </c>
      <c r="B57" s="452">
        <v>44028</v>
      </c>
      <c r="C57" s="453" t="s">
        <v>295</v>
      </c>
      <c r="D57" s="454" t="s">
        <v>1110</v>
      </c>
      <c r="E57" s="452">
        <v>44028</v>
      </c>
      <c r="F57" s="455" t="s">
        <v>1052</v>
      </c>
      <c r="G57" s="454" t="s">
        <v>1181</v>
      </c>
      <c r="H57" s="461">
        <v>54.954545454545453</v>
      </c>
      <c r="I57" s="458" t="s">
        <v>296</v>
      </c>
      <c r="J57" s="485">
        <v>1645</v>
      </c>
      <c r="K57" s="485">
        <v>3000</v>
      </c>
      <c r="L57" s="485">
        <v>3000</v>
      </c>
      <c r="M57" s="485">
        <v>3000</v>
      </c>
      <c r="N57" s="454"/>
      <c r="O57" s="461">
        <v>2.7</v>
      </c>
      <c r="P57" s="461">
        <v>2.1909090909090909</v>
      </c>
      <c r="Q57" s="461">
        <v>0</v>
      </c>
      <c r="R57" s="461">
        <v>0</v>
      </c>
      <c r="S57" s="461">
        <v>1.8818181818181816</v>
      </c>
      <c r="T57" s="461"/>
      <c r="U57" s="461">
        <v>2.7</v>
      </c>
      <c r="V57" s="461">
        <v>2.1909090909090909</v>
      </c>
      <c r="W57" s="461">
        <v>0</v>
      </c>
      <c r="X57" s="461">
        <v>0</v>
      </c>
      <c r="Y57" s="461">
        <v>1.8818181818181816</v>
      </c>
      <c r="Z57" s="461"/>
      <c r="AA57" s="461"/>
      <c r="AB57" s="461"/>
      <c r="AC57" s="461"/>
      <c r="AD57" s="461"/>
      <c r="AE57" s="461"/>
      <c r="AF57" s="461"/>
      <c r="AG57" s="460" t="s">
        <v>1278</v>
      </c>
      <c r="AH57" s="460"/>
      <c r="AI57" s="460">
        <v>3</v>
      </c>
      <c r="AJ57" s="460">
        <v>3</v>
      </c>
      <c r="AK57" s="480">
        <v>0.5</v>
      </c>
      <c r="AL57" s="480">
        <v>0.5</v>
      </c>
      <c r="AM57" s="454"/>
      <c r="AN57" s="460">
        <v>0</v>
      </c>
      <c r="AO57" s="460">
        <v>0</v>
      </c>
      <c r="AP57" s="460">
        <v>0</v>
      </c>
      <c r="AQ57" s="460">
        <v>0</v>
      </c>
      <c r="AR57" s="460">
        <v>0</v>
      </c>
      <c r="AS57" s="460">
        <v>0</v>
      </c>
      <c r="AT57" s="460">
        <v>0</v>
      </c>
      <c r="AU57" s="460">
        <v>0</v>
      </c>
      <c r="AV57" s="460">
        <v>0</v>
      </c>
      <c r="AW57" s="460">
        <v>0</v>
      </c>
      <c r="AX57" s="460">
        <v>0</v>
      </c>
      <c r="AY57" s="460">
        <v>0</v>
      </c>
      <c r="AZ57" s="454"/>
      <c r="BA57" s="460" t="s">
        <v>1278</v>
      </c>
      <c r="BB57" s="460"/>
      <c r="BC57" s="460" t="s">
        <v>1278</v>
      </c>
      <c r="BD57" s="460"/>
      <c r="BE57" s="460"/>
      <c r="BF57" s="460"/>
      <c r="BG57" s="455"/>
      <c r="BH57" s="454"/>
      <c r="BI57" s="460"/>
      <c r="BJ57" s="460" t="s">
        <v>4</v>
      </c>
      <c r="BK57" s="460"/>
      <c r="BL57" s="455"/>
      <c r="BM57" s="454" t="s">
        <v>1214</v>
      </c>
      <c r="BN57" s="454" t="s">
        <v>408</v>
      </c>
      <c r="BO57" s="450"/>
    </row>
    <row r="58" spans="1:67" ht="13" customHeight="1" x14ac:dyDescent="0.2">
      <c r="A58" s="451">
        <v>2117</v>
      </c>
      <c r="B58" s="452">
        <v>44028</v>
      </c>
      <c r="C58" s="453" t="s">
        <v>295</v>
      </c>
      <c r="D58" s="454" t="s">
        <v>1110</v>
      </c>
      <c r="E58" s="452">
        <v>43924</v>
      </c>
      <c r="F58" s="455" t="s">
        <v>1054</v>
      </c>
      <c r="G58" s="454" t="s">
        <v>1157</v>
      </c>
      <c r="H58" s="461">
        <v>82.5</v>
      </c>
      <c r="I58" s="458" t="s">
        <v>296</v>
      </c>
      <c r="J58" s="459">
        <v>3000</v>
      </c>
      <c r="K58" s="459">
        <v>3000</v>
      </c>
      <c r="L58" s="459">
        <v>3000</v>
      </c>
      <c r="M58" s="459">
        <v>3000</v>
      </c>
      <c r="N58" s="454"/>
      <c r="O58" s="461">
        <v>3.0272727272727269</v>
      </c>
      <c r="P58" s="482">
        <v>0</v>
      </c>
      <c r="Q58" s="461">
        <v>0</v>
      </c>
      <c r="R58" s="461">
        <v>0</v>
      </c>
      <c r="S58" s="461">
        <v>2.0272727272727269</v>
      </c>
      <c r="T58" s="461"/>
      <c r="U58" s="461">
        <v>3.0272727272727269</v>
      </c>
      <c r="V58" s="482">
        <v>0</v>
      </c>
      <c r="W58" s="461">
        <v>0</v>
      </c>
      <c r="X58" s="461">
        <v>0</v>
      </c>
      <c r="Y58" s="461">
        <v>2.0272727272727269</v>
      </c>
      <c r="Z58" s="461"/>
      <c r="AA58" s="461"/>
      <c r="AB58" s="461"/>
      <c r="AC58" s="461"/>
      <c r="AD58" s="461"/>
      <c r="AE58" s="461"/>
      <c r="AF58" s="461"/>
      <c r="AG58" s="460" t="s">
        <v>1278</v>
      </c>
      <c r="AH58" s="454"/>
      <c r="AI58" s="460">
        <v>3</v>
      </c>
      <c r="AJ58" s="460">
        <v>3</v>
      </c>
      <c r="AK58" s="480">
        <v>0.5</v>
      </c>
      <c r="AL58" s="480">
        <v>0.5</v>
      </c>
      <c r="AM58" s="454"/>
      <c r="AN58" s="460">
        <v>23</v>
      </c>
      <c r="AO58" s="460">
        <v>0</v>
      </c>
      <c r="AP58" s="460">
        <v>0</v>
      </c>
      <c r="AQ58" s="460">
        <v>0</v>
      </c>
      <c r="AR58" s="460">
        <v>0</v>
      </c>
      <c r="AS58" s="460">
        <v>0</v>
      </c>
      <c r="AT58" s="460">
        <v>0</v>
      </c>
      <c r="AU58" s="460">
        <v>0</v>
      </c>
      <c r="AV58" s="460">
        <v>0</v>
      </c>
      <c r="AW58" s="460">
        <v>0</v>
      </c>
      <c r="AX58" s="460">
        <v>0</v>
      </c>
      <c r="AY58" s="460">
        <v>0</v>
      </c>
      <c r="AZ58" s="472">
        <v>12</v>
      </c>
      <c r="BA58" s="460" t="s">
        <v>1278</v>
      </c>
      <c r="BB58" s="460">
        <v>12</v>
      </c>
      <c r="BC58" s="460" t="s">
        <v>1278</v>
      </c>
      <c r="BD58" s="460"/>
      <c r="BE58" s="460">
        <v>12</v>
      </c>
      <c r="BF58" s="460"/>
      <c r="BG58" s="455"/>
      <c r="BH58" s="454"/>
      <c r="BI58" s="460"/>
      <c r="BJ58" s="460" t="s">
        <v>4</v>
      </c>
      <c r="BK58" s="460"/>
      <c r="BL58" s="455"/>
      <c r="BM58" s="484" t="s">
        <v>1333</v>
      </c>
      <c r="BN58" s="454" t="s">
        <v>368</v>
      </c>
      <c r="BO58" s="450"/>
    </row>
    <row r="59" spans="1:67" ht="13" customHeight="1" x14ac:dyDescent="0.2">
      <c r="A59" s="451">
        <v>1967</v>
      </c>
      <c r="B59" s="452">
        <v>44028</v>
      </c>
      <c r="C59" s="453" t="s">
        <v>295</v>
      </c>
      <c r="D59" s="454" t="s">
        <v>1110</v>
      </c>
      <c r="E59" s="452">
        <v>44025</v>
      </c>
      <c r="F59" s="455" t="s">
        <v>1055</v>
      </c>
      <c r="G59" s="454" t="s">
        <v>1400</v>
      </c>
      <c r="H59" s="461">
        <v>67.899999999999991</v>
      </c>
      <c r="I59" s="458" t="s">
        <v>296</v>
      </c>
      <c r="J59" s="485">
        <v>1645</v>
      </c>
      <c r="K59" s="485">
        <v>3000</v>
      </c>
      <c r="L59" s="485">
        <v>3000</v>
      </c>
      <c r="M59" s="485">
        <v>3000</v>
      </c>
      <c r="N59" s="454"/>
      <c r="O59" s="461">
        <v>2.3272727272727272</v>
      </c>
      <c r="P59" s="461">
        <v>2.0363636363636366</v>
      </c>
      <c r="Q59" s="461">
        <v>0</v>
      </c>
      <c r="R59" s="461">
        <v>0</v>
      </c>
      <c r="S59" s="461">
        <v>1.7454545454545451</v>
      </c>
      <c r="T59" s="461"/>
      <c r="U59" s="461">
        <v>2.3272727272727272</v>
      </c>
      <c r="V59" s="461">
        <v>2.0363636363636366</v>
      </c>
      <c r="W59" s="461">
        <v>0</v>
      </c>
      <c r="X59" s="461">
        <v>0</v>
      </c>
      <c r="Y59" s="461">
        <v>1.7454545454545451</v>
      </c>
      <c r="Z59" s="461"/>
      <c r="AA59" s="461"/>
      <c r="AB59" s="461"/>
      <c r="AC59" s="461"/>
      <c r="AD59" s="461"/>
      <c r="AE59" s="461"/>
      <c r="AF59" s="461"/>
      <c r="AG59" s="460" t="s">
        <v>297</v>
      </c>
      <c r="AH59" s="460" t="s">
        <v>298</v>
      </c>
      <c r="AI59" s="460">
        <v>2</v>
      </c>
      <c r="AJ59" s="460">
        <v>4</v>
      </c>
      <c r="AK59" s="483">
        <v>0.33329999999999999</v>
      </c>
      <c r="AL59" s="483">
        <v>0.66659999999999997</v>
      </c>
      <c r="AM59" s="454" t="s">
        <v>1124</v>
      </c>
      <c r="AN59" s="460">
        <v>0</v>
      </c>
      <c r="AO59" s="460">
        <v>0</v>
      </c>
      <c r="AP59" s="460">
        <v>0</v>
      </c>
      <c r="AQ59" s="460">
        <v>0</v>
      </c>
      <c r="AR59" s="460">
        <v>0</v>
      </c>
      <c r="AS59" s="460">
        <v>0</v>
      </c>
      <c r="AT59" s="460">
        <v>0</v>
      </c>
      <c r="AU59" s="460">
        <v>0</v>
      </c>
      <c r="AV59" s="460">
        <v>0</v>
      </c>
      <c r="AW59" s="460">
        <v>0</v>
      </c>
      <c r="AX59" s="460">
        <v>0</v>
      </c>
      <c r="AY59" s="460">
        <v>0</v>
      </c>
      <c r="AZ59" s="454"/>
      <c r="BA59" s="460" t="s">
        <v>1278</v>
      </c>
      <c r="BB59" s="460"/>
      <c r="BC59" s="460" t="s">
        <v>1278</v>
      </c>
      <c r="BD59" s="460"/>
      <c r="BE59" s="460"/>
      <c r="BF59" s="460"/>
      <c r="BG59" s="460"/>
      <c r="BH59" s="460"/>
      <c r="BI59" s="460"/>
      <c r="BJ59" s="460" t="s">
        <v>4</v>
      </c>
      <c r="BK59" s="460"/>
      <c r="BL59" s="455"/>
      <c r="BM59" s="484" t="s">
        <v>430</v>
      </c>
      <c r="BN59" s="454" t="s">
        <v>408</v>
      </c>
      <c r="BO59" s="450"/>
    </row>
    <row r="60" spans="1:67" ht="13" customHeight="1" x14ac:dyDescent="0.2">
      <c r="A60" s="451">
        <v>316</v>
      </c>
      <c r="B60" s="452">
        <v>44028</v>
      </c>
      <c r="C60" s="453" t="s">
        <v>295</v>
      </c>
      <c r="D60" s="454" t="s">
        <v>1110</v>
      </c>
      <c r="E60" s="452">
        <v>44013</v>
      </c>
      <c r="F60" s="454" t="s">
        <v>1057</v>
      </c>
      <c r="G60" s="454" t="s">
        <v>1181</v>
      </c>
      <c r="H60" s="461">
        <v>79.190909090909088</v>
      </c>
      <c r="I60" s="458" t="s">
        <v>296</v>
      </c>
      <c r="J60" s="485">
        <v>1645</v>
      </c>
      <c r="K60" s="485">
        <v>3000</v>
      </c>
      <c r="L60" s="485">
        <v>3000</v>
      </c>
      <c r="M60" s="485">
        <v>3000</v>
      </c>
      <c r="N60" s="454"/>
      <c r="O60" s="461">
        <v>2.418181818181818</v>
      </c>
      <c r="P60" s="461">
        <v>2.0545454545454542</v>
      </c>
      <c r="Q60" s="461">
        <v>0</v>
      </c>
      <c r="R60" s="461">
        <v>0</v>
      </c>
      <c r="S60" s="461">
        <v>1.7909090909090908</v>
      </c>
      <c r="T60" s="461"/>
      <c r="U60" s="461">
        <v>2.1999999999999997</v>
      </c>
      <c r="V60" s="461">
        <v>1.8545454545454545</v>
      </c>
      <c r="W60" s="461">
        <v>0</v>
      </c>
      <c r="X60" s="461">
        <v>0</v>
      </c>
      <c r="Y60" s="461">
        <v>1.6090909090909089</v>
      </c>
      <c r="Z60" s="461"/>
      <c r="AA60" s="461"/>
      <c r="AB60" s="461"/>
      <c r="AC60" s="461"/>
      <c r="AD60" s="461"/>
      <c r="AE60" s="461"/>
      <c r="AF60" s="461"/>
      <c r="AG60" s="460" t="s">
        <v>297</v>
      </c>
      <c r="AH60" s="460" t="s">
        <v>298</v>
      </c>
      <c r="AI60" s="460">
        <v>2</v>
      </c>
      <c r="AJ60" s="460">
        <v>4</v>
      </c>
      <c r="AK60" s="483">
        <v>0.33329999999999999</v>
      </c>
      <c r="AL60" s="483">
        <v>0.66659999999999997</v>
      </c>
      <c r="AM60" s="454" t="s">
        <v>1124</v>
      </c>
      <c r="AN60" s="460">
        <v>0</v>
      </c>
      <c r="AO60" s="460">
        <v>0</v>
      </c>
      <c r="AP60" s="460">
        <v>0</v>
      </c>
      <c r="AQ60" s="460">
        <v>0</v>
      </c>
      <c r="AR60" s="460">
        <v>0</v>
      </c>
      <c r="AS60" s="460">
        <v>0</v>
      </c>
      <c r="AT60" s="460">
        <v>0</v>
      </c>
      <c r="AU60" s="460">
        <v>0</v>
      </c>
      <c r="AV60" s="460">
        <v>0</v>
      </c>
      <c r="AW60" s="460">
        <v>0</v>
      </c>
      <c r="AX60" s="460">
        <v>0</v>
      </c>
      <c r="AY60" s="460">
        <v>0</v>
      </c>
      <c r="AZ60" s="454"/>
      <c r="BA60" s="460" t="s">
        <v>1278</v>
      </c>
      <c r="BB60" s="460"/>
      <c r="BC60" s="460" t="s">
        <v>1278</v>
      </c>
      <c r="BD60" s="460"/>
      <c r="BE60" s="460"/>
      <c r="BF60" s="460"/>
      <c r="BG60" s="455"/>
      <c r="BH60" s="454"/>
      <c r="BI60" s="460"/>
      <c r="BJ60" s="460" t="s">
        <v>4</v>
      </c>
      <c r="BK60" s="460"/>
      <c r="BL60" s="455"/>
      <c r="BM60" s="484" t="s">
        <v>1426</v>
      </c>
      <c r="BN60" s="454" t="s">
        <v>368</v>
      </c>
      <c r="BO60" s="450"/>
    </row>
    <row r="61" spans="1:67" ht="13" customHeight="1" x14ac:dyDescent="0.2">
      <c r="A61" s="451">
        <v>2261</v>
      </c>
      <c r="B61" s="452">
        <v>44028</v>
      </c>
      <c r="C61" s="453" t="s">
        <v>295</v>
      </c>
      <c r="D61" s="454" t="s">
        <v>1110</v>
      </c>
      <c r="E61" s="452">
        <v>44013</v>
      </c>
      <c r="F61" s="455" t="s">
        <v>981</v>
      </c>
      <c r="G61" s="454" t="s">
        <v>1167</v>
      </c>
      <c r="H61" s="461">
        <v>69</v>
      </c>
      <c r="I61" s="458" t="s">
        <v>296</v>
      </c>
      <c r="J61" s="459">
        <v>6000</v>
      </c>
      <c r="K61" s="459">
        <v>12000</v>
      </c>
      <c r="L61" s="459">
        <v>12000</v>
      </c>
      <c r="M61" s="459">
        <v>12000</v>
      </c>
      <c r="N61" s="454"/>
      <c r="O61" s="461">
        <v>2.2000000000000002</v>
      </c>
      <c r="P61" s="461">
        <v>2.1</v>
      </c>
      <c r="Q61" s="461">
        <v>0</v>
      </c>
      <c r="R61" s="461">
        <v>0</v>
      </c>
      <c r="S61" s="461">
        <v>1.8</v>
      </c>
      <c r="T61" s="461"/>
      <c r="U61" s="461">
        <v>2.2000000000000002</v>
      </c>
      <c r="V61" s="461">
        <v>2.1</v>
      </c>
      <c r="W61" s="461">
        <v>0</v>
      </c>
      <c r="X61" s="461">
        <v>0</v>
      </c>
      <c r="Y61" s="461">
        <v>1.8</v>
      </c>
      <c r="Z61" s="461"/>
      <c r="AA61" s="461"/>
      <c r="AB61" s="461"/>
      <c r="AC61" s="461"/>
      <c r="AD61" s="461"/>
      <c r="AE61" s="461"/>
      <c r="AF61" s="461"/>
      <c r="AG61" s="460" t="s">
        <v>1278</v>
      </c>
      <c r="AH61" s="460"/>
      <c r="AI61" s="460">
        <v>3</v>
      </c>
      <c r="AJ61" s="460">
        <v>3</v>
      </c>
      <c r="AK61" s="480">
        <v>0.5</v>
      </c>
      <c r="AL61" s="480">
        <v>0.5</v>
      </c>
      <c r="AM61" s="454"/>
      <c r="AN61" s="460">
        <v>11</v>
      </c>
      <c r="AO61" s="460">
        <v>0</v>
      </c>
      <c r="AP61" s="460">
        <v>0</v>
      </c>
      <c r="AQ61" s="460">
        <v>0</v>
      </c>
      <c r="AR61" s="460">
        <v>0</v>
      </c>
      <c r="AS61" s="460">
        <v>0</v>
      </c>
      <c r="AT61" s="460">
        <v>0</v>
      </c>
      <c r="AU61" s="460">
        <v>0</v>
      </c>
      <c r="AV61" s="460">
        <v>0</v>
      </c>
      <c r="AW61" s="460">
        <v>0</v>
      </c>
      <c r="AX61" s="460">
        <v>0</v>
      </c>
      <c r="AY61" s="460">
        <v>0</v>
      </c>
      <c r="AZ61" s="454"/>
      <c r="BA61" s="460" t="s">
        <v>1278</v>
      </c>
      <c r="BB61" s="460">
        <v>12</v>
      </c>
      <c r="BC61" s="460" t="s">
        <v>1278</v>
      </c>
      <c r="BD61" s="460"/>
      <c r="BE61" s="460"/>
      <c r="BF61" s="460"/>
      <c r="BG61" s="455"/>
      <c r="BH61" s="454"/>
      <c r="BI61" s="460"/>
      <c r="BJ61" s="460" t="s">
        <v>4</v>
      </c>
      <c r="BK61" s="460"/>
      <c r="BL61" s="455"/>
      <c r="BM61" s="454" t="s">
        <v>430</v>
      </c>
      <c r="BN61" s="454" t="s">
        <v>368</v>
      </c>
      <c r="BO61" s="450"/>
    </row>
    <row r="62" spans="1:67" ht="13" customHeight="1" x14ac:dyDescent="0.2">
      <c r="A62" s="451">
        <v>2398</v>
      </c>
      <c r="B62" s="452">
        <v>44029</v>
      </c>
      <c r="C62" s="453" t="s">
        <v>295</v>
      </c>
      <c r="D62" s="454" t="s">
        <v>1110</v>
      </c>
      <c r="E62" s="465">
        <v>43984</v>
      </c>
      <c r="F62" s="455" t="s">
        <v>982</v>
      </c>
      <c r="G62" s="454" t="s">
        <v>1297</v>
      </c>
      <c r="H62" s="461">
        <v>65.518181818181802</v>
      </c>
      <c r="I62" s="458" t="s">
        <v>296</v>
      </c>
      <c r="J62" s="485">
        <v>1645</v>
      </c>
      <c r="K62" s="485">
        <v>3000</v>
      </c>
      <c r="L62" s="485">
        <v>3000</v>
      </c>
      <c r="M62" s="485">
        <v>3000</v>
      </c>
      <c r="N62" s="454"/>
      <c r="O62" s="461">
        <v>2.4090909090909087</v>
      </c>
      <c r="P62" s="461">
        <v>2.2909090909090906</v>
      </c>
      <c r="Q62" s="461">
        <v>0</v>
      </c>
      <c r="R62" s="461">
        <v>0</v>
      </c>
      <c r="S62" s="461">
        <v>1.6454545454545453</v>
      </c>
      <c r="T62" s="461"/>
      <c r="U62" s="461">
        <v>2.4090909090909087</v>
      </c>
      <c r="V62" s="461">
        <v>2.2909090909090906</v>
      </c>
      <c r="W62" s="461">
        <v>0</v>
      </c>
      <c r="X62" s="461">
        <v>0</v>
      </c>
      <c r="Y62" s="461">
        <v>1.6454545454545453</v>
      </c>
      <c r="Z62" s="461"/>
      <c r="AA62" s="461"/>
      <c r="AB62" s="461"/>
      <c r="AC62" s="461"/>
      <c r="AD62" s="461"/>
      <c r="AE62" s="461"/>
      <c r="AF62" s="461"/>
      <c r="AG62" s="460" t="s">
        <v>1278</v>
      </c>
      <c r="AH62" s="460"/>
      <c r="AI62" s="460">
        <v>3</v>
      </c>
      <c r="AJ62" s="460">
        <v>3</v>
      </c>
      <c r="AK62" s="480">
        <v>0.5</v>
      </c>
      <c r="AL62" s="480">
        <v>0.5</v>
      </c>
      <c r="AM62" s="454"/>
      <c r="AN62" s="460">
        <v>0</v>
      </c>
      <c r="AO62" s="460">
        <v>0</v>
      </c>
      <c r="AP62" s="460">
        <v>0</v>
      </c>
      <c r="AQ62" s="460">
        <v>0</v>
      </c>
      <c r="AR62" s="460">
        <v>0</v>
      </c>
      <c r="AS62" s="460">
        <v>0</v>
      </c>
      <c r="AT62" s="460">
        <v>0</v>
      </c>
      <c r="AU62" s="460">
        <v>0</v>
      </c>
      <c r="AV62" s="460">
        <v>0</v>
      </c>
      <c r="AW62" s="460">
        <v>0</v>
      </c>
      <c r="AX62" s="460">
        <v>0</v>
      </c>
      <c r="AY62" s="460">
        <v>0</v>
      </c>
      <c r="AZ62" s="460"/>
      <c r="BA62" s="460" t="s">
        <v>1278</v>
      </c>
      <c r="BB62" s="460"/>
      <c r="BC62" s="460" t="s">
        <v>1278</v>
      </c>
      <c r="BD62" s="460"/>
      <c r="BE62" s="460"/>
      <c r="BF62" s="460"/>
      <c r="BG62" s="455"/>
      <c r="BH62" s="454"/>
      <c r="BI62" s="460"/>
      <c r="BJ62" s="460" t="s">
        <v>4</v>
      </c>
      <c r="BK62" s="460"/>
      <c r="BL62" s="455"/>
      <c r="BM62" s="484" t="s">
        <v>1427</v>
      </c>
      <c r="BN62" s="454" t="s">
        <v>368</v>
      </c>
      <c r="BO62" s="450"/>
    </row>
    <row r="63" spans="1:67" ht="13" customHeight="1" x14ac:dyDescent="0.2">
      <c r="A63" s="451">
        <v>2690</v>
      </c>
      <c r="B63" s="452">
        <v>44029</v>
      </c>
      <c r="C63" s="453" t="s">
        <v>295</v>
      </c>
      <c r="D63" s="454" t="s">
        <v>1110</v>
      </c>
      <c r="E63" s="465">
        <v>44013</v>
      </c>
      <c r="F63" s="455" t="s">
        <v>984</v>
      </c>
      <c r="G63" s="454" t="s">
        <v>1405</v>
      </c>
      <c r="H63" s="461">
        <v>69.899999999999991</v>
      </c>
      <c r="I63" s="458" t="s">
        <v>296</v>
      </c>
      <c r="J63" s="485">
        <v>1645</v>
      </c>
      <c r="K63" s="485">
        <v>3000</v>
      </c>
      <c r="L63" s="485">
        <v>3000</v>
      </c>
      <c r="M63" s="485">
        <v>3000</v>
      </c>
      <c r="N63" s="454"/>
      <c r="O63" s="461">
        <v>2.9727272727272727</v>
      </c>
      <c r="P63" s="461">
        <v>2.3545454545454541</v>
      </c>
      <c r="Q63" s="461">
        <v>0</v>
      </c>
      <c r="R63" s="461">
        <v>0</v>
      </c>
      <c r="S63" s="461">
        <v>1.9818181818181817</v>
      </c>
      <c r="T63" s="461"/>
      <c r="U63" s="461">
        <v>2.9727272727272727</v>
      </c>
      <c r="V63" s="461">
        <v>2.3545454545454541</v>
      </c>
      <c r="W63" s="461">
        <v>0</v>
      </c>
      <c r="X63" s="461">
        <v>0</v>
      </c>
      <c r="Y63" s="461">
        <v>1.9818181818181817</v>
      </c>
      <c r="Z63" s="461"/>
      <c r="AA63" s="461"/>
      <c r="AB63" s="461"/>
      <c r="AC63" s="461"/>
      <c r="AD63" s="461"/>
      <c r="AE63" s="461"/>
      <c r="AF63" s="461"/>
      <c r="AG63" s="460" t="s">
        <v>1278</v>
      </c>
      <c r="AH63" s="460"/>
      <c r="AI63" s="460">
        <v>3</v>
      </c>
      <c r="AJ63" s="460">
        <v>3</v>
      </c>
      <c r="AK63" s="480">
        <v>0.5</v>
      </c>
      <c r="AL63" s="480">
        <v>0.5</v>
      </c>
      <c r="AM63" s="454"/>
      <c r="AN63" s="460">
        <v>20</v>
      </c>
      <c r="AO63" s="460">
        <v>0</v>
      </c>
      <c r="AP63" s="460">
        <v>0</v>
      </c>
      <c r="AQ63" s="460">
        <v>0</v>
      </c>
      <c r="AR63" s="460">
        <v>0</v>
      </c>
      <c r="AS63" s="460">
        <v>0</v>
      </c>
      <c r="AT63" s="460">
        <v>0</v>
      </c>
      <c r="AU63" s="460">
        <v>0</v>
      </c>
      <c r="AV63" s="460">
        <v>0</v>
      </c>
      <c r="AW63" s="460">
        <v>0</v>
      </c>
      <c r="AX63" s="460">
        <v>0</v>
      </c>
      <c r="AY63" s="460">
        <v>0</v>
      </c>
      <c r="AZ63" s="454"/>
      <c r="BA63" s="460" t="s">
        <v>1278</v>
      </c>
      <c r="BB63" s="460"/>
      <c r="BC63" s="460" t="s">
        <v>1278</v>
      </c>
      <c r="BD63" s="460"/>
      <c r="BE63" s="460"/>
      <c r="BF63" s="460"/>
      <c r="BG63" s="455"/>
      <c r="BH63" s="454"/>
      <c r="BI63" s="460"/>
      <c r="BJ63" s="460" t="s">
        <v>4</v>
      </c>
      <c r="BK63" s="460"/>
      <c r="BL63" s="455"/>
      <c r="BM63" s="484" t="s">
        <v>430</v>
      </c>
      <c r="BN63" s="454" t="s">
        <v>368</v>
      </c>
      <c r="BO63" s="450"/>
    </row>
    <row r="64" spans="1:67" ht="13" customHeight="1" x14ac:dyDescent="0.2">
      <c r="A64" s="451">
        <v>2221</v>
      </c>
      <c r="B64" s="452">
        <v>44032</v>
      </c>
      <c r="C64" s="453" t="s">
        <v>295</v>
      </c>
      <c r="D64" s="454" t="s">
        <v>1110</v>
      </c>
      <c r="E64" s="465">
        <v>43831</v>
      </c>
      <c r="F64" s="454" t="s">
        <v>985</v>
      </c>
      <c r="G64" s="454" t="s">
        <v>1174</v>
      </c>
      <c r="H64" s="461">
        <v>75</v>
      </c>
      <c r="I64" s="467" t="s">
        <v>296</v>
      </c>
      <c r="J64" s="485">
        <v>1645</v>
      </c>
      <c r="K64" s="485">
        <v>3000</v>
      </c>
      <c r="L64" s="485">
        <v>3000</v>
      </c>
      <c r="M64" s="485">
        <v>3000</v>
      </c>
      <c r="N64" s="468"/>
      <c r="O64" s="461">
        <v>2.2818181818181813</v>
      </c>
      <c r="P64" s="461">
        <v>2.2181818181818178</v>
      </c>
      <c r="Q64" s="461">
        <v>0</v>
      </c>
      <c r="R64" s="461">
        <v>0</v>
      </c>
      <c r="S64" s="461">
        <v>1.6181818181818182</v>
      </c>
      <c r="T64" s="456"/>
      <c r="U64" s="461">
        <v>2.2818181818181813</v>
      </c>
      <c r="V64" s="461">
        <v>2.2181818181818178</v>
      </c>
      <c r="W64" s="461">
        <v>0</v>
      </c>
      <c r="X64" s="461">
        <v>0</v>
      </c>
      <c r="Y64" s="461">
        <v>1.6181818181818182</v>
      </c>
      <c r="Z64" s="456"/>
      <c r="AA64" s="461"/>
      <c r="AB64" s="461"/>
      <c r="AC64" s="461"/>
      <c r="AD64" s="461"/>
      <c r="AE64" s="461"/>
      <c r="AF64" s="456"/>
      <c r="AG64" s="470" t="s">
        <v>1278</v>
      </c>
      <c r="AH64" s="470"/>
      <c r="AI64" s="460">
        <v>3</v>
      </c>
      <c r="AJ64" s="460">
        <v>3</v>
      </c>
      <c r="AK64" s="480">
        <v>0.5</v>
      </c>
      <c r="AL64" s="480">
        <v>0.5</v>
      </c>
      <c r="AM64" s="454"/>
      <c r="AN64" s="460">
        <v>0</v>
      </c>
      <c r="AO64" s="460">
        <v>0</v>
      </c>
      <c r="AP64" s="460">
        <v>5</v>
      </c>
      <c r="AQ64" s="460">
        <v>0</v>
      </c>
      <c r="AR64" s="460">
        <v>0</v>
      </c>
      <c r="AS64" s="460">
        <v>0</v>
      </c>
      <c r="AT64" s="460">
        <v>0</v>
      </c>
      <c r="AU64" s="460">
        <v>0</v>
      </c>
      <c r="AV64" s="460">
        <v>0</v>
      </c>
      <c r="AW64" s="460">
        <v>0</v>
      </c>
      <c r="AX64" s="460">
        <v>0</v>
      </c>
      <c r="AY64" s="460">
        <v>0</v>
      </c>
      <c r="AZ64" s="460"/>
      <c r="BA64" s="460" t="s">
        <v>1278</v>
      </c>
      <c r="BB64" s="460">
        <v>12</v>
      </c>
      <c r="BC64" s="460" t="s">
        <v>1278</v>
      </c>
      <c r="BD64" s="460"/>
      <c r="BE64" s="460"/>
      <c r="BF64" s="460"/>
      <c r="BG64" s="455"/>
      <c r="BH64" s="454"/>
      <c r="BI64" s="460"/>
      <c r="BJ64" s="460" t="s">
        <v>411</v>
      </c>
      <c r="BK64" s="460"/>
      <c r="BL64" s="455"/>
      <c r="BM64" s="454" t="s">
        <v>1428</v>
      </c>
      <c r="BN64" s="454" t="s">
        <v>368</v>
      </c>
      <c r="BO64" s="450"/>
    </row>
    <row r="65" spans="1:67" ht="13" customHeight="1" x14ac:dyDescent="0.2">
      <c r="A65" s="451">
        <v>1912</v>
      </c>
      <c r="B65" s="452">
        <v>44028</v>
      </c>
      <c r="C65" s="453" t="s">
        <v>295</v>
      </c>
      <c r="D65" s="454" t="s">
        <v>1110</v>
      </c>
      <c r="E65" s="452">
        <v>43831</v>
      </c>
      <c r="F65" s="455" t="s">
        <v>987</v>
      </c>
      <c r="G65" s="454" t="s">
        <v>1127</v>
      </c>
      <c r="H65" s="461">
        <v>54.536000000000001</v>
      </c>
      <c r="I65" s="458" t="s">
        <v>296</v>
      </c>
      <c r="J65" s="485">
        <v>1645</v>
      </c>
      <c r="K65" s="485">
        <v>3000</v>
      </c>
      <c r="L65" s="485">
        <v>3000</v>
      </c>
      <c r="M65" s="485">
        <v>3000</v>
      </c>
      <c r="N65" s="454"/>
      <c r="O65" s="461">
        <v>2.5499999999999998</v>
      </c>
      <c r="P65" s="461">
        <v>2.1760000000000002</v>
      </c>
      <c r="Q65" s="461">
        <v>0</v>
      </c>
      <c r="R65" s="461">
        <v>0</v>
      </c>
      <c r="S65" s="461">
        <v>1.87</v>
      </c>
      <c r="T65" s="461"/>
      <c r="U65" s="461">
        <v>2.5499999999999998</v>
      </c>
      <c r="V65" s="461">
        <v>2.1760000000000002</v>
      </c>
      <c r="W65" s="461">
        <v>0</v>
      </c>
      <c r="X65" s="461">
        <v>0</v>
      </c>
      <c r="Y65" s="461">
        <v>1.87</v>
      </c>
      <c r="Z65" s="461"/>
      <c r="AA65" s="461"/>
      <c r="AB65" s="461"/>
      <c r="AC65" s="461"/>
      <c r="AD65" s="461"/>
      <c r="AE65" s="461"/>
      <c r="AF65" s="461"/>
      <c r="AG65" s="460" t="s">
        <v>1278</v>
      </c>
      <c r="AH65" s="460"/>
      <c r="AI65" s="460">
        <v>3</v>
      </c>
      <c r="AJ65" s="460">
        <v>3</v>
      </c>
      <c r="AK65" s="480">
        <v>0.5</v>
      </c>
      <c r="AL65" s="480">
        <v>0.5</v>
      </c>
      <c r="AM65" s="454"/>
      <c r="AN65" s="460">
        <v>0</v>
      </c>
      <c r="AO65" s="460">
        <v>0</v>
      </c>
      <c r="AP65" s="460">
        <v>0</v>
      </c>
      <c r="AQ65" s="460">
        <v>0</v>
      </c>
      <c r="AR65" s="460">
        <v>0</v>
      </c>
      <c r="AS65" s="460">
        <v>0</v>
      </c>
      <c r="AT65" s="460">
        <v>0</v>
      </c>
      <c r="AU65" s="460">
        <v>0</v>
      </c>
      <c r="AV65" s="460">
        <v>0</v>
      </c>
      <c r="AW65" s="460">
        <v>0</v>
      </c>
      <c r="AX65" s="460">
        <v>0</v>
      </c>
      <c r="AY65" s="460">
        <v>0</v>
      </c>
      <c r="AZ65" s="460"/>
      <c r="BA65" s="460" t="s">
        <v>1278</v>
      </c>
      <c r="BB65" s="460"/>
      <c r="BC65" s="460" t="s">
        <v>1278</v>
      </c>
      <c r="BD65" s="460"/>
      <c r="BE65" s="460"/>
      <c r="BF65" s="460"/>
      <c r="BG65" s="455"/>
      <c r="BH65" s="454"/>
      <c r="BI65" s="460"/>
      <c r="BJ65" s="460" t="s">
        <v>4</v>
      </c>
      <c r="BK65" s="460">
        <v>1</v>
      </c>
      <c r="BL65" s="455"/>
      <c r="BM65" s="454" t="s">
        <v>1330</v>
      </c>
      <c r="BN65" s="454" t="s">
        <v>368</v>
      </c>
      <c r="BO65" s="450"/>
    </row>
    <row r="66" spans="1:67" ht="13" customHeight="1" x14ac:dyDescent="0.2">
      <c r="A66" s="451">
        <v>1686</v>
      </c>
      <c r="B66" s="452">
        <v>44029</v>
      </c>
      <c r="C66" s="453" t="s">
        <v>295</v>
      </c>
      <c r="D66" s="454" t="s">
        <v>1110</v>
      </c>
      <c r="E66" s="452">
        <v>44007</v>
      </c>
      <c r="F66" s="455" t="s">
        <v>1106</v>
      </c>
      <c r="G66" s="454" t="s">
        <v>2</v>
      </c>
      <c r="H66" s="461">
        <v>57</v>
      </c>
      <c r="I66" s="458" t="s">
        <v>296</v>
      </c>
      <c r="J66" s="459">
        <v>3000</v>
      </c>
      <c r="K66" s="459">
        <v>3000</v>
      </c>
      <c r="L66" s="459">
        <v>3000</v>
      </c>
      <c r="M66" s="459">
        <v>3000</v>
      </c>
      <c r="N66" s="454"/>
      <c r="O66" s="461">
        <v>1.7272727272727271</v>
      </c>
      <c r="P66" s="461">
        <v>0</v>
      </c>
      <c r="Q66" s="461">
        <v>0</v>
      </c>
      <c r="R66" s="461">
        <v>0</v>
      </c>
      <c r="S66" s="461">
        <v>1.7272727272727271</v>
      </c>
      <c r="T66" s="461"/>
      <c r="U66" s="461">
        <v>1.7272727272727271</v>
      </c>
      <c r="V66" s="482">
        <v>0</v>
      </c>
      <c r="W66" s="461">
        <v>0</v>
      </c>
      <c r="X66" s="461">
        <v>0</v>
      </c>
      <c r="Y66" s="461">
        <v>1.7272727272727271</v>
      </c>
      <c r="Z66" s="461"/>
      <c r="AA66" s="461"/>
      <c r="AB66" s="461"/>
      <c r="AC66" s="461"/>
      <c r="AD66" s="461"/>
      <c r="AE66" s="461"/>
      <c r="AF66" s="461"/>
      <c r="AG66" s="460" t="s">
        <v>1278</v>
      </c>
      <c r="AH66" s="460"/>
      <c r="AI66" s="460">
        <v>3</v>
      </c>
      <c r="AJ66" s="460">
        <v>3</v>
      </c>
      <c r="AK66" s="480">
        <v>0.5</v>
      </c>
      <c r="AL66" s="480">
        <v>0.5</v>
      </c>
      <c r="AM66" s="454"/>
      <c r="AN66" s="460">
        <v>0</v>
      </c>
      <c r="AO66" s="460">
        <v>0</v>
      </c>
      <c r="AP66" s="460">
        <v>0</v>
      </c>
      <c r="AQ66" s="460">
        <v>0</v>
      </c>
      <c r="AR66" s="460">
        <v>0</v>
      </c>
      <c r="AS66" s="460">
        <v>0</v>
      </c>
      <c r="AT66" s="460">
        <v>0</v>
      </c>
      <c r="AU66" s="460">
        <v>0</v>
      </c>
      <c r="AV66" s="460">
        <v>0</v>
      </c>
      <c r="AW66" s="460">
        <v>0</v>
      </c>
      <c r="AX66" s="460">
        <v>0</v>
      </c>
      <c r="AY66" s="460">
        <v>0</v>
      </c>
      <c r="AZ66" s="460"/>
      <c r="BA66" s="460" t="s">
        <v>1278</v>
      </c>
      <c r="BB66" s="460"/>
      <c r="BC66" s="460" t="s">
        <v>1278</v>
      </c>
      <c r="BD66" s="460"/>
      <c r="BE66" s="460"/>
      <c r="BF66" s="455"/>
      <c r="BG66" s="454"/>
      <c r="BH66" s="460"/>
      <c r="BI66" s="460"/>
      <c r="BJ66" s="460" t="s">
        <v>4</v>
      </c>
      <c r="BK66" s="460">
        <v>1</v>
      </c>
      <c r="BL66" s="454"/>
      <c r="BM66" s="454" t="s">
        <v>1429</v>
      </c>
      <c r="BN66" s="454" t="s">
        <v>368</v>
      </c>
      <c r="BO66" s="450"/>
    </row>
    <row r="67" spans="1:67" ht="13" customHeight="1" x14ac:dyDescent="0.2">
      <c r="A67" s="451">
        <v>2213</v>
      </c>
      <c r="B67" s="452">
        <v>44029</v>
      </c>
      <c r="C67" s="453" t="s">
        <v>295</v>
      </c>
      <c r="D67" s="454" t="s">
        <v>1110</v>
      </c>
      <c r="E67" s="465">
        <v>44013</v>
      </c>
      <c r="F67" s="454" t="s">
        <v>34</v>
      </c>
      <c r="G67" s="454" t="s">
        <v>1178</v>
      </c>
      <c r="H67" s="461">
        <v>72.654545454545456</v>
      </c>
      <c r="I67" s="467"/>
      <c r="J67" s="469"/>
      <c r="K67" s="469"/>
      <c r="L67" s="469"/>
      <c r="M67" s="469"/>
      <c r="N67" s="468"/>
      <c r="O67" s="461">
        <v>1.9363636363636361</v>
      </c>
      <c r="P67" s="461">
        <v>0</v>
      </c>
      <c r="Q67" s="461">
        <v>0</v>
      </c>
      <c r="R67" s="461">
        <v>0</v>
      </c>
      <c r="S67" s="461">
        <v>0</v>
      </c>
      <c r="T67" s="456"/>
      <c r="U67" s="461">
        <v>1.9363636363636361</v>
      </c>
      <c r="V67" s="461">
        <v>0</v>
      </c>
      <c r="W67" s="461">
        <v>0</v>
      </c>
      <c r="X67" s="461">
        <v>0</v>
      </c>
      <c r="Y67" s="461">
        <v>0</v>
      </c>
      <c r="Z67" s="456"/>
      <c r="AA67" s="461"/>
      <c r="AB67" s="461"/>
      <c r="AC67" s="461"/>
      <c r="AD67" s="461"/>
      <c r="AE67" s="461"/>
      <c r="AF67" s="456"/>
      <c r="AG67" s="470" t="s">
        <v>1278</v>
      </c>
      <c r="AH67" s="470"/>
      <c r="AI67" s="460">
        <v>3</v>
      </c>
      <c r="AJ67" s="460">
        <v>3</v>
      </c>
      <c r="AK67" s="480">
        <v>0.5</v>
      </c>
      <c r="AL67" s="480">
        <v>0.5</v>
      </c>
      <c r="AM67" s="454"/>
      <c r="AN67" s="460">
        <v>0</v>
      </c>
      <c r="AO67" s="460">
        <v>0</v>
      </c>
      <c r="AP67" s="460">
        <v>5</v>
      </c>
      <c r="AQ67" s="460">
        <v>0</v>
      </c>
      <c r="AR67" s="460">
        <v>0</v>
      </c>
      <c r="AS67" s="460">
        <v>0</v>
      </c>
      <c r="AT67" s="460">
        <v>0</v>
      </c>
      <c r="AU67" s="460">
        <v>0</v>
      </c>
      <c r="AV67" s="460">
        <v>0</v>
      </c>
      <c r="AW67" s="460">
        <v>0</v>
      </c>
      <c r="AX67" s="460">
        <v>0</v>
      </c>
      <c r="AY67" s="460">
        <v>0</v>
      </c>
      <c r="AZ67" s="460"/>
      <c r="BA67" s="460" t="s">
        <v>1278</v>
      </c>
      <c r="BB67" s="460"/>
      <c r="BC67" s="460" t="s">
        <v>1278</v>
      </c>
      <c r="BD67" s="460"/>
      <c r="BE67" s="460"/>
      <c r="BF67" s="460"/>
      <c r="BG67" s="455"/>
      <c r="BH67" s="454"/>
      <c r="BI67" s="460"/>
      <c r="BJ67" s="460" t="s">
        <v>411</v>
      </c>
      <c r="BK67" s="460"/>
      <c r="BL67" s="455" t="s">
        <v>47</v>
      </c>
      <c r="BM67" s="484" t="s">
        <v>430</v>
      </c>
      <c r="BN67" s="454" t="s">
        <v>368</v>
      </c>
      <c r="BO67" s="450"/>
    </row>
    <row r="68" spans="1:67" ht="13" customHeight="1" x14ac:dyDescent="0.2">
      <c r="A68" s="451">
        <v>2462</v>
      </c>
      <c r="B68" s="452">
        <v>44028</v>
      </c>
      <c r="C68" s="453" t="s">
        <v>295</v>
      </c>
      <c r="D68" s="454" t="s">
        <v>1110</v>
      </c>
      <c r="E68" s="465">
        <v>44013</v>
      </c>
      <c r="F68" s="454" t="s">
        <v>1274</v>
      </c>
      <c r="G68" s="454" t="s">
        <v>1275</v>
      </c>
      <c r="H68" s="461">
        <v>72.999999999999986</v>
      </c>
      <c r="I68" s="467" t="s">
        <v>296</v>
      </c>
      <c r="J68" s="485">
        <v>1645</v>
      </c>
      <c r="K68" s="485">
        <v>3000</v>
      </c>
      <c r="L68" s="485">
        <v>3000</v>
      </c>
      <c r="M68" s="485">
        <v>3000</v>
      </c>
      <c r="N68" s="468"/>
      <c r="O68" s="461">
        <v>2.7363636363636359</v>
      </c>
      <c r="P68" s="461">
        <v>2.418181818181818</v>
      </c>
      <c r="Q68" s="482">
        <v>0</v>
      </c>
      <c r="R68" s="461">
        <v>0</v>
      </c>
      <c r="S68" s="461">
        <v>2.0727272727272723</v>
      </c>
      <c r="T68" s="456"/>
      <c r="U68" s="461">
        <v>2.7363636363636359</v>
      </c>
      <c r="V68" s="461">
        <v>2.418181818181818</v>
      </c>
      <c r="W68" s="482">
        <v>0</v>
      </c>
      <c r="X68" s="461">
        <v>0</v>
      </c>
      <c r="Y68" s="461">
        <v>2.0727272727272723</v>
      </c>
      <c r="Z68" s="456"/>
      <c r="AA68" s="461"/>
      <c r="AB68" s="461"/>
      <c r="AC68" s="461"/>
      <c r="AD68" s="461"/>
      <c r="AE68" s="461"/>
      <c r="AF68" s="456"/>
      <c r="AG68" s="470" t="s">
        <v>1278</v>
      </c>
      <c r="AH68" s="470"/>
      <c r="AI68" s="460">
        <v>3</v>
      </c>
      <c r="AJ68" s="460">
        <v>3</v>
      </c>
      <c r="AK68" s="480">
        <v>0.5</v>
      </c>
      <c r="AL68" s="480">
        <v>0.5</v>
      </c>
      <c r="AM68" s="454"/>
      <c r="AN68" s="460">
        <v>0</v>
      </c>
      <c r="AO68" s="460">
        <v>0</v>
      </c>
      <c r="AP68" s="460">
        <v>0</v>
      </c>
      <c r="AQ68" s="460">
        <v>15</v>
      </c>
      <c r="AR68" s="460">
        <v>0</v>
      </c>
      <c r="AS68" s="460">
        <v>0</v>
      </c>
      <c r="AT68" s="460">
        <v>0</v>
      </c>
      <c r="AU68" s="460">
        <v>0</v>
      </c>
      <c r="AV68" s="460">
        <v>0</v>
      </c>
      <c r="AW68" s="460">
        <v>0</v>
      </c>
      <c r="AX68" s="460">
        <v>0</v>
      </c>
      <c r="AY68" s="460">
        <v>0</v>
      </c>
      <c r="AZ68" s="460"/>
      <c r="BA68" s="460" t="s">
        <v>1278</v>
      </c>
      <c r="BB68" s="460"/>
      <c r="BC68" s="460" t="s">
        <v>1278</v>
      </c>
      <c r="BD68" s="460"/>
      <c r="BE68" s="460"/>
      <c r="BF68" s="460"/>
      <c r="BG68" s="455"/>
      <c r="BH68" s="454"/>
      <c r="BI68" s="460"/>
      <c r="BJ68" s="460" t="s">
        <v>411</v>
      </c>
      <c r="BK68" s="460">
        <v>1</v>
      </c>
      <c r="BL68" s="455"/>
      <c r="BM68" s="454" t="s">
        <v>1430</v>
      </c>
      <c r="BN68" s="454" t="s">
        <v>368</v>
      </c>
      <c r="BO68" s="450"/>
    </row>
    <row r="69" spans="1:67" ht="13" customHeight="1" x14ac:dyDescent="0.2">
      <c r="A69" s="451">
        <v>2336</v>
      </c>
      <c r="B69" s="452">
        <v>44028</v>
      </c>
      <c r="C69" s="453" t="s">
        <v>295</v>
      </c>
      <c r="D69" s="454" t="s">
        <v>1110</v>
      </c>
      <c r="E69" s="465">
        <v>44013</v>
      </c>
      <c r="F69" s="454" t="s">
        <v>1291</v>
      </c>
      <c r="G69" s="454" t="s">
        <v>1181</v>
      </c>
      <c r="H69" s="461">
        <v>61.581818181818171</v>
      </c>
      <c r="I69" s="467"/>
      <c r="J69" s="469"/>
      <c r="K69" s="469"/>
      <c r="L69" s="469"/>
      <c r="M69" s="469"/>
      <c r="N69" s="468"/>
      <c r="O69" s="461">
        <v>2.1090909090909089</v>
      </c>
      <c r="P69" s="461">
        <v>0</v>
      </c>
      <c r="Q69" s="461">
        <v>0</v>
      </c>
      <c r="R69" s="461">
        <v>0</v>
      </c>
      <c r="S69" s="461">
        <v>0</v>
      </c>
      <c r="T69" s="456"/>
      <c r="U69" s="461">
        <v>2.1090909090909089</v>
      </c>
      <c r="V69" s="461">
        <v>0</v>
      </c>
      <c r="W69" s="461">
        <v>0</v>
      </c>
      <c r="X69" s="461">
        <v>0</v>
      </c>
      <c r="Y69" s="461">
        <v>0</v>
      </c>
      <c r="Z69" s="456"/>
      <c r="AA69" s="461"/>
      <c r="AB69" s="461"/>
      <c r="AC69" s="461"/>
      <c r="AD69" s="461"/>
      <c r="AE69" s="461"/>
      <c r="AF69" s="456"/>
      <c r="AG69" s="470" t="s">
        <v>1278</v>
      </c>
      <c r="AH69" s="470"/>
      <c r="AI69" s="460">
        <v>3</v>
      </c>
      <c r="AJ69" s="460">
        <v>3</v>
      </c>
      <c r="AK69" s="480">
        <v>0.5</v>
      </c>
      <c r="AL69" s="480">
        <v>0.5</v>
      </c>
      <c r="AM69" s="454"/>
      <c r="AN69" s="460">
        <v>0</v>
      </c>
      <c r="AO69" s="460">
        <v>0</v>
      </c>
      <c r="AP69" s="460">
        <v>0</v>
      </c>
      <c r="AQ69" s="460">
        <v>0</v>
      </c>
      <c r="AR69" s="460">
        <v>0</v>
      </c>
      <c r="AS69" s="460">
        <v>0</v>
      </c>
      <c r="AT69" s="460">
        <v>0</v>
      </c>
      <c r="AU69" s="460">
        <v>0</v>
      </c>
      <c r="AV69" s="460">
        <v>0</v>
      </c>
      <c r="AW69" s="460">
        <v>0</v>
      </c>
      <c r="AX69" s="460">
        <v>0</v>
      </c>
      <c r="AY69" s="460">
        <v>0</v>
      </c>
      <c r="AZ69" s="460"/>
      <c r="BA69" s="460" t="s">
        <v>1278</v>
      </c>
      <c r="BB69" s="460"/>
      <c r="BC69" s="460" t="s">
        <v>1278</v>
      </c>
      <c r="BD69" s="460"/>
      <c r="BE69" s="460"/>
      <c r="BF69" s="460"/>
      <c r="BG69" s="455"/>
      <c r="BH69" s="454"/>
      <c r="BI69" s="460"/>
      <c r="BJ69" s="460" t="s">
        <v>4</v>
      </c>
      <c r="BK69" s="460"/>
      <c r="BL69" s="455" t="s">
        <v>1284</v>
      </c>
      <c r="BM69" s="484" t="s">
        <v>430</v>
      </c>
      <c r="BN69" s="454" t="s">
        <v>408</v>
      </c>
      <c r="BO69" s="450"/>
    </row>
    <row r="70" spans="1:67" ht="13" customHeight="1" x14ac:dyDescent="0.2">
      <c r="A70" s="451">
        <v>2384</v>
      </c>
      <c r="B70" s="452">
        <v>44028</v>
      </c>
      <c r="C70" s="453" t="s">
        <v>295</v>
      </c>
      <c r="D70" s="454" t="s">
        <v>1111</v>
      </c>
      <c r="E70" s="452">
        <v>44013</v>
      </c>
      <c r="F70" s="455" t="s">
        <v>1044</v>
      </c>
      <c r="G70" s="454" t="s">
        <v>1277</v>
      </c>
      <c r="H70" s="461">
        <v>76.818181818181813</v>
      </c>
      <c r="I70" s="458" t="s">
        <v>296</v>
      </c>
      <c r="J70" s="485">
        <v>1645</v>
      </c>
      <c r="K70" s="485">
        <v>3000</v>
      </c>
      <c r="L70" s="485">
        <v>3000</v>
      </c>
      <c r="M70" s="485">
        <v>3000</v>
      </c>
      <c r="N70" s="454"/>
      <c r="O70" s="461">
        <v>2.1454545454545451</v>
      </c>
      <c r="P70" s="461">
        <v>1.8727272727272726</v>
      </c>
      <c r="Q70" s="461">
        <v>0</v>
      </c>
      <c r="R70" s="461">
        <v>0</v>
      </c>
      <c r="S70" s="461">
        <v>1.4909090909090907</v>
      </c>
      <c r="T70" s="461"/>
      <c r="U70" s="461">
        <v>2.1454545454545451</v>
      </c>
      <c r="V70" s="461">
        <v>1.8727272727272726</v>
      </c>
      <c r="W70" s="461">
        <v>0</v>
      </c>
      <c r="X70" s="461">
        <v>0</v>
      </c>
      <c r="Y70" s="461">
        <v>1.4909090909090907</v>
      </c>
      <c r="Z70" s="461"/>
      <c r="AA70" s="461"/>
      <c r="AB70" s="461"/>
      <c r="AC70" s="461"/>
      <c r="AD70" s="461"/>
      <c r="AE70" s="461"/>
      <c r="AF70" s="461"/>
      <c r="AG70" s="460" t="s">
        <v>1278</v>
      </c>
      <c r="AH70" s="460"/>
      <c r="AI70" s="460">
        <v>3</v>
      </c>
      <c r="AJ70" s="460">
        <v>3</v>
      </c>
      <c r="AK70" s="480">
        <v>0.5</v>
      </c>
      <c r="AL70" s="480">
        <v>0.5</v>
      </c>
      <c r="AM70" s="454"/>
      <c r="AN70" s="460">
        <v>0</v>
      </c>
      <c r="AO70" s="460">
        <v>0</v>
      </c>
      <c r="AP70" s="460">
        <v>0</v>
      </c>
      <c r="AQ70" s="460">
        <v>0</v>
      </c>
      <c r="AR70" s="460">
        <v>0</v>
      </c>
      <c r="AS70" s="460">
        <v>0</v>
      </c>
      <c r="AT70" s="460">
        <v>0</v>
      </c>
      <c r="AU70" s="460">
        <v>0</v>
      </c>
      <c r="AV70" s="460">
        <v>0</v>
      </c>
      <c r="AW70" s="460">
        <v>0</v>
      </c>
      <c r="AX70" s="460">
        <v>0</v>
      </c>
      <c r="AY70" s="460">
        <v>0</v>
      </c>
      <c r="AZ70" s="460"/>
      <c r="BA70" s="460" t="s">
        <v>1278</v>
      </c>
      <c r="BB70" s="460"/>
      <c r="BC70" s="460" t="s">
        <v>1278</v>
      </c>
      <c r="BD70" s="460"/>
      <c r="BE70" s="460"/>
      <c r="BF70" s="460"/>
      <c r="BG70" s="455"/>
      <c r="BH70" s="454"/>
      <c r="BI70" s="460"/>
      <c r="BJ70" s="460" t="s">
        <v>4</v>
      </c>
      <c r="BK70" s="460"/>
      <c r="BL70" s="455"/>
      <c r="BM70" s="481" t="s">
        <v>1431</v>
      </c>
      <c r="BN70" s="454" t="s">
        <v>368</v>
      </c>
      <c r="BO70" s="450"/>
    </row>
    <row r="71" spans="1:67" ht="13" customHeight="1" x14ac:dyDescent="0.2">
      <c r="A71" s="451">
        <v>2494</v>
      </c>
      <c r="B71" s="452">
        <v>44029</v>
      </c>
      <c r="C71" s="453" t="s">
        <v>295</v>
      </c>
      <c r="D71" s="454" t="s">
        <v>1111</v>
      </c>
      <c r="E71" s="452">
        <v>44013</v>
      </c>
      <c r="F71" s="455" t="s">
        <v>1046</v>
      </c>
      <c r="G71" s="454" t="s">
        <v>1280</v>
      </c>
      <c r="H71" s="461">
        <v>62.999999999999993</v>
      </c>
      <c r="I71" s="458" t="s">
        <v>296</v>
      </c>
      <c r="J71" s="485">
        <v>1645</v>
      </c>
      <c r="K71" s="485">
        <v>3000</v>
      </c>
      <c r="L71" s="485">
        <v>3000</v>
      </c>
      <c r="M71" s="485">
        <v>3000</v>
      </c>
      <c r="N71" s="454"/>
      <c r="O71" s="461">
        <v>2.5999999999999996</v>
      </c>
      <c r="P71" s="461">
        <v>2.1999999999999997</v>
      </c>
      <c r="Q71" s="461">
        <v>0</v>
      </c>
      <c r="R71" s="461">
        <v>0</v>
      </c>
      <c r="S71" s="461">
        <v>1.7</v>
      </c>
      <c r="T71" s="461"/>
      <c r="U71" s="461">
        <v>2.5999999999999996</v>
      </c>
      <c r="V71" s="461">
        <v>2.1999999999999997</v>
      </c>
      <c r="W71" s="461">
        <v>0</v>
      </c>
      <c r="X71" s="461">
        <v>0</v>
      </c>
      <c r="Y71" s="461">
        <v>1.7</v>
      </c>
      <c r="Z71" s="461"/>
      <c r="AA71" s="461"/>
      <c r="AB71" s="461"/>
      <c r="AC71" s="461"/>
      <c r="AD71" s="461"/>
      <c r="AE71" s="461"/>
      <c r="AF71" s="461"/>
      <c r="AG71" s="460" t="s">
        <v>1278</v>
      </c>
      <c r="AH71" s="460"/>
      <c r="AI71" s="460">
        <v>3</v>
      </c>
      <c r="AJ71" s="460">
        <v>3</v>
      </c>
      <c r="AK71" s="480">
        <v>0.5</v>
      </c>
      <c r="AL71" s="480">
        <v>0.5</v>
      </c>
      <c r="AM71" s="454"/>
      <c r="AN71" s="460">
        <v>0</v>
      </c>
      <c r="AO71" s="460">
        <v>0</v>
      </c>
      <c r="AP71" s="460">
        <v>0</v>
      </c>
      <c r="AQ71" s="460">
        <v>0</v>
      </c>
      <c r="AR71" s="460">
        <v>0</v>
      </c>
      <c r="AS71" s="460">
        <v>0</v>
      </c>
      <c r="AT71" s="460">
        <v>0</v>
      </c>
      <c r="AU71" s="460">
        <v>0</v>
      </c>
      <c r="AV71" s="460">
        <v>0</v>
      </c>
      <c r="AW71" s="460">
        <v>0</v>
      </c>
      <c r="AX71" s="460">
        <v>0</v>
      </c>
      <c r="AY71" s="460">
        <v>0</v>
      </c>
      <c r="AZ71" s="454"/>
      <c r="BA71" s="460" t="s">
        <v>1278</v>
      </c>
      <c r="BB71" s="460"/>
      <c r="BC71" s="460" t="s">
        <v>1278</v>
      </c>
      <c r="BD71" s="460"/>
      <c r="BE71" s="460"/>
      <c r="BF71" s="460"/>
      <c r="BG71" s="455"/>
      <c r="BH71" s="454"/>
      <c r="BI71" s="460"/>
      <c r="BJ71" s="460" t="s">
        <v>4</v>
      </c>
      <c r="BK71" s="460"/>
      <c r="BL71" s="455"/>
      <c r="BM71" s="454" t="s">
        <v>430</v>
      </c>
      <c r="BN71" s="454" t="s">
        <v>368</v>
      </c>
      <c r="BO71" s="450"/>
    </row>
    <row r="72" spans="1:67" ht="13" customHeight="1" x14ac:dyDescent="0.2">
      <c r="A72" s="451">
        <v>2601</v>
      </c>
      <c r="B72" s="452">
        <v>44028</v>
      </c>
      <c r="C72" s="453" t="s">
        <v>295</v>
      </c>
      <c r="D72" s="454" t="s">
        <v>1111</v>
      </c>
      <c r="E72" s="452">
        <v>43910</v>
      </c>
      <c r="F72" s="455" t="s">
        <v>1048</v>
      </c>
      <c r="G72" s="454" t="s">
        <v>1397</v>
      </c>
      <c r="H72" s="461">
        <v>51.327272727272721</v>
      </c>
      <c r="I72" s="458" t="s">
        <v>296</v>
      </c>
      <c r="J72" s="485">
        <v>1645</v>
      </c>
      <c r="K72" s="485">
        <v>3000</v>
      </c>
      <c r="L72" s="485">
        <v>3000</v>
      </c>
      <c r="M72" s="485">
        <v>3000</v>
      </c>
      <c r="N72" s="454"/>
      <c r="O72" s="461">
        <v>2.4</v>
      </c>
      <c r="P72" s="461">
        <v>2.0454545454545454</v>
      </c>
      <c r="Q72" s="461">
        <v>0</v>
      </c>
      <c r="R72" s="461">
        <v>0</v>
      </c>
      <c r="S72" s="461">
        <v>1.7636363636363634</v>
      </c>
      <c r="T72" s="461"/>
      <c r="U72" s="461">
        <v>2.4</v>
      </c>
      <c r="V72" s="461">
        <v>2.0454545454545454</v>
      </c>
      <c r="W72" s="461">
        <v>0</v>
      </c>
      <c r="X72" s="461">
        <v>0</v>
      </c>
      <c r="Y72" s="461">
        <v>1.7636363636363634</v>
      </c>
      <c r="Z72" s="461"/>
      <c r="AA72" s="461"/>
      <c r="AB72" s="461"/>
      <c r="AC72" s="461"/>
      <c r="AD72" s="461"/>
      <c r="AE72" s="461"/>
      <c r="AF72" s="461"/>
      <c r="AG72" s="460" t="s">
        <v>1278</v>
      </c>
      <c r="AH72" s="460"/>
      <c r="AI72" s="460">
        <v>3</v>
      </c>
      <c r="AJ72" s="460">
        <v>3</v>
      </c>
      <c r="AK72" s="480">
        <v>0.5</v>
      </c>
      <c r="AL72" s="480">
        <v>0.5</v>
      </c>
      <c r="AM72" s="454"/>
      <c r="AN72" s="460">
        <v>0</v>
      </c>
      <c r="AO72" s="460">
        <v>0</v>
      </c>
      <c r="AP72" s="460">
        <v>0</v>
      </c>
      <c r="AQ72" s="460">
        <v>0</v>
      </c>
      <c r="AR72" s="460">
        <v>0</v>
      </c>
      <c r="AS72" s="460">
        <v>0</v>
      </c>
      <c r="AT72" s="460">
        <v>0</v>
      </c>
      <c r="AU72" s="460">
        <v>0</v>
      </c>
      <c r="AV72" s="460">
        <v>0</v>
      </c>
      <c r="AW72" s="460">
        <v>0</v>
      </c>
      <c r="AX72" s="460">
        <v>0</v>
      </c>
      <c r="AY72" s="460">
        <v>0</v>
      </c>
      <c r="AZ72" s="454"/>
      <c r="BA72" s="460" t="s">
        <v>1278</v>
      </c>
      <c r="BB72" s="460"/>
      <c r="BC72" s="460" t="s">
        <v>1278</v>
      </c>
      <c r="BD72" s="460"/>
      <c r="BE72" s="460"/>
      <c r="BF72" s="460"/>
      <c r="BG72" s="455"/>
      <c r="BH72" s="454"/>
      <c r="BI72" s="460"/>
      <c r="BJ72" s="460" t="s">
        <v>4</v>
      </c>
      <c r="BK72" s="460">
        <v>1</v>
      </c>
      <c r="BL72" s="455"/>
      <c r="BM72" s="454" t="s">
        <v>1432</v>
      </c>
      <c r="BN72" s="454" t="s">
        <v>368</v>
      </c>
      <c r="BO72" s="450"/>
    </row>
    <row r="73" spans="1:67" ht="13" customHeight="1" x14ac:dyDescent="0.2">
      <c r="A73" s="451">
        <v>2553</v>
      </c>
      <c r="B73" s="452">
        <v>44032</v>
      </c>
      <c r="C73" s="453" t="s">
        <v>295</v>
      </c>
      <c r="D73" s="454" t="s">
        <v>1111</v>
      </c>
      <c r="E73" s="465">
        <v>43831</v>
      </c>
      <c r="F73" s="454" t="s">
        <v>1050</v>
      </c>
      <c r="G73" s="454" t="s">
        <v>418</v>
      </c>
      <c r="H73" s="456">
        <v>75</v>
      </c>
      <c r="I73" s="458" t="s">
        <v>296</v>
      </c>
      <c r="J73" s="485">
        <v>1645</v>
      </c>
      <c r="K73" s="485">
        <v>3000</v>
      </c>
      <c r="L73" s="485">
        <v>3000</v>
      </c>
      <c r="M73" s="485">
        <v>3000</v>
      </c>
      <c r="N73" s="468"/>
      <c r="O73" s="456">
        <v>3.1727272727272728</v>
      </c>
      <c r="P73" s="456">
        <v>2.5</v>
      </c>
      <c r="Q73" s="461">
        <v>0</v>
      </c>
      <c r="R73" s="461">
        <v>0</v>
      </c>
      <c r="S73" s="456">
        <v>2.2545454545454544</v>
      </c>
      <c r="T73" s="466"/>
      <c r="U73" s="456">
        <v>3.1727272727272728</v>
      </c>
      <c r="V73" s="456">
        <v>2.5</v>
      </c>
      <c r="W73" s="461">
        <v>0</v>
      </c>
      <c r="X73" s="461">
        <v>0</v>
      </c>
      <c r="Y73" s="456">
        <v>2.2545454545454544</v>
      </c>
      <c r="Z73" s="466"/>
      <c r="AA73" s="466"/>
      <c r="AB73" s="466"/>
      <c r="AC73" s="466"/>
      <c r="AD73" s="466"/>
      <c r="AE73" s="466"/>
      <c r="AF73" s="466"/>
      <c r="AG73" s="470" t="s">
        <v>1278</v>
      </c>
      <c r="AH73" s="470"/>
      <c r="AI73" s="460">
        <v>3</v>
      </c>
      <c r="AJ73" s="460">
        <v>3</v>
      </c>
      <c r="AK73" s="480">
        <v>0.5</v>
      </c>
      <c r="AL73" s="480">
        <v>0.5</v>
      </c>
      <c r="AM73" s="454"/>
      <c r="AN73" s="460">
        <v>0</v>
      </c>
      <c r="AO73" s="460">
        <v>16</v>
      </c>
      <c r="AP73" s="460">
        <v>0</v>
      </c>
      <c r="AQ73" s="460">
        <v>0</v>
      </c>
      <c r="AR73" s="460">
        <v>0</v>
      </c>
      <c r="AS73" s="460">
        <v>0</v>
      </c>
      <c r="AT73" s="460">
        <v>0</v>
      </c>
      <c r="AU73" s="460">
        <v>0</v>
      </c>
      <c r="AV73" s="460">
        <v>0</v>
      </c>
      <c r="AW73" s="460">
        <v>0</v>
      </c>
      <c r="AX73" s="460">
        <v>0</v>
      </c>
      <c r="AY73" s="460">
        <v>0</v>
      </c>
      <c r="AZ73" s="460"/>
      <c r="BA73" s="460" t="s">
        <v>1278</v>
      </c>
      <c r="BB73" s="460"/>
      <c r="BC73" s="460" t="s">
        <v>1278</v>
      </c>
      <c r="BD73" s="460"/>
      <c r="BE73" s="460"/>
      <c r="BF73" s="460"/>
      <c r="BG73" s="455"/>
      <c r="BH73" s="454"/>
      <c r="BI73" s="460"/>
      <c r="BJ73" s="460" t="s">
        <v>4</v>
      </c>
      <c r="BK73" s="460">
        <v>1</v>
      </c>
      <c r="BL73" s="455"/>
      <c r="BM73" s="486" t="s">
        <v>1341</v>
      </c>
      <c r="BN73" s="454" t="s">
        <v>368</v>
      </c>
      <c r="BO73" s="450"/>
    </row>
    <row r="74" spans="1:67" ht="13" customHeight="1" x14ac:dyDescent="0.2">
      <c r="A74" s="451">
        <v>2555</v>
      </c>
      <c r="B74" s="452">
        <v>44028</v>
      </c>
      <c r="C74" s="453" t="s">
        <v>295</v>
      </c>
      <c r="D74" s="454" t="s">
        <v>1111</v>
      </c>
      <c r="E74" s="465">
        <v>44028</v>
      </c>
      <c r="F74" s="454" t="s">
        <v>1052</v>
      </c>
      <c r="G74" s="454" t="s">
        <v>1181</v>
      </c>
      <c r="H74" s="456">
        <v>54.954545454545453</v>
      </c>
      <c r="I74" s="458" t="s">
        <v>296</v>
      </c>
      <c r="J74" s="485">
        <v>1645</v>
      </c>
      <c r="K74" s="485">
        <v>3000</v>
      </c>
      <c r="L74" s="485">
        <v>3000</v>
      </c>
      <c r="M74" s="485">
        <v>3000</v>
      </c>
      <c r="N74" s="468"/>
      <c r="O74" s="456">
        <v>2.7</v>
      </c>
      <c r="P74" s="456">
        <v>2.1909090909090909</v>
      </c>
      <c r="Q74" s="461">
        <v>0</v>
      </c>
      <c r="R74" s="461">
        <v>0</v>
      </c>
      <c r="S74" s="456">
        <v>1.8818181818181816</v>
      </c>
      <c r="T74" s="466"/>
      <c r="U74" s="456">
        <v>2.7</v>
      </c>
      <c r="V74" s="456">
        <v>2.1909090909090909</v>
      </c>
      <c r="W74" s="461">
        <v>0</v>
      </c>
      <c r="X74" s="461">
        <v>0</v>
      </c>
      <c r="Y74" s="456">
        <v>1.8818181818181816</v>
      </c>
      <c r="Z74" s="466"/>
      <c r="AA74" s="466"/>
      <c r="AB74" s="466"/>
      <c r="AC74" s="466"/>
      <c r="AD74" s="466"/>
      <c r="AE74" s="466"/>
      <c r="AF74" s="466"/>
      <c r="AG74" s="470" t="s">
        <v>1278</v>
      </c>
      <c r="AH74" s="470"/>
      <c r="AI74" s="460">
        <v>3</v>
      </c>
      <c r="AJ74" s="460">
        <v>3</v>
      </c>
      <c r="AK74" s="480">
        <v>0.5</v>
      </c>
      <c r="AL74" s="480">
        <v>0.5</v>
      </c>
      <c r="AM74" s="454"/>
      <c r="AN74" s="460">
        <v>0</v>
      </c>
      <c r="AO74" s="460">
        <v>0</v>
      </c>
      <c r="AP74" s="460">
        <v>0</v>
      </c>
      <c r="AQ74" s="460">
        <v>0</v>
      </c>
      <c r="AR74" s="460">
        <v>0</v>
      </c>
      <c r="AS74" s="460">
        <v>0</v>
      </c>
      <c r="AT74" s="460">
        <v>0</v>
      </c>
      <c r="AU74" s="460">
        <v>0</v>
      </c>
      <c r="AV74" s="460">
        <v>0</v>
      </c>
      <c r="AW74" s="460">
        <v>0</v>
      </c>
      <c r="AX74" s="460">
        <v>0</v>
      </c>
      <c r="AY74" s="460">
        <v>0</v>
      </c>
      <c r="AZ74" s="460"/>
      <c r="BA74" s="460" t="s">
        <v>1278</v>
      </c>
      <c r="BB74" s="460"/>
      <c r="BC74" s="460" t="s">
        <v>1278</v>
      </c>
      <c r="BD74" s="460"/>
      <c r="BE74" s="460"/>
      <c r="BF74" s="460"/>
      <c r="BG74" s="455"/>
      <c r="BH74" s="454"/>
      <c r="BI74" s="460"/>
      <c r="BJ74" s="460" t="s">
        <v>4</v>
      </c>
      <c r="BK74" s="460"/>
      <c r="BL74" s="455"/>
      <c r="BM74" s="486" t="s">
        <v>1214</v>
      </c>
      <c r="BN74" s="454" t="s">
        <v>408</v>
      </c>
      <c r="BO74" s="450"/>
    </row>
    <row r="75" spans="1:67" ht="13" customHeight="1" x14ac:dyDescent="0.2">
      <c r="A75" s="451">
        <v>2116</v>
      </c>
      <c r="B75" s="452">
        <v>44028</v>
      </c>
      <c r="C75" s="453" t="s">
        <v>295</v>
      </c>
      <c r="D75" s="454" t="s">
        <v>1111</v>
      </c>
      <c r="E75" s="452">
        <v>43924</v>
      </c>
      <c r="F75" s="455" t="s">
        <v>1054</v>
      </c>
      <c r="G75" s="454" t="s">
        <v>1157</v>
      </c>
      <c r="H75" s="461">
        <v>82.5</v>
      </c>
      <c r="I75" s="458" t="s">
        <v>296</v>
      </c>
      <c r="J75" s="459">
        <v>3000</v>
      </c>
      <c r="K75" s="459">
        <v>3000</v>
      </c>
      <c r="L75" s="459">
        <v>3000</v>
      </c>
      <c r="M75" s="459">
        <v>3000</v>
      </c>
      <c r="N75" s="454"/>
      <c r="O75" s="461">
        <v>3.0272727272727269</v>
      </c>
      <c r="P75" s="482">
        <v>0</v>
      </c>
      <c r="Q75" s="461">
        <v>0</v>
      </c>
      <c r="R75" s="461">
        <v>0</v>
      </c>
      <c r="S75" s="461">
        <v>2.0272727272727269</v>
      </c>
      <c r="T75" s="461"/>
      <c r="U75" s="461">
        <v>3.0272727272727269</v>
      </c>
      <c r="V75" s="482">
        <v>0</v>
      </c>
      <c r="W75" s="461">
        <v>0</v>
      </c>
      <c r="X75" s="461">
        <v>0</v>
      </c>
      <c r="Y75" s="461">
        <v>2.0272727272727269</v>
      </c>
      <c r="Z75" s="461"/>
      <c r="AA75" s="461"/>
      <c r="AB75" s="461"/>
      <c r="AC75" s="461"/>
      <c r="AD75" s="461"/>
      <c r="AE75" s="461"/>
      <c r="AF75" s="461"/>
      <c r="AG75" s="460" t="s">
        <v>1278</v>
      </c>
      <c r="AH75" s="454"/>
      <c r="AI75" s="460">
        <v>3</v>
      </c>
      <c r="AJ75" s="460">
        <v>3</v>
      </c>
      <c r="AK75" s="480">
        <v>0.5</v>
      </c>
      <c r="AL75" s="480">
        <v>0.5</v>
      </c>
      <c r="AM75" s="454"/>
      <c r="AN75" s="460">
        <v>23</v>
      </c>
      <c r="AO75" s="460">
        <v>0</v>
      </c>
      <c r="AP75" s="460">
        <v>0</v>
      </c>
      <c r="AQ75" s="460">
        <v>0</v>
      </c>
      <c r="AR75" s="460">
        <v>0</v>
      </c>
      <c r="AS75" s="460">
        <v>0</v>
      </c>
      <c r="AT75" s="460">
        <v>0</v>
      </c>
      <c r="AU75" s="460">
        <v>0</v>
      </c>
      <c r="AV75" s="460">
        <v>0</v>
      </c>
      <c r="AW75" s="460">
        <v>0</v>
      </c>
      <c r="AX75" s="460">
        <v>0</v>
      </c>
      <c r="AY75" s="460">
        <v>0</v>
      </c>
      <c r="AZ75" s="472">
        <v>12</v>
      </c>
      <c r="BA75" s="460" t="s">
        <v>1278</v>
      </c>
      <c r="BB75" s="460">
        <v>12</v>
      </c>
      <c r="BC75" s="460" t="s">
        <v>1278</v>
      </c>
      <c r="BD75" s="460"/>
      <c r="BE75" s="460">
        <v>12</v>
      </c>
      <c r="BF75" s="460"/>
      <c r="BG75" s="455"/>
      <c r="BH75" s="454"/>
      <c r="BI75" s="460"/>
      <c r="BJ75" s="460" t="s">
        <v>4</v>
      </c>
      <c r="BK75" s="460"/>
      <c r="BL75" s="455"/>
      <c r="BM75" s="484" t="s">
        <v>1433</v>
      </c>
      <c r="BN75" s="454" t="s">
        <v>368</v>
      </c>
      <c r="BO75" s="450"/>
    </row>
    <row r="76" spans="1:67" ht="16" x14ac:dyDescent="0.2">
      <c r="A76" s="451">
        <v>1966</v>
      </c>
      <c r="B76" s="452">
        <v>44028</v>
      </c>
      <c r="C76" s="453" t="s">
        <v>295</v>
      </c>
      <c r="D76" s="454" t="s">
        <v>1111</v>
      </c>
      <c r="E76" s="452">
        <v>44025</v>
      </c>
      <c r="F76" s="455" t="s">
        <v>1055</v>
      </c>
      <c r="G76" s="454" t="s">
        <v>1400</v>
      </c>
      <c r="H76" s="461">
        <v>67.899999999999991</v>
      </c>
      <c r="I76" s="458" t="s">
        <v>296</v>
      </c>
      <c r="J76" s="485">
        <v>1645</v>
      </c>
      <c r="K76" s="485">
        <v>3000</v>
      </c>
      <c r="L76" s="485">
        <v>3000</v>
      </c>
      <c r="M76" s="485">
        <v>3000</v>
      </c>
      <c r="N76" s="454"/>
      <c r="O76" s="461">
        <v>2.3272727272727272</v>
      </c>
      <c r="P76" s="461">
        <v>2.0363636363636366</v>
      </c>
      <c r="Q76" s="461">
        <v>0</v>
      </c>
      <c r="R76" s="461">
        <v>0</v>
      </c>
      <c r="S76" s="461">
        <v>1.7454545454545451</v>
      </c>
      <c r="T76" s="461"/>
      <c r="U76" s="461">
        <v>2.3272727272727272</v>
      </c>
      <c r="V76" s="461">
        <v>2.0363636363636366</v>
      </c>
      <c r="W76" s="461">
        <v>0</v>
      </c>
      <c r="X76" s="461">
        <v>0</v>
      </c>
      <c r="Y76" s="461">
        <v>1.7454545454545451</v>
      </c>
      <c r="Z76" s="461"/>
      <c r="AA76" s="461"/>
      <c r="AB76" s="461"/>
      <c r="AC76" s="461"/>
      <c r="AD76" s="461"/>
      <c r="AE76" s="461"/>
      <c r="AF76" s="461"/>
      <c r="AG76" s="460" t="s">
        <v>297</v>
      </c>
      <c r="AH76" s="460" t="s">
        <v>298</v>
      </c>
      <c r="AI76" s="460">
        <v>2</v>
      </c>
      <c r="AJ76" s="460">
        <v>4</v>
      </c>
      <c r="AK76" s="483">
        <v>0.33329999999999999</v>
      </c>
      <c r="AL76" s="483">
        <v>0.66659999999999997</v>
      </c>
      <c r="AM76" s="454" t="s">
        <v>1124</v>
      </c>
      <c r="AN76" s="460">
        <v>0</v>
      </c>
      <c r="AO76" s="460">
        <v>0</v>
      </c>
      <c r="AP76" s="460">
        <v>0</v>
      </c>
      <c r="AQ76" s="460">
        <v>0</v>
      </c>
      <c r="AR76" s="460">
        <v>0</v>
      </c>
      <c r="AS76" s="460">
        <v>0</v>
      </c>
      <c r="AT76" s="460">
        <v>0</v>
      </c>
      <c r="AU76" s="460">
        <v>0</v>
      </c>
      <c r="AV76" s="460">
        <v>0</v>
      </c>
      <c r="AW76" s="460">
        <v>0</v>
      </c>
      <c r="AX76" s="460">
        <v>0</v>
      </c>
      <c r="AY76" s="460">
        <v>0</v>
      </c>
      <c r="AZ76" s="454"/>
      <c r="BA76" s="460" t="s">
        <v>1278</v>
      </c>
      <c r="BB76" s="460"/>
      <c r="BC76" s="460" t="s">
        <v>1278</v>
      </c>
      <c r="BD76" s="460"/>
      <c r="BE76" s="460"/>
      <c r="BF76" s="460"/>
      <c r="BG76" s="460"/>
      <c r="BH76" s="460"/>
      <c r="BI76" s="460"/>
      <c r="BJ76" s="460" t="s">
        <v>4</v>
      </c>
      <c r="BK76" s="460"/>
      <c r="BL76" s="455"/>
      <c r="BM76" s="484" t="s">
        <v>1434</v>
      </c>
      <c r="BN76" s="454" t="s">
        <v>408</v>
      </c>
      <c r="BO76" s="450"/>
    </row>
    <row r="77" spans="1:67" ht="16" x14ac:dyDescent="0.2">
      <c r="A77" s="451">
        <v>315</v>
      </c>
      <c r="B77" s="452">
        <v>44028</v>
      </c>
      <c r="C77" s="453" t="s">
        <v>295</v>
      </c>
      <c r="D77" s="454" t="s">
        <v>1111</v>
      </c>
      <c r="E77" s="452">
        <v>44013</v>
      </c>
      <c r="F77" s="454" t="s">
        <v>1057</v>
      </c>
      <c r="G77" s="454" t="s">
        <v>1181</v>
      </c>
      <c r="H77" s="461">
        <v>79.190909090909088</v>
      </c>
      <c r="I77" s="458" t="s">
        <v>296</v>
      </c>
      <c r="J77" s="485">
        <v>1645</v>
      </c>
      <c r="K77" s="485">
        <v>3000</v>
      </c>
      <c r="L77" s="485">
        <v>3000</v>
      </c>
      <c r="M77" s="485">
        <v>3000</v>
      </c>
      <c r="N77" s="454"/>
      <c r="O77" s="461">
        <v>2.418181818181818</v>
      </c>
      <c r="P77" s="461">
        <v>2.0545454545454542</v>
      </c>
      <c r="Q77" s="461">
        <v>0</v>
      </c>
      <c r="R77" s="461">
        <v>0</v>
      </c>
      <c r="S77" s="461">
        <v>1.7909090909090908</v>
      </c>
      <c r="T77" s="461"/>
      <c r="U77" s="461">
        <v>2.1999999999999997</v>
      </c>
      <c r="V77" s="461">
        <v>1.8545454545454545</v>
      </c>
      <c r="W77" s="461">
        <v>0</v>
      </c>
      <c r="X77" s="461">
        <v>0</v>
      </c>
      <c r="Y77" s="461">
        <v>1.6090909090909089</v>
      </c>
      <c r="Z77" s="461"/>
      <c r="AA77" s="461"/>
      <c r="AB77" s="461"/>
      <c r="AC77" s="461"/>
      <c r="AD77" s="461"/>
      <c r="AE77" s="461"/>
      <c r="AF77" s="461"/>
      <c r="AG77" s="460" t="s">
        <v>297</v>
      </c>
      <c r="AH77" s="460" t="s">
        <v>298</v>
      </c>
      <c r="AI77" s="460">
        <v>2</v>
      </c>
      <c r="AJ77" s="460">
        <v>4</v>
      </c>
      <c r="AK77" s="483">
        <v>0.33329999999999999</v>
      </c>
      <c r="AL77" s="483">
        <v>0.66659999999999997</v>
      </c>
      <c r="AM77" s="454" t="s">
        <v>1124</v>
      </c>
      <c r="AN77" s="460">
        <v>0</v>
      </c>
      <c r="AO77" s="460">
        <v>0</v>
      </c>
      <c r="AP77" s="460">
        <v>0</v>
      </c>
      <c r="AQ77" s="460">
        <v>0</v>
      </c>
      <c r="AR77" s="460">
        <v>0</v>
      </c>
      <c r="AS77" s="460">
        <v>0</v>
      </c>
      <c r="AT77" s="460">
        <v>0</v>
      </c>
      <c r="AU77" s="460">
        <v>0</v>
      </c>
      <c r="AV77" s="460">
        <v>0</v>
      </c>
      <c r="AW77" s="460">
        <v>0</v>
      </c>
      <c r="AX77" s="460">
        <v>0</v>
      </c>
      <c r="AY77" s="460">
        <v>0</v>
      </c>
      <c r="AZ77" s="454"/>
      <c r="BA77" s="460" t="s">
        <v>1278</v>
      </c>
      <c r="BB77" s="460"/>
      <c r="BC77" s="460" t="s">
        <v>1278</v>
      </c>
      <c r="BD77" s="460"/>
      <c r="BE77" s="460"/>
      <c r="BF77" s="460"/>
      <c r="BG77" s="455"/>
      <c r="BH77" s="454"/>
      <c r="BI77" s="460"/>
      <c r="BJ77" s="460" t="s">
        <v>4</v>
      </c>
      <c r="BK77" s="460"/>
      <c r="BL77" s="455"/>
      <c r="BM77" s="484" t="s">
        <v>1426</v>
      </c>
      <c r="BN77" s="454" t="s">
        <v>368</v>
      </c>
      <c r="BO77" s="450"/>
    </row>
    <row r="78" spans="1:67" ht="16" x14ac:dyDescent="0.2">
      <c r="A78" s="451">
        <v>2260</v>
      </c>
      <c r="B78" s="452">
        <v>44028</v>
      </c>
      <c r="C78" s="453" t="s">
        <v>295</v>
      </c>
      <c r="D78" s="454" t="s">
        <v>1111</v>
      </c>
      <c r="E78" s="452">
        <v>44013</v>
      </c>
      <c r="F78" s="455" t="s">
        <v>981</v>
      </c>
      <c r="G78" s="454" t="s">
        <v>1167</v>
      </c>
      <c r="H78" s="461">
        <v>69</v>
      </c>
      <c r="I78" s="458" t="s">
        <v>296</v>
      </c>
      <c r="J78" s="459">
        <v>6000</v>
      </c>
      <c r="K78" s="459">
        <v>12000</v>
      </c>
      <c r="L78" s="459">
        <v>12000</v>
      </c>
      <c r="M78" s="459">
        <v>12000</v>
      </c>
      <c r="N78" s="454"/>
      <c r="O78" s="461">
        <v>2.2000000000000002</v>
      </c>
      <c r="P78" s="461">
        <v>2.1</v>
      </c>
      <c r="Q78" s="461">
        <v>0</v>
      </c>
      <c r="R78" s="461">
        <v>0</v>
      </c>
      <c r="S78" s="461">
        <v>1.8</v>
      </c>
      <c r="T78" s="461"/>
      <c r="U78" s="461">
        <v>2.2000000000000002</v>
      </c>
      <c r="V78" s="461">
        <v>2.1</v>
      </c>
      <c r="W78" s="461">
        <v>0</v>
      </c>
      <c r="X78" s="461">
        <v>0</v>
      </c>
      <c r="Y78" s="461">
        <v>1.8</v>
      </c>
      <c r="Z78" s="461"/>
      <c r="AA78" s="461"/>
      <c r="AB78" s="461"/>
      <c r="AC78" s="461"/>
      <c r="AD78" s="461"/>
      <c r="AE78" s="461"/>
      <c r="AF78" s="461"/>
      <c r="AG78" s="460" t="s">
        <v>1278</v>
      </c>
      <c r="AH78" s="460"/>
      <c r="AI78" s="460">
        <v>3</v>
      </c>
      <c r="AJ78" s="460">
        <v>3</v>
      </c>
      <c r="AK78" s="480">
        <v>0.5</v>
      </c>
      <c r="AL78" s="480">
        <v>0.5</v>
      </c>
      <c r="AM78" s="454"/>
      <c r="AN78" s="460">
        <v>11</v>
      </c>
      <c r="AO78" s="460">
        <v>0</v>
      </c>
      <c r="AP78" s="460">
        <v>0</v>
      </c>
      <c r="AQ78" s="460">
        <v>0</v>
      </c>
      <c r="AR78" s="460">
        <v>0</v>
      </c>
      <c r="AS78" s="460">
        <v>0</v>
      </c>
      <c r="AT78" s="460">
        <v>0</v>
      </c>
      <c r="AU78" s="460">
        <v>0</v>
      </c>
      <c r="AV78" s="460">
        <v>0</v>
      </c>
      <c r="AW78" s="460">
        <v>0</v>
      </c>
      <c r="AX78" s="460">
        <v>0</v>
      </c>
      <c r="AY78" s="460">
        <v>0</v>
      </c>
      <c r="AZ78" s="454"/>
      <c r="BA78" s="460" t="s">
        <v>1278</v>
      </c>
      <c r="BB78" s="460">
        <v>12</v>
      </c>
      <c r="BC78" s="460" t="s">
        <v>1278</v>
      </c>
      <c r="BD78" s="460"/>
      <c r="BE78" s="460"/>
      <c r="BF78" s="460"/>
      <c r="BG78" s="455"/>
      <c r="BH78" s="454"/>
      <c r="BI78" s="460"/>
      <c r="BJ78" s="460" t="s">
        <v>4</v>
      </c>
      <c r="BK78" s="460"/>
      <c r="BL78" s="455"/>
      <c r="BM78" s="454" t="s">
        <v>430</v>
      </c>
      <c r="BN78" s="454" t="s">
        <v>368</v>
      </c>
      <c r="BO78" s="450"/>
    </row>
    <row r="79" spans="1:67" ht="13" customHeight="1" x14ac:dyDescent="0.2">
      <c r="A79" s="451">
        <v>2397</v>
      </c>
      <c r="B79" s="452">
        <v>44029</v>
      </c>
      <c r="C79" s="453" t="s">
        <v>295</v>
      </c>
      <c r="D79" s="454" t="s">
        <v>1111</v>
      </c>
      <c r="E79" s="465">
        <v>43984</v>
      </c>
      <c r="F79" s="455" t="s">
        <v>982</v>
      </c>
      <c r="G79" s="454" t="s">
        <v>1297</v>
      </c>
      <c r="H79" s="461">
        <v>65.518181818181802</v>
      </c>
      <c r="I79" s="458" t="s">
        <v>296</v>
      </c>
      <c r="J79" s="485">
        <v>1645</v>
      </c>
      <c r="K79" s="485">
        <v>3000</v>
      </c>
      <c r="L79" s="485">
        <v>3000</v>
      </c>
      <c r="M79" s="485">
        <v>3000</v>
      </c>
      <c r="N79" s="454"/>
      <c r="O79" s="461">
        <v>2.4090909090909087</v>
      </c>
      <c r="P79" s="461">
        <v>2.2909090909090906</v>
      </c>
      <c r="Q79" s="461">
        <v>0</v>
      </c>
      <c r="R79" s="461">
        <v>0</v>
      </c>
      <c r="S79" s="461">
        <v>1.6454545454545453</v>
      </c>
      <c r="T79" s="461"/>
      <c r="U79" s="461">
        <v>2.4090909090909087</v>
      </c>
      <c r="V79" s="461">
        <v>2.2909090909090906</v>
      </c>
      <c r="W79" s="461">
        <v>0</v>
      </c>
      <c r="X79" s="461">
        <v>0</v>
      </c>
      <c r="Y79" s="461">
        <v>1.6454545454545453</v>
      </c>
      <c r="Z79" s="461"/>
      <c r="AA79" s="461"/>
      <c r="AB79" s="461"/>
      <c r="AC79" s="461"/>
      <c r="AD79" s="461"/>
      <c r="AE79" s="461"/>
      <c r="AF79" s="461"/>
      <c r="AG79" s="460" t="s">
        <v>1278</v>
      </c>
      <c r="AH79" s="460"/>
      <c r="AI79" s="460">
        <v>3</v>
      </c>
      <c r="AJ79" s="460">
        <v>3</v>
      </c>
      <c r="AK79" s="480">
        <v>0.5</v>
      </c>
      <c r="AL79" s="480">
        <v>0.5</v>
      </c>
      <c r="AM79" s="454"/>
      <c r="AN79" s="460">
        <v>0</v>
      </c>
      <c r="AO79" s="460">
        <v>0</v>
      </c>
      <c r="AP79" s="460">
        <v>0</v>
      </c>
      <c r="AQ79" s="460">
        <v>0</v>
      </c>
      <c r="AR79" s="460">
        <v>0</v>
      </c>
      <c r="AS79" s="460">
        <v>0</v>
      </c>
      <c r="AT79" s="460">
        <v>0</v>
      </c>
      <c r="AU79" s="460">
        <v>0</v>
      </c>
      <c r="AV79" s="460">
        <v>0</v>
      </c>
      <c r="AW79" s="460">
        <v>0</v>
      </c>
      <c r="AX79" s="460">
        <v>0</v>
      </c>
      <c r="AY79" s="460">
        <v>0</v>
      </c>
      <c r="AZ79" s="460"/>
      <c r="BA79" s="460" t="s">
        <v>1278</v>
      </c>
      <c r="BB79" s="460"/>
      <c r="BC79" s="460" t="s">
        <v>1278</v>
      </c>
      <c r="BD79" s="460"/>
      <c r="BE79" s="460"/>
      <c r="BF79" s="460"/>
      <c r="BG79" s="455"/>
      <c r="BH79" s="454"/>
      <c r="BI79" s="460"/>
      <c r="BJ79" s="460" t="s">
        <v>4</v>
      </c>
      <c r="BK79" s="460"/>
      <c r="BL79" s="455"/>
      <c r="BM79" s="484" t="s">
        <v>1435</v>
      </c>
      <c r="BN79" s="454" t="s">
        <v>368</v>
      </c>
      <c r="BO79" s="450"/>
    </row>
    <row r="80" spans="1:67" ht="13" customHeight="1" x14ac:dyDescent="0.2">
      <c r="A80" s="451">
        <v>2689</v>
      </c>
      <c r="B80" s="452">
        <v>44029</v>
      </c>
      <c r="C80" s="453" t="s">
        <v>295</v>
      </c>
      <c r="D80" s="454" t="s">
        <v>1111</v>
      </c>
      <c r="E80" s="465">
        <v>44013</v>
      </c>
      <c r="F80" s="455" t="s">
        <v>984</v>
      </c>
      <c r="G80" s="454" t="s">
        <v>1405</v>
      </c>
      <c r="H80" s="461">
        <v>69.899999999999991</v>
      </c>
      <c r="I80" s="458" t="s">
        <v>296</v>
      </c>
      <c r="J80" s="485">
        <v>1645</v>
      </c>
      <c r="K80" s="485">
        <v>3000</v>
      </c>
      <c r="L80" s="485">
        <v>3000</v>
      </c>
      <c r="M80" s="485">
        <v>3000</v>
      </c>
      <c r="N80" s="454"/>
      <c r="O80" s="461">
        <v>2.9727272727272727</v>
      </c>
      <c r="P80" s="461">
        <v>2.3545454545454541</v>
      </c>
      <c r="Q80" s="461">
        <v>0</v>
      </c>
      <c r="R80" s="461">
        <v>0</v>
      </c>
      <c r="S80" s="461">
        <v>1.9818181818181817</v>
      </c>
      <c r="T80" s="461"/>
      <c r="U80" s="461">
        <v>2.9727272727272727</v>
      </c>
      <c r="V80" s="461">
        <v>2.3545454545454541</v>
      </c>
      <c r="W80" s="461">
        <v>0</v>
      </c>
      <c r="X80" s="461">
        <v>0</v>
      </c>
      <c r="Y80" s="461">
        <v>1.9818181818181817</v>
      </c>
      <c r="Z80" s="461"/>
      <c r="AA80" s="461"/>
      <c r="AB80" s="461"/>
      <c r="AC80" s="461"/>
      <c r="AD80" s="461"/>
      <c r="AE80" s="461"/>
      <c r="AF80" s="461"/>
      <c r="AG80" s="460" t="s">
        <v>1278</v>
      </c>
      <c r="AH80" s="460"/>
      <c r="AI80" s="460">
        <v>3</v>
      </c>
      <c r="AJ80" s="460">
        <v>3</v>
      </c>
      <c r="AK80" s="480">
        <v>0.5</v>
      </c>
      <c r="AL80" s="480">
        <v>0.5</v>
      </c>
      <c r="AM80" s="454"/>
      <c r="AN80" s="460">
        <v>20</v>
      </c>
      <c r="AO80" s="460">
        <v>0</v>
      </c>
      <c r="AP80" s="460">
        <v>0</v>
      </c>
      <c r="AQ80" s="460">
        <v>0</v>
      </c>
      <c r="AR80" s="460">
        <v>0</v>
      </c>
      <c r="AS80" s="460">
        <v>0</v>
      </c>
      <c r="AT80" s="460">
        <v>0</v>
      </c>
      <c r="AU80" s="460">
        <v>0</v>
      </c>
      <c r="AV80" s="460">
        <v>0</v>
      </c>
      <c r="AW80" s="460">
        <v>0</v>
      </c>
      <c r="AX80" s="460">
        <v>0</v>
      </c>
      <c r="AY80" s="460">
        <v>0</v>
      </c>
      <c r="AZ80" s="454"/>
      <c r="BA80" s="460" t="s">
        <v>1278</v>
      </c>
      <c r="BB80" s="460"/>
      <c r="BC80" s="460" t="s">
        <v>1278</v>
      </c>
      <c r="BD80" s="460"/>
      <c r="BE80" s="460"/>
      <c r="BF80" s="460"/>
      <c r="BG80" s="455"/>
      <c r="BH80" s="454"/>
      <c r="BI80" s="460"/>
      <c r="BJ80" s="460" t="s">
        <v>4</v>
      </c>
      <c r="BK80" s="460"/>
      <c r="BL80" s="455"/>
      <c r="BM80" s="484" t="s">
        <v>1436</v>
      </c>
      <c r="BN80" s="454" t="s">
        <v>368</v>
      </c>
      <c r="BO80" s="450"/>
    </row>
    <row r="81" spans="1:67" ht="13" customHeight="1" x14ac:dyDescent="0.2">
      <c r="A81" s="451">
        <v>2220</v>
      </c>
      <c r="B81" s="452">
        <v>44032</v>
      </c>
      <c r="C81" s="453" t="s">
        <v>295</v>
      </c>
      <c r="D81" s="454" t="s">
        <v>1111</v>
      </c>
      <c r="E81" s="465">
        <v>43831</v>
      </c>
      <c r="F81" s="454" t="s">
        <v>985</v>
      </c>
      <c r="G81" s="454" t="s">
        <v>1174</v>
      </c>
      <c r="H81" s="461">
        <v>70</v>
      </c>
      <c r="I81" s="467" t="s">
        <v>296</v>
      </c>
      <c r="J81" s="485">
        <v>1645</v>
      </c>
      <c r="K81" s="485">
        <v>3000</v>
      </c>
      <c r="L81" s="485">
        <v>3000</v>
      </c>
      <c r="M81" s="485">
        <v>3000</v>
      </c>
      <c r="N81" s="468"/>
      <c r="O81" s="461">
        <v>2.4272727272727268</v>
      </c>
      <c r="P81" s="461">
        <v>1.9727272727272724</v>
      </c>
      <c r="Q81" s="461">
        <v>0</v>
      </c>
      <c r="R81" s="461">
        <v>0</v>
      </c>
      <c r="S81" s="461">
        <v>1.718181818181818</v>
      </c>
      <c r="T81" s="456"/>
      <c r="U81" s="461">
        <v>2.4272727272727268</v>
      </c>
      <c r="V81" s="461">
        <v>1.9727272727272724</v>
      </c>
      <c r="W81" s="461">
        <v>0</v>
      </c>
      <c r="X81" s="461">
        <v>0</v>
      </c>
      <c r="Y81" s="461">
        <v>1.718181818181818</v>
      </c>
      <c r="Z81" s="456"/>
      <c r="AA81" s="461"/>
      <c r="AB81" s="461"/>
      <c r="AC81" s="461"/>
      <c r="AD81" s="461"/>
      <c r="AE81" s="461"/>
      <c r="AF81" s="456"/>
      <c r="AG81" s="470" t="s">
        <v>1278</v>
      </c>
      <c r="AH81" s="470"/>
      <c r="AI81" s="460">
        <v>3</v>
      </c>
      <c r="AJ81" s="460">
        <v>3</v>
      </c>
      <c r="AK81" s="480">
        <v>0.5</v>
      </c>
      <c r="AL81" s="480">
        <v>0.5</v>
      </c>
      <c r="AM81" s="454"/>
      <c r="AN81" s="460">
        <v>0</v>
      </c>
      <c r="AO81" s="460">
        <v>0</v>
      </c>
      <c r="AP81" s="460">
        <v>5</v>
      </c>
      <c r="AQ81" s="460">
        <v>0</v>
      </c>
      <c r="AR81" s="460">
        <v>0</v>
      </c>
      <c r="AS81" s="460">
        <v>0</v>
      </c>
      <c r="AT81" s="460">
        <v>0</v>
      </c>
      <c r="AU81" s="460">
        <v>0</v>
      </c>
      <c r="AV81" s="460">
        <v>0</v>
      </c>
      <c r="AW81" s="460">
        <v>0</v>
      </c>
      <c r="AX81" s="460">
        <v>0</v>
      </c>
      <c r="AY81" s="460">
        <v>0</v>
      </c>
      <c r="AZ81" s="460"/>
      <c r="BA81" s="460" t="s">
        <v>1278</v>
      </c>
      <c r="BB81" s="460">
        <v>12</v>
      </c>
      <c r="BC81" s="460" t="s">
        <v>1278</v>
      </c>
      <c r="BD81" s="460"/>
      <c r="BE81" s="460"/>
      <c r="BF81" s="460"/>
      <c r="BG81" s="455"/>
      <c r="BH81" s="454"/>
      <c r="BI81" s="460"/>
      <c r="BJ81" s="460" t="s">
        <v>411</v>
      </c>
      <c r="BK81" s="460"/>
      <c r="BL81" s="455"/>
      <c r="BM81" s="454" t="s">
        <v>1437</v>
      </c>
      <c r="BN81" s="454" t="s">
        <v>368</v>
      </c>
      <c r="BO81" s="450"/>
    </row>
    <row r="82" spans="1:67" ht="13" customHeight="1" x14ac:dyDescent="0.2">
      <c r="A82" s="451">
        <v>1911</v>
      </c>
      <c r="B82" s="452">
        <v>44028</v>
      </c>
      <c r="C82" s="453" t="s">
        <v>295</v>
      </c>
      <c r="D82" s="454" t="s">
        <v>1111</v>
      </c>
      <c r="E82" s="452">
        <v>43831</v>
      </c>
      <c r="F82" s="455" t="s">
        <v>987</v>
      </c>
      <c r="G82" s="454" t="s">
        <v>1127</v>
      </c>
      <c r="H82" s="461">
        <v>54.536000000000001</v>
      </c>
      <c r="I82" s="458" t="s">
        <v>296</v>
      </c>
      <c r="J82" s="485">
        <v>1645</v>
      </c>
      <c r="K82" s="485">
        <v>3000</v>
      </c>
      <c r="L82" s="485">
        <v>3000</v>
      </c>
      <c r="M82" s="485">
        <v>3000</v>
      </c>
      <c r="N82" s="454"/>
      <c r="O82" s="461">
        <v>2.5499999999999998</v>
      </c>
      <c r="P82" s="461">
        <v>2.1760000000000002</v>
      </c>
      <c r="Q82" s="461">
        <v>0</v>
      </c>
      <c r="R82" s="461">
        <v>0</v>
      </c>
      <c r="S82" s="461">
        <v>1.87</v>
      </c>
      <c r="T82" s="461"/>
      <c r="U82" s="461">
        <v>2.5499999999999998</v>
      </c>
      <c r="V82" s="461">
        <v>2.1760000000000002</v>
      </c>
      <c r="W82" s="461">
        <v>0</v>
      </c>
      <c r="X82" s="461">
        <v>0</v>
      </c>
      <c r="Y82" s="461">
        <v>1.87</v>
      </c>
      <c r="Z82" s="461"/>
      <c r="AA82" s="461"/>
      <c r="AB82" s="461"/>
      <c r="AC82" s="461"/>
      <c r="AD82" s="461"/>
      <c r="AE82" s="461"/>
      <c r="AF82" s="461"/>
      <c r="AG82" s="460" t="s">
        <v>1278</v>
      </c>
      <c r="AH82" s="460"/>
      <c r="AI82" s="460">
        <v>3</v>
      </c>
      <c r="AJ82" s="460">
        <v>3</v>
      </c>
      <c r="AK82" s="480">
        <v>0.5</v>
      </c>
      <c r="AL82" s="480">
        <v>0.5</v>
      </c>
      <c r="AM82" s="454"/>
      <c r="AN82" s="460">
        <v>0</v>
      </c>
      <c r="AO82" s="460">
        <v>0</v>
      </c>
      <c r="AP82" s="460">
        <v>0</v>
      </c>
      <c r="AQ82" s="460">
        <v>0</v>
      </c>
      <c r="AR82" s="460">
        <v>0</v>
      </c>
      <c r="AS82" s="460">
        <v>0</v>
      </c>
      <c r="AT82" s="460">
        <v>0</v>
      </c>
      <c r="AU82" s="460">
        <v>0</v>
      </c>
      <c r="AV82" s="460">
        <v>0</v>
      </c>
      <c r="AW82" s="460">
        <v>0</v>
      </c>
      <c r="AX82" s="460">
        <v>0</v>
      </c>
      <c r="AY82" s="460">
        <v>0</v>
      </c>
      <c r="AZ82" s="460"/>
      <c r="BA82" s="460" t="s">
        <v>1278</v>
      </c>
      <c r="BB82" s="460"/>
      <c r="BC82" s="460" t="s">
        <v>1278</v>
      </c>
      <c r="BD82" s="460"/>
      <c r="BE82" s="460"/>
      <c r="BF82" s="460"/>
      <c r="BG82" s="455"/>
      <c r="BH82" s="454"/>
      <c r="BI82" s="460"/>
      <c r="BJ82" s="460" t="s">
        <v>4</v>
      </c>
      <c r="BK82" s="460">
        <v>1</v>
      </c>
      <c r="BL82" s="455"/>
      <c r="BM82" s="454" t="s">
        <v>1345</v>
      </c>
      <c r="BN82" s="454" t="s">
        <v>368</v>
      </c>
      <c r="BO82" s="450"/>
    </row>
    <row r="83" spans="1:67" ht="13" customHeight="1" x14ac:dyDescent="0.2">
      <c r="A83" s="451">
        <v>1685</v>
      </c>
      <c r="B83" s="452">
        <v>44029</v>
      </c>
      <c r="C83" s="453" t="s">
        <v>295</v>
      </c>
      <c r="D83" s="454" t="s">
        <v>1111</v>
      </c>
      <c r="E83" s="452">
        <v>44007</v>
      </c>
      <c r="F83" s="455" t="s">
        <v>1106</v>
      </c>
      <c r="G83" s="454" t="s">
        <v>2</v>
      </c>
      <c r="H83" s="461">
        <v>57</v>
      </c>
      <c r="I83" s="458" t="s">
        <v>296</v>
      </c>
      <c r="J83" s="459">
        <v>3000</v>
      </c>
      <c r="K83" s="459">
        <v>3000</v>
      </c>
      <c r="L83" s="459">
        <v>3000</v>
      </c>
      <c r="M83" s="459">
        <v>3000</v>
      </c>
      <c r="N83" s="454"/>
      <c r="O83" s="461">
        <v>1.7272727272727271</v>
      </c>
      <c r="P83" s="482">
        <v>0</v>
      </c>
      <c r="Q83" s="461">
        <v>0</v>
      </c>
      <c r="R83" s="461">
        <v>0</v>
      </c>
      <c r="S83" s="461">
        <v>1.7272727272727271</v>
      </c>
      <c r="T83" s="461"/>
      <c r="U83" s="461">
        <v>1.7272727272727271</v>
      </c>
      <c r="V83" s="482">
        <v>0</v>
      </c>
      <c r="W83" s="461">
        <v>0</v>
      </c>
      <c r="X83" s="461">
        <v>0</v>
      </c>
      <c r="Y83" s="461">
        <v>1.7272727272727271</v>
      </c>
      <c r="Z83" s="461"/>
      <c r="AA83" s="461"/>
      <c r="AB83" s="461"/>
      <c r="AC83" s="461"/>
      <c r="AD83" s="461"/>
      <c r="AE83" s="461"/>
      <c r="AF83" s="461"/>
      <c r="AG83" s="460" t="s">
        <v>1278</v>
      </c>
      <c r="AH83" s="460"/>
      <c r="AI83" s="460">
        <v>3</v>
      </c>
      <c r="AJ83" s="460">
        <v>3</v>
      </c>
      <c r="AK83" s="480">
        <v>0.5</v>
      </c>
      <c r="AL83" s="480">
        <v>0.5</v>
      </c>
      <c r="AM83" s="454"/>
      <c r="AN83" s="460">
        <v>0</v>
      </c>
      <c r="AO83" s="460">
        <v>0</v>
      </c>
      <c r="AP83" s="460">
        <v>0</v>
      </c>
      <c r="AQ83" s="460">
        <v>0</v>
      </c>
      <c r="AR83" s="460">
        <v>0</v>
      </c>
      <c r="AS83" s="460">
        <v>0</v>
      </c>
      <c r="AT83" s="460">
        <v>0</v>
      </c>
      <c r="AU83" s="460">
        <v>0</v>
      </c>
      <c r="AV83" s="460">
        <v>0</v>
      </c>
      <c r="AW83" s="460">
        <v>0</v>
      </c>
      <c r="AX83" s="460">
        <v>0</v>
      </c>
      <c r="AY83" s="460">
        <v>0</v>
      </c>
      <c r="AZ83" s="460"/>
      <c r="BA83" s="460" t="s">
        <v>1278</v>
      </c>
      <c r="BB83" s="460"/>
      <c r="BC83" s="460" t="s">
        <v>1278</v>
      </c>
      <c r="BD83" s="460"/>
      <c r="BE83" s="460"/>
      <c r="BF83" s="455"/>
      <c r="BG83" s="454"/>
      <c r="BH83" s="460"/>
      <c r="BI83" s="460"/>
      <c r="BJ83" s="460" t="s">
        <v>4</v>
      </c>
      <c r="BK83" s="460">
        <v>1</v>
      </c>
      <c r="BL83" s="454"/>
      <c r="BM83" s="454" t="s">
        <v>1429</v>
      </c>
      <c r="BN83" s="454" t="s">
        <v>368</v>
      </c>
      <c r="BO83" s="450"/>
    </row>
    <row r="84" spans="1:67" ht="16" x14ac:dyDescent="0.2">
      <c r="A84" s="451">
        <v>2212</v>
      </c>
      <c r="B84" s="452">
        <v>44029</v>
      </c>
      <c r="C84" s="453" t="s">
        <v>295</v>
      </c>
      <c r="D84" s="454" t="s">
        <v>1111</v>
      </c>
      <c r="E84" s="465">
        <v>44013</v>
      </c>
      <c r="F84" s="454" t="s">
        <v>34</v>
      </c>
      <c r="G84" s="454" t="s">
        <v>1178</v>
      </c>
      <c r="H84" s="461">
        <v>72.654545454545456</v>
      </c>
      <c r="I84" s="467"/>
      <c r="J84" s="469"/>
      <c r="K84" s="469"/>
      <c r="L84" s="469"/>
      <c r="M84" s="469"/>
      <c r="N84" s="468"/>
      <c r="O84" s="461">
        <v>1.9363636363636361</v>
      </c>
      <c r="P84" s="461">
        <v>0</v>
      </c>
      <c r="Q84" s="461">
        <v>0</v>
      </c>
      <c r="R84" s="461">
        <v>0</v>
      </c>
      <c r="S84" s="461">
        <v>0</v>
      </c>
      <c r="T84" s="456"/>
      <c r="U84" s="461">
        <v>1.9363636363636361</v>
      </c>
      <c r="V84" s="461">
        <v>0</v>
      </c>
      <c r="W84" s="461">
        <v>0</v>
      </c>
      <c r="X84" s="461">
        <v>0</v>
      </c>
      <c r="Y84" s="461">
        <v>0</v>
      </c>
      <c r="Z84" s="456"/>
      <c r="AA84" s="461"/>
      <c r="AB84" s="461"/>
      <c r="AC84" s="461"/>
      <c r="AD84" s="461"/>
      <c r="AE84" s="461"/>
      <c r="AF84" s="456"/>
      <c r="AG84" s="470" t="s">
        <v>1278</v>
      </c>
      <c r="AH84" s="470"/>
      <c r="AI84" s="460">
        <v>3</v>
      </c>
      <c r="AJ84" s="460">
        <v>3</v>
      </c>
      <c r="AK84" s="480">
        <v>0.5</v>
      </c>
      <c r="AL84" s="480">
        <v>0.5</v>
      </c>
      <c r="AM84" s="454"/>
      <c r="AN84" s="460">
        <v>0</v>
      </c>
      <c r="AO84" s="460">
        <v>0</v>
      </c>
      <c r="AP84" s="460">
        <v>5</v>
      </c>
      <c r="AQ84" s="460">
        <v>0</v>
      </c>
      <c r="AR84" s="460">
        <v>0</v>
      </c>
      <c r="AS84" s="460">
        <v>0</v>
      </c>
      <c r="AT84" s="460">
        <v>0</v>
      </c>
      <c r="AU84" s="460">
        <v>0</v>
      </c>
      <c r="AV84" s="460">
        <v>0</v>
      </c>
      <c r="AW84" s="460">
        <v>0</v>
      </c>
      <c r="AX84" s="460">
        <v>0</v>
      </c>
      <c r="AY84" s="460">
        <v>0</v>
      </c>
      <c r="AZ84" s="460"/>
      <c r="BA84" s="460" t="s">
        <v>1278</v>
      </c>
      <c r="BB84" s="460"/>
      <c r="BC84" s="460" t="s">
        <v>1278</v>
      </c>
      <c r="BD84" s="460"/>
      <c r="BE84" s="460"/>
      <c r="BF84" s="460"/>
      <c r="BG84" s="455"/>
      <c r="BH84" s="454"/>
      <c r="BI84" s="460"/>
      <c r="BJ84" s="460" t="s">
        <v>411</v>
      </c>
      <c r="BK84" s="460"/>
      <c r="BL84" s="455" t="s">
        <v>47</v>
      </c>
      <c r="BM84" s="484" t="s">
        <v>430</v>
      </c>
      <c r="BN84" s="454" t="s">
        <v>368</v>
      </c>
      <c r="BO84" s="450"/>
    </row>
    <row r="85" spans="1:67" ht="13" customHeight="1" x14ac:dyDescent="0.2">
      <c r="A85" s="451">
        <v>2461</v>
      </c>
      <c r="B85" s="452">
        <v>44028</v>
      </c>
      <c r="C85" s="453" t="s">
        <v>295</v>
      </c>
      <c r="D85" s="454" t="s">
        <v>1111</v>
      </c>
      <c r="E85" s="465">
        <v>44013</v>
      </c>
      <c r="F85" s="454" t="s">
        <v>1274</v>
      </c>
      <c r="G85" s="454" t="s">
        <v>1275</v>
      </c>
      <c r="H85" s="461">
        <v>72.999999999999986</v>
      </c>
      <c r="I85" s="467" t="s">
        <v>296</v>
      </c>
      <c r="J85" s="485">
        <v>1645</v>
      </c>
      <c r="K85" s="485">
        <v>3000</v>
      </c>
      <c r="L85" s="485">
        <v>3000</v>
      </c>
      <c r="M85" s="485">
        <v>3000</v>
      </c>
      <c r="N85" s="468"/>
      <c r="O85" s="461">
        <v>2.7363636363636359</v>
      </c>
      <c r="P85" s="461">
        <v>2.418181818181818</v>
      </c>
      <c r="Q85" s="461">
        <v>0</v>
      </c>
      <c r="R85" s="461">
        <v>0</v>
      </c>
      <c r="S85" s="461">
        <v>2.0727272727272723</v>
      </c>
      <c r="T85" s="456"/>
      <c r="U85" s="461">
        <v>2.7363636363636359</v>
      </c>
      <c r="V85" s="461">
        <v>2.418181818181818</v>
      </c>
      <c r="W85" s="482">
        <v>0</v>
      </c>
      <c r="X85" s="461">
        <v>0</v>
      </c>
      <c r="Y85" s="461">
        <v>2.0727272727272723</v>
      </c>
      <c r="Z85" s="456"/>
      <c r="AA85" s="461"/>
      <c r="AB85" s="461"/>
      <c r="AC85" s="461"/>
      <c r="AD85" s="461"/>
      <c r="AE85" s="461"/>
      <c r="AF85" s="456"/>
      <c r="AG85" s="470" t="s">
        <v>1278</v>
      </c>
      <c r="AH85" s="470"/>
      <c r="AI85" s="460">
        <v>3</v>
      </c>
      <c r="AJ85" s="460">
        <v>3</v>
      </c>
      <c r="AK85" s="480">
        <v>0.5</v>
      </c>
      <c r="AL85" s="480">
        <v>0.5</v>
      </c>
      <c r="AM85" s="454"/>
      <c r="AN85" s="460">
        <v>0</v>
      </c>
      <c r="AO85" s="460">
        <v>0</v>
      </c>
      <c r="AP85" s="460">
        <v>0</v>
      </c>
      <c r="AQ85" s="460">
        <v>15</v>
      </c>
      <c r="AR85" s="460">
        <v>0</v>
      </c>
      <c r="AS85" s="460">
        <v>0</v>
      </c>
      <c r="AT85" s="460">
        <v>0</v>
      </c>
      <c r="AU85" s="460">
        <v>0</v>
      </c>
      <c r="AV85" s="460">
        <v>0</v>
      </c>
      <c r="AW85" s="460">
        <v>0</v>
      </c>
      <c r="AX85" s="460">
        <v>0</v>
      </c>
      <c r="AY85" s="460">
        <v>0</v>
      </c>
      <c r="AZ85" s="460"/>
      <c r="BA85" s="460" t="s">
        <v>1278</v>
      </c>
      <c r="BB85" s="460"/>
      <c r="BC85" s="460" t="s">
        <v>1278</v>
      </c>
      <c r="BD85" s="460"/>
      <c r="BE85" s="460"/>
      <c r="BF85" s="460"/>
      <c r="BG85" s="455"/>
      <c r="BH85" s="454"/>
      <c r="BI85" s="460"/>
      <c r="BJ85" s="460" t="s">
        <v>411</v>
      </c>
      <c r="BK85" s="460">
        <v>1</v>
      </c>
      <c r="BL85" s="455"/>
      <c r="BM85" s="454" t="s">
        <v>1430</v>
      </c>
      <c r="BN85" s="454" t="s">
        <v>368</v>
      </c>
      <c r="BO85" s="450"/>
    </row>
    <row r="86" spans="1:67" ht="13" customHeight="1" x14ac:dyDescent="0.2">
      <c r="A86" s="451">
        <v>2335</v>
      </c>
      <c r="B86" s="452">
        <v>44028</v>
      </c>
      <c r="C86" s="453" t="s">
        <v>295</v>
      </c>
      <c r="D86" s="454" t="s">
        <v>1111</v>
      </c>
      <c r="E86" s="465">
        <v>44013</v>
      </c>
      <c r="F86" s="454" t="s">
        <v>1291</v>
      </c>
      <c r="G86" s="454" t="s">
        <v>1181</v>
      </c>
      <c r="H86" s="461">
        <v>61.581818181818171</v>
      </c>
      <c r="I86" s="467"/>
      <c r="J86" s="469"/>
      <c r="K86" s="469"/>
      <c r="L86" s="469"/>
      <c r="M86" s="469"/>
      <c r="N86" s="468"/>
      <c r="O86" s="461">
        <v>2.1090909090909089</v>
      </c>
      <c r="P86" s="461">
        <v>0</v>
      </c>
      <c r="Q86" s="461">
        <v>0</v>
      </c>
      <c r="R86" s="461">
        <v>0</v>
      </c>
      <c r="S86" s="461">
        <v>0</v>
      </c>
      <c r="T86" s="456"/>
      <c r="U86" s="461">
        <v>2.1090909090909089</v>
      </c>
      <c r="V86" s="461">
        <v>0</v>
      </c>
      <c r="W86" s="461">
        <v>0</v>
      </c>
      <c r="X86" s="461">
        <v>0</v>
      </c>
      <c r="Y86" s="461">
        <v>0</v>
      </c>
      <c r="Z86" s="456"/>
      <c r="AA86" s="461"/>
      <c r="AB86" s="461"/>
      <c r="AC86" s="461"/>
      <c r="AD86" s="461"/>
      <c r="AE86" s="461"/>
      <c r="AF86" s="456"/>
      <c r="AG86" s="470" t="s">
        <v>1278</v>
      </c>
      <c r="AH86" s="470"/>
      <c r="AI86" s="460">
        <v>3</v>
      </c>
      <c r="AJ86" s="460">
        <v>3</v>
      </c>
      <c r="AK86" s="480">
        <v>0.5</v>
      </c>
      <c r="AL86" s="480">
        <v>0.5</v>
      </c>
      <c r="AM86" s="454"/>
      <c r="AN86" s="460">
        <v>0</v>
      </c>
      <c r="AO86" s="460">
        <v>0</v>
      </c>
      <c r="AP86" s="460">
        <v>0</v>
      </c>
      <c r="AQ86" s="460">
        <v>0</v>
      </c>
      <c r="AR86" s="460">
        <v>0</v>
      </c>
      <c r="AS86" s="460">
        <v>0</v>
      </c>
      <c r="AT86" s="460">
        <v>0</v>
      </c>
      <c r="AU86" s="460">
        <v>0</v>
      </c>
      <c r="AV86" s="460">
        <v>0</v>
      </c>
      <c r="AW86" s="460">
        <v>0</v>
      </c>
      <c r="AX86" s="460">
        <v>0</v>
      </c>
      <c r="AY86" s="460">
        <v>0</v>
      </c>
      <c r="AZ86" s="460"/>
      <c r="BA86" s="460" t="s">
        <v>1278</v>
      </c>
      <c r="BB86" s="460"/>
      <c r="BC86" s="460" t="s">
        <v>1278</v>
      </c>
      <c r="BD86" s="460"/>
      <c r="BE86" s="460"/>
      <c r="BF86" s="460"/>
      <c r="BG86" s="455"/>
      <c r="BH86" s="454"/>
      <c r="BI86" s="460"/>
      <c r="BJ86" s="460" t="s">
        <v>4</v>
      </c>
      <c r="BK86" s="460"/>
      <c r="BL86" s="455" t="s">
        <v>1284</v>
      </c>
      <c r="BM86" s="484" t="s">
        <v>430</v>
      </c>
      <c r="BN86" s="454" t="s">
        <v>408</v>
      </c>
      <c r="BO86" s="450"/>
    </row>
    <row r="87" spans="1:67" ht="13" customHeight="1" x14ac:dyDescent="0.2">
      <c r="A87" s="451">
        <v>2386</v>
      </c>
      <c r="B87" s="452">
        <v>44028</v>
      </c>
      <c r="C87" s="453" t="s">
        <v>295</v>
      </c>
      <c r="D87" s="454" t="s">
        <v>1113</v>
      </c>
      <c r="E87" s="452">
        <v>44013</v>
      </c>
      <c r="F87" s="455" t="s">
        <v>1044</v>
      </c>
      <c r="G87" s="454" t="s">
        <v>1277</v>
      </c>
      <c r="H87" s="461">
        <v>84.490909090909085</v>
      </c>
      <c r="I87" s="458" t="s">
        <v>296</v>
      </c>
      <c r="J87" s="459">
        <v>6000</v>
      </c>
      <c r="K87" s="459">
        <v>12000</v>
      </c>
      <c r="L87" s="459">
        <v>84000</v>
      </c>
      <c r="M87" s="459">
        <v>84000</v>
      </c>
      <c r="N87" s="454"/>
      <c r="O87" s="461">
        <v>1.6818181818181817</v>
      </c>
      <c r="P87" s="461">
        <v>1.6545454545454545</v>
      </c>
      <c r="Q87" s="461">
        <v>1.3818181818181816</v>
      </c>
      <c r="R87" s="461">
        <v>0</v>
      </c>
      <c r="S87" s="461">
        <v>1.2454545454545454</v>
      </c>
      <c r="T87" s="461"/>
      <c r="U87" s="461">
        <v>1.5363636363636362</v>
      </c>
      <c r="V87" s="461">
        <v>1.2727272727272725</v>
      </c>
      <c r="W87" s="461">
        <v>1.1818181818181817</v>
      </c>
      <c r="X87" s="487">
        <v>0</v>
      </c>
      <c r="Y87" s="461">
        <v>1.1727272727272726</v>
      </c>
      <c r="Z87" s="461"/>
      <c r="AA87" s="461"/>
      <c r="AB87" s="461"/>
      <c r="AC87" s="461"/>
      <c r="AD87" s="461"/>
      <c r="AE87" s="461"/>
      <c r="AF87" s="461"/>
      <c r="AG87" s="460" t="s">
        <v>297</v>
      </c>
      <c r="AH87" s="460" t="s">
        <v>298</v>
      </c>
      <c r="AI87" s="460">
        <v>2</v>
      </c>
      <c r="AJ87" s="460">
        <v>4</v>
      </c>
      <c r="AK87" s="483">
        <v>0.33329999999999999</v>
      </c>
      <c r="AL87" s="483">
        <v>0.66659999999999997</v>
      </c>
      <c r="AM87" s="454" t="s">
        <v>1124</v>
      </c>
      <c r="AN87" s="460">
        <v>0</v>
      </c>
      <c r="AO87" s="460">
        <v>0</v>
      </c>
      <c r="AP87" s="460">
        <v>0</v>
      </c>
      <c r="AQ87" s="460">
        <v>0</v>
      </c>
      <c r="AR87" s="460">
        <v>0</v>
      </c>
      <c r="AS87" s="460">
        <v>0</v>
      </c>
      <c r="AT87" s="460">
        <v>0</v>
      </c>
      <c r="AU87" s="460">
        <v>0</v>
      </c>
      <c r="AV87" s="460">
        <v>0</v>
      </c>
      <c r="AW87" s="460">
        <v>0</v>
      </c>
      <c r="AX87" s="460">
        <v>0</v>
      </c>
      <c r="AY87" s="460">
        <v>0</v>
      </c>
      <c r="AZ87" s="460"/>
      <c r="BA87" s="460" t="s">
        <v>1278</v>
      </c>
      <c r="BB87" s="460"/>
      <c r="BC87" s="460" t="s">
        <v>1278</v>
      </c>
      <c r="BD87" s="460"/>
      <c r="BE87" s="460"/>
      <c r="BF87" s="460"/>
      <c r="BG87" s="455"/>
      <c r="BH87" s="454"/>
      <c r="BI87" s="460"/>
      <c r="BJ87" s="460" t="s">
        <v>4</v>
      </c>
      <c r="BK87" s="460"/>
      <c r="BL87" s="455"/>
      <c r="BM87" s="454" t="s">
        <v>1438</v>
      </c>
      <c r="BN87" s="454" t="s">
        <v>368</v>
      </c>
      <c r="BO87" s="450"/>
    </row>
    <row r="88" spans="1:67" ht="13" customHeight="1" x14ac:dyDescent="0.2">
      <c r="A88" s="451">
        <v>2502</v>
      </c>
      <c r="B88" s="452">
        <v>44029</v>
      </c>
      <c r="C88" s="453" t="s">
        <v>295</v>
      </c>
      <c r="D88" s="454" t="s">
        <v>1113</v>
      </c>
      <c r="E88" s="452">
        <v>44013</v>
      </c>
      <c r="F88" s="455" t="s">
        <v>1046</v>
      </c>
      <c r="G88" s="454" t="s">
        <v>1280</v>
      </c>
      <c r="H88" s="461">
        <v>80</v>
      </c>
      <c r="I88" s="458" t="s">
        <v>296</v>
      </c>
      <c r="J88" s="459">
        <v>6000</v>
      </c>
      <c r="K88" s="459">
        <v>6000</v>
      </c>
      <c r="L88" s="459">
        <v>6000</v>
      </c>
      <c r="M88" s="459">
        <v>6000</v>
      </c>
      <c r="N88" s="454"/>
      <c r="O88" s="461">
        <v>2</v>
      </c>
      <c r="P88" s="482">
        <v>0</v>
      </c>
      <c r="Q88" s="461">
        <v>0</v>
      </c>
      <c r="R88" s="461">
        <v>0</v>
      </c>
      <c r="S88" s="461">
        <v>1.7999999999999998</v>
      </c>
      <c r="T88" s="461"/>
      <c r="U88" s="461">
        <v>1.7</v>
      </c>
      <c r="V88" s="482">
        <v>0</v>
      </c>
      <c r="W88" s="461">
        <v>0</v>
      </c>
      <c r="X88" s="461">
        <v>0</v>
      </c>
      <c r="Y88" s="461">
        <v>1.4999999999999998</v>
      </c>
      <c r="Z88" s="461"/>
      <c r="AA88" s="461"/>
      <c r="AB88" s="461"/>
      <c r="AC88" s="461"/>
      <c r="AD88" s="461"/>
      <c r="AE88" s="461"/>
      <c r="AF88" s="461"/>
      <c r="AG88" s="460" t="s">
        <v>297</v>
      </c>
      <c r="AH88" s="460" t="s">
        <v>298</v>
      </c>
      <c r="AI88" s="460">
        <v>2</v>
      </c>
      <c r="AJ88" s="460">
        <v>4</v>
      </c>
      <c r="AK88" s="483">
        <v>0.33329999999999999</v>
      </c>
      <c r="AL88" s="483">
        <v>0.66659999999999997</v>
      </c>
      <c r="AM88" s="454" t="s">
        <v>1124</v>
      </c>
      <c r="AN88" s="460">
        <v>0</v>
      </c>
      <c r="AO88" s="460">
        <v>0</v>
      </c>
      <c r="AP88" s="460">
        <v>0</v>
      </c>
      <c r="AQ88" s="460">
        <v>0</v>
      </c>
      <c r="AR88" s="460">
        <v>0</v>
      </c>
      <c r="AS88" s="460">
        <v>0</v>
      </c>
      <c r="AT88" s="460">
        <v>0</v>
      </c>
      <c r="AU88" s="460">
        <v>0</v>
      </c>
      <c r="AV88" s="460">
        <v>0</v>
      </c>
      <c r="AW88" s="460">
        <v>0</v>
      </c>
      <c r="AX88" s="460">
        <v>0</v>
      </c>
      <c r="AY88" s="460">
        <v>0</v>
      </c>
      <c r="AZ88" s="454"/>
      <c r="BA88" s="460" t="s">
        <v>1278</v>
      </c>
      <c r="BB88" s="460"/>
      <c r="BC88" s="460" t="s">
        <v>1278</v>
      </c>
      <c r="BD88" s="460"/>
      <c r="BE88" s="460"/>
      <c r="BF88" s="460"/>
      <c r="BG88" s="455"/>
      <c r="BH88" s="454"/>
      <c r="BI88" s="460"/>
      <c r="BJ88" s="460" t="s">
        <v>4</v>
      </c>
      <c r="BK88" s="460"/>
      <c r="BL88" s="455"/>
      <c r="BM88" s="454" t="s">
        <v>430</v>
      </c>
      <c r="BN88" s="454" t="s">
        <v>368</v>
      </c>
      <c r="BO88" s="450"/>
    </row>
    <row r="89" spans="1:67" ht="13" customHeight="1" x14ac:dyDescent="0.2">
      <c r="A89" s="451">
        <v>2609</v>
      </c>
      <c r="B89" s="452">
        <v>44028</v>
      </c>
      <c r="C89" s="453" t="s">
        <v>295</v>
      </c>
      <c r="D89" s="454" t="s">
        <v>1113</v>
      </c>
      <c r="E89" s="452">
        <v>43910</v>
      </c>
      <c r="F89" s="455" t="s">
        <v>1048</v>
      </c>
      <c r="G89" s="454" t="s">
        <v>1397</v>
      </c>
      <c r="H89" s="461">
        <v>61.954545454545453</v>
      </c>
      <c r="I89" s="458" t="s">
        <v>296</v>
      </c>
      <c r="J89" s="459">
        <v>6000</v>
      </c>
      <c r="K89" s="459">
        <v>12000</v>
      </c>
      <c r="L89" s="459">
        <v>12000</v>
      </c>
      <c r="M89" s="459">
        <v>12000</v>
      </c>
      <c r="N89" s="454"/>
      <c r="O89" s="461">
        <v>1.9545454545454544</v>
      </c>
      <c r="P89" s="461">
        <v>1.8545454545454545</v>
      </c>
      <c r="Q89" s="482">
        <v>0</v>
      </c>
      <c r="R89" s="461">
        <v>0</v>
      </c>
      <c r="S89" s="461">
        <v>1.5636363636363635</v>
      </c>
      <c r="T89" s="461"/>
      <c r="U89" s="461">
        <v>1.5999999999999999</v>
      </c>
      <c r="V89" s="461">
        <v>1.5636363636363635</v>
      </c>
      <c r="W89" s="482">
        <v>0</v>
      </c>
      <c r="X89" s="461">
        <v>0</v>
      </c>
      <c r="Y89" s="461">
        <v>1.4999999999999998</v>
      </c>
      <c r="Z89" s="461"/>
      <c r="AA89" s="461"/>
      <c r="AB89" s="461"/>
      <c r="AC89" s="461"/>
      <c r="AD89" s="461"/>
      <c r="AE89" s="461"/>
      <c r="AF89" s="461"/>
      <c r="AG89" s="460" t="s">
        <v>297</v>
      </c>
      <c r="AH89" s="460" t="s">
        <v>298</v>
      </c>
      <c r="AI89" s="460">
        <v>2</v>
      </c>
      <c r="AJ89" s="460">
        <v>4</v>
      </c>
      <c r="AK89" s="483">
        <v>0.33329999999999999</v>
      </c>
      <c r="AL89" s="483">
        <v>0.66659999999999997</v>
      </c>
      <c r="AM89" s="454" t="s">
        <v>1124</v>
      </c>
      <c r="AN89" s="460">
        <v>0</v>
      </c>
      <c r="AO89" s="460">
        <v>0</v>
      </c>
      <c r="AP89" s="460">
        <v>0</v>
      </c>
      <c r="AQ89" s="460">
        <v>0</v>
      </c>
      <c r="AR89" s="460">
        <v>0</v>
      </c>
      <c r="AS89" s="460">
        <v>0</v>
      </c>
      <c r="AT89" s="460">
        <v>0</v>
      </c>
      <c r="AU89" s="460">
        <v>0</v>
      </c>
      <c r="AV89" s="460">
        <v>0</v>
      </c>
      <c r="AW89" s="460">
        <v>0</v>
      </c>
      <c r="AX89" s="460">
        <v>0</v>
      </c>
      <c r="AY89" s="460">
        <v>0</v>
      </c>
      <c r="AZ89" s="454"/>
      <c r="BA89" s="460" t="s">
        <v>1278</v>
      </c>
      <c r="BB89" s="460"/>
      <c r="BC89" s="460" t="s">
        <v>1278</v>
      </c>
      <c r="BD89" s="460"/>
      <c r="BE89" s="460"/>
      <c r="BF89" s="460"/>
      <c r="BG89" s="455"/>
      <c r="BH89" s="454"/>
      <c r="BI89" s="460"/>
      <c r="BJ89" s="460" t="s">
        <v>4</v>
      </c>
      <c r="BK89" s="460">
        <v>1</v>
      </c>
      <c r="BL89" s="455"/>
      <c r="BM89" s="454" t="s">
        <v>1439</v>
      </c>
      <c r="BN89" s="454" t="s">
        <v>368</v>
      </c>
      <c r="BO89" s="450"/>
    </row>
    <row r="90" spans="1:67" ht="13" customHeight="1" x14ac:dyDescent="0.2">
      <c r="A90" s="451">
        <v>2311</v>
      </c>
      <c r="B90" s="452">
        <v>44032</v>
      </c>
      <c r="C90" s="453" t="s">
        <v>295</v>
      </c>
      <c r="D90" s="454" t="s">
        <v>1113</v>
      </c>
      <c r="E90" s="452">
        <v>43831</v>
      </c>
      <c r="F90" s="455" t="s">
        <v>1050</v>
      </c>
      <c r="G90" s="454" t="s">
        <v>418</v>
      </c>
      <c r="H90" s="461">
        <v>85</v>
      </c>
      <c r="I90" s="458" t="s">
        <v>296</v>
      </c>
      <c r="J90" s="459">
        <v>6000</v>
      </c>
      <c r="K90" s="459">
        <v>12000</v>
      </c>
      <c r="L90" s="459">
        <v>84000</v>
      </c>
      <c r="M90" s="459">
        <v>84000</v>
      </c>
      <c r="N90" s="454"/>
      <c r="O90" s="461">
        <v>2.4</v>
      </c>
      <c r="P90" s="461">
        <v>2.2545454545454544</v>
      </c>
      <c r="Q90" s="461">
        <v>2</v>
      </c>
      <c r="R90" s="487">
        <v>0</v>
      </c>
      <c r="S90" s="461">
        <v>1.7999999999999998</v>
      </c>
      <c r="T90" s="461"/>
      <c r="U90" s="461">
        <v>2.0909090909090904</v>
      </c>
      <c r="V90" s="461">
        <v>1.9363636363636361</v>
      </c>
      <c r="W90" s="461">
        <v>1.6909090909090909</v>
      </c>
      <c r="X90" s="487">
        <v>0</v>
      </c>
      <c r="Y90" s="461">
        <v>1.5818181818181818</v>
      </c>
      <c r="Z90" s="461"/>
      <c r="AA90" s="461"/>
      <c r="AB90" s="461"/>
      <c r="AC90" s="461"/>
      <c r="AD90" s="461"/>
      <c r="AE90" s="461"/>
      <c r="AF90" s="461"/>
      <c r="AG90" s="460" t="s">
        <v>297</v>
      </c>
      <c r="AH90" s="460" t="s">
        <v>298</v>
      </c>
      <c r="AI90" s="460">
        <v>2</v>
      </c>
      <c r="AJ90" s="460">
        <v>4</v>
      </c>
      <c r="AK90" s="483">
        <v>0.33329999999999999</v>
      </c>
      <c r="AL90" s="483">
        <v>0.66659999999999997</v>
      </c>
      <c r="AM90" s="454" t="s">
        <v>1124</v>
      </c>
      <c r="AN90" s="460">
        <v>0</v>
      </c>
      <c r="AO90" s="460">
        <v>16</v>
      </c>
      <c r="AP90" s="460">
        <v>0</v>
      </c>
      <c r="AQ90" s="460">
        <v>0</v>
      </c>
      <c r="AR90" s="460">
        <v>0</v>
      </c>
      <c r="AS90" s="460">
        <v>0</v>
      </c>
      <c r="AT90" s="460">
        <v>0</v>
      </c>
      <c r="AU90" s="460">
        <v>0</v>
      </c>
      <c r="AV90" s="460">
        <v>0</v>
      </c>
      <c r="AW90" s="460">
        <v>0</v>
      </c>
      <c r="AX90" s="460">
        <v>0</v>
      </c>
      <c r="AY90" s="460">
        <v>0</v>
      </c>
      <c r="AZ90" s="454"/>
      <c r="BA90" s="460" t="s">
        <v>1278</v>
      </c>
      <c r="BB90" s="460"/>
      <c r="BC90" s="460" t="s">
        <v>1278</v>
      </c>
      <c r="BD90" s="460"/>
      <c r="BE90" s="460"/>
      <c r="BF90" s="460"/>
      <c r="BG90" s="455"/>
      <c r="BH90" s="454"/>
      <c r="BI90" s="460"/>
      <c r="BJ90" s="460" t="s">
        <v>4</v>
      </c>
      <c r="BK90" s="460">
        <v>1</v>
      </c>
      <c r="BL90" s="455"/>
      <c r="BM90" s="454" t="s">
        <v>1357</v>
      </c>
      <c r="BN90" s="454" t="s">
        <v>368</v>
      </c>
      <c r="BO90" s="450"/>
    </row>
    <row r="91" spans="1:67" ht="13" customHeight="1" x14ac:dyDescent="0.2">
      <c r="A91" s="451">
        <v>2118</v>
      </c>
      <c r="B91" s="452">
        <v>44028</v>
      </c>
      <c r="C91" s="453" t="s">
        <v>295</v>
      </c>
      <c r="D91" s="454" t="s">
        <v>1113</v>
      </c>
      <c r="E91" s="452">
        <v>43924</v>
      </c>
      <c r="F91" s="455" t="s">
        <v>1054</v>
      </c>
      <c r="G91" s="454" t="s">
        <v>1157</v>
      </c>
      <c r="H91" s="461">
        <v>95.799999999999983</v>
      </c>
      <c r="I91" s="458" t="s">
        <v>1141</v>
      </c>
      <c r="J91" s="459">
        <v>12000</v>
      </c>
      <c r="K91" s="459">
        <v>12000</v>
      </c>
      <c r="L91" s="459">
        <v>12000</v>
      </c>
      <c r="M91" s="459">
        <v>12000</v>
      </c>
      <c r="N91" s="454"/>
      <c r="O91" s="461">
        <v>2.5090909090909088</v>
      </c>
      <c r="P91" s="482">
        <v>0</v>
      </c>
      <c r="Q91" s="461">
        <v>0</v>
      </c>
      <c r="R91" s="461">
        <v>0</v>
      </c>
      <c r="S91" s="461">
        <v>1.8999999999999997</v>
      </c>
      <c r="T91" s="461"/>
      <c r="U91" s="461">
        <v>1.8909090909090909</v>
      </c>
      <c r="V91" s="461">
        <v>0</v>
      </c>
      <c r="W91" s="461">
        <v>0</v>
      </c>
      <c r="X91" s="461">
        <v>0</v>
      </c>
      <c r="Y91" s="461">
        <v>0</v>
      </c>
      <c r="Z91" s="461"/>
      <c r="AA91" s="461"/>
      <c r="AB91" s="461"/>
      <c r="AC91" s="461"/>
      <c r="AD91" s="461"/>
      <c r="AE91" s="461"/>
      <c r="AF91" s="461"/>
      <c r="AG91" s="460" t="s">
        <v>297</v>
      </c>
      <c r="AH91" s="460" t="s">
        <v>298</v>
      </c>
      <c r="AI91" s="460">
        <v>2</v>
      </c>
      <c r="AJ91" s="460">
        <v>4</v>
      </c>
      <c r="AK91" s="483">
        <v>0.33329999999999999</v>
      </c>
      <c r="AL91" s="483">
        <v>0.66659999999999997</v>
      </c>
      <c r="AM91" s="454" t="s">
        <v>1124</v>
      </c>
      <c r="AN91" s="460">
        <v>23</v>
      </c>
      <c r="AO91" s="460">
        <v>0</v>
      </c>
      <c r="AP91" s="460">
        <v>0</v>
      </c>
      <c r="AQ91" s="460">
        <v>0</v>
      </c>
      <c r="AR91" s="460">
        <v>0</v>
      </c>
      <c r="AS91" s="460">
        <v>0</v>
      </c>
      <c r="AT91" s="460">
        <v>0</v>
      </c>
      <c r="AU91" s="460">
        <v>0</v>
      </c>
      <c r="AV91" s="460">
        <v>0</v>
      </c>
      <c r="AW91" s="460">
        <v>0</v>
      </c>
      <c r="AX91" s="460">
        <v>0</v>
      </c>
      <c r="AY91" s="460">
        <v>0</v>
      </c>
      <c r="AZ91" s="472">
        <v>12</v>
      </c>
      <c r="BA91" s="460" t="s">
        <v>1278</v>
      </c>
      <c r="BB91" s="460">
        <v>12</v>
      </c>
      <c r="BC91" s="460" t="s">
        <v>1278</v>
      </c>
      <c r="BD91" s="460"/>
      <c r="BE91" s="460">
        <v>12</v>
      </c>
      <c r="BF91" s="460"/>
      <c r="BG91" s="455"/>
      <c r="BH91" s="454"/>
      <c r="BI91" s="460"/>
      <c r="BJ91" s="460" t="s">
        <v>4</v>
      </c>
      <c r="BK91" s="460"/>
      <c r="BL91" s="455"/>
      <c r="BM91" s="484" t="s">
        <v>1440</v>
      </c>
      <c r="BN91" s="454" t="s">
        <v>368</v>
      </c>
      <c r="BO91" s="450"/>
    </row>
    <row r="92" spans="1:67" ht="13" customHeight="1" x14ac:dyDescent="0.2">
      <c r="A92" s="451">
        <v>1973</v>
      </c>
      <c r="B92" s="452">
        <v>44028</v>
      </c>
      <c r="C92" s="453" t="s">
        <v>295</v>
      </c>
      <c r="D92" s="454" t="s">
        <v>1113</v>
      </c>
      <c r="E92" s="452">
        <v>44025</v>
      </c>
      <c r="F92" s="455" t="s">
        <v>1055</v>
      </c>
      <c r="G92" s="454" t="s">
        <v>1400</v>
      </c>
      <c r="H92" s="461">
        <v>77.599999999999994</v>
      </c>
      <c r="I92" s="458" t="s">
        <v>296</v>
      </c>
      <c r="J92" s="459">
        <v>6000</v>
      </c>
      <c r="K92" s="459">
        <v>12000</v>
      </c>
      <c r="L92" s="459">
        <v>84000</v>
      </c>
      <c r="M92" s="459">
        <v>84000</v>
      </c>
      <c r="N92" s="454"/>
      <c r="O92" s="461">
        <v>1.7909090909090908</v>
      </c>
      <c r="P92" s="461">
        <v>1.7454545454545451</v>
      </c>
      <c r="Q92" s="461">
        <v>1.7</v>
      </c>
      <c r="R92" s="461">
        <v>0</v>
      </c>
      <c r="S92" s="461">
        <v>1.4545454545454546</v>
      </c>
      <c r="T92" s="461"/>
      <c r="U92" s="461">
        <v>1.6454545454545453</v>
      </c>
      <c r="V92" s="461">
        <v>1.5545454545454545</v>
      </c>
      <c r="W92" s="461">
        <v>1.4545454545454546</v>
      </c>
      <c r="X92" s="461">
        <v>0</v>
      </c>
      <c r="Y92" s="461">
        <v>1.3545454545454545</v>
      </c>
      <c r="Z92" s="461"/>
      <c r="AA92" s="461"/>
      <c r="AB92" s="461"/>
      <c r="AC92" s="461"/>
      <c r="AD92" s="461"/>
      <c r="AE92" s="461"/>
      <c r="AF92" s="461"/>
      <c r="AG92" s="460" t="s">
        <v>297</v>
      </c>
      <c r="AH92" s="460" t="s">
        <v>298</v>
      </c>
      <c r="AI92" s="460">
        <v>2</v>
      </c>
      <c r="AJ92" s="460">
        <v>4</v>
      </c>
      <c r="AK92" s="483">
        <v>0.33329999999999999</v>
      </c>
      <c r="AL92" s="483">
        <v>0.66659999999999997</v>
      </c>
      <c r="AM92" s="454" t="s">
        <v>1124</v>
      </c>
      <c r="AN92" s="460">
        <v>0</v>
      </c>
      <c r="AO92" s="460">
        <v>0</v>
      </c>
      <c r="AP92" s="460">
        <v>0</v>
      </c>
      <c r="AQ92" s="460">
        <v>0</v>
      </c>
      <c r="AR92" s="460">
        <v>0</v>
      </c>
      <c r="AS92" s="460">
        <v>0</v>
      </c>
      <c r="AT92" s="460">
        <v>0</v>
      </c>
      <c r="AU92" s="460">
        <v>0</v>
      </c>
      <c r="AV92" s="460">
        <v>0</v>
      </c>
      <c r="AW92" s="460">
        <v>0</v>
      </c>
      <c r="AX92" s="460">
        <v>0</v>
      </c>
      <c r="AY92" s="460">
        <v>0</v>
      </c>
      <c r="AZ92" s="454"/>
      <c r="BA92" s="460" t="s">
        <v>1278</v>
      </c>
      <c r="BB92" s="460"/>
      <c r="BC92" s="460" t="s">
        <v>1278</v>
      </c>
      <c r="BD92" s="460"/>
      <c r="BE92" s="460"/>
      <c r="BF92" s="460"/>
      <c r="BG92" s="460"/>
      <c r="BH92" s="460"/>
      <c r="BI92" s="460"/>
      <c r="BJ92" s="460" t="s">
        <v>4</v>
      </c>
      <c r="BK92" s="460"/>
      <c r="BL92" s="455"/>
      <c r="BM92" s="484" t="s">
        <v>430</v>
      </c>
      <c r="BN92" s="454" t="s">
        <v>408</v>
      </c>
      <c r="BO92" s="450"/>
    </row>
    <row r="93" spans="1:67" ht="13" customHeight="1" x14ac:dyDescent="0.2">
      <c r="A93" s="451">
        <v>317</v>
      </c>
      <c r="B93" s="452">
        <v>44028</v>
      </c>
      <c r="C93" s="453" t="s">
        <v>295</v>
      </c>
      <c r="D93" s="454" t="s">
        <v>1113</v>
      </c>
      <c r="E93" s="452">
        <v>44013</v>
      </c>
      <c r="F93" s="454" t="s">
        <v>1057</v>
      </c>
      <c r="G93" s="454" t="s">
        <v>1181</v>
      </c>
      <c r="H93" s="461">
        <v>97.854545454545445</v>
      </c>
      <c r="I93" s="458" t="s">
        <v>296</v>
      </c>
      <c r="J93" s="459">
        <v>6000</v>
      </c>
      <c r="K93" s="459">
        <v>12000</v>
      </c>
      <c r="L93" s="459">
        <v>84000</v>
      </c>
      <c r="M93" s="459">
        <v>84000</v>
      </c>
      <c r="N93" s="454"/>
      <c r="O93" s="461">
        <v>1.9818181818181817</v>
      </c>
      <c r="P93" s="461">
        <v>1.8727272727272726</v>
      </c>
      <c r="Q93" s="461">
        <v>1.6727272727272726</v>
      </c>
      <c r="R93" s="461">
        <v>0</v>
      </c>
      <c r="S93" s="461">
        <v>1.6727272727272726</v>
      </c>
      <c r="T93" s="461"/>
      <c r="U93" s="461">
        <v>1.5272727272727271</v>
      </c>
      <c r="V93" s="461">
        <v>1.5090909090909088</v>
      </c>
      <c r="W93" s="461">
        <v>1.4727272727272727</v>
      </c>
      <c r="X93" s="461">
        <v>0</v>
      </c>
      <c r="Y93" s="461">
        <v>1.4181818181818182</v>
      </c>
      <c r="Z93" s="461"/>
      <c r="AA93" s="461"/>
      <c r="AB93" s="461"/>
      <c r="AC93" s="461"/>
      <c r="AD93" s="461"/>
      <c r="AE93" s="461"/>
      <c r="AF93" s="461"/>
      <c r="AG93" s="460" t="s">
        <v>297</v>
      </c>
      <c r="AH93" s="460" t="s">
        <v>298</v>
      </c>
      <c r="AI93" s="460">
        <v>2</v>
      </c>
      <c r="AJ93" s="460">
        <v>4</v>
      </c>
      <c r="AK93" s="483">
        <v>0.33329999999999999</v>
      </c>
      <c r="AL93" s="483">
        <v>0.66659999999999997</v>
      </c>
      <c r="AM93" s="454" t="s">
        <v>1124</v>
      </c>
      <c r="AN93" s="460">
        <v>0</v>
      </c>
      <c r="AO93" s="460">
        <v>0</v>
      </c>
      <c r="AP93" s="460">
        <v>0</v>
      </c>
      <c r="AQ93" s="460">
        <v>0</v>
      </c>
      <c r="AR93" s="460">
        <v>0</v>
      </c>
      <c r="AS93" s="460">
        <v>0</v>
      </c>
      <c r="AT93" s="460">
        <v>0</v>
      </c>
      <c r="AU93" s="460">
        <v>0</v>
      </c>
      <c r="AV93" s="460">
        <v>0</v>
      </c>
      <c r="AW93" s="460">
        <v>0</v>
      </c>
      <c r="AX93" s="460">
        <v>0</v>
      </c>
      <c r="AY93" s="460">
        <v>0</v>
      </c>
      <c r="AZ93" s="454"/>
      <c r="BA93" s="460" t="s">
        <v>1278</v>
      </c>
      <c r="BB93" s="460"/>
      <c r="BC93" s="460" t="s">
        <v>1278</v>
      </c>
      <c r="BD93" s="460"/>
      <c r="BE93" s="460"/>
      <c r="BF93" s="460"/>
      <c r="BG93" s="455"/>
      <c r="BH93" s="454"/>
      <c r="BI93" s="460"/>
      <c r="BJ93" s="460" t="s">
        <v>4</v>
      </c>
      <c r="BK93" s="460"/>
      <c r="BL93" s="455"/>
      <c r="BM93" s="484" t="s">
        <v>1441</v>
      </c>
      <c r="BN93" s="454" t="s">
        <v>368</v>
      </c>
      <c r="BO93" s="450"/>
    </row>
    <row r="94" spans="1:67" ht="13" customHeight="1" x14ac:dyDescent="0.2">
      <c r="A94" s="451">
        <v>2262</v>
      </c>
      <c r="B94" s="452">
        <v>44028</v>
      </c>
      <c r="C94" s="453" t="s">
        <v>295</v>
      </c>
      <c r="D94" s="454" t="s">
        <v>1113</v>
      </c>
      <c r="E94" s="452">
        <v>44013</v>
      </c>
      <c r="F94" s="455" t="s">
        <v>981</v>
      </c>
      <c r="G94" s="454" t="s">
        <v>1167</v>
      </c>
      <c r="H94" s="461">
        <v>79</v>
      </c>
      <c r="I94" s="458" t="s">
        <v>296</v>
      </c>
      <c r="J94" s="459">
        <v>3000</v>
      </c>
      <c r="K94" s="459">
        <v>3000</v>
      </c>
      <c r="L94" s="459">
        <v>3000</v>
      </c>
      <c r="M94" s="459">
        <v>3000</v>
      </c>
      <c r="N94" s="454"/>
      <c r="O94" s="461">
        <v>2.4</v>
      </c>
      <c r="P94" s="482">
        <v>0</v>
      </c>
      <c r="Q94" s="461">
        <v>0</v>
      </c>
      <c r="R94" s="461">
        <v>0</v>
      </c>
      <c r="S94" s="461">
        <v>2.1</v>
      </c>
      <c r="T94" s="461"/>
      <c r="U94" s="461">
        <v>1.75</v>
      </c>
      <c r="V94" s="482">
        <v>0</v>
      </c>
      <c r="W94" s="461">
        <v>0</v>
      </c>
      <c r="X94" s="461">
        <v>0</v>
      </c>
      <c r="Y94" s="461">
        <v>1.6</v>
      </c>
      <c r="Z94" s="461"/>
      <c r="AA94" s="461"/>
      <c r="AB94" s="461"/>
      <c r="AC94" s="461"/>
      <c r="AD94" s="461"/>
      <c r="AE94" s="461"/>
      <c r="AF94" s="461"/>
      <c r="AG94" s="460" t="s">
        <v>297</v>
      </c>
      <c r="AH94" s="460" t="s">
        <v>298</v>
      </c>
      <c r="AI94" s="460">
        <v>2</v>
      </c>
      <c r="AJ94" s="460">
        <v>4</v>
      </c>
      <c r="AK94" s="483">
        <v>0.33329999999999999</v>
      </c>
      <c r="AL94" s="483">
        <v>0.66659999999999997</v>
      </c>
      <c r="AM94" s="454" t="s">
        <v>1124</v>
      </c>
      <c r="AN94" s="460">
        <v>11</v>
      </c>
      <c r="AO94" s="460">
        <v>0</v>
      </c>
      <c r="AP94" s="460">
        <v>0</v>
      </c>
      <c r="AQ94" s="460">
        <v>0</v>
      </c>
      <c r="AR94" s="460">
        <v>0</v>
      </c>
      <c r="AS94" s="460">
        <v>0</v>
      </c>
      <c r="AT94" s="460">
        <v>0</v>
      </c>
      <c r="AU94" s="460">
        <v>0</v>
      </c>
      <c r="AV94" s="460">
        <v>0</v>
      </c>
      <c r="AW94" s="460">
        <v>0</v>
      </c>
      <c r="AX94" s="460">
        <v>0</v>
      </c>
      <c r="AY94" s="460">
        <v>0</v>
      </c>
      <c r="AZ94" s="454"/>
      <c r="BA94" s="460" t="s">
        <v>1278</v>
      </c>
      <c r="BB94" s="460">
        <v>12</v>
      </c>
      <c r="BC94" s="460" t="s">
        <v>1278</v>
      </c>
      <c r="BD94" s="460"/>
      <c r="BE94" s="460"/>
      <c r="BF94" s="460"/>
      <c r="BG94" s="455"/>
      <c r="BH94" s="454"/>
      <c r="BI94" s="460"/>
      <c r="BJ94" s="460" t="s">
        <v>4</v>
      </c>
      <c r="BK94" s="460"/>
      <c r="BL94" s="455"/>
      <c r="BM94" s="484" t="s">
        <v>430</v>
      </c>
      <c r="BN94" s="454" t="s">
        <v>368</v>
      </c>
      <c r="BO94" s="450"/>
    </row>
    <row r="95" spans="1:67" ht="13" customHeight="1" x14ac:dyDescent="0.2">
      <c r="A95" s="451">
        <v>2399</v>
      </c>
      <c r="B95" s="452">
        <v>44029</v>
      </c>
      <c r="C95" s="453" t="s">
        <v>295</v>
      </c>
      <c r="D95" s="454" t="s">
        <v>1113</v>
      </c>
      <c r="E95" s="465">
        <v>43984</v>
      </c>
      <c r="F95" s="455" t="s">
        <v>982</v>
      </c>
      <c r="G95" s="454" t="s">
        <v>1297</v>
      </c>
      <c r="H95" s="461">
        <v>74.25454545454545</v>
      </c>
      <c r="I95" s="458" t="s">
        <v>296</v>
      </c>
      <c r="J95" s="459">
        <v>6000</v>
      </c>
      <c r="K95" s="459">
        <v>12000</v>
      </c>
      <c r="L95" s="459">
        <v>84000</v>
      </c>
      <c r="M95" s="459">
        <v>84000</v>
      </c>
      <c r="N95" s="454"/>
      <c r="O95" s="461">
        <v>1.9363636363636361</v>
      </c>
      <c r="P95" s="461">
        <v>1.7999999999999998</v>
      </c>
      <c r="Q95" s="461">
        <v>1.6181818181818182</v>
      </c>
      <c r="R95" s="461">
        <v>0</v>
      </c>
      <c r="S95" s="461">
        <v>1.5272727272727271</v>
      </c>
      <c r="T95" s="461"/>
      <c r="U95" s="461">
        <v>1.7999999999999998</v>
      </c>
      <c r="V95" s="461">
        <v>1.7545454545454544</v>
      </c>
      <c r="W95" s="461">
        <v>1.5727272727272725</v>
      </c>
      <c r="X95" s="461">
        <v>0</v>
      </c>
      <c r="Y95" s="461">
        <v>1.4818181818181817</v>
      </c>
      <c r="Z95" s="461"/>
      <c r="AA95" s="461"/>
      <c r="AB95" s="461"/>
      <c r="AC95" s="461"/>
      <c r="AD95" s="461"/>
      <c r="AE95" s="461"/>
      <c r="AF95" s="461"/>
      <c r="AG95" s="460" t="s">
        <v>297</v>
      </c>
      <c r="AH95" s="460" t="s">
        <v>298</v>
      </c>
      <c r="AI95" s="460">
        <v>2</v>
      </c>
      <c r="AJ95" s="460">
        <v>4</v>
      </c>
      <c r="AK95" s="483">
        <v>0.33329999999999999</v>
      </c>
      <c r="AL95" s="483">
        <v>0.66659999999999997</v>
      </c>
      <c r="AM95" s="454" t="s">
        <v>1124</v>
      </c>
      <c r="AN95" s="460">
        <v>0</v>
      </c>
      <c r="AO95" s="460">
        <v>0</v>
      </c>
      <c r="AP95" s="460">
        <v>0</v>
      </c>
      <c r="AQ95" s="460">
        <v>0</v>
      </c>
      <c r="AR95" s="460">
        <v>0</v>
      </c>
      <c r="AS95" s="460">
        <v>0</v>
      </c>
      <c r="AT95" s="460">
        <v>0</v>
      </c>
      <c r="AU95" s="460">
        <v>0</v>
      </c>
      <c r="AV95" s="460">
        <v>0</v>
      </c>
      <c r="AW95" s="460">
        <v>0</v>
      </c>
      <c r="AX95" s="460">
        <v>0</v>
      </c>
      <c r="AY95" s="460">
        <v>0</v>
      </c>
      <c r="AZ95" s="460"/>
      <c r="BA95" s="460" t="s">
        <v>1278</v>
      </c>
      <c r="BB95" s="460"/>
      <c r="BC95" s="460" t="s">
        <v>1278</v>
      </c>
      <c r="BD95" s="460"/>
      <c r="BE95" s="460"/>
      <c r="BF95" s="460"/>
      <c r="BG95" s="455"/>
      <c r="BH95" s="454"/>
      <c r="BI95" s="460"/>
      <c r="BJ95" s="460" t="s">
        <v>4</v>
      </c>
      <c r="BK95" s="460"/>
      <c r="BL95" s="455"/>
      <c r="BM95" s="484" t="s">
        <v>1442</v>
      </c>
      <c r="BN95" s="454" t="s">
        <v>368</v>
      </c>
      <c r="BO95" s="450"/>
    </row>
    <row r="96" spans="1:67" ht="13" customHeight="1" x14ac:dyDescent="0.2">
      <c r="A96" s="451">
        <v>793</v>
      </c>
      <c r="B96" s="452">
        <v>44029</v>
      </c>
      <c r="C96" s="453" t="s">
        <v>295</v>
      </c>
      <c r="D96" s="454" t="s">
        <v>1113</v>
      </c>
      <c r="E96" s="465">
        <v>44013</v>
      </c>
      <c r="F96" s="455" t="s">
        <v>984</v>
      </c>
      <c r="G96" s="454" t="s">
        <v>1405</v>
      </c>
      <c r="H96" s="461">
        <v>91.281818181818167</v>
      </c>
      <c r="I96" s="458" t="s">
        <v>296</v>
      </c>
      <c r="J96" s="459">
        <v>6000</v>
      </c>
      <c r="K96" s="459">
        <v>12000</v>
      </c>
      <c r="L96" s="459">
        <v>84000</v>
      </c>
      <c r="M96" s="459">
        <v>84000</v>
      </c>
      <c r="N96" s="454"/>
      <c r="O96" s="461">
        <v>2.0363636363636366</v>
      </c>
      <c r="P96" s="461">
        <v>1.8999999999999997</v>
      </c>
      <c r="Q96" s="461">
        <v>1.6545454545454545</v>
      </c>
      <c r="R96" s="461">
        <v>0</v>
      </c>
      <c r="S96" s="461">
        <v>1.6363636363636362</v>
      </c>
      <c r="T96" s="461"/>
      <c r="U96" s="461">
        <v>1.6909090909090909</v>
      </c>
      <c r="V96" s="461">
        <v>1.6818181818181817</v>
      </c>
      <c r="W96" s="461">
        <v>1.6181818181818182</v>
      </c>
      <c r="X96" s="461">
        <v>0</v>
      </c>
      <c r="Y96" s="461">
        <v>1.5545454545454545</v>
      </c>
      <c r="Z96" s="461"/>
      <c r="AA96" s="461"/>
      <c r="AB96" s="461"/>
      <c r="AC96" s="461"/>
      <c r="AD96" s="461"/>
      <c r="AE96" s="461"/>
      <c r="AF96" s="461"/>
      <c r="AG96" s="460" t="s">
        <v>297</v>
      </c>
      <c r="AH96" s="460" t="s">
        <v>298</v>
      </c>
      <c r="AI96" s="460">
        <v>2</v>
      </c>
      <c r="AJ96" s="460">
        <v>4</v>
      </c>
      <c r="AK96" s="483">
        <v>0.33329999999999999</v>
      </c>
      <c r="AL96" s="483">
        <v>0.66659999999999997</v>
      </c>
      <c r="AM96" s="454" t="s">
        <v>1124</v>
      </c>
      <c r="AN96" s="460">
        <v>20</v>
      </c>
      <c r="AO96" s="460">
        <v>0</v>
      </c>
      <c r="AP96" s="460">
        <v>0</v>
      </c>
      <c r="AQ96" s="460">
        <v>0</v>
      </c>
      <c r="AR96" s="460">
        <v>0</v>
      </c>
      <c r="AS96" s="460">
        <v>0</v>
      </c>
      <c r="AT96" s="460">
        <v>0</v>
      </c>
      <c r="AU96" s="460">
        <v>0</v>
      </c>
      <c r="AV96" s="460">
        <v>0</v>
      </c>
      <c r="AW96" s="460">
        <v>0</v>
      </c>
      <c r="AX96" s="460">
        <v>0</v>
      </c>
      <c r="AY96" s="460">
        <v>0</v>
      </c>
      <c r="AZ96" s="454"/>
      <c r="BA96" s="460" t="s">
        <v>1278</v>
      </c>
      <c r="BB96" s="460"/>
      <c r="BC96" s="460" t="s">
        <v>1278</v>
      </c>
      <c r="BD96" s="460"/>
      <c r="BE96" s="460"/>
      <c r="BF96" s="460"/>
      <c r="BG96" s="455"/>
      <c r="BH96" s="454"/>
      <c r="BI96" s="460"/>
      <c r="BJ96" s="460" t="s">
        <v>4</v>
      </c>
      <c r="BK96" s="460"/>
      <c r="BL96" s="455"/>
      <c r="BM96" s="484" t="s">
        <v>430</v>
      </c>
      <c r="BN96" s="454" t="s">
        <v>368</v>
      </c>
      <c r="BO96" s="450"/>
    </row>
    <row r="97" spans="1:67" ht="13" customHeight="1" x14ac:dyDescent="0.2">
      <c r="A97" s="451">
        <v>2219</v>
      </c>
      <c r="B97" s="452">
        <v>44032</v>
      </c>
      <c r="C97" s="453" t="s">
        <v>295</v>
      </c>
      <c r="D97" s="454" t="s">
        <v>1113</v>
      </c>
      <c r="E97" s="465">
        <v>43831</v>
      </c>
      <c r="F97" s="454" t="s">
        <v>985</v>
      </c>
      <c r="G97" s="454" t="s">
        <v>1174</v>
      </c>
      <c r="H97" s="461">
        <v>85</v>
      </c>
      <c r="I97" s="467" t="s">
        <v>296</v>
      </c>
      <c r="J97" s="459">
        <v>6000</v>
      </c>
      <c r="K97" s="459">
        <v>12000</v>
      </c>
      <c r="L97" s="459">
        <v>84000</v>
      </c>
      <c r="M97" s="459">
        <v>84000</v>
      </c>
      <c r="N97" s="468"/>
      <c r="O97" s="461">
        <v>1.8181818181818181</v>
      </c>
      <c r="P97" s="461">
        <v>1.718181818181818</v>
      </c>
      <c r="Q97" s="461">
        <v>1.4090909090909089</v>
      </c>
      <c r="R97" s="461">
        <v>0</v>
      </c>
      <c r="S97" s="461">
        <v>1.2999999999999998</v>
      </c>
      <c r="T97" s="456"/>
      <c r="U97" s="461">
        <v>1.6727272727272726</v>
      </c>
      <c r="V97" s="461">
        <v>1.3636363636363635</v>
      </c>
      <c r="W97" s="461">
        <v>1.3090909090909089</v>
      </c>
      <c r="X97" s="461">
        <v>0</v>
      </c>
      <c r="Y97" s="461">
        <v>1.2</v>
      </c>
      <c r="Z97" s="456"/>
      <c r="AA97" s="461"/>
      <c r="AB97" s="461"/>
      <c r="AC97" s="461"/>
      <c r="AD97" s="461"/>
      <c r="AE97" s="461"/>
      <c r="AF97" s="456"/>
      <c r="AG97" s="470" t="s">
        <v>297</v>
      </c>
      <c r="AH97" s="470" t="s">
        <v>298</v>
      </c>
      <c r="AI97" s="460">
        <v>2</v>
      </c>
      <c r="AJ97" s="460">
        <v>4</v>
      </c>
      <c r="AK97" s="483">
        <v>0.33329999999999999</v>
      </c>
      <c r="AL97" s="483">
        <v>0.66659999999999997</v>
      </c>
      <c r="AM97" s="454" t="s">
        <v>1124</v>
      </c>
      <c r="AN97" s="460">
        <v>0</v>
      </c>
      <c r="AO97" s="460">
        <v>0</v>
      </c>
      <c r="AP97" s="460">
        <v>5</v>
      </c>
      <c r="AQ97" s="460">
        <v>0</v>
      </c>
      <c r="AR97" s="460">
        <v>0</v>
      </c>
      <c r="AS97" s="460">
        <v>0</v>
      </c>
      <c r="AT97" s="460">
        <v>0</v>
      </c>
      <c r="AU97" s="460">
        <v>0</v>
      </c>
      <c r="AV97" s="460">
        <v>0</v>
      </c>
      <c r="AW97" s="460">
        <v>0</v>
      </c>
      <c r="AX97" s="460">
        <v>0</v>
      </c>
      <c r="AY97" s="460">
        <v>0</v>
      </c>
      <c r="AZ97" s="460"/>
      <c r="BA97" s="460" t="s">
        <v>1278</v>
      </c>
      <c r="BB97" s="460">
        <v>12</v>
      </c>
      <c r="BC97" s="460" t="s">
        <v>1278</v>
      </c>
      <c r="BD97" s="460"/>
      <c r="BE97" s="460"/>
      <c r="BF97" s="460"/>
      <c r="BG97" s="455"/>
      <c r="BH97" s="454"/>
      <c r="BI97" s="460"/>
      <c r="BJ97" s="460" t="s">
        <v>411</v>
      </c>
      <c r="BK97" s="460"/>
      <c r="BL97" s="455"/>
      <c r="BM97" s="454" t="s">
        <v>1443</v>
      </c>
      <c r="BN97" s="454" t="s">
        <v>368</v>
      </c>
      <c r="BO97" s="450"/>
    </row>
    <row r="98" spans="1:67" ht="13" customHeight="1" x14ac:dyDescent="0.2">
      <c r="A98" s="451">
        <v>1919</v>
      </c>
      <c r="B98" s="452">
        <v>44028</v>
      </c>
      <c r="C98" s="453" t="s">
        <v>295</v>
      </c>
      <c r="D98" s="454" t="s">
        <v>1113</v>
      </c>
      <c r="E98" s="452">
        <v>43831</v>
      </c>
      <c r="F98" s="455" t="s">
        <v>987</v>
      </c>
      <c r="G98" s="454" t="s">
        <v>1127</v>
      </c>
      <c r="H98" s="461">
        <v>65.823999999999998</v>
      </c>
      <c r="I98" s="458" t="s">
        <v>296</v>
      </c>
      <c r="J98" s="459">
        <v>6000</v>
      </c>
      <c r="K98" s="459">
        <v>12000</v>
      </c>
      <c r="L98" s="459">
        <v>12000</v>
      </c>
      <c r="M98" s="459">
        <v>12000</v>
      </c>
      <c r="N98" s="454"/>
      <c r="O98" s="461">
        <v>2.0739999999999998</v>
      </c>
      <c r="P98" s="461">
        <v>1.9719999999999998</v>
      </c>
      <c r="Q98" s="482">
        <v>0</v>
      </c>
      <c r="R98" s="461">
        <v>0</v>
      </c>
      <c r="S98" s="461">
        <v>1.6659999999999999</v>
      </c>
      <c r="T98" s="461"/>
      <c r="U98" s="461">
        <v>1.7</v>
      </c>
      <c r="V98" s="461">
        <v>1.6659999999999999</v>
      </c>
      <c r="W98" s="482">
        <v>0</v>
      </c>
      <c r="X98" s="461">
        <v>0</v>
      </c>
      <c r="Y98" s="461">
        <v>1.5980000000000001</v>
      </c>
      <c r="Z98" s="461"/>
      <c r="AA98" s="461"/>
      <c r="AB98" s="461"/>
      <c r="AC98" s="461"/>
      <c r="AD98" s="461"/>
      <c r="AE98" s="461"/>
      <c r="AF98" s="461"/>
      <c r="AG98" s="460" t="s">
        <v>297</v>
      </c>
      <c r="AH98" s="460" t="s">
        <v>298</v>
      </c>
      <c r="AI98" s="460">
        <v>2</v>
      </c>
      <c r="AJ98" s="460">
        <v>4</v>
      </c>
      <c r="AK98" s="483">
        <v>0.33329999999999999</v>
      </c>
      <c r="AL98" s="483">
        <v>0.66659999999999997</v>
      </c>
      <c r="AM98" s="454" t="s">
        <v>1124</v>
      </c>
      <c r="AN98" s="460">
        <v>0</v>
      </c>
      <c r="AO98" s="460">
        <v>0</v>
      </c>
      <c r="AP98" s="460">
        <v>0</v>
      </c>
      <c r="AQ98" s="460">
        <v>0</v>
      </c>
      <c r="AR98" s="460">
        <v>0</v>
      </c>
      <c r="AS98" s="460">
        <v>0</v>
      </c>
      <c r="AT98" s="460">
        <v>0</v>
      </c>
      <c r="AU98" s="460">
        <v>0</v>
      </c>
      <c r="AV98" s="460">
        <v>0</v>
      </c>
      <c r="AW98" s="460">
        <v>0</v>
      </c>
      <c r="AX98" s="460">
        <v>0</v>
      </c>
      <c r="AY98" s="460">
        <v>0</v>
      </c>
      <c r="AZ98" s="460"/>
      <c r="BA98" s="460" t="s">
        <v>1278</v>
      </c>
      <c r="BB98" s="460"/>
      <c r="BC98" s="460" t="s">
        <v>1278</v>
      </c>
      <c r="BD98" s="460"/>
      <c r="BE98" s="460"/>
      <c r="BF98" s="460"/>
      <c r="BG98" s="455"/>
      <c r="BH98" s="454"/>
      <c r="BI98" s="460"/>
      <c r="BJ98" s="460" t="s">
        <v>4</v>
      </c>
      <c r="BK98" s="460">
        <v>1</v>
      </c>
      <c r="BL98" s="455"/>
      <c r="BM98" s="454" t="s">
        <v>1355</v>
      </c>
      <c r="BN98" s="454" t="s">
        <v>368</v>
      </c>
      <c r="BO98" s="450"/>
    </row>
    <row r="99" spans="1:67" ht="13" customHeight="1" x14ac:dyDescent="0.2">
      <c r="A99" s="451">
        <v>1687</v>
      </c>
      <c r="B99" s="452">
        <v>44029</v>
      </c>
      <c r="C99" s="453" t="s">
        <v>295</v>
      </c>
      <c r="D99" s="454" t="s">
        <v>1113</v>
      </c>
      <c r="E99" s="452">
        <v>44007</v>
      </c>
      <c r="F99" s="455" t="s">
        <v>1106</v>
      </c>
      <c r="G99" s="454" t="s">
        <v>2</v>
      </c>
      <c r="H99" s="461">
        <v>75.999999999999986</v>
      </c>
      <c r="I99" s="458" t="s">
        <v>296</v>
      </c>
      <c r="J99" s="459">
        <v>6000</v>
      </c>
      <c r="K99" s="459">
        <v>6000</v>
      </c>
      <c r="L99" s="459">
        <v>6000</v>
      </c>
      <c r="M99" s="459">
        <v>6000</v>
      </c>
      <c r="N99" s="454"/>
      <c r="O99" s="461">
        <v>1.4999999999999998</v>
      </c>
      <c r="P99" s="482">
        <v>0</v>
      </c>
      <c r="Q99" s="461">
        <v>0</v>
      </c>
      <c r="R99" s="461">
        <v>0</v>
      </c>
      <c r="S99" s="461">
        <v>1.4363636363636363</v>
      </c>
      <c r="T99" s="461"/>
      <c r="U99" s="461">
        <v>1.2545454545454544</v>
      </c>
      <c r="V99" s="482">
        <v>0</v>
      </c>
      <c r="W99" s="461">
        <v>0</v>
      </c>
      <c r="X99" s="461">
        <v>0</v>
      </c>
      <c r="Y99" s="461">
        <v>1.2545454545454544</v>
      </c>
      <c r="Z99" s="461"/>
      <c r="AA99" s="461"/>
      <c r="AB99" s="461"/>
      <c r="AC99" s="461"/>
      <c r="AD99" s="461"/>
      <c r="AE99" s="461"/>
      <c r="AF99" s="461"/>
      <c r="AG99" s="460" t="s">
        <v>297</v>
      </c>
      <c r="AH99" s="460" t="s">
        <v>298</v>
      </c>
      <c r="AI99" s="460">
        <v>2</v>
      </c>
      <c r="AJ99" s="460">
        <v>4</v>
      </c>
      <c r="AK99" s="483">
        <v>0.33329999999999999</v>
      </c>
      <c r="AL99" s="483">
        <v>0.66659999999999997</v>
      </c>
      <c r="AM99" s="454" t="s">
        <v>1124</v>
      </c>
      <c r="AN99" s="460">
        <v>0</v>
      </c>
      <c r="AO99" s="460">
        <v>0</v>
      </c>
      <c r="AP99" s="460">
        <v>0</v>
      </c>
      <c r="AQ99" s="460">
        <v>0</v>
      </c>
      <c r="AR99" s="460">
        <v>0</v>
      </c>
      <c r="AS99" s="460">
        <v>0</v>
      </c>
      <c r="AT99" s="460">
        <v>0</v>
      </c>
      <c r="AU99" s="460">
        <v>0</v>
      </c>
      <c r="AV99" s="460">
        <v>0</v>
      </c>
      <c r="AW99" s="460">
        <v>0</v>
      </c>
      <c r="AX99" s="460">
        <v>0</v>
      </c>
      <c r="AY99" s="460">
        <v>0</v>
      </c>
      <c r="AZ99" s="460"/>
      <c r="BA99" s="460" t="s">
        <v>1278</v>
      </c>
      <c r="BB99" s="460"/>
      <c r="BC99" s="460" t="s">
        <v>1278</v>
      </c>
      <c r="BD99" s="460"/>
      <c r="BE99" s="460"/>
      <c r="BF99" s="455"/>
      <c r="BG99" s="454"/>
      <c r="BH99" s="460"/>
      <c r="BI99" s="460"/>
      <c r="BJ99" s="460" t="s">
        <v>4</v>
      </c>
      <c r="BK99" s="460">
        <v>1</v>
      </c>
      <c r="BL99" s="454"/>
      <c r="BM99" s="481" t="s">
        <v>1444</v>
      </c>
      <c r="BN99" s="454" t="s">
        <v>368</v>
      </c>
      <c r="BO99" s="450"/>
    </row>
    <row r="100" spans="1:67" ht="13" customHeight="1" x14ac:dyDescent="0.2">
      <c r="A100" s="451">
        <v>2211</v>
      </c>
      <c r="B100" s="452">
        <v>44029</v>
      </c>
      <c r="C100" s="453" t="s">
        <v>295</v>
      </c>
      <c r="D100" s="454" t="s">
        <v>1113</v>
      </c>
      <c r="E100" s="465">
        <v>44013</v>
      </c>
      <c r="F100" s="454" t="s">
        <v>34</v>
      </c>
      <c r="G100" s="454" t="s">
        <v>1178</v>
      </c>
      <c r="H100" s="461">
        <v>80.599999999999994</v>
      </c>
      <c r="I100" s="467"/>
      <c r="J100" s="488"/>
      <c r="K100" s="488"/>
      <c r="L100" s="469"/>
      <c r="M100" s="469"/>
      <c r="N100" s="468"/>
      <c r="O100" s="461">
        <v>1.7909090909090908</v>
      </c>
      <c r="P100" s="461">
        <v>0</v>
      </c>
      <c r="Q100" s="461">
        <v>0</v>
      </c>
      <c r="R100" s="461">
        <v>0</v>
      </c>
      <c r="S100" s="461">
        <v>0</v>
      </c>
      <c r="T100" s="456"/>
      <c r="U100" s="461">
        <v>1.6090909090909089</v>
      </c>
      <c r="V100" s="461">
        <v>0</v>
      </c>
      <c r="W100" s="461">
        <v>0</v>
      </c>
      <c r="X100" s="461">
        <v>0</v>
      </c>
      <c r="Y100" s="461">
        <v>0</v>
      </c>
      <c r="Z100" s="456"/>
      <c r="AA100" s="461"/>
      <c r="AB100" s="461"/>
      <c r="AC100" s="461"/>
      <c r="AD100" s="461"/>
      <c r="AE100" s="461"/>
      <c r="AF100" s="456"/>
      <c r="AG100" s="470" t="s">
        <v>297</v>
      </c>
      <c r="AH100" s="470" t="s">
        <v>298</v>
      </c>
      <c r="AI100" s="460">
        <v>2</v>
      </c>
      <c r="AJ100" s="460">
        <v>4</v>
      </c>
      <c r="AK100" s="483">
        <v>0.33329999999999999</v>
      </c>
      <c r="AL100" s="483">
        <v>0.66659999999999997</v>
      </c>
      <c r="AM100" s="454" t="s">
        <v>1124</v>
      </c>
      <c r="AN100" s="460">
        <v>0</v>
      </c>
      <c r="AO100" s="460">
        <v>0</v>
      </c>
      <c r="AP100" s="460">
        <v>5</v>
      </c>
      <c r="AQ100" s="460">
        <v>0</v>
      </c>
      <c r="AR100" s="460">
        <v>0</v>
      </c>
      <c r="AS100" s="460">
        <v>0</v>
      </c>
      <c r="AT100" s="460">
        <v>0</v>
      </c>
      <c r="AU100" s="460">
        <v>0</v>
      </c>
      <c r="AV100" s="460">
        <v>0</v>
      </c>
      <c r="AW100" s="460">
        <v>0</v>
      </c>
      <c r="AX100" s="460">
        <v>0</v>
      </c>
      <c r="AY100" s="460">
        <v>0</v>
      </c>
      <c r="AZ100" s="460"/>
      <c r="BA100" s="460" t="s">
        <v>1278</v>
      </c>
      <c r="BB100" s="460"/>
      <c r="BC100" s="460" t="s">
        <v>1278</v>
      </c>
      <c r="BD100" s="460"/>
      <c r="BE100" s="460"/>
      <c r="BF100" s="460"/>
      <c r="BG100" s="455"/>
      <c r="BH100" s="454"/>
      <c r="BI100" s="460"/>
      <c r="BJ100" s="460" t="s">
        <v>411</v>
      </c>
      <c r="BK100" s="460"/>
      <c r="BL100" s="455" t="s">
        <v>47</v>
      </c>
      <c r="BM100" s="484" t="s">
        <v>430</v>
      </c>
      <c r="BN100" s="454" t="s">
        <v>368</v>
      </c>
      <c r="BO100" s="450"/>
    </row>
    <row r="101" spans="1:67" ht="13" customHeight="1" x14ac:dyDescent="0.2">
      <c r="A101" s="451">
        <v>2466</v>
      </c>
      <c r="B101" s="452">
        <v>44028</v>
      </c>
      <c r="C101" s="453" t="s">
        <v>295</v>
      </c>
      <c r="D101" s="454" t="s">
        <v>1113</v>
      </c>
      <c r="E101" s="465">
        <v>44013</v>
      </c>
      <c r="F101" s="454" t="s">
        <v>1274</v>
      </c>
      <c r="G101" s="454" t="s">
        <v>1275</v>
      </c>
      <c r="H101" s="461">
        <v>85.999999999999986</v>
      </c>
      <c r="I101" s="467" t="s">
        <v>296</v>
      </c>
      <c r="J101" s="469">
        <v>6000</v>
      </c>
      <c r="K101" s="469">
        <v>12000</v>
      </c>
      <c r="L101" s="469">
        <v>12000</v>
      </c>
      <c r="M101" s="469">
        <v>12000</v>
      </c>
      <c r="N101" s="468"/>
      <c r="O101" s="461">
        <v>1.9818181818181817</v>
      </c>
      <c r="P101" s="461">
        <v>1.918181818181818</v>
      </c>
      <c r="Q101" s="482">
        <v>0</v>
      </c>
      <c r="R101" s="461">
        <v>0</v>
      </c>
      <c r="S101" s="461">
        <v>1.6181818181818182</v>
      </c>
      <c r="T101" s="456"/>
      <c r="U101" s="461">
        <v>1.9818181818181817</v>
      </c>
      <c r="V101" s="461">
        <v>1.918181818181818</v>
      </c>
      <c r="W101" s="482">
        <v>0</v>
      </c>
      <c r="X101" s="461">
        <v>0</v>
      </c>
      <c r="Y101" s="461">
        <v>1.6181818181818182</v>
      </c>
      <c r="Z101" s="456"/>
      <c r="AA101" s="461"/>
      <c r="AB101" s="461"/>
      <c r="AC101" s="461"/>
      <c r="AD101" s="461"/>
      <c r="AE101" s="461"/>
      <c r="AF101" s="456"/>
      <c r="AG101" s="470" t="s">
        <v>1278</v>
      </c>
      <c r="AH101" s="470"/>
      <c r="AI101" s="460">
        <v>3</v>
      </c>
      <c r="AJ101" s="460">
        <v>3</v>
      </c>
      <c r="AK101" s="480">
        <v>0.5</v>
      </c>
      <c r="AL101" s="480">
        <v>0.5</v>
      </c>
      <c r="AM101" s="454"/>
      <c r="AN101" s="460">
        <v>0</v>
      </c>
      <c r="AO101" s="460">
        <v>0</v>
      </c>
      <c r="AP101" s="460">
        <v>0</v>
      </c>
      <c r="AQ101" s="460">
        <v>15</v>
      </c>
      <c r="AR101" s="460">
        <v>0</v>
      </c>
      <c r="AS101" s="460">
        <v>0</v>
      </c>
      <c r="AT101" s="460">
        <v>0</v>
      </c>
      <c r="AU101" s="460">
        <v>0</v>
      </c>
      <c r="AV101" s="460">
        <v>0</v>
      </c>
      <c r="AW101" s="460">
        <v>0</v>
      </c>
      <c r="AX101" s="460">
        <v>0</v>
      </c>
      <c r="AY101" s="460">
        <v>0</v>
      </c>
      <c r="AZ101" s="460"/>
      <c r="BA101" s="460" t="s">
        <v>1278</v>
      </c>
      <c r="BB101" s="460"/>
      <c r="BC101" s="460" t="s">
        <v>1278</v>
      </c>
      <c r="BD101" s="460"/>
      <c r="BE101" s="460"/>
      <c r="BF101" s="460"/>
      <c r="BG101" s="455"/>
      <c r="BH101" s="454"/>
      <c r="BI101" s="460"/>
      <c r="BJ101" s="460" t="s">
        <v>411</v>
      </c>
      <c r="BK101" s="460">
        <v>1</v>
      </c>
      <c r="BL101" s="455"/>
      <c r="BM101" s="454" t="s">
        <v>1445</v>
      </c>
      <c r="BN101" s="454" t="s">
        <v>368</v>
      </c>
      <c r="BO101" s="450"/>
    </row>
    <row r="102" spans="1:67" ht="13" customHeight="1" x14ac:dyDescent="0.2">
      <c r="A102" s="451">
        <v>2334</v>
      </c>
      <c r="B102" s="452">
        <v>44028</v>
      </c>
      <c r="C102" s="453" t="s">
        <v>295</v>
      </c>
      <c r="D102" s="454" t="s">
        <v>1113</v>
      </c>
      <c r="E102" s="465">
        <v>44013</v>
      </c>
      <c r="F102" s="454" t="s">
        <v>1291</v>
      </c>
      <c r="G102" s="454" t="s">
        <v>1181</v>
      </c>
      <c r="H102" s="461">
        <v>77.172727272727272</v>
      </c>
      <c r="I102" s="467"/>
      <c r="J102" s="469"/>
      <c r="K102" s="469"/>
      <c r="L102" s="469"/>
      <c r="M102" s="469"/>
      <c r="N102" s="468"/>
      <c r="O102" s="461">
        <v>1.7</v>
      </c>
      <c r="P102" s="461">
        <v>0</v>
      </c>
      <c r="Q102" s="461">
        <v>0</v>
      </c>
      <c r="R102" s="461">
        <v>0</v>
      </c>
      <c r="S102" s="461">
        <v>0</v>
      </c>
      <c r="T102" s="456"/>
      <c r="U102" s="461">
        <v>1.5909090909090908</v>
      </c>
      <c r="V102" s="461">
        <v>0</v>
      </c>
      <c r="W102" s="461">
        <v>0</v>
      </c>
      <c r="X102" s="461">
        <v>0</v>
      </c>
      <c r="Y102" s="461">
        <v>0</v>
      </c>
      <c r="Z102" s="456"/>
      <c r="AA102" s="461"/>
      <c r="AB102" s="461"/>
      <c r="AC102" s="461"/>
      <c r="AD102" s="461"/>
      <c r="AE102" s="461"/>
      <c r="AF102" s="456"/>
      <c r="AG102" s="470" t="s">
        <v>297</v>
      </c>
      <c r="AH102" s="470" t="s">
        <v>298</v>
      </c>
      <c r="AI102" s="460">
        <v>2</v>
      </c>
      <c r="AJ102" s="460">
        <v>4</v>
      </c>
      <c r="AK102" s="483">
        <v>0.33329999999999999</v>
      </c>
      <c r="AL102" s="483">
        <v>0.66659999999999997</v>
      </c>
      <c r="AM102" s="454" t="s">
        <v>1124</v>
      </c>
      <c r="AN102" s="460">
        <v>0</v>
      </c>
      <c r="AO102" s="460">
        <v>0</v>
      </c>
      <c r="AP102" s="460">
        <v>0</v>
      </c>
      <c r="AQ102" s="460">
        <v>0</v>
      </c>
      <c r="AR102" s="460">
        <v>0</v>
      </c>
      <c r="AS102" s="460">
        <v>0</v>
      </c>
      <c r="AT102" s="460">
        <v>0</v>
      </c>
      <c r="AU102" s="460">
        <v>0</v>
      </c>
      <c r="AV102" s="460">
        <v>0</v>
      </c>
      <c r="AW102" s="460">
        <v>0</v>
      </c>
      <c r="AX102" s="460">
        <v>0</v>
      </c>
      <c r="AY102" s="460">
        <v>0</v>
      </c>
      <c r="AZ102" s="460"/>
      <c r="BA102" s="460" t="s">
        <v>1278</v>
      </c>
      <c r="BB102" s="460"/>
      <c r="BC102" s="460" t="s">
        <v>1278</v>
      </c>
      <c r="BD102" s="460"/>
      <c r="BE102" s="460"/>
      <c r="BF102" s="460"/>
      <c r="BG102" s="455"/>
      <c r="BH102" s="454"/>
      <c r="BI102" s="460"/>
      <c r="BJ102" s="460" t="s">
        <v>4</v>
      </c>
      <c r="BK102" s="460"/>
      <c r="BL102" s="455" t="s">
        <v>1284</v>
      </c>
      <c r="BM102" s="484" t="s">
        <v>430</v>
      </c>
      <c r="BN102" s="454" t="s">
        <v>408</v>
      </c>
      <c r="BO102" s="450"/>
    </row>
    <row r="103" spans="1:67" ht="13" customHeight="1" x14ac:dyDescent="0.2">
      <c r="A103" s="451">
        <v>2389</v>
      </c>
      <c r="B103" s="452">
        <v>44028</v>
      </c>
      <c r="C103" s="453" t="s">
        <v>295</v>
      </c>
      <c r="D103" s="454" t="s">
        <v>1114</v>
      </c>
      <c r="E103" s="452">
        <v>44013</v>
      </c>
      <c r="F103" s="455" t="s">
        <v>1044</v>
      </c>
      <c r="G103" s="454" t="s">
        <v>1277</v>
      </c>
      <c r="H103" s="461">
        <v>86.427272727272708</v>
      </c>
      <c r="I103" s="458" t="s">
        <v>296</v>
      </c>
      <c r="J103" s="459">
        <v>6000</v>
      </c>
      <c r="K103" s="459">
        <v>12000</v>
      </c>
      <c r="L103" s="459">
        <v>84000</v>
      </c>
      <c r="M103" s="459">
        <v>84000</v>
      </c>
      <c r="N103" s="454"/>
      <c r="O103" s="461">
        <v>1.8545454545454545</v>
      </c>
      <c r="P103" s="461">
        <v>1.8090909090909089</v>
      </c>
      <c r="Q103" s="461">
        <v>1.3909090909090909</v>
      </c>
      <c r="R103" s="487">
        <v>0</v>
      </c>
      <c r="S103" s="461">
        <v>1.1909090909090909</v>
      </c>
      <c r="T103" s="461"/>
      <c r="U103" s="461">
        <v>1.5999999999999999</v>
      </c>
      <c r="V103" s="461">
        <v>1.4272727272727272</v>
      </c>
      <c r="W103" s="461">
        <v>1.3181818181818181</v>
      </c>
      <c r="X103" s="487">
        <v>0</v>
      </c>
      <c r="Y103" s="461">
        <v>1.1272727272727272</v>
      </c>
      <c r="Z103" s="461"/>
      <c r="AA103" s="461"/>
      <c r="AB103" s="461"/>
      <c r="AC103" s="461"/>
      <c r="AD103" s="461"/>
      <c r="AE103" s="461"/>
      <c r="AF103" s="461"/>
      <c r="AG103" s="460" t="s">
        <v>297</v>
      </c>
      <c r="AH103" s="460" t="s">
        <v>298</v>
      </c>
      <c r="AI103" s="460">
        <v>2</v>
      </c>
      <c r="AJ103" s="460">
        <v>4</v>
      </c>
      <c r="AK103" s="483">
        <v>0.33329999999999999</v>
      </c>
      <c r="AL103" s="483">
        <v>0.66659999999999997</v>
      </c>
      <c r="AM103" s="454" t="s">
        <v>1124</v>
      </c>
      <c r="AN103" s="460">
        <v>0</v>
      </c>
      <c r="AO103" s="460">
        <v>0</v>
      </c>
      <c r="AP103" s="460">
        <v>0</v>
      </c>
      <c r="AQ103" s="460">
        <v>0</v>
      </c>
      <c r="AR103" s="460">
        <v>0</v>
      </c>
      <c r="AS103" s="460">
        <v>0</v>
      </c>
      <c r="AT103" s="460">
        <v>0</v>
      </c>
      <c r="AU103" s="460">
        <v>0</v>
      </c>
      <c r="AV103" s="460">
        <v>0</v>
      </c>
      <c r="AW103" s="460">
        <v>0</v>
      </c>
      <c r="AX103" s="460">
        <v>0</v>
      </c>
      <c r="AY103" s="460">
        <v>0</v>
      </c>
      <c r="AZ103" s="460"/>
      <c r="BA103" s="460" t="s">
        <v>1278</v>
      </c>
      <c r="BB103" s="460"/>
      <c r="BC103" s="460" t="s">
        <v>1278</v>
      </c>
      <c r="BD103" s="460"/>
      <c r="BE103" s="460"/>
      <c r="BF103" s="460"/>
      <c r="BG103" s="455"/>
      <c r="BH103" s="454"/>
      <c r="BI103" s="460"/>
      <c r="BJ103" s="460" t="s">
        <v>4</v>
      </c>
      <c r="BK103" s="460"/>
      <c r="BL103" s="455"/>
      <c r="BM103" s="454" t="s">
        <v>1446</v>
      </c>
      <c r="BN103" s="454" t="s">
        <v>368</v>
      </c>
      <c r="BO103" s="450"/>
    </row>
    <row r="104" spans="1:67" ht="13" customHeight="1" x14ac:dyDescent="0.2">
      <c r="A104" s="451">
        <v>2501</v>
      </c>
      <c r="B104" s="452">
        <v>44029</v>
      </c>
      <c r="C104" s="453" t="s">
        <v>295</v>
      </c>
      <c r="D104" s="454" t="s">
        <v>1114</v>
      </c>
      <c r="E104" s="452">
        <v>44013</v>
      </c>
      <c r="F104" s="455" t="s">
        <v>1046</v>
      </c>
      <c r="G104" s="454" t="s">
        <v>1280</v>
      </c>
      <c r="H104" s="461">
        <v>72.999999999999986</v>
      </c>
      <c r="I104" s="458" t="s">
        <v>296</v>
      </c>
      <c r="J104" s="459">
        <v>6000</v>
      </c>
      <c r="K104" s="459">
        <v>6000</v>
      </c>
      <c r="L104" s="459">
        <v>6000</v>
      </c>
      <c r="M104" s="459">
        <v>6000</v>
      </c>
      <c r="N104" s="454"/>
      <c r="O104" s="461">
        <v>2.2999999999999998</v>
      </c>
      <c r="P104" s="482">
        <v>0</v>
      </c>
      <c r="Q104" s="461">
        <v>0</v>
      </c>
      <c r="R104" s="461">
        <v>0</v>
      </c>
      <c r="S104" s="461">
        <v>1.7</v>
      </c>
      <c r="T104" s="461"/>
      <c r="U104" s="461">
        <v>2.1</v>
      </c>
      <c r="V104" s="482">
        <v>0</v>
      </c>
      <c r="W104" s="461">
        <v>0</v>
      </c>
      <c r="X104" s="461">
        <v>0</v>
      </c>
      <c r="Y104" s="461">
        <v>1.7</v>
      </c>
      <c r="Z104" s="461"/>
      <c r="AA104" s="461"/>
      <c r="AB104" s="461"/>
      <c r="AC104" s="461"/>
      <c r="AD104" s="461"/>
      <c r="AE104" s="461"/>
      <c r="AF104" s="461"/>
      <c r="AG104" s="460" t="s">
        <v>297</v>
      </c>
      <c r="AH104" s="460" t="s">
        <v>298</v>
      </c>
      <c r="AI104" s="460">
        <v>2</v>
      </c>
      <c r="AJ104" s="460">
        <v>4</v>
      </c>
      <c r="AK104" s="483">
        <v>0.33329999999999999</v>
      </c>
      <c r="AL104" s="483">
        <v>0.66659999999999997</v>
      </c>
      <c r="AM104" s="454" t="s">
        <v>1124</v>
      </c>
      <c r="AN104" s="460">
        <v>0</v>
      </c>
      <c r="AO104" s="460">
        <v>0</v>
      </c>
      <c r="AP104" s="460">
        <v>0</v>
      </c>
      <c r="AQ104" s="460">
        <v>0</v>
      </c>
      <c r="AR104" s="460">
        <v>0</v>
      </c>
      <c r="AS104" s="460">
        <v>0</v>
      </c>
      <c r="AT104" s="460">
        <v>0</v>
      </c>
      <c r="AU104" s="460">
        <v>0</v>
      </c>
      <c r="AV104" s="460">
        <v>0</v>
      </c>
      <c r="AW104" s="460">
        <v>0</v>
      </c>
      <c r="AX104" s="460">
        <v>0</v>
      </c>
      <c r="AY104" s="460">
        <v>0</v>
      </c>
      <c r="AZ104" s="454"/>
      <c r="BA104" s="460" t="s">
        <v>1278</v>
      </c>
      <c r="BB104" s="460"/>
      <c r="BC104" s="460" t="s">
        <v>1278</v>
      </c>
      <c r="BD104" s="460"/>
      <c r="BE104" s="460"/>
      <c r="BF104" s="460"/>
      <c r="BG104" s="455"/>
      <c r="BH104" s="454"/>
      <c r="BI104" s="460"/>
      <c r="BJ104" s="460" t="s">
        <v>4</v>
      </c>
      <c r="BK104" s="460"/>
      <c r="BL104" s="455"/>
      <c r="BM104" s="454" t="s">
        <v>430</v>
      </c>
      <c r="BN104" s="454" t="s">
        <v>368</v>
      </c>
      <c r="BO104" s="450"/>
    </row>
    <row r="105" spans="1:67" ht="13" customHeight="1" x14ac:dyDescent="0.2">
      <c r="A105" s="451">
        <v>2608</v>
      </c>
      <c r="B105" s="452">
        <v>44028</v>
      </c>
      <c r="C105" s="453" t="s">
        <v>295</v>
      </c>
      <c r="D105" s="454" t="s">
        <v>1114</v>
      </c>
      <c r="E105" s="452">
        <v>43910</v>
      </c>
      <c r="F105" s="455" t="s">
        <v>1048</v>
      </c>
      <c r="G105" s="454" t="s">
        <v>1397</v>
      </c>
      <c r="H105" s="461">
        <v>61.954545454545453</v>
      </c>
      <c r="I105" s="458" t="s">
        <v>296</v>
      </c>
      <c r="J105" s="459">
        <v>6000</v>
      </c>
      <c r="K105" s="459">
        <v>12000</v>
      </c>
      <c r="L105" s="459">
        <v>12000</v>
      </c>
      <c r="M105" s="459">
        <v>12000</v>
      </c>
      <c r="N105" s="454"/>
      <c r="O105" s="461">
        <v>2.2727272727272725</v>
      </c>
      <c r="P105" s="461">
        <v>1.9545454545454544</v>
      </c>
      <c r="Q105" s="482">
        <v>0</v>
      </c>
      <c r="R105" s="461">
        <v>0</v>
      </c>
      <c r="S105" s="461">
        <v>1.4727272727272727</v>
      </c>
      <c r="T105" s="461"/>
      <c r="U105" s="461">
        <v>1.5999999999999999</v>
      </c>
      <c r="V105" s="461">
        <v>1.5636363636363635</v>
      </c>
      <c r="W105" s="482">
        <v>0</v>
      </c>
      <c r="X105" s="461">
        <v>0</v>
      </c>
      <c r="Y105" s="461">
        <v>1.4727272727272727</v>
      </c>
      <c r="Z105" s="461"/>
      <c r="AA105" s="461"/>
      <c r="AB105" s="461"/>
      <c r="AC105" s="461"/>
      <c r="AD105" s="461"/>
      <c r="AE105" s="461"/>
      <c r="AF105" s="461"/>
      <c r="AG105" s="460" t="s">
        <v>297</v>
      </c>
      <c r="AH105" s="460" t="s">
        <v>298</v>
      </c>
      <c r="AI105" s="460">
        <v>2</v>
      </c>
      <c r="AJ105" s="460">
        <v>4</v>
      </c>
      <c r="AK105" s="483">
        <v>0.33329999999999999</v>
      </c>
      <c r="AL105" s="483">
        <v>0.66659999999999997</v>
      </c>
      <c r="AM105" s="454" t="s">
        <v>1124</v>
      </c>
      <c r="AN105" s="460">
        <v>0</v>
      </c>
      <c r="AO105" s="460">
        <v>0</v>
      </c>
      <c r="AP105" s="460">
        <v>0</v>
      </c>
      <c r="AQ105" s="460">
        <v>0</v>
      </c>
      <c r="AR105" s="460">
        <v>0</v>
      </c>
      <c r="AS105" s="460">
        <v>0</v>
      </c>
      <c r="AT105" s="460">
        <v>0</v>
      </c>
      <c r="AU105" s="460">
        <v>0</v>
      </c>
      <c r="AV105" s="460">
        <v>0</v>
      </c>
      <c r="AW105" s="460">
        <v>0</v>
      </c>
      <c r="AX105" s="460">
        <v>0</v>
      </c>
      <c r="AY105" s="460">
        <v>0</v>
      </c>
      <c r="AZ105" s="454"/>
      <c r="BA105" s="460" t="s">
        <v>1278</v>
      </c>
      <c r="BB105" s="460"/>
      <c r="BC105" s="460" t="s">
        <v>1278</v>
      </c>
      <c r="BD105" s="460"/>
      <c r="BE105" s="460"/>
      <c r="BF105" s="460"/>
      <c r="BG105" s="455"/>
      <c r="BH105" s="454"/>
      <c r="BI105" s="460"/>
      <c r="BJ105" s="460" t="s">
        <v>4</v>
      </c>
      <c r="BK105" s="460">
        <v>1</v>
      </c>
      <c r="BL105" s="455"/>
      <c r="BM105" s="454" t="s">
        <v>1447</v>
      </c>
      <c r="BN105" s="454" t="s">
        <v>368</v>
      </c>
      <c r="BO105" s="450"/>
    </row>
    <row r="106" spans="1:67" ht="13" customHeight="1" x14ac:dyDescent="0.2">
      <c r="A106" s="451">
        <v>2310</v>
      </c>
      <c r="B106" s="452">
        <v>44032</v>
      </c>
      <c r="C106" s="453" t="s">
        <v>295</v>
      </c>
      <c r="D106" s="454" t="s">
        <v>1114</v>
      </c>
      <c r="E106" s="452">
        <v>43831</v>
      </c>
      <c r="F106" s="455" t="s">
        <v>1050</v>
      </c>
      <c r="G106" s="454" t="s">
        <v>418</v>
      </c>
      <c r="H106" s="461">
        <v>85</v>
      </c>
      <c r="I106" s="458" t="s">
        <v>296</v>
      </c>
      <c r="J106" s="459">
        <v>6000</v>
      </c>
      <c r="K106" s="459">
        <v>12000</v>
      </c>
      <c r="L106" s="459">
        <v>84000</v>
      </c>
      <c r="M106" s="459">
        <v>84000</v>
      </c>
      <c r="N106" s="454"/>
      <c r="O106" s="461">
        <v>2.8727272727272726</v>
      </c>
      <c r="P106" s="461">
        <v>2.5545454545454542</v>
      </c>
      <c r="Q106" s="461">
        <v>2.1</v>
      </c>
      <c r="R106" s="461">
        <v>0</v>
      </c>
      <c r="S106" s="461">
        <v>1.7999999999999998</v>
      </c>
      <c r="T106" s="461"/>
      <c r="U106" s="461">
        <v>2.4</v>
      </c>
      <c r="V106" s="461">
        <v>2.1999999999999997</v>
      </c>
      <c r="W106" s="461">
        <v>2</v>
      </c>
      <c r="X106" s="461">
        <v>0</v>
      </c>
      <c r="Y106" s="461">
        <v>1.5999999999999999</v>
      </c>
      <c r="Z106" s="461"/>
      <c r="AA106" s="461"/>
      <c r="AB106" s="461"/>
      <c r="AC106" s="461"/>
      <c r="AD106" s="461"/>
      <c r="AE106" s="461"/>
      <c r="AF106" s="461"/>
      <c r="AG106" s="460" t="s">
        <v>297</v>
      </c>
      <c r="AH106" s="460" t="s">
        <v>298</v>
      </c>
      <c r="AI106" s="460">
        <v>2</v>
      </c>
      <c r="AJ106" s="460">
        <v>4</v>
      </c>
      <c r="AK106" s="483">
        <v>0.33329999999999999</v>
      </c>
      <c r="AL106" s="483">
        <v>0.66659999999999997</v>
      </c>
      <c r="AM106" s="454" t="s">
        <v>1124</v>
      </c>
      <c r="AN106" s="460">
        <v>0</v>
      </c>
      <c r="AO106" s="460">
        <v>16</v>
      </c>
      <c r="AP106" s="460">
        <v>0</v>
      </c>
      <c r="AQ106" s="460">
        <v>0</v>
      </c>
      <c r="AR106" s="460">
        <v>0</v>
      </c>
      <c r="AS106" s="460">
        <v>0</v>
      </c>
      <c r="AT106" s="460">
        <v>0</v>
      </c>
      <c r="AU106" s="460">
        <v>0</v>
      </c>
      <c r="AV106" s="460">
        <v>0</v>
      </c>
      <c r="AW106" s="460">
        <v>0</v>
      </c>
      <c r="AX106" s="460">
        <v>0</v>
      </c>
      <c r="AY106" s="460">
        <v>0</v>
      </c>
      <c r="AZ106" s="454"/>
      <c r="BA106" s="460" t="s">
        <v>1278</v>
      </c>
      <c r="BB106" s="460"/>
      <c r="BC106" s="460" t="s">
        <v>1278</v>
      </c>
      <c r="BD106" s="460"/>
      <c r="BE106" s="460"/>
      <c r="BF106" s="460"/>
      <c r="BG106" s="455"/>
      <c r="BH106" s="454"/>
      <c r="BI106" s="460"/>
      <c r="BJ106" s="460" t="s">
        <v>4</v>
      </c>
      <c r="BK106" s="460">
        <v>1</v>
      </c>
      <c r="BL106" s="455"/>
      <c r="BM106" s="454" t="s">
        <v>1371</v>
      </c>
      <c r="BN106" s="454" t="s">
        <v>368</v>
      </c>
      <c r="BO106" s="450"/>
    </row>
    <row r="107" spans="1:67" ht="16" x14ac:dyDescent="0.2">
      <c r="A107" s="451">
        <v>2557</v>
      </c>
      <c r="B107" s="452">
        <v>44028</v>
      </c>
      <c r="C107" s="476" t="s">
        <v>295</v>
      </c>
      <c r="D107" s="477" t="s">
        <v>1114</v>
      </c>
      <c r="E107" s="465">
        <v>44028</v>
      </c>
      <c r="F107" s="454" t="s">
        <v>1052</v>
      </c>
      <c r="G107" s="454" t="s">
        <v>1181</v>
      </c>
      <c r="H107" s="456">
        <v>75.25454545454545</v>
      </c>
      <c r="I107" s="458" t="s">
        <v>296</v>
      </c>
      <c r="J107" s="488">
        <v>6000</v>
      </c>
      <c r="K107" s="488">
        <v>12000</v>
      </c>
      <c r="L107" s="469">
        <v>24000</v>
      </c>
      <c r="M107" s="469">
        <v>24000</v>
      </c>
      <c r="N107" s="468"/>
      <c r="O107" s="456">
        <v>2.2363636363636363</v>
      </c>
      <c r="P107" s="456">
        <v>1.9363636363636361</v>
      </c>
      <c r="Q107" s="456">
        <v>1.5727272727272725</v>
      </c>
      <c r="R107" s="461">
        <v>0</v>
      </c>
      <c r="S107" s="456">
        <v>1.5636363636363635</v>
      </c>
      <c r="T107" s="456"/>
      <c r="U107" s="456">
        <v>1.7454545454545451</v>
      </c>
      <c r="V107" s="456">
        <v>1.6909090909090909</v>
      </c>
      <c r="W107" s="456">
        <v>1.5727272727272725</v>
      </c>
      <c r="X107" s="461">
        <v>0</v>
      </c>
      <c r="Y107" s="456">
        <v>1.5272727272727271</v>
      </c>
      <c r="Z107" s="466"/>
      <c r="AA107" s="466"/>
      <c r="AB107" s="466"/>
      <c r="AC107" s="466"/>
      <c r="AD107" s="466"/>
      <c r="AE107" s="466"/>
      <c r="AF107" s="466"/>
      <c r="AG107" s="460" t="s">
        <v>297</v>
      </c>
      <c r="AH107" s="460" t="s">
        <v>298</v>
      </c>
      <c r="AI107" s="460">
        <v>2</v>
      </c>
      <c r="AJ107" s="460">
        <v>4</v>
      </c>
      <c r="AK107" s="483">
        <v>0.33329999999999999</v>
      </c>
      <c r="AL107" s="483">
        <v>0.66659999999999997</v>
      </c>
      <c r="AM107" s="454" t="s">
        <v>1124</v>
      </c>
      <c r="AN107" s="460">
        <v>0</v>
      </c>
      <c r="AO107" s="460">
        <v>0</v>
      </c>
      <c r="AP107" s="460">
        <v>0</v>
      </c>
      <c r="AQ107" s="460">
        <v>0</v>
      </c>
      <c r="AR107" s="460">
        <v>0</v>
      </c>
      <c r="AS107" s="460">
        <v>0</v>
      </c>
      <c r="AT107" s="460">
        <v>0</v>
      </c>
      <c r="AU107" s="460">
        <v>0</v>
      </c>
      <c r="AV107" s="460">
        <v>0</v>
      </c>
      <c r="AW107" s="460">
        <v>0</v>
      </c>
      <c r="AX107" s="460">
        <v>0</v>
      </c>
      <c r="AY107" s="460">
        <v>0</v>
      </c>
      <c r="AZ107" s="460"/>
      <c r="BA107" s="460" t="s">
        <v>1278</v>
      </c>
      <c r="BB107" s="460"/>
      <c r="BC107" s="460" t="s">
        <v>1278</v>
      </c>
      <c r="BD107" s="460"/>
      <c r="BE107" s="460"/>
      <c r="BF107" s="460"/>
      <c r="BG107" s="455"/>
      <c r="BH107" s="454"/>
      <c r="BI107" s="460"/>
      <c r="BJ107" s="460" t="s">
        <v>4</v>
      </c>
      <c r="BK107" s="460"/>
      <c r="BL107" s="455"/>
      <c r="BM107" s="486" t="s">
        <v>1448</v>
      </c>
      <c r="BN107" s="454" t="s">
        <v>408</v>
      </c>
      <c r="BO107" s="450"/>
    </row>
    <row r="108" spans="1:67" ht="13" customHeight="1" x14ac:dyDescent="0.2">
      <c r="A108" s="451">
        <v>2120</v>
      </c>
      <c r="B108" s="452">
        <v>44028</v>
      </c>
      <c r="C108" s="453" t="s">
        <v>295</v>
      </c>
      <c r="D108" s="454" t="s">
        <v>1114</v>
      </c>
      <c r="E108" s="452">
        <v>43924</v>
      </c>
      <c r="F108" s="455" t="s">
        <v>1054</v>
      </c>
      <c r="G108" s="454" t="s">
        <v>1157</v>
      </c>
      <c r="H108" s="461">
        <v>95.799999999999983</v>
      </c>
      <c r="I108" s="458" t="s">
        <v>1141</v>
      </c>
      <c r="J108" s="459">
        <v>12000</v>
      </c>
      <c r="K108" s="459">
        <v>12000</v>
      </c>
      <c r="L108" s="459">
        <v>12000</v>
      </c>
      <c r="M108" s="459">
        <v>12000</v>
      </c>
      <c r="N108" s="454"/>
      <c r="O108" s="461">
        <v>2.7818181818181817</v>
      </c>
      <c r="P108" s="482">
        <v>0</v>
      </c>
      <c r="Q108" s="461">
        <v>0</v>
      </c>
      <c r="R108" s="461">
        <v>0</v>
      </c>
      <c r="S108" s="461">
        <v>1.7999999999999998</v>
      </c>
      <c r="T108" s="461"/>
      <c r="U108" s="461">
        <v>2.0363636363636366</v>
      </c>
      <c r="V108" s="461">
        <v>0</v>
      </c>
      <c r="W108" s="461">
        <v>0</v>
      </c>
      <c r="X108" s="461">
        <v>0</v>
      </c>
      <c r="Y108" s="461">
        <v>0</v>
      </c>
      <c r="Z108" s="461"/>
      <c r="AA108" s="461"/>
      <c r="AB108" s="461"/>
      <c r="AC108" s="461"/>
      <c r="AD108" s="461"/>
      <c r="AE108" s="461"/>
      <c r="AF108" s="461"/>
      <c r="AG108" s="460" t="s">
        <v>297</v>
      </c>
      <c r="AH108" s="460" t="s">
        <v>298</v>
      </c>
      <c r="AI108" s="460">
        <v>2</v>
      </c>
      <c r="AJ108" s="460">
        <v>4</v>
      </c>
      <c r="AK108" s="483">
        <v>0.33329999999999999</v>
      </c>
      <c r="AL108" s="483">
        <v>0.66659999999999997</v>
      </c>
      <c r="AM108" s="454" t="s">
        <v>1124</v>
      </c>
      <c r="AN108" s="460">
        <v>23</v>
      </c>
      <c r="AO108" s="460">
        <v>0</v>
      </c>
      <c r="AP108" s="460">
        <v>0</v>
      </c>
      <c r="AQ108" s="460">
        <v>0</v>
      </c>
      <c r="AR108" s="460">
        <v>0</v>
      </c>
      <c r="AS108" s="460">
        <v>0</v>
      </c>
      <c r="AT108" s="460">
        <v>0</v>
      </c>
      <c r="AU108" s="460">
        <v>0</v>
      </c>
      <c r="AV108" s="460">
        <v>0</v>
      </c>
      <c r="AW108" s="460">
        <v>0</v>
      </c>
      <c r="AX108" s="460">
        <v>0</v>
      </c>
      <c r="AY108" s="460">
        <v>0</v>
      </c>
      <c r="AZ108" s="472">
        <v>12</v>
      </c>
      <c r="BA108" s="460" t="s">
        <v>1278</v>
      </c>
      <c r="BB108" s="460">
        <v>12</v>
      </c>
      <c r="BC108" s="460" t="s">
        <v>1278</v>
      </c>
      <c r="BD108" s="460"/>
      <c r="BE108" s="460">
        <v>12</v>
      </c>
      <c r="BF108" s="460"/>
      <c r="BG108" s="455"/>
      <c r="BH108" s="454"/>
      <c r="BI108" s="460"/>
      <c r="BJ108" s="460" t="s">
        <v>4</v>
      </c>
      <c r="BK108" s="460"/>
      <c r="BL108" s="455"/>
      <c r="BM108" s="484" t="s">
        <v>1449</v>
      </c>
      <c r="BN108" s="454" t="s">
        <v>368</v>
      </c>
      <c r="BO108" s="450"/>
    </row>
    <row r="109" spans="1:67" ht="13" customHeight="1" x14ac:dyDescent="0.2">
      <c r="A109" s="451">
        <v>1972</v>
      </c>
      <c r="B109" s="452">
        <v>44028</v>
      </c>
      <c r="C109" s="453" t="s">
        <v>295</v>
      </c>
      <c r="D109" s="454" t="s">
        <v>1114</v>
      </c>
      <c r="E109" s="452">
        <v>44025</v>
      </c>
      <c r="F109" s="455" t="s">
        <v>1055</v>
      </c>
      <c r="G109" s="454" t="s">
        <v>1400</v>
      </c>
      <c r="H109" s="461">
        <v>77.599999999999994</v>
      </c>
      <c r="I109" s="458" t="s">
        <v>296</v>
      </c>
      <c r="J109" s="459">
        <v>6000</v>
      </c>
      <c r="K109" s="459">
        <v>12000</v>
      </c>
      <c r="L109" s="459">
        <v>84000</v>
      </c>
      <c r="M109" s="459">
        <v>84000</v>
      </c>
      <c r="N109" s="454"/>
      <c r="O109" s="461">
        <v>2.0818181818181816</v>
      </c>
      <c r="P109" s="461">
        <v>1.8909090909090909</v>
      </c>
      <c r="Q109" s="461">
        <v>1.6454545454545453</v>
      </c>
      <c r="R109" s="461">
        <v>0</v>
      </c>
      <c r="S109" s="461">
        <v>1.4545454545454546</v>
      </c>
      <c r="T109" s="461"/>
      <c r="U109" s="461">
        <v>1.6636363636363636</v>
      </c>
      <c r="V109" s="461">
        <v>1.5818181818181818</v>
      </c>
      <c r="W109" s="461">
        <v>1.4636363636363636</v>
      </c>
      <c r="X109" s="461">
        <v>0</v>
      </c>
      <c r="Y109" s="461">
        <v>1.4181818181818182</v>
      </c>
      <c r="Z109" s="461"/>
      <c r="AA109" s="461"/>
      <c r="AB109" s="461"/>
      <c r="AC109" s="461"/>
      <c r="AD109" s="461"/>
      <c r="AE109" s="461"/>
      <c r="AF109" s="461"/>
      <c r="AG109" s="460" t="s">
        <v>297</v>
      </c>
      <c r="AH109" s="460" t="s">
        <v>298</v>
      </c>
      <c r="AI109" s="460">
        <v>2</v>
      </c>
      <c r="AJ109" s="460">
        <v>4</v>
      </c>
      <c r="AK109" s="483">
        <v>0.33329999999999999</v>
      </c>
      <c r="AL109" s="483">
        <v>0.66659999999999997</v>
      </c>
      <c r="AM109" s="454" t="s">
        <v>1124</v>
      </c>
      <c r="AN109" s="460">
        <v>0</v>
      </c>
      <c r="AO109" s="460">
        <v>0</v>
      </c>
      <c r="AP109" s="460">
        <v>0</v>
      </c>
      <c r="AQ109" s="460">
        <v>0</v>
      </c>
      <c r="AR109" s="460">
        <v>0</v>
      </c>
      <c r="AS109" s="460">
        <v>0</v>
      </c>
      <c r="AT109" s="460">
        <v>0</v>
      </c>
      <c r="AU109" s="460">
        <v>0</v>
      </c>
      <c r="AV109" s="460">
        <v>0</v>
      </c>
      <c r="AW109" s="460">
        <v>0</v>
      </c>
      <c r="AX109" s="460">
        <v>0</v>
      </c>
      <c r="AY109" s="460">
        <v>0</v>
      </c>
      <c r="AZ109" s="454"/>
      <c r="BA109" s="460" t="s">
        <v>1278</v>
      </c>
      <c r="BB109" s="460"/>
      <c r="BC109" s="460" t="s">
        <v>1278</v>
      </c>
      <c r="BD109" s="460"/>
      <c r="BE109" s="460"/>
      <c r="BF109" s="460"/>
      <c r="BG109" s="460"/>
      <c r="BH109" s="460"/>
      <c r="BI109" s="460"/>
      <c r="BJ109" s="460" t="s">
        <v>4</v>
      </c>
      <c r="BK109" s="460"/>
      <c r="BL109" s="455"/>
      <c r="BM109" s="484" t="s">
        <v>430</v>
      </c>
      <c r="BN109" s="454" t="s">
        <v>408</v>
      </c>
      <c r="BO109" s="450"/>
    </row>
    <row r="110" spans="1:67" ht="13" customHeight="1" x14ac:dyDescent="0.2">
      <c r="A110" s="451">
        <v>319</v>
      </c>
      <c r="B110" s="452">
        <v>44028</v>
      </c>
      <c r="C110" s="453" t="s">
        <v>295</v>
      </c>
      <c r="D110" s="454" t="s">
        <v>1114</v>
      </c>
      <c r="E110" s="452">
        <v>44013</v>
      </c>
      <c r="F110" s="454" t="s">
        <v>1057</v>
      </c>
      <c r="G110" s="454" t="s">
        <v>1181</v>
      </c>
      <c r="H110" s="461">
        <v>99.25454545454545</v>
      </c>
      <c r="I110" s="458" t="s">
        <v>296</v>
      </c>
      <c r="J110" s="459">
        <v>6000</v>
      </c>
      <c r="K110" s="459">
        <v>12000</v>
      </c>
      <c r="L110" s="459">
        <v>84000</v>
      </c>
      <c r="M110" s="459">
        <v>84000</v>
      </c>
      <c r="N110" s="454"/>
      <c r="O110" s="461">
        <v>2.2454545454545456</v>
      </c>
      <c r="P110" s="461">
        <v>1.9636363636363636</v>
      </c>
      <c r="Q110" s="461">
        <v>1.6272727272727272</v>
      </c>
      <c r="R110" s="461">
        <v>0</v>
      </c>
      <c r="S110" s="461">
        <v>1.6090909090909089</v>
      </c>
      <c r="T110" s="461"/>
      <c r="U110" s="461">
        <v>1.7</v>
      </c>
      <c r="V110" s="461">
        <v>1.6636363636363636</v>
      </c>
      <c r="W110" s="461">
        <v>1.5909090909090908</v>
      </c>
      <c r="X110" s="461">
        <v>0</v>
      </c>
      <c r="Y110" s="461">
        <v>1.5454545454545452</v>
      </c>
      <c r="Z110" s="461"/>
      <c r="AA110" s="461"/>
      <c r="AB110" s="461"/>
      <c r="AC110" s="461"/>
      <c r="AD110" s="461"/>
      <c r="AE110" s="461"/>
      <c r="AF110" s="461"/>
      <c r="AG110" s="460" t="s">
        <v>297</v>
      </c>
      <c r="AH110" s="460" t="s">
        <v>298</v>
      </c>
      <c r="AI110" s="460">
        <v>2</v>
      </c>
      <c r="AJ110" s="460">
        <v>4</v>
      </c>
      <c r="AK110" s="483">
        <v>0.33329999999999999</v>
      </c>
      <c r="AL110" s="483">
        <v>0.66659999999999997</v>
      </c>
      <c r="AM110" s="454" t="s">
        <v>1124</v>
      </c>
      <c r="AN110" s="460">
        <v>0</v>
      </c>
      <c r="AO110" s="460">
        <v>0</v>
      </c>
      <c r="AP110" s="460">
        <v>0</v>
      </c>
      <c r="AQ110" s="460">
        <v>0</v>
      </c>
      <c r="AR110" s="460">
        <v>0</v>
      </c>
      <c r="AS110" s="460">
        <v>0</v>
      </c>
      <c r="AT110" s="460">
        <v>0</v>
      </c>
      <c r="AU110" s="460">
        <v>0</v>
      </c>
      <c r="AV110" s="460">
        <v>0</v>
      </c>
      <c r="AW110" s="460">
        <v>0</v>
      </c>
      <c r="AX110" s="460">
        <v>0</v>
      </c>
      <c r="AY110" s="460">
        <v>0</v>
      </c>
      <c r="AZ110" s="454"/>
      <c r="BA110" s="460" t="s">
        <v>1278</v>
      </c>
      <c r="BB110" s="460"/>
      <c r="BC110" s="460" t="s">
        <v>1278</v>
      </c>
      <c r="BD110" s="460"/>
      <c r="BE110" s="460"/>
      <c r="BF110" s="460"/>
      <c r="BG110" s="455"/>
      <c r="BH110" s="454"/>
      <c r="BI110" s="460"/>
      <c r="BJ110" s="460" t="s">
        <v>4</v>
      </c>
      <c r="BK110" s="460"/>
      <c r="BL110" s="455"/>
      <c r="BM110" s="484" t="s">
        <v>1450</v>
      </c>
      <c r="BN110" s="454" t="s">
        <v>368</v>
      </c>
      <c r="BO110" s="450"/>
    </row>
    <row r="111" spans="1:67" ht="13" customHeight="1" x14ac:dyDescent="0.2">
      <c r="A111" s="451">
        <v>2264</v>
      </c>
      <c r="B111" s="452">
        <v>44028</v>
      </c>
      <c r="C111" s="453" t="s">
        <v>295</v>
      </c>
      <c r="D111" s="454" t="s">
        <v>1114</v>
      </c>
      <c r="E111" s="452">
        <v>44013</v>
      </c>
      <c r="F111" s="455" t="s">
        <v>981</v>
      </c>
      <c r="G111" s="454" t="s">
        <v>1167</v>
      </c>
      <c r="H111" s="461">
        <v>78</v>
      </c>
      <c r="I111" s="458" t="s">
        <v>296</v>
      </c>
      <c r="J111" s="459">
        <v>3000</v>
      </c>
      <c r="K111" s="459">
        <v>3000</v>
      </c>
      <c r="L111" s="459">
        <v>3000</v>
      </c>
      <c r="M111" s="459">
        <v>3000</v>
      </c>
      <c r="N111" s="454"/>
      <c r="O111" s="461">
        <v>2.8</v>
      </c>
      <c r="P111" s="482">
        <v>0</v>
      </c>
      <c r="Q111" s="461">
        <v>0</v>
      </c>
      <c r="R111" s="461">
        <v>0</v>
      </c>
      <c r="S111" s="461">
        <v>2.2000000000000002</v>
      </c>
      <c r="T111" s="461"/>
      <c r="U111" s="461">
        <v>2</v>
      </c>
      <c r="V111" s="482">
        <v>0</v>
      </c>
      <c r="W111" s="461">
        <v>0</v>
      </c>
      <c r="X111" s="461">
        <v>0</v>
      </c>
      <c r="Y111" s="461">
        <v>1.6</v>
      </c>
      <c r="Z111" s="461"/>
      <c r="AA111" s="461"/>
      <c r="AB111" s="461"/>
      <c r="AC111" s="461"/>
      <c r="AD111" s="461"/>
      <c r="AE111" s="461"/>
      <c r="AF111" s="461"/>
      <c r="AG111" s="460" t="s">
        <v>297</v>
      </c>
      <c r="AH111" s="460" t="s">
        <v>298</v>
      </c>
      <c r="AI111" s="460">
        <v>2</v>
      </c>
      <c r="AJ111" s="460">
        <v>4</v>
      </c>
      <c r="AK111" s="483">
        <v>0.33329999999999999</v>
      </c>
      <c r="AL111" s="483">
        <v>0.66659999999999997</v>
      </c>
      <c r="AM111" s="454" t="s">
        <v>1124</v>
      </c>
      <c r="AN111" s="460">
        <v>11</v>
      </c>
      <c r="AO111" s="460">
        <v>0</v>
      </c>
      <c r="AP111" s="460">
        <v>0</v>
      </c>
      <c r="AQ111" s="460">
        <v>0</v>
      </c>
      <c r="AR111" s="460">
        <v>0</v>
      </c>
      <c r="AS111" s="460">
        <v>0</v>
      </c>
      <c r="AT111" s="460">
        <v>0</v>
      </c>
      <c r="AU111" s="460">
        <v>0</v>
      </c>
      <c r="AV111" s="460">
        <v>0</v>
      </c>
      <c r="AW111" s="460">
        <v>0</v>
      </c>
      <c r="AX111" s="460">
        <v>0</v>
      </c>
      <c r="AY111" s="460">
        <v>0</v>
      </c>
      <c r="AZ111" s="454"/>
      <c r="BA111" s="460" t="s">
        <v>1278</v>
      </c>
      <c r="BB111" s="460">
        <v>12</v>
      </c>
      <c r="BC111" s="460" t="s">
        <v>1278</v>
      </c>
      <c r="BD111" s="460"/>
      <c r="BE111" s="460"/>
      <c r="BF111" s="460"/>
      <c r="BG111" s="455"/>
      <c r="BH111" s="454"/>
      <c r="BI111" s="460"/>
      <c r="BJ111" s="460" t="s">
        <v>4</v>
      </c>
      <c r="BK111" s="460"/>
      <c r="BL111" s="455"/>
      <c r="BM111" s="454" t="s">
        <v>430</v>
      </c>
      <c r="BN111" s="454" t="s">
        <v>368</v>
      </c>
      <c r="BO111" s="450"/>
    </row>
    <row r="112" spans="1:67" ht="13" customHeight="1" x14ac:dyDescent="0.2">
      <c r="A112" s="451">
        <v>2401</v>
      </c>
      <c r="B112" s="452">
        <v>44029</v>
      </c>
      <c r="C112" s="453" t="s">
        <v>295</v>
      </c>
      <c r="D112" s="454" t="s">
        <v>1114</v>
      </c>
      <c r="E112" s="465">
        <v>43984</v>
      </c>
      <c r="F112" s="455" t="s">
        <v>982</v>
      </c>
      <c r="G112" s="454" t="s">
        <v>1297</v>
      </c>
      <c r="H112" s="461">
        <v>74.25454545454545</v>
      </c>
      <c r="I112" s="458" t="s">
        <v>296</v>
      </c>
      <c r="J112" s="459">
        <v>6000</v>
      </c>
      <c r="K112" s="459">
        <v>12000</v>
      </c>
      <c r="L112" s="459">
        <v>84000</v>
      </c>
      <c r="M112" s="459">
        <v>84000</v>
      </c>
      <c r="N112" s="454"/>
      <c r="O112" s="461">
        <v>2.1636363636363636</v>
      </c>
      <c r="P112" s="461">
        <v>1.9363636363636361</v>
      </c>
      <c r="Q112" s="461">
        <v>1.7090909090909088</v>
      </c>
      <c r="R112" s="461">
        <v>0</v>
      </c>
      <c r="S112" s="461">
        <v>1.6636363636363636</v>
      </c>
      <c r="T112" s="461"/>
      <c r="U112" s="461">
        <v>1.7545454545454544</v>
      </c>
      <c r="V112" s="461">
        <v>1.7090909090909088</v>
      </c>
      <c r="W112" s="461">
        <v>1.6181818181818182</v>
      </c>
      <c r="X112" s="461">
        <v>0</v>
      </c>
      <c r="Y112" s="461">
        <v>1.5727272727272725</v>
      </c>
      <c r="Z112" s="461"/>
      <c r="AA112" s="461"/>
      <c r="AB112" s="461"/>
      <c r="AC112" s="461"/>
      <c r="AD112" s="461"/>
      <c r="AE112" s="461"/>
      <c r="AF112" s="461"/>
      <c r="AG112" s="460" t="s">
        <v>297</v>
      </c>
      <c r="AH112" s="460" t="s">
        <v>298</v>
      </c>
      <c r="AI112" s="460">
        <v>2</v>
      </c>
      <c r="AJ112" s="460">
        <v>4</v>
      </c>
      <c r="AK112" s="483">
        <v>0.33329999999999999</v>
      </c>
      <c r="AL112" s="483">
        <v>0.66659999999999997</v>
      </c>
      <c r="AM112" s="454" t="s">
        <v>1124</v>
      </c>
      <c r="AN112" s="460">
        <v>0</v>
      </c>
      <c r="AO112" s="460">
        <v>0</v>
      </c>
      <c r="AP112" s="460">
        <v>0</v>
      </c>
      <c r="AQ112" s="460">
        <v>0</v>
      </c>
      <c r="AR112" s="460">
        <v>0</v>
      </c>
      <c r="AS112" s="460">
        <v>0</v>
      </c>
      <c r="AT112" s="460">
        <v>0</v>
      </c>
      <c r="AU112" s="460">
        <v>0</v>
      </c>
      <c r="AV112" s="460">
        <v>0</v>
      </c>
      <c r="AW112" s="460">
        <v>0</v>
      </c>
      <c r="AX112" s="460">
        <v>0</v>
      </c>
      <c r="AY112" s="460">
        <v>0</v>
      </c>
      <c r="AZ112" s="460"/>
      <c r="BA112" s="460" t="s">
        <v>1278</v>
      </c>
      <c r="BB112" s="460"/>
      <c r="BC112" s="460" t="s">
        <v>1278</v>
      </c>
      <c r="BD112" s="460"/>
      <c r="BE112" s="460"/>
      <c r="BF112" s="460"/>
      <c r="BG112" s="455"/>
      <c r="BH112" s="454"/>
      <c r="BI112" s="460"/>
      <c r="BJ112" s="460" t="s">
        <v>4</v>
      </c>
      <c r="BK112" s="460"/>
      <c r="BL112" s="455"/>
      <c r="BM112" s="484" t="s">
        <v>1451</v>
      </c>
      <c r="BN112" s="454" t="s">
        <v>368</v>
      </c>
      <c r="BO112" s="450"/>
    </row>
    <row r="113" spans="1:67" ht="13" customHeight="1" x14ac:dyDescent="0.2">
      <c r="A113" s="451">
        <v>2694</v>
      </c>
      <c r="B113" s="452">
        <v>44029</v>
      </c>
      <c r="C113" s="453" t="s">
        <v>295</v>
      </c>
      <c r="D113" s="454" t="s">
        <v>1114</v>
      </c>
      <c r="E113" s="465">
        <v>44013</v>
      </c>
      <c r="F113" s="455" t="s">
        <v>984</v>
      </c>
      <c r="G113" s="454" t="s">
        <v>1405</v>
      </c>
      <c r="H113" s="461">
        <v>92.61818181818181</v>
      </c>
      <c r="I113" s="458" t="s">
        <v>296</v>
      </c>
      <c r="J113" s="459">
        <v>6000</v>
      </c>
      <c r="K113" s="459">
        <v>12000</v>
      </c>
      <c r="L113" s="459">
        <v>84000</v>
      </c>
      <c r="M113" s="459">
        <v>84000</v>
      </c>
      <c r="N113" s="454"/>
      <c r="O113" s="461">
        <v>2.4090909090909087</v>
      </c>
      <c r="P113" s="461">
        <v>2.0545454545454542</v>
      </c>
      <c r="Q113" s="461">
        <v>1.6090909090909089</v>
      </c>
      <c r="R113" s="461">
        <v>0</v>
      </c>
      <c r="S113" s="461">
        <v>1.5999999999999999</v>
      </c>
      <c r="T113" s="461"/>
      <c r="U113" s="461">
        <v>1.8181818181818181</v>
      </c>
      <c r="V113" s="461">
        <v>1.7636363636363634</v>
      </c>
      <c r="W113" s="461">
        <v>1.6090909090909089</v>
      </c>
      <c r="X113" s="461">
        <v>0</v>
      </c>
      <c r="Y113" s="461">
        <v>1.5545454545454545</v>
      </c>
      <c r="Z113" s="461"/>
      <c r="AA113" s="461"/>
      <c r="AB113" s="461"/>
      <c r="AC113" s="461"/>
      <c r="AD113" s="461"/>
      <c r="AE113" s="461"/>
      <c r="AF113" s="461"/>
      <c r="AG113" s="460" t="s">
        <v>297</v>
      </c>
      <c r="AH113" s="460" t="s">
        <v>298</v>
      </c>
      <c r="AI113" s="460">
        <v>2</v>
      </c>
      <c r="AJ113" s="460">
        <v>4</v>
      </c>
      <c r="AK113" s="483">
        <v>0.33329999999999999</v>
      </c>
      <c r="AL113" s="483">
        <v>0.66659999999999997</v>
      </c>
      <c r="AM113" s="454" t="s">
        <v>1124</v>
      </c>
      <c r="AN113" s="460">
        <v>20</v>
      </c>
      <c r="AO113" s="460">
        <v>0</v>
      </c>
      <c r="AP113" s="460">
        <v>0</v>
      </c>
      <c r="AQ113" s="460">
        <v>0</v>
      </c>
      <c r="AR113" s="460">
        <v>0</v>
      </c>
      <c r="AS113" s="460">
        <v>0</v>
      </c>
      <c r="AT113" s="460">
        <v>0</v>
      </c>
      <c r="AU113" s="460">
        <v>0</v>
      </c>
      <c r="AV113" s="460">
        <v>0</v>
      </c>
      <c r="AW113" s="460">
        <v>0</v>
      </c>
      <c r="AX113" s="460">
        <v>0</v>
      </c>
      <c r="AY113" s="460">
        <v>0</v>
      </c>
      <c r="AZ113" s="454"/>
      <c r="BA113" s="460" t="s">
        <v>1278</v>
      </c>
      <c r="BB113" s="460"/>
      <c r="BC113" s="460" t="s">
        <v>1278</v>
      </c>
      <c r="BD113" s="460"/>
      <c r="BE113" s="460"/>
      <c r="BF113" s="460"/>
      <c r="BG113" s="455"/>
      <c r="BH113" s="454"/>
      <c r="BI113" s="460"/>
      <c r="BJ113" s="460" t="s">
        <v>4</v>
      </c>
      <c r="BK113" s="460"/>
      <c r="BL113" s="455"/>
      <c r="BM113" s="484" t="s">
        <v>430</v>
      </c>
      <c r="BN113" s="454" t="s">
        <v>368</v>
      </c>
      <c r="BO113" s="450"/>
    </row>
    <row r="114" spans="1:67" ht="13" customHeight="1" x14ac:dyDescent="0.2">
      <c r="A114" s="451">
        <v>2218</v>
      </c>
      <c r="B114" s="452">
        <v>44032</v>
      </c>
      <c r="C114" s="453" t="s">
        <v>295</v>
      </c>
      <c r="D114" s="454" t="s">
        <v>1114</v>
      </c>
      <c r="E114" s="465">
        <v>43831</v>
      </c>
      <c r="F114" s="454" t="s">
        <v>985</v>
      </c>
      <c r="G114" s="454" t="s">
        <v>1174</v>
      </c>
      <c r="H114" s="461">
        <v>80</v>
      </c>
      <c r="I114" s="467" t="s">
        <v>296</v>
      </c>
      <c r="J114" s="459">
        <v>6000</v>
      </c>
      <c r="K114" s="459">
        <v>12000</v>
      </c>
      <c r="L114" s="459">
        <v>84000</v>
      </c>
      <c r="M114" s="459">
        <v>84000</v>
      </c>
      <c r="N114" s="468"/>
      <c r="O114" s="461">
        <v>1.9363636363636361</v>
      </c>
      <c r="P114" s="461">
        <v>1.9272727272727272</v>
      </c>
      <c r="Q114" s="461">
        <v>1.8999999999999997</v>
      </c>
      <c r="R114" s="461">
        <v>0</v>
      </c>
      <c r="S114" s="461">
        <v>1.4090909090909089</v>
      </c>
      <c r="T114" s="456"/>
      <c r="U114" s="461">
        <v>1.7727272727272725</v>
      </c>
      <c r="V114" s="461">
        <v>1.7545454545454544</v>
      </c>
      <c r="W114" s="461">
        <v>1.4181818181818182</v>
      </c>
      <c r="X114" s="461">
        <v>0</v>
      </c>
      <c r="Y114" s="461">
        <v>1.1090909090909089</v>
      </c>
      <c r="Z114" s="456"/>
      <c r="AA114" s="461"/>
      <c r="AB114" s="461"/>
      <c r="AC114" s="461"/>
      <c r="AD114" s="461"/>
      <c r="AE114" s="461"/>
      <c r="AF114" s="456"/>
      <c r="AG114" s="470" t="s">
        <v>297</v>
      </c>
      <c r="AH114" s="470" t="s">
        <v>298</v>
      </c>
      <c r="AI114" s="460">
        <v>2</v>
      </c>
      <c r="AJ114" s="460">
        <v>4</v>
      </c>
      <c r="AK114" s="483">
        <v>0.33329999999999999</v>
      </c>
      <c r="AL114" s="483">
        <v>0.66659999999999997</v>
      </c>
      <c r="AM114" s="454" t="s">
        <v>1124</v>
      </c>
      <c r="AN114" s="460">
        <v>0</v>
      </c>
      <c r="AO114" s="460">
        <v>0</v>
      </c>
      <c r="AP114" s="460">
        <v>5</v>
      </c>
      <c r="AQ114" s="460">
        <v>0</v>
      </c>
      <c r="AR114" s="460">
        <v>0</v>
      </c>
      <c r="AS114" s="460">
        <v>0</v>
      </c>
      <c r="AT114" s="460">
        <v>0</v>
      </c>
      <c r="AU114" s="460">
        <v>0</v>
      </c>
      <c r="AV114" s="460">
        <v>0</v>
      </c>
      <c r="AW114" s="460">
        <v>0</v>
      </c>
      <c r="AX114" s="460">
        <v>0</v>
      </c>
      <c r="AY114" s="460">
        <v>0</v>
      </c>
      <c r="AZ114" s="460"/>
      <c r="BA114" s="460" t="s">
        <v>1278</v>
      </c>
      <c r="BB114" s="460">
        <v>12</v>
      </c>
      <c r="BC114" s="460" t="s">
        <v>1278</v>
      </c>
      <c r="BD114" s="460"/>
      <c r="BE114" s="460"/>
      <c r="BF114" s="460"/>
      <c r="BG114" s="455"/>
      <c r="BH114" s="454"/>
      <c r="BI114" s="460"/>
      <c r="BJ114" s="460" t="s">
        <v>411</v>
      </c>
      <c r="BK114" s="460"/>
      <c r="BL114" s="455"/>
      <c r="BM114" s="454" t="s">
        <v>1452</v>
      </c>
      <c r="BN114" s="454" t="s">
        <v>368</v>
      </c>
      <c r="BO114" s="450"/>
    </row>
    <row r="115" spans="1:67" ht="13" customHeight="1" x14ac:dyDescent="0.2">
      <c r="A115" s="451">
        <v>1918</v>
      </c>
      <c r="B115" s="452">
        <v>44028</v>
      </c>
      <c r="C115" s="453" t="s">
        <v>295</v>
      </c>
      <c r="D115" s="454" t="s">
        <v>1114</v>
      </c>
      <c r="E115" s="452">
        <v>43831</v>
      </c>
      <c r="F115" s="455" t="s">
        <v>987</v>
      </c>
      <c r="G115" s="454" t="s">
        <v>1127</v>
      </c>
      <c r="H115" s="461">
        <v>65.823999999999998</v>
      </c>
      <c r="I115" s="458" t="s">
        <v>296</v>
      </c>
      <c r="J115" s="459">
        <v>6000</v>
      </c>
      <c r="K115" s="459">
        <v>12000</v>
      </c>
      <c r="L115" s="459">
        <v>12000</v>
      </c>
      <c r="M115" s="459">
        <v>12000</v>
      </c>
      <c r="N115" s="454"/>
      <c r="O115" s="461">
        <v>2.4140000000000001</v>
      </c>
      <c r="P115" s="461">
        <v>2.0739999999999998</v>
      </c>
      <c r="Q115" s="482">
        <v>0</v>
      </c>
      <c r="R115" s="461">
        <v>0</v>
      </c>
      <c r="S115" s="461">
        <v>1.5640000000000001</v>
      </c>
      <c r="T115" s="461"/>
      <c r="U115" s="461">
        <v>1.7</v>
      </c>
      <c r="V115" s="461">
        <v>1.6659999999999999</v>
      </c>
      <c r="W115" s="482">
        <v>0</v>
      </c>
      <c r="X115" s="461">
        <v>0</v>
      </c>
      <c r="Y115" s="461">
        <v>1.5640000000000001</v>
      </c>
      <c r="Z115" s="461"/>
      <c r="AA115" s="461"/>
      <c r="AB115" s="461"/>
      <c r="AC115" s="461"/>
      <c r="AD115" s="461"/>
      <c r="AE115" s="461"/>
      <c r="AF115" s="461"/>
      <c r="AG115" s="460" t="s">
        <v>297</v>
      </c>
      <c r="AH115" s="460" t="s">
        <v>298</v>
      </c>
      <c r="AI115" s="460">
        <v>2</v>
      </c>
      <c r="AJ115" s="460">
        <v>4</v>
      </c>
      <c r="AK115" s="483">
        <v>0.33329999999999999</v>
      </c>
      <c r="AL115" s="483">
        <v>0.66659999999999997</v>
      </c>
      <c r="AM115" s="454" t="s">
        <v>1124</v>
      </c>
      <c r="AN115" s="460">
        <v>0</v>
      </c>
      <c r="AO115" s="460">
        <v>0</v>
      </c>
      <c r="AP115" s="460">
        <v>0</v>
      </c>
      <c r="AQ115" s="460">
        <v>0</v>
      </c>
      <c r="AR115" s="460">
        <v>0</v>
      </c>
      <c r="AS115" s="460">
        <v>0</v>
      </c>
      <c r="AT115" s="460">
        <v>0</v>
      </c>
      <c r="AU115" s="460">
        <v>0</v>
      </c>
      <c r="AV115" s="460">
        <v>0</v>
      </c>
      <c r="AW115" s="460">
        <v>0</v>
      </c>
      <c r="AX115" s="460">
        <v>0</v>
      </c>
      <c r="AY115" s="460">
        <v>0</v>
      </c>
      <c r="AZ115" s="460"/>
      <c r="BA115" s="460" t="s">
        <v>1278</v>
      </c>
      <c r="BB115" s="460"/>
      <c r="BC115" s="460" t="s">
        <v>1278</v>
      </c>
      <c r="BD115" s="460"/>
      <c r="BE115" s="460"/>
      <c r="BF115" s="460"/>
      <c r="BG115" s="455"/>
      <c r="BH115" s="454"/>
      <c r="BI115" s="460"/>
      <c r="BJ115" s="460" t="s">
        <v>4</v>
      </c>
      <c r="BK115" s="460">
        <v>1</v>
      </c>
      <c r="BL115" s="455"/>
      <c r="BM115" s="454" t="s">
        <v>1234</v>
      </c>
      <c r="BN115" s="454" t="s">
        <v>368</v>
      </c>
      <c r="BO115" s="450"/>
    </row>
    <row r="116" spans="1:67" ht="13" customHeight="1" x14ac:dyDescent="0.2">
      <c r="A116" s="451">
        <v>1689</v>
      </c>
      <c r="B116" s="452">
        <v>44029</v>
      </c>
      <c r="C116" s="453" t="s">
        <v>295</v>
      </c>
      <c r="D116" s="454" t="s">
        <v>1114</v>
      </c>
      <c r="E116" s="452">
        <v>44007</v>
      </c>
      <c r="F116" s="455" t="s">
        <v>1106</v>
      </c>
      <c r="G116" s="454" t="s">
        <v>2</v>
      </c>
      <c r="H116" s="461">
        <v>75.999999999999986</v>
      </c>
      <c r="I116" s="458" t="s">
        <v>296</v>
      </c>
      <c r="J116" s="459">
        <v>6000</v>
      </c>
      <c r="K116" s="459">
        <v>6000</v>
      </c>
      <c r="L116" s="459">
        <v>6000</v>
      </c>
      <c r="M116" s="459">
        <v>6000</v>
      </c>
      <c r="N116" s="454"/>
      <c r="O116" s="461">
        <v>1.8545454545454545</v>
      </c>
      <c r="P116" s="461">
        <v>0</v>
      </c>
      <c r="Q116" s="461">
        <v>0</v>
      </c>
      <c r="R116" s="461">
        <v>0</v>
      </c>
      <c r="S116" s="461">
        <v>1.4999999999999998</v>
      </c>
      <c r="T116" s="461"/>
      <c r="U116" s="461">
        <v>1.3818181818181816</v>
      </c>
      <c r="V116" s="482">
        <v>0</v>
      </c>
      <c r="W116" s="461">
        <v>0</v>
      </c>
      <c r="X116" s="461">
        <v>0</v>
      </c>
      <c r="Y116" s="461">
        <v>1.3818181818181816</v>
      </c>
      <c r="Z116" s="461"/>
      <c r="AA116" s="461"/>
      <c r="AB116" s="461"/>
      <c r="AC116" s="461"/>
      <c r="AD116" s="461"/>
      <c r="AE116" s="461"/>
      <c r="AF116" s="461"/>
      <c r="AG116" s="460" t="s">
        <v>297</v>
      </c>
      <c r="AH116" s="460" t="s">
        <v>298</v>
      </c>
      <c r="AI116" s="460">
        <v>2</v>
      </c>
      <c r="AJ116" s="460">
        <v>4</v>
      </c>
      <c r="AK116" s="483">
        <v>0.33329999999999999</v>
      </c>
      <c r="AL116" s="483">
        <v>0.66659999999999997</v>
      </c>
      <c r="AM116" s="454" t="s">
        <v>1124</v>
      </c>
      <c r="AN116" s="460">
        <v>0</v>
      </c>
      <c r="AO116" s="460">
        <v>0</v>
      </c>
      <c r="AP116" s="460">
        <v>0</v>
      </c>
      <c r="AQ116" s="460">
        <v>0</v>
      </c>
      <c r="AR116" s="460">
        <v>0</v>
      </c>
      <c r="AS116" s="460">
        <v>0</v>
      </c>
      <c r="AT116" s="460">
        <v>0</v>
      </c>
      <c r="AU116" s="460">
        <v>0</v>
      </c>
      <c r="AV116" s="460">
        <v>0</v>
      </c>
      <c r="AW116" s="460">
        <v>0</v>
      </c>
      <c r="AX116" s="460">
        <v>0</v>
      </c>
      <c r="AY116" s="460">
        <v>0</v>
      </c>
      <c r="AZ116" s="460"/>
      <c r="BA116" s="460" t="s">
        <v>1278</v>
      </c>
      <c r="BB116" s="460"/>
      <c r="BC116" s="460" t="s">
        <v>1278</v>
      </c>
      <c r="BD116" s="460"/>
      <c r="BE116" s="460"/>
      <c r="BF116" s="455"/>
      <c r="BG116" s="454"/>
      <c r="BH116" s="460"/>
      <c r="BI116" s="460"/>
      <c r="BJ116" s="460" t="s">
        <v>4</v>
      </c>
      <c r="BK116" s="460">
        <v>1</v>
      </c>
      <c r="BL116" s="454"/>
      <c r="BM116" s="454" t="s">
        <v>1453</v>
      </c>
      <c r="BN116" s="454" t="s">
        <v>368</v>
      </c>
      <c r="BO116" s="450"/>
    </row>
    <row r="117" spans="1:67" ht="13" customHeight="1" x14ac:dyDescent="0.2">
      <c r="A117" s="451">
        <v>2210</v>
      </c>
      <c r="B117" s="452">
        <v>44029</v>
      </c>
      <c r="C117" s="453" t="s">
        <v>295</v>
      </c>
      <c r="D117" s="454" t="s">
        <v>1114</v>
      </c>
      <c r="E117" s="465">
        <v>44013</v>
      </c>
      <c r="F117" s="454" t="s">
        <v>34</v>
      </c>
      <c r="G117" s="454" t="s">
        <v>1178</v>
      </c>
      <c r="H117" s="461">
        <v>80.599999999999994</v>
      </c>
      <c r="I117" s="467"/>
      <c r="J117" s="488"/>
      <c r="K117" s="488"/>
      <c r="L117" s="469"/>
      <c r="M117" s="469"/>
      <c r="N117" s="468"/>
      <c r="O117" s="461">
        <v>1.9272727272727272</v>
      </c>
      <c r="P117" s="461">
        <v>0</v>
      </c>
      <c r="Q117" s="461">
        <v>0</v>
      </c>
      <c r="R117" s="461">
        <v>0</v>
      </c>
      <c r="S117" s="461">
        <v>0</v>
      </c>
      <c r="T117" s="456"/>
      <c r="U117" s="461">
        <v>1.6181818181818182</v>
      </c>
      <c r="V117" s="461">
        <v>0</v>
      </c>
      <c r="W117" s="461">
        <v>0</v>
      </c>
      <c r="X117" s="461">
        <v>0</v>
      </c>
      <c r="Y117" s="461">
        <v>0</v>
      </c>
      <c r="Z117" s="456"/>
      <c r="AA117" s="461"/>
      <c r="AB117" s="461"/>
      <c r="AC117" s="461"/>
      <c r="AD117" s="461"/>
      <c r="AE117" s="461"/>
      <c r="AF117" s="456"/>
      <c r="AG117" s="470" t="s">
        <v>297</v>
      </c>
      <c r="AH117" s="470" t="s">
        <v>298</v>
      </c>
      <c r="AI117" s="460">
        <v>2</v>
      </c>
      <c r="AJ117" s="460">
        <v>4</v>
      </c>
      <c r="AK117" s="483">
        <v>0.33329999999999999</v>
      </c>
      <c r="AL117" s="483">
        <v>0.66659999999999997</v>
      </c>
      <c r="AM117" s="454" t="s">
        <v>1124</v>
      </c>
      <c r="AN117" s="460">
        <v>0</v>
      </c>
      <c r="AO117" s="460">
        <v>0</v>
      </c>
      <c r="AP117" s="460">
        <v>5</v>
      </c>
      <c r="AQ117" s="460">
        <v>0</v>
      </c>
      <c r="AR117" s="460">
        <v>0</v>
      </c>
      <c r="AS117" s="460">
        <v>0</v>
      </c>
      <c r="AT117" s="460">
        <v>0</v>
      </c>
      <c r="AU117" s="460">
        <v>0</v>
      </c>
      <c r="AV117" s="460">
        <v>0</v>
      </c>
      <c r="AW117" s="460">
        <v>0</v>
      </c>
      <c r="AX117" s="460">
        <v>0</v>
      </c>
      <c r="AY117" s="460">
        <v>0</v>
      </c>
      <c r="AZ117" s="460"/>
      <c r="BA117" s="460" t="s">
        <v>1278</v>
      </c>
      <c r="BB117" s="460"/>
      <c r="BC117" s="460" t="s">
        <v>1278</v>
      </c>
      <c r="BD117" s="460"/>
      <c r="BE117" s="460"/>
      <c r="BF117" s="460"/>
      <c r="BG117" s="455"/>
      <c r="BH117" s="454"/>
      <c r="BI117" s="460"/>
      <c r="BJ117" s="460" t="s">
        <v>411</v>
      </c>
      <c r="BK117" s="460"/>
      <c r="BL117" s="455" t="s">
        <v>47</v>
      </c>
      <c r="BM117" s="484" t="s">
        <v>430</v>
      </c>
      <c r="BN117" s="454" t="s">
        <v>368</v>
      </c>
      <c r="BO117" s="450"/>
    </row>
    <row r="118" spans="1:67" ht="13" customHeight="1" x14ac:dyDescent="0.2">
      <c r="A118" s="451">
        <v>2465</v>
      </c>
      <c r="B118" s="452">
        <v>44028</v>
      </c>
      <c r="C118" s="453" t="s">
        <v>295</v>
      </c>
      <c r="D118" s="454" t="s">
        <v>1114</v>
      </c>
      <c r="E118" s="465">
        <v>44013</v>
      </c>
      <c r="F118" s="454" t="s">
        <v>1274</v>
      </c>
      <c r="G118" s="454" t="s">
        <v>1275</v>
      </c>
      <c r="H118" s="461">
        <v>85.999999999999986</v>
      </c>
      <c r="I118" s="467" t="s">
        <v>296</v>
      </c>
      <c r="J118" s="469">
        <v>6000</v>
      </c>
      <c r="K118" s="469">
        <v>12000</v>
      </c>
      <c r="L118" s="469">
        <v>12000</v>
      </c>
      <c r="M118" s="469">
        <v>12000</v>
      </c>
      <c r="N118" s="468"/>
      <c r="O118" s="461">
        <v>2.127272727272727</v>
      </c>
      <c r="P118" s="461">
        <v>1.9545454545454544</v>
      </c>
      <c r="Q118" s="461">
        <v>0</v>
      </c>
      <c r="R118" s="461">
        <v>0</v>
      </c>
      <c r="S118" s="461">
        <v>1.6181818181818182</v>
      </c>
      <c r="T118" s="456"/>
      <c r="U118" s="461">
        <v>2.127272727272727</v>
      </c>
      <c r="V118" s="461">
        <v>1.9545454545454544</v>
      </c>
      <c r="W118" s="482">
        <v>0</v>
      </c>
      <c r="X118" s="461">
        <v>0</v>
      </c>
      <c r="Y118" s="461">
        <v>1.6181818181818182</v>
      </c>
      <c r="Z118" s="456"/>
      <c r="AA118" s="461"/>
      <c r="AB118" s="461"/>
      <c r="AC118" s="461"/>
      <c r="AD118" s="461"/>
      <c r="AE118" s="461"/>
      <c r="AF118" s="456"/>
      <c r="AG118" s="470" t="s">
        <v>1278</v>
      </c>
      <c r="AH118" s="470"/>
      <c r="AI118" s="460">
        <v>3</v>
      </c>
      <c r="AJ118" s="460">
        <v>3</v>
      </c>
      <c r="AK118" s="480">
        <v>0.5</v>
      </c>
      <c r="AL118" s="480">
        <v>0.5</v>
      </c>
      <c r="AM118" s="454"/>
      <c r="AN118" s="460">
        <v>0</v>
      </c>
      <c r="AO118" s="460">
        <v>0</v>
      </c>
      <c r="AP118" s="460">
        <v>0</v>
      </c>
      <c r="AQ118" s="460">
        <v>15</v>
      </c>
      <c r="AR118" s="460">
        <v>0</v>
      </c>
      <c r="AS118" s="460">
        <v>0</v>
      </c>
      <c r="AT118" s="460">
        <v>0</v>
      </c>
      <c r="AU118" s="460">
        <v>0</v>
      </c>
      <c r="AV118" s="460">
        <v>0</v>
      </c>
      <c r="AW118" s="460">
        <v>0</v>
      </c>
      <c r="AX118" s="460">
        <v>0</v>
      </c>
      <c r="AY118" s="460">
        <v>0</v>
      </c>
      <c r="AZ118" s="460"/>
      <c r="BA118" s="460" t="s">
        <v>1278</v>
      </c>
      <c r="BB118" s="460"/>
      <c r="BC118" s="460" t="s">
        <v>1278</v>
      </c>
      <c r="BD118" s="460"/>
      <c r="BE118" s="460"/>
      <c r="BF118" s="460"/>
      <c r="BG118" s="455"/>
      <c r="BH118" s="454"/>
      <c r="BI118" s="460"/>
      <c r="BJ118" s="460" t="s">
        <v>411</v>
      </c>
      <c r="BK118" s="460">
        <v>1</v>
      </c>
      <c r="BL118" s="455"/>
      <c r="BM118" s="454" t="s">
        <v>1454</v>
      </c>
      <c r="BN118" s="454" t="s">
        <v>368</v>
      </c>
      <c r="BO118" s="450"/>
    </row>
    <row r="119" spans="1:67" ht="13" customHeight="1" x14ac:dyDescent="0.2">
      <c r="A119" s="451">
        <v>2333</v>
      </c>
      <c r="B119" s="452">
        <v>44028</v>
      </c>
      <c r="C119" s="453" t="s">
        <v>295</v>
      </c>
      <c r="D119" s="454" t="s">
        <v>1114</v>
      </c>
      <c r="E119" s="465">
        <v>44013</v>
      </c>
      <c r="F119" s="454" t="s">
        <v>1291</v>
      </c>
      <c r="G119" s="454" t="s">
        <v>1181</v>
      </c>
      <c r="H119" s="461">
        <v>77.172727272727272</v>
      </c>
      <c r="I119" s="467"/>
      <c r="J119" s="469"/>
      <c r="K119" s="469"/>
      <c r="L119" s="469"/>
      <c r="M119" s="469"/>
      <c r="N119" s="468"/>
      <c r="O119" s="461">
        <v>1.918181818181818</v>
      </c>
      <c r="P119" s="461">
        <v>0</v>
      </c>
      <c r="Q119" s="461">
        <v>0</v>
      </c>
      <c r="R119" s="461">
        <v>0</v>
      </c>
      <c r="S119" s="461">
        <v>0</v>
      </c>
      <c r="T119" s="456"/>
      <c r="U119" s="461">
        <v>1.7363636363636361</v>
      </c>
      <c r="V119" s="461">
        <v>0</v>
      </c>
      <c r="W119" s="461">
        <v>0</v>
      </c>
      <c r="X119" s="461">
        <v>0</v>
      </c>
      <c r="Y119" s="461">
        <v>0</v>
      </c>
      <c r="Z119" s="456"/>
      <c r="AA119" s="461"/>
      <c r="AB119" s="461"/>
      <c r="AC119" s="461"/>
      <c r="AD119" s="461"/>
      <c r="AE119" s="461"/>
      <c r="AF119" s="456"/>
      <c r="AG119" s="470" t="s">
        <v>297</v>
      </c>
      <c r="AH119" s="470" t="s">
        <v>298</v>
      </c>
      <c r="AI119" s="460">
        <v>2</v>
      </c>
      <c r="AJ119" s="460">
        <v>4</v>
      </c>
      <c r="AK119" s="483">
        <v>0.33329999999999999</v>
      </c>
      <c r="AL119" s="483">
        <v>0.66659999999999997</v>
      </c>
      <c r="AM119" s="454" t="s">
        <v>1124</v>
      </c>
      <c r="AN119" s="460">
        <v>0</v>
      </c>
      <c r="AO119" s="460">
        <v>0</v>
      </c>
      <c r="AP119" s="460">
        <v>0</v>
      </c>
      <c r="AQ119" s="460">
        <v>0</v>
      </c>
      <c r="AR119" s="460">
        <v>0</v>
      </c>
      <c r="AS119" s="460">
        <v>0</v>
      </c>
      <c r="AT119" s="460">
        <v>0</v>
      </c>
      <c r="AU119" s="460">
        <v>0</v>
      </c>
      <c r="AV119" s="460">
        <v>0</v>
      </c>
      <c r="AW119" s="460">
        <v>0</v>
      </c>
      <c r="AX119" s="460">
        <v>0</v>
      </c>
      <c r="AY119" s="460">
        <v>0</v>
      </c>
      <c r="AZ119" s="460"/>
      <c r="BA119" s="460" t="s">
        <v>1278</v>
      </c>
      <c r="BB119" s="460"/>
      <c r="BC119" s="460" t="s">
        <v>1278</v>
      </c>
      <c r="BD119" s="460"/>
      <c r="BE119" s="460"/>
      <c r="BF119" s="460"/>
      <c r="BG119" s="455"/>
      <c r="BH119" s="454"/>
      <c r="BI119" s="460"/>
      <c r="BJ119" s="460" t="s">
        <v>4</v>
      </c>
      <c r="BK119" s="460"/>
      <c r="BL119" s="455" t="s">
        <v>1284</v>
      </c>
      <c r="BM119" s="484" t="s">
        <v>430</v>
      </c>
      <c r="BN119" s="454" t="s">
        <v>408</v>
      </c>
      <c r="BO119" s="450"/>
    </row>
    <row r="120" spans="1:67" ht="13" customHeight="1" x14ac:dyDescent="0.2">
      <c r="A120" s="451">
        <v>2388</v>
      </c>
      <c r="B120" s="452">
        <v>44028</v>
      </c>
      <c r="C120" s="453" t="s">
        <v>295</v>
      </c>
      <c r="D120" s="454" t="s">
        <v>1115</v>
      </c>
      <c r="E120" s="452">
        <v>44013</v>
      </c>
      <c r="F120" s="455" t="s">
        <v>1044</v>
      </c>
      <c r="G120" s="454" t="s">
        <v>1277</v>
      </c>
      <c r="H120" s="461">
        <v>84.490909090909085</v>
      </c>
      <c r="I120" s="458" t="s">
        <v>296</v>
      </c>
      <c r="J120" s="459">
        <v>6000</v>
      </c>
      <c r="K120" s="459">
        <v>12000</v>
      </c>
      <c r="L120" s="459">
        <v>84000</v>
      </c>
      <c r="M120" s="459">
        <v>84000</v>
      </c>
      <c r="N120" s="454"/>
      <c r="O120" s="461">
        <v>1.8636363636363633</v>
      </c>
      <c r="P120" s="461">
        <v>1.8090909090909089</v>
      </c>
      <c r="Q120" s="461">
        <v>1.2181818181818183</v>
      </c>
      <c r="R120" s="461">
        <v>0</v>
      </c>
      <c r="S120" s="461">
        <v>1.1727272727272726</v>
      </c>
      <c r="T120" s="461"/>
      <c r="U120" s="461">
        <v>1.7090909090909088</v>
      </c>
      <c r="V120" s="461">
        <v>1.3454545454545452</v>
      </c>
      <c r="W120" s="461">
        <v>1.209090909090909</v>
      </c>
      <c r="X120" s="487">
        <v>0</v>
      </c>
      <c r="Y120" s="461">
        <v>1.0909090909090908</v>
      </c>
      <c r="Z120" s="461"/>
      <c r="AA120" s="461"/>
      <c r="AB120" s="461"/>
      <c r="AC120" s="461"/>
      <c r="AD120" s="461"/>
      <c r="AE120" s="461"/>
      <c r="AF120" s="461"/>
      <c r="AG120" s="460" t="s">
        <v>297</v>
      </c>
      <c r="AH120" s="460" t="s">
        <v>298</v>
      </c>
      <c r="AI120" s="460">
        <v>2</v>
      </c>
      <c r="AJ120" s="460">
        <v>4</v>
      </c>
      <c r="AK120" s="483">
        <v>0.33329999999999999</v>
      </c>
      <c r="AL120" s="483">
        <v>0.66659999999999997</v>
      </c>
      <c r="AM120" s="454" t="s">
        <v>1124</v>
      </c>
      <c r="AN120" s="460">
        <v>0</v>
      </c>
      <c r="AO120" s="460">
        <v>0</v>
      </c>
      <c r="AP120" s="460">
        <v>0</v>
      </c>
      <c r="AQ120" s="460">
        <v>0</v>
      </c>
      <c r="AR120" s="460">
        <v>0</v>
      </c>
      <c r="AS120" s="460">
        <v>0</v>
      </c>
      <c r="AT120" s="460">
        <v>0</v>
      </c>
      <c r="AU120" s="460">
        <v>0</v>
      </c>
      <c r="AV120" s="460">
        <v>0</v>
      </c>
      <c r="AW120" s="460">
        <v>0</v>
      </c>
      <c r="AX120" s="460">
        <v>0</v>
      </c>
      <c r="AY120" s="460">
        <v>0</v>
      </c>
      <c r="AZ120" s="460"/>
      <c r="BA120" s="460" t="s">
        <v>1278</v>
      </c>
      <c r="BB120" s="460"/>
      <c r="BC120" s="460" t="s">
        <v>1278</v>
      </c>
      <c r="BD120" s="460"/>
      <c r="BE120" s="460"/>
      <c r="BF120" s="460"/>
      <c r="BG120" s="455"/>
      <c r="BH120" s="454"/>
      <c r="BI120" s="460"/>
      <c r="BJ120" s="460" t="s">
        <v>4</v>
      </c>
      <c r="BK120" s="460"/>
      <c r="BL120" s="455"/>
      <c r="BM120" s="454" t="s">
        <v>1455</v>
      </c>
      <c r="BN120" s="454" t="s">
        <v>368</v>
      </c>
      <c r="BO120" s="450"/>
    </row>
    <row r="121" spans="1:67" ht="13" customHeight="1" x14ac:dyDescent="0.2">
      <c r="A121" s="451">
        <v>2500</v>
      </c>
      <c r="B121" s="452">
        <v>44029</v>
      </c>
      <c r="C121" s="453" t="s">
        <v>295</v>
      </c>
      <c r="D121" s="454" t="s">
        <v>1115</v>
      </c>
      <c r="E121" s="452">
        <v>44013</v>
      </c>
      <c r="F121" s="455" t="s">
        <v>1046</v>
      </c>
      <c r="G121" s="454" t="s">
        <v>1280</v>
      </c>
      <c r="H121" s="461">
        <v>72.999999999999986</v>
      </c>
      <c r="I121" s="458" t="s">
        <v>296</v>
      </c>
      <c r="J121" s="459">
        <v>6000</v>
      </c>
      <c r="K121" s="459">
        <v>6000</v>
      </c>
      <c r="L121" s="459">
        <v>6000</v>
      </c>
      <c r="M121" s="459">
        <v>6000</v>
      </c>
      <c r="N121" s="454"/>
      <c r="O121" s="461">
        <v>2.2999999999999998</v>
      </c>
      <c r="P121" s="482">
        <v>0</v>
      </c>
      <c r="Q121" s="461">
        <v>0</v>
      </c>
      <c r="R121" s="461">
        <v>0</v>
      </c>
      <c r="S121" s="461">
        <v>1.7</v>
      </c>
      <c r="T121" s="461"/>
      <c r="U121" s="461">
        <v>2.1</v>
      </c>
      <c r="V121" s="482">
        <v>0</v>
      </c>
      <c r="W121" s="461">
        <v>0</v>
      </c>
      <c r="X121" s="461">
        <v>0</v>
      </c>
      <c r="Y121" s="461">
        <v>1.7</v>
      </c>
      <c r="Z121" s="461"/>
      <c r="AA121" s="461"/>
      <c r="AB121" s="461"/>
      <c r="AC121" s="461"/>
      <c r="AD121" s="461"/>
      <c r="AE121" s="461"/>
      <c r="AF121" s="461"/>
      <c r="AG121" s="460" t="s">
        <v>297</v>
      </c>
      <c r="AH121" s="460" t="s">
        <v>298</v>
      </c>
      <c r="AI121" s="460">
        <v>2</v>
      </c>
      <c r="AJ121" s="460">
        <v>4</v>
      </c>
      <c r="AK121" s="483">
        <v>0.33329999999999999</v>
      </c>
      <c r="AL121" s="483">
        <v>0.66659999999999997</v>
      </c>
      <c r="AM121" s="454" t="s">
        <v>1124</v>
      </c>
      <c r="AN121" s="460">
        <v>0</v>
      </c>
      <c r="AO121" s="460">
        <v>0</v>
      </c>
      <c r="AP121" s="460">
        <v>0</v>
      </c>
      <c r="AQ121" s="460">
        <v>0</v>
      </c>
      <c r="AR121" s="460">
        <v>0</v>
      </c>
      <c r="AS121" s="460">
        <v>0</v>
      </c>
      <c r="AT121" s="460">
        <v>0</v>
      </c>
      <c r="AU121" s="460">
        <v>0</v>
      </c>
      <c r="AV121" s="460">
        <v>0</v>
      </c>
      <c r="AW121" s="460">
        <v>0</v>
      </c>
      <c r="AX121" s="460">
        <v>0</v>
      </c>
      <c r="AY121" s="460">
        <v>0</v>
      </c>
      <c r="AZ121" s="454"/>
      <c r="BA121" s="460" t="s">
        <v>1278</v>
      </c>
      <c r="BB121" s="460"/>
      <c r="BC121" s="460" t="s">
        <v>1278</v>
      </c>
      <c r="BD121" s="460"/>
      <c r="BE121" s="460"/>
      <c r="BF121" s="460"/>
      <c r="BG121" s="455"/>
      <c r="BH121" s="454"/>
      <c r="BI121" s="460"/>
      <c r="BJ121" s="460" t="s">
        <v>4</v>
      </c>
      <c r="BK121" s="460"/>
      <c r="BL121" s="455"/>
      <c r="BM121" s="454" t="s">
        <v>430</v>
      </c>
      <c r="BN121" s="454" t="s">
        <v>368</v>
      </c>
      <c r="BO121" s="450"/>
    </row>
    <row r="122" spans="1:67" ht="13" customHeight="1" x14ac:dyDescent="0.2">
      <c r="A122" s="451">
        <v>2607</v>
      </c>
      <c r="B122" s="452">
        <v>44028</v>
      </c>
      <c r="C122" s="453" t="s">
        <v>295</v>
      </c>
      <c r="D122" s="454" t="s">
        <v>1115</v>
      </c>
      <c r="E122" s="452">
        <v>43910</v>
      </c>
      <c r="F122" s="455" t="s">
        <v>1048</v>
      </c>
      <c r="G122" s="454" t="s">
        <v>1397</v>
      </c>
      <c r="H122" s="461">
        <v>61.954545454545453</v>
      </c>
      <c r="I122" s="458" t="s">
        <v>296</v>
      </c>
      <c r="J122" s="459">
        <v>6000</v>
      </c>
      <c r="K122" s="459">
        <v>12000</v>
      </c>
      <c r="L122" s="459">
        <v>12000</v>
      </c>
      <c r="M122" s="459">
        <v>12000</v>
      </c>
      <c r="N122" s="454"/>
      <c r="O122" s="461">
        <v>2.2727272727272725</v>
      </c>
      <c r="P122" s="461">
        <v>1.9545454545454544</v>
      </c>
      <c r="Q122" s="461">
        <v>0</v>
      </c>
      <c r="R122" s="461">
        <v>0</v>
      </c>
      <c r="S122" s="461">
        <v>1.4727272727272727</v>
      </c>
      <c r="T122" s="461"/>
      <c r="U122" s="461">
        <v>1.5999999999999999</v>
      </c>
      <c r="V122" s="461">
        <v>1.5636363636363635</v>
      </c>
      <c r="W122" s="482">
        <v>0</v>
      </c>
      <c r="X122" s="461">
        <v>0</v>
      </c>
      <c r="Y122" s="461">
        <v>1.4727272727272727</v>
      </c>
      <c r="Z122" s="461"/>
      <c r="AA122" s="461"/>
      <c r="AB122" s="461"/>
      <c r="AC122" s="461"/>
      <c r="AD122" s="461"/>
      <c r="AE122" s="461"/>
      <c r="AF122" s="461"/>
      <c r="AG122" s="460" t="s">
        <v>297</v>
      </c>
      <c r="AH122" s="460" t="s">
        <v>298</v>
      </c>
      <c r="AI122" s="460">
        <v>2</v>
      </c>
      <c r="AJ122" s="460">
        <v>4</v>
      </c>
      <c r="AK122" s="483">
        <v>0.33329999999999999</v>
      </c>
      <c r="AL122" s="483">
        <v>0.66659999999999997</v>
      </c>
      <c r="AM122" s="454" t="s">
        <v>1124</v>
      </c>
      <c r="AN122" s="460">
        <v>0</v>
      </c>
      <c r="AO122" s="460">
        <v>0</v>
      </c>
      <c r="AP122" s="460">
        <v>0</v>
      </c>
      <c r="AQ122" s="460">
        <v>0</v>
      </c>
      <c r="AR122" s="460">
        <v>0</v>
      </c>
      <c r="AS122" s="460">
        <v>0</v>
      </c>
      <c r="AT122" s="460">
        <v>0</v>
      </c>
      <c r="AU122" s="460">
        <v>0</v>
      </c>
      <c r="AV122" s="460">
        <v>0</v>
      </c>
      <c r="AW122" s="460">
        <v>0</v>
      </c>
      <c r="AX122" s="460">
        <v>0</v>
      </c>
      <c r="AY122" s="460">
        <v>0</v>
      </c>
      <c r="AZ122" s="454"/>
      <c r="BA122" s="460" t="s">
        <v>1278</v>
      </c>
      <c r="BB122" s="460"/>
      <c r="BC122" s="460" t="s">
        <v>1278</v>
      </c>
      <c r="BD122" s="460"/>
      <c r="BE122" s="460"/>
      <c r="BF122" s="460"/>
      <c r="BG122" s="455"/>
      <c r="BH122" s="454"/>
      <c r="BI122" s="460"/>
      <c r="BJ122" s="460" t="s">
        <v>4</v>
      </c>
      <c r="BK122" s="460">
        <v>1</v>
      </c>
      <c r="BL122" s="455"/>
      <c r="BM122" s="454" t="s">
        <v>1456</v>
      </c>
      <c r="BN122" s="454" t="s">
        <v>368</v>
      </c>
      <c r="BO122" s="450"/>
    </row>
    <row r="123" spans="1:67" ht="13" customHeight="1" x14ac:dyDescent="0.2">
      <c r="A123" s="451">
        <v>2309</v>
      </c>
      <c r="B123" s="452">
        <v>44032</v>
      </c>
      <c r="C123" s="453" t="s">
        <v>295</v>
      </c>
      <c r="D123" s="454" t="s">
        <v>1115</v>
      </c>
      <c r="E123" s="452">
        <v>43831</v>
      </c>
      <c r="F123" s="455" t="s">
        <v>1050</v>
      </c>
      <c r="G123" s="454" t="s">
        <v>418</v>
      </c>
      <c r="H123" s="461">
        <v>85</v>
      </c>
      <c r="I123" s="458" t="s">
        <v>296</v>
      </c>
      <c r="J123" s="459">
        <v>6000</v>
      </c>
      <c r="K123" s="459">
        <v>12000</v>
      </c>
      <c r="L123" s="459">
        <v>84000</v>
      </c>
      <c r="M123" s="459">
        <v>84000</v>
      </c>
      <c r="N123" s="454"/>
      <c r="O123" s="461">
        <v>2.8727272727272726</v>
      </c>
      <c r="P123" s="461">
        <v>2.5545454545454542</v>
      </c>
      <c r="Q123" s="461">
        <v>2.1</v>
      </c>
      <c r="R123" s="461">
        <v>0</v>
      </c>
      <c r="S123" s="461">
        <v>1.7999999999999998</v>
      </c>
      <c r="T123" s="461"/>
      <c r="U123" s="461">
        <v>2.4</v>
      </c>
      <c r="V123" s="461">
        <v>2.1999999999999997</v>
      </c>
      <c r="W123" s="461">
        <v>2</v>
      </c>
      <c r="X123" s="461">
        <v>0</v>
      </c>
      <c r="Y123" s="461">
        <v>1.5999999999999999</v>
      </c>
      <c r="Z123" s="461"/>
      <c r="AA123" s="461"/>
      <c r="AB123" s="461"/>
      <c r="AC123" s="461"/>
      <c r="AD123" s="461"/>
      <c r="AE123" s="461"/>
      <c r="AF123" s="461"/>
      <c r="AG123" s="460" t="s">
        <v>297</v>
      </c>
      <c r="AH123" s="460" t="s">
        <v>298</v>
      </c>
      <c r="AI123" s="460">
        <v>2</v>
      </c>
      <c r="AJ123" s="460">
        <v>4</v>
      </c>
      <c r="AK123" s="483">
        <v>0.33329999999999999</v>
      </c>
      <c r="AL123" s="483">
        <v>0.66659999999999997</v>
      </c>
      <c r="AM123" s="454" t="s">
        <v>1124</v>
      </c>
      <c r="AN123" s="460">
        <v>0</v>
      </c>
      <c r="AO123" s="460">
        <v>16</v>
      </c>
      <c r="AP123" s="460">
        <v>0</v>
      </c>
      <c r="AQ123" s="460">
        <v>0</v>
      </c>
      <c r="AR123" s="460">
        <v>0</v>
      </c>
      <c r="AS123" s="460">
        <v>0</v>
      </c>
      <c r="AT123" s="460">
        <v>0</v>
      </c>
      <c r="AU123" s="460">
        <v>0</v>
      </c>
      <c r="AV123" s="460">
        <v>0</v>
      </c>
      <c r="AW123" s="460">
        <v>0</v>
      </c>
      <c r="AX123" s="460">
        <v>0</v>
      </c>
      <c r="AY123" s="460">
        <v>0</v>
      </c>
      <c r="AZ123" s="454"/>
      <c r="BA123" s="460" t="s">
        <v>1278</v>
      </c>
      <c r="BB123" s="460"/>
      <c r="BC123" s="460" t="s">
        <v>1278</v>
      </c>
      <c r="BD123" s="460"/>
      <c r="BE123" s="460"/>
      <c r="BF123" s="460"/>
      <c r="BG123" s="455"/>
      <c r="BH123" s="454"/>
      <c r="BI123" s="460"/>
      <c r="BJ123" s="460" t="s">
        <v>4</v>
      </c>
      <c r="BK123" s="460">
        <v>1</v>
      </c>
      <c r="BL123" s="455"/>
      <c r="BM123" s="454" t="s">
        <v>1371</v>
      </c>
      <c r="BN123" s="454" t="s">
        <v>368</v>
      </c>
      <c r="BO123" s="450"/>
    </row>
    <row r="124" spans="1:67" ht="13" customHeight="1" x14ac:dyDescent="0.2">
      <c r="A124" s="478">
        <v>2556</v>
      </c>
      <c r="B124" s="452">
        <v>44028</v>
      </c>
      <c r="C124" s="453" t="s">
        <v>295</v>
      </c>
      <c r="D124" s="454" t="s">
        <v>1115</v>
      </c>
      <c r="E124" s="465">
        <v>44028</v>
      </c>
      <c r="F124" s="454" t="s">
        <v>1052</v>
      </c>
      <c r="G124" s="454" t="s">
        <v>1181</v>
      </c>
      <c r="H124" s="456">
        <v>75.25454545454545</v>
      </c>
      <c r="I124" s="458" t="s">
        <v>296</v>
      </c>
      <c r="J124" s="488">
        <v>6000</v>
      </c>
      <c r="K124" s="488">
        <v>12000</v>
      </c>
      <c r="L124" s="469">
        <v>24000</v>
      </c>
      <c r="M124" s="469">
        <v>24000</v>
      </c>
      <c r="N124" s="468"/>
      <c r="O124" s="456">
        <v>2.2363636363636363</v>
      </c>
      <c r="P124" s="456">
        <v>1.9363636363636361</v>
      </c>
      <c r="Q124" s="456">
        <v>1.5727272727272725</v>
      </c>
      <c r="R124" s="461">
        <v>0</v>
      </c>
      <c r="S124" s="456">
        <v>1.5636363636363635</v>
      </c>
      <c r="T124" s="456"/>
      <c r="U124" s="456">
        <v>1.7454545454545451</v>
      </c>
      <c r="V124" s="456">
        <v>1.6909090909090909</v>
      </c>
      <c r="W124" s="456">
        <v>1.5727272727272725</v>
      </c>
      <c r="X124" s="461">
        <v>0</v>
      </c>
      <c r="Y124" s="456">
        <v>1.5272727272727271</v>
      </c>
      <c r="Z124" s="466"/>
      <c r="AA124" s="466"/>
      <c r="AB124" s="466"/>
      <c r="AC124" s="466"/>
      <c r="AD124" s="466"/>
      <c r="AE124" s="466"/>
      <c r="AF124" s="466"/>
      <c r="AG124" s="460" t="s">
        <v>297</v>
      </c>
      <c r="AH124" s="460" t="s">
        <v>298</v>
      </c>
      <c r="AI124" s="460">
        <v>2</v>
      </c>
      <c r="AJ124" s="460">
        <v>4</v>
      </c>
      <c r="AK124" s="483">
        <v>0.33329999999999999</v>
      </c>
      <c r="AL124" s="483">
        <v>0.66659999999999997</v>
      </c>
      <c r="AM124" s="454" t="s">
        <v>1124</v>
      </c>
      <c r="AN124" s="460">
        <v>0</v>
      </c>
      <c r="AO124" s="460">
        <v>0</v>
      </c>
      <c r="AP124" s="460">
        <v>0</v>
      </c>
      <c r="AQ124" s="460">
        <v>0</v>
      </c>
      <c r="AR124" s="460">
        <v>0</v>
      </c>
      <c r="AS124" s="460">
        <v>0</v>
      </c>
      <c r="AT124" s="460">
        <v>0</v>
      </c>
      <c r="AU124" s="460">
        <v>0</v>
      </c>
      <c r="AV124" s="460">
        <v>0</v>
      </c>
      <c r="AW124" s="460">
        <v>0</v>
      </c>
      <c r="AX124" s="460">
        <v>0</v>
      </c>
      <c r="AY124" s="460">
        <v>0</v>
      </c>
      <c r="AZ124" s="460"/>
      <c r="BA124" s="460" t="s">
        <v>1278</v>
      </c>
      <c r="BB124" s="460"/>
      <c r="BC124" s="460" t="s">
        <v>1278</v>
      </c>
      <c r="BD124" s="460"/>
      <c r="BE124" s="460"/>
      <c r="BF124" s="460"/>
      <c r="BG124" s="455"/>
      <c r="BH124" s="454"/>
      <c r="BI124" s="460"/>
      <c r="BJ124" s="460" t="s">
        <v>4</v>
      </c>
      <c r="BK124" s="460"/>
      <c r="BL124" s="455"/>
      <c r="BM124" s="486" t="s">
        <v>1448</v>
      </c>
      <c r="BN124" s="454" t="s">
        <v>408</v>
      </c>
      <c r="BO124" s="450"/>
    </row>
    <row r="125" spans="1:67" ht="13" customHeight="1" x14ac:dyDescent="0.2">
      <c r="A125" s="451">
        <v>2119</v>
      </c>
      <c r="B125" s="452">
        <v>44028</v>
      </c>
      <c r="C125" s="453" t="s">
        <v>295</v>
      </c>
      <c r="D125" s="454" t="s">
        <v>1115</v>
      </c>
      <c r="E125" s="452">
        <v>43924</v>
      </c>
      <c r="F125" s="455" t="s">
        <v>1054</v>
      </c>
      <c r="G125" s="454" t="s">
        <v>1157</v>
      </c>
      <c r="H125" s="461">
        <v>95.799999999999983</v>
      </c>
      <c r="I125" s="458" t="s">
        <v>1141</v>
      </c>
      <c r="J125" s="459">
        <v>12000</v>
      </c>
      <c r="K125" s="459">
        <v>12000</v>
      </c>
      <c r="L125" s="459">
        <v>12000</v>
      </c>
      <c r="M125" s="459">
        <v>12000</v>
      </c>
      <c r="N125" s="454"/>
      <c r="O125" s="461">
        <v>2.7818181818181817</v>
      </c>
      <c r="P125" s="482">
        <v>0</v>
      </c>
      <c r="Q125" s="461">
        <v>0</v>
      </c>
      <c r="R125" s="461">
        <v>0</v>
      </c>
      <c r="S125" s="461">
        <v>1.7999999999999998</v>
      </c>
      <c r="T125" s="461"/>
      <c r="U125" s="461">
        <v>2.0363636363636366</v>
      </c>
      <c r="V125" s="461">
        <v>0</v>
      </c>
      <c r="W125" s="461">
        <v>0</v>
      </c>
      <c r="X125" s="461">
        <v>0</v>
      </c>
      <c r="Y125" s="461">
        <v>0</v>
      </c>
      <c r="Z125" s="461"/>
      <c r="AA125" s="461"/>
      <c r="AB125" s="461"/>
      <c r="AC125" s="461"/>
      <c r="AD125" s="461"/>
      <c r="AE125" s="461"/>
      <c r="AF125" s="461"/>
      <c r="AG125" s="460" t="s">
        <v>297</v>
      </c>
      <c r="AH125" s="460" t="s">
        <v>298</v>
      </c>
      <c r="AI125" s="460">
        <v>2</v>
      </c>
      <c r="AJ125" s="460">
        <v>4</v>
      </c>
      <c r="AK125" s="483">
        <v>0.33329999999999999</v>
      </c>
      <c r="AL125" s="483">
        <v>0.66659999999999997</v>
      </c>
      <c r="AM125" s="454" t="s">
        <v>1124</v>
      </c>
      <c r="AN125" s="460">
        <v>23</v>
      </c>
      <c r="AO125" s="460">
        <v>0</v>
      </c>
      <c r="AP125" s="460">
        <v>0</v>
      </c>
      <c r="AQ125" s="460">
        <v>0</v>
      </c>
      <c r="AR125" s="460">
        <v>0</v>
      </c>
      <c r="AS125" s="460">
        <v>0</v>
      </c>
      <c r="AT125" s="460">
        <v>0</v>
      </c>
      <c r="AU125" s="460">
        <v>0</v>
      </c>
      <c r="AV125" s="460">
        <v>0</v>
      </c>
      <c r="AW125" s="460">
        <v>0</v>
      </c>
      <c r="AX125" s="460">
        <v>0</v>
      </c>
      <c r="AY125" s="460">
        <v>0</v>
      </c>
      <c r="AZ125" s="472">
        <v>12</v>
      </c>
      <c r="BA125" s="460" t="s">
        <v>1278</v>
      </c>
      <c r="BB125" s="460">
        <v>12</v>
      </c>
      <c r="BC125" s="460" t="s">
        <v>1278</v>
      </c>
      <c r="BD125" s="460"/>
      <c r="BE125" s="460">
        <v>12</v>
      </c>
      <c r="BF125" s="460"/>
      <c r="BG125" s="455"/>
      <c r="BH125" s="454"/>
      <c r="BI125" s="460"/>
      <c r="BJ125" s="460" t="s">
        <v>4</v>
      </c>
      <c r="BK125" s="460"/>
      <c r="BL125" s="455"/>
      <c r="BM125" s="484" t="s">
        <v>1457</v>
      </c>
      <c r="BN125" s="454" t="s">
        <v>368</v>
      </c>
      <c r="BO125" s="450"/>
    </row>
    <row r="126" spans="1:67" ht="13" customHeight="1" x14ac:dyDescent="0.2">
      <c r="A126" s="451">
        <v>1971</v>
      </c>
      <c r="B126" s="452">
        <v>44028</v>
      </c>
      <c r="C126" s="453" t="s">
        <v>295</v>
      </c>
      <c r="D126" s="454" t="s">
        <v>1115</v>
      </c>
      <c r="E126" s="452">
        <v>44025</v>
      </c>
      <c r="F126" s="455" t="s">
        <v>1055</v>
      </c>
      <c r="G126" s="454" t="s">
        <v>1400</v>
      </c>
      <c r="H126" s="461">
        <v>77.599999999999994</v>
      </c>
      <c r="I126" s="458" t="s">
        <v>296</v>
      </c>
      <c r="J126" s="459">
        <v>6000</v>
      </c>
      <c r="K126" s="459">
        <v>12000</v>
      </c>
      <c r="L126" s="459">
        <v>84000</v>
      </c>
      <c r="M126" s="459">
        <v>84000</v>
      </c>
      <c r="N126" s="454"/>
      <c r="O126" s="461">
        <v>2.0818181818181816</v>
      </c>
      <c r="P126" s="461">
        <v>1.8909090909090909</v>
      </c>
      <c r="Q126" s="461">
        <v>1.6454545454545453</v>
      </c>
      <c r="R126" s="461">
        <v>0</v>
      </c>
      <c r="S126" s="461">
        <v>1.4545454545454546</v>
      </c>
      <c r="T126" s="461"/>
      <c r="U126" s="461">
        <v>1.6636363636363636</v>
      </c>
      <c r="V126" s="461">
        <v>1.5818181818181818</v>
      </c>
      <c r="W126" s="461">
        <v>1.4636363636363636</v>
      </c>
      <c r="X126" s="461">
        <v>0</v>
      </c>
      <c r="Y126" s="461">
        <v>1.4181818181818182</v>
      </c>
      <c r="Z126" s="461"/>
      <c r="AA126" s="461"/>
      <c r="AB126" s="461"/>
      <c r="AC126" s="461"/>
      <c r="AD126" s="461"/>
      <c r="AE126" s="461"/>
      <c r="AF126" s="461"/>
      <c r="AG126" s="460" t="s">
        <v>297</v>
      </c>
      <c r="AH126" s="460" t="s">
        <v>298</v>
      </c>
      <c r="AI126" s="460">
        <v>2</v>
      </c>
      <c r="AJ126" s="460">
        <v>4</v>
      </c>
      <c r="AK126" s="483">
        <v>0.33329999999999999</v>
      </c>
      <c r="AL126" s="483">
        <v>0.66659999999999997</v>
      </c>
      <c r="AM126" s="454" t="s">
        <v>1124</v>
      </c>
      <c r="AN126" s="460">
        <v>0</v>
      </c>
      <c r="AO126" s="460">
        <v>0</v>
      </c>
      <c r="AP126" s="460">
        <v>0</v>
      </c>
      <c r="AQ126" s="460">
        <v>0</v>
      </c>
      <c r="AR126" s="460">
        <v>0</v>
      </c>
      <c r="AS126" s="460">
        <v>0</v>
      </c>
      <c r="AT126" s="460">
        <v>0</v>
      </c>
      <c r="AU126" s="460">
        <v>0</v>
      </c>
      <c r="AV126" s="460">
        <v>0</v>
      </c>
      <c r="AW126" s="460">
        <v>0</v>
      </c>
      <c r="AX126" s="460">
        <v>0</v>
      </c>
      <c r="AY126" s="460">
        <v>0</v>
      </c>
      <c r="AZ126" s="454"/>
      <c r="BA126" s="460" t="s">
        <v>1278</v>
      </c>
      <c r="BB126" s="460"/>
      <c r="BC126" s="460" t="s">
        <v>1278</v>
      </c>
      <c r="BD126" s="460"/>
      <c r="BE126" s="460"/>
      <c r="BF126" s="460"/>
      <c r="BG126" s="460"/>
      <c r="BH126" s="460"/>
      <c r="BI126" s="460"/>
      <c r="BJ126" s="460" t="s">
        <v>4</v>
      </c>
      <c r="BK126" s="460"/>
      <c r="BL126" s="455"/>
      <c r="BM126" s="484" t="s">
        <v>1458</v>
      </c>
      <c r="BN126" s="454" t="s">
        <v>408</v>
      </c>
      <c r="BO126" s="450"/>
    </row>
    <row r="127" spans="1:67" ht="13" customHeight="1" x14ac:dyDescent="0.2">
      <c r="A127" s="451">
        <v>318</v>
      </c>
      <c r="B127" s="452">
        <v>44028</v>
      </c>
      <c r="C127" s="453" t="s">
        <v>295</v>
      </c>
      <c r="D127" s="454" t="s">
        <v>1115</v>
      </c>
      <c r="E127" s="452">
        <v>44013</v>
      </c>
      <c r="F127" s="454" t="s">
        <v>1057</v>
      </c>
      <c r="G127" s="454" t="s">
        <v>1181</v>
      </c>
      <c r="H127" s="461">
        <v>99.25454545454545</v>
      </c>
      <c r="I127" s="458" t="s">
        <v>296</v>
      </c>
      <c r="J127" s="459">
        <v>6000</v>
      </c>
      <c r="K127" s="459">
        <v>12000</v>
      </c>
      <c r="L127" s="459">
        <v>84000</v>
      </c>
      <c r="M127" s="459">
        <v>84000</v>
      </c>
      <c r="N127" s="454"/>
      <c r="O127" s="461">
        <v>2.2454545454545456</v>
      </c>
      <c r="P127" s="461">
        <v>1.9636363636363636</v>
      </c>
      <c r="Q127" s="461">
        <v>1.6272727272727272</v>
      </c>
      <c r="R127" s="461">
        <v>0</v>
      </c>
      <c r="S127" s="461">
        <v>1.6090909090909089</v>
      </c>
      <c r="T127" s="461"/>
      <c r="U127" s="461">
        <v>1.7</v>
      </c>
      <c r="V127" s="461">
        <v>1.6636363636363636</v>
      </c>
      <c r="W127" s="461">
        <v>1.5909090909090908</v>
      </c>
      <c r="X127" s="461">
        <v>0</v>
      </c>
      <c r="Y127" s="461">
        <v>1.5454545454545452</v>
      </c>
      <c r="Z127" s="461"/>
      <c r="AA127" s="461"/>
      <c r="AB127" s="461"/>
      <c r="AC127" s="461"/>
      <c r="AD127" s="461"/>
      <c r="AE127" s="461"/>
      <c r="AF127" s="461"/>
      <c r="AG127" s="460" t="s">
        <v>297</v>
      </c>
      <c r="AH127" s="460" t="s">
        <v>298</v>
      </c>
      <c r="AI127" s="460">
        <v>2</v>
      </c>
      <c r="AJ127" s="460">
        <v>4</v>
      </c>
      <c r="AK127" s="483">
        <v>0.33329999999999999</v>
      </c>
      <c r="AL127" s="483">
        <v>0.66659999999999997</v>
      </c>
      <c r="AM127" s="454" t="s">
        <v>1124</v>
      </c>
      <c r="AN127" s="460">
        <v>0</v>
      </c>
      <c r="AO127" s="460">
        <v>0</v>
      </c>
      <c r="AP127" s="460">
        <v>0</v>
      </c>
      <c r="AQ127" s="460">
        <v>0</v>
      </c>
      <c r="AR127" s="460">
        <v>0</v>
      </c>
      <c r="AS127" s="460">
        <v>0</v>
      </c>
      <c r="AT127" s="460">
        <v>0</v>
      </c>
      <c r="AU127" s="460">
        <v>0</v>
      </c>
      <c r="AV127" s="460">
        <v>0</v>
      </c>
      <c r="AW127" s="460">
        <v>0</v>
      </c>
      <c r="AX127" s="460">
        <v>0</v>
      </c>
      <c r="AY127" s="460">
        <v>0</v>
      </c>
      <c r="AZ127" s="454"/>
      <c r="BA127" s="460" t="s">
        <v>1278</v>
      </c>
      <c r="BB127" s="460"/>
      <c r="BC127" s="460" t="s">
        <v>1278</v>
      </c>
      <c r="BD127" s="460"/>
      <c r="BE127" s="460"/>
      <c r="BF127" s="460"/>
      <c r="BG127" s="455"/>
      <c r="BH127" s="454"/>
      <c r="BI127" s="460"/>
      <c r="BJ127" s="460" t="s">
        <v>4</v>
      </c>
      <c r="BK127" s="460"/>
      <c r="BL127" s="455"/>
      <c r="BM127" s="484" t="s">
        <v>1450</v>
      </c>
      <c r="BN127" s="454" t="s">
        <v>368</v>
      </c>
      <c r="BO127" s="450"/>
    </row>
    <row r="128" spans="1:67" ht="13" customHeight="1" x14ac:dyDescent="0.2">
      <c r="A128" s="451">
        <v>2263</v>
      </c>
      <c r="B128" s="452">
        <v>44028</v>
      </c>
      <c r="C128" s="453" t="s">
        <v>295</v>
      </c>
      <c r="D128" s="454" t="s">
        <v>1115</v>
      </c>
      <c r="E128" s="452">
        <v>44013</v>
      </c>
      <c r="F128" s="455" t="s">
        <v>981</v>
      </c>
      <c r="G128" s="454" t="s">
        <v>1167</v>
      </c>
      <c r="H128" s="461">
        <v>78</v>
      </c>
      <c r="I128" s="458" t="s">
        <v>296</v>
      </c>
      <c r="J128" s="459">
        <v>3000</v>
      </c>
      <c r="K128" s="459">
        <v>3000</v>
      </c>
      <c r="L128" s="459">
        <v>3000</v>
      </c>
      <c r="M128" s="459">
        <v>3000</v>
      </c>
      <c r="N128" s="454"/>
      <c r="O128" s="461">
        <v>2.8</v>
      </c>
      <c r="P128" s="482">
        <v>0</v>
      </c>
      <c r="Q128" s="461">
        <v>0</v>
      </c>
      <c r="R128" s="461">
        <v>0</v>
      </c>
      <c r="S128" s="461">
        <v>2.2000000000000002</v>
      </c>
      <c r="T128" s="461"/>
      <c r="U128" s="461">
        <v>2</v>
      </c>
      <c r="V128" s="482">
        <v>0</v>
      </c>
      <c r="W128" s="461">
        <v>0</v>
      </c>
      <c r="X128" s="461">
        <v>0</v>
      </c>
      <c r="Y128" s="461">
        <v>1.6</v>
      </c>
      <c r="Z128" s="461"/>
      <c r="AA128" s="461"/>
      <c r="AB128" s="461"/>
      <c r="AC128" s="461"/>
      <c r="AD128" s="461"/>
      <c r="AE128" s="461"/>
      <c r="AF128" s="461"/>
      <c r="AG128" s="460" t="s">
        <v>297</v>
      </c>
      <c r="AH128" s="460" t="s">
        <v>298</v>
      </c>
      <c r="AI128" s="460">
        <v>2</v>
      </c>
      <c r="AJ128" s="460">
        <v>4</v>
      </c>
      <c r="AK128" s="483">
        <v>0.33329999999999999</v>
      </c>
      <c r="AL128" s="483">
        <v>0.66659999999999997</v>
      </c>
      <c r="AM128" s="454" t="s">
        <v>1124</v>
      </c>
      <c r="AN128" s="460">
        <v>11</v>
      </c>
      <c r="AO128" s="460">
        <v>0</v>
      </c>
      <c r="AP128" s="460">
        <v>0</v>
      </c>
      <c r="AQ128" s="460">
        <v>0</v>
      </c>
      <c r="AR128" s="460">
        <v>0</v>
      </c>
      <c r="AS128" s="460">
        <v>0</v>
      </c>
      <c r="AT128" s="460">
        <v>0</v>
      </c>
      <c r="AU128" s="460">
        <v>0</v>
      </c>
      <c r="AV128" s="460">
        <v>0</v>
      </c>
      <c r="AW128" s="460">
        <v>0</v>
      </c>
      <c r="AX128" s="460">
        <v>0</v>
      </c>
      <c r="AY128" s="460">
        <v>0</v>
      </c>
      <c r="AZ128" s="454"/>
      <c r="BA128" s="460" t="s">
        <v>1278</v>
      </c>
      <c r="BB128" s="460">
        <v>12</v>
      </c>
      <c r="BC128" s="460" t="s">
        <v>1278</v>
      </c>
      <c r="BD128" s="460"/>
      <c r="BE128" s="460"/>
      <c r="BF128" s="460"/>
      <c r="BG128" s="455"/>
      <c r="BH128" s="454"/>
      <c r="BI128" s="460"/>
      <c r="BJ128" s="460" t="s">
        <v>4</v>
      </c>
      <c r="BK128" s="460"/>
      <c r="BL128" s="455"/>
      <c r="BM128" s="454" t="s">
        <v>430</v>
      </c>
      <c r="BN128" s="454" t="s">
        <v>368</v>
      </c>
      <c r="BO128" s="450"/>
    </row>
    <row r="129" spans="1:67" ht="13" customHeight="1" x14ac:dyDescent="0.2">
      <c r="A129" s="451">
        <v>2400</v>
      </c>
      <c r="B129" s="452">
        <v>44029</v>
      </c>
      <c r="C129" s="453" t="s">
        <v>295</v>
      </c>
      <c r="D129" s="454" t="s">
        <v>1115</v>
      </c>
      <c r="E129" s="465">
        <v>43984</v>
      </c>
      <c r="F129" s="455" t="s">
        <v>982</v>
      </c>
      <c r="G129" s="454" t="s">
        <v>1297</v>
      </c>
      <c r="H129" s="461">
        <v>74.25454545454545</v>
      </c>
      <c r="I129" s="458" t="s">
        <v>296</v>
      </c>
      <c r="J129" s="459">
        <v>6000</v>
      </c>
      <c r="K129" s="459">
        <v>12000</v>
      </c>
      <c r="L129" s="459">
        <v>84000</v>
      </c>
      <c r="M129" s="459">
        <v>84000</v>
      </c>
      <c r="N129" s="454"/>
      <c r="O129" s="461">
        <v>2.1636363636363636</v>
      </c>
      <c r="P129" s="461">
        <v>1.9363636363636361</v>
      </c>
      <c r="Q129" s="461">
        <v>1.7090909090909088</v>
      </c>
      <c r="R129" s="461">
        <v>0</v>
      </c>
      <c r="S129" s="461">
        <v>1.6636363636363636</v>
      </c>
      <c r="T129" s="461"/>
      <c r="U129" s="461">
        <v>1.7545454545454544</v>
      </c>
      <c r="V129" s="461">
        <v>1.7090909090909088</v>
      </c>
      <c r="W129" s="461">
        <v>1.6181818181818182</v>
      </c>
      <c r="X129" s="461">
        <v>0</v>
      </c>
      <c r="Y129" s="461">
        <v>1.5727272727272725</v>
      </c>
      <c r="Z129" s="461"/>
      <c r="AA129" s="461"/>
      <c r="AB129" s="461"/>
      <c r="AC129" s="461"/>
      <c r="AD129" s="461"/>
      <c r="AE129" s="461"/>
      <c r="AF129" s="461"/>
      <c r="AG129" s="460" t="s">
        <v>297</v>
      </c>
      <c r="AH129" s="460" t="s">
        <v>298</v>
      </c>
      <c r="AI129" s="460">
        <v>2</v>
      </c>
      <c r="AJ129" s="460">
        <v>4</v>
      </c>
      <c r="AK129" s="483">
        <v>0.33329999999999999</v>
      </c>
      <c r="AL129" s="483">
        <v>0.66659999999999997</v>
      </c>
      <c r="AM129" s="454" t="s">
        <v>1124</v>
      </c>
      <c r="AN129" s="460">
        <v>0</v>
      </c>
      <c r="AO129" s="460">
        <v>0</v>
      </c>
      <c r="AP129" s="460">
        <v>0</v>
      </c>
      <c r="AQ129" s="460">
        <v>0</v>
      </c>
      <c r="AR129" s="460">
        <v>0</v>
      </c>
      <c r="AS129" s="460">
        <v>0</v>
      </c>
      <c r="AT129" s="460">
        <v>0</v>
      </c>
      <c r="AU129" s="460">
        <v>0</v>
      </c>
      <c r="AV129" s="460">
        <v>0</v>
      </c>
      <c r="AW129" s="460">
        <v>0</v>
      </c>
      <c r="AX129" s="460">
        <v>0</v>
      </c>
      <c r="AY129" s="460">
        <v>0</v>
      </c>
      <c r="AZ129" s="460"/>
      <c r="BA129" s="460" t="s">
        <v>1278</v>
      </c>
      <c r="BB129" s="460"/>
      <c r="BC129" s="460" t="s">
        <v>1278</v>
      </c>
      <c r="BD129" s="460"/>
      <c r="BE129" s="460"/>
      <c r="BF129" s="460"/>
      <c r="BG129" s="455"/>
      <c r="BH129" s="454"/>
      <c r="BI129" s="460"/>
      <c r="BJ129" s="460" t="s">
        <v>4</v>
      </c>
      <c r="BK129" s="460"/>
      <c r="BL129" s="455"/>
      <c r="BM129" s="484" t="s">
        <v>1459</v>
      </c>
      <c r="BN129" s="454" t="s">
        <v>368</v>
      </c>
      <c r="BO129" s="450"/>
    </row>
    <row r="130" spans="1:67" ht="13" customHeight="1" x14ac:dyDescent="0.2">
      <c r="A130" s="451">
        <v>2693</v>
      </c>
      <c r="B130" s="452">
        <v>44029</v>
      </c>
      <c r="C130" s="453" t="s">
        <v>295</v>
      </c>
      <c r="D130" s="454" t="s">
        <v>1115</v>
      </c>
      <c r="E130" s="465">
        <v>44013</v>
      </c>
      <c r="F130" s="455" t="s">
        <v>984</v>
      </c>
      <c r="G130" s="454" t="s">
        <v>1405</v>
      </c>
      <c r="H130" s="461">
        <v>92.61818181818181</v>
      </c>
      <c r="I130" s="458" t="s">
        <v>296</v>
      </c>
      <c r="J130" s="459">
        <v>6000</v>
      </c>
      <c r="K130" s="459">
        <v>12000</v>
      </c>
      <c r="L130" s="459">
        <v>84000</v>
      </c>
      <c r="M130" s="459">
        <v>84000</v>
      </c>
      <c r="N130" s="454"/>
      <c r="O130" s="461">
        <v>2.4090909090909087</v>
      </c>
      <c r="P130" s="461">
        <v>2.0545454545454542</v>
      </c>
      <c r="Q130" s="461">
        <v>1.6090909090909089</v>
      </c>
      <c r="R130" s="461">
        <v>0</v>
      </c>
      <c r="S130" s="461">
        <v>1.5999999999999999</v>
      </c>
      <c r="T130" s="461"/>
      <c r="U130" s="461">
        <v>1.8181818181818181</v>
      </c>
      <c r="V130" s="461">
        <v>1.7636363636363634</v>
      </c>
      <c r="W130" s="461">
        <v>1.6090909090909089</v>
      </c>
      <c r="X130" s="461">
        <v>0</v>
      </c>
      <c r="Y130" s="461">
        <v>1.5545454545454545</v>
      </c>
      <c r="Z130" s="461"/>
      <c r="AA130" s="461"/>
      <c r="AB130" s="461"/>
      <c r="AC130" s="461"/>
      <c r="AD130" s="461"/>
      <c r="AE130" s="461"/>
      <c r="AF130" s="461"/>
      <c r="AG130" s="460" t="s">
        <v>297</v>
      </c>
      <c r="AH130" s="460" t="s">
        <v>298</v>
      </c>
      <c r="AI130" s="460">
        <v>2</v>
      </c>
      <c r="AJ130" s="460">
        <v>4</v>
      </c>
      <c r="AK130" s="483">
        <v>0.33329999999999999</v>
      </c>
      <c r="AL130" s="483">
        <v>0.66659999999999997</v>
      </c>
      <c r="AM130" s="454" t="s">
        <v>1124</v>
      </c>
      <c r="AN130" s="460">
        <v>20</v>
      </c>
      <c r="AO130" s="460">
        <v>0</v>
      </c>
      <c r="AP130" s="460">
        <v>0</v>
      </c>
      <c r="AQ130" s="460">
        <v>0</v>
      </c>
      <c r="AR130" s="460">
        <v>0</v>
      </c>
      <c r="AS130" s="460">
        <v>0</v>
      </c>
      <c r="AT130" s="460">
        <v>0</v>
      </c>
      <c r="AU130" s="460">
        <v>0</v>
      </c>
      <c r="AV130" s="460">
        <v>0</v>
      </c>
      <c r="AW130" s="460">
        <v>0</v>
      </c>
      <c r="AX130" s="460">
        <v>0</v>
      </c>
      <c r="AY130" s="460">
        <v>0</v>
      </c>
      <c r="AZ130" s="454"/>
      <c r="BA130" s="460" t="s">
        <v>1278</v>
      </c>
      <c r="BB130" s="460"/>
      <c r="BC130" s="460" t="s">
        <v>1278</v>
      </c>
      <c r="BD130" s="460"/>
      <c r="BE130" s="460"/>
      <c r="BF130" s="460"/>
      <c r="BG130" s="455"/>
      <c r="BH130" s="454"/>
      <c r="BI130" s="460"/>
      <c r="BJ130" s="460" t="s">
        <v>4</v>
      </c>
      <c r="BK130" s="460"/>
      <c r="BL130" s="455"/>
      <c r="BM130" s="484" t="s">
        <v>430</v>
      </c>
      <c r="BN130" s="454" t="s">
        <v>368</v>
      </c>
      <c r="BO130" s="450"/>
    </row>
    <row r="131" spans="1:67" ht="13" customHeight="1" x14ac:dyDescent="0.2">
      <c r="A131" s="451">
        <v>2217</v>
      </c>
      <c r="B131" s="452">
        <v>44032</v>
      </c>
      <c r="C131" s="453" t="s">
        <v>295</v>
      </c>
      <c r="D131" s="454" t="s">
        <v>1115</v>
      </c>
      <c r="E131" s="465">
        <v>43831</v>
      </c>
      <c r="F131" s="454" t="s">
        <v>985</v>
      </c>
      <c r="G131" s="454" t="s">
        <v>1174</v>
      </c>
      <c r="H131" s="461">
        <v>67.999999999999986</v>
      </c>
      <c r="I131" s="467" t="s">
        <v>296</v>
      </c>
      <c r="J131" s="469">
        <v>6000</v>
      </c>
      <c r="K131" s="459">
        <v>12000</v>
      </c>
      <c r="L131" s="459">
        <v>84000</v>
      </c>
      <c r="M131" s="459">
        <v>84000</v>
      </c>
      <c r="N131" s="468"/>
      <c r="O131" s="461">
        <v>2.2181818181818178</v>
      </c>
      <c r="P131" s="461">
        <v>2.0181818181818181</v>
      </c>
      <c r="Q131" s="461">
        <v>1.9272727272727272</v>
      </c>
      <c r="R131" s="461">
        <v>0</v>
      </c>
      <c r="S131" s="461">
        <v>1.8181818181818181</v>
      </c>
      <c r="T131" s="456"/>
      <c r="U131" s="461">
        <v>1.7545454545454544</v>
      </c>
      <c r="V131" s="461">
        <v>1.5181818181818181</v>
      </c>
      <c r="W131" s="461">
        <v>1.3818181818181816</v>
      </c>
      <c r="X131" s="461">
        <v>0</v>
      </c>
      <c r="Y131" s="461">
        <v>1.2</v>
      </c>
      <c r="Z131" s="456"/>
      <c r="AA131" s="461"/>
      <c r="AB131" s="461"/>
      <c r="AC131" s="461"/>
      <c r="AD131" s="461"/>
      <c r="AE131" s="461"/>
      <c r="AF131" s="456"/>
      <c r="AG131" s="470" t="s">
        <v>297</v>
      </c>
      <c r="AH131" s="470" t="s">
        <v>298</v>
      </c>
      <c r="AI131" s="460">
        <v>2</v>
      </c>
      <c r="AJ131" s="460">
        <v>4</v>
      </c>
      <c r="AK131" s="483">
        <v>0.33329999999999999</v>
      </c>
      <c r="AL131" s="483">
        <v>0.66659999999999997</v>
      </c>
      <c r="AM131" s="454" t="s">
        <v>1124</v>
      </c>
      <c r="AN131" s="460">
        <v>0</v>
      </c>
      <c r="AO131" s="460">
        <v>0</v>
      </c>
      <c r="AP131" s="460">
        <v>5</v>
      </c>
      <c r="AQ131" s="460">
        <v>0</v>
      </c>
      <c r="AR131" s="460">
        <v>0</v>
      </c>
      <c r="AS131" s="460">
        <v>0</v>
      </c>
      <c r="AT131" s="460">
        <v>0</v>
      </c>
      <c r="AU131" s="460">
        <v>0</v>
      </c>
      <c r="AV131" s="460">
        <v>0</v>
      </c>
      <c r="AW131" s="460">
        <v>0</v>
      </c>
      <c r="AX131" s="460">
        <v>0</v>
      </c>
      <c r="AY131" s="460">
        <v>0</v>
      </c>
      <c r="AZ131" s="460"/>
      <c r="BA131" s="460" t="s">
        <v>1278</v>
      </c>
      <c r="BB131" s="460">
        <v>12</v>
      </c>
      <c r="BC131" s="460" t="s">
        <v>1278</v>
      </c>
      <c r="BD131" s="460"/>
      <c r="BE131" s="460"/>
      <c r="BF131" s="460"/>
      <c r="BG131" s="455"/>
      <c r="BH131" s="454"/>
      <c r="BI131" s="460"/>
      <c r="BJ131" s="460" t="s">
        <v>411</v>
      </c>
      <c r="BK131" s="460"/>
      <c r="BL131" s="455"/>
      <c r="BM131" s="454" t="s">
        <v>1460</v>
      </c>
      <c r="BN131" s="454" t="s">
        <v>368</v>
      </c>
      <c r="BO131" s="450"/>
    </row>
    <row r="132" spans="1:67" ht="13" customHeight="1" x14ac:dyDescent="0.2">
      <c r="A132" s="451">
        <v>1917</v>
      </c>
      <c r="B132" s="452">
        <v>44028</v>
      </c>
      <c r="C132" s="453" t="s">
        <v>295</v>
      </c>
      <c r="D132" s="454" t="s">
        <v>1115</v>
      </c>
      <c r="E132" s="452">
        <v>43831</v>
      </c>
      <c r="F132" s="455" t="s">
        <v>987</v>
      </c>
      <c r="G132" s="454" t="s">
        <v>1127</v>
      </c>
      <c r="H132" s="461">
        <v>65.823999999999998</v>
      </c>
      <c r="I132" s="458" t="s">
        <v>296</v>
      </c>
      <c r="J132" s="459">
        <v>6000</v>
      </c>
      <c r="K132" s="459">
        <v>12000</v>
      </c>
      <c r="L132" s="459">
        <v>12000</v>
      </c>
      <c r="M132" s="459">
        <v>12000</v>
      </c>
      <c r="N132" s="454"/>
      <c r="O132" s="461">
        <v>2.4140000000000001</v>
      </c>
      <c r="P132" s="461">
        <v>2.0739999999999998</v>
      </c>
      <c r="Q132" s="482">
        <v>0</v>
      </c>
      <c r="R132" s="461">
        <v>0</v>
      </c>
      <c r="S132" s="461">
        <v>1.5640000000000001</v>
      </c>
      <c r="T132" s="461"/>
      <c r="U132" s="461">
        <v>1.7</v>
      </c>
      <c r="V132" s="461">
        <v>1.6659999999999999</v>
      </c>
      <c r="W132" s="482">
        <v>0</v>
      </c>
      <c r="X132" s="461">
        <v>0</v>
      </c>
      <c r="Y132" s="461">
        <v>1.5640000000000001</v>
      </c>
      <c r="Z132" s="461"/>
      <c r="AA132" s="461"/>
      <c r="AB132" s="461"/>
      <c r="AC132" s="461"/>
      <c r="AD132" s="461"/>
      <c r="AE132" s="461"/>
      <c r="AF132" s="461"/>
      <c r="AG132" s="460" t="s">
        <v>297</v>
      </c>
      <c r="AH132" s="460" t="s">
        <v>298</v>
      </c>
      <c r="AI132" s="460">
        <v>2</v>
      </c>
      <c r="AJ132" s="460">
        <v>4</v>
      </c>
      <c r="AK132" s="483">
        <v>0.33329999999999999</v>
      </c>
      <c r="AL132" s="483">
        <v>0.66659999999999997</v>
      </c>
      <c r="AM132" s="454" t="s">
        <v>1124</v>
      </c>
      <c r="AN132" s="460">
        <v>0</v>
      </c>
      <c r="AO132" s="460">
        <v>0</v>
      </c>
      <c r="AP132" s="460">
        <v>0</v>
      </c>
      <c r="AQ132" s="460">
        <v>0</v>
      </c>
      <c r="AR132" s="460">
        <v>0</v>
      </c>
      <c r="AS132" s="460">
        <v>0</v>
      </c>
      <c r="AT132" s="460">
        <v>0</v>
      </c>
      <c r="AU132" s="460">
        <v>0</v>
      </c>
      <c r="AV132" s="460">
        <v>0</v>
      </c>
      <c r="AW132" s="460">
        <v>0</v>
      </c>
      <c r="AX132" s="460">
        <v>0</v>
      </c>
      <c r="AY132" s="460">
        <v>0</v>
      </c>
      <c r="AZ132" s="460"/>
      <c r="BA132" s="460" t="s">
        <v>1278</v>
      </c>
      <c r="BB132" s="460"/>
      <c r="BC132" s="460" t="s">
        <v>1278</v>
      </c>
      <c r="BD132" s="460"/>
      <c r="BE132" s="460"/>
      <c r="BF132" s="460"/>
      <c r="BG132" s="455"/>
      <c r="BH132" s="454"/>
      <c r="BI132" s="460"/>
      <c r="BJ132" s="460" t="s">
        <v>4</v>
      </c>
      <c r="BK132" s="460">
        <v>1</v>
      </c>
      <c r="BL132" s="455"/>
      <c r="BM132" s="454" t="s">
        <v>1384</v>
      </c>
      <c r="BN132" s="454" t="s">
        <v>368</v>
      </c>
      <c r="BO132" s="450"/>
    </row>
    <row r="133" spans="1:67" ht="13" customHeight="1" x14ac:dyDescent="0.2">
      <c r="A133" s="451">
        <v>1688</v>
      </c>
      <c r="B133" s="452">
        <v>44029</v>
      </c>
      <c r="C133" s="453" t="s">
        <v>295</v>
      </c>
      <c r="D133" s="454" t="s">
        <v>1115</v>
      </c>
      <c r="E133" s="452">
        <v>44007</v>
      </c>
      <c r="F133" s="455" t="s">
        <v>1106</v>
      </c>
      <c r="G133" s="454" t="s">
        <v>2</v>
      </c>
      <c r="H133" s="461">
        <v>75.999999999999986</v>
      </c>
      <c r="I133" s="458" t="s">
        <v>296</v>
      </c>
      <c r="J133" s="459">
        <v>6000</v>
      </c>
      <c r="K133" s="459">
        <v>6000</v>
      </c>
      <c r="L133" s="459">
        <v>6000</v>
      </c>
      <c r="M133" s="459">
        <v>6000</v>
      </c>
      <c r="N133" s="454"/>
      <c r="O133" s="461">
        <v>1.8545454545454545</v>
      </c>
      <c r="P133" s="482">
        <v>0</v>
      </c>
      <c r="Q133" s="461">
        <v>0</v>
      </c>
      <c r="R133" s="461">
        <v>0</v>
      </c>
      <c r="S133" s="461">
        <v>1.4999999999999998</v>
      </c>
      <c r="T133" s="461"/>
      <c r="U133" s="461">
        <v>1.3818181818181816</v>
      </c>
      <c r="V133" s="482">
        <v>0</v>
      </c>
      <c r="W133" s="461">
        <v>0</v>
      </c>
      <c r="X133" s="461">
        <v>0</v>
      </c>
      <c r="Y133" s="461">
        <v>1.3818181818181816</v>
      </c>
      <c r="Z133" s="461"/>
      <c r="AA133" s="461"/>
      <c r="AB133" s="461"/>
      <c r="AC133" s="461"/>
      <c r="AD133" s="461"/>
      <c r="AE133" s="461"/>
      <c r="AF133" s="461"/>
      <c r="AG133" s="460" t="s">
        <v>297</v>
      </c>
      <c r="AH133" s="460" t="s">
        <v>298</v>
      </c>
      <c r="AI133" s="460">
        <v>2</v>
      </c>
      <c r="AJ133" s="460">
        <v>4</v>
      </c>
      <c r="AK133" s="483">
        <v>0.33329999999999999</v>
      </c>
      <c r="AL133" s="483">
        <v>0.66659999999999997</v>
      </c>
      <c r="AM133" s="454" t="s">
        <v>1124</v>
      </c>
      <c r="AN133" s="460">
        <v>0</v>
      </c>
      <c r="AO133" s="460">
        <v>0</v>
      </c>
      <c r="AP133" s="460">
        <v>0</v>
      </c>
      <c r="AQ133" s="460">
        <v>0</v>
      </c>
      <c r="AR133" s="460">
        <v>0</v>
      </c>
      <c r="AS133" s="460">
        <v>0</v>
      </c>
      <c r="AT133" s="460">
        <v>0</v>
      </c>
      <c r="AU133" s="460">
        <v>0</v>
      </c>
      <c r="AV133" s="460">
        <v>0</v>
      </c>
      <c r="AW133" s="460">
        <v>0</v>
      </c>
      <c r="AX133" s="460">
        <v>0</v>
      </c>
      <c r="AY133" s="460">
        <v>0</v>
      </c>
      <c r="AZ133" s="460"/>
      <c r="BA133" s="460" t="s">
        <v>1278</v>
      </c>
      <c r="BB133" s="460"/>
      <c r="BC133" s="460" t="s">
        <v>1278</v>
      </c>
      <c r="BD133" s="460"/>
      <c r="BE133" s="460"/>
      <c r="BF133" s="455"/>
      <c r="BG133" s="454"/>
      <c r="BH133" s="460"/>
      <c r="BI133" s="460"/>
      <c r="BJ133" s="460" t="s">
        <v>4</v>
      </c>
      <c r="BK133" s="460">
        <v>1</v>
      </c>
      <c r="BL133" s="454"/>
      <c r="BM133" s="454" t="s">
        <v>1453</v>
      </c>
      <c r="BN133" s="454" t="s">
        <v>368</v>
      </c>
      <c r="BO133" s="450"/>
    </row>
    <row r="134" spans="1:67" ht="13" customHeight="1" x14ac:dyDescent="0.2">
      <c r="A134" s="451">
        <v>2209</v>
      </c>
      <c r="B134" s="452">
        <v>44029</v>
      </c>
      <c r="C134" s="453" t="s">
        <v>295</v>
      </c>
      <c r="D134" s="454" t="s">
        <v>1115</v>
      </c>
      <c r="E134" s="465">
        <v>44013</v>
      </c>
      <c r="F134" s="454" t="s">
        <v>34</v>
      </c>
      <c r="G134" s="454" t="s">
        <v>1178</v>
      </c>
      <c r="H134" s="461">
        <v>80.599999999999994</v>
      </c>
      <c r="I134" s="467"/>
      <c r="J134" s="488"/>
      <c r="K134" s="488"/>
      <c r="L134" s="469"/>
      <c r="M134" s="469"/>
      <c r="N134" s="468"/>
      <c r="O134" s="461">
        <v>1.9272727272727272</v>
      </c>
      <c r="P134" s="461">
        <v>0</v>
      </c>
      <c r="Q134" s="461">
        <v>0</v>
      </c>
      <c r="R134" s="461">
        <v>0</v>
      </c>
      <c r="S134" s="461">
        <v>0</v>
      </c>
      <c r="T134" s="456"/>
      <c r="U134" s="461">
        <v>1.6181818181818182</v>
      </c>
      <c r="V134" s="461">
        <v>0</v>
      </c>
      <c r="W134" s="461">
        <v>0</v>
      </c>
      <c r="X134" s="461">
        <v>0</v>
      </c>
      <c r="Y134" s="461">
        <v>0</v>
      </c>
      <c r="Z134" s="456"/>
      <c r="AA134" s="461"/>
      <c r="AB134" s="461"/>
      <c r="AC134" s="461"/>
      <c r="AD134" s="461"/>
      <c r="AE134" s="461"/>
      <c r="AF134" s="456"/>
      <c r="AG134" s="470" t="s">
        <v>297</v>
      </c>
      <c r="AH134" s="470" t="s">
        <v>298</v>
      </c>
      <c r="AI134" s="460">
        <v>2</v>
      </c>
      <c r="AJ134" s="460">
        <v>4</v>
      </c>
      <c r="AK134" s="483">
        <v>0.33329999999999999</v>
      </c>
      <c r="AL134" s="483">
        <v>0.66659999999999997</v>
      </c>
      <c r="AM134" s="454" t="s">
        <v>1124</v>
      </c>
      <c r="AN134" s="460">
        <v>0</v>
      </c>
      <c r="AO134" s="460">
        <v>0</v>
      </c>
      <c r="AP134" s="460">
        <v>5</v>
      </c>
      <c r="AQ134" s="460">
        <v>0</v>
      </c>
      <c r="AR134" s="460">
        <v>0</v>
      </c>
      <c r="AS134" s="460">
        <v>0</v>
      </c>
      <c r="AT134" s="460">
        <v>0</v>
      </c>
      <c r="AU134" s="460">
        <v>0</v>
      </c>
      <c r="AV134" s="460">
        <v>0</v>
      </c>
      <c r="AW134" s="460">
        <v>0</v>
      </c>
      <c r="AX134" s="460">
        <v>0</v>
      </c>
      <c r="AY134" s="460">
        <v>0</v>
      </c>
      <c r="AZ134" s="460"/>
      <c r="BA134" s="460" t="s">
        <v>1278</v>
      </c>
      <c r="BB134" s="460"/>
      <c r="BC134" s="460" t="s">
        <v>1278</v>
      </c>
      <c r="BD134" s="460"/>
      <c r="BE134" s="460"/>
      <c r="BF134" s="460"/>
      <c r="BG134" s="455"/>
      <c r="BH134" s="454"/>
      <c r="BI134" s="460"/>
      <c r="BJ134" s="460" t="s">
        <v>411</v>
      </c>
      <c r="BK134" s="460"/>
      <c r="BL134" s="455" t="s">
        <v>47</v>
      </c>
      <c r="BM134" s="484" t="s">
        <v>430</v>
      </c>
      <c r="BN134" s="454" t="s">
        <v>368</v>
      </c>
      <c r="BO134" s="450"/>
    </row>
    <row r="135" spans="1:67" ht="13" customHeight="1" x14ac:dyDescent="0.2">
      <c r="A135" s="451">
        <v>2464</v>
      </c>
      <c r="B135" s="452">
        <v>44028</v>
      </c>
      <c r="C135" s="453" t="s">
        <v>295</v>
      </c>
      <c r="D135" s="454" t="s">
        <v>1115</v>
      </c>
      <c r="E135" s="465">
        <v>44013</v>
      </c>
      <c r="F135" s="454" t="s">
        <v>1274</v>
      </c>
      <c r="G135" s="454" t="s">
        <v>1275</v>
      </c>
      <c r="H135" s="461">
        <v>85.999999999999986</v>
      </c>
      <c r="I135" s="467" t="s">
        <v>296</v>
      </c>
      <c r="J135" s="469">
        <v>6000</v>
      </c>
      <c r="K135" s="469">
        <v>12000</v>
      </c>
      <c r="L135" s="469">
        <v>12000</v>
      </c>
      <c r="M135" s="469">
        <v>12000</v>
      </c>
      <c r="N135" s="468"/>
      <c r="O135" s="461">
        <v>2.127272727272727</v>
      </c>
      <c r="P135" s="461">
        <v>1.9545454545454544</v>
      </c>
      <c r="Q135" s="482">
        <v>0</v>
      </c>
      <c r="R135" s="461">
        <v>0</v>
      </c>
      <c r="S135" s="461">
        <v>1.6181818181818182</v>
      </c>
      <c r="T135" s="456"/>
      <c r="U135" s="461">
        <v>2.127272727272727</v>
      </c>
      <c r="V135" s="461">
        <v>1.9545454545454544</v>
      </c>
      <c r="W135" s="482">
        <v>0</v>
      </c>
      <c r="X135" s="461">
        <v>0</v>
      </c>
      <c r="Y135" s="461">
        <v>1.6181818181818182</v>
      </c>
      <c r="Z135" s="456"/>
      <c r="AA135" s="461"/>
      <c r="AB135" s="461"/>
      <c r="AC135" s="461"/>
      <c r="AD135" s="461"/>
      <c r="AE135" s="461"/>
      <c r="AF135" s="456"/>
      <c r="AG135" s="470" t="s">
        <v>1278</v>
      </c>
      <c r="AH135" s="470"/>
      <c r="AI135" s="460">
        <v>3</v>
      </c>
      <c r="AJ135" s="460">
        <v>3</v>
      </c>
      <c r="AK135" s="480">
        <v>0.5</v>
      </c>
      <c r="AL135" s="480">
        <v>0.5</v>
      </c>
      <c r="AM135" s="454"/>
      <c r="AN135" s="460">
        <v>0</v>
      </c>
      <c r="AO135" s="460">
        <v>0</v>
      </c>
      <c r="AP135" s="460">
        <v>0</v>
      </c>
      <c r="AQ135" s="460">
        <v>15</v>
      </c>
      <c r="AR135" s="460">
        <v>0</v>
      </c>
      <c r="AS135" s="460">
        <v>0</v>
      </c>
      <c r="AT135" s="460">
        <v>0</v>
      </c>
      <c r="AU135" s="460">
        <v>0</v>
      </c>
      <c r="AV135" s="460">
        <v>0</v>
      </c>
      <c r="AW135" s="460">
        <v>0</v>
      </c>
      <c r="AX135" s="460">
        <v>0</v>
      </c>
      <c r="AY135" s="460">
        <v>0</v>
      </c>
      <c r="AZ135" s="460"/>
      <c r="BA135" s="460" t="s">
        <v>1278</v>
      </c>
      <c r="BB135" s="460"/>
      <c r="BC135" s="460" t="s">
        <v>1278</v>
      </c>
      <c r="BD135" s="460"/>
      <c r="BE135" s="460"/>
      <c r="BF135" s="460"/>
      <c r="BG135" s="455"/>
      <c r="BH135" s="454"/>
      <c r="BI135" s="460"/>
      <c r="BJ135" s="460" t="s">
        <v>411</v>
      </c>
      <c r="BK135" s="460">
        <v>1</v>
      </c>
      <c r="BL135" s="455"/>
      <c r="BM135" s="454" t="s">
        <v>1454</v>
      </c>
      <c r="BN135" s="454" t="s">
        <v>368</v>
      </c>
      <c r="BO135" s="450"/>
    </row>
    <row r="136" spans="1:67" ht="13" customHeight="1" x14ac:dyDescent="0.2">
      <c r="A136" s="451">
        <v>2332</v>
      </c>
      <c r="B136" s="452">
        <v>44028</v>
      </c>
      <c r="C136" s="453" t="s">
        <v>295</v>
      </c>
      <c r="D136" s="454" t="s">
        <v>1115</v>
      </c>
      <c r="E136" s="465">
        <v>44013</v>
      </c>
      <c r="F136" s="454" t="s">
        <v>1291</v>
      </c>
      <c r="G136" s="454" t="s">
        <v>1181</v>
      </c>
      <c r="H136" s="461">
        <v>77.172727272727272</v>
      </c>
      <c r="I136" s="467"/>
      <c r="J136" s="469"/>
      <c r="K136" s="469"/>
      <c r="L136" s="469"/>
      <c r="M136" s="469"/>
      <c r="N136" s="468"/>
      <c r="O136" s="461">
        <v>1.918181818181818</v>
      </c>
      <c r="P136" s="461">
        <v>0</v>
      </c>
      <c r="Q136" s="461">
        <v>0</v>
      </c>
      <c r="R136" s="461">
        <v>0</v>
      </c>
      <c r="S136" s="461">
        <v>0</v>
      </c>
      <c r="T136" s="456"/>
      <c r="U136" s="461">
        <v>1.7363636363636361</v>
      </c>
      <c r="V136" s="461">
        <v>0</v>
      </c>
      <c r="W136" s="461">
        <v>0</v>
      </c>
      <c r="X136" s="461">
        <v>0</v>
      </c>
      <c r="Y136" s="461">
        <v>0</v>
      </c>
      <c r="Z136" s="456"/>
      <c r="AA136" s="461"/>
      <c r="AB136" s="461"/>
      <c r="AC136" s="461"/>
      <c r="AD136" s="461"/>
      <c r="AE136" s="461"/>
      <c r="AF136" s="456"/>
      <c r="AG136" s="470" t="s">
        <v>297</v>
      </c>
      <c r="AH136" s="470" t="s">
        <v>298</v>
      </c>
      <c r="AI136" s="460">
        <v>2</v>
      </c>
      <c r="AJ136" s="460">
        <v>4</v>
      </c>
      <c r="AK136" s="483">
        <v>0.33329999999999999</v>
      </c>
      <c r="AL136" s="483">
        <v>0.66659999999999997</v>
      </c>
      <c r="AM136" s="454" t="s">
        <v>1124</v>
      </c>
      <c r="AN136" s="460">
        <v>0</v>
      </c>
      <c r="AO136" s="460">
        <v>0</v>
      </c>
      <c r="AP136" s="460">
        <v>0</v>
      </c>
      <c r="AQ136" s="460">
        <v>0</v>
      </c>
      <c r="AR136" s="460">
        <v>0</v>
      </c>
      <c r="AS136" s="460">
        <v>0</v>
      </c>
      <c r="AT136" s="460">
        <v>0</v>
      </c>
      <c r="AU136" s="460">
        <v>0</v>
      </c>
      <c r="AV136" s="460">
        <v>0</v>
      </c>
      <c r="AW136" s="460">
        <v>0</v>
      </c>
      <c r="AX136" s="460">
        <v>0</v>
      </c>
      <c r="AY136" s="460">
        <v>0</v>
      </c>
      <c r="AZ136" s="460"/>
      <c r="BA136" s="460" t="s">
        <v>1278</v>
      </c>
      <c r="BB136" s="460"/>
      <c r="BC136" s="460" t="s">
        <v>1278</v>
      </c>
      <c r="BD136" s="460"/>
      <c r="BE136" s="460"/>
      <c r="BF136" s="460"/>
      <c r="BG136" s="455"/>
      <c r="BH136" s="454"/>
      <c r="BI136" s="460"/>
      <c r="BJ136" s="460" t="s">
        <v>4</v>
      </c>
      <c r="BK136" s="460"/>
      <c r="BL136" s="455" t="s">
        <v>1284</v>
      </c>
      <c r="BM136" s="484" t="s">
        <v>430</v>
      </c>
      <c r="BN136" s="454" t="s">
        <v>408</v>
      </c>
      <c r="BO136" s="450"/>
    </row>
  </sheetData>
  <sheetProtection algorithmName="SHA-512" hashValue="W8ECNjMPv97OuB95doP58MmTHwKXrFFS/xchWMoDe1D76zG17Ha5NLQSadAI89Nf0TYNVU/39KRLynHNwpevtA==" saltValue="Ho++kIAtFXGeizKuAcVZoQ==" spinCount="100000" sheet="1" objects="1" scenarios="1"/>
  <phoneticPr fontId="9" type="noConversion"/>
  <hyperlinks>
    <hyperlink ref="BM4" r:id="rId1" display="https://www.clickenergy.com.au/pdf/vefs/CLI130564MR.pdf" xr:uid="{0857D257-5221-924B-9B6C-4434ED4E317D}"/>
    <hyperlink ref="BM7" r:id="rId2" display="https://www.energyaustralia.com.au/epfs-documents/VIC_GAS_TOPH_R2_TRU132043MR.pdf" xr:uid="{6B0D642E-4C7B-5D48-B084-B61310BE1284}"/>
    <hyperlink ref="BM18" r:id="rId3" display="https://assets.kogan.com/files/energy/pdf/KE-MN-Metro-market.pdf" xr:uid="{868583FB-6FC9-7E4E-BECD-CD797FBC895D}"/>
    <hyperlink ref="BM8" r:id="rId4" display="https://www.lumoenergy.com.au/docs/vic_energy_fact_sheets/Victorian_Energy_Fact_Sheet_LU2135723MR_Gas.pdf" xr:uid="{50A103F0-8EB4-824E-AA1E-4227BA3AFA27}"/>
    <hyperlink ref="BM16" r:id="rId5" display="https://www.powershop.com.au/app/rates/gas/residential-gas-multinet-metro-market-offer.pdf?v=1" xr:uid="{99F6AC3D-7285-B944-8869-339330524600}"/>
    <hyperlink ref="BM11" r:id="rId6" display="https://www.redenergy.com.au/docs/vic_energy_fact_sheets/Victorian_Energy_Fact_Sheet_RED136205MR_Gas.pdf" xr:uid="{AFF3D9D6-0E9D-7941-8D47-B7AEFDFBE298}"/>
    <hyperlink ref="BM12" r:id="rId7" display="https://www.simplyenergy.com.au/docs/default-source/factsheets/2694_vic_plus_ppd_12__multiom(g)_sim144048mr.pdf?sfvrsn=79fe399_2" xr:uid="{7D7251B2-ADBB-364F-85CA-57B9A9669D28}"/>
    <hyperlink ref="BM24" r:id="rId8" display="https://www.energyaustralia.com.au/epfs-documents/VIC_GAS_TOPH_A2_TRU132041MR.pdf" xr:uid="{7A2AF63B-39D7-5E4E-9A00-F31E4C477941}"/>
    <hyperlink ref="BM35" r:id="rId9" display="https://assets.kogan.com/files/energy/pdf/KE-MN-Metro-market.pdf" xr:uid="{614EC085-7871-D54D-8ACC-CA6514C946F8}"/>
    <hyperlink ref="BM25" r:id="rId10" display="https://www.lumoenergy.com.au/docs/vic_energy_fact_sheets/Victorian_Energy_Fact_Sheet_LU2135722MR_Gas.pdf" xr:uid="{166980A4-7E6F-3343-B2EC-7F844E8BD4FC}"/>
    <hyperlink ref="BM26" r:id="rId11" display="https://www.momentumenergy.com.au/docs/default-source/price-sheets/RESI-Momentum-Gas-Multinet-Metro-MOM133160MR.pdf" xr:uid="{97C9051A-D990-E54A-A459-9BB32D3CA6C4}"/>
    <hyperlink ref="BM33" r:id="rId12" display="https://www.powershop.com.au/app/rates/gas/residential-gas-multinet-metro-market-offer.pdf?v=1" xr:uid="{96DFA35F-F698-1D4D-98E2-3DFC700AC92E}"/>
    <hyperlink ref="BM28" r:id="rId13" display="https://www.redenergy.com.au/docs/vic_energy_fact_sheets/Victorian_Energy_Fact_Sheet_RED136206MR_Gas.pdf" xr:uid="{878AFF5B-D426-5941-AFC3-DA37D63B39FF}"/>
    <hyperlink ref="BM29" r:id="rId14" display="https://www.simplyenergy.com.au/docs/default-source/factsheets/2693_vic_plus_ppd_12__multinsw(g)_sim144047mr.pdf?sfvrsn=29fe399_2" xr:uid="{70EAE458-8E8B-4F47-BA4E-F7E3AB41D007}"/>
    <hyperlink ref="BM32" r:id="rId15" display="https://www.globirdenergy.com.au/shared-assets/Victorian_Energy_Fact_Sheets/Victorian_Energy_Fact_Sheet_GLO131441MR_Gas.pdf" xr:uid="{BBCA0C1D-07CC-FB41-BBEE-2E2BF95FB1B0}"/>
    <hyperlink ref="BM6" r:id="rId16" display="https://connectto.dodo.com/EnergySignup2015/pricefactsheet/GetPdfDocument?filepath=PriceFactSheets%5cMultinet%5cConsumer%5cGas%5cMultinet+Metro+1+-+Residential+Gas+Market.pdf" xr:uid="{0872D106-7B3D-3F49-952D-66FE780D1818}"/>
    <hyperlink ref="BM17" r:id="rId17" display="https://1stenergy.com.au/wp-content/uploads/Price_Fact_Sheets/Gas%20PFS/Victorian_Energy_Fact_Sheet_1ST121208MR_Gas.pdf?_t=1568942513" xr:uid="{25FA7AEF-3146-9948-89D7-6642054AB84C}"/>
    <hyperlink ref="BM15" r:id="rId18" display="https://www.globirdenergy.com.au/shared-assets/Victorian_Energy_Fact_Sheets/Victorian_Energy_Fact_Sheet_GLO131441MR_Gas.pdf" xr:uid="{3A6E4D68-8335-954C-A5B1-455D701F64B5}"/>
    <hyperlink ref="BM14" r:id="rId19" xr:uid="{557DEE69-7E85-CE40-96BB-B8EC9BDB6649}"/>
    <hyperlink ref="BM13" r:id="rId20" display="https://sumo-epfs.s3-ap-southeast-2.amazonaws.com/vefs/Victorian_Energy_Fact_Sheet_SUM108026MR_Gas.pdf" xr:uid="{96627794-8E2A-FA4E-AEDC-BEFBC5870226}"/>
    <hyperlink ref="BM9" r:id="rId21" display="https://www.momentumenergy.com.au/docs/default-source/price-sheets/RESI-Momentum-Gas-Multinet-Metro-MOM133160MR.pdf" xr:uid="{C0173DDA-D93C-1747-9A5B-72A16062000A}"/>
    <hyperlink ref="BM5" r:id="rId22" xr:uid="{30347DD0-1687-3A47-B1B2-87958BD38E42}"/>
    <hyperlink ref="BM3" r:id="rId23" display="https://forms.alintaenergy.com.au//Alinta/media/EnergyPriceFactSheets/Victorian_Energy_Fact_Sheet_ALI154666MR_Gas.pdf?_ga=2.133547657.686482109.1578878026-1533394487.1578878026" xr:uid="{99EC7434-89E5-5F4B-B032-119EA1436EB7}"/>
    <hyperlink ref="BM2" r:id="rId24" display="https://www.agl.com.au/-/media/agldata/distributordata/pdfs/victorian_energy_fact_sheet_agd128308mr_gas.pdf" xr:uid="{91859E30-ACFA-844C-B441-EE1FF47413C9}"/>
    <hyperlink ref="BM36" r:id="rId25" display="https://www.agl.com.au/-/media/agldata/distributordata/pdfs/victorian_energy_fact_sheet_agd129766mr_gas.pdf" xr:uid="{EB1F78B7-0C74-4F48-BC11-3D18A39A748F}"/>
    <hyperlink ref="BM41" r:id="rId26" display="https://www.energyaustralia.com.au/epfs-documents/VIC_GAS_TOPH_R4_TRU132045MR.pdf" xr:uid="{724AC562-23E1-DE4E-A930-021E7FFED812}"/>
    <hyperlink ref="BM42" r:id="rId27" display="https://www.lumoenergy.com.au/docs/vic_energy_fact_sheets/Victorian_Energy_Fact_Sheet_LU2135726MR_Gas.pdf" xr:uid="{0DE6164A-722A-A94A-B952-B26C7EAC19B2}"/>
    <hyperlink ref="BM43" r:id="rId28" display="https://www.momentumenergy.com.au/docs/default-source/price-sheets/RESI-Momentum-Gas-Australian-Gas-Networks-North-MOM133158MR.pdf" xr:uid="{4DB96332-F1D4-914C-91A7-8188D9FEAAE9}"/>
    <hyperlink ref="BM44" r:id="rId29" display="https://www.originenergy.com.au/content/dam/origin/residential/docs/energy-price-fact-sheets/vic/1Jan2019/OR2147764MR.pdf" xr:uid="{09B9470D-4B38-1144-BE12-E0044A9B7CF1}"/>
    <hyperlink ref="BM50" r:id="rId30" display="https://www.powershop.com.au/app/rates/gas/residential-gas-agn-north-market-offer.pdf?v=1" xr:uid="{ED015652-F27E-9240-BAE4-048B6BCD1322}"/>
    <hyperlink ref="BM45" r:id="rId31" display="https://www.redenergy.com.au/docs/vic_energy_fact_sheets/Victorian_Energy_Fact_Sheet_RED136199MR_Gas.pdf" xr:uid="{D051FC4C-57B8-E948-8993-13B85A6B38AF}"/>
    <hyperlink ref="BM46" r:id="rId32" display="https://www.simplyenergy.com.au/docs/default-source/factsheets/2685_vic_plus_ppd_12__agnon(g)_sim144046mr.pdf?sfvrsn=2a9fe399_2" xr:uid="{62FD3256-0C2C-654F-A4E3-1495D4844ED6}"/>
    <hyperlink ref="BM54" r:id="rId33" display="https://forms.alintaenergy.com.au//Alinta/media/EnergyPriceFactSheets/Victorian_Energy_Fact_Sheet_ALI154675MR_Gas.pdf?_ga=2.174425637.686482109.1578878026-1533394487.1578878026" xr:uid="{4824F050-29E6-8844-BF07-14FDFF7FFCEA}"/>
    <hyperlink ref="BM58" r:id="rId34" xr:uid="{5790A6F0-37CC-444D-BCC2-44210928D211}"/>
    <hyperlink ref="BM59" r:id="rId35" display="https://www.lumoenergy.com.au/docs/vic_energy_fact_sheets/Victorian_Energy_Fact_Sheet_LU2135729MR_Gas.pdf" xr:uid="{3BB27291-69A2-9643-8117-B7F0A7C5B06D}"/>
    <hyperlink ref="BM60" r:id="rId36" display="https://www.momentumenergy.com.au/docs/default-source/price-sheets/RESI-Momentum-Gas-Australian-Gas-Networks-Central-MOM133154MR.pdf" xr:uid="{325867D0-AEA1-DB46-8B47-3F68271D1C8A}"/>
    <hyperlink ref="BM67" r:id="rId37" display="https://www.powershop.com.au/app/rates/gas/residential-gas-agn-central-market-offer.pdf?v=1" xr:uid="{71285DD1-D169-B34A-9A06-86EDFF22DC16}"/>
    <hyperlink ref="BM62" r:id="rId38" display="https://www.redenergy.com.au/docs/vic_energy_fact_sheets/Victorian_Energy_Fact_Sheet_RED136210MR_Gas.pdf" xr:uid="{83AAA635-BA27-7248-A63A-9897D0F52A79}"/>
    <hyperlink ref="BM63" r:id="rId39" display="https://www.simplyenergy.com.au/docs/default-source/factsheets/2687_vic_plus_ppd_12__agnte(g)_sim144044mr.pdf?sfvrsn=209fe399_2" xr:uid="{FB06993A-A2AE-A14D-98B6-D358137A9C1E}"/>
    <hyperlink ref="BM69" r:id="rId40" display="https://assets.kogan.com/files/energy/pdf/KE-AGN-Central-200101-market.pdf" xr:uid="{1B30F6EE-F35F-984F-A393-7AEA2C420C47}"/>
    <hyperlink ref="BM70" r:id="rId41" display="https://www.agl.com.au/-/media/agldata/distributordata/pdfs/victorian_energy_fact_sheet_agd128304mr_gas.pdf" xr:uid="{7764780F-1F87-7548-9F80-84ECEFDC357B}"/>
    <hyperlink ref="BM75" r:id="rId42" display="https://www.energyaustralia.com.au/epfs-documents/VIC_GAS_TOPH_R5_TRU132046MR.pdf" xr:uid="{A4C30ACE-7101-F248-990C-98F10CF1D915}"/>
    <hyperlink ref="BM76" r:id="rId43" display="https://www.lumoenergy.com.au/docs/vic_energy_fact_sheets/Victorian_Energy_Fact_Sheet_LU2135727MR_Gas.pdf" xr:uid="{3D85319F-8DC8-2E41-AAAA-C95191733535}"/>
    <hyperlink ref="BM77" r:id="rId44" display="https://www.momentumenergy.com.au/docs/default-source/price-sheets/RESI-Momentum-Gas-Australian-Gas-Networks-Central-MOM133154MR.pdf" xr:uid="{0C929013-70C5-6B46-9BBD-78E33B88BEF3}"/>
    <hyperlink ref="BM84" r:id="rId45" display="https://www.powershop.com.au/app/rates/gas/residential-gas-agn-central-market-offer.pdf?v=1" xr:uid="{13E785C7-62F8-7A4C-AF9D-C13A309BAF0B}"/>
    <hyperlink ref="BM79" r:id="rId46" display="https://www.redenergy.com.au/docs/vic_energy_fact_sheets/Victorian_Energy_Fact_Sheet_RED136209MR_Gas.pdf" xr:uid="{8B7FF04B-7AD2-AF4A-B8E2-5DD5FB6136D4}"/>
    <hyperlink ref="BM80" r:id="rId47" display="https://www.simplyenergy.com.au/docs/default-source/factsheets/2686_vic_plus_ppd_12__agnose(g)_sim144045mr.pdf?sfvrsn=2f9fe399_2" xr:uid="{54AB7196-0A0D-3849-9F96-B75230CCE9A3}"/>
    <hyperlink ref="BM73" r:id="rId48" xr:uid="{56365C16-155D-B042-8648-1DDA34B615C8}"/>
    <hyperlink ref="BM74" r:id="rId49" display="https://connectto.dodo.com/EnergySignup2015/pricefactsheet/GetPdfDocument?filepath=PriceFactSheets%5cEnvestra%5cConsumer%5cGas%5cAustralian+Gas+Networks+Central+1+-+Residential+Gas+Market.pdf" xr:uid="{6CA277E2-9626-9C46-96E0-FF53BA130EF3}"/>
    <hyperlink ref="BM86" r:id="rId50" display="https://assets.kogan.com/files/energy/pdf/KE-AGN-Central-200101-market.pdf" xr:uid="{C76CF877-2B57-D842-8CD4-D86BE14D8CB2}"/>
    <hyperlink ref="BM91" r:id="rId51" display="https://www.energyaustralia.com.au/epfs-documents/VIC_GAS_TOPH_T3_TRU132052MR.pdf" xr:uid="{5A7FF664-53D7-C44E-B644-23EEB70E2327}"/>
    <hyperlink ref="BM99" r:id="rId52" display="https://www.globirdenergy.com.au/shared-assets/Victorian_Energy_Fact_Sheets/Victorian_Energy_Fact_Sheet_GLO131440MR_Gas.pdf" xr:uid="{FF7D565C-2D00-BC4C-BAF8-4A7A44A30534}"/>
    <hyperlink ref="BM92" r:id="rId53" display="https://www.lumoenergy.com.au/docs/vic_energy_fact_sheets/Victorian_Energy_Fact_Sheet_LU2135720MR_Gas.pdf" xr:uid="{A2E07FAD-EB9C-FB42-9032-463CFE8E510F}"/>
    <hyperlink ref="BM93" r:id="rId54" display="https://www.momentumenergy.com.au/docs/default-source/price-sheets/RESI-Momentum-Gas-Ausnet-West-MOM133150MR.pdf" xr:uid="{5D864997-A21D-E745-94C6-3F74EF3A2522}"/>
    <hyperlink ref="BM94" r:id="rId55" display="https://www.originenergy.com.au/content/dam/origin/residential/docs/energy-price-fact-sheets/vic/1Jan2019/OR2147759MR.pdf" xr:uid="{0263837E-F50E-9244-9A08-E83008E4FFE5}"/>
    <hyperlink ref="BM100" r:id="rId56" display="https://www.powershop.com.au/app/rates/gas/residential-gas-ausnet-west-market-offer.pdf?v=1" xr:uid="{6C243DD0-2C8C-604F-B07F-9E0E75CA29B2}"/>
    <hyperlink ref="BM95" r:id="rId57" display="https://www.redenergy.com.au/docs/vic_energy_fact_sheets/Victorian_Energy_Fact_Sheet_RED136211MR_Gas.pdf" xr:uid="{81272D93-B4C5-C84C-8405-7C3231A51516}"/>
    <hyperlink ref="BM96" r:id="rId58" display="https://www.simplyenergy.com.au/docs/default-source/factsheets/2692_vic_plus_ppd_12__ausntw(g)_sim144041mr.pdf?sfvrsn=99fe399_2" xr:uid="{CAE986A7-F470-C649-ABE2-FB032A6DF11C}"/>
    <hyperlink ref="BM102" r:id="rId59" display="https://assets.kogan.com/files/energy/pdf/KE-AS-West-200101-market.pdf" xr:uid="{BE4C4A1D-76CF-6840-A355-83C3F46CB250}"/>
    <hyperlink ref="BM108" r:id="rId60" display="https://www.energyaustralia.com.au/epfs-documents/VIC_GAS_TOPH_A1_TRU132040MR.pdf" xr:uid="{E08A1957-1476-CC4B-8DF9-C7F754E8A65B}"/>
    <hyperlink ref="BM109" r:id="rId61" display="https://www.lumoenergy.com.au/docs/vic_energy_fact_sheets/Victorian_Energy_Fact_Sheet_LU2135740MR_Gas.pdf" xr:uid="{DFB3342E-CB42-2147-9E09-2640343EC810}"/>
    <hyperlink ref="BM110" r:id="rId62" display="https://www.momentumenergy.com.au/docs/default-source/price-sheets/RESI-Momentum-Gas-Ausnet-Central-MOM133148MR.pdf" xr:uid="{A0547D34-B7F7-044A-9EC1-0589E80A1626}"/>
    <hyperlink ref="BM117" r:id="rId63" display="https://www.powershop.com.au/app/rates/gas/residential-gas-ausnet-central-market-offer.pdf?v=1" xr:uid="{65A98EA4-DB93-2C4B-8A9E-6B9E8FEFF90F}"/>
    <hyperlink ref="BM112" r:id="rId64" display="https://www.redenergy.com.au/docs/vic_energy_fact_sheets/Victorian_Energy_Fact_Sheet_RED136207MR_Gas.pdf" xr:uid="{379042BF-F963-7141-B544-EAC6624545EC}"/>
    <hyperlink ref="BM113" r:id="rId65" display="https://www.simplyenergy.com.au/docs/default-source/factsheets/2689_vic_plus_ppd_12__ausnan(g)_sim144042mr.pdf?sfvrsn=1e9fe399_2" xr:uid="{38898CC6-ED9B-C640-B49B-67A9BD03770C}"/>
    <hyperlink ref="BM119" r:id="rId66" display="https://assets.kogan.com/files/energy/pdf/KE-AS-Central-200101-market.pdf" xr:uid="{4D1F7904-A3ED-F746-A5F6-EF284F81CEAB}"/>
    <hyperlink ref="BM125" r:id="rId67" display="https://www.energyaustralia.com.au/epfs-documents/VIC_GAS_TOPH_T1_TRU132050MR.pdf" xr:uid="{9BF37E0C-7BF2-EF46-A8AC-69830C53FBF3}"/>
    <hyperlink ref="BM126" r:id="rId68" display="https://www.lumoenergy.com.au/docs/vic_energy_fact_sheets/Victorian_Energy_Fact_Sheet_LU2135719MR_Gas.pdf" xr:uid="{B8B99150-11FC-4D42-B536-327ED1C0CDBD}"/>
    <hyperlink ref="BM127" r:id="rId69" display="https://www.momentumenergy.com.au/docs/default-source/price-sheets/RESI-Momentum-Gas-Ausnet-Central-MOM133148MR.pdf" xr:uid="{4EF5D03E-191F-FB40-96AE-D58F4B5E6319}"/>
    <hyperlink ref="BM134" r:id="rId70" display="https://www.powershop.com.au/app/rates/gas/residential-gas-ausnet-central-market-offer.pdf?v=1" xr:uid="{642B919F-6F02-6D43-A81C-8CA1D69E23F5}"/>
    <hyperlink ref="BM129" r:id="rId71" display="https://www.redenergy.com.au/docs/vic_energy_fact_sheets/Victorian_Energy_Fact_Sheet_RED136208MR_Gas.pdf" xr:uid="{0A40DF94-7AEB-144A-8263-BFF2C3ECEDFE}"/>
    <hyperlink ref="BM130" r:id="rId72" display="https://www.simplyenergy.com.au/docs/default-source/factsheets/2691_vic_plus_ppd_12__ausntc(g)_sim144040mr.pdf?sfvrsn=7d9fe399_2" xr:uid="{1C63A289-C892-FE4E-BB08-7A83710BEEF7}"/>
    <hyperlink ref="BM124" r:id="rId73" display="https://connectto.dodo.com/rapidEnergyQuote/pricefactsheet/GetPdfDocument?filepath=PriceFactSheets%5cSP-Ausnet%5cConsumer%5cGas%5cAusNet+Services+Central+1+-+Residential+Gas+Market.pdf" xr:uid="{F6F4CDE9-8533-E745-A126-E72822B45C4C}"/>
    <hyperlink ref="BM136" r:id="rId74" display="https://assets.kogan.com/files/energy/pdf/KE-AS-Central-200101-market.pdf" xr:uid="{64BBE9C1-B303-A14B-9176-68EF9FA34DAA}"/>
    <hyperlink ref="BM107" r:id="rId75" display="https://connectto.dodo.com/rapidEnergyQuote/pricefactsheet/GetPdfDocument?filepath=PriceFactSheets%5cSP-Ausnet%5cConsumer%5cGas%5cAusNet+Services+Central+1+-+Residential+Gas+Market.pdf" xr:uid="{AEC97C6A-B37A-794B-87F8-2EFB0951BF9C}"/>
    <hyperlink ref="BM23" r:id="rId76" display="https://connectto.dodo.com/EnergySignup2015/pricefactsheet/GetPdfDocument?filepath=PriceFactSheets%5cMultinet%5cConsumer%5cGas%5cMultinet+South+1+-+Residential+Gas+Market.pdf" xr:uid="{7B9DC19B-B57F-3246-8A41-6A82F1D972D4}"/>
    <hyperlink ref="BM30" r:id="rId77" display="https://sumo-epfs.s3-ap-southeast-2.amazonaws.com/vefs/Victorian_Energy_Fact_Sheet_SUM108027MR_Gas.pdf" xr:uid="{C2B9BA34-EBCC-FA4D-B80E-F5AB4EC4BC4A}"/>
  </hyperlinks>
  <pageMargins left="0.75" right="0.75" top="1" bottom="1" header="0.5" footer="0.5"/>
  <pageSetup paperSize="10" orientation="portrait" horizontalDpi="4294967292" verticalDpi="4294967292"/>
  <legacyDrawing r:id="rId78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AE252-A0DA-6F44-A47F-B8AA485ABBBC}">
  <sheetPr codeName="Sheet67"/>
  <dimension ref="A1:BP144"/>
  <sheetViews>
    <sheetView topLeftCell="A127" zoomScaleNormal="100" zoomScalePageLayoutView="130" workbookViewId="0">
      <selection activeCell="O159" sqref="O159"/>
    </sheetView>
  </sheetViews>
  <sheetFormatPr baseColWidth="10" defaultColWidth="11.5" defaultRowHeight="13" x14ac:dyDescent="0.15"/>
  <cols>
    <col min="1" max="1" width="8.1640625" customWidth="1"/>
    <col min="3" max="3" width="6.33203125" customWidth="1"/>
    <col min="4" max="4" width="25.33203125" customWidth="1"/>
    <col min="6" max="6" width="16.1640625" customWidth="1"/>
    <col min="7" max="7" width="16.5" customWidth="1"/>
    <col min="9" max="9" width="12.83203125" customWidth="1"/>
    <col min="53" max="53" width="50.6640625" customWidth="1"/>
    <col min="54" max="54" width="12.1640625" customWidth="1"/>
    <col min="55" max="55" width="10.83203125" customWidth="1"/>
    <col min="57" max="57" width="20.5" customWidth="1"/>
    <col min="58" max="58" width="88.1640625" customWidth="1"/>
  </cols>
  <sheetData>
    <row r="1" spans="1:66" s="450" customFormat="1" ht="71" x14ac:dyDescent="0.2">
      <c r="A1" s="429" t="s">
        <v>443</v>
      </c>
      <c r="B1" s="429" t="s">
        <v>444</v>
      </c>
      <c r="C1" s="430" t="s">
        <v>445</v>
      </c>
      <c r="D1" s="431" t="s">
        <v>446</v>
      </c>
      <c r="E1" s="429" t="s">
        <v>447</v>
      </c>
      <c r="F1" s="430" t="s">
        <v>725</v>
      </c>
      <c r="G1" s="431" t="s">
        <v>448</v>
      </c>
      <c r="H1" s="432" t="s">
        <v>449</v>
      </c>
      <c r="I1" s="433" t="s">
        <v>1247</v>
      </c>
      <c r="J1" s="433" t="s">
        <v>1248</v>
      </c>
      <c r="K1" s="433" t="s">
        <v>1249</v>
      </c>
      <c r="L1" s="433" t="s">
        <v>1250</v>
      </c>
      <c r="M1" s="433" t="s">
        <v>1251</v>
      </c>
      <c r="N1" s="434" t="s">
        <v>1252</v>
      </c>
      <c r="O1" s="435" t="s">
        <v>1253</v>
      </c>
      <c r="P1" s="435" t="s">
        <v>1254</v>
      </c>
      <c r="Q1" s="435" t="s">
        <v>1255</v>
      </c>
      <c r="R1" s="435" t="s">
        <v>1256</v>
      </c>
      <c r="S1" s="435" t="s">
        <v>1257</v>
      </c>
      <c r="T1" s="435" t="s">
        <v>1258</v>
      </c>
      <c r="U1" s="436" t="s">
        <v>1259</v>
      </c>
      <c r="V1" s="436" t="s">
        <v>1260</v>
      </c>
      <c r="W1" s="436" t="s">
        <v>1261</v>
      </c>
      <c r="X1" s="436" t="s">
        <v>1262</v>
      </c>
      <c r="Y1" s="436" t="s">
        <v>1263</v>
      </c>
      <c r="Z1" s="436" t="s">
        <v>1264</v>
      </c>
      <c r="AA1" s="437" t="s">
        <v>1265</v>
      </c>
      <c r="AB1" s="437" t="s">
        <v>1266</v>
      </c>
      <c r="AC1" s="437" t="s">
        <v>1267</v>
      </c>
      <c r="AD1" s="437" t="s">
        <v>1268</v>
      </c>
      <c r="AE1" s="437" t="s">
        <v>1269</v>
      </c>
      <c r="AF1" s="437" t="s">
        <v>1270</v>
      </c>
      <c r="AG1" s="438" t="s">
        <v>474</v>
      </c>
      <c r="AH1" s="438" t="s">
        <v>475</v>
      </c>
      <c r="AI1" s="438" t="s">
        <v>476</v>
      </c>
      <c r="AJ1" s="438" t="s">
        <v>477</v>
      </c>
      <c r="AK1" s="479" t="s">
        <v>478</v>
      </c>
      <c r="AL1" s="479" t="s">
        <v>479</v>
      </c>
      <c r="AM1" s="439" t="s">
        <v>1099</v>
      </c>
      <c r="AN1" s="440" t="s">
        <v>480</v>
      </c>
      <c r="AO1" s="441" t="s">
        <v>481</v>
      </c>
      <c r="AP1" s="440" t="s">
        <v>482</v>
      </c>
      <c r="AQ1" s="442" t="s">
        <v>483</v>
      </c>
      <c r="AR1" s="443" t="s">
        <v>484</v>
      </c>
      <c r="AS1" s="442" t="s">
        <v>485</v>
      </c>
      <c r="AT1" s="444" t="s">
        <v>1271</v>
      </c>
      <c r="AU1" s="445" t="s">
        <v>1272</v>
      </c>
      <c r="AV1" s="444" t="s">
        <v>36</v>
      </c>
      <c r="AW1" s="445" t="s">
        <v>37</v>
      </c>
      <c r="AX1" s="443" t="s">
        <v>384</v>
      </c>
      <c r="AY1" s="446" t="s">
        <v>385</v>
      </c>
      <c r="AZ1" s="429" t="s">
        <v>386</v>
      </c>
      <c r="BA1" s="447" t="s">
        <v>387</v>
      </c>
      <c r="BB1" s="448" t="s">
        <v>388</v>
      </c>
      <c r="BC1" s="447" t="s">
        <v>389</v>
      </c>
      <c r="BD1" s="447" t="s">
        <v>390</v>
      </c>
      <c r="BE1" s="447" t="s">
        <v>1136</v>
      </c>
      <c r="BF1" s="447" t="s">
        <v>1137</v>
      </c>
      <c r="BG1" s="429" t="s">
        <v>391</v>
      </c>
      <c r="BH1" s="430" t="s">
        <v>392</v>
      </c>
      <c r="BI1" s="447" t="s">
        <v>393</v>
      </c>
      <c r="BJ1" s="447" t="s">
        <v>394</v>
      </c>
      <c r="BK1" s="449" t="s">
        <v>1273</v>
      </c>
      <c r="BL1" s="430" t="s">
        <v>395</v>
      </c>
      <c r="BM1" s="447" t="s">
        <v>396</v>
      </c>
      <c r="BN1" s="429" t="s">
        <v>397</v>
      </c>
    </row>
    <row r="2" spans="1:66" s="450" customFormat="1" ht="13" customHeight="1" x14ac:dyDescent="0.2">
      <c r="A2" s="451">
        <v>2381</v>
      </c>
      <c r="B2" s="452">
        <v>43843</v>
      </c>
      <c r="C2" s="453" t="s">
        <v>295</v>
      </c>
      <c r="D2" s="454" t="s">
        <v>1100</v>
      </c>
      <c r="E2" s="452">
        <v>43831</v>
      </c>
      <c r="F2" s="455" t="s">
        <v>1044</v>
      </c>
      <c r="G2" s="454" t="s">
        <v>1277</v>
      </c>
      <c r="H2" s="456">
        <v>76.154545454545442</v>
      </c>
      <c r="I2" s="458" t="s">
        <v>296</v>
      </c>
      <c r="J2" s="459">
        <v>3000</v>
      </c>
      <c r="K2" s="459">
        <v>6000</v>
      </c>
      <c r="L2" s="459">
        <v>9000</v>
      </c>
      <c r="M2" s="459">
        <v>15000</v>
      </c>
      <c r="N2" s="454"/>
      <c r="O2" s="456">
        <v>1.8999999999999997</v>
      </c>
      <c r="P2" s="456">
        <v>1.7</v>
      </c>
      <c r="Q2" s="456">
        <v>1.3545454545454545</v>
      </c>
      <c r="R2" s="456">
        <v>1.1727272727272726</v>
      </c>
      <c r="S2" s="456">
        <v>1.0909090909090908</v>
      </c>
      <c r="T2" s="457"/>
      <c r="U2" s="456">
        <v>1.7999999999999998</v>
      </c>
      <c r="V2" s="456">
        <v>1.5999999999999999</v>
      </c>
      <c r="W2" s="456">
        <v>1.3090909090909089</v>
      </c>
      <c r="X2" s="456">
        <v>1.1545454545454545</v>
      </c>
      <c r="Y2" s="456">
        <v>1.0636363636363635</v>
      </c>
      <c r="Z2" s="456" t="s">
        <v>1142</v>
      </c>
      <c r="AA2" s="456" t="s">
        <v>1142</v>
      </c>
      <c r="AB2" s="456" t="s">
        <v>1142</v>
      </c>
      <c r="AC2" s="456" t="s">
        <v>1142</v>
      </c>
      <c r="AD2" s="456" t="s">
        <v>1142</v>
      </c>
      <c r="AE2" s="456"/>
      <c r="AF2" s="456" t="s">
        <v>1142</v>
      </c>
      <c r="AG2" s="460" t="s">
        <v>297</v>
      </c>
      <c r="AH2" s="460" t="s">
        <v>298</v>
      </c>
      <c r="AI2" s="460">
        <v>3</v>
      </c>
      <c r="AJ2" s="460">
        <v>3</v>
      </c>
      <c r="AK2" s="480">
        <v>0.5</v>
      </c>
      <c r="AL2" s="480">
        <v>0.5</v>
      </c>
      <c r="AM2" s="454" t="s">
        <v>1118</v>
      </c>
      <c r="AN2" s="460">
        <v>0</v>
      </c>
      <c r="AO2" s="460">
        <v>0</v>
      </c>
      <c r="AP2" s="460">
        <v>0</v>
      </c>
      <c r="AQ2" s="460">
        <v>0</v>
      </c>
      <c r="AR2" s="460">
        <v>0</v>
      </c>
      <c r="AS2" s="460">
        <v>0</v>
      </c>
      <c r="AT2" s="460">
        <v>0</v>
      </c>
      <c r="AU2" s="460">
        <v>0</v>
      </c>
      <c r="AV2" s="460">
        <v>0</v>
      </c>
      <c r="AW2" s="460">
        <v>0</v>
      </c>
      <c r="AX2" s="460">
        <v>0</v>
      </c>
      <c r="AY2" s="460">
        <v>0</v>
      </c>
      <c r="AZ2" s="454"/>
      <c r="BA2" s="460" t="s">
        <v>1278</v>
      </c>
      <c r="BB2" s="460"/>
      <c r="BC2" s="460" t="s">
        <v>1278</v>
      </c>
      <c r="BD2" s="460"/>
      <c r="BE2" s="460"/>
      <c r="BF2" s="460"/>
      <c r="BG2" s="455"/>
      <c r="BH2" s="454"/>
      <c r="BI2" s="460"/>
      <c r="BJ2" s="460" t="s">
        <v>4</v>
      </c>
      <c r="BK2" s="460"/>
      <c r="BL2" s="455"/>
      <c r="BM2" s="481" t="s">
        <v>1279</v>
      </c>
      <c r="BN2" s="454" t="s">
        <v>408</v>
      </c>
    </row>
    <row r="3" spans="1:66" s="450" customFormat="1" ht="13" customHeight="1" x14ac:dyDescent="0.2">
      <c r="A3" s="451">
        <v>2503</v>
      </c>
      <c r="B3" s="452">
        <v>43843</v>
      </c>
      <c r="C3" s="453" t="s">
        <v>1138</v>
      </c>
      <c r="D3" s="454" t="s">
        <v>1100</v>
      </c>
      <c r="E3" s="452">
        <v>43836</v>
      </c>
      <c r="F3" s="455" t="s">
        <v>1148</v>
      </c>
      <c r="G3" s="454" t="s">
        <v>1280</v>
      </c>
      <c r="H3" s="456">
        <v>69</v>
      </c>
      <c r="I3" s="458" t="s">
        <v>1141</v>
      </c>
      <c r="J3" s="459">
        <v>3000</v>
      </c>
      <c r="K3" s="459">
        <v>6000</v>
      </c>
      <c r="L3" s="459">
        <v>6000</v>
      </c>
      <c r="M3" s="459">
        <v>6000</v>
      </c>
      <c r="N3" s="454"/>
      <c r="O3" s="456">
        <v>2.1</v>
      </c>
      <c r="P3" s="456">
        <v>1.8999999999999997</v>
      </c>
      <c r="Q3" s="482">
        <v>0</v>
      </c>
      <c r="R3" s="456">
        <v>0</v>
      </c>
      <c r="S3" s="456">
        <v>1.4999999999999998</v>
      </c>
      <c r="T3" s="457"/>
      <c r="U3" s="456">
        <v>2.1</v>
      </c>
      <c r="V3" s="456">
        <v>1.7999999999999998</v>
      </c>
      <c r="W3" s="482">
        <v>0</v>
      </c>
      <c r="X3" s="456">
        <v>0</v>
      </c>
      <c r="Y3" s="456">
        <v>1.4999999999999998</v>
      </c>
      <c r="Z3" s="456" t="s">
        <v>1142</v>
      </c>
      <c r="AA3" s="456" t="s">
        <v>1142</v>
      </c>
      <c r="AB3" s="456" t="s">
        <v>1142</v>
      </c>
      <c r="AC3" s="456" t="s">
        <v>1142</v>
      </c>
      <c r="AD3" s="456" t="s">
        <v>1142</v>
      </c>
      <c r="AE3" s="456"/>
      <c r="AF3" s="456" t="s">
        <v>1142</v>
      </c>
      <c r="AG3" s="460" t="s">
        <v>1143</v>
      </c>
      <c r="AH3" s="460" t="s">
        <v>1144</v>
      </c>
      <c r="AI3" s="460">
        <v>3</v>
      </c>
      <c r="AJ3" s="460">
        <v>3</v>
      </c>
      <c r="AK3" s="480">
        <v>0.5</v>
      </c>
      <c r="AL3" s="480">
        <v>0.5</v>
      </c>
      <c r="AM3" s="454" t="s">
        <v>1118</v>
      </c>
      <c r="AN3" s="460">
        <v>0</v>
      </c>
      <c r="AO3" s="460">
        <v>0</v>
      </c>
      <c r="AP3" s="460">
        <v>0</v>
      </c>
      <c r="AQ3" s="460">
        <v>0</v>
      </c>
      <c r="AR3" s="460">
        <v>0</v>
      </c>
      <c r="AS3" s="460">
        <v>0</v>
      </c>
      <c r="AT3" s="460">
        <v>0</v>
      </c>
      <c r="AU3" s="460">
        <v>0</v>
      </c>
      <c r="AV3" s="460">
        <v>0</v>
      </c>
      <c r="AW3" s="460">
        <v>0</v>
      </c>
      <c r="AX3" s="460">
        <v>0</v>
      </c>
      <c r="AY3" s="460">
        <v>0</v>
      </c>
      <c r="AZ3" s="454"/>
      <c r="BA3" s="460" t="s">
        <v>1145</v>
      </c>
      <c r="BB3" s="460"/>
      <c r="BC3" s="460" t="s">
        <v>1145</v>
      </c>
      <c r="BD3" s="460"/>
      <c r="BE3" s="460"/>
      <c r="BF3" s="460"/>
      <c r="BG3" s="455"/>
      <c r="BH3" s="454"/>
      <c r="BI3" s="460"/>
      <c r="BJ3" s="460" t="s">
        <v>4</v>
      </c>
      <c r="BK3" s="460"/>
      <c r="BL3" s="455"/>
      <c r="BM3" s="481" t="s">
        <v>1281</v>
      </c>
      <c r="BN3" s="454" t="s">
        <v>1121</v>
      </c>
    </row>
    <row r="4" spans="1:66" s="450" customFormat="1" ht="13" customHeight="1" x14ac:dyDescent="0.2">
      <c r="A4" s="451">
        <v>2529</v>
      </c>
      <c r="B4" s="452">
        <v>43843</v>
      </c>
      <c r="C4" s="453" t="s">
        <v>1138</v>
      </c>
      <c r="D4" s="454" t="s">
        <v>1100</v>
      </c>
      <c r="E4" s="452">
        <v>43831</v>
      </c>
      <c r="F4" s="455" t="s">
        <v>1152</v>
      </c>
      <c r="G4" s="454" t="s">
        <v>1283</v>
      </c>
      <c r="H4" s="456">
        <v>57.790909090909089</v>
      </c>
      <c r="I4" s="458" t="s">
        <v>1141</v>
      </c>
      <c r="J4" s="459">
        <v>3000</v>
      </c>
      <c r="K4" s="459">
        <v>6000</v>
      </c>
      <c r="L4" s="459">
        <v>9000</v>
      </c>
      <c r="M4" s="459">
        <v>15000</v>
      </c>
      <c r="N4" s="454"/>
      <c r="O4" s="456">
        <v>2.4818181818181815</v>
      </c>
      <c r="P4" s="456">
        <v>2.1818181818181817</v>
      </c>
      <c r="Q4" s="456">
        <v>1.8909090909090909</v>
      </c>
      <c r="R4" s="456">
        <v>1.7363636363636361</v>
      </c>
      <c r="S4" s="456">
        <v>1.6636363636363636</v>
      </c>
      <c r="T4" s="457"/>
      <c r="U4" s="456">
        <v>2.4090909090909087</v>
      </c>
      <c r="V4" s="456">
        <v>2.1454545454545451</v>
      </c>
      <c r="W4" s="456">
        <v>1.8545454545454545</v>
      </c>
      <c r="X4" s="456">
        <v>1.7363636363636361</v>
      </c>
      <c r="Y4" s="456">
        <v>1.7</v>
      </c>
      <c r="Z4" s="456" t="s">
        <v>1142</v>
      </c>
      <c r="AA4" s="456" t="s">
        <v>1142</v>
      </c>
      <c r="AB4" s="456" t="s">
        <v>1142</v>
      </c>
      <c r="AC4" s="456" t="s">
        <v>1142</v>
      </c>
      <c r="AD4" s="456" t="s">
        <v>1142</v>
      </c>
      <c r="AE4" s="456"/>
      <c r="AF4" s="456" t="s">
        <v>1142</v>
      </c>
      <c r="AG4" s="460" t="s">
        <v>1143</v>
      </c>
      <c r="AH4" s="460" t="s">
        <v>1144</v>
      </c>
      <c r="AI4" s="460">
        <v>3</v>
      </c>
      <c r="AJ4" s="460">
        <v>3</v>
      </c>
      <c r="AK4" s="480">
        <v>0.5</v>
      </c>
      <c r="AL4" s="480">
        <v>0.5</v>
      </c>
      <c r="AM4" s="454" t="s">
        <v>1118</v>
      </c>
      <c r="AN4" s="460">
        <v>0</v>
      </c>
      <c r="AO4" s="460">
        <v>0</v>
      </c>
      <c r="AP4" s="460">
        <v>0</v>
      </c>
      <c r="AQ4" s="460">
        <v>0</v>
      </c>
      <c r="AR4" s="460">
        <v>0</v>
      </c>
      <c r="AS4" s="460">
        <v>0</v>
      </c>
      <c r="AT4" s="460">
        <v>0</v>
      </c>
      <c r="AU4" s="460">
        <v>0</v>
      </c>
      <c r="AV4" s="460">
        <v>0</v>
      </c>
      <c r="AW4" s="460">
        <v>0</v>
      </c>
      <c r="AX4" s="460">
        <v>0</v>
      </c>
      <c r="AY4" s="460">
        <v>0</v>
      </c>
      <c r="AZ4" s="454"/>
      <c r="BA4" s="460" t="s">
        <v>1145</v>
      </c>
      <c r="BB4" s="460"/>
      <c r="BC4" s="460" t="s">
        <v>1145</v>
      </c>
      <c r="BD4" s="460"/>
      <c r="BE4" s="460"/>
      <c r="BF4" s="460"/>
      <c r="BG4" s="455"/>
      <c r="BH4" s="454"/>
      <c r="BI4" s="460"/>
      <c r="BJ4" s="460" t="s">
        <v>1146</v>
      </c>
      <c r="BK4" s="460">
        <v>1</v>
      </c>
      <c r="BL4" s="455" t="s">
        <v>1284</v>
      </c>
      <c r="BM4" s="481" t="s">
        <v>1285</v>
      </c>
      <c r="BN4" s="454" t="s">
        <v>1121</v>
      </c>
    </row>
    <row r="5" spans="1:66" s="450" customFormat="1" ht="13" customHeight="1" x14ac:dyDescent="0.2">
      <c r="A5" s="451">
        <v>2312</v>
      </c>
      <c r="B5" s="452">
        <v>43843</v>
      </c>
      <c r="C5" s="453" t="s">
        <v>1138</v>
      </c>
      <c r="D5" s="454" t="s">
        <v>1100</v>
      </c>
      <c r="E5" s="452">
        <v>43831</v>
      </c>
      <c r="F5" s="455" t="s">
        <v>1286</v>
      </c>
      <c r="G5" s="454" t="s">
        <v>418</v>
      </c>
      <c r="H5" s="456">
        <v>77.999999999999986</v>
      </c>
      <c r="I5" s="458" t="s">
        <v>1141</v>
      </c>
      <c r="J5" s="459">
        <v>3000</v>
      </c>
      <c r="K5" s="459">
        <v>6000</v>
      </c>
      <c r="L5" s="459">
        <v>9000</v>
      </c>
      <c r="M5" s="459">
        <v>15000</v>
      </c>
      <c r="N5" s="454"/>
      <c r="O5" s="456">
        <v>2.9</v>
      </c>
      <c r="P5" s="456">
        <v>2.6090909090909089</v>
      </c>
      <c r="Q5" s="456">
        <v>2.4</v>
      </c>
      <c r="R5" s="456">
        <v>2.1999999999999997</v>
      </c>
      <c r="S5" s="456">
        <v>2</v>
      </c>
      <c r="T5" s="457"/>
      <c r="U5" s="456">
        <v>2.7</v>
      </c>
      <c r="V5" s="456">
        <v>2.5363636363636362</v>
      </c>
      <c r="W5" s="456">
        <v>2.1</v>
      </c>
      <c r="X5" s="456">
        <v>1.8999999999999997</v>
      </c>
      <c r="Y5" s="456">
        <v>1.7</v>
      </c>
      <c r="Z5" s="456" t="s">
        <v>1142</v>
      </c>
      <c r="AA5" s="456" t="s">
        <v>1142</v>
      </c>
      <c r="AB5" s="456" t="s">
        <v>1142</v>
      </c>
      <c r="AC5" s="456" t="s">
        <v>1142</v>
      </c>
      <c r="AD5" s="456" t="s">
        <v>1142</v>
      </c>
      <c r="AE5" s="456"/>
      <c r="AF5" s="456" t="s">
        <v>1142</v>
      </c>
      <c r="AG5" s="460" t="s">
        <v>1143</v>
      </c>
      <c r="AH5" s="460" t="s">
        <v>1144</v>
      </c>
      <c r="AI5" s="460">
        <v>3</v>
      </c>
      <c r="AJ5" s="460">
        <v>3</v>
      </c>
      <c r="AK5" s="480">
        <v>0.5</v>
      </c>
      <c r="AL5" s="480">
        <v>0.5</v>
      </c>
      <c r="AM5" s="454" t="s">
        <v>1118</v>
      </c>
      <c r="AN5" s="460">
        <v>0</v>
      </c>
      <c r="AO5" s="460">
        <v>16</v>
      </c>
      <c r="AP5" s="460">
        <v>0</v>
      </c>
      <c r="AQ5" s="460">
        <v>0</v>
      </c>
      <c r="AR5" s="460">
        <v>0</v>
      </c>
      <c r="AS5" s="460">
        <v>0</v>
      </c>
      <c r="AT5" s="460">
        <v>0</v>
      </c>
      <c r="AU5" s="460">
        <v>0</v>
      </c>
      <c r="AV5" s="460">
        <v>0</v>
      </c>
      <c r="AW5" s="460">
        <v>0</v>
      </c>
      <c r="AX5" s="460">
        <v>0</v>
      </c>
      <c r="AY5" s="460">
        <v>0</v>
      </c>
      <c r="AZ5" s="454"/>
      <c r="BA5" s="460" t="s">
        <v>1145</v>
      </c>
      <c r="BB5" s="460"/>
      <c r="BC5" s="460" t="s">
        <v>1145</v>
      </c>
      <c r="BD5" s="460"/>
      <c r="BE5" s="460"/>
      <c r="BF5" s="460"/>
      <c r="BG5" s="455"/>
      <c r="BH5" s="454"/>
      <c r="BI5" s="460"/>
      <c r="BJ5" s="460" t="s">
        <v>1146</v>
      </c>
      <c r="BK5" s="460">
        <v>1</v>
      </c>
      <c r="BL5" s="455"/>
      <c r="BM5" s="481" t="s">
        <v>1287</v>
      </c>
      <c r="BN5" s="454" t="s">
        <v>408</v>
      </c>
    </row>
    <row r="6" spans="1:66" s="450" customFormat="1" ht="13" customHeight="1" x14ac:dyDescent="0.2">
      <c r="A6" s="451">
        <v>2545</v>
      </c>
      <c r="B6" s="452">
        <v>43846</v>
      </c>
      <c r="C6" s="453" t="s">
        <v>295</v>
      </c>
      <c r="D6" s="454" t="s">
        <v>1100</v>
      </c>
      <c r="E6" s="452">
        <v>43725</v>
      </c>
      <c r="F6" s="455" t="s">
        <v>1052</v>
      </c>
      <c r="G6" s="454" t="s">
        <v>1181</v>
      </c>
      <c r="H6" s="456">
        <v>60.35</v>
      </c>
      <c r="I6" s="458" t="s">
        <v>296</v>
      </c>
      <c r="J6" s="459">
        <v>3000</v>
      </c>
      <c r="K6" s="459">
        <v>6000</v>
      </c>
      <c r="L6" s="459">
        <v>9000</v>
      </c>
      <c r="M6" s="459">
        <v>15000</v>
      </c>
      <c r="N6" s="454"/>
      <c r="O6" s="456">
        <v>2.5</v>
      </c>
      <c r="P6" s="456">
        <v>2.2000000000000002</v>
      </c>
      <c r="Q6" s="456">
        <v>1.85</v>
      </c>
      <c r="R6" s="456">
        <v>1.8</v>
      </c>
      <c r="S6" s="456">
        <v>1.7</v>
      </c>
      <c r="T6" s="457"/>
      <c r="U6" s="456">
        <v>2.35</v>
      </c>
      <c r="V6" s="456">
        <v>2.1</v>
      </c>
      <c r="W6" s="456">
        <v>1.85</v>
      </c>
      <c r="X6" s="456">
        <v>1.8</v>
      </c>
      <c r="Y6" s="456">
        <v>1.7</v>
      </c>
      <c r="Z6" s="456"/>
      <c r="AA6" s="456"/>
      <c r="AB6" s="456"/>
      <c r="AC6" s="456"/>
      <c r="AD6" s="456"/>
      <c r="AE6" s="456"/>
      <c r="AF6" s="456"/>
      <c r="AG6" s="460" t="s">
        <v>297</v>
      </c>
      <c r="AH6" s="460" t="s">
        <v>298</v>
      </c>
      <c r="AI6" s="460">
        <v>3</v>
      </c>
      <c r="AJ6" s="460">
        <v>3</v>
      </c>
      <c r="AK6" s="480">
        <v>0.5</v>
      </c>
      <c r="AL6" s="480">
        <v>0.5</v>
      </c>
      <c r="AM6" s="454" t="s">
        <v>1118</v>
      </c>
      <c r="AN6" s="460">
        <v>0</v>
      </c>
      <c r="AO6" s="460">
        <v>0</v>
      </c>
      <c r="AP6" s="460">
        <v>0</v>
      </c>
      <c r="AQ6" s="460">
        <v>20</v>
      </c>
      <c r="AR6" s="460">
        <v>0</v>
      </c>
      <c r="AS6" s="460">
        <v>0</v>
      </c>
      <c r="AT6" s="460">
        <v>0</v>
      </c>
      <c r="AU6" s="460">
        <v>0</v>
      </c>
      <c r="AV6" s="460">
        <v>0</v>
      </c>
      <c r="AW6" s="460">
        <v>0</v>
      </c>
      <c r="AX6" s="460">
        <v>0</v>
      </c>
      <c r="AY6" s="460">
        <v>0</v>
      </c>
      <c r="AZ6" s="454"/>
      <c r="BA6" s="460" t="s">
        <v>1278</v>
      </c>
      <c r="BB6" s="460"/>
      <c r="BC6" s="460" t="s">
        <v>1278</v>
      </c>
      <c r="BD6" s="460"/>
      <c r="BE6" s="460"/>
      <c r="BF6" s="460"/>
      <c r="BG6" s="455"/>
      <c r="BH6" s="454"/>
      <c r="BI6" s="460"/>
      <c r="BJ6" s="460" t="s">
        <v>4</v>
      </c>
      <c r="BK6" s="460"/>
      <c r="BL6" s="455"/>
      <c r="BM6" s="481" t="s">
        <v>1300</v>
      </c>
      <c r="BN6" s="454" t="s">
        <v>1121</v>
      </c>
    </row>
    <row r="7" spans="1:66" s="450" customFormat="1" ht="13" customHeight="1" x14ac:dyDescent="0.2">
      <c r="A7" s="451">
        <v>2113</v>
      </c>
      <c r="B7" s="452">
        <v>43843</v>
      </c>
      <c r="C7" s="453" t="s">
        <v>1138</v>
      </c>
      <c r="D7" s="454" t="s">
        <v>1100</v>
      </c>
      <c r="E7" s="452">
        <v>43831</v>
      </c>
      <c r="F7" s="455" t="s">
        <v>1156</v>
      </c>
      <c r="G7" s="454" t="s">
        <v>1157</v>
      </c>
      <c r="H7" s="456">
        <v>79.8</v>
      </c>
      <c r="I7" s="458" t="s">
        <v>1141</v>
      </c>
      <c r="J7" s="459">
        <v>6000</v>
      </c>
      <c r="K7" s="459">
        <v>6000</v>
      </c>
      <c r="L7" s="459">
        <v>6000</v>
      </c>
      <c r="M7" s="459">
        <v>6000</v>
      </c>
      <c r="N7" s="454"/>
      <c r="O7" s="456">
        <v>2.6181818181818177</v>
      </c>
      <c r="P7" s="482">
        <v>0</v>
      </c>
      <c r="Q7" s="456">
        <v>0</v>
      </c>
      <c r="R7" s="456">
        <v>0</v>
      </c>
      <c r="S7" s="456">
        <v>1.8909090909090909</v>
      </c>
      <c r="T7" s="457"/>
      <c r="U7" s="456">
        <v>2.6181818181818177</v>
      </c>
      <c r="V7" s="482">
        <v>0</v>
      </c>
      <c r="W7" s="456">
        <v>0</v>
      </c>
      <c r="X7" s="456">
        <v>0</v>
      </c>
      <c r="Y7" s="456">
        <v>1.8909090909090909</v>
      </c>
      <c r="Z7" s="456" t="s">
        <v>1142</v>
      </c>
      <c r="AA7" s="456" t="s">
        <v>1142</v>
      </c>
      <c r="AB7" s="456" t="s">
        <v>1142</v>
      </c>
      <c r="AC7" s="456" t="s">
        <v>1142</v>
      </c>
      <c r="AD7" s="456" t="s">
        <v>1142</v>
      </c>
      <c r="AE7" s="456"/>
      <c r="AF7" s="456" t="s">
        <v>1142</v>
      </c>
      <c r="AG7" s="460" t="s">
        <v>1145</v>
      </c>
      <c r="AH7" s="460"/>
      <c r="AI7" s="460">
        <v>3</v>
      </c>
      <c r="AJ7" s="460">
        <v>3</v>
      </c>
      <c r="AK7" s="480">
        <v>0.5</v>
      </c>
      <c r="AL7" s="480">
        <v>0.5</v>
      </c>
      <c r="AM7" s="454"/>
      <c r="AN7" s="460">
        <v>23</v>
      </c>
      <c r="AO7" s="460">
        <v>0</v>
      </c>
      <c r="AP7" s="460">
        <v>0</v>
      </c>
      <c r="AQ7" s="460">
        <v>0</v>
      </c>
      <c r="AR7" s="460">
        <v>0</v>
      </c>
      <c r="AS7" s="460">
        <v>0</v>
      </c>
      <c r="AT7" s="460">
        <v>0</v>
      </c>
      <c r="AU7" s="460">
        <v>0</v>
      </c>
      <c r="AV7" s="460">
        <v>0</v>
      </c>
      <c r="AW7" s="460">
        <v>0</v>
      </c>
      <c r="AX7" s="460">
        <v>0</v>
      </c>
      <c r="AY7" s="460">
        <v>0</v>
      </c>
      <c r="AZ7" s="454">
        <v>12</v>
      </c>
      <c r="BA7" s="460" t="s">
        <v>1145</v>
      </c>
      <c r="BB7" s="460">
        <v>12</v>
      </c>
      <c r="BC7" s="460" t="s">
        <v>1145</v>
      </c>
      <c r="BD7" s="460"/>
      <c r="BE7" s="460">
        <v>12</v>
      </c>
      <c r="BF7" s="460"/>
      <c r="BG7" s="455"/>
      <c r="BH7" s="454"/>
      <c r="BI7" s="460"/>
      <c r="BJ7" s="460" t="s">
        <v>1146</v>
      </c>
      <c r="BK7" s="460"/>
      <c r="BL7" s="455"/>
      <c r="BM7" s="481" t="s">
        <v>1289</v>
      </c>
      <c r="BN7" s="454" t="s">
        <v>408</v>
      </c>
    </row>
    <row r="8" spans="1:66" s="450" customFormat="1" ht="13" customHeight="1" x14ac:dyDescent="0.2">
      <c r="A8" s="451">
        <v>1942</v>
      </c>
      <c r="B8" s="452">
        <v>43843</v>
      </c>
      <c r="C8" s="453" t="s">
        <v>398</v>
      </c>
      <c r="D8" s="454" t="s">
        <v>1100</v>
      </c>
      <c r="E8" s="452">
        <v>43831</v>
      </c>
      <c r="F8" s="455" t="s">
        <v>427</v>
      </c>
      <c r="G8" s="454" t="s">
        <v>1105</v>
      </c>
      <c r="H8" s="456">
        <v>65</v>
      </c>
      <c r="I8" s="458" t="s">
        <v>1293</v>
      </c>
      <c r="J8" s="459">
        <v>3000</v>
      </c>
      <c r="K8" s="459">
        <v>6000</v>
      </c>
      <c r="L8" s="459">
        <v>9000</v>
      </c>
      <c r="M8" s="459">
        <v>15000</v>
      </c>
      <c r="N8" s="454"/>
      <c r="O8" s="456">
        <v>2.1</v>
      </c>
      <c r="P8" s="456">
        <v>1.95</v>
      </c>
      <c r="Q8" s="456">
        <v>1.69</v>
      </c>
      <c r="R8" s="456">
        <v>1.55</v>
      </c>
      <c r="S8" s="456">
        <v>1.53</v>
      </c>
      <c r="T8" s="457"/>
      <c r="U8" s="456">
        <v>2</v>
      </c>
      <c r="V8" s="456">
        <v>1.8400000000000003</v>
      </c>
      <c r="W8" s="456">
        <v>1.62</v>
      </c>
      <c r="X8" s="456">
        <v>1.54</v>
      </c>
      <c r="Y8" s="456">
        <v>1.45</v>
      </c>
      <c r="Z8" s="456" t="s">
        <v>1142</v>
      </c>
      <c r="AA8" s="456" t="s">
        <v>1142</v>
      </c>
      <c r="AB8" s="456" t="s">
        <v>1142</v>
      </c>
      <c r="AC8" s="456" t="s">
        <v>1142</v>
      </c>
      <c r="AD8" s="456" t="s">
        <v>1142</v>
      </c>
      <c r="AE8" s="456"/>
      <c r="AF8" s="456" t="s">
        <v>1142</v>
      </c>
      <c r="AG8" s="460" t="s">
        <v>403</v>
      </c>
      <c r="AH8" s="460" t="s">
        <v>404</v>
      </c>
      <c r="AI8" s="460">
        <v>3</v>
      </c>
      <c r="AJ8" s="460">
        <v>3</v>
      </c>
      <c r="AK8" s="480">
        <v>0.5</v>
      </c>
      <c r="AL8" s="480">
        <v>0.5</v>
      </c>
      <c r="AM8" s="454" t="s">
        <v>1118</v>
      </c>
      <c r="AN8" s="460">
        <v>0</v>
      </c>
      <c r="AO8" s="460">
        <v>0</v>
      </c>
      <c r="AP8" s="460">
        <v>3</v>
      </c>
      <c r="AQ8" s="460">
        <v>0</v>
      </c>
      <c r="AR8" s="460">
        <v>0</v>
      </c>
      <c r="AS8" s="460">
        <v>0</v>
      </c>
      <c r="AT8" s="460">
        <v>0</v>
      </c>
      <c r="AU8" s="460">
        <v>0</v>
      </c>
      <c r="AV8" s="460">
        <v>0</v>
      </c>
      <c r="AW8" s="460">
        <v>0</v>
      </c>
      <c r="AX8" s="460">
        <v>0</v>
      </c>
      <c r="AY8" s="460">
        <v>0</v>
      </c>
      <c r="AZ8" s="454"/>
      <c r="BA8" s="460" t="s">
        <v>405</v>
      </c>
      <c r="BB8" s="460"/>
      <c r="BC8" s="460" t="s">
        <v>405</v>
      </c>
      <c r="BD8" s="460"/>
      <c r="BE8" s="460"/>
      <c r="BF8" s="460"/>
      <c r="BG8" s="455"/>
      <c r="BH8" s="454"/>
      <c r="BI8" s="460"/>
      <c r="BJ8" s="460" t="s">
        <v>406</v>
      </c>
      <c r="BK8" s="460"/>
      <c r="BL8" s="455"/>
      <c r="BM8" s="481" t="s">
        <v>1294</v>
      </c>
      <c r="BN8" s="454" t="s">
        <v>408</v>
      </c>
    </row>
    <row r="9" spans="1:66" s="450" customFormat="1" ht="13" customHeight="1" x14ac:dyDescent="0.2">
      <c r="A9" s="451">
        <v>312</v>
      </c>
      <c r="B9" s="452">
        <v>43843</v>
      </c>
      <c r="C9" s="453" t="s">
        <v>295</v>
      </c>
      <c r="D9" s="454" t="s">
        <v>1100</v>
      </c>
      <c r="E9" s="452">
        <v>43831</v>
      </c>
      <c r="F9" s="455" t="s">
        <v>1057</v>
      </c>
      <c r="G9" s="454" t="s">
        <v>1181</v>
      </c>
      <c r="H9" s="456">
        <v>81.236363636363635</v>
      </c>
      <c r="I9" s="458" t="s">
        <v>296</v>
      </c>
      <c r="J9" s="459">
        <v>3000</v>
      </c>
      <c r="K9" s="459">
        <v>6000</v>
      </c>
      <c r="L9" s="459">
        <v>9000</v>
      </c>
      <c r="M9" s="459">
        <v>15000</v>
      </c>
      <c r="N9" s="454"/>
      <c r="O9" s="456">
        <v>2.2181818181818178</v>
      </c>
      <c r="P9" s="456">
        <v>2.0272727272727269</v>
      </c>
      <c r="Q9" s="456">
        <v>1.7909090909090908</v>
      </c>
      <c r="R9" s="456">
        <v>1.6727272727272726</v>
      </c>
      <c r="S9" s="456">
        <v>1.6363636363636362</v>
      </c>
      <c r="T9" s="457"/>
      <c r="U9" s="456">
        <v>2.0636363636363635</v>
      </c>
      <c r="V9" s="456">
        <v>1.8999999999999997</v>
      </c>
      <c r="W9" s="456">
        <v>1.7</v>
      </c>
      <c r="X9" s="456">
        <v>1.5999999999999999</v>
      </c>
      <c r="Y9" s="456">
        <v>1.5727272727272725</v>
      </c>
      <c r="Z9" s="456" t="s">
        <v>1142</v>
      </c>
      <c r="AA9" s="456" t="s">
        <v>1142</v>
      </c>
      <c r="AB9" s="456" t="s">
        <v>1142</v>
      </c>
      <c r="AC9" s="456" t="s">
        <v>1142</v>
      </c>
      <c r="AD9" s="456" t="s">
        <v>1142</v>
      </c>
      <c r="AE9" s="456"/>
      <c r="AF9" s="456" t="s">
        <v>1142</v>
      </c>
      <c r="AG9" s="460" t="s">
        <v>297</v>
      </c>
      <c r="AH9" s="460" t="s">
        <v>298</v>
      </c>
      <c r="AI9" s="460">
        <v>3</v>
      </c>
      <c r="AJ9" s="460">
        <v>3</v>
      </c>
      <c r="AK9" s="480">
        <v>0.5</v>
      </c>
      <c r="AL9" s="480">
        <v>0.5</v>
      </c>
      <c r="AM9" s="454" t="s">
        <v>1118</v>
      </c>
      <c r="AN9" s="460">
        <v>0</v>
      </c>
      <c r="AO9" s="460">
        <v>0</v>
      </c>
      <c r="AP9" s="460">
        <v>0</v>
      </c>
      <c r="AQ9" s="460">
        <v>0</v>
      </c>
      <c r="AR9" s="460">
        <v>0</v>
      </c>
      <c r="AS9" s="460">
        <v>0</v>
      </c>
      <c r="AT9" s="460">
        <v>0</v>
      </c>
      <c r="AU9" s="460">
        <v>0</v>
      </c>
      <c r="AV9" s="460">
        <v>0</v>
      </c>
      <c r="AW9" s="460">
        <v>0</v>
      </c>
      <c r="AX9" s="460">
        <v>0</v>
      </c>
      <c r="AY9" s="460">
        <v>0</v>
      </c>
      <c r="AZ9" s="454"/>
      <c r="BA9" s="460" t="s">
        <v>1278</v>
      </c>
      <c r="BB9" s="460"/>
      <c r="BC9" s="460" t="s">
        <v>1278</v>
      </c>
      <c r="BD9" s="460"/>
      <c r="BE9" s="460"/>
      <c r="BF9" s="460"/>
      <c r="BG9" s="455" t="s">
        <v>1162</v>
      </c>
      <c r="BH9" s="454" t="s">
        <v>365</v>
      </c>
      <c r="BI9" s="460">
        <v>50</v>
      </c>
      <c r="BJ9" s="460" t="s">
        <v>411</v>
      </c>
      <c r="BK9" s="460"/>
      <c r="BL9" s="455"/>
      <c r="BM9" s="481" t="s">
        <v>1295</v>
      </c>
      <c r="BN9" s="454" t="s">
        <v>408</v>
      </c>
    </row>
    <row r="10" spans="1:66" s="450" customFormat="1" ht="13" customHeight="1" x14ac:dyDescent="0.2">
      <c r="A10" s="451">
        <v>2257</v>
      </c>
      <c r="B10" s="452">
        <v>43847</v>
      </c>
      <c r="C10" s="453" t="s">
        <v>398</v>
      </c>
      <c r="D10" s="454" t="s">
        <v>1100</v>
      </c>
      <c r="E10" s="452">
        <v>43831</v>
      </c>
      <c r="F10" s="455" t="s">
        <v>354</v>
      </c>
      <c r="G10" s="454" t="s">
        <v>1167</v>
      </c>
      <c r="H10" s="456">
        <v>70</v>
      </c>
      <c r="I10" s="458" t="s">
        <v>1293</v>
      </c>
      <c r="J10" s="459">
        <v>6000</v>
      </c>
      <c r="K10" s="459">
        <v>9000</v>
      </c>
      <c r="L10" s="459">
        <v>9000</v>
      </c>
      <c r="M10" s="459">
        <v>9000</v>
      </c>
      <c r="N10" s="454"/>
      <c r="O10" s="456">
        <v>2.4</v>
      </c>
      <c r="P10" s="456">
        <v>1.95</v>
      </c>
      <c r="Q10" s="482">
        <v>0</v>
      </c>
      <c r="R10" s="456">
        <v>0</v>
      </c>
      <c r="S10" s="456">
        <v>1.45</v>
      </c>
      <c r="T10" s="457"/>
      <c r="U10" s="461">
        <v>2.2000000000000002</v>
      </c>
      <c r="V10" s="461">
        <v>1.75</v>
      </c>
      <c r="W10" s="482">
        <v>0</v>
      </c>
      <c r="X10" s="461">
        <v>0</v>
      </c>
      <c r="Y10" s="461">
        <v>1.35</v>
      </c>
      <c r="Z10" s="456" t="s">
        <v>1142</v>
      </c>
      <c r="AA10" s="456" t="s">
        <v>1142</v>
      </c>
      <c r="AB10" s="456" t="s">
        <v>1142</v>
      </c>
      <c r="AC10" s="456" t="s">
        <v>1142</v>
      </c>
      <c r="AD10" s="456" t="s">
        <v>1142</v>
      </c>
      <c r="AE10" s="456"/>
      <c r="AF10" s="456" t="s">
        <v>1142</v>
      </c>
      <c r="AG10" s="460" t="s">
        <v>403</v>
      </c>
      <c r="AH10" s="460" t="s">
        <v>404</v>
      </c>
      <c r="AI10" s="460">
        <v>3</v>
      </c>
      <c r="AJ10" s="460">
        <v>3</v>
      </c>
      <c r="AK10" s="480">
        <v>0.5</v>
      </c>
      <c r="AL10" s="480">
        <v>0.5</v>
      </c>
      <c r="AM10" s="454" t="s">
        <v>1118</v>
      </c>
      <c r="AN10" s="460">
        <v>10</v>
      </c>
      <c r="AO10" s="460">
        <v>0</v>
      </c>
      <c r="AP10" s="460">
        <v>0</v>
      </c>
      <c r="AQ10" s="460">
        <v>0</v>
      </c>
      <c r="AR10" s="460">
        <v>0</v>
      </c>
      <c r="AS10" s="460">
        <v>0</v>
      </c>
      <c r="AT10" s="460">
        <v>0</v>
      </c>
      <c r="AU10" s="460">
        <v>0</v>
      </c>
      <c r="AV10" s="460">
        <v>0</v>
      </c>
      <c r="AW10" s="460">
        <v>0</v>
      </c>
      <c r="AX10" s="460">
        <v>0</v>
      </c>
      <c r="AY10" s="460">
        <v>0</v>
      </c>
      <c r="AZ10" s="454"/>
      <c r="BA10" s="460" t="s">
        <v>405</v>
      </c>
      <c r="BB10" s="460">
        <v>12</v>
      </c>
      <c r="BC10" s="460" t="s">
        <v>405</v>
      </c>
      <c r="BD10" s="460"/>
      <c r="BE10" s="460"/>
      <c r="BF10" s="460"/>
      <c r="BG10" s="455"/>
      <c r="BH10" s="454"/>
      <c r="BI10" s="460"/>
      <c r="BJ10" s="460" t="s">
        <v>406</v>
      </c>
      <c r="BK10" s="460"/>
      <c r="BL10" s="455"/>
      <c r="BM10" s="454" t="s">
        <v>430</v>
      </c>
      <c r="BN10" s="454" t="s">
        <v>408</v>
      </c>
    </row>
    <row r="11" spans="1:66" s="450" customFormat="1" ht="13" customHeight="1" x14ac:dyDescent="0.2">
      <c r="A11" s="451">
        <v>2394</v>
      </c>
      <c r="B11" s="452">
        <v>43843</v>
      </c>
      <c r="C11" s="453" t="s">
        <v>398</v>
      </c>
      <c r="D11" s="454" t="s">
        <v>1100</v>
      </c>
      <c r="E11" s="452">
        <v>43831</v>
      </c>
      <c r="F11" s="455" t="s">
        <v>359</v>
      </c>
      <c r="G11" s="454" t="s">
        <v>1297</v>
      </c>
      <c r="H11" s="456">
        <v>70.999999999999986</v>
      </c>
      <c r="I11" s="458" t="s">
        <v>1293</v>
      </c>
      <c r="J11" s="459">
        <v>3000</v>
      </c>
      <c r="K11" s="459">
        <v>6000</v>
      </c>
      <c r="L11" s="459">
        <v>9000</v>
      </c>
      <c r="M11" s="459">
        <v>15000</v>
      </c>
      <c r="N11" s="454"/>
      <c r="O11" s="456">
        <v>2.2545454545454544</v>
      </c>
      <c r="P11" s="456">
        <v>2.1</v>
      </c>
      <c r="Q11" s="456">
        <v>1.8999999999999997</v>
      </c>
      <c r="R11" s="456">
        <v>1.7999999999999998</v>
      </c>
      <c r="S11" s="456">
        <v>1.7</v>
      </c>
      <c r="T11" s="457"/>
      <c r="U11" s="456">
        <v>2.1545454545454543</v>
      </c>
      <c r="V11" s="456">
        <v>1.9545454545454544</v>
      </c>
      <c r="W11" s="456">
        <v>1.7999999999999998</v>
      </c>
      <c r="X11" s="456">
        <v>1.7</v>
      </c>
      <c r="Y11" s="456">
        <v>1.6545454545454545</v>
      </c>
      <c r="Z11" s="456" t="s">
        <v>1142</v>
      </c>
      <c r="AA11" s="456" t="s">
        <v>1142</v>
      </c>
      <c r="AB11" s="456" t="s">
        <v>1142</v>
      </c>
      <c r="AC11" s="456" t="s">
        <v>1142</v>
      </c>
      <c r="AD11" s="456" t="s">
        <v>1142</v>
      </c>
      <c r="AE11" s="456"/>
      <c r="AF11" s="456" t="s">
        <v>1142</v>
      </c>
      <c r="AG11" s="460" t="s">
        <v>403</v>
      </c>
      <c r="AH11" s="460" t="s">
        <v>404</v>
      </c>
      <c r="AI11" s="460">
        <v>3</v>
      </c>
      <c r="AJ11" s="460">
        <v>3</v>
      </c>
      <c r="AK11" s="480">
        <v>0.5</v>
      </c>
      <c r="AL11" s="480">
        <v>0.5</v>
      </c>
      <c r="AM11" s="454" t="s">
        <v>1118</v>
      </c>
      <c r="AN11" s="460">
        <v>0</v>
      </c>
      <c r="AO11" s="460">
        <v>0</v>
      </c>
      <c r="AP11" s="460">
        <v>10</v>
      </c>
      <c r="AQ11" s="460">
        <v>0</v>
      </c>
      <c r="AR11" s="460">
        <v>0</v>
      </c>
      <c r="AS11" s="460">
        <v>0</v>
      </c>
      <c r="AT11" s="460">
        <v>0</v>
      </c>
      <c r="AU11" s="460">
        <v>0</v>
      </c>
      <c r="AV11" s="460">
        <v>0</v>
      </c>
      <c r="AW11" s="460">
        <v>0</v>
      </c>
      <c r="AX11" s="460">
        <v>0</v>
      </c>
      <c r="AY11" s="460">
        <v>0</v>
      </c>
      <c r="AZ11" s="454"/>
      <c r="BA11" s="460" t="s">
        <v>405</v>
      </c>
      <c r="BB11" s="460"/>
      <c r="BC11" s="460" t="s">
        <v>405</v>
      </c>
      <c r="BD11" s="460"/>
      <c r="BE11" s="460"/>
      <c r="BF11" s="460"/>
      <c r="BG11" s="455"/>
      <c r="BH11" s="454"/>
      <c r="BI11" s="460"/>
      <c r="BJ11" s="460" t="s">
        <v>406</v>
      </c>
      <c r="BK11" s="460"/>
      <c r="BL11" s="455"/>
      <c r="BM11" s="481" t="s">
        <v>1298</v>
      </c>
      <c r="BN11" s="454" t="s">
        <v>408</v>
      </c>
    </row>
    <row r="12" spans="1:66" s="450" customFormat="1" ht="13" customHeight="1" x14ac:dyDescent="0.2">
      <c r="A12" s="451">
        <v>778</v>
      </c>
      <c r="B12" s="452">
        <v>43843</v>
      </c>
      <c r="C12" s="453" t="s">
        <v>295</v>
      </c>
      <c r="D12" s="454" t="s">
        <v>1100</v>
      </c>
      <c r="E12" s="452">
        <v>43831</v>
      </c>
      <c r="F12" s="455" t="s">
        <v>984</v>
      </c>
      <c r="G12" s="454" t="s">
        <v>1308</v>
      </c>
      <c r="H12" s="456">
        <v>83.672727272727272</v>
      </c>
      <c r="I12" s="458" t="s">
        <v>296</v>
      </c>
      <c r="J12" s="459">
        <v>3000</v>
      </c>
      <c r="K12" s="459">
        <v>6000</v>
      </c>
      <c r="L12" s="459">
        <v>9000</v>
      </c>
      <c r="M12" s="459">
        <v>15000</v>
      </c>
      <c r="N12" s="454"/>
      <c r="O12" s="462">
        <v>2.44</v>
      </c>
      <c r="P12" s="462">
        <v>2.113</v>
      </c>
      <c r="Q12" s="462">
        <v>1.8</v>
      </c>
      <c r="R12" s="462">
        <v>1.63</v>
      </c>
      <c r="S12" s="462">
        <v>1.5860000000000001</v>
      </c>
      <c r="T12" s="463"/>
      <c r="U12" s="462">
        <v>2.4363636363636365</v>
      </c>
      <c r="V12" s="462">
        <v>2.1090909090909089</v>
      </c>
      <c r="W12" s="462">
        <v>1.7999999999999998</v>
      </c>
      <c r="X12" s="462">
        <v>1.6272727272727272</v>
      </c>
      <c r="Y12" s="462">
        <v>1.5909090909090908</v>
      </c>
      <c r="Z12" s="456"/>
      <c r="AA12" s="456"/>
      <c r="AB12" s="456"/>
      <c r="AC12" s="456"/>
      <c r="AD12" s="456"/>
      <c r="AE12" s="456"/>
      <c r="AF12" s="456"/>
      <c r="AG12" s="460" t="s">
        <v>297</v>
      </c>
      <c r="AH12" s="460" t="s">
        <v>298</v>
      </c>
      <c r="AI12" s="460">
        <v>3</v>
      </c>
      <c r="AJ12" s="460">
        <v>3</v>
      </c>
      <c r="AK12" s="480">
        <v>0.5</v>
      </c>
      <c r="AL12" s="480">
        <v>0.5</v>
      </c>
      <c r="AM12" s="454" t="s">
        <v>1123</v>
      </c>
      <c r="AN12" s="460">
        <v>0</v>
      </c>
      <c r="AO12" s="460">
        <v>0</v>
      </c>
      <c r="AP12" s="460">
        <v>12</v>
      </c>
      <c r="AQ12" s="460">
        <v>0</v>
      </c>
      <c r="AR12" s="460">
        <v>0</v>
      </c>
      <c r="AS12" s="460">
        <v>0</v>
      </c>
      <c r="AT12" s="460">
        <v>0</v>
      </c>
      <c r="AU12" s="460">
        <v>0</v>
      </c>
      <c r="AV12" s="460">
        <v>0</v>
      </c>
      <c r="AW12" s="460">
        <v>0</v>
      </c>
      <c r="AX12" s="460">
        <v>0</v>
      </c>
      <c r="AY12" s="460">
        <v>0</v>
      </c>
      <c r="AZ12" s="454"/>
      <c r="BA12" s="460" t="s">
        <v>1278</v>
      </c>
      <c r="BB12" s="460"/>
      <c r="BC12" s="460" t="s">
        <v>1278</v>
      </c>
      <c r="BD12" s="460"/>
      <c r="BE12" s="460"/>
      <c r="BF12" s="460"/>
      <c r="BG12" s="455"/>
      <c r="BH12" s="454"/>
      <c r="BI12" s="460"/>
      <c r="BJ12" s="460" t="s">
        <v>411</v>
      </c>
      <c r="BK12" s="460"/>
      <c r="BL12" s="455"/>
      <c r="BM12" s="481" t="s">
        <v>1299</v>
      </c>
      <c r="BN12" s="454" t="s">
        <v>408</v>
      </c>
    </row>
    <row r="13" spans="1:66" s="450" customFormat="1" ht="13" customHeight="1" x14ac:dyDescent="0.2">
      <c r="A13" s="451">
        <v>2223</v>
      </c>
      <c r="B13" s="452">
        <v>43843</v>
      </c>
      <c r="C13" s="453" t="s">
        <v>398</v>
      </c>
      <c r="D13" s="454" t="s">
        <v>1100</v>
      </c>
      <c r="E13" s="452">
        <v>43647</v>
      </c>
      <c r="F13" s="455" t="s">
        <v>31</v>
      </c>
      <c r="G13" s="454" t="s">
        <v>1174</v>
      </c>
      <c r="H13" s="456">
        <v>75</v>
      </c>
      <c r="I13" s="458" t="s">
        <v>1293</v>
      </c>
      <c r="J13" s="459">
        <v>3000</v>
      </c>
      <c r="K13" s="459">
        <v>6000</v>
      </c>
      <c r="L13" s="459">
        <v>9000</v>
      </c>
      <c r="M13" s="459">
        <v>15000</v>
      </c>
      <c r="N13" s="454"/>
      <c r="O13" s="456">
        <v>2.2818181818181813</v>
      </c>
      <c r="P13" s="456">
        <v>1.9727272727272724</v>
      </c>
      <c r="Q13" s="456">
        <v>1.6181818181818182</v>
      </c>
      <c r="R13" s="456">
        <v>1.4090909090909089</v>
      </c>
      <c r="S13" s="456">
        <v>1.3090909090909089</v>
      </c>
      <c r="T13" s="457"/>
      <c r="U13" s="456">
        <v>2.0181818181818181</v>
      </c>
      <c r="V13" s="456">
        <v>1.7727272727272725</v>
      </c>
      <c r="W13" s="456">
        <v>1.4090909090909089</v>
      </c>
      <c r="X13" s="456">
        <v>1.2999999999999998</v>
      </c>
      <c r="Y13" s="456">
        <v>1.209090909090909</v>
      </c>
      <c r="Z13" s="456" t="s">
        <v>1142</v>
      </c>
      <c r="AA13" s="456" t="s">
        <v>1142</v>
      </c>
      <c r="AB13" s="456" t="s">
        <v>1142</v>
      </c>
      <c r="AC13" s="456" t="s">
        <v>1142</v>
      </c>
      <c r="AD13" s="456" t="s">
        <v>1142</v>
      </c>
      <c r="AE13" s="456"/>
      <c r="AF13" s="456" t="s">
        <v>1142</v>
      </c>
      <c r="AG13" s="460" t="s">
        <v>403</v>
      </c>
      <c r="AH13" s="460" t="s">
        <v>404</v>
      </c>
      <c r="AI13" s="460">
        <v>3</v>
      </c>
      <c r="AJ13" s="460">
        <v>3</v>
      </c>
      <c r="AK13" s="480">
        <v>0.5</v>
      </c>
      <c r="AL13" s="480">
        <v>0.5</v>
      </c>
      <c r="AM13" s="454" t="s">
        <v>1118</v>
      </c>
      <c r="AN13" s="460">
        <v>0</v>
      </c>
      <c r="AO13" s="460">
        <v>0</v>
      </c>
      <c r="AP13" s="460">
        <v>5</v>
      </c>
      <c r="AQ13" s="460">
        <v>0</v>
      </c>
      <c r="AR13" s="460">
        <v>0</v>
      </c>
      <c r="AS13" s="460">
        <v>0</v>
      </c>
      <c r="AT13" s="460">
        <v>0</v>
      </c>
      <c r="AU13" s="460">
        <v>0</v>
      </c>
      <c r="AV13" s="460">
        <v>0</v>
      </c>
      <c r="AW13" s="460">
        <v>0</v>
      </c>
      <c r="AX13" s="460">
        <v>0</v>
      </c>
      <c r="AY13" s="460">
        <v>0</v>
      </c>
      <c r="AZ13" s="454"/>
      <c r="BA13" s="460" t="s">
        <v>405</v>
      </c>
      <c r="BB13" s="460">
        <v>12</v>
      </c>
      <c r="BC13" s="460" t="s">
        <v>405</v>
      </c>
      <c r="BD13" s="460"/>
      <c r="BE13" s="460"/>
      <c r="BF13" s="460"/>
      <c r="BG13" s="455"/>
      <c r="BH13" s="454"/>
      <c r="BI13" s="460"/>
      <c r="BJ13" s="460" t="s">
        <v>422</v>
      </c>
      <c r="BK13" s="460"/>
      <c r="BL13" s="455"/>
      <c r="BM13" s="481" t="s">
        <v>1175</v>
      </c>
      <c r="BN13" s="454" t="s">
        <v>368</v>
      </c>
    </row>
    <row r="14" spans="1:66" s="450" customFormat="1" ht="13" customHeight="1" x14ac:dyDescent="0.2">
      <c r="A14" s="451">
        <v>1920</v>
      </c>
      <c r="B14" s="452">
        <v>43843</v>
      </c>
      <c r="C14" s="453" t="s">
        <v>1138</v>
      </c>
      <c r="D14" s="454" t="s">
        <v>1100</v>
      </c>
      <c r="E14" s="452">
        <v>43831</v>
      </c>
      <c r="F14" s="455" t="s">
        <v>987</v>
      </c>
      <c r="G14" s="454" t="s">
        <v>1127</v>
      </c>
      <c r="H14" s="456">
        <v>53.107999999999997</v>
      </c>
      <c r="I14" s="458" t="s">
        <v>1141</v>
      </c>
      <c r="J14" s="459">
        <v>3000</v>
      </c>
      <c r="K14" s="459">
        <v>6000</v>
      </c>
      <c r="L14" s="459">
        <v>9000</v>
      </c>
      <c r="M14" s="459">
        <v>15000</v>
      </c>
      <c r="N14" s="454"/>
      <c r="O14" s="456">
        <v>2.278</v>
      </c>
      <c r="P14" s="456">
        <v>2.0059999999999998</v>
      </c>
      <c r="Q14" s="456">
        <v>1.734</v>
      </c>
      <c r="R14" s="456">
        <v>1.5980000000000001</v>
      </c>
      <c r="S14" s="456">
        <v>1.53</v>
      </c>
      <c r="T14" s="457"/>
      <c r="U14" s="456">
        <v>2.21</v>
      </c>
      <c r="V14" s="456">
        <v>1.9719999999999998</v>
      </c>
      <c r="W14" s="456">
        <v>1.7</v>
      </c>
      <c r="X14" s="456">
        <v>1.5980000000000001</v>
      </c>
      <c r="Y14" s="456">
        <v>1.5640000000000001</v>
      </c>
      <c r="Z14" s="456" t="s">
        <v>1142</v>
      </c>
      <c r="AA14" s="456" t="s">
        <v>1142</v>
      </c>
      <c r="AB14" s="456" t="s">
        <v>1142</v>
      </c>
      <c r="AC14" s="456" t="s">
        <v>1142</v>
      </c>
      <c r="AD14" s="456" t="s">
        <v>1142</v>
      </c>
      <c r="AE14" s="456"/>
      <c r="AF14" s="456" t="s">
        <v>1142</v>
      </c>
      <c r="AG14" s="460" t="s">
        <v>1143</v>
      </c>
      <c r="AH14" s="460" t="s">
        <v>1144</v>
      </c>
      <c r="AI14" s="460">
        <v>3</v>
      </c>
      <c r="AJ14" s="460">
        <v>3</v>
      </c>
      <c r="AK14" s="480">
        <v>0.5</v>
      </c>
      <c r="AL14" s="480">
        <v>0.5</v>
      </c>
      <c r="AM14" s="454" t="s">
        <v>1118</v>
      </c>
      <c r="AN14" s="460">
        <v>0</v>
      </c>
      <c r="AO14" s="460">
        <v>0</v>
      </c>
      <c r="AP14" s="460">
        <v>0</v>
      </c>
      <c r="AQ14" s="460">
        <v>0</v>
      </c>
      <c r="AR14" s="460">
        <v>0</v>
      </c>
      <c r="AS14" s="460">
        <v>0</v>
      </c>
      <c r="AT14" s="460">
        <v>0</v>
      </c>
      <c r="AU14" s="460">
        <v>0</v>
      </c>
      <c r="AV14" s="460">
        <v>0</v>
      </c>
      <c r="AW14" s="460">
        <v>0</v>
      </c>
      <c r="AX14" s="460">
        <v>0</v>
      </c>
      <c r="AY14" s="460">
        <v>0</v>
      </c>
      <c r="AZ14" s="454"/>
      <c r="BA14" s="460" t="s">
        <v>1145</v>
      </c>
      <c r="BB14" s="460"/>
      <c r="BC14" s="460" t="s">
        <v>1145</v>
      </c>
      <c r="BD14" s="460"/>
      <c r="BE14" s="460"/>
      <c r="BF14" s="460"/>
      <c r="BG14" s="455"/>
      <c r="BH14" s="454"/>
      <c r="BI14" s="460"/>
      <c r="BJ14" s="460" t="s">
        <v>1146</v>
      </c>
      <c r="BK14" s="460">
        <v>1</v>
      </c>
      <c r="BL14" s="455"/>
      <c r="BM14" s="481" t="s">
        <v>1282</v>
      </c>
      <c r="BN14" s="454" t="s">
        <v>408</v>
      </c>
    </row>
    <row r="15" spans="1:66" s="450" customFormat="1" ht="13" customHeight="1" x14ac:dyDescent="0.2">
      <c r="A15" s="464">
        <v>1682</v>
      </c>
      <c r="B15" s="452">
        <v>43843</v>
      </c>
      <c r="C15" s="453" t="s">
        <v>295</v>
      </c>
      <c r="D15" s="454" t="s">
        <v>1100</v>
      </c>
      <c r="E15" s="452">
        <v>43801</v>
      </c>
      <c r="F15" s="455" t="s">
        <v>1106</v>
      </c>
      <c r="G15" s="454" t="s">
        <v>2</v>
      </c>
      <c r="H15" s="456">
        <v>65</v>
      </c>
      <c r="I15" s="458" t="s">
        <v>296</v>
      </c>
      <c r="J15" s="459">
        <v>6000</v>
      </c>
      <c r="K15" s="459">
        <v>6000</v>
      </c>
      <c r="L15" s="459">
        <v>6000</v>
      </c>
      <c r="M15" s="459">
        <v>6000</v>
      </c>
      <c r="N15" s="454"/>
      <c r="O15" s="456">
        <v>2.0636363636363635</v>
      </c>
      <c r="P15" s="482">
        <v>0</v>
      </c>
      <c r="Q15" s="456">
        <v>0</v>
      </c>
      <c r="R15" s="456">
        <v>0</v>
      </c>
      <c r="S15" s="456">
        <v>1.5272727272727271</v>
      </c>
      <c r="T15" s="457"/>
      <c r="U15" s="456">
        <v>2.0636363636363635</v>
      </c>
      <c r="V15" s="482">
        <v>0</v>
      </c>
      <c r="W15" s="456">
        <v>0</v>
      </c>
      <c r="X15" s="456">
        <v>0</v>
      </c>
      <c r="Y15" s="456">
        <v>1.5272727272727271</v>
      </c>
      <c r="Z15" s="456" t="s">
        <v>1142</v>
      </c>
      <c r="AA15" s="456" t="s">
        <v>1142</v>
      </c>
      <c r="AB15" s="456" t="s">
        <v>1142</v>
      </c>
      <c r="AC15" s="456" t="s">
        <v>1142</v>
      </c>
      <c r="AD15" s="456" t="s">
        <v>1142</v>
      </c>
      <c r="AE15" s="456"/>
      <c r="AF15" s="456" t="s">
        <v>1142</v>
      </c>
      <c r="AG15" s="460" t="s">
        <v>1143</v>
      </c>
      <c r="AH15" s="460" t="s">
        <v>1144</v>
      </c>
      <c r="AI15" s="460">
        <v>2</v>
      </c>
      <c r="AJ15" s="460">
        <v>4</v>
      </c>
      <c r="AK15" s="483">
        <v>0.33329999999999999</v>
      </c>
      <c r="AL15" s="483">
        <v>0.66659999999999997</v>
      </c>
      <c r="AM15" s="454" t="s">
        <v>1124</v>
      </c>
      <c r="AN15" s="460">
        <v>0</v>
      </c>
      <c r="AO15" s="460">
        <v>0</v>
      </c>
      <c r="AP15" s="460">
        <v>5</v>
      </c>
      <c r="AQ15" s="460">
        <v>0</v>
      </c>
      <c r="AR15" s="460">
        <v>0</v>
      </c>
      <c r="AS15" s="460">
        <v>0</v>
      </c>
      <c r="AT15" s="460">
        <v>0</v>
      </c>
      <c r="AU15" s="460">
        <v>0</v>
      </c>
      <c r="AV15" s="460">
        <v>0</v>
      </c>
      <c r="AW15" s="460">
        <v>0</v>
      </c>
      <c r="AX15" s="460">
        <v>0</v>
      </c>
      <c r="AY15" s="460">
        <v>0</v>
      </c>
      <c r="AZ15" s="454"/>
      <c r="BA15" s="460" t="s">
        <v>1145</v>
      </c>
      <c r="BB15" s="460"/>
      <c r="BC15" s="460" t="s">
        <v>1145</v>
      </c>
      <c r="BD15" s="460"/>
      <c r="BE15" s="460"/>
      <c r="BF15" s="460"/>
      <c r="BG15" s="455"/>
      <c r="BH15" s="454"/>
      <c r="BI15" s="460"/>
      <c r="BJ15" s="460" t="s">
        <v>1146</v>
      </c>
      <c r="BK15" s="460">
        <v>1</v>
      </c>
      <c r="BL15" s="455"/>
      <c r="BM15" s="481" t="s">
        <v>1290</v>
      </c>
      <c r="BN15" s="454" t="s">
        <v>408</v>
      </c>
    </row>
    <row r="16" spans="1:66" s="450" customFormat="1" ht="13" customHeight="1" x14ac:dyDescent="0.2">
      <c r="A16" s="451">
        <v>2215</v>
      </c>
      <c r="B16" s="452">
        <v>43843</v>
      </c>
      <c r="C16" s="453" t="s">
        <v>398</v>
      </c>
      <c r="D16" s="454" t="s">
        <v>1100</v>
      </c>
      <c r="E16" s="465">
        <v>43831</v>
      </c>
      <c r="F16" s="454" t="s">
        <v>34</v>
      </c>
      <c r="G16" s="454" t="s">
        <v>1178</v>
      </c>
      <c r="H16" s="456">
        <v>70.699999999999989</v>
      </c>
      <c r="I16" s="467"/>
      <c r="J16" s="467"/>
      <c r="K16" s="467"/>
      <c r="L16" s="468"/>
      <c r="M16" s="468"/>
      <c r="N16" s="468"/>
      <c r="O16" s="456">
        <v>1.8909090909090909</v>
      </c>
      <c r="P16" s="456">
        <v>0</v>
      </c>
      <c r="Q16" s="456">
        <v>0</v>
      </c>
      <c r="R16" s="456">
        <v>0</v>
      </c>
      <c r="S16" s="456">
        <v>0</v>
      </c>
      <c r="T16" s="466"/>
      <c r="U16" s="456">
        <v>1.7</v>
      </c>
      <c r="V16" s="456">
        <v>0</v>
      </c>
      <c r="W16" s="456">
        <v>0</v>
      </c>
      <c r="X16" s="456">
        <v>0</v>
      </c>
      <c r="Y16" s="456">
        <v>0</v>
      </c>
      <c r="Z16" s="456" t="s">
        <v>1142</v>
      </c>
      <c r="AA16" s="456" t="s">
        <v>1142</v>
      </c>
      <c r="AB16" s="456" t="s">
        <v>1142</v>
      </c>
      <c r="AC16" s="456" t="s">
        <v>1142</v>
      </c>
      <c r="AD16" s="456" t="s">
        <v>1142</v>
      </c>
      <c r="AE16" s="456"/>
      <c r="AF16" s="456" t="s">
        <v>1142</v>
      </c>
      <c r="AG16" s="460" t="s">
        <v>403</v>
      </c>
      <c r="AH16" s="460" t="s">
        <v>404</v>
      </c>
      <c r="AI16" s="460">
        <v>3</v>
      </c>
      <c r="AJ16" s="460">
        <v>3</v>
      </c>
      <c r="AK16" s="480">
        <v>0.5</v>
      </c>
      <c r="AL16" s="480">
        <v>0.5</v>
      </c>
      <c r="AM16" s="454" t="s">
        <v>1118</v>
      </c>
      <c r="AN16" s="460">
        <v>0</v>
      </c>
      <c r="AO16" s="460">
        <v>0</v>
      </c>
      <c r="AP16" s="460">
        <v>5</v>
      </c>
      <c r="AQ16" s="460">
        <v>0</v>
      </c>
      <c r="AR16" s="460">
        <v>0</v>
      </c>
      <c r="AS16" s="460">
        <v>0</v>
      </c>
      <c r="AT16" s="460">
        <v>0</v>
      </c>
      <c r="AU16" s="460">
        <v>0</v>
      </c>
      <c r="AV16" s="460">
        <v>0</v>
      </c>
      <c r="AW16" s="460">
        <v>0</v>
      </c>
      <c r="AX16" s="460">
        <v>0</v>
      </c>
      <c r="AY16" s="460">
        <v>0</v>
      </c>
      <c r="AZ16" s="460"/>
      <c r="BA16" s="460" t="s">
        <v>405</v>
      </c>
      <c r="BB16" s="460"/>
      <c r="BC16" s="460" t="s">
        <v>405</v>
      </c>
      <c r="BD16" s="460"/>
      <c r="BE16" s="460"/>
      <c r="BF16" s="460"/>
      <c r="BG16" s="455"/>
      <c r="BH16" s="454"/>
      <c r="BI16" s="460"/>
      <c r="BJ16" s="460" t="s">
        <v>422</v>
      </c>
      <c r="BK16" s="460"/>
      <c r="BL16" s="455" t="s">
        <v>47</v>
      </c>
      <c r="BM16" s="484" t="s">
        <v>1296</v>
      </c>
      <c r="BN16" s="454" t="s">
        <v>408</v>
      </c>
    </row>
    <row r="17" spans="1:68" s="450" customFormat="1" ht="13" customHeight="1" x14ac:dyDescent="0.2">
      <c r="A17" s="451">
        <v>2052</v>
      </c>
      <c r="B17" s="452">
        <v>43843</v>
      </c>
      <c r="C17" s="453" t="s">
        <v>1138</v>
      </c>
      <c r="D17" s="454" t="s">
        <v>1100</v>
      </c>
      <c r="E17" s="452">
        <v>43831</v>
      </c>
      <c r="F17" s="455" t="s">
        <v>1180</v>
      </c>
      <c r="G17" s="454" t="s">
        <v>1181</v>
      </c>
      <c r="H17" s="461">
        <v>74.5</v>
      </c>
      <c r="I17" s="458"/>
      <c r="J17" s="454"/>
      <c r="K17" s="454"/>
      <c r="L17" s="454"/>
      <c r="M17" s="454"/>
      <c r="N17" s="454"/>
      <c r="O17" s="456">
        <v>1.8272727272727269</v>
      </c>
      <c r="P17" s="456">
        <v>0</v>
      </c>
      <c r="Q17" s="456">
        <v>0</v>
      </c>
      <c r="R17" s="456">
        <v>0</v>
      </c>
      <c r="S17" s="456">
        <v>0</v>
      </c>
      <c r="T17" s="457"/>
      <c r="U17" s="456">
        <v>1.6363636363636362</v>
      </c>
      <c r="V17" s="456">
        <v>0</v>
      </c>
      <c r="W17" s="456">
        <v>0</v>
      </c>
      <c r="X17" s="456">
        <v>0</v>
      </c>
      <c r="Y17" s="456">
        <v>0</v>
      </c>
      <c r="Z17" s="456" t="s">
        <v>1142</v>
      </c>
      <c r="AA17" s="456" t="s">
        <v>1142</v>
      </c>
      <c r="AB17" s="456" t="s">
        <v>1142</v>
      </c>
      <c r="AC17" s="456" t="s">
        <v>1142</v>
      </c>
      <c r="AD17" s="456" t="s">
        <v>1142</v>
      </c>
      <c r="AE17" s="456"/>
      <c r="AF17" s="456" t="s">
        <v>1142</v>
      </c>
      <c r="AG17" s="460" t="s">
        <v>1143</v>
      </c>
      <c r="AH17" s="460" t="s">
        <v>1144</v>
      </c>
      <c r="AI17" s="460">
        <v>3</v>
      </c>
      <c r="AJ17" s="460">
        <v>3</v>
      </c>
      <c r="AK17" s="480">
        <v>0.5</v>
      </c>
      <c r="AL17" s="480">
        <v>0.5</v>
      </c>
      <c r="AM17" s="454" t="s">
        <v>1118</v>
      </c>
      <c r="AN17" s="460">
        <v>0</v>
      </c>
      <c r="AO17" s="460">
        <v>0</v>
      </c>
      <c r="AP17" s="460">
        <v>0</v>
      </c>
      <c r="AQ17" s="460">
        <v>0</v>
      </c>
      <c r="AR17" s="460">
        <v>0</v>
      </c>
      <c r="AS17" s="460">
        <v>0</v>
      </c>
      <c r="AT17" s="460">
        <v>0</v>
      </c>
      <c r="AU17" s="460">
        <v>0</v>
      </c>
      <c r="AV17" s="460">
        <v>0</v>
      </c>
      <c r="AW17" s="460">
        <v>0</v>
      </c>
      <c r="AX17" s="460">
        <v>0</v>
      </c>
      <c r="AY17" s="460">
        <v>0</v>
      </c>
      <c r="AZ17" s="460"/>
      <c r="BA17" s="460" t="s">
        <v>1145</v>
      </c>
      <c r="BB17" s="460"/>
      <c r="BC17" s="460" t="s">
        <v>1145</v>
      </c>
      <c r="BD17" s="460"/>
      <c r="BE17" s="460"/>
      <c r="BF17" s="460"/>
      <c r="BG17" s="455"/>
      <c r="BH17" s="454"/>
      <c r="BI17" s="460"/>
      <c r="BJ17" s="460" t="s">
        <v>1164</v>
      </c>
      <c r="BK17" s="460"/>
      <c r="BL17" s="455" t="s">
        <v>1284</v>
      </c>
      <c r="BM17" s="481" t="s">
        <v>1288</v>
      </c>
      <c r="BN17" s="454" t="s">
        <v>408</v>
      </c>
    </row>
    <row r="18" spans="1:68" s="450" customFormat="1" ht="13" customHeight="1" x14ac:dyDescent="0.2">
      <c r="A18" s="451">
        <v>2467</v>
      </c>
      <c r="B18" s="452">
        <v>43843</v>
      </c>
      <c r="C18" s="453" t="s">
        <v>1138</v>
      </c>
      <c r="D18" s="454" t="s">
        <v>1100</v>
      </c>
      <c r="E18" s="465">
        <v>43731</v>
      </c>
      <c r="F18" s="454" t="s">
        <v>1274</v>
      </c>
      <c r="G18" s="454" t="s">
        <v>1275</v>
      </c>
      <c r="H18" s="456">
        <v>70.999999999999986</v>
      </c>
      <c r="I18" s="467" t="s">
        <v>1141</v>
      </c>
      <c r="J18" s="469">
        <v>3000</v>
      </c>
      <c r="K18" s="469">
        <v>6000</v>
      </c>
      <c r="L18" s="469">
        <v>6000</v>
      </c>
      <c r="M18" s="469">
        <v>6000</v>
      </c>
      <c r="N18" s="468"/>
      <c r="O18" s="456">
        <v>2.3818181818181818</v>
      </c>
      <c r="P18" s="456">
        <v>2.0818181818181816</v>
      </c>
      <c r="Q18" s="482">
        <v>0</v>
      </c>
      <c r="R18" s="456">
        <v>0</v>
      </c>
      <c r="S18" s="456">
        <v>1.7363636363636361</v>
      </c>
      <c r="T18" s="466"/>
      <c r="U18" s="456">
        <v>2.3818181818181818</v>
      </c>
      <c r="V18" s="456">
        <v>2.0818181818181816</v>
      </c>
      <c r="W18" s="482">
        <v>0</v>
      </c>
      <c r="X18" s="456">
        <v>0</v>
      </c>
      <c r="Y18" s="456">
        <v>1.7363636363636361</v>
      </c>
      <c r="Z18" s="456"/>
      <c r="AA18" s="456"/>
      <c r="AB18" s="456"/>
      <c r="AC18" s="466"/>
      <c r="AD18" s="466"/>
      <c r="AE18" s="466"/>
      <c r="AF18" s="466"/>
      <c r="AG18" s="470" t="s">
        <v>1145</v>
      </c>
      <c r="AH18" s="470"/>
      <c r="AI18" s="470">
        <v>3</v>
      </c>
      <c r="AJ18" s="470">
        <v>3</v>
      </c>
      <c r="AK18" s="480">
        <v>0.5</v>
      </c>
      <c r="AL18" s="480">
        <v>0.5</v>
      </c>
      <c r="AM18" s="454"/>
      <c r="AN18" s="460">
        <v>0</v>
      </c>
      <c r="AO18" s="460">
        <v>0</v>
      </c>
      <c r="AP18" s="460">
        <v>0</v>
      </c>
      <c r="AQ18" s="460">
        <v>15</v>
      </c>
      <c r="AR18" s="460">
        <v>0</v>
      </c>
      <c r="AS18" s="460">
        <v>0</v>
      </c>
      <c r="AT18" s="460">
        <v>0</v>
      </c>
      <c r="AU18" s="460">
        <v>0</v>
      </c>
      <c r="AV18" s="460">
        <v>0</v>
      </c>
      <c r="AW18" s="460">
        <v>0</v>
      </c>
      <c r="AX18" s="460">
        <v>0</v>
      </c>
      <c r="AY18" s="460">
        <v>0</v>
      </c>
      <c r="AZ18" s="460"/>
      <c r="BA18" s="460" t="s">
        <v>1145</v>
      </c>
      <c r="BB18" s="460"/>
      <c r="BC18" s="460" t="s">
        <v>1145</v>
      </c>
      <c r="BD18" s="460"/>
      <c r="BE18" s="460"/>
      <c r="BF18" s="460"/>
      <c r="BG18" s="455"/>
      <c r="BH18" s="454"/>
      <c r="BI18" s="460"/>
      <c r="BJ18" s="460" t="s">
        <v>1164</v>
      </c>
      <c r="BK18" s="460">
        <v>1</v>
      </c>
      <c r="BL18" s="455"/>
      <c r="BM18" s="481" t="s">
        <v>1276</v>
      </c>
      <c r="BN18" s="454" t="s">
        <v>368</v>
      </c>
      <c r="BO18" s="471"/>
      <c r="BP18" s="471"/>
    </row>
    <row r="19" spans="1:68" s="450" customFormat="1" ht="13" customHeight="1" x14ac:dyDescent="0.2">
      <c r="A19" s="451">
        <v>2338</v>
      </c>
      <c r="B19" s="452">
        <v>43843</v>
      </c>
      <c r="C19" s="453" t="s">
        <v>398</v>
      </c>
      <c r="D19" s="454" t="s">
        <v>1100</v>
      </c>
      <c r="E19" s="465">
        <v>43831</v>
      </c>
      <c r="F19" s="454" t="s">
        <v>1291</v>
      </c>
      <c r="G19" s="454" t="s">
        <v>1181</v>
      </c>
      <c r="H19" s="456">
        <v>68.772727272727266</v>
      </c>
      <c r="I19" s="467"/>
      <c r="J19" s="468"/>
      <c r="K19" s="468"/>
      <c r="L19" s="468"/>
      <c r="M19" s="468"/>
      <c r="N19" s="468"/>
      <c r="O19" s="456">
        <v>2.0818181818181816</v>
      </c>
      <c r="P19" s="456">
        <v>0</v>
      </c>
      <c r="Q19" s="456">
        <v>0</v>
      </c>
      <c r="R19" s="456">
        <v>0</v>
      </c>
      <c r="S19" s="456">
        <v>0</v>
      </c>
      <c r="T19" s="466"/>
      <c r="U19" s="456">
        <v>1.8090909090909089</v>
      </c>
      <c r="V19" s="456">
        <v>0</v>
      </c>
      <c r="W19" s="456">
        <v>0</v>
      </c>
      <c r="X19" s="456">
        <v>0</v>
      </c>
      <c r="Y19" s="456">
        <v>0</v>
      </c>
      <c r="Z19" s="456" t="s">
        <v>1142</v>
      </c>
      <c r="AA19" s="456" t="s">
        <v>1142</v>
      </c>
      <c r="AB19" s="456" t="s">
        <v>1142</v>
      </c>
      <c r="AC19" s="456" t="s">
        <v>1142</v>
      </c>
      <c r="AD19" s="456" t="s">
        <v>1142</v>
      </c>
      <c r="AE19" s="456"/>
      <c r="AF19" s="456" t="s">
        <v>1142</v>
      </c>
      <c r="AG19" s="460" t="s">
        <v>403</v>
      </c>
      <c r="AH19" s="460" t="s">
        <v>298</v>
      </c>
      <c r="AI19" s="460">
        <v>3</v>
      </c>
      <c r="AJ19" s="460">
        <v>3</v>
      </c>
      <c r="AK19" s="480">
        <v>0.5</v>
      </c>
      <c r="AL19" s="480">
        <v>0.5</v>
      </c>
      <c r="AM19" s="454" t="s">
        <v>1118</v>
      </c>
      <c r="AN19" s="460">
        <v>0</v>
      </c>
      <c r="AO19" s="460">
        <v>0</v>
      </c>
      <c r="AP19" s="460">
        <v>0</v>
      </c>
      <c r="AQ19" s="460">
        <v>0</v>
      </c>
      <c r="AR19" s="460">
        <v>0</v>
      </c>
      <c r="AS19" s="460">
        <v>0</v>
      </c>
      <c r="AT19" s="460">
        <v>0</v>
      </c>
      <c r="AU19" s="460">
        <v>0</v>
      </c>
      <c r="AV19" s="460">
        <v>0</v>
      </c>
      <c r="AW19" s="460">
        <v>0</v>
      </c>
      <c r="AX19" s="460">
        <v>0</v>
      </c>
      <c r="AY19" s="460">
        <v>0</v>
      </c>
      <c r="AZ19" s="460"/>
      <c r="BA19" s="460" t="s">
        <v>405</v>
      </c>
      <c r="BB19" s="460"/>
      <c r="BC19" s="460" t="s">
        <v>405</v>
      </c>
      <c r="BD19" s="460"/>
      <c r="BE19" s="460"/>
      <c r="BF19" s="460"/>
      <c r="BG19" s="455"/>
      <c r="BH19" s="454"/>
      <c r="BI19" s="460"/>
      <c r="BJ19" s="460" t="s">
        <v>4</v>
      </c>
      <c r="BK19" s="460"/>
      <c r="BL19" s="455" t="s">
        <v>1284</v>
      </c>
      <c r="BM19" s="484" t="s">
        <v>1292</v>
      </c>
      <c r="BN19" s="454" t="s">
        <v>408</v>
      </c>
    </row>
    <row r="20" spans="1:68" s="450" customFormat="1" ht="13" customHeight="1" x14ac:dyDescent="0.2">
      <c r="A20" s="451">
        <v>2382</v>
      </c>
      <c r="B20" s="452">
        <v>43843</v>
      </c>
      <c r="C20" s="453" t="s">
        <v>1138</v>
      </c>
      <c r="D20" s="454" t="s">
        <v>1108</v>
      </c>
      <c r="E20" s="452">
        <v>43831</v>
      </c>
      <c r="F20" s="455" t="s">
        <v>1139</v>
      </c>
      <c r="G20" s="454" t="s">
        <v>1277</v>
      </c>
      <c r="H20" s="461">
        <v>80.999999999999986</v>
      </c>
      <c r="I20" s="458" t="s">
        <v>1141</v>
      </c>
      <c r="J20" s="459">
        <v>3000</v>
      </c>
      <c r="K20" s="459">
        <v>6000</v>
      </c>
      <c r="L20" s="459">
        <v>9000</v>
      </c>
      <c r="M20" s="459">
        <v>15000</v>
      </c>
      <c r="N20" s="454"/>
      <c r="O20" s="461">
        <v>1.8636363636363633</v>
      </c>
      <c r="P20" s="461">
        <v>1.6818181818181817</v>
      </c>
      <c r="Q20" s="461">
        <v>1.3545454545454545</v>
      </c>
      <c r="R20" s="461">
        <v>1.1818181818181817</v>
      </c>
      <c r="S20" s="461">
        <v>1.1545454545454545</v>
      </c>
      <c r="T20" s="461"/>
      <c r="U20" s="461">
        <v>1.7727272727272725</v>
      </c>
      <c r="V20" s="461">
        <v>1.5818181818181818</v>
      </c>
      <c r="W20" s="461">
        <v>1.2999999999999998</v>
      </c>
      <c r="X20" s="461">
        <v>1.1545454545454545</v>
      </c>
      <c r="Y20" s="461">
        <v>1.1181818181818182</v>
      </c>
      <c r="Z20" s="461"/>
      <c r="AA20" s="461" t="s">
        <v>1142</v>
      </c>
      <c r="AB20" s="461" t="s">
        <v>1142</v>
      </c>
      <c r="AC20" s="461" t="s">
        <v>1142</v>
      </c>
      <c r="AD20" s="461" t="s">
        <v>1142</v>
      </c>
      <c r="AE20" s="461" t="s">
        <v>1142</v>
      </c>
      <c r="AF20" s="461"/>
      <c r="AG20" s="460" t="s">
        <v>1143</v>
      </c>
      <c r="AH20" s="460" t="s">
        <v>1144</v>
      </c>
      <c r="AI20" s="460">
        <v>3</v>
      </c>
      <c r="AJ20" s="460">
        <v>3</v>
      </c>
      <c r="AK20" s="480">
        <v>0.5</v>
      </c>
      <c r="AL20" s="480">
        <v>0.5</v>
      </c>
      <c r="AM20" s="454" t="s">
        <v>1118</v>
      </c>
      <c r="AN20" s="460">
        <v>0</v>
      </c>
      <c r="AO20" s="460">
        <v>0</v>
      </c>
      <c r="AP20" s="460">
        <v>0</v>
      </c>
      <c r="AQ20" s="460">
        <v>0</v>
      </c>
      <c r="AR20" s="460">
        <v>0</v>
      </c>
      <c r="AS20" s="460">
        <v>0</v>
      </c>
      <c r="AT20" s="460">
        <v>0</v>
      </c>
      <c r="AU20" s="460">
        <v>0</v>
      </c>
      <c r="AV20" s="460">
        <v>0</v>
      </c>
      <c r="AW20" s="460">
        <v>0</v>
      </c>
      <c r="AX20" s="460">
        <v>0</v>
      </c>
      <c r="AY20" s="460">
        <v>0</v>
      </c>
      <c r="AZ20" s="460"/>
      <c r="BA20" s="460" t="s">
        <v>1145</v>
      </c>
      <c r="BB20" s="460"/>
      <c r="BC20" s="460" t="s">
        <v>1145</v>
      </c>
      <c r="BD20" s="460"/>
      <c r="BE20" s="460"/>
      <c r="BF20" s="460"/>
      <c r="BG20" s="455"/>
      <c r="BH20" s="454"/>
      <c r="BI20" s="460"/>
      <c r="BJ20" s="460" t="s">
        <v>1146</v>
      </c>
      <c r="BK20" s="460"/>
      <c r="BL20" s="455"/>
      <c r="BM20" s="454" t="s">
        <v>1301</v>
      </c>
      <c r="BN20" s="454" t="s">
        <v>408</v>
      </c>
    </row>
    <row r="21" spans="1:68" s="450" customFormat="1" ht="13" customHeight="1" x14ac:dyDescent="0.2">
      <c r="A21" s="451">
        <v>2504</v>
      </c>
      <c r="B21" s="452">
        <v>43843</v>
      </c>
      <c r="C21" s="453" t="s">
        <v>1138</v>
      </c>
      <c r="D21" s="454" t="s">
        <v>1108</v>
      </c>
      <c r="E21" s="452">
        <v>43836</v>
      </c>
      <c r="F21" s="455" t="s">
        <v>1148</v>
      </c>
      <c r="G21" s="454" t="s">
        <v>1280</v>
      </c>
      <c r="H21" s="461">
        <v>69</v>
      </c>
      <c r="I21" s="458" t="s">
        <v>1141</v>
      </c>
      <c r="J21" s="459">
        <v>3000</v>
      </c>
      <c r="K21" s="459">
        <v>6000</v>
      </c>
      <c r="L21" s="459">
        <v>6000</v>
      </c>
      <c r="M21" s="459">
        <v>6000</v>
      </c>
      <c r="N21" s="454"/>
      <c r="O21" s="461">
        <v>2.1</v>
      </c>
      <c r="P21" s="461">
        <v>1.8999999999999997</v>
      </c>
      <c r="Q21" s="482">
        <v>0</v>
      </c>
      <c r="R21" s="461">
        <v>0</v>
      </c>
      <c r="S21" s="461">
        <v>1.4999999999999998</v>
      </c>
      <c r="T21" s="461"/>
      <c r="U21" s="461">
        <v>2.1</v>
      </c>
      <c r="V21" s="461">
        <v>1.7999999999999998</v>
      </c>
      <c r="W21" s="482">
        <v>0</v>
      </c>
      <c r="X21" s="461">
        <v>0</v>
      </c>
      <c r="Y21" s="461">
        <v>1.4999999999999998</v>
      </c>
      <c r="Z21" s="461"/>
      <c r="AA21" s="461" t="s">
        <v>1142</v>
      </c>
      <c r="AB21" s="461" t="s">
        <v>1142</v>
      </c>
      <c r="AC21" s="461" t="s">
        <v>1142</v>
      </c>
      <c r="AD21" s="461" t="s">
        <v>1142</v>
      </c>
      <c r="AE21" s="461" t="s">
        <v>1142</v>
      </c>
      <c r="AF21" s="461"/>
      <c r="AG21" s="460" t="s">
        <v>1143</v>
      </c>
      <c r="AH21" s="460" t="s">
        <v>1144</v>
      </c>
      <c r="AI21" s="460">
        <v>3</v>
      </c>
      <c r="AJ21" s="460">
        <v>3</v>
      </c>
      <c r="AK21" s="480">
        <v>0.5</v>
      </c>
      <c r="AL21" s="480">
        <v>0.5</v>
      </c>
      <c r="AM21" s="454" t="s">
        <v>1118</v>
      </c>
      <c r="AN21" s="460">
        <v>0</v>
      </c>
      <c r="AO21" s="460">
        <v>0</v>
      </c>
      <c r="AP21" s="460">
        <v>0</v>
      </c>
      <c r="AQ21" s="460">
        <v>0</v>
      </c>
      <c r="AR21" s="460">
        <v>0</v>
      </c>
      <c r="AS21" s="460">
        <v>0</v>
      </c>
      <c r="AT21" s="460">
        <v>0</v>
      </c>
      <c r="AU21" s="460">
        <v>0</v>
      </c>
      <c r="AV21" s="460">
        <v>0</v>
      </c>
      <c r="AW21" s="460">
        <v>0</v>
      </c>
      <c r="AX21" s="460">
        <v>0</v>
      </c>
      <c r="AY21" s="460">
        <v>0</v>
      </c>
      <c r="AZ21" s="454"/>
      <c r="BA21" s="460" t="s">
        <v>1145</v>
      </c>
      <c r="BB21" s="460"/>
      <c r="BC21" s="460" t="s">
        <v>1145</v>
      </c>
      <c r="BD21" s="460"/>
      <c r="BE21" s="460"/>
      <c r="BF21" s="460"/>
      <c r="BG21" s="455"/>
      <c r="BH21" s="454"/>
      <c r="BI21" s="460"/>
      <c r="BJ21" s="460" t="s">
        <v>4</v>
      </c>
      <c r="BK21" s="460"/>
      <c r="BL21" s="455"/>
      <c r="BM21" s="454" t="s">
        <v>1302</v>
      </c>
      <c r="BN21" s="454" t="s">
        <v>1121</v>
      </c>
      <c r="BO21" s="471"/>
    </row>
    <row r="22" spans="1:68" s="450" customFormat="1" ht="13" customHeight="1" x14ac:dyDescent="0.2">
      <c r="A22" s="451">
        <v>2530</v>
      </c>
      <c r="B22" s="452">
        <v>43843</v>
      </c>
      <c r="C22" s="453" t="s">
        <v>1138</v>
      </c>
      <c r="D22" s="454" t="s">
        <v>1108</v>
      </c>
      <c r="E22" s="452">
        <v>43831</v>
      </c>
      <c r="F22" s="455" t="s">
        <v>1152</v>
      </c>
      <c r="G22" s="454" t="s">
        <v>1283</v>
      </c>
      <c r="H22" s="461">
        <v>57.790909090909089</v>
      </c>
      <c r="I22" s="458" t="s">
        <v>1141</v>
      </c>
      <c r="J22" s="459">
        <v>3000</v>
      </c>
      <c r="K22" s="459">
        <v>6000</v>
      </c>
      <c r="L22" s="459">
        <v>9000</v>
      </c>
      <c r="M22" s="459">
        <v>15000</v>
      </c>
      <c r="N22" s="454"/>
      <c r="O22" s="461">
        <v>2.4818181818181815</v>
      </c>
      <c r="P22" s="461">
        <v>2.1818181818181817</v>
      </c>
      <c r="Q22" s="461">
        <v>1.8909090909090909</v>
      </c>
      <c r="R22" s="461">
        <v>1.7363636363636361</v>
      </c>
      <c r="S22" s="461">
        <v>1.6636363636363636</v>
      </c>
      <c r="T22" s="461"/>
      <c r="U22" s="461">
        <v>2.4090909090909087</v>
      </c>
      <c r="V22" s="461">
        <v>2.1454545454545451</v>
      </c>
      <c r="W22" s="461">
        <v>1.8545454545454545</v>
      </c>
      <c r="X22" s="461">
        <v>1.7363636363636361</v>
      </c>
      <c r="Y22" s="461">
        <v>1.7</v>
      </c>
      <c r="Z22" s="461"/>
      <c r="AA22" s="461" t="s">
        <v>1142</v>
      </c>
      <c r="AB22" s="461" t="s">
        <v>1142</v>
      </c>
      <c r="AC22" s="461" t="s">
        <v>1142</v>
      </c>
      <c r="AD22" s="461" t="s">
        <v>1142</v>
      </c>
      <c r="AE22" s="461" t="s">
        <v>1142</v>
      </c>
      <c r="AF22" s="461"/>
      <c r="AG22" s="460" t="s">
        <v>1143</v>
      </c>
      <c r="AH22" s="460" t="s">
        <v>1144</v>
      </c>
      <c r="AI22" s="460">
        <v>3</v>
      </c>
      <c r="AJ22" s="460">
        <v>3</v>
      </c>
      <c r="AK22" s="480">
        <v>0.5</v>
      </c>
      <c r="AL22" s="480">
        <v>0.5</v>
      </c>
      <c r="AM22" s="454" t="s">
        <v>1118</v>
      </c>
      <c r="AN22" s="460">
        <v>0</v>
      </c>
      <c r="AO22" s="460">
        <v>0</v>
      </c>
      <c r="AP22" s="460">
        <v>0</v>
      </c>
      <c r="AQ22" s="460">
        <v>0</v>
      </c>
      <c r="AR22" s="460">
        <v>0</v>
      </c>
      <c r="AS22" s="460">
        <v>0</v>
      </c>
      <c r="AT22" s="460">
        <v>0</v>
      </c>
      <c r="AU22" s="460">
        <v>0</v>
      </c>
      <c r="AV22" s="460">
        <v>0</v>
      </c>
      <c r="AW22" s="460">
        <v>0</v>
      </c>
      <c r="AX22" s="460">
        <v>0</v>
      </c>
      <c r="AY22" s="460">
        <v>0</v>
      </c>
      <c r="AZ22" s="454"/>
      <c r="BA22" s="460" t="s">
        <v>1145</v>
      </c>
      <c r="BB22" s="460"/>
      <c r="BC22" s="460" t="s">
        <v>1145</v>
      </c>
      <c r="BD22" s="460"/>
      <c r="BE22" s="460"/>
      <c r="BF22" s="460"/>
      <c r="BG22" s="455"/>
      <c r="BH22" s="454"/>
      <c r="BI22" s="460"/>
      <c r="BJ22" s="460" t="s">
        <v>1146</v>
      </c>
      <c r="BK22" s="460">
        <v>1</v>
      </c>
      <c r="BL22" s="455" t="s">
        <v>1284</v>
      </c>
      <c r="BM22" s="454" t="s">
        <v>1303</v>
      </c>
      <c r="BN22" s="454" t="s">
        <v>1121</v>
      </c>
    </row>
    <row r="23" spans="1:68" s="450" customFormat="1" ht="13" customHeight="1" x14ac:dyDescent="0.2">
      <c r="A23" s="451">
        <v>2313</v>
      </c>
      <c r="B23" s="452">
        <v>43843</v>
      </c>
      <c r="C23" s="453" t="s">
        <v>1138</v>
      </c>
      <c r="D23" s="454" t="s">
        <v>1108</v>
      </c>
      <c r="E23" s="452">
        <v>43831</v>
      </c>
      <c r="F23" s="455" t="s">
        <v>1286</v>
      </c>
      <c r="G23" s="454" t="s">
        <v>418</v>
      </c>
      <c r="H23" s="461">
        <v>77.999999999999986</v>
      </c>
      <c r="I23" s="458" t="s">
        <v>1141</v>
      </c>
      <c r="J23" s="459">
        <v>3000</v>
      </c>
      <c r="K23" s="459">
        <v>6000</v>
      </c>
      <c r="L23" s="459">
        <v>9000</v>
      </c>
      <c r="M23" s="459">
        <v>15000</v>
      </c>
      <c r="N23" s="454"/>
      <c r="O23" s="461">
        <v>2.9</v>
      </c>
      <c r="P23" s="461">
        <v>2.6090909090909089</v>
      </c>
      <c r="Q23" s="461">
        <v>2.4</v>
      </c>
      <c r="R23" s="461">
        <v>2.1999999999999997</v>
      </c>
      <c r="S23" s="461">
        <v>2</v>
      </c>
      <c r="T23" s="461"/>
      <c r="U23" s="461">
        <v>2.7</v>
      </c>
      <c r="V23" s="461">
        <v>2.5363636363636362</v>
      </c>
      <c r="W23" s="461">
        <v>2.1</v>
      </c>
      <c r="X23" s="461">
        <v>1.8999999999999997</v>
      </c>
      <c r="Y23" s="461">
        <v>1.7</v>
      </c>
      <c r="Z23" s="461"/>
      <c r="AA23" s="461" t="s">
        <v>1142</v>
      </c>
      <c r="AB23" s="461" t="s">
        <v>1142</v>
      </c>
      <c r="AC23" s="461" t="s">
        <v>1142</v>
      </c>
      <c r="AD23" s="461" t="s">
        <v>1142</v>
      </c>
      <c r="AE23" s="461" t="s">
        <v>1142</v>
      </c>
      <c r="AF23" s="461"/>
      <c r="AG23" s="460" t="s">
        <v>1143</v>
      </c>
      <c r="AH23" s="460" t="s">
        <v>1144</v>
      </c>
      <c r="AI23" s="460">
        <v>3</v>
      </c>
      <c r="AJ23" s="460">
        <v>3</v>
      </c>
      <c r="AK23" s="480">
        <v>0.5</v>
      </c>
      <c r="AL23" s="480">
        <v>0.5</v>
      </c>
      <c r="AM23" s="454" t="s">
        <v>1118</v>
      </c>
      <c r="AN23" s="460">
        <v>0</v>
      </c>
      <c r="AO23" s="460">
        <v>16</v>
      </c>
      <c r="AP23" s="460">
        <v>0</v>
      </c>
      <c r="AQ23" s="460">
        <v>0</v>
      </c>
      <c r="AR23" s="460">
        <v>0</v>
      </c>
      <c r="AS23" s="460">
        <v>0</v>
      </c>
      <c r="AT23" s="460">
        <v>0</v>
      </c>
      <c r="AU23" s="460">
        <v>0</v>
      </c>
      <c r="AV23" s="460">
        <v>0</v>
      </c>
      <c r="AW23" s="460">
        <v>0</v>
      </c>
      <c r="AX23" s="460">
        <v>0</v>
      </c>
      <c r="AY23" s="460">
        <v>0</v>
      </c>
      <c r="AZ23" s="454"/>
      <c r="BA23" s="460" t="s">
        <v>1145</v>
      </c>
      <c r="BB23" s="460"/>
      <c r="BC23" s="460" t="s">
        <v>1145</v>
      </c>
      <c r="BD23" s="460"/>
      <c r="BE23" s="460"/>
      <c r="BF23" s="460"/>
      <c r="BG23" s="455"/>
      <c r="BH23" s="454"/>
      <c r="BI23" s="460"/>
      <c r="BJ23" s="460" t="s">
        <v>1146</v>
      </c>
      <c r="BK23" s="460">
        <v>1</v>
      </c>
      <c r="BL23" s="455"/>
      <c r="BM23" s="454" t="s">
        <v>1287</v>
      </c>
      <c r="BN23" s="454" t="s">
        <v>408</v>
      </c>
    </row>
    <row r="24" spans="1:68" s="450" customFormat="1" ht="13" customHeight="1" x14ac:dyDescent="0.2">
      <c r="A24" s="451">
        <v>2546</v>
      </c>
      <c r="B24" s="452">
        <v>43843</v>
      </c>
      <c r="C24" s="453" t="s">
        <v>1138</v>
      </c>
      <c r="D24" s="454" t="s">
        <v>1108</v>
      </c>
      <c r="E24" s="465">
        <v>43725</v>
      </c>
      <c r="F24" s="454" t="s">
        <v>1052</v>
      </c>
      <c r="G24" s="454" t="s">
        <v>1181</v>
      </c>
      <c r="H24" s="461">
        <v>60.354545454545452</v>
      </c>
      <c r="I24" s="467" t="s">
        <v>296</v>
      </c>
      <c r="J24" s="459">
        <v>3000</v>
      </c>
      <c r="K24" s="459">
        <v>6000</v>
      </c>
      <c r="L24" s="459">
        <v>9000</v>
      </c>
      <c r="M24" s="459">
        <v>15000</v>
      </c>
      <c r="N24" s="468"/>
      <c r="O24" s="461">
        <v>2.8</v>
      </c>
      <c r="P24" s="461">
        <v>2.5</v>
      </c>
      <c r="Q24" s="461">
        <v>2.2545454545454544</v>
      </c>
      <c r="R24" s="461">
        <v>2.1999999999999997</v>
      </c>
      <c r="S24" s="461">
        <v>1.8545454545454545</v>
      </c>
      <c r="T24" s="456"/>
      <c r="U24" s="461">
        <v>2.6545454545454543</v>
      </c>
      <c r="V24" s="461">
        <v>2.4</v>
      </c>
      <c r="W24" s="461">
        <v>2.1999999999999997</v>
      </c>
      <c r="X24" s="461">
        <v>2.1545454545454543</v>
      </c>
      <c r="Y24" s="461">
        <v>1.8545454545454545</v>
      </c>
      <c r="Z24" s="456"/>
      <c r="AA24" s="461"/>
      <c r="AB24" s="461"/>
      <c r="AC24" s="461"/>
      <c r="AD24" s="461"/>
      <c r="AE24" s="461"/>
      <c r="AF24" s="456"/>
      <c r="AG24" s="470" t="s">
        <v>297</v>
      </c>
      <c r="AH24" s="470" t="s">
        <v>298</v>
      </c>
      <c r="AI24" s="460">
        <v>3</v>
      </c>
      <c r="AJ24" s="460">
        <v>3</v>
      </c>
      <c r="AK24" s="480">
        <v>0.5</v>
      </c>
      <c r="AL24" s="480">
        <v>0.5</v>
      </c>
      <c r="AM24" s="454" t="s">
        <v>1118</v>
      </c>
      <c r="AN24" s="460">
        <v>0</v>
      </c>
      <c r="AO24" s="460">
        <v>0</v>
      </c>
      <c r="AP24" s="460">
        <v>0</v>
      </c>
      <c r="AQ24" s="460">
        <v>20</v>
      </c>
      <c r="AR24" s="460">
        <v>0</v>
      </c>
      <c r="AS24" s="460">
        <v>0</v>
      </c>
      <c r="AT24" s="460">
        <v>0</v>
      </c>
      <c r="AU24" s="460">
        <v>0</v>
      </c>
      <c r="AV24" s="460">
        <v>0</v>
      </c>
      <c r="AW24" s="460">
        <v>0</v>
      </c>
      <c r="AX24" s="460">
        <v>0</v>
      </c>
      <c r="AY24" s="460">
        <v>0</v>
      </c>
      <c r="AZ24" s="460"/>
      <c r="BA24" s="460" t="s">
        <v>1278</v>
      </c>
      <c r="BB24" s="460"/>
      <c r="BC24" s="460" t="s">
        <v>1278</v>
      </c>
      <c r="BD24" s="460"/>
      <c r="BE24" s="460"/>
      <c r="BF24" s="460"/>
      <c r="BG24" s="455"/>
      <c r="BH24" s="454"/>
      <c r="BI24" s="460"/>
      <c r="BJ24" s="460" t="s">
        <v>4</v>
      </c>
      <c r="BK24" s="460"/>
      <c r="BL24" s="455"/>
      <c r="BM24" s="481" t="s">
        <v>1309</v>
      </c>
      <c r="BN24" s="454" t="s">
        <v>1121</v>
      </c>
    </row>
    <row r="25" spans="1:68" s="450" customFormat="1" ht="13" customHeight="1" x14ac:dyDescent="0.2">
      <c r="A25" s="451">
        <v>2114</v>
      </c>
      <c r="B25" s="452">
        <v>43843</v>
      </c>
      <c r="C25" s="453" t="s">
        <v>1138</v>
      </c>
      <c r="D25" s="454" t="s">
        <v>1108</v>
      </c>
      <c r="E25" s="452">
        <v>43831</v>
      </c>
      <c r="F25" s="455" t="s">
        <v>1156</v>
      </c>
      <c r="G25" s="454" t="s">
        <v>1157</v>
      </c>
      <c r="H25" s="461">
        <v>79.8</v>
      </c>
      <c r="I25" s="458" t="s">
        <v>1141</v>
      </c>
      <c r="J25" s="459">
        <v>6000</v>
      </c>
      <c r="K25" s="459">
        <v>6000</v>
      </c>
      <c r="L25" s="459">
        <v>6000</v>
      </c>
      <c r="M25" s="459">
        <v>6000</v>
      </c>
      <c r="N25" s="454"/>
      <c r="O25" s="461">
        <v>2.6181818181818177</v>
      </c>
      <c r="P25" s="482">
        <v>0</v>
      </c>
      <c r="Q25" s="461">
        <v>0</v>
      </c>
      <c r="R25" s="461">
        <v>0</v>
      </c>
      <c r="S25" s="461">
        <v>1.8909090909090909</v>
      </c>
      <c r="T25" s="461"/>
      <c r="U25" s="461">
        <v>2.6181818181818177</v>
      </c>
      <c r="V25" s="482">
        <v>0</v>
      </c>
      <c r="W25" s="461">
        <v>0</v>
      </c>
      <c r="X25" s="461">
        <v>0</v>
      </c>
      <c r="Y25" s="461">
        <v>1.8909090909090909</v>
      </c>
      <c r="Z25" s="461"/>
      <c r="AA25" s="461" t="s">
        <v>1142</v>
      </c>
      <c r="AB25" s="461" t="s">
        <v>1142</v>
      </c>
      <c r="AC25" s="461" t="s">
        <v>1142</v>
      </c>
      <c r="AD25" s="461" t="s">
        <v>1142</v>
      </c>
      <c r="AE25" s="461" t="s">
        <v>1142</v>
      </c>
      <c r="AF25" s="461"/>
      <c r="AG25" s="460" t="s">
        <v>1145</v>
      </c>
      <c r="AH25" s="454"/>
      <c r="AI25" s="470">
        <v>3</v>
      </c>
      <c r="AJ25" s="470">
        <v>3</v>
      </c>
      <c r="AK25" s="480">
        <v>0.5</v>
      </c>
      <c r="AL25" s="480">
        <v>0.5</v>
      </c>
      <c r="AM25" s="454"/>
      <c r="AN25" s="460">
        <v>23</v>
      </c>
      <c r="AO25" s="460">
        <v>0</v>
      </c>
      <c r="AP25" s="460">
        <v>0</v>
      </c>
      <c r="AQ25" s="460">
        <v>0</v>
      </c>
      <c r="AR25" s="460">
        <v>0</v>
      </c>
      <c r="AS25" s="460">
        <v>0</v>
      </c>
      <c r="AT25" s="460">
        <v>0</v>
      </c>
      <c r="AU25" s="460">
        <v>0</v>
      </c>
      <c r="AV25" s="460">
        <v>0</v>
      </c>
      <c r="AW25" s="460">
        <v>0</v>
      </c>
      <c r="AX25" s="460">
        <v>0</v>
      </c>
      <c r="AY25" s="460">
        <v>0</v>
      </c>
      <c r="AZ25" s="472">
        <v>12</v>
      </c>
      <c r="BA25" s="460" t="s">
        <v>1145</v>
      </c>
      <c r="BB25" s="460">
        <v>12</v>
      </c>
      <c r="BC25" s="460" t="s">
        <v>1145</v>
      </c>
      <c r="BD25" s="460"/>
      <c r="BE25" s="460">
        <v>12</v>
      </c>
      <c r="BF25" s="460"/>
      <c r="BG25" s="455"/>
      <c r="BH25" s="454"/>
      <c r="BI25" s="460"/>
      <c r="BJ25" s="460" t="s">
        <v>1146</v>
      </c>
      <c r="BK25" s="460"/>
      <c r="BL25" s="455"/>
      <c r="BM25" s="484" t="s">
        <v>1304</v>
      </c>
      <c r="BN25" s="454" t="s">
        <v>408</v>
      </c>
    </row>
    <row r="26" spans="1:68" s="450" customFormat="1" ht="13" customHeight="1" x14ac:dyDescent="0.2">
      <c r="A26" s="451">
        <v>1943</v>
      </c>
      <c r="B26" s="452">
        <v>43843</v>
      </c>
      <c r="C26" s="453" t="s">
        <v>398</v>
      </c>
      <c r="D26" s="454" t="s">
        <v>1108</v>
      </c>
      <c r="E26" s="452">
        <v>43831</v>
      </c>
      <c r="F26" s="455" t="s">
        <v>427</v>
      </c>
      <c r="G26" s="454" t="s">
        <v>1105</v>
      </c>
      <c r="H26" s="461">
        <v>65</v>
      </c>
      <c r="I26" s="458" t="s">
        <v>1293</v>
      </c>
      <c r="J26" s="459">
        <v>3000</v>
      </c>
      <c r="K26" s="459">
        <v>6000</v>
      </c>
      <c r="L26" s="459">
        <v>9000</v>
      </c>
      <c r="M26" s="459">
        <v>15000</v>
      </c>
      <c r="N26" s="454"/>
      <c r="O26" s="461">
        <v>2.1</v>
      </c>
      <c r="P26" s="461">
        <v>1.95</v>
      </c>
      <c r="Q26" s="461">
        <v>1.8</v>
      </c>
      <c r="R26" s="461">
        <v>1.6</v>
      </c>
      <c r="S26" s="461">
        <v>1.5</v>
      </c>
      <c r="T26" s="461"/>
      <c r="U26" s="461">
        <v>2</v>
      </c>
      <c r="V26" s="461">
        <v>1.8</v>
      </c>
      <c r="W26" s="461">
        <v>1.7</v>
      </c>
      <c r="X26" s="461">
        <v>1.5</v>
      </c>
      <c r="Y26" s="461">
        <v>1.45</v>
      </c>
      <c r="Z26" s="461"/>
      <c r="AA26" s="461" t="s">
        <v>1142</v>
      </c>
      <c r="AB26" s="461" t="s">
        <v>1142</v>
      </c>
      <c r="AC26" s="461" t="s">
        <v>1142</v>
      </c>
      <c r="AD26" s="461" t="s">
        <v>1142</v>
      </c>
      <c r="AE26" s="461" t="s">
        <v>1142</v>
      </c>
      <c r="AF26" s="461"/>
      <c r="AG26" s="460" t="s">
        <v>403</v>
      </c>
      <c r="AH26" s="460" t="s">
        <v>404</v>
      </c>
      <c r="AI26" s="460">
        <v>3</v>
      </c>
      <c r="AJ26" s="460">
        <v>3</v>
      </c>
      <c r="AK26" s="480">
        <v>0.5</v>
      </c>
      <c r="AL26" s="480">
        <v>0.5</v>
      </c>
      <c r="AM26" s="454" t="s">
        <v>1118</v>
      </c>
      <c r="AN26" s="460">
        <v>0</v>
      </c>
      <c r="AO26" s="460">
        <v>0</v>
      </c>
      <c r="AP26" s="460">
        <v>3</v>
      </c>
      <c r="AQ26" s="460">
        <v>0</v>
      </c>
      <c r="AR26" s="460">
        <v>0</v>
      </c>
      <c r="AS26" s="460">
        <v>0</v>
      </c>
      <c r="AT26" s="460">
        <v>0</v>
      </c>
      <c r="AU26" s="460">
        <v>0</v>
      </c>
      <c r="AV26" s="460">
        <v>0</v>
      </c>
      <c r="AW26" s="460">
        <v>0</v>
      </c>
      <c r="AX26" s="460">
        <v>0</v>
      </c>
      <c r="AY26" s="460">
        <v>0</v>
      </c>
      <c r="AZ26" s="454"/>
      <c r="BA26" s="460" t="s">
        <v>405</v>
      </c>
      <c r="BB26" s="460"/>
      <c r="BC26" s="460" t="s">
        <v>405</v>
      </c>
      <c r="BD26" s="460"/>
      <c r="BE26" s="460"/>
      <c r="BF26" s="460"/>
      <c r="BG26" s="460"/>
      <c r="BH26" s="460"/>
      <c r="BI26" s="460"/>
      <c r="BJ26" s="460" t="s">
        <v>406</v>
      </c>
      <c r="BK26" s="460"/>
      <c r="BL26" s="455"/>
      <c r="BM26" s="481" t="s">
        <v>1305</v>
      </c>
      <c r="BN26" s="454" t="s">
        <v>408</v>
      </c>
    </row>
    <row r="27" spans="1:68" s="450" customFormat="1" ht="13" customHeight="1" x14ac:dyDescent="0.2">
      <c r="A27" s="451">
        <v>313</v>
      </c>
      <c r="B27" s="452">
        <v>43843</v>
      </c>
      <c r="C27" s="453" t="s">
        <v>398</v>
      </c>
      <c r="D27" s="454" t="s">
        <v>1108</v>
      </c>
      <c r="E27" s="452">
        <v>43831</v>
      </c>
      <c r="F27" s="454" t="s">
        <v>431</v>
      </c>
      <c r="G27" s="454" t="s">
        <v>421</v>
      </c>
      <c r="H27" s="461">
        <v>81.236363636363635</v>
      </c>
      <c r="I27" s="458" t="s">
        <v>1293</v>
      </c>
      <c r="J27" s="459">
        <v>3000</v>
      </c>
      <c r="K27" s="459">
        <v>6000</v>
      </c>
      <c r="L27" s="459">
        <v>9000</v>
      </c>
      <c r="M27" s="459">
        <v>15000</v>
      </c>
      <c r="N27" s="454"/>
      <c r="O27" s="461">
        <v>2.2181818181818178</v>
      </c>
      <c r="P27" s="461">
        <v>2.0272727272727269</v>
      </c>
      <c r="Q27" s="461">
        <v>1.7909090909090908</v>
      </c>
      <c r="R27" s="461">
        <v>1.6727272727272726</v>
      </c>
      <c r="S27" s="461">
        <v>1.6363636363636362</v>
      </c>
      <c r="T27" s="461"/>
      <c r="U27" s="461">
        <v>2.0636363636363635</v>
      </c>
      <c r="V27" s="461">
        <v>1.8999999999999997</v>
      </c>
      <c r="W27" s="461">
        <v>1.7</v>
      </c>
      <c r="X27" s="461">
        <v>1.5999999999999999</v>
      </c>
      <c r="Y27" s="461">
        <v>1.5727272727272725</v>
      </c>
      <c r="Z27" s="461"/>
      <c r="AA27" s="461" t="s">
        <v>1142</v>
      </c>
      <c r="AB27" s="461"/>
      <c r="AC27" s="461"/>
      <c r="AD27" s="461"/>
      <c r="AE27" s="461"/>
      <c r="AF27" s="461"/>
      <c r="AG27" s="460" t="s">
        <v>403</v>
      </c>
      <c r="AH27" s="460" t="s">
        <v>404</v>
      </c>
      <c r="AI27" s="460">
        <v>3</v>
      </c>
      <c r="AJ27" s="460">
        <v>3</v>
      </c>
      <c r="AK27" s="480">
        <v>0.5</v>
      </c>
      <c r="AL27" s="480">
        <v>0.5</v>
      </c>
      <c r="AM27" s="454" t="s">
        <v>1118</v>
      </c>
      <c r="AN27" s="460">
        <v>0</v>
      </c>
      <c r="AO27" s="460">
        <v>0</v>
      </c>
      <c r="AP27" s="460">
        <v>0</v>
      </c>
      <c r="AQ27" s="460">
        <v>0</v>
      </c>
      <c r="AR27" s="460">
        <v>0</v>
      </c>
      <c r="AS27" s="460">
        <v>0</v>
      </c>
      <c r="AT27" s="460">
        <v>0</v>
      </c>
      <c r="AU27" s="460">
        <v>0</v>
      </c>
      <c r="AV27" s="460">
        <v>0</v>
      </c>
      <c r="AW27" s="460">
        <v>0</v>
      </c>
      <c r="AX27" s="460">
        <v>0</v>
      </c>
      <c r="AY27" s="460">
        <v>0</v>
      </c>
      <c r="AZ27" s="454"/>
      <c r="BA27" s="460" t="s">
        <v>405</v>
      </c>
      <c r="BB27" s="460"/>
      <c r="BC27" s="460" t="s">
        <v>405</v>
      </c>
      <c r="BD27" s="460"/>
      <c r="BE27" s="460"/>
      <c r="BF27" s="460"/>
      <c r="BG27" s="455" t="s">
        <v>1162</v>
      </c>
      <c r="BH27" s="454" t="s">
        <v>433</v>
      </c>
      <c r="BI27" s="460">
        <v>50</v>
      </c>
      <c r="BJ27" s="460" t="s">
        <v>422</v>
      </c>
      <c r="BK27" s="460"/>
      <c r="BL27" s="455"/>
      <c r="BM27" s="484" t="s">
        <v>1295</v>
      </c>
      <c r="BN27" s="454" t="s">
        <v>408</v>
      </c>
    </row>
    <row r="28" spans="1:68" s="450" customFormat="1" ht="13" customHeight="1" x14ac:dyDescent="0.2">
      <c r="A28" s="451">
        <v>2258</v>
      </c>
      <c r="B28" s="452">
        <v>43847</v>
      </c>
      <c r="C28" s="453" t="s">
        <v>398</v>
      </c>
      <c r="D28" s="454" t="s">
        <v>1108</v>
      </c>
      <c r="E28" s="452">
        <v>43831</v>
      </c>
      <c r="F28" s="455" t="s">
        <v>354</v>
      </c>
      <c r="G28" s="454" t="s">
        <v>1167</v>
      </c>
      <c r="H28" s="461">
        <v>70</v>
      </c>
      <c r="I28" s="458" t="s">
        <v>1293</v>
      </c>
      <c r="J28" s="459">
        <v>6000</v>
      </c>
      <c r="K28" s="459">
        <v>9000</v>
      </c>
      <c r="L28" s="459">
        <v>9000</v>
      </c>
      <c r="M28" s="459">
        <v>9000</v>
      </c>
      <c r="N28" s="459"/>
      <c r="O28" s="461">
        <v>2.4</v>
      </c>
      <c r="P28" s="461">
        <v>1.95</v>
      </c>
      <c r="Q28" s="482">
        <v>0</v>
      </c>
      <c r="R28" s="461">
        <v>0</v>
      </c>
      <c r="S28" s="461">
        <v>1.45</v>
      </c>
      <c r="T28" s="461"/>
      <c r="U28" s="461">
        <v>2.2000000000000002</v>
      </c>
      <c r="V28" s="461">
        <v>1.75</v>
      </c>
      <c r="W28" s="482">
        <v>0</v>
      </c>
      <c r="X28" s="461">
        <v>0</v>
      </c>
      <c r="Y28" s="461">
        <v>1.35</v>
      </c>
      <c r="Z28" s="461"/>
      <c r="AA28" s="461" t="s">
        <v>1142</v>
      </c>
      <c r="AB28" s="461" t="s">
        <v>1142</v>
      </c>
      <c r="AC28" s="461" t="s">
        <v>1142</v>
      </c>
      <c r="AD28" s="461" t="s">
        <v>1142</v>
      </c>
      <c r="AE28" s="461" t="s">
        <v>1142</v>
      </c>
      <c r="AF28" s="461"/>
      <c r="AG28" s="460" t="s">
        <v>403</v>
      </c>
      <c r="AH28" s="460" t="s">
        <v>404</v>
      </c>
      <c r="AI28" s="460">
        <v>3</v>
      </c>
      <c r="AJ28" s="460">
        <v>3</v>
      </c>
      <c r="AK28" s="480">
        <v>0.5</v>
      </c>
      <c r="AL28" s="480">
        <v>0.5</v>
      </c>
      <c r="AM28" s="454" t="s">
        <v>1118</v>
      </c>
      <c r="AN28" s="460">
        <v>10</v>
      </c>
      <c r="AO28" s="460">
        <v>0</v>
      </c>
      <c r="AP28" s="460">
        <v>0</v>
      </c>
      <c r="AQ28" s="460">
        <v>0</v>
      </c>
      <c r="AR28" s="460">
        <v>0</v>
      </c>
      <c r="AS28" s="460">
        <v>0</v>
      </c>
      <c r="AT28" s="460">
        <v>0</v>
      </c>
      <c r="AU28" s="460">
        <v>0</v>
      </c>
      <c r="AV28" s="460">
        <v>0</v>
      </c>
      <c r="AW28" s="460">
        <v>0</v>
      </c>
      <c r="AX28" s="460">
        <v>0</v>
      </c>
      <c r="AY28" s="460">
        <v>0</v>
      </c>
      <c r="AZ28" s="454"/>
      <c r="BA28" s="460" t="s">
        <v>405</v>
      </c>
      <c r="BB28" s="460">
        <v>12</v>
      </c>
      <c r="BC28" s="460" t="s">
        <v>405</v>
      </c>
      <c r="BD28" s="460"/>
      <c r="BE28" s="460"/>
      <c r="BF28" s="460"/>
      <c r="BG28" s="455"/>
      <c r="BH28" s="454"/>
      <c r="BI28" s="460"/>
      <c r="BJ28" s="460" t="s">
        <v>406</v>
      </c>
      <c r="BK28" s="460"/>
      <c r="BL28" s="455"/>
      <c r="BM28" s="454" t="s">
        <v>430</v>
      </c>
      <c r="BN28" s="454" t="s">
        <v>408</v>
      </c>
    </row>
    <row r="29" spans="1:68" s="450" customFormat="1" ht="13" customHeight="1" x14ac:dyDescent="0.2">
      <c r="A29" s="451">
        <v>2395</v>
      </c>
      <c r="B29" s="452">
        <v>43843</v>
      </c>
      <c r="C29" s="453" t="s">
        <v>398</v>
      </c>
      <c r="D29" s="454" t="s">
        <v>1108</v>
      </c>
      <c r="E29" s="465">
        <v>43831</v>
      </c>
      <c r="F29" s="455" t="s">
        <v>359</v>
      </c>
      <c r="G29" s="454" t="s">
        <v>1297</v>
      </c>
      <c r="H29" s="461">
        <v>70.999999999999986</v>
      </c>
      <c r="I29" s="458" t="s">
        <v>1293</v>
      </c>
      <c r="J29" s="459">
        <v>3000</v>
      </c>
      <c r="K29" s="459">
        <v>6000</v>
      </c>
      <c r="L29" s="459">
        <v>9000</v>
      </c>
      <c r="M29" s="459">
        <v>15000</v>
      </c>
      <c r="N29" s="454"/>
      <c r="O29" s="461">
        <v>2.2545454545454544</v>
      </c>
      <c r="P29" s="461">
        <v>2.1</v>
      </c>
      <c r="Q29" s="461">
        <v>1.8999999999999997</v>
      </c>
      <c r="R29" s="461">
        <v>1.7999999999999998</v>
      </c>
      <c r="S29" s="461">
        <v>1.7</v>
      </c>
      <c r="T29" s="461"/>
      <c r="U29" s="461">
        <v>2.1545454545454543</v>
      </c>
      <c r="V29" s="461">
        <v>1.9545454545454544</v>
      </c>
      <c r="W29" s="461">
        <v>1.7999999999999998</v>
      </c>
      <c r="X29" s="461">
        <v>1.7</v>
      </c>
      <c r="Y29" s="461">
        <v>1.6545454545454545</v>
      </c>
      <c r="Z29" s="461"/>
      <c r="AA29" s="461" t="s">
        <v>1142</v>
      </c>
      <c r="AB29" s="461" t="s">
        <v>1142</v>
      </c>
      <c r="AC29" s="461" t="s">
        <v>1142</v>
      </c>
      <c r="AD29" s="461" t="s">
        <v>1142</v>
      </c>
      <c r="AE29" s="461" t="s">
        <v>1142</v>
      </c>
      <c r="AF29" s="461"/>
      <c r="AG29" s="460" t="s">
        <v>403</v>
      </c>
      <c r="AH29" s="460" t="s">
        <v>404</v>
      </c>
      <c r="AI29" s="460">
        <v>3</v>
      </c>
      <c r="AJ29" s="460">
        <v>3</v>
      </c>
      <c r="AK29" s="480">
        <v>0.5</v>
      </c>
      <c r="AL29" s="480">
        <v>0.5</v>
      </c>
      <c r="AM29" s="454" t="s">
        <v>1118</v>
      </c>
      <c r="AN29" s="460">
        <v>0</v>
      </c>
      <c r="AO29" s="460">
        <v>0</v>
      </c>
      <c r="AP29" s="460">
        <v>10</v>
      </c>
      <c r="AQ29" s="460">
        <v>0</v>
      </c>
      <c r="AR29" s="460">
        <v>0</v>
      </c>
      <c r="AS29" s="460">
        <v>0</v>
      </c>
      <c r="AT29" s="460">
        <v>0</v>
      </c>
      <c r="AU29" s="460">
        <v>0</v>
      </c>
      <c r="AV29" s="460">
        <v>0</v>
      </c>
      <c r="AW29" s="460">
        <v>0</v>
      </c>
      <c r="AX29" s="460">
        <v>0</v>
      </c>
      <c r="AY29" s="460">
        <v>0</v>
      </c>
      <c r="AZ29" s="460"/>
      <c r="BA29" s="460" t="s">
        <v>405</v>
      </c>
      <c r="BB29" s="460"/>
      <c r="BC29" s="460" t="s">
        <v>405</v>
      </c>
      <c r="BD29" s="460"/>
      <c r="BE29" s="460"/>
      <c r="BF29" s="460"/>
      <c r="BG29" s="455"/>
      <c r="BH29" s="454"/>
      <c r="BI29" s="460"/>
      <c r="BJ29" s="460" t="s">
        <v>406</v>
      </c>
      <c r="BK29" s="460"/>
      <c r="BL29" s="455"/>
      <c r="BM29" s="484" t="s">
        <v>1306</v>
      </c>
      <c r="BN29" s="454" t="s">
        <v>408</v>
      </c>
    </row>
    <row r="30" spans="1:68" s="450" customFormat="1" ht="13" customHeight="1" x14ac:dyDescent="0.2">
      <c r="A30" s="451">
        <v>781</v>
      </c>
      <c r="B30" s="452">
        <v>43843</v>
      </c>
      <c r="C30" s="453" t="s">
        <v>398</v>
      </c>
      <c r="D30" s="454" t="s">
        <v>1108</v>
      </c>
      <c r="E30" s="465">
        <v>43831</v>
      </c>
      <c r="F30" s="455" t="s">
        <v>362</v>
      </c>
      <c r="G30" s="454" t="s">
        <v>363</v>
      </c>
      <c r="H30" s="461">
        <v>83.672727272727272</v>
      </c>
      <c r="I30" s="458" t="s">
        <v>1293</v>
      </c>
      <c r="J30" s="459">
        <v>3000</v>
      </c>
      <c r="K30" s="459">
        <v>6000</v>
      </c>
      <c r="L30" s="459">
        <v>9000</v>
      </c>
      <c r="M30" s="459">
        <v>15000</v>
      </c>
      <c r="N30" s="454"/>
      <c r="O30" s="462">
        <v>2.44</v>
      </c>
      <c r="P30" s="462">
        <v>2.113</v>
      </c>
      <c r="Q30" s="462">
        <v>1.8</v>
      </c>
      <c r="R30" s="462">
        <v>1.63</v>
      </c>
      <c r="S30" s="462">
        <v>1.5860000000000001</v>
      </c>
      <c r="T30" s="461"/>
      <c r="U30" s="461">
        <v>2.4363636363636365</v>
      </c>
      <c r="V30" s="461">
        <v>2.1090909090909089</v>
      </c>
      <c r="W30" s="461">
        <v>1.7999999999999998</v>
      </c>
      <c r="X30" s="461">
        <v>1.6272727272727272</v>
      </c>
      <c r="Y30" s="461">
        <v>1.5909090909090908</v>
      </c>
      <c r="Z30" s="461"/>
      <c r="AA30" s="461"/>
      <c r="AB30" s="461"/>
      <c r="AC30" s="461"/>
      <c r="AD30" s="461"/>
      <c r="AE30" s="461"/>
      <c r="AF30" s="461"/>
      <c r="AG30" s="460" t="s">
        <v>403</v>
      </c>
      <c r="AH30" s="460" t="s">
        <v>404</v>
      </c>
      <c r="AI30" s="460">
        <v>3</v>
      </c>
      <c r="AJ30" s="460">
        <v>3</v>
      </c>
      <c r="AK30" s="480">
        <v>0.5</v>
      </c>
      <c r="AL30" s="480">
        <v>0.5</v>
      </c>
      <c r="AM30" s="454" t="s">
        <v>1123</v>
      </c>
      <c r="AN30" s="460">
        <v>0</v>
      </c>
      <c r="AO30" s="460">
        <v>0</v>
      </c>
      <c r="AP30" s="460">
        <v>12</v>
      </c>
      <c r="AQ30" s="460">
        <v>0</v>
      </c>
      <c r="AR30" s="460">
        <v>0</v>
      </c>
      <c r="AS30" s="460">
        <v>0</v>
      </c>
      <c r="AT30" s="460">
        <v>0</v>
      </c>
      <c r="AU30" s="460">
        <v>0</v>
      </c>
      <c r="AV30" s="460">
        <v>0</v>
      </c>
      <c r="AW30" s="460">
        <v>0</v>
      </c>
      <c r="AX30" s="460">
        <v>0</v>
      </c>
      <c r="AY30" s="460">
        <v>0</v>
      </c>
      <c r="AZ30" s="454"/>
      <c r="BA30" s="460" t="s">
        <v>405</v>
      </c>
      <c r="BB30" s="460"/>
      <c r="BC30" s="460" t="s">
        <v>405</v>
      </c>
      <c r="BD30" s="460"/>
      <c r="BE30" s="460"/>
      <c r="BF30" s="460"/>
      <c r="BG30" s="455"/>
      <c r="BH30" s="454"/>
      <c r="BI30" s="460"/>
      <c r="BJ30" s="460" t="s">
        <v>422</v>
      </c>
      <c r="BK30" s="460"/>
      <c r="BL30" s="455"/>
      <c r="BM30" s="484" t="s">
        <v>1307</v>
      </c>
      <c r="BN30" s="454" t="s">
        <v>408</v>
      </c>
    </row>
    <row r="31" spans="1:68" s="450" customFormat="1" ht="13" customHeight="1" x14ac:dyDescent="0.2">
      <c r="A31" s="451">
        <v>2224</v>
      </c>
      <c r="B31" s="452">
        <v>43843</v>
      </c>
      <c r="C31" s="453" t="s">
        <v>398</v>
      </c>
      <c r="D31" s="454" t="s">
        <v>1108</v>
      </c>
      <c r="E31" s="465">
        <v>43647</v>
      </c>
      <c r="F31" s="454" t="s">
        <v>31</v>
      </c>
      <c r="G31" s="454" t="s">
        <v>1174</v>
      </c>
      <c r="H31" s="461">
        <v>65</v>
      </c>
      <c r="I31" s="467" t="s">
        <v>1293</v>
      </c>
      <c r="J31" s="469">
        <v>3000</v>
      </c>
      <c r="K31" s="469">
        <v>6000</v>
      </c>
      <c r="L31" s="469">
        <v>9000</v>
      </c>
      <c r="M31" s="469">
        <v>15000</v>
      </c>
      <c r="N31" s="468"/>
      <c r="O31" s="461">
        <v>2.3272727272727272</v>
      </c>
      <c r="P31" s="461">
        <v>2.0272727272727269</v>
      </c>
      <c r="Q31" s="461">
        <v>1.7727272727272725</v>
      </c>
      <c r="R31" s="461">
        <v>1.4090909090909089</v>
      </c>
      <c r="S31" s="461">
        <v>1.2999999999999998</v>
      </c>
      <c r="T31" s="456"/>
      <c r="U31" s="461">
        <v>2.0272727272727269</v>
      </c>
      <c r="V31" s="461">
        <v>1.718181818181818</v>
      </c>
      <c r="W31" s="461">
        <v>1.5727272727272725</v>
      </c>
      <c r="X31" s="461">
        <v>1.3090909090909089</v>
      </c>
      <c r="Y31" s="461">
        <v>1.1090909090909089</v>
      </c>
      <c r="Z31" s="456"/>
      <c r="AA31" s="461" t="s">
        <v>1142</v>
      </c>
      <c r="AB31" s="461" t="s">
        <v>1142</v>
      </c>
      <c r="AC31" s="461" t="s">
        <v>1142</v>
      </c>
      <c r="AD31" s="461" t="s">
        <v>1142</v>
      </c>
      <c r="AE31" s="461" t="s">
        <v>1142</v>
      </c>
      <c r="AF31" s="456"/>
      <c r="AG31" s="470" t="s">
        <v>403</v>
      </c>
      <c r="AH31" s="470" t="s">
        <v>404</v>
      </c>
      <c r="AI31" s="470">
        <v>3</v>
      </c>
      <c r="AJ31" s="470">
        <v>3</v>
      </c>
      <c r="AK31" s="480">
        <v>0.5</v>
      </c>
      <c r="AL31" s="480">
        <v>0.5</v>
      </c>
      <c r="AM31" s="454" t="s">
        <v>1118</v>
      </c>
      <c r="AN31" s="460">
        <v>0</v>
      </c>
      <c r="AO31" s="460">
        <v>0</v>
      </c>
      <c r="AP31" s="460">
        <v>5</v>
      </c>
      <c r="AQ31" s="460">
        <v>0</v>
      </c>
      <c r="AR31" s="460">
        <v>0</v>
      </c>
      <c r="AS31" s="460">
        <v>0</v>
      </c>
      <c r="AT31" s="460">
        <v>0</v>
      </c>
      <c r="AU31" s="460">
        <v>0</v>
      </c>
      <c r="AV31" s="460">
        <v>0</v>
      </c>
      <c r="AW31" s="460">
        <v>0</v>
      </c>
      <c r="AX31" s="460">
        <v>0</v>
      </c>
      <c r="AY31" s="460">
        <v>0</v>
      </c>
      <c r="AZ31" s="460"/>
      <c r="BA31" s="460" t="s">
        <v>405</v>
      </c>
      <c r="BB31" s="460">
        <v>12</v>
      </c>
      <c r="BC31" s="460" t="s">
        <v>405</v>
      </c>
      <c r="BD31" s="460"/>
      <c r="BE31" s="460"/>
      <c r="BF31" s="460"/>
      <c r="BG31" s="455"/>
      <c r="BH31" s="454"/>
      <c r="BI31" s="460"/>
      <c r="BJ31" s="460" t="s">
        <v>422</v>
      </c>
      <c r="BK31" s="460"/>
      <c r="BL31" s="455"/>
      <c r="BM31" s="481" t="s">
        <v>1188</v>
      </c>
      <c r="BN31" s="454" t="s">
        <v>368</v>
      </c>
    </row>
    <row r="32" spans="1:68" s="450" customFormat="1" ht="13" customHeight="1" x14ac:dyDescent="0.2">
      <c r="A32" s="451">
        <v>1921</v>
      </c>
      <c r="B32" s="452">
        <v>43843</v>
      </c>
      <c r="C32" s="453" t="s">
        <v>1138</v>
      </c>
      <c r="D32" s="454" t="s">
        <v>1108</v>
      </c>
      <c r="E32" s="452">
        <v>43831</v>
      </c>
      <c r="F32" s="455" t="s">
        <v>987</v>
      </c>
      <c r="G32" s="454" t="s">
        <v>1127</v>
      </c>
      <c r="H32" s="461">
        <v>53.107999999999997</v>
      </c>
      <c r="I32" s="458" t="s">
        <v>1141</v>
      </c>
      <c r="J32" s="469">
        <v>3000</v>
      </c>
      <c r="K32" s="469">
        <v>6000</v>
      </c>
      <c r="L32" s="469">
        <v>9000</v>
      </c>
      <c r="M32" s="469">
        <v>15000</v>
      </c>
      <c r="N32" s="454"/>
      <c r="O32" s="461">
        <v>2.278</v>
      </c>
      <c r="P32" s="461">
        <v>2.0059999999999998</v>
      </c>
      <c r="Q32" s="461">
        <v>1.734</v>
      </c>
      <c r="R32" s="461">
        <v>1.5980000000000001</v>
      </c>
      <c r="S32" s="461">
        <v>1.53</v>
      </c>
      <c r="T32" s="461"/>
      <c r="U32" s="461">
        <v>2.21</v>
      </c>
      <c r="V32" s="461">
        <v>1.9719999999999998</v>
      </c>
      <c r="W32" s="461">
        <v>1.7</v>
      </c>
      <c r="X32" s="461">
        <v>1.5980000000000001</v>
      </c>
      <c r="Y32" s="461">
        <v>1.5640000000000001</v>
      </c>
      <c r="Z32" s="461"/>
      <c r="AA32" s="461" t="s">
        <v>1142</v>
      </c>
      <c r="AB32" s="461" t="s">
        <v>1142</v>
      </c>
      <c r="AC32" s="461" t="s">
        <v>1142</v>
      </c>
      <c r="AD32" s="461" t="s">
        <v>1142</v>
      </c>
      <c r="AE32" s="461" t="s">
        <v>1142</v>
      </c>
      <c r="AF32" s="461"/>
      <c r="AG32" s="460" t="s">
        <v>1143</v>
      </c>
      <c r="AH32" s="460" t="s">
        <v>1144</v>
      </c>
      <c r="AI32" s="460">
        <v>3</v>
      </c>
      <c r="AJ32" s="460">
        <v>3</v>
      </c>
      <c r="AK32" s="480">
        <v>0.5</v>
      </c>
      <c r="AL32" s="480">
        <v>0.5</v>
      </c>
      <c r="AM32" s="454" t="s">
        <v>1118</v>
      </c>
      <c r="AN32" s="460">
        <v>0</v>
      </c>
      <c r="AO32" s="460">
        <v>0</v>
      </c>
      <c r="AP32" s="460">
        <v>0</v>
      </c>
      <c r="AQ32" s="460">
        <v>0</v>
      </c>
      <c r="AR32" s="460">
        <v>0</v>
      </c>
      <c r="AS32" s="460">
        <v>0</v>
      </c>
      <c r="AT32" s="460">
        <v>0</v>
      </c>
      <c r="AU32" s="460">
        <v>0</v>
      </c>
      <c r="AV32" s="460">
        <v>0</v>
      </c>
      <c r="AW32" s="460">
        <v>0</v>
      </c>
      <c r="AX32" s="460">
        <v>0</v>
      </c>
      <c r="AY32" s="460">
        <v>0</v>
      </c>
      <c r="AZ32" s="460"/>
      <c r="BA32" s="460" t="s">
        <v>1145</v>
      </c>
      <c r="BB32" s="460"/>
      <c r="BC32" s="460" t="s">
        <v>1145</v>
      </c>
      <c r="BD32" s="460"/>
      <c r="BE32" s="460"/>
      <c r="BF32" s="460"/>
      <c r="BG32" s="455"/>
      <c r="BH32" s="454"/>
      <c r="BI32" s="460"/>
      <c r="BJ32" s="460" t="s">
        <v>1146</v>
      </c>
      <c r="BK32" s="460">
        <v>1</v>
      </c>
      <c r="BL32" s="455"/>
      <c r="BM32" s="454" t="s">
        <v>1189</v>
      </c>
      <c r="BN32" s="454" t="s">
        <v>408</v>
      </c>
    </row>
    <row r="33" spans="1:66" s="450" customFormat="1" ht="13" customHeight="1" x14ac:dyDescent="0.2">
      <c r="A33" s="451">
        <v>1683</v>
      </c>
      <c r="B33" s="452">
        <v>43843</v>
      </c>
      <c r="C33" s="453" t="s">
        <v>295</v>
      </c>
      <c r="D33" s="454" t="s">
        <v>1108</v>
      </c>
      <c r="E33" s="452">
        <v>43801</v>
      </c>
      <c r="F33" s="455" t="s">
        <v>1106</v>
      </c>
      <c r="G33" s="454" t="s">
        <v>2</v>
      </c>
      <c r="H33" s="461">
        <v>65</v>
      </c>
      <c r="I33" s="458" t="s">
        <v>296</v>
      </c>
      <c r="J33" s="459">
        <v>6000</v>
      </c>
      <c r="K33" s="459">
        <v>6000</v>
      </c>
      <c r="L33" s="459">
        <v>6000</v>
      </c>
      <c r="M33" s="459">
        <v>6000</v>
      </c>
      <c r="N33" s="454"/>
      <c r="O33" s="461">
        <v>2.0636363636363635</v>
      </c>
      <c r="P33" s="482">
        <v>0</v>
      </c>
      <c r="Q33" s="461">
        <v>0</v>
      </c>
      <c r="R33" s="461">
        <v>0</v>
      </c>
      <c r="S33" s="461">
        <v>1.5272727272727271</v>
      </c>
      <c r="T33" s="461"/>
      <c r="U33" s="461">
        <v>2.0636363636363635</v>
      </c>
      <c r="V33" s="482">
        <v>0</v>
      </c>
      <c r="W33" s="461">
        <v>0</v>
      </c>
      <c r="X33" s="461">
        <v>0</v>
      </c>
      <c r="Y33" s="461">
        <v>1.5272727272727271</v>
      </c>
      <c r="Z33" s="461"/>
      <c r="AA33" s="461" t="s">
        <v>1142</v>
      </c>
      <c r="AB33" s="461" t="s">
        <v>1142</v>
      </c>
      <c r="AC33" s="461" t="s">
        <v>1142</v>
      </c>
      <c r="AD33" s="461" t="s">
        <v>1142</v>
      </c>
      <c r="AE33" s="461" t="s">
        <v>1142</v>
      </c>
      <c r="AF33" s="461"/>
      <c r="AG33" s="470" t="s">
        <v>1143</v>
      </c>
      <c r="AH33" s="470" t="s">
        <v>1144</v>
      </c>
      <c r="AI33" s="460">
        <v>2</v>
      </c>
      <c r="AJ33" s="460">
        <v>4</v>
      </c>
      <c r="AK33" s="483">
        <v>0.33329999999999999</v>
      </c>
      <c r="AL33" s="483">
        <v>0.66659999999999997</v>
      </c>
      <c r="AM33" s="454" t="s">
        <v>1124</v>
      </c>
      <c r="AN33" s="460">
        <v>0</v>
      </c>
      <c r="AO33" s="460">
        <v>0</v>
      </c>
      <c r="AP33" s="460">
        <v>5</v>
      </c>
      <c r="AQ33" s="460">
        <v>0</v>
      </c>
      <c r="AR33" s="460">
        <v>0</v>
      </c>
      <c r="AS33" s="460">
        <v>0</v>
      </c>
      <c r="AT33" s="460">
        <v>0</v>
      </c>
      <c r="AU33" s="460">
        <v>0</v>
      </c>
      <c r="AV33" s="460">
        <v>0</v>
      </c>
      <c r="AW33" s="460">
        <v>0</v>
      </c>
      <c r="AX33" s="460">
        <v>0</v>
      </c>
      <c r="AY33" s="460">
        <v>0</v>
      </c>
      <c r="AZ33" s="460"/>
      <c r="BA33" s="460" t="s">
        <v>1145</v>
      </c>
      <c r="BB33" s="460"/>
      <c r="BC33" s="460" t="s">
        <v>1145</v>
      </c>
      <c r="BD33" s="460"/>
      <c r="BE33" s="460"/>
      <c r="BF33" s="455"/>
      <c r="BG33" s="454"/>
      <c r="BH33" s="460"/>
      <c r="BI33" s="460"/>
      <c r="BJ33" s="460" t="s">
        <v>1146</v>
      </c>
      <c r="BK33" s="460">
        <v>1</v>
      </c>
      <c r="BL33" s="454"/>
      <c r="BM33" s="481" t="s">
        <v>1290</v>
      </c>
      <c r="BN33" s="454" t="s">
        <v>368</v>
      </c>
    </row>
    <row r="34" spans="1:66" s="450" customFormat="1" ht="13" customHeight="1" x14ac:dyDescent="0.2">
      <c r="A34" s="451">
        <v>2216</v>
      </c>
      <c r="B34" s="452">
        <v>43843</v>
      </c>
      <c r="C34" s="453" t="s">
        <v>398</v>
      </c>
      <c r="D34" s="454" t="s">
        <v>1108</v>
      </c>
      <c r="E34" s="465">
        <v>43831</v>
      </c>
      <c r="F34" s="454" t="s">
        <v>34</v>
      </c>
      <c r="G34" s="454" t="s">
        <v>1178</v>
      </c>
      <c r="H34" s="461">
        <v>70.699999999999989</v>
      </c>
      <c r="I34" s="467"/>
      <c r="J34" s="468"/>
      <c r="K34" s="468"/>
      <c r="L34" s="468"/>
      <c r="M34" s="468"/>
      <c r="N34" s="468"/>
      <c r="O34" s="461">
        <v>1.8909090909090909</v>
      </c>
      <c r="P34" s="461">
        <v>0</v>
      </c>
      <c r="Q34" s="461">
        <v>0</v>
      </c>
      <c r="R34" s="461">
        <v>0</v>
      </c>
      <c r="S34" s="461">
        <v>0</v>
      </c>
      <c r="T34" s="456"/>
      <c r="U34" s="461">
        <v>1.7</v>
      </c>
      <c r="V34" s="461">
        <v>0</v>
      </c>
      <c r="W34" s="461">
        <v>0</v>
      </c>
      <c r="X34" s="461">
        <v>0</v>
      </c>
      <c r="Y34" s="461">
        <v>0</v>
      </c>
      <c r="Z34" s="456"/>
      <c r="AA34" s="461" t="s">
        <v>1142</v>
      </c>
      <c r="AB34" s="461" t="s">
        <v>1142</v>
      </c>
      <c r="AC34" s="461" t="s">
        <v>1142</v>
      </c>
      <c r="AD34" s="461" t="s">
        <v>1142</v>
      </c>
      <c r="AE34" s="461" t="s">
        <v>1142</v>
      </c>
      <c r="AF34" s="456"/>
      <c r="AG34" s="460" t="s">
        <v>403</v>
      </c>
      <c r="AH34" s="460" t="s">
        <v>404</v>
      </c>
      <c r="AI34" s="460">
        <v>3</v>
      </c>
      <c r="AJ34" s="460">
        <v>3</v>
      </c>
      <c r="AK34" s="480">
        <v>0.5</v>
      </c>
      <c r="AL34" s="480">
        <v>0.5</v>
      </c>
      <c r="AM34" s="454" t="s">
        <v>1124</v>
      </c>
      <c r="AN34" s="460">
        <v>0</v>
      </c>
      <c r="AO34" s="460">
        <v>0</v>
      </c>
      <c r="AP34" s="460">
        <v>5</v>
      </c>
      <c r="AQ34" s="460">
        <v>0</v>
      </c>
      <c r="AR34" s="460">
        <v>0</v>
      </c>
      <c r="AS34" s="460">
        <v>0</v>
      </c>
      <c r="AT34" s="460">
        <v>0</v>
      </c>
      <c r="AU34" s="460">
        <v>0</v>
      </c>
      <c r="AV34" s="460">
        <v>0</v>
      </c>
      <c r="AW34" s="460">
        <v>0</v>
      </c>
      <c r="AX34" s="460">
        <v>0</v>
      </c>
      <c r="AY34" s="460">
        <v>0</v>
      </c>
      <c r="AZ34" s="460"/>
      <c r="BA34" s="460" t="s">
        <v>405</v>
      </c>
      <c r="BB34" s="460"/>
      <c r="BC34" s="460" t="s">
        <v>405</v>
      </c>
      <c r="BD34" s="460"/>
      <c r="BE34" s="460"/>
      <c r="BF34" s="460"/>
      <c r="BG34" s="455"/>
      <c r="BH34" s="454"/>
      <c r="BI34" s="460"/>
      <c r="BJ34" s="460" t="s">
        <v>422</v>
      </c>
      <c r="BK34" s="460"/>
      <c r="BL34" s="455" t="s">
        <v>47</v>
      </c>
      <c r="BM34" s="484" t="s">
        <v>1296</v>
      </c>
      <c r="BN34" s="454" t="s">
        <v>408</v>
      </c>
    </row>
    <row r="35" spans="1:66" s="450" customFormat="1" ht="13" customHeight="1" x14ac:dyDescent="0.2">
      <c r="A35" s="451">
        <v>2053</v>
      </c>
      <c r="B35" s="452">
        <v>43843</v>
      </c>
      <c r="C35" s="453" t="s">
        <v>1138</v>
      </c>
      <c r="D35" s="454" t="s">
        <v>1108</v>
      </c>
      <c r="E35" s="452">
        <v>43831</v>
      </c>
      <c r="F35" s="455" t="s">
        <v>1180</v>
      </c>
      <c r="G35" s="454" t="s">
        <v>1181</v>
      </c>
      <c r="H35" s="461">
        <v>74.5</v>
      </c>
      <c r="I35" s="458"/>
      <c r="J35" s="454"/>
      <c r="K35" s="454"/>
      <c r="L35" s="454"/>
      <c r="M35" s="454"/>
      <c r="N35" s="454"/>
      <c r="O35" s="461">
        <v>1.8272727272727269</v>
      </c>
      <c r="P35" s="461">
        <v>0</v>
      </c>
      <c r="Q35" s="461">
        <v>0</v>
      </c>
      <c r="R35" s="461">
        <v>0</v>
      </c>
      <c r="S35" s="461">
        <v>0</v>
      </c>
      <c r="T35" s="461"/>
      <c r="U35" s="461">
        <v>1.6363636363636362</v>
      </c>
      <c r="V35" s="461">
        <v>0</v>
      </c>
      <c r="W35" s="461">
        <v>0</v>
      </c>
      <c r="X35" s="461">
        <v>0</v>
      </c>
      <c r="Y35" s="461">
        <v>0</v>
      </c>
      <c r="Z35" s="461"/>
      <c r="AA35" s="461" t="s">
        <v>1142</v>
      </c>
      <c r="AB35" s="461" t="s">
        <v>1142</v>
      </c>
      <c r="AC35" s="461" t="s">
        <v>1142</v>
      </c>
      <c r="AD35" s="461" t="s">
        <v>1142</v>
      </c>
      <c r="AE35" s="461" t="s">
        <v>1142</v>
      </c>
      <c r="AF35" s="461"/>
      <c r="AG35" s="460" t="s">
        <v>1143</v>
      </c>
      <c r="AH35" s="460" t="s">
        <v>1144</v>
      </c>
      <c r="AI35" s="460">
        <v>3</v>
      </c>
      <c r="AJ35" s="460">
        <v>3</v>
      </c>
      <c r="AK35" s="480">
        <v>0.5</v>
      </c>
      <c r="AL35" s="480">
        <v>0.5</v>
      </c>
      <c r="AM35" s="454" t="s">
        <v>1118</v>
      </c>
      <c r="AN35" s="460">
        <v>0</v>
      </c>
      <c r="AO35" s="460">
        <v>0</v>
      </c>
      <c r="AP35" s="460">
        <v>0</v>
      </c>
      <c r="AQ35" s="460">
        <v>0</v>
      </c>
      <c r="AR35" s="460">
        <v>0</v>
      </c>
      <c r="AS35" s="460">
        <v>0</v>
      </c>
      <c r="AT35" s="460">
        <v>0</v>
      </c>
      <c r="AU35" s="460">
        <v>0</v>
      </c>
      <c r="AV35" s="460">
        <v>0</v>
      </c>
      <c r="AW35" s="460">
        <v>0</v>
      </c>
      <c r="AX35" s="460">
        <v>0</v>
      </c>
      <c r="AY35" s="460">
        <v>0</v>
      </c>
      <c r="AZ35" s="460"/>
      <c r="BA35" s="460" t="s">
        <v>1145</v>
      </c>
      <c r="BB35" s="460"/>
      <c r="BC35" s="460" t="s">
        <v>1145</v>
      </c>
      <c r="BD35" s="460"/>
      <c r="BE35" s="460"/>
      <c r="BF35" s="460"/>
      <c r="BG35" s="455"/>
      <c r="BH35" s="454"/>
      <c r="BI35" s="460"/>
      <c r="BJ35" s="460" t="s">
        <v>1164</v>
      </c>
      <c r="BK35" s="460"/>
      <c r="BL35" s="455" t="s">
        <v>1284</v>
      </c>
      <c r="BM35" s="454" t="s">
        <v>1288</v>
      </c>
      <c r="BN35" s="454" t="s">
        <v>408</v>
      </c>
    </row>
    <row r="36" spans="1:66" s="450" customFormat="1" ht="13" customHeight="1" x14ac:dyDescent="0.2">
      <c r="A36" s="451">
        <v>2468</v>
      </c>
      <c r="B36" s="452">
        <v>43843</v>
      </c>
      <c r="C36" s="453" t="s">
        <v>1138</v>
      </c>
      <c r="D36" s="454" t="s">
        <v>1108</v>
      </c>
      <c r="E36" s="465">
        <v>43731</v>
      </c>
      <c r="F36" s="454" t="s">
        <v>1274</v>
      </c>
      <c r="G36" s="454" t="s">
        <v>1275</v>
      </c>
      <c r="H36" s="461">
        <v>70.999999999999986</v>
      </c>
      <c r="I36" s="467" t="s">
        <v>1141</v>
      </c>
      <c r="J36" s="469">
        <v>3000</v>
      </c>
      <c r="K36" s="469">
        <v>6000</v>
      </c>
      <c r="L36" s="469">
        <v>6000</v>
      </c>
      <c r="M36" s="469">
        <v>6000</v>
      </c>
      <c r="N36" s="468"/>
      <c r="O36" s="461">
        <v>2.3818181818181818</v>
      </c>
      <c r="P36" s="461">
        <v>2.0818181818181816</v>
      </c>
      <c r="Q36" s="482">
        <v>0</v>
      </c>
      <c r="R36" s="461">
        <v>0</v>
      </c>
      <c r="S36" s="461">
        <v>1.7363636363636361</v>
      </c>
      <c r="T36" s="456"/>
      <c r="U36" s="461">
        <v>2.3818181818181818</v>
      </c>
      <c r="V36" s="461">
        <v>2.0818181818181816</v>
      </c>
      <c r="W36" s="482">
        <v>0</v>
      </c>
      <c r="X36" s="461">
        <v>0</v>
      </c>
      <c r="Y36" s="461">
        <v>1.7363636363636361</v>
      </c>
      <c r="Z36" s="456"/>
      <c r="AA36" s="461" t="s">
        <v>1142</v>
      </c>
      <c r="AB36" s="461" t="s">
        <v>1142</v>
      </c>
      <c r="AC36" s="461" t="s">
        <v>1142</v>
      </c>
      <c r="AD36" s="461" t="s">
        <v>1142</v>
      </c>
      <c r="AE36" s="461" t="s">
        <v>1142</v>
      </c>
      <c r="AF36" s="456"/>
      <c r="AG36" s="470" t="s">
        <v>1145</v>
      </c>
      <c r="AH36" s="470"/>
      <c r="AI36" s="460">
        <v>3</v>
      </c>
      <c r="AJ36" s="460">
        <v>3</v>
      </c>
      <c r="AK36" s="480">
        <v>0.5</v>
      </c>
      <c r="AL36" s="480">
        <v>0.5</v>
      </c>
      <c r="AM36" s="454"/>
      <c r="AN36" s="460">
        <v>0</v>
      </c>
      <c r="AO36" s="460">
        <v>0</v>
      </c>
      <c r="AP36" s="460">
        <v>0</v>
      </c>
      <c r="AQ36" s="460">
        <v>15</v>
      </c>
      <c r="AR36" s="460">
        <v>0</v>
      </c>
      <c r="AS36" s="460">
        <v>0</v>
      </c>
      <c r="AT36" s="460">
        <v>0</v>
      </c>
      <c r="AU36" s="460">
        <v>0</v>
      </c>
      <c r="AV36" s="460">
        <v>0</v>
      </c>
      <c r="AW36" s="460">
        <v>0</v>
      </c>
      <c r="AX36" s="460">
        <v>0</v>
      </c>
      <c r="AY36" s="460">
        <v>0</v>
      </c>
      <c r="AZ36" s="460"/>
      <c r="BA36" s="460" t="s">
        <v>1145</v>
      </c>
      <c r="BB36" s="460"/>
      <c r="BC36" s="460" t="s">
        <v>1145</v>
      </c>
      <c r="BD36" s="460"/>
      <c r="BE36" s="460"/>
      <c r="BF36" s="460"/>
      <c r="BG36" s="455"/>
      <c r="BH36" s="454"/>
      <c r="BI36" s="460"/>
      <c r="BJ36" s="460" t="s">
        <v>1164</v>
      </c>
      <c r="BK36" s="460">
        <v>1</v>
      </c>
      <c r="BL36" s="455"/>
      <c r="BM36" s="454" t="s">
        <v>1276</v>
      </c>
      <c r="BN36" s="454" t="s">
        <v>368</v>
      </c>
    </row>
    <row r="37" spans="1:66" s="450" customFormat="1" ht="13" customHeight="1" x14ac:dyDescent="0.2">
      <c r="A37" s="451">
        <v>2339</v>
      </c>
      <c r="B37" s="452">
        <v>43843</v>
      </c>
      <c r="C37" s="453" t="s">
        <v>398</v>
      </c>
      <c r="D37" s="454" t="s">
        <v>1108</v>
      </c>
      <c r="E37" s="465">
        <v>43831</v>
      </c>
      <c r="F37" s="454" t="s">
        <v>1291</v>
      </c>
      <c r="G37" s="454" t="s">
        <v>1181</v>
      </c>
      <c r="H37" s="461">
        <v>68.772727272727266</v>
      </c>
      <c r="I37" s="467"/>
      <c r="J37" s="468"/>
      <c r="K37" s="468"/>
      <c r="L37" s="468"/>
      <c r="M37" s="468"/>
      <c r="N37" s="468"/>
      <c r="O37" s="461">
        <v>2.0818181818181816</v>
      </c>
      <c r="P37" s="461">
        <v>0</v>
      </c>
      <c r="Q37" s="461">
        <v>0</v>
      </c>
      <c r="R37" s="461">
        <v>0</v>
      </c>
      <c r="S37" s="461">
        <v>0</v>
      </c>
      <c r="T37" s="456"/>
      <c r="U37" s="461">
        <v>1.8090909090909089</v>
      </c>
      <c r="V37" s="461">
        <v>0</v>
      </c>
      <c r="W37" s="461">
        <v>0</v>
      </c>
      <c r="X37" s="461">
        <v>0</v>
      </c>
      <c r="Y37" s="461">
        <v>0</v>
      </c>
      <c r="Z37" s="456"/>
      <c r="AA37" s="461" t="s">
        <v>1142</v>
      </c>
      <c r="AB37" s="461" t="s">
        <v>1142</v>
      </c>
      <c r="AC37" s="461" t="s">
        <v>1142</v>
      </c>
      <c r="AD37" s="461" t="s">
        <v>1142</v>
      </c>
      <c r="AE37" s="461" t="s">
        <v>1142</v>
      </c>
      <c r="AF37" s="456"/>
      <c r="AG37" s="460" t="s">
        <v>403</v>
      </c>
      <c r="AH37" s="460" t="s">
        <v>404</v>
      </c>
      <c r="AI37" s="460">
        <v>3</v>
      </c>
      <c r="AJ37" s="460">
        <v>3</v>
      </c>
      <c r="AK37" s="480">
        <v>0.5</v>
      </c>
      <c r="AL37" s="480">
        <v>0.5</v>
      </c>
      <c r="AM37" s="454" t="s">
        <v>1118</v>
      </c>
      <c r="AN37" s="460">
        <v>0</v>
      </c>
      <c r="AO37" s="460">
        <v>0</v>
      </c>
      <c r="AP37" s="460">
        <v>0</v>
      </c>
      <c r="AQ37" s="460">
        <v>0</v>
      </c>
      <c r="AR37" s="460">
        <v>0</v>
      </c>
      <c r="AS37" s="460">
        <v>0</v>
      </c>
      <c r="AT37" s="460">
        <v>0</v>
      </c>
      <c r="AU37" s="460">
        <v>0</v>
      </c>
      <c r="AV37" s="460">
        <v>0</v>
      </c>
      <c r="AW37" s="460">
        <v>0</v>
      </c>
      <c r="AX37" s="460">
        <v>0</v>
      </c>
      <c r="AY37" s="460">
        <v>0</v>
      </c>
      <c r="AZ37" s="460"/>
      <c r="BA37" s="460" t="s">
        <v>405</v>
      </c>
      <c r="BB37" s="460"/>
      <c r="BC37" s="460" t="s">
        <v>405</v>
      </c>
      <c r="BD37" s="460"/>
      <c r="BE37" s="460"/>
      <c r="BF37" s="460"/>
      <c r="BG37" s="455"/>
      <c r="BH37" s="454"/>
      <c r="BI37" s="460"/>
      <c r="BJ37" s="460" t="s">
        <v>4</v>
      </c>
      <c r="BK37" s="460"/>
      <c r="BL37" s="455" t="s">
        <v>1284</v>
      </c>
      <c r="BM37" s="484" t="s">
        <v>1292</v>
      </c>
      <c r="BN37" s="454" t="s">
        <v>408</v>
      </c>
    </row>
    <row r="38" spans="1:66" s="450" customFormat="1" ht="13" customHeight="1" x14ac:dyDescent="0.2">
      <c r="A38" s="451">
        <v>2383</v>
      </c>
      <c r="B38" s="452">
        <v>43843</v>
      </c>
      <c r="C38" s="453" t="s">
        <v>1138</v>
      </c>
      <c r="D38" s="454" t="s">
        <v>1109</v>
      </c>
      <c r="E38" s="452">
        <v>43831</v>
      </c>
      <c r="F38" s="455" t="s">
        <v>1139</v>
      </c>
      <c r="G38" s="454" t="s">
        <v>1277</v>
      </c>
      <c r="H38" s="461">
        <v>74.3</v>
      </c>
      <c r="I38" s="458" t="s">
        <v>1141</v>
      </c>
      <c r="J38" s="485">
        <v>1645</v>
      </c>
      <c r="K38" s="485">
        <v>3000</v>
      </c>
      <c r="L38" s="485">
        <v>3000</v>
      </c>
      <c r="M38" s="485">
        <v>3000</v>
      </c>
      <c r="N38" s="454"/>
      <c r="O38" s="461">
        <v>1.918181818181818</v>
      </c>
      <c r="P38" s="461">
        <v>1.7909090909090908</v>
      </c>
      <c r="Q38" s="461">
        <v>0</v>
      </c>
      <c r="R38" s="461">
        <v>0</v>
      </c>
      <c r="S38" s="461">
        <v>1.4999999999999998</v>
      </c>
      <c r="T38" s="461"/>
      <c r="U38" s="461">
        <v>1.918181818181818</v>
      </c>
      <c r="V38" s="461">
        <v>1.7909090909090908</v>
      </c>
      <c r="W38" s="461">
        <v>0</v>
      </c>
      <c r="X38" s="461">
        <v>0</v>
      </c>
      <c r="Y38" s="461">
        <v>1.4999999999999998</v>
      </c>
      <c r="Z38" s="461"/>
      <c r="AA38" s="461" t="s">
        <v>1142</v>
      </c>
      <c r="AB38" s="461" t="s">
        <v>1142</v>
      </c>
      <c r="AC38" s="461" t="s">
        <v>1142</v>
      </c>
      <c r="AD38" s="461" t="s">
        <v>1142</v>
      </c>
      <c r="AE38" s="461" t="s">
        <v>1142</v>
      </c>
      <c r="AF38" s="461"/>
      <c r="AG38" s="460" t="s">
        <v>1145</v>
      </c>
      <c r="AH38" s="460"/>
      <c r="AI38" s="460">
        <v>3</v>
      </c>
      <c r="AJ38" s="460">
        <v>3</v>
      </c>
      <c r="AK38" s="480">
        <v>0.5</v>
      </c>
      <c r="AL38" s="480">
        <v>0.5</v>
      </c>
      <c r="AM38" s="454"/>
      <c r="AN38" s="460">
        <v>0</v>
      </c>
      <c r="AO38" s="460">
        <v>0</v>
      </c>
      <c r="AP38" s="460">
        <v>0</v>
      </c>
      <c r="AQ38" s="460">
        <v>0</v>
      </c>
      <c r="AR38" s="460">
        <v>0</v>
      </c>
      <c r="AS38" s="460">
        <v>0</v>
      </c>
      <c r="AT38" s="460">
        <v>0</v>
      </c>
      <c r="AU38" s="460">
        <v>0</v>
      </c>
      <c r="AV38" s="460">
        <v>0</v>
      </c>
      <c r="AW38" s="460">
        <v>0</v>
      </c>
      <c r="AX38" s="460">
        <v>0</v>
      </c>
      <c r="AY38" s="460">
        <v>0</v>
      </c>
      <c r="AZ38" s="460"/>
      <c r="BA38" s="460" t="s">
        <v>1145</v>
      </c>
      <c r="BB38" s="460"/>
      <c r="BC38" s="460" t="s">
        <v>1145</v>
      </c>
      <c r="BD38" s="460"/>
      <c r="BE38" s="460"/>
      <c r="BF38" s="460"/>
      <c r="BG38" s="455"/>
      <c r="BH38" s="454"/>
      <c r="BI38" s="460"/>
      <c r="BJ38" s="460" t="s">
        <v>1146</v>
      </c>
      <c r="BK38" s="460"/>
      <c r="BL38" s="455"/>
      <c r="BM38" s="481" t="s">
        <v>1311</v>
      </c>
      <c r="BN38" s="454" t="s">
        <v>408</v>
      </c>
    </row>
    <row r="39" spans="1:66" s="450" customFormat="1" ht="13" customHeight="1" x14ac:dyDescent="0.2">
      <c r="A39" s="451">
        <v>2497</v>
      </c>
      <c r="B39" s="452">
        <v>43843</v>
      </c>
      <c r="C39" s="453" t="s">
        <v>1138</v>
      </c>
      <c r="D39" s="454" t="s">
        <v>1109</v>
      </c>
      <c r="E39" s="452">
        <v>43836</v>
      </c>
      <c r="F39" s="455" t="s">
        <v>1148</v>
      </c>
      <c r="G39" s="454" t="s">
        <v>1280</v>
      </c>
      <c r="H39" s="461">
        <v>67</v>
      </c>
      <c r="I39" s="458" t="s">
        <v>1141</v>
      </c>
      <c r="J39" s="485">
        <v>1645</v>
      </c>
      <c r="K39" s="485">
        <v>3000</v>
      </c>
      <c r="L39" s="485">
        <v>3000</v>
      </c>
      <c r="M39" s="485">
        <v>3000</v>
      </c>
      <c r="N39" s="454"/>
      <c r="O39" s="461">
        <v>2.1</v>
      </c>
      <c r="P39" s="461">
        <v>2.1</v>
      </c>
      <c r="Q39" s="461">
        <v>0</v>
      </c>
      <c r="R39" s="461">
        <v>0</v>
      </c>
      <c r="S39" s="461">
        <v>1.7999999999999998</v>
      </c>
      <c r="T39" s="461"/>
      <c r="U39" s="461">
        <v>2.1</v>
      </c>
      <c r="V39" s="461">
        <v>2.1</v>
      </c>
      <c r="W39" s="461">
        <v>0</v>
      </c>
      <c r="X39" s="461">
        <v>0</v>
      </c>
      <c r="Y39" s="461">
        <v>1.7999999999999998</v>
      </c>
      <c r="Z39" s="461"/>
      <c r="AA39" s="461" t="s">
        <v>1142</v>
      </c>
      <c r="AB39" s="461" t="s">
        <v>1142</v>
      </c>
      <c r="AC39" s="461" t="s">
        <v>1142</v>
      </c>
      <c r="AD39" s="461" t="s">
        <v>1142</v>
      </c>
      <c r="AE39" s="461" t="s">
        <v>1142</v>
      </c>
      <c r="AF39" s="461"/>
      <c r="AG39" s="460" t="s">
        <v>1145</v>
      </c>
      <c r="AH39" s="460"/>
      <c r="AI39" s="460">
        <v>3</v>
      </c>
      <c r="AJ39" s="460">
        <v>3</v>
      </c>
      <c r="AK39" s="480">
        <v>0.5</v>
      </c>
      <c r="AL39" s="480">
        <v>0.5</v>
      </c>
      <c r="AM39" s="454"/>
      <c r="AN39" s="460">
        <v>0</v>
      </c>
      <c r="AO39" s="460">
        <v>0</v>
      </c>
      <c r="AP39" s="460">
        <v>0</v>
      </c>
      <c r="AQ39" s="460">
        <v>0</v>
      </c>
      <c r="AR39" s="460">
        <v>0</v>
      </c>
      <c r="AS39" s="460">
        <v>0</v>
      </c>
      <c r="AT39" s="460">
        <v>0</v>
      </c>
      <c r="AU39" s="460">
        <v>0</v>
      </c>
      <c r="AV39" s="460">
        <v>0</v>
      </c>
      <c r="AW39" s="460">
        <v>0</v>
      </c>
      <c r="AX39" s="460">
        <v>0</v>
      </c>
      <c r="AY39" s="460">
        <v>0</v>
      </c>
      <c r="AZ39" s="454"/>
      <c r="BA39" s="460" t="s">
        <v>1145</v>
      </c>
      <c r="BB39" s="460"/>
      <c r="BC39" s="460" t="s">
        <v>1145</v>
      </c>
      <c r="BD39" s="460"/>
      <c r="BE39" s="460"/>
      <c r="BF39" s="460"/>
      <c r="BG39" s="455"/>
      <c r="BH39" s="454"/>
      <c r="BI39" s="460"/>
      <c r="BJ39" s="460" t="s">
        <v>4</v>
      </c>
      <c r="BK39" s="460"/>
      <c r="BL39" s="455"/>
      <c r="BM39" s="454" t="s">
        <v>1312</v>
      </c>
      <c r="BN39" s="454" t="s">
        <v>1121</v>
      </c>
    </row>
    <row r="40" spans="1:66" s="450" customFormat="1" ht="13" customHeight="1" x14ac:dyDescent="0.2">
      <c r="A40" s="451">
        <v>2523</v>
      </c>
      <c r="B40" s="452">
        <v>43843</v>
      </c>
      <c r="C40" s="453" t="s">
        <v>1138</v>
      </c>
      <c r="D40" s="454" t="s">
        <v>1109</v>
      </c>
      <c r="E40" s="452">
        <v>43831</v>
      </c>
      <c r="F40" s="455" t="s">
        <v>1152</v>
      </c>
      <c r="G40" s="454" t="s">
        <v>1283</v>
      </c>
      <c r="H40" s="461">
        <v>59.345454545454544</v>
      </c>
      <c r="I40" s="458" t="s">
        <v>1141</v>
      </c>
      <c r="J40" s="485">
        <v>1645</v>
      </c>
      <c r="K40" s="485">
        <v>3000</v>
      </c>
      <c r="L40" s="485">
        <v>3000</v>
      </c>
      <c r="M40" s="485">
        <v>3000</v>
      </c>
      <c r="N40" s="454"/>
      <c r="O40" s="461">
        <v>2.7727272727272725</v>
      </c>
      <c r="P40" s="461">
        <v>2.3636363636363633</v>
      </c>
      <c r="Q40" s="461">
        <v>0</v>
      </c>
      <c r="R40" s="461">
        <v>0</v>
      </c>
      <c r="S40" s="461">
        <v>2.0727272727272723</v>
      </c>
      <c r="T40" s="461"/>
      <c r="U40" s="461">
        <v>2.7727272727272725</v>
      </c>
      <c r="V40" s="461">
        <v>2.3636363636363633</v>
      </c>
      <c r="W40" s="461">
        <v>0</v>
      </c>
      <c r="X40" s="461">
        <v>0</v>
      </c>
      <c r="Y40" s="461">
        <v>2.0727272727272723</v>
      </c>
      <c r="Z40" s="461"/>
      <c r="AA40" s="461" t="s">
        <v>1142</v>
      </c>
      <c r="AB40" s="461" t="s">
        <v>1142</v>
      </c>
      <c r="AC40" s="461" t="s">
        <v>1142</v>
      </c>
      <c r="AD40" s="461" t="s">
        <v>1142</v>
      </c>
      <c r="AE40" s="461" t="s">
        <v>1142</v>
      </c>
      <c r="AF40" s="461"/>
      <c r="AG40" s="460" t="s">
        <v>1145</v>
      </c>
      <c r="AH40" s="460"/>
      <c r="AI40" s="460">
        <v>3</v>
      </c>
      <c r="AJ40" s="460">
        <v>3</v>
      </c>
      <c r="AK40" s="480">
        <v>0.5</v>
      </c>
      <c r="AL40" s="480">
        <v>0.5</v>
      </c>
      <c r="AM40" s="454"/>
      <c r="AN40" s="460">
        <v>0</v>
      </c>
      <c r="AO40" s="460">
        <v>0</v>
      </c>
      <c r="AP40" s="460">
        <v>0</v>
      </c>
      <c r="AQ40" s="460">
        <v>0</v>
      </c>
      <c r="AR40" s="460">
        <v>0</v>
      </c>
      <c r="AS40" s="460">
        <v>0</v>
      </c>
      <c r="AT40" s="460">
        <v>0</v>
      </c>
      <c r="AU40" s="460">
        <v>0</v>
      </c>
      <c r="AV40" s="460">
        <v>0</v>
      </c>
      <c r="AW40" s="460">
        <v>0</v>
      </c>
      <c r="AX40" s="460">
        <v>0</v>
      </c>
      <c r="AY40" s="460">
        <v>0</v>
      </c>
      <c r="AZ40" s="454"/>
      <c r="BA40" s="460" t="s">
        <v>1145</v>
      </c>
      <c r="BB40" s="460"/>
      <c r="BC40" s="460" t="s">
        <v>1145</v>
      </c>
      <c r="BD40" s="460"/>
      <c r="BE40" s="460"/>
      <c r="BF40" s="460"/>
      <c r="BG40" s="455"/>
      <c r="BH40" s="454"/>
      <c r="BI40" s="460"/>
      <c r="BJ40" s="460" t="s">
        <v>1146</v>
      </c>
      <c r="BK40" s="460">
        <v>1</v>
      </c>
      <c r="BL40" s="455" t="s">
        <v>1284</v>
      </c>
      <c r="BM40" s="454" t="s">
        <v>1314</v>
      </c>
      <c r="BN40" s="454" t="s">
        <v>1121</v>
      </c>
    </row>
    <row r="41" spans="1:66" s="450" customFormat="1" ht="13" customHeight="1" x14ac:dyDescent="0.2">
      <c r="A41" s="451"/>
      <c r="B41" s="452">
        <v>43846</v>
      </c>
      <c r="C41" s="453" t="s">
        <v>295</v>
      </c>
      <c r="D41" s="454" t="s">
        <v>1109</v>
      </c>
      <c r="E41" s="452">
        <v>43831</v>
      </c>
      <c r="F41" s="455" t="s">
        <v>1050</v>
      </c>
      <c r="G41" s="454" t="s">
        <v>418</v>
      </c>
      <c r="H41" s="461">
        <v>75</v>
      </c>
      <c r="I41" s="458" t="s">
        <v>296</v>
      </c>
      <c r="J41" s="485">
        <v>1645</v>
      </c>
      <c r="K41" s="485">
        <v>3000</v>
      </c>
      <c r="L41" s="485">
        <v>3000</v>
      </c>
      <c r="M41" s="485">
        <v>3000</v>
      </c>
      <c r="N41" s="454"/>
      <c r="O41" s="461">
        <v>2.9909090909090907</v>
      </c>
      <c r="P41" s="461">
        <v>2.6545454545454543</v>
      </c>
      <c r="Q41" s="461">
        <v>0</v>
      </c>
      <c r="R41" s="461">
        <v>0</v>
      </c>
      <c r="S41" s="461">
        <v>2.2181818181818178</v>
      </c>
      <c r="T41" s="461"/>
      <c r="U41" s="461">
        <v>2.9909090909090907</v>
      </c>
      <c r="V41" s="461">
        <v>2.6545454545454543</v>
      </c>
      <c r="W41" s="461">
        <v>0</v>
      </c>
      <c r="X41" s="461">
        <v>0</v>
      </c>
      <c r="Y41" s="461">
        <v>2.2181818181818178</v>
      </c>
      <c r="Z41" s="461"/>
      <c r="AA41" s="461"/>
      <c r="AB41" s="461"/>
      <c r="AC41" s="461"/>
      <c r="AD41" s="461"/>
      <c r="AE41" s="461"/>
      <c r="AF41" s="461"/>
      <c r="AG41" s="460" t="s">
        <v>1278</v>
      </c>
      <c r="AH41" s="460"/>
      <c r="AI41" s="460">
        <v>3</v>
      </c>
      <c r="AJ41" s="460">
        <v>3</v>
      </c>
      <c r="AK41" s="480">
        <v>0.5</v>
      </c>
      <c r="AL41" s="480">
        <v>0.5</v>
      </c>
      <c r="AM41" s="454"/>
      <c r="AN41" s="460">
        <v>0</v>
      </c>
      <c r="AO41" s="460">
        <v>16</v>
      </c>
      <c r="AP41" s="460">
        <v>0</v>
      </c>
      <c r="AQ41" s="460">
        <v>0</v>
      </c>
      <c r="AR41" s="460">
        <v>0</v>
      </c>
      <c r="AS41" s="460">
        <v>0</v>
      </c>
      <c r="AT41" s="460">
        <v>0</v>
      </c>
      <c r="AU41" s="460">
        <v>0</v>
      </c>
      <c r="AV41" s="460">
        <v>0</v>
      </c>
      <c r="AW41" s="460">
        <v>0</v>
      </c>
      <c r="AX41" s="460">
        <v>0</v>
      </c>
      <c r="AY41" s="460">
        <v>0</v>
      </c>
      <c r="AZ41" s="454"/>
      <c r="BA41" s="460" t="s">
        <v>1278</v>
      </c>
      <c r="BB41" s="460"/>
      <c r="BC41" s="460" t="s">
        <v>1278</v>
      </c>
      <c r="BD41" s="460"/>
      <c r="BE41" s="460"/>
      <c r="BF41" s="460"/>
      <c r="BG41" s="455"/>
      <c r="BH41" s="454"/>
      <c r="BI41" s="460"/>
      <c r="BJ41" s="460" t="s">
        <v>4</v>
      </c>
      <c r="BK41" s="460">
        <v>1</v>
      </c>
      <c r="BL41" s="455"/>
      <c r="BM41" s="454" t="s">
        <v>1324</v>
      </c>
      <c r="BN41" s="454" t="s">
        <v>1121</v>
      </c>
    </row>
    <row r="42" spans="1:66" s="450" customFormat="1" ht="13" customHeight="1" x14ac:dyDescent="0.2">
      <c r="A42" s="451"/>
      <c r="B42" s="452">
        <v>43847</v>
      </c>
      <c r="C42" s="453" t="s">
        <v>295</v>
      </c>
      <c r="D42" s="454" t="s">
        <v>1109</v>
      </c>
      <c r="E42" s="452">
        <v>43725</v>
      </c>
      <c r="F42" s="455" t="s">
        <v>1052</v>
      </c>
      <c r="G42" s="454" t="s">
        <v>1181</v>
      </c>
      <c r="H42" s="461">
        <v>60.454545454545446</v>
      </c>
      <c r="I42" s="458" t="s">
        <v>296</v>
      </c>
      <c r="J42" s="485">
        <v>1645</v>
      </c>
      <c r="K42" s="485">
        <v>3000</v>
      </c>
      <c r="L42" s="485">
        <v>3000</v>
      </c>
      <c r="M42" s="485">
        <v>3000</v>
      </c>
      <c r="N42" s="454"/>
      <c r="O42" s="461">
        <v>2.5999999999999996</v>
      </c>
      <c r="P42" s="461">
        <v>2.1</v>
      </c>
      <c r="Q42" s="461">
        <v>0</v>
      </c>
      <c r="R42" s="461">
        <v>0</v>
      </c>
      <c r="S42" s="461">
        <v>2</v>
      </c>
      <c r="T42" s="461"/>
      <c r="U42" s="461">
        <v>2.5999999999999996</v>
      </c>
      <c r="V42" s="461">
        <v>2.1</v>
      </c>
      <c r="W42" s="461">
        <v>0</v>
      </c>
      <c r="X42" s="461">
        <v>0</v>
      </c>
      <c r="Y42" s="461">
        <v>2</v>
      </c>
      <c r="Z42" s="461"/>
      <c r="AA42" s="461"/>
      <c r="AB42" s="461"/>
      <c r="AC42" s="461"/>
      <c r="AD42" s="461"/>
      <c r="AE42" s="461"/>
      <c r="AF42" s="461"/>
      <c r="AG42" s="460" t="s">
        <v>1278</v>
      </c>
      <c r="AH42" s="460"/>
      <c r="AI42" s="460">
        <v>3</v>
      </c>
      <c r="AJ42" s="460">
        <v>3</v>
      </c>
      <c r="AK42" s="480">
        <v>0.5</v>
      </c>
      <c r="AL42" s="480">
        <v>0.5</v>
      </c>
      <c r="AM42" s="454"/>
      <c r="AN42" s="460">
        <v>0</v>
      </c>
      <c r="AO42" s="460">
        <v>0</v>
      </c>
      <c r="AP42" s="460">
        <v>0</v>
      </c>
      <c r="AQ42" s="460">
        <v>20</v>
      </c>
      <c r="AR42" s="460">
        <v>0</v>
      </c>
      <c r="AS42" s="460">
        <v>0</v>
      </c>
      <c r="AT42" s="460">
        <v>0</v>
      </c>
      <c r="AU42" s="460">
        <v>0</v>
      </c>
      <c r="AV42" s="460">
        <v>0</v>
      </c>
      <c r="AW42" s="460">
        <v>0</v>
      </c>
      <c r="AX42" s="460">
        <v>0</v>
      </c>
      <c r="AY42" s="460">
        <v>0</v>
      </c>
      <c r="AZ42" s="454"/>
      <c r="BA42" s="460" t="s">
        <v>1278</v>
      </c>
      <c r="BB42" s="460"/>
      <c r="BC42" s="460" t="s">
        <v>1278</v>
      </c>
      <c r="BD42" s="460"/>
      <c r="BE42" s="460"/>
      <c r="BF42" s="460"/>
      <c r="BG42" s="455"/>
      <c r="BH42" s="454"/>
      <c r="BI42" s="460"/>
      <c r="BJ42" s="460" t="s">
        <v>4</v>
      </c>
      <c r="BK42" s="460"/>
      <c r="BL42" s="455"/>
      <c r="BM42" s="454" t="s">
        <v>1326</v>
      </c>
      <c r="BN42" s="454" t="s">
        <v>1121</v>
      </c>
    </row>
    <row r="43" spans="1:66" s="450" customFormat="1" ht="13" customHeight="1" x14ac:dyDescent="0.2">
      <c r="A43" s="451">
        <v>2115</v>
      </c>
      <c r="B43" s="452">
        <v>43843</v>
      </c>
      <c r="C43" s="453" t="s">
        <v>1138</v>
      </c>
      <c r="D43" s="454" t="s">
        <v>1109</v>
      </c>
      <c r="E43" s="452">
        <v>43831</v>
      </c>
      <c r="F43" s="455" t="s">
        <v>1156</v>
      </c>
      <c r="G43" s="454" t="s">
        <v>1157</v>
      </c>
      <c r="H43" s="461">
        <v>82.5</v>
      </c>
      <c r="I43" s="458" t="s">
        <v>1141</v>
      </c>
      <c r="J43" s="459">
        <v>3000</v>
      </c>
      <c r="K43" s="459">
        <v>3000</v>
      </c>
      <c r="L43" s="459">
        <v>3000</v>
      </c>
      <c r="M43" s="459">
        <v>3000</v>
      </c>
      <c r="N43" s="454"/>
      <c r="O43" s="461">
        <v>3.0272727272727269</v>
      </c>
      <c r="P43" s="482">
        <v>0</v>
      </c>
      <c r="Q43" s="461">
        <v>0</v>
      </c>
      <c r="R43" s="461">
        <v>0</v>
      </c>
      <c r="S43" s="461">
        <v>2.0272727272727269</v>
      </c>
      <c r="T43" s="461"/>
      <c r="U43" s="461">
        <v>3.0272727272727269</v>
      </c>
      <c r="V43" s="482">
        <v>0</v>
      </c>
      <c r="W43" s="461">
        <v>0</v>
      </c>
      <c r="X43" s="461">
        <v>0</v>
      </c>
      <c r="Y43" s="461">
        <v>2.0272727272727269</v>
      </c>
      <c r="Z43" s="461"/>
      <c r="AA43" s="461" t="s">
        <v>1142</v>
      </c>
      <c r="AB43" s="461" t="s">
        <v>1142</v>
      </c>
      <c r="AC43" s="461" t="s">
        <v>1142</v>
      </c>
      <c r="AD43" s="461" t="s">
        <v>1142</v>
      </c>
      <c r="AE43" s="461" t="s">
        <v>1142</v>
      </c>
      <c r="AF43" s="461"/>
      <c r="AG43" s="460" t="s">
        <v>1145</v>
      </c>
      <c r="AH43" s="454"/>
      <c r="AI43" s="460">
        <v>3</v>
      </c>
      <c r="AJ43" s="460">
        <v>3</v>
      </c>
      <c r="AK43" s="480">
        <v>0.5</v>
      </c>
      <c r="AL43" s="480">
        <v>0.5</v>
      </c>
      <c r="AM43" s="454"/>
      <c r="AN43" s="460">
        <v>23</v>
      </c>
      <c r="AO43" s="460">
        <v>0</v>
      </c>
      <c r="AP43" s="460">
        <v>0</v>
      </c>
      <c r="AQ43" s="460">
        <v>0</v>
      </c>
      <c r="AR43" s="460">
        <v>0</v>
      </c>
      <c r="AS43" s="460">
        <v>0</v>
      </c>
      <c r="AT43" s="460">
        <v>0</v>
      </c>
      <c r="AU43" s="460">
        <v>0</v>
      </c>
      <c r="AV43" s="460">
        <v>0</v>
      </c>
      <c r="AW43" s="460">
        <v>0</v>
      </c>
      <c r="AX43" s="460">
        <v>0</v>
      </c>
      <c r="AY43" s="460">
        <v>0</v>
      </c>
      <c r="AZ43" s="472">
        <v>12</v>
      </c>
      <c r="BA43" s="460" t="s">
        <v>1145</v>
      </c>
      <c r="BB43" s="460">
        <v>12</v>
      </c>
      <c r="BC43" s="460" t="s">
        <v>1145</v>
      </c>
      <c r="BD43" s="460"/>
      <c r="BE43" s="460">
        <v>12</v>
      </c>
      <c r="BF43" s="460"/>
      <c r="BG43" s="455"/>
      <c r="BH43" s="454"/>
      <c r="BI43" s="460"/>
      <c r="BJ43" s="460" t="s">
        <v>1146</v>
      </c>
      <c r="BK43" s="460"/>
      <c r="BL43" s="455"/>
      <c r="BM43" s="484" t="s">
        <v>1316</v>
      </c>
      <c r="BN43" s="454" t="s">
        <v>408</v>
      </c>
    </row>
    <row r="44" spans="1:66" s="450" customFormat="1" ht="13" customHeight="1" x14ac:dyDescent="0.2">
      <c r="A44" s="451">
        <v>1937</v>
      </c>
      <c r="B44" s="452">
        <v>43843</v>
      </c>
      <c r="C44" s="453" t="s">
        <v>1138</v>
      </c>
      <c r="D44" s="454" t="s">
        <v>1109</v>
      </c>
      <c r="E44" s="452">
        <v>43831</v>
      </c>
      <c r="F44" s="455" t="s">
        <v>1159</v>
      </c>
      <c r="G44" s="454" t="s">
        <v>1105</v>
      </c>
      <c r="H44" s="461">
        <v>70</v>
      </c>
      <c r="I44" s="458" t="s">
        <v>1141</v>
      </c>
      <c r="J44" s="485">
        <v>1645</v>
      </c>
      <c r="K44" s="485">
        <v>3000</v>
      </c>
      <c r="L44" s="485">
        <v>3000</v>
      </c>
      <c r="M44" s="485">
        <v>3000</v>
      </c>
      <c r="N44" s="454"/>
      <c r="O44" s="461">
        <v>2.4</v>
      </c>
      <c r="P44" s="461">
        <v>2.04</v>
      </c>
      <c r="Q44" s="461">
        <v>0</v>
      </c>
      <c r="R44" s="461">
        <v>0</v>
      </c>
      <c r="S44" s="461">
        <v>1.8</v>
      </c>
      <c r="T44" s="461"/>
      <c r="U44" s="461">
        <v>2.4</v>
      </c>
      <c r="V44" s="461">
        <v>2.04</v>
      </c>
      <c r="W44" s="461">
        <v>0</v>
      </c>
      <c r="X44" s="461">
        <v>0</v>
      </c>
      <c r="Y44" s="461">
        <v>1.8</v>
      </c>
      <c r="Z44" s="461"/>
      <c r="AA44" s="461" t="s">
        <v>1142</v>
      </c>
      <c r="AB44" s="461" t="s">
        <v>1142</v>
      </c>
      <c r="AC44" s="461" t="s">
        <v>1142</v>
      </c>
      <c r="AD44" s="461" t="s">
        <v>1142</v>
      </c>
      <c r="AE44" s="461" t="s">
        <v>1142</v>
      </c>
      <c r="AF44" s="461"/>
      <c r="AG44" s="460" t="s">
        <v>1145</v>
      </c>
      <c r="AH44" s="460"/>
      <c r="AI44" s="460">
        <v>3</v>
      </c>
      <c r="AJ44" s="460">
        <v>3</v>
      </c>
      <c r="AK44" s="480">
        <v>0.5</v>
      </c>
      <c r="AL44" s="480">
        <v>0.5</v>
      </c>
      <c r="AM44" s="454"/>
      <c r="AN44" s="460">
        <v>0</v>
      </c>
      <c r="AO44" s="460">
        <v>0</v>
      </c>
      <c r="AP44" s="460">
        <v>3</v>
      </c>
      <c r="AQ44" s="460">
        <v>0</v>
      </c>
      <c r="AR44" s="460">
        <v>0</v>
      </c>
      <c r="AS44" s="460">
        <v>0</v>
      </c>
      <c r="AT44" s="460">
        <v>0</v>
      </c>
      <c r="AU44" s="460">
        <v>0</v>
      </c>
      <c r="AV44" s="460">
        <v>0</v>
      </c>
      <c r="AW44" s="460">
        <v>0</v>
      </c>
      <c r="AX44" s="460">
        <v>0</v>
      </c>
      <c r="AY44" s="460">
        <v>0</v>
      </c>
      <c r="AZ44" s="454"/>
      <c r="BA44" s="460" t="s">
        <v>1145</v>
      </c>
      <c r="BB44" s="460"/>
      <c r="BC44" s="460" t="s">
        <v>1145</v>
      </c>
      <c r="BD44" s="460"/>
      <c r="BE44" s="460"/>
      <c r="BF44" s="460"/>
      <c r="BG44" s="460"/>
      <c r="BH44" s="460"/>
      <c r="BI44" s="460"/>
      <c r="BJ44" s="460" t="s">
        <v>1146</v>
      </c>
      <c r="BK44" s="460"/>
      <c r="BL44" s="455"/>
      <c r="BM44" s="484" t="s">
        <v>1318</v>
      </c>
      <c r="BN44" s="454" t="s">
        <v>408</v>
      </c>
    </row>
    <row r="45" spans="1:66" s="450" customFormat="1" ht="13" customHeight="1" x14ac:dyDescent="0.2">
      <c r="A45" s="451">
        <v>314</v>
      </c>
      <c r="B45" s="452">
        <v>43843</v>
      </c>
      <c r="C45" s="453" t="s">
        <v>1138</v>
      </c>
      <c r="D45" s="454" t="s">
        <v>1109</v>
      </c>
      <c r="E45" s="452">
        <v>43831</v>
      </c>
      <c r="F45" s="454" t="s">
        <v>1160</v>
      </c>
      <c r="G45" s="454" t="s">
        <v>1161</v>
      </c>
      <c r="H45" s="461">
        <v>77.918181818181807</v>
      </c>
      <c r="I45" s="458" t="s">
        <v>1141</v>
      </c>
      <c r="J45" s="485">
        <v>1645</v>
      </c>
      <c r="K45" s="485">
        <v>3000</v>
      </c>
      <c r="L45" s="485">
        <v>3000</v>
      </c>
      <c r="M45" s="485">
        <v>3000</v>
      </c>
      <c r="N45" s="454"/>
      <c r="O45" s="461">
        <v>2.3909090909090907</v>
      </c>
      <c r="P45" s="461">
        <v>2.0727272727272723</v>
      </c>
      <c r="Q45" s="461">
        <v>0</v>
      </c>
      <c r="R45" s="461">
        <v>0</v>
      </c>
      <c r="S45" s="461">
        <v>1.8363636363636362</v>
      </c>
      <c r="T45" s="461"/>
      <c r="U45" s="461">
        <v>2.1545454545454543</v>
      </c>
      <c r="V45" s="461">
        <v>1.8545454545454545</v>
      </c>
      <c r="W45" s="461">
        <v>0</v>
      </c>
      <c r="X45" s="461">
        <v>0</v>
      </c>
      <c r="Y45" s="461">
        <v>1.6363636363636362</v>
      </c>
      <c r="Z45" s="461"/>
      <c r="AA45" s="461" t="s">
        <v>1142</v>
      </c>
      <c r="AB45" s="461" t="s">
        <v>1142</v>
      </c>
      <c r="AC45" s="461" t="s">
        <v>1142</v>
      </c>
      <c r="AD45" s="461" t="s">
        <v>1142</v>
      </c>
      <c r="AE45" s="461" t="s">
        <v>1142</v>
      </c>
      <c r="AF45" s="461"/>
      <c r="AG45" s="460" t="s">
        <v>1143</v>
      </c>
      <c r="AH45" s="460" t="s">
        <v>1144</v>
      </c>
      <c r="AI45" s="460">
        <v>2</v>
      </c>
      <c r="AJ45" s="460">
        <v>4</v>
      </c>
      <c r="AK45" s="483">
        <v>0.33329999999999999</v>
      </c>
      <c r="AL45" s="483">
        <v>0.66659999999999997</v>
      </c>
      <c r="AM45" s="454" t="s">
        <v>1124</v>
      </c>
      <c r="AN45" s="460">
        <v>0</v>
      </c>
      <c r="AO45" s="460">
        <v>0</v>
      </c>
      <c r="AP45" s="460">
        <v>0</v>
      </c>
      <c r="AQ45" s="460">
        <v>0</v>
      </c>
      <c r="AR45" s="460">
        <v>0</v>
      </c>
      <c r="AS45" s="460">
        <v>0</v>
      </c>
      <c r="AT45" s="460">
        <v>0</v>
      </c>
      <c r="AU45" s="460">
        <v>0</v>
      </c>
      <c r="AV45" s="460">
        <v>0</v>
      </c>
      <c r="AW45" s="460">
        <v>0</v>
      </c>
      <c r="AX45" s="460">
        <v>0</v>
      </c>
      <c r="AY45" s="460">
        <v>0</v>
      </c>
      <c r="AZ45" s="454"/>
      <c r="BA45" s="460" t="s">
        <v>1145</v>
      </c>
      <c r="BB45" s="460"/>
      <c r="BC45" s="460" t="s">
        <v>1145</v>
      </c>
      <c r="BD45" s="460"/>
      <c r="BE45" s="460"/>
      <c r="BF45" s="460"/>
      <c r="BG45" s="455" t="s">
        <v>1162</v>
      </c>
      <c r="BH45" s="454" t="s">
        <v>1163</v>
      </c>
      <c r="BI45" s="460">
        <v>50</v>
      </c>
      <c r="BJ45" s="460" t="s">
        <v>1164</v>
      </c>
      <c r="BK45" s="460"/>
      <c r="BL45" s="455"/>
      <c r="BM45" s="484" t="s">
        <v>1319</v>
      </c>
      <c r="BN45" s="454" t="s">
        <v>408</v>
      </c>
    </row>
    <row r="46" spans="1:66" s="450" customFormat="1" ht="13" customHeight="1" x14ac:dyDescent="0.2">
      <c r="A46" s="451">
        <v>2259</v>
      </c>
      <c r="B46" s="452">
        <v>43843</v>
      </c>
      <c r="C46" s="453" t="s">
        <v>1138</v>
      </c>
      <c r="D46" s="454" t="s">
        <v>1109</v>
      </c>
      <c r="E46" s="452">
        <v>43831</v>
      </c>
      <c r="F46" s="455" t="s">
        <v>1166</v>
      </c>
      <c r="G46" s="454" t="s">
        <v>1167</v>
      </c>
      <c r="H46" s="461">
        <v>69</v>
      </c>
      <c r="I46" s="458" t="s">
        <v>1141</v>
      </c>
      <c r="J46" s="459">
        <v>6000</v>
      </c>
      <c r="K46" s="459">
        <v>12000</v>
      </c>
      <c r="L46" s="459">
        <v>12000</v>
      </c>
      <c r="M46" s="459">
        <v>12000</v>
      </c>
      <c r="N46" s="454"/>
      <c r="O46" s="461">
        <v>2.2000000000000002</v>
      </c>
      <c r="P46" s="461">
        <v>2.1</v>
      </c>
      <c r="Q46" s="461">
        <v>0</v>
      </c>
      <c r="R46" s="461">
        <v>0</v>
      </c>
      <c r="S46" s="461">
        <v>1.8</v>
      </c>
      <c r="T46" s="461"/>
      <c r="U46" s="461">
        <v>2.2000000000000002</v>
      </c>
      <c r="V46" s="461">
        <v>2.1</v>
      </c>
      <c r="W46" s="461">
        <v>0</v>
      </c>
      <c r="X46" s="461">
        <v>0</v>
      </c>
      <c r="Y46" s="461">
        <v>1.8</v>
      </c>
      <c r="Z46" s="461"/>
      <c r="AA46" s="461" t="s">
        <v>1142</v>
      </c>
      <c r="AB46" s="461" t="s">
        <v>1142</v>
      </c>
      <c r="AC46" s="461" t="s">
        <v>1142</v>
      </c>
      <c r="AD46" s="461" t="s">
        <v>1142</v>
      </c>
      <c r="AE46" s="461" t="s">
        <v>1142</v>
      </c>
      <c r="AF46" s="461"/>
      <c r="AG46" s="460" t="s">
        <v>1145</v>
      </c>
      <c r="AH46" s="460"/>
      <c r="AI46" s="460">
        <v>3</v>
      </c>
      <c r="AJ46" s="460">
        <v>3</v>
      </c>
      <c r="AK46" s="480">
        <v>0.5</v>
      </c>
      <c r="AL46" s="480">
        <v>0.5</v>
      </c>
      <c r="AM46" s="454"/>
      <c r="AN46" s="460">
        <v>10</v>
      </c>
      <c r="AO46" s="460">
        <v>0</v>
      </c>
      <c r="AP46" s="460">
        <v>0</v>
      </c>
      <c r="AQ46" s="460">
        <v>0</v>
      </c>
      <c r="AR46" s="460">
        <v>0</v>
      </c>
      <c r="AS46" s="460">
        <v>0</v>
      </c>
      <c r="AT46" s="460">
        <v>0</v>
      </c>
      <c r="AU46" s="460">
        <v>0</v>
      </c>
      <c r="AV46" s="460">
        <v>0</v>
      </c>
      <c r="AW46" s="460">
        <v>0</v>
      </c>
      <c r="AX46" s="460">
        <v>0</v>
      </c>
      <c r="AY46" s="460">
        <v>0</v>
      </c>
      <c r="AZ46" s="454"/>
      <c r="BA46" s="460" t="s">
        <v>1145</v>
      </c>
      <c r="BB46" s="460">
        <v>12</v>
      </c>
      <c r="BC46" s="460" t="s">
        <v>1145</v>
      </c>
      <c r="BD46" s="460"/>
      <c r="BE46" s="460"/>
      <c r="BF46" s="460"/>
      <c r="BG46" s="455"/>
      <c r="BH46" s="454"/>
      <c r="BI46" s="460"/>
      <c r="BJ46" s="460" t="s">
        <v>1146</v>
      </c>
      <c r="BK46" s="460"/>
      <c r="BL46" s="455"/>
      <c r="BM46" s="484" t="s">
        <v>1320</v>
      </c>
      <c r="BN46" s="454" t="s">
        <v>408</v>
      </c>
    </row>
    <row r="47" spans="1:66" s="450" customFormat="1" ht="13" customHeight="1" x14ac:dyDescent="0.2">
      <c r="A47" s="451">
        <v>2396</v>
      </c>
      <c r="B47" s="452">
        <v>43843</v>
      </c>
      <c r="C47" s="453" t="s">
        <v>1138</v>
      </c>
      <c r="D47" s="454" t="s">
        <v>1109</v>
      </c>
      <c r="E47" s="465">
        <v>43831</v>
      </c>
      <c r="F47" s="455" t="s">
        <v>1168</v>
      </c>
      <c r="G47" s="454" t="s">
        <v>1297</v>
      </c>
      <c r="H47" s="461">
        <v>70.400000000000006</v>
      </c>
      <c r="I47" s="458" t="s">
        <v>1141</v>
      </c>
      <c r="J47" s="485">
        <v>1645</v>
      </c>
      <c r="K47" s="485">
        <v>3000</v>
      </c>
      <c r="L47" s="485">
        <v>3000</v>
      </c>
      <c r="M47" s="485">
        <v>3000</v>
      </c>
      <c r="N47" s="454"/>
      <c r="O47" s="461">
        <v>2.6545454545454543</v>
      </c>
      <c r="P47" s="461">
        <v>2.4</v>
      </c>
      <c r="Q47" s="461">
        <v>0</v>
      </c>
      <c r="R47" s="461">
        <v>0</v>
      </c>
      <c r="S47" s="461">
        <v>1.8999999999999997</v>
      </c>
      <c r="T47" s="461"/>
      <c r="U47" s="461">
        <v>2.6545454545454543</v>
      </c>
      <c r="V47" s="461">
        <v>2.4</v>
      </c>
      <c r="W47" s="461">
        <v>0</v>
      </c>
      <c r="X47" s="461">
        <v>0</v>
      </c>
      <c r="Y47" s="461">
        <v>1.8999999999999997</v>
      </c>
      <c r="Z47" s="461"/>
      <c r="AA47" s="461" t="s">
        <v>1142</v>
      </c>
      <c r="AB47" s="461" t="s">
        <v>1142</v>
      </c>
      <c r="AC47" s="461" t="s">
        <v>1142</v>
      </c>
      <c r="AD47" s="461" t="s">
        <v>1142</v>
      </c>
      <c r="AE47" s="461" t="s">
        <v>1142</v>
      </c>
      <c r="AF47" s="461"/>
      <c r="AG47" s="460" t="s">
        <v>1145</v>
      </c>
      <c r="AH47" s="460"/>
      <c r="AI47" s="460">
        <v>3</v>
      </c>
      <c r="AJ47" s="460">
        <v>3</v>
      </c>
      <c r="AK47" s="480">
        <v>0.5</v>
      </c>
      <c r="AL47" s="480">
        <v>0.5</v>
      </c>
      <c r="AM47" s="454"/>
      <c r="AN47" s="460">
        <v>0</v>
      </c>
      <c r="AO47" s="460">
        <v>0</v>
      </c>
      <c r="AP47" s="460">
        <v>10</v>
      </c>
      <c r="AQ47" s="460">
        <v>0</v>
      </c>
      <c r="AR47" s="460">
        <v>0</v>
      </c>
      <c r="AS47" s="460">
        <v>0</v>
      </c>
      <c r="AT47" s="460">
        <v>0</v>
      </c>
      <c r="AU47" s="460">
        <v>0</v>
      </c>
      <c r="AV47" s="460">
        <v>0</v>
      </c>
      <c r="AW47" s="460">
        <v>0</v>
      </c>
      <c r="AX47" s="460">
        <v>0</v>
      </c>
      <c r="AY47" s="460">
        <v>0</v>
      </c>
      <c r="AZ47" s="460"/>
      <c r="BA47" s="460" t="s">
        <v>1145</v>
      </c>
      <c r="BB47" s="460"/>
      <c r="BC47" s="460" t="s">
        <v>1145</v>
      </c>
      <c r="BD47" s="460"/>
      <c r="BE47" s="460"/>
      <c r="BF47" s="460"/>
      <c r="BG47" s="455"/>
      <c r="BH47" s="454"/>
      <c r="BI47" s="460"/>
      <c r="BJ47" s="460" t="s">
        <v>1146</v>
      </c>
      <c r="BK47" s="460"/>
      <c r="BL47" s="455"/>
      <c r="BM47" s="484" t="s">
        <v>1322</v>
      </c>
      <c r="BN47" s="454" t="s">
        <v>408</v>
      </c>
    </row>
    <row r="48" spans="1:66" s="450" customFormat="1" ht="13" customHeight="1" x14ac:dyDescent="0.2">
      <c r="A48" s="451">
        <v>784</v>
      </c>
      <c r="B48" s="452">
        <v>43843</v>
      </c>
      <c r="C48" s="453" t="s">
        <v>1138</v>
      </c>
      <c r="D48" s="454" t="s">
        <v>1109</v>
      </c>
      <c r="E48" s="465">
        <v>43831</v>
      </c>
      <c r="F48" s="455" t="s">
        <v>1169</v>
      </c>
      <c r="G48" s="454" t="s">
        <v>1170</v>
      </c>
      <c r="H48" s="461">
        <v>81.181818181818173</v>
      </c>
      <c r="I48" s="458" t="s">
        <v>1141</v>
      </c>
      <c r="J48" s="485">
        <v>1645</v>
      </c>
      <c r="K48" s="485">
        <v>3000</v>
      </c>
      <c r="L48" s="485">
        <v>3000</v>
      </c>
      <c r="M48" s="485">
        <v>3000</v>
      </c>
      <c r="N48" s="454"/>
      <c r="O48" s="461">
        <v>2.7</v>
      </c>
      <c r="P48" s="461">
        <v>2.1909090909090909</v>
      </c>
      <c r="Q48" s="461">
        <v>0</v>
      </c>
      <c r="R48" s="461">
        <v>0</v>
      </c>
      <c r="S48" s="461">
        <v>1.8636363636363633</v>
      </c>
      <c r="T48" s="461"/>
      <c r="U48" s="461">
        <v>2.7</v>
      </c>
      <c r="V48" s="461">
        <v>2.1909090909090909</v>
      </c>
      <c r="W48" s="461">
        <v>0</v>
      </c>
      <c r="X48" s="461">
        <v>0</v>
      </c>
      <c r="Y48" s="461">
        <v>1.8636363636363633</v>
      </c>
      <c r="Z48" s="461"/>
      <c r="AA48" s="461" t="s">
        <v>1142</v>
      </c>
      <c r="AB48" s="461" t="s">
        <v>1142</v>
      </c>
      <c r="AC48" s="461" t="s">
        <v>1142</v>
      </c>
      <c r="AD48" s="461" t="s">
        <v>1142</v>
      </c>
      <c r="AE48" s="461" t="s">
        <v>1142</v>
      </c>
      <c r="AF48" s="461"/>
      <c r="AG48" s="460" t="s">
        <v>1145</v>
      </c>
      <c r="AH48" s="460"/>
      <c r="AI48" s="460">
        <v>3</v>
      </c>
      <c r="AJ48" s="460">
        <v>3</v>
      </c>
      <c r="AK48" s="480">
        <v>0.5</v>
      </c>
      <c r="AL48" s="480">
        <v>0.5</v>
      </c>
      <c r="AM48" s="454"/>
      <c r="AN48" s="460">
        <v>0</v>
      </c>
      <c r="AO48" s="460">
        <v>0</v>
      </c>
      <c r="AP48" s="460">
        <v>12</v>
      </c>
      <c r="AQ48" s="460">
        <v>0</v>
      </c>
      <c r="AR48" s="460">
        <v>0</v>
      </c>
      <c r="AS48" s="460">
        <v>0</v>
      </c>
      <c r="AT48" s="460">
        <v>0</v>
      </c>
      <c r="AU48" s="460">
        <v>0</v>
      </c>
      <c r="AV48" s="460">
        <v>0</v>
      </c>
      <c r="AW48" s="460">
        <v>0</v>
      </c>
      <c r="AX48" s="460">
        <v>0</v>
      </c>
      <c r="AY48" s="460">
        <v>0</v>
      </c>
      <c r="AZ48" s="454"/>
      <c r="BA48" s="460" t="s">
        <v>1145</v>
      </c>
      <c r="BB48" s="460"/>
      <c r="BC48" s="460" t="s">
        <v>1145</v>
      </c>
      <c r="BD48" s="460"/>
      <c r="BE48" s="460"/>
      <c r="BF48" s="460"/>
      <c r="BG48" s="455"/>
      <c r="BH48" s="454"/>
      <c r="BI48" s="460"/>
      <c r="BJ48" s="460" t="s">
        <v>1164</v>
      </c>
      <c r="BK48" s="460"/>
      <c r="BL48" s="455"/>
      <c r="BM48" s="484" t="s">
        <v>1323</v>
      </c>
      <c r="BN48" s="454" t="s">
        <v>408</v>
      </c>
    </row>
    <row r="49" spans="1:66" s="450" customFormat="1" ht="13" customHeight="1" x14ac:dyDescent="0.2">
      <c r="A49" s="451">
        <v>2222</v>
      </c>
      <c r="B49" s="452">
        <v>43843</v>
      </c>
      <c r="C49" s="453" t="s">
        <v>1138</v>
      </c>
      <c r="D49" s="454" t="s">
        <v>1109</v>
      </c>
      <c r="E49" s="465">
        <v>43647</v>
      </c>
      <c r="F49" s="454" t="s">
        <v>1173</v>
      </c>
      <c r="G49" s="454" t="s">
        <v>1174</v>
      </c>
      <c r="H49" s="461">
        <v>65</v>
      </c>
      <c r="I49" s="467" t="s">
        <v>1141</v>
      </c>
      <c r="J49" s="485">
        <v>1645</v>
      </c>
      <c r="K49" s="485">
        <v>3000</v>
      </c>
      <c r="L49" s="485">
        <v>3000</v>
      </c>
      <c r="M49" s="485">
        <v>3000</v>
      </c>
      <c r="N49" s="468"/>
      <c r="O49" s="461">
        <v>2.3272727272727272</v>
      </c>
      <c r="P49" s="461">
        <v>2.0181818181818181</v>
      </c>
      <c r="Q49" s="461">
        <v>0</v>
      </c>
      <c r="R49" s="461">
        <v>0</v>
      </c>
      <c r="S49" s="461">
        <v>1.718181818181818</v>
      </c>
      <c r="T49" s="456"/>
      <c r="U49" s="461">
        <v>2.3272727272727272</v>
      </c>
      <c r="V49" s="461">
        <v>2.0181818181818181</v>
      </c>
      <c r="W49" s="461">
        <v>0</v>
      </c>
      <c r="X49" s="461">
        <v>0</v>
      </c>
      <c r="Y49" s="461">
        <v>1.718181818181818</v>
      </c>
      <c r="Z49" s="456"/>
      <c r="AA49" s="461" t="s">
        <v>1142</v>
      </c>
      <c r="AB49" s="461" t="s">
        <v>1142</v>
      </c>
      <c r="AC49" s="461" t="s">
        <v>1142</v>
      </c>
      <c r="AD49" s="461" t="s">
        <v>1142</v>
      </c>
      <c r="AE49" s="461" t="s">
        <v>1142</v>
      </c>
      <c r="AF49" s="456"/>
      <c r="AG49" s="470" t="s">
        <v>1145</v>
      </c>
      <c r="AH49" s="470"/>
      <c r="AI49" s="460">
        <v>3</v>
      </c>
      <c r="AJ49" s="460">
        <v>3</v>
      </c>
      <c r="AK49" s="480">
        <v>0.5</v>
      </c>
      <c r="AL49" s="480">
        <v>0.5</v>
      </c>
      <c r="AM49" s="454"/>
      <c r="AN49" s="460">
        <v>0</v>
      </c>
      <c r="AO49" s="460">
        <v>0</v>
      </c>
      <c r="AP49" s="460">
        <v>5</v>
      </c>
      <c r="AQ49" s="460">
        <v>0</v>
      </c>
      <c r="AR49" s="460">
        <v>0</v>
      </c>
      <c r="AS49" s="460">
        <v>0</v>
      </c>
      <c r="AT49" s="460">
        <v>0</v>
      </c>
      <c r="AU49" s="460">
        <v>0</v>
      </c>
      <c r="AV49" s="460">
        <v>0</v>
      </c>
      <c r="AW49" s="460">
        <v>0</v>
      </c>
      <c r="AX49" s="460">
        <v>0</v>
      </c>
      <c r="AY49" s="460">
        <v>0</v>
      </c>
      <c r="AZ49" s="460"/>
      <c r="BA49" s="460" t="s">
        <v>1145</v>
      </c>
      <c r="BB49" s="460">
        <v>12</v>
      </c>
      <c r="BC49" s="460" t="s">
        <v>1145</v>
      </c>
      <c r="BD49" s="460"/>
      <c r="BE49" s="460"/>
      <c r="BF49" s="460"/>
      <c r="BG49" s="455"/>
      <c r="BH49" s="454"/>
      <c r="BI49" s="460"/>
      <c r="BJ49" s="460" t="s">
        <v>1164</v>
      </c>
      <c r="BK49" s="460"/>
      <c r="BL49" s="455"/>
      <c r="BM49" s="454" t="s">
        <v>1196</v>
      </c>
      <c r="BN49" s="454" t="s">
        <v>368</v>
      </c>
    </row>
    <row r="50" spans="1:66" s="450" customFormat="1" ht="13" customHeight="1" x14ac:dyDescent="0.2">
      <c r="A50" s="451">
        <v>1914</v>
      </c>
      <c r="B50" s="452">
        <v>43843</v>
      </c>
      <c r="C50" s="453" t="s">
        <v>1138</v>
      </c>
      <c r="D50" s="454" t="s">
        <v>1109</v>
      </c>
      <c r="E50" s="452">
        <v>43831</v>
      </c>
      <c r="F50" s="455" t="s">
        <v>987</v>
      </c>
      <c r="G50" s="454" t="s">
        <v>1127</v>
      </c>
      <c r="H50" s="461">
        <v>54.536000000000001</v>
      </c>
      <c r="I50" s="458" t="s">
        <v>1141</v>
      </c>
      <c r="J50" s="485">
        <v>1645</v>
      </c>
      <c r="K50" s="485">
        <v>3000</v>
      </c>
      <c r="L50" s="485">
        <v>3000</v>
      </c>
      <c r="M50" s="485">
        <v>3000</v>
      </c>
      <c r="N50" s="454"/>
      <c r="O50" s="461">
        <v>2.5499999999999998</v>
      </c>
      <c r="P50" s="461">
        <v>2.1760000000000002</v>
      </c>
      <c r="Q50" s="461">
        <v>0</v>
      </c>
      <c r="R50" s="461">
        <v>0</v>
      </c>
      <c r="S50" s="461">
        <v>1.9040000000000001</v>
      </c>
      <c r="T50" s="461"/>
      <c r="U50" s="461">
        <v>2.5499999999999998</v>
      </c>
      <c r="V50" s="461">
        <v>2.1760000000000002</v>
      </c>
      <c r="W50" s="461">
        <v>0</v>
      </c>
      <c r="X50" s="461">
        <v>0</v>
      </c>
      <c r="Y50" s="461">
        <v>1.9040000000000001</v>
      </c>
      <c r="Z50" s="461"/>
      <c r="AA50" s="461" t="s">
        <v>1142</v>
      </c>
      <c r="AB50" s="461" t="s">
        <v>1142</v>
      </c>
      <c r="AC50" s="461" t="s">
        <v>1142</v>
      </c>
      <c r="AD50" s="461" t="s">
        <v>1142</v>
      </c>
      <c r="AE50" s="461" t="s">
        <v>1142</v>
      </c>
      <c r="AF50" s="461"/>
      <c r="AG50" s="460" t="s">
        <v>1145</v>
      </c>
      <c r="AH50" s="460"/>
      <c r="AI50" s="460">
        <v>3</v>
      </c>
      <c r="AJ50" s="460">
        <v>3</v>
      </c>
      <c r="AK50" s="480">
        <v>0.5</v>
      </c>
      <c r="AL50" s="480">
        <v>0.5</v>
      </c>
      <c r="AM50" s="454"/>
      <c r="AN50" s="460">
        <v>0</v>
      </c>
      <c r="AO50" s="460">
        <v>0</v>
      </c>
      <c r="AP50" s="460">
        <v>0</v>
      </c>
      <c r="AQ50" s="460">
        <v>0</v>
      </c>
      <c r="AR50" s="460">
        <v>0</v>
      </c>
      <c r="AS50" s="460">
        <v>0</v>
      </c>
      <c r="AT50" s="460">
        <v>0</v>
      </c>
      <c r="AU50" s="460">
        <v>0</v>
      </c>
      <c r="AV50" s="460">
        <v>0</v>
      </c>
      <c r="AW50" s="460">
        <v>0</v>
      </c>
      <c r="AX50" s="460">
        <v>0</v>
      </c>
      <c r="AY50" s="460">
        <v>0</v>
      </c>
      <c r="AZ50" s="460"/>
      <c r="BA50" s="460" t="s">
        <v>1145</v>
      </c>
      <c r="BB50" s="460"/>
      <c r="BC50" s="460" t="s">
        <v>1145</v>
      </c>
      <c r="BD50" s="460"/>
      <c r="BE50" s="460"/>
      <c r="BF50" s="460"/>
      <c r="BG50" s="455"/>
      <c r="BH50" s="454"/>
      <c r="BI50" s="460"/>
      <c r="BJ50" s="460" t="s">
        <v>1146</v>
      </c>
      <c r="BK50" s="460">
        <v>1</v>
      </c>
      <c r="BL50" s="455"/>
      <c r="BM50" s="454" t="s">
        <v>1313</v>
      </c>
      <c r="BN50" s="454" t="s">
        <v>408</v>
      </c>
    </row>
    <row r="51" spans="1:66" s="450" customFormat="1" ht="13" customHeight="1" x14ac:dyDescent="0.2">
      <c r="A51" s="451">
        <v>1684</v>
      </c>
      <c r="B51" s="452">
        <v>43843</v>
      </c>
      <c r="C51" s="453" t="s">
        <v>295</v>
      </c>
      <c r="D51" s="454" t="s">
        <v>1109</v>
      </c>
      <c r="E51" s="452">
        <v>43801</v>
      </c>
      <c r="F51" s="455" t="s">
        <v>1106</v>
      </c>
      <c r="G51" s="454" t="s">
        <v>2</v>
      </c>
      <c r="H51" s="461">
        <v>57.999999999999993</v>
      </c>
      <c r="I51" s="458" t="s">
        <v>296</v>
      </c>
      <c r="J51" s="459">
        <v>3000</v>
      </c>
      <c r="K51" s="459">
        <v>3000</v>
      </c>
      <c r="L51" s="459">
        <v>3000</v>
      </c>
      <c r="M51" s="459">
        <v>3000</v>
      </c>
      <c r="N51" s="454"/>
      <c r="O51" s="461">
        <v>2.3909090909090907</v>
      </c>
      <c r="P51" s="482">
        <v>0</v>
      </c>
      <c r="Q51" s="461">
        <v>0</v>
      </c>
      <c r="R51" s="461">
        <v>0</v>
      </c>
      <c r="S51" s="461">
        <v>1.6272727272727272</v>
      </c>
      <c r="T51" s="461"/>
      <c r="U51" s="461">
        <v>2.3909090909090907</v>
      </c>
      <c r="V51" s="482">
        <v>0</v>
      </c>
      <c r="W51" s="461">
        <v>0</v>
      </c>
      <c r="X51" s="461">
        <v>0</v>
      </c>
      <c r="Y51" s="461">
        <v>1.6272727272727272</v>
      </c>
      <c r="Z51" s="461"/>
      <c r="AA51" s="461" t="s">
        <v>1142</v>
      </c>
      <c r="AB51" s="461" t="s">
        <v>1142</v>
      </c>
      <c r="AC51" s="461" t="s">
        <v>1142</v>
      </c>
      <c r="AD51" s="461" t="s">
        <v>1142</v>
      </c>
      <c r="AE51" s="461" t="s">
        <v>1142</v>
      </c>
      <c r="AF51" s="461"/>
      <c r="AG51" s="460" t="s">
        <v>1145</v>
      </c>
      <c r="AH51" s="460"/>
      <c r="AI51" s="460">
        <v>3</v>
      </c>
      <c r="AJ51" s="460">
        <v>3</v>
      </c>
      <c r="AK51" s="480">
        <v>0.5</v>
      </c>
      <c r="AL51" s="480">
        <v>0.5</v>
      </c>
      <c r="AM51" s="454"/>
      <c r="AN51" s="460">
        <v>0</v>
      </c>
      <c r="AO51" s="460">
        <v>0</v>
      </c>
      <c r="AP51" s="460">
        <v>5</v>
      </c>
      <c r="AQ51" s="460">
        <v>0</v>
      </c>
      <c r="AR51" s="460">
        <v>0</v>
      </c>
      <c r="AS51" s="460">
        <v>0</v>
      </c>
      <c r="AT51" s="460">
        <v>0</v>
      </c>
      <c r="AU51" s="460">
        <v>0</v>
      </c>
      <c r="AV51" s="460">
        <v>0</v>
      </c>
      <c r="AW51" s="460">
        <v>0</v>
      </c>
      <c r="AX51" s="460">
        <v>0</v>
      </c>
      <c r="AY51" s="460">
        <v>0</v>
      </c>
      <c r="AZ51" s="460"/>
      <c r="BA51" s="460" t="s">
        <v>1145</v>
      </c>
      <c r="BB51" s="460"/>
      <c r="BC51" s="460" t="s">
        <v>1145</v>
      </c>
      <c r="BD51" s="460"/>
      <c r="BE51" s="460"/>
      <c r="BF51" s="455"/>
      <c r="BG51" s="454"/>
      <c r="BH51" s="460"/>
      <c r="BI51" s="460"/>
      <c r="BJ51" s="460" t="s">
        <v>1146</v>
      </c>
      <c r="BK51" s="460">
        <v>1</v>
      </c>
      <c r="BL51" s="454"/>
      <c r="BM51" s="454" t="s">
        <v>1317</v>
      </c>
      <c r="BN51" s="454" t="s">
        <v>368</v>
      </c>
    </row>
    <row r="52" spans="1:66" s="450" customFormat="1" ht="13" customHeight="1" x14ac:dyDescent="0.2">
      <c r="A52" s="451">
        <v>2214</v>
      </c>
      <c r="B52" s="452">
        <v>43843</v>
      </c>
      <c r="C52" s="453" t="s">
        <v>1138</v>
      </c>
      <c r="D52" s="454" t="s">
        <v>1109</v>
      </c>
      <c r="E52" s="465">
        <v>43831</v>
      </c>
      <c r="F52" s="454" t="s">
        <v>34</v>
      </c>
      <c r="G52" s="454" t="s">
        <v>1178</v>
      </c>
      <c r="H52" s="461">
        <v>72.654545454545456</v>
      </c>
      <c r="I52" s="467"/>
      <c r="J52" s="467"/>
      <c r="K52" s="467"/>
      <c r="L52" s="468"/>
      <c r="M52" s="468"/>
      <c r="N52" s="468"/>
      <c r="O52" s="461">
        <v>1.8999999999999997</v>
      </c>
      <c r="P52" s="461">
        <v>0</v>
      </c>
      <c r="Q52" s="461">
        <v>0</v>
      </c>
      <c r="R52" s="461">
        <v>0</v>
      </c>
      <c r="S52" s="461">
        <v>0</v>
      </c>
      <c r="T52" s="456"/>
      <c r="U52" s="461">
        <v>1.8999999999999997</v>
      </c>
      <c r="V52" s="461">
        <v>0</v>
      </c>
      <c r="W52" s="461">
        <v>0</v>
      </c>
      <c r="X52" s="461">
        <v>0</v>
      </c>
      <c r="Y52" s="461">
        <v>0</v>
      </c>
      <c r="Z52" s="456"/>
      <c r="AA52" s="461" t="s">
        <v>1142</v>
      </c>
      <c r="AB52" s="461" t="s">
        <v>1142</v>
      </c>
      <c r="AC52" s="461" t="s">
        <v>1142</v>
      </c>
      <c r="AD52" s="461" t="s">
        <v>1142</v>
      </c>
      <c r="AE52" s="461" t="s">
        <v>1142</v>
      </c>
      <c r="AF52" s="456"/>
      <c r="AG52" s="470" t="s">
        <v>1145</v>
      </c>
      <c r="AH52" s="470"/>
      <c r="AI52" s="460">
        <v>3</v>
      </c>
      <c r="AJ52" s="460">
        <v>3</v>
      </c>
      <c r="AK52" s="480">
        <v>0.5</v>
      </c>
      <c r="AL52" s="480">
        <v>0.5</v>
      </c>
      <c r="AM52" s="454"/>
      <c r="AN52" s="460">
        <v>0</v>
      </c>
      <c r="AO52" s="460">
        <v>0</v>
      </c>
      <c r="AP52" s="460">
        <v>5</v>
      </c>
      <c r="AQ52" s="460">
        <v>0</v>
      </c>
      <c r="AR52" s="460">
        <v>0</v>
      </c>
      <c r="AS52" s="460">
        <v>0</v>
      </c>
      <c r="AT52" s="460">
        <v>0</v>
      </c>
      <c r="AU52" s="460">
        <v>0</v>
      </c>
      <c r="AV52" s="460">
        <v>0</v>
      </c>
      <c r="AW52" s="460">
        <v>0</v>
      </c>
      <c r="AX52" s="460">
        <v>0</v>
      </c>
      <c r="AY52" s="460">
        <v>0</v>
      </c>
      <c r="AZ52" s="460"/>
      <c r="BA52" s="460" t="s">
        <v>1145</v>
      </c>
      <c r="BB52" s="460"/>
      <c r="BC52" s="460" t="s">
        <v>1145</v>
      </c>
      <c r="BD52" s="460"/>
      <c r="BE52" s="460"/>
      <c r="BF52" s="460"/>
      <c r="BG52" s="455"/>
      <c r="BH52" s="454"/>
      <c r="BI52" s="460"/>
      <c r="BJ52" s="460" t="s">
        <v>1164</v>
      </c>
      <c r="BK52" s="460"/>
      <c r="BL52" s="455" t="s">
        <v>47</v>
      </c>
      <c r="BM52" s="484" t="s">
        <v>1321</v>
      </c>
      <c r="BN52" s="454" t="s">
        <v>408</v>
      </c>
    </row>
    <row r="53" spans="1:66" s="450" customFormat="1" ht="13" customHeight="1" x14ac:dyDescent="0.2">
      <c r="A53" s="451">
        <v>2054</v>
      </c>
      <c r="B53" s="452">
        <v>43843</v>
      </c>
      <c r="C53" s="453" t="s">
        <v>1138</v>
      </c>
      <c r="D53" s="454" t="s">
        <v>1109</v>
      </c>
      <c r="E53" s="452">
        <v>43831</v>
      </c>
      <c r="F53" s="455" t="s">
        <v>1180</v>
      </c>
      <c r="G53" s="454" t="s">
        <v>1181</v>
      </c>
      <c r="H53" s="461">
        <v>76.954545454545453</v>
      </c>
      <c r="I53" s="458"/>
      <c r="J53" s="454"/>
      <c r="K53" s="454"/>
      <c r="L53" s="454"/>
      <c r="M53" s="454"/>
      <c r="N53" s="454"/>
      <c r="O53" s="461">
        <v>1.8272727272727269</v>
      </c>
      <c r="P53" s="461">
        <v>0</v>
      </c>
      <c r="Q53" s="461">
        <v>0</v>
      </c>
      <c r="R53" s="461">
        <v>0</v>
      </c>
      <c r="S53" s="461">
        <v>0</v>
      </c>
      <c r="T53" s="461"/>
      <c r="U53" s="461">
        <v>1.8272727272727269</v>
      </c>
      <c r="V53" s="461">
        <v>0</v>
      </c>
      <c r="W53" s="461">
        <v>0</v>
      </c>
      <c r="X53" s="461">
        <v>0</v>
      </c>
      <c r="Y53" s="461">
        <v>0</v>
      </c>
      <c r="Z53" s="461"/>
      <c r="AA53" s="461" t="s">
        <v>1142</v>
      </c>
      <c r="AB53" s="461" t="s">
        <v>1142</v>
      </c>
      <c r="AC53" s="461" t="s">
        <v>1142</v>
      </c>
      <c r="AD53" s="461" t="s">
        <v>1142</v>
      </c>
      <c r="AE53" s="461" t="s">
        <v>1142</v>
      </c>
      <c r="AF53" s="461"/>
      <c r="AG53" s="460" t="s">
        <v>1145</v>
      </c>
      <c r="AH53" s="460"/>
      <c r="AI53" s="460">
        <v>3</v>
      </c>
      <c r="AJ53" s="460">
        <v>3</v>
      </c>
      <c r="AK53" s="480">
        <v>0.5</v>
      </c>
      <c r="AL53" s="480">
        <v>0.5</v>
      </c>
      <c r="AM53" s="454"/>
      <c r="AN53" s="460">
        <v>0</v>
      </c>
      <c r="AO53" s="460">
        <v>0</v>
      </c>
      <c r="AP53" s="460">
        <v>0</v>
      </c>
      <c r="AQ53" s="460">
        <v>0</v>
      </c>
      <c r="AR53" s="460">
        <v>0</v>
      </c>
      <c r="AS53" s="460">
        <v>0</v>
      </c>
      <c r="AT53" s="460">
        <v>0</v>
      </c>
      <c r="AU53" s="460">
        <v>0</v>
      </c>
      <c r="AV53" s="460">
        <v>0</v>
      </c>
      <c r="AW53" s="460">
        <v>0</v>
      </c>
      <c r="AX53" s="460">
        <v>0</v>
      </c>
      <c r="AY53" s="460">
        <v>0</v>
      </c>
      <c r="AZ53" s="460"/>
      <c r="BA53" s="460" t="s">
        <v>1145</v>
      </c>
      <c r="BB53" s="460"/>
      <c r="BC53" s="460" t="s">
        <v>1145</v>
      </c>
      <c r="BD53" s="460"/>
      <c r="BE53" s="460"/>
      <c r="BF53" s="460"/>
      <c r="BG53" s="455"/>
      <c r="BH53" s="454"/>
      <c r="BI53" s="460"/>
      <c r="BJ53" s="460" t="s">
        <v>1164</v>
      </c>
      <c r="BK53" s="460"/>
      <c r="BL53" s="455" t="s">
        <v>1284</v>
      </c>
      <c r="BM53" s="454" t="s">
        <v>1315</v>
      </c>
      <c r="BN53" s="454" t="s">
        <v>408</v>
      </c>
    </row>
    <row r="54" spans="1:66" s="450" customFormat="1" ht="13" customHeight="1" x14ac:dyDescent="0.2">
      <c r="A54" s="451">
        <v>2463</v>
      </c>
      <c r="B54" s="452">
        <v>43843</v>
      </c>
      <c r="C54" s="453" t="s">
        <v>295</v>
      </c>
      <c r="D54" s="454" t="s">
        <v>1109</v>
      </c>
      <c r="E54" s="452">
        <v>43731</v>
      </c>
      <c r="F54" s="455" t="s">
        <v>1274</v>
      </c>
      <c r="G54" s="454" t="s">
        <v>1275</v>
      </c>
      <c r="H54" s="461">
        <v>72.999999999999986</v>
      </c>
      <c r="I54" s="458" t="s">
        <v>296</v>
      </c>
      <c r="J54" s="485">
        <v>1645</v>
      </c>
      <c r="K54" s="485">
        <v>3000</v>
      </c>
      <c r="L54" s="485">
        <v>3000</v>
      </c>
      <c r="M54" s="485">
        <v>3000</v>
      </c>
      <c r="N54" s="454"/>
      <c r="O54" s="461">
        <v>2.6636363636363636</v>
      </c>
      <c r="P54" s="461">
        <v>2.336363636363636</v>
      </c>
      <c r="Q54" s="482">
        <v>0</v>
      </c>
      <c r="R54" s="461">
        <v>0</v>
      </c>
      <c r="S54" s="461">
        <v>1.9909090909090907</v>
      </c>
      <c r="T54" s="461"/>
      <c r="U54" s="461">
        <v>2.6636363636363636</v>
      </c>
      <c r="V54" s="461">
        <v>2.336363636363636</v>
      </c>
      <c r="W54" s="461">
        <v>0</v>
      </c>
      <c r="X54" s="461">
        <v>0</v>
      </c>
      <c r="Y54" s="461">
        <v>1.9909090909090907</v>
      </c>
      <c r="Z54" s="461"/>
      <c r="AA54" s="461" t="s">
        <v>1142</v>
      </c>
      <c r="AB54" s="461" t="s">
        <v>1142</v>
      </c>
      <c r="AC54" s="461" t="s">
        <v>1142</v>
      </c>
      <c r="AD54" s="461" t="s">
        <v>1142</v>
      </c>
      <c r="AE54" s="461" t="s">
        <v>1142</v>
      </c>
      <c r="AF54" s="461"/>
      <c r="AG54" s="460" t="s">
        <v>1278</v>
      </c>
      <c r="AH54" s="460"/>
      <c r="AI54" s="460">
        <v>3</v>
      </c>
      <c r="AJ54" s="460">
        <v>3</v>
      </c>
      <c r="AK54" s="480">
        <v>0.5</v>
      </c>
      <c r="AL54" s="480">
        <v>0.5</v>
      </c>
      <c r="AM54" s="454"/>
      <c r="AN54" s="460">
        <v>0</v>
      </c>
      <c r="AO54" s="460">
        <v>0</v>
      </c>
      <c r="AP54" s="460">
        <v>0</v>
      </c>
      <c r="AQ54" s="460">
        <v>15</v>
      </c>
      <c r="AR54" s="460">
        <v>0</v>
      </c>
      <c r="AS54" s="460">
        <v>0</v>
      </c>
      <c r="AT54" s="460">
        <v>0</v>
      </c>
      <c r="AU54" s="460">
        <v>0</v>
      </c>
      <c r="AV54" s="460">
        <v>0</v>
      </c>
      <c r="AW54" s="460">
        <v>0</v>
      </c>
      <c r="AX54" s="460">
        <v>0</v>
      </c>
      <c r="AY54" s="460">
        <v>0</v>
      </c>
      <c r="AZ54" s="460"/>
      <c r="BA54" s="460" t="s">
        <v>1278</v>
      </c>
      <c r="BB54" s="460"/>
      <c r="BC54" s="460" t="s">
        <v>1278</v>
      </c>
      <c r="BD54" s="460"/>
      <c r="BE54" s="460"/>
      <c r="BF54" s="460"/>
      <c r="BG54" s="455"/>
      <c r="BH54" s="473"/>
      <c r="BI54" s="474"/>
      <c r="BJ54" s="474" t="s">
        <v>411</v>
      </c>
      <c r="BK54" s="474">
        <v>1</v>
      </c>
      <c r="BL54" s="475"/>
      <c r="BM54" s="473" t="s">
        <v>1310</v>
      </c>
      <c r="BN54" s="473" t="s">
        <v>368</v>
      </c>
    </row>
    <row r="55" spans="1:66" s="450" customFormat="1" ht="13" customHeight="1" x14ac:dyDescent="0.2">
      <c r="A55" s="451">
        <v>2337</v>
      </c>
      <c r="B55" s="452">
        <v>43843</v>
      </c>
      <c r="C55" s="453" t="s">
        <v>295</v>
      </c>
      <c r="D55" s="454" t="s">
        <v>1109</v>
      </c>
      <c r="E55" s="452">
        <v>43831</v>
      </c>
      <c r="F55" s="455" t="s">
        <v>1291</v>
      </c>
      <c r="G55" s="454" t="s">
        <v>1181</v>
      </c>
      <c r="H55" s="461">
        <v>61.581818181818171</v>
      </c>
      <c r="I55" s="458"/>
      <c r="J55" s="454"/>
      <c r="K55" s="454"/>
      <c r="L55" s="454"/>
      <c r="M55" s="454"/>
      <c r="N55" s="454"/>
      <c r="O55" s="461">
        <v>1.9090909090909089</v>
      </c>
      <c r="P55" s="461">
        <v>0</v>
      </c>
      <c r="Q55" s="461">
        <v>0</v>
      </c>
      <c r="R55" s="461">
        <v>0</v>
      </c>
      <c r="S55" s="461">
        <v>0</v>
      </c>
      <c r="T55" s="461"/>
      <c r="U55" s="461">
        <v>1.9090909090909089</v>
      </c>
      <c r="V55" s="461">
        <v>0</v>
      </c>
      <c r="W55" s="461">
        <v>0</v>
      </c>
      <c r="X55" s="461">
        <v>0</v>
      </c>
      <c r="Y55" s="461">
        <v>0</v>
      </c>
      <c r="Z55" s="461"/>
      <c r="AA55" s="461" t="s">
        <v>1142</v>
      </c>
      <c r="AB55" s="461" t="s">
        <v>1142</v>
      </c>
      <c r="AC55" s="461" t="s">
        <v>1142</v>
      </c>
      <c r="AD55" s="461" t="s">
        <v>1142</v>
      </c>
      <c r="AE55" s="461" t="s">
        <v>1142</v>
      </c>
      <c r="AF55" s="461"/>
      <c r="AG55" s="460" t="s">
        <v>1278</v>
      </c>
      <c r="AH55" s="460"/>
      <c r="AI55" s="460">
        <v>3</v>
      </c>
      <c r="AJ55" s="460">
        <v>3</v>
      </c>
      <c r="AK55" s="480">
        <v>0.5</v>
      </c>
      <c r="AL55" s="480">
        <v>0.5</v>
      </c>
      <c r="AM55" s="454"/>
      <c r="AN55" s="460">
        <v>0</v>
      </c>
      <c r="AO55" s="460">
        <v>0</v>
      </c>
      <c r="AP55" s="460">
        <v>0</v>
      </c>
      <c r="AQ55" s="460">
        <v>0</v>
      </c>
      <c r="AR55" s="460">
        <v>0</v>
      </c>
      <c r="AS55" s="460">
        <v>0</v>
      </c>
      <c r="AT55" s="460">
        <v>0</v>
      </c>
      <c r="AU55" s="460">
        <v>0</v>
      </c>
      <c r="AV55" s="460">
        <v>0</v>
      </c>
      <c r="AW55" s="460">
        <v>0</v>
      </c>
      <c r="AX55" s="460">
        <v>0</v>
      </c>
      <c r="AY55" s="460">
        <v>0</v>
      </c>
      <c r="AZ55" s="460"/>
      <c r="BA55" s="460" t="s">
        <v>1278</v>
      </c>
      <c r="BB55" s="460"/>
      <c r="BC55" s="460" t="s">
        <v>1278</v>
      </c>
      <c r="BD55" s="460"/>
      <c r="BE55" s="460"/>
      <c r="BF55" s="460"/>
      <c r="BG55" s="455"/>
      <c r="BH55" s="473"/>
      <c r="BI55" s="474"/>
      <c r="BJ55" s="474" t="s">
        <v>4</v>
      </c>
      <c r="BK55" s="474"/>
      <c r="BL55" s="475" t="s">
        <v>1284</v>
      </c>
      <c r="BM55" s="473" t="s">
        <v>1325</v>
      </c>
      <c r="BN55" s="473" t="s">
        <v>408</v>
      </c>
    </row>
    <row r="56" spans="1:66" s="450" customFormat="1" ht="13" customHeight="1" x14ac:dyDescent="0.2">
      <c r="A56" s="451">
        <v>2385</v>
      </c>
      <c r="B56" s="452">
        <v>43843</v>
      </c>
      <c r="C56" s="453" t="s">
        <v>1138</v>
      </c>
      <c r="D56" s="454" t="s">
        <v>1110</v>
      </c>
      <c r="E56" s="452">
        <v>43831</v>
      </c>
      <c r="F56" s="455" t="s">
        <v>1139</v>
      </c>
      <c r="G56" s="454" t="s">
        <v>1277</v>
      </c>
      <c r="H56" s="461">
        <v>74.3</v>
      </c>
      <c r="I56" s="458" t="s">
        <v>1141</v>
      </c>
      <c r="J56" s="485">
        <v>1645</v>
      </c>
      <c r="K56" s="485">
        <v>3000</v>
      </c>
      <c r="L56" s="485">
        <v>3000</v>
      </c>
      <c r="M56" s="485">
        <v>3000</v>
      </c>
      <c r="N56" s="454"/>
      <c r="O56" s="461">
        <v>1.9909090909090907</v>
      </c>
      <c r="P56" s="461">
        <v>1.9363636363636361</v>
      </c>
      <c r="Q56" s="461">
        <v>0</v>
      </c>
      <c r="R56" s="461">
        <v>0</v>
      </c>
      <c r="S56" s="461">
        <v>1.3181818181818181</v>
      </c>
      <c r="T56" s="461"/>
      <c r="U56" s="461">
        <v>1.9909090909090907</v>
      </c>
      <c r="V56" s="461">
        <v>1.9363636363636361</v>
      </c>
      <c r="W56" s="461">
        <v>0</v>
      </c>
      <c r="X56" s="461">
        <v>0</v>
      </c>
      <c r="Y56" s="461">
        <v>1.3181818181818181</v>
      </c>
      <c r="Z56" s="461"/>
      <c r="AA56" s="461" t="s">
        <v>1142</v>
      </c>
      <c r="AB56" s="461" t="s">
        <v>1142</v>
      </c>
      <c r="AC56" s="461" t="s">
        <v>1142</v>
      </c>
      <c r="AD56" s="461" t="s">
        <v>1142</v>
      </c>
      <c r="AE56" s="461" t="s">
        <v>1142</v>
      </c>
      <c r="AF56" s="461"/>
      <c r="AG56" s="460" t="s">
        <v>1145</v>
      </c>
      <c r="AH56" s="460"/>
      <c r="AI56" s="460">
        <v>3</v>
      </c>
      <c r="AJ56" s="460">
        <v>3</v>
      </c>
      <c r="AK56" s="480">
        <v>0.5</v>
      </c>
      <c r="AL56" s="480">
        <v>0.5</v>
      </c>
      <c r="AM56" s="454"/>
      <c r="AN56" s="460">
        <v>0</v>
      </c>
      <c r="AO56" s="460">
        <v>0</v>
      </c>
      <c r="AP56" s="460">
        <v>0</v>
      </c>
      <c r="AQ56" s="460">
        <v>0</v>
      </c>
      <c r="AR56" s="460">
        <v>0</v>
      </c>
      <c r="AS56" s="460">
        <v>0</v>
      </c>
      <c r="AT56" s="460">
        <v>0</v>
      </c>
      <c r="AU56" s="460">
        <v>0</v>
      </c>
      <c r="AV56" s="460">
        <v>0</v>
      </c>
      <c r="AW56" s="460">
        <v>0</v>
      </c>
      <c r="AX56" s="460">
        <v>0</v>
      </c>
      <c r="AY56" s="460">
        <v>0</v>
      </c>
      <c r="AZ56" s="460"/>
      <c r="BA56" s="460" t="s">
        <v>1145</v>
      </c>
      <c r="BB56" s="460"/>
      <c r="BC56" s="460" t="s">
        <v>1145</v>
      </c>
      <c r="BD56" s="460"/>
      <c r="BE56" s="460"/>
      <c r="BF56" s="460"/>
      <c r="BG56" s="455"/>
      <c r="BH56" s="454"/>
      <c r="BI56" s="460"/>
      <c r="BJ56" s="460" t="s">
        <v>1146</v>
      </c>
      <c r="BK56" s="460"/>
      <c r="BL56" s="455"/>
      <c r="BM56" s="454" t="s">
        <v>1328</v>
      </c>
      <c r="BN56" s="454" t="s">
        <v>408</v>
      </c>
    </row>
    <row r="57" spans="1:66" s="450" customFormat="1" ht="13" customHeight="1" x14ac:dyDescent="0.2">
      <c r="A57" s="451">
        <v>2495</v>
      </c>
      <c r="B57" s="452">
        <v>43843</v>
      </c>
      <c r="C57" s="453" t="s">
        <v>1138</v>
      </c>
      <c r="D57" s="454" t="s">
        <v>1110</v>
      </c>
      <c r="E57" s="452">
        <v>43836</v>
      </c>
      <c r="F57" s="455" t="s">
        <v>1148</v>
      </c>
      <c r="G57" s="454" t="s">
        <v>1280</v>
      </c>
      <c r="H57" s="461">
        <v>62.999999999999993</v>
      </c>
      <c r="I57" s="458" t="s">
        <v>296</v>
      </c>
      <c r="J57" s="485">
        <v>1645</v>
      </c>
      <c r="K57" s="485">
        <v>3000</v>
      </c>
      <c r="L57" s="485">
        <v>3000</v>
      </c>
      <c r="M57" s="485">
        <v>3000</v>
      </c>
      <c r="N57" s="454"/>
      <c r="O57" s="461">
        <v>2.5999999999999996</v>
      </c>
      <c r="P57" s="461">
        <v>2.1999999999999997</v>
      </c>
      <c r="Q57" s="461">
        <v>0</v>
      </c>
      <c r="R57" s="461">
        <v>0</v>
      </c>
      <c r="S57" s="461">
        <v>1.7</v>
      </c>
      <c r="T57" s="461"/>
      <c r="U57" s="461">
        <v>2.5999999999999996</v>
      </c>
      <c r="V57" s="461">
        <v>2.1999999999999997</v>
      </c>
      <c r="W57" s="461">
        <v>0</v>
      </c>
      <c r="X57" s="461">
        <v>0</v>
      </c>
      <c r="Y57" s="461">
        <v>1.7</v>
      </c>
      <c r="Z57" s="461"/>
      <c r="AA57" s="461" t="s">
        <v>1142</v>
      </c>
      <c r="AB57" s="461" t="s">
        <v>1142</v>
      </c>
      <c r="AC57" s="461" t="s">
        <v>1142</v>
      </c>
      <c r="AD57" s="461" t="s">
        <v>1142</v>
      </c>
      <c r="AE57" s="461" t="s">
        <v>1142</v>
      </c>
      <c r="AF57" s="461"/>
      <c r="AG57" s="460" t="s">
        <v>1145</v>
      </c>
      <c r="AH57" s="460"/>
      <c r="AI57" s="460">
        <v>3</v>
      </c>
      <c r="AJ57" s="460">
        <v>3</v>
      </c>
      <c r="AK57" s="480">
        <v>0.5</v>
      </c>
      <c r="AL57" s="480">
        <v>0.5</v>
      </c>
      <c r="AM57" s="454"/>
      <c r="AN57" s="460">
        <v>0</v>
      </c>
      <c r="AO57" s="460">
        <v>0</v>
      </c>
      <c r="AP57" s="460">
        <v>0</v>
      </c>
      <c r="AQ57" s="460">
        <v>0</v>
      </c>
      <c r="AR57" s="460">
        <v>0</v>
      </c>
      <c r="AS57" s="460">
        <v>0</v>
      </c>
      <c r="AT57" s="460">
        <v>0</v>
      </c>
      <c r="AU57" s="460">
        <v>0</v>
      </c>
      <c r="AV57" s="460">
        <v>0</v>
      </c>
      <c r="AW57" s="460">
        <v>0</v>
      </c>
      <c r="AX57" s="460">
        <v>0</v>
      </c>
      <c r="AY57" s="460">
        <v>0</v>
      </c>
      <c r="AZ57" s="454"/>
      <c r="BA57" s="460" t="s">
        <v>1145</v>
      </c>
      <c r="BB57" s="460"/>
      <c r="BC57" s="460" t="s">
        <v>1145</v>
      </c>
      <c r="BD57" s="460"/>
      <c r="BE57" s="460"/>
      <c r="BF57" s="460"/>
      <c r="BG57" s="455"/>
      <c r="BH57" s="454"/>
      <c r="BI57" s="460"/>
      <c r="BJ57" s="460" t="s">
        <v>4</v>
      </c>
      <c r="BK57" s="460"/>
      <c r="BL57" s="455"/>
      <c r="BM57" s="481" t="s">
        <v>1329</v>
      </c>
      <c r="BN57" s="454" t="s">
        <v>1121</v>
      </c>
    </row>
    <row r="58" spans="1:66" s="450" customFormat="1" ht="13" customHeight="1" x14ac:dyDescent="0.2">
      <c r="A58" s="451">
        <v>2521</v>
      </c>
      <c r="B58" s="452">
        <v>43843</v>
      </c>
      <c r="C58" s="453" t="s">
        <v>1138</v>
      </c>
      <c r="D58" s="454" t="s">
        <v>1110</v>
      </c>
      <c r="E58" s="452">
        <v>43831</v>
      </c>
      <c r="F58" s="455" t="s">
        <v>1152</v>
      </c>
      <c r="G58" s="454" t="s">
        <v>1283</v>
      </c>
      <c r="H58" s="461">
        <v>59.345454545454544</v>
      </c>
      <c r="I58" s="458" t="s">
        <v>1141</v>
      </c>
      <c r="J58" s="485">
        <v>1645</v>
      </c>
      <c r="K58" s="485">
        <v>3000</v>
      </c>
      <c r="L58" s="485">
        <v>3000</v>
      </c>
      <c r="M58" s="485">
        <v>3000</v>
      </c>
      <c r="N58" s="454"/>
      <c r="O58" s="461">
        <v>2.7727272727272725</v>
      </c>
      <c r="P58" s="461">
        <v>2.3636363636363633</v>
      </c>
      <c r="Q58" s="461">
        <v>0</v>
      </c>
      <c r="R58" s="461">
        <v>0</v>
      </c>
      <c r="S58" s="461">
        <v>2.0363636363636366</v>
      </c>
      <c r="T58" s="461"/>
      <c r="U58" s="461">
        <v>2.7727272727272725</v>
      </c>
      <c r="V58" s="461">
        <v>2.3636363636363633</v>
      </c>
      <c r="W58" s="461">
        <v>0</v>
      </c>
      <c r="X58" s="461">
        <v>0</v>
      </c>
      <c r="Y58" s="461">
        <v>2.0363636363636366</v>
      </c>
      <c r="Z58" s="461"/>
      <c r="AA58" s="461" t="s">
        <v>1142</v>
      </c>
      <c r="AB58" s="461" t="s">
        <v>1142</v>
      </c>
      <c r="AC58" s="461" t="s">
        <v>1142</v>
      </c>
      <c r="AD58" s="461" t="s">
        <v>1142</v>
      </c>
      <c r="AE58" s="461" t="s">
        <v>1142</v>
      </c>
      <c r="AF58" s="461"/>
      <c r="AG58" s="460" t="s">
        <v>1145</v>
      </c>
      <c r="AH58" s="460"/>
      <c r="AI58" s="460">
        <v>3</v>
      </c>
      <c r="AJ58" s="460">
        <v>3</v>
      </c>
      <c r="AK58" s="480">
        <v>0.5</v>
      </c>
      <c r="AL58" s="480">
        <v>0.5</v>
      </c>
      <c r="AM58" s="454"/>
      <c r="AN58" s="460">
        <v>0</v>
      </c>
      <c r="AO58" s="460">
        <v>0</v>
      </c>
      <c r="AP58" s="460">
        <v>0</v>
      </c>
      <c r="AQ58" s="460">
        <v>0</v>
      </c>
      <c r="AR58" s="460">
        <v>0</v>
      </c>
      <c r="AS58" s="460">
        <v>0</v>
      </c>
      <c r="AT58" s="460">
        <v>0</v>
      </c>
      <c r="AU58" s="460">
        <v>0</v>
      </c>
      <c r="AV58" s="460">
        <v>0</v>
      </c>
      <c r="AW58" s="460">
        <v>0</v>
      </c>
      <c r="AX58" s="460">
        <v>0</v>
      </c>
      <c r="AY58" s="460">
        <v>0</v>
      </c>
      <c r="AZ58" s="454"/>
      <c r="BA58" s="460" t="s">
        <v>1145</v>
      </c>
      <c r="BB58" s="460"/>
      <c r="BC58" s="460" t="s">
        <v>1145</v>
      </c>
      <c r="BD58" s="460"/>
      <c r="BE58" s="460"/>
      <c r="BF58" s="460"/>
      <c r="BG58" s="455"/>
      <c r="BH58" s="454"/>
      <c r="BI58" s="460"/>
      <c r="BJ58" s="460" t="s">
        <v>1146</v>
      </c>
      <c r="BK58" s="460">
        <v>1</v>
      </c>
      <c r="BL58" s="455" t="s">
        <v>1284</v>
      </c>
      <c r="BM58" s="454" t="s">
        <v>1331</v>
      </c>
      <c r="BN58" s="454" t="s">
        <v>1121</v>
      </c>
    </row>
    <row r="59" spans="1:66" s="450" customFormat="1" ht="13" customHeight="1" x14ac:dyDescent="0.2">
      <c r="A59" s="451"/>
      <c r="B59" s="452">
        <v>43847</v>
      </c>
      <c r="C59" s="453" t="s">
        <v>295</v>
      </c>
      <c r="D59" s="454" t="s">
        <v>1110</v>
      </c>
      <c r="E59" s="452">
        <v>43831</v>
      </c>
      <c r="F59" s="455" t="s">
        <v>1050</v>
      </c>
      <c r="G59" s="454" t="s">
        <v>418</v>
      </c>
      <c r="H59" s="461">
        <v>75</v>
      </c>
      <c r="I59" s="458" t="s">
        <v>296</v>
      </c>
      <c r="J59" s="485">
        <v>1645</v>
      </c>
      <c r="K59" s="485">
        <v>3000</v>
      </c>
      <c r="L59" s="485">
        <v>3000</v>
      </c>
      <c r="M59" s="485">
        <v>3000</v>
      </c>
      <c r="N59" s="454"/>
      <c r="O59" s="461">
        <v>3.1727272727272728</v>
      </c>
      <c r="P59" s="461">
        <v>2.5</v>
      </c>
      <c r="Q59" s="461">
        <v>0</v>
      </c>
      <c r="R59" s="461">
        <v>0</v>
      </c>
      <c r="S59" s="461">
        <v>2.2545454545454544</v>
      </c>
      <c r="T59" s="461"/>
      <c r="U59" s="461">
        <v>3.1727272727272728</v>
      </c>
      <c r="V59" s="461">
        <v>2.5</v>
      </c>
      <c r="W59" s="461">
        <v>0</v>
      </c>
      <c r="X59" s="461">
        <v>0</v>
      </c>
      <c r="Y59" s="461">
        <v>2.2545454545454544</v>
      </c>
      <c r="Z59" s="461"/>
      <c r="AA59" s="461"/>
      <c r="AB59" s="461"/>
      <c r="AC59" s="461"/>
      <c r="AD59" s="461"/>
      <c r="AE59" s="461"/>
      <c r="AF59" s="461"/>
      <c r="AG59" s="460" t="s">
        <v>1278</v>
      </c>
      <c r="AH59" s="460"/>
      <c r="AI59" s="460">
        <v>3</v>
      </c>
      <c r="AJ59" s="460">
        <v>3</v>
      </c>
      <c r="AK59" s="480">
        <v>0.5</v>
      </c>
      <c r="AL59" s="480">
        <v>0.5</v>
      </c>
      <c r="AM59" s="454"/>
      <c r="AN59" s="460">
        <v>0</v>
      </c>
      <c r="AO59" s="460">
        <v>16</v>
      </c>
      <c r="AP59" s="460">
        <v>0</v>
      </c>
      <c r="AQ59" s="460">
        <v>0</v>
      </c>
      <c r="AR59" s="460">
        <v>0</v>
      </c>
      <c r="AS59" s="460">
        <v>0</v>
      </c>
      <c r="AT59" s="460">
        <v>0</v>
      </c>
      <c r="AU59" s="460">
        <v>0</v>
      </c>
      <c r="AV59" s="460">
        <v>0</v>
      </c>
      <c r="AW59" s="460">
        <v>0</v>
      </c>
      <c r="AX59" s="460">
        <v>0</v>
      </c>
      <c r="AY59" s="460">
        <v>0</v>
      </c>
      <c r="AZ59" s="454"/>
      <c r="BA59" s="460" t="s">
        <v>1278</v>
      </c>
      <c r="BB59" s="460"/>
      <c r="BC59" s="460" t="s">
        <v>1278</v>
      </c>
      <c r="BD59" s="460"/>
      <c r="BE59" s="460"/>
      <c r="BF59" s="460"/>
      <c r="BG59" s="455"/>
      <c r="BH59" s="454"/>
      <c r="BI59" s="460"/>
      <c r="BJ59" s="460" t="s">
        <v>4</v>
      </c>
      <c r="BK59" s="460">
        <v>1</v>
      </c>
      <c r="BL59" s="455"/>
      <c r="BM59" s="454" t="s">
        <v>1341</v>
      </c>
      <c r="BN59" s="454" t="s">
        <v>1121</v>
      </c>
    </row>
    <row r="60" spans="1:66" s="450" customFormat="1" ht="13" customHeight="1" x14ac:dyDescent="0.2">
      <c r="A60" s="451"/>
      <c r="B60" s="452">
        <v>43847</v>
      </c>
      <c r="C60" s="453" t="s">
        <v>295</v>
      </c>
      <c r="D60" s="454" t="s">
        <v>1110</v>
      </c>
      <c r="E60" s="452">
        <v>43725</v>
      </c>
      <c r="F60" s="455" t="s">
        <v>1052</v>
      </c>
      <c r="G60" s="454" t="s">
        <v>1181</v>
      </c>
      <c r="H60" s="461">
        <v>60.454545454545446</v>
      </c>
      <c r="I60" s="458" t="s">
        <v>296</v>
      </c>
      <c r="J60" s="485">
        <v>1645</v>
      </c>
      <c r="K60" s="485">
        <v>3000</v>
      </c>
      <c r="L60" s="485">
        <v>3000</v>
      </c>
      <c r="M60" s="485">
        <v>3000</v>
      </c>
      <c r="N60" s="454"/>
      <c r="O60" s="461">
        <v>2.754545454545454</v>
      </c>
      <c r="P60" s="461">
        <v>2.1999999999999997</v>
      </c>
      <c r="Q60" s="461">
        <v>0</v>
      </c>
      <c r="R60" s="461">
        <v>0</v>
      </c>
      <c r="S60" s="461">
        <v>2.0545454545454542</v>
      </c>
      <c r="T60" s="461"/>
      <c r="U60" s="461">
        <v>2.754545454545454</v>
      </c>
      <c r="V60" s="461">
        <v>2.1999999999999997</v>
      </c>
      <c r="W60" s="461">
        <v>0</v>
      </c>
      <c r="X60" s="461">
        <v>0</v>
      </c>
      <c r="Y60" s="461">
        <v>2.0545454545454542</v>
      </c>
      <c r="Z60" s="461"/>
      <c r="AA60" s="461"/>
      <c r="AB60" s="461"/>
      <c r="AC60" s="461"/>
      <c r="AD60" s="461"/>
      <c r="AE60" s="461"/>
      <c r="AF60" s="461"/>
      <c r="AG60" s="460" t="s">
        <v>1278</v>
      </c>
      <c r="AH60" s="460"/>
      <c r="AI60" s="460">
        <v>3</v>
      </c>
      <c r="AJ60" s="460">
        <v>3</v>
      </c>
      <c r="AK60" s="480">
        <v>0.5</v>
      </c>
      <c r="AL60" s="480">
        <v>0.5</v>
      </c>
      <c r="AM60" s="454"/>
      <c r="AN60" s="460">
        <v>0</v>
      </c>
      <c r="AO60" s="460">
        <v>0</v>
      </c>
      <c r="AP60" s="460">
        <v>0</v>
      </c>
      <c r="AQ60" s="460">
        <v>20</v>
      </c>
      <c r="AR60" s="460">
        <v>0</v>
      </c>
      <c r="AS60" s="460">
        <v>0</v>
      </c>
      <c r="AT60" s="460">
        <v>0</v>
      </c>
      <c r="AU60" s="460">
        <v>0</v>
      </c>
      <c r="AV60" s="460">
        <v>0</v>
      </c>
      <c r="AW60" s="460">
        <v>0</v>
      </c>
      <c r="AX60" s="460">
        <v>0</v>
      </c>
      <c r="AY60" s="460">
        <v>0</v>
      </c>
      <c r="AZ60" s="454"/>
      <c r="BA60" s="460" t="s">
        <v>1278</v>
      </c>
      <c r="BB60" s="460"/>
      <c r="BC60" s="460" t="s">
        <v>1278</v>
      </c>
      <c r="BD60" s="460"/>
      <c r="BE60" s="460"/>
      <c r="BF60" s="460"/>
      <c r="BG60" s="455"/>
      <c r="BH60" s="454"/>
      <c r="BI60" s="460"/>
      <c r="BJ60" s="460" t="s">
        <v>4</v>
      </c>
      <c r="BK60" s="460"/>
      <c r="BL60" s="455"/>
      <c r="BM60" s="454" t="s">
        <v>1342</v>
      </c>
      <c r="BN60" s="454" t="s">
        <v>1121</v>
      </c>
    </row>
    <row r="61" spans="1:66" s="450" customFormat="1" ht="13" customHeight="1" x14ac:dyDescent="0.2">
      <c r="A61" s="451">
        <v>2117</v>
      </c>
      <c r="B61" s="452">
        <v>43843</v>
      </c>
      <c r="C61" s="453" t="s">
        <v>1138</v>
      </c>
      <c r="D61" s="454" t="s">
        <v>1110</v>
      </c>
      <c r="E61" s="452">
        <v>43831</v>
      </c>
      <c r="F61" s="455" t="s">
        <v>1156</v>
      </c>
      <c r="G61" s="454" t="s">
        <v>1157</v>
      </c>
      <c r="H61" s="461">
        <v>82.5</v>
      </c>
      <c r="I61" s="458" t="s">
        <v>1141</v>
      </c>
      <c r="J61" s="459">
        <v>3000</v>
      </c>
      <c r="K61" s="459">
        <v>3000</v>
      </c>
      <c r="L61" s="459">
        <v>3000</v>
      </c>
      <c r="M61" s="459">
        <v>3000</v>
      </c>
      <c r="N61" s="454"/>
      <c r="O61" s="461">
        <v>3.0272727272727269</v>
      </c>
      <c r="P61" s="482">
        <v>0</v>
      </c>
      <c r="Q61" s="461">
        <v>0</v>
      </c>
      <c r="R61" s="461">
        <v>0</v>
      </c>
      <c r="S61" s="461">
        <v>2.0272727272727269</v>
      </c>
      <c r="T61" s="461"/>
      <c r="U61" s="461">
        <v>3.0272727272727269</v>
      </c>
      <c r="V61" s="482">
        <v>0</v>
      </c>
      <c r="W61" s="461">
        <v>0</v>
      </c>
      <c r="X61" s="461">
        <v>0</v>
      </c>
      <c r="Y61" s="461">
        <v>2.0272727272727269</v>
      </c>
      <c r="Z61" s="461"/>
      <c r="AA61" s="461" t="s">
        <v>1142</v>
      </c>
      <c r="AB61" s="461" t="s">
        <v>1142</v>
      </c>
      <c r="AC61" s="461" t="s">
        <v>1142</v>
      </c>
      <c r="AD61" s="461" t="s">
        <v>1142</v>
      </c>
      <c r="AE61" s="461" t="s">
        <v>1142</v>
      </c>
      <c r="AF61" s="461"/>
      <c r="AG61" s="460" t="s">
        <v>1145</v>
      </c>
      <c r="AH61" s="454"/>
      <c r="AI61" s="460">
        <v>3</v>
      </c>
      <c r="AJ61" s="460">
        <v>3</v>
      </c>
      <c r="AK61" s="480">
        <v>0.5</v>
      </c>
      <c r="AL61" s="480">
        <v>0.5</v>
      </c>
      <c r="AM61" s="454"/>
      <c r="AN61" s="460">
        <v>23</v>
      </c>
      <c r="AO61" s="460">
        <v>0</v>
      </c>
      <c r="AP61" s="460">
        <v>0</v>
      </c>
      <c r="AQ61" s="460">
        <v>0</v>
      </c>
      <c r="AR61" s="460">
        <v>0</v>
      </c>
      <c r="AS61" s="460">
        <v>0</v>
      </c>
      <c r="AT61" s="460">
        <v>0</v>
      </c>
      <c r="AU61" s="460">
        <v>0</v>
      </c>
      <c r="AV61" s="460">
        <v>0</v>
      </c>
      <c r="AW61" s="460">
        <v>0</v>
      </c>
      <c r="AX61" s="460">
        <v>0</v>
      </c>
      <c r="AY61" s="460">
        <v>0</v>
      </c>
      <c r="AZ61" s="472">
        <v>12</v>
      </c>
      <c r="BA61" s="460" t="s">
        <v>1145</v>
      </c>
      <c r="BB61" s="460">
        <v>12</v>
      </c>
      <c r="BC61" s="460" t="s">
        <v>1145</v>
      </c>
      <c r="BD61" s="460"/>
      <c r="BE61" s="460">
        <v>12</v>
      </c>
      <c r="BF61" s="460"/>
      <c r="BG61" s="455"/>
      <c r="BH61" s="454"/>
      <c r="BI61" s="460"/>
      <c r="BJ61" s="460" t="s">
        <v>1146</v>
      </c>
      <c r="BK61" s="460"/>
      <c r="BL61" s="455"/>
      <c r="BM61" s="484" t="s">
        <v>1333</v>
      </c>
      <c r="BN61" s="454" t="s">
        <v>408</v>
      </c>
    </row>
    <row r="62" spans="1:66" s="450" customFormat="1" ht="13" customHeight="1" x14ac:dyDescent="0.2">
      <c r="A62" s="451">
        <v>1935</v>
      </c>
      <c r="B62" s="452">
        <v>43843</v>
      </c>
      <c r="C62" s="453" t="s">
        <v>1138</v>
      </c>
      <c r="D62" s="454" t="s">
        <v>1110</v>
      </c>
      <c r="E62" s="452">
        <v>43831</v>
      </c>
      <c r="F62" s="455" t="s">
        <v>1159</v>
      </c>
      <c r="G62" s="454" t="s">
        <v>1105</v>
      </c>
      <c r="H62" s="461">
        <v>65</v>
      </c>
      <c r="I62" s="458" t="s">
        <v>1141</v>
      </c>
      <c r="J62" s="485">
        <v>1645</v>
      </c>
      <c r="K62" s="485">
        <v>3000</v>
      </c>
      <c r="L62" s="485">
        <v>3000</v>
      </c>
      <c r="M62" s="485">
        <v>3000</v>
      </c>
      <c r="N62" s="454"/>
      <c r="O62" s="461">
        <v>2.5</v>
      </c>
      <c r="P62" s="461">
        <v>2.1</v>
      </c>
      <c r="Q62" s="461">
        <v>0</v>
      </c>
      <c r="R62" s="461">
        <v>0</v>
      </c>
      <c r="S62" s="461">
        <v>1.8</v>
      </c>
      <c r="T62" s="461"/>
      <c r="U62" s="461">
        <v>2.5</v>
      </c>
      <c r="V62" s="461">
        <v>2.1</v>
      </c>
      <c r="W62" s="461">
        <v>0</v>
      </c>
      <c r="X62" s="461">
        <v>0</v>
      </c>
      <c r="Y62" s="461">
        <v>1.8</v>
      </c>
      <c r="Z62" s="461"/>
      <c r="AA62" s="461" t="s">
        <v>1142</v>
      </c>
      <c r="AB62" s="461" t="s">
        <v>1142</v>
      </c>
      <c r="AC62" s="461" t="s">
        <v>1142</v>
      </c>
      <c r="AD62" s="461" t="s">
        <v>1142</v>
      </c>
      <c r="AE62" s="461" t="s">
        <v>1142</v>
      </c>
      <c r="AF62" s="461"/>
      <c r="AG62" s="460" t="s">
        <v>1145</v>
      </c>
      <c r="AH62" s="460"/>
      <c r="AI62" s="460">
        <v>3</v>
      </c>
      <c r="AJ62" s="460">
        <v>3</v>
      </c>
      <c r="AK62" s="480">
        <v>0.5</v>
      </c>
      <c r="AL62" s="480">
        <v>0.5</v>
      </c>
      <c r="AM62" s="454"/>
      <c r="AN62" s="460">
        <v>0</v>
      </c>
      <c r="AO62" s="460">
        <v>0</v>
      </c>
      <c r="AP62" s="460">
        <v>3</v>
      </c>
      <c r="AQ62" s="460">
        <v>0</v>
      </c>
      <c r="AR62" s="460">
        <v>0</v>
      </c>
      <c r="AS62" s="460">
        <v>0</v>
      </c>
      <c r="AT62" s="460">
        <v>0</v>
      </c>
      <c r="AU62" s="460">
        <v>0</v>
      </c>
      <c r="AV62" s="460">
        <v>0</v>
      </c>
      <c r="AW62" s="460">
        <v>0</v>
      </c>
      <c r="AX62" s="460">
        <v>0</v>
      </c>
      <c r="AY62" s="460">
        <v>0</v>
      </c>
      <c r="AZ62" s="454"/>
      <c r="BA62" s="460" t="s">
        <v>1145</v>
      </c>
      <c r="BB62" s="460"/>
      <c r="BC62" s="460" t="s">
        <v>1145</v>
      </c>
      <c r="BD62" s="460"/>
      <c r="BE62" s="460"/>
      <c r="BF62" s="460"/>
      <c r="BG62" s="460"/>
      <c r="BH62" s="460"/>
      <c r="BI62" s="460"/>
      <c r="BJ62" s="460" t="s">
        <v>1146</v>
      </c>
      <c r="BK62" s="460"/>
      <c r="BL62" s="455"/>
      <c r="BM62" s="484" t="s">
        <v>1335</v>
      </c>
      <c r="BN62" s="454" t="s">
        <v>408</v>
      </c>
    </row>
    <row r="63" spans="1:66" s="450" customFormat="1" ht="13" customHeight="1" x14ac:dyDescent="0.2">
      <c r="A63" s="451">
        <v>316</v>
      </c>
      <c r="B63" s="452">
        <v>43843</v>
      </c>
      <c r="C63" s="453" t="s">
        <v>1138</v>
      </c>
      <c r="D63" s="454" t="s">
        <v>1110</v>
      </c>
      <c r="E63" s="452">
        <v>43831</v>
      </c>
      <c r="F63" s="454" t="s">
        <v>1160</v>
      </c>
      <c r="G63" s="454" t="s">
        <v>1161</v>
      </c>
      <c r="H63" s="461">
        <v>79.190909090909088</v>
      </c>
      <c r="I63" s="458" t="s">
        <v>1141</v>
      </c>
      <c r="J63" s="485">
        <v>1645</v>
      </c>
      <c r="K63" s="485">
        <v>3000</v>
      </c>
      <c r="L63" s="485">
        <v>3000</v>
      </c>
      <c r="M63" s="485">
        <v>3000</v>
      </c>
      <c r="N63" s="454"/>
      <c r="O63" s="461">
        <v>2.5272727272727269</v>
      </c>
      <c r="P63" s="461">
        <v>2.1454545454545451</v>
      </c>
      <c r="Q63" s="461">
        <v>0</v>
      </c>
      <c r="R63" s="461">
        <v>0</v>
      </c>
      <c r="S63" s="461">
        <v>1.8636363636363633</v>
      </c>
      <c r="T63" s="461"/>
      <c r="U63" s="461">
        <v>2.2909090909090906</v>
      </c>
      <c r="V63" s="461">
        <v>1.9363636363636361</v>
      </c>
      <c r="W63" s="461">
        <v>0</v>
      </c>
      <c r="X63" s="461">
        <v>0</v>
      </c>
      <c r="Y63" s="461">
        <v>1.6818181818181817</v>
      </c>
      <c r="Z63" s="461"/>
      <c r="AA63" s="461" t="s">
        <v>1142</v>
      </c>
      <c r="AB63" s="461" t="s">
        <v>1142</v>
      </c>
      <c r="AC63" s="461" t="s">
        <v>1142</v>
      </c>
      <c r="AD63" s="461" t="s">
        <v>1142</v>
      </c>
      <c r="AE63" s="461" t="s">
        <v>1142</v>
      </c>
      <c r="AF63" s="461"/>
      <c r="AG63" s="460" t="s">
        <v>1143</v>
      </c>
      <c r="AH63" s="460" t="s">
        <v>1144</v>
      </c>
      <c r="AI63" s="460">
        <v>2</v>
      </c>
      <c r="AJ63" s="460">
        <v>4</v>
      </c>
      <c r="AK63" s="483">
        <v>0.33329999999999999</v>
      </c>
      <c r="AL63" s="483">
        <v>0.66659999999999997</v>
      </c>
      <c r="AM63" s="454" t="s">
        <v>1124</v>
      </c>
      <c r="AN63" s="460">
        <v>0</v>
      </c>
      <c r="AO63" s="460">
        <v>0</v>
      </c>
      <c r="AP63" s="460">
        <v>0</v>
      </c>
      <c r="AQ63" s="460">
        <v>0</v>
      </c>
      <c r="AR63" s="460">
        <v>0</v>
      </c>
      <c r="AS63" s="460">
        <v>0</v>
      </c>
      <c r="AT63" s="460">
        <v>0</v>
      </c>
      <c r="AU63" s="460">
        <v>0</v>
      </c>
      <c r="AV63" s="460">
        <v>0</v>
      </c>
      <c r="AW63" s="460">
        <v>0</v>
      </c>
      <c r="AX63" s="460">
        <v>0</v>
      </c>
      <c r="AY63" s="460">
        <v>0</v>
      </c>
      <c r="AZ63" s="454"/>
      <c r="BA63" s="460" t="s">
        <v>1145</v>
      </c>
      <c r="BB63" s="460"/>
      <c r="BC63" s="460" t="s">
        <v>1145</v>
      </c>
      <c r="BD63" s="460"/>
      <c r="BE63" s="460"/>
      <c r="BF63" s="460"/>
      <c r="BG63" s="455" t="s">
        <v>1162</v>
      </c>
      <c r="BH63" s="454" t="s">
        <v>1163</v>
      </c>
      <c r="BI63" s="460">
        <v>50</v>
      </c>
      <c r="BJ63" s="460" t="s">
        <v>1164</v>
      </c>
      <c r="BK63" s="460"/>
      <c r="BL63" s="455"/>
      <c r="BM63" s="484" t="s">
        <v>1327</v>
      </c>
      <c r="BN63" s="454" t="s">
        <v>408</v>
      </c>
    </row>
    <row r="64" spans="1:66" s="450" customFormat="1" ht="13" customHeight="1" x14ac:dyDescent="0.2">
      <c r="A64" s="451">
        <v>2261</v>
      </c>
      <c r="B64" s="452">
        <v>43847</v>
      </c>
      <c r="C64" s="453" t="s">
        <v>1138</v>
      </c>
      <c r="D64" s="454" t="s">
        <v>1110</v>
      </c>
      <c r="E64" s="452">
        <v>43831</v>
      </c>
      <c r="F64" s="455" t="s">
        <v>1166</v>
      </c>
      <c r="G64" s="454" t="s">
        <v>1167</v>
      </c>
      <c r="H64" s="461">
        <v>69</v>
      </c>
      <c r="I64" s="458" t="s">
        <v>1141</v>
      </c>
      <c r="J64" s="459">
        <v>6000</v>
      </c>
      <c r="K64" s="459">
        <v>12000</v>
      </c>
      <c r="L64" s="459">
        <v>12000</v>
      </c>
      <c r="M64" s="459">
        <v>12000</v>
      </c>
      <c r="N64" s="454"/>
      <c r="O64" s="461">
        <v>2.2000000000000002</v>
      </c>
      <c r="P64" s="461">
        <v>2.1</v>
      </c>
      <c r="Q64" s="461">
        <v>0</v>
      </c>
      <c r="R64" s="461">
        <v>0</v>
      </c>
      <c r="S64" s="461">
        <v>1.8</v>
      </c>
      <c r="T64" s="461"/>
      <c r="U64" s="461">
        <v>2.2000000000000002</v>
      </c>
      <c r="V64" s="461">
        <v>2.1</v>
      </c>
      <c r="W64" s="461">
        <v>0</v>
      </c>
      <c r="X64" s="461">
        <v>0</v>
      </c>
      <c r="Y64" s="461">
        <v>1.8</v>
      </c>
      <c r="Z64" s="461"/>
      <c r="AA64" s="461" t="s">
        <v>1142</v>
      </c>
      <c r="AB64" s="461" t="s">
        <v>1142</v>
      </c>
      <c r="AC64" s="461" t="s">
        <v>1142</v>
      </c>
      <c r="AD64" s="461" t="s">
        <v>1142</v>
      </c>
      <c r="AE64" s="461" t="s">
        <v>1142</v>
      </c>
      <c r="AF64" s="461"/>
      <c r="AG64" s="460" t="s">
        <v>1145</v>
      </c>
      <c r="AH64" s="460"/>
      <c r="AI64" s="460">
        <v>3</v>
      </c>
      <c r="AJ64" s="460">
        <v>3</v>
      </c>
      <c r="AK64" s="480">
        <v>0.5</v>
      </c>
      <c r="AL64" s="480">
        <v>0.5</v>
      </c>
      <c r="AM64" s="454"/>
      <c r="AN64" s="460">
        <v>10</v>
      </c>
      <c r="AO64" s="460">
        <v>0</v>
      </c>
      <c r="AP64" s="460">
        <v>0</v>
      </c>
      <c r="AQ64" s="460">
        <v>0</v>
      </c>
      <c r="AR64" s="460">
        <v>0</v>
      </c>
      <c r="AS64" s="460">
        <v>0</v>
      </c>
      <c r="AT64" s="460">
        <v>0</v>
      </c>
      <c r="AU64" s="460">
        <v>0</v>
      </c>
      <c r="AV64" s="460">
        <v>0</v>
      </c>
      <c r="AW64" s="460">
        <v>0</v>
      </c>
      <c r="AX64" s="460">
        <v>0</v>
      </c>
      <c r="AY64" s="460">
        <v>0</v>
      </c>
      <c r="AZ64" s="454"/>
      <c r="BA64" s="460" t="s">
        <v>1145</v>
      </c>
      <c r="BB64" s="460">
        <v>12</v>
      </c>
      <c r="BC64" s="460" t="s">
        <v>1145</v>
      </c>
      <c r="BD64" s="460"/>
      <c r="BE64" s="460"/>
      <c r="BF64" s="460"/>
      <c r="BG64" s="455"/>
      <c r="BH64" s="454"/>
      <c r="BI64" s="460"/>
      <c r="BJ64" s="460" t="s">
        <v>1146</v>
      </c>
      <c r="BK64" s="460"/>
      <c r="BL64" s="455"/>
      <c r="BM64" s="454" t="s">
        <v>430</v>
      </c>
      <c r="BN64" s="454" t="s">
        <v>408</v>
      </c>
    </row>
    <row r="65" spans="1:66" s="450" customFormat="1" ht="13" customHeight="1" x14ac:dyDescent="0.2">
      <c r="A65" s="451">
        <v>2398</v>
      </c>
      <c r="B65" s="452">
        <v>43843</v>
      </c>
      <c r="C65" s="453" t="s">
        <v>1138</v>
      </c>
      <c r="D65" s="454" t="s">
        <v>1110</v>
      </c>
      <c r="E65" s="465">
        <v>43831</v>
      </c>
      <c r="F65" s="455" t="s">
        <v>1168</v>
      </c>
      <c r="G65" s="454" t="s">
        <v>1297</v>
      </c>
      <c r="H65" s="461">
        <v>70.400000000000006</v>
      </c>
      <c r="I65" s="458" t="s">
        <v>1141</v>
      </c>
      <c r="J65" s="485">
        <v>1645</v>
      </c>
      <c r="K65" s="485">
        <v>3000</v>
      </c>
      <c r="L65" s="485">
        <v>3000</v>
      </c>
      <c r="M65" s="485">
        <v>3000</v>
      </c>
      <c r="N65" s="454"/>
      <c r="O65" s="461">
        <v>2.6545454545454543</v>
      </c>
      <c r="P65" s="461">
        <v>2.4</v>
      </c>
      <c r="Q65" s="461">
        <v>0</v>
      </c>
      <c r="R65" s="461">
        <v>0</v>
      </c>
      <c r="S65" s="461">
        <v>1.8272727272727269</v>
      </c>
      <c r="T65" s="461"/>
      <c r="U65" s="461">
        <v>2.6545454545454543</v>
      </c>
      <c r="V65" s="461">
        <v>2.4</v>
      </c>
      <c r="W65" s="461">
        <v>0</v>
      </c>
      <c r="X65" s="461">
        <v>0</v>
      </c>
      <c r="Y65" s="461">
        <v>1.8272727272727269</v>
      </c>
      <c r="Z65" s="461"/>
      <c r="AA65" s="461" t="s">
        <v>1142</v>
      </c>
      <c r="AB65" s="461" t="s">
        <v>1142</v>
      </c>
      <c r="AC65" s="461" t="s">
        <v>1142</v>
      </c>
      <c r="AD65" s="461" t="s">
        <v>1142</v>
      </c>
      <c r="AE65" s="461" t="s">
        <v>1142</v>
      </c>
      <c r="AF65" s="461"/>
      <c r="AG65" s="460" t="s">
        <v>1145</v>
      </c>
      <c r="AH65" s="460"/>
      <c r="AI65" s="460">
        <v>3</v>
      </c>
      <c r="AJ65" s="460">
        <v>3</v>
      </c>
      <c r="AK65" s="480">
        <v>0.5</v>
      </c>
      <c r="AL65" s="480">
        <v>0.5</v>
      </c>
      <c r="AM65" s="454"/>
      <c r="AN65" s="460">
        <v>0</v>
      </c>
      <c r="AO65" s="460">
        <v>0</v>
      </c>
      <c r="AP65" s="460">
        <v>10</v>
      </c>
      <c r="AQ65" s="460">
        <v>0</v>
      </c>
      <c r="AR65" s="460">
        <v>0</v>
      </c>
      <c r="AS65" s="460">
        <v>0</v>
      </c>
      <c r="AT65" s="460">
        <v>0</v>
      </c>
      <c r="AU65" s="460">
        <v>0</v>
      </c>
      <c r="AV65" s="460">
        <v>0</v>
      </c>
      <c r="AW65" s="460">
        <v>0</v>
      </c>
      <c r="AX65" s="460">
        <v>0</v>
      </c>
      <c r="AY65" s="460">
        <v>0</v>
      </c>
      <c r="AZ65" s="460"/>
      <c r="BA65" s="460" t="s">
        <v>1145</v>
      </c>
      <c r="BB65" s="460"/>
      <c r="BC65" s="460" t="s">
        <v>1145</v>
      </c>
      <c r="BD65" s="460"/>
      <c r="BE65" s="460"/>
      <c r="BF65" s="460"/>
      <c r="BG65" s="455"/>
      <c r="BH65" s="454"/>
      <c r="BI65" s="460"/>
      <c r="BJ65" s="460" t="s">
        <v>1146</v>
      </c>
      <c r="BK65" s="460"/>
      <c r="BL65" s="455"/>
      <c r="BM65" s="484" t="s">
        <v>1337</v>
      </c>
      <c r="BN65" s="454" t="s">
        <v>408</v>
      </c>
    </row>
    <row r="66" spans="1:66" s="450" customFormat="1" ht="13" customHeight="1" x14ac:dyDescent="0.2">
      <c r="A66" s="451">
        <v>790</v>
      </c>
      <c r="B66" s="452">
        <v>43843</v>
      </c>
      <c r="C66" s="453" t="s">
        <v>1138</v>
      </c>
      <c r="D66" s="454" t="s">
        <v>1110</v>
      </c>
      <c r="E66" s="465">
        <v>43831</v>
      </c>
      <c r="F66" s="455" t="s">
        <v>1169</v>
      </c>
      <c r="G66" s="454" t="s">
        <v>1170</v>
      </c>
      <c r="H66" s="461">
        <v>69.899999999999991</v>
      </c>
      <c r="I66" s="458" t="s">
        <v>1141</v>
      </c>
      <c r="J66" s="485">
        <v>1645</v>
      </c>
      <c r="K66" s="485">
        <v>3000</v>
      </c>
      <c r="L66" s="485">
        <v>3000</v>
      </c>
      <c r="M66" s="485">
        <v>3000</v>
      </c>
      <c r="N66" s="454"/>
      <c r="O66" s="461">
        <v>2.9727272727272727</v>
      </c>
      <c r="P66" s="461">
        <v>2.3545454545454541</v>
      </c>
      <c r="Q66" s="461">
        <v>0</v>
      </c>
      <c r="R66" s="461">
        <v>0</v>
      </c>
      <c r="S66" s="461">
        <v>1.9818181818181817</v>
      </c>
      <c r="T66" s="461"/>
      <c r="U66" s="461">
        <v>2.9727272727272727</v>
      </c>
      <c r="V66" s="461">
        <v>2.3545454545454541</v>
      </c>
      <c r="W66" s="461">
        <v>0</v>
      </c>
      <c r="X66" s="461">
        <v>0</v>
      </c>
      <c r="Y66" s="461">
        <v>1.9818181818181817</v>
      </c>
      <c r="Z66" s="461"/>
      <c r="AA66" s="461" t="s">
        <v>1142</v>
      </c>
      <c r="AB66" s="461" t="s">
        <v>1142</v>
      </c>
      <c r="AC66" s="461" t="s">
        <v>1142</v>
      </c>
      <c r="AD66" s="461" t="s">
        <v>1142</v>
      </c>
      <c r="AE66" s="461" t="s">
        <v>1142</v>
      </c>
      <c r="AF66" s="461"/>
      <c r="AG66" s="460" t="s">
        <v>1145</v>
      </c>
      <c r="AH66" s="460"/>
      <c r="AI66" s="460">
        <v>3</v>
      </c>
      <c r="AJ66" s="460">
        <v>3</v>
      </c>
      <c r="AK66" s="480">
        <v>0.5</v>
      </c>
      <c r="AL66" s="480">
        <v>0.5</v>
      </c>
      <c r="AM66" s="454"/>
      <c r="AN66" s="460">
        <v>0</v>
      </c>
      <c r="AO66" s="460">
        <v>0</v>
      </c>
      <c r="AP66" s="460">
        <v>12</v>
      </c>
      <c r="AQ66" s="460">
        <v>0</v>
      </c>
      <c r="AR66" s="460">
        <v>0</v>
      </c>
      <c r="AS66" s="460">
        <v>0</v>
      </c>
      <c r="AT66" s="460">
        <v>0</v>
      </c>
      <c r="AU66" s="460">
        <v>0</v>
      </c>
      <c r="AV66" s="460">
        <v>0</v>
      </c>
      <c r="AW66" s="460">
        <v>0</v>
      </c>
      <c r="AX66" s="460">
        <v>0</v>
      </c>
      <c r="AY66" s="460">
        <v>0</v>
      </c>
      <c r="AZ66" s="454"/>
      <c r="BA66" s="460" t="s">
        <v>1145</v>
      </c>
      <c r="BB66" s="460"/>
      <c r="BC66" s="460" t="s">
        <v>1145</v>
      </c>
      <c r="BD66" s="460"/>
      <c r="BE66" s="460"/>
      <c r="BF66" s="460"/>
      <c r="BG66" s="455"/>
      <c r="BH66" s="454"/>
      <c r="BI66" s="460"/>
      <c r="BJ66" s="460" t="s">
        <v>1164</v>
      </c>
      <c r="BK66" s="460"/>
      <c r="BL66" s="455"/>
      <c r="BM66" s="484" t="s">
        <v>1338</v>
      </c>
      <c r="BN66" s="454" t="s">
        <v>408</v>
      </c>
    </row>
    <row r="67" spans="1:66" s="450" customFormat="1" ht="13" customHeight="1" x14ac:dyDescent="0.2">
      <c r="A67" s="451">
        <v>2221</v>
      </c>
      <c r="B67" s="452">
        <v>43843</v>
      </c>
      <c r="C67" s="453" t="s">
        <v>1138</v>
      </c>
      <c r="D67" s="454" t="s">
        <v>1110</v>
      </c>
      <c r="E67" s="465">
        <v>43647</v>
      </c>
      <c r="F67" s="454" t="s">
        <v>1173</v>
      </c>
      <c r="G67" s="454" t="s">
        <v>1174</v>
      </c>
      <c r="H67" s="461">
        <v>75</v>
      </c>
      <c r="I67" s="467" t="s">
        <v>1141</v>
      </c>
      <c r="J67" s="485">
        <v>1645</v>
      </c>
      <c r="K67" s="485">
        <v>3000</v>
      </c>
      <c r="L67" s="485">
        <v>3000</v>
      </c>
      <c r="M67" s="485">
        <v>3000</v>
      </c>
      <c r="N67" s="468"/>
      <c r="O67" s="461">
        <v>2.2818181818181813</v>
      </c>
      <c r="P67" s="461">
        <v>2.2181818181818178</v>
      </c>
      <c r="Q67" s="461">
        <v>0</v>
      </c>
      <c r="R67" s="461">
        <v>0</v>
      </c>
      <c r="S67" s="461">
        <v>1.6181818181818182</v>
      </c>
      <c r="T67" s="456"/>
      <c r="U67" s="461">
        <v>2.2818181818181813</v>
      </c>
      <c r="V67" s="461">
        <v>2.2181818181818178</v>
      </c>
      <c r="W67" s="461">
        <v>0</v>
      </c>
      <c r="X67" s="461">
        <v>0</v>
      </c>
      <c r="Y67" s="461">
        <v>1.6181818181818182</v>
      </c>
      <c r="Z67" s="456"/>
      <c r="AA67" s="461" t="s">
        <v>1142</v>
      </c>
      <c r="AB67" s="461" t="s">
        <v>1142</v>
      </c>
      <c r="AC67" s="461" t="s">
        <v>1142</v>
      </c>
      <c r="AD67" s="461" t="s">
        <v>1142</v>
      </c>
      <c r="AE67" s="461" t="s">
        <v>1142</v>
      </c>
      <c r="AF67" s="456"/>
      <c r="AG67" s="470" t="s">
        <v>1145</v>
      </c>
      <c r="AH67" s="470"/>
      <c r="AI67" s="460">
        <v>3</v>
      </c>
      <c r="AJ67" s="460">
        <v>3</v>
      </c>
      <c r="AK67" s="480">
        <v>0.5</v>
      </c>
      <c r="AL67" s="480">
        <v>0.5</v>
      </c>
      <c r="AM67" s="454"/>
      <c r="AN67" s="460">
        <v>0</v>
      </c>
      <c r="AO67" s="460">
        <v>0</v>
      </c>
      <c r="AP67" s="460">
        <v>5</v>
      </c>
      <c r="AQ67" s="460">
        <v>0</v>
      </c>
      <c r="AR67" s="460">
        <v>0</v>
      </c>
      <c r="AS67" s="460">
        <v>0</v>
      </c>
      <c r="AT67" s="460">
        <v>0</v>
      </c>
      <c r="AU67" s="460">
        <v>0</v>
      </c>
      <c r="AV67" s="460">
        <v>0</v>
      </c>
      <c r="AW67" s="460">
        <v>0</v>
      </c>
      <c r="AX67" s="460">
        <v>0</v>
      </c>
      <c r="AY67" s="460">
        <v>0</v>
      </c>
      <c r="AZ67" s="460"/>
      <c r="BA67" s="460" t="s">
        <v>1145</v>
      </c>
      <c r="BB67" s="460">
        <v>12</v>
      </c>
      <c r="BC67" s="460" t="s">
        <v>1145</v>
      </c>
      <c r="BD67" s="460"/>
      <c r="BE67" s="460"/>
      <c r="BF67" s="460"/>
      <c r="BG67" s="455"/>
      <c r="BH67" s="454"/>
      <c r="BI67" s="460"/>
      <c r="BJ67" s="460" t="s">
        <v>1164</v>
      </c>
      <c r="BK67" s="460"/>
      <c r="BL67" s="455"/>
      <c r="BM67" s="454" t="s">
        <v>1207</v>
      </c>
      <c r="BN67" s="454" t="s">
        <v>368</v>
      </c>
    </row>
    <row r="68" spans="1:66" s="450" customFormat="1" ht="13" customHeight="1" x14ac:dyDescent="0.2">
      <c r="A68" s="451">
        <v>1912</v>
      </c>
      <c r="B68" s="452">
        <v>43843</v>
      </c>
      <c r="C68" s="453" t="s">
        <v>1138</v>
      </c>
      <c r="D68" s="454" t="s">
        <v>1110</v>
      </c>
      <c r="E68" s="452">
        <v>43831</v>
      </c>
      <c r="F68" s="455" t="s">
        <v>987</v>
      </c>
      <c r="G68" s="454" t="s">
        <v>1127</v>
      </c>
      <c r="H68" s="461">
        <v>54.536000000000001</v>
      </c>
      <c r="I68" s="458" t="s">
        <v>1141</v>
      </c>
      <c r="J68" s="485">
        <v>1645</v>
      </c>
      <c r="K68" s="485">
        <v>3000</v>
      </c>
      <c r="L68" s="485">
        <v>3000</v>
      </c>
      <c r="M68" s="485">
        <v>3000</v>
      </c>
      <c r="N68" s="454"/>
      <c r="O68" s="461">
        <v>2.5499999999999998</v>
      </c>
      <c r="P68" s="461">
        <v>2.1760000000000002</v>
      </c>
      <c r="Q68" s="461">
        <v>0</v>
      </c>
      <c r="R68" s="461">
        <v>0</v>
      </c>
      <c r="S68" s="461">
        <v>1.87</v>
      </c>
      <c r="T68" s="461"/>
      <c r="U68" s="461">
        <v>2.5499999999999998</v>
      </c>
      <c r="V68" s="461">
        <v>2.1760000000000002</v>
      </c>
      <c r="W68" s="461">
        <v>0</v>
      </c>
      <c r="X68" s="461">
        <v>0</v>
      </c>
      <c r="Y68" s="461">
        <v>1.87</v>
      </c>
      <c r="Z68" s="461"/>
      <c r="AA68" s="461" t="s">
        <v>1142</v>
      </c>
      <c r="AB68" s="461" t="s">
        <v>1142</v>
      </c>
      <c r="AC68" s="461" t="s">
        <v>1142</v>
      </c>
      <c r="AD68" s="461" t="s">
        <v>1142</v>
      </c>
      <c r="AE68" s="461" t="s">
        <v>1142</v>
      </c>
      <c r="AF68" s="461"/>
      <c r="AG68" s="460" t="s">
        <v>1145</v>
      </c>
      <c r="AH68" s="460"/>
      <c r="AI68" s="460">
        <v>3</v>
      </c>
      <c r="AJ68" s="460">
        <v>3</v>
      </c>
      <c r="AK68" s="480">
        <v>0.5</v>
      </c>
      <c r="AL68" s="480">
        <v>0.5</v>
      </c>
      <c r="AM68" s="454"/>
      <c r="AN68" s="460">
        <v>0</v>
      </c>
      <c r="AO68" s="460">
        <v>0</v>
      </c>
      <c r="AP68" s="460">
        <v>0</v>
      </c>
      <c r="AQ68" s="460">
        <v>0</v>
      </c>
      <c r="AR68" s="460">
        <v>0</v>
      </c>
      <c r="AS68" s="460">
        <v>0</v>
      </c>
      <c r="AT68" s="460">
        <v>0</v>
      </c>
      <c r="AU68" s="460">
        <v>0</v>
      </c>
      <c r="AV68" s="460">
        <v>0</v>
      </c>
      <c r="AW68" s="460">
        <v>0</v>
      </c>
      <c r="AX68" s="460">
        <v>0</v>
      </c>
      <c r="AY68" s="460">
        <v>0</v>
      </c>
      <c r="AZ68" s="460"/>
      <c r="BA68" s="460" t="s">
        <v>1145</v>
      </c>
      <c r="BB68" s="460"/>
      <c r="BC68" s="460" t="s">
        <v>1145</v>
      </c>
      <c r="BD68" s="460"/>
      <c r="BE68" s="460"/>
      <c r="BF68" s="460"/>
      <c r="BG68" s="455"/>
      <c r="BH68" s="454"/>
      <c r="BI68" s="460"/>
      <c r="BJ68" s="460" t="s">
        <v>1146</v>
      </c>
      <c r="BK68" s="460">
        <v>1</v>
      </c>
      <c r="BL68" s="455"/>
      <c r="BM68" s="454" t="s">
        <v>1330</v>
      </c>
      <c r="BN68" s="454" t="s">
        <v>408</v>
      </c>
    </row>
    <row r="69" spans="1:66" s="450" customFormat="1" ht="13" customHeight="1" x14ac:dyDescent="0.2">
      <c r="A69" s="451">
        <v>1686</v>
      </c>
      <c r="B69" s="452">
        <v>43843</v>
      </c>
      <c r="C69" s="453" t="s">
        <v>295</v>
      </c>
      <c r="D69" s="454" t="s">
        <v>1110</v>
      </c>
      <c r="E69" s="452">
        <v>43801</v>
      </c>
      <c r="F69" s="455" t="s">
        <v>1106</v>
      </c>
      <c r="G69" s="454" t="s">
        <v>2</v>
      </c>
      <c r="H69" s="461">
        <v>57.999999999999993</v>
      </c>
      <c r="I69" s="458" t="s">
        <v>296</v>
      </c>
      <c r="J69" s="459">
        <v>3000</v>
      </c>
      <c r="K69" s="459">
        <v>3000</v>
      </c>
      <c r="L69" s="459">
        <v>3000</v>
      </c>
      <c r="M69" s="459">
        <v>3000</v>
      </c>
      <c r="N69" s="454"/>
      <c r="O69" s="461">
        <v>2.3909090909090907</v>
      </c>
      <c r="P69" s="482">
        <v>0</v>
      </c>
      <c r="Q69" s="461">
        <v>0</v>
      </c>
      <c r="R69" s="461">
        <v>0</v>
      </c>
      <c r="S69" s="461">
        <v>1.6272727272727272</v>
      </c>
      <c r="T69" s="461"/>
      <c r="U69" s="461">
        <v>2.3909090909090907</v>
      </c>
      <c r="V69" s="482">
        <v>0</v>
      </c>
      <c r="W69" s="461">
        <v>0</v>
      </c>
      <c r="X69" s="461">
        <v>0</v>
      </c>
      <c r="Y69" s="461">
        <v>1.6272727272727272</v>
      </c>
      <c r="Z69" s="461"/>
      <c r="AA69" s="461" t="s">
        <v>1142</v>
      </c>
      <c r="AB69" s="461" t="s">
        <v>1142</v>
      </c>
      <c r="AC69" s="461" t="s">
        <v>1142</v>
      </c>
      <c r="AD69" s="461" t="s">
        <v>1142</v>
      </c>
      <c r="AE69" s="461" t="s">
        <v>1142</v>
      </c>
      <c r="AF69" s="461"/>
      <c r="AG69" s="460" t="s">
        <v>1145</v>
      </c>
      <c r="AH69" s="460"/>
      <c r="AI69" s="460">
        <v>3</v>
      </c>
      <c r="AJ69" s="460">
        <v>3</v>
      </c>
      <c r="AK69" s="480">
        <v>0.5</v>
      </c>
      <c r="AL69" s="480">
        <v>0.5</v>
      </c>
      <c r="AM69" s="454"/>
      <c r="AN69" s="460">
        <v>0</v>
      </c>
      <c r="AO69" s="460">
        <v>0</v>
      </c>
      <c r="AP69" s="460">
        <v>5</v>
      </c>
      <c r="AQ69" s="460">
        <v>0</v>
      </c>
      <c r="AR69" s="460">
        <v>0</v>
      </c>
      <c r="AS69" s="460">
        <v>0</v>
      </c>
      <c r="AT69" s="460">
        <v>0</v>
      </c>
      <c r="AU69" s="460">
        <v>0</v>
      </c>
      <c r="AV69" s="460">
        <v>0</v>
      </c>
      <c r="AW69" s="460">
        <v>0</v>
      </c>
      <c r="AX69" s="460">
        <v>0</v>
      </c>
      <c r="AY69" s="460">
        <v>0</v>
      </c>
      <c r="AZ69" s="460"/>
      <c r="BA69" s="460" t="s">
        <v>1145</v>
      </c>
      <c r="BB69" s="460"/>
      <c r="BC69" s="460" t="s">
        <v>1145</v>
      </c>
      <c r="BD69" s="460"/>
      <c r="BE69" s="460"/>
      <c r="BF69" s="455"/>
      <c r="BG69" s="454"/>
      <c r="BH69" s="460"/>
      <c r="BI69" s="460"/>
      <c r="BJ69" s="460" t="s">
        <v>1146</v>
      </c>
      <c r="BK69" s="460">
        <v>1</v>
      </c>
      <c r="BL69" s="454"/>
      <c r="BM69" s="454" t="s">
        <v>1334</v>
      </c>
      <c r="BN69" s="454" t="s">
        <v>368</v>
      </c>
    </row>
    <row r="70" spans="1:66" s="450" customFormat="1" ht="13" customHeight="1" x14ac:dyDescent="0.2">
      <c r="A70" s="451">
        <v>2213</v>
      </c>
      <c r="B70" s="452">
        <v>43843</v>
      </c>
      <c r="C70" s="453" t="s">
        <v>1138</v>
      </c>
      <c r="D70" s="454" t="s">
        <v>1110</v>
      </c>
      <c r="E70" s="465">
        <v>43831</v>
      </c>
      <c r="F70" s="454" t="s">
        <v>34</v>
      </c>
      <c r="G70" s="454" t="s">
        <v>1178</v>
      </c>
      <c r="H70" s="461">
        <v>72.654545454545456</v>
      </c>
      <c r="I70" s="467"/>
      <c r="J70" s="468"/>
      <c r="K70" s="468"/>
      <c r="L70" s="468"/>
      <c r="M70" s="468"/>
      <c r="N70" s="468"/>
      <c r="O70" s="461">
        <v>1.9363636363636361</v>
      </c>
      <c r="P70" s="461">
        <v>0</v>
      </c>
      <c r="Q70" s="461">
        <v>0</v>
      </c>
      <c r="R70" s="461">
        <v>0</v>
      </c>
      <c r="S70" s="461">
        <v>0</v>
      </c>
      <c r="T70" s="456"/>
      <c r="U70" s="461">
        <v>1.9363636363636361</v>
      </c>
      <c r="V70" s="461">
        <v>0</v>
      </c>
      <c r="W70" s="461">
        <v>0</v>
      </c>
      <c r="X70" s="461">
        <v>0</v>
      </c>
      <c r="Y70" s="461">
        <v>0</v>
      </c>
      <c r="Z70" s="456"/>
      <c r="AA70" s="461" t="s">
        <v>1142</v>
      </c>
      <c r="AB70" s="461" t="s">
        <v>1142</v>
      </c>
      <c r="AC70" s="461" t="s">
        <v>1142</v>
      </c>
      <c r="AD70" s="461" t="s">
        <v>1142</v>
      </c>
      <c r="AE70" s="461" t="s">
        <v>1142</v>
      </c>
      <c r="AF70" s="456"/>
      <c r="AG70" s="470" t="s">
        <v>1145</v>
      </c>
      <c r="AH70" s="470"/>
      <c r="AI70" s="460">
        <v>3</v>
      </c>
      <c r="AJ70" s="460">
        <v>3</v>
      </c>
      <c r="AK70" s="480">
        <v>0.5</v>
      </c>
      <c r="AL70" s="480">
        <v>0.5</v>
      </c>
      <c r="AM70" s="454"/>
      <c r="AN70" s="460">
        <v>0</v>
      </c>
      <c r="AO70" s="460">
        <v>0</v>
      </c>
      <c r="AP70" s="460">
        <v>5</v>
      </c>
      <c r="AQ70" s="460">
        <v>0</v>
      </c>
      <c r="AR70" s="460">
        <v>0</v>
      </c>
      <c r="AS70" s="460">
        <v>0</v>
      </c>
      <c r="AT70" s="460">
        <v>0</v>
      </c>
      <c r="AU70" s="460">
        <v>0</v>
      </c>
      <c r="AV70" s="460">
        <v>0</v>
      </c>
      <c r="AW70" s="460">
        <v>0</v>
      </c>
      <c r="AX70" s="460">
        <v>0</v>
      </c>
      <c r="AY70" s="460">
        <v>0</v>
      </c>
      <c r="AZ70" s="460"/>
      <c r="BA70" s="460" t="s">
        <v>1145</v>
      </c>
      <c r="BB70" s="460"/>
      <c r="BC70" s="460" t="s">
        <v>1145</v>
      </c>
      <c r="BD70" s="460"/>
      <c r="BE70" s="460"/>
      <c r="BF70" s="460"/>
      <c r="BG70" s="455"/>
      <c r="BH70" s="454"/>
      <c r="BI70" s="460"/>
      <c r="BJ70" s="460" t="s">
        <v>1164</v>
      </c>
      <c r="BK70" s="460"/>
      <c r="BL70" s="455" t="s">
        <v>47</v>
      </c>
      <c r="BM70" s="484" t="s">
        <v>1336</v>
      </c>
      <c r="BN70" s="454" t="s">
        <v>408</v>
      </c>
    </row>
    <row r="71" spans="1:66" s="450" customFormat="1" ht="13" customHeight="1" x14ac:dyDescent="0.2">
      <c r="A71" s="451">
        <v>2056</v>
      </c>
      <c r="B71" s="452">
        <v>43843</v>
      </c>
      <c r="C71" s="453" t="s">
        <v>1138</v>
      </c>
      <c r="D71" s="454" t="s">
        <v>1110</v>
      </c>
      <c r="E71" s="452">
        <v>43831</v>
      </c>
      <c r="F71" s="455" t="s">
        <v>1180</v>
      </c>
      <c r="G71" s="454" t="s">
        <v>1181</v>
      </c>
      <c r="H71" s="461">
        <v>76.954545454545453</v>
      </c>
      <c r="I71" s="458"/>
      <c r="J71" s="454"/>
      <c r="K71" s="454"/>
      <c r="L71" s="454"/>
      <c r="M71" s="454"/>
      <c r="N71" s="454"/>
      <c r="O71" s="461">
        <v>1.8636363636363633</v>
      </c>
      <c r="P71" s="461">
        <v>0</v>
      </c>
      <c r="Q71" s="461">
        <v>0</v>
      </c>
      <c r="R71" s="461">
        <v>0</v>
      </c>
      <c r="S71" s="461">
        <v>0</v>
      </c>
      <c r="T71" s="461"/>
      <c r="U71" s="461">
        <v>1.8636363636363633</v>
      </c>
      <c r="V71" s="461">
        <v>0</v>
      </c>
      <c r="W71" s="461">
        <v>0</v>
      </c>
      <c r="X71" s="461">
        <v>0</v>
      </c>
      <c r="Y71" s="461">
        <v>0</v>
      </c>
      <c r="Z71" s="461"/>
      <c r="AA71" s="461" t="s">
        <v>1142</v>
      </c>
      <c r="AB71" s="461" t="s">
        <v>1142</v>
      </c>
      <c r="AC71" s="461" t="s">
        <v>1142</v>
      </c>
      <c r="AD71" s="461" t="s">
        <v>1142</v>
      </c>
      <c r="AE71" s="461" t="s">
        <v>1142</v>
      </c>
      <c r="AF71" s="461"/>
      <c r="AG71" s="460" t="s">
        <v>1145</v>
      </c>
      <c r="AH71" s="460"/>
      <c r="AI71" s="460">
        <v>3</v>
      </c>
      <c r="AJ71" s="460">
        <v>3</v>
      </c>
      <c r="AK71" s="480">
        <v>0.5</v>
      </c>
      <c r="AL71" s="480">
        <v>0.5</v>
      </c>
      <c r="AM71" s="454"/>
      <c r="AN71" s="460">
        <v>0</v>
      </c>
      <c r="AO71" s="460">
        <v>0</v>
      </c>
      <c r="AP71" s="460">
        <v>0</v>
      </c>
      <c r="AQ71" s="460">
        <v>0</v>
      </c>
      <c r="AR71" s="460">
        <v>0</v>
      </c>
      <c r="AS71" s="460">
        <v>0</v>
      </c>
      <c r="AT71" s="460">
        <v>0</v>
      </c>
      <c r="AU71" s="460">
        <v>0</v>
      </c>
      <c r="AV71" s="460">
        <v>0</v>
      </c>
      <c r="AW71" s="460">
        <v>0</v>
      </c>
      <c r="AX71" s="460">
        <v>0</v>
      </c>
      <c r="AY71" s="460">
        <v>0</v>
      </c>
      <c r="AZ71" s="460"/>
      <c r="BA71" s="460" t="s">
        <v>1145</v>
      </c>
      <c r="BB71" s="460"/>
      <c r="BC71" s="460" t="s">
        <v>1145</v>
      </c>
      <c r="BD71" s="460"/>
      <c r="BE71" s="460"/>
      <c r="BF71" s="460"/>
      <c r="BG71" s="455"/>
      <c r="BH71" s="454"/>
      <c r="BI71" s="460"/>
      <c r="BJ71" s="460" t="s">
        <v>1164</v>
      </c>
      <c r="BK71" s="460"/>
      <c r="BL71" s="455" t="s">
        <v>1284</v>
      </c>
      <c r="BM71" s="454" t="s">
        <v>1332</v>
      </c>
      <c r="BN71" s="454" t="s">
        <v>408</v>
      </c>
    </row>
    <row r="72" spans="1:66" s="450" customFormat="1" ht="13" customHeight="1" x14ac:dyDescent="0.2">
      <c r="A72" s="451">
        <v>2462</v>
      </c>
      <c r="B72" s="452">
        <v>43843</v>
      </c>
      <c r="C72" s="453" t="s">
        <v>1138</v>
      </c>
      <c r="D72" s="454" t="s">
        <v>1110</v>
      </c>
      <c r="E72" s="465">
        <v>43731</v>
      </c>
      <c r="F72" s="454" t="s">
        <v>1274</v>
      </c>
      <c r="G72" s="454" t="s">
        <v>1275</v>
      </c>
      <c r="H72" s="461">
        <v>72.999999999999986</v>
      </c>
      <c r="I72" s="467" t="s">
        <v>1141</v>
      </c>
      <c r="J72" s="485">
        <v>1645</v>
      </c>
      <c r="K72" s="485">
        <v>3000</v>
      </c>
      <c r="L72" s="485">
        <v>3000</v>
      </c>
      <c r="M72" s="485">
        <v>3000</v>
      </c>
      <c r="N72" s="468"/>
      <c r="O72" s="461">
        <v>2.6636363636363636</v>
      </c>
      <c r="P72" s="461">
        <v>2.336363636363636</v>
      </c>
      <c r="Q72" s="482">
        <v>0</v>
      </c>
      <c r="R72" s="461">
        <v>0</v>
      </c>
      <c r="S72" s="461">
        <v>1.9909090909090907</v>
      </c>
      <c r="T72" s="456"/>
      <c r="U72" s="461">
        <v>2.6636363636363636</v>
      </c>
      <c r="V72" s="461">
        <v>2.336363636363636</v>
      </c>
      <c r="W72" s="482">
        <v>0</v>
      </c>
      <c r="X72" s="461">
        <v>0</v>
      </c>
      <c r="Y72" s="461">
        <v>1.9909090909090907</v>
      </c>
      <c r="Z72" s="456"/>
      <c r="AA72" s="461" t="s">
        <v>1142</v>
      </c>
      <c r="AB72" s="461" t="s">
        <v>1142</v>
      </c>
      <c r="AC72" s="461" t="s">
        <v>1142</v>
      </c>
      <c r="AD72" s="461" t="s">
        <v>1142</v>
      </c>
      <c r="AE72" s="461" t="s">
        <v>1142</v>
      </c>
      <c r="AF72" s="456"/>
      <c r="AG72" s="470" t="s">
        <v>1145</v>
      </c>
      <c r="AH72" s="470"/>
      <c r="AI72" s="460">
        <v>3</v>
      </c>
      <c r="AJ72" s="460">
        <v>3</v>
      </c>
      <c r="AK72" s="480">
        <v>0.5</v>
      </c>
      <c r="AL72" s="480">
        <v>0.5</v>
      </c>
      <c r="AM72" s="454"/>
      <c r="AN72" s="460">
        <v>0</v>
      </c>
      <c r="AO72" s="460">
        <v>0</v>
      </c>
      <c r="AP72" s="460">
        <v>0</v>
      </c>
      <c r="AQ72" s="460">
        <v>15</v>
      </c>
      <c r="AR72" s="460">
        <v>0</v>
      </c>
      <c r="AS72" s="460">
        <v>0</v>
      </c>
      <c r="AT72" s="460">
        <v>0</v>
      </c>
      <c r="AU72" s="460">
        <v>0</v>
      </c>
      <c r="AV72" s="460">
        <v>0</v>
      </c>
      <c r="AW72" s="460">
        <v>0</v>
      </c>
      <c r="AX72" s="460">
        <v>0</v>
      </c>
      <c r="AY72" s="460">
        <v>0</v>
      </c>
      <c r="AZ72" s="460"/>
      <c r="BA72" s="460" t="s">
        <v>1145</v>
      </c>
      <c r="BB72" s="460"/>
      <c r="BC72" s="460" t="s">
        <v>1145</v>
      </c>
      <c r="BD72" s="460"/>
      <c r="BE72" s="460"/>
      <c r="BF72" s="460"/>
      <c r="BG72" s="455"/>
      <c r="BH72" s="454"/>
      <c r="BI72" s="460"/>
      <c r="BJ72" s="460" t="s">
        <v>1164</v>
      </c>
      <c r="BK72" s="460">
        <v>1</v>
      </c>
      <c r="BL72" s="455"/>
      <c r="BM72" s="454" t="s">
        <v>1339</v>
      </c>
      <c r="BN72" s="454" t="s">
        <v>368</v>
      </c>
    </row>
    <row r="73" spans="1:66" s="450" customFormat="1" ht="13" customHeight="1" x14ac:dyDescent="0.2">
      <c r="A73" s="451">
        <v>2336</v>
      </c>
      <c r="B73" s="452">
        <v>43843</v>
      </c>
      <c r="C73" s="453" t="s">
        <v>1138</v>
      </c>
      <c r="D73" s="454" t="s">
        <v>1110</v>
      </c>
      <c r="E73" s="465">
        <v>43831</v>
      </c>
      <c r="F73" s="454" t="s">
        <v>1291</v>
      </c>
      <c r="G73" s="454" t="s">
        <v>1181</v>
      </c>
      <c r="H73" s="461">
        <v>61.581818181818171</v>
      </c>
      <c r="I73" s="467"/>
      <c r="J73" s="468"/>
      <c r="K73" s="468"/>
      <c r="L73" s="468"/>
      <c r="M73" s="468"/>
      <c r="N73" s="468"/>
      <c r="O73" s="461">
        <v>2.1090909090909089</v>
      </c>
      <c r="P73" s="461">
        <v>0</v>
      </c>
      <c r="Q73" s="461">
        <v>0</v>
      </c>
      <c r="R73" s="461">
        <v>0</v>
      </c>
      <c r="S73" s="461">
        <v>0</v>
      </c>
      <c r="T73" s="456"/>
      <c r="U73" s="461">
        <v>2.1090909090909089</v>
      </c>
      <c r="V73" s="461">
        <v>0</v>
      </c>
      <c r="W73" s="461">
        <v>0</v>
      </c>
      <c r="X73" s="461">
        <v>0</v>
      </c>
      <c r="Y73" s="461">
        <v>0</v>
      </c>
      <c r="Z73" s="456"/>
      <c r="AA73" s="461" t="s">
        <v>1142</v>
      </c>
      <c r="AB73" s="461" t="s">
        <v>1142</v>
      </c>
      <c r="AC73" s="461" t="s">
        <v>1142</v>
      </c>
      <c r="AD73" s="461" t="s">
        <v>1142</v>
      </c>
      <c r="AE73" s="461" t="s">
        <v>1142</v>
      </c>
      <c r="AF73" s="456"/>
      <c r="AG73" s="470" t="s">
        <v>1145</v>
      </c>
      <c r="AH73" s="470"/>
      <c r="AI73" s="460">
        <v>3</v>
      </c>
      <c r="AJ73" s="460">
        <v>3</v>
      </c>
      <c r="AK73" s="480">
        <v>0.5</v>
      </c>
      <c r="AL73" s="480">
        <v>0.5</v>
      </c>
      <c r="AM73" s="454"/>
      <c r="AN73" s="460">
        <v>0</v>
      </c>
      <c r="AO73" s="460">
        <v>0</v>
      </c>
      <c r="AP73" s="460">
        <v>0</v>
      </c>
      <c r="AQ73" s="460">
        <v>0</v>
      </c>
      <c r="AR73" s="460">
        <v>0</v>
      </c>
      <c r="AS73" s="460">
        <v>0</v>
      </c>
      <c r="AT73" s="460">
        <v>0</v>
      </c>
      <c r="AU73" s="460">
        <v>0</v>
      </c>
      <c r="AV73" s="460">
        <v>0</v>
      </c>
      <c r="AW73" s="460">
        <v>0</v>
      </c>
      <c r="AX73" s="460">
        <v>0</v>
      </c>
      <c r="AY73" s="460">
        <v>0</v>
      </c>
      <c r="AZ73" s="460"/>
      <c r="BA73" s="460" t="s">
        <v>1145</v>
      </c>
      <c r="BB73" s="460"/>
      <c r="BC73" s="460" t="s">
        <v>1145</v>
      </c>
      <c r="BD73" s="460"/>
      <c r="BE73" s="460"/>
      <c r="BF73" s="460"/>
      <c r="BG73" s="455"/>
      <c r="BH73" s="454"/>
      <c r="BI73" s="460"/>
      <c r="BJ73" s="460" t="s">
        <v>4</v>
      </c>
      <c r="BK73" s="460"/>
      <c r="BL73" s="455" t="s">
        <v>1284</v>
      </c>
      <c r="BM73" s="484" t="s">
        <v>1340</v>
      </c>
      <c r="BN73" s="454" t="s">
        <v>408</v>
      </c>
    </row>
    <row r="74" spans="1:66" s="450" customFormat="1" ht="13" customHeight="1" x14ac:dyDescent="0.2">
      <c r="A74" s="451">
        <v>2384</v>
      </c>
      <c r="B74" s="452">
        <v>43843</v>
      </c>
      <c r="C74" s="453" t="s">
        <v>295</v>
      </c>
      <c r="D74" s="454" t="s">
        <v>1111</v>
      </c>
      <c r="E74" s="452">
        <v>43831</v>
      </c>
      <c r="F74" s="455" t="s">
        <v>1044</v>
      </c>
      <c r="G74" s="454" t="s">
        <v>1277</v>
      </c>
      <c r="H74" s="461">
        <v>76.154545454545442</v>
      </c>
      <c r="I74" s="458" t="s">
        <v>296</v>
      </c>
      <c r="J74" s="485">
        <v>1645</v>
      </c>
      <c r="K74" s="485">
        <v>3000</v>
      </c>
      <c r="L74" s="485">
        <v>3000</v>
      </c>
      <c r="M74" s="485">
        <v>3000</v>
      </c>
      <c r="N74" s="454"/>
      <c r="O74" s="461">
        <v>2.0181818181818181</v>
      </c>
      <c r="P74" s="461">
        <v>1.7727272727272725</v>
      </c>
      <c r="Q74" s="461">
        <v>0</v>
      </c>
      <c r="R74" s="461">
        <v>0</v>
      </c>
      <c r="S74" s="461">
        <v>1.4090909090909089</v>
      </c>
      <c r="T74" s="461"/>
      <c r="U74" s="461">
        <v>2.0181818181818181</v>
      </c>
      <c r="V74" s="461">
        <v>1.7727272727272725</v>
      </c>
      <c r="W74" s="461">
        <v>0</v>
      </c>
      <c r="X74" s="461">
        <v>0</v>
      </c>
      <c r="Y74" s="461">
        <v>1.4090909090909089</v>
      </c>
      <c r="Z74" s="461"/>
      <c r="AA74" s="461" t="s">
        <v>1142</v>
      </c>
      <c r="AB74" s="461" t="s">
        <v>1142</v>
      </c>
      <c r="AC74" s="461" t="s">
        <v>1142</v>
      </c>
      <c r="AD74" s="461" t="s">
        <v>1142</v>
      </c>
      <c r="AE74" s="461" t="s">
        <v>1142</v>
      </c>
      <c r="AF74" s="461"/>
      <c r="AG74" s="460" t="s">
        <v>1145</v>
      </c>
      <c r="AH74" s="460"/>
      <c r="AI74" s="460">
        <v>3</v>
      </c>
      <c r="AJ74" s="460">
        <v>3</v>
      </c>
      <c r="AK74" s="480">
        <v>0.5</v>
      </c>
      <c r="AL74" s="480">
        <v>0.5</v>
      </c>
      <c r="AM74" s="454"/>
      <c r="AN74" s="460">
        <v>0</v>
      </c>
      <c r="AO74" s="460">
        <v>0</v>
      </c>
      <c r="AP74" s="460">
        <v>0</v>
      </c>
      <c r="AQ74" s="460">
        <v>0</v>
      </c>
      <c r="AR74" s="460">
        <v>0</v>
      </c>
      <c r="AS74" s="460">
        <v>0</v>
      </c>
      <c r="AT74" s="460">
        <v>0</v>
      </c>
      <c r="AU74" s="460">
        <v>0</v>
      </c>
      <c r="AV74" s="460">
        <v>0</v>
      </c>
      <c r="AW74" s="460">
        <v>0</v>
      </c>
      <c r="AX74" s="460">
        <v>0</v>
      </c>
      <c r="AY74" s="460">
        <v>0</v>
      </c>
      <c r="AZ74" s="460"/>
      <c r="BA74" s="460" t="s">
        <v>1145</v>
      </c>
      <c r="BB74" s="460"/>
      <c r="BC74" s="460" t="s">
        <v>1145</v>
      </c>
      <c r="BD74" s="460"/>
      <c r="BE74" s="460"/>
      <c r="BF74" s="460"/>
      <c r="BG74" s="455"/>
      <c r="BH74" s="454"/>
      <c r="BI74" s="460"/>
      <c r="BJ74" s="460" t="s">
        <v>1146</v>
      </c>
      <c r="BK74" s="460"/>
      <c r="BL74" s="455"/>
      <c r="BM74" s="481" t="s">
        <v>1343</v>
      </c>
      <c r="BN74" s="454" t="s">
        <v>408</v>
      </c>
    </row>
    <row r="75" spans="1:66" s="450" customFormat="1" ht="13" customHeight="1" x14ac:dyDescent="0.2">
      <c r="A75" s="451">
        <v>2494</v>
      </c>
      <c r="B75" s="452">
        <v>43843</v>
      </c>
      <c r="C75" s="453" t="s">
        <v>1138</v>
      </c>
      <c r="D75" s="454" t="s">
        <v>1111</v>
      </c>
      <c r="E75" s="452">
        <v>43836</v>
      </c>
      <c r="F75" s="455" t="s">
        <v>1148</v>
      </c>
      <c r="G75" s="454" t="s">
        <v>1280</v>
      </c>
      <c r="H75" s="461">
        <v>62.999999999999993</v>
      </c>
      <c r="I75" s="458" t="s">
        <v>296</v>
      </c>
      <c r="J75" s="485">
        <v>1645</v>
      </c>
      <c r="K75" s="485">
        <v>3000</v>
      </c>
      <c r="L75" s="485">
        <v>3000</v>
      </c>
      <c r="M75" s="485">
        <v>3000</v>
      </c>
      <c r="N75" s="454"/>
      <c r="O75" s="461">
        <v>2.5999999999999996</v>
      </c>
      <c r="P75" s="461">
        <v>2.1999999999999997</v>
      </c>
      <c r="Q75" s="461">
        <v>0</v>
      </c>
      <c r="R75" s="461">
        <v>0</v>
      </c>
      <c r="S75" s="461">
        <v>1.7</v>
      </c>
      <c r="T75" s="461"/>
      <c r="U75" s="461">
        <v>2.5999999999999996</v>
      </c>
      <c r="V75" s="461">
        <v>2.1999999999999997</v>
      </c>
      <c r="W75" s="461">
        <v>0</v>
      </c>
      <c r="X75" s="461">
        <v>0</v>
      </c>
      <c r="Y75" s="461">
        <v>1.7</v>
      </c>
      <c r="Z75" s="461"/>
      <c r="AA75" s="461" t="s">
        <v>1142</v>
      </c>
      <c r="AB75" s="461" t="s">
        <v>1142</v>
      </c>
      <c r="AC75" s="461" t="s">
        <v>1142</v>
      </c>
      <c r="AD75" s="461" t="s">
        <v>1142</v>
      </c>
      <c r="AE75" s="461" t="s">
        <v>1142</v>
      </c>
      <c r="AF75" s="461"/>
      <c r="AG75" s="460" t="s">
        <v>1145</v>
      </c>
      <c r="AH75" s="460"/>
      <c r="AI75" s="460">
        <v>3</v>
      </c>
      <c r="AJ75" s="460">
        <v>3</v>
      </c>
      <c r="AK75" s="480">
        <v>0.5</v>
      </c>
      <c r="AL75" s="480">
        <v>0.5</v>
      </c>
      <c r="AM75" s="454"/>
      <c r="AN75" s="460">
        <v>0</v>
      </c>
      <c r="AO75" s="460">
        <v>0</v>
      </c>
      <c r="AP75" s="460">
        <v>0</v>
      </c>
      <c r="AQ75" s="460">
        <v>0</v>
      </c>
      <c r="AR75" s="460">
        <v>0</v>
      </c>
      <c r="AS75" s="460">
        <v>0</v>
      </c>
      <c r="AT75" s="460">
        <v>0</v>
      </c>
      <c r="AU75" s="460">
        <v>0</v>
      </c>
      <c r="AV75" s="460">
        <v>0</v>
      </c>
      <c r="AW75" s="460">
        <v>0</v>
      </c>
      <c r="AX75" s="460">
        <v>0</v>
      </c>
      <c r="AY75" s="460">
        <v>0</v>
      </c>
      <c r="AZ75" s="454"/>
      <c r="BA75" s="460" t="s">
        <v>1145</v>
      </c>
      <c r="BB75" s="460"/>
      <c r="BC75" s="460" t="s">
        <v>1145</v>
      </c>
      <c r="BD75" s="460"/>
      <c r="BE75" s="460"/>
      <c r="BF75" s="460"/>
      <c r="BG75" s="455"/>
      <c r="BH75" s="454"/>
      <c r="BI75" s="460"/>
      <c r="BJ75" s="460" t="s">
        <v>4</v>
      </c>
      <c r="BK75" s="460"/>
      <c r="BL75" s="455"/>
      <c r="BM75" s="454" t="s">
        <v>1344</v>
      </c>
      <c r="BN75" s="454" t="s">
        <v>1121</v>
      </c>
    </row>
    <row r="76" spans="1:66" s="450" customFormat="1" ht="13" customHeight="1" x14ac:dyDescent="0.2">
      <c r="A76" s="451">
        <v>2520</v>
      </c>
      <c r="B76" s="452">
        <v>43843</v>
      </c>
      <c r="C76" s="453" t="s">
        <v>1138</v>
      </c>
      <c r="D76" s="454" t="s">
        <v>1111</v>
      </c>
      <c r="E76" s="452">
        <v>43831</v>
      </c>
      <c r="F76" s="455" t="s">
        <v>1152</v>
      </c>
      <c r="G76" s="454" t="s">
        <v>1283</v>
      </c>
      <c r="H76" s="461">
        <v>59.345454545454544</v>
      </c>
      <c r="I76" s="458" t="s">
        <v>1141</v>
      </c>
      <c r="J76" s="485">
        <v>1645</v>
      </c>
      <c r="K76" s="485">
        <v>3000</v>
      </c>
      <c r="L76" s="485">
        <v>3000</v>
      </c>
      <c r="M76" s="485">
        <v>3000</v>
      </c>
      <c r="N76" s="454"/>
      <c r="O76" s="461">
        <v>2.7727272727272725</v>
      </c>
      <c r="P76" s="461">
        <v>2.3636363636363633</v>
      </c>
      <c r="Q76" s="461">
        <v>0</v>
      </c>
      <c r="R76" s="461">
        <v>0</v>
      </c>
      <c r="S76" s="461">
        <v>2.0363636363636366</v>
      </c>
      <c r="T76" s="461"/>
      <c r="U76" s="461">
        <v>2.7727272727272725</v>
      </c>
      <c r="V76" s="461">
        <v>2.3636363636363633</v>
      </c>
      <c r="W76" s="461">
        <v>0</v>
      </c>
      <c r="X76" s="461">
        <v>0</v>
      </c>
      <c r="Y76" s="461">
        <v>2.0363636363636366</v>
      </c>
      <c r="Z76" s="461"/>
      <c r="AA76" s="461" t="s">
        <v>1142</v>
      </c>
      <c r="AB76" s="461" t="s">
        <v>1142</v>
      </c>
      <c r="AC76" s="461" t="s">
        <v>1142</v>
      </c>
      <c r="AD76" s="461" t="s">
        <v>1142</v>
      </c>
      <c r="AE76" s="461" t="s">
        <v>1142</v>
      </c>
      <c r="AF76" s="461"/>
      <c r="AG76" s="460" t="s">
        <v>1145</v>
      </c>
      <c r="AH76" s="460"/>
      <c r="AI76" s="460">
        <v>3</v>
      </c>
      <c r="AJ76" s="460">
        <v>3</v>
      </c>
      <c r="AK76" s="480">
        <v>0.5</v>
      </c>
      <c r="AL76" s="480">
        <v>0.5</v>
      </c>
      <c r="AM76" s="454"/>
      <c r="AN76" s="460">
        <v>0</v>
      </c>
      <c r="AO76" s="460">
        <v>0</v>
      </c>
      <c r="AP76" s="460">
        <v>0</v>
      </c>
      <c r="AQ76" s="460">
        <v>0</v>
      </c>
      <c r="AR76" s="460">
        <v>0</v>
      </c>
      <c r="AS76" s="460">
        <v>0</v>
      </c>
      <c r="AT76" s="460">
        <v>0</v>
      </c>
      <c r="AU76" s="460">
        <v>0</v>
      </c>
      <c r="AV76" s="460">
        <v>0</v>
      </c>
      <c r="AW76" s="460">
        <v>0</v>
      </c>
      <c r="AX76" s="460">
        <v>0</v>
      </c>
      <c r="AY76" s="460">
        <v>0</v>
      </c>
      <c r="AZ76" s="454"/>
      <c r="BA76" s="460" t="s">
        <v>1145</v>
      </c>
      <c r="BB76" s="460"/>
      <c r="BC76" s="460" t="s">
        <v>1145</v>
      </c>
      <c r="BD76" s="460"/>
      <c r="BE76" s="460"/>
      <c r="BF76" s="460"/>
      <c r="BG76" s="455"/>
      <c r="BH76" s="454"/>
      <c r="BI76" s="460"/>
      <c r="BJ76" s="460" t="s">
        <v>1146</v>
      </c>
      <c r="BK76" s="460">
        <v>1</v>
      </c>
      <c r="BL76" s="455" t="s">
        <v>1284</v>
      </c>
      <c r="BM76" s="454" t="s">
        <v>1346</v>
      </c>
      <c r="BN76" s="454" t="s">
        <v>1121</v>
      </c>
    </row>
    <row r="77" spans="1:66" s="450" customFormat="1" ht="13" customHeight="1" x14ac:dyDescent="0.2">
      <c r="A77" s="451"/>
      <c r="B77" s="452">
        <v>43847</v>
      </c>
      <c r="C77" s="453" t="s">
        <v>398</v>
      </c>
      <c r="D77" s="454" t="s">
        <v>1111</v>
      </c>
      <c r="E77" s="465">
        <v>43831</v>
      </c>
      <c r="F77" s="454" t="s">
        <v>1050</v>
      </c>
      <c r="G77" s="454" t="s">
        <v>418</v>
      </c>
      <c r="H77" s="456">
        <v>75</v>
      </c>
      <c r="I77" s="458" t="s">
        <v>1141</v>
      </c>
      <c r="J77" s="485">
        <v>1645</v>
      </c>
      <c r="K77" s="485">
        <v>3000</v>
      </c>
      <c r="L77" s="485">
        <v>3000</v>
      </c>
      <c r="M77" s="485">
        <v>3000</v>
      </c>
      <c r="N77" s="468"/>
      <c r="O77" s="456">
        <v>3.1727272727272728</v>
      </c>
      <c r="P77" s="456">
        <v>2.5</v>
      </c>
      <c r="Q77" s="461">
        <v>0</v>
      </c>
      <c r="R77" s="461">
        <v>0</v>
      </c>
      <c r="S77" s="456">
        <v>2.2545454545454544</v>
      </c>
      <c r="T77" s="466"/>
      <c r="U77" s="456">
        <v>3.1727272727272728</v>
      </c>
      <c r="V77" s="456">
        <v>2.5</v>
      </c>
      <c r="W77" s="461">
        <v>0</v>
      </c>
      <c r="X77" s="461">
        <v>0</v>
      </c>
      <c r="Y77" s="456">
        <v>2.2545454545454544</v>
      </c>
      <c r="Z77" s="466"/>
      <c r="AA77" s="466"/>
      <c r="AB77" s="466"/>
      <c r="AC77" s="466"/>
      <c r="AD77" s="466"/>
      <c r="AE77" s="466"/>
      <c r="AF77" s="466"/>
      <c r="AG77" s="470" t="s">
        <v>405</v>
      </c>
      <c r="AH77" s="470"/>
      <c r="AI77" s="460">
        <v>3</v>
      </c>
      <c r="AJ77" s="460">
        <v>3</v>
      </c>
      <c r="AK77" s="480">
        <v>0.5</v>
      </c>
      <c r="AL77" s="480">
        <v>0.5</v>
      </c>
      <c r="AM77" s="454"/>
      <c r="AN77" s="460">
        <v>0</v>
      </c>
      <c r="AO77" s="460">
        <v>16</v>
      </c>
      <c r="AP77" s="460">
        <v>0</v>
      </c>
      <c r="AQ77" s="460">
        <v>0</v>
      </c>
      <c r="AR77" s="460">
        <v>0</v>
      </c>
      <c r="AS77" s="460">
        <v>0</v>
      </c>
      <c r="AT77" s="460">
        <v>0</v>
      </c>
      <c r="AU77" s="460">
        <v>0</v>
      </c>
      <c r="AV77" s="460">
        <v>0</v>
      </c>
      <c r="AW77" s="460">
        <v>0</v>
      </c>
      <c r="AX77" s="460">
        <v>0</v>
      </c>
      <c r="AY77" s="460">
        <v>0</v>
      </c>
      <c r="AZ77" s="460"/>
      <c r="BA77" s="460" t="s">
        <v>405</v>
      </c>
      <c r="BB77" s="460"/>
      <c r="BC77" s="460" t="s">
        <v>405</v>
      </c>
      <c r="BD77" s="460"/>
      <c r="BE77" s="460"/>
      <c r="BF77" s="460"/>
      <c r="BG77" s="455"/>
      <c r="BH77" s="454"/>
      <c r="BI77" s="460"/>
      <c r="BJ77" s="460" t="s">
        <v>4</v>
      </c>
      <c r="BK77" s="460">
        <v>1</v>
      </c>
      <c r="BL77" s="455"/>
      <c r="BM77" s="486" t="s">
        <v>1341</v>
      </c>
      <c r="BN77" s="454" t="s">
        <v>1121</v>
      </c>
    </row>
    <row r="78" spans="1:66" s="450" customFormat="1" ht="13" customHeight="1" x14ac:dyDescent="0.2">
      <c r="A78" s="451"/>
      <c r="B78" s="452">
        <v>43847</v>
      </c>
      <c r="C78" s="453" t="s">
        <v>398</v>
      </c>
      <c r="D78" s="454" t="s">
        <v>1111</v>
      </c>
      <c r="E78" s="465">
        <v>43725</v>
      </c>
      <c r="F78" s="454" t="s">
        <v>1052</v>
      </c>
      <c r="G78" s="454" t="s">
        <v>1181</v>
      </c>
      <c r="H78" s="456">
        <v>60.454545454545446</v>
      </c>
      <c r="I78" s="458" t="s">
        <v>1141</v>
      </c>
      <c r="J78" s="485">
        <v>1645</v>
      </c>
      <c r="K78" s="485">
        <v>3000</v>
      </c>
      <c r="L78" s="485">
        <v>3000</v>
      </c>
      <c r="M78" s="485">
        <v>3000</v>
      </c>
      <c r="N78" s="468"/>
      <c r="O78" s="456">
        <v>2.754545454545454</v>
      </c>
      <c r="P78" s="456">
        <v>2.1999999999999997</v>
      </c>
      <c r="Q78" s="461">
        <v>0</v>
      </c>
      <c r="R78" s="461">
        <v>0</v>
      </c>
      <c r="S78" s="456">
        <v>2.0545454545454542</v>
      </c>
      <c r="T78" s="466"/>
      <c r="U78" s="456">
        <v>2.754545454545454</v>
      </c>
      <c r="V78" s="456">
        <v>2.1999999999999997</v>
      </c>
      <c r="W78" s="461">
        <v>0</v>
      </c>
      <c r="X78" s="461">
        <v>0</v>
      </c>
      <c r="Y78" s="456">
        <v>2.0545454545454542</v>
      </c>
      <c r="Z78" s="466"/>
      <c r="AA78" s="466"/>
      <c r="AB78" s="466"/>
      <c r="AC78" s="466"/>
      <c r="AD78" s="466"/>
      <c r="AE78" s="466"/>
      <c r="AF78" s="466"/>
      <c r="AG78" s="470" t="s">
        <v>405</v>
      </c>
      <c r="AH78" s="470"/>
      <c r="AI78" s="460">
        <v>3</v>
      </c>
      <c r="AJ78" s="460">
        <v>3</v>
      </c>
      <c r="AK78" s="480">
        <v>0.5</v>
      </c>
      <c r="AL78" s="480">
        <v>0.5</v>
      </c>
      <c r="AM78" s="454"/>
      <c r="AN78" s="460">
        <v>0</v>
      </c>
      <c r="AO78" s="460">
        <v>0</v>
      </c>
      <c r="AP78" s="460">
        <v>0</v>
      </c>
      <c r="AQ78" s="460">
        <v>20</v>
      </c>
      <c r="AR78" s="460">
        <v>0</v>
      </c>
      <c r="AS78" s="460">
        <v>0</v>
      </c>
      <c r="AT78" s="460">
        <v>0</v>
      </c>
      <c r="AU78" s="460">
        <v>0</v>
      </c>
      <c r="AV78" s="460">
        <v>0</v>
      </c>
      <c r="AW78" s="460">
        <v>0</v>
      </c>
      <c r="AX78" s="460">
        <v>0</v>
      </c>
      <c r="AY78" s="460">
        <v>0</v>
      </c>
      <c r="AZ78" s="460"/>
      <c r="BA78" s="460" t="s">
        <v>405</v>
      </c>
      <c r="BB78" s="460"/>
      <c r="BC78" s="460" t="s">
        <v>405</v>
      </c>
      <c r="BD78" s="460"/>
      <c r="BE78" s="460"/>
      <c r="BF78" s="460"/>
      <c r="BG78" s="455"/>
      <c r="BH78" s="454"/>
      <c r="BI78" s="460"/>
      <c r="BJ78" s="460" t="s">
        <v>4</v>
      </c>
      <c r="BK78" s="460"/>
      <c r="BL78" s="455"/>
      <c r="BM78" s="486" t="s">
        <v>1351</v>
      </c>
      <c r="BN78" s="454" t="s">
        <v>1121</v>
      </c>
    </row>
    <row r="79" spans="1:66" s="450" customFormat="1" ht="13" customHeight="1" x14ac:dyDescent="0.2">
      <c r="A79" s="451">
        <v>2116</v>
      </c>
      <c r="B79" s="452">
        <v>43843</v>
      </c>
      <c r="C79" s="453" t="s">
        <v>1138</v>
      </c>
      <c r="D79" s="454" t="s">
        <v>1111</v>
      </c>
      <c r="E79" s="452">
        <v>43831</v>
      </c>
      <c r="F79" s="455" t="s">
        <v>1156</v>
      </c>
      <c r="G79" s="454" t="s">
        <v>1157</v>
      </c>
      <c r="H79" s="461">
        <v>82.5</v>
      </c>
      <c r="I79" s="458" t="s">
        <v>1141</v>
      </c>
      <c r="J79" s="459">
        <v>3000</v>
      </c>
      <c r="K79" s="459">
        <v>3000</v>
      </c>
      <c r="L79" s="459">
        <v>3000</v>
      </c>
      <c r="M79" s="459">
        <v>3000</v>
      </c>
      <c r="N79" s="454"/>
      <c r="O79" s="461">
        <v>3.0272727272727269</v>
      </c>
      <c r="P79" s="482">
        <v>0</v>
      </c>
      <c r="Q79" s="461">
        <v>0</v>
      </c>
      <c r="R79" s="461">
        <v>0</v>
      </c>
      <c r="S79" s="461">
        <v>2.0272727272727269</v>
      </c>
      <c r="T79" s="461"/>
      <c r="U79" s="461">
        <v>3.0272727272727269</v>
      </c>
      <c r="V79" s="482">
        <v>0</v>
      </c>
      <c r="W79" s="461">
        <v>0</v>
      </c>
      <c r="X79" s="461">
        <v>0</v>
      </c>
      <c r="Y79" s="461">
        <v>2.0272727272727269</v>
      </c>
      <c r="Z79" s="461"/>
      <c r="AA79" s="461" t="s">
        <v>1142</v>
      </c>
      <c r="AB79" s="461" t="s">
        <v>1142</v>
      </c>
      <c r="AC79" s="461" t="s">
        <v>1142</v>
      </c>
      <c r="AD79" s="461" t="s">
        <v>1142</v>
      </c>
      <c r="AE79" s="461" t="s">
        <v>1142</v>
      </c>
      <c r="AF79" s="461"/>
      <c r="AG79" s="460" t="s">
        <v>1145</v>
      </c>
      <c r="AH79" s="454"/>
      <c r="AI79" s="460">
        <v>3</v>
      </c>
      <c r="AJ79" s="460">
        <v>3</v>
      </c>
      <c r="AK79" s="480">
        <v>0.5</v>
      </c>
      <c r="AL79" s="480">
        <v>0.5</v>
      </c>
      <c r="AM79" s="454"/>
      <c r="AN79" s="460">
        <v>23</v>
      </c>
      <c r="AO79" s="460">
        <v>0</v>
      </c>
      <c r="AP79" s="460">
        <v>0</v>
      </c>
      <c r="AQ79" s="460">
        <v>0</v>
      </c>
      <c r="AR79" s="460">
        <v>0</v>
      </c>
      <c r="AS79" s="460">
        <v>0</v>
      </c>
      <c r="AT79" s="460">
        <v>0</v>
      </c>
      <c r="AU79" s="460">
        <v>0</v>
      </c>
      <c r="AV79" s="460">
        <v>0</v>
      </c>
      <c r="AW79" s="460">
        <v>0</v>
      </c>
      <c r="AX79" s="460">
        <v>0</v>
      </c>
      <c r="AY79" s="460">
        <v>0</v>
      </c>
      <c r="AZ79" s="472">
        <v>12</v>
      </c>
      <c r="BA79" s="460" t="s">
        <v>1145</v>
      </c>
      <c r="BB79" s="460">
        <v>12</v>
      </c>
      <c r="BC79" s="460" t="s">
        <v>1145</v>
      </c>
      <c r="BD79" s="460"/>
      <c r="BE79" s="460">
        <v>12</v>
      </c>
      <c r="BF79" s="460"/>
      <c r="BG79" s="455"/>
      <c r="BH79" s="454"/>
      <c r="BI79" s="460"/>
      <c r="BJ79" s="460" t="s">
        <v>1146</v>
      </c>
      <c r="BK79" s="460"/>
      <c r="BL79" s="455"/>
      <c r="BM79" s="484" t="s">
        <v>1347</v>
      </c>
      <c r="BN79" s="454" t="s">
        <v>408</v>
      </c>
    </row>
    <row r="80" spans="1:66" s="450" customFormat="1" ht="16" x14ac:dyDescent="0.2">
      <c r="A80" s="451">
        <v>1934</v>
      </c>
      <c r="B80" s="452">
        <v>43843</v>
      </c>
      <c r="C80" s="453" t="s">
        <v>1138</v>
      </c>
      <c r="D80" s="454" t="s">
        <v>1111</v>
      </c>
      <c r="E80" s="452">
        <v>43831</v>
      </c>
      <c r="F80" s="455" t="s">
        <v>1159</v>
      </c>
      <c r="G80" s="454" t="s">
        <v>1105</v>
      </c>
      <c r="H80" s="461">
        <v>65</v>
      </c>
      <c r="I80" s="458" t="s">
        <v>1141</v>
      </c>
      <c r="J80" s="485">
        <v>1645</v>
      </c>
      <c r="K80" s="485">
        <v>3000</v>
      </c>
      <c r="L80" s="485">
        <v>3000</v>
      </c>
      <c r="M80" s="485">
        <v>3000</v>
      </c>
      <c r="N80" s="454"/>
      <c r="O80" s="461">
        <v>2.5</v>
      </c>
      <c r="P80" s="461">
        <v>2</v>
      </c>
      <c r="Q80" s="461">
        <v>0</v>
      </c>
      <c r="R80" s="461">
        <v>0</v>
      </c>
      <c r="S80" s="461">
        <v>1.8</v>
      </c>
      <c r="T80" s="461"/>
      <c r="U80" s="461">
        <v>2.5</v>
      </c>
      <c r="V80" s="461">
        <v>2</v>
      </c>
      <c r="W80" s="461">
        <v>0</v>
      </c>
      <c r="X80" s="461">
        <v>0</v>
      </c>
      <c r="Y80" s="461">
        <v>1.8</v>
      </c>
      <c r="Z80" s="461"/>
      <c r="AA80" s="461" t="s">
        <v>1142</v>
      </c>
      <c r="AB80" s="461" t="s">
        <v>1142</v>
      </c>
      <c r="AC80" s="461" t="s">
        <v>1142</v>
      </c>
      <c r="AD80" s="461" t="s">
        <v>1142</v>
      </c>
      <c r="AE80" s="461" t="s">
        <v>1142</v>
      </c>
      <c r="AF80" s="461"/>
      <c r="AG80" s="460" t="s">
        <v>1145</v>
      </c>
      <c r="AH80" s="460"/>
      <c r="AI80" s="460">
        <v>3</v>
      </c>
      <c r="AJ80" s="460">
        <v>3</v>
      </c>
      <c r="AK80" s="480">
        <v>0.5</v>
      </c>
      <c r="AL80" s="480">
        <v>0.5</v>
      </c>
      <c r="AM80" s="454"/>
      <c r="AN80" s="460">
        <v>0</v>
      </c>
      <c r="AO80" s="460">
        <v>0</v>
      </c>
      <c r="AP80" s="460">
        <v>3</v>
      </c>
      <c r="AQ80" s="460">
        <v>0</v>
      </c>
      <c r="AR80" s="460">
        <v>0</v>
      </c>
      <c r="AS80" s="460">
        <v>0</v>
      </c>
      <c r="AT80" s="460">
        <v>0</v>
      </c>
      <c r="AU80" s="460">
        <v>0</v>
      </c>
      <c r="AV80" s="460">
        <v>0</v>
      </c>
      <c r="AW80" s="460">
        <v>0</v>
      </c>
      <c r="AX80" s="460">
        <v>0</v>
      </c>
      <c r="AY80" s="460">
        <v>0</v>
      </c>
      <c r="AZ80" s="454"/>
      <c r="BA80" s="460" t="s">
        <v>1145</v>
      </c>
      <c r="BB80" s="460"/>
      <c r="BC80" s="460" t="s">
        <v>1145</v>
      </c>
      <c r="BD80" s="460"/>
      <c r="BE80" s="460"/>
      <c r="BF80" s="460"/>
      <c r="BG80" s="460"/>
      <c r="BH80" s="460"/>
      <c r="BI80" s="460"/>
      <c r="BJ80" s="460" t="s">
        <v>1146</v>
      </c>
      <c r="BK80" s="460"/>
      <c r="BL80" s="455"/>
      <c r="BM80" s="484" t="s">
        <v>1348</v>
      </c>
      <c r="BN80" s="454" t="s">
        <v>408</v>
      </c>
    </row>
    <row r="81" spans="1:66" s="450" customFormat="1" ht="16" x14ac:dyDescent="0.2">
      <c r="A81" s="451">
        <v>315</v>
      </c>
      <c r="B81" s="452">
        <v>43843</v>
      </c>
      <c r="C81" s="453" t="s">
        <v>1138</v>
      </c>
      <c r="D81" s="454" t="s">
        <v>1111</v>
      </c>
      <c r="E81" s="452">
        <v>43831</v>
      </c>
      <c r="F81" s="454" t="s">
        <v>1160</v>
      </c>
      <c r="G81" s="454" t="s">
        <v>1161</v>
      </c>
      <c r="H81" s="461">
        <v>79.190909090909088</v>
      </c>
      <c r="I81" s="458" t="s">
        <v>1141</v>
      </c>
      <c r="J81" s="485">
        <v>1645</v>
      </c>
      <c r="K81" s="485">
        <v>3000</v>
      </c>
      <c r="L81" s="485">
        <v>3000</v>
      </c>
      <c r="M81" s="485">
        <v>3000</v>
      </c>
      <c r="N81" s="454"/>
      <c r="O81" s="461">
        <v>2.5272727272727269</v>
      </c>
      <c r="P81" s="461">
        <v>2.1454545454545451</v>
      </c>
      <c r="Q81" s="461">
        <v>0</v>
      </c>
      <c r="R81" s="461">
        <v>0</v>
      </c>
      <c r="S81" s="461">
        <v>1.8636363636363633</v>
      </c>
      <c r="T81" s="461"/>
      <c r="U81" s="461">
        <v>2.2909090909090906</v>
      </c>
      <c r="V81" s="461">
        <v>1.9363636363636361</v>
      </c>
      <c r="W81" s="461">
        <v>0</v>
      </c>
      <c r="X81" s="461">
        <v>0</v>
      </c>
      <c r="Y81" s="461">
        <v>1.6818181818181817</v>
      </c>
      <c r="Z81" s="461"/>
      <c r="AA81" s="461" t="s">
        <v>1142</v>
      </c>
      <c r="AB81" s="461" t="s">
        <v>1142</v>
      </c>
      <c r="AC81" s="461" t="s">
        <v>1142</v>
      </c>
      <c r="AD81" s="461" t="s">
        <v>1142</v>
      </c>
      <c r="AE81" s="461" t="s">
        <v>1142</v>
      </c>
      <c r="AF81" s="461"/>
      <c r="AG81" s="460" t="s">
        <v>1143</v>
      </c>
      <c r="AH81" s="460" t="s">
        <v>1144</v>
      </c>
      <c r="AI81" s="460">
        <v>2</v>
      </c>
      <c r="AJ81" s="460">
        <v>4</v>
      </c>
      <c r="AK81" s="483">
        <v>0.33329999999999999</v>
      </c>
      <c r="AL81" s="483">
        <v>0.66659999999999997</v>
      </c>
      <c r="AM81" s="454" t="s">
        <v>1124</v>
      </c>
      <c r="AN81" s="460">
        <v>0</v>
      </c>
      <c r="AO81" s="460">
        <v>0</v>
      </c>
      <c r="AP81" s="460">
        <v>0</v>
      </c>
      <c r="AQ81" s="460">
        <v>0</v>
      </c>
      <c r="AR81" s="460">
        <v>0</v>
      </c>
      <c r="AS81" s="460">
        <v>0</v>
      </c>
      <c r="AT81" s="460">
        <v>0</v>
      </c>
      <c r="AU81" s="460">
        <v>0</v>
      </c>
      <c r="AV81" s="460">
        <v>0</v>
      </c>
      <c r="AW81" s="460">
        <v>0</v>
      </c>
      <c r="AX81" s="460">
        <v>0</v>
      </c>
      <c r="AY81" s="460">
        <v>0</v>
      </c>
      <c r="AZ81" s="454"/>
      <c r="BA81" s="460" t="s">
        <v>1145</v>
      </c>
      <c r="BB81" s="460"/>
      <c r="BC81" s="460" t="s">
        <v>1145</v>
      </c>
      <c r="BD81" s="460"/>
      <c r="BE81" s="460"/>
      <c r="BF81" s="460"/>
      <c r="BG81" s="455" t="s">
        <v>1162</v>
      </c>
      <c r="BH81" s="454" t="s">
        <v>1163</v>
      </c>
      <c r="BI81" s="460">
        <v>50</v>
      </c>
      <c r="BJ81" s="460" t="s">
        <v>1164</v>
      </c>
      <c r="BK81" s="460"/>
      <c r="BL81" s="455"/>
      <c r="BM81" s="484" t="s">
        <v>1327</v>
      </c>
      <c r="BN81" s="454" t="s">
        <v>408</v>
      </c>
    </row>
    <row r="82" spans="1:66" s="450" customFormat="1" ht="16" x14ac:dyDescent="0.2">
      <c r="A82" s="451">
        <v>2260</v>
      </c>
      <c r="B82" s="452">
        <v>43843</v>
      </c>
      <c r="C82" s="453" t="s">
        <v>1138</v>
      </c>
      <c r="D82" s="454" t="s">
        <v>1111</v>
      </c>
      <c r="E82" s="452">
        <v>43831</v>
      </c>
      <c r="F82" s="455" t="s">
        <v>1166</v>
      </c>
      <c r="G82" s="454" t="s">
        <v>1167</v>
      </c>
      <c r="H82" s="461">
        <v>69</v>
      </c>
      <c r="I82" s="458" t="s">
        <v>1141</v>
      </c>
      <c r="J82" s="459">
        <v>6000</v>
      </c>
      <c r="K82" s="459">
        <v>12000</v>
      </c>
      <c r="L82" s="459">
        <v>12000</v>
      </c>
      <c r="M82" s="459">
        <v>12000</v>
      </c>
      <c r="N82" s="454"/>
      <c r="O82" s="461">
        <v>2.2000000000000002</v>
      </c>
      <c r="P82" s="461">
        <v>2.1</v>
      </c>
      <c r="Q82" s="461">
        <v>0</v>
      </c>
      <c r="R82" s="461">
        <v>0</v>
      </c>
      <c r="S82" s="461">
        <v>1.8</v>
      </c>
      <c r="T82" s="461"/>
      <c r="U82" s="461">
        <v>2.2000000000000002</v>
      </c>
      <c r="V82" s="461">
        <v>2.1</v>
      </c>
      <c r="W82" s="461">
        <v>0</v>
      </c>
      <c r="X82" s="461">
        <v>0</v>
      </c>
      <c r="Y82" s="461">
        <v>1.8</v>
      </c>
      <c r="Z82" s="461"/>
      <c r="AA82" s="461" t="s">
        <v>1142</v>
      </c>
      <c r="AB82" s="461" t="s">
        <v>1142</v>
      </c>
      <c r="AC82" s="461" t="s">
        <v>1142</v>
      </c>
      <c r="AD82" s="461" t="s">
        <v>1142</v>
      </c>
      <c r="AE82" s="461" t="s">
        <v>1142</v>
      </c>
      <c r="AF82" s="461"/>
      <c r="AG82" s="460" t="s">
        <v>1145</v>
      </c>
      <c r="AH82" s="460"/>
      <c r="AI82" s="460">
        <v>3</v>
      </c>
      <c r="AJ82" s="460">
        <v>3</v>
      </c>
      <c r="AK82" s="480">
        <v>0.5</v>
      </c>
      <c r="AL82" s="480">
        <v>0.5</v>
      </c>
      <c r="AM82" s="454"/>
      <c r="AN82" s="460">
        <v>10</v>
      </c>
      <c r="AO82" s="460">
        <v>0</v>
      </c>
      <c r="AP82" s="460">
        <v>0</v>
      </c>
      <c r="AQ82" s="460">
        <v>0</v>
      </c>
      <c r="AR82" s="460">
        <v>0</v>
      </c>
      <c r="AS82" s="460">
        <v>0</v>
      </c>
      <c r="AT82" s="460">
        <v>0</v>
      </c>
      <c r="AU82" s="460">
        <v>0</v>
      </c>
      <c r="AV82" s="460">
        <v>0</v>
      </c>
      <c r="AW82" s="460">
        <v>0</v>
      </c>
      <c r="AX82" s="460">
        <v>0</v>
      </c>
      <c r="AY82" s="460">
        <v>0</v>
      </c>
      <c r="AZ82" s="454"/>
      <c r="BA82" s="460" t="s">
        <v>1145</v>
      </c>
      <c r="BB82" s="460">
        <v>12</v>
      </c>
      <c r="BC82" s="460" t="s">
        <v>1145</v>
      </c>
      <c r="BD82" s="460"/>
      <c r="BE82" s="460"/>
      <c r="BF82" s="460"/>
      <c r="BG82" s="455"/>
      <c r="BH82" s="454"/>
      <c r="BI82" s="460"/>
      <c r="BJ82" s="460" t="s">
        <v>1146</v>
      </c>
      <c r="BK82" s="460"/>
      <c r="BL82" s="455"/>
      <c r="BM82" s="454" t="s">
        <v>430</v>
      </c>
      <c r="BN82" s="454" t="s">
        <v>408</v>
      </c>
    </row>
    <row r="83" spans="1:66" s="450" customFormat="1" ht="13" customHeight="1" x14ac:dyDescent="0.2">
      <c r="A83" s="451">
        <v>2397</v>
      </c>
      <c r="B83" s="452">
        <v>43843</v>
      </c>
      <c r="C83" s="453" t="s">
        <v>1138</v>
      </c>
      <c r="D83" s="454" t="s">
        <v>1111</v>
      </c>
      <c r="E83" s="465">
        <v>43831</v>
      </c>
      <c r="F83" s="455" t="s">
        <v>1168</v>
      </c>
      <c r="G83" s="454" t="s">
        <v>1297</v>
      </c>
      <c r="H83" s="461">
        <v>70.400000000000006</v>
      </c>
      <c r="I83" s="458" t="s">
        <v>1141</v>
      </c>
      <c r="J83" s="485">
        <v>1645</v>
      </c>
      <c r="K83" s="485">
        <v>3000</v>
      </c>
      <c r="L83" s="485">
        <v>3000</v>
      </c>
      <c r="M83" s="485">
        <v>3000</v>
      </c>
      <c r="N83" s="454"/>
      <c r="O83" s="461">
        <v>2.6545454545454543</v>
      </c>
      <c r="P83" s="461">
        <v>2.4</v>
      </c>
      <c r="Q83" s="461">
        <v>0</v>
      </c>
      <c r="R83" s="461">
        <v>0</v>
      </c>
      <c r="S83" s="461">
        <v>1.8272727272727269</v>
      </c>
      <c r="T83" s="461"/>
      <c r="U83" s="461">
        <v>2.6545454545454543</v>
      </c>
      <c r="V83" s="461">
        <v>2.4</v>
      </c>
      <c r="W83" s="461">
        <v>0</v>
      </c>
      <c r="X83" s="461">
        <v>0</v>
      </c>
      <c r="Y83" s="461">
        <v>1.8272727272727269</v>
      </c>
      <c r="Z83" s="461"/>
      <c r="AA83" s="461" t="s">
        <v>1142</v>
      </c>
      <c r="AB83" s="461" t="s">
        <v>1142</v>
      </c>
      <c r="AC83" s="461" t="s">
        <v>1142</v>
      </c>
      <c r="AD83" s="461" t="s">
        <v>1142</v>
      </c>
      <c r="AE83" s="461" t="s">
        <v>1142</v>
      </c>
      <c r="AF83" s="461"/>
      <c r="AG83" s="460" t="s">
        <v>1145</v>
      </c>
      <c r="AH83" s="460"/>
      <c r="AI83" s="460">
        <v>3</v>
      </c>
      <c r="AJ83" s="460">
        <v>3</v>
      </c>
      <c r="AK83" s="480">
        <v>0.5</v>
      </c>
      <c r="AL83" s="480">
        <v>0.5</v>
      </c>
      <c r="AM83" s="454"/>
      <c r="AN83" s="460">
        <v>0</v>
      </c>
      <c r="AO83" s="460">
        <v>0</v>
      </c>
      <c r="AP83" s="460">
        <v>10</v>
      </c>
      <c r="AQ83" s="460">
        <v>0</v>
      </c>
      <c r="AR83" s="460">
        <v>0</v>
      </c>
      <c r="AS83" s="460">
        <v>0</v>
      </c>
      <c r="AT83" s="460">
        <v>0</v>
      </c>
      <c r="AU83" s="460">
        <v>0</v>
      </c>
      <c r="AV83" s="460">
        <v>0</v>
      </c>
      <c r="AW83" s="460">
        <v>0</v>
      </c>
      <c r="AX83" s="460">
        <v>0</v>
      </c>
      <c r="AY83" s="460">
        <v>0</v>
      </c>
      <c r="AZ83" s="460"/>
      <c r="BA83" s="460" t="s">
        <v>1145</v>
      </c>
      <c r="BB83" s="460"/>
      <c r="BC83" s="460" t="s">
        <v>1145</v>
      </c>
      <c r="BD83" s="460"/>
      <c r="BE83" s="460"/>
      <c r="BF83" s="460"/>
      <c r="BG83" s="455"/>
      <c r="BH83" s="454"/>
      <c r="BI83" s="460"/>
      <c r="BJ83" s="460" t="s">
        <v>1146</v>
      </c>
      <c r="BK83" s="460"/>
      <c r="BL83" s="455"/>
      <c r="BM83" s="484" t="s">
        <v>1349</v>
      </c>
      <c r="BN83" s="454" t="s">
        <v>408</v>
      </c>
    </row>
    <row r="84" spans="1:66" s="450" customFormat="1" ht="13" customHeight="1" x14ac:dyDescent="0.2">
      <c r="A84" s="451">
        <v>787</v>
      </c>
      <c r="B84" s="452">
        <v>43843</v>
      </c>
      <c r="C84" s="453" t="s">
        <v>1138</v>
      </c>
      <c r="D84" s="454" t="s">
        <v>1111</v>
      </c>
      <c r="E84" s="465">
        <v>43831</v>
      </c>
      <c r="F84" s="455" t="s">
        <v>1169</v>
      </c>
      <c r="G84" s="454" t="s">
        <v>1170</v>
      </c>
      <c r="H84" s="461">
        <v>69.899999999999991</v>
      </c>
      <c r="I84" s="458" t="s">
        <v>1141</v>
      </c>
      <c r="J84" s="485">
        <v>1645</v>
      </c>
      <c r="K84" s="485">
        <v>3000</v>
      </c>
      <c r="L84" s="485">
        <v>3000</v>
      </c>
      <c r="M84" s="485">
        <v>3000</v>
      </c>
      <c r="N84" s="454"/>
      <c r="O84" s="461">
        <v>2.9727272727272727</v>
      </c>
      <c r="P84" s="461">
        <v>2.3545454545454541</v>
      </c>
      <c r="Q84" s="461">
        <v>0</v>
      </c>
      <c r="R84" s="461">
        <v>0</v>
      </c>
      <c r="S84" s="461">
        <v>1.9818181818181817</v>
      </c>
      <c r="T84" s="461"/>
      <c r="U84" s="461">
        <v>2.9727272727272727</v>
      </c>
      <c r="V84" s="461">
        <v>2.3545454545454541</v>
      </c>
      <c r="W84" s="461">
        <v>0</v>
      </c>
      <c r="X84" s="461">
        <v>0</v>
      </c>
      <c r="Y84" s="461">
        <v>1.9818181818181817</v>
      </c>
      <c r="Z84" s="461"/>
      <c r="AA84" s="461" t="s">
        <v>1142</v>
      </c>
      <c r="AB84" s="461" t="s">
        <v>1142</v>
      </c>
      <c r="AC84" s="461" t="s">
        <v>1142</v>
      </c>
      <c r="AD84" s="461" t="s">
        <v>1142</v>
      </c>
      <c r="AE84" s="461" t="s">
        <v>1142</v>
      </c>
      <c r="AF84" s="461"/>
      <c r="AG84" s="460" t="s">
        <v>1145</v>
      </c>
      <c r="AH84" s="460"/>
      <c r="AI84" s="460">
        <v>3</v>
      </c>
      <c r="AJ84" s="460">
        <v>3</v>
      </c>
      <c r="AK84" s="480">
        <v>0.5</v>
      </c>
      <c r="AL84" s="480">
        <v>0.5</v>
      </c>
      <c r="AM84" s="454"/>
      <c r="AN84" s="460">
        <v>0</v>
      </c>
      <c r="AO84" s="460">
        <v>0</v>
      </c>
      <c r="AP84" s="460">
        <v>12</v>
      </c>
      <c r="AQ84" s="460">
        <v>0</v>
      </c>
      <c r="AR84" s="460">
        <v>0</v>
      </c>
      <c r="AS84" s="460">
        <v>0</v>
      </c>
      <c r="AT84" s="460">
        <v>0</v>
      </c>
      <c r="AU84" s="460">
        <v>0</v>
      </c>
      <c r="AV84" s="460">
        <v>0</v>
      </c>
      <c r="AW84" s="460">
        <v>0</v>
      </c>
      <c r="AX84" s="460">
        <v>0</v>
      </c>
      <c r="AY84" s="460">
        <v>0</v>
      </c>
      <c r="AZ84" s="454"/>
      <c r="BA84" s="460" t="s">
        <v>1145</v>
      </c>
      <c r="BB84" s="460"/>
      <c r="BC84" s="460" t="s">
        <v>1145</v>
      </c>
      <c r="BD84" s="460"/>
      <c r="BE84" s="460"/>
      <c r="BF84" s="460"/>
      <c r="BG84" s="455"/>
      <c r="BH84" s="454"/>
      <c r="BI84" s="460"/>
      <c r="BJ84" s="460" t="s">
        <v>1164</v>
      </c>
      <c r="BK84" s="460"/>
      <c r="BL84" s="455"/>
      <c r="BM84" s="484" t="s">
        <v>1350</v>
      </c>
      <c r="BN84" s="454" t="s">
        <v>408</v>
      </c>
    </row>
    <row r="85" spans="1:66" s="450" customFormat="1" ht="13" customHeight="1" x14ac:dyDescent="0.2">
      <c r="A85" s="451">
        <v>2220</v>
      </c>
      <c r="B85" s="452">
        <v>43843</v>
      </c>
      <c r="C85" s="453" t="s">
        <v>1138</v>
      </c>
      <c r="D85" s="454" t="s">
        <v>1111</v>
      </c>
      <c r="E85" s="465">
        <v>43647</v>
      </c>
      <c r="F85" s="454" t="s">
        <v>1173</v>
      </c>
      <c r="G85" s="454" t="s">
        <v>1174</v>
      </c>
      <c r="H85" s="461">
        <v>70</v>
      </c>
      <c r="I85" s="467" t="s">
        <v>1141</v>
      </c>
      <c r="J85" s="485">
        <v>1645</v>
      </c>
      <c r="K85" s="485">
        <v>3000</v>
      </c>
      <c r="L85" s="485">
        <v>3000</v>
      </c>
      <c r="M85" s="485">
        <v>3000</v>
      </c>
      <c r="N85" s="468"/>
      <c r="O85" s="461">
        <v>2.4272727272727268</v>
      </c>
      <c r="P85" s="461">
        <v>1.9727272727272724</v>
      </c>
      <c r="Q85" s="461">
        <v>0</v>
      </c>
      <c r="R85" s="461">
        <v>0</v>
      </c>
      <c r="S85" s="461">
        <v>1.718181818181818</v>
      </c>
      <c r="T85" s="456"/>
      <c r="U85" s="461">
        <v>2.4272727272727268</v>
      </c>
      <c r="V85" s="461">
        <v>1.9727272727272724</v>
      </c>
      <c r="W85" s="461">
        <v>0</v>
      </c>
      <c r="X85" s="461">
        <v>0</v>
      </c>
      <c r="Y85" s="461">
        <v>1.718181818181818</v>
      </c>
      <c r="Z85" s="456"/>
      <c r="AA85" s="461" t="s">
        <v>1142</v>
      </c>
      <c r="AB85" s="461" t="s">
        <v>1142</v>
      </c>
      <c r="AC85" s="461" t="s">
        <v>1142</v>
      </c>
      <c r="AD85" s="461" t="s">
        <v>1142</v>
      </c>
      <c r="AE85" s="461" t="s">
        <v>1142</v>
      </c>
      <c r="AF85" s="456"/>
      <c r="AG85" s="470" t="s">
        <v>1145</v>
      </c>
      <c r="AH85" s="470"/>
      <c r="AI85" s="460">
        <v>3</v>
      </c>
      <c r="AJ85" s="460">
        <v>3</v>
      </c>
      <c r="AK85" s="480">
        <v>0.5</v>
      </c>
      <c r="AL85" s="480">
        <v>0.5</v>
      </c>
      <c r="AM85" s="454"/>
      <c r="AN85" s="460">
        <v>0</v>
      </c>
      <c r="AO85" s="460">
        <v>0</v>
      </c>
      <c r="AP85" s="460">
        <v>5</v>
      </c>
      <c r="AQ85" s="460">
        <v>0</v>
      </c>
      <c r="AR85" s="460">
        <v>0</v>
      </c>
      <c r="AS85" s="460">
        <v>0</v>
      </c>
      <c r="AT85" s="460">
        <v>0</v>
      </c>
      <c r="AU85" s="460">
        <v>0</v>
      </c>
      <c r="AV85" s="460">
        <v>0</v>
      </c>
      <c r="AW85" s="460">
        <v>0</v>
      </c>
      <c r="AX85" s="460">
        <v>0</v>
      </c>
      <c r="AY85" s="460">
        <v>0</v>
      </c>
      <c r="AZ85" s="460"/>
      <c r="BA85" s="460" t="s">
        <v>1145</v>
      </c>
      <c r="BB85" s="460">
        <v>12</v>
      </c>
      <c r="BC85" s="460" t="s">
        <v>1145</v>
      </c>
      <c r="BD85" s="460"/>
      <c r="BE85" s="460"/>
      <c r="BF85" s="460"/>
      <c r="BG85" s="455"/>
      <c r="BH85" s="454"/>
      <c r="BI85" s="460"/>
      <c r="BJ85" s="460" t="s">
        <v>1164</v>
      </c>
      <c r="BK85" s="460"/>
      <c r="BL85" s="455"/>
      <c r="BM85" s="454" t="s">
        <v>1217</v>
      </c>
      <c r="BN85" s="454" t="s">
        <v>368</v>
      </c>
    </row>
    <row r="86" spans="1:66" s="450" customFormat="1" ht="13" customHeight="1" x14ac:dyDescent="0.2">
      <c r="A86" s="451">
        <v>1911</v>
      </c>
      <c r="B86" s="452">
        <v>43843</v>
      </c>
      <c r="C86" s="453" t="s">
        <v>1138</v>
      </c>
      <c r="D86" s="454" t="s">
        <v>1111</v>
      </c>
      <c r="E86" s="452">
        <v>43831</v>
      </c>
      <c r="F86" s="455" t="s">
        <v>987</v>
      </c>
      <c r="G86" s="454" t="s">
        <v>1127</v>
      </c>
      <c r="H86" s="461">
        <v>54.536000000000001</v>
      </c>
      <c r="I86" s="458" t="s">
        <v>1141</v>
      </c>
      <c r="J86" s="485">
        <v>1645</v>
      </c>
      <c r="K86" s="485">
        <v>3000</v>
      </c>
      <c r="L86" s="485">
        <v>3000</v>
      </c>
      <c r="M86" s="485">
        <v>3000</v>
      </c>
      <c r="N86" s="454"/>
      <c r="O86" s="461">
        <v>2.5499999999999998</v>
      </c>
      <c r="P86" s="461">
        <v>2.1760000000000002</v>
      </c>
      <c r="Q86" s="461">
        <v>0</v>
      </c>
      <c r="R86" s="461">
        <v>0</v>
      </c>
      <c r="S86" s="461">
        <v>1.87</v>
      </c>
      <c r="T86" s="461"/>
      <c r="U86" s="461">
        <v>2.5499999999999998</v>
      </c>
      <c r="V86" s="461">
        <v>2.1760000000000002</v>
      </c>
      <c r="W86" s="461">
        <v>0</v>
      </c>
      <c r="X86" s="461">
        <v>0</v>
      </c>
      <c r="Y86" s="461">
        <v>1.87</v>
      </c>
      <c r="Z86" s="461"/>
      <c r="AA86" s="461" t="s">
        <v>1142</v>
      </c>
      <c r="AB86" s="461" t="s">
        <v>1142</v>
      </c>
      <c r="AC86" s="461" t="s">
        <v>1142</v>
      </c>
      <c r="AD86" s="461" t="s">
        <v>1142</v>
      </c>
      <c r="AE86" s="461" t="s">
        <v>1142</v>
      </c>
      <c r="AF86" s="461"/>
      <c r="AG86" s="460" t="s">
        <v>1145</v>
      </c>
      <c r="AH86" s="460"/>
      <c r="AI86" s="460">
        <v>3</v>
      </c>
      <c r="AJ86" s="460">
        <v>3</v>
      </c>
      <c r="AK86" s="480">
        <v>0.5</v>
      </c>
      <c r="AL86" s="480">
        <v>0.5</v>
      </c>
      <c r="AM86" s="454"/>
      <c r="AN86" s="460">
        <v>0</v>
      </c>
      <c r="AO86" s="460">
        <v>0</v>
      </c>
      <c r="AP86" s="460">
        <v>0</v>
      </c>
      <c r="AQ86" s="460">
        <v>0</v>
      </c>
      <c r="AR86" s="460">
        <v>0</v>
      </c>
      <c r="AS86" s="460">
        <v>0</v>
      </c>
      <c r="AT86" s="460">
        <v>0</v>
      </c>
      <c r="AU86" s="460">
        <v>0</v>
      </c>
      <c r="AV86" s="460">
        <v>0</v>
      </c>
      <c r="AW86" s="460">
        <v>0</v>
      </c>
      <c r="AX86" s="460">
        <v>0</v>
      </c>
      <c r="AY86" s="460">
        <v>0</v>
      </c>
      <c r="AZ86" s="460"/>
      <c r="BA86" s="460" t="s">
        <v>1145</v>
      </c>
      <c r="BB86" s="460"/>
      <c r="BC86" s="460" t="s">
        <v>1145</v>
      </c>
      <c r="BD86" s="460"/>
      <c r="BE86" s="460"/>
      <c r="BF86" s="460"/>
      <c r="BG86" s="455"/>
      <c r="BH86" s="454"/>
      <c r="BI86" s="460"/>
      <c r="BJ86" s="460" t="s">
        <v>1146</v>
      </c>
      <c r="BK86" s="460">
        <v>1</v>
      </c>
      <c r="BL86" s="455"/>
      <c r="BM86" s="454" t="s">
        <v>1345</v>
      </c>
      <c r="BN86" s="454" t="s">
        <v>408</v>
      </c>
    </row>
    <row r="87" spans="1:66" s="450" customFormat="1" ht="13" customHeight="1" x14ac:dyDescent="0.2">
      <c r="A87" s="451">
        <v>1685</v>
      </c>
      <c r="B87" s="452">
        <v>43843</v>
      </c>
      <c r="C87" s="453" t="s">
        <v>295</v>
      </c>
      <c r="D87" s="454" t="s">
        <v>1111</v>
      </c>
      <c r="E87" s="452">
        <v>43801</v>
      </c>
      <c r="F87" s="455" t="s">
        <v>1106</v>
      </c>
      <c r="G87" s="454" t="s">
        <v>2</v>
      </c>
      <c r="H87" s="461">
        <v>57.999999999999993</v>
      </c>
      <c r="I87" s="458" t="s">
        <v>296</v>
      </c>
      <c r="J87" s="459">
        <v>3000</v>
      </c>
      <c r="K87" s="459">
        <v>3000</v>
      </c>
      <c r="L87" s="459">
        <v>3000</v>
      </c>
      <c r="M87" s="459">
        <v>3000</v>
      </c>
      <c r="N87" s="454"/>
      <c r="O87" s="461">
        <v>2.3909090909090907</v>
      </c>
      <c r="P87" s="461">
        <v>0</v>
      </c>
      <c r="Q87" s="461">
        <v>0</v>
      </c>
      <c r="R87" s="461">
        <v>0</v>
      </c>
      <c r="S87" s="461">
        <v>1.6272727272727272</v>
      </c>
      <c r="T87" s="461"/>
      <c r="U87" s="461">
        <v>2.3909090909090907</v>
      </c>
      <c r="V87" s="482">
        <v>0</v>
      </c>
      <c r="W87" s="461">
        <v>0</v>
      </c>
      <c r="X87" s="461">
        <v>0</v>
      </c>
      <c r="Y87" s="461">
        <v>1.6272727272727272</v>
      </c>
      <c r="Z87" s="461"/>
      <c r="AA87" s="461" t="s">
        <v>1142</v>
      </c>
      <c r="AB87" s="461" t="s">
        <v>1142</v>
      </c>
      <c r="AC87" s="461" t="s">
        <v>1142</v>
      </c>
      <c r="AD87" s="461" t="s">
        <v>1142</v>
      </c>
      <c r="AE87" s="461" t="s">
        <v>1142</v>
      </c>
      <c r="AF87" s="461"/>
      <c r="AG87" s="460" t="s">
        <v>1145</v>
      </c>
      <c r="AH87" s="460"/>
      <c r="AI87" s="460">
        <v>3</v>
      </c>
      <c r="AJ87" s="460">
        <v>3</v>
      </c>
      <c r="AK87" s="480">
        <v>0.5</v>
      </c>
      <c r="AL87" s="480">
        <v>0.5</v>
      </c>
      <c r="AM87" s="454"/>
      <c r="AN87" s="460">
        <v>0</v>
      </c>
      <c r="AO87" s="460">
        <v>0</v>
      </c>
      <c r="AP87" s="460">
        <v>5</v>
      </c>
      <c r="AQ87" s="460">
        <v>0</v>
      </c>
      <c r="AR87" s="460">
        <v>0</v>
      </c>
      <c r="AS87" s="460">
        <v>0</v>
      </c>
      <c r="AT87" s="460">
        <v>0</v>
      </c>
      <c r="AU87" s="460">
        <v>0</v>
      </c>
      <c r="AV87" s="460">
        <v>0</v>
      </c>
      <c r="AW87" s="460">
        <v>0</v>
      </c>
      <c r="AX87" s="460">
        <v>0</v>
      </c>
      <c r="AY87" s="460">
        <v>0</v>
      </c>
      <c r="AZ87" s="460"/>
      <c r="BA87" s="460" t="s">
        <v>1145</v>
      </c>
      <c r="BB87" s="460"/>
      <c r="BC87" s="460" t="s">
        <v>1145</v>
      </c>
      <c r="BD87" s="460"/>
      <c r="BE87" s="460"/>
      <c r="BF87" s="455"/>
      <c r="BG87" s="454"/>
      <c r="BH87" s="460"/>
      <c r="BI87" s="460"/>
      <c r="BJ87" s="460" t="s">
        <v>1146</v>
      </c>
      <c r="BK87" s="460">
        <v>1</v>
      </c>
      <c r="BL87" s="454"/>
      <c r="BM87" s="454" t="s">
        <v>1334</v>
      </c>
      <c r="BN87" s="454" t="s">
        <v>368</v>
      </c>
    </row>
    <row r="88" spans="1:66" s="450" customFormat="1" ht="16" x14ac:dyDescent="0.2">
      <c r="A88" s="451">
        <v>2212</v>
      </c>
      <c r="B88" s="452">
        <v>43843</v>
      </c>
      <c r="C88" s="453" t="s">
        <v>1138</v>
      </c>
      <c r="D88" s="454" t="s">
        <v>1111</v>
      </c>
      <c r="E88" s="465">
        <v>43831</v>
      </c>
      <c r="F88" s="454" t="s">
        <v>34</v>
      </c>
      <c r="G88" s="454" t="s">
        <v>1178</v>
      </c>
      <c r="H88" s="461">
        <v>72.654545454545456</v>
      </c>
      <c r="I88" s="467"/>
      <c r="J88" s="468"/>
      <c r="K88" s="468"/>
      <c r="L88" s="468"/>
      <c r="M88" s="468"/>
      <c r="N88" s="468"/>
      <c r="O88" s="461">
        <v>1.9363636363636361</v>
      </c>
      <c r="P88" s="461">
        <v>0</v>
      </c>
      <c r="Q88" s="461">
        <v>0</v>
      </c>
      <c r="R88" s="461">
        <v>0</v>
      </c>
      <c r="S88" s="461">
        <v>0</v>
      </c>
      <c r="T88" s="456"/>
      <c r="U88" s="461">
        <v>1.9363636363636361</v>
      </c>
      <c r="V88" s="461">
        <v>0</v>
      </c>
      <c r="W88" s="461">
        <v>0</v>
      </c>
      <c r="X88" s="461">
        <v>0</v>
      </c>
      <c r="Y88" s="461">
        <v>0</v>
      </c>
      <c r="Z88" s="456"/>
      <c r="AA88" s="461" t="s">
        <v>1142</v>
      </c>
      <c r="AB88" s="461" t="s">
        <v>1142</v>
      </c>
      <c r="AC88" s="461" t="s">
        <v>1142</v>
      </c>
      <c r="AD88" s="461" t="s">
        <v>1142</v>
      </c>
      <c r="AE88" s="461" t="s">
        <v>1142</v>
      </c>
      <c r="AF88" s="456"/>
      <c r="AG88" s="470" t="s">
        <v>1145</v>
      </c>
      <c r="AH88" s="470"/>
      <c r="AI88" s="460">
        <v>3</v>
      </c>
      <c r="AJ88" s="460">
        <v>3</v>
      </c>
      <c r="AK88" s="480">
        <v>0.5</v>
      </c>
      <c r="AL88" s="480">
        <v>0.5</v>
      </c>
      <c r="AM88" s="454"/>
      <c r="AN88" s="460">
        <v>0</v>
      </c>
      <c r="AO88" s="460">
        <v>0</v>
      </c>
      <c r="AP88" s="460">
        <v>5</v>
      </c>
      <c r="AQ88" s="460">
        <v>0</v>
      </c>
      <c r="AR88" s="460">
        <v>0</v>
      </c>
      <c r="AS88" s="460">
        <v>0</v>
      </c>
      <c r="AT88" s="460">
        <v>0</v>
      </c>
      <c r="AU88" s="460">
        <v>0</v>
      </c>
      <c r="AV88" s="460">
        <v>0</v>
      </c>
      <c r="AW88" s="460">
        <v>0</v>
      </c>
      <c r="AX88" s="460">
        <v>0</v>
      </c>
      <c r="AY88" s="460">
        <v>0</v>
      </c>
      <c r="AZ88" s="460"/>
      <c r="BA88" s="460" t="s">
        <v>1145</v>
      </c>
      <c r="BB88" s="460"/>
      <c r="BC88" s="460" t="s">
        <v>1145</v>
      </c>
      <c r="BD88" s="460"/>
      <c r="BE88" s="460"/>
      <c r="BF88" s="460"/>
      <c r="BG88" s="455"/>
      <c r="BH88" s="454"/>
      <c r="BI88" s="460"/>
      <c r="BJ88" s="460" t="s">
        <v>1164</v>
      </c>
      <c r="BK88" s="460"/>
      <c r="BL88" s="455" t="s">
        <v>47</v>
      </c>
      <c r="BM88" s="484" t="s">
        <v>1336</v>
      </c>
      <c r="BN88" s="454" t="s">
        <v>408</v>
      </c>
    </row>
    <row r="89" spans="1:66" s="450" customFormat="1" ht="13" customHeight="1" x14ac:dyDescent="0.2">
      <c r="A89" s="451">
        <v>2055</v>
      </c>
      <c r="B89" s="452">
        <v>43843</v>
      </c>
      <c r="C89" s="453" t="s">
        <v>1138</v>
      </c>
      <c r="D89" s="454" t="s">
        <v>1111</v>
      </c>
      <c r="E89" s="452">
        <v>43831</v>
      </c>
      <c r="F89" s="455" t="s">
        <v>1180</v>
      </c>
      <c r="G89" s="454" t="s">
        <v>1181</v>
      </c>
      <c r="H89" s="461">
        <v>76.954545454545453</v>
      </c>
      <c r="I89" s="458"/>
      <c r="J89" s="454"/>
      <c r="K89" s="454"/>
      <c r="L89" s="454"/>
      <c r="M89" s="454"/>
      <c r="N89" s="454"/>
      <c r="O89" s="461">
        <v>1.8636363636363633</v>
      </c>
      <c r="P89" s="461">
        <v>0</v>
      </c>
      <c r="Q89" s="461">
        <v>0</v>
      </c>
      <c r="R89" s="461">
        <v>0</v>
      </c>
      <c r="S89" s="461">
        <v>0</v>
      </c>
      <c r="T89" s="461"/>
      <c r="U89" s="461">
        <v>1.8636363636363633</v>
      </c>
      <c r="V89" s="461">
        <v>0</v>
      </c>
      <c r="W89" s="461">
        <v>0</v>
      </c>
      <c r="X89" s="461">
        <v>0</v>
      </c>
      <c r="Y89" s="461">
        <v>0</v>
      </c>
      <c r="Z89" s="461"/>
      <c r="AA89" s="461" t="s">
        <v>1142</v>
      </c>
      <c r="AB89" s="461" t="s">
        <v>1142</v>
      </c>
      <c r="AC89" s="461" t="s">
        <v>1142</v>
      </c>
      <c r="AD89" s="461" t="s">
        <v>1142</v>
      </c>
      <c r="AE89" s="461" t="s">
        <v>1142</v>
      </c>
      <c r="AF89" s="461"/>
      <c r="AG89" s="460" t="s">
        <v>1145</v>
      </c>
      <c r="AH89" s="460"/>
      <c r="AI89" s="460">
        <v>3</v>
      </c>
      <c r="AJ89" s="460">
        <v>3</v>
      </c>
      <c r="AK89" s="480">
        <v>0.5</v>
      </c>
      <c r="AL89" s="480">
        <v>0.5</v>
      </c>
      <c r="AM89" s="454"/>
      <c r="AN89" s="460">
        <v>0</v>
      </c>
      <c r="AO89" s="460">
        <v>0</v>
      </c>
      <c r="AP89" s="460">
        <v>0</v>
      </c>
      <c r="AQ89" s="460">
        <v>0</v>
      </c>
      <c r="AR89" s="460">
        <v>0</v>
      </c>
      <c r="AS89" s="460">
        <v>0</v>
      </c>
      <c r="AT89" s="460">
        <v>0</v>
      </c>
      <c r="AU89" s="460">
        <v>0</v>
      </c>
      <c r="AV89" s="460">
        <v>0</v>
      </c>
      <c r="AW89" s="460">
        <v>0</v>
      </c>
      <c r="AX89" s="460">
        <v>0</v>
      </c>
      <c r="AY89" s="460">
        <v>0</v>
      </c>
      <c r="AZ89" s="460"/>
      <c r="BA89" s="460" t="s">
        <v>1145</v>
      </c>
      <c r="BB89" s="460"/>
      <c r="BC89" s="460" t="s">
        <v>1145</v>
      </c>
      <c r="BD89" s="460"/>
      <c r="BE89" s="460"/>
      <c r="BF89" s="460"/>
      <c r="BG89" s="455"/>
      <c r="BH89" s="454"/>
      <c r="BI89" s="460"/>
      <c r="BJ89" s="460" t="s">
        <v>1164</v>
      </c>
      <c r="BK89" s="460"/>
      <c r="BL89" s="455" t="s">
        <v>1284</v>
      </c>
      <c r="BM89" s="454" t="s">
        <v>1332</v>
      </c>
      <c r="BN89" s="454" t="s">
        <v>408</v>
      </c>
    </row>
    <row r="90" spans="1:66" s="450" customFormat="1" ht="13" customHeight="1" x14ac:dyDescent="0.2">
      <c r="A90" s="451">
        <v>2461</v>
      </c>
      <c r="B90" s="452">
        <v>43843</v>
      </c>
      <c r="C90" s="453" t="s">
        <v>1138</v>
      </c>
      <c r="D90" s="454" t="s">
        <v>1111</v>
      </c>
      <c r="E90" s="465">
        <v>43731</v>
      </c>
      <c r="F90" s="454" t="s">
        <v>1274</v>
      </c>
      <c r="G90" s="454" t="s">
        <v>1275</v>
      </c>
      <c r="H90" s="461">
        <v>72.999999999999986</v>
      </c>
      <c r="I90" s="467" t="s">
        <v>1141</v>
      </c>
      <c r="J90" s="485">
        <v>1645</v>
      </c>
      <c r="K90" s="485">
        <v>3000</v>
      </c>
      <c r="L90" s="485">
        <v>3000</v>
      </c>
      <c r="M90" s="485">
        <v>3000</v>
      </c>
      <c r="N90" s="468"/>
      <c r="O90" s="461">
        <v>2.6636363636363636</v>
      </c>
      <c r="P90" s="461">
        <v>2.336363636363636</v>
      </c>
      <c r="Q90" s="482">
        <v>0</v>
      </c>
      <c r="R90" s="461">
        <v>0</v>
      </c>
      <c r="S90" s="461">
        <v>1.9909090909090907</v>
      </c>
      <c r="T90" s="456"/>
      <c r="U90" s="461">
        <v>2.6636363636363636</v>
      </c>
      <c r="V90" s="461">
        <v>2.336363636363636</v>
      </c>
      <c r="W90" s="482">
        <v>0</v>
      </c>
      <c r="X90" s="461">
        <v>0</v>
      </c>
      <c r="Y90" s="461">
        <v>1.9909090909090907</v>
      </c>
      <c r="Z90" s="456"/>
      <c r="AA90" s="461" t="s">
        <v>1142</v>
      </c>
      <c r="AB90" s="461" t="s">
        <v>1142</v>
      </c>
      <c r="AC90" s="461" t="s">
        <v>1142</v>
      </c>
      <c r="AD90" s="461" t="s">
        <v>1142</v>
      </c>
      <c r="AE90" s="461" t="s">
        <v>1142</v>
      </c>
      <c r="AF90" s="456"/>
      <c r="AG90" s="470" t="s">
        <v>1145</v>
      </c>
      <c r="AH90" s="470"/>
      <c r="AI90" s="460">
        <v>3</v>
      </c>
      <c r="AJ90" s="460">
        <v>3</v>
      </c>
      <c r="AK90" s="480">
        <v>0.5</v>
      </c>
      <c r="AL90" s="480">
        <v>0.5</v>
      </c>
      <c r="AM90" s="454"/>
      <c r="AN90" s="460">
        <v>0</v>
      </c>
      <c r="AO90" s="460">
        <v>0</v>
      </c>
      <c r="AP90" s="460">
        <v>0</v>
      </c>
      <c r="AQ90" s="460">
        <v>15</v>
      </c>
      <c r="AR90" s="460">
        <v>0</v>
      </c>
      <c r="AS90" s="460">
        <v>0</v>
      </c>
      <c r="AT90" s="460">
        <v>0</v>
      </c>
      <c r="AU90" s="460">
        <v>0</v>
      </c>
      <c r="AV90" s="460">
        <v>0</v>
      </c>
      <c r="AW90" s="460">
        <v>0</v>
      </c>
      <c r="AX90" s="460">
        <v>0</v>
      </c>
      <c r="AY90" s="460">
        <v>0</v>
      </c>
      <c r="AZ90" s="460"/>
      <c r="BA90" s="460" t="s">
        <v>1145</v>
      </c>
      <c r="BB90" s="460"/>
      <c r="BC90" s="460" t="s">
        <v>1145</v>
      </c>
      <c r="BD90" s="460"/>
      <c r="BE90" s="460"/>
      <c r="BF90" s="460"/>
      <c r="BG90" s="455"/>
      <c r="BH90" s="454"/>
      <c r="BI90" s="460"/>
      <c r="BJ90" s="460" t="s">
        <v>1164</v>
      </c>
      <c r="BK90" s="460">
        <v>1</v>
      </c>
      <c r="BL90" s="455"/>
      <c r="BM90" s="454" t="s">
        <v>1339</v>
      </c>
      <c r="BN90" s="454" t="s">
        <v>368</v>
      </c>
    </row>
    <row r="91" spans="1:66" s="450" customFormat="1" ht="13" customHeight="1" x14ac:dyDescent="0.2">
      <c r="A91" s="451">
        <v>2335</v>
      </c>
      <c r="B91" s="452">
        <v>43843</v>
      </c>
      <c r="C91" s="453" t="s">
        <v>1138</v>
      </c>
      <c r="D91" s="454" t="s">
        <v>1111</v>
      </c>
      <c r="E91" s="465">
        <v>43831</v>
      </c>
      <c r="F91" s="454" t="s">
        <v>1291</v>
      </c>
      <c r="G91" s="454" t="s">
        <v>1181</v>
      </c>
      <c r="H91" s="461">
        <v>61.581818181818171</v>
      </c>
      <c r="I91" s="467"/>
      <c r="J91" s="468"/>
      <c r="K91" s="468"/>
      <c r="L91" s="468"/>
      <c r="M91" s="468"/>
      <c r="N91" s="468"/>
      <c r="O91" s="461">
        <v>2.1090909090909089</v>
      </c>
      <c r="P91" s="461">
        <v>0</v>
      </c>
      <c r="Q91" s="461">
        <v>0</v>
      </c>
      <c r="R91" s="461">
        <v>0</v>
      </c>
      <c r="S91" s="461">
        <v>0</v>
      </c>
      <c r="T91" s="456"/>
      <c r="U91" s="461">
        <v>2.1090909090909089</v>
      </c>
      <c r="V91" s="461">
        <v>0</v>
      </c>
      <c r="W91" s="461">
        <v>0</v>
      </c>
      <c r="X91" s="461">
        <v>0</v>
      </c>
      <c r="Y91" s="461">
        <v>0</v>
      </c>
      <c r="Z91" s="456"/>
      <c r="AA91" s="461" t="s">
        <v>1142</v>
      </c>
      <c r="AB91" s="461" t="s">
        <v>1142</v>
      </c>
      <c r="AC91" s="461" t="s">
        <v>1142</v>
      </c>
      <c r="AD91" s="461" t="s">
        <v>1142</v>
      </c>
      <c r="AE91" s="461" t="s">
        <v>1142</v>
      </c>
      <c r="AF91" s="456"/>
      <c r="AG91" s="470" t="s">
        <v>1145</v>
      </c>
      <c r="AH91" s="470"/>
      <c r="AI91" s="460">
        <v>3</v>
      </c>
      <c r="AJ91" s="460">
        <v>3</v>
      </c>
      <c r="AK91" s="480">
        <v>0.5</v>
      </c>
      <c r="AL91" s="480">
        <v>0.5</v>
      </c>
      <c r="AM91" s="454"/>
      <c r="AN91" s="460">
        <v>0</v>
      </c>
      <c r="AO91" s="460">
        <v>0</v>
      </c>
      <c r="AP91" s="460">
        <v>0</v>
      </c>
      <c r="AQ91" s="460">
        <v>0</v>
      </c>
      <c r="AR91" s="460">
        <v>0</v>
      </c>
      <c r="AS91" s="460">
        <v>0</v>
      </c>
      <c r="AT91" s="460">
        <v>0</v>
      </c>
      <c r="AU91" s="460">
        <v>0</v>
      </c>
      <c r="AV91" s="460">
        <v>0</v>
      </c>
      <c r="AW91" s="460">
        <v>0</v>
      </c>
      <c r="AX91" s="460">
        <v>0</v>
      </c>
      <c r="AY91" s="460">
        <v>0</v>
      </c>
      <c r="AZ91" s="460"/>
      <c r="BA91" s="460" t="s">
        <v>1145</v>
      </c>
      <c r="BB91" s="460"/>
      <c r="BC91" s="460" t="s">
        <v>1145</v>
      </c>
      <c r="BD91" s="460"/>
      <c r="BE91" s="460"/>
      <c r="BF91" s="460"/>
      <c r="BG91" s="455"/>
      <c r="BH91" s="454"/>
      <c r="BI91" s="460"/>
      <c r="BJ91" s="460" t="s">
        <v>4</v>
      </c>
      <c r="BK91" s="460"/>
      <c r="BL91" s="455" t="s">
        <v>1284</v>
      </c>
      <c r="BM91" s="484" t="s">
        <v>1340</v>
      </c>
      <c r="BN91" s="454" t="s">
        <v>408</v>
      </c>
    </row>
    <row r="92" spans="1:66" s="450" customFormat="1" ht="13" customHeight="1" x14ac:dyDescent="0.2">
      <c r="A92" s="451">
        <v>2386</v>
      </c>
      <c r="B92" s="452">
        <v>43843</v>
      </c>
      <c r="C92" s="453" t="s">
        <v>1138</v>
      </c>
      <c r="D92" s="454" t="s">
        <v>1113</v>
      </c>
      <c r="E92" s="452">
        <v>43831</v>
      </c>
      <c r="F92" s="455" t="s">
        <v>1139</v>
      </c>
      <c r="G92" s="454" t="s">
        <v>1277</v>
      </c>
      <c r="H92" s="461">
        <v>82.936363636363637</v>
      </c>
      <c r="I92" s="458" t="s">
        <v>1141</v>
      </c>
      <c r="J92" s="459">
        <v>6000</v>
      </c>
      <c r="K92" s="459">
        <v>12000</v>
      </c>
      <c r="L92" s="459">
        <v>84000</v>
      </c>
      <c r="M92" s="459">
        <v>84000</v>
      </c>
      <c r="N92" s="454"/>
      <c r="O92" s="461">
        <v>1.5909090909090908</v>
      </c>
      <c r="P92" s="461">
        <v>1.5727272727272725</v>
      </c>
      <c r="Q92" s="461">
        <v>1.2999999999999998</v>
      </c>
      <c r="R92" s="487">
        <v>0</v>
      </c>
      <c r="S92" s="461">
        <v>1.1727272727272726</v>
      </c>
      <c r="T92" s="461"/>
      <c r="U92" s="461">
        <v>1.4545454545454546</v>
      </c>
      <c r="V92" s="461">
        <v>1.2</v>
      </c>
      <c r="W92" s="461">
        <v>1.1090909090909089</v>
      </c>
      <c r="X92" s="487">
        <v>0</v>
      </c>
      <c r="Y92" s="461">
        <v>1.0909090909090908</v>
      </c>
      <c r="Z92" s="461"/>
      <c r="AA92" s="461" t="s">
        <v>1142</v>
      </c>
      <c r="AB92" s="461" t="s">
        <v>1142</v>
      </c>
      <c r="AC92" s="461" t="s">
        <v>1142</v>
      </c>
      <c r="AD92" s="461" t="s">
        <v>1142</v>
      </c>
      <c r="AE92" s="461" t="s">
        <v>1142</v>
      </c>
      <c r="AF92" s="461"/>
      <c r="AG92" s="460" t="s">
        <v>1143</v>
      </c>
      <c r="AH92" s="460" t="s">
        <v>1144</v>
      </c>
      <c r="AI92" s="460">
        <v>2</v>
      </c>
      <c r="AJ92" s="460">
        <v>4</v>
      </c>
      <c r="AK92" s="483">
        <v>0.33329999999999999</v>
      </c>
      <c r="AL92" s="483">
        <v>0.66659999999999997</v>
      </c>
      <c r="AM92" s="454" t="s">
        <v>1124</v>
      </c>
      <c r="AN92" s="460">
        <v>0</v>
      </c>
      <c r="AO92" s="460">
        <v>0</v>
      </c>
      <c r="AP92" s="460">
        <v>0</v>
      </c>
      <c r="AQ92" s="460">
        <v>0</v>
      </c>
      <c r="AR92" s="460">
        <v>0</v>
      </c>
      <c r="AS92" s="460">
        <v>0</v>
      </c>
      <c r="AT92" s="460">
        <v>0</v>
      </c>
      <c r="AU92" s="460">
        <v>0</v>
      </c>
      <c r="AV92" s="460">
        <v>0</v>
      </c>
      <c r="AW92" s="460">
        <v>0</v>
      </c>
      <c r="AX92" s="460">
        <v>0</v>
      </c>
      <c r="AY92" s="460">
        <v>0</v>
      </c>
      <c r="AZ92" s="460"/>
      <c r="BA92" s="460" t="s">
        <v>1145</v>
      </c>
      <c r="BB92" s="460"/>
      <c r="BC92" s="460" t="s">
        <v>1145</v>
      </c>
      <c r="BD92" s="460"/>
      <c r="BE92" s="460"/>
      <c r="BF92" s="460"/>
      <c r="BG92" s="455"/>
      <c r="BH92" s="454"/>
      <c r="BI92" s="460"/>
      <c r="BJ92" s="460" t="s">
        <v>1146</v>
      </c>
      <c r="BK92" s="460"/>
      <c r="BL92" s="455"/>
      <c r="BM92" s="454" t="s">
        <v>1353</v>
      </c>
      <c r="BN92" s="454" t="s">
        <v>408</v>
      </c>
    </row>
    <row r="93" spans="1:66" s="450" customFormat="1" ht="13" customHeight="1" x14ac:dyDescent="0.2">
      <c r="A93" s="451">
        <v>2502</v>
      </c>
      <c r="B93" s="452">
        <v>43843</v>
      </c>
      <c r="C93" s="453" t="s">
        <v>1138</v>
      </c>
      <c r="D93" s="454" t="s">
        <v>1113</v>
      </c>
      <c r="E93" s="452">
        <v>43836</v>
      </c>
      <c r="F93" s="455" t="s">
        <v>1148</v>
      </c>
      <c r="G93" s="454" t="s">
        <v>1280</v>
      </c>
      <c r="H93" s="461">
        <v>80</v>
      </c>
      <c r="I93" s="458" t="s">
        <v>1141</v>
      </c>
      <c r="J93" s="459">
        <v>6000</v>
      </c>
      <c r="K93" s="459">
        <v>6000</v>
      </c>
      <c r="L93" s="459">
        <v>6000</v>
      </c>
      <c r="M93" s="459">
        <v>6000</v>
      </c>
      <c r="N93" s="454"/>
      <c r="O93" s="461">
        <v>2</v>
      </c>
      <c r="P93" s="482">
        <v>0</v>
      </c>
      <c r="Q93" s="461">
        <v>0</v>
      </c>
      <c r="R93" s="461">
        <v>0</v>
      </c>
      <c r="S93" s="461">
        <v>1.7999999999999998</v>
      </c>
      <c r="T93" s="461"/>
      <c r="U93" s="461">
        <v>1.7</v>
      </c>
      <c r="V93" s="482">
        <v>0</v>
      </c>
      <c r="W93" s="461">
        <v>0</v>
      </c>
      <c r="X93" s="461">
        <v>0</v>
      </c>
      <c r="Y93" s="461">
        <v>1.4999999999999998</v>
      </c>
      <c r="Z93" s="461"/>
      <c r="AA93" s="461" t="s">
        <v>1142</v>
      </c>
      <c r="AB93" s="461" t="s">
        <v>1142</v>
      </c>
      <c r="AC93" s="461" t="s">
        <v>1142</v>
      </c>
      <c r="AD93" s="461" t="s">
        <v>1142</v>
      </c>
      <c r="AE93" s="461" t="s">
        <v>1142</v>
      </c>
      <c r="AF93" s="461"/>
      <c r="AG93" s="460" t="s">
        <v>1143</v>
      </c>
      <c r="AH93" s="460" t="s">
        <v>1144</v>
      </c>
      <c r="AI93" s="460">
        <v>2</v>
      </c>
      <c r="AJ93" s="460">
        <v>4</v>
      </c>
      <c r="AK93" s="483">
        <v>0.33329999999999999</v>
      </c>
      <c r="AL93" s="483">
        <v>0.66659999999999997</v>
      </c>
      <c r="AM93" s="454" t="s">
        <v>1124</v>
      </c>
      <c r="AN93" s="460">
        <v>0</v>
      </c>
      <c r="AO93" s="460">
        <v>0</v>
      </c>
      <c r="AP93" s="460">
        <v>0</v>
      </c>
      <c r="AQ93" s="460">
        <v>0</v>
      </c>
      <c r="AR93" s="460">
        <v>0</v>
      </c>
      <c r="AS93" s="460">
        <v>0</v>
      </c>
      <c r="AT93" s="460">
        <v>0</v>
      </c>
      <c r="AU93" s="460">
        <v>0</v>
      </c>
      <c r="AV93" s="460">
        <v>0</v>
      </c>
      <c r="AW93" s="460">
        <v>0</v>
      </c>
      <c r="AX93" s="460">
        <v>0</v>
      </c>
      <c r="AY93" s="460">
        <v>0</v>
      </c>
      <c r="AZ93" s="454"/>
      <c r="BA93" s="460" t="s">
        <v>1145</v>
      </c>
      <c r="BB93" s="460"/>
      <c r="BC93" s="460" t="s">
        <v>1145</v>
      </c>
      <c r="BD93" s="460"/>
      <c r="BE93" s="460"/>
      <c r="BF93" s="460"/>
      <c r="BG93" s="455"/>
      <c r="BH93" s="454"/>
      <c r="BI93" s="460"/>
      <c r="BJ93" s="460" t="s">
        <v>4</v>
      </c>
      <c r="BK93" s="460"/>
      <c r="BL93" s="455"/>
      <c r="BM93" s="454" t="s">
        <v>1354</v>
      </c>
      <c r="BN93" s="454" t="s">
        <v>1121</v>
      </c>
    </row>
    <row r="94" spans="1:66" s="450" customFormat="1" ht="13" customHeight="1" x14ac:dyDescent="0.2">
      <c r="A94" s="451">
        <v>2528</v>
      </c>
      <c r="B94" s="452">
        <v>43843</v>
      </c>
      <c r="C94" s="453" t="s">
        <v>1138</v>
      </c>
      <c r="D94" s="454" t="s">
        <v>1113</v>
      </c>
      <c r="E94" s="452">
        <v>43831</v>
      </c>
      <c r="F94" s="455" t="s">
        <v>1152</v>
      </c>
      <c r="G94" s="454" t="s">
        <v>1283</v>
      </c>
      <c r="H94" s="461">
        <v>71.636363636363626</v>
      </c>
      <c r="I94" s="458" t="s">
        <v>1141</v>
      </c>
      <c r="J94" s="459">
        <v>6000</v>
      </c>
      <c r="K94" s="459">
        <v>12000</v>
      </c>
      <c r="L94" s="459">
        <v>12000</v>
      </c>
      <c r="M94" s="459">
        <v>12000</v>
      </c>
      <c r="N94" s="454"/>
      <c r="O94" s="461">
        <v>2.2545454545454544</v>
      </c>
      <c r="P94" s="461">
        <v>2.1454545454545451</v>
      </c>
      <c r="Q94" s="482">
        <v>0</v>
      </c>
      <c r="R94" s="461">
        <v>0</v>
      </c>
      <c r="S94" s="461">
        <v>1.8090909090909089</v>
      </c>
      <c r="T94" s="461"/>
      <c r="U94" s="461">
        <v>1.8545454545454545</v>
      </c>
      <c r="V94" s="461">
        <v>1.8090909090909089</v>
      </c>
      <c r="W94" s="482">
        <v>0</v>
      </c>
      <c r="X94" s="461">
        <v>0</v>
      </c>
      <c r="Y94" s="461">
        <v>1.7363636363636361</v>
      </c>
      <c r="Z94" s="461"/>
      <c r="AA94" s="461" t="s">
        <v>1142</v>
      </c>
      <c r="AB94" s="461" t="s">
        <v>1142</v>
      </c>
      <c r="AC94" s="461" t="s">
        <v>1142</v>
      </c>
      <c r="AD94" s="461" t="s">
        <v>1142</v>
      </c>
      <c r="AE94" s="461" t="s">
        <v>1142</v>
      </c>
      <c r="AF94" s="461"/>
      <c r="AG94" s="460" t="s">
        <v>1143</v>
      </c>
      <c r="AH94" s="460" t="s">
        <v>1144</v>
      </c>
      <c r="AI94" s="460">
        <v>2</v>
      </c>
      <c r="AJ94" s="460">
        <v>4</v>
      </c>
      <c r="AK94" s="483">
        <v>0.33329999999999999</v>
      </c>
      <c r="AL94" s="483">
        <v>0.66659999999999997</v>
      </c>
      <c r="AM94" s="454" t="s">
        <v>1124</v>
      </c>
      <c r="AN94" s="460">
        <v>0</v>
      </c>
      <c r="AO94" s="460">
        <v>0</v>
      </c>
      <c r="AP94" s="460">
        <v>0</v>
      </c>
      <c r="AQ94" s="460">
        <v>0</v>
      </c>
      <c r="AR94" s="460">
        <v>0</v>
      </c>
      <c r="AS94" s="460">
        <v>0</v>
      </c>
      <c r="AT94" s="460">
        <v>0</v>
      </c>
      <c r="AU94" s="460">
        <v>0</v>
      </c>
      <c r="AV94" s="460">
        <v>0</v>
      </c>
      <c r="AW94" s="460">
        <v>0</v>
      </c>
      <c r="AX94" s="460">
        <v>0</v>
      </c>
      <c r="AY94" s="460">
        <v>0</v>
      </c>
      <c r="AZ94" s="454"/>
      <c r="BA94" s="460" t="s">
        <v>1145</v>
      </c>
      <c r="BB94" s="460"/>
      <c r="BC94" s="460" t="s">
        <v>1145</v>
      </c>
      <c r="BD94" s="460"/>
      <c r="BE94" s="460"/>
      <c r="BF94" s="460"/>
      <c r="BG94" s="455"/>
      <c r="BH94" s="454"/>
      <c r="BI94" s="460"/>
      <c r="BJ94" s="460" t="s">
        <v>1146</v>
      </c>
      <c r="BK94" s="460">
        <v>1</v>
      </c>
      <c r="BL94" s="455" t="s">
        <v>1284</v>
      </c>
      <c r="BM94" s="454" t="s">
        <v>1356</v>
      </c>
      <c r="BN94" s="454" t="s">
        <v>1121</v>
      </c>
    </row>
    <row r="95" spans="1:66" s="450" customFormat="1" ht="13" customHeight="1" x14ac:dyDescent="0.2">
      <c r="A95" s="451">
        <v>2311</v>
      </c>
      <c r="B95" s="452">
        <v>43843</v>
      </c>
      <c r="C95" s="453" t="s">
        <v>1138</v>
      </c>
      <c r="D95" s="454" t="s">
        <v>1113</v>
      </c>
      <c r="E95" s="452">
        <v>43831</v>
      </c>
      <c r="F95" s="455" t="s">
        <v>1286</v>
      </c>
      <c r="G95" s="454" t="s">
        <v>418</v>
      </c>
      <c r="H95" s="461">
        <v>85</v>
      </c>
      <c r="I95" s="458" t="s">
        <v>1141</v>
      </c>
      <c r="J95" s="459">
        <v>6000</v>
      </c>
      <c r="K95" s="459">
        <v>12000</v>
      </c>
      <c r="L95" s="459">
        <v>84000</v>
      </c>
      <c r="M95" s="459">
        <v>84000</v>
      </c>
      <c r="N95" s="454"/>
      <c r="O95" s="461">
        <v>2.4</v>
      </c>
      <c r="P95" s="461">
        <v>2.2545454545454544</v>
      </c>
      <c r="Q95" s="461">
        <v>2</v>
      </c>
      <c r="R95" s="487">
        <v>0</v>
      </c>
      <c r="S95" s="461">
        <v>1.7999999999999998</v>
      </c>
      <c r="T95" s="461"/>
      <c r="U95" s="461">
        <v>2.0909090909090904</v>
      </c>
      <c r="V95" s="461">
        <v>1.9363636363636361</v>
      </c>
      <c r="W95" s="461">
        <v>1.6909090909090909</v>
      </c>
      <c r="X95" s="487">
        <v>0</v>
      </c>
      <c r="Y95" s="461">
        <v>1.5818181818181818</v>
      </c>
      <c r="Z95" s="461"/>
      <c r="AA95" s="461" t="s">
        <v>1142</v>
      </c>
      <c r="AB95" s="461" t="s">
        <v>1142</v>
      </c>
      <c r="AC95" s="461" t="s">
        <v>1142</v>
      </c>
      <c r="AD95" s="461" t="s">
        <v>1142</v>
      </c>
      <c r="AE95" s="461" t="s">
        <v>1142</v>
      </c>
      <c r="AF95" s="461"/>
      <c r="AG95" s="460" t="s">
        <v>1143</v>
      </c>
      <c r="AH95" s="460" t="s">
        <v>1144</v>
      </c>
      <c r="AI95" s="460">
        <v>2</v>
      </c>
      <c r="AJ95" s="460">
        <v>4</v>
      </c>
      <c r="AK95" s="483">
        <v>0.33329999999999999</v>
      </c>
      <c r="AL95" s="483">
        <v>0.66659999999999997</v>
      </c>
      <c r="AM95" s="454" t="s">
        <v>1124</v>
      </c>
      <c r="AN95" s="460">
        <v>0</v>
      </c>
      <c r="AO95" s="460">
        <v>16</v>
      </c>
      <c r="AP95" s="460">
        <v>0</v>
      </c>
      <c r="AQ95" s="460">
        <v>0</v>
      </c>
      <c r="AR95" s="460">
        <v>0</v>
      </c>
      <c r="AS95" s="460">
        <v>0</v>
      </c>
      <c r="AT95" s="460">
        <v>0</v>
      </c>
      <c r="AU95" s="460">
        <v>0</v>
      </c>
      <c r="AV95" s="460">
        <v>0</v>
      </c>
      <c r="AW95" s="460">
        <v>0</v>
      </c>
      <c r="AX95" s="460">
        <v>0</v>
      </c>
      <c r="AY95" s="460">
        <v>0</v>
      </c>
      <c r="AZ95" s="454"/>
      <c r="BA95" s="460" t="s">
        <v>1145</v>
      </c>
      <c r="BB95" s="460"/>
      <c r="BC95" s="460" t="s">
        <v>1145</v>
      </c>
      <c r="BD95" s="460"/>
      <c r="BE95" s="460"/>
      <c r="BF95" s="460"/>
      <c r="BG95" s="455"/>
      <c r="BH95" s="454"/>
      <c r="BI95" s="460"/>
      <c r="BJ95" s="460" t="s">
        <v>1146</v>
      </c>
      <c r="BK95" s="460">
        <v>1</v>
      </c>
      <c r="BL95" s="455"/>
      <c r="BM95" s="454" t="s">
        <v>1357</v>
      </c>
      <c r="BN95" s="454" t="s">
        <v>408</v>
      </c>
    </row>
    <row r="96" spans="1:66" s="450" customFormat="1" ht="13" customHeight="1" x14ac:dyDescent="0.2">
      <c r="A96" s="451">
        <v>2118</v>
      </c>
      <c r="B96" s="452">
        <v>43843</v>
      </c>
      <c r="C96" s="453" t="s">
        <v>1138</v>
      </c>
      <c r="D96" s="454" t="s">
        <v>1113</v>
      </c>
      <c r="E96" s="452">
        <v>43831</v>
      </c>
      <c r="F96" s="455" t="s">
        <v>1156</v>
      </c>
      <c r="G96" s="454" t="s">
        <v>1157</v>
      </c>
      <c r="H96" s="461">
        <v>95.799999999999983</v>
      </c>
      <c r="I96" s="458" t="s">
        <v>1141</v>
      </c>
      <c r="J96" s="459">
        <v>12000</v>
      </c>
      <c r="K96" s="459">
        <v>12000</v>
      </c>
      <c r="L96" s="459">
        <v>12000</v>
      </c>
      <c r="M96" s="459">
        <v>12000</v>
      </c>
      <c r="N96" s="454"/>
      <c r="O96" s="461">
        <v>2.5090909090909088</v>
      </c>
      <c r="P96" s="482">
        <v>0</v>
      </c>
      <c r="Q96" s="461">
        <v>0</v>
      </c>
      <c r="R96" s="461">
        <v>0</v>
      </c>
      <c r="S96" s="461">
        <v>1.8999999999999997</v>
      </c>
      <c r="T96" s="461"/>
      <c r="U96" s="461">
        <v>1.8909090909090909</v>
      </c>
      <c r="V96" s="461">
        <v>0</v>
      </c>
      <c r="W96" s="461">
        <v>0</v>
      </c>
      <c r="X96" s="461">
        <v>0</v>
      </c>
      <c r="Y96" s="461">
        <v>0</v>
      </c>
      <c r="Z96" s="461"/>
      <c r="AA96" s="461" t="s">
        <v>1142</v>
      </c>
      <c r="AB96" s="461" t="s">
        <v>1142</v>
      </c>
      <c r="AC96" s="461" t="s">
        <v>1142</v>
      </c>
      <c r="AD96" s="461" t="s">
        <v>1142</v>
      </c>
      <c r="AE96" s="461" t="s">
        <v>1142</v>
      </c>
      <c r="AF96" s="461"/>
      <c r="AG96" s="460" t="s">
        <v>1143</v>
      </c>
      <c r="AH96" s="460" t="s">
        <v>1144</v>
      </c>
      <c r="AI96" s="460">
        <v>2</v>
      </c>
      <c r="AJ96" s="460">
        <v>4</v>
      </c>
      <c r="AK96" s="483">
        <v>0.33329999999999999</v>
      </c>
      <c r="AL96" s="483">
        <v>0.66659999999999997</v>
      </c>
      <c r="AM96" s="454" t="s">
        <v>1124</v>
      </c>
      <c r="AN96" s="460">
        <v>23</v>
      </c>
      <c r="AO96" s="460">
        <v>0</v>
      </c>
      <c r="AP96" s="460">
        <v>0</v>
      </c>
      <c r="AQ96" s="460">
        <v>0</v>
      </c>
      <c r="AR96" s="460">
        <v>0</v>
      </c>
      <c r="AS96" s="460">
        <v>0</v>
      </c>
      <c r="AT96" s="460">
        <v>0</v>
      </c>
      <c r="AU96" s="460">
        <v>0</v>
      </c>
      <c r="AV96" s="460">
        <v>0</v>
      </c>
      <c r="AW96" s="460">
        <v>0</v>
      </c>
      <c r="AX96" s="460">
        <v>0</v>
      </c>
      <c r="AY96" s="460">
        <v>0</v>
      </c>
      <c r="AZ96" s="472">
        <v>12</v>
      </c>
      <c r="BA96" s="460" t="s">
        <v>1145</v>
      </c>
      <c r="BB96" s="460">
        <v>12</v>
      </c>
      <c r="BC96" s="460" t="s">
        <v>1145</v>
      </c>
      <c r="BD96" s="460"/>
      <c r="BE96" s="460">
        <v>12</v>
      </c>
      <c r="BF96" s="460"/>
      <c r="BG96" s="455"/>
      <c r="BH96" s="454"/>
      <c r="BI96" s="460"/>
      <c r="BJ96" s="460" t="s">
        <v>1146</v>
      </c>
      <c r="BK96" s="460"/>
      <c r="BL96" s="455"/>
      <c r="BM96" s="484" t="s">
        <v>1358</v>
      </c>
      <c r="BN96" s="454" t="s">
        <v>408</v>
      </c>
    </row>
    <row r="97" spans="1:66" s="450" customFormat="1" ht="13" customHeight="1" x14ac:dyDescent="0.2">
      <c r="A97" s="451">
        <v>1941</v>
      </c>
      <c r="B97" s="452">
        <v>43843</v>
      </c>
      <c r="C97" s="453" t="s">
        <v>1138</v>
      </c>
      <c r="D97" s="454" t="s">
        <v>1113</v>
      </c>
      <c r="E97" s="452">
        <v>43831</v>
      </c>
      <c r="F97" s="455" t="s">
        <v>1159</v>
      </c>
      <c r="G97" s="454" t="s">
        <v>1105</v>
      </c>
      <c r="H97" s="461">
        <v>70</v>
      </c>
      <c r="I97" s="458" t="s">
        <v>1141</v>
      </c>
      <c r="J97" s="459">
        <v>6000</v>
      </c>
      <c r="K97" s="459">
        <v>12000</v>
      </c>
      <c r="L97" s="459">
        <v>84000</v>
      </c>
      <c r="M97" s="459">
        <v>84000</v>
      </c>
      <c r="N97" s="454"/>
      <c r="O97" s="461">
        <v>1.9</v>
      </c>
      <c r="P97" s="461">
        <v>1.8</v>
      </c>
      <c r="Q97" s="461">
        <v>1.6</v>
      </c>
      <c r="R97" s="461">
        <v>0</v>
      </c>
      <c r="S97" s="461">
        <v>1.5</v>
      </c>
      <c r="T97" s="461"/>
      <c r="U97" s="461">
        <v>1.7</v>
      </c>
      <c r="V97" s="461">
        <v>1.6</v>
      </c>
      <c r="W97" s="461">
        <v>1.5</v>
      </c>
      <c r="X97" s="461">
        <v>0</v>
      </c>
      <c r="Y97" s="461">
        <v>1.4</v>
      </c>
      <c r="Z97" s="461"/>
      <c r="AA97" s="461" t="s">
        <v>1142</v>
      </c>
      <c r="AB97" s="461" t="s">
        <v>1142</v>
      </c>
      <c r="AC97" s="461" t="s">
        <v>1142</v>
      </c>
      <c r="AD97" s="461" t="s">
        <v>1142</v>
      </c>
      <c r="AE97" s="461" t="s">
        <v>1142</v>
      </c>
      <c r="AF97" s="461"/>
      <c r="AG97" s="460" t="s">
        <v>1143</v>
      </c>
      <c r="AH97" s="460" t="s">
        <v>1144</v>
      </c>
      <c r="AI97" s="460">
        <v>2</v>
      </c>
      <c r="AJ97" s="460">
        <v>4</v>
      </c>
      <c r="AK97" s="483">
        <v>0.33329999999999999</v>
      </c>
      <c r="AL97" s="483">
        <v>0.66659999999999997</v>
      </c>
      <c r="AM97" s="454" t="s">
        <v>1124</v>
      </c>
      <c r="AN97" s="460">
        <v>0</v>
      </c>
      <c r="AO97" s="460">
        <v>0</v>
      </c>
      <c r="AP97" s="460">
        <v>3</v>
      </c>
      <c r="AQ97" s="460">
        <v>0</v>
      </c>
      <c r="AR97" s="460">
        <v>0</v>
      </c>
      <c r="AS97" s="460">
        <v>0</v>
      </c>
      <c r="AT97" s="460">
        <v>0</v>
      </c>
      <c r="AU97" s="460">
        <v>0</v>
      </c>
      <c r="AV97" s="460">
        <v>0</v>
      </c>
      <c r="AW97" s="460">
        <v>0</v>
      </c>
      <c r="AX97" s="460">
        <v>0</v>
      </c>
      <c r="AY97" s="460">
        <v>0</v>
      </c>
      <c r="AZ97" s="454"/>
      <c r="BA97" s="460" t="s">
        <v>1145</v>
      </c>
      <c r="BB97" s="460"/>
      <c r="BC97" s="460" t="s">
        <v>1145</v>
      </c>
      <c r="BD97" s="460"/>
      <c r="BE97" s="460"/>
      <c r="BF97" s="460"/>
      <c r="BG97" s="460"/>
      <c r="BH97" s="460"/>
      <c r="BI97" s="460"/>
      <c r="BJ97" s="460" t="s">
        <v>1146</v>
      </c>
      <c r="BK97" s="460"/>
      <c r="BL97" s="455"/>
      <c r="BM97" s="484" t="s">
        <v>1360</v>
      </c>
      <c r="BN97" s="454" t="s">
        <v>408</v>
      </c>
    </row>
    <row r="98" spans="1:66" s="450" customFormat="1" ht="13" customHeight="1" x14ac:dyDescent="0.2">
      <c r="A98" s="451">
        <v>317</v>
      </c>
      <c r="B98" s="452">
        <v>43843</v>
      </c>
      <c r="C98" s="453" t="s">
        <v>1138</v>
      </c>
      <c r="D98" s="454" t="s">
        <v>1113</v>
      </c>
      <c r="E98" s="452">
        <v>43831</v>
      </c>
      <c r="F98" s="454" t="s">
        <v>1160</v>
      </c>
      <c r="G98" s="454" t="s">
        <v>1161</v>
      </c>
      <c r="H98" s="461">
        <v>97.854545454545445</v>
      </c>
      <c r="I98" s="458" t="s">
        <v>1141</v>
      </c>
      <c r="J98" s="459">
        <v>6000</v>
      </c>
      <c r="K98" s="459">
        <v>12000</v>
      </c>
      <c r="L98" s="459">
        <v>84000</v>
      </c>
      <c r="M98" s="459">
        <v>84000</v>
      </c>
      <c r="N98" s="454"/>
      <c r="O98" s="461">
        <v>1.7999999999999998</v>
      </c>
      <c r="P98" s="461">
        <v>1.7</v>
      </c>
      <c r="Q98" s="461">
        <v>1.5181818181818181</v>
      </c>
      <c r="R98" s="461">
        <v>0</v>
      </c>
      <c r="S98" s="461">
        <v>1.5181818181818181</v>
      </c>
      <c r="T98" s="461"/>
      <c r="U98" s="461">
        <v>1.3818181818181816</v>
      </c>
      <c r="V98" s="461">
        <v>1.3727272727272726</v>
      </c>
      <c r="W98" s="461">
        <v>1.3363636363636362</v>
      </c>
      <c r="X98" s="461">
        <v>0</v>
      </c>
      <c r="Y98" s="461">
        <v>1.2909090909090908</v>
      </c>
      <c r="Z98" s="461"/>
      <c r="AA98" s="461" t="s">
        <v>1142</v>
      </c>
      <c r="AB98" s="461" t="s">
        <v>1142</v>
      </c>
      <c r="AC98" s="461" t="s">
        <v>1142</v>
      </c>
      <c r="AD98" s="461" t="s">
        <v>1142</v>
      </c>
      <c r="AE98" s="461" t="s">
        <v>1142</v>
      </c>
      <c r="AF98" s="461"/>
      <c r="AG98" s="460" t="s">
        <v>1143</v>
      </c>
      <c r="AH98" s="460" t="s">
        <v>1144</v>
      </c>
      <c r="AI98" s="460">
        <v>2</v>
      </c>
      <c r="AJ98" s="460">
        <v>4</v>
      </c>
      <c r="AK98" s="483">
        <v>0.33329999999999999</v>
      </c>
      <c r="AL98" s="483">
        <v>0.66659999999999997</v>
      </c>
      <c r="AM98" s="454" t="s">
        <v>1124</v>
      </c>
      <c r="AN98" s="460">
        <v>0</v>
      </c>
      <c r="AO98" s="460">
        <v>0</v>
      </c>
      <c r="AP98" s="460">
        <v>0</v>
      </c>
      <c r="AQ98" s="460">
        <v>0</v>
      </c>
      <c r="AR98" s="460">
        <v>0</v>
      </c>
      <c r="AS98" s="460">
        <v>0</v>
      </c>
      <c r="AT98" s="460">
        <v>0</v>
      </c>
      <c r="AU98" s="460">
        <v>0</v>
      </c>
      <c r="AV98" s="460">
        <v>0</v>
      </c>
      <c r="AW98" s="460">
        <v>0</v>
      </c>
      <c r="AX98" s="460">
        <v>0</v>
      </c>
      <c r="AY98" s="460">
        <v>0</v>
      </c>
      <c r="AZ98" s="454"/>
      <c r="BA98" s="460" t="s">
        <v>1145</v>
      </c>
      <c r="BB98" s="460"/>
      <c r="BC98" s="460" t="s">
        <v>1145</v>
      </c>
      <c r="BD98" s="460"/>
      <c r="BE98" s="460"/>
      <c r="BF98" s="460"/>
      <c r="BG98" s="455" t="s">
        <v>1162</v>
      </c>
      <c r="BH98" s="454" t="s">
        <v>1163</v>
      </c>
      <c r="BI98" s="460">
        <v>50</v>
      </c>
      <c r="BJ98" s="460" t="s">
        <v>1164</v>
      </c>
      <c r="BK98" s="460"/>
      <c r="BL98" s="455"/>
      <c r="BM98" s="484" t="s">
        <v>1361</v>
      </c>
      <c r="BN98" s="454" t="s">
        <v>408</v>
      </c>
    </row>
    <row r="99" spans="1:66" s="450" customFormat="1" ht="13" customHeight="1" x14ac:dyDescent="0.2">
      <c r="A99" s="451">
        <v>2262</v>
      </c>
      <c r="B99" s="452">
        <v>43847</v>
      </c>
      <c r="C99" s="453" t="s">
        <v>1138</v>
      </c>
      <c r="D99" s="454" t="s">
        <v>1113</v>
      </c>
      <c r="E99" s="452">
        <v>43831</v>
      </c>
      <c r="F99" s="455" t="s">
        <v>1166</v>
      </c>
      <c r="G99" s="454" t="s">
        <v>1167</v>
      </c>
      <c r="H99" s="461">
        <v>79</v>
      </c>
      <c r="I99" s="458" t="s">
        <v>1141</v>
      </c>
      <c r="J99" s="459">
        <v>3000</v>
      </c>
      <c r="K99" s="459">
        <v>3000</v>
      </c>
      <c r="L99" s="459">
        <v>3000</v>
      </c>
      <c r="M99" s="459">
        <v>3000</v>
      </c>
      <c r="N99" s="454"/>
      <c r="O99" s="461">
        <v>2.4</v>
      </c>
      <c r="P99" s="482">
        <v>0</v>
      </c>
      <c r="Q99" s="461">
        <v>0</v>
      </c>
      <c r="R99" s="461">
        <v>0</v>
      </c>
      <c r="S99" s="461">
        <v>2.1</v>
      </c>
      <c r="T99" s="461"/>
      <c r="U99" s="461">
        <v>1.75</v>
      </c>
      <c r="V99" s="482">
        <v>0</v>
      </c>
      <c r="W99" s="461">
        <v>0</v>
      </c>
      <c r="X99" s="461">
        <v>0</v>
      </c>
      <c r="Y99" s="461">
        <v>1.6</v>
      </c>
      <c r="Z99" s="461"/>
      <c r="AA99" s="461" t="s">
        <v>1142</v>
      </c>
      <c r="AB99" s="461" t="s">
        <v>1142</v>
      </c>
      <c r="AC99" s="461" t="s">
        <v>1142</v>
      </c>
      <c r="AD99" s="461" t="s">
        <v>1142</v>
      </c>
      <c r="AE99" s="461" t="s">
        <v>1142</v>
      </c>
      <c r="AF99" s="461"/>
      <c r="AG99" s="460" t="s">
        <v>1143</v>
      </c>
      <c r="AH99" s="460" t="s">
        <v>1144</v>
      </c>
      <c r="AI99" s="460">
        <v>2</v>
      </c>
      <c r="AJ99" s="460">
        <v>4</v>
      </c>
      <c r="AK99" s="483">
        <v>0.33329999999999999</v>
      </c>
      <c r="AL99" s="483">
        <v>0.66659999999999997</v>
      </c>
      <c r="AM99" s="454" t="s">
        <v>1124</v>
      </c>
      <c r="AN99" s="460">
        <v>10</v>
      </c>
      <c r="AO99" s="460">
        <v>0</v>
      </c>
      <c r="AP99" s="460">
        <v>0</v>
      </c>
      <c r="AQ99" s="460">
        <v>0</v>
      </c>
      <c r="AR99" s="460">
        <v>0</v>
      </c>
      <c r="AS99" s="460">
        <v>0</v>
      </c>
      <c r="AT99" s="460">
        <v>0</v>
      </c>
      <c r="AU99" s="460">
        <v>0</v>
      </c>
      <c r="AV99" s="460">
        <v>0</v>
      </c>
      <c r="AW99" s="460">
        <v>0</v>
      </c>
      <c r="AX99" s="460">
        <v>0</v>
      </c>
      <c r="AY99" s="460">
        <v>0</v>
      </c>
      <c r="AZ99" s="454"/>
      <c r="BA99" s="460" t="s">
        <v>1145</v>
      </c>
      <c r="BB99" s="460">
        <v>12</v>
      </c>
      <c r="BC99" s="460" t="s">
        <v>1145</v>
      </c>
      <c r="BD99" s="460"/>
      <c r="BE99" s="460"/>
      <c r="BF99" s="460"/>
      <c r="BG99" s="455"/>
      <c r="BH99" s="454"/>
      <c r="BI99" s="460"/>
      <c r="BJ99" s="460" t="s">
        <v>1146</v>
      </c>
      <c r="BK99" s="460"/>
      <c r="BL99" s="455"/>
      <c r="BM99" s="484" t="s">
        <v>1362</v>
      </c>
      <c r="BN99" s="454" t="s">
        <v>408</v>
      </c>
    </row>
    <row r="100" spans="1:66" s="450" customFormat="1" ht="13" customHeight="1" x14ac:dyDescent="0.2">
      <c r="A100" s="451">
        <v>2399</v>
      </c>
      <c r="B100" s="452">
        <v>43843</v>
      </c>
      <c r="C100" s="453" t="s">
        <v>1138</v>
      </c>
      <c r="D100" s="454" t="s">
        <v>1113</v>
      </c>
      <c r="E100" s="465">
        <v>43831</v>
      </c>
      <c r="F100" s="455" t="s">
        <v>1168</v>
      </c>
      <c r="G100" s="454" t="s">
        <v>1297</v>
      </c>
      <c r="H100" s="461">
        <v>80.400000000000006</v>
      </c>
      <c r="I100" s="458" t="s">
        <v>1141</v>
      </c>
      <c r="J100" s="459">
        <v>6000</v>
      </c>
      <c r="K100" s="459">
        <v>12000</v>
      </c>
      <c r="L100" s="459">
        <v>84000</v>
      </c>
      <c r="M100" s="459">
        <v>84000</v>
      </c>
      <c r="N100" s="454"/>
      <c r="O100" s="461">
        <v>2.1</v>
      </c>
      <c r="P100" s="461">
        <v>2</v>
      </c>
      <c r="Q100" s="461">
        <v>1.7999999999999998</v>
      </c>
      <c r="R100" s="461">
        <v>0</v>
      </c>
      <c r="S100" s="461">
        <v>1.7</v>
      </c>
      <c r="T100" s="461"/>
      <c r="U100" s="461">
        <v>2.0545454545454542</v>
      </c>
      <c r="V100" s="461">
        <v>1.9545454545454544</v>
      </c>
      <c r="W100" s="461">
        <v>1.7545454545454544</v>
      </c>
      <c r="X100" s="461">
        <v>0</v>
      </c>
      <c r="Y100" s="461">
        <v>1.6545454545454545</v>
      </c>
      <c r="Z100" s="461"/>
      <c r="AA100" s="461" t="s">
        <v>1142</v>
      </c>
      <c r="AB100" s="461" t="s">
        <v>1142</v>
      </c>
      <c r="AC100" s="461" t="s">
        <v>1142</v>
      </c>
      <c r="AD100" s="461" t="s">
        <v>1142</v>
      </c>
      <c r="AE100" s="461" t="s">
        <v>1142</v>
      </c>
      <c r="AF100" s="461"/>
      <c r="AG100" s="460" t="s">
        <v>1143</v>
      </c>
      <c r="AH100" s="460" t="s">
        <v>1144</v>
      </c>
      <c r="AI100" s="460">
        <v>2</v>
      </c>
      <c r="AJ100" s="460">
        <v>4</v>
      </c>
      <c r="AK100" s="483">
        <v>0.33329999999999999</v>
      </c>
      <c r="AL100" s="483">
        <v>0.66659999999999997</v>
      </c>
      <c r="AM100" s="454" t="s">
        <v>1124</v>
      </c>
      <c r="AN100" s="460">
        <v>0</v>
      </c>
      <c r="AO100" s="460">
        <v>0</v>
      </c>
      <c r="AP100" s="460">
        <v>10</v>
      </c>
      <c r="AQ100" s="460">
        <v>0</v>
      </c>
      <c r="AR100" s="460">
        <v>0</v>
      </c>
      <c r="AS100" s="460">
        <v>0</v>
      </c>
      <c r="AT100" s="460">
        <v>0</v>
      </c>
      <c r="AU100" s="460">
        <v>0</v>
      </c>
      <c r="AV100" s="460">
        <v>0</v>
      </c>
      <c r="AW100" s="460">
        <v>0</v>
      </c>
      <c r="AX100" s="460">
        <v>0</v>
      </c>
      <c r="AY100" s="460">
        <v>0</v>
      </c>
      <c r="AZ100" s="460"/>
      <c r="BA100" s="460" t="s">
        <v>1145</v>
      </c>
      <c r="BB100" s="460"/>
      <c r="BC100" s="460" t="s">
        <v>1145</v>
      </c>
      <c r="BD100" s="460"/>
      <c r="BE100" s="460"/>
      <c r="BF100" s="460"/>
      <c r="BG100" s="455"/>
      <c r="BH100" s="454"/>
      <c r="BI100" s="460"/>
      <c r="BJ100" s="460" t="s">
        <v>1146</v>
      </c>
      <c r="BK100" s="460"/>
      <c r="BL100" s="455"/>
      <c r="BM100" s="484" t="s">
        <v>1364</v>
      </c>
      <c r="BN100" s="454" t="s">
        <v>408</v>
      </c>
    </row>
    <row r="101" spans="1:66" s="450" customFormat="1" ht="13" customHeight="1" x14ac:dyDescent="0.2">
      <c r="A101" s="451">
        <v>793</v>
      </c>
      <c r="B101" s="452">
        <v>43843</v>
      </c>
      <c r="C101" s="453" t="s">
        <v>1138</v>
      </c>
      <c r="D101" s="454" t="s">
        <v>1113</v>
      </c>
      <c r="E101" s="465">
        <v>43831</v>
      </c>
      <c r="F101" s="455" t="s">
        <v>1169</v>
      </c>
      <c r="G101" s="454" t="s">
        <v>1170</v>
      </c>
      <c r="H101" s="461">
        <v>91.281818181818167</v>
      </c>
      <c r="I101" s="458" t="s">
        <v>1141</v>
      </c>
      <c r="J101" s="459">
        <v>6000</v>
      </c>
      <c r="K101" s="459">
        <v>12000</v>
      </c>
      <c r="L101" s="459">
        <v>84000</v>
      </c>
      <c r="M101" s="459">
        <v>84000</v>
      </c>
      <c r="N101" s="454"/>
      <c r="O101" s="461">
        <v>2.0363636363636366</v>
      </c>
      <c r="P101" s="461">
        <v>1.8999999999999997</v>
      </c>
      <c r="Q101" s="461">
        <v>1.6545454545454545</v>
      </c>
      <c r="R101" s="461">
        <v>0</v>
      </c>
      <c r="S101" s="461">
        <v>1.6363636363636362</v>
      </c>
      <c r="T101" s="461"/>
      <c r="U101" s="461">
        <v>1.6909090909090909</v>
      </c>
      <c r="V101" s="461">
        <v>1.6818181818181817</v>
      </c>
      <c r="W101" s="461">
        <v>1.6181818181818182</v>
      </c>
      <c r="X101" s="461">
        <v>0</v>
      </c>
      <c r="Y101" s="461">
        <v>1.5545454545454545</v>
      </c>
      <c r="Z101" s="461"/>
      <c r="AA101" s="461" t="s">
        <v>1142</v>
      </c>
      <c r="AB101" s="461" t="s">
        <v>1142</v>
      </c>
      <c r="AC101" s="461" t="s">
        <v>1142</v>
      </c>
      <c r="AD101" s="461" t="s">
        <v>1142</v>
      </c>
      <c r="AE101" s="461" t="s">
        <v>1142</v>
      </c>
      <c r="AF101" s="461"/>
      <c r="AG101" s="460" t="s">
        <v>1143</v>
      </c>
      <c r="AH101" s="460" t="s">
        <v>1144</v>
      </c>
      <c r="AI101" s="460">
        <v>2</v>
      </c>
      <c r="AJ101" s="460">
        <v>4</v>
      </c>
      <c r="AK101" s="483">
        <v>0.33329999999999999</v>
      </c>
      <c r="AL101" s="483">
        <v>0.66659999999999997</v>
      </c>
      <c r="AM101" s="454" t="s">
        <v>1124</v>
      </c>
      <c r="AN101" s="460">
        <v>0</v>
      </c>
      <c r="AO101" s="460">
        <v>0</v>
      </c>
      <c r="AP101" s="460">
        <v>12</v>
      </c>
      <c r="AQ101" s="460">
        <v>0</v>
      </c>
      <c r="AR101" s="460">
        <v>0</v>
      </c>
      <c r="AS101" s="460">
        <v>0</v>
      </c>
      <c r="AT101" s="460">
        <v>0</v>
      </c>
      <c r="AU101" s="460">
        <v>0</v>
      </c>
      <c r="AV101" s="460">
        <v>0</v>
      </c>
      <c r="AW101" s="460">
        <v>0</v>
      </c>
      <c r="AX101" s="460">
        <v>0</v>
      </c>
      <c r="AY101" s="460">
        <v>0</v>
      </c>
      <c r="AZ101" s="454"/>
      <c r="BA101" s="460" t="s">
        <v>1145</v>
      </c>
      <c r="BB101" s="460"/>
      <c r="BC101" s="460" t="s">
        <v>1145</v>
      </c>
      <c r="BD101" s="460"/>
      <c r="BE101" s="460"/>
      <c r="BF101" s="460"/>
      <c r="BG101" s="455"/>
      <c r="BH101" s="454"/>
      <c r="BI101" s="460"/>
      <c r="BJ101" s="460" t="s">
        <v>1164</v>
      </c>
      <c r="BK101" s="460"/>
      <c r="BL101" s="455"/>
      <c r="BM101" s="484" t="s">
        <v>1365</v>
      </c>
      <c r="BN101" s="454" t="s">
        <v>408</v>
      </c>
    </row>
    <row r="102" spans="1:66" s="450" customFormat="1" ht="13" customHeight="1" x14ac:dyDescent="0.2">
      <c r="A102" s="451">
        <v>2219</v>
      </c>
      <c r="B102" s="452">
        <v>43843</v>
      </c>
      <c r="C102" s="453" t="s">
        <v>1138</v>
      </c>
      <c r="D102" s="454" t="s">
        <v>1113</v>
      </c>
      <c r="E102" s="465">
        <v>43647</v>
      </c>
      <c r="F102" s="454" t="s">
        <v>1173</v>
      </c>
      <c r="G102" s="454" t="s">
        <v>1174</v>
      </c>
      <c r="H102" s="461">
        <v>85</v>
      </c>
      <c r="I102" s="467" t="s">
        <v>1141</v>
      </c>
      <c r="J102" s="459">
        <v>6000</v>
      </c>
      <c r="K102" s="459">
        <v>12000</v>
      </c>
      <c r="L102" s="459">
        <v>84000</v>
      </c>
      <c r="M102" s="459">
        <v>84000</v>
      </c>
      <c r="N102" s="468"/>
      <c r="O102" s="461">
        <v>1.8181818181818181</v>
      </c>
      <c r="P102" s="461">
        <v>1.718181818181818</v>
      </c>
      <c r="Q102" s="461">
        <v>1.4090909090909089</v>
      </c>
      <c r="R102" s="461">
        <v>0</v>
      </c>
      <c r="S102" s="461">
        <v>1.2999999999999998</v>
      </c>
      <c r="T102" s="456"/>
      <c r="U102" s="461">
        <v>1.6727272727272726</v>
      </c>
      <c r="V102" s="461">
        <v>1.3636363636363635</v>
      </c>
      <c r="W102" s="461">
        <v>1.3090909090909089</v>
      </c>
      <c r="X102" s="461">
        <v>0</v>
      </c>
      <c r="Y102" s="461">
        <v>1.2</v>
      </c>
      <c r="Z102" s="456"/>
      <c r="AA102" s="461" t="s">
        <v>1142</v>
      </c>
      <c r="AB102" s="461" t="s">
        <v>1142</v>
      </c>
      <c r="AC102" s="461" t="s">
        <v>1142</v>
      </c>
      <c r="AD102" s="461" t="s">
        <v>1142</v>
      </c>
      <c r="AE102" s="461" t="s">
        <v>1142</v>
      </c>
      <c r="AF102" s="456"/>
      <c r="AG102" s="470" t="s">
        <v>1143</v>
      </c>
      <c r="AH102" s="470" t="s">
        <v>1144</v>
      </c>
      <c r="AI102" s="460">
        <v>2</v>
      </c>
      <c r="AJ102" s="460">
        <v>4</v>
      </c>
      <c r="AK102" s="483">
        <v>0.33329999999999999</v>
      </c>
      <c r="AL102" s="483">
        <v>0.66659999999999997</v>
      </c>
      <c r="AM102" s="454" t="s">
        <v>1124</v>
      </c>
      <c r="AN102" s="460">
        <v>0</v>
      </c>
      <c r="AO102" s="460">
        <v>0</v>
      </c>
      <c r="AP102" s="460">
        <v>5</v>
      </c>
      <c r="AQ102" s="460">
        <v>0</v>
      </c>
      <c r="AR102" s="460">
        <v>0</v>
      </c>
      <c r="AS102" s="460">
        <v>0</v>
      </c>
      <c r="AT102" s="460">
        <v>0</v>
      </c>
      <c r="AU102" s="460">
        <v>0</v>
      </c>
      <c r="AV102" s="460">
        <v>0</v>
      </c>
      <c r="AW102" s="460">
        <v>0</v>
      </c>
      <c r="AX102" s="460">
        <v>0</v>
      </c>
      <c r="AY102" s="460">
        <v>0</v>
      </c>
      <c r="AZ102" s="460"/>
      <c r="BA102" s="460" t="s">
        <v>1145</v>
      </c>
      <c r="BB102" s="460">
        <v>12</v>
      </c>
      <c r="BC102" s="460" t="s">
        <v>1145</v>
      </c>
      <c r="BD102" s="460"/>
      <c r="BE102" s="460"/>
      <c r="BF102" s="460"/>
      <c r="BG102" s="455"/>
      <c r="BH102" s="454"/>
      <c r="BI102" s="460"/>
      <c r="BJ102" s="460" t="s">
        <v>1164</v>
      </c>
      <c r="BK102" s="460"/>
      <c r="BL102" s="455"/>
      <c r="BM102" s="454" t="s">
        <v>1223</v>
      </c>
      <c r="BN102" s="454" t="s">
        <v>368</v>
      </c>
    </row>
    <row r="103" spans="1:66" s="450" customFormat="1" ht="13" customHeight="1" x14ac:dyDescent="0.2">
      <c r="A103" s="451">
        <v>1919</v>
      </c>
      <c r="B103" s="452">
        <v>43843</v>
      </c>
      <c r="C103" s="453" t="s">
        <v>1138</v>
      </c>
      <c r="D103" s="454" t="s">
        <v>1113</v>
      </c>
      <c r="E103" s="452">
        <v>43831</v>
      </c>
      <c r="F103" s="455" t="s">
        <v>987</v>
      </c>
      <c r="G103" s="454" t="s">
        <v>1127</v>
      </c>
      <c r="H103" s="461">
        <v>65.823999999999998</v>
      </c>
      <c r="I103" s="458" t="s">
        <v>1141</v>
      </c>
      <c r="J103" s="459">
        <v>6000</v>
      </c>
      <c r="K103" s="459">
        <v>12000</v>
      </c>
      <c r="L103" s="459">
        <v>12000</v>
      </c>
      <c r="M103" s="459">
        <v>12000</v>
      </c>
      <c r="N103" s="454"/>
      <c r="O103" s="461">
        <v>2.0739999999999998</v>
      </c>
      <c r="P103" s="461">
        <v>1.9719999999999998</v>
      </c>
      <c r="Q103" s="482">
        <v>0</v>
      </c>
      <c r="R103" s="461">
        <v>0</v>
      </c>
      <c r="S103" s="461">
        <v>1.6659999999999999</v>
      </c>
      <c r="T103" s="461"/>
      <c r="U103" s="461">
        <v>1.7</v>
      </c>
      <c r="V103" s="461">
        <v>1.6659999999999999</v>
      </c>
      <c r="W103" s="482">
        <v>0</v>
      </c>
      <c r="X103" s="461">
        <v>0</v>
      </c>
      <c r="Y103" s="461">
        <v>1.5980000000000001</v>
      </c>
      <c r="Z103" s="461"/>
      <c r="AA103" s="461" t="s">
        <v>1142</v>
      </c>
      <c r="AB103" s="461" t="s">
        <v>1142</v>
      </c>
      <c r="AC103" s="461" t="s">
        <v>1142</v>
      </c>
      <c r="AD103" s="461" t="s">
        <v>1142</v>
      </c>
      <c r="AE103" s="461" t="s">
        <v>1142</v>
      </c>
      <c r="AF103" s="461"/>
      <c r="AG103" s="460" t="s">
        <v>1143</v>
      </c>
      <c r="AH103" s="460" t="s">
        <v>1144</v>
      </c>
      <c r="AI103" s="460">
        <v>2</v>
      </c>
      <c r="AJ103" s="460">
        <v>4</v>
      </c>
      <c r="AK103" s="483">
        <v>0.33329999999999999</v>
      </c>
      <c r="AL103" s="483">
        <v>0.66659999999999997</v>
      </c>
      <c r="AM103" s="454" t="s">
        <v>1124</v>
      </c>
      <c r="AN103" s="460">
        <v>0</v>
      </c>
      <c r="AO103" s="460">
        <v>0</v>
      </c>
      <c r="AP103" s="460">
        <v>0</v>
      </c>
      <c r="AQ103" s="460">
        <v>0</v>
      </c>
      <c r="AR103" s="460">
        <v>0</v>
      </c>
      <c r="AS103" s="460">
        <v>0</v>
      </c>
      <c r="AT103" s="460">
        <v>0</v>
      </c>
      <c r="AU103" s="460">
        <v>0</v>
      </c>
      <c r="AV103" s="460">
        <v>0</v>
      </c>
      <c r="AW103" s="460">
        <v>0</v>
      </c>
      <c r="AX103" s="460">
        <v>0</v>
      </c>
      <c r="AY103" s="460">
        <v>0</v>
      </c>
      <c r="AZ103" s="460"/>
      <c r="BA103" s="460" t="s">
        <v>1145</v>
      </c>
      <c r="BB103" s="460"/>
      <c r="BC103" s="460" t="s">
        <v>1145</v>
      </c>
      <c r="BD103" s="460"/>
      <c r="BE103" s="460"/>
      <c r="BF103" s="460"/>
      <c r="BG103" s="455"/>
      <c r="BH103" s="454"/>
      <c r="BI103" s="460"/>
      <c r="BJ103" s="460" t="s">
        <v>1146</v>
      </c>
      <c r="BK103" s="460">
        <v>1</v>
      </c>
      <c r="BL103" s="455"/>
      <c r="BM103" s="454" t="s">
        <v>1355</v>
      </c>
      <c r="BN103" s="454" t="s">
        <v>408</v>
      </c>
    </row>
    <row r="104" spans="1:66" s="450" customFormat="1" ht="13" customHeight="1" x14ac:dyDescent="0.2">
      <c r="A104" s="451">
        <v>1687</v>
      </c>
      <c r="B104" s="452">
        <v>43843</v>
      </c>
      <c r="C104" s="453" t="s">
        <v>295</v>
      </c>
      <c r="D104" s="454" t="s">
        <v>1113</v>
      </c>
      <c r="E104" s="452">
        <v>43801</v>
      </c>
      <c r="F104" s="455" t="s">
        <v>1106</v>
      </c>
      <c r="G104" s="454" t="s">
        <v>2</v>
      </c>
      <c r="H104" s="461">
        <v>80</v>
      </c>
      <c r="I104" s="458" t="s">
        <v>296</v>
      </c>
      <c r="J104" s="459">
        <v>3000</v>
      </c>
      <c r="K104" s="459">
        <v>3000</v>
      </c>
      <c r="L104" s="459">
        <v>3000</v>
      </c>
      <c r="M104" s="459">
        <v>3000</v>
      </c>
      <c r="N104" s="454"/>
      <c r="O104" s="461">
        <v>1.7545454545454544</v>
      </c>
      <c r="P104" s="482">
        <v>0</v>
      </c>
      <c r="Q104" s="461">
        <v>0</v>
      </c>
      <c r="R104" s="461">
        <v>0</v>
      </c>
      <c r="S104" s="461">
        <v>1.7545454545454544</v>
      </c>
      <c r="T104" s="461"/>
      <c r="U104" s="461">
        <v>1.4636363636363636</v>
      </c>
      <c r="V104" s="482">
        <v>0</v>
      </c>
      <c r="W104" s="461">
        <v>0</v>
      </c>
      <c r="X104" s="461">
        <v>0</v>
      </c>
      <c r="Y104" s="461">
        <v>1.3636363636363635</v>
      </c>
      <c r="Z104" s="461"/>
      <c r="AA104" s="461" t="s">
        <v>1142</v>
      </c>
      <c r="AB104" s="461" t="s">
        <v>1142</v>
      </c>
      <c r="AC104" s="461" t="s">
        <v>1142</v>
      </c>
      <c r="AD104" s="461" t="s">
        <v>1142</v>
      </c>
      <c r="AE104" s="461" t="s">
        <v>1142</v>
      </c>
      <c r="AF104" s="461"/>
      <c r="AG104" s="460" t="s">
        <v>1143</v>
      </c>
      <c r="AH104" s="460" t="s">
        <v>1144</v>
      </c>
      <c r="AI104" s="460">
        <v>2</v>
      </c>
      <c r="AJ104" s="460">
        <v>4</v>
      </c>
      <c r="AK104" s="483">
        <v>0.33329999999999999</v>
      </c>
      <c r="AL104" s="483">
        <v>0.66659999999999997</v>
      </c>
      <c r="AM104" s="454" t="s">
        <v>1124</v>
      </c>
      <c r="AN104" s="460">
        <v>0</v>
      </c>
      <c r="AO104" s="460">
        <v>0</v>
      </c>
      <c r="AP104" s="460">
        <v>5</v>
      </c>
      <c r="AQ104" s="460">
        <v>0</v>
      </c>
      <c r="AR104" s="460">
        <v>0</v>
      </c>
      <c r="AS104" s="460">
        <v>0</v>
      </c>
      <c r="AT104" s="460">
        <v>0</v>
      </c>
      <c r="AU104" s="460">
        <v>0</v>
      </c>
      <c r="AV104" s="460">
        <v>0</v>
      </c>
      <c r="AW104" s="460">
        <v>0</v>
      </c>
      <c r="AX104" s="460">
        <v>0</v>
      </c>
      <c r="AY104" s="460">
        <v>0</v>
      </c>
      <c r="AZ104" s="460"/>
      <c r="BA104" s="460" t="s">
        <v>1145</v>
      </c>
      <c r="BB104" s="460"/>
      <c r="BC104" s="460" t="s">
        <v>1145</v>
      </c>
      <c r="BD104" s="460"/>
      <c r="BE104" s="460"/>
      <c r="BF104" s="455"/>
      <c r="BG104" s="454"/>
      <c r="BH104" s="460"/>
      <c r="BI104" s="460"/>
      <c r="BJ104" s="460" t="s">
        <v>1146</v>
      </c>
      <c r="BK104" s="460">
        <v>1</v>
      </c>
      <c r="BL104" s="454"/>
      <c r="BM104" s="481" t="s">
        <v>1359</v>
      </c>
      <c r="BN104" s="454" t="s">
        <v>368</v>
      </c>
    </row>
    <row r="105" spans="1:66" s="450" customFormat="1" ht="13" customHeight="1" x14ac:dyDescent="0.2">
      <c r="A105" s="451">
        <v>2211</v>
      </c>
      <c r="B105" s="452">
        <v>43843</v>
      </c>
      <c r="C105" s="453" t="s">
        <v>1138</v>
      </c>
      <c r="D105" s="454" t="s">
        <v>1113</v>
      </c>
      <c r="E105" s="465">
        <v>43831</v>
      </c>
      <c r="F105" s="454" t="s">
        <v>34</v>
      </c>
      <c r="G105" s="454" t="s">
        <v>1178</v>
      </c>
      <c r="H105" s="461">
        <v>80.599999999999994</v>
      </c>
      <c r="I105" s="467"/>
      <c r="J105" s="467"/>
      <c r="K105" s="467"/>
      <c r="L105" s="468"/>
      <c r="M105" s="468"/>
      <c r="N105" s="468"/>
      <c r="O105" s="461">
        <v>1.7909090909090908</v>
      </c>
      <c r="P105" s="461">
        <v>0</v>
      </c>
      <c r="Q105" s="461">
        <v>0</v>
      </c>
      <c r="R105" s="461">
        <v>0</v>
      </c>
      <c r="S105" s="461">
        <v>0</v>
      </c>
      <c r="T105" s="456"/>
      <c r="U105" s="461">
        <v>1.6090909090909089</v>
      </c>
      <c r="V105" s="461">
        <v>0</v>
      </c>
      <c r="W105" s="461">
        <v>0</v>
      </c>
      <c r="X105" s="461">
        <v>0</v>
      </c>
      <c r="Y105" s="461">
        <v>0</v>
      </c>
      <c r="Z105" s="456"/>
      <c r="AA105" s="461" t="s">
        <v>1142</v>
      </c>
      <c r="AB105" s="461" t="s">
        <v>1142</v>
      </c>
      <c r="AC105" s="461" t="s">
        <v>1142</v>
      </c>
      <c r="AD105" s="461" t="s">
        <v>1142</v>
      </c>
      <c r="AE105" s="461" t="s">
        <v>1142</v>
      </c>
      <c r="AF105" s="456"/>
      <c r="AG105" s="470" t="s">
        <v>1143</v>
      </c>
      <c r="AH105" s="470" t="s">
        <v>1144</v>
      </c>
      <c r="AI105" s="460">
        <v>2</v>
      </c>
      <c r="AJ105" s="460">
        <v>4</v>
      </c>
      <c r="AK105" s="483">
        <v>0.33329999999999999</v>
      </c>
      <c r="AL105" s="483">
        <v>0.66659999999999997</v>
      </c>
      <c r="AM105" s="454" t="s">
        <v>1124</v>
      </c>
      <c r="AN105" s="460">
        <v>0</v>
      </c>
      <c r="AO105" s="460">
        <v>0</v>
      </c>
      <c r="AP105" s="460">
        <v>5</v>
      </c>
      <c r="AQ105" s="460">
        <v>0</v>
      </c>
      <c r="AR105" s="460">
        <v>0</v>
      </c>
      <c r="AS105" s="460">
        <v>0</v>
      </c>
      <c r="AT105" s="460">
        <v>0</v>
      </c>
      <c r="AU105" s="460">
        <v>0</v>
      </c>
      <c r="AV105" s="460">
        <v>0</v>
      </c>
      <c r="AW105" s="460">
        <v>0</v>
      </c>
      <c r="AX105" s="460">
        <v>0</v>
      </c>
      <c r="AY105" s="460">
        <v>0</v>
      </c>
      <c r="AZ105" s="460"/>
      <c r="BA105" s="460" t="s">
        <v>1145</v>
      </c>
      <c r="BB105" s="460"/>
      <c r="BC105" s="460" t="s">
        <v>1145</v>
      </c>
      <c r="BD105" s="460"/>
      <c r="BE105" s="460"/>
      <c r="BF105" s="460"/>
      <c r="BG105" s="455"/>
      <c r="BH105" s="454"/>
      <c r="BI105" s="460"/>
      <c r="BJ105" s="460" t="s">
        <v>1164</v>
      </c>
      <c r="BK105" s="460"/>
      <c r="BL105" s="455" t="s">
        <v>47</v>
      </c>
      <c r="BM105" s="484" t="s">
        <v>1363</v>
      </c>
      <c r="BN105" s="454" t="s">
        <v>408</v>
      </c>
    </row>
    <row r="106" spans="1:66" s="450" customFormat="1" ht="13" customHeight="1" x14ac:dyDescent="0.2">
      <c r="A106" s="451">
        <v>2057</v>
      </c>
      <c r="B106" s="452">
        <v>43843</v>
      </c>
      <c r="C106" s="453" t="s">
        <v>1138</v>
      </c>
      <c r="D106" s="454" t="s">
        <v>1113</v>
      </c>
      <c r="E106" s="452">
        <v>43831</v>
      </c>
      <c r="F106" s="455" t="s">
        <v>1180</v>
      </c>
      <c r="G106" s="454" t="s">
        <v>1181</v>
      </c>
      <c r="H106" s="461">
        <v>83.909090909090907</v>
      </c>
      <c r="I106" s="458"/>
      <c r="J106" s="454"/>
      <c r="K106" s="454"/>
      <c r="L106" s="454"/>
      <c r="M106" s="454"/>
      <c r="N106" s="454"/>
      <c r="O106" s="461">
        <v>1.7090909090909088</v>
      </c>
      <c r="P106" s="461">
        <v>0</v>
      </c>
      <c r="Q106" s="461">
        <v>0</v>
      </c>
      <c r="R106" s="461">
        <v>0</v>
      </c>
      <c r="S106" s="461">
        <v>0</v>
      </c>
      <c r="T106" s="461"/>
      <c r="U106" s="461">
        <v>1.5363636363636362</v>
      </c>
      <c r="V106" s="461">
        <v>0</v>
      </c>
      <c r="W106" s="461">
        <v>0</v>
      </c>
      <c r="X106" s="461">
        <v>0</v>
      </c>
      <c r="Y106" s="461">
        <v>0</v>
      </c>
      <c r="Z106" s="461"/>
      <c r="AA106" s="461" t="s">
        <v>1142</v>
      </c>
      <c r="AB106" s="461" t="s">
        <v>1142</v>
      </c>
      <c r="AC106" s="461" t="s">
        <v>1142</v>
      </c>
      <c r="AD106" s="461" t="s">
        <v>1142</v>
      </c>
      <c r="AE106" s="461" t="s">
        <v>1142</v>
      </c>
      <c r="AF106" s="461"/>
      <c r="AG106" s="460" t="s">
        <v>1143</v>
      </c>
      <c r="AH106" s="460" t="s">
        <v>1144</v>
      </c>
      <c r="AI106" s="460">
        <v>2</v>
      </c>
      <c r="AJ106" s="460">
        <v>4</v>
      </c>
      <c r="AK106" s="483">
        <v>0.33329999999999999</v>
      </c>
      <c r="AL106" s="483">
        <v>0.66659999999999997</v>
      </c>
      <c r="AM106" s="454" t="s">
        <v>1124</v>
      </c>
      <c r="AN106" s="460">
        <v>0</v>
      </c>
      <c r="AO106" s="460">
        <v>0</v>
      </c>
      <c r="AP106" s="460">
        <v>0</v>
      </c>
      <c r="AQ106" s="460">
        <v>0</v>
      </c>
      <c r="AR106" s="460">
        <v>0</v>
      </c>
      <c r="AS106" s="460">
        <v>0</v>
      </c>
      <c r="AT106" s="460">
        <v>0</v>
      </c>
      <c r="AU106" s="460">
        <v>0</v>
      </c>
      <c r="AV106" s="460">
        <v>0</v>
      </c>
      <c r="AW106" s="460">
        <v>0</v>
      </c>
      <c r="AX106" s="460">
        <v>0</v>
      </c>
      <c r="AY106" s="460">
        <v>0</v>
      </c>
      <c r="AZ106" s="460"/>
      <c r="BA106" s="460" t="s">
        <v>1145</v>
      </c>
      <c r="BB106" s="460"/>
      <c r="BC106" s="460" t="s">
        <v>1145</v>
      </c>
      <c r="BD106" s="460"/>
      <c r="BE106" s="460"/>
      <c r="BF106" s="460"/>
      <c r="BG106" s="455"/>
      <c r="BH106" s="454"/>
      <c r="BI106" s="460"/>
      <c r="BJ106" s="460" t="s">
        <v>1164</v>
      </c>
      <c r="BK106" s="460"/>
      <c r="BL106" s="455" t="s">
        <v>1284</v>
      </c>
      <c r="BM106" s="454" t="s">
        <v>1352</v>
      </c>
      <c r="BN106" s="454" t="s">
        <v>408</v>
      </c>
    </row>
    <row r="107" spans="1:66" s="450" customFormat="1" ht="13" customHeight="1" x14ac:dyDescent="0.2">
      <c r="A107" s="451">
        <v>2466</v>
      </c>
      <c r="B107" s="452">
        <v>43843</v>
      </c>
      <c r="C107" s="453" t="s">
        <v>1138</v>
      </c>
      <c r="D107" s="454" t="s">
        <v>1113</v>
      </c>
      <c r="E107" s="465">
        <v>43731</v>
      </c>
      <c r="F107" s="454" t="s">
        <v>1274</v>
      </c>
      <c r="G107" s="454" t="s">
        <v>1275</v>
      </c>
      <c r="H107" s="461">
        <v>85.999999999999986</v>
      </c>
      <c r="I107" s="467" t="s">
        <v>1141</v>
      </c>
      <c r="J107" s="469">
        <v>6000</v>
      </c>
      <c r="K107" s="469">
        <v>12000</v>
      </c>
      <c r="L107" s="469">
        <v>12000</v>
      </c>
      <c r="M107" s="469">
        <v>12000</v>
      </c>
      <c r="N107" s="468"/>
      <c r="O107" s="461">
        <v>1.8999999999999997</v>
      </c>
      <c r="P107" s="461">
        <v>1.8363636363636362</v>
      </c>
      <c r="Q107" s="482">
        <v>0</v>
      </c>
      <c r="R107" s="461">
        <v>0</v>
      </c>
      <c r="S107" s="461">
        <v>1.5363636363636362</v>
      </c>
      <c r="T107" s="456"/>
      <c r="U107" s="461">
        <v>1.8999999999999997</v>
      </c>
      <c r="V107" s="461">
        <v>1.8363636363636362</v>
      </c>
      <c r="W107" s="482">
        <v>0</v>
      </c>
      <c r="X107" s="461">
        <v>0</v>
      </c>
      <c r="Y107" s="461">
        <v>1.5363636363636362</v>
      </c>
      <c r="Z107" s="456"/>
      <c r="AA107" s="461" t="s">
        <v>1142</v>
      </c>
      <c r="AB107" s="461" t="s">
        <v>1142</v>
      </c>
      <c r="AC107" s="461" t="s">
        <v>1142</v>
      </c>
      <c r="AD107" s="461" t="s">
        <v>1142</v>
      </c>
      <c r="AE107" s="461" t="s">
        <v>1142</v>
      </c>
      <c r="AF107" s="456"/>
      <c r="AG107" s="470" t="s">
        <v>1145</v>
      </c>
      <c r="AH107" s="470"/>
      <c r="AI107" s="460">
        <v>3</v>
      </c>
      <c r="AJ107" s="460">
        <v>3</v>
      </c>
      <c r="AK107" s="480">
        <v>0.5</v>
      </c>
      <c r="AL107" s="480">
        <v>0.5</v>
      </c>
      <c r="AM107" s="454"/>
      <c r="AN107" s="460">
        <v>0</v>
      </c>
      <c r="AO107" s="460">
        <v>0</v>
      </c>
      <c r="AP107" s="460">
        <v>0</v>
      </c>
      <c r="AQ107" s="460">
        <v>15</v>
      </c>
      <c r="AR107" s="460">
        <v>0</v>
      </c>
      <c r="AS107" s="460">
        <v>0</v>
      </c>
      <c r="AT107" s="460">
        <v>0</v>
      </c>
      <c r="AU107" s="460">
        <v>0</v>
      </c>
      <c r="AV107" s="460">
        <v>0</v>
      </c>
      <c r="AW107" s="460">
        <v>0</v>
      </c>
      <c r="AX107" s="460">
        <v>0</v>
      </c>
      <c r="AY107" s="460">
        <v>0</v>
      </c>
      <c r="AZ107" s="460"/>
      <c r="BA107" s="460" t="s">
        <v>1145</v>
      </c>
      <c r="BB107" s="460"/>
      <c r="BC107" s="460" t="s">
        <v>1145</v>
      </c>
      <c r="BD107" s="460"/>
      <c r="BE107" s="460"/>
      <c r="BF107" s="460"/>
      <c r="BG107" s="455"/>
      <c r="BH107" s="454"/>
      <c r="BI107" s="460"/>
      <c r="BJ107" s="460" t="s">
        <v>1164</v>
      </c>
      <c r="BK107" s="460">
        <v>1</v>
      </c>
      <c r="BL107" s="455"/>
      <c r="BM107" s="454" t="s">
        <v>1366</v>
      </c>
      <c r="BN107" s="454" t="s">
        <v>368</v>
      </c>
    </row>
    <row r="108" spans="1:66" s="450" customFormat="1" ht="13" customHeight="1" x14ac:dyDescent="0.2">
      <c r="A108" s="451">
        <v>2334</v>
      </c>
      <c r="B108" s="452">
        <v>43843</v>
      </c>
      <c r="C108" s="453" t="s">
        <v>1138</v>
      </c>
      <c r="D108" s="454" t="s">
        <v>1113</v>
      </c>
      <c r="E108" s="465">
        <v>43831</v>
      </c>
      <c r="F108" s="454" t="s">
        <v>1291</v>
      </c>
      <c r="G108" s="454" t="s">
        <v>1181</v>
      </c>
      <c r="H108" s="461">
        <v>77.172727272727272</v>
      </c>
      <c r="I108" s="467"/>
      <c r="J108" s="468"/>
      <c r="K108" s="468"/>
      <c r="L108" s="468"/>
      <c r="M108" s="468"/>
      <c r="N108" s="468"/>
      <c r="O108" s="461">
        <v>1.7</v>
      </c>
      <c r="P108" s="461">
        <v>0</v>
      </c>
      <c r="Q108" s="461">
        <v>0</v>
      </c>
      <c r="R108" s="461">
        <v>0</v>
      </c>
      <c r="S108" s="461">
        <v>0</v>
      </c>
      <c r="T108" s="456"/>
      <c r="U108" s="461">
        <v>1.5909090909090908</v>
      </c>
      <c r="V108" s="461">
        <v>0</v>
      </c>
      <c r="W108" s="461">
        <v>0</v>
      </c>
      <c r="X108" s="461">
        <v>0</v>
      </c>
      <c r="Y108" s="461">
        <v>0</v>
      </c>
      <c r="Z108" s="456"/>
      <c r="AA108" s="461" t="s">
        <v>1142</v>
      </c>
      <c r="AB108" s="461" t="s">
        <v>1142</v>
      </c>
      <c r="AC108" s="461" t="s">
        <v>1142</v>
      </c>
      <c r="AD108" s="461" t="s">
        <v>1142</v>
      </c>
      <c r="AE108" s="461" t="s">
        <v>1142</v>
      </c>
      <c r="AF108" s="456"/>
      <c r="AG108" s="470" t="s">
        <v>1143</v>
      </c>
      <c r="AH108" s="470" t="s">
        <v>1144</v>
      </c>
      <c r="AI108" s="460">
        <v>2</v>
      </c>
      <c r="AJ108" s="460">
        <v>4</v>
      </c>
      <c r="AK108" s="483">
        <v>0.33329999999999999</v>
      </c>
      <c r="AL108" s="483">
        <v>0.66659999999999997</v>
      </c>
      <c r="AM108" s="454" t="s">
        <v>1124</v>
      </c>
      <c r="AN108" s="460">
        <v>0</v>
      </c>
      <c r="AO108" s="460">
        <v>0</v>
      </c>
      <c r="AP108" s="460">
        <v>0</v>
      </c>
      <c r="AQ108" s="460">
        <v>0</v>
      </c>
      <c r="AR108" s="460">
        <v>0</v>
      </c>
      <c r="AS108" s="460">
        <v>0</v>
      </c>
      <c r="AT108" s="460">
        <v>0</v>
      </c>
      <c r="AU108" s="460">
        <v>0</v>
      </c>
      <c r="AV108" s="460">
        <v>0</v>
      </c>
      <c r="AW108" s="460">
        <v>0</v>
      </c>
      <c r="AX108" s="460">
        <v>0</v>
      </c>
      <c r="AY108" s="460">
        <v>0</v>
      </c>
      <c r="AZ108" s="460"/>
      <c r="BA108" s="460" t="s">
        <v>1145</v>
      </c>
      <c r="BB108" s="460"/>
      <c r="BC108" s="460" t="s">
        <v>1145</v>
      </c>
      <c r="BD108" s="460"/>
      <c r="BE108" s="460"/>
      <c r="BF108" s="460"/>
      <c r="BG108" s="455"/>
      <c r="BH108" s="454"/>
      <c r="BI108" s="460"/>
      <c r="BJ108" s="460" t="s">
        <v>4</v>
      </c>
      <c r="BK108" s="460"/>
      <c r="BL108" s="455" t="s">
        <v>1284</v>
      </c>
      <c r="BM108" s="484" t="s">
        <v>1367</v>
      </c>
      <c r="BN108" s="454" t="s">
        <v>408</v>
      </c>
    </row>
    <row r="109" spans="1:66" s="450" customFormat="1" ht="13" customHeight="1" x14ac:dyDescent="0.2">
      <c r="A109" s="451">
        <v>2389</v>
      </c>
      <c r="B109" s="452">
        <v>43843</v>
      </c>
      <c r="C109" s="453" t="s">
        <v>1138</v>
      </c>
      <c r="D109" s="454" t="s">
        <v>1114</v>
      </c>
      <c r="E109" s="452">
        <v>43831</v>
      </c>
      <c r="F109" s="455" t="s">
        <v>1139</v>
      </c>
      <c r="G109" s="454" t="s">
        <v>1277</v>
      </c>
      <c r="H109" s="461">
        <v>84.881818181818176</v>
      </c>
      <c r="I109" s="458" t="s">
        <v>1141</v>
      </c>
      <c r="J109" s="459">
        <v>6000</v>
      </c>
      <c r="K109" s="459">
        <v>12000</v>
      </c>
      <c r="L109" s="459">
        <v>84000</v>
      </c>
      <c r="M109" s="459">
        <v>84000</v>
      </c>
      <c r="N109" s="454"/>
      <c r="O109" s="461">
        <v>1.7727272727272725</v>
      </c>
      <c r="P109" s="461">
        <v>1.7272727272727271</v>
      </c>
      <c r="Q109" s="461">
        <v>1.3181818181818181</v>
      </c>
      <c r="R109" s="487">
        <v>0</v>
      </c>
      <c r="S109" s="461">
        <v>1.1181818181818182</v>
      </c>
      <c r="T109" s="461"/>
      <c r="U109" s="461">
        <v>1.5181818181818181</v>
      </c>
      <c r="V109" s="461">
        <v>1.3545454545454545</v>
      </c>
      <c r="W109" s="461">
        <v>1.2545454545454544</v>
      </c>
      <c r="X109" s="487">
        <v>0</v>
      </c>
      <c r="Y109" s="461">
        <v>1.0636363636363635</v>
      </c>
      <c r="Z109" s="461"/>
      <c r="AA109" s="461" t="s">
        <v>1142</v>
      </c>
      <c r="AB109" s="461" t="s">
        <v>1142</v>
      </c>
      <c r="AC109" s="461" t="s">
        <v>1142</v>
      </c>
      <c r="AD109" s="461" t="s">
        <v>1142</v>
      </c>
      <c r="AE109" s="461" t="s">
        <v>1142</v>
      </c>
      <c r="AF109" s="461"/>
      <c r="AG109" s="460" t="s">
        <v>1143</v>
      </c>
      <c r="AH109" s="460" t="s">
        <v>1144</v>
      </c>
      <c r="AI109" s="460">
        <v>2</v>
      </c>
      <c r="AJ109" s="460">
        <v>4</v>
      </c>
      <c r="AK109" s="483">
        <v>0.33329999999999999</v>
      </c>
      <c r="AL109" s="483">
        <v>0.66659999999999997</v>
      </c>
      <c r="AM109" s="454" t="s">
        <v>1124</v>
      </c>
      <c r="AN109" s="460">
        <v>0</v>
      </c>
      <c r="AO109" s="460">
        <v>0</v>
      </c>
      <c r="AP109" s="460">
        <v>0</v>
      </c>
      <c r="AQ109" s="460">
        <v>0</v>
      </c>
      <c r="AR109" s="460">
        <v>0</v>
      </c>
      <c r="AS109" s="460">
        <v>0</v>
      </c>
      <c r="AT109" s="460">
        <v>0</v>
      </c>
      <c r="AU109" s="460">
        <v>0</v>
      </c>
      <c r="AV109" s="460">
        <v>0</v>
      </c>
      <c r="AW109" s="460">
        <v>0</v>
      </c>
      <c r="AX109" s="460">
        <v>0</v>
      </c>
      <c r="AY109" s="460">
        <v>0</v>
      </c>
      <c r="AZ109" s="460"/>
      <c r="BA109" s="460" t="s">
        <v>1145</v>
      </c>
      <c r="BB109" s="460"/>
      <c r="BC109" s="460" t="s">
        <v>1145</v>
      </c>
      <c r="BD109" s="460"/>
      <c r="BE109" s="460"/>
      <c r="BF109" s="460"/>
      <c r="BG109" s="455"/>
      <c r="BH109" s="454"/>
      <c r="BI109" s="460"/>
      <c r="BJ109" s="460" t="s">
        <v>1146</v>
      </c>
      <c r="BK109" s="460"/>
      <c r="BL109" s="455"/>
      <c r="BM109" s="454" t="s">
        <v>1368</v>
      </c>
      <c r="BN109" s="454" t="s">
        <v>408</v>
      </c>
    </row>
    <row r="110" spans="1:66" s="450" customFormat="1" ht="13" customHeight="1" x14ac:dyDescent="0.2">
      <c r="A110" s="451">
        <v>2501</v>
      </c>
      <c r="B110" s="452">
        <v>43843</v>
      </c>
      <c r="C110" s="453" t="s">
        <v>1138</v>
      </c>
      <c r="D110" s="454" t="s">
        <v>1114</v>
      </c>
      <c r="E110" s="452">
        <v>43836</v>
      </c>
      <c r="F110" s="455" t="s">
        <v>1148</v>
      </c>
      <c r="G110" s="454" t="s">
        <v>1280</v>
      </c>
      <c r="H110" s="461">
        <v>72.999999999999986</v>
      </c>
      <c r="I110" s="458" t="s">
        <v>1141</v>
      </c>
      <c r="J110" s="459">
        <v>6000</v>
      </c>
      <c r="K110" s="459">
        <v>6000</v>
      </c>
      <c r="L110" s="459">
        <v>6000</v>
      </c>
      <c r="M110" s="459">
        <v>6000</v>
      </c>
      <c r="N110" s="454"/>
      <c r="O110" s="461">
        <v>2.2999999999999998</v>
      </c>
      <c r="P110" s="482">
        <v>0</v>
      </c>
      <c r="Q110" s="461">
        <v>0</v>
      </c>
      <c r="R110" s="461">
        <v>0</v>
      </c>
      <c r="S110" s="461">
        <v>1.7</v>
      </c>
      <c r="T110" s="461"/>
      <c r="U110" s="461">
        <v>2.1</v>
      </c>
      <c r="V110" s="482">
        <v>0</v>
      </c>
      <c r="W110" s="461">
        <v>0</v>
      </c>
      <c r="X110" s="461">
        <v>0</v>
      </c>
      <c r="Y110" s="461">
        <v>1.7</v>
      </c>
      <c r="Z110" s="461"/>
      <c r="AA110" s="461" t="s">
        <v>1142</v>
      </c>
      <c r="AB110" s="461" t="s">
        <v>1142</v>
      </c>
      <c r="AC110" s="461" t="s">
        <v>1142</v>
      </c>
      <c r="AD110" s="461" t="s">
        <v>1142</v>
      </c>
      <c r="AE110" s="461" t="s">
        <v>1142</v>
      </c>
      <c r="AF110" s="461"/>
      <c r="AG110" s="460" t="s">
        <v>1143</v>
      </c>
      <c r="AH110" s="460" t="s">
        <v>1144</v>
      </c>
      <c r="AI110" s="460">
        <v>2</v>
      </c>
      <c r="AJ110" s="460">
        <v>4</v>
      </c>
      <c r="AK110" s="483">
        <v>0.33329999999999999</v>
      </c>
      <c r="AL110" s="483">
        <v>0.66659999999999997</v>
      </c>
      <c r="AM110" s="454" t="s">
        <v>1124</v>
      </c>
      <c r="AN110" s="460">
        <v>0</v>
      </c>
      <c r="AO110" s="460">
        <v>0</v>
      </c>
      <c r="AP110" s="460">
        <v>0</v>
      </c>
      <c r="AQ110" s="460">
        <v>0</v>
      </c>
      <c r="AR110" s="460">
        <v>0</v>
      </c>
      <c r="AS110" s="460">
        <v>0</v>
      </c>
      <c r="AT110" s="460">
        <v>0</v>
      </c>
      <c r="AU110" s="460">
        <v>0</v>
      </c>
      <c r="AV110" s="460">
        <v>0</v>
      </c>
      <c r="AW110" s="460">
        <v>0</v>
      </c>
      <c r="AX110" s="460">
        <v>0</v>
      </c>
      <c r="AY110" s="460">
        <v>0</v>
      </c>
      <c r="AZ110" s="454"/>
      <c r="BA110" s="460" t="s">
        <v>1145</v>
      </c>
      <c r="BB110" s="460"/>
      <c r="BC110" s="460" t="s">
        <v>1145</v>
      </c>
      <c r="BD110" s="460"/>
      <c r="BE110" s="460"/>
      <c r="BF110" s="460"/>
      <c r="BG110" s="455"/>
      <c r="BH110" s="454"/>
      <c r="BI110" s="460"/>
      <c r="BJ110" s="460" t="s">
        <v>4</v>
      </c>
      <c r="BK110" s="460"/>
      <c r="BL110" s="455"/>
      <c r="BM110" s="454" t="s">
        <v>1369</v>
      </c>
      <c r="BN110" s="454" t="s">
        <v>1121</v>
      </c>
    </row>
    <row r="111" spans="1:66" s="450" customFormat="1" ht="13" customHeight="1" x14ac:dyDescent="0.2">
      <c r="A111" s="451">
        <v>2527</v>
      </c>
      <c r="B111" s="452">
        <v>43843</v>
      </c>
      <c r="C111" s="453" t="s">
        <v>1138</v>
      </c>
      <c r="D111" s="454" t="s">
        <v>1114</v>
      </c>
      <c r="E111" s="452">
        <v>43831</v>
      </c>
      <c r="F111" s="455" t="s">
        <v>1152</v>
      </c>
      <c r="G111" s="454" t="s">
        <v>1283</v>
      </c>
      <c r="H111" s="461">
        <v>71.636363636363626</v>
      </c>
      <c r="I111" s="458" t="s">
        <v>1141</v>
      </c>
      <c r="J111" s="459">
        <v>6000</v>
      </c>
      <c r="K111" s="459">
        <v>12000</v>
      </c>
      <c r="L111" s="459">
        <v>12000</v>
      </c>
      <c r="M111" s="459">
        <v>12000</v>
      </c>
      <c r="N111" s="454"/>
      <c r="O111" s="461">
        <v>2.627272727272727</v>
      </c>
      <c r="P111" s="461">
        <v>2.2545454545454544</v>
      </c>
      <c r="Q111" s="461">
        <v>0</v>
      </c>
      <c r="R111" s="461">
        <v>0</v>
      </c>
      <c r="S111" s="461">
        <v>1.7</v>
      </c>
      <c r="T111" s="461"/>
      <c r="U111" s="461">
        <v>1.8545454545454545</v>
      </c>
      <c r="V111" s="461">
        <v>1.8090909090909089</v>
      </c>
      <c r="W111" s="482">
        <v>0</v>
      </c>
      <c r="X111" s="461">
        <v>0</v>
      </c>
      <c r="Y111" s="461">
        <v>1.7</v>
      </c>
      <c r="Z111" s="461"/>
      <c r="AA111" s="461" t="s">
        <v>1142</v>
      </c>
      <c r="AB111" s="461" t="s">
        <v>1142</v>
      </c>
      <c r="AC111" s="461" t="s">
        <v>1142</v>
      </c>
      <c r="AD111" s="461" t="s">
        <v>1142</v>
      </c>
      <c r="AE111" s="461" t="s">
        <v>1142</v>
      </c>
      <c r="AF111" s="461"/>
      <c r="AG111" s="460" t="s">
        <v>1143</v>
      </c>
      <c r="AH111" s="460" t="s">
        <v>1144</v>
      </c>
      <c r="AI111" s="460">
        <v>2</v>
      </c>
      <c r="AJ111" s="460">
        <v>4</v>
      </c>
      <c r="AK111" s="483">
        <v>0.33329999999999999</v>
      </c>
      <c r="AL111" s="483">
        <v>0.66659999999999997</v>
      </c>
      <c r="AM111" s="454" t="s">
        <v>1124</v>
      </c>
      <c r="AN111" s="460">
        <v>0</v>
      </c>
      <c r="AO111" s="460">
        <v>0</v>
      </c>
      <c r="AP111" s="460">
        <v>0</v>
      </c>
      <c r="AQ111" s="460">
        <v>0</v>
      </c>
      <c r="AR111" s="460">
        <v>0</v>
      </c>
      <c r="AS111" s="460">
        <v>0</v>
      </c>
      <c r="AT111" s="460">
        <v>0</v>
      </c>
      <c r="AU111" s="460">
        <v>0</v>
      </c>
      <c r="AV111" s="460">
        <v>0</v>
      </c>
      <c r="AW111" s="460">
        <v>0</v>
      </c>
      <c r="AX111" s="460">
        <v>0</v>
      </c>
      <c r="AY111" s="460">
        <v>0</v>
      </c>
      <c r="AZ111" s="454"/>
      <c r="BA111" s="460" t="s">
        <v>1145</v>
      </c>
      <c r="BB111" s="460"/>
      <c r="BC111" s="460" t="s">
        <v>1145</v>
      </c>
      <c r="BD111" s="460"/>
      <c r="BE111" s="460"/>
      <c r="BF111" s="460"/>
      <c r="BG111" s="455"/>
      <c r="BH111" s="454"/>
      <c r="BI111" s="460"/>
      <c r="BJ111" s="460" t="s">
        <v>1146</v>
      </c>
      <c r="BK111" s="460">
        <v>1</v>
      </c>
      <c r="BL111" s="455" t="s">
        <v>1284</v>
      </c>
      <c r="BM111" s="454" t="s">
        <v>1370</v>
      </c>
      <c r="BN111" s="454" t="s">
        <v>1121</v>
      </c>
    </row>
    <row r="112" spans="1:66" s="450" customFormat="1" ht="13" customHeight="1" x14ac:dyDescent="0.2">
      <c r="A112" s="451">
        <v>2310</v>
      </c>
      <c r="B112" s="452">
        <v>43843</v>
      </c>
      <c r="C112" s="453" t="s">
        <v>1138</v>
      </c>
      <c r="D112" s="454" t="s">
        <v>1114</v>
      </c>
      <c r="E112" s="452">
        <v>43831</v>
      </c>
      <c r="F112" s="455" t="s">
        <v>1286</v>
      </c>
      <c r="G112" s="454" t="s">
        <v>418</v>
      </c>
      <c r="H112" s="461">
        <v>85</v>
      </c>
      <c r="I112" s="458" t="s">
        <v>1141</v>
      </c>
      <c r="J112" s="459">
        <v>6000</v>
      </c>
      <c r="K112" s="459">
        <v>12000</v>
      </c>
      <c r="L112" s="459">
        <v>84000</v>
      </c>
      <c r="M112" s="459">
        <v>84000</v>
      </c>
      <c r="N112" s="454"/>
      <c r="O112" s="461">
        <v>2.8727272727272726</v>
      </c>
      <c r="P112" s="461">
        <v>2.5545454545454542</v>
      </c>
      <c r="Q112" s="461">
        <v>2.1</v>
      </c>
      <c r="R112" s="461">
        <v>0</v>
      </c>
      <c r="S112" s="461">
        <v>1.7999999999999998</v>
      </c>
      <c r="T112" s="461"/>
      <c r="U112" s="461">
        <v>2.4</v>
      </c>
      <c r="V112" s="461">
        <v>2.1999999999999997</v>
      </c>
      <c r="W112" s="461">
        <v>2</v>
      </c>
      <c r="X112" s="487">
        <v>0</v>
      </c>
      <c r="Y112" s="461">
        <v>1.5999999999999999</v>
      </c>
      <c r="Z112" s="461"/>
      <c r="AA112" s="461" t="s">
        <v>1142</v>
      </c>
      <c r="AB112" s="461" t="s">
        <v>1142</v>
      </c>
      <c r="AC112" s="461" t="s">
        <v>1142</v>
      </c>
      <c r="AD112" s="461" t="s">
        <v>1142</v>
      </c>
      <c r="AE112" s="461" t="s">
        <v>1142</v>
      </c>
      <c r="AF112" s="461"/>
      <c r="AG112" s="460" t="s">
        <v>1143</v>
      </c>
      <c r="AH112" s="460" t="s">
        <v>1144</v>
      </c>
      <c r="AI112" s="460">
        <v>2</v>
      </c>
      <c r="AJ112" s="460">
        <v>4</v>
      </c>
      <c r="AK112" s="483">
        <v>0.33329999999999999</v>
      </c>
      <c r="AL112" s="483">
        <v>0.66659999999999997</v>
      </c>
      <c r="AM112" s="454" t="s">
        <v>1124</v>
      </c>
      <c r="AN112" s="460">
        <v>0</v>
      </c>
      <c r="AO112" s="460">
        <v>16</v>
      </c>
      <c r="AP112" s="460">
        <v>0</v>
      </c>
      <c r="AQ112" s="460">
        <v>0</v>
      </c>
      <c r="AR112" s="460">
        <v>0</v>
      </c>
      <c r="AS112" s="460">
        <v>0</v>
      </c>
      <c r="AT112" s="460">
        <v>0</v>
      </c>
      <c r="AU112" s="460">
        <v>0</v>
      </c>
      <c r="AV112" s="460">
        <v>0</v>
      </c>
      <c r="AW112" s="460">
        <v>0</v>
      </c>
      <c r="AX112" s="460">
        <v>0</v>
      </c>
      <c r="AY112" s="460">
        <v>0</v>
      </c>
      <c r="AZ112" s="454"/>
      <c r="BA112" s="460" t="s">
        <v>1145</v>
      </c>
      <c r="BB112" s="460"/>
      <c r="BC112" s="460" t="s">
        <v>1145</v>
      </c>
      <c r="BD112" s="460"/>
      <c r="BE112" s="460"/>
      <c r="BF112" s="460"/>
      <c r="BG112" s="455"/>
      <c r="BH112" s="454"/>
      <c r="BI112" s="460"/>
      <c r="BJ112" s="460" t="s">
        <v>1146</v>
      </c>
      <c r="BK112" s="460">
        <v>1</v>
      </c>
      <c r="BL112" s="455"/>
      <c r="BM112" s="454" t="s">
        <v>1371</v>
      </c>
      <c r="BN112" s="454" t="s">
        <v>408</v>
      </c>
    </row>
    <row r="113" spans="1:66" s="450" customFormat="1" ht="16" x14ac:dyDescent="0.2">
      <c r="A113" s="451"/>
      <c r="B113" s="452">
        <v>43847</v>
      </c>
      <c r="C113" s="476" t="s">
        <v>10</v>
      </c>
      <c r="D113" s="477" t="s">
        <v>1114</v>
      </c>
      <c r="E113" s="465">
        <v>43725</v>
      </c>
      <c r="F113" s="454" t="s">
        <v>1052</v>
      </c>
      <c r="G113" s="454" t="s">
        <v>1181</v>
      </c>
      <c r="H113" s="456">
        <v>72.554545454545448</v>
      </c>
      <c r="I113" s="458" t="s">
        <v>1141</v>
      </c>
      <c r="J113" s="488">
        <v>6000</v>
      </c>
      <c r="K113" s="488">
        <v>12000</v>
      </c>
      <c r="L113" s="469">
        <v>18000</v>
      </c>
      <c r="M113" s="469">
        <v>18000</v>
      </c>
      <c r="N113" s="468"/>
      <c r="O113" s="456">
        <v>2</v>
      </c>
      <c r="P113" s="456">
        <v>1.9545454545454544</v>
      </c>
      <c r="Q113" s="456">
        <v>1.7999999999999998</v>
      </c>
      <c r="R113" s="461">
        <v>0</v>
      </c>
      <c r="S113" s="456">
        <v>1.7</v>
      </c>
      <c r="T113" s="456"/>
      <c r="U113" s="456">
        <v>2.6545454545454543</v>
      </c>
      <c r="V113" s="456">
        <v>2.2999999999999998</v>
      </c>
      <c r="W113" s="456">
        <v>1.7999999999999998</v>
      </c>
      <c r="X113" s="487">
        <v>0</v>
      </c>
      <c r="Y113" s="456">
        <v>1.7999999999999998</v>
      </c>
      <c r="Z113" s="466"/>
      <c r="AA113" s="466"/>
      <c r="AB113" s="466"/>
      <c r="AC113" s="466"/>
      <c r="AD113" s="466"/>
      <c r="AE113" s="466"/>
      <c r="AF113" s="466"/>
      <c r="AG113" s="460" t="s">
        <v>1143</v>
      </c>
      <c r="AH113" s="460" t="s">
        <v>1144</v>
      </c>
      <c r="AI113" s="460">
        <v>2</v>
      </c>
      <c r="AJ113" s="460">
        <v>4</v>
      </c>
      <c r="AK113" s="483">
        <v>0.33329999999999999</v>
      </c>
      <c r="AL113" s="483">
        <v>0.66659999999999997</v>
      </c>
      <c r="AM113" s="454" t="s">
        <v>1124</v>
      </c>
      <c r="AN113" s="460">
        <v>0</v>
      </c>
      <c r="AO113" s="460">
        <v>0</v>
      </c>
      <c r="AP113" s="460">
        <v>0</v>
      </c>
      <c r="AQ113" s="460">
        <v>20</v>
      </c>
      <c r="AR113" s="460">
        <v>0</v>
      </c>
      <c r="AS113" s="460">
        <v>0</v>
      </c>
      <c r="AT113" s="460">
        <v>0</v>
      </c>
      <c r="AU113" s="460">
        <v>0</v>
      </c>
      <c r="AV113" s="460">
        <v>0</v>
      </c>
      <c r="AW113" s="460">
        <v>0</v>
      </c>
      <c r="AX113" s="460">
        <v>0</v>
      </c>
      <c r="AY113" s="460">
        <v>0</v>
      </c>
      <c r="AZ113" s="460"/>
      <c r="BA113" s="460" t="s">
        <v>405</v>
      </c>
      <c r="BB113" s="460"/>
      <c r="BC113" s="460" t="s">
        <v>405</v>
      </c>
      <c r="BD113" s="460"/>
      <c r="BE113" s="460"/>
      <c r="BF113" s="460"/>
      <c r="BG113" s="455"/>
      <c r="BH113" s="454"/>
      <c r="BI113" s="460"/>
      <c r="BJ113" s="460" t="s">
        <v>4</v>
      </c>
      <c r="BK113" s="460"/>
      <c r="BL113" s="455"/>
      <c r="BM113" s="486" t="s">
        <v>1230</v>
      </c>
      <c r="BN113" s="454" t="s">
        <v>1121</v>
      </c>
    </row>
    <row r="114" spans="1:66" s="450" customFormat="1" ht="13" customHeight="1" x14ac:dyDescent="0.2">
      <c r="A114" s="451">
        <v>2120</v>
      </c>
      <c r="B114" s="452">
        <v>43843</v>
      </c>
      <c r="C114" s="453" t="s">
        <v>1138</v>
      </c>
      <c r="D114" s="454" t="s">
        <v>1114</v>
      </c>
      <c r="E114" s="452">
        <v>43831</v>
      </c>
      <c r="F114" s="455" t="s">
        <v>1156</v>
      </c>
      <c r="G114" s="454" t="s">
        <v>1157</v>
      </c>
      <c r="H114" s="461">
        <v>95.799999999999983</v>
      </c>
      <c r="I114" s="458" t="s">
        <v>1141</v>
      </c>
      <c r="J114" s="459">
        <v>12000</v>
      </c>
      <c r="K114" s="459">
        <v>12000</v>
      </c>
      <c r="L114" s="459">
        <v>12000</v>
      </c>
      <c r="M114" s="459">
        <v>12000</v>
      </c>
      <c r="N114" s="454"/>
      <c r="O114" s="461">
        <v>2.7818181818181817</v>
      </c>
      <c r="P114" s="482">
        <v>0</v>
      </c>
      <c r="Q114" s="461">
        <v>0</v>
      </c>
      <c r="R114" s="461">
        <v>0</v>
      </c>
      <c r="S114" s="461">
        <v>1.7999999999999998</v>
      </c>
      <c r="T114" s="461"/>
      <c r="U114" s="461">
        <v>2.0363636363636366</v>
      </c>
      <c r="V114" s="461">
        <v>0</v>
      </c>
      <c r="W114" s="461">
        <v>0</v>
      </c>
      <c r="X114" s="461">
        <v>0</v>
      </c>
      <c r="Y114" s="461">
        <v>0</v>
      </c>
      <c r="Z114" s="461"/>
      <c r="AA114" s="461" t="s">
        <v>1142</v>
      </c>
      <c r="AB114" s="461" t="s">
        <v>1142</v>
      </c>
      <c r="AC114" s="461" t="s">
        <v>1142</v>
      </c>
      <c r="AD114" s="461" t="s">
        <v>1142</v>
      </c>
      <c r="AE114" s="461" t="s">
        <v>1142</v>
      </c>
      <c r="AF114" s="461"/>
      <c r="AG114" s="460" t="s">
        <v>1143</v>
      </c>
      <c r="AH114" s="460" t="s">
        <v>1144</v>
      </c>
      <c r="AI114" s="460">
        <v>2</v>
      </c>
      <c r="AJ114" s="460">
        <v>4</v>
      </c>
      <c r="AK114" s="483">
        <v>0.33329999999999999</v>
      </c>
      <c r="AL114" s="483">
        <v>0.66659999999999997</v>
      </c>
      <c r="AM114" s="454" t="s">
        <v>1124</v>
      </c>
      <c r="AN114" s="460">
        <v>23</v>
      </c>
      <c r="AO114" s="460">
        <v>0</v>
      </c>
      <c r="AP114" s="460">
        <v>0</v>
      </c>
      <c r="AQ114" s="460">
        <v>0</v>
      </c>
      <c r="AR114" s="460">
        <v>0</v>
      </c>
      <c r="AS114" s="460">
        <v>0</v>
      </c>
      <c r="AT114" s="460">
        <v>0</v>
      </c>
      <c r="AU114" s="460">
        <v>0</v>
      </c>
      <c r="AV114" s="460">
        <v>0</v>
      </c>
      <c r="AW114" s="460">
        <v>0</v>
      </c>
      <c r="AX114" s="460">
        <v>0</v>
      </c>
      <c r="AY114" s="460">
        <v>0</v>
      </c>
      <c r="AZ114" s="472">
        <v>12</v>
      </c>
      <c r="BA114" s="460" t="s">
        <v>1145</v>
      </c>
      <c r="BB114" s="460">
        <v>12</v>
      </c>
      <c r="BC114" s="460" t="s">
        <v>1145</v>
      </c>
      <c r="BD114" s="460"/>
      <c r="BE114" s="460">
        <v>12</v>
      </c>
      <c r="BF114" s="460"/>
      <c r="BG114" s="455"/>
      <c r="BH114" s="454"/>
      <c r="BI114" s="460"/>
      <c r="BJ114" s="460" t="s">
        <v>1146</v>
      </c>
      <c r="BK114" s="460"/>
      <c r="BL114" s="455"/>
      <c r="BM114" s="484" t="s">
        <v>1373</v>
      </c>
      <c r="BN114" s="454" t="s">
        <v>408</v>
      </c>
    </row>
    <row r="115" spans="1:66" s="450" customFormat="1" ht="13" customHeight="1" x14ac:dyDescent="0.2">
      <c r="A115" s="451">
        <v>1940</v>
      </c>
      <c r="B115" s="452">
        <v>43843</v>
      </c>
      <c r="C115" s="453" t="s">
        <v>1138</v>
      </c>
      <c r="D115" s="454" t="s">
        <v>1114</v>
      </c>
      <c r="E115" s="452">
        <v>43831</v>
      </c>
      <c r="F115" s="455" t="s">
        <v>1159</v>
      </c>
      <c r="G115" s="454" t="s">
        <v>1105</v>
      </c>
      <c r="H115" s="461">
        <v>70</v>
      </c>
      <c r="I115" s="458" t="s">
        <v>1141</v>
      </c>
      <c r="J115" s="459">
        <v>6000</v>
      </c>
      <c r="K115" s="459">
        <v>12000</v>
      </c>
      <c r="L115" s="459">
        <v>84000</v>
      </c>
      <c r="M115" s="459">
        <v>84000</v>
      </c>
      <c r="N115" s="454"/>
      <c r="O115" s="461">
        <v>2.2000000000000002</v>
      </c>
      <c r="P115" s="461">
        <v>2</v>
      </c>
      <c r="Q115" s="461">
        <v>1.65</v>
      </c>
      <c r="R115" s="461">
        <v>0</v>
      </c>
      <c r="S115" s="461">
        <v>1.5</v>
      </c>
      <c r="T115" s="461"/>
      <c r="U115" s="461">
        <v>1.7</v>
      </c>
      <c r="V115" s="461">
        <v>1.63</v>
      </c>
      <c r="W115" s="461">
        <v>1.51</v>
      </c>
      <c r="X115" s="461">
        <v>0</v>
      </c>
      <c r="Y115" s="461">
        <v>1.46</v>
      </c>
      <c r="Z115" s="461"/>
      <c r="AA115" s="461" t="s">
        <v>1142</v>
      </c>
      <c r="AB115" s="461" t="s">
        <v>1142</v>
      </c>
      <c r="AC115" s="461" t="s">
        <v>1142</v>
      </c>
      <c r="AD115" s="461" t="s">
        <v>1142</v>
      </c>
      <c r="AE115" s="461" t="s">
        <v>1142</v>
      </c>
      <c r="AF115" s="461"/>
      <c r="AG115" s="460" t="s">
        <v>1143</v>
      </c>
      <c r="AH115" s="460" t="s">
        <v>1144</v>
      </c>
      <c r="AI115" s="460">
        <v>2</v>
      </c>
      <c r="AJ115" s="460">
        <v>4</v>
      </c>
      <c r="AK115" s="483">
        <v>0.33329999999999999</v>
      </c>
      <c r="AL115" s="483">
        <v>0.66659999999999997</v>
      </c>
      <c r="AM115" s="454" t="s">
        <v>1124</v>
      </c>
      <c r="AN115" s="460">
        <v>0</v>
      </c>
      <c r="AO115" s="460">
        <v>0</v>
      </c>
      <c r="AP115" s="460">
        <v>3</v>
      </c>
      <c r="AQ115" s="460">
        <v>0</v>
      </c>
      <c r="AR115" s="460">
        <v>0</v>
      </c>
      <c r="AS115" s="460">
        <v>0</v>
      </c>
      <c r="AT115" s="460">
        <v>0</v>
      </c>
      <c r="AU115" s="460">
        <v>0</v>
      </c>
      <c r="AV115" s="460">
        <v>0</v>
      </c>
      <c r="AW115" s="460">
        <v>0</v>
      </c>
      <c r="AX115" s="460">
        <v>0</v>
      </c>
      <c r="AY115" s="460">
        <v>0</v>
      </c>
      <c r="AZ115" s="454"/>
      <c r="BA115" s="460" t="s">
        <v>1145</v>
      </c>
      <c r="BB115" s="460"/>
      <c r="BC115" s="460" t="s">
        <v>1145</v>
      </c>
      <c r="BD115" s="460"/>
      <c r="BE115" s="460"/>
      <c r="BF115" s="460"/>
      <c r="BG115" s="460"/>
      <c r="BH115" s="460"/>
      <c r="BI115" s="460"/>
      <c r="BJ115" s="460" t="s">
        <v>1146</v>
      </c>
      <c r="BK115" s="460"/>
      <c r="BL115" s="455"/>
      <c r="BM115" s="484" t="s">
        <v>1375</v>
      </c>
      <c r="BN115" s="454" t="s">
        <v>408</v>
      </c>
    </row>
    <row r="116" spans="1:66" s="450" customFormat="1" ht="13" customHeight="1" x14ac:dyDescent="0.2">
      <c r="A116" s="451">
        <v>319</v>
      </c>
      <c r="B116" s="452">
        <v>43843</v>
      </c>
      <c r="C116" s="453" t="s">
        <v>1138</v>
      </c>
      <c r="D116" s="454" t="s">
        <v>1114</v>
      </c>
      <c r="E116" s="452">
        <v>43831</v>
      </c>
      <c r="F116" s="454" t="s">
        <v>1160</v>
      </c>
      <c r="G116" s="454" t="s">
        <v>1161</v>
      </c>
      <c r="H116" s="461">
        <v>99.25454545454545</v>
      </c>
      <c r="I116" s="458" t="s">
        <v>1141</v>
      </c>
      <c r="J116" s="459">
        <v>6000</v>
      </c>
      <c r="K116" s="459">
        <v>12000</v>
      </c>
      <c r="L116" s="459">
        <v>84000</v>
      </c>
      <c r="M116" s="459">
        <v>84000</v>
      </c>
      <c r="N116" s="454"/>
      <c r="O116" s="461">
        <v>2.1</v>
      </c>
      <c r="P116" s="461">
        <v>1.8363636363636362</v>
      </c>
      <c r="Q116" s="461">
        <v>1.5181818181818181</v>
      </c>
      <c r="R116" s="461">
        <v>0</v>
      </c>
      <c r="S116" s="461">
        <v>1.5090909090909088</v>
      </c>
      <c r="T116" s="461"/>
      <c r="U116" s="461">
        <v>1.5909090909090908</v>
      </c>
      <c r="V116" s="461">
        <v>1.5636363636363635</v>
      </c>
      <c r="W116" s="461">
        <v>1.4818181818181817</v>
      </c>
      <c r="X116" s="461">
        <v>0</v>
      </c>
      <c r="Y116" s="461">
        <v>1.4454545454545453</v>
      </c>
      <c r="Z116" s="461"/>
      <c r="AA116" s="461" t="s">
        <v>1142</v>
      </c>
      <c r="AB116" s="461" t="s">
        <v>1142</v>
      </c>
      <c r="AC116" s="461" t="s">
        <v>1142</v>
      </c>
      <c r="AD116" s="461" t="s">
        <v>1142</v>
      </c>
      <c r="AE116" s="461" t="s">
        <v>1142</v>
      </c>
      <c r="AF116" s="461"/>
      <c r="AG116" s="460" t="s">
        <v>1143</v>
      </c>
      <c r="AH116" s="460" t="s">
        <v>1144</v>
      </c>
      <c r="AI116" s="460">
        <v>2</v>
      </c>
      <c r="AJ116" s="460">
        <v>4</v>
      </c>
      <c r="AK116" s="483">
        <v>0.33329999999999999</v>
      </c>
      <c r="AL116" s="483">
        <v>0.66659999999999997</v>
      </c>
      <c r="AM116" s="454" t="s">
        <v>1124</v>
      </c>
      <c r="AN116" s="460">
        <v>0</v>
      </c>
      <c r="AO116" s="460">
        <v>0</v>
      </c>
      <c r="AP116" s="460">
        <v>0</v>
      </c>
      <c r="AQ116" s="460">
        <v>0</v>
      </c>
      <c r="AR116" s="460">
        <v>0</v>
      </c>
      <c r="AS116" s="460">
        <v>0</v>
      </c>
      <c r="AT116" s="460">
        <v>0</v>
      </c>
      <c r="AU116" s="460">
        <v>0</v>
      </c>
      <c r="AV116" s="460">
        <v>0</v>
      </c>
      <c r="AW116" s="460">
        <v>0</v>
      </c>
      <c r="AX116" s="460">
        <v>0</v>
      </c>
      <c r="AY116" s="460">
        <v>0</v>
      </c>
      <c r="AZ116" s="454"/>
      <c r="BA116" s="460" t="s">
        <v>1145</v>
      </c>
      <c r="BB116" s="460"/>
      <c r="BC116" s="460" t="s">
        <v>1145</v>
      </c>
      <c r="BD116" s="460"/>
      <c r="BE116" s="460"/>
      <c r="BF116" s="460"/>
      <c r="BG116" s="455" t="s">
        <v>1162</v>
      </c>
      <c r="BH116" s="454" t="s">
        <v>1163</v>
      </c>
      <c r="BI116" s="460">
        <v>50</v>
      </c>
      <c r="BJ116" s="460" t="s">
        <v>1164</v>
      </c>
      <c r="BK116" s="460"/>
      <c r="BL116" s="455"/>
      <c r="BM116" s="484" t="s">
        <v>1376</v>
      </c>
      <c r="BN116" s="454" t="s">
        <v>408</v>
      </c>
    </row>
    <row r="117" spans="1:66" s="450" customFormat="1" ht="13" customHeight="1" x14ac:dyDescent="0.2">
      <c r="A117" s="451">
        <v>2264</v>
      </c>
      <c r="B117" s="452">
        <v>43843</v>
      </c>
      <c r="C117" s="453" t="s">
        <v>1138</v>
      </c>
      <c r="D117" s="454" t="s">
        <v>1114</v>
      </c>
      <c r="E117" s="452">
        <v>43831</v>
      </c>
      <c r="F117" s="455" t="s">
        <v>1166</v>
      </c>
      <c r="G117" s="454" t="s">
        <v>1167</v>
      </c>
      <c r="H117" s="461">
        <v>78</v>
      </c>
      <c r="I117" s="458" t="s">
        <v>1141</v>
      </c>
      <c r="J117" s="459">
        <v>3000</v>
      </c>
      <c r="K117" s="459">
        <v>3000</v>
      </c>
      <c r="L117" s="459">
        <v>3000</v>
      </c>
      <c r="M117" s="459">
        <v>3000</v>
      </c>
      <c r="N117" s="454"/>
      <c r="O117" s="461">
        <v>2.8</v>
      </c>
      <c r="P117" s="482">
        <v>0</v>
      </c>
      <c r="Q117" s="461">
        <v>0</v>
      </c>
      <c r="R117" s="461">
        <v>0</v>
      </c>
      <c r="S117" s="461">
        <v>2.2000000000000002</v>
      </c>
      <c r="T117" s="461"/>
      <c r="U117" s="461">
        <v>2</v>
      </c>
      <c r="V117" s="482">
        <v>0</v>
      </c>
      <c r="W117" s="461">
        <v>0</v>
      </c>
      <c r="X117" s="461">
        <v>0</v>
      </c>
      <c r="Y117" s="461">
        <v>1.6</v>
      </c>
      <c r="Z117" s="461"/>
      <c r="AA117" s="461" t="s">
        <v>1142</v>
      </c>
      <c r="AB117" s="461" t="s">
        <v>1142</v>
      </c>
      <c r="AC117" s="461" t="s">
        <v>1142</v>
      </c>
      <c r="AD117" s="461" t="s">
        <v>1142</v>
      </c>
      <c r="AE117" s="461" t="s">
        <v>1142</v>
      </c>
      <c r="AF117" s="461"/>
      <c r="AG117" s="460" t="s">
        <v>1143</v>
      </c>
      <c r="AH117" s="460" t="s">
        <v>1144</v>
      </c>
      <c r="AI117" s="460">
        <v>2</v>
      </c>
      <c r="AJ117" s="460">
        <v>4</v>
      </c>
      <c r="AK117" s="483">
        <v>0.33329999999999999</v>
      </c>
      <c r="AL117" s="483">
        <v>0.66659999999999997</v>
      </c>
      <c r="AM117" s="454" t="s">
        <v>1124</v>
      </c>
      <c r="AN117" s="460">
        <v>10</v>
      </c>
      <c r="AO117" s="460">
        <v>0</v>
      </c>
      <c r="AP117" s="460">
        <v>0</v>
      </c>
      <c r="AQ117" s="460">
        <v>0</v>
      </c>
      <c r="AR117" s="460">
        <v>0</v>
      </c>
      <c r="AS117" s="460">
        <v>0</v>
      </c>
      <c r="AT117" s="460">
        <v>0</v>
      </c>
      <c r="AU117" s="460">
        <v>0</v>
      </c>
      <c r="AV117" s="460">
        <v>0</v>
      </c>
      <c r="AW117" s="460">
        <v>0</v>
      </c>
      <c r="AX117" s="460">
        <v>0</v>
      </c>
      <c r="AY117" s="460">
        <v>0</v>
      </c>
      <c r="AZ117" s="454"/>
      <c r="BA117" s="460" t="s">
        <v>1145</v>
      </c>
      <c r="BB117" s="460">
        <v>12</v>
      </c>
      <c r="BC117" s="460" t="s">
        <v>1145</v>
      </c>
      <c r="BD117" s="460"/>
      <c r="BE117" s="460"/>
      <c r="BF117" s="460"/>
      <c r="BG117" s="455"/>
      <c r="BH117" s="454"/>
      <c r="BI117" s="460"/>
      <c r="BJ117" s="460" t="s">
        <v>1146</v>
      </c>
      <c r="BK117" s="460"/>
      <c r="BL117" s="455"/>
      <c r="BM117" s="454" t="s">
        <v>430</v>
      </c>
      <c r="BN117" s="454" t="s">
        <v>408</v>
      </c>
    </row>
    <row r="118" spans="1:66" s="450" customFormat="1" ht="13" customHeight="1" x14ac:dyDescent="0.2">
      <c r="A118" s="451">
        <v>2401</v>
      </c>
      <c r="B118" s="452">
        <v>43843</v>
      </c>
      <c r="C118" s="453" t="s">
        <v>1138</v>
      </c>
      <c r="D118" s="454" t="s">
        <v>1114</v>
      </c>
      <c r="E118" s="465">
        <v>43831</v>
      </c>
      <c r="F118" s="455" t="s">
        <v>1168</v>
      </c>
      <c r="G118" s="454" t="s">
        <v>1297</v>
      </c>
      <c r="H118" s="461">
        <v>80.400000000000006</v>
      </c>
      <c r="I118" s="458" t="s">
        <v>1141</v>
      </c>
      <c r="J118" s="459">
        <v>6000</v>
      </c>
      <c r="K118" s="459">
        <v>12000</v>
      </c>
      <c r="L118" s="459">
        <v>84000</v>
      </c>
      <c r="M118" s="459">
        <v>84000</v>
      </c>
      <c r="N118" s="454"/>
      <c r="O118" s="461">
        <v>2.4</v>
      </c>
      <c r="P118" s="461">
        <v>2</v>
      </c>
      <c r="Q118" s="461">
        <v>1.8999999999999997</v>
      </c>
      <c r="R118" s="461">
        <v>0</v>
      </c>
      <c r="S118" s="461">
        <v>1.8545454545454545</v>
      </c>
      <c r="T118" s="461"/>
      <c r="U118" s="461">
        <v>1.9545454545454544</v>
      </c>
      <c r="V118" s="461">
        <v>1.8999999999999997</v>
      </c>
      <c r="W118" s="461">
        <v>1.7999999999999998</v>
      </c>
      <c r="X118" s="461">
        <v>0</v>
      </c>
      <c r="Y118" s="461">
        <v>1.7545454545454544</v>
      </c>
      <c r="Z118" s="461"/>
      <c r="AA118" s="461" t="s">
        <v>1142</v>
      </c>
      <c r="AB118" s="461" t="s">
        <v>1142</v>
      </c>
      <c r="AC118" s="461" t="s">
        <v>1142</v>
      </c>
      <c r="AD118" s="461" t="s">
        <v>1142</v>
      </c>
      <c r="AE118" s="461" t="s">
        <v>1142</v>
      </c>
      <c r="AF118" s="461"/>
      <c r="AG118" s="460" t="s">
        <v>1143</v>
      </c>
      <c r="AH118" s="460" t="s">
        <v>1144</v>
      </c>
      <c r="AI118" s="460">
        <v>2</v>
      </c>
      <c r="AJ118" s="460">
        <v>4</v>
      </c>
      <c r="AK118" s="483">
        <v>0.33329999999999999</v>
      </c>
      <c r="AL118" s="483">
        <v>0.66659999999999997</v>
      </c>
      <c r="AM118" s="454" t="s">
        <v>1124</v>
      </c>
      <c r="AN118" s="460">
        <v>0</v>
      </c>
      <c r="AO118" s="460">
        <v>0</v>
      </c>
      <c r="AP118" s="460">
        <v>10</v>
      </c>
      <c r="AQ118" s="460">
        <v>0</v>
      </c>
      <c r="AR118" s="460">
        <v>0</v>
      </c>
      <c r="AS118" s="460">
        <v>0</v>
      </c>
      <c r="AT118" s="460">
        <v>0</v>
      </c>
      <c r="AU118" s="460">
        <v>0</v>
      </c>
      <c r="AV118" s="460">
        <v>0</v>
      </c>
      <c r="AW118" s="460">
        <v>0</v>
      </c>
      <c r="AX118" s="460">
        <v>0</v>
      </c>
      <c r="AY118" s="460">
        <v>0</v>
      </c>
      <c r="AZ118" s="460"/>
      <c r="BA118" s="460" t="s">
        <v>1145</v>
      </c>
      <c r="BB118" s="460"/>
      <c r="BC118" s="460" t="s">
        <v>1145</v>
      </c>
      <c r="BD118" s="460"/>
      <c r="BE118" s="460"/>
      <c r="BF118" s="460"/>
      <c r="BG118" s="455"/>
      <c r="BH118" s="454"/>
      <c r="BI118" s="460"/>
      <c r="BJ118" s="460" t="s">
        <v>1146</v>
      </c>
      <c r="BK118" s="460"/>
      <c r="BL118" s="455"/>
      <c r="BM118" s="484" t="s">
        <v>1378</v>
      </c>
      <c r="BN118" s="454" t="s">
        <v>408</v>
      </c>
    </row>
    <row r="119" spans="1:66" s="450" customFormat="1" ht="13" customHeight="1" x14ac:dyDescent="0.2">
      <c r="A119" s="451">
        <v>799</v>
      </c>
      <c r="B119" s="452">
        <v>43843</v>
      </c>
      <c r="C119" s="453" t="s">
        <v>295</v>
      </c>
      <c r="D119" s="454" t="s">
        <v>1114</v>
      </c>
      <c r="E119" s="465">
        <v>43831</v>
      </c>
      <c r="F119" s="455" t="s">
        <v>984</v>
      </c>
      <c r="G119" s="454" t="s">
        <v>1170</v>
      </c>
      <c r="H119" s="461">
        <v>92.61818181818181</v>
      </c>
      <c r="I119" s="458" t="s">
        <v>1141</v>
      </c>
      <c r="J119" s="459">
        <v>6000</v>
      </c>
      <c r="K119" s="459">
        <v>12000</v>
      </c>
      <c r="L119" s="459">
        <v>84000</v>
      </c>
      <c r="M119" s="459">
        <v>84000</v>
      </c>
      <c r="N119" s="454"/>
      <c r="O119" s="461">
        <v>2.4090909090909087</v>
      </c>
      <c r="P119" s="461">
        <v>2.0545454545454542</v>
      </c>
      <c r="Q119" s="461">
        <v>1.6090909090909089</v>
      </c>
      <c r="R119" s="461">
        <v>0</v>
      </c>
      <c r="S119" s="461">
        <v>1.5999999999999999</v>
      </c>
      <c r="T119" s="461"/>
      <c r="U119" s="461">
        <v>1.8181818181818181</v>
      </c>
      <c r="V119" s="461">
        <v>1.7636363636363634</v>
      </c>
      <c r="W119" s="461">
        <v>1.6090909090909089</v>
      </c>
      <c r="X119" s="461">
        <v>0</v>
      </c>
      <c r="Y119" s="461">
        <v>1.5545454545454545</v>
      </c>
      <c r="Z119" s="461"/>
      <c r="AA119" s="461" t="s">
        <v>1142</v>
      </c>
      <c r="AB119" s="461" t="s">
        <v>1142</v>
      </c>
      <c r="AC119" s="461" t="s">
        <v>1142</v>
      </c>
      <c r="AD119" s="461" t="s">
        <v>1142</v>
      </c>
      <c r="AE119" s="461" t="s">
        <v>1142</v>
      </c>
      <c r="AF119" s="461"/>
      <c r="AG119" s="460" t="s">
        <v>297</v>
      </c>
      <c r="AH119" s="460" t="s">
        <v>298</v>
      </c>
      <c r="AI119" s="460">
        <v>2</v>
      </c>
      <c r="AJ119" s="460">
        <v>4</v>
      </c>
      <c r="AK119" s="483">
        <v>0.33329999999999999</v>
      </c>
      <c r="AL119" s="483">
        <v>0.66659999999999997</v>
      </c>
      <c r="AM119" s="454" t="s">
        <v>1124</v>
      </c>
      <c r="AN119" s="460">
        <v>0</v>
      </c>
      <c r="AO119" s="460">
        <v>0</v>
      </c>
      <c r="AP119" s="460">
        <v>12</v>
      </c>
      <c r="AQ119" s="460">
        <v>0</v>
      </c>
      <c r="AR119" s="460">
        <v>0</v>
      </c>
      <c r="AS119" s="460">
        <v>0</v>
      </c>
      <c r="AT119" s="460">
        <v>0</v>
      </c>
      <c r="AU119" s="460">
        <v>0</v>
      </c>
      <c r="AV119" s="460">
        <v>0</v>
      </c>
      <c r="AW119" s="460">
        <v>0</v>
      </c>
      <c r="AX119" s="460">
        <v>0</v>
      </c>
      <c r="AY119" s="460">
        <v>0</v>
      </c>
      <c r="AZ119" s="454"/>
      <c r="BA119" s="460" t="s">
        <v>1145</v>
      </c>
      <c r="BB119" s="460"/>
      <c r="BC119" s="460" t="s">
        <v>1145</v>
      </c>
      <c r="BD119" s="460"/>
      <c r="BE119" s="460"/>
      <c r="BF119" s="460"/>
      <c r="BG119" s="455"/>
      <c r="BH119" s="454"/>
      <c r="BI119" s="460"/>
      <c r="BJ119" s="460" t="s">
        <v>1164</v>
      </c>
      <c r="BK119" s="460"/>
      <c r="BL119" s="455"/>
      <c r="BM119" s="484" t="s">
        <v>1379</v>
      </c>
      <c r="BN119" s="454" t="s">
        <v>408</v>
      </c>
    </row>
    <row r="120" spans="1:66" s="450" customFormat="1" ht="13" customHeight="1" x14ac:dyDescent="0.2">
      <c r="A120" s="451">
        <v>2218</v>
      </c>
      <c r="B120" s="452">
        <v>43843</v>
      </c>
      <c r="C120" s="453" t="s">
        <v>1138</v>
      </c>
      <c r="D120" s="454" t="s">
        <v>1114</v>
      </c>
      <c r="E120" s="465">
        <v>43647</v>
      </c>
      <c r="F120" s="454" t="s">
        <v>1173</v>
      </c>
      <c r="G120" s="454" t="s">
        <v>1174</v>
      </c>
      <c r="H120" s="461">
        <v>80</v>
      </c>
      <c r="I120" s="467" t="s">
        <v>1141</v>
      </c>
      <c r="J120" s="459">
        <v>6000</v>
      </c>
      <c r="K120" s="459">
        <v>12000</v>
      </c>
      <c r="L120" s="459">
        <v>84000</v>
      </c>
      <c r="M120" s="459">
        <v>84000</v>
      </c>
      <c r="N120" s="468"/>
      <c r="O120" s="461">
        <v>1.9363636363636361</v>
      </c>
      <c r="P120" s="461">
        <v>1.9272727272727272</v>
      </c>
      <c r="Q120" s="461">
        <v>1.8999999999999997</v>
      </c>
      <c r="R120" s="461">
        <v>0</v>
      </c>
      <c r="S120" s="461">
        <v>1.4090909090909089</v>
      </c>
      <c r="T120" s="456"/>
      <c r="U120" s="461">
        <v>1.7727272727272725</v>
      </c>
      <c r="V120" s="461">
        <v>1.7545454545454544</v>
      </c>
      <c r="W120" s="461">
        <v>1.4181818181818182</v>
      </c>
      <c r="X120" s="461">
        <v>0</v>
      </c>
      <c r="Y120" s="461">
        <v>1.1090909090909089</v>
      </c>
      <c r="Z120" s="456"/>
      <c r="AA120" s="461" t="s">
        <v>1142</v>
      </c>
      <c r="AB120" s="461" t="s">
        <v>1142</v>
      </c>
      <c r="AC120" s="461" t="s">
        <v>1142</v>
      </c>
      <c r="AD120" s="461" t="s">
        <v>1142</v>
      </c>
      <c r="AE120" s="461" t="s">
        <v>1142</v>
      </c>
      <c r="AF120" s="456"/>
      <c r="AG120" s="470" t="s">
        <v>1143</v>
      </c>
      <c r="AH120" s="470" t="s">
        <v>1144</v>
      </c>
      <c r="AI120" s="460">
        <v>2</v>
      </c>
      <c r="AJ120" s="460">
        <v>4</v>
      </c>
      <c r="AK120" s="483">
        <v>0.33329999999999999</v>
      </c>
      <c r="AL120" s="483">
        <v>0.66659999999999997</v>
      </c>
      <c r="AM120" s="454" t="s">
        <v>1124</v>
      </c>
      <c r="AN120" s="460">
        <v>0</v>
      </c>
      <c r="AO120" s="460">
        <v>0</v>
      </c>
      <c r="AP120" s="460">
        <v>5</v>
      </c>
      <c r="AQ120" s="460">
        <v>0</v>
      </c>
      <c r="AR120" s="460">
        <v>0</v>
      </c>
      <c r="AS120" s="460">
        <v>0</v>
      </c>
      <c r="AT120" s="460">
        <v>0</v>
      </c>
      <c r="AU120" s="460">
        <v>0</v>
      </c>
      <c r="AV120" s="460">
        <v>0</v>
      </c>
      <c r="AW120" s="460">
        <v>0</v>
      </c>
      <c r="AX120" s="460">
        <v>0</v>
      </c>
      <c r="AY120" s="460">
        <v>0</v>
      </c>
      <c r="AZ120" s="460"/>
      <c r="BA120" s="460" t="s">
        <v>1145</v>
      </c>
      <c r="BB120" s="460">
        <v>12</v>
      </c>
      <c r="BC120" s="460" t="s">
        <v>1145</v>
      </c>
      <c r="BD120" s="460"/>
      <c r="BE120" s="460"/>
      <c r="BF120" s="460"/>
      <c r="BG120" s="455"/>
      <c r="BH120" s="454"/>
      <c r="BI120" s="460"/>
      <c r="BJ120" s="460" t="s">
        <v>1164</v>
      </c>
      <c r="BK120" s="460"/>
      <c r="BL120" s="455"/>
      <c r="BM120" s="454" t="s">
        <v>1233</v>
      </c>
      <c r="BN120" s="454" t="s">
        <v>368</v>
      </c>
    </row>
    <row r="121" spans="1:66" s="450" customFormat="1" ht="13" customHeight="1" x14ac:dyDescent="0.2">
      <c r="A121" s="451">
        <v>1918</v>
      </c>
      <c r="B121" s="452">
        <v>43843</v>
      </c>
      <c r="C121" s="453" t="s">
        <v>1138</v>
      </c>
      <c r="D121" s="454" t="s">
        <v>1114</v>
      </c>
      <c r="E121" s="452">
        <v>43831</v>
      </c>
      <c r="F121" s="455" t="s">
        <v>987</v>
      </c>
      <c r="G121" s="454" t="s">
        <v>1127</v>
      </c>
      <c r="H121" s="461">
        <v>65.823999999999998</v>
      </c>
      <c r="I121" s="458" t="s">
        <v>1141</v>
      </c>
      <c r="J121" s="459">
        <v>6000</v>
      </c>
      <c r="K121" s="459">
        <v>12000</v>
      </c>
      <c r="L121" s="459">
        <v>12000</v>
      </c>
      <c r="M121" s="459">
        <v>12000</v>
      </c>
      <c r="N121" s="454"/>
      <c r="O121" s="461">
        <v>2.4140000000000001</v>
      </c>
      <c r="P121" s="461">
        <v>2.0739999999999998</v>
      </c>
      <c r="Q121" s="482">
        <v>0</v>
      </c>
      <c r="R121" s="461">
        <v>0</v>
      </c>
      <c r="S121" s="461">
        <v>1.5640000000000001</v>
      </c>
      <c r="T121" s="461"/>
      <c r="U121" s="461">
        <v>1.7</v>
      </c>
      <c r="V121" s="461">
        <v>1.6659999999999999</v>
      </c>
      <c r="W121" s="482">
        <v>0</v>
      </c>
      <c r="X121" s="461">
        <v>0</v>
      </c>
      <c r="Y121" s="461">
        <v>1.5640000000000001</v>
      </c>
      <c r="Z121" s="461"/>
      <c r="AA121" s="461" t="s">
        <v>1142</v>
      </c>
      <c r="AB121" s="461" t="s">
        <v>1142</v>
      </c>
      <c r="AC121" s="461" t="s">
        <v>1142</v>
      </c>
      <c r="AD121" s="461" t="s">
        <v>1142</v>
      </c>
      <c r="AE121" s="461" t="s">
        <v>1142</v>
      </c>
      <c r="AF121" s="461"/>
      <c r="AG121" s="460" t="s">
        <v>1143</v>
      </c>
      <c r="AH121" s="460" t="s">
        <v>1144</v>
      </c>
      <c r="AI121" s="460">
        <v>2</v>
      </c>
      <c r="AJ121" s="460">
        <v>4</v>
      </c>
      <c r="AK121" s="483">
        <v>0.33329999999999999</v>
      </c>
      <c r="AL121" s="483">
        <v>0.66659999999999997</v>
      </c>
      <c r="AM121" s="454" t="s">
        <v>1124</v>
      </c>
      <c r="AN121" s="460">
        <v>0</v>
      </c>
      <c r="AO121" s="460">
        <v>0</v>
      </c>
      <c r="AP121" s="460">
        <v>0</v>
      </c>
      <c r="AQ121" s="460">
        <v>0</v>
      </c>
      <c r="AR121" s="460">
        <v>0</v>
      </c>
      <c r="AS121" s="460">
        <v>0</v>
      </c>
      <c r="AT121" s="460">
        <v>0</v>
      </c>
      <c r="AU121" s="460">
        <v>0</v>
      </c>
      <c r="AV121" s="460">
        <v>0</v>
      </c>
      <c r="AW121" s="460">
        <v>0</v>
      </c>
      <c r="AX121" s="460">
        <v>0</v>
      </c>
      <c r="AY121" s="460">
        <v>0</v>
      </c>
      <c r="AZ121" s="460"/>
      <c r="BA121" s="460" t="s">
        <v>1145</v>
      </c>
      <c r="BB121" s="460"/>
      <c r="BC121" s="460" t="s">
        <v>1145</v>
      </c>
      <c r="BD121" s="460"/>
      <c r="BE121" s="460"/>
      <c r="BF121" s="460"/>
      <c r="BG121" s="455"/>
      <c r="BH121" s="454"/>
      <c r="BI121" s="460"/>
      <c r="BJ121" s="460" t="s">
        <v>1146</v>
      </c>
      <c r="BK121" s="460">
        <v>1</v>
      </c>
      <c r="BL121" s="455"/>
      <c r="BM121" s="454" t="s">
        <v>1234</v>
      </c>
      <c r="BN121" s="454" t="s">
        <v>408</v>
      </c>
    </row>
    <row r="122" spans="1:66" s="450" customFormat="1" ht="13" customHeight="1" x14ac:dyDescent="0.2">
      <c r="A122" s="451">
        <v>1689</v>
      </c>
      <c r="B122" s="452">
        <v>43843</v>
      </c>
      <c r="C122" s="453" t="s">
        <v>295</v>
      </c>
      <c r="D122" s="454" t="s">
        <v>1114</v>
      </c>
      <c r="E122" s="452">
        <v>43801</v>
      </c>
      <c r="F122" s="455" t="s">
        <v>1106</v>
      </c>
      <c r="G122" s="454" t="s">
        <v>2</v>
      </c>
      <c r="H122" s="461">
        <v>80</v>
      </c>
      <c r="I122" s="458" t="s">
        <v>296</v>
      </c>
      <c r="J122" s="459">
        <v>3000</v>
      </c>
      <c r="K122" s="459">
        <v>3000</v>
      </c>
      <c r="L122" s="459">
        <v>3000</v>
      </c>
      <c r="M122" s="459">
        <v>3000</v>
      </c>
      <c r="N122" s="454"/>
      <c r="O122" s="461">
        <v>2.0181818181818181</v>
      </c>
      <c r="P122" s="482">
        <v>0</v>
      </c>
      <c r="Q122" s="461">
        <v>0</v>
      </c>
      <c r="R122" s="461">
        <v>0</v>
      </c>
      <c r="S122" s="461">
        <v>1.7999999999999998</v>
      </c>
      <c r="T122" s="461"/>
      <c r="U122" s="461">
        <v>1.5545454545454545</v>
      </c>
      <c r="V122" s="482">
        <v>0</v>
      </c>
      <c r="W122" s="461">
        <v>0</v>
      </c>
      <c r="X122" s="461">
        <v>0</v>
      </c>
      <c r="Y122" s="461">
        <v>1.5545454545454545</v>
      </c>
      <c r="Z122" s="461"/>
      <c r="AA122" s="461" t="s">
        <v>1142</v>
      </c>
      <c r="AB122" s="461" t="s">
        <v>1142</v>
      </c>
      <c r="AC122" s="461" t="s">
        <v>1142</v>
      </c>
      <c r="AD122" s="461" t="s">
        <v>1142</v>
      </c>
      <c r="AE122" s="461" t="s">
        <v>1142</v>
      </c>
      <c r="AF122" s="461"/>
      <c r="AG122" s="460" t="s">
        <v>1143</v>
      </c>
      <c r="AH122" s="460" t="s">
        <v>1144</v>
      </c>
      <c r="AI122" s="460">
        <v>2</v>
      </c>
      <c r="AJ122" s="460">
        <v>4</v>
      </c>
      <c r="AK122" s="483">
        <v>0.33329999999999999</v>
      </c>
      <c r="AL122" s="483">
        <v>0.66659999999999997</v>
      </c>
      <c r="AM122" s="454" t="s">
        <v>1124</v>
      </c>
      <c r="AN122" s="460">
        <v>0</v>
      </c>
      <c r="AO122" s="460">
        <v>0</v>
      </c>
      <c r="AP122" s="460">
        <v>5</v>
      </c>
      <c r="AQ122" s="460">
        <v>0</v>
      </c>
      <c r="AR122" s="460">
        <v>0</v>
      </c>
      <c r="AS122" s="460">
        <v>0</v>
      </c>
      <c r="AT122" s="460">
        <v>0</v>
      </c>
      <c r="AU122" s="460">
        <v>0</v>
      </c>
      <c r="AV122" s="460">
        <v>0</v>
      </c>
      <c r="AW122" s="460">
        <v>0</v>
      </c>
      <c r="AX122" s="460">
        <v>0</v>
      </c>
      <c r="AY122" s="460">
        <v>0</v>
      </c>
      <c r="AZ122" s="460"/>
      <c r="BA122" s="460" t="s">
        <v>1145</v>
      </c>
      <c r="BB122" s="460"/>
      <c r="BC122" s="460" t="s">
        <v>1145</v>
      </c>
      <c r="BD122" s="460"/>
      <c r="BE122" s="460"/>
      <c r="BF122" s="455"/>
      <c r="BG122" s="454"/>
      <c r="BH122" s="460"/>
      <c r="BI122" s="460"/>
      <c r="BJ122" s="460" t="s">
        <v>1146</v>
      </c>
      <c r="BK122" s="460">
        <v>1</v>
      </c>
      <c r="BL122" s="454"/>
      <c r="BM122" s="454" t="s">
        <v>1374</v>
      </c>
      <c r="BN122" s="454" t="s">
        <v>368</v>
      </c>
    </row>
    <row r="123" spans="1:66" s="450" customFormat="1" ht="13" customHeight="1" x14ac:dyDescent="0.2">
      <c r="A123" s="451">
        <v>2210</v>
      </c>
      <c r="B123" s="452">
        <v>43843</v>
      </c>
      <c r="C123" s="453" t="s">
        <v>1138</v>
      </c>
      <c r="D123" s="454" t="s">
        <v>1114</v>
      </c>
      <c r="E123" s="465">
        <v>43831</v>
      </c>
      <c r="F123" s="454" t="s">
        <v>34</v>
      </c>
      <c r="G123" s="454" t="s">
        <v>1178</v>
      </c>
      <c r="H123" s="461">
        <v>80.599999999999994</v>
      </c>
      <c r="I123" s="467"/>
      <c r="J123" s="467"/>
      <c r="K123" s="467"/>
      <c r="L123" s="468"/>
      <c r="M123" s="468"/>
      <c r="N123" s="468"/>
      <c r="O123" s="461">
        <v>1.9272727272727272</v>
      </c>
      <c r="P123" s="461">
        <v>0</v>
      </c>
      <c r="Q123" s="461">
        <v>0</v>
      </c>
      <c r="R123" s="461">
        <v>0</v>
      </c>
      <c r="S123" s="461">
        <v>0</v>
      </c>
      <c r="T123" s="456"/>
      <c r="U123" s="461">
        <v>1.6181818181818182</v>
      </c>
      <c r="V123" s="461">
        <v>0</v>
      </c>
      <c r="W123" s="461">
        <v>0</v>
      </c>
      <c r="X123" s="461">
        <v>0</v>
      </c>
      <c r="Y123" s="461">
        <v>0</v>
      </c>
      <c r="Z123" s="456"/>
      <c r="AA123" s="461" t="s">
        <v>1142</v>
      </c>
      <c r="AB123" s="461" t="s">
        <v>1142</v>
      </c>
      <c r="AC123" s="461" t="s">
        <v>1142</v>
      </c>
      <c r="AD123" s="461" t="s">
        <v>1142</v>
      </c>
      <c r="AE123" s="461" t="s">
        <v>1142</v>
      </c>
      <c r="AF123" s="456"/>
      <c r="AG123" s="470" t="s">
        <v>1143</v>
      </c>
      <c r="AH123" s="470" t="s">
        <v>1144</v>
      </c>
      <c r="AI123" s="460">
        <v>2</v>
      </c>
      <c r="AJ123" s="460">
        <v>4</v>
      </c>
      <c r="AK123" s="483">
        <v>0.33329999999999999</v>
      </c>
      <c r="AL123" s="483">
        <v>0.66659999999999997</v>
      </c>
      <c r="AM123" s="454" t="s">
        <v>1124</v>
      </c>
      <c r="AN123" s="460">
        <v>0</v>
      </c>
      <c r="AO123" s="460">
        <v>0</v>
      </c>
      <c r="AP123" s="460">
        <v>5</v>
      </c>
      <c r="AQ123" s="460">
        <v>0</v>
      </c>
      <c r="AR123" s="460">
        <v>0</v>
      </c>
      <c r="AS123" s="460">
        <v>0</v>
      </c>
      <c r="AT123" s="460">
        <v>0</v>
      </c>
      <c r="AU123" s="460">
        <v>0</v>
      </c>
      <c r="AV123" s="460">
        <v>0</v>
      </c>
      <c r="AW123" s="460">
        <v>0</v>
      </c>
      <c r="AX123" s="460">
        <v>0</v>
      </c>
      <c r="AY123" s="460">
        <v>0</v>
      </c>
      <c r="AZ123" s="460"/>
      <c r="BA123" s="460" t="s">
        <v>1145</v>
      </c>
      <c r="BB123" s="460"/>
      <c r="BC123" s="460" t="s">
        <v>1145</v>
      </c>
      <c r="BD123" s="460"/>
      <c r="BE123" s="460"/>
      <c r="BF123" s="460"/>
      <c r="BG123" s="455"/>
      <c r="BH123" s="454"/>
      <c r="BI123" s="460"/>
      <c r="BJ123" s="460" t="s">
        <v>1164</v>
      </c>
      <c r="BK123" s="460"/>
      <c r="BL123" s="455" t="s">
        <v>47</v>
      </c>
      <c r="BM123" s="484" t="s">
        <v>1377</v>
      </c>
      <c r="BN123" s="454" t="s">
        <v>408</v>
      </c>
    </row>
    <row r="124" spans="1:66" s="450" customFormat="1" ht="13" customHeight="1" x14ac:dyDescent="0.2">
      <c r="A124" s="451">
        <v>2059</v>
      </c>
      <c r="B124" s="452">
        <v>43843</v>
      </c>
      <c r="C124" s="453" t="s">
        <v>1138</v>
      </c>
      <c r="D124" s="454" t="s">
        <v>1114</v>
      </c>
      <c r="E124" s="452">
        <v>43831</v>
      </c>
      <c r="F124" s="455" t="s">
        <v>1180</v>
      </c>
      <c r="G124" s="454" t="s">
        <v>1181</v>
      </c>
      <c r="H124" s="461">
        <v>83.909090909090907</v>
      </c>
      <c r="I124" s="458"/>
      <c r="J124" s="454"/>
      <c r="K124" s="454"/>
      <c r="L124" s="454"/>
      <c r="M124" s="454"/>
      <c r="N124" s="454"/>
      <c r="O124" s="461">
        <v>1.8545454545454545</v>
      </c>
      <c r="P124" s="461">
        <v>0</v>
      </c>
      <c r="Q124" s="461">
        <v>0</v>
      </c>
      <c r="R124" s="461">
        <v>0</v>
      </c>
      <c r="S124" s="461">
        <v>0</v>
      </c>
      <c r="T124" s="461"/>
      <c r="U124" s="461">
        <v>1.5545454545454545</v>
      </c>
      <c r="V124" s="461">
        <v>0</v>
      </c>
      <c r="W124" s="461">
        <v>0</v>
      </c>
      <c r="X124" s="461">
        <v>0</v>
      </c>
      <c r="Y124" s="461">
        <v>0</v>
      </c>
      <c r="Z124" s="461"/>
      <c r="AA124" s="461" t="s">
        <v>1142</v>
      </c>
      <c r="AB124" s="461" t="s">
        <v>1142</v>
      </c>
      <c r="AC124" s="461" t="s">
        <v>1142</v>
      </c>
      <c r="AD124" s="461" t="s">
        <v>1142</v>
      </c>
      <c r="AE124" s="461" t="s">
        <v>1142</v>
      </c>
      <c r="AF124" s="461"/>
      <c r="AG124" s="460" t="s">
        <v>1143</v>
      </c>
      <c r="AH124" s="460" t="s">
        <v>1144</v>
      </c>
      <c r="AI124" s="460">
        <v>2</v>
      </c>
      <c r="AJ124" s="460">
        <v>4</v>
      </c>
      <c r="AK124" s="483">
        <v>0.33329999999999999</v>
      </c>
      <c r="AL124" s="483">
        <v>0.66659999999999997</v>
      </c>
      <c r="AM124" s="454" t="s">
        <v>1124</v>
      </c>
      <c r="AN124" s="460">
        <v>0</v>
      </c>
      <c r="AO124" s="460">
        <v>0</v>
      </c>
      <c r="AP124" s="460">
        <v>0</v>
      </c>
      <c r="AQ124" s="460">
        <v>0</v>
      </c>
      <c r="AR124" s="460">
        <v>0</v>
      </c>
      <c r="AS124" s="460">
        <v>0</v>
      </c>
      <c r="AT124" s="460">
        <v>0</v>
      </c>
      <c r="AU124" s="460">
        <v>0</v>
      </c>
      <c r="AV124" s="460">
        <v>0</v>
      </c>
      <c r="AW124" s="460">
        <v>0</v>
      </c>
      <c r="AX124" s="460">
        <v>0</v>
      </c>
      <c r="AY124" s="460">
        <v>0</v>
      </c>
      <c r="AZ124" s="460"/>
      <c r="BA124" s="460" t="s">
        <v>1145</v>
      </c>
      <c r="BB124" s="460"/>
      <c r="BC124" s="460" t="s">
        <v>1145</v>
      </c>
      <c r="BD124" s="460"/>
      <c r="BE124" s="460"/>
      <c r="BF124" s="460"/>
      <c r="BG124" s="455"/>
      <c r="BH124" s="454"/>
      <c r="BI124" s="460"/>
      <c r="BJ124" s="460" t="s">
        <v>1164</v>
      </c>
      <c r="BK124" s="460"/>
      <c r="BL124" s="455" t="s">
        <v>1284</v>
      </c>
      <c r="BM124" s="481" t="s">
        <v>1372</v>
      </c>
      <c r="BN124" s="454" t="s">
        <v>408</v>
      </c>
    </row>
    <row r="125" spans="1:66" s="450" customFormat="1" ht="13" customHeight="1" x14ac:dyDescent="0.2">
      <c r="A125" s="451">
        <v>2465</v>
      </c>
      <c r="B125" s="452">
        <v>43843</v>
      </c>
      <c r="C125" s="453" t="s">
        <v>1138</v>
      </c>
      <c r="D125" s="454" t="s">
        <v>1114</v>
      </c>
      <c r="E125" s="465">
        <v>43731</v>
      </c>
      <c r="F125" s="454" t="s">
        <v>1274</v>
      </c>
      <c r="G125" s="454" t="s">
        <v>1275</v>
      </c>
      <c r="H125" s="461">
        <v>85.999999999999986</v>
      </c>
      <c r="I125" s="467" t="s">
        <v>1141</v>
      </c>
      <c r="J125" s="469">
        <v>6000</v>
      </c>
      <c r="K125" s="469">
        <v>12000</v>
      </c>
      <c r="L125" s="469">
        <v>12000</v>
      </c>
      <c r="M125" s="469">
        <v>12000</v>
      </c>
      <c r="N125" s="468"/>
      <c r="O125" s="461">
        <v>2.0545454545454542</v>
      </c>
      <c r="P125" s="461">
        <v>1.8727272727272726</v>
      </c>
      <c r="Q125" s="461">
        <v>0</v>
      </c>
      <c r="R125" s="461">
        <v>0</v>
      </c>
      <c r="S125" s="461">
        <v>1.5363636363636362</v>
      </c>
      <c r="T125" s="456"/>
      <c r="U125" s="461">
        <v>2.0545454545454542</v>
      </c>
      <c r="V125" s="461">
        <v>1.8727272727272726</v>
      </c>
      <c r="W125" s="461">
        <v>0</v>
      </c>
      <c r="X125" s="461">
        <v>0</v>
      </c>
      <c r="Y125" s="461">
        <v>1.5363636363636362</v>
      </c>
      <c r="Z125" s="456"/>
      <c r="AA125" s="461" t="s">
        <v>1142</v>
      </c>
      <c r="AB125" s="461" t="s">
        <v>1142</v>
      </c>
      <c r="AC125" s="461" t="s">
        <v>1142</v>
      </c>
      <c r="AD125" s="461" t="s">
        <v>1142</v>
      </c>
      <c r="AE125" s="461" t="s">
        <v>1142</v>
      </c>
      <c r="AF125" s="456"/>
      <c r="AG125" s="470" t="s">
        <v>1145</v>
      </c>
      <c r="AH125" s="470"/>
      <c r="AI125" s="460">
        <v>3</v>
      </c>
      <c r="AJ125" s="460">
        <v>3</v>
      </c>
      <c r="AK125" s="480">
        <v>0.5</v>
      </c>
      <c r="AL125" s="480">
        <v>0.5</v>
      </c>
      <c r="AM125" s="454"/>
      <c r="AN125" s="460">
        <v>0</v>
      </c>
      <c r="AO125" s="460">
        <v>0</v>
      </c>
      <c r="AP125" s="460">
        <v>0</v>
      </c>
      <c r="AQ125" s="460">
        <v>15</v>
      </c>
      <c r="AR125" s="460">
        <v>0</v>
      </c>
      <c r="AS125" s="460">
        <v>0</v>
      </c>
      <c r="AT125" s="460">
        <v>0</v>
      </c>
      <c r="AU125" s="460">
        <v>0</v>
      </c>
      <c r="AV125" s="460">
        <v>0</v>
      </c>
      <c r="AW125" s="460">
        <v>0</v>
      </c>
      <c r="AX125" s="460">
        <v>0</v>
      </c>
      <c r="AY125" s="460">
        <v>0</v>
      </c>
      <c r="AZ125" s="460"/>
      <c r="BA125" s="460" t="s">
        <v>1145</v>
      </c>
      <c r="BB125" s="460"/>
      <c r="BC125" s="460" t="s">
        <v>1145</v>
      </c>
      <c r="BD125" s="460"/>
      <c r="BE125" s="460"/>
      <c r="BF125" s="460"/>
      <c r="BG125" s="455"/>
      <c r="BH125" s="454"/>
      <c r="BI125" s="460"/>
      <c r="BJ125" s="460" t="s">
        <v>1164</v>
      </c>
      <c r="BK125" s="460">
        <v>1</v>
      </c>
      <c r="BL125" s="455"/>
      <c r="BM125" s="454" t="s">
        <v>1381</v>
      </c>
      <c r="BN125" s="454" t="s">
        <v>368</v>
      </c>
    </row>
    <row r="126" spans="1:66" s="450" customFormat="1" ht="13" customHeight="1" x14ac:dyDescent="0.2">
      <c r="A126" s="451">
        <v>2333</v>
      </c>
      <c r="B126" s="452">
        <v>43843</v>
      </c>
      <c r="C126" s="453" t="s">
        <v>1138</v>
      </c>
      <c r="D126" s="454" t="s">
        <v>1114</v>
      </c>
      <c r="E126" s="465">
        <v>43831</v>
      </c>
      <c r="F126" s="454" t="s">
        <v>1291</v>
      </c>
      <c r="G126" s="454" t="s">
        <v>1181</v>
      </c>
      <c r="H126" s="461">
        <v>77.172727272727272</v>
      </c>
      <c r="I126" s="467"/>
      <c r="J126" s="468"/>
      <c r="K126" s="468"/>
      <c r="L126" s="468"/>
      <c r="M126" s="468"/>
      <c r="N126" s="468"/>
      <c r="O126" s="461">
        <v>1.918181818181818</v>
      </c>
      <c r="P126" s="461">
        <v>0</v>
      </c>
      <c r="Q126" s="461">
        <v>0</v>
      </c>
      <c r="R126" s="461">
        <v>0</v>
      </c>
      <c r="S126" s="461">
        <v>0</v>
      </c>
      <c r="T126" s="456"/>
      <c r="U126" s="461">
        <v>1.7363636363636361</v>
      </c>
      <c r="V126" s="461">
        <v>0</v>
      </c>
      <c r="W126" s="461">
        <v>0</v>
      </c>
      <c r="X126" s="461">
        <v>0</v>
      </c>
      <c r="Y126" s="461">
        <v>0</v>
      </c>
      <c r="Z126" s="456"/>
      <c r="AA126" s="461" t="s">
        <v>1142</v>
      </c>
      <c r="AB126" s="461" t="s">
        <v>1142</v>
      </c>
      <c r="AC126" s="461" t="s">
        <v>1142</v>
      </c>
      <c r="AD126" s="461" t="s">
        <v>1142</v>
      </c>
      <c r="AE126" s="461" t="s">
        <v>1142</v>
      </c>
      <c r="AF126" s="456"/>
      <c r="AG126" s="470" t="s">
        <v>1143</v>
      </c>
      <c r="AH126" s="470" t="s">
        <v>1144</v>
      </c>
      <c r="AI126" s="460">
        <v>2</v>
      </c>
      <c r="AJ126" s="460">
        <v>4</v>
      </c>
      <c r="AK126" s="483">
        <v>0.33329999999999999</v>
      </c>
      <c r="AL126" s="483">
        <v>0.66659999999999997</v>
      </c>
      <c r="AM126" s="454" t="s">
        <v>1124</v>
      </c>
      <c r="AN126" s="460">
        <v>0</v>
      </c>
      <c r="AO126" s="460">
        <v>0</v>
      </c>
      <c r="AP126" s="460">
        <v>0</v>
      </c>
      <c r="AQ126" s="460">
        <v>0</v>
      </c>
      <c r="AR126" s="460">
        <v>0</v>
      </c>
      <c r="AS126" s="460">
        <v>0</v>
      </c>
      <c r="AT126" s="460">
        <v>0</v>
      </c>
      <c r="AU126" s="460">
        <v>0</v>
      </c>
      <c r="AV126" s="460">
        <v>0</v>
      </c>
      <c r="AW126" s="460">
        <v>0</v>
      </c>
      <c r="AX126" s="460">
        <v>0</v>
      </c>
      <c r="AY126" s="460">
        <v>0</v>
      </c>
      <c r="AZ126" s="460"/>
      <c r="BA126" s="460" t="s">
        <v>1145</v>
      </c>
      <c r="BB126" s="460"/>
      <c r="BC126" s="460" t="s">
        <v>1145</v>
      </c>
      <c r="BD126" s="460"/>
      <c r="BE126" s="460"/>
      <c r="BF126" s="460"/>
      <c r="BG126" s="455"/>
      <c r="BH126" s="454"/>
      <c r="BI126" s="460"/>
      <c r="BJ126" s="460" t="s">
        <v>4</v>
      </c>
      <c r="BK126" s="460"/>
      <c r="BL126" s="455" t="s">
        <v>1284</v>
      </c>
      <c r="BM126" s="484" t="s">
        <v>1382</v>
      </c>
      <c r="BN126" s="454" t="s">
        <v>408</v>
      </c>
    </row>
    <row r="127" spans="1:66" s="450" customFormat="1" ht="13" customHeight="1" x14ac:dyDescent="0.2">
      <c r="A127" s="451">
        <v>2388</v>
      </c>
      <c r="B127" s="452">
        <v>43843</v>
      </c>
      <c r="C127" s="453" t="s">
        <v>1138</v>
      </c>
      <c r="D127" s="454" t="s">
        <v>1115</v>
      </c>
      <c r="E127" s="452">
        <v>43831</v>
      </c>
      <c r="F127" s="455" t="s">
        <v>1139</v>
      </c>
      <c r="G127" s="454" t="s">
        <v>1277</v>
      </c>
      <c r="H127" s="461">
        <v>82.936363636363637</v>
      </c>
      <c r="I127" s="458" t="s">
        <v>1141</v>
      </c>
      <c r="J127" s="459">
        <v>6000</v>
      </c>
      <c r="K127" s="459">
        <v>12000</v>
      </c>
      <c r="L127" s="459">
        <v>84000</v>
      </c>
      <c r="M127" s="459">
        <v>84000</v>
      </c>
      <c r="N127" s="454"/>
      <c r="O127" s="461">
        <v>1.7818181818181817</v>
      </c>
      <c r="P127" s="461">
        <v>1.7272727272727271</v>
      </c>
      <c r="Q127" s="461">
        <v>1.1545454545454545</v>
      </c>
      <c r="R127" s="461">
        <v>0</v>
      </c>
      <c r="S127" s="461">
        <v>1.1090909090909089</v>
      </c>
      <c r="T127" s="461"/>
      <c r="U127" s="461">
        <v>1.6272727272727272</v>
      </c>
      <c r="V127" s="461">
        <v>1.2727272727272725</v>
      </c>
      <c r="W127" s="461">
        <v>1.1363636363636362</v>
      </c>
      <c r="X127" s="487">
        <v>0</v>
      </c>
      <c r="Y127" s="461">
        <v>1.0272727272727271</v>
      </c>
      <c r="Z127" s="461"/>
      <c r="AA127" s="461" t="s">
        <v>1142</v>
      </c>
      <c r="AB127" s="461" t="s">
        <v>1142</v>
      </c>
      <c r="AC127" s="461" t="s">
        <v>1142</v>
      </c>
      <c r="AD127" s="461" t="s">
        <v>1142</v>
      </c>
      <c r="AE127" s="461" t="s">
        <v>1142</v>
      </c>
      <c r="AF127" s="461"/>
      <c r="AG127" s="460" t="s">
        <v>1143</v>
      </c>
      <c r="AH127" s="460" t="s">
        <v>1144</v>
      </c>
      <c r="AI127" s="460">
        <v>2</v>
      </c>
      <c r="AJ127" s="460">
        <v>4</v>
      </c>
      <c r="AK127" s="483">
        <v>0.33329999999999999</v>
      </c>
      <c r="AL127" s="483">
        <v>0.66659999999999997</v>
      </c>
      <c r="AM127" s="454" t="s">
        <v>1124</v>
      </c>
      <c r="AN127" s="460">
        <v>0</v>
      </c>
      <c r="AO127" s="460">
        <v>0</v>
      </c>
      <c r="AP127" s="460">
        <v>0</v>
      </c>
      <c r="AQ127" s="460">
        <v>0</v>
      </c>
      <c r="AR127" s="460">
        <v>0</v>
      </c>
      <c r="AS127" s="460">
        <v>0</v>
      </c>
      <c r="AT127" s="460">
        <v>0</v>
      </c>
      <c r="AU127" s="460">
        <v>0</v>
      </c>
      <c r="AV127" s="460">
        <v>0</v>
      </c>
      <c r="AW127" s="460">
        <v>0</v>
      </c>
      <c r="AX127" s="460">
        <v>0</v>
      </c>
      <c r="AY127" s="460">
        <v>0</v>
      </c>
      <c r="AZ127" s="460"/>
      <c r="BA127" s="460" t="s">
        <v>1145</v>
      </c>
      <c r="BB127" s="460"/>
      <c r="BC127" s="460" t="s">
        <v>1145</v>
      </c>
      <c r="BD127" s="460"/>
      <c r="BE127" s="460"/>
      <c r="BF127" s="460"/>
      <c r="BG127" s="455"/>
      <c r="BH127" s="454"/>
      <c r="BI127" s="460"/>
      <c r="BJ127" s="460" t="s">
        <v>1146</v>
      </c>
      <c r="BK127" s="460"/>
      <c r="BL127" s="455"/>
      <c r="BM127" s="454" t="s">
        <v>1380</v>
      </c>
      <c r="BN127" s="454" t="s">
        <v>408</v>
      </c>
    </row>
    <row r="128" spans="1:66" s="450" customFormat="1" ht="13" customHeight="1" x14ac:dyDescent="0.2">
      <c r="A128" s="451">
        <v>2500</v>
      </c>
      <c r="B128" s="452">
        <v>43843</v>
      </c>
      <c r="C128" s="453" t="s">
        <v>1138</v>
      </c>
      <c r="D128" s="454" t="s">
        <v>1115</v>
      </c>
      <c r="E128" s="452">
        <v>43836</v>
      </c>
      <c r="F128" s="455" t="s">
        <v>1148</v>
      </c>
      <c r="G128" s="454" t="s">
        <v>1280</v>
      </c>
      <c r="H128" s="461">
        <v>72.999999999999986</v>
      </c>
      <c r="I128" s="458" t="s">
        <v>1141</v>
      </c>
      <c r="J128" s="459">
        <v>6000</v>
      </c>
      <c r="K128" s="459">
        <v>6000</v>
      </c>
      <c r="L128" s="459">
        <v>6000</v>
      </c>
      <c r="M128" s="459">
        <v>6000</v>
      </c>
      <c r="N128" s="454"/>
      <c r="O128" s="461">
        <v>2.2999999999999998</v>
      </c>
      <c r="P128" s="482">
        <v>0</v>
      </c>
      <c r="Q128" s="461">
        <v>0</v>
      </c>
      <c r="R128" s="461">
        <v>0</v>
      </c>
      <c r="S128" s="461">
        <v>1.7</v>
      </c>
      <c r="T128" s="461"/>
      <c r="U128" s="461">
        <v>2.1</v>
      </c>
      <c r="V128" s="482">
        <v>0</v>
      </c>
      <c r="W128" s="461">
        <v>0</v>
      </c>
      <c r="X128" s="461">
        <v>0</v>
      </c>
      <c r="Y128" s="461">
        <v>1.7</v>
      </c>
      <c r="Z128" s="461"/>
      <c r="AA128" s="461" t="s">
        <v>1142</v>
      </c>
      <c r="AB128" s="461" t="s">
        <v>1142</v>
      </c>
      <c r="AC128" s="461" t="s">
        <v>1142</v>
      </c>
      <c r="AD128" s="461" t="s">
        <v>1142</v>
      </c>
      <c r="AE128" s="461" t="s">
        <v>1142</v>
      </c>
      <c r="AF128" s="461"/>
      <c r="AG128" s="460" t="s">
        <v>1143</v>
      </c>
      <c r="AH128" s="460" t="s">
        <v>1144</v>
      </c>
      <c r="AI128" s="460">
        <v>2</v>
      </c>
      <c r="AJ128" s="460">
        <v>4</v>
      </c>
      <c r="AK128" s="483">
        <v>0.33329999999999999</v>
      </c>
      <c r="AL128" s="483">
        <v>0.66659999999999997</v>
      </c>
      <c r="AM128" s="454" t="s">
        <v>1124</v>
      </c>
      <c r="AN128" s="460">
        <v>0</v>
      </c>
      <c r="AO128" s="460">
        <v>0</v>
      </c>
      <c r="AP128" s="460">
        <v>0</v>
      </c>
      <c r="AQ128" s="460">
        <v>0</v>
      </c>
      <c r="AR128" s="460">
        <v>0</v>
      </c>
      <c r="AS128" s="460">
        <v>0</v>
      </c>
      <c r="AT128" s="460">
        <v>0</v>
      </c>
      <c r="AU128" s="460">
        <v>0</v>
      </c>
      <c r="AV128" s="460">
        <v>0</v>
      </c>
      <c r="AW128" s="460">
        <v>0</v>
      </c>
      <c r="AX128" s="460">
        <v>0</v>
      </c>
      <c r="AY128" s="460">
        <v>0</v>
      </c>
      <c r="AZ128" s="454"/>
      <c r="BA128" s="460" t="s">
        <v>1145</v>
      </c>
      <c r="BB128" s="460"/>
      <c r="BC128" s="460" t="s">
        <v>1145</v>
      </c>
      <c r="BD128" s="460"/>
      <c r="BE128" s="460"/>
      <c r="BF128" s="460"/>
      <c r="BG128" s="455"/>
      <c r="BH128" s="454"/>
      <c r="BI128" s="460"/>
      <c r="BJ128" s="460" t="s">
        <v>4</v>
      </c>
      <c r="BK128" s="460"/>
      <c r="BL128" s="455"/>
      <c r="BM128" s="454" t="s">
        <v>1383</v>
      </c>
      <c r="BN128" s="454" t="s">
        <v>1121</v>
      </c>
    </row>
    <row r="129" spans="1:66" s="450" customFormat="1" ht="13" customHeight="1" x14ac:dyDescent="0.2">
      <c r="A129" s="451">
        <v>2526</v>
      </c>
      <c r="B129" s="452">
        <v>43843</v>
      </c>
      <c r="C129" s="453" t="s">
        <v>1138</v>
      </c>
      <c r="D129" s="454" t="s">
        <v>1115</v>
      </c>
      <c r="E129" s="452">
        <v>43831</v>
      </c>
      <c r="F129" s="455" t="s">
        <v>1152</v>
      </c>
      <c r="G129" s="454" t="s">
        <v>1283</v>
      </c>
      <c r="H129" s="461">
        <v>71.636363636363626</v>
      </c>
      <c r="I129" s="458" t="s">
        <v>1141</v>
      </c>
      <c r="J129" s="459">
        <v>6000</v>
      </c>
      <c r="K129" s="459">
        <v>12000</v>
      </c>
      <c r="L129" s="459">
        <v>12000</v>
      </c>
      <c r="M129" s="459">
        <v>12000</v>
      </c>
      <c r="N129" s="454"/>
      <c r="O129" s="461">
        <v>2.627272727272727</v>
      </c>
      <c r="P129" s="461">
        <v>2.2545454545454544</v>
      </c>
      <c r="Q129" s="482">
        <v>0</v>
      </c>
      <c r="R129" s="461">
        <v>0</v>
      </c>
      <c r="S129" s="461">
        <v>1.7</v>
      </c>
      <c r="T129" s="461"/>
      <c r="U129" s="461">
        <v>1.8545454545454545</v>
      </c>
      <c r="V129" s="461">
        <v>1.8090909090909089</v>
      </c>
      <c r="W129" s="482">
        <v>0</v>
      </c>
      <c r="X129" s="461">
        <v>0</v>
      </c>
      <c r="Y129" s="461">
        <v>1.7</v>
      </c>
      <c r="Z129" s="461"/>
      <c r="AA129" s="461" t="s">
        <v>1142</v>
      </c>
      <c r="AB129" s="461" t="s">
        <v>1142</v>
      </c>
      <c r="AC129" s="461" t="s">
        <v>1142</v>
      </c>
      <c r="AD129" s="461" t="s">
        <v>1142</v>
      </c>
      <c r="AE129" s="461" t="s">
        <v>1142</v>
      </c>
      <c r="AF129" s="461"/>
      <c r="AG129" s="460" t="s">
        <v>1143</v>
      </c>
      <c r="AH129" s="460" t="s">
        <v>1144</v>
      </c>
      <c r="AI129" s="460">
        <v>2</v>
      </c>
      <c r="AJ129" s="460">
        <v>4</v>
      </c>
      <c r="AK129" s="483">
        <v>0.33329999999999999</v>
      </c>
      <c r="AL129" s="483">
        <v>0.66659999999999997</v>
      </c>
      <c r="AM129" s="454" t="s">
        <v>1124</v>
      </c>
      <c r="AN129" s="460">
        <v>0</v>
      </c>
      <c r="AO129" s="460">
        <v>0</v>
      </c>
      <c r="AP129" s="460">
        <v>0</v>
      </c>
      <c r="AQ129" s="460">
        <v>0</v>
      </c>
      <c r="AR129" s="460">
        <v>0</v>
      </c>
      <c r="AS129" s="460">
        <v>0</v>
      </c>
      <c r="AT129" s="460">
        <v>0</v>
      </c>
      <c r="AU129" s="460">
        <v>0</v>
      </c>
      <c r="AV129" s="460">
        <v>0</v>
      </c>
      <c r="AW129" s="460">
        <v>0</v>
      </c>
      <c r="AX129" s="460">
        <v>0</v>
      </c>
      <c r="AY129" s="460">
        <v>0</v>
      </c>
      <c r="AZ129" s="454"/>
      <c r="BA129" s="460" t="s">
        <v>1145</v>
      </c>
      <c r="BB129" s="460"/>
      <c r="BC129" s="460" t="s">
        <v>1145</v>
      </c>
      <c r="BD129" s="460"/>
      <c r="BE129" s="460"/>
      <c r="BF129" s="460"/>
      <c r="BG129" s="455"/>
      <c r="BH129" s="454"/>
      <c r="BI129" s="460"/>
      <c r="BJ129" s="460" t="s">
        <v>1146</v>
      </c>
      <c r="BK129" s="460">
        <v>1</v>
      </c>
      <c r="BL129" s="455" t="s">
        <v>1284</v>
      </c>
      <c r="BM129" s="454" t="s">
        <v>1385</v>
      </c>
      <c r="BN129" s="454" t="s">
        <v>1121</v>
      </c>
    </row>
    <row r="130" spans="1:66" s="450" customFormat="1" ht="13" customHeight="1" x14ac:dyDescent="0.2">
      <c r="A130" s="451">
        <v>2309</v>
      </c>
      <c r="B130" s="452">
        <v>43843</v>
      </c>
      <c r="C130" s="453" t="s">
        <v>1138</v>
      </c>
      <c r="D130" s="454" t="s">
        <v>1115</v>
      </c>
      <c r="E130" s="452">
        <v>43831</v>
      </c>
      <c r="F130" s="455" t="s">
        <v>1286</v>
      </c>
      <c r="G130" s="454" t="s">
        <v>418</v>
      </c>
      <c r="H130" s="461">
        <v>85</v>
      </c>
      <c r="I130" s="458" t="s">
        <v>1141</v>
      </c>
      <c r="J130" s="459">
        <v>6000</v>
      </c>
      <c r="K130" s="459">
        <v>12000</v>
      </c>
      <c r="L130" s="459">
        <v>12000</v>
      </c>
      <c r="M130" s="459">
        <v>12000</v>
      </c>
      <c r="N130" s="454"/>
      <c r="O130" s="461">
        <v>2.8727272727272726</v>
      </c>
      <c r="P130" s="461">
        <v>2.5545454545454542</v>
      </c>
      <c r="Q130" s="461">
        <v>2.1</v>
      </c>
      <c r="R130" s="461">
        <v>0</v>
      </c>
      <c r="S130" s="461">
        <v>1.7999999999999998</v>
      </c>
      <c r="T130" s="461"/>
      <c r="U130" s="461">
        <v>2.4</v>
      </c>
      <c r="V130" s="461">
        <v>2.1999999999999997</v>
      </c>
      <c r="W130" s="461">
        <v>2</v>
      </c>
      <c r="X130" s="461">
        <v>0</v>
      </c>
      <c r="Y130" s="461">
        <v>1.5999999999999999</v>
      </c>
      <c r="Z130" s="461"/>
      <c r="AA130" s="461" t="s">
        <v>1142</v>
      </c>
      <c r="AB130" s="461" t="s">
        <v>1142</v>
      </c>
      <c r="AC130" s="461" t="s">
        <v>1142</v>
      </c>
      <c r="AD130" s="461" t="s">
        <v>1142</v>
      </c>
      <c r="AE130" s="461" t="s">
        <v>1142</v>
      </c>
      <c r="AF130" s="461"/>
      <c r="AG130" s="460" t="s">
        <v>1143</v>
      </c>
      <c r="AH130" s="460" t="s">
        <v>1144</v>
      </c>
      <c r="AI130" s="460">
        <v>2</v>
      </c>
      <c r="AJ130" s="460">
        <v>4</v>
      </c>
      <c r="AK130" s="483">
        <v>0.33329999999999999</v>
      </c>
      <c r="AL130" s="483">
        <v>0.66659999999999997</v>
      </c>
      <c r="AM130" s="454" t="s">
        <v>1124</v>
      </c>
      <c r="AN130" s="460">
        <v>0</v>
      </c>
      <c r="AO130" s="460">
        <v>16</v>
      </c>
      <c r="AP130" s="460">
        <v>0</v>
      </c>
      <c r="AQ130" s="460">
        <v>0</v>
      </c>
      <c r="AR130" s="460">
        <v>0</v>
      </c>
      <c r="AS130" s="460">
        <v>0</v>
      </c>
      <c r="AT130" s="460">
        <v>0</v>
      </c>
      <c r="AU130" s="460">
        <v>0</v>
      </c>
      <c r="AV130" s="460">
        <v>0</v>
      </c>
      <c r="AW130" s="460">
        <v>0</v>
      </c>
      <c r="AX130" s="460">
        <v>0</v>
      </c>
      <c r="AY130" s="460">
        <v>0</v>
      </c>
      <c r="AZ130" s="454"/>
      <c r="BA130" s="460" t="s">
        <v>1145</v>
      </c>
      <c r="BB130" s="460"/>
      <c r="BC130" s="460" t="s">
        <v>1145</v>
      </c>
      <c r="BD130" s="460"/>
      <c r="BE130" s="460"/>
      <c r="BF130" s="460"/>
      <c r="BG130" s="455"/>
      <c r="BH130" s="454"/>
      <c r="BI130" s="460"/>
      <c r="BJ130" s="460" t="s">
        <v>1146</v>
      </c>
      <c r="BK130" s="460">
        <v>1</v>
      </c>
      <c r="BL130" s="455"/>
      <c r="BM130" s="454" t="s">
        <v>1371</v>
      </c>
      <c r="BN130" s="454" t="s">
        <v>408</v>
      </c>
    </row>
    <row r="131" spans="1:66" s="450" customFormat="1" ht="13" customHeight="1" x14ac:dyDescent="0.2">
      <c r="A131" s="478"/>
      <c r="B131" s="452">
        <v>43847</v>
      </c>
      <c r="C131" s="453" t="s">
        <v>398</v>
      </c>
      <c r="D131" s="454" t="s">
        <v>1115</v>
      </c>
      <c r="E131" s="465">
        <v>43725</v>
      </c>
      <c r="F131" s="454" t="s">
        <v>1052</v>
      </c>
      <c r="G131" s="454" t="s">
        <v>1181</v>
      </c>
      <c r="H131" s="456">
        <v>72.554545454545448</v>
      </c>
      <c r="I131" s="458" t="s">
        <v>1141</v>
      </c>
      <c r="J131" s="488">
        <v>6000</v>
      </c>
      <c r="K131" s="488">
        <v>12000</v>
      </c>
      <c r="L131" s="469">
        <v>18000</v>
      </c>
      <c r="M131" s="469">
        <v>18000</v>
      </c>
      <c r="N131" s="468"/>
      <c r="O131" s="456">
        <v>2</v>
      </c>
      <c r="P131" s="456">
        <v>1.9545454545454544</v>
      </c>
      <c r="Q131" s="456">
        <v>1.7999999999999998</v>
      </c>
      <c r="R131" s="461">
        <v>0</v>
      </c>
      <c r="S131" s="456">
        <v>1.7</v>
      </c>
      <c r="T131" s="456"/>
      <c r="U131" s="456">
        <v>2.6545454545454543</v>
      </c>
      <c r="V131" s="456">
        <v>2.2999999999999998</v>
      </c>
      <c r="W131" s="456">
        <v>1.7999999999999998</v>
      </c>
      <c r="X131" s="461">
        <v>0</v>
      </c>
      <c r="Y131" s="456">
        <v>1.7999999999999998</v>
      </c>
      <c r="Z131" s="466"/>
      <c r="AA131" s="466"/>
      <c r="AB131" s="466"/>
      <c r="AC131" s="466"/>
      <c r="AD131" s="466"/>
      <c r="AE131" s="466"/>
      <c r="AF131" s="466"/>
      <c r="AG131" s="460" t="s">
        <v>1143</v>
      </c>
      <c r="AH131" s="460" t="s">
        <v>1144</v>
      </c>
      <c r="AI131" s="460">
        <v>2</v>
      </c>
      <c r="AJ131" s="460">
        <v>4</v>
      </c>
      <c r="AK131" s="483">
        <v>0.33329999999999999</v>
      </c>
      <c r="AL131" s="483">
        <v>0.66659999999999997</v>
      </c>
      <c r="AM131" s="454" t="s">
        <v>1124</v>
      </c>
      <c r="AN131" s="460">
        <v>0</v>
      </c>
      <c r="AO131" s="460">
        <v>0</v>
      </c>
      <c r="AP131" s="460">
        <v>0</v>
      </c>
      <c r="AQ131" s="460">
        <v>20</v>
      </c>
      <c r="AR131" s="460">
        <v>0</v>
      </c>
      <c r="AS131" s="460">
        <v>0</v>
      </c>
      <c r="AT131" s="460">
        <v>0</v>
      </c>
      <c r="AU131" s="460">
        <v>0</v>
      </c>
      <c r="AV131" s="460">
        <v>0</v>
      </c>
      <c r="AW131" s="460">
        <v>0</v>
      </c>
      <c r="AX131" s="460">
        <v>0</v>
      </c>
      <c r="AY131" s="460">
        <v>0</v>
      </c>
      <c r="AZ131" s="460"/>
      <c r="BA131" s="460" t="s">
        <v>405</v>
      </c>
      <c r="BB131" s="460"/>
      <c r="BC131" s="460" t="s">
        <v>405</v>
      </c>
      <c r="BD131" s="460"/>
      <c r="BE131" s="460"/>
      <c r="BF131" s="460"/>
      <c r="BG131" s="455"/>
      <c r="BH131" s="454"/>
      <c r="BI131" s="460"/>
      <c r="BJ131" s="460" t="s">
        <v>4</v>
      </c>
      <c r="BK131" s="460"/>
      <c r="BL131" s="455"/>
      <c r="BM131" s="486" t="s">
        <v>1230</v>
      </c>
      <c r="BN131" s="454" t="s">
        <v>1121</v>
      </c>
    </row>
    <row r="132" spans="1:66" s="450" customFormat="1" ht="13" customHeight="1" x14ac:dyDescent="0.2">
      <c r="A132" s="451">
        <v>2119</v>
      </c>
      <c r="B132" s="452">
        <v>43843</v>
      </c>
      <c r="C132" s="453" t="s">
        <v>1138</v>
      </c>
      <c r="D132" s="454" t="s">
        <v>1115</v>
      </c>
      <c r="E132" s="452">
        <v>43831</v>
      </c>
      <c r="F132" s="455" t="s">
        <v>1156</v>
      </c>
      <c r="G132" s="454" t="s">
        <v>1157</v>
      </c>
      <c r="H132" s="461">
        <v>95.799999999999983</v>
      </c>
      <c r="I132" s="458" t="s">
        <v>1141</v>
      </c>
      <c r="J132" s="459">
        <v>12000</v>
      </c>
      <c r="K132" s="459">
        <v>12000</v>
      </c>
      <c r="L132" s="459">
        <v>12000</v>
      </c>
      <c r="M132" s="459">
        <v>12000</v>
      </c>
      <c r="N132" s="454"/>
      <c r="O132" s="461">
        <v>2.7818181818181817</v>
      </c>
      <c r="P132" s="482">
        <v>0</v>
      </c>
      <c r="Q132" s="461">
        <v>0</v>
      </c>
      <c r="R132" s="461">
        <v>0</v>
      </c>
      <c r="S132" s="461">
        <v>1.7999999999999998</v>
      </c>
      <c r="T132" s="461"/>
      <c r="U132" s="461">
        <v>2.0363636363636366</v>
      </c>
      <c r="V132" s="461">
        <v>0</v>
      </c>
      <c r="W132" s="461">
        <v>0</v>
      </c>
      <c r="X132" s="461">
        <v>0</v>
      </c>
      <c r="Y132" s="461">
        <v>0</v>
      </c>
      <c r="Z132" s="461"/>
      <c r="AA132" s="461" t="s">
        <v>1142</v>
      </c>
      <c r="AB132" s="461" t="s">
        <v>1142</v>
      </c>
      <c r="AC132" s="461" t="s">
        <v>1142</v>
      </c>
      <c r="AD132" s="461" t="s">
        <v>1142</v>
      </c>
      <c r="AE132" s="461" t="s">
        <v>1142</v>
      </c>
      <c r="AF132" s="461"/>
      <c r="AG132" s="460" t="s">
        <v>1143</v>
      </c>
      <c r="AH132" s="460" t="s">
        <v>1144</v>
      </c>
      <c r="AI132" s="460">
        <v>2</v>
      </c>
      <c r="AJ132" s="460">
        <v>4</v>
      </c>
      <c r="AK132" s="483">
        <v>0.33329999999999999</v>
      </c>
      <c r="AL132" s="483">
        <v>0.66659999999999997</v>
      </c>
      <c r="AM132" s="454" t="s">
        <v>1124</v>
      </c>
      <c r="AN132" s="460">
        <v>23</v>
      </c>
      <c r="AO132" s="460">
        <v>0</v>
      </c>
      <c r="AP132" s="460">
        <v>0</v>
      </c>
      <c r="AQ132" s="460">
        <v>0</v>
      </c>
      <c r="AR132" s="460">
        <v>0</v>
      </c>
      <c r="AS132" s="460">
        <v>0</v>
      </c>
      <c r="AT132" s="460">
        <v>0</v>
      </c>
      <c r="AU132" s="460">
        <v>0</v>
      </c>
      <c r="AV132" s="460">
        <v>0</v>
      </c>
      <c r="AW132" s="460">
        <v>0</v>
      </c>
      <c r="AX132" s="460">
        <v>0</v>
      </c>
      <c r="AY132" s="460">
        <v>0</v>
      </c>
      <c r="AZ132" s="472">
        <v>12</v>
      </c>
      <c r="BA132" s="460" t="s">
        <v>1145</v>
      </c>
      <c r="BB132" s="460">
        <v>12</v>
      </c>
      <c r="BC132" s="460" t="s">
        <v>1145</v>
      </c>
      <c r="BD132" s="460"/>
      <c r="BE132" s="460">
        <v>12</v>
      </c>
      <c r="BF132" s="460"/>
      <c r="BG132" s="455"/>
      <c r="BH132" s="454"/>
      <c r="BI132" s="460"/>
      <c r="BJ132" s="460" t="s">
        <v>1146</v>
      </c>
      <c r="BK132" s="460"/>
      <c r="BL132" s="455"/>
      <c r="BM132" s="484" t="s">
        <v>1386</v>
      </c>
      <c r="BN132" s="454" t="s">
        <v>408</v>
      </c>
    </row>
    <row r="133" spans="1:66" s="450" customFormat="1" ht="13" customHeight="1" x14ac:dyDescent="0.2">
      <c r="A133" s="451">
        <v>1939</v>
      </c>
      <c r="B133" s="452">
        <v>43843</v>
      </c>
      <c r="C133" s="453" t="s">
        <v>1138</v>
      </c>
      <c r="D133" s="454" t="s">
        <v>1115</v>
      </c>
      <c r="E133" s="452">
        <v>43831</v>
      </c>
      <c r="F133" s="455" t="s">
        <v>1159</v>
      </c>
      <c r="G133" s="454" t="s">
        <v>1105</v>
      </c>
      <c r="H133" s="461">
        <v>70</v>
      </c>
      <c r="I133" s="458" t="s">
        <v>1141</v>
      </c>
      <c r="J133" s="459">
        <v>6000</v>
      </c>
      <c r="K133" s="459">
        <v>12000</v>
      </c>
      <c r="L133" s="459">
        <v>84000</v>
      </c>
      <c r="M133" s="459">
        <v>84000</v>
      </c>
      <c r="N133" s="454"/>
      <c r="O133" s="461">
        <v>2.25</v>
      </c>
      <c r="P133" s="461">
        <v>2</v>
      </c>
      <c r="Q133" s="461">
        <v>1.58</v>
      </c>
      <c r="R133" s="461">
        <v>0</v>
      </c>
      <c r="S133" s="461">
        <v>1.4</v>
      </c>
      <c r="T133" s="461"/>
      <c r="U133" s="461">
        <v>1.73</v>
      </c>
      <c r="V133" s="461">
        <v>1.63</v>
      </c>
      <c r="W133" s="461">
        <v>1.53</v>
      </c>
      <c r="X133" s="461">
        <v>0</v>
      </c>
      <c r="Y133" s="461">
        <v>1.35</v>
      </c>
      <c r="Z133" s="461"/>
      <c r="AA133" s="461" t="s">
        <v>1142</v>
      </c>
      <c r="AB133" s="461" t="s">
        <v>1142</v>
      </c>
      <c r="AC133" s="461" t="s">
        <v>1142</v>
      </c>
      <c r="AD133" s="461" t="s">
        <v>1142</v>
      </c>
      <c r="AE133" s="461" t="s">
        <v>1142</v>
      </c>
      <c r="AF133" s="461"/>
      <c r="AG133" s="460" t="s">
        <v>1143</v>
      </c>
      <c r="AH133" s="460" t="s">
        <v>1144</v>
      </c>
      <c r="AI133" s="460">
        <v>2</v>
      </c>
      <c r="AJ133" s="460">
        <v>4</v>
      </c>
      <c r="AK133" s="483">
        <v>0.33329999999999999</v>
      </c>
      <c r="AL133" s="483">
        <v>0.66659999999999997</v>
      </c>
      <c r="AM133" s="454" t="s">
        <v>1124</v>
      </c>
      <c r="AN133" s="460">
        <v>0</v>
      </c>
      <c r="AO133" s="460">
        <v>0</v>
      </c>
      <c r="AP133" s="460">
        <v>3</v>
      </c>
      <c r="AQ133" s="460">
        <v>0</v>
      </c>
      <c r="AR133" s="460">
        <v>0</v>
      </c>
      <c r="AS133" s="460">
        <v>0</v>
      </c>
      <c r="AT133" s="460">
        <v>0</v>
      </c>
      <c r="AU133" s="460">
        <v>0</v>
      </c>
      <c r="AV133" s="460">
        <v>0</v>
      </c>
      <c r="AW133" s="460">
        <v>0</v>
      </c>
      <c r="AX133" s="460">
        <v>0</v>
      </c>
      <c r="AY133" s="460">
        <v>0</v>
      </c>
      <c r="AZ133" s="454"/>
      <c r="BA133" s="460" t="s">
        <v>1145</v>
      </c>
      <c r="BB133" s="460"/>
      <c r="BC133" s="460" t="s">
        <v>1145</v>
      </c>
      <c r="BD133" s="460"/>
      <c r="BE133" s="460"/>
      <c r="BF133" s="460"/>
      <c r="BG133" s="460"/>
      <c r="BH133" s="460"/>
      <c r="BI133" s="460"/>
      <c r="BJ133" s="460" t="s">
        <v>1146</v>
      </c>
      <c r="BK133" s="460"/>
      <c r="BL133" s="455"/>
      <c r="BM133" s="484" t="s">
        <v>1387</v>
      </c>
      <c r="BN133" s="454" t="s">
        <v>408</v>
      </c>
    </row>
    <row r="134" spans="1:66" s="450" customFormat="1" ht="13" customHeight="1" x14ac:dyDescent="0.2">
      <c r="A134" s="451">
        <v>318</v>
      </c>
      <c r="B134" s="452">
        <v>43843</v>
      </c>
      <c r="C134" s="453" t="s">
        <v>1138</v>
      </c>
      <c r="D134" s="454" t="s">
        <v>1115</v>
      </c>
      <c r="E134" s="452">
        <v>43831</v>
      </c>
      <c r="F134" s="454" t="s">
        <v>1160</v>
      </c>
      <c r="G134" s="454" t="s">
        <v>1161</v>
      </c>
      <c r="H134" s="461">
        <v>99.25454545454545</v>
      </c>
      <c r="I134" s="458" t="s">
        <v>1141</v>
      </c>
      <c r="J134" s="459">
        <v>6000</v>
      </c>
      <c r="K134" s="459">
        <v>12000</v>
      </c>
      <c r="L134" s="459">
        <v>84000</v>
      </c>
      <c r="M134" s="459">
        <v>84000</v>
      </c>
      <c r="N134" s="454"/>
      <c r="O134" s="461">
        <v>2.1</v>
      </c>
      <c r="P134" s="461">
        <v>1.8363636363636362</v>
      </c>
      <c r="Q134" s="461">
        <v>1.5181818181818181</v>
      </c>
      <c r="R134" s="461">
        <v>0</v>
      </c>
      <c r="S134" s="461">
        <v>1.5090909090909088</v>
      </c>
      <c r="T134" s="461"/>
      <c r="U134" s="461">
        <v>1.5909090909090908</v>
      </c>
      <c r="V134" s="461">
        <v>1.5636363636363635</v>
      </c>
      <c r="W134" s="461">
        <v>1.4818181818181817</v>
      </c>
      <c r="X134" s="461">
        <v>0</v>
      </c>
      <c r="Y134" s="461">
        <v>1.4454545454545453</v>
      </c>
      <c r="Z134" s="461"/>
      <c r="AA134" s="461" t="s">
        <v>1142</v>
      </c>
      <c r="AB134" s="461" t="s">
        <v>1142</v>
      </c>
      <c r="AC134" s="461" t="s">
        <v>1142</v>
      </c>
      <c r="AD134" s="461" t="s">
        <v>1142</v>
      </c>
      <c r="AE134" s="461" t="s">
        <v>1142</v>
      </c>
      <c r="AF134" s="461"/>
      <c r="AG134" s="460" t="s">
        <v>1143</v>
      </c>
      <c r="AH134" s="460" t="s">
        <v>1144</v>
      </c>
      <c r="AI134" s="460">
        <v>2</v>
      </c>
      <c r="AJ134" s="460">
        <v>4</v>
      </c>
      <c r="AK134" s="483">
        <v>0.33329999999999999</v>
      </c>
      <c r="AL134" s="483">
        <v>0.66659999999999997</v>
      </c>
      <c r="AM134" s="454" t="s">
        <v>1124</v>
      </c>
      <c r="AN134" s="460">
        <v>0</v>
      </c>
      <c r="AO134" s="460">
        <v>0</v>
      </c>
      <c r="AP134" s="460">
        <v>0</v>
      </c>
      <c r="AQ134" s="460">
        <v>0</v>
      </c>
      <c r="AR134" s="460">
        <v>0</v>
      </c>
      <c r="AS134" s="460">
        <v>0</v>
      </c>
      <c r="AT134" s="460">
        <v>0</v>
      </c>
      <c r="AU134" s="460">
        <v>0</v>
      </c>
      <c r="AV134" s="460">
        <v>0</v>
      </c>
      <c r="AW134" s="460">
        <v>0</v>
      </c>
      <c r="AX134" s="460">
        <v>0</v>
      </c>
      <c r="AY134" s="460">
        <v>0</v>
      </c>
      <c r="AZ134" s="454"/>
      <c r="BA134" s="460" t="s">
        <v>1145</v>
      </c>
      <c r="BB134" s="460"/>
      <c r="BC134" s="460" t="s">
        <v>1145</v>
      </c>
      <c r="BD134" s="460"/>
      <c r="BE134" s="460"/>
      <c r="BF134" s="460"/>
      <c r="BG134" s="455" t="s">
        <v>1162</v>
      </c>
      <c r="BH134" s="454" t="s">
        <v>1163</v>
      </c>
      <c r="BI134" s="460">
        <v>50</v>
      </c>
      <c r="BJ134" s="460" t="s">
        <v>1164</v>
      </c>
      <c r="BK134" s="460"/>
      <c r="BL134" s="455"/>
      <c r="BM134" s="484" t="s">
        <v>1376</v>
      </c>
      <c r="BN134" s="454" t="s">
        <v>408</v>
      </c>
    </row>
    <row r="135" spans="1:66" s="450" customFormat="1" ht="13" customHeight="1" x14ac:dyDescent="0.2">
      <c r="A135" s="451">
        <v>2263</v>
      </c>
      <c r="B135" s="452">
        <v>43843</v>
      </c>
      <c r="C135" s="453" t="s">
        <v>1138</v>
      </c>
      <c r="D135" s="454" t="s">
        <v>1115</v>
      </c>
      <c r="E135" s="452">
        <v>43831</v>
      </c>
      <c r="F135" s="455" t="s">
        <v>1166</v>
      </c>
      <c r="G135" s="454" t="s">
        <v>1167</v>
      </c>
      <c r="H135" s="461">
        <v>78</v>
      </c>
      <c r="I135" s="458" t="s">
        <v>1141</v>
      </c>
      <c r="J135" s="459">
        <v>3000</v>
      </c>
      <c r="K135" s="459">
        <v>3000</v>
      </c>
      <c r="L135" s="459">
        <v>3000</v>
      </c>
      <c r="M135" s="459">
        <v>3000</v>
      </c>
      <c r="N135" s="454"/>
      <c r="O135" s="461">
        <v>2.8</v>
      </c>
      <c r="P135" s="482">
        <v>0</v>
      </c>
      <c r="Q135" s="461">
        <v>0</v>
      </c>
      <c r="R135" s="461">
        <v>0</v>
      </c>
      <c r="S135" s="461">
        <v>2.2000000000000002</v>
      </c>
      <c r="T135" s="461"/>
      <c r="U135" s="461">
        <v>2</v>
      </c>
      <c r="V135" s="482">
        <v>0</v>
      </c>
      <c r="W135" s="461">
        <v>0</v>
      </c>
      <c r="X135" s="461">
        <v>0</v>
      </c>
      <c r="Y135" s="461">
        <v>1.6</v>
      </c>
      <c r="Z135" s="461"/>
      <c r="AA135" s="461" t="s">
        <v>1142</v>
      </c>
      <c r="AB135" s="461" t="s">
        <v>1142</v>
      </c>
      <c r="AC135" s="461" t="s">
        <v>1142</v>
      </c>
      <c r="AD135" s="461" t="s">
        <v>1142</v>
      </c>
      <c r="AE135" s="461" t="s">
        <v>1142</v>
      </c>
      <c r="AF135" s="461"/>
      <c r="AG135" s="460" t="s">
        <v>1143</v>
      </c>
      <c r="AH135" s="460" t="s">
        <v>1144</v>
      </c>
      <c r="AI135" s="460">
        <v>2</v>
      </c>
      <c r="AJ135" s="460">
        <v>4</v>
      </c>
      <c r="AK135" s="483">
        <v>0.33329999999999999</v>
      </c>
      <c r="AL135" s="483">
        <v>0.66659999999999997</v>
      </c>
      <c r="AM135" s="454" t="s">
        <v>1124</v>
      </c>
      <c r="AN135" s="460">
        <v>10</v>
      </c>
      <c r="AO135" s="460">
        <v>0</v>
      </c>
      <c r="AP135" s="460">
        <v>0</v>
      </c>
      <c r="AQ135" s="460">
        <v>0</v>
      </c>
      <c r="AR135" s="460">
        <v>0</v>
      </c>
      <c r="AS135" s="460">
        <v>0</v>
      </c>
      <c r="AT135" s="460">
        <v>0</v>
      </c>
      <c r="AU135" s="460">
        <v>0</v>
      </c>
      <c r="AV135" s="460">
        <v>0</v>
      </c>
      <c r="AW135" s="460">
        <v>0</v>
      </c>
      <c r="AX135" s="460">
        <v>0</v>
      </c>
      <c r="AY135" s="460">
        <v>0</v>
      </c>
      <c r="AZ135" s="454"/>
      <c r="BA135" s="460" t="s">
        <v>1145</v>
      </c>
      <c r="BB135" s="460">
        <v>12</v>
      </c>
      <c r="BC135" s="460" t="s">
        <v>1145</v>
      </c>
      <c r="BD135" s="460"/>
      <c r="BE135" s="460"/>
      <c r="BF135" s="460"/>
      <c r="BG135" s="455"/>
      <c r="BH135" s="454"/>
      <c r="BI135" s="460"/>
      <c r="BJ135" s="460" t="s">
        <v>1146</v>
      </c>
      <c r="BK135" s="460"/>
      <c r="BL135" s="455"/>
      <c r="BM135" s="454" t="s">
        <v>430</v>
      </c>
      <c r="BN135" s="454" t="s">
        <v>408</v>
      </c>
    </row>
    <row r="136" spans="1:66" s="450" customFormat="1" ht="13" customHeight="1" x14ac:dyDescent="0.2">
      <c r="A136" s="451">
        <v>2400</v>
      </c>
      <c r="B136" s="452">
        <v>43843</v>
      </c>
      <c r="C136" s="453" t="s">
        <v>1138</v>
      </c>
      <c r="D136" s="454" t="s">
        <v>1115</v>
      </c>
      <c r="E136" s="465">
        <v>43831</v>
      </c>
      <c r="F136" s="455" t="s">
        <v>1168</v>
      </c>
      <c r="G136" s="454" t="s">
        <v>1297</v>
      </c>
      <c r="H136" s="461">
        <v>80.400000000000006</v>
      </c>
      <c r="I136" s="458" t="s">
        <v>1141</v>
      </c>
      <c r="J136" s="459">
        <v>6000</v>
      </c>
      <c r="K136" s="459">
        <v>12000</v>
      </c>
      <c r="L136" s="459">
        <v>84000</v>
      </c>
      <c r="M136" s="459">
        <v>84000</v>
      </c>
      <c r="N136" s="454"/>
      <c r="O136" s="461">
        <v>2.4</v>
      </c>
      <c r="P136" s="461">
        <v>2</v>
      </c>
      <c r="Q136" s="461">
        <v>1.8999999999999997</v>
      </c>
      <c r="R136" s="461">
        <v>0</v>
      </c>
      <c r="S136" s="461">
        <v>1.8545454545454545</v>
      </c>
      <c r="T136" s="461"/>
      <c r="U136" s="461">
        <v>1.9545454545454544</v>
      </c>
      <c r="V136" s="461">
        <v>1.8999999999999997</v>
      </c>
      <c r="W136" s="461">
        <v>1.7999999999999998</v>
      </c>
      <c r="X136" s="461">
        <v>0</v>
      </c>
      <c r="Y136" s="461">
        <v>1.7545454545454544</v>
      </c>
      <c r="Z136" s="461"/>
      <c r="AA136" s="461" t="s">
        <v>1142</v>
      </c>
      <c r="AB136" s="461" t="s">
        <v>1142</v>
      </c>
      <c r="AC136" s="461" t="s">
        <v>1142</v>
      </c>
      <c r="AD136" s="461" t="s">
        <v>1142</v>
      </c>
      <c r="AE136" s="461" t="s">
        <v>1142</v>
      </c>
      <c r="AF136" s="461"/>
      <c r="AG136" s="460" t="s">
        <v>1143</v>
      </c>
      <c r="AH136" s="460" t="s">
        <v>1144</v>
      </c>
      <c r="AI136" s="460">
        <v>2</v>
      </c>
      <c r="AJ136" s="460">
        <v>4</v>
      </c>
      <c r="AK136" s="483">
        <v>0.33329999999999999</v>
      </c>
      <c r="AL136" s="483">
        <v>0.66659999999999997</v>
      </c>
      <c r="AM136" s="454" t="s">
        <v>1124</v>
      </c>
      <c r="AN136" s="460">
        <v>0</v>
      </c>
      <c r="AO136" s="460">
        <v>0</v>
      </c>
      <c r="AP136" s="460">
        <v>10</v>
      </c>
      <c r="AQ136" s="460">
        <v>0</v>
      </c>
      <c r="AR136" s="460">
        <v>0</v>
      </c>
      <c r="AS136" s="460">
        <v>0</v>
      </c>
      <c r="AT136" s="460">
        <v>0</v>
      </c>
      <c r="AU136" s="460">
        <v>0</v>
      </c>
      <c r="AV136" s="460">
        <v>0</v>
      </c>
      <c r="AW136" s="460">
        <v>0</v>
      </c>
      <c r="AX136" s="460">
        <v>0</v>
      </c>
      <c r="AY136" s="460">
        <v>0</v>
      </c>
      <c r="AZ136" s="460"/>
      <c r="BA136" s="460" t="s">
        <v>1145</v>
      </c>
      <c r="BB136" s="460"/>
      <c r="BC136" s="460" t="s">
        <v>1145</v>
      </c>
      <c r="BD136" s="460"/>
      <c r="BE136" s="460"/>
      <c r="BF136" s="460"/>
      <c r="BG136" s="455"/>
      <c r="BH136" s="454"/>
      <c r="BI136" s="460"/>
      <c r="BJ136" s="460" t="s">
        <v>1146</v>
      </c>
      <c r="BK136" s="460"/>
      <c r="BL136" s="455"/>
      <c r="BM136" s="484" t="s">
        <v>1388</v>
      </c>
      <c r="BN136" s="454" t="s">
        <v>408</v>
      </c>
    </row>
    <row r="137" spans="1:66" s="450" customFormat="1" ht="13" customHeight="1" x14ac:dyDescent="0.2">
      <c r="A137" s="451">
        <v>796</v>
      </c>
      <c r="B137" s="452">
        <v>43843</v>
      </c>
      <c r="C137" s="453" t="s">
        <v>1138</v>
      </c>
      <c r="D137" s="454" t="s">
        <v>1115</v>
      </c>
      <c r="E137" s="465">
        <v>43831</v>
      </c>
      <c r="F137" s="455" t="s">
        <v>1169</v>
      </c>
      <c r="G137" s="454" t="s">
        <v>1170</v>
      </c>
      <c r="H137" s="461">
        <v>92.61818181818181</v>
      </c>
      <c r="I137" s="458" t="s">
        <v>1141</v>
      </c>
      <c r="J137" s="459">
        <v>6000</v>
      </c>
      <c r="K137" s="459">
        <v>12000</v>
      </c>
      <c r="L137" s="459">
        <v>84000</v>
      </c>
      <c r="M137" s="459">
        <v>84000</v>
      </c>
      <c r="N137" s="454"/>
      <c r="O137" s="461">
        <v>2.4090909090909087</v>
      </c>
      <c r="P137" s="461">
        <v>2.0545454545454542</v>
      </c>
      <c r="Q137" s="461">
        <v>1.6090909090909089</v>
      </c>
      <c r="R137" s="461">
        <v>0</v>
      </c>
      <c r="S137" s="461">
        <v>1.5999999999999999</v>
      </c>
      <c r="T137" s="461"/>
      <c r="U137" s="461">
        <v>1.8181818181818181</v>
      </c>
      <c r="V137" s="461">
        <v>1.7636363636363634</v>
      </c>
      <c r="W137" s="461">
        <v>1.6090909090909089</v>
      </c>
      <c r="X137" s="461">
        <v>0</v>
      </c>
      <c r="Y137" s="461">
        <v>1.5545454545454545</v>
      </c>
      <c r="Z137" s="461"/>
      <c r="AA137" s="461" t="s">
        <v>1142</v>
      </c>
      <c r="AB137" s="461" t="s">
        <v>1142</v>
      </c>
      <c r="AC137" s="461" t="s">
        <v>1142</v>
      </c>
      <c r="AD137" s="461" t="s">
        <v>1142</v>
      </c>
      <c r="AE137" s="461" t="s">
        <v>1142</v>
      </c>
      <c r="AF137" s="461"/>
      <c r="AG137" s="460" t="s">
        <v>1143</v>
      </c>
      <c r="AH137" s="460" t="s">
        <v>1144</v>
      </c>
      <c r="AI137" s="460">
        <v>2</v>
      </c>
      <c r="AJ137" s="460">
        <v>4</v>
      </c>
      <c r="AK137" s="483">
        <v>0.33329999999999999</v>
      </c>
      <c r="AL137" s="483">
        <v>0.66659999999999997</v>
      </c>
      <c r="AM137" s="454" t="s">
        <v>1124</v>
      </c>
      <c r="AN137" s="460">
        <v>0</v>
      </c>
      <c r="AO137" s="460">
        <v>0</v>
      </c>
      <c r="AP137" s="460">
        <v>12</v>
      </c>
      <c r="AQ137" s="460">
        <v>0</v>
      </c>
      <c r="AR137" s="460">
        <v>0</v>
      </c>
      <c r="AS137" s="460">
        <v>0</v>
      </c>
      <c r="AT137" s="460">
        <v>0</v>
      </c>
      <c r="AU137" s="460">
        <v>0</v>
      </c>
      <c r="AV137" s="460">
        <v>0</v>
      </c>
      <c r="AW137" s="460">
        <v>0</v>
      </c>
      <c r="AX137" s="460">
        <v>0</v>
      </c>
      <c r="AY137" s="460">
        <v>0</v>
      </c>
      <c r="AZ137" s="454"/>
      <c r="BA137" s="460" t="s">
        <v>1145</v>
      </c>
      <c r="BB137" s="460"/>
      <c r="BC137" s="460" t="s">
        <v>1145</v>
      </c>
      <c r="BD137" s="460"/>
      <c r="BE137" s="460"/>
      <c r="BF137" s="460"/>
      <c r="BG137" s="455"/>
      <c r="BH137" s="454"/>
      <c r="BI137" s="460"/>
      <c r="BJ137" s="460" t="s">
        <v>1164</v>
      </c>
      <c r="BK137" s="460"/>
      <c r="BL137" s="455"/>
      <c r="BM137" s="484" t="s">
        <v>1389</v>
      </c>
      <c r="BN137" s="454" t="s">
        <v>408</v>
      </c>
    </row>
    <row r="138" spans="1:66" s="450" customFormat="1" ht="13" customHeight="1" x14ac:dyDescent="0.2">
      <c r="A138" s="451">
        <v>2217</v>
      </c>
      <c r="B138" s="452">
        <v>43843</v>
      </c>
      <c r="C138" s="453" t="s">
        <v>1138</v>
      </c>
      <c r="D138" s="454" t="s">
        <v>1115</v>
      </c>
      <c r="E138" s="465">
        <v>43647</v>
      </c>
      <c r="F138" s="454" t="s">
        <v>1173</v>
      </c>
      <c r="G138" s="454" t="s">
        <v>1174</v>
      </c>
      <c r="H138" s="461">
        <v>67.999999999999986</v>
      </c>
      <c r="I138" s="467" t="s">
        <v>1141</v>
      </c>
      <c r="J138" s="469">
        <v>6000</v>
      </c>
      <c r="K138" s="459">
        <v>12000</v>
      </c>
      <c r="L138" s="459">
        <v>84000</v>
      </c>
      <c r="M138" s="459">
        <v>84000</v>
      </c>
      <c r="N138" s="468"/>
      <c r="O138" s="461">
        <v>2.2181818181818178</v>
      </c>
      <c r="P138" s="461">
        <v>2.0181818181818181</v>
      </c>
      <c r="Q138" s="461">
        <v>1.9272727272727272</v>
      </c>
      <c r="R138" s="461">
        <v>0</v>
      </c>
      <c r="S138" s="461">
        <v>1.8181818181818181</v>
      </c>
      <c r="T138" s="456"/>
      <c r="U138" s="461">
        <v>1.7545454545454544</v>
      </c>
      <c r="V138" s="461">
        <v>1.5181818181818181</v>
      </c>
      <c r="W138" s="461">
        <v>1.3818181818181816</v>
      </c>
      <c r="X138" s="461">
        <v>0</v>
      </c>
      <c r="Y138" s="461">
        <v>1.2</v>
      </c>
      <c r="Z138" s="456"/>
      <c r="AA138" s="461" t="s">
        <v>1142</v>
      </c>
      <c r="AB138" s="461" t="s">
        <v>1142</v>
      </c>
      <c r="AC138" s="461" t="s">
        <v>1142</v>
      </c>
      <c r="AD138" s="461" t="s">
        <v>1142</v>
      </c>
      <c r="AE138" s="461" t="s">
        <v>1142</v>
      </c>
      <c r="AF138" s="456"/>
      <c r="AG138" s="470" t="s">
        <v>1143</v>
      </c>
      <c r="AH138" s="470" t="s">
        <v>1144</v>
      </c>
      <c r="AI138" s="460">
        <v>2</v>
      </c>
      <c r="AJ138" s="460">
        <v>4</v>
      </c>
      <c r="AK138" s="483">
        <v>0.33329999999999999</v>
      </c>
      <c r="AL138" s="483">
        <v>0.66659999999999997</v>
      </c>
      <c r="AM138" s="454" t="s">
        <v>1124</v>
      </c>
      <c r="AN138" s="460">
        <v>0</v>
      </c>
      <c r="AO138" s="460">
        <v>0</v>
      </c>
      <c r="AP138" s="460">
        <v>5</v>
      </c>
      <c r="AQ138" s="460">
        <v>0</v>
      </c>
      <c r="AR138" s="460">
        <v>0</v>
      </c>
      <c r="AS138" s="460">
        <v>0</v>
      </c>
      <c r="AT138" s="460">
        <v>0</v>
      </c>
      <c r="AU138" s="460">
        <v>0</v>
      </c>
      <c r="AV138" s="460">
        <v>0</v>
      </c>
      <c r="AW138" s="460">
        <v>0</v>
      </c>
      <c r="AX138" s="460">
        <v>0</v>
      </c>
      <c r="AY138" s="460">
        <v>0</v>
      </c>
      <c r="AZ138" s="460"/>
      <c r="BA138" s="460" t="s">
        <v>1145</v>
      </c>
      <c r="BB138" s="460">
        <v>12</v>
      </c>
      <c r="BC138" s="460" t="s">
        <v>1145</v>
      </c>
      <c r="BD138" s="460"/>
      <c r="BE138" s="460"/>
      <c r="BF138" s="460"/>
      <c r="BG138" s="455"/>
      <c r="BH138" s="454"/>
      <c r="BI138" s="460"/>
      <c r="BJ138" s="460" t="s">
        <v>1164</v>
      </c>
      <c r="BK138" s="460"/>
      <c r="BL138" s="455"/>
      <c r="BM138" s="454" t="s">
        <v>1242</v>
      </c>
      <c r="BN138" s="454" t="s">
        <v>368</v>
      </c>
    </row>
    <row r="139" spans="1:66" s="450" customFormat="1" ht="13" customHeight="1" x14ac:dyDescent="0.2">
      <c r="A139" s="451">
        <v>1917</v>
      </c>
      <c r="B139" s="452">
        <v>43843</v>
      </c>
      <c r="C139" s="453" t="s">
        <v>1138</v>
      </c>
      <c r="D139" s="454" t="s">
        <v>1115</v>
      </c>
      <c r="E139" s="452">
        <v>43831</v>
      </c>
      <c r="F139" s="455" t="s">
        <v>987</v>
      </c>
      <c r="G139" s="454" t="s">
        <v>1127</v>
      </c>
      <c r="H139" s="461">
        <v>65.823999999999998</v>
      </c>
      <c r="I139" s="458" t="s">
        <v>1141</v>
      </c>
      <c r="J139" s="459">
        <v>6000</v>
      </c>
      <c r="K139" s="459">
        <v>12000</v>
      </c>
      <c r="L139" s="459">
        <v>12000</v>
      </c>
      <c r="M139" s="459">
        <v>12000</v>
      </c>
      <c r="N139" s="454"/>
      <c r="O139" s="461">
        <v>2.4140000000000001</v>
      </c>
      <c r="P139" s="461">
        <v>2.0739999999999998</v>
      </c>
      <c r="Q139" s="482">
        <v>0</v>
      </c>
      <c r="R139" s="461">
        <v>0</v>
      </c>
      <c r="S139" s="461">
        <v>1.5640000000000001</v>
      </c>
      <c r="T139" s="461"/>
      <c r="U139" s="461">
        <v>1.7</v>
      </c>
      <c r="V139" s="461">
        <v>1.6659999999999999</v>
      </c>
      <c r="W139" s="482">
        <v>0</v>
      </c>
      <c r="X139" s="461">
        <v>0</v>
      </c>
      <c r="Y139" s="461">
        <v>1.5640000000000001</v>
      </c>
      <c r="Z139" s="461"/>
      <c r="AA139" s="461" t="s">
        <v>1142</v>
      </c>
      <c r="AB139" s="461" t="s">
        <v>1142</v>
      </c>
      <c r="AC139" s="461" t="s">
        <v>1142</v>
      </c>
      <c r="AD139" s="461" t="s">
        <v>1142</v>
      </c>
      <c r="AE139" s="461" t="s">
        <v>1142</v>
      </c>
      <c r="AF139" s="461"/>
      <c r="AG139" s="460" t="s">
        <v>1143</v>
      </c>
      <c r="AH139" s="460" t="s">
        <v>1144</v>
      </c>
      <c r="AI139" s="460">
        <v>2</v>
      </c>
      <c r="AJ139" s="460">
        <v>4</v>
      </c>
      <c r="AK139" s="483">
        <v>0.33329999999999999</v>
      </c>
      <c r="AL139" s="483">
        <v>0.66659999999999997</v>
      </c>
      <c r="AM139" s="454" t="s">
        <v>1124</v>
      </c>
      <c r="AN139" s="460">
        <v>0</v>
      </c>
      <c r="AO139" s="460">
        <v>0</v>
      </c>
      <c r="AP139" s="460">
        <v>0</v>
      </c>
      <c r="AQ139" s="460">
        <v>0</v>
      </c>
      <c r="AR139" s="460">
        <v>0</v>
      </c>
      <c r="AS139" s="460">
        <v>0</v>
      </c>
      <c r="AT139" s="460">
        <v>0</v>
      </c>
      <c r="AU139" s="460">
        <v>0</v>
      </c>
      <c r="AV139" s="460">
        <v>0</v>
      </c>
      <c r="AW139" s="460">
        <v>0</v>
      </c>
      <c r="AX139" s="460">
        <v>0</v>
      </c>
      <c r="AY139" s="460">
        <v>0</v>
      </c>
      <c r="AZ139" s="460"/>
      <c r="BA139" s="460" t="s">
        <v>1145</v>
      </c>
      <c r="BB139" s="460"/>
      <c r="BC139" s="460" t="s">
        <v>1145</v>
      </c>
      <c r="BD139" s="460"/>
      <c r="BE139" s="460"/>
      <c r="BF139" s="460"/>
      <c r="BG139" s="455"/>
      <c r="BH139" s="454"/>
      <c r="BI139" s="460"/>
      <c r="BJ139" s="460" t="s">
        <v>1146</v>
      </c>
      <c r="BK139" s="460">
        <v>1</v>
      </c>
      <c r="BL139" s="455"/>
      <c r="BM139" s="454" t="s">
        <v>1384</v>
      </c>
      <c r="BN139" s="454" t="s">
        <v>408</v>
      </c>
    </row>
    <row r="140" spans="1:66" s="450" customFormat="1" ht="13" customHeight="1" x14ac:dyDescent="0.2">
      <c r="A140" s="451">
        <v>1688</v>
      </c>
      <c r="B140" s="452">
        <v>43843</v>
      </c>
      <c r="C140" s="453" t="s">
        <v>295</v>
      </c>
      <c r="D140" s="454" t="s">
        <v>1115</v>
      </c>
      <c r="E140" s="452">
        <v>43801</v>
      </c>
      <c r="F140" s="455" t="s">
        <v>1106</v>
      </c>
      <c r="G140" s="454" t="s">
        <v>2</v>
      </c>
      <c r="H140" s="461">
        <v>80</v>
      </c>
      <c r="I140" s="458" t="s">
        <v>296</v>
      </c>
      <c r="J140" s="459">
        <v>3000</v>
      </c>
      <c r="K140" s="459">
        <v>3000</v>
      </c>
      <c r="L140" s="459">
        <v>3000</v>
      </c>
      <c r="M140" s="459">
        <v>3000</v>
      </c>
      <c r="N140" s="454"/>
      <c r="O140" s="461">
        <v>2.0181818181818181</v>
      </c>
      <c r="P140" s="482">
        <v>0</v>
      </c>
      <c r="Q140" s="461">
        <v>0</v>
      </c>
      <c r="R140" s="461">
        <v>0</v>
      </c>
      <c r="S140" s="461">
        <v>1.7999999999999998</v>
      </c>
      <c r="T140" s="461"/>
      <c r="U140" s="461">
        <v>1.5545454545454545</v>
      </c>
      <c r="V140" s="482">
        <v>0</v>
      </c>
      <c r="W140" s="461">
        <v>0</v>
      </c>
      <c r="X140" s="461">
        <v>0</v>
      </c>
      <c r="Y140" s="461">
        <v>1.5545454545454545</v>
      </c>
      <c r="Z140" s="461"/>
      <c r="AA140" s="461" t="s">
        <v>1142</v>
      </c>
      <c r="AB140" s="461" t="s">
        <v>1142</v>
      </c>
      <c r="AC140" s="461" t="s">
        <v>1142</v>
      </c>
      <c r="AD140" s="461" t="s">
        <v>1142</v>
      </c>
      <c r="AE140" s="461" t="s">
        <v>1142</v>
      </c>
      <c r="AF140" s="461"/>
      <c r="AG140" s="460" t="s">
        <v>1143</v>
      </c>
      <c r="AH140" s="460" t="s">
        <v>1144</v>
      </c>
      <c r="AI140" s="460">
        <v>2</v>
      </c>
      <c r="AJ140" s="460">
        <v>4</v>
      </c>
      <c r="AK140" s="483">
        <v>0.33329999999999999</v>
      </c>
      <c r="AL140" s="483">
        <v>0.66659999999999997</v>
      </c>
      <c r="AM140" s="454" t="s">
        <v>1124</v>
      </c>
      <c r="AN140" s="460">
        <v>0</v>
      </c>
      <c r="AO140" s="460">
        <v>0</v>
      </c>
      <c r="AP140" s="460">
        <v>5</v>
      </c>
      <c r="AQ140" s="460">
        <v>0</v>
      </c>
      <c r="AR140" s="460">
        <v>0</v>
      </c>
      <c r="AS140" s="460">
        <v>0</v>
      </c>
      <c r="AT140" s="460">
        <v>0</v>
      </c>
      <c r="AU140" s="460">
        <v>0</v>
      </c>
      <c r="AV140" s="460">
        <v>0</v>
      </c>
      <c r="AW140" s="460">
        <v>0</v>
      </c>
      <c r="AX140" s="460">
        <v>0</v>
      </c>
      <c r="AY140" s="460">
        <v>0</v>
      </c>
      <c r="AZ140" s="460"/>
      <c r="BA140" s="460" t="s">
        <v>1145</v>
      </c>
      <c r="BB140" s="460"/>
      <c r="BC140" s="460" t="s">
        <v>1145</v>
      </c>
      <c r="BD140" s="460"/>
      <c r="BE140" s="460"/>
      <c r="BF140" s="455"/>
      <c r="BG140" s="454"/>
      <c r="BH140" s="460"/>
      <c r="BI140" s="460"/>
      <c r="BJ140" s="460" t="s">
        <v>1146</v>
      </c>
      <c r="BK140" s="460">
        <v>1</v>
      </c>
      <c r="BL140" s="454"/>
      <c r="BM140" s="454" t="s">
        <v>1374</v>
      </c>
      <c r="BN140" s="454" t="s">
        <v>368</v>
      </c>
    </row>
    <row r="141" spans="1:66" s="450" customFormat="1" ht="13" customHeight="1" x14ac:dyDescent="0.2">
      <c r="A141" s="451">
        <v>2209</v>
      </c>
      <c r="B141" s="452">
        <v>43843</v>
      </c>
      <c r="C141" s="453" t="s">
        <v>1138</v>
      </c>
      <c r="D141" s="454" t="s">
        <v>1115</v>
      </c>
      <c r="E141" s="465">
        <v>43831</v>
      </c>
      <c r="F141" s="454" t="s">
        <v>34</v>
      </c>
      <c r="G141" s="454" t="s">
        <v>1178</v>
      </c>
      <c r="H141" s="461">
        <v>80.599999999999994</v>
      </c>
      <c r="I141" s="467"/>
      <c r="J141" s="467"/>
      <c r="K141" s="467"/>
      <c r="L141" s="468"/>
      <c r="M141" s="468"/>
      <c r="N141" s="468"/>
      <c r="O141" s="461">
        <v>1.9272727272727272</v>
      </c>
      <c r="P141" s="461">
        <v>0</v>
      </c>
      <c r="Q141" s="461">
        <v>0</v>
      </c>
      <c r="R141" s="461">
        <v>0</v>
      </c>
      <c r="S141" s="461">
        <v>0</v>
      </c>
      <c r="T141" s="456"/>
      <c r="U141" s="461">
        <v>1.6181818181818182</v>
      </c>
      <c r="V141" s="461">
        <v>0</v>
      </c>
      <c r="W141" s="461">
        <v>0</v>
      </c>
      <c r="X141" s="461">
        <v>0</v>
      </c>
      <c r="Y141" s="461">
        <v>0</v>
      </c>
      <c r="Z141" s="456"/>
      <c r="AA141" s="461" t="s">
        <v>1142</v>
      </c>
      <c r="AB141" s="461" t="s">
        <v>1142</v>
      </c>
      <c r="AC141" s="461" t="s">
        <v>1142</v>
      </c>
      <c r="AD141" s="461" t="s">
        <v>1142</v>
      </c>
      <c r="AE141" s="461" t="s">
        <v>1142</v>
      </c>
      <c r="AF141" s="456"/>
      <c r="AG141" s="470" t="s">
        <v>1143</v>
      </c>
      <c r="AH141" s="470" t="s">
        <v>1144</v>
      </c>
      <c r="AI141" s="460">
        <v>2</v>
      </c>
      <c r="AJ141" s="460">
        <v>4</v>
      </c>
      <c r="AK141" s="483">
        <v>0.33329999999999999</v>
      </c>
      <c r="AL141" s="483">
        <v>0.66659999999999997</v>
      </c>
      <c r="AM141" s="454" t="s">
        <v>1124</v>
      </c>
      <c r="AN141" s="460">
        <v>0</v>
      </c>
      <c r="AO141" s="460">
        <v>0</v>
      </c>
      <c r="AP141" s="460">
        <v>5</v>
      </c>
      <c r="AQ141" s="460">
        <v>0</v>
      </c>
      <c r="AR141" s="460">
        <v>0</v>
      </c>
      <c r="AS141" s="460">
        <v>0</v>
      </c>
      <c r="AT141" s="460">
        <v>0</v>
      </c>
      <c r="AU141" s="460">
        <v>0</v>
      </c>
      <c r="AV141" s="460">
        <v>0</v>
      </c>
      <c r="AW141" s="460">
        <v>0</v>
      </c>
      <c r="AX141" s="460">
        <v>0</v>
      </c>
      <c r="AY141" s="460">
        <v>0</v>
      </c>
      <c r="AZ141" s="460"/>
      <c r="BA141" s="460" t="s">
        <v>1145</v>
      </c>
      <c r="BB141" s="460"/>
      <c r="BC141" s="460" t="s">
        <v>1145</v>
      </c>
      <c r="BD141" s="460"/>
      <c r="BE141" s="460"/>
      <c r="BF141" s="460"/>
      <c r="BG141" s="455"/>
      <c r="BH141" s="454"/>
      <c r="BI141" s="460"/>
      <c r="BJ141" s="460" t="s">
        <v>1164</v>
      </c>
      <c r="BK141" s="460"/>
      <c r="BL141" s="455" t="s">
        <v>47</v>
      </c>
      <c r="BM141" s="484" t="s">
        <v>1377</v>
      </c>
      <c r="BN141" s="454" t="s">
        <v>408</v>
      </c>
    </row>
    <row r="142" spans="1:66" s="450" customFormat="1" ht="13" customHeight="1" x14ac:dyDescent="0.2">
      <c r="A142" s="451">
        <v>2058</v>
      </c>
      <c r="B142" s="452">
        <v>43843</v>
      </c>
      <c r="C142" s="453" t="s">
        <v>1138</v>
      </c>
      <c r="D142" s="454" t="s">
        <v>1115</v>
      </c>
      <c r="E142" s="452">
        <v>43831</v>
      </c>
      <c r="F142" s="455" t="s">
        <v>1180</v>
      </c>
      <c r="G142" s="454" t="s">
        <v>1181</v>
      </c>
      <c r="H142" s="461">
        <v>83.909090909090907</v>
      </c>
      <c r="I142" s="458"/>
      <c r="J142" s="454"/>
      <c r="K142" s="454"/>
      <c r="L142" s="454"/>
      <c r="M142" s="454"/>
      <c r="N142" s="454"/>
      <c r="O142" s="461">
        <v>1.8545454545454545</v>
      </c>
      <c r="P142" s="461">
        <v>0</v>
      </c>
      <c r="Q142" s="461">
        <v>0</v>
      </c>
      <c r="R142" s="461">
        <v>0</v>
      </c>
      <c r="S142" s="461">
        <v>0</v>
      </c>
      <c r="T142" s="461"/>
      <c r="U142" s="461">
        <v>1.5545454545454545</v>
      </c>
      <c r="V142" s="461">
        <v>0</v>
      </c>
      <c r="W142" s="461">
        <v>0</v>
      </c>
      <c r="X142" s="461">
        <v>0</v>
      </c>
      <c r="Y142" s="461">
        <v>0</v>
      </c>
      <c r="Z142" s="461"/>
      <c r="AA142" s="461" t="s">
        <v>1142</v>
      </c>
      <c r="AB142" s="461" t="s">
        <v>1142</v>
      </c>
      <c r="AC142" s="461" t="s">
        <v>1142</v>
      </c>
      <c r="AD142" s="461" t="s">
        <v>1142</v>
      </c>
      <c r="AE142" s="461" t="s">
        <v>1142</v>
      </c>
      <c r="AF142" s="461"/>
      <c r="AG142" s="460" t="s">
        <v>1143</v>
      </c>
      <c r="AH142" s="460" t="s">
        <v>1144</v>
      </c>
      <c r="AI142" s="460">
        <v>2</v>
      </c>
      <c r="AJ142" s="460">
        <v>4</v>
      </c>
      <c r="AK142" s="483">
        <v>0.33329999999999999</v>
      </c>
      <c r="AL142" s="483">
        <v>0.66659999999999997</v>
      </c>
      <c r="AM142" s="454" t="s">
        <v>1124</v>
      </c>
      <c r="AN142" s="460">
        <v>0</v>
      </c>
      <c r="AO142" s="460">
        <v>0</v>
      </c>
      <c r="AP142" s="460">
        <v>0</v>
      </c>
      <c r="AQ142" s="460">
        <v>0</v>
      </c>
      <c r="AR142" s="460">
        <v>0</v>
      </c>
      <c r="AS142" s="460">
        <v>0</v>
      </c>
      <c r="AT142" s="460">
        <v>0</v>
      </c>
      <c r="AU142" s="460">
        <v>0</v>
      </c>
      <c r="AV142" s="460">
        <v>0</v>
      </c>
      <c r="AW142" s="460">
        <v>0</v>
      </c>
      <c r="AX142" s="460">
        <v>0</v>
      </c>
      <c r="AY142" s="460">
        <v>0</v>
      </c>
      <c r="AZ142" s="460"/>
      <c r="BA142" s="460" t="s">
        <v>1145</v>
      </c>
      <c r="BB142" s="460"/>
      <c r="BC142" s="460" t="s">
        <v>1145</v>
      </c>
      <c r="BD142" s="460"/>
      <c r="BE142" s="460"/>
      <c r="BF142" s="460"/>
      <c r="BG142" s="455"/>
      <c r="BH142" s="454"/>
      <c r="BI142" s="460"/>
      <c r="BJ142" s="460" t="s">
        <v>1164</v>
      </c>
      <c r="BK142" s="460"/>
      <c r="BL142" s="455" t="s">
        <v>1284</v>
      </c>
      <c r="BM142" s="481" t="s">
        <v>1237</v>
      </c>
      <c r="BN142" s="454" t="s">
        <v>408</v>
      </c>
    </row>
    <row r="143" spans="1:66" s="450" customFormat="1" ht="13" customHeight="1" x14ac:dyDescent="0.2">
      <c r="A143" s="451">
        <v>2464</v>
      </c>
      <c r="B143" s="452">
        <v>43843</v>
      </c>
      <c r="C143" s="453" t="s">
        <v>1138</v>
      </c>
      <c r="D143" s="454" t="s">
        <v>1115</v>
      </c>
      <c r="E143" s="465">
        <v>43731</v>
      </c>
      <c r="F143" s="454" t="s">
        <v>1274</v>
      </c>
      <c r="G143" s="454" t="s">
        <v>1275</v>
      </c>
      <c r="H143" s="461">
        <v>85.999999999999986</v>
      </c>
      <c r="I143" s="467" t="s">
        <v>1141</v>
      </c>
      <c r="J143" s="469">
        <v>6000</v>
      </c>
      <c r="K143" s="469">
        <v>12000</v>
      </c>
      <c r="L143" s="469">
        <v>12000</v>
      </c>
      <c r="M143" s="469">
        <v>12000</v>
      </c>
      <c r="N143" s="468"/>
      <c r="O143" s="461">
        <v>2.0545454545454542</v>
      </c>
      <c r="P143" s="461">
        <v>1.8727272727272726</v>
      </c>
      <c r="Q143" s="482">
        <v>0</v>
      </c>
      <c r="R143" s="461">
        <v>0</v>
      </c>
      <c r="S143" s="461">
        <v>1.5363636363636362</v>
      </c>
      <c r="T143" s="456"/>
      <c r="U143" s="461">
        <v>2.0545454545454542</v>
      </c>
      <c r="V143" s="461">
        <v>1.8727272727272726</v>
      </c>
      <c r="W143" s="482">
        <v>0</v>
      </c>
      <c r="X143" s="461">
        <v>0</v>
      </c>
      <c r="Y143" s="461">
        <v>1.5363636363636362</v>
      </c>
      <c r="Z143" s="456"/>
      <c r="AA143" s="461" t="s">
        <v>1142</v>
      </c>
      <c r="AB143" s="461" t="s">
        <v>1142</v>
      </c>
      <c r="AC143" s="461" t="s">
        <v>1142</v>
      </c>
      <c r="AD143" s="461" t="s">
        <v>1142</v>
      </c>
      <c r="AE143" s="461" t="s">
        <v>1142</v>
      </c>
      <c r="AF143" s="456"/>
      <c r="AG143" s="470" t="s">
        <v>1145</v>
      </c>
      <c r="AH143" s="470"/>
      <c r="AI143" s="460">
        <v>3</v>
      </c>
      <c r="AJ143" s="460">
        <v>3</v>
      </c>
      <c r="AK143" s="480">
        <v>0.5</v>
      </c>
      <c r="AL143" s="480">
        <v>0.5</v>
      </c>
      <c r="AM143" s="454"/>
      <c r="AN143" s="460">
        <v>0</v>
      </c>
      <c r="AO143" s="460">
        <v>0</v>
      </c>
      <c r="AP143" s="460">
        <v>0</v>
      </c>
      <c r="AQ143" s="460">
        <v>15</v>
      </c>
      <c r="AR143" s="460">
        <v>0</v>
      </c>
      <c r="AS143" s="460">
        <v>0</v>
      </c>
      <c r="AT143" s="460">
        <v>0</v>
      </c>
      <c r="AU143" s="460">
        <v>0</v>
      </c>
      <c r="AV143" s="460">
        <v>0</v>
      </c>
      <c r="AW143" s="460">
        <v>0</v>
      </c>
      <c r="AX143" s="460">
        <v>0</v>
      </c>
      <c r="AY143" s="460">
        <v>0</v>
      </c>
      <c r="AZ143" s="460"/>
      <c r="BA143" s="460" t="s">
        <v>1145</v>
      </c>
      <c r="BB143" s="460"/>
      <c r="BC143" s="460" t="s">
        <v>1145</v>
      </c>
      <c r="BD143" s="460"/>
      <c r="BE143" s="460"/>
      <c r="BF143" s="460"/>
      <c r="BG143" s="455"/>
      <c r="BH143" s="454"/>
      <c r="BI143" s="460"/>
      <c r="BJ143" s="460" t="s">
        <v>1164</v>
      </c>
      <c r="BK143" s="460">
        <v>1</v>
      </c>
      <c r="BL143" s="455"/>
      <c r="BM143" s="454" t="s">
        <v>1381</v>
      </c>
      <c r="BN143" s="454" t="s">
        <v>368</v>
      </c>
    </row>
    <row r="144" spans="1:66" s="450" customFormat="1" ht="13" customHeight="1" x14ac:dyDescent="0.2">
      <c r="A144" s="451">
        <v>2332</v>
      </c>
      <c r="B144" s="452">
        <v>43843</v>
      </c>
      <c r="C144" s="453" t="s">
        <v>1138</v>
      </c>
      <c r="D144" s="454" t="s">
        <v>1115</v>
      </c>
      <c r="E144" s="465">
        <v>43831</v>
      </c>
      <c r="F144" s="454" t="s">
        <v>1291</v>
      </c>
      <c r="G144" s="454" t="s">
        <v>1181</v>
      </c>
      <c r="H144" s="461">
        <v>77.172727272727272</v>
      </c>
      <c r="I144" s="467"/>
      <c r="J144" s="468"/>
      <c r="K144" s="468"/>
      <c r="L144" s="468"/>
      <c r="M144" s="468"/>
      <c r="N144" s="468"/>
      <c r="O144" s="461">
        <v>1.918181818181818</v>
      </c>
      <c r="P144" s="461">
        <v>0</v>
      </c>
      <c r="Q144" s="461">
        <v>0</v>
      </c>
      <c r="R144" s="461">
        <v>0</v>
      </c>
      <c r="S144" s="461">
        <v>0</v>
      </c>
      <c r="T144" s="456"/>
      <c r="U144" s="461">
        <v>1.7363636363636361</v>
      </c>
      <c r="V144" s="461">
        <v>0</v>
      </c>
      <c r="W144" s="461">
        <v>0</v>
      </c>
      <c r="X144" s="461">
        <v>0</v>
      </c>
      <c r="Y144" s="461">
        <v>0</v>
      </c>
      <c r="Z144" s="456"/>
      <c r="AA144" s="461" t="s">
        <v>1142</v>
      </c>
      <c r="AB144" s="461" t="s">
        <v>1142</v>
      </c>
      <c r="AC144" s="461" t="s">
        <v>1142</v>
      </c>
      <c r="AD144" s="461" t="s">
        <v>1142</v>
      </c>
      <c r="AE144" s="461" t="s">
        <v>1142</v>
      </c>
      <c r="AF144" s="456"/>
      <c r="AG144" s="470" t="s">
        <v>1143</v>
      </c>
      <c r="AH144" s="470" t="s">
        <v>1144</v>
      </c>
      <c r="AI144" s="460">
        <v>2</v>
      </c>
      <c r="AJ144" s="460">
        <v>4</v>
      </c>
      <c r="AK144" s="483">
        <v>0.33329999999999999</v>
      </c>
      <c r="AL144" s="483">
        <v>0.66659999999999997</v>
      </c>
      <c r="AM144" s="454" t="s">
        <v>1124</v>
      </c>
      <c r="AN144" s="460">
        <v>0</v>
      </c>
      <c r="AO144" s="460">
        <v>0</v>
      </c>
      <c r="AP144" s="460">
        <v>0</v>
      </c>
      <c r="AQ144" s="460">
        <v>0</v>
      </c>
      <c r="AR144" s="460">
        <v>0</v>
      </c>
      <c r="AS144" s="460">
        <v>0</v>
      </c>
      <c r="AT144" s="460">
        <v>0</v>
      </c>
      <c r="AU144" s="460">
        <v>0</v>
      </c>
      <c r="AV144" s="460">
        <v>0</v>
      </c>
      <c r="AW144" s="460">
        <v>0</v>
      </c>
      <c r="AX144" s="460">
        <v>0</v>
      </c>
      <c r="AY144" s="460">
        <v>0</v>
      </c>
      <c r="AZ144" s="460"/>
      <c r="BA144" s="460" t="s">
        <v>1145</v>
      </c>
      <c r="BB144" s="460"/>
      <c r="BC144" s="460" t="s">
        <v>1145</v>
      </c>
      <c r="BD144" s="460"/>
      <c r="BE144" s="460"/>
      <c r="BF144" s="460"/>
      <c r="BG144" s="455"/>
      <c r="BH144" s="454"/>
      <c r="BI144" s="460"/>
      <c r="BJ144" s="460" t="s">
        <v>4</v>
      </c>
      <c r="BK144" s="460"/>
      <c r="BL144" s="455" t="s">
        <v>1284</v>
      </c>
      <c r="BM144" s="484" t="s">
        <v>1382</v>
      </c>
      <c r="BN144" s="454" t="s">
        <v>408</v>
      </c>
    </row>
  </sheetData>
  <sheetProtection algorithmName="SHA-512" hashValue="f/cbnAVuCzqxMnkXpeayt5nuEJGUQub6QtSKHiWRWwG5dxyBzWB4rSf/ZKN+MkVRKJhHvT1uDnbzP5SmYdgHdA==" saltValue="StocdSgZ1FGDsTZd97n/Lw==" spinCount="100000" sheet="1" objects="1" scenarios="1"/>
  <hyperlinks>
    <hyperlink ref="BM4" r:id="rId1" xr:uid="{60DF1F22-6EFD-114C-8195-B282ADE50DD1}"/>
    <hyperlink ref="BM7" r:id="rId2" xr:uid="{E1607169-B5D4-3840-88EC-F1BC598750F2}"/>
    <hyperlink ref="BM19" r:id="rId3" xr:uid="{E78B8412-C368-0240-B19B-134EBA2FBC27}"/>
    <hyperlink ref="BM8" r:id="rId4" xr:uid="{F916AA17-83B5-7241-829D-3E1287E3D823}"/>
    <hyperlink ref="BM16" r:id="rId5" xr:uid="{7747AEF6-55F9-124D-9741-D7F090BB25B1}"/>
    <hyperlink ref="BM11" r:id="rId6" xr:uid="{A90878A0-A902-1543-92BE-B99DB2841BF2}"/>
    <hyperlink ref="BM12" r:id="rId7" xr:uid="{CA85A9B9-7767-5348-A3F2-E96888F01EA9}"/>
    <hyperlink ref="BM25" r:id="rId8" xr:uid="{1926C429-5F0D-D449-AC72-22C3462B0CED}"/>
    <hyperlink ref="BM37" r:id="rId9" xr:uid="{51309EFD-7A72-6D4A-A314-E8F4079F4567}"/>
    <hyperlink ref="BM26" r:id="rId10" xr:uid="{4F846FAB-140E-0447-ADC1-E0579B69145A}"/>
    <hyperlink ref="BM27" r:id="rId11" xr:uid="{2FC623A2-5E49-8E4E-B4AA-AAE3953DF823}"/>
    <hyperlink ref="BM34" r:id="rId12" xr:uid="{4495D9C7-A621-2348-AB3A-27463A7495FB}"/>
    <hyperlink ref="BM29" r:id="rId13" xr:uid="{200481C9-C48B-8A46-913F-EDD40779BF47}"/>
    <hyperlink ref="BM30" r:id="rId14" xr:uid="{67E38741-7A9B-F548-B0F1-DC59BB19CBC5}"/>
    <hyperlink ref="BM33" r:id="rId15" xr:uid="{9BECA4FF-F208-0545-8042-7B5FC8B2E763}"/>
    <hyperlink ref="BM6" r:id="rId16" xr:uid="{CD0C4C0D-1E95-6A4F-B81F-D497B35A30EF}"/>
    <hyperlink ref="BM18" r:id="rId17" xr:uid="{F22C10AB-B330-1542-8C2B-D1A75C5A6E14}"/>
    <hyperlink ref="BM15" r:id="rId18" xr:uid="{7CE9EEEA-E169-FA4E-BE1F-F9D9061D7200}"/>
    <hyperlink ref="BM14" r:id="rId19" xr:uid="{BE843A5D-0E68-DA4A-9970-7397CBD42DAF}"/>
    <hyperlink ref="BM13" r:id="rId20" xr:uid="{657AB938-40D6-A74A-861A-BFA6179A149B}"/>
    <hyperlink ref="BM9" r:id="rId21" xr:uid="{1A0D4B7C-10A7-B749-85D5-E6AC0B5BEDD3}"/>
    <hyperlink ref="BM5" r:id="rId22" xr:uid="{50BB9900-0FFE-8E4A-97BD-040059EC39DD}"/>
    <hyperlink ref="BM3" r:id="rId23" xr:uid="{427DDEB9-4A09-2A4B-9B94-5B1797027B5D}"/>
    <hyperlink ref="BM2" r:id="rId24" xr:uid="{E0CE2022-379C-B248-A61A-C4A670EB96D3}"/>
    <hyperlink ref="BM17" r:id="rId25" xr:uid="{4B6A1581-90C2-E94B-89BE-09FA168AED9D}"/>
    <hyperlink ref="BM38" r:id="rId26" xr:uid="{85E1CE96-B880-CF49-A7BD-DAFA4EAD20A1}"/>
    <hyperlink ref="BM43" r:id="rId27" xr:uid="{2BEF915E-0A2E-0A49-9D9A-4BE42CA6E93B}"/>
    <hyperlink ref="BM44" r:id="rId28" xr:uid="{F8E697D6-0076-794E-8232-5E6F6EB0A3E2}"/>
    <hyperlink ref="BM45" r:id="rId29" xr:uid="{99E34606-5678-884E-A52D-EEDF2254D355}"/>
    <hyperlink ref="BM46" r:id="rId30" xr:uid="{39368DAF-CC5F-7142-B3A0-9E469A882B4D}"/>
    <hyperlink ref="BM52" r:id="rId31" xr:uid="{E1782615-ABE0-B346-9EB7-D499424339A5}"/>
    <hyperlink ref="BM47" r:id="rId32" xr:uid="{724B8186-C6F7-0C49-A111-BC195488EE57}"/>
    <hyperlink ref="BM48" r:id="rId33" xr:uid="{1B97E4E1-916B-8E46-A5F7-17468C3945FF}"/>
    <hyperlink ref="BM57" r:id="rId34" xr:uid="{E1A79042-901B-CD43-90E7-F209BFE18DC3}"/>
    <hyperlink ref="BM61" r:id="rId35" xr:uid="{907A8B6D-6994-0041-9912-E348BFEC3C98}"/>
    <hyperlink ref="BM62" r:id="rId36" xr:uid="{F2CF3682-1A54-C644-B915-0A96777C4550}"/>
    <hyperlink ref="BM63" r:id="rId37" xr:uid="{D31E5AD2-6226-1A44-9737-735559600D75}"/>
    <hyperlink ref="BM70" r:id="rId38" xr:uid="{D477D4A2-1140-0D46-9FED-96C62807A5E4}"/>
    <hyperlink ref="BM65" r:id="rId39" xr:uid="{53EADACA-CCB4-0A4D-AC7E-8C8AAC27113A}"/>
    <hyperlink ref="BM66" r:id="rId40" xr:uid="{E1F5E18B-E80B-6146-AE8E-667036F1CF6F}"/>
    <hyperlink ref="BM73" r:id="rId41" xr:uid="{09483304-82CE-7749-9728-E1DCEA6F6BCD}"/>
    <hyperlink ref="BM74" r:id="rId42" xr:uid="{5EE17D87-49F4-1142-8B5C-7CBB3EDB883F}"/>
    <hyperlink ref="BM79" r:id="rId43" xr:uid="{75CE32C3-6934-8647-85C1-8FE2AEBEFC2B}"/>
    <hyperlink ref="BM80" r:id="rId44" xr:uid="{5490E99F-028E-8648-B2AC-8785EAA7A290}"/>
    <hyperlink ref="BM81" r:id="rId45" xr:uid="{A018BFE3-A356-974B-A7CD-3DE0CAB4CCA1}"/>
    <hyperlink ref="BM88" r:id="rId46" xr:uid="{B6F9B3E8-6413-6740-8624-2F126CB656BC}"/>
    <hyperlink ref="BM83" r:id="rId47" xr:uid="{9AD2D372-6969-4846-8A9F-1DE1FC3989C7}"/>
    <hyperlink ref="BM84" r:id="rId48" xr:uid="{F154D7B3-2979-C845-8516-09F8A399941E}"/>
    <hyperlink ref="BM77" r:id="rId49" xr:uid="{3E5F6A27-40C0-3B49-83CD-A9ADF79E8898}"/>
    <hyperlink ref="BM78" r:id="rId50" xr:uid="{6C7211DD-0CEC-814C-B0EE-FB1715B2F217}"/>
    <hyperlink ref="BM91" r:id="rId51" xr:uid="{3169A602-B12F-A048-9C4E-0D70130CEC1B}"/>
    <hyperlink ref="BM96" r:id="rId52" xr:uid="{6CC7C593-92AE-994D-B586-AA53E10F089A}"/>
    <hyperlink ref="BM104" r:id="rId53" xr:uid="{48B75C5A-9F2F-FA4B-B5B0-4C4DB1572365}"/>
    <hyperlink ref="BM97" r:id="rId54" xr:uid="{8040263D-485B-734D-AD7F-6180FB242A15}"/>
    <hyperlink ref="BM98" r:id="rId55" xr:uid="{55485BE8-3CFB-4E4B-9C5C-E4DAB9EFEE8E}"/>
    <hyperlink ref="BM99" r:id="rId56" xr:uid="{5AE763AB-B437-F246-8C59-6EDD6A0F7751}"/>
    <hyperlink ref="BM105" r:id="rId57" xr:uid="{C5E41143-E05D-C14B-A422-7C813B759ACB}"/>
    <hyperlink ref="BM100" r:id="rId58" xr:uid="{7CDDC74D-9EAB-0443-ADB0-A27BBF8AC2F7}"/>
    <hyperlink ref="BM101" r:id="rId59" xr:uid="{95C84D46-CB4E-1C4B-838B-241BA3A1CE3E}"/>
    <hyperlink ref="BM108" r:id="rId60" xr:uid="{4004C179-EA79-0F40-A1F0-04191CA27D74}"/>
    <hyperlink ref="BM114" r:id="rId61" xr:uid="{7FDFB250-95F5-5641-8440-27F79299D0AD}"/>
    <hyperlink ref="BM115" r:id="rId62" xr:uid="{58463724-94D2-8141-B84D-665A2EBE0B05}"/>
    <hyperlink ref="BM116" r:id="rId63" xr:uid="{000C81E6-FA66-CD4B-B182-819457B4D641}"/>
    <hyperlink ref="BM123" r:id="rId64" xr:uid="{89ACB627-7E2F-5A49-9DB5-37E6604BA76D}"/>
    <hyperlink ref="BM118" r:id="rId65" xr:uid="{2D8A1288-DF01-7346-910A-4EBC1FF8FA69}"/>
    <hyperlink ref="BM119" r:id="rId66" xr:uid="{864F1802-45C5-9348-A221-D10EAFE2C469}"/>
    <hyperlink ref="BM126" r:id="rId67" xr:uid="{A1E17735-5E0A-5D4D-9610-49842E0133AE}"/>
    <hyperlink ref="BM132" r:id="rId68" xr:uid="{892D86F0-F9E8-0442-9AB7-0B415566B577}"/>
    <hyperlink ref="BM133" r:id="rId69" xr:uid="{CF627759-B5B7-0E4B-9B24-ED1A23BAE01B}"/>
    <hyperlink ref="BM134" r:id="rId70" xr:uid="{FBC29849-B0D1-D244-BEA7-385CC3DCA62E}"/>
    <hyperlink ref="BM141" r:id="rId71" xr:uid="{28CA54F8-C7F8-C54F-87B0-BF50210CC662}"/>
    <hyperlink ref="BM136" r:id="rId72" xr:uid="{814B1B98-1AB3-034C-97DF-3F84EE413C9A}"/>
    <hyperlink ref="BM137" r:id="rId73" xr:uid="{FA41C7A5-CAB1-854B-B975-9F3776F1503F}"/>
    <hyperlink ref="BM131" r:id="rId74" xr:uid="{6976F8E6-AEC3-0042-BB1F-5BCFB32B4034}"/>
    <hyperlink ref="BM144" r:id="rId75" xr:uid="{11977683-6CCC-5E41-A164-5998DF577AEB}"/>
    <hyperlink ref="BM113" r:id="rId76" xr:uid="{A97BEB8C-4C32-8F42-AAF9-992444E84171}"/>
    <hyperlink ref="BM24" r:id="rId77" xr:uid="{185BE1DC-AF9C-A645-A864-61A6FDE92CF3}"/>
    <hyperlink ref="BM124" r:id="rId78" xr:uid="{0A383427-460B-F145-A1EE-4E8D5F49DD22}"/>
    <hyperlink ref="BM142" r:id="rId79" xr:uid="{C4CF03B0-05E3-4446-A1D9-FA2C78CD22F7}"/>
    <hyperlink ref="BM31" r:id="rId80" xr:uid="{2B0AC095-EE77-E842-A27D-D5DDEBC1A8BF}"/>
  </hyperlinks>
  <pageMargins left="0.75" right="0.75" top="1" bottom="1" header="0.5" footer="0.5"/>
  <pageSetup paperSize="10" orientation="portrait" horizontalDpi="4294967292" verticalDpi="4294967292"/>
  <legacyDrawing r:id="rId8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67D71-9649-B44F-BCEE-EC1F3A877EAF}">
  <sheetPr codeName="Sheet23"/>
  <dimension ref="A1:BN128"/>
  <sheetViews>
    <sheetView zoomScaleNormal="100" zoomScalePageLayoutView="130" workbookViewId="0">
      <selection activeCell="A127" sqref="A127"/>
    </sheetView>
  </sheetViews>
  <sheetFormatPr baseColWidth="10" defaultColWidth="11.5" defaultRowHeight="13" x14ac:dyDescent="0.15"/>
  <cols>
    <col min="1" max="1" width="8.1640625" customWidth="1"/>
    <col min="3" max="3" width="6.33203125" customWidth="1"/>
    <col min="4" max="4" width="25.33203125" customWidth="1"/>
    <col min="6" max="6" width="16.1640625" customWidth="1"/>
    <col min="7" max="7" width="16.5" customWidth="1"/>
    <col min="59" max="59" width="50.6640625" customWidth="1"/>
    <col min="60" max="60" width="12.1640625" customWidth="1"/>
    <col min="61" max="61" width="10.83203125" customWidth="1"/>
    <col min="63" max="63" width="20.5" customWidth="1"/>
    <col min="64" max="64" width="88.1640625" customWidth="1"/>
  </cols>
  <sheetData>
    <row r="1" spans="1:65" ht="56" x14ac:dyDescent="0.15">
      <c r="A1" s="149" t="s">
        <v>443</v>
      </c>
      <c r="B1" s="149" t="s">
        <v>444</v>
      </c>
      <c r="C1" s="150" t="s">
        <v>445</v>
      </c>
      <c r="D1" s="151" t="s">
        <v>446</v>
      </c>
      <c r="E1" s="149" t="s">
        <v>447</v>
      </c>
      <c r="F1" s="150" t="s">
        <v>725</v>
      </c>
      <c r="G1" s="151" t="s">
        <v>448</v>
      </c>
      <c r="H1" s="152" t="s">
        <v>449</v>
      </c>
      <c r="I1" s="153" t="s">
        <v>450</v>
      </c>
      <c r="J1" s="153" t="s">
        <v>451</v>
      </c>
      <c r="K1" s="153" t="s">
        <v>452</v>
      </c>
      <c r="L1" s="153" t="s">
        <v>453</v>
      </c>
      <c r="M1" s="153" t="s">
        <v>454</v>
      </c>
      <c r="N1" s="154" t="s">
        <v>455</v>
      </c>
      <c r="O1" s="155" t="s">
        <v>456</v>
      </c>
      <c r="P1" s="155" t="s">
        <v>457</v>
      </c>
      <c r="Q1" s="155" t="s">
        <v>458</v>
      </c>
      <c r="R1" s="155" t="s">
        <v>459</v>
      </c>
      <c r="S1" s="155" t="s">
        <v>460</v>
      </c>
      <c r="T1" s="156" t="s">
        <v>461</v>
      </c>
      <c r="U1" s="157" t="s">
        <v>462</v>
      </c>
      <c r="V1" s="157" t="s">
        <v>463</v>
      </c>
      <c r="W1" s="157" t="s">
        <v>464</v>
      </c>
      <c r="X1" s="157" t="s">
        <v>465</v>
      </c>
      <c r="Y1" s="157" t="s">
        <v>466</v>
      </c>
      <c r="Z1" s="158" t="s">
        <v>467</v>
      </c>
      <c r="AA1" s="159" t="s">
        <v>468</v>
      </c>
      <c r="AB1" s="159" t="s">
        <v>469</v>
      </c>
      <c r="AC1" s="159" t="s">
        <v>470</v>
      </c>
      <c r="AD1" s="159" t="s">
        <v>471</v>
      </c>
      <c r="AE1" s="159" t="s">
        <v>472</v>
      </c>
      <c r="AF1" s="160" t="s">
        <v>473</v>
      </c>
      <c r="AG1" s="161" t="s">
        <v>474</v>
      </c>
      <c r="AH1" s="161" t="s">
        <v>475</v>
      </c>
      <c r="AI1" s="161" t="s">
        <v>476</v>
      </c>
      <c r="AJ1" s="162" t="s">
        <v>477</v>
      </c>
      <c r="AK1" s="161" t="s">
        <v>478</v>
      </c>
      <c r="AL1" s="161" t="s">
        <v>479</v>
      </c>
      <c r="AM1" s="373" t="s">
        <v>1099</v>
      </c>
      <c r="AN1" s="163" t="s">
        <v>480</v>
      </c>
      <c r="AO1" s="164" t="s">
        <v>481</v>
      </c>
      <c r="AP1" s="163" t="s">
        <v>482</v>
      </c>
      <c r="AQ1" s="155" t="s">
        <v>483</v>
      </c>
      <c r="AR1" s="165" t="s">
        <v>484</v>
      </c>
      <c r="AS1" s="155" t="s">
        <v>485</v>
      </c>
      <c r="AT1" s="165" t="s">
        <v>382</v>
      </c>
      <c r="AU1" s="156" t="s">
        <v>383</v>
      </c>
      <c r="AV1" s="364" t="s">
        <v>36</v>
      </c>
      <c r="AW1" s="365" t="s">
        <v>37</v>
      </c>
      <c r="AX1" s="165" t="s">
        <v>384</v>
      </c>
      <c r="AY1" s="156" t="s">
        <v>385</v>
      </c>
      <c r="AZ1" s="149" t="s">
        <v>386</v>
      </c>
      <c r="BA1" s="166" t="s">
        <v>387</v>
      </c>
      <c r="BB1" s="167" t="s">
        <v>388</v>
      </c>
      <c r="BC1" s="166" t="s">
        <v>389</v>
      </c>
      <c r="BD1" s="166" t="s">
        <v>390</v>
      </c>
      <c r="BE1" s="166" t="s">
        <v>1136</v>
      </c>
      <c r="BF1" s="166" t="s">
        <v>1137</v>
      </c>
      <c r="BG1" s="149" t="s">
        <v>391</v>
      </c>
      <c r="BH1" s="150" t="s">
        <v>392</v>
      </c>
      <c r="BI1" s="166" t="s">
        <v>393</v>
      </c>
      <c r="BJ1" s="166" t="s">
        <v>394</v>
      </c>
      <c r="BK1" s="150" t="s">
        <v>395</v>
      </c>
      <c r="BL1" s="166" t="s">
        <v>396</v>
      </c>
      <c r="BM1" s="149" t="s">
        <v>397</v>
      </c>
    </row>
    <row r="2" spans="1:65" x14ac:dyDescent="0.15">
      <c r="A2" s="148">
        <v>1372</v>
      </c>
      <c r="B2" s="328">
        <v>43692</v>
      </c>
      <c r="C2" s="296" t="s">
        <v>1138</v>
      </c>
      <c r="D2" s="379" t="s">
        <v>1100</v>
      </c>
      <c r="E2" s="295">
        <v>43647</v>
      </c>
      <c r="F2" s="298" t="s">
        <v>1139</v>
      </c>
      <c r="G2" s="297" t="s">
        <v>1140</v>
      </c>
      <c r="H2" s="406">
        <v>76.099999999999994</v>
      </c>
      <c r="I2" s="376" t="s">
        <v>1141</v>
      </c>
      <c r="J2" s="331">
        <v>3000</v>
      </c>
      <c r="K2" s="331">
        <v>6000</v>
      </c>
      <c r="L2" s="331">
        <v>9000</v>
      </c>
      <c r="M2" s="331">
        <v>15000</v>
      </c>
      <c r="N2" s="297"/>
      <c r="O2" s="406">
        <v>2.127272727272727</v>
      </c>
      <c r="P2" s="406">
        <v>1.8999999999999997</v>
      </c>
      <c r="Q2" s="406">
        <v>1.5090909090909088</v>
      </c>
      <c r="R2" s="406">
        <v>1.3090909090909089</v>
      </c>
      <c r="S2" s="406">
        <v>1.2181818181818183</v>
      </c>
      <c r="T2" s="406" t="s">
        <v>1142</v>
      </c>
      <c r="U2" s="406">
        <v>2.0090909090909088</v>
      </c>
      <c r="V2" s="406">
        <v>1.7909090909090908</v>
      </c>
      <c r="W2" s="406">
        <v>1.4727272727272727</v>
      </c>
      <c r="X2" s="406">
        <v>1.2909090909090908</v>
      </c>
      <c r="Y2" s="406">
        <v>1.1818181818181817</v>
      </c>
      <c r="Z2" s="406" t="s">
        <v>1142</v>
      </c>
      <c r="AA2" s="406" t="s">
        <v>1142</v>
      </c>
      <c r="AB2" s="406" t="s">
        <v>1142</v>
      </c>
      <c r="AC2" s="406" t="s">
        <v>1142</v>
      </c>
      <c r="AD2" s="406" t="s">
        <v>1142</v>
      </c>
      <c r="AE2" s="406" t="s">
        <v>1142</v>
      </c>
      <c r="AF2" s="406" t="s">
        <v>1142</v>
      </c>
      <c r="AG2" s="299" t="s">
        <v>1143</v>
      </c>
      <c r="AH2" s="299" t="s">
        <v>1144</v>
      </c>
      <c r="AI2" s="299">
        <v>3</v>
      </c>
      <c r="AJ2" s="299">
        <v>3</v>
      </c>
      <c r="AK2" s="377">
        <v>0.5</v>
      </c>
      <c r="AL2" s="377">
        <v>0.5</v>
      </c>
      <c r="AM2" s="379" t="s">
        <v>1118</v>
      </c>
      <c r="AN2" s="299">
        <v>0</v>
      </c>
      <c r="AO2" s="299">
        <v>0</v>
      </c>
      <c r="AP2" s="299">
        <v>0</v>
      </c>
      <c r="AQ2" s="299">
        <v>0</v>
      </c>
      <c r="AR2" s="299">
        <v>0</v>
      </c>
      <c r="AS2" s="299">
        <v>0</v>
      </c>
      <c r="AT2" s="299">
        <v>0</v>
      </c>
      <c r="AU2" s="299">
        <v>0</v>
      </c>
      <c r="AV2" s="299">
        <v>0</v>
      </c>
      <c r="AW2" s="299">
        <v>0</v>
      </c>
      <c r="AX2" s="299">
        <v>0</v>
      </c>
      <c r="AY2" s="299">
        <v>0</v>
      </c>
      <c r="AZ2" s="299"/>
      <c r="BA2" s="299" t="s">
        <v>1145</v>
      </c>
      <c r="BB2" s="299">
        <v>12</v>
      </c>
      <c r="BC2" s="299" t="s">
        <v>1145</v>
      </c>
      <c r="BD2" s="299"/>
      <c r="BE2" s="299">
        <v>12</v>
      </c>
      <c r="BF2" s="299"/>
      <c r="BG2" s="298"/>
      <c r="BH2" s="297"/>
      <c r="BI2" s="299"/>
      <c r="BJ2" s="299" t="s">
        <v>1146</v>
      </c>
      <c r="BK2" s="378"/>
      <c r="BL2" s="379" t="s">
        <v>1147</v>
      </c>
      <c r="BM2" s="379" t="s">
        <v>368</v>
      </c>
    </row>
    <row r="3" spans="1:65" x14ac:dyDescent="0.15">
      <c r="A3" s="148">
        <v>2182</v>
      </c>
      <c r="B3" s="328">
        <v>43692</v>
      </c>
      <c r="C3" s="296" t="s">
        <v>1138</v>
      </c>
      <c r="D3" s="379" t="s">
        <v>1100</v>
      </c>
      <c r="E3" s="328">
        <v>43647</v>
      </c>
      <c r="F3" s="298" t="s">
        <v>1148</v>
      </c>
      <c r="G3" s="379" t="s">
        <v>1149</v>
      </c>
      <c r="H3" s="406">
        <v>76</v>
      </c>
      <c r="I3" s="376" t="s">
        <v>1141</v>
      </c>
      <c r="J3" s="331">
        <v>3000</v>
      </c>
      <c r="K3" s="331">
        <v>6000</v>
      </c>
      <c r="L3" s="331">
        <v>6000</v>
      </c>
      <c r="M3" s="331">
        <v>6000</v>
      </c>
      <c r="N3" s="297"/>
      <c r="O3" s="406">
        <v>2.2727272727272725</v>
      </c>
      <c r="P3" s="406">
        <v>2</v>
      </c>
      <c r="Q3" s="416">
        <v>0</v>
      </c>
      <c r="R3" s="406">
        <v>0</v>
      </c>
      <c r="S3" s="406">
        <v>1.5454545454545452</v>
      </c>
      <c r="T3" s="406" t="s">
        <v>1142</v>
      </c>
      <c r="U3" s="406">
        <v>2.1818181818181817</v>
      </c>
      <c r="V3" s="406">
        <v>1.9090909090909089</v>
      </c>
      <c r="W3" s="406">
        <v>0</v>
      </c>
      <c r="X3" s="406">
        <v>0</v>
      </c>
      <c r="Y3" s="406">
        <v>2.4545454545454546</v>
      </c>
      <c r="Z3" s="406" t="s">
        <v>1142</v>
      </c>
      <c r="AA3" s="406" t="s">
        <v>1142</v>
      </c>
      <c r="AB3" s="406" t="s">
        <v>1142</v>
      </c>
      <c r="AC3" s="406" t="s">
        <v>1142</v>
      </c>
      <c r="AD3" s="406" t="s">
        <v>1142</v>
      </c>
      <c r="AE3" s="406" t="s">
        <v>1142</v>
      </c>
      <c r="AF3" s="406" t="s">
        <v>1142</v>
      </c>
      <c r="AG3" s="299" t="s">
        <v>1143</v>
      </c>
      <c r="AH3" s="299" t="s">
        <v>1144</v>
      </c>
      <c r="AI3" s="299">
        <v>3</v>
      </c>
      <c r="AJ3" s="299">
        <v>3</v>
      </c>
      <c r="AK3" s="377">
        <v>0.5</v>
      </c>
      <c r="AL3" s="377">
        <v>0.5</v>
      </c>
      <c r="AM3" s="379" t="s">
        <v>1118</v>
      </c>
      <c r="AN3" s="299">
        <v>0</v>
      </c>
      <c r="AO3" s="299">
        <v>0</v>
      </c>
      <c r="AP3" s="299">
        <v>0</v>
      </c>
      <c r="AQ3" s="299">
        <v>0</v>
      </c>
      <c r="AR3" s="299">
        <v>0</v>
      </c>
      <c r="AS3" s="299">
        <v>0</v>
      </c>
      <c r="AT3" s="299">
        <v>0</v>
      </c>
      <c r="AU3" s="299">
        <v>0</v>
      </c>
      <c r="AV3" s="299">
        <v>0</v>
      </c>
      <c r="AW3" s="299">
        <v>0</v>
      </c>
      <c r="AX3" s="299">
        <v>0</v>
      </c>
      <c r="AY3" s="299">
        <v>0</v>
      </c>
      <c r="AZ3" s="297"/>
      <c r="BA3" s="299" t="s">
        <v>1145</v>
      </c>
      <c r="BB3" s="299"/>
      <c r="BC3" s="299" t="s">
        <v>1145</v>
      </c>
      <c r="BD3" s="299"/>
      <c r="BE3" s="299"/>
      <c r="BF3" s="299"/>
      <c r="BG3" s="298" t="s">
        <v>1150</v>
      </c>
      <c r="BH3" s="297" t="s">
        <v>365</v>
      </c>
      <c r="BI3" s="407">
        <v>100</v>
      </c>
      <c r="BJ3" s="299" t="s">
        <v>411</v>
      </c>
      <c r="BK3" s="298"/>
      <c r="BL3" s="424" t="s">
        <v>1151</v>
      </c>
      <c r="BM3" s="379" t="s">
        <v>368</v>
      </c>
    </row>
    <row r="4" spans="1:65" x14ac:dyDescent="0.15">
      <c r="A4" s="148">
        <v>2206</v>
      </c>
      <c r="B4" s="328">
        <v>43692</v>
      </c>
      <c r="C4" s="296" t="s">
        <v>1138</v>
      </c>
      <c r="D4" s="379" t="s">
        <v>1100</v>
      </c>
      <c r="E4" s="295">
        <v>43647</v>
      </c>
      <c r="F4" s="298" t="s">
        <v>1152</v>
      </c>
      <c r="G4" s="379" t="s">
        <v>1153</v>
      </c>
      <c r="H4" s="406">
        <v>57.790909090909089</v>
      </c>
      <c r="I4" s="376" t="s">
        <v>1141</v>
      </c>
      <c r="J4" s="331">
        <v>3000</v>
      </c>
      <c r="K4" s="331">
        <v>6000</v>
      </c>
      <c r="L4" s="331">
        <v>9000</v>
      </c>
      <c r="M4" s="331">
        <v>15000</v>
      </c>
      <c r="N4" s="297"/>
      <c r="O4" s="406">
        <v>2.4818181818181815</v>
      </c>
      <c r="P4" s="406">
        <v>2.1818181818181817</v>
      </c>
      <c r="Q4" s="406">
        <v>1.8909090909090909</v>
      </c>
      <c r="R4" s="406">
        <v>1.7363636363636361</v>
      </c>
      <c r="S4" s="406">
        <v>1.6636363636363636</v>
      </c>
      <c r="T4" s="406" t="s">
        <v>1142</v>
      </c>
      <c r="U4" s="406">
        <v>2.4090909090909087</v>
      </c>
      <c r="V4" s="406">
        <v>2.1454545454545451</v>
      </c>
      <c r="W4" s="406">
        <v>1.8545454545454545</v>
      </c>
      <c r="X4" s="406">
        <v>1.7363636363636361</v>
      </c>
      <c r="Y4" s="406">
        <v>1.7</v>
      </c>
      <c r="Z4" s="406" t="s">
        <v>1142</v>
      </c>
      <c r="AA4" s="406" t="s">
        <v>1142</v>
      </c>
      <c r="AB4" s="406" t="s">
        <v>1142</v>
      </c>
      <c r="AC4" s="406" t="s">
        <v>1142</v>
      </c>
      <c r="AD4" s="406" t="s">
        <v>1142</v>
      </c>
      <c r="AE4" s="406" t="s">
        <v>1142</v>
      </c>
      <c r="AF4" s="406" t="s">
        <v>1142</v>
      </c>
      <c r="AG4" s="299" t="s">
        <v>1143</v>
      </c>
      <c r="AH4" s="299" t="s">
        <v>1144</v>
      </c>
      <c r="AI4" s="299">
        <v>3</v>
      </c>
      <c r="AJ4" s="299">
        <v>3</v>
      </c>
      <c r="AK4" s="377">
        <v>0.5</v>
      </c>
      <c r="AL4" s="377">
        <v>0.5</v>
      </c>
      <c r="AM4" s="379" t="s">
        <v>1118</v>
      </c>
      <c r="AN4" s="299">
        <v>0</v>
      </c>
      <c r="AO4" s="299">
        <v>0</v>
      </c>
      <c r="AP4" s="299">
        <v>0</v>
      </c>
      <c r="AQ4" s="299">
        <v>0</v>
      </c>
      <c r="AR4" s="299">
        <v>0</v>
      </c>
      <c r="AS4" s="299">
        <v>0</v>
      </c>
      <c r="AT4" s="299">
        <v>0</v>
      </c>
      <c r="AU4" s="299">
        <v>0</v>
      </c>
      <c r="AV4" s="299">
        <v>0</v>
      </c>
      <c r="AW4" s="299">
        <v>0</v>
      </c>
      <c r="AX4" s="299">
        <v>0</v>
      </c>
      <c r="AY4" s="299">
        <v>0</v>
      </c>
      <c r="AZ4" s="297"/>
      <c r="BA4" s="299" t="s">
        <v>1145</v>
      </c>
      <c r="BB4" s="299"/>
      <c r="BC4" s="299" t="s">
        <v>1145</v>
      </c>
      <c r="BD4" s="299"/>
      <c r="BE4" s="299"/>
      <c r="BF4" s="299"/>
      <c r="BG4" s="298"/>
      <c r="BH4" s="297"/>
      <c r="BI4" s="299"/>
      <c r="BJ4" s="299" t="s">
        <v>1146</v>
      </c>
      <c r="BK4" s="298" t="s">
        <v>370</v>
      </c>
      <c r="BL4" s="379" t="s">
        <v>1154</v>
      </c>
      <c r="BM4" s="379" t="s">
        <v>368</v>
      </c>
    </row>
    <row r="5" spans="1:65" x14ac:dyDescent="0.15">
      <c r="A5" s="148">
        <v>1135</v>
      </c>
      <c r="B5" s="328">
        <v>43481</v>
      </c>
      <c r="C5" s="296" t="s">
        <v>10</v>
      </c>
      <c r="D5" s="379" t="s">
        <v>1100</v>
      </c>
      <c r="E5" s="295">
        <v>43466</v>
      </c>
      <c r="F5" s="298" t="s">
        <v>18</v>
      </c>
      <c r="G5" s="297" t="s">
        <v>418</v>
      </c>
      <c r="H5" s="297">
        <v>78</v>
      </c>
      <c r="I5" s="376" t="s">
        <v>1101</v>
      </c>
      <c r="J5" s="297">
        <v>3000</v>
      </c>
      <c r="K5" s="297">
        <v>9000</v>
      </c>
      <c r="L5" s="297">
        <v>12000</v>
      </c>
      <c r="M5" s="297">
        <v>18000</v>
      </c>
      <c r="N5" s="297"/>
      <c r="O5" s="416">
        <v>2.9</v>
      </c>
      <c r="P5" s="416">
        <v>2.61</v>
      </c>
      <c r="Q5" s="416">
        <v>2.4</v>
      </c>
      <c r="R5" s="416">
        <v>2.2000000000000002</v>
      </c>
      <c r="S5" s="416">
        <v>2</v>
      </c>
      <c r="T5" s="416"/>
      <c r="U5" s="416">
        <v>2.7</v>
      </c>
      <c r="V5" s="416">
        <v>2.54</v>
      </c>
      <c r="W5" s="416">
        <v>2.1</v>
      </c>
      <c r="X5" s="416">
        <v>1.9</v>
      </c>
      <c r="Y5" s="416">
        <v>1.7</v>
      </c>
      <c r="Z5" s="297"/>
      <c r="AA5" s="297"/>
      <c r="AB5" s="297"/>
      <c r="AC5" s="297"/>
      <c r="AD5" s="297"/>
      <c r="AE5" s="297"/>
      <c r="AF5" s="297"/>
      <c r="AG5" s="299" t="s">
        <v>1116</v>
      </c>
      <c r="AH5" s="299" t="s">
        <v>1117</v>
      </c>
      <c r="AI5" s="299">
        <v>3</v>
      </c>
      <c r="AJ5" s="299">
        <v>3</v>
      </c>
      <c r="AK5" s="377">
        <v>0.5</v>
      </c>
      <c r="AL5" s="377">
        <v>0.5</v>
      </c>
      <c r="AM5" s="366" t="s">
        <v>1118</v>
      </c>
      <c r="AN5" s="299">
        <v>0</v>
      </c>
      <c r="AO5" s="299">
        <v>0</v>
      </c>
      <c r="AP5" s="299">
        <v>0</v>
      </c>
      <c r="AQ5" s="299">
        <v>16</v>
      </c>
      <c r="AR5" s="299">
        <v>0</v>
      </c>
      <c r="AS5" s="299">
        <v>0</v>
      </c>
      <c r="AT5" s="299">
        <v>0</v>
      </c>
      <c r="AU5" s="299">
        <v>0</v>
      </c>
      <c r="AV5" s="299">
        <v>0</v>
      </c>
      <c r="AW5" s="299">
        <v>0</v>
      </c>
      <c r="AX5" s="299">
        <v>0</v>
      </c>
      <c r="AY5" s="299">
        <v>0</v>
      </c>
      <c r="AZ5" s="299"/>
      <c r="BA5" s="299" t="s">
        <v>38</v>
      </c>
      <c r="BB5" s="299"/>
      <c r="BC5" s="299" t="s">
        <v>38</v>
      </c>
      <c r="BD5" s="299"/>
      <c r="BE5" s="298"/>
      <c r="BF5" s="297"/>
      <c r="BG5" s="299"/>
      <c r="BJ5" s="299" t="s">
        <v>41</v>
      </c>
      <c r="BK5" s="298" t="s">
        <v>370</v>
      </c>
      <c r="BL5" s="366" t="s">
        <v>430</v>
      </c>
      <c r="BM5" s="366" t="s">
        <v>408</v>
      </c>
    </row>
    <row r="6" spans="1:65" x14ac:dyDescent="0.15">
      <c r="A6" s="148"/>
      <c r="B6" s="405">
        <v>43706</v>
      </c>
      <c r="C6" s="296" t="s">
        <v>10</v>
      </c>
      <c r="D6" s="379" t="s">
        <v>1100</v>
      </c>
      <c r="E6" s="414">
        <v>43647</v>
      </c>
      <c r="F6" s="298" t="s">
        <v>19</v>
      </c>
      <c r="G6" s="297" t="s">
        <v>20</v>
      </c>
      <c r="H6" s="297">
        <v>60.35</v>
      </c>
      <c r="I6" s="376" t="s">
        <v>1101</v>
      </c>
      <c r="J6" s="331">
        <v>3000</v>
      </c>
      <c r="K6" s="331">
        <v>6000</v>
      </c>
      <c r="L6" s="331">
        <v>9000</v>
      </c>
      <c r="M6" s="331">
        <v>15000</v>
      </c>
      <c r="N6" s="297"/>
      <c r="O6" s="416">
        <v>2.5</v>
      </c>
      <c r="P6" s="416">
        <v>2.1999999999999997</v>
      </c>
      <c r="Q6" s="416">
        <v>1.8545454545454545</v>
      </c>
      <c r="R6" s="416">
        <v>1.7999999999999998</v>
      </c>
      <c r="S6" s="416">
        <v>1.7</v>
      </c>
      <c r="T6" s="416"/>
      <c r="U6" s="416">
        <v>2.35</v>
      </c>
      <c r="V6" s="416">
        <v>2.1</v>
      </c>
      <c r="W6" s="416">
        <v>1.7999999999999998</v>
      </c>
      <c r="X6" s="416">
        <v>1.7545454545454544</v>
      </c>
      <c r="Y6" s="416">
        <v>1.7</v>
      </c>
      <c r="Z6" s="297"/>
      <c r="AA6" s="297"/>
      <c r="AB6" s="297"/>
      <c r="AC6" s="297"/>
      <c r="AD6" s="297"/>
      <c r="AE6" s="297"/>
      <c r="AF6" s="297"/>
      <c r="AG6" s="299" t="s">
        <v>1116</v>
      </c>
      <c r="AH6" s="299" t="s">
        <v>1117</v>
      </c>
      <c r="AI6" s="299">
        <v>3</v>
      </c>
      <c r="AJ6" s="299">
        <v>3</v>
      </c>
      <c r="AK6" s="377">
        <v>0.5</v>
      </c>
      <c r="AL6" s="377">
        <v>0.5</v>
      </c>
      <c r="AM6" s="366" t="s">
        <v>1118</v>
      </c>
      <c r="AN6" s="299">
        <v>0</v>
      </c>
      <c r="AO6" s="299">
        <v>0</v>
      </c>
      <c r="AP6" s="299">
        <v>0</v>
      </c>
      <c r="AQ6" s="299">
        <v>20</v>
      </c>
      <c r="AR6" s="299">
        <v>0</v>
      </c>
      <c r="AS6" s="299">
        <v>0</v>
      </c>
      <c r="AT6" s="299">
        <v>0</v>
      </c>
      <c r="AU6" s="299">
        <v>0</v>
      </c>
      <c r="AV6" s="299">
        <v>0</v>
      </c>
      <c r="AW6" s="299">
        <v>0</v>
      </c>
      <c r="AX6" s="299">
        <v>0</v>
      </c>
      <c r="AY6" s="299">
        <v>0</v>
      </c>
      <c r="AZ6" s="297"/>
      <c r="BA6" s="299" t="s">
        <v>38</v>
      </c>
      <c r="BB6" s="299"/>
      <c r="BC6" s="299" t="s">
        <v>38</v>
      </c>
      <c r="BD6" s="299"/>
      <c r="BE6" s="298"/>
      <c r="BF6" s="297"/>
      <c r="BG6" s="299"/>
      <c r="BJ6" s="299" t="s">
        <v>43</v>
      </c>
      <c r="BK6" s="298"/>
      <c r="BL6" s="366" t="s">
        <v>1155</v>
      </c>
      <c r="BM6" s="366" t="s">
        <v>1121</v>
      </c>
    </row>
    <row r="7" spans="1:65" x14ac:dyDescent="0.15">
      <c r="A7" s="148">
        <v>2113</v>
      </c>
      <c r="B7" s="328">
        <v>43692</v>
      </c>
      <c r="C7" s="296" t="s">
        <v>1138</v>
      </c>
      <c r="D7" s="379" t="s">
        <v>1100</v>
      </c>
      <c r="E7" s="295">
        <v>43647</v>
      </c>
      <c r="F7" s="298" t="s">
        <v>1156</v>
      </c>
      <c r="G7" s="379" t="s">
        <v>1157</v>
      </c>
      <c r="H7" s="406">
        <v>78.5</v>
      </c>
      <c r="I7" s="376" t="s">
        <v>1141</v>
      </c>
      <c r="J7" s="331">
        <v>6000</v>
      </c>
      <c r="K7" s="331">
        <v>6000</v>
      </c>
      <c r="L7" s="331">
        <v>6000</v>
      </c>
      <c r="M7" s="331">
        <v>6000</v>
      </c>
      <c r="N7" s="297"/>
      <c r="O7" s="406">
        <v>2.56</v>
      </c>
      <c r="P7" s="416">
        <v>0</v>
      </c>
      <c r="Q7" s="416">
        <v>0</v>
      </c>
      <c r="R7" s="406">
        <v>0</v>
      </c>
      <c r="S7" s="406">
        <v>1.86</v>
      </c>
      <c r="T7" s="406" t="s">
        <v>1142</v>
      </c>
      <c r="U7" s="406">
        <v>2.56</v>
      </c>
      <c r="V7" s="406">
        <v>0</v>
      </c>
      <c r="W7" s="406">
        <v>0</v>
      </c>
      <c r="X7" s="406">
        <v>0</v>
      </c>
      <c r="Y7" s="406">
        <v>1.86</v>
      </c>
      <c r="Z7" s="406" t="s">
        <v>1142</v>
      </c>
      <c r="AA7" s="406" t="s">
        <v>1142</v>
      </c>
      <c r="AB7" s="406" t="s">
        <v>1142</v>
      </c>
      <c r="AC7" s="406" t="s">
        <v>1142</v>
      </c>
      <c r="AD7" s="406" t="s">
        <v>1142</v>
      </c>
      <c r="AE7" s="406" t="s">
        <v>1142</v>
      </c>
      <c r="AF7" s="406" t="s">
        <v>1142</v>
      </c>
      <c r="AG7" s="299" t="s">
        <v>1145</v>
      </c>
      <c r="AH7" s="297"/>
      <c r="AI7" s="299">
        <v>3</v>
      </c>
      <c r="AJ7" s="299">
        <v>3</v>
      </c>
      <c r="AK7" s="377">
        <v>0.5</v>
      </c>
      <c r="AL7" s="377">
        <v>0.5</v>
      </c>
      <c r="AM7" s="379"/>
      <c r="AN7" s="299">
        <v>24</v>
      </c>
      <c r="AO7" s="299">
        <v>0</v>
      </c>
      <c r="AP7" s="299">
        <v>0</v>
      </c>
      <c r="AQ7" s="299">
        <v>0</v>
      </c>
      <c r="AR7" s="299">
        <v>0</v>
      </c>
      <c r="AS7" s="299">
        <v>0</v>
      </c>
      <c r="AT7" s="299">
        <v>0</v>
      </c>
      <c r="AU7" s="299">
        <v>0</v>
      </c>
      <c r="AV7" s="299">
        <v>0</v>
      </c>
      <c r="AW7" s="299">
        <v>0</v>
      </c>
      <c r="AX7" s="299">
        <v>0</v>
      </c>
      <c r="AY7" s="299">
        <v>0</v>
      </c>
      <c r="AZ7" s="297"/>
      <c r="BA7" s="299" t="s">
        <v>1145</v>
      </c>
      <c r="BB7" s="299">
        <v>12</v>
      </c>
      <c r="BC7" s="299" t="s">
        <v>1145</v>
      </c>
      <c r="BD7" s="299"/>
      <c r="BE7" s="299"/>
      <c r="BF7" s="299"/>
      <c r="BG7" s="298"/>
      <c r="BH7" s="297"/>
      <c r="BI7" s="299"/>
      <c r="BJ7" s="299" t="s">
        <v>1146</v>
      </c>
      <c r="BK7" s="298"/>
      <c r="BL7" s="408" t="s">
        <v>1158</v>
      </c>
      <c r="BM7" s="379" t="s">
        <v>368</v>
      </c>
    </row>
    <row r="8" spans="1:65" x14ac:dyDescent="0.15">
      <c r="A8" s="148">
        <v>1942</v>
      </c>
      <c r="B8" s="328">
        <v>43692</v>
      </c>
      <c r="C8" s="296" t="s">
        <v>1138</v>
      </c>
      <c r="D8" s="379" t="s">
        <v>1100</v>
      </c>
      <c r="E8" s="295">
        <v>43497</v>
      </c>
      <c r="F8" s="298" t="s">
        <v>1159</v>
      </c>
      <c r="G8" s="297" t="s">
        <v>1105</v>
      </c>
      <c r="H8" s="406">
        <v>65</v>
      </c>
      <c r="I8" s="376" t="s">
        <v>1141</v>
      </c>
      <c r="J8" s="331">
        <v>3000</v>
      </c>
      <c r="K8" s="331">
        <v>6000</v>
      </c>
      <c r="L8" s="331">
        <v>9000</v>
      </c>
      <c r="M8" s="331">
        <v>15000</v>
      </c>
      <c r="N8" s="297"/>
      <c r="O8" s="406">
        <v>2.1</v>
      </c>
      <c r="P8" s="406">
        <v>1.95</v>
      </c>
      <c r="Q8" s="406">
        <v>1.69</v>
      </c>
      <c r="R8" s="406">
        <v>1.55</v>
      </c>
      <c r="S8" s="406">
        <v>1.53</v>
      </c>
      <c r="T8" s="406" t="s">
        <v>1142</v>
      </c>
      <c r="U8" s="406">
        <v>2</v>
      </c>
      <c r="V8" s="406">
        <v>1.8400000000000003</v>
      </c>
      <c r="W8" s="406">
        <v>1.62</v>
      </c>
      <c r="X8" s="406">
        <v>1.54</v>
      </c>
      <c r="Y8" s="406">
        <v>1.45</v>
      </c>
      <c r="Z8" s="406" t="s">
        <v>1142</v>
      </c>
      <c r="AA8" s="406" t="s">
        <v>1142</v>
      </c>
      <c r="AB8" s="406" t="s">
        <v>1142</v>
      </c>
      <c r="AC8" s="406" t="s">
        <v>1142</v>
      </c>
      <c r="AD8" s="406" t="s">
        <v>1142</v>
      </c>
      <c r="AE8" s="406" t="s">
        <v>1142</v>
      </c>
      <c r="AF8" s="406" t="s">
        <v>1142</v>
      </c>
      <c r="AG8" s="299" t="s">
        <v>1143</v>
      </c>
      <c r="AH8" s="299" t="s">
        <v>1144</v>
      </c>
      <c r="AI8" s="299">
        <v>3</v>
      </c>
      <c r="AJ8" s="299">
        <v>3</v>
      </c>
      <c r="AK8" s="377">
        <v>0.5</v>
      </c>
      <c r="AL8" s="377">
        <v>0.5</v>
      </c>
      <c r="AM8" s="379" t="s">
        <v>1118</v>
      </c>
      <c r="AN8" s="299">
        <v>0</v>
      </c>
      <c r="AO8" s="299">
        <v>0</v>
      </c>
      <c r="AP8" s="299">
        <v>3</v>
      </c>
      <c r="AQ8" s="299">
        <v>0</v>
      </c>
      <c r="AR8" s="299">
        <v>0</v>
      </c>
      <c r="AS8" s="299">
        <v>0</v>
      </c>
      <c r="AT8" s="299">
        <v>0</v>
      </c>
      <c r="AU8" s="299">
        <v>0</v>
      </c>
      <c r="AV8" s="299">
        <v>0</v>
      </c>
      <c r="AW8" s="299">
        <v>0</v>
      </c>
      <c r="AX8" s="299">
        <v>0</v>
      </c>
      <c r="AY8" s="299">
        <v>0</v>
      </c>
      <c r="AZ8" s="297"/>
      <c r="BA8" s="299" t="s">
        <v>1145</v>
      </c>
      <c r="BB8" s="299"/>
      <c r="BC8" s="299" t="s">
        <v>1145</v>
      </c>
      <c r="BD8" s="299"/>
      <c r="BE8" s="299"/>
      <c r="BF8" s="299"/>
      <c r="BG8" s="299"/>
      <c r="BH8" s="299"/>
      <c r="BI8" s="299"/>
      <c r="BJ8" s="299" t="s">
        <v>1146</v>
      </c>
      <c r="BK8" s="298"/>
      <c r="BL8" s="297" t="s">
        <v>430</v>
      </c>
      <c r="BM8" s="379" t="s">
        <v>368</v>
      </c>
    </row>
    <row r="9" spans="1:65" x14ac:dyDescent="0.15">
      <c r="A9" s="148">
        <v>312</v>
      </c>
      <c r="B9" s="328">
        <v>43692</v>
      </c>
      <c r="C9" s="296" t="s">
        <v>1138</v>
      </c>
      <c r="D9" s="379" t="s">
        <v>1100</v>
      </c>
      <c r="E9" s="295">
        <v>43647</v>
      </c>
      <c r="F9" s="297" t="s">
        <v>1160</v>
      </c>
      <c r="G9" s="297" t="s">
        <v>1161</v>
      </c>
      <c r="H9" s="406">
        <v>81.44</v>
      </c>
      <c r="I9" s="376" t="s">
        <v>1141</v>
      </c>
      <c r="J9" s="331">
        <v>3000</v>
      </c>
      <c r="K9" s="331">
        <v>6000</v>
      </c>
      <c r="L9" s="331">
        <v>9000</v>
      </c>
      <c r="M9" s="331">
        <v>15000</v>
      </c>
      <c r="N9" s="297"/>
      <c r="O9" s="406">
        <v>1.8579999999999999</v>
      </c>
      <c r="P9" s="406">
        <v>1.6970000000000001</v>
      </c>
      <c r="Q9" s="406">
        <v>1.502</v>
      </c>
      <c r="R9" s="406">
        <v>1.3979999999999999</v>
      </c>
      <c r="S9" s="406">
        <v>1.3720000000000001</v>
      </c>
      <c r="T9" s="406" t="s">
        <v>1142</v>
      </c>
      <c r="U9" s="406">
        <v>1.7150000000000001</v>
      </c>
      <c r="V9" s="406">
        <v>1.58</v>
      </c>
      <c r="W9" s="406">
        <v>1.4139999999999999</v>
      </c>
      <c r="X9" s="406">
        <v>1.3260000000000001</v>
      </c>
      <c r="Y9" s="406">
        <v>1.3049999999999999</v>
      </c>
      <c r="Z9" s="406" t="s">
        <v>1142</v>
      </c>
      <c r="AA9" s="406" t="s">
        <v>1142</v>
      </c>
      <c r="AB9" s="406" t="s">
        <v>1142</v>
      </c>
      <c r="AC9" s="406" t="s">
        <v>1142</v>
      </c>
      <c r="AD9" s="406" t="s">
        <v>1142</v>
      </c>
      <c r="AE9" s="406" t="s">
        <v>1142</v>
      </c>
      <c r="AF9" s="406" t="s">
        <v>1142</v>
      </c>
      <c r="AG9" s="299" t="s">
        <v>1143</v>
      </c>
      <c r="AH9" s="299" t="s">
        <v>1144</v>
      </c>
      <c r="AI9" s="299">
        <v>3</v>
      </c>
      <c r="AJ9" s="299">
        <v>3</v>
      </c>
      <c r="AK9" s="377">
        <v>0.5</v>
      </c>
      <c r="AL9" s="377">
        <v>0.5</v>
      </c>
      <c r="AM9" s="379" t="s">
        <v>1118</v>
      </c>
      <c r="AN9" s="299">
        <v>0</v>
      </c>
      <c r="AO9" s="299">
        <v>0</v>
      </c>
      <c r="AP9" s="299">
        <v>0</v>
      </c>
      <c r="AQ9" s="299">
        <v>0</v>
      </c>
      <c r="AR9" s="299">
        <v>0</v>
      </c>
      <c r="AS9" s="299">
        <v>0</v>
      </c>
      <c r="AT9" s="299">
        <v>0</v>
      </c>
      <c r="AU9" s="299">
        <v>0</v>
      </c>
      <c r="AV9" s="299">
        <v>0</v>
      </c>
      <c r="AW9" s="299">
        <v>0</v>
      </c>
      <c r="AX9" s="299">
        <v>0</v>
      </c>
      <c r="AY9" s="299">
        <v>0</v>
      </c>
      <c r="AZ9" s="297"/>
      <c r="BA9" s="299" t="s">
        <v>1145</v>
      </c>
      <c r="BB9" s="299"/>
      <c r="BC9" s="299" t="s">
        <v>1145</v>
      </c>
      <c r="BD9" s="299"/>
      <c r="BE9" s="299"/>
      <c r="BF9" s="299"/>
      <c r="BG9" s="378" t="s">
        <v>1162</v>
      </c>
      <c r="BH9" s="297" t="s">
        <v>1163</v>
      </c>
      <c r="BI9" s="299">
        <v>50</v>
      </c>
      <c r="BJ9" s="299" t="s">
        <v>1164</v>
      </c>
      <c r="BK9" s="298"/>
      <c r="BL9" s="297" t="s">
        <v>1165</v>
      </c>
      <c r="BM9" s="379" t="s">
        <v>368</v>
      </c>
    </row>
    <row r="10" spans="1:65" x14ac:dyDescent="0.15">
      <c r="A10" s="148">
        <v>2257</v>
      </c>
      <c r="B10" s="328">
        <v>43692</v>
      </c>
      <c r="C10" s="296" t="s">
        <v>1138</v>
      </c>
      <c r="D10" s="379" t="s">
        <v>1100</v>
      </c>
      <c r="E10" s="295">
        <v>43647</v>
      </c>
      <c r="F10" s="298" t="s">
        <v>1166</v>
      </c>
      <c r="G10" s="297" t="s">
        <v>1167</v>
      </c>
      <c r="H10" s="406">
        <v>70</v>
      </c>
      <c r="I10" s="376" t="s">
        <v>1141</v>
      </c>
      <c r="J10" s="331">
        <v>6000</v>
      </c>
      <c r="K10" s="331">
        <v>9000</v>
      </c>
      <c r="L10" s="331">
        <v>9000</v>
      </c>
      <c r="M10" s="331">
        <v>9000</v>
      </c>
      <c r="N10" s="331"/>
      <c r="O10" s="406">
        <v>2.4</v>
      </c>
      <c r="P10" s="406">
        <v>1.95</v>
      </c>
      <c r="Q10" s="416">
        <v>0</v>
      </c>
      <c r="R10" s="406">
        <v>0</v>
      </c>
      <c r="S10" s="406">
        <v>1.45</v>
      </c>
      <c r="T10" s="406" t="s">
        <v>1142</v>
      </c>
      <c r="U10" s="406">
        <v>2.2000000000000002</v>
      </c>
      <c r="V10" s="406">
        <v>1.75</v>
      </c>
      <c r="W10" s="406">
        <v>0</v>
      </c>
      <c r="X10" s="406">
        <v>0</v>
      </c>
      <c r="Y10" s="406">
        <v>1.35</v>
      </c>
      <c r="Z10" s="406" t="s">
        <v>1142</v>
      </c>
      <c r="AA10" s="406" t="s">
        <v>1142</v>
      </c>
      <c r="AB10" s="406" t="s">
        <v>1142</v>
      </c>
      <c r="AC10" s="406" t="s">
        <v>1142</v>
      </c>
      <c r="AD10" s="406" t="s">
        <v>1142</v>
      </c>
      <c r="AE10" s="406" t="s">
        <v>1142</v>
      </c>
      <c r="AF10" s="406" t="s">
        <v>1142</v>
      </c>
      <c r="AG10" s="299" t="s">
        <v>1143</v>
      </c>
      <c r="AH10" s="299" t="s">
        <v>1144</v>
      </c>
      <c r="AI10" s="299">
        <v>3</v>
      </c>
      <c r="AJ10" s="299">
        <v>3</v>
      </c>
      <c r="AK10" s="377">
        <v>0.5</v>
      </c>
      <c r="AL10" s="377">
        <v>0.5</v>
      </c>
      <c r="AM10" s="379" t="s">
        <v>1118</v>
      </c>
      <c r="AN10" s="299">
        <v>10</v>
      </c>
      <c r="AO10" s="299">
        <v>0</v>
      </c>
      <c r="AP10" s="299">
        <v>0</v>
      </c>
      <c r="AQ10" s="299">
        <v>0</v>
      </c>
      <c r="AR10" s="299">
        <v>0</v>
      </c>
      <c r="AS10" s="299">
        <v>0</v>
      </c>
      <c r="AT10" s="299">
        <v>0</v>
      </c>
      <c r="AU10" s="299">
        <v>0</v>
      </c>
      <c r="AV10" s="299">
        <v>0</v>
      </c>
      <c r="AW10" s="299">
        <v>0</v>
      </c>
      <c r="AX10" s="299">
        <v>0</v>
      </c>
      <c r="AY10" s="299">
        <v>0</v>
      </c>
      <c r="AZ10" s="297"/>
      <c r="BA10" s="299" t="s">
        <v>1145</v>
      </c>
      <c r="BB10" s="299">
        <v>12</v>
      </c>
      <c r="BC10" s="299" t="s">
        <v>1145</v>
      </c>
      <c r="BD10" s="299"/>
      <c r="BE10" s="299"/>
      <c r="BF10" s="299"/>
      <c r="BG10" s="298"/>
      <c r="BH10" s="297"/>
      <c r="BI10" s="299"/>
      <c r="BJ10" s="299" t="s">
        <v>1146</v>
      </c>
      <c r="BK10" s="298"/>
      <c r="BL10" s="379" t="s">
        <v>430</v>
      </c>
      <c r="BM10" s="379" t="s">
        <v>368</v>
      </c>
    </row>
    <row r="11" spans="1:65" x14ac:dyDescent="0.15">
      <c r="A11" s="148">
        <v>1425</v>
      </c>
      <c r="B11" s="328">
        <v>43692</v>
      </c>
      <c r="C11" s="296" t="s">
        <v>1138</v>
      </c>
      <c r="D11" s="379" t="s">
        <v>1100</v>
      </c>
      <c r="E11" s="309">
        <v>43530</v>
      </c>
      <c r="F11" s="298" t="s">
        <v>1168</v>
      </c>
      <c r="G11" s="379" t="s">
        <v>28</v>
      </c>
      <c r="H11" s="406">
        <v>70.400000000000006</v>
      </c>
      <c r="I11" s="376" t="s">
        <v>1141</v>
      </c>
      <c r="J11" s="331">
        <v>6000</v>
      </c>
      <c r="K11" s="331">
        <v>9000</v>
      </c>
      <c r="L11" s="331">
        <v>9000</v>
      </c>
      <c r="M11" s="331">
        <v>9000</v>
      </c>
      <c r="N11" s="297"/>
      <c r="O11" s="406">
        <v>2.2000000000000002</v>
      </c>
      <c r="P11" s="406">
        <v>1.85</v>
      </c>
      <c r="Q11" s="416">
        <v>0</v>
      </c>
      <c r="R11" s="406">
        <v>0</v>
      </c>
      <c r="S11" s="406">
        <v>1.62</v>
      </c>
      <c r="T11" s="406" t="s">
        <v>1142</v>
      </c>
      <c r="U11" s="406">
        <v>2.1</v>
      </c>
      <c r="V11" s="406">
        <v>1.68</v>
      </c>
      <c r="W11" s="406">
        <v>0</v>
      </c>
      <c r="X11" s="406">
        <v>0</v>
      </c>
      <c r="Y11" s="406">
        <v>1.51</v>
      </c>
      <c r="Z11" s="406" t="s">
        <v>1142</v>
      </c>
      <c r="AA11" s="406" t="s">
        <v>1142</v>
      </c>
      <c r="AB11" s="406" t="s">
        <v>1142</v>
      </c>
      <c r="AC11" s="406" t="s">
        <v>1142</v>
      </c>
      <c r="AD11" s="406" t="s">
        <v>1142</v>
      </c>
      <c r="AE11" s="406" t="s">
        <v>1142</v>
      </c>
      <c r="AF11" s="406" t="s">
        <v>1142</v>
      </c>
      <c r="AG11" s="299" t="s">
        <v>1143</v>
      </c>
      <c r="AH11" s="299" t="s">
        <v>1144</v>
      </c>
      <c r="AI11" s="299">
        <v>3</v>
      </c>
      <c r="AJ11" s="299">
        <v>3</v>
      </c>
      <c r="AK11" s="377">
        <v>0.5</v>
      </c>
      <c r="AL11" s="377">
        <v>0.5</v>
      </c>
      <c r="AM11" s="379" t="s">
        <v>1118</v>
      </c>
      <c r="AN11" s="299">
        <v>0</v>
      </c>
      <c r="AO11" s="299">
        <v>0</v>
      </c>
      <c r="AP11" s="299">
        <v>10</v>
      </c>
      <c r="AQ11" s="299">
        <v>0</v>
      </c>
      <c r="AR11" s="299">
        <v>0</v>
      </c>
      <c r="AS11" s="299">
        <v>0</v>
      </c>
      <c r="AT11" s="299">
        <v>0</v>
      </c>
      <c r="AU11" s="299">
        <v>0</v>
      </c>
      <c r="AV11" s="299">
        <v>0</v>
      </c>
      <c r="AW11" s="299">
        <v>0</v>
      </c>
      <c r="AX11" s="299">
        <v>0</v>
      </c>
      <c r="AY11" s="299">
        <v>0</v>
      </c>
      <c r="AZ11" s="299"/>
      <c r="BA11" s="299" t="s">
        <v>1145</v>
      </c>
      <c r="BB11" s="299"/>
      <c r="BC11" s="299" t="s">
        <v>1145</v>
      </c>
      <c r="BD11" s="299"/>
      <c r="BE11" s="299"/>
      <c r="BF11" s="299"/>
      <c r="BG11" s="298"/>
      <c r="BH11" s="297"/>
      <c r="BI11" s="299"/>
      <c r="BJ11" s="299" t="s">
        <v>1146</v>
      </c>
      <c r="BK11" s="298"/>
      <c r="BL11" s="379" t="s">
        <v>430</v>
      </c>
      <c r="BM11" s="379" t="s">
        <v>368</v>
      </c>
    </row>
    <row r="12" spans="1:65" x14ac:dyDescent="0.15">
      <c r="A12" s="148">
        <v>778</v>
      </c>
      <c r="B12" s="328">
        <v>43692</v>
      </c>
      <c r="C12" s="296" t="s">
        <v>1138</v>
      </c>
      <c r="D12" s="379" t="s">
        <v>1100</v>
      </c>
      <c r="E12" s="309">
        <v>43647</v>
      </c>
      <c r="F12" s="298" t="s">
        <v>1169</v>
      </c>
      <c r="G12" s="297" t="s">
        <v>1170</v>
      </c>
      <c r="H12" s="406">
        <v>77.75454545454545</v>
      </c>
      <c r="I12" s="376" t="s">
        <v>1141</v>
      </c>
      <c r="J12" s="331">
        <v>3000</v>
      </c>
      <c r="K12" s="331">
        <v>6000</v>
      </c>
      <c r="L12" s="331">
        <v>9000</v>
      </c>
      <c r="M12" s="331">
        <v>15000</v>
      </c>
      <c r="N12" s="297"/>
      <c r="O12" s="406">
        <v>2.2393939393939393</v>
      </c>
      <c r="P12" s="406">
        <v>1.9515151515151514</v>
      </c>
      <c r="Q12" s="406">
        <v>1.6454545454545455</v>
      </c>
      <c r="R12" s="406">
        <v>1.4787878787878785</v>
      </c>
      <c r="S12" s="406">
        <v>1.4333333333333333</v>
      </c>
      <c r="T12" s="406" t="s">
        <v>1142</v>
      </c>
      <c r="U12" s="406">
        <v>2.1181818181818182</v>
      </c>
      <c r="V12" s="406">
        <v>1.8636363636363633</v>
      </c>
      <c r="W12" s="406">
        <v>1.5999999999999999</v>
      </c>
      <c r="X12" s="406">
        <v>1.4545454545454546</v>
      </c>
      <c r="Y12" s="406">
        <v>1.4181818181818182</v>
      </c>
      <c r="Z12" s="406" t="s">
        <v>1142</v>
      </c>
      <c r="AA12" s="406" t="s">
        <v>1142</v>
      </c>
      <c r="AB12" s="406" t="s">
        <v>1142</v>
      </c>
      <c r="AC12" s="406" t="s">
        <v>1142</v>
      </c>
      <c r="AD12" s="406" t="s">
        <v>1142</v>
      </c>
      <c r="AE12" s="406" t="s">
        <v>1142</v>
      </c>
      <c r="AF12" s="406" t="s">
        <v>1142</v>
      </c>
      <c r="AG12" s="299" t="s">
        <v>1143</v>
      </c>
      <c r="AH12" s="299" t="s">
        <v>1144</v>
      </c>
      <c r="AI12" s="299">
        <v>3</v>
      </c>
      <c r="AJ12" s="299">
        <v>3</v>
      </c>
      <c r="AK12" s="377">
        <v>0.5</v>
      </c>
      <c r="AL12" s="377">
        <v>0.5</v>
      </c>
      <c r="AM12" s="379" t="s">
        <v>1123</v>
      </c>
      <c r="AN12" s="299">
        <v>0</v>
      </c>
      <c r="AO12" s="299">
        <v>0</v>
      </c>
      <c r="AP12" s="299">
        <v>0</v>
      </c>
      <c r="AQ12" s="299">
        <v>0</v>
      </c>
      <c r="AR12" s="299">
        <v>0</v>
      </c>
      <c r="AS12" s="299">
        <v>0</v>
      </c>
      <c r="AT12" s="299">
        <v>0</v>
      </c>
      <c r="AU12" s="299">
        <v>0</v>
      </c>
      <c r="AV12" s="299">
        <v>0</v>
      </c>
      <c r="AW12" s="299">
        <v>0</v>
      </c>
      <c r="AX12" s="299">
        <v>0</v>
      </c>
      <c r="AY12" s="299">
        <v>0</v>
      </c>
      <c r="AZ12" s="297"/>
      <c r="BA12" s="299" t="s">
        <v>1145</v>
      </c>
      <c r="BB12" s="299"/>
      <c r="BC12" s="299" t="s">
        <v>1145</v>
      </c>
      <c r="BD12" s="299"/>
      <c r="BE12" s="299"/>
      <c r="BF12" s="299"/>
      <c r="BG12" s="378" t="s">
        <v>1171</v>
      </c>
      <c r="BH12" s="297" t="s">
        <v>365</v>
      </c>
      <c r="BI12" s="299">
        <v>50</v>
      </c>
      <c r="BJ12" s="299" t="s">
        <v>1164</v>
      </c>
      <c r="BK12" s="298"/>
      <c r="BL12" s="297" t="s">
        <v>1172</v>
      </c>
      <c r="BM12" s="379" t="s">
        <v>368</v>
      </c>
    </row>
    <row r="13" spans="1:65" x14ac:dyDescent="0.15">
      <c r="A13" s="148">
        <v>2223</v>
      </c>
      <c r="B13" s="328">
        <v>43692</v>
      </c>
      <c r="C13" s="296" t="s">
        <v>1138</v>
      </c>
      <c r="D13" s="379" t="s">
        <v>1100</v>
      </c>
      <c r="E13" s="418">
        <v>43647</v>
      </c>
      <c r="F13" s="297" t="s">
        <v>1173</v>
      </c>
      <c r="G13" s="379" t="s">
        <v>1174</v>
      </c>
      <c r="H13" s="406">
        <v>75</v>
      </c>
      <c r="I13" s="376" t="s">
        <v>1141</v>
      </c>
      <c r="J13" s="331">
        <v>3000</v>
      </c>
      <c r="K13" s="331">
        <v>6000</v>
      </c>
      <c r="L13" s="331">
        <v>9000</v>
      </c>
      <c r="M13" s="331">
        <v>15000</v>
      </c>
      <c r="N13" s="332"/>
      <c r="O13" s="406">
        <v>2.2818181818181813</v>
      </c>
      <c r="P13" s="406">
        <v>1.9727272727272724</v>
      </c>
      <c r="Q13" s="406">
        <v>1.6181818181818182</v>
      </c>
      <c r="R13" s="406">
        <v>1.4090909090909089</v>
      </c>
      <c r="S13" s="406">
        <v>1.3090909090909089</v>
      </c>
      <c r="T13" s="406" t="s">
        <v>1142</v>
      </c>
      <c r="U13" s="419">
        <v>2.02</v>
      </c>
      <c r="V13" s="406">
        <v>1.7727272727272725</v>
      </c>
      <c r="W13" s="406">
        <v>1.4090909090909089</v>
      </c>
      <c r="X13" s="406">
        <v>1.2999999999999998</v>
      </c>
      <c r="Y13" s="406">
        <v>1.209090909090909</v>
      </c>
      <c r="Z13" s="406" t="s">
        <v>1142</v>
      </c>
      <c r="AA13" s="406" t="s">
        <v>1142</v>
      </c>
      <c r="AB13" s="406" t="s">
        <v>1142</v>
      </c>
      <c r="AC13" s="406" t="s">
        <v>1142</v>
      </c>
      <c r="AD13" s="406" t="s">
        <v>1142</v>
      </c>
      <c r="AE13" s="406" t="s">
        <v>1142</v>
      </c>
      <c r="AF13" s="406" t="s">
        <v>1142</v>
      </c>
      <c r="AG13" s="333" t="s">
        <v>1143</v>
      </c>
      <c r="AH13" s="333" t="s">
        <v>1144</v>
      </c>
      <c r="AI13" s="299">
        <v>3</v>
      </c>
      <c r="AJ13" s="299">
        <v>3</v>
      </c>
      <c r="AK13" s="377">
        <v>0.5</v>
      </c>
      <c r="AL13" s="377">
        <v>0.5</v>
      </c>
      <c r="AM13" s="379" t="s">
        <v>1118</v>
      </c>
      <c r="AN13" s="299">
        <v>0</v>
      </c>
      <c r="AO13" s="299">
        <v>0</v>
      </c>
      <c r="AP13" s="299">
        <v>5</v>
      </c>
      <c r="AQ13" s="299">
        <v>0</v>
      </c>
      <c r="AR13" s="299">
        <v>0</v>
      </c>
      <c r="AS13" s="299">
        <v>0</v>
      </c>
      <c r="AT13" s="299">
        <v>0</v>
      </c>
      <c r="AU13" s="299">
        <v>0</v>
      </c>
      <c r="AV13" s="299">
        <v>0</v>
      </c>
      <c r="AW13" s="299">
        <v>0</v>
      </c>
      <c r="AX13" s="299">
        <v>0</v>
      </c>
      <c r="AY13" s="299">
        <v>0</v>
      </c>
      <c r="AZ13" s="299"/>
      <c r="BA13" s="299" t="s">
        <v>1145</v>
      </c>
      <c r="BB13" s="299">
        <v>12</v>
      </c>
      <c r="BC13" s="299" t="s">
        <v>1145</v>
      </c>
      <c r="BD13" s="299"/>
      <c r="BE13" s="299"/>
      <c r="BF13" s="299"/>
      <c r="BG13" s="298"/>
      <c r="BH13" s="297"/>
      <c r="BI13" s="299"/>
      <c r="BJ13" s="299" t="s">
        <v>1164</v>
      </c>
      <c r="BK13" s="298"/>
      <c r="BL13" s="297" t="s">
        <v>1175</v>
      </c>
      <c r="BM13" s="379" t="s">
        <v>368</v>
      </c>
    </row>
    <row r="14" spans="1:65" x14ac:dyDescent="0.15">
      <c r="A14" s="148">
        <v>1920</v>
      </c>
      <c r="B14" s="328">
        <v>43692</v>
      </c>
      <c r="C14" s="296" t="s">
        <v>1138</v>
      </c>
      <c r="D14" s="379" t="s">
        <v>1100</v>
      </c>
      <c r="E14" s="295">
        <v>43647</v>
      </c>
      <c r="F14" s="298" t="s">
        <v>987</v>
      </c>
      <c r="G14" s="297" t="s">
        <v>1127</v>
      </c>
      <c r="H14" s="406">
        <v>53.107999999999997</v>
      </c>
      <c r="I14" s="376" t="s">
        <v>1141</v>
      </c>
      <c r="J14" s="331">
        <v>3000</v>
      </c>
      <c r="K14" s="331">
        <v>6000</v>
      </c>
      <c r="L14" s="331">
        <v>9000</v>
      </c>
      <c r="M14" s="331">
        <v>15000</v>
      </c>
      <c r="N14" s="297"/>
      <c r="O14" s="406">
        <v>2.278</v>
      </c>
      <c r="P14" s="406">
        <v>2.0059999999999998</v>
      </c>
      <c r="Q14" s="406">
        <v>1.734</v>
      </c>
      <c r="R14" s="406">
        <v>1.5980000000000001</v>
      </c>
      <c r="S14" s="406">
        <v>1.53</v>
      </c>
      <c r="T14" s="406" t="s">
        <v>1142</v>
      </c>
      <c r="U14" s="406">
        <v>2.21</v>
      </c>
      <c r="V14" s="406">
        <v>1.9719999999999998</v>
      </c>
      <c r="W14" s="406">
        <v>1.7</v>
      </c>
      <c r="X14" s="406">
        <v>1.5980000000000001</v>
      </c>
      <c r="Y14" s="406">
        <v>1.5640000000000001</v>
      </c>
      <c r="Z14" s="406" t="s">
        <v>1142</v>
      </c>
      <c r="AA14" s="406" t="s">
        <v>1142</v>
      </c>
      <c r="AB14" s="406" t="s">
        <v>1142</v>
      </c>
      <c r="AC14" s="406" t="s">
        <v>1142</v>
      </c>
      <c r="AD14" s="406" t="s">
        <v>1142</v>
      </c>
      <c r="AE14" s="406" t="s">
        <v>1142</v>
      </c>
      <c r="AF14" s="406" t="s">
        <v>1142</v>
      </c>
      <c r="AG14" s="299" t="s">
        <v>1143</v>
      </c>
      <c r="AH14" s="299" t="s">
        <v>1144</v>
      </c>
      <c r="AI14" s="299">
        <v>3</v>
      </c>
      <c r="AJ14" s="299">
        <v>3</v>
      </c>
      <c r="AK14" s="377">
        <v>0.5</v>
      </c>
      <c r="AL14" s="377">
        <v>0.5</v>
      </c>
      <c r="AM14" s="379" t="s">
        <v>1118</v>
      </c>
      <c r="AN14" s="299">
        <v>0</v>
      </c>
      <c r="AO14" s="299">
        <v>0</v>
      </c>
      <c r="AP14" s="299">
        <v>0</v>
      </c>
      <c r="AQ14" s="299">
        <v>0</v>
      </c>
      <c r="AR14" s="299">
        <v>0</v>
      </c>
      <c r="AS14" s="299">
        <v>0</v>
      </c>
      <c r="AT14" s="299">
        <v>0</v>
      </c>
      <c r="AU14" s="299">
        <v>0</v>
      </c>
      <c r="AV14" s="299">
        <v>0</v>
      </c>
      <c r="AW14" s="299">
        <v>0</v>
      </c>
      <c r="AX14" s="299">
        <v>0</v>
      </c>
      <c r="AY14" s="299">
        <v>0</v>
      </c>
      <c r="AZ14" s="299"/>
      <c r="BA14" s="299" t="s">
        <v>1145</v>
      </c>
      <c r="BB14" s="299"/>
      <c r="BC14" s="299" t="s">
        <v>1145</v>
      </c>
      <c r="BD14" s="299"/>
      <c r="BE14" s="299"/>
      <c r="BF14" s="299"/>
      <c r="BG14" s="298"/>
      <c r="BH14" s="297"/>
      <c r="BI14" s="299"/>
      <c r="BJ14" s="299" t="s">
        <v>1146</v>
      </c>
      <c r="BK14" s="298" t="s">
        <v>370</v>
      </c>
      <c r="BL14" s="297" t="s">
        <v>1176</v>
      </c>
      <c r="BM14" s="379" t="s">
        <v>368</v>
      </c>
    </row>
    <row r="15" spans="1:65" x14ac:dyDescent="0.15">
      <c r="A15" s="148">
        <v>1682</v>
      </c>
      <c r="B15" s="328">
        <v>43692</v>
      </c>
      <c r="C15" s="296" t="s">
        <v>295</v>
      </c>
      <c r="D15" s="379" t="s">
        <v>1100</v>
      </c>
      <c r="E15" s="328">
        <v>43693</v>
      </c>
      <c r="F15" s="420" t="s">
        <v>1106</v>
      </c>
      <c r="G15" s="297" t="s">
        <v>2</v>
      </c>
      <c r="H15" s="406">
        <v>62</v>
      </c>
      <c r="I15" s="376" t="s">
        <v>296</v>
      </c>
      <c r="J15" s="297">
        <v>6000</v>
      </c>
      <c r="K15" s="297">
        <v>6000</v>
      </c>
      <c r="L15" s="297">
        <v>6000</v>
      </c>
      <c r="M15" s="297">
        <v>6000</v>
      </c>
      <c r="N15" s="297"/>
      <c r="O15" s="406">
        <v>2.08</v>
      </c>
      <c r="P15" s="416">
        <v>0</v>
      </c>
      <c r="Q15" s="416">
        <v>0</v>
      </c>
      <c r="R15" s="406">
        <v>0</v>
      </c>
      <c r="S15" s="406">
        <v>1.5</v>
      </c>
      <c r="T15" s="406" t="s">
        <v>1142</v>
      </c>
      <c r="U15" s="406">
        <v>1.9</v>
      </c>
      <c r="V15" s="406">
        <v>0</v>
      </c>
      <c r="W15" s="406">
        <v>0</v>
      </c>
      <c r="X15" s="406">
        <v>0</v>
      </c>
      <c r="Y15" s="406">
        <v>1.5</v>
      </c>
      <c r="Z15" s="406" t="s">
        <v>1142</v>
      </c>
      <c r="AA15" s="406" t="s">
        <v>1142</v>
      </c>
      <c r="AB15" s="406" t="s">
        <v>1142</v>
      </c>
      <c r="AC15" s="406" t="s">
        <v>1142</v>
      </c>
      <c r="AD15" s="406" t="s">
        <v>1142</v>
      </c>
      <c r="AE15" s="406" t="s">
        <v>1142</v>
      </c>
      <c r="AF15" s="406" t="s">
        <v>1142</v>
      </c>
      <c r="AG15" s="333" t="s">
        <v>1143</v>
      </c>
      <c r="AH15" s="333" t="s">
        <v>1144</v>
      </c>
      <c r="AI15" s="299">
        <v>3</v>
      </c>
      <c r="AJ15" s="299">
        <v>3</v>
      </c>
      <c r="AK15" s="377">
        <v>0.5</v>
      </c>
      <c r="AL15" s="377">
        <v>0.5</v>
      </c>
      <c r="AM15" s="379" t="s">
        <v>1118</v>
      </c>
      <c r="AN15" s="299">
        <v>0</v>
      </c>
      <c r="AO15" s="299">
        <v>0</v>
      </c>
      <c r="AP15" s="299">
        <v>5</v>
      </c>
      <c r="AQ15" s="299">
        <v>0</v>
      </c>
      <c r="AR15" s="299">
        <v>0</v>
      </c>
      <c r="AS15" s="299">
        <v>0</v>
      </c>
      <c r="AT15" s="299">
        <v>0</v>
      </c>
      <c r="AU15" s="299">
        <v>0</v>
      </c>
      <c r="AV15" s="299">
        <v>0</v>
      </c>
      <c r="AW15" s="299">
        <v>0</v>
      </c>
      <c r="AX15" s="299">
        <v>0</v>
      </c>
      <c r="AY15" s="299">
        <v>0</v>
      </c>
      <c r="AZ15" s="299"/>
      <c r="BA15" s="299" t="s">
        <v>1145</v>
      </c>
      <c r="BB15" s="299"/>
      <c r="BC15" s="299" t="s">
        <v>1145</v>
      </c>
      <c r="BD15" s="299"/>
      <c r="BE15" s="299"/>
      <c r="BF15" s="298"/>
      <c r="BG15" s="297"/>
      <c r="BH15" s="299"/>
      <c r="BI15" s="299"/>
      <c r="BJ15" s="299" t="s">
        <v>1146</v>
      </c>
      <c r="BK15" s="297" t="s">
        <v>370</v>
      </c>
      <c r="BL15" s="297" t="s">
        <v>1177</v>
      </c>
      <c r="BM15" s="379" t="s">
        <v>368</v>
      </c>
    </row>
    <row r="16" spans="1:65" x14ac:dyDescent="0.15">
      <c r="A16" s="148">
        <v>2215</v>
      </c>
      <c r="B16" s="328">
        <v>43692</v>
      </c>
      <c r="C16" s="296" t="s">
        <v>1138</v>
      </c>
      <c r="D16" s="379" t="s">
        <v>1100</v>
      </c>
      <c r="E16" s="309">
        <v>43646</v>
      </c>
      <c r="F16" s="297" t="s">
        <v>34</v>
      </c>
      <c r="G16" s="379" t="s">
        <v>1178</v>
      </c>
      <c r="H16" s="406">
        <v>79.7</v>
      </c>
      <c r="I16" s="394"/>
      <c r="J16" s="394"/>
      <c r="K16" s="394"/>
      <c r="L16" s="332"/>
      <c r="M16" s="332"/>
      <c r="N16" s="332"/>
      <c r="O16" s="406">
        <v>1.64</v>
      </c>
      <c r="P16" s="416">
        <v>0</v>
      </c>
      <c r="Q16" s="416">
        <v>0</v>
      </c>
      <c r="R16" s="406">
        <v>0</v>
      </c>
      <c r="S16" s="406">
        <v>0</v>
      </c>
      <c r="T16" s="406" t="s">
        <v>1142</v>
      </c>
      <c r="U16" s="406">
        <v>1.92</v>
      </c>
      <c r="V16" s="406">
        <v>0</v>
      </c>
      <c r="W16" s="406">
        <v>0</v>
      </c>
      <c r="X16" s="406">
        <v>0</v>
      </c>
      <c r="Y16" s="406">
        <v>0</v>
      </c>
      <c r="Z16" s="406" t="s">
        <v>1142</v>
      </c>
      <c r="AA16" s="406" t="s">
        <v>1142</v>
      </c>
      <c r="AB16" s="406" t="s">
        <v>1142</v>
      </c>
      <c r="AC16" s="406" t="s">
        <v>1142</v>
      </c>
      <c r="AD16" s="406" t="s">
        <v>1142</v>
      </c>
      <c r="AE16" s="406" t="s">
        <v>1142</v>
      </c>
      <c r="AF16" s="406" t="s">
        <v>1142</v>
      </c>
      <c r="AG16" s="299" t="s">
        <v>1143</v>
      </c>
      <c r="AH16" s="299" t="s">
        <v>1144</v>
      </c>
      <c r="AI16" s="299">
        <v>3</v>
      </c>
      <c r="AJ16" s="299">
        <v>3</v>
      </c>
      <c r="AK16" s="377">
        <v>0.5</v>
      </c>
      <c r="AL16" s="377">
        <v>0.5</v>
      </c>
      <c r="AM16" s="379" t="s">
        <v>1118</v>
      </c>
      <c r="AN16" s="299">
        <v>0</v>
      </c>
      <c r="AO16" s="299">
        <v>0</v>
      </c>
      <c r="AP16" s="299">
        <v>5</v>
      </c>
      <c r="AQ16" s="299">
        <v>0</v>
      </c>
      <c r="AR16" s="299">
        <v>0</v>
      </c>
      <c r="AS16" s="299">
        <v>0</v>
      </c>
      <c r="AT16" s="299">
        <v>0</v>
      </c>
      <c r="AU16" s="299">
        <v>0</v>
      </c>
      <c r="AV16" s="299">
        <v>0</v>
      </c>
      <c r="AW16" s="299">
        <v>0</v>
      </c>
      <c r="AX16" s="299">
        <v>0</v>
      </c>
      <c r="AY16" s="299">
        <v>0</v>
      </c>
      <c r="AZ16" s="299"/>
      <c r="BA16" s="299" t="s">
        <v>1145</v>
      </c>
      <c r="BB16" s="299"/>
      <c r="BC16" s="299" t="s">
        <v>1145</v>
      </c>
      <c r="BD16" s="299"/>
      <c r="BE16" s="299"/>
      <c r="BF16" s="299"/>
      <c r="BG16" s="298"/>
      <c r="BH16" s="297"/>
      <c r="BI16" s="299"/>
      <c r="BJ16" s="299" t="s">
        <v>1164</v>
      </c>
      <c r="BK16" s="298" t="s">
        <v>47</v>
      </c>
      <c r="BL16" s="297" t="s">
        <v>1179</v>
      </c>
      <c r="BM16" s="379" t="s">
        <v>368</v>
      </c>
    </row>
    <row r="17" spans="1:65" x14ac:dyDescent="0.15">
      <c r="A17" s="148">
        <v>2052</v>
      </c>
      <c r="B17" s="328">
        <v>43692</v>
      </c>
      <c r="C17" s="296" t="s">
        <v>1138</v>
      </c>
      <c r="D17" s="379" t="s">
        <v>1100</v>
      </c>
      <c r="E17" s="295">
        <v>43646</v>
      </c>
      <c r="F17" s="378" t="s">
        <v>1180</v>
      </c>
      <c r="G17" s="379" t="s">
        <v>1181</v>
      </c>
      <c r="H17" s="406">
        <v>81.518181818181816</v>
      </c>
      <c r="I17" s="376"/>
      <c r="J17" s="331"/>
      <c r="K17" s="331"/>
      <c r="L17" s="297"/>
      <c r="M17" s="297"/>
      <c r="N17" s="297"/>
      <c r="O17" s="406">
        <v>1.6727272727272726</v>
      </c>
      <c r="P17" s="416">
        <v>0</v>
      </c>
      <c r="Q17" s="416">
        <v>0</v>
      </c>
      <c r="R17" s="406">
        <v>0</v>
      </c>
      <c r="S17" s="406">
        <v>0</v>
      </c>
      <c r="T17" s="406" t="s">
        <v>1142</v>
      </c>
      <c r="U17" s="406">
        <v>1.7090909090909088</v>
      </c>
      <c r="V17" s="406">
        <v>0</v>
      </c>
      <c r="W17" s="406">
        <v>0</v>
      </c>
      <c r="X17" s="406">
        <v>0</v>
      </c>
      <c r="Y17" s="406">
        <v>0</v>
      </c>
      <c r="Z17" s="406" t="s">
        <v>1142</v>
      </c>
      <c r="AA17" s="406" t="s">
        <v>1142</v>
      </c>
      <c r="AB17" s="406" t="s">
        <v>1142</v>
      </c>
      <c r="AC17" s="406" t="s">
        <v>1142</v>
      </c>
      <c r="AD17" s="406" t="s">
        <v>1142</v>
      </c>
      <c r="AE17" s="406" t="s">
        <v>1142</v>
      </c>
      <c r="AF17" s="406" t="s">
        <v>1142</v>
      </c>
      <c r="AG17" s="299" t="s">
        <v>1143</v>
      </c>
      <c r="AH17" s="299" t="s">
        <v>1144</v>
      </c>
      <c r="AI17" s="299">
        <v>3</v>
      </c>
      <c r="AJ17" s="299">
        <v>3</v>
      </c>
      <c r="AK17" s="377">
        <v>0.5</v>
      </c>
      <c r="AL17" s="377">
        <v>0.5</v>
      </c>
      <c r="AM17" s="379" t="s">
        <v>1118</v>
      </c>
      <c r="AN17" s="299">
        <v>0</v>
      </c>
      <c r="AO17" s="299">
        <v>0</v>
      </c>
      <c r="AP17" s="299">
        <v>0</v>
      </c>
      <c r="AQ17" s="299">
        <v>0</v>
      </c>
      <c r="AR17" s="299">
        <v>0</v>
      </c>
      <c r="AS17" s="299">
        <v>0</v>
      </c>
      <c r="AT17" s="299">
        <v>0</v>
      </c>
      <c r="AU17" s="299">
        <v>0</v>
      </c>
      <c r="AV17" s="299">
        <v>0</v>
      </c>
      <c r="AW17" s="299">
        <v>0</v>
      </c>
      <c r="AX17" s="299">
        <v>0</v>
      </c>
      <c r="AY17" s="299">
        <v>0</v>
      </c>
      <c r="AZ17" s="299"/>
      <c r="BA17" s="299" t="s">
        <v>1145</v>
      </c>
      <c r="BB17" s="299"/>
      <c r="BC17" s="299" t="s">
        <v>1145</v>
      </c>
      <c r="BD17" s="299"/>
      <c r="BE17" s="299"/>
      <c r="BF17" s="299"/>
      <c r="BG17" s="298"/>
      <c r="BH17" s="297"/>
      <c r="BI17" s="299"/>
      <c r="BJ17" s="299" t="s">
        <v>1164</v>
      </c>
      <c r="BK17" s="298" t="s">
        <v>1182</v>
      </c>
      <c r="BL17" s="379" t="s">
        <v>1183</v>
      </c>
      <c r="BM17" s="379" t="s">
        <v>368</v>
      </c>
    </row>
    <row r="18" spans="1:65" x14ac:dyDescent="0.15">
      <c r="A18" s="148">
        <v>1351</v>
      </c>
      <c r="B18" s="328">
        <v>43692</v>
      </c>
      <c r="C18" s="296" t="s">
        <v>1138</v>
      </c>
      <c r="D18" s="379" t="s">
        <v>1108</v>
      </c>
      <c r="E18" s="295">
        <v>43647</v>
      </c>
      <c r="F18" s="298" t="s">
        <v>1139</v>
      </c>
      <c r="G18" s="297" t="s">
        <v>1140</v>
      </c>
      <c r="H18" s="406">
        <v>81</v>
      </c>
      <c r="I18" s="376" t="s">
        <v>1141</v>
      </c>
      <c r="J18" s="331">
        <v>3000</v>
      </c>
      <c r="K18" s="331">
        <v>6000</v>
      </c>
      <c r="L18" s="331">
        <v>9000</v>
      </c>
      <c r="M18" s="331">
        <v>15000</v>
      </c>
      <c r="N18" s="297"/>
      <c r="O18" s="406">
        <v>2.0818181818181816</v>
      </c>
      <c r="P18" s="406">
        <v>1.8818181818181816</v>
      </c>
      <c r="Q18" s="406">
        <v>1.5090909090909088</v>
      </c>
      <c r="R18" s="406">
        <v>1.3181818181818181</v>
      </c>
      <c r="S18" s="406">
        <v>1.2909090909090908</v>
      </c>
      <c r="T18" s="406" t="s">
        <v>1142</v>
      </c>
      <c r="U18" s="406">
        <v>1.9818181818181817</v>
      </c>
      <c r="V18" s="406">
        <v>1.7727272727272725</v>
      </c>
      <c r="W18" s="406">
        <v>1.4636363636363636</v>
      </c>
      <c r="X18" s="406">
        <v>1.2909090909090908</v>
      </c>
      <c r="Y18" s="406">
        <v>1.2545454545454544</v>
      </c>
      <c r="Z18" s="406" t="s">
        <v>1142</v>
      </c>
      <c r="AA18" s="406" t="s">
        <v>1142</v>
      </c>
      <c r="AB18" s="406" t="s">
        <v>1142</v>
      </c>
      <c r="AC18" s="406" t="s">
        <v>1142</v>
      </c>
      <c r="AD18" s="406" t="s">
        <v>1142</v>
      </c>
      <c r="AE18" s="406" t="s">
        <v>1142</v>
      </c>
      <c r="AF18" s="406" t="s">
        <v>1142</v>
      </c>
      <c r="AG18" s="299" t="s">
        <v>1143</v>
      </c>
      <c r="AH18" s="299" t="s">
        <v>1144</v>
      </c>
      <c r="AI18" s="299">
        <v>3</v>
      </c>
      <c r="AJ18" s="299">
        <v>3</v>
      </c>
      <c r="AK18" s="377">
        <v>0.5</v>
      </c>
      <c r="AL18" s="377">
        <v>0.5</v>
      </c>
      <c r="AM18" s="379" t="s">
        <v>1118</v>
      </c>
      <c r="AN18" s="299">
        <v>0</v>
      </c>
      <c r="AO18" s="299">
        <v>0</v>
      </c>
      <c r="AP18" s="299">
        <v>0</v>
      </c>
      <c r="AQ18" s="299">
        <v>0</v>
      </c>
      <c r="AR18" s="299">
        <v>0</v>
      </c>
      <c r="AS18" s="299">
        <v>0</v>
      </c>
      <c r="AT18" s="299">
        <v>0</v>
      </c>
      <c r="AU18" s="299">
        <v>0</v>
      </c>
      <c r="AV18" s="299">
        <v>0</v>
      </c>
      <c r="AW18" s="299">
        <v>0</v>
      </c>
      <c r="AX18" s="299">
        <v>0</v>
      </c>
      <c r="AY18" s="299">
        <v>0</v>
      </c>
      <c r="AZ18" s="299"/>
      <c r="BA18" s="299" t="s">
        <v>1145</v>
      </c>
      <c r="BB18" s="299">
        <v>12</v>
      </c>
      <c r="BC18" s="299" t="s">
        <v>1145</v>
      </c>
      <c r="BD18" s="299"/>
      <c r="BE18" s="299">
        <v>12</v>
      </c>
      <c r="BF18" s="299"/>
      <c r="BG18" s="298"/>
      <c r="BH18" s="297"/>
      <c r="BI18" s="299"/>
      <c r="BJ18" s="299" t="s">
        <v>1146</v>
      </c>
      <c r="BK18" s="378"/>
      <c r="BL18" s="379" t="s">
        <v>1184</v>
      </c>
      <c r="BM18" s="379" t="s">
        <v>368</v>
      </c>
    </row>
    <row r="19" spans="1:65" x14ac:dyDescent="0.15">
      <c r="A19" s="148">
        <v>2183</v>
      </c>
      <c r="B19" s="328">
        <v>43692</v>
      </c>
      <c r="C19" s="296" t="s">
        <v>1138</v>
      </c>
      <c r="D19" s="379" t="s">
        <v>1108</v>
      </c>
      <c r="E19" s="328">
        <v>43647</v>
      </c>
      <c r="F19" s="298" t="s">
        <v>1148</v>
      </c>
      <c r="G19" s="379" t="s">
        <v>1149</v>
      </c>
      <c r="H19" s="406">
        <v>80</v>
      </c>
      <c r="I19" s="376" t="s">
        <v>1141</v>
      </c>
      <c r="J19" s="331">
        <v>3000</v>
      </c>
      <c r="K19" s="331">
        <v>6000</v>
      </c>
      <c r="L19" s="331">
        <v>6000</v>
      </c>
      <c r="M19" s="331">
        <v>6000</v>
      </c>
      <c r="N19" s="297"/>
      <c r="O19" s="406">
        <v>2.2727272727272725</v>
      </c>
      <c r="P19" s="406">
        <v>1.7272727272727271</v>
      </c>
      <c r="Q19" s="416">
        <v>0</v>
      </c>
      <c r="R19" s="406">
        <v>0</v>
      </c>
      <c r="S19" s="406">
        <v>1.7272727272727271</v>
      </c>
      <c r="T19" s="406" t="s">
        <v>1142</v>
      </c>
      <c r="U19" s="406">
        <v>2.1818181818181817</v>
      </c>
      <c r="V19" s="406">
        <v>1.6363636363636362</v>
      </c>
      <c r="W19" s="406">
        <v>0</v>
      </c>
      <c r="X19" s="406">
        <v>0</v>
      </c>
      <c r="Y19" s="406">
        <v>1.6363636363636362</v>
      </c>
      <c r="Z19" s="406" t="s">
        <v>1142</v>
      </c>
      <c r="AA19" s="406" t="s">
        <v>1142</v>
      </c>
      <c r="AB19" s="406" t="s">
        <v>1142</v>
      </c>
      <c r="AC19" s="406" t="s">
        <v>1142</v>
      </c>
      <c r="AD19" s="406" t="s">
        <v>1142</v>
      </c>
      <c r="AE19" s="406" t="s">
        <v>1142</v>
      </c>
      <c r="AF19" s="406" t="s">
        <v>1142</v>
      </c>
      <c r="AG19" s="299" t="s">
        <v>1143</v>
      </c>
      <c r="AH19" s="299" t="s">
        <v>1144</v>
      </c>
      <c r="AI19" s="299">
        <v>3</v>
      </c>
      <c r="AJ19" s="299">
        <v>3</v>
      </c>
      <c r="AK19" s="377">
        <v>0.5</v>
      </c>
      <c r="AL19" s="377">
        <v>0.5</v>
      </c>
      <c r="AM19" s="379" t="s">
        <v>1118</v>
      </c>
      <c r="AN19" s="299">
        <v>0</v>
      </c>
      <c r="AO19" s="299">
        <v>0</v>
      </c>
      <c r="AP19" s="299">
        <v>0</v>
      </c>
      <c r="AQ19" s="299">
        <v>0</v>
      </c>
      <c r="AR19" s="299">
        <v>0</v>
      </c>
      <c r="AS19" s="299">
        <v>0</v>
      </c>
      <c r="AT19" s="299">
        <v>0</v>
      </c>
      <c r="AU19" s="299">
        <v>0</v>
      </c>
      <c r="AV19" s="299">
        <v>0</v>
      </c>
      <c r="AW19" s="299">
        <v>0</v>
      </c>
      <c r="AX19" s="299">
        <v>0</v>
      </c>
      <c r="AY19" s="299">
        <v>0</v>
      </c>
      <c r="AZ19" s="297"/>
      <c r="BA19" s="299" t="s">
        <v>1145</v>
      </c>
      <c r="BB19" s="299"/>
      <c r="BC19" s="299" t="s">
        <v>1145</v>
      </c>
      <c r="BD19" s="299"/>
      <c r="BE19" s="299"/>
      <c r="BF19" s="299"/>
      <c r="BG19" s="298" t="s">
        <v>1150</v>
      </c>
      <c r="BH19" s="297" t="s">
        <v>365</v>
      </c>
      <c r="BI19" s="407">
        <v>100</v>
      </c>
      <c r="BJ19" s="299" t="s">
        <v>411</v>
      </c>
      <c r="BK19" s="298"/>
      <c r="BL19" s="379" t="s">
        <v>1151</v>
      </c>
      <c r="BM19" s="379" t="s">
        <v>368</v>
      </c>
    </row>
    <row r="20" spans="1:65" x14ac:dyDescent="0.15">
      <c r="A20" s="148">
        <v>2207</v>
      </c>
      <c r="B20" s="328">
        <v>43692</v>
      </c>
      <c r="C20" s="296" t="s">
        <v>1138</v>
      </c>
      <c r="D20" s="379" t="s">
        <v>1108</v>
      </c>
      <c r="E20" s="295">
        <v>43647</v>
      </c>
      <c r="F20" s="298" t="s">
        <v>1152</v>
      </c>
      <c r="G20" s="379" t="s">
        <v>1153</v>
      </c>
      <c r="H20" s="406">
        <v>57.790909090909089</v>
      </c>
      <c r="I20" s="376" t="s">
        <v>1141</v>
      </c>
      <c r="J20" s="331">
        <v>3000</v>
      </c>
      <c r="K20" s="331">
        <v>6000</v>
      </c>
      <c r="L20" s="331">
        <v>9000</v>
      </c>
      <c r="M20" s="331">
        <v>15000</v>
      </c>
      <c r="N20" s="297"/>
      <c r="O20" s="406">
        <v>2.4818181818181815</v>
      </c>
      <c r="P20" s="406">
        <v>2.1818181818181817</v>
      </c>
      <c r="Q20" s="406">
        <v>1.8909090909090909</v>
      </c>
      <c r="R20" s="406">
        <v>1.7363636363636361</v>
      </c>
      <c r="S20" s="406">
        <v>1.6636363636363636</v>
      </c>
      <c r="T20" s="406" t="s">
        <v>1142</v>
      </c>
      <c r="U20" s="406">
        <v>2.4090909090909087</v>
      </c>
      <c r="V20" s="406">
        <v>2.1454545454545451</v>
      </c>
      <c r="W20" s="406">
        <v>1.8545454545454545</v>
      </c>
      <c r="X20" s="406">
        <v>1.7363636363636361</v>
      </c>
      <c r="Y20" s="406">
        <v>1.7</v>
      </c>
      <c r="Z20" s="406" t="s">
        <v>1142</v>
      </c>
      <c r="AA20" s="406" t="s">
        <v>1142</v>
      </c>
      <c r="AB20" s="406" t="s">
        <v>1142</v>
      </c>
      <c r="AC20" s="406" t="s">
        <v>1142</v>
      </c>
      <c r="AD20" s="406" t="s">
        <v>1142</v>
      </c>
      <c r="AE20" s="406" t="s">
        <v>1142</v>
      </c>
      <c r="AF20" s="406" t="s">
        <v>1142</v>
      </c>
      <c r="AG20" s="299" t="s">
        <v>1143</v>
      </c>
      <c r="AH20" s="299" t="s">
        <v>1144</v>
      </c>
      <c r="AI20" s="299">
        <v>3</v>
      </c>
      <c r="AJ20" s="299">
        <v>3</v>
      </c>
      <c r="AK20" s="377">
        <v>0.5</v>
      </c>
      <c r="AL20" s="377">
        <v>0.5</v>
      </c>
      <c r="AM20" s="379" t="s">
        <v>1118</v>
      </c>
      <c r="AN20" s="299">
        <v>0</v>
      </c>
      <c r="AO20" s="299">
        <v>0</v>
      </c>
      <c r="AP20" s="299">
        <v>0</v>
      </c>
      <c r="AQ20" s="299">
        <v>0</v>
      </c>
      <c r="AR20" s="299">
        <v>0</v>
      </c>
      <c r="AS20" s="299">
        <v>0</v>
      </c>
      <c r="AT20" s="299">
        <v>0</v>
      </c>
      <c r="AU20" s="299">
        <v>0</v>
      </c>
      <c r="AV20" s="299">
        <v>0</v>
      </c>
      <c r="AW20" s="299">
        <v>0</v>
      </c>
      <c r="AX20" s="299">
        <v>0</v>
      </c>
      <c r="AY20" s="299">
        <v>0</v>
      </c>
      <c r="AZ20" s="297"/>
      <c r="BA20" s="299" t="s">
        <v>1145</v>
      </c>
      <c r="BB20" s="299"/>
      <c r="BC20" s="299" t="s">
        <v>1145</v>
      </c>
      <c r="BD20" s="299"/>
      <c r="BE20" s="299"/>
      <c r="BF20" s="299"/>
      <c r="BG20" s="298"/>
      <c r="BH20" s="297"/>
      <c r="BI20" s="299"/>
      <c r="BJ20" s="299" t="s">
        <v>1146</v>
      </c>
      <c r="BK20" s="298" t="s">
        <v>370</v>
      </c>
      <c r="BL20" s="379" t="s">
        <v>1185</v>
      </c>
      <c r="BM20" s="379" t="s">
        <v>368</v>
      </c>
    </row>
    <row r="21" spans="1:65" x14ac:dyDescent="0.15">
      <c r="A21" s="148">
        <v>1136</v>
      </c>
      <c r="B21" s="328">
        <v>43481</v>
      </c>
      <c r="C21" s="296" t="s">
        <v>10</v>
      </c>
      <c r="D21" s="379" t="s">
        <v>1108</v>
      </c>
      <c r="E21" s="295">
        <v>43466</v>
      </c>
      <c r="F21" s="298" t="s">
        <v>18</v>
      </c>
      <c r="G21" s="297" t="s">
        <v>418</v>
      </c>
      <c r="H21" s="297">
        <v>78</v>
      </c>
      <c r="I21" s="376" t="s">
        <v>1101</v>
      </c>
      <c r="J21" s="297">
        <v>3000</v>
      </c>
      <c r="K21" s="297">
        <v>9000</v>
      </c>
      <c r="L21" s="297">
        <v>12000</v>
      </c>
      <c r="M21" s="297">
        <v>18000</v>
      </c>
      <c r="N21" s="297"/>
      <c r="O21" s="416">
        <v>2.9</v>
      </c>
      <c r="P21" s="416">
        <v>2.61</v>
      </c>
      <c r="Q21" s="416">
        <v>2.4</v>
      </c>
      <c r="R21" s="416">
        <v>2.2000000000000002</v>
      </c>
      <c r="S21" s="416">
        <v>2</v>
      </c>
      <c r="T21" s="416"/>
      <c r="U21" s="416">
        <v>2.7</v>
      </c>
      <c r="V21" s="416">
        <v>2.54</v>
      </c>
      <c r="W21" s="416">
        <v>2.1</v>
      </c>
      <c r="X21" s="416">
        <v>1.9</v>
      </c>
      <c r="Y21" s="416">
        <v>1.7</v>
      </c>
      <c r="Z21" s="297"/>
      <c r="AA21" s="406" t="s">
        <v>1142</v>
      </c>
      <c r="AB21" s="406" t="s">
        <v>1142</v>
      </c>
      <c r="AC21" s="406" t="s">
        <v>1142</v>
      </c>
      <c r="AD21" s="406" t="s">
        <v>1142</v>
      </c>
      <c r="AE21" s="406" t="s">
        <v>1142</v>
      </c>
      <c r="AF21" s="297"/>
      <c r="AG21" s="299" t="s">
        <v>1116</v>
      </c>
      <c r="AH21" s="299" t="s">
        <v>1117</v>
      </c>
      <c r="AI21" s="299">
        <v>3</v>
      </c>
      <c r="AJ21" s="299">
        <v>3</v>
      </c>
      <c r="AK21" s="377">
        <v>0.5</v>
      </c>
      <c r="AL21" s="377">
        <v>0.5</v>
      </c>
      <c r="AM21" s="366" t="s">
        <v>1118</v>
      </c>
      <c r="AN21" s="299">
        <v>0</v>
      </c>
      <c r="AO21" s="299">
        <v>0</v>
      </c>
      <c r="AP21" s="299">
        <v>0</v>
      </c>
      <c r="AQ21" s="299">
        <v>16</v>
      </c>
      <c r="AR21" s="299">
        <v>0</v>
      </c>
      <c r="AS21" s="299">
        <v>0</v>
      </c>
      <c r="AT21" s="299">
        <v>0</v>
      </c>
      <c r="AU21" s="299">
        <v>0</v>
      </c>
      <c r="AV21" s="299">
        <v>0</v>
      </c>
      <c r="AW21" s="299">
        <v>0</v>
      </c>
      <c r="AX21" s="299">
        <v>0</v>
      </c>
      <c r="AY21" s="299">
        <v>0</v>
      </c>
      <c r="AZ21" s="299"/>
      <c r="BA21" s="299" t="s">
        <v>38</v>
      </c>
      <c r="BB21" s="299"/>
      <c r="BC21" s="299" t="s">
        <v>38</v>
      </c>
      <c r="BD21" s="299"/>
      <c r="BE21" s="298"/>
      <c r="BF21" s="297"/>
      <c r="BG21" s="299"/>
      <c r="BJ21" s="299" t="s">
        <v>41</v>
      </c>
      <c r="BK21" s="298" t="s">
        <v>370</v>
      </c>
      <c r="BL21" s="366" t="s">
        <v>430</v>
      </c>
      <c r="BM21" s="366" t="s">
        <v>408</v>
      </c>
    </row>
    <row r="22" spans="1:65" x14ac:dyDescent="0.15">
      <c r="A22" s="148"/>
      <c r="B22" s="405">
        <v>43706</v>
      </c>
      <c r="C22" s="296" t="s">
        <v>10</v>
      </c>
      <c r="D22" s="379" t="s">
        <v>1108</v>
      </c>
      <c r="E22" s="414">
        <v>43647</v>
      </c>
      <c r="F22" s="298" t="s">
        <v>19</v>
      </c>
      <c r="G22" s="297" t="s">
        <v>20</v>
      </c>
      <c r="H22" s="297">
        <v>60.35</v>
      </c>
      <c r="I22" s="376" t="s">
        <v>1101</v>
      </c>
      <c r="J22" s="331">
        <v>3000</v>
      </c>
      <c r="K22" s="331">
        <v>6000</v>
      </c>
      <c r="L22" s="331">
        <v>9000</v>
      </c>
      <c r="M22" s="331">
        <v>15000</v>
      </c>
      <c r="N22" s="297"/>
      <c r="O22" s="416">
        <v>2.8</v>
      </c>
      <c r="P22" s="416">
        <v>2.5</v>
      </c>
      <c r="Q22" s="416">
        <v>2.2545454545454544</v>
      </c>
      <c r="R22" s="416">
        <v>2.1999999999999997</v>
      </c>
      <c r="S22" s="416">
        <v>1.8545454545454545</v>
      </c>
      <c r="T22" s="416"/>
      <c r="U22" s="416">
        <v>2.6545454545454543</v>
      </c>
      <c r="V22" s="416">
        <v>2.4</v>
      </c>
      <c r="W22" s="416">
        <v>2.1999999999999997</v>
      </c>
      <c r="X22" s="416">
        <v>2.1545454545454543</v>
      </c>
      <c r="Y22" s="416">
        <v>1.8545454545454545</v>
      </c>
      <c r="Z22" s="297"/>
      <c r="AA22" s="406" t="s">
        <v>1142</v>
      </c>
      <c r="AB22" s="406" t="s">
        <v>1142</v>
      </c>
      <c r="AC22" s="406" t="s">
        <v>1142</v>
      </c>
      <c r="AD22" s="406" t="s">
        <v>1142</v>
      </c>
      <c r="AE22" s="406" t="s">
        <v>1142</v>
      </c>
      <c r="AF22" s="297"/>
      <c r="AG22" s="299" t="s">
        <v>1116</v>
      </c>
      <c r="AH22" s="299" t="s">
        <v>1117</v>
      </c>
      <c r="AI22" s="299">
        <v>3</v>
      </c>
      <c r="AJ22" s="299">
        <v>3</v>
      </c>
      <c r="AK22" s="377">
        <v>0.5</v>
      </c>
      <c r="AL22" s="377">
        <v>0.5</v>
      </c>
      <c r="AM22" s="366" t="s">
        <v>1118</v>
      </c>
      <c r="AN22" s="299">
        <v>0</v>
      </c>
      <c r="AO22" s="299">
        <v>0</v>
      </c>
      <c r="AP22" s="299">
        <v>0</v>
      </c>
      <c r="AQ22" s="299">
        <v>20</v>
      </c>
      <c r="AR22" s="299">
        <v>0</v>
      </c>
      <c r="AS22" s="299">
        <v>0</v>
      </c>
      <c r="AT22" s="299">
        <v>0</v>
      </c>
      <c r="AU22" s="299">
        <v>0</v>
      </c>
      <c r="AV22" s="299">
        <v>0</v>
      </c>
      <c r="AW22" s="299">
        <v>0</v>
      </c>
      <c r="AX22" s="299">
        <v>0</v>
      </c>
      <c r="AY22" s="299">
        <v>0</v>
      </c>
      <c r="AZ22" s="297"/>
      <c r="BA22" s="299" t="s">
        <v>38</v>
      </c>
      <c r="BB22" s="299"/>
      <c r="BC22" s="299" t="s">
        <v>38</v>
      </c>
      <c r="BD22" s="299"/>
      <c r="BE22" s="298"/>
      <c r="BF22" s="297"/>
      <c r="BG22" s="299"/>
      <c r="BJ22" s="299" t="s">
        <v>43</v>
      </c>
      <c r="BK22" s="298"/>
      <c r="BL22" s="366" t="s">
        <v>430</v>
      </c>
      <c r="BM22" s="366" t="s">
        <v>1121</v>
      </c>
    </row>
    <row r="23" spans="1:65" x14ac:dyDescent="0.15">
      <c r="A23" s="148">
        <v>2114</v>
      </c>
      <c r="B23" s="328">
        <v>43692</v>
      </c>
      <c r="C23" s="296" t="s">
        <v>1138</v>
      </c>
      <c r="D23" s="379" t="s">
        <v>1108</v>
      </c>
      <c r="E23" s="295">
        <v>43647</v>
      </c>
      <c r="F23" s="298" t="s">
        <v>1156</v>
      </c>
      <c r="G23" s="379" t="s">
        <v>1157</v>
      </c>
      <c r="H23" s="406">
        <v>78.5</v>
      </c>
      <c r="I23" s="376" t="s">
        <v>1141</v>
      </c>
      <c r="J23" s="331">
        <v>6000</v>
      </c>
      <c r="K23" s="331">
        <v>6000</v>
      </c>
      <c r="L23" s="331">
        <v>6000</v>
      </c>
      <c r="M23" s="331">
        <v>6000</v>
      </c>
      <c r="N23" s="297"/>
      <c r="O23" s="406">
        <v>2.56</v>
      </c>
      <c r="P23" s="416">
        <v>0</v>
      </c>
      <c r="Q23" s="416">
        <v>0</v>
      </c>
      <c r="R23" s="406">
        <v>0</v>
      </c>
      <c r="S23" s="406">
        <v>1.86</v>
      </c>
      <c r="T23" s="406" t="s">
        <v>1142</v>
      </c>
      <c r="U23" s="406">
        <v>2.56</v>
      </c>
      <c r="V23" s="406">
        <v>0</v>
      </c>
      <c r="W23" s="406">
        <v>0</v>
      </c>
      <c r="X23" s="406">
        <v>0</v>
      </c>
      <c r="Y23" s="406">
        <v>1.86</v>
      </c>
      <c r="Z23" s="406" t="s">
        <v>1142</v>
      </c>
      <c r="AA23" s="406" t="s">
        <v>1142</v>
      </c>
      <c r="AB23" s="406" t="s">
        <v>1142</v>
      </c>
      <c r="AC23" s="406" t="s">
        <v>1142</v>
      </c>
      <c r="AD23" s="406" t="s">
        <v>1142</v>
      </c>
      <c r="AE23" s="406" t="s">
        <v>1142</v>
      </c>
      <c r="AF23" s="406" t="s">
        <v>1142</v>
      </c>
      <c r="AG23" s="299" t="s">
        <v>1145</v>
      </c>
      <c r="AH23" s="297"/>
      <c r="AI23" s="299">
        <v>3</v>
      </c>
      <c r="AJ23" s="299">
        <v>3</v>
      </c>
      <c r="AK23" s="377">
        <v>0.5</v>
      </c>
      <c r="AL23" s="377">
        <v>0.5</v>
      </c>
      <c r="AM23" s="379"/>
      <c r="AN23" s="299">
        <v>24</v>
      </c>
      <c r="AO23" s="299">
        <v>0</v>
      </c>
      <c r="AP23" s="299">
        <v>0</v>
      </c>
      <c r="AQ23" s="299">
        <v>0</v>
      </c>
      <c r="AR23" s="299">
        <v>0</v>
      </c>
      <c r="AS23" s="299">
        <v>0</v>
      </c>
      <c r="AT23" s="299">
        <v>0</v>
      </c>
      <c r="AU23" s="299">
        <v>0</v>
      </c>
      <c r="AV23" s="299">
        <v>0</v>
      </c>
      <c r="AW23" s="299">
        <v>0</v>
      </c>
      <c r="AX23" s="299">
        <v>0</v>
      </c>
      <c r="AY23" s="299">
        <v>0</v>
      </c>
      <c r="AZ23" s="297"/>
      <c r="BA23" s="299" t="s">
        <v>1145</v>
      </c>
      <c r="BB23" s="299">
        <v>12</v>
      </c>
      <c r="BC23" s="299" t="s">
        <v>1145</v>
      </c>
      <c r="BD23" s="299"/>
      <c r="BE23" s="299"/>
      <c r="BF23" s="299"/>
      <c r="BG23" s="298"/>
      <c r="BH23" s="297"/>
      <c r="BI23" s="299"/>
      <c r="BJ23" s="299" t="s">
        <v>1146</v>
      </c>
      <c r="BK23" s="298"/>
      <c r="BL23" s="408" t="s">
        <v>1186</v>
      </c>
      <c r="BM23" s="379" t="s">
        <v>368</v>
      </c>
    </row>
    <row r="24" spans="1:65" x14ac:dyDescent="0.15">
      <c r="A24" s="148">
        <v>1943</v>
      </c>
      <c r="B24" s="328">
        <v>43692</v>
      </c>
      <c r="C24" s="296" t="s">
        <v>1138</v>
      </c>
      <c r="D24" s="379" t="s">
        <v>1108</v>
      </c>
      <c r="E24" s="295">
        <v>43497</v>
      </c>
      <c r="F24" s="298" t="s">
        <v>1159</v>
      </c>
      <c r="G24" s="297" t="s">
        <v>1105</v>
      </c>
      <c r="H24" s="406">
        <v>65</v>
      </c>
      <c r="I24" s="376" t="s">
        <v>1141</v>
      </c>
      <c r="J24" s="331">
        <v>3000</v>
      </c>
      <c r="K24" s="331">
        <v>6000</v>
      </c>
      <c r="L24" s="331">
        <v>9000</v>
      </c>
      <c r="M24" s="331">
        <v>15000</v>
      </c>
      <c r="N24" s="297"/>
      <c r="O24" s="406">
        <v>2.1</v>
      </c>
      <c r="P24" s="406">
        <v>1.95</v>
      </c>
      <c r="Q24" s="406">
        <v>1.8</v>
      </c>
      <c r="R24" s="406">
        <v>1.6</v>
      </c>
      <c r="S24" s="406">
        <v>1.5</v>
      </c>
      <c r="T24" s="406" t="s">
        <v>1142</v>
      </c>
      <c r="U24" s="406">
        <v>2</v>
      </c>
      <c r="V24" s="406">
        <v>1.8</v>
      </c>
      <c r="W24" s="406">
        <v>1.7</v>
      </c>
      <c r="X24" s="406">
        <v>1.5</v>
      </c>
      <c r="Y24" s="406">
        <v>1.45</v>
      </c>
      <c r="Z24" s="406" t="s">
        <v>1142</v>
      </c>
      <c r="AA24" s="406" t="s">
        <v>1142</v>
      </c>
      <c r="AB24" s="406" t="s">
        <v>1142</v>
      </c>
      <c r="AC24" s="406" t="s">
        <v>1142</v>
      </c>
      <c r="AD24" s="406" t="s">
        <v>1142</v>
      </c>
      <c r="AE24" s="406" t="s">
        <v>1142</v>
      </c>
      <c r="AF24" s="406" t="s">
        <v>1142</v>
      </c>
      <c r="AG24" s="299" t="s">
        <v>1143</v>
      </c>
      <c r="AH24" s="299" t="s">
        <v>1144</v>
      </c>
      <c r="AI24" s="299">
        <v>3</v>
      </c>
      <c r="AJ24" s="299">
        <v>3</v>
      </c>
      <c r="AK24" s="377">
        <v>0.5</v>
      </c>
      <c r="AL24" s="377">
        <v>0.5</v>
      </c>
      <c r="AM24" s="379" t="s">
        <v>1118</v>
      </c>
      <c r="AN24" s="299">
        <v>0</v>
      </c>
      <c r="AO24" s="299">
        <v>0</v>
      </c>
      <c r="AP24" s="299">
        <v>3</v>
      </c>
      <c r="AQ24" s="299">
        <v>0</v>
      </c>
      <c r="AR24" s="299">
        <v>0</v>
      </c>
      <c r="AS24" s="299">
        <v>0</v>
      </c>
      <c r="AT24" s="299">
        <v>0</v>
      </c>
      <c r="AU24" s="299">
        <v>0</v>
      </c>
      <c r="AV24" s="299">
        <v>0</v>
      </c>
      <c r="AW24" s="299">
        <v>0</v>
      </c>
      <c r="AX24" s="299">
        <v>0</v>
      </c>
      <c r="AY24" s="299">
        <v>0</v>
      </c>
      <c r="AZ24" s="297"/>
      <c r="BA24" s="299" t="s">
        <v>1145</v>
      </c>
      <c r="BB24" s="299"/>
      <c r="BC24" s="299" t="s">
        <v>1145</v>
      </c>
      <c r="BD24" s="299"/>
      <c r="BE24" s="299"/>
      <c r="BF24" s="299"/>
      <c r="BG24" s="299"/>
      <c r="BH24" s="299"/>
      <c r="BI24" s="299"/>
      <c r="BJ24" s="299" t="s">
        <v>1146</v>
      </c>
      <c r="BK24" s="298"/>
      <c r="BL24" s="297" t="s">
        <v>430</v>
      </c>
      <c r="BM24" s="379" t="s">
        <v>368</v>
      </c>
    </row>
    <row r="25" spans="1:65" x14ac:dyDescent="0.15">
      <c r="A25" s="148">
        <v>313</v>
      </c>
      <c r="B25" s="328">
        <v>43692</v>
      </c>
      <c r="C25" s="296" t="s">
        <v>1138</v>
      </c>
      <c r="D25" s="379" t="s">
        <v>1108</v>
      </c>
      <c r="E25" s="295">
        <v>43647</v>
      </c>
      <c r="F25" s="297" t="s">
        <v>1160</v>
      </c>
      <c r="G25" s="297" t="s">
        <v>1161</v>
      </c>
      <c r="H25" s="406">
        <v>81.44</v>
      </c>
      <c r="I25" s="376" t="s">
        <v>1141</v>
      </c>
      <c r="J25" s="331">
        <v>3000</v>
      </c>
      <c r="K25" s="331">
        <v>6000</v>
      </c>
      <c r="L25" s="331">
        <v>9000</v>
      </c>
      <c r="M25" s="331">
        <v>15000</v>
      </c>
      <c r="N25" s="297"/>
      <c r="O25" s="406">
        <v>1.8579999999999999</v>
      </c>
      <c r="P25" s="406">
        <v>1.6970000000000001</v>
      </c>
      <c r="Q25" s="406">
        <v>1.502</v>
      </c>
      <c r="R25" s="406">
        <v>1.3979999999999999</v>
      </c>
      <c r="S25" s="406">
        <v>1.3720000000000001</v>
      </c>
      <c r="T25" s="406" t="s">
        <v>1142</v>
      </c>
      <c r="U25" s="406">
        <v>1.7150000000000001</v>
      </c>
      <c r="V25" s="406">
        <v>1.58</v>
      </c>
      <c r="W25" s="406">
        <v>1.4139999999999999</v>
      </c>
      <c r="X25" s="406">
        <v>1.3260000000000001</v>
      </c>
      <c r="Y25" s="406">
        <v>1.3049999999999999</v>
      </c>
      <c r="Z25" s="406" t="s">
        <v>1142</v>
      </c>
      <c r="AA25" s="406" t="s">
        <v>1142</v>
      </c>
      <c r="AB25" s="406" t="s">
        <v>1142</v>
      </c>
      <c r="AC25" s="406" t="s">
        <v>1142</v>
      </c>
      <c r="AD25" s="406" t="s">
        <v>1142</v>
      </c>
      <c r="AE25" s="406" t="s">
        <v>1142</v>
      </c>
      <c r="AF25" s="406" t="s">
        <v>1142</v>
      </c>
      <c r="AG25" s="299" t="s">
        <v>1143</v>
      </c>
      <c r="AH25" s="299" t="s">
        <v>1144</v>
      </c>
      <c r="AI25" s="299">
        <v>3</v>
      </c>
      <c r="AJ25" s="299">
        <v>3</v>
      </c>
      <c r="AK25" s="377">
        <v>0.5</v>
      </c>
      <c r="AL25" s="377">
        <v>0.5</v>
      </c>
      <c r="AM25" s="379" t="s">
        <v>1118</v>
      </c>
      <c r="AN25" s="299">
        <v>0</v>
      </c>
      <c r="AO25" s="299">
        <v>0</v>
      </c>
      <c r="AP25" s="299">
        <v>0</v>
      </c>
      <c r="AQ25" s="299">
        <v>0</v>
      </c>
      <c r="AR25" s="299">
        <v>0</v>
      </c>
      <c r="AS25" s="299">
        <v>0</v>
      </c>
      <c r="AT25" s="299">
        <v>0</v>
      </c>
      <c r="AU25" s="299">
        <v>0</v>
      </c>
      <c r="AV25" s="299">
        <v>0</v>
      </c>
      <c r="AW25" s="299">
        <v>0</v>
      </c>
      <c r="AX25" s="299">
        <v>0</v>
      </c>
      <c r="AY25" s="299">
        <v>0</v>
      </c>
      <c r="AZ25" s="297"/>
      <c r="BA25" s="299" t="s">
        <v>1145</v>
      </c>
      <c r="BB25" s="299"/>
      <c r="BC25" s="299" t="s">
        <v>1145</v>
      </c>
      <c r="BD25" s="299"/>
      <c r="BE25" s="299"/>
      <c r="BF25" s="299"/>
      <c r="BG25" s="378" t="s">
        <v>1162</v>
      </c>
      <c r="BH25" s="297" t="s">
        <v>1163</v>
      </c>
      <c r="BI25" s="299">
        <v>50</v>
      </c>
      <c r="BJ25" s="299" t="s">
        <v>1164</v>
      </c>
      <c r="BK25" s="298"/>
      <c r="BL25" s="297" t="s">
        <v>1165</v>
      </c>
      <c r="BM25" s="379" t="s">
        <v>368</v>
      </c>
    </row>
    <row r="26" spans="1:65" x14ac:dyDescent="0.15">
      <c r="A26" s="148">
        <v>2258</v>
      </c>
      <c r="B26" s="328">
        <v>43692</v>
      </c>
      <c r="C26" s="296" t="s">
        <v>1138</v>
      </c>
      <c r="D26" s="379" t="s">
        <v>1108</v>
      </c>
      <c r="E26" s="295">
        <v>43647</v>
      </c>
      <c r="F26" s="298" t="s">
        <v>1166</v>
      </c>
      <c r="G26" s="297" t="s">
        <v>1167</v>
      </c>
      <c r="H26" s="406">
        <v>70</v>
      </c>
      <c r="I26" s="376" t="s">
        <v>1141</v>
      </c>
      <c r="J26" s="331">
        <v>6000</v>
      </c>
      <c r="K26" s="331">
        <v>9000</v>
      </c>
      <c r="L26" s="331">
        <v>9000</v>
      </c>
      <c r="M26" s="331">
        <v>9000</v>
      </c>
      <c r="N26" s="331"/>
      <c r="O26" s="406">
        <v>2.4</v>
      </c>
      <c r="P26" s="406">
        <v>1.95</v>
      </c>
      <c r="Q26" s="416">
        <v>0</v>
      </c>
      <c r="R26" s="406">
        <v>0</v>
      </c>
      <c r="S26" s="406">
        <v>1.45</v>
      </c>
      <c r="T26" s="406" t="s">
        <v>1142</v>
      </c>
      <c r="U26" s="406">
        <v>2.2000000000000002</v>
      </c>
      <c r="V26" s="406">
        <v>1.75</v>
      </c>
      <c r="W26" s="406">
        <v>0</v>
      </c>
      <c r="X26" s="406">
        <v>0</v>
      </c>
      <c r="Y26" s="406">
        <v>1.35</v>
      </c>
      <c r="Z26" s="406" t="s">
        <v>1142</v>
      </c>
      <c r="AA26" s="406" t="s">
        <v>1142</v>
      </c>
      <c r="AB26" s="406" t="s">
        <v>1142</v>
      </c>
      <c r="AC26" s="406" t="s">
        <v>1142</v>
      </c>
      <c r="AD26" s="406" t="s">
        <v>1142</v>
      </c>
      <c r="AE26" s="406" t="s">
        <v>1142</v>
      </c>
      <c r="AF26" s="406" t="s">
        <v>1142</v>
      </c>
      <c r="AG26" s="299" t="s">
        <v>1143</v>
      </c>
      <c r="AH26" s="299" t="s">
        <v>1144</v>
      </c>
      <c r="AI26" s="299">
        <v>3</v>
      </c>
      <c r="AJ26" s="299">
        <v>3</v>
      </c>
      <c r="AK26" s="377">
        <v>0.5</v>
      </c>
      <c r="AL26" s="377">
        <v>0.5</v>
      </c>
      <c r="AM26" s="379" t="s">
        <v>1118</v>
      </c>
      <c r="AN26" s="299">
        <v>10</v>
      </c>
      <c r="AO26" s="299">
        <v>0</v>
      </c>
      <c r="AP26" s="299">
        <v>0</v>
      </c>
      <c r="AQ26" s="299">
        <v>0</v>
      </c>
      <c r="AR26" s="299">
        <v>0</v>
      </c>
      <c r="AS26" s="299">
        <v>0</v>
      </c>
      <c r="AT26" s="299">
        <v>0</v>
      </c>
      <c r="AU26" s="299">
        <v>0</v>
      </c>
      <c r="AV26" s="299">
        <v>0</v>
      </c>
      <c r="AW26" s="299">
        <v>0</v>
      </c>
      <c r="AX26" s="299">
        <v>0</v>
      </c>
      <c r="AY26" s="299">
        <v>0</v>
      </c>
      <c r="AZ26" s="297"/>
      <c r="BA26" s="299" t="s">
        <v>1145</v>
      </c>
      <c r="BB26" s="299">
        <v>12</v>
      </c>
      <c r="BC26" s="299" t="s">
        <v>1145</v>
      </c>
      <c r="BD26" s="299"/>
      <c r="BE26" s="299"/>
      <c r="BF26" s="299"/>
      <c r="BG26" s="298"/>
      <c r="BH26" s="297"/>
      <c r="BI26" s="299"/>
      <c r="BJ26" s="299" t="s">
        <v>1146</v>
      </c>
      <c r="BK26" s="298"/>
      <c r="BL26" s="379" t="s">
        <v>430</v>
      </c>
      <c r="BM26" s="379" t="s">
        <v>368</v>
      </c>
    </row>
    <row r="27" spans="1:65" x14ac:dyDescent="0.15">
      <c r="A27" s="148">
        <v>1426</v>
      </c>
      <c r="B27" s="328">
        <v>43692</v>
      </c>
      <c r="C27" s="296" t="s">
        <v>1138</v>
      </c>
      <c r="D27" s="379" t="s">
        <v>1108</v>
      </c>
      <c r="E27" s="309">
        <v>43530</v>
      </c>
      <c r="F27" s="298" t="s">
        <v>1168</v>
      </c>
      <c r="G27" s="379" t="s">
        <v>28</v>
      </c>
      <c r="H27" s="406">
        <v>70.400000000000006</v>
      </c>
      <c r="I27" s="376" t="s">
        <v>1141</v>
      </c>
      <c r="J27" s="331">
        <v>3500</v>
      </c>
      <c r="K27" s="331">
        <v>3500</v>
      </c>
      <c r="L27" s="331">
        <v>3500</v>
      </c>
      <c r="M27" s="331">
        <v>3500</v>
      </c>
      <c r="N27" s="297"/>
      <c r="O27" s="406">
        <v>2.16</v>
      </c>
      <c r="P27" s="416">
        <v>0</v>
      </c>
      <c r="Q27" s="416">
        <v>0</v>
      </c>
      <c r="R27" s="406">
        <v>0</v>
      </c>
      <c r="S27" s="406">
        <v>1.91</v>
      </c>
      <c r="T27" s="406" t="s">
        <v>1142</v>
      </c>
      <c r="U27" s="406">
        <v>1.8999999999999997</v>
      </c>
      <c r="V27" s="406">
        <v>0</v>
      </c>
      <c r="W27" s="406">
        <v>0</v>
      </c>
      <c r="X27" s="406">
        <v>0</v>
      </c>
      <c r="Y27" s="406">
        <v>1.82</v>
      </c>
      <c r="Z27" s="406" t="s">
        <v>1142</v>
      </c>
      <c r="AA27" s="406" t="s">
        <v>1142</v>
      </c>
      <c r="AB27" s="406" t="s">
        <v>1142</v>
      </c>
      <c r="AC27" s="406" t="s">
        <v>1142</v>
      </c>
      <c r="AD27" s="406" t="s">
        <v>1142</v>
      </c>
      <c r="AE27" s="406" t="s">
        <v>1142</v>
      </c>
      <c r="AF27" s="406" t="s">
        <v>1142</v>
      </c>
      <c r="AG27" s="299" t="s">
        <v>1143</v>
      </c>
      <c r="AH27" s="299" t="s">
        <v>1144</v>
      </c>
      <c r="AI27" s="299">
        <v>3</v>
      </c>
      <c r="AJ27" s="299">
        <v>3</v>
      </c>
      <c r="AK27" s="377">
        <v>0.5</v>
      </c>
      <c r="AL27" s="377">
        <v>0.5</v>
      </c>
      <c r="AM27" s="379" t="s">
        <v>1118</v>
      </c>
      <c r="AN27" s="299">
        <v>0</v>
      </c>
      <c r="AO27" s="299">
        <v>0</v>
      </c>
      <c r="AP27" s="299">
        <v>10</v>
      </c>
      <c r="AQ27" s="299">
        <v>0</v>
      </c>
      <c r="AR27" s="299">
        <v>0</v>
      </c>
      <c r="AS27" s="299">
        <v>0</v>
      </c>
      <c r="AT27" s="299">
        <v>0</v>
      </c>
      <c r="AU27" s="299">
        <v>0</v>
      </c>
      <c r="AV27" s="299">
        <v>0</v>
      </c>
      <c r="AW27" s="299">
        <v>0</v>
      </c>
      <c r="AX27" s="299">
        <v>0</v>
      </c>
      <c r="AY27" s="299">
        <v>0</v>
      </c>
      <c r="AZ27" s="299"/>
      <c r="BA27" s="299" t="s">
        <v>1145</v>
      </c>
      <c r="BB27" s="299"/>
      <c r="BC27" s="299" t="s">
        <v>1145</v>
      </c>
      <c r="BD27" s="299"/>
      <c r="BE27" s="299"/>
      <c r="BF27" s="299"/>
      <c r="BG27" s="298"/>
      <c r="BH27" s="297"/>
      <c r="BI27" s="299"/>
      <c r="BJ27" s="299" t="s">
        <v>1146</v>
      </c>
      <c r="BK27" s="298"/>
      <c r="BL27" s="379" t="s">
        <v>430</v>
      </c>
      <c r="BM27" s="379" t="s">
        <v>368</v>
      </c>
    </row>
    <row r="28" spans="1:65" x14ac:dyDescent="0.15">
      <c r="A28" s="148">
        <v>781</v>
      </c>
      <c r="B28" s="328">
        <v>43692</v>
      </c>
      <c r="C28" s="296" t="s">
        <v>1138</v>
      </c>
      <c r="D28" s="379" t="s">
        <v>1108</v>
      </c>
      <c r="E28" s="309">
        <v>43647</v>
      </c>
      <c r="F28" s="298" t="s">
        <v>1169</v>
      </c>
      <c r="G28" s="297" t="s">
        <v>1170</v>
      </c>
      <c r="H28" s="406">
        <v>77.75454545454545</v>
      </c>
      <c r="I28" s="376" t="s">
        <v>1141</v>
      </c>
      <c r="J28" s="331">
        <v>3000</v>
      </c>
      <c r="K28" s="331">
        <v>6000</v>
      </c>
      <c r="L28" s="331">
        <v>9000</v>
      </c>
      <c r="M28" s="331">
        <v>15000</v>
      </c>
      <c r="N28" s="297"/>
      <c r="O28" s="406">
        <v>2.2393939393939393</v>
      </c>
      <c r="P28" s="406">
        <v>1.9515151515151514</v>
      </c>
      <c r="Q28" s="406">
        <v>1.6454545454545455</v>
      </c>
      <c r="R28" s="406">
        <v>1.4787878787878785</v>
      </c>
      <c r="S28" s="406">
        <v>1.4333333333333333</v>
      </c>
      <c r="T28" s="406" t="s">
        <v>1142</v>
      </c>
      <c r="U28" s="406">
        <v>2.1181818181818182</v>
      </c>
      <c r="V28" s="406">
        <v>1.8636363636363633</v>
      </c>
      <c r="W28" s="406">
        <v>1.5999999999999999</v>
      </c>
      <c r="X28" s="406">
        <v>1.4545454545454546</v>
      </c>
      <c r="Y28" s="406">
        <v>1.4181818181818182</v>
      </c>
      <c r="Z28" s="406" t="s">
        <v>1142</v>
      </c>
      <c r="AA28" s="406" t="s">
        <v>1142</v>
      </c>
      <c r="AB28" s="406" t="s">
        <v>1142</v>
      </c>
      <c r="AC28" s="406" t="s">
        <v>1142</v>
      </c>
      <c r="AD28" s="406" t="s">
        <v>1142</v>
      </c>
      <c r="AE28" s="406" t="s">
        <v>1142</v>
      </c>
      <c r="AF28" s="406" t="s">
        <v>1142</v>
      </c>
      <c r="AG28" s="299" t="s">
        <v>1143</v>
      </c>
      <c r="AH28" s="299" t="s">
        <v>1144</v>
      </c>
      <c r="AI28" s="299">
        <v>3</v>
      </c>
      <c r="AJ28" s="299">
        <v>3</v>
      </c>
      <c r="AK28" s="377">
        <v>0.5</v>
      </c>
      <c r="AL28" s="377">
        <v>0.5</v>
      </c>
      <c r="AM28" s="379" t="s">
        <v>1123</v>
      </c>
      <c r="AN28" s="299">
        <v>0</v>
      </c>
      <c r="AO28" s="299">
        <v>0</v>
      </c>
      <c r="AP28" s="299">
        <v>0</v>
      </c>
      <c r="AQ28" s="299">
        <v>0</v>
      </c>
      <c r="AR28" s="299">
        <v>0</v>
      </c>
      <c r="AS28" s="299">
        <v>0</v>
      </c>
      <c r="AT28" s="299">
        <v>0</v>
      </c>
      <c r="AU28" s="299">
        <v>0</v>
      </c>
      <c r="AV28" s="299">
        <v>0</v>
      </c>
      <c r="AW28" s="299">
        <v>0</v>
      </c>
      <c r="AX28" s="299">
        <v>0</v>
      </c>
      <c r="AY28" s="299">
        <v>0</v>
      </c>
      <c r="AZ28" s="297"/>
      <c r="BA28" s="299" t="s">
        <v>1145</v>
      </c>
      <c r="BB28" s="299"/>
      <c r="BC28" s="299" t="s">
        <v>1145</v>
      </c>
      <c r="BD28" s="299"/>
      <c r="BE28" s="299"/>
      <c r="BF28" s="299"/>
      <c r="BG28" s="378" t="s">
        <v>1171</v>
      </c>
      <c r="BH28" s="297" t="s">
        <v>365</v>
      </c>
      <c r="BI28" s="299">
        <v>50</v>
      </c>
      <c r="BJ28" s="299" t="s">
        <v>1164</v>
      </c>
      <c r="BK28" s="298"/>
      <c r="BL28" s="424" t="s">
        <v>1187</v>
      </c>
      <c r="BM28" s="379" t="s">
        <v>368</v>
      </c>
    </row>
    <row r="29" spans="1:65" x14ac:dyDescent="0.15">
      <c r="A29" s="148">
        <v>2224</v>
      </c>
      <c r="B29" s="328">
        <v>43692</v>
      </c>
      <c r="C29" s="296" t="s">
        <v>1138</v>
      </c>
      <c r="D29" s="379" t="s">
        <v>1108</v>
      </c>
      <c r="E29" s="309">
        <v>43647</v>
      </c>
      <c r="F29" s="297" t="s">
        <v>1173</v>
      </c>
      <c r="G29" s="379" t="s">
        <v>1174</v>
      </c>
      <c r="H29" s="406">
        <v>65</v>
      </c>
      <c r="I29" s="376" t="s">
        <v>1141</v>
      </c>
      <c r="J29" s="331">
        <v>3000</v>
      </c>
      <c r="K29" s="331">
        <v>6000</v>
      </c>
      <c r="L29" s="331">
        <v>9000</v>
      </c>
      <c r="M29" s="331">
        <v>15000</v>
      </c>
      <c r="N29" s="332"/>
      <c r="O29" s="406">
        <v>2.3272727272727272</v>
      </c>
      <c r="P29" s="406">
        <v>2.0272727272727269</v>
      </c>
      <c r="Q29" s="406">
        <v>1.7727272727272725</v>
      </c>
      <c r="R29" s="406">
        <v>1.4090909090909089</v>
      </c>
      <c r="S29" s="406">
        <v>1.2999999999999998</v>
      </c>
      <c r="T29" s="406" t="s">
        <v>1142</v>
      </c>
      <c r="U29" s="406">
        <v>2.0272727272727269</v>
      </c>
      <c r="V29" s="406">
        <v>1.718181818181818</v>
      </c>
      <c r="W29" s="406">
        <v>1.5727272727272725</v>
      </c>
      <c r="X29" s="406">
        <v>1.3090909090909089</v>
      </c>
      <c r="Y29" s="406">
        <v>1.1090909090909089</v>
      </c>
      <c r="Z29" s="406" t="s">
        <v>1142</v>
      </c>
      <c r="AA29" s="406" t="s">
        <v>1142</v>
      </c>
      <c r="AB29" s="406" t="s">
        <v>1142</v>
      </c>
      <c r="AC29" s="406" t="s">
        <v>1142</v>
      </c>
      <c r="AD29" s="406" t="s">
        <v>1142</v>
      </c>
      <c r="AE29" s="406" t="s">
        <v>1142</v>
      </c>
      <c r="AF29" s="406" t="s">
        <v>1142</v>
      </c>
      <c r="AG29" s="333" t="s">
        <v>1143</v>
      </c>
      <c r="AH29" s="333" t="s">
        <v>1144</v>
      </c>
      <c r="AI29" s="299">
        <v>3</v>
      </c>
      <c r="AJ29" s="299">
        <v>3</v>
      </c>
      <c r="AK29" s="377">
        <v>0.5</v>
      </c>
      <c r="AL29" s="377">
        <v>0.5</v>
      </c>
      <c r="AM29" s="379" t="s">
        <v>1118</v>
      </c>
      <c r="AN29" s="299">
        <v>0</v>
      </c>
      <c r="AO29" s="299">
        <v>0</v>
      </c>
      <c r="AP29" s="299">
        <v>5</v>
      </c>
      <c r="AQ29" s="299">
        <v>0</v>
      </c>
      <c r="AR29" s="299">
        <v>0</v>
      </c>
      <c r="AS29" s="299">
        <v>0</v>
      </c>
      <c r="AT29" s="299">
        <v>0</v>
      </c>
      <c r="AU29" s="299">
        <v>0</v>
      </c>
      <c r="AV29" s="299">
        <v>0</v>
      </c>
      <c r="AW29" s="299">
        <v>0</v>
      </c>
      <c r="AX29" s="299">
        <v>0</v>
      </c>
      <c r="AY29" s="299">
        <v>0</v>
      </c>
      <c r="AZ29" s="299"/>
      <c r="BA29" s="299" t="s">
        <v>1145</v>
      </c>
      <c r="BB29" s="299">
        <v>12</v>
      </c>
      <c r="BC29" s="299" t="s">
        <v>1145</v>
      </c>
      <c r="BD29" s="299"/>
      <c r="BE29" s="299"/>
      <c r="BF29" s="299"/>
      <c r="BG29" s="298"/>
      <c r="BH29" s="297"/>
      <c r="BI29" s="299"/>
      <c r="BJ29" s="299" t="s">
        <v>1164</v>
      </c>
      <c r="BK29" s="298"/>
      <c r="BL29" s="297" t="s">
        <v>1188</v>
      </c>
      <c r="BM29" s="379" t="s">
        <v>368</v>
      </c>
    </row>
    <row r="30" spans="1:65" x14ac:dyDescent="0.15">
      <c r="A30" s="148">
        <v>1921</v>
      </c>
      <c r="B30" s="328">
        <v>43692</v>
      </c>
      <c r="C30" s="296" t="s">
        <v>1138</v>
      </c>
      <c r="D30" s="379" t="s">
        <v>1108</v>
      </c>
      <c r="E30" s="295">
        <v>43647</v>
      </c>
      <c r="F30" s="298" t="s">
        <v>987</v>
      </c>
      <c r="G30" s="297" t="s">
        <v>1127</v>
      </c>
      <c r="H30" s="406">
        <v>53.107999999999997</v>
      </c>
      <c r="I30" s="376" t="s">
        <v>1141</v>
      </c>
      <c r="J30" s="331">
        <v>3000</v>
      </c>
      <c r="K30" s="331">
        <v>6000</v>
      </c>
      <c r="L30" s="331">
        <v>9000</v>
      </c>
      <c r="M30" s="331">
        <v>15000</v>
      </c>
      <c r="N30" s="297"/>
      <c r="O30" s="406">
        <v>2.278</v>
      </c>
      <c r="P30" s="406">
        <v>2.0059999999999998</v>
      </c>
      <c r="Q30" s="406">
        <v>1.734</v>
      </c>
      <c r="R30" s="406">
        <v>1.5980000000000001</v>
      </c>
      <c r="S30" s="406">
        <v>1.53</v>
      </c>
      <c r="T30" s="406" t="s">
        <v>1142</v>
      </c>
      <c r="U30" s="406">
        <v>2.21</v>
      </c>
      <c r="V30" s="406">
        <v>1.9719999999999998</v>
      </c>
      <c r="W30" s="406">
        <v>1.7</v>
      </c>
      <c r="X30" s="406">
        <v>1.5980000000000001</v>
      </c>
      <c r="Y30" s="406">
        <v>1.5640000000000001</v>
      </c>
      <c r="Z30" s="406" t="s">
        <v>1142</v>
      </c>
      <c r="AA30" s="406" t="s">
        <v>1142</v>
      </c>
      <c r="AB30" s="406" t="s">
        <v>1142</v>
      </c>
      <c r="AC30" s="406" t="s">
        <v>1142</v>
      </c>
      <c r="AD30" s="406" t="s">
        <v>1142</v>
      </c>
      <c r="AE30" s="406" t="s">
        <v>1142</v>
      </c>
      <c r="AF30" s="406" t="s">
        <v>1142</v>
      </c>
      <c r="AG30" s="299" t="s">
        <v>1143</v>
      </c>
      <c r="AH30" s="299" t="s">
        <v>1144</v>
      </c>
      <c r="AI30" s="299">
        <v>3</v>
      </c>
      <c r="AJ30" s="299">
        <v>3</v>
      </c>
      <c r="AK30" s="377">
        <v>0.5</v>
      </c>
      <c r="AL30" s="377">
        <v>0.5</v>
      </c>
      <c r="AM30" s="379" t="s">
        <v>1118</v>
      </c>
      <c r="AN30" s="299">
        <v>0</v>
      </c>
      <c r="AO30" s="299">
        <v>0</v>
      </c>
      <c r="AP30" s="299">
        <v>0</v>
      </c>
      <c r="AQ30" s="299">
        <v>0</v>
      </c>
      <c r="AR30" s="299">
        <v>0</v>
      </c>
      <c r="AS30" s="299">
        <v>0</v>
      </c>
      <c r="AT30" s="299">
        <v>0</v>
      </c>
      <c r="AU30" s="299">
        <v>0</v>
      </c>
      <c r="AV30" s="299">
        <v>0</v>
      </c>
      <c r="AW30" s="299">
        <v>0</v>
      </c>
      <c r="AX30" s="299">
        <v>0</v>
      </c>
      <c r="AY30" s="299">
        <v>0</v>
      </c>
      <c r="AZ30" s="299"/>
      <c r="BA30" s="299" t="s">
        <v>1145</v>
      </c>
      <c r="BB30" s="299"/>
      <c r="BC30" s="299" t="s">
        <v>1145</v>
      </c>
      <c r="BD30" s="299"/>
      <c r="BE30" s="299"/>
      <c r="BF30" s="299"/>
      <c r="BG30" s="298"/>
      <c r="BH30" s="297"/>
      <c r="BI30" s="299"/>
      <c r="BJ30" s="299" t="s">
        <v>1146</v>
      </c>
      <c r="BK30" s="298" t="s">
        <v>370</v>
      </c>
      <c r="BL30" s="297" t="s">
        <v>1189</v>
      </c>
      <c r="BM30" s="379" t="s">
        <v>368</v>
      </c>
    </row>
    <row r="31" spans="1:65" x14ac:dyDescent="0.15">
      <c r="A31" s="148">
        <v>1683</v>
      </c>
      <c r="B31" s="328">
        <v>43692</v>
      </c>
      <c r="C31" s="296" t="s">
        <v>295</v>
      </c>
      <c r="D31" s="379" t="s">
        <v>1108</v>
      </c>
      <c r="E31" s="328">
        <v>43693</v>
      </c>
      <c r="F31" s="420" t="s">
        <v>1106</v>
      </c>
      <c r="G31" s="297" t="s">
        <v>2</v>
      </c>
      <c r="H31" s="406">
        <v>62</v>
      </c>
      <c r="I31" s="376" t="s">
        <v>296</v>
      </c>
      <c r="J31" s="297">
        <v>6000</v>
      </c>
      <c r="K31" s="297">
        <v>6000</v>
      </c>
      <c r="L31" s="297">
        <v>6000</v>
      </c>
      <c r="M31" s="297">
        <v>6000</v>
      </c>
      <c r="N31" s="297"/>
      <c r="O31" s="406">
        <v>2.08</v>
      </c>
      <c r="P31" s="416">
        <v>0</v>
      </c>
      <c r="Q31" s="416">
        <v>0</v>
      </c>
      <c r="R31" s="406">
        <v>0</v>
      </c>
      <c r="S31" s="406">
        <v>1.5</v>
      </c>
      <c r="T31" s="406" t="s">
        <v>1142</v>
      </c>
      <c r="U31" s="406">
        <v>1.9</v>
      </c>
      <c r="V31" s="406">
        <v>0</v>
      </c>
      <c r="W31" s="406">
        <v>0</v>
      </c>
      <c r="X31" s="406">
        <v>0</v>
      </c>
      <c r="Y31" s="406">
        <v>1.5</v>
      </c>
      <c r="Z31" s="406" t="s">
        <v>1142</v>
      </c>
      <c r="AA31" s="406" t="s">
        <v>1142</v>
      </c>
      <c r="AB31" s="406" t="s">
        <v>1142</v>
      </c>
      <c r="AC31" s="406" t="s">
        <v>1142</v>
      </c>
      <c r="AD31" s="406" t="s">
        <v>1142</v>
      </c>
      <c r="AE31" s="406" t="s">
        <v>1142</v>
      </c>
      <c r="AF31" s="406" t="s">
        <v>1142</v>
      </c>
      <c r="AG31" s="333" t="s">
        <v>1143</v>
      </c>
      <c r="AH31" s="333" t="s">
        <v>1144</v>
      </c>
      <c r="AI31" s="299">
        <v>3</v>
      </c>
      <c r="AJ31" s="299">
        <v>3</v>
      </c>
      <c r="AK31" s="377">
        <v>0.5</v>
      </c>
      <c r="AL31" s="377">
        <v>0.5</v>
      </c>
      <c r="AM31" s="379" t="s">
        <v>1118</v>
      </c>
      <c r="AN31" s="299">
        <v>0</v>
      </c>
      <c r="AO31" s="299">
        <v>0</v>
      </c>
      <c r="AP31" s="299">
        <v>5</v>
      </c>
      <c r="AQ31" s="299">
        <v>0</v>
      </c>
      <c r="AR31" s="299">
        <v>0</v>
      </c>
      <c r="AS31" s="299">
        <v>0</v>
      </c>
      <c r="AT31" s="299">
        <v>0</v>
      </c>
      <c r="AU31" s="299">
        <v>0</v>
      </c>
      <c r="AV31" s="299">
        <v>0</v>
      </c>
      <c r="AW31" s="299">
        <v>0</v>
      </c>
      <c r="AX31" s="299">
        <v>0</v>
      </c>
      <c r="AY31" s="299">
        <v>0</v>
      </c>
      <c r="AZ31" s="299"/>
      <c r="BA31" s="299" t="s">
        <v>1145</v>
      </c>
      <c r="BB31" s="299"/>
      <c r="BC31" s="299" t="s">
        <v>1145</v>
      </c>
      <c r="BD31" s="299"/>
      <c r="BE31" s="299"/>
      <c r="BF31" s="298"/>
      <c r="BG31" s="297"/>
      <c r="BH31" s="299"/>
      <c r="BI31" s="299"/>
      <c r="BJ31" s="299" t="s">
        <v>1146</v>
      </c>
      <c r="BK31" s="297" t="s">
        <v>370</v>
      </c>
      <c r="BL31" s="297" t="s">
        <v>1177</v>
      </c>
      <c r="BM31" s="379" t="s">
        <v>368</v>
      </c>
    </row>
    <row r="32" spans="1:65" x14ac:dyDescent="0.15">
      <c r="A32" s="148">
        <v>2216</v>
      </c>
      <c r="B32" s="328">
        <v>43692</v>
      </c>
      <c r="C32" s="296" t="s">
        <v>1138</v>
      </c>
      <c r="D32" s="379" t="s">
        <v>1108</v>
      </c>
      <c r="E32" s="418">
        <v>43646</v>
      </c>
      <c r="F32" s="297" t="s">
        <v>34</v>
      </c>
      <c r="G32" s="379" t="s">
        <v>1178</v>
      </c>
      <c r="H32" s="406">
        <v>79.7</v>
      </c>
      <c r="I32" s="394"/>
      <c r="J32" s="409"/>
      <c r="K32" s="409"/>
      <c r="L32" s="332"/>
      <c r="M32" s="332"/>
      <c r="N32" s="332"/>
      <c r="O32" s="406">
        <v>1.64</v>
      </c>
      <c r="P32" s="416">
        <v>0</v>
      </c>
      <c r="Q32" s="416">
        <v>0</v>
      </c>
      <c r="R32" s="406">
        <v>0</v>
      </c>
      <c r="S32" s="406">
        <v>0</v>
      </c>
      <c r="T32" s="406" t="s">
        <v>1142</v>
      </c>
      <c r="U32" s="406">
        <v>1.92</v>
      </c>
      <c r="V32" s="406">
        <v>0</v>
      </c>
      <c r="W32" s="406">
        <v>0</v>
      </c>
      <c r="X32" s="406">
        <v>0</v>
      </c>
      <c r="Y32" s="406">
        <v>0</v>
      </c>
      <c r="Z32" s="406" t="s">
        <v>1142</v>
      </c>
      <c r="AA32" s="406" t="s">
        <v>1142</v>
      </c>
      <c r="AB32" s="406" t="s">
        <v>1142</v>
      </c>
      <c r="AC32" s="406" t="s">
        <v>1142</v>
      </c>
      <c r="AD32" s="406" t="s">
        <v>1142</v>
      </c>
      <c r="AE32" s="406" t="s">
        <v>1142</v>
      </c>
      <c r="AF32" s="406" t="s">
        <v>1142</v>
      </c>
      <c r="AG32" s="299" t="s">
        <v>1143</v>
      </c>
      <c r="AH32" s="299" t="s">
        <v>1144</v>
      </c>
      <c r="AI32" s="299">
        <v>3</v>
      </c>
      <c r="AJ32" s="299">
        <v>3</v>
      </c>
      <c r="AK32" s="377">
        <v>0.5</v>
      </c>
      <c r="AL32" s="377">
        <v>0.5</v>
      </c>
      <c r="AM32" s="379" t="s">
        <v>1124</v>
      </c>
      <c r="AN32" s="299">
        <v>0</v>
      </c>
      <c r="AO32" s="299">
        <v>0</v>
      </c>
      <c r="AP32" s="299">
        <v>5</v>
      </c>
      <c r="AQ32" s="299">
        <v>0</v>
      </c>
      <c r="AR32" s="299">
        <v>0</v>
      </c>
      <c r="AS32" s="299">
        <v>0</v>
      </c>
      <c r="AT32" s="299">
        <v>0</v>
      </c>
      <c r="AU32" s="299">
        <v>0</v>
      </c>
      <c r="AV32" s="299">
        <v>0</v>
      </c>
      <c r="AW32" s="299">
        <v>0</v>
      </c>
      <c r="AX32" s="299">
        <v>0</v>
      </c>
      <c r="AY32" s="299">
        <v>0</v>
      </c>
      <c r="AZ32" s="299"/>
      <c r="BA32" s="299" t="s">
        <v>1145</v>
      </c>
      <c r="BB32" s="299"/>
      <c r="BC32" s="299" t="s">
        <v>1145</v>
      </c>
      <c r="BD32" s="299"/>
      <c r="BE32" s="299"/>
      <c r="BF32" s="299"/>
      <c r="BG32" s="298"/>
      <c r="BH32" s="297"/>
      <c r="BI32" s="299"/>
      <c r="BJ32" s="299" t="s">
        <v>1164</v>
      </c>
      <c r="BK32" s="298" t="s">
        <v>47</v>
      </c>
      <c r="BL32" s="297" t="s">
        <v>1179</v>
      </c>
      <c r="BM32" s="379" t="s">
        <v>368</v>
      </c>
    </row>
    <row r="33" spans="1:65" x14ac:dyDescent="0.15">
      <c r="A33" s="148">
        <v>2053</v>
      </c>
      <c r="B33" s="328">
        <v>43692</v>
      </c>
      <c r="C33" s="296" t="s">
        <v>1138</v>
      </c>
      <c r="D33" s="379" t="s">
        <v>1108</v>
      </c>
      <c r="E33" s="295">
        <v>43646</v>
      </c>
      <c r="F33" s="378" t="s">
        <v>1180</v>
      </c>
      <c r="G33" s="379" t="s">
        <v>1181</v>
      </c>
      <c r="H33" s="406">
        <v>81.518181818181816</v>
      </c>
      <c r="I33" s="376"/>
      <c r="J33" s="331"/>
      <c r="K33" s="331"/>
      <c r="L33" s="297"/>
      <c r="M33" s="297"/>
      <c r="N33" s="297"/>
      <c r="O33" s="406">
        <v>1.6727272727272726</v>
      </c>
      <c r="P33" s="416">
        <v>0</v>
      </c>
      <c r="Q33" s="416">
        <v>0</v>
      </c>
      <c r="R33" s="406">
        <v>0</v>
      </c>
      <c r="S33" s="406">
        <v>0</v>
      </c>
      <c r="T33" s="406" t="s">
        <v>1142</v>
      </c>
      <c r="U33" s="406">
        <v>1.7090909090909088</v>
      </c>
      <c r="V33" s="406">
        <v>0</v>
      </c>
      <c r="W33" s="406">
        <v>0</v>
      </c>
      <c r="X33" s="406">
        <v>0</v>
      </c>
      <c r="Y33" s="406">
        <v>0</v>
      </c>
      <c r="Z33" s="406" t="s">
        <v>1142</v>
      </c>
      <c r="AA33" s="406" t="s">
        <v>1142</v>
      </c>
      <c r="AB33" s="406" t="s">
        <v>1142</v>
      </c>
      <c r="AC33" s="406" t="s">
        <v>1142</v>
      </c>
      <c r="AD33" s="406" t="s">
        <v>1142</v>
      </c>
      <c r="AE33" s="406" t="s">
        <v>1142</v>
      </c>
      <c r="AF33" s="406" t="s">
        <v>1142</v>
      </c>
      <c r="AG33" s="299" t="s">
        <v>1143</v>
      </c>
      <c r="AH33" s="299" t="s">
        <v>1144</v>
      </c>
      <c r="AI33" s="299">
        <v>3</v>
      </c>
      <c r="AJ33" s="299">
        <v>3</v>
      </c>
      <c r="AK33" s="377">
        <v>0.5</v>
      </c>
      <c r="AL33" s="377">
        <v>0.5</v>
      </c>
      <c r="AM33" s="379" t="s">
        <v>1118</v>
      </c>
      <c r="AN33" s="299">
        <v>0</v>
      </c>
      <c r="AO33" s="299">
        <v>0</v>
      </c>
      <c r="AP33" s="299">
        <v>0</v>
      </c>
      <c r="AQ33" s="299">
        <v>0</v>
      </c>
      <c r="AR33" s="299">
        <v>0</v>
      </c>
      <c r="AS33" s="299">
        <v>0</v>
      </c>
      <c r="AT33" s="299">
        <v>0</v>
      </c>
      <c r="AU33" s="299">
        <v>0</v>
      </c>
      <c r="AV33" s="299">
        <v>0</v>
      </c>
      <c r="AW33" s="299">
        <v>0</v>
      </c>
      <c r="AX33" s="299">
        <v>0</v>
      </c>
      <c r="AY33" s="299">
        <v>0</v>
      </c>
      <c r="AZ33" s="299"/>
      <c r="BA33" s="299" t="s">
        <v>1145</v>
      </c>
      <c r="BB33" s="299"/>
      <c r="BC33" s="299" t="s">
        <v>1145</v>
      </c>
      <c r="BD33" s="299"/>
      <c r="BE33" s="299"/>
      <c r="BF33" s="299"/>
      <c r="BG33" s="298"/>
      <c r="BH33" s="297"/>
      <c r="BI33" s="299"/>
      <c r="BJ33" s="299" t="s">
        <v>1164</v>
      </c>
      <c r="BK33" s="298" t="s">
        <v>1182</v>
      </c>
      <c r="BL33" s="379" t="s">
        <v>1183</v>
      </c>
      <c r="BM33" s="379" t="s">
        <v>368</v>
      </c>
    </row>
    <row r="34" spans="1:65" x14ac:dyDescent="0.15">
      <c r="A34" s="148">
        <v>1369</v>
      </c>
      <c r="B34" s="328">
        <v>43692</v>
      </c>
      <c r="C34" s="296" t="s">
        <v>1138</v>
      </c>
      <c r="D34" s="379" t="s">
        <v>1109</v>
      </c>
      <c r="E34" s="295">
        <v>43647</v>
      </c>
      <c r="F34" s="298" t="s">
        <v>1139</v>
      </c>
      <c r="G34" s="297" t="s">
        <v>1140</v>
      </c>
      <c r="H34" s="406">
        <v>74.3</v>
      </c>
      <c r="I34" s="376" t="s">
        <v>1141</v>
      </c>
      <c r="J34" s="297">
        <v>1645</v>
      </c>
      <c r="K34" s="297">
        <v>3000</v>
      </c>
      <c r="L34" s="297">
        <v>3000</v>
      </c>
      <c r="M34" s="297">
        <v>3000</v>
      </c>
      <c r="N34" s="297"/>
      <c r="O34" s="406">
        <v>2.1545454545454543</v>
      </c>
      <c r="P34" s="406">
        <v>2</v>
      </c>
      <c r="Q34" s="340">
        <v>0</v>
      </c>
      <c r="R34" s="340">
        <v>0</v>
      </c>
      <c r="S34" s="406">
        <v>1.6727272727272726</v>
      </c>
      <c r="T34" s="406" t="s">
        <v>1142</v>
      </c>
      <c r="U34" s="406">
        <v>2.1545454545454543</v>
      </c>
      <c r="V34" s="406">
        <v>2</v>
      </c>
      <c r="W34" s="340">
        <v>0</v>
      </c>
      <c r="X34" s="340">
        <v>0</v>
      </c>
      <c r="Y34" s="406">
        <v>1.6727272727272726</v>
      </c>
      <c r="Z34" s="406" t="s">
        <v>1142</v>
      </c>
      <c r="AA34" s="406" t="s">
        <v>1142</v>
      </c>
      <c r="AB34" s="406" t="s">
        <v>1142</v>
      </c>
      <c r="AC34" s="406" t="s">
        <v>1142</v>
      </c>
      <c r="AD34" s="406" t="s">
        <v>1142</v>
      </c>
      <c r="AE34" s="406" t="s">
        <v>1142</v>
      </c>
      <c r="AF34" s="406" t="s">
        <v>1142</v>
      </c>
      <c r="AG34" s="299" t="s">
        <v>1145</v>
      </c>
      <c r="AH34" s="299"/>
      <c r="AI34" s="299">
        <v>2</v>
      </c>
      <c r="AJ34" s="299">
        <v>4</v>
      </c>
      <c r="AK34" s="388">
        <v>0.33329999999999999</v>
      </c>
      <c r="AL34" s="388">
        <v>0.66659999999999997</v>
      </c>
      <c r="AM34" s="379"/>
      <c r="AN34" s="299">
        <v>0</v>
      </c>
      <c r="AO34" s="299">
        <v>0</v>
      </c>
      <c r="AP34" s="299">
        <v>0</v>
      </c>
      <c r="AQ34" s="299">
        <v>0</v>
      </c>
      <c r="AR34" s="299">
        <v>0</v>
      </c>
      <c r="AS34" s="299">
        <v>0</v>
      </c>
      <c r="AT34" s="299">
        <v>0</v>
      </c>
      <c r="AU34" s="299">
        <v>0</v>
      </c>
      <c r="AV34" s="299">
        <v>0</v>
      </c>
      <c r="AW34" s="299">
        <v>0</v>
      </c>
      <c r="AX34" s="299">
        <v>0</v>
      </c>
      <c r="AY34" s="299">
        <v>0</v>
      </c>
      <c r="AZ34" s="299"/>
      <c r="BA34" s="299" t="s">
        <v>1145</v>
      </c>
      <c r="BB34" s="299">
        <v>12</v>
      </c>
      <c r="BC34" s="299" t="s">
        <v>1145</v>
      </c>
      <c r="BD34" s="299"/>
      <c r="BE34" s="299">
        <v>12</v>
      </c>
      <c r="BF34" s="299"/>
      <c r="BG34" s="298"/>
      <c r="BH34" s="297"/>
      <c r="BI34" s="299"/>
      <c r="BJ34" s="299" t="s">
        <v>1146</v>
      </c>
      <c r="BK34" s="378"/>
      <c r="BL34" s="379" t="s">
        <v>1190</v>
      </c>
      <c r="BM34" s="379" t="s">
        <v>368</v>
      </c>
    </row>
    <row r="35" spans="1:65" x14ac:dyDescent="0.15">
      <c r="A35" s="148">
        <v>2184</v>
      </c>
      <c r="B35" s="328">
        <v>43692</v>
      </c>
      <c r="C35" s="296" t="s">
        <v>1138</v>
      </c>
      <c r="D35" s="379" t="s">
        <v>1109</v>
      </c>
      <c r="E35" s="328">
        <v>43647</v>
      </c>
      <c r="F35" s="298" t="s">
        <v>1148</v>
      </c>
      <c r="G35" s="379" t="s">
        <v>1149</v>
      </c>
      <c r="H35" s="406">
        <v>74</v>
      </c>
      <c r="I35" s="376" t="s">
        <v>1141</v>
      </c>
      <c r="J35" s="297">
        <v>1645</v>
      </c>
      <c r="K35" s="297">
        <v>3000</v>
      </c>
      <c r="L35" s="297">
        <v>3000</v>
      </c>
      <c r="M35" s="297">
        <v>3000</v>
      </c>
      <c r="N35" s="297"/>
      <c r="O35" s="406">
        <v>2.1818181818181817</v>
      </c>
      <c r="P35" s="406">
        <v>2.1818181818181817</v>
      </c>
      <c r="Q35" s="340">
        <v>0</v>
      </c>
      <c r="R35" s="340">
        <v>0</v>
      </c>
      <c r="S35" s="406">
        <v>1.9090909090909089</v>
      </c>
      <c r="T35" s="406" t="s">
        <v>1142</v>
      </c>
      <c r="U35" s="406">
        <v>2.1818181818181817</v>
      </c>
      <c r="V35" s="406">
        <v>2.1818181818181817</v>
      </c>
      <c r="W35" s="340">
        <v>0</v>
      </c>
      <c r="X35" s="340">
        <v>0</v>
      </c>
      <c r="Y35" s="406">
        <v>1.9090909090909089</v>
      </c>
      <c r="Z35" s="406" t="s">
        <v>1142</v>
      </c>
      <c r="AA35" s="406" t="s">
        <v>1142</v>
      </c>
      <c r="AB35" s="406" t="s">
        <v>1142</v>
      </c>
      <c r="AC35" s="406" t="s">
        <v>1142</v>
      </c>
      <c r="AD35" s="406" t="s">
        <v>1142</v>
      </c>
      <c r="AE35" s="406" t="s">
        <v>1142</v>
      </c>
      <c r="AF35" s="406" t="s">
        <v>1142</v>
      </c>
      <c r="AG35" s="299" t="s">
        <v>1145</v>
      </c>
      <c r="AH35" s="299"/>
      <c r="AI35" s="299">
        <v>2</v>
      </c>
      <c r="AJ35" s="299">
        <v>4</v>
      </c>
      <c r="AK35" s="388">
        <v>0.33329999999999999</v>
      </c>
      <c r="AL35" s="388">
        <v>0.66659999999999997</v>
      </c>
      <c r="AM35" s="379"/>
      <c r="AN35" s="299">
        <v>0</v>
      </c>
      <c r="AO35" s="299">
        <v>0</v>
      </c>
      <c r="AP35" s="299">
        <v>0</v>
      </c>
      <c r="AQ35" s="299">
        <v>0</v>
      </c>
      <c r="AR35" s="299">
        <v>0</v>
      </c>
      <c r="AS35" s="299">
        <v>0</v>
      </c>
      <c r="AT35" s="299">
        <v>0</v>
      </c>
      <c r="AU35" s="299">
        <v>0</v>
      </c>
      <c r="AV35" s="299">
        <v>0</v>
      </c>
      <c r="AW35" s="299">
        <v>0</v>
      </c>
      <c r="AX35" s="299">
        <v>0</v>
      </c>
      <c r="AY35" s="299">
        <v>0</v>
      </c>
      <c r="AZ35" s="297"/>
      <c r="BA35" s="299" t="s">
        <v>1145</v>
      </c>
      <c r="BB35" s="299"/>
      <c r="BC35" s="299" t="s">
        <v>1145</v>
      </c>
      <c r="BD35" s="299"/>
      <c r="BE35" s="299"/>
      <c r="BF35" s="299"/>
      <c r="BG35" s="298" t="s">
        <v>1150</v>
      </c>
      <c r="BH35" s="297" t="s">
        <v>365</v>
      </c>
      <c r="BI35" s="407">
        <v>100</v>
      </c>
      <c r="BJ35" s="299" t="s">
        <v>411</v>
      </c>
      <c r="BK35" s="298"/>
      <c r="BL35" s="379" t="s">
        <v>1151</v>
      </c>
      <c r="BM35" s="379" t="s">
        <v>368</v>
      </c>
    </row>
    <row r="36" spans="1:65" x14ac:dyDescent="0.15">
      <c r="A36" s="148">
        <v>2200</v>
      </c>
      <c r="B36" s="328">
        <v>43692</v>
      </c>
      <c r="C36" s="296" t="s">
        <v>1138</v>
      </c>
      <c r="D36" s="379" t="s">
        <v>1109</v>
      </c>
      <c r="E36" s="295">
        <v>43647</v>
      </c>
      <c r="F36" s="298" t="s">
        <v>1152</v>
      </c>
      <c r="G36" s="379" t="s">
        <v>1153</v>
      </c>
      <c r="H36" s="406">
        <v>59.345454545454544</v>
      </c>
      <c r="I36" s="376" t="s">
        <v>1141</v>
      </c>
      <c r="J36" s="297">
        <v>1645</v>
      </c>
      <c r="K36" s="297">
        <v>3000</v>
      </c>
      <c r="L36" s="297">
        <v>3000</v>
      </c>
      <c r="M36" s="297">
        <v>3000</v>
      </c>
      <c r="N36" s="297"/>
      <c r="O36" s="406">
        <v>2.7727272727272725</v>
      </c>
      <c r="P36" s="406">
        <v>2.3636363636363633</v>
      </c>
      <c r="Q36" s="340">
        <v>0</v>
      </c>
      <c r="R36" s="340">
        <v>0</v>
      </c>
      <c r="S36" s="406">
        <v>2.0727272727272723</v>
      </c>
      <c r="T36" s="406" t="s">
        <v>1142</v>
      </c>
      <c r="U36" s="406">
        <v>2.7727272727272725</v>
      </c>
      <c r="V36" s="406">
        <v>2.3636363636363633</v>
      </c>
      <c r="W36" s="340">
        <v>0</v>
      </c>
      <c r="X36" s="340">
        <v>0</v>
      </c>
      <c r="Y36" s="406">
        <v>2.0727272727272723</v>
      </c>
      <c r="Z36" s="406" t="s">
        <v>1142</v>
      </c>
      <c r="AA36" s="406" t="s">
        <v>1142</v>
      </c>
      <c r="AB36" s="406" t="s">
        <v>1142</v>
      </c>
      <c r="AC36" s="406" t="s">
        <v>1142</v>
      </c>
      <c r="AD36" s="406" t="s">
        <v>1142</v>
      </c>
      <c r="AE36" s="406" t="s">
        <v>1142</v>
      </c>
      <c r="AF36" s="406" t="s">
        <v>1142</v>
      </c>
      <c r="AG36" s="299" t="s">
        <v>1145</v>
      </c>
      <c r="AH36" s="299"/>
      <c r="AI36" s="299">
        <v>2</v>
      </c>
      <c r="AJ36" s="299">
        <v>4</v>
      </c>
      <c r="AK36" s="388">
        <v>0.33329999999999999</v>
      </c>
      <c r="AL36" s="388">
        <v>0.66659999999999997</v>
      </c>
      <c r="AM36" s="379"/>
      <c r="AN36" s="299">
        <v>0</v>
      </c>
      <c r="AO36" s="299">
        <v>0</v>
      </c>
      <c r="AP36" s="299">
        <v>0</v>
      </c>
      <c r="AQ36" s="299">
        <v>0</v>
      </c>
      <c r="AR36" s="299">
        <v>0</v>
      </c>
      <c r="AS36" s="299">
        <v>0</v>
      </c>
      <c r="AT36" s="299">
        <v>0</v>
      </c>
      <c r="AU36" s="299">
        <v>0</v>
      </c>
      <c r="AV36" s="299">
        <v>0</v>
      </c>
      <c r="AW36" s="299">
        <v>0</v>
      </c>
      <c r="AX36" s="299">
        <v>0</v>
      </c>
      <c r="AY36" s="299">
        <v>0</v>
      </c>
      <c r="AZ36" s="297"/>
      <c r="BA36" s="299" t="s">
        <v>1145</v>
      </c>
      <c r="BB36" s="299"/>
      <c r="BC36" s="299" t="s">
        <v>1145</v>
      </c>
      <c r="BD36" s="299"/>
      <c r="BE36" s="299"/>
      <c r="BF36" s="299"/>
      <c r="BG36" s="298"/>
      <c r="BH36" s="297"/>
      <c r="BI36" s="299"/>
      <c r="BJ36" s="299" t="s">
        <v>1146</v>
      </c>
      <c r="BK36" s="298" t="s">
        <v>370</v>
      </c>
      <c r="BL36" s="379" t="s">
        <v>1191</v>
      </c>
      <c r="BM36" s="379" t="s">
        <v>368</v>
      </c>
    </row>
    <row r="37" spans="1:65" x14ac:dyDescent="0.15">
      <c r="A37" s="148">
        <v>1137</v>
      </c>
      <c r="B37" s="328">
        <v>43481</v>
      </c>
      <c r="C37" s="296" t="s">
        <v>10</v>
      </c>
      <c r="D37" s="379" t="s">
        <v>1109</v>
      </c>
      <c r="E37" s="295">
        <v>43466</v>
      </c>
      <c r="F37" s="298" t="s">
        <v>18</v>
      </c>
      <c r="G37" s="297" t="s">
        <v>418</v>
      </c>
      <c r="H37" s="297">
        <v>75</v>
      </c>
      <c r="I37" s="376" t="s">
        <v>1101</v>
      </c>
      <c r="J37" s="297">
        <v>1645</v>
      </c>
      <c r="K37" s="297">
        <v>3000</v>
      </c>
      <c r="L37" s="297">
        <v>3000</v>
      </c>
      <c r="M37" s="297">
        <v>3000</v>
      </c>
      <c r="N37" s="297"/>
      <c r="O37" s="416">
        <v>2.99</v>
      </c>
      <c r="P37" s="416">
        <v>2.65</v>
      </c>
      <c r="Q37" s="340">
        <v>0</v>
      </c>
      <c r="R37" s="340">
        <v>0</v>
      </c>
      <c r="S37" s="416">
        <v>2.2200000000000002</v>
      </c>
      <c r="T37" s="416"/>
      <c r="U37" s="416">
        <v>2.99</v>
      </c>
      <c r="V37" s="416">
        <v>2.65</v>
      </c>
      <c r="W37" s="340">
        <v>0</v>
      </c>
      <c r="X37" s="340">
        <v>0</v>
      </c>
      <c r="Y37" s="416">
        <v>2.2200000000000002</v>
      </c>
      <c r="Z37" s="297"/>
      <c r="AA37" s="297"/>
      <c r="AB37" s="297"/>
      <c r="AC37" s="297"/>
      <c r="AD37" s="297"/>
      <c r="AE37" s="297"/>
      <c r="AF37" s="297"/>
      <c r="AG37" s="299" t="s">
        <v>38</v>
      </c>
      <c r="AH37" s="299"/>
      <c r="AI37" s="299">
        <v>2</v>
      </c>
      <c r="AJ37" s="299">
        <v>4</v>
      </c>
      <c r="AK37" s="388">
        <v>0.33329999999999999</v>
      </c>
      <c r="AL37" s="388">
        <v>0.66659999999999997</v>
      </c>
      <c r="AM37" s="366"/>
      <c r="AN37" s="299">
        <v>0</v>
      </c>
      <c r="AO37" s="299">
        <v>0</v>
      </c>
      <c r="AP37" s="299">
        <v>0</v>
      </c>
      <c r="AQ37" s="299">
        <v>16</v>
      </c>
      <c r="AR37" s="299">
        <v>0</v>
      </c>
      <c r="AS37" s="299">
        <v>0</v>
      </c>
      <c r="AT37" s="299">
        <v>0</v>
      </c>
      <c r="AU37" s="299">
        <v>0</v>
      </c>
      <c r="AV37" s="299">
        <v>0</v>
      </c>
      <c r="AW37" s="299">
        <v>0</v>
      </c>
      <c r="AX37" s="299">
        <v>0</v>
      </c>
      <c r="AY37" s="299">
        <v>0</v>
      </c>
      <c r="AZ37" s="299"/>
      <c r="BA37" s="299" t="s">
        <v>38</v>
      </c>
      <c r="BB37" s="299"/>
      <c r="BC37" s="299" t="s">
        <v>38</v>
      </c>
      <c r="BD37" s="299"/>
      <c r="BE37" s="298"/>
      <c r="BF37" s="297"/>
      <c r="BG37" s="299"/>
      <c r="BJ37" s="299" t="s">
        <v>41</v>
      </c>
      <c r="BK37" s="298" t="s">
        <v>370</v>
      </c>
      <c r="BL37" s="366" t="s">
        <v>430</v>
      </c>
      <c r="BM37" s="366" t="s">
        <v>408</v>
      </c>
    </row>
    <row r="38" spans="1:65" x14ac:dyDescent="0.15">
      <c r="A38" s="148"/>
      <c r="B38" s="405">
        <v>43706</v>
      </c>
      <c r="C38" s="296" t="s">
        <v>10</v>
      </c>
      <c r="D38" s="379" t="s">
        <v>1109</v>
      </c>
      <c r="E38" s="414">
        <v>43647</v>
      </c>
      <c r="F38" s="298" t="s">
        <v>19</v>
      </c>
      <c r="G38" s="297" t="s">
        <v>20</v>
      </c>
      <c r="H38" s="297">
        <v>60.45</v>
      </c>
      <c r="I38" s="376" t="s">
        <v>1101</v>
      </c>
      <c r="J38" s="297">
        <v>1645</v>
      </c>
      <c r="K38" s="297">
        <v>3000</v>
      </c>
      <c r="L38" s="297">
        <v>3000</v>
      </c>
      <c r="M38" s="297">
        <v>3000</v>
      </c>
      <c r="N38" s="297"/>
      <c r="O38" s="416">
        <v>2.5999999999999996</v>
      </c>
      <c r="P38" s="416">
        <v>2.1</v>
      </c>
      <c r="Q38" s="340">
        <v>0</v>
      </c>
      <c r="R38" s="340">
        <v>0</v>
      </c>
      <c r="S38" s="416">
        <v>2</v>
      </c>
      <c r="T38" s="416"/>
      <c r="U38" s="416">
        <v>2.5999999999999996</v>
      </c>
      <c r="V38" s="416">
        <v>2.1</v>
      </c>
      <c r="W38" s="340">
        <v>0</v>
      </c>
      <c r="X38" s="340">
        <v>0</v>
      </c>
      <c r="Y38" s="416">
        <v>2</v>
      </c>
      <c r="Z38" s="297"/>
      <c r="AA38" s="297"/>
      <c r="AB38" s="297"/>
      <c r="AC38" s="297"/>
      <c r="AD38" s="297"/>
      <c r="AE38" s="297"/>
      <c r="AF38" s="297"/>
      <c r="AG38" s="299" t="s">
        <v>1116</v>
      </c>
      <c r="AH38" s="299" t="s">
        <v>1117</v>
      </c>
      <c r="AI38" s="299">
        <v>2</v>
      </c>
      <c r="AJ38" s="299">
        <v>4</v>
      </c>
      <c r="AK38" s="388">
        <v>0.33329999999999999</v>
      </c>
      <c r="AL38" s="388">
        <v>0.66659999999999997</v>
      </c>
      <c r="AM38" s="379"/>
      <c r="AN38" s="299">
        <v>0</v>
      </c>
      <c r="AO38" s="299">
        <v>0</v>
      </c>
      <c r="AP38" s="299">
        <v>0</v>
      </c>
      <c r="AQ38" s="299">
        <v>20</v>
      </c>
      <c r="AR38" s="299">
        <v>0</v>
      </c>
      <c r="AS38" s="299">
        <v>0</v>
      </c>
      <c r="AT38" s="299">
        <v>0</v>
      </c>
      <c r="AU38" s="299">
        <v>0</v>
      </c>
      <c r="AV38" s="299">
        <v>0</v>
      </c>
      <c r="AW38" s="299">
        <v>0</v>
      </c>
      <c r="AX38" s="299">
        <v>0</v>
      </c>
      <c r="AY38" s="299">
        <v>0</v>
      </c>
      <c r="AZ38" s="297"/>
      <c r="BA38" s="299" t="s">
        <v>38</v>
      </c>
      <c r="BB38" s="299"/>
      <c r="BC38" s="299" t="s">
        <v>38</v>
      </c>
      <c r="BD38" s="299"/>
      <c r="BE38" s="298"/>
      <c r="BF38" s="297"/>
      <c r="BG38" s="299"/>
      <c r="BJ38" s="299" t="s">
        <v>43</v>
      </c>
      <c r="BK38" s="298"/>
      <c r="BL38" s="366" t="s">
        <v>1192</v>
      </c>
      <c r="BM38" s="366" t="s">
        <v>1121</v>
      </c>
    </row>
    <row r="39" spans="1:65" x14ac:dyDescent="0.15">
      <c r="A39" s="148">
        <v>2115</v>
      </c>
      <c r="B39" s="328">
        <v>43692</v>
      </c>
      <c r="C39" s="296" t="s">
        <v>1138</v>
      </c>
      <c r="D39" s="379" t="s">
        <v>1109</v>
      </c>
      <c r="E39" s="295">
        <v>43647</v>
      </c>
      <c r="F39" s="298" t="s">
        <v>1156</v>
      </c>
      <c r="G39" s="379" t="s">
        <v>1157</v>
      </c>
      <c r="H39" s="406">
        <v>81</v>
      </c>
      <c r="I39" s="376" t="s">
        <v>1141</v>
      </c>
      <c r="J39" s="331">
        <v>3000</v>
      </c>
      <c r="K39" s="331">
        <v>3000</v>
      </c>
      <c r="L39" s="331">
        <v>3000</v>
      </c>
      <c r="M39" s="331">
        <v>3000</v>
      </c>
      <c r="N39" s="297"/>
      <c r="O39" s="406">
        <v>2.97</v>
      </c>
      <c r="P39" s="340">
        <v>0</v>
      </c>
      <c r="Q39" s="340">
        <v>0</v>
      </c>
      <c r="R39" s="340">
        <v>0</v>
      </c>
      <c r="S39" s="406">
        <v>2</v>
      </c>
      <c r="T39" s="406" t="s">
        <v>1142</v>
      </c>
      <c r="U39" s="406">
        <v>2.97</v>
      </c>
      <c r="V39" s="340">
        <v>0</v>
      </c>
      <c r="W39" s="340">
        <v>0</v>
      </c>
      <c r="X39" s="340">
        <v>0</v>
      </c>
      <c r="Y39" s="406">
        <v>2</v>
      </c>
      <c r="Z39" s="406" t="s">
        <v>1142</v>
      </c>
      <c r="AA39" s="406" t="s">
        <v>1142</v>
      </c>
      <c r="AB39" s="406" t="s">
        <v>1142</v>
      </c>
      <c r="AC39" s="406" t="s">
        <v>1142</v>
      </c>
      <c r="AD39" s="406" t="s">
        <v>1142</v>
      </c>
      <c r="AE39" s="406" t="s">
        <v>1142</v>
      </c>
      <c r="AF39" s="406" t="s">
        <v>1142</v>
      </c>
      <c r="AG39" s="299" t="s">
        <v>1145</v>
      </c>
      <c r="AH39" s="297"/>
      <c r="AI39" s="299">
        <v>2</v>
      </c>
      <c r="AJ39" s="299">
        <v>4</v>
      </c>
      <c r="AK39" s="388">
        <v>0.33329999999999999</v>
      </c>
      <c r="AL39" s="388">
        <v>0.66659999999999997</v>
      </c>
      <c r="AM39" s="379"/>
      <c r="AN39" s="299">
        <v>24</v>
      </c>
      <c r="AO39" s="299">
        <v>0</v>
      </c>
      <c r="AP39" s="299">
        <v>0</v>
      </c>
      <c r="AQ39" s="299">
        <v>0</v>
      </c>
      <c r="AR39" s="299">
        <v>0</v>
      </c>
      <c r="AS39" s="299">
        <v>0</v>
      </c>
      <c r="AT39" s="299">
        <v>0</v>
      </c>
      <c r="AU39" s="299">
        <v>0</v>
      </c>
      <c r="AV39" s="299">
        <v>0</v>
      </c>
      <c r="AW39" s="299">
        <v>0</v>
      </c>
      <c r="AX39" s="299">
        <v>0</v>
      </c>
      <c r="AY39" s="299">
        <v>0</v>
      </c>
      <c r="AZ39" s="297"/>
      <c r="BA39" s="299" t="s">
        <v>1145</v>
      </c>
      <c r="BB39" s="299">
        <v>12</v>
      </c>
      <c r="BC39" s="299" t="s">
        <v>1145</v>
      </c>
      <c r="BD39" s="299"/>
      <c r="BE39" s="299"/>
      <c r="BF39" s="299"/>
      <c r="BG39" s="298"/>
      <c r="BH39" s="297"/>
      <c r="BI39" s="299"/>
      <c r="BJ39" s="299" t="s">
        <v>1146</v>
      </c>
      <c r="BK39" s="298"/>
      <c r="BL39" s="408" t="s">
        <v>1193</v>
      </c>
      <c r="BM39" s="379" t="s">
        <v>368</v>
      </c>
    </row>
    <row r="40" spans="1:65" x14ac:dyDescent="0.15">
      <c r="A40" s="148">
        <v>1937</v>
      </c>
      <c r="B40" s="328">
        <v>43692</v>
      </c>
      <c r="C40" s="296" t="s">
        <v>1138</v>
      </c>
      <c r="D40" s="379" t="s">
        <v>1109</v>
      </c>
      <c r="E40" s="295">
        <v>43497</v>
      </c>
      <c r="F40" s="298" t="s">
        <v>1159</v>
      </c>
      <c r="G40" s="297" t="s">
        <v>1105</v>
      </c>
      <c r="H40" s="406">
        <v>70</v>
      </c>
      <c r="I40" s="376" t="s">
        <v>1141</v>
      </c>
      <c r="J40" s="297">
        <v>1645</v>
      </c>
      <c r="K40" s="297">
        <v>3000</v>
      </c>
      <c r="L40" s="297">
        <v>3000</v>
      </c>
      <c r="M40" s="297">
        <v>3000</v>
      </c>
      <c r="N40" s="297"/>
      <c r="O40" s="406">
        <v>2.4</v>
      </c>
      <c r="P40" s="406">
        <v>2.04</v>
      </c>
      <c r="Q40" s="340">
        <v>0</v>
      </c>
      <c r="R40" s="340">
        <v>0</v>
      </c>
      <c r="S40" s="406">
        <v>1.8</v>
      </c>
      <c r="T40" s="406" t="s">
        <v>1142</v>
      </c>
      <c r="U40" s="406">
        <v>2.4</v>
      </c>
      <c r="V40" s="406">
        <v>2.04</v>
      </c>
      <c r="W40" s="340">
        <v>0</v>
      </c>
      <c r="X40" s="340">
        <v>0</v>
      </c>
      <c r="Y40" s="406">
        <v>1.8</v>
      </c>
      <c r="Z40" s="406" t="s">
        <v>1142</v>
      </c>
      <c r="AA40" s="406" t="s">
        <v>1142</v>
      </c>
      <c r="AB40" s="406" t="s">
        <v>1142</v>
      </c>
      <c r="AC40" s="406" t="s">
        <v>1142</v>
      </c>
      <c r="AD40" s="406" t="s">
        <v>1142</v>
      </c>
      <c r="AE40" s="406" t="s">
        <v>1142</v>
      </c>
      <c r="AF40" s="406" t="s">
        <v>1142</v>
      </c>
      <c r="AG40" s="299" t="s">
        <v>1145</v>
      </c>
      <c r="AH40" s="299"/>
      <c r="AI40" s="299">
        <v>2</v>
      </c>
      <c r="AJ40" s="299">
        <v>4</v>
      </c>
      <c r="AK40" s="388">
        <v>0.33329999999999999</v>
      </c>
      <c r="AL40" s="388">
        <v>0.66659999999999997</v>
      </c>
      <c r="AM40" s="379"/>
      <c r="AN40" s="299">
        <v>0</v>
      </c>
      <c r="AO40" s="299">
        <v>0</v>
      </c>
      <c r="AP40" s="299">
        <v>3</v>
      </c>
      <c r="AQ40" s="299">
        <v>0</v>
      </c>
      <c r="AR40" s="299">
        <v>0</v>
      </c>
      <c r="AS40" s="299">
        <v>0</v>
      </c>
      <c r="AT40" s="299">
        <v>0</v>
      </c>
      <c r="AU40" s="299">
        <v>0</v>
      </c>
      <c r="AV40" s="299">
        <v>0</v>
      </c>
      <c r="AW40" s="299">
        <v>0</v>
      </c>
      <c r="AX40" s="299">
        <v>0</v>
      </c>
      <c r="AY40" s="299">
        <v>0</v>
      </c>
      <c r="AZ40" s="297"/>
      <c r="BA40" s="299" t="s">
        <v>1145</v>
      </c>
      <c r="BB40" s="299"/>
      <c r="BC40" s="299" t="s">
        <v>1145</v>
      </c>
      <c r="BD40" s="299"/>
      <c r="BE40" s="299"/>
      <c r="BF40" s="299"/>
      <c r="BG40" s="299"/>
      <c r="BH40" s="299"/>
      <c r="BI40" s="299"/>
      <c r="BJ40" s="299" t="s">
        <v>1146</v>
      </c>
      <c r="BK40" s="298"/>
      <c r="BL40" s="297" t="s">
        <v>430</v>
      </c>
      <c r="BM40" s="379" t="s">
        <v>368</v>
      </c>
    </row>
    <row r="41" spans="1:65" x14ac:dyDescent="0.15">
      <c r="A41" s="148">
        <v>314</v>
      </c>
      <c r="B41" s="328">
        <v>43692</v>
      </c>
      <c r="C41" s="296" t="s">
        <v>1138</v>
      </c>
      <c r="D41" s="379" t="s">
        <v>1109</v>
      </c>
      <c r="E41" s="295">
        <v>43647</v>
      </c>
      <c r="F41" s="297" t="s">
        <v>1160</v>
      </c>
      <c r="G41" s="297" t="s">
        <v>1161</v>
      </c>
      <c r="H41" s="406">
        <v>77.59</v>
      </c>
      <c r="I41" s="376" t="s">
        <v>1141</v>
      </c>
      <c r="J41" s="297">
        <v>1645</v>
      </c>
      <c r="K41" s="297">
        <v>3000</v>
      </c>
      <c r="L41" s="297">
        <v>3000</v>
      </c>
      <c r="M41" s="297">
        <v>3000</v>
      </c>
      <c r="N41" s="297"/>
      <c r="O41" s="406">
        <v>2.097</v>
      </c>
      <c r="P41" s="406">
        <v>1.8180000000000001</v>
      </c>
      <c r="Q41" s="340">
        <v>0</v>
      </c>
      <c r="R41" s="340">
        <v>0</v>
      </c>
      <c r="S41" s="406">
        <v>1.607</v>
      </c>
      <c r="T41" s="406" t="s">
        <v>1142</v>
      </c>
      <c r="U41" s="406">
        <v>1.8789999999999998</v>
      </c>
      <c r="V41" s="406">
        <v>1.623</v>
      </c>
      <c r="W41" s="340">
        <v>0</v>
      </c>
      <c r="X41" s="340">
        <v>0</v>
      </c>
      <c r="Y41" s="406">
        <v>1.429</v>
      </c>
      <c r="Z41" s="406" t="s">
        <v>1142</v>
      </c>
      <c r="AA41" s="406" t="s">
        <v>1142</v>
      </c>
      <c r="AB41" s="406" t="s">
        <v>1142</v>
      </c>
      <c r="AC41" s="406" t="s">
        <v>1142</v>
      </c>
      <c r="AD41" s="406" t="s">
        <v>1142</v>
      </c>
      <c r="AE41" s="406" t="s">
        <v>1142</v>
      </c>
      <c r="AF41" s="406" t="s">
        <v>1142</v>
      </c>
      <c r="AG41" s="299" t="s">
        <v>1143</v>
      </c>
      <c r="AH41" s="299" t="s">
        <v>1144</v>
      </c>
      <c r="AI41" s="299">
        <v>2</v>
      </c>
      <c r="AJ41" s="299">
        <v>4</v>
      </c>
      <c r="AK41" s="388">
        <v>0.33329999999999999</v>
      </c>
      <c r="AL41" s="388">
        <v>0.66659999999999997</v>
      </c>
      <c r="AM41" s="379" t="s">
        <v>1124</v>
      </c>
      <c r="AN41" s="299">
        <v>0</v>
      </c>
      <c r="AO41" s="299">
        <v>0</v>
      </c>
      <c r="AP41" s="299">
        <v>0</v>
      </c>
      <c r="AQ41" s="299">
        <v>0</v>
      </c>
      <c r="AR41" s="299">
        <v>0</v>
      </c>
      <c r="AS41" s="299">
        <v>0</v>
      </c>
      <c r="AT41" s="299">
        <v>0</v>
      </c>
      <c r="AU41" s="299">
        <v>0</v>
      </c>
      <c r="AV41" s="299">
        <v>0</v>
      </c>
      <c r="AW41" s="299">
        <v>0</v>
      </c>
      <c r="AX41" s="299">
        <v>0</v>
      </c>
      <c r="AY41" s="299">
        <v>0</v>
      </c>
      <c r="AZ41" s="297"/>
      <c r="BA41" s="299" t="s">
        <v>1145</v>
      </c>
      <c r="BB41" s="299"/>
      <c r="BC41" s="299" t="s">
        <v>1145</v>
      </c>
      <c r="BD41" s="299"/>
      <c r="BE41" s="299"/>
      <c r="BF41" s="299"/>
      <c r="BG41" s="378" t="s">
        <v>1162</v>
      </c>
      <c r="BH41" s="297" t="s">
        <v>1163</v>
      </c>
      <c r="BI41" s="299">
        <v>50</v>
      </c>
      <c r="BJ41" s="299" t="s">
        <v>1164</v>
      </c>
      <c r="BK41" s="298"/>
      <c r="BL41" s="297" t="s">
        <v>1194</v>
      </c>
      <c r="BM41" s="379" t="s">
        <v>368</v>
      </c>
    </row>
    <row r="42" spans="1:65" x14ac:dyDescent="0.15">
      <c r="A42" s="148">
        <v>2259</v>
      </c>
      <c r="B42" s="328">
        <v>43692</v>
      </c>
      <c r="C42" s="296" t="s">
        <v>1138</v>
      </c>
      <c r="D42" s="379" t="s">
        <v>1109</v>
      </c>
      <c r="E42" s="295">
        <v>43647</v>
      </c>
      <c r="F42" s="298" t="s">
        <v>1166</v>
      </c>
      <c r="G42" s="297" t="s">
        <v>1167</v>
      </c>
      <c r="H42" s="406">
        <v>69</v>
      </c>
      <c r="I42" s="376" t="s">
        <v>1141</v>
      </c>
      <c r="J42" s="331">
        <v>6000</v>
      </c>
      <c r="K42" s="331">
        <v>12000</v>
      </c>
      <c r="L42" s="331">
        <v>12000</v>
      </c>
      <c r="M42" s="331">
        <v>12000</v>
      </c>
      <c r="N42" s="297"/>
      <c r="O42" s="406">
        <v>2.2000000000000002</v>
      </c>
      <c r="P42" s="406">
        <v>2.1</v>
      </c>
      <c r="Q42" s="340">
        <v>0</v>
      </c>
      <c r="R42" s="340">
        <v>0</v>
      </c>
      <c r="S42" s="406">
        <v>1.8</v>
      </c>
      <c r="T42" s="406" t="s">
        <v>1142</v>
      </c>
      <c r="U42" s="406">
        <v>2.2000000000000002</v>
      </c>
      <c r="V42" s="406">
        <v>2.1</v>
      </c>
      <c r="W42" s="340">
        <v>0</v>
      </c>
      <c r="X42" s="340">
        <v>0</v>
      </c>
      <c r="Y42" s="406">
        <v>1.8</v>
      </c>
      <c r="Z42" s="406" t="s">
        <v>1142</v>
      </c>
      <c r="AA42" s="406" t="s">
        <v>1142</v>
      </c>
      <c r="AB42" s="406" t="s">
        <v>1142</v>
      </c>
      <c r="AC42" s="406" t="s">
        <v>1142</v>
      </c>
      <c r="AD42" s="406" t="s">
        <v>1142</v>
      </c>
      <c r="AE42" s="406" t="s">
        <v>1142</v>
      </c>
      <c r="AF42" s="406" t="s">
        <v>1142</v>
      </c>
      <c r="AG42" s="299" t="s">
        <v>1145</v>
      </c>
      <c r="AH42" s="299"/>
      <c r="AI42" s="299">
        <v>2</v>
      </c>
      <c r="AJ42" s="299">
        <v>4</v>
      </c>
      <c r="AK42" s="388">
        <v>0.33329999999999999</v>
      </c>
      <c r="AL42" s="388">
        <v>0.66659999999999997</v>
      </c>
      <c r="AM42" s="379"/>
      <c r="AN42" s="299">
        <v>10</v>
      </c>
      <c r="AO42" s="299">
        <v>0</v>
      </c>
      <c r="AP42" s="299">
        <v>0</v>
      </c>
      <c r="AQ42" s="299">
        <v>0</v>
      </c>
      <c r="AR42" s="299">
        <v>0</v>
      </c>
      <c r="AS42" s="299">
        <v>0</v>
      </c>
      <c r="AT42" s="299">
        <v>0</v>
      </c>
      <c r="AU42" s="299">
        <v>0</v>
      </c>
      <c r="AV42" s="299">
        <v>0</v>
      </c>
      <c r="AW42" s="299">
        <v>0</v>
      </c>
      <c r="AX42" s="299">
        <v>0</v>
      </c>
      <c r="AY42" s="299">
        <v>0</v>
      </c>
      <c r="AZ42" s="297"/>
      <c r="BA42" s="299" t="s">
        <v>1145</v>
      </c>
      <c r="BB42" s="299">
        <v>12</v>
      </c>
      <c r="BC42" s="299" t="s">
        <v>1145</v>
      </c>
      <c r="BD42" s="299"/>
      <c r="BE42" s="299"/>
      <c r="BF42" s="299"/>
      <c r="BG42" s="298"/>
      <c r="BH42" s="297"/>
      <c r="BI42" s="299"/>
      <c r="BJ42" s="299" t="s">
        <v>1146</v>
      </c>
      <c r="BK42" s="298"/>
      <c r="BL42" s="379" t="s">
        <v>430</v>
      </c>
      <c r="BM42" s="379" t="s">
        <v>368</v>
      </c>
    </row>
    <row r="43" spans="1:65" x14ac:dyDescent="0.15">
      <c r="A43" s="148">
        <v>1427</v>
      </c>
      <c r="B43" s="328">
        <v>43692</v>
      </c>
      <c r="C43" s="296" t="s">
        <v>1138</v>
      </c>
      <c r="D43" s="379" t="s">
        <v>1109</v>
      </c>
      <c r="E43" s="309">
        <v>43530</v>
      </c>
      <c r="F43" s="298" t="s">
        <v>1168</v>
      </c>
      <c r="G43" s="379" t="s">
        <v>28</v>
      </c>
      <c r="H43" s="406">
        <v>70.400000000000006</v>
      </c>
      <c r="I43" s="376" t="s">
        <v>1141</v>
      </c>
      <c r="J43" s="297">
        <v>3000</v>
      </c>
      <c r="K43" s="297">
        <v>3000</v>
      </c>
      <c r="L43" s="297">
        <v>3000</v>
      </c>
      <c r="M43" s="297">
        <v>3000</v>
      </c>
      <c r="N43" s="297"/>
      <c r="O43" s="406">
        <v>2.4</v>
      </c>
      <c r="P43" s="340">
        <v>0</v>
      </c>
      <c r="Q43" s="340">
        <v>0</v>
      </c>
      <c r="R43" s="340">
        <v>0</v>
      </c>
      <c r="S43" s="406">
        <v>1.8999999999999997</v>
      </c>
      <c r="T43" s="406" t="s">
        <v>1142</v>
      </c>
      <c r="U43" s="406">
        <v>2.4</v>
      </c>
      <c r="V43" s="340">
        <v>0</v>
      </c>
      <c r="W43" s="340">
        <v>0</v>
      </c>
      <c r="X43" s="340">
        <v>0</v>
      </c>
      <c r="Y43" s="406">
        <v>1.8999999999999997</v>
      </c>
      <c r="Z43" s="406" t="s">
        <v>1142</v>
      </c>
      <c r="AA43" s="406" t="s">
        <v>1142</v>
      </c>
      <c r="AB43" s="406" t="s">
        <v>1142</v>
      </c>
      <c r="AC43" s="406" t="s">
        <v>1142</v>
      </c>
      <c r="AD43" s="406" t="s">
        <v>1142</v>
      </c>
      <c r="AE43" s="406" t="s">
        <v>1142</v>
      </c>
      <c r="AF43" s="406" t="s">
        <v>1142</v>
      </c>
      <c r="AG43" s="299" t="s">
        <v>1145</v>
      </c>
      <c r="AH43" s="299"/>
      <c r="AI43" s="299">
        <v>2</v>
      </c>
      <c r="AJ43" s="299">
        <v>4</v>
      </c>
      <c r="AK43" s="388">
        <v>0.33329999999999999</v>
      </c>
      <c r="AL43" s="388">
        <v>0.66659999999999997</v>
      </c>
      <c r="AM43" s="379"/>
      <c r="AN43" s="299">
        <v>0</v>
      </c>
      <c r="AO43" s="299">
        <v>0</v>
      </c>
      <c r="AP43" s="299">
        <v>10</v>
      </c>
      <c r="AQ43" s="299">
        <v>0</v>
      </c>
      <c r="AR43" s="299">
        <v>0</v>
      </c>
      <c r="AS43" s="299">
        <v>0</v>
      </c>
      <c r="AT43" s="299">
        <v>0</v>
      </c>
      <c r="AU43" s="299">
        <v>0</v>
      </c>
      <c r="AV43" s="299">
        <v>0</v>
      </c>
      <c r="AW43" s="299">
        <v>0</v>
      </c>
      <c r="AX43" s="299">
        <v>0</v>
      </c>
      <c r="AY43" s="299">
        <v>0</v>
      </c>
      <c r="AZ43" s="299"/>
      <c r="BA43" s="299" t="s">
        <v>1145</v>
      </c>
      <c r="BB43" s="299"/>
      <c r="BC43" s="299" t="s">
        <v>1145</v>
      </c>
      <c r="BD43" s="299"/>
      <c r="BE43" s="299"/>
      <c r="BF43" s="299"/>
      <c r="BG43" s="298"/>
      <c r="BH43" s="297"/>
      <c r="BI43" s="299"/>
      <c r="BJ43" s="299" t="s">
        <v>1146</v>
      </c>
      <c r="BK43" s="298"/>
      <c r="BL43" s="379" t="s">
        <v>430</v>
      </c>
      <c r="BM43" s="379" t="s">
        <v>368</v>
      </c>
    </row>
    <row r="44" spans="1:65" x14ac:dyDescent="0.15">
      <c r="A44" s="148">
        <v>784</v>
      </c>
      <c r="B44" s="328">
        <v>43692</v>
      </c>
      <c r="C44" s="296" t="s">
        <v>1138</v>
      </c>
      <c r="D44" s="379" t="s">
        <v>1109</v>
      </c>
      <c r="E44" s="309">
        <v>43647</v>
      </c>
      <c r="F44" s="298" t="s">
        <v>1169</v>
      </c>
      <c r="G44" s="297" t="s">
        <v>1170</v>
      </c>
      <c r="H44" s="406">
        <v>75.25454545454545</v>
      </c>
      <c r="I44" s="376" t="s">
        <v>1141</v>
      </c>
      <c r="J44" s="297">
        <v>1645</v>
      </c>
      <c r="K44" s="297">
        <v>3000</v>
      </c>
      <c r="L44" s="297">
        <v>3000</v>
      </c>
      <c r="M44" s="297">
        <v>3000</v>
      </c>
      <c r="N44" s="297"/>
      <c r="O44" s="406">
        <v>2.4636363636363634</v>
      </c>
      <c r="P44" s="406">
        <v>1.9909090909090907</v>
      </c>
      <c r="Q44" s="340">
        <v>0</v>
      </c>
      <c r="R44" s="340">
        <v>0</v>
      </c>
      <c r="S44" s="406">
        <v>1.6818181818181817</v>
      </c>
      <c r="T44" s="406" t="s">
        <v>1142</v>
      </c>
      <c r="U44" s="406">
        <v>2.4636363636363634</v>
      </c>
      <c r="V44" s="406">
        <v>1.9909090909090907</v>
      </c>
      <c r="W44" s="340">
        <v>0</v>
      </c>
      <c r="X44" s="340">
        <v>0</v>
      </c>
      <c r="Y44" s="406">
        <v>1.6818181818181817</v>
      </c>
      <c r="Z44" s="406" t="s">
        <v>1142</v>
      </c>
      <c r="AA44" s="406" t="s">
        <v>1142</v>
      </c>
      <c r="AB44" s="406" t="s">
        <v>1142</v>
      </c>
      <c r="AC44" s="406" t="s">
        <v>1142</v>
      </c>
      <c r="AD44" s="406" t="s">
        <v>1142</v>
      </c>
      <c r="AE44" s="406" t="s">
        <v>1142</v>
      </c>
      <c r="AF44" s="406" t="s">
        <v>1142</v>
      </c>
      <c r="AG44" s="299" t="s">
        <v>1145</v>
      </c>
      <c r="AH44" s="299"/>
      <c r="AI44" s="299">
        <v>2</v>
      </c>
      <c r="AJ44" s="299">
        <v>4</v>
      </c>
      <c r="AK44" s="388">
        <v>0.33329999999999999</v>
      </c>
      <c r="AL44" s="388">
        <v>0.66659999999999997</v>
      </c>
      <c r="AM44" s="379"/>
      <c r="AN44" s="299">
        <v>0</v>
      </c>
      <c r="AO44" s="299">
        <v>0</v>
      </c>
      <c r="AP44" s="299">
        <v>0</v>
      </c>
      <c r="AQ44" s="299">
        <v>0</v>
      </c>
      <c r="AR44" s="299">
        <v>0</v>
      </c>
      <c r="AS44" s="299">
        <v>0</v>
      </c>
      <c r="AT44" s="299">
        <v>0</v>
      </c>
      <c r="AU44" s="299">
        <v>0</v>
      </c>
      <c r="AV44" s="299">
        <v>0</v>
      </c>
      <c r="AW44" s="299">
        <v>0</v>
      </c>
      <c r="AX44" s="299">
        <v>0</v>
      </c>
      <c r="AY44" s="299">
        <v>0</v>
      </c>
      <c r="AZ44" s="297"/>
      <c r="BA44" s="299" t="s">
        <v>1145</v>
      </c>
      <c r="BB44" s="299"/>
      <c r="BC44" s="299" t="s">
        <v>1145</v>
      </c>
      <c r="BD44" s="299"/>
      <c r="BE44" s="299"/>
      <c r="BF44" s="299"/>
      <c r="BG44" s="378" t="s">
        <v>1171</v>
      </c>
      <c r="BH44" s="297" t="s">
        <v>365</v>
      </c>
      <c r="BI44" s="299">
        <v>50</v>
      </c>
      <c r="BJ44" s="299" t="s">
        <v>1164</v>
      </c>
      <c r="BK44" s="298"/>
      <c r="BL44" s="297" t="s">
        <v>1195</v>
      </c>
      <c r="BM44" s="379" t="s">
        <v>368</v>
      </c>
    </row>
    <row r="45" spans="1:65" x14ac:dyDescent="0.15">
      <c r="A45" s="148">
        <v>2222</v>
      </c>
      <c r="B45" s="328">
        <v>43692</v>
      </c>
      <c r="C45" s="296" t="s">
        <v>1138</v>
      </c>
      <c r="D45" s="379" t="s">
        <v>1109</v>
      </c>
      <c r="E45" s="309">
        <v>43647</v>
      </c>
      <c r="F45" s="297" t="s">
        <v>1173</v>
      </c>
      <c r="G45" s="379" t="s">
        <v>1174</v>
      </c>
      <c r="H45" s="406">
        <v>65</v>
      </c>
      <c r="I45" s="376" t="s">
        <v>1141</v>
      </c>
      <c r="J45" s="297">
        <v>1645</v>
      </c>
      <c r="K45" s="297">
        <v>3000</v>
      </c>
      <c r="L45" s="297">
        <v>3000</v>
      </c>
      <c r="M45" s="297">
        <v>3000</v>
      </c>
      <c r="N45" s="332"/>
      <c r="O45" s="406">
        <v>2.3272727272727272</v>
      </c>
      <c r="P45" s="406">
        <v>2.0181818181818181</v>
      </c>
      <c r="Q45" s="340">
        <v>0</v>
      </c>
      <c r="R45" s="340">
        <v>0</v>
      </c>
      <c r="S45" s="406">
        <v>1.718181818181818</v>
      </c>
      <c r="T45" s="406" t="s">
        <v>1142</v>
      </c>
      <c r="U45" s="406">
        <v>2.3272727272727272</v>
      </c>
      <c r="V45" s="406">
        <v>2.0181818181818181</v>
      </c>
      <c r="W45" s="340">
        <v>0</v>
      </c>
      <c r="X45" s="340">
        <v>0</v>
      </c>
      <c r="Y45" s="406">
        <v>1.718181818181818</v>
      </c>
      <c r="Z45" s="406" t="s">
        <v>1142</v>
      </c>
      <c r="AA45" s="406" t="s">
        <v>1142</v>
      </c>
      <c r="AB45" s="406" t="s">
        <v>1142</v>
      </c>
      <c r="AC45" s="406" t="s">
        <v>1142</v>
      </c>
      <c r="AD45" s="406" t="s">
        <v>1142</v>
      </c>
      <c r="AE45" s="406" t="s">
        <v>1142</v>
      </c>
      <c r="AF45" s="406" t="s">
        <v>1142</v>
      </c>
      <c r="AG45" s="333" t="s">
        <v>1145</v>
      </c>
      <c r="AH45" s="333"/>
      <c r="AI45" s="299">
        <v>2</v>
      </c>
      <c r="AJ45" s="299">
        <v>4</v>
      </c>
      <c r="AK45" s="388">
        <v>0.33329999999999999</v>
      </c>
      <c r="AL45" s="388">
        <v>0.66659999999999997</v>
      </c>
      <c r="AM45" s="379"/>
      <c r="AN45" s="299">
        <v>0</v>
      </c>
      <c r="AO45" s="299">
        <v>0</v>
      </c>
      <c r="AP45" s="299">
        <v>5</v>
      </c>
      <c r="AQ45" s="299">
        <v>0</v>
      </c>
      <c r="AR45" s="299">
        <v>0</v>
      </c>
      <c r="AS45" s="299">
        <v>0</v>
      </c>
      <c r="AT45" s="299">
        <v>0</v>
      </c>
      <c r="AU45" s="299">
        <v>0</v>
      </c>
      <c r="AV45" s="299">
        <v>0</v>
      </c>
      <c r="AW45" s="299">
        <v>0</v>
      </c>
      <c r="AX45" s="299">
        <v>0</v>
      </c>
      <c r="AY45" s="299">
        <v>0</v>
      </c>
      <c r="AZ45" s="299"/>
      <c r="BA45" s="299" t="s">
        <v>1145</v>
      </c>
      <c r="BB45" s="299">
        <v>12</v>
      </c>
      <c r="BC45" s="299" t="s">
        <v>1145</v>
      </c>
      <c r="BD45" s="299"/>
      <c r="BE45" s="299"/>
      <c r="BF45" s="299"/>
      <c r="BG45" s="298"/>
      <c r="BH45" s="297"/>
      <c r="BI45" s="299"/>
      <c r="BJ45" s="299" t="s">
        <v>1164</v>
      </c>
      <c r="BK45" s="298"/>
      <c r="BL45" s="297" t="s">
        <v>1196</v>
      </c>
      <c r="BM45" s="379" t="s">
        <v>368</v>
      </c>
    </row>
    <row r="46" spans="1:65" x14ac:dyDescent="0.15">
      <c r="A46" s="148">
        <v>1914</v>
      </c>
      <c r="B46" s="328">
        <v>43692</v>
      </c>
      <c r="C46" s="296" t="s">
        <v>1138</v>
      </c>
      <c r="D46" s="379" t="s">
        <v>1109</v>
      </c>
      <c r="E46" s="295">
        <v>43647</v>
      </c>
      <c r="F46" s="298" t="s">
        <v>987</v>
      </c>
      <c r="G46" s="297" t="s">
        <v>1127</v>
      </c>
      <c r="H46" s="406">
        <v>54.536000000000001</v>
      </c>
      <c r="I46" s="376" t="s">
        <v>1141</v>
      </c>
      <c r="J46" s="297">
        <v>1645</v>
      </c>
      <c r="K46" s="297">
        <v>3000</v>
      </c>
      <c r="L46" s="297">
        <v>3000</v>
      </c>
      <c r="M46" s="297">
        <v>3000</v>
      </c>
      <c r="N46" s="297"/>
      <c r="O46" s="406">
        <v>2.5499999999999998</v>
      </c>
      <c r="P46" s="406">
        <v>2.1760000000000002</v>
      </c>
      <c r="Q46" s="340">
        <v>0</v>
      </c>
      <c r="R46" s="340">
        <v>0</v>
      </c>
      <c r="S46" s="406">
        <v>1.9040000000000001</v>
      </c>
      <c r="T46" s="406" t="s">
        <v>1142</v>
      </c>
      <c r="U46" s="406">
        <v>2.5499999999999998</v>
      </c>
      <c r="V46" s="406">
        <v>2.1760000000000002</v>
      </c>
      <c r="W46" s="340">
        <v>0</v>
      </c>
      <c r="X46" s="340">
        <v>0</v>
      </c>
      <c r="Y46" s="406">
        <v>1.9040000000000001</v>
      </c>
      <c r="Z46" s="406" t="s">
        <v>1142</v>
      </c>
      <c r="AA46" s="406" t="s">
        <v>1142</v>
      </c>
      <c r="AB46" s="406" t="s">
        <v>1142</v>
      </c>
      <c r="AC46" s="406" t="s">
        <v>1142</v>
      </c>
      <c r="AD46" s="406" t="s">
        <v>1142</v>
      </c>
      <c r="AE46" s="406" t="s">
        <v>1142</v>
      </c>
      <c r="AF46" s="406" t="s">
        <v>1142</v>
      </c>
      <c r="AG46" s="299" t="s">
        <v>1145</v>
      </c>
      <c r="AH46" s="299"/>
      <c r="AI46" s="299">
        <v>2</v>
      </c>
      <c r="AJ46" s="299">
        <v>4</v>
      </c>
      <c r="AK46" s="388">
        <v>0.33329999999999999</v>
      </c>
      <c r="AL46" s="388">
        <v>0.66659999999999997</v>
      </c>
      <c r="AM46" s="379"/>
      <c r="AN46" s="299">
        <v>0</v>
      </c>
      <c r="AO46" s="299">
        <v>0</v>
      </c>
      <c r="AP46" s="299">
        <v>0</v>
      </c>
      <c r="AQ46" s="299">
        <v>0</v>
      </c>
      <c r="AR46" s="299">
        <v>0</v>
      </c>
      <c r="AS46" s="299">
        <v>0</v>
      </c>
      <c r="AT46" s="299">
        <v>0</v>
      </c>
      <c r="AU46" s="299">
        <v>0</v>
      </c>
      <c r="AV46" s="299">
        <v>0</v>
      </c>
      <c r="AW46" s="299">
        <v>0</v>
      </c>
      <c r="AX46" s="299">
        <v>0</v>
      </c>
      <c r="AY46" s="299">
        <v>0</v>
      </c>
      <c r="AZ46" s="299"/>
      <c r="BA46" s="299" t="s">
        <v>1145</v>
      </c>
      <c r="BB46" s="299"/>
      <c r="BC46" s="299" t="s">
        <v>1145</v>
      </c>
      <c r="BD46" s="299"/>
      <c r="BE46" s="299"/>
      <c r="BF46" s="299"/>
      <c r="BG46" s="298"/>
      <c r="BH46" s="297"/>
      <c r="BI46" s="299"/>
      <c r="BJ46" s="299" t="s">
        <v>1146</v>
      </c>
      <c r="BK46" s="298" t="s">
        <v>370</v>
      </c>
      <c r="BL46" s="297" t="s">
        <v>1197</v>
      </c>
      <c r="BM46" s="379" t="s">
        <v>368</v>
      </c>
    </row>
    <row r="47" spans="1:65" x14ac:dyDescent="0.15">
      <c r="A47" s="148">
        <v>1684</v>
      </c>
      <c r="B47" s="328">
        <v>43692</v>
      </c>
      <c r="C47" s="296" t="s">
        <v>295</v>
      </c>
      <c r="D47" s="379" t="s">
        <v>1109</v>
      </c>
      <c r="E47" s="328">
        <v>43693</v>
      </c>
      <c r="F47" s="420" t="s">
        <v>1106</v>
      </c>
      <c r="G47" s="297" t="s">
        <v>2</v>
      </c>
      <c r="H47" s="406">
        <v>60</v>
      </c>
      <c r="I47" s="376" t="s">
        <v>296</v>
      </c>
      <c r="J47" s="297">
        <v>6000</v>
      </c>
      <c r="K47" s="297">
        <v>6000</v>
      </c>
      <c r="L47" s="297">
        <v>6000</v>
      </c>
      <c r="M47" s="297">
        <v>6000</v>
      </c>
      <c r="N47" s="297"/>
      <c r="O47" s="406">
        <v>1.88</v>
      </c>
      <c r="P47" s="340">
        <v>0</v>
      </c>
      <c r="Q47" s="340">
        <v>0</v>
      </c>
      <c r="R47" s="340">
        <v>0</v>
      </c>
      <c r="S47" s="406">
        <v>1.88</v>
      </c>
      <c r="T47" s="406" t="s">
        <v>1142</v>
      </c>
      <c r="U47" s="406">
        <v>1.88</v>
      </c>
      <c r="V47" s="340">
        <v>0</v>
      </c>
      <c r="W47" s="340">
        <v>0</v>
      </c>
      <c r="X47" s="340">
        <v>0</v>
      </c>
      <c r="Y47" s="406">
        <v>1.88</v>
      </c>
      <c r="Z47" s="406" t="s">
        <v>1142</v>
      </c>
      <c r="AA47" s="406" t="s">
        <v>1142</v>
      </c>
      <c r="AB47" s="406" t="s">
        <v>1142</v>
      </c>
      <c r="AC47" s="406" t="s">
        <v>1142</v>
      </c>
      <c r="AD47" s="406" t="s">
        <v>1142</v>
      </c>
      <c r="AE47" s="406" t="s">
        <v>1142</v>
      </c>
      <c r="AF47" s="406" t="s">
        <v>1142</v>
      </c>
      <c r="AG47" s="299" t="s">
        <v>1145</v>
      </c>
      <c r="AH47" s="299"/>
      <c r="AI47" s="299">
        <v>2</v>
      </c>
      <c r="AJ47" s="299">
        <v>4</v>
      </c>
      <c r="AK47" s="388">
        <v>0.33329999999999999</v>
      </c>
      <c r="AL47" s="388">
        <v>0.66659999999999997</v>
      </c>
      <c r="AM47" s="379"/>
      <c r="AN47" s="299">
        <v>0</v>
      </c>
      <c r="AO47" s="299">
        <v>0</v>
      </c>
      <c r="AP47" s="299">
        <v>5</v>
      </c>
      <c r="AQ47" s="299">
        <v>0</v>
      </c>
      <c r="AR47" s="299">
        <v>0</v>
      </c>
      <c r="AS47" s="299">
        <v>0</v>
      </c>
      <c r="AT47" s="299">
        <v>0</v>
      </c>
      <c r="AU47" s="299">
        <v>0</v>
      </c>
      <c r="AV47" s="299">
        <v>0</v>
      </c>
      <c r="AW47" s="299">
        <v>0</v>
      </c>
      <c r="AX47" s="299">
        <v>0</v>
      </c>
      <c r="AY47" s="299">
        <v>0</v>
      </c>
      <c r="AZ47" s="299"/>
      <c r="BA47" s="299" t="s">
        <v>1145</v>
      </c>
      <c r="BB47" s="299"/>
      <c r="BC47" s="299" t="s">
        <v>1145</v>
      </c>
      <c r="BD47" s="299"/>
      <c r="BE47" s="299"/>
      <c r="BF47" s="298"/>
      <c r="BG47" s="297"/>
      <c r="BH47" s="299"/>
      <c r="BI47" s="299"/>
      <c r="BJ47" s="299" t="s">
        <v>1146</v>
      </c>
      <c r="BK47" s="297" t="s">
        <v>370</v>
      </c>
      <c r="BL47" s="297" t="s">
        <v>1198</v>
      </c>
      <c r="BM47" s="379" t="s">
        <v>368</v>
      </c>
    </row>
    <row r="48" spans="1:65" x14ac:dyDescent="0.15">
      <c r="A48" s="148">
        <v>2214</v>
      </c>
      <c r="B48" s="328">
        <v>43692</v>
      </c>
      <c r="C48" s="296" t="s">
        <v>1138</v>
      </c>
      <c r="D48" s="379" t="s">
        <v>1109</v>
      </c>
      <c r="E48" s="418">
        <v>43646</v>
      </c>
      <c r="F48" s="297" t="s">
        <v>34</v>
      </c>
      <c r="G48" s="379" t="s">
        <v>1178</v>
      </c>
      <c r="H48" s="406">
        <v>81.680000000000007</v>
      </c>
      <c r="I48" s="394"/>
      <c r="J48" s="394"/>
      <c r="K48" s="394"/>
      <c r="L48" s="332"/>
      <c r="M48" s="332"/>
      <c r="N48" s="332"/>
      <c r="O48" s="406">
        <v>1.78</v>
      </c>
      <c r="P48" s="340">
        <v>0</v>
      </c>
      <c r="Q48" s="340">
        <v>0</v>
      </c>
      <c r="R48" s="340">
        <v>0</v>
      </c>
      <c r="S48" s="340">
        <v>0</v>
      </c>
      <c r="T48" s="406" t="s">
        <v>1142</v>
      </c>
      <c r="U48" s="406">
        <v>1.78</v>
      </c>
      <c r="V48" s="340">
        <v>0</v>
      </c>
      <c r="W48" s="340">
        <v>0</v>
      </c>
      <c r="X48" s="340">
        <v>0</v>
      </c>
      <c r="Y48" s="340">
        <v>0</v>
      </c>
      <c r="Z48" s="406" t="s">
        <v>1142</v>
      </c>
      <c r="AA48" s="406" t="s">
        <v>1142</v>
      </c>
      <c r="AB48" s="406" t="s">
        <v>1142</v>
      </c>
      <c r="AC48" s="406" t="s">
        <v>1142</v>
      </c>
      <c r="AD48" s="406" t="s">
        <v>1142</v>
      </c>
      <c r="AE48" s="406" t="s">
        <v>1142</v>
      </c>
      <c r="AF48" s="406" t="s">
        <v>1142</v>
      </c>
      <c r="AG48" s="333" t="s">
        <v>1145</v>
      </c>
      <c r="AH48" s="333"/>
      <c r="AI48" s="299">
        <v>2</v>
      </c>
      <c r="AJ48" s="299">
        <v>4</v>
      </c>
      <c r="AK48" s="388">
        <v>0.33329999999999999</v>
      </c>
      <c r="AL48" s="388">
        <v>0.66659999999999997</v>
      </c>
      <c r="AM48" s="379"/>
      <c r="AN48" s="299">
        <v>0</v>
      </c>
      <c r="AO48" s="299">
        <v>0</v>
      </c>
      <c r="AP48" s="299">
        <v>5</v>
      </c>
      <c r="AQ48" s="299">
        <v>0</v>
      </c>
      <c r="AR48" s="299">
        <v>0</v>
      </c>
      <c r="AS48" s="299">
        <v>0</v>
      </c>
      <c r="AT48" s="299">
        <v>0</v>
      </c>
      <c r="AU48" s="299">
        <v>0</v>
      </c>
      <c r="AV48" s="299">
        <v>0</v>
      </c>
      <c r="AW48" s="299">
        <v>0</v>
      </c>
      <c r="AX48" s="299">
        <v>0</v>
      </c>
      <c r="AY48" s="299">
        <v>0</v>
      </c>
      <c r="AZ48" s="299"/>
      <c r="BA48" s="299" t="s">
        <v>1145</v>
      </c>
      <c r="BB48" s="299"/>
      <c r="BC48" s="299" t="s">
        <v>1145</v>
      </c>
      <c r="BD48" s="299"/>
      <c r="BE48" s="299"/>
      <c r="BF48" s="299"/>
      <c r="BG48" s="298"/>
      <c r="BH48" s="297"/>
      <c r="BI48" s="299"/>
      <c r="BJ48" s="299" t="s">
        <v>1164</v>
      </c>
      <c r="BK48" s="298" t="s">
        <v>47</v>
      </c>
      <c r="BL48" s="297" t="s">
        <v>1199</v>
      </c>
      <c r="BM48" s="379" t="s">
        <v>368</v>
      </c>
    </row>
    <row r="49" spans="1:65" x14ac:dyDescent="0.15">
      <c r="A49" s="148">
        <v>2054</v>
      </c>
      <c r="B49" s="328">
        <v>43692</v>
      </c>
      <c r="C49" s="296" t="s">
        <v>1138</v>
      </c>
      <c r="D49" s="379" t="s">
        <v>1109</v>
      </c>
      <c r="E49" s="295">
        <v>43646</v>
      </c>
      <c r="F49" s="378" t="s">
        <v>1180</v>
      </c>
      <c r="G49" s="379" t="s">
        <v>1181</v>
      </c>
      <c r="H49" s="406">
        <v>83.554545454545448</v>
      </c>
      <c r="I49" s="376"/>
      <c r="J49" s="331"/>
      <c r="K49" s="297"/>
      <c r="L49" s="297"/>
      <c r="M49" s="297"/>
      <c r="N49" s="297"/>
      <c r="O49" s="406">
        <v>1.8181818181818181</v>
      </c>
      <c r="P49" s="340">
        <v>0</v>
      </c>
      <c r="Q49" s="340">
        <v>0</v>
      </c>
      <c r="R49" s="340">
        <v>0</v>
      </c>
      <c r="S49" s="340">
        <v>0</v>
      </c>
      <c r="T49" s="406" t="s">
        <v>1142</v>
      </c>
      <c r="U49" s="406">
        <v>1.8181818181818181</v>
      </c>
      <c r="V49" s="340">
        <v>0</v>
      </c>
      <c r="W49" s="340">
        <v>0</v>
      </c>
      <c r="X49" s="340">
        <v>0</v>
      </c>
      <c r="Y49" s="340">
        <v>0</v>
      </c>
      <c r="Z49" s="406" t="s">
        <v>1142</v>
      </c>
      <c r="AA49" s="406" t="s">
        <v>1142</v>
      </c>
      <c r="AB49" s="406" t="s">
        <v>1142</v>
      </c>
      <c r="AC49" s="406" t="s">
        <v>1142</v>
      </c>
      <c r="AD49" s="406" t="s">
        <v>1142</v>
      </c>
      <c r="AE49" s="406" t="s">
        <v>1142</v>
      </c>
      <c r="AF49" s="406" t="s">
        <v>1142</v>
      </c>
      <c r="AG49" s="299" t="s">
        <v>1145</v>
      </c>
      <c r="AH49" s="299"/>
      <c r="AI49" s="299">
        <v>2</v>
      </c>
      <c r="AJ49" s="299">
        <v>4</v>
      </c>
      <c r="AK49" s="388">
        <v>0.33329999999999999</v>
      </c>
      <c r="AL49" s="388">
        <v>0.66659999999999997</v>
      </c>
      <c r="AM49" s="379"/>
      <c r="AN49" s="299">
        <v>0</v>
      </c>
      <c r="AO49" s="299">
        <v>0</v>
      </c>
      <c r="AP49" s="299">
        <v>0</v>
      </c>
      <c r="AQ49" s="299">
        <v>0</v>
      </c>
      <c r="AR49" s="299">
        <v>0</v>
      </c>
      <c r="AS49" s="299">
        <v>0</v>
      </c>
      <c r="AT49" s="299">
        <v>0</v>
      </c>
      <c r="AU49" s="299">
        <v>0</v>
      </c>
      <c r="AV49" s="299">
        <v>0</v>
      </c>
      <c r="AW49" s="299">
        <v>0</v>
      </c>
      <c r="AX49" s="299">
        <v>0</v>
      </c>
      <c r="AY49" s="299">
        <v>0</v>
      </c>
      <c r="AZ49" s="299"/>
      <c r="BA49" s="299" t="s">
        <v>1145</v>
      </c>
      <c r="BB49" s="299"/>
      <c r="BC49" s="299" t="s">
        <v>1145</v>
      </c>
      <c r="BD49" s="299"/>
      <c r="BE49" s="299"/>
      <c r="BF49" s="299"/>
      <c r="BG49" s="298"/>
      <c r="BH49" s="297"/>
      <c r="BI49" s="299"/>
      <c r="BJ49" s="299" t="s">
        <v>1164</v>
      </c>
      <c r="BK49" s="298" t="s">
        <v>1182</v>
      </c>
      <c r="BL49" s="379" t="s">
        <v>1200</v>
      </c>
      <c r="BM49" s="379" t="s">
        <v>368</v>
      </c>
    </row>
    <row r="50" spans="1:65" x14ac:dyDescent="0.15">
      <c r="A50" s="148">
        <v>1342</v>
      </c>
      <c r="B50" s="328">
        <v>43692</v>
      </c>
      <c r="C50" s="296" t="s">
        <v>1138</v>
      </c>
      <c r="D50" s="379" t="s">
        <v>1110</v>
      </c>
      <c r="E50" s="295">
        <v>43647</v>
      </c>
      <c r="F50" s="298" t="s">
        <v>1139</v>
      </c>
      <c r="G50" s="297" t="s">
        <v>1140</v>
      </c>
      <c r="H50" s="406">
        <v>74.3</v>
      </c>
      <c r="I50" s="376" t="s">
        <v>1141</v>
      </c>
      <c r="J50" s="297">
        <v>1645</v>
      </c>
      <c r="K50" s="297">
        <v>3000</v>
      </c>
      <c r="L50" s="297">
        <v>3000</v>
      </c>
      <c r="M50" s="297">
        <v>3000</v>
      </c>
      <c r="N50" s="297"/>
      <c r="O50" s="406">
        <v>2.2181818181818178</v>
      </c>
      <c r="P50" s="406">
        <v>2.1727272727272728</v>
      </c>
      <c r="Q50" s="340">
        <v>0</v>
      </c>
      <c r="R50" s="340">
        <v>0</v>
      </c>
      <c r="S50" s="406">
        <v>1.4727272727272727</v>
      </c>
      <c r="T50" s="406" t="s">
        <v>1142</v>
      </c>
      <c r="U50" s="406">
        <v>2.2181818181818178</v>
      </c>
      <c r="V50" s="406">
        <v>2.1727272727272728</v>
      </c>
      <c r="W50" s="340">
        <v>0</v>
      </c>
      <c r="X50" s="340">
        <v>0</v>
      </c>
      <c r="Y50" s="406">
        <v>1.4727272727272727</v>
      </c>
      <c r="Z50" s="406" t="s">
        <v>1142</v>
      </c>
      <c r="AA50" s="406" t="s">
        <v>1142</v>
      </c>
      <c r="AB50" s="406" t="s">
        <v>1142</v>
      </c>
      <c r="AC50" s="406" t="s">
        <v>1142</v>
      </c>
      <c r="AD50" s="406" t="s">
        <v>1142</v>
      </c>
      <c r="AE50" s="406" t="s">
        <v>1142</v>
      </c>
      <c r="AF50" s="406" t="s">
        <v>1142</v>
      </c>
      <c r="AG50" s="299" t="s">
        <v>1145</v>
      </c>
      <c r="AH50" s="299"/>
      <c r="AI50" s="299">
        <v>2</v>
      </c>
      <c r="AJ50" s="299">
        <v>4</v>
      </c>
      <c r="AK50" s="388">
        <v>0.33329999999999999</v>
      </c>
      <c r="AL50" s="388">
        <v>0.66659999999999997</v>
      </c>
      <c r="AM50" s="379"/>
      <c r="AN50" s="299">
        <v>0</v>
      </c>
      <c r="AO50" s="299">
        <v>0</v>
      </c>
      <c r="AP50" s="299">
        <v>0</v>
      </c>
      <c r="AQ50" s="299">
        <v>0</v>
      </c>
      <c r="AR50" s="299">
        <v>0</v>
      </c>
      <c r="AS50" s="299">
        <v>0</v>
      </c>
      <c r="AT50" s="299">
        <v>0</v>
      </c>
      <c r="AU50" s="299">
        <v>0</v>
      </c>
      <c r="AV50" s="299">
        <v>0</v>
      </c>
      <c r="AW50" s="299">
        <v>0</v>
      </c>
      <c r="AX50" s="299">
        <v>0</v>
      </c>
      <c r="AY50" s="299">
        <v>0</v>
      </c>
      <c r="AZ50" s="299"/>
      <c r="BA50" s="299" t="s">
        <v>1145</v>
      </c>
      <c r="BB50" s="299">
        <v>12</v>
      </c>
      <c r="BC50" s="299" t="s">
        <v>1145</v>
      </c>
      <c r="BD50" s="299"/>
      <c r="BE50" s="299">
        <v>12</v>
      </c>
      <c r="BF50" s="299"/>
      <c r="BG50" s="298"/>
      <c r="BH50" s="297"/>
      <c r="BI50" s="299"/>
      <c r="BJ50" s="299" t="s">
        <v>1146</v>
      </c>
      <c r="BK50" s="378"/>
      <c r="BL50" s="379" t="s">
        <v>1201</v>
      </c>
      <c r="BM50" s="379" t="s">
        <v>368</v>
      </c>
    </row>
    <row r="51" spans="1:65" x14ac:dyDescent="0.15">
      <c r="A51" s="148">
        <v>2186</v>
      </c>
      <c r="B51" s="328">
        <v>43692</v>
      </c>
      <c r="C51" s="296" t="s">
        <v>1138</v>
      </c>
      <c r="D51" s="379" t="s">
        <v>1110</v>
      </c>
      <c r="E51" s="328">
        <v>43647</v>
      </c>
      <c r="F51" s="298" t="s">
        <v>1148</v>
      </c>
      <c r="G51" s="379" t="s">
        <v>1149</v>
      </c>
      <c r="H51" s="406">
        <v>75</v>
      </c>
      <c r="I51" s="376" t="s">
        <v>1141</v>
      </c>
      <c r="J51" s="297">
        <v>1645</v>
      </c>
      <c r="K51" s="297">
        <v>3000</v>
      </c>
      <c r="L51" s="297">
        <v>3000</v>
      </c>
      <c r="M51" s="297">
        <v>3000</v>
      </c>
      <c r="N51" s="297"/>
      <c r="O51" s="406">
        <v>2.3636363636363633</v>
      </c>
      <c r="P51" s="406">
        <v>2.3636363636363633</v>
      </c>
      <c r="Q51" s="340">
        <v>0</v>
      </c>
      <c r="R51" s="340">
        <v>0</v>
      </c>
      <c r="S51" s="406">
        <v>1.9090909090909089</v>
      </c>
      <c r="T51" s="406" t="s">
        <v>1142</v>
      </c>
      <c r="U51" s="406">
        <v>2.3636363636363633</v>
      </c>
      <c r="V51" s="406">
        <v>2.3636363636363633</v>
      </c>
      <c r="W51" s="340">
        <v>0</v>
      </c>
      <c r="X51" s="340">
        <v>0</v>
      </c>
      <c r="Y51" s="406">
        <v>1.9090909090909089</v>
      </c>
      <c r="Z51" s="406" t="s">
        <v>1142</v>
      </c>
      <c r="AA51" s="406" t="s">
        <v>1142</v>
      </c>
      <c r="AB51" s="406" t="s">
        <v>1142</v>
      </c>
      <c r="AC51" s="406" t="s">
        <v>1142</v>
      </c>
      <c r="AD51" s="406" t="s">
        <v>1142</v>
      </c>
      <c r="AE51" s="406" t="s">
        <v>1142</v>
      </c>
      <c r="AF51" s="406" t="s">
        <v>1142</v>
      </c>
      <c r="AG51" s="299" t="s">
        <v>1145</v>
      </c>
      <c r="AH51" s="299"/>
      <c r="AI51" s="299">
        <v>2</v>
      </c>
      <c r="AJ51" s="299">
        <v>4</v>
      </c>
      <c r="AK51" s="388">
        <v>0.33329999999999999</v>
      </c>
      <c r="AL51" s="388">
        <v>0.66659999999999997</v>
      </c>
      <c r="AM51" s="379"/>
      <c r="AN51" s="299">
        <v>0</v>
      </c>
      <c r="AO51" s="299">
        <v>0</v>
      </c>
      <c r="AP51" s="299">
        <v>0</v>
      </c>
      <c r="AQ51" s="299">
        <v>0</v>
      </c>
      <c r="AR51" s="299">
        <v>0</v>
      </c>
      <c r="AS51" s="299">
        <v>0</v>
      </c>
      <c r="AT51" s="299">
        <v>0</v>
      </c>
      <c r="AU51" s="299">
        <v>0</v>
      </c>
      <c r="AV51" s="299">
        <v>0</v>
      </c>
      <c r="AW51" s="299">
        <v>0</v>
      </c>
      <c r="AX51" s="299">
        <v>0</v>
      </c>
      <c r="AY51" s="299">
        <v>0</v>
      </c>
      <c r="AZ51" s="297"/>
      <c r="BA51" s="299" t="s">
        <v>1145</v>
      </c>
      <c r="BB51" s="299"/>
      <c r="BC51" s="299" t="s">
        <v>1145</v>
      </c>
      <c r="BD51" s="299"/>
      <c r="BE51" s="299"/>
      <c r="BF51" s="299"/>
      <c r="BG51" s="298" t="s">
        <v>1150</v>
      </c>
      <c r="BH51" s="297" t="s">
        <v>365</v>
      </c>
      <c r="BI51" s="407">
        <v>100</v>
      </c>
      <c r="BJ51" s="299" t="s">
        <v>411</v>
      </c>
      <c r="BK51" s="298"/>
      <c r="BL51" s="379" t="s">
        <v>1151</v>
      </c>
      <c r="BM51" s="379" t="s">
        <v>368</v>
      </c>
    </row>
    <row r="52" spans="1:65" x14ac:dyDescent="0.15">
      <c r="A52" s="148">
        <v>2198</v>
      </c>
      <c r="B52" s="328">
        <v>43692</v>
      </c>
      <c r="C52" s="296" t="s">
        <v>1138</v>
      </c>
      <c r="D52" s="379" t="s">
        <v>1110</v>
      </c>
      <c r="E52" s="295">
        <v>43647</v>
      </c>
      <c r="F52" s="298" t="s">
        <v>1152</v>
      </c>
      <c r="G52" s="379" t="s">
        <v>1153</v>
      </c>
      <c r="H52" s="406">
        <v>59.345454545454544</v>
      </c>
      <c r="I52" s="376" t="s">
        <v>1141</v>
      </c>
      <c r="J52" s="297">
        <v>1645</v>
      </c>
      <c r="K52" s="297">
        <v>3000</v>
      </c>
      <c r="L52" s="297">
        <v>3000</v>
      </c>
      <c r="M52" s="297">
        <v>3000</v>
      </c>
      <c r="N52" s="297"/>
      <c r="O52" s="406">
        <v>2.7727272727272725</v>
      </c>
      <c r="P52" s="406">
        <v>2.3636363636363633</v>
      </c>
      <c r="Q52" s="340">
        <v>0</v>
      </c>
      <c r="R52" s="340">
        <v>0</v>
      </c>
      <c r="S52" s="406">
        <v>2.0363636363636366</v>
      </c>
      <c r="T52" s="406" t="s">
        <v>1142</v>
      </c>
      <c r="U52" s="406">
        <v>2.7727272727272725</v>
      </c>
      <c r="V52" s="406">
        <v>2.3636363636363633</v>
      </c>
      <c r="W52" s="340">
        <v>0</v>
      </c>
      <c r="X52" s="340">
        <v>0</v>
      </c>
      <c r="Y52" s="406">
        <v>2.0363636363636366</v>
      </c>
      <c r="Z52" s="406" t="s">
        <v>1142</v>
      </c>
      <c r="AA52" s="406" t="s">
        <v>1142</v>
      </c>
      <c r="AB52" s="406" t="s">
        <v>1142</v>
      </c>
      <c r="AC52" s="406" t="s">
        <v>1142</v>
      </c>
      <c r="AD52" s="406" t="s">
        <v>1142</v>
      </c>
      <c r="AE52" s="406" t="s">
        <v>1142</v>
      </c>
      <c r="AF52" s="406" t="s">
        <v>1142</v>
      </c>
      <c r="AG52" s="299" t="s">
        <v>1145</v>
      </c>
      <c r="AH52" s="299"/>
      <c r="AI52" s="299">
        <v>2</v>
      </c>
      <c r="AJ52" s="299">
        <v>4</v>
      </c>
      <c r="AK52" s="388">
        <v>0.33329999999999999</v>
      </c>
      <c r="AL52" s="388">
        <v>0.66659999999999997</v>
      </c>
      <c r="AM52" s="379"/>
      <c r="AN52" s="299">
        <v>0</v>
      </c>
      <c r="AO52" s="299">
        <v>0</v>
      </c>
      <c r="AP52" s="299">
        <v>0</v>
      </c>
      <c r="AQ52" s="299">
        <v>0</v>
      </c>
      <c r="AR52" s="299">
        <v>0</v>
      </c>
      <c r="AS52" s="299">
        <v>0</v>
      </c>
      <c r="AT52" s="299">
        <v>0</v>
      </c>
      <c r="AU52" s="299">
        <v>0</v>
      </c>
      <c r="AV52" s="299">
        <v>0</v>
      </c>
      <c r="AW52" s="299">
        <v>0</v>
      </c>
      <c r="AX52" s="299">
        <v>0</v>
      </c>
      <c r="AY52" s="299">
        <v>0</v>
      </c>
      <c r="AZ52" s="297"/>
      <c r="BA52" s="299" t="s">
        <v>1145</v>
      </c>
      <c r="BB52" s="299"/>
      <c r="BC52" s="299" t="s">
        <v>1145</v>
      </c>
      <c r="BD52" s="299"/>
      <c r="BE52" s="299"/>
      <c r="BF52" s="299"/>
      <c r="BG52" s="298"/>
      <c r="BH52" s="297"/>
      <c r="BI52" s="299"/>
      <c r="BJ52" s="299" t="s">
        <v>1146</v>
      </c>
      <c r="BK52" s="298" t="s">
        <v>370</v>
      </c>
      <c r="BL52" s="379" t="s">
        <v>1202</v>
      </c>
      <c r="BM52" s="379" t="s">
        <v>368</v>
      </c>
    </row>
    <row r="53" spans="1:65" x14ac:dyDescent="0.15">
      <c r="A53" s="148">
        <v>1139</v>
      </c>
      <c r="B53" s="328">
        <v>43481</v>
      </c>
      <c r="C53" s="296" t="s">
        <v>10</v>
      </c>
      <c r="D53" s="379" t="s">
        <v>1110</v>
      </c>
      <c r="E53" s="295">
        <v>43466</v>
      </c>
      <c r="F53" s="298" t="s">
        <v>18</v>
      </c>
      <c r="G53" s="297" t="s">
        <v>418</v>
      </c>
      <c r="H53" s="297">
        <v>75</v>
      </c>
      <c r="I53" s="376" t="s">
        <v>1101</v>
      </c>
      <c r="J53" s="297">
        <v>1645</v>
      </c>
      <c r="K53" s="297">
        <v>3000</v>
      </c>
      <c r="L53" s="297">
        <v>3000</v>
      </c>
      <c r="M53" s="297">
        <v>3000</v>
      </c>
      <c r="N53" s="297"/>
      <c r="O53" s="416">
        <v>3.17</v>
      </c>
      <c r="P53" s="416">
        <v>2.5</v>
      </c>
      <c r="Q53" s="340">
        <v>0</v>
      </c>
      <c r="R53" s="340">
        <v>0</v>
      </c>
      <c r="S53" s="416">
        <v>2.25</v>
      </c>
      <c r="T53" s="416"/>
      <c r="U53" s="416">
        <v>3.17</v>
      </c>
      <c r="V53" s="416">
        <v>2.5</v>
      </c>
      <c r="W53" s="416">
        <v>0</v>
      </c>
      <c r="X53" s="416">
        <v>0</v>
      </c>
      <c r="Y53" s="416">
        <v>2.25</v>
      </c>
      <c r="Z53" s="297"/>
      <c r="AA53" s="297"/>
      <c r="AB53" s="297"/>
      <c r="AC53" s="297"/>
      <c r="AD53" s="297"/>
      <c r="AE53" s="297"/>
      <c r="AF53" s="297"/>
      <c r="AG53" s="299" t="s">
        <v>38</v>
      </c>
      <c r="AH53" s="299"/>
      <c r="AI53" s="299">
        <v>2</v>
      </c>
      <c r="AJ53" s="299">
        <v>4</v>
      </c>
      <c r="AK53" s="388">
        <v>0.33329999999999999</v>
      </c>
      <c r="AL53" s="388">
        <v>0.66659999999999997</v>
      </c>
      <c r="AM53" s="366"/>
      <c r="AN53" s="299">
        <v>0</v>
      </c>
      <c r="AO53" s="299">
        <v>0</v>
      </c>
      <c r="AP53" s="299">
        <v>0</v>
      </c>
      <c r="AQ53" s="299">
        <v>16</v>
      </c>
      <c r="AR53" s="299">
        <v>0</v>
      </c>
      <c r="AS53" s="299">
        <v>0</v>
      </c>
      <c r="AT53" s="299">
        <v>0</v>
      </c>
      <c r="AU53" s="299">
        <v>0</v>
      </c>
      <c r="AV53" s="299">
        <v>0</v>
      </c>
      <c r="AW53" s="299">
        <v>0</v>
      </c>
      <c r="AX53" s="299">
        <v>0</v>
      </c>
      <c r="AY53" s="299">
        <v>0</v>
      </c>
      <c r="AZ53" s="299"/>
      <c r="BA53" s="299" t="s">
        <v>38</v>
      </c>
      <c r="BB53" s="299"/>
      <c r="BC53" s="299" t="s">
        <v>38</v>
      </c>
      <c r="BD53" s="299"/>
      <c r="BE53" s="298"/>
      <c r="BF53" s="297"/>
      <c r="BG53" s="299"/>
      <c r="BJ53" s="299" t="s">
        <v>41</v>
      </c>
      <c r="BK53" s="298" t="s">
        <v>370</v>
      </c>
      <c r="BL53" s="366" t="s">
        <v>430</v>
      </c>
      <c r="BM53" s="366" t="s">
        <v>408</v>
      </c>
    </row>
    <row r="54" spans="1:65" x14ac:dyDescent="0.15">
      <c r="A54" s="148"/>
      <c r="B54" s="405">
        <v>43706</v>
      </c>
      <c r="C54" s="296" t="s">
        <v>10</v>
      </c>
      <c r="D54" s="379" t="s">
        <v>1110</v>
      </c>
      <c r="E54" s="414">
        <v>43647</v>
      </c>
      <c r="F54" s="298" t="s">
        <v>19</v>
      </c>
      <c r="G54" s="297" t="s">
        <v>20</v>
      </c>
      <c r="H54" s="297">
        <v>60.45</v>
      </c>
      <c r="I54" s="376" t="s">
        <v>1101</v>
      </c>
      <c r="J54" s="297">
        <v>1645</v>
      </c>
      <c r="K54" s="297">
        <v>3000</v>
      </c>
      <c r="L54" s="297">
        <v>3000</v>
      </c>
      <c r="M54" s="297">
        <v>3000</v>
      </c>
      <c r="N54" s="297"/>
      <c r="O54" s="416">
        <v>2.754545454545454</v>
      </c>
      <c r="P54" s="416">
        <v>2.1999999999999997</v>
      </c>
      <c r="Q54" s="340">
        <v>0</v>
      </c>
      <c r="R54" s="340">
        <v>0</v>
      </c>
      <c r="S54" s="340">
        <v>2.0545454545454542</v>
      </c>
      <c r="T54" s="416"/>
      <c r="U54" s="416">
        <v>2.754545454545454</v>
      </c>
      <c r="V54" s="416">
        <v>2.1999999999999997</v>
      </c>
      <c r="W54" s="417">
        <v>0</v>
      </c>
      <c r="X54" s="340">
        <v>0</v>
      </c>
      <c r="Y54" s="340">
        <v>2.0545454545454542</v>
      </c>
      <c r="Z54" s="297"/>
      <c r="AA54" s="297"/>
      <c r="AB54" s="297"/>
      <c r="AC54" s="297"/>
      <c r="AD54" s="297"/>
      <c r="AE54" s="297"/>
      <c r="AF54" s="297"/>
      <c r="AG54" s="299" t="s">
        <v>1116</v>
      </c>
      <c r="AH54" s="299" t="s">
        <v>1117</v>
      </c>
      <c r="AI54" s="299">
        <v>2</v>
      </c>
      <c r="AJ54" s="299">
        <v>4</v>
      </c>
      <c r="AK54" s="388">
        <v>0.33329999999999999</v>
      </c>
      <c r="AL54" s="388">
        <v>0.66659999999999997</v>
      </c>
      <c r="AM54" s="379"/>
      <c r="AN54" s="299">
        <v>0</v>
      </c>
      <c r="AO54" s="299">
        <v>0</v>
      </c>
      <c r="AP54" s="299">
        <v>0</v>
      </c>
      <c r="AQ54" s="299">
        <v>20</v>
      </c>
      <c r="AR54" s="299">
        <v>0</v>
      </c>
      <c r="AS54" s="299">
        <v>0</v>
      </c>
      <c r="AT54" s="299">
        <v>0</v>
      </c>
      <c r="AU54" s="299">
        <v>0</v>
      </c>
      <c r="AV54" s="299">
        <v>0</v>
      </c>
      <c r="AW54" s="299">
        <v>0</v>
      </c>
      <c r="AX54" s="299">
        <v>0</v>
      </c>
      <c r="AY54" s="299">
        <v>0</v>
      </c>
      <c r="AZ54" s="297"/>
      <c r="BA54" s="299" t="s">
        <v>38</v>
      </c>
      <c r="BB54" s="299"/>
      <c r="BC54" s="299" t="s">
        <v>38</v>
      </c>
      <c r="BD54" s="299"/>
      <c r="BE54" s="298"/>
      <c r="BF54" s="297"/>
      <c r="BG54" s="299"/>
      <c r="BJ54" s="299" t="s">
        <v>43</v>
      </c>
      <c r="BK54" s="298"/>
      <c r="BL54" s="366" t="s">
        <v>1203</v>
      </c>
      <c r="BM54" s="366" t="s">
        <v>1121</v>
      </c>
    </row>
    <row r="55" spans="1:65" x14ac:dyDescent="0.15">
      <c r="A55" s="148">
        <v>2117</v>
      </c>
      <c r="B55" s="328">
        <v>43692</v>
      </c>
      <c r="C55" s="296" t="s">
        <v>1138</v>
      </c>
      <c r="D55" s="379" t="s">
        <v>1110</v>
      </c>
      <c r="E55" s="295">
        <v>43647</v>
      </c>
      <c r="F55" s="298" t="s">
        <v>1156</v>
      </c>
      <c r="G55" s="379" t="s">
        <v>1157</v>
      </c>
      <c r="H55" s="406">
        <v>81</v>
      </c>
      <c r="I55" s="376" t="s">
        <v>1141</v>
      </c>
      <c r="J55" s="331">
        <v>3000</v>
      </c>
      <c r="K55" s="331">
        <v>3000</v>
      </c>
      <c r="L55" s="331">
        <v>3000</v>
      </c>
      <c r="M55" s="331">
        <v>3000</v>
      </c>
      <c r="N55" s="297"/>
      <c r="O55" s="406">
        <v>2.97</v>
      </c>
      <c r="P55" s="340">
        <v>0</v>
      </c>
      <c r="Q55" s="340">
        <v>0</v>
      </c>
      <c r="R55" s="340">
        <v>0</v>
      </c>
      <c r="S55" s="406">
        <v>2</v>
      </c>
      <c r="T55" s="406" t="s">
        <v>1142</v>
      </c>
      <c r="U55" s="406">
        <v>2.97</v>
      </c>
      <c r="V55" s="340">
        <v>0</v>
      </c>
      <c r="W55" s="340">
        <v>0</v>
      </c>
      <c r="X55" s="340">
        <v>0</v>
      </c>
      <c r="Y55" s="406">
        <v>2</v>
      </c>
      <c r="Z55" s="406" t="s">
        <v>1142</v>
      </c>
      <c r="AA55" s="406" t="s">
        <v>1142</v>
      </c>
      <c r="AB55" s="406" t="s">
        <v>1142</v>
      </c>
      <c r="AC55" s="406" t="s">
        <v>1142</v>
      </c>
      <c r="AD55" s="406" t="s">
        <v>1142</v>
      </c>
      <c r="AE55" s="406" t="s">
        <v>1142</v>
      </c>
      <c r="AF55" s="406" t="s">
        <v>1142</v>
      </c>
      <c r="AG55" s="299" t="s">
        <v>1145</v>
      </c>
      <c r="AH55" s="297"/>
      <c r="AI55" s="299">
        <v>2</v>
      </c>
      <c r="AJ55" s="299">
        <v>4</v>
      </c>
      <c r="AK55" s="388">
        <v>0.33329999999999999</v>
      </c>
      <c r="AL55" s="388">
        <v>0.66659999999999997</v>
      </c>
      <c r="AM55" s="379"/>
      <c r="AN55" s="299">
        <v>24</v>
      </c>
      <c r="AO55" s="299">
        <v>0</v>
      </c>
      <c r="AP55" s="299">
        <v>0</v>
      </c>
      <c r="AQ55" s="299">
        <v>0</v>
      </c>
      <c r="AR55" s="299">
        <v>0</v>
      </c>
      <c r="AS55" s="299">
        <v>0</v>
      </c>
      <c r="AT55" s="299">
        <v>0</v>
      </c>
      <c r="AU55" s="299">
        <v>0</v>
      </c>
      <c r="AV55" s="299">
        <v>0</v>
      </c>
      <c r="AW55" s="299">
        <v>0</v>
      </c>
      <c r="AX55" s="299">
        <v>0</v>
      </c>
      <c r="AY55" s="299">
        <v>0</v>
      </c>
      <c r="AZ55" s="297"/>
      <c r="BA55" s="299" t="s">
        <v>1145</v>
      </c>
      <c r="BB55" s="299">
        <v>12</v>
      </c>
      <c r="BC55" s="299" t="s">
        <v>1145</v>
      </c>
      <c r="BD55" s="299"/>
      <c r="BE55" s="299"/>
      <c r="BF55" s="299"/>
      <c r="BG55" s="298"/>
      <c r="BH55" s="297"/>
      <c r="BI55" s="299"/>
      <c r="BJ55" s="299" t="s">
        <v>1146</v>
      </c>
      <c r="BK55" s="298"/>
      <c r="BL55" s="408" t="s">
        <v>1204</v>
      </c>
      <c r="BM55" s="379" t="s">
        <v>368</v>
      </c>
    </row>
    <row r="56" spans="1:65" x14ac:dyDescent="0.15">
      <c r="A56" s="148">
        <v>1935</v>
      </c>
      <c r="B56" s="328">
        <v>43692</v>
      </c>
      <c r="C56" s="296" t="s">
        <v>1138</v>
      </c>
      <c r="D56" s="379" t="s">
        <v>1110</v>
      </c>
      <c r="E56" s="414">
        <v>43497</v>
      </c>
      <c r="F56" s="298" t="s">
        <v>1159</v>
      </c>
      <c r="G56" s="297" t="s">
        <v>1105</v>
      </c>
      <c r="H56" s="406">
        <v>65</v>
      </c>
      <c r="I56" s="376" t="s">
        <v>1141</v>
      </c>
      <c r="J56" s="297">
        <v>1645</v>
      </c>
      <c r="K56" s="297">
        <v>3000</v>
      </c>
      <c r="L56" s="297">
        <v>3000</v>
      </c>
      <c r="M56" s="297">
        <v>3000</v>
      </c>
      <c r="N56" s="297"/>
      <c r="O56" s="406">
        <v>2.5</v>
      </c>
      <c r="P56" s="406">
        <v>2.1</v>
      </c>
      <c r="Q56" s="340">
        <v>0</v>
      </c>
      <c r="R56" s="340">
        <v>0</v>
      </c>
      <c r="S56" s="406">
        <v>1.8</v>
      </c>
      <c r="T56" s="406" t="s">
        <v>1142</v>
      </c>
      <c r="U56" s="406">
        <v>2.5</v>
      </c>
      <c r="V56" s="406">
        <v>2.1</v>
      </c>
      <c r="W56" s="340">
        <v>0</v>
      </c>
      <c r="X56" s="340">
        <v>0</v>
      </c>
      <c r="Y56" s="406">
        <v>1.8</v>
      </c>
      <c r="Z56" s="406" t="s">
        <v>1142</v>
      </c>
      <c r="AA56" s="406" t="s">
        <v>1142</v>
      </c>
      <c r="AB56" s="406" t="s">
        <v>1142</v>
      </c>
      <c r="AC56" s="406" t="s">
        <v>1142</v>
      </c>
      <c r="AD56" s="406" t="s">
        <v>1142</v>
      </c>
      <c r="AE56" s="406" t="s">
        <v>1142</v>
      </c>
      <c r="AF56" s="406" t="s">
        <v>1142</v>
      </c>
      <c r="AG56" s="299" t="s">
        <v>1145</v>
      </c>
      <c r="AH56" s="299"/>
      <c r="AI56" s="299">
        <v>2</v>
      </c>
      <c r="AJ56" s="299">
        <v>4</v>
      </c>
      <c r="AK56" s="388">
        <v>0.33329999999999999</v>
      </c>
      <c r="AL56" s="388">
        <v>0.66659999999999997</v>
      </c>
      <c r="AM56" s="379"/>
      <c r="AN56" s="299">
        <v>0</v>
      </c>
      <c r="AO56" s="299">
        <v>0</v>
      </c>
      <c r="AP56" s="299">
        <v>3</v>
      </c>
      <c r="AQ56" s="299">
        <v>0</v>
      </c>
      <c r="AR56" s="299">
        <v>0</v>
      </c>
      <c r="AS56" s="299">
        <v>0</v>
      </c>
      <c r="AT56" s="299">
        <v>0</v>
      </c>
      <c r="AU56" s="299">
        <v>0</v>
      </c>
      <c r="AV56" s="299">
        <v>0</v>
      </c>
      <c r="AW56" s="299">
        <v>0</v>
      </c>
      <c r="AX56" s="299">
        <v>0</v>
      </c>
      <c r="AY56" s="299">
        <v>0</v>
      </c>
      <c r="AZ56" s="297"/>
      <c r="BA56" s="299" t="s">
        <v>1145</v>
      </c>
      <c r="BB56" s="299"/>
      <c r="BC56" s="299" t="s">
        <v>1145</v>
      </c>
      <c r="BD56" s="299"/>
      <c r="BE56" s="299"/>
      <c r="BF56" s="299"/>
      <c r="BG56" s="299"/>
      <c r="BH56" s="299"/>
      <c r="BI56" s="299"/>
      <c r="BJ56" s="299" t="s">
        <v>1146</v>
      </c>
      <c r="BK56" s="298"/>
      <c r="BL56" s="297" t="s">
        <v>430</v>
      </c>
      <c r="BM56" s="379" t="s">
        <v>368</v>
      </c>
    </row>
    <row r="57" spans="1:65" x14ac:dyDescent="0.15">
      <c r="A57" s="148">
        <v>316</v>
      </c>
      <c r="B57" s="328">
        <v>43692</v>
      </c>
      <c r="C57" s="296" t="s">
        <v>1138</v>
      </c>
      <c r="D57" s="379" t="s">
        <v>1110</v>
      </c>
      <c r="E57" s="295">
        <v>43647</v>
      </c>
      <c r="F57" s="297" t="s">
        <v>1160</v>
      </c>
      <c r="G57" s="297" t="s">
        <v>1161</v>
      </c>
      <c r="H57" s="406">
        <v>78.91</v>
      </c>
      <c r="I57" s="376" t="s">
        <v>1141</v>
      </c>
      <c r="J57" s="297">
        <v>1645</v>
      </c>
      <c r="K57" s="297">
        <v>3000</v>
      </c>
      <c r="L57" s="297">
        <v>3000</v>
      </c>
      <c r="M57" s="297">
        <v>3000</v>
      </c>
      <c r="N57" s="297"/>
      <c r="O57" s="406">
        <v>2.133</v>
      </c>
      <c r="P57" s="406">
        <v>1.8069999999999999</v>
      </c>
      <c r="Q57" s="340">
        <v>0</v>
      </c>
      <c r="R57" s="340">
        <v>0</v>
      </c>
      <c r="S57" s="406">
        <v>1.573</v>
      </c>
      <c r="T57" s="406" t="s">
        <v>1142</v>
      </c>
      <c r="U57" s="406">
        <v>1.9350000000000001</v>
      </c>
      <c r="V57" s="406">
        <v>1.6339999999999999</v>
      </c>
      <c r="W57" s="340">
        <v>0</v>
      </c>
      <c r="X57" s="340">
        <v>0</v>
      </c>
      <c r="Y57" s="406">
        <v>1.4159999999999999</v>
      </c>
      <c r="Z57" s="406" t="s">
        <v>1142</v>
      </c>
      <c r="AA57" s="406" t="s">
        <v>1142</v>
      </c>
      <c r="AB57" s="406" t="s">
        <v>1142</v>
      </c>
      <c r="AC57" s="406" t="s">
        <v>1142</v>
      </c>
      <c r="AD57" s="406" t="s">
        <v>1142</v>
      </c>
      <c r="AE57" s="406" t="s">
        <v>1142</v>
      </c>
      <c r="AF57" s="406" t="s">
        <v>1142</v>
      </c>
      <c r="AG57" s="299" t="s">
        <v>1143</v>
      </c>
      <c r="AH57" s="299" t="s">
        <v>1144</v>
      </c>
      <c r="AI57" s="299">
        <v>2</v>
      </c>
      <c r="AJ57" s="299">
        <v>4</v>
      </c>
      <c r="AK57" s="388">
        <v>0.33329999999999999</v>
      </c>
      <c r="AL57" s="388">
        <v>0.66659999999999997</v>
      </c>
      <c r="AM57" s="379" t="s">
        <v>1124</v>
      </c>
      <c r="AN57" s="299">
        <v>0</v>
      </c>
      <c r="AO57" s="299">
        <v>0</v>
      </c>
      <c r="AP57" s="299">
        <v>0</v>
      </c>
      <c r="AQ57" s="299">
        <v>0</v>
      </c>
      <c r="AR57" s="299">
        <v>0</v>
      </c>
      <c r="AS57" s="299">
        <v>0</v>
      </c>
      <c r="AT57" s="299">
        <v>0</v>
      </c>
      <c r="AU57" s="299">
        <v>0</v>
      </c>
      <c r="AV57" s="299">
        <v>0</v>
      </c>
      <c r="AW57" s="299">
        <v>0</v>
      </c>
      <c r="AX57" s="299">
        <v>0</v>
      </c>
      <c r="AY57" s="299">
        <v>0</v>
      </c>
      <c r="AZ57" s="297"/>
      <c r="BA57" s="299" t="s">
        <v>1145</v>
      </c>
      <c r="BB57" s="299"/>
      <c r="BC57" s="299" t="s">
        <v>1145</v>
      </c>
      <c r="BD57" s="299"/>
      <c r="BE57" s="299"/>
      <c r="BF57" s="299"/>
      <c r="BG57" s="378" t="s">
        <v>1162</v>
      </c>
      <c r="BH57" s="297" t="s">
        <v>1163</v>
      </c>
      <c r="BI57" s="299">
        <v>50</v>
      </c>
      <c r="BJ57" s="299" t="s">
        <v>1164</v>
      </c>
      <c r="BK57" s="298"/>
      <c r="BL57" s="297" t="s">
        <v>1205</v>
      </c>
      <c r="BM57" s="379" t="s">
        <v>368</v>
      </c>
    </row>
    <row r="58" spans="1:65" x14ac:dyDescent="0.15">
      <c r="A58" s="148">
        <v>2261</v>
      </c>
      <c r="B58" s="328">
        <v>43692</v>
      </c>
      <c r="C58" s="296" t="s">
        <v>1138</v>
      </c>
      <c r="D58" s="379" t="s">
        <v>1110</v>
      </c>
      <c r="E58" s="295">
        <v>43647</v>
      </c>
      <c r="F58" s="298" t="s">
        <v>1166</v>
      </c>
      <c r="G58" s="297" t="s">
        <v>1167</v>
      </c>
      <c r="H58" s="406">
        <v>69</v>
      </c>
      <c r="I58" s="376" t="s">
        <v>1141</v>
      </c>
      <c r="J58" s="331">
        <v>6000</v>
      </c>
      <c r="K58" s="331">
        <v>12000</v>
      </c>
      <c r="L58" s="331">
        <v>12000</v>
      </c>
      <c r="M58" s="331">
        <v>12000</v>
      </c>
      <c r="N58" s="297"/>
      <c r="O58" s="406">
        <v>2.2000000000000002</v>
      </c>
      <c r="P58" s="406">
        <v>2.1</v>
      </c>
      <c r="Q58" s="340">
        <v>0</v>
      </c>
      <c r="R58" s="340">
        <v>0</v>
      </c>
      <c r="S58" s="406">
        <v>1.8</v>
      </c>
      <c r="T58" s="406" t="s">
        <v>1142</v>
      </c>
      <c r="U58" s="406">
        <v>2.2000000000000002</v>
      </c>
      <c r="V58" s="406">
        <v>2.1</v>
      </c>
      <c r="W58" s="340">
        <v>0</v>
      </c>
      <c r="X58" s="340">
        <v>0</v>
      </c>
      <c r="Y58" s="406">
        <v>1.8</v>
      </c>
      <c r="Z58" s="406" t="s">
        <v>1142</v>
      </c>
      <c r="AA58" s="406" t="s">
        <v>1142</v>
      </c>
      <c r="AB58" s="406" t="s">
        <v>1142</v>
      </c>
      <c r="AC58" s="406" t="s">
        <v>1142</v>
      </c>
      <c r="AD58" s="406" t="s">
        <v>1142</v>
      </c>
      <c r="AE58" s="406" t="s">
        <v>1142</v>
      </c>
      <c r="AF58" s="406" t="s">
        <v>1142</v>
      </c>
      <c r="AG58" s="299" t="s">
        <v>1145</v>
      </c>
      <c r="AH58" s="299"/>
      <c r="AI58" s="299">
        <v>2</v>
      </c>
      <c r="AJ58" s="299">
        <v>4</v>
      </c>
      <c r="AK58" s="388">
        <v>0.33329999999999999</v>
      </c>
      <c r="AL58" s="388">
        <v>0.66659999999999997</v>
      </c>
      <c r="AM58" s="379"/>
      <c r="AN58" s="299">
        <v>10</v>
      </c>
      <c r="AO58" s="299">
        <v>0</v>
      </c>
      <c r="AP58" s="299">
        <v>0</v>
      </c>
      <c r="AQ58" s="299">
        <v>0</v>
      </c>
      <c r="AR58" s="299">
        <v>0</v>
      </c>
      <c r="AS58" s="299">
        <v>0</v>
      </c>
      <c r="AT58" s="299">
        <v>0</v>
      </c>
      <c r="AU58" s="299">
        <v>0</v>
      </c>
      <c r="AV58" s="299">
        <v>0</v>
      </c>
      <c r="AW58" s="299">
        <v>0</v>
      </c>
      <c r="AX58" s="299">
        <v>0</v>
      </c>
      <c r="AY58" s="299">
        <v>0</v>
      </c>
      <c r="AZ58" s="297"/>
      <c r="BA58" s="299" t="s">
        <v>1145</v>
      </c>
      <c r="BB58" s="299">
        <v>12</v>
      </c>
      <c r="BC58" s="299" t="s">
        <v>1145</v>
      </c>
      <c r="BD58" s="299"/>
      <c r="BE58" s="299"/>
      <c r="BF58" s="299"/>
      <c r="BG58" s="298"/>
      <c r="BH58" s="297"/>
      <c r="BI58" s="299"/>
      <c r="BJ58" s="299" t="s">
        <v>1146</v>
      </c>
      <c r="BK58" s="298"/>
      <c r="BL58" s="379" t="s">
        <v>430</v>
      </c>
      <c r="BM58" s="379" t="s">
        <v>368</v>
      </c>
    </row>
    <row r="59" spans="1:65" x14ac:dyDescent="0.15">
      <c r="A59" s="148">
        <v>1429</v>
      </c>
      <c r="B59" s="328">
        <v>43692</v>
      </c>
      <c r="C59" s="296" t="s">
        <v>1138</v>
      </c>
      <c r="D59" s="379" t="s">
        <v>1110</v>
      </c>
      <c r="E59" s="309">
        <v>43530</v>
      </c>
      <c r="F59" s="298" t="s">
        <v>1168</v>
      </c>
      <c r="G59" s="379" t="s">
        <v>28</v>
      </c>
      <c r="H59" s="406">
        <v>70.400000000000006</v>
      </c>
      <c r="I59" s="376" t="s">
        <v>1141</v>
      </c>
      <c r="J59" s="297">
        <v>3000</v>
      </c>
      <c r="K59" s="297">
        <v>3000</v>
      </c>
      <c r="L59" s="297">
        <v>3000</v>
      </c>
      <c r="M59" s="297">
        <v>3000</v>
      </c>
      <c r="N59" s="297"/>
      <c r="O59" s="406">
        <v>2.4</v>
      </c>
      <c r="P59" s="340">
        <v>0</v>
      </c>
      <c r="Q59" s="340">
        <v>0</v>
      </c>
      <c r="R59" s="340">
        <v>0</v>
      </c>
      <c r="S59" s="406">
        <v>1.89</v>
      </c>
      <c r="T59" s="406" t="s">
        <v>1142</v>
      </c>
      <c r="U59" s="406">
        <v>2.4</v>
      </c>
      <c r="V59" s="340">
        <v>0</v>
      </c>
      <c r="W59" s="340">
        <v>0</v>
      </c>
      <c r="X59" s="340">
        <v>0</v>
      </c>
      <c r="Y59" s="406">
        <v>1.89</v>
      </c>
      <c r="Z59" s="406" t="s">
        <v>1142</v>
      </c>
      <c r="AA59" s="406" t="s">
        <v>1142</v>
      </c>
      <c r="AB59" s="406" t="s">
        <v>1142</v>
      </c>
      <c r="AC59" s="406" t="s">
        <v>1142</v>
      </c>
      <c r="AD59" s="406" t="s">
        <v>1142</v>
      </c>
      <c r="AE59" s="406" t="s">
        <v>1142</v>
      </c>
      <c r="AF59" s="406" t="s">
        <v>1142</v>
      </c>
      <c r="AG59" s="299" t="s">
        <v>1145</v>
      </c>
      <c r="AH59" s="299"/>
      <c r="AI59" s="299">
        <v>2</v>
      </c>
      <c r="AJ59" s="299">
        <v>4</v>
      </c>
      <c r="AK59" s="388">
        <v>0.33329999999999999</v>
      </c>
      <c r="AL59" s="388">
        <v>0.66659999999999997</v>
      </c>
      <c r="AM59" s="379"/>
      <c r="AN59" s="299">
        <v>0</v>
      </c>
      <c r="AO59" s="299">
        <v>0</v>
      </c>
      <c r="AP59" s="299">
        <v>10</v>
      </c>
      <c r="AQ59" s="299">
        <v>0</v>
      </c>
      <c r="AR59" s="299">
        <v>0</v>
      </c>
      <c r="AS59" s="299">
        <v>0</v>
      </c>
      <c r="AT59" s="299">
        <v>0</v>
      </c>
      <c r="AU59" s="299">
        <v>0</v>
      </c>
      <c r="AV59" s="299">
        <v>0</v>
      </c>
      <c r="AW59" s="299">
        <v>0</v>
      </c>
      <c r="AX59" s="299">
        <v>0</v>
      </c>
      <c r="AY59" s="299">
        <v>0</v>
      </c>
      <c r="AZ59" s="299"/>
      <c r="BA59" s="299" t="s">
        <v>1145</v>
      </c>
      <c r="BB59" s="299"/>
      <c r="BC59" s="299" t="s">
        <v>1145</v>
      </c>
      <c r="BD59" s="299"/>
      <c r="BE59" s="299"/>
      <c r="BF59" s="299"/>
      <c r="BG59" s="298"/>
      <c r="BH59" s="297"/>
      <c r="BI59" s="299"/>
      <c r="BJ59" s="299" t="s">
        <v>1146</v>
      </c>
      <c r="BK59" s="298"/>
      <c r="BL59" s="379" t="s">
        <v>430</v>
      </c>
      <c r="BM59" s="379" t="s">
        <v>368</v>
      </c>
    </row>
    <row r="60" spans="1:65" x14ac:dyDescent="0.15">
      <c r="A60" s="148">
        <v>790</v>
      </c>
      <c r="B60" s="328">
        <v>43692</v>
      </c>
      <c r="C60" s="296" t="s">
        <v>1138</v>
      </c>
      <c r="D60" s="379" t="s">
        <v>1110</v>
      </c>
      <c r="E60" s="309">
        <v>43647</v>
      </c>
      <c r="F60" s="298" t="s">
        <v>1169</v>
      </c>
      <c r="G60" s="297" t="s">
        <v>1170</v>
      </c>
      <c r="H60" s="406">
        <v>63.972727272727269</v>
      </c>
      <c r="I60" s="376" t="s">
        <v>1141</v>
      </c>
      <c r="J60" s="297">
        <v>1645</v>
      </c>
      <c r="K60" s="297">
        <v>3000</v>
      </c>
      <c r="L60" s="297">
        <v>3000</v>
      </c>
      <c r="M60" s="297">
        <v>3000</v>
      </c>
      <c r="N60" s="297"/>
      <c r="O60" s="406">
        <v>2.709090909090909</v>
      </c>
      <c r="P60" s="406">
        <v>2.1545454545454543</v>
      </c>
      <c r="Q60" s="340">
        <v>0</v>
      </c>
      <c r="R60" s="340">
        <v>0</v>
      </c>
      <c r="S60" s="406">
        <v>1.7909090909090908</v>
      </c>
      <c r="T60" s="406" t="s">
        <v>1142</v>
      </c>
      <c r="U60" s="406">
        <v>2.709090909090909</v>
      </c>
      <c r="V60" s="406">
        <v>2.1545454545454543</v>
      </c>
      <c r="W60" s="340">
        <v>0</v>
      </c>
      <c r="X60" s="340">
        <v>0</v>
      </c>
      <c r="Y60" s="406">
        <v>1.7909090909090908</v>
      </c>
      <c r="Z60" s="406" t="s">
        <v>1142</v>
      </c>
      <c r="AA60" s="406" t="s">
        <v>1142</v>
      </c>
      <c r="AB60" s="406" t="s">
        <v>1142</v>
      </c>
      <c r="AC60" s="406" t="s">
        <v>1142</v>
      </c>
      <c r="AD60" s="406" t="s">
        <v>1142</v>
      </c>
      <c r="AE60" s="406" t="s">
        <v>1142</v>
      </c>
      <c r="AF60" s="406" t="s">
        <v>1142</v>
      </c>
      <c r="AG60" s="299" t="s">
        <v>1145</v>
      </c>
      <c r="AH60" s="299"/>
      <c r="AI60" s="299">
        <v>2</v>
      </c>
      <c r="AJ60" s="299">
        <v>4</v>
      </c>
      <c r="AK60" s="388">
        <v>0.33329999999999999</v>
      </c>
      <c r="AL60" s="388">
        <v>0.66659999999999997</v>
      </c>
      <c r="AM60" s="379"/>
      <c r="AN60" s="299">
        <v>0</v>
      </c>
      <c r="AO60" s="299">
        <v>0</v>
      </c>
      <c r="AP60" s="299">
        <v>0</v>
      </c>
      <c r="AQ60" s="299">
        <v>0</v>
      </c>
      <c r="AR60" s="299">
        <v>0</v>
      </c>
      <c r="AS60" s="299">
        <v>0</v>
      </c>
      <c r="AT60" s="299">
        <v>0</v>
      </c>
      <c r="AU60" s="299">
        <v>0</v>
      </c>
      <c r="AV60" s="299">
        <v>0</v>
      </c>
      <c r="AW60" s="299">
        <v>0</v>
      </c>
      <c r="AX60" s="299">
        <v>0</v>
      </c>
      <c r="AY60" s="299">
        <v>0</v>
      </c>
      <c r="AZ60" s="297"/>
      <c r="BA60" s="299" t="s">
        <v>1145</v>
      </c>
      <c r="BB60" s="299"/>
      <c r="BC60" s="299" t="s">
        <v>1145</v>
      </c>
      <c r="BD60" s="299"/>
      <c r="BE60" s="299"/>
      <c r="BF60" s="299"/>
      <c r="BG60" s="378" t="s">
        <v>1171</v>
      </c>
      <c r="BH60" s="297" t="s">
        <v>365</v>
      </c>
      <c r="BI60" s="299">
        <v>50</v>
      </c>
      <c r="BJ60" s="299" t="s">
        <v>1164</v>
      </c>
      <c r="BK60" s="298"/>
      <c r="BL60" s="297" t="s">
        <v>1206</v>
      </c>
      <c r="BM60" s="379" t="s">
        <v>368</v>
      </c>
    </row>
    <row r="61" spans="1:65" x14ac:dyDescent="0.15">
      <c r="A61" s="148">
        <v>2221</v>
      </c>
      <c r="B61" s="328">
        <v>43692</v>
      </c>
      <c r="C61" s="296" t="s">
        <v>1138</v>
      </c>
      <c r="D61" s="379" t="s">
        <v>1110</v>
      </c>
      <c r="E61" s="418">
        <v>43647</v>
      </c>
      <c r="F61" s="297" t="s">
        <v>1173</v>
      </c>
      <c r="G61" s="379" t="s">
        <v>1174</v>
      </c>
      <c r="H61" s="406">
        <v>75</v>
      </c>
      <c r="I61" s="376" t="s">
        <v>1141</v>
      </c>
      <c r="J61" s="297">
        <v>1645</v>
      </c>
      <c r="K61" s="297">
        <v>3000</v>
      </c>
      <c r="L61" s="297">
        <v>3000</v>
      </c>
      <c r="M61" s="297">
        <v>3000</v>
      </c>
      <c r="N61" s="332"/>
      <c r="O61" s="406">
        <v>2.2818181818181813</v>
      </c>
      <c r="P61" s="406">
        <v>2.2181818181818178</v>
      </c>
      <c r="Q61" s="340">
        <v>0</v>
      </c>
      <c r="R61" s="340">
        <v>0</v>
      </c>
      <c r="S61" s="406">
        <v>1.6181818181818182</v>
      </c>
      <c r="T61" s="406" t="s">
        <v>1142</v>
      </c>
      <c r="U61" s="406">
        <v>2.2818181818181813</v>
      </c>
      <c r="V61" s="406">
        <v>2.2181818181818178</v>
      </c>
      <c r="W61" s="340">
        <v>0</v>
      </c>
      <c r="X61" s="340">
        <v>0</v>
      </c>
      <c r="Y61" s="406">
        <v>1.6181818181818182</v>
      </c>
      <c r="Z61" s="406" t="s">
        <v>1142</v>
      </c>
      <c r="AA61" s="406" t="s">
        <v>1142</v>
      </c>
      <c r="AB61" s="406" t="s">
        <v>1142</v>
      </c>
      <c r="AC61" s="406" t="s">
        <v>1142</v>
      </c>
      <c r="AD61" s="406" t="s">
        <v>1142</v>
      </c>
      <c r="AE61" s="406" t="s">
        <v>1142</v>
      </c>
      <c r="AF61" s="406" t="s">
        <v>1142</v>
      </c>
      <c r="AG61" s="333" t="s">
        <v>1145</v>
      </c>
      <c r="AH61" s="333"/>
      <c r="AI61" s="299">
        <v>2</v>
      </c>
      <c r="AJ61" s="299">
        <v>4</v>
      </c>
      <c r="AK61" s="388">
        <v>0.33329999999999999</v>
      </c>
      <c r="AL61" s="388">
        <v>0.66659999999999997</v>
      </c>
      <c r="AM61" s="379"/>
      <c r="AN61" s="299">
        <v>0</v>
      </c>
      <c r="AO61" s="299">
        <v>0</v>
      </c>
      <c r="AP61" s="299">
        <v>5</v>
      </c>
      <c r="AQ61" s="299">
        <v>0</v>
      </c>
      <c r="AR61" s="299">
        <v>0</v>
      </c>
      <c r="AS61" s="299">
        <v>0</v>
      </c>
      <c r="AT61" s="299">
        <v>0</v>
      </c>
      <c r="AU61" s="299">
        <v>0</v>
      </c>
      <c r="AV61" s="299">
        <v>0</v>
      </c>
      <c r="AW61" s="299">
        <v>0</v>
      </c>
      <c r="AX61" s="299">
        <v>0</v>
      </c>
      <c r="AY61" s="299">
        <v>0</v>
      </c>
      <c r="AZ61" s="299"/>
      <c r="BA61" s="299" t="s">
        <v>1145</v>
      </c>
      <c r="BB61" s="299">
        <v>12</v>
      </c>
      <c r="BC61" s="299" t="s">
        <v>1145</v>
      </c>
      <c r="BD61" s="299"/>
      <c r="BE61" s="299"/>
      <c r="BF61" s="299"/>
      <c r="BG61" s="298"/>
      <c r="BH61" s="297"/>
      <c r="BI61" s="299"/>
      <c r="BJ61" s="299" t="s">
        <v>1164</v>
      </c>
      <c r="BK61" s="298"/>
      <c r="BL61" s="297" t="s">
        <v>1207</v>
      </c>
      <c r="BM61" s="379" t="s">
        <v>368</v>
      </c>
    </row>
    <row r="62" spans="1:65" x14ac:dyDescent="0.15">
      <c r="A62" s="148">
        <v>1912</v>
      </c>
      <c r="B62" s="328">
        <v>43692</v>
      </c>
      <c r="C62" s="296" t="s">
        <v>1138</v>
      </c>
      <c r="D62" s="379" t="s">
        <v>1110</v>
      </c>
      <c r="E62" s="295">
        <v>43647</v>
      </c>
      <c r="F62" s="298" t="s">
        <v>987</v>
      </c>
      <c r="G62" s="297" t="s">
        <v>1127</v>
      </c>
      <c r="H62" s="406">
        <v>54.536000000000001</v>
      </c>
      <c r="I62" s="376" t="s">
        <v>1141</v>
      </c>
      <c r="J62" s="297">
        <v>1645</v>
      </c>
      <c r="K62" s="297">
        <v>3000</v>
      </c>
      <c r="L62" s="297">
        <v>3000</v>
      </c>
      <c r="M62" s="297">
        <v>3000</v>
      </c>
      <c r="N62" s="297"/>
      <c r="O62" s="406">
        <v>2.5499999999999998</v>
      </c>
      <c r="P62" s="406">
        <v>2.1760000000000002</v>
      </c>
      <c r="Q62" s="340">
        <v>0</v>
      </c>
      <c r="R62" s="340">
        <v>0</v>
      </c>
      <c r="S62" s="406">
        <v>1.87</v>
      </c>
      <c r="T62" s="406" t="s">
        <v>1142</v>
      </c>
      <c r="U62" s="406">
        <v>2.5499999999999998</v>
      </c>
      <c r="V62" s="406">
        <v>2.1760000000000002</v>
      </c>
      <c r="W62" s="340">
        <v>0</v>
      </c>
      <c r="X62" s="340">
        <v>0</v>
      </c>
      <c r="Y62" s="406">
        <v>1.87</v>
      </c>
      <c r="Z62" s="406" t="s">
        <v>1142</v>
      </c>
      <c r="AA62" s="406" t="s">
        <v>1142</v>
      </c>
      <c r="AB62" s="406" t="s">
        <v>1142</v>
      </c>
      <c r="AC62" s="406" t="s">
        <v>1142</v>
      </c>
      <c r="AD62" s="406" t="s">
        <v>1142</v>
      </c>
      <c r="AE62" s="406" t="s">
        <v>1142</v>
      </c>
      <c r="AF62" s="406" t="s">
        <v>1142</v>
      </c>
      <c r="AG62" s="299" t="s">
        <v>1145</v>
      </c>
      <c r="AH62" s="299"/>
      <c r="AI62" s="299">
        <v>2</v>
      </c>
      <c r="AJ62" s="299">
        <v>4</v>
      </c>
      <c r="AK62" s="388">
        <v>0.33329999999999999</v>
      </c>
      <c r="AL62" s="388">
        <v>0.66659999999999997</v>
      </c>
      <c r="AM62" s="379"/>
      <c r="AN62" s="299">
        <v>0</v>
      </c>
      <c r="AO62" s="299">
        <v>0</v>
      </c>
      <c r="AP62" s="299">
        <v>0</v>
      </c>
      <c r="AQ62" s="299">
        <v>0</v>
      </c>
      <c r="AR62" s="299">
        <v>0</v>
      </c>
      <c r="AS62" s="299">
        <v>0</v>
      </c>
      <c r="AT62" s="299">
        <v>0</v>
      </c>
      <c r="AU62" s="299">
        <v>0</v>
      </c>
      <c r="AV62" s="299">
        <v>0</v>
      </c>
      <c r="AW62" s="299">
        <v>0</v>
      </c>
      <c r="AX62" s="299">
        <v>0</v>
      </c>
      <c r="AY62" s="299">
        <v>0</v>
      </c>
      <c r="AZ62" s="299"/>
      <c r="BA62" s="299" t="s">
        <v>1145</v>
      </c>
      <c r="BB62" s="299"/>
      <c r="BC62" s="299" t="s">
        <v>1145</v>
      </c>
      <c r="BD62" s="299"/>
      <c r="BE62" s="299"/>
      <c r="BF62" s="299"/>
      <c r="BG62" s="298"/>
      <c r="BH62" s="297"/>
      <c r="BI62" s="299"/>
      <c r="BJ62" s="299" t="s">
        <v>1146</v>
      </c>
      <c r="BK62" s="298" t="s">
        <v>370</v>
      </c>
      <c r="BL62" s="297" t="s">
        <v>1208</v>
      </c>
      <c r="BM62" s="379" t="s">
        <v>368</v>
      </c>
    </row>
    <row r="63" spans="1:65" x14ac:dyDescent="0.15">
      <c r="A63" s="148">
        <v>1686</v>
      </c>
      <c r="B63" s="328">
        <v>43692</v>
      </c>
      <c r="C63" s="296" t="s">
        <v>295</v>
      </c>
      <c r="D63" s="379" t="s">
        <v>1110</v>
      </c>
      <c r="E63" s="328">
        <v>43693</v>
      </c>
      <c r="F63" s="420" t="s">
        <v>1106</v>
      </c>
      <c r="G63" s="297" t="s">
        <v>2</v>
      </c>
      <c r="H63" s="406">
        <v>60</v>
      </c>
      <c r="I63" s="376" t="s">
        <v>296</v>
      </c>
      <c r="J63" s="297">
        <v>6000</v>
      </c>
      <c r="K63" s="297">
        <v>6000</v>
      </c>
      <c r="L63" s="297">
        <v>6000</v>
      </c>
      <c r="M63" s="297">
        <v>6000</v>
      </c>
      <c r="N63" s="297"/>
      <c r="O63" s="406">
        <v>1.88</v>
      </c>
      <c r="P63" s="340">
        <v>0</v>
      </c>
      <c r="Q63" s="340">
        <v>0</v>
      </c>
      <c r="R63" s="340">
        <v>0</v>
      </c>
      <c r="S63" s="406">
        <v>1.88</v>
      </c>
      <c r="T63" s="406" t="s">
        <v>1142</v>
      </c>
      <c r="U63" s="406">
        <v>1.88</v>
      </c>
      <c r="V63" s="340">
        <v>0</v>
      </c>
      <c r="W63" s="340">
        <v>0</v>
      </c>
      <c r="X63" s="340">
        <v>0</v>
      </c>
      <c r="Y63" s="406">
        <v>1.88</v>
      </c>
      <c r="Z63" s="406" t="s">
        <v>1142</v>
      </c>
      <c r="AA63" s="406" t="s">
        <v>1142</v>
      </c>
      <c r="AB63" s="406" t="s">
        <v>1142</v>
      </c>
      <c r="AC63" s="406" t="s">
        <v>1142</v>
      </c>
      <c r="AD63" s="406" t="s">
        <v>1142</v>
      </c>
      <c r="AE63" s="406" t="s">
        <v>1142</v>
      </c>
      <c r="AF63" s="406" t="s">
        <v>1142</v>
      </c>
      <c r="AG63" s="299" t="s">
        <v>1145</v>
      </c>
      <c r="AH63" s="299"/>
      <c r="AI63" s="299">
        <v>2</v>
      </c>
      <c r="AJ63" s="299">
        <v>4</v>
      </c>
      <c r="AK63" s="388">
        <v>0.33329999999999999</v>
      </c>
      <c r="AL63" s="388">
        <v>0.66659999999999997</v>
      </c>
      <c r="AM63" s="379"/>
      <c r="AN63" s="299">
        <v>0</v>
      </c>
      <c r="AO63" s="299">
        <v>0</v>
      </c>
      <c r="AP63" s="299">
        <v>5</v>
      </c>
      <c r="AQ63" s="299">
        <v>0</v>
      </c>
      <c r="AR63" s="299">
        <v>0</v>
      </c>
      <c r="AS63" s="299">
        <v>0</v>
      </c>
      <c r="AT63" s="299">
        <v>0</v>
      </c>
      <c r="AU63" s="299">
        <v>0</v>
      </c>
      <c r="AV63" s="299">
        <v>0</v>
      </c>
      <c r="AW63" s="299">
        <v>0</v>
      </c>
      <c r="AX63" s="299">
        <v>0</v>
      </c>
      <c r="AY63" s="299">
        <v>0</v>
      </c>
      <c r="AZ63" s="299"/>
      <c r="BA63" s="299" t="s">
        <v>1145</v>
      </c>
      <c r="BB63" s="299"/>
      <c r="BC63" s="299" t="s">
        <v>1145</v>
      </c>
      <c r="BD63" s="299"/>
      <c r="BE63" s="299"/>
      <c r="BF63" s="298"/>
      <c r="BG63" s="297"/>
      <c r="BH63" s="299"/>
      <c r="BI63" s="299"/>
      <c r="BJ63" s="299" t="s">
        <v>1146</v>
      </c>
      <c r="BK63" s="297" t="s">
        <v>370</v>
      </c>
      <c r="BL63" s="297" t="s">
        <v>1209</v>
      </c>
      <c r="BM63" s="379" t="s">
        <v>368</v>
      </c>
    </row>
    <row r="64" spans="1:65" x14ac:dyDescent="0.15">
      <c r="A64" s="148">
        <v>2213</v>
      </c>
      <c r="B64" s="328">
        <v>43692</v>
      </c>
      <c r="C64" s="296" t="s">
        <v>1138</v>
      </c>
      <c r="D64" s="379" t="s">
        <v>1110</v>
      </c>
      <c r="E64" s="309">
        <v>43646</v>
      </c>
      <c r="F64" s="297" t="s">
        <v>34</v>
      </c>
      <c r="G64" s="379" t="s">
        <v>1178</v>
      </c>
      <c r="H64" s="406">
        <v>84.65</v>
      </c>
      <c r="I64" s="394"/>
      <c r="J64" s="409"/>
      <c r="K64" s="332"/>
      <c r="L64" s="332"/>
      <c r="M64" s="332"/>
      <c r="N64" s="332"/>
      <c r="O64" s="406">
        <v>1.73</v>
      </c>
      <c r="P64" s="340">
        <v>0</v>
      </c>
      <c r="Q64" s="340">
        <v>0</v>
      </c>
      <c r="R64" s="340">
        <v>0</v>
      </c>
      <c r="S64" s="340">
        <v>0</v>
      </c>
      <c r="T64" s="406" t="s">
        <v>1142</v>
      </c>
      <c r="U64" s="406">
        <v>1.73</v>
      </c>
      <c r="V64" s="340">
        <v>0</v>
      </c>
      <c r="W64" s="340">
        <v>0</v>
      </c>
      <c r="X64" s="340">
        <v>0</v>
      </c>
      <c r="Y64" s="340">
        <v>0</v>
      </c>
      <c r="Z64" s="406" t="s">
        <v>1142</v>
      </c>
      <c r="AA64" s="406" t="s">
        <v>1142</v>
      </c>
      <c r="AB64" s="406" t="s">
        <v>1142</v>
      </c>
      <c r="AC64" s="406" t="s">
        <v>1142</v>
      </c>
      <c r="AD64" s="406" t="s">
        <v>1142</v>
      </c>
      <c r="AE64" s="406" t="s">
        <v>1142</v>
      </c>
      <c r="AF64" s="406" t="s">
        <v>1142</v>
      </c>
      <c r="AG64" s="333" t="s">
        <v>1145</v>
      </c>
      <c r="AH64" s="333"/>
      <c r="AI64" s="299">
        <v>2</v>
      </c>
      <c r="AJ64" s="299">
        <v>4</v>
      </c>
      <c r="AK64" s="388">
        <v>0.33329999999999999</v>
      </c>
      <c r="AL64" s="388">
        <v>0.66659999999999997</v>
      </c>
      <c r="AM64" s="379"/>
      <c r="AN64" s="299">
        <v>0</v>
      </c>
      <c r="AO64" s="299">
        <v>0</v>
      </c>
      <c r="AP64" s="299">
        <v>5</v>
      </c>
      <c r="AQ64" s="299">
        <v>0</v>
      </c>
      <c r="AR64" s="299">
        <v>0</v>
      </c>
      <c r="AS64" s="299">
        <v>0</v>
      </c>
      <c r="AT64" s="299">
        <v>0</v>
      </c>
      <c r="AU64" s="299">
        <v>0</v>
      </c>
      <c r="AV64" s="299">
        <v>0</v>
      </c>
      <c r="AW64" s="299">
        <v>0</v>
      </c>
      <c r="AX64" s="299">
        <v>0</v>
      </c>
      <c r="AY64" s="299">
        <v>0</v>
      </c>
      <c r="AZ64" s="299"/>
      <c r="BA64" s="299" t="s">
        <v>1145</v>
      </c>
      <c r="BB64" s="299"/>
      <c r="BC64" s="299" t="s">
        <v>1145</v>
      </c>
      <c r="BD64" s="299"/>
      <c r="BE64" s="299"/>
      <c r="BF64" s="299"/>
      <c r="BG64" s="298"/>
      <c r="BH64" s="297"/>
      <c r="BI64" s="299"/>
      <c r="BJ64" s="299" t="s">
        <v>1164</v>
      </c>
      <c r="BK64" s="298" t="s">
        <v>47</v>
      </c>
      <c r="BL64" s="297" t="s">
        <v>1210</v>
      </c>
      <c r="BM64" s="379" t="s">
        <v>368</v>
      </c>
    </row>
    <row r="65" spans="1:65" x14ac:dyDescent="0.15">
      <c r="A65" s="148">
        <v>2056</v>
      </c>
      <c r="B65" s="328">
        <v>43692</v>
      </c>
      <c r="C65" s="296" t="s">
        <v>1138</v>
      </c>
      <c r="D65" s="379" t="s">
        <v>1110</v>
      </c>
      <c r="E65" s="295">
        <v>43646</v>
      </c>
      <c r="F65" s="378" t="s">
        <v>1180</v>
      </c>
      <c r="G65" s="379" t="s">
        <v>1181</v>
      </c>
      <c r="H65" s="406">
        <v>86.590909090909079</v>
      </c>
      <c r="I65" s="376"/>
      <c r="J65" s="331"/>
      <c r="K65" s="297"/>
      <c r="L65" s="297"/>
      <c r="M65" s="297"/>
      <c r="N65" s="297"/>
      <c r="O65" s="406">
        <v>1.7727272727272725</v>
      </c>
      <c r="P65" s="340">
        <v>0</v>
      </c>
      <c r="Q65" s="340">
        <v>0</v>
      </c>
      <c r="R65" s="340">
        <v>0</v>
      </c>
      <c r="S65" s="340">
        <v>0</v>
      </c>
      <c r="T65" s="406" t="s">
        <v>1142</v>
      </c>
      <c r="U65" s="406">
        <v>1.7727272727272725</v>
      </c>
      <c r="V65" s="340">
        <v>0</v>
      </c>
      <c r="W65" s="340">
        <v>0</v>
      </c>
      <c r="X65" s="340">
        <v>0</v>
      </c>
      <c r="Y65" s="340">
        <v>0</v>
      </c>
      <c r="Z65" s="406" t="s">
        <v>1142</v>
      </c>
      <c r="AA65" s="406" t="s">
        <v>1142</v>
      </c>
      <c r="AB65" s="406" t="s">
        <v>1142</v>
      </c>
      <c r="AC65" s="406" t="s">
        <v>1142</v>
      </c>
      <c r="AD65" s="406" t="s">
        <v>1142</v>
      </c>
      <c r="AE65" s="406" t="s">
        <v>1142</v>
      </c>
      <c r="AF65" s="406" t="s">
        <v>1142</v>
      </c>
      <c r="AG65" s="299" t="s">
        <v>1145</v>
      </c>
      <c r="AH65" s="299"/>
      <c r="AI65" s="299">
        <v>2</v>
      </c>
      <c r="AJ65" s="299">
        <v>4</v>
      </c>
      <c r="AK65" s="388">
        <v>0.33329999999999999</v>
      </c>
      <c r="AL65" s="388">
        <v>0.66659999999999997</v>
      </c>
      <c r="AM65" s="379"/>
      <c r="AN65" s="299">
        <v>0</v>
      </c>
      <c r="AO65" s="299">
        <v>0</v>
      </c>
      <c r="AP65" s="299">
        <v>0</v>
      </c>
      <c r="AQ65" s="299">
        <v>0</v>
      </c>
      <c r="AR65" s="299">
        <v>0</v>
      </c>
      <c r="AS65" s="299">
        <v>0</v>
      </c>
      <c r="AT65" s="299">
        <v>0</v>
      </c>
      <c r="AU65" s="299">
        <v>0</v>
      </c>
      <c r="AV65" s="299">
        <v>0</v>
      </c>
      <c r="AW65" s="299">
        <v>0</v>
      </c>
      <c r="AX65" s="299">
        <v>0</v>
      </c>
      <c r="AY65" s="299">
        <v>0</v>
      </c>
      <c r="AZ65" s="299"/>
      <c r="BA65" s="299" t="s">
        <v>1145</v>
      </c>
      <c r="BB65" s="299"/>
      <c r="BC65" s="299" t="s">
        <v>1145</v>
      </c>
      <c r="BD65" s="299"/>
      <c r="BE65" s="299"/>
      <c r="BF65" s="299"/>
      <c r="BG65" s="298"/>
      <c r="BH65" s="297"/>
      <c r="BI65" s="299"/>
      <c r="BJ65" s="299" t="s">
        <v>1164</v>
      </c>
      <c r="BK65" s="298" t="s">
        <v>1182</v>
      </c>
      <c r="BL65" s="379" t="s">
        <v>1211</v>
      </c>
      <c r="BM65" s="379" t="s">
        <v>368</v>
      </c>
    </row>
    <row r="66" spans="1:65" x14ac:dyDescent="0.15">
      <c r="A66" s="148">
        <v>1366</v>
      </c>
      <c r="B66" s="328">
        <v>43692</v>
      </c>
      <c r="C66" s="296" t="s">
        <v>295</v>
      </c>
      <c r="D66" s="379" t="s">
        <v>1111</v>
      </c>
      <c r="E66" s="295">
        <v>43647</v>
      </c>
      <c r="F66" s="298" t="s">
        <v>1044</v>
      </c>
      <c r="G66" s="297" t="s">
        <v>1140</v>
      </c>
      <c r="H66" s="406">
        <v>76.099999999999994</v>
      </c>
      <c r="I66" s="376" t="s">
        <v>296</v>
      </c>
      <c r="J66" s="297">
        <v>1645</v>
      </c>
      <c r="K66" s="297">
        <v>3000</v>
      </c>
      <c r="L66" s="297">
        <v>3000</v>
      </c>
      <c r="M66" s="297">
        <v>3000</v>
      </c>
      <c r="N66" s="297"/>
      <c r="O66" s="406">
        <v>2.2545454545454544</v>
      </c>
      <c r="P66" s="406">
        <v>1.9818181818181817</v>
      </c>
      <c r="Q66" s="340">
        <v>0</v>
      </c>
      <c r="R66" s="340">
        <v>0</v>
      </c>
      <c r="S66" s="406">
        <v>1.5818181818181818</v>
      </c>
      <c r="T66" s="406" t="s">
        <v>1142</v>
      </c>
      <c r="U66" s="406">
        <v>2.2545454545454544</v>
      </c>
      <c r="V66" s="406">
        <v>1.9818181818181817</v>
      </c>
      <c r="W66" s="340">
        <v>0</v>
      </c>
      <c r="X66" s="340">
        <v>0</v>
      </c>
      <c r="Y66" s="406">
        <v>1.5818181818181818</v>
      </c>
      <c r="Z66" s="406" t="s">
        <v>1142</v>
      </c>
      <c r="AA66" s="406" t="s">
        <v>1142</v>
      </c>
      <c r="AB66" s="406" t="s">
        <v>1142</v>
      </c>
      <c r="AC66" s="406" t="s">
        <v>1142</v>
      </c>
      <c r="AD66" s="406" t="s">
        <v>1142</v>
      </c>
      <c r="AE66" s="406" t="s">
        <v>1142</v>
      </c>
      <c r="AF66" s="406" t="s">
        <v>1142</v>
      </c>
      <c r="AG66" s="299" t="s">
        <v>1145</v>
      </c>
      <c r="AH66" s="299"/>
      <c r="AI66" s="299">
        <v>2</v>
      </c>
      <c r="AJ66" s="299">
        <v>4</v>
      </c>
      <c r="AK66" s="388">
        <v>0.33329999999999999</v>
      </c>
      <c r="AL66" s="388">
        <v>0.66659999999999997</v>
      </c>
      <c r="AM66" s="379"/>
      <c r="AN66" s="299">
        <v>0</v>
      </c>
      <c r="AO66" s="299">
        <v>0</v>
      </c>
      <c r="AP66" s="299">
        <v>0</v>
      </c>
      <c r="AQ66" s="299">
        <v>0</v>
      </c>
      <c r="AR66" s="299">
        <v>0</v>
      </c>
      <c r="AS66" s="299">
        <v>0</v>
      </c>
      <c r="AT66" s="299">
        <v>0</v>
      </c>
      <c r="AU66" s="299">
        <v>0</v>
      </c>
      <c r="AV66" s="299">
        <v>0</v>
      </c>
      <c r="AW66" s="299">
        <v>0</v>
      </c>
      <c r="AX66" s="299">
        <v>0</v>
      </c>
      <c r="AY66" s="299">
        <v>0</v>
      </c>
      <c r="AZ66" s="299"/>
      <c r="BA66" s="299" t="s">
        <v>1145</v>
      </c>
      <c r="BB66" s="299">
        <v>12</v>
      </c>
      <c r="BC66" s="299" t="s">
        <v>1145</v>
      </c>
      <c r="BD66" s="299"/>
      <c r="BE66" s="299">
        <v>12</v>
      </c>
      <c r="BF66" s="299"/>
      <c r="BG66" s="298"/>
      <c r="BH66" s="297"/>
      <c r="BI66" s="299"/>
      <c r="BJ66" s="299" t="s">
        <v>1146</v>
      </c>
      <c r="BK66" s="378"/>
      <c r="BL66" s="379" t="s">
        <v>1212</v>
      </c>
      <c r="BM66" s="379" t="s">
        <v>368</v>
      </c>
    </row>
    <row r="67" spans="1:65" x14ac:dyDescent="0.15">
      <c r="A67" s="148">
        <v>2185</v>
      </c>
      <c r="B67" s="328">
        <v>43692</v>
      </c>
      <c r="C67" s="296" t="s">
        <v>1138</v>
      </c>
      <c r="D67" s="379" t="s">
        <v>1111</v>
      </c>
      <c r="E67" s="328">
        <v>43647</v>
      </c>
      <c r="F67" s="298" t="s">
        <v>1148</v>
      </c>
      <c r="G67" s="379" t="s">
        <v>1149</v>
      </c>
      <c r="H67" s="406">
        <v>74</v>
      </c>
      <c r="I67" s="376" t="s">
        <v>1141</v>
      </c>
      <c r="J67" s="297">
        <v>1645</v>
      </c>
      <c r="K67" s="297">
        <v>3000</v>
      </c>
      <c r="L67" s="297">
        <v>3000</v>
      </c>
      <c r="M67" s="297">
        <v>3000</v>
      </c>
      <c r="N67" s="297"/>
      <c r="O67" s="406">
        <v>2.7272727272727271</v>
      </c>
      <c r="P67" s="406">
        <v>2.3636363636363633</v>
      </c>
      <c r="Q67" s="340">
        <v>0</v>
      </c>
      <c r="R67" s="340">
        <v>0</v>
      </c>
      <c r="S67" s="406">
        <v>1.8181818181818181</v>
      </c>
      <c r="T67" s="406" t="s">
        <v>1142</v>
      </c>
      <c r="U67" s="406">
        <v>2.7272727272727271</v>
      </c>
      <c r="V67" s="406">
        <v>2.3636363636363633</v>
      </c>
      <c r="W67" s="340">
        <v>0</v>
      </c>
      <c r="X67" s="340">
        <v>0</v>
      </c>
      <c r="Y67" s="406">
        <v>1.8181818181818181</v>
      </c>
      <c r="Z67" s="406" t="s">
        <v>1142</v>
      </c>
      <c r="AA67" s="406" t="s">
        <v>1142</v>
      </c>
      <c r="AB67" s="406" t="s">
        <v>1142</v>
      </c>
      <c r="AC67" s="406" t="s">
        <v>1142</v>
      </c>
      <c r="AD67" s="406" t="s">
        <v>1142</v>
      </c>
      <c r="AE67" s="406" t="s">
        <v>1142</v>
      </c>
      <c r="AF67" s="406" t="s">
        <v>1142</v>
      </c>
      <c r="AG67" s="299" t="s">
        <v>1145</v>
      </c>
      <c r="AH67" s="299"/>
      <c r="AI67" s="299">
        <v>2</v>
      </c>
      <c r="AJ67" s="299">
        <v>4</v>
      </c>
      <c r="AK67" s="388">
        <v>0.33329999999999999</v>
      </c>
      <c r="AL67" s="388">
        <v>0.66659999999999997</v>
      </c>
      <c r="AM67" s="379"/>
      <c r="AN67" s="299">
        <v>0</v>
      </c>
      <c r="AO67" s="299">
        <v>0</v>
      </c>
      <c r="AP67" s="299">
        <v>0</v>
      </c>
      <c r="AQ67" s="299">
        <v>0</v>
      </c>
      <c r="AR67" s="299">
        <v>0</v>
      </c>
      <c r="AS67" s="299">
        <v>0</v>
      </c>
      <c r="AT67" s="299">
        <v>0</v>
      </c>
      <c r="AU67" s="299">
        <v>0</v>
      </c>
      <c r="AV67" s="299">
        <v>0</v>
      </c>
      <c r="AW67" s="299">
        <v>0</v>
      </c>
      <c r="AX67" s="299">
        <v>0</v>
      </c>
      <c r="AY67" s="299">
        <v>0</v>
      </c>
      <c r="AZ67" s="297"/>
      <c r="BA67" s="299" t="s">
        <v>1145</v>
      </c>
      <c r="BB67" s="299"/>
      <c r="BC67" s="299" t="s">
        <v>1145</v>
      </c>
      <c r="BD67" s="299"/>
      <c r="BE67" s="299"/>
      <c r="BF67" s="299"/>
      <c r="BG67" s="298" t="s">
        <v>1150</v>
      </c>
      <c r="BH67" s="297" t="s">
        <v>365</v>
      </c>
      <c r="BI67" s="407">
        <v>100</v>
      </c>
      <c r="BJ67" s="299" t="s">
        <v>411</v>
      </c>
      <c r="BK67" s="298"/>
      <c r="BL67" s="379" t="s">
        <v>1151</v>
      </c>
      <c r="BM67" s="379" t="s">
        <v>368</v>
      </c>
    </row>
    <row r="68" spans="1:65" x14ac:dyDescent="0.15">
      <c r="A68" s="148">
        <v>2197</v>
      </c>
      <c r="B68" s="328">
        <v>43692</v>
      </c>
      <c r="C68" s="296" t="s">
        <v>1138</v>
      </c>
      <c r="D68" s="379" t="s">
        <v>1111</v>
      </c>
      <c r="E68" s="295">
        <v>43647</v>
      </c>
      <c r="F68" s="298" t="s">
        <v>1152</v>
      </c>
      <c r="G68" s="379" t="s">
        <v>1153</v>
      </c>
      <c r="H68" s="406">
        <v>59.345454545454544</v>
      </c>
      <c r="I68" s="376" t="s">
        <v>1141</v>
      </c>
      <c r="J68" s="297">
        <v>1645</v>
      </c>
      <c r="K68" s="297">
        <v>3000</v>
      </c>
      <c r="L68" s="297">
        <v>3000</v>
      </c>
      <c r="M68" s="297">
        <v>3000</v>
      </c>
      <c r="N68" s="297"/>
      <c r="O68" s="406">
        <v>2.7727272727272725</v>
      </c>
      <c r="P68" s="406">
        <v>2.3636363636363633</v>
      </c>
      <c r="Q68" s="340">
        <v>0</v>
      </c>
      <c r="R68" s="340">
        <v>0</v>
      </c>
      <c r="S68" s="406">
        <v>2.0363636363636366</v>
      </c>
      <c r="T68" s="406" t="s">
        <v>1142</v>
      </c>
      <c r="U68" s="406">
        <v>2.7727272727272725</v>
      </c>
      <c r="V68" s="406">
        <v>2.3636363636363633</v>
      </c>
      <c r="W68" s="340">
        <v>0</v>
      </c>
      <c r="X68" s="340">
        <v>0</v>
      </c>
      <c r="Y68" s="406">
        <v>2.0363636363636366</v>
      </c>
      <c r="Z68" s="406" t="s">
        <v>1142</v>
      </c>
      <c r="AA68" s="406" t="s">
        <v>1142</v>
      </c>
      <c r="AB68" s="406" t="s">
        <v>1142</v>
      </c>
      <c r="AC68" s="406" t="s">
        <v>1142</v>
      </c>
      <c r="AD68" s="406" t="s">
        <v>1142</v>
      </c>
      <c r="AE68" s="406" t="s">
        <v>1142</v>
      </c>
      <c r="AF68" s="406" t="s">
        <v>1142</v>
      </c>
      <c r="AG68" s="299" t="s">
        <v>1145</v>
      </c>
      <c r="AH68" s="299"/>
      <c r="AI68" s="299">
        <v>2</v>
      </c>
      <c r="AJ68" s="299">
        <v>4</v>
      </c>
      <c r="AK68" s="388">
        <v>0.33329999999999999</v>
      </c>
      <c r="AL68" s="388">
        <v>0.66659999999999997</v>
      </c>
      <c r="AM68" s="379"/>
      <c r="AN68" s="299">
        <v>0</v>
      </c>
      <c r="AO68" s="299">
        <v>0</v>
      </c>
      <c r="AP68" s="299">
        <v>0</v>
      </c>
      <c r="AQ68" s="299">
        <v>0</v>
      </c>
      <c r="AR68" s="299">
        <v>0</v>
      </c>
      <c r="AS68" s="299">
        <v>0</v>
      </c>
      <c r="AT68" s="299">
        <v>0</v>
      </c>
      <c r="AU68" s="299">
        <v>0</v>
      </c>
      <c r="AV68" s="299">
        <v>0</v>
      </c>
      <c r="AW68" s="299">
        <v>0</v>
      </c>
      <c r="AX68" s="299">
        <v>0</v>
      </c>
      <c r="AY68" s="299">
        <v>0</v>
      </c>
      <c r="AZ68" s="297"/>
      <c r="BA68" s="299" t="s">
        <v>1145</v>
      </c>
      <c r="BB68" s="299"/>
      <c r="BC68" s="299" t="s">
        <v>1145</v>
      </c>
      <c r="BD68" s="299"/>
      <c r="BE68" s="299"/>
      <c r="BF68" s="299"/>
      <c r="BG68" s="298"/>
      <c r="BH68" s="297"/>
      <c r="BI68" s="299"/>
      <c r="BJ68" s="299" t="s">
        <v>1146</v>
      </c>
      <c r="BK68" s="298" t="s">
        <v>370</v>
      </c>
      <c r="BL68" s="379" t="s">
        <v>1213</v>
      </c>
      <c r="BM68" s="379" t="s">
        <v>368</v>
      </c>
    </row>
    <row r="69" spans="1:65" x14ac:dyDescent="0.15">
      <c r="A69" s="148">
        <v>1138</v>
      </c>
      <c r="B69" s="328">
        <v>43481</v>
      </c>
      <c r="C69" s="296" t="s">
        <v>10</v>
      </c>
      <c r="D69" s="379" t="s">
        <v>1111</v>
      </c>
      <c r="E69" s="295">
        <v>43466</v>
      </c>
      <c r="F69" s="298" t="s">
        <v>1050</v>
      </c>
      <c r="G69" s="297" t="s">
        <v>418</v>
      </c>
      <c r="H69" s="297">
        <v>75</v>
      </c>
      <c r="I69" s="376" t="s">
        <v>1101</v>
      </c>
      <c r="J69" s="297">
        <v>1645</v>
      </c>
      <c r="K69" s="297">
        <v>3000</v>
      </c>
      <c r="L69" s="297">
        <v>3000</v>
      </c>
      <c r="M69" s="297">
        <v>3000</v>
      </c>
      <c r="N69" s="297"/>
      <c r="O69" s="416">
        <v>3.17</v>
      </c>
      <c r="P69" s="416">
        <v>2.5</v>
      </c>
      <c r="Q69" s="340">
        <v>0</v>
      </c>
      <c r="R69" s="340">
        <v>0</v>
      </c>
      <c r="S69" s="416">
        <v>2.25</v>
      </c>
      <c r="T69" s="416"/>
      <c r="U69" s="416">
        <v>3.17</v>
      </c>
      <c r="V69" s="416">
        <v>2.5</v>
      </c>
      <c r="W69" s="340">
        <v>0</v>
      </c>
      <c r="X69" s="340">
        <v>0</v>
      </c>
      <c r="Y69" s="416">
        <v>2.25</v>
      </c>
      <c r="Z69" s="297"/>
      <c r="AA69" s="297"/>
      <c r="AB69" s="297"/>
      <c r="AC69" s="297"/>
      <c r="AD69" s="297"/>
      <c r="AE69" s="297"/>
      <c r="AF69" s="297"/>
      <c r="AG69" s="299" t="s">
        <v>38</v>
      </c>
      <c r="AH69" s="299"/>
      <c r="AI69" s="299">
        <v>2</v>
      </c>
      <c r="AJ69" s="299">
        <v>4</v>
      </c>
      <c r="AK69" s="388">
        <v>0.33329999999999999</v>
      </c>
      <c r="AL69" s="388">
        <v>0.66659999999999997</v>
      </c>
      <c r="AM69" s="366"/>
      <c r="AN69" s="299">
        <v>0</v>
      </c>
      <c r="AO69" s="299">
        <v>0</v>
      </c>
      <c r="AP69" s="299">
        <v>0</v>
      </c>
      <c r="AQ69" s="299">
        <v>16</v>
      </c>
      <c r="AR69" s="299">
        <v>0</v>
      </c>
      <c r="AS69" s="299">
        <v>0</v>
      </c>
      <c r="AT69" s="299">
        <v>0</v>
      </c>
      <c r="AU69" s="299">
        <v>0</v>
      </c>
      <c r="AV69" s="299">
        <v>0</v>
      </c>
      <c r="AW69" s="299">
        <v>0</v>
      </c>
      <c r="AX69" s="299">
        <v>0</v>
      </c>
      <c r="AY69" s="299">
        <v>0</v>
      </c>
      <c r="AZ69" s="299"/>
      <c r="BA69" s="299" t="s">
        <v>38</v>
      </c>
      <c r="BB69" s="299"/>
      <c r="BC69" s="299" t="s">
        <v>38</v>
      </c>
      <c r="BD69" s="299"/>
      <c r="BE69" s="298"/>
      <c r="BF69" s="297"/>
      <c r="BG69" s="299"/>
      <c r="BJ69" s="299" t="s">
        <v>41</v>
      </c>
      <c r="BK69" s="298" t="s">
        <v>370</v>
      </c>
      <c r="BL69" s="366" t="s">
        <v>430</v>
      </c>
      <c r="BM69" s="366" t="s">
        <v>408</v>
      </c>
    </row>
    <row r="70" spans="1:65" x14ac:dyDescent="0.15">
      <c r="A70" s="148"/>
      <c r="B70" s="405">
        <v>43706</v>
      </c>
      <c r="C70" s="296" t="s">
        <v>10</v>
      </c>
      <c r="D70" s="379" t="s">
        <v>1111</v>
      </c>
      <c r="E70" s="295">
        <v>43647</v>
      </c>
      <c r="F70" s="298" t="s">
        <v>19</v>
      </c>
      <c r="G70" s="297" t="s">
        <v>20</v>
      </c>
      <c r="H70" s="297">
        <v>60.45</v>
      </c>
      <c r="I70" s="376" t="s">
        <v>1101</v>
      </c>
      <c r="J70" s="297">
        <v>1645</v>
      </c>
      <c r="K70" s="297">
        <v>3000</v>
      </c>
      <c r="L70" s="297">
        <v>3000</v>
      </c>
      <c r="M70" s="297">
        <v>3000</v>
      </c>
      <c r="N70" s="297"/>
      <c r="O70" s="416">
        <v>2.754545454545454</v>
      </c>
      <c r="P70" s="416">
        <v>2.1999999999999997</v>
      </c>
      <c r="Q70" s="340">
        <v>0</v>
      </c>
      <c r="R70" s="340">
        <v>0</v>
      </c>
      <c r="S70" s="340">
        <v>2.0545454545454542</v>
      </c>
      <c r="T70" s="416"/>
      <c r="U70" s="416">
        <v>2.754545454545454</v>
      </c>
      <c r="V70" s="416">
        <v>2.1999999999999997</v>
      </c>
      <c r="W70" s="417">
        <v>0</v>
      </c>
      <c r="X70" s="340">
        <v>0</v>
      </c>
      <c r="Y70" s="340">
        <v>2.0545454545454542</v>
      </c>
      <c r="Z70" s="297"/>
      <c r="AA70" s="297"/>
      <c r="AB70" s="297"/>
      <c r="AC70" s="297"/>
      <c r="AD70" s="297"/>
      <c r="AE70" s="297"/>
      <c r="AF70" s="297"/>
      <c r="AG70" s="299" t="s">
        <v>1116</v>
      </c>
      <c r="AH70" s="299" t="s">
        <v>1117</v>
      </c>
      <c r="AI70" s="299">
        <v>2</v>
      </c>
      <c r="AJ70" s="299">
        <v>4</v>
      </c>
      <c r="AK70" s="388">
        <v>0.33329999999999999</v>
      </c>
      <c r="AL70" s="388">
        <v>0.66659999999999997</v>
      </c>
      <c r="AM70" s="379"/>
      <c r="AN70" s="299">
        <v>0</v>
      </c>
      <c r="AO70" s="299">
        <v>0</v>
      </c>
      <c r="AP70" s="299">
        <v>0</v>
      </c>
      <c r="AQ70" s="299">
        <v>20</v>
      </c>
      <c r="AR70" s="299">
        <v>0</v>
      </c>
      <c r="AS70" s="299">
        <v>0</v>
      </c>
      <c r="AT70" s="299">
        <v>0</v>
      </c>
      <c r="AU70" s="299">
        <v>0</v>
      </c>
      <c r="AV70" s="299">
        <v>0</v>
      </c>
      <c r="AW70" s="299">
        <v>0</v>
      </c>
      <c r="AX70" s="299">
        <v>0</v>
      </c>
      <c r="AY70" s="299">
        <v>0</v>
      </c>
      <c r="AZ70" s="297"/>
      <c r="BA70" s="299" t="s">
        <v>38</v>
      </c>
      <c r="BB70" s="299"/>
      <c r="BC70" s="299" t="s">
        <v>38</v>
      </c>
      <c r="BD70" s="299"/>
      <c r="BE70" s="298"/>
      <c r="BF70" s="297"/>
      <c r="BG70" s="299"/>
      <c r="BJ70" s="299" t="s">
        <v>43</v>
      </c>
      <c r="BK70" s="298"/>
      <c r="BL70" s="366" t="s">
        <v>1214</v>
      </c>
      <c r="BM70" s="366" t="s">
        <v>1121</v>
      </c>
    </row>
    <row r="71" spans="1:65" x14ac:dyDescent="0.15">
      <c r="A71" s="148">
        <v>2116</v>
      </c>
      <c r="B71" s="328">
        <v>43692</v>
      </c>
      <c r="C71" s="296" t="s">
        <v>1138</v>
      </c>
      <c r="D71" s="379" t="s">
        <v>1111</v>
      </c>
      <c r="E71" s="295">
        <v>43647</v>
      </c>
      <c r="F71" s="298" t="s">
        <v>1156</v>
      </c>
      <c r="G71" s="379" t="s">
        <v>1157</v>
      </c>
      <c r="H71" s="406">
        <v>81</v>
      </c>
      <c r="I71" s="376" t="s">
        <v>1141</v>
      </c>
      <c r="J71" s="331">
        <v>3000</v>
      </c>
      <c r="K71" s="331">
        <v>3000</v>
      </c>
      <c r="L71" s="331">
        <v>3000</v>
      </c>
      <c r="M71" s="331">
        <v>3000</v>
      </c>
      <c r="N71" s="297"/>
      <c r="O71" s="406">
        <v>2.97</v>
      </c>
      <c r="P71" s="340">
        <v>0</v>
      </c>
      <c r="Q71" s="340">
        <v>0</v>
      </c>
      <c r="R71" s="340">
        <v>0</v>
      </c>
      <c r="S71" s="406">
        <v>2</v>
      </c>
      <c r="T71" s="406" t="s">
        <v>1142</v>
      </c>
      <c r="U71" s="406">
        <v>2.97</v>
      </c>
      <c r="V71" s="340">
        <v>0</v>
      </c>
      <c r="W71" s="340">
        <v>0</v>
      </c>
      <c r="X71" s="340">
        <v>0</v>
      </c>
      <c r="Y71" s="406">
        <v>2</v>
      </c>
      <c r="Z71" s="406" t="s">
        <v>1142</v>
      </c>
      <c r="AA71" s="406" t="s">
        <v>1142</v>
      </c>
      <c r="AB71" s="406" t="s">
        <v>1142</v>
      </c>
      <c r="AC71" s="406" t="s">
        <v>1142</v>
      </c>
      <c r="AD71" s="406" t="s">
        <v>1142</v>
      </c>
      <c r="AE71" s="406" t="s">
        <v>1142</v>
      </c>
      <c r="AF71" s="406" t="s">
        <v>1142</v>
      </c>
      <c r="AG71" s="299" t="s">
        <v>1145</v>
      </c>
      <c r="AH71" s="297"/>
      <c r="AI71" s="299">
        <v>2</v>
      </c>
      <c r="AJ71" s="299">
        <v>4</v>
      </c>
      <c r="AK71" s="388">
        <v>0.33329999999999999</v>
      </c>
      <c r="AL71" s="388">
        <v>0.66659999999999997</v>
      </c>
      <c r="AM71" s="379"/>
      <c r="AN71" s="299">
        <v>24</v>
      </c>
      <c r="AO71" s="299">
        <v>0</v>
      </c>
      <c r="AP71" s="299">
        <v>0</v>
      </c>
      <c r="AQ71" s="299">
        <v>0</v>
      </c>
      <c r="AR71" s="299">
        <v>0</v>
      </c>
      <c r="AS71" s="299">
        <v>0</v>
      </c>
      <c r="AT71" s="299">
        <v>0</v>
      </c>
      <c r="AU71" s="299">
        <v>0</v>
      </c>
      <c r="AV71" s="299">
        <v>0</v>
      </c>
      <c r="AW71" s="299">
        <v>0</v>
      </c>
      <c r="AX71" s="299">
        <v>0</v>
      </c>
      <c r="AY71" s="299">
        <v>0</v>
      </c>
      <c r="AZ71" s="297"/>
      <c r="BA71" s="299" t="s">
        <v>1145</v>
      </c>
      <c r="BB71" s="299">
        <v>12</v>
      </c>
      <c r="BC71" s="299" t="s">
        <v>1145</v>
      </c>
      <c r="BD71" s="299"/>
      <c r="BE71" s="299"/>
      <c r="BF71" s="299"/>
      <c r="BG71" s="298"/>
      <c r="BH71" s="297"/>
      <c r="BI71" s="299"/>
      <c r="BJ71" s="299" t="s">
        <v>1146</v>
      </c>
      <c r="BK71" s="298"/>
      <c r="BL71" s="408" t="s">
        <v>1215</v>
      </c>
      <c r="BM71" s="379" t="s">
        <v>368</v>
      </c>
    </row>
    <row r="72" spans="1:65" x14ac:dyDescent="0.15">
      <c r="A72" s="148">
        <v>1934</v>
      </c>
      <c r="B72" s="328">
        <v>43692</v>
      </c>
      <c r="C72" s="296" t="s">
        <v>1138</v>
      </c>
      <c r="D72" s="379" t="s">
        <v>1111</v>
      </c>
      <c r="E72" s="295">
        <v>43497</v>
      </c>
      <c r="F72" s="298" t="s">
        <v>1159</v>
      </c>
      <c r="G72" s="297" t="s">
        <v>1105</v>
      </c>
      <c r="H72" s="406">
        <v>65</v>
      </c>
      <c r="I72" s="376" t="s">
        <v>1141</v>
      </c>
      <c r="J72" s="297">
        <v>1645</v>
      </c>
      <c r="K72" s="297">
        <v>3000</v>
      </c>
      <c r="L72" s="297">
        <v>3000</v>
      </c>
      <c r="M72" s="297">
        <v>3000</v>
      </c>
      <c r="N72" s="297"/>
      <c r="O72" s="406">
        <v>2.5</v>
      </c>
      <c r="P72" s="406">
        <v>2</v>
      </c>
      <c r="Q72" s="340">
        <v>0</v>
      </c>
      <c r="R72" s="340">
        <v>0</v>
      </c>
      <c r="S72" s="406">
        <v>1.8</v>
      </c>
      <c r="T72" s="406" t="s">
        <v>1142</v>
      </c>
      <c r="U72" s="406">
        <v>2.5</v>
      </c>
      <c r="V72" s="406">
        <v>2</v>
      </c>
      <c r="W72" s="340">
        <v>0</v>
      </c>
      <c r="X72" s="340">
        <v>0</v>
      </c>
      <c r="Y72" s="406">
        <v>1.8</v>
      </c>
      <c r="Z72" s="406" t="s">
        <v>1142</v>
      </c>
      <c r="AA72" s="406" t="s">
        <v>1142</v>
      </c>
      <c r="AB72" s="406" t="s">
        <v>1142</v>
      </c>
      <c r="AC72" s="406" t="s">
        <v>1142</v>
      </c>
      <c r="AD72" s="406" t="s">
        <v>1142</v>
      </c>
      <c r="AE72" s="406" t="s">
        <v>1142</v>
      </c>
      <c r="AF72" s="406" t="s">
        <v>1142</v>
      </c>
      <c r="AG72" s="299" t="s">
        <v>1145</v>
      </c>
      <c r="AH72" s="299"/>
      <c r="AI72" s="299">
        <v>2</v>
      </c>
      <c r="AJ72" s="299">
        <v>4</v>
      </c>
      <c r="AK72" s="388">
        <v>0.33329999999999999</v>
      </c>
      <c r="AL72" s="388">
        <v>0.66659999999999997</v>
      </c>
      <c r="AM72" s="379"/>
      <c r="AN72" s="299">
        <v>0</v>
      </c>
      <c r="AO72" s="299">
        <v>0</v>
      </c>
      <c r="AP72" s="299">
        <v>3</v>
      </c>
      <c r="AQ72" s="299">
        <v>0</v>
      </c>
      <c r="AR72" s="299">
        <v>0</v>
      </c>
      <c r="AS72" s="299">
        <v>0</v>
      </c>
      <c r="AT72" s="299">
        <v>0</v>
      </c>
      <c r="AU72" s="299">
        <v>0</v>
      </c>
      <c r="AV72" s="299">
        <v>0</v>
      </c>
      <c r="AW72" s="299">
        <v>0</v>
      </c>
      <c r="AX72" s="299">
        <v>0</v>
      </c>
      <c r="AY72" s="299">
        <v>0</v>
      </c>
      <c r="AZ72" s="297"/>
      <c r="BA72" s="299" t="s">
        <v>1145</v>
      </c>
      <c r="BB72" s="299"/>
      <c r="BC72" s="299" t="s">
        <v>1145</v>
      </c>
      <c r="BD72" s="299"/>
      <c r="BE72" s="299"/>
      <c r="BF72" s="299"/>
      <c r="BG72" s="299"/>
      <c r="BH72" s="299"/>
      <c r="BI72" s="299"/>
      <c r="BJ72" s="299" t="s">
        <v>1146</v>
      </c>
      <c r="BK72" s="298"/>
      <c r="BL72" s="297" t="s">
        <v>430</v>
      </c>
      <c r="BM72" s="379" t="s">
        <v>368</v>
      </c>
    </row>
    <row r="73" spans="1:65" x14ac:dyDescent="0.15">
      <c r="A73" s="148">
        <v>315</v>
      </c>
      <c r="B73" s="328">
        <v>43692</v>
      </c>
      <c r="C73" s="296" t="s">
        <v>1138</v>
      </c>
      <c r="D73" s="379" t="s">
        <v>1111</v>
      </c>
      <c r="E73" s="295">
        <v>43647</v>
      </c>
      <c r="F73" s="297" t="s">
        <v>1160</v>
      </c>
      <c r="G73" s="297" t="s">
        <v>1161</v>
      </c>
      <c r="H73" s="406">
        <v>78.91</v>
      </c>
      <c r="I73" s="376" t="s">
        <v>1141</v>
      </c>
      <c r="J73" s="297">
        <v>1645</v>
      </c>
      <c r="K73" s="297">
        <v>3000</v>
      </c>
      <c r="L73" s="297">
        <v>3000</v>
      </c>
      <c r="M73" s="297">
        <v>3000</v>
      </c>
      <c r="N73" s="297"/>
      <c r="O73" s="406">
        <v>2.133</v>
      </c>
      <c r="P73" s="406">
        <v>1.8069999999999999</v>
      </c>
      <c r="Q73" s="340">
        <v>0</v>
      </c>
      <c r="R73" s="340">
        <v>0</v>
      </c>
      <c r="S73" s="406">
        <v>1.573</v>
      </c>
      <c r="T73" s="406" t="s">
        <v>1142</v>
      </c>
      <c r="U73" s="406">
        <v>1.9350000000000001</v>
      </c>
      <c r="V73" s="406">
        <v>1.6339999999999999</v>
      </c>
      <c r="W73" s="340">
        <v>0</v>
      </c>
      <c r="X73" s="340">
        <v>0</v>
      </c>
      <c r="Y73" s="406">
        <v>1.4159999999999999</v>
      </c>
      <c r="Z73" s="406" t="s">
        <v>1142</v>
      </c>
      <c r="AA73" s="406" t="s">
        <v>1142</v>
      </c>
      <c r="AB73" s="406" t="s">
        <v>1142</v>
      </c>
      <c r="AC73" s="406" t="s">
        <v>1142</v>
      </c>
      <c r="AD73" s="406" t="s">
        <v>1142</v>
      </c>
      <c r="AE73" s="406" t="s">
        <v>1142</v>
      </c>
      <c r="AF73" s="406" t="s">
        <v>1142</v>
      </c>
      <c r="AG73" s="299" t="s">
        <v>1143</v>
      </c>
      <c r="AH73" s="299" t="s">
        <v>1144</v>
      </c>
      <c r="AI73" s="299">
        <v>2</v>
      </c>
      <c r="AJ73" s="299">
        <v>4</v>
      </c>
      <c r="AK73" s="388">
        <v>0.33329999999999999</v>
      </c>
      <c r="AL73" s="388">
        <v>0.66659999999999997</v>
      </c>
      <c r="AM73" s="379" t="s">
        <v>1124</v>
      </c>
      <c r="AN73" s="299">
        <v>0</v>
      </c>
      <c r="AO73" s="299">
        <v>0</v>
      </c>
      <c r="AP73" s="299">
        <v>0</v>
      </c>
      <c r="AQ73" s="299">
        <v>0</v>
      </c>
      <c r="AR73" s="299">
        <v>0</v>
      </c>
      <c r="AS73" s="299">
        <v>0</v>
      </c>
      <c r="AT73" s="299">
        <v>0</v>
      </c>
      <c r="AU73" s="299">
        <v>0</v>
      </c>
      <c r="AV73" s="299">
        <v>0</v>
      </c>
      <c r="AW73" s="299">
        <v>0</v>
      </c>
      <c r="AX73" s="299">
        <v>0</v>
      </c>
      <c r="AY73" s="299">
        <v>0</v>
      </c>
      <c r="AZ73" s="297"/>
      <c r="BA73" s="299" t="s">
        <v>1145</v>
      </c>
      <c r="BB73" s="299"/>
      <c r="BC73" s="299" t="s">
        <v>1145</v>
      </c>
      <c r="BD73" s="299"/>
      <c r="BE73" s="299"/>
      <c r="BF73" s="299"/>
      <c r="BG73" s="378" t="s">
        <v>1162</v>
      </c>
      <c r="BH73" s="297" t="s">
        <v>1163</v>
      </c>
      <c r="BI73" s="299">
        <v>50</v>
      </c>
      <c r="BJ73" s="299" t="s">
        <v>1164</v>
      </c>
      <c r="BK73" s="298"/>
      <c r="BL73" s="297" t="s">
        <v>1205</v>
      </c>
      <c r="BM73" s="379" t="s">
        <v>368</v>
      </c>
    </row>
    <row r="74" spans="1:65" x14ac:dyDescent="0.15">
      <c r="A74" s="148">
        <v>2260</v>
      </c>
      <c r="B74" s="328">
        <v>43692</v>
      </c>
      <c r="C74" s="296" t="s">
        <v>1138</v>
      </c>
      <c r="D74" s="379" t="s">
        <v>1111</v>
      </c>
      <c r="E74" s="295">
        <v>43647</v>
      </c>
      <c r="F74" s="298" t="s">
        <v>1166</v>
      </c>
      <c r="G74" s="297" t="s">
        <v>1167</v>
      </c>
      <c r="H74" s="406">
        <v>69</v>
      </c>
      <c r="I74" s="376" t="s">
        <v>1141</v>
      </c>
      <c r="J74" s="331">
        <v>6000</v>
      </c>
      <c r="K74" s="331">
        <v>12000</v>
      </c>
      <c r="L74" s="331">
        <v>12000</v>
      </c>
      <c r="M74" s="331">
        <v>12000</v>
      </c>
      <c r="N74" s="297"/>
      <c r="O74" s="406">
        <v>2.2000000000000002</v>
      </c>
      <c r="P74" s="406">
        <v>2.1</v>
      </c>
      <c r="Q74" s="340">
        <v>0</v>
      </c>
      <c r="R74" s="340">
        <v>0</v>
      </c>
      <c r="S74" s="406">
        <v>1.8</v>
      </c>
      <c r="T74" s="406" t="s">
        <v>1142</v>
      </c>
      <c r="U74" s="406">
        <v>2.2000000000000002</v>
      </c>
      <c r="V74" s="406">
        <v>2.1</v>
      </c>
      <c r="W74" s="340">
        <v>0</v>
      </c>
      <c r="X74" s="340">
        <v>0</v>
      </c>
      <c r="Y74" s="406">
        <v>1.8</v>
      </c>
      <c r="Z74" s="406" t="s">
        <v>1142</v>
      </c>
      <c r="AA74" s="406" t="s">
        <v>1142</v>
      </c>
      <c r="AB74" s="406" t="s">
        <v>1142</v>
      </c>
      <c r="AC74" s="406" t="s">
        <v>1142</v>
      </c>
      <c r="AD74" s="406" t="s">
        <v>1142</v>
      </c>
      <c r="AE74" s="406" t="s">
        <v>1142</v>
      </c>
      <c r="AF74" s="406" t="s">
        <v>1142</v>
      </c>
      <c r="AG74" s="299" t="s">
        <v>1145</v>
      </c>
      <c r="AH74" s="299"/>
      <c r="AI74" s="299">
        <v>2</v>
      </c>
      <c r="AJ74" s="299">
        <v>4</v>
      </c>
      <c r="AK74" s="388">
        <v>0.33329999999999999</v>
      </c>
      <c r="AL74" s="388">
        <v>0.66659999999999997</v>
      </c>
      <c r="AM74" s="379"/>
      <c r="AN74" s="299">
        <v>10</v>
      </c>
      <c r="AO74" s="299">
        <v>0</v>
      </c>
      <c r="AP74" s="299">
        <v>0</v>
      </c>
      <c r="AQ74" s="299">
        <v>0</v>
      </c>
      <c r="AR74" s="299">
        <v>0</v>
      </c>
      <c r="AS74" s="299">
        <v>0</v>
      </c>
      <c r="AT74" s="299">
        <v>0</v>
      </c>
      <c r="AU74" s="299">
        <v>0</v>
      </c>
      <c r="AV74" s="299">
        <v>0</v>
      </c>
      <c r="AW74" s="299">
        <v>0</v>
      </c>
      <c r="AX74" s="299">
        <v>0</v>
      </c>
      <c r="AY74" s="299">
        <v>0</v>
      </c>
      <c r="AZ74" s="297"/>
      <c r="BA74" s="299" t="s">
        <v>1145</v>
      </c>
      <c r="BB74" s="299">
        <v>12</v>
      </c>
      <c r="BC74" s="299" t="s">
        <v>1145</v>
      </c>
      <c r="BD74" s="299"/>
      <c r="BE74" s="299"/>
      <c r="BF74" s="299"/>
      <c r="BG74" s="298"/>
      <c r="BH74" s="297"/>
      <c r="BI74" s="299"/>
      <c r="BJ74" s="299" t="s">
        <v>1146</v>
      </c>
      <c r="BK74" s="298"/>
      <c r="BL74" s="379" t="s">
        <v>430</v>
      </c>
      <c r="BM74" s="379" t="s">
        <v>368</v>
      </c>
    </row>
    <row r="75" spans="1:65" x14ac:dyDescent="0.15">
      <c r="A75" s="148">
        <v>1428</v>
      </c>
      <c r="B75" s="328">
        <v>43692</v>
      </c>
      <c r="C75" s="296" t="s">
        <v>1138</v>
      </c>
      <c r="D75" s="379" t="s">
        <v>1111</v>
      </c>
      <c r="E75" s="309">
        <v>43530</v>
      </c>
      <c r="F75" s="298" t="s">
        <v>1168</v>
      </c>
      <c r="G75" s="379" t="s">
        <v>28</v>
      </c>
      <c r="H75" s="406">
        <v>70.400000000000006</v>
      </c>
      <c r="I75" s="376" t="s">
        <v>1141</v>
      </c>
      <c r="J75" s="331">
        <v>3000</v>
      </c>
      <c r="K75" s="331">
        <v>3000</v>
      </c>
      <c r="L75" s="331">
        <v>3000</v>
      </c>
      <c r="M75" s="331">
        <v>3000</v>
      </c>
      <c r="N75" s="297"/>
      <c r="O75" s="406">
        <v>2.4</v>
      </c>
      <c r="P75" s="417">
        <v>0</v>
      </c>
      <c r="Q75" s="340">
        <v>0</v>
      </c>
      <c r="R75" s="340">
        <v>0</v>
      </c>
      <c r="S75" s="406">
        <v>1.88</v>
      </c>
      <c r="T75" s="406" t="s">
        <v>1142</v>
      </c>
      <c r="U75" s="406">
        <v>2.4</v>
      </c>
      <c r="V75" s="417">
        <v>0</v>
      </c>
      <c r="W75" s="340">
        <v>0</v>
      </c>
      <c r="X75" s="340">
        <v>0</v>
      </c>
      <c r="Y75" s="406">
        <v>1.88</v>
      </c>
      <c r="Z75" s="406" t="s">
        <v>1142</v>
      </c>
      <c r="AA75" s="406" t="s">
        <v>1142</v>
      </c>
      <c r="AB75" s="406" t="s">
        <v>1142</v>
      </c>
      <c r="AC75" s="406" t="s">
        <v>1142</v>
      </c>
      <c r="AD75" s="406" t="s">
        <v>1142</v>
      </c>
      <c r="AE75" s="406" t="s">
        <v>1142</v>
      </c>
      <c r="AF75" s="406" t="s">
        <v>1142</v>
      </c>
      <c r="AG75" s="299" t="s">
        <v>1145</v>
      </c>
      <c r="AH75" s="299"/>
      <c r="AI75" s="299">
        <v>2</v>
      </c>
      <c r="AJ75" s="299">
        <v>4</v>
      </c>
      <c r="AK75" s="388">
        <v>0.33329999999999999</v>
      </c>
      <c r="AL75" s="388">
        <v>0.66659999999999997</v>
      </c>
      <c r="AM75" s="379"/>
      <c r="AN75" s="299">
        <v>0</v>
      </c>
      <c r="AO75" s="299">
        <v>0</v>
      </c>
      <c r="AP75" s="299">
        <v>10</v>
      </c>
      <c r="AQ75" s="299">
        <v>0</v>
      </c>
      <c r="AR75" s="299">
        <v>0</v>
      </c>
      <c r="AS75" s="299">
        <v>0</v>
      </c>
      <c r="AT75" s="299">
        <v>0</v>
      </c>
      <c r="AU75" s="299">
        <v>0</v>
      </c>
      <c r="AV75" s="299">
        <v>0</v>
      </c>
      <c r="AW75" s="299">
        <v>0</v>
      </c>
      <c r="AX75" s="299">
        <v>0</v>
      </c>
      <c r="AY75" s="299">
        <v>0</v>
      </c>
      <c r="AZ75" s="299"/>
      <c r="BA75" s="299" t="s">
        <v>1145</v>
      </c>
      <c r="BB75" s="299"/>
      <c r="BC75" s="299" t="s">
        <v>1145</v>
      </c>
      <c r="BD75" s="299"/>
      <c r="BE75" s="299"/>
      <c r="BF75" s="299"/>
      <c r="BG75" s="298"/>
      <c r="BH75" s="297"/>
      <c r="BI75" s="299"/>
      <c r="BJ75" s="299" t="s">
        <v>1146</v>
      </c>
      <c r="BK75" s="298"/>
      <c r="BL75" s="379" t="s">
        <v>430</v>
      </c>
      <c r="BM75" s="379" t="s">
        <v>368</v>
      </c>
    </row>
    <row r="76" spans="1:65" x14ac:dyDescent="0.15">
      <c r="A76" s="148">
        <v>787</v>
      </c>
      <c r="B76" s="328">
        <v>43692</v>
      </c>
      <c r="C76" s="296" t="s">
        <v>1138</v>
      </c>
      <c r="D76" s="379" t="s">
        <v>1111</v>
      </c>
      <c r="E76" s="309">
        <v>43647</v>
      </c>
      <c r="F76" s="298" t="s">
        <v>1169</v>
      </c>
      <c r="G76" s="297" t="s">
        <v>1170</v>
      </c>
      <c r="H76" s="406">
        <v>63.972727272727269</v>
      </c>
      <c r="I76" s="376" t="s">
        <v>1141</v>
      </c>
      <c r="J76" s="297">
        <v>1645</v>
      </c>
      <c r="K76" s="297">
        <v>3000</v>
      </c>
      <c r="L76" s="297">
        <v>3000</v>
      </c>
      <c r="M76" s="297">
        <v>3000</v>
      </c>
      <c r="N76" s="297"/>
      <c r="O76" s="406">
        <v>2.709090909090909</v>
      </c>
      <c r="P76" s="406">
        <v>2.1545454545454543</v>
      </c>
      <c r="Q76" s="340">
        <v>0</v>
      </c>
      <c r="R76" s="340">
        <v>0</v>
      </c>
      <c r="S76" s="406">
        <v>1.7909090909090908</v>
      </c>
      <c r="T76" s="406" t="s">
        <v>1142</v>
      </c>
      <c r="U76" s="406">
        <v>2.709090909090909</v>
      </c>
      <c r="V76" s="406">
        <v>2.1545454545454543</v>
      </c>
      <c r="W76" s="340">
        <v>0</v>
      </c>
      <c r="X76" s="340">
        <v>0</v>
      </c>
      <c r="Y76" s="406">
        <v>1.7909090909090908</v>
      </c>
      <c r="Z76" s="406" t="s">
        <v>1142</v>
      </c>
      <c r="AA76" s="406" t="s">
        <v>1142</v>
      </c>
      <c r="AB76" s="406" t="s">
        <v>1142</v>
      </c>
      <c r="AC76" s="406" t="s">
        <v>1142</v>
      </c>
      <c r="AD76" s="406" t="s">
        <v>1142</v>
      </c>
      <c r="AE76" s="406" t="s">
        <v>1142</v>
      </c>
      <c r="AF76" s="406" t="s">
        <v>1142</v>
      </c>
      <c r="AG76" s="299" t="s">
        <v>1145</v>
      </c>
      <c r="AH76" s="299"/>
      <c r="AI76" s="299">
        <v>2</v>
      </c>
      <c r="AJ76" s="299">
        <v>4</v>
      </c>
      <c r="AK76" s="388">
        <v>0.33329999999999999</v>
      </c>
      <c r="AL76" s="388">
        <v>0.66659999999999997</v>
      </c>
      <c r="AM76" s="379"/>
      <c r="AN76" s="299">
        <v>0</v>
      </c>
      <c r="AO76" s="299">
        <v>0</v>
      </c>
      <c r="AP76" s="299">
        <v>0</v>
      </c>
      <c r="AQ76" s="299">
        <v>0</v>
      </c>
      <c r="AR76" s="299">
        <v>0</v>
      </c>
      <c r="AS76" s="299">
        <v>0</v>
      </c>
      <c r="AT76" s="299">
        <v>0</v>
      </c>
      <c r="AU76" s="299">
        <v>0</v>
      </c>
      <c r="AV76" s="299">
        <v>0</v>
      </c>
      <c r="AW76" s="299">
        <v>0</v>
      </c>
      <c r="AX76" s="299">
        <v>0</v>
      </c>
      <c r="AY76" s="299">
        <v>0</v>
      </c>
      <c r="AZ76" s="297"/>
      <c r="BA76" s="299" t="s">
        <v>1145</v>
      </c>
      <c r="BB76" s="299"/>
      <c r="BC76" s="299" t="s">
        <v>1145</v>
      </c>
      <c r="BD76" s="299"/>
      <c r="BE76" s="299"/>
      <c r="BF76" s="299"/>
      <c r="BG76" s="378" t="s">
        <v>1171</v>
      </c>
      <c r="BH76" s="297" t="s">
        <v>365</v>
      </c>
      <c r="BI76" s="299">
        <v>50</v>
      </c>
      <c r="BJ76" s="299" t="s">
        <v>1164</v>
      </c>
      <c r="BK76" s="298"/>
      <c r="BL76" s="297" t="s">
        <v>1216</v>
      </c>
      <c r="BM76" s="379" t="s">
        <v>368</v>
      </c>
    </row>
    <row r="77" spans="1:65" x14ac:dyDescent="0.15">
      <c r="A77" s="148">
        <v>2220</v>
      </c>
      <c r="B77" s="328">
        <v>43692</v>
      </c>
      <c r="C77" s="296" t="s">
        <v>1138</v>
      </c>
      <c r="D77" s="379" t="s">
        <v>1111</v>
      </c>
      <c r="E77" s="309">
        <v>43647</v>
      </c>
      <c r="F77" s="297" t="s">
        <v>1173</v>
      </c>
      <c r="G77" s="379" t="s">
        <v>1174</v>
      </c>
      <c r="H77" s="406">
        <v>70</v>
      </c>
      <c r="I77" s="376" t="s">
        <v>1141</v>
      </c>
      <c r="J77" s="297">
        <v>1645</v>
      </c>
      <c r="K77" s="297">
        <v>3000</v>
      </c>
      <c r="L77" s="297">
        <v>3000</v>
      </c>
      <c r="M77" s="297">
        <v>3000</v>
      </c>
      <c r="N77" s="332"/>
      <c r="O77" s="406">
        <v>2.4272727272727268</v>
      </c>
      <c r="P77" s="406">
        <v>1.9727272727272724</v>
      </c>
      <c r="Q77" s="340">
        <v>0</v>
      </c>
      <c r="R77" s="340">
        <v>0</v>
      </c>
      <c r="S77" s="406">
        <v>1.718181818181818</v>
      </c>
      <c r="T77" s="406" t="s">
        <v>1142</v>
      </c>
      <c r="U77" s="406">
        <v>2.4272727272727268</v>
      </c>
      <c r="V77" s="406">
        <v>1.9727272727272724</v>
      </c>
      <c r="W77" s="340">
        <v>0</v>
      </c>
      <c r="X77" s="340">
        <v>0</v>
      </c>
      <c r="Y77" s="406">
        <v>1.718181818181818</v>
      </c>
      <c r="Z77" s="406" t="s">
        <v>1142</v>
      </c>
      <c r="AA77" s="406" t="s">
        <v>1142</v>
      </c>
      <c r="AB77" s="406" t="s">
        <v>1142</v>
      </c>
      <c r="AC77" s="406" t="s">
        <v>1142</v>
      </c>
      <c r="AD77" s="406" t="s">
        <v>1142</v>
      </c>
      <c r="AE77" s="406" t="s">
        <v>1142</v>
      </c>
      <c r="AF77" s="406" t="s">
        <v>1142</v>
      </c>
      <c r="AG77" s="333" t="s">
        <v>1145</v>
      </c>
      <c r="AH77" s="333"/>
      <c r="AI77" s="299">
        <v>2</v>
      </c>
      <c r="AJ77" s="299">
        <v>4</v>
      </c>
      <c r="AK77" s="388">
        <v>0.33329999999999999</v>
      </c>
      <c r="AL77" s="388">
        <v>0.66659999999999997</v>
      </c>
      <c r="AM77" s="379"/>
      <c r="AN77" s="299">
        <v>0</v>
      </c>
      <c r="AO77" s="299">
        <v>0</v>
      </c>
      <c r="AP77" s="299">
        <v>5</v>
      </c>
      <c r="AQ77" s="299">
        <v>0</v>
      </c>
      <c r="AR77" s="299">
        <v>0</v>
      </c>
      <c r="AS77" s="299">
        <v>0</v>
      </c>
      <c r="AT77" s="299">
        <v>0</v>
      </c>
      <c r="AU77" s="299">
        <v>0</v>
      </c>
      <c r="AV77" s="299">
        <v>0</v>
      </c>
      <c r="AW77" s="299">
        <v>0</v>
      </c>
      <c r="AX77" s="299">
        <v>0</v>
      </c>
      <c r="AY77" s="299">
        <v>0</v>
      </c>
      <c r="AZ77" s="299"/>
      <c r="BA77" s="299" t="s">
        <v>1145</v>
      </c>
      <c r="BB77" s="299">
        <v>12</v>
      </c>
      <c r="BC77" s="299" t="s">
        <v>1145</v>
      </c>
      <c r="BD77" s="299"/>
      <c r="BE77" s="299"/>
      <c r="BF77" s="299"/>
      <c r="BG77" s="298"/>
      <c r="BH77" s="297"/>
      <c r="BI77" s="299"/>
      <c r="BJ77" s="299" t="s">
        <v>1164</v>
      </c>
      <c r="BK77" s="298"/>
      <c r="BL77" s="297" t="s">
        <v>1217</v>
      </c>
      <c r="BM77" s="379" t="s">
        <v>368</v>
      </c>
    </row>
    <row r="78" spans="1:65" x14ac:dyDescent="0.15">
      <c r="A78" s="148">
        <v>1911</v>
      </c>
      <c r="B78" s="328">
        <v>43692</v>
      </c>
      <c r="C78" s="296" t="s">
        <v>1138</v>
      </c>
      <c r="D78" s="379" t="s">
        <v>1111</v>
      </c>
      <c r="E78" s="295">
        <v>43647</v>
      </c>
      <c r="F78" s="298" t="s">
        <v>987</v>
      </c>
      <c r="G78" s="297" t="s">
        <v>1127</v>
      </c>
      <c r="H78" s="406">
        <v>54.536000000000001</v>
      </c>
      <c r="I78" s="376" t="s">
        <v>1141</v>
      </c>
      <c r="J78" s="297">
        <v>1645</v>
      </c>
      <c r="K78" s="297">
        <v>3000</v>
      </c>
      <c r="L78" s="297">
        <v>3000</v>
      </c>
      <c r="M78" s="297">
        <v>3000</v>
      </c>
      <c r="N78" s="297"/>
      <c r="O78" s="406">
        <v>2.5499999999999998</v>
      </c>
      <c r="P78" s="406">
        <v>2.1760000000000002</v>
      </c>
      <c r="Q78" s="340">
        <v>0</v>
      </c>
      <c r="R78" s="340">
        <v>0</v>
      </c>
      <c r="S78" s="406">
        <v>1.87</v>
      </c>
      <c r="T78" s="406" t="s">
        <v>1142</v>
      </c>
      <c r="U78" s="406">
        <v>2.5499999999999998</v>
      </c>
      <c r="V78" s="406">
        <v>2.1760000000000002</v>
      </c>
      <c r="W78" s="340">
        <v>0</v>
      </c>
      <c r="X78" s="340">
        <v>0</v>
      </c>
      <c r="Y78" s="406">
        <v>1.87</v>
      </c>
      <c r="Z78" s="406" t="s">
        <v>1142</v>
      </c>
      <c r="AA78" s="406" t="s">
        <v>1142</v>
      </c>
      <c r="AB78" s="406" t="s">
        <v>1142</v>
      </c>
      <c r="AC78" s="406" t="s">
        <v>1142</v>
      </c>
      <c r="AD78" s="406" t="s">
        <v>1142</v>
      </c>
      <c r="AE78" s="406" t="s">
        <v>1142</v>
      </c>
      <c r="AF78" s="406" t="s">
        <v>1142</v>
      </c>
      <c r="AG78" s="299" t="s">
        <v>1145</v>
      </c>
      <c r="AH78" s="299"/>
      <c r="AI78" s="299">
        <v>2</v>
      </c>
      <c r="AJ78" s="299">
        <v>4</v>
      </c>
      <c r="AK78" s="388">
        <v>0.33329999999999999</v>
      </c>
      <c r="AL78" s="388">
        <v>0.66659999999999997</v>
      </c>
      <c r="AM78" s="379"/>
      <c r="AN78" s="299">
        <v>0</v>
      </c>
      <c r="AO78" s="299">
        <v>0</v>
      </c>
      <c r="AP78" s="299">
        <v>0</v>
      </c>
      <c r="AQ78" s="299">
        <v>0</v>
      </c>
      <c r="AR78" s="299">
        <v>0</v>
      </c>
      <c r="AS78" s="299">
        <v>0</v>
      </c>
      <c r="AT78" s="299">
        <v>0</v>
      </c>
      <c r="AU78" s="299">
        <v>0</v>
      </c>
      <c r="AV78" s="299">
        <v>0</v>
      </c>
      <c r="AW78" s="299">
        <v>0</v>
      </c>
      <c r="AX78" s="299">
        <v>0</v>
      </c>
      <c r="AY78" s="299">
        <v>0</v>
      </c>
      <c r="AZ78" s="299"/>
      <c r="BA78" s="299" t="s">
        <v>1145</v>
      </c>
      <c r="BB78" s="299"/>
      <c r="BC78" s="299" t="s">
        <v>1145</v>
      </c>
      <c r="BD78" s="299"/>
      <c r="BE78" s="299"/>
      <c r="BF78" s="299"/>
      <c r="BG78" s="298"/>
      <c r="BH78" s="297"/>
      <c r="BI78" s="299"/>
      <c r="BJ78" s="299" t="s">
        <v>1146</v>
      </c>
      <c r="BK78" s="298" t="s">
        <v>370</v>
      </c>
      <c r="BL78" s="297" t="s">
        <v>1208</v>
      </c>
      <c r="BM78" s="379" t="s">
        <v>368</v>
      </c>
    </row>
    <row r="79" spans="1:65" x14ac:dyDescent="0.15">
      <c r="A79" s="148">
        <v>1685</v>
      </c>
      <c r="B79" s="328">
        <v>43692</v>
      </c>
      <c r="C79" s="296" t="s">
        <v>295</v>
      </c>
      <c r="D79" s="379" t="s">
        <v>1111</v>
      </c>
      <c r="E79" s="328">
        <v>43693</v>
      </c>
      <c r="F79" s="420" t="s">
        <v>1106</v>
      </c>
      <c r="G79" s="297" t="s">
        <v>2</v>
      </c>
      <c r="H79" s="406">
        <v>60</v>
      </c>
      <c r="I79" s="376" t="s">
        <v>296</v>
      </c>
      <c r="J79" s="297">
        <v>6000</v>
      </c>
      <c r="K79" s="297">
        <v>6000</v>
      </c>
      <c r="L79" s="297">
        <v>6000</v>
      </c>
      <c r="M79" s="297">
        <v>6000</v>
      </c>
      <c r="N79" s="297"/>
      <c r="O79" s="406">
        <v>1.88</v>
      </c>
      <c r="P79" s="340">
        <v>0</v>
      </c>
      <c r="Q79" s="340">
        <v>0</v>
      </c>
      <c r="R79" s="340">
        <v>0</v>
      </c>
      <c r="S79" s="406">
        <v>1.88</v>
      </c>
      <c r="T79" s="406" t="s">
        <v>1142</v>
      </c>
      <c r="U79" s="406">
        <v>1.88</v>
      </c>
      <c r="V79" s="340">
        <v>0</v>
      </c>
      <c r="W79" s="340">
        <v>0</v>
      </c>
      <c r="X79" s="340">
        <v>0</v>
      </c>
      <c r="Y79" s="406">
        <v>1.88</v>
      </c>
      <c r="Z79" s="406" t="s">
        <v>1142</v>
      </c>
      <c r="AA79" s="406" t="s">
        <v>1142</v>
      </c>
      <c r="AB79" s="406" t="s">
        <v>1142</v>
      </c>
      <c r="AC79" s="406" t="s">
        <v>1142</v>
      </c>
      <c r="AD79" s="406" t="s">
        <v>1142</v>
      </c>
      <c r="AE79" s="406" t="s">
        <v>1142</v>
      </c>
      <c r="AF79" s="406" t="s">
        <v>1142</v>
      </c>
      <c r="AG79" s="299" t="s">
        <v>1145</v>
      </c>
      <c r="AH79" s="299"/>
      <c r="AI79" s="299">
        <v>2</v>
      </c>
      <c r="AJ79" s="299">
        <v>4</v>
      </c>
      <c r="AK79" s="388">
        <v>0.33329999999999999</v>
      </c>
      <c r="AL79" s="388">
        <v>0.66659999999999997</v>
      </c>
      <c r="AM79" s="379"/>
      <c r="AN79" s="299">
        <v>0</v>
      </c>
      <c r="AO79" s="299">
        <v>0</v>
      </c>
      <c r="AP79" s="299">
        <v>5</v>
      </c>
      <c r="AQ79" s="299">
        <v>0</v>
      </c>
      <c r="AR79" s="299">
        <v>0</v>
      </c>
      <c r="AS79" s="299">
        <v>0</v>
      </c>
      <c r="AT79" s="299">
        <v>0</v>
      </c>
      <c r="AU79" s="299">
        <v>0</v>
      </c>
      <c r="AV79" s="299">
        <v>0</v>
      </c>
      <c r="AW79" s="299">
        <v>0</v>
      </c>
      <c r="AX79" s="299">
        <v>0</v>
      </c>
      <c r="AY79" s="299">
        <v>0</v>
      </c>
      <c r="AZ79" s="299"/>
      <c r="BA79" s="299" t="s">
        <v>1145</v>
      </c>
      <c r="BB79" s="299"/>
      <c r="BC79" s="299" t="s">
        <v>1145</v>
      </c>
      <c r="BD79" s="299"/>
      <c r="BE79" s="299"/>
      <c r="BF79" s="298"/>
      <c r="BG79" s="297"/>
      <c r="BH79" s="299"/>
      <c r="BI79" s="299"/>
      <c r="BJ79" s="299" t="s">
        <v>1146</v>
      </c>
      <c r="BK79" s="297" t="s">
        <v>370</v>
      </c>
      <c r="BL79" s="297" t="s">
        <v>1209</v>
      </c>
      <c r="BM79" s="379" t="s">
        <v>368</v>
      </c>
    </row>
    <row r="80" spans="1:65" x14ac:dyDescent="0.15">
      <c r="A80" s="148">
        <v>2212</v>
      </c>
      <c r="B80" s="328">
        <v>43692</v>
      </c>
      <c r="C80" s="296" t="s">
        <v>1138</v>
      </c>
      <c r="D80" s="379" t="s">
        <v>1111</v>
      </c>
      <c r="E80" s="309">
        <v>43646</v>
      </c>
      <c r="F80" s="297" t="s">
        <v>34</v>
      </c>
      <c r="G80" s="379" t="s">
        <v>1178</v>
      </c>
      <c r="H80" s="406">
        <v>84.65</v>
      </c>
      <c r="I80" s="394"/>
      <c r="J80" s="409"/>
      <c r="K80" s="332"/>
      <c r="L80" s="332"/>
      <c r="M80" s="332"/>
      <c r="N80" s="332"/>
      <c r="O80" s="406">
        <v>1.73</v>
      </c>
      <c r="P80" s="340">
        <v>0</v>
      </c>
      <c r="Q80" s="340">
        <v>0</v>
      </c>
      <c r="R80" s="340">
        <v>0</v>
      </c>
      <c r="S80" s="340">
        <v>0</v>
      </c>
      <c r="T80" s="406" t="s">
        <v>1142</v>
      </c>
      <c r="U80" s="406">
        <v>1.73</v>
      </c>
      <c r="V80" s="340">
        <v>0</v>
      </c>
      <c r="W80" s="340">
        <v>0</v>
      </c>
      <c r="X80" s="340">
        <v>0</v>
      </c>
      <c r="Y80" s="340">
        <v>0</v>
      </c>
      <c r="Z80" s="406" t="s">
        <v>1142</v>
      </c>
      <c r="AA80" s="406" t="s">
        <v>1142</v>
      </c>
      <c r="AB80" s="406" t="s">
        <v>1142</v>
      </c>
      <c r="AC80" s="406" t="s">
        <v>1142</v>
      </c>
      <c r="AD80" s="406" t="s">
        <v>1142</v>
      </c>
      <c r="AE80" s="406" t="s">
        <v>1142</v>
      </c>
      <c r="AF80" s="406" t="s">
        <v>1142</v>
      </c>
      <c r="AG80" s="333" t="s">
        <v>1145</v>
      </c>
      <c r="AH80" s="333"/>
      <c r="AI80" s="299">
        <v>2</v>
      </c>
      <c r="AJ80" s="299">
        <v>4</v>
      </c>
      <c r="AK80" s="388">
        <v>0.33329999999999999</v>
      </c>
      <c r="AL80" s="388">
        <v>0.66659999999999997</v>
      </c>
      <c r="AM80" s="379"/>
      <c r="AN80" s="299">
        <v>0</v>
      </c>
      <c r="AO80" s="299">
        <v>0</v>
      </c>
      <c r="AP80" s="299">
        <v>5</v>
      </c>
      <c r="AQ80" s="299">
        <v>0</v>
      </c>
      <c r="AR80" s="299">
        <v>0</v>
      </c>
      <c r="AS80" s="299">
        <v>0</v>
      </c>
      <c r="AT80" s="299">
        <v>0</v>
      </c>
      <c r="AU80" s="299">
        <v>0</v>
      </c>
      <c r="AV80" s="299">
        <v>0</v>
      </c>
      <c r="AW80" s="299">
        <v>0</v>
      </c>
      <c r="AX80" s="299">
        <v>0</v>
      </c>
      <c r="AY80" s="299">
        <v>0</v>
      </c>
      <c r="AZ80" s="299"/>
      <c r="BA80" s="299" t="s">
        <v>1145</v>
      </c>
      <c r="BB80" s="299"/>
      <c r="BC80" s="299" t="s">
        <v>1145</v>
      </c>
      <c r="BD80" s="299"/>
      <c r="BE80" s="299"/>
      <c r="BF80" s="299"/>
      <c r="BG80" s="298"/>
      <c r="BH80" s="297"/>
      <c r="BI80" s="299"/>
      <c r="BJ80" s="299" t="s">
        <v>1164</v>
      </c>
      <c r="BK80" s="298" t="s">
        <v>47</v>
      </c>
      <c r="BL80" s="297" t="s">
        <v>1210</v>
      </c>
      <c r="BM80" s="379" t="s">
        <v>368</v>
      </c>
    </row>
    <row r="81" spans="1:65" x14ac:dyDescent="0.15">
      <c r="A81" s="148">
        <v>2055</v>
      </c>
      <c r="B81" s="328">
        <v>43692</v>
      </c>
      <c r="C81" s="296" t="s">
        <v>1138</v>
      </c>
      <c r="D81" s="379" t="s">
        <v>1111</v>
      </c>
      <c r="E81" s="295">
        <v>43646</v>
      </c>
      <c r="F81" s="378" t="s">
        <v>1180</v>
      </c>
      <c r="G81" s="379" t="s">
        <v>1181</v>
      </c>
      <c r="H81" s="406">
        <v>86.590909090909079</v>
      </c>
      <c r="I81" s="376"/>
      <c r="J81" s="331"/>
      <c r="K81" s="297"/>
      <c r="L81" s="297"/>
      <c r="M81" s="297"/>
      <c r="N81" s="297"/>
      <c r="O81" s="406">
        <v>1.7727272727272725</v>
      </c>
      <c r="P81" s="340">
        <v>0</v>
      </c>
      <c r="Q81" s="340">
        <v>0</v>
      </c>
      <c r="R81" s="340">
        <v>0</v>
      </c>
      <c r="S81" s="340">
        <v>0</v>
      </c>
      <c r="T81" s="406" t="s">
        <v>1142</v>
      </c>
      <c r="U81" s="406">
        <v>1.7727272727272725</v>
      </c>
      <c r="V81" s="340">
        <v>0</v>
      </c>
      <c r="W81" s="340">
        <v>0</v>
      </c>
      <c r="X81" s="340">
        <v>0</v>
      </c>
      <c r="Y81" s="340">
        <v>0</v>
      </c>
      <c r="Z81" s="406" t="s">
        <v>1142</v>
      </c>
      <c r="AA81" s="406" t="s">
        <v>1142</v>
      </c>
      <c r="AB81" s="406" t="s">
        <v>1142</v>
      </c>
      <c r="AC81" s="406" t="s">
        <v>1142</v>
      </c>
      <c r="AD81" s="406" t="s">
        <v>1142</v>
      </c>
      <c r="AE81" s="406" t="s">
        <v>1142</v>
      </c>
      <c r="AF81" s="406" t="s">
        <v>1142</v>
      </c>
      <c r="AG81" s="299" t="s">
        <v>1145</v>
      </c>
      <c r="AH81" s="299"/>
      <c r="AI81" s="299">
        <v>2</v>
      </c>
      <c r="AJ81" s="299">
        <v>4</v>
      </c>
      <c r="AK81" s="388">
        <v>0.33329999999999999</v>
      </c>
      <c r="AL81" s="388">
        <v>0.66659999999999997</v>
      </c>
      <c r="AM81" s="379"/>
      <c r="AN81" s="299">
        <v>0</v>
      </c>
      <c r="AO81" s="299">
        <v>0</v>
      </c>
      <c r="AP81" s="299">
        <v>0</v>
      </c>
      <c r="AQ81" s="299">
        <v>0</v>
      </c>
      <c r="AR81" s="299">
        <v>0</v>
      </c>
      <c r="AS81" s="299">
        <v>0</v>
      </c>
      <c r="AT81" s="299">
        <v>0</v>
      </c>
      <c r="AU81" s="299">
        <v>0</v>
      </c>
      <c r="AV81" s="299">
        <v>0</v>
      </c>
      <c r="AW81" s="299">
        <v>0</v>
      </c>
      <c r="AX81" s="299">
        <v>0</v>
      </c>
      <c r="AY81" s="299">
        <v>0</v>
      </c>
      <c r="AZ81" s="299"/>
      <c r="BA81" s="299" t="s">
        <v>1145</v>
      </c>
      <c r="BB81" s="299"/>
      <c r="BC81" s="299" t="s">
        <v>1145</v>
      </c>
      <c r="BD81" s="299"/>
      <c r="BE81" s="299"/>
      <c r="BF81" s="299"/>
      <c r="BG81" s="298"/>
      <c r="BH81" s="297"/>
      <c r="BI81" s="299"/>
      <c r="BJ81" s="299" t="s">
        <v>1164</v>
      </c>
      <c r="BK81" s="298" t="s">
        <v>1182</v>
      </c>
      <c r="BL81" s="379" t="s">
        <v>1211</v>
      </c>
      <c r="BM81" s="379" t="s">
        <v>368</v>
      </c>
    </row>
    <row r="82" spans="1:65" x14ac:dyDescent="0.15">
      <c r="A82" s="148">
        <v>1345</v>
      </c>
      <c r="B82" s="328">
        <v>43692</v>
      </c>
      <c r="C82" s="296" t="s">
        <v>1138</v>
      </c>
      <c r="D82" s="379" t="s">
        <v>1113</v>
      </c>
      <c r="E82" s="295">
        <v>43647</v>
      </c>
      <c r="F82" s="298" t="s">
        <v>1139</v>
      </c>
      <c r="G82" s="297" t="s">
        <v>1140</v>
      </c>
      <c r="H82" s="406">
        <v>82.9</v>
      </c>
      <c r="I82" s="376" t="s">
        <v>1141</v>
      </c>
      <c r="J82" s="297">
        <v>6000</v>
      </c>
      <c r="K82" s="297">
        <v>12000</v>
      </c>
      <c r="L82" s="297">
        <v>84000</v>
      </c>
      <c r="M82" s="297">
        <v>84000</v>
      </c>
      <c r="N82" s="297"/>
      <c r="O82" s="406">
        <v>1.7818181818181817</v>
      </c>
      <c r="P82" s="406">
        <v>1.7545454545454544</v>
      </c>
      <c r="Q82" s="406">
        <v>1.4636363636363636</v>
      </c>
      <c r="R82" s="416">
        <v>0</v>
      </c>
      <c r="S82" s="406">
        <v>1.2999999999999998</v>
      </c>
      <c r="T82" s="406" t="s">
        <v>1142</v>
      </c>
      <c r="U82" s="406">
        <v>1.6181818181818182</v>
      </c>
      <c r="V82" s="406">
        <v>1.3363636363636362</v>
      </c>
      <c r="W82" s="406">
        <v>1.2363636363636363</v>
      </c>
      <c r="X82" s="416">
        <v>0</v>
      </c>
      <c r="Y82" s="406">
        <v>1.2181818181818183</v>
      </c>
      <c r="Z82" s="406" t="s">
        <v>1142</v>
      </c>
      <c r="AA82" s="406" t="s">
        <v>1142</v>
      </c>
      <c r="AB82" s="406" t="s">
        <v>1142</v>
      </c>
      <c r="AC82" s="406" t="s">
        <v>1142</v>
      </c>
      <c r="AD82" s="406" t="s">
        <v>1142</v>
      </c>
      <c r="AE82" s="406" t="s">
        <v>1142</v>
      </c>
      <c r="AF82" s="406" t="s">
        <v>1142</v>
      </c>
      <c r="AG82" s="299" t="s">
        <v>1143</v>
      </c>
      <c r="AH82" s="299" t="s">
        <v>1144</v>
      </c>
      <c r="AI82" s="299">
        <v>2</v>
      </c>
      <c r="AJ82" s="299">
        <v>4</v>
      </c>
      <c r="AK82" s="388">
        <v>0.33329999999999999</v>
      </c>
      <c r="AL82" s="388">
        <v>0.66659999999999997</v>
      </c>
      <c r="AM82" s="379" t="s">
        <v>1124</v>
      </c>
      <c r="AN82" s="299">
        <v>0</v>
      </c>
      <c r="AO82" s="299">
        <v>0</v>
      </c>
      <c r="AP82" s="299">
        <v>0</v>
      </c>
      <c r="AQ82" s="299">
        <v>0</v>
      </c>
      <c r="AR82" s="299">
        <v>0</v>
      </c>
      <c r="AS82" s="299">
        <v>0</v>
      </c>
      <c r="AT82" s="299">
        <v>0</v>
      </c>
      <c r="AU82" s="299">
        <v>0</v>
      </c>
      <c r="AV82" s="299">
        <v>0</v>
      </c>
      <c r="AW82" s="299">
        <v>0</v>
      </c>
      <c r="AX82" s="299">
        <v>0</v>
      </c>
      <c r="AY82" s="299">
        <v>0</v>
      </c>
      <c r="AZ82" s="299"/>
      <c r="BA82" s="299" t="s">
        <v>1145</v>
      </c>
      <c r="BB82" s="299">
        <v>12</v>
      </c>
      <c r="BC82" s="299" t="s">
        <v>1145</v>
      </c>
      <c r="BD82" s="299"/>
      <c r="BE82" s="299">
        <v>12</v>
      </c>
      <c r="BF82" s="299"/>
      <c r="BG82" s="298"/>
      <c r="BH82" s="297"/>
      <c r="BI82" s="299"/>
      <c r="BJ82" s="299" t="s">
        <v>1146</v>
      </c>
      <c r="BK82" s="378"/>
      <c r="BL82" s="379" t="s">
        <v>1218</v>
      </c>
      <c r="BM82" s="379" t="s">
        <v>368</v>
      </c>
    </row>
    <row r="83" spans="1:65" x14ac:dyDescent="0.15">
      <c r="A83" s="148">
        <v>2187</v>
      </c>
      <c r="B83" s="328">
        <v>43692</v>
      </c>
      <c r="C83" s="296" t="s">
        <v>1138</v>
      </c>
      <c r="D83" s="379" t="s">
        <v>1113</v>
      </c>
      <c r="E83" s="328">
        <v>43647</v>
      </c>
      <c r="F83" s="298" t="s">
        <v>1148</v>
      </c>
      <c r="G83" s="379" t="s">
        <v>1149</v>
      </c>
      <c r="H83" s="406">
        <v>85</v>
      </c>
      <c r="I83" s="376" t="s">
        <v>1141</v>
      </c>
      <c r="J83" s="331">
        <v>6000</v>
      </c>
      <c r="K83" s="331">
        <v>6000</v>
      </c>
      <c r="L83" s="331">
        <v>6000</v>
      </c>
      <c r="M83" s="331">
        <v>6000</v>
      </c>
      <c r="N83" s="297"/>
      <c r="O83" s="406">
        <v>2.0909090909090904</v>
      </c>
      <c r="P83" s="416">
        <v>0</v>
      </c>
      <c r="Q83" s="416">
        <v>0</v>
      </c>
      <c r="R83" s="416">
        <v>0</v>
      </c>
      <c r="S83" s="406">
        <v>1.9090909090909089</v>
      </c>
      <c r="T83" s="406" t="s">
        <v>1142</v>
      </c>
      <c r="U83" s="406">
        <v>1.8181818181818181</v>
      </c>
      <c r="V83" s="416">
        <v>0</v>
      </c>
      <c r="W83" s="416">
        <v>0</v>
      </c>
      <c r="X83" s="416">
        <v>0</v>
      </c>
      <c r="Y83" s="406">
        <v>1.5454545454545452</v>
      </c>
      <c r="Z83" s="406" t="s">
        <v>1142</v>
      </c>
      <c r="AA83" s="406" t="s">
        <v>1142</v>
      </c>
      <c r="AB83" s="406" t="s">
        <v>1142</v>
      </c>
      <c r="AC83" s="406" t="s">
        <v>1142</v>
      </c>
      <c r="AD83" s="406" t="s">
        <v>1142</v>
      </c>
      <c r="AE83" s="406" t="s">
        <v>1142</v>
      </c>
      <c r="AF83" s="406" t="s">
        <v>1142</v>
      </c>
      <c r="AG83" s="299" t="s">
        <v>1143</v>
      </c>
      <c r="AH83" s="299" t="s">
        <v>1144</v>
      </c>
      <c r="AI83" s="299">
        <v>2</v>
      </c>
      <c r="AJ83" s="299">
        <v>4</v>
      </c>
      <c r="AK83" s="388">
        <v>0.33329999999999999</v>
      </c>
      <c r="AL83" s="388">
        <v>0.66659999999999997</v>
      </c>
      <c r="AM83" s="379" t="s">
        <v>1124</v>
      </c>
      <c r="AN83" s="299">
        <v>0</v>
      </c>
      <c r="AO83" s="299">
        <v>0</v>
      </c>
      <c r="AP83" s="299">
        <v>0</v>
      </c>
      <c r="AQ83" s="299">
        <v>0</v>
      </c>
      <c r="AR83" s="299">
        <v>0</v>
      </c>
      <c r="AS83" s="299">
        <v>0</v>
      </c>
      <c r="AT83" s="299">
        <v>0</v>
      </c>
      <c r="AU83" s="299">
        <v>0</v>
      </c>
      <c r="AV83" s="299">
        <v>0</v>
      </c>
      <c r="AW83" s="299">
        <v>0</v>
      </c>
      <c r="AX83" s="299">
        <v>0</v>
      </c>
      <c r="AY83" s="299">
        <v>0</v>
      </c>
      <c r="AZ83" s="297"/>
      <c r="BA83" s="299" t="s">
        <v>1145</v>
      </c>
      <c r="BB83" s="299"/>
      <c r="BC83" s="299" t="s">
        <v>1145</v>
      </c>
      <c r="BD83" s="299"/>
      <c r="BE83" s="299"/>
      <c r="BF83" s="299"/>
      <c r="BG83" s="298" t="s">
        <v>1150</v>
      </c>
      <c r="BH83" s="297" t="s">
        <v>365</v>
      </c>
      <c r="BI83" s="407">
        <v>100</v>
      </c>
      <c r="BJ83" s="299" t="s">
        <v>411</v>
      </c>
      <c r="BK83" s="298"/>
      <c r="BL83" s="379" t="s">
        <v>1151</v>
      </c>
      <c r="BM83" s="379" t="s">
        <v>368</v>
      </c>
    </row>
    <row r="84" spans="1:65" x14ac:dyDescent="0.15">
      <c r="A84" s="148">
        <v>2205</v>
      </c>
      <c r="B84" s="328">
        <v>43692</v>
      </c>
      <c r="C84" s="296" t="s">
        <v>1138</v>
      </c>
      <c r="D84" s="379" t="s">
        <v>1113</v>
      </c>
      <c r="E84" s="295">
        <v>43647</v>
      </c>
      <c r="F84" s="298" t="s">
        <v>1152</v>
      </c>
      <c r="G84" s="379" t="s">
        <v>1153</v>
      </c>
      <c r="H84" s="406">
        <v>71.636363636363626</v>
      </c>
      <c r="I84" s="376" t="s">
        <v>1141</v>
      </c>
      <c r="J84" s="297">
        <v>6000</v>
      </c>
      <c r="K84" s="297">
        <v>12000</v>
      </c>
      <c r="L84" s="297">
        <v>12000</v>
      </c>
      <c r="M84" s="297">
        <v>12000</v>
      </c>
      <c r="N84" s="297"/>
      <c r="O84" s="406">
        <v>2.2545454545454544</v>
      </c>
      <c r="P84" s="406">
        <v>2.1454545454545451</v>
      </c>
      <c r="Q84" s="416">
        <v>0</v>
      </c>
      <c r="R84" s="416">
        <v>0</v>
      </c>
      <c r="S84" s="406">
        <v>1.8090909090909089</v>
      </c>
      <c r="T84" s="406" t="s">
        <v>1142</v>
      </c>
      <c r="U84" s="406">
        <v>1.8545454545454545</v>
      </c>
      <c r="V84" s="406">
        <v>1.8090909090909089</v>
      </c>
      <c r="W84" s="416">
        <v>0</v>
      </c>
      <c r="X84" s="416">
        <v>0</v>
      </c>
      <c r="Y84" s="406">
        <v>1.7363636363636361</v>
      </c>
      <c r="Z84" s="406" t="s">
        <v>1142</v>
      </c>
      <c r="AA84" s="406" t="s">
        <v>1142</v>
      </c>
      <c r="AB84" s="406" t="s">
        <v>1142</v>
      </c>
      <c r="AC84" s="406" t="s">
        <v>1142</v>
      </c>
      <c r="AD84" s="406" t="s">
        <v>1142</v>
      </c>
      <c r="AE84" s="406" t="s">
        <v>1142</v>
      </c>
      <c r="AF84" s="406" t="s">
        <v>1142</v>
      </c>
      <c r="AG84" s="299" t="s">
        <v>1143</v>
      </c>
      <c r="AH84" s="299" t="s">
        <v>1144</v>
      </c>
      <c r="AI84" s="299">
        <v>2</v>
      </c>
      <c r="AJ84" s="299">
        <v>4</v>
      </c>
      <c r="AK84" s="388">
        <v>0.33329999999999999</v>
      </c>
      <c r="AL84" s="388">
        <v>0.66659999999999997</v>
      </c>
      <c r="AM84" s="379" t="s">
        <v>1124</v>
      </c>
      <c r="AN84" s="299">
        <v>0</v>
      </c>
      <c r="AO84" s="299">
        <v>0</v>
      </c>
      <c r="AP84" s="299">
        <v>0</v>
      </c>
      <c r="AQ84" s="299">
        <v>0</v>
      </c>
      <c r="AR84" s="299">
        <v>0</v>
      </c>
      <c r="AS84" s="299">
        <v>0</v>
      </c>
      <c r="AT84" s="299">
        <v>0</v>
      </c>
      <c r="AU84" s="299">
        <v>0</v>
      </c>
      <c r="AV84" s="299">
        <v>0</v>
      </c>
      <c r="AW84" s="299">
        <v>0</v>
      </c>
      <c r="AX84" s="299">
        <v>0</v>
      </c>
      <c r="AY84" s="299">
        <v>0</v>
      </c>
      <c r="AZ84" s="297"/>
      <c r="BA84" s="299" t="s">
        <v>1145</v>
      </c>
      <c r="BB84" s="299"/>
      <c r="BC84" s="299" t="s">
        <v>1145</v>
      </c>
      <c r="BD84" s="299"/>
      <c r="BE84" s="299"/>
      <c r="BF84" s="299"/>
      <c r="BG84" s="298"/>
      <c r="BH84" s="297"/>
      <c r="BI84" s="299"/>
      <c r="BJ84" s="299" t="s">
        <v>1146</v>
      </c>
      <c r="BK84" s="298" t="s">
        <v>370</v>
      </c>
      <c r="BL84" s="379" t="s">
        <v>1219</v>
      </c>
      <c r="BM84" s="379" t="s">
        <v>368</v>
      </c>
    </row>
    <row r="85" spans="1:65" x14ac:dyDescent="0.15">
      <c r="A85" s="148">
        <v>1140</v>
      </c>
      <c r="B85" s="328">
        <v>43481</v>
      </c>
      <c r="C85" s="296" t="s">
        <v>10</v>
      </c>
      <c r="D85" s="379" t="s">
        <v>1113</v>
      </c>
      <c r="E85" s="295">
        <v>43466</v>
      </c>
      <c r="F85" s="298" t="s">
        <v>18</v>
      </c>
      <c r="G85" s="297" t="s">
        <v>418</v>
      </c>
      <c r="H85" s="297">
        <v>85</v>
      </c>
      <c r="I85" s="376" t="s">
        <v>1101</v>
      </c>
      <c r="J85" s="297">
        <v>6000</v>
      </c>
      <c r="K85" s="297">
        <v>12000</v>
      </c>
      <c r="L85" s="297">
        <v>84000</v>
      </c>
      <c r="M85" s="297">
        <v>84000</v>
      </c>
      <c r="N85" s="297"/>
      <c r="O85" s="416">
        <v>2.4</v>
      </c>
      <c r="P85" s="416">
        <v>2.25</v>
      </c>
      <c r="Q85" s="416">
        <v>2</v>
      </c>
      <c r="R85" s="416">
        <v>0</v>
      </c>
      <c r="S85" s="416">
        <v>1.8</v>
      </c>
      <c r="T85" s="416"/>
      <c r="U85" s="416">
        <v>2.09</v>
      </c>
      <c r="V85" s="416">
        <v>1.94</v>
      </c>
      <c r="W85" s="416">
        <v>1.69</v>
      </c>
      <c r="X85" s="416">
        <v>0</v>
      </c>
      <c r="Y85" s="416">
        <v>1.58</v>
      </c>
      <c r="Z85" s="297"/>
      <c r="AA85" s="297"/>
      <c r="AB85" s="297"/>
      <c r="AC85" s="297"/>
      <c r="AD85" s="297"/>
      <c r="AE85" s="297"/>
      <c r="AF85" s="297"/>
      <c r="AG85" s="299" t="s">
        <v>1116</v>
      </c>
      <c r="AH85" s="299" t="s">
        <v>1117</v>
      </c>
      <c r="AI85" s="299">
        <v>3</v>
      </c>
      <c r="AJ85" s="299">
        <v>3</v>
      </c>
      <c r="AK85" s="388">
        <v>0.5</v>
      </c>
      <c r="AL85" s="388">
        <v>0.5</v>
      </c>
      <c r="AM85" s="366" t="s">
        <v>1124</v>
      </c>
      <c r="AN85" s="299">
        <v>0</v>
      </c>
      <c r="AO85" s="299">
        <v>0</v>
      </c>
      <c r="AP85" s="299">
        <v>0</v>
      </c>
      <c r="AQ85" s="299">
        <v>16</v>
      </c>
      <c r="AR85" s="299">
        <v>0</v>
      </c>
      <c r="AS85" s="299">
        <v>0</v>
      </c>
      <c r="AT85" s="299">
        <v>0</v>
      </c>
      <c r="AU85" s="299">
        <v>0</v>
      </c>
      <c r="AV85" s="299">
        <v>0</v>
      </c>
      <c r="AW85" s="299">
        <v>0</v>
      </c>
      <c r="AX85" s="299">
        <v>0</v>
      </c>
      <c r="AY85" s="299">
        <v>0</v>
      </c>
      <c r="AZ85" s="299"/>
      <c r="BA85" s="299" t="s">
        <v>38</v>
      </c>
      <c r="BB85" s="299"/>
      <c r="BC85" s="299" t="s">
        <v>38</v>
      </c>
      <c r="BD85" s="299"/>
      <c r="BE85" s="298"/>
      <c r="BF85" s="297"/>
      <c r="BG85" s="299"/>
      <c r="BJ85" s="299" t="s">
        <v>41</v>
      </c>
      <c r="BK85" s="298" t="s">
        <v>370</v>
      </c>
      <c r="BL85" s="366" t="s">
        <v>430</v>
      </c>
      <c r="BM85" s="366" t="s">
        <v>408</v>
      </c>
    </row>
    <row r="86" spans="1:65" x14ac:dyDescent="0.15">
      <c r="A86" s="148">
        <v>2118</v>
      </c>
      <c r="B86" s="328">
        <v>43692</v>
      </c>
      <c r="C86" s="296" t="s">
        <v>1138</v>
      </c>
      <c r="D86" s="379" t="s">
        <v>1113</v>
      </c>
      <c r="E86" s="295">
        <v>43647</v>
      </c>
      <c r="F86" s="298" t="s">
        <v>1156</v>
      </c>
      <c r="G86" s="379" t="s">
        <v>1157</v>
      </c>
      <c r="H86" s="406">
        <v>94.7</v>
      </c>
      <c r="I86" s="376" t="s">
        <v>1141</v>
      </c>
      <c r="J86" s="331">
        <v>12000</v>
      </c>
      <c r="K86" s="331">
        <v>12000</v>
      </c>
      <c r="L86" s="331">
        <v>12000</v>
      </c>
      <c r="M86" s="331">
        <v>12000</v>
      </c>
      <c r="N86" s="297"/>
      <c r="O86" s="406">
        <v>2.4700000000000002</v>
      </c>
      <c r="P86" s="416">
        <v>0</v>
      </c>
      <c r="Q86" s="416">
        <v>0</v>
      </c>
      <c r="R86" s="416">
        <v>0</v>
      </c>
      <c r="S86" s="406">
        <v>1.87</v>
      </c>
      <c r="T86" s="406" t="s">
        <v>1142</v>
      </c>
      <c r="U86" s="406">
        <v>1.86</v>
      </c>
      <c r="V86" s="416">
        <v>0</v>
      </c>
      <c r="W86" s="416">
        <v>0</v>
      </c>
      <c r="X86" s="416">
        <v>0</v>
      </c>
      <c r="Y86" s="406">
        <v>1.86</v>
      </c>
      <c r="Z86" s="406" t="s">
        <v>1142</v>
      </c>
      <c r="AA86" s="406" t="s">
        <v>1142</v>
      </c>
      <c r="AB86" s="406" t="s">
        <v>1142</v>
      </c>
      <c r="AC86" s="406" t="s">
        <v>1142</v>
      </c>
      <c r="AD86" s="406" t="s">
        <v>1142</v>
      </c>
      <c r="AE86" s="406" t="s">
        <v>1142</v>
      </c>
      <c r="AF86" s="406" t="s">
        <v>1142</v>
      </c>
      <c r="AG86" s="299" t="s">
        <v>1143</v>
      </c>
      <c r="AH86" s="299" t="s">
        <v>1144</v>
      </c>
      <c r="AI86" s="299">
        <v>2</v>
      </c>
      <c r="AJ86" s="299">
        <v>4</v>
      </c>
      <c r="AK86" s="388">
        <v>0.33329999999999999</v>
      </c>
      <c r="AL86" s="388">
        <v>0.66659999999999997</v>
      </c>
      <c r="AM86" s="379" t="s">
        <v>1124</v>
      </c>
      <c r="AN86" s="299">
        <v>24</v>
      </c>
      <c r="AO86" s="299">
        <v>0</v>
      </c>
      <c r="AP86" s="299">
        <v>0</v>
      </c>
      <c r="AQ86" s="299">
        <v>0</v>
      </c>
      <c r="AR86" s="299">
        <v>0</v>
      </c>
      <c r="AS86" s="299">
        <v>0</v>
      </c>
      <c r="AT86" s="299">
        <v>0</v>
      </c>
      <c r="AU86" s="299">
        <v>0</v>
      </c>
      <c r="AV86" s="299">
        <v>0</v>
      </c>
      <c r="AW86" s="299">
        <v>0</v>
      </c>
      <c r="AX86" s="299">
        <v>0</v>
      </c>
      <c r="AY86" s="299">
        <v>0</v>
      </c>
      <c r="AZ86" s="297"/>
      <c r="BA86" s="299" t="s">
        <v>1145</v>
      </c>
      <c r="BB86" s="299">
        <v>12</v>
      </c>
      <c r="BC86" s="299" t="s">
        <v>1145</v>
      </c>
      <c r="BD86" s="299"/>
      <c r="BE86" s="299"/>
      <c r="BF86" s="299"/>
      <c r="BG86" s="298"/>
      <c r="BH86" s="297"/>
      <c r="BI86" s="299"/>
      <c r="BJ86" s="299" t="s">
        <v>1146</v>
      </c>
      <c r="BK86" s="298"/>
      <c r="BL86" s="408" t="s">
        <v>1220</v>
      </c>
      <c r="BM86" s="379" t="s">
        <v>368</v>
      </c>
    </row>
    <row r="87" spans="1:65" x14ac:dyDescent="0.15">
      <c r="A87" s="148">
        <v>1941</v>
      </c>
      <c r="B87" s="328">
        <v>43692</v>
      </c>
      <c r="C87" s="296" t="s">
        <v>1138</v>
      </c>
      <c r="D87" s="379" t="s">
        <v>1113</v>
      </c>
      <c r="E87" s="295">
        <v>43497</v>
      </c>
      <c r="F87" s="298" t="s">
        <v>1159</v>
      </c>
      <c r="G87" s="297" t="s">
        <v>1105</v>
      </c>
      <c r="H87" s="406">
        <v>70</v>
      </c>
      <c r="I87" s="376" t="s">
        <v>1141</v>
      </c>
      <c r="J87" s="297">
        <v>6000</v>
      </c>
      <c r="K87" s="297">
        <v>12000</v>
      </c>
      <c r="L87" s="297">
        <v>84000</v>
      </c>
      <c r="M87" s="297">
        <v>84000</v>
      </c>
      <c r="N87" s="297"/>
      <c r="O87" s="406">
        <v>1.8999999999999997</v>
      </c>
      <c r="P87" s="406">
        <v>1.8</v>
      </c>
      <c r="Q87" s="406">
        <v>1.6</v>
      </c>
      <c r="R87" s="416">
        <v>0</v>
      </c>
      <c r="S87" s="406">
        <v>1.5</v>
      </c>
      <c r="T87" s="406" t="s">
        <v>1142</v>
      </c>
      <c r="U87" s="406">
        <v>1.7</v>
      </c>
      <c r="V87" s="406">
        <v>1.6</v>
      </c>
      <c r="W87" s="406">
        <v>1.5</v>
      </c>
      <c r="X87" s="416">
        <v>0</v>
      </c>
      <c r="Y87" s="406">
        <v>1.4</v>
      </c>
      <c r="Z87" s="406" t="s">
        <v>1142</v>
      </c>
      <c r="AA87" s="406" t="s">
        <v>1142</v>
      </c>
      <c r="AB87" s="406" t="s">
        <v>1142</v>
      </c>
      <c r="AC87" s="406" t="s">
        <v>1142</v>
      </c>
      <c r="AD87" s="406" t="s">
        <v>1142</v>
      </c>
      <c r="AE87" s="406" t="s">
        <v>1142</v>
      </c>
      <c r="AF87" s="406" t="s">
        <v>1142</v>
      </c>
      <c r="AG87" s="299" t="s">
        <v>1143</v>
      </c>
      <c r="AH87" s="299" t="s">
        <v>1144</v>
      </c>
      <c r="AI87" s="299">
        <v>2</v>
      </c>
      <c r="AJ87" s="299">
        <v>4</v>
      </c>
      <c r="AK87" s="388">
        <v>0.33329999999999999</v>
      </c>
      <c r="AL87" s="388">
        <v>0.66659999999999997</v>
      </c>
      <c r="AM87" s="379" t="s">
        <v>1124</v>
      </c>
      <c r="AN87" s="299">
        <v>0</v>
      </c>
      <c r="AO87" s="299">
        <v>0</v>
      </c>
      <c r="AP87" s="299">
        <v>3</v>
      </c>
      <c r="AQ87" s="299">
        <v>0</v>
      </c>
      <c r="AR87" s="299">
        <v>0</v>
      </c>
      <c r="AS87" s="299">
        <v>0</v>
      </c>
      <c r="AT87" s="299">
        <v>0</v>
      </c>
      <c r="AU87" s="299">
        <v>0</v>
      </c>
      <c r="AV87" s="299">
        <v>0</v>
      </c>
      <c r="AW87" s="299">
        <v>0</v>
      </c>
      <c r="AX87" s="299">
        <v>0</v>
      </c>
      <c r="AY87" s="299">
        <v>0</v>
      </c>
      <c r="AZ87" s="297"/>
      <c r="BA87" s="299" t="s">
        <v>1145</v>
      </c>
      <c r="BB87" s="299"/>
      <c r="BC87" s="299" t="s">
        <v>1145</v>
      </c>
      <c r="BD87" s="299"/>
      <c r="BE87" s="299"/>
      <c r="BF87" s="299"/>
      <c r="BG87" s="299"/>
      <c r="BH87" s="299"/>
      <c r="BI87" s="299"/>
      <c r="BJ87" s="299" t="s">
        <v>1146</v>
      </c>
      <c r="BK87" s="298"/>
      <c r="BL87" s="297" t="s">
        <v>430</v>
      </c>
      <c r="BM87" s="379" t="s">
        <v>368</v>
      </c>
    </row>
    <row r="88" spans="1:65" x14ac:dyDescent="0.15">
      <c r="A88" s="148">
        <v>317</v>
      </c>
      <c r="B88" s="328">
        <v>43692</v>
      </c>
      <c r="C88" s="296" t="s">
        <v>1138</v>
      </c>
      <c r="D88" s="379" t="s">
        <v>1113</v>
      </c>
      <c r="E88" s="295">
        <v>43647</v>
      </c>
      <c r="F88" s="297" t="s">
        <v>1160</v>
      </c>
      <c r="G88" s="297" t="s">
        <v>1161</v>
      </c>
      <c r="H88" s="406">
        <v>93.84</v>
      </c>
      <c r="I88" s="376" t="s">
        <v>1141</v>
      </c>
      <c r="J88" s="297">
        <v>6000</v>
      </c>
      <c r="K88" s="297">
        <v>12000</v>
      </c>
      <c r="L88" s="297">
        <v>84000</v>
      </c>
      <c r="M88" s="297">
        <v>84000</v>
      </c>
      <c r="N88" s="297"/>
      <c r="O88" s="406">
        <v>1.6439999999999999</v>
      </c>
      <c r="P88" s="406">
        <v>1.5489999999999999</v>
      </c>
      <c r="Q88" s="406">
        <v>1.387</v>
      </c>
      <c r="R88" s="416">
        <v>0</v>
      </c>
      <c r="S88" s="406">
        <v>1.3839999999999999</v>
      </c>
      <c r="T88" s="406" t="s">
        <v>1142</v>
      </c>
      <c r="U88" s="406">
        <v>1.26</v>
      </c>
      <c r="V88" s="406">
        <v>1.2490000000000001</v>
      </c>
      <c r="W88" s="406">
        <v>1.2150000000000001</v>
      </c>
      <c r="X88" s="416">
        <v>0</v>
      </c>
      <c r="Y88" s="406">
        <v>1.1739999999999999</v>
      </c>
      <c r="Z88" s="406" t="s">
        <v>1142</v>
      </c>
      <c r="AA88" s="406" t="s">
        <v>1142</v>
      </c>
      <c r="AB88" s="406" t="s">
        <v>1142</v>
      </c>
      <c r="AC88" s="406" t="s">
        <v>1142</v>
      </c>
      <c r="AD88" s="406" t="s">
        <v>1142</v>
      </c>
      <c r="AE88" s="406" t="s">
        <v>1142</v>
      </c>
      <c r="AF88" s="406" t="s">
        <v>1142</v>
      </c>
      <c r="AG88" s="299" t="s">
        <v>1143</v>
      </c>
      <c r="AH88" s="299" t="s">
        <v>1144</v>
      </c>
      <c r="AI88" s="299">
        <v>2</v>
      </c>
      <c r="AJ88" s="299">
        <v>4</v>
      </c>
      <c r="AK88" s="388">
        <v>0.33329999999999999</v>
      </c>
      <c r="AL88" s="388">
        <v>0.66659999999999997</v>
      </c>
      <c r="AM88" s="379" t="s">
        <v>1124</v>
      </c>
      <c r="AN88" s="299">
        <v>0</v>
      </c>
      <c r="AO88" s="299">
        <v>0</v>
      </c>
      <c r="AP88" s="299">
        <v>0</v>
      </c>
      <c r="AQ88" s="299">
        <v>0</v>
      </c>
      <c r="AR88" s="299">
        <v>0</v>
      </c>
      <c r="AS88" s="299">
        <v>0</v>
      </c>
      <c r="AT88" s="299">
        <v>0</v>
      </c>
      <c r="AU88" s="299">
        <v>0</v>
      </c>
      <c r="AV88" s="299">
        <v>0</v>
      </c>
      <c r="AW88" s="299">
        <v>0</v>
      </c>
      <c r="AX88" s="299">
        <v>0</v>
      </c>
      <c r="AY88" s="299">
        <v>0</v>
      </c>
      <c r="AZ88" s="297"/>
      <c r="BA88" s="299" t="s">
        <v>1145</v>
      </c>
      <c r="BB88" s="299"/>
      <c r="BC88" s="299" t="s">
        <v>1145</v>
      </c>
      <c r="BD88" s="299"/>
      <c r="BE88" s="299"/>
      <c r="BF88" s="299"/>
      <c r="BG88" s="378" t="s">
        <v>1162</v>
      </c>
      <c r="BH88" s="297" t="s">
        <v>1163</v>
      </c>
      <c r="BI88" s="299">
        <v>50</v>
      </c>
      <c r="BJ88" s="299" t="s">
        <v>1164</v>
      </c>
      <c r="BK88" s="298"/>
      <c r="BL88" s="297" t="s">
        <v>1221</v>
      </c>
      <c r="BM88" s="379" t="s">
        <v>368</v>
      </c>
    </row>
    <row r="89" spans="1:65" x14ac:dyDescent="0.15">
      <c r="A89" s="148">
        <v>2262</v>
      </c>
      <c r="B89" s="328">
        <v>43692</v>
      </c>
      <c r="C89" s="296" t="s">
        <v>1138</v>
      </c>
      <c r="D89" s="379" t="s">
        <v>1113</v>
      </c>
      <c r="E89" s="295">
        <v>43647</v>
      </c>
      <c r="F89" s="298" t="s">
        <v>1166</v>
      </c>
      <c r="G89" s="297" t="s">
        <v>1167</v>
      </c>
      <c r="H89" s="406">
        <v>79</v>
      </c>
      <c r="I89" s="376" t="s">
        <v>1141</v>
      </c>
      <c r="J89" s="331">
        <v>3000</v>
      </c>
      <c r="K89" s="331">
        <v>3000</v>
      </c>
      <c r="L89" s="331">
        <v>3000</v>
      </c>
      <c r="M89" s="331">
        <v>3000</v>
      </c>
      <c r="N89" s="297"/>
      <c r="O89" s="406">
        <v>2.4</v>
      </c>
      <c r="P89" s="416">
        <v>0</v>
      </c>
      <c r="Q89" s="416">
        <v>0</v>
      </c>
      <c r="R89" s="416">
        <v>0</v>
      </c>
      <c r="S89" s="406">
        <v>2.1</v>
      </c>
      <c r="T89" s="406" t="s">
        <v>1142</v>
      </c>
      <c r="U89" s="406">
        <v>1.75</v>
      </c>
      <c r="V89" s="416">
        <v>0</v>
      </c>
      <c r="W89" s="416">
        <v>0</v>
      </c>
      <c r="X89" s="416">
        <v>0</v>
      </c>
      <c r="Y89" s="406">
        <v>1.6</v>
      </c>
      <c r="Z89" s="406" t="s">
        <v>1142</v>
      </c>
      <c r="AA89" s="406" t="s">
        <v>1142</v>
      </c>
      <c r="AB89" s="406" t="s">
        <v>1142</v>
      </c>
      <c r="AC89" s="406" t="s">
        <v>1142</v>
      </c>
      <c r="AD89" s="406" t="s">
        <v>1142</v>
      </c>
      <c r="AE89" s="406" t="s">
        <v>1142</v>
      </c>
      <c r="AF89" s="406" t="s">
        <v>1142</v>
      </c>
      <c r="AG89" s="299" t="s">
        <v>1143</v>
      </c>
      <c r="AH89" s="299" t="s">
        <v>1144</v>
      </c>
      <c r="AI89" s="299">
        <v>2</v>
      </c>
      <c r="AJ89" s="299">
        <v>4</v>
      </c>
      <c r="AK89" s="388">
        <v>0.33329999999999999</v>
      </c>
      <c r="AL89" s="388">
        <v>0.66659999999999997</v>
      </c>
      <c r="AM89" s="379" t="s">
        <v>1124</v>
      </c>
      <c r="AN89" s="299">
        <v>10</v>
      </c>
      <c r="AO89" s="299">
        <v>0</v>
      </c>
      <c r="AP89" s="299">
        <v>0</v>
      </c>
      <c r="AQ89" s="299">
        <v>0</v>
      </c>
      <c r="AR89" s="299">
        <v>0</v>
      </c>
      <c r="AS89" s="299">
        <v>0</v>
      </c>
      <c r="AT89" s="299">
        <v>0</v>
      </c>
      <c r="AU89" s="299">
        <v>0</v>
      </c>
      <c r="AV89" s="299">
        <v>0</v>
      </c>
      <c r="AW89" s="299">
        <v>0</v>
      </c>
      <c r="AX89" s="299">
        <v>0</v>
      </c>
      <c r="AY89" s="299">
        <v>0</v>
      </c>
      <c r="AZ89" s="297"/>
      <c r="BA89" s="299" t="s">
        <v>1145</v>
      </c>
      <c r="BB89" s="299">
        <v>12</v>
      </c>
      <c r="BC89" s="299" t="s">
        <v>1145</v>
      </c>
      <c r="BD89" s="299"/>
      <c r="BE89" s="299"/>
      <c r="BF89" s="299"/>
      <c r="BG89" s="298"/>
      <c r="BH89" s="297"/>
      <c r="BI89" s="299"/>
      <c r="BJ89" s="299" t="s">
        <v>1146</v>
      </c>
      <c r="BK89" s="298"/>
      <c r="BL89" s="379" t="s">
        <v>430</v>
      </c>
      <c r="BM89" s="379" t="s">
        <v>368</v>
      </c>
    </row>
    <row r="90" spans="1:65" x14ac:dyDescent="0.15">
      <c r="A90" s="148">
        <v>1430</v>
      </c>
      <c r="B90" s="328">
        <v>43692</v>
      </c>
      <c r="C90" s="296" t="s">
        <v>1138</v>
      </c>
      <c r="D90" s="379" t="s">
        <v>1113</v>
      </c>
      <c r="E90" s="309">
        <v>43530</v>
      </c>
      <c r="F90" s="298" t="s">
        <v>1168</v>
      </c>
      <c r="G90" s="379" t="s">
        <v>28</v>
      </c>
      <c r="H90" s="406">
        <v>80.400000000000006</v>
      </c>
      <c r="I90" s="376" t="s">
        <v>1141</v>
      </c>
      <c r="J90" s="331">
        <v>3150</v>
      </c>
      <c r="K90" s="331">
        <v>3150</v>
      </c>
      <c r="L90" s="331">
        <v>3150</v>
      </c>
      <c r="M90" s="331">
        <v>3150</v>
      </c>
      <c r="N90" s="297"/>
      <c r="O90" s="406">
        <v>2.2200000000000002</v>
      </c>
      <c r="P90" s="416">
        <v>0</v>
      </c>
      <c r="Q90" s="416">
        <v>0</v>
      </c>
      <c r="R90" s="416">
        <v>0</v>
      </c>
      <c r="S90" s="406">
        <v>1.88</v>
      </c>
      <c r="T90" s="406" t="s">
        <v>1142</v>
      </c>
      <c r="U90" s="406">
        <v>2.0499999999999998</v>
      </c>
      <c r="V90" s="416">
        <v>0</v>
      </c>
      <c r="W90" s="416">
        <v>0</v>
      </c>
      <c r="X90" s="416">
        <v>0</v>
      </c>
      <c r="Y90" s="406">
        <v>1.7</v>
      </c>
      <c r="Z90" s="406" t="s">
        <v>1142</v>
      </c>
      <c r="AA90" s="406" t="s">
        <v>1142</v>
      </c>
      <c r="AB90" s="406" t="s">
        <v>1142</v>
      </c>
      <c r="AC90" s="406" t="s">
        <v>1142</v>
      </c>
      <c r="AD90" s="406" t="s">
        <v>1142</v>
      </c>
      <c r="AE90" s="406" t="s">
        <v>1142</v>
      </c>
      <c r="AF90" s="406" t="s">
        <v>1142</v>
      </c>
      <c r="AG90" s="299" t="s">
        <v>1143</v>
      </c>
      <c r="AH90" s="299" t="s">
        <v>1144</v>
      </c>
      <c r="AI90" s="299">
        <v>2</v>
      </c>
      <c r="AJ90" s="299">
        <v>4</v>
      </c>
      <c r="AK90" s="388">
        <v>0.33329999999999999</v>
      </c>
      <c r="AL90" s="388">
        <v>0.66659999999999997</v>
      </c>
      <c r="AM90" s="379" t="s">
        <v>1124</v>
      </c>
      <c r="AN90" s="299">
        <v>0</v>
      </c>
      <c r="AO90" s="299">
        <v>0</v>
      </c>
      <c r="AP90" s="299">
        <v>10</v>
      </c>
      <c r="AQ90" s="299">
        <v>0</v>
      </c>
      <c r="AR90" s="299">
        <v>0</v>
      </c>
      <c r="AS90" s="299">
        <v>0</v>
      </c>
      <c r="AT90" s="299">
        <v>0</v>
      </c>
      <c r="AU90" s="299">
        <v>0</v>
      </c>
      <c r="AV90" s="299">
        <v>0</v>
      </c>
      <c r="AW90" s="299">
        <v>0</v>
      </c>
      <c r="AX90" s="299">
        <v>0</v>
      </c>
      <c r="AY90" s="299">
        <v>0</v>
      </c>
      <c r="AZ90" s="299"/>
      <c r="BA90" s="299" t="s">
        <v>1145</v>
      </c>
      <c r="BB90" s="299"/>
      <c r="BC90" s="299" t="s">
        <v>1145</v>
      </c>
      <c r="BD90" s="299"/>
      <c r="BE90" s="299"/>
      <c r="BF90" s="299"/>
      <c r="BG90" s="298"/>
      <c r="BH90" s="297"/>
      <c r="BI90" s="299"/>
      <c r="BJ90" s="299" t="s">
        <v>1146</v>
      </c>
      <c r="BK90" s="298"/>
      <c r="BL90" s="379" t="s">
        <v>430</v>
      </c>
      <c r="BM90" s="379" t="s">
        <v>368</v>
      </c>
    </row>
    <row r="91" spans="1:65" x14ac:dyDescent="0.15">
      <c r="A91" s="148">
        <v>793</v>
      </c>
      <c r="B91" s="328">
        <v>43692</v>
      </c>
      <c r="C91" s="296" t="s">
        <v>1138</v>
      </c>
      <c r="D91" s="379" t="s">
        <v>1113</v>
      </c>
      <c r="E91" s="309">
        <v>43647</v>
      </c>
      <c r="F91" s="298" t="s">
        <v>1169</v>
      </c>
      <c r="G91" s="297" t="s">
        <v>1170</v>
      </c>
      <c r="H91" s="406">
        <v>85.427272727272722</v>
      </c>
      <c r="I91" s="376" t="s">
        <v>1141</v>
      </c>
      <c r="J91" s="297">
        <v>6000</v>
      </c>
      <c r="K91" s="297">
        <v>12000</v>
      </c>
      <c r="L91" s="297">
        <v>84000</v>
      </c>
      <c r="M91" s="297">
        <v>84000</v>
      </c>
      <c r="N91" s="297"/>
      <c r="O91" s="406">
        <v>1.8818181818181816</v>
      </c>
      <c r="P91" s="406">
        <v>1.7363636363636361</v>
      </c>
      <c r="Q91" s="406">
        <v>1.4999999999999998</v>
      </c>
      <c r="R91" s="416">
        <v>0</v>
      </c>
      <c r="S91" s="406">
        <v>1.4909090909090907</v>
      </c>
      <c r="T91" s="406" t="s">
        <v>1142</v>
      </c>
      <c r="U91" s="406">
        <v>1.5363636363636362</v>
      </c>
      <c r="V91" s="406">
        <v>1.5272727272727271</v>
      </c>
      <c r="W91" s="406">
        <v>1.4727272727272727</v>
      </c>
      <c r="X91" s="416">
        <v>0</v>
      </c>
      <c r="Y91" s="406">
        <v>1.4</v>
      </c>
      <c r="Z91" s="406" t="s">
        <v>1142</v>
      </c>
      <c r="AA91" s="406" t="s">
        <v>1142</v>
      </c>
      <c r="AB91" s="406" t="s">
        <v>1142</v>
      </c>
      <c r="AC91" s="406" t="s">
        <v>1142</v>
      </c>
      <c r="AD91" s="406" t="s">
        <v>1142</v>
      </c>
      <c r="AE91" s="406" t="s">
        <v>1142</v>
      </c>
      <c r="AF91" s="406" t="s">
        <v>1142</v>
      </c>
      <c r="AG91" s="299" t="s">
        <v>1143</v>
      </c>
      <c r="AH91" s="299" t="s">
        <v>1144</v>
      </c>
      <c r="AI91" s="299">
        <v>2</v>
      </c>
      <c r="AJ91" s="299">
        <v>4</v>
      </c>
      <c r="AK91" s="388">
        <v>0.33329999999999999</v>
      </c>
      <c r="AL91" s="388">
        <v>0.66659999999999997</v>
      </c>
      <c r="AM91" s="379" t="s">
        <v>1124</v>
      </c>
      <c r="AN91" s="299">
        <v>0</v>
      </c>
      <c r="AO91" s="299">
        <v>0</v>
      </c>
      <c r="AP91" s="299">
        <v>0</v>
      </c>
      <c r="AQ91" s="299">
        <v>0</v>
      </c>
      <c r="AR91" s="299">
        <v>0</v>
      </c>
      <c r="AS91" s="299">
        <v>0</v>
      </c>
      <c r="AT91" s="299">
        <v>0</v>
      </c>
      <c r="AU91" s="299">
        <v>0</v>
      </c>
      <c r="AV91" s="299">
        <v>0</v>
      </c>
      <c r="AW91" s="299">
        <v>0</v>
      </c>
      <c r="AX91" s="299">
        <v>0</v>
      </c>
      <c r="AY91" s="299">
        <v>0</v>
      </c>
      <c r="AZ91" s="297"/>
      <c r="BA91" s="299" t="s">
        <v>1145</v>
      </c>
      <c r="BB91" s="299"/>
      <c r="BC91" s="299" t="s">
        <v>1145</v>
      </c>
      <c r="BD91" s="299"/>
      <c r="BE91" s="299"/>
      <c r="BF91" s="299"/>
      <c r="BG91" s="378" t="s">
        <v>1171</v>
      </c>
      <c r="BH91" s="297" t="s">
        <v>365</v>
      </c>
      <c r="BI91" s="299">
        <v>50</v>
      </c>
      <c r="BJ91" s="299" t="s">
        <v>1164</v>
      </c>
      <c r="BK91" s="298"/>
      <c r="BL91" s="297" t="s">
        <v>1222</v>
      </c>
      <c r="BM91" s="379" t="s">
        <v>368</v>
      </c>
    </row>
    <row r="92" spans="1:65" x14ac:dyDescent="0.15">
      <c r="A92" s="148">
        <v>2219</v>
      </c>
      <c r="B92" s="328">
        <v>43692</v>
      </c>
      <c r="C92" s="296" t="s">
        <v>1138</v>
      </c>
      <c r="D92" s="379" t="s">
        <v>1113</v>
      </c>
      <c r="E92" s="309">
        <v>43647</v>
      </c>
      <c r="F92" s="297" t="s">
        <v>1173</v>
      </c>
      <c r="G92" s="379" t="s">
        <v>1174</v>
      </c>
      <c r="H92" s="406">
        <v>85</v>
      </c>
      <c r="I92" s="376" t="s">
        <v>1141</v>
      </c>
      <c r="J92" s="297">
        <v>6000</v>
      </c>
      <c r="K92" s="297">
        <v>12000</v>
      </c>
      <c r="L92" s="297">
        <v>84000</v>
      </c>
      <c r="M92" s="297">
        <v>84000</v>
      </c>
      <c r="N92" s="332"/>
      <c r="O92" s="406">
        <v>1.8181818181818181</v>
      </c>
      <c r="P92" s="406">
        <v>1.718181818181818</v>
      </c>
      <c r="Q92" s="406">
        <v>1.4090909090909089</v>
      </c>
      <c r="R92" s="416">
        <v>0</v>
      </c>
      <c r="S92" s="406">
        <v>1.2999999999999998</v>
      </c>
      <c r="T92" s="406" t="s">
        <v>1142</v>
      </c>
      <c r="U92" s="406">
        <v>1.6727272727272726</v>
      </c>
      <c r="V92" s="406">
        <v>1.3636363636363635</v>
      </c>
      <c r="W92" s="406">
        <v>1.3090909090909089</v>
      </c>
      <c r="X92" s="416">
        <v>0</v>
      </c>
      <c r="Y92" s="406">
        <v>1.2</v>
      </c>
      <c r="Z92" s="406" t="s">
        <v>1142</v>
      </c>
      <c r="AA92" s="406" t="s">
        <v>1142</v>
      </c>
      <c r="AB92" s="406" t="s">
        <v>1142</v>
      </c>
      <c r="AC92" s="406" t="s">
        <v>1142</v>
      </c>
      <c r="AD92" s="406" t="s">
        <v>1142</v>
      </c>
      <c r="AE92" s="406" t="s">
        <v>1142</v>
      </c>
      <c r="AF92" s="406" t="s">
        <v>1142</v>
      </c>
      <c r="AG92" s="333" t="s">
        <v>1143</v>
      </c>
      <c r="AH92" s="333" t="s">
        <v>1144</v>
      </c>
      <c r="AI92" s="299">
        <v>2</v>
      </c>
      <c r="AJ92" s="299">
        <v>4</v>
      </c>
      <c r="AK92" s="388">
        <v>0.33329999999999999</v>
      </c>
      <c r="AL92" s="388">
        <v>0.66659999999999997</v>
      </c>
      <c r="AM92" s="379" t="s">
        <v>1124</v>
      </c>
      <c r="AN92" s="299">
        <v>0</v>
      </c>
      <c r="AO92" s="299">
        <v>0</v>
      </c>
      <c r="AP92" s="299">
        <v>5</v>
      </c>
      <c r="AQ92" s="299">
        <v>0</v>
      </c>
      <c r="AR92" s="299">
        <v>0</v>
      </c>
      <c r="AS92" s="299">
        <v>0</v>
      </c>
      <c r="AT92" s="299">
        <v>0</v>
      </c>
      <c r="AU92" s="299">
        <v>0</v>
      </c>
      <c r="AV92" s="299">
        <v>0</v>
      </c>
      <c r="AW92" s="299">
        <v>0</v>
      </c>
      <c r="AX92" s="299">
        <v>0</v>
      </c>
      <c r="AY92" s="299">
        <v>0</v>
      </c>
      <c r="AZ92" s="299"/>
      <c r="BA92" s="299" t="s">
        <v>1145</v>
      </c>
      <c r="BB92" s="299">
        <v>12</v>
      </c>
      <c r="BC92" s="299" t="s">
        <v>1145</v>
      </c>
      <c r="BD92" s="299"/>
      <c r="BE92" s="299"/>
      <c r="BF92" s="299"/>
      <c r="BG92" s="298"/>
      <c r="BH92" s="297"/>
      <c r="BI92" s="299"/>
      <c r="BJ92" s="299" t="s">
        <v>1164</v>
      </c>
      <c r="BK92" s="298"/>
      <c r="BL92" s="297" t="s">
        <v>1223</v>
      </c>
      <c r="BM92" s="379" t="s">
        <v>368</v>
      </c>
    </row>
    <row r="93" spans="1:65" x14ac:dyDescent="0.15">
      <c r="A93" s="148">
        <v>1919</v>
      </c>
      <c r="B93" s="328">
        <v>43692</v>
      </c>
      <c r="C93" s="296" t="s">
        <v>1138</v>
      </c>
      <c r="D93" s="379" t="s">
        <v>1113</v>
      </c>
      <c r="E93" s="295">
        <v>43647</v>
      </c>
      <c r="F93" s="298" t="s">
        <v>987</v>
      </c>
      <c r="G93" s="297" t="s">
        <v>1127</v>
      </c>
      <c r="H93" s="406">
        <v>65.823999999999998</v>
      </c>
      <c r="I93" s="376" t="s">
        <v>1141</v>
      </c>
      <c r="J93" s="297">
        <v>6000</v>
      </c>
      <c r="K93" s="297">
        <v>12000</v>
      </c>
      <c r="L93" s="297">
        <v>12000</v>
      </c>
      <c r="M93" s="297">
        <v>12000</v>
      </c>
      <c r="N93" s="297"/>
      <c r="O93" s="406">
        <v>2.0739999999999998</v>
      </c>
      <c r="P93" s="406">
        <v>1.9719999999999998</v>
      </c>
      <c r="Q93" s="416">
        <v>0</v>
      </c>
      <c r="R93" s="416">
        <v>0</v>
      </c>
      <c r="S93" s="406">
        <v>1.6659999999999999</v>
      </c>
      <c r="T93" s="406" t="s">
        <v>1142</v>
      </c>
      <c r="U93" s="406">
        <v>1.7</v>
      </c>
      <c r="V93" s="406">
        <v>1.6659999999999999</v>
      </c>
      <c r="W93" s="416">
        <v>0</v>
      </c>
      <c r="X93" s="416">
        <v>0</v>
      </c>
      <c r="Y93" s="406">
        <v>1.5980000000000001</v>
      </c>
      <c r="Z93" s="406" t="s">
        <v>1142</v>
      </c>
      <c r="AA93" s="406" t="s">
        <v>1142</v>
      </c>
      <c r="AB93" s="406" t="s">
        <v>1142</v>
      </c>
      <c r="AC93" s="406" t="s">
        <v>1142</v>
      </c>
      <c r="AD93" s="406" t="s">
        <v>1142</v>
      </c>
      <c r="AE93" s="406" t="s">
        <v>1142</v>
      </c>
      <c r="AF93" s="406" t="s">
        <v>1142</v>
      </c>
      <c r="AG93" s="299" t="s">
        <v>1143</v>
      </c>
      <c r="AH93" s="299" t="s">
        <v>1144</v>
      </c>
      <c r="AI93" s="299">
        <v>2</v>
      </c>
      <c r="AJ93" s="299">
        <v>4</v>
      </c>
      <c r="AK93" s="388">
        <v>0.33329999999999999</v>
      </c>
      <c r="AL93" s="388">
        <v>0.66659999999999997</v>
      </c>
      <c r="AM93" s="379" t="s">
        <v>1124</v>
      </c>
      <c r="AN93" s="299">
        <v>0</v>
      </c>
      <c r="AO93" s="299">
        <v>0</v>
      </c>
      <c r="AP93" s="299">
        <v>0</v>
      </c>
      <c r="AQ93" s="299">
        <v>0</v>
      </c>
      <c r="AR93" s="299">
        <v>0</v>
      </c>
      <c r="AS93" s="299">
        <v>0</v>
      </c>
      <c r="AT93" s="299">
        <v>0</v>
      </c>
      <c r="AU93" s="299">
        <v>0</v>
      </c>
      <c r="AV93" s="299">
        <v>0</v>
      </c>
      <c r="AW93" s="299">
        <v>0</v>
      </c>
      <c r="AX93" s="299">
        <v>0</v>
      </c>
      <c r="AY93" s="299">
        <v>0</v>
      </c>
      <c r="AZ93" s="299"/>
      <c r="BA93" s="299" t="s">
        <v>1145</v>
      </c>
      <c r="BB93" s="299"/>
      <c r="BC93" s="299" t="s">
        <v>1145</v>
      </c>
      <c r="BD93" s="299"/>
      <c r="BE93" s="299"/>
      <c r="BF93" s="299"/>
      <c r="BG93" s="298"/>
      <c r="BH93" s="297"/>
      <c r="BI93" s="299"/>
      <c r="BJ93" s="299" t="s">
        <v>1146</v>
      </c>
      <c r="BK93" s="298" t="s">
        <v>370</v>
      </c>
      <c r="BL93" s="297" t="s">
        <v>1224</v>
      </c>
      <c r="BM93" s="379" t="s">
        <v>368</v>
      </c>
    </row>
    <row r="94" spans="1:65" x14ac:dyDescent="0.15">
      <c r="A94" s="148">
        <v>1687</v>
      </c>
      <c r="B94" s="328">
        <v>43692</v>
      </c>
      <c r="C94" s="296" t="s">
        <v>295</v>
      </c>
      <c r="D94" s="379" t="s">
        <v>1113</v>
      </c>
      <c r="E94" s="328">
        <v>43693</v>
      </c>
      <c r="F94" s="420" t="s">
        <v>1106</v>
      </c>
      <c r="G94" s="297" t="s">
        <v>2</v>
      </c>
      <c r="H94" s="406">
        <v>72</v>
      </c>
      <c r="I94" s="376" t="s">
        <v>296</v>
      </c>
      <c r="J94" s="297">
        <v>6000</v>
      </c>
      <c r="K94" s="297">
        <v>6000</v>
      </c>
      <c r="L94" s="297">
        <v>6000</v>
      </c>
      <c r="M94" s="297">
        <v>6000</v>
      </c>
      <c r="N94" s="297"/>
      <c r="O94" s="406">
        <v>1.88</v>
      </c>
      <c r="P94" s="416">
        <v>0</v>
      </c>
      <c r="Q94" s="416">
        <v>0</v>
      </c>
      <c r="R94" s="416">
        <v>0</v>
      </c>
      <c r="S94" s="406">
        <v>1.75</v>
      </c>
      <c r="T94" s="406" t="s">
        <v>1142</v>
      </c>
      <c r="U94" s="406">
        <v>1.49</v>
      </c>
      <c r="V94" s="416">
        <v>0</v>
      </c>
      <c r="W94" s="416">
        <v>0</v>
      </c>
      <c r="X94" s="416">
        <v>0</v>
      </c>
      <c r="Y94" s="406">
        <v>1.37</v>
      </c>
      <c r="Z94" s="406" t="s">
        <v>1142</v>
      </c>
      <c r="AA94" s="406" t="s">
        <v>1142</v>
      </c>
      <c r="AB94" s="406" t="s">
        <v>1142</v>
      </c>
      <c r="AC94" s="406" t="s">
        <v>1142</v>
      </c>
      <c r="AD94" s="406" t="s">
        <v>1142</v>
      </c>
      <c r="AE94" s="406" t="s">
        <v>1142</v>
      </c>
      <c r="AF94" s="406" t="s">
        <v>1142</v>
      </c>
      <c r="AG94" s="299" t="s">
        <v>1143</v>
      </c>
      <c r="AH94" s="299" t="s">
        <v>1144</v>
      </c>
      <c r="AI94" s="299">
        <v>2</v>
      </c>
      <c r="AJ94" s="299">
        <v>4</v>
      </c>
      <c r="AK94" s="388">
        <v>0.33329999999999999</v>
      </c>
      <c r="AL94" s="388">
        <v>0.66659999999999997</v>
      </c>
      <c r="AM94" s="379" t="s">
        <v>1124</v>
      </c>
      <c r="AN94" s="299">
        <v>0</v>
      </c>
      <c r="AO94" s="299">
        <v>0</v>
      </c>
      <c r="AP94" s="299">
        <v>5</v>
      </c>
      <c r="AQ94" s="299">
        <v>0</v>
      </c>
      <c r="AR94" s="299">
        <v>0</v>
      </c>
      <c r="AS94" s="299">
        <v>0</v>
      </c>
      <c r="AT94" s="299">
        <v>0</v>
      </c>
      <c r="AU94" s="299">
        <v>0</v>
      </c>
      <c r="AV94" s="299">
        <v>0</v>
      </c>
      <c r="AW94" s="299">
        <v>0</v>
      </c>
      <c r="AX94" s="299">
        <v>0</v>
      </c>
      <c r="AY94" s="299">
        <v>0</v>
      </c>
      <c r="AZ94" s="299"/>
      <c r="BA94" s="299" t="s">
        <v>1145</v>
      </c>
      <c r="BB94" s="299"/>
      <c r="BC94" s="299" t="s">
        <v>1145</v>
      </c>
      <c r="BD94" s="299"/>
      <c r="BE94" s="299"/>
      <c r="BF94" s="298"/>
      <c r="BG94" s="297"/>
      <c r="BH94" s="299"/>
      <c r="BI94" s="299"/>
      <c r="BJ94" s="299" t="s">
        <v>1146</v>
      </c>
      <c r="BK94" s="297" t="s">
        <v>370</v>
      </c>
      <c r="BL94" s="297" t="s">
        <v>1225</v>
      </c>
      <c r="BM94" s="379" t="s">
        <v>368</v>
      </c>
    </row>
    <row r="95" spans="1:65" x14ac:dyDescent="0.15">
      <c r="A95" s="148">
        <v>2211</v>
      </c>
      <c r="B95" s="328">
        <v>43692</v>
      </c>
      <c r="C95" s="296" t="s">
        <v>1138</v>
      </c>
      <c r="D95" s="379" t="s">
        <v>1113</v>
      </c>
      <c r="E95" s="309">
        <v>43646</v>
      </c>
      <c r="F95" s="297" t="s">
        <v>34</v>
      </c>
      <c r="G95" s="379" t="s">
        <v>1178</v>
      </c>
      <c r="H95" s="406">
        <v>89.6</v>
      </c>
      <c r="I95" s="394"/>
      <c r="J95" s="394"/>
      <c r="K95" s="394"/>
      <c r="L95" s="332"/>
      <c r="M95" s="332"/>
      <c r="N95" s="332"/>
      <c r="O95" s="406">
        <v>1.64</v>
      </c>
      <c r="P95" s="416">
        <v>0</v>
      </c>
      <c r="Q95" s="416">
        <v>0</v>
      </c>
      <c r="R95" s="416">
        <v>0</v>
      </c>
      <c r="S95" s="416">
        <v>0</v>
      </c>
      <c r="T95" s="406" t="s">
        <v>1142</v>
      </c>
      <c r="U95" s="406">
        <v>1.44</v>
      </c>
      <c r="V95" s="416">
        <v>0</v>
      </c>
      <c r="W95" s="416">
        <v>0</v>
      </c>
      <c r="X95" s="416">
        <v>0</v>
      </c>
      <c r="Y95" s="416">
        <v>0</v>
      </c>
      <c r="Z95" s="406" t="s">
        <v>1142</v>
      </c>
      <c r="AA95" s="406" t="s">
        <v>1142</v>
      </c>
      <c r="AB95" s="406" t="s">
        <v>1142</v>
      </c>
      <c r="AC95" s="406" t="s">
        <v>1142</v>
      </c>
      <c r="AD95" s="406" t="s">
        <v>1142</v>
      </c>
      <c r="AE95" s="406" t="s">
        <v>1142</v>
      </c>
      <c r="AF95" s="406" t="s">
        <v>1142</v>
      </c>
      <c r="AG95" s="333" t="s">
        <v>1143</v>
      </c>
      <c r="AH95" s="333" t="s">
        <v>1144</v>
      </c>
      <c r="AI95" s="299">
        <v>2</v>
      </c>
      <c r="AJ95" s="299">
        <v>4</v>
      </c>
      <c r="AK95" s="388">
        <v>0.33329999999999999</v>
      </c>
      <c r="AL95" s="388">
        <v>0.66659999999999997</v>
      </c>
      <c r="AM95" s="379" t="s">
        <v>1124</v>
      </c>
      <c r="AN95" s="299">
        <v>0</v>
      </c>
      <c r="AO95" s="299">
        <v>0</v>
      </c>
      <c r="AP95" s="299">
        <v>5</v>
      </c>
      <c r="AQ95" s="299">
        <v>0</v>
      </c>
      <c r="AR95" s="299">
        <v>0</v>
      </c>
      <c r="AS95" s="299">
        <v>0</v>
      </c>
      <c r="AT95" s="299">
        <v>0</v>
      </c>
      <c r="AU95" s="299">
        <v>0</v>
      </c>
      <c r="AV95" s="299">
        <v>0</v>
      </c>
      <c r="AW95" s="299">
        <v>0</v>
      </c>
      <c r="AX95" s="299">
        <v>0</v>
      </c>
      <c r="AY95" s="299">
        <v>0</v>
      </c>
      <c r="AZ95" s="299"/>
      <c r="BA95" s="299" t="s">
        <v>1145</v>
      </c>
      <c r="BB95" s="299"/>
      <c r="BC95" s="299" t="s">
        <v>1145</v>
      </c>
      <c r="BD95" s="299"/>
      <c r="BE95" s="299"/>
      <c r="BF95" s="299"/>
      <c r="BG95" s="298"/>
      <c r="BH95" s="297"/>
      <c r="BI95" s="299"/>
      <c r="BJ95" s="299" t="s">
        <v>1164</v>
      </c>
      <c r="BK95" s="298" t="s">
        <v>47</v>
      </c>
      <c r="BL95" s="297" t="s">
        <v>1226</v>
      </c>
      <c r="BM95" s="379" t="s">
        <v>368</v>
      </c>
    </row>
    <row r="96" spans="1:65" x14ac:dyDescent="0.15">
      <c r="A96" s="148">
        <v>2057</v>
      </c>
      <c r="B96" s="328">
        <v>43692</v>
      </c>
      <c r="C96" s="296" t="s">
        <v>1138</v>
      </c>
      <c r="D96" s="379" t="s">
        <v>1113</v>
      </c>
      <c r="E96" s="295">
        <v>43646</v>
      </c>
      <c r="F96" s="378" t="s">
        <v>1180</v>
      </c>
      <c r="G96" s="379" t="s">
        <v>1181</v>
      </c>
      <c r="H96" s="406">
        <v>91.654545454545442</v>
      </c>
      <c r="I96" s="376"/>
      <c r="J96" s="331"/>
      <c r="K96" s="297"/>
      <c r="L96" s="297"/>
      <c r="M96" s="297"/>
      <c r="N96" s="297"/>
      <c r="O96" s="406">
        <v>1.6727272727272726</v>
      </c>
      <c r="P96" s="416">
        <v>0</v>
      </c>
      <c r="Q96" s="416">
        <v>0</v>
      </c>
      <c r="R96" s="416">
        <v>0</v>
      </c>
      <c r="S96" s="416">
        <v>0</v>
      </c>
      <c r="T96" s="406" t="s">
        <v>1142</v>
      </c>
      <c r="U96" s="406">
        <v>1.4727272727272727</v>
      </c>
      <c r="V96" s="416">
        <v>0</v>
      </c>
      <c r="W96" s="416">
        <v>0</v>
      </c>
      <c r="X96" s="416">
        <v>0</v>
      </c>
      <c r="Y96" s="416">
        <v>0</v>
      </c>
      <c r="Z96" s="406" t="s">
        <v>1142</v>
      </c>
      <c r="AA96" s="406" t="s">
        <v>1142</v>
      </c>
      <c r="AB96" s="406" t="s">
        <v>1142</v>
      </c>
      <c r="AC96" s="406" t="s">
        <v>1142</v>
      </c>
      <c r="AD96" s="406" t="s">
        <v>1142</v>
      </c>
      <c r="AE96" s="406" t="s">
        <v>1142</v>
      </c>
      <c r="AF96" s="406" t="s">
        <v>1142</v>
      </c>
      <c r="AG96" s="299" t="s">
        <v>1143</v>
      </c>
      <c r="AH96" s="299" t="s">
        <v>1144</v>
      </c>
      <c r="AI96" s="299">
        <v>2</v>
      </c>
      <c r="AJ96" s="299">
        <v>4</v>
      </c>
      <c r="AK96" s="388">
        <v>0.33329999999999999</v>
      </c>
      <c r="AL96" s="388">
        <v>0.66659999999999997</v>
      </c>
      <c r="AM96" s="379" t="s">
        <v>1124</v>
      </c>
      <c r="AN96" s="299">
        <v>0</v>
      </c>
      <c r="AO96" s="299">
        <v>0</v>
      </c>
      <c r="AP96" s="299">
        <v>0</v>
      </c>
      <c r="AQ96" s="299">
        <v>0</v>
      </c>
      <c r="AR96" s="299">
        <v>0</v>
      </c>
      <c r="AS96" s="299">
        <v>0</v>
      </c>
      <c r="AT96" s="299">
        <v>0</v>
      </c>
      <c r="AU96" s="299">
        <v>0</v>
      </c>
      <c r="AV96" s="299">
        <v>0</v>
      </c>
      <c r="AW96" s="299">
        <v>0</v>
      </c>
      <c r="AX96" s="299">
        <v>0</v>
      </c>
      <c r="AY96" s="299">
        <v>0</v>
      </c>
      <c r="AZ96" s="299"/>
      <c r="BA96" s="299" t="s">
        <v>1145</v>
      </c>
      <c r="BB96" s="299"/>
      <c r="BC96" s="299" t="s">
        <v>1145</v>
      </c>
      <c r="BD96" s="299"/>
      <c r="BE96" s="299"/>
      <c r="BF96" s="299"/>
      <c r="BG96" s="298"/>
      <c r="BH96" s="297"/>
      <c r="BI96" s="299"/>
      <c r="BJ96" s="299" t="s">
        <v>1164</v>
      </c>
      <c r="BK96" s="298" t="s">
        <v>1182</v>
      </c>
      <c r="BL96" s="379" t="s">
        <v>1227</v>
      </c>
      <c r="BM96" s="379" t="s">
        <v>368</v>
      </c>
    </row>
    <row r="97" spans="1:65" x14ac:dyDescent="0.15">
      <c r="A97" s="148">
        <v>1348</v>
      </c>
      <c r="B97" s="328">
        <v>43692</v>
      </c>
      <c r="C97" s="296" t="s">
        <v>1138</v>
      </c>
      <c r="D97" s="379" t="s">
        <v>1114</v>
      </c>
      <c r="E97" s="295">
        <v>43647</v>
      </c>
      <c r="F97" s="298" t="s">
        <v>1139</v>
      </c>
      <c r="G97" s="297" t="s">
        <v>1140</v>
      </c>
      <c r="H97" s="406">
        <v>84.9</v>
      </c>
      <c r="I97" s="376" t="s">
        <v>1141</v>
      </c>
      <c r="J97" s="297">
        <v>6000</v>
      </c>
      <c r="K97" s="297">
        <v>12000</v>
      </c>
      <c r="L97" s="297">
        <v>84000</v>
      </c>
      <c r="M97" s="297">
        <v>84000</v>
      </c>
      <c r="N97" s="297"/>
      <c r="O97" s="406">
        <v>1.9818181818181817</v>
      </c>
      <c r="P97" s="406">
        <v>1.9272727272727272</v>
      </c>
      <c r="Q97" s="406">
        <v>1.4727272727272727</v>
      </c>
      <c r="R97" s="416">
        <v>0</v>
      </c>
      <c r="S97" s="406">
        <v>1.2636363636363634</v>
      </c>
      <c r="T97" s="406" t="s">
        <v>1142</v>
      </c>
      <c r="U97" s="406">
        <v>1.7</v>
      </c>
      <c r="V97" s="406">
        <v>1.5090909090909088</v>
      </c>
      <c r="W97" s="406">
        <v>1.3909090909090909</v>
      </c>
      <c r="X97" s="416">
        <v>0</v>
      </c>
      <c r="Y97" s="406">
        <v>1.1818181818181817</v>
      </c>
      <c r="Z97" s="406" t="s">
        <v>1142</v>
      </c>
      <c r="AA97" s="406" t="s">
        <v>1142</v>
      </c>
      <c r="AB97" s="406" t="s">
        <v>1142</v>
      </c>
      <c r="AC97" s="406" t="s">
        <v>1142</v>
      </c>
      <c r="AD97" s="406" t="s">
        <v>1142</v>
      </c>
      <c r="AE97" s="406" t="s">
        <v>1142</v>
      </c>
      <c r="AF97" s="406" t="s">
        <v>1142</v>
      </c>
      <c r="AG97" s="299" t="s">
        <v>1143</v>
      </c>
      <c r="AH97" s="299" t="s">
        <v>1144</v>
      </c>
      <c r="AI97" s="299">
        <v>2</v>
      </c>
      <c r="AJ97" s="299">
        <v>4</v>
      </c>
      <c r="AK97" s="388">
        <v>0.33329999999999999</v>
      </c>
      <c r="AL97" s="388">
        <v>0.66659999999999997</v>
      </c>
      <c r="AM97" s="379" t="s">
        <v>1124</v>
      </c>
      <c r="AN97" s="299">
        <v>0</v>
      </c>
      <c r="AO97" s="299">
        <v>0</v>
      </c>
      <c r="AP97" s="299">
        <v>0</v>
      </c>
      <c r="AQ97" s="299">
        <v>0</v>
      </c>
      <c r="AR97" s="299">
        <v>0</v>
      </c>
      <c r="AS97" s="299">
        <v>0</v>
      </c>
      <c r="AT97" s="299">
        <v>0</v>
      </c>
      <c r="AU97" s="299">
        <v>0</v>
      </c>
      <c r="AV97" s="299">
        <v>0</v>
      </c>
      <c r="AW97" s="299">
        <v>0</v>
      </c>
      <c r="AX97" s="299">
        <v>0</v>
      </c>
      <c r="AY97" s="299">
        <v>0</v>
      </c>
      <c r="AZ97" s="299"/>
      <c r="BA97" s="299" t="s">
        <v>1145</v>
      </c>
      <c r="BB97" s="299">
        <v>12</v>
      </c>
      <c r="BC97" s="299" t="s">
        <v>1145</v>
      </c>
      <c r="BD97" s="299"/>
      <c r="BE97" s="299">
        <v>12</v>
      </c>
      <c r="BF97" s="299"/>
      <c r="BG97" s="298"/>
      <c r="BH97" s="297"/>
      <c r="BI97" s="299"/>
      <c r="BJ97" s="299" t="s">
        <v>1146</v>
      </c>
      <c r="BK97" s="378"/>
      <c r="BL97" s="379" t="s">
        <v>1228</v>
      </c>
      <c r="BM97" s="379" t="s">
        <v>368</v>
      </c>
    </row>
    <row r="98" spans="1:65" x14ac:dyDescent="0.15">
      <c r="A98" s="148">
        <v>2189</v>
      </c>
      <c r="B98" s="328">
        <v>43692</v>
      </c>
      <c r="C98" s="296" t="s">
        <v>1138</v>
      </c>
      <c r="D98" s="379" t="s">
        <v>1114</v>
      </c>
      <c r="E98" s="328">
        <v>43647</v>
      </c>
      <c r="F98" s="298" t="s">
        <v>1148</v>
      </c>
      <c r="G98" s="379" t="s">
        <v>1149</v>
      </c>
      <c r="H98" s="406">
        <v>88</v>
      </c>
      <c r="I98" s="376" t="s">
        <v>1141</v>
      </c>
      <c r="J98" s="331">
        <v>6000</v>
      </c>
      <c r="K98" s="331">
        <v>6000</v>
      </c>
      <c r="L98" s="331">
        <v>6000</v>
      </c>
      <c r="M98" s="331">
        <v>6000</v>
      </c>
      <c r="N98" s="297"/>
      <c r="O98" s="406">
        <v>2.3636363636363633</v>
      </c>
      <c r="P98" s="416">
        <v>0</v>
      </c>
      <c r="Q98" s="416">
        <v>0</v>
      </c>
      <c r="R98" s="416">
        <v>0</v>
      </c>
      <c r="S98" s="406">
        <v>1.8181818181818181</v>
      </c>
      <c r="T98" s="406" t="s">
        <v>1142</v>
      </c>
      <c r="U98" s="406">
        <v>2.0909090909090904</v>
      </c>
      <c r="V98" s="416">
        <v>0</v>
      </c>
      <c r="W98" s="416">
        <v>0</v>
      </c>
      <c r="X98" s="416">
        <v>0</v>
      </c>
      <c r="Y98" s="406">
        <v>1.7272727272727271</v>
      </c>
      <c r="Z98" s="406" t="s">
        <v>1142</v>
      </c>
      <c r="AA98" s="406" t="s">
        <v>1142</v>
      </c>
      <c r="AB98" s="406" t="s">
        <v>1142</v>
      </c>
      <c r="AC98" s="406" t="s">
        <v>1142</v>
      </c>
      <c r="AD98" s="406" t="s">
        <v>1142</v>
      </c>
      <c r="AE98" s="406" t="s">
        <v>1142</v>
      </c>
      <c r="AF98" s="406" t="s">
        <v>1142</v>
      </c>
      <c r="AG98" s="299" t="s">
        <v>1143</v>
      </c>
      <c r="AH98" s="299" t="s">
        <v>1144</v>
      </c>
      <c r="AI98" s="299">
        <v>2</v>
      </c>
      <c r="AJ98" s="299">
        <v>4</v>
      </c>
      <c r="AK98" s="388">
        <v>0.33329999999999999</v>
      </c>
      <c r="AL98" s="388">
        <v>0.66659999999999997</v>
      </c>
      <c r="AM98" s="379" t="s">
        <v>1124</v>
      </c>
      <c r="AN98" s="299">
        <v>0</v>
      </c>
      <c r="AO98" s="299">
        <v>0</v>
      </c>
      <c r="AP98" s="299">
        <v>0</v>
      </c>
      <c r="AQ98" s="299">
        <v>0</v>
      </c>
      <c r="AR98" s="299">
        <v>0</v>
      </c>
      <c r="AS98" s="299">
        <v>0</v>
      </c>
      <c r="AT98" s="299">
        <v>0</v>
      </c>
      <c r="AU98" s="299">
        <v>0</v>
      </c>
      <c r="AV98" s="299">
        <v>0</v>
      </c>
      <c r="AW98" s="299">
        <v>0</v>
      </c>
      <c r="AX98" s="299">
        <v>0</v>
      </c>
      <c r="AY98" s="299">
        <v>0</v>
      </c>
      <c r="AZ98" s="297"/>
      <c r="BA98" s="299" t="s">
        <v>1145</v>
      </c>
      <c r="BB98" s="299"/>
      <c r="BC98" s="299" t="s">
        <v>1145</v>
      </c>
      <c r="BD98" s="299"/>
      <c r="BE98" s="299"/>
      <c r="BF98" s="299"/>
      <c r="BG98" s="298" t="s">
        <v>1150</v>
      </c>
      <c r="BH98" s="297" t="s">
        <v>365</v>
      </c>
      <c r="BI98" s="407">
        <v>100</v>
      </c>
      <c r="BJ98" s="299" t="s">
        <v>411</v>
      </c>
      <c r="BK98" s="298"/>
      <c r="BL98" s="379" t="s">
        <v>1151</v>
      </c>
      <c r="BM98" s="379" t="s">
        <v>368</v>
      </c>
    </row>
    <row r="99" spans="1:65" x14ac:dyDescent="0.15">
      <c r="A99" s="148">
        <v>2204</v>
      </c>
      <c r="B99" s="328">
        <v>43692</v>
      </c>
      <c r="C99" s="296" t="s">
        <v>1138</v>
      </c>
      <c r="D99" s="379" t="s">
        <v>1114</v>
      </c>
      <c r="E99" s="295">
        <v>43647</v>
      </c>
      <c r="F99" s="298" t="s">
        <v>1152</v>
      </c>
      <c r="G99" s="379" t="s">
        <v>1153</v>
      </c>
      <c r="H99" s="406">
        <v>71.636363636363626</v>
      </c>
      <c r="I99" s="376" t="s">
        <v>1141</v>
      </c>
      <c r="J99" s="297">
        <v>6000</v>
      </c>
      <c r="K99" s="297">
        <v>12000</v>
      </c>
      <c r="L99" s="297">
        <v>12000</v>
      </c>
      <c r="M99" s="297">
        <v>12000</v>
      </c>
      <c r="N99" s="297"/>
      <c r="O99" s="406">
        <v>2.627272727272727</v>
      </c>
      <c r="P99" s="406">
        <v>2.2545454545454544</v>
      </c>
      <c r="Q99" s="416">
        <v>0</v>
      </c>
      <c r="R99" s="416">
        <v>0</v>
      </c>
      <c r="S99" s="406">
        <v>1.7</v>
      </c>
      <c r="T99" s="406" t="s">
        <v>1142</v>
      </c>
      <c r="U99" s="406">
        <v>1.8545454545454545</v>
      </c>
      <c r="V99" s="406">
        <v>1.8090909090909089</v>
      </c>
      <c r="W99" s="416">
        <v>0</v>
      </c>
      <c r="X99" s="416">
        <v>0</v>
      </c>
      <c r="Y99" s="406">
        <v>1.7</v>
      </c>
      <c r="Z99" s="406" t="s">
        <v>1142</v>
      </c>
      <c r="AA99" s="406" t="s">
        <v>1142</v>
      </c>
      <c r="AB99" s="406" t="s">
        <v>1142</v>
      </c>
      <c r="AC99" s="406" t="s">
        <v>1142</v>
      </c>
      <c r="AD99" s="406" t="s">
        <v>1142</v>
      </c>
      <c r="AE99" s="406" t="s">
        <v>1142</v>
      </c>
      <c r="AF99" s="406" t="s">
        <v>1142</v>
      </c>
      <c r="AG99" s="299" t="s">
        <v>1143</v>
      </c>
      <c r="AH99" s="299" t="s">
        <v>1144</v>
      </c>
      <c r="AI99" s="299">
        <v>2</v>
      </c>
      <c r="AJ99" s="299">
        <v>4</v>
      </c>
      <c r="AK99" s="388">
        <v>0.33329999999999999</v>
      </c>
      <c r="AL99" s="388">
        <v>0.66659999999999997</v>
      </c>
      <c r="AM99" s="379" t="s">
        <v>1124</v>
      </c>
      <c r="AN99" s="299">
        <v>0</v>
      </c>
      <c r="AO99" s="299">
        <v>0</v>
      </c>
      <c r="AP99" s="299">
        <v>0</v>
      </c>
      <c r="AQ99" s="299">
        <v>0</v>
      </c>
      <c r="AR99" s="299">
        <v>0</v>
      </c>
      <c r="AS99" s="299">
        <v>0</v>
      </c>
      <c r="AT99" s="299">
        <v>0</v>
      </c>
      <c r="AU99" s="299">
        <v>0</v>
      </c>
      <c r="AV99" s="299">
        <v>0</v>
      </c>
      <c r="AW99" s="299">
        <v>0</v>
      </c>
      <c r="AX99" s="299">
        <v>0</v>
      </c>
      <c r="AY99" s="299">
        <v>0</v>
      </c>
      <c r="AZ99" s="297"/>
      <c r="BA99" s="299" t="s">
        <v>1145</v>
      </c>
      <c r="BB99" s="299"/>
      <c r="BC99" s="299" t="s">
        <v>1145</v>
      </c>
      <c r="BD99" s="299"/>
      <c r="BE99" s="299"/>
      <c r="BF99" s="299"/>
      <c r="BG99" s="298"/>
      <c r="BH99" s="297"/>
      <c r="BI99" s="299"/>
      <c r="BJ99" s="299" t="s">
        <v>1146</v>
      </c>
      <c r="BK99" s="298" t="s">
        <v>370</v>
      </c>
      <c r="BL99" s="379" t="s">
        <v>1229</v>
      </c>
      <c r="BM99" s="379" t="s">
        <v>368</v>
      </c>
    </row>
    <row r="100" spans="1:65" x14ac:dyDescent="0.15">
      <c r="A100" s="148">
        <v>1142</v>
      </c>
      <c r="B100" s="328">
        <v>43481</v>
      </c>
      <c r="C100" s="296" t="s">
        <v>10</v>
      </c>
      <c r="D100" s="379" t="s">
        <v>1114</v>
      </c>
      <c r="E100" s="295">
        <v>43466</v>
      </c>
      <c r="F100" s="298" t="s">
        <v>18</v>
      </c>
      <c r="G100" s="297" t="s">
        <v>418</v>
      </c>
      <c r="H100" s="297">
        <v>85</v>
      </c>
      <c r="I100" s="376" t="s">
        <v>1101</v>
      </c>
      <c r="J100" s="297">
        <v>6000</v>
      </c>
      <c r="K100" s="297">
        <v>12000</v>
      </c>
      <c r="L100" s="297">
        <v>84000</v>
      </c>
      <c r="M100" s="297">
        <v>84000</v>
      </c>
      <c r="N100" s="297"/>
      <c r="O100" s="416">
        <v>2.87</v>
      </c>
      <c r="P100" s="416">
        <v>2.5499999999999998</v>
      </c>
      <c r="Q100" s="416">
        <v>2.1</v>
      </c>
      <c r="R100" s="416">
        <v>0</v>
      </c>
      <c r="S100" s="416">
        <v>1.8</v>
      </c>
      <c r="T100" s="416"/>
      <c r="U100" s="416">
        <v>2.4</v>
      </c>
      <c r="V100" s="416">
        <v>2.2000000000000002</v>
      </c>
      <c r="W100" s="416">
        <v>2</v>
      </c>
      <c r="X100" s="416">
        <v>0</v>
      </c>
      <c r="Y100" s="416">
        <v>1.6</v>
      </c>
      <c r="Z100" s="297"/>
      <c r="AA100" s="297"/>
      <c r="AB100" s="297"/>
      <c r="AC100" s="297"/>
      <c r="AD100" s="297"/>
      <c r="AE100" s="297"/>
      <c r="AF100" s="297"/>
      <c r="AG100" s="299" t="s">
        <v>1116</v>
      </c>
      <c r="AH100" s="299" t="s">
        <v>1117</v>
      </c>
      <c r="AI100" s="299">
        <v>3</v>
      </c>
      <c r="AJ100" s="299">
        <v>3</v>
      </c>
      <c r="AK100" s="388">
        <v>0.5</v>
      </c>
      <c r="AL100" s="388">
        <v>0.5</v>
      </c>
      <c r="AM100" s="366" t="s">
        <v>1124</v>
      </c>
      <c r="AN100" s="299">
        <v>0</v>
      </c>
      <c r="AO100" s="299">
        <v>0</v>
      </c>
      <c r="AP100" s="299">
        <v>0</v>
      </c>
      <c r="AQ100" s="299">
        <v>16</v>
      </c>
      <c r="AR100" s="299">
        <v>0</v>
      </c>
      <c r="AS100" s="299">
        <v>0</v>
      </c>
      <c r="AT100" s="299">
        <v>0</v>
      </c>
      <c r="AU100" s="299">
        <v>0</v>
      </c>
      <c r="AV100" s="299">
        <v>0</v>
      </c>
      <c r="AW100" s="299">
        <v>0</v>
      </c>
      <c r="AX100" s="299">
        <v>0</v>
      </c>
      <c r="AY100" s="299">
        <v>0</v>
      </c>
      <c r="AZ100" s="299"/>
      <c r="BA100" s="299" t="s">
        <v>38</v>
      </c>
      <c r="BB100" s="299"/>
      <c r="BC100" s="299" t="s">
        <v>38</v>
      </c>
      <c r="BD100" s="299"/>
      <c r="BE100" s="298"/>
      <c r="BF100" s="297"/>
      <c r="BG100" s="299"/>
      <c r="BJ100" s="299" t="s">
        <v>41</v>
      </c>
      <c r="BK100" s="298" t="s">
        <v>370</v>
      </c>
      <c r="BL100" s="366" t="s">
        <v>430</v>
      </c>
      <c r="BM100" s="366" t="s">
        <v>408</v>
      </c>
    </row>
    <row r="101" spans="1:65" x14ac:dyDescent="0.15">
      <c r="A101" s="148"/>
      <c r="B101" s="405">
        <v>43706</v>
      </c>
      <c r="C101" s="296" t="s">
        <v>10</v>
      </c>
      <c r="D101" s="379" t="s">
        <v>1114</v>
      </c>
      <c r="E101" s="295">
        <v>43647</v>
      </c>
      <c r="F101" s="415" t="s">
        <v>19</v>
      </c>
      <c r="G101" s="297" t="s">
        <v>20</v>
      </c>
      <c r="H101" s="297">
        <v>72.55</v>
      </c>
      <c r="I101" s="376" t="s">
        <v>1101</v>
      </c>
      <c r="J101" s="297">
        <v>6000</v>
      </c>
      <c r="K101" s="297">
        <v>12000</v>
      </c>
      <c r="L101" s="297">
        <v>84000</v>
      </c>
      <c r="M101" s="297">
        <v>84000</v>
      </c>
      <c r="N101" s="297"/>
      <c r="O101" s="416">
        <v>2.6545454545454543</v>
      </c>
      <c r="P101" s="416">
        <v>2.2999999999999998</v>
      </c>
      <c r="Q101" s="417">
        <v>1.7999999999999998</v>
      </c>
      <c r="R101" s="416">
        <v>0</v>
      </c>
      <c r="S101" s="340">
        <v>1.7999999999999998</v>
      </c>
      <c r="T101" s="416"/>
      <c r="U101" s="416">
        <v>2</v>
      </c>
      <c r="V101" s="416">
        <v>1.9545454545454544</v>
      </c>
      <c r="W101" s="406">
        <v>1.7999999999999998</v>
      </c>
      <c r="X101" s="416">
        <v>0</v>
      </c>
      <c r="Y101" s="340">
        <v>1.7</v>
      </c>
      <c r="Z101" s="297"/>
      <c r="AA101" s="297"/>
      <c r="AB101" s="297"/>
      <c r="AC101" s="297"/>
      <c r="AD101" s="297"/>
      <c r="AE101" s="297"/>
      <c r="AF101" s="297"/>
      <c r="AG101" s="299" t="s">
        <v>1116</v>
      </c>
      <c r="AH101" s="299" t="s">
        <v>1117</v>
      </c>
      <c r="AI101" s="299">
        <v>2</v>
      </c>
      <c r="AJ101" s="299">
        <v>4</v>
      </c>
      <c r="AK101" s="388">
        <v>0.33329999999999999</v>
      </c>
      <c r="AL101" s="388">
        <v>0.66659999999999997</v>
      </c>
      <c r="AM101" s="379"/>
      <c r="AN101" s="299">
        <v>0</v>
      </c>
      <c r="AO101" s="299">
        <v>0</v>
      </c>
      <c r="AP101" s="299">
        <v>0</v>
      </c>
      <c r="AQ101" s="299">
        <v>20</v>
      </c>
      <c r="AR101" s="299">
        <v>0</v>
      </c>
      <c r="AS101" s="299">
        <v>0</v>
      </c>
      <c r="AT101" s="299">
        <v>0</v>
      </c>
      <c r="AU101" s="299">
        <v>0</v>
      </c>
      <c r="AV101" s="299">
        <v>0</v>
      </c>
      <c r="AW101" s="299">
        <v>0</v>
      </c>
      <c r="AX101" s="299">
        <v>0</v>
      </c>
      <c r="AY101" s="299">
        <v>0</v>
      </c>
      <c r="AZ101" s="297"/>
      <c r="BA101" s="299" t="s">
        <v>38</v>
      </c>
      <c r="BB101" s="299"/>
      <c r="BC101" s="299" t="s">
        <v>38</v>
      </c>
      <c r="BD101" s="299"/>
      <c r="BE101" s="298"/>
      <c r="BF101" s="297"/>
      <c r="BG101" s="299"/>
      <c r="BJ101" s="299" t="s">
        <v>43</v>
      </c>
      <c r="BK101" s="298"/>
      <c r="BL101" s="366" t="s">
        <v>1230</v>
      </c>
      <c r="BM101" s="366" t="s">
        <v>1121</v>
      </c>
    </row>
    <row r="102" spans="1:65" x14ac:dyDescent="0.15">
      <c r="A102" s="148">
        <v>2120</v>
      </c>
      <c r="B102" s="328">
        <v>43692</v>
      </c>
      <c r="C102" s="296" t="s">
        <v>1138</v>
      </c>
      <c r="D102" s="379" t="s">
        <v>1114</v>
      </c>
      <c r="E102" s="295">
        <v>43647</v>
      </c>
      <c r="F102" s="298" t="s">
        <v>1156</v>
      </c>
      <c r="G102" s="379" t="s">
        <v>1157</v>
      </c>
      <c r="H102" s="406">
        <v>94.7</v>
      </c>
      <c r="I102" s="376" t="s">
        <v>1141</v>
      </c>
      <c r="J102" s="331">
        <v>12000</v>
      </c>
      <c r="K102" s="331">
        <v>12000</v>
      </c>
      <c r="L102" s="331">
        <v>12000</v>
      </c>
      <c r="M102" s="331">
        <v>12000</v>
      </c>
      <c r="N102" s="297"/>
      <c r="O102" s="406">
        <v>2.74</v>
      </c>
      <c r="P102" s="416">
        <v>0</v>
      </c>
      <c r="Q102" s="416">
        <v>0</v>
      </c>
      <c r="R102" s="416">
        <v>0</v>
      </c>
      <c r="S102" s="406">
        <v>1.77</v>
      </c>
      <c r="T102" s="406" t="s">
        <v>1142</v>
      </c>
      <c r="U102" s="406">
        <v>2.0099999999999998</v>
      </c>
      <c r="V102" s="416">
        <v>0</v>
      </c>
      <c r="W102" s="416">
        <v>0</v>
      </c>
      <c r="X102" s="416">
        <v>0</v>
      </c>
      <c r="Y102" s="406">
        <v>2.0099999999999998</v>
      </c>
      <c r="Z102" s="406" t="s">
        <v>1142</v>
      </c>
      <c r="AA102" s="406" t="s">
        <v>1142</v>
      </c>
      <c r="AB102" s="406" t="s">
        <v>1142</v>
      </c>
      <c r="AC102" s="406" t="s">
        <v>1142</v>
      </c>
      <c r="AD102" s="406" t="s">
        <v>1142</v>
      </c>
      <c r="AE102" s="406" t="s">
        <v>1142</v>
      </c>
      <c r="AF102" s="406" t="s">
        <v>1142</v>
      </c>
      <c r="AG102" s="299" t="s">
        <v>1143</v>
      </c>
      <c r="AH102" s="299" t="s">
        <v>1144</v>
      </c>
      <c r="AI102" s="299">
        <v>2</v>
      </c>
      <c r="AJ102" s="299">
        <v>4</v>
      </c>
      <c r="AK102" s="388">
        <v>0.33329999999999999</v>
      </c>
      <c r="AL102" s="388">
        <v>0.66659999999999997</v>
      </c>
      <c r="AM102" s="379" t="s">
        <v>1124</v>
      </c>
      <c r="AN102" s="299">
        <v>24</v>
      </c>
      <c r="AO102" s="299">
        <v>0</v>
      </c>
      <c r="AP102" s="299">
        <v>0</v>
      </c>
      <c r="AQ102" s="299">
        <v>0</v>
      </c>
      <c r="AR102" s="299">
        <v>0</v>
      </c>
      <c r="AS102" s="299">
        <v>0</v>
      </c>
      <c r="AT102" s="299">
        <v>0</v>
      </c>
      <c r="AU102" s="299">
        <v>0</v>
      </c>
      <c r="AV102" s="299">
        <v>0</v>
      </c>
      <c r="AW102" s="299">
        <v>0</v>
      </c>
      <c r="AX102" s="299">
        <v>0</v>
      </c>
      <c r="AY102" s="299">
        <v>0</v>
      </c>
      <c r="AZ102" s="297"/>
      <c r="BA102" s="299" t="s">
        <v>1145</v>
      </c>
      <c r="BB102" s="299">
        <v>12</v>
      </c>
      <c r="BC102" s="299" t="s">
        <v>1145</v>
      </c>
      <c r="BD102" s="299"/>
      <c r="BE102" s="299"/>
      <c r="BF102" s="299"/>
      <c r="BG102" s="298"/>
      <c r="BH102" s="297"/>
      <c r="BI102" s="299"/>
      <c r="BJ102" s="299" t="s">
        <v>1146</v>
      </c>
      <c r="BK102" s="298"/>
      <c r="BL102" s="408" t="s">
        <v>1231</v>
      </c>
      <c r="BM102" s="379" t="s">
        <v>368</v>
      </c>
    </row>
    <row r="103" spans="1:65" x14ac:dyDescent="0.15">
      <c r="A103" s="148">
        <v>1940</v>
      </c>
      <c r="B103" s="328">
        <v>43692</v>
      </c>
      <c r="C103" s="296" t="s">
        <v>1138</v>
      </c>
      <c r="D103" s="379" t="s">
        <v>1114</v>
      </c>
      <c r="E103" s="295">
        <v>43497</v>
      </c>
      <c r="F103" s="298" t="s">
        <v>1159</v>
      </c>
      <c r="G103" s="297" t="s">
        <v>1105</v>
      </c>
      <c r="H103" s="406">
        <v>70</v>
      </c>
      <c r="I103" s="376" t="s">
        <v>1141</v>
      </c>
      <c r="J103" s="297">
        <v>6000</v>
      </c>
      <c r="K103" s="297">
        <v>12000</v>
      </c>
      <c r="L103" s="297">
        <v>84000</v>
      </c>
      <c r="M103" s="297">
        <v>84000</v>
      </c>
      <c r="N103" s="297"/>
      <c r="O103" s="406">
        <v>2.2000000000000002</v>
      </c>
      <c r="P103" s="406">
        <v>2</v>
      </c>
      <c r="Q103" s="406">
        <v>1.65</v>
      </c>
      <c r="R103" s="416">
        <v>0</v>
      </c>
      <c r="S103" s="406">
        <v>1.5</v>
      </c>
      <c r="T103" s="406" t="s">
        <v>1142</v>
      </c>
      <c r="U103" s="406">
        <v>1.7</v>
      </c>
      <c r="V103" s="406">
        <v>1.63</v>
      </c>
      <c r="W103" s="406">
        <v>1.51</v>
      </c>
      <c r="X103" s="416">
        <v>0</v>
      </c>
      <c r="Y103" s="406">
        <v>1.46</v>
      </c>
      <c r="Z103" s="406" t="s">
        <v>1142</v>
      </c>
      <c r="AA103" s="406" t="s">
        <v>1142</v>
      </c>
      <c r="AB103" s="406" t="s">
        <v>1142</v>
      </c>
      <c r="AC103" s="406" t="s">
        <v>1142</v>
      </c>
      <c r="AD103" s="406" t="s">
        <v>1142</v>
      </c>
      <c r="AE103" s="406" t="s">
        <v>1142</v>
      </c>
      <c r="AF103" s="406" t="s">
        <v>1142</v>
      </c>
      <c r="AG103" s="299" t="s">
        <v>1143</v>
      </c>
      <c r="AH103" s="299" t="s">
        <v>1144</v>
      </c>
      <c r="AI103" s="299">
        <v>2</v>
      </c>
      <c r="AJ103" s="299">
        <v>4</v>
      </c>
      <c r="AK103" s="388">
        <v>0.33329999999999999</v>
      </c>
      <c r="AL103" s="388">
        <v>0.66659999999999997</v>
      </c>
      <c r="AM103" s="379" t="s">
        <v>1124</v>
      </c>
      <c r="AN103" s="299">
        <v>0</v>
      </c>
      <c r="AO103" s="299">
        <v>0</v>
      </c>
      <c r="AP103" s="299">
        <v>3</v>
      </c>
      <c r="AQ103" s="299">
        <v>0</v>
      </c>
      <c r="AR103" s="299">
        <v>0</v>
      </c>
      <c r="AS103" s="299">
        <v>0</v>
      </c>
      <c r="AT103" s="299">
        <v>0</v>
      </c>
      <c r="AU103" s="299">
        <v>0</v>
      </c>
      <c r="AV103" s="299">
        <v>0</v>
      </c>
      <c r="AW103" s="299">
        <v>0</v>
      </c>
      <c r="AX103" s="299">
        <v>0</v>
      </c>
      <c r="AY103" s="299">
        <v>0</v>
      </c>
      <c r="AZ103" s="297"/>
      <c r="BA103" s="299" t="s">
        <v>1145</v>
      </c>
      <c r="BB103" s="299"/>
      <c r="BC103" s="299" t="s">
        <v>1145</v>
      </c>
      <c r="BD103" s="299"/>
      <c r="BE103" s="299"/>
      <c r="BF103" s="299"/>
      <c r="BG103" s="299"/>
      <c r="BH103" s="299"/>
      <c r="BI103" s="299"/>
      <c r="BJ103" s="299" t="s">
        <v>1146</v>
      </c>
      <c r="BK103" s="298"/>
      <c r="BL103" s="297" t="s">
        <v>430</v>
      </c>
      <c r="BM103" s="379" t="s">
        <v>368</v>
      </c>
    </row>
    <row r="104" spans="1:65" x14ac:dyDescent="0.15">
      <c r="A104" s="148">
        <v>319</v>
      </c>
      <c r="B104" s="328">
        <v>43692</v>
      </c>
      <c r="C104" s="296" t="s">
        <v>1138</v>
      </c>
      <c r="D104" s="379" t="s">
        <v>1114</v>
      </c>
      <c r="E104" s="295">
        <v>43647</v>
      </c>
      <c r="F104" s="297" t="s">
        <v>1160</v>
      </c>
      <c r="G104" s="297" t="s">
        <v>1161</v>
      </c>
      <c r="H104" s="406">
        <v>95.26</v>
      </c>
      <c r="I104" s="376" t="s">
        <v>1141</v>
      </c>
      <c r="J104" s="297">
        <v>6000</v>
      </c>
      <c r="K104" s="297">
        <v>12000</v>
      </c>
      <c r="L104" s="297">
        <v>84000</v>
      </c>
      <c r="M104" s="297">
        <v>84000</v>
      </c>
      <c r="N104" s="297"/>
      <c r="O104" s="406">
        <v>1.7849999999999999</v>
      </c>
      <c r="P104" s="406">
        <v>1.5640000000000001</v>
      </c>
      <c r="Q104" s="406">
        <v>1.2929999999999999</v>
      </c>
      <c r="R104" s="416">
        <v>0</v>
      </c>
      <c r="S104" s="406">
        <v>1.28</v>
      </c>
      <c r="T104" s="406" t="s">
        <v>1142</v>
      </c>
      <c r="U104" s="406">
        <v>1.349</v>
      </c>
      <c r="V104" s="406">
        <v>1.3240000000000001</v>
      </c>
      <c r="W104" s="406">
        <v>1.2589999999999999</v>
      </c>
      <c r="X104" s="416">
        <v>0</v>
      </c>
      <c r="Y104" s="406">
        <v>1.2230000000000001</v>
      </c>
      <c r="Z104" s="406" t="s">
        <v>1142</v>
      </c>
      <c r="AA104" s="406" t="s">
        <v>1142</v>
      </c>
      <c r="AB104" s="406" t="s">
        <v>1142</v>
      </c>
      <c r="AC104" s="406" t="s">
        <v>1142</v>
      </c>
      <c r="AD104" s="406" t="s">
        <v>1142</v>
      </c>
      <c r="AE104" s="406" t="s">
        <v>1142</v>
      </c>
      <c r="AF104" s="406" t="s">
        <v>1142</v>
      </c>
      <c r="AG104" s="299" t="s">
        <v>1143</v>
      </c>
      <c r="AH104" s="299" t="s">
        <v>1144</v>
      </c>
      <c r="AI104" s="299">
        <v>2</v>
      </c>
      <c r="AJ104" s="299">
        <v>4</v>
      </c>
      <c r="AK104" s="388">
        <v>0.33329999999999999</v>
      </c>
      <c r="AL104" s="388">
        <v>0.66659999999999997</v>
      </c>
      <c r="AM104" s="379" t="s">
        <v>1124</v>
      </c>
      <c r="AN104" s="299">
        <v>0</v>
      </c>
      <c r="AO104" s="299">
        <v>0</v>
      </c>
      <c r="AP104" s="299">
        <v>0</v>
      </c>
      <c r="AQ104" s="299">
        <v>0</v>
      </c>
      <c r="AR104" s="299">
        <v>0</v>
      </c>
      <c r="AS104" s="299">
        <v>0</v>
      </c>
      <c r="AT104" s="299">
        <v>0</v>
      </c>
      <c r="AU104" s="299">
        <v>0</v>
      </c>
      <c r="AV104" s="299">
        <v>0</v>
      </c>
      <c r="AW104" s="299">
        <v>0</v>
      </c>
      <c r="AX104" s="299">
        <v>0</v>
      </c>
      <c r="AY104" s="299">
        <v>0</v>
      </c>
      <c r="AZ104" s="297"/>
      <c r="BA104" s="299" t="s">
        <v>1145</v>
      </c>
      <c r="BB104" s="299"/>
      <c r="BC104" s="299" t="s">
        <v>1145</v>
      </c>
      <c r="BD104" s="299"/>
      <c r="BE104" s="299"/>
      <c r="BF104" s="299"/>
      <c r="BG104" s="378" t="s">
        <v>1162</v>
      </c>
      <c r="BH104" s="297" t="s">
        <v>1163</v>
      </c>
      <c r="BI104" s="299">
        <v>50</v>
      </c>
      <c r="BJ104" s="299" t="s">
        <v>1164</v>
      </c>
      <c r="BK104" s="298"/>
      <c r="BL104" s="297" t="s">
        <v>1232</v>
      </c>
      <c r="BM104" s="379" t="s">
        <v>368</v>
      </c>
    </row>
    <row r="105" spans="1:65" x14ac:dyDescent="0.15">
      <c r="A105" s="148">
        <v>2264</v>
      </c>
      <c r="B105" s="328">
        <v>43692</v>
      </c>
      <c r="C105" s="296" t="s">
        <v>1138</v>
      </c>
      <c r="D105" s="379" t="s">
        <v>1114</v>
      </c>
      <c r="E105" s="295">
        <v>43647</v>
      </c>
      <c r="F105" s="298" t="s">
        <v>1166</v>
      </c>
      <c r="G105" s="297" t="s">
        <v>1167</v>
      </c>
      <c r="H105" s="406">
        <v>78</v>
      </c>
      <c r="I105" s="376" t="s">
        <v>1141</v>
      </c>
      <c r="J105" s="331">
        <v>3000</v>
      </c>
      <c r="K105" s="331">
        <v>3000</v>
      </c>
      <c r="L105" s="331">
        <v>3000</v>
      </c>
      <c r="M105" s="331">
        <v>3000</v>
      </c>
      <c r="N105" s="297"/>
      <c r="O105" s="406">
        <v>2.8</v>
      </c>
      <c r="P105" s="416">
        <v>0</v>
      </c>
      <c r="Q105" s="416">
        <v>0</v>
      </c>
      <c r="R105" s="416">
        <v>0</v>
      </c>
      <c r="S105" s="406">
        <v>2.2000000000000002</v>
      </c>
      <c r="T105" s="406" t="s">
        <v>1142</v>
      </c>
      <c r="U105" s="406">
        <v>2</v>
      </c>
      <c r="V105" s="416">
        <v>0</v>
      </c>
      <c r="W105" s="416">
        <v>0</v>
      </c>
      <c r="X105" s="416">
        <v>0</v>
      </c>
      <c r="Y105" s="406">
        <v>1.6</v>
      </c>
      <c r="Z105" s="406" t="s">
        <v>1142</v>
      </c>
      <c r="AA105" s="406" t="s">
        <v>1142</v>
      </c>
      <c r="AB105" s="406" t="s">
        <v>1142</v>
      </c>
      <c r="AC105" s="406" t="s">
        <v>1142</v>
      </c>
      <c r="AD105" s="406" t="s">
        <v>1142</v>
      </c>
      <c r="AE105" s="406" t="s">
        <v>1142</v>
      </c>
      <c r="AF105" s="406" t="s">
        <v>1142</v>
      </c>
      <c r="AG105" s="299" t="s">
        <v>1143</v>
      </c>
      <c r="AH105" s="299" t="s">
        <v>1144</v>
      </c>
      <c r="AI105" s="299">
        <v>2</v>
      </c>
      <c r="AJ105" s="299">
        <v>4</v>
      </c>
      <c r="AK105" s="388">
        <v>0.33329999999999999</v>
      </c>
      <c r="AL105" s="388">
        <v>0.66659999999999997</v>
      </c>
      <c r="AM105" s="379" t="s">
        <v>1124</v>
      </c>
      <c r="AN105" s="299">
        <v>10</v>
      </c>
      <c r="AO105" s="299">
        <v>0</v>
      </c>
      <c r="AP105" s="299">
        <v>0</v>
      </c>
      <c r="AQ105" s="299">
        <v>0</v>
      </c>
      <c r="AR105" s="299">
        <v>0</v>
      </c>
      <c r="AS105" s="299">
        <v>0</v>
      </c>
      <c r="AT105" s="299">
        <v>0</v>
      </c>
      <c r="AU105" s="299">
        <v>0</v>
      </c>
      <c r="AV105" s="299">
        <v>0</v>
      </c>
      <c r="AW105" s="299">
        <v>0</v>
      </c>
      <c r="AX105" s="299">
        <v>0</v>
      </c>
      <c r="AY105" s="299">
        <v>0</v>
      </c>
      <c r="AZ105" s="297"/>
      <c r="BA105" s="299" t="s">
        <v>1145</v>
      </c>
      <c r="BB105" s="299">
        <v>12</v>
      </c>
      <c r="BC105" s="299" t="s">
        <v>1145</v>
      </c>
      <c r="BD105" s="299"/>
      <c r="BE105" s="299"/>
      <c r="BF105" s="299"/>
      <c r="BG105" s="298"/>
      <c r="BH105" s="297"/>
      <c r="BI105" s="299"/>
      <c r="BJ105" s="299" t="s">
        <v>1146</v>
      </c>
      <c r="BK105" s="298"/>
      <c r="BL105" s="379" t="s">
        <v>430</v>
      </c>
      <c r="BM105" s="379" t="s">
        <v>368</v>
      </c>
    </row>
    <row r="106" spans="1:65" x14ac:dyDescent="0.15">
      <c r="A106" s="148">
        <v>1432</v>
      </c>
      <c r="B106" s="328">
        <v>43692</v>
      </c>
      <c r="C106" s="296" t="s">
        <v>1138</v>
      </c>
      <c r="D106" s="379" t="s">
        <v>1114</v>
      </c>
      <c r="E106" s="309">
        <v>43530</v>
      </c>
      <c r="F106" s="298" t="s">
        <v>1168</v>
      </c>
      <c r="G106" s="379" t="s">
        <v>28</v>
      </c>
      <c r="H106" s="406">
        <v>80.400000000000006</v>
      </c>
      <c r="I106" s="376" t="s">
        <v>1141</v>
      </c>
      <c r="J106" s="331">
        <v>3150</v>
      </c>
      <c r="K106" s="331">
        <v>3150</v>
      </c>
      <c r="L106" s="331">
        <v>3150</v>
      </c>
      <c r="M106" s="331">
        <v>3150</v>
      </c>
      <c r="N106" s="297"/>
      <c r="O106" s="406">
        <v>2.4</v>
      </c>
      <c r="P106" s="416">
        <v>0</v>
      </c>
      <c r="Q106" s="416">
        <v>0</v>
      </c>
      <c r="R106" s="416">
        <v>0</v>
      </c>
      <c r="S106" s="406">
        <v>2.1</v>
      </c>
      <c r="T106" s="406" t="s">
        <v>1142</v>
      </c>
      <c r="U106" s="406">
        <v>2</v>
      </c>
      <c r="V106" s="416">
        <v>0</v>
      </c>
      <c r="W106" s="416">
        <v>0</v>
      </c>
      <c r="X106" s="416">
        <v>0</v>
      </c>
      <c r="Y106" s="406">
        <v>1.7</v>
      </c>
      <c r="Z106" s="406" t="s">
        <v>1142</v>
      </c>
      <c r="AA106" s="406" t="s">
        <v>1142</v>
      </c>
      <c r="AB106" s="406" t="s">
        <v>1142</v>
      </c>
      <c r="AC106" s="406" t="s">
        <v>1142</v>
      </c>
      <c r="AD106" s="406" t="s">
        <v>1142</v>
      </c>
      <c r="AE106" s="406" t="s">
        <v>1142</v>
      </c>
      <c r="AF106" s="406" t="s">
        <v>1142</v>
      </c>
      <c r="AG106" s="299" t="s">
        <v>1143</v>
      </c>
      <c r="AH106" s="299" t="s">
        <v>1144</v>
      </c>
      <c r="AI106" s="299">
        <v>2</v>
      </c>
      <c r="AJ106" s="299">
        <v>4</v>
      </c>
      <c r="AK106" s="388">
        <v>0.33329999999999999</v>
      </c>
      <c r="AL106" s="388">
        <v>0.66659999999999997</v>
      </c>
      <c r="AM106" s="379" t="s">
        <v>1124</v>
      </c>
      <c r="AN106" s="299">
        <v>0</v>
      </c>
      <c r="AO106" s="299">
        <v>0</v>
      </c>
      <c r="AP106" s="299">
        <v>10</v>
      </c>
      <c r="AQ106" s="299">
        <v>0</v>
      </c>
      <c r="AR106" s="299">
        <v>0</v>
      </c>
      <c r="AS106" s="299">
        <v>0</v>
      </c>
      <c r="AT106" s="299">
        <v>0</v>
      </c>
      <c r="AU106" s="299">
        <v>0</v>
      </c>
      <c r="AV106" s="299">
        <v>0</v>
      </c>
      <c r="AW106" s="299">
        <v>0</v>
      </c>
      <c r="AX106" s="299">
        <v>0</v>
      </c>
      <c r="AY106" s="299">
        <v>0</v>
      </c>
      <c r="AZ106" s="299"/>
      <c r="BA106" s="299" t="s">
        <v>1145</v>
      </c>
      <c r="BB106" s="299"/>
      <c r="BC106" s="299" t="s">
        <v>1145</v>
      </c>
      <c r="BD106" s="299"/>
      <c r="BE106" s="299"/>
      <c r="BF106" s="299"/>
      <c r="BG106" s="298"/>
      <c r="BH106" s="297"/>
      <c r="BI106" s="299"/>
      <c r="BJ106" s="299" t="s">
        <v>1146</v>
      </c>
      <c r="BK106" s="298"/>
      <c r="BL106" s="379" t="s">
        <v>430</v>
      </c>
      <c r="BM106" s="379" t="s">
        <v>368</v>
      </c>
    </row>
    <row r="107" spans="1:65" x14ac:dyDescent="0.15">
      <c r="A107" s="148">
        <v>799</v>
      </c>
      <c r="B107" s="328">
        <v>43692</v>
      </c>
      <c r="C107" s="296" t="s">
        <v>295</v>
      </c>
      <c r="D107" s="379" t="s">
        <v>1114</v>
      </c>
      <c r="E107" s="309">
        <v>43647</v>
      </c>
      <c r="F107" s="298" t="s">
        <v>984</v>
      </c>
      <c r="G107" s="297" t="s">
        <v>1170</v>
      </c>
      <c r="H107" s="406">
        <v>86.772727272727266</v>
      </c>
      <c r="I107" s="376" t="s">
        <v>1141</v>
      </c>
      <c r="J107" s="297">
        <v>6000</v>
      </c>
      <c r="K107" s="297">
        <v>12000</v>
      </c>
      <c r="L107" s="297">
        <v>84000</v>
      </c>
      <c r="M107" s="297">
        <v>84000</v>
      </c>
      <c r="N107" s="297"/>
      <c r="O107" s="406">
        <v>2.2272727272727271</v>
      </c>
      <c r="P107" s="406">
        <v>1.8818181818181816</v>
      </c>
      <c r="Q107" s="406">
        <v>1.4545454545454546</v>
      </c>
      <c r="R107" s="416">
        <v>0</v>
      </c>
      <c r="S107" s="406">
        <v>1.4363636363636363</v>
      </c>
      <c r="T107" s="406" t="s">
        <v>1142</v>
      </c>
      <c r="U107" s="406">
        <v>1.6636363636363636</v>
      </c>
      <c r="V107" s="406">
        <v>1.5999999999999999</v>
      </c>
      <c r="W107" s="406">
        <v>1.4545454545454546</v>
      </c>
      <c r="X107" s="416">
        <v>0</v>
      </c>
      <c r="Y107" s="406">
        <v>1.3909090909090909</v>
      </c>
      <c r="Z107" s="406" t="s">
        <v>1142</v>
      </c>
      <c r="AA107" s="406" t="s">
        <v>1142</v>
      </c>
      <c r="AB107" s="406" t="s">
        <v>1142</v>
      </c>
      <c r="AC107" s="406" t="s">
        <v>1142</v>
      </c>
      <c r="AD107" s="406" t="s">
        <v>1142</v>
      </c>
      <c r="AE107" s="406" t="s">
        <v>1142</v>
      </c>
      <c r="AF107" s="406" t="s">
        <v>1142</v>
      </c>
      <c r="AG107" s="299" t="s">
        <v>297</v>
      </c>
      <c r="AH107" s="299" t="s">
        <v>298</v>
      </c>
      <c r="AI107" s="299">
        <v>2</v>
      </c>
      <c r="AJ107" s="299">
        <v>4</v>
      </c>
      <c r="AK107" s="388">
        <v>0.33329999999999999</v>
      </c>
      <c r="AL107" s="388">
        <v>0.66659999999999997</v>
      </c>
      <c r="AM107" s="379" t="s">
        <v>1124</v>
      </c>
      <c r="AN107" s="299">
        <v>0</v>
      </c>
      <c r="AO107" s="299">
        <v>0</v>
      </c>
      <c r="AP107" s="299">
        <v>0</v>
      </c>
      <c r="AQ107" s="299">
        <v>0</v>
      </c>
      <c r="AR107" s="299">
        <v>0</v>
      </c>
      <c r="AS107" s="299">
        <v>0</v>
      </c>
      <c r="AT107" s="299">
        <v>0</v>
      </c>
      <c r="AU107" s="299">
        <v>0</v>
      </c>
      <c r="AV107" s="299">
        <v>0</v>
      </c>
      <c r="AW107" s="299">
        <v>0</v>
      </c>
      <c r="AX107" s="299">
        <v>0</v>
      </c>
      <c r="AY107" s="299">
        <v>0</v>
      </c>
      <c r="AZ107" s="297"/>
      <c r="BA107" s="299" t="s">
        <v>1145</v>
      </c>
      <c r="BB107" s="299"/>
      <c r="BC107" s="299" t="s">
        <v>1145</v>
      </c>
      <c r="BD107" s="299"/>
      <c r="BE107" s="299"/>
      <c r="BF107" s="299"/>
      <c r="BG107" s="378" t="s">
        <v>1171</v>
      </c>
      <c r="BH107" s="297" t="s">
        <v>365</v>
      </c>
      <c r="BI107" s="299">
        <v>50</v>
      </c>
      <c r="BJ107" s="299" t="s">
        <v>1164</v>
      </c>
      <c r="BK107" s="298"/>
      <c r="BL107" s="424" t="s">
        <v>1206</v>
      </c>
      <c r="BM107" s="379" t="s">
        <v>368</v>
      </c>
    </row>
    <row r="108" spans="1:65" x14ac:dyDescent="0.15">
      <c r="A108" s="148">
        <v>2218</v>
      </c>
      <c r="B108" s="328">
        <v>43692</v>
      </c>
      <c r="C108" s="296" t="s">
        <v>1138</v>
      </c>
      <c r="D108" s="379" t="s">
        <v>1114</v>
      </c>
      <c r="E108" s="309">
        <v>43647</v>
      </c>
      <c r="F108" s="297" t="s">
        <v>1173</v>
      </c>
      <c r="G108" s="379" t="s">
        <v>1174</v>
      </c>
      <c r="H108" s="406">
        <v>80</v>
      </c>
      <c r="I108" s="376" t="s">
        <v>1141</v>
      </c>
      <c r="J108" s="297">
        <v>6000</v>
      </c>
      <c r="K108" s="297">
        <v>12000</v>
      </c>
      <c r="L108" s="297">
        <v>84000</v>
      </c>
      <c r="M108" s="297">
        <v>84000</v>
      </c>
      <c r="N108" s="332"/>
      <c r="O108" s="406">
        <v>1.9363636363636361</v>
      </c>
      <c r="P108" s="406">
        <v>1.9272727272727272</v>
      </c>
      <c r="Q108" s="406">
        <v>1.8999999999999997</v>
      </c>
      <c r="R108" s="416">
        <v>0</v>
      </c>
      <c r="S108" s="406">
        <v>1.4090909090909089</v>
      </c>
      <c r="T108" s="406" t="s">
        <v>1142</v>
      </c>
      <c r="U108" s="406">
        <v>1.7727272727272725</v>
      </c>
      <c r="V108" s="406">
        <v>1.7545454545454544</v>
      </c>
      <c r="W108" s="406">
        <v>1.4181818181818182</v>
      </c>
      <c r="X108" s="416">
        <v>0</v>
      </c>
      <c r="Y108" s="406">
        <v>1.1090909090909089</v>
      </c>
      <c r="Z108" s="406" t="s">
        <v>1142</v>
      </c>
      <c r="AA108" s="406" t="s">
        <v>1142</v>
      </c>
      <c r="AB108" s="406" t="s">
        <v>1142</v>
      </c>
      <c r="AC108" s="406" t="s">
        <v>1142</v>
      </c>
      <c r="AD108" s="406" t="s">
        <v>1142</v>
      </c>
      <c r="AE108" s="406" t="s">
        <v>1142</v>
      </c>
      <c r="AF108" s="406" t="s">
        <v>1142</v>
      </c>
      <c r="AG108" s="333" t="s">
        <v>1143</v>
      </c>
      <c r="AH108" s="333" t="s">
        <v>1144</v>
      </c>
      <c r="AI108" s="299">
        <v>2</v>
      </c>
      <c r="AJ108" s="299">
        <v>4</v>
      </c>
      <c r="AK108" s="388">
        <v>0.33329999999999999</v>
      </c>
      <c r="AL108" s="388">
        <v>0.66659999999999997</v>
      </c>
      <c r="AM108" s="379" t="s">
        <v>1124</v>
      </c>
      <c r="AN108" s="299">
        <v>0</v>
      </c>
      <c r="AO108" s="299">
        <v>0</v>
      </c>
      <c r="AP108" s="299">
        <v>5</v>
      </c>
      <c r="AQ108" s="299">
        <v>0</v>
      </c>
      <c r="AR108" s="299">
        <v>0</v>
      </c>
      <c r="AS108" s="299">
        <v>0</v>
      </c>
      <c r="AT108" s="299">
        <v>0</v>
      </c>
      <c r="AU108" s="299">
        <v>0</v>
      </c>
      <c r="AV108" s="299">
        <v>0</v>
      </c>
      <c r="AW108" s="299">
        <v>0</v>
      </c>
      <c r="AX108" s="299">
        <v>0</v>
      </c>
      <c r="AY108" s="299">
        <v>0</v>
      </c>
      <c r="AZ108" s="299"/>
      <c r="BA108" s="299" t="s">
        <v>1145</v>
      </c>
      <c r="BB108" s="299">
        <v>12</v>
      </c>
      <c r="BC108" s="299" t="s">
        <v>1145</v>
      </c>
      <c r="BD108" s="299"/>
      <c r="BE108" s="299"/>
      <c r="BF108" s="299"/>
      <c r="BG108" s="298"/>
      <c r="BH108" s="297"/>
      <c r="BI108" s="299"/>
      <c r="BJ108" s="299" t="s">
        <v>1164</v>
      </c>
      <c r="BK108" s="298"/>
      <c r="BL108" s="297" t="s">
        <v>1233</v>
      </c>
      <c r="BM108" s="379" t="s">
        <v>368</v>
      </c>
    </row>
    <row r="109" spans="1:65" x14ac:dyDescent="0.15">
      <c r="A109" s="148">
        <v>1918</v>
      </c>
      <c r="B109" s="328">
        <v>43692</v>
      </c>
      <c r="C109" s="296" t="s">
        <v>1138</v>
      </c>
      <c r="D109" s="379" t="s">
        <v>1114</v>
      </c>
      <c r="E109" s="295">
        <v>43647</v>
      </c>
      <c r="F109" s="298" t="s">
        <v>987</v>
      </c>
      <c r="G109" s="297" t="s">
        <v>1127</v>
      </c>
      <c r="H109" s="406">
        <v>65.823999999999998</v>
      </c>
      <c r="I109" s="376" t="s">
        <v>1141</v>
      </c>
      <c r="J109" s="297">
        <v>6000</v>
      </c>
      <c r="K109" s="297">
        <v>12000</v>
      </c>
      <c r="L109" s="297">
        <v>12000</v>
      </c>
      <c r="M109" s="297">
        <v>12000</v>
      </c>
      <c r="N109" s="297"/>
      <c r="O109" s="406">
        <v>2.4140000000000001</v>
      </c>
      <c r="P109" s="406">
        <v>2.0739999999999998</v>
      </c>
      <c r="Q109" s="416">
        <v>0</v>
      </c>
      <c r="R109" s="416">
        <v>0</v>
      </c>
      <c r="S109" s="406">
        <v>1.5640000000000001</v>
      </c>
      <c r="T109" s="406" t="s">
        <v>1142</v>
      </c>
      <c r="U109" s="406">
        <v>1.7</v>
      </c>
      <c r="V109" s="406">
        <v>1.6659999999999999</v>
      </c>
      <c r="W109" s="416">
        <v>0</v>
      </c>
      <c r="X109" s="416">
        <v>0</v>
      </c>
      <c r="Y109" s="406">
        <v>1.5640000000000001</v>
      </c>
      <c r="Z109" s="406" t="s">
        <v>1142</v>
      </c>
      <c r="AA109" s="406" t="s">
        <v>1142</v>
      </c>
      <c r="AB109" s="406" t="s">
        <v>1142</v>
      </c>
      <c r="AC109" s="406" t="s">
        <v>1142</v>
      </c>
      <c r="AD109" s="406" t="s">
        <v>1142</v>
      </c>
      <c r="AE109" s="406" t="s">
        <v>1142</v>
      </c>
      <c r="AF109" s="406" t="s">
        <v>1142</v>
      </c>
      <c r="AG109" s="299" t="s">
        <v>1143</v>
      </c>
      <c r="AH109" s="299" t="s">
        <v>1144</v>
      </c>
      <c r="AI109" s="299">
        <v>2</v>
      </c>
      <c r="AJ109" s="299">
        <v>4</v>
      </c>
      <c r="AK109" s="388">
        <v>0.33329999999999999</v>
      </c>
      <c r="AL109" s="388">
        <v>0.66659999999999997</v>
      </c>
      <c r="AM109" s="379" t="s">
        <v>1124</v>
      </c>
      <c r="AN109" s="299">
        <v>0</v>
      </c>
      <c r="AO109" s="299">
        <v>0</v>
      </c>
      <c r="AP109" s="299">
        <v>0</v>
      </c>
      <c r="AQ109" s="299">
        <v>0</v>
      </c>
      <c r="AR109" s="299">
        <v>0</v>
      </c>
      <c r="AS109" s="299">
        <v>0</v>
      </c>
      <c r="AT109" s="299">
        <v>0</v>
      </c>
      <c r="AU109" s="299">
        <v>0</v>
      </c>
      <c r="AV109" s="299">
        <v>0</v>
      </c>
      <c r="AW109" s="299">
        <v>0</v>
      </c>
      <c r="AX109" s="299">
        <v>0</v>
      </c>
      <c r="AY109" s="299">
        <v>0</v>
      </c>
      <c r="AZ109" s="299"/>
      <c r="BA109" s="299" t="s">
        <v>1145</v>
      </c>
      <c r="BB109" s="299"/>
      <c r="BC109" s="299" t="s">
        <v>1145</v>
      </c>
      <c r="BD109" s="299"/>
      <c r="BE109" s="299"/>
      <c r="BF109" s="299"/>
      <c r="BG109" s="298"/>
      <c r="BH109" s="297"/>
      <c r="BI109" s="299"/>
      <c r="BJ109" s="299" t="s">
        <v>1146</v>
      </c>
      <c r="BK109" s="298" t="s">
        <v>370</v>
      </c>
      <c r="BL109" s="297" t="s">
        <v>1234</v>
      </c>
      <c r="BM109" s="379" t="s">
        <v>368</v>
      </c>
    </row>
    <row r="110" spans="1:65" x14ac:dyDescent="0.15">
      <c r="A110" s="148">
        <v>1689</v>
      </c>
      <c r="B110" s="328">
        <v>43692</v>
      </c>
      <c r="C110" s="296" t="s">
        <v>295</v>
      </c>
      <c r="D110" s="379" t="s">
        <v>1114</v>
      </c>
      <c r="E110" s="328">
        <v>43693</v>
      </c>
      <c r="F110" s="420" t="s">
        <v>1106</v>
      </c>
      <c r="G110" s="297" t="s">
        <v>2</v>
      </c>
      <c r="H110" s="406">
        <v>72</v>
      </c>
      <c r="I110" s="376" t="s">
        <v>296</v>
      </c>
      <c r="J110" s="297">
        <v>6000</v>
      </c>
      <c r="K110" s="297">
        <v>6000</v>
      </c>
      <c r="L110" s="297">
        <v>6000</v>
      </c>
      <c r="M110" s="297">
        <v>6000</v>
      </c>
      <c r="N110" s="297"/>
      <c r="O110" s="406">
        <v>2.12</v>
      </c>
      <c r="P110" s="416">
        <v>0</v>
      </c>
      <c r="Q110" s="416">
        <v>0</v>
      </c>
      <c r="R110" s="416">
        <v>0</v>
      </c>
      <c r="S110" s="406">
        <v>1.75</v>
      </c>
      <c r="T110" s="406" t="s">
        <v>1142</v>
      </c>
      <c r="U110" s="406">
        <v>1.72</v>
      </c>
      <c r="V110" s="416">
        <v>0</v>
      </c>
      <c r="W110" s="416">
        <v>0</v>
      </c>
      <c r="X110" s="416">
        <v>0</v>
      </c>
      <c r="Y110" s="406">
        <v>1.45</v>
      </c>
      <c r="Z110" s="406" t="s">
        <v>1142</v>
      </c>
      <c r="AA110" s="406" t="s">
        <v>1142</v>
      </c>
      <c r="AB110" s="406" t="s">
        <v>1142</v>
      </c>
      <c r="AC110" s="406" t="s">
        <v>1142</v>
      </c>
      <c r="AD110" s="406" t="s">
        <v>1142</v>
      </c>
      <c r="AE110" s="406" t="s">
        <v>1142</v>
      </c>
      <c r="AF110" s="406" t="s">
        <v>1142</v>
      </c>
      <c r="AG110" s="299" t="s">
        <v>1143</v>
      </c>
      <c r="AH110" s="299" t="s">
        <v>1144</v>
      </c>
      <c r="AI110" s="299">
        <v>2</v>
      </c>
      <c r="AJ110" s="299">
        <v>4</v>
      </c>
      <c r="AK110" s="388">
        <v>0.33329999999999999</v>
      </c>
      <c r="AL110" s="388">
        <v>0.66659999999999997</v>
      </c>
      <c r="AM110" s="379" t="s">
        <v>1124</v>
      </c>
      <c r="AN110" s="299">
        <v>0</v>
      </c>
      <c r="AO110" s="299">
        <v>0</v>
      </c>
      <c r="AP110" s="299">
        <v>5</v>
      </c>
      <c r="AQ110" s="299">
        <v>0</v>
      </c>
      <c r="AR110" s="299">
        <v>0</v>
      </c>
      <c r="AS110" s="299">
        <v>0</v>
      </c>
      <c r="AT110" s="299">
        <v>0</v>
      </c>
      <c r="AU110" s="299">
        <v>0</v>
      </c>
      <c r="AV110" s="299">
        <v>0</v>
      </c>
      <c r="AW110" s="299">
        <v>0</v>
      </c>
      <c r="AX110" s="299">
        <v>0</v>
      </c>
      <c r="AY110" s="299">
        <v>0</v>
      </c>
      <c r="AZ110" s="299"/>
      <c r="BA110" s="299" t="s">
        <v>1145</v>
      </c>
      <c r="BB110" s="299"/>
      <c r="BC110" s="299" t="s">
        <v>1145</v>
      </c>
      <c r="BD110" s="299"/>
      <c r="BE110" s="299"/>
      <c r="BF110" s="298"/>
      <c r="BG110" s="297"/>
      <c r="BH110" s="299"/>
      <c r="BI110" s="299"/>
      <c r="BJ110" s="299" t="s">
        <v>1146</v>
      </c>
      <c r="BK110" s="297" t="s">
        <v>370</v>
      </c>
      <c r="BL110" s="297" t="s">
        <v>1235</v>
      </c>
      <c r="BM110" s="379" t="s">
        <v>368</v>
      </c>
    </row>
    <row r="111" spans="1:65" x14ac:dyDescent="0.15">
      <c r="A111" s="148">
        <v>2210</v>
      </c>
      <c r="B111" s="328">
        <v>43692</v>
      </c>
      <c r="C111" s="296" t="s">
        <v>1138</v>
      </c>
      <c r="D111" s="379" t="s">
        <v>1114</v>
      </c>
      <c r="E111" s="309">
        <v>43646</v>
      </c>
      <c r="F111" s="297" t="s">
        <v>34</v>
      </c>
      <c r="G111" s="379" t="s">
        <v>1178</v>
      </c>
      <c r="H111" s="406">
        <v>93.56</v>
      </c>
      <c r="I111" s="394"/>
      <c r="J111" s="394"/>
      <c r="K111" s="394"/>
      <c r="L111" s="332"/>
      <c r="M111" s="332"/>
      <c r="N111" s="332"/>
      <c r="O111" s="406">
        <v>1.76</v>
      </c>
      <c r="P111" s="416">
        <v>0</v>
      </c>
      <c r="Q111" s="416">
        <v>0</v>
      </c>
      <c r="R111" s="416">
        <v>0</v>
      </c>
      <c r="S111" s="416">
        <v>0</v>
      </c>
      <c r="T111" s="406" t="s">
        <v>1142</v>
      </c>
      <c r="U111" s="406">
        <v>1.45</v>
      </c>
      <c r="V111" s="416">
        <v>0</v>
      </c>
      <c r="W111" s="416">
        <v>0</v>
      </c>
      <c r="X111" s="416">
        <v>0</v>
      </c>
      <c r="Y111" s="416">
        <v>0</v>
      </c>
      <c r="Z111" s="406" t="s">
        <v>1142</v>
      </c>
      <c r="AA111" s="406" t="s">
        <v>1142</v>
      </c>
      <c r="AB111" s="406" t="s">
        <v>1142</v>
      </c>
      <c r="AC111" s="406" t="s">
        <v>1142</v>
      </c>
      <c r="AD111" s="406" t="s">
        <v>1142</v>
      </c>
      <c r="AE111" s="406" t="s">
        <v>1142</v>
      </c>
      <c r="AF111" s="406" t="s">
        <v>1142</v>
      </c>
      <c r="AG111" s="333" t="s">
        <v>1143</v>
      </c>
      <c r="AH111" s="333" t="s">
        <v>1144</v>
      </c>
      <c r="AI111" s="299">
        <v>2</v>
      </c>
      <c r="AJ111" s="299">
        <v>4</v>
      </c>
      <c r="AK111" s="388">
        <v>0.33329999999999999</v>
      </c>
      <c r="AL111" s="388">
        <v>0.66659999999999997</v>
      </c>
      <c r="AM111" s="379" t="s">
        <v>1124</v>
      </c>
      <c r="AN111" s="299">
        <v>0</v>
      </c>
      <c r="AO111" s="299">
        <v>0</v>
      </c>
      <c r="AP111" s="299">
        <v>5</v>
      </c>
      <c r="AQ111" s="299">
        <v>0</v>
      </c>
      <c r="AR111" s="299">
        <v>0</v>
      </c>
      <c r="AS111" s="299">
        <v>0</v>
      </c>
      <c r="AT111" s="299">
        <v>0</v>
      </c>
      <c r="AU111" s="299">
        <v>0</v>
      </c>
      <c r="AV111" s="299">
        <v>0</v>
      </c>
      <c r="AW111" s="299">
        <v>0</v>
      </c>
      <c r="AX111" s="299">
        <v>0</v>
      </c>
      <c r="AY111" s="299">
        <v>0</v>
      </c>
      <c r="AZ111" s="299"/>
      <c r="BA111" s="299" t="s">
        <v>1145</v>
      </c>
      <c r="BB111" s="299"/>
      <c r="BC111" s="299" t="s">
        <v>1145</v>
      </c>
      <c r="BD111" s="299"/>
      <c r="BE111" s="299"/>
      <c r="BF111" s="299"/>
      <c r="BG111" s="298"/>
      <c r="BH111" s="297"/>
      <c r="BI111" s="299"/>
      <c r="BJ111" s="299" t="s">
        <v>1164</v>
      </c>
      <c r="BK111" s="298" t="s">
        <v>47</v>
      </c>
      <c r="BL111" s="297" t="s">
        <v>1236</v>
      </c>
      <c r="BM111" s="379" t="s">
        <v>368</v>
      </c>
    </row>
    <row r="112" spans="1:65" x14ac:dyDescent="0.15">
      <c r="A112" s="148">
        <v>2059</v>
      </c>
      <c r="B112" s="328">
        <v>43692</v>
      </c>
      <c r="C112" s="296" t="s">
        <v>1138</v>
      </c>
      <c r="D112" s="379" t="s">
        <v>1114</v>
      </c>
      <c r="E112" s="295">
        <v>43646</v>
      </c>
      <c r="F112" s="378" t="s">
        <v>1180</v>
      </c>
      <c r="G112" s="379" t="s">
        <v>1181</v>
      </c>
      <c r="H112" s="406">
        <v>95.681818181818173</v>
      </c>
      <c r="I112" s="376"/>
      <c r="J112" s="331"/>
      <c r="K112" s="297"/>
      <c r="L112" s="297"/>
      <c r="M112" s="297"/>
      <c r="N112" s="297"/>
      <c r="O112" s="406">
        <v>1.7999999999999998</v>
      </c>
      <c r="P112" s="416">
        <v>0</v>
      </c>
      <c r="Q112" s="416">
        <v>0</v>
      </c>
      <c r="R112" s="416">
        <v>0</v>
      </c>
      <c r="S112" s="416">
        <v>0</v>
      </c>
      <c r="T112" s="406" t="s">
        <v>1142</v>
      </c>
      <c r="U112" s="406">
        <v>1.4818181818181817</v>
      </c>
      <c r="V112" s="416">
        <v>0</v>
      </c>
      <c r="W112" s="416">
        <v>0</v>
      </c>
      <c r="X112" s="416">
        <v>0</v>
      </c>
      <c r="Y112" s="416">
        <v>0</v>
      </c>
      <c r="Z112" s="406" t="s">
        <v>1142</v>
      </c>
      <c r="AA112" s="406" t="s">
        <v>1142</v>
      </c>
      <c r="AB112" s="406" t="s">
        <v>1142</v>
      </c>
      <c r="AC112" s="406" t="s">
        <v>1142</v>
      </c>
      <c r="AD112" s="406" t="s">
        <v>1142</v>
      </c>
      <c r="AE112" s="406" t="s">
        <v>1142</v>
      </c>
      <c r="AF112" s="406" t="s">
        <v>1142</v>
      </c>
      <c r="AG112" s="299" t="s">
        <v>1143</v>
      </c>
      <c r="AH112" s="299" t="s">
        <v>1144</v>
      </c>
      <c r="AI112" s="299">
        <v>2</v>
      </c>
      <c r="AJ112" s="299">
        <v>4</v>
      </c>
      <c r="AK112" s="388">
        <v>0.33329999999999999</v>
      </c>
      <c r="AL112" s="388">
        <v>0.66659999999999997</v>
      </c>
      <c r="AM112" s="379" t="s">
        <v>1124</v>
      </c>
      <c r="AN112" s="299">
        <v>0</v>
      </c>
      <c r="AO112" s="299">
        <v>0</v>
      </c>
      <c r="AP112" s="299">
        <v>0</v>
      </c>
      <c r="AQ112" s="299">
        <v>0</v>
      </c>
      <c r="AR112" s="299">
        <v>0</v>
      </c>
      <c r="AS112" s="299">
        <v>0</v>
      </c>
      <c r="AT112" s="299">
        <v>0</v>
      </c>
      <c r="AU112" s="299">
        <v>0</v>
      </c>
      <c r="AV112" s="299">
        <v>0</v>
      </c>
      <c r="AW112" s="299">
        <v>0</v>
      </c>
      <c r="AX112" s="299">
        <v>0</v>
      </c>
      <c r="AY112" s="299">
        <v>0</v>
      </c>
      <c r="AZ112" s="299"/>
      <c r="BA112" s="299" t="s">
        <v>1145</v>
      </c>
      <c r="BB112" s="299"/>
      <c r="BC112" s="299" t="s">
        <v>1145</v>
      </c>
      <c r="BD112" s="299"/>
      <c r="BE112" s="299"/>
      <c r="BF112" s="299"/>
      <c r="BG112" s="298"/>
      <c r="BH112" s="297"/>
      <c r="BI112" s="299"/>
      <c r="BJ112" s="299" t="s">
        <v>1164</v>
      </c>
      <c r="BK112" s="298" t="s">
        <v>1182</v>
      </c>
      <c r="BL112" s="379" t="s">
        <v>1237</v>
      </c>
      <c r="BM112" s="379" t="s">
        <v>368</v>
      </c>
    </row>
    <row r="113" spans="1:66" x14ac:dyDescent="0.15">
      <c r="A113" s="148">
        <v>1357</v>
      </c>
      <c r="B113" s="328">
        <v>43692</v>
      </c>
      <c r="C113" s="296" t="s">
        <v>1138</v>
      </c>
      <c r="D113" s="379" t="s">
        <v>1115</v>
      </c>
      <c r="E113" s="295">
        <v>43647</v>
      </c>
      <c r="F113" s="298" t="s">
        <v>1139</v>
      </c>
      <c r="G113" s="297" t="s">
        <v>1140</v>
      </c>
      <c r="H113" s="406">
        <v>82.9</v>
      </c>
      <c r="I113" s="376" t="s">
        <v>1141</v>
      </c>
      <c r="J113" s="297">
        <v>6000</v>
      </c>
      <c r="K113" s="297">
        <v>12000</v>
      </c>
      <c r="L113" s="297">
        <v>84000</v>
      </c>
      <c r="M113" s="297">
        <v>84000</v>
      </c>
      <c r="N113" s="297"/>
      <c r="O113" s="406">
        <v>1.9909090909090907</v>
      </c>
      <c r="P113" s="406">
        <v>1.9272727272727272</v>
      </c>
      <c r="Q113" s="406">
        <v>1.2818181818181817</v>
      </c>
      <c r="R113" s="416">
        <v>0</v>
      </c>
      <c r="S113" s="406">
        <v>1.2363636363636363</v>
      </c>
      <c r="T113" s="406" t="s">
        <v>1142</v>
      </c>
      <c r="U113" s="406">
        <v>1.8181818181818181</v>
      </c>
      <c r="V113" s="406">
        <v>1.4181818181818182</v>
      </c>
      <c r="W113" s="406">
        <v>1.2727272727272725</v>
      </c>
      <c r="X113" s="416">
        <v>0</v>
      </c>
      <c r="Y113" s="406">
        <v>1.1545454545454545</v>
      </c>
      <c r="Z113" s="406" t="s">
        <v>1142</v>
      </c>
      <c r="AA113" s="406" t="s">
        <v>1142</v>
      </c>
      <c r="AB113" s="406" t="s">
        <v>1142</v>
      </c>
      <c r="AC113" s="406" t="s">
        <v>1142</v>
      </c>
      <c r="AD113" s="406" t="s">
        <v>1142</v>
      </c>
      <c r="AE113" s="406" t="s">
        <v>1142</v>
      </c>
      <c r="AF113" s="406" t="s">
        <v>1142</v>
      </c>
      <c r="AG113" s="299" t="s">
        <v>1143</v>
      </c>
      <c r="AH113" s="299" t="s">
        <v>1144</v>
      </c>
      <c r="AI113" s="299">
        <v>2</v>
      </c>
      <c r="AJ113" s="299">
        <v>4</v>
      </c>
      <c r="AK113" s="388">
        <v>0.33329999999999999</v>
      </c>
      <c r="AL113" s="388">
        <v>0.66659999999999997</v>
      </c>
      <c r="AM113" s="379" t="s">
        <v>1124</v>
      </c>
      <c r="AN113" s="299">
        <v>0</v>
      </c>
      <c r="AO113" s="299">
        <v>0</v>
      </c>
      <c r="AP113" s="299">
        <v>0</v>
      </c>
      <c r="AQ113" s="299">
        <v>0</v>
      </c>
      <c r="AR113" s="299">
        <v>0</v>
      </c>
      <c r="AS113" s="299">
        <v>0</v>
      </c>
      <c r="AT113" s="299">
        <v>0</v>
      </c>
      <c r="AU113" s="299">
        <v>0</v>
      </c>
      <c r="AV113" s="299">
        <v>0</v>
      </c>
      <c r="AW113" s="299">
        <v>0</v>
      </c>
      <c r="AX113" s="299">
        <v>0</v>
      </c>
      <c r="AY113" s="299">
        <v>0</v>
      </c>
      <c r="AZ113" s="299"/>
      <c r="BA113" s="299" t="s">
        <v>1145</v>
      </c>
      <c r="BB113" s="299">
        <v>12</v>
      </c>
      <c r="BC113" s="299" t="s">
        <v>1145</v>
      </c>
      <c r="BD113" s="299"/>
      <c r="BE113" s="299">
        <v>12</v>
      </c>
      <c r="BF113" s="299"/>
      <c r="BG113" s="298"/>
      <c r="BH113" s="297"/>
      <c r="BI113" s="299"/>
      <c r="BJ113" s="299" t="s">
        <v>1146</v>
      </c>
      <c r="BK113" s="378"/>
      <c r="BL113" s="379" t="s">
        <v>1238</v>
      </c>
      <c r="BM113" s="379" t="s">
        <v>368</v>
      </c>
    </row>
    <row r="114" spans="1:66" x14ac:dyDescent="0.15">
      <c r="A114" s="148">
        <v>2188</v>
      </c>
      <c r="B114" s="328">
        <v>43692</v>
      </c>
      <c r="C114" s="296" t="s">
        <v>1138</v>
      </c>
      <c r="D114" s="379" t="s">
        <v>1115</v>
      </c>
      <c r="E114" s="328">
        <v>43647</v>
      </c>
      <c r="F114" s="298" t="s">
        <v>1148</v>
      </c>
      <c r="G114" s="379" t="s">
        <v>1149</v>
      </c>
      <c r="H114" s="406">
        <v>88</v>
      </c>
      <c r="I114" s="376" t="s">
        <v>1141</v>
      </c>
      <c r="J114" s="331">
        <v>6000</v>
      </c>
      <c r="K114" s="331">
        <v>6000</v>
      </c>
      <c r="L114" s="331">
        <v>6000</v>
      </c>
      <c r="M114" s="331">
        <v>6000</v>
      </c>
      <c r="N114" s="297"/>
      <c r="O114" s="406">
        <v>2.3636363636363633</v>
      </c>
      <c r="P114" s="416">
        <v>0</v>
      </c>
      <c r="Q114" s="416">
        <v>0</v>
      </c>
      <c r="R114" s="416">
        <v>0</v>
      </c>
      <c r="S114" s="406">
        <v>1.8181818181818181</v>
      </c>
      <c r="T114" s="406" t="s">
        <v>1142</v>
      </c>
      <c r="U114" s="406">
        <v>2.1818181818181817</v>
      </c>
      <c r="V114" s="416">
        <v>0</v>
      </c>
      <c r="W114" s="416">
        <v>0</v>
      </c>
      <c r="X114" s="416">
        <v>0</v>
      </c>
      <c r="Y114" s="406">
        <v>1.7272727272727271</v>
      </c>
      <c r="Z114" s="406" t="s">
        <v>1142</v>
      </c>
      <c r="AA114" s="406" t="s">
        <v>1142</v>
      </c>
      <c r="AB114" s="406" t="s">
        <v>1142</v>
      </c>
      <c r="AC114" s="406" t="s">
        <v>1142</v>
      </c>
      <c r="AD114" s="406" t="s">
        <v>1142</v>
      </c>
      <c r="AE114" s="406" t="s">
        <v>1142</v>
      </c>
      <c r="AF114" s="406" t="s">
        <v>1142</v>
      </c>
      <c r="AG114" s="299" t="s">
        <v>1143</v>
      </c>
      <c r="AH114" s="299" t="s">
        <v>1144</v>
      </c>
      <c r="AI114" s="299">
        <v>2</v>
      </c>
      <c r="AJ114" s="299">
        <v>4</v>
      </c>
      <c r="AK114" s="388">
        <v>0.33329999999999999</v>
      </c>
      <c r="AL114" s="388">
        <v>0.66659999999999997</v>
      </c>
      <c r="AM114" s="379" t="s">
        <v>1124</v>
      </c>
      <c r="AN114" s="299">
        <v>0</v>
      </c>
      <c r="AO114" s="299">
        <v>0</v>
      </c>
      <c r="AP114" s="299">
        <v>0</v>
      </c>
      <c r="AQ114" s="299">
        <v>0</v>
      </c>
      <c r="AR114" s="299">
        <v>0</v>
      </c>
      <c r="AS114" s="299">
        <v>0</v>
      </c>
      <c r="AT114" s="299">
        <v>0</v>
      </c>
      <c r="AU114" s="299">
        <v>0</v>
      </c>
      <c r="AV114" s="299">
        <v>0</v>
      </c>
      <c r="AW114" s="299">
        <v>0</v>
      </c>
      <c r="AX114" s="299">
        <v>0</v>
      </c>
      <c r="AY114" s="299">
        <v>0</v>
      </c>
      <c r="AZ114" s="297"/>
      <c r="BA114" s="299" t="s">
        <v>1145</v>
      </c>
      <c r="BB114" s="299"/>
      <c r="BC114" s="299" t="s">
        <v>1145</v>
      </c>
      <c r="BD114" s="299"/>
      <c r="BE114" s="299"/>
      <c r="BF114" s="299"/>
      <c r="BG114" s="298" t="s">
        <v>1150</v>
      </c>
      <c r="BH114" s="297" t="s">
        <v>365</v>
      </c>
      <c r="BI114" s="407">
        <v>100</v>
      </c>
      <c r="BJ114" s="299" t="s">
        <v>411</v>
      </c>
      <c r="BK114" s="298"/>
      <c r="BL114" s="379" t="s">
        <v>1151</v>
      </c>
      <c r="BM114" s="379" t="s">
        <v>368</v>
      </c>
    </row>
    <row r="115" spans="1:66" x14ac:dyDescent="0.15">
      <c r="A115" s="148">
        <v>2203</v>
      </c>
      <c r="B115" s="328">
        <v>43692</v>
      </c>
      <c r="C115" s="296" t="s">
        <v>1138</v>
      </c>
      <c r="D115" s="379" t="s">
        <v>1115</v>
      </c>
      <c r="E115" s="295">
        <v>43647</v>
      </c>
      <c r="F115" s="298" t="s">
        <v>1152</v>
      </c>
      <c r="G115" s="379" t="s">
        <v>1153</v>
      </c>
      <c r="H115" s="406">
        <v>71.636363636363626</v>
      </c>
      <c r="I115" s="376" t="s">
        <v>1141</v>
      </c>
      <c r="J115" s="297">
        <v>6000</v>
      </c>
      <c r="K115" s="297">
        <v>12000</v>
      </c>
      <c r="L115" s="297">
        <v>12000</v>
      </c>
      <c r="M115" s="297">
        <v>12000</v>
      </c>
      <c r="N115" s="297"/>
      <c r="O115" s="406">
        <v>2.627272727272727</v>
      </c>
      <c r="P115" s="406">
        <v>2.2545454545454544</v>
      </c>
      <c r="Q115" s="416">
        <v>0</v>
      </c>
      <c r="R115" s="416">
        <v>0</v>
      </c>
      <c r="S115" s="406">
        <v>1.7</v>
      </c>
      <c r="T115" s="406" t="s">
        <v>1142</v>
      </c>
      <c r="U115" s="406">
        <v>1.8545454545454545</v>
      </c>
      <c r="V115" s="406">
        <v>1.8090909090909089</v>
      </c>
      <c r="W115" s="416">
        <v>0</v>
      </c>
      <c r="X115" s="416">
        <v>0</v>
      </c>
      <c r="Y115" s="406">
        <v>1.7</v>
      </c>
      <c r="Z115" s="406" t="s">
        <v>1142</v>
      </c>
      <c r="AA115" s="406" t="s">
        <v>1142</v>
      </c>
      <c r="AB115" s="406" t="s">
        <v>1142</v>
      </c>
      <c r="AC115" s="406" t="s">
        <v>1142</v>
      </c>
      <c r="AD115" s="406" t="s">
        <v>1142</v>
      </c>
      <c r="AE115" s="406" t="s">
        <v>1142</v>
      </c>
      <c r="AF115" s="406" t="s">
        <v>1142</v>
      </c>
      <c r="AG115" s="299" t="s">
        <v>1143</v>
      </c>
      <c r="AH115" s="299" t="s">
        <v>1144</v>
      </c>
      <c r="AI115" s="299">
        <v>2</v>
      </c>
      <c r="AJ115" s="299">
        <v>4</v>
      </c>
      <c r="AK115" s="388">
        <v>0.33329999999999999</v>
      </c>
      <c r="AL115" s="388">
        <v>0.66659999999999997</v>
      </c>
      <c r="AM115" s="379" t="s">
        <v>1124</v>
      </c>
      <c r="AN115" s="299">
        <v>0</v>
      </c>
      <c r="AO115" s="299">
        <v>0</v>
      </c>
      <c r="AP115" s="299">
        <v>0</v>
      </c>
      <c r="AQ115" s="299">
        <v>0</v>
      </c>
      <c r="AR115" s="299">
        <v>0</v>
      </c>
      <c r="AS115" s="299">
        <v>0</v>
      </c>
      <c r="AT115" s="299">
        <v>0</v>
      </c>
      <c r="AU115" s="299">
        <v>0</v>
      </c>
      <c r="AV115" s="299">
        <v>0</v>
      </c>
      <c r="AW115" s="299">
        <v>0</v>
      </c>
      <c r="AX115" s="299">
        <v>0</v>
      </c>
      <c r="AY115" s="299">
        <v>0</v>
      </c>
      <c r="AZ115" s="297"/>
      <c r="BA115" s="299" t="s">
        <v>1145</v>
      </c>
      <c r="BB115" s="299"/>
      <c r="BC115" s="299" t="s">
        <v>1145</v>
      </c>
      <c r="BD115" s="299"/>
      <c r="BE115" s="299"/>
      <c r="BF115" s="299"/>
      <c r="BG115" s="298"/>
      <c r="BH115" s="297"/>
      <c r="BI115" s="299"/>
      <c r="BJ115" s="299" t="s">
        <v>1146</v>
      </c>
      <c r="BK115" s="298" t="s">
        <v>370</v>
      </c>
      <c r="BL115" s="379" t="s">
        <v>1239</v>
      </c>
      <c r="BM115" s="379" t="s">
        <v>368</v>
      </c>
    </row>
    <row r="116" spans="1:66" x14ac:dyDescent="0.15">
      <c r="A116" s="148">
        <v>1141</v>
      </c>
      <c r="B116" s="328">
        <v>43481</v>
      </c>
      <c r="C116" s="296" t="s">
        <v>10</v>
      </c>
      <c r="D116" s="379" t="s">
        <v>1115</v>
      </c>
      <c r="E116" s="295">
        <v>43466</v>
      </c>
      <c r="F116" s="298" t="s">
        <v>18</v>
      </c>
      <c r="G116" s="297" t="s">
        <v>418</v>
      </c>
      <c r="H116" s="297">
        <v>85</v>
      </c>
      <c r="I116" s="376" t="s">
        <v>1101</v>
      </c>
      <c r="J116" s="297">
        <v>6000</v>
      </c>
      <c r="K116" s="297">
        <v>12000</v>
      </c>
      <c r="L116" s="297">
        <v>84000</v>
      </c>
      <c r="M116" s="297">
        <v>84000</v>
      </c>
      <c r="N116" s="297"/>
      <c r="O116" s="416">
        <v>2.87</v>
      </c>
      <c r="P116" s="416">
        <v>2.5499999999999998</v>
      </c>
      <c r="Q116" s="416">
        <v>2.1</v>
      </c>
      <c r="R116" s="416">
        <v>0</v>
      </c>
      <c r="S116" s="416">
        <v>1.8</v>
      </c>
      <c r="T116" s="416"/>
      <c r="U116" s="416">
        <v>2.4</v>
      </c>
      <c r="V116" s="416">
        <v>2.2000000000000002</v>
      </c>
      <c r="W116" s="416">
        <v>2</v>
      </c>
      <c r="X116" s="416">
        <v>0</v>
      </c>
      <c r="Y116" s="416">
        <v>1.6</v>
      </c>
      <c r="Z116" s="337"/>
      <c r="AB116" s="297"/>
      <c r="AC116" s="297"/>
      <c r="AD116" s="297"/>
      <c r="AE116" s="297"/>
      <c r="AF116" s="297"/>
      <c r="AG116" s="299" t="s">
        <v>1116</v>
      </c>
      <c r="AH116" s="299" t="s">
        <v>1117</v>
      </c>
      <c r="AI116" s="299">
        <v>3</v>
      </c>
      <c r="AJ116" s="299">
        <v>3</v>
      </c>
      <c r="AK116" s="388">
        <v>0.5</v>
      </c>
      <c r="AL116" s="388">
        <v>0.5</v>
      </c>
      <c r="AM116" s="366" t="s">
        <v>1124</v>
      </c>
      <c r="AN116" s="299">
        <v>0</v>
      </c>
      <c r="AO116" s="299">
        <v>0</v>
      </c>
      <c r="AP116" s="299">
        <v>0</v>
      </c>
      <c r="AQ116" s="299">
        <v>16</v>
      </c>
      <c r="AR116" s="299">
        <v>0</v>
      </c>
      <c r="AS116" s="299">
        <v>0</v>
      </c>
      <c r="AT116" s="299">
        <v>0</v>
      </c>
      <c r="AU116" s="299">
        <v>0</v>
      </c>
      <c r="AV116" s="299">
        <v>0</v>
      </c>
      <c r="AW116" s="299">
        <v>0</v>
      </c>
      <c r="AX116" s="299">
        <v>0</v>
      </c>
      <c r="AY116" s="299">
        <v>0</v>
      </c>
      <c r="AZ116" s="299"/>
      <c r="BA116" s="299" t="s">
        <v>38</v>
      </c>
      <c r="BB116" s="299"/>
      <c r="BC116" s="299" t="s">
        <v>38</v>
      </c>
      <c r="BD116" s="299"/>
      <c r="BE116" s="298"/>
      <c r="BF116" s="297"/>
      <c r="BG116" s="299"/>
      <c r="BJ116" s="299" t="s">
        <v>41</v>
      </c>
      <c r="BK116" s="298" t="s">
        <v>370</v>
      </c>
      <c r="BL116" s="366" t="s">
        <v>430</v>
      </c>
      <c r="BM116" s="366" t="s">
        <v>408</v>
      </c>
    </row>
    <row r="117" spans="1:66" x14ac:dyDescent="0.15">
      <c r="A117" s="148"/>
      <c r="B117" s="405">
        <v>43706</v>
      </c>
      <c r="C117" s="296" t="s">
        <v>10</v>
      </c>
      <c r="D117" s="379" t="s">
        <v>1115</v>
      </c>
      <c r="E117" s="295">
        <v>43647</v>
      </c>
      <c r="F117" s="415" t="s">
        <v>19</v>
      </c>
      <c r="G117" s="297" t="s">
        <v>20</v>
      </c>
      <c r="H117" s="297">
        <v>72.55</v>
      </c>
      <c r="I117" s="376" t="s">
        <v>1101</v>
      </c>
      <c r="J117" s="297">
        <v>6000</v>
      </c>
      <c r="K117" s="297">
        <v>12000</v>
      </c>
      <c r="L117" s="297">
        <v>84000</v>
      </c>
      <c r="M117" s="297">
        <v>84000</v>
      </c>
      <c r="N117" s="297"/>
      <c r="O117" s="416">
        <v>2.6545454545454543</v>
      </c>
      <c r="P117" s="416">
        <v>2.2999999999999998</v>
      </c>
      <c r="Q117" s="417">
        <v>1.7999999999999998</v>
      </c>
      <c r="R117" s="416">
        <v>0</v>
      </c>
      <c r="S117" s="340">
        <v>1.7999999999999998</v>
      </c>
      <c r="T117" s="416"/>
      <c r="U117" s="416">
        <v>2</v>
      </c>
      <c r="V117" s="416">
        <v>1.9545454545454544</v>
      </c>
      <c r="W117" s="406">
        <v>1.7999999999999998</v>
      </c>
      <c r="X117" s="416">
        <v>0</v>
      </c>
      <c r="Y117" s="340">
        <v>1.7</v>
      </c>
      <c r="Z117" s="297"/>
      <c r="AA117" s="297"/>
      <c r="AB117" s="297"/>
      <c r="AC117" s="297"/>
      <c r="AD117" s="297"/>
      <c r="AE117" s="297"/>
      <c r="AF117" s="297"/>
      <c r="AG117" s="299" t="s">
        <v>1116</v>
      </c>
      <c r="AH117" s="299" t="s">
        <v>1117</v>
      </c>
      <c r="AI117" s="299">
        <v>2</v>
      </c>
      <c r="AJ117" s="299">
        <v>4</v>
      </c>
      <c r="AK117" s="388">
        <v>0.33329999999999999</v>
      </c>
      <c r="AL117" s="388">
        <v>0.66659999999999997</v>
      </c>
      <c r="AM117" s="379"/>
      <c r="AN117" s="299">
        <v>0</v>
      </c>
      <c r="AO117" s="299">
        <v>0</v>
      </c>
      <c r="AP117" s="299">
        <v>0</v>
      </c>
      <c r="AQ117" s="299">
        <v>20</v>
      </c>
      <c r="AR117" s="299">
        <v>0</v>
      </c>
      <c r="AS117" s="299">
        <v>0</v>
      </c>
      <c r="AT117" s="299">
        <v>0</v>
      </c>
      <c r="AU117" s="299">
        <v>0</v>
      </c>
      <c r="AV117" s="299">
        <v>0</v>
      </c>
      <c r="AW117" s="299">
        <v>0</v>
      </c>
      <c r="AX117" s="299">
        <v>0</v>
      </c>
      <c r="AY117" s="299">
        <v>0</v>
      </c>
      <c r="AZ117" s="297"/>
      <c r="BA117" s="299" t="s">
        <v>38</v>
      </c>
      <c r="BB117" s="299"/>
      <c r="BC117" s="299" t="s">
        <v>38</v>
      </c>
      <c r="BD117" s="299"/>
      <c r="BE117" s="298"/>
      <c r="BF117" s="297"/>
      <c r="BG117" s="299"/>
      <c r="BJ117" s="299" t="s">
        <v>43</v>
      </c>
      <c r="BK117" s="298"/>
      <c r="BL117" s="366" t="s">
        <v>1230</v>
      </c>
      <c r="BM117" s="366" t="s">
        <v>1121</v>
      </c>
    </row>
    <row r="118" spans="1:66" x14ac:dyDescent="0.15">
      <c r="A118" s="148">
        <v>2119</v>
      </c>
      <c r="B118" s="328">
        <v>43692</v>
      </c>
      <c r="C118" s="296" t="s">
        <v>1138</v>
      </c>
      <c r="D118" s="379" t="s">
        <v>1115</v>
      </c>
      <c r="E118" s="295">
        <v>43647</v>
      </c>
      <c r="F118" s="298" t="s">
        <v>1156</v>
      </c>
      <c r="G118" s="379" t="s">
        <v>1157</v>
      </c>
      <c r="H118" s="406">
        <v>94.7</v>
      </c>
      <c r="I118" s="376" t="s">
        <v>1141</v>
      </c>
      <c r="J118" s="331">
        <v>12000</v>
      </c>
      <c r="K118" s="331">
        <v>12000</v>
      </c>
      <c r="L118" s="331">
        <v>12000</v>
      </c>
      <c r="M118" s="331">
        <v>12000</v>
      </c>
      <c r="N118" s="297"/>
      <c r="O118" s="406">
        <v>2.74</v>
      </c>
      <c r="P118" s="416">
        <v>0</v>
      </c>
      <c r="Q118" s="416">
        <v>0</v>
      </c>
      <c r="R118" s="416">
        <v>0</v>
      </c>
      <c r="S118" s="406">
        <v>1.77</v>
      </c>
      <c r="T118" s="406" t="s">
        <v>1142</v>
      </c>
      <c r="U118" s="406">
        <v>2.0099999999999998</v>
      </c>
      <c r="V118" s="416">
        <v>0</v>
      </c>
      <c r="W118" s="416">
        <v>0</v>
      </c>
      <c r="X118" s="416">
        <v>0</v>
      </c>
      <c r="Y118" s="406">
        <v>2.0099999999999998</v>
      </c>
      <c r="Z118" s="406" t="s">
        <v>1142</v>
      </c>
      <c r="AA118" s="406" t="s">
        <v>1142</v>
      </c>
      <c r="AB118" s="406" t="s">
        <v>1142</v>
      </c>
      <c r="AC118" s="406" t="s">
        <v>1142</v>
      </c>
      <c r="AD118" s="406" t="s">
        <v>1142</v>
      </c>
      <c r="AE118" s="406" t="s">
        <v>1142</v>
      </c>
      <c r="AF118" s="406" t="s">
        <v>1142</v>
      </c>
      <c r="AG118" s="299" t="s">
        <v>1143</v>
      </c>
      <c r="AH118" s="299" t="s">
        <v>1144</v>
      </c>
      <c r="AI118" s="299">
        <v>2</v>
      </c>
      <c r="AJ118" s="299">
        <v>4</v>
      </c>
      <c r="AK118" s="388">
        <v>0.33329999999999999</v>
      </c>
      <c r="AL118" s="388">
        <v>0.66659999999999997</v>
      </c>
      <c r="AM118" s="379" t="s">
        <v>1124</v>
      </c>
      <c r="AN118" s="299">
        <v>24</v>
      </c>
      <c r="AO118" s="299">
        <v>0</v>
      </c>
      <c r="AP118" s="299">
        <v>0</v>
      </c>
      <c r="AQ118" s="299">
        <v>0</v>
      </c>
      <c r="AR118" s="299">
        <v>0</v>
      </c>
      <c r="AS118" s="299">
        <v>0</v>
      </c>
      <c r="AT118" s="299">
        <v>0</v>
      </c>
      <c r="AU118" s="299">
        <v>0</v>
      </c>
      <c r="AV118" s="299">
        <v>0</v>
      </c>
      <c r="AW118" s="299">
        <v>0</v>
      </c>
      <c r="AX118" s="299">
        <v>0</v>
      </c>
      <c r="AY118" s="299">
        <v>0</v>
      </c>
      <c r="AZ118" s="297"/>
      <c r="BA118" s="299" t="s">
        <v>1145</v>
      </c>
      <c r="BB118" s="299">
        <v>12</v>
      </c>
      <c r="BC118" s="299" t="s">
        <v>1145</v>
      </c>
      <c r="BD118" s="299"/>
      <c r="BE118" s="299"/>
      <c r="BF118" s="299"/>
      <c r="BG118" s="298"/>
      <c r="BH118" s="297"/>
      <c r="BI118" s="299"/>
      <c r="BJ118" s="299" t="s">
        <v>1146</v>
      </c>
      <c r="BK118" s="298"/>
      <c r="BL118" s="408" t="s">
        <v>1240</v>
      </c>
      <c r="BM118" s="379" t="s">
        <v>368</v>
      </c>
    </row>
    <row r="119" spans="1:66" x14ac:dyDescent="0.15">
      <c r="A119" s="148">
        <v>1939</v>
      </c>
      <c r="B119" s="328">
        <v>43692</v>
      </c>
      <c r="C119" s="296" t="s">
        <v>1138</v>
      </c>
      <c r="D119" s="379" t="s">
        <v>1115</v>
      </c>
      <c r="E119" s="295">
        <v>43497</v>
      </c>
      <c r="F119" s="298" t="s">
        <v>1159</v>
      </c>
      <c r="G119" s="297" t="s">
        <v>1105</v>
      </c>
      <c r="H119" s="406">
        <v>70</v>
      </c>
      <c r="I119" s="376" t="s">
        <v>1141</v>
      </c>
      <c r="J119" s="297">
        <v>6000</v>
      </c>
      <c r="K119" s="297">
        <v>12000</v>
      </c>
      <c r="L119" s="297">
        <v>84000</v>
      </c>
      <c r="M119" s="297">
        <v>84000</v>
      </c>
      <c r="N119" s="297"/>
      <c r="O119" s="406">
        <v>2.25</v>
      </c>
      <c r="P119" s="406">
        <v>2</v>
      </c>
      <c r="Q119" s="406">
        <v>1.58</v>
      </c>
      <c r="R119" s="416">
        <v>0</v>
      </c>
      <c r="S119" s="406">
        <v>1.4</v>
      </c>
      <c r="T119" s="406" t="s">
        <v>1142</v>
      </c>
      <c r="U119" s="406">
        <v>1.73</v>
      </c>
      <c r="V119" s="406">
        <v>1.63</v>
      </c>
      <c r="W119" s="406">
        <v>1.53</v>
      </c>
      <c r="X119" s="416">
        <v>0</v>
      </c>
      <c r="Y119" s="406">
        <v>1.35</v>
      </c>
      <c r="Z119" s="406" t="s">
        <v>1142</v>
      </c>
      <c r="AA119" s="406" t="s">
        <v>1142</v>
      </c>
      <c r="AB119" s="406" t="s">
        <v>1142</v>
      </c>
      <c r="AC119" s="406" t="s">
        <v>1142</v>
      </c>
      <c r="AD119" s="406" t="s">
        <v>1142</v>
      </c>
      <c r="AE119" s="406" t="s">
        <v>1142</v>
      </c>
      <c r="AF119" s="406" t="s">
        <v>1142</v>
      </c>
      <c r="AG119" s="299" t="s">
        <v>1143</v>
      </c>
      <c r="AH119" s="299" t="s">
        <v>1144</v>
      </c>
      <c r="AI119" s="299">
        <v>2</v>
      </c>
      <c r="AJ119" s="299">
        <v>4</v>
      </c>
      <c r="AK119" s="388">
        <v>0.33329999999999999</v>
      </c>
      <c r="AL119" s="388">
        <v>0.66659999999999997</v>
      </c>
      <c r="AM119" s="379" t="s">
        <v>1124</v>
      </c>
      <c r="AN119" s="299">
        <v>0</v>
      </c>
      <c r="AO119" s="299">
        <v>0</v>
      </c>
      <c r="AP119" s="299">
        <v>3</v>
      </c>
      <c r="AQ119" s="299">
        <v>0</v>
      </c>
      <c r="AR119" s="299">
        <v>0</v>
      </c>
      <c r="AS119" s="299">
        <v>0</v>
      </c>
      <c r="AT119" s="299">
        <v>0</v>
      </c>
      <c r="AU119" s="299">
        <v>0</v>
      </c>
      <c r="AV119" s="299">
        <v>0</v>
      </c>
      <c r="AW119" s="299">
        <v>0</v>
      </c>
      <c r="AX119" s="299">
        <v>0</v>
      </c>
      <c r="AY119" s="299">
        <v>0</v>
      </c>
      <c r="AZ119" s="297"/>
      <c r="BA119" s="299" t="s">
        <v>1145</v>
      </c>
      <c r="BB119" s="299"/>
      <c r="BC119" s="299" t="s">
        <v>1145</v>
      </c>
      <c r="BD119" s="299"/>
      <c r="BE119" s="299"/>
      <c r="BF119" s="299"/>
      <c r="BG119" s="299"/>
      <c r="BH119" s="299"/>
      <c r="BI119" s="299"/>
      <c r="BJ119" s="299" t="s">
        <v>1146</v>
      </c>
      <c r="BK119" s="298"/>
      <c r="BL119" s="297" t="s">
        <v>430</v>
      </c>
      <c r="BM119" s="379" t="s">
        <v>368</v>
      </c>
    </row>
    <row r="120" spans="1:66" x14ac:dyDescent="0.15">
      <c r="A120" s="148">
        <v>318</v>
      </c>
      <c r="B120" s="328">
        <v>43692</v>
      </c>
      <c r="C120" s="296" t="s">
        <v>1138</v>
      </c>
      <c r="D120" s="379" t="s">
        <v>1115</v>
      </c>
      <c r="E120" s="295">
        <v>43647</v>
      </c>
      <c r="F120" s="297" t="s">
        <v>1160</v>
      </c>
      <c r="G120" s="297" t="s">
        <v>1161</v>
      </c>
      <c r="H120" s="406">
        <v>95.26</v>
      </c>
      <c r="I120" s="376" t="s">
        <v>1141</v>
      </c>
      <c r="J120" s="297">
        <v>6000</v>
      </c>
      <c r="K120" s="297">
        <v>12000</v>
      </c>
      <c r="L120" s="297">
        <v>84000</v>
      </c>
      <c r="M120" s="297">
        <v>84000</v>
      </c>
      <c r="N120" s="297"/>
      <c r="O120" s="406">
        <v>1.7849999999999999</v>
      </c>
      <c r="P120" s="406">
        <v>1.5640000000000001</v>
      </c>
      <c r="Q120" s="406">
        <v>1.2929999999999999</v>
      </c>
      <c r="R120" s="416">
        <v>0</v>
      </c>
      <c r="S120" s="406">
        <v>1.28</v>
      </c>
      <c r="T120" s="406" t="s">
        <v>1142</v>
      </c>
      <c r="U120" s="406">
        <v>1.349</v>
      </c>
      <c r="V120" s="406">
        <v>1.3240000000000001</v>
      </c>
      <c r="W120" s="406">
        <v>1.2589999999999999</v>
      </c>
      <c r="X120" s="416">
        <v>0</v>
      </c>
      <c r="Y120" s="406">
        <v>1.2230000000000001</v>
      </c>
      <c r="Z120" s="406" t="s">
        <v>1142</v>
      </c>
      <c r="AA120" s="406" t="s">
        <v>1142</v>
      </c>
      <c r="AB120" s="406" t="s">
        <v>1142</v>
      </c>
      <c r="AC120" s="406" t="s">
        <v>1142</v>
      </c>
      <c r="AD120" s="406" t="s">
        <v>1142</v>
      </c>
      <c r="AE120" s="406" t="s">
        <v>1142</v>
      </c>
      <c r="AF120" s="406" t="s">
        <v>1142</v>
      </c>
      <c r="AG120" s="299" t="s">
        <v>1143</v>
      </c>
      <c r="AH120" s="299" t="s">
        <v>1144</v>
      </c>
      <c r="AI120" s="299">
        <v>2</v>
      </c>
      <c r="AJ120" s="299">
        <v>4</v>
      </c>
      <c r="AK120" s="388">
        <v>0.33329999999999999</v>
      </c>
      <c r="AL120" s="388">
        <v>0.66659999999999997</v>
      </c>
      <c r="AM120" s="379" t="s">
        <v>1124</v>
      </c>
      <c r="AN120" s="299">
        <v>0</v>
      </c>
      <c r="AO120" s="299">
        <v>0</v>
      </c>
      <c r="AP120" s="299">
        <v>0</v>
      </c>
      <c r="AQ120" s="299">
        <v>0</v>
      </c>
      <c r="AR120" s="299">
        <v>0</v>
      </c>
      <c r="AS120" s="299">
        <v>0</v>
      </c>
      <c r="AT120" s="299">
        <v>0</v>
      </c>
      <c r="AU120" s="299">
        <v>0</v>
      </c>
      <c r="AV120" s="299">
        <v>0</v>
      </c>
      <c r="AW120" s="299">
        <v>0</v>
      </c>
      <c r="AX120" s="299">
        <v>0</v>
      </c>
      <c r="AY120" s="299">
        <v>0</v>
      </c>
      <c r="AZ120" s="297"/>
      <c r="BA120" s="299" t="s">
        <v>1145</v>
      </c>
      <c r="BB120" s="299"/>
      <c r="BC120" s="299" t="s">
        <v>1145</v>
      </c>
      <c r="BD120" s="299"/>
      <c r="BE120" s="299"/>
      <c r="BF120" s="299"/>
      <c r="BG120" s="378" t="s">
        <v>1162</v>
      </c>
      <c r="BH120" s="297" t="s">
        <v>1163</v>
      </c>
      <c r="BI120" s="299">
        <v>50</v>
      </c>
      <c r="BJ120" s="299" t="s">
        <v>1164</v>
      </c>
      <c r="BK120" s="298"/>
      <c r="BL120" s="297" t="s">
        <v>1232</v>
      </c>
      <c r="BM120" s="379" t="s">
        <v>368</v>
      </c>
    </row>
    <row r="121" spans="1:66" x14ac:dyDescent="0.15">
      <c r="A121" s="148">
        <v>2263</v>
      </c>
      <c r="B121" s="328">
        <v>43692</v>
      </c>
      <c r="C121" s="296" t="s">
        <v>1138</v>
      </c>
      <c r="D121" s="379" t="s">
        <v>1115</v>
      </c>
      <c r="E121" s="295">
        <v>43647</v>
      </c>
      <c r="F121" s="298" t="s">
        <v>1166</v>
      </c>
      <c r="G121" s="297" t="s">
        <v>1167</v>
      </c>
      <c r="H121" s="406">
        <v>78</v>
      </c>
      <c r="I121" s="376" t="s">
        <v>1141</v>
      </c>
      <c r="J121" s="331">
        <v>3000</v>
      </c>
      <c r="K121" s="331">
        <v>3000</v>
      </c>
      <c r="L121" s="331">
        <v>3000</v>
      </c>
      <c r="M121" s="331">
        <v>3000</v>
      </c>
      <c r="N121" s="297"/>
      <c r="O121" s="406">
        <v>2.8</v>
      </c>
      <c r="P121" s="416">
        <v>0</v>
      </c>
      <c r="Q121" s="416">
        <v>0</v>
      </c>
      <c r="R121" s="416">
        <v>0</v>
      </c>
      <c r="S121" s="406">
        <v>2.2000000000000002</v>
      </c>
      <c r="T121" s="406" t="s">
        <v>1142</v>
      </c>
      <c r="U121" s="406">
        <v>2</v>
      </c>
      <c r="V121" s="416">
        <v>0</v>
      </c>
      <c r="W121" s="416">
        <v>0</v>
      </c>
      <c r="X121" s="416">
        <v>0</v>
      </c>
      <c r="Y121" s="406">
        <v>1.6</v>
      </c>
      <c r="Z121" s="406" t="s">
        <v>1142</v>
      </c>
      <c r="AA121" s="406" t="s">
        <v>1142</v>
      </c>
      <c r="AB121" s="406" t="s">
        <v>1142</v>
      </c>
      <c r="AC121" s="406" t="s">
        <v>1142</v>
      </c>
      <c r="AD121" s="406" t="s">
        <v>1142</v>
      </c>
      <c r="AE121" s="406" t="s">
        <v>1142</v>
      </c>
      <c r="AF121" s="406" t="s">
        <v>1142</v>
      </c>
      <c r="AG121" s="299" t="s">
        <v>1143</v>
      </c>
      <c r="AH121" s="299" t="s">
        <v>1144</v>
      </c>
      <c r="AI121" s="299">
        <v>2</v>
      </c>
      <c r="AJ121" s="299">
        <v>4</v>
      </c>
      <c r="AK121" s="388">
        <v>0.33329999999999999</v>
      </c>
      <c r="AL121" s="388">
        <v>0.66659999999999997</v>
      </c>
      <c r="AM121" s="379" t="s">
        <v>1124</v>
      </c>
      <c r="AN121" s="299">
        <v>10</v>
      </c>
      <c r="AO121" s="299">
        <v>0</v>
      </c>
      <c r="AP121" s="299">
        <v>0</v>
      </c>
      <c r="AQ121" s="299">
        <v>0</v>
      </c>
      <c r="AR121" s="299">
        <v>0</v>
      </c>
      <c r="AS121" s="299">
        <v>0</v>
      </c>
      <c r="AT121" s="299">
        <v>0</v>
      </c>
      <c r="AU121" s="299">
        <v>0</v>
      </c>
      <c r="AV121" s="299">
        <v>0</v>
      </c>
      <c r="AW121" s="299">
        <v>0</v>
      </c>
      <c r="AX121" s="299">
        <v>0</v>
      </c>
      <c r="AY121" s="299">
        <v>0</v>
      </c>
      <c r="AZ121" s="297"/>
      <c r="BA121" s="299" t="s">
        <v>1145</v>
      </c>
      <c r="BB121" s="299">
        <v>12</v>
      </c>
      <c r="BC121" s="299" t="s">
        <v>1145</v>
      </c>
      <c r="BD121" s="299"/>
      <c r="BE121" s="299"/>
      <c r="BF121" s="299"/>
      <c r="BG121" s="298"/>
      <c r="BH121" s="297"/>
      <c r="BI121" s="299"/>
      <c r="BJ121" s="299" t="s">
        <v>1146</v>
      </c>
      <c r="BK121" s="298"/>
      <c r="BL121" s="379" t="s">
        <v>430</v>
      </c>
      <c r="BM121" s="379" t="s">
        <v>368</v>
      </c>
      <c r="BN121" s="366"/>
    </row>
    <row r="122" spans="1:66" x14ac:dyDescent="0.15">
      <c r="A122" s="148">
        <v>1431</v>
      </c>
      <c r="B122" s="328">
        <v>43692</v>
      </c>
      <c r="C122" s="296" t="s">
        <v>1138</v>
      </c>
      <c r="D122" s="379" t="s">
        <v>1115</v>
      </c>
      <c r="E122" s="309">
        <v>43530</v>
      </c>
      <c r="F122" s="298" t="s">
        <v>1168</v>
      </c>
      <c r="G122" s="379" t="s">
        <v>28</v>
      </c>
      <c r="H122" s="406">
        <v>80.400000000000006</v>
      </c>
      <c r="I122" s="376" t="s">
        <v>1141</v>
      </c>
      <c r="J122" s="331">
        <v>3150</v>
      </c>
      <c r="K122" s="331">
        <v>3150</v>
      </c>
      <c r="L122" s="331">
        <v>3150</v>
      </c>
      <c r="M122" s="331">
        <v>3150</v>
      </c>
      <c r="N122" s="297"/>
      <c r="O122" s="406">
        <v>2.5</v>
      </c>
      <c r="P122" s="416">
        <v>0</v>
      </c>
      <c r="Q122" s="416">
        <v>0</v>
      </c>
      <c r="R122" s="416">
        <v>0</v>
      </c>
      <c r="S122" s="406">
        <v>1.9799999999999998</v>
      </c>
      <c r="T122" s="406" t="s">
        <v>1142</v>
      </c>
      <c r="U122" s="406">
        <v>1.93</v>
      </c>
      <c r="V122" s="416">
        <v>0</v>
      </c>
      <c r="W122" s="416">
        <v>0</v>
      </c>
      <c r="X122" s="416">
        <v>0</v>
      </c>
      <c r="Y122" s="406">
        <v>1.8</v>
      </c>
      <c r="Z122" s="406" t="s">
        <v>1142</v>
      </c>
      <c r="AA122" s="406" t="s">
        <v>1142</v>
      </c>
      <c r="AB122" s="406" t="s">
        <v>1142</v>
      </c>
      <c r="AC122" s="406" t="s">
        <v>1142</v>
      </c>
      <c r="AD122" s="406" t="s">
        <v>1142</v>
      </c>
      <c r="AE122" s="406" t="s">
        <v>1142</v>
      </c>
      <c r="AF122" s="406" t="s">
        <v>1142</v>
      </c>
      <c r="AG122" s="299" t="s">
        <v>1143</v>
      </c>
      <c r="AH122" s="299" t="s">
        <v>1144</v>
      </c>
      <c r="AI122" s="299">
        <v>2</v>
      </c>
      <c r="AJ122" s="299">
        <v>4</v>
      </c>
      <c r="AK122" s="388">
        <v>0.33329999999999999</v>
      </c>
      <c r="AL122" s="388">
        <v>0.66659999999999997</v>
      </c>
      <c r="AM122" s="379" t="s">
        <v>1124</v>
      </c>
      <c r="AN122" s="299">
        <v>0</v>
      </c>
      <c r="AO122" s="299">
        <v>0</v>
      </c>
      <c r="AP122" s="299">
        <v>10</v>
      </c>
      <c r="AQ122" s="299">
        <v>0</v>
      </c>
      <c r="AR122" s="299">
        <v>0</v>
      </c>
      <c r="AS122" s="299">
        <v>0</v>
      </c>
      <c r="AT122" s="299">
        <v>0</v>
      </c>
      <c r="AU122" s="299">
        <v>0</v>
      </c>
      <c r="AV122" s="299">
        <v>0</v>
      </c>
      <c r="AW122" s="299">
        <v>0</v>
      </c>
      <c r="AX122" s="299">
        <v>0</v>
      </c>
      <c r="AY122" s="299">
        <v>0</v>
      </c>
      <c r="AZ122" s="299"/>
      <c r="BA122" s="299" t="s">
        <v>1145</v>
      </c>
      <c r="BB122" s="299"/>
      <c r="BC122" s="299" t="s">
        <v>1145</v>
      </c>
      <c r="BD122" s="299"/>
      <c r="BE122" s="299"/>
      <c r="BF122" s="299"/>
      <c r="BG122" s="298"/>
      <c r="BH122" s="297"/>
      <c r="BI122" s="299"/>
      <c r="BJ122" s="299" t="s">
        <v>1146</v>
      </c>
      <c r="BK122" s="298"/>
      <c r="BL122" s="379" t="s">
        <v>1244</v>
      </c>
      <c r="BM122" s="379" t="s">
        <v>368</v>
      </c>
    </row>
    <row r="123" spans="1:66" x14ac:dyDescent="0.15">
      <c r="A123" s="148">
        <v>796</v>
      </c>
      <c r="B123" s="328">
        <v>43692</v>
      </c>
      <c r="C123" s="296" t="s">
        <v>1138</v>
      </c>
      <c r="D123" s="379" t="s">
        <v>1115</v>
      </c>
      <c r="E123" s="309">
        <v>43647</v>
      </c>
      <c r="F123" s="298" t="s">
        <v>1169</v>
      </c>
      <c r="G123" s="297" t="s">
        <v>1170</v>
      </c>
      <c r="H123" s="406">
        <v>86.772727272727266</v>
      </c>
      <c r="I123" s="376" t="s">
        <v>1141</v>
      </c>
      <c r="J123" s="297">
        <v>6000</v>
      </c>
      <c r="K123" s="297">
        <v>12000</v>
      </c>
      <c r="L123" s="297">
        <v>84000</v>
      </c>
      <c r="M123" s="297">
        <v>84000</v>
      </c>
      <c r="N123" s="297"/>
      <c r="O123" s="406">
        <v>2.2272727272727271</v>
      </c>
      <c r="P123" s="406">
        <v>1.8818181818181816</v>
      </c>
      <c r="Q123" s="406">
        <v>1.4545454545454546</v>
      </c>
      <c r="R123" s="416">
        <v>0</v>
      </c>
      <c r="S123" s="406">
        <v>1.4363636363636363</v>
      </c>
      <c r="T123" s="406" t="s">
        <v>1142</v>
      </c>
      <c r="U123" s="406">
        <v>1.6636363636363636</v>
      </c>
      <c r="V123" s="406">
        <v>1.5999999999999999</v>
      </c>
      <c r="W123" s="406">
        <v>1.4545454545454546</v>
      </c>
      <c r="X123" s="416">
        <v>0</v>
      </c>
      <c r="Y123" s="406">
        <v>1.3909090909090909</v>
      </c>
      <c r="Z123" s="406" t="s">
        <v>1142</v>
      </c>
      <c r="AA123" s="406" t="s">
        <v>1142</v>
      </c>
      <c r="AB123" s="406" t="s">
        <v>1142</v>
      </c>
      <c r="AC123" s="406" t="s">
        <v>1142</v>
      </c>
      <c r="AD123" s="406" t="s">
        <v>1142</v>
      </c>
      <c r="AE123" s="406" t="s">
        <v>1142</v>
      </c>
      <c r="AF123" s="406" t="s">
        <v>1142</v>
      </c>
      <c r="AG123" s="299" t="s">
        <v>1143</v>
      </c>
      <c r="AH123" s="299" t="s">
        <v>1144</v>
      </c>
      <c r="AI123" s="299">
        <v>2</v>
      </c>
      <c r="AJ123" s="299">
        <v>4</v>
      </c>
      <c r="AK123" s="388">
        <v>0.33329999999999999</v>
      </c>
      <c r="AL123" s="388">
        <v>0.66659999999999997</v>
      </c>
      <c r="AM123" s="379" t="s">
        <v>1124</v>
      </c>
      <c r="AN123" s="299">
        <v>0</v>
      </c>
      <c r="AO123" s="299">
        <v>0</v>
      </c>
      <c r="AP123" s="299">
        <v>0</v>
      </c>
      <c r="AQ123" s="299">
        <v>0</v>
      </c>
      <c r="AR123" s="299">
        <v>0</v>
      </c>
      <c r="AS123" s="299">
        <v>0</v>
      </c>
      <c r="AT123" s="299">
        <v>0</v>
      </c>
      <c r="AU123" s="299">
        <v>0</v>
      </c>
      <c r="AV123" s="299">
        <v>0</v>
      </c>
      <c r="AW123" s="299">
        <v>0</v>
      </c>
      <c r="AX123" s="299">
        <v>0</v>
      </c>
      <c r="AY123" s="299">
        <v>0</v>
      </c>
      <c r="AZ123" s="297"/>
      <c r="BA123" s="299" t="s">
        <v>1145</v>
      </c>
      <c r="BB123" s="299"/>
      <c r="BC123" s="299" t="s">
        <v>1145</v>
      </c>
      <c r="BD123" s="299"/>
      <c r="BE123" s="299"/>
      <c r="BF123" s="299"/>
      <c r="BG123" s="378" t="s">
        <v>1171</v>
      </c>
      <c r="BH123" s="297" t="s">
        <v>365</v>
      </c>
      <c r="BI123" s="299">
        <v>50</v>
      </c>
      <c r="BJ123" s="299" t="s">
        <v>1164</v>
      </c>
      <c r="BK123" s="298"/>
      <c r="BL123" s="297" t="s">
        <v>1241</v>
      </c>
      <c r="BM123" s="379" t="s">
        <v>368</v>
      </c>
    </row>
    <row r="124" spans="1:66" x14ac:dyDescent="0.15">
      <c r="A124" s="148">
        <v>2217</v>
      </c>
      <c r="B124" s="328">
        <v>43692</v>
      </c>
      <c r="C124" s="296" t="s">
        <v>1138</v>
      </c>
      <c r="D124" s="379" t="s">
        <v>1115</v>
      </c>
      <c r="E124" s="309">
        <v>43647</v>
      </c>
      <c r="F124" s="297" t="s">
        <v>1173</v>
      </c>
      <c r="G124" s="379" t="s">
        <v>1174</v>
      </c>
      <c r="H124" s="406">
        <v>67.999999999999986</v>
      </c>
      <c r="I124" s="376" t="s">
        <v>1141</v>
      </c>
      <c r="J124" s="297">
        <v>6000</v>
      </c>
      <c r="K124" s="297">
        <v>12000</v>
      </c>
      <c r="L124" s="297">
        <v>84000</v>
      </c>
      <c r="M124" s="297">
        <v>84000</v>
      </c>
      <c r="N124" s="332"/>
      <c r="O124" s="406">
        <v>2.2181818181818178</v>
      </c>
      <c r="P124" s="406">
        <v>2.0181818181818181</v>
      </c>
      <c r="Q124" s="406">
        <v>1.9272727272727272</v>
      </c>
      <c r="R124" s="416">
        <v>0</v>
      </c>
      <c r="S124" s="406">
        <v>1.8181818181818181</v>
      </c>
      <c r="T124" s="406" t="s">
        <v>1142</v>
      </c>
      <c r="U124" s="406">
        <v>1.7545454545454544</v>
      </c>
      <c r="V124" s="406">
        <v>1.5181818181818181</v>
      </c>
      <c r="W124" s="406">
        <v>1.3818181818181816</v>
      </c>
      <c r="X124" s="416">
        <v>0</v>
      </c>
      <c r="Y124" s="406">
        <v>1.2</v>
      </c>
      <c r="Z124" s="406" t="s">
        <v>1142</v>
      </c>
      <c r="AA124" s="406" t="s">
        <v>1142</v>
      </c>
      <c r="AB124" s="406" t="s">
        <v>1142</v>
      </c>
      <c r="AC124" s="406" t="s">
        <v>1142</v>
      </c>
      <c r="AD124" s="406" t="s">
        <v>1142</v>
      </c>
      <c r="AE124" s="406" t="s">
        <v>1142</v>
      </c>
      <c r="AF124" s="406" t="s">
        <v>1142</v>
      </c>
      <c r="AG124" s="333" t="s">
        <v>1143</v>
      </c>
      <c r="AH124" s="333" t="s">
        <v>1144</v>
      </c>
      <c r="AI124" s="299">
        <v>2</v>
      </c>
      <c r="AJ124" s="299">
        <v>4</v>
      </c>
      <c r="AK124" s="388">
        <v>0.33329999999999999</v>
      </c>
      <c r="AL124" s="388">
        <v>0.66659999999999997</v>
      </c>
      <c r="AM124" s="379" t="s">
        <v>1124</v>
      </c>
      <c r="AN124" s="299">
        <v>0</v>
      </c>
      <c r="AO124" s="299">
        <v>0</v>
      </c>
      <c r="AP124" s="299">
        <v>5</v>
      </c>
      <c r="AQ124" s="299">
        <v>0</v>
      </c>
      <c r="AR124" s="299">
        <v>0</v>
      </c>
      <c r="AS124" s="299">
        <v>0</v>
      </c>
      <c r="AT124" s="299">
        <v>0</v>
      </c>
      <c r="AU124" s="299">
        <v>0</v>
      </c>
      <c r="AV124" s="299">
        <v>0</v>
      </c>
      <c r="AW124" s="299">
        <v>0</v>
      </c>
      <c r="AX124" s="299">
        <v>0</v>
      </c>
      <c r="AY124" s="299">
        <v>0</v>
      </c>
      <c r="AZ124" s="299"/>
      <c r="BA124" s="299" t="s">
        <v>1145</v>
      </c>
      <c r="BB124" s="299">
        <v>12</v>
      </c>
      <c r="BC124" s="299" t="s">
        <v>1145</v>
      </c>
      <c r="BD124" s="299"/>
      <c r="BE124" s="299"/>
      <c r="BF124" s="299"/>
      <c r="BG124" s="298"/>
      <c r="BH124" s="297"/>
      <c r="BI124" s="299"/>
      <c r="BJ124" s="299" t="s">
        <v>1164</v>
      </c>
      <c r="BK124" s="298"/>
      <c r="BL124" s="297" t="s">
        <v>1242</v>
      </c>
      <c r="BM124" s="379" t="s">
        <v>368</v>
      </c>
    </row>
    <row r="125" spans="1:66" x14ac:dyDescent="0.15">
      <c r="A125" s="148">
        <v>1917</v>
      </c>
      <c r="B125" s="328">
        <v>43692</v>
      </c>
      <c r="C125" s="296" t="s">
        <v>1138</v>
      </c>
      <c r="D125" s="379" t="s">
        <v>1115</v>
      </c>
      <c r="E125" s="295">
        <v>43647</v>
      </c>
      <c r="F125" s="298" t="s">
        <v>987</v>
      </c>
      <c r="G125" s="297" t="s">
        <v>1127</v>
      </c>
      <c r="H125" s="406">
        <v>65.823999999999998</v>
      </c>
      <c r="I125" s="376" t="s">
        <v>1141</v>
      </c>
      <c r="J125" s="297">
        <v>6000</v>
      </c>
      <c r="K125" s="297">
        <v>12000</v>
      </c>
      <c r="L125" s="297">
        <v>12000</v>
      </c>
      <c r="M125" s="297">
        <v>12000</v>
      </c>
      <c r="N125" s="297"/>
      <c r="O125" s="406">
        <v>2.4140000000000001</v>
      </c>
      <c r="P125" s="406">
        <v>2.0739999999999998</v>
      </c>
      <c r="Q125" s="416">
        <v>0</v>
      </c>
      <c r="R125" s="416">
        <v>0</v>
      </c>
      <c r="S125" s="406">
        <v>1.5640000000000001</v>
      </c>
      <c r="T125" s="406" t="s">
        <v>1142</v>
      </c>
      <c r="U125" s="406">
        <v>1.7</v>
      </c>
      <c r="V125" s="406">
        <v>1.6659999999999999</v>
      </c>
      <c r="W125" s="416">
        <v>0</v>
      </c>
      <c r="X125" s="416">
        <v>0</v>
      </c>
      <c r="Y125" s="406">
        <v>1.5640000000000001</v>
      </c>
      <c r="Z125" s="406" t="s">
        <v>1142</v>
      </c>
      <c r="AA125" s="406" t="s">
        <v>1142</v>
      </c>
      <c r="AB125" s="406" t="s">
        <v>1142</v>
      </c>
      <c r="AC125" s="406" t="s">
        <v>1142</v>
      </c>
      <c r="AD125" s="406" t="s">
        <v>1142</v>
      </c>
      <c r="AE125" s="406" t="s">
        <v>1142</v>
      </c>
      <c r="AF125" s="406" t="s">
        <v>1142</v>
      </c>
      <c r="AG125" s="299" t="s">
        <v>1143</v>
      </c>
      <c r="AH125" s="299" t="s">
        <v>1144</v>
      </c>
      <c r="AI125" s="299">
        <v>2</v>
      </c>
      <c r="AJ125" s="299">
        <v>4</v>
      </c>
      <c r="AK125" s="388">
        <v>0.33329999999999999</v>
      </c>
      <c r="AL125" s="388">
        <v>0.66659999999999997</v>
      </c>
      <c r="AM125" s="379" t="s">
        <v>1124</v>
      </c>
      <c r="AN125" s="299">
        <v>0</v>
      </c>
      <c r="AO125" s="299">
        <v>0</v>
      </c>
      <c r="AP125" s="299">
        <v>0</v>
      </c>
      <c r="AQ125" s="299">
        <v>0</v>
      </c>
      <c r="AR125" s="299">
        <v>0</v>
      </c>
      <c r="AS125" s="299">
        <v>0</v>
      </c>
      <c r="AT125" s="299">
        <v>0</v>
      </c>
      <c r="AU125" s="299">
        <v>0</v>
      </c>
      <c r="AV125" s="299">
        <v>0</v>
      </c>
      <c r="AW125" s="299">
        <v>0</v>
      </c>
      <c r="AX125" s="299">
        <v>0</v>
      </c>
      <c r="AY125" s="299">
        <v>0</v>
      </c>
      <c r="AZ125" s="299"/>
      <c r="BA125" s="299" t="s">
        <v>1145</v>
      </c>
      <c r="BB125" s="299"/>
      <c r="BC125" s="299" t="s">
        <v>1145</v>
      </c>
      <c r="BD125" s="299"/>
      <c r="BE125" s="299"/>
      <c r="BF125" s="299"/>
      <c r="BG125" s="298"/>
      <c r="BH125" s="297"/>
      <c r="BI125" s="299"/>
      <c r="BJ125" s="299" t="s">
        <v>1146</v>
      </c>
      <c r="BK125" s="298" t="s">
        <v>370</v>
      </c>
      <c r="BL125" s="297" t="s">
        <v>1234</v>
      </c>
      <c r="BM125" s="379" t="s">
        <v>368</v>
      </c>
    </row>
    <row r="126" spans="1:66" x14ac:dyDescent="0.15">
      <c r="A126" s="148">
        <v>1688</v>
      </c>
      <c r="B126" s="328">
        <v>43692</v>
      </c>
      <c r="C126" s="296" t="s">
        <v>295</v>
      </c>
      <c r="D126" s="379" t="s">
        <v>1115</v>
      </c>
      <c r="E126" s="328">
        <v>43693</v>
      </c>
      <c r="F126" s="420" t="s">
        <v>1106</v>
      </c>
      <c r="G126" s="297" t="s">
        <v>2</v>
      </c>
      <c r="H126" s="406">
        <v>72</v>
      </c>
      <c r="I126" s="376" t="s">
        <v>296</v>
      </c>
      <c r="J126" s="297">
        <v>6000</v>
      </c>
      <c r="K126" s="297">
        <v>6000</v>
      </c>
      <c r="L126" s="297">
        <v>6000</v>
      </c>
      <c r="M126" s="297">
        <v>6000</v>
      </c>
      <c r="N126" s="297"/>
      <c r="O126" s="406">
        <v>2.12</v>
      </c>
      <c r="P126" s="416">
        <v>0</v>
      </c>
      <c r="Q126" s="416">
        <v>0</v>
      </c>
      <c r="R126" s="416">
        <v>0</v>
      </c>
      <c r="S126" s="406">
        <v>1.75</v>
      </c>
      <c r="T126" s="406" t="s">
        <v>1142</v>
      </c>
      <c r="U126" s="406">
        <v>1.72</v>
      </c>
      <c r="V126" s="416">
        <v>0</v>
      </c>
      <c r="W126" s="416">
        <v>0</v>
      </c>
      <c r="X126" s="416">
        <v>0</v>
      </c>
      <c r="Y126" s="406">
        <v>1.45</v>
      </c>
      <c r="Z126" s="406" t="s">
        <v>1142</v>
      </c>
      <c r="AA126" s="406" t="s">
        <v>1142</v>
      </c>
      <c r="AB126" s="406" t="s">
        <v>1142</v>
      </c>
      <c r="AC126" s="406" t="s">
        <v>1142</v>
      </c>
      <c r="AD126" s="406" t="s">
        <v>1142</v>
      </c>
      <c r="AE126" s="406" t="s">
        <v>1142</v>
      </c>
      <c r="AF126" s="406" t="s">
        <v>1142</v>
      </c>
      <c r="AG126" s="299" t="s">
        <v>1143</v>
      </c>
      <c r="AH126" s="299" t="s">
        <v>1144</v>
      </c>
      <c r="AI126" s="299">
        <v>2</v>
      </c>
      <c r="AJ126" s="299">
        <v>4</v>
      </c>
      <c r="AK126" s="388">
        <v>0.33329999999999999</v>
      </c>
      <c r="AL126" s="388">
        <v>0.66659999999999997</v>
      </c>
      <c r="AM126" s="379" t="s">
        <v>1124</v>
      </c>
      <c r="AN126" s="299">
        <v>0</v>
      </c>
      <c r="AO126" s="299">
        <v>0</v>
      </c>
      <c r="AP126" s="299">
        <v>5</v>
      </c>
      <c r="AQ126" s="299">
        <v>0</v>
      </c>
      <c r="AR126" s="299">
        <v>0</v>
      </c>
      <c r="AS126" s="299">
        <v>0</v>
      </c>
      <c r="AT126" s="299">
        <v>0</v>
      </c>
      <c r="AU126" s="299">
        <v>0</v>
      </c>
      <c r="AV126" s="299">
        <v>0</v>
      </c>
      <c r="AW126" s="299">
        <v>0</v>
      </c>
      <c r="AX126" s="299">
        <v>0</v>
      </c>
      <c r="AY126" s="299">
        <v>0</v>
      </c>
      <c r="AZ126" s="299"/>
      <c r="BA126" s="299" t="s">
        <v>1145</v>
      </c>
      <c r="BB126" s="299"/>
      <c r="BC126" s="299" t="s">
        <v>1145</v>
      </c>
      <c r="BD126" s="299"/>
      <c r="BE126" s="299"/>
      <c r="BF126" s="298"/>
      <c r="BG126" s="297"/>
      <c r="BH126" s="299"/>
      <c r="BI126" s="299"/>
      <c r="BJ126" s="299" t="s">
        <v>1146</v>
      </c>
      <c r="BK126" s="297" t="s">
        <v>370</v>
      </c>
      <c r="BL126" s="297" t="s">
        <v>1235</v>
      </c>
      <c r="BM126" s="379" t="s">
        <v>368</v>
      </c>
    </row>
    <row r="127" spans="1:66" x14ac:dyDescent="0.15">
      <c r="A127" s="148">
        <v>2209</v>
      </c>
      <c r="B127" s="328">
        <v>43692</v>
      </c>
      <c r="C127" s="296" t="s">
        <v>1138</v>
      </c>
      <c r="D127" s="379" t="s">
        <v>1115</v>
      </c>
      <c r="E127" s="309">
        <v>43646</v>
      </c>
      <c r="F127" s="297" t="s">
        <v>34</v>
      </c>
      <c r="G127" s="379" t="s">
        <v>1178</v>
      </c>
      <c r="H127" s="406">
        <v>93.56</v>
      </c>
      <c r="I127" s="394"/>
      <c r="J127" s="394"/>
      <c r="K127" s="394"/>
      <c r="L127" s="332"/>
      <c r="M127" s="332"/>
      <c r="N127" s="332"/>
      <c r="O127" s="406">
        <v>1.76</v>
      </c>
      <c r="P127" s="416">
        <v>0</v>
      </c>
      <c r="Q127" s="416">
        <v>0</v>
      </c>
      <c r="R127" s="416">
        <v>0</v>
      </c>
      <c r="S127" s="416">
        <v>0</v>
      </c>
      <c r="T127" s="406" t="s">
        <v>1142</v>
      </c>
      <c r="U127" s="406">
        <v>1.45</v>
      </c>
      <c r="V127" s="416">
        <v>0</v>
      </c>
      <c r="W127" s="416">
        <v>0</v>
      </c>
      <c r="X127" s="416">
        <v>0</v>
      </c>
      <c r="Y127" s="416">
        <v>0</v>
      </c>
      <c r="Z127" s="406" t="s">
        <v>1142</v>
      </c>
      <c r="AA127" s="406" t="s">
        <v>1142</v>
      </c>
      <c r="AB127" s="406" t="s">
        <v>1142</v>
      </c>
      <c r="AC127" s="406" t="s">
        <v>1142</v>
      </c>
      <c r="AD127" s="406" t="s">
        <v>1142</v>
      </c>
      <c r="AE127" s="406" t="s">
        <v>1142</v>
      </c>
      <c r="AF127" s="406" t="s">
        <v>1142</v>
      </c>
      <c r="AG127" s="333" t="s">
        <v>1143</v>
      </c>
      <c r="AH127" s="333" t="s">
        <v>1144</v>
      </c>
      <c r="AI127" s="299">
        <v>2</v>
      </c>
      <c r="AJ127" s="299">
        <v>4</v>
      </c>
      <c r="AK127" s="388">
        <v>0.33329999999999999</v>
      </c>
      <c r="AL127" s="388">
        <v>0.66659999999999997</v>
      </c>
      <c r="AM127" s="379" t="s">
        <v>1124</v>
      </c>
      <c r="AN127" s="299">
        <v>0</v>
      </c>
      <c r="AO127" s="299">
        <v>0</v>
      </c>
      <c r="AP127" s="299">
        <v>5</v>
      </c>
      <c r="AQ127" s="299">
        <v>0</v>
      </c>
      <c r="AR127" s="299">
        <v>0</v>
      </c>
      <c r="AS127" s="299">
        <v>0</v>
      </c>
      <c r="AT127" s="299">
        <v>0</v>
      </c>
      <c r="AU127" s="299">
        <v>0</v>
      </c>
      <c r="AV127" s="299">
        <v>0</v>
      </c>
      <c r="AW127" s="299">
        <v>0</v>
      </c>
      <c r="AX127" s="299">
        <v>0</v>
      </c>
      <c r="AY127" s="299">
        <v>0</v>
      </c>
      <c r="AZ127" s="299"/>
      <c r="BA127" s="299" t="s">
        <v>1145</v>
      </c>
      <c r="BB127" s="299"/>
      <c r="BC127" s="299" t="s">
        <v>1145</v>
      </c>
      <c r="BD127" s="299"/>
      <c r="BE127" s="299"/>
      <c r="BF127" s="299"/>
      <c r="BG127" s="298"/>
      <c r="BH127" s="297"/>
      <c r="BI127" s="299"/>
      <c r="BJ127" s="299" t="s">
        <v>1164</v>
      </c>
      <c r="BK127" s="298" t="s">
        <v>47</v>
      </c>
      <c r="BL127" s="297" t="s">
        <v>1236</v>
      </c>
      <c r="BM127" s="379" t="s">
        <v>368</v>
      </c>
    </row>
    <row r="128" spans="1:66" x14ac:dyDescent="0.15">
      <c r="A128" s="148">
        <v>2058</v>
      </c>
      <c r="B128" s="328">
        <v>43692</v>
      </c>
      <c r="C128" s="296" t="s">
        <v>1138</v>
      </c>
      <c r="D128" s="379" t="s">
        <v>1115</v>
      </c>
      <c r="E128" s="295">
        <v>43646</v>
      </c>
      <c r="F128" s="378" t="s">
        <v>1180</v>
      </c>
      <c r="G128" s="379" t="s">
        <v>1181</v>
      </c>
      <c r="H128" s="406">
        <v>95.681818181818173</v>
      </c>
      <c r="I128" s="376"/>
      <c r="J128" s="331"/>
      <c r="K128" s="297"/>
      <c r="L128" s="297"/>
      <c r="M128" s="297"/>
      <c r="N128" s="297"/>
      <c r="O128" s="406">
        <v>1.7999999999999998</v>
      </c>
      <c r="P128" s="416">
        <v>0</v>
      </c>
      <c r="Q128" s="416">
        <v>0</v>
      </c>
      <c r="R128" s="416">
        <v>0</v>
      </c>
      <c r="S128" s="416">
        <v>0</v>
      </c>
      <c r="T128" s="406" t="s">
        <v>1142</v>
      </c>
      <c r="U128" s="406">
        <v>1.4818181818181817</v>
      </c>
      <c r="V128" s="416">
        <v>0</v>
      </c>
      <c r="W128" s="416">
        <v>0</v>
      </c>
      <c r="X128" s="416">
        <v>0</v>
      </c>
      <c r="Y128" s="416">
        <v>0</v>
      </c>
      <c r="Z128" s="406" t="s">
        <v>1142</v>
      </c>
      <c r="AA128" s="406" t="s">
        <v>1142</v>
      </c>
      <c r="AB128" s="406" t="s">
        <v>1142</v>
      </c>
      <c r="AC128" s="406" t="s">
        <v>1142</v>
      </c>
      <c r="AD128" s="406" t="s">
        <v>1142</v>
      </c>
      <c r="AE128" s="406" t="s">
        <v>1142</v>
      </c>
      <c r="AF128" s="406" t="s">
        <v>1142</v>
      </c>
      <c r="AG128" s="299" t="s">
        <v>1143</v>
      </c>
      <c r="AH128" s="299" t="s">
        <v>1144</v>
      </c>
      <c r="AI128" s="299">
        <v>2</v>
      </c>
      <c r="AJ128" s="299">
        <v>4</v>
      </c>
      <c r="AK128" s="388">
        <v>0.33329999999999999</v>
      </c>
      <c r="AL128" s="388">
        <v>0.66659999999999997</v>
      </c>
      <c r="AM128" s="379" t="s">
        <v>1124</v>
      </c>
      <c r="AN128" s="299">
        <v>0</v>
      </c>
      <c r="AO128" s="299">
        <v>0</v>
      </c>
      <c r="AP128" s="299">
        <v>0</v>
      </c>
      <c r="AQ128" s="299">
        <v>0</v>
      </c>
      <c r="AR128" s="299">
        <v>0</v>
      </c>
      <c r="AS128" s="299">
        <v>0</v>
      </c>
      <c r="AT128" s="299">
        <v>0</v>
      </c>
      <c r="AU128" s="299">
        <v>0</v>
      </c>
      <c r="AV128" s="299">
        <v>0</v>
      </c>
      <c r="AW128" s="299">
        <v>0</v>
      </c>
      <c r="AX128" s="299">
        <v>0</v>
      </c>
      <c r="AY128" s="299">
        <v>0</v>
      </c>
      <c r="AZ128" s="299"/>
      <c r="BA128" s="299" t="s">
        <v>1145</v>
      </c>
      <c r="BB128" s="299"/>
      <c r="BC128" s="299" t="s">
        <v>1145</v>
      </c>
      <c r="BD128" s="299"/>
      <c r="BE128" s="299"/>
      <c r="BF128" s="299"/>
      <c r="BG128" s="298"/>
      <c r="BH128" s="297"/>
      <c r="BI128" s="299"/>
      <c r="BJ128" s="299" t="s">
        <v>1164</v>
      </c>
      <c r="BK128" s="298" t="s">
        <v>1182</v>
      </c>
      <c r="BL128" s="379" t="s">
        <v>1237</v>
      </c>
      <c r="BM128" s="379" t="s">
        <v>368</v>
      </c>
    </row>
  </sheetData>
  <sheetProtection algorithmName="SHA-512" hashValue="Rpe5wZTGiC8YyqANAaO7ON0Wg/XjA6I3nYQJGjXTNkQaGphh2gg6bsuTOUFZ7YRx7IDMRHIlD8V+Wqc5gJXDkQ==" saltValue="llpj34CYsiF3ilFrBRxcxA==" spinCount="100000" sheet="1" objects="1" scenarios="1"/>
  <hyperlinks>
    <hyperlink ref="BL107" r:id="rId1" xr:uid="{A3B248A8-8108-C84F-9132-7DCDD9A8919C}"/>
    <hyperlink ref="BL28" r:id="rId2" xr:uid="{74360BFA-BEB3-904C-9B35-A53D9B2CE39A}"/>
    <hyperlink ref="BL3" r:id="rId3" xr:uid="{8F389004-724B-0444-A80E-F187F186794E}"/>
  </hyperlinks>
  <pageMargins left="0.75" right="0.75" top="1" bottom="1" header="0.5" footer="0.5"/>
  <pageSetup paperSize="10" orientation="portrait" horizontalDpi="4294967292" verticalDpi="4294967292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F477D-BA71-EF45-82D8-85FFA003697F}">
  <sheetPr codeName="Sheet24"/>
  <dimension ref="A1:BK120"/>
  <sheetViews>
    <sheetView topLeftCell="A64" zoomScale="130" zoomScaleNormal="130" zoomScalePageLayoutView="130" workbookViewId="0">
      <selection activeCell="A84" sqref="A84:XFD84"/>
    </sheetView>
  </sheetViews>
  <sheetFormatPr baseColWidth="10" defaultColWidth="11.5" defaultRowHeight="13" x14ac:dyDescent="0.15"/>
  <cols>
    <col min="1" max="1" width="8.1640625" style="237" customWidth="1"/>
    <col min="3" max="3" width="6.33203125" style="17" customWidth="1"/>
    <col min="4" max="4" width="18.6640625" customWidth="1"/>
    <col min="6" max="6" width="16.1640625" style="17" customWidth="1"/>
    <col min="7" max="7" width="16.5" customWidth="1"/>
    <col min="8" max="8" width="11.5" style="329"/>
    <col min="9" max="9" width="11.5" style="22"/>
    <col min="14" max="14" width="11.5" style="337"/>
    <col min="20" max="20" width="11.5" style="337"/>
    <col min="26" max="26" width="11.5" style="337"/>
    <col min="32" max="32" width="11.5" style="337"/>
    <col min="33" max="35" width="11.5" style="344"/>
    <col min="36" max="36" width="11.5" style="345"/>
    <col min="37" max="42" width="11.5" style="344"/>
    <col min="47" max="47" width="11.5" style="337"/>
    <col min="53" max="53" width="11.5" style="344"/>
    <col min="54" max="54" width="11.5" style="337"/>
    <col min="57" max="57" width="50.6640625" customWidth="1"/>
    <col min="58" max="58" width="12.1640625" customWidth="1"/>
    <col min="59" max="59" width="10.83203125" style="344" customWidth="1"/>
    <col min="60" max="60" width="11.5" style="344"/>
    <col min="61" max="61" width="20.5" style="17" customWidth="1"/>
    <col min="62" max="62" width="88.1640625" customWidth="1"/>
  </cols>
  <sheetData>
    <row r="1" spans="1:63" ht="56" x14ac:dyDescent="0.15">
      <c r="A1" s="149" t="s">
        <v>443</v>
      </c>
      <c r="B1" s="149" t="s">
        <v>444</v>
      </c>
      <c r="C1" s="150" t="s">
        <v>445</v>
      </c>
      <c r="D1" s="151" t="s">
        <v>446</v>
      </c>
      <c r="E1" s="149" t="s">
        <v>447</v>
      </c>
      <c r="F1" s="150" t="s">
        <v>725</v>
      </c>
      <c r="G1" s="151" t="s">
        <v>448</v>
      </c>
      <c r="H1" s="152" t="s">
        <v>449</v>
      </c>
      <c r="I1" s="153" t="s">
        <v>450</v>
      </c>
      <c r="J1" s="153" t="s">
        <v>451</v>
      </c>
      <c r="K1" s="153" t="s">
        <v>452</v>
      </c>
      <c r="L1" s="153" t="s">
        <v>453</v>
      </c>
      <c r="M1" s="153" t="s">
        <v>454</v>
      </c>
      <c r="N1" s="154" t="s">
        <v>455</v>
      </c>
      <c r="O1" s="155" t="s">
        <v>456</v>
      </c>
      <c r="P1" s="155" t="s">
        <v>457</v>
      </c>
      <c r="Q1" s="155" t="s">
        <v>458</v>
      </c>
      <c r="R1" s="155" t="s">
        <v>459</v>
      </c>
      <c r="S1" s="155" t="s">
        <v>460</v>
      </c>
      <c r="T1" s="156" t="s">
        <v>461</v>
      </c>
      <c r="U1" s="157" t="s">
        <v>462</v>
      </c>
      <c r="V1" s="157" t="s">
        <v>463</v>
      </c>
      <c r="W1" s="157" t="s">
        <v>464</v>
      </c>
      <c r="X1" s="157" t="s">
        <v>465</v>
      </c>
      <c r="Y1" s="157" t="s">
        <v>466</v>
      </c>
      <c r="Z1" s="158" t="s">
        <v>467</v>
      </c>
      <c r="AA1" s="159" t="s">
        <v>468</v>
      </c>
      <c r="AB1" s="159" t="s">
        <v>469</v>
      </c>
      <c r="AC1" s="159" t="s">
        <v>470</v>
      </c>
      <c r="AD1" s="159" t="s">
        <v>471</v>
      </c>
      <c r="AE1" s="159" t="s">
        <v>472</v>
      </c>
      <c r="AF1" s="160" t="s">
        <v>473</v>
      </c>
      <c r="AG1" s="161" t="s">
        <v>474</v>
      </c>
      <c r="AH1" s="161" t="s">
        <v>475</v>
      </c>
      <c r="AI1" s="161" t="s">
        <v>476</v>
      </c>
      <c r="AJ1" s="162" t="s">
        <v>477</v>
      </c>
      <c r="AK1" s="161" t="s">
        <v>478</v>
      </c>
      <c r="AL1" s="161" t="s">
        <v>479</v>
      </c>
      <c r="AM1" s="373" t="s">
        <v>1099</v>
      </c>
      <c r="AN1" s="163" t="s">
        <v>480</v>
      </c>
      <c r="AO1" s="164" t="s">
        <v>481</v>
      </c>
      <c r="AP1" s="163" t="s">
        <v>482</v>
      </c>
      <c r="AQ1" s="155" t="s">
        <v>483</v>
      </c>
      <c r="AR1" s="165" t="s">
        <v>484</v>
      </c>
      <c r="AS1" s="155" t="s">
        <v>485</v>
      </c>
      <c r="AT1" s="165" t="s">
        <v>382</v>
      </c>
      <c r="AU1" s="156" t="s">
        <v>383</v>
      </c>
      <c r="AV1" s="364" t="s">
        <v>36</v>
      </c>
      <c r="AW1" s="365" t="s">
        <v>37</v>
      </c>
      <c r="AX1" s="165" t="s">
        <v>384</v>
      </c>
      <c r="AY1" s="156" t="s">
        <v>385</v>
      </c>
      <c r="AZ1" s="149" t="s">
        <v>386</v>
      </c>
      <c r="BA1" s="166" t="s">
        <v>387</v>
      </c>
      <c r="BB1" s="167" t="s">
        <v>388</v>
      </c>
      <c r="BC1" s="166" t="s">
        <v>389</v>
      </c>
      <c r="BD1" s="166" t="s">
        <v>390</v>
      </c>
      <c r="BE1" s="149" t="s">
        <v>391</v>
      </c>
      <c r="BF1" s="150" t="s">
        <v>392</v>
      </c>
      <c r="BG1" s="166" t="s">
        <v>393</v>
      </c>
      <c r="BH1" s="166" t="s">
        <v>394</v>
      </c>
      <c r="BI1" s="150" t="s">
        <v>395</v>
      </c>
      <c r="BJ1" s="166" t="s">
        <v>396</v>
      </c>
      <c r="BK1" s="149" t="s">
        <v>397</v>
      </c>
    </row>
    <row r="2" spans="1:63" x14ac:dyDescent="0.15">
      <c r="A2" s="148">
        <v>76</v>
      </c>
      <c r="B2" s="328">
        <v>43480</v>
      </c>
      <c r="C2" s="296" t="s">
        <v>10</v>
      </c>
      <c r="D2" s="379" t="s">
        <v>1100</v>
      </c>
      <c r="E2" s="295">
        <v>43479</v>
      </c>
      <c r="F2" s="298" t="s">
        <v>12</v>
      </c>
      <c r="G2" s="297" t="s">
        <v>13</v>
      </c>
      <c r="H2" s="297">
        <v>78.5</v>
      </c>
      <c r="I2" s="376" t="s">
        <v>1101</v>
      </c>
      <c r="J2" s="297">
        <v>3000</v>
      </c>
      <c r="K2" s="297">
        <v>6000</v>
      </c>
      <c r="L2" s="297">
        <v>9000</v>
      </c>
      <c r="M2" s="297">
        <v>15000</v>
      </c>
      <c r="N2" s="297"/>
      <c r="O2" s="297">
        <v>2.64</v>
      </c>
      <c r="P2" s="297">
        <v>2.36</v>
      </c>
      <c r="Q2" s="297">
        <v>1.88</v>
      </c>
      <c r="R2" s="297">
        <v>1.63</v>
      </c>
      <c r="S2" s="297">
        <v>1.51</v>
      </c>
      <c r="T2" s="297"/>
      <c r="U2" s="297">
        <v>2.5</v>
      </c>
      <c r="V2" s="297">
        <v>2.2200000000000002</v>
      </c>
      <c r="W2" s="297">
        <v>1.82</v>
      </c>
      <c r="X2" s="297">
        <v>1.6</v>
      </c>
      <c r="Y2" s="297">
        <v>1.47</v>
      </c>
      <c r="Z2" s="297"/>
      <c r="AA2" s="297"/>
      <c r="AB2" s="297"/>
      <c r="AC2" s="297"/>
      <c r="AD2" s="297"/>
      <c r="AE2" s="297"/>
      <c r="AF2" s="297"/>
      <c r="AG2" s="299" t="s">
        <v>1116</v>
      </c>
      <c r="AH2" s="299" t="s">
        <v>1117</v>
      </c>
      <c r="AI2" s="299">
        <v>3</v>
      </c>
      <c r="AJ2" s="299">
        <v>3</v>
      </c>
      <c r="AK2" s="377">
        <v>0.5</v>
      </c>
      <c r="AL2" s="377">
        <v>0.5</v>
      </c>
      <c r="AM2" s="366" t="s">
        <v>1118</v>
      </c>
      <c r="AN2" s="299">
        <v>0</v>
      </c>
      <c r="AO2" s="299">
        <v>0</v>
      </c>
      <c r="AP2" s="299">
        <v>0</v>
      </c>
      <c r="AQ2" s="299">
        <v>24</v>
      </c>
      <c r="AR2" s="299">
        <v>0</v>
      </c>
      <c r="AS2" s="299">
        <v>0</v>
      </c>
      <c r="AT2" s="299">
        <v>0</v>
      </c>
      <c r="AU2" s="299">
        <v>0</v>
      </c>
      <c r="AV2" s="299">
        <v>0</v>
      </c>
      <c r="AW2" s="299">
        <v>0</v>
      </c>
      <c r="AX2" s="299">
        <v>0</v>
      </c>
      <c r="AY2" s="299">
        <v>0</v>
      </c>
      <c r="AZ2" s="299"/>
      <c r="BA2" s="299" t="s">
        <v>38</v>
      </c>
      <c r="BB2" s="299">
        <v>12</v>
      </c>
      <c r="BC2" s="299" t="s">
        <v>38</v>
      </c>
      <c r="BD2" s="299"/>
      <c r="BE2" s="298"/>
      <c r="BF2" s="297"/>
      <c r="BG2" s="299"/>
      <c r="BH2" s="299" t="s">
        <v>41</v>
      </c>
      <c r="BI2" s="298"/>
      <c r="BJ2" s="366" t="s">
        <v>430</v>
      </c>
      <c r="BK2" t="s">
        <v>408</v>
      </c>
    </row>
    <row r="3" spans="1:63" x14ac:dyDescent="0.15">
      <c r="A3" s="148">
        <v>1860</v>
      </c>
      <c r="B3" s="328">
        <v>43481</v>
      </c>
      <c r="C3" s="296" t="s">
        <v>10</v>
      </c>
      <c r="D3" s="379" t="s">
        <v>1100</v>
      </c>
      <c r="E3" s="328">
        <v>43477</v>
      </c>
      <c r="F3" s="298" t="s">
        <v>14</v>
      </c>
      <c r="G3" s="379" t="s">
        <v>1102</v>
      </c>
      <c r="H3" s="297">
        <v>76</v>
      </c>
      <c r="I3" s="376" t="s">
        <v>1101</v>
      </c>
      <c r="J3" s="331">
        <v>3000</v>
      </c>
      <c r="K3" s="331">
        <v>6000</v>
      </c>
      <c r="L3" s="331">
        <v>6000</v>
      </c>
      <c r="M3" s="331">
        <v>6000</v>
      </c>
      <c r="N3" s="297"/>
      <c r="O3" s="297">
        <v>2.5</v>
      </c>
      <c r="P3" s="297">
        <v>2.2000000000000002</v>
      </c>
      <c r="Q3" s="297">
        <v>0</v>
      </c>
      <c r="R3" s="297">
        <v>0</v>
      </c>
      <c r="S3" s="297">
        <v>1.7</v>
      </c>
      <c r="T3" s="297"/>
      <c r="U3" s="297">
        <v>2.4</v>
      </c>
      <c r="V3" s="297">
        <v>2.1</v>
      </c>
      <c r="W3" s="297">
        <v>0</v>
      </c>
      <c r="X3" s="297">
        <v>0</v>
      </c>
      <c r="Y3" s="297">
        <v>1.7</v>
      </c>
      <c r="Z3" s="297"/>
      <c r="AA3" s="297"/>
      <c r="AB3" s="297"/>
      <c r="AC3" s="297"/>
      <c r="AD3" s="297"/>
      <c r="AE3" s="297"/>
      <c r="AF3" s="297"/>
      <c r="AG3" s="299" t="s">
        <v>1116</v>
      </c>
      <c r="AH3" s="299" t="s">
        <v>1117</v>
      </c>
      <c r="AI3" s="299">
        <v>3</v>
      </c>
      <c r="AJ3" s="299">
        <v>3</v>
      </c>
      <c r="AK3" s="377">
        <v>0.5</v>
      </c>
      <c r="AL3" s="377">
        <v>0.5</v>
      </c>
      <c r="AM3" s="366" t="s">
        <v>1118</v>
      </c>
      <c r="AN3" s="299">
        <v>0</v>
      </c>
      <c r="AO3" s="299">
        <v>20</v>
      </c>
      <c r="AP3" s="299">
        <v>0</v>
      </c>
      <c r="AQ3" s="299">
        <v>0</v>
      </c>
      <c r="AR3" s="299">
        <v>0</v>
      </c>
      <c r="AS3" s="299">
        <v>0</v>
      </c>
      <c r="AT3" s="299">
        <v>0</v>
      </c>
      <c r="AU3" s="299">
        <v>0</v>
      </c>
      <c r="AV3" s="299">
        <v>0</v>
      </c>
      <c r="AW3" s="299">
        <v>0</v>
      </c>
      <c r="AX3" s="299">
        <v>0</v>
      </c>
      <c r="AY3" s="299">
        <v>0</v>
      </c>
      <c r="AZ3" s="297"/>
      <c r="BA3" s="299" t="s">
        <v>38</v>
      </c>
      <c r="BB3" s="299">
        <v>12</v>
      </c>
      <c r="BC3" s="299" t="s">
        <v>38</v>
      </c>
      <c r="BD3" s="299"/>
      <c r="BE3" s="298"/>
      <c r="BF3" s="297"/>
      <c r="BG3" s="299"/>
      <c r="BH3" s="299" t="s">
        <v>411</v>
      </c>
      <c r="BI3" s="298"/>
      <c r="BJ3" s="366" t="s">
        <v>1119</v>
      </c>
      <c r="BK3" s="366" t="s">
        <v>408</v>
      </c>
    </row>
    <row r="4" spans="1:63" x14ac:dyDescent="0.15">
      <c r="A4" s="148">
        <v>1884</v>
      </c>
      <c r="B4" s="328">
        <v>43480</v>
      </c>
      <c r="C4" s="296" t="s">
        <v>10</v>
      </c>
      <c r="D4" s="379" t="s">
        <v>1100</v>
      </c>
      <c r="E4" s="295">
        <v>43437</v>
      </c>
      <c r="F4" s="298" t="s">
        <v>16</v>
      </c>
      <c r="G4" s="379" t="s">
        <v>1103</v>
      </c>
      <c r="H4" s="297">
        <v>78.099999999999994</v>
      </c>
      <c r="I4" s="376" t="s">
        <v>1101</v>
      </c>
      <c r="J4" s="297">
        <v>3000</v>
      </c>
      <c r="K4" s="297">
        <v>6000</v>
      </c>
      <c r="L4" s="297">
        <v>9000</v>
      </c>
      <c r="M4" s="297">
        <v>15000</v>
      </c>
      <c r="N4" s="297"/>
      <c r="O4" s="297">
        <v>3.35</v>
      </c>
      <c r="P4" s="297">
        <v>2.95</v>
      </c>
      <c r="Q4" s="297">
        <v>2.5499999999999998</v>
      </c>
      <c r="R4" s="297">
        <v>2.35</v>
      </c>
      <c r="S4" s="297">
        <v>2.25</v>
      </c>
      <c r="T4" s="297"/>
      <c r="U4" s="297">
        <v>3.25</v>
      </c>
      <c r="V4" s="297">
        <v>2.9</v>
      </c>
      <c r="W4" s="297">
        <v>2.5</v>
      </c>
      <c r="X4" s="297">
        <v>2.35</v>
      </c>
      <c r="Y4" s="297">
        <v>2.2999999999999998</v>
      </c>
      <c r="Z4" s="297"/>
      <c r="AA4" s="297"/>
      <c r="AB4" s="297"/>
      <c r="AC4" s="297"/>
      <c r="AD4" s="297"/>
      <c r="AE4" s="297"/>
      <c r="AF4" s="297"/>
      <c r="AG4" s="299" t="s">
        <v>1116</v>
      </c>
      <c r="AH4" s="299" t="s">
        <v>1117</v>
      </c>
      <c r="AI4" s="299">
        <v>3</v>
      </c>
      <c r="AJ4" s="299">
        <v>3</v>
      </c>
      <c r="AK4" s="377">
        <v>0.5</v>
      </c>
      <c r="AL4" s="377">
        <v>0.5</v>
      </c>
      <c r="AM4" s="366" t="s">
        <v>1118</v>
      </c>
      <c r="AN4" s="299">
        <v>0</v>
      </c>
      <c r="AO4" s="299">
        <v>0</v>
      </c>
      <c r="AP4" s="299">
        <v>26</v>
      </c>
      <c r="AQ4" s="299">
        <v>0</v>
      </c>
      <c r="AR4" s="299">
        <v>0</v>
      </c>
      <c r="AS4" s="299">
        <v>0</v>
      </c>
      <c r="AT4" s="299">
        <v>0</v>
      </c>
      <c r="AU4" s="299">
        <v>0</v>
      </c>
      <c r="AV4" s="299">
        <v>0</v>
      </c>
      <c r="AW4" s="299">
        <v>0</v>
      </c>
      <c r="AX4" s="299">
        <v>0</v>
      </c>
      <c r="AY4" s="299">
        <v>0</v>
      </c>
      <c r="AZ4" s="297"/>
      <c r="BA4" s="299" t="s">
        <v>38</v>
      </c>
      <c r="BB4" s="299"/>
      <c r="BC4" s="299" t="s">
        <v>38</v>
      </c>
      <c r="BD4" s="299"/>
      <c r="BE4" s="298"/>
      <c r="BF4" s="297"/>
      <c r="BG4" s="299"/>
      <c r="BH4" s="299" t="s">
        <v>41</v>
      </c>
      <c r="BI4" s="298" t="s">
        <v>42</v>
      </c>
      <c r="BJ4" s="366" t="s">
        <v>430</v>
      </c>
      <c r="BK4" t="s">
        <v>368</v>
      </c>
    </row>
    <row r="5" spans="1:63" x14ac:dyDescent="0.15">
      <c r="A5" s="148">
        <v>1135</v>
      </c>
      <c r="B5" s="328">
        <v>43481</v>
      </c>
      <c r="C5" s="296" t="s">
        <v>10</v>
      </c>
      <c r="D5" s="379" t="s">
        <v>1100</v>
      </c>
      <c r="E5" s="295">
        <v>43466</v>
      </c>
      <c r="F5" s="298" t="s">
        <v>18</v>
      </c>
      <c r="G5" s="297" t="s">
        <v>418</v>
      </c>
      <c r="H5" s="297">
        <v>78</v>
      </c>
      <c r="I5" s="376" t="s">
        <v>1101</v>
      </c>
      <c r="J5" s="297">
        <v>3000</v>
      </c>
      <c r="K5" s="297">
        <v>9000</v>
      </c>
      <c r="L5" s="297">
        <v>12000</v>
      </c>
      <c r="M5" s="297">
        <v>18000</v>
      </c>
      <c r="N5" s="297"/>
      <c r="O5" s="297">
        <v>2.9</v>
      </c>
      <c r="P5" s="297">
        <v>2.61</v>
      </c>
      <c r="Q5" s="297">
        <v>2.4</v>
      </c>
      <c r="R5" s="297">
        <v>2.2000000000000002</v>
      </c>
      <c r="S5" s="297">
        <v>2</v>
      </c>
      <c r="T5" s="297"/>
      <c r="U5" s="297">
        <v>2.7</v>
      </c>
      <c r="V5" s="297">
        <v>2.54</v>
      </c>
      <c r="W5" s="297">
        <v>2.1</v>
      </c>
      <c r="X5" s="297">
        <v>1.9</v>
      </c>
      <c r="Y5" s="297">
        <v>1.7</v>
      </c>
      <c r="Z5" s="297"/>
      <c r="AA5" s="297"/>
      <c r="AB5" s="297"/>
      <c r="AC5" s="297"/>
      <c r="AD5" s="297"/>
      <c r="AE5" s="297"/>
      <c r="AF5" s="297"/>
      <c r="AG5" s="299" t="s">
        <v>1116</v>
      </c>
      <c r="AH5" s="299" t="s">
        <v>1117</v>
      </c>
      <c r="AI5" s="299">
        <v>3</v>
      </c>
      <c r="AJ5" s="299">
        <v>3</v>
      </c>
      <c r="AK5" s="377">
        <v>0.5</v>
      </c>
      <c r="AL5" s="377">
        <v>0.5</v>
      </c>
      <c r="AM5" s="366" t="s">
        <v>1118</v>
      </c>
      <c r="AN5" s="299">
        <v>0</v>
      </c>
      <c r="AO5" s="299">
        <v>0</v>
      </c>
      <c r="AP5" s="299">
        <v>0</v>
      </c>
      <c r="AQ5" s="299">
        <v>16</v>
      </c>
      <c r="AR5" s="299">
        <v>0</v>
      </c>
      <c r="AS5" s="299">
        <v>0</v>
      </c>
      <c r="AT5" s="299">
        <v>0</v>
      </c>
      <c r="AU5" s="299">
        <v>0</v>
      </c>
      <c r="AV5" s="299">
        <v>0</v>
      </c>
      <c r="AW5" s="299">
        <v>0</v>
      </c>
      <c r="AX5" s="299">
        <v>0</v>
      </c>
      <c r="AY5" s="299">
        <v>0</v>
      </c>
      <c r="AZ5" s="299"/>
      <c r="BA5" s="299" t="s">
        <v>38</v>
      </c>
      <c r="BB5" s="299"/>
      <c r="BC5" s="299" t="s">
        <v>38</v>
      </c>
      <c r="BD5" s="299"/>
      <c r="BE5" s="298"/>
      <c r="BF5" s="297"/>
      <c r="BG5" s="299"/>
      <c r="BH5" s="299" t="s">
        <v>41</v>
      </c>
      <c r="BI5" s="298" t="s">
        <v>370</v>
      </c>
      <c r="BJ5" s="366" t="s">
        <v>430</v>
      </c>
      <c r="BK5" s="366" t="s">
        <v>408</v>
      </c>
    </row>
    <row r="6" spans="1:63" x14ac:dyDescent="0.15">
      <c r="A6" s="148">
        <v>883</v>
      </c>
      <c r="B6" s="328">
        <v>43480</v>
      </c>
      <c r="C6" s="296" t="s">
        <v>10</v>
      </c>
      <c r="D6" s="379" t="s">
        <v>1100</v>
      </c>
      <c r="E6" s="295">
        <v>43154</v>
      </c>
      <c r="F6" s="298" t="s">
        <v>19</v>
      </c>
      <c r="G6" s="297" t="s">
        <v>20</v>
      </c>
      <c r="H6" s="297">
        <v>73.91</v>
      </c>
      <c r="I6" s="376" t="s">
        <v>1101</v>
      </c>
      <c r="J6" s="331">
        <v>6000</v>
      </c>
      <c r="K6" s="331">
        <v>9000</v>
      </c>
      <c r="L6" s="331">
        <v>9000</v>
      </c>
      <c r="M6" s="331">
        <v>9000</v>
      </c>
      <c r="N6" s="297"/>
      <c r="O6" s="297">
        <v>2.54</v>
      </c>
      <c r="P6" s="297">
        <v>1.92</v>
      </c>
      <c r="Q6" s="297">
        <v>0</v>
      </c>
      <c r="R6" s="297">
        <v>0</v>
      </c>
      <c r="S6" s="297">
        <v>1.53</v>
      </c>
      <c r="T6" s="297"/>
      <c r="U6" s="297">
        <v>2.54</v>
      </c>
      <c r="V6" s="297">
        <v>1.92</v>
      </c>
      <c r="W6" s="297">
        <v>0</v>
      </c>
      <c r="X6" s="297">
        <v>0</v>
      </c>
      <c r="Y6" s="297">
        <v>1.53</v>
      </c>
      <c r="Z6" s="297"/>
      <c r="AA6" s="297"/>
      <c r="AB6" s="297"/>
      <c r="AC6" s="297"/>
      <c r="AD6" s="297"/>
      <c r="AE6" s="297"/>
      <c r="AF6" s="297"/>
      <c r="AG6" s="299" t="s">
        <v>1116</v>
      </c>
      <c r="AH6" s="299" t="s">
        <v>1117</v>
      </c>
      <c r="AI6" s="299">
        <v>3</v>
      </c>
      <c r="AJ6" s="299">
        <v>3</v>
      </c>
      <c r="AK6" s="377">
        <v>0.5</v>
      </c>
      <c r="AL6" s="377">
        <v>0.5</v>
      </c>
      <c r="AM6" s="366" t="s">
        <v>1118</v>
      </c>
      <c r="AN6" s="299">
        <v>0</v>
      </c>
      <c r="AO6" s="299">
        <v>0</v>
      </c>
      <c r="AP6" s="299">
        <v>0</v>
      </c>
      <c r="AQ6" s="299">
        <v>0</v>
      </c>
      <c r="AR6" s="299">
        <v>0</v>
      </c>
      <c r="AS6" s="299">
        <v>25</v>
      </c>
      <c r="AT6" s="299">
        <v>0</v>
      </c>
      <c r="AU6" s="299">
        <v>0</v>
      </c>
      <c r="AV6" s="299">
        <v>0</v>
      </c>
      <c r="AW6" s="299">
        <v>0</v>
      </c>
      <c r="AX6" s="299">
        <v>0</v>
      </c>
      <c r="AY6" s="299">
        <v>0</v>
      </c>
      <c r="AZ6" s="297"/>
      <c r="BA6" s="299" t="s">
        <v>38</v>
      </c>
      <c r="BB6" s="299"/>
      <c r="BC6" s="299" t="s">
        <v>38</v>
      </c>
      <c r="BD6" s="299"/>
      <c r="BE6" s="298"/>
      <c r="BF6" s="297"/>
      <c r="BG6" s="299"/>
      <c r="BH6" s="299" t="s">
        <v>43</v>
      </c>
      <c r="BI6" s="298"/>
      <c r="BJ6" s="366" t="s">
        <v>430</v>
      </c>
      <c r="BK6" s="366" t="s">
        <v>368</v>
      </c>
    </row>
    <row r="7" spans="1:63" x14ac:dyDescent="0.15">
      <c r="A7" s="148">
        <v>744</v>
      </c>
      <c r="B7" s="328">
        <v>43481</v>
      </c>
      <c r="C7" s="296" t="s">
        <v>10</v>
      </c>
      <c r="D7" s="379" t="s">
        <v>1100</v>
      </c>
      <c r="E7" s="295">
        <v>43467</v>
      </c>
      <c r="F7" s="298" t="s">
        <v>21</v>
      </c>
      <c r="G7" s="297" t="s">
        <v>1104</v>
      </c>
      <c r="H7" s="297">
        <v>78.5</v>
      </c>
      <c r="I7" s="376" t="s">
        <v>1101</v>
      </c>
      <c r="J7" s="297">
        <v>6000</v>
      </c>
      <c r="K7" s="297">
        <v>6000</v>
      </c>
      <c r="L7" s="297">
        <v>6000</v>
      </c>
      <c r="M7" s="297">
        <v>6000</v>
      </c>
      <c r="N7" s="297"/>
      <c r="O7" s="297">
        <v>2.56</v>
      </c>
      <c r="P7" s="297">
        <v>0</v>
      </c>
      <c r="Q7" s="297">
        <v>0</v>
      </c>
      <c r="R7" s="297">
        <v>0</v>
      </c>
      <c r="S7" s="297">
        <v>1.86</v>
      </c>
      <c r="T7" s="297"/>
      <c r="U7" s="297">
        <v>2.56</v>
      </c>
      <c r="V7" s="297">
        <v>0</v>
      </c>
      <c r="W7" s="297">
        <v>0</v>
      </c>
      <c r="X7" s="297">
        <v>0</v>
      </c>
      <c r="Y7" s="297">
        <v>1.86</v>
      </c>
      <c r="Z7" s="297"/>
      <c r="AA7" s="297"/>
      <c r="AB7" s="297"/>
      <c r="AC7" s="297"/>
      <c r="AD7" s="297"/>
      <c r="AE7" s="297"/>
      <c r="AF7" s="297"/>
      <c r="AG7" s="299" t="s">
        <v>38</v>
      </c>
      <c r="AH7" s="297"/>
      <c r="AI7" s="299">
        <v>3</v>
      </c>
      <c r="AJ7" s="299">
        <v>3</v>
      </c>
      <c r="AK7" s="377">
        <v>0.5</v>
      </c>
      <c r="AL7" s="377">
        <v>0.5</v>
      </c>
      <c r="AM7" s="366"/>
      <c r="AN7" s="299">
        <v>0</v>
      </c>
      <c r="AO7" s="299">
        <v>22</v>
      </c>
      <c r="AP7" s="299">
        <v>0</v>
      </c>
      <c r="AQ7" s="299">
        <v>0</v>
      </c>
      <c r="AR7" s="299">
        <v>0</v>
      </c>
      <c r="AS7" s="299">
        <v>0</v>
      </c>
      <c r="AT7" s="299">
        <v>0</v>
      </c>
      <c r="AU7" s="299">
        <v>0</v>
      </c>
      <c r="AV7" s="299">
        <v>0</v>
      </c>
      <c r="AW7" s="299">
        <v>0</v>
      </c>
      <c r="AX7" s="299">
        <v>0</v>
      </c>
      <c r="AY7" s="299">
        <v>0</v>
      </c>
      <c r="AZ7" s="297"/>
      <c r="BA7" s="299" t="s">
        <v>38</v>
      </c>
      <c r="BB7" s="299">
        <v>12</v>
      </c>
      <c r="BC7" s="299" t="s">
        <v>38</v>
      </c>
      <c r="BD7" s="299"/>
      <c r="BE7" s="298" t="s">
        <v>218</v>
      </c>
      <c r="BF7" s="297" t="s">
        <v>40</v>
      </c>
      <c r="BG7" s="299">
        <v>50</v>
      </c>
      <c r="BH7" s="299" t="s">
        <v>41</v>
      </c>
      <c r="BI7" s="298"/>
      <c r="BJ7" s="366" t="s">
        <v>430</v>
      </c>
      <c r="BK7" s="366" t="s">
        <v>408</v>
      </c>
    </row>
    <row r="8" spans="1:63" x14ac:dyDescent="0.15">
      <c r="A8" s="148">
        <v>1942</v>
      </c>
      <c r="B8" s="328">
        <v>43481</v>
      </c>
      <c r="C8" s="296" t="s">
        <v>10</v>
      </c>
      <c r="D8" s="379" t="s">
        <v>1100</v>
      </c>
      <c r="E8" s="295">
        <v>43466</v>
      </c>
      <c r="F8" s="298" t="s">
        <v>22</v>
      </c>
      <c r="G8" s="297" t="s">
        <v>1105</v>
      </c>
      <c r="H8" s="297">
        <v>65</v>
      </c>
      <c r="I8" s="376" t="s">
        <v>1101</v>
      </c>
      <c r="J8" s="297">
        <v>3000</v>
      </c>
      <c r="K8" s="297">
        <v>6000</v>
      </c>
      <c r="L8" s="297">
        <v>9000</v>
      </c>
      <c r="M8" s="297">
        <v>15000</v>
      </c>
      <c r="N8" s="297"/>
      <c r="O8" s="297">
        <v>2.1</v>
      </c>
      <c r="P8" s="297">
        <v>1.95</v>
      </c>
      <c r="Q8" s="297">
        <v>1.69</v>
      </c>
      <c r="R8" s="297">
        <v>1.55</v>
      </c>
      <c r="S8" s="297">
        <v>1.53</v>
      </c>
      <c r="T8" s="297"/>
      <c r="U8" s="297">
        <v>2</v>
      </c>
      <c r="V8" s="297">
        <v>1.84</v>
      </c>
      <c r="W8" s="297">
        <v>1.62</v>
      </c>
      <c r="X8" s="297">
        <v>1.54</v>
      </c>
      <c r="Y8" s="297">
        <v>1.45</v>
      </c>
      <c r="Z8" s="297"/>
      <c r="AA8" s="297"/>
      <c r="AB8" s="297"/>
      <c r="AC8" s="297"/>
      <c r="AD8" s="297"/>
      <c r="AE8" s="297"/>
      <c r="AF8" s="297"/>
      <c r="AG8" s="299" t="s">
        <v>1116</v>
      </c>
      <c r="AH8" s="299" t="s">
        <v>1117</v>
      </c>
      <c r="AI8" s="299">
        <v>3</v>
      </c>
      <c r="AJ8" s="299">
        <v>3</v>
      </c>
      <c r="AK8" s="377">
        <v>0.5</v>
      </c>
      <c r="AL8" s="377">
        <v>0.5</v>
      </c>
      <c r="AM8" s="366" t="s">
        <v>1118</v>
      </c>
      <c r="AN8" s="299">
        <v>0</v>
      </c>
      <c r="AO8" s="299">
        <v>0</v>
      </c>
      <c r="AP8" s="299">
        <v>3</v>
      </c>
      <c r="AQ8" s="299">
        <v>0</v>
      </c>
      <c r="AR8" s="299">
        <v>0</v>
      </c>
      <c r="AS8" s="299">
        <v>0</v>
      </c>
      <c r="AT8" s="299">
        <v>0</v>
      </c>
      <c r="AU8" s="299">
        <v>0</v>
      </c>
      <c r="AV8" s="299">
        <v>0</v>
      </c>
      <c r="AW8" s="299">
        <v>0</v>
      </c>
      <c r="AX8" s="299">
        <v>0</v>
      </c>
      <c r="AY8" s="299">
        <v>0</v>
      </c>
      <c r="AZ8" s="297"/>
      <c r="BA8" s="299" t="s">
        <v>38</v>
      </c>
      <c r="BB8" s="299"/>
      <c r="BC8" s="299" t="s">
        <v>38</v>
      </c>
      <c r="BD8" s="299"/>
      <c r="BE8" s="298" t="s">
        <v>1120</v>
      </c>
      <c r="BF8" s="297" t="s">
        <v>40</v>
      </c>
      <c r="BG8" s="299">
        <v>50</v>
      </c>
      <c r="BH8" s="299" t="s">
        <v>41</v>
      </c>
      <c r="BI8" s="298"/>
      <c r="BJ8" t="s">
        <v>430</v>
      </c>
      <c r="BK8" t="s">
        <v>1121</v>
      </c>
    </row>
    <row r="9" spans="1:63" x14ac:dyDescent="0.15">
      <c r="A9" s="148">
        <v>312</v>
      </c>
      <c r="B9" s="328">
        <v>43481</v>
      </c>
      <c r="C9" s="296" t="s">
        <v>10</v>
      </c>
      <c r="D9" s="379" t="s">
        <v>1100</v>
      </c>
      <c r="E9" s="295">
        <v>43466</v>
      </c>
      <c r="F9" s="297" t="s">
        <v>24</v>
      </c>
      <c r="G9" s="297" t="s">
        <v>20</v>
      </c>
      <c r="H9" s="297">
        <v>81.44</v>
      </c>
      <c r="I9" s="376" t="s">
        <v>1101</v>
      </c>
      <c r="J9" s="297">
        <v>3000</v>
      </c>
      <c r="K9" s="297">
        <v>6000</v>
      </c>
      <c r="L9" s="297">
        <v>9000</v>
      </c>
      <c r="M9" s="297">
        <v>15000</v>
      </c>
      <c r="N9" s="297"/>
      <c r="O9" s="297">
        <v>2.173</v>
      </c>
      <c r="P9" s="297">
        <v>1.984</v>
      </c>
      <c r="Q9" s="297">
        <v>1.756</v>
      </c>
      <c r="R9" s="297">
        <v>1.635</v>
      </c>
      <c r="S9" s="297">
        <v>1.6040000000000001</v>
      </c>
      <c r="T9" s="297"/>
      <c r="U9" s="297">
        <v>2.0059999999999998</v>
      </c>
      <c r="V9" s="297">
        <v>1.847</v>
      </c>
      <c r="W9" s="297">
        <v>1.653</v>
      </c>
      <c r="X9" s="297">
        <v>1.55</v>
      </c>
      <c r="Y9" s="297">
        <v>1.5249999999999999</v>
      </c>
      <c r="Z9" s="297"/>
      <c r="AA9" s="297"/>
      <c r="AB9" s="297"/>
      <c r="AC9" s="297"/>
      <c r="AD9" s="297"/>
      <c r="AE9" s="297"/>
      <c r="AF9" s="297"/>
      <c r="AG9" s="299" t="s">
        <v>1116</v>
      </c>
      <c r="AH9" s="299" t="s">
        <v>1117</v>
      </c>
      <c r="AI9" s="299">
        <v>3</v>
      </c>
      <c r="AJ9" s="299">
        <v>3</v>
      </c>
      <c r="AK9" s="377">
        <v>0.5</v>
      </c>
      <c r="AL9" s="377">
        <v>0.5</v>
      </c>
      <c r="AM9" s="366" t="s">
        <v>1118</v>
      </c>
      <c r="AN9" s="299">
        <v>0</v>
      </c>
      <c r="AO9" s="299">
        <v>0</v>
      </c>
      <c r="AP9" s="299">
        <v>0</v>
      </c>
      <c r="AQ9" s="299">
        <v>0</v>
      </c>
      <c r="AR9" s="299">
        <v>0</v>
      </c>
      <c r="AS9" s="299">
        <v>0</v>
      </c>
      <c r="AT9" s="299">
        <v>0</v>
      </c>
      <c r="AU9" s="299">
        <v>0</v>
      </c>
      <c r="AV9" s="299">
        <v>0</v>
      </c>
      <c r="AW9" s="299">
        <v>0</v>
      </c>
      <c r="AX9" s="299">
        <v>0</v>
      </c>
      <c r="AY9" s="299">
        <v>0</v>
      </c>
      <c r="AZ9" s="297"/>
      <c r="BA9" s="299" t="s">
        <v>38</v>
      </c>
      <c r="BB9" s="299"/>
      <c r="BC9" s="299" t="s">
        <v>38</v>
      </c>
      <c r="BD9" s="299"/>
      <c r="BE9" s="298" t="s">
        <v>44</v>
      </c>
      <c r="BF9" s="297" t="s">
        <v>40</v>
      </c>
      <c r="BG9" s="299">
        <v>50</v>
      </c>
      <c r="BH9" s="299" t="s">
        <v>43</v>
      </c>
      <c r="BI9" s="298"/>
      <c r="BJ9" t="s">
        <v>430</v>
      </c>
      <c r="BK9" t="s">
        <v>408</v>
      </c>
    </row>
    <row r="10" spans="1:63" x14ac:dyDescent="0.15">
      <c r="A10" s="148">
        <v>567</v>
      </c>
      <c r="B10" s="328">
        <v>43481</v>
      </c>
      <c r="C10" s="296" t="s">
        <v>10</v>
      </c>
      <c r="D10" s="379" t="s">
        <v>1100</v>
      </c>
      <c r="E10" s="295">
        <v>43466</v>
      </c>
      <c r="F10" s="298" t="s">
        <v>25</v>
      </c>
      <c r="G10" s="297" t="s">
        <v>26</v>
      </c>
      <c r="H10" s="297">
        <v>70</v>
      </c>
      <c r="I10" s="376" t="s">
        <v>1101</v>
      </c>
      <c r="J10" s="331">
        <v>6000</v>
      </c>
      <c r="K10" s="331">
        <v>9000</v>
      </c>
      <c r="L10" s="331">
        <v>9000</v>
      </c>
      <c r="M10" s="331">
        <v>9000</v>
      </c>
      <c r="N10" s="331"/>
      <c r="O10" s="297">
        <v>2.4</v>
      </c>
      <c r="P10" s="297">
        <v>1.95</v>
      </c>
      <c r="Q10" s="297">
        <v>0</v>
      </c>
      <c r="R10" s="297">
        <v>0</v>
      </c>
      <c r="S10" s="297">
        <v>1.45</v>
      </c>
      <c r="T10" s="297"/>
      <c r="U10" s="297">
        <v>2.2000000000000002</v>
      </c>
      <c r="V10" s="297">
        <v>1.75</v>
      </c>
      <c r="W10" s="297">
        <v>0</v>
      </c>
      <c r="X10" s="297">
        <v>0</v>
      </c>
      <c r="Y10" s="297">
        <v>1.35</v>
      </c>
      <c r="Z10" s="297"/>
      <c r="AA10" s="297"/>
      <c r="AB10" s="297"/>
      <c r="AC10" s="297"/>
      <c r="AD10" s="297"/>
      <c r="AE10" s="297"/>
      <c r="AF10" s="297"/>
      <c r="AG10" s="299" t="s">
        <v>1116</v>
      </c>
      <c r="AH10" s="299" t="s">
        <v>1117</v>
      </c>
      <c r="AI10" s="299">
        <v>3</v>
      </c>
      <c r="AJ10" s="299">
        <v>3</v>
      </c>
      <c r="AK10" s="377">
        <v>0.5</v>
      </c>
      <c r="AL10" s="377">
        <v>0.5</v>
      </c>
      <c r="AM10" s="366" t="s">
        <v>1118</v>
      </c>
      <c r="AN10" s="299">
        <v>0</v>
      </c>
      <c r="AO10" s="299">
        <v>0</v>
      </c>
      <c r="AP10" s="299">
        <v>0</v>
      </c>
      <c r="AQ10" s="299">
        <v>13</v>
      </c>
      <c r="AR10" s="299">
        <v>0</v>
      </c>
      <c r="AS10" s="299">
        <v>0</v>
      </c>
      <c r="AT10" s="299">
        <v>0</v>
      </c>
      <c r="AU10" s="299">
        <v>0</v>
      </c>
      <c r="AV10" s="299">
        <v>0</v>
      </c>
      <c r="AW10" s="299">
        <v>0</v>
      </c>
      <c r="AX10" s="299">
        <v>0</v>
      </c>
      <c r="AY10" s="299">
        <v>0</v>
      </c>
      <c r="AZ10" s="297"/>
      <c r="BA10" s="299" t="s">
        <v>38</v>
      </c>
      <c r="BB10" s="299">
        <v>12</v>
      </c>
      <c r="BC10" s="299" t="s">
        <v>38</v>
      </c>
      <c r="BD10" s="299"/>
      <c r="BE10" s="298"/>
      <c r="BF10" s="298"/>
      <c r="BG10" s="299"/>
      <c r="BH10" s="299" t="s">
        <v>41</v>
      </c>
      <c r="BI10" s="298"/>
      <c r="BJ10" s="366" t="s">
        <v>430</v>
      </c>
      <c r="BK10" s="366" t="s">
        <v>408</v>
      </c>
    </row>
    <row r="11" spans="1:63" x14ac:dyDescent="0.15">
      <c r="A11" s="148">
        <v>1425</v>
      </c>
      <c r="B11" s="328">
        <v>43481</v>
      </c>
      <c r="C11" s="382" t="s">
        <v>10</v>
      </c>
      <c r="D11" s="379" t="s">
        <v>1100</v>
      </c>
      <c r="E11" s="309">
        <v>43466</v>
      </c>
      <c r="F11" s="385" t="s">
        <v>27</v>
      </c>
      <c r="G11" s="379" t="s">
        <v>28</v>
      </c>
      <c r="H11" s="383">
        <v>70</v>
      </c>
      <c r="I11" s="392" t="s">
        <v>1101</v>
      </c>
      <c r="J11" s="331">
        <v>6000</v>
      </c>
      <c r="K11" s="331">
        <v>9000</v>
      </c>
      <c r="L11" s="331">
        <v>9000</v>
      </c>
      <c r="M11" s="331">
        <v>9000</v>
      </c>
      <c r="N11" s="297"/>
      <c r="O11" s="383">
        <v>2.0499999999999998</v>
      </c>
      <c r="P11" s="383">
        <v>1.8</v>
      </c>
      <c r="Q11" s="297">
        <v>0</v>
      </c>
      <c r="R11" s="297">
        <v>0</v>
      </c>
      <c r="S11" s="383">
        <v>1.5</v>
      </c>
      <c r="T11" s="297"/>
      <c r="U11" s="297">
        <v>1.95</v>
      </c>
      <c r="V11" s="297">
        <v>1.55</v>
      </c>
      <c r="W11" s="297">
        <v>0</v>
      </c>
      <c r="X11" s="297">
        <v>0</v>
      </c>
      <c r="Y11" s="297">
        <v>1.4</v>
      </c>
      <c r="Z11" s="297"/>
      <c r="AA11" s="297"/>
      <c r="AB11" s="297"/>
      <c r="AC11" s="297"/>
      <c r="AD11" s="297"/>
      <c r="AE11" s="297"/>
      <c r="AF11" s="297"/>
      <c r="AG11" s="299" t="s">
        <v>1116</v>
      </c>
      <c r="AH11" s="299" t="s">
        <v>1117</v>
      </c>
      <c r="AI11" s="299">
        <v>3</v>
      </c>
      <c r="AJ11" s="299">
        <v>3</v>
      </c>
      <c r="AK11" s="377">
        <v>0.5</v>
      </c>
      <c r="AL11" s="377">
        <v>0.5</v>
      </c>
      <c r="AM11" s="366" t="s">
        <v>1118</v>
      </c>
      <c r="AN11" s="299">
        <v>0</v>
      </c>
      <c r="AO11" s="299">
        <v>0</v>
      </c>
      <c r="AP11" s="299">
        <v>10</v>
      </c>
      <c r="AQ11" s="299">
        <v>0</v>
      </c>
      <c r="AR11" s="299">
        <v>0</v>
      </c>
      <c r="AS11" s="299">
        <v>0</v>
      </c>
      <c r="AT11" s="299">
        <v>0</v>
      </c>
      <c r="AU11" s="299">
        <v>0</v>
      </c>
      <c r="AV11" s="299">
        <v>0</v>
      </c>
      <c r="AW11" s="299">
        <v>0</v>
      </c>
      <c r="AX11" s="299">
        <v>0</v>
      </c>
      <c r="AY11" s="299">
        <v>0</v>
      </c>
      <c r="AZ11" s="299"/>
      <c r="BA11" s="299" t="s">
        <v>38</v>
      </c>
      <c r="BB11" s="299"/>
      <c r="BC11" s="299" t="s">
        <v>38</v>
      </c>
      <c r="BD11" s="299"/>
      <c r="BE11" s="298"/>
      <c r="BF11" s="297"/>
      <c r="BG11" s="299"/>
      <c r="BH11" s="299" t="s">
        <v>41</v>
      </c>
      <c r="BI11" s="298"/>
      <c r="BJ11" s="366" t="s">
        <v>1122</v>
      </c>
      <c r="BK11" s="366" t="s">
        <v>408</v>
      </c>
    </row>
    <row r="12" spans="1:63" x14ac:dyDescent="0.15">
      <c r="A12" s="148">
        <v>778</v>
      </c>
      <c r="B12" s="328">
        <v>43481</v>
      </c>
      <c r="C12" s="382" t="s">
        <v>10</v>
      </c>
      <c r="D12" s="379" t="s">
        <v>1100</v>
      </c>
      <c r="E12" s="309">
        <v>43369</v>
      </c>
      <c r="F12" s="385" t="s">
        <v>29</v>
      </c>
      <c r="G12" s="297" t="s">
        <v>30</v>
      </c>
      <c r="H12" s="383">
        <v>70.099999999999994</v>
      </c>
      <c r="I12" s="392" t="s">
        <v>1101</v>
      </c>
      <c r="J12" s="297">
        <v>3000</v>
      </c>
      <c r="K12" s="297">
        <v>6000</v>
      </c>
      <c r="L12" s="297">
        <v>9000</v>
      </c>
      <c r="M12" s="297">
        <v>15000</v>
      </c>
      <c r="N12" s="297"/>
      <c r="O12" s="383">
        <v>2.95</v>
      </c>
      <c r="P12" s="383">
        <v>2.63</v>
      </c>
      <c r="Q12" s="383">
        <v>2.25</v>
      </c>
      <c r="R12" s="297">
        <v>2.04</v>
      </c>
      <c r="S12" s="297">
        <v>1.99</v>
      </c>
      <c r="T12" s="297"/>
      <c r="U12" s="297">
        <v>2.78</v>
      </c>
      <c r="V12" s="297">
        <v>2.5099999999999998</v>
      </c>
      <c r="W12" s="297">
        <v>2.19</v>
      </c>
      <c r="X12" s="297">
        <v>2.0099999999999998</v>
      </c>
      <c r="Y12" s="297">
        <v>1.97</v>
      </c>
      <c r="Z12" s="297"/>
      <c r="AA12" s="297">
        <v>2.9</v>
      </c>
      <c r="AB12" s="297">
        <v>2.59</v>
      </c>
      <c r="AC12" s="297">
        <v>2.23</v>
      </c>
      <c r="AD12" s="297">
        <v>2.0299999999999998</v>
      </c>
      <c r="AE12" s="297">
        <v>1.99</v>
      </c>
      <c r="AF12" s="297"/>
      <c r="AG12" s="299" t="s">
        <v>1116</v>
      </c>
      <c r="AH12" s="299" t="s">
        <v>1117</v>
      </c>
      <c r="AI12" s="299">
        <v>3</v>
      </c>
      <c r="AJ12" s="299">
        <v>3</v>
      </c>
      <c r="AK12" s="377">
        <v>0.5</v>
      </c>
      <c r="AL12" s="377">
        <v>0.5</v>
      </c>
      <c r="AM12" s="366" t="s">
        <v>1123</v>
      </c>
      <c r="AN12" s="299">
        <v>0</v>
      </c>
      <c r="AO12" s="299">
        <v>0</v>
      </c>
      <c r="AP12" s="299">
        <v>0</v>
      </c>
      <c r="AQ12" s="299">
        <v>26</v>
      </c>
      <c r="AR12" s="299">
        <v>0</v>
      </c>
      <c r="AS12" s="299">
        <v>0</v>
      </c>
      <c r="AT12" s="299">
        <v>0</v>
      </c>
      <c r="AU12" s="299">
        <v>0</v>
      </c>
      <c r="AV12" s="299">
        <v>0</v>
      </c>
      <c r="AW12" s="299">
        <v>0</v>
      </c>
      <c r="AX12" s="299">
        <v>0</v>
      </c>
      <c r="AY12" s="299">
        <v>0</v>
      </c>
      <c r="AZ12" s="297"/>
      <c r="BA12" s="299" t="s">
        <v>38</v>
      </c>
      <c r="BB12" s="299">
        <v>24</v>
      </c>
      <c r="BC12" s="299" t="s">
        <v>38</v>
      </c>
      <c r="BD12" s="299"/>
      <c r="BE12" s="378" t="s">
        <v>46</v>
      </c>
      <c r="BF12" s="297" t="s">
        <v>365</v>
      </c>
      <c r="BG12" s="299">
        <v>50</v>
      </c>
      <c r="BH12" s="299" t="s">
        <v>43</v>
      </c>
      <c r="BI12" s="298"/>
      <c r="BJ12" t="s">
        <v>430</v>
      </c>
      <c r="BK12" s="366" t="s">
        <v>368</v>
      </c>
    </row>
    <row r="13" spans="1:63" x14ac:dyDescent="0.15">
      <c r="A13" s="148">
        <v>1613</v>
      </c>
      <c r="B13" s="328">
        <v>43481</v>
      </c>
      <c r="C13" s="382" t="s">
        <v>10</v>
      </c>
      <c r="D13" s="379" t="s">
        <v>1100</v>
      </c>
      <c r="E13" s="309">
        <v>43221</v>
      </c>
      <c r="F13" s="383" t="s">
        <v>31</v>
      </c>
      <c r="G13" s="297" t="s">
        <v>32</v>
      </c>
      <c r="H13" s="387">
        <v>73.147000000000006</v>
      </c>
      <c r="I13" s="393" t="s">
        <v>1101</v>
      </c>
      <c r="J13" s="297">
        <v>3000</v>
      </c>
      <c r="K13" s="297">
        <v>6000</v>
      </c>
      <c r="L13" s="297">
        <v>9000</v>
      </c>
      <c r="M13" s="297">
        <v>15000</v>
      </c>
      <c r="N13" s="332"/>
      <c r="O13" s="387">
        <v>2.8460000000000001</v>
      </c>
      <c r="P13" s="387">
        <v>2.472</v>
      </c>
      <c r="Q13" s="387">
        <v>2.125</v>
      </c>
      <c r="R13" s="332">
        <v>1.782</v>
      </c>
      <c r="S13" s="332">
        <v>1.66</v>
      </c>
      <c r="T13" s="332"/>
      <c r="U13" s="332">
        <v>2.552</v>
      </c>
      <c r="V13" s="332">
        <v>2.238</v>
      </c>
      <c r="W13" s="332">
        <v>1.929</v>
      </c>
      <c r="X13" s="332">
        <v>1.66</v>
      </c>
      <c r="Y13" s="332">
        <v>1.528</v>
      </c>
      <c r="Z13" s="332"/>
      <c r="AA13" s="332"/>
      <c r="AB13" s="332"/>
      <c r="AC13" s="332"/>
      <c r="AD13" s="332"/>
      <c r="AE13" s="332"/>
      <c r="AF13" s="332"/>
      <c r="AG13" s="333" t="s">
        <v>1116</v>
      </c>
      <c r="AH13" s="333" t="s">
        <v>1117</v>
      </c>
      <c r="AI13" s="299">
        <v>3</v>
      </c>
      <c r="AJ13" s="299">
        <v>3</v>
      </c>
      <c r="AK13" s="377">
        <v>0.5</v>
      </c>
      <c r="AL13" s="377">
        <v>0.5</v>
      </c>
      <c r="AM13" s="366" t="s">
        <v>1118</v>
      </c>
      <c r="AN13" s="299">
        <v>0</v>
      </c>
      <c r="AO13" s="299">
        <v>0</v>
      </c>
      <c r="AP13" s="299">
        <v>0</v>
      </c>
      <c r="AQ13" s="299">
        <v>25</v>
      </c>
      <c r="AR13" s="299">
        <v>0</v>
      </c>
      <c r="AS13" s="299">
        <v>0</v>
      </c>
      <c r="AT13" s="299">
        <v>0</v>
      </c>
      <c r="AU13" s="299">
        <v>0</v>
      </c>
      <c r="AV13" s="299">
        <v>0</v>
      </c>
      <c r="AW13" s="299">
        <v>0</v>
      </c>
      <c r="AX13" s="299">
        <v>0</v>
      </c>
      <c r="AY13" s="299">
        <v>0</v>
      </c>
      <c r="AZ13" s="299"/>
      <c r="BA13" s="299" t="s">
        <v>38</v>
      </c>
      <c r="BB13" s="299">
        <v>12</v>
      </c>
      <c r="BC13" s="299" t="s">
        <v>38</v>
      </c>
      <c r="BD13" s="299"/>
      <c r="BE13" s="298"/>
      <c r="BF13" s="297"/>
      <c r="BG13" s="299"/>
      <c r="BH13" s="299" t="s">
        <v>43</v>
      </c>
      <c r="BI13" s="298"/>
      <c r="BJ13" t="s">
        <v>430</v>
      </c>
      <c r="BK13" s="366" t="s">
        <v>368</v>
      </c>
    </row>
    <row r="14" spans="1:63" x14ac:dyDescent="0.15">
      <c r="A14" s="148">
        <v>1920</v>
      </c>
      <c r="B14" s="328">
        <v>43480</v>
      </c>
      <c r="C14" s="296" t="s">
        <v>10</v>
      </c>
      <c r="D14" s="379" t="s">
        <v>1100</v>
      </c>
      <c r="E14" s="295">
        <v>43479</v>
      </c>
      <c r="F14" s="298" t="s">
        <v>987</v>
      </c>
      <c r="G14" s="297" t="s">
        <v>1127</v>
      </c>
      <c r="H14" s="297">
        <v>53.107999999999997</v>
      </c>
      <c r="I14" s="376" t="s">
        <v>1101</v>
      </c>
      <c r="J14" s="297">
        <v>3000</v>
      </c>
      <c r="K14" s="297">
        <v>6000</v>
      </c>
      <c r="L14" s="297">
        <v>9000</v>
      </c>
      <c r="M14" s="297">
        <v>15000</v>
      </c>
      <c r="N14" s="297"/>
      <c r="O14" s="297">
        <v>2.278</v>
      </c>
      <c r="P14" s="297">
        <v>2.0059999999999998</v>
      </c>
      <c r="Q14" s="297">
        <v>1.734</v>
      </c>
      <c r="R14" s="297">
        <v>1.5980000000000001</v>
      </c>
      <c r="S14" s="297">
        <v>1.53</v>
      </c>
      <c r="T14" s="297"/>
      <c r="U14" s="297">
        <v>2.21</v>
      </c>
      <c r="V14" s="297">
        <v>1.972</v>
      </c>
      <c r="W14" s="297">
        <v>1.7</v>
      </c>
      <c r="X14" s="297">
        <v>1.5980000000000001</v>
      </c>
      <c r="Y14" s="297">
        <v>1.5640000000000001</v>
      </c>
      <c r="Z14" s="297"/>
      <c r="AA14" s="297"/>
      <c r="AB14" s="297"/>
      <c r="AC14" s="297"/>
      <c r="AD14" s="297"/>
      <c r="AE14" s="297"/>
      <c r="AF14" s="297"/>
      <c r="AG14" s="299" t="s">
        <v>1116</v>
      </c>
      <c r="AH14" s="299" t="s">
        <v>1117</v>
      </c>
      <c r="AI14" s="299">
        <v>3</v>
      </c>
      <c r="AJ14" s="299">
        <v>3</v>
      </c>
      <c r="AK14" s="377">
        <v>0.5</v>
      </c>
      <c r="AL14" s="377">
        <v>0.5</v>
      </c>
      <c r="AM14" s="366" t="s">
        <v>1118</v>
      </c>
      <c r="AN14" s="299">
        <v>0</v>
      </c>
      <c r="AO14" s="299">
        <v>0</v>
      </c>
      <c r="AP14" s="299">
        <v>0</v>
      </c>
      <c r="AQ14" s="299">
        <v>0</v>
      </c>
      <c r="AR14" s="299">
        <v>0</v>
      </c>
      <c r="AS14" s="299">
        <v>0</v>
      </c>
      <c r="AT14" s="299">
        <v>0</v>
      </c>
      <c r="AU14" s="299">
        <v>0</v>
      </c>
      <c r="AV14" s="299">
        <v>0</v>
      </c>
      <c r="AW14" s="299">
        <v>0</v>
      </c>
      <c r="AX14" s="299">
        <v>0</v>
      </c>
      <c r="AY14" s="299">
        <v>0</v>
      </c>
      <c r="AZ14" s="299"/>
      <c r="BA14" s="299" t="s">
        <v>38</v>
      </c>
      <c r="BB14" s="299"/>
      <c r="BC14" s="299" t="s">
        <v>38</v>
      </c>
      <c r="BD14" s="299"/>
      <c r="BE14" s="298"/>
      <c r="BF14" s="297"/>
      <c r="BG14" s="299"/>
      <c r="BH14" s="299" t="s">
        <v>41</v>
      </c>
      <c r="BI14" s="298" t="s">
        <v>370</v>
      </c>
      <c r="BJ14" t="s">
        <v>430</v>
      </c>
      <c r="BK14" t="s">
        <v>368</v>
      </c>
    </row>
    <row r="15" spans="1:63" x14ac:dyDescent="0.15">
      <c r="A15" s="148">
        <v>1682</v>
      </c>
      <c r="B15" s="328">
        <v>43480</v>
      </c>
      <c r="C15" s="296" t="s">
        <v>295</v>
      </c>
      <c r="D15" s="379" t="s">
        <v>1100</v>
      </c>
      <c r="E15" s="328">
        <v>43419</v>
      </c>
      <c r="F15" s="378" t="s">
        <v>1106</v>
      </c>
      <c r="G15" s="297" t="s">
        <v>2</v>
      </c>
      <c r="H15" s="297">
        <v>95</v>
      </c>
      <c r="I15" s="376" t="s">
        <v>296</v>
      </c>
      <c r="J15" s="297">
        <v>6000</v>
      </c>
      <c r="K15" s="297">
        <v>6000</v>
      </c>
      <c r="L15" s="297">
        <v>6000</v>
      </c>
      <c r="M15" s="297">
        <v>6000</v>
      </c>
      <c r="N15" s="297"/>
      <c r="O15" s="297">
        <v>2.9</v>
      </c>
      <c r="P15" s="297">
        <v>0</v>
      </c>
      <c r="Q15" s="297">
        <v>0</v>
      </c>
      <c r="R15" s="297">
        <v>0</v>
      </c>
      <c r="S15" s="297">
        <v>2.1</v>
      </c>
      <c r="T15" s="297"/>
      <c r="U15" s="297">
        <v>2.75</v>
      </c>
      <c r="V15" s="297">
        <v>0</v>
      </c>
      <c r="W15" s="297">
        <v>0</v>
      </c>
      <c r="X15" s="297">
        <v>0</v>
      </c>
      <c r="Y15" s="297">
        <v>2.0499999999999998</v>
      </c>
      <c r="Z15" s="297"/>
      <c r="AA15" s="297"/>
      <c r="AB15" s="297"/>
      <c r="AC15" s="297"/>
      <c r="AD15" s="297"/>
      <c r="AE15" s="297"/>
      <c r="AF15" s="297"/>
      <c r="AG15" s="333" t="s">
        <v>1116</v>
      </c>
      <c r="AH15" s="333" t="s">
        <v>1117</v>
      </c>
      <c r="AI15" s="299">
        <v>3</v>
      </c>
      <c r="AJ15" s="299">
        <v>3</v>
      </c>
      <c r="AK15" s="377">
        <v>0.5</v>
      </c>
      <c r="AL15" s="377">
        <v>0.5</v>
      </c>
      <c r="AM15" s="366" t="s">
        <v>1118</v>
      </c>
      <c r="AN15" s="299">
        <v>0</v>
      </c>
      <c r="AO15" s="299">
        <v>0</v>
      </c>
      <c r="AP15" s="299">
        <v>32</v>
      </c>
      <c r="AQ15" s="299">
        <v>0</v>
      </c>
      <c r="AR15" s="299">
        <v>0</v>
      </c>
      <c r="AS15" s="299">
        <v>0</v>
      </c>
      <c r="AT15" s="299">
        <v>0</v>
      </c>
      <c r="AU15" s="299">
        <v>0</v>
      </c>
      <c r="AV15" s="299">
        <v>0</v>
      </c>
      <c r="AW15" s="299">
        <v>0</v>
      </c>
      <c r="AX15" s="299">
        <v>0</v>
      </c>
      <c r="AY15" s="299">
        <v>0</v>
      </c>
      <c r="AZ15" s="299"/>
      <c r="BA15" s="299" t="s">
        <v>38</v>
      </c>
      <c r="BB15" s="299"/>
      <c r="BC15" s="299" t="s">
        <v>38</v>
      </c>
      <c r="BD15" s="299"/>
      <c r="BE15" s="297"/>
      <c r="BF15" s="299"/>
      <c r="BG15" s="299"/>
      <c r="BH15" s="299" t="s">
        <v>41</v>
      </c>
      <c r="BI15" s="297"/>
      <c r="BJ15" t="s">
        <v>430</v>
      </c>
      <c r="BK15" s="366" t="s">
        <v>368</v>
      </c>
    </row>
    <row r="16" spans="1:63" x14ac:dyDescent="0.15">
      <c r="A16" s="148">
        <v>1514</v>
      </c>
      <c r="B16" s="328">
        <v>43481</v>
      </c>
      <c r="C16" s="296" t="s">
        <v>10</v>
      </c>
      <c r="D16" s="379" t="s">
        <v>1100</v>
      </c>
      <c r="E16" s="309">
        <v>43344</v>
      </c>
      <c r="F16" s="297" t="s">
        <v>34</v>
      </c>
      <c r="G16" s="379" t="s">
        <v>1107</v>
      </c>
      <c r="H16" s="332">
        <v>79.7</v>
      </c>
      <c r="I16" s="394"/>
      <c r="J16" s="297"/>
      <c r="K16" s="297"/>
      <c r="L16" s="297"/>
      <c r="M16" s="297"/>
      <c r="N16" s="297"/>
      <c r="O16" s="332">
        <v>1.64</v>
      </c>
      <c r="P16" s="332">
        <v>0</v>
      </c>
      <c r="Q16" s="332">
        <v>0</v>
      </c>
      <c r="R16" s="332">
        <v>0</v>
      </c>
      <c r="S16" s="332">
        <v>0</v>
      </c>
      <c r="T16" s="332"/>
      <c r="U16" s="332">
        <v>1.92</v>
      </c>
      <c r="V16" s="332">
        <v>0</v>
      </c>
      <c r="W16" s="332">
        <v>0</v>
      </c>
      <c r="X16" s="332">
        <v>0</v>
      </c>
      <c r="Y16" s="332">
        <v>0</v>
      </c>
      <c r="Z16" s="332"/>
      <c r="AA16" s="332"/>
      <c r="AB16" s="332"/>
      <c r="AC16" s="332"/>
      <c r="AD16" s="332"/>
      <c r="AE16" s="332"/>
      <c r="AF16" s="332"/>
      <c r="AG16" s="299" t="s">
        <v>1116</v>
      </c>
      <c r="AH16" s="299" t="s">
        <v>1117</v>
      </c>
      <c r="AI16" s="299">
        <v>3</v>
      </c>
      <c r="AJ16" s="299">
        <v>3</v>
      </c>
      <c r="AK16" s="377">
        <v>0.5</v>
      </c>
      <c r="AL16" s="377">
        <v>0.5</v>
      </c>
      <c r="AM16" s="366" t="s">
        <v>1124</v>
      </c>
      <c r="AN16" s="299">
        <v>0</v>
      </c>
      <c r="AO16" s="299">
        <v>0</v>
      </c>
      <c r="AP16" s="299">
        <v>5</v>
      </c>
      <c r="AQ16" s="299">
        <v>0</v>
      </c>
      <c r="AR16" s="299">
        <v>0</v>
      </c>
      <c r="AS16" s="299">
        <v>0</v>
      </c>
      <c r="AT16" s="299">
        <v>0</v>
      </c>
      <c r="AU16" s="299">
        <v>0</v>
      </c>
      <c r="AV16" s="299">
        <v>0</v>
      </c>
      <c r="AW16" s="299">
        <v>0</v>
      </c>
      <c r="AX16" s="299">
        <v>0</v>
      </c>
      <c r="AY16" s="299">
        <v>0</v>
      </c>
      <c r="AZ16" s="299"/>
      <c r="BA16" s="299" t="s">
        <v>38</v>
      </c>
      <c r="BB16" s="299"/>
      <c r="BC16" s="299" t="s">
        <v>38</v>
      </c>
      <c r="BD16" s="299"/>
      <c r="BE16" s="298"/>
      <c r="BF16" s="297"/>
      <c r="BG16" s="299"/>
      <c r="BH16" s="299" t="s">
        <v>43</v>
      </c>
      <c r="BI16" s="298" t="s">
        <v>47</v>
      </c>
      <c r="BJ16" s="366" t="s">
        <v>430</v>
      </c>
      <c r="BK16" s="366" t="s">
        <v>368</v>
      </c>
    </row>
    <row r="17" spans="1:63" x14ac:dyDescent="0.15">
      <c r="A17" s="148">
        <v>77</v>
      </c>
      <c r="B17" s="328">
        <v>43480</v>
      </c>
      <c r="C17" s="296" t="s">
        <v>10</v>
      </c>
      <c r="D17" s="379" t="s">
        <v>1108</v>
      </c>
      <c r="E17" s="295">
        <v>43479</v>
      </c>
      <c r="F17" s="298" t="s">
        <v>12</v>
      </c>
      <c r="G17" s="297" t="s">
        <v>13</v>
      </c>
      <c r="H17" s="297">
        <v>83.5</v>
      </c>
      <c r="I17" s="376" t="s">
        <v>1101</v>
      </c>
      <c r="J17" s="297">
        <v>3000</v>
      </c>
      <c r="K17" s="297">
        <v>6000</v>
      </c>
      <c r="L17" s="297">
        <v>9000</v>
      </c>
      <c r="M17" s="297">
        <v>15000</v>
      </c>
      <c r="N17" s="297"/>
      <c r="O17" s="297">
        <v>2.59</v>
      </c>
      <c r="P17" s="297">
        <v>2.33</v>
      </c>
      <c r="Q17" s="297">
        <v>1.88</v>
      </c>
      <c r="R17" s="297">
        <v>1.64</v>
      </c>
      <c r="S17" s="297">
        <v>1.6</v>
      </c>
      <c r="T17" s="297"/>
      <c r="U17" s="297">
        <v>2.46</v>
      </c>
      <c r="V17" s="297">
        <v>2.2000000000000002</v>
      </c>
      <c r="W17" s="297">
        <v>1.81</v>
      </c>
      <c r="X17" s="297">
        <v>1.6</v>
      </c>
      <c r="Y17" s="297">
        <v>1.55</v>
      </c>
      <c r="Z17" s="297"/>
      <c r="AA17" s="297"/>
      <c r="AB17" s="297"/>
      <c r="AC17" s="297"/>
      <c r="AD17" s="297"/>
      <c r="AE17" s="297"/>
      <c r="AF17" s="297"/>
      <c r="AG17" s="299" t="s">
        <v>1116</v>
      </c>
      <c r="AH17" s="299" t="s">
        <v>1117</v>
      </c>
      <c r="AI17" s="299">
        <v>3</v>
      </c>
      <c r="AJ17" s="299">
        <v>3</v>
      </c>
      <c r="AK17" s="377">
        <v>0.5</v>
      </c>
      <c r="AL17" s="377">
        <v>0.5</v>
      </c>
      <c r="AM17" s="366" t="s">
        <v>1118</v>
      </c>
      <c r="AN17" s="299">
        <v>0</v>
      </c>
      <c r="AO17" s="299">
        <v>0</v>
      </c>
      <c r="AP17" s="299">
        <v>0</v>
      </c>
      <c r="AQ17" s="299">
        <v>24</v>
      </c>
      <c r="AR17" s="299">
        <v>0</v>
      </c>
      <c r="AS17" s="299">
        <v>0</v>
      </c>
      <c r="AT17" s="299">
        <v>0</v>
      </c>
      <c r="AU17" s="299">
        <v>0</v>
      </c>
      <c r="AV17" s="299">
        <v>0</v>
      </c>
      <c r="AW17" s="299">
        <v>0</v>
      </c>
      <c r="AX17" s="299">
        <v>0</v>
      </c>
      <c r="AY17" s="299">
        <v>0</v>
      </c>
      <c r="AZ17" s="299"/>
      <c r="BA17" s="299" t="s">
        <v>38</v>
      </c>
      <c r="BB17" s="299">
        <v>12</v>
      </c>
      <c r="BC17" s="299" t="s">
        <v>38</v>
      </c>
      <c r="BD17" s="299"/>
      <c r="BE17" s="298"/>
      <c r="BF17" s="297"/>
      <c r="BG17" s="299"/>
      <c r="BH17" s="299" t="s">
        <v>41</v>
      </c>
      <c r="BI17" s="298"/>
      <c r="BJ17" s="366" t="s">
        <v>430</v>
      </c>
      <c r="BK17" t="s">
        <v>408</v>
      </c>
    </row>
    <row r="18" spans="1:63" x14ac:dyDescent="0.15">
      <c r="A18" s="148">
        <v>1861</v>
      </c>
      <c r="B18" s="328">
        <v>43481</v>
      </c>
      <c r="C18" s="296" t="s">
        <v>10</v>
      </c>
      <c r="D18" s="379" t="s">
        <v>1108</v>
      </c>
      <c r="E18" s="328">
        <v>43477</v>
      </c>
      <c r="F18" s="298" t="s">
        <v>14</v>
      </c>
      <c r="G18" s="379" t="s">
        <v>1102</v>
      </c>
      <c r="H18" s="297">
        <v>80</v>
      </c>
      <c r="I18" s="376" t="s">
        <v>1101</v>
      </c>
      <c r="J18" s="331">
        <v>3000</v>
      </c>
      <c r="K18" s="331">
        <v>6000</v>
      </c>
      <c r="L18" s="331">
        <v>6000</v>
      </c>
      <c r="M18" s="331">
        <v>6000</v>
      </c>
      <c r="N18" s="297"/>
      <c r="O18" s="297">
        <v>2.5</v>
      </c>
      <c r="P18" s="297">
        <v>1.9</v>
      </c>
      <c r="Q18" s="297">
        <v>0</v>
      </c>
      <c r="R18" s="297">
        <v>0</v>
      </c>
      <c r="S18" s="297">
        <v>1.9</v>
      </c>
      <c r="T18" s="297"/>
      <c r="U18" s="297">
        <v>2.4</v>
      </c>
      <c r="V18" s="297">
        <v>1.8</v>
      </c>
      <c r="W18" s="297">
        <v>0</v>
      </c>
      <c r="X18" s="297">
        <v>0</v>
      </c>
      <c r="Y18" s="297">
        <v>1.8</v>
      </c>
      <c r="Z18" s="297"/>
      <c r="AA18" s="297"/>
      <c r="AB18" s="297"/>
      <c r="AC18" s="297"/>
      <c r="AD18" s="297"/>
      <c r="AE18" s="297"/>
      <c r="AF18" s="297"/>
      <c r="AG18" s="299" t="s">
        <v>1116</v>
      </c>
      <c r="AH18" s="299" t="s">
        <v>1117</v>
      </c>
      <c r="AI18" s="299">
        <v>3</v>
      </c>
      <c r="AJ18" s="299">
        <v>3</v>
      </c>
      <c r="AK18" s="377">
        <v>0.5</v>
      </c>
      <c r="AL18" s="377">
        <v>0.5</v>
      </c>
      <c r="AM18" s="366" t="s">
        <v>1118</v>
      </c>
      <c r="AN18" s="299">
        <v>0</v>
      </c>
      <c r="AO18" s="299">
        <v>20</v>
      </c>
      <c r="AP18" s="299">
        <v>0</v>
      </c>
      <c r="AQ18" s="299">
        <v>0</v>
      </c>
      <c r="AR18" s="299">
        <v>0</v>
      </c>
      <c r="AS18" s="299">
        <v>0</v>
      </c>
      <c r="AT18" s="299">
        <v>0</v>
      </c>
      <c r="AU18" s="299">
        <v>0</v>
      </c>
      <c r="AV18" s="299">
        <v>0</v>
      </c>
      <c r="AW18" s="299">
        <v>0</v>
      </c>
      <c r="AX18" s="299">
        <v>0</v>
      </c>
      <c r="AY18" s="299">
        <v>0</v>
      </c>
      <c r="AZ18" s="297"/>
      <c r="BA18" s="299" t="s">
        <v>38</v>
      </c>
      <c r="BB18" s="299">
        <v>12</v>
      </c>
      <c r="BC18" s="299" t="s">
        <v>38</v>
      </c>
      <c r="BD18" s="299"/>
      <c r="BE18" s="298"/>
      <c r="BF18" s="297"/>
      <c r="BG18" s="299"/>
      <c r="BH18" s="299" t="s">
        <v>411</v>
      </c>
      <c r="BI18" s="298"/>
      <c r="BJ18" s="366" t="s">
        <v>1119</v>
      </c>
      <c r="BK18" s="366" t="s">
        <v>408</v>
      </c>
    </row>
    <row r="19" spans="1:63" x14ac:dyDescent="0.15">
      <c r="A19" s="148">
        <v>1885</v>
      </c>
      <c r="B19" s="328">
        <v>43480</v>
      </c>
      <c r="C19" s="296" t="s">
        <v>10</v>
      </c>
      <c r="D19" s="379" t="s">
        <v>1108</v>
      </c>
      <c r="E19" s="295">
        <v>43437</v>
      </c>
      <c r="F19" s="298" t="s">
        <v>16</v>
      </c>
      <c r="G19" s="379" t="s">
        <v>1103</v>
      </c>
      <c r="H19" s="297">
        <v>78.099999999999994</v>
      </c>
      <c r="I19" s="376" t="s">
        <v>1101</v>
      </c>
      <c r="J19" s="297">
        <v>3000</v>
      </c>
      <c r="K19" s="297">
        <v>6000</v>
      </c>
      <c r="L19" s="297">
        <v>9000</v>
      </c>
      <c r="M19" s="297">
        <v>15000</v>
      </c>
      <c r="N19" s="297"/>
      <c r="O19" s="297">
        <v>3.35</v>
      </c>
      <c r="P19" s="297">
        <v>2.95</v>
      </c>
      <c r="Q19" s="297">
        <v>2.5499999999999998</v>
      </c>
      <c r="R19" s="297">
        <v>2.35</v>
      </c>
      <c r="S19" s="297">
        <v>2.25</v>
      </c>
      <c r="T19" s="297"/>
      <c r="U19" s="297">
        <v>3.25</v>
      </c>
      <c r="V19" s="297">
        <v>2.9</v>
      </c>
      <c r="W19" s="297">
        <v>2.5</v>
      </c>
      <c r="X19" s="297">
        <v>2.35</v>
      </c>
      <c r="Y19" s="297">
        <v>2.2999999999999998</v>
      </c>
      <c r="Z19" s="297"/>
      <c r="AA19" s="297"/>
      <c r="AB19" s="297"/>
      <c r="AC19" s="297"/>
      <c r="AD19" s="297"/>
      <c r="AE19" s="297"/>
      <c r="AF19" s="297"/>
      <c r="AG19" s="299" t="s">
        <v>1116</v>
      </c>
      <c r="AH19" s="299" t="s">
        <v>1117</v>
      </c>
      <c r="AI19" s="299">
        <v>3</v>
      </c>
      <c r="AJ19" s="299">
        <v>3</v>
      </c>
      <c r="AK19" s="377">
        <v>0.5</v>
      </c>
      <c r="AL19" s="377">
        <v>0.5</v>
      </c>
      <c r="AM19" s="366" t="s">
        <v>1118</v>
      </c>
      <c r="AN19" s="299">
        <v>0</v>
      </c>
      <c r="AO19" s="299">
        <v>0</v>
      </c>
      <c r="AP19" s="299">
        <v>26</v>
      </c>
      <c r="AQ19" s="299">
        <v>0</v>
      </c>
      <c r="AR19" s="299">
        <v>0</v>
      </c>
      <c r="AS19" s="299">
        <v>0</v>
      </c>
      <c r="AT19" s="299">
        <v>0</v>
      </c>
      <c r="AU19" s="299">
        <v>0</v>
      </c>
      <c r="AV19" s="299">
        <v>0</v>
      </c>
      <c r="AW19" s="299">
        <v>0</v>
      </c>
      <c r="AX19" s="299">
        <v>0</v>
      </c>
      <c r="AY19" s="299">
        <v>0</v>
      </c>
      <c r="AZ19" s="297"/>
      <c r="BA19" s="299" t="s">
        <v>38</v>
      </c>
      <c r="BB19" s="299"/>
      <c r="BC19" s="299" t="s">
        <v>38</v>
      </c>
      <c r="BD19" s="299"/>
      <c r="BE19" s="298"/>
      <c r="BF19" s="297"/>
      <c r="BG19" s="299"/>
      <c r="BH19" s="299" t="s">
        <v>41</v>
      </c>
      <c r="BI19" s="298" t="s">
        <v>42</v>
      </c>
      <c r="BJ19" s="366" t="s">
        <v>430</v>
      </c>
      <c r="BK19" t="s">
        <v>368</v>
      </c>
    </row>
    <row r="20" spans="1:63" x14ac:dyDescent="0.15">
      <c r="A20" s="148">
        <v>1136</v>
      </c>
      <c r="B20" s="328">
        <v>43481</v>
      </c>
      <c r="C20" s="296" t="s">
        <v>10</v>
      </c>
      <c r="D20" s="379" t="s">
        <v>1108</v>
      </c>
      <c r="E20" s="295">
        <v>43466</v>
      </c>
      <c r="F20" s="298" t="s">
        <v>18</v>
      </c>
      <c r="G20" s="297" t="s">
        <v>418</v>
      </c>
      <c r="H20" s="297">
        <v>78</v>
      </c>
      <c r="I20" s="376" t="s">
        <v>1101</v>
      </c>
      <c r="J20" s="297">
        <v>3000</v>
      </c>
      <c r="K20" s="297">
        <v>9000</v>
      </c>
      <c r="L20" s="297">
        <v>12000</v>
      </c>
      <c r="M20" s="297">
        <v>18000</v>
      </c>
      <c r="N20" s="297"/>
      <c r="O20" s="297">
        <v>2.9</v>
      </c>
      <c r="P20" s="297">
        <v>2.61</v>
      </c>
      <c r="Q20" s="297">
        <v>2.4</v>
      </c>
      <c r="R20" s="297">
        <v>2.2000000000000002</v>
      </c>
      <c r="S20" s="297">
        <v>2</v>
      </c>
      <c r="T20" s="297"/>
      <c r="U20" s="297">
        <v>2.7</v>
      </c>
      <c r="V20" s="297">
        <v>2.54</v>
      </c>
      <c r="W20" s="297">
        <v>2.1</v>
      </c>
      <c r="X20" s="297">
        <v>1.9</v>
      </c>
      <c r="Y20" s="297">
        <v>1.7</v>
      </c>
      <c r="Z20" s="297"/>
      <c r="AA20" s="297"/>
      <c r="AB20" s="297"/>
      <c r="AC20" s="297"/>
      <c r="AD20" s="297"/>
      <c r="AE20" s="297"/>
      <c r="AF20" s="297"/>
      <c r="AG20" s="299" t="s">
        <v>1116</v>
      </c>
      <c r="AH20" s="299" t="s">
        <v>1117</v>
      </c>
      <c r="AI20" s="299">
        <v>3</v>
      </c>
      <c r="AJ20" s="299">
        <v>3</v>
      </c>
      <c r="AK20" s="377">
        <v>0.5</v>
      </c>
      <c r="AL20" s="377">
        <v>0.5</v>
      </c>
      <c r="AM20" s="366" t="s">
        <v>1118</v>
      </c>
      <c r="AN20" s="299">
        <v>0</v>
      </c>
      <c r="AO20" s="299">
        <v>0</v>
      </c>
      <c r="AP20" s="299">
        <v>0</v>
      </c>
      <c r="AQ20" s="299">
        <v>16</v>
      </c>
      <c r="AR20" s="299">
        <v>0</v>
      </c>
      <c r="AS20" s="299">
        <v>0</v>
      </c>
      <c r="AT20" s="299">
        <v>0</v>
      </c>
      <c r="AU20" s="299">
        <v>0</v>
      </c>
      <c r="AV20" s="299">
        <v>0</v>
      </c>
      <c r="AW20" s="299">
        <v>0</v>
      </c>
      <c r="AX20" s="299">
        <v>0</v>
      </c>
      <c r="AY20" s="299">
        <v>0</v>
      </c>
      <c r="AZ20" s="299"/>
      <c r="BA20" s="299" t="s">
        <v>38</v>
      </c>
      <c r="BB20" s="299"/>
      <c r="BC20" s="299" t="s">
        <v>38</v>
      </c>
      <c r="BD20" s="299"/>
      <c r="BE20" s="298"/>
      <c r="BF20" s="297"/>
      <c r="BG20" s="299"/>
      <c r="BH20" s="299" t="s">
        <v>41</v>
      </c>
      <c r="BI20" s="298" t="s">
        <v>370</v>
      </c>
      <c r="BJ20" s="366" t="s">
        <v>430</v>
      </c>
      <c r="BK20" s="366" t="s">
        <v>408</v>
      </c>
    </row>
    <row r="21" spans="1:63" x14ac:dyDescent="0.15">
      <c r="A21" s="148">
        <v>884</v>
      </c>
      <c r="B21" s="328">
        <v>43480</v>
      </c>
      <c r="C21" s="296" t="s">
        <v>10</v>
      </c>
      <c r="D21" s="379" t="s">
        <v>1108</v>
      </c>
      <c r="E21" s="295">
        <v>43154</v>
      </c>
      <c r="F21" s="298" t="s">
        <v>19</v>
      </c>
      <c r="G21" s="297" t="s">
        <v>20</v>
      </c>
      <c r="H21" s="297">
        <v>73.91</v>
      </c>
      <c r="I21" s="376" t="s">
        <v>1101</v>
      </c>
      <c r="J21" s="331">
        <v>3500</v>
      </c>
      <c r="K21" s="331">
        <v>3500</v>
      </c>
      <c r="L21" s="331">
        <v>3500</v>
      </c>
      <c r="M21" s="331">
        <v>3500</v>
      </c>
      <c r="N21" s="297"/>
      <c r="O21" s="297">
        <v>2.4500000000000002</v>
      </c>
      <c r="P21" s="297">
        <v>0</v>
      </c>
      <c r="Q21" s="297">
        <v>0</v>
      </c>
      <c r="R21" s="297">
        <v>0</v>
      </c>
      <c r="S21" s="297">
        <v>1.98</v>
      </c>
      <c r="T21" s="297"/>
      <c r="U21" s="297">
        <v>2.29</v>
      </c>
      <c r="V21" s="297">
        <v>0</v>
      </c>
      <c r="W21" s="297">
        <v>0</v>
      </c>
      <c r="X21" s="297">
        <v>0</v>
      </c>
      <c r="Y21" s="297">
        <v>1.92</v>
      </c>
      <c r="Z21" s="297"/>
      <c r="AA21" s="297"/>
      <c r="AB21" s="297"/>
      <c r="AC21" s="297"/>
      <c r="AD21" s="297"/>
      <c r="AE21" s="297"/>
      <c r="AF21" s="297"/>
      <c r="AG21" s="299" t="s">
        <v>1116</v>
      </c>
      <c r="AH21" s="299" t="s">
        <v>1117</v>
      </c>
      <c r="AI21" s="299">
        <v>3</v>
      </c>
      <c r="AJ21" s="299">
        <v>3</v>
      </c>
      <c r="AK21" s="377">
        <v>0.5</v>
      </c>
      <c r="AL21" s="377">
        <v>0.5</v>
      </c>
      <c r="AM21" s="366" t="s">
        <v>1118</v>
      </c>
      <c r="AN21" s="299">
        <v>0</v>
      </c>
      <c r="AO21" s="299">
        <v>0</v>
      </c>
      <c r="AP21" s="299">
        <v>0</v>
      </c>
      <c r="AQ21" s="299">
        <v>0</v>
      </c>
      <c r="AR21" s="299">
        <v>0</v>
      </c>
      <c r="AS21" s="299">
        <v>25</v>
      </c>
      <c r="AT21" s="299">
        <v>0</v>
      </c>
      <c r="AU21" s="299">
        <v>0</v>
      </c>
      <c r="AV21" s="299">
        <v>0</v>
      </c>
      <c r="AW21" s="299">
        <v>0</v>
      </c>
      <c r="AX21" s="299">
        <v>0</v>
      </c>
      <c r="AY21" s="299">
        <v>0</v>
      </c>
      <c r="AZ21" s="297"/>
      <c r="BA21" s="299" t="s">
        <v>38</v>
      </c>
      <c r="BB21" s="299"/>
      <c r="BC21" s="299" t="s">
        <v>38</v>
      </c>
      <c r="BD21" s="299"/>
      <c r="BE21" s="298"/>
      <c r="BF21" s="297"/>
      <c r="BG21" s="299"/>
      <c r="BH21" s="299" t="s">
        <v>43</v>
      </c>
      <c r="BI21" s="298"/>
      <c r="BJ21" s="366" t="s">
        <v>430</v>
      </c>
      <c r="BK21" s="366" t="s">
        <v>368</v>
      </c>
    </row>
    <row r="22" spans="1:63" x14ac:dyDescent="0.15">
      <c r="A22" s="148">
        <v>745</v>
      </c>
      <c r="B22" s="328">
        <v>43481</v>
      </c>
      <c r="C22" s="296" t="s">
        <v>10</v>
      </c>
      <c r="D22" s="379" t="s">
        <v>1108</v>
      </c>
      <c r="E22" s="295">
        <v>43467</v>
      </c>
      <c r="F22" s="298" t="s">
        <v>21</v>
      </c>
      <c r="G22" s="297" t="s">
        <v>1104</v>
      </c>
      <c r="H22" s="297">
        <v>78.5</v>
      </c>
      <c r="I22" s="376" t="s">
        <v>1101</v>
      </c>
      <c r="J22" s="297">
        <v>6000</v>
      </c>
      <c r="K22" s="297">
        <v>6000</v>
      </c>
      <c r="L22" s="297">
        <v>6000</v>
      </c>
      <c r="M22" s="297">
        <v>6000</v>
      </c>
      <c r="N22" s="297"/>
      <c r="O22" s="297">
        <v>2.56</v>
      </c>
      <c r="P22" s="297">
        <v>0</v>
      </c>
      <c r="Q22" s="297">
        <v>0</v>
      </c>
      <c r="R22" s="297">
        <v>0</v>
      </c>
      <c r="S22" s="297">
        <v>1.86</v>
      </c>
      <c r="T22" s="297"/>
      <c r="U22" s="297">
        <v>2.56</v>
      </c>
      <c r="V22" s="297">
        <v>0</v>
      </c>
      <c r="W22" s="297">
        <v>0</v>
      </c>
      <c r="X22" s="297">
        <v>0</v>
      </c>
      <c r="Y22" s="297">
        <v>1.86</v>
      </c>
      <c r="Z22" s="297"/>
      <c r="AA22" s="297"/>
      <c r="AB22" s="297"/>
      <c r="AC22" s="297"/>
      <c r="AD22" s="297"/>
      <c r="AE22" s="297"/>
      <c r="AF22" s="297"/>
      <c r="AG22" s="299" t="s">
        <v>38</v>
      </c>
      <c r="AH22" s="297"/>
      <c r="AI22" s="299">
        <v>3</v>
      </c>
      <c r="AJ22" s="299">
        <v>3</v>
      </c>
      <c r="AK22" s="377">
        <v>0.5</v>
      </c>
      <c r="AL22" s="377">
        <v>0.5</v>
      </c>
      <c r="AM22" s="366"/>
      <c r="AN22" s="299">
        <v>0</v>
      </c>
      <c r="AO22" s="299">
        <v>22</v>
      </c>
      <c r="AP22" s="299">
        <v>0</v>
      </c>
      <c r="AQ22" s="299">
        <v>0</v>
      </c>
      <c r="AR22" s="299">
        <v>0</v>
      </c>
      <c r="AS22" s="299">
        <v>0</v>
      </c>
      <c r="AT22" s="299">
        <v>0</v>
      </c>
      <c r="AU22" s="299">
        <v>0</v>
      </c>
      <c r="AV22" s="299">
        <v>0</v>
      </c>
      <c r="AW22" s="299">
        <v>0</v>
      </c>
      <c r="AX22" s="299">
        <v>0</v>
      </c>
      <c r="AY22" s="299">
        <v>0</v>
      </c>
      <c r="AZ22" s="297"/>
      <c r="BA22" s="299" t="s">
        <v>38</v>
      </c>
      <c r="BB22" s="299">
        <v>12</v>
      </c>
      <c r="BC22" s="299" t="s">
        <v>38</v>
      </c>
      <c r="BD22" s="299"/>
      <c r="BE22" s="298" t="s">
        <v>218</v>
      </c>
      <c r="BF22" s="297" t="s">
        <v>40</v>
      </c>
      <c r="BG22" s="299">
        <v>50</v>
      </c>
      <c r="BH22" s="299" t="s">
        <v>41</v>
      </c>
      <c r="BI22" s="298"/>
      <c r="BJ22" s="366" t="s">
        <v>430</v>
      </c>
      <c r="BK22" s="366" t="s">
        <v>408</v>
      </c>
    </row>
    <row r="23" spans="1:63" x14ac:dyDescent="0.15">
      <c r="A23" s="148">
        <v>1943</v>
      </c>
      <c r="B23" s="328">
        <v>43481</v>
      </c>
      <c r="C23" s="296" t="s">
        <v>10</v>
      </c>
      <c r="D23" s="379" t="s">
        <v>1108</v>
      </c>
      <c r="E23" s="295">
        <v>43466</v>
      </c>
      <c r="F23" s="298" t="s">
        <v>22</v>
      </c>
      <c r="G23" s="297" t="s">
        <v>1105</v>
      </c>
      <c r="H23" s="297">
        <v>65</v>
      </c>
      <c r="I23" s="376" t="s">
        <v>1101</v>
      </c>
      <c r="J23" s="297">
        <v>3000</v>
      </c>
      <c r="K23" s="297">
        <v>6000</v>
      </c>
      <c r="L23" s="297">
        <v>9000</v>
      </c>
      <c r="M23" s="297">
        <v>15000</v>
      </c>
      <c r="N23" s="297"/>
      <c r="O23" s="297">
        <v>2.1</v>
      </c>
      <c r="P23" s="297">
        <v>1.95</v>
      </c>
      <c r="Q23" s="297">
        <v>1.8</v>
      </c>
      <c r="R23" s="297">
        <v>1.6</v>
      </c>
      <c r="S23" s="297">
        <v>1.5</v>
      </c>
      <c r="T23" s="297"/>
      <c r="U23" s="297">
        <v>2</v>
      </c>
      <c r="V23" s="297">
        <v>1.8</v>
      </c>
      <c r="W23" s="297">
        <v>1.7</v>
      </c>
      <c r="X23" s="297">
        <v>1.5</v>
      </c>
      <c r="Y23" s="297">
        <v>1.45</v>
      </c>
      <c r="Z23" s="297"/>
      <c r="AA23" s="297"/>
      <c r="AB23" s="297"/>
      <c r="AC23" s="297"/>
      <c r="AD23" s="297"/>
      <c r="AE23" s="297"/>
      <c r="AF23" s="297"/>
      <c r="AG23" s="299" t="s">
        <v>1116</v>
      </c>
      <c r="AH23" s="299" t="s">
        <v>1117</v>
      </c>
      <c r="AI23" s="299">
        <v>3</v>
      </c>
      <c r="AJ23" s="299">
        <v>3</v>
      </c>
      <c r="AK23" s="377">
        <v>0.5</v>
      </c>
      <c r="AL23" s="377">
        <v>0.5</v>
      </c>
      <c r="AM23" s="366" t="s">
        <v>1118</v>
      </c>
      <c r="AN23" s="299">
        <v>0</v>
      </c>
      <c r="AO23" s="299">
        <v>0</v>
      </c>
      <c r="AP23" s="299">
        <v>3</v>
      </c>
      <c r="AQ23" s="299">
        <v>0</v>
      </c>
      <c r="AR23" s="299">
        <v>0</v>
      </c>
      <c r="AS23" s="299">
        <v>0</v>
      </c>
      <c r="AT23" s="299">
        <v>0</v>
      </c>
      <c r="AU23" s="299">
        <v>0</v>
      </c>
      <c r="AV23" s="299">
        <v>0</v>
      </c>
      <c r="AW23" s="299">
        <v>0</v>
      </c>
      <c r="AX23" s="299">
        <v>0</v>
      </c>
      <c r="AY23" s="299">
        <v>0</v>
      </c>
      <c r="AZ23" s="297"/>
      <c r="BA23" s="299" t="s">
        <v>38</v>
      </c>
      <c r="BB23" s="299"/>
      <c r="BC23" s="299" t="s">
        <v>38</v>
      </c>
      <c r="BD23" s="299"/>
      <c r="BE23" s="298" t="s">
        <v>1120</v>
      </c>
      <c r="BF23" s="297" t="s">
        <v>40</v>
      </c>
      <c r="BG23" s="299">
        <v>50</v>
      </c>
      <c r="BH23" s="299" t="s">
        <v>41</v>
      </c>
      <c r="BI23" s="298"/>
      <c r="BJ23" t="s">
        <v>430</v>
      </c>
      <c r="BK23" t="s">
        <v>1121</v>
      </c>
    </row>
    <row r="24" spans="1:63" x14ac:dyDescent="0.15">
      <c r="A24" s="148">
        <v>313</v>
      </c>
      <c r="B24" s="328">
        <v>43481</v>
      </c>
      <c r="C24" s="296" t="s">
        <v>10</v>
      </c>
      <c r="D24" s="379" t="s">
        <v>1108</v>
      </c>
      <c r="E24" s="295">
        <v>43466</v>
      </c>
      <c r="F24" s="297" t="s">
        <v>24</v>
      </c>
      <c r="G24" s="297" t="s">
        <v>20</v>
      </c>
      <c r="H24" s="297">
        <v>81.44</v>
      </c>
      <c r="I24" s="376" t="s">
        <v>1101</v>
      </c>
      <c r="J24" s="297">
        <v>3000</v>
      </c>
      <c r="K24" s="297">
        <v>6000</v>
      </c>
      <c r="L24" s="297">
        <v>9000</v>
      </c>
      <c r="M24" s="297">
        <v>15000</v>
      </c>
      <c r="N24" s="297"/>
      <c r="O24" s="297">
        <v>2.173</v>
      </c>
      <c r="P24" s="297">
        <v>1.984</v>
      </c>
      <c r="Q24" s="297">
        <v>1.756</v>
      </c>
      <c r="R24" s="297">
        <v>1.635</v>
      </c>
      <c r="S24" s="297">
        <v>1.6040000000000001</v>
      </c>
      <c r="T24" s="297"/>
      <c r="U24" s="297">
        <v>2.0059999999999998</v>
      </c>
      <c r="V24" s="297">
        <v>1.847</v>
      </c>
      <c r="W24" s="297">
        <v>1.653</v>
      </c>
      <c r="X24" s="297">
        <v>1.55</v>
      </c>
      <c r="Y24" s="297">
        <v>1.5249999999999999</v>
      </c>
      <c r="Z24" s="297"/>
      <c r="AA24" s="297"/>
      <c r="AB24" s="297"/>
      <c r="AC24" s="297"/>
      <c r="AD24" s="297"/>
      <c r="AE24" s="297"/>
      <c r="AF24" s="297"/>
      <c r="AG24" s="299" t="s">
        <v>1116</v>
      </c>
      <c r="AH24" s="299" t="s">
        <v>1117</v>
      </c>
      <c r="AI24" s="299">
        <v>3</v>
      </c>
      <c r="AJ24" s="299">
        <v>3</v>
      </c>
      <c r="AK24" s="377">
        <v>0.5</v>
      </c>
      <c r="AL24" s="377">
        <v>0.5</v>
      </c>
      <c r="AM24" s="366" t="s">
        <v>1118</v>
      </c>
      <c r="AN24" s="299">
        <v>0</v>
      </c>
      <c r="AO24" s="299">
        <v>0</v>
      </c>
      <c r="AP24" s="299">
        <v>0</v>
      </c>
      <c r="AQ24" s="299">
        <v>0</v>
      </c>
      <c r="AR24" s="299">
        <v>0</v>
      </c>
      <c r="AS24" s="299">
        <v>0</v>
      </c>
      <c r="AT24" s="299">
        <v>0</v>
      </c>
      <c r="AU24" s="299">
        <v>0</v>
      </c>
      <c r="AV24" s="299">
        <v>0</v>
      </c>
      <c r="AW24" s="299">
        <v>0</v>
      </c>
      <c r="AX24" s="299">
        <v>0</v>
      </c>
      <c r="AY24" s="299">
        <v>0</v>
      </c>
      <c r="AZ24" s="297"/>
      <c r="BA24" s="299" t="s">
        <v>38</v>
      </c>
      <c r="BB24" s="299"/>
      <c r="BC24" s="299" t="s">
        <v>38</v>
      </c>
      <c r="BD24" s="299"/>
      <c r="BE24" s="298" t="s">
        <v>44</v>
      </c>
      <c r="BF24" s="297" t="s">
        <v>40</v>
      </c>
      <c r="BG24" s="299">
        <v>50</v>
      </c>
      <c r="BH24" s="299" t="s">
        <v>43</v>
      </c>
      <c r="BI24" s="298"/>
      <c r="BJ24" t="s">
        <v>430</v>
      </c>
      <c r="BK24" t="s">
        <v>408</v>
      </c>
    </row>
    <row r="25" spans="1:63" x14ac:dyDescent="0.15">
      <c r="A25" s="148">
        <v>568</v>
      </c>
      <c r="B25" s="328">
        <v>43481</v>
      </c>
      <c r="C25" s="296" t="s">
        <v>10</v>
      </c>
      <c r="D25" s="379" t="s">
        <v>1108</v>
      </c>
      <c r="E25" s="295">
        <v>43466</v>
      </c>
      <c r="F25" s="298" t="s">
        <v>25</v>
      </c>
      <c r="G25" s="297" t="s">
        <v>26</v>
      </c>
      <c r="H25" s="297">
        <v>70</v>
      </c>
      <c r="I25" s="376" t="s">
        <v>1101</v>
      </c>
      <c r="J25" s="331">
        <v>6000</v>
      </c>
      <c r="K25" s="331">
        <v>9000</v>
      </c>
      <c r="L25" s="331">
        <v>9000</v>
      </c>
      <c r="M25" s="331">
        <v>9000</v>
      </c>
      <c r="N25" s="331"/>
      <c r="O25" s="297">
        <v>2.4</v>
      </c>
      <c r="P25" s="297">
        <v>1.95</v>
      </c>
      <c r="Q25" s="297">
        <v>0</v>
      </c>
      <c r="R25" s="297">
        <v>0</v>
      </c>
      <c r="S25" s="297">
        <v>1.45</v>
      </c>
      <c r="T25" s="297"/>
      <c r="U25" s="297">
        <v>2.2000000000000002</v>
      </c>
      <c r="V25" s="297">
        <v>1.75</v>
      </c>
      <c r="W25" s="297">
        <v>0</v>
      </c>
      <c r="X25" s="297">
        <v>0</v>
      </c>
      <c r="Y25" s="297">
        <v>1.35</v>
      </c>
      <c r="Z25" s="297"/>
      <c r="AA25" s="297"/>
      <c r="AB25" s="297"/>
      <c r="AC25" s="297"/>
      <c r="AD25" s="297"/>
      <c r="AE25" s="297"/>
      <c r="AF25" s="297"/>
      <c r="AG25" s="299" t="s">
        <v>1116</v>
      </c>
      <c r="AH25" s="299" t="s">
        <v>1117</v>
      </c>
      <c r="AI25" s="299">
        <v>3</v>
      </c>
      <c r="AJ25" s="299">
        <v>3</v>
      </c>
      <c r="AK25" s="377">
        <v>0.5</v>
      </c>
      <c r="AL25" s="377">
        <v>0.5</v>
      </c>
      <c r="AM25" s="366" t="s">
        <v>1118</v>
      </c>
      <c r="AN25" s="299">
        <v>0</v>
      </c>
      <c r="AO25" s="299">
        <v>0</v>
      </c>
      <c r="AP25" s="299">
        <v>0</v>
      </c>
      <c r="AQ25" s="299">
        <v>13</v>
      </c>
      <c r="AR25" s="299">
        <v>0</v>
      </c>
      <c r="AS25" s="299">
        <v>0</v>
      </c>
      <c r="AT25" s="299">
        <v>0</v>
      </c>
      <c r="AU25" s="299">
        <v>0</v>
      </c>
      <c r="AV25" s="299">
        <v>0</v>
      </c>
      <c r="AW25" s="299">
        <v>0</v>
      </c>
      <c r="AX25" s="299">
        <v>0</v>
      </c>
      <c r="AY25" s="299">
        <v>0</v>
      </c>
      <c r="AZ25" s="297"/>
      <c r="BA25" s="299" t="s">
        <v>38</v>
      </c>
      <c r="BB25" s="299">
        <v>12</v>
      </c>
      <c r="BC25" s="299" t="s">
        <v>38</v>
      </c>
      <c r="BD25" s="299"/>
      <c r="BE25" s="298"/>
      <c r="BF25" s="298"/>
      <c r="BG25" s="299"/>
      <c r="BH25" s="299" t="s">
        <v>41</v>
      </c>
      <c r="BJ25" s="366" t="s">
        <v>430</v>
      </c>
      <c r="BK25" s="366" t="s">
        <v>408</v>
      </c>
    </row>
    <row r="26" spans="1:63" x14ac:dyDescent="0.15">
      <c r="A26" s="148">
        <v>1426</v>
      </c>
      <c r="B26" s="328">
        <v>43481</v>
      </c>
      <c r="C26" s="296" t="s">
        <v>10</v>
      </c>
      <c r="D26" s="379" t="s">
        <v>1108</v>
      </c>
      <c r="E26" s="309">
        <v>43466</v>
      </c>
      <c r="F26" s="298" t="s">
        <v>27</v>
      </c>
      <c r="G26" s="379" t="s">
        <v>28</v>
      </c>
      <c r="H26" s="297">
        <v>70</v>
      </c>
      <c r="I26" s="376" t="s">
        <v>1101</v>
      </c>
      <c r="J26" s="331">
        <v>3500</v>
      </c>
      <c r="K26" s="331">
        <v>3500</v>
      </c>
      <c r="L26" s="331">
        <v>3500</v>
      </c>
      <c r="M26" s="331">
        <v>3500</v>
      </c>
      <c r="N26" s="297"/>
      <c r="O26" s="297">
        <v>2</v>
      </c>
      <c r="P26" s="297">
        <v>0</v>
      </c>
      <c r="Q26" s="297">
        <v>0</v>
      </c>
      <c r="R26" s="297">
        <v>0</v>
      </c>
      <c r="S26" s="297">
        <v>1.76</v>
      </c>
      <c r="T26" s="297"/>
      <c r="U26" s="297">
        <v>1.85</v>
      </c>
      <c r="V26" s="297">
        <v>0</v>
      </c>
      <c r="W26" s="297">
        <v>0</v>
      </c>
      <c r="X26" s="297">
        <v>0</v>
      </c>
      <c r="Y26" s="297">
        <v>1.7</v>
      </c>
      <c r="Z26" s="297"/>
      <c r="AA26" s="297"/>
      <c r="AB26" s="297"/>
      <c r="AC26" s="297"/>
      <c r="AD26" s="297"/>
      <c r="AE26" s="297"/>
      <c r="AF26" s="297"/>
      <c r="AG26" s="299" t="s">
        <v>1116</v>
      </c>
      <c r="AH26" s="299" t="s">
        <v>1117</v>
      </c>
      <c r="AI26" s="299">
        <v>3</v>
      </c>
      <c r="AJ26" s="299">
        <v>3</v>
      </c>
      <c r="AK26" s="377">
        <v>0.5</v>
      </c>
      <c r="AL26" s="377">
        <v>0.5</v>
      </c>
      <c r="AM26" s="366" t="s">
        <v>1118</v>
      </c>
      <c r="AN26" s="299">
        <v>0</v>
      </c>
      <c r="AO26" s="299">
        <v>0</v>
      </c>
      <c r="AP26" s="299">
        <v>10</v>
      </c>
      <c r="AQ26" s="299">
        <v>0</v>
      </c>
      <c r="AR26" s="299">
        <v>0</v>
      </c>
      <c r="AS26" s="299">
        <v>0</v>
      </c>
      <c r="AT26" s="299">
        <v>0</v>
      </c>
      <c r="AU26" s="299">
        <v>0</v>
      </c>
      <c r="AV26" s="299">
        <v>0</v>
      </c>
      <c r="AW26" s="299">
        <v>0</v>
      </c>
      <c r="AX26" s="299">
        <v>0</v>
      </c>
      <c r="AY26" s="299">
        <v>0</v>
      </c>
      <c r="AZ26" s="299"/>
      <c r="BA26" s="299" t="s">
        <v>38</v>
      </c>
      <c r="BB26" s="299"/>
      <c r="BC26" s="299" t="s">
        <v>38</v>
      </c>
      <c r="BD26" s="299"/>
      <c r="BE26" s="298"/>
      <c r="BF26" s="297"/>
      <c r="BG26" s="299"/>
      <c r="BH26" s="299" t="s">
        <v>41</v>
      </c>
      <c r="BJ26" s="366" t="s">
        <v>1122</v>
      </c>
      <c r="BK26" s="366" t="s">
        <v>408</v>
      </c>
    </row>
    <row r="27" spans="1:63" x14ac:dyDescent="0.15">
      <c r="A27" s="148">
        <v>781</v>
      </c>
      <c r="B27" s="328">
        <v>43481</v>
      </c>
      <c r="C27" s="296" t="s">
        <v>10</v>
      </c>
      <c r="D27" s="379" t="s">
        <v>1108</v>
      </c>
      <c r="E27" s="309">
        <v>43369</v>
      </c>
      <c r="F27" s="298" t="s">
        <v>29</v>
      </c>
      <c r="G27" s="297" t="s">
        <v>30</v>
      </c>
      <c r="H27" s="297">
        <v>70.099999999999994</v>
      </c>
      <c r="I27" s="376" t="s">
        <v>1101</v>
      </c>
      <c r="J27" s="297">
        <v>3000</v>
      </c>
      <c r="K27" s="297">
        <v>6000</v>
      </c>
      <c r="L27" s="297">
        <v>9000</v>
      </c>
      <c r="M27" s="297">
        <v>15000</v>
      </c>
      <c r="N27" s="297"/>
      <c r="O27" s="297">
        <v>2.95</v>
      </c>
      <c r="P27" s="297">
        <v>2.63</v>
      </c>
      <c r="Q27" s="297">
        <v>2.25</v>
      </c>
      <c r="R27" s="297">
        <v>2.04</v>
      </c>
      <c r="S27" s="297">
        <v>1.99</v>
      </c>
      <c r="T27" s="297"/>
      <c r="U27" s="297">
        <v>2.78</v>
      </c>
      <c r="V27" s="297">
        <v>2.5099999999999998</v>
      </c>
      <c r="W27" s="297">
        <v>2.19</v>
      </c>
      <c r="X27" s="297">
        <v>2.0099999999999998</v>
      </c>
      <c r="Y27" s="297">
        <v>1.97</v>
      </c>
      <c r="Z27" s="297"/>
      <c r="AA27" s="297">
        <v>2.9</v>
      </c>
      <c r="AB27" s="297">
        <v>2.59</v>
      </c>
      <c r="AC27" s="297">
        <v>2.23</v>
      </c>
      <c r="AD27" s="297">
        <v>2.0299999999999998</v>
      </c>
      <c r="AE27" s="297">
        <v>1.99</v>
      </c>
      <c r="AF27" s="297"/>
      <c r="AG27" s="299" t="s">
        <v>1116</v>
      </c>
      <c r="AH27" s="299" t="s">
        <v>1117</v>
      </c>
      <c r="AI27" s="299">
        <v>3</v>
      </c>
      <c r="AJ27" s="299">
        <v>3</v>
      </c>
      <c r="AK27" s="377">
        <v>0.5</v>
      </c>
      <c r="AL27" s="377">
        <v>0.5</v>
      </c>
      <c r="AM27" s="366" t="s">
        <v>1123</v>
      </c>
      <c r="AN27" s="299">
        <v>0</v>
      </c>
      <c r="AO27" s="299">
        <v>0</v>
      </c>
      <c r="AP27" s="299">
        <v>0</v>
      </c>
      <c r="AQ27" s="299">
        <v>26</v>
      </c>
      <c r="AR27" s="299">
        <v>0</v>
      </c>
      <c r="AS27" s="299">
        <v>0</v>
      </c>
      <c r="AT27" s="299">
        <v>0</v>
      </c>
      <c r="AU27" s="299">
        <v>0</v>
      </c>
      <c r="AV27" s="299">
        <v>0</v>
      </c>
      <c r="AW27" s="299">
        <v>0</v>
      </c>
      <c r="AX27" s="299">
        <v>0</v>
      </c>
      <c r="AY27" s="299">
        <v>0</v>
      </c>
      <c r="AZ27" s="297"/>
      <c r="BA27" s="299" t="s">
        <v>38</v>
      </c>
      <c r="BB27" s="299">
        <v>24</v>
      </c>
      <c r="BC27" s="299" t="s">
        <v>38</v>
      </c>
      <c r="BD27" s="299"/>
      <c r="BE27" s="378" t="s">
        <v>46</v>
      </c>
      <c r="BF27" s="297" t="s">
        <v>365</v>
      </c>
      <c r="BG27" s="299">
        <v>50</v>
      </c>
      <c r="BH27" s="299" t="s">
        <v>43</v>
      </c>
      <c r="BJ27" t="s">
        <v>430</v>
      </c>
      <c r="BK27" s="366" t="s">
        <v>368</v>
      </c>
    </row>
    <row r="28" spans="1:63" x14ac:dyDescent="0.15">
      <c r="A28" s="148">
        <v>1614</v>
      </c>
      <c r="B28" s="328">
        <v>43481</v>
      </c>
      <c r="C28" s="296" t="s">
        <v>10</v>
      </c>
      <c r="D28" s="379" t="s">
        <v>1108</v>
      </c>
      <c r="E28" s="309">
        <v>43221</v>
      </c>
      <c r="F28" s="297" t="s">
        <v>31</v>
      </c>
      <c r="G28" s="297" t="s">
        <v>32</v>
      </c>
      <c r="H28" s="332">
        <v>64.66</v>
      </c>
      <c r="I28" s="394" t="s">
        <v>1101</v>
      </c>
      <c r="J28" s="297">
        <v>3000</v>
      </c>
      <c r="K28" s="297">
        <v>6000</v>
      </c>
      <c r="L28" s="297">
        <v>9000</v>
      </c>
      <c r="M28" s="297">
        <v>15000</v>
      </c>
      <c r="N28" s="332"/>
      <c r="O28" s="332">
        <v>2.7669999999999999</v>
      </c>
      <c r="P28" s="332">
        <v>2.4039999999999999</v>
      </c>
      <c r="Q28" s="332">
        <v>2.0659999999999998</v>
      </c>
      <c r="R28" s="332">
        <v>1.7330000000000001</v>
      </c>
      <c r="S28" s="332">
        <v>1.6140000000000001</v>
      </c>
      <c r="T28" s="332"/>
      <c r="U28" s="332">
        <v>2.4340000000000002</v>
      </c>
      <c r="V28" s="332">
        <v>2.1349999999999998</v>
      </c>
      <c r="W28" s="332">
        <v>1.84</v>
      </c>
      <c r="X28" s="332">
        <v>1.5840000000000001</v>
      </c>
      <c r="Y28" s="332">
        <v>1.458</v>
      </c>
      <c r="Z28" s="332"/>
      <c r="AA28" s="332"/>
      <c r="AB28" s="332"/>
      <c r="AC28" s="332"/>
      <c r="AD28" s="332"/>
      <c r="AE28" s="332"/>
      <c r="AF28" s="332"/>
      <c r="AG28" s="333" t="s">
        <v>1116</v>
      </c>
      <c r="AH28" s="333" t="s">
        <v>1117</v>
      </c>
      <c r="AI28" s="299">
        <v>3</v>
      </c>
      <c r="AJ28" s="299">
        <v>3</v>
      </c>
      <c r="AK28" s="377">
        <v>0.5</v>
      </c>
      <c r="AL28" s="377">
        <v>0.5</v>
      </c>
      <c r="AM28" s="366" t="s">
        <v>1118</v>
      </c>
      <c r="AN28" s="299">
        <v>0</v>
      </c>
      <c r="AO28" s="299">
        <v>0</v>
      </c>
      <c r="AP28" s="299">
        <v>0</v>
      </c>
      <c r="AQ28" s="299">
        <v>25</v>
      </c>
      <c r="AR28" s="299">
        <v>0</v>
      </c>
      <c r="AS28" s="299">
        <v>0</v>
      </c>
      <c r="AT28" s="299">
        <v>0</v>
      </c>
      <c r="AU28" s="299">
        <v>0</v>
      </c>
      <c r="AV28" s="299">
        <v>0</v>
      </c>
      <c r="AW28" s="299">
        <v>0</v>
      </c>
      <c r="AX28" s="299">
        <v>0</v>
      </c>
      <c r="AY28" s="299">
        <v>0</v>
      </c>
      <c r="AZ28" s="299"/>
      <c r="BA28" s="299" t="s">
        <v>38</v>
      </c>
      <c r="BB28" s="299">
        <v>12</v>
      </c>
      <c r="BC28" s="299" t="s">
        <v>38</v>
      </c>
      <c r="BD28" s="299"/>
      <c r="BE28" s="298"/>
      <c r="BF28" s="297"/>
      <c r="BG28" s="299"/>
      <c r="BH28" s="299" t="s">
        <v>43</v>
      </c>
      <c r="BJ28" t="s">
        <v>430</v>
      </c>
      <c r="BK28" s="366" t="s">
        <v>368</v>
      </c>
    </row>
    <row r="29" spans="1:63" x14ac:dyDescent="0.15">
      <c r="A29" s="148">
        <v>1921</v>
      </c>
      <c r="B29" s="328">
        <v>43480</v>
      </c>
      <c r="C29" s="296" t="s">
        <v>10</v>
      </c>
      <c r="D29" s="379" t="s">
        <v>1108</v>
      </c>
      <c r="E29" s="295">
        <v>43479</v>
      </c>
      <c r="F29" s="298" t="s">
        <v>987</v>
      </c>
      <c r="G29" s="297" t="s">
        <v>1127</v>
      </c>
      <c r="H29" s="297">
        <v>53.107999999999997</v>
      </c>
      <c r="I29" s="376" t="s">
        <v>1101</v>
      </c>
      <c r="J29" s="297">
        <v>3000</v>
      </c>
      <c r="K29" s="297">
        <v>6000</v>
      </c>
      <c r="L29" s="297">
        <v>9000</v>
      </c>
      <c r="M29" s="297">
        <v>15000</v>
      </c>
      <c r="N29" s="297"/>
      <c r="O29" s="297">
        <v>2.278</v>
      </c>
      <c r="P29" s="297">
        <v>2.0059999999999998</v>
      </c>
      <c r="Q29" s="297">
        <v>1.734</v>
      </c>
      <c r="R29" s="297">
        <v>1.5980000000000001</v>
      </c>
      <c r="S29" s="297">
        <v>1.53</v>
      </c>
      <c r="T29" s="297"/>
      <c r="U29" s="297">
        <v>2.21</v>
      </c>
      <c r="V29" s="297">
        <v>1.972</v>
      </c>
      <c r="W29" s="297">
        <v>1.7</v>
      </c>
      <c r="X29" s="297">
        <v>1.5980000000000001</v>
      </c>
      <c r="Y29" s="297">
        <v>1.5640000000000001</v>
      </c>
      <c r="Z29" s="297"/>
      <c r="AA29" s="297"/>
      <c r="AB29" s="297"/>
      <c r="AC29" s="297"/>
      <c r="AD29" s="297"/>
      <c r="AE29" s="297"/>
      <c r="AF29" s="297"/>
      <c r="AG29" s="299" t="s">
        <v>1116</v>
      </c>
      <c r="AH29" s="299" t="s">
        <v>1117</v>
      </c>
      <c r="AI29" s="299">
        <v>3</v>
      </c>
      <c r="AJ29" s="299">
        <v>3</v>
      </c>
      <c r="AK29" s="377">
        <v>0.5</v>
      </c>
      <c r="AL29" s="377">
        <v>0.5</v>
      </c>
      <c r="AM29" s="366" t="s">
        <v>1118</v>
      </c>
      <c r="AN29" s="299">
        <v>0</v>
      </c>
      <c r="AO29" s="299">
        <v>0</v>
      </c>
      <c r="AP29" s="299">
        <v>0</v>
      </c>
      <c r="AQ29" s="299">
        <v>0</v>
      </c>
      <c r="AR29" s="299">
        <v>0</v>
      </c>
      <c r="AS29" s="299">
        <v>0</v>
      </c>
      <c r="AT29" s="299">
        <v>0</v>
      </c>
      <c r="AU29" s="299">
        <v>0</v>
      </c>
      <c r="AV29" s="299">
        <v>0</v>
      </c>
      <c r="AW29" s="299">
        <v>0</v>
      </c>
      <c r="AX29" s="299">
        <v>0</v>
      </c>
      <c r="AY29" s="299">
        <v>0</v>
      </c>
      <c r="AZ29" s="299"/>
      <c r="BA29" s="299" t="s">
        <v>38</v>
      </c>
      <c r="BB29" s="299"/>
      <c r="BC29" s="299" t="s">
        <v>38</v>
      </c>
      <c r="BD29" s="299"/>
      <c r="BE29" s="298"/>
      <c r="BF29" s="297"/>
      <c r="BG29" s="299"/>
      <c r="BH29" s="299" t="s">
        <v>41</v>
      </c>
      <c r="BI29" s="298" t="s">
        <v>370</v>
      </c>
      <c r="BJ29" t="s">
        <v>430</v>
      </c>
      <c r="BK29" t="s">
        <v>368</v>
      </c>
    </row>
    <row r="30" spans="1:63" x14ac:dyDescent="0.15">
      <c r="A30" s="148">
        <v>1683</v>
      </c>
      <c r="B30" s="328">
        <v>43480</v>
      </c>
      <c r="C30" s="296" t="s">
        <v>295</v>
      </c>
      <c r="D30" s="379" t="s">
        <v>1108</v>
      </c>
      <c r="E30" s="328">
        <v>43419</v>
      </c>
      <c r="F30" s="378" t="s">
        <v>1106</v>
      </c>
      <c r="G30" s="297" t="s">
        <v>2</v>
      </c>
      <c r="H30" s="297">
        <v>95</v>
      </c>
      <c r="I30" s="376" t="s">
        <v>296</v>
      </c>
      <c r="J30" s="297">
        <v>6000</v>
      </c>
      <c r="K30" s="297">
        <v>6000</v>
      </c>
      <c r="L30" s="297">
        <v>6000</v>
      </c>
      <c r="M30" s="297">
        <v>6000</v>
      </c>
      <c r="N30" s="297"/>
      <c r="O30" s="297">
        <v>2.9</v>
      </c>
      <c r="P30" s="297">
        <v>0</v>
      </c>
      <c r="Q30" s="297">
        <v>0</v>
      </c>
      <c r="R30" s="297">
        <v>0</v>
      </c>
      <c r="S30" s="297">
        <v>2.1</v>
      </c>
      <c r="T30" s="297"/>
      <c r="U30" s="297">
        <v>2.75</v>
      </c>
      <c r="V30" s="297">
        <v>0</v>
      </c>
      <c r="W30" s="297">
        <v>0</v>
      </c>
      <c r="X30" s="297">
        <v>0</v>
      </c>
      <c r="Y30" s="297">
        <v>2.0499999999999998</v>
      </c>
      <c r="Z30" s="297"/>
      <c r="AA30" s="297"/>
      <c r="AB30" s="297"/>
      <c r="AC30" s="297"/>
      <c r="AD30" s="297"/>
      <c r="AE30" s="297"/>
      <c r="AF30" s="297"/>
      <c r="AG30" s="333" t="s">
        <v>1116</v>
      </c>
      <c r="AH30" s="333" t="s">
        <v>1117</v>
      </c>
      <c r="AI30" s="299">
        <v>3</v>
      </c>
      <c r="AJ30" s="299">
        <v>3</v>
      </c>
      <c r="AK30" s="377">
        <v>0.5</v>
      </c>
      <c r="AL30" s="377">
        <v>0.5</v>
      </c>
      <c r="AM30" s="366" t="s">
        <v>1118</v>
      </c>
      <c r="AN30" s="299">
        <v>0</v>
      </c>
      <c r="AO30" s="299">
        <v>0</v>
      </c>
      <c r="AP30" s="299">
        <v>32</v>
      </c>
      <c r="AQ30" s="299">
        <v>0</v>
      </c>
      <c r="AR30" s="299">
        <v>0</v>
      </c>
      <c r="AS30" s="299">
        <v>0</v>
      </c>
      <c r="AT30" s="299">
        <v>0</v>
      </c>
      <c r="AU30" s="299">
        <v>0</v>
      </c>
      <c r="AV30" s="299">
        <v>0</v>
      </c>
      <c r="AW30" s="299">
        <v>0</v>
      </c>
      <c r="AX30" s="299">
        <v>0</v>
      </c>
      <c r="AY30" s="299">
        <v>0</v>
      </c>
      <c r="AZ30" s="299"/>
      <c r="BA30" s="299" t="s">
        <v>38</v>
      </c>
      <c r="BB30" s="299"/>
      <c r="BC30" s="299" t="s">
        <v>38</v>
      </c>
      <c r="BD30" s="299"/>
      <c r="BE30" s="297"/>
      <c r="BF30" s="299"/>
      <c r="BG30" s="299"/>
      <c r="BH30" s="299" t="s">
        <v>41</v>
      </c>
      <c r="BI30" s="297"/>
      <c r="BJ30" t="s">
        <v>430</v>
      </c>
      <c r="BK30" t="s">
        <v>368</v>
      </c>
    </row>
    <row r="31" spans="1:63" x14ac:dyDescent="0.15">
      <c r="A31" s="148">
        <v>1515</v>
      </c>
      <c r="B31" s="328">
        <v>43481</v>
      </c>
      <c r="C31" s="296" t="s">
        <v>10</v>
      </c>
      <c r="D31" s="379" t="s">
        <v>1108</v>
      </c>
      <c r="E31" s="309">
        <v>43344</v>
      </c>
      <c r="F31" s="297" t="s">
        <v>34</v>
      </c>
      <c r="G31" s="379" t="s">
        <v>1107</v>
      </c>
      <c r="H31" s="332">
        <v>79.7</v>
      </c>
      <c r="I31" s="394"/>
      <c r="J31" s="297"/>
      <c r="K31" s="297"/>
      <c r="L31" s="297"/>
      <c r="M31" s="297"/>
      <c r="N31" s="297"/>
      <c r="O31" s="332">
        <v>1.64</v>
      </c>
      <c r="P31" s="332">
        <v>0</v>
      </c>
      <c r="Q31" s="332">
        <v>0</v>
      </c>
      <c r="R31" s="332">
        <v>0</v>
      </c>
      <c r="S31" s="332">
        <v>0</v>
      </c>
      <c r="T31" s="332"/>
      <c r="U31" s="332">
        <v>1.92</v>
      </c>
      <c r="V31" s="297">
        <v>0</v>
      </c>
      <c r="W31" s="297">
        <v>0</v>
      </c>
      <c r="X31" s="297">
        <v>0</v>
      </c>
      <c r="Y31" s="297">
        <v>0</v>
      </c>
      <c r="Z31" s="332"/>
      <c r="AA31" s="332"/>
      <c r="AB31" s="332"/>
      <c r="AC31" s="332"/>
      <c r="AD31" s="332"/>
      <c r="AE31" s="332"/>
      <c r="AF31" s="332"/>
      <c r="AG31" s="299" t="s">
        <v>1116</v>
      </c>
      <c r="AH31" s="299" t="s">
        <v>1117</v>
      </c>
      <c r="AI31" s="299">
        <v>3</v>
      </c>
      <c r="AJ31" s="299">
        <v>3</v>
      </c>
      <c r="AK31" s="377">
        <v>0.5</v>
      </c>
      <c r="AL31" s="377">
        <v>0.5</v>
      </c>
      <c r="AM31" s="366" t="s">
        <v>1124</v>
      </c>
      <c r="AN31" s="299">
        <v>0</v>
      </c>
      <c r="AO31" s="299">
        <v>0</v>
      </c>
      <c r="AP31" s="299">
        <v>5</v>
      </c>
      <c r="AQ31" s="299">
        <v>0</v>
      </c>
      <c r="AR31" s="299">
        <v>0</v>
      </c>
      <c r="AS31" s="299">
        <v>0</v>
      </c>
      <c r="AT31" s="299">
        <v>0</v>
      </c>
      <c r="AU31" s="299">
        <v>0</v>
      </c>
      <c r="AV31" s="299">
        <v>0</v>
      </c>
      <c r="AW31" s="299">
        <v>0</v>
      </c>
      <c r="AX31" s="299">
        <v>0</v>
      </c>
      <c r="AY31" s="299">
        <v>0</v>
      </c>
      <c r="AZ31" s="299"/>
      <c r="BA31" s="299" t="s">
        <v>38</v>
      </c>
      <c r="BB31" s="299"/>
      <c r="BC31" s="299" t="s">
        <v>38</v>
      </c>
      <c r="BD31" s="299"/>
      <c r="BE31" s="298"/>
      <c r="BF31" s="297"/>
      <c r="BG31" s="299"/>
      <c r="BH31" s="299" t="s">
        <v>43</v>
      </c>
      <c r="BI31" s="17" t="s">
        <v>47</v>
      </c>
      <c r="BJ31" s="366" t="s">
        <v>430</v>
      </c>
      <c r="BK31" s="366" t="s">
        <v>368</v>
      </c>
    </row>
    <row r="32" spans="1:63" x14ac:dyDescent="0.15">
      <c r="A32" s="148">
        <v>78</v>
      </c>
      <c r="B32" s="328">
        <v>43480</v>
      </c>
      <c r="C32" s="296" t="s">
        <v>10</v>
      </c>
      <c r="D32" s="379" t="s">
        <v>1109</v>
      </c>
      <c r="E32" s="295">
        <v>43479</v>
      </c>
      <c r="F32" s="298" t="s">
        <v>12</v>
      </c>
      <c r="G32" s="297" t="s">
        <v>13</v>
      </c>
      <c r="H32" s="297">
        <v>76.599999999999994</v>
      </c>
      <c r="I32" s="376" t="s">
        <v>1101</v>
      </c>
      <c r="J32" s="297">
        <v>1645</v>
      </c>
      <c r="K32" s="297">
        <v>3000</v>
      </c>
      <c r="L32" s="297">
        <v>3000</v>
      </c>
      <c r="M32" s="297">
        <v>3000</v>
      </c>
      <c r="N32" s="297"/>
      <c r="O32" s="297">
        <v>2.67</v>
      </c>
      <c r="P32" s="297">
        <v>2.4900000000000002</v>
      </c>
      <c r="Q32" s="297">
        <v>0</v>
      </c>
      <c r="R32" s="297">
        <v>0</v>
      </c>
      <c r="S32" s="297">
        <v>2.08</v>
      </c>
      <c r="T32" s="297"/>
      <c r="U32" s="297">
        <v>2.67</v>
      </c>
      <c r="V32" s="297">
        <v>2.4900000000000002</v>
      </c>
      <c r="W32" s="297">
        <v>0</v>
      </c>
      <c r="X32" s="297">
        <v>0</v>
      </c>
      <c r="Y32" s="297">
        <v>2.08</v>
      </c>
      <c r="Z32" s="297"/>
      <c r="AA32" s="297"/>
      <c r="AB32" s="297"/>
      <c r="AC32" s="297"/>
      <c r="AD32" s="297"/>
      <c r="AE32" s="297"/>
      <c r="AF32" s="297"/>
      <c r="AG32" s="299" t="s">
        <v>38</v>
      </c>
      <c r="AH32" s="299"/>
      <c r="AI32" s="299">
        <v>2</v>
      </c>
      <c r="AJ32" s="299">
        <v>4</v>
      </c>
      <c r="AK32" s="388">
        <v>0.33329999999999999</v>
      </c>
      <c r="AL32" s="388">
        <v>0.66659999999999997</v>
      </c>
      <c r="AM32" s="366"/>
      <c r="AN32" s="299">
        <v>0</v>
      </c>
      <c r="AO32" s="299">
        <v>0</v>
      </c>
      <c r="AP32" s="299">
        <v>0</v>
      </c>
      <c r="AQ32" s="299">
        <v>24</v>
      </c>
      <c r="AR32" s="299">
        <v>0</v>
      </c>
      <c r="AS32" s="299">
        <v>0</v>
      </c>
      <c r="AT32" s="299">
        <v>0</v>
      </c>
      <c r="AU32" s="299">
        <v>0</v>
      </c>
      <c r="AV32" s="299">
        <v>0</v>
      </c>
      <c r="AW32" s="299">
        <v>0</v>
      </c>
      <c r="AX32" s="299">
        <v>0</v>
      </c>
      <c r="AY32" s="299">
        <v>0</v>
      </c>
      <c r="AZ32" s="299"/>
      <c r="BA32" s="299" t="s">
        <v>38</v>
      </c>
      <c r="BB32" s="299">
        <v>12</v>
      </c>
      <c r="BC32" s="299" t="s">
        <v>38</v>
      </c>
      <c r="BD32" s="299"/>
      <c r="BE32" s="298"/>
      <c r="BF32" s="297"/>
      <c r="BG32" s="299"/>
      <c r="BH32" s="299" t="s">
        <v>41</v>
      </c>
      <c r="BI32" s="298"/>
      <c r="BJ32" s="366" t="s">
        <v>430</v>
      </c>
      <c r="BK32" t="s">
        <v>408</v>
      </c>
    </row>
    <row r="33" spans="1:63" x14ac:dyDescent="0.15">
      <c r="A33" s="148">
        <v>1862</v>
      </c>
      <c r="B33" s="328">
        <v>43481</v>
      </c>
      <c r="C33" s="296" t="s">
        <v>10</v>
      </c>
      <c r="D33" s="379" t="s">
        <v>1109</v>
      </c>
      <c r="E33" s="328">
        <v>43477</v>
      </c>
      <c r="F33" s="298" t="s">
        <v>14</v>
      </c>
      <c r="G33" s="379" t="s">
        <v>1102</v>
      </c>
      <c r="H33" s="297">
        <v>74</v>
      </c>
      <c r="I33" s="376" t="s">
        <v>1101</v>
      </c>
      <c r="J33" s="297">
        <v>1645</v>
      </c>
      <c r="K33" s="297">
        <v>3000</v>
      </c>
      <c r="L33" s="297">
        <v>3000</v>
      </c>
      <c r="M33" s="297">
        <v>3000</v>
      </c>
      <c r="N33" s="297"/>
      <c r="O33" s="297">
        <v>2.4</v>
      </c>
      <c r="P33" s="297">
        <v>2.4</v>
      </c>
      <c r="Q33" s="332">
        <v>0</v>
      </c>
      <c r="R33" s="332">
        <v>0</v>
      </c>
      <c r="S33" s="297">
        <v>2.1</v>
      </c>
      <c r="T33" s="297"/>
      <c r="U33" s="297">
        <v>2.4</v>
      </c>
      <c r="V33" s="297">
        <v>2.4</v>
      </c>
      <c r="W33" s="332">
        <v>0</v>
      </c>
      <c r="X33" s="332">
        <v>0</v>
      </c>
      <c r="Y33" s="297">
        <v>2.1</v>
      </c>
      <c r="Z33" s="297"/>
      <c r="AA33" s="297"/>
      <c r="AB33" s="297"/>
      <c r="AC33" s="297"/>
      <c r="AD33" s="297"/>
      <c r="AE33" s="297"/>
      <c r="AF33" s="297"/>
      <c r="AG33" s="299" t="s">
        <v>38</v>
      </c>
      <c r="AH33" s="299"/>
      <c r="AI33" s="299">
        <v>2</v>
      </c>
      <c r="AJ33" s="299">
        <v>4</v>
      </c>
      <c r="AK33" s="388">
        <v>0.33329999999999999</v>
      </c>
      <c r="AL33" s="388">
        <v>0.66659999999999997</v>
      </c>
      <c r="AM33" s="366"/>
      <c r="AN33" s="299">
        <v>0</v>
      </c>
      <c r="AO33" s="299">
        <v>20</v>
      </c>
      <c r="AP33" s="299">
        <v>0</v>
      </c>
      <c r="AQ33" s="299">
        <v>0</v>
      </c>
      <c r="AR33" s="299">
        <v>0</v>
      </c>
      <c r="AS33" s="299">
        <v>0</v>
      </c>
      <c r="AT33" s="299">
        <v>0</v>
      </c>
      <c r="AU33" s="299">
        <v>0</v>
      </c>
      <c r="AV33" s="299">
        <v>0</v>
      </c>
      <c r="AW33" s="299">
        <v>0</v>
      </c>
      <c r="AX33" s="299">
        <v>0</v>
      </c>
      <c r="AY33" s="299">
        <v>0</v>
      </c>
      <c r="AZ33" s="297"/>
      <c r="BA33" s="299" t="s">
        <v>38</v>
      </c>
      <c r="BB33" s="299">
        <v>12</v>
      </c>
      <c r="BC33" s="299" t="s">
        <v>38</v>
      </c>
      <c r="BD33" s="299"/>
      <c r="BE33" s="298"/>
      <c r="BF33" s="297"/>
      <c r="BG33" s="299"/>
      <c r="BH33" s="299" t="s">
        <v>411</v>
      </c>
      <c r="BI33" s="298"/>
      <c r="BJ33" s="366" t="s">
        <v>1119</v>
      </c>
      <c r="BK33" s="366" t="s">
        <v>408</v>
      </c>
    </row>
    <row r="34" spans="1:63" x14ac:dyDescent="0.15">
      <c r="A34" s="148">
        <v>1878</v>
      </c>
      <c r="B34" s="328">
        <v>43480</v>
      </c>
      <c r="C34" s="296" t="s">
        <v>10</v>
      </c>
      <c r="D34" s="379" t="s">
        <v>1109</v>
      </c>
      <c r="E34" s="295">
        <v>43437</v>
      </c>
      <c r="F34" s="298" t="s">
        <v>16</v>
      </c>
      <c r="G34" s="379" t="s">
        <v>1103</v>
      </c>
      <c r="H34" s="297">
        <v>80.2</v>
      </c>
      <c r="I34" s="376" t="s">
        <v>1101</v>
      </c>
      <c r="J34" s="297">
        <v>1645</v>
      </c>
      <c r="K34" s="297">
        <v>3000</v>
      </c>
      <c r="L34" s="297">
        <v>3000</v>
      </c>
      <c r="M34" s="297">
        <v>3000</v>
      </c>
      <c r="N34" s="297"/>
      <c r="O34" s="297">
        <v>3.75</v>
      </c>
      <c r="P34" s="297">
        <v>3.2</v>
      </c>
      <c r="Q34" s="297">
        <v>0</v>
      </c>
      <c r="R34" s="297">
        <v>0</v>
      </c>
      <c r="S34" s="297">
        <v>2.8</v>
      </c>
      <c r="T34" s="297"/>
      <c r="U34" s="297">
        <v>3.75</v>
      </c>
      <c r="V34" s="297">
        <v>3.2</v>
      </c>
      <c r="W34" s="297">
        <v>0</v>
      </c>
      <c r="X34" s="297">
        <v>0</v>
      </c>
      <c r="Y34" s="297">
        <v>2.8</v>
      </c>
      <c r="Z34" s="297"/>
      <c r="AA34" s="297"/>
      <c r="AB34" s="297"/>
      <c r="AC34" s="297"/>
      <c r="AD34" s="297"/>
      <c r="AE34" s="297"/>
      <c r="AF34" s="297"/>
      <c r="AG34" s="299" t="s">
        <v>38</v>
      </c>
      <c r="AH34" s="299"/>
      <c r="AI34" s="299">
        <v>2</v>
      </c>
      <c r="AJ34" s="299">
        <v>4</v>
      </c>
      <c r="AK34" s="388">
        <v>0.33329999999999999</v>
      </c>
      <c r="AL34" s="388">
        <v>0.66659999999999997</v>
      </c>
      <c r="AM34" s="366"/>
      <c r="AN34" s="299">
        <v>0</v>
      </c>
      <c r="AO34" s="299">
        <v>0</v>
      </c>
      <c r="AP34" s="299">
        <v>26</v>
      </c>
      <c r="AQ34" s="299">
        <v>0</v>
      </c>
      <c r="AR34" s="299">
        <v>0</v>
      </c>
      <c r="AS34" s="299">
        <v>0</v>
      </c>
      <c r="AT34" s="299">
        <v>0</v>
      </c>
      <c r="AU34" s="299">
        <v>0</v>
      </c>
      <c r="AV34" s="299">
        <v>0</v>
      </c>
      <c r="AW34" s="299">
        <v>0</v>
      </c>
      <c r="AX34" s="299">
        <v>0</v>
      </c>
      <c r="AY34" s="299">
        <v>0</v>
      </c>
      <c r="AZ34" s="297"/>
      <c r="BA34" s="299" t="s">
        <v>38</v>
      </c>
      <c r="BB34" s="299"/>
      <c r="BC34" s="299" t="s">
        <v>38</v>
      </c>
      <c r="BD34" s="299"/>
      <c r="BE34" s="298"/>
      <c r="BF34" s="297"/>
      <c r="BG34" s="299"/>
      <c r="BH34" s="299" t="s">
        <v>41</v>
      </c>
      <c r="BI34" s="298" t="s">
        <v>42</v>
      </c>
      <c r="BJ34" s="366" t="s">
        <v>430</v>
      </c>
      <c r="BK34" t="s">
        <v>368</v>
      </c>
    </row>
    <row r="35" spans="1:63" x14ac:dyDescent="0.15">
      <c r="A35" s="148">
        <v>1137</v>
      </c>
      <c r="B35" s="328">
        <v>43481</v>
      </c>
      <c r="C35" s="296" t="s">
        <v>10</v>
      </c>
      <c r="D35" s="379" t="s">
        <v>1109</v>
      </c>
      <c r="E35" s="295">
        <v>43466</v>
      </c>
      <c r="F35" s="298" t="s">
        <v>18</v>
      </c>
      <c r="G35" s="297" t="s">
        <v>418</v>
      </c>
      <c r="H35" s="297">
        <v>75</v>
      </c>
      <c r="I35" s="376" t="s">
        <v>1101</v>
      </c>
      <c r="J35" s="297">
        <v>1645</v>
      </c>
      <c r="K35" s="297">
        <v>3000</v>
      </c>
      <c r="L35" s="297">
        <v>3000</v>
      </c>
      <c r="M35" s="297">
        <v>3000</v>
      </c>
      <c r="N35" s="297"/>
      <c r="O35" s="297">
        <v>2.99</v>
      </c>
      <c r="P35" s="297">
        <v>2.65</v>
      </c>
      <c r="Q35" s="332">
        <v>0</v>
      </c>
      <c r="R35" s="332">
        <v>0</v>
      </c>
      <c r="S35" s="297">
        <v>2.2200000000000002</v>
      </c>
      <c r="T35" s="297"/>
      <c r="U35" s="297">
        <v>2.99</v>
      </c>
      <c r="V35" s="297">
        <v>2.65</v>
      </c>
      <c r="W35" s="332">
        <v>0</v>
      </c>
      <c r="X35" s="332">
        <v>0</v>
      </c>
      <c r="Y35" s="297">
        <v>2.2200000000000002</v>
      </c>
      <c r="Z35" s="297"/>
      <c r="AA35" s="297"/>
      <c r="AB35" s="297"/>
      <c r="AC35" s="297"/>
      <c r="AD35" s="297"/>
      <c r="AE35" s="297"/>
      <c r="AF35" s="297"/>
      <c r="AG35" s="299" t="s">
        <v>38</v>
      </c>
      <c r="AH35" s="299"/>
      <c r="AI35" s="299">
        <v>2</v>
      </c>
      <c r="AJ35" s="299">
        <v>4</v>
      </c>
      <c r="AK35" s="388">
        <v>0.33329999999999999</v>
      </c>
      <c r="AL35" s="388">
        <v>0.66659999999999997</v>
      </c>
      <c r="AM35" s="366"/>
      <c r="AN35" s="299">
        <v>0</v>
      </c>
      <c r="AO35" s="299">
        <v>0</v>
      </c>
      <c r="AP35" s="299">
        <v>0</v>
      </c>
      <c r="AQ35" s="299">
        <v>16</v>
      </c>
      <c r="AR35" s="299">
        <v>0</v>
      </c>
      <c r="AS35" s="299">
        <v>0</v>
      </c>
      <c r="AT35" s="299">
        <v>0</v>
      </c>
      <c r="AU35" s="299">
        <v>0</v>
      </c>
      <c r="AV35" s="299">
        <v>0</v>
      </c>
      <c r="AW35" s="299">
        <v>0</v>
      </c>
      <c r="AX35" s="299">
        <v>0</v>
      </c>
      <c r="AY35" s="299">
        <v>0</v>
      </c>
      <c r="AZ35" s="299"/>
      <c r="BA35" s="299" t="s">
        <v>38</v>
      </c>
      <c r="BB35" s="299"/>
      <c r="BC35" s="299" t="s">
        <v>38</v>
      </c>
      <c r="BD35" s="299"/>
      <c r="BE35" s="298"/>
      <c r="BF35" s="297"/>
      <c r="BG35" s="299"/>
      <c r="BH35" s="299" t="s">
        <v>41</v>
      </c>
      <c r="BI35" s="298" t="s">
        <v>370</v>
      </c>
      <c r="BJ35" s="366" t="s">
        <v>430</v>
      </c>
      <c r="BK35" s="366" t="s">
        <v>408</v>
      </c>
    </row>
    <row r="36" spans="1:63" x14ac:dyDescent="0.15">
      <c r="A36" s="148">
        <v>882</v>
      </c>
      <c r="B36" s="328">
        <v>43480</v>
      </c>
      <c r="C36" s="296" t="s">
        <v>10</v>
      </c>
      <c r="D36" s="379" t="s">
        <v>1109</v>
      </c>
      <c r="E36" s="295">
        <v>43154</v>
      </c>
      <c r="F36" s="298" t="s">
        <v>19</v>
      </c>
      <c r="G36" s="297" t="s">
        <v>20</v>
      </c>
      <c r="H36" s="297">
        <v>81.349999999999994</v>
      </c>
      <c r="I36" s="376" t="s">
        <v>1101</v>
      </c>
      <c r="J36" s="331">
        <v>4000</v>
      </c>
      <c r="K36" s="331">
        <v>12000</v>
      </c>
      <c r="L36" s="331">
        <v>12000</v>
      </c>
      <c r="M36" s="331">
        <v>12000</v>
      </c>
      <c r="N36" s="297"/>
      <c r="O36" s="297">
        <v>2.4900000000000002</v>
      </c>
      <c r="P36" s="297">
        <v>2.19</v>
      </c>
      <c r="Q36" s="297">
        <v>0</v>
      </c>
      <c r="R36" s="297">
        <v>0</v>
      </c>
      <c r="S36" s="297">
        <v>1.79</v>
      </c>
      <c r="T36" s="297"/>
      <c r="U36" s="297">
        <v>2.4900000000000002</v>
      </c>
      <c r="V36" s="297">
        <v>2.19</v>
      </c>
      <c r="W36" s="297">
        <v>0</v>
      </c>
      <c r="X36" s="297">
        <v>0</v>
      </c>
      <c r="Y36" s="297">
        <v>1.79</v>
      </c>
      <c r="Z36" s="297"/>
      <c r="AA36" s="297"/>
      <c r="AB36" s="297"/>
      <c r="AC36" s="297"/>
      <c r="AD36" s="297"/>
      <c r="AE36" s="297"/>
      <c r="AF36" s="297"/>
      <c r="AG36" s="299" t="s">
        <v>1116</v>
      </c>
      <c r="AH36" s="299" t="s">
        <v>1117</v>
      </c>
      <c r="AI36" s="299">
        <v>2</v>
      </c>
      <c r="AJ36" s="299">
        <v>4</v>
      </c>
      <c r="AK36" s="388">
        <v>0.33329999999999999</v>
      </c>
      <c r="AL36" s="388">
        <v>0.66659999999999997</v>
      </c>
      <c r="AM36" s="366" t="s">
        <v>1124</v>
      </c>
      <c r="AN36" s="299">
        <v>0</v>
      </c>
      <c r="AO36" s="299">
        <v>0</v>
      </c>
      <c r="AP36" s="299">
        <v>0</v>
      </c>
      <c r="AQ36" s="299">
        <v>0</v>
      </c>
      <c r="AR36" s="299">
        <v>0</v>
      </c>
      <c r="AS36" s="299">
        <v>25</v>
      </c>
      <c r="AT36" s="299">
        <v>0</v>
      </c>
      <c r="AU36" s="299">
        <v>0</v>
      </c>
      <c r="AV36" s="299">
        <v>0</v>
      </c>
      <c r="AW36" s="299">
        <v>0</v>
      </c>
      <c r="AX36" s="299">
        <v>0</v>
      </c>
      <c r="AY36" s="299">
        <v>0</v>
      </c>
      <c r="AZ36" s="297"/>
      <c r="BA36" s="299" t="s">
        <v>38</v>
      </c>
      <c r="BB36" s="299"/>
      <c r="BC36" s="299" t="s">
        <v>38</v>
      </c>
      <c r="BD36" s="299"/>
      <c r="BE36" s="298"/>
      <c r="BF36" s="297"/>
      <c r="BG36" s="299"/>
      <c r="BH36" s="299" t="s">
        <v>43</v>
      </c>
      <c r="BI36" s="298"/>
      <c r="BJ36" s="366" t="s">
        <v>430</v>
      </c>
      <c r="BK36" s="366" t="s">
        <v>368</v>
      </c>
    </row>
    <row r="37" spans="1:63" x14ac:dyDescent="0.15">
      <c r="A37" s="148">
        <v>746</v>
      </c>
      <c r="B37" s="328">
        <v>43481</v>
      </c>
      <c r="C37" s="296" t="s">
        <v>10</v>
      </c>
      <c r="D37" s="379" t="s">
        <v>1109</v>
      </c>
      <c r="E37" s="295">
        <v>43467</v>
      </c>
      <c r="F37" s="298" t="s">
        <v>21</v>
      </c>
      <c r="G37" s="297" t="s">
        <v>1104</v>
      </c>
      <c r="H37" s="297">
        <v>81</v>
      </c>
      <c r="I37" s="376" t="s">
        <v>1101</v>
      </c>
      <c r="J37" s="297">
        <v>3000</v>
      </c>
      <c r="K37" s="297">
        <v>3000</v>
      </c>
      <c r="L37" s="297">
        <v>3000</v>
      </c>
      <c r="M37" s="297">
        <v>3000</v>
      </c>
      <c r="N37" s="297"/>
      <c r="O37" s="297">
        <v>2.97</v>
      </c>
      <c r="P37" s="297">
        <v>0</v>
      </c>
      <c r="Q37" s="297">
        <v>0</v>
      </c>
      <c r="R37" s="297">
        <v>0</v>
      </c>
      <c r="S37" s="297">
        <v>2</v>
      </c>
      <c r="T37" s="297"/>
      <c r="U37" s="297">
        <v>2.97</v>
      </c>
      <c r="V37" s="297">
        <v>0</v>
      </c>
      <c r="W37" s="297">
        <v>0</v>
      </c>
      <c r="X37" s="297">
        <v>0</v>
      </c>
      <c r="Y37" s="297">
        <v>2</v>
      </c>
      <c r="Z37" s="297"/>
      <c r="AA37" s="297"/>
      <c r="AB37" s="297"/>
      <c r="AC37" s="297"/>
      <c r="AD37" s="297"/>
      <c r="AE37" s="297"/>
      <c r="AF37" s="297"/>
      <c r="AG37" s="299" t="s">
        <v>38</v>
      </c>
      <c r="AH37" s="297"/>
      <c r="AI37" s="299">
        <v>2</v>
      </c>
      <c r="AJ37" s="299">
        <v>4</v>
      </c>
      <c r="AK37" s="388">
        <v>0.33329999999999999</v>
      </c>
      <c r="AL37" s="388">
        <v>0.66659999999999997</v>
      </c>
      <c r="AM37" s="366"/>
      <c r="AN37" s="299">
        <v>0</v>
      </c>
      <c r="AO37" s="299">
        <v>22</v>
      </c>
      <c r="AP37" s="299">
        <v>0</v>
      </c>
      <c r="AQ37" s="299">
        <v>0</v>
      </c>
      <c r="AR37" s="299">
        <v>0</v>
      </c>
      <c r="AS37" s="299">
        <v>0</v>
      </c>
      <c r="AT37" s="299">
        <v>0</v>
      </c>
      <c r="AU37" s="299">
        <v>0</v>
      </c>
      <c r="AV37" s="299">
        <v>0</v>
      </c>
      <c r="AW37" s="299">
        <v>0</v>
      </c>
      <c r="AX37" s="299">
        <v>0</v>
      </c>
      <c r="AY37" s="299">
        <v>0</v>
      </c>
      <c r="AZ37" s="297"/>
      <c r="BA37" s="299" t="s">
        <v>38</v>
      </c>
      <c r="BB37" s="299">
        <v>12</v>
      </c>
      <c r="BC37" s="299" t="s">
        <v>38</v>
      </c>
      <c r="BD37" s="299"/>
      <c r="BE37" s="298" t="s">
        <v>218</v>
      </c>
      <c r="BF37" s="297" t="s">
        <v>40</v>
      </c>
      <c r="BG37" s="299">
        <v>50</v>
      </c>
      <c r="BH37" s="299" t="s">
        <v>41</v>
      </c>
      <c r="BI37" s="298"/>
      <c r="BJ37" s="366" t="s">
        <v>430</v>
      </c>
      <c r="BK37" s="366" t="s">
        <v>408</v>
      </c>
    </row>
    <row r="38" spans="1:63" x14ac:dyDescent="0.15">
      <c r="A38" s="148">
        <v>1937</v>
      </c>
      <c r="B38" s="328">
        <v>43481</v>
      </c>
      <c r="C38" s="296" t="s">
        <v>10</v>
      </c>
      <c r="D38" s="379" t="s">
        <v>1109</v>
      </c>
      <c r="E38" s="295">
        <v>43466</v>
      </c>
      <c r="F38" s="298" t="s">
        <v>22</v>
      </c>
      <c r="G38" s="297" t="s">
        <v>1105</v>
      </c>
      <c r="H38" s="297">
        <v>70</v>
      </c>
      <c r="I38" s="376" t="s">
        <v>1101</v>
      </c>
      <c r="J38" s="297">
        <v>1645</v>
      </c>
      <c r="K38" s="297">
        <v>3000</v>
      </c>
      <c r="L38" s="297">
        <v>3000</v>
      </c>
      <c r="M38" s="297">
        <v>3000</v>
      </c>
      <c r="N38" s="297"/>
      <c r="O38" s="297">
        <v>2.4</v>
      </c>
      <c r="P38" s="297">
        <v>2.04</v>
      </c>
      <c r="Q38" s="297">
        <v>0</v>
      </c>
      <c r="R38" s="297">
        <v>0</v>
      </c>
      <c r="S38" s="297">
        <v>1.8</v>
      </c>
      <c r="T38" s="297"/>
      <c r="U38" s="297">
        <v>2.4</v>
      </c>
      <c r="V38" s="297">
        <v>2.04</v>
      </c>
      <c r="W38" s="297">
        <v>0</v>
      </c>
      <c r="X38" s="297">
        <v>0</v>
      </c>
      <c r="Y38" s="297">
        <v>1.8</v>
      </c>
      <c r="Z38" s="297"/>
      <c r="AA38" s="297"/>
      <c r="AB38" s="297"/>
      <c r="AC38" s="297"/>
      <c r="AD38" s="297"/>
      <c r="AE38" s="297"/>
      <c r="AF38" s="297"/>
      <c r="AG38" s="299" t="s">
        <v>38</v>
      </c>
      <c r="AH38" s="299"/>
      <c r="AI38" s="299">
        <v>2</v>
      </c>
      <c r="AJ38" s="299">
        <v>4</v>
      </c>
      <c r="AK38" s="388">
        <v>0.33329999999999999</v>
      </c>
      <c r="AL38" s="388">
        <v>0.66659999999999997</v>
      </c>
      <c r="AM38" s="366"/>
      <c r="AN38" s="299">
        <v>0</v>
      </c>
      <c r="AO38" s="299">
        <v>0</v>
      </c>
      <c r="AP38" s="299">
        <v>3</v>
      </c>
      <c r="AQ38" s="299">
        <v>0</v>
      </c>
      <c r="AR38" s="299">
        <v>0</v>
      </c>
      <c r="AS38" s="299">
        <v>0</v>
      </c>
      <c r="AT38" s="299">
        <v>0</v>
      </c>
      <c r="AU38" s="299">
        <v>0</v>
      </c>
      <c r="AV38" s="299">
        <v>0</v>
      </c>
      <c r="AW38" s="299">
        <v>0</v>
      </c>
      <c r="AX38" s="299">
        <v>0</v>
      </c>
      <c r="AY38" s="299">
        <v>0</v>
      </c>
      <c r="AZ38" s="297"/>
      <c r="BA38" s="299" t="s">
        <v>38</v>
      </c>
      <c r="BB38" s="299"/>
      <c r="BC38" s="299" t="s">
        <v>38</v>
      </c>
      <c r="BD38" s="299"/>
      <c r="BE38" s="298" t="s">
        <v>1120</v>
      </c>
      <c r="BF38" s="297" t="s">
        <v>40</v>
      </c>
      <c r="BG38" s="299">
        <v>50</v>
      </c>
      <c r="BH38" s="299" t="s">
        <v>41</v>
      </c>
      <c r="BI38" s="298"/>
      <c r="BJ38" t="s">
        <v>430</v>
      </c>
      <c r="BK38" t="s">
        <v>1121</v>
      </c>
    </row>
    <row r="39" spans="1:63" x14ac:dyDescent="0.15">
      <c r="A39" s="148">
        <v>314</v>
      </c>
      <c r="B39" s="328">
        <v>43481</v>
      </c>
      <c r="C39" s="296" t="s">
        <v>10</v>
      </c>
      <c r="D39" s="379" t="s">
        <v>1109</v>
      </c>
      <c r="E39" s="295">
        <v>43466</v>
      </c>
      <c r="F39" s="297" t="s">
        <v>24</v>
      </c>
      <c r="G39" s="297" t="s">
        <v>20</v>
      </c>
      <c r="H39" s="297">
        <v>77.59</v>
      </c>
      <c r="I39" s="376" t="s">
        <v>1101</v>
      </c>
      <c r="J39" s="297">
        <v>1645</v>
      </c>
      <c r="K39" s="297">
        <v>3000</v>
      </c>
      <c r="L39" s="297">
        <v>3000</v>
      </c>
      <c r="M39" s="297">
        <v>3000</v>
      </c>
      <c r="N39" s="297"/>
      <c r="O39" s="297">
        <v>2.33</v>
      </c>
      <c r="P39" s="297">
        <v>2.02</v>
      </c>
      <c r="Q39" s="297">
        <v>0</v>
      </c>
      <c r="R39" s="297">
        <v>0</v>
      </c>
      <c r="S39" s="297">
        <v>1.786</v>
      </c>
      <c r="T39" s="297"/>
      <c r="U39" s="297">
        <v>2.0880000000000001</v>
      </c>
      <c r="V39" s="297">
        <v>1.8029999999999999</v>
      </c>
      <c r="W39" s="297">
        <v>0</v>
      </c>
      <c r="X39" s="297">
        <v>0</v>
      </c>
      <c r="Y39" s="297">
        <v>1.5880000000000001</v>
      </c>
      <c r="Z39" s="297"/>
      <c r="AA39" s="297"/>
      <c r="AB39" s="297"/>
      <c r="AC39" s="297"/>
      <c r="AD39" s="297"/>
      <c r="AE39" s="297"/>
      <c r="AF39" s="297"/>
      <c r="AG39" s="299" t="s">
        <v>1116</v>
      </c>
      <c r="AH39" s="299" t="s">
        <v>1117</v>
      </c>
      <c r="AI39" s="299">
        <v>2</v>
      </c>
      <c r="AJ39" s="299">
        <v>4</v>
      </c>
      <c r="AK39" s="388">
        <v>0.33329999999999999</v>
      </c>
      <c r="AL39" s="388">
        <v>0.66659999999999997</v>
      </c>
      <c r="AM39" s="366" t="s">
        <v>1124</v>
      </c>
      <c r="AN39" s="299">
        <v>0</v>
      </c>
      <c r="AO39" s="299">
        <v>0</v>
      </c>
      <c r="AP39" s="299">
        <v>0</v>
      </c>
      <c r="AQ39" s="299">
        <v>0</v>
      </c>
      <c r="AR39" s="299">
        <v>0</v>
      </c>
      <c r="AS39" s="299">
        <v>0</v>
      </c>
      <c r="AT39" s="299">
        <v>0</v>
      </c>
      <c r="AU39" s="299">
        <v>0</v>
      </c>
      <c r="AV39" s="299">
        <v>0</v>
      </c>
      <c r="AW39" s="299">
        <v>0</v>
      </c>
      <c r="AX39" s="299">
        <v>0</v>
      </c>
      <c r="AY39" s="299">
        <v>0</v>
      </c>
      <c r="AZ39" s="297"/>
      <c r="BA39" s="299" t="s">
        <v>38</v>
      </c>
      <c r="BB39" s="299"/>
      <c r="BC39" s="299" t="s">
        <v>38</v>
      </c>
      <c r="BD39" s="299"/>
      <c r="BE39" s="298" t="s">
        <v>44</v>
      </c>
      <c r="BF39" s="297" t="s">
        <v>40</v>
      </c>
      <c r="BG39" s="299">
        <v>50</v>
      </c>
      <c r="BH39" s="299" t="s">
        <v>43</v>
      </c>
      <c r="BI39" s="298"/>
      <c r="BJ39" t="s">
        <v>430</v>
      </c>
      <c r="BK39" t="s">
        <v>408</v>
      </c>
    </row>
    <row r="40" spans="1:63" x14ac:dyDescent="0.15">
      <c r="A40" s="148">
        <v>569</v>
      </c>
      <c r="B40" s="328">
        <v>43481</v>
      </c>
      <c r="C40" s="296" t="s">
        <v>10</v>
      </c>
      <c r="D40" s="379" t="s">
        <v>1109</v>
      </c>
      <c r="E40" s="295">
        <v>43466</v>
      </c>
      <c r="F40" s="298" t="s">
        <v>25</v>
      </c>
      <c r="G40" s="297" t="s">
        <v>26</v>
      </c>
      <c r="H40" s="297">
        <v>69</v>
      </c>
      <c r="I40" s="376" t="s">
        <v>1101</v>
      </c>
      <c r="J40" s="331">
        <v>4000</v>
      </c>
      <c r="K40" s="331">
        <v>12000</v>
      </c>
      <c r="L40" s="331">
        <v>12000</v>
      </c>
      <c r="M40" s="331">
        <v>12000</v>
      </c>
      <c r="N40" s="297"/>
      <c r="O40" s="297">
        <v>2.2000000000000002</v>
      </c>
      <c r="P40" s="297">
        <v>2.1</v>
      </c>
      <c r="Q40" s="297">
        <v>0</v>
      </c>
      <c r="R40" s="297">
        <v>0</v>
      </c>
      <c r="S40" s="297">
        <v>1.8</v>
      </c>
      <c r="T40" s="297"/>
      <c r="U40" s="297">
        <v>2.2000000000000002</v>
      </c>
      <c r="V40" s="297">
        <v>2.1</v>
      </c>
      <c r="W40" s="297">
        <v>0</v>
      </c>
      <c r="X40" s="297">
        <v>0</v>
      </c>
      <c r="Y40" s="297">
        <v>1.8</v>
      </c>
      <c r="Z40" s="297"/>
      <c r="AA40" s="297"/>
      <c r="AB40" s="297"/>
      <c r="AC40" s="297"/>
      <c r="AD40" s="297"/>
      <c r="AE40" s="297"/>
      <c r="AF40" s="297"/>
      <c r="AG40" s="299" t="s">
        <v>38</v>
      </c>
      <c r="AH40" s="299"/>
      <c r="AI40" s="299">
        <v>2</v>
      </c>
      <c r="AJ40" s="299">
        <v>4</v>
      </c>
      <c r="AK40" s="388">
        <v>0.33329999999999999</v>
      </c>
      <c r="AL40" s="388">
        <v>0.66659999999999997</v>
      </c>
      <c r="AM40" s="366"/>
      <c r="AN40" s="299">
        <v>0</v>
      </c>
      <c r="AO40" s="299">
        <v>0</v>
      </c>
      <c r="AP40" s="299">
        <v>0</v>
      </c>
      <c r="AQ40" s="299">
        <v>13</v>
      </c>
      <c r="AR40" s="299">
        <v>0</v>
      </c>
      <c r="AS40" s="299">
        <v>0</v>
      </c>
      <c r="AT40" s="299">
        <v>0</v>
      </c>
      <c r="AU40" s="299">
        <v>0</v>
      </c>
      <c r="AV40" s="299">
        <v>0</v>
      </c>
      <c r="AW40" s="299">
        <v>0</v>
      </c>
      <c r="AX40" s="299">
        <v>0</v>
      </c>
      <c r="AY40" s="299">
        <v>0</v>
      </c>
      <c r="AZ40" s="297"/>
      <c r="BA40" s="299" t="s">
        <v>38</v>
      </c>
      <c r="BB40" s="299">
        <v>12</v>
      </c>
      <c r="BC40" s="299" t="s">
        <v>38</v>
      </c>
      <c r="BD40" s="299"/>
      <c r="BE40" s="298"/>
      <c r="BF40" s="298"/>
      <c r="BG40" s="299"/>
      <c r="BH40" s="299" t="s">
        <v>41</v>
      </c>
      <c r="BI40" s="298"/>
      <c r="BJ40" s="366" t="s">
        <v>430</v>
      </c>
      <c r="BK40" s="366" t="s">
        <v>408</v>
      </c>
    </row>
    <row r="41" spans="1:63" x14ac:dyDescent="0.15">
      <c r="A41" s="148">
        <v>1427</v>
      </c>
      <c r="B41" s="328">
        <v>43481</v>
      </c>
      <c r="C41" s="296" t="s">
        <v>10</v>
      </c>
      <c r="D41" s="379" t="s">
        <v>1109</v>
      </c>
      <c r="E41" s="309">
        <v>43466</v>
      </c>
      <c r="F41" s="298" t="s">
        <v>27</v>
      </c>
      <c r="G41" s="379" t="s">
        <v>28</v>
      </c>
      <c r="H41" s="297">
        <v>70</v>
      </c>
      <c r="I41" s="376" t="s">
        <v>1101</v>
      </c>
      <c r="J41" s="331">
        <v>3000</v>
      </c>
      <c r="K41" s="331">
        <v>3000</v>
      </c>
      <c r="L41" s="331">
        <v>3000</v>
      </c>
      <c r="M41" s="331">
        <v>3000</v>
      </c>
      <c r="N41" s="297"/>
      <c r="O41" s="297">
        <v>2.25</v>
      </c>
      <c r="P41" s="297">
        <v>0</v>
      </c>
      <c r="Q41" s="297">
        <v>0</v>
      </c>
      <c r="R41" s="297">
        <v>0</v>
      </c>
      <c r="S41" s="297">
        <v>1.8</v>
      </c>
      <c r="T41" s="297"/>
      <c r="U41" s="297">
        <v>2.25</v>
      </c>
      <c r="V41" s="297">
        <v>0</v>
      </c>
      <c r="W41" s="297">
        <v>0</v>
      </c>
      <c r="X41" s="297">
        <v>0</v>
      </c>
      <c r="Y41" s="297">
        <v>1.8</v>
      </c>
      <c r="Z41" s="297"/>
      <c r="AA41" s="297"/>
      <c r="AB41" s="297"/>
      <c r="AC41" s="297"/>
      <c r="AD41" s="297"/>
      <c r="AE41" s="297"/>
      <c r="AF41" s="297"/>
      <c r="AG41" s="299" t="s">
        <v>38</v>
      </c>
      <c r="AH41" s="299"/>
      <c r="AI41" s="299">
        <v>2</v>
      </c>
      <c r="AJ41" s="299">
        <v>4</v>
      </c>
      <c r="AK41" s="388">
        <v>0.33329999999999999</v>
      </c>
      <c r="AL41" s="388">
        <v>0.66659999999999997</v>
      </c>
      <c r="AM41" s="366"/>
      <c r="AN41" s="299">
        <v>0</v>
      </c>
      <c r="AO41" s="299">
        <v>0</v>
      </c>
      <c r="AP41" s="299">
        <v>10</v>
      </c>
      <c r="AQ41" s="299">
        <v>0</v>
      </c>
      <c r="AR41" s="299">
        <v>0</v>
      </c>
      <c r="AS41" s="299">
        <v>0</v>
      </c>
      <c r="AT41" s="299">
        <v>0</v>
      </c>
      <c r="AU41" s="299">
        <v>0</v>
      </c>
      <c r="AV41" s="299">
        <v>0</v>
      </c>
      <c r="AW41" s="299">
        <v>0</v>
      </c>
      <c r="AX41" s="299">
        <v>0</v>
      </c>
      <c r="AY41" s="299">
        <v>0</v>
      </c>
      <c r="AZ41" s="299"/>
      <c r="BA41" s="299" t="s">
        <v>38</v>
      </c>
      <c r="BB41" s="299"/>
      <c r="BC41" s="299" t="s">
        <v>38</v>
      </c>
      <c r="BD41" s="299"/>
      <c r="BE41" s="298"/>
      <c r="BF41" s="297"/>
      <c r="BG41" s="299"/>
      <c r="BH41" s="299" t="s">
        <v>41</v>
      </c>
      <c r="BI41" s="298"/>
      <c r="BJ41" s="366" t="s">
        <v>1125</v>
      </c>
      <c r="BK41" s="366" t="s">
        <v>408</v>
      </c>
    </row>
    <row r="42" spans="1:63" x14ac:dyDescent="0.15">
      <c r="A42" s="148">
        <v>784</v>
      </c>
      <c r="B42" s="328">
        <v>43481</v>
      </c>
      <c r="C42" s="296" t="s">
        <v>10</v>
      </c>
      <c r="D42" s="379" t="s">
        <v>1109</v>
      </c>
      <c r="E42" s="309">
        <v>43369</v>
      </c>
      <c r="F42" s="298" t="s">
        <v>29</v>
      </c>
      <c r="G42" s="297" t="s">
        <v>30</v>
      </c>
      <c r="H42" s="339">
        <v>71.11</v>
      </c>
      <c r="I42" s="376" t="s">
        <v>1101</v>
      </c>
      <c r="J42" s="297">
        <v>1645</v>
      </c>
      <c r="K42" s="297">
        <v>3000</v>
      </c>
      <c r="L42" s="297">
        <v>3000</v>
      </c>
      <c r="M42" s="297">
        <v>3000</v>
      </c>
      <c r="N42" s="297"/>
      <c r="O42" s="340">
        <v>3.07</v>
      </c>
      <c r="P42" s="332">
        <v>2.63</v>
      </c>
      <c r="Q42" s="395">
        <v>0</v>
      </c>
      <c r="R42" s="297">
        <v>0</v>
      </c>
      <c r="S42" s="341">
        <v>2.2400000000000002</v>
      </c>
      <c r="T42" s="297"/>
      <c r="U42" s="340">
        <v>3.07</v>
      </c>
      <c r="V42" s="332">
        <v>2.63</v>
      </c>
      <c r="W42" s="395">
        <v>0</v>
      </c>
      <c r="X42" s="297">
        <v>0</v>
      </c>
      <c r="Y42" s="341">
        <v>2.2400000000000002</v>
      </c>
      <c r="Z42" s="297"/>
      <c r="AA42" s="297"/>
      <c r="AB42" s="297"/>
      <c r="AC42" s="297"/>
      <c r="AD42" s="297"/>
      <c r="AE42" s="297"/>
      <c r="AF42" s="297"/>
      <c r="AG42" s="299" t="s">
        <v>38</v>
      </c>
      <c r="AH42" s="299"/>
      <c r="AI42" s="299">
        <v>2</v>
      </c>
      <c r="AJ42" s="299">
        <v>4</v>
      </c>
      <c r="AK42" s="388">
        <v>0.33329999999999999</v>
      </c>
      <c r="AL42" s="388">
        <v>0.66659999999999997</v>
      </c>
      <c r="AM42" s="366"/>
      <c r="AN42" s="299">
        <v>0</v>
      </c>
      <c r="AO42" s="299">
        <v>0</v>
      </c>
      <c r="AP42" s="299">
        <v>0</v>
      </c>
      <c r="AQ42" s="299">
        <v>26</v>
      </c>
      <c r="AR42" s="299">
        <v>0</v>
      </c>
      <c r="AS42" s="299">
        <v>0</v>
      </c>
      <c r="AT42" s="299">
        <v>0</v>
      </c>
      <c r="AU42" s="299">
        <v>0</v>
      </c>
      <c r="AV42" s="299">
        <v>0</v>
      </c>
      <c r="AW42" s="299">
        <v>0</v>
      </c>
      <c r="AX42" s="299">
        <v>0</v>
      </c>
      <c r="AY42" s="299">
        <v>0</v>
      </c>
      <c r="AZ42" s="297"/>
      <c r="BA42" s="299" t="s">
        <v>38</v>
      </c>
      <c r="BB42" s="299">
        <v>24</v>
      </c>
      <c r="BC42" s="299" t="s">
        <v>38</v>
      </c>
      <c r="BD42" s="299"/>
      <c r="BE42" s="378" t="s">
        <v>46</v>
      </c>
      <c r="BF42" s="297" t="s">
        <v>365</v>
      </c>
      <c r="BG42" s="299">
        <v>50</v>
      </c>
      <c r="BH42" s="299" t="s">
        <v>43</v>
      </c>
      <c r="BI42" s="298"/>
      <c r="BJ42" t="s">
        <v>430</v>
      </c>
      <c r="BK42" s="366" t="s">
        <v>368</v>
      </c>
    </row>
    <row r="43" spans="1:63" x14ac:dyDescent="0.15">
      <c r="A43" s="148">
        <v>1612</v>
      </c>
      <c r="B43" s="328">
        <v>43481</v>
      </c>
      <c r="C43" s="296" t="s">
        <v>10</v>
      </c>
      <c r="D43" s="379" t="s">
        <v>1109</v>
      </c>
      <c r="E43" s="309">
        <v>43221</v>
      </c>
      <c r="F43" s="297" t="s">
        <v>31</v>
      </c>
      <c r="G43" s="297" t="s">
        <v>32</v>
      </c>
      <c r="H43" s="332">
        <v>64.040000000000006</v>
      </c>
      <c r="I43" s="394" t="s">
        <v>1101</v>
      </c>
      <c r="J43" s="297">
        <v>1645</v>
      </c>
      <c r="K43" s="297">
        <v>3000</v>
      </c>
      <c r="L43" s="297">
        <v>3000</v>
      </c>
      <c r="M43" s="297">
        <v>3000</v>
      </c>
      <c r="N43" s="332"/>
      <c r="O43" s="332">
        <v>2.7480000000000002</v>
      </c>
      <c r="P43" s="332">
        <v>2.4980000000000002</v>
      </c>
      <c r="Q43" s="332">
        <v>0</v>
      </c>
      <c r="R43" s="332">
        <v>0</v>
      </c>
      <c r="S43" s="332">
        <v>2.0840000000000001</v>
      </c>
      <c r="T43" s="332"/>
      <c r="U43" s="332">
        <v>2.5289999999999999</v>
      </c>
      <c r="V43" s="332">
        <v>2.2989999999999999</v>
      </c>
      <c r="W43" s="332">
        <v>0</v>
      </c>
      <c r="X43" s="332">
        <v>0</v>
      </c>
      <c r="Y43" s="332">
        <v>1.9179999999999999</v>
      </c>
      <c r="Z43" s="332"/>
      <c r="AA43" s="332"/>
      <c r="AB43" s="332"/>
      <c r="AC43" s="332"/>
      <c r="AD43" s="332"/>
      <c r="AE43" s="332"/>
      <c r="AF43" s="332"/>
      <c r="AG43" s="333" t="s">
        <v>1116</v>
      </c>
      <c r="AH43" s="333" t="s">
        <v>1117</v>
      </c>
      <c r="AI43" s="299">
        <v>2</v>
      </c>
      <c r="AJ43" s="299">
        <v>4</v>
      </c>
      <c r="AK43" s="388">
        <v>0.33329999999999999</v>
      </c>
      <c r="AL43" s="388">
        <v>0.66659999999999997</v>
      </c>
      <c r="AM43" s="366" t="s">
        <v>1124</v>
      </c>
      <c r="AN43" s="299">
        <v>0</v>
      </c>
      <c r="AO43" s="299">
        <v>0</v>
      </c>
      <c r="AP43" s="299">
        <v>0</v>
      </c>
      <c r="AQ43" s="299">
        <v>25</v>
      </c>
      <c r="AR43" s="299">
        <v>0</v>
      </c>
      <c r="AS43" s="299">
        <v>0</v>
      </c>
      <c r="AT43" s="299">
        <v>0</v>
      </c>
      <c r="AU43" s="299">
        <v>0</v>
      </c>
      <c r="AV43" s="299">
        <v>0</v>
      </c>
      <c r="AW43" s="299">
        <v>0</v>
      </c>
      <c r="AX43" s="299">
        <v>0</v>
      </c>
      <c r="AY43" s="299">
        <v>0</v>
      </c>
      <c r="AZ43" s="299"/>
      <c r="BA43" s="299" t="s">
        <v>38</v>
      </c>
      <c r="BB43" s="299">
        <v>12</v>
      </c>
      <c r="BC43" s="299" t="s">
        <v>38</v>
      </c>
      <c r="BD43" s="299"/>
      <c r="BE43" s="298"/>
      <c r="BF43" s="297"/>
      <c r="BG43" s="299"/>
      <c r="BH43" s="299" t="s">
        <v>43</v>
      </c>
      <c r="BI43" s="298"/>
      <c r="BJ43" t="s">
        <v>430</v>
      </c>
      <c r="BK43" s="366" t="s">
        <v>368</v>
      </c>
    </row>
    <row r="44" spans="1:63" x14ac:dyDescent="0.15">
      <c r="A44" s="148">
        <v>1914</v>
      </c>
      <c r="B44" s="328">
        <v>43480</v>
      </c>
      <c r="C44" s="296" t="s">
        <v>10</v>
      </c>
      <c r="D44" s="379" t="s">
        <v>1109</v>
      </c>
      <c r="E44" s="295">
        <v>43479</v>
      </c>
      <c r="F44" s="298" t="s">
        <v>987</v>
      </c>
      <c r="G44" s="297" t="s">
        <v>1127</v>
      </c>
      <c r="H44" s="297">
        <v>54.536000000000001</v>
      </c>
      <c r="I44" s="376" t="s">
        <v>1101</v>
      </c>
      <c r="J44" s="297">
        <v>1645</v>
      </c>
      <c r="K44" s="297">
        <v>3000</v>
      </c>
      <c r="L44" s="297">
        <v>3000</v>
      </c>
      <c r="M44" s="297">
        <v>3000</v>
      </c>
      <c r="N44" s="297"/>
      <c r="O44" s="297">
        <v>2.5499999999999998</v>
      </c>
      <c r="P44" s="297">
        <v>2.1760000000000002</v>
      </c>
      <c r="Q44" s="332">
        <v>0</v>
      </c>
      <c r="R44" s="332">
        <v>0</v>
      </c>
      <c r="S44" s="297">
        <v>1.9039999999999999</v>
      </c>
      <c r="T44" s="297"/>
      <c r="U44" s="297">
        <v>2.5499999999999998</v>
      </c>
      <c r="V44" s="297">
        <v>2.1760000000000002</v>
      </c>
      <c r="W44" s="332">
        <v>0</v>
      </c>
      <c r="X44" s="332">
        <v>0</v>
      </c>
      <c r="Y44" s="297">
        <v>1.9039999999999999</v>
      </c>
      <c r="Z44" s="297"/>
      <c r="AA44" s="297"/>
      <c r="AB44" s="297"/>
      <c r="AC44" s="297"/>
      <c r="AD44" s="297"/>
      <c r="AE44" s="297"/>
      <c r="AF44" s="297"/>
      <c r="AG44" s="299" t="s">
        <v>38</v>
      </c>
      <c r="AH44" s="299"/>
      <c r="AI44" s="299">
        <v>2</v>
      </c>
      <c r="AJ44" s="299">
        <v>4</v>
      </c>
      <c r="AK44" s="388">
        <v>0.33329999999999999</v>
      </c>
      <c r="AL44" s="388">
        <v>0.66659999999999997</v>
      </c>
      <c r="AM44" s="366"/>
      <c r="AN44" s="299">
        <v>0</v>
      </c>
      <c r="AO44" s="299">
        <v>0</v>
      </c>
      <c r="AP44" s="299">
        <v>0</v>
      </c>
      <c r="AQ44" s="299">
        <v>0</v>
      </c>
      <c r="AR44" s="299">
        <v>0</v>
      </c>
      <c r="AS44" s="299">
        <v>0</v>
      </c>
      <c r="AT44" s="299">
        <v>0</v>
      </c>
      <c r="AU44" s="299">
        <v>0</v>
      </c>
      <c r="AV44" s="299">
        <v>0</v>
      </c>
      <c r="AW44" s="299">
        <v>0</v>
      </c>
      <c r="AX44" s="299">
        <v>0</v>
      </c>
      <c r="AY44" s="299">
        <v>0</v>
      </c>
      <c r="AZ44" s="299"/>
      <c r="BA44" s="299" t="s">
        <v>38</v>
      </c>
      <c r="BB44" s="299"/>
      <c r="BC44" s="299" t="s">
        <v>38</v>
      </c>
      <c r="BD44" s="299"/>
      <c r="BE44" s="298"/>
      <c r="BF44" s="297"/>
      <c r="BG44" s="299"/>
      <c r="BH44" s="299" t="s">
        <v>41</v>
      </c>
      <c r="BI44" s="298" t="s">
        <v>370</v>
      </c>
      <c r="BJ44" t="s">
        <v>430</v>
      </c>
      <c r="BK44" t="s">
        <v>368</v>
      </c>
    </row>
    <row r="45" spans="1:63" x14ac:dyDescent="0.15">
      <c r="A45" s="148">
        <v>1684</v>
      </c>
      <c r="B45" s="328">
        <v>43480</v>
      </c>
      <c r="C45" s="296" t="s">
        <v>295</v>
      </c>
      <c r="D45" s="379" t="s">
        <v>1109</v>
      </c>
      <c r="E45" s="328">
        <v>43419</v>
      </c>
      <c r="F45" s="378" t="s">
        <v>1106</v>
      </c>
      <c r="G45" s="297" t="s">
        <v>2</v>
      </c>
      <c r="H45" s="297">
        <v>95</v>
      </c>
      <c r="I45" s="376" t="s">
        <v>296</v>
      </c>
      <c r="J45" s="297">
        <v>3000</v>
      </c>
      <c r="K45" s="297">
        <v>3000</v>
      </c>
      <c r="L45" s="297">
        <v>3000</v>
      </c>
      <c r="M45" s="297">
        <v>3000</v>
      </c>
      <c r="N45" s="297"/>
      <c r="O45" s="297">
        <v>3.4</v>
      </c>
      <c r="P45" s="297">
        <v>0</v>
      </c>
      <c r="Q45" s="297">
        <v>0</v>
      </c>
      <c r="R45" s="297">
        <v>0</v>
      </c>
      <c r="S45" s="297">
        <v>2.2000000000000002</v>
      </c>
      <c r="T45" s="297"/>
      <c r="U45" s="297">
        <v>3.4</v>
      </c>
      <c r="V45" s="297">
        <v>0</v>
      </c>
      <c r="W45" s="297">
        <v>0</v>
      </c>
      <c r="X45" s="297">
        <v>0</v>
      </c>
      <c r="Y45" s="297">
        <v>2.2000000000000002</v>
      </c>
      <c r="Z45" s="297"/>
      <c r="AA45" s="297"/>
      <c r="AB45" s="297"/>
      <c r="AC45" s="297"/>
      <c r="AD45" s="297"/>
      <c r="AE45" s="297"/>
      <c r="AF45" s="297"/>
      <c r="AG45" s="299" t="s">
        <v>38</v>
      </c>
      <c r="AH45" s="299"/>
      <c r="AI45" s="299">
        <v>2</v>
      </c>
      <c r="AJ45" s="299">
        <v>4</v>
      </c>
      <c r="AK45" s="388">
        <v>0.33329999999999999</v>
      </c>
      <c r="AL45" s="388">
        <v>0.66659999999999997</v>
      </c>
      <c r="AM45" s="366"/>
      <c r="AN45" s="299">
        <v>0</v>
      </c>
      <c r="AO45" s="299">
        <v>0</v>
      </c>
      <c r="AP45" s="299">
        <v>32</v>
      </c>
      <c r="AQ45" s="299">
        <v>0</v>
      </c>
      <c r="AR45" s="299">
        <v>0</v>
      </c>
      <c r="AS45" s="299">
        <v>0</v>
      </c>
      <c r="AT45" s="299">
        <v>0</v>
      </c>
      <c r="AU45" s="299">
        <v>0</v>
      </c>
      <c r="AV45" s="299">
        <v>0</v>
      </c>
      <c r="AW45" s="299">
        <v>0</v>
      </c>
      <c r="AX45" s="299">
        <v>0</v>
      </c>
      <c r="AY45" s="299">
        <v>0</v>
      </c>
      <c r="AZ45" s="299"/>
      <c r="BA45" s="299" t="s">
        <v>38</v>
      </c>
      <c r="BB45" s="299"/>
      <c r="BC45" s="299" t="s">
        <v>38</v>
      </c>
      <c r="BD45" s="299"/>
      <c r="BE45" s="297"/>
      <c r="BF45" s="299"/>
      <c r="BG45" s="299"/>
      <c r="BH45" s="299" t="s">
        <v>41</v>
      </c>
      <c r="BI45" s="297"/>
      <c r="BJ45" t="s">
        <v>430</v>
      </c>
      <c r="BK45" t="s">
        <v>368</v>
      </c>
    </row>
    <row r="46" spans="1:63" x14ac:dyDescent="0.15">
      <c r="A46" s="148">
        <v>1513</v>
      </c>
      <c r="B46" s="328">
        <v>43481</v>
      </c>
      <c r="C46" s="296" t="s">
        <v>10</v>
      </c>
      <c r="D46" s="379" t="s">
        <v>1109</v>
      </c>
      <c r="E46" s="309">
        <v>43229</v>
      </c>
      <c r="F46" s="297" t="s">
        <v>34</v>
      </c>
      <c r="G46" s="379" t="s">
        <v>1107</v>
      </c>
      <c r="H46" s="332">
        <v>81.680000000000007</v>
      </c>
      <c r="I46" s="394"/>
      <c r="J46" s="297"/>
      <c r="K46" s="297"/>
      <c r="L46" s="297"/>
      <c r="M46" s="297"/>
      <c r="N46" s="297"/>
      <c r="O46" s="332">
        <v>1.78</v>
      </c>
      <c r="P46" s="297">
        <v>0</v>
      </c>
      <c r="Q46" s="297">
        <v>0</v>
      </c>
      <c r="R46" s="297">
        <v>0</v>
      </c>
      <c r="S46" s="297">
        <v>0</v>
      </c>
      <c r="T46" s="332"/>
      <c r="U46" s="332">
        <v>1.78</v>
      </c>
      <c r="V46" s="297">
        <v>0</v>
      </c>
      <c r="W46" s="297">
        <v>0</v>
      </c>
      <c r="X46" s="297">
        <v>0</v>
      </c>
      <c r="Y46" s="297">
        <v>0</v>
      </c>
      <c r="Z46" s="332"/>
      <c r="AA46" s="332"/>
      <c r="AB46" s="332"/>
      <c r="AC46" s="332"/>
      <c r="AD46" s="332"/>
      <c r="AE46" s="332"/>
      <c r="AF46" s="332"/>
      <c r="AG46" s="333" t="s">
        <v>38</v>
      </c>
      <c r="AH46" s="333"/>
      <c r="AI46" s="299">
        <v>2</v>
      </c>
      <c r="AJ46" s="299">
        <v>4</v>
      </c>
      <c r="AK46" s="388">
        <v>0.33329999999999999</v>
      </c>
      <c r="AL46" s="388">
        <v>0.66659999999999997</v>
      </c>
      <c r="AM46" s="366"/>
      <c r="AN46" s="299">
        <v>0</v>
      </c>
      <c r="AO46" s="299">
        <v>0</v>
      </c>
      <c r="AP46" s="299">
        <v>5</v>
      </c>
      <c r="AQ46" s="299">
        <v>0</v>
      </c>
      <c r="AR46" s="299">
        <v>0</v>
      </c>
      <c r="AS46" s="299">
        <v>0</v>
      </c>
      <c r="AT46" s="299">
        <v>0</v>
      </c>
      <c r="AU46" s="299">
        <v>0</v>
      </c>
      <c r="AV46" s="299">
        <v>0</v>
      </c>
      <c r="AW46" s="299">
        <v>0</v>
      </c>
      <c r="AX46" s="299">
        <v>0</v>
      </c>
      <c r="AY46" s="299">
        <v>0</v>
      </c>
      <c r="AZ46" s="299"/>
      <c r="BA46" s="299" t="s">
        <v>38</v>
      </c>
      <c r="BB46" s="299"/>
      <c r="BC46" s="299" t="s">
        <v>38</v>
      </c>
      <c r="BD46" s="299"/>
      <c r="BE46" s="298"/>
      <c r="BF46" s="297"/>
      <c r="BG46" s="299"/>
      <c r="BH46" s="299" t="s">
        <v>43</v>
      </c>
      <c r="BI46" s="298" t="s">
        <v>47</v>
      </c>
      <c r="BJ46" t="s">
        <v>51</v>
      </c>
      <c r="BK46" s="366" t="s">
        <v>368</v>
      </c>
    </row>
    <row r="47" spans="1:63" x14ac:dyDescent="0.15">
      <c r="A47" s="148">
        <v>80</v>
      </c>
      <c r="B47" s="328">
        <v>43480</v>
      </c>
      <c r="C47" s="296" t="s">
        <v>10</v>
      </c>
      <c r="D47" s="379" t="s">
        <v>1110</v>
      </c>
      <c r="E47" s="295">
        <v>43479</v>
      </c>
      <c r="F47" s="298" t="s">
        <v>12</v>
      </c>
      <c r="G47" s="297" t="s">
        <v>13</v>
      </c>
      <c r="H47" s="297">
        <v>76.599999999999994</v>
      </c>
      <c r="I47" s="376" t="s">
        <v>1101</v>
      </c>
      <c r="J47" s="297">
        <v>1645</v>
      </c>
      <c r="K47" s="297">
        <v>3000</v>
      </c>
      <c r="L47" s="297">
        <v>3000</v>
      </c>
      <c r="M47" s="297">
        <v>3000</v>
      </c>
      <c r="N47" s="297"/>
      <c r="O47" s="297">
        <v>2.76</v>
      </c>
      <c r="P47" s="297">
        <v>2.7</v>
      </c>
      <c r="Q47" s="297">
        <v>0</v>
      </c>
      <c r="R47" s="297">
        <v>0</v>
      </c>
      <c r="S47" s="297">
        <v>1.83</v>
      </c>
      <c r="T47" s="297"/>
      <c r="U47" s="297">
        <v>2.76</v>
      </c>
      <c r="V47" s="297">
        <v>2.7</v>
      </c>
      <c r="W47" s="297">
        <v>0</v>
      </c>
      <c r="X47" s="297">
        <v>0</v>
      </c>
      <c r="Y47" s="297">
        <v>1.83</v>
      </c>
      <c r="Z47" s="297"/>
      <c r="AA47" s="297"/>
      <c r="AB47" s="297"/>
      <c r="AC47" s="297"/>
      <c r="AD47" s="297"/>
      <c r="AE47" s="297"/>
      <c r="AF47" s="297"/>
      <c r="AG47" s="299" t="s">
        <v>38</v>
      </c>
      <c r="AH47" s="299"/>
      <c r="AI47" s="299">
        <v>2</v>
      </c>
      <c r="AJ47" s="299">
        <v>4</v>
      </c>
      <c r="AK47" s="388">
        <v>0.33329999999999999</v>
      </c>
      <c r="AL47" s="388">
        <v>0.66659999999999997</v>
      </c>
      <c r="AM47" s="366"/>
      <c r="AN47" s="299">
        <v>0</v>
      </c>
      <c r="AO47" s="299">
        <v>0</v>
      </c>
      <c r="AP47" s="299">
        <v>0</v>
      </c>
      <c r="AQ47" s="299">
        <v>24</v>
      </c>
      <c r="AR47" s="299">
        <v>0</v>
      </c>
      <c r="AS47" s="299">
        <v>0</v>
      </c>
      <c r="AT47" s="299">
        <v>0</v>
      </c>
      <c r="AU47" s="299">
        <v>0</v>
      </c>
      <c r="AV47" s="299">
        <v>0</v>
      </c>
      <c r="AW47" s="299">
        <v>0</v>
      </c>
      <c r="AX47" s="299">
        <v>0</v>
      </c>
      <c r="AY47" s="299">
        <v>0</v>
      </c>
      <c r="AZ47" s="299"/>
      <c r="BA47" s="299" t="s">
        <v>38</v>
      </c>
      <c r="BB47" s="299">
        <v>12</v>
      </c>
      <c r="BC47" s="299" t="s">
        <v>38</v>
      </c>
      <c r="BD47" s="299"/>
      <c r="BE47" s="298"/>
      <c r="BF47" s="297"/>
      <c r="BG47" s="299"/>
      <c r="BH47" s="299" t="s">
        <v>41</v>
      </c>
      <c r="BI47" s="298"/>
      <c r="BJ47" s="366" t="s">
        <v>430</v>
      </c>
      <c r="BK47" t="s">
        <v>408</v>
      </c>
    </row>
    <row r="48" spans="1:63" x14ac:dyDescent="0.15">
      <c r="A48" s="148">
        <v>1864</v>
      </c>
      <c r="B48" s="328">
        <v>43481</v>
      </c>
      <c r="C48" s="296" t="s">
        <v>10</v>
      </c>
      <c r="D48" s="379" t="s">
        <v>1110</v>
      </c>
      <c r="E48" s="328">
        <v>43477</v>
      </c>
      <c r="F48" s="298" t="s">
        <v>14</v>
      </c>
      <c r="G48" s="379" t="s">
        <v>1102</v>
      </c>
      <c r="H48" s="297">
        <v>75</v>
      </c>
      <c r="I48" s="376" t="s">
        <v>1101</v>
      </c>
      <c r="J48" s="297">
        <v>1645</v>
      </c>
      <c r="K48" s="297">
        <v>3000</v>
      </c>
      <c r="L48" s="297">
        <v>3000</v>
      </c>
      <c r="M48" s="297">
        <v>3000</v>
      </c>
      <c r="N48" s="297"/>
      <c r="O48" s="297">
        <v>2.6</v>
      </c>
      <c r="P48" s="297">
        <v>2.6</v>
      </c>
      <c r="Q48" s="297">
        <v>0</v>
      </c>
      <c r="R48" s="297">
        <v>0</v>
      </c>
      <c r="S48" s="297">
        <v>2.1</v>
      </c>
      <c r="T48" s="297"/>
      <c r="U48" s="297">
        <v>2.6</v>
      </c>
      <c r="V48" s="297">
        <v>2.6</v>
      </c>
      <c r="W48" s="297">
        <v>0</v>
      </c>
      <c r="X48" s="297">
        <v>0</v>
      </c>
      <c r="Y48" s="297">
        <v>2.1</v>
      </c>
      <c r="Z48" s="297"/>
      <c r="AA48" s="297"/>
      <c r="AB48" s="297"/>
      <c r="AC48" s="297"/>
      <c r="AD48" s="297"/>
      <c r="AE48" s="297"/>
      <c r="AF48" s="297"/>
      <c r="AG48" s="299" t="s">
        <v>38</v>
      </c>
      <c r="AH48" s="299"/>
      <c r="AI48" s="299">
        <v>2</v>
      </c>
      <c r="AJ48" s="299">
        <v>4</v>
      </c>
      <c r="AK48" s="388">
        <v>0.33329999999999999</v>
      </c>
      <c r="AL48" s="388">
        <v>0.66659999999999997</v>
      </c>
      <c r="AM48" s="366"/>
      <c r="AN48" s="299">
        <v>0</v>
      </c>
      <c r="AO48" s="299">
        <v>20</v>
      </c>
      <c r="AP48" s="299">
        <v>0</v>
      </c>
      <c r="AQ48" s="299">
        <v>0</v>
      </c>
      <c r="AR48" s="299">
        <v>0</v>
      </c>
      <c r="AS48" s="299">
        <v>0</v>
      </c>
      <c r="AT48" s="299">
        <v>0</v>
      </c>
      <c r="AU48" s="299">
        <v>0</v>
      </c>
      <c r="AV48" s="299">
        <v>0</v>
      </c>
      <c r="AW48" s="299">
        <v>0</v>
      </c>
      <c r="AX48" s="299">
        <v>0</v>
      </c>
      <c r="AY48" s="299">
        <v>0</v>
      </c>
      <c r="AZ48" s="297"/>
      <c r="BA48" s="299" t="s">
        <v>38</v>
      </c>
      <c r="BB48" s="299">
        <v>12</v>
      </c>
      <c r="BC48" s="299" t="s">
        <v>38</v>
      </c>
      <c r="BD48" s="299"/>
      <c r="BE48" s="298"/>
      <c r="BF48" s="297"/>
      <c r="BG48" s="299"/>
      <c r="BH48" s="299" t="s">
        <v>411</v>
      </c>
      <c r="BI48" s="298"/>
      <c r="BJ48" s="366" t="s">
        <v>1119</v>
      </c>
      <c r="BK48" s="366" t="s">
        <v>408</v>
      </c>
    </row>
    <row r="49" spans="1:63" x14ac:dyDescent="0.15">
      <c r="A49" s="148">
        <v>1876</v>
      </c>
      <c r="B49" s="328">
        <v>43480</v>
      </c>
      <c r="C49" s="296" t="s">
        <v>10</v>
      </c>
      <c r="D49" s="379" t="s">
        <v>1110</v>
      </c>
      <c r="E49" s="295">
        <v>43437</v>
      </c>
      <c r="F49" s="298" t="s">
        <v>16</v>
      </c>
      <c r="G49" s="379" t="s">
        <v>1103</v>
      </c>
      <c r="H49" s="297">
        <v>80.2</v>
      </c>
      <c r="I49" s="376" t="s">
        <v>1101</v>
      </c>
      <c r="J49" s="297">
        <v>1645</v>
      </c>
      <c r="K49" s="297">
        <v>3000</v>
      </c>
      <c r="L49" s="297">
        <v>3000</v>
      </c>
      <c r="M49" s="297">
        <v>3000</v>
      </c>
      <c r="N49" s="297"/>
      <c r="O49" s="297">
        <v>3.75</v>
      </c>
      <c r="P49" s="297">
        <v>3.2</v>
      </c>
      <c r="Q49" s="297">
        <v>0</v>
      </c>
      <c r="R49" s="297">
        <v>0</v>
      </c>
      <c r="S49" s="297">
        <v>2.75</v>
      </c>
      <c r="T49" s="297"/>
      <c r="U49" s="297">
        <v>3.75</v>
      </c>
      <c r="V49" s="297">
        <v>3.2</v>
      </c>
      <c r="W49" s="297">
        <v>0</v>
      </c>
      <c r="X49" s="297">
        <v>0</v>
      </c>
      <c r="Y49" s="297">
        <v>2.75</v>
      </c>
      <c r="Z49" s="297"/>
      <c r="AA49" s="297"/>
      <c r="AB49" s="297"/>
      <c r="AC49" s="297"/>
      <c r="AD49" s="297"/>
      <c r="AE49" s="297"/>
      <c r="AF49" s="297"/>
      <c r="AG49" s="299" t="s">
        <v>38</v>
      </c>
      <c r="AH49" s="299"/>
      <c r="AI49" s="299">
        <v>2</v>
      </c>
      <c r="AJ49" s="299">
        <v>4</v>
      </c>
      <c r="AK49" s="388">
        <v>0.33329999999999999</v>
      </c>
      <c r="AL49" s="388">
        <v>0.66659999999999997</v>
      </c>
      <c r="AM49" s="366"/>
      <c r="AN49" s="299">
        <v>0</v>
      </c>
      <c r="AO49" s="299">
        <v>0</v>
      </c>
      <c r="AP49" s="299">
        <v>26</v>
      </c>
      <c r="AQ49" s="299">
        <v>0</v>
      </c>
      <c r="AR49" s="299">
        <v>0</v>
      </c>
      <c r="AS49" s="299">
        <v>0</v>
      </c>
      <c r="AT49" s="299">
        <v>0</v>
      </c>
      <c r="AU49" s="299">
        <v>0</v>
      </c>
      <c r="AV49" s="299">
        <v>0</v>
      </c>
      <c r="AW49" s="299">
        <v>0</v>
      </c>
      <c r="AX49" s="299">
        <v>0</v>
      </c>
      <c r="AY49" s="299">
        <v>0</v>
      </c>
      <c r="AZ49" s="297"/>
      <c r="BA49" s="299" t="s">
        <v>38</v>
      </c>
      <c r="BB49" s="299"/>
      <c r="BC49" s="299" t="s">
        <v>38</v>
      </c>
      <c r="BD49" s="299"/>
      <c r="BE49" s="298"/>
      <c r="BF49" s="297"/>
      <c r="BG49" s="299"/>
      <c r="BH49" s="299" t="s">
        <v>41</v>
      </c>
      <c r="BI49" s="298" t="s">
        <v>42</v>
      </c>
      <c r="BJ49" s="366" t="s">
        <v>430</v>
      </c>
      <c r="BK49" t="s">
        <v>368</v>
      </c>
    </row>
    <row r="50" spans="1:63" x14ac:dyDescent="0.15">
      <c r="A50" s="148">
        <v>1139</v>
      </c>
      <c r="B50" s="328">
        <v>43481</v>
      </c>
      <c r="C50" s="296" t="s">
        <v>10</v>
      </c>
      <c r="D50" s="379" t="s">
        <v>1110</v>
      </c>
      <c r="E50" s="295">
        <v>43466</v>
      </c>
      <c r="F50" s="298" t="s">
        <v>18</v>
      </c>
      <c r="G50" s="297" t="s">
        <v>418</v>
      </c>
      <c r="H50" s="297">
        <v>75</v>
      </c>
      <c r="I50" s="376" t="s">
        <v>1101</v>
      </c>
      <c r="J50" s="297">
        <v>1645</v>
      </c>
      <c r="K50" s="297">
        <v>3000</v>
      </c>
      <c r="L50" s="297">
        <v>3000</v>
      </c>
      <c r="M50" s="297">
        <v>3000</v>
      </c>
      <c r="N50" s="297"/>
      <c r="O50" s="297">
        <v>3.17</v>
      </c>
      <c r="P50" s="297">
        <v>2.5</v>
      </c>
      <c r="Q50" s="297">
        <v>0</v>
      </c>
      <c r="R50" s="297">
        <v>0</v>
      </c>
      <c r="S50" s="297">
        <v>2.25</v>
      </c>
      <c r="T50" s="297"/>
      <c r="U50" s="297">
        <v>3.17</v>
      </c>
      <c r="V50" s="297">
        <v>2.5</v>
      </c>
      <c r="W50" s="297">
        <v>0</v>
      </c>
      <c r="X50" s="297">
        <v>0</v>
      </c>
      <c r="Y50" s="297">
        <v>2.25</v>
      </c>
      <c r="Z50" s="297"/>
      <c r="AA50" s="297"/>
      <c r="AB50" s="297"/>
      <c r="AC50" s="297"/>
      <c r="AD50" s="297"/>
      <c r="AE50" s="297"/>
      <c r="AF50" s="297"/>
      <c r="AG50" s="299" t="s">
        <v>38</v>
      </c>
      <c r="AH50" s="299"/>
      <c r="AI50" s="299">
        <v>2</v>
      </c>
      <c r="AJ50" s="299">
        <v>4</v>
      </c>
      <c r="AK50" s="388">
        <v>0.33329999999999999</v>
      </c>
      <c r="AL50" s="388">
        <v>0.66659999999999997</v>
      </c>
      <c r="AM50" s="366"/>
      <c r="AN50" s="299">
        <v>0</v>
      </c>
      <c r="AO50" s="299">
        <v>0</v>
      </c>
      <c r="AP50" s="299">
        <v>0</v>
      </c>
      <c r="AQ50" s="299">
        <v>16</v>
      </c>
      <c r="AR50" s="299">
        <v>0</v>
      </c>
      <c r="AS50" s="299">
        <v>0</v>
      </c>
      <c r="AT50" s="299">
        <v>0</v>
      </c>
      <c r="AU50" s="299">
        <v>0</v>
      </c>
      <c r="AV50" s="299">
        <v>0</v>
      </c>
      <c r="AW50" s="299">
        <v>0</v>
      </c>
      <c r="AX50" s="299">
        <v>0</v>
      </c>
      <c r="AY50" s="299">
        <v>0</v>
      </c>
      <c r="AZ50" s="299"/>
      <c r="BA50" s="299" t="s">
        <v>38</v>
      </c>
      <c r="BB50" s="299"/>
      <c r="BC50" s="299" t="s">
        <v>38</v>
      </c>
      <c r="BD50" s="299"/>
      <c r="BE50" s="298"/>
      <c r="BF50" s="297"/>
      <c r="BG50" s="299"/>
      <c r="BH50" s="299" t="s">
        <v>41</v>
      </c>
      <c r="BI50" s="298" t="s">
        <v>370</v>
      </c>
      <c r="BJ50" s="366" t="s">
        <v>430</v>
      </c>
      <c r="BK50" s="366" t="s">
        <v>408</v>
      </c>
    </row>
    <row r="51" spans="1:63" x14ac:dyDescent="0.15">
      <c r="A51" s="148">
        <v>881</v>
      </c>
      <c r="B51" s="328">
        <v>43480</v>
      </c>
      <c r="C51" s="296" t="s">
        <v>10</v>
      </c>
      <c r="D51" s="379" t="s">
        <v>1110</v>
      </c>
      <c r="E51" s="295">
        <v>43154</v>
      </c>
      <c r="F51" s="298" t="s">
        <v>19</v>
      </c>
      <c r="G51" s="297" t="s">
        <v>20</v>
      </c>
      <c r="H51" s="297">
        <v>81.349999999999994</v>
      </c>
      <c r="I51" s="376" t="s">
        <v>1101</v>
      </c>
      <c r="J51" s="331">
        <v>3200</v>
      </c>
      <c r="K51" s="331">
        <v>3200</v>
      </c>
      <c r="L51" s="331">
        <v>3200</v>
      </c>
      <c r="M51" s="331">
        <v>3200</v>
      </c>
      <c r="N51" s="297"/>
      <c r="O51" s="297">
        <v>2.4900000000000002</v>
      </c>
      <c r="P51" s="297">
        <v>0</v>
      </c>
      <c r="Q51" s="297">
        <v>0</v>
      </c>
      <c r="R51" s="297">
        <v>0</v>
      </c>
      <c r="S51" s="297">
        <v>1.99</v>
      </c>
      <c r="T51" s="297"/>
      <c r="U51" s="297">
        <v>2.4900000000000002</v>
      </c>
      <c r="V51" s="297">
        <v>0</v>
      </c>
      <c r="W51" s="297">
        <v>0</v>
      </c>
      <c r="X51" s="297">
        <v>0</v>
      </c>
      <c r="Y51" s="297">
        <v>1.99</v>
      </c>
      <c r="Z51" s="297"/>
      <c r="AA51" s="297"/>
      <c r="AB51" s="297"/>
      <c r="AC51" s="297"/>
      <c r="AD51" s="297"/>
      <c r="AE51" s="297"/>
      <c r="AF51" s="297"/>
      <c r="AG51" s="299" t="s">
        <v>1116</v>
      </c>
      <c r="AH51" s="299" t="s">
        <v>1117</v>
      </c>
      <c r="AI51" s="299">
        <v>2</v>
      </c>
      <c r="AJ51" s="299">
        <v>4</v>
      </c>
      <c r="AK51" s="388">
        <v>0.33329999999999999</v>
      </c>
      <c r="AL51" s="388">
        <v>0.66659999999999997</v>
      </c>
      <c r="AM51" s="366" t="s">
        <v>1124</v>
      </c>
      <c r="AN51" s="299">
        <v>0</v>
      </c>
      <c r="AO51" s="299">
        <v>0</v>
      </c>
      <c r="AP51" s="299">
        <v>0</v>
      </c>
      <c r="AQ51" s="299">
        <v>0</v>
      </c>
      <c r="AR51" s="299">
        <v>0</v>
      </c>
      <c r="AS51" s="299">
        <v>25</v>
      </c>
      <c r="AT51" s="299">
        <v>0</v>
      </c>
      <c r="AU51" s="299">
        <v>0</v>
      </c>
      <c r="AV51" s="299">
        <v>0</v>
      </c>
      <c r="AW51" s="299">
        <v>0</v>
      </c>
      <c r="AX51" s="299">
        <v>0</v>
      </c>
      <c r="AY51" s="299">
        <v>0</v>
      </c>
      <c r="AZ51" s="297"/>
      <c r="BA51" s="299" t="s">
        <v>38</v>
      </c>
      <c r="BB51" s="299"/>
      <c r="BC51" s="299" t="s">
        <v>38</v>
      </c>
      <c r="BD51" s="299"/>
      <c r="BE51" s="298"/>
      <c r="BF51" s="297"/>
      <c r="BG51" s="299"/>
      <c r="BH51" s="299" t="s">
        <v>43</v>
      </c>
      <c r="BI51" s="298"/>
      <c r="BJ51" s="366" t="s">
        <v>430</v>
      </c>
      <c r="BK51" s="366" t="s">
        <v>368</v>
      </c>
    </row>
    <row r="52" spans="1:63" x14ac:dyDescent="0.15">
      <c r="A52" s="148">
        <v>748</v>
      </c>
      <c r="B52" s="328">
        <v>43481</v>
      </c>
      <c r="C52" s="296" t="s">
        <v>10</v>
      </c>
      <c r="D52" s="379" t="s">
        <v>1110</v>
      </c>
      <c r="E52" s="295">
        <v>43467</v>
      </c>
      <c r="F52" s="298" t="s">
        <v>21</v>
      </c>
      <c r="G52" s="297" t="s">
        <v>1104</v>
      </c>
      <c r="H52" s="297">
        <v>81</v>
      </c>
      <c r="I52" s="376" t="s">
        <v>1101</v>
      </c>
      <c r="J52" s="297">
        <v>3000</v>
      </c>
      <c r="K52" s="297">
        <v>3000</v>
      </c>
      <c r="L52" s="297">
        <v>3000</v>
      </c>
      <c r="M52" s="297">
        <v>3000</v>
      </c>
      <c r="N52" s="297"/>
      <c r="O52" s="297">
        <v>2.97</v>
      </c>
      <c r="P52" s="297">
        <v>0</v>
      </c>
      <c r="Q52" s="297">
        <v>0</v>
      </c>
      <c r="R52" s="297">
        <v>0</v>
      </c>
      <c r="S52" s="297">
        <v>2</v>
      </c>
      <c r="T52" s="297"/>
      <c r="U52" s="297">
        <v>2.97</v>
      </c>
      <c r="V52" s="297">
        <v>0</v>
      </c>
      <c r="W52" s="297">
        <v>0</v>
      </c>
      <c r="X52" s="297">
        <v>0</v>
      </c>
      <c r="Y52" s="297">
        <v>2</v>
      </c>
      <c r="Z52" s="297"/>
      <c r="AA52" s="297"/>
      <c r="AB52" s="297"/>
      <c r="AC52" s="297"/>
      <c r="AD52" s="297"/>
      <c r="AE52" s="297"/>
      <c r="AF52" s="297"/>
      <c r="AG52" s="299" t="s">
        <v>38</v>
      </c>
      <c r="AH52" s="297"/>
      <c r="AI52" s="299">
        <v>2</v>
      </c>
      <c r="AJ52" s="299">
        <v>4</v>
      </c>
      <c r="AK52" s="388">
        <v>0.33329999999999999</v>
      </c>
      <c r="AL52" s="388">
        <v>0.66659999999999997</v>
      </c>
      <c r="AM52" s="366"/>
      <c r="AN52" s="299">
        <v>0</v>
      </c>
      <c r="AO52" s="299">
        <v>22</v>
      </c>
      <c r="AP52" s="299">
        <v>0</v>
      </c>
      <c r="AQ52" s="299">
        <v>0</v>
      </c>
      <c r="AR52" s="299">
        <v>0</v>
      </c>
      <c r="AS52" s="299">
        <v>0</v>
      </c>
      <c r="AT52" s="299">
        <v>0</v>
      </c>
      <c r="AU52" s="299">
        <v>0</v>
      </c>
      <c r="AV52" s="299">
        <v>0</v>
      </c>
      <c r="AW52" s="299">
        <v>0</v>
      </c>
      <c r="AX52" s="299">
        <v>0</v>
      </c>
      <c r="AY52" s="299">
        <v>0</v>
      </c>
      <c r="AZ52" s="297"/>
      <c r="BA52" s="299" t="s">
        <v>38</v>
      </c>
      <c r="BB52" s="299">
        <v>12</v>
      </c>
      <c r="BC52" s="299" t="s">
        <v>38</v>
      </c>
      <c r="BD52" s="299"/>
      <c r="BE52" s="298" t="s">
        <v>218</v>
      </c>
      <c r="BF52" s="297" t="s">
        <v>40</v>
      </c>
      <c r="BG52" s="299">
        <v>50</v>
      </c>
      <c r="BH52" s="299" t="s">
        <v>41</v>
      </c>
      <c r="BI52" s="298"/>
      <c r="BJ52" s="366" t="s">
        <v>430</v>
      </c>
      <c r="BK52" s="366" t="s">
        <v>408</v>
      </c>
    </row>
    <row r="53" spans="1:63" x14ac:dyDescent="0.15">
      <c r="A53" s="148">
        <v>1935</v>
      </c>
      <c r="B53" s="328">
        <v>43481</v>
      </c>
      <c r="C53" s="296" t="s">
        <v>10</v>
      </c>
      <c r="D53" s="379" t="s">
        <v>1110</v>
      </c>
      <c r="E53" s="295">
        <v>43466</v>
      </c>
      <c r="F53" s="298" t="s">
        <v>22</v>
      </c>
      <c r="G53" s="297" t="s">
        <v>1105</v>
      </c>
      <c r="H53" s="297">
        <v>65</v>
      </c>
      <c r="I53" s="376" t="s">
        <v>1101</v>
      </c>
      <c r="J53" s="297">
        <v>1645</v>
      </c>
      <c r="K53" s="297">
        <v>3000</v>
      </c>
      <c r="L53" s="297">
        <v>3000</v>
      </c>
      <c r="M53" s="297">
        <v>3000</v>
      </c>
      <c r="N53" s="297"/>
      <c r="O53" s="297">
        <v>2.5</v>
      </c>
      <c r="P53" s="297">
        <v>2</v>
      </c>
      <c r="Q53" s="297">
        <v>0</v>
      </c>
      <c r="R53" s="297">
        <v>0</v>
      </c>
      <c r="S53" s="297">
        <v>1.8</v>
      </c>
      <c r="T53" s="297"/>
      <c r="U53" s="297">
        <v>2.5</v>
      </c>
      <c r="V53" s="297">
        <v>2</v>
      </c>
      <c r="W53" s="297">
        <v>0</v>
      </c>
      <c r="X53" s="297">
        <v>0</v>
      </c>
      <c r="Y53" s="297">
        <v>1.8</v>
      </c>
      <c r="Z53" s="297"/>
      <c r="AA53" s="297"/>
      <c r="AB53" s="297"/>
      <c r="AC53" s="297"/>
      <c r="AD53" s="297"/>
      <c r="AE53" s="297"/>
      <c r="AF53" s="297"/>
      <c r="AG53" s="299" t="s">
        <v>38</v>
      </c>
      <c r="AH53" s="299"/>
      <c r="AI53" s="299">
        <v>2</v>
      </c>
      <c r="AJ53" s="299">
        <v>4</v>
      </c>
      <c r="AK53" s="388">
        <v>0.33329999999999999</v>
      </c>
      <c r="AL53" s="388">
        <v>0.66659999999999997</v>
      </c>
      <c r="AM53" s="366"/>
      <c r="AN53" s="299">
        <v>0</v>
      </c>
      <c r="AO53" s="299">
        <v>0</v>
      </c>
      <c r="AP53" s="299">
        <v>3</v>
      </c>
      <c r="AQ53" s="299">
        <v>0</v>
      </c>
      <c r="AR53" s="299">
        <v>0</v>
      </c>
      <c r="AS53" s="299">
        <v>0</v>
      </c>
      <c r="AT53" s="299">
        <v>0</v>
      </c>
      <c r="AU53" s="299">
        <v>0</v>
      </c>
      <c r="AV53" s="299">
        <v>0</v>
      </c>
      <c r="AW53" s="299">
        <v>0</v>
      </c>
      <c r="AX53" s="299">
        <v>0</v>
      </c>
      <c r="AY53" s="299">
        <v>0</v>
      </c>
      <c r="AZ53" s="297"/>
      <c r="BA53" s="299" t="s">
        <v>38</v>
      </c>
      <c r="BB53" s="299"/>
      <c r="BC53" s="299" t="s">
        <v>38</v>
      </c>
      <c r="BD53" s="299"/>
      <c r="BE53" s="298" t="s">
        <v>1120</v>
      </c>
      <c r="BF53" s="297" t="s">
        <v>40</v>
      </c>
      <c r="BG53" s="299">
        <v>50</v>
      </c>
      <c r="BH53" s="299" t="s">
        <v>41</v>
      </c>
      <c r="BI53" s="298"/>
      <c r="BJ53" t="s">
        <v>430</v>
      </c>
      <c r="BK53" t="s">
        <v>1121</v>
      </c>
    </row>
    <row r="54" spans="1:63" x14ac:dyDescent="0.15">
      <c r="A54" s="148">
        <v>316</v>
      </c>
      <c r="B54" s="328">
        <v>43481</v>
      </c>
      <c r="C54" s="296" t="s">
        <v>10</v>
      </c>
      <c r="D54" s="379" t="s">
        <v>1110</v>
      </c>
      <c r="E54" s="295">
        <v>43466</v>
      </c>
      <c r="F54" s="297" t="s">
        <v>24</v>
      </c>
      <c r="G54" s="297" t="s">
        <v>20</v>
      </c>
      <c r="H54" s="297">
        <v>78.91</v>
      </c>
      <c r="I54" s="376" t="s">
        <v>1101</v>
      </c>
      <c r="J54" s="297">
        <v>1645</v>
      </c>
      <c r="K54" s="297">
        <v>3000</v>
      </c>
      <c r="L54" s="297">
        <v>3000</v>
      </c>
      <c r="M54" s="297">
        <v>3000</v>
      </c>
      <c r="N54" s="297"/>
      <c r="O54" s="297">
        <v>2.4710000000000001</v>
      </c>
      <c r="P54" s="297">
        <v>2.0939999999999999</v>
      </c>
      <c r="Q54" s="297">
        <v>0</v>
      </c>
      <c r="R54" s="297">
        <v>0</v>
      </c>
      <c r="S54" s="297">
        <v>1.823</v>
      </c>
      <c r="T54" s="297"/>
      <c r="U54" s="297">
        <v>2.242</v>
      </c>
      <c r="V54" s="297">
        <v>1.893</v>
      </c>
      <c r="W54" s="297">
        <v>0</v>
      </c>
      <c r="X54" s="297">
        <v>0</v>
      </c>
      <c r="Y54" s="297">
        <v>1.641</v>
      </c>
      <c r="Z54" s="297"/>
      <c r="AA54" s="297"/>
      <c r="AB54" s="297"/>
      <c r="AC54" s="297"/>
      <c r="AD54" s="297"/>
      <c r="AE54" s="297"/>
      <c r="AF54" s="297"/>
      <c r="AG54" s="299" t="s">
        <v>1116</v>
      </c>
      <c r="AH54" s="299" t="s">
        <v>1117</v>
      </c>
      <c r="AI54" s="299">
        <v>2</v>
      </c>
      <c r="AJ54" s="299">
        <v>4</v>
      </c>
      <c r="AK54" s="388">
        <v>0.33329999999999999</v>
      </c>
      <c r="AL54" s="388">
        <v>0.66659999999999997</v>
      </c>
      <c r="AM54" s="366" t="s">
        <v>1124</v>
      </c>
      <c r="AN54" s="299">
        <v>0</v>
      </c>
      <c r="AO54" s="299">
        <v>0</v>
      </c>
      <c r="AP54" s="299">
        <v>0</v>
      </c>
      <c r="AQ54" s="299">
        <v>0</v>
      </c>
      <c r="AR54" s="299">
        <v>0</v>
      </c>
      <c r="AS54" s="299">
        <v>0</v>
      </c>
      <c r="AT54" s="299">
        <v>0</v>
      </c>
      <c r="AU54" s="299">
        <v>0</v>
      </c>
      <c r="AV54" s="299">
        <v>0</v>
      </c>
      <c r="AW54" s="299">
        <v>0</v>
      </c>
      <c r="AX54" s="299">
        <v>0</v>
      </c>
      <c r="AY54" s="299">
        <v>0</v>
      </c>
      <c r="AZ54" s="297"/>
      <c r="BA54" s="299" t="s">
        <v>38</v>
      </c>
      <c r="BB54" s="299"/>
      <c r="BC54" s="299" t="s">
        <v>38</v>
      </c>
      <c r="BD54" s="299"/>
      <c r="BE54" s="298" t="s">
        <v>44</v>
      </c>
      <c r="BF54" s="297" t="s">
        <v>40</v>
      </c>
      <c r="BG54" s="299">
        <v>50</v>
      </c>
      <c r="BH54" s="299" t="s">
        <v>43</v>
      </c>
      <c r="BI54" s="298"/>
      <c r="BJ54" t="s">
        <v>430</v>
      </c>
      <c r="BK54" t="s">
        <v>408</v>
      </c>
    </row>
    <row r="55" spans="1:63" x14ac:dyDescent="0.15">
      <c r="A55" s="148">
        <v>571</v>
      </c>
      <c r="B55" s="328">
        <v>43481</v>
      </c>
      <c r="C55" s="296" t="s">
        <v>10</v>
      </c>
      <c r="D55" s="379" t="s">
        <v>1110</v>
      </c>
      <c r="E55" s="295">
        <v>43466</v>
      </c>
      <c r="F55" s="298" t="s">
        <v>25</v>
      </c>
      <c r="G55" s="297" t="s">
        <v>26</v>
      </c>
      <c r="H55" s="297">
        <v>69</v>
      </c>
      <c r="I55" s="376" t="s">
        <v>1101</v>
      </c>
      <c r="J55" s="331">
        <v>4000</v>
      </c>
      <c r="K55" s="331">
        <v>12000</v>
      </c>
      <c r="L55" s="331">
        <v>12000</v>
      </c>
      <c r="M55" s="331">
        <v>12000</v>
      </c>
      <c r="N55" s="297"/>
      <c r="O55" s="297">
        <v>2.2000000000000002</v>
      </c>
      <c r="P55" s="297">
        <v>2.1</v>
      </c>
      <c r="Q55" s="297">
        <v>0</v>
      </c>
      <c r="R55" s="297">
        <v>0</v>
      </c>
      <c r="S55" s="297">
        <v>1.8</v>
      </c>
      <c r="T55" s="297"/>
      <c r="U55" s="297">
        <v>2.2000000000000002</v>
      </c>
      <c r="V55" s="297">
        <v>2.1</v>
      </c>
      <c r="W55" s="297">
        <v>0</v>
      </c>
      <c r="X55" s="297">
        <v>0</v>
      </c>
      <c r="Y55" s="297">
        <v>1.8</v>
      </c>
      <c r="Z55" s="297"/>
      <c r="AA55" s="297"/>
      <c r="AB55" s="297"/>
      <c r="AC55" s="297"/>
      <c r="AD55" s="297"/>
      <c r="AE55" s="297"/>
      <c r="AF55" s="297"/>
      <c r="AG55" s="299" t="s">
        <v>38</v>
      </c>
      <c r="AH55" s="299"/>
      <c r="AI55" s="299">
        <v>2</v>
      </c>
      <c r="AJ55" s="299">
        <v>4</v>
      </c>
      <c r="AK55" s="388">
        <v>0.33329999999999999</v>
      </c>
      <c r="AL55" s="388">
        <v>0.66659999999999997</v>
      </c>
      <c r="AM55" s="366"/>
      <c r="AN55" s="299">
        <v>0</v>
      </c>
      <c r="AO55" s="299">
        <v>0</v>
      </c>
      <c r="AP55" s="299">
        <v>0</v>
      </c>
      <c r="AQ55" s="299">
        <v>13</v>
      </c>
      <c r="AR55" s="299">
        <v>0</v>
      </c>
      <c r="AS55" s="299">
        <v>0</v>
      </c>
      <c r="AT55" s="299">
        <v>0</v>
      </c>
      <c r="AU55" s="299">
        <v>0</v>
      </c>
      <c r="AV55" s="299">
        <v>0</v>
      </c>
      <c r="AW55" s="299">
        <v>0</v>
      </c>
      <c r="AX55" s="299">
        <v>0</v>
      </c>
      <c r="AY55" s="299">
        <v>0</v>
      </c>
      <c r="AZ55" s="297"/>
      <c r="BA55" s="299" t="s">
        <v>38</v>
      </c>
      <c r="BB55" s="299">
        <v>12</v>
      </c>
      <c r="BC55" s="299" t="s">
        <v>38</v>
      </c>
      <c r="BD55" s="299"/>
      <c r="BE55" s="298"/>
      <c r="BF55" s="298"/>
      <c r="BG55" s="299"/>
      <c r="BH55" s="299" t="s">
        <v>41</v>
      </c>
      <c r="BI55" s="298"/>
      <c r="BJ55" s="366" t="s">
        <v>430</v>
      </c>
      <c r="BK55" s="366" t="s">
        <v>408</v>
      </c>
    </row>
    <row r="56" spans="1:63" x14ac:dyDescent="0.15">
      <c r="A56" s="148">
        <v>1429</v>
      </c>
      <c r="B56" s="328">
        <v>43481</v>
      </c>
      <c r="C56" s="296" t="s">
        <v>10</v>
      </c>
      <c r="D56" s="379" t="s">
        <v>1110</v>
      </c>
      <c r="E56" s="309">
        <v>43466</v>
      </c>
      <c r="F56" s="298" t="s">
        <v>27</v>
      </c>
      <c r="G56" s="379" t="s">
        <v>28</v>
      </c>
      <c r="H56" s="297">
        <v>70</v>
      </c>
      <c r="I56" s="376" t="s">
        <v>1101</v>
      </c>
      <c r="J56" s="331">
        <v>3000</v>
      </c>
      <c r="K56" s="331">
        <v>3000</v>
      </c>
      <c r="L56" s="331">
        <v>3000</v>
      </c>
      <c r="M56" s="331">
        <v>3000</v>
      </c>
      <c r="N56" s="297"/>
      <c r="O56" s="297">
        <v>2.25</v>
      </c>
      <c r="P56" s="297">
        <v>0</v>
      </c>
      <c r="Q56" s="297">
        <v>0</v>
      </c>
      <c r="R56" s="297">
        <v>0</v>
      </c>
      <c r="S56" s="297">
        <v>1.75</v>
      </c>
      <c r="T56" s="297"/>
      <c r="U56" s="297">
        <v>2.25</v>
      </c>
      <c r="V56" s="297">
        <v>0</v>
      </c>
      <c r="W56" s="297">
        <v>0</v>
      </c>
      <c r="X56" s="297">
        <v>0</v>
      </c>
      <c r="Y56" s="297">
        <v>1.75</v>
      </c>
      <c r="Z56" s="297"/>
      <c r="AA56" s="297"/>
      <c r="AB56" s="297"/>
      <c r="AC56" s="297"/>
      <c r="AD56" s="297"/>
      <c r="AE56" s="297"/>
      <c r="AF56" s="297"/>
      <c r="AG56" s="299" t="s">
        <v>38</v>
      </c>
      <c r="AH56" s="299"/>
      <c r="AI56" s="299">
        <v>2</v>
      </c>
      <c r="AJ56" s="299">
        <v>4</v>
      </c>
      <c r="AK56" s="388">
        <v>0.33329999999999999</v>
      </c>
      <c r="AL56" s="388">
        <v>0.66659999999999997</v>
      </c>
      <c r="AM56" s="366"/>
      <c r="AN56" s="299">
        <v>0</v>
      </c>
      <c r="AO56" s="299">
        <v>0</v>
      </c>
      <c r="AP56" s="299">
        <v>10</v>
      </c>
      <c r="AQ56" s="299">
        <v>0</v>
      </c>
      <c r="AR56" s="299">
        <v>0</v>
      </c>
      <c r="AS56" s="299">
        <v>0</v>
      </c>
      <c r="AT56" s="299">
        <v>0</v>
      </c>
      <c r="AU56" s="299">
        <v>0</v>
      </c>
      <c r="AV56" s="299">
        <v>0</v>
      </c>
      <c r="AW56" s="299">
        <v>0</v>
      </c>
      <c r="AX56" s="299">
        <v>0</v>
      </c>
      <c r="AY56" s="299">
        <v>0</v>
      </c>
      <c r="AZ56" s="299"/>
      <c r="BA56" s="299" t="s">
        <v>38</v>
      </c>
      <c r="BB56" s="299"/>
      <c r="BC56" s="299" t="s">
        <v>38</v>
      </c>
      <c r="BD56" s="299"/>
      <c r="BE56" s="298"/>
      <c r="BF56" s="297"/>
      <c r="BG56" s="299"/>
      <c r="BH56" s="299" t="s">
        <v>41</v>
      </c>
      <c r="BI56" s="298"/>
      <c r="BJ56" s="366" t="s">
        <v>1125</v>
      </c>
      <c r="BK56" s="366" t="s">
        <v>408</v>
      </c>
    </row>
    <row r="57" spans="1:63" x14ac:dyDescent="0.15">
      <c r="A57" s="148">
        <v>790</v>
      </c>
      <c r="B57" s="328">
        <v>43481</v>
      </c>
      <c r="C57" s="296" t="s">
        <v>10</v>
      </c>
      <c r="D57" s="379" t="s">
        <v>1110</v>
      </c>
      <c r="E57" s="309">
        <v>43369</v>
      </c>
      <c r="F57" s="298" t="s">
        <v>29</v>
      </c>
      <c r="G57" s="297" t="s">
        <v>30</v>
      </c>
      <c r="H57" s="339">
        <v>71.11</v>
      </c>
      <c r="I57" s="376" t="s">
        <v>1101</v>
      </c>
      <c r="J57" s="297">
        <v>1645</v>
      </c>
      <c r="K57" s="297">
        <v>3000</v>
      </c>
      <c r="L57" s="297">
        <v>3000</v>
      </c>
      <c r="M57" s="297">
        <v>3000</v>
      </c>
      <c r="N57" s="297"/>
      <c r="O57" s="341">
        <v>3.11</v>
      </c>
      <c r="P57" s="332">
        <v>2.62</v>
      </c>
      <c r="Q57" s="297">
        <v>0</v>
      </c>
      <c r="R57" s="297">
        <v>0</v>
      </c>
      <c r="S57" s="341">
        <v>2.19</v>
      </c>
      <c r="T57" s="297"/>
      <c r="U57" s="341">
        <v>3.11</v>
      </c>
      <c r="V57" s="332">
        <v>2.62</v>
      </c>
      <c r="W57" s="297">
        <v>0</v>
      </c>
      <c r="X57" s="297">
        <v>0</v>
      </c>
      <c r="Y57" s="341">
        <v>2.19</v>
      </c>
      <c r="Z57" s="297"/>
      <c r="AA57" s="297"/>
      <c r="AB57" s="297"/>
      <c r="AC57" s="297"/>
      <c r="AD57" s="297"/>
      <c r="AE57" s="297"/>
      <c r="AF57" s="297"/>
      <c r="AG57" s="299" t="s">
        <v>38</v>
      </c>
      <c r="AH57" s="299"/>
      <c r="AI57" s="299">
        <v>2</v>
      </c>
      <c r="AJ57" s="299">
        <v>4</v>
      </c>
      <c r="AK57" s="388">
        <v>0.33329999999999999</v>
      </c>
      <c r="AL57" s="388">
        <v>0.66659999999999997</v>
      </c>
      <c r="AM57" s="366"/>
      <c r="AN57" s="299">
        <v>0</v>
      </c>
      <c r="AO57" s="299">
        <v>0</v>
      </c>
      <c r="AP57" s="299">
        <v>0</v>
      </c>
      <c r="AQ57" s="299">
        <v>26</v>
      </c>
      <c r="AR57" s="299">
        <v>0</v>
      </c>
      <c r="AS57" s="299">
        <v>0</v>
      </c>
      <c r="AT57" s="299">
        <v>0</v>
      </c>
      <c r="AU57" s="299">
        <v>0</v>
      </c>
      <c r="AV57" s="299">
        <v>0</v>
      </c>
      <c r="AW57" s="299">
        <v>0</v>
      </c>
      <c r="AX57" s="299">
        <v>0</v>
      </c>
      <c r="AY57" s="299">
        <v>0</v>
      </c>
      <c r="AZ57" s="297"/>
      <c r="BA57" s="299" t="s">
        <v>38</v>
      </c>
      <c r="BB57" s="299">
        <v>24</v>
      </c>
      <c r="BC57" s="299" t="s">
        <v>38</v>
      </c>
      <c r="BD57" s="299"/>
      <c r="BE57" s="378" t="s">
        <v>46</v>
      </c>
      <c r="BF57" s="297" t="s">
        <v>365</v>
      </c>
      <c r="BG57" s="299">
        <v>50</v>
      </c>
      <c r="BH57" s="299" t="s">
        <v>43</v>
      </c>
      <c r="BI57" s="298"/>
      <c r="BJ57" t="s">
        <v>430</v>
      </c>
      <c r="BK57" s="366" t="s">
        <v>368</v>
      </c>
    </row>
    <row r="58" spans="1:63" x14ac:dyDescent="0.15">
      <c r="A58" s="148">
        <v>1611</v>
      </c>
      <c r="B58" s="328">
        <v>43481</v>
      </c>
      <c r="C58" s="296" t="s">
        <v>10</v>
      </c>
      <c r="D58" s="379" t="s">
        <v>1110</v>
      </c>
      <c r="E58" s="309">
        <v>43221</v>
      </c>
      <c r="F58" s="297" t="s">
        <v>31</v>
      </c>
      <c r="G58" s="297" t="s">
        <v>32</v>
      </c>
      <c r="H58" s="332">
        <v>70</v>
      </c>
      <c r="I58" s="394" t="s">
        <v>1101</v>
      </c>
      <c r="J58" s="297">
        <v>1645</v>
      </c>
      <c r="K58" s="297">
        <v>3000</v>
      </c>
      <c r="L58" s="297">
        <v>3000</v>
      </c>
      <c r="M58" s="297">
        <v>3000</v>
      </c>
      <c r="N58" s="332"/>
      <c r="O58" s="332">
        <v>3.0659999999999998</v>
      </c>
      <c r="P58" s="332">
        <v>2.9279999999999999</v>
      </c>
      <c r="Q58" s="297">
        <v>0</v>
      </c>
      <c r="R58" s="297">
        <v>0</v>
      </c>
      <c r="S58" s="332">
        <v>1.98</v>
      </c>
      <c r="T58" s="332"/>
      <c r="U58" s="332">
        <v>3.0659999999999998</v>
      </c>
      <c r="V58" s="332">
        <v>2.9279999999999999</v>
      </c>
      <c r="W58" s="297">
        <v>0</v>
      </c>
      <c r="X58" s="297">
        <v>0</v>
      </c>
      <c r="Y58" s="332">
        <v>1.98</v>
      </c>
      <c r="Z58" s="342"/>
      <c r="AA58" s="343"/>
      <c r="AB58" s="332"/>
      <c r="AC58" s="332"/>
      <c r="AD58" s="332"/>
      <c r="AE58" s="332"/>
      <c r="AF58" s="332"/>
      <c r="AG58" s="333" t="s">
        <v>38</v>
      </c>
      <c r="AH58" s="333"/>
      <c r="AI58" s="299">
        <v>2</v>
      </c>
      <c r="AJ58" s="299">
        <v>4</v>
      </c>
      <c r="AK58" s="388">
        <v>0.33329999999999999</v>
      </c>
      <c r="AL58" s="388">
        <v>0.66659999999999997</v>
      </c>
      <c r="AM58" s="366"/>
      <c r="AN58" s="299">
        <v>0</v>
      </c>
      <c r="AO58" s="299">
        <v>0</v>
      </c>
      <c r="AP58" s="299">
        <v>0</v>
      </c>
      <c r="AQ58" s="299">
        <v>25</v>
      </c>
      <c r="AR58" s="299">
        <v>0</v>
      </c>
      <c r="AS58" s="299">
        <v>0</v>
      </c>
      <c r="AT58" s="299">
        <v>0</v>
      </c>
      <c r="AU58" s="299">
        <v>0</v>
      </c>
      <c r="AV58" s="299">
        <v>0</v>
      </c>
      <c r="AW58" s="299">
        <v>0</v>
      </c>
      <c r="AX58" s="299">
        <v>0</v>
      </c>
      <c r="AY58" s="299">
        <v>0</v>
      </c>
      <c r="AZ58" s="299"/>
      <c r="BA58" s="299" t="s">
        <v>38</v>
      </c>
      <c r="BB58" s="299">
        <v>12</v>
      </c>
      <c r="BC58" s="299" t="s">
        <v>38</v>
      </c>
      <c r="BD58" s="299"/>
      <c r="BE58" s="298"/>
      <c r="BF58" s="297"/>
      <c r="BG58" s="299"/>
      <c r="BH58" s="299" t="s">
        <v>43</v>
      </c>
      <c r="BI58" s="396"/>
      <c r="BJ58" t="s">
        <v>430</v>
      </c>
      <c r="BK58" s="366" t="s">
        <v>368</v>
      </c>
    </row>
    <row r="59" spans="1:63" x14ac:dyDescent="0.15">
      <c r="A59" s="148">
        <v>1912</v>
      </c>
      <c r="B59" s="328">
        <v>43480</v>
      </c>
      <c r="C59" s="296" t="s">
        <v>10</v>
      </c>
      <c r="D59" s="379" t="s">
        <v>1110</v>
      </c>
      <c r="E59" s="295">
        <v>43479</v>
      </c>
      <c r="F59" s="298" t="s">
        <v>987</v>
      </c>
      <c r="G59" s="297" t="s">
        <v>1127</v>
      </c>
      <c r="H59" s="297">
        <v>54.536000000000001</v>
      </c>
      <c r="I59" s="376" t="s">
        <v>1101</v>
      </c>
      <c r="J59" s="297">
        <v>1645</v>
      </c>
      <c r="K59" s="297">
        <v>3000</v>
      </c>
      <c r="L59" s="297">
        <v>3000</v>
      </c>
      <c r="M59" s="297">
        <v>3000</v>
      </c>
      <c r="N59" s="297"/>
      <c r="O59" s="297">
        <v>2.5499999999999998</v>
      </c>
      <c r="P59" s="297">
        <v>2.1760000000000002</v>
      </c>
      <c r="Q59" s="297">
        <v>0</v>
      </c>
      <c r="R59" s="297">
        <v>0</v>
      </c>
      <c r="S59" s="297">
        <v>1.87</v>
      </c>
      <c r="T59" s="297"/>
      <c r="U59" s="297">
        <v>2.5499999999999998</v>
      </c>
      <c r="V59" s="297">
        <v>2.1760000000000002</v>
      </c>
      <c r="W59" s="297">
        <v>0</v>
      </c>
      <c r="X59" s="297">
        <v>0</v>
      </c>
      <c r="Y59" s="297">
        <v>1.87</v>
      </c>
      <c r="Z59" s="297"/>
      <c r="AA59" s="297"/>
      <c r="AB59" s="297"/>
      <c r="AC59" s="297"/>
      <c r="AD59" s="297"/>
      <c r="AE59" s="297"/>
      <c r="AF59" s="297"/>
      <c r="AG59" s="299" t="s">
        <v>38</v>
      </c>
      <c r="AH59" s="299"/>
      <c r="AI59" s="299">
        <v>2</v>
      </c>
      <c r="AJ59" s="299">
        <v>4</v>
      </c>
      <c r="AK59" s="388">
        <v>0.33329999999999999</v>
      </c>
      <c r="AL59" s="388">
        <v>0.66659999999999997</v>
      </c>
      <c r="AM59" s="366"/>
      <c r="AN59" s="299">
        <v>0</v>
      </c>
      <c r="AO59" s="299">
        <v>0</v>
      </c>
      <c r="AP59" s="299">
        <v>0</v>
      </c>
      <c r="AQ59" s="299">
        <v>0</v>
      </c>
      <c r="AR59" s="299">
        <v>0</v>
      </c>
      <c r="AS59" s="299">
        <v>0</v>
      </c>
      <c r="AT59" s="299">
        <v>0</v>
      </c>
      <c r="AU59" s="299">
        <v>0</v>
      </c>
      <c r="AV59" s="299">
        <v>0</v>
      </c>
      <c r="AW59" s="299">
        <v>0</v>
      </c>
      <c r="AX59" s="299">
        <v>0</v>
      </c>
      <c r="AY59" s="299">
        <v>0</v>
      </c>
      <c r="AZ59" s="299"/>
      <c r="BA59" s="299" t="s">
        <v>38</v>
      </c>
      <c r="BB59" s="299"/>
      <c r="BC59" s="299" t="s">
        <v>38</v>
      </c>
      <c r="BD59" s="299"/>
      <c r="BE59" s="298"/>
      <c r="BF59" s="297"/>
      <c r="BG59" s="299"/>
      <c r="BH59" s="299" t="s">
        <v>41</v>
      </c>
      <c r="BI59" s="298" t="s">
        <v>370</v>
      </c>
      <c r="BJ59" t="s">
        <v>430</v>
      </c>
      <c r="BK59" t="s">
        <v>368</v>
      </c>
    </row>
    <row r="60" spans="1:63" x14ac:dyDescent="0.15">
      <c r="A60" s="148">
        <v>1686</v>
      </c>
      <c r="B60" s="328">
        <v>43480</v>
      </c>
      <c r="C60" s="296" t="s">
        <v>295</v>
      </c>
      <c r="D60" s="379" t="s">
        <v>1110</v>
      </c>
      <c r="E60" s="328">
        <v>43419</v>
      </c>
      <c r="F60" s="378" t="s">
        <v>1106</v>
      </c>
      <c r="G60" s="297" t="s">
        <v>2</v>
      </c>
      <c r="H60" s="297">
        <v>95</v>
      </c>
      <c r="I60" s="376" t="s">
        <v>296</v>
      </c>
      <c r="J60" s="297">
        <v>3000</v>
      </c>
      <c r="K60" s="297">
        <v>3000</v>
      </c>
      <c r="L60" s="297">
        <v>3000</v>
      </c>
      <c r="M60" s="297">
        <v>3000</v>
      </c>
      <c r="N60" s="297"/>
      <c r="O60" s="297">
        <v>3.4</v>
      </c>
      <c r="P60" s="297">
        <v>0</v>
      </c>
      <c r="Q60" s="297">
        <v>0</v>
      </c>
      <c r="R60" s="297">
        <v>0</v>
      </c>
      <c r="S60" s="297">
        <v>2.2000000000000002</v>
      </c>
      <c r="T60" s="297"/>
      <c r="U60" s="297">
        <v>3.4</v>
      </c>
      <c r="V60" s="297">
        <v>0</v>
      </c>
      <c r="W60" s="297">
        <v>0</v>
      </c>
      <c r="X60" s="297">
        <v>0</v>
      </c>
      <c r="Y60" s="297">
        <v>2.2000000000000002</v>
      </c>
      <c r="Z60" s="297"/>
      <c r="AA60" s="297"/>
      <c r="AB60" s="297"/>
      <c r="AC60" s="297"/>
      <c r="AD60" s="297"/>
      <c r="AE60" s="297"/>
      <c r="AF60" s="297"/>
      <c r="AG60" s="299" t="s">
        <v>38</v>
      </c>
      <c r="AH60" s="299"/>
      <c r="AI60" s="299">
        <v>2</v>
      </c>
      <c r="AJ60" s="299">
        <v>4</v>
      </c>
      <c r="AK60" s="388">
        <v>0.33329999999999999</v>
      </c>
      <c r="AL60" s="388">
        <v>0.66659999999999997</v>
      </c>
      <c r="AM60" s="366"/>
      <c r="AN60" s="299">
        <v>0</v>
      </c>
      <c r="AO60" s="299">
        <v>0</v>
      </c>
      <c r="AP60" s="299">
        <v>32</v>
      </c>
      <c r="AQ60" s="299">
        <v>0</v>
      </c>
      <c r="AR60" s="299">
        <v>0</v>
      </c>
      <c r="AS60" s="299">
        <v>0</v>
      </c>
      <c r="AT60" s="299">
        <v>0</v>
      </c>
      <c r="AU60" s="299">
        <v>0</v>
      </c>
      <c r="AV60" s="299">
        <v>0</v>
      </c>
      <c r="AW60" s="299">
        <v>0</v>
      </c>
      <c r="AX60" s="299">
        <v>0</v>
      </c>
      <c r="AY60" s="299">
        <v>0</v>
      </c>
      <c r="AZ60" s="299"/>
      <c r="BA60" s="299" t="s">
        <v>38</v>
      </c>
      <c r="BB60" s="299"/>
      <c r="BC60" s="299" t="s">
        <v>38</v>
      </c>
      <c r="BD60" s="299"/>
      <c r="BE60" s="297"/>
      <c r="BF60" s="299"/>
      <c r="BG60" s="299"/>
      <c r="BH60" s="299" t="s">
        <v>41</v>
      </c>
      <c r="BI60" s="297"/>
      <c r="BJ60" t="s">
        <v>430</v>
      </c>
      <c r="BK60" t="s">
        <v>368</v>
      </c>
    </row>
    <row r="61" spans="1:63" x14ac:dyDescent="0.15">
      <c r="A61" s="148">
        <v>1512</v>
      </c>
      <c r="B61" s="328">
        <v>43481</v>
      </c>
      <c r="C61" s="296" t="s">
        <v>10</v>
      </c>
      <c r="D61" s="379" t="s">
        <v>1110</v>
      </c>
      <c r="E61" s="309">
        <v>43229</v>
      </c>
      <c r="F61" s="297" t="s">
        <v>34</v>
      </c>
      <c r="G61" s="379" t="s">
        <v>1107</v>
      </c>
      <c r="H61" s="332">
        <v>84.65</v>
      </c>
      <c r="I61" s="394"/>
      <c r="J61" s="297"/>
      <c r="K61" s="297"/>
      <c r="L61" s="297"/>
      <c r="M61" s="297"/>
      <c r="N61" s="297"/>
      <c r="O61" s="332">
        <v>1.73</v>
      </c>
      <c r="P61" s="332">
        <v>0</v>
      </c>
      <c r="Q61" s="332">
        <v>0</v>
      </c>
      <c r="R61" s="332">
        <v>0</v>
      </c>
      <c r="S61" s="332">
        <v>0</v>
      </c>
      <c r="T61" s="332"/>
      <c r="U61" s="332">
        <v>1.73</v>
      </c>
      <c r="V61" s="332">
        <v>0</v>
      </c>
      <c r="W61" s="332">
        <v>0</v>
      </c>
      <c r="X61" s="332">
        <v>0</v>
      </c>
      <c r="Y61" s="332">
        <v>0</v>
      </c>
      <c r="Z61" s="332"/>
      <c r="AA61" s="332"/>
      <c r="AB61" s="332"/>
      <c r="AC61" s="332"/>
      <c r="AD61" s="332"/>
      <c r="AE61" s="332"/>
      <c r="AF61" s="332"/>
      <c r="AG61" s="333" t="s">
        <v>38</v>
      </c>
      <c r="AH61" s="333"/>
      <c r="AI61" s="299">
        <v>2</v>
      </c>
      <c r="AJ61" s="299">
        <v>4</v>
      </c>
      <c r="AK61" s="388">
        <v>0.33329999999999999</v>
      </c>
      <c r="AL61" s="388">
        <v>0.66659999999999997</v>
      </c>
      <c r="AM61" s="366"/>
      <c r="AN61" s="299">
        <v>0</v>
      </c>
      <c r="AO61" s="299">
        <v>0</v>
      </c>
      <c r="AP61" s="299">
        <v>5</v>
      </c>
      <c r="AQ61" s="299">
        <v>0</v>
      </c>
      <c r="AR61" s="299">
        <v>0</v>
      </c>
      <c r="AS61" s="299">
        <v>0</v>
      </c>
      <c r="AT61" s="299">
        <v>0</v>
      </c>
      <c r="AU61" s="299">
        <v>0</v>
      </c>
      <c r="AV61" s="299">
        <v>0</v>
      </c>
      <c r="AW61" s="299">
        <v>0</v>
      </c>
      <c r="AX61" s="299">
        <v>0</v>
      </c>
      <c r="AY61" s="299">
        <v>0</v>
      </c>
      <c r="AZ61" s="299"/>
      <c r="BA61" s="299" t="s">
        <v>38</v>
      </c>
      <c r="BB61" s="299"/>
      <c r="BC61" s="299" t="s">
        <v>38</v>
      </c>
      <c r="BD61" s="299"/>
      <c r="BE61" s="298"/>
      <c r="BF61" s="297"/>
      <c r="BG61" s="299"/>
      <c r="BH61" s="299" t="s">
        <v>43</v>
      </c>
      <c r="BI61" s="298" t="s">
        <v>47</v>
      </c>
      <c r="BJ61" t="s">
        <v>52</v>
      </c>
      <c r="BK61" s="366" t="s">
        <v>368</v>
      </c>
    </row>
    <row r="62" spans="1:63" x14ac:dyDescent="0.15">
      <c r="A62" s="148">
        <v>79</v>
      </c>
      <c r="B62" s="328">
        <v>43480</v>
      </c>
      <c r="C62" s="296" t="s">
        <v>10</v>
      </c>
      <c r="D62" s="379" t="s">
        <v>1111</v>
      </c>
      <c r="E62" s="295">
        <v>43479</v>
      </c>
      <c r="F62" s="298" t="s">
        <v>12</v>
      </c>
      <c r="G62" s="297" t="s">
        <v>1112</v>
      </c>
      <c r="H62" s="297">
        <v>78.5</v>
      </c>
      <c r="I62" s="376" t="s">
        <v>1101</v>
      </c>
      <c r="J62" s="297">
        <v>1645</v>
      </c>
      <c r="K62" s="297">
        <v>3000</v>
      </c>
      <c r="L62" s="297">
        <v>3000</v>
      </c>
      <c r="M62" s="297">
        <v>3000</v>
      </c>
      <c r="N62" s="297"/>
      <c r="O62" s="297">
        <v>2.8</v>
      </c>
      <c r="P62" s="297">
        <v>2.46</v>
      </c>
      <c r="Q62" s="332">
        <v>0</v>
      </c>
      <c r="R62" s="332">
        <v>0</v>
      </c>
      <c r="S62" s="297">
        <v>1.96</v>
      </c>
      <c r="T62" s="297"/>
      <c r="U62" s="297">
        <v>2.8</v>
      </c>
      <c r="V62" s="297">
        <v>2.46</v>
      </c>
      <c r="W62" s="332">
        <v>0</v>
      </c>
      <c r="X62" s="332">
        <v>0</v>
      </c>
      <c r="Y62" s="297">
        <v>1.96</v>
      </c>
      <c r="AB62" s="297"/>
      <c r="AC62" s="297"/>
      <c r="AD62" s="297"/>
      <c r="AE62" s="297"/>
      <c r="AF62" s="297"/>
      <c r="AG62" s="299" t="s">
        <v>38</v>
      </c>
      <c r="AH62" s="299"/>
      <c r="AI62" s="299">
        <v>2</v>
      </c>
      <c r="AJ62" s="299">
        <v>4</v>
      </c>
      <c r="AK62" s="388">
        <v>0.33329999999999999</v>
      </c>
      <c r="AL62" s="388">
        <v>0.66659999999999997</v>
      </c>
      <c r="AM62" s="366"/>
      <c r="AN62" s="299">
        <v>0</v>
      </c>
      <c r="AO62" s="299">
        <v>0</v>
      </c>
      <c r="AP62" s="299">
        <v>0</v>
      </c>
      <c r="AQ62" s="299">
        <v>24</v>
      </c>
      <c r="AR62" s="299">
        <v>0</v>
      </c>
      <c r="AS62" s="299">
        <v>0</v>
      </c>
      <c r="AT62" s="299">
        <v>0</v>
      </c>
      <c r="AU62" s="299">
        <v>0</v>
      </c>
      <c r="AV62" s="299">
        <v>0</v>
      </c>
      <c r="AW62" s="299">
        <v>0</v>
      </c>
      <c r="AX62" s="299">
        <v>0</v>
      </c>
      <c r="AY62" s="299">
        <v>0</v>
      </c>
      <c r="AZ62" s="299"/>
      <c r="BA62" s="299" t="s">
        <v>38</v>
      </c>
      <c r="BB62" s="299">
        <v>12</v>
      </c>
      <c r="BC62" s="299" t="s">
        <v>38</v>
      </c>
      <c r="BD62" s="299"/>
      <c r="BE62" s="298"/>
      <c r="BF62" s="297"/>
      <c r="BG62" s="299"/>
      <c r="BH62" s="299" t="s">
        <v>41</v>
      </c>
      <c r="BI62" s="298"/>
      <c r="BJ62" s="366" t="s">
        <v>430</v>
      </c>
      <c r="BK62" t="s">
        <v>408</v>
      </c>
    </row>
    <row r="63" spans="1:63" x14ac:dyDescent="0.15">
      <c r="A63" s="148">
        <v>1863</v>
      </c>
      <c r="B63" s="328">
        <v>43481</v>
      </c>
      <c r="C63" s="296" t="s">
        <v>10</v>
      </c>
      <c r="D63" s="379" t="s">
        <v>1111</v>
      </c>
      <c r="E63" s="328">
        <v>43477</v>
      </c>
      <c r="F63" s="298" t="s">
        <v>14</v>
      </c>
      <c r="G63" s="379" t="s">
        <v>1102</v>
      </c>
      <c r="H63" s="297">
        <v>74</v>
      </c>
      <c r="I63" s="376" t="s">
        <v>1101</v>
      </c>
      <c r="J63" s="297">
        <v>1645</v>
      </c>
      <c r="K63" s="297">
        <v>3000</v>
      </c>
      <c r="L63" s="297">
        <v>3000</v>
      </c>
      <c r="M63" s="297">
        <v>3000</v>
      </c>
      <c r="N63" s="297"/>
      <c r="O63" s="297">
        <v>3</v>
      </c>
      <c r="P63" s="297">
        <v>2.6</v>
      </c>
      <c r="Q63" s="332">
        <v>0</v>
      </c>
      <c r="R63" s="332">
        <v>0</v>
      </c>
      <c r="S63" s="297">
        <v>2</v>
      </c>
      <c r="T63" s="297"/>
      <c r="U63" s="297">
        <v>3</v>
      </c>
      <c r="V63" s="297">
        <v>2.6</v>
      </c>
      <c r="W63" s="332">
        <v>0</v>
      </c>
      <c r="X63" s="332">
        <v>0</v>
      </c>
      <c r="Y63" s="297">
        <v>2</v>
      </c>
      <c r="Z63" s="297"/>
      <c r="AA63" s="297"/>
      <c r="AB63" s="297"/>
      <c r="AC63" s="297"/>
      <c r="AD63" s="297"/>
      <c r="AE63" s="297"/>
      <c r="AF63" s="297"/>
      <c r="AG63" s="299" t="s">
        <v>38</v>
      </c>
      <c r="AH63" s="299"/>
      <c r="AI63" s="299">
        <v>2</v>
      </c>
      <c r="AJ63" s="299">
        <v>4</v>
      </c>
      <c r="AK63" s="388">
        <v>0.33329999999999999</v>
      </c>
      <c r="AL63" s="388">
        <v>0.66659999999999997</v>
      </c>
      <c r="AM63" s="366"/>
      <c r="AN63" s="299">
        <v>0</v>
      </c>
      <c r="AO63" s="299">
        <v>20</v>
      </c>
      <c r="AP63" s="299">
        <v>0</v>
      </c>
      <c r="AQ63" s="299">
        <v>0</v>
      </c>
      <c r="AR63" s="299">
        <v>0</v>
      </c>
      <c r="AS63" s="299">
        <v>0</v>
      </c>
      <c r="AT63" s="299">
        <v>0</v>
      </c>
      <c r="AU63" s="299">
        <v>0</v>
      </c>
      <c r="AV63" s="299">
        <v>0</v>
      </c>
      <c r="AW63" s="299">
        <v>0</v>
      </c>
      <c r="AX63" s="299">
        <v>0</v>
      </c>
      <c r="AY63" s="299">
        <v>0</v>
      </c>
      <c r="AZ63" s="297"/>
      <c r="BA63" s="299" t="s">
        <v>38</v>
      </c>
      <c r="BB63" s="299">
        <v>12</v>
      </c>
      <c r="BC63" s="299" t="s">
        <v>38</v>
      </c>
      <c r="BD63" s="299"/>
      <c r="BE63" s="298"/>
      <c r="BF63" s="297"/>
      <c r="BG63" s="299"/>
      <c r="BH63" s="299" t="s">
        <v>411</v>
      </c>
      <c r="BI63" s="298"/>
      <c r="BJ63" s="366" t="s">
        <v>1119</v>
      </c>
      <c r="BK63" s="366" t="s">
        <v>408</v>
      </c>
    </row>
    <row r="64" spans="1:63" x14ac:dyDescent="0.15">
      <c r="A64" s="148">
        <v>1875</v>
      </c>
      <c r="B64" s="328">
        <v>43480</v>
      </c>
      <c r="C64" s="296" t="s">
        <v>10</v>
      </c>
      <c r="D64" s="379" t="s">
        <v>1111</v>
      </c>
      <c r="E64" s="295">
        <v>43437</v>
      </c>
      <c r="F64" s="298" t="s">
        <v>16</v>
      </c>
      <c r="G64" s="379" t="s">
        <v>1103</v>
      </c>
      <c r="H64" s="297">
        <v>80.2</v>
      </c>
      <c r="I64" s="376" t="s">
        <v>1101</v>
      </c>
      <c r="J64" s="297">
        <v>1645</v>
      </c>
      <c r="K64" s="297">
        <v>3000</v>
      </c>
      <c r="L64" s="297">
        <v>3000</v>
      </c>
      <c r="M64" s="297">
        <v>3000</v>
      </c>
      <c r="N64" s="297"/>
      <c r="O64" s="297">
        <v>3.75</v>
      </c>
      <c r="P64" s="297">
        <v>3.2</v>
      </c>
      <c r="Q64" s="332">
        <v>0</v>
      </c>
      <c r="R64" s="332">
        <v>0</v>
      </c>
      <c r="S64" s="297">
        <v>2.75</v>
      </c>
      <c r="T64" s="297"/>
      <c r="U64" s="297">
        <v>3.75</v>
      </c>
      <c r="V64" s="297">
        <v>3.2</v>
      </c>
      <c r="W64" s="332">
        <v>0</v>
      </c>
      <c r="X64" s="332">
        <v>0</v>
      </c>
      <c r="Y64" s="297">
        <v>2.75</v>
      </c>
      <c r="Z64" s="297"/>
      <c r="AA64" s="297"/>
      <c r="AB64" s="297"/>
      <c r="AC64" s="297"/>
      <c r="AD64" s="297"/>
      <c r="AE64" s="297"/>
      <c r="AF64" s="297"/>
      <c r="AG64" s="299" t="s">
        <v>38</v>
      </c>
      <c r="AH64" s="299"/>
      <c r="AI64" s="299">
        <v>2</v>
      </c>
      <c r="AJ64" s="299">
        <v>4</v>
      </c>
      <c r="AK64" s="388">
        <v>0.33329999999999999</v>
      </c>
      <c r="AL64" s="388">
        <v>0.66659999999999997</v>
      </c>
      <c r="AM64" s="366"/>
      <c r="AN64" s="299">
        <v>0</v>
      </c>
      <c r="AO64" s="299">
        <v>0</v>
      </c>
      <c r="AP64" s="299">
        <v>26</v>
      </c>
      <c r="AQ64" s="299">
        <v>0</v>
      </c>
      <c r="AR64" s="299">
        <v>0</v>
      </c>
      <c r="AS64" s="299">
        <v>0</v>
      </c>
      <c r="AT64" s="299">
        <v>0</v>
      </c>
      <c r="AU64" s="299">
        <v>0</v>
      </c>
      <c r="AV64" s="299">
        <v>0</v>
      </c>
      <c r="AW64" s="299">
        <v>0</v>
      </c>
      <c r="AX64" s="299">
        <v>0</v>
      </c>
      <c r="AY64" s="299">
        <v>0</v>
      </c>
      <c r="AZ64" s="297"/>
      <c r="BA64" s="299" t="s">
        <v>38</v>
      </c>
      <c r="BB64" s="299"/>
      <c r="BC64" s="299" t="s">
        <v>38</v>
      </c>
      <c r="BD64" s="299"/>
      <c r="BE64" s="298"/>
      <c r="BF64" s="297"/>
      <c r="BG64" s="299"/>
      <c r="BH64" s="299" t="s">
        <v>41</v>
      </c>
      <c r="BI64" s="298" t="s">
        <v>42</v>
      </c>
      <c r="BJ64" s="366" t="s">
        <v>430</v>
      </c>
      <c r="BK64" t="s">
        <v>368</v>
      </c>
    </row>
    <row r="65" spans="1:63" x14ac:dyDescent="0.15">
      <c r="A65" s="148">
        <v>1138</v>
      </c>
      <c r="B65" s="328">
        <v>43481</v>
      </c>
      <c r="C65" s="296" t="s">
        <v>10</v>
      </c>
      <c r="D65" s="379" t="s">
        <v>1111</v>
      </c>
      <c r="E65" s="295">
        <v>43466</v>
      </c>
      <c r="F65" s="298" t="s">
        <v>1050</v>
      </c>
      <c r="G65" s="297" t="s">
        <v>418</v>
      </c>
      <c r="H65" s="297">
        <v>75</v>
      </c>
      <c r="I65" s="376" t="s">
        <v>1101</v>
      </c>
      <c r="J65" s="297">
        <v>1645</v>
      </c>
      <c r="K65" s="297">
        <v>3000</v>
      </c>
      <c r="L65" s="297">
        <v>3000</v>
      </c>
      <c r="M65" s="297">
        <v>3000</v>
      </c>
      <c r="N65" s="297"/>
      <c r="O65" s="297">
        <v>3.17</v>
      </c>
      <c r="P65" s="297">
        <v>2.5</v>
      </c>
      <c r="Q65" s="332">
        <v>0</v>
      </c>
      <c r="R65" s="332">
        <v>0</v>
      </c>
      <c r="S65" s="297">
        <v>2.25</v>
      </c>
      <c r="T65" s="297"/>
      <c r="U65" s="297">
        <v>3.17</v>
      </c>
      <c r="V65" s="297">
        <v>2.5</v>
      </c>
      <c r="W65" s="332">
        <v>0</v>
      </c>
      <c r="X65" s="332">
        <v>0</v>
      </c>
      <c r="Y65" s="297">
        <v>2.25</v>
      </c>
      <c r="Z65" s="297"/>
      <c r="AA65" s="297"/>
      <c r="AB65" s="297"/>
      <c r="AC65" s="297"/>
      <c r="AD65" s="297"/>
      <c r="AE65" s="297"/>
      <c r="AF65" s="297"/>
      <c r="AG65" s="299" t="s">
        <v>38</v>
      </c>
      <c r="AH65" s="299"/>
      <c r="AI65" s="299">
        <v>2</v>
      </c>
      <c r="AJ65" s="299">
        <v>4</v>
      </c>
      <c r="AK65" s="388">
        <v>0.33329999999999999</v>
      </c>
      <c r="AL65" s="388">
        <v>0.66659999999999997</v>
      </c>
      <c r="AM65" s="366"/>
      <c r="AN65" s="299">
        <v>0</v>
      </c>
      <c r="AO65" s="299">
        <v>0</v>
      </c>
      <c r="AP65" s="299">
        <v>0</v>
      </c>
      <c r="AQ65" s="299">
        <v>16</v>
      </c>
      <c r="AR65" s="299">
        <v>0</v>
      </c>
      <c r="AS65" s="299">
        <v>0</v>
      </c>
      <c r="AT65" s="299">
        <v>0</v>
      </c>
      <c r="AU65" s="299">
        <v>0</v>
      </c>
      <c r="AV65" s="299">
        <v>0</v>
      </c>
      <c r="AW65" s="299">
        <v>0</v>
      </c>
      <c r="AX65" s="299">
        <v>0</v>
      </c>
      <c r="AY65" s="299">
        <v>0</v>
      </c>
      <c r="AZ65" s="299"/>
      <c r="BA65" s="299" t="s">
        <v>38</v>
      </c>
      <c r="BB65" s="299"/>
      <c r="BC65" s="299" t="s">
        <v>38</v>
      </c>
      <c r="BD65" s="299"/>
      <c r="BE65" s="298"/>
      <c r="BF65" s="297"/>
      <c r="BG65" s="299"/>
      <c r="BH65" s="299" t="s">
        <v>41</v>
      </c>
      <c r="BI65" s="298" t="s">
        <v>370</v>
      </c>
      <c r="BJ65" s="366" t="s">
        <v>430</v>
      </c>
      <c r="BK65" s="366" t="s">
        <v>408</v>
      </c>
    </row>
    <row r="66" spans="1:63" x14ac:dyDescent="0.15">
      <c r="A66" s="148">
        <v>880</v>
      </c>
      <c r="B66" s="328">
        <v>43480</v>
      </c>
      <c r="C66" s="296" t="s">
        <v>10</v>
      </c>
      <c r="D66" s="379" t="s">
        <v>1111</v>
      </c>
      <c r="E66" s="295">
        <v>43154</v>
      </c>
      <c r="F66" s="298" t="s">
        <v>19</v>
      </c>
      <c r="G66" s="297" t="s">
        <v>20</v>
      </c>
      <c r="H66" s="297">
        <v>81.349999999999994</v>
      </c>
      <c r="I66" s="376" t="s">
        <v>1101</v>
      </c>
      <c r="J66" s="331">
        <v>4000</v>
      </c>
      <c r="K66" s="331">
        <v>12000</v>
      </c>
      <c r="L66" s="331">
        <v>12000</v>
      </c>
      <c r="M66" s="331">
        <v>12000</v>
      </c>
      <c r="N66" s="297"/>
      <c r="O66" s="297">
        <v>2.54</v>
      </c>
      <c r="P66" s="297">
        <v>2.09</v>
      </c>
      <c r="Q66" s="297">
        <v>0</v>
      </c>
      <c r="R66" s="297">
        <v>0</v>
      </c>
      <c r="S66" s="297">
        <v>1.79</v>
      </c>
      <c r="T66" s="297"/>
      <c r="U66" s="297">
        <v>2.54</v>
      </c>
      <c r="V66" s="297">
        <v>2.09</v>
      </c>
      <c r="W66" s="297">
        <v>0</v>
      </c>
      <c r="X66" s="297">
        <v>0</v>
      </c>
      <c r="Y66" s="297">
        <v>1.79</v>
      </c>
      <c r="Z66" s="297"/>
      <c r="AA66" s="297"/>
      <c r="AB66" s="297"/>
      <c r="AC66" s="297"/>
      <c r="AD66" s="297"/>
      <c r="AE66" s="297"/>
      <c r="AF66" s="297"/>
      <c r="AG66" s="299" t="s">
        <v>1116</v>
      </c>
      <c r="AH66" s="299" t="s">
        <v>1117</v>
      </c>
      <c r="AI66" s="299">
        <v>2</v>
      </c>
      <c r="AJ66" s="299">
        <v>4</v>
      </c>
      <c r="AK66" s="388">
        <v>0.33329999999999999</v>
      </c>
      <c r="AL66" s="388">
        <v>0.66659999999999997</v>
      </c>
      <c r="AM66" s="366" t="s">
        <v>1124</v>
      </c>
      <c r="AN66" s="299">
        <v>0</v>
      </c>
      <c r="AO66" s="299">
        <v>0</v>
      </c>
      <c r="AP66" s="299">
        <v>0</v>
      </c>
      <c r="AQ66" s="299">
        <v>0</v>
      </c>
      <c r="AR66" s="299">
        <v>0</v>
      </c>
      <c r="AS66" s="299">
        <v>25</v>
      </c>
      <c r="AT66" s="299">
        <v>0</v>
      </c>
      <c r="AU66" s="299">
        <v>0</v>
      </c>
      <c r="AV66" s="299">
        <v>0</v>
      </c>
      <c r="AW66" s="299">
        <v>0</v>
      </c>
      <c r="AX66" s="299">
        <v>0</v>
      </c>
      <c r="AY66" s="299">
        <v>0</v>
      </c>
      <c r="AZ66" s="297"/>
      <c r="BA66" s="299" t="s">
        <v>38</v>
      </c>
      <c r="BB66" s="299"/>
      <c r="BC66" s="299" t="s">
        <v>38</v>
      </c>
      <c r="BD66" s="299"/>
      <c r="BE66" s="298"/>
      <c r="BF66" s="297"/>
      <c r="BG66" s="299"/>
      <c r="BH66" s="299" t="s">
        <v>43</v>
      </c>
      <c r="BI66" s="298"/>
      <c r="BJ66" s="366" t="s">
        <v>430</v>
      </c>
      <c r="BK66" s="366" t="s">
        <v>368</v>
      </c>
    </row>
    <row r="67" spans="1:63" x14ac:dyDescent="0.15">
      <c r="A67" s="148">
        <v>747</v>
      </c>
      <c r="B67" s="328">
        <v>43481</v>
      </c>
      <c r="C67" s="296" t="s">
        <v>10</v>
      </c>
      <c r="D67" s="379" t="s">
        <v>1111</v>
      </c>
      <c r="E67" s="295">
        <v>43467</v>
      </c>
      <c r="F67" s="298" t="s">
        <v>21</v>
      </c>
      <c r="G67" s="297" t="s">
        <v>1104</v>
      </c>
      <c r="H67" s="297">
        <v>81</v>
      </c>
      <c r="I67" s="376" t="s">
        <v>1101</v>
      </c>
      <c r="J67" s="297">
        <v>3000</v>
      </c>
      <c r="K67" s="297">
        <v>3000</v>
      </c>
      <c r="L67" s="297">
        <v>3000</v>
      </c>
      <c r="M67" s="297">
        <v>3000</v>
      </c>
      <c r="N67" s="297"/>
      <c r="O67" s="297">
        <v>2.97</v>
      </c>
      <c r="P67" s="297">
        <v>0</v>
      </c>
      <c r="Q67" s="297">
        <v>0</v>
      </c>
      <c r="R67" s="297">
        <v>0</v>
      </c>
      <c r="S67" s="297">
        <v>2</v>
      </c>
      <c r="T67" s="297"/>
      <c r="U67" s="297">
        <v>2.97</v>
      </c>
      <c r="V67" s="297">
        <v>0</v>
      </c>
      <c r="W67" s="297">
        <v>0</v>
      </c>
      <c r="X67" s="297">
        <v>0</v>
      </c>
      <c r="Y67" s="297">
        <v>2</v>
      </c>
      <c r="Z67" s="297"/>
      <c r="AA67" s="297"/>
      <c r="AB67" s="297"/>
      <c r="AC67" s="297"/>
      <c r="AD67" s="297"/>
      <c r="AE67" s="297"/>
      <c r="AF67" s="297"/>
      <c r="AG67" s="299" t="s">
        <v>38</v>
      </c>
      <c r="AH67" s="297"/>
      <c r="AI67" s="299">
        <v>2</v>
      </c>
      <c r="AJ67" s="299">
        <v>4</v>
      </c>
      <c r="AK67" s="388">
        <v>0.33329999999999999</v>
      </c>
      <c r="AL67" s="388">
        <v>0.66659999999999997</v>
      </c>
      <c r="AM67" s="366"/>
      <c r="AN67" s="299">
        <v>0</v>
      </c>
      <c r="AO67" s="299">
        <v>22</v>
      </c>
      <c r="AP67" s="299">
        <v>0</v>
      </c>
      <c r="AQ67" s="299">
        <v>0</v>
      </c>
      <c r="AR67" s="299">
        <v>0</v>
      </c>
      <c r="AS67" s="299">
        <v>0</v>
      </c>
      <c r="AT67" s="299">
        <v>0</v>
      </c>
      <c r="AU67" s="299">
        <v>0</v>
      </c>
      <c r="AV67" s="299">
        <v>0</v>
      </c>
      <c r="AW67" s="299">
        <v>0</v>
      </c>
      <c r="AX67" s="299">
        <v>0</v>
      </c>
      <c r="AY67" s="299">
        <v>0</v>
      </c>
      <c r="AZ67" s="297"/>
      <c r="BA67" s="299" t="s">
        <v>38</v>
      </c>
      <c r="BB67" s="299">
        <v>12</v>
      </c>
      <c r="BC67" s="299" t="s">
        <v>38</v>
      </c>
      <c r="BD67" s="299"/>
      <c r="BE67" s="298" t="s">
        <v>218</v>
      </c>
      <c r="BF67" s="297" t="s">
        <v>40</v>
      </c>
      <c r="BG67" s="299">
        <v>50</v>
      </c>
      <c r="BH67" s="299" t="s">
        <v>41</v>
      </c>
      <c r="BI67" s="298"/>
      <c r="BJ67" s="366" t="s">
        <v>430</v>
      </c>
      <c r="BK67" s="366" t="s">
        <v>408</v>
      </c>
    </row>
    <row r="68" spans="1:63" x14ac:dyDescent="0.15">
      <c r="A68" s="148">
        <v>1934</v>
      </c>
      <c r="B68" s="328">
        <v>43481</v>
      </c>
      <c r="C68" s="296" t="s">
        <v>10</v>
      </c>
      <c r="D68" s="379" t="s">
        <v>1111</v>
      </c>
      <c r="E68" s="295">
        <v>43466</v>
      </c>
      <c r="F68" s="298" t="s">
        <v>22</v>
      </c>
      <c r="G68" s="297" t="s">
        <v>1105</v>
      </c>
      <c r="H68" s="297">
        <v>65</v>
      </c>
      <c r="I68" s="376" t="s">
        <v>1101</v>
      </c>
      <c r="J68" s="297">
        <v>1645</v>
      </c>
      <c r="K68" s="297">
        <v>3000</v>
      </c>
      <c r="L68" s="297">
        <v>3000</v>
      </c>
      <c r="M68" s="297">
        <v>3000</v>
      </c>
      <c r="N68" s="297"/>
      <c r="O68" s="297">
        <v>2.5</v>
      </c>
      <c r="P68" s="297">
        <v>2</v>
      </c>
      <c r="Q68" s="297">
        <v>0</v>
      </c>
      <c r="R68" s="297">
        <v>0</v>
      </c>
      <c r="S68" s="297">
        <v>1.8</v>
      </c>
      <c r="T68" s="297"/>
      <c r="U68" s="297">
        <v>2.5</v>
      </c>
      <c r="V68" s="297">
        <v>2</v>
      </c>
      <c r="W68" s="297">
        <v>0</v>
      </c>
      <c r="X68" s="297">
        <v>0</v>
      </c>
      <c r="Y68" s="297">
        <v>1.8</v>
      </c>
      <c r="Z68" s="297"/>
      <c r="AA68" s="297"/>
      <c r="AB68" s="297"/>
      <c r="AC68" s="297"/>
      <c r="AD68" s="297"/>
      <c r="AE68" s="297"/>
      <c r="AF68" s="297"/>
      <c r="AG68" s="299" t="s">
        <v>38</v>
      </c>
      <c r="AH68" s="299"/>
      <c r="AI68" s="299">
        <v>2</v>
      </c>
      <c r="AJ68" s="299">
        <v>4</v>
      </c>
      <c r="AK68" s="388">
        <v>0.33329999999999999</v>
      </c>
      <c r="AL68" s="388">
        <v>0.66659999999999997</v>
      </c>
      <c r="AM68" s="366"/>
      <c r="AN68" s="299">
        <v>0</v>
      </c>
      <c r="AO68" s="299">
        <v>0</v>
      </c>
      <c r="AP68" s="299">
        <v>3</v>
      </c>
      <c r="AQ68" s="299">
        <v>0</v>
      </c>
      <c r="AR68" s="299">
        <v>0</v>
      </c>
      <c r="AS68" s="299">
        <v>0</v>
      </c>
      <c r="AT68" s="299">
        <v>0</v>
      </c>
      <c r="AU68" s="299">
        <v>0</v>
      </c>
      <c r="AV68" s="299">
        <v>0</v>
      </c>
      <c r="AW68" s="299">
        <v>0</v>
      </c>
      <c r="AX68" s="299">
        <v>0</v>
      </c>
      <c r="AY68" s="299">
        <v>0</v>
      </c>
      <c r="AZ68" s="297"/>
      <c r="BA68" s="299" t="s">
        <v>38</v>
      </c>
      <c r="BB68" s="299"/>
      <c r="BC68" s="299" t="s">
        <v>38</v>
      </c>
      <c r="BD68" s="299"/>
      <c r="BE68" s="298" t="s">
        <v>1120</v>
      </c>
      <c r="BF68" s="297" t="s">
        <v>40</v>
      </c>
      <c r="BG68" s="299">
        <v>50</v>
      </c>
      <c r="BH68" s="299" t="s">
        <v>41</v>
      </c>
      <c r="BI68" s="298"/>
      <c r="BJ68" t="s">
        <v>430</v>
      </c>
      <c r="BK68" t="s">
        <v>1121</v>
      </c>
    </row>
    <row r="69" spans="1:63" x14ac:dyDescent="0.15">
      <c r="A69" s="148">
        <v>315</v>
      </c>
      <c r="B69" s="328">
        <v>43481</v>
      </c>
      <c r="C69" s="296" t="s">
        <v>10</v>
      </c>
      <c r="D69" s="379" t="s">
        <v>1111</v>
      </c>
      <c r="E69" s="295">
        <v>43466</v>
      </c>
      <c r="F69" s="297" t="s">
        <v>24</v>
      </c>
      <c r="G69" s="297" t="s">
        <v>20</v>
      </c>
      <c r="H69" s="297">
        <v>78.91</v>
      </c>
      <c r="I69" s="376" t="s">
        <v>1101</v>
      </c>
      <c r="J69" s="297">
        <v>1645</v>
      </c>
      <c r="K69" s="297">
        <v>3000</v>
      </c>
      <c r="L69" s="297">
        <v>3000</v>
      </c>
      <c r="M69" s="297">
        <v>3000</v>
      </c>
      <c r="N69" s="297"/>
      <c r="O69" s="297">
        <v>2.4710000000000001</v>
      </c>
      <c r="P69" s="297">
        <v>2.0939999999999999</v>
      </c>
      <c r="Q69" s="297">
        <v>0</v>
      </c>
      <c r="R69" s="297">
        <v>0</v>
      </c>
      <c r="S69" s="297">
        <v>1.823</v>
      </c>
      <c r="T69" s="297"/>
      <c r="U69" s="297">
        <v>2.242</v>
      </c>
      <c r="V69" s="297">
        <v>1.893</v>
      </c>
      <c r="W69" s="297">
        <v>0</v>
      </c>
      <c r="X69" s="297">
        <v>0</v>
      </c>
      <c r="Y69" s="297">
        <v>1.641</v>
      </c>
      <c r="Z69" s="297"/>
      <c r="AA69" s="297"/>
      <c r="AB69" s="297"/>
      <c r="AC69" s="297"/>
      <c r="AD69" s="297"/>
      <c r="AE69" s="297"/>
      <c r="AF69" s="297"/>
      <c r="AG69" s="299" t="s">
        <v>1116</v>
      </c>
      <c r="AH69" s="299" t="s">
        <v>1117</v>
      </c>
      <c r="AI69" s="299">
        <v>2</v>
      </c>
      <c r="AJ69" s="299">
        <v>4</v>
      </c>
      <c r="AK69" s="388">
        <v>0.33329999999999999</v>
      </c>
      <c r="AL69" s="388">
        <v>0.66659999999999997</v>
      </c>
      <c r="AM69" s="366" t="s">
        <v>1124</v>
      </c>
      <c r="AN69" s="299">
        <v>0</v>
      </c>
      <c r="AO69" s="299">
        <v>0</v>
      </c>
      <c r="AP69" s="299">
        <v>0</v>
      </c>
      <c r="AQ69" s="299">
        <v>0</v>
      </c>
      <c r="AR69" s="299">
        <v>0</v>
      </c>
      <c r="AS69" s="299">
        <v>0</v>
      </c>
      <c r="AT69" s="299">
        <v>0</v>
      </c>
      <c r="AU69" s="299">
        <v>0</v>
      </c>
      <c r="AV69" s="299">
        <v>0</v>
      </c>
      <c r="AW69" s="299">
        <v>0</v>
      </c>
      <c r="AX69" s="299">
        <v>0</v>
      </c>
      <c r="AY69" s="299">
        <v>0</v>
      </c>
      <c r="AZ69" s="297"/>
      <c r="BA69" s="299" t="s">
        <v>38</v>
      </c>
      <c r="BB69" s="299"/>
      <c r="BC69" s="299" t="s">
        <v>38</v>
      </c>
      <c r="BD69" s="299"/>
      <c r="BE69" s="298" t="s">
        <v>44</v>
      </c>
      <c r="BF69" s="297" t="s">
        <v>40</v>
      </c>
      <c r="BG69" s="299">
        <v>50</v>
      </c>
      <c r="BH69" s="299" t="s">
        <v>43</v>
      </c>
      <c r="BI69" s="298"/>
      <c r="BJ69" t="s">
        <v>430</v>
      </c>
      <c r="BK69" t="s">
        <v>408</v>
      </c>
    </row>
    <row r="70" spans="1:63" x14ac:dyDescent="0.15">
      <c r="A70" s="148">
        <v>570</v>
      </c>
      <c r="B70" s="328">
        <v>43481</v>
      </c>
      <c r="C70" s="296" t="s">
        <v>10</v>
      </c>
      <c r="D70" s="379" t="s">
        <v>1111</v>
      </c>
      <c r="E70" s="295">
        <v>43466</v>
      </c>
      <c r="F70" s="298" t="s">
        <v>25</v>
      </c>
      <c r="G70" s="297" t="s">
        <v>26</v>
      </c>
      <c r="H70" s="297">
        <v>69</v>
      </c>
      <c r="I70" s="376" t="s">
        <v>1101</v>
      </c>
      <c r="J70" s="331">
        <v>4000</v>
      </c>
      <c r="K70" s="331">
        <v>12000</v>
      </c>
      <c r="L70" s="331">
        <v>12000</v>
      </c>
      <c r="M70" s="331">
        <v>12000</v>
      </c>
      <c r="N70" s="297"/>
      <c r="O70" s="297">
        <v>2.2000000000000002</v>
      </c>
      <c r="P70" s="297">
        <v>2.1</v>
      </c>
      <c r="Q70" s="297">
        <v>0</v>
      </c>
      <c r="R70" s="297">
        <v>0</v>
      </c>
      <c r="S70" s="297">
        <v>1.8</v>
      </c>
      <c r="T70" s="297"/>
      <c r="U70" s="297">
        <v>2.2000000000000002</v>
      </c>
      <c r="V70" s="297">
        <v>2.1</v>
      </c>
      <c r="W70" s="297">
        <v>0</v>
      </c>
      <c r="X70" s="297">
        <v>0</v>
      </c>
      <c r="Y70" s="297">
        <v>1.8</v>
      </c>
      <c r="Z70" s="297"/>
      <c r="AA70" s="297"/>
      <c r="AB70" s="297"/>
      <c r="AC70" s="297"/>
      <c r="AD70" s="297"/>
      <c r="AE70" s="297"/>
      <c r="AF70" s="297"/>
      <c r="AG70" s="299" t="s">
        <v>38</v>
      </c>
      <c r="AH70" s="299"/>
      <c r="AI70" s="299">
        <v>2</v>
      </c>
      <c r="AJ70" s="299">
        <v>4</v>
      </c>
      <c r="AK70" s="388">
        <v>0.33329999999999999</v>
      </c>
      <c r="AL70" s="388">
        <v>0.66659999999999997</v>
      </c>
      <c r="AM70" s="366"/>
      <c r="AN70" s="299">
        <v>0</v>
      </c>
      <c r="AO70" s="299">
        <v>0</v>
      </c>
      <c r="AP70" s="299">
        <v>0</v>
      </c>
      <c r="AQ70" s="299">
        <v>13</v>
      </c>
      <c r="AR70" s="299">
        <v>0</v>
      </c>
      <c r="AS70" s="299">
        <v>0</v>
      </c>
      <c r="AT70" s="299">
        <v>0</v>
      </c>
      <c r="AU70" s="299">
        <v>0</v>
      </c>
      <c r="AV70" s="299">
        <v>0</v>
      </c>
      <c r="AW70" s="299">
        <v>0</v>
      </c>
      <c r="AX70" s="299">
        <v>0</v>
      </c>
      <c r="AY70" s="299">
        <v>0</v>
      </c>
      <c r="AZ70" s="297"/>
      <c r="BA70" s="299" t="s">
        <v>38</v>
      </c>
      <c r="BB70" s="299">
        <v>12</v>
      </c>
      <c r="BC70" s="299" t="s">
        <v>38</v>
      </c>
      <c r="BD70" s="299"/>
      <c r="BE70" s="298"/>
      <c r="BF70" s="298"/>
      <c r="BG70" s="299"/>
      <c r="BH70" s="299" t="s">
        <v>41</v>
      </c>
      <c r="BI70" s="298"/>
      <c r="BJ70" s="366" t="s">
        <v>430</v>
      </c>
      <c r="BK70" s="366" t="s">
        <v>408</v>
      </c>
    </row>
    <row r="71" spans="1:63" x14ac:dyDescent="0.15">
      <c r="A71" s="148">
        <v>1428</v>
      </c>
      <c r="B71" s="328">
        <v>43481</v>
      </c>
      <c r="C71" s="296" t="s">
        <v>10</v>
      </c>
      <c r="D71" s="379" t="s">
        <v>1111</v>
      </c>
      <c r="E71" s="309">
        <v>43466</v>
      </c>
      <c r="F71" s="298" t="s">
        <v>27</v>
      </c>
      <c r="G71" s="379" t="s">
        <v>28</v>
      </c>
      <c r="H71" s="297">
        <v>70</v>
      </c>
      <c r="I71" s="376" t="s">
        <v>1101</v>
      </c>
      <c r="J71" s="331">
        <v>3000</v>
      </c>
      <c r="K71" s="331">
        <v>3000</v>
      </c>
      <c r="L71" s="331">
        <v>3000</v>
      </c>
      <c r="M71" s="331">
        <v>3000</v>
      </c>
      <c r="N71" s="297"/>
      <c r="O71" s="297">
        <v>2.25</v>
      </c>
      <c r="P71" s="297">
        <v>0</v>
      </c>
      <c r="Q71" s="297">
        <v>0</v>
      </c>
      <c r="R71" s="297">
        <v>0</v>
      </c>
      <c r="S71" s="297">
        <v>1.75</v>
      </c>
      <c r="T71" s="297"/>
      <c r="U71" s="297">
        <v>2.25</v>
      </c>
      <c r="V71" s="297">
        <v>0</v>
      </c>
      <c r="W71" s="297">
        <v>0</v>
      </c>
      <c r="X71" s="297">
        <v>0</v>
      </c>
      <c r="Y71" s="297">
        <v>1.75</v>
      </c>
      <c r="Z71" s="297"/>
      <c r="AA71" s="297"/>
      <c r="AB71" s="297"/>
      <c r="AC71" s="297"/>
      <c r="AD71" s="297"/>
      <c r="AE71" s="297"/>
      <c r="AF71" s="297"/>
      <c r="AG71" s="299" t="s">
        <v>38</v>
      </c>
      <c r="AH71" s="299"/>
      <c r="AI71" s="299">
        <v>2</v>
      </c>
      <c r="AJ71" s="299">
        <v>4</v>
      </c>
      <c r="AK71" s="388">
        <v>0.33329999999999999</v>
      </c>
      <c r="AL71" s="388">
        <v>0.66659999999999997</v>
      </c>
      <c r="AM71" s="366"/>
      <c r="AN71" s="299">
        <v>0</v>
      </c>
      <c r="AO71" s="299">
        <v>0</v>
      </c>
      <c r="AP71" s="299">
        <v>10</v>
      </c>
      <c r="AQ71" s="299">
        <v>0</v>
      </c>
      <c r="AR71" s="299">
        <v>0</v>
      </c>
      <c r="AS71" s="335">
        <v>0</v>
      </c>
      <c r="AT71" s="299">
        <v>0</v>
      </c>
      <c r="AU71" s="299">
        <v>0</v>
      </c>
      <c r="AV71" s="299">
        <v>0</v>
      </c>
      <c r="AW71" s="299">
        <v>0</v>
      </c>
      <c r="AX71" s="299">
        <v>0</v>
      </c>
      <c r="AY71" s="299">
        <v>0</v>
      </c>
      <c r="AZ71" s="299"/>
      <c r="BA71" s="299" t="s">
        <v>38</v>
      </c>
      <c r="BB71" s="299"/>
      <c r="BC71" s="299" t="s">
        <v>38</v>
      </c>
      <c r="BD71" s="299"/>
      <c r="BE71" s="298"/>
      <c r="BF71" s="297"/>
      <c r="BG71" s="299"/>
      <c r="BH71" s="299" t="s">
        <v>41</v>
      </c>
      <c r="BI71" s="298"/>
      <c r="BJ71" s="366" t="s">
        <v>1125</v>
      </c>
      <c r="BK71" s="366" t="s">
        <v>408</v>
      </c>
    </row>
    <row r="72" spans="1:63" x14ac:dyDescent="0.15">
      <c r="A72" s="148">
        <v>787</v>
      </c>
      <c r="B72" s="328">
        <v>43481</v>
      </c>
      <c r="C72" s="296" t="s">
        <v>10</v>
      </c>
      <c r="D72" s="379" t="s">
        <v>1111</v>
      </c>
      <c r="E72" s="309">
        <v>43369</v>
      </c>
      <c r="F72" s="298" t="s">
        <v>29</v>
      </c>
      <c r="G72" s="297" t="s">
        <v>30</v>
      </c>
      <c r="H72" s="339">
        <v>71.11</v>
      </c>
      <c r="I72" s="376" t="s">
        <v>1101</v>
      </c>
      <c r="J72" s="297">
        <v>1645</v>
      </c>
      <c r="K72" s="297">
        <v>3000</v>
      </c>
      <c r="L72" s="297">
        <v>3000</v>
      </c>
      <c r="M72" s="297">
        <v>3000</v>
      </c>
      <c r="N72" s="297"/>
      <c r="O72" s="341">
        <v>3.11</v>
      </c>
      <c r="P72" s="332">
        <v>2.62</v>
      </c>
      <c r="Q72" s="297">
        <v>0</v>
      </c>
      <c r="R72" s="297">
        <v>0</v>
      </c>
      <c r="S72" s="341">
        <v>2.19</v>
      </c>
      <c r="T72" s="297"/>
      <c r="U72" s="341">
        <v>3.11</v>
      </c>
      <c r="V72" s="332">
        <v>2.62</v>
      </c>
      <c r="W72" s="297">
        <v>0</v>
      </c>
      <c r="X72" s="297">
        <v>0</v>
      </c>
      <c r="Y72" s="341">
        <v>2.19</v>
      </c>
      <c r="Z72" s="297"/>
      <c r="AA72" s="297"/>
      <c r="AB72" s="297"/>
      <c r="AC72" s="297"/>
      <c r="AD72" s="297"/>
      <c r="AE72" s="297"/>
      <c r="AF72" s="297"/>
      <c r="AG72" s="299" t="s">
        <v>38</v>
      </c>
      <c r="AH72" s="299"/>
      <c r="AI72" s="299">
        <v>2</v>
      </c>
      <c r="AJ72" s="299">
        <v>4</v>
      </c>
      <c r="AK72" s="388">
        <v>0.33329999999999999</v>
      </c>
      <c r="AL72" s="388">
        <v>0.66659999999999997</v>
      </c>
      <c r="AM72" s="366"/>
      <c r="AN72" s="299">
        <v>0</v>
      </c>
      <c r="AO72" s="299">
        <v>0</v>
      </c>
      <c r="AP72" s="299">
        <v>0</v>
      </c>
      <c r="AQ72" s="299">
        <v>26</v>
      </c>
      <c r="AR72" s="299">
        <v>0</v>
      </c>
      <c r="AS72" s="335">
        <v>0</v>
      </c>
      <c r="AT72" s="299">
        <v>0</v>
      </c>
      <c r="AU72" s="299">
        <v>0</v>
      </c>
      <c r="AV72" s="299">
        <v>0</v>
      </c>
      <c r="AW72" s="299">
        <v>0</v>
      </c>
      <c r="AX72" s="299">
        <v>0</v>
      </c>
      <c r="AY72" s="299">
        <v>0</v>
      </c>
      <c r="AZ72" s="297"/>
      <c r="BA72" s="299" t="s">
        <v>38</v>
      </c>
      <c r="BB72" s="299">
        <v>24</v>
      </c>
      <c r="BC72" s="299" t="s">
        <v>38</v>
      </c>
      <c r="BD72" s="299"/>
      <c r="BE72" s="378" t="s">
        <v>46</v>
      </c>
      <c r="BF72" s="297" t="s">
        <v>365</v>
      </c>
      <c r="BG72" s="299">
        <v>50</v>
      </c>
      <c r="BH72" s="299" t="s">
        <v>43</v>
      </c>
      <c r="BI72" s="298"/>
      <c r="BJ72" t="s">
        <v>430</v>
      </c>
      <c r="BK72" s="366" t="s">
        <v>368</v>
      </c>
    </row>
    <row r="73" spans="1:63" x14ac:dyDescent="0.15">
      <c r="A73" s="148">
        <v>1610</v>
      </c>
      <c r="B73" s="328">
        <v>43481</v>
      </c>
      <c r="C73" s="296" t="s">
        <v>10</v>
      </c>
      <c r="D73" s="379" t="s">
        <v>1111</v>
      </c>
      <c r="E73" s="309">
        <v>43221</v>
      </c>
      <c r="F73" s="297" t="s">
        <v>31</v>
      </c>
      <c r="G73" s="297" t="s">
        <v>32</v>
      </c>
      <c r="H73" s="332">
        <v>67.661000000000001</v>
      </c>
      <c r="I73" s="394" t="s">
        <v>1101</v>
      </c>
      <c r="J73" s="297">
        <v>1645</v>
      </c>
      <c r="K73" s="297">
        <v>3000</v>
      </c>
      <c r="L73" s="297">
        <v>3000</v>
      </c>
      <c r="M73" s="297">
        <v>3000</v>
      </c>
      <c r="N73" s="332"/>
      <c r="O73" s="332">
        <v>3.1</v>
      </c>
      <c r="P73" s="332">
        <v>2.6539999999999999</v>
      </c>
      <c r="Q73" s="297">
        <v>0</v>
      </c>
      <c r="R73" s="297">
        <v>0</v>
      </c>
      <c r="S73" s="332">
        <v>2.1120000000000001</v>
      </c>
      <c r="T73" s="332"/>
      <c r="U73" s="332">
        <v>3.1</v>
      </c>
      <c r="V73" s="332">
        <v>2.6539999999999999</v>
      </c>
      <c r="W73" s="297">
        <v>0</v>
      </c>
      <c r="X73" s="297">
        <v>0</v>
      </c>
      <c r="Y73" s="332">
        <v>2.1120000000000001</v>
      </c>
      <c r="Z73" s="332"/>
      <c r="AA73" s="332"/>
      <c r="AB73" s="332"/>
      <c r="AC73" s="332"/>
      <c r="AD73" s="332"/>
      <c r="AE73" s="332"/>
      <c r="AF73" s="332"/>
      <c r="AG73" s="333" t="s">
        <v>38</v>
      </c>
      <c r="AH73" s="333"/>
      <c r="AI73" s="299">
        <v>2</v>
      </c>
      <c r="AJ73" s="299">
        <v>4</v>
      </c>
      <c r="AK73" s="388">
        <v>0.33329999999999999</v>
      </c>
      <c r="AL73" s="388">
        <v>0.66659999999999997</v>
      </c>
      <c r="AM73" s="366"/>
      <c r="AN73" s="299">
        <v>0</v>
      </c>
      <c r="AO73" s="299">
        <v>0</v>
      </c>
      <c r="AP73" s="299">
        <v>0</v>
      </c>
      <c r="AQ73" s="299">
        <v>25</v>
      </c>
      <c r="AR73" s="299">
        <v>0</v>
      </c>
      <c r="AS73" s="335">
        <v>0</v>
      </c>
      <c r="AT73" s="299">
        <v>0</v>
      </c>
      <c r="AU73" s="299">
        <v>0</v>
      </c>
      <c r="AV73" s="299">
        <v>0</v>
      </c>
      <c r="AW73" s="299">
        <v>0</v>
      </c>
      <c r="AX73" s="299">
        <v>0</v>
      </c>
      <c r="AY73" s="299">
        <v>0</v>
      </c>
      <c r="AZ73" s="299"/>
      <c r="BA73" s="299" t="s">
        <v>38</v>
      </c>
      <c r="BB73" s="299">
        <v>12</v>
      </c>
      <c r="BC73" s="299" t="s">
        <v>38</v>
      </c>
      <c r="BD73" s="299"/>
      <c r="BE73" s="298"/>
      <c r="BF73" s="297"/>
      <c r="BG73" s="299"/>
      <c r="BH73" s="299" t="s">
        <v>43</v>
      </c>
      <c r="BI73" s="298"/>
      <c r="BJ73" t="s">
        <v>430</v>
      </c>
      <c r="BK73" s="366" t="s">
        <v>368</v>
      </c>
    </row>
    <row r="74" spans="1:63" x14ac:dyDescent="0.15">
      <c r="A74" s="148">
        <v>1911</v>
      </c>
      <c r="B74" s="328">
        <v>43480</v>
      </c>
      <c r="C74" s="296" t="s">
        <v>10</v>
      </c>
      <c r="D74" s="379" t="s">
        <v>1111</v>
      </c>
      <c r="E74" s="295">
        <v>43479</v>
      </c>
      <c r="F74" s="298" t="s">
        <v>987</v>
      </c>
      <c r="G74" s="297" t="s">
        <v>1127</v>
      </c>
      <c r="H74" s="297">
        <v>54.536000000000001</v>
      </c>
      <c r="I74" s="376" t="s">
        <v>1101</v>
      </c>
      <c r="J74" s="297">
        <v>1645</v>
      </c>
      <c r="K74" s="297">
        <v>3000</v>
      </c>
      <c r="L74" s="297">
        <v>3000</v>
      </c>
      <c r="M74" s="297">
        <v>3000</v>
      </c>
      <c r="N74" s="297"/>
      <c r="O74" s="297">
        <v>2.5499999999999998</v>
      </c>
      <c r="P74" s="297">
        <v>2.1760000000000002</v>
      </c>
      <c r="Q74" s="297">
        <v>0</v>
      </c>
      <c r="R74" s="297">
        <v>0</v>
      </c>
      <c r="S74" s="297">
        <v>1.87</v>
      </c>
      <c r="T74" s="297"/>
      <c r="U74" s="297">
        <v>2.5499999999999998</v>
      </c>
      <c r="V74" s="297">
        <v>2.1760000000000002</v>
      </c>
      <c r="W74" s="297">
        <v>0</v>
      </c>
      <c r="X74" s="297">
        <v>0</v>
      </c>
      <c r="Y74" s="297">
        <v>1.87</v>
      </c>
      <c r="Z74" s="297"/>
      <c r="AA74" s="297"/>
      <c r="AB74" s="297"/>
      <c r="AC74" s="297"/>
      <c r="AD74" s="297"/>
      <c r="AE74" s="297"/>
      <c r="AF74" s="297"/>
      <c r="AG74" s="299" t="s">
        <v>38</v>
      </c>
      <c r="AH74" s="299"/>
      <c r="AI74" s="299">
        <v>2</v>
      </c>
      <c r="AJ74" s="299">
        <v>4</v>
      </c>
      <c r="AK74" s="388">
        <v>0.33329999999999999</v>
      </c>
      <c r="AL74" s="388">
        <v>0.66659999999999997</v>
      </c>
      <c r="AM74" s="366"/>
      <c r="AN74" s="299">
        <v>0</v>
      </c>
      <c r="AO74" s="299">
        <v>0</v>
      </c>
      <c r="AP74" s="299">
        <v>0</v>
      </c>
      <c r="AQ74" s="299">
        <v>0</v>
      </c>
      <c r="AR74" s="299">
        <v>0</v>
      </c>
      <c r="AS74" s="299">
        <v>0</v>
      </c>
      <c r="AT74" s="299">
        <v>0</v>
      </c>
      <c r="AU74" s="299">
        <v>0</v>
      </c>
      <c r="AV74" s="299">
        <v>0</v>
      </c>
      <c r="AW74" s="299">
        <v>0</v>
      </c>
      <c r="AX74" s="299">
        <v>0</v>
      </c>
      <c r="AY74" s="299">
        <v>0</v>
      </c>
      <c r="AZ74" s="299"/>
      <c r="BA74" s="299" t="s">
        <v>38</v>
      </c>
      <c r="BB74" s="299"/>
      <c r="BC74" s="299" t="s">
        <v>38</v>
      </c>
      <c r="BD74" s="299"/>
      <c r="BE74" s="298"/>
      <c r="BF74" s="297"/>
      <c r="BG74" s="299"/>
      <c r="BH74" s="299" t="s">
        <v>41</v>
      </c>
      <c r="BI74" s="298" t="s">
        <v>370</v>
      </c>
      <c r="BJ74" t="s">
        <v>430</v>
      </c>
      <c r="BK74" t="s">
        <v>368</v>
      </c>
    </row>
    <row r="75" spans="1:63" x14ac:dyDescent="0.15">
      <c r="A75" s="148">
        <v>1685</v>
      </c>
      <c r="B75" s="328">
        <v>43480</v>
      </c>
      <c r="C75" s="296" t="s">
        <v>295</v>
      </c>
      <c r="D75" s="379" t="s">
        <v>1111</v>
      </c>
      <c r="E75" s="328">
        <v>43419</v>
      </c>
      <c r="F75" s="378" t="s">
        <v>1106</v>
      </c>
      <c r="G75" s="297" t="s">
        <v>2</v>
      </c>
      <c r="H75" s="297">
        <v>95</v>
      </c>
      <c r="I75" s="376" t="s">
        <v>296</v>
      </c>
      <c r="J75" s="297">
        <v>3000</v>
      </c>
      <c r="K75" s="297">
        <v>3000</v>
      </c>
      <c r="L75" s="297">
        <v>3000</v>
      </c>
      <c r="M75" s="297">
        <v>3000</v>
      </c>
      <c r="N75" s="297"/>
      <c r="O75" s="297">
        <v>3.4</v>
      </c>
      <c r="P75" s="297">
        <v>0</v>
      </c>
      <c r="Q75" s="297">
        <v>0</v>
      </c>
      <c r="R75" s="297">
        <v>0</v>
      </c>
      <c r="S75" s="297">
        <v>2.2000000000000002</v>
      </c>
      <c r="T75" s="297"/>
      <c r="U75" s="297">
        <v>3.4</v>
      </c>
      <c r="V75" s="297">
        <v>0</v>
      </c>
      <c r="W75" s="297">
        <v>0</v>
      </c>
      <c r="X75" s="297">
        <v>0</v>
      </c>
      <c r="Y75" s="297">
        <v>2.2000000000000002</v>
      </c>
      <c r="Z75" s="297"/>
      <c r="AA75" s="297"/>
      <c r="AB75" s="297"/>
      <c r="AC75" s="297"/>
      <c r="AD75" s="297"/>
      <c r="AE75" s="297"/>
      <c r="AF75" s="297"/>
      <c r="AG75" s="299" t="s">
        <v>38</v>
      </c>
      <c r="AH75" s="299"/>
      <c r="AI75" s="299">
        <v>2</v>
      </c>
      <c r="AJ75" s="299">
        <v>4</v>
      </c>
      <c r="AK75" s="388">
        <v>0.33329999999999999</v>
      </c>
      <c r="AL75" s="388">
        <v>0.66659999999999997</v>
      </c>
      <c r="AM75" s="366"/>
      <c r="AN75" s="299">
        <v>0</v>
      </c>
      <c r="AO75" s="299">
        <v>0</v>
      </c>
      <c r="AP75" s="299">
        <v>32</v>
      </c>
      <c r="AQ75" s="299">
        <v>0</v>
      </c>
      <c r="AR75" s="299">
        <v>0</v>
      </c>
      <c r="AS75" s="299">
        <v>0</v>
      </c>
      <c r="AT75" s="299">
        <v>0</v>
      </c>
      <c r="AU75" s="299">
        <v>0</v>
      </c>
      <c r="AV75" s="299">
        <v>0</v>
      </c>
      <c r="AW75" s="299">
        <v>0</v>
      </c>
      <c r="AX75" s="299">
        <v>0</v>
      </c>
      <c r="AY75" s="299">
        <v>0</v>
      </c>
      <c r="AZ75" s="299"/>
      <c r="BA75" s="299" t="s">
        <v>38</v>
      </c>
      <c r="BB75" s="299"/>
      <c r="BC75" s="299" t="s">
        <v>38</v>
      </c>
      <c r="BD75" s="299"/>
      <c r="BE75" s="297"/>
      <c r="BF75" s="299"/>
      <c r="BG75" s="299"/>
      <c r="BH75" s="299" t="s">
        <v>41</v>
      </c>
      <c r="BI75" s="297"/>
      <c r="BJ75" t="s">
        <v>430</v>
      </c>
      <c r="BK75" s="366" t="s">
        <v>368</v>
      </c>
    </row>
    <row r="76" spans="1:63" x14ac:dyDescent="0.15">
      <c r="A76" s="148">
        <v>1511</v>
      </c>
      <c r="B76" s="328">
        <v>43481</v>
      </c>
      <c r="C76" s="296" t="s">
        <v>10</v>
      </c>
      <c r="D76" s="379" t="s">
        <v>1111</v>
      </c>
      <c r="E76" s="309">
        <v>43229</v>
      </c>
      <c r="F76" s="297" t="s">
        <v>34</v>
      </c>
      <c r="G76" s="379" t="s">
        <v>1107</v>
      </c>
      <c r="H76" s="332">
        <v>84.65</v>
      </c>
      <c r="I76" s="394"/>
      <c r="J76" s="297"/>
      <c r="K76" s="297"/>
      <c r="L76" s="297"/>
      <c r="M76" s="297"/>
      <c r="N76" s="297"/>
      <c r="O76" s="332">
        <v>1.73</v>
      </c>
      <c r="P76" s="332">
        <v>0</v>
      </c>
      <c r="Q76" s="332">
        <v>0</v>
      </c>
      <c r="R76" s="332">
        <v>0</v>
      </c>
      <c r="S76" s="332">
        <v>0</v>
      </c>
      <c r="T76" s="332"/>
      <c r="U76" s="332">
        <v>1.73</v>
      </c>
      <c r="V76" s="332">
        <v>0</v>
      </c>
      <c r="W76" s="332">
        <v>0</v>
      </c>
      <c r="X76" s="332">
        <v>0</v>
      </c>
      <c r="Y76" s="332">
        <v>0</v>
      </c>
      <c r="Z76" s="332"/>
      <c r="AA76" s="332"/>
      <c r="AB76" s="332"/>
      <c r="AC76" s="332"/>
      <c r="AD76" s="332"/>
      <c r="AE76" s="332"/>
      <c r="AF76" s="332"/>
      <c r="AG76" s="333" t="s">
        <v>38</v>
      </c>
      <c r="AH76" s="333"/>
      <c r="AI76" s="299">
        <v>2</v>
      </c>
      <c r="AJ76" s="299">
        <v>4</v>
      </c>
      <c r="AK76" s="388">
        <v>0.33329999999999999</v>
      </c>
      <c r="AL76" s="388">
        <v>0.66659999999999997</v>
      </c>
      <c r="AM76" s="366"/>
      <c r="AN76" s="299">
        <v>0</v>
      </c>
      <c r="AO76" s="299">
        <v>0</v>
      </c>
      <c r="AP76" s="299">
        <v>5</v>
      </c>
      <c r="AQ76" s="299">
        <v>0</v>
      </c>
      <c r="AR76" s="299">
        <v>0</v>
      </c>
      <c r="AS76" s="299">
        <v>0</v>
      </c>
      <c r="AT76" s="299">
        <v>0</v>
      </c>
      <c r="AU76" s="299">
        <v>0</v>
      </c>
      <c r="AV76" s="299">
        <v>0</v>
      </c>
      <c r="AW76" s="299">
        <v>0</v>
      </c>
      <c r="AX76" s="299">
        <v>0</v>
      </c>
      <c r="AY76" s="299">
        <v>0</v>
      </c>
      <c r="AZ76" s="299"/>
      <c r="BA76" s="299" t="s">
        <v>38</v>
      </c>
      <c r="BB76" s="299"/>
      <c r="BC76" s="299" t="s">
        <v>38</v>
      </c>
      <c r="BD76" s="299"/>
      <c r="BE76" s="298"/>
      <c r="BF76" s="297"/>
      <c r="BG76" s="299"/>
      <c r="BH76" s="299" t="s">
        <v>43</v>
      </c>
      <c r="BI76" s="298" t="s">
        <v>47</v>
      </c>
      <c r="BJ76" t="s">
        <v>52</v>
      </c>
      <c r="BK76" s="366" t="s">
        <v>368</v>
      </c>
    </row>
    <row r="77" spans="1:63" x14ac:dyDescent="0.15">
      <c r="A77" s="148">
        <v>81</v>
      </c>
      <c r="B77" s="328">
        <v>43480</v>
      </c>
      <c r="C77" s="296" t="s">
        <v>10</v>
      </c>
      <c r="D77" s="379" t="s">
        <v>1113</v>
      </c>
      <c r="E77" s="295">
        <v>43479</v>
      </c>
      <c r="F77" s="298" t="s">
        <v>12</v>
      </c>
      <c r="G77" s="297" t="s">
        <v>13</v>
      </c>
      <c r="H77" s="297">
        <v>85.5</v>
      </c>
      <c r="I77" s="376" t="s">
        <v>1101</v>
      </c>
      <c r="J77" s="297">
        <v>6000</v>
      </c>
      <c r="K77" s="297">
        <v>12000</v>
      </c>
      <c r="L77" s="297">
        <v>84000</v>
      </c>
      <c r="M77" s="297">
        <v>84000</v>
      </c>
      <c r="N77" s="297"/>
      <c r="O77" s="297">
        <v>2.21</v>
      </c>
      <c r="P77" s="297">
        <v>2.1800000000000002</v>
      </c>
      <c r="Q77" s="297">
        <v>1.81</v>
      </c>
      <c r="R77" s="297">
        <v>0</v>
      </c>
      <c r="S77" s="297">
        <v>1.62</v>
      </c>
      <c r="T77" s="297"/>
      <c r="U77" s="297">
        <v>2.0099999999999998</v>
      </c>
      <c r="V77" s="297">
        <v>1.66</v>
      </c>
      <c r="W77" s="297">
        <v>1.54</v>
      </c>
      <c r="X77" s="297">
        <v>0</v>
      </c>
      <c r="Y77" s="297">
        <v>1.52</v>
      </c>
      <c r="Z77" s="297"/>
      <c r="AA77" s="297"/>
      <c r="AB77" s="297"/>
      <c r="AC77" s="297"/>
      <c r="AD77" s="297"/>
      <c r="AE77" s="297"/>
      <c r="AF77" s="297"/>
      <c r="AG77" s="299" t="s">
        <v>1116</v>
      </c>
      <c r="AH77" s="299" t="s">
        <v>1117</v>
      </c>
      <c r="AI77" s="299">
        <v>2</v>
      </c>
      <c r="AJ77" s="299">
        <v>4</v>
      </c>
      <c r="AK77" s="388">
        <v>0.33329999999999999</v>
      </c>
      <c r="AL77" s="388">
        <v>0.66659999999999997</v>
      </c>
      <c r="AM77" s="366" t="s">
        <v>1124</v>
      </c>
      <c r="AN77" s="299">
        <v>0</v>
      </c>
      <c r="AO77" s="299">
        <v>0</v>
      </c>
      <c r="AP77" s="299">
        <v>0</v>
      </c>
      <c r="AQ77" s="299">
        <v>24</v>
      </c>
      <c r="AR77" s="299">
        <v>0</v>
      </c>
      <c r="AS77" s="299">
        <v>0</v>
      </c>
      <c r="AT77" s="299">
        <v>0</v>
      </c>
      <c r="AU77" s="299">
        <v>0</v>
      </c>
      <c r="AV77" s="299">
        <v>0</v>
      </c>
      <c r="AW77" s="299">
        <v>0</v>
      </c>
      <c r="AX77" s="299">
        <v>0</v>
      </c>
      <c r="AY77" s="299">
        <v>0</v>
      </c>
      <c r="AZ77" s="299"/>
      <c r="BA77" s="299" t="s">
        <v>38</v>
      </c>
      <c r="BB77" s="299">
        <v>12</v>
      </c>
      <c r="BC77" s="299" t="s">
        <v>38</v>
      </c>
      <c r="BD77" s="299"/>
      <c r="BE77" s="298"/>
      <c r="BF77" s="297"/>
      <c r="BG77" s="299"/>
      <c r="BH77" s="299" t="s">
        <v>41</v>
      </c>
      <c r="BI77" s="298"/>
      <c r="BJ77" s="366" t="s">
        <v>430</v>
      </c>
      <c r="BK77" t="s">
        <v>408</v>
      </c>
    </row>
    <row r="78" spans="1:63" x14ac:dyDescent="0.15">
      <c r="A78" s="148">
        <v>1865</v>
      </c>
      <c r="B78" s="328">
        <v>43481</v>
      </c>
      <c r="C78" s="296" t="s">
        <v>10</v>
      </c>
      <c r="D78" s="379" t="s">
        <v>1113</v>
      </c>
      <c r="E78" s="328">
        <v>43477</v>
      </c>
      <c r="F78" s="298" t="s">
        <v>14</v>
      </c>
      <c r="G78" s="379" t="s">
        <v>1102</v>
      </c>
      <c r="H78" s="297">
        <v>85</v>
      </c>
      <c r="I78" s="376" t="s">
        <v>1101</v>
      </c>
      <c r="J78" s="331">
        <v>6000</v>
      </c>
      <c r="K78" s="331">
        <v>6000</v>
      </c>
      <c r="L78" s="331">
        <v>6000</v>
      </c>
      <c r="M78" s="331">
        <v>6000</v>
      </c>
      <c r="N78" s="297"/>
      <c r="O78" s="297">
        <v>2.2999999999999998</v>
      </c>
      <c r="P78" s="297">
        <v>0</v>
      </c>
      <c r="Q78" s="297">
        <v>0</v>
      </c>
      <c r="R78" s="297">
        <v>0</v>
      </c>
      <c r="S78" s="297">
        <v>2.1</v>
      </c>
      <c r="T78" s="297"/>
      <c r="U78" s="297">
        <v>2</v>
      </c>
      <c r="V78" s="297">
        <v>0</v>
      </c>
      <c r="W78" s="297">
        <v>0</v>
      </c>
      <c r="X78" s="297">
        <v>0</v>
      </c>
      <c r="Y78" s="297">
        <v>1.7</v>
      </c>
      <c r="Z78" s="297"/>
      <c r="AA78" s="297"/>
      <c r="AB78" s="297"/>
      <c r="AC78" s="297"/>
      <c r="AD78" s="297"/>
      <c r="AE78" s="297"/>
      <c r="AF78" s="297"/>
      <c r="AG78" s="299" t="s">
        <v>1116</v>
      </c>
      <c r="AH78" s="299" t="s">
        <v>1117</v>
      </c>
      <c r="AI78" s="299">
        <v>2</v>
      </c>
      <c r="AJ78" s="299">
        <v>4</v>
      </c>
      <c r="AK78" s="388">
        <v>0.33329999999999999</v>
      </c>
      <c r="AL78" s="388">
        <v>0.66659999999999997</v>
      </c>
      <c r="AM78" s="366" t="s">
        <v>1124</v>
      </c>
      <c r="AN78" s="299">
        <v>0</v>
      </c>
      <c r="AO78" s="299">
        <v>20</v>
      </c>
      <c r="AP78" s="299">
        <v>0</v>
      </c>
      <c r="AQ78" s="299">
        <v>0</v>
      </c>
      <c r="AR78" s="299">
        <v>0</v>
      </c>
      <c r="AS78" s="299">
        <v>0</v>
      </c>
      <c r="AT78" s="299">
        <v>0</v>
      </c>
      <c r="AU78" s="299">
        <v>0</v>
      </c>
      <c r="AV78" s="299">
        <v>0</v>
      </c>
      <c r="AW78" s="299">
        <v>0</v>
      </c>
      <c r="AX78" s="299">
        <v>0</v>
      </c>
      <c r="AY78" s="299">
        <v>0</v>
      </c>
      <c r="AZ78" s="297"/>
      <c r="BA78" s="299" t="s">
        <v>38</v>
      </c>
      <c r="BB78" s="299">
        <v>12</v>
      </c>
      <c r="BC78" s="299" t="s">
        <v>38</v>
      </c>
      <c r="BD78" s="299"/>
      <c r="BE78" s="298"/>
      <c r="BF78" s="297"/>
      <c r="BG78" s="299"/>
      <c r="BH78" s="299" t="s">
        <v>411</v>
      </c>
      <c r="BI78" s="298"/>
      <c r="BJ78" s="366" t="s">
        <v>1119</v>
      </c>
      <c r="BK78" s="366" t="s">
        <v>408</v>
      </c>
    </row>
    <row r="79" spans="1:63" x14ac:dyDescent="0.15">
      <c r="A79" s="148">
        <v>1883</v>
      </c>
      <c r="B79" s="328">
        <v>43480</v>
      </c>
      <c r="C79" s="296" t="s">
        <v>10</v>
      </c>
      <c r="D79" s="379" t="s">
        <v>1113</v>
      </c>
      <c r="E79" s="295">
        <v>43437</v>
      </c>
      <c r="F79" s="298" t="s">
        <v>16</v>
      </c>
      <c r="G79" s="379" t="s">
        <v>1103</v>
      </c>
      <c r="H79" s="297">
        <v>96.8</v>
      </c>
      <c r="I79" s="376" t="s">
        <v>1101</v>
      </c>
      <c r="J79" s="297">
        <v>6000</v>
      </c>
      <c r="K79" s="297">
        <v>12000</v>
      </c>
      <c r="L79" s="297">
        <v>12000</v>
      </c>
      <c r="M79" s="297">
        <v>12000</v>
      </c>
      <c r="N79" s="297"/>
      <c r="O79" s="297">
        <v>3.05</v>
      </c>
      <c r="P79" s="297">
        <v>2.9</v>
      </c>
      <c r="Q79" s="297">
        <v>0</v>
      </c>
      <c r="R79" s="297">
        <v>0</v>
      </c>
      <c r="S79" s="297">
        <v>2.4500000000000002</v>
      </c>
      <c r="T79" s="297"/>
      <c r="U79" s="297">
        <v>2.5</v>
      </c>
      <c r="V79" s="297">
        <v>2.4500000000000002</v>
      </c>
      <c r="W79" s="297">
        <v>0</v>
      </c>
      <c r="X79" s="297">
        <v>0</v>
      </c>
      <c r="Y79" s="297">
        <v>2.35</v>
      </c>
      <c r="Z79" s="297"/>
      <c r="AA79" s="297"/>
      <c r="AB79" s="297"/>
      <c r="AC79" s="297"/>
      <c r="AD79" s="297"/>
      <c r="AE79" s="297"/>
      <c r="AF79" s="297"/>
      <c r="AG79" s="299" t="s">
        <v>1116</v>
      </c>
      <c r="AH79" s="299" t="s">
        <v>1117</v>
      </c>
      <c r="AI79" s="299">
        <v>2</v>
      </c>
      <c r="AJ79" s="299">
        <v>4</v>
      </c>
      <c r="AK79" s="388">
        <v>0.33329999999999999</v>
      </c>
      <c r="AL79" s="388">
        <v>0.66659999999999997</v>
      </c>
      <c r="AM79" s="366" t="s">
        <v>1124</v>
      </c>
      <c r="AN79" s="299">
        <v>0</v>
      </c>
      <c r="AO79" s="299">
        <v>0</v>
      </c>
      <c r="AP79" s="299">
        <v>26</v>
      </c>
      <c r="AQ79" s="299">
        <v>0</v>
      </c>
      <c r="AR79" s="299">
        <v>0</v>
      </c>
      <c r="AS79" s="299">
        <v>0</v>
      </c>
      <c r="AT79" s="299">
        <v>0</v>
      </c>
      <c r="AU79" s="299">
        <v>0</v>
      </c>
      <c r="AV79" s="299">
        <v>0</v>
      </c>
      <c r="AW79" s="299">
        <v>0</v>
      </c>
      <c r="AX79" s="299">
        <v>0</v>
      </c>
      <c r="AY79" s="299">
        <v>0</v>
      </c>
      <c r="AZ79" s="297"/>
      <c r="BA79" s="299" t="s">
        <v>38</v>
      </c>
      <c r="BB79" s="299"/>
      <c r="BC79" s="299" t="s">
        <v>38</v>
      </c>
      <c r="BD79" s="299"/>
      <c r="BE79" s="298"/>
      <c r="BF79" s="297"/>
      <c r="BG79" s="299"/>
      <c r="BH79" s="299" t="s">
        <v>41</v>
      </c>
      <c r="BI79" s="298" t="s">
        <v>42</v>
      </c>
      <c r="BJ79" s="366" t="s">
        <v>430</v>
      </c>
      <c r="BK79" t="s">
        <v>368</v>
      </c>
    </row>
    <row r="80" spans="1:63" x14ac:dyDescent="0.15">
      <c r="A80" s="148">
        <v>1140</v>
      </c>
      <c r="B80" s="328">
        <v>43481</v>
      </c>
      <c r="C80" s="296" t="s">
        <v>10</v>
      </c>
      <c r="D80" s="379" t="s">
        <v>1113</v>
      </c>
      <c r="E80" s="295">
        <v>43466</v>
      </c>
      <c r="F80" s="298" t="s">
        <v>18</v>
      </c>
      <c r="G80" s="297" t="s">
        <v>418</v>
      </c>
      <c r="H80" s="297">
        <v>85</v>
      </c>
      <c r="I80" s="376" t="s">
        <v>1101</v>
      </c>
      <c r="J80" s="297">
        <v>6000</v>
      </c>
      <c r="K80" s="297">
        <v>12000</v>
      </c>
      <c r="L80" s="297">
        <v>84000</v>
      </c>
      <c r="M80" s="297">
        <v>84000</v>
      </c>
      <c r="N80" s="297"/>
      <c r="O80" s="297">
        <v>2.4</v>
      </c>
      <c r="P80" s="297">
        <v>2.25</v>
      </c>
      <c r="Q80" s="297">
        <v>2</v>
      </c>
      <c r="R80" s="297">
        <v>0</v>
      </c>
      <c r="S80" s="297">
        <v>1.8</v>
      </c>
      <c r="T80" s="297"/>
      <c r="U80" s="297">
        <v>2.09</v>
      </c>
      <c r="V80" s="297">
        <v>1.94</v>
      </c>
      <c r="W80" s="297">
        <v>1.69</v>
      </c>
      <c r="X80" s="297">
        <v>0</v>
      </c>
      <c r="Y80" s="297">
        <v>1.58</v>
      </c>
      <c r="Z80" s="297"/>
      <c r="AA80" s="297"/>
      <c r="AB80" s="297"/>
      <c r="AC80" s="297"/>
      <c r="AD80" s="297"/>
      <c r="AE80" s="297"/>
      <c r="AF80" s="297"/>
      <c r="AG80" s="299" t="s">
        <v>1116</v>
      </c>
      <c r="AH80" s="299" t="s">
        <v>1117</v>
      </c>
      <c r="AI80" s="299">
        <v>3</v>
      </c>
      <c r="AJ80" s="299">
        <v>3</v>
      </c>
      <c r="AK80" s="388">
        <v>0.5</v>
      </c>
      <c r="AL80" s="388">
        <v>0.5</v>
      </c>
      <c r="AM80" s="366" t="s">
        <v>1124</v>
      </c>
      <c r="AN80" s="299">
        <v>0</v>
      </c>
      <c r="AO80" s="299">
        <v>0</v>
      </c>
      <c r="AP80" s="299">
        <v>0</v>
      </c>
      <c r="AQ80" s="299">
        <v>16</v>
      </c>
      <c r="AR80" s="299">
        <v>0</v>
      </c>
      <c r="AS80" s="299">
        <v>0</v>
      </c>
      <c r="AT80" s="299">
        <v>0</v>
      </c>
      <c r="AU80" s="299">
        <v>0</v>
      </c>
      <c r="AV80" s="299">
        <v>0</v>
      </c>
      <c r="AW80" s="299">
        <v>0</v>
      </c>
      <c r="AX80" s="299">
        <v>0</v>
      </c>
      <c r="AY80" s="299">
        <v>0</v>
      </c>
      <c r="AZ80" s="299"/>
      <c r="BA80" s="299" t="s">
        <v>38</v>
      </c>
      <c r="BB80" s="299"/>
      <c r="BC80" s="299" t="s">
        <v>38</v>
      </c>
      <c r="BD80" s="299"/>
      <c r="BE80" s="298"/>
      <c r="BF80" s="297"/>
      <c r="BG80" s="299"/>
      <c r="BH80" s="299" t="s">
        <v>41</v>
      </c>
      <c r="BI80" s="298" t="s">
        <v>370</v>
      </c>
      <c r="BJ80" s="366" t="s">
        <v>430</v>
      </c>
      <c r="BK80" s="366" t="s">
        <v>408</v>
      </c>
    </row>
    <row r="81" spans="1:63" x14ac:dyDescent="0.15">
      <c r="A81" s="148">
        <v>749</v>
      </c>
      <c r="B81" s="328">
        <v>43481</v>
      </c>
      <c r="C81" s="296" t="s">
        <v>10</v>
      </c>
      <c r="D81" s="379" t="s">
        <v>1113</v>
      </c>
      <c r="E81" s="295">
        <v>43467</v>
      </c>
      <c r="F81" s="298" t="s">
        <v>21</v>
      </c>
      <c r="G81" s="297" t="s">
        <v>1104</v>
      </c>
      <c r="H81" s="297">
        <v>94.7</v>
      </c>
      <c r="I81" s="376" t="s">
        <v>1101</v>
      </c>
      <c r="J81" s="297">
        <v>12000</v>
      </c>
      <c r="K81" s="297">
        <v>12000</v>
      </c>
      <c r="L81" s="297">
        <v>12000</v>
      </c>
      <c r="M81" s="297">
        <v>12000</v>
      </c>
      <c r="N81" s="297"/>
      <c r="O81" s="297">
        <v>2.4700000000000002</v>
      </c>
      <c r="P81" s="297">
        <v>0</v>
      </c>
      <c r="Q81" s="297">
        <v>0</v>
      </c>
      <c r="R81" s="297">
        <v>0</v>
      </c>
      <c r="S81" s="297">
        <v>1.87</v>
      </c>
      <c r="T81" s="297"/>
      <c r="U81" s="297">
        <v>1.86</v>
      </c>
      <c r="V81" s="297">
        <v>0</v>
      </c>
      <c r="W81" s="297">
        <v>0</v>
      </c>
      <c r="X81" s="297">
        <v>0</v>
      </c>
      <c r="Y81" s="297">
        <v>1.86</v>
      </c>
      <c r="Z81" s="297"/>
      <c r="AA81" s="297"/>
      <c r="AB81" s="297"/>
      <c r="AC81" s="297"/>
      <c r="AD81" s="297"/>
      <c r="AE81" s="297"/>
      <c r="AF81" s="297"/>
      <c r="AG81" s="299" t="s">
        <v>1116</v>
      </c>
      <c r="AH81" s="299" t="s">
        <v>1117</v>
      </c>
      <c r="AI81" s="299">
        <v>2</v>
      </c>
      <c r="AJ81" s="299">
        <v>4</v>
      </c>
      <c r="AK81" s="388">
        <v>0.33329999999999999</v>
      </c>
      <c r="AL81" s="388">
        <v>0.66659999999999997</v>
      </c>
      <c r="AM81" s="366" t="s">
        <v>1124</v>
      </c>
      <c r="AN81" s="299">
        <v>0</v>
      </c>
      <c r="AO81" s="299">
        <v>22</v>
      </c>
      <c r="AP81" s="299">
        <v>0</v>
      </c>
      <c r="AQ81" s="299">
        <v>0</v>
      </c>
      <c r="AR81" s="299">
        <v>0</v>
      </c>
      <c r="AS81" s="299">
        <v>0</v>
      </c>
      <c r="AT81" s="299">
        <v>0</v>
      </c>
      <c r="AU81" s="299">
        <v>0</v>
      </c>
      <c r="AV81" s="299">
        <v>0</v>
      </c>
      <c r="AW81" s="299">
        <v>0</v>
      </c>
      <c r="AX81" s="299">
        <v>0</v>
      </c>
      <c r="AY81" s="299">
        <v>0</v>
      </c>
      <c r="AZ81" s="297"/>
      <c r="BA81" s="299" t="s">
        <v>38</v>
      </c>
      <c r="BB81" s="299">
        <v>12</v>
      </c>
      <c r="BC81" s="299" t="s">
        <v>38</v>
      </c>
      <c r="BD81" s="299"/>
      <c r="BE81" s="298" t="s">
        <v>218</v>
      </c>
      <c r="BF81" s="297" t="s">
        <v>40</v>
      </c>
      <c r="BG81" s="299">
        <v>50</v>
      </c>
      <c r="BH81" s="299" t="s">
        <v>41</v>
      </c>
      <c r="BI81" s="298"/>
      <c r="BJ81" s="366" t="s">
        <v>430</v>
      </c>
      <c r="BK81" s="366" t="s">
        <v>408</v>
      </c>
    </row>
    <row r="82" spans="1:63" x14ac:dyDescent="0.15">
      <c r="A82" s="148">
        <v>1941</v>
      </c>
      <c r="B82" s="328">
        <v>43481</v>
      </c>
      <c r="C82" s="296" t="s">
        <v>10</v>
      </c>
      <c r="D82" s="379" t="s">
        <v>1113</v>
      </c>
      <c r="E82" s="295">
        <v>43466</v>
      </c>
      <c r="F82" s="298" t="s">
        <v>22</v>
      </c>
      <c r="G82" s="297" t="s">
        <v>1105</v>
      </c>
      <c r="H82" s="5">
        <v>70</v>
      </c>
      <c r="I82" s="376" t="s">
        <v>1101</v>
      </c>
      <c r="J82" s="297">
        <v>6000</v>
      </c>
      <c r="K82" s="297">
        <v>12000</v>
      </c>
      <c r="L82" s="297">
        <v>84000</v>
      </c>
      <c r="M82" s="297">
        <v>84000</v>
      </c>
      <c r="N82" s="297"/>
      <c r="O82" s="297">
        <v>1.9</v>
      </c>
      <c r="P82" s="297">
        <v>1.8</v>
      </c>
      <c r="Q82" s="297">
        <v>1.6</v>
      </c>
      <c r="R82" s="297">
        <v>0</v>
      </c>
      <c r="S82" s="297">
        <v>1.5</v>
      </c>
      <c r="T82" s="297"/>
      <c r="U82" s="297">
        <v>1.7</v>
      </c>
      <c r="V82" s="297">
        <v>1.6</v>
      </c>
      <c r="W82" s="297">
        <v>1.5</v>
      </c>
      <c r="X82" s="297">
        <v>0</v>
      </c>
      <c r="Y82" s="297">
        <v>1.4</v>
      </c>
      <c r="Z82" s="297"/>
      <c r="AA82" s="297"/>
      <c r="AB82" s="297"/>
      <c r="AC82" s="297"/>
      <c r="AD82" s="297"/>
      <c r="AE82" s="297"/>
      <c r="AF82" s="297"/>
      <c r="AG82" s="299" t="s">
        <v>1116</v>
      </c>
      <c r="AH82" s="299" t="s">
        <v>1117</v>
      </c>
      <c r="AI82" s="299">
        <v>2</v>
      </c>
      <c r="AJ82" s="299">
        <v>4</v>
      </c>
      <c r="AK82" s="388">
        <v>0.33329999999999999</v>
      </c>
      <c r="AL82" s="388">
        <v>0.66659999999999997</v>
      </c>
      <c r="AM82" s="366" t="s">
        <v>1124</v>
      </c>
      <c r="AN82" s="299">
        <v>0</v>
      </c>
      <c r="AO82" s="299">
        <v>0</v>
      </c>
      <c r="AP82" s="299">
        <v>3</v>
      </c>
      <c r="AQ82" s="335">
        <v>0</v>
      </c>
      <c r="AR82" s="299">
        <v>0</v>
      </c>
      <c r="AS82" s="299">
        <v>0</v>
      </c>
      <c r="AT82" s="299">
        <v>0</v>
      </c>
      <c r="AU82" s="299">
        <v>0</v>
      </c>
      <c r="AV82" s="299">
        <v>0</v>
      </c>
      <c r="AW82" s="299">
        <v>0</v>
      </c>
      <c r="AX82" s="299">
        <v>0</v>
      </c>
      <c r="AY82" s="335">
        <v>0</v>
      </c>
      <c r="AZ82" s="297"/>
      <c r="BA82" s="299" t="s">
        <v>38</v>
      </c>
      <c r="BB82" s="335"/>
      <c r="BC82" s="299" t="s">
        <v>38</v>
      </c>
      <c r="BD82" s="299"/>
      <c r="BE82" s="298" t="s">
        <v>1120</v>
      </c>
      <c r="BF82" s="297" t="s">
        <v>40</v>
      </c>
      <c r="BG82" s="299">
        <v>50</v>
      </c>
      <c r="BH82" s="335" t="s">
        <v>41</v>
      </c>
      <c r="BI82" s="298"/>
      <c r="BJ82" t="s">
        <v>430</v>
      </c>
      <c r="BK82" t="s">
        <v>1121</v>
      </c>
    </row>
    <row r="83" spans="1:63" x14ac:dyDescent="0.15">
      <c r="A83" s="148">
        <v>317</v>
      </c>
      <c r="B83" s="328">
        <v>43481</v>
      </c>
      <c r="C83" s="296" t="s">
        <v>10</v>
      </c>
      <c r="D83" s="379" t="s">
        <v>1113</v>
      </c>
      <c r="E83" s="295">
        <v>43466</v>
      </c>
      <c r="F83" s="297" t="s">
        <v>24</v>
      </c>
      <c r="G83" s="297" t="s">
        <v>20</v>
      </c>
      <c r="H83" s="5">
        <v>93.84</v>
      </c>
      <c r="I83" s="376" t="s">
        <v>1101</v>
      </c>
      <c r="J83" s="297">
        <v>6000</v>
      </c>
      <c r="K83" s="297">
        <v>12000</v>
      </c>
      <c r="L83" s="297">
        <v>84000</v>
      </c>
      <c r="M83" s="297">
        <v>84000</v>
      </c>
      <c r="N83" s="297"/>
      <c r="O83" s="297">
        <v>1.798</v>
      </c>
      <c r="P83" s="297">
        <v>1.6950000000000001</v>
      </c>
      <c r="Q83" s="297">
        <v>1.5169999999999999</v>
      </c>
      <c r="R83" s="297">
        <v>0</v>
      </c>
      <c r="S83" s="297">
        <v>1.5129999999999999</v>
      </c>
      <c r="T83" s="297"/>
      <c r="U83" s="297">
        <v>1.3779999999999999</v>
      </c>
      <c r="V83" s="297">
        <v>1.3660000000000001</v>
      </c>
      <c r="W83" s="297">
        <v>1.329</v>
      </c>
      <c r="X83" s="297">
        <v>0</v>
      </c>
      <c r="Y83" s="297">
        <v>1.284</v>
      </c>
      <c r="Z83" s="297"/>
      <c r="AA83" s="297"/>
      <c r="AB83" s="297"/>
      <c r="AC83" s="297"/>
      <c r="AD83" s="297"/>
      <c r="AE83" s="297"/>
      <c r="AF83" s="297"/>
      <c r="AG83" s="299" t="s">
        <v>1116</v>
      </c>
      <c r="AH83" s="299" t="s">
        <v>1117</v>
      </c>
      <c r="AI83" s="299">
        <v>2</v>
      </c>
      <c r="AJ83" s="299">
        <v>4</v>
      </c>
      <c r="AK83" s="388">
        <v>0.33329999999999999</v>
      </c>
      <c r="AL83" s="388">
        <v>0.66659999999999997</v>
      </c>
      <c r="AM83" s="366" t="s">
        <v>1124</v>
      </c>
      <c r="AN83" s="299">
        <v>0</v>
      </c>
      <c r="AO83" s="299">
        <v>0</v>
      </c>
      <c r="AP83" s="299">
        <v>0</v>
      </c>
      <c r="AQ83" s="335">
        <v>0</v>
      </c>
      <c r="AR83" s="299">
        <v>0</v>
      </c>
      <c r="AS83" s="299">
        <v>0</v>
      </c>
      <c r="AT83" s="299">
        <v>0</v>
      </c>
      <c r="AU83" s="299">
        <v>0</v>
      </c>
      <c r="AV83" s="299">
        <v>0</v>
      </c>
      <c r="AW83" s="299">
        <v>0</v>
      </c>
      <c r="AX83" s="299">
        <v>0</v>
      </c>
      <c r="AY83" s="335">
        <v>0</v>
      </c>
      <c r="AZ83" s="297"/>
      <c r="BA83" s="299" t="s">
        <v>38</v>
      </c>
      <c r="BB83" s="335"/>
      <c r="BC83" s="299" t="s">
        <v>38</v>
      </c>
      <c r="BD83" s="299"/>
      <c r="BE83" s="298" t="s">
        <v>44</v>
      </c>
      <c r="BF83" s="297" t="s">
        <v>40</v>
      </c>
      <c r="BG83" s="299">
        <v>50</v>
      </c>
      <c r="BH83" s="335" t="s">
        <v>43</v>
      </c>
      <c r="BI83" s="298"/>
      <c r="BJ83" t="s">
        <v>430</v>
      </c>
      <c r="BK83" t="s">
        <v>408</v>
      </c>
    </row>
    <row r="84" spans="1:63" x14ac:dyDescent="0.15">
      <c r="A84" s="148">
        <v>572</v>
      </c>
      <c r="B84" s="328">
        <v>43481</v>
      </c>
      <c r="C84" s="296" t="s">
        <v>10</v>
      </c>
      <c r="D84" s="379" t="s">
        <v>1113</v>
      </c>
      <c r="E84" s="295">
        <v>43466</v>
      </c>
      <c r="F84" s="298" t="s">
        <v>25</v>
      </c>
      <c r="G84" s="297" t="s">
        <v>26</v>
      </c>
      <c r="H84" s="297">
        <v>79</v>
      </c>
      <c r="I84" s="376" t="s">
        <v>1101</v>
      </c>
      <c r="J84" s="331">
        <v>3200</v>
      </c>
      <c r="K84" s="331">
        <v>3200</v>
      </c>
      <c r="L84" s="331">
        <v>3200</v>
      </c>
      <c r="M84" s="331">
        <v>3200</v>
      </c>
      <c r="N84" s="297"/>
      <c r="O84" s="297">
        <v>2.4</v>
      </c>
      <c r="P84" s="297">
        <v>0</v>
      </c>
      <c r="Q84" s="297">
        <v>0</v>
      </c>
      <c r="R84" s="297">
        <v>0</v>
      </c>
      <c r="S84" s="297">
        <v>2.1</v>
      </c>
      <c r="T84" s="297"/>
      <c r="U84" s="297">
        <v>1.75</v>
      </c>
      <c r="V84" s="297">
        <v>0</v>
      </c>
      <c r="W84" s="297">
        <v>0</v>
      </c>
      <c r="X84" s="297">
        <v>0</v>
      </c>
      <c r="Y84" s="297">
        <v>1.6</v>
      </c>
      <c r="Z84" s="297"/>
      <c r="AA84" s="297"/>
      <c r="AB84" s="297"/>
      <c r="AC84" s="297"/>
      <c r="AD84" s="297"/>
      <c r="AE84" s="297"/>
      <c r="AF84" s="297"/>
      <c r="AG84" s="299" t="s">
        <v>1116</v>
      </c>
      <c r="AH84" s="299" t="s">
        <v>1117</v>
      </c>
      <c r="AI84" s="299">
        <v>2</v>
      </c>
      <c r="AJ84" s="299">
        <v>4</v>
      </c>
      <c r="AK84" s="388">
        <v>0.33329999999999999</v>
      </c>
      <c r="AL84" s="388">
        <v>0.66659999999999997</v>
      </c>
      <c r="AM84" s="366" t="s">
        <v>1124</v>
      </c>
      <c r="AN84" s="299">
        <v>0</v>
      </c>
      <c r="AO84" s="299">
        <v>0</v>
      </c>
      <c r="AP84" s="299">
        <v>0</v>
      </c>
      <c r="AQ84" s="335">
        <v>13</v>
      </c>
      <c r="AR84" s="299">
        <v>0</v>
      </c>
      <c r="AS84" s="299">
        <v>0</v>
      </c>
      <c r="AT84" s="299">
        <v>0</v>
      </c>
      <c r="AU84" s="299">
        <v>0</v>
      </c>
      <c r="AV84" s="299">
        <v>0</v>
      </c>
      <c r="AW84" s="299">
        <v>0</v>
      </c>
      <c r="AX84" s="299">
        <v>0</v>
      </c>
      <c r="AY84" s="335">
        <v>0</v>
      </c>
      <c r="AZ84" s="297"/>
      <c r="BA84" s="299" t="s">
        <v>38</v>
      </c>
      <c r="BB84" s="335">
        <v>12</v>
      </c>
      <c r="BC84" s="299" t="s">
        <v>38</v>
      </c>
      <c r="BD84" s="299"/>
      <c r="BE84" s="298"/>
      <c r="BF84" s="298"/>
      <c r="BG84" s="299"/>
      <c r="BH84" s="335" t="s">
        <v>41</v>
      </c>
      <c r="BI84" s="298"/>
      <c r="BJ84" s="366" t="s">
        <v>430</v>
      </c>
      <c r="BK84" s="366" t="s">
        <v>408</v>
      </c>
    </row>
    <row r="85" spans="1:63" x14ac:dyDescent="0.15">
      <c r="A85" s="148">
        <v>1430</v>
      </c>
      <c r="B85" s="328">
        <v>43481</v>
      </c>
      <c r="C85" s="296" t="s">
        <v>10</v>
      </c>
      <c r="D85" s="379" t="s">
        <v>1113</v>
      </c>
      <c r="E85" s="309">
        <v>43466</v>
      </c>
      <c r="F85" s="298" t="s">
        <v>27</v>
      </c>
      <c r="G85" s="379" t="s">
        <v>28</v>
      </c>
      <c r="H85" s="297">
        <v>80</v>
      </c>
      <c r="I85" s="376" t="s">
        <v>1101</v>
      </c>
      <c r="J85" s="331">
        <v>3200</v>
      </c>
      <c r="K85" s="331">
        <v>3200</v>
      </c>
      <c r="L85" s="331">
        <v>3200</v>
      </c>
      <c r="M85" s="331">
        <v>3200</v>
      </c>
      <c r="N85" s="297"/>
      <c r="O85" s="297">
        <v>2.0499999999999998</v>
      </c>
      <c r="P85" s="297">
        <v>0</v>
      </c>
      <c r="Q85" s="297">
        <v>0</v>
      </c>
      <c r="R85" s="297">
        <v>0</v>
      </c>
      <c r="S85" s="297">
        <v>1.8</v>
      </c>
      <c r="T85" s="297"/>
      <c r="U85" s="297">
        <v>1.8</v>
      </c>
      <c r="V85" s="297">
        <v>0</v>
      </c>
      <c r="W85" s="297">
        <v>0</v>
      </c>
      <c r="X85" s="297">
        <v>0</v>
      </c>
      <c r="Y85" s="297">
        <v>1.6</v>
      </c>
      <c r="AB85" s="297"/>
      <c r="AC85" s="297"/>
      <c r="AD85" s="297"/>
      <c r="AE85" s="297"/>
      <c r="AF85" s="297"/>
      <c r="AG85" s="299" t="s">
        <v>1116</v>
      </c>
      <c r="AH85" s="299" t="s">
        <v>1117</v>
      </c>
      <c r="AI85" s="299">
        <v>2</v>
      </c>
      <c r="AJ85" s="299">
        <v>4</v>
      </c>
      <c r="AK85" s="388">
        <v>0.33329999999999999</v>
      </c>
      <c r="AL85" s="388">
        <v>0.66659999999999997</v>
      </c>
      <c r="AM85" s="366" t="s">
        <v>1124</v>
      </c>
      <c r="AN85" s="299">
        <v>0</v>
      </c>
      <c r="AO85" s="299">
        <v>0</v>
      </c>
      <c r="AP85" s="299">
        <v>10</v>
      </c>
      <c r="AQ85" s="335">
        <v>0</v>
      </c>
      <c r="AR85" s="299">
        <v>0</v>
      </c>
      <c r="AS85" s="299">
        <v>0</v>
      </c>
      <c r="AT85" s="299">
        <v>0</v>
      </c>
      <c r="AU85" s="299">
        <v>0</v>
      </c>
      <c r="AV85" s="299">
        <v>0</v>
      </c>
      <c r="AW85" s="299">
        <v>0</v>
      </c>
      <c r="AX85" s="299">
        <v>0</v>
      </c>
      <c r="AY85" s="335">
        <v>0</v>
      </c>
      <c r="AZ85" s="299"/>
      <c r="BA85" s="299" t="s">
        <v>38</v>
      </c>
      <c r="BB85" s="335"/>
      <c r="BC85" s="299" t="s">
        <v>38</v>
      </c>
      <c r="BD85" s="299"/>
      <c r="BE85" s="298"/>
      <c r="BF85" s="297"/>
      <c r="BG85" s="299"/>
      <c r="BH85" s="335" t="s">
        <v>41</v>
      </c>
      <c r="BI85" s="298"/>
      <c r="BJ85" s="366" t="s">
        <v>1126</v>
      </c>
      <c r="BK85" s="366" t="s">
        <v>408</v>
      </c>
    </row>
    <row r="86" spans="1:63" x14ac:dyDescent="0.15">
      <c r="A86" s="148">
        <v>793</v>
      </c>
      <c r="B86" s="328">
        <v>43481</v>
      </c>
      <c r="C86" s="296" t="s">
        <v>10</v>
      </c>
      <c r="D86" s="379" t="s">
        <v>1113</v>
      </c>
      <c r="E86" s="309">
        <v>43369</v>
      </c>
      <c r="F86" s="298" t="s">
        <v>29</v>
      </c>
      <c r="G86" s="297" t="s">
        <v>30</v>
      </c>
      <c r="H86" s="339">
        <v>76.81</v>
      </c>
      <c r="I86" s="376" t="s">
        <v>1101</v>
      </c>
      <c r="J86" s="297">
        <v>6000</v>
      </c>
      <c r="K86" s="297">
        <v>12000</v>
      </c>
      <c r="L86" s="297">
        <v>84000</v>
      </c>
      <c r="M86" s="297">
        <v>84000</v>
      </c>
      <c r="N86" s="297"/>
      <c r="O86" s="340">
        <v>2.57</v>
      </c>
      <c r="P86" s="332">
        <v>2.5299999999999998</v>
      </c>
      <c r="Q86" s="332">
        <v>2.0099999999999998</v>
      </c>
      <c r="R86" s="297">
        <v>0</v>
      </c>
      <c r="S86" s="340">
        <v>2</v>
      </c>
      <c r="T86" s="297"/>
      <c r="U86" s="340">
        <v>2.1</v>
      </c>
      <c r="V86" s="332">
        <v>2.06</v>
      </c>
      <c r="W86" s="332">
        <v>1.94</v>
      </c>
      <c r="X86" s="297">
        <v>0</v>
      </c>
      <c r="Y86" s="341">
        <v>1.8</v>
      </c>
      <c r="AB86" s="297"/>
      <c r="AC86" s="297"/>
      <c r="AD86" s="297"/>
      <c r="AE86" s="297"/>
      <c r="AF86" s="297"/>
      <c r="AG86" s="299" t="s">
        <v>1116</v>
      </c>
      <c r="AH86" s="299" t="s">
        <v>1117</v>
      </c>
      <c r="AI86" s="299">
        <v>2</v>
      </c>
      <c r="AJ86" s="299">
        <v>4</v>
      </c>
      <c r="AK86" s="388">
        <v>0.33329999999999999</v>
      </c>
      <c r="AL86" s="388">
        <v>0.66659999999999997</v>
      </c>
      <c r="AM86" s="366" t="s">
        <v>1124</v>
      </c>
      <c r="AN86" s="299">
        <v>0</v>
      </c>
      <c r="AO86" s="299">
        <v>0</v>
      </c>
      <c r="AP86" s="299">
        <v>0</v>
      </c>
      <c r="AQ86" s="335">
        <v>26</v>
      </c>
      <c r="AR86" s="299">
        <v>0</v>
      </c>
      <c r="AS86" s="299">
        <v>0</v>
      </c>
      <c r="AT86" s="299">
        <v>0</v>
      </c>
      <c r="AU86" s="299">
        <v>0</v>
      </c>
      <c r="AV86" s="299">
        <v>0</v>
      </c>
      <c r="AW86" s="299">
        <v>0</v>
      </c>
      <c r="AX86" s="299">
        <v>0</v>
      </c>
      <c r="AY86" s="335">
        <v>0</v>
      </c>
      <c r="AZ86" s="297"/>
      <c r="BA86" s="299" t="s">
        <v>38</v>
      </c>
      <c r="BB86" s="335">
        <v>24</v>
      </c>
      <c r="BC86" s="299" t="s">
        <v>38</v>
      </c>
      <c r="BD86" s="299"/>
      <c r="BE86" s="378" t="s">
        <v>46</v>
      </c>
      <c r="BF86" s="297" t="s">
        <v>365</v>
      </c>
      <c r="BG86" s="299">
        <v>50</v>
      </c>
      <c r="BH86" s="335" t="s">
        <v>43</v>
      </c>
      <c r="BI86" s="298"/>
      <c r="BJ86" t="s">
        <v>430</v>
      </c>
      <c r="BK86" s="366" t="s">
        <v>368</v>
      </c>
    </row>
    <row r="87" spans="1:63" x14ac:dyDescent="0.15">
      <c r="A87" s="148">
        <v>1609</v>
      </c>
      <c r="B87" s="328">
        <v>43481</v>
      </c>
      <c r="C87" s="296" t="s">
        <v>10</v>
      </c>
      <c r="D87" s="379" t="s">
        <v>1113</v>
      </c>
      <c r="E87" s="309">
        <v>43221</v>
      </c>
      <c r="F87" s="297" t="s">
        <v>31</v>
      </c>
      <c r="G87" s="297" t="s">
        <v>32</v>
      </c>
      <c r="H87" s="332">
        <v>81.206000000000003</v>
      </c>
      <c r="I87" s="394" t="s">
        <v>1101</v>
      </c>
      <c r="J87" s="297">
        <v>6000</v>
      </c>
      <c r="K87" s="297">
        <v>12000</v>
      </c>
      <c r="L87" s="297">
        <v>84000</v>
      </c>
      <c r="M87" s="297">
        <v>84000</v>
      </c>
      <c r="N87" s="332"/>
      <c r="O87" s="332">
        <v>2.2490000000000001</v>
      </c>
      <c r="P87" s="332">
        <v>2.1589999999999998</v>
      </c>
      <c r="Q87" s="332">
        <v>1.798</v>
      </c>
      <c r="R87" s="297">
        <v>0</v>
      </c>
      <c r="S87" s="332">
        <v>1.67</v>
      </c>
      <c r="T87" s="332"/>
      <c r="U87" s="332">
        <v>2.1179999999999999</v>
      </c>
      <c r="V87" s="332">
        <v>1.7090000000000001</v>
      </c>
      <c r="W87" s="332">
        <v>1.6819999999999999</v>
      </c>
      <c r="X87" s="297">
        <v>0</v>
      </c>
      <c r="Y87" s="332">
        <v>1.5629999999999999</v>
      </c>
      <c r="Z87" s="332"/>
      <c r="AA87" s="332"/>
      <c r="AB87" s="332"/>
      <c r="AC87" s="332"/>
      <c r="AD87" s="332"/>
      <c r="AE87" s="332"/>
      <c r="AF87" s="332"/>
      <c r="AG87" s="333" t="s">
        <v>1116</v>
      </c>
      <c r="AH87" s="333" t="s">
        <v>1117</v>
      </c>
      <c r="AI87" s="299">
        <v>2</v>
      </c>
      <c r="AJ87" s="299">
        <v>4</v>
      </c>
      <c r="AK87" s="388">
        <v>0.33329999999999999</v>
      </c>
      <c r="AL87" s="388">
        <v>0.66659999999999997</v>
      </c>
      <c r="AM87" s="366" t="s">
        <v>1124</v>
      </c>
      <c r="AN87" s="299">
        <v>0</v>
      </c>
      <c r="AO87" s="299">
        <v>0</v>
      </c>
      <c r="AP87" s="299">
        <v>0</v>
      </c>
      <c r="AQ87" s="335">
        <v>25</v>
      </c>
      <c r="AR87" s="299">
        <v>0</v>
      </c>
      <c r="AS87" s="299">
        <v>0</v>
      </c>
      <c r="AT87" s="299">
        <v>0</v>
      </c>
      <c r="AU87" s="299">
        <v>0</v>
      </c>
      <c r="AV87" s="299">
        <v>0</v>
      </c>
      <c r="AW87" s="299">
        <v>0</v>
      </c>
      <c r="AX87" s="299">
        <v>0</v>
      </c>
      <c r="AY87" s="335">
        <v>0</v>
      </c>
      <c r="AZ87" s="299"/>
      <c r="BA87" s="299" t="s">
        <v>38</v>
      </c>
      <c r="BB87" s="335">
        <v>12</v>
      </c>
      <c r="BC87" s="299" t="s">
        <v>38</v>
      </c>
      <c r="BD87" s="299"/>
      <c r="BE87" s="298"/>
      <c r="BF87" s="297"/>
      <c r="BG87" s="299"/>
      <c r="BH87" s="335" t="s">
        <v>43</v>
      </c>
      <c r="BI87" s="298"/>
      <c r="BJ87" t="s">
        <v>430</v>
      </c>
      <c r="BK87" s="366" t="s">
        <v>368</v>
      </c>
    </row>
    <row r="88" spans="1:63" x14ac:dyDescent="0.15">
      <c r="A88" s="148">
        <v>1919</v>
      </c>
      <c r="B88" s="328">
        <v>43480</v>
      </c>
      <c r="C88" s="296" t="s">
        <v>10</v>
      </c>
      <c r="D88" s="379" t="s">
        <v>1113</v>
      </c>
      <c r="E88" s="295">
        <v>43479</v>
      </c>
      <c r="F88" s="298" t="s">
        <v>987</v>
      </c>
      <c r="G88" s="297" t="s">
        <v>1127</v>
      </c>
      <c r="H88" s="297">
        <v>65.823999999999998</v>
      </c>
      <c r="I88" s="376" t="s">
        <v>1101</v>
      </c>
      <c r="J88" s="297">
        <v>6000</v>
      </c>
      <c r="K88" s="297">
        <v>12000</v>
      </c>
      <c r="L88" s="297">
        <v>12000</v>
      </c>
      <c r="M88" s="297">
        <v>12000</v>
      </c>
      <c r="N88" s="297"/>
      <c r="O88" s="297">
        <v>2.0739999999999998</v>
      </c>
      <c r="P88" s="297">
        <v>1.972</v>
      </c>
      <c r="Q88" s="297">
        <v>0</v>
      </c>
      <c r="R88" s="297">
        <v>0</v>
      </c>
      <c r="S88" s="297">
        <v>1.6659999999999999</v>
      </c>
      <c r="T88" s="297"/>
      <c r="U88" s="297">
        <v>1.7</v>
      </c>
      <c r="V88" s="297">
        <v>1.6659999999999999</v>
      </c>
      <c r="W88" s="297">
        <v>0</v>
      </c>
      <c r="X88" s="297">
        <v>0</v>
      </c>
      <c r="Y88" s="297">
        <v>1.5980000000000001</v>
      </c>
      <c r="Z88" s="297"/>
      <c r="AA88" s="297"/>
      <c r="AB88" s="297"/>
      <c r="AC88" s="297"/>
      <c r="AD88" s="297"/>
      <c r="AE88" s="297"/>
      <c r="AF88" s="297"/>
      <c r="AG88" s="299" t="s">
        <v>1116</v>
      </c>
      <c r="AH88" s="299" t="s">
        <v>1117</v>
      </c>
      <c r="AI88" s="299">
        <v>2</v>
      </c>
      <c r="AJ88" s="299">
        <v>4</v>
      </c>
      <c r="AK88" s="388">
        <v>0.33329999999999999</v>
      </c>
      <c r="AL88" s="388">
        <v>0.66659999999999997</v>
      </c>
      <c r="AM88" s="366" t="s">
        <v>1124</v>
      </c>
      <c r="AN88" s="299">
        <v>0</v>
      </c>
      <c r="AO88" s="299">
        <v>0</v>
      </c>
      <c r="AP88" s="299">
        <v>0</v>
      </c>
      <c r="AQ88" s="299">
        <v>0</v>
      </c>
      <c r="AR88" s="299">
        <v>0</v>
      </c>
      <c r="AS88" s="299">
        <v>0</v>
      </c>
      <c r="AT88" s="299">
        <v>0</v>
      </c>
      <c r="AU88" s="299">
        <v>0</v>
      </c>
      <c r="AV88" s="299">
        <v>0</v>
      </c>
      <c r="AW88" s="299">
        <v>0</v>
      </c>
      <c r="AX88" s="299">
        <v>0</v>
      </c>
      <c r="AY88" s="299">
        <v>0</v>
      </c>
      <c r="AZ88" s="299"/>
      <c r="BA88" s="299" t="s">
        <v>38</v>
      </c>
      <c r="BB88" s="299"/>
      <c r="BC88" s="299" t="s">
        <v>38</v>
      </c>
      <c r="BD88" s="299"/>
      <c r="BE88" s="298"/>
      <c r="BF88" s="297"/>
      <c r="BG88" s="299"/>
      <c r="BH88" s="299" t="s">
        <v>41</v>
      </c>
      <c r="BI88" s="298" t="s">
        <v>370</v>
      </c>
      <c r="BJ88" t="s">
        <v>430</v>
      </c>
      <c r="BK88" t="s">
        <v>368</v>
      </c>
    </row>
    <row r="89" spans="1:63" x14ac:dyDescent="0.15">
      <c r="A89" s="148">
        <v>1687</v>
      </c>
      <c r="B89" s="328">
        <v>43480</v>
      </c>
      <c r="C89" s="296" t="s">
        <v>295</v>
      </c>
      <c r="D89" s="379" t="s">
        <v>1113</v>
      </c>
      <c r="E89" s="328">
        <v>43419</v>
      </c>
      <c r="F89" s="378" t="s">
        <v>1106</v>
      </c>
      <c r="G89" s="297" t="s">
        <v>2</v>
      </c>
      <c r="H89" s="297">
        <v>112</v>
      </c>
      <c r="I89" s="376" t="s">
        <v>296</v>
      </c>
      <c r="J89" s="297">
        <v>12000</v>
      </c>
      <c r="K89" s="297">
        <v>12000</v>
      </c>
      <c r="L89" s="297">
        <v>12000</v>
      </c>
      <c r="M89" s="297">
        <v>12000</v>
      </c>
      <c r="N89" s="297"/>
      <c r="O89" s="297">
        <v>2.5</v>
      </c>
      <c r="P89" s="297">
        <v>0</v>
      </c>
      <c r="Q89" s="297">
        <v>0</v>
      </c>
      <c r="R89" s="297">
        <v>0</v>
      </c>
      <c r="S89" s="297">
        <v>2</v>
      </c>
      <c r="T89" s="297"/>
      <c r="U89" s="297">
        <v>2.0499999999999998</v>
      </c>
      <c r="V89" s="297">
        <v>0</v>
      </c>
      <c r="W89" s="297">
        <v>0</v>
      </c>
      <c r="X89" s="297">
        <v>0</v>
      </c>
      <c r="Y89" s="297">
        <v>1.75</v>
      </c>
      <c r="Z89" s="297"/>
      <c r="AA89" s="297"/>
      <c r="AB89" s="297"/>
      <c r="AC89" s="297"/>
      <c r="AD89" s="297"/>
      <c r="AE89" s="297"/>
      <c r="AF89" s="297"/>
      <c r="AG89" s="299" t="s">
        <v>403</v>
      </c>
      <c r="AH89" s="299" t="s">
        <v>404</v>
      </c>
      <c r="AI89" s="299">
        <v>2</v>
      </c>
      <c r="AJ89" s="299">
        <v>4</v>
      </c>
      <c r="AK89" s="388">
        <v>0.33329999999999999</v>
      </c>
      <c r="AL89" s="388">
        <v>0.66659999999999997</v>
      </c>
      <c r="AM89" s="366" t="s">
        <v>1124</v>
      </c>
      <c r="AN89" s="299">
        <v>0</v>
      </c>
      <c r="AO89" s="299">
        <v>0</v>
      </c>
      <c r="AP89" s="299">
        <v>32</v>
      </c>
      <c r="AQ89" s="299">
        <v>0</v>
      </c>
      <c r="AR89" s="299">
        <v>0</v>
      </c>
      <c r="AS89" s="299">
        <v>0</v>
      </c>
      <c r="AT89" s="299">
        <v>0</v>
      </c>
      <c r="AU89" s="299">
        <v>0</v>
      </c>
      <c r="AV89" s="299">
        <v>0</v>
      </c>
      <c r="AW89" s="299">
        <v>0</v>
      </c>
      <c r="AX89" s="299">
        <v>0</v>
      </c>
      <c r="AY89" s="299">
        <v>0</v>
      </c>
      <c r="AZ89" s="299"/>
      <c r="BA89" s="299" t="s">
        <v>38</v>
      </c>
      <c r="BB89" s="299"/>
      <c r="BC89" s="299" t="s">
        <v>38</v>
      </c>
      <c r="BD89" s="299"/>
      <c r="BE89" s="297"/>
      <c r="BF89" s="299"/>
      <c r="BG89" s="299"/>
      <c r="BH89" s="299" t="s">
        <v>41</v>
      </c>
      <c r="BI89" s="297"/>
      <c r="BJ89" t="s">
        <v>430</v>
      </c>
      <c r="BK89" t="s">
        <v>368</v>
      </c>
    </row>
    <row r="90" spans="1:63" x14ac:dyDescent="0.15">
      <c r="A90" s="148">
        <v>1510</v>
      </c>
      <c r="B90" s="328">
        <v>43481</v>
      </c>
      <c r="C90" s="296" t="s">
        <v>10</v>
      </c>
      <c r="D90" s="379" t="s">
        <v>1113</v>
      </c>
      <c r="E90" s="309">
        <v>43229</v>
      </c>
      <c r="F90" s="297" t="s">
        <v>34</v>
      </c>
      <c r="G90" s="379" t="s">
        <v>1107</v>
      </c>
      <c r="H90" s="336">
        <v>89.6</v>
      </c>
      <c r="I90" s="394"/>
      <c r="J90" s="297"/>
      <c r="K90" s="297"/>
      <c r="L90" s="297"/>
      <c r="M90" s="297"/>
      <c r="N90" s="297"/>
      <c r="O90" s="343">
        <v>1.64</v>
      </c>
      <c r="P90" s="297">
        <v>0</v>
      </c>
      <c r="Q90" s="297">
        <v>0</v>
      </c>
      <c r="R90" s="297">
        <v>0</v>
      </c>
      <c r="S90" s="297">
        <v>0</v>
      </c>
      <c r="T90" s="332"/>
      <c r="U90" s="343">
        <v>1.44</v>
      </c>
      <c r="V90" s="297">
        <v>0</v>
      </c>
      <c r="W90" s="297">
        <v>0</v>
      </c>
      <c r="X90" s="297">
        <v>0</v>
      </c>
      <c r="Y90" s="297">
        <v>0</v>
      </c>
      <c r="Z90" s="332"/>
      <c r="AA90" s="332"/>
      <c r="AB90" s="332"/>
      <c r="AC90" s="332"/>
      <c r="AD90" s="332"/>
      <c r="AE90" s="332"/>
      <c r="AF90" s="332"/>
      <c r="AG90" s="333" t="s">
        <v>1116</v>
      </c>
      <c r="AH90" s="333" t="s">
        <v>1117</v>
      </c>
      <c r="AI90" s="299">
        <v>2</v>
      </c>
      <c r="AJ90" s="299">
        <v>4</v>
      </c>
      <c r="AK90" s="388">
        <v>0.33329999999999999</v>
      </c>
      <c r="AL90" s="388">
        <v>0.66659999999999997</v>
      </c>
      <c r="AM90" s="366" t="s">
        <v>1124</v>
      </c>
      <c r="AN90" s="299">
        <v>0</v>
      </c>
      <c r="AO90" s="299">
        <v>0</v>
      </c>
      <c r="AP90" s="299">
        <v>5</v>
      </c>
      <c r="AQ90" s="335">
        <v>0</v>
      </c>
      <c r="AR90" s="299">
        <v>0</v>
      </c>
      <c r="AS90" s="299">
        <v>0</v>
      </c>
      <c r="AT90" s="299">
        <v>0</v>
      </c>
      <c r="AU90" s="299">
        <v>0</v>
      </c>
      <c r="AV90" s="299">
        <v>0</v>
      </c>
      <c r="AW90" s="299">
        <v>0</v>
      </c>
      <c r="AX90" s="299">
        <v>0</v>
      </c>
      <c r="AY90" s="335">
        <v>0</v>
      </c>
      <c r="AZ90" s="299"/>
      <c r="BA90" s="299" t="s">
        <v>38</v>
      </c>
      <c r="BB90" s="335"/>
      <c r="BC90" s="299" t="s">
        <v>38</v>
      </c>
      <c r="BD90" s="299"/>
      <c r="BE90" s="298"/>
      <c r="BF90" s="297"/>
      <c r="BG90" s="299"/>
      <c r="BH90" s="335" t="s">
        <v>43</v>
      </c>
      <c r="BI90" s="298" t="s">
        <v>47</v>
      </c>
      <c r="BJ90" t="s">
        <v>55</v>
      </c>
      <c r="BK90" s="366" t="s">
        <v>368</v>
      </c>
    </row>
    <row r="91" spans="1:63" x14ac:dyDescent="0.15">
      <c r="A91" s="148">
        <v>83</v>
      </c>
      <c r="B91" s="328">
        <v>43480</v>
      </c>
      <c r="C91" s="296" t="s">
        <v>10</v>
      </c>
      <c r="D91" s="379" t="s">
        <v>1114</v>
      </c>
      <c r="E91" s="295">
        <v>43479</v>
      </c>
      <c r="F91" s="298" t="s">
        <v>12</v>
      </c>
      <c r="G91" s="297" t="s">
        <v>13</v>
      </c>
      <c r="H91" s="297">
        <v>87.5</v>
      </c>
      <c r="I91" s="376" t="s">
        <v>1101</v>
      </c>
      <c r="J91" s="297">
        <v>6000</v>
      </c>
      <c r="K91" s="297">
        <v>12000</v>
      </c>
      <c r="L91" s="297">
        <v>84000</v>
      </c>
      <c r="M91" s="297">
        <v>84000</v>
      </c>
      <c r="N91" s="297"/>
      <c r="O91" s="297">
        <v>2.46</v>
      </c>
      <c r="P91" s="297">
        <v>2.4</v>
      </c>
      <c r="Q91" s="297">
        <v>1.83</v>
      </c>
      <c r="R91" s="297">
        <v>0</v>
      </c>
      <c r="S91" s="297">
        <v>1.56</v>
      </c>
      <c r="T91" s="297"/>
      <c r="U91" s="297">
        <v>2.11</v>
      </c>
      <c r="V91" s="297">
        <v>1.88</v>
      </c>
      <c r="W91" s="297">
        <v>1.73</v>
      </c>
      <c r="X91" s="297">
        <v>0</v>
      </c>
      <c r="Y91" s="297">
        <v>1.47</v>
      </c>
      <c r="Z91" s="297"/>
      <c r="AA91" s="297"/>
      <c r="AB91" s="297"/>
      <c r="AC91" s="297"/>
      <c r="AD91" s="297"/>
      <c r="AE91" s="297"/>
      <c r="AF91" s="297"/>
      <c r="AG91" s="299" t="s">
        <v>1116</v>
      </c>
      <c r="AH91" s="299" t="s">
        <v>1117</v>
      </c>
      <c r="AI91" s="299">
        <v>2</v>
      </c>
      <c r="AJ91" s="299">
        <v>4</v>
      </c>
      <c r="AK91" s="388">
        <v>0.33329999999999999</v>
      </c>
      <c r="AL91" s="388">
        <v>0.66659999999999997</v>
      </c>
      <c r="AM91" s="366" t="s">
        <v>1124</v>
      </c>
      <c r="AN91" s="299">
        <v>0</v>
      </c>
      <c r="AO91" s="299">
        <v>0</v>
      </c>
      <c r="AP91" s="299">
        <v>0</v>
      </c>
      <c r="AQ91" s="335">
        <v>24</v>
      </c>
      <c r="AR91" s="299">
        <v>0</v>
      </c>
      <c r="AS91" s="299">
        <v>0</v>
      </c>
      <c r="AT91" s="299">
        <v>0</v>
      </c>
      <c r="AU91" s="299">
        <v>0</v>
      </c>
      <c r="AV91" s="299">
        <v>0</v>
      </c>
      <c r="AW91" s="299">
        <v>0</v>
      </c>
      <c r="AX91" s="299">
        <v>0</v>
      </c>
      <c r="AY91" s="335">
        <v>0</v>
      </c>
      <c r="AZ91" s="299"/>
      <c r="BA91" s="299" t="s">
        <v>38</v>
      </c>
      <c r="BB91" s="335">
        <v>12</v>
      </c>
      <c r="BC91" s="299" t="s">
        <v>38</v>
      </c>
      <c r="BD91" s="299"/>
      <c r="BE91" s="298"/>
      <c r="BF91" s="297"/>
      <c r="BG91" s="299"/>
      <c r="BH91" s="335" t="s">
        <v>41</v>
      </c>
      <c r="BI91" s="298"/>
      <c r="BJ91" s="366" t="s">
        <v>430</v>
      </c>
      <c r="BK91" t="s">
        <v>408</v>
      </c>
    </row>
    <row r="92" spans="1:63" x14ac:dyDescent="0.15">
      <c r="A92" s="148">
        <v>1867</v>
      </c>
      <c r="B92" s="328">
        <v>43481</v>
      </c>
      <c r="C92" s="296" t="s">
        <v>10</v>
      </c>
      <c r="D92" s="379" t="s">
        <v>1114</v>
      </c>
      <c r="E92" s="328">
        <v>43477</v>
      </c>
      <c r="F92" s="298" t="s">
        <v>14</v>
      </c>
      <c r="G92" s="379" t="s">
        <v>1102</v>
      </c>
      <c r="H92" s="297">
        <v>88</v>
      </c>
      <c r="I92" s="376" t="s">
        <v>1101</v>
      </c>
      <c r="J92" s="331">
        <v>6000</v>
      </c>
      <c r="K92" s="331">
        <v>6000</v>
      </c>
      <c r="L92" s="331">
        <v>6000</v>
      </c>
      <c r="M92" s="331">
        <v>6000</v>
      </c>
      <c r="N92" s="297"/>
      <c r="O92" s="297">
        <v>2.6</v>
      </c>
      <c r="P92" s="297">
        <v>0</v>
      </c>
      <c r="Q92" s="297">
        <v>0</v>
      </c>
      <c r="R92" s="297">
        <v>0</v>
      </c>
      <c r="S92" s="297">
        <v>2</v>
      </c>
      <c r="T92" s="297"/>
      <c r="U92" s="297">
        <v>2.2999999999999998</v>
      </c>
      <c r="V92" s="297">
        <v>0</v>
      </c>
      <c r="W92" s="297">
        <v>0</v>
      </c>
      <c r="X92" s="297">
        <v>0</v>
      </c>
      <c r="Y92" s="297">
        <v>1.9</v>
      </c>
      <c r="Z92" s="297"/>
      <c r="AA92" s="297"/>
      <c r="AB92" s="297"/>
      <c r="AC92" s="297"/>
      <c r="AD92" s="297"/>
      <c r="AE92" s="297"/>
      <c r="AF92" s="297"/>
      <c r="AG92" s="299" t="s">
        <v>1116</v>
      </c>
      <c r="AH92" s="299" t="s">
        <v>1117</v>
      </c>
      <c r="AI92" s="299">
        <v>2</v>
      </c>
      <c r="AJ92" s="299">
        <v>4</v>
      </c>
      <c r="AK92" s="388">
        <v>0.33329999999999999</v>
      </c>
      <c r="AL92" s="388">
        <v>0.66659999999999997</v>
      </c>
      <c r="AM92" s="366" t="s">
        <v>1124</v>
      </c>
      <c r="AN92" s="299">
        <v>0</v>
      </c>
      <c r="AO92" s="299">
        <v>20</v>
      </c>
      <c r="AP92" s="299">
        <v>0</v>
      </c>
      <c r="AQ92" s="335">
        <v>0</v>
      </c>
      <c r="AR92" s="299">
        <v>0</v>
      </c>
      <c r="AS92" s="299">
        <v>0</v>
      </c>
      <c r="AT92" s="299">
        <v>0</v>
      </c>
      <c r="AU92" s="299">
        <v>0</v>
      </c>
      <c r="AV92" s="299">
        <v>0</v>
      </c>
      <c r="AW92" s="299">
        <v>0</v>
      </c>
      <c r="AX92" s="299">
        <v>0</v>
      </c>
      <c r="AY92" s="335">
        <v>0</v>
      </c>
      <c r="AZ92" s="297"/>
      <c r="BA92" s="299" t="s">
        <v>38</v>
      </c>
      <c r="BB92" s="335">
        <v>12</v>
      </c>
      <c r="BC92" s="299" t="s">
        <v>38</v>
      </c>
      <c r="BD92" s="299"/>
      <c r="BE92" s="298"/>
      <c r="BF92" s="297"/>
      <c r="BG92" s="299"/>
      <c r="BH92" s="335" t="s">
        <v>411</v>
      </c>
      <c r="BI92" s="298"/>
      <c r="BJ92" s="366" t="s">
        <v>1119</v>
      </c>
      <c r="BK92" s="366" t="s">
        <v>408</v>
      </c>
    </row>
    <row r="93" spans="1:63" x14ac:dyDescent="0.15">
      <c r="A93" s="148">
        <v>1882</v>
      </c>
      <c r="B93" s="328">
        <v>43480</v>
      </c>
      <c r="C93" s="296" t="s">
        <v>10</v>
      </c>
      <c r="D93" s="379" t="s">
        <v>1114</v>
      </c>
      <c r="E93" s="295">
        <v>43437</v>
      </c>
      <c r="F93" s="298" t="s">
        <v>16</v>
      </c>
      <c r="G93" s="379" t="s">
        <v>1103</v>
      </c>
      <c r="H93" s="5">
        <v>96.8</v>
      </c>
      <c r="I93" s="376" t="s">
        <v>1101</v>
      </c>
      <c r="J93" s="297">
        <v>6000</v>
      </c>
      <c r="K93" s="297">
        <v>12000</v>
      </c>
      <c r="L93" s="297">
        <v>12000</v>
      </c>
      <c r="M93" s="297">
        <v>12000</v>
      </c>
      <c r="N93" s="297"/>
      <c r="O93" s="297">
        <v>3.55</v>
      </c>
      <c r="P93" s="297">
        <v>3.05</v>
      </c>
      <c r="Q93" s="297">
        <v>0</v>
      </c>
      <c r="R93" s="297">
        <v>0</v>
      </c>
      <c r="S93" s="297">
        <v>2.2999999999999998</v>
      </c>
      <c r="T93" s="297"/>
      <c r="U93" s="297">
        <v>2.5</v>
      </c>
      <c r="V93" s="297">
        <v>2.4500000000000002</v>
      </c>
      <c r="W93" s="297">
        <v>0</v>
      </c>
      <c r="X93" s="297">
        <v>0</v>
      </c>
      <c r="Y93" s="297">
        <v>2.2999999999999998</v>
      </c>
      <c r="Z93" s="297"/>
      <c r="AA93" s="297"/>
      <c r="AB93" s="297"/>
      <c r="AC93" s="297"/>
      <c r="AD93" s="297"/>
      <c r="AE93" s="297"/>
      <c r="AF93" s="297"/>
      <c r="AG93" s="299" t="s">
        <v>1116</v>
      </c>
      <c r="AH93" s="299" t="s">
        <v>1117</v>
      </c>
      <c r="AI93" s="299">
        <v>2</v>
      </c>
      <c r="AJ93" s="299">
        <v>4</v>
      </c>
      <c r="AK93" s="388">
        <v>0.33329999999999999</v>
      </c>
      <c r="AL93" s="388">
        <v>0.66659999999999997</v>
      </c>
      <c r="AM93" s="366" t="s">
        <v>1124</v>
      </c>
      <c r="AN93" s="299">
        <v>0</v>
      </c>
      <c r="AO93" s="299">
        <v>0</v>
      </c>
      <c r="AP93" s="299">
        <v>26</v>
      </c>
      <c r="AQ93" s="335">
        <v>0</v>
      </c>
      <c r="AR93" s="299">
        <v>0</v>
      </c>
      <c r="AS93" s="299">
        <v>0</v>
      </c>
      <c r="AT93" s="299">
        <v>0</v>
      </c>
      <c r="AU93" s="299">
        <v>0</v>
      </c>
      <c r="AV93" s="299">
        <v>0</v>
      </c>
      <c r="AW93" s="299">
        <v>0</v>
      </c>
      <c r="AX93" s="299">
        <v>0</v>
      </c>
      <c r="AY93" s="335">
        <v>0</v>
      </c>
      <c r="AZ93" s="297"/>
      <c r="BA93" s="299" t="s">
        <v>38</v>
      </c>
      <c r="BB93" s="335"/>
      <c r="BC93" s="299" t="s">
        <v>38</v>
      </c>
      <c r="BD93" s="299"/>
      <c r="BE93" s="298"/>
      <c r="BF93" s="297"/>
      <c r="BG93" s="299"/>
      <c r="BH93" s="335" t="s">
        <v>41</v>
      </c>
      <c r="BI93" s="298" t="s">
        <v>42</v>
      </c>
      <c r="BJ93" s="366" t="s">
        <v>430</v>
      </c>
      <c r="BK93" t="s">
        <v>368</v>
      </c>
    </row>
    <row r="94" spans="1:63" x14ac:dyDescent="0.15">
      <c r="A94" s="148">
        <v>1142</v>
      </c>
      <c r="B94" s="328">
        <v>43481</v>
      </c>
      <c r="C94" s="296" t="s">
        <v>10</v>
      </c>
      <c r="D94" s="379" t="s">
        <v>1114</v>
      </c>
      <c r="E94" s="295">
        <v>43466</v>
      </c>
      <c r="F94" s="298" t="s">
        <v>18</v>
      </c>
      <c r="G94" s="297" t="s">
        <v>418</v>
      </c>
      <c r="H94" s="297">
        <v>85</v>
      </c>
      <c r="I94" s="376" t="s">
        <v>1101</v>
      </c>
      <c r="J94" s="297">
        <v>6000</v>
      </c>
      <c r="K94" s="297">
        <v>12000</v>
      </c>
      <c r="L94" s="297">
        <v>84000</v>
      </c>
      <c r="M94" s="297">
        <v>84000</v>
      </c>
      <c r="N94" s="297"/>
      <c r="O94" s="297">
        <v>2.87</v>
      </c>
      <c r="P94" s="297">
        <v>2.5499999999999998</v>
      </c>
      <c r="Q94" s="297">
        <v>2.1</v>
      </c>
      <c r="R94" s="297">
        <v>0</v>
      </c>
      <c r="S94" s="297">
        <v>1.8</v>
      </c>
      <c r="T94" s="297"/>
      <c r="U94" s="297">
        <v>2.4</v>
      </c>
      <c r="V94" s="297">
        <v>2.2000000000000002</v>
      </c>
      <c r="W94" s="297">
        <v>2</v>
      </c>
      <c r="X94" s="297">
        <v>0</v>
      </c>
      <c r="Y94" s="297">
        <v>1.6</v>
      </c>
      <c r="Z94" s="297"/>
      <c r="AA94" s="297"/>
      <c r="AB94" s="297"/>
      <c r="AC94" s="297"/>
      <c r="AD94" s="297"/>
      <c r="AE94" s="297"/>
      <c r="AF94" s="297"/>
      <c r="AG94" s="299" t="s">
        <v>1116</v>
      </c>
      <c r="AH94" s="299" t="s">
        <v>1117</v>
      </c>
      <c r="AI94" s="299">
        <v>3</v>
      </c>
      <c r="AJ94" s="299">
        <v>3</v>
      </c>
      <c r="AK94" s="388">
        <v>0.5</v>
      </c>
      <c r="AL94" s="388">
        <v>0.5</v>
      </c>
      <c r="AM94" s="366" t="s">
        <v>1124</v>
      </c>
      <c r="AN94" s="299">
        <v>0</v>
      </c>
      <c r="AO94" s="299">
        <v>0</v>
      </c>
      <c r="AP94" s="299">
        <v>0</v>
      </c>
      <c r="AQ94" s="299">
        <v>16</v>
      </c>
      <c r="AR94" s="299">
        <v>0</v>
      </c>
      <c r="AS94" s="299">
        <v>0</v>
      </c>
      <c r="AT94" s="299">
        <v>0</v>
      </c>
      <c r="AU94" s="299">
        <v>0</v>
      </c>
      <c r="AV94" s="299">
        <v>0</v>
      </c>
      <c r="AW94" s="299">
        <v>0</v>
      </c>
      <c r="AX94" s="299">
        <v>0</v>
      </c>
      <c r="AY94" s="299">
        <v>0</v>
      </c>
      <c r="AZ94" s="299"/>
      <c r="BA94" s="299" t="s">
        <v>38</v>
      </c>
      <c r="BB94" s="299"/>
      <c r="BC94" s="299" t="s">
        <v>38</v>
      </c>
      <c r="BD94" s="299"/>
      <c r="BE94" s="298"/>
      <c r="BF94" s="297"/>
      <c r="BG94" s="299"/>
      <c r="BH94" s="299" t="s">
        <v>41</v>
      </c>
      <c r="BI94" s="298" t="s">
        <v>370</v>
      </c>
      <c r="BJ94" s="366" t="s">
        <v>430</v>
      </c>
      <c r="BK94" s="366" t="s">
        <v>408</v>
      </c>
    </row>
    <row r="95" spans="1:63" x14ac:dyDescent="0.15">
      <c r="A95" s="148">
        <v>879</v>
      </c>
      <c r="B95" s="328">
        <v>43480</v>
      </c>
      <c r="C95" s="296" t="s">
        <v>10</v>
      </c>
      <c r="D95" s="379" t="s">
        <v>1114</v>
      </c>
      <c r="E95" s="295">
        <v>43154</v>
      </c>
      <c r="F95" s="298" t="s">
        <v>19</v>
      </c>
      <c r="G95" s="297" t="s">
        <v>20</v>
      </c>
      <c r="H95" s="297">
        <v>79.900000000000006</v>
      </c>
      <c r="I95" s="376" t="s">
        <v>1101</v>
      </c>
      <c r="J95" s="331">
        <v>3500</v>
      </c>
      <c r="K95" s="331">
        <v>3500</v>
      </c>
      <c r="L95" s="331">
        <v>3500</v>
      </c>
      <c r="M95" s="331">
        <v>3500</v>
      </c>
      <c r="N95" s="297"/>
      <c r="O95" s="297">
        <v>2.76</v>
      </c>
      <c r="P95" s="297">
        <v>0</v>
      </c>
      <c r="Q95" s="297">
        <v>0</v>
      </c>
      <c r="R95" s="297">
        <v>0</v>
      </c>
      <c r="S95" s="297">
        <v>2.35</v>
      </c>
      <c r="T95" s="297"/>
      <c r="U95" s="297">
        <v>2.2200000000000002</v>
      </c>
      <c r="V95" s="297">
        <v>0</v>
      </c>
      <c r="W95" s="297">
        <v>0</v>
      </c>
      <c r="X95" s="297">
        <v>0</v>
      </c>
      <c r="Y95" s="297">
        <v>1.83</v>
      </c>
      <c r="Z95" s="297"/>
      <c r="AA95" s="297"/>
      <c r="AB95" s="297"/>
      <c r="AC95" s="297"/>
      <c r="AD95" s="297"/>
      <c r="AE95" s="297"/>
      <c r="AF95" s="297"/>
      <c r="AG95" s="299" t="s">
        <v>1116</v>
      </c>
      <c r="AH95" s="299" t="s">
        <v>1117</v>
      </c>
      <c r="AI95" s="299">
        <v>2</v>
      </c>
      <c r="AJ95" s="299">
        <v>4</v>
      </c>
      <c r="AK95" s="388">
        <v>0.33329999999999999</v>
      </c>
      <c r="AL95" s="388">
        <v>0.66659999999999997</v>
      </c>
      <c r="AM95" s="366" t="s">
        <v>1124</v>
      </c>
      <c r="AN95" s="299">
        <v>0</v>
      </c>
      <c r="AO95" s="299">
        <v>0</v>
      </c>
      <c r="AP95" s="299">
        <v>0</v>
      </c>
      <c r="AQ95" s="299">
        <v>0</v>
      </c>
      <c r="AR95" s="299">
        <v>0</v>
      </c>
      <c r="AS95" s="299">
        <v>25</v>
      </c>
      <c r="AT95" s="299">
        <v>0</v>
      </c>
      <c r="AU95" s="299">
        <v>0</v>
      </c>
      <c r="AV95" s="299">
        <v>0</v>
      </c>
      <c r="AW95" s="299">
        <v>0</v>
      </c>
      <c r="AX95" s="299">
        <v>0</v>
      </c>
      <c r="AY95" s="299">
        <v>0</v>
      </c>
      <c r="AZ95" s="297"/>
      <c r="BA95" s="299" t="s">
        <v>38</v>
      </c>
      <c r="BB95" s="299"/>
      <c r="BC95" s="299" t="s">
        <v>38</v>
      </c>
      <c r="BD95" s="299"/>
      <c r="BE95" s="298"/>
      <c r="BF95" s="297"/>
      <c r="BG95" s="299"/>
      <c r="BH95" s="299" t="s">
        <v>43</v>
      </c>
      <c r="BI95" s="298"/>
      <c r="BJ95" s="366" t="s">
        <v>430</v>
      </c>
      <c r="BK95" s="366" t="s">
        <v>368</v>
      </c>
    </row>
    <row r="96" spans="1:63" x14ac:dyDescent="0.15">
      <c r="A96" s="148">
        <v>751</v>
      </c>
      <c r="B96" s="328">
        <v>43481</v>
      </c>
      <c r="C96" s="296" t="s">
        <v>10</v>
      </c>
      <c r="D96" s="379" t="s">
        <v>1114</v>
      </c>
      <c r="E96" s="295">
        <v>43467</v>
      </c>
      <c r="F96" s="298" t="s">
        <v>21</v>
      </c>
      <c r="G96" s="297" t="s">
        <v>1104</v>
      </c>
      <c r="H96" s="297">
        <v>94.7</v>
      </c>
      <c r="I96" s="376" t="s">
        <v>1101</v>
      </c>
      <c r="J96" s="297">
        <v>12000</v>
      </c>
      <c r="K96" s="297">
        <v>12000</v>
      </c>
      <c r="L96" s="297">
        <v>12000</v>
      </c>
      <c r="M96" s="297">
        <v>12000</v>
      </c>
      <c r="N96" s="297"/>
      <c r="O96" s="297">
        <v>2.74</v>
      </c>
      <c r="P96" s="297">
        <v>0</v>
      </c>
      <c r="Q96" s="297">
        <v>0</v>
      </c>
      <c r="R96" s="297">
        <v>0</v>
      </c>
      <c r="S96" s="297">
        <v>1.77</v>
      </c>
      <c r="T96" s="297"/>
      <c r="U96" s="297">
        <v>2.0099999999999998</v>
      </c>
      <c r="V96" s="297">
        <v>0</v>
      </c>
      <c r="W96" s="297">
        <v>0</v>
      </c>
      <c r="X96" s="297">
        <v>0</v>
      </c>
      <c r="Y96" s="297">
        <v>2.0099999999999998</v>
      </c>
      <c r="Z96" s="297"/>
      <c r="AA96" s="297"/>
      <c r="AB96" s="297"/>
      <c r="AC96" s="297"/>
      <c r="AD96" s="297"/>
      <c r="AE96" s="297"/>
      <c r="AF96" s="297"/>
      <c r="AG96" s="299" t="s">
        <v>1116</v>
      </c>
      <c r="AH96" s="299" t="s">
        <v>1117</v>
      </c>
      <c r="AI96" s="299">
        <v>2</v>
      </c>
      <c r="AJ96" s="299">
        <v>4</v>
      </c>
      <c r="AK96" s="388">
        <v>0.33329999999999999</v>
      </c>
      <c r="AL96" s="388">
        <v>0.66659999999999997</v>
      </c>
      <c r="AM96" s="366" t="s">
        <v>1124</v>
      </c>
      <c r="AN96" s="299">
        <v>0</v>
      </c>
      <c r="AO96" s="299">
        <v>22</v>
      </c>
      <c r="AP96" s="299">
        <v>0</v>
      </c>
      <c r="AQ96" s="299">
        <v>0</v>
      </c>
      <c r="AR96" s="299">
        <v>0</v>
      </c>
      <c r="AS96" s="299">
        <v>0</v>
      </c>
      <c r="AT96" s="299">
        <v>0</v>
      </c>
      <c r="AU96" s="299">
        <v>0</v>
      </c>
      <c r="AV96" s="299">
        <v>0</v>
      </c>
      <c r="AW96" s="299">
        <v>0</v>
      </c>
      <c r="AX96" s="299">
        <v>0</v>
      </c>
      <c r="AY96" s="299">
        <v>0</v>
      </c>
      <c r="AZ96" s="297"/>
      <c r="BA96" s="299" t="s">
        <v>38</v>
      </c>
      <c r="BB96" s="299">
        <v>12</v>
      </c>
      <c r="BC96" s="299" t="s">
        <v>38</v>
      </c>
      <c r="BD96" s="299"/>
      <c r="BE96" s="298" t="s">
        <v>218</v>
      </c>
      <c r="BF96" s="297" t="s">
        <v>40</v>
      </c>
      <c r="BG96" s="299">
        <v>50</v>
      </c>
      <c r="BH96" s="299" t="s">
        <v>41</v>
      </c>
      <c r="BI96" s="298"/>
      <c r="BJ96" s="366" t="s">
        <v>430</v>
      </c>
      <c r="BK96" s="366" t="s">
        <v>408</v>
      </c>
    </row>
    <row r="97" spans="1:63" x14ac:dyDescent="0.15">
      <c r="A97" s="148">
        <v>1940</v>
      </c>
      <c r="B97" s="328">
        <v>43481</v>
      </c>
      <c r="C97" s="296" t="s">
        <v>10</v>
      </c>
      <c r="D97" s="379" t="s">
        <v>1114</v>
      </c>
      <c r="E97" s="295">
        <v>43466</v>
      </c>
      <c r="F97" s="298" t="s">
        <v>22</v>
      </c>
      <c r="G97" s="297" t="s">
        <v>1105</v>
      </c>
      <c r="H97" s="297">
        <v>70</v>
      </c>
      <c r="I97" s="376" t="s">
        <v>1101</v>
      </c>
      <c r="J97" s="297">
        <v>6000</v>
      </c>
      <c r="K97" s="297">
        <v>12000</v>
      </c>
      <c r="L97" s="297">
        <v>84000</v>
      </c>
      <c r="M97" s="297">
        <v>84000</v>
      </c>
      <c r="N97" s="297"/>
      <c r="O97" s="297">
        <v>2.2000000000000002</v>
      </c>
      <c r="P97" s="297">
        <v>2</v>
      </c>
      <c r="Q97" s="297">
        <v>1.65</v>
      </c>
      <c r="R97" s="297">
        <v>0</v>
      </c>
      <c r="S97" s="297">
        <v>1.5</v>
      </c>
      <c r="T97" s="297"/>
      <c r="U97" s="297">
        <v>1.7</v>
      </c>
      <c r="V97" s="297">
        <v>1.63</v>
      </c>
      <c r="W97" s="297">
        <v>1.51</v>
      </c>
      <c r="X97" s="297">
        <v>0</v>
      </c>
      <c r="Y97" s="297">
        <v>1.46</v>
      </c>
      <c r="Z97" s="297"/>
      <c r="AA97" s="297"/>
      <c r="AB97" s="297"/>
      <c r="AC97" s="297"/>
      <c r="AD97" s="297"/>
      <c r="AE97" s="297"/>
      <c r="AF97" s="297"/>
      <c r="AG97" s="299" t="s">
        <v>1116</v>
      </c>
      <c r="AH97" s="299" t="s">
        <v>1117</v>
      </c>
      <c r="AI97" s="299">
        <v>2</v>
      </c>
      <c r="AJ97" s="299">
        <v>4</v>
      </c>
      <c r="AK97" s="388">
        <v>0.33329999999999999</v>
      </c>
      <c r="AL97" s="388">
        <v>0.66659999999999997</v>
      </c>
      <c r="AM97" s="366" t="s">
        <v>1124</v>
      </c>
      <c r="AN97" s="299">
        <v>0</v>
      </c>
      <c r="AO97" s="299">
        <v>0</v>
      </c>
      <c r="AP97" s="299">
        <v>3</v>
      </c>
      <c r="AQ97" s="299">
        <v>0</v>
      </c>
      <c r="AR97" s="299">
        <v>0</v>
      </c>
      <c r="AS97" s="299">
        <v>0</v>
      </c>
      <c r="AT97" s="299">
        <v>0</v>
      </c>
      <c r="AU97" s="299">
        <v>0</v>
      </c>
      <c r="AV97" s="299">
        <v>0</v>
      </c>
      <c r="AW97" s="299">
        <v>0</v>
      </c>
      <c r="AX97" s="299">
        <v>0</v>
      </c>
      <c r="AY97" s="299">
        <v>0</v>
      </c>
      <c r="AZ97" s="297"/>
      <c r="BA97" s="299" t="s">
        <v>38</v>
      </c>
      <c r="BB97" s="299"/>
      <c r="BC97" s="299" t="s">
        <v>38</v>
      </c>
      <c r="BD97" s="299"/>
      <c r="BE97" s="298" t="s">
        <v>1120</v>
      </c>
      <c r="BF97" s="297" t="s">
        <v>40</v>
      </c>
      <c r="BG97" s="299">
        <v>50</v>
      </c>
      <c r="BH97" s="299" t="s">
        <v>41</v>
      </c>
      <c r="BI97" s="298"/>
      <c r="BJ97" t="s">
        <v>430</v>
      </c>
      <c r="BK97" t="s">
        <v>1121</v>
      </c>
    </row>
    <row r="98" spans="1:63" x14ac:dyDescent="0.15">
      <c r="A98" s="148">
        <v>319</v>
      </c>
      <c r="B98" s="328">
        <v>43481</v>
      </c>
      <c r="C98" s="296" t="s">
        <v>10</v>
      </c>
      <c r="D98" s="379" t="s">
        <v>1114</v>
      </c>
      <c r="E98" s="295">
        <v>43466</v>
      </c>
      <c r="F98" s="297" t="s">
        <v>24</v>
      </c>
      <c r="G98" s="297" t="s">
        <v>20</v>
      </c>
      <c r="H98" s="297">
        <v>95.26</v>
      </c>
      <c r="I98" s="376" t="s">
        <v>1101</v>
      </c>
      <c r="J98" s="297">
        <v>6000</v>
      </c>
      <c r="K98" s="297">
        <v>12000</v>
      </c>
      <c r="L98" s="297">
        <v>84000</v>
      </c>
      <c r="M98" s="297">
        <v>84000</v>
      </c>
      <c r="N98" s="297"/>
      <c r="O98" s="297">
        <v>2.0960000000000001</v>
      </c>
      <c r="P98" s="297">
        <v>1.837</v>
      </c>
      <c r="Q98" s="297">
        <v>1.518</v>
      </c>
      <c r="R98" s="297">
        <v>0</v>
      </c>
      <c r="S98" s="297">
        <v>1.5029999999999999</v>
      </c>
      <c r="T98" s="297"/>
      <c r="U98" s="297">
        <v>1.585</v>
      </c>
      <c r="V98" s="297">
        <v>1.5549999999999999</v>
      </c>
      <c r="W98" s="297">
        <v>1.4790000000000001</v>
      </c>
      <c r="X98" s="297">
        <v>0</v>
      </c>
      <c r="Y98" s="297">
        <v>1.4370000000000001</v>
      </c>
      <c r="Z98" s="297"/>
      <c r="AA98" s="297"/>
      <c r="AB98" s="297"/>
      <c r="AC98" s="297"/>
      <c r="AD98" s="297"/>
      <c r="AE98" s="297"/>
      <c r="AF98" s="297"/>
      <c r="AG98" s="299" t="s">
        <v>1116</v>
      </c>
      <c r="AH98" s="299" t="s">
        <v>1117</v>
      </c>
      <c r="AI98" s="299">
        <v>2</v>
      </c>
      <c r="AJ98" s="299">
        <v>4</v>
      </c>
      <c r="AK98" s="388">
        <v>0.33329999999999999</v>
      </c>
      <c r="AL98" s="388">
        <v>0.66659999999999997</v>
      </c>
      <c r="AM98" s="366" t="s">
        <v>1124</v>
      </c>
      <c r="AN98" s="299">
        <v>0</v>
      </c>
      <c r="AO98" s="299">
        <v>0</v>
      </c>
      <c r="AP98" s="299">
        <v>0</v>
      </c>
      <c r="AQ98" s="299">
        <v>0</v>
      </c>
      <c r="AR98" s="299">
        <v>0</v>
      </c>
      <c r="AS98" s="299">
        <v>0</v>
      </c>
      <c r="AT98" s="299">
        <v>0</v>
      </c>
      <c r="AU98" s="299">
        <v>0</v>
      </c>
      <c r="AV98" s="299">
        <v>0</v>
      </c>
      <c r="AW98" s="299">
        <v>0</v>
      </c>
      <c r="AX98" s="299">
        <v>0</v>
      </c>
      <c r="AY98" s="299">
        <v>0</v>
      </c>
      <c r="AZ98" s="297"/>
      <c r="BA98" s="299" t="s">
        <v>38</v>
      </c>
      <c r="BB98" s="299"/>
      <c r="BC98" s="299" t="s">
        <v>38</v>
      </c>
      <c r="BD98" s="299"/>
      <c r="BE98" s="298" t="s">
        <v>44</v>
      </c>
      <c r="BF98" s="297" t="s">
        <v>40</v>
      </c>
      <c r="BG98" s="299">
        <v>50</v>
      </c>
      <c r="BH98" s="299" t="s">
        <v>43</v>
      </c>
      <c r="BI98" s="298"/>
      <c r="BJ98" t="s">
        <v>430</v>
      </c>
      <c r="BK98" t="s">
        <v>408</v>
      </c>
    </row>
    <row r="99" spans="1:63" x14ac:dyDescent="0.15">
      <c r="A99" s="148">
        <v>574</v>
      </c>
      <c r="B99" s="328">
        <v>43481</v>
      </c>
      <c r="C99" s="296" t="s">
        <v>10</v>
      </c>
      <c r="D99" s="379" t="s">
        <v>1114</v>
      </c>
      <c r="E99" s="295">
        <v>43466</v>
      </c>
      <c r="F99" s="298" t="s">
        <v>25</v>
      </c>
      <c r="G99" s="297" t="s">
        <v>26</v>
      </c>
      <c r="H99" s="297">
        <v>78</v>
      </c>
      <c r="I99" s="376" t="s">
        <v>1101</v>
      </c>
      <c r="J99" s="331">
        <v>3200</v>
      </c>
      <c r="K99" s="331">
        <v>3200</v>
      </c>
      <c r="L99" s="331">
        <v>3200</v>
      </c>
      <c r="M99" s="331">
        <v>3200</v>
      </c>
      <c r="N99" s="297"/>
      <c r="O99" s="297">
        <v>2.8</v>
      </c>
      <c r="P99" s="297">
        <v>0</v>
      </c>
      <c r="Q99" s="297">
        <v>0</v>
      </c>
      <c r="R99" s="297">
        <v>0</v>
      </c>
      <c r="S99" s="297">
        <v>2.2000000000000002</v>
      </c>
      <c r="T99" s="297"/>
      <c r="U99" s="297">
        <v>2</v>
      </c>
      <c r="V99" s="297">
        <v>0</v>
      </c>
      <c r="W99" s="297">
        <v>0</v>
      </c>
      <c r="X99" s="297">
        <v>0</v>
      </c>
      <c r="Y99" s="297">
        <v>1.6</v>
      </c>
      <c r="Z99" s="297"/>
      <c r="AA99" s="297"/>
      <c r="AB99" s="297"/>
      <c r="AC99" s="297"/>
      <c r="AD99" s="297"/>
      <c r="AE99" s="297"/>
      <c r="AF99" s="297"/>
      <c r="AG99" s="299" t="s">
        <v>1116</v>
      </c>
      <c r="AH99" s="299" t="s">
        <v>1117</v>
      </c>
      <c r="AI99" s="299">
        <v>2</v>
      </c>
      <c r="AJ99" s="299">
        <v>4</v>
      </c>
      <c r="AK99" s="388">
        <v>0.33329999999999999</v>
      </c>
      <c r="AL99" s="388">
        <v>0.66659999999999997</v>
      </c>
      <c r="AM99" s="366" t="s">
        <v>1124</v>
      </c>
      <c r="AN99" s="299">
        <v>0</v>
      </c>
      <c r="AO99" s="299">
        <v>0</v>
      </c>
      <c r="AP99" s="299">
        <v>0</v>
      </c>
      <c r="AQ99" s="299">
        <v>13</v>
      </c>
      <c r="AR99" s="299">
        <v>0</v>
      </c>
      <c r="AS99" s="299">
        <v>0</v>
      </c>
      <c r="AT99" s="299">
        <v>0</v>
      </c>
      <c r="AU99" s="299">
        <v>0</v>
      </c>
      <c r="AV99" s="299">
        <v>0</v>
      </c>
      <c r="AW99" s="299">
        <v>0</v>
      </c>
      <c r="AX99" s="299">
        <v>0</v>
      </c>
      <c r="AY99" s="299">
        <v>0</v>
      </c>
      <c r="AZ99" s="297"/>
      <c r="BA99" s="299" t="s">
        <v>38</v>
      </c>
      <c r="BB99" s="299">
        <v>12</v>
      </c>
      <c r="BC99" s="299" t="s">
        <v>38</v>
      </c>
      <c r="BD99" s="299"/>
      <c r="BE99" s="298"/>
      <c r="BF99" s="298"/>
      <c r="BG99" s="299"/>
      <c r="BH99" s="299" t="s">
        <v>41</v>
      </c>
      <c r="BI99" s="298"/>
      <c r="BJ99" s="366" t="s">
        <v>430</v>
      </c>
      <c r="BK99" s="366" t="s">
        <v>408</v>
      </c>
    </row>
    <row r="100" spans="1:63" x14ac:dyDescent="0.15">
      <c r="A100" s="148">
        <v>1432</v>
      </c>
      <c r="B100" s="328">
        <v>43481</v>
      </c>
      <c r="C100" s="296" t="s">
        <v>10</v>
      </c>
      <c r="D100" s="379" t="s">
        <v>1114</v>
      </c>
      <c r="E100" s="309">
        <v>43466</v>
      </c>
      <c r="F100" s="298" t="s">
        <v>27</v>
      </c>
      <c r="G100" s="379" t="s">
        <v>28</v>
      </c>
      <c r="H100" s="297">
        <v>80</v>
      </c>
      <c r="I100" s="376" t="s">
        <v>1101</v>
      </c>
      <c r="J100" s="331">
        <v>3500</v>
      </c>
      <c r="K100" s="331">
        <v>3500</v>
      </c>
      <c r="L100" s="331">
        <v>3500</v>
      </c>
      <c r="M100" s="331">
        <v>3500</v>
      </c>
      <c r="N100" s="297"/>
      <c r="O100" s="297">
        <v>2.65</v>
      </c>
      <c r="P100" s="297">
        <v>0</v>
      </c>
      <c r="Q100" s="297">
        <v>0</v>
      </c>
      <c r="R100" s="297">
        <v>0</v>
      </c>
      <c r="S100" s="297">
        <v>1.85</v>
      </c>
      <c r="T100" s="297"/>
      <c r="U100" s="297">
        <v>1.85</v>
      </c>
      <c r="V100" s="297">
        <v>0</v>
      </c>
      <c r="W100" s="297">
        <v>0</v>
      </c>
      <c r="X100" s="297">
        <v>0</v>
      </c>
      <c r="Y100" s="297">
        <v>1.7</v>
      </c>
      <c r="Z100" s="297"/>
      <c r="AA100" s="297"/>
      <c r="AB100" s="297"/>
      <c r="AC100" s="297"/>
      <c r="AD100" s="297"/>
      <c r="AE100" s="297"/>
      <c r="AF100" s="297"/>
      <c r="AG100" s="299" t="s">
        <v>1116</v>
      </c>
      <c r="AH100" s="299" t="s">
        <v>1117</v>
      </c>
      <c r="AI100" s="299">
        <v>2</v>
      </c>
      <c r="AJ100" s="299">
        <v>4</v>
      </c>
      <c r="AK100" s="388">
        <v>0.33329999999999999</v>
      </c>
      <c r="AL100" s="388">
        <v>0.66659999999999997</v>
      </c>
      <c r="AM100" s="366" t="s">
        <v>1124</v>
      </c>
      <c r="AN100" s="299">
        <v>0</v>
      </c>
      <c r="AO100" s="299">
        <v>0</v>
      </c>
      <c r="AP100" s="299">
        <v>10</v>
      </c>
      <c r="AQ100" s="299">
        <v>0</v>
      </c>
      <c r="AR100" s="299">
        <v>0</v>
      </c>
      <c r="AS100" s="299">
        <v>0</v>
      </c>
      <c r="AT100" s="299">
        <v>0</v>
      </c>
      <c r="AU100" s="299">
        <v>0</v>
      </c>
      <c r="AV100" s="299">
        <v>0</v>
      </c>
      <c r="AW100" s="299">
        <v>0</v>
      </c>
      <c r="AX100" s="299">
        <v>0</v>
      </c>
      <c r="AY100" s="299">
        <v>0</v>
      </c>
      <c r="AZ100" s="299"/>
      <c r="BA100" s="299" t="s">
        <v>38</v>
      </c>
      <c r="BB100" s="299"/>
      <c r="BC100" s="299" t="s">
        <v>38</v>
      </c>
      <c r="BD100" s="299"/>
      <c r="BE100" s="298"/>
      <c r="BF100" s="297"/>
      <c r="BG100" s="299"/>
      <c r="BH100" s="299" t="s">
        <v>41</v>
      </c>
      <c r="BI100" s="298"/>
      <c r="BJ100" s="366" t="s">
        <v>1126</v>
      </c>
      <c r="BK100" s="366" t="s">
        <v>408</v>
      </c>
    </row>
    <row r="101" spans="1:63" x14ac:dyDescent="0.15">
      <c r="A101" s="148">
        <v>799</v>
      </c>
      <c r="B101" s="328">
        <v>43481</v>
      </c>
      <c r="C101" s="296" t="s">
        <v>295</v>
      </c>
      <c r="D101" s="379" t="s">
        <v>1114</v>
      </c>
      <c r="E101" s="309">
        <v>43369</v>
      </c>
      <c r="F101" s="298" t="s">
        <v>984</v>
      </c>
      <c r="G101" s="297" t="s">
        <v>30</v>
      </c>
      <c r="H101" s="297">
        <v>76.81</v>
      </c>
      <c r="I101" s="376" t="s">
        <v>1101</v>
      </c>
      <c r="J101" s="297">
        <v>6000</v>
      </c>
      <c r="K101" s="297">
        <v>12000</v>
      </c>
      <c r="L101" s="297">
        <v>84000</v>
      </c>
      <c r="M101" s="297">
        <v>84000</v>
      </c>
      <c r="N101" s="297"/>
      <c r="O101" s="297">
        <v>2.88</v>
      </c>
      <c r="P101" s="297">
        <v>2.82</v>
      </c>
      <c r="Q101" s="297">
        <v>1.91</v>
      </c>
      <c r="R101" s="297">
        <v>0</v>
      </c>
      <c r="S101" s="297">
        <v>1.87</v>
      </c>
      <c r="T101" s="297"/>
      <c r="U101" s="297">
        <v>2.2000000000000002</v>
      </c>
      <c r="V101" s="297">
        <v>2.12</v>
      </c>
      <c r="W101" s="297">
        <v>1.9</v>
      </c>
      <c r="X101" s="297">
        <v>0</v>
      </c>
      <c r="Y101" s="297">
        <v>1.78</v>
      </c>
      <c r="Z101" s="297"/>
      <c r="AA101" s="297"/>
      <c r="AB101" s="297"/>
      <c r="AC101" s="297"/>
      <c r="AD101" s="297"/>
      <c r="AE101" s="297"/>
      <c r="AF101" s="297"/>
      <c r="AG101" s="299" t="s">
        <v>297</v>
      </c>
      <c r="AH101" s="299" t="s">
        <v>298</v>
      </c>
      <c r="AI101" s="299">
        <v>2</v>
      </c>
      <c r="AJ101" s="299">
        <v>4</v>
      </c>
      <c r="AK101" s="388">
        <v>0.33329999999999999</v>
      </c>
      <c r="AL101" s="388">
        <v>0.66659999999999997</v>
      </c>
      <c r="AM101" s="366" t="s">
        <v>1124</v>
      </c>
      <c r="AN101" s="299">
        <v>0</v>
      </c>
      <c r="AO101" s="299">
        <v>0</v>
      </c>
      <c r="AP101" s="299">
        <v>0</v>
      </c>
      <c r="AQ101" s="299">
        <v>26</v>
      </c>
      <c r="AR101" s="299">
        <v>0</v>
      </c>
      <c r="AS101" s="299">
        <v>0</v>
      </c>
      <c r="AT101" s="299">
        <v>0</v>
      </c>
      <c r="AU101" s="299">
        <v>0</v>
      </c>
      <c r="AV101" s="299">
        <v>0</v>
      </c>
      <c r="AW101" s="299">
        <v>0</v>
      </c>
      <c r="AX101" s="299">
        <v>0</v>
      </c>
      <c r="AY101" s="299">
        <v>0</v>
      </c>
      <c r="AZ101" s="297"/>
      <c r="BA101" s="299" t="s">
        <v>38</v>
      </c>
      <c r="BB101" s="299">
        <v>24</v>
      </c>
      <c r="BC101" s="299" t="s">
        <v>38</v>
      </c>
      <c r="BD101" s="299"/>
      <c r="BE101" s="378" t="s">
        <v>46</v>
      </c>
      <c r="BF101" s="297" t="s">
        <v>365</v>
      </c>
      <c r="BG101" s="299">
        <v>50</v>
      </c>
      <c r="BH101" s="299" t="s">
        <v>43</v>
      </c>
      <c r="BI101" s="298"/>
      <c r="BJ101" t="s">
        <v>430</v>
      </c>
      <c r="BK101" s="366" t="s">
        <v>368</v>
      </c>
    </row>
    <row r="102" spans="1:63" x14ac:dyDescent="0.15">
      <c r="A102" s="148">
        <v>1608</v>
      </c>
      <c r="B102" s="328">
        <v>43481</v>
      </c>
      <c r="C102" s="296" t="s">
        <v>10</v>
      </c>
      <c r="D102" s="379" t="s">
        <v>1114</v>
      </c>
      <c r="E102" s="309">
        <v>43221</v>
      </c>
      <c r="F102" s="297" t="s">
        <v>31</v>
      </c>
      <c r="G102" s="297" t="s">
        <v>32</v>
      </c>
      <c r="H102" s="332">
        <v>80.096000000000004</v>
      </c>
      <c r="I102" s="394" t="s">
        <v>1101</v>
      </c>
      <c r="J102" s="297">
        <v>6000</v>
      </c>
      <c r="K102" s="297">
        <v>12000</v>
      </c>
      <c r="L102" s="297">
        <v>84000</v>
      </c>
      <c r="M102" s="297">
        <v>84000</v>
      </c>
      <c r="N102" s="332"/>
      <c r="O102" s="332">
        <v>2.7759999999999998</v>
      </c>
      <c r="P102" s="332">
        <v>2.6440000000000001</v>
      </c>
      <c r="Q102" s="332">
        <v>2.016</v>
      </c>
      <c r="R102" s="297">
        <v>0</v>
      </c>
      <c r="S102" s="332">
        <v>1.7190000000000001</v>
      </c>
      <c r="T102" s="332"/>
      <c r="U102" s="332">
        <v>2.194</v>
      </c>
      <c r="V102" s="332">
        <v>1.911</v>
      </c>
      <c r="W102" s="332">
        <v>1.7509999999999999</v>
      </c>
      <c r="X102" s="297">
        <v>0</v>
      </c>
      <c r="Y102" s="332">
        <v>1.4930000000000001</v>
      </c>
      <c r="Z102" s="332"/>
      <c r="AA102" s="332"/>
      <c r="AB102" s="332"/>
      <c r="AC102" s="332"/>
      <c r="AD102" s="332"/>
      <c r="AE102" s="332"/>
      <c r="AF102" s="332"/>
      <c r="AG102" s="333" t="s">
        <v>1116</v>
      </c>
      <c r="AH102" s="333" t="s">
        <v>1117</v>
      </c>
      <c r="AI102" s="299">
        <v>2</v>
      </c>
      <c r="AJ102" s="299">
        <v>4</v>
      </c>
      <c r="AK102" s="388">
        <v>0.33329999999999999</v>
      </c>
      <c r="AL102" s="388">
        <v>0.66659999999999997</v>
      </c>
      <c r="AM102" s="366" t="s">
        <v>1124</v>
      </c>
      <c r="AN102" s="299">
        <v>0</v>
      </c>
      <c r="AO102" s="299">
        <v>0</v>
      </c>
      <c r="AP102" s="299">
        <v>0</v>
      </c>
      <c r="AQ102" s="299">
        <v>25</v>
      </c>
      <c r="AR102" s="299">
        <v>0</v>
      </c>
      <c r="AS102" s="299">
        <v>0</v>
      </c>
      <c r="AT102" s="299">
        <v>0</v>
      </c>
      <c r="AU102" s="299">
        <v>0</v>
      </c>
      <c r="AV102" s="299">
        <v>0</v>
      </c>
      <c r="AW102" s="299">
        <v>0</v>
      </c>
      <c r="AX102" s="299">
        <v>0</v>
      </c>
      <c r="AY102" s="299">
        <v>0</v>
      </c>
      <c r="AZ102" s="299"/>
      <c r="BA102" s="299" t="s">
        <v>38</v>
      </c>
      <c r="BB102" s="299">
        <v>12</v>
      </c>
      <c r="BC102" s="299" t="s">
        <v>38</v>
      </c>
      <c r="BD102" s="299"/>
      <c r="BE102" s="298"/>
      <c r="BF102" s="297"/>
      <c r="BG102" s="299"/>
      <c r="BH102" s="299" t="s">
        <v>43</v>
      </c>
      <c r="BI102" s="298"/>
      <c r="BJ102" t="s">
        <v>430</v>
      </c>
      <c r="BK102" s="366" t="s">
        <v>368</v>
      </c>
    </row>
    <row r="103" spans="1:63" x14ac:dyDescent="0.15">
      <c r="A103" s="148">
        <v>1918</v>
      </c>
      <c r="B103" s="328">
        <v>43480</v>
      </c>
      <c r="C103" s="296" t="s">
        <v>10</v>
      </c>
      <c r="D103" s="379" t="s">
        <v>1114</v>
      </c>
      <c r="E103" s="295">
        <v>43479</v>
      </c>
      <c r="F103" s="298" t="s">
        <v>987</v>
      </c>
      <c r="G103" s="297" t="s">
        <v>1127</v>
      </c>
      <c r="H103" s="297">
        <v>65.823999999999998</v>
      </c>
      <c r="I103" s="376" t="s">
        <v>1101</v>
      </c>
      <c r="J103" s="297">
        <v>6000</v>
      </c>
      <c r="K103" s="297">
        <v>12000</v>
      </c>
      <c r="L103" s="297">
        <v>12000</v>
      </c>
      <c r="M103" s="297">
        <v>12000</v>
      </c>
      <c r="N103" s="297"/>
      <c r="O103" s="297">
        <v>2.4140000000000001</v>
      </c>
      <c r="P103" s="297">
        <v>2.0739999999999998</v>
      </c>
      <c r="Q103" s="297">
        <v>0</v>
      </c>
      <c r="R103" s="297">
        <v>0</v>
      </c>
      <c r="S103" s="297">
        <v>1.5640000000000001</v>
      </c>
      <c r="T103" s="297"/>
      <c r="U103" s="297">
        <v>1.7</v>
      </c>
      <c r="V103" s="297">
        <v>1.6659999999999999</v>
      </c>
      <c r="W103" s="297">
        <v>0</v>
      </c>
      <c r="X103" s="297">
        <v>0</v>
      </c>
      <c r="Y103" s="297">
        <v>1.5640000000000001</v>
      </c>
      <c r="Z103" s="297"/>
      <c r="AA103" s="297"/>
      <c r="AB103" s="297"/>
      <c r="AC103" s="297"/>
      <c r="AD103" s="297"/>
      <c r="AE103" s="297"/>
      <c r="AF103" s="297"/>
      <c r="AG103" s="299" t="s">
        <v>1116</v>
      </c>
      <c r="AH103" s="299" t="s">
        <v>1117</v>
      </c>
      <c r="AI103" s="299">
        <v>2</v>
      </c>
      <c r="AJ103" s="299">
        <v>4</v>
      </c>
      <c r="AK103" s="388">
        <v>0.33329999999999999</v>
      </c>
      <c r="AL103" s="388">
        <v>0.66659999999999997</v>
      </c>
      <c r="AM103" s="366" t="s">
        <v>1124</v>
      </c>
      <c r="AN103" s="299">
        <v>0</v>
      </c>
      <c r="AO103" s="299">
        <v>0</v>
      </c>
      <c r="AP103" s="299">
        <v>0</v>
      </c>
      <c r="AQ103" s="335">
        <v>0</v>
      </c>
      <c r="AR103" s="299">
        <v>0</v>
      </c>
      <c r="AS103" s="299">
        <v>0</v>
      </c>
      <c r="AT103" s="299">
        <v>0</v>
      </c>
      <c r="AU103" s="299">
        <v>0</v>
      </c>
      <c r="AV103" s="299">
        <v>0</v>
      </c>
      <c r="AW103" s="299">
        <v>0</v>
      </c>
      <c r="AX103" s="299">
        <v>0</v>
      </c>
      <c r="AY103" s="335">
        <v>0</v>
      </c>
      <c r="AZ103" s="299"/>
      <c r="BA103" s="299" t="s">
        <v>38</v>
      </c>
      <c r="BB103" s="335"/>
      <c r="BC103" s="299" t="s">
        <v>38</v>
      </c>
      <c r="BD103" s="299"/>
      <c r="BE103" s="298"/>
      <c r="BF103" s="297"/>
      <c r="BG103" s="299"/>
      <c r="BH103" s="335" t="s">
        <v>41</v>
      </c>
      <c r="BI103" s="298" t="s">
        <v>370</v>
      </c>
      <c r="BJ103" t="s">
        <v>430</v>
      </c>
      <c r="BK103" t="s">
        <v>368</v>
      </c>
    </row>
    <row r="104" spans="1:63" x14ac:dyDescent="0.15">
      <c r="A104" s="148">
        <v>1689</v>
      </c>
      <c r="B104" s="328">
        <v>43480</v>
      </c>
      <c r="C104" s="296" t="s">
        <v>295</v>
      </c>
      <c r="D104" s="379" t="s">
        <v>1114</v>
      </c>
      <c r="E104" s="328">
        <v>43419</v>
      </c>
      <c r="F104" s="378" t="s">
        <v>1106</v>
      </c>
      <c r="G104" s="297" t="s">
        <v>2</v>
      </c>
      <c r="H104" s="297">
        <v>112</v>
      </c>
      <c r="I104" s="376" t="s">
        <v>296</v>
      </c>
      <c r="J104" s="297">
        <v>12000</v>
      </c>
      <c r="K104" s="297">
        <v>12000</v>
      </c>
      <c r="L104" s="297">
        <v>12000</v>
      </c>
      <c r="M104" s="297">
        <v>12000</v>
      </c>
      <c r="N104" s="297"/>
      <c r="O104" s="297">
        <v>2.8</v>
      </c>
      <c r="P104" s="297">
        <v>0</v>
      </c>
      <c r="Q104" s="297">
        <v>0</v>
      </c>
      <c r="R104" s="297">
        <v>0</v>
      </c>
      <c r="S104" s="297">
        <v>2</v>
      </c>
      <c r="T104" s="297"/>
      <c r="U104" s="297">
        <v>2.15</v>
      </c>
      <c r="V104" s="297">
        <v>0</v>
      </c>
      <c r="W104" s="297">
        <v>0</v>
      </c>
      <c r="X104" s="297">
        <v>0</v>
      </c>
      <c r="Y104" s="297">
        <v>1.75</v>
      </c>
      <c r="Z104" s="297"/>
      <c r="AA104" s="297"/>
      <c r="AB104" s="297"/>
      <c r="AC104" s="297"/>
      <c r="AD104" s="297"/>
      <c r="AE104" s="297"/>
      <c r="AF104" s="297"/>
      <c r="AG104" s="299" t="s">
        <v>403</v>
      </c>
      <c r="AH104" s="299" t="s">
        <v>404</v>
      </c>
      <c r="AI104" s="299">
        <v>2</v>
      </c>
      <c r="AJ104" s="299">
        <v>4</v>
      </c>
      <c r="AK104" s="388">
        <v>0.33329999999999999</v>
      </c>
      <c r="AL104" s="388">
        <v>0.66659999999999997</v>
      </c>
      <c r="AM104" s="366" t="s">
        <v>1124</v>
      </c>
      <c r="AN104" s="299">
        <v>0</v>
      </c>
      <c r="AO104" s="299">
        <v>0</v>
      </c>
      <c r="AP104" s="299">
        <v>32</v>
      </c>
      <c r="AQ104" s="299">
        <v>0</v>
      </c>
      <c r="AR104" s="299">
        <v>0</v>
      </c>
      <c r="AS104" s="299">
        <v>0</v>
      </c>
      <c r="AT104" s="299">
        <v>0</v>
      </c>
      <c r="AU104" s="299">
        <v>0</v>
      </c>
      <c r="AV104" s="299">
        <v>0</v>
      </c>
      <c r="AW104" s="299">
        <v>0</v>
      </c>
      <c r="AX104" s="299">
        <v>0</v>
      </c>
      <c r="AY104" s="299">
        <v>0</v>
      </c>
      <c r="AZ104" s="299"/>
      <c r="BA104" s="299" t="s">
        <v>38</v>
      </c>
      <c r="BB104" s="299"/>
      <c r="BC104" s="299" t="s">
        <v>38</v>
      </c>
      <c r="BD104" s="299"/>
      <c r="BE104" s="297"/>
      <c r="BF104" s="299"/>
      <c r="BG104" s="299"/>
      <c r="BH104" s="299" t="s">
        <v>41</v>
      </c>
      <c r="BI104" s="297"/>
      <c r="BJ104" t="s">
        <v>430</v>
      </c>
      <c r="BK104" s="366" t="s">
        <v>368</v>
      </c>
    </row>
    <row r="105" spans="1:63" x14ac:dyDescent="0.15">
      <c r="A105" s="148">
        <v>1509</v>
      </c>
      <c r="B105" s="328">
        <v>43481</v>
      </c>
      <c r="C105" s="296" t="s">
        <v>10</v>
      </c>
      <c r="D105" s="379" t="s">
        <v>1114</v>
      </c>
      <c r="E105" s="309">
        <v>43229</v>
      </c>
      <c r="F105" s="297" t="s">
        <v>34</v>
      </c>
      <c r="G105" s="379" t="s">
        <v>1107</v>
      </c>
      <c r="H105" s="332">
        <v>94.56</v>
      </c>
      <c r="I105" s="394"/>
      <c r="J105" s="297"/>
      <c r="K105" s="297"/>
      <c r="L105" s="297"/>
      <c r="M105" s="297"/>
      <c r="N105" s="297"/>
      <c r="O105" s="332">
        <v>1.76</v>
      </c>
      <c r="P105" s="332">
        <v>0</v>
      </c>
      <c r="Q105" s="332">
        <v>0</v>
      </c>
      <c r="R105" s="332">
        <v>0</v>
      </c>
      <c r="S105" s="332">
        <v>0</v>
      </c>
      <c r="T105" s="332"/>
      <c r="U105" s="332">
        <v>1.45</v>
      </c>
      <c r="V105" s="332">
        <v>0</v>
      </c>
      <c r="W105" s="332">
        <v>0</v>
      </c>
      <c r="X105" s="332">
        <v>0</v>
      </c>
      <c r="Y105" s="332">
        <v>0</v>
      </c>
      <c r="Z105" s="332"/>
      <c r="AA105" s="332"/>
      <c r="AB105" s="332"/>
      <c r="AC105" s="332"/>
      <c r="AD105" s="332"/>
      <c r="AE105" s="332"/>
      <c r="AF105" s="332"/>
      <c r="AG105" s="333" t="s">
        <v>1116</v>
      </c>
      <c r="AH105" s="333" t="s">
        <v>1117</v>
      </c>
      <c r="AI105" s="299">
        <v>2</v>
      </c>
      <c r="AJ105" s="299">
        <v>4</v>
      </c>
      <c r="AK105" s="388">
        <v>0.33329999999999999</v>
      </c>
      <c r="AL105" s="388">
        <v>0.66659999999999997</v>
      </c>
      <c r="AM105" s="366" t="s">
        <v>1124</v>
      </c>
      <c r="AN105" s="299">
        <v>0</v>
      </c>
      <c r="AO105" s="299">
        <v>0</v>
      </c>
      <c r="AP105" s="299">
        <v>5</v>
      </c>
      <c r="AQ105" s="299">
        <v>0</v>
      </c>
      <c r="AR105" s="299">
        <v>0</v>
      </c>
      <c r="AS105" s="299">
        <v>0</v>
      </c>
      <c r="AT105" s="299">
        <v>0</v>
      </c>
      <c r="AU105" s="299">
        <v>0</v>
      </c>
      <c r="AV105" s="299">
        <v>0</v>
      </c>
      <c r="AW105" s="299">
        <v>0</v>
      </c>
      <c r="AX105" s="299">
        <v>0</v>
      </c>
      <c r="AY105" s="299">
        <v>0</v>
      </c>
      <c r="AZ105" s="299"/>
      <c r="BA105" s="299" t="s">
        <v>38</v>
      </c>
      <c r="BB105" s="299"/>
      <c r="BC105" s="299" t="s">
        <v>38</v>
      </c>
      <c r="BD105" s="299"/>
      <c r="BE105" s="298"/>
      <c r="BF105" s="297"/>
      <c r="BG105" s="299"/>
      <c r="BH105" s="299" t="s">
        <v>43</v>
      </c>
      <c r="BI105" s="298" t="s">
        <v>47</v>
      </c>
      <c r="BJ105" t="s">
        <v>56</v>
      </c>
      <c r="BK105" s="366" t="s">
        <v>368</v>
      </c>
    </row>
    <row r="106" spans="1:63" x14ac:dyDescent="0.15">
      <c r="A106" s="148">
        <v>82</v>
      </c>
      <c r="B106" s="328">
        <v>43480</v>
      </c>
      <c r="C106" s="296" t="s">
        <v>10</v>
      </c>
      <c r="D106" s="379" t="s">
        <v>1115</v>
      </c>
      <c r="E106" s="295">
        <v>43479</v>
      </c>
      <c r="F106" s="298" t="s">
        <v>12</v>
      </c>
      <c r="G106" s="297" t="s">
        <v>13</v>
      </c>
      <c r="H106" s="297">
        <v>85.5</v>
      </c>
      <c r="I106" s="376" t="s">
        <v>1101</v>
      </c>
      <c r="J106" s="297">
        <v>6000</v>
      </c>
      <c r="K106" s="297">
        <v>12000</v>
      </c>
      <c r="L106" s="297">
        <v>84000</v>
      </c>
      <c r="M106" s="297">
        <v>84000</v>
      </c>
      <c r="N106" s="297"/>
      <c r="O106" s="297">
        <v>2.4700000000000002</v>
      </c>
      <c r="P106" s="297">
        <v>2.4</v>
      </c>
      <c r="Q106" s="297">
        <v>1.59</v>
      </c>
      <c r="R106" s="332">
        <v>0</v>
      </c>
      <c r="S106" s="297">
        <v>1.54</v>
      </c>
      <c r="T106" s="297"/>
      <c r="U106" s="297">
        <v>2.2599999999999998</v>
      </c>
      <c r="V106" s="297">
        <v>1.77</v>
      </c>
      <c r="W106" s="297">
        <v>1.58</v>
      </c>
      <c r="X106" s="332">
        <v>0</v>
      </c>
      <c r="Y106" s="297">
        <v>1.43</v>
      </c>
      <c r="Z106" s="297"/>
      <c r="AA106" s="297"/>
      <c r="AB106" s="297"/>
      <c r="AC106" s="297"/>
      <c r="AD106" s="297"/>
      <c r="AE106" s="297"/>
      <c r="AF106" s="297"/>
      <c r="AG106" s="299" t="s">
        <v>1116</v>
      </c>
      <c r="AH106" s="299" t="s">
        <v>1117</v>
      </c>
      <c r="AI106" s="299">
        <v>2</v>
      </c>
      <c r="AJ106" s="299">
        <v>4</v>
      </c>
      <c r="AK106" s="388">
        <v>0.33329999999999999</v>
      </c>
      <c r="AL106" s="388">
        <v>0.66659999999999997</v>
      </c>
      <c r="AM106" s="366" t="s">
        <v>1124</v>
      </c>
      <c r="AN106" s="299">
        <v>0</v>
      </c>
      <c r="AO106" s="299">
        <v>0</v>
      </c>
      <c r="AP106" s="299">
        <v>0</v>
      </c>
      <c r="AQ106" s="299">
        <v>24</v>
      </c>
      <c r="AR106" s="299">
        <v>0</v>
      </c>
      <c r="AS106" s="299">
        <v>0</v>
      </c>
      <c r="AT106" s="299">
        <v>0</v>
      </c>
      <c r="AU106" s="299">
        <v>0</v>
      </c>
      <c r="AV106" s="299">
        <v>0</v>
      </c>
      <c r="AW106" s="299">
        <v>0</v>
      </c>
      <c r="AX106" s="299">
        <v>0</v>
      </c>
      <c r="AY106" s="299">
        <v>0</v>
      </c>
      <c r="AZ106" s="299"/>
      <c r="BA106" s="299" t="s">
        <v>38</v>
      </c>
      <c r="BB106" s="299">
        <v>12</v>
      </c>
      <c r="BC106" s="299" t="s">
        <v>38</v>
      </c>
      <c r="BD106" s="299"/>
      <c r="BE106" s="298"/>
      <c r="BF106" s="297"/>
      <c r="BG106" s="299"/>
      <c r="BH106" s="299" t="s">
        <v>41</v>
      </c>
      <c r="BI106" s="298"/>
      <c r="BJ106" s="366" t="s">
        <v>430</v>
      </c>
      <c r="BK106" t="s">
        <v>408</v>
      </c>
    </row>
    <row r="107" spans="1:63" x14ac:dyDescent="0.15">
      <c r="A107" s="148">
        <v>1866</v>
      </c>
      <c r="B107" s="328">
        <v>43481</v>
      </c>
      <c r="C107" s="296" t="s">
        <v>10</v>
      </c>
      <c r="D107" s="379" t="s">
        <v>1115</v>
      </c>
      <c r="E107" s="328">
        <v>43477</v>
      </c>
      <c r="F107" s="298" t="s">
        <v>14</v>
      </c>
      <c r="G107" s="379" t="s">
        <v>1102</v>
      </c>
      <c r="H107" s="297">
        <v>88</v>
      </c>
      <c r="I107" s="376" t="s">
        <v>1101</v>
      </c>
      <c r="J107" s="331">
        <v>6000</v>
      </c>
      <c r="K107" s="331">
        <v>6000</v>
      </c>
      <c r="L107" s="331">
        <v>6000</v>
      </c>
      <c r="M107" s="331">
        <v>6000</v>
      </c>
      <c r="N107" s="297"/>
      <c r="O107" s="297">
        <v>2.6</v>
      </c>
      <c r="P107" s="297">
        <v>0</v>
      </c>
      <c r="Q107" s="297">
        <v>0</v>
      </c>
      <c r="R107" s="297">
        <v>0</v>
      </c>
      <c r="S107" s="297">
        <v>2</v>
      </c>
      <c r="T107" s="297"/>
      <c r="U107" s="297">
        <v>2.4</v>
      </c>
      <c r="V107" s="297">
        <v>0</v>
      </c>
      <c r="W107" s="297">
        <v>0</v>
      </c>
      <c r="X107" s="297">
        <v>0</v>
      </c>
      <c r="Y107" s="297">
        <v>1.9</v>
      </c>
      <c r="Z107" s="297"/>
      <c r="AA107" s="297"/>
      <c r="AB107" s="297"/>
      <c r="AC107" s="297"/>
      <c r="AD107" s="297"/>
      <c r="AE107" s="297"/>
      <c r="AF107" s="297"/>
      <c r="AG107" s="299" t="s">
        <v>1116</v>
      </c>
      <c r="AH107" s="299" t="s">
        <v>1117</v>
      </c>
      <c r="AI107" s="299">
        <v>2</v>
      </c>
      <c r="AJ107" s="299">
        <v>4</v>
      </c>
      <c r="AK107" s="388">
        <v>0.33329999999999999</v>
      </c>
      <c r="AL107" s="388">
        <v>0.66659999999999997</v>
      </c>
      <c r="AM107" s="366" t="s">
        <v>1124</v>
      </c>
      <c r="AN107" s="299">
        <v>0</v>
      </c>
      <c r="AO107" s="299">
        <v>20</v>
      </c>
      <c r="AP107" s="299">
        <v>0</v>
      </c>
      <c r="AQ107" s="299">
        <v>0</v>
      </c>
      <c r="AR107" s="299">
        <v>0</v>
      </c>
      <c r="AS107" s="299">
        <v>0</v>
      </c>
      <c r="AT107" s="299">
        <v>0</v>
      </c>
      <c r="AU107" s="299">
        <v>0</v>
      </c>
      <c r="AV107" s="299">
        <v>0</v>
      </c>
      <c r="AW107" s="299">
        <v>0</v>
      </c>
      <c r="AX107" s="299">
        <v>0</v>
      </c>
      <c r="AY107" s="299">
        <v>0</v>
      </c>
      <c r="AZ107" s="297"/>
      <c r="BA107" s="299" t="s">
        <v>38</v>
      </c>
      <c r="BB107" s="299">
        <v>12</v>
      </c>
      <c r="BC107" s="299" t="s">
        <v>38</v>
      </c>
      <c r="BD107" s="299"/>
      <c r="BE107" s="298"/>
      <c r="BF107" s="297"/>
      <c r="BG107" s="299"/>
      <c r="BH107" s="299" t="s">
        <v>411</v>
      </c>
      <c r="BI107" s="298"/>
      <c r="BJ107" s="366" t="s">
        <v>1119</v>
      </c>
      <c r="BK107" s="366" t="s">
        <v>408</v>
      </c>
    </row>
    <row r="108" spans="1:63" x14ac:dyDescent="0.15">
      <c r="A108" s="148">
        <v>1881</v>
      </c>
      <c r="B108" s="328">
        <v>43480</v>
      </c>
      <c r="C108" s="296" t="s">
        <v>10</v>
      </c>
      <c r="D108" s="379" t="s">
        <v>1115</v>
      </c>
      <c r="E108" s="295">
        <v>43437</v>
      </c>
      <c r="F108" s="298" t="s">
        <v>16</v>
      </c>
      <c r="G108" s="379" t="s">
        <v>1103</v>
      </c>
      <c r="H108" s="297">
        <v>96.8</v>
      </c>
      <c r="I108" s="376" t="s">
        <v>1101</v>
      </c>
      <c r="J108" s="297">
        <v>6000</v>
      </c>
      <c r="K108" s="297">
        <v>12000</v>
      </c>
      <c r="L108" s="297">
        <v>12000</v>
      </c>
      <c r="M108" s="297">
        <v>12000</v>
      </c>
      <c r="N108" s="297"/>
      <c r="O108" s="297">
        <v>3.55</v>
      </c>
      <c r="P108" s="297">
        <v>3.05</v>
      </c>
      <c r="Q108" s="297">
        <v>0</v>
      </c>
      <c r="R108" s="297">
        <v>0</v>
      </c>
      <c r="S108" s="297">
        <v>2.2999999999999998</v>
      </c>
      <c r="T108" s="297"/>
      <c r="U108" s="297">
        <v>2.5</v>
      </c>
      <c r="V108" s="297">
        <v>2.4500000000000002</v>
      </c>
      <c r="W108" s="297">
        <v>0</v>
      </c>
      <c r="X108" s="297">
        <v>0</v>
      </c>
      <c r="Y108" s="297">
        <v>2.2999999999999998</v>
      </c>
      <c r="AB108" s="297"/>
      <c r="AC108" s="297"/>
      <c r="AD108" s="297"/>
      <c r="AE108" s="297"/>
      <c r="AF108" s="297"/>
      <c r="AG108" s="299" t="s">
        <v>1116</v>
      </c>
      <c r="AH108" s="299" t="s">
        <v>1117</v>
      </c>
      <c r="AI108" s="299">
        <v>2</v>
      </c>
      <c r="AJ108" s="299">
        <v>4</v>
      </c>
      <c r="AK108" s="388">
        <v>0.33329999999999999</v>
      </c>
      <c r="AL108" s="388">
        <v>0.66659999999999997</v>
      </c>
      <c r="AM108" s="366" t="s">
        <v>1124</v>
      </c>
      <c r="AN108" s="299">
        <v>0</v>
      </c>
      <c r="AO108" s="299">
        <v>0</v>
      </c>
      <c r="AP108" s="299">
        <v>26</v>
      </c>
      <c r="AQ108" s="299">
        <v>0</v>
      </c>
      <c r="AR108" s="299">
        <v>0</v>
      </c>
      <c r="AS108" s="299">
        <v>0</v>
      </c>
      <c r="AT108" s="299">
        <v>0</v>
      </c>
      <c r="AU108" s="299">
        <v>0</v>
      </c>
      <c r="AV108" s="299">
        <v>0</v>
      </c>
      <c r="AW108" s="299">
        <v>0</v>
      </c>
      <c r="AX108" s="299">
        <v>0</v>
      </c>
      <c r="AY108" s="299">
        <v>0</v>
      </c>
      <c r="AZ108" s="297"/>
      <c r="BA108" s="299" t="s">
        <v>38</v>
      </c>
      <c r="BB108" s="299"/>
      <c r="BC108" s="299" t="s">
        <v>38</v>
      </c>
      <c r="BD108" s="299"/>
      <c r="BE108" s="298"/>
      <c r="BF108" s="297"/>
      <c r="BG108" s="299"/>
      <c r="BH108" s="299" t="s">
        <v>41</v>
      </c>
      <c r="BI108" s="298" t="s">
        <v>42</v>
      </c>
      <c r="BJ108" s="366" t="s">
        <v>430</v>
      </c>
      <c r="BK108" t="s">
        <v>368</v>
      </c>
    </row>
    <row r="109" spans="1:63" x14ac:dyDescent="0.15">
      <c r="A109" s="148">
        <v>1141</v>
      </c>
      <c r="B109" s="328">
        <v>43481</v>
      </c>
      <c r="C109" s="296" t="s">
        <v>10</v>
      </c>
      <c r="D109" s="379" t="s">
        <v>1115</v>
      </c>
      <c r="E109" s="295">
        <v>43466</v>
      </c>
      <c r="F109" s="298" t="s">
        <v>18</v>
      </c>
      <c r="G109" s="297" t="s">
        <v>418</v>
      </c>
      <c r="H109" s="297">
        <v>85</v>
      </c>
      <c r="I109" s="376" t="s">
        <v>1101</v>
      </c>
      <c r="J109" s="297">
        <v>6000</v>
      </c>
      <c r="K109" s="297">
        <v>12000</v>
      </c>
      <c r="L109" s="297">
        <v>84000</v>
      </c>
      <c r="M109" s="297">
        <v>84000</v>
      </c>
      <c r="N109" s="297"/>
      <c r="O109" s="297">
        <v>2.87</v>
      </c>
      <c r="P109" s="297">
        <v>2.5499999999999998</v>
      </c>
      <c r="Q109" s="297">
        <v>2.1</v>
      </c>
      <c r="R109" s="297">
        <v>0</v>
      </c>
      <c r="S109" s="297">
        <v>1.8</v>
      </c>
      <c r="T109" s="297"/>
      <c r="U109" s="297">
        <v>2.4</v>
      </c>
      <c r="V109" s="297">
        <v>2.2000000000000002</v>
      </c>
      <c r="W109" s="297">
        <v>2</v>
      </c>
      <c r="X109" s="297">
        <v>0</v>
      </c>
      <c r="Y109" s="297">
        <v>1.6</v>
      </c>
      <c r="AB109" s="297"/>
      <c r="AC109" s="297"/>
      <c r="AD109" s="297"/>
      <c r="AE109" s="297"/>
      <c r="AF109" s="297"/>
      <c r="AG109" s="299" t="s">
        <v>1116</v>
      </c>
      <c r="AH109" s="299" t="s">
        <v>1117</v>
      </c>
      <c r="AI109" s="299">
        <v>3</v>
      </c>
      <c r="AJ109" s="299">
        <v>3</v>
      </c>
      <c r="AK109" s="388">
        <v>0.5</v>
      </c>
      <c r="AL109" s="388">
        <v>0.5</v>
      </c>
      <c r="AM109" s="366" t="s">
        <v>1124</v>
      </c>
      <c r="AN109" s="299">
        <v>0</v>
      </c>
      <c r="AO109" s="299">
        <v>0</v>
      </c>
      <c r="AP109" s="299">
        <v>0</v>
      </c>
      <c r="AQ109" s="299">
        <v>16</v>
      </c>
      <c r="AR109" s="299">
        <v>0</v>
      </c>
      <c r="AS109" s="299">
        <v>0</v>
      </c>
      <c r="AT109" s="299">
        <v>0</v>
      </c>
      <c r="AU109" s="299">
        <v>0</v>
      </c>
      <c r="AV109" s="299">
        <v>0</v>
      </c>
      <c r="AW109" s="299">
        <v>0</v>
      </c>
      <c r="AX109" s="299">
        <v>0</v>
      </c>
      <c r="AY109" s="299">
        <v>0</v>
      </c>
      <c r="AZ109" s="299"/>
      <c r="BA109" s="299" t="s">
        <v>38</v>
      </c>
      <c r="BB109" s="299"/>
      <c r="BC109" s="299" t="s">
        <v>38</v>
      </c>
      <c r="BD109" s="299"/>
      <c r="BE109" s="298"/>
      <c r="BF109" s="297"/>
      <c r="BG109" s="299"/>
      <c r="BH109" s="299" t="s">
        <v>41</v>
      </c>
      <c r="BI109" s="298" t="s">
        <v>370</v>
      </c>
      <c r="BJ109" s="366" t="s">
        <v>430</v>
      </c>
      <c r="BK109" s="366" t="s">
        <v>408</v>
      </c>
    </row>
    <row r="110" spans="1:63" x14ac:dyDescent="0.15">
      <c r="A110" s="148">
        <v>878</v>
      </c>
      <c r="B110" s="328">
        <v>43480</v>
      </c>
      <c r="C110" s="296" t="s">
        <v>10</v>
      </c>
      <c r="D110" s="379" t="s">
        <v>1115</v>
      </c>
      <c r="E110" s="295">
        <v>43154</v>
      </c>
      <c r="F110" s="298" t="s">
        <v>19</v>
      </c>
      <c r="G110" s="297" t="s">
        <v>20</v>
      </c>
      <c r="H110" s="297">
        <v>79.900000000000006</v>
      </c>
      <c r="I110" s="376" t="s">
        <v>1101</v>
      </c>
      <c r="J110" s="331">
        <v>3200</v>
      </c>
      <c r="K110" s="331">
        <v>3200</v>
      </c>
      <c r="L110" s="331">
        <v>3200</v>
      </c>
      <c r="M110" s="331">
        <v>3200</v>
      </c>
      <c r="N110" s="297"/>
      <c r="O110" s="297">
        <v>2.82</v>
      </c>
      <c r="P110" s="297">
        <v>0</v>
      </c>
      <c r="Q110" s="297">
        <v>0</v>
      </c>
      <c r="R110" s="297">
        <v>0</v>
      </c>
      <c r="S110" s="297">
        <v>2.4</v>
      </c>
      <c r="T110" s="297"/>
      <c r="U110" s="297">
        <v>2.2799999999999998</v>
      </c>
      <c r="V110" s="297">
        <v>0</v>
      </c>
      <c r="W110" s="297">
        <v>0</v>
      </c>
      <c r="X110" s="297">
        <v>0</v>
      </c>
      <c r="Y110" s="297">
        <v>1.83</v>
      </c>
      <c r="AB110" s="297"/>
      <c r="AC110" s="297"/>
      <c r="AD110" s="297"/>
      <c r="AE110" s="297"/>
      <c r="AF110" s="297"/>
      <c r="AG110" s="299" t="s">
        <v>1116</v>
      </c>
      <c r="AH110" s="299" t="s">
        <v>1117</v>
      </c>
      <c r="AI110" s="299">
        <v>2</v>
      </c>
      <c r="AJ110" s="299">
        <v>4</v>
      </c>
      <c r="AK110" s="388">
        <v>0.33329999999999999</v>
      </c>
      <c r="AL110" s="388">
        <v>0.66659999999999997</v>
      </c>
      <c r="AM110" s="366" t="s">
        <v>1124</v>
      </c>
      <c r="AN110" s="299">
        <v>0</v>
      </c>
      <c r="AO110" s="299">
        <v>0</v>
      </c>
      <c r="AP110" s="299">
        <v>0</v>
      </c>
      <c r="AQ110" s="299">
        <v>0</v>
      </c>
      <c r="AR110" s="299">
        <v>0</v>
      </c>
      <c r="AS110" s="299">
        <v>25</v>
      </c>
      <c r="AT110" s="299">
        <v>0</v>
      </c>
      <c r="AU110" s="299">
        <v>0</v>
      </c>
      <c r="AV110" s="299">
        <v>0</v>
      </c>
      <c r="AW110" s="299">
        <v>0</v>
      </c>
      <c r="AX110" s="299">
        <v>0</v>
      </c>
      <c r="AY110" s="299">
        <v>0</v>
      </c>
      <c r="AZ110" s="297"/>
      <c r="BA110" s="299" t="s">
        <v>38</v>
      </c>
      <c r="BB110" s="299"/>
      <c r="BC110" s="299" t="s">
        <v>38</v>
      </c>
      <c r="BD110" s="299"/>
      <c r="BE110" s="298"/>
      <c r="BF110" s="297"/>
      <c r="BG110" s="299"/>
      <c r="BH110" s="299" t="s">
        <v>43</v>
      </c>
      <c r="BI110" s="298"/>
      <c r="BJ110" s="366" t="s">
        <v>430</v>
      </c>
      <c r="BK110" s="366" t="s">
        <v>368</v>
      </c>
    </row>
    <row r="111" spans="1:63" x14ac:dyDescent="0.15">
      <c r="A111" s="148">
        <v>750</v>
      </c>
      <c r="B111" s="328">
        <v>43481</v>
      </c>
      <c r="C111" s="296" t="s">
        <v>10</v>
      </c>
      <c r="D111" s="379" t="s">
        <v>1115</v>
      </c>
      <c r="E111" s="295">
        <v>43467</v>
      </c>
      <c r="F111" s="298" t="s">
        <v>21</v>
      </c>
      <c r="G111" s="297" t="s">
        <v>1104</v>
      </c>
      <c r="H111" s="297">
        <v>94.7</v>
      </c>
      <c r="I111" s="376" t="s">
        <v>1101</v>
      </c>
      <c r="J111" s="297">
        <v>12000</v>
      </c>
      <c r="K111" s="297">
        <v>12000</v>
      </c>
      <c r="L111" s="297">
        <v>12000</v>
      </c>
      <c r="M111" s="297">
        <v>12000</v>
      </c>
      <c r="N111" s="297"/>
      <c r="O111" s="297">
        <v>2.74</v>
      </c>
      <c r="P111" s="297">
        <v>0</v>
      </c>
      <c r="Q111" s="297">
        <v>0</v>
      </c>
      <c r="R111" s="297">
        <v>0</v>
      </c>
      <c r="S111" s="297">
        <v>1.77</v>
      </c>
      <c r="T111" s="297"/>
      <c r="U111" s="297">
        <v>2.0099999999999998</v>
      </c>
      <c r="V111" s="297">
        <v>0</v>
      </c>
      <c r="W111" s="297">
        <v>0</v>
      </c>
      <c r="X111" s="297">
        <v>0</v>
      </c>
      <c r="Y111" s="297">
        <v>2.0099999999999998</v>
      </c>
      <c r="AB111" s="297"/>
      <c r="AC111" s="297"/>
      <c r="AD111" s="297"/>
      <c r="AE111" s="297"/>
      <c r="AF111" s="297"/>
      <c r="AG111" s="299" t="s">
        <v>1116</v>
      </c>
      <c r="AH111" s="299" t="s">
        <v>1117</v>
      </c>
      <c r="AI111" s="299">
        <v>2</v>
      </c>
      <c r="AJ111" s="299">
        <v>4</v>
      </c>
      <c r="AK111" s="388">
        <v>0.33329999999999999</v>
      </c>
      <c r="AL111" s="388">
        <v>0.66659999999999997</v>
      </c>
      <c r="AM111" s="366" t="s">
        <v>1124</v>
      </c>
      <c r="AN111" s="299">
        <v>0</v>
      </c>
      <c r="AO111" s="299">
        <v>22</v>
      </c>
      <c r="AP111" s="299">
        <v>0</v>
      </c>
      <c r="AQ111" s="299">
        <v>0</v>
      </c>
      <c r="AR111" s="299">
        <v>0</v>
      </c>
      <c r="AS111" s="299">
        <v>0</v>
      </c>
      <c r="AT111" s="299">
        <v>0</v>
      </c>
      <c r="AU111" s="299">
        <v>0</v>
      </c>
      <c r="AV111" s="299">
        <v>0</v>
      </c>
      <c r="AW111" s="299">
        <v>0</v>
      </c>
      <c r="AX111" s="299">
        <v>0</v>
      </c>
      <c r="AY111" s="299">
        <v>0</v>
      </c>
      <c r="AZ111" s="297"/>
      <c r="BA111" s="299" t="s">
        <v>38</v>
      </c>
      <c r="BB111" s="299">
        <v>12</v>
      </c>
      <c r="BC111" s="299" t="s">
        <v>38</v>
      </c>
      <c r="BD111" s="299"/>
      <c r="BE111" s="298" t="s">
        <v>218</v>
      </c>
      <c r="BF111" s="297" t="s">
        <v>40</v>
      </c>
      <c r="BG111" s="299">
        <v>50</v>
      </c>
      <c r="BH111" s="299" t="s">
        <v>41</v>
      </c>
      <c r="BI111" s="298"/>
      <c r="BJ111" s="366" t="s">
        <v>430</v>
      </c>
      <c r="BK111" s="366" t="s">
        <v>408</v>
      </c>
    </row>
    <row r="112" spans="1:63" x14ac:dyDescent="0.15">
      <c r="A112" s="148">
        <v>1939</v>
      </c>
      <c r="B112" s="328">
        <v>43481</v>
      </c>
      <c r="C112" s="296" t="s">
        <v>10</v>
      </c>
      <c r="D112" s="379" t="s">
        <v>1115</v>
      </c>
      <c r="E112" s="295">
        <v>43466</v>
      </c>
      <c r="F112" s="298" t="s">
        <v>22</v>
      </c>
      <c r="G112" s="297" t="s">
        <v>1105</v>
      </c>
      <c r="H112" s="297">
        <v>70</v>
      </c>
      <c r="I112" s="376" t="s">
        <v>1101</v>
      </c>
      <c r="J112" s="297">
        <v>6000</v>
      </c>
      <c r="K112" s="297">
        <v>12000</v>
      </c>
      <c r="L112" s="297">
        <v>84000</v>
      </c>
      <c r="M112" s="297">
        <v>84000</v>
      </c>
      <c r="N112" s="297"/>
      <c r="O112" s="297">
        <v>2.25</v>
      </c>
      <c r="P112" s="297">
        <v>2</v>
      </c>
      <c r="Q112" s="297">
        <v>1.58</v>
      </c>
      <c r="R112" s="297">
        <v>0</v>
      </c>
      <c r="S112" s="297">
        <v>1.4</v>
      </c>
      <c r="T112" s="297"/>
      <c r="U112" s="297">
        <v>1.73</v>
      </c>
      <c r="V112" s="297">
        <v>1.63</v>
      </c>
      <c r="W112" s="297">
        <v>1.53</v>
      </c>
      <c r="X112" s="297">
        <v>0</v>
      </c>
      <c r="Y112" s="297">
        <v>1.35</v>
      </c>
      <c r="Z112" s="297"/>
      <c r="AA112" s="297"/>
      <c r="AB112" s="297"/>
      <c r="AC112" s="297"/>
      <c r="AD112" s="297"/>
      <c r="AE112" s="297"/>
      <c r="AF112" s="297"/>
      <c r="AG112" s="299" t="s">
        <v>1116</v>
      </c>
      <c r="AH112" s="299" t="s">
        <v>1117</v>
      </c>
      <c r="AI112" s="299">
        <v>2</v>
      </c>
      <c r="AJ112" s="299">
        <v>4</v>
      </c>
      <c r="AK112" s="388">
        <v>0.33329999999999999</v>
      </c>
      <c r="AL112" s="388">
        <v>0.66659999999999997</v>
      </c>
      <c r="AM112" s="366" t="s">
        <v>1124</v>
      </c>
      <c r="AN112" s="299">
        <v>0</v>
      </c>
      <c r="AO112" s="299">
        <v>0</v>
      </c>
      <c r="AP112" s="299">
        <v>3</v>
      </c>
      <c r="AQ112" s="299">
        <v>0</v>
      </c>
      <c r="AR112" s="299">
        <v>0</v>
      </c>
      <c r="AS112" s="299">
        <v>0</v>
      </c>
      <c r="AT112" s="299">
        <v>0</v>
      </c>
      <c r="AU112" s="299">
        <v>0</v>
      </c>
      <c r="AV112" s="299">
        <v>0</v>
      </c>
      <c r="AW112" s="299">
        <v>0</v>
      </c>
      <c r="AX112" s="299">
        <v>0</v>
      </c>
      <c r="AY112" s="299">
        <v>0</v>
      </c>
      <c r="AZ112" s="297"/>
      <c r="BA112" s="299" t="s">
        <v>38</v>
      </c>
      <c r="BB112" s="299"/>
      <c r="BC112" s="299" t="s">
        <v>38</v>
      </c>
      <c r="BD112" s="299"/>
      <c r="BE112" s="298" t="s">
        <v>1120</v>
      </c>
      <c r="BF112" s="297" t="s">
        <v>40</v>
      </c>
      <c r="BG112" s="299">
        <v>50</v>
      </c>
      <c r="BH112" s="299" t="s">
        <v>41</v>
      </c>
      <c r="BI112" s="298"/>
      <c r="BJ112" t="s">
        <v>430</v>
      </c>
      <c r="BK112" t="s">
        <v>1121</v>
      </c>
    </row>
    <row r="113" spans="1:63" x14ac:dyDescent="0.15">
      <c r="A113" s="148">
        <v>318</v>
      </c>
      <c r="B113" s="328">
        <v>43481</v>
      </c>
      <c r="C113" s="296" t="s">
        <v>10</v>
      </c>
      <c r="D113" s="379" t="s">
        <v>1115</v>
      </c>
      <c r="E113" s="295">
        <v>43466</v>
      </c>
      <c r="F113" s="297" t="s">
        <v>24</v>
      </c>
      <c r="G113" s="297" t="s">
        <v>20</v>
      </c>
      <c r="H113" s="297">
        <v>95.26</v>
      </c>
      <c r="I113" s="376" t="s">
        <v>1101</v>
      </c>
      <c r="J113" s="297">
        <v>6000</v>
      </c>
      <c r="K113" s="297">
        <v>12000</v>
      </c>
      <c r="L113" s="297">
        <v>84000</v>
      </c>
      <c r="M113" s="297">
        <v>84000</v>
      </c>
      <c r="N113" s="297"/>
      <c r="O113" s="297">
        <v>2.0960000000000001</v>
      </c>
      <c r="P113" s="297">
        <v>1.837</v>
      </c>
      <c r="Q113" s="297">
        <v>1.518</v>
      </c>
      <c r="R113" s="297">
        <v>0</v>
      </c>
      <c r="S113" s="297">
        <v>1.5029999999999999</v>
      </c>
      <c r="T113" s="297"/>
      <c r="U113" s="297">
        <v>1.585</v>
      </c>
      <c r="V113" s="297">
        <v>1.5549999999999999</v>
      </c>
      <c r="W113" s="297">
        <v>1.4790000000000001</v>
      </c>
      <c r="X113" s="297">
        <v>0</v>
      </c>
      <c r="Y113" s="297">
        <v>1.4370000000000001</v>
      </c>
      <c r="Z113" s="297"/>
      <c r="AA113" s="297"/>
      <c r="AB113" s="297"/>
      <c r="AC113" s="297"/>
      <c r="AD113" s="297"/>
      <c r="AE113" s="297"/>
      <c r="AF113" s="297"/>
      <c r="AG113" s="299" t="s">
        <v>1116</v>
      </c>
      <c r="AH113" s="299" t="s">
        <v>1117</v>
      </c>
      <c r="AI113" s="299">
        <v>2</v>
      </c>
      <c r="AJ113" s="299">
        <v>4</v>
      </c>
      <c r="AK113" s="388">
        <v>0.33329999999999999</v>
      </c>
      <c r="AL113" s="388">
        <v>0.66659999999999997</v>
      </c>
      <c r="AM113" s="366" t="s">
        <v>1124</v>
      </c>
      <c r="AN113" s="299">
        <v>0</v>
      </c>
      <c r="AO113" s="299">
        <v>0</v>
      </c>
      <c r="AP113" s="299">
        <v>0</v>
      </c>
      <c r="AQ113" s="299">
        <v>0</v>
      </c>
      <c r="AR113" s="299">
        <v>0</v>
      </c>
      <c r="AS113" s="299">
        <v>0</v>
      </c>
      <c r="AT113" s="299">
        <v>0</v>
      </c>
      <c r="AU113" s="299">
        <v>0</v>
      </c>
      <c r="AV113" s="299">
        <v>0</v>
      </c>
      <c r="AW113" s="299">
        <v>0</v>
      </c>
      <c r="AX113" s="299">
        <v>0</v>
      </c>
      <c r="AY113" s="299">
        <v>0</v>
      </c>
      <c r="AZ113" s="297"/>
      <c r="BA113" s="299" t="s">
        <v>38</v>
      </c>
      <c r="BB113" s="299"/>
      <c r="BC113" s="299" t="s">
        <v>38</v>
      </c>
      <c r="BD113" s="299"/>
      <c r="BE113" s="298" t="s">
        <v>44</v>
      </c>
      <c r="BF113" s="297" t="s">
        <v>40</v>
      </c>
      <c r="BG113" s="299">
        <v>50</v>
      </c>
      <c r="BH113" s="299" t="s">
        <v>43</v>
      </c>
      <c r="BI113" s="298"/>
      <c r="BJ113" t="s">
        <v>430</v>
      </c>
      <c r="BK113" t="s">
        <v>408</v>
      </c>
    </row>
    <row r="114" spans="1:63" x14ac:dyDescent="0.15">
      <c r="A114" s="148">
        <v>573</v>
      </c>
      <c r="B114" s="328">
        <v>43481</v>
      </c>
      <c r="C114" s="296" t="s">
        <v>10</v>
      </c>
      <c r="D114" s="379" t="s">
        <v>1115</v>
      </c>
      <c r="E114" s="295">
        <v>43466</v>
      </c>
      <c r="F114" s="298" t="s">
        <v>25</v>
      </c>
      <c r="G114" s="297" t="s">
        <v>26</v>
      </c>
      <c r="H114" s="297">
        <v>78</v>
      </c>
      <c r="I114" s="376" t="s">
        <v>1101</v>
      </c>
      <c r="J114" s="331">
        <v>3200</v>
      </c>
      <c r="K114" s="331">
        <v>3200</v>
      </c>
      <c r="L114" s="331">
        <v>3200</v>
      </c>
      <c r="M114" s="331">
        <v>3200</v>
      </c>
      <c r="N114" s="297"/>
      <c r="O114" s="297">
        <v>2.8</v>
      </c>
      <c r="P114" s="297">
        <v>0</v>
      </c>
      <c r="Q114" s="297">
        <v>0</v>
      </c>
      <c r="R114" s="297">
        <v>0</v>
      </c>
      <c r="S114" s="297">
        <v>2.2000000000000002</v>
      </c>
      <c r="T114" s="297"/>
      <c r="U114" s="297">
        <v>2</v>
      </c>
      <c r="V114" s="297">
        <v>0</v>
      </c>
      <c r="W114" s="297">
        <v>0</v>
      </c>
      <c r="X114" s="297">
        <v>0</v>
      </c>
      <c r="Y114" s="297">
        <v>1.6</v>
      </c>
      <c r="Z114" s="297"/>
      <c r="AA114" s="297"/>
      <c r="AB114" s="297"/>
      <c r="AC114" s="297"/>
      <c r="AD114" s="297"/>
      <c r="AE114" s="297"/>
      <c r="AF114" s="297"/>
      <c r="AG114" s="299" t="s">
        <v>1116</v>
      </c>
      <c r="AH114" s="299" t="s">
        <v>1117</v>
      </c>
      <c r="AI114" s="299">
        <v>2</v>
      </c>
      <c r="AJ114" s="299">
        <v>4</v>
      </c>
      <c r="AK114" s="388">
        <v>0.33329999999999999</v>
      </c>
      <c r="AL114" s="388">
        <v>0.66659999999999997</v>
      </c>
      <c r="AM114" s="366" t="s">
        <v>1124</v>
      </c>
      <c r="AN114" s="299">
        <v>0</v>
      </c>
      <c r="AO114" s="299">
        <v>0</v>
      </c>
      <c r="AP114" s="299">
        <v>0</v>
      </c>
      <c r="AQ114" s="299">
        <v>13</v>
      </c>
      <c r="AR114" s="299">
        <v>0</v>
      </c>
      <c r="AS114" s="299">
        <v>0</v>
      </c>
      <c r="AT114" s="299">
        <v>0</v>
      </c>
      <c r="AU114" s="299">
        <v>0</v>
      </c>
      <c r="AV114" s="299">
        <v>0</v>
      </c>
      <c r="AW114" s="299">
        <v>0</v>
      </c>
      <c r="AX114" s="299">
        <v>0</v>
      </c>
      <c r="AY114" s="299">
        <v>0</v>
      </c>
      <c r="AZ114" s="297"/>
      <c r="BA114" s="299" t="s">
        <v>38</v>
      </c>
      <c r="BB114" s="299">
        <v>12</v>
      </c>
      <c r="BC114" s="299" t="s">
        <v>38</v>
      </c>
      <c r="BD114" s="299"/>
      <c r="BE114" s="298"/>
      <c r="BF114" s="298"/>
      <c r="BG114" s="299"/>
      <c r="BH114" s="299" t="s">
        <v>41</v>
      </c>
      <c r="BI114" s="298"/>
      <c r="BJ114" s="366" t="s">
        <v>430</v>
      </c>
      <c r="BK114" s="366" t="s">
        <v>408</v>
      </c>
    </row>
    <row r="115" spans="1:63" x14ac:dyDescent="0.15">
      <c r="A115" s="148">
        <v>1431</v>
      </c>
      <c r="B115" s="328">
        <v>43481</v>
      </c>
      <c r="C115" s="296" t="s">
        <v>10</v>
      </c>
      <c r="D115" s="379" t="s">
        <v>1115</v>
      </c>
      <c r="E115" s="309">
        <v>43466</v>
      </c>
      <c r="F115" s="298" t="s">
        <v>27</v>
      </c>
      <c r="G115" s="379" t="s">
        <v>28</v>
      </c>
      <c r="H115" s="297">
        <v>80</v>
      </c>
      <c r="I115" s="376" t="s">
        <v>1101</v>
      </c>
      <c r="J115" s="331">
        <v>3200</v>
      </c>
      <c r="K115" s="331">
        <v>3200</v>
      </c>
      <c r="L115" s="331">
        <v>3200</v>
      </c>
      <c r="M115" s="331">
        <v>3200</v>
      </c>
      <c r="N115" s="297"/>
      <c r="O115" s="297">
        <v>2.25</v>
      </c>
      <c r="P115" s="297">
        <v>0</v>
      </c>
      <c r="Q115" s="297">
        <v>0</v>
      </c>
      <c r="R115" s="297">
        <v>0</v>
      </c>
      <c r="S115" s="297">
        <v>1.95</v>
      </c>
      <c r="T115" s="297"/>
      <c r="U115" s="297">
        <v>1.88</v>
      </c>
      <c r="V115" s="297">
        <v>0</v>
      </c>
      <c r="W115" s="297">
        <v>0</v>
      </c>
      <c r="X115" s="297">
        <v>0</v>
      </c>
      <c r="Y115" s="297">
        <v>1.58</v>
      </c>
      <c r="Z115" s="297"/>
      <c r="AA115" s="297"/>
      <c r="AB115" s="297"/>
      <c r="AC115" s="297"/>
      <c r="AD115" s="297"/>
      <c r="AE115" s="297"/>
      <c r="AF115" s="297"/>
      <c r="AG115" s="299" t="s">
        <v>1116</v>
      </c>
      <c r="AH115" s="299" t="s">
        <v>1117</v>
      </c>
      <c r="AI115" s="299">
        <v>2</v>
      </c>
      <c r="AJ115" s="299">
        <v>4</v>
      </c>
      <c r="AK115" s="388">
        <v>0.33329999999999999</v>
      </c>
      <c r="AL115" s="388">
        <v>0.66659999999999997</v>
      </c>
      <c r="AM115" s="366" t="s">
        <v>1124</v>
      </c>
      <c r="AN115" s="299">
        <v>0</v>
      </c>
      <c r="AO115" s="299">
        <v>0</v>
      </c>
      <c r="AP115" s="299">
        <v>10</v>
      </c>
      <c r="AQ115" s="299">
        <v>0</v>
      </c>
      <c r="AR115" s="299">
        <v>0</v>
      </c>
      <c r="AS115" s="299">
        <v>0</v>
      </c>
      <c r="AT115" s="299">
        <v>0</v>
      </c>
      <c r="AU115" s="299">
        <v>0</v>
      </c>
      <c r="AV115" s="299">
        <v>0</v>
      </c>
      <c r="AW115" s="299">
        <v>0</v>
      </c>
      <c r="AX115" s="299">
        <v>0</v>
      </c>
      <c r="AY115" s="299">
        <v>0</v>
      </c>
      <c r="AZ115" s="299"/>
      <c r="BA115" s="299" t="s">
        <v>38</v>
      </c>
      <c r="BB115" s="299"/>
      <c r="BC115" s="299" t="s">
        <v>38</v>
      </c>
      <c r="BD115" s="299"/>
      <c r="BE115" s="298"/>
      <c r="BF115" s="297"/>
      <c r="BG115" s="299"/>
      <c r="BH115" s="299" t="s">
        <v>41</v>
      </c>
      <c r="BI115" s="298"/>
      <c r="BJ115" s="366" t="s">
        <v>1126</v>
      </c>
      <c r="BK115" s="366" t="s">
        <v>408</v>
      </c>
    </row>
    <row r="116" spans="1:63" x14ac:dyDescent="0.15">
      <c r="A116" s="148">
        <v>796</v>
      </c>
      <c r="B116" s="328">
        <v>43481</v>
      </c>
      <c r="C116" s="296" t="s">
        <v>10</v>
      </c>
      <c r="D116" s="379" t="s">
        <v>1115</v>
      </c>
      <c r="E116" s="309">
        <v>43369</v>
      </c>
      <c r="F116" s="298" t="s">
        <v>29</v>
      </c>
      <c r="G116" s="297" t="s">
        <v>30</v>
      </c>
      <c r="H116" s="339">
        <v>76.81</v>
      </c>
      <c r="I116" s="376" t="s">
        <v>1101</v>
      </c>
      <c r="J116" s="297">
        <v>6000</v>
      </c>
      <c r="K116" s="297">
        <v>12000</v>
      </c>
      <c r="L116" s="297">
        <v>84000</v>
      </c>
      <c r="M116" s="297">
        <v>84000</v>
      </c>
      <c r="N116" s="297"/>
      <c r="O116" s="341">
        <v>2.88</v>
      </c>
      <c r="P116" s="332">
        <v>2.82</v>
      </c>
      <c r="Q116" s="332">
        <v>1.91</v>
      </c>
      <c r="R116" s="297">
        <v>0</v>
      </c>
      <c r="S116" s="341">
        <v>1.87</v>
      </c>
      <c r="T116" s="297"/>
      <c r="U116" s="340">
        <v>2.2000000000000002</v>
      </c>
      <c r="V116" s="332">
        <v>2.12</v>
      </c>
      <c r="W116" s="332">
        <v>1.9</v>
      </c>
      <c r="X116" s="341">
        <v>1.78</v>
      </c>
      <c r="Y116" s="341">
        <v>1.78</v>
      </c>
      <c r="Z116" s="297"/>
      <c r="AA116" s="297"/>
      <c r="AB116" s="297"/>
      <c r="AC116" s="297"/>
      <c r="AD116" s="297"/>
      <c r="AE116" s="297"/>
      <c r="AF116" s="297"/>
      <c r="AG116" s="299" t="s">
        <v>1116</v>
      </c>
      <c r="AH116" s="299" t="s">
        <v>1117</v>
      </c>
      <c r="AI116" s="299">
        <v>2</v>
      </c>
      <c r="AJ116" s="299">
        <v>4</v>
      </c>
      <c r="AK116" s="388">
        <v>0.33329999999999999</v>
      </c>
      <c r="AL116" s="388">
        <v>0.66659999999999997</v>
      </c>
      <c r="AM116" s="366" t="s">
        <v>1124</v>
      </c>
      <c r="AN116" s="299">
        <v>0</v>
      </c>
      <c r="AO116" s="299">
        <v>0</v>
      </c>
      <c r="AP116" s="299">
        <v>0</v>
      </c>
      <c r="AQ116" s="299">
        <v>26</v>
      </c>
      <c r="AR116" s="299">
        <v>0</v>
      </c>
      <c r="AS116" s="299">
        <v>0</v>
      </c>
      <c r="AT116" s="299">
        <v>0</v>
      </c>
      <c r="AU116" s="299">
        <v>0</v>
      </c>
      <c r="AV116" s="299">
        <v>0</v>
      </c>
      <c r="AW116" s="299">
        <v>0</v>
      </c>
      <c r="AX116" s="299">
        <v>0</v>
      </c>
      <c r="AY116" s="299">
        <v>0</v>
      </c>
      <c r="AZ116" s="297"/>
      <c r="BA116" s="299" t="s">
        <v>38</v>
      </c>
      <c r="BB116" s="299">
        <v>24</v>
      </c>
      <c r="BC116" s="299" t="s">
        <v>38</v>
      </c>
      <c r="BD116" s="299"/>
      <c r="BE116" s="378" t="s">
        <v>46</v>
      </c>
      <c r="BF116" s="297" t="s">
        <v>365</v>
      </c>
      <c r="BG116" s="299">
        <v>50</v>
      </c>
      <c r="BH116" s="299" t="s">
        <v>43</v>
      </c>
      <c r="BI116" s="298"/>
      <c r="BJ116" t="s">
        <v>430</v>
      </c>
      <c r="BK116" s="366" t="s">
        <v>368</v>
      </c>
    </row>
    <row r="117" spans="1:63" x14ac:dyDescent="0.15">
      <c r="A117" s="148">
        <v>1606</v>
      </c>
      <c r="B117" s="328">
        <v>43481</v>
      </c>
      <c r="C117" s="296" t="s">
        <v>10</v>
      </c>
      <c r="D117" s="379" t="s">
        <v>1115</v>
      </c>
      <c r="E117" s="309">
        <v>43221</v>
      </c>
      <c r="F117" s="297" t="s">
        <v>31</v>
      </c>
      <c r="G117" s="297" t="s">
        <v>32</v>
      </c>
      <c r="H117" s="332">
        <v>73</v>
      </c>
      <c r="I117" s="394" t="s">
        <v>1101</v>
      </c>
      <c r="J117" s="297">
        <v>6000</v>
      </c>
      <c r="K117" s="297">
        <v>12000</v>
      </c>
      <c r="L117" s="297">
        <v>84000</v>
      </c>
      <c r="M117" s="297">
        <v>84000</v>
      </c>
      <c r="N117" s="332"/>
      <c r="O117" s="332">
        <v>2.86</v>
      </c>
      <c r="P117" s="332">
        <v>2.7589999999999999</v>
      </c>
      <c r="Q117" s="332">
        <v>1.8240000000000001</v>
      </c>
      <c r="R117" s="297">
        <v>0</v>
      </c>
      <c r="S117" s="332">
        <v>1.7749999999999999</v>
      </c>
      <c r="T117" s="332"/>
      <c r="U117" s="332">
        <v>2.335</v>
      </c>
      <c r="V117" s="332">
        <v>1.78</v>
      </c>
      <c r="W117" s="332">
        <v>1.5940000000000001</v>
      </c>
      <c r="X117" s="332">
        <v>1.4410000000000001</v>
      </c>
      <c r="Y117" s="332">
        <v>1.4410000000000001</v>
      </c>
      <c r="Z117" s="332"/>
      <c r="AA117" s="332"/>
      <c r="AB117" s="332"/>
      <c r="AC117" s="332"/>
      <c r="AD117" s="332"/>
      <c r="AE117" s="332"/>
      <c r="AF117" s="332"/>
      <c r="AG117" s="333" t="s">
        <v>1116</v>
      </c>
      <c r="AH117" s="333" t="s">
        <v>1117</v>
      </c>
      <c r="AI117" s="299">
        <v>2</v>
      </c>
      <c r="AJ117" s="299">
        <v>4</v>
      </c>
      <c r="AK117" s="388">
        <v>0.33329999999999999</v>
      </c>
      <c r="AL117" s="388">
        <v>0.66659999999999997</v>
      </c>
      <c r="AM117" s="366" t="s">
        <v>1124</v>
      </c>
      <c r="AN117" s="299">
        <v>0</v>
      </c>
      <c r="AO117" s="299">
        <v>0</v>
      </c>
      <c r="AP117" s="299">
        <v>0</v>
      </c>
      <c r="AQ117" s="299">
        <v>25</v>
      </c>
      <c r="AR117" s="299">
        <v>0</v>
      </c>
      <c r="AS117" s="299">
        <v>0</v>
      </c>
      <c r="AT117" s="299">
        <v>0</v>
      </c>
      <c r="AU117" s="299">
        <v>0</v>
      </c>
      <c r="AV117" s="299">
        <v>0</v>
      </c>
      <c r="AW117" s="299">
        <v>0</v>
      </c>
      <c r="AX117" s="299">
        <v>0</v>
      </c>
      <c r="AY117" s="299">
        <v>0</v>
      </c>
      <c r="AZ117" s="299"/>
      <c r="BA117" s="299" t="s">
        <v>38</v>
      </c>
      <c r="BB117" s="299">
        <v>12</v>
      </c>
      <c r="BC117" s="299" t="s">
        <v>38</v>
      </c>
      <c r="BD117" s="299"/>
      <c r="BE117" s="298"/>
      <c r="BF117" s="297"/>
      <c r="BG117" s="299"/>
      <c r="BH117" s="299" t="s">
        <v>43</v>
      </c>
      <c r="BI117" s="298"/>
      <c r="BJ117" t="s">
        <v>430</v>
      </c>
      <c r="BK117" s="366" t="s">
        <v>368</v>
      </c>
    </row>
    <row r="118" spans="1:63" x14ac:dyDescent="0.15">
      <c r="A118" s="148">
        <v>1917</v>
      </c>
      <c r="B118" s="328">
        <v>43480</v>
      </c>
      <c r="C118" s="296" t="s">
        <v>10</v>
      </c>
      <c r="D118" s="379" t="s">
        <v>1115</v>
      </c>
      <c r="E118" s="295">
        <v>43479</v>
      </c>
      <c r="F118" s="298" t="s">
        <v>987</v>
      </c>
      <c r="G118" s="297" t="s">
        <v>1127</v>
      </c>
      <c r="H118" s="297">
        <v>65.823999999999998</v>
      </c>
      <c r="I118" s="376" t="s">
        <v>1101</v>
      </c>
      <c r="J118" s="297">
        <v>6000</v>
      </c>
      <c r="K118" s="297">
        <v>12000</v>
      </c>
      <c r="L118" s="297">
        <v>12000</v>
      </c>
      <c r="M118" s="297">
        <v>12000</v>
      </c>
      <c r="N118" s="297"/>
      <c r="O118" s="297">
        <v>2.4140000000000001</v>
      </c>
      <c r="P118" s="297">
        <v>2.0739999999999998</v>
      </c>
      <c r="Q118" s="297">
        <v>0</v>
      </c>
      <c r="R118" s="297">
        <v>0</v>
      </c>
      <c r="S118" s="297">
        <v>1.5640000000000001</v>
      </c>
      <c r="T118" s="297"/>
      <c r="U118" s="297">
        <v>1.7</v>
      </c>
      <c r="V118" s="297">
        <v>1.6659999999999999</v>
      </c>
      <c r="W118" s="297">
        <v>0</v>
      </c>
      <c r="X118" s="297">
        <v>0</v>
      </c>
      <c r="Y118" s="297">
        <v>1.5640000000000001</v>
      </c>
      <c r="Z118" s="297"/>
      <c r="AA118" s="297"/>
      <c r="AB118" s="297"/>
      <c r="AC118" s="297"/>
      <c r="AD118" s="297"/>
      <c r="AE118" s="297"/>
      <c r="AF118" s="297"/>
      <c r="AG118" s="299" t="s">
        <v>1116</v>
      </c>
      <c r="AH118" s="299" t="s">
        <v>1117</v>
      </c>
      <c r="AI118" s="299">
        <v>2</v>
      </c>
      <c r="AJ118" s="299">
        <v>4</v>
      </c>
      <c r="AK118" s="388">
        <v>0.33329999999999999</v>
      </c>
      <c r="AL118" s="388">
        <v>0.66659999999999997</v>
      </c>
      <c r="AM118" s="366" t="s">
        <v>1124</v>
      </c>
      <c r="AN118" s="299">
        <v>0</v>
      </c>
      <c r="AO118" s="299">
        <v>0</v>
      </c>
      <c r="AP118" s="299">
        <v>0</v>
      </c>
      <c r="AQ118" s="299">
        <v>0</v>
      </c>
      <c r="AR118" s="299">
        <v>0</v>
      </c>
      <c r="AS118" s="299">
        <v>0</v>
      </c>
      <c r="AT118" s="299">
        <v>0</v>
      </c>
      <c r="AU118" s="299">
        <v>0</v>
      </c>
      <c r="AV118" s="299">
        <v>0</v>
      </c>
      <c r="AW118" s="299">
        <v>0</v>
      </c>
      <c r="AX118" s="299">
        <v>0</v>
      </c>
      <c r="AY118" s="299">
        <v>0</v>
      </c>
      <c r="AZ118" s="344"/>
      <c r="BA118" s="299" t="s">
        <v>38</v>
      </c>
      <c r="BB118" s="299"/>
      <c r="BC118" s="299" t="s">
        <v>38</v>
      </c>
      <c r="BD118" s="299"/>
      <c r="BE118" s="298"/>
      <c r="BF118" s="297"/>
      <c r="BG118" s="299"/>
      <c r="BH118" s="299" t="s">
        <v>41</v>
      </c>
      <c r="BI118" s="298" t="s">
        <v>370</v>
      </c>
      <c r="BJ118" t="s">
        <v>430</v>
      </c>
      <c r="BK118" t="s">
        <v>368</v>
      </c>
    </row>
    <row r="119" spans="1:63" x14ac:dyDescent="0.15">
      <c r="A119" s="148">
        <v>1688</v>
      </c>
      <c r="B119" s="328">
        <v>43480</v>
      </c>
      <c r="C119" s="296" t="s">
        <v>295</v>
      </c>
      <c r="D119" s="379" t="s">
        <v>1115</v>
      </c>
      <c r="E119" s="328">
        <v>43419</v>
      </c>
      <c r="F119" s="378" t="s">
        <v>1106</v>
      </c>
      <c r="G119" s="297" t="s">
        <v>2</v>
      </c>
      <c r="H119" s="297">
        <v>112</v>
      </c>
      <c r="I119" s="376" t="s">
        <v>296</v>
      </c>
      <c r="J119" s="297">
        <v>12000</v>
      </c>
      <c r="K119" s="297">
        <v>12000</v>
      </c>
      <c r="L119" s="297">
        <v>12000</v>
      </c>
      <c r="M119" s="297">
        <v>12000</v>
      </c>
      <c r="N119" s="297"/>
      <c r="O119" s="297">
        <v>2.8</v>
      </c>
      <c r="P119" s="297">
        <v>0</v>
      </c>
      <c r="Q119" s="297">
        <v>0</v>
      </c>
      <c r="R119" s="297">
        <v>0</v>
      </c>
      <c r="S119" s="297">
        <v>2</v>
      </c>
      <c r="T119" s="297"/>
      <c r="U119" s="297">
        <v>2.15</v>
      </c>
      <c r="V119" s="297">
        <v>0</v>
      </c>
      <c r="W119" s="297">
        <v>0</v>
      </c>
      <c r="X119" s="297">
        <v>0</v>
      </c>
      <c r="Y119" s="297">
        <v>1.75</v>
      </c>
      <c r="Z119" s="297"/>
      <c r="AA119" s="297"/>
      <c r="AB119" s="297"/>
      <c r="AC119" s="297"/>
      <c r="AD119" s="297"/>
      <c r="AE119" s="297"/>
      <c r="AF119" s="297"/>
      <c r="AG119" s="299" t="s">
        <v>403</v>
      </c>
      <c r="AH119" s="299" t="s">
        <v>404</v>
      </c>
      <c r="AI119" s="299">
        <v>2</v>
      </c>
      <c r="AJ119" s="299">
        <v>4</v>
      </c>
      <c r="AK119" s="388">
        <v>0.33329999999999999</v>
      </c>
      <c r="AL119" s="388">
        <v>0.66659999999999997</v>
      </c>
      <c r="AM119" s="366" t="s">
        <v>1124</v>
      </c>
      <c r="AN119" s="299">
        <v>0</v>
      </c>
      <c r="AO119" s="299">
        <v>0</v>
      </c>
      <c r="AP119" s="299">
        <v>32</v>
      </c>
      <c r="AQ119" s="299">
        <v>0</v>
      </c>
      <c r="AR119" s="299">
        <v>0</v>
      </c>
      <c r="AS119" s="299">
        <v>0</v>
      </c>
      <c r="AT119" s="299">
        <v>0</v>
      </c>
      <c r="AU119" s="299">
        <v>0</v>
      </c>
      <c r="AV119" s="299">
        <v>0</v>
      </c>
      <c r="AW119" s="299">
        <v>0</v>
      </c>
      <c r="AX119" s="299">
        <v>0</v>
      </c>
      <c r="AY119" s="299">
        <v>0</v>
      </c>
      <c r="AZ119" s="299"/>
      <c r="BA119" s="299" t="s">
        <v>38</v>
      </c>
      <c r="BB119" s="299"/>
      <c r="BC119" s="299" t="s">
        <v>38</v>
      </c>
      <c r="BD119" s="299"/>
      <c r="BE119" s="297"/>
      <c r="BF119" s="299"/>
      <c r="BG119" s="299"/>
      <c r="BH119" s="299" t="s">
        <v>41</v>
      </c>
      <c r="BI119" s="297"/>
      <c r="BJ119" t="s">
        <v>430</v>
      </c>
      <c r="BK119" t="s">
        <v>368</v>
      </c>
    </row>
    <row r="120" spans="1:63" x14ac:dyDescent="0.15">
      <c r="A120" s="148">
        <v>1508</v>
      </c>
      <c r="B120" s="328">
        <v>43481</v>
      </c>
      <c r="C120" s="296" t="s">
        <v>10</v>
      </c>
      <c r="D120" s="379" t="s">
        <v>1115</v>
      </c>
      <c r="E120" s="309">
        <v>43229</v>
      </c>
      <c r="F120" s="297" t="s">
        <v>34</v>
      </c>
      <c r="G120" s="379" t="s">
        <v>1107</v>
      </c>
      <c r="H120" s="332">
        <v>93.56</v>
      </c>
      <c r="I120" s="394"/>
      <c r="O120" s="332">
        <v>1.76</v>
      </c>
      <c r="P120" s="297">
        <v>0</v>
      </c>
      <c r="Q120" s="297">
        <v>0</v>
      </c>
      <c r="R120" s="297">
        <v>0</v>
      </c>
      <c r="S120" s="297">
        <v>0</v>
      </c>
      <c r="T120" s="332"/>
      <c r="U120" s="332">
        <v>1.45</v>
      </c>
      <c r="V120" s="297">
        <v>0</v>
      </c>
      <c r="W120" s="297">
        <v>0</v>
      </c>
      <c r="X120" s="297">
        <v>0</v>
      </c>
      <c r="Y120" s="297">
        <v>0</v>
      </c>
      <c r="Z120" s="332"/>
      <c r="AA120" s="332"/>
      <c r="AB120" s="332"/>
      <c r="AC120" s="332"/>
      <c r="AD120" s="332"/>
      <c r="AE120" s="332"/>
      <c r="AF120" s="332"/>
      <c r="AG120" s="333" t="s">
        <v>1116</v>
      </c>
      <c r="AH120" s="333" t="s">
        <v>1117</v>
      </c>
      <c r="AI120" s="299">
        <v>2</v>
      </c>
      <c r="AJ120" s="299">
        <v>4</v>
      </c>
      <c r="AK120" s="388">
        <v>0.33329999999999999</v>
      </c>
      <c r="AL120" s="388">
        <v>0.66659999999999997</v>
      </c>
      <c r="AM120" s="366" t="s">
        <v>1124</v>
      </c>
      <c r="AN120" s="299">
        <v>0</v>
      </c>
      <c r="AO120" s="299">
        <v>0</v>
      </c>
      <c r="AP120" s="299">
        <v>5</v>
      </c>
      <c r="AQ120" s="299">
        <v>0</v>
      </c>
      <c r="AR120" s="299">
        <v>0</v>
      </c>
      <c r="AS120" s="299">
        <v>0</v>
      </c>
      <c r="AT120" s="299">
        <v>0</v>
      </c>
      <c r="AU120" s="299">
        <v>0</v>
      </c>
      <c r="AV120" s="299">
        <v>0</v>
      </c>
      <c r="AW120" s="299">
        <v>0</v>
      </c>
      <c r="AX120" s="299">
        <v>0</v>
      </c>
      <c r="AY120" s="299">
        <v>0</v>
      </c>
      <c r="AZ120" s="299"/>
      <c r="BA120" s="299" t="s">
        <v>38</v>
      </c>
      <c r="BB120" s="299"/>
      <c r="BC120" s="299" t="s">
        <v>38</v>
      </c>
      <c r="BD120" s="299"/>
      <c r="BE120" s="298"/>
      <c r="BF120" s="297"/>
      <c r="BG120" s="299"/>
      <c r="BH120" s="299" t="s">
        <v>43</v>
      </c>
      <c r="BI120" s="298" t="s">
        <v>47</v>
      </c>
      <c r="BJ120" t="s">
        <v>56</v>
      </c>
      <c r="BK120" s="366" t="s">
        <v>368</v>
      </c>
    </row>
  </sheetData>
  <sheetProtection algorithmName="SHA-512" hashValue="arQSSH6VweaOxmlc1gDAb0gmoU28trMImvcbC6P3+vRdc2yYU95FRadEDUYroltiQkuBbSomP4TCwEIH8KBzaA==" saltValue="5mCnDRv3WxRBxATAFXY+L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BJ245"/>
  <sheetViews>
    <sheetView zoomScale="130" zoomScaleNormal="130" zoomScalePageLayoutView="130" workbookViewId="0">
      <selection activeCell="A2" sqref="A2:BT245"/>
    </sheetView>
  </sheetViews>
  <sheetFormatPr baseColWidth="10" defaultColWidth="11.5" defaultRowHeight="13" x14ac:dyDescent="0.15"/>
  <cols>
    <col min="1" max="1" width="8.1640625" style="237" customWidth="1"/>
    <col min="3" max="3" width="6.33203125" style="17" customWidth="1"/>
    <col min="4" max="4" width="18.6640625" customWidth="1"/>
    <col min="6" max="6" width="16.1640625" style="17" customWidth="1"/>
    <col min="7" max="7" width="16.5" customWidth="1"/>
    <col min="8" max="8" width="11.5" style="329"/>
    <col min="9" max="9" width="11.5" style="22"/>
    <col min="14" max="14" width="11.5" style="337"/>
    <col min="20" max="20" width="11.5" style="337"/>
    <col min="26" max="26" width="11.5" style="337"/>
    <col min="32" max="32" width="11.5" style="337"/>
    <col min="33" max="35" width="11.5" style="344"/>
    <col min="36" max="36" width="11.5" style="345"/>
    <col min="37" max="41" width="11.5" style="344"/>
    <col min="46" max="46" width="11.5" style="337"/>
    <col min="52" max="52" width="11.5" style="344"/>
    <col min="53" max="53" width="11.5" style="337"/>
    <col min="56" max="56" width="50.6640625" customWidth="1"/>
    <col min="57" max="57" width="12.1640625" customWidth="1"/>
    <col min="58" max="58" width="10.83203125" style="344" customWidth="1"/>
    <col min="59" max="59" width="11.5" style="344"/>
    <col min="60" max="60" width="20.5" style="17" customWidth="1"/>
    <col min="61" max="61" width="88.1640625" customWidth="1"/>
  </cols>
  <sheetData>
    <row r="1" spans="1:62" ht="56" x14ac:dyDescent="0.15">
      <c r="A1" s="149" t="s">
        <v>443</v>
      </c>
      <c r="B1" s="149" t="s">
        <v>444</v>
      </c>
      <c r="C1" s="150" t="s">
        <v>445</v>
      </c>
      <c r="D1" s="151" t="s">
        <v>446</v>
      </c>
      <c r="E1" s="149" t="s">
        <v>447</v>
      </c>
      <c r="F1" s="150" t="s">
        <v>725</v>
      </c>
      <c r="G1" s="151" t="s">
        <v>448</v>
      </c>
      <c r="H1" s="152" t="s">
        <v>449</v>
      </c>
      <c r="I1" s="153" t="s">
        <v>450</v>
      </c>
      <c r="J1" s="153" t="s">
        <v>451</v>
      </c>
      <c r="K1" s="153" t="s">
        <v>452</v>
      </c>
      <c r="L1" s="153" t="s">
        <v>453</v>
      </c>
      <c r="M1" s="153" t="s">
        <v>454</v>
      </c>
      <c r="N1" s="154" t="s">
        <v>455</v>
      </c>
      <c r="O1" s="155" t="s">
        <v>456</v>
      </c>
      <c r="P1" s="155" t="s">
        <v>457</v>
      </c>
      <c r="Q1" s="155" t="s">
        <v>458</v>
      </c>
      <c r="R1" s="155" t="s">
        <v>459</v>
      </c>
      <c r="S1" s="155" t="s">
        <v>460</v>
      </c>
      <c r="T1" s="156" t="s">
        <v>461</v>
      </c>
      <c r="U1" s="157" t="s">
        <v>462</v>
      </c>
      <c r="V1" s="157" t="s">
        <v>463</v>
      </c>
      <c r="W1" s="157" t="s">
        <v>464</v>
      </c>
      <c r="X1" s="157" t="s">
        <v>465</v>
      </c>
      <c r="Y1" s="157" t="s">
        <v>466</v>
      </c>
      <c r="Z1" s="158" t="s">
        <v>467</v>
      </c>
      <c r="AA1" s="159" t="s">
        <v>468</v>
      </c>
      <c r="AB1" s="159" t="s">
        <v>469</v>
      </c>
      <c r="AC1" s="159" t="s">
        <v>470</v>
      </c>
      <c r="AD1" s="159" t="s">
        <v>471</v>
      </c>
      <c r="AE1" s="159" t="s">
        <v>472</v>
      </c>
      <c r="AF1" s="160" t="s">
        <v>473</v>
      </c>
      <c r="AG1" s="161" t="s">
        <v>474</v>
      </c>
      <c r="AH1" s="161" t="s">
        <v>475</v>
      </c>
      <c r="AI1" s="161" t="s">
        <v>476</v>
      </c>
      <c r="AJ1" s="162" t="s">
        <v>477</v>
      </c>
      <c r="AK1" s="161" t="s">
        <v>478</v>
      </c>
      <c r="AL1" s="161" t="s">
        <v>479</v>
      </c>
      <c r="AM1" s="163" t="s">
        <v>480</v>
      </c>
      <c r="AN1" s="164" t="s">
        <v>481</v>
      </c>
      <c r="AO1" s="163" t="s">
        <v>482</v>
      </c>
      <c r="AP1" s="155" t="s">
        <v>483</v>
      </c>
      <c r="AQ1" s="165" t="s">
        <v>484</v>
      </c>
      <c r="AR1" s="155" t="s">
        <v>485</v>
      </c>
      <c r="AS1" s="165" t="s">
        <v>382</v>
      </c>
      <c r="AT1" s="156" t="s">
        <v>383</v>
      </c>
      <c r="AU1" s="364" t="s">
        <v>36</v>
      </c>
      <c r="AV1" s="365" t="s">
        <v>37</v>
      </c>
      <c r="AW1" s="165" t="s">
        <v>384</v>
      </c>
      <c r="AX1" s="156" t="s">
        <v>385</v>
      </c>
      <c r="AY1" s="149" t="s">
        <v>386</v>
      </c>
      <c r="AZ1" s="166" t="s">
        <v>387</v>
      </c>
      <c r="BA1" s="167" t="s">
        <v>388</v>
      </c>
      <c r="BB1" s="166" t="s">
        <v>389</v>
      </c>
      <c r="BC1" s="166" t="s">
        <v>390</v>
      </c>
      <c r="BD1" s="149" t="s">
        <v>391</v>
      </c>
      <c r="BE1" s="150" t="s">
        <v>392</v>
      </c>
      <c r="BF1" s="166" t="s">
        <v>393</v>
      </c>
      <c r="BG1" s="166" t="s">
        <v>394</v>
      </c>
      <c r="BH1" s="150" t="s">
        <v>395</v>
      </c>
      <c r="BI1" s="166" t="s">
        <v>396</v>
      </c>
      <c r="BJ1" s="149" t="s">
        <v>397</v>
      </c>
    </row>
    <row r="2" spans="1:62" x14ac:dyDescent="0.15">
      <c r="A2" s="297">
        <v>76</v>
      </c>
      <c r="B2" s="328">
        <v>43290</v>
      </c>
      <c r="C2" s="296" t="s">
        <v>10</v>
      </c>
      <c r="D2" s="297" t="s">
        <v>11</v>
      </c>
      <c r="E2" s="295">
        <v>43284</v>
      </c>
      <c r="F2" s="298" t="s">
        <v>12</v>
      </c>
      <c r="G2" s="297" t="s">
        <v>13</v>
      </c>
      <c r="H2" s="297">
        <v>79</v>
      </c>
      <c r="I2" s="376" t="s">
        <v>402</v>
      </c>
      <c r="J2" s="297">
        <v>3000</v>
      </c>
      <c r="K2" s="297">
        <v>6000</v>
      </c>
      <c r="L2" s="297">
        <v>9000</v>
      </c>
      <c r="M2" s="297">
        <v>15000</v>
      </c>
      <c r="N2" s="297"/>
      <c r="O2" s="297">
        <v>2.71</v>
      </c>
      <c r="P2" s="297">
        <v>2.36</v>
      </c>
      <c r="Q2" s="297">
        <v>1.88</v>
      </c>
      <c r="R2" s="297">
        <v>1.63</v>
      </c>
      <c r="S2" s="297">
        <v>1.51</v>
      </c>
      <c r="T2" s="297"/>
      <c r="U2" s="297">
        <v>2.57</v>
      </c>
      <c r="V2" s="297">
        <v>2.2200000000000002</v>
      </c>
      <c r="W2" s="297">
        <v>1.82</v>
      </c>
      <c r="X2" s="297">
        <v>1.6</v>
      </c>
      <c r="Y2" s="297">
        <v>1.47</v>
      </c>
      <c r="Z2" s="297"/>
      <c r="AA2" s="297"/>
      <c r="AB2" s="297"/>
      <c r="AC2" s="297"/>
      <c r="AD2" s="297"/>
      <c r="AE2" s="297"/>
      <c r="AF2" s="297"/>
      <c r="AG2" s="299" t="s">
        <v>403</v>
      </c>
      <c r="AH2" s="299" t="s">
        <v>404</v>
      </c>
      <c r="AI2" s="299">
        <v>3</v>
      </c>
      <c r="AJ2" s="299">
        <v>3</v>
      </c>
      <c r="AK2" s="377">
        <v>0.5</v>
      </c>
      <c r="AL2" s="377">
        <v>0.5</v>
      </c>
      <c r="AM2" s="299">
        <v>0</v>
      </c>
      <c r="AN2" s="299">
        <v>0</v>
      </c>
      <c r="AO2" s="299">
        <v>0</v>
      </c>
      <c r="AP2" s="299">
        <v>26</v>
      </c>
      <c r="AQ2" s="299">
        <v>0</v>
      </c>
      <c r="AR2" s="299">
        <v>0</v>
      </c>
      <c r="AS2" s="299">
        <v>0</v>
      </c>
      <c r="AT2" s="299">
        <v>0</v>
      </c>
      <c r="AU2" s="299">
        <v>0</v>
      </c>
      <c r="AV2" s="299">
        <v>0</v>
      </c>
      <c r="AW2" s="299">
        <v>0</v>
      </c>
      <c r="AX2" s="299">
        <v>0</v>
      </c>
      <c r="AY2" s="299"/>
      <c r="AZ2" s="299" t="s">
        <v>38</v>
      </c>
      <c r="BA2" s="299">
        <v>12</v>
      </c>
      <c r="BB2" s="299" t="s">
        <v>38</v>
      </c>
      <c r="BC2" s="299"/>
      <c r="BD2" s="378" t="s">
        <v>39</v>
      </c>
      <c r="BE2" s="297" t="s">
        <v>40</v>
      </c>
      <c r="BF2" s="299">
        <v>25</v>
      </c>
      <c r="BG2" s="299" t="s">
        <v>41</v>
      </c>
      <c r="BH2" s="298"/>
      <c r="BI2" s="366" t="s">
        <v>430</v>
      </c>
      <c r="BJ2" s="366" t="s">
        <v>408</v>
      </c>
    </row>
    <row r="3" spans="1:62" x14ac:dyDescent="0.15">
      <c r="A3" s="297">
        <v>1160</v>
      </c>
      <c r="B3" s="328">
        <v>43300</v>
      </c>
      <c r="C3" s="296" t="s">
        <v>10</v>
      </c>
      <c r="D3" s="297" t="s">
        <v>11</v>
      </c>
      <c r="E3" s="309">
        <v>43293</v>
      </c>
      <c r="F3" s="298" t="s">
        <v>14</v>
      </c>
      <c r="G3" s="297" t="s">
        <v>15</v>
      </c>
      <c r="H3" s="297">
        <v>68.78</v>
      </c>
      <c r="I3" s="376" t="s">
        <v>402</v>
      </c>
      <c r="J3" s="331">
        <v>3000</v>
      </c>
      <c r="K3" s="331">
        <v>6000</v>
      </c>
      <c r="L3" s="331">
        <v>6000</v>
      </c>
      <c r="M3" s="331">
        <v>6000</v>
      </c>
      <c r="N3" s="297"/>
      <c r="O3" s="297">
        <v>2.36</v>
      </c>
      <c r="P3" s="297">
        <v>2.0299999999999998</v>
      </c>
      <c r="Q3" s="329">
        <v>0</v>
      </c>
      <c r="R3" s="297">
        <v>0</v>
      </c>
      <c r="S3" s="297">
        <v>1.64</v>
      </c>
      <c r="T3" s="297"/>
      <c r="U3" s="297">
        <v>2.2799999999999998</v>
      </c>
      <c r="V3" s="297">
        <v>1.99</v>
      </c>
      <c r="W3" s="329">
        <v>0</v>
      </c>
      <c r="X3" s="297">
        <v>0</v>
      </c>
      <c r="Y3" s="297">
        <v>1.63</v>
      </c>
      <c r="Z3" s="297"/>
      <c r="AA3" s="297"/>
      <c r="AB3" s="297"/>
      <c r="AC3" s="297"/>
      <c r="AD3" s="297"/>
      <c r="AE3" s="297"/>
      <c r="AF3" s="297"/>
      <c r="AG3" s="299" t="s">
        <v>403</v>
      </c>
      <c r="AH3" s="299" t="s">
        <v>404</v>
      </c>
      <c r="AI3" s="299">
        <v>3</v>
      </c>
      <c r="AJ3" s="299">
        <v>3</v>
      </c>
      <c r="AK3" s="377">
        <v>0.5</v>
      </c>
      <c r="AL3" s="377">
        <v>0.5</v>
      </c>
      <c r="AM3" s="299">
        <v>0</v>
      </c>
      <c r="AN3" s="299">
        <v>0</v>
      </c>
      <c r="AO3" s="299">
        <v>0</v>
      </c>
      <c r="AP3" s="299">
        <v>25</v>
      </c>
      <c r="AQ3" s="299">
        <v>0</v>
      </c>
      <c r="AR3" s="299">
        <v>0</v>
      </c>
      <c r="AS3" s="299">
        <v>0</v>
      </c>
      <c r="AT3" s="299">
        <v>0</v>
      </c>
      <c r="AU3" s="299">
        <v>0</v>
      </c>
      <c r="AV3" s="299">
        <v>0</v>
      </c>
      <c r="AW3" s="299">
        <v>0</v>
      </c>
      <c r="AX3" s="299">
        <v>0</v>
      </c>
      <c r="AY3" s="297"/>
      <c r="AZ3" s="299" t="s">
        <v>38</v>
      </c>
      <c r="BA3" s="299">
        <v>24</v>
      </c>
      <c r="BB3" s="299" t="s">
        <v>38</v>
      </c>
      <c r="BC3" s="299"/>
      <c r="BD3" s="298"/>
      <c r="BE3" s="297"/>
      <c r="BF3" s="299"/>
      <c r="BG3" s="299" t="s">
        <v>411</v>
      </c>
      <c r="BH3" s="298"/>
      <c r="BI3" t="s">
        <v>412</v>
      </c>
      <c r="BJ3" t="s">
        <v>368</v>
      </c>
    </row>
    <row r="4" spans="1:62" x14ac:dyDescent="0.15">
      <c r="A4" s="297">
        <v>1439</v>
      </c>
      <c r="B4" s="328">
        <v>43292</v>
      </c>
      <c r="C4" s="296" t="s">
        <v>10</v>
      </c>
      <c r="D4" s="297" t="s">
        <v>11</v>
      </c>
      <c r="E4" s="295">
        <v>43160</v>
      </c>
      <c r="F4" s="298" t="s">
        <v>16</v>
      </c>
      <c r="G4" s="379" t="s">
        <v>17</v>
      </c>
      <c r="H4" s="297">
        <v>78.099999999999994</v>
      </c>
      <c r="I4" s="376" t="s">
        <v>402</v>
      </c>
      <c r="J4" s="297">
        <v>3000</v>
      </c>
      <c r="K4" s="297">
        <v>6000</v>
      </c>
      <c r="L4" s="297">
        <v>9000</v>
      </c>
      <c r="M4" s="297">
        <v>15000</v>
      </c>
      <c r="N4" s="297"/>
      <c r="O4" s="297">
        <v>3.35</v>
      </c>
      <c r="P4" s="297">
        <v>2.95</v>
      </c>
      <c r="Q4" s="297">
        <v>2.5499999999999998</v>
      </c>
      <c r="R4" s="297">
        <v>2.35</v>
      </c>
      <c r="S4" s="297">
        <v>2.25</v>
      </c>
      <c r="T4" s="297"/>
      <c r="U4" s="297">
        <v>3.25</v>
      </c>
      <c r="V4" s="297">
        <v>2.9</v>
      </c>
      <c r="W4" s="297">
        <v>2.5</v>
      </c>
      <c r="X4" s="297">
        <v>2.35</v>
      </c>
      <c r="Y4" s="297">
        <v>2.2999999999999998</v>
      </c>
      <c r="Z4" s="297"/>
      <c r="AA4" s="297"/>
      <c r="AB4" s="297"/>
      <c r="AC4" s="297"/>
      <c r="AD4" s="297"/>
      <c r="AE4" s="297"/>
      <c r="AF4" s="297"/>
      <c r="AG4" s="299" t="s">
        <v>403</v>
      </c>
      <c r="AH4" s="299" t="s">
        <v>404</v>
      </c>
      <c r="AI4" s="299">
        <v>3</v>
      </c>
      <c r="AJ4" s="299">
        <v>3</v>
      </c>
      <c r="AK4" s="377">
        <v>0.5</v>
      </c>
      <c r="AL4" s="377">
        <v>0.5</v>
      </c>
      <c r="AM4" s="299">
        <v>0</v>
      </c>
      <c r="AN4" s="299">
        <v>0</v>
      </c>
      <c r="AO4" s="299">
        <v>26</v>
      </c>
      <c r="AP4" s="299">
        <v>0</v>
      </c>
      <c r="AQ4" s="299">
        <v>0</v>
      </c>
      <c r="AR4" s="299">
        <v>0</v>
      </c>
      <c r="AS4" s="299">
        <v>0</v>
      </c>
      <c r="AT4" s="299">
        <v>0</v>
      </c>
      <c r="AU4" s="299">
        <v>0</v>
      </c>
      <c r="AV4" s="299">
        <v>0</v>
      </c>
      <c r="AW4" s="299">
        <v>0</v>
      </c>
      <c r="AX4" s="299">
        <v>0</v>
      </c>
      <c r="AY4" s="297"/>
      <c r="AZ4" s="299" t="s">
        <v>38</v>
      </c>
      <c r="BA4" s="299"/>
      <c r="BB4" s="299" t="s">
        <v>38</v>
      </c>
      <c r="BC4" s="299"/>
      <c r="BD4" s="298"/>
      <c r="BE4" s="297"/>
      <c r="BF4" s="299"/>
      <c r="BG4" s="299" t="s">
        <v>41</v>
      </c>
      <c r="BH4" s="298" t="s">
        <v>42</v>
      </c>
      <c r="BI4" s="366" t="s">
        <v>430</v>
      </c>
      <c r="BJ4" t="s">
        <v>368</v>
      </c>
    </row>
    <row r="5" spans="1:62" x14ac:dyDescent="0.15">
      <c r="A5" s="297">
        <v>1135</v>
      </c>
      <c r="B5" s="328">
        <v>43292</v>
      </c>
      <c r="C5" s="296" t="s">
        <v>10</v>
      </c>
      <c r="D5" s="297" t="s">
        <v>11</v>
      </c>
      <c r="E5" s="295">
        <v>43132</v>
      </c>
      <c r="F5" s="298" t="s">
        <v>18</v>
      </c>
      <c r="G5" s="297" t="s">
        <v>418</v>
      </c>
      <c r="H5" s="297">
        <v>70</v>
      </c>
      <c r="I5" s="376" t="s">
        <v>402</v>
      </c>
      <c r="J5" s="297">
        <v>3000</v>
      </c>
      <c r="K5" s="297">
        <v>9000</v>
      </c>
      <c r="L5" s="297">
        <v>12000</v>
      </c>
      <c r="M5" s="297">
        <v>18000</v>
      </c>
      <c r="N5" s="297"/>
      <c r="O5" s="297">
        <v>2.8</v>
      </c>
      <c r="P5" s="297">
        <v>2.5</v>
      </c>
      <c r="Q5" s="297">
        <v>2.1</v>
      </c>
      <c r="R5" s="297">
        <v>2.0499999999999998</v>
      </c>
      <c r="S5" s="297">
        <v>1.88</v>
      </c>
      <c r="T5" s="297"/>
      <c r="U5" s="297">
        <v>2.69</v>
      </c>
      <c r="V5" s="297">
        <v>2.2999999999999998</v>
      </c>
      <c r="W5" s="297">
        <v>1.95</v>
      </c>
      <c r="X5" s="297">
        <v>1.64</v>
      </c>
      <c r="Y5" s="297">
        <v>1.61</v>
      </c>
      <c r="Z5" s="297"/>
      <c r="AA5" s="297"/>
      <c r="AB5" s="297"/>
      <c r="AC5" s="297"/>
      <c r="AD5" s="297"/>
      <c r="AE5" s="297"/>
      <c r="AF5" s="297"/>
      <c r="AG5" s="299" t="s">
        <v>403</v>
      </c>
      <c r="AH5" s="299" t="s">
        <v>404</v>
      </c>
      <c r="AI5" s="299">
        <v>3</v>
      </c>
      <c r="AJ5" s="299">
        <v>3</v>
      </c>
      <c r="AK5" s="377">
        <v>0.5</v>
      </c>
      <c r="AL5" s="377">
        <v>0.5</v>
      </c>
      <c r="AM5" s="299">
        <v>0</v>
      </c>
      <c r="AN5" s="299">
        <v>0</v>
      </c>
      <c r="AO5" s="299">
        <v>0</v>
      </c>
      <c r="AP5" s="299">
        <v>16</v>
      </c>
      <c r="AQ5" s="299">
        <v>0</v>
      </c>
      <c r="AR5" s="299">
        <v>0</v>
      </c>
      <c r="AS5" s="299">
        <v>0</v>
      </c>
      <c r="AT5" s="299">
        <v>0</v>
      </c>
      <c r="AU5" s="299">
        <v>0</v>
      </c>
      <c r="AV5" s="299">
        <v>0</v>
      </c>
      <c r="AW5" s="299">
        <v>0</v>
      </c>
      <c r="AX5" s="299">
        <v>0</v>
      </c>
      <c r="AY5" s="299">
        <v>12</v>
      </c>
      <c r="AZ5" s="299" t="s">
        <v>38</v>
      </c>
      <c r="BA5" s="299"/>
      <c r="BB5" s="299" t="s">
        <v>38</v>
      </c>
      <c r="BC5" s="299"/>
      <c r="BD5" s="298"/>
      <c r="BE5" s="297"/>
      <c r="BF5" s="299"/>
      <c r="BG5" s="299" t="s">
        <v>41</v>
      </c>
      <c r="BH5" s="298"/>
      <c r="BI5" s="366" t="s">
        <v>430</v>
      </c>
      <c r="BJ5" s="366" t="s">
        <v>368</v>
      </c>
    </row>
    <row r="6" spans="1:62" x14ac:dyDescent="0.15">
      <c r="A6" s="297">
        <v>883</v>
      </c>
      <c r="B6" s="328">
        <v>43292</v>
      </c>
      <c r="C6" s="296" t="s">
        <v>10</v>
      </c>
      <c r="D6" s="297" t="s">
        <v>11</v>
      </c>
      <c r="E6" s="295">
        <v>43154</v>
      </c>
      <c r="F6" s="298" t="s">
        <v>19</v>
      </c>
      <c r="G6" s="297" t="s">
        <v>20</v>
      </c>
      <c r="H6" s="297">
        <v>73.91</v>
      </c>
      <c r="I6" s="376" t="s">
        <v>402</v>
      </c>
      <c r="J6" s="331">
        <v>6000</v>
      </c>
      <c r="K6" s="331">
        <v>9000</v>
      </c>
      <c r="L6" s="331">
        <v>9000</v>
      </c>
      <c r="M6" s="331">
        <v>9000</v>
      </c>
      <c r="N6" s="297"/>
      <c r="O6" s="297">
        <v>2.54</v>
      </c>
      <c r="P6" s="297">
        <v>1.92</v>
      </c>
      <c r="Q6" s="329">
        <v>0</v>
      </c>
      <c r="R6" s="297">
        <v>0</v>
      </c>
      <c r="S6" s="297">
        <v>1.53</v>
      </c>
      <c r="T6" s="297"/>
      <c r="U6" s="297">
        <v>2.39</v>
      </c>
      <c r="V6" s="297">
        <v>1.83</v>
      </c>
      <c r="W6" s="329">
        <v>0</v>
      </c>
      <c r="X6" s="297">
        <v>0</v>
      </c>
      <c r="Y6" s="297">
        <v>1.53</v>
      </c>
      <c r="Z6" s="297"/>
      <c r="AA6" s="297"/>
      <c r="AB6" s="297"/>
      <c r="AC6" s="297"/>
      <c r="AD6" s="297"/>
      <c r="AE6" s="297"/>
      <c r="AF6" s="297"/>
      <c r="AG6" s="299" t="s">
        <v>403</v>
      </c>
      <c r="AH6" s="299" t="s">
        <v>404</v>
      </c>
      <c r="AI6" s="299">
        <v>3</v>
      </c>
      <c r="AJ6" s="299">
        <v>3</v>
      </c>
      <c r="AK6" s="377">
        <v>0.5</v>
      </c>
      <c r="AL6" s="377">
        <v>0.5</v>
      </c>
      <c r="AM6" s="299">
        <v>0</v>
      </c>
      <c r="AN6" s="299">
        <v>0</v>
      </c>
      <c r="AO6" s="299">
        <v>0</v>
      </c>
      <c r="AP6" s="299">
        <v>0</v>
      </c>
      <c r="AQ6" s="299">
        <v>0</v>
      </c>
      <c r="AR6" s="299">
        <v>25</v>
      </c>
      <c r="AS6" s="299">
        <v>0</v>
      </c>
      <c r="AT6" s="299">
        <v>0</v>
      </c>
      <c r="AU6" s="299">
        <v>0</v>
      </c>
      <c r="AV6" s="299">
        <v>0</v>
      </c>
      <c r="AW6" s="299">
        <v>0</v>
      </c>
      <c r="AX6" s="299">
        <v>0</v>
      </c>
      <c r="AY6" s="297"/>
      <c r="AZ6" s="299" t="s">
        <v>38</v>
      </c>
      <c r="BA6" s="299"/>
      <c r="BB6" s="299" t="s">
        <v>38</v>
      </c>
      <c r="BC6" s="299"/>
      <c r="BD6" s="298"/>
      <c r="BE6" s="297"/>
      <c r="BF6" s="299"/>
      <c r="BG6" s="299" t="s">
        <v>43</v>
      </c>
      <c r="BH6" s="298"/>
      <c r="BI6" s="366" t="s">
        <v>430</v>
      </c>
      <c r="BJ6" s="366" t="s">
        <v>368</v>
      </c>
    </row>
    <row r="7" spans="1:62" x14ac:dyDescent="0.15">
      <c r="A7" s="297">
        <v>744</v>
      </c>
      <c r="B7" s="328">
        <v>43291</v>
      </c>
      <c r="C7" s="296" t="s">
        <v>10</v>
      </c>
      <c r="D7" s="297" t="s">
        <v>11</v>
      </c>
      <c r="E7" s="295">
        <v>43223</v>
      </c>
      <c r="F7" s="298" t="s">
        <v>21</v>
      </c>
      <c r="G7" s="380" t="s">
        <v>1097</v>
      </c>
      <c r="H7" s="297">
        <v>76.2</v>
      </c>
      <c r="I7" s="376" t="s">
        <v>402</v>
      </c>
      <c r="J7" s="297">
        <v>6000</v>
      </c>
      <c r="K7" s="297">
        <v>6000</v>
      </c>
      <c r="L7" s="297">
        <v>6000</v>
      </c>
      <c r="M7" s="297">
        <v>6000</v>
      </c>
      <c r="N7" s="297"/>
      <c r="O7" s="297">
        <v>2.44</v>
      </c>
      <c r="P7" s="329">
        <v>0</v>
      </c>
      <c r="Q7" s="297">
        <v>0</v>
      </c>
      <c r="R7" s="297">
        <v>0</v>
      </c>
      <c r="S7" s="297">
        <v>1.77</v>
      </c>
      <c r="T7" s="297"/>
      <c r="U7" s="297">
        <v>2.44</v>
      </c>
      <c r="V7" s="329">
        <v>0</v>
      </c>
      <c r="W7" s="297">
        <v>0</v>
      </c>
      <c r="X7" s="297">
        <v>0</v>
      </c>
      <c r="Y7" s="297">
        <v>1.77</v>
      </c>
      <c r="Z7" s="297"/>
      <c r="AA7" s="297"/>
      <c r="AB7" s="297"/>
      <c r="AC7" s="297"/>
      <c r="AD7" s="297"/>
      <c r="AE7" s="297"/>
      <c r="AF7" s="297"/>
      <c r="AG7" s="299" t="s">
        <v>405</v>
      </c>
      <c r="AH7" s="297"/>
      <c r="AI7" s="299">
        <v>3</v>
      </c>
      <c r="AJ7" s="299">
        <v>3</v>
      </c>
      <c r="AK7" s="377">
        <v>0.5</v>
      </c>
      <c r="AL7" s="377">
        <v>0.5</v>
      </c>
      <c r="AM7" s="299">
        <v>0</v>
      </c>
      <c r="AN7" s="299">
        <v>34</v>
      </c>
      <c r="AO7" s="299">
        <v>0</v>
      </c>
      <c r="AP7" s="299">
        <v>0</v>
      </c>
      <c r="AQ7" s="299">
        <v>0</v>
      </c>
      <c r="AR7" s="299">
        <v>0</v>
      </c>
      <c r="AS7" s="299">
        <v>0</v>
      </c>
      <c r="AT7" s="299">
        <v>0</v>
      </c>
      <c r="AU7" s="299">
        <v>0</v>
      </c>
      <c r="AV7" s="299">
        <v>0</v>
      </c>
      <c r="AW7" s="299">
        <v>0</v>
      </c>
      <c r="AX7" s="299">
        <v>0</v>
      </c>
      <c r="AY7" s="297"/>
      <c r="AZ7" s="299" t="s">
        <v>38</v>
      </c>
      <c r="BA7" s="299">
        <v>12</v>
      </c>
      <c r="BB7" s="299" t="s">
        <v>38</v>
      </c>
      <c r="BC7" s="299"/>
      <c r="BD7" s="298" t="s">
        <v>218</v>
      </c>
      <c r="BE7" s="297" t="s">
        <v>40</v>
      </c>
      <c r="BF7" s="299">
        <v>50</v>
      </c>
      <c r="BG7" s="299" t="s">
        <v>41</v>
      </c>
      <c r="BH7" s="298"/>
      <c r="BI7" s="366" t="s">
        <v>430</v>
      </c>
      <c r="BJ7" s="366" t="s">
        <v>368</v>
      </c>
    </row>
    <row r="8" spans="1:62" x14ac:dyDescent="0.15">
      <c r="A8" s="297">
        <v>171</v>
      </c>
      <c r="B8" s="328">
        <v>43293</v>
      </c>
      <c r="C8" s="296" t="s">
        <v>10</v>
      </c>
      <c r="D8" s="297" t="s">
        <v>11</v>
      </c>
      <c r="E8" s="295">
        <v>43208</v>
      </c>
      <c r="F8" s="298" t="s">
        <v>22</v>
      </c>
      <c r="G8" s="297" t="s">
        <v>23</v>
      </c>
      <c r="H8" s="297">
        <v>65</v>
      </c>
      <c r="I8" s="376" t="s">
        <v>402</v>
      </c>
      <c r="J8" s="297">
        <v>3000</v>
      </c>
      <c r="K8" s="297">
        <v>6000</v>
      </c>
      <c r="L8" s="297">
        <v>9000</v>
      </c>
      <c r="M8" s="297">
        <v>15000</v>
      </c>
      <c r="N8" s="297"/>
      <c r="O8" s="297">
        <v>2.4500000000000002</v>
      </c>
      <c r="P8" s="297">
        <v>2.1</v>
      </c>
      <c r="Q8" s="297">
        <v>1.78</v>
      </c>
      <c r="R8" s="297">
        <v>1.62</v>
      </c>
      <c r="S8" s="297">
        <v>1.58</v>
      </c>
      <c r="T8" s="297"/>
      <c r="U8" s="297">
        <v>2.25</v>
      </c>
      <c r="V8" s="297">
        <v>1.98</v>
      </c>
      <c r="W8" s="297">
        <v>1.7</v>
      </c>
      <c r="X8" s="297">
        <v>1.57</v>
      </c>
      <c r="Y8" s="297">
        <v>1.52</v>
      </c>
      <c r="Z8" s="297"/>
      <c r="AA8" s="297"/>
      <c r="AB8" s="297"/>
      <c r="AC8" s="297"/>
      <c r="AD8" s="297"/>
      <c r="AE8" s="297"/>
      <c r="AF8" s="297"/>
      <c r="AG8" s="299" t="s">
        <v>403</v>
      </c>
      <c r="AH8" s="299" t="s">
        <v>404</v>
      </c>
      <c r="AI8" s="299">
        <v>3</v>
      </c>
      <c r="AJ8" s="299">
        <v>3</v>
      </c>
      <c r="AK8" s="377">
        <v>0.5</v>
      </c>
      <c r="AL8" s="377">
        <v>0.5</v>
      </c>
      <c r="AM8" s="299">
        <v>0</v>
      </c>
      <c r="AN8" s="299">
        <v>0</v>
      </c>
      <c r="AO8" s="299">
        <v>15</v>
      </c>
      <c r="AP8" s="299">
        <v>0</v>
      </c>
      <c r="AQ8" s="299">
        <v>0</v>
      </c>
      <c r="AR8" s="299">
        <v>0</v>
      </c>
      <c r="AS8" s="299">
        <v>0</v>
      </c>
      <c r="AT8" s="299">
        <v>0</v>
      </c>
      <c r="AU8" s="299">
        <v>0</v>
      </c>
      <c r="AV8" s="299">
        <v>0</v>
      </c>
      <c r="AW8" s="299">
        <v>0</v>
      </c>
      <c r="AX8" s="299">
        <v>0</v>
      </c>
      <c r="AY8" s="297"/>
      <c r="AZ8" s="299" t="s">
        <v>38</v>
      </c>
      <c r="BA8" s="299"/>
      <c r="BB8" s="299" t="s">
        <v>38</v>
      </c>
      <c r="BC8" s="299"/>
      <c r="BD8" s="298" t="s">
        <v>429</v>
      </c>
      <c r="BE8" s="297"/>
      <c r="BF8" s="299"/>
      <c r="BG8" s="299" t="s">
        <v>41</v>
      </c>
      <c r="BH8" s="298"/>
      <c r="BI8" t="s">
        <v>430</v>
      </c>
      <c r="BJ8" t="s">
        <v>368</v>
      </c>
    </row>
    <row r="9" spans="1:62" x14ac:dyDescent="0.15">
      <c r="A9" s="297">
        <v>312</v>
      </c>
      <c r="B9" s="328">
        <v>43293</v>
      </c>
      <c r="C9" s="296" t="s">
        <v>10</v>
      </c>
      <c r="D9" s="297" t="s">
        <v>11</v>
      </c>
      <c r="E9" s="295">
        <v>43194</v>
      </c>
      <c r="F9" s="297" t="s">
        <v>24</v>
      </c>
      <c r="G9" s="297" t="s">
        <v>20</v>
      </c>
      <c r="H9" s="297">
        <v>72.8</v>
      </c>
      <c r="I9" s="376" t="s">
        <v>402</v>
      </c>
      <c r="J9" s="297">
        <v>3000</v>
      </c>
      <c r="K9" s="297">
        <v>6000</v>
      </c>
      <c r="L9" s="297">
        <v>9000</v>
      </c>
      <c r="M9" s="297">
        <v>15000</v>
      </c>
      <c r="N9" s="297"/>
      <c r="O9" s="297">
        <v>1.95</v>
      </c>
      <c r="P9" s="297">
        <v>1.78</v>
      </c>
      <c r="Q9" s="297">
        <v>1.58</v>
      </c>
      <c r="R9" s="297">
        <v>1.47</v>
      </c>
      <c r="S9" s="297">
        <v>1.44</v>
      </c>
      <c r="T9" s="297"/>
      <c r="U9" s="297">
        <v>1.81</v>
      </c>
      <c r="V9" s="297">
        <v>1.67</v>
      </c>
      <c r="W9" s="297">
        <v>1.49</v>
      </c>
      <c r="X9" s="297">
        <v>1.4</v>
      </c>
      <c r="Y9" s="297">
        <v>1.38</v>
      </c>
      <c r="Z9" s="297"/>
      <c r="AA9" s="297"/>
      <c r="AB9" s="297"/>
      <c r="AC9" s="297"/>
      <c r="AD9" s="297"/>
      <c r="AE9" s="297"/>
      <c r="AF9" s="297"/>
      <c r="AG9" s="299" t="s">
        <v>403</v>
      </c>
      <c r="AH9" s="299" t="s">
        <v>404</v>
      </c>
      <c r="AI9" s="299">
        <v>3</v>
      </c>
      <c r="AJ9" s="299">
        <v>3</v>
      </c>
      <c r="AK9" s="377">
        <v>0.5</v>
      </c>
      <c r="AL9" s="377">
        <v>0.5</v>
      </c>
      <c r="AM9" s="299">
        <v>0</v>
      </c>
      <c r="AN9" s="299">
        <v>0</v>
      </c>
      <c r="AO9" s="299">
        <v>0</v>
      </c>
      <c r="AP9" s="299">
        <v>0</v>
      </c>
      <c r="AQ9" s="299">
        <v>0</v>
      </c>
      <c r="AR9" s="299">
        <v>0</v>
      </c>
      <c r="AS9" s="299">
        <v>0</v>
      </c>
      <c r="AT9" s="299">
        <v>0</v>
      </c>
      <c r="AU9" s="299">
        <v>0</v>
      </c>
      <c r="AV9" s="299">
        <v>0</v>
      </c>
      <c r="AW9" s="299">
        <v>0</v>
      </c>
      <c r="AX9" s="299">
        <v>0</v>
      </c>
      <c r="AY9" s="297"/>
      <c r="AZ9" s="299" t="s">
        <v>38</v>
      </c>
      <c r="BA9" s="299"/>
      <c r="BB9" s="299" t="s">
        <v>38</v>
      </c>
      <c r="BC9" s="299"/>
      <c r="BD9" s="298" t="s">
        <v>44</v>
      </c>
      <c r="BE9" s="297" t="s">
        <v>40</v>
      </c>
      <c r="BF9" s="299">
        <v>50</v>
      </c>
      <c r="BG9" s="299" t="s">
        <v>43</v>
      </c>
      <c r="BH9" s="298"/>
      <c r="BI9" t="s">
        <v>430</v>
      </c>
      <c r="BJ9" s="366" t="s">
        <v>368</v>
      </c>
    </row>
    <row r="10" spans="1:62" x14ac:dyDescent="0.15">
      <c r="A10" s="297">
        <v>567</v>
      </c>
      <c r="B10" s="328">
        <v>43291</v>
      </c>
      <c r="C10" s="296" t="s">
        <v>10</v>
      </c>
      <c r="D10" s="297" t="s">
        <v>11</v>
      </c>
      <c r="E10" s="295">
        <v>43182</v>
      </c>
      <c r="F10" s="298" t="s">
        <v>25</v>
      </c>
      <c r="G10" s="297" t="s">
        <v>26</v>
      </c>
      <c r="H10" s="297">
        <v>70</v>
      </c>
      <c r="I10" s="376" t="s">
        <v>402</v>
      </c>
      <c r="J10" s="331">
        <v>6000</v>
      </c>
      <c r="K10" s="331">
        <v>9000</v>
      </c>
      <c r="L10" s="331">
        <v>9000</v>
      </c>
      <c r="M10" s="331">
        <v>9000</v>
      </c>
      <c r="N10" s="331"/>
      <c r="O10" s="297">
        <v>2.4</v>
      </c>
      <c r="P10" s="297">
        <v>1.95</v>
      </c>
      <c r="Q10" s="329">
        <v>0</v>
      </c>
      <c r="R10" s="297">
        <v>0</v>
      </c>
      <c r="S10" s="297">
        <v>1.45</v>
      </c>
      <c r="T10" s="297"/>
      <c r="U10" s="297">
        <v>2.2000000000000002</v>
      </c>
      <c r="V10" s="297">
        <v>1.75</v>
      </c>
      <c r="W10" s="329">
        <v>0</v>
      </c>
      <c r="X10" s="297">
        <v>0</v>
      </c>
      <c r="Y10" s="297">
        <v>1.35</v>
      </c>
      <c r="Z10" s="297"/>
      <c r="AA10" s="297"/>
      <c r="AB10" s="297"/>
      <c r="AC10" s="297"/>
      <c r="AD10" s="297"/>
      <c r="AE10" s="297"/>
      <c r="AF10" s="297"/>
      <c r="AG10" s="299" t="s">
        <v>403</v>
      </c>
      <c r="AH10" s="299" t="s">
        <v>404</v>
      </c>
      <c r="AI10" s="299">
        <v>3</v>
      </c>
      <c r="AJ10" s="299">
        <v>3</v>
      </c>
      <c r="AK10" s="377">
        <v>0.5</v>
      </c>
      <c r="AL10" s="377">
        <v>0.5</v>
      </c>
      <c r="AM10" s="299">
        <v>0</v>
      </c>
      <c r="AN10" s="299">
        <v>0</v>
      </c>
      <c r="AO10" s="299">
        <v>0</v>
      </c>
      <c r="AP10" s="299">
        <v>13</v>
      </c>
      <c r="AQ10" s="299">
        <v>0</v>
      </c>
      <c r="AR10" s="299">
        <v>0</v>
      </c>
      <c r="AS10" s="299">
        <v>0</v>
      </c>
      <c r="AT10" s="299">
        <v>0</v>
      </c>
      <c r="AU10" s="299">
        <v>0</v>
      </c>
      <c r="AV10" s="299">
        <v>0</v>
      </c>
      <c r="AW10" s="299">
        <v>0</v>
      </c>
      <c r="AX10" s="299">
        <v>0</v>
      </c>
      <c r="AY10" s="297"/>
      <c r="AZ10" s="299" t="s">
        <v>38</v>
      </c>
      <c r="BA10" s="299">
        <v>12</v>
      </c>
      <c r="BB10" s="299" t="s">
        <v>38</v>
      </c>
      <c r="BC10" s="299"/>
      <c r="BD10" s="298"/>
      <c r="BE10" s="298"/>
      <c r="BF10" s="299"/>
      <c r="BG10" s="299" t="s">
        <v>41</v>
      </c>
      <c r="BH10" s="298"/>
      <c r="BI10" s="366" t="s">
        <v>430</v>
      </c>
      <c r="BJ10" t="s">
        <v>368</v>
      </c>
    </row>
    <row r="11" spans="1:62" x14ac:dyDescent="0.15">
      <c r="A11" s="297">
        <v>1425</v>
      </c>
      <c r="B11" s="328">
        <v>43292</v>
      </c>
      <c r="C11" s="296" t="s">
        <v>10</v>
      </c>
      <c r="D11" s="297" t="s">
        <v>11</v>
      </c>
      <c r="E11" s="309">
        <v>43145</v>
      </c>
      <c r="F11" s="298" t="s">
        <v>27</v>
      </c>
      <c r="G11" s="379" t="s">
        <v>28</v>
      </c>
      <c r="H11" s="297">
        <v>70</v>
      </c>
      <c r="I11" s="376" t="s">
        <v>402</v>
      </c>
      <c r="J11" s="331">
        <v>6000</v>
      </c>
      <c r="K11" s="331">
        <v>9000</v>
      </c>
      <c r="L11" s="331">
        <v>9000</v>
      </c>
      <c r="M11" s="331">
        <v>9000</v>
      </c>
      <c r="N11" s="297"/>
      <c r="O11" s="297">
        <v>2.0499999999999998</v>
      </c>
      <c r="P11" s="297">
        <v>1.8</v>
      </c>
      <c r="Q11" s="297">
        <v>0</v>
      </c>
      <c r="R11" s="297">
        <v>0</v>
      </c>
      <c r="S11" s="297">
        <v>1.5</v>
      </c>
      <c r="T11" s="297"/>
      <c r="U11" s="297">
        <v>1.95</v>
      </c>
      <c r="V11" s="297">
        <v>1.55</v>
      </c>
      <c r="W11" s="297">
        <v>0</v>
      </c>
      <c r="X11" s="297">
        <v>0</v>
      </c>
      <c r="Y11" s="297">
        <v>1.4</v>
      </c>
      <c r="Z11" s="297"/>
      <c r="AA11" s="297"/>
      <c r="AB11" s="297"/>
      <c r="AC11" s="297"/>
      <c r="AD11" s="297"/>
      <c r="AE11" s="297"/>
      <c r="AF11" s="297"/>
      <c r="AG11" s="299" t="s">
        <v>403</v>
      </c>
      <c r="AH11" s="299" t="s">
        <v>404</v>
      </c>
      <c r="AI11" s="299">
        <v>3</v>
      </c>
      <c r="AJ11" s="299">
        <v>3</v>
      </c>
      <c r="AK11" s="377">
        <v>0.5</v>
      </c>
      <c r="AL11" s="377">
        <v>0.5</v>
      </c>
      <c r="AM11" s="299">
        <v>0</v>
      </c>
      <c r="AN11" s="299">
        <v>0</v>
      </c>
      <c r="AO11" s="299">
        <v>10</v>
      </c>
      <c r="AP11" s="299">
        <v>0</v>
      </c>
      <c r="AQ11" s="299">
        <v>0</v>
      </c>
      <c r="AR11" s="299">
        <v>0</v>
      </c>
      <c r="AS11" s="299">
        <v>0</v>
      </c>
      <c r="AT11" s="299">
        <v>0</v>
      </c>
      <c r="AU11" s="299">
        <v>0</v>
      </c>
      <c r="AV11" s="299">
        <v>0</v>
      </c>
      <c r="AW11" s="299">
        <v>0</v>
      </c>
      <c r="AX11" s="299">
        <v>0</v>
      </c>
      <c r="AY11" s="299"/>
      <c r="AZ11" s="299" t="s">
        <v>38</v>
      </c>
      <c r="BA11" s="299"/>
      <c r="BB11" s="299" t="s">
        <v>38</v>
      </c>
      <c r="BC11" s="299"/>
      <c r="BD11" s="298"/>
      <c r="BE11" s="297"/>
      <c r="BF11" s="299"/>
      <c r="BG11" s="299" t="s">
        <v>43</v>
      </c>
      <c r="BH11" s="298"/>
      <c r="BI11" s="366" t="s">
        <v>430</v>
      </c>
      <c r="BJ11" t="s">
        <v>45</v>
      </c>
    </row>
    <row r="12" spans="1:62" x14ac:dyDescent="0.15">
      <c r="A12" s="297">
        <v>778</v>
      </c>
      <c r="B12" s="328">
        <v>43293</v>
      </c>
      <c r="C12" s="296" t="s">
        <v>10</v>
      </c>
      <c r="D12" s="297" t="s">
        <v>11</v>
      </c>
      <c r="E12" s="309">
        <v>43194</v>
      </c>
      <c r="F12" s="298" t="s">
        <v>29</v>
      </c>
      <c r="G12" s="297" t="s">
        <v>30</v>
      </c>
      <c r="H12" s="297">
        <v>70.099999999999994</v>
      </c>
      <c r="I12" s="376" t="s">
        <v>402</v>
      </c>
      <c r="J12" s="297">
        <v>3000</v>
      </c>
      <c r="K12" s="297">
        <v>6000</v>
      </c>
      <c r="L12" s="297">
        <v>9000</v>
      </c>
      <c r="M12" s="297">
        <v>15000</v>
      </c>
      <c r="N12" s="297"/>
      <c r="O12" s="297">
        <v>2.95</v>
      </c>
      <c r="P12" s="297">
        <v>2.63</v>
      </c>
      <c r="Q12" s="297">
        <v>2.25</v>
      </c>
      <c r="R12" s="297">
        <v>2.04</v>
      </c>
      <c r="S12" s="297">
        <v>1.99</v>
      </c>
      <c r="T12" s="297"/>
      <c r="U12" s="297">
        <v>2.78</v>
      </c>
      <c r="V12" s="297">
        <v>2.5099999999999998</v>
      </c>
      <c r="W12" s="297">
        <v>2.19</v>
      </c>
      <c r="X12" s="297">
        <v>2.0099999999999998</v>
      </c>
      <c r="Y12" s="297">
        <v>1.97</v>
      </c>
      <c r="Z12" s="297"/>
      <c r="AA12" s="297">
        <v>2.9</v>
      </c>
      <c r="AB12" s="297">
        <v>2.59</v>
      </c>
      <c r="AC12" s="297">
        <v>2.23</v>
      </c>
      <c r="AD12" s="297">
        <v>2.0299999999999998</v>
      </c>
      <c r="AE12" s="297">
        <v>1.99</v>
      </c>
      <c r="AF12" s="297"/>
      <c r="AG12" s="299" t="s">
        <v>403</v>
      </c>
      <c r="AH12" s="299" t="s">
        <v>404</v>
      </c>
      <c r="AI12" s="299">
        <v>3</v>
      </c>
      <c r="AJ12" s="299">
        <v>3</v>
      </c>
      <c r="AK12" s="377">
        <v>0.5</v>
      </c>
      <c r="AL12" s="377">
        <v>0.5</v>
      </c>
      <c r="AM12" s="299">
        <v>0</v>
      </c>
      <c r="AN12" s="299">
        <v>0</v>
      </c>
      <c r="AO12" s="299">
        <v>0</v>
      </c>
      <c r="AP12" s="299">
        <v>26</v>
      </c>
      <c r="AQ12" s="299">
        <v>0</v>
      </c>
      <c r="AR12" s="299">
        <v>0</v>
      </c>
      <c r="AS12" s="299">
        <v>0</v>
      </c>
      <c r="AT12" s="299">
        <v>0</v>
      </c>
      <c r="AU12" s="299">
        <v>0</v>
      </c>
      <c r="AV12" s="299">
        <v>0</v>
      </c>
      <c r="AW12" s="299">
        <v>0</v>
      </c>
      <c r="AX12" s="299">
        <v>0</v>
      </c>
      <c r="AY12" s="297"/>
      <c r="AZ12" s="299" t="s">
        <v>38</v>
      </c>
      <c r="BA12" s="299">
        <v>24</v>
      </c>
      <c r="BB12" s="299" t="s">
        <v>38</v>
      </c>
      <c r="BC12" s="299"/>
      <c r="BD12" s="378" t="s">
        <v>46</v>
      </c>
      <c r="BE12" s="297" t="s">
        <v>365</v>
      </c>
      <c r="BF12" s="299">
        <v>50</v>
      </c>
      <c r="BG12" s="299" t="s">
        <v>43</v>
      </c>
      <c r="BH12" s="298"/>
      <c r="BI12" t="s">
        <v>430</v>
      </c>
      <c r="BJ12" s="366" t="s">
        <v>368</v>
      </c>
    </row>
    <row r="13" spans="1:62" x14ac:dyDescent="0.15">
      <c r="A13" s="297">
        <v>1613</v>
      </c>
      <c r="B13" s="328">
        <v>43293</v>
      </c>
      <c r="C13" s="296" t="s">
        <v>10</v>
      </c>
      <c r="D13" s="297" t="s">
        <v>11</v>
      </c>
      <c r="E13" s="309">
        <v>43221</v>
      </c>
      <c r="F13" s="297" t="s">
        <v>31</v>
      </c>
      <c r="G13" s="297" t="s">
        <v>32</v>
      </c>
      <c r="H13" s="332">
        <v>73.147000000000006</v>
      </c>
      <c r="I13" s="376" t="s">
        <v>402</v>
      </c>
      <c r="J13" s="297">
        <v>3000</v>
      </c>
      <c r="K13" s="297">
        <v>6000</v>
      </c>
      <c r="L13" s="297">
        <v>9000</v>
      </c>
      <c r="M13" s="297">
        <v>15000</v>
      </c>
      <c r="N13" s="332"/>
      <c r="O13" s="332">
        <v>2.8460000000000001</v>
      </c>
      <c r="P13" s="332">
        <v>2.472</v>
      </c>
      <c r="Q13" s="332">
        <v>2.125</v>
      </c>
      <c r="R13" s="332">
        <v>1.782</v>
      </c>
      <c r="S13" s="332">
        <v>1.66</v>
      </c>
      <c r="T13" s="332"/>
      <c r="U13" s="332">
        <v>2.552</v>
      </c>
      <c r="V13" s="332">
        <v>2.238</v>
      </c>
      <c r="W13" s="332">
        <v>1.929</v>
      </c>
      <c r="X13" s="332">
        <v>1.66</v>
      </c>
      <c r="Y13" s="332">
        <v>1.528</v>
      </c>
      <c r="Z13" s="332"/>
      <c r="AA13" s="332"/>
      <c r="AB13" s="332"/>
      <c r="AC13" s="332"/>
      <c r="AD13" s="332"/>
      <c r="AE13" s="332"/>
      <c r="AF13" s="332"/>
      <c r="AG13" s="333" t="s">
        <v>403</v>
      </c>
      <c r="AH13" s="333" t="s">
        <v>404</v>
      </c>
      <c r="AI13" s="299">
        <v>3</v>
      </c>
      <c r="AJ13" s="299">
        <v>3</v>
      </c>
      <c r="AK13" s="377">
        <v>0.5</v>
      </c>
      <c r="AL13" s="377">
        <v>0.5</v>
      </c>
      <c r="AM13" s="299">
        <v>0</v>
      </c>
      <c r="AN13" s="299">
        <v>0</v>
      </c>
      <c r="AO13" s="299">
        <v>0</v>
      </c>
      <c r="AP13" s="299">
        <v>25</v>
      </c>
      <c r="AQ13" s="299">
        <v>0</v>
      </c>
      <c r="AR13" s="299">
        <v>0</v>
      </c>
      <c r="AS13" s="299">
        <v>0</v>
      </c>
      <c r="AT13" s="299">
        <v>0</v>
      </c>
      <c r="AU13" s="299">
        <v>0</v>
      </c>
      <c r="AV13" s="299">
        <v>0</v>
      </c>
      <c r="AW13" s="299">
        <v>0</v>
      </c>
      <c r="AX13" s="299">
        <v>0</v>
      </c>
      <c r="AY13" s="299"/>
      <c r="AZ13" s="299" t="s">
        <v>38</v>
      </c>
      <c r="BA13" s="299">
        <v>12</v>
      </c>
      <c r="BB13" s="299" t="s">
        <v>38</v>
      </c>
      <c r="BC13" s="299"/>
      <c r="BD13" s="298"/>
      <c r="BE13" s="297"/>
      <c r="BF13" s="299"/>
      <c r="BG13" s="299" t="s">
        <v>43</v>
      </c>
      <c r="BH13" s="298"/>
      <c r="BI13" t="s">
        <v>430</v>
      </c>
      <c r="BJ13" s="366" t="s">
        <v>368</v>
      </c>
    </row>
    <row r="14" spans="1:62" x14ac:dyDescent="0.15">
      <c r="A14" s="297">
        <v>1553</v>
      </c>
      <c r="B14" s="328">
        <v>43292</v>
      </c>
      <c r="C14" s="296" t="s">
        <v>10</v>
      </c>
      <c r="D14" s="297" t="s">
        <v>11</v>
      </c>
      <c r="E14" s="295">
        <v>43249</v>
      </c>
      <c r="F14" s="298" t="s">
        <v>987</v>
      </c>
      <c r="G14" s="297" t="s">
        <v>33</v>
      </c>
      <c r="H14" s="297">
        <v>78.099999999999994</v>
      </c>
      <c r="I14" s="376" t="s">
        <v>402</v>
      </c>
      <c r="J14" s="297">
        <v>3000</v>
      </c>
      <c r="K14" s="297">
        <v>6000</v>
      </c>
      <c r="L14" s="297">
        <v>9000</v>
      </c>
      <c r="M14" s="297">
        <v>15000</v>
      </c>
      <c r="N14" s="297"/>
      <c r="O14" s="297">
        <v>3.35</v>
      </c>
      <c r="P14" s="297">
        <v>2.95</v>
      </c>
      <c r="Q14" s="297">
        <v>2.5499999999999998</v>
      </c>
      <c r="R14" s="297">
        <v>2.35</v>
      </c>
      <c r="S14" s="297">
        <v>2.25</v>
      </c>
      <c r="T14" s="297"/>
      <c r="U14" s="297">
        <v>3.25</v>
      </c>
      <c r="V14" s="297">
        <v>2.9</v>
      </c>
      <c r="W14" s="297">
        <v>2.5</v>
      </c>
      <c r="X14" s="297">
        <v>2.35</v>
      </c>
      <c r="Y14" s="297">
        <v>2.2999999999999998</v>
      </c>
      <c r="Z14" s="297"/>
      <c r="AA14" s="297"/>
      <c r="AB14" s="297"/>
      <c r="AC14" s="297"/>
      <c r="AD14" s="297"/>
      <c r="AE14" s="297"/>
      <c r="AF14" s="297"/>
      <c r="AG14" s="299" t="s">
        <v>403</v>
      </c>
      <c r="AH14" s="299" t="s">
        <v>404</v>
      </c>
      <c r="AI14" s="299">
        <v>3</v>
      </c>
      <c r="AJ14" s="299">
        <v>3</v>
      </c>
      <c r="AK14" s="377">
        <v>0.5</v>
      </c>
      <c r="AL14" s="377">
        <v>0.5</v>
      </c>
      <c r="AM14" s="299">
        <v>0</v>
      </c>
      <c r="AN14" s="299">
        <v>0</v>
      </c>
      <c r="AO14" s="299">
        <v>5</v>
      </c>
      <c r="AP14" s="299">
        <v>0</v>
      </c>
      <c r="AQ14" s="299">
        <v>0</v>
      </c>
      <c r="AR14" s="299">
        <v>0</v>
      </c>
      <c r="AS14" s="299">
        <v>0</v>
      </c>
      <c r="AT14" s="299">
        <v>0</v>
      </c>
      <c r="AU14" s="299">
        <v>0</v>
      </c>
      <c r="AV14" s="299">
        <v>0</v>
      </c>
      <c r="AW14" s="299">
        <v>0</v>
      </c>
      <c r="AX14" s="299">
        <v>0</v>
      </c>
      <c r="AY14" s="299"/>
      <c r="AZ14" s="299" t="s">
        <v>38</v>
      </c>
      <c r="BA14" s="299"/>
      <c r="BB14" s="299" t="s">
        <v>38</v>
      </c>
      <c r="BC14" s="299"/>
      <c r="BD14" s="298"/>
      <c r="BE14" s="297"/>
      <c r="BF14" s="299"/>
      <c r="BG14" s="299" t="s">
        <v>41</v>
      </c>
      <c r="BH14" s="298" t="s">
        <v>370</v>
      </c>
      <c r="BI14" t="s">
        <v>430</v>
      </c>
      <c r="BJ14" t="s">
        <v>368</v>
      </c>
    </row>
    <row r="15" spans="1:62" x14ac:dyDescent="0.15">
      <c r="A15" s="297"/>
      <c r="B15" s="328">
        <v>43300</v>
      </c>
      <c r="C15" s="296" t="s">
        <v>295</v>
      </c>
      <c r="D15" s="297" t="s">
        <v>0</v>
      </c>
      <c r="E15" s="295">
        <v>43221</v>
      </c>
      <c r="F15" s="298" t="s">
        <v>1</v>
      </c>
      <c r="G15" s="297" t="s">
        <v>2</v>
      </c>
      <c r="H15" s="297">
        <v>82</v>
      </c>
      <c r="I15" s="376" t="s">
        <v>3</v>
      </c>
      <c r="J15" s="297">
        <v>6000</v>
      </c>
      <c r="K15" s="297">
        <v>6000</v>
      </c>
      <c r="L15" s="297">
        <v>6000</v>
      </c>
      <c r="M15" s="297">
        <v>6000</v>
      </c>
      <c r="N15" s="297"/>
      <c r="O15" s="297">
        <v>2.68</v>
      </c>
      <c r="P15" s="297">
        <v>0</v>
      </c>
      <c r="Q15" s="297">
        <v>0</v>
      </c>
      <c r="R15" s="297">
        <v>0</v>
      </c>
      <c r="S15" s="297">
        <v>2.5</v>
      </c>
      <c r="T15" s="297"/>
      <c r="U15" s="297">
        <v>2.68</v>
      </c>
      <c r="V15" s="297">
        <v>0</v>
      </c>
      <c r="W15" s="297">
        <v>0</v>
      </c>
      <c r="X15" s="297">
        <v>0</v>
      </c>
      <c r="Y15" s="297">
        <v>2.5</v>
      </c>
      <c r="Z15" s="297"/>
      <c r="AA15" s="297"/>
      <c r="AB15" s="297"/>
      <c r="AC15" s="297"/>
      <c r="AD15" s="297"/>
      <c r="AE15" s="297"/>
      <c r="AF15" s="297"/>
      <c r="AG15" s="299" t="s">
        <v>403</v>
      </c>
      <c r="AH15" s="299" t="s">
        <v>404</v>
      </c>
      <c r="AI15" s="299">
        <v>3</v>
      </c>
      <c r="AJ15" s="299">
        <v>3</v>
      </c>
      <c r="AK15" s="377">
        <v>0.5</v>
      </c>
      <c r="AL15" s="377">
        <v>0.5</v>
      </c>
      <c r="AM15" s="299">
        <v>0</v>
      </c>
      <c r="AN15" s="299">
        <v>0</v>
      </c>
      <c r="AO15" s="299">
        <v>34</v>
      </c>
      <c r="AP15" s="299">
        <v>0</v>
      </c>
      <c r="AQ15" s="299">
        <v>1</v>
      </c>
      <c r="AR15" s="299">
        <v>0</v>
      </c>
      <c r="AS15" s="299">
        <v>0</v>
      </c>
      <c r="AT15" s="299">
        <v>0</v>
      </c>
      <c r="AU15" s="299">
        <v>0</v>
      </c>
      <c r="AV15" s="299">
        <v>0</v>
      </c>
      <c r="AW15" s="299">
        <v>0</v>
      </c>
      <c r="AX15" s="299">
        <v>0</v>
      </c>
      <c r="AY15" s="299"/>
      <c r="AZ15" s="299" t="s">
        <v>38</v>
      </c>
      <c r="BA15" s="299"/>
      <c r="BB15" s="299"/>
      <c r="BC15" s="299"/>
      <c r="BD15" s="298"/>
      <c r="BE15" s="297"/>
      <c r="BF15" s="299"/>
      <c r="BG15" s="299" t="s">
        <v>4</v>
      </c>
      <c r="BH15" s="298"/>
    </row>
    <row r="16" spans="1:62" x14ac:dyDescent="0.15">
      <c r="A16" s="297">
        <v>1514</v>
      </c>
      <c r="B16" s="328">
        <v>43293</v>
      </c>
      <c r="C16" s="296" t="s">
        <v>10</v>
      </c>
      <c r="D16" s="297" t="s">
        <v>11</v>
      </c>
      <c r="E16" s="309">
        <v>43229</v>
      </c>
      <c r="F16" s="297" t="s">
        <v>34</v>
      </c>
      <c r="G16" s="297" t="s">
        <v>35</v>
      </c>
      <c r="H16" s="332">
        <v>79.7</v>
      </c>
      <c r="I16" s="376"/>
      <c r="J16" s="297"/>
      <c r="K16" s="297"/>
      <c r="L16" s="297"/>
      <c r="M16" s="297"/>
      <c r="N16" s="297"/>
      <c r="O16" s="332">
        <v>1.94</v>
      </c>
      <c r="P16" s="332">
        <v>0</v>
      </c>
      <c r="Q16" s="332">
        <v>0</v>
      </c>
      <c r="R16" s="332">
        <v>0</v>
      </c>
      <c r="S16" s="332">
        <v>0</v>
      </c>
      <c r="T16" s="332"/>
      <c r="U16" s="332">
        <v>1.64</v>
      </c>
      <c r="V16" s="332">
        <v>0</v>
      </c>
      <c r="W16" s="332">
        <v>0</v>
      </c>
      <c r="X16" s="332">
        <v>0</v>
      </c>
      <c r="Y16" s="332">
        <v>0</v>
      </c>
      <c r="Z16" s="332"/>
      <c r="AA16" s="332">
        <v>1.76</v>
      </c>
      <c r="AB16" s="297"/>
      <c r="AC16" s="297"/>
      <c r="AD16" s="297"/>
      <c r="AE16" s="297"/>
      <c r="AF16" s="297"/>
      <c r="AG16" s="333" t="s">
        <v>403</v>
      </c>
      <c r="AH16" s="333" t="s">
        <v>404</v>
      </c>
      <c r="AI16" s="299">
        <v>3</v>
      </c>
      <c r="AJ16" s="299">
        <v>3</v>
      </c>
      <c r="AK16" s="377">
        <v>0.5</v>
      </c>
      <c r="AL16" s="377">
        <v>0.5</v>
      </c>
      <c r="AM16" s="299">
        <v>0</v>
      </c>
      <c r="AN16" s="299">
        <v>0</v>
      </c>
      <c r="AO16" s="299">
        <v>5</v>
      </c>
      <c r="AP16" s="299">
        <v>0</v>
      </c>
      <c r="AQ16" s="299">
        <v>0</v>
      </c>
      <c r="AR16" s="299">
        <v>0</v>
      </c>
      <c r="AS16" s="299">
        <v>0</v>
      </c>
      <c r="AT16" s="299">
        <v>0</v>
      </c>
      <c r="AU16" s="299">
        <v>0</v>
      </c>
      <c r="AV16" s="299">
        <v>0</v>
      </c>
      <c r="AW16" s="299">
        <v>0</v>
      </c>
      <c r="AX16" s="299">
        <v>0</v>
      </c>
      <c r="AY16" s="299"/>
      <c r="AZ16" s="299" t="s">
        <v>38</v>
      </c>
      <c r="BA16" s="299"/>
      <c r="BB16" s="299" t="s">
        <v>38</v>
      </c>
      <c r="BC16" s="299"/>
      <c r="BD16" s="298"/>
      <c r="BE16" s="297"/>
      <c r="BF16" s="299"/>
      <c r="BG16" s="299" t="s">
        <v>43</v>
      </c>
      <c r="BH16" s="298" t="s">
        <v>47</v>
      </c>
      <c r="BI16" s="381" t="s">
        <v>48</v>
      </c>
      <c r="BJ16" t="s">
        <v>368</v>
      </c>
    </row>
    <row r="17" spans="1:62" x14ac:dyDescent="0.15">
      <c r="A17" s="297">
        <v>77</v>
      </c>
      <c r="B17" s="328">
        <v>43290</v>
      </c>
      <c r="C17" s="296" t="s">
        <v>10</v>
      </c>
      <c r="D17" s="297" t="s">
        <v>49</v>
      </c>
      <c r="E17" s="295">
        <v>43284</v>
      </c>
      <c r="F17" s="298" t="s">
        <v>12</v>
      </c>
      <c r="G17" s="297" t="s">
        <v>13</v>
      </c>
      <c r="H17" s="297">
        <v>84</v>
      </c>
      <c r="I17" s="376" t="s">
        <v>402</v>
      </c>
      <c r="J17" s="297">
        <v>3000</v>
      </c>
      <c r="K17" s="297">
        <v>6000</v>
      </c>
      <c r="L17" s="297">
        <v>9000</v>
      </c>
      <c r="M17" s="297">
        <v>15000</v>
      </c>
      <c r="N17" s="297"/>
      <c r="O17" s="297">
        <v>2.66</v>
      </c>
      <c r="P17" s="297">
        <v>2.33</v>
      </c>
      <c r="Q17" s="297">
        <v>1.88</v>
      </c>
      <c r="R17" s="297">
        <v>1.64</v>
      </c>
      <c r="S17" s="297">
        <v>1.6</v>
      </c>
      <c r="T17" s="297"/>
      <c r="U17" s="297">
        <v>2.52</v>
      </c>
      <c r="V17" s="297">
        <v>2.2000000000000002</v>
      </c>
      <c r="W17" s="297">
        <v>1.81</v>
      </c>
      <c r="X17" s="297">
        <v>1.6</v>
      </c>
      <c r="Y17" s="297">
        <v>1.55</v>
      </c>
      <c r="Z17" s="297"/>
      <c r="AA17" s="297"/>
      <c r="AB17" s="297"/>
      <c r="AC17" s="297"/>
      <c r="AD17" s="297"/>
      <c r="AE17" s="297"/>
      <c r="AF17" s="297"/>
      <c r="AG17" s="299" t="s">
        <v>403</v>
      </c>
      <c r="AH17" s="299" t="s">
        <v>404</v>
      </c>
      <c r="AI17" s="299">
        <v>3</v>
      </c>
      <c r="AJ17" s="299">
        <v>3</v>
      </c>
      <c r="AK17" s="377">
        <v>0.5</v>
      </c>
      <c r="AL17" s="377">
        <v>0.5</v>
      </c>
      <c r="AM17" s="299">
        <v>0</v>
      </c>
      <c r="AN17" s="299">
        <v>0</v>
      </c>
      <c r="AO17" s="299">
        <v>0</v>
      </c>
      <c r="AP17" s="299">
        <v>26</v>
      </c>
      <c r="AQ17" s="299">
        <v>0</v>
      </c>
      <c r="AR17" s="299">
        <v>0</v>
      </c>
      <c r="AS17" s="299">
        <v>0</v>
      </c>
      <c r="AT17" s="299">
        <v>0</v>
      </c>
      <c r="AU17" s="299">
        <v>0</v>
      </c>
      <c r="AV17" s="299">
        <v>0</v>
      </c>
      <c r="AW17" s="299">
        <v>0</v>
      </c>
      <c r="AX17" s="299">
        <v>0</v>
      </c>
      <c r="AY17" s="299"/>
      <c r="AZ17" s="299" t="s">
        <v>38</v>
      </c>
      <c r="BA17" s="299">
        <v>12</v>
      </c>
      <c r="BB17" s="299" t="s">
        <v>38</v>
      </c>
      <c r="BC17" s="299"/>
      <c r="BD17" s="378" t="s">
        <v>39</v>
      </c>
      <c r="BE17" s="297" t="s">
        <v>40</v>
      </c>
      <c r="BF17" s="299">
        <v>25</v>
      </c>
      <c r="BG17" s="299" t="s">
        <v>41</v>
      </c>
      <c r="BH17" s="298"/>
      <c r="BI17" s="366" t="s">
        <v>430</v>
      </c>
      <c r="BJ17" s="366" t="s">
        <v>408</v>
      </c>
    </row>
    <row r="18" spans="1:62" x14ac:dyDescent="0.15">
      <c r="A18" s="297">
        <v>1161</v>
      </c>
      <c r="B18" s="328">
        <v>43300</v>
      </c>
      <c r="C18" s="296" t="s">
        <v>10</v>
      </c>
      <c r="D18" s="297" t="s">
        <v>49</v>
      </c>
      <c r="E18" s="309">
        <v>43293</v>
      </c>
      <c r="F18" s="298" t="s">
        <v>14</v>
      </c>
      <c r="G18" s="297" t="s">
        <v>15</v>
      </c>
      <c r="H18" s="297">
        <v>65.790000000000006</v>
      </c>
      <c r="I18" s="376" t="s">
        <v>402</v>
      </c>
      <c r="J18" s="331">
        <v>3000</v>
      </c>
      <c r="K18" s="331">
        <v>6000</v>
      </c>
      <c r="L18" s="331">
        <v>6000</v>
      </c>
      <c r="M18" s="331">
        <v>6000</v>
      </c>
      <c r="N18" s="297"/>
      <c r="O18" s="297">
        <v>2.4</v>
      </c>
      <c r="P18" s="297">
        <v>1.8</v>
      </c>
      <c r="Q18" s="329">
        <v>0</v>
      </c>
      <c r="R18" s="297">
        <v>0</v>
      </c>
      <c r="S18" s="297">
        <v>1.8</v>
      </c>
      <c r="T18" s="297"/>
      <c r="U18" s="297">
        <v>2.36</v>
      </c>
      <c r="V18" s="297">
        <v>1.71</v>
      </c>
      <c r="W18" s="329">
        <v>0</v>
      </c>
      <c r="X18" s="297">
        <v>0</v>
      </c>
      <c r="Y18" s="297">
        <v>1.71</v>
      </c>
      <c r="Z18" s="297"/>
      <c r="AA18" s="297"/>
      <c r="AB18" s="297"/>
      <c r="AC18" s="297"/>
      <c r="AD18" s="297"/>
      <c r="AE18" s="297"/>
      <c r="AF18" s="297"/>
      <c r="AG18" s="299" t="s">
        <v>403</v>
      </c>
      <c r="AH18" s="299" t="s">
        <v>404</v>
      </c>
      <c r="AI18" s="299">
        <v>3</v>
      </c>
      <c r="AJ18" s="299">
        <v>3</v>
      </c>
      <c r="AK18" s="377">
        <v>0.5</v>
      </c>
      <c r="AL18" s="377">
        <v>0.5</v>
      </c>
      <c r="AM18" s="299">
        <v>0</v>
      </c>
      <c r="AN18" s="299">
        <v>0</v>
      </c>
      <c r="AO18" s="299">
        <v>0</v>
      </c>
      <c r="AP18" s="299">
        <v>25</v>
      </c>
      <c r="AQ18" s="299">
        <v>0</v>
      </c>
      <c r="AR18" s="299">
        <v>0</v>
      </c>
      <c r="AS18" s="299">
        <v>0</v>
      </c>
      <c r="AT18" s="299">
        <v>0</v>
      </c>
      <c r="AU18" s="299">
        <v>0</v>
      </c>
      <c r="AV18" s="299">
        <v>0</v>
      </c>
      <c r="AW18" s="299">
        <v>0</v>
      </c>
      <c r="AX18" s="299">
        <v>0</v>
      </c>
      <c r="AY18" s="297"/>
      <c r="AZ18" s="299" t="s">
        <v>38</v>
      </c>
      <c r="BA18" s="299">
        <v>24</v>
      </c>
      <c r="BB18" s="299" t="s">
        <v>38</v>
      </c>
      <c r="BC18" s="299"/>
      <c r="BD18" s="298"/>
      <c r="BE18" s="297"/>
      <c r="BF18" s="299"/>
      <c r="BG18" s="299" t="s">
        <v>411</v>
      </c>
      <c r="BH18" s="298"/>
      <c r="BI18" t="s">
        <v>412</v>
      </c>
      <c r="BJ18" t="s">
        <v>368</v>
      </c>
    </row>
    <row r="19" spans="1:62" x14ac:dyDescent="0.15">
      <c r="A19" s="297">
        <v>1440</v>
      </c>
      <c r="B19" s="328">
        <v>43292</v>
      </c>
      <c r="C19" s="296" t="s">
        <v>10</v>
      </c>
      <c r="D19" s="297" t="s">
        <v>49</v>
      </c>
      <c r="E19" s="295">
        <v>43160</v>
      </c>
      <c r="F19" s="298" t="s">
        <v>16</v>
      </c>
      <c r="G19" s="379" t="s">
        <v>17</v>
      </c>
      <c r="H19" s="297">
        <v>78.099999999999994</v>
      </c>
      <c r="I19" s="376" t="s">
        <v>402</v>
      </c>
      <c r="J19" s="297">
        <v>3000</v>
      </c>
      <c r="K19" s="297">
        <v>6000</v>
      </c>
      <c r="L19" s="297">
        <v>9000</v>
      </c>
      <c r="M19" s="297">
        <v>15000</v>
      </c>
      <c r="N19" s="297"/>
      <c r="O19" s="297">
        <v>3.35</v>
      </c>
      <c r="P19" s="297">
        <v>2.95</v>
      </c>
      <c r="Q19" s="297">
        <v>2.5499999999999998</v>
      </c>
      <c r="R19" s="297">
        <v>2.35</v>
      </c>
      <c r="S19" s="297">
        <v>2.25</v>
      </c>
      <c r="T19" s="297"/>
      <c r="U19" s="297">
        <v>3.25</v>
      </c>
      <c r="V19" s="297">
        <v>2.9</v>
      </c>
      <c r="W19" s="297">
        <v>2.5</v>
      </c>
      <c r="X19" s="297">
        <v>2.35</v>
      </c>
      <c r="Y19" s="297">
        <v>2.2999999999999998</v>
      </c>
      <c r="Z19" s="297"/>
      <c r="AA19" s="297"/>
      <c r="AB19" s="297"/>
      <c r="AC19" s="297"/>
      <c r="AD19" s="297"/>
      <c r="AE19" s="297"/>
      <c r="AF19" s="297"/>
      <c r="AG19" s="299" t="s">
        <v>403</v>
      </c>
      <c r="AH19" s="299" t="s">
        <v>404</v>
      </c>
      <c r="AI19" s="299">
        <v>3</v>
      </c>
      <c r="AJ19" s="299">
        <v>3</v>
      </c>
      <c r="AK19" s="377">
        <v>0.5</v>
      </c>
      <c r="AL19" s="377">
        <v>0.5</v>
      </c>
      <c r="AM19" s="299">
        <v>0</v>
      </c>
      <c r="AN19" s="299">
        <v>0</v>
      </c>
      <c r="AO19" s="299">
        <v>26</v>
      </c>
      <c r="AP19" s="299">
        <v>0</v>
      </c>
      <c r="AQ19" s="299">
        <v>0</v>
      </c>
      <c r="AR19" s="299">
        <v>0</v>
      </c>
      <c r="AS19" s="299">
        <v>0</v>
      </c>
      <c r="AT19" s="299">
        <v>0</v>
      </c>
      <c r="AU19" s="299">
        <v>0</v>
      </c>
      <c r="AV19" s="299">
        <v>0</v>
      </c>
      <c r="AW19" s="299">
        <v>0</v>
      </c>
      <c r="AX19" s="299">
        <v>0</v>
      </c>
      <c r="AY19" s="297"/>
      <c r="AZ19" s="299" t="s">
        <v>38</v>
      </c>
      <c r="BA19" s="299"/>
      <c r="BB19" s="299" t="s">
        <v>38</v>
      </c>
      <c r="BC19" s="299"/>
      <c r="BD19" s="298"/>
      <c r="BE19" s="297"/>
      <c r="BF19" s="299"/>
      <c r="BG19" s="299" t="s">
        <v>41</v>
      </c>
      <c r="BH19" s="298" t="s">
        <v>42</v>
      </c>
      <c r="BI19" s="366" t="s">
        <v>430</v>
      </c>
      <c r="BJ19" t="s">
        <v>368</v>
      </c>
    </row>
    <row r="20" spans="1:62" x14ac:dyDescent="0.15">
      <c r="A20" s="297">
        <v>1136</v>
      </c>
      <c r="B20" s="328">
        <v>43292</v>
      </c>
      <c r="C20" s="296" t="s">
        <v>10</v>
      </c>
      <c r="D20" s="297" t="s">
        <v>49</v>
      </c>
      <c r="E20" s="295">
        <v>43132</v>
      </c>
      <c r="F20" s="298" t="s">
        <v>18</v>
      </c>
      <c r="G20" s="297" t="s">
        <v>418</v>
      </c>
      <c r="H20" s="297">
        <v>70</v>
      </c>
      <c r="I20" s="376" t="s">
        <v>402</v>
      </c>
      <c r="J20" s="297">
        <v>3000</v>
      </c>
      <c r="K20" s="297">
        <v>9000</v>
      </c>
      <c r="L20" s="297">
        <v>12000</v>
      </c>
      <c r="M20" s="297">
        <v>18000</v>
      </c>
      <c r="N20" s="297"/>
      <c r="O20" s="297">
        <v>2.8</v>
      </c>
      <c r="P20" s="297">
        <v>2.5</v>
      </c>
      <c r="Q20" s="297">
        <v>2.1</v>
      </c>
      <c r="R20" s="297">
        <v>2.0499999999999998</v>
      </c>
      <c r="S20" s="297">
        <v>1.88</v>
      </c>
      <c r="T20" s="297"/>
      <c r="U20" s="297">
        <v>2.69</v>
      </c>
      <c r="V20" s="297">
        <v>2.2999999999999998</v>
      </c>
      <c r="W20" s="297">
        <v>1.95</v>
      </c>
      <c r="X20" s="297">
        <v>1.64</v>
      </c>
      <c r="Y20" s="297">
        <v>1.61</v>
      </c>
      <c r="Z20" s="297"/>
      <c r="AA20" s="297"/>
      <c r="AB20" s="297"/>
      <c r="AC20" s="297"/>
      <c r="AD20" s="297"/>
      <c r="AE20" s="297"/>
      <c r="AF20" s="297"/>
      <c r="AG20" s="299" t="s">
        <v>403</v>
      </c>
      <c r="AH20" s="299" t="s">
        <v>404</v>
      </c>
      <c r="AI20" s="299">
        <v>3</v>
      </c>
      <c r="AJ20" s="299">
        <v>3</v>
      </c>
      <c r="AK20" s="377">
        <v>0.5</v>
      </c>
      <c r="AL20" s="377">
        <v>0.5</v>
      </c>
      <c r="AM20" s="299">
        <v>0</v>
      </c>
      <c r="AN20" s="299">
        <v>0</v>
      </c>
      <c r="AO20" s="299">
        <v>0</v>
      </c>
      <c r="AP20" s="299">
        <v>16</v>
      </c>
      <c r="AQ20" s="299">
        <v>0</v>
      </c>
      <c r="AR20" s="299">
        <v>0</v>
      </c>
      <c r="AS20" s="299">
        <v>0</v>
      </c>
      <c r="AT20" s="299">
        <v>0</v>
      </c>
      <c r="AU20" s="299">
        <v>0</v>
      </c>
      <c r="AV20" s="299">
        <v>0</v>
      </c>
      <c r="AW20" s="299">
        <v>0</v>
      </c>
      <c r="AX20" s="299">
        <v>0</v>
      </c>
      <c r="AY20" s="299">
        <v>12</v>
      </c>
      <c r="AZ20" s="299" t="s">
        <v>38</v>
      </c>
      <c r="BA20" s="299"/>
      <c r="BB20" s="299" t="s">
        <v>38</v>
      </c>
      <c r="BC20" s="299"/>
      <c r="BD20" s="298"/>
      <c r="BE20" s="297"/>
      <c r="BF20" s="299"/>
      <c r="BG20" s="299" t="s">
        <v>41</v>
      </c>
      <c r="BH20" s="298"/>
      <c r="BI20" s="366" t="s">
        <v>430</v>
      </c>
      <c r="BJ20" s="366" t="s">
        <v>368</v>
      </c>
    </row>
    <row r="21" spans="1:62" x14ac:dyDescent="0.15">
      <c r="A21" s="297">
        <v>884</v>
      </c>
      <c r="B21" s="328">
        <v>43292</v>
      </c>
      <c r="C21" s="296" t="s">
        <v>10</v>
      </c>
      <c r="D21" s="297" t="s">
        <v>49</v>
      </c>
      <c r="E21" s="295">
        <v>43154</v>
      </c>
      <c r="F21" s="298" t="s">
        <v>19</v>
      </c>
      <c r="G21" s="297" t="s">
        <v>20</v>
      </c>
      <c r="H21" s="297">
        <v>73.91</v>
      </c>
      <c r="I21" s="376" t="s">
        <v>402</v>
      </c>
      <c r="J21" s="331">
        <v>3500</v>
      </c>
      <c r="K21" s="331">
        <v>3500</v>
      </c>
      <c r="L21" s="331">
        <v>3500</v>
      </c>
      <c r="M21" s="331">
        <v>3500</v>
      </c>
      <c r="N21" s="297"/>
      <c r="O21" s="297">
        <v>2.4500000000000002</v>
      </c>
      <c r="P21" s="329">
        <v>0</v>
      </c>
      <c r="Q21" s="297">
        <v>0</v>
      </c>
      <c r="R21" s="297">
        <v>0</v>
      </c>
      <c r="S21" s="297">
        <v>1.98</v>
      </c>
      <c r="T21" s="297"/>
      <c r="U21" s="297">
        <v>2.29</v>
      </c>
      <c r="V21" s="329">
        <v>0</v>
      </c>
      <c r="W21" s="297">
        <v>0</v>
      </c>
      <c r="X21" s="297">
        <v>0</v>
      </c>
      <c r="Y21" s="297">
        <v>1.92</v>
      </c>
      <c r="Z21" s="297"/>
      <c r="AA21" s="297"/>
      <c r="AB21" s="297"/>
      <c r="AC21" s="297"/>
      <c r="AD21" s="297"/>
      <c r="AE21" s="297"/>
      <c r="AF21" s="297"/>
      <c r="AG21" s="299" t="s">
        <v>403</v>
      </c>
      <c r="AH21" s="299" t="s">
        <v>404</v>
      </c>
      <c r="AI21" s="299">
        <v>3</v>
      </c>
      <c r="AJ21" s="299">
        <v>3</v>
      </c>
      <c r="AK21" s="377">
        <v>0.5</v>
      </c>
      <c r="AL21" s="377">
        <v>0.5</v>
      </c>
      <c r="AM21" s="299">
        <v>0</v>
      </c>
      <c r="AN21" s="299">
        <v>0</v>
      </c>
      <c r="AO21" s="299">
        <v>0</v>
      </c>
      <c r="AP21" s="299">
        <v>0</v>
      </c>
      <c r="AQ21" s="299">
        <v>0</v>
      </c>
      <c r="AR21" s="299">
        <v>25</v>
      </c>
      <c r="AS21" s="299">
        <v>0</v>
      </c>
      <c r="AT21" s="299">
        <v>0</v>
      </c>
      <c r="AU21" s="299">
        <v>0</v>
      </c>
      <c r="AV21" s="299">
        <v>0</v>
      </c>
      <c r="AW21" s="299">
        <v>0</v>
      </c>
      <c r="AX21" s="299">
        <v>0</v>
      </c>
      <c r="AY21" s="297"/>
      <c r="AZ21" s="299" t="s">
        <v>38</v>
      </c>
      <c r="BA21" s="299"/>
      <c r="BB21" s="299" t="s">
        <v>38</v>
      </c>
      <c r="BC21" s="299"/>
      <c r="BD21" s="298"/>
      <c r="BE21" s="297"/>
      <c r="BF21" s="299"/>
      <c r="BG21" s="299" t="s">
        <v>43</v>
      </c>
      <c r="BH21" s="298"/>
      <c r="BI21" s="366" t="s">
        <v>430</v>
      </c>
      <c r="BJ21" s="366" t="s">
        <v>368</v>
      </c>
    </row>
    <row r="22" spans="1:62" x14ac:dyDescent="0.15">
      <c r="A22" s="297">
        <v>745</v>
      </c>
      <c r="B22" s="328">
        <v>43291</v>
      </c>
      <c r="C22" s="296" t="s">
        <v>10</v>
      </c>
      <c r="D22" s="297" t="s">
        <v>49</v>
      </c>
      <c r="E22" s="295">
        <v>43223</v>
      </c>
      <c r="F22" s="298" t="s">
        <v>21</v>
      </c>
      <c r="G22" s="380" t="s">
        <v>1097</v>
      </c>
      <c r="H22" s="297">
        <v>76.2</v>
      </c>
      <c r="I22" s="376" t="s">
        <v>402</v>
      </c>
      <c r="J22" s="297">
        <v>6000</v>
      </c>
      <c r="K22" s="297">
        <v>6000</v>
      </c>
      <c r="L22" s="297">
        <v>6000</v>
      </c>
      <c r="M22" s="297">
        <v>6000</v>
      </c>
      <c r="N22" s="297"/>
      <c r="O22" s="297">
        <v>2.44</v>
      </c>
      <c r="P22" s="329">
        <v>0</v>
      </c>
      <c r="Q22" s="297">
        <v>0</v>
      </c>
      <c r="R22" s="297">
        <v>0</v>
      </c>
      <c r="S22" s="297">
        <v>1.77</v>
      </c>
      <c r="T22" s="297"/>
      <c r="U22" s="297">
        <v>2.44</v>
      </c>
      <c r="V22" s="329">
        <v>0</v>
      </c>
      <c r="W22" s="297">
        <v>0</v>
      </c>
      <c r="X22" s="297">
        <v>0</v>
      </c>
      <c r="Y22" s="297">
        <v>1.77</v>
      </c>
      <c r="Z22" s="297"/>
      <c r="AA22" s="297"/>
      <c r="AB22" s="297"/>
      <c r="AC22" s="297"/>
      <c r="AD22" s="297"/>
      <c r="AE22" s="297"/>
      <c r="AF22" s="297"/>
      <c r="AG22" s="299" t="s">
        <v>403</v>
      </c>
      <c r="AH22" s="299" t="s">
        <v>404</v>
      </c>
      <c r="AI22" s="299">
        <v>3</v>
      </c>
      <c r="AJ22" s="299">
        <v>3</v>
      </c>
      <c r="AK22" s="377">
        <v>0.5</v>
      </c>
      <c r="AL22" s="377">
        <v>0.5</v>
      </c>
      <c r="AM22" s="299">
        <v>0</v>
      </c>
      <c r="AN22" s="299">
        <v>34</v>
      </c>
      <c r="AO22" s="299">
        <v>0</v>
      </c>
      <c r="AP22" s="299">
        <v>0</v>
      </c>
      <c r="AQ22" s="299">
        <v>0</v>
      </c>
      <c r="AR22" s="299">
        <v>0</v>
      </c>
      <c r="AS22" s="299">
        <v>0</v>
      </c>
      <c r="AT22" s="299">
        <v>0</v>
      </c>
      <c r="AU22" s="299">
        <v>0</v>
      </c>
      <c r="AV22" s="299">
        <v>0</v>
      </c>
      <c r="AW22" s="299">
        <v>0</v>
      </c>
      <c r="AX22" s="299">
        <v>0</v>
      </c>
      <c r="AY22" s="297"/>
      <c r="AZ22" s="299" t="s">
        <v>38</v>
      </c>
      <c r="BA22" s="299">
        <v>12</v>
      </c>
      <c r="BB22" s="299" t="s">
        <v>38</v>
      </c>
      <c r="BC22" s="299"/>
      <c r="BD22" s="298" t="s">
        <v>218</v>
      </c>
      <c r="BE22" s="297" t="s">
        <v>40</v>
      </c>
      <c r="BF22" s="299">
        <v>50</v>
      </c>
      <c r="BG22" s="299" t="s">
        <v>41</v>
      </c>
      <c r="BH22" s="298"/>
      <c r="BI22" s="366" t="s">
        <v>430</v>
      </c>
      <c r="BJ22" s="366" t="s">
        <v>368</v>
      </c>
    </row>
    <row r="23" spans="1:62" x14ac:dyDescent="0.15">
      <c r="A23" s="297">
        <v>172</v>
      </c>
      <c r="B23" s="328">
        <v>43293</v>
      </c>
      <c r="C23" s="382" t="s">
        <v>10</v>
      </c>
      <c r="D23" s="383" t="s">
        <v>49</v>
      </c>
      <c r="E23" s="384">
        <v>43208</v>
      </c>
      <c r="F23" s="385" t="s">
        <v>22</v>
      </c>
      <c r="G23" s="297" t="s">
        <v>23</v>
      </c>
      <c r="H23" s="383">
        <v>65</v>
      </c>
      <c r="I23" s="376" t="s">
        <v>402</v>
      </c>
      <c r="J23" s="297">
        <v>3000</v>
      </c>
      <c r="K23" s="297">
        <v>6000</v>
      </c>
      <c r="L23" s="297">
        <v>9000</v>
      </c>
      <c r="M23" s="297">
        <v>15000</v>
      </c>
      <c r="N23" s="297"/>
      <c r="O23" s="383">
        <v>2.4500000000000002</v>
      </c>
      <c r="P23" s="383">
        <v>2.15</v>
      </c>
      <c r="Q23" s="383">
        <v>1.8</v>
      </c>
      <c r="R23" s="297">
        <v>1.65</v>
      </c>
      <c r="S23" s="297">
        <v>1.6</v>
      </c>
      <c r="T23" s="297"/>
      <c r="U23" s="297">
        <v>2.2999999999999998</v>
      </c>
      <c r="V23" s="297">
        <v>2</v>
      </c>
      <c r="W23" s="297">
        <v>1.75</v>
      </c>
      <c r="X23" s="297">
        <v>1.6</v>
      </c>
      <c r="Y23" s="297">
        <v>1.55</v>
      </c>
      <c r="Z23" s="297"/>
      <c r="AA23" s="297"/>
      <c r="AB23" s="297"/>
      <c r="AC23" s="297"/>
      <c r="AD23" s="297"/>
      <c r="AE23" s="297"/>
      <c r="AF23" s="297"/>
      <c r="AG23" s="299" t="s">
        <v>403</v>
      </c>
      <c r="AH23" s="299" t="s">
        <v>404</v>
      </c>
      <c r="AI23" s="299">
        <v>3</v>
      </c>
      <c r="AJ23" s="299">
        <v>3</v>
      </c>
      <c r="AK23" s="377">
        <v>0.5</v>
      </c>
      <c r="AL23" s="377">
        <v>0.5</v>
      </c>
      <c r="AM23" s="299">
        <v>0</v>
      </c>
      <c r="AN23" s="299">
        <v>0</v>
      </c>
      <c r="AO23" s="299">
        <v>15</v>
      </c>
      <c r="AP23" s="299">
        <v>0</v>
      </c>
      <c r="AQ23" s="299">
        <v>0</v>
      </c>
      <c r="AR23" s="299">
        <v>0</v>
      </c>
      <c r="AS23" s="299">
        <v>0</v>
      </c>
      <c r="AT23" s="299">
        <v>0</v>
      </c>
      <c r="AU23" s="299">
        <v>0</v>
      </c>
      <c r="AV23" s="299">
        <v>0</v>
      </c>
      <c r="AW23" s="299">
        <v>0</v>
      </c>
      <c r="AX23" s="299">
        <v>0</v>
      </c>
      <c r="AY23" s="297"/>
      <c r="AZ23" s="299" t="s">
        <v>38</v>
      </c>
      <c r="BA23" s="299"/>
      <c r="BB23" s="299" t="s">
        <v>38</v>
      </c>
      <c r="BC23" s="299"/>
      <c r="BD23" s="298" t="s">
        <v>429</v>
      </c>
      <c r="BE23" s="297"/>
      <c r="BF23" s="299"/>
      <c r="BG23" s="299" t="s">
        <v>41</v>
      </c>
      <c r="BH23" s="298"/>
      <c r="BI23" t="s">
        <v>430</v>
      </c>
      <c r="BJ23" t="s">
        <v>368</v>
      </c>
    </row>
    <row r="24" spans="1:62" x14ac:dyDescent="0.15">
      <c r="A24" s="297">
        <v>313</v>
      </c>
      <c r="B24" s="328">
        <v>43293</v>
      </c>
      <c r="C24" s="382" t="s">
        <v>10</v>
      </c>
      <c r="D24" s="383" t="s">
        <v>49</v>
      </c>
      <c r="E24" s="384">
        <v>43194</v>
      </c>
      <c r="F24" s="383" t="s">
        <v>24</v>
      </c>
      <c r="G24" s="297" t="s">
        <v>20</v>
      </c>
      <c r="H24" s="383">
        <v>72.8</v>
      </c>
      <c r="I24" s="376" t="s">
        <v>402</v>
      </c>
      <c r="J24" s="297">
        <v>3000</v>
      </c>
      <c r="K24" s="297">
        <v>6000</v>
      </c>
      <c r="L24" s="297">
        <v>9000</v>
      </c>
      <c r="M24" s="297">
        <v>15000</v>
      </c>
      <c r="N24" s="297"/>
      <c r="O24" s="383">
        <v>1.95</v>
      </c>
      <c r="P24" s="383">
        <v>1.78</v>
      </c>
      <c r="Q24" s="383">
        <v>1.58</v>
      </c>
      <c r="R24" s="297">
        <v>1.47</v>
      </c>
      <c r="S24" s="297">
        <v>1.44</v>
      </c>
      <c r="T24" s="297"/>
      <c r="U24" s="297">
        <v>1.81</v>
      </c>
      <c r="V24" s="297">
        <v>1.67</v>
      </c>
      <c r="W24" s="297">
        <v>1.49</v>
      </c>
      <c r="X24" s="297">
        <v>1.4</v>
      </c>
      <c r="Y24" s="297">
        <v>1.38</v>
      </c>
      <c r="Z24" s="297"/>
      <c r="AA24" s="297"/>
      <c r="AB24" s="297"/>
      <c r="AC24" s="297"/>
      <c r="AD24" s="297"/>
      <c r="AE24" s="297"/>
      <c r="AF24" s="297"/>
      <c r="AG24" s="299" t="s">
        <v>403</v>
      </c>
      <c r="AH24" s="299" t="s">
        <v>404</v>
      </c>
      <c r="AI24" s="299">
        <v>3</v>
      </c>
      <c r="AJ24" s="299">
        <v>3</v>
      </c>
      <c r="AK24" s="377">
        <v>0.5</v>
      </c>
      <c r="AL24" s="377">
        <v>0.5</v>
      </c>
      <c r="AM24" s="299">
        <v>0</v>
      </c>
      <c r="AN24" s="299">
        <v>0</v>
      </c>
      <c r="AO24" s="299">
        <v>0</v>
      </c>
      <c r="AP24" s="299">
        <v>0</v>
      </c>
      <c r="AQ24" s="299">
        <v>0</v>
      </c>
      <c r="AR24" s="299">
        <v>0</v>
      </c>
      <c r="AS24" s="299">
        <v>0</v>
      </c>
      <c r="AT24" s="299">
        <v>0</v>
      </c>
      <c r="AU24" s="299">
        <v>0</v>
      </c>
      <c r="AV24" s="299">
        <v>0</v>
      </c>
      <c r="AW24" s="299">
        <v>0</v>
      </c>
      <c r="AX24" s="299">
        <v>0</v>
      </c>
      <c r="AY24" s="297"/>
      <c r="AZ24" s="299" t="s">
        <v>38</v>
      </c>
      <c r="BA24" s="299"/>
      <c r="BB24" s="299" t="s">
        <v>38</v>
      </c>
      <c r="BC24" s="299"/>
      <c r="BD24" s="298" t="s">
        <v>44</v>
      </c>
      <c r="BE24" s="297" t="s">
        <v>40</v>
      </c>
      <c r="BF24" s="299">
        <v>50</v>
      </c>
      <c r="BG24" s="299" t="s">
        <v>43</v>
      </c>
      <c r="BH24" s="298"/>
      <c r="BI24" t="s">
        <v>430</v>
      </c>
      <c r="BJ24" s="366" t="s">
        <v>368</v>
      </c>
    </row>
    <row r="25" spans="1:62" x14ac:dyDescent="0.15">
      <c r="A25" s="297">
        <v>568</v>
      </c>
      <c r="B25" s="328">
        <v>43291</v>
      </c>
      <c r="C25" s="382" t="s">
        <v>10</v>
      </c>
      <c r="D25" s="383" t="s">
        <v>49</v>
      </c>
      <c r="E25" s="384">
        <v>43182</v>
      </c>
      <c r="F25" s="385" t="s">
        <v>25</v>
      </c>
      <c r="G25" s="297" t="s">
        <v>26</v>
      </c>
      <c r="H25" s="383">
        <v>70</v>
      </c>
      <c r="I25" s="376" t="s">
        <v>402</v>
      </c>
      <c r="J25" s="331">
        <v>6000</v>
      </c>
      <c r="K25" s="331">
        <v>9000</v>
      </c>
      <c r="L25" s="331">
        <v>9000</v>
      </c>
      <c r="M25" s="331">
        <v>9000</v>
      </c>
      <c r="N25" s="331"/>
      <c r="O25" s="297">
        <v>2.4</v>
      </c>
      <c r="P25" s="297">
        <v>1.95</v>
      </c>
      <c r="Q25" s="329">
        <v>0</v>
      </c>
      <c r="R25" s="297">
        <v>0</v>
      </c>
      <c r="S25" s="297">
        <v>1.45</v>
      </c>
      <c r="T25" s="297"/>
      <c r="U25" s="297">
        <v>2.2000000000000002</v>
      </c>
      <c r="V25" s="297">
        <v>1.75</v>
      </c>
      <c r="W25" s="329">
        <v>0</v>
      </c>
      <c r="X25" s="297">
        <v>0</v>
      </c>
      <c r="Y25" s="297">
        <v>1.35</v>
      </c>
      <c r="Z25" s="297"/>
      <c r="AA25" s="297"/>
      <c r="AB25" s="297"/>
      <c r="AC25" s="297"/>
      <c r="AD25" s="297"/>
      <c r="AE25" s="297"/>
      <c r="AF25" s="297"/>
      <c r="AG25" s="299" t="s">
        <v>403</v>
      </c>
      <c r="AH25" s="299" t="s">
        <v>404</v>
      </c>
      <c r="AI25" s="299">
        <v>3</v>
      </c>
      <c r="AJ25" s="299">
        <v>3</v>
      </c>
      <c r="AK25" s="377">
        <v>0.5</v>
      </c>
      <c r="AL25" s="377">
        <v>0.5</v>
      </c>
      <c r="AM25" s="299">
        <v>0</v>
      </c>
      <c r="AN25" s="299">
        <v>0</v>
      </c>
      <c r="AO25" s="299">
        <v>0</v>
      </c>
      <c r="AP25" s="299">
        <v>13</v>
      </c>
      <c r="AQ25" s="299">
        <v>0</v>
      </c>
      <c r="AR25" s="299">
        <v>0</v>
      </c>
      <c r="AS25" s="299">
        <v>0</v>
      </c>
      <c r="AT25" s="299">
        <v>0</v>
      </c>
      <c r="AU25" s="299">
        <v>0</v>
      </c>
      <c r="AV25" s="299">
        <v>0</v>
      </c>
      <c r="AW25" s="299">
        <v>0</v>
      </c>
      <c r="AX25" s="299">
        <v>0</v>
      </c>
      <c r="AY25" s="297"/>
      <c r="AZ25" s="299" t="s">
        <v>38</v>
      </c>
      <c r="BA25" s="299">
        <v>12</v>
      </c>
      <c r="BB25" s="299" t="s">
        <v>38</v>
      </c>
      <c r="BC25" s="299"/>
      <c r="BD25" s="298"/>
      <c r="BE25" s="298"/>
      <c r="BF25" s="299"/>
      <c r="BG25" s="299" t="s">
        <v>41</v>
      </c>
      <c r="BH25" s="298"/>
      <c r="BI25" s="366" t="s">
        <v>430</v>
      </c>
      <c r="BJ25" t="s">
        <v>368</v>
      </c>
    </row>
    <row r="26" spans="1:62" x14ac:dyDescent="0.15">
      <c r="A26" s="297">
        <v>1426</v>
      </c>
      <c r="B26" s="328">
        <v>43292</v>
      </c>
      <c r="C26" s="382" t="s">
        <v>10</v>
      </c>
      <c r="D26" s="297" t="s">
        <v>49</v>
      </c>
      <c r="E26" s="386">
        <v>43145</v>
      </c>
      <c r="F26" s="385" t="s">
        <v>27</v>
      </c>
      <c r="G26" s="379" t="s">
        <v>28</v>
      </c>
      <c r="H26" s="383">
        <v>70</v>
      </c>
      <c r="I26" s="376" t="s">
        <v>402</v>
      </c>
      <c r="J26" s="331">
        <v>3500</v>
      </c>
      <c r="K26" s="331">
        <v>3500</v>
      </c>
      <c r="L26" s="331">
        <v>3500</v>
      </c>
      <c r="M26" s="331">
        <v>3500</v>
      </c>
      <c r="N26" s="297"/>
      <c r="O26" s="383">
        <v>2</v>
      </c>
      <c r="P26" s="383">
        <v>0</v>
      </c>
      <c r="Q26" s="383">
        <v>0</v>
      </c>
      <c r="R26" s="297">
        <v>0</v>
      </c>
      <c r="S26" s="297">
        <v>1.76</v>
      </c>
      <c r="T26" s="297"/>
      <c r="U26" s="297">
        <v>1.85</v>
      </c>
      <c r="V26" s="297">
        <v>0</v>
      </c>
      <c r="W26" s="297">
        <v>0</v>
      </c>
      <c r="X26" s="297">
        <v>0</v>
      </c>
      <c r="Y26" s="297">
        <v>1.7</v>
      </c>
      <c r="Z26" s="297"/>
      <c r="AA26" s="297"/>
      <c r="AB26" s="297"/>
      <c r="AC26" s="297"/>
      <c r="AD26" s="297"/>
      <c r="AE26" s="297"/>
      <c r="AF26" s="297"/>
      <c r="AG26" s="299" t="s">
        <v>403</v>
      </c>
      <c r="AH26" s="299" t="s">
        <v>404</v>
      </c>
      <c r="AI26" s="299">
        <v>3</v>
      </c>
      <c r="AJ26" s="299">
        <v>3</v>
      </c>
      <c r="AK26" s="377">
        <v>0.5</v>
      </c>
      <c r="AL26" s="377">
        <v>0.5</v>
      </c>
      <c r="AM26" s="299">
        <v>0</v>
      </c>
      <c r="AN26" s="299">
        <v>0</v>
      </c>
      <c r="AO26" s="299">
        <v>10</v>
      </c>
      <c r="AP26" s="299">
        <v>0</v>
      </c>
      <c r="AQ26" s="299">
        <v>0</v>
      </c>
      <c r="AR26" s="299">
        <v>0</v>
      </c>
      <c r="AS26" s="299">
        <v>0</v>
      </c>
      <c r="AT26" s="299">
        <v>0</v>
      </c>
      <c r="AU26" s="299">
        <v>0</v>
      </c>
      <c r="AV26" s="299">
        <v>0</v>
      </c>
      <c r="AW26" s="299">
        <v>0</v>
      </c>
      <c r="AX26" s="299">
        <v>0</v>
      </c>
      <c r="AY26" s="299"/>
      <c r="AZ26" s="299" t="s">
        <v>38</v>
      </c>
      <c r="BA26" s="299"/>
      <c r="BB26" s="299" t="s">
        <v>38</v>
      </c>
      <c r="BC26" s="299"/>
      <c r="BD26" s="298"/>
      <c r="BE26" s="297"/>
      <c r="BF26" s="299"/>
      <c r="BG26" s="299" t="s">
        <v>43</v>
      </c>
      <c r="BH26" s="298"/>
      <c r="BI26" s="366" t="s">
        <v>430</v>
      </c>
      <c r="BJ26" t="s">
        <v>45</v>
      </c>
    </row>
    <row r="27" spans="1:62" x14ac:dyDescent="0.15">
      <c r="A27" s="297">
        <v>781</v>
      </c>
      <c r="B27" s="328">
        <v>43293</v>
      </c>
      <c r="C27" s="296" t="s">
        <v>10</v>
      </c>
      <c r="D27" s="297" t="s">
        <v>49</v>
      </c>
      <c r="E27" s="309">
        <v>43194</v>
      </c>
      <c r="F27" s="298" t="s">
        <v>29</v>
      </c>
      <c r="G27" s="297" t="s">
        <v>30</v>
      </c>
      <c r="H27" s="297">
        <v>70.099999999999994</v>
      </c>
      <c r="I27" s="376" t="s">
        <v>402</v>
      </c>
      <c r="J27" s="297">
        <v>3000</v>
      </c>
      <c r="K27" s="297">
        <v>6000</v>
      </c>
      <c r="L27" s="297">
        <v>9000</v>
      </c>
      <c r="M27" s="297">
        <v>15000</v>
      </c>
      <c r="N27" s="297"/>
      <c r="O27" s="297">
        <v>2.95</v>
      </c>
      <c r="P27" s="297">
        <v>2.63</v>
      </c>
      <c r="Q27" s="297">
        <v>2.25</v>
      </c>
      <c r="R27" s="297">
        <v>2.04</v>
      </c>
      <c r="S27" s="297">
        <v>1.99</v>
      </c>
      <c r="T27" s="297"/>
      <c r="U27" s="297">
        <v>2.78</v>
      </c>
      <c r="V27" s="297">
        <v>2.5099999999999998</v>
      </c>
      <c r="W27" s="297">
        <v>2.19</v>
      </c>
      <c r="X27" s="297">
        <v>2.0099999999999998</v>
      </c>
      <c r="Y27" s="297">
        <v>1.97</v>
      </c>
      <c r="Z27" s="297"/>
      <c r="AA27" s="297">
        <v>2.9</v>
      </c>
      <c r="AB27" s="297">
        <v>2.59</v>
      </c>
      <c r="AC27" s="297">
        <v>2.23</v>
      </c>
      <c r="AD27" s="297">
        <v>2.0299999999999998</v>
      </c>
      <c r="AE27" s="297">
        <v>1.99</v>
      </c>
      <c r="AF27" s="297"/>
      <c r="AG27" s="299" t="s">
        <v>403</v>
      </c>
      <c r="AH27" s="299" t="s">
        <v>404</v>
      </c>
      <c r="AI27" s="299">
        <v>3</v>
      </c>
      <c r="AJ27" s="299">
        <v>3</v>
      </c>
      <c r="AK27" s="377">
        <v>0.5</v>
      </c>
      <c r="AL27" s="377">
        <v>0.5</v>
      </c>
      <c r="AM27" s="299">
        <v>0</v>
      </c>
      <c r="AN27" s="299">
        <v>0</v>
      </c>
      <c r="AO27" s="299">
        <v>0</v>
      </c>
      <c r="AP27" s="299">
        <v>26</v>
      </c>
      <c r="AQ27" s="299">
        <v>0</v>
      </c>
      <c r="AR27" s="299">
        <v>0</v>
      </c>
      <c r="AS27" s="299">
        <v>0</v>
      </c>
      <c r="AT27" s="299">
        <v>0</v>
      </c>
      <c r="AU27" s="299">
        <v>0</v>
      </c>
      <c r="AV27" s="299">
        <v>0</v>
      </c>
      <c r="AW27" s="299">
        <v>0</v>
      </c>
      <c r="AX27" s="299">
        <v>0</v>
      </c>
      <c r="AZ27" s="299" t="s">
        <v>38</v>
      </c>
      <c r="BA27" s="299">
        <v>24</v>
      </c>
      <c r="BB27" s="299" t="s">
        <v>38</v>
      </c>
      <c r="BC27" s="299"/>
      <c r="BD27" s="378" t="s">
        <v>46</v>
      </c>
      <c r="BE27" s="297" t="s">
        <v>365</v>
      </c>
      <c r="BF27" s="299">
        <v>50</v>
      </c>
      <c r="BG27" s="299" t="s">
        <v>43</v>
      </c>
      <c r="BH27" s="298"/>
      <c r="BI27" t="s">
        <v>430</v>
      </c>
      <c r="BJ27" s="366" t="s">
        <v>368</v>
      </c>
    </row>
    <row r="28" spans="1:62" x14ac:dyDescent="0.15">
      <c r="A28" s="297">
        <v>1614</v>
      </c>
      <c r="B28" s="328">
        <v>43293</v>
      </c>
      <c r="C28" s="296" t="s">
        <v>10</v>
      </c>
      <c r="D28" s="297" t="s">
        <v>49</v>
      </c>
      <c r="E28" s="309">
        <v>43221</v>
      </c>
      <c r="F28" s="297" t="s">
        <v>31</v>
      </c>
      <c r="G28" s="297" t="s">
        <v>32</v>
      </c>
      <c r="H28" s="332">
        <v>64.66</v>
      </c>
      <c r="I28" s="376" t="s">
        <v>402</v>
      </c>
      <c r="J28" s="297">
        <v>3000</v>
      </c>
      <c r="K28" s="297">
        <v>6000</v>
      </c>
      <c r="L28" s="297">
        <v>9000</v>
      </c>
      <c r="M28" s="297">
        <v>15000</v>
      </c>
      <c r="N28" s="332"/>
      <c r="O28" s="332">
        <v>2.7669999999999999</v>
      </c>
      <c r="P28" s="332">
        <v>2.4039999999999999</v>
      </c>
      <c r="Q28" s="332">
        <v>2.0659999999999998</v>
      </c>
      <c r="R28" s="332">
        <v>1.7330000000000001</v>
      </c>
      <c r="S28" s="332">
        <v>1.6140000000000001</v>
      </c>
      <c r="T28" s="332"/>
      <c r="U28" s="332">
        <v>2.4340000000000002</v>
      </c>
      <c r="V28" s="332">
        <v>2.1349999999999998</v>
      </c>
      <c r="W28" s="332">
        <v>1.84</v>
      </c>
      <c r="X28" s="332">
        <v>1.5840000000000001</v>
      </c>
      <c r="Y28" s="332">
        <v>1.458</v>
      </c>
      <c r="Z28" s="342"/>
      <c r="AA28" s="343"/>
      <c r="AB28" s="332"/>
      <c r="AC28" s="332"/>
      <c r="AD28" s="332"/>
      <c r="AE28" s="332"/>
      <c r="AF28" s="332"/>
      <c r="AG28" s="333" t="s">
        <v>403</v>
      </c>
      <c r="AH28" s="333" t="s">
        <v>404</v>
      </c>
      <c r="AI28" s="299">
        <v>3</v>
      </c>
      <c r="AJ28" s="299">
        <v>3</v>
      </c>
      <c r="AK28" s="377">
        <v>0.5</v>
      </c>
      <c r="AL28" s="377">
        <v>0.5</v>
      </c>
      <c r="AM28" s="299">
        <v>0</v>
      </c>
      <c r="AN28" s="299">
        <v>0</v>
      </c>
      <c r="AO28" s="299">
        <v>0</v>
      </c>
      <c r="AP28" s="299">
        <v>25</v>
      </c>
      <c r="AQ28" s="299">
        <v>0</v>
      </c>
      <c r="AR28" s="299">
        <v>0</v>
      </c>
      <c r="AS28" s="299">
        <v>0</v>
      </c>
      <c r="AT28" s="299">
        <v>0</v>
      </c>
      <c r="AU28" s="299">
        <v>0</v>
      </c>
      <c r="AV28" s="299">
        <v>0</v>
      </c>
      <c r="AW28" s="299">
        <v>0</v>
      </c>
      <c r="AX28" s="299">
        <v>0</v>
      </c>
      <c r="AY28" s="299"/>
      <c r="AZ28" s="299" t="s">
        <v>38</v>
      </c>
      <c r="BA28" s="299">
        <v>12</v>
      </c>
      <c r="BB28" s="299" t="s">
        <v>38</v>
      </c>
      <c r="BC28" s="299"/>
      <c r="BD28" s="298"/>
      <c r="BE28" s="297"/>
      <c r="BF28" s="299"/>
      <c r="BG28" s="299" t="s">
        <v>43</v>
      </c>
      <c r="BH28" s="298"/>
      <c r="BI28" t="s">
        <v>430</v>
      </c>
      <c r="BJ28" s="366" t="s">
        <v>368</v>
      </c>
    </row>
    <row r="29" spans="1:62" x14ac:dyDescent="0.15">
      <c r="A29" s="297">
        <v>1554</v>
      </c>
      <c r="B29" s="328">
        <v>43292</v>
      </c>
      <c r="C29" s="296" t="s">
        <v>10</v>
      </c>
      <c r="D29" s="297" t="s">
        <v>49</v>
      </c>
      <c r="E29" s="295">
        <v>43249</v>
      </c>
      <c r="F29" s="298" t="s">
        <v>987</v>
      </c>
      <c r="G29" s="297" t="s">
        <v>33</v>
      </c>
      <c r="H29" s="297">
        <v>78.099999999999994</v>
      </c>
      <c r="I29" s="376" t="s">
        <v>402</v>
      </c>
      <c r="J29" s="297">
        <v>3000</v>
      </c>
      <c r="K29" s="297">
        <v>6000</v>
      </c>
      <c r="L29" s="297">
        <v>9000</v>
      </c>
      <c r="M29" s="297">
        <v>15000</v>
      </c>
      <c r="N29" s="297"/>
      <c r="O29" s="297">
        <v>3.35</v>
      </c>
      <c r="P29" s="297">
        <v>2.95</v>
      </c>
      <c r="Q29" s="297">
        <v>2.5499999999999998</v>
      </c>
      <c r="R29" s="297">
        <v>2.35</v>
      </c>
      <c r="S29" s="297">
        <v>2.25</v>
      </c>
      <c r="T29" s="297"/>
      <c r="U29" s="297">
        <v>3.25</v>
      </c>
      <c r="V29" s="297">
        <v>2.9</v>
      </c>
      <c r="W29" s="297">
        <v>2.5</v>
      </c>
      <c r="X29" s="297">
        <v>2.35</v>
      </c>
      <c r="Y29" s="297">
        <v>2.2999999999999998</v>
      </c>
      <c r="Z29" s="297"/>
      <c r="AA29" s="297"/>
      <c r="AB29" s="297"/>
      <c r="AC29" s="297"/>
      <c r="AD29" s="297"/>
      <c r="AE29" s="297"/>
      <c r="AF29" s="297"/>
      <c r="AG29" s="299" t="s">
        <v>403</v>
      </c>
      <c r="AH29" s="299" t="s">
        <v>404</v>
      </c>
      <c r="AI29" s="299">
        <v>3</v>
      </c>
      <c r="AJ29" s="299">
        <v>3</v>
      </c>
      <c r="AK29" s="377">
        <v>0.5</v>
      </c>
      <c r="AL29" s="377">
        <v>0.5</v>
      </c>
      <c r="AM29" s="299">
        <v>0</v>
      </c>
      <c r="AN29" s="299">
        <v>0</v>
      </c>
      <c r="AO29" s="299">
        <v>5</v>
      </c>
      <c r="AP29" s="299">
        <v>0</v>
      </c>
      <c r="AQ29" s="299">
        <v>0</v>
      </c>
      <c r="AR29" s="299">
        <v>0</v>
      </c>
      <c r="AS29" s="299">
        <v>0</v>
      </c>
      <c r="AT29" s="299">
        <v>0</v>
      </c>
      <c r="AU29" s="299">
        <v>0</v>
      </c>
      <c r="AV29" s="299">
        <v>0</v>
      </c>
      <c r="AW29" s="299">
        <v>0</v>
      </c>
      <c r="AX29" s="299">
        <v>0</v>
      </c>
      <c r="AY29" s="299"/>
      <c r="AZ29" s="299" t="s">
        <v>38</v>
      </c>
      <c r="BA29" s="299"/>
      <c r="BB29" s="299" t="s">
        <v>38</v>
      </c>
      <c r="BC29" s="299"/>
      <c r="BD29" s="298"/>
      <c r="BE29" s="297"/>
      <c r="BF29" s="299"/>
      <c r="BG29" s="299" t="s">
        <v>41</v>
      </c>
      <c r="BH29" s="298" t="s">
        <v>370</v>
      </c>
      <c r="BI29" t="s">
        <v>430</v>
      </c>
      <c r="BJ29" t="s">
        <v>368</v>
      </c>
    </row>
    <row r="30" spans="1:62" x14ac:dyDescent="0.15">
      <c r="A30" s="297"/>
      <c r="B30" s="328">
        <v>43300</v>
      </c>
      <c r="C30" s="296" t="s">
        <v>295</v>
      </c>
      <c r="D30" s="297" t="s">
        <v>49</v>
      </c>
      <c r="E30" s="295">
        <v>43221</v>
      </c>
      <c r="F30" s="298" t="s">
        <v>1</v>
      </c>
      <c r="G30" s="297" t="s">
        <v>2</v>
      </c>
      <c r="H30" s="297">
        <v>82</v>
      </c>
      <c r="I30" s="376" t="s">
        <v>3</v>
      </c>
      <c r="J30" s="297">
        <v>6000</v>
      </c>
      <c r="K30" s="297">
        <v>6000</v>
      </c>
      <c r="L30" s="297">
        <v>6000</v>
      </c>
      <c r="M30" s="297">
        <v>6000</v>
      </c>
      <c r="N30" s="297"/>
      <c r="O30" s="297">
        <v>2.68</v>
      </c>
      <c r="P30" s="297">
        <v>0</v>
      </c>
      <c r="Q30" s="297">
        <v>0</v>
      </c>
      <c r="R30" s="297">
        <v>0</v>
      </c>
      <c r="S30" s="297">
        <v>2.5</v>
      </c>
      <c r="T30" s="297"/>
      <c r="U30" s="297">
        <v>2.68</v>
      </c>
      <c r="V30" s="297">
        <v>0</v>
      </c>
      <c r="W30" s="297">
        <v>0</v>
      </c>
      <c r="X30" s="297">
        <v>0</v>
      </c>
      <c r="Y30" s="297">
        <v>2.5</v>
      </c>
      <c r="Z30" s="297"/>
      <c r="AA30" s="297"/>
      <c r="AB30" s="297"/>
      <c r="AC30" s="297"/>
      <c r="AD30" s="297"/>
      <c r="AE30" s="297"/>
      <c r="AF30" s="297"/>
      <c r="AG30" s="299" t="s">
        <v>403</v>
      </c>
      <c r="AH30" s="299" t="s">
        <v>404</v>
      </c>
      <c r="AI30" s="299">
        <v>3</v>
      </c>
      <c r="AJ30" s="299">
        <v>3</v>
      </c>
      <c r="AK30" s="377">
        <v>0.5</v>
      </c>
      <c r="AL30" s="377">
        <v>0.5</v>
      </c>
      <c r="AM30" s="299">
        <v>0</v>
      </c>
      <c r="AN30" s="299">
        <v>0</v>
      </c>
      <c r="AO30" s="299">
        <v>34</v>
      </c>
      <c r="AP30" s="299">
        <v>0</v>
      </c>
      <c r="AQ30" s="299">
        <v>1</v>
      </c>
      <c r="AR30" s="299">
        <v>0</v>
      </c>
      <c r="AS30" s="299">
        <v>0</v>
      </c>
      <c r="AT30" s="299">
        <v>0</v>
      </c>
      <c r="AU30" s="299">
        <v>0</v>
      </c>
      <c r="AV30" s="299">
        <v>0</v>
      </c>
      <c r="AW30" s="299">
        <v>0</v>
      </c>
      <c r="AX30" s="299">
        <v>0</v>
      </c>
      <c r="AY30" s="299"/>
      <c r="AZ30" s="299" t="s">
        <v>38</v>
      </c>
      <c r="BA30" s="299"/>
      <c r="BB30" s="299"/>
      <c r="BC30" s="299"/>
      <c r="BD30" s="298"/>
      <c r="BE30" s="297"/>
      <c r="BF30" s="299"/>
      <c r="BG30" s="299" t="s">
        <v>4</v>
      </c>
      <c r="BH30" s="298"/>
    </row>
    <row r="31" spans="1:62" x14ac:dyDescent="0.15">
      <c r="A31" s="297">
        <v>1515</v>
      </c>
      <c r="B31" s="328">
        <v>43293</v>
      </c>
      <c r="C31" s="382" t="s">
        <v>10</v>
      </c>
      <c r="D31" s="297" t="s">
        <v>49</v>
      </c>
      <c r="E31" s="386">
        <v>43229</v>
      </c>
      <c r="F31" s="383" t="s">
        <v>34</v>
      </c>
      <c r="G31" s="297" t="s">
        <v>35</v>
      </c>
      <c r="H31" s="387">
        <v>79.7</v>
      </c>
      <c r="I31" s="376"/>
      <c r="J31" s="297"/>
      <c r="K31" s="297"/>
      <c r="L31" s="297"/>
      <c r="M31" s="297"/>
      <c r="N31" s="297"/>
      <c r="O31" s="387">
        <v>1.94</v>
      </c>
      <c r="P31" s="387">
        <v>0</v>
      </c>
      <c r="Q31" s="387">
        <v>0</v>
      </c>
      <c r="R31" s="332">
        <v>0</v>
      </c>
      <c r="S31" s="332">
        <v>0</v>
      </c>
      <c r="T31" s="332"/>
      <c r="U31" s="332">
        <v>1.64</v>
      </c>
      <c r="V31" s="332">
        <v>0</v>
      </c>
      <c r="W31" s="332">
        <v>0</v>
      </c>
      <c r="X31" s="332">
        <v>0</v>
      </c>
      <c r="Y31" s="332">
        <v>0</v>
      </c>
      <c r="Z31" s="332"/>
      <c r="AA31" s="332">
        <v>1.76</v>
      </c>
      <c r="AB31" s="332"/>
      <c r="AC31" s="297"/>
      <c r="AD31" s="297"/>
      <c r="AE31" s="297"/>
      <c r="AF31" s="297"/>
      <c r="AG31" s="299" t="s">
        <v>403</v>
      </c>
      <c r="AH31" s="299" t="s">
        <v>404</v>
      </c>
      <c r="AI31" s="299">
        <v>3</v>
      </c>
      <c r="AJ31" s="299">
        <v>3</v>
      </c>
      <c r="AK31" s="377">
        <v>0.5</v>
      </c>
      <c r="AL31" s="377">
        <v>0.5</v>
      </c>
      <c r="AM31" s="299">
        <v>0</v>
      </c>
      <c r="AN31" s="299">
        <v>0</v>
      </c>
      <c r="AO31" s="299">
        <v>5</v>
      </c>
      <c r="AP31" s="299">
        <v>0</v>
      </c>
      <c r="AQ31" s="299">
        <v>0</v>
      </c>
      <c r="AR31" s="299">
        <v>0</v>
      </c>
      <c r="AS31" s="299">
        <v>0</v>
      </c>
      <c r="AT31" s="299">
        <v>0</v>
      </c>
      <c r="AU31" s="299">
        <v>0</v>
      </c>
      <c r="AV31" s="299">
        <v>0</v>
      </c>
      <c r="AW31" s="299">
        <v>0</v>
      </c>
      <c r="AX31" s="299">
        <v>0</v>
      </c>
      <c r="AY31" s="299"/>
      <c r="AZ31" s="299" t="s">
        <v>38</v>
      </c>
      <c r="BA31" s="299"/>
      <c r="BB31" s="299" t="s">
        <v>38</v>
      </c>
      <c r="BC31" s="299"/>
      <c r="BD31" s="298"/>
      <c r="BE31" s="297"/>
      <c r="BF31" s="299"/>
      <c r="BG31" s="299" t="s">
        <v>43</v>
      </c>
      <c r="BH31" s="298" t="s">
        <v>47</v>
      </c>
      <c r="BI31" t="s">
        <v>48</v>
      </c>
      <c r="BJ31" t="s">
        <v>368</v>
      </c>
    </row>
    <row r="32" spans="1:62" x14ac:dyDescent="0.15">
      <c r="A32" s="297">
        <v>78</v>
      </c>
      <c r="B32" s="328">
        <v>43290</v>
      </c>
      <c r="C32" s="296" t="s">
        <v>10</v>
      </c>
      <c r="D32" s="297" t="s">
        <v>50</v>
      </c>
      <c r="E32" s="295">
        <v>43284</v>
      </c>
      <c r="F32" s="298" t="s">
        <v>12</v>
      </c>
      <c r="G32" s="297" t="s">
        <v>13</v>
      </c>
      <c r="H32" s="297">
        <v>77</v>
      </c>
      <c r="I32" s="376" t="s">
        <v>402</v>
      </c>
      <c r="J32" s="297">
        <v>1645</v>
      </c>
      <c r="K32" s="297">
        <v>3000</v>
      </c>
      <c r="L32" s="297">
        <v>3000</v>
      </c>
      <c r="M32" s="297">
        <v>3000</v>
      </c>
      <c r="N32" s="297"/>
      <c r="O32" s="297">
        <v>2.74</v>
      </c>
      <c r="P32" s="297">
        <v>2.4900000000000002</v>
      </c>
      <c r="Q32" s="329">
        <v>0</v>
      </c>
      <c r="R32" s="329">
        <v>0</v>
      </c>
      <c r="S32" s="297">
        <v>2.08</v>
      </c>
      <c r="T32" s="297"/>
      <c r="U32" s="297">
        <v>2.74</v>
      </c>
      <c r="V32" s="297">
        <v>2.4900000000000002</v>
      </c>
      <c r="W32" s="329">
        <v>0</v>
      </c>
      <c r="X32" s="329">
        <v>0</v>
      </c>
      <c r="Y32" s="297">
        <v>2.08</v>
      </c>
      <c r="Z32" s="297"/>
      <c r="AA32" s="297"/>
      <c r="AB32" s="297"/>
      <c r="AC32" s="297"/>
      <c r="AD32" s="297"/>
      <c r="AE32" s="297"/>
      <c r="AF32" s="297"/>
      <c r="AG32" s="299" t="s">
        <v>405</v>
      </c>
      <c r="AH32" s="299"/>
      <c r="AI32" s="299">
        <v>2</v>
      </c>
      <c r="AJ32" s="299">
        <v>4</v>
      </c>
      <c r="AK32" s="388">
        <v>0.33329999999999999</v>
      </c>
      <c r="AL32" s="388">
        <v>0.66659999999999997</v>
      </c>
      <c r="AM32" s="299">
        <v>0</v>
      </c>
      <c r="AN32" s="299">
        <v>0</v>
      </c>
      <c r="AO32" s="299">
        <v>0</v>
      </c>
      <c r="AP32" s="299">
        <v>26</v>
      </c>
      <c r="AQ32" s="299">
        <v>0</v>
      </c>
      <c r="AR32" s="299">
        <v>0</v>
      </c>
      <c r="AS32" s="299">
        <v>0</v>
      </c>
      <c r="AT32" s="299">
        <v>0</v>
      </c>
      <c r="AU32" s="299">
        <v>0</v>
      </c>
      <c r="AV32" s="299">
        <v>0</v>
      </c>
      <c r="AW32" s="299">
        <v>0</v>
      </c>
      <c r="AX32" s="299">
        <v>0</v>
      </c>
      <c r="AY32" s="299"/>
      <c r="AZ32" s="299" t="s">
        <v>38</v>
      </c>
      <c r="BA32" s="299">
        <v>12</v>
      </c>
      <c r="BB32" s="299" t="s">
        <v>38</v>
      </c>
      <c r="BC32" s="299"/>
      <c r="BD32" s="378" t="s">
        <v>39</v>
      </c>
      <c r="BE32" s="297" t="s">
        <v>40</v>
      </c>
      <c r="BF32" s="299">
        <v>25</v>
      </c>
      <c r="BG32" s="299" t="s">
        <v>41</v>
      </c>
      <c r="BH32" s="298"/>
      <c r="BI32" s="366" t="s">
        <v>430</v>
      </c>
      <c r="BJ32" s="366" t="s">
        <v>408</v>
      </c>
    </row>
    <row r="33" spans="1:62" x14ac:dyDescent="0.15">
      <c r="A33" s="297">
        <v>1162</v>
      </c>
      <c r="B33" s="328">
        <v>43300</v>
      </c>
      <c r="C33" s="296" t="s">
        <v>10</v>
      </c>
      <c r="D33" s="297" t="s">
        <v>50</v>
      </c>
      <c r="E33" s="309">
        <v>43293</v>
      </c>
      <c r="F33" s="298" t="s">
        <v>14</v>
      </c>
      <c r="G33" s="297" t="s">
        <v>15</v>
      </c>
      <c r="H33" s="297">
        <v>67.72</v>
      </c>
      <c r="I33" s="376" t="s">
        <v>402</v>
      </c>
      <c r="J33" s="297">
        <v>1645</v>
      </c>
      <c r="K33" s="297">
        <v>3000</v>
      </c>
      <c r="L33" s="297">
        <v>3000</v>
      </c>
      <c r="M33" s="297">
        <v>3000</v>
      </c>
      <c r="N33" s="297"/>
      <c r="O33" s="297">
        <v>2.25</v>
      </c>
      <c r="P33" s="297">
        <v>2.25</v>
      </c>
      <c r="Q33" s="329">
        <v>0</v>
      </c>
      <c r="R33" s="329">
        <v>0</v>
      </c>
      <c r="S33" s="297">
        <v>2</v>
      </c>
      <c r="T33" s="297"/>
      <c r="U33" s="297">
        <v>2.25</v>
      </c>
      <c r="V33" s="297">
        <v>2.25</v>
      </c>
      <c r="W33" s="329">
        <v>0</v>
      </c>
      <c r="X33" s="329">
        <v>0</v>
      </c>
      <c r="Y33" s="297">
        <v>2</v>
      </c>
      <c r="Z33" s="297"/>
      <c r="AA33" s="297"/>
      <c r="AB33" s="297"/>
      <c r="AC33" s="297"/>
      <c r="AD33" s="297"/>
      <c r="AE33" s="297"/>
      <c r="AF33" s="297"/>
      <c r="AG33" s="299" t="s">
        <v>405</v>
      </c>
      <c r="AH33" s="299"/>
      <c r="AI33" s="299">
        <v>2</v>
      </c>
      <c r="AJ33" s="299">
        <v>4</v>
      </c>
      <c r="AK33" s="388">
        <v>0.33329999999999999</v>
      </c>
      <c r="AL33" s="388">
        <v>0.66659999999999997</v>
      </c>
      <c r="AM33" s="299">
        <v>0</v>
      </c>
      <c r="AN33" s="299">
        <v>0</v>
      </c>
      <c r="AO33" s="299">
        <v>0</v>
      </c>
      <c r="AP33" s="299">
        <v>25</v>
      </c>
      <c r="AQ33" s="299">
        <v>0</v>
      </c>
      <c r="AR33" s="299">
        <v>0</v>
      </c>
      <c r="AS33" s="299">
        <v>0</v>
      </c>
      <c r="AT33" s="299">
        <v>0</v>
      </c>
      <c r="AU33" s="299">
        <v>0</v>
      </c>
      <c r="AV33" s="299">
        <v>0</v>
      </c>
      <c r="AW33" s="299">
        <v>0</v>
      </c>
      <c r="AX33" s="299">
        <v>0</v>
      </c>
      <c r="AY33" s="297"/>
      <c r="AZ33" s="299" t="s">
        <v>38</v>
      </c>
      <c r="BA33" s="299">
        <v>24</v>
      </c>
      <c r="BB33" s="299" t="s">
        <v>38</v>
      </c>
      <c r="BC33" s="299"/>
      <c r="BD33" s="298"/>
      <c r="BE33" s="297"/>
      <c r="BF33" s="299"/>
      <c r="BG33" s="299" t="s">
        <v>411</v>
      </c>
      <c r="BH33" s="298"/>
      <c r="BI33" t="s">
        <v>412</v>
      </c>
      <c r="BJ33" t="s">
        <v>368</v>
      </c>
    </row>
    <row r="34" spans="1:62" x14ac:dyDescent="0.15">
      <c r="A34" s="297">
        <v>1441</v>
      </c>
      <c r="B34" s="328">
        <v>43292</v>
      </c>
      <c r="C34" s="296" t="s">
        <v>10</v>
      </c>
      <c r="D34" s="297" t="s">
        <v>50</v>
      </c>
      <c r="E34" s="295">
        <v>43160</v>
      </c>
      <c r="F34" s="298" t="s">
        <v>16</v>
      </c>
      <c r="G34" s="379" t="s">
        <v>17</v>
      </c>
      <c r="H34" s="297">
        <v>80.2</v>
      </c>
      <c r="I34" s="376" t="s">
        <v>402</v>
      </c>
      <c r="J34" s="297">
        <v>1645</v>
      </c>
      <c r="K34" s="297">
        <v>3000</v>
      </c>
      <c r="L34" s="297">
        <v>3000</v>
      </c>
      <c r="M34" s="297">
        <v>3000</v>
      </c>
      <c r="N34" s="297"/>
      <c r="O34" s="297">
        <v>3.75</v>
      </c>
      <c r="P34" s="297">
        <v>3.2</v>
      </c>
      <c r="Q34" s="329">
        <v>0</v>
      </c>
      <c r="R34" s="329">
        <v>0</v>
      </c>
      <c r="S34" s="297">
        <v>2.8</v>
      </c>
      <c r="T34" s="297"/>
      <c r="U34" s="297">
        <v>3.75</v>
      </c>
      <c r="V34" s="297">
        <v>3.2</v>
      </c>
      <c r="W34" s="329">
        <v>0</v>
      </c>
      <c r="X34" s="329">
        <v>0</v>
      </c>
      <c r="Y34" s="297">
        <v>2.8</v>
      </c>
      <c r="Z34" s="297"/>
      <c r="AA34" s="297"/>
      <c r="AB34" s="297"/>
      <c r="AC34" s="297"/>
      <c r="AD34" s="297"/>
      <c r="AE34" s="297"/>
      <c r="AF34" s="297"/>
      <c r="AG34" s="299" t="s">
        <v>405</v>
      </c>
      <c r="AH34" s="299"/>
      <c r="AI34" s="299">
        <v>2</v>
      </c>
      <c r="AJ34" s="299">
        <v>4</v>
      </c>
      <c r="AK34" s="388">
        <v>0.33329999999999999</v>
      </c>
      <c r="AL34" s="388">
        <v>0.66659999999999997</v>
      </c>
      <c r="AM34" s="299">
        <v>0</v>
      </c>
      <c r="AN34" s="299">
        <v>0</v>
      </c>
      <c r="AO34" s="299">
        <v>26</v>
      </c>
      <c r="AP34" s="299">
        <v>0</v>
      </c>
      <c r="AQ34" s="299">
        <v>0</v>
      </c>
      <c r="AR34" s="299">
        <v>0</v>
      </c>
      <c r="AS34" s="299">
        <v>0</v>
      </c>
      <c r="AT34" s="299">
        <v>0</v>
      </c>
      <c r="AU34" s="299">
        <v>0</v>
      </c>
      <c r="AV34" s="299">
        <v>0</v>
      </c>
      <c r="AW34" s="299">
        <v>0</v>
      </c>
      <c r="AX34" s="299">
        <v>0</v>
      </c>
      <c r="AY34" s="297"/>
      <c r="AZ34" s="299" t="s">
        <v>38</v>
      </c>
      <c r="BA34" s="299"/>
      <c r="BB34" s="299" t="s">
        <v>38</v>
      </c>
      <c r="BC34" s="299"/>
      <c r="BD34" s="298"/>
      <c r="BE34" s="297"/>
      <c r="BF34" s="299"/>
      <c r="BG34" s="299" t="s">
        <v>41</v>
      </c>
      <c r="BH34" s="298" t="s">
        <v>42</v>
      </c>
      <c r="BI34" s="366" t="s">
        <v>430</v>
      </c>
      <c r="BJ34" t="s">
        <v>368</v>
      </c>
    </row>
    <row r="35" spans="1:62" x14ac:dyDescent="0.15">
      <c r="A35" s="297">
        <v>1137</v>
      </c>
      <c r="B35" s="328">
        <v>43292</v>
      </c>
      <c r="C35" s="296" t="s">
        <v>10</v>
      </c>
      <c r="D35" s="297" t="s">
        <v>50</v>
      </c>
      <c r="E35" s="295">
        <v>43132</v>
      </c>
      <c r="F35" s="298" t="s">
        <v>18</v>
      </c>
      <c r="G35" s="297" t="s">
        <v>418</v>
      </c>
      <c r="H35" s="297">
        <v>75</v>
      </c>
      <c r="I35" s="376" t="s">
        <v>402</v>
      </c>
      <c r="J35" s="297">
        <v>1645</v>
      </c>
      <c r="K35" s="297">
        <v>3000</v>
      </c>
      <c r="L35" s="297">
        <v>3000</v>
      </c>
      <c r="M35" s="297">
        <v>3000</v>
      </c>
      <c r="N35" s="297"/>
      <c r="O35" s="297">
        <v>2.85</v>
      </c>
      <c r="P35" s="297">
        <v>2.6</v>
      </c>
      <c r="Q35" s="329">
        <v>0</v>
      </c>
      <c r="R35" s="329">
        <v>0</v>
      </c>
      <c r="S35" s="297">
        <v>2.15</v>
      </c>
      <c r="T35" s="297"/>
      <c r="U35" s="297">
        <v>2.85</v>
      </c>
      <c r="V35" s="297">
        <v>2.6</v>
      </c>
      <c r="W35" s="329">
        <v>0</v>
      </c>
      <c r="X35" s="329">
        <v>0</v>
      </c>
      <c r="Y35" s="297">
        <v>2.15</v>
      </c>
      <c r="Z35" s="297"/>
      <c r="AA35" s="297"/>
      <c r="AB35" s="297"/>
      <c r="AC35" s="297"/>
      <c r="AD35" s="297"/>
      <c r="AE35" s="297"/>
      <c r="AF35" s="297"/>
      <c r="AG35" s="299" t="s">
        <v>405</v>
      </c>
      <c r="AH35" s="299"/>
      <c r="AI35" s="299">
        <v>2</v>
      </c>
      <c r="AJ35" s="299">
        <v>4</v>
      </c>
      <c r="AK35" s="388">
        <v>0.33329999999999999</v>
      </c>
      <c r="AL35" s="388">
        <v>0.66659999999999997</v>
      </c>
      <c r="AM35" s="299">
        <v>0</v>
      </c>
      <c r="AN35" s="299">
        <v>0</v>
      </c>
      <c r="AO35" s="299">
        <v>0</v>
      </c>
      <c r="AP35" s="299">
        <v>16</v>
      </c>
      <c r="AQ35" s="299">
        <v>0</v>
      </c>
      <c r="AR35" s="299">
        <v>0</v>
      </c>
      <c r="AS35" s="299">
        <v>0</v>
      </c>
      <c r="AT35" s="299">
        <v>0</v>
      </c>
      <c r="AU35" s="299">
        <v>0</v>
      </c>
      <c r="AV35" s="299">
        <v>0</v>
      </c>
      <c r="AW35" s="299">
        <v>0</v>
      </c>
      <c r="AX35" s="299">
        <v>0</v>
      </c>
      <c r="AY35" s="299">
        <v>12</v>
      </c>
      <c r="AZ35" s="299" t="s">
        <v>38</v>
      </c>
      <c r="BA35" s="299"/>
      <c r="BB35" s="299" t="s">
        <v>38</v>
      </c>
      <c r="BC35" s="299"/>
      <c r="BD35" s="298"/>
      <c r="BE35" s="297"/>
      <c r="BF35" s="299"/>
      <c r="BG35" s="299" t="s">
        <v>41</v>
      </c>
      <c r="BH35" s="298"/>
      <c r="BI35" s="366" t="s">
        <v>430</v>
      </c>
      <c r="BJ35" s="366" t="s">
        <v>368</v>
      </c>
    </row>
    <row r="36" spans="1:62" x14ac:dyDescent="0.15">
      <c r="A36" s="297">
        <v>882</v>
      </c>
      <c r="B36" s="328">
        <v>43292</v>
      </c>
      <c r="C36" s="296" t="s">
        <v>10</v>
      </c>
      <c r="D36" s="297" t="s">
        <v>50</v>
      </c>
      <c r="E36" s="295">
        <v>43154</v>
      </c>
      <c r="F36" s="298" t="s">
        <v>19</v>
      </c>
      <c r="G36" s="297" t="s">
        <v>20</v>
      </c>
      <c r="H36" s="297">
        <v>81.349999999999994</v>
      </c>
      <c r="I36" s="376" t="s">
        <v>402</v>
      </c>
      <c r="J36" s="331">
        <v>4000</v>
      </c>
      <c r="K36" s="331">
        <v>12000</v>
      </c>
      <c r="L36" s="331">
        <v>12000</v>
      </c>
      <c r="M36" s="331">
        <v>12000</v>
      </c>
      <c r="N36" s="297"/>
      <c r="O36" s="297">
        <v>2.4900000000000002</v>
      </c>
      <c r="P36" s="297">
        <v>2.19</v>
      </c>
      <c r="Q36" s="329">
        <v>0</v>
      </c>
      <c r="R36" s="329">
        <v>0</v>
      </c>
      <c r="S36" s="297">
        <v>1.79</v>
      </c>
      <c r="T36" s="297"/>
      <c r="U36" s="297">
        <v>2.4900000000000002</v>
      </c>
      <c r="V36" s="297">
        <v>2.19</v>
      </c>
      <c r="W36" s="329">
        <v>0</v>
      </c>
      <c r="X36" s="329">
        <v>0</v>
      </c>
      <c r="Y36" s="297">
        <v>1.79</v>
      </c>
      <c r="Z36" s="297"/>
      <c r="AA36" s="297"/>
      <c r="AB36" s="297"/>
      <c r="AC36" s="297"/>
      <c r="AD36" s="297"/>
      <c r="AE36" s="297"/>
      <c r="AF36" s="297"/>
      <c r="AG36" s="299" t="s">
        <v>403</v>
      </c>
      <c r="AH36" s="299" t="s">
        <v>404</v>
      </c>
      <c r="AI36" s="299">
        <v>2</v>
      </c>
      <c r="AJ36" s="299">
        <v>4</v>
      </c>
      <c r="AK36" s="388">
        <v>0.33329999999999999</v>
      </c>
      <c r="AL36" s="388">
        <v>0.66659999999999997</v>
      </c>
      <c r="AM36" s="299">
        <v>0</v>
      </c>
      <c r="AN36" s="299">
        <v>0</v>
      </c>
      <c r="AO36" s="299">
        <v>0</v>
      </c>
      <c r="AP36" s="299">
        <v>0</v>
      </c>
      <c r="AQ36" s="299">
        <v>0</v>
      </c>
      <c r="AR36" s="299">
        <v>25</v>
      </c>
      <c r="AS36" s="299">
        <v>0</v>
      </c>
      <c r="AT36" s="299">
        <v>0</v>
      </c>
      <c r="AU36" s="299">
        <v>0</v>
      </c>
      <c r="AV36" s="299">
        <v>0</v>
      </c>
      <c r="AW36" s="299">
        <v>0</v>
      </c>
      <c r="AX36" s="299">
        <v>0</v>
      </c>
      <c r="AY36" s="297"/>
      <c r="AZ36" s="299" t="s">
        <v>38</v>
      </c>
      <c r="BA36" s="299"/>
      <c r="BB36" s="299" t="s">
        <v>38</v>
      </c>
      <c r="BC36" s="299"/>
      <c r="BD36" s="298"/>
      <c r="BE36" s="297"/>
      <c r="BF36" s="299"/>
      <c r="BG36" s="299" t="s">
        <v>43</v>
      </c>
      <c r="BH36" s="298"/>
      <c r="BI36" s="366" t="s">
        <v>430</v>
      </c>
      <c r="BJ36" s="366" t="s">
        <v>368</v>
      </c>
    </row>
    <row r="37" spans="1:62" x14ac:dyDescent="0.15">
      <c r="A37" s="297">
        <v>746</v>
      </c>
      <c r="B37" s="328">
        <v>43291</v>
      </c>
      <c r="C37" s="296" t="s">
        <v>10</v>
      </c>
      <c r="D37" s="297" t="s">
        <v>50</v>
      </c>
      <c r="E37" s="295">
        <v>43223</v>
      </c>
      <c r="F37" s="298" t="s">
        <v>21</v>
      </c>
      <c r="G37" s="380" t="s">
        <v>1097</v>
      </c>
      <c r="H37" s="297">
        <v>78.7</v>
      </c>
      <c r="I37" s="376" t="s">
        <v>402</v>
      </c>
      <c r="J37" s="297">
        <v>3000</v>
      </c>
      <c r="K37" s="297">
        <v>3000</v>
      </c>
      <c r="L37" s="297">
        <v>3000</v>
      </c>
      <c r="M37" s="297">
        <v>3000</v>
      </c>
      <c r="N37" s="297"/>
      <c r="O37" s="297">
        <v>2.83</v>
      </c>
      <c r="P37" s="329">
        <v>0</v>
      </c>
      <c r="Q37" s="329">
        <v>0</v>
      </c>
      <c r="R37" s="329">
        <v>0</v>
      </c>
      <c r="S37" s="297">
        <v>1.91</v>
      </c>
      <c r="T37" s="297"/>
      <c r="U37" s="297">
        <v>2.83</v>
      </c>
      <c r="V37" s="329">
        <v>0</v>
      </c>
      <c r="W37" s="329">
        <v>0</v>
      </c>
      <c r="X37" s="329">
        <v>0</v>
      </c>
      <c r="Y37" s="297">
        <v>1.91</v>
      </c>
      <c r="Z37" s="297"/>
      <c r="AA37" s="297"/>
      <c r="AB37" s="297"/>
      <c r="AC37" s="297"/>
      <c r="AD37" s="297"/>
      <c r="AE37" s="297"/>
      <c r="AF37" s="297"/>
      <c r="AG37" s="299" t="s">
        <v>405</v>
      </c>
      <c r="AH37" s="297"/>
      <c r="AI37" s="299">
        <v>2</v>
      </c>
      <c r="AJ37" s="299">
        <v>4</v>
      </c>
      <c r="AK37" s="388">
        <v>0.33329999999999999</v>
      </c>
      <c r="AL37" s="388">
        <v>0.66659999999999997</v>
      </c>
      <c r="AM37" s="299">
        <v>0</v>
      </c>
      <c r="AN37" s="299">
        <v>34</v>
      </c>
      <c r="AO37" s="299">
        <v>0</v>
      </c>
      <c r="AP37" s="299">
        <v>0</v>
      </c>
      <c r="AQ37" s="299">
        <v>0</v>
      </c>
      <c r="AR37" s="299">
        <v>0</v>
      </c>
      <c r="AS37" s="299">
        <v>0</v>
      </c>
      <c r="AT37" s="299">
        <v>0</v>
      </c>
      <c r="AU37" s="299">
        <v>0</v>
      </c>
      <c r="AV37" s="299">
        <v>0</v>
      </c>
      <c r="AW37" s="299">
        <v>0</v>
      </c>
      <c r="AX37" s="299">
        <v>0</v>
      </c>
      <c r="AY37" s="297"/>
      <c r="AZ37" s="299" t="s">
        <v>38</v>
      </c>
      <c r="BA37" s="299">
        <v>12</v>
      </c>
      <c r="BB37" s="299" t="s">
        <v>38</v>
      </c>
      <c r="BC37" s="299"/>
      <c r="BD37" s="298" t="s">
        <v>218</v>
      </c>
      <c r="BE37" s="297" t="s">
        <v>40</v>
      </c>
      <c r="BF37" s="299">
        <v>50</v>
      </c>
      <c r="BG37" s="299" t="s">
        <v>41</v>
      </c>
      <c r="BH37" s="298"/>
      <c r="BI37" s="366" t="s">
        <v>430</v>
      </c>
      <c r="BJ37" s="366" t="s">
        <v>368</v>
      </c>
    </row>
    <row r="38" spans="1:62" x14ac:dyDescent="0.15">
      <c r="A38" s="297">
        <v>173</v>
      </c>
      <c r="B38" s="328">
        <v>43293</v>
      </c>
      <c r="C38" s="296" t="s">
        <v>10</v>
      </c>
      <c r="D38" s="297" t="s">
        <v>50</v>
      </c>
      <c r="E38" s="295">
        <v>43208</v>
      </c>
      <c r="F38" s="298" t="s">
        <v>22</v>
      </c>
      <c r="G38" s="297" t="s">
        <v>23</v>
      </c>
      <c r="H38" s="297">
        <v>70</v>
      </c>
      <c r="I38" s="376" t="s">
        <v>402</v>
      </c>
      <c r="J38" s="297">
        <v>1645</v>
      </c>
      <c r="K38" s="297">
        <v>3000</v>
      </c>
      <c r="L38" s="297">
        <v>3000</v>
      </c>
      <c r="M38" s="297">
        <v>3000</v>
      </c>
      <c r="N38" s="297"/>
      <c r="O38" s="297">
        <v>2.5499999999999998</v>
      </c>
      <c r="P38" s="297">
        <v>2.4500000000000002</v>
      </c>
      <c r="Q38" s="297">
        <v>0</v>
      </c>
      <c r="R38" s="297"/>
      <c r="S38" s="297">
        <v>1.95</v>
      </c>
      <c r="T38" s="297"/>
      <c r="U38" s="297">
        <v>2.5499999999999998</v>
      </c>
      <c r="V38" s="297">
        <v>2.4500000000000002</v>
      </c>
      <c r="W38" s="297">
        <v>0</v>
      </c>
      <c r="X38" s="297"/>
      <c r="Y38" s="297">
        <v>1.95</v>
      </c>
      <c r="Z38" s="297"/>
      <c r="AA38" s="297"/>
      <c r="AB38" s="297"/>
      <c r="AC38" s="297"/>
      <c r="AD38" s="297"/>
      <c r="AE38" s="297"/>
      <c r="AF38" s="297"/>
      <c r="AG38" s="299" t="s">
        <v>405</v>
      </c>
      <c r="AH38" s="299"/>
      <c r="AI38" s="299">
        <v>2</v>
      </c>
      <c r="AJ38" s="299">
        <v>4</v>
      </c>
      <c r="AK38" s="388">
        <v>0.33329999999999999</v>
      </c>
      <c r="AL38" s="388">
        <v>0.66659999999999997</v>
      </c>
      <c r="AM38" s="299">
        <v>0</v>
      </c>
      <c r="AN38" s="299">
        <v>0</v>
      </c>
      <c r="AO38" s="299">
        <v>15</v>
      </c>
      <c r="AP38" s="299">
        <v>0</v>
      </c>
      <c r="AQ38" s="299">
        <v>0</v>
      </c>
      <c r="AR38" s="299">
        <v>0</v>
      </c>
      <c r="AS38" s="299">
        <v>0</v>
      </c>
      <c r="AT38" s="299">
        <v>0</v>
      </c>
      <c r="AU38" s="299">
        <v>0</v>
      </c>
      <c r="AV38" s="299">
        <v>0</v>
      </c>
      <c r="AW38" s="299">
        <v>0</v>
      </c>
      <c r="AX38" s="299">
        <v>0</v>
      </c>
      <c r="AY38" s="297"/>
      <c r="AZ38" s="299" t="s">
        <v>38</v>
      </c>
      <c r="BA38" s="299"/>
      <c r="BB38" s="299" t="s">
        <v>38</v>
      </c>
      <c r="BC38" s="299"/>
      <c r="BD38" s="298" t="s">
        <v>429</v>
      </c>
      <c r="BE38" s="297"/>
      <c r="BF38" s="299"/>
      <c r="BG38" s="299" t="s">
        <v>41</v>
      </c>
      <c r="BH38" s="298"/>
      <c r="BI38" t="s">
        <v>430</v>
      </c>
      <c r="BJ38" t="s">
        <v>368</v>
      </c>
    </row>
    <row r="39" spans="1:62" x14ac:dyDescent="0.15">
      <c r="A39" s="297">
        <v>314</v>
      </c>
      <c r="B39" s="328">
        <v>43293</v>
      </c>
      <c r="C39" s="296" t="s">
        <v>10</v>
      </c>
      <c r="D39" s="297" t="s">
        <v>50</v>
      </c>
      <c r="E39" s="295">
        <v>43194</v>
      </c>
      <c r="F39" s="297" t="s">
        <v>24</v>
      </c>
      <c r="G39" s="297" t="s">
        <v>20</v>
      </c>
      <c r="H39" s="297">
        <v>72.040000000000006</v>
      </c>
      <c r="I39" s="376" t="s">
        <v>402</v>
      </c>
      <c r="J39" s="297">
        <v>1645</v>
      </c>
      <c r="K39" s="297">
        <v>3000</v>
      </c>
      <c r="L39" s="297">
        <v>3000</v>
      </c>
      <c r="M39" s="297">
        <v>3000</v>
      </c>
      <c r="N39" s="297"/>
      <c r="O39" s="297">
        <v>2.0710000000000002</v>
      </c>
      <c r="P39" s="297">
        <v>1.7929999999999999</v>
      </c>
      <c r="Q39" s="297">
        <v>0</v>
      </c>
      <c r="R39" s="297"/>
      <c r="S39" s="297">
        <v>1.587</v>
      </c>
      <c r="T39" s="297"/>
      <c r="U39" s="297">
        <v>1.911</v>
      </c>
      <c r="V39" s="297">
        <v>1.649</v>
      </c>
      <c r="W39" s="297">
        <v>0</v>
      </c>
      <c r="X39" s="329">
        <v>0</v>
      </c>
      <c r="Y39" s="297">
        <v>1.4550000000000001</v>
      </c>
      <c r="Z39" s="297"/>
      <c r="AA39" s="297"/>
      <c r="AB39" s="297"/>
      <c r="AC39" s="297"/>
      <c r="AD39" s="297"/>
      <c r="AE39" s="297"/>
      <c r="AF39" s="297"/>
      <c r="AG39" s="299" t="s">
        <v>403</v>
      </c>
      <c r="AH39" s="299" t="s">
        <v>404</v>
      </c>
      <c r="AI39" s="299">
        <v>2</v>
      </c>
      <c r="AJ39" s="299">
        <v>4</v>
      </c>
      <c r="AK39" s="388">
        <v>0.33329999999999999</v>
      </c>
      <c r="AL39" s="388">
        <v>0.66659999999999997</v>
      </c>
      <c r="AM39" s="299">
        <v>0</v>
      </c>
      <c r="AN39" s="299">
        <v>0</v>
      </c>
      <c r="AO39" s="299">
        <v>0</v>
      </c>
      <c r="AP39" s="299">
        <v>0</v>
      </c>
      <c r="AQ39" s="299">
        <v>0</v>
      </c>
      <c r="AR39" s="299">
        <v>0</v>
      </c>
      <c r="AS39" s="299">
        <v>0</v>
      </c>
      <c r="AT39" s="299">
        <v>0</v>
      </c>
      <c r="AU39" s="299">
        <v>0</v>
      </c>
      <c r="AV39" s="299">
        <v>0</v>
      </c>
      <c r="AW39" s="299">
        <v>0</v>
      </c>
      <c r="AX39" s="299">
        <v>0</v>
      </c>
      <c r="AY39" s="297"/>
      <c r="AZ39" s="299" t="s">
        <v>38</v>
      </c>
      <c r="BA39" s="299"/>
      <c r="BB39" s="299" t="s">
        <v>38</v>
      </c>
      <c r="BC39" s="299"/>
      <c r="BD39" s="298" t="s">
        <v>44</v>
      </c>
      <c r="BE39" s="297" t="s">
        <v>40</v>
      </c>
      <c r="BF39" s="299">
        <v>50</v>
      </c>
      <c r="BG39" s="299" t="s">
        <v>43</v>
      </c>
      <c r="BH39" s="298"/>
      <c r="BI39" t="s">
        <v>430</v>
      </c>
      <c r="BJ39" s="366" t="s">
        <v>368</v>
      </c>
    </row>
    <row r="40" spans="1:62" x14ac:dyDescent="0.15">
      <c r="A40" s="297">
        <v>569</v>
      </c>
      <c r="B40" s="328">
        <v>43291</v>
      </c>
      <c r="C40" s="296" t="s">
        <v>10</v>
      </c>
      <c r="D40" s="297" t="s">
        <v>50</v>
      </c>
      <c r="E40" s="295">
        <v>43182</v>
      </c>
      <c r="F40" s="298" t="s">
        <v>25</v>
      </c>
      <c r="G40" s="297" t="s">
        <v>26</v>
      </c>
      <c r="H40" s="297">
        <v>69</v>
      </c>
      <c r="I40" s="376" t="s">
        <v>402</v>
      </c>
      <c r="J40" s="331">
        <v>4000</v>
      </c>
      <c r="K40" s="331">
        <v>12000</v>
      </c>
      <c r="L40" s="331">
        <v>12000</v>
      </c>
      <c r="M40" s="331">
        <v>12000</v>
      </c>
      <c r="N40" s="297"/>
      <c r="O40" s="297">
        <v>2.2000000000000002</v>
      </c>
      <c r="P40" s="297">
        <v>2.1</v>
      </c>
      <c r="Q40" s="329">
        <v>0</v>
      </c>
      <c r="R40" s="329">
        <v>0</v>
      </c>
      <c r="S40" s="297">
        <v>1.8</v>
      </c>
      <c r="T40" s="297"/>
      <c r="U40" s="297">
        <v>2.2000000000000002</v>
      </c>
      <c r="V40" s="297">
        <v>2.1</v>
      </c>
      <c r="W40" s="329">
        <v>0</v>
      </c>
      <c r="X40" s="329">
        <v>0</v>
      </c>
      <c r="Y40" s="297">
        <v>1.8</v>
      </c>
      <c r="AB40" s="297"/>
      <c r="AC40" s="297"/>
      <c r="AD40" s="297"/>
      <c r="AE40" s="297"/>
      <c r="AF40" s="297"/>
      <c r="AG40" s="299" t="s">
        <v>405</v>
      </c>
      <c r="AH40" s="299"/>
      <c r="AI40" s="299">
        <v>2</v>
      </c>
      <c r="AJ40" s="299">
        <v>4</v>
      </c>
      <c r="AK40" s="388">
        <v>0.33329999999999999</v>
      </c>
      <c r="AL40" s="388">
        <v>0.66659999999999997</v>
      </c>
      <c r="AM40" s="299">
        <v>0</v>
      </c>
      <c r="AN40" s="299">
        <v>0</v>
      </c>
      <c r="AO40" s="299">
        <v>0</v>
      </c>
      <c r="AP40" s="299">
        <v>13</v>
      </c>
      <c r="AQ40" s="299">
        <v>0</v>
      </c>
      <c r="AR40" s="299">
        <v>0</v>
      </c>
      <c r="AS40" s="299">
        <v>0</v>
      </c>
      <c r="AT40" s="299">
        <v>0</v>
      </c>
      <c r="AU40" s="299">
        <v>0</v>
      </c>
      <c r="AV40" s="299">
        <v>0</v>
      </c>
      <c r="AW40" s="299">
        <v>0</v>
      </c>
      <c r="AX40" s="299">
        <v>0</v>
      </c>
      <c r="AY40" s="297"/>
      <c r="AZ40" s="299" t="s">
        <v>38</v>
      </c>
      <c r="BA40" s="299">
        <v>12</v>
      </c>
      <c r="BB40" s="299" t="s">
        <v>38</v>
      </c>
      <c r="BC40" s="299"/>
      <c r="BD40" s="298"/>
      <c r="BE40" s="298"/>
      <c r="BF40" s="299"/>
      <c r="BG40" s="299" t="s">
        <v>41</v>
      </c>
      <c r="BH40" s="298"/>
      <c r="BI40" s="366" t="s">
        <v>430</v>
      </c>
      <c r="BJ40" t="s">
        <v>368</v>
      </c>
    </row>
    <row r="41" spans="1:62" x14ac:dyDescent="0.15">
      <c r="A41" s="297">
        <v>1427</v>
      </c>
      <c r="B41" s="328">
        <v>43292</v>
      </c>
      <c r="C41" s="296" t="s">
        <v>10</v>
      </c>
      <c r="D41" s="297" t="s">
        <v>50</v>
      </c>
      <c r="E41" s="309">
        <v>43145</v>
      </c>
      <c r="F41" s="298" t="s">
        <v>27</v>
      </c>
      <c r="G41" s="379" t="s">
        <v>28</v>
      </c>
      <c r="H41" s="297">
        <v>70</v>
      </c>
      <c r="I41" s="376" t="s">
        <v>402</v>
      </c>
      <c r="J41" s="331">
        <v>3000</v>
      </c>
      <c r="K41" s="331">
        <v>3000</v>
      </c>
      <c r="L41" s="331">
        <v>3000</v>
      </c>
      <c r="M41" s="331">
        <v>3000</v>
      </c>
      <c r="N41" s="297"/>
      <c r="O41" s="297">
        <v>2.25</v>
      </c>
      <c r="P41" s="297">
        <v>0</v>
      </c>
      <c r="Q41" s="297">
        <v>0</v>
      </c>
      <c r="R41" s="297">
        <v>0</v>
      </c>
      <c r="S41" s="297">
        <v>1.8</v>
      </c>
      <c r="T41" s="297"/>
      <c r="U41" s="297">
        <v>2.25</v>
      </c>
      <c r="V41" s="297">
        <v>0</v>
      </c>
      <c r="W41" s="297">
        <v>0</v>
      </c>
      <c r="X41" s="297">
        <v>0</v>
      </c>
      <c r="Y41" s="297">
        <v>1.8</v>
      </c>
      <c r="AB41" s="297"/>
      <c r="AC41" s="297"/>
      <c r="AD41" s="297"/>
      <c r="AE41" s="297"/>
      <c r="AF41" s="297"/>
      <c r="AG41" s="299" t="s">
        <v>405</v>
      </c>
      <c r="AH41" s="299"/>
      <c r="AI41" s="299">
        <v>2</v>
      </c>
      <c r="AJ41" s="299">
        <v>4</v>
      </c>
      <c r="AK41" s="388">
        <v>0.33329999999999999</v>
      </c>
      <c r="AL41" s="388">
        <v>0.66659999999999997</v>
      </c>
      <c r="AM41" s="299">
        <v>0</v>
      </c>
      <c r="AN41" s="299">
        <v>0</v>
      </c>
      <c r="AO41" s="299">
        <v>10</v>
      </c>
      <c r="AP41" s="299">
        <v>0</v>
      </c>
      <c r="AQ41" s="299">
        <v>0</v>
      </c>
      <c r="AR41" s="299">
        <v>0</v>
      </c>
      <c r="AS41" s="299">
        <v>0</v>
      </c>
      <c r="AT41" s="299">
        <v>0</v>
      </c>
      <c r="AU41" s="299">
        <v>0</v>
      </c>
      <c r="AV41" s="299">
        <v>0</v>
      </c>
      <c r="AW41" s="299">
        <v>0</v>
      </c>
      <c r="AX41" s="299">
        <v>0</v>
      </c>
      <c r="AY41" s="299"/>
      <c r="AZ41" s="299" t="s">
        <v>38</v>
      </c>
      <c r="BA41" s="299"/>
      <c r="BB41" s="299" t="s">
        <v>38</v>
      </c>
      <c r="BC41" s="299"/>
      <c r="BD41" s="298"/>
      <c r="BE41" s="297"/>
      <c r="BF41" s="299"/>
      <c r="BG41" s="299" t="s">
        <v>43</v>
      </c>
      <c r="BH41" s="298"/>
      <c r="BI41" s="366" t="s">
        <v>430</v>
      </c>
      <c r="BJ41" t="s">
        <v>45</v>
      </c>
    </row>
    <row r="42" spans="1:62" x14ac:dyDescent="0.15">
      <c r="A42" s="297">
        <v>784</v>
      </c>
      <c r="B42" s="328">
        <v>43293</v>
      </c>
      <c r="C42" s="296" t="s">
        <v>10</v>
      </c>
      <c r="D42" s="297" t="s">
        <v>50</v>
      </c>
      <c r="E42" s="309">
        <v>43194</v>
      </c>
      <c r="F42" s="298" t="s">
        <v>29</v>
      </c>
      <c r="G42" s="297" t="s">
        <v>30</v>
      </c>
      <c r="H42" s="339">
        <v>71.11</v>
      </c>
      <c r="I42" s="376" t="s">
        <v>402</v>
      </c>
      <c r="J42" s="297">
        <v>1645</v>
      </c>
      <c r="K42" s="297">
        <v>3000</v>
      </c>
      <c r="L42" s="297">
        <v>3000</v>
      </c>
      <c r="M42" s="297">
        <v>3000</v>
      </c>
      <c r="N42" s="297"/>
      <c r="O42" s="340">
        <v>3.07</v>
      </c>
      <c r="P42" s="332">
        <v>2.63</v>
      </c>
      <c r="Q42" s="341">
        <v>0</v>
      </c>
      <c r="R42" s="297">
        <v>0</v>
      </c>
      <c r="S42" s="341">
        <v>2.2400000000000002</v>
      </c>
      <c r="T42" s="297"/>
      <c r="U42" s="340">
        <v>3.07</v>
      </c>
      <c r="V42" s="332">
        <v>2.63</v>
      </c>
      <c r="W42" s="341">
        <v>0</v>
      </c>
      <c r="X42" s="297">
        <v>0</v>
      </c>
      <c r="Y42" s="341">
        <v>2.2400000000000002</v>
      </c>
      <c r="AB42" s="297"/>
      <c r="AC42" s="297"/>
      <c r="AD42" s="297"/>
      <c r="AE42" s="297"/>
      <c r="AF42" s="297"/>
      <c r="AG42" s="299" t="s">
        <v>405</v>
      </c>
      <c r="AH42" s="299"/>
      <c r="AI42" s="299">
        <v>2</v>
      </c>
      <c r="AJ42" s="299">
        <v>4</v>
      </c>
      <c r="AK42" s="388">
        <v>0.33329999999999999</v>
      </c>
      <c r="AL42" s="388">
        <v>0.66659999999999997</v>
      </c>
      <c r="AM42" s="299">
        <v>0</v>
      </c>
      <c r="AN42" s="299">
        <v>0</v>
      </c>
      <c r="AO42" s="299">
        <v>0</v>
      </c>
      <c r="AP42" s="299">
        <v>26</v>
      </c>
      <c r="AQ42" s="299">
        <v>0</v>
      </c>
      <c r="AR42" s="299">
        <v>0</v>
      </c>
      <c r="AS42" s="299">
        <v>0</v>
      </c>
      <c r="AT42" s="299">
        <v>0</v>
      </c>
      <c r="AU42" s="299">
        <v>0</v>
      </c>
      <c r="AV42" s="299">
        <v>0</v>
      </c>
      <c r="AW42" s="299">
        <v>0</v>
      </c>
      <c r="AX42" s="299">
        <v>0</v>
      </c>
      <c r="AY42" s="297"/>
      <c r="AZ42" s="299" t="s">
        <v>38</v>
      </c>
      <c r="BA42" s="299">
        <v>24</v>
      </c>
      <c r="BB42" s="299" t="s">
        <v>38</v>
      </c>
      <c r="BC42" s="299"/>
      <c r="BD42" s="378" t="s">
        <v>46</v>
      </c>
      <c r="BE42" s="297" t="s">
        <v>365</v>
      </c>
      <c r="BF42" s="299">
        <v>50</v>
      </c>
      <c r="BG42" s="299" t="s">
        <v>43</v>
      </c>
      <c r="BH42" s="298"/>
      <c r="BI42" t="s">
        <v>430</v>
      </c>
      <c r="BJ42" s="366" t="s">
        <v>368</v>
      </c>
    </row>
    <row r="43" spans="1:62" x14ac:dyDescent="0.15">
      <c r="A43" s="297">
        <v>1612</v>
      </c>
      <c r="B43" s="328">
        <v>43293</v>
      </c>
      <c r="C43" s="296" t="s">
        <v>10</v>
      </c>
      <c r="D43" s="297" t="s">
        <v>50</v>
      </c>
      <c r="E43" s="309">
        <v>43221</v>
      </c>
      <c r="F43" s="297" t="s">
        <v>31</v>
      </c>
      <c r="G43" s="297" t="s">
        <v>32</v>
      </c>
      <c r="H43" s="332">
        <v>64.040000000000006</v>
      </c>
      <c r="I43" s="376" t="s">
        <v>402</v>
      </c>
      <c r="J43" s="297">
        <v>1645</v>
      </c>
      <c r="K43" s="297">
        <v>3000</v>
      </c>
      <c r="L43" s="297">
        <v>3000</v>
      </c>
      <c r="M43" s="297">
        <v>3000</v>
      </c>
      <c r="N43" s="332"/>
      <c r="O43" s="332">
        <v>2.7480000000000002</v>
      </c>
      <c r="P43" s="332">
        <v>2.4980000000000002</v>
      </c>
      <c r="Q43" s="332">
        <v>0</v>
      </c>
      <c r="R43" s="332">
        <v>0</v>
      </c>
      <c r="S43" s="332">
        <v>2.0840000000000001</v>
      </c>
      <c r="T43" s="332"/>
      <c r="U43" s="332">
        <v>2.5289999999999999</v>
      </c>
      <c r="V43" s="332">
        <v>2.2989999999999999</v>
      </c>
      <c r="W43" s="332">
        <v>0</v>
      </c>
      <c r="X43" s="329">
        <v>0</v>
      </c>
      <c r="Y43" s="332">
        <v>1.9179999999999999</v>
      </c>
      <c r="Z43" s="342"/>
      <c r="AA43" s="343"/>
      <c r="AB43" s="332"/>
      <c r="AC43" s="332"/>
      <c r="AD43" s="332"/>
      <c r="AE43" s="332"/>
      <c r="AF43" s="332"/>
      <c r="AG43" s="333" t="s">
        <v>405</v>
      </c>
      <c r="AH43" s="333"/>
      <c r="AI43" s="299">
        <v>2</v>
      </c>
      <c r="AJ43" s="299">
        <v>4</v>
      </c>
      <c r="AK43" s="388">
        <v>0.33329999999999999</v>
      </c>
      <c r="AL43" s="388">
        <v>0.66659999999999997</v>
      </c>
      <c r="AM43" s="299">
        <v>0</v>
      </c>
      <c r="AN43" s="299">
        <v>0</v>
      </c>
      <c r="AO43" s="299">
        <v>0</v>
      </c>
      <c r="AP43" s="299">
        <v>25</v>
      </c>
      <c r="AQ43" s="299">
        <v>0</v>
      </c>
      <c r="AR43" s="299">
        <v>0</v>
      </c>
      <c r="AS43" s="299">
        <v>0</v>
      </c>
      <c r="AT43" s="299">
        <v>0</v>
      </c>
      <c r="AU43" s="299">
        <v>0</v>
      </c>
      <c r="AV43" s="299">
        <v>0</v>
      </c>
      <c r="AW43" s="299">
        <v>0</v>
      </c>
      <c r="AX43" s="299">
        <v>0</v>
      </c>
      <c r="AY43" s="299"/>
      <c r="AZ43" s="299" t="s">
        <v>38</v>
      </c>
      <c r="BA43" s="299">
        <v>12</v>
      </c>
      <c r="BB43" s="299" t="s">
        <v>38</v>
      </c>
      <c r="BC43" s="299"/>
      <c r="BD43" s="298"/>
      <c r="BE43" s="297"/>
      <c r="BF43" s="299"/>
      <c r="BG43" s="299" t="s">
        <v>43</v>
      </c>
      <c r="BH43" s="298"/>
      <c r="BI43" t="s">
        <v>430</v>
      </c>
      <c r="BJ43" s="366" t="s">
        <v>368</v>
      </c>
    </row>
    <row r="44" spans="1:62" x14ac:dyDescent="0.15">
      <c r="A44" s="297">
        <v>1552</v>
      </c>
      <c r="B44" s="328">
        <v>43292</v>
      </c>
      <c r="C44" s="296" t="s">
        <v>10</v>
      </c>
      <c r="D44" s="297" t="s">
        <v>50</v>
      </c>
      <c r="E44" s="295">
        <v>43249</v>
      </c>
      <c r="F44" s="298" t="s">
        <v>987</v>
      </c>
      <c r="G44" s="297" t="s">
        <v>33</v>
      </c>
      <c r="H44" s="297">
        <v>80.2</v>
      </c>
      <c r="I44" s="376" t="s">
        <v>402</v>
      </c>
      <c r="J44" s="297">
        <v>1645</v>
      </c>
      <c r="K44" s="297">
        <v>3000</v>
      </c>
      <c r="L44" s="297">
        <v>3000</v>
      </c>
      <c r="M44" s="297">
        <v>3000</v>
      </c>
      <c r="N44" s="297"/>
      <c r="O44" s="297">
        <v>3.75</v>
      </c>
      <c r="P44" s="297">
        <v>3.2</v>
      </c>
      <c r="Q44" s="329">
        <v>0</v>
      </c>
      <c r="R44" s="329">
        <v>0</v>
      </c>
      <c r="S44" s="297">
        <v>2.8</v>
      </c>
      <c r="T44" s="297"/>
      <c r="U44" s="297">
        <v>3.75</v>
      </c>
      <c r="V44" s="297">
        <v>3.2</v>
      </c>
      <c r="W44" s="329">
        <v>0</v>
      </c>
      <c r="X44" s="329">
        <v>0</v>
      </c>
      <c r="Y44" s="297">
        <v>2.8</v>
      </c>
      <c r="Z44" s="297"/>
      <c r="AA44" s="297"/>
      <c r="AB44" s="297"/>
      <c r="AC44" s="297"/>
      <c r="AD44" s="297"/>
      <c r="AE44" s="297"/>
      <c r="AF44" s="297"/>
      <c r="AG44" s="299" t="s">
        <v>405</v>
      </c>
      <c r="AH44" s="299"/>
      <c r="AI44" s="299">
        <v>2</v>
      </c>
      <c r="AJ44" s="299">
        <v>4</v>
      </c>
      <c r="AK44" s="388">
        <v>0.33329999999999999</v>
      </c>
      <c r="AL44" s="388">
        <v>0.66659999999999997</v>
      </c>
      <c r="AM44" s="299">
        <v>0</v>
      </c>
      <c r="AN44" s="299">
        <v>0</v>
      </c>
      <c r="AO44" s="299">
        <v>5</v>
      </c>
      <c r="AP44" s="299">
        <v>0</v>
      </c>
      <c r="AQ44" s="299">
        <v>0</v>
      </c>
      <c r="AR44" s="299">
        <v>0</v>
      </c>
      <c r="AS44" s="299">
        <v>0</v>
      </c>
      <c r="AT44" s="299">
        <v>0</v>
      </c>
      <c r="AU44" s="299">
        <v>0</v>
      </c>
      <c r="AV44" s="299">
        <v>0</v>
      </c>
      <c r="AW44" s="299">
        <v>0</v>
      </c>
      <c r="AX44" s="299">
        <v>0</v>
      </c>
      <c r="AY44" s="299"/>
      <c r="AZ44" s="299" t="s">
        <v>38</v>
      </c>
      <c r="BA44" s="299"/>
      <c r="BB44" s="299" t="s">
        <v>38</v>
      </c>
      <c r="BC44" s="299"/>
      <c r="BD44" s="298"/>
      <c r="BE44" s="297"/>
      <c r="BF44" s="299"/>
      <c r="BG44" s="299" t="s">
        <v>41</v>
      </c>
      <c r="BH44" s="298" t="s">
        <v>370</v>
      </c>
      <c r="BI44" t="s">
        <v>430</v>
      </c>
      <c r="BJ44" t="s">
        <v>368</v>
      </c>
    </row>
    <row r="45" spans="1:62" x14ac:dyDescent="0.15">
      <c r="A45" s="297"/>
      <c r="B45" s="328">
        <v>43300</v>
      </c>
      <c r="C45" s="296" t="s">
        <v>295</v>
      </c>
      <c r="D45" s="297" t="s">
        <v>50</v>
      </c>
      <c r="E45" s="295">
        <v>43221</v>
      </c>
      <c r="F45" s="298" t="s">
        <v>1</v>
      </c>
      <c r="G45" s="297" t="s">
        <v>2</v>
      </c>
      <c r="H45" s="297">
        <v>82</v>
      </c>
      <c r="I45" s="376" t="s">
        <v>296</v>
      </c>
      <c r="J45" s="297">
        <v>3000</v>
      </c>
      <c r="K45" s="297">
        <v>3000</v>
      </c>
      <c r="L45" s="297">
        <v>3000</v>
      </c>
      <c r="M45" s="297">
        <v>3000</v>
      </c>
      <c r="N45" s="297"/>
      <c r="O45" s="297">
        <v>3</v>
      </c>
      <c r="P45" s="297">
        <v>0</v>
      </c>
      <c r="Q45" s="329">
        <v>0</v>
      </c>
      <c r="R45" s="329">
        <v>0</v>
      </c>
      <c r="S45" s="297">
        <v>2.75</v>
      </c>
      <c r="T45" s="297"/>
      <c r="U45" s="297">
        <v>3</v>
      </c>
      <c r="V45" s="297">
        <v>0</v>
      </c>
      <c r="W45" s="329">
        <v>0</v>
      </c>
      <c r="X45" s="329">
        <v>0</v>
      </c>
      <c r="Y45" s="297">
        <v>2.75</v>
      </c>
      <c r="Z45" s="297"/>
      <c r="AA45" s="297"/>
      <c r="AB45" s="297"/>
      <c r="AC45" s="297"/>
      <c r="AD45" s="297"/>
      <c r="AE45" s="297"/>
      <c r="AF45" s="297"/>
      <c r="AG45" s="299" t="s">
        <v>405</v>
      </c>
      <c r="AH45" s="299"/>
      <c r="AI45" s="299">
        <v>2</v>
      </c>
      <c r="AJ45" s="299">
        <v>4</v>
      </c>
      <c r="AK45" s="388">
        <v>0.33329999999999999</v>
      </c>
      <c r="AL45" s="388">
        <v>0.66659999999999997</v>
      </c>
      <c r="AM45" s="299">
        <v>0</v>
      </c>
      <c r="AN45" s="299">
        <v>0</v>
      </c>
      <c r="AO45" s="299">
        <v>34</v>
      </c>
      <c r="AP45" s="299">
        <v>0</v>
      </c>
      <c r="AQ45" s="299">
        <v>1</v>
      </c>
      <c r="AR45" s="299">
        <v>0</v>
      </c>
      <c r="AS45" s="299">
        <v>0</v>
      </c>
      <c r="AT45" s="299">
        <v>0</v>
      </c>
      <c r="AU45" s="299">
        <v>0</v>
      </c>
      <c r="AV45" s="299">
        <v>0</v>
      </c>
      <c r="AW45" s="299">
        <v>0</v>
      </c>
      <c r="AX45" s="299">
        <v>0</v>
      </c>
      <c r="AY45" s="299"/>
      <c r="AZ45" s="299" t="s">
        <v>38</v>
      </c>
      <c r="BA45" s="299"/>
      <c r="BB45" s="299"/>
      <c r="BC45" s="299"/>
      <c r="BD45" s="298"/>
      <c r="BE45" s="297"/>
      <c r="BF45" s="299"/>
      <c r="BG45" s="299" t="s">
        <v>4</v>
      </c>
      <c r="BH45" s="298"/>
    </row>
    <row r="46" spans="1:62" x14ac:dyDescent="0.15">
      <c r="A46" s="297">
        <v>1513</v>
      </c>
      <c r="B46" s="328">
        <v>43293</v>
      </c>
      <c r="C46" s="296" t="s">
        <v>10</v>
      </c>
      <c r="D46" s="297" t="s">
        <v>50</v>
      </c>
      <c r="E46" s="309">
        <v>43229</v>
      </c>
      <c r="F46" s="297" t="s">
        <v>34</v>
      </c>
      <c r="G46" s="297" t="s">
        <v>35</v>
      </c>
      <c r="H46" s="332">
        <v>81.680000000000007</v>
      </c>
      <c r="I46" s="376"/>
      <c r="J46" s="297"/>
      <c r="K46" s="297"/>
      <c r="L46" s="297"/>
      <c r="M46" s="297"/>
      <c r="N46" s="297"/>
      <c r="O46" s="332">
        <v>1.78</v>
      </c>
      <c r="P46" s="332">
        <v>0</v>
      </c>
      <c r="Q46" s="332">
        <v>0</v>
      </c>
      <c r="R46" s="332">
        <v>0</v>
      </c>
      <c r="S46" s="332">
        <v>0</v>
      </c>
      <c r="T46" s="332"/>
      <c r="U46" s="332">
        <v>1.78</v>
      </c>
      <c r="V46" s="332"/>
      <c r="W46" s="332"/>
      <c r="X46" s="329"/>
      <c r="Y46" s="297"/>
      <c r="Z46" s="297"/>
      <c r="AA46" s="297"/>
      <c r="AB46" s="297"/>
      <c r="AC46" s="297"/>
      <c r="AD46" s="297"/>
      <c r="AE46" s="297"/>
      <c r="AF46" s="297"/>
      <c r="AG46" s="299" t="s">
        <v>405</v>
      </c>
      <c r="AH46" s="299"/>
      <c r="AI46" s="299">
        <v>2</v>
      </c>
      <c r="AJ46" s="299">
        <v>4</v>
      </c>
      <c r="AK46" s="388">
        <v>0.33329999999999999</v>
      </c>
      <c r="AL46" s="388">
        <v>0.66659999999999997</v>
      </c>
      <c r="AM46" s="299">
        <v>0</v>
      </c>
      <c r="AN46" s="299">
        <v>0</v>
      </c>
      <c r="AO46" s="299">
        <v>5</v>
      </c>
      <c r="AP46" s="299">
        <v>0</v>
      </c>
      <c r="AQ46" s="299">
        <v>0</v>
      </c>
      <c r="AR46" s="299">
        <v>0</v>
      </c>
      <c r="AS46" s="299">
        <v>0</v>
      </c>
      <c r="AT46" s="299">
        <v>0</v>
      </c>
      <c r="AU46" s="299">
        <v>0</v>
      </c>
      <c r="AV46" s="299">
        <v>0</v>
      </c>
      <c r="AW46" s="299">
        <v>0</v>
      </c>
      <c r="AX46" s="299">
        <v>0</v>
      </c>
      <c r="AY46" s="299"/>
      <c r="AZ46" s="299" t="s">
        <v>38</v>
      </c>
      <c r="BA46" s="299"/>
      <c r="BB46" s="299" t="s">
        <v>38</v>
      </c>
      <c r="BC46" s="299"/>
      <c r="BD46" s="298"/>
      <c r="BE46" s="297"/>
      <c r="BF46" s="299"/>
      <c r="BG46" s="299" t="s">
        <v>43</v>
      </c>
      <c r="BH46" s="298" t="s">
        <v>47</v>
      </c>
      <c r="BI46" t="s">
        <v>51</v>
      </c>
      <c r="BJ46" t="s">
        <v>368</v>
      </c>
    </row>
    <row r="47" spans="1:62" x14ac:dyDescent="0.15">
      <c r="A47" s="297">
        <v>80</v>
      </c>
      <c r="B47" s="328">
        <v>43290</v>
      </c>
      <c r="C47" s="296" t="s">
        <v>10</v>
      </c>
      <c r="D47" s="297" t="s">
        <v>344</v>
      </c>
      <c r="E47" s="295">
        <v>43284</v>
      </c>
      <c r="F47" s="298" t="s">
        <v>12</v>
      </c>
      <c r="G47" s="297" t="s">
        <v>13</v>
      </c>
      <c r="H47" s="297">
        <v>77</v>
      </c>
      <c r="I47" s="376" t="s">
        <v>402</v>
      </c>
      <c r="J47" s="297">
        <v>1645</v>
      </c>
      <c r="K47" s="297">
        <v>3000</v>
      </c>
      <c r="L47" s="297">
        <v>3000</v>
      </c>
      <c r="M47" s="297">
        <v>3000</v>
      </c>
      <c r="N47" s="297"/>
      <c r="O47" s="297">
        <v>2.83</v>
      </c>
      <c r="P47" s="297">
        <v>2.7</v>
      </c>
      <c r="Q47" s="329">
        <v>0</v>
      </c>
      <c r="R47" s="329">
        <v>0</v>
      </c>
      <c r="S47" s="297">
        <v>1.83</v>
      </c>
      <c r="T47" s="297"/>
      <c r="U47" s="297">
        <v>2.83</v>
      </c>
      <c r="V47" s="297">
        <v>2.7</v>
      </c>
      <c r="W47" s="329">
        <v>0</v>
      </c>
      <c r="X47" s="329">
        <v>0</v>
      </c>
      <c r="Y47" s="297">
        <v>1.83</v>
      </c>
      <c r="Z47" s="297"/>
      <c r="AA47" s="297"/>
      <c r="AB47" s="297"/>
      <c r="AC47" s="297"/>
      <c r="AD47" s="297"/>
      <c r="AE47" s="297"/>
      <c r="AF47" s="297"/>
      <c r="AG47" s="299" t="s">
        <v>405</v>
      </c>
      <c r="AH47" s="299"/>
      <c r="AI47" s="299">
        <v>2</v>
      </c>
      <c r="AJ47" s="299">
        <v>4</v>
      </c>
      <c r="AK47" s="388">
        <v>0.33329999999999999</v>
      </c>
      <c r="AL47" s="388">
        <v>0.66659999999999997</v>
      </c>
      <c r="AM47" s="299">
        <v>0</v>
      </c>
      <c r="AN47" s="299">
        <v>0</v>
      </c>
      <c r="AO47" s="299">
        <v>0</v>
      </c>
      <c r="AP47" s="299">
        <v>26</v>
      </c>
      <c r="AQ47" s="299">
        <v>0</v>
      </c>
      <c r="AR47" s="299">
        <v>0</v>
      </c>
      <c r="AS47" s="299">
        <v>0</v>
      </c>
      <c r="AT47" s="299">
        <v>0</v>
      </c>
      <c r="AU47" s="299">
        <v>0</v>
      </c>
      <c r="AV47" s="299">
        <v>0</v>
      </c>
      <c r="AW47" s="299">
        <v>0</v>
      </c>
      <c r="AX47" s="299">
        <v>0</v>
      </c>
      <c r="AY47" s="299"/>
      <c r="AZ47" s="299" t="s">
        <v>38</v>
      </c>
      <c r="BA47" s="299">
        <v>12</v>
      </c>
      <c r="BB47" s="299" t="s">
        <v>38</v>
      </c>
      <c r="BC47" s="299"/>
      <c r="BD47" s="378" t="s">
        <v>39</v>
      </c>
      <c r="BE47" s="297" t="s">
        <v>40</v>
      </c>
      <c r="BF47" s="299">
        <v>25</v>
      </c>
      <c r="BG47" s="299" t="s">
        <v>41</v>
      </c>
      <c r="BH47" s="298"/>
      <c r="BI47" s="366" t="s">
        <v>430</v>
      </c>
      <c r="BJ47" s="366" t="s">
        <v>408</v>
      </c>
    </row>
    <row r="48" spans="1:62" x14ac:dyDescent="0.15">
      <c r="A48" s="297">
        <v>1164</v>
      </c>
      <c r="B48" s="328">
        <v>43300</v>
      </c>
      <c r="C48" s="296" t="s">
        <v>10</v>
      </c>
      <c r="D48" s="297" t="s">
        <v>344</v>
      </c>
      <c r="E48" s="309">
        <v>43293</v>
      </c>
      <c r="F48" s="298" t="s">
        <v>14</v>
      </c>
      <c r="G48" s="297" t="s">
        <v>15</v>
      </c>
      <c r="H48" s="297">
        <v>70.209999999999994</v>
      </c>
      <c r="I48" s="376" t="s">
        <v>402</v>
      </c>
      <c r="J48" s="297">
        <v>1645</v>
      </c>
      <c r="K48" s="297">
        <v>3000</v>
      </c>
      <c r="L48" s="297">
        <v>3000</v>
      </c>
      <c r="M48" s="297">
        <v>3000</v>
      </c>
      <c r="N48" s="297"/>
      <c r="O48" s="297">
        <v>2.4700000000000002</v>
      </c>
      <c r="P48" s="297">
        <v>2.4700000000000002</v>
      </c>
      <c r="Q48" s="329">
        <v>0</v>
      </c>
      <c r="R48" s="329">
        <v>0</v>
      </c>
      <c r="S48" s="297">
        <v>1.94</v>
      </c>
      <c r="T48" s="297"/>
      <c r="U48" s="297">
        <v>2.4700000000000002</v>
      </c>
      <c r="V48" s="297">
        <v>2.4700000000000002</v>
      </c>
      <c r="W48" s="329">
        <v>0</v>
      </c>
      <c r="X48" s="329">
        <v>0</v>
      </c>
      <c r="Y48" s="297">
        <v>1.94</v>
      </c>
      <c r="Z48" s="297"/>
      <c r="AA48" s="297"/>
      <c r="AB48" s="297"/>
      <c r="AC48" s="297"/>
      <c r="AD48" s="297"/>
      <c r="AE48" s="297"/>
      <c r="AF48" s="297"/>
      <c r="AG48" s="299" t="s">
        <v>405</v>
      </c>
      <c r="AH48" s="299"/>
      <c r="AI48" s="299">
        <v>2</v>
      </c>
      <c r="AJ48" s="299">
        <v>4</v>
      </c>
      <c r="AK48" s="388">
        <v>0.33329999999999999</v>
      </c>
      <c r="AL48" s="388">
        <v>0.66659999999999997</v>
      </c>
      <c r="AM48" s="299">
        <v>0</v>
      </c>
      <c r="AN48" s="299">
        <v>0</v>
      </c>
      <c r="AO48" s="299">
        <v>0</v>
      </c>
      <c r="AP48" s="299">
        <v>25</v>
      </c>
      <c r="AQ48" s="299">
        <v>0</v>
      </c>
      <c r="AR48" s="299">
        <v>0</v>
      </c>
      <c r="AS48" s="299">
        <v>0</v>
      </c>
      <c r="AT48" s="299">
        <v>0</v>
      </c>
      <c r="AU48" s="299">
        <v>0</v>
      </c>
      <c r="AV48" s="299">
        <v>0</v>
      </c>
      <c r="AW48" s="299">
        <v>0</v>
      </c>
      <c r="AX48" s="299">
        <v>0</v>
      </c>
      <c r="AY48" s="297"/>
      <c r="AZ48" s="299" t="s">
        <v>38</v>
      </c>
      <c r="BA48" s="299">
        <v>24</v>
      </c>
      <c r="BB48" s="299" t="s">
        <v>38</v>
      </c>
      <c r="BC48" s="299"/>
      <c r="BD48" s="298"/>
      <c r="BE48" s="297"/>
      <c r="BF48" s="299"/>
      <c r="BG48" s="299" t="s">
        <v>411</v>
      </c>
      <c r="BH48" s="298"/>
      <c r="BI48" t="s">
        <v>412</v>
      </c>
      <c r="BJ48" t="s">
        <v>368</v>
      </c>
    </row>
    <row r="49" spans="1:62" x14ac:dyDescent="0.15">
      <c r="A49" s="297">
        <v>1443</v>
      </c>
      <c r="B49" s="328">
        <v>43292</v>
      </c>
      <c r="C49" s="296" t="s">
        <v>10</v>
      </c>
      <c r="D49" s="297" t="s">
        <v>344</v>
      </c>
      <c r="E49" s="295">
        <v>43160</v>
      </c>
      <c r="F49" s="298" t="s">
        <v>16</v>
      </c>
      <c r="G49" s="379" t="s">
        <v>17</v>
      </c>
      <c r="H49" s="297">
        <v>80.2</v>
      </c>
      <c r="I49" s="376" t="s">
        <v>402</v>
      </c>
      <c r="J49" s="297">
        <v>1645</v>
      </c>
      <c r="K49" s="297">
        <v>3000</v>
      </c>
      <c r="L49" s="297">
        <v>3000</v>
      </c>
      <c r="M49" s="297">
        <v>3000</v>
      </c>
      <c r="N49" s="297"/>
      <c r="O49" s="297">
        <v>3.75</v>
      </c>
      <c r="P49" s="297">
        <v>3.2</v>
      </c>
      <c r="Q49" s="329">
        <v>0</v>
      </c>
      <c r="R49" s="329">
        <v>0</v>
      </c>
      <c r="S49" s="297">
        <v>2.75</v>
      </c>
      <c r="T49" s="297"/>
      <c r="U49" s="297">
        <v>3.75</v>
      </c>
      <c r="V49" s="297">
        <v>3.2</v>
      </c>
      <c r="W49" s="329">
        <v>0</v>
      </c>
      <c r="X49" s="329">
        <v>0</v>
      </c>
      <c r="Y49" s="297">
        <v>2.75</v>
      </c>
      <c r="Z49" s="297"/>
      <c r="AA49" s="297"/>
      <c r="AB49" s="297"/>
      <c r="AC49" s="297"/>
      <c r="AD49" s="297"/>
      <c r="AE49" s="297"/>
      <c r="AF49" s="297"/>
      <c r="AG49" s="299" t="s">
        <v>405</v>
      </c>
      <c r="AH49" s="299"/>
      <c r="AI49" s="299">
        <v>2</v>
      </c>
      <c r="AJ49" s="299">
        <v>4</v>
      </c>
      <c r="AK49" s="388">
        <v>0.33329999999999999</v>
      </c>
      <c r="AL49" s="388">
        <v>0.66659999999999997</v>
      </c>
      <c r="AM49" s="299">
        <v>0</v>
      </c>
      <c r="AN49" s="299">
        <v>0</v>
      </c>
      <c r="AO49" s="299">
        <v>26</v>
      </c>
      <c r="AP49" s="299">
        <v>0</v>
      </c>
      <c r="AQ49" s="299">
        <v>0</v>
      </c>
      <c r="AR49" s="299">
        <v>0</v>
      </c>
      <c r="AS49" s="299">
        <v>0</v>
      </c>
      <c r="AT49" s="299">
        <v>0</v>
      </c>
      <c r="AU49" s="299">
        <v>0</v>
      </c>
      <c r="AV49" s="299">
        <v>0</v>
      </c>
      <c r="AW49" s="299">
        <v>0</v>
      </c>
      <c r="AX49" s="299">
        <v>0</v>
      </c>
      <c r="AY49" s="297"/>
      <c r="AZ49" s="299" t="s">
        <v>38</v>
      </c>
      <c r="BA49" s="299"/>
      <c r="BB49" s="299" t="s">
        <v>38</v>
      </c>
      <c r="BC49" s="299"/>
      <c r="BD49" s="298"/>
      <c r="BE49" s="297"/>
      <c r="BF49" s="299"/>
      <c r="BG49" s="299" t="s">
        <v>41</v>
      </c>
      <c r="BH49" s="298" t="s">
        <v>42</v>
      </c>
      <c r="BI49" s="366" t="s">
        <v>430</v>
      </c>
      <c r="BJ49" t="s">
        <v>368</v>
      </c>
    </row>
    <row r="50" spans="1:62" x14ac:dyDescent="0.15">
      <c r="A50" s="297">
        <v>1139</v>
      </c>
      <c r="B50" s="328">
        <v>43292</v>
      </c>
      <c r="C50" s="296" t="s">
        <v>10</v>
      </c>
      <c r="D50" s="297" t="s">
        <v>344</v>
      </c>
      <c r="E50" s="295">
        <v>43132</v>
      </c>
      <c r="F50" s="298" t="s">
        <v>18</v>
      </c>
      <c r="G50" s="297" t="s">
        <v>418</v>
      </c>
      <c r="H50" s="297">
        <v>75</v>
      </c>
      <c r="I50" s="376" t="s">
        <v>402</v>
      </c>
      <c r="J50" s="297">
        <v>1645</v>
      </c>
      <c r="K50" s="297">
        <v>3000</v>
      </c>
      <c r="L50" s="297">
        <v>3000</v>
      </c>
      <c r="M50" s="297">
        <v>3000</v>
      </c>
      <c r="N50" s="297"/>
      <c r="O50" s="297">
        <v>2.95</v>
      </c>
      <c r="P50" s="297">
        <v>2.5</v>
      </c>
      <c r="Q50" s="329">
        <v>0</v>
      </c>
      <c r="R50" s="329">
        <v>0</v>
      </c>
      <c r="S50" s="297">
        <v>2.1</v>
      </c>
      <c r="T50" s="297"/>
      <c r="U50" s="297">
        <v>2.95</v>
      </c>
      <c r="V50" s="297">
        <v>2.5</v>
      </c>
      <c r="W50" s="329">
        <v>0</v>
      </c>
      <c r="X50" s="329">
        <v>0</v>
      </c>
      <c r="Y50" s="297">
        <v>2.1</v>
      </c>
      <c r="Z50" s="297"/>
      <c r="AA50" s="297"/>
      <c r="AB50" s="297"/>
      <c r="AC50" s="297"/>
      <c r="AD50" s="297"/>
      <c r="AE50" s="297"/>
      <c r="AF50" s="297"/>
      <c r="AG50" s="299" t="s">
        <v>405</v>
      </c>
      <c r="AH50" s="299"/>
      <c r="AI50" s="299">
        <v>2</v>
      </c>
      <c r="AJ50" s="299">
        <v>4</v>
      </c>
      <c r="AK50" s="388">
        <v>0.33329999999999999</v>
      </c>
      <c r="AL50" s="388">
        <v>0.66659999999999997</v>
      </c>
      <c r="AM50" s="299">
        <v>0</v>
      </c>
      <c r="AN50" s="299">
        <v>0</v>
      </c>
      <c r="AO50" s="299">
        <v>0</v>
      </c>
      <c r="AP50" s="299">
        <v>16</v>
      </c>
      <c r="AQ50" s="299">
        <v>0</v>
      </c>
      <c r="AR50" s="299">
        <v>0</v>
      </c>
      <c r="AS50" s="299">
        <v>0</v>
      </c>
      <c r="AT50" s="299">
        <v>0</v>
      </c>
      <c r="AU50" s="299">
        <v>0</v>
      </c>
      <c r="AV50" s="299">
        <v>0</v>
      </c>
      <c r="AW50" s="299">
        <v>0</v>
      </c>
      <c r="AX50" s="299">
        <v>0</v>
      </c>
      <c r="AY50" s="299">
        <v>12</v>
      </c>
      <c r="AZ50" s="299" t="s">
        <v>38</v>
      </c>
      <c r="BA50" s="299"/>
      <c r="BB50" s="299" t="s">
        <v>38</v>
      </c>
      <c r="BC50" s="299"/>
      <c r="BD50" s="298"/>
      <c r="BE50" s="297"/>
      <c r="BF50" s="299"/>
      <c r="BG50" s="299" t="s">
        <v>41</v>
      </c>
      <c r="BH50" s="298"/>
      <c r="BI50" s="366" t="s">
        <v>430</v>
      </c>
      <c r="BJ50" s="366" t="s">
        <v>368</v>
      </c>
    </row>
    <row r="51" spans="1:62" x14ac:dyDescent="0.15">
      <c r="A51" s="297">
        <v>881</v>
      </c>
      <c r="B51" s="328">
        <v>43292</v>
      </c>
      <c r="C51" s="296" t="s">
        <v>10</v>
      </c>
      <c r="D51" s="297" t="s">
        <v>344</v>
      </c>
      <c r="E51" s="295">
        <v>43154</v>
      </c>
      <c r="F51" s="298" t="s">
        <v>19</v>
      </c>
      <c r="G51" s="297" t="s">
        <v>20</v>
      </c>
      <c r="H51" s="297">
        <v>81.349999999999994</v>
      </c>
      <c r="I51" s="376" t="s">
        <v>402</v>
      </c>
      <c r="J51" s="331">
        <v>3200</v>
      </c>
      <c r="K51" s="331">
        <v>3200</v>
      </c>
      <c r="L51" s="331">
        <v>3200</v>
      </c>
      <c r="M51" s="331">
        <v>3200</v>
      </c>
      <c r="N51" s="297"/>
      <c r="O51" s="297">
        <v>2.4900000000000002</v>
      </c>
      <c r="P51" s="329">
        <v>0</v>
      </c>
      <c r="Q51" s="329">
        <v>0</v>
      </c>
      <c r="R51" s="329">
        <v>0</v>
      </c>
      <c r="S51" s="297">
        <v>1.99</v>
      </c>
      <c r="T51" s="297"/>
      <c r="U51" s="297">
        <v>2.4900000000000002</v>
      </c>
      <c r="V51" s="329">
        <v>0</v>
      </c>
      <c r="W51" s="297">
        <v>0</v>
      </c>
      <c r="X51" s="297">
        <v>0</v>
      </c>
      <c r="Y51" s="297">
        <v>1.99</v>
      </c>
      <c r="Z51" s="297"/>
      <c r="AA51" s="297"/>
      <c r="AB51" s="297"/>
      <c r="AC51" s="297"/>
      <c r="AD51" s="297"/>
      <c r="AE51" s="297"/>
      <c r="AF51" s="297"/>
      <c r="AG51" s="299" t="s">
        <v>403</v>
      </c>
      <c r="AH51" s="299" t="s">
        <v>404</v>
      </c>
      <c r="AI51" s="299">
        <v>2</v>
      </c>
      <c r="AJ51" s="299">
        <v>4</v>
      </c>
      <c r="AK51" s="388">
        <v>0.33329999999999999</v>
      </c>
      <c r="AL51" s="388">
        <v>0.66659999999999997</v>
      </c>
      <c r="AM51" s="299">
        <v>0</v>
      </c>
      <c r="AN51" s="299">
        <v>0</v>
      </c>
      <c r="AO51" s="299">
        <v>0</v>
      </c>
      <c r="AP51" s="299">
        <v>0</v>
      </c>
      <c r="AQ51" s="299">
        <v>0</v>
      </c>
      <c r="AR51" s="299">
        <v>25</v>
      </c>
      <c r="AS51" s="299">
        <v>0</v>
      </c>
      <c r="AT51" s="299">
        <v>0</v>
      </c>
      <c r="AU51" s="299">
        <v>0</v>
      </c>
      <c r="AV51" s="299">
        <v>0</v>
      </c>
      <c r="AW51" s="299">
        <v>0</v>
      </c>
      <c r="AX51" s="299">
        <v>0</v>
      </c>
      <c r="AY51" s="297"/>
      <c r="AZ51" s="299" t="s">
        <v>38</v>
      </c>
      <c r="BA51" s="299"/>
      <c r="BB51" s="299" t="s">
        <v>38</v>
      </c>
      <c r="BC51" s="299"/>
      <c r="BD51" s="298"/>
      <c r="BE51" s="297"/>
      <c r="BF51" s="299"/>
      <c r="BG51" s="299" t="s">
        <v>43</v>
      </c>
      <c r="BH51" s="298"/>
      <c r="BI51" s="366" t="s">
        <v>430</v>
      </c>
      <c r="BJ51" s="366" t="s">
        <v>368</v>
      </c>
    </row>
    <row r="52" spans="1:62" x14ac:dyDescent="0.15">
      <c r="A52" s="297">
        <v>748</v>
      </c>
      <c r="B52" s="328">
        <v>43291</v>
      </c>
      <c r="C52" s="296" t="s">
        <v>10</v>
      </c>
      <c r="D52" s="297" t="s">
        <v>344</v>
      </c>
      <c r="E52" s="295">
        <v>43223</v>
      </c>
      <c r="F52" s="298" t="s">
        <v>21</v>
      </c>
      <c r="G52" s="380" t="s">
        <v>1097</v>
      </c>
      <c r="H52" s="297">
        <v>78.7</v>
      </c>
      <c r="I52" s="376" t="s">
        <v>402</v>
      </c>
      <c r="J52" s="297">
        <v>3000</v>
      </c>
      <c r="K52" s="297">
        <v>3000</v>
      </c>
      <c r="L52" s="297">
        <v>3000</v>
      </c>
      <c r="M52" s="297">
        <v>3000</v>
      </c>
      <c r="N52" s="297"/>
      <c r="O52" s="297">
        <v>2.83</v>
      </c>
      <c r="P52" s="329">
        <v>0</v>
      </c>
      <c r="Q52" s="329">
        <v>0</v>
      </c>
      <c r="R52" s="329">
        <v>0</v>
      </c>
      <c r="S52" s="297">
        <v>1.91</v>
      </c>
      <c r="T52" s="297"/>
      <c r="U52" s="297">
        <v>2.83</v>
      </c>
      <c r="V52" s="329">
        <v>0</v>
      </c>
      <c r="W52" s="329">
        <v>0</v>
      </c>
      <c r="X52" s="329">
        <v>0</v>
      </c>
      <c r="Y52" s="297">
        <v>1.91</v>
      </c>
      <c r="Z52" s="297"/>
      <c r="AA52" s="297"/>
      <c r="AB52" s="297"/>
      <c r="AC52" s="297"/>
      <c r="AD52" s="297"/>
      <c r="AE52" s="297"/>
      <c r="AF52" s="297"/>
      <c r="AG52" s="299" t="s">
        <v>405</v>
      </c>
      <c r="AH52" s="297"/>
      <c r="AI52" s="299">
        <v>2</v>
      </c>
      <c r="AJ52" s="299">
        <v>4</v>
      </c>
      <c r="AK52" s="388">
        <v>0.33329999999999999</v>
      </c>
      <c r="AL52" s="388">
        <v>0.66659999999999997</v>
      </c>
      <c r="AM52" s="299">
        <v>0</v>
      </c>
      <c r="AN52" s="299">
        <v>34</v>
      </c>
      <c r="AO52" s="299">
        <v>0</v>
      </c>
      <c r="AP52" s="299">
        <v>0</v>
      </c>
      <c r="AQ52" s="299">
        <v>0</v>
      </c>
      <c r="AR52" s="299">
        <v>0</v>
      </c>
      <c r="AS52" s="299">
        <v>0</v>
      </c>
      <c r="AT52" s="299">
        <v>0</v>
      </c>
      <c r="AU52" s="299">
        <v>0</v>
      </c>
      <c r="AV52" s="299">
        <v>0</v>
      </c>
      <c r="AW52" s="299">
        <v>0</v>
      </c>
      <c r="AX52" s="299">
        <v>0</v>
      </c>
      <c r="AY52" s="297"/>
      <c r="AZ52" s="299" t="s">
        <v>38</v>
      </c>
      <c r="BA52" s="299">
        <v>12</v>
      </c>
      <c r="BB52" s="299" t="s">
        <v>38</v>
      </c>
      <c r="BC52" s="299"/>
      <c r="BD52" s="298" t="s">
        <v>218</v>
      </c>
      <c r="BE52" s="297" t="s">
        <v>40</v>
      </c>
      <c r="BF52" s="299">
        <v>50</v>
      </c>
      <c r="BG52" s="299" t="s">
        <v>41</v>
      </c>
      <c r="BH52" s="298"/>
      <c r="BI52" s="366" t="s">
        <v>430</v>
      </c>
      <c r="BJ52" s="366" t="s">
        <v>368</v>
      </c>
    </row>
    <row r="53" spans="1:62" x14ac:dyDescent="0.15">
      <c r="A53" s="297">
        <v>175</v>
      </c>
      <c r="B53" s="328">
        <v>43293</v>
      </c>
      <c r="C53" s="296" t="s">
        <v>10</v>
      </c>
      <c r="D53" s="297" t="s">
        <v>344</v>
      </c>
      <c r="E53" s="295">
        <v>43208</v>
      </c>
      <c r="F53" s="298" t="s">
        <v>22</v>
      </c>
      <c r="G53" s="297" t="s">
        <v>23</v>
      </c>
      <c r="H53" s="297">
        <v>70</v>
      </c>
      <c r="I53" s="376" t="s">
        <v>402</v>
      </c>
      <c r="J53" s="297">
        <v>1645</v>
      </c>
      <c r="K53" s="297">
        <v>3000</v>
      </c>
      <c r="L53" s="297">
        <v>3000</v>
      </c>
      <c r="M53" s="297">
        <v>3000</v>
      </c>
      <c r="N53" s="297"/>
      <c r="O53" s="297">
        <v>2.6</v>
      </c>
      <c r="P53" s="297">
        <v>2.35</v>
      </c>
      <c r="Q53" s="297">
        <v>0</v>
      </c>
      <c r="R53" s="297">
        <v>0</v>
      </c>
      <c r="S53" s="297">
        <v>1.95</v>
      </c>
      <c r="T53" s="297"/>
      <c r="U53" s="297">
        <v>2.6</v>
      </c>
      <c r="V53" s="297">
        <v>2.35</v>
      </c>
      <c r="W53" s="297">
        <v>0</v>
      </c>
      <c r="X53" s="297">
        <v>0</v>
      </c>
      <c r="Y53" s="297">
        <v>1.95</v>
      </c>
      <c r="Z53" s="297"/>
      <c r="AA53" s="297"/>
      <c r="AB53" s="297"/>
      <c r="AC53" s="297"/>
      <c r="AD53" s="297"/>
      <c r="AE53" s="297"/>
      <c r="AF53" s="297"/>
      <c r="AG53" s="299" t="s">
        <v>405</v>
      </c>
      <c r="AH53" s="299"/>
      <c r="AI53" s="299">
        <v>2</v>
      </c>
      <c r="AJ53" s="299">
        <v>4</v>
      </c>
      <c r="AK53" s="388">
        <v>0.33329999999999999</v>
      </c>
      <c r="AL53" s="388">
        <v>0.66659999999999997</v>
      </c>
      <c r="AM53" s="299">
        <v>0</v>
      </c>
      <c r="AN53" s="299">
        <v>0</v>
      </c>
      <c r="AO53" s="299">
        <v>15</v>
      </c>
      <c r="AP53" s="299">
        <v>0</v>
      </c>
      <c r="AQ53" s="299">
        <v>0</v>
      </c>
      <c r="AR53" s="299">
        <v>0</v>
      </c>
      <c r="AS53" s="299">
        <v>0</v>
      </c>
      <c r="AT53" s="299">
        <v>0</v>
      </c>
      <c r="AU53" s="299">
        <v>0</v>
      </c>
      <c r="AV53" s="299">
        <v>0</v>
      </c>
      <c r="AW53" s="299">
        <v>0</v>
      </c>
      <c r="AX53" s="299">
        <v>0</v>
      </c>
      <c r="AY53" s="297"/>
      <c r="AZ53" s="299" t="s">
        <v>38</v>
      </c>
      <c r="BA53" s="299"/>
      <c r="BB53" s="299" t="s">
        <v>38</v>
      </c>
      <c r="BC53" s="299"/>
      <c r="BD53" s="298" t="s">
        <v>429</v>
      </c>
      <c r="BE53" s="297"/>
      <c r="BF53" s="299"/>
      <c r="BG53" s="299" t="s">
        <v>41</v>
      </c>
      <c r="BH53" s="298"/>
      <c r="BI53" t="s">
        <v>430</v>
      </c>
      <c r="BJ53" t="s">
        <v>368</v>
      </c>
    </row>
    <row r="54" spans="1:62" x14ac:dyDescent="0.15">
      <c r="A54" s="297">
        <v>316</v>
      </c>
      <c r="B54" s="328">
        <v>43293</v>
      </c>
      <c r="C54" s="296" t="s">
        <v>10</v>
      </c>
      <c r="D54" s="297" t="s">
        <v>344</v>
      </c>
      <c r="E54" s="295">
        <v>43194</v>
      </c>
      <c r="F54" s="297" t="s">
        <v>24</v>
      </c>
      <c r="G54" s="297" t="s">
        <v>20</v>
      </c>
      <c r="H54" s="297">
        <v>72.42</v>
      </c>
      <c r="I54" s="376" t="s">
        <v>402</v>
      </c>
      <c r="J54" s="297">
        <v>1645</v>
      </c>
      <c r="K54" s="297">
        <v>3000</v>
      </c>
      <c r="L54" s="297">
        <v>3000</v>
      </c>
      <c r="M54" s="297">
        <v>3000</v>
      </c>
      <c r="N54" s="297"/>
      <c r="O54" s="297">
        <v>2.1219999999999999</v>
      </c>
      <c r="P54" s="297">
        <v>1.8029999999999999</v>
      </c>
      <c r="Q54" s="297">
        <v>0</v>
      </c>
      <c r="R54" s="297">
        <v>0</v>
      </c>
      <c r="S54" s="297">
        <v>1.5660000000000001</v>
      </c>
      <c r="T54" s="297"/>
      <c r="U54" s="297">
        <v>1.9890000000000001</v>
      </c>
      <c r="V54" s="297">
        <v>1.679</v>
      </c>
      <c r="W54" s="297">
        <v>0</v>
      </c>
      <c r="X54" s="297">
        <v>0</v>
      </c>
      <c r="Y54" s="297">
        <v>1.4550000000000001</v>
      </c>
      <c r="Z54" s="297"/>
      <c r="AA54" s="297"/>
      <c r="AB54" s="297"/>
      <c r="AC54" s="297"/>
      <c r="AD54" s="297"/>
      <c r="AE54" s="297"/>
      <c r="AF54" s="297"/>
      <c r="AG54" s="299" t="s">
        <v>403</v>
      </c>
      <c r="AH54" s="299" t="s">
        <v>404</v>
      </c>
      <c r="AI54" s="299">
        <v>2</v>
      </c>
      <c r="AJ54" s="299">
        <v>4</v>
      </c>
      <c r="AK54" s="388">
        <v>0.33329999999999999</v>
      </c>
      <c r="AL54" s="388">
        <v>0.66659999999999997</v>
      </c>
      <c r="AM54" s="299">
        <v>0</v>
      </c>
      <c r="AN54" s="299">
        <v>0</v>
      </c>
      <c r="AO54" s="299">
        <v>0</v>
      </c>
      <c r="AP54" s="299">
        <v>0</v>
      </c>
      <c r="AQ54" s="299">
        <v>0</v>
      </c>
      <c r="AR54" s="299">
        <v>0</v>
      </c>
      <c r="AS54" s="299">
        <v>0</v>
      </c>
      <c r="AT54" s="299">
        <v>0</v>
      </c>
      <c r="AU54" s="299">
        <v>0</v>
      </c>
      <c r="AV54" s="299">
        <v>0</v>
      </c>
      <c r="AW54" s="299">
        <v>0</v>
      </c>
      <c r="AX54" s="299">
        <v>0</v>
      </c>
      <c r="AY54" s="297"/>
      <c r="AZ54" s="299" t="s">
        <v>38</v>
      </c>
      <c r="BA54" s="299"/>
      <c r="BB54" s="299" t="s">
        <v>38</v>
      </c>
      <c r="BC54" s="299"/>
      <c r="BD54" s="298" t="s">
        <v>44</v>
      </c>
      <c r="BE54" s="297" t="s">
        <v>40</v>
      </c>
      <c r="BF54" s="299">
        <v>50</v>
      </c>
      <c r="BG54" s="299" t="s">
        <v>43</v>
      </c>
      <c r="BH54" s="298"/>
      <c r="BI54" t="s">
        <v>430</v>
      </c>
      <c r="BJ54" s="366" t="s">
        <v>368</v>
      </c>
    </row>
    <row r="55" spans="1:62" x14ac:dyDescent="0.15">
      <c r="A55" s="297">
        <v>571</v>
      </c>
      <c r="B55" s="328">
        <v>43291</v>
      </c>
      <c r="C55" s="296" t="s">
        <v>10</v>
      </c>
      <c r="D55" s="297" t="s">
        <v>344</v>
      </c>
      <c r="E55" s="295">
        <v>43182</v>
      </c>
      <c r="F55" s="298" t="s">
        <v>25</v>
      </c>
      <c r="G55" s="297" t="s">
        <v>26</v>
      </c>
      <c r="H55" s="297">
        <v>69</v>
      </c>
      <c r="I55" s="376" t="s">
        <v>402</v>
      </c>
      <c r="J55" s="331">
        <v>4000</v>
      </c>
      <c r="K55" s="331">
        <v>12000</v>
      </c>
      <c r="L55" s="331">
        <v>12000</v>
      </c>
      <c r="M55" s="331">
        <v>12000</v>
      </c>
      <c r="N55" s="297"/>
      <c r="O55" s="297">
        <v>2.2000000000000002</v>
      </c>
      <c r="P55" s="297">
        <v>2.1</v>
      </c>
      <c r="Q55" s="329">
        <v>0</v>
      </c>
      <c r="R55" s="329">
        <v>0</v>
      </c>
      <c r="S55" s="297">
        <v>1.8</v>
      </c>
      <c r="T55" s="297"/>
      <c r="U55" s="297">
        <v>2.2000000000000002</v>
      </c>
      <c r="V55" s="297">
        <v>2.1</v>
      </c>
      <c r="W55" s="329">
        <v>0</v>
      </c>
      <c r="X55" s="329">
        <v>0</v>
      </c>
      <c r="Y55" s="297">
        <v>1.8</v>
      </c>
      <c r="Z55" s="297"/>
      <c r="AA55" s="297"/>
      <c r="AB55" s="297"/>
      <c r="AC55" s="297"/>
      <c r="AD55" s="297"/>
      <c r="AE55" s="297"/>
      <c r="AF55" s="297"/>
      <c r="AG55" s="299" t="s">
        <v>405</v>
      </c>
      <c r="AH55" s="299"/>
      <c r="AI55" s="299">
        <v>2</v>
      </c>
      <c r="AJ55" s="299">
        <v>4</v>
      </c>
      <c r="AK55" s="388">
        <v>0.33329999999999999</v>
      </c>
      <c r="AL55" s="388">
        <v>0.66659999999999997</v>
      </c>
      <c r="AM55" s="299">
        <v>0</v>
      </c>
      <c r="AN55" s="299">
        <v>0</v>
      </c>
      <c r="AO55" s="299">
        <v>0</v>
      </c>
      <c r="AP55" s="299">
        <v>13</v>
      </c>
      <c r="AQ55" s="299">
        <v>0</v>
      </c>
      <c r="AR55" s="299">
        <v>0</v>
      </c>
      <c r="AS55" s="299">
        <v>0</v>
      </c>
      <c r="AT55" s="299">
        <v>0</v>
      </c>
      <c r="AU55" s="299">
        <v>0</v>
      </c>
      <c r="AV55" s="299">
        <v>0</v>
      </c>
      <c r="AW55" s="299">
        <v>0</v>
      </c>
      <c r="AX55" s="299">
        <v>0</v>
      </c>
      <c r="AY55" s="297"/>
      <c r="AZ55" s="299" t="s">
        <v>38</v>
      </c>
      <c r="BA55" s="299">
        <v>12</v>
      </c>
      <c r="BB55" s="299" t="s">
        <v>38</v>
      </c>
      <c r="BC55" s="299"/>
      <c r="BD55" s="298"/>
      <c r="BE55" s="298"/>
      <c r="BF55" s="299"/>
      <c r="BG55" s="299" t="s">
        <v>41</v>
      </c>
      <c r="BH55" s="298"/>
      <c r="BI55" s="366" t="s">
        <v>430</v>
      </c>
      <c r="BJ55" t="s">
        <v>368</v>
      </c>
    </row>
    <row r="56" spans="1:62" x14ac:dyDescent="0.15">
      <c r="A56" s="297">
        <v>1429</v>
      </c>
      <c r="B56" s="328">
        <v>43292</v>
      </c>
      <c r="C56" s="296" t="s">
        <v>10</v>
      </c>
      <c r="D56" s="297" t="s">
        <v>344</v>
      </c>
      <c r="E56" s="309">
        <v>43145</v>
      </c>
      <c r="F56" s="298" t="s">
        <v>27</v>
      </c>
      <c r="G56" s="379" t="s">
        <v>28</v>
      </c>
      <c r="H56" s="297">
        <v>70</v>
      </c>
      <c r="I56" s="376" t="s">
        <v>402</v>
      </c>
      <c r="J56" s="331">
        <v>3000</v>
      </c>
      <c r="K56" s="331">
        <v>3000</v>
      </c>
      <c r="L56" s="331">
        <v>3000</v>
      </c>
      <c r="M56" s="331">
        <v>3000</v>
      </c>
      <c r="N56" s="297"/>
      <c r="O56" s="297">
        <v>2.25</v>
      </c>
      <c r="P56" s="297">
        <v>0</v>
      </c>
      <c r="Q56" s="297">
        <v>0</v>
      </c>
      <c r="R56" s="297">
        <v>0</v>
      </c>
      <c r="S56" s="297">
        <v>1.75</v>
      </c>
      <c r="T56" s="297"/>
      <c r="U56" s="297">
        <v>2.25</v>
      </c>
      <c r="V56" s="297">
        <v>0</v>
      </c>
      <c r="W56" s="297">
        <v>0</v>
      </c>
      <c r="X56" s="297">
        <v>0</v>
      </c>
      <c r="Y56" s="297">
        <v>1.75</v>
      </c>
      <c r="Z56" s="297"/>
      <c r="AA56" s="297"/>
      <c r="AB56" s="297"/>
      <c r="AC56" s="297"/>
      <c r="AD56" s="297"/>
      <c r="AE56" s="297"/>
      <c r="AF56" s="297"/>
      <c r="AG56" s="299" t="s">
        <v>405</v>
      </c>
      <c r="AH56" s="299"/>
      <c r="AI56" s="299">
        <v>2</v>
      </c>
      <c r="AJ56" s="299">
        <v>4</v>
      </c>
      <c r="AK56" s="388">
        <v>0.33329999999999999</v>
      </c>
      <c r="AL56" s="388">
        <v>0.66659999999999997</v>
      </c>
      <c r="AM56" s="299">
        <v>0</v>
      </c>
      <c r="AN56" s="299">
        <v>0</v>
      </c>
      <c r="AO56" s="299">
        <v>10</v>
      </c>
      <c r="AP56" s="299">
        <v>0</v>
      </c>
      <c r="AQ56" s="299">
        <v>0</v>
      </c>
      <c r="AR56" s="299">
        <v>0</v>
      </c>
      <c r="AS56" s="299">
        <v>0</v>
      </c>
      <c r="AT56" s="299">
        <v>0</v>
      </c>
      <c r="AU56" s="299">
        <v>0</v>
      </c>
      <c r="AV56" s="299">
        <v>0</v>
      </c>
      <c r="AW56" s="299">
        <v>0</v>
      </c>
      <c r="AX56" s="299">
        <v>0</v>
      </c>
      <c r="AY56" s="299"/>
      <c r="AZ56" s="299" t="s">
        <v>38</v>
      </c>
      <c r="BA56" s="299"/>
      <c r="BB56" s="299" t="s">
        <v>38</v>
      </c>
      <c r="BC56" s="299"/>
      <c r="BD56" s="298"/>
      <c r="BE56" s="297"/>
      <c r="BF56" s="299"/>
      <c r="BG56" s="299" t="s">
        <v>43</v>
      </c>
      <c r="BH56" s="298"/>
      <c r="BI56" s="366" t="s">
        <v>430</v>
      </c>
      <c r="BJ56" t="s">
        <v>45</v>
      </c>
    </row>
    <row r="57" spans="1:62" x14ac:dyDescent="0.15">
      <c r="A57" s="297">
        <v>790</v>
      </c>
      <c r="B57" s="328">
        <v>43293</v>
      </c>
      <c r="C57" s="296" t="s">
        <v>10</v>
      </c>
      <c r="D57" s="297" t="s">
        <v>344</v>
      </c>
      <c r="E57" s="309">
        <v>43194</v>
      </c>
      <c r="F57" s="298" t="s">
        <v>29</v>
      </c>
      <c r="G57" s="297" t="s">
        <v>30</v>
      </c>
      <c r="H57" s="339">
        <v>71.11</v>
      </c>
      <c r="I57" s="376" t="s">
        <v>402</v>
      </c>
      <c r="J57" s="297">
        <v>1645</v>
      </c>
      <c r="K57" s="297">
        <v>3000</v>
      </c>
      <c r="L57" s="297">
        <v>3000</v>
      </c>
      <c r="M57" s="297">
        <v>3000</v>
      </c>
      <c r="N57" s="297"/>
      <c r="O57" s="341">
        <v>3.11</v>
      </c>
      <c r="P57" s="332">
        <v>2.62</v>
      </c>
      <c r="Q57" s="341">
        <v>0</v>
      </c>
      <c r="R57" s="297">
        <v>0</v>
      </c>
      <c r="S57" s="341">
        <v>2.19</v>
      </c>
      <c r="T57" s="297"/>
      <c r="U57" s="341">
        <v>3.11</v>
      </c>
      <c r="V57" s="332">
        <v>2.62</v>
      </c>
      <c r="W57" s="341">
        <v>0</v>
      </c>
      <c r="X57" s="297">
        <v>0</v>
      </c>
      <c r="Y57" s="341">
        <v>2.19</v>
      </c>
      <c r="Z57" s="297"/>
      <c r="AA57" s="297"/>
      <c r="AB57" s="297"/>
      <c r="AC57" s="297"/>
      <c r="AD57" s="297"/>
      <c r="AE57" s="297"/>
      <c r="AF57" s="297"/>
      <c r="AG57" s="299" t="s">
        <v>405</v>
      </c>
      <c r="AH57" s="299"/>
      <c r="AI57" s="299">
        <v>2</v>
      </c>
      <c r="AJ57" s="299">
        <v>4</v>
      </c>
      <c r="AK57" s="388">
        <v>0.33329999999999999</v>
      </c>
      <c r="AL57" s="388">
        <v>0.66659999999999997</v>
      </c>
      <c r="AM57" s="299">
        <v>0</v>
      </c>
      <c r="AN57" s="299">
        <v>0</v>
      </c>
      <c r="AO57" s="299">
        <v>0</v>
      </c>
      <c r="AP57" s="299">
        <v>26</v>
      </c>
      <c r="AQ57" s="299">
        <v>0</v>
      </c>
      <c r="AR57" s="299">
        <v>0</v>
      </c>
      <c r="AS57" s="299">
        <v>0</v>
      </c>
      <c r="AT57" s="299">
        <v>0</v>
      </c>
      <c r="AU57" s="299">
        <v>0</v>
      </c>
      <c r="AV57" s="299">
        <v>0</v>
      </c>
      <c r="AW57" s="299">
        <v>0</v>
      </c>
      <c r="AX57" s="299">
        <v>0</v>
      </c>
      <c r="AY57" s="297"/>
      <c r="AZ57" s="299" t="s">
        <v>38</v>
      </c>
      <c r="BA57" s="299">
        <v>24</v>
      </c>
      <c r="BB57" s="299" t="s">
        <v>38</v>
      </c>
      <c r="BC57" s="299"/>
      <c r="BD57" s="378" t="s">
        <v>46</v>
      </c>
      <c r="BE57" s="297" t="s">
        <v>365</v>
      </c>
      <c r="BF57" s="299">
        <v>50</v>
      </c>
      <c r="BG57" s="299" t="s">
        <v>43</v>
      </c>
      <c r="BH57" s="298"/>
      <c r="BI57" t="s">
        <v>430</v>
      </c>
      <c r="BJ57" s="366" t="s">
        <v>368</v>
      </c>
    </row>
    <row r="58" spans="1:62" x14ac:dyDescent="0.15">
      <c r="A58" s="297">
        <v>1611</v>
      </c>
      <c r="B58" s="328">
        <v>43293</v>
      </c>
      <c r="C58" s="296" t="s">
        <v>10</v>
      </c>
      <c r="D58" s="297" t="s">
        <v>344</v>
      </c>
      <c r="E58" s="309">
        <v>43221</v>
      </c>
      <c r="F58" s="297" t="s">
        <v>31</v>
      </c>
      <c r="G58" s="297" t="s">
        <v>32</v>
      </c>
      <c r="H58" s="332">
        <v>70</v>
      </c>
      <c r="I58" s="376" t="s">
        <v>402</v>
      </c>
      <c r="J58" s="297">
        <v>1645</v>
      </c>
      <c r="K58" s="297">
        <v>3000</v>
      </c>
      <c r="L58" s="297">
        <v>3000</v>
      </c>
      <c r="M58" s="297">
        <v>3000</v>
      </c>
      <c r="N58" s="332"/>
      <c r="O58" s="332">
        <v>3.0659999999999998</v>
      </c>
      <c r="P58" s="332">
        <v>2.9279999999999999</v>
      </c>
      <c r="Q58" s="332">
        <v>0</v>
      </c>
      <c r="R58" s="332">
        <v>0</v>
      </c>
      <c r="S58" s="332">
        <v>1.98</v>
      </c>
      <c r="T58" s="332"/>
      <c r="U58" s="332">
        <v>3.0659999999999998</v>
      </c>
      <c r="V58" s="332">
        <v>2.9279999999999999</v>
      </c>
      <c r="W58" s="332">
        <v>0</v>
      </c>
      <c r="X58" s="332">
        <v>0</v>
      </c>
      <c r="Y58" s="332">
        <v>1.98</v>
      </c>
      <c r="Z58" s="332"/>
      <c r="AA58" s="332"/>
      <c r="AB58" s="332"/>
      <c r="AC58" s="332"/>
      <c r="AD58" s="332"/>
      <c r="AE58" s="332"/>
      <c r="AF58" s="332"/>
      <c r="AG58" s="333" t="s">
        <v>405</v>
      </c>
      <c r="AH58" s="333"/>
      <c r="AI58" s="299">
        <v>2</v>
      </c>
      <c r="AJ58" s="299">
        <v>4</v>
      </c>
      <c r="AK58" s="388">
        <v>0.33329999999999999</v>
      </c>
      <c r="AL58" s="388">
        <v>0.66659999999999997</v>
      </c>
      <c r="AM58" s="299">
        <v>0</v>
      </c>
      <c r="AN58" s="299">
        <v>0</v>
      </c>
      <c r="AO58" s="299">
        <v>0</v>
      </c>
      <c r="AP58" s="299">
        <v>25</v>
      </c>
      <c r="AQ58" s="299">
        <v>0</v>
      </c>
      <c r="AR58" s="299">
        <v>0</v>
      </c>
      <c r="AS58" s="299">
        <v>0</v>
      </c>
      <c r="AT58" s="299">
        <v>0</v>
      </c>
      <c r="AU58" s="299">
        <v>0</v>
      </c>
      <c r="AV58" s="299">
        <v>0</v>
      </c>
      <c r="AW58" s="299">
        <v>0</v>
      </c>
      <c r="AX58" s="299">
        <v>0</v>
      </c>
      <c r="AY58" s="299"/>
      <c r="AZ58" s="299" t="s">
        <v>38</v>
      </c>
      <c r="BA58" s="299">
        <v>12</v>
      </c>
      <c r="BB58" s="299" t="s">
        <v>38</v>
      </c>
      <c r="BC58" s="299"/>
      <c r="BD58" s="298"/>
      <c r="BE58" s="297"/>
      <c r="BF58" s="299"/>
      <c r="BG58" s="299" t="s">
        <v>43</v>
      </c>
      <c r="BH58" s="298"/>
      <c r="BI58" t="s">
        <v>430</v>
      </c>
      <c r="BJ58" s="366" t="s">
        <v>368</v>
      </c>
    </row>
    <row r="59" spans="1:62" x14ac:dyDescent="0.15">
      <c r="A59" s="297">
        <v>1551</v>
      </c>
      <c r="B59" s="328">
        <v>43292</v>
      </c>
      <c r="C59" s="296" t="s">
        <v>10</v>
      </c>
      <c r="D59" s="297" t="s">
        <v>344</v>
      </c>
      <c r="E59" s="295">
        <v>43249</v>
      </c>
      <c r="F59" s="298" t="s">
        <v>987</v>
      </c>
      <c r="G59" s="297" t="s">
        <v>33</v>
      </c>
      <c r="H59" s="297">
        <v>80.2</v>
      </c>
      <c r="I59" s="376" t="s">
        <v>402</v>
      </c>
      <c r="J59" s="297">
        <v>1645</v>
      </c>
      <c r="K59" s="297">
        <v>3000</v>
      </c>
      <c r="L59" s="297">
        <v>3000</v>
      </c>
      <c r="M59" s="297">
        <v>3000</v>
      </c>
      <c r="N59" s="297"/>
      <c r="O59" s="297">
        <v>3.75</v>
      </c>
      <c r="P59" s="297">
        <v>3.2</v>
      </c>
      <c r="Q59" s="329">
        <v>0</v>
      </c>
      <c r="R59" s="329">
        <v>0</v>
      </c>
      <c r="S59" s="297">
        <v>2.75</v>
      </c>
      <c r="T59" s="297"/>
      <c r="U59" s="297">
        <v>3.75</v>
      </c>
      <c r="V59" s="297">
        <v>3.2</v>
      </c>
      <c r="W59" s="329">
        <v>0</v>
      </c>
      <c r="X59" s="329">
        <v>0</v>
      </c>
      <c r="Y59" s="297">
        <v>2.75</v>
      </c>
      <c r="Z59" s="297"/>
      <c r="AA59" s="297"/>
      <c r="AB59" s="297"/>
      <c r="AC59" s="297"/>
      <c r="AD59" s="297"/>
      <c r="AE59" s="297"/>
      <c r="AF59" s="297"/>
      <c r="AG59" s="299" t="s">
        <v>405</v>
      </c>
      <c r="AH59" s="299"/>
      <c r="AI59" s="299">
        <v>2</v>
      </c>
      <c r="AJ59" s="299">
        <v>4</v>
      </c>
      <c r="AK59" s="388">
        <v>0.33329999999999999</v>
      </c>
      <c r="AL59" s="388">
        <v>0.66659999999999997</v>
      </c>
      <c r="AM59" s="299">
        <v>0</v>
      </c>
      <c r="AN59" s="299">
        <v>0</v>
      </c>
      <c r="AO59" s="299">
        <v>5</v>
      </c>
      <c r="AP59" s="299">
        <v>0</v>
      </c>
      <c r="AQ59" s="299">
        <v>0</v>
      </c>
      <c r="AR59" s="299">
        <v>0</v>
      </c>
      <c r="AS59" s="299">
        <v>0</v>
      </c>
      <c r="AT59" s="299">
        <v>0</v>
      </c>
      <c r="AU59" s="299">
        <v>0</v>
      </c>
      <c r="AV59" s="299">
        <v>0</v>
      </c>
      <c r="AW59" s="299">
        <v>0</v>
      </c>
      <c r="AX59" s="299">
        <v>0</v>
      </c>
      <c r="AY59" s="299"/>
      <c r="AZ59" s="299" t="s">
        <v>38</v>
      </c>
      <c r="BA59" s="299"/>
      <c r="BB59" s="299" t="s">
        <v>38</v>
      </c>
      <c r="BC59" s="299"/>
      <c r="BD59" s="298"/>
      <c r="BE59" s="297"/>
      <c r="BF59" s="299"/>
      <c r="BG59" s="299" t="s">
        <v>41</v>
      </c>
      <c r="BH59" s="298" t="s">
        <v>370</v>
      </c>
      <c r="BI59" t="s">
        <v>430</v>
      </c>
      <c r="BJ59" t="s">
        <v>368</v>
      </c>
    </row>
    <row r="60" spans="1:62" x14ac:dyDescent="0.15">
      <c r="A60" s="297"/>
      <c r="B60" s="328">
        <v>43300</v>
      </c>
      <c r="C60" s="296" t="s">
        <v>295</v>
      </c>
      <c r="D60" s="297" t="s">
        <v>344</v>
      </c>
      <c r="E60" s="295">
        <v>43221</v>
      </c>
      <c r="F60" s="298" t="s">
        <v>1</v>
      </c>
      <c r="G60" s="297" t="s">
        <v>2</v>
      </c>
      <c r="H60" s="297">
        <v>82</v>
      </c>
      <c r="I60" s="376" t="s">
        <v>296</v>
      </c>
      <c r="J60" s="297">
        <v>3000</v>
      </c>
      <c r="K60" s="297">
        <v>3000</v>
      </c>
      <c r="L60" s="297">
        <v>3000</v>
      </c>
      <c r="M60" s="297">
        <v>3000</v>
      </c>
      <c r="N60" s="297"/>
      <c r="O60" s="297">
        <v>3</v>
      </c>
      <c r="P60" s="297">
        <v>0</v>
      </c>
      <c r="Q60" s="329">
        <v>0</v>
      </c>
      <c r="R60" s="329">
        <v>0</v>
      </c>
      <c r="S60" s="297">
        <v>2.75</v>
      </c>
      <c r="T60" s="297"/>
      <c r="U60" s="297">
        <v>3</v>
      </c>
      <c r="V60" s="297">
        <v>0</v>
      </c>
      <c r="W60" s="329">
        <v>0</v>
      </c>
      <c r="X60" s="329">
        <v>0</v>
      </c>
      <c r="Y60" s="297">
        <v>2.75</v>
      </c>
      <c r="Z60" s="297"/>
      <c r="AA60" s="297"/>
      <c r="AB60" s="297"/>
      <c r="AC60" s="297"/>
      <c r="AD60" s="297"/>
      <c r="AE60" s="297"/>
      <c r="AF60" s="297"/>
      <c r="AG60" s="299" t="s">
        <v>405</v>
      </c>
      <c r="AH60" s="299"/>
      <c r="AI60" s="299">
        <v>2</v>
      </c>
      <c r="AJ60" s="299">
        <v>4</v>
      </c>
      <c r="AK60" s="388">
        <v>0.33329999999999999</v>
      </c>
      <c r="AL60" s="388">
        <v>0.66659999999999997</v>
      </c>
      <c r="AM60" s="299">
        <v>0</v>
      </c>
      <c r="AN60" s="299">
        <v>0</v>
      </c>
      <c r="AO60" s="299">
        <v>34</v>
      </c>
      <c r="AP60" s="299">
        <v>0</v>
      </c>
      <c r="AQ60" s="299">
        <v>1</v>
      </c>
      <c r="AR60" s="299">
        <v>0</v>
      </c>
      <c r="AS60" s="299">
        <v>0</v>
      </c>
      <c r="AT60" s="299">
        <v>0</v>
      </c>
      <c r="AU60" s="299">
        <v>0</v>
      </c>
      <c r="AV60" s="299">
        <v>0</v>
      </c>
      <c r="AW60" s="299">
        <v>0</v>
      </c>
      <c r="AX60" s="299">
        <v>0</v>
      </c>
      <c r="AY60" s="299"/>
      <c r="AZ60" s="299" t="s">
        <v>38</v>
      </c>
      <c r="BA60" s="299"/>
      <c r="BB60" s="299"/>
      <c r="BC60" s="299"/>
      <c r="BD60" s="298"/>
      <c r="BE60" s="297"/>
      <c r="BF60" s="299"/>
      <c r="BG60" s="299" t="s">
        <v>4</v>
      </c>
      <c r="BH60" s="298"/>
    </row>
    <row r="61" spans="1:62" x14ac:dyDescent="0.15">
      <c r="A61" s="297">
        <v>1512</v>
      </c>
      <c r="B61" s="328">
        <v>43293</v>
      </c>
      <c r="C61" s="296" t="s">
        <v>10</v>
      </c>
      <c r="D61" s="297" t="s">
        <v>344</v>
      </c>
      <c r="E61" s="309">
        <v>43229</v>
      </c>
      <c r="F61" s="297" t="s">
        <v>34</v>
      </c>
      <c r="G61" s="297" t="s">
        <v>35</v>
      </c>
      <c r="H61" s="332">
        <v>84.65</v>
      </c>
      <c r="I61" s="376"/>
      <c r="J61" s="297"/>
      <c r="K61" s="297"/>
      <c r="L61" s="297"/>
      <c r="M61" s="297"/>
      <c r="N61" s="297"/>
      <c r="O61" s="332">
        <v>1.73</v>
      </c>
      <c r="P61" s="332"/>
      <c r="Q61" s="332"/>
      <c r="R61" s="332"/>
      <c r="S61" s="332"/>
      <c r="T61" s="332"/>
      <c r="U61" s="332">
        <v>1.73</v>
      </c>
      <c r="V61" s="332"/>
      <c r="W61" s="332"/>
      <c r="X61" s="332"/>
      <c r="Y61" s="332"/>
      <c r="Z61" s="297"/>
      <c r="AA61" s="297"/>
      <c r="AB61" s="297"/>
      <c r="AC61" s="297"/>
      <c r="AD61" s="297"/>
      <c r="AE61" s="297"/>
      <c r="AF61" s="297"/>
      <c r="AG61" s="299" t="s">
        <v>405</v>
      </c>
      <c r="AH61" s="299"/>
      <c r="AI61" s="299">
        <v>2</v>
      </c>
      <c r="AJ61" s="299">
        <v>4</v>
      </c>
      <c r="AK61" s="388">
        <v>0.33329999999999999</v>
      </c>
      <c r="AL61" s="388">
        <v>0.66659999999999997</v>
      </c>
      <c r="AM61" s="299">
        <v>0</v>
      </c>
      <c r="AN61" s="299">
        <v>0</v>
      </c>
      <c r="AO61" s="299">
        <v>5</v>
      </c>
      <c r="AP61" s="299">
        <v>0</v>
      </c>
      <c r="AQ61" s="299">
        <v>0</v>
      </c>
      <c r="AR61" s="299">
        <v>0</v>
      </c>
      <c r="AS61" s="299">
        <v>0</v>
      </c>
      <c r="AT61" s="299">
        <v>0</v>
      </c>
      <c r="AU61" s="299">
        <v>0</v>
      </c>
      <c r="AV61" s="299">
        <v>0</v>
      </c>
      <c r="AW61" s="299">
        <v>0</v>
      </c>
      <c r="AX61" s="299">
        <v>0</v>
      </c>
      <c r="AY61" s="299"/>
      <c r="AZ61" s="299" t="s">
        <v>38</v>
      </c>
      <c r="BA61" s="299"/>
      <c r="BB61" s="299" t="s">
        <v>38</v>
      </c>
      <c r="BC61" s="299"/>
      <c r="BD61" s="298"/>
      <c r="BE61" s="297"/>
      <c r="BF61" s="299"/>
      <c r="BG61" s="299" t="s">
        <v>43</v>
      </c>
      <c r="BH61" s="298" t="s">
        <v>47</v>
      </c>
      <c r="BI61" t="s">
        <v>52</v>
      </c>
      <c r="BJ61" t="s">
        <v>368</v>
      </c>
    </row>
    <row r="62" spans="1:62" x14ac:dyDescent="0.15">
      <c r="A62" s="297">
        <v>79</v>
      </c>
      <c r="B62" s="328">
        <v>43290</v>
      </c>
      <c r="C62" s="296" t="s">
        <v>10</v>
      </c>
      <c r="D62" s="297" t="s">
        <v>53</v>
      </c>
      <c r="E62" s="295">
        <v>43284</v>
      </c>
      <c r="F62" s="298" t="s">
        <v>12</v>
      </c>
      <c r="G62" s="297" t="s">
        <v>13</v>
      </c>
      <c r="H62" s="297">
        <v>79</v>
      </c>
      <c r="I62" s="376" t="s">
        <v>402</v>
      </c>
      <c r="J62" s="297">
        <v>1645</v>
      </c>
      <c r="K62" s="297">
        <v>3000</v>
      </c>
      <c r="L62" s="297">
        <v>3000</v>
      </c>
      <c r="M62" s="297">
        <v>3000</v>
      </c>
      <c r="N62" s="297"/>
      <c r="O62" s="297">
        <v>2.87</v>
      </c>
      <c r="P62" s="297">
        <v>2.46</v>
      </c>
      <c r="Q62" s="329">
        <v>0</v>
      </c>
      <c r="R62" s="329">
        <v>0</v>
      </c>
      <c r="S62" s="297">
        <v>1.96</v>
      </c>
      <c r="T62" s="297"/>
      <c r="U62" s="297">
        <v>2.87</v>
      </c>
      <c r="V62" s="297">
        <v>2.46</v>
      </c>
      <c r="W62" s="329">
        <v>0</v>
      </c>
      <c r="X62" s="329">
        <v>0</v>
      </c>
      <c r="Y62" s="297">
        <v>1.96</v>
      </c>
      <c r="Z62" s="297"/>
      <c r="AA62" s="297"/>
      <c r="AB62" s="297"/>
      <c r="AC62" s="297"/>
      <c r="AD62" s="297"/>
      <c r="AE62" s="297"/>
      <c r="AF62" s="297"/>
      <c r="AG62" s="299" t="s">
        <v>405</v>
      </c>
      <c r="AH62" s="299"/>
      <c r="AI62" s="299">
        <v>2</v>
      </c>
      <c r="AJ62" s="299">
        <v>4</v>
      </c>
      <c r="AK62" s="388">
        <v>0.33329999999999999</v>
      </c>
      <c r="AL62" s="388">
        <v>0.66659999999999997</v>
      </c>
      <c r="AM62" s="299">
        <v>0</v>
      </c>
      <c r="AN62" s="299">
        <v>0</v>
      </c>
      <c r="AO62" s="299">
        <v>0</v>
      </c>
      <c r="AP62" s="299">
        <v>26</v>
      </c>
      <c r="AQ62" s="299">
        <v>0</v>
      </c>
      <c r="AR62" s="299">
        <v>0</v>
      </c>
      <c r="AS62" s="299">
        <v>0</v>
      </c>
      <c r="AT62" s="299">
        <v>0</v>
      </c>
      <c r="AU62" s="299">
        <v>0</v>
      </c>
      <c r="AV62" s="299">
        <v>0</v>
      </c>
      <c r="AW62" s="299">
        <v>0</v>
      </c>
      <c r="AX62" s="299">
        <v>0</v>
      </c>
      <c r="AY62" s="299"/>
      <c r="AZ62" s="299" t="s">
        <v>38</v>
      </c>
      <c r="BA62" s="299">
        <v>12</v>
      </c>
      <c r="BB62" s="299" t="s">
        <v>38</v>
      </c>
      <c r="BC62" s="299"/>
      <c r="BD62" s="378" t="s">
        <v>39</v>
      </c>
      <c r="BE62" s="297" t="s">
        <v>40</v>
      </c>
      <c r="BF62" s="299">
        <v>25</v>
      </c>
      <c r="BG62" s="299" t="s">
        <v>41</v>
      </c>
      <c r="BH62" s="298"/>
      <c r="BI62" s="366" t="s">
        <v>430</v>
      </c>
      <c r="BJ62" s="366" t="s">
        <v>408</v>
      </c>
    </row>
    <row r="63" spans="1:62" x14ac:dyDescent="0.15">
      <c r="A63" s="297">
        <v>1163</v>
      </c>
      <c r="B63" s="328">
        <v>43300</v>
      </c>
      <c r="C63" s="296" t="s">
        <v>10</v>
      </c>
      <c r="D63" s="297" t="s">
        <v>53</v>
      </c>
      <c r="E63" s="309">
        <v>43293</v>
      </c>
      <c r="F63" s="298" t="s">
        <v>14</v>
      </c>
      <c r="G63" s="297" t="s">
        <v>15</v>
      </c>
      <c r="H63" s="297">
        <v>69</v>
      </c>
      <c r="I63" s="376" t="s">
        <v>402</v>
      </c>
      <c r="J63" s="297">
        <v>1645</v>
      </c>
      <c r="K63" s="297">
        <v>3000</v>
      </c>
      <c r="L63" s="297">
        <v>3000</v>
      </c>
      <c r="M63" s="297">
        <v>3000</v>
      </c>
      <c r="N63" s="297"/>
      <c r="O63" s="297">
        <v>2.84</v>
      </c>
      <c r="P63" s="297">
        <v>2.4300000000000002</v>
      </c>
      <c r="Q63" s="329">
        <v>0</v>
      </c>
      <c r="R63" s="329">
        <v>0</v>
      </c>
      <c r="S63" s="297">
        <v>1.91</v>
      </c>
      <c r="T63" s="297"/>
      <c r="U63" s="297">
        <v>2.84</v>
      </c>
      <c r="V63" s="297">
        <v>2.4300000000000002</v>
      </c>
      <c r="W63" s="329">
        <v>0</v>
      </c>
      <c r="X63" s="329">
        <v>0</v>
      </c>
      <c r="Y63" s="297">
        <v>1.91</v>
      </c>
      <c r="Z63" s="297"/>
      <c r="AA63" s="297"/>
      <c r="AB63" s="297"/>
      <c r="AC63" s="297"/>
      <c r="AD63" s="297"/>
      <c r="AE63" s="297"/>
      <c r="AF63" s="297"/>
      <c r="AG63" s="299" t="s">
        <v>405</v>
      </c>
      <c r="AH63" s="299"/>
      <c r="AI63" s="299">
        <v>2</v>
      </c>
      <c r="AJ63" s="299">
        <v>4</v>
      </c>
      <c r="AK63" s="388">
        <v>0.33329999999999999</v>
      </c>
      <c r="AL63" s="388">
        <v>0.66659999999999997</v>
      </c>
      <c r="AM63" s="299">
        <v>0</v>
      </c>
      <c r="AN63" s="299">
        <v>0</v>
      </c>
      <c r="AO63" s="299">
        <v>0</v>
      </c>
      <c r="AP63" s="299">
        <v>25</v>
      </c>
      <c r="AQ63" s="299">
        <v>0</v>
      </c>
      <c r="AR63" s="299">
        <v>0</v>
      </c>
      <c r="AS63" s="299">
        <v>0</v>
      </c>
      <c r="AT63" s="299">
        <v>0</v>
      </c>
      <c r="AU63" s="299">
        <v>0</v>
      </c>
      <c r="AV63" s="299">
        <v>0</v>
      </c>
      <c r="AW63" s="299">
        <v>0</v>
      </c>
      <c r="AX63" s="299">
        <v>0</v>
      </c>
      <c r="AY63" s="297"/>
      <c r="AZ63" s="299" t="s">
        <v>38</v>
      </c>
      <c r="BA63" s="299">
        <v>24</v>
      </c>
      <c r="BB63" s="299" t="s">
        <v>38</v>
      </c>
      <c r="BC63" s="299"/>
      <c r="BD63" s="298"/>
      <c r="BE63" s="297"/>
      <c r="BF63" s="299"/>
      <c r="BG63" s="299" t="s">
        <v>411</v>
      </c>
      <c r="BH63" s="298"/>
      <c r="BI63" t="s">
        <v>412</v>
      </c>
      <c r="BJ63" t="s">
        <v>368</v>
      </c>
    </row>
    <row r="64" spans="1:62" x14ac:dyDescent="0.15">
      <c r="A64" s="297">
        <v>1442</v>
      </c>
      <c r="B64" s="328">
        <v>43292</v>
      </c>
      <c r="C64" s="296" t="s">
        <v>10</v>
      </c>
      <c r="D64" s="297" t="s">
        <v>53</v>
      </c>
      <c r="E64" s="295">
        <v>43160</v>
      </c>
      <c r="F64" s="298" t="s">
        <v>16</v>
      </c>
      <c r="G64" s="379" t="s">
        <v>17</v>
      </c>
      <c r="H64" s="297">
        <v>80.2</v>
      </c>
      <c r="I64" s="376" t="s">
        <v>402</v>
      </c>
      <c r="J64" s="297">
        <v>1645</v>
      </c>
      <c r="K64" s="297">
        <v>3000</v>
      </c>
      <c r="L64" s="297">
        <v>3000</v>
      </c>
      <c r="M64" s="297">
        <v>3000</v>
      </c>
      <c r="N64" s="297"/>
      <c r="O64" s="297">
        <v>3.75</v>
      </c>
      <c r="P64" s="297">
        <v>3.2</v>
      </c>
      <c r="Q64" s="329">
        <v>0</v>
      </c>
      <c r="R64" s="329">
        <v>0</v>
      </c>
      <c r="S64" s="297">
        <v>2.75</v>
      </c>
      <c r="T64" s="297"/>
      <c r="U64" s="297">
        <v>3.75</v>
      </c>
      <c r="V64" s="297">
        <v>3.2</v>
      </c>
      <c r="W64" s="329">
        <v>0</v>
      </c>
      <c r="X64" s="329">
        <v>0</v>
      </c>
      <c r="Y64" s="297">
        <v>2.75</v>
      </c>
      <c r="AB64" s="297"/>
      <c r="AC64" s="297"/>
      <c r="AD64" s="297"/>
      <c r="AE64" s="297"/>
      <c r="AF64" s="297"/>
      <c r="AG64" s="299" t="s">
        <v>405</v>
      </c>
      <c r="AH64" s="299"/>
      <c r="AI64" s="299">
        <v>2</v>
      </c>
      <c r="AJ64" s="299">
        <v>4</v>
      </c>
      <c r="AK64" s="388">
        <v>0.33329999999999999</v>
      </c>
      <c r="AL64" s="388">
        <v>0.66659999999999997</v>
      </c>
      <c r="AM64" s="299">
        <v>0</v>
      </c>
      <c r="AN64" s="299">
        <v>0</v>
      </c>
      <c r="AO64" s="299">
        <v>26</v>
      </c>
      <c r="AP64" s="299">
        <v>0</v>
      </c>
      <c r="AQ64" s="299">
        <v>0</v>
      </c>
      <c r="AR64" s="299">
        <v>0</v>
      </c>
      <c r="AS64" s="299">
        <v>0</v>
      </c>
      <c r="AT64" s="299">
        <v>0</v>
      </c>
      <c r="AU64" s="299">
        <v>0</v>
      </c>
      <c r="AV64" s="299">
        <v>0</v>
      </c>
      <c r="AW64" s="299">
        <v>0</v>
      </c>
      <c r="AX64" s="299">
        <v>0</v>
      </c>
      <c r="AY64" s="297"/>
      <c r="AZ64" s="299" t="s">
        <v>38</v>
      </c>
      <c r="BA64" s="299"/>
      <c r="BB64" s="299" t="s">
        <v>38</v>
      </c>
      <c r="BC64" s="299"/>
      <c r="BD64" s="298"/>
      <c r="BE64" s="297"/>
      <c r="BF64" s="299"/>
      <c r="BG64" s="299" t="s">
        <v>41</v>
      </c>
      <c r="BH64" s="298" t="s">
        <v>42</v>
      </c>
      <c r="BI64" s="366" t="s">
        <v>430</v>
      </c>
      <c r="BJ64" t="s">
        <v>368</v>
      </c>
    </row>
    <row r="65" spans="1:62" x14ac:dyDescent="0.15">
      <c r="A65" s="297">
        <v>1138</v>
      </c>
      <c r="B65" s="328">
        <v>43292</v>
      </c>
      <c r="C65" s="296" t="s">
        <v>10</v>
      </c>
      <c r="D65" s="297" t="s">
        <v>53</v>
      </c>
      <c r="E65" s="295">
        <v>43132</v>
      </c>
      <c r="F65" s="298" t="s">
        <v>1050</v>
      </c>
      <c r="G65" s="297" t="s">
        <v>418</v>
      </c>
      <c r="H65" s="297">
        <v>75</v>
      </c>
      <c r="I65" s="376" t="s">
        <v>402</v>
      </c>
      <c r="J65" s="297">
        <v>1645</v>
      </c>
      <c r="K65" s="297">
        <v>3000</v>
      </c>
      <c r="L65" s="297">
        <v>3000</v>
      </c>
      <c r="M65" s="297">
        <v>3000</v>
      </c>
      <c r="N65" s="297"/>
      <c r="O65" s="297">
        <v>2.95</v>
      </c>
      <c r="P65" s="297">
        <v>2.5</v>
      </c>
      <c r="Q65" s="329">
        <v>0</v>
      </c>
      <c r="R65" s="329">
        <v>0</v>
      </c>
      <c r="S65" s="297">
        <v>2.1</v>
      </c>
      <c r="T65" s="297"/>
      <c r="U65" s="297">
        <v>2.95</v>
      </c>
      <c r="V65" s="297">
        <v>2.5</v>
      </c>
      <c r="W65" s="329">
        <v>0</v>
      </c>
      <c r="X65" s="329">
        <v>0</v>
      </c>
      <c r="Y65" s="297">
        <v>2.1</v>
      </c>
      <c r="Z65" s="297"/>
      <c r="AA65" s="297"/>
      <c r="AB65" s="297"/>
      <c r="AC65" s="297"/>
      <c r="AD65" s="297"/>
      <c r="AE65" s="297"/>
      <c r="AF65" s="297"/>
      <c r="AG65" s="299" t="s">
        <v>405</v>
      </c>
      <c r="AH65" s="299"/>
      <c r="AI65" s="299">
        <v>2</v>
      </c>
      <c r="AJ65" s="299">
        <v>4</v>
      </c>
      <c r="AK65" s="388">
        <v>0.33329999999999999</v>
      </c>
      <c r="AL65" s="388">
        <v>0.66659999999999997</v>
      </c>
      <c r="AM65" s="299">
        <v>0</v>
      </c>
      <c r="AN65" s="299">
        <v>0</v>
      </c>
      <c r="AO65" s="299">
        <v>0</v>
      </c>
      <c r="AP65" s="299">
        <v>16</v>
      </c>
      <c r="AQ65" s="299">
        <v>0</v>
      </c>
      <c r="AR65" s="299">
        <v>0</v>
      </c>
      <c r="AS65" s="299">
        <v>0</v>
      </c>
      <c r="AT65" s="299">
        <v>0</v>
      </c>
      <c r="AU65" s="299">
        <v>0</v>
      </c>
      <c r="AV65" s="299">
        <v>0</v>
      </c>
      <c r="AW65" s="299">
        <v>0</v>
      </c>
      <c r="AX65" s="299">
        <v>0</v>
      </c>
      <c r="AY65" s="299">
        <v>12</v>
      </c>
      <c r="AZ65" s="299" t="s">
        <v>38</v>
      </c>
      <c r="BA65" s="299"/>
      <c r="BB65" s="299" t="s">
        <v>38</v>
      </c>
      <c r="BC65" s="299"/>
      <c r="BD65" s="298"/>
      <c r="BE65" s="297"/>
      <c r="BF65" s="299"/>
      <c r="BG65" s="299" t="s">
        <v>41</v>
      </c>
      <c r="BH65" s="298"/>
      <c r="BI65" s="366" t="s">
        <v>430</v>
      </c>
      <c r="BJ65" s="366" t="s">
        <v>368</v>
      </c>
    </row>
    <row r="66" spans="1:62" x14ac:dyDescent="0.15">
      <c r="A66" s="297">
        <v>880</v>
      </c>
      <c r="B66" s="328">
        <v>43292</v>
      </c>
      <c r="C66" s="296" t="s">
        <v>10</v>
      </c>
      <c r="D66" s="297" t="s">
        <v>53</v>
      </c>
      <c r="E66" s="295">
        <v>43154</v>
      </c>
      <c r="F66" s="298" t="s">
        <v>19</v>
      </c>
      <c r="G66" s="297" t="s">
        <v>20</v>
      </c>
      <c r="H66" s="297">
        <v>81.349999999999994</v>
      </c>
      <c r="I66" s="376" t="s">
        <v>402</v>
      </c>
      <c r="J66" s="331">
        <v>4000</v>
      </c>
      <c r="K66" s="331">
        <v>12000</v>
      </c>
      <c r="L66" s="331">
        <v>12000</v>
      </c>
      <c r="M66" s="331">
        <v>12000</v>
      </c>
      <c r="N66" s="297"/>
      <c r="O66" s="297">
        <v>2.54</v>
      </c>
      <c r="P66" s="297">
        <v>2.09</v>
      </c>
      <c r="Q66" s="329">
        <v>0</v>
      </c>
      <c r="R66" s="329">
        <v>0</v>
      </c>
      <c r="S66" s="297">
        <v>1.79</v>
      </c>
      <c r="T66" s="297"/>
      <c r="U66" s="297">
        <v>2.54</v>
      </c>
      <c r="V66" s="297">
        <v>2.09</v>
      </c>
      <c r="W66" s="329">
        <v>0</v>
      </c>
      <c r="X66" s="297">
        <v>0</v>
      </c>
      <c r="Y66" s="297">
        <v>1.79</v>
      </c>
      <c r="Z66" s="297"/>
      <c r="AA66" s="297"/>
      <c r="AB66" s="297"/>
      <c r="AC66" s="297"/>
      <c r="AD66" s="297"/>
      <c r="AE66" s="297"/>
      <c r="AF66" s="297"/>
      <c r="AG66" s="299" t="s">
        <v>403</v>
      </c>
      <c r="AH66" s="299" t="s">
        <v>404</v>
      </c>
      <c r="AI66" s="299">
        <v>2</v>
      </c>
      <c r="AJ66" s="299">
        <v>4</v>
      </c>
      <c r="AK66" s="388">
        <v>0.33329999999999999</v>
      </c>
      <c r="AL66" s="388">
        <v>0.66659999999999997</v>
      </c>
      <c r="AM66" s="299">
        <v>0</v>
      </c>
      <c r="AN66" s="299">
        <v>0</v>
      </c>
      <c r="AO66" s="299">
        <v>0</v>
      </c>
      <c r="AP66" s="299">
        <v>0</v>
      </c>
      <c r="AQ66" s="299">
        <v>0</v>
      </c>
      <c r="AR66" s="299">
        <v>25</v>
      </c>
      <c r="AS66" s="299">
        <v>0</v>
      </c>
      <c r="AT66" s="299">
        <v>0</v>
      </c>
      <c r="AU66" s="299">
        <v>0</v>
      </c>
      <c r="AV66" s="299">
        <v>0</v>
      </c>
      <c r="AW66" s="299">
        <v>0</v>
      </c>
      <c r="AX66" s="299">
        <v>0</v>
      </c>
      <c r="AY66" s="297"/>
      <c r="AZ66" s="299" t="s">
        <v>38</v>
      </c>
      <c r="BA66" s="299"/>
      <c r="BB66" s="299" t="s">
        <v>38</v>
      </c>
      <c r="BC66" s="299"/>
      <c r="BD66" s="298"/>
      <c r="BE66" s="297"/>
      <c r="BF66" s="299"/>
      <c r="BG66" s="299" t="s">
        <v>43</v>
      </c>
      <c r="BH66" s="298"/>
      <c r="BI66" s="366" t="s">
        <v>430</v>
      </c>
      <c r="BJ66" s="366" t="s">
        <v>368</v>
      </c>
    </row>
    <row r="67" spans="1:62" x14ac:dyDescent="0.15">
      <c r="A67" s="297">
        <v>747</v>
      </c>
      <c r="B67" s="328">
        <v>43291</v>
      </c>
      <c r="C67" s="296" t="s">
        <v>10</v>
      </c>
      <c r="D67" s="297" t="s">
        <v>53</v>
      </c>
      <c r="E67" s="295">
        <v>43223</v>
      </c>
      <c r="F67" s="298" t="s">
        <v>21</v>
      </c>
      <c r="G67" s="380" t="s">
        <v>1097</v>
      </c>
      <c r="H67" s="297">
        <v>78.7</v>
      </c>
      <c r="I67" s="376" t="s">
        <v>402</v>
      </c>
      <c r="J67" s="297">
        <v>3000</v>
      </c>
      <c r="K67" s="297">
        <v>3000</v>
      </c>
      <c r="L67" s="297">
        <v>3000</v>
      </c>
      <c r="M67" s="297">
        <v>3000</v>
      </c>
      <c r="N67" s="297"/>
      <c r="O67" s="297">
        <v>2.83</v>
      </c>
      <c r="P67" s="329">
        <v>0</v>
      </c>
      <c r="Q67" s="329">
        <v>0</v>
      </c>
      <c r="R67" s="329">
        <v>0</v>
      </c>
      <c r="S67" s="297">
        <v>1.91</v>
      </c>
      <c r="T67" s="297"/>
      <c r="U67" s="297">
        <v>2.83</v>
      </c>
      <c r="V67" s="329">
        <v>0</v>
      </c>
      <c r="W67" s="329">
        <v>0</v>
      </c>
      <c r="X67" s="329">
        <v>0</v>
      </c>
      <c r="Y67" s="297">
        <v>1.91</v>
      </c>
      <c r="Z67" s="297"/>
      <c r="AA67" s="297"/>
      <c r="AB67" s="297"/>
      <c r="AC67" s="297"/>
      <c r="AD67" s="297"/>
      <c r="AE67" s="297"/>
      <c r="AF67" s="297"/>
      <c r="AG67" s="299" t="s">
        <v>405</v>
      </c>
      <c r="AH67" s="297"/>
      <c r="AI67" s="299">
        <v>2</v>
      </c>
      <c r="AJ67" s="299">
        <v>4</v>
      </c>
      <c r="AK67" s="388">
        <v>0.33329999999999999</v>
      </c>
      <c r="AL67" s="388">
        <v>0.66659999999999997</v>
      </c>
      <c r="AM67" s="299">
        <v>0</v>
      </c>
      <c r="AN67" s="299">
        <v>34</v>
      </c>
      <c r="AO67" s="299">
        <v>0</v>
      </c>
      <c r="AP67" s="299">
        <v>0</v>
      </c>
      <c r="AQ67" s="299">
        <v>0</v>
      </c>
      <c r="AR67" s="299">
        <v>0</v>
      </c>
      <c r="AS67" s="299">
        <v>0</v>
      </c>
      <c r="AT67" s="299">
        <v>0</v>
      </c>
      <c r="AU67" s="299">
        <v>0</v>
      </c>
      <c r="AV67" s="299">
        <v>0</v>
      </c>
      <c r="AW67" s="299">
        <v>0</v>
      </c>
      <c r="AX67" s="299">
        <v>0</v>
      </c>
      <c r="AY67" s="297"/>
      <c r="AZ67" s="299" t="s">
        <v>38</v>
      </c>
      <c r="BA67" s="299">
        <v>12</v>
      </c>
      <c r="BB67" s="299" t="s">
        <v>38</v>
      </c>
      <c r="BC67" s="299"/>
      <c r="BD67" s="298" t="s">
        <v>218</v>
      </c>
      <c r="BE67" s="297" t="s">
        <v>40</v>
      </c>
      <c r="BF67" s="299">
        <v>50</v>
      </c>
      <c r="BG67" s="299" t="s">
        <v>41</v>
      </c>
      <c r="BH67" s="298"/>
      <c r="BI67" s="366" t="s">
        <v>430</v>
      </c>
      <c r="BJ67" s="366" t="s">
        <v>368</v>
      </c>
    </row>
    <row r="68" spans="1:62" x14ac:dyDescent="0.15">
      <c r="A68" s="297">
        <v>174</v>
      </c>
      <c r="B68" s="328">
        <v>43293</v>
      </c>
      <c r="C68" s="296" t="s">
        <v>10</v>
      </c>
      <c r="D68" s="297" t="s">
        <v>53</v>
      </c>
      <c r="E68" s="295">
        <v>43208</v>
      </c>
      <c r="F68" s="298" t="s">
        <v>22</v>
      </c>
      <c r="G68" s="297" t="s">
        <v>23</v>
      </c>
      <c r="H68" s="297">
        <v>70</v>
      </c>
      <c r="I68" s="376" t="s">
        <v>402</v>
      </c>
      <c r="J68" s="297">
        <v>1645</v>
      </c>
      <c r="K68" s="297">
        <v>3000</v>
      </c>
      <c r="L68" s="297">
        <v>3000</v>
      </c>
      <c r="M68" s="297">
        <v>3000</v>
      </c>
      <c r="N68" s="297"/>
      <c r="O68" s="297">
        <v>2.6</v>
      </c>
      <c r="P68" s="297">
        <v>2.2000000000000002</v>
      </c>
      <c r="Q68" s="297">
        <v>0</v>
      </c>
      <c r="R68" s="297">
        <v>0</v>
      </c>
      <c r="S68" s="297">
        <v>1.95</v>
      </c>
      <c r="T68" s="297"/>
      <c r="U68" s="297">
        <v>2.6</v>
      </c>
      <c r="V68" s="297">
        <v>2.2000000000000002</v>
      </c>
      <c r="W68" s="297">
        <v>0</v>
      </c>
      <c r="X68" s="297">
        <v>0</v>
      </c>
      <c r="Y68" s="297">
        <v>1.95</v>
      </c>
      <c r="Z68" s="297"/>
      <c r="AA68" s="297"/>
      <c r="AB68" s="297"/>
      <c r="AC68" s="297"/>
      <c r="AD68" s="297"/>
      <c r="AE68" s="297"/>
      <c r="AF68" s="297"/>
      <c r="AG68" s="299" t="s">
        <v>405</v>
      </c>
      <c r="AH68" s="299"/>
      <c r="AI68" s="299">
        <v>2</v>
      </c>
      <c r="AJ68" s="299">
        <v>4</v>
      </c>
      <c r="AK68" s="388">
        <v>0.33329999999999999</v>
      </c>
      <c r="AL68" s="388">
        <v>0.66659999999999997</v>
      </c>
      <c r="AM68" s="299">
        <v>0</v>
      </c>
      <c r="AN68" s="299">
        <v>0</v>
      </c>
      <c r="AO68" s="299">
        <v>15</v>
      </c>
      <c r="AP68" s="299">
        <v>0</v>
      </c>
      <c r="AQ68" s="299">
        <v>0</v>
      </c>
      <c r="AR68" s="299">
        <v>0</v>
      </c>
      <c r="AS68" s="299">
        <v>0</v>
      </c>
      <c r="AT68" s="299">
        <v>0</v>
      </c>
      <c r="AU68" s="299">
        <v>0</v>
      </c>
      <c r="AV68" s="299">
        <v>0</v>
      </c>
      <c r="AW68" s="299">
        <v>0</v>
      </c>
      <c r="AX68" s="299">
        <v>0</v>
      </c>
      <c r="AY68" s="297"/>
      <c r="AZ68" s="299" t="s">
        <v>38</v>
      </c>
      <c r="BA68" s="299"/>
      <c r="BB68" s="299" t="s">
        <v>38</v>
      </c>
      <c r="BC68" s="299"/>
      <c r="BD68" s="298" t="s">
        <v>429</v>
      </c>
      <c r="BE68" s="297"/>
      <c r="BF68" s="299"/>
      <c r="BG68" s="299" t="s">
        <v>41</v>
      </c>
      <c r="BH68" s="298"/>
      <c r="BI68" t="s">
        <v>430</v>
      </c>
      <c r="BJ68" t="s">
        <v>368</v>
      </c>
    </row>
    <row r="69" spans="1:62" x14ac:dyDescent="0.15">
      <c r="A69" s="297">
        <v>315</v>
      </c>
      <c r="B69" s="328">
        <v>43293</v>
      </c>
      <c r="C69" s="296" t="s">
        <v>10</v>
      </c>
      <c r="D69" s="297" t="s">
        <v>53</v>
      </c>
      <c r="E69" s="295">
        <v>43194</v>
      </c>
      <c r="F69" s="297" t="s">
        <v>24</v>
      </c>
      <c r="G69" s="297" t="s">
        <v>20</v>
      </c>
      <c r="H69" s="297">
        <v>72.42</v>
      </c>
      <c r="I69" s="376" t="s">
        <v>402</v>
      </c>
      <c r="J69" s="297">
        <v>1645</v>
      </c>
      <c r="K69" s="297">
        <v>3000</v>
      </c>
      <c r="L69" s="297">
        <v>3000</v>
      </c>
      <c r="M69" s="297">
        <v>3000</v>
      </c>
      <c r="N69" s="297"/>
      <c r="O69" s="297">
        <v>2.1219999999999999</v>
      </c>
      <c r="P69" s="297">
        <v>1.8029999999999999</v>
      </c>
      <c r="Q69" s="297">
        <v>0</v>
      </c>
      <c r="R69" s="297">
        <v>0</v>
      </c>
      <c r="S69" s="297">
        <v>1.5660000000000001</v>
      </c>
      <c r="T69" s="297"/>
      <c r="U69" s="297">
        <v>1.9890000000000001</v>
      </c>
      <c r="V69" s="297">
        <v>1.679</v>
      </c>
      <c r="W69" s="297">
        <v>0</v>
      </c>
      <c r="X69">
        <v>0</v>
      </c>
      <c r="Y69" s="297">
        <v>1.4550000000000001</v>
      </c>
      <c r="Z69" s="297"/>
      <c r="AA69" s="297"/>
      <c r="AB69" s="297"/>
      <c r="AC69" s="297"/>
      <c r="AD69" s="297"/>
      <c r="AE69" s="297"/>
      <c r="AF69" s="297"/>
      <c r="AG69" s="299" t="s">
        <v>403</v>
      </c>
      <c r="AH69" s="299" t="s">
        <v>404</v>
      </c>
      <c r="AI69" s="299">
        <v>2</v>
      </c>
      <c r="AJ69" s="299">
        <v>4</v>
      </c>
      <c r="AK69" s="388">
        <v>0.33329999999999999</v>
      </c>
      <c r="AL69" s="388">
        <v>0.66659999999999997</v>
      </c>
      <c r="AM69" s="299">
        <v>0</v>
      </c>
      <c r="AN69" s="299">
        <v>0</v>
      </c>
      <c r="AO69" s="299">
        <v>0</v>
      </c>
      <c r="AP69" s="299">
        <v>0</v>
      </c>
      <c r="AQ69" s="299">
        <v>0</v>
      </c>
      <c r="AR69" s="299">
        <v>0</v>
      </c>
      <c r="AS69" s="299">
        <v>0</v>
      </c>
      <c r="AT69" s="299">
        <v>0</v>
      </c>
      <c r="AU69" s="299">
        <v>0</v>
      </c>
      <c r="AV69" s="299">
        <v>0</v>
      </c>
      <c r="AW69" s="299">
        <v>0</v>
      </c>
      <c r="AX69" s="299">
        <v>0</v>
      </c>
      <c r="AY69" s="297"/>
      <c r="AZ69" s="299" t="s">
        <v>38</v>
      </c>
      <c r="BA69" s="299"/>
      <c r="BB69" s="299" t="s">
        <v>38</v>
      </c>
      <c r="BC69" s="299"/>
      <c r="BD69" s="298" t="s">
        <v>44</v>
      </c>
      <c r="BE69" s="297" t="s">
        <v>40</v>
      </c>
      <c r="BF69" s="299">
        <v>50</v>
      </c>
      <c r="BG69" s="299" t="s">
        <v>43</v>
      </c>
      <c r="BH69" s="298"/>
      <c r="BI69" t="s">
        <v>430</v>
      </c>
      <c r="BJ69" s="366" t="s">
        <v>368</v>
      </c>
    </row>
    <row r="70" spans="1:62" x14ac:dyDescent="0.15">
      <c r="A70" s="389">
        <v>570</v>
      </c>
      <c r="B70" s="328">
        <v>43291</v>
      </c>
      <c r="C70" s="390" t="s">
        <v>10</v>
      </c>
      <c r="D70" s="389" t="s">
        <v>53</v>
      </c>
      <c r="E70" s="295">
        <v>43182</v>
      </c>
      <c r="F70" s="391" t="s">
        <v>25</v>
      </c>
      <c r="G70" s="389" t="s">
        <v>26</v>
      </c>
      <c r="H70" s="297">
        <v>69</v>
      </c>
      <c r="I70" s="376" t="s">
        <v>402</v>
      </c>
      <c r="J70" s="331">
        <v>4000</v>
      </c>
      <c r="K70" s="331">
        <v>12000</v>
      </c>
      <c r="L70" s="331">
        <v>12000</v>
      </c>
      <c r="M70" s="331">
        <v>12000</v>
      </c>
      <c r="N70" s="297"/>
      <c r="O70" s="297">
        <v>2.2000000000000002</v>
      </c>
      <c r="P70" s="297">
        <v>2.1</v>
      </c>
      <c r="Q70" s="329">
        <v>0</v>
      </c>
      <c r="R70" s="329">
        <v>0</v>
      </c>
      <c r="S70" s="297">
        <v>1.8</v>
      </c>
      <c r="T70" s="297"/>
      <c r="U70" s="297">
        <v>2.2000000000000002</v>
      </c>
      <c r="V70" s="297">
        <v>2.1</v>
      </c>
      <c r="W70" s="329">
        <v>0</v>
      </c>
      <c r="X70" s="329">
        <v>0</v>
      </c>
      <c r="Y70" s="297">
        <v>1.8</v>
      </c>
      <c r="Z70" s="297"/>
      <c r="AA70" s="297"/>
      <c r="AB70" s="297"/>
      <c r="AC70" s="297"/>
      <c r="AD70" s="297"/>
      <c r="AE70" s="297"/>
      <c r="AF70" s="297"/>
      <c r="AG70" s="299" t="s">
        <v>405</v>
      </c>
      <c r="AH70" s="299"/>
      <c r="AI70" s="299">
        <v>2</v>
      </c>
      <c r="AJ70" s="299">
        <v>4</v>
      </c>
      <c r="AK70" s="388">
        <v>0.33329999999999999</v>
      </c>
      <c r="AL70" s="388">
        <v>0.66659999999999997</v>
      </c>
      <c r="AM70" s="335">
        <v>0</v>
      </c>
      <c r="AN70" s="335">
        <v>0</v>
      </c>
      <c r="AO70" s="335">
        <v>0</v>
      </c>
      <c r="AP70" s="335">
        <v>13</v>
      </c>
      <c r="AQ70" s="335">
        <v>0</v>
      </c>
      <c r="AR70" s="335">
        <v>0</v>
      </c>
      <c r="AS70" s="335">
        <v>0</v>
      </c>
      <c r="AT70" s="335">
        <v>0</v>
      </c>
      <c r="AU70" s="299">
        <v>0</v>
      </c>
      <c r="AV70" s="299">
        <v>0</v>
      </c>
      <c r="AW70" s="335">
        <v>0</v>
      </c>
      <c r="AX70" s="335">
        <v>0</v>
      </c>
      <c r="AY70" s="389"/>
      <c r="AZ70" s="335" t="s">
        <v>38</v>
      </c>
      <c r="BA70" s="335">
        <v>12</v>
      </c>
      <c r="BB70" s="335" t="s">
        <v>38</v>
      </c>
      <c r="BC70" s="299"/>
      <c r="BD70" s="298"/>
      <c r="BE70" s="298"/>
      <c r="BF70" s="299"/>
      <c r="BG70" s="335" t="s">
        <v>41</v>
      </c>
      <c r="BH70" s="391"/>
      <c r="BI70" s="366" t="s">
        <v>430</v>
      </c>
      <c r="BJ70" t="s">
        <v>368</v>
      </c>
    </row>
    <row r="71" spans="1:62" x14ac:dyDescent="0.15">
      <c r="A71" s="297">
        <v>1428</v>
      </c>
      <c r="B71" s="328">
        <v>43292</v>
      </c>
      <c r="C71" s="296" t="s">
        <v>10</v>
      </c>
      <c r="D71" s="297" t="s">
        <v>53</v>
      </c>
      <c r="E71" s="309">
        <v>43145</v>
      </c>
      <c r="F71" s="298" t="s">
        <v>27</v>
      </c>
      <c r="G71" s="379" t="s">
        <v>28</v>
      </c>
      <c r="H71" s="297">
        <v>70</v>
      </c>
      <c r="I71" s="376" t="s">
        <v>402</v>
      </c>
      <c r="J71" s="331">
        <v>3000</v>
      </c>
      <c r="K71" s="331">
        <v>3000</v>
      </c>
      <c r="L71" s="331">
        <v>3000</v>
      </c>
      <c r="M71" s="331">
        <v>3000</v>
      </c>
      <c r="N71" s="297"/>
      <c r="O71" s="297">
        <v>2.25</v>
      </c>
      <c r="P71" s="297">
        <v>0</v>
      </c>
      <c r="Q71" s="297">
        <v>0</v>
      </c>
      <c r="R71" s="297">
        <v>0</v>
      </c>
      <c r="S71" s="297">
        <v>1.75</v>
      </c>
      <c r="T71" s="297"/>
      <c r="U71" s="297">
        <v>2.25</v>
      </c>
      <c r="V71" s="297">
        <v>0</v>
      </c>
      <c r="W71" s="297">
        <v>0</v>
      </c>
      <c r="X71" s="297">
        <v>0</v>
      </c>
      <c r="Y71" s="297">
        <v>1.75</v>
      </c>
      <c r="AB71" s="297"/>
      <c r="AC71" s="297"/>
      <c r="AD71" s="297"/>
      <c r="AE71" s="297"/>
      <c r="AF71" s="297"/>
      <c r="AG71" s="299" t="s">
        <v>405</v>
      </c>
      <c r="AH71" s="299"/>
      <c r="AI71" s="299">
        <v>2</v>
      </c>
      <c r="AJ71" s="299">
        <v>4</v>
      </c>
      <c r="AK71" s="388">
        <v>0.33329999999999999</v>
      </c>
      <c r="AL71" s="388">
        <v>0.66659999999999997</v>
      </c>
      <c r="AM71" s="299">
        <v>0</v>
      </c>
      <c r="AN71" s="299">
        <v>0</v>
      </c>
      <c r="AO71" s="299">
        <v>10</v>
      </c>
      <c r="AP71" s="299">
        <v>0</v>
      </c>
      <c r="AQ71" s="299">
        <v>0</v>
      </c>
      <c r="AR71" s="335">
        <v>0</v>
      </c>
      <c r="AS71" s="299">
        <v>0</v>
      </c>
      <c r="AT71" s="299">
        <v>0</v>
      </c>
      <c r="AU71" s="299">
        <v>0</v>
      </c>
      <c r="AV71" s="299">
        <v>0</v>
      </c>
      <c r="AW71" s="299">
        <v>0</v>
      </c>
      <c r="AX71" s="299">
        <v>0</v>
      </c>
      <c r="AY71" s="299"/>
      <c r="AZ71" s="299" t="s">
        <v>38</v>
      </c>
      <c r="BA71" s="299"/>
      <c r="BB71" s="299" t="s">
        <v>38</v>
      </c>
      <c r="BC71" s="299"/>
      <c r="BD71" s="298"/>
      <c r="BE71" s="297"/>
      <c r="BF71" s="299"/>
      <c r="BG71" s="299" t="s">
        <v>43</v>
      </c>
      <c r="BH71" s="298"/>
      <c r="BI71" s="366" t="s">
        <v>430</v>
      </c>
      <c r="BJ71" t="s">
        <v>45</v>
      </c>
    </row>
    <row r="72" spans="1:62" x14ac:dyDescent="0.15">
      <c r="A72" s="297">
        <v>787</v>
      </c>
      <c r="B72" s="328">
        <v>43293</v>
      </c>
      <c r="C72" s="296" t="s">
        <v>10</v>
      </c>
      <c r="D72" s="297" t="s">
        <v>53</v>
      </c>
      <c r="E72" s="309">
        <v>43194</v>
      </c>
      <c r="F72" s="298" t="s">
        <v>29</v>
      </c>
      <c r="G72" s="297" t="s">
        <v>30</v>
      </c>
      <c r="H72" s="339">
        <v>71.11</v>
      </c>
      <c r="I72" s="376" t="s">
        <v>402</v>
      </c>
      <c r="J72" s="297">
        <v>1645</v>
      </c>
      <c r="K72" s="297">
        <v>3000</v>
      </c>
      <c r="L72" s="297">
        <v>3000</v>
      </c>
      <c r="M72" s="297">
        <v>3000</v>
      </c>
      <c r="N72" s="297"/>
      <c r="O72" s="341">
        <v>3.11</v>
      </c>
      <c r="P72" s="332">
        <v>2.62</v>
      </c>
      <c r="Q72" s="341">
        <v>0</v>
      </c>
      <c r="R72" s="297">
        <v>0</v>
      </c>
      <c r="S72" s="341">
        <v>2.19</v>
      </c>
      <c r="T72" s="297"/>
      <c r="U72" s="341">
        <v>3.11</v>
      </c>
      <c r="V72" s="332">
        <v>2.62</v>
      </c>
      <c r="W72" s="341">
        <v>0</v>
      </c>
      <c r="X72" s="297">
        <v>0</v>
      </c>
      <c r="Y72" s="341">
        <v>2.19</v>
      </c>
      <c r="AB72" s="297"/>
      <c r="AC72" s="297"/>
      <c r="AD72" s="297"/>
      <c r="AE72" s="297"/>
      <c r="AF72" s="297"/>
      <c r="AG72" s="299" t="s">
        <v>405</v>
      </c>
      <c r="AH72" s="299"/>
      <c r="AI72" s="299">
        <v>2</v>
      </c>
      <c r="AJ72" s="299">
        <v>4</v>
      </c>
      <c r="AK72" s="388">
        <v>0.33329999999999999</v>
      </c>
      <c r="AL72" s="388">
        <v>0.66659999999999997</v>
      </c>
      <c r="AM72" s="299">
        <v>0</v>
      </c>
      <c r="AN72" s="299">
        <v>0</v>
      </c>
      <c r="AO72" s="299">
        <v>0</v>
      </c>
      <c r="AP72" s="299">
        <v>26</v>
      </c>
      <c r="AQ72" s="299">
        <v>0</v>
      </c>
      <c r="AR72" s="335">
        <v>0</v>
      </c>
      <c r="AS72" s="299">
        <v>0</v>
      </c>
      <c r="AT72" s="299">
        <v>0</v>
      </c>
      <c r="AU72" s="299">
        <v>0</v>
      </c>
      <c r="AV72" s="299">
        <v>0</v>
      </c>
      <c r="AW72" s="299">
        <v>0</v>
      </c>
      <c r="AX72" s="299">
        <v>0</v>
      </c>
      <c r="AY72" s="297"/>
      <c r="AZ72" s="299" t="s">
        <v>38</v>
      </c>
      <c r="BA72" s="299">
        <v>24</v>
      </c>
      <c r="BB72" s="299" t="s">
        <v>38</v>
      </c>
      <c r="BC72" s="299"/>
      <c r="BD72" s="378" t="s">
        <v>46</v>
      </c>
      <c r="BE72" s="297" t="s">
        <v>365</v>
      </c>
      <c r="BF72" s="299">
        <v>50</v>
      </c>
      <c r="BG72" s="299" t="s">
        <v>43</v>
      </c>
      <c r="BH72" s="298"/>
      <c r="BI72" t="s">
        <v>430</v>
      </c>
      <c r="BJ72" s="366" t="s">
        <v>368</v>
      </c>
    </row>
    <row r="73" spans="1:62" x14ac:dyDescent="0.15">
      <c r="A73" s="297">
        <v>1610</v>
      </c>
      <c r="B73" s="328">
        <v>43293</v>
      </c>
      <c r="C73" s="296" t="s">
        <v>10</v>
      </c>
      <c r="D73" s="297" t="s">
        <v>53</v>
      </c>
      <c r="E73" s="309">
        <v>43221</v>
      </c>
      <c r="F73" s="297" t="s">
        <v>31</v>
      </c>
      <c r="G73" s="297" t="s">
        <v>32</v>
      </c>
      <c r="H73" s="332">
        <v>67.661000000000001</v>
      </c>
      <c r="I73" s="376" t="s">
        <v>402</v>
      </c>
      <c r="J73" s="297">
        <v>1645</v>
      </c>
      <c r="K73" s="297">
        <v>3000</v>
      </c>
      <c r="L73" s="297">
        <v>3000</v>
      </c>
      <c r="M73" s="297">
        <v>3000</v>
      </c>
      <c r="N73" s="332"/>
      <c r="O73" s="332">
        <v>3.1</v>
      </c>
      <c r="P73" s="332">
        <v>2.6539999999999999</v>
      </c>
      <c r="Q73" s="332">
        <v>0</v>
      </c>
      <c r="R73" s="332">
        <v>0</v>
      </c>
      <c r="S73" s="332">
        <v>2.1120000000000001</v>
      </c>
      <c r="T73" s="332"/>
      <c r="U73" s="332">
        <v>3.1</v>
      </c>
      <c r="V73" s="332">
        <v>2.6539999999999999</v>
      </c>
      <c r="W73" s="332">
        <v>0</v>
      </c>
      <c r="X73" s="332">
        <v>0</v>
      </c>
      <c r="Y73" s="332">
        <v>2.1120000000000001</v>
      </c>
      <c r="Z73" s="332"/>
      <c r="AA73" s="332"/>
      <c r="AB73" s="332"/>
      <c r="AC73" s="332"/>
      <c r="AD73" s="332"/>
      <c r="AE73" s="332"/>
      <c r="AF73" s="332"/>
      <c r="AG73" s="333" t="s">
        <v>405</v>
      </c>
      <c r="AH73" s="333"/>
      <c r="AI73" s="299">
        <v>2</v>
      </c>
      <c r="AJ73" s="299">
        <v>4</v>
      </c>
      <c r="AK73" s="388">
        <v>0.33329999999999999</v>
      </c>
      <c r="AL73" s="388">
        <v>0.66659999999999997</v>
      </c>
      <c r="AM73" s="299">
        <v>0</v>
      </c>
      <c r="AN73" s="299">
        <v>0</v>
      </c>
      <c r="AO73" s="299">
        <v>0</v>
      </c>
      <c r="AP73" s="299">
        <v>25</v>
      </c>
      <c r="AQ73" s="299">
        <v>0</v>
      </c>
      <c r="AR73" s="335">
        <v>0</v>
      </c>
      <c r="AS73" s="299">
        <v>0</v>
      </c>
      <c r="AT73" s="299">
        <v>0</v>
      </c>
      <c r="AU73" s="299">
        <v>0</v>
      </c>
      <c r="AV73" s="299">
        <v>0</v>
      </c>
      <c r="AW73" s="299">
        <v>0</v>
      </c>
      <c r="AX73" s="299">
        <v>0</v>
      </c>
      <c r="AY73" s="299"/>
      <c r="AZ73" s="299" t="s">
        <v>38</v>
      </c>
      <c r="BA73" s="299">
        <v>12</v>
      </c>
      <c r="BB73" s="299" t="s">
        <v>38</v>
      </c>
      <c r="BC73" s="299"/>
      <c r="BD73" s="298"/>
      <c r="BE73" s="297"/>
      <c r="BF73" s="299"/>
      <c r="BG73" s="299" t="s">
        <v>43</v>
      </c>
      <c r="BH73" s="298"/>
      <c r="BI73" t="s">
        <v>430</v>
      </c>
      <c r="BJ73" s="366" t="s">
        <v>368</v>
      </c>
    </row>
    <row r="74" spans="1:62" x14ac:dyDescent="0.15">
      <c r="A74" s="297">
        <v>1550</v>
      </c>
      <c r="B74" s="328">
        <v>43292</v>
      </c>
      <c r="C74" s="296" t="s">
        <v>10</v>
      </c>
      <c r="D74" s="297" t="s">
        <v>53</v>
      </c>
      <c r="E74" s="295">
        <v>43249</v>
      </c>
      <c r="F74" s="298" t="s">
        <v>987</v>
      </c>
      <c r="G74" s="297" t="s">
        <v>33</v>
      </c>
      <c r="H74" s="297">
        <v>80.2</v>
      </c>
      <c r="I74" s="376" t="s">
        <v>402</v>
      </c>
      <c r="J74" s="297">
        <v>1645</v>
      </c>
      <c r="K74" s="297">
        <v>3000</v>
      </c>
      <c r="L74" s="297">
        <v>3000</v>
      </c>
      <c r="M74" s="297">
        <v>3000</v>
      </c>
      <c r="N74" s="297"/>
      <c r="O74" s="297">
        <v>3.75</v>
      </c>
      <c r="P74" s="297">
        <v>3.2</v>
      </c>
      <c r="Q74" s="329">
        <v>0</v>
      </c>
      <c r="R74" s="329">
        <v>0</v>
      </c>
      <c r="S74" s="297">
        <v>2.75</v>
      </c>
      <c r="T74" s="297"/>
      <c r="U74" s="297">
        <v>3.75</v>
      </c>
      <c r="V74" s="297">
        <v>3.2</v>
      </c>
      <c r="W74" s="329">
        <v>0</v>
      </c>
      <c r="X74" s="329">
        <v>0</v>
      </c>
      <c r="Y74" s="297">
        <v>2.75</v>
      </c>
      <c r="AB74" s="297"/>
      <c r="AC74" s="297"/>
      <c r="AD74" s="297"/>
      <c r="AE74" s="297"/>
      <c r="AF74" s="297"/>
      <c r="AG74" s="299" t="s">
        <v>405</v>
      </c>
      <c r="AH74" s="299"/>
      <c r="AI74" s="299">
        <v>2</v>
      </c>
      <c r="AJ74" s="299">
        <v>4</v>
      </c>
      <c r="AK74" s="388">
        <v>0.33329999999999999</v>
      </c>
      <c r="AL74" s="388">
        <v>0.66659999999999997</v>
      </c>
      <c r="AM74" s="299">
        <v>0</v>
      </c>
      <c r="AN74" s="299">
        <v>0</v>
      </c>
      <c r="AO74" s="299">
        <v>5</v>
      </c>
      <c r="AP74" s="299">
        <v>0</v>
      </c>
      <c r="AQ74" s="299">
        <v>0</v>
      </c>
      <c r="AR74" s="299">
        <v>0</v>
      </c>
      <c r="AS74" s="299">
        <v>0</v>
      </c>
      <c r="AT74" s="299">
        <v>0</v>
      </c>
      <c r="AU74" s="299">
        <v>0</v>
      </c>
      <c r="AV74" s="299">
        <v>0</v>
      </c>
      <c r="AW74" s="299">
        <v>0</v>
      </c>
      <c r="AX74" s="299">
        <v>0</v>
      </c>
      <c r="AY74" s="299"/>
      <c r="AZ74" s="299" t="s">
        <v>38</v>
      </c>
      <c r="BA74" s="299"/>
      <c r="BB74" s="299" t="s">
        <v>38</v>
      </c>
      <c r="BC74" s="299"/>
      <c r="BD74" s="298"/>
      <c r="BE74" s="297"/>
      <c r="BF74" s="299"/>
      <c r="BG74" s="299" t="s">
        <v>41</v>
      </c>
      <c r="BH74" s="298" t="s">
        <v>370</v>
      </c>
      <c r="BI74" t="s">
        <v>430</v>
      </c>
      <c r="BJ74" t="s">
        <v>368</v>
      </c>
    </row>
    <row r="75" spans="1:62" x14ac:dyDescent="0.15">
      <c r="A75" s="297"/>
      <c r="B75" s="328">
        <v>43300</v>
      </c>
      <c r="C75" s="296" t="s">
        <v>295</v>
      </c>
      <c r="D75" s="297" t="s">
        <v>53</v>
      </c>
      <c r="E75" s="295">
        <v>43221</v>
      </c>
      <c r="F75" s="298" t="s">
        <v>1</v>
      </c>
      <c r="G75" s="297" t="s">
        <v>2</v>
      </c>
      <c r="H75" s="297">
        <v>82</v>
      </c>
      <c r="I75" s="376" t="s">
        <v>296</v>
      </c>
      <c r="J75" s="297">
        <v>3000</v>
      </c>
      <c r="K75" s="297">
        <v>3000</v>
      </c>
      <c r="L75" s="297">
        <v>3000</v>
      </c>
      <c r="M75" s="297">
        <v>3000</v>
      </c>
      <c r="N75" s="297"/>
      <c r="O75" s="297">
        <v>3</v>
      </c>
      <c r="P75" s="297">
        <v>0</v>
      </c>
      <c r="Q75" s="329">
        <v>0</v>
      </c>
      <c r="R75" s="329">
        <v>0</v>
      </c>
      <c r="S75" s="297">
        <v>2.75</v>
      </c>
      <c r="T75" s="297"/>
      <c r="U75" s="297">
        <v>3</v>
      </c>
      <c r="V75" s="297">
        <v>0</v>
      </c>
      <c r="W75" s="329">
        <v>0</v>
      </c>
      <c r="X75" s="329">
        <v>0</v>
      </c>
      <c r="Y75" s="297">
        <v>2.75</v>
      </c>
      <c r="AB75" s="297"/>
      <c r="AC75" s="297"/>
      <c r="AD75" s="297"/>
      <c r="AE75" s="297"/>
      <c r="AF75" s="297"/>
      <c r="AG75" s="299" t="s">
        <v>405</v>
      </c>
      <c r="AH75" s="299"/>
      <c r="AI75" s="299">
        <v>2</v>
      </c>
      <c r="AJ75" s="299">
        <v>4</v>
      </c>
      <c r="AK75" s="388">
        <v>0.33329999999999999</v>
      </c>
      <c r="AL75" s="388">
        <v>0.66659999999999997</v>
      </c>
      <c r="AM75" s="299">
        <v>0</v>
      </c>
      <c r="AN75" s="299">
        <v>0</v>
      </c>
      <c r="AO75" s="299">
        <v>34</v>
      </c>
      <c r="AP75" s="299">
        <v>0</v>
      </c>
      <c r="AQ75" s="299">
        <v>1</v>
      </c>
      <c r="AR75" s="299">
        <v>0</v>
      </c>
      <c r="AS75" s="299">
        <v>0</v>
      </c>
      <c r="AT75" s="299">
        <v>0</v>
      </c>
      <c r="AU75" s="299">
        <v>0</v>
      </c>
      <c r="AV75" s="299">
        <v>0</v>
      </c>
      <c r="AW75" s="299">
        <v>0</v>
      </c>
      <c r="AX75" s="299">
        <v>0</v>
      </c>
      <c r="AY75" s="299"/>
      <c r="AZ75" s="299" t="s">
        <v>38</v>
      </c>
      <c r="BA75" s="299"/>
      <c r="BB75" s="299"/>
      <c r="BC75" s="299"/>
      <c r="BD75" s="298"/>
      <c r="BE75" s="297"/>
      <c r="BF75" s="299"/>
      <c r="BG75" s="299" t="s">
        <v>4</v>
      </c>
      <c r="BH75" s="298"/>
    </row>
    <row r="76" spans="1:62" x14ac:dyDescent="0.15">
      <c r="A76" s="297">
        <v>1511</v>
      </c>
      <c r="B76" s="328">
        <v>43293</v>
      </c>
      <c r="C76" s="296" t="s">
        <v>10</v>
      </c>
      <c r="D76" s="297" t="s">
        <v>53</v>
      </c>
      <c r="E76" s="309">
        <v>43229</v>
      </c>
      <c r="F76" s="297" t="s">
        <v>34</v>
      </c>
      <c r="G76" s="297" t="s">
        <v>35</v>
      </c>
      <c r="H76" s="332">
        <v>84.65</v>
      </c>
      <c r="I76" s="376"/>
      <c r="J76" s="297"/>
      <c r="K76" s="297"/>
      <c r="L76" s="297"/>
      <c r="M76" s="297"/>
      <c r="N76" s="297"/>
      <c r="O76" s="332">
        <v>1.73</v>
      </c>
      <c r="P76" s="332"/>
      <c r="Q76" s="332"/>
      <c r="R76" s="332"/>
      <c r="S76" s="332"/>
      <c r="T76" s="332"/>
      <c r="U76" s="332">
        <v>1.73</v>
      </c>
      <c r="V76" s="332"/>
      <c r="W76" s="332"/>
      <c r="X76" s="332"/>
      <c r="Y76" s="332"/>
      <c r="AB76" s="297"/>
      <c r="AC76" s="297"/>
      <c r="AD76" s="297"/>
      <c r="AE76" s="297"/>
      <c r="AF76" s="297"/>
      <c r="AG76" s="299" t="s">
        <v>405</v>
      </c>
      <c r="AH76" s="299"/>
      <c r="AI76" s="299">
        <v>2</v>
      </c>
      <c r="AJ76" s="299">
        <v>4</v>
      </c>
      <c r="AK76" s="388">
        <v>0.33329999999999999</v>
      </c>
      <c r="AL76" s="388">
        <v>0.66659999999999997</v>
      </c>
      <c r="AM76" s="299">
        <v>0</v>
      </c>
      <c r="AN76" s="299">
        <v>0</v>
      </c>
      <c r="AO76" s="299">
        <v>5</v>
      </c>
      <c r="AP76" s="299">
        <v>0</v>
      </c>
      <c r="AQ76" s="299">
        <v>0</v>
      </c>
      <c r="AR76" s="335">
        <v>0</v>
      </c>
      <c r="AS76" s="299">
        <v>0</v>
      </c>
      <c r="AT76" s="299">
        <v>0</v>
      </c>
      <c r="AU76" s="299">
        <v>0</v>
      </c>
      <c r="AV76" s="299">
        <v>0</v>
      </c>
      <c r="AW76" s="299">
        <v>0</v>
      </c>
      <c r="AX76" s="299">
        <v>0</v>
      </c>
      <c r="AY76" s="299"/>
      <c r="AZ76" s="299" t="s">
        <v>38</v>
      </c>
      <c r="BA76" s="299"/>
      <c r="BB76" s="299" t="s">
        <v>38</v>
      </c>
      <c r="BC76" s="299"/>
      <c r="BD76" s="298"/>
      <c r="BE76" s="297"/>
      <c r="BF76" s="299"/>
      <c r="BG76" s="299" t="s">
        <v>43</v>
      </c>
      <c r="BH76" s="298" t="s">
        <v>47</v>
      </c>
      <c r="BI76" t="s">
        <v>52</v>
      </c>
      <c r="BJ76" t="s">
        <v>368</v>
      </c>
    </row>
    <row r="77" spans="1:62" x14ac:dyDescent="0.15">
      <c r="A77" s="297">
        <v>81</v>
      </c>
      <c r="B77" s="328">
        <v>43290</v>
      </c>
      <c r="C77" s="296" t="s">
        <v>10</v>
      </c>
      <c r="D77" s="297" t="s">
        <v>54</v>
      </c>
      <c r="E77" s="295">
        <v>43284</v>
      </c>
      <c r="F77" s="298" t="s">
        <v>12</v>
      </c>
      <c r="G77" s="297" t="s">
        <v>13</v>
      </c>
      <c r="H77" s="297">
        <v>86</v>
      </c>
      <c r="I77" s="376" t="s">
        <v>402</v>
      </c>
      <c r="J77" s="297">
        <v>6000</v>
      </c>
      <c r="K77" s="297">
        <v>12000</v>
      </c>
      <c r="L77" s="297">
        <v>84000</v>
      </c>
      <c r="M77" s="297">
        <v>84000</v>
      </c>
      <c r="N77" s="297"/>
      <c r="O77" s="297">
        <v>2.27</v>
      </c>
      <c r="P77" s="297">
        <v>2.1800000000000002</v>
      </c>
      <c r="Q77" s="297">
        <v>1.81</v>
      </c>
      <c r="R77" s="329">
        <v>0</v>
      </c>
      <c r="S77" s="297">
        <v>1.62</v>
      </c>
      <c r="T77" s="297"/>
      <c r="U77" s="297">
        <v>2.06</v>
      </c>
      <c r="V77" s="297">
        <v>1.66</v>
      </c>
      <c r="W77" s="297">
        <v>1.54</v>
      </c>
      <c r="X77" s="329">
        <v>0</v>
      </c>
      <c r="Y77" s="297">
        <v>1.52</v>
      </c>
      <c r="Z77" s="297"/>
      <c r="AA77" s="297"/>
      <c r="AB77" s="297"/>
      <c r="AC77" s="297"/>
      <c r="AD77" s="297"/>
      <c r="AE77" s="297"/>
      <c r="AF77" s="297"/>
      <c r="AG77" s="299" t="s">
        <v>403</v>
      </c>
      <c r="AH77" s="299" t="s">
        <v>404</v>
      </c>
      <c r="AI77" s="299">
        <v>2</v>
      </c>
      <c r="AJ77" s="299">
        <v>4</v>
      </c>
      <c r="AK77" s="388">
        <v>0.33329999999999999</v>
      </c>
      <c r="AL77" s="388">
        <v>0.66659999999999997</v>
      </c>
      <c r="AM77" s="299">
        <v>0</v>
      </c>
      <c r="AN77" s="299">
        <v>0</v>
      </c>
      <c r="AO77" s="299">
        <v>0</v>
      </c>
      <c r="AP77" s="299">
        <v>26</v>
      </c>
      <c r="AQ77" s="299">
        <v>0</v>
      </c>
      <c r="AR77" s="335">
        <v>0</v>
      </c>
      <c r="AS77" s="299">
        <v>0</v>
      </c>
      <c r="AT77" s="299">
        <v>0</v>
      </c>
      <c r="AU77" s="299">
        <v>0</v>
      </c>
      <c r="AV77" s="299">
        <v>0</v>
      </c>
      <c r="AW77" s="299">
        <v>0</v>
      </c>
      <c r="AX77" s="299">
        <v>0</v>
      </c>
      <c r="AY77" s="299"/>
      <c r="AZ77" s="299" t="s">
        <v>38</v>
      </c>
      <c r="BA77" s="299">
        <v>12</v>
      </c>
      <c r="BB77" s="299" t="s">
        <v>38</v>
      </c>
      <c r="BC77" s="299"/>
      <c r="BD77" s="378" t="s">
        <v>39</v>
      </c>
      <c r="BE77" s="297" t="s">
        <v>40</v>
      </c>
      <c r="BF77" s="299">
        <v>25</v>
      </c>
      <c r="BG77" s="299" t="s">
        <v>41</v>
      </c>
      <c r="BH77" s="298"/>
      <c r="BI77" s="366" t="s">
        <v>430</v>
      </c>
      <c r="BJ77" s="366" t="s">
        <v>408</v>
      </c>
    </row>
    <row r="78" spans="1:62" x14ac:dyDescent="0.15">
      <c r="A78" s="297">
        <v>1165</v>
      </c>
      <c r="B78" s="328">
        <v>43300</v>
      </c>
      <c r="C78" s="296" t="s">
        <v>10</v>
      </c>
      <c r="D78" s="297" t="s">
        <v>54</v>
      </c>
      <c r="E78" s="309">
        <v>43293</v>
      </c>
      <c r="F78" s="298" t="s">
        <v>14</v>
      </c>
      <c r="G78" s="297" t="s">
        <v>15</v>
      </c>
      <c r="H78" s="297">
        <v>74.900000000000006</v>
      </c>
      <c r="I78" s="376" t="s">
        <v>402</v>
      </c>
      <c r="J78" s="331">
        <v>6000</v>
      </c>
      <c r="K78" s="331">
        <v>6000</v>
      </c>
      <c r="L78" s="331">
        <v>6000</v>
      </c>
      <c r="M78" s="331">
        <v>6000</v>
      </c>
      <c r="N78" s="297"/>
      <c r="O78" s="297">
        <v>2.17</v>
      </c>
      <c r="P78" s="329">
        <v>0</v>
      </c>
      <c r="Q78" s="297">
        <v>0</v>
      </c>
      <c r="R78" s="329">
        <v>0</v>
      </c>
      <c r="S78" s="297">
        <v>1.94</v>
      </c>
      <c r="T78" s="297"/>
      <c r="U78" s="297">
        <v>1.92</v>
      </c>
      <c r="V78" s="329">
        <v>0</v>
      </c>
      <c r="W78" s="297">
        <v>0</v>
      </c>
      <c r="X78" s="329">
        <v>0</v>
      </c>
      <c r="Y78" s="297">
        <v>1.61</v>
      </c>
      <c r="Z78" s="297"/>
      <c r="AA78" s="297"/>
      <c r="AB78" s="297"/>
      <c r="AC78" s="297"/>
      <c r="AD78" s="297"/>
      <c r="AE78" s="297"/>
      <c r="AF78" s="297"/>
      <c r="AG78" s="299" t="s">
        <v>403</v>
      </c>
      <c r="AH78" s="299" t="s">
        <v>404</v>
      </c>
      <c r="AI78" s="299">
        <v>2</v>
      </c>
      <c r="AJ78" s="299">
        <v>4</v>
      </c>
      <c r="AK78" s="388">
        <v>0.33329999999999999</v>
      </c>
      <c r="AL78" s="388">
        <v>0.66659999999999997</v>
      </c>
      <c r="AM78" s="299">
        <v>0</v>
      </c>
      <c r="AN78" s="299">
        <v>0</v>
      </c>
      <c r="AO78" s="299">
        <v>0</v>
      </c>
      <c r="AP78" s="299">
        <v>25</v>
      </c>
      <c r="AQ78" s="299">
        <v>0</v>
      </c>
      <c r="AR78" s="335">
        <v>0</v>
      </c>
      <c r="AS78" s="299">
        <v>0</v>
      </c>
      <c r="AT78" s="299">
        <v>0</v>
      </c>
      <c r="AU78" s="299">
        <v>0</v>
      </c>
      <c r="AV78" s="299">
        <v>0</v>
      </c>
      <c r="AW78" s="299">
        <v>0</v>
      </c>
      <c r="AX78" s="299">
        <v>0</v>
      </c>
      <c r="AY78" s="297"/>
      <c r="AZ78" s="299" t="s">
        <v>38</v>
      </c>
      <c r="BA78" s="299">
        <v>24</v>
      </c>
      <c r="BB78" s="299" t="s">
        <v>38</v>
      </c>
      <c r="BC78" s="299"/>
      <c r="BD78" s="298"/>
      <c r="BE78" s="297"/>
      <c r="BF78" s="299"/>
      <c r="BG78" s="299" t="s">
        <v>411</v>
      </c>
      <c r="BH78" s="298"/>
      <c r="BI78" t="s">
        <v>412</v>
      </c>
      <c r="BJ78" t="s">
        <v>368</v>
      </c>
    </row>
    <row r="79" spans="1:62" x14ac:dyDescent="0.15">
      <c r="A79" s="297">
        <v>1444</v>
      </c>
      <c r="B79" s="328">
        <v>43292</v>
      </c>
      <c r="C79" s="296" t="s">
        <v>10</v>
      </c>
      <c r="D79" s="297" t="s">
        <v>54</v>
      </c>
      <c r="E79" s="295">
        <v>43160</v>
      </c>
      <c r="F79" s="298" t="s">
        <v>16</v>
      </c>
      <c r="G79" s="379" t="s">
        <v>17</v>
      </c>
      <c r="H79" s="297">
        <v>96.8</v>
      </c>
      <c r="I79" s="376" t="s">
        <v>402</v>
      </c>
      <c r="J79" s="297">
        <v>6000</v>
      </c>
      <c r="K79" s="297">
        <v>12000</v>
      </c>
      <c r="L79" s="297">
        <v>12000</v>
      </c>
      <c r="M79" s="297">
        <v>12000</v>
      </c>
      <c r="N79" s="297"/>
      <c r="O79" s="297">
        <v>3.05</v>
      </c>
      <c r="P79" s="297">
        <v>2.9</v>
      </c>
      <c r="Q79" s="329">
        <v>0</v>
      </c>
      <c r="R79" s="329">
        <v>0</v>
      </c>
      <c r="S79" s="297">
        <v>2.4500000000000002</v>
      </c>
      <c r="T79" s="297"/>
      <c r="U79" s="297">
        <v>2.5</v>
      </c>
      <c r="V79" s="297">
        <v>2.4500000000000002</v>
      </c>
      <c r="W79" s="329">
        <v>0</v>
      </c>
      <c r="X79" s="329">
        <v>0</v>
      </c>
      <c r="Y79" s="297">
        <v>2.35</v>
      </c>
      <c r="Z79" s="297"/>
      <c r="AA79" s="297"/>
      <c r="AB79" s="297"/>
      <c r="AC79" s="297"/>
      <c r="AD79" s="297"/>
      <c r="AE79" s="297"/>
      <c r="AF79" s="297"/>
      <c r="AG79" s="299" t="s">
        <v>403</v>
      </c>
      <c r="AH79" s="299" t="s">
        <v>404</v>
      </c>
      <c r="AI79" s="299">
        <v>2</v>
      </c>
      <c r="AJ79" s="299">
        <v>4</v>
      </c>
      <c r="AK79" s="388">
        <v>0.33329999999999999</v>
      </c>
      <c r="AL79" s="388">
        <v>0.66659999999999997</v>
      </c>
      <c r="AM79" s="299">
        <v>0</v>
      </c>
      <c r="AN79" s="299">
        <v>0</v>
      </c>
      <c r="AO79" s="299">
        <v>26</v>
      </c>
      <c r="AP79" s="299">
        <v>0</v>
      </c>
      <c r="AQ79" s="299">
        <v>0</v>
      </c>
      <c r="AR79" s="299">
        <v>0</v>
      </c>
      <c r="AS79" s="299">
        <v>0</v>
      </c>
      <c r="AT79" s="299">
        <v>0</v>
      </c>
      <c r="AU79" s="299">
        <v>0</v>
      </c>
      <c r="AV79" s="299">
        <v>0</v>
      </c>
      <c r="AW79" s="299">
        <v>0</v>
      </c>
      <c r="AX79" s="299">
        <v>0</v>
      </c>
      <c r="AY79" s="297"/>
      <c r="AZ79" s="299" t="s">
        <v>38</v>
      </c>
      <c r="BA79" s="299"/>
      <c r="BB79" s="299" t="s">
        <v>38</v>
      </c>
      <c r="BC79" s="299"/>
      <c r="BD79" s="298"/>
      <c r="BE79" s="297"/>
      <c r="BF79" s="299"/>
      <c r="BG79" s="299" t="s">
        <v>41</v>
      </c>
      <c r="BH79" s="298" t="s">
        <v>42</v>
      </c>
      <c r="BI79" s="366" t="s">
        <v>430</v>
      </c>
      <c r="BJ79" t="s">
        <v>368</v>
      </c>
    </row>
    <row r="80" spans="1:62" x14ac:dyDescent="0.15">
      <c r="A80" s="297">
        <v>1140</v>
      </c>
      <c r="B80" s="328">
        <v>43292</v>
      </c>
      <c r="C80" s="296" t="s">
        <v>10</v>
      </c>
      <c r="D80" s="297" t="s">
        <v>54</v>
      </c>
      <c r="E80" s="295">
        <v>43132</v>
      </c>
      <c r="F80" s="298" t="s">
        <v>18</v>
      </c>
      <c r="G80" s="297" t="s">
        <v>418</v>
      </c>
      <c r="H80" s="297">
        <v>83</v>
      </c>
      <c r="I80" s="376" t="s">
        <v>402</v>
      </c>
      <c r="J80" s="297">
        <v>6000</v>
      </c>
      <c r="K80" s="297">
        <v>12000</v>
      </c>
      <c r="L80" s="297">
        <v>84000</v>
      </c>
      <c r="M80" s="297">
        <v>84000</v>
      </c>
      <c r="N80" s="297"/>
      <c r="O80" s="297">
        <v>2.2599999999999998</v>
      </c>
      <c r="P80" s="297">
        <v>2.1800000000000002</v>
      </c>
      <c r="Q80" s="297">
        <v>1.79</v>
      </c>
      <c r="R80" s="329">
        <v>0</v>
      </c>
      <c r="S80" s="297">
        <v>1.7</v>
      </c>
      <c r="T80" s="297"/>
      <c r="U80" s="297">
        <v>2.0499999999999998</v>
      </c>
      <c r="V80" s="297">
        <v>1.64</v>
      </c>
      <c r="W80" s="297">
        <v>1.54</v>
      </c>
      <c r="X80" s="329">
        <v>0</v>
      </c>
      <c r="Y80">
        <v>1.5</v>
      </c>
      <c r="Z80" s="297"/>
      <c r="AA80" s="297"/>
      <c r="AB80" s="297"/>
      <c r="AC80" s="297"/>
      <c r="AD80" s="297"/>
      <c r="AE80" s="297"/>
      <c r="AF80" s="297"/>
      <c r="AG80" s="299" t="s">
        <v>403</v>
      </c>
      <c r="AH80" s="299" t="s">
        <v>404</v>
      </c>
      <c r="AI80" s="299">
        <v>3</v>
      </c>
      <c r="AJ80" s="299">
        <v>3</v>
      </c>
      <c r="AK80" s="388">
        <v>0.5</v>
      </c>
      <c r="AL80" s="388">
        <v>0.5</v>
      </c>
      <c r="AM80" s="299">
        <v>0</v>
      </c>
      <c r="AN80" s="299">
        <v>0</v>
      </c>
      <c r="AO80" s="299">
        <v>0</v>
      </c>
      <c r="AP80" s="299">
        <v>16</v>
      </c>
      <c r="AQ80" s="299">
        <v>0</v>
      </c>
      <c r="AR80" s="299">
        <v>0</v>
      </c>
      <c r="AS80" s="299">
        <v>0</v>
      </c>
      <c r="AT80" s="299">
        <v>0</v>
      </c>
      <c r="AU80" s="299">
        <v>0</v>
      </c>
      <c r="AV80" s="299">
        <v>0</v>
      </c>
      <c r="AW80" s="299">
        <v>0</v>
      </c>
      <c r="AX80" s="299">
        <v>0</v>
      </c>
      <c r="AY80" s="299">
        <v>12</v>
      </c>
      <c r="AZ80" s="299" t="s">
        <v>38</v>
      </c>
      <c r="BA80" s="299"/>
      <c r="BB80" s="299" t="s">
        <v>38</v>
      </c>
      <c r="BC80" s="299"/>
      <c r="BD80" s="298"/>
      <c r="BE80" s="297"/>
      <c r="BF80" s="299"/>
      <c r="BG80" s="299" t="s">
        <v>41</v>
      </c>
      <c r="BH80" s="298"/>
      <c r="BI80" s="366" t="s">
        <v>430</v>
      </c>
      <c r="BJ80" s="366" t="s">
        <v>368</v>
      </c>
    </row>
    <row r="81" spans="1:62" x14ac:dyDescent="0.15">
      <c r="A81" s="297">
        <v>749</v>
      </c>
      <c r="B81" s="328">
        <v>43291</v>
      </c>
      <c r="C81" s="296" t="s">
        <v>10</v>
      </c>
      <c r="D81" s="297" t="s">
        <v>54</v>
      </c>
      <c r="E81" s="295">
        <v>43223</v>
      </c>
      <c r="F81" s="298" t="s">
        <v>21</v>
      </c>
      <c r="G81" s="380" t="s">
        <v>1097</v>
      </c>
      <c r="H81" s="297">
        <v>88</v>
      </c>
      <c r="I81" s="376" t="s">
        <v>402</v>
      </c>
      <c r="J81" s="297">
        <v>12000</v>
      </c>
      <c r="K81" s="297">
        <v>12000</v>
      </c>
      <c r="L81" s="297">
        <v>12000</v>
      </c>
      <c r="M81" s="297">
        <v>12000</v>
      </c>
      <c r="N81" s="297"/>
      <c r="O81" s="297">
        <v>2.44</v>
      </c>
      <c r="P81" s="329">
        <v>0</v>
      </c>
      <c r="Q81" s="297">
        <v>0</v>
      </c>
      <c r="R81" s="329">
        <v>0</v>
      </c>
      <c r="S81" s="297">
        <v>1.78</v>
      </c>
      <c r="T81" s="297"/>
      <c r="U81" s="297">
        <v>1.78</v>
      </c>
      <c r="V81" s="329">
        <v>0</v>
      </c>
      <c r="W81" s="297">
        <v>0</v>
      </c>
      <c r="X81" s="329">
        <v>0</v>
      </c>
      <c r="Y81" s="297">
        <v>1.78</v>
      </c>
      <c r="Z81" s="297"/>
      <c r="AA81" s="297"/>
      <c r="AB81" s="297"/>
      <c r="AC81" s="297"/>
      <c r="AD81" s="297"/>
      <c r="AE81" s="297"/>
      <c r="AF81" s="297"/>
      <c r="AG81" s="299" t="s">
        <v>403</v>
      </c>
      <c r="AH81" s="299" t="s">
        <v>404</v>
      </c>
      <c r="AI81" s="299">
        <v>2</v>
      </c>
      <c r="AJ81" s="299">
        <v>4</v>
      </c>
      <c r="AK81" s="388">
        <v>0.33329999999999999</v>
      </c>
      <c r="AL81" s="388">
        <v>0.66659999999999997</v>
      </c>
      <c r="AM81" s="299">
        <v>0</v>
      </c>
      <c r="AN81" s="299">
        <v>34</v>
      </c>
      <c r="AO81" s="299">
        <v>0</v>
      </c>
      <c r="AP81" s="299">
        <v>0</v>
      </c>
      <c r="AQ81" s="299">
        <v>0</v>
      </c>
      <c r="AR81" s="299">
        <v>0</v>
      </c>
      <c r="AS81" s="299">
        <v>0</v>
      </c>
      <c r="AT81" s="299">
        <v>0</v>
      </c>
      <c r="AU81" s="299">
        <v>0</v>
      </c>
      <c r="AV81" s="299">
        <v>0</v>
      </c>
      <c r="AW81" s="299">
        <v>0</v>
      </c>
      <c r="AX81" s="299">
        <v>0</v>
      </c>
      <c r="AY81" s="297"/>
      <c r="AZ81" s="299" t="s">
        <v>38</v>
      </c>
      <c r="BA81" s="299">
        <v>12</v>
      </c>
      <c r="BB81" s="299" t="s">
        <v>38</v>
      </c>
      <c r="BC81" s="299"/>
      <c r="BD81" s="298" t="s">
        <v>218</v>
      </c>
      <c r="BE81" s="297" t="s">
        <v>40</v>
      </c>
      <c r="BF81" s="299">
        <v>50</v>
      </c>
      <c r="BG81" s="299" t="s">
        <v>41</v>
      </c>
      <c r="BH81" s="298"/>
      <c r="BI81" s="366" t="s">
        <v>430</v>
      </c>
      <c r="BJ81" s="366" t="s">
        <v>368</v>
      </c>
    </row>
    <row r="82" spans="1:62" x14ac:dyDescent="0.15">
      <c r="A82" s="297">
        <v>176</v>
      </c>
      <c r="B82" s="328">
        <v>43293</v>
      </c>
      <c r="C82" s="296" t="s">
        <v>10</v>
      </c>
      <c r="D82" s="297" t="s">
        <v>54</v>
      </c>
      <c r="E82" s="295">
        <v>43208</v>
      </c>
      <c r="F82" s="298" t="s">
        <v>22</v>
      </c>
      <c r="G82" s="297" t="s">
        <v>23</v>
      </c>
      <c r="H82" s="297">
        <v>79</v>
      </c>
      <c r="I82" s="376" t="s">
        <v>402</v>
      </c>
      <c r="J82" s="297">
        <v>6000</v>
      </c>
      <c r="K82" s="297">
        <v>12000</v>
      </c>
      <c r="L82" s="297">
        <v>84000</v>
      </c>
      <c r="M82" s="297">
        <v>84000</v>
      </c>
      <c r="N82" s="297"/>
      <c r="O82" s="297">
        <v>2.0499999999999998</v>
      </c>
      <c r="P82" s="297">
        <v>2</v>
      </c>
      <c r="Q82" s="297">
        <v>1.7</v>
      </c>
      <c r="R82" s="297">
        <v>0</v>
      </c>
      <c r="S82" s="297">
        <v>1.68</v>
      </c>
      <c r="T82" s="297"/>
      <c r="U82" s="297">
        <v>1.78</v>
      </c>
      <c r="V82" s="297">
        <v>1.75</v>
      </c>
      <c r="W82" s="297">
        <v>1.68</v>
      </c>
      <c r="X82" s="297">
        <v>0</v>
      </c>
      <c r="Y82" s="297">
        <v>1.55</v>
      </c>
      <c r="Z82" s="297"/>
      <c r="AA82" s="297"/>
      <c r="AB82" s="297"/>
      <c r="AC82" s="297"/>
      <c r="AD82" s="297"/>
      <c r="AE82" s="297"/>
      <c r="AF82" s="297"/>
      <c r="AG82" s="299" t="s">
        <v>403</v>
      </c>
      <c r="AH82" s="299" t="s">
        <v>404</v>
      </c>
      <c r="AI82" s="299">
        <v>2</v>
      </c>
      <c r="AJ82" s="299">
        <v>4</v>
      </c>
      <c r="AK82" s="388">
        <v>0.33329999999999999</v>
      </c>
      <c r="AL82" s="388">
        <v>0.66659999999999997</v>
      </c>
      <c r="AM82" s="299">
        <v>0</v>
      </c>
      <c r="AN82" s="299">
        <v>0</v>
      </c>
      <c r="AO82" s="299">
        <v>15</v>
      </c>
      <c r="AP82" s="299">
        <v>0</v>
      </c>
      <c r="AQ82" s="299">
        <v>0</v>
      </c>
      <c r="AR82" s="299">
        <v>0</v>
      </c>
      <c r="AS82" s="299">
        <v>0</v>
      </c>
      <c r="AT82" s="299">
        <v>0</v>
      </c>
      <c r="AU82" s="299">
        <v>0</v>
      </c>
      <c r="AV82" s="299">
        <v>0</v>
      </c>
      <c r="AW82" s="299">
        <v>0</v>
      </c>
      <c r="AX82" s="299">
        <v>0</v>
      </c>
      <c r="AY82" s="297"/>
      <c r="AZ82" s="299" t="s">
        <v>38</v>
      </c>
      <c r="BA82" s="299"/>
      <c r="BB82" s="299" t="s">
        <v>38</v>
      </c>
      <c r="BC82" s="299"/>
      <c r="BD82" s="298" t="s">
        <v>429</v>
      </c>
      <c r="BE82" s="297"/>
      <c r="BF82" s="299"/>
      <c r="BG82" s="299" t="s">
        <v>41</v>
      </c>
      <c r="BH82" s="298"/>
      <c r="BI82" t="s">
        <v>430</v>
      </c>
      <c r="BJ82" t="s">
        <v>368</v>
      </c>
    </row>
    <row r="83" spans="1:62" x14ac:dyDescent="0.15">
      <c r="A83" s="297">
        <v>317</v>
      </c>
      <c r="B83" s="328">
        <v>43293</v>
      </c>
      <c r="C83" s="296" t="s">
        <v>10</v>
      </c>
      <c r="D83" s="297" t="s">
        <v>54</v>
      </c>
      <c r="E83" s="295">
        <v>43194</v>
      </c>
      <c r="F83" s="297" t="s">
        <v>24</v>
      </c>
      <c r="G83" s="297" t="s">
        <v>20</v>
      </c>
      <c r="H83" s="297">
        <v>82.22</v>
      </c>
      <c r="I83" s="376" t="s">
        <v>402</v>
      </c>
      <c r="J83" s="297">
        <v>6000</v>
      </c>
      <c r="K83" s="297">
        <v>12000</v>
      </c>
      <c r="L83" s="297">
        <v>84000</v>
      </c>
      <c r="M83" s="297">
        <v>84000</v>
      </c>
      <c r="N83" s="297"/>
      <c r="O83" s="297">
        <v>1.73</v>
      </c>
      <c r="P83" s="297">
        <v>1.63</v>
      </c>
      <c r="Q83" s="297">
        <v>1.46</v>
      </c>
      <c r="R83" s="297">
        <v>0</v>
      </c>
      <c r="S83" s="297">
        <v>1.46</v>
      </c>
      <c r="T83" s="297"/>
      <c r="U83" s="297">
        <v>1.44</v>
      </c>
      <c r="V83" s="297">
        <v>1.43</v>
      </c>
      <c r="W83" s="297">
        <v>1.39</v>
      </c>
      <c r="X83" s="297">
        <v>0</v>
      </c>
      <c r="Y83" s="297">
        <v>1.35</v>
      </c>
      <c r="Z83" s="297"/>
      <c r="AA83" s="297"/>
      <c r="AB83" s="297"/>
      <c r="AC83" s="297"/>
      <c r="AD83" s="297"/>
      <c r="AE83" s="297"/>
      <c r="AF83" s="297"/>
      <c r="AG83" s="299" t="s">
        <v>403</v>
      </c>
      <c r="AH83" s="299" t="s">
        <v>404</v>
      </c>
      <c r="AI83" s="299">
        <v>2</v>
      </c>
      <c r="AJ83" s="299">
        <v>4</v>
      </c>
      <c r="AK83" s="388">
        <v>0.33329999999999999</v>
      </c>
      <c r="AL83" s="388">
        <v>0.66659999999999997</v>
      </c>
      <c r="AM83" s="299">
        <v>0</v>
      </c>
      <c r="AN83" s="299">
        <v>0</v>
      </c>
      <c r="AO83" s="299">
        <v>0</v>
      </c>
      <c r="AP83" s="299">
        <v>0</v>
      </c>
      <c r="AQ83" s="299">
        <v>0</v>
      </c>
      <c r="AR83" s="299">
        <v>0</v>
      </c>
      <c r="AS83" s="299">
        <v>0</v>
      </c>
      <c r="AT83" s="299">
        <v>0</v>
      </c>
      <c r="AU83" s="299">
        <v>0</v>
      </c>
      <c r="AV83" s="299">
        <v>0</v>
      </c>
      <c r="AW83" s="299">
        <v>0</v>
      </c>
      <c r="AX83" s="299">
        <v>0</v>
      </c>
      <c r="AY83" s="297"/>
      <c r="AZ83" s="299" t="s">
        <v>38</v>
      </c>
      <c r="BA83" s="299"/>
      <c r="BB83" s="299" t="s">
        <v>38</v>
      </c>
      <c r="BC83" s="299"/>
      <c r="BD83" s="298" t="s">
        <v>44</v>
      </c>
      <c r="BE83" s="297" t="s">
        <v>40</v>
      </c>
      <c r="BF83" s="299">
        <v>50</v>
      </c>
      <c r="BG83" s="299" t="s">
        <v>43</v>
      </c>
      <c r="BH83" s="298"/>
      <c r="BI83" t="s">
        <v>430</v>
      </c>
      <c r="BJ83" s="366" t="s">
        <v>368</v>
      </c>
    </row>
    <row r="84" spans="1:62" x14ac:dyDescent="0.15">
      <c r="A84" s="297">
        <v>572</v>
      </c>
      <c r="B84" s="328">
        <v>43291</v>
      </c>
      <c r="C84" s="296" t="s">
        <v>10</v>
      </c>
      <c r="D84" s="297" t="s">
        <v>54</v>
      </c>
      <c r="E84" s="295">
        <v>43182</v>
      </c>
      <c r="F84" s="298" t="s">
        <v>25</v>
      </c>
      <c r="G84" s="297" t="s">
        <v>26</v>
      </c>
      <c r="H84" s="297">
        <v>79</v>
      </c>
      <c r="I84" s="376" t="s">
        <v>402</v>
      </c>
      <c r="J84" s="331">
        <v>3200</v>
      </c>
      <c r="K84" s="331">
        <v>3200</v>
      </c>
      <c r="L84" s="331">
        <v>3200</v>
      </c>
      <c r="M84" s="331">
        <v>3200</v>
      </c>
      <c r="N84" s="297"/>
      <c r="O84" s="297">
        <v>2.4</v>
      </c>
      <c r="P84" s="329">
        <v>0</v>
      </c>
      <c r="Q84" s="297">
        <v>0</v>
      </c>
      <c r="R84" s="329">
        <v>0</v>
      </c>
      <c r="S84" s="297">
        <v>2.1</v>
      </c>
      <c r="T84" s="297"/>
      <c r="U84" s="297">
        <v>1.75</v>
      </c>
      <c r="V84" s="329">
        <v>0</v>
      </c>
      <c r="W84" s="297">
        <v>0</v>
      </c>
      <c r="X84" s="329">
        <v>0</v>
      </c>
      <c r="Y84" s="297">
        <v>1.6</v>
      </c>
      <c r="AB84" s="297"/>
      <c r="AC84" s="297"/>
      <c r="AD84" s="297"/>
      <c r="AE84" s="297"/>
      <c r="AF84" s="297"/>
      <c r="AG84" s="299" t="s">
        <v>403</v>
      </c>
      <c r="AH84" s="299" t="s">
        <v>404</v>
      </c>
      <c r="AI84" s="299">
        <v>2</v>
      </c>
      <c r="AJ84" s="299">
        <v>4</v>
      </c>
      <c r="AK84" s="388">
        <v>0.33329999999999999</v>
      </c>
      <c r="AL84" s="388">
        <v>0.66659999999999997</v>
      </c>
      <c r="AM84" s="299">
        <v>0</v>
      </c>
      <c r="AN84" s="299">
        <v>0</v>
      </c>
      <c r="AO84" s="299">
        <v>0</v>
      </c>
      <c r="AP84" s="299">
        <v>13</v>
      </c>
      <c r="AQ84" s="299">
        <v>0</v>
      </c>
      <c r="AR84" s="299">
        <v>0</v>
      </c>
      <c r="AS84" s="299">
        <v>0</v>
      </c>
      <c r="AT84" s="299">
        <v>0</v>
      </c>
      <c r="AU84" s="299">
        <v>0</v>
      </c>
      <c r="AV84" s="299">
        <v>0</v>
      </c>
      <c r="AW84" s="299">
        <v>0</v>
      </c>
      <c r="AX84" s="299">
        <v>0</v>
      </c>
      <c r="AY84" s="297"/>
      <c r="AZ84" s="299" t="s">
        <v>38</v>
      </c>
      <c r="BA84" s="299">
        <v>12</v>
      </c>
      <c r="BB84" s="299" t="s">
        <v>38</v>
      </c>
      <c r="BC84" s="299"/>
      <c r="BD84" s="298"/>
      <c r="BE84" s="298"/>
      <c r="BF84" s="299"/>
      <c r="BG84" s="299" t="s">
        <v>41</v>
      </c>
      <c r="BH84" s="298"/>
      <c r="BI84" s="366" t="s">
        <v>430</v>
      </c>
      <c r="BJ84" t="s">
        <v>368</v>
      </c>
    </row>
    <row r="85" spans="1:62" x14ac:dyDescent="0.15">
      <c r="A85" s="297">
        <v>1430</v>
      </c>
      <c r="B85" s="328">
        <v>43292</v>
      </c>
      <c r="C85" s="296" t="s">
        <v>10</v>
      </c>
      <c r="D85" s="297" t="s">
        <v>54</v>
      </c>
      <c r="E85" s="309">
        <v>43145</v>
      </c>
      <c r="F85" s="298" t="s">
        <v>27</v>
      </c>
      <c r="G85" s="379" t="s">
        <v>28</v>
      </c>
      <c r="H85" s="297">
        <v>80</v>
      </c>
      <c r="I85" s="376" t="s">
        <v>402</v>
      </c>
      <c r="J85" s="331">
        <v>3200</v>
      </c>
      <c r="K85" s="331">
        <v>3200</v>
      </c>
      <c r="L85" s="331">
        <v>3200</v>
      </c>
      <c r="M85" s="331">
        <v>3200</v>
      </c>
      <c r="N85" s="297"/>
      <c r="O85" s="297">
        <v>2.0499999999999998</v>
      </c>
      <c r="P85" s="297">
        <v>0</v>
      </c>
      <c r="Q85" s="297">
        <v>0</v>
      </c>
      <c r="R85" s="297">
        <v>0</v>
      </c>
      <c r="S85" s="297">
        <v>1.8</v>
      </c>
      <c r="T85" s="297"/>
      <c r="U85" s="297">
        <v>1.8</v>
      </c>
      <c r="V85" s="297">
        <v>0</v>
      </c>
      <c r="W85" s="297">
        <v>0</v>
      </c>
      <c r="X85" s="297">
        <v>0</v>
      </c>
      <c r="Y85" s="297">
        <v>1.6</v>
      </c>
      <c r="AB85" s="297"/>
      <c r="AC85" s="297"/>
      <c r="AD85" s="297"/>
      <c r="AE85" s="297"/>
      <c r="AF85" s="297"/>
      <c r="AG85" s="299" t="s">
        <v>403</v>
      </c>
      <c r="AH85" s="299" t="s">
        <v>404</v>
      </c>
      <c r="AI85" s="299">
        <v>2</v>
      </c>
      <c r="AJ85" s="299">
        <v>4</v>
      </c>
      <c r="AK85" s="388">
        <v>0.33329999999999999</v>
      </c>
      <c r="AL85" s="388">
        <v>0.66659999999999997</v>
      </c>
      <c r="AM85" s="299">
        <v>0</v>
      </c>
      <c r="AN85" s="299">
        <v>0</v>
      </c>
      <c r="AO85" s="299">
        <v>10</v>
      </c>
      <c r="AP85" s="299">
        <v>0</v>
      </c>
      <c r="AQ85" s="299">
        <v>0</v>
      </c>
      <c r="AR85" s="299">
        <v>0</v>
      </c>
      <c r="AS85" s="299">
        <v>0</v>
      </c>
      <c r="AT85" s="299">
        <v>0</v>
      </c>
      <c r="AU85" s="299">
        <v>0</v>
      </c>
      <c r="AV85" s="299">
        <v>0</v>
      </c>
      <c r="AW85" s="299">
        <v>0</v>
      </c>
      <c r="AX85" s="299">
        <v>0</v>
      </c>
      <c r="AY85" s="299"/>
      <c r="AZ85" s="299" t="s">
        <v>38</v>
      </c>
      <c r="BA85" s="299"/>
      <c r="BB85" s="299" t="s">
        <v>38</v>
      </c>
      <c r="BC85" s="299"/>
      <c r="BD85" s="298"/>
      <c r="BE85" s="297"/>
      <c r="BF85" s="299"/>
      <c r="BG85" s="299" t="s">
        <v>43</v>
      </c>
      <c r="BH85" s="298"/>
      <c r="BI85" s="366" t="s">
        <v>430</v>
      </c>
      <c r="BJ85" t="s">
        <v>45</v>
      </c>
    </row>
    <row r="86" spans="1:62" x14ac:dyDescent="0.15">
      <c r="A86" s="297">
        <v>793</v>
      </c>
      <c r="B86" s="328">
        <v>43293</v>
      </c>
      <c r="C86" s="296" t="s">
        <v>10</v>
      </c>
      <c r="D86" s="297" t="s">
        <v>54</v>
      </c>
      <c r="E86" s="309">
        <v>43194</v>
      </c>
      <c r="F86" s="298" t="s">
        <v>29</v>
      </c>
      <c r="G86" s="297" t="s">
        <v>30</v>
      </c>
      <c r="H86" s="339">
        <v>76.81</v>
      </c>
      <c r="I86" s="376" t="s">
        <v>402</v>
      </c>
      <c r="J86" s="297">
        <v>6000</v>
      </c>
      <c r="K86" s="297">
        <v>12000</v>
      </c>
      <c r="L86" s="297">
        <v>84000</v>
      </c>
      <c r="M86" s="297">
        <v>84000</v>
      </c>
      <c r="N86" s="297"/>
      <c r="O86" s="340">
        <v>2.57</v>
      </c>
      <c r="P86" s="332">
        <v>2.5299999999999998</v>
      </c>
      <c r="Q86" s="332">
        <v>2.0099999999999998</v>
      </c>
      <c r="R86" s="297">
        <v>0</v>
      </c>
      <c r="S86" s="340">
        <v>2</v>
      </c>
      <c r="T86" s="297"/>
      <c r="U86" s="340">
        <v>2.1</v>
      </c>
      <c r="V86" s="332">
        <v>2.06</v>
      </c>
      <c r="W86" s="332">
        <v>1.94</v>
      </c>
      <c r="X86" s="297">
        <v>0</v>
      </c>
      <c r="Y86" s="341">
        <v>1.8</v>
      </c>
      <c r="AB86" s="297"/>
      <c r="AC86" s="297"/>
      <c r="AD86" s="297"/>
      <c r="AE86" s="297"/>
      <c r="AF86" s="297"/>
      <c r="AG86" s="299" t="s">
        <v>403</v>
      </c>
      <c r="AH86" s="299" t="s">
        <v>404</v>
      </c>
      <c r="AI86" s="299">
        <v>2</v>
      </c>
      <c r="AJ86" s="299">
        <v>4</v>
      </c>
      <c r="AK86" s="388">
        <v>0.33329999999999999</v>
      </c>
      <c r="AL86" s="388">
        <v>0.66659999999999997</v>
      </c>
      <c r="AM86" s="299">
        <v>0</v>
      </c>
      <c r="AN86" s="299">
        <v>0</v>
      </c>
      <c r="AO86" s="299">
        <v>0</v>
      </c>
      <c r="AP86" s="299">
        <v>26</v>
      </c>
      <c r="AQ86" s="299">
        <v>0</v>
      </c>
      <c r="AR86" s="299">
        <v>0</v>
      </c>
      <c r="AS86" s="299">
        <v>0</v>
      </c>
      <c r="AT86" s="299">
        <v>0</v>
      </c>
      <c r="AU86" s="299">
        <v>0</v>
      </c>
      <c r="AV86" s="299">
        <v>0</v>
      </c>
      <c r="AW86" s="299">
        <v>0</v>
      </c>
      <c r="AX86" s="299">
        <v>0</v>
      </c>
      <c r="AY86" s="297"/>
      <c r="AZ86" s="299" t="s">
        <v>38</v>
      </c>
      <c r="BA86" s="299">
        <v>24</v>
      </c>
      <c r="BB86" s="299" t="s">
        <v>38</v>
      </c>
      <c r="BC86" s="299"/>
      <c r="BD86" s="378" t="s">
        <v>46</v>
      </c>
      <c r="BE86" s="297" t="s">
        <v>365</v>
      </c>
      <c r="BF86" s="299">
        <v>50</v>
      </c>
      <c r="BG86" s="299" t="s">
        <v>43</v>
      </c>
      <c r="BH86" s="298"/>
      <c r="BI86" t="s">
        <v>430</v>
      </c>
      <c r="BJ86" s="366" t="s">
        <v>368</v>
      </c>
    </row>
    <row r="87" spans="1:62" x14ac:dyDescent="0.15">
      <c r="A87" s="297">
        <v>1609</v>
      </c>
      <c r="B87" s="328">
        <v>43293</v>
      </c>
      <c r="C87" s="296" t="s">
        <v>10</v>
      </c>
      <c r="D87" s="297" t="s">
        <v>54</v>
      </c>
      <c r="E87" s="309">
        <v>43221</v>
      </c>
      <c r="F87" s="297" t="s">
        <v>31</v>
      </c>
      <c r="G87" s="297" t="s">
        <v>32</v>
      </c>
      <c r="H87" s="332">
        <v>81.206000000000003</v>
      </c>
      <c r="I87" s="376" t="s">
        <v>402</v>
      </c>
      <c r="J87" s="297">
        <v>6000</v>
      </c>
      <c r="K87" s="297">
        <v>12000</v>
      </c>
      <c r="L87" s="297">
        <v>84000</v>
      </c>
      <c r="M87" s="297">
        <v>84000</v>
      </c>
      <c r="N87" s="332"/>
      <c r="O87" s="332">
        <v>2.2490000000000001</v>
      </c>
      <c r="P87" s="332">
        <v>2.1589999999999998</v>
      </c>
      <c r="Q87" s="332">
        <v>1.798</v>
      </c>
      <c r="R87" s="297">
        <v>0</v>
      </c>
      <c r="S87" s="332">
        <v>1.67</v>
      </c>
      <c r="T87" s="332"/>
      <c r="U87" s="332">
        <v>2.1179999999999999</v>
      </c>
      <c r="V87" s="332">
        <v>1.7090000000000001</v>
      </c>
      <c r="W87" s="332">
        <v>1.6819999999999999</v>
      </c>
      <c r="X87" s="297">
        <v>0</v>
      </c>
      <c r="Y87" s="332">
        <v>1.5629999999999999</v>
      </c>
      <c r="Z87" s="332"/>
      <c r="AA87" s="332"/>
      <c r="AB87" s="332"/>
      <c r="AC87" s="332"/>
      <c r="AD87" s="332"/>
      <c r="AE87" s="332"/>
      <c r="AF87" s="332"/>
      <c r="AG87" s="333" t="s">
        <v>403</v>
      </c>
      <c r="AH87" s="333" t="s">
        <v>404</v>
      </c>
      <c r="AI87" s="299">
        <v>2</v>
      </c>
      <c r="AJ87" s="299">
        <v>4</v>
      </c>
      <c r="AK87" s="388">
        <v>0.33329999999999999</v>
      </c>
      <c r="AL87" s="388">
        <v>0.66659999999999997</v>
      </c>
      <c r="AM87" s="299">
        <v>0</v>
      </c>
      <c r="AN87" s="299">
        <v>0</v>
      </c>
      <c r="AO87" s="299">
        <v>0</v>
      </c>
      <c r="AP87" s="299">
        <v>25</v>
      </c>
      <c r="AQ87" s="299">
        <v>0</v>
      </c>
      <c r="AR87" s="299">
        <v>0</v>
      </c>
      <c r="AS87" s="299">
        <v>0</v>
      </c>
      <c r="AT87" s="299">
        <v>0</v>
      </c>
      <c r="AU87" s="299">
        <v>0</v>
      </c>
      <c r="AV87" s="299">
        <v>0</v>
      </c>
      <c r="AW87" s="299">
        <v>0</v>
      </c>
      <c r="AX87" s="299">
        <v>0</v>
      </c>
      <c r="AY87" s="299"/>
      <c r="AZ87" s="299" t="s">
        <v>38</v>
      </c>
      <c r="BA87" s="299">
        <v>12</v>
      </c>
      <c r="BB87" s="299" t="s">
        <v>38</v>
      </c>
      <c r="BC87" s="299"/>
      <c r="BD87" s="298"/>
      <c r="BE87" s="297"/>
      <c r="BF87" s="299"/>
      <c r="BG87" s="299" t="s">
        <v>43</v>
      </c>
      <c r="BH87" s="298"/>
      <c r="BI87" t="s">
        <v>430</v>
      </c>
      <c r="BJ87" s="366" t="s">
        <v>368</v>
      </c>
    </row>
    <row r="88" spans="1:62" x14ac:dyDescent="0.15">
      <c r="A88" s="297">
        <v>1548</v>
      </c>
      <c r="B88" s="328">
        <v>43292</v>
      </c>
      <c r="C88" s="296" t="s">
        <v>10</v>
      </c>
      <c r="D88" s="297" t="s">
        <v>54</v>
      </c>
      <c r="E88" s="295">
        <v>43249</v>
      </c>
      <c r="F88" s="298" t="s">
        <v>987</v>
      </c>
      <c r="G88" s="297" t="s">
        <v>33</v>
      </c>
      <c r="H88" s="297">
        <v>96.8</v>
      </c>
      <c r="I88" s="376" t="s">
        <v>402</v>
      </c>
      <c r="J88" s="297">
        <v>6000</v>
      </c>
      <c r="K88" s="297">
        <v>12000</v>
      </c>
      <c r="L88" s="297">
        <v>12000</v>
      </c>
      <c r="M88" s="297">
        <v>12000</v>
      </c>
      <c r="N88" s="297"/>
      <c r="O88" s="297">
        <v>3.05</v>
      </c>
      <c r="P88" s="297">
        <v>2.9</v>
      </c>
      <c r="Q88" s="329">
        <v>0</v>
      </c>
      <c r="R88" s="329">
        <v>0</v>
      </c>
      <c r="S88" s="297">
        <v>2.4500000000000002</v>
      </c>
      <c r="T88" s="297"/>
      <c r="U88" s="297">
        <v>2.5</v>
      </c>
      <c r="V88" s="297">
        <v>2.4500000000000002</v>
      </c>
      <c r="W88" s="329">
        <v>0</v>
      </c>
      <c r="X88" s="329">
        <v>0</v>
      </c>
      <c r="Y88" s="297">
        <v>2.35</v>
      </c>
      <c r="Z88" s="297"/>
      <c r="AA88" s="297"/>
      <c r="AB88" s="297"/>
      <c r="AC88" s="297"/>
      <c r="AD88" s="297"/>
      <c r="AE88" s="297"/>
      <c r="AF88" s="297"/>
      <c r="AG88" s="299" t="s">
        <v>403</v>
      </c>
      <c r="AH88" s="299" t="s">
        <v>404</v>
      </c>
      <c r="AI88" s="299">
        <v>2</v>
      </c>
      <c r="AJ88" s="299">
        <v>4</v>
      </c>
      <c r="AK88" s="388">
        <v>0.33329999999999999</v>
      </c>
      <c r="AL88" s="388">
        <v>0.66659999999999997</v>
      </c>
      <c r="AM88" s="299">
        <v>0</v>
      </c>
      <c r="AN88" s="299">
        <v>0</v>
      </c>
      <c r="AO88" s="299">
        <v>5</v>
      </c>
      <c r="AP88" s="299">
        <v>0</v>
      </c>
      <c r="AQ88" s="299">
        <v>0</v>
      </c>
      <c r="AR88" s="299">
        <v>0</v>
      </c>
      <c r="AS88" s="299">
        <v>0</v>
      </c>
      <c r="AT88" s="299">
        <v>0</v>
      </c>
      <c r="AU88" s="299">
        <v>0</v>
      </c>
      <c r="AV88" s="299">
        <v>0</v>
      </c>
      <c r="AW88" s="299">
        <v>0</v>
      </c>
      <c r="AX88" s="299">
        <v>0</v>
      </c>
      <c r="AY88" s="299"/>
      <c r="AZ88" s="299" t="s">
        <v>38</v>
      </c>
      <c r="BA88" s="299"/>
      <c r="BB88" s="299" t="s">
        <v>38</v>
      </c>
      <c r="BC88" s="299"/>
      <c r="BD88" s="298"/>
      <c r="BE88" s="297"/>
      <c r="BF88" s="299"/>
      <c r="BG88" s="299" t="s">
        <v>41</v>
      </c>
      <c r="BH88" s="298" t="s">
        <v>370</v>
      </c>
      <c r="BI88" t="s">
        <v>430</v>
      </c>
      <c r="BJ88" t="s">
        <v>368</v>
      </c>
    </row>
    <row r="89" spans="1:62" x14ac:dyDescent="0.15">
      <c r="A89" s="297"/>
      <c r="B89" s="328">
        <v>43300</v>
      </c>
      <c r="C89" s="296" t="s">
        <v>295</v>
      </c>
      <c r="D89" s="297" t="s">
        <v>54</v>
      </c>
      <c r="E89" s="295">
        <v>43221</v>
      </c>
      <c r="F89" s="298" t="s">
        <v>1</v>
      </c>
      <c r="G89" s="297" t="s">
        <v>2</v>
      </c>
      <c r="H89" s="297">
        <v>98</v>
      </c>
      <c r="I89" s="376" t="s">
        <v>296</v>
      </c>
      <c r="J89" s="297">
        <v>12000</v>
      </c>
      <c r="K89" s="297">
        <v>12000</v>
      </c>
      <c r="L89" s="297">
        <v>12000</v>
      </c>
      <c r="M89" s="297">
        <v>12000</v>
      </c>
      <c r="N89" s="297"/>
      <c r="O89" s="297">
        <v>3</v>
      </c>
      <c r="P89" s="297">
        <v>0</v>
      </c>
      <c r="Q89" s="329">
        <v>0</v>
      </c>
      <c r="R89" s="329">
        <v>0</v>
      </c>
      <c r="S89" s="297">
        <v>2.4</v>
      </c>
      <c r="T89" s="297"/>
      <c r="U89" s="297">
        <v>1.9</v>
      </c>
      <c r="V89" s="297">
        <v>0</v>
      </c>
      <c r="W89" s="329">
        <v>0</v>
      </c>
      <c r="X89" s="329">
        <v>0</v>
      </c>
      <c r="Y89" s="297">
        <v>1.6</v>
      </c>
      <c r="Z89" s="297"/>
      <c r="AA89" s="297"/>
      <c r="AB89" s="297"/>
      <c r="AC89" s="297"/>
      <c r="AD89" s="297"/>
      <c r="AE89" s="297"/>
      <c r="AF89" s="297"/>
      <c r="AG89" s="299" t="s">
        <v>403</v>
      </c>
      <c r="AH89" s="299" t="s">
        <v>404</v>
      </c>
      <c r="AI89" s="299">
        <v>2</v>
      </c>
      <c r="AJ89" s="299">
        <v>4</v>
      </c>
      <c r="AK89" s="388">
        <v>0.33329999999999999</v>
      </c>
      <c r="AL89" s="388">
        <v>0.66659999999999997</v>
      </c>
      <c r="AM89" s="299">
        <v>0</v>
      </c>
      <c r="AN89" s="299">
        <v>0</v>
      </c>
      <c r="AO89" s="299">
        <v>34</v>
      </c>
      <c r="AP89" s="299">
        <v>0</v>
      </c>
      <c r="AQ89" s="299">
        <v>1</v>
      </c>
      <c r="AR89" s="299">
        <v>0</v>
      </c>
      <c r="AS89" s="299">
        <v>0</v>
      </c>
      <c r="AT89" s="299">
        <v>0</v>
      </c>
      <c r="AU89" s="299">
        <v>0</v>
      </c>
      <c r="AV89" s="299">
        <v>0</v>
      </c>
      <c r="AW89" s="299">
        <v>0</v>
      </c>
      <c r="AX89" s="299">
        <v>0</v>
      </c>
      <c r="AY89" s="299"/>
      <c r="AZ89" s="299" t="s">
        <v>38</v>
      </c>
      <c r="BA89" s="299"/>
      <c r="BB89" s="299"/>
      <c r="BC89" s="299"/>
      <c r="BD89" s="298"/>
      <c r="BE89" s="297"/>
      <c r="BF89" s="299"/>
      <c r="BG89" s="299" t="s">
        <v>41</v>
      </c>
      <c r="BH89" s="298"/>
    </row>
    <row r="90" spans="1:62" x14ac:dyDescent="0.15">
      <c r="A90" s="297">
        <v>1510</v>
      </c>
      <c r="B90" s="328">
        <v>43293</v>
      </c>
      <c r="C90" s="296" t="s">
        <v>10</v>
      </c>
      <c r="D90" s="297" t="s">
        <v>54</v>
      </c>
      <c r="E90" s="309">
        <v>43229</v>
      </c>
      <c r="F90" s="297" t="s">
        <v>34</v>
      </c>
      <c r="G90" s="297" t="s">
        <v>35</v>
      </c>
      <c r="H90" s="332">
        <v>89.6</v>
      </c>
      <c r="I90" s="376"/>
      <c r="J90" s="297"/>
      <c r="K90" s="297"/>
      <c r="L90" s="297"/>
      <c r="M90" s="297"/>
      <c r="N90" s="297"/>
      <c r="O90" s="332">
        <v>1.64</v>
      </c>
      <c r="P90" s="332"/>
      <c r="Q90" s="332"/>
      <c r="R90" s="332"/>
      <c r="S90" s="332"/>
      <c r="T90" s="332"/>
      <c r="U90" s="332">
        <v>1.44</v>
      </c>
      <c r="V90" s="332"/>
      <c r="W90" s="332"/>
      <c r="X90" s="332"/>
      <c r="Y90" s="332"/>
      <c r="Z90" s="297"/>
      <c r="AA90" s="297"/>
      <c r="AB90" s="297"/>
      <c r="AC90" s="297"/>
      <c r="AD90" s="297"/>
      <c r="AE90" s="297"/>
      <c r="AF90" s="297"/>
      <c r="AG90" s="299" t="s">
        <v>403</v>
      </c>
      <c r="AH90" s="299" t="s">
        <v>404</v>
      </c>
      <c r="AI90" s="299">
        <v>2</v>
      </c>
      <c r="AJ90" s="299">
        <v>4</v>
      </c>
      <c r="AK90" s="388">
        <v>0.33329999999999999</v>
      </c>
      <c r="AL90" s="388">
        <v>0.66659999999999997</v>
      </c>
      <c r="AM90" s="299">
        <v>0</v>
      </c>
      <c r="AN90" s="299">
        <v>0</v>
      </c>
      <c r="AO90" s="299">
        <v>5</v>
      </c>
      <c r="AP90" s="299">
        <v>0</v>
      </c>
      <c r="AQ90" s="299">
        <v>0</v>
      </c>
      <c r="AR90" s="299">
        <v>0</v>
      </c>
      <c r="AS90" s="299">
        <v>0</v>
      </c>
      <c r="AT90" s="299">
        <v>0</v>
      </c>
      <c r="AU90" s="299">
        <v>0</v>
      </c>
      <c r="AV90" s="299">
        <v>0</v>
      </c>
      <c r="AW90" s="299">
        <v>0</v>
      </c>
      <c r="AX90" s="299">
        <v>0</v>
      </c>
      <c r="AY90" s="299"/>
      <c r="AZ90" s="299" t="s">
        <v>38</v>
      </c>
      <c r="BA90" s="299"/>
      <c r="BB90" s="299" t="s">
        <v>38</v>
      </c>
      <c r="BC90" s="299"/>
      <c r="BD90" s="298"/>
      <c r="BE90" s="297"/>
      <c r="BF90" s="299"/>
      <c r="BG90" s="299" t="s">
        <v>43</v>
      </c>
      <c r="BH90" s="298" t="s">
        <v>47</v>
      </c>
      <c r="BI90" t="s">
        <v>55</v>
      </c>
      <c r="BJ90" t="s">
        <v>368</v>
      </c>
    </row>
    <row r="91" spans="1:62" x14ac:dyDescent="0.15">
      <c r="A91" s="297">
        <v>83</v>
      </c>
      <c r="B91" s="328">
        <v>43290</v>
      </c>
      <c r="C91" s="296" t="s">
        <v>10</v>
      </c>
      <c r="D91" s="297" t="s">
        <v>334</v>
      </c>
      <c r="E91" s="295">
        <v>43284</v>
      </c>
      <c r="F91" s="298" t="s">
        <v>12</v>
      </c>
      <c r="G91" s="297" t="s">
        <v>13</v>
      </c>
      <c r="H91" s="297">
        <v>88</v>
      </c>
      <c r="I91" s="376" t="s">
        <v>402</v>
      </c>
      <c r="J91" s="297">
        <v>6000</v>
      </c>
      <c r="K91" s="297">
        <v>12000</v>
      </c>
      <c r="L91" s="297">
        <v>84000</v>
      </c>
      <c r="M91" s="297">
        <v>84000</v>
      </c>
      <c r="N91" s="297"/>
      <c r="O91" s="297">
        <v>2.52</v>
      </c>
      <c r="P91" s="297">
        <v>2.4</v>
      </c>
      <c r="Q91" s="297">
        <v>1.83</v>
      </c>
      <c r="R91" s="329">
        <v>0</v>
      </c>
      <c r="S91" s="297">
        <v>1.56</v>
      </c>
      <c r="T91" s="297"/>
      <c r="U91" s="297">
        <v>2.16</v>
      </c>
      <c r="V91" s="297">
        <v>1.88</v>
      </c>
      <c r="W91" s="297">
        <v>1.73</v>
      </c>
      <c r="X91" s="329">
        <v>0</v>
      </c>
      <c r="Y91" s="297">
        <v>1.47</v>
      </c>
      <c r="Z91" s="297"/>
      <c r="AA91" s="297"/>
      <c r="AB91" s="297"/>
      <c r="AC91" s="297"/>
      <c r="AD91" s="297"/>
      <c r="AE91" s="297"/>
      <c r="AF91" s="297"/>
      <c r="AG91" s="299" t="s">
        <v>403</v>
      </c>
      <c r="AH91" s="299" t="s">
        <v>404</v>
      </c>
      <c r="AI91" s="299">
        <v>2</v>
      </c>
      <c r="AJ91" s="299">
        <v>4</v>
      </c>
      <c r="AK91" s="388">
        <v>0.33329999999999999</v>
      </c>
      <c r="AL91" s="388">
        <v>0.66659999999999997</v>
      </c>
      <c r="AM91" s="299">
        <v>0</v>
      </c>
      <c r="AN91" s="299">
        <v>0</v>
      </c>
      <c r="AO91" s="299">
        <v>0</v>
      </c>
      <c r="AP91" s="299">
        <v>26</v>
      </c>
      <c r="AQ91" s="299">
        <v>0</v>
      </c>
      <c r="AR91" s="299">
        <v>0</v>
      </c>
      <c r="AS91" s="299">
        <v>0</v>
      </c>
      <c r="AT91" s="299">
        <v>0</v>
      </c>
      <c r="AU91" s="299">
        <v>0</v>
      </c>
      <c r="AV91" s="299">
        <v>0</v>
      </c>
      <c r="AW91" s="299">
        <v>0</v>
      </c>
      <c r="AX91" s="299">
        <v>0</v>
      </c>
      <c r="AY91" s="299"/>
      <c r="AZ91" s="299" t="s">
        <v>38</v>
      </c>
      <c r="BA91" s="299">
        <v>12</v>
      </c>
      <c r="BB91" s="299" t="s">
        <v>38</v>
      </c>
      <c r="BC91" s="299"/>
      <c r="BD91" s="378" t="s">
        <v>39</v>
      </c>
      <c r="BE91" s="297" t="s">
        <v>40</v>
      </c>
      <c r="BF91" s="299">
        <v>25</v>
      </c>
      <c r="BG91" s="299" t="s">
        <v>41</v>
      </c>
      <c r="BH91" s="298"/>
      <c r="BI91" s="366" t="s">
        <v>430</v>
      </c>
      <c r="BJ91" s="366" t="s">
        <v>408</v>
      </c>
    </row>
    <row r="92" spans="1:62" x14ac:dyDescent="0.15">
      <c r="A92" s="297">
        <v>1167</v>
      </c>
      <c r="B92" s="328">
        <v>43300</v>
      </c>
      <c r="C92" s="296" t="s">
        <v>10</v>
      </c>
      <c r="D92" s="297" t="s">
        <v>334</v>
      </c>
      <c r="E92" s="309">
        <v>43293</v>
      </c>
      <c r="F92" s="298" t="s">
        <v>14</v>
      </c>
      <c r="G92" s="297" t="s">
        <v>15</v>
      </c>
      <c r="H92" s="297">
        <v>76.900000000000006</v>
      </c>
      <c r="I92" s="376" t="s">
        <v>402</v>
      </c>
      <c r="J92" s="331">
        <v>6000</v>
      </c>
      <c r="K92" s="331">
        <v>6000</v>
      </c>
      <c r="L92" s="331">
        <v>6000</v>
      </c>
      <c r="M92" s="331">
        <v>6000</v>
      </c>
      <c r="N92" s="297"/>
      <c r="O92" s="297">
        <v>2.42</v>
      </c>
      <c r="P92" s="329">
        <v>0</v>
      </c>
      <c r="Q92" s="297">
        <v>0</v>
      </c>
      <c r="R92" s="329">
        <v>0</v>
      </c>
      <c r="S92" s="297">
        <v>1.93</v>
      </c>
      <c r="T92" s="297"/>
      <c r="U92" s="297">
        <v>2.19</v>
      </c>
      <c r="V92" s="329">
        <v>0</v>
      </c>
      <c r="W92" s="297">
        <v>0</v>
      </c>
      <c r="X92" s="329">
        <v>0</v>
      </c>
      <c r="Y92" s="297">
        <v>1.77</v>
      </c>
      <c r="Z92" s="297"/>
      <c r="AA92" s="297"/>
      <c r="AB92" s="297"/>
      <c r="AC92" s="297"/>
      <c r="AD92" s="297"/>
      <c r="AE92" s="297"/>
      <c r="AF92" s="297"/>
      <c r="AG92" s="299" t="s">
        <v>403</v>
      </c>
      <c r="AH92" s="299" t="s">
        <v>404</v>
      </c>
      <c r="AI92" s="299">
        <v>2</v>
      </c>
      <c r="AJ92" s="299">
        <v>4</v>
      </c>
      <c r="AK92" s="388">
        <v>0.33329999999999999</v>
      </c>
      <c r="AL92" s="388">
        <v>0.66659999999999997</v>
      </c>
      <c r="AM92" s="299">
        <v>0</v>
      </c>
      <c r="AN92" s="299">
        <v>0</v>
      </c>
      <c r="AO92" s="299">
        <v>0</v>
      </c>
      <c r="AP92" s="299">
        <v>25</v>
      </c>
      <c r="AQ92" s="299">
        <v>0</v>
      </c>
      <c r="AR92" s="299">
        <v>0</v>
      </c>
      <c r="AS92" s="299">
        <v>0</v>
      </c>
      <c r="AT92" s="299">
        <v>0</v>
      </c>
      <c r="AU92" s="299">
        <v>0</v>
      </c>
      <c r="AV92" s="299">
        <v>0</v>
      </c>
      <c r="AW92" s="299">
        <v>0</v>
      </c>
      <c r="AX92" s="299">
        <v>0</v>
      </c>
      <c r="AY92" s="297"/>
      <c r="AZ92" s="299" t="s">
        <v>38</v>
      </c>
      <c r="BA92" s="299">
        <v>24</v>
      </c>
      <c r="BB92" s="299" t="s">
        <v>38</v>
      </c>
      <c r="BC92" s="299"/>
      <c r="BD92" s="298"/>
      <c r="BE92" s="297"/>
      <c r="BF92" s="299"/>
      <c r="BG92" s="299" t="s">
        <v>411</v>
      </c>
      <c r="BH92" s="298"/>
      <c r="BI92" t="s">
        <v>412</v>
      </c>
      <c r="BJ92" t="s">
        <v>368</v>
      </c>
    </row>
    <row r="93" spans="1:62" x14ac:dyDescent="0.15">
      <c r="A93" s="297">
        <v>1446</v>
      </c>
      <c r="B93" s="328">
        <v>43292</v>
      </c>
      <c r="C93" s="296" t="s">
        <v>10</v>
      </c>
      <c r="D93" s="297" t="s">
        <v>334</v>
      </c>
      <c r="E93" s="295">
        <v>43160</v>
      </c>
      <c r="F93" s="298" t="s">
        <v>16</v>
      </c>
      <c r="G93" s="379" t="s">
        <v>17</v>
      </c>
      <c r="H93" s="297">
        <v>96.8</v>
      </c>
      <c r="I93" s="376" t="s">
        <v>402</v>
      </c>
      <c r="J93" s="297">
        <v>6000</v>
      </c>
      <c r="K93" s="297">
        <v>12000</v>
      </c>
      <c r="L93" s="297">
        <v>12000</v>
      </c>
      <c r="M93" s="297">
        <v>12000</v>
      </c>
      <c r="N93" s="297"/>
      <c r="O93" s="297">
        <v>3.55</v>
      </c>
      <c r="P93" s="297">
        <v>3.05</v>
      </c>
      <c r="Q93" s="329">
        <v>0</v>
      </c>
      <c r="R93" s="329">
        <v>0</v>
      </c>
      <c r="S93" s="297">
        <v>2.2999999999999998</v>
      </c>
      <c r="T93" s="297"/>
      <c r="U93" s="297">
        <v>2.5</v>
      </c>
      <c r="V93" s="297">
        <v>2.4500000000000002</v>
      </c>
      <c r="W93" s="329">
        <v>0</v>
      </c>
      <c r="X93" s="329">
        <v>0</v>
      </c>
      <c r="Y93" s="297">
        <v>2.2999999999999998</v>
      </c>
      <c r="Z93" s="297"/>
      <c r="AA93" s="297"/>
      <c r="AB93" s="297"/>
      <c r="AC93" s="297"/>
      <c r="AD93" s="297"/>
      <c r="AE93" s="297"/>
      <c r="AF93" s="297"/>
      <c r="AG93" s="299" t="s">
        <v>403</v>
      </c>
      <c r="AH93" s="299" t="s">
        <v>404</v>
      </c>
      <c r="AI93" s="299">
        <v>2</v>
      </c>
      <c r="AJ93" s="299">
        <v>4</v>
      </c>
      <c r="AK93" s="388">
        <v>0.33329999999999999</v>
      </c>
      <c r="AL93" s="388">
        <v>0.66659999999999997</v>
      </c>
      <c r="AM93" s="299">
        <v>0</v>
      </c>
      <c r="AN93" s="299">
        <v>0</v>
      </c>
      <c r="AO93" s="299">
        <v>26</v>
      </c>
      <c r="AP93" s="299">
        <v>0</v>
      </c>
      <c r="AQ93" s="299">
        <v>0</v>
      </c>
      <c r="AR93" s="299">
        <v>0</v>
      </c>
      <c r="AS93" s="299">
        <v>0</v>
      </c>
      <c r="AT93" s="299">
        <v>0</v>
      </c>
      <c r="AU93" s="299">
        <v>0</v>
      </c>
      <c r="AV93" s="299">
        <v>0</v>
      </c>
      <c r="AW93" s="299">
        <v>0</v>
      </c>
      <c r="AX93" s="299">
        <v>0</v>
      </c>
      <c r="AY93" s="297"/>
      <c r="AZ93" s="299" t="s">
        <v>38</v>
      </c>
      <c r="BA93" s="299"/>
      <c r="BB93" s="299" t="s">
        <v>38</v>
      </c>
      <c r="BC93" s="299"/>
      <c r="BD93" s="298"/>
      <c r="BE93" s="297"/>
      <c r="BF93" s="299"/>
      <c r="BG93" s="299" t="s">
        <v>41</v>
      </c>
      <c r="BH93" s="298" t="s">
        <v>42</v>
      </c>
      <c r="BI93" s="366" t="s">
        <v>430</v>
      </c>
      <c r="BJ93" t="s">
        <v>368</v>
      </c>
    </row>
    <row r="94" spans="1:62" x14ac:dyDescent="0.15">
      <c r="A94" s="297">
        <v>1142</v>
      </c>
      <c r="B94" s="328">
        <v>43292</v>
      </c>
      <c r="C94" s="296" t="s">
        <v>10</v>
      </c>
      <c r="D94" s="297" t="s">
        <v>334</v>
      </c>
      <c r="E94" s="295">
        <v>43132</v>
      </c>
      <c r="F94" s="298" t="s">
        <v>18</v>
      </c>
      <c r="G94" s="297" t="s">
        <v>418</v>
      </c>
      <c r="H94" s="297">
        <v>82</v>
      </c>
      <c r="I94" s="376" t="s">
        <v>402</v>
      </c>
      <c r="J94" s="297">
        <v>6000</v>
      </c>
      <c r="K94" s="297">
        <v>12000</v>
      </c>
      <c r="L94" s="297">
        <v>84000</v>
      </c>
      <c r="M94" s="297">
        <v>84000</v>
      </c>
      <c r="N94" s="297"/>
      <c r="O94" s="297">
        <v>2.65</v>
      </c>
      <c r="P94" s="297">
        <v>2.5</v>
      </c>
      <c r="Q94" s="297">
        <v>1.95</v>
      </c>
      <c r="R94" s="329">
        <v>0</v>
      </c>
      <c r="S94" s="297">
        <v>1.75</v>
      </c>
      <c r="T94" s="297"/>
      <c r="U94" s="297">
        <v>2.3199999999999998</v>
      </c>
      <c r="V94" s="297">
        <v>1.9</v>
      </c>
      <c r="W94" s="297">
        <v>1.65</v>
      </c>
      <c r="X94" s="329">
        <v>0</v>
      </c>
      <c r="Y94" s="297">
        <v>1.5</v>
      </c>
      <c r="Z94" s="297"/>
      <c r="AA94" s="297"/>
      <c r="AB94" s="297"/>
      <c r="AC94" s="297"/>
      <c r="AD94" s="297"/>
      <c r="AE94" s="297"/>
      <c r="AF94" s="297"/>
      <c r="AG94" s="299" t="s">
        <v>403</v>
      </c>
      <c r="AH94" s="299" t="s">
        <v>404</v>
      </c>
      <c r="AI94" s="299">
        <v>3</v>
      </c>
      <c r="AJ94" s="299">
        <v>3</v>
      </c>
      <c r="AK94" s="388">
        <v>0.5</v>
      </c>
      <c r="AL94" s="388">
        <v>0.5</v>
      </c>
      <c r="AM94" s="299">
        <v>0</v>
      </c>
      <c r="AN94" s="299">
        <v>0</v>
      </c>
      <c r="AO94" s="299">
        <v>0</v>
      </c>
      <c r="AP94" s="299">
        <v>16</v>
      </c>
      <c r="AQ94" s="299">
        <v>0</v>
      </c>
      <c r="AR94" s="299">
        <v>0</v>
      </c>
      <c r="AS94" s="299">
        <v>0</v>
      </c>
      <c r="AT94" s="299">
        <v>0</v>
      </c>
      <c r="AU94" s="299">
        <v>0</v>
      </c>
      <c r="AV94" s="299">
        <v>0</v>
      </c>
      <c r="AW94" s="299">
        <v>0</v>
      </c>
      <c r="AX94" s="299">
        <v>0</v>
      </c>
      <c r="AY94" s="299">
        <v>12</v>
      </c>
      <c r="AZ94" s="299" t="s">
        <v>38</v>
      </c>
      <c r="BA94" s="299"/>
      <c r="BB94" s="299" t="s">
        <v>38</v>
      </c>
      <c r="BC94" s="299"/>
      <c r="BD94" s="298"/>
      <c r="BE94" s="297"/>
      <c r="BF94" s="299"/>
      <c r="BG94" s="299" t="s">
        <v>41</v>
      </c>
      <c r="BH94" s="298"/>
      <c r="BI94" s="366" t="s">
        <v>430</v>
      </c>
      <c r="BJ94" s="366" t="s">
        <v>368</v>
      </c>
    </row>
    <row r="95" spans="1:62" x14ac:dyDescent="0.15">
      <c r="A95" s="297">
        <v>879</v>
      </c>
      <c r="B95" s="328">
        <v>43292</v>
      </c>
      <c r="C95" s="296" t="s">
        <v>10</v>
      </c>
      <c r="D95" s="297" t="s">
        <v>334</v>
      </c>
      <c r="E95" s="295">
        <v>43154</v>
      </c>
      <c r="F95" s="298" t="s">
        <v>19</v>
      </c>
      <c r="G95" s="297" t="s">
        <v>20</v>
      </c>
      <c r="H95" s="297">
        <v>79.900000000000006</v>
      </c>
      <c r="I95" s="376" t="s">
        <v>402</v>
      </c>
      <c r="J95" s="331">
        <v>3500</v>
      </c>
      <c r="K95" s="331">
        <v>3500</v>
      </c>
      <c r="L95" s="331">
        <v>3500</v>
      </c>
      <c r="M95" s="331">
        <v>3500</v>
      </c>
      <c r="N95" s="297"/>
      <c r="O95" s="297">
        <v>2.76</v>
      </c>
      <c r="P95" s="329">
        <v>0</v>
      </c>
      <c r="Q95" s="297">
        <v>0</v>
      </c>
      <c r="R95" s="329">
        <v>0</v>
      </c>
      <c r="S95" s="297">
        <v>2.35</v>
      </c>
      <c r="T95" s="297"/>
      <c r="U95" s="297">
        <v>2.2200000000000002</v>
      </c>
      <c r="V95" s="329">
        <v>0</v>
      </c>
      <c r="W95" s="297">
        <v>0</v>
      </c>
      <c r="X95" s="329">
        <v>0</v>
      </c>
      <c r="Y95" s="297">
        <v>1.83</v>
      </c>
      <c r="Z95" s="297"/>
      <c r="AA95" s="297"/>
      <c r="AB95" s="297"/>
      <c r="AC95" s="297"/>
      <c r="AD95" s="297"/>
      <c r="AE95" s="297"/>
      <c r="AF95" s="297"/>
      <c r="AG95" s="299" t="s">
        <v>403</v>
      </c>
      <c r="AH95" s="299" t="s">
        <v>404</v>
      </c>
      <c r="AI95" s="299">
        <v>2</v>
      </c>
      <c r="AJ95" s="299">
        <v>4</v>
      </c>
      <c r="AK95" s="388">
        <v>0.33329999999999999</v>
      </c>
      <c r="AL95" s="388">
        <v>0.66659999999999997</v>
      </c>
      <c r="AM95" s="299">
        <v>0</v>
      </c>
      <c r="AN95" s="299">
        <v>0</v>
      </c>
      <c r="AO95" s="299">
        <v>0</v>
      </c>
      <c r="AP95" s="299">
        <v>0</v>
      </c>
      <c r="AQ95" s="299">
        <v>0</v>
      </c>
      <c r="AR95" s="299">
        <v>25</v>
      </c>
      <c r="AS95" s="299">
        <v>0</v>
      </c>
      <c r="AT95" s="299">
        <v>0</v>
      </c>
      <c r="AU95" s="299">
        <v>0</v>
      </c>
      <c r="AV95" s="299">
        <v>0</v>
      </c>
      <c r="AW95" s="299">
        <v>0</v>
      </c>
      <c r="AX95" s="299">
        <v>0</v>
      </c>
      <c r="AY95" s="297"/>
      <c r="AZ95" s="299" t="s">
        <v>38</v>
      </c>
      <c r="BA95" s="299"/>
      <c r="BB95" s="299" t="s">
        <v>38</v>
      </c>
      <c r="BC95" s="299"/>
      <c r="BD95" s="298"/>
      <c r="BE95" s="297"/>
      <c r="BF95" s="299"/>
      <c r="BG95" s="299" t="s">
        <v>43</v>
      </c>
      <c r="BH95" s="298"/>
      <c r="BI95" s="366" t="s">
        <v>430</v>
      </c>
      <c r="BJ95" s="366" t="s">
        <v>368</v>
      </c>
    </row>
    <row r="96" spans="1:62" x14ac:dyDescent="0.15">
      <c r="A96" s="297">
        <v>751</v>
      </c>
      <c r="B96" s="328">
        <v>43291</v>
      </c>
      <c r="C96" s="296" t="s">
        <v>10</v>
      </c>
      <c r="D96" s="297" t="s">
        <v>334</v>
      </c>
      <c r="E96" s="295">
        <v>43223</v>
      </c>
      <c r="F96" s="298" t="s">
        <v>21</v>
      </c>
      <c r="G96" s="380" t="s">
        <v>1097</v>
      </c>
      <c r="H96" s="297">
        <v>88</v>
      </c>
      <c r="I96" s="376" t="s">
        <v>402</v>
      </c>
      <c r="J96" s="297">
        <v>12000</v>
      </c>
      <c r="K96" s="297">
        <v>12000</v>
      </c>
      <c r="L96" s="297">
        <v>12000</v>
      </c>
      <c r="M96" s="297">
        <v>12000</v>
      </c>
      <c r="N96" s="297"/>
      <c r="O96" s="297">
        <v>2.72</v>
      </c>
      <c r="P96" s="329">
        <v>0</v>
      </c>
      <c r="Q96" s="297">
        <v>0</v>
      </c>
      <c r="R96" s="329">
        <v>0</v>
      </c>
      <c r="S96" s="297">
        <v>1.7</v>
      </c>
      <c r="T96" s="297"/>
      <c r="U96" s="297">
        <v>1.9</v>
      </c>
      <c r="V96" s="329">
        <v>0</v>
      </c>
      <c r="W96" s="297">
        <v>0</v>
      </c>
      <c r="X96" s="329">
        <v>0</v>
      </c>
      <c r="Y96" s="297">
        <v>1.9</v>
      </c>
      <c r="Z96" s="297"/>
      <c r="AA96" s="297"/>
      <c r="AB96" s="297"/>
      <c r="AC96" s="297"/>
      <c r="AD96" s="297"/>
      <c r="AE96" s="297"/>
      <c r="AF96" s="297"/>
      <c r="AG96" s="299" t="s">
        <v>403</v>
      </c>
      <c r="AH96" s="299" t="s">
        <v>404</v>
      </c>
      <c r="AI96" s="299">
        <v>2</v>
      </c>
      <c r="AJ96" s="299">
        <v>4</v>
      </c>
      <c r="AK96" s="388">
        <v>0.33329999999999999</v>
      </c>
      <c r="AL96" s="388">
        <v>0.66659999999999997</v>
      </c>
      <c r="AM96" s="299">
        <v>0</v>
      </c>
      <c r="AN96" s="299">
        <v>34</v>
      </c>
      <c r="AO96" s="299">
        <v>0</v>
      </c>
      <c r="AP96" s="299">
        <v>0</v>
      </c>
      <c r="AQ96" s="299">
        <v>0</v>
      </c>
      <c r="AR96" s="299">
        <v>0</v>
      </c>
      <c r="AS96" s="299">
        <v>0</v>
      </c>
      <c r="AT96" s="299">
        <v>0</v>
      </c>
      <c r="AU96" s="299">
        <v>0</v>
      </c>
      <c r="AV96" s="299">
        <v>0</v>
      </c>
      <c r="AW96" s="299">
        <v>0</v>
      </c>
      <c r="AX96" s="299">
        <v>0</v>
      </c>
      <c r="AY96" s="297"/>
      <c r="AZ96" s="299" t="s">
        <v>38</v>
      </c>
      <c r="BA96" s="299">
        <v>12</v>
      </c>
      <c r="BB96" s="299" t="s">
        <v>38</v>
      </c>
      <c r="BC96" s="299"/>
      <c r="BD96" s="298" t="s">
        <v>218</v>
      </c>
      <c r="BE96" s="297" t="s">
        <v>40</v>
      </c>
      <c r="BF96" s="299">
        <v>50</v>
      </c>
      <c r="BG96" s="299" t="s">
        <v>41</v>
      </c>
      <c r="BH96" s="298"/>
      <c r="BI96" s="366" t="s">
        <v>430</v>
      </c>
      <c r="BJ96" s="366" t="s">
        <v>368</v>
      </c>
    </row>
    <row r="97" spans="1:62" x14ac:dyDescent="0.15">
      <c r="A97" s="297">
        <v>178</v>
      </c>
      <c r="B97" s="328">
        <v>43293</v>
      </c>
      <c r="C97" s="296" t="s">
        <v>10</v>
      </c>
      <c r="D97" s="297" t="s">
        <v>334</v>
      </c>
      <c r="E97" s="295">
        <v>43208</v>
      </c>
      <c r="F97" s="298" t="s">
        <v>22</v>
      </c>
      <c r="G97" s="297" t="s">
        <v>23</v>
      </c>
      <c r="H97" s="297">
        <v>79</v>
      </c>
      <c r="I97" s="376" t="s">
        <v>402</v>
      </c>
      <c r="J97" s="297">
        <v>6000</v>
      </c>
      <c r="K97" s="297">
        <v>12000</v>
      </c>
      <c r="L97" s="297">
        <v>84000</v>
      </c>
      <c r="M97" s="297">
        <v>84000</v>
      </c>
      <c r="N97" s="297"/>
      <c r="O97" s="297">
        <v>2.5499999999999998</v>
      </c>
      <c r="P97" s="297">
        <v>2.2000000000000002</v>
      </c>
      <c r="Q97" s="297">
        <v>1.6</v>
      </c>
      <c r="R97" s="297">
        <v>0</v>
      </c>
      <c r="S97" s="297">
        <v>1.55</v>
      </c>
      <c r="T97" s="297"/>
      <c r="U97" s="297">
        <v>1.8</v>
      </c>
      <c r="V97" s="297">
        <v>1.75</v>
      </c>
      <c r="W97" s="297">
        <v>1.59</v>
      </c>
      <c r="X97" s="297">
        <v>0</v>
      </c>
      <c r="Y97" s="297">
        <v>1.5</v>
      </c>
      <c r="Z97" s="297"/>
      <c r="AA97" s="297"/>
      <c r="AB97" s="297"/>
      <c r="AC97" s="297"/>
      <c r="AD97" s="297"/>
      <c r="AE97" s="297"/>
      <c r="AF97" s="297"/>
      <c r="AG97" s="299" t="s">
        <v>403</v>
      </c>
      <c r="AH97" s="299" t="s">
        <v>404</v>
      </c>
      <c r="AI97" s="299">
        <v>2</v>
      </c>
      <c r="AJ97" s="299">
        <v>4</v>
      </c>
      <c r="AK97" s="388">
        <v>0.33329999999999999</v>
      </c>
      <c r="AL97" s="388">
        <v>0.66659999999999997</v>
      </c>
      <c r="AM97" s="299">
        <v>0</v>
      </c>
      <c r="AN97" s="299">
        <v>0</v>
      </c>
      <c r="AO97" s="299">
        <v>15</v>
      </c>
      <c r="AP97" s="299">
        <v>0</v>
      </c>
      <c r="AQ97" s="299">
        <v>0</v>
      </c>
      <c r="AR97" s="299">
        <v>0</v>
      </c>
      <c r="AS97" s="299">
        <v>0</v>
      </c>
      <c r="AT97" s="299">
        <v>0</v>
      </c>
      <c r="AU97" s="299">
        <v>0</v>
      </c>
      <c r="AV97" s="299">
        <v>0</v>
      </c>
      <c r="AW97" s="299">
        <v>0</v>
      </c>
      <c r="AX97" s="299">
        <v>0</v>
      </c>
      <c r="AY97" s="297"/>
      <c r="AZ97" s="299" t="s">
        <v>38</v>
      </c>
      <c r="BA97" s="299"/>
      <c r="BB97" s="299" t="s">
        <v>38</v>
      </c>
      <c r="BC97" s="299"/>
      <c r="BD97" s="298" t="s">
        <v>429</v>
      </c>
      <c r="BE97" s="297"/>
      <c r="BF97" s="299"/>
      <c r="BG97" s="299" t="s">
        <v>41</v>
      </c>
      <c r="BH97" s="298"/>
      <c r="BI97" t="s">
        <v>430</v>
      </c>
      <c r="BJ97" t="s">
        <v>368</v>
      </c>
    </row>
    <row r="98" spans="1:62" x14ac:dyDescent="0.15">
      <c r="A98" s="297">
        <v>319</v>
      </c>
      <c r="B98" s="328">
        <v>43293</v>
      </c>
      <c r="C98" s="296" t="s">
        <v>10</v>
      </c>
      <c r="D98" s="297" t="s">
        <v>334</v>
      </c>
      <c r="E98" s="295">
        <v>43194</v>
      </c>
      <c r="F98" s="297" t="s">
        <v>24</v>
      </c>
      <c r="G98" s="297" t="s">
        <v>20</v>
      </c>
      <c r="H98" s="5">
        <v>81.97</v>
      </c>
      <c r="I98" s="376" t="s">
        <v>402</v>
      </c>
      <c r="J98" s="297">
        <v>6000</v>
      </c>
      <c r="K98" s="297">
        <v>12000</v>
      </c>
      <c r="L98" s="297">
        <v>84000</v>
      </c>
      <c r="M98" s="297">
        <v>84000</v>
      </c>
      <c r="N98" s="297"/>
      <c r="O98" s="297">
        <v>2</v>
      </c>
      <c r="P98" s="297">
        <v>1.75</v>
      </c>
      <c r="Q98" s="297">
        <v>1.45</v>
      </c>
      <c r="R98" s="297">
        <v>0</v>
      </c>
      <c r="S98" s="297">
        <v>1.43</v>
      </c>
      <c r="T98" s="297"/>
      <c r="U98" s="297">
        <v>1.5</v>
      </c>
      <c r="V98" s="297">
        <v>1.47</v>
      </c>
      <c r="W98" s="297">
        <v>1.4</v>
      </c>
      <c r="X98" s="297">
        <v>0</v>
      </c>
      <c r="Y98" s="297">
        <v>1.36</v>
      </c>
      <c r="Z98" s="297"/>
      <c r="AA98" s="297"/>
      <c r="AB98" s="297"/>
      <c r="AC98" s="297"/>
      <c r="AD98" s="297"/>
      <c r="AE98" s="297"/>
      <c r="AF98" s="297"/>
      <c r="AG98" s="299" t="s">
        <v>403</v>
      </c>
      <c r="AH98" s="299" t="s">
        <v>404</v>
      </c>
      <c r="AI98" s="299">
        <v>2</v>
      </c>
      <c r="AJ98" s="299">
        <v>4</v>
      </c>
      <c r="AK98" s="388">
        <v>0.33329999999999999</v>
      </c>
      <c r="AL98" s="388">
        <v>0.66659999999999997</v>
      </c>
      <c r="AM98" s="299">
        <v>0</v>
      </c>
      <c r="AN98" s="299">
        <v>0</v>
      </c>
      <c r="AO98" s="299">
        <v>0</v>
      </c>
      <c r="AP98" s="335">
        <v>0</v>
      </c>
      <c r="AQ98" s="299">
        <v>0</v>
      </c>
      <c r="AR98" s="299">
        <v>0</v>
      </c>
      <c r="AS98" s="299">
        <v>0</v>
      </c>
      <c r="AT98" s="299">
        <v>0</v>
      </c>
      <c r="AU98" s="299">
        <v>0</v>
      </c>
      <c r="AV98" s="299">
        <v>0</v>
      </c>
      <c r="AW98" s="299">
        <v>0</v>
      </c>
      <c r="AX98" s="299">
        <v>0</v>
      </c>
      <c r="AY98" s="297"/>
      <c r="AZ98" s="299" t="s">
        <v>38</v>
      </c>
      <c r="BA98" s="299"/>
      <c r="BB98" s="299" t="s">
        <v>38</v>
      </c>
      <c r="BC98" s="299"/>
      <c r="BD98" s="298" t="s">
        <v>44</v>
      </c>
      <c r="BE98" s="297" t="s">
        <v>40</v>
      </c>
      <c r="BF98" s="299">
        <v>50</v>
      </c>
      <c r="BG98" s="299" t="s">
        <v>43</v>
      </c>
      <c r="BH98" s="298"/>
      <c r="BI98" t="s">
        <v>430</v>
      </c>
      <c r="BJ98" s="366" t="s">
        <v>368</v>
      </c>
    </row>
    <row r="99" spans="1:62" x14ac:dyDescent="0.15">
      <c r="A99" s="297">
        <v>574</v>
      </c>
      <c r="B99" s="328">
        <v>43291</v>
      </c>
      <c r="C99" s="296" t="s">
        <v>10</v>
      </c>
      <c r="D99" s="297" t="s">
        <v>334</v>
      </c>
      <c r="E99" s="295">
        <v>43182</v>
      </c>
      <c r="F99" s="298" t="s">
        <v>25</v>
      </c>
      <c r="G99" s="297" t="s">
        <v>26</v>
      </c>
      <c r="H99" s="5">
        <v>78</v>
      </c>
      <c r="I99" s="376" t="s">
        <v>402</v>
      </c>
      <c r="J99" s="331">
        <v>3200</v>
      </c>
      <c r="K99" s="331">
        <v>3200</v>
      </c>
      <c r="L99" s="331">
        <v>3200</v>
      </c>
      <c r="M99" s="331">
        <v>3200</v>
      </c>
      <c r="N99" s="297"/>
      <c r="O99" s="297">
        <v>2.8</v>
      </c>
      <c r="P99" s="329">
        <v>0</v>
      </c>
      <c r="Q99" s="297">
        <v>0</v>
      </c>
      <c r="R99" s="329">
        <v>0</v>
      </c>
      <c r="S99" s="297">
        <v>2.2000000000000002</v>
      </c>
      <c r="T99" s="297"/>
      <c r="U99" s="297">
        <v>2</v>
      </c>
      <c r="V99" s="329">
        <v>0</v>
      </c>
      <c r="W99" s="297">
        <v>0</v>
      </c>
      <c r="X99" s="329">
        <v>0</v>
      </c>
      <c r="Y99" s="297">
        <v>1.6</v>
      </c>
      <c r="Z99" s="297"/>
      <c r="AA99" s="297"/>
      <c r="AB99" s="297"/>
      <c r="AC99" s="297"/>
      <c r="AD99" s="297"/>
      <c r="AE99" s="297"/>
      <c r="AF99" s="297"/>
      <c r="AG99" s="299" t="s">
        <v>403</v>
      </c>
      <c r="AH99" s="299" t="s">
        <v>404</v>
      </c>
      <c r="AI99" s="299">
        <v>2</v>
      </c>
      <c r="AJ99" s="299">
        <v>4</v>
      </c>
      <c r="AK99" s="388">
        <v>0.33329999999999999</v>
      </c>
      <c r="AL99" s="388">
        <v>0.66659999999999997</v>
      </c>
      <c r="AM99" s="299">
        <v>0</v>
      </c>
      <c r="AN99" s="299">
        <v>0</v>
      </c>
      <c r="AO99" s="299">
        <v>0</v>
      </c>
      <c r="AP99" s="335">
        <v>13</v>
      </c>
      <c r="AQ99" s="299">
        <v>0</v>
      </c>
      <c r="AR99" s="299">
        <v>0</v>
      </c>
      <c r="AS99" s="299">
        <v>0</v>
      </c>
      <c r="AT99" s="299">
        <v>0</v>
      </c>
      <c r="AU99" s="299">
        <v>0</v>
      </c>
      <c r="AV99" s="299">
        <v>0</v>
      </c>
      <c r="AW99" s="299">
        <v>0</v>
      </c>
      <c r="AX99" s="299">
        <v>0</v>
      </c>
      <c r="AY99" s="297"/>
      <c r="AZ99" s="299" t="s">
        <v>38</v>
      </c>
      <c r="BA99" s="299">
        <v>12</v>
      </c>
      <c r="BB99" s="299" t="s">
        <v>38</v>
      </c>
      <c r="BC99" s="299"/>
      <c r="BD99" s="298"/>
      <c r="BE99" s="298"/>
      <c r="BF99" s="299"/>
      <c r="BG99" s="299" t="s">
        <v>41</v>
      </c>
      <c r="BH99" s="298"/>
      <c r="BI99" s="366" t="s">
        <v>430</v>
      </c>
      <c r="BJ99" t="s">
        <v>368</v>
      </c>
    </row>
    <row r="100" spans="1:62" x14ac:dyDescent="0.15">
      <c r="A100" s="297">
        <v>1432</v>
      </c>
      <c r="B100" s="328">
        <v>43292</v>
      </c>
      <c r="C100" s="296" t="s">
        <v>10</v>
      </c>
      <c r="D100" s="297" t="s">
        <v>334</v>
      </c>
      <c r="E100" s="309">
        <v>43145</v>
      </c>
      <c r="F100" s="298" t="s">
        <v>27</v>
      </c>
      <c r="G100" s="379" t="s">
        <v>28</v>
      </c>
      <c r="H100" s="5">
        <v>80</v>
      </c>
      <c r="I100" s="376" t="s">
        <v>402</v>
      </c>
      <c r="J100" s="331">
        <v>3500</v>
      </c>
      <c r="K100" s="331">
        <v>3500</v>
      </c>
      <c r="L100" s="331">
        <v>3500</v>
      </c>
      <c r="M100" s="331">
        <v>3500</v>
      </c>
      <c r="N100" s="297"/>
      <c r="O100">
        <v>2.65</v>
      </c>
      <c r="P100">
        <v>0</v>
      </c>
      <c r="Q100">
        <v>0</v>
      </c>
      <c r="R100">
        <v>0</v>
      </c>
      <c r="S100">
        <v>1.85</v>
      </c>
      <c r="T100" s="297"/>
      <c r="U100">
        <v>1.85</v>
      </c>
      <c r="V100">
        <v>0</v>
      </c>
      <c r="W100">
        <v>0</v>
      </c>
      <c r="X100">
        <v>0</v>
      </c>
      <c r="Y100">
        <v>1.7</v>
      </c>
      <c r="Z100" s="297"/>
      <c r="AA100" s="297"/>
      <c r="AB100" s="297"/>
      <c r="AC100" s="297"/>
      <c r="AD100" s="297"/>
      <c r="AE100" s="297"/>
      <c r="AF100" s="297"/>
      <c r="AG100" s="299" t="s">
        <v>403</v>
      </c>
      <c r="AH100" s="299" t="s">
        <v>404</v>
      </c>
      <c r="AI100" s="299">
        <v>2</v>
      </c>
      <c r="AJ100" s="299">
        <v>4</v>
      </c>
      <c r="AK100" s="388">
        <v>0.33329999999999999</v>
      </c>
      <c r="AL100" s="388">
        <v>0.66659999999999997</v>
      </c>
      <c r="AM100" s="299">
        <v>0</v>
      </c>
      <c r="AN100" s="299">
        <v>0</v>
      </c>
      <c r="AO100" s="299">
        <v>10</v>
      </c>
      <c r="AP100" s="335">
        <v>0</v>
      </c>
      <c r="AQ100" s="299">
        <v>0</v>
      </c>
      <c r="AR100" s="299">
        <v>0</v>
      </c>
      <c r="AS100" s="299">
        <v>0</v>
      </c>
      <c r="AT100" s="299">
        <v>0</v>
      </c>
      <c r="AU100" s="299">
        <v>0</v>
      </c>
      <c r="AV100" s="299">
        <v>0</v>
      </c>
      <c r="AW100" s="299">
        <v>0</v>
      </c>
      <c r="AX100" s="299">
        <v>0</v>
      </c>
      <c r="AY100" s="299"/>
      <c r="AZ100" s="299" t="s">
        <v>38</v>
      </c>
      <c r="BA100" s="299"/>
      <c r="BB100" s="299" t="s">
        <v>38</v>
      </c>
      <c r="BC100" s="299"/>
      <c r="BD100" s="298"/>
      <c r="BE100" s="297"/>
      <c r="BF100" s="299"/>
      <c r="BG100" s="299" t="s">
        <v>43</v>
      </c>
      <c r="BH100" s="298"/>
      <c r="BI100" s="366" t="s">
        <v>430</v>
      </c>
      <c r="BJ100" t="s">
        <v>45</v>
      </c>
    </row>
    <row r="101" spans="1:62" x14ac:dyDescent="0.15">
      <c r="A101" s="297">
        <v>799</v>
      </c>
      <c r="B101" s="328">
        <v>43293</v>
      </c>
      <c r="C101" s="296" t="s">
        <v>295</v>
      </c>
      <c r="D101" s="297" t="s">
        <v>334</v>
      </c>
      <c r="E101" s="309">
        <v>43194</v>
      </c>
      <c r="F101" s="298" t="s">
        <v>984</v>
      </c>
      <c r="G101" s="297" t="s">
        <v>30</v>
      </c>
      <c r="H101" s="297">
        <v>76.81</v>
      </c>
      <c r="I101" s="376" t="s">
        <v>296</v>
      </c>
      <c r="J101" s="297">
        <v>6000</v>
      </c>
      <c r="K101" s="297">
        <v>12000</v>
      </c>
      <c r="L101" s="297">
        <v>84000</v>
      </c>
      <c r="M101" s="297">
        <v>84000</v>
      </c>
      <c r="N101" s="297"/>
      <c r="O101" s="297">
        <v>2.88</v>
      </c>
      <c r="P101" s="297">
        <v>2.82</v>
      </c>
      <c r="Q101" s="297">
        <v>1.91</v>
      </c>
      <c r="R101">
        <v>0</v>
      </c>
      <c r="S101" s="297">
        <v>1.87</v>
      </c>
      <c r="T101" s="297"/>
      <c r="U101" s="297">
        <v>2.2000000000000002</v>
      </c>
      <c r="V101" s="297">
        <v>2.12</v>
      </c>
      <c r="W101" s="297">
        <v>1.9</v>
      </c>
      <c r="X101">
        <v>0</v>
      </c>
      <c r="Y101" s="297">
        <v>1.78</v>
      </c>
      <c r="Z101" s="297"/>
      <c r="AA101" s="297"/>
      <c r="AB101" s="297"/>
      <c r="AC101" s="297"/>
      <c r="AD101" s="297"/>
      <c r="AE101" s="297"/>
      <c r="AF101" s="297"/>
      <c r="AG101" s="299" t="s">
        <v>297</v>
      </c>
      <c r="AH101" s="299" t="s">
        <v>298</v>
      </c>
      <c r="AI101" s="299">
        <v>2</v>
      </c>
      <c r="AJ101" s="299">
        <v>4</v>
      </c>
      <c r="AK101" s="388">
        <v>0.33329999999999999</v>
      </c>
      <c r="AL101" s="388">
        <v>0.66659999999999997</v>
      </c>
      <c r="AM101" s="299">
        <v>0</v>
      </c>
      <c r="AN101" s="299">
        <v>0</v>
      </c>
      <c r="AO101" s="299">
        <v>0</v>
      </c>
      <c r="AP101" s="335">
        <v>26</v>
      </c>
      <c r="AQ101" s="299">
        <v>0</v>
      </c>
      <c r="AR101" s="299">
        <v>0</v>
      </c>
      <c r="AS101" s="299">
        <v>0</v>
      </c>
      <c r="AT101" s="299">
        <v>0</v>
      </c>
      <c r="AU101" s="299">
        <v>0</v>
      </c>
      <c r="AV101" s="299">
        <v>0</v>
      </c>
      <c r="AW101" s="299">
        <v>0</v>
      </c>
      <c r="AX101" s="299">
        <v>0</v>
      </c>
      <c r="AY101" s="297"/>
      <c r="AZ101" s="299" t="s">
        <v>38</v>
      </c>
      <c r="BA101" s="299">
        <v>24</v>
      </c>
      <c r="BB101" s="299" t="s">
        <v>38</v>
      </c>
      <c r="BC101" s="299"/>
      <c r="BD101" s="378" t="s">
        <v>46</v>
      </c>
      <c r="BE101" s="297" t="s">
        <v>365</v>
      </c>
      <c r="BF101" s="299">
        <v>50</v>
      </c>
      <c r="BG101" s="299" t="s">
        <v>43</v>
      </c>
      <c r="BH101" s="298"/>
      <c r="BI101" t="s">
        <v>430</v>
      </c>
      <c r="BJ101" s="366" t="s">
        <v>368</v>
      </c>
    </row>
    <row r="102" spans="1:62" x14ac:dyDescent="0.15">
      <c r="A102" s="297">
        <v>1608</v>
      </c>
      <c r="B102" s="328">
        <v>43293</v>
      </c>
      <c r="C102" s="296" t="s">
        <v>10</v>
      </c>
      <c r="D102" s="297" t="s">
        <v>334</v>
      </c>
      <c r="E102" s="309">
        <v>43221</v>
      </c>
      <c r="F102" s="297" t="s">
        <v>31</v>
      </c>
      <c r="G102" s="297" t="s">
        <v>32</v>
      </c>
      <c r="H102" s="332">
        <v>80.096000000000004</v>
      </c>
      <c r="I102" s="376" t="s">
        <v>402</v>
      </c>
      <c r="J102" s="297">
        <v>6000</v>
      </c>
      <c r="K102" s="297">
        <v>12000</v>
      </c>
      <c r="L102" s="297">
        <v>84000</v>
      </c>
      <c r="M102" s="297">
        <v>84000</v>
      </c>
      <c r="N102" s="332"/>
      <c r="O102" s="332">
        <v>2.7759999999999998</v>
      </c>
      <c r="P102" s="332">
        <v>2.6440000000000001</v>
      </c>
      <c r="Q102" s="332">
        <v>2.016</v>
      </c>
      <c r="R102">
        <v>0</v>
      </c>
      <c r="S102" s="332">
        <v>1.7190000000000001</v>
      </c>
      <c r="T102" s="332"/>
      <c r="U102" s="332">
        <v>2.194</v>
      </c>
      <c r="V102" s="332">
        <v>1.911</v>
      </c>
      <c r="W102" s="332">
        <v>1.7509999999999999</v>
      </c>
      <c r="X102">
        <v>0</v>
      </c>
      <c r="Y102" s="332">
        <v>1.4930000000000001</v>
      </c>
      <c r="Z102" s="332"/>
      <c r="AA102" s="332"/>
      <c r="AB102" s="332"/>
      <c r="AC102" s="332"/>
      <c r="AD102" s="332"/>
      <c r="AE102" s="332"/>
      <c r="AF102" s="332"/>
      <c r="AG102" s="333" t="s">
        <v>403</v>
      </c>
      <c r="AH102" s="333" t="s">
        <v>404</v>
      </c>
      <c r="AI102" s="299">
        <v>2</v>
      </c>
      <c r="AJ102" s="299">
        <v>4</v>
      </c>
      <c r="AK102" s="388">
        <v>0.33329999999999999</v>
      </c>
      <c r="AL102" s="388">
        <v>0.66659999999999997</v>
      </c>
      <c r="AM102" s="299">
        <v>0</v>
      </c>
      <c r="AN102" s="299">
        <v>0</v>
      </c>
      <c r="AO102" s="299">
        <v>0</v>
      </c>
      <c r="AP102" s="335">
        <v>25</v>
      </c>
      <c r="AQ102" s="299">
        <v>0</v>
      </c>
      <c r="AR102" s="299">
        <v>0</v>
      </c>
      <c r="AS102" s="299">
        <v>0</v>
      </c>
      <c r="AT102" s="299">
        <v>0</v>
      </c>
      <c r="AU102" s="299">
        <v>0</v>
      </c>
      <c r="AV102" s="299">
        <v>0</v>
      </c>
      <c r="AW102" s="299">
        <v>0</v>
      </c>
      <c r="AX102" s="299">
        <v>0</v>
      </c>
      <c r="AY102" s="299"/>
      <c r="AZ102" s="299" t="s">
        <v>38</v>
      </c>
      <c r="BA102" s="299">
        <v>12</v>
      </c>
      <c r="BB102" s="299" t="s">
        <v>38</v>
      </c>
      <c r="BC102" s="299"/>
      <c r="BD102" s="298"/>
      <c r="BE102" s="297"/>
      <c r="BF102" s="299"/>
      <c r="BG102" s="299" t="s">
        <v>43</v>
      </c>
      <c r="BH102" s="298"/>
      <c r="BI102" t="s">
        <v>430</v>
      </c>
      <c r="BJ102" s="366" t="s">
        <v>368</v>
      </c>
    </row>
    <row r="103" spans="1:62" x14ac:dyDescent="0.15">
      <c r="A103" s="297">
        <v>1547</v>
      </c>
      <c r="B103" s="328">
        <v>43292</v>
      </c>
      <c r="C103" s="296" t="s">
        <v>10</v>
      </c>
      <c r="D103" s="297" t="s">
        <v>334</v>
      </c>
      <c r="E103" s="295">
        <v>43249</v>
      </c>
      <c r="F103" s="298" t="s">
        <v>987</v>
      </c>
      <c r="G103" s="297" t="s">
        <v>33</v>
      </c>
      <c r="H103" s="297">
        <v>96.8</v>
      </c>
      <c r="I103" s="376" t="s">
        <v>402</v>
      </c>
      <c r="J103" s="297">
        <v>6000</v>
      </c>
      <c r="K103" s="297">
        <v>12000</v>
      </c>
      <c r="L103" s="297">
        <v>12000</v>
      </c>
      <c r="M103" s="297">
        <v>12000</v>
      </c>
      <c r="N103" s="297"/>
      <c r="O103" s="297">
        <v>3.55</v>
      </c>
      <c r="P103" s="297">
        <v>3.05</v>
      </c>
      <c r="Q103" s="329">
        <v>0</v>
      </c>
      <c r="R103" s="329">
        <v>0</v>
      </c>
      <c r="S103" s="297">
        <v>2.2999999999999998</v>
      </c>
      <c r="T103" s="297"/>
      <c r="U103" s="297">
        <v>2.5</v>
      </c>
      <c r="V103" s="297">
        <v>2.4500000000000002</v>
      </c>
      <c r="W103" s="329">
        <v>0</v>
      </c>
      <c r="X103" s="329">
        <v>0</v>
      </c>
      <c r="Y103" s="297">
        <v>2.2999999999999998</v>
      </c>
      <c r="Z103" s="297"/>
      <c r="AA103" s="297"/>
      <c r="AB103" s="297"/>
      <c r="AC103" s="297"/>
      <c r="AD103" s="297"/>
      <c r="AE103" s="297"/>
      <c r="AF103" s="297"/>
      <c r="AG103" s="299" t="s">
        <v>403</v>
      </c>
      <c r="AH103" s="299" t="s">
        <v>404</v>
      </c>
      <c r="AI103" s="299">
        <v>2</v>
      </c>
      <c r="AJ103" s="299">
        <v>4</v>
      </c>
      <c r="AK103" s="388">
        <v>0.33329999999999999</v>
      </c>
      <c r="AL103" s="388">
        <v>0.66659999999999997</v>
      </c>
      <c r="AM103" s="299">
        <v>0</v>
      </c>
      <c r="AN103" s="299">
        <v>0</v>
      </c>
      <c r="AO103" s="299">
        <v>5</v>
      </c>
      <c r="AP103" s="299">
        <v>0</v>
      </c>
      <c r="AQ103" s="299">
        <v>0</v>
      </c>
      <c r="AR103" s="299">
        <v>0</v>
      </c>
      <c r="AS103" s="299">
        <v>0</v>
      </c>
      <c r="AT103" s="299">
        <v>0</v>
      </c>
      <c r="AU103" s="299">
        <v>0</v>
      </c>
      <c r="AV103" s="299">
        <v>0</v>
      </c>
      <c r="AW103" s="299">
        <v>0</v>
      </c>
      <c r="AX103" s="299">
        <v>0</v>
      </c>
      <c r="AY103" s="299"/>
      <c r="AZ103" s="299" t="s">
        <v>38</v>
      </c>
      <c r="BA103" s="299"/>
      <c r="BB103" s="299" t="s">
        <v>38</v>
      </c>
      <c r="BC103" s="299"/>
      <c r="BD103" s="298"/>
      <c r="BE103" s="297"/>
      <c r="BF103" s="299"/>
      <c r="BG103" s="299" t="s">
        <v>41</v>
      </c>
      <c r="BH103" s="298" t="s">
        <v>370</v>
      </c>
      <c r="BI103" t="s">
        <v>430</v>
      </c>
      <c r="BJ103" t="s">
        <v>368</v>
      </c>
    </row>
    <row r="104" spans="1:62" x14ac:dyDescent="0.15">
      <c r="A104" s="297"/>
      <c r="B104" s="328">
        <v>43300</v>
      </c>
      <c r="C104" s="296" t="s">
        <v>295</v>
      </c>
      <c r="D104" s="297" t="s">
        <v>334</v>
      </c>
      <c r="E104" s="295">
        <v>43221</v>
      </c>
      <c r="F104" s="298" t="s">
        <v>1</v>
      </c>
      <c r="G104" s="297" t="s">
        <v>2</v>
      </c>
      <c r="H104" s="297">
        <v>98</v>
      </c>
      <c r="I104" s="376" t="s">
        <v>296</v>
      </c>
      <c r="J104" s="297">
        <v>12000</v>
      </c>
      <c r="K104" s="297">
        <v>12000</v>
      </c>
      <c r="L104" s="297">
        <v>12000</v>
      </c>
      <c r="M104" s="297">
        <v>12000</v>
      </c>
      <c r="N104" s="297"/>
      <c r="O104" s="297">
        <v>3</v>
      </c>
      <c r="P104" s="297">
        <v>0</v>
      </c>
      <c r="Q104" s="329">
        <v>0</v>
      </c>
      <c r="R104" s="329">
        <v>0</v>
      </c>
      <c r="S104" s="297">
        <v>2.4</v>
      </c>
      <c r="T104" s="297"/>
      <c r="U104" s="297">
        <v>1.9</v>
      </c>
      <c r="V104" s="297">
        <v>0</v>
      </c>
      <c r="W104" s="329">
        <v>0</v>
      </c>
      <c r="X104" s="329">
        <v>0</v>
      </c>
      <c r="Y104" s="297">
        <v>1.6</v>
      </c>
      <c r="Z104" s="297"/>
      <c r="AA104" s="297"/>
      <c r="AB104" s="297"/>
      <c r="AC104" s="297"/>
      <c r="AD104" s="297"/>
      <c r="AE104" s="297"/>
      <c r="AF104" s="297"/>
      <c r="AG104" s="299" t="s">
        <v>403</v>
      </c>
      <c r="AH104" s="299" t="s">
        <v>404</v>
      </c>
      <c r="AI104" s="299">
        <v>2</v>
      </c>
      <c r="AJ104" s="299">
        <v>4</v>
      </c>
      <c r="AK104" s="388">
        <v>0.33329999999999999</v>
      </c>
      <c r="AL104" s="388">
        <v>0.66659999999999997</v>
      </c>
      <c r="AM104" s="299">
        <v>0</v>
      </c>
      <c r="AN104" s="299">
        <v>0</v>
      </c>
      <c r="AO104" s="299">
        <v>34</v>
      </c>
      <c r="AP104" s="299">
        <v>0</v>
      </c>
      <c r="AQ104" s="299">
        <v>1</v>
      </c>
      <c r="AR104" s="299">
        <v>0</v>
      </c>
      <c r="AS104" s="299">
        <v>0</v>
      </c>
      <c r="AT104" s="299">
        <v>0</v>
      </c>
      <c r="AU104" s="299">
        <v>0</v>
      </c>
      <c r="AV104" s="299">
        <v>0</v>
      </c>
      <c r="AW104" s="299">
        <v>0</v>
      </c>
      <c r="AX104" s="299">
        <v>0</v>
      </c>
      <c r="AY104" s="299"/>
      <c r="AZ104" s="299" t="s">
        <v>38</v>
      </c>
      <c r="BA104" s="299"/>
      <c r="BB104" s="299"/>
      <c r="BC104" s="299"/>
      <c r="BD104" s="298"/>
      <c r="BE104" s="297"/>
      <c r="BF104" s="299"/>
      <c r="BG104" s="299" t="s">
        <v>41</v>
      </c>
      <c r="BH104" s="298"/>
    </row>
    <row r="105" spans="1:62" x14ac:dyDescent="0.15">
      <c r="A105" s="297">
        <v>1509</v>
      </c>
      <c r="B105" s="328">
        <v>43293</v>
      </c>
      <c r="C105" s="296" t="s">
        <v>10</v>
      </c>
      <c r="D105" s="297" t="s">
        <v>334</v>
      </c>
      <c r="E105" s="309">
        <v>43229</v>
      </c>
      <c r="F105" s="297" t="s">
        <v>34</v>
      </c>
      <c r="G105" s="297" t="s">
        <v>35</v>
      </c>
      <c r="H105" s="332">
        <v>94.56</v>
      </c>
      <c r="I105" s="376"/>
      <c r="J105" s="297"/>
      <c r="K105" s="297"/>
      <c r="L105" s="297"/>
      <c r="M105" s="297"/>
      <c r="N105" s="297"/>
      <c r="O105" s="332">
        <v>1.76</v>
      </c>
      <c r="P105" s="332"/>
      <c r="Q105" s="332"/>
      <c r="R105" s="332"/>
      <c r="S105" s="332"/>
      <c r="T105" s="332"/>
      <c r="U105" s="332">
        <v>1.45</v>
      </c>
      <c r="V105" s="332"/>
      <c r="W105" s="332"/>
      <c r="X105" s="332"/>
      <c r="Y105" s="332"/>
      <c r="Z105" s="297"/>
      <c r="AA105" s="297"/>
      <c r="AB105" s="297"/>
      <c r="AC105" s="297"/>
      <c r="AD105" s="297"/>
      <c r="AE105" s="297"/>
      <c r="AF105" s="297"/>
      <c r="AG105" s="299" t="s">
        <v>403</v>
      </c>
      <c r="AH105" s="299" t="s">
        <v>404</v>
      </c>
      <c r="AI105" s="299">
        <v>2</v>
      </c>
      <c r="AJ105" s="299">
        <v>4</v>
      </c>
      <c r="AK105" s="388">
        <v>0.33329999999999999</v>
      </c>
      <c r="AL105" s="388">
        <v>0.66659999999999997</v>
      </c>
      <c r="AM105" s="299">
        <v>0</v>
      </c>
      <c r="AN105" s="299">
        <v>0</v>
      </c>
      <c r="AO105" s="299">
        <v>5</v>
      </c>
      <c r="AP105" s="335">
        <v>0</v>
      </c>
      <c r="AQ105" s="299">
        <v>0</v>
      </c>
      <c r="AR105" s="299">
        <v>0</v>
      </c>
      <c r="AS105" s="299">
        <v>0</v>
      </c>
      <c r="AT105" s="299">
        <v>0</v>
      </c>
      <c r="AU105" s="299">
        <v>0</v>
      </c>
      <c r="AV105" s="299">
        <v>0</v>
      </c>
      <c r="AW105" s="299">
        <v>0</v>
      </c>
      <c r="AX105" s="299">
        <v>0</v>
      </c>
      <c r="AY105" s="299"/>
      <c r="AZ105" s="299" t="s">
        <v>38</v>
      </c>
      <c r="BA105" s="299"/>
      <c r="BB105" s="299" t="s">
        <v>38</v>
      </c>
      <c r="BC105" s="299"/>
      <c r="BD105" s="298"/>
      <c r="BE105" s="297"/>
      <c r="BF105" s="299"/>
      <c r="BG105" s="299" t="s">
        <v>43</v>
      </c>
      <c r="BH105" s="298" t="s">
        <v>47</v>
      </c>
      <c r="BI105" t="s">
        <v>56</v>
      </c>
      <c r="BJ105" t="s">
        <v>368</v>
      </c>
    </row>
    <row r="106" spans="1:62" x14ac:dyDescent="0.15">
      <c r="A106" s="297">
        <v>82</v>
      </c>
      <c r="B106" s="328">
        <v>43290</v>
      </c>
      <c r="C106" s="296" t="s">
        <v>10</v>
      </c>
      <c r="D106" s="297" t="s">
        <v>57</v>
      </c>
      <c r="E106" s="295">
        <v>43284</v>
      </c>
      <c r="F106" s="298" t="s">
        <v>12</v>
      </c>
      <c r="G106" s="297" t="s">
        <v>13</v>
      </c>
      <c r="H106" s="297">
        <v>86</v>
      </c>
      <c r="I106" s="376" t="s">
        <v>402</v>
      </c>
      <c r="J106" s="297">
        <v>6000</v>
      </c>
      <c r="K106" s="297">
        <v>12000</v>
      </c>
      <c r="L106" s="297">
        <v>84000</v>
      </c>
      <c r="M106" s="297">
        <v>84000</v>
      </c>
      <c r="N106" s="297"/>
      <c r="O106" s="297">
        <v>2.5299999999999998</v>
      </c>
      <c r="P106" s="297">
        <v>2.4</v>
      </c>
      <c r="Q106" s="297">
        <v>1.59</v>
      </c>
      <c r="R106" s="329">
        <v>0</v>
      </c>
      <c r="S106" s="297">
        <v>1.54</v>
      </c>
      <c r="T106" s="297"/>
      <c r="U106" s="297">
        <v>2.3199999999999998</v>
      </c>
      <c r="V106" s="297">
        <v>1.77</v>
      </c>
      <c r="W106" s="297">
        <v>1.58</v>
      </c>
      <c r="X106" s="329">
        <v>0</v>
      </c>
      <c r="Y106" s="297">
        <v>1.43</v>
      </c>
      <c r="Z106" s="297"/>
      <c r="AA106" s="297"/>
      <c r="AB106" s="297"/>
      <c r="AC106" s="297"/>
      <c r="AD106" s="297"/>
      <c r="AE106" s="297"/>
      <c r="AF106" s="297"/>
      <c r="AG106" s="299" t="s">
        <v>403</v>
      </c>
      <c r="AH106" s="299" t="s">
        <v>404</v>
      </c>
      <c r="AI106" s="299">
        <v>2</v>
      </c>
      <c r="AJ106" s="299">
        <v>4</v>
      </c>
      <c r="AK106" s="388">
        <v>0.33329999999999999</v>
      </c>
      <c r="AL106" s="388">
        <v>0.66659999999999997</v>
      </c>
      <c r="AM106" s="299">
        <v>0</v>
      </c>
      <c r="AN106" s="299">
        <v>0</v>
      </c>
      <c r="AO106" s="299">
        <v>0</v>
      </c>
      <c r="AP106" s="335">
        <v>26</v>
      </c>
      <c r="AQ106" s="299">
        <v>0</v>
      </c>
      <c r="AR106" s="299">
        <v>0</v>
      </c>
      <c r="AS106" s="299">
        <v>0</v>
      </c>
      <c r="AT106" s="299">
        <v>0</v>
      </c>
      <c r="AU106" s="299">
        <v>0</v>
      </c>
      <c r="AV106" s="299">
        <v>0</v>
      </c>
      <c r="AW106" s="299">
        <v>0</v>
      </c>
      <c r="AX106" s="299">
        <v>0</v>
      </c>
      <c r="AY106" s="299"/>
      <c r="AZ106" s="299" t="s">
        <v>38</v>
      </c>
      <c r="BA106" s="299">
        <v>12</v>
      </c>
      <c r="BB106" s="299" t="s">
        <v>38</v>
      </c>
      <c r="BC106" s="299"/>
      <c r="BD106" s="378" t="s">
        <v>39</v>
      </c>
      <c r="BE106" s="297" t="s">
        <v>40</v>
      </c>
      <c r="BF106" s="299">
        <v>25</v>
      </c>
      <c r="BG106" s="299" t="s">
        <v>41</v>
      </c>
      <c r="BH106" s="298"/>
      <c r="BI106" s="366" t="s">
        <v>430</v>
      </c>
      <c r="BJ106" s="366" t="s">
        <v>408</v>
      </c>
    </row>
    <row r="107" spans="1:62" x14ac:dyDescent="0.15">
      <c r="A107" s="297">
        <v>1166</v>
      </c>
      <c r="B107" s="328">
        <v>43300</v>
      </c>
      <c r="C107" s="296" t="s">
        <v>10</v>
      </c>
      <c r="D107" s="297" t="s">
        <v>57</v>
      </c>
      <c r="E107" s="309">
        <v>43293</v>
      </c>
      <c r="F107" s="298" t="s">
        <v>14</v>
      </c>
      <c r="G107" s="297" t="s">
        <v>15</v>
      </c>
      <c r="H107" s="297">
        <v>74.900000000000006</v>
      </c>
      <c r="I107" s="376" t="s">
        <v>402</v>
      </c>
      <c r="J107" s="331">
        <v>6000</v>
      </c>
      <c r="K107" s="331">
        <v>6000</v>
      </c>
      <c r="L107" s="331">
        <v>6000</v>
      </c>
      <c r="M107" s="331">
        <v>6000</v>
      </c>
      <c r="N107" s="297"/>
      <c r="O107" s="297">
        <v>2.42</v>
      </c>
      <c r="P107" s="329">
        <v>0</v>
      </c>
      <c r="Q107" s="297">
        <v>0</v>
      </c>
      <c r="R107" s="329">
        <v>0</v>
      </c>
      <c r="S107" s="297">
        <v>1.89</v>
      </c>
      <c r="T107" s="297"/>
      <c r="U107" s="297">
        <v>2.2999999999999998</v>
      </c>
      <c r="V107" s="329">
        <v>0</v>
      </c>
      <c r="W107" s="297">
        <v>0</v>
      </c>
      <c r="X107" s="329">
        <v>0</v>
      </c>
      <c r="Y107" s="297">
        <v>1.77</v>
      </c>
      <c r="Z107" s="297"/>
      <c r="AA107" s="297"/>
      <c r="AB107" s="297"/>
      <c r="AC107" s="297"/>
      <c r="AD107" s="297"/>
      <c r="AE107" s="297"/>
      <c r="AF107" s="297"/>
      <c r="AG107" s="299" t="s">
        <v>403</v>
      </c>
      <c r="AH107" s="299" t="s">
        <v>404</v>
      </c>
      <c r="AI107" s="299">
        <v>2</v>
      </c>
      <c r="AJ107" s="299">
        <v>4</v>
      </c>
      <c r="AK107" s="388">
        <v>0.33329999999999999</v>
      </c>
      <c r="AL107" s="388">
        <v>0.66659999999999997</v>
      </c>
      <c r="AM107" s="299">
        <v>0</v>
      </c>
      <c r="AN107" s="299">
        <v>0</v>
      </c>
      <c r="AO107" s="299">
        <v>0</v>
      </c>
      <c r="AP107" s="335">
        <v>25</v>
      </c>
      <c r="AQ107" s="299">
        <v>0</v>
      </c>
      <c r="AR107" s="299">
        <v>0</v>
      </c>
      <c r="AS107" s="299">
        <v>0</v>
      </c>
      <c r="AT107" s="299">
        <v>0</v>
      </c>
      <c r="AU107" s="299">
        <v>0</v>
      </c>
      <c r="AV107" s="299">
        <v>0</v>
      </c>
      <c r="AW107" s="299">
        <v>0</v>
      </c>
      <c r="AX107" s="299">
        <v>0</v>
      </c>
      <c r="AY107" s="297"/>
      <c r="AZ107" s="299" t="s">
        <v>38</v>
      </c>
      <c r="BA107" s="299">
        <v>24</v>
      </c>
      <c r="BB107" s="299" t="s">
        <v>38</v>
      </c>
      <c r="BC107" s="299"/>
      <c r="BD107" s="298"/>
      <c r="BE107" s="297"/>
      <c r="BF107" s="299"/>
      <c r="BG107" s="299" t="s">
        <v>411</v>
      </c>
      <c r="BH107" s="298"/>
      <c r="BI107" t="s">
        <v>412</v>
      </c>
      <c r="BJ107" t="s">
        <v>368</v>
      </c>
    </row>
    <row r="108" spans="1:62" x14ac:dyDescent="0.15">
      <c r="A108" s="297">
        <v>1445</v>
      </c>
      <c r="B108" s="328">
        <v>43292</v>
      </c>
      <c r="C108" s="296" t="s">
        <v>10</v>
      </c>
      <c r="D108" s="297" t="s">
        <v>57</v>
      </c>
      <c r="E108" s="295">
        <v>43160</v>
      </c>
      <c r="F108" s="298" t="s">
        <v>16</v>
      </c>
      <c r="G108" s="379" t="s">
        <v>17</v>
      </c>
      <c r="H108" s="5">
        <v>96.8</v>
      </c>
      <c r="I108" s="376" t="s">
        <v>402</v>
      </c>
      <c r="J108" s="297">
        <v>6000</v>
      </c>
      <c r="K108" s="297">
        <v>12000</v>
      </c>
      <c r="L108" s="297">
        <v>12000</v>
      </c>
      <c r="M108" s="297">
        <v>12000</v>
      </c>
      <c r="N108" s="297"/>
      <c r="O108" s="297">
        <v>3.55</v>
      </c>
      <c r="P108" s="297">
        <v>3.05</v>
      </c>
      <c r="Q108" s="329">
        <v>0</v>
      </c>
      <c r="R108" s="329">
        <v>0</v>
      </c>
      <c r="S108" s="297">
        <v>2.2999999999999998</v>
      </c>
      <c r="T108" s="297"/>
      <c r="U108" s="297">
        <v>2.5</v>
      </c>
      <c r="V108" s="297">
        <v>2.4500000000000002</v>
      </c>
      <c r="W108" s="329">
        <v>0</v>
      </c>
      <c r="X108" s="329">
        <v>0</v>
      </c>
      <c r="Y108" s="297">
        <v>2.2999999999999998</v>
      </c>
      <c r="Z108" s="297"/>
      <c r="AA108" s="297"/>
      <c r="AB108" s="297"/>
      <c r="AC108" s="297"/>
      <c r="AD108" s="297"/>
      <c r="AE108" s="297"/>
      <c r="AF108" s="297"/>
      <c r="AG108" s="299" t="s">
        <v>403</v>
      </c>
      <c r="AH108" s="299" t="s">
        <v>404</v>
      </c>
      <c r="AI108" s="299">
        <v>2</v>
      </c>
      <c r="AJ108" s="299">
        <v>4</v>
      </c>
      <c r="AK108" s="388">
        <v>0.33329999999999999</v>
      </c>
      <c r="AL108" s="388">
        <v>0.66659999999999997</v>
      </c>
      <c r="AM108" s="299">
        <v>0</v>
      </c>
      <c r="AN108" s="299">
        <v>0</v>
      </c>
      <c r="AO108" s="299">
        <v>26</v>
      </c>
      <c r="AP108" s="299">
        <v>0</v>
      </c>
      <c r="AQ108" s="299">
        <v>0</v>
      </c>
      <c r="AR108" s="299">
        <v>0</v>
      </c>
      <c r="AS108" s="299">
        <v>0</v>
      </c>
      <c r="AT108" s="299">
        <v>0</v>
      </c>
      <c r="AU108" s="299">
        <v>0</v>
      </c>
      <c r="AV108" s="299">
        <v>0</v>
      </c>
      <c r="AW108" s="299">
        <v>0</v>
      </c>
      <c r="AX108" s="299">
        <v>0</v>
      </c>
      <c r="AY108" s="297"/>
      <c r="AZ108" s="299" t="s">
        <v>38</v>
      </c>
      <c r="BA108" s="299"/>
      <c r="BB108" s="299" t="s">
        <v>38</v>
      </c>
      <c r="BC108" s="299"/>
      <c r="BD108" s="298"/>
      <c r="BE108" s="297"/>
      <c r="BF108" s="299"/>
      <c r="BG108" s="299" t="s">
        <v>41</v>
      </c>
      <c r="BH108" s="298" t="s">
        <v>42</v>
      </c>
      <c r="BI108" s="366" t="s">
        <v>430</v>
      </c>
      <c r="BJ108" t="s">
        <v>368</v>
      </c>
    </row>
    <row r="109" spans="1:62" x14ac:dyDescent="0.15">
      <c r="A109" s="297">
        <v>1141</v>
      </c>
      <c r="B109" s="328">
        <v>43292</v>
      </c>
      <c r="C109" s="296" t="s">
        <v>10</v>
      </c>
      <c r="D109" s="297" t="s">
        <v>57</v>
      </c>
      <c r="E109" s="295">
        <v>43132</v>
      </c>
      <c r="F109" s="298" t="s">
        <v>18</v>
      </c>
      <c r="G109" s="297" t="s">
        <v>418</v>
      </c>
      <c r="H109" s="297">
        <v>82</v>
      </c>
      <c r="I109" s="376" t="s">
        <v>402</v>
      </c>
      <c r="J109" s="297">
        <v>6000</v>
      </c>
      <c r="K109" s="297">
        <v>12000</v>
      </c>
      <c r="L109" s="297">
        <v>84000</v>
      </c>
      <c r="M109" s="297">
        <v>84000</v>
      </c>
      <c r="N109" s="297"/>
      <c r="O109" s="297">
        <v>2.65</v>
      </c>
      <c r="P109" s="297">
        <v>2.5</v>
      </c>
      <c r="Q109" s="297">
        <v>1.95</v>
      </c>
      <c r="R109" s="329">
        <v>0</v>
      </c>
      <c r="S109" s="297">
        <v>1.75</v>
      </c>
      <c r="T109" s="297"/>
      <c r="U109" s="297">
        <v>2.3199999999999998</v>
      </c>
      <c r="V109" s="297">
        <v>1.9</v>
      </c>
      <c r="W109" s="297">
        <v>1.65</v>
      </c>
      <c r="X109" s="329">
        <v>0</v>
      </c>
      <c r="Y109" s="297">
        <v>1.5</v>
      </c>
      <c r="Z109" s="297"/>
      <c r="AA109" s="297"/>
      <c r="AB109" s="297"/>
      <c r="AC109" s="297"/>
      <c r="AD109" s="297"/>
      <c r="AE109" s="297"/>
      <c r="AF109" s="297"/>
      <c r="AG109" s="299" t="s">
        <v>403</v>
      </c>
      <c r="AH109" s="299" t="s">
        <v>404</v>
      </c>
      <c r="AI109" s="299">
        <v>3</v>
      </c>
      <c r="AJ109" s="299">
        <v>3</v>
      </c>
      <c r="AK109" s="388">
        <v>0.5</v>
      </c>
      <c r="AL109" s="388">
        <v>0.5</v>
      </c>
      <c r="AM109" s="299">
        <v>0</v>
      </c>
      <c r="AN109" s="299">
        <v>0</v>
      </c>
      <c r="AO109" s="299">
        <v>0</v>
      </c>
      <c r="AP109" s="299">
        <v>16</v>
      </c>
      <c r="AQ109" s="299">
        <v>0</v>
      </c>
      <c r="AR109" s="299">
        <v>0</v>
      </c>
      <c r="AS109" s="299">
        <v>0</v>
      </c>
      <c r="AT109" s="299">
        <v>0</v>
      </c>
      <c r="AU109" s="299">
        <v>0</v>
      </c>
      <c r="AV109" s="299">
        <v>0</v>
      </c>
      <c r="AW109" s="299">
        <v>0</v>
      </c>
      <c r="AX109" s="299">
        <v>0</v>
      </c>
      <c r="AY109" s="299">
        <v>12</v>
      </c>
      <c r="AZ109" s="299" t="s">
        <v>38</v>
      </c>
      <c r="BA109" s="299"/>
      <c r="BB109" s="299" t="s">
        <v>38</v>
      </c>
      <c r="BC109" s="299"/>
      <c r="BD109" s="298"/>
      <c r="BE109" s="297"/>
      <c r="BF109" s="299"/>
      <c r="BG109" s="299" t="s">
        <v>41</v>
      </c>
      <c r="BH109" s="298"/>
      <c r="BI109" s="366" t="s">
        <v>430</v>
      </c>
      <c r="BJ109" s="366" t="s">
        <v>368</v>
      </c>
    </row>
    <row r="110" spans="1:62" x14ac:dyDescent="0.15">
      <c r="A110" s="297">
        <v>878</v>
      </c>
      <c r="B110" s="328">
        <v>43292</v>
      </c>
      <c r="C110" s="296" t="s">
        <v>10</v>
      </c>
      <c r="D110" s="297" t="s">
        <v>57</v>
      </c>
      <c r="E110" s="295">
        <v>43154</v>
      </c>
      <c r="F110" s="298" t="s">
        <v>19</v>
      </c>
      <c r="G110" s="297" t="s">
        <v>20</v>
      </c>
      <c r="H110" s="5">
        <v>79.900000000000006</v>
      </c>
      <c r="I110" s="376" t="s">
        <v>402</v>
      </c>
      <c r="J110" s="331">
        <v>3200</v>
      </c>
      <c r="K110" s="331">
        <v>3200</v>
      </c>
      <c r="L110" s="331">
        <v>3200</v>
      </c>
      <c r="M110" s="331">
        <v>3200</v>
      </c>
      <c r="N110" s="297"/>
      <c r="O110" s="297">
        <v>2.82</v>
      </c>
      <c r="P110" s="329">
        <v>0</v>
      </c>
      <c r="Q110" s="297">
        <v>0</v>
      </c>
      <c r="R110" s="329">
        <v>0</v>
      </c>
      <c r="S110" s="297">
        <v>2.4</v>
      </c>
      <c r="T110" s="297"/>
      <c r="U110" s="297">
        <v>2.2799999999999998</v>
      </c>
      <c r="V110" s="329">
        <v>0</v>
      </c>
      <c r="W110" s="297">
        <v>0</v>
      </c>
      <c r="X110" s="329">
        <v>0</v>
      </c>
      <c r="Y110" s="297">
        <v>1.83</v>
      </c>
      <c r="Z110" s="297"/>
      <c r="AA110" s="297"/>
      <c r="AB110" s="297"/>
      <c r="AC110" s="297"/>
      <c r="AD110" s="297"/>
      <c r="AE110" s="297"/>
      <c r="AF110" s="297"/>
      <c r="AG110" s="299" t="s">
        <v>403</v>
      </c>
      <c r="AH110" s="299" t="s">
        <v>404</v>
      </c>
      <c r="AI110" s="299">
        <v>2</v>
      </c>
      <c r="AJ110" s="299">
        <v>4</v>
      </c>
      <c r="AK110" s="388">
        <v>0.33329999999999999</v>
      </c>
      <c r="AL110" s="388">
        <v>0.66659999999999997</v>
      </c>
      <c r="AM110" s="299">
        <v>0</v>
      </c>
      <c r="AN110" s="299">
        <v>0</v>
      </c>
      <c r="AO110" s="299">
        <v>0</v>
      </c>
      <c r="AP110" s="299">
        <v>0</v>
      </c>
      <c r="AQ110" s="299">
        <v>0</v>
      </c>
      <c r="AR110" s="299">
        <v>25</v>
      </c>
      <c r="AS110" s="299">
        <v>0</v>
      </c>
      <c r="AT110" s="299">
        <v>0</v>
      </c>
      <c r="AU110" s="299">
        <v>0</v>
      </c>
      <c r="AV110" s="299">
        <v>0</v>
      </c>
      <c r="AW110" s="299">
        <v>0</v>
      </c>
      <c r="AX110" s="299">
        <v>0</v>
      </c>
      <c r="AY110" s="297"/>
      <c r="AZ110" s="299" t="s">
        <v>38</v>
      </c>
      <c r="BA110" s="299"/>
      <c r="BB110" s="299" t="s">
        <v>38</v>
      </c>
      <c r="BC110" s="299"/>
      <c r="BD110" s="298"/>
      <c r="BE110" s="297"/>
      <c r="BF110" s="299"/>
      <c r="BG110" s="299" t="s">
        <v>43</v>
      </c>
      <c r="BH110" s="298"/>
      <c r="BI110" s="366" t="s">
        <v>430</v>
      </c>
      <c r="BJ110" s="366" t="s">
        <v>368</v>
      </c>
    </row>
    <row r="111" spans="1:62" x14ac:dyDescent="0.15">
      <c r="A111" s="297">
        <v>750</v>
      </c>
      <c r="B111" s="328">
        <v>43291</v>
      </c>
      <c r="C111" s="296" t="s">
        <v>10</v>
      </c>
      <c r="D111" s="297" t="s">
        <v>57</v>
      </c>
      <c r="E111" s="295">
        <v>43223</v>
      </c>
      <c r="F111" s="298" t="s">
        <v>21</v>
      </c>
      <c r="G111" s="380" t="s">
        <v>1097</v>
      </c>
      <c r="H111" s="297">
        <v>88</v>
      </c>
      <c r="I111" s="376" t="s">
        <v>402</v>
      </c>
      <c r="J111" s="297">
        <v>12000</v>
      </c>
      <c r="K111" s="297">
        <v>12000</v>
      </c>
      <c r="L111" s="297">
        <v>12000</v>
      </c>
      <c r="M111" s="297">
        <v>12000</v>
      </c>
      <c r="N111" s="297"/>
      <c r="O111" s="297">
        <v>2.72</v>
      </c>
      <c r="P111" s="329">
        <v>0</v>
      </c>
      <c r="Q111" s="297">
        <v>0</v>
      </c>
      <c r="R111" s="329">
        <v>0</v>
      </c>
      <c r="S111" s="297">
        <v>1.7</v>
      </c>
      <c r="T111" s="297"/>
      <c r="U111" s="297">
        <v>1.9</v>
      </c>
      <c r="V111" s="329">
        <v>0</v>
      </c>
      <c r="W111" s="297">
        <v>0</v>
      </c>
      <c r="X111" s="329">
        <v>0</v>
      </c>
      <c r="Y111" s="297">
        <v>1.9</v>
      </c>
      <c r="Z111" s="297"/>
      <c r="AA111" s="297"/>
      <c r="AB111" s="297"/>
      <c r="AC111" s="297"/>
      <c r="AD111" s="297"/>
      <c r="AE111" s="297"/>
      <c r="AF111" s="297"/>
      <c r="AG111" s="299" t="s">
        <v>403</v>
      </c>
      <c r="AH111" s="299" t="s">
        <v>404</v>
      </c>
      <c r="AI111" s="299">
        <v>2</v>
      </c>
      <c r="AJ111" s="299">
        <v>4</v>
      </c>
      <c r="AK111" s="388">
        <v>0.33329999999999999</v>
      </c>
      <c r="AL111" s="388">
        <v>0.66659999999999997</v>
      </c>
      <c r="AM111" s="299">
        <v>0</v>
      </c>
      <c r="AN111" s="299">
        <v>34</v>
      </c>
      <c r="AO111" s="299">
        <v>0</v>
      </c>
      <c r="AP111" s="299">
        <v>0</v>
      </c>
      <c r="AQ111" s="299">
        <v>0</v>
      </c>
      <c r="AR111" s="299">
        <v>0</v>
      </c>
      <c r="AS111" s="299">
        <v>0</v>
      </c>
      <c r="AT111" s="299">
        <v>0</v>
      </c>
      <c r="AU111" s="299">
        <v>0</v>
      </c>
      <c r="AV111" s="299">
        <v>0</v>
      </c>
      <c r="AW111" s="299">
        <v>0</v>
      </c>
      <c r="AX111" s="299">
        <v>0</v>
      </c>
      <c r="AY111" s="297"/>
      <c r="AZ111" s="299" t="s">
        <v>38</v>
      </c>
      <c r="BA111" s="299">
        <v>12</v>
      </c>
      <c r="BB111" s="299" t="s">
        <v>38</v>
      </c>
      <c r="BC111" s="299"/>
      <c r="BD111" s="298" t="s">
        <v>218</v>
      </c>
      <c r="BE111" s="297" t="s">
        <v>40</v>
      </c>
      <c r="BF111" s="299">
        <v>50</v>
      </c>
      <c r="BG111" s="299" t="s">
        <v>41</v>
      </c>
      <c r="BH111" s="298"/>
      <c r="BI111" s="366" t="s">
        <v>430</v>
      </c>
      <c r="BJ111" s="366" t="s">
        <v>368</v>
      </c>
    </row>
    <row r="112" spans="1:62" x14ac:dyDescent="0.15">
      <c r="A112" s="297">
        <v>177</v>
      </c>
      <c r="B112" s="328">
        <v>43293</v>
      </c>
      <c r="C112" s="296" t="s">
        <v>10</v>
      </c>
      <c r="D112" s="297" t="s">
        <v>57</v>
      </c>
      <c r="E112" s="295">
        <v>43208</v>
      </c>
      <c r="F112" s="298" t="s">
        <v>22</v>
      </c>
      <c r="G112" s="297" t="s">
        <v>23</v>
      </c>
      <c r="H112" s="297">
        <v>79</v>
      </c>
      <c r="I112" s="376" t="s">
        <v>402</v>
      </c>
      <c r="J112" s="297">
        <v>6000</v>
      </c>
      <c r="K112" s="297">
        <v>12000</v>
      </c>
      <c r="L112" s="297">
        <v>84000</v>
      </c>
      <c r="M112" s="297">
        <v>84000</v>
      </c>
      <c r="N112" s="297"/>
      <c r="O112" s="297">
        <v>2.5499999999999998</v>
      </c>
      <c r="P112" s="297">
        <v>2.2000000000000002</v>
      </c>
      <c r="Q112" s="297">
        <v>1.6</v>
      </c>
      <c r="R112" s="297">
        <v>0</v>
      </c>
      <c r="S112" s="297">
        <v>1.55</v>
      </c>
      <c r="T112" s="297"/>
      <c r="U112" s="297">
        <v>1.8</v>
      </c>
      <c r="V112" s="297">
        <v>1.75</v>
      </c>
      <c r="W112" s="297">
        <v>1.59</v>
      </c>
      <c r="X112" s="297">
        <v>0</v>
      </c>
      <c r="Y112" s="297">
        <v>1.5</v>
      </c>
      <c r="Z112" s="297"/>
      <c r="AA112" s="297"/>
      <c r="AB112" s="297"/>
      <c r="AC112" s="297"/>
      <c r="AD112" s="297"/>
      <c r="AE112" s="297"/>
      <c r="AF112" s="297"/>
      <c r="AG112" s="299" t="s">
        <v>403</v>
      </c>
      <c r="AH112" s="299" t="s">
        <v>404</v>
      </c>
      <c r="AI112" s="299">
        <v>2</v>
      </c>
      <c r="AJ112" s="299">
        <v>4</v>
      </c>
      <c r="AK112" s="388">
        <v>0.33329999999999999</v>
      </c>
      <c r="AL112" s="388">
        <v>0.66659999999999997</v>
      </c>
      <c r="AM112" s="299">
        <v>0</v>
      </c>
      <c r="AN112" s="299">
        <v>0</v>
      </c>
      <c r="AO112" s="299">
        <v>15</v>
      </c>
      <c r="AP112" s="299">
        <v>0</v>
      </c>
      <c r="AQ112" s="299">
        <v>0</v>
      </c>
      <c r="AR112" s="299">
        <v>0</v>
      </c>
      <c r="AS112" s="299">
        <v>0</v>
      </c>
      <c r="AT112" s="299">
        <v>0</v>
      </c>
      <c r="AU112" s="299">
        <v>0</v>
      </c>
      <c r="AV112" s="299">
        <v>0</v>
      </c>
      <c r="AW112" s="299">
        <v>0</v>
      </c>
      <c r="AX112" s="299">
        <v>0</v>
      </c>
      <c r="AY112" s="297"/>
      <c r="AZ112" s="299" t="s">
        <v>38</v>
      </c>
      <c r="BA112" s="299"/>
      <c r="BB112" s="299" t="s">
        <v>38</v>
      </c>
      <c r="BC112" s="299"/>
      <c r="BD112" s="298" t="s">
        <v>429</v>
      </c>
      <c r="BE112" s="297"/>
      <c r="BF112" s="299"/>
      <c r="BG112" s="299" t="s">
        <v>41</v>
      </c>
      <c r="BH112" s="298"/>
      <c r="BI112" t="s">
        <v>430</v>
      </c>
      <c r="BJ112" t="s">
        <v>368</v>
      </c>
    </row>
    <row r="113" spans="1:62" x14ac:dyDescent="0.15">
      <c r="A113" s="297">
        <v>318</v>
      </c>
      <c r="B113" s="328">
        <v>43293</v>
      </c>
      <c r="C113" s="296" t="s">
        <v>10</v>
      </c>
      <c r="D113" s="297" t="s">
        <v>57</v>
      </c>
      <c r="E113" s="295">
        <v>43194</v>
      </c>
      <c r="F113" s="297" t="s">
        <v>24</v>
      </c>
      <c r="G113" s="297" t="s">
        <v>20</v>
      </c>
      <c r="H113" s="297">
        <v>81.97</v>
      </c>
      <c r="I113" s="376" t="s">
        <v>402</v>
      </c>
      <c r="J113" s="297">
        <v>6000</v>
      </c>
      <c r="K113" s="297">
        <v>12000</v>
      </c>
      <c r="L113" s="297">
        <v>84000</v>
      </c>
      <c r="M113" s="297">
        <v>84000</v>
      </c>
      <c r="N113" s="297"/>
      <c r="O113" s="297">
        <v>2</v>
      </c>
      <c r="P113" s="297">
        <v>1.75</v>
      </c>
      <c r="Q113" s="297">
        <v>1.45</v>
      </c>
      <c r="R113" s="297">
        <v>0</v>
      </c>
      <c r="S113" s="297">
        <v>1.43</v>
      </c>
      <c r="T113" s="297"/>
      <c r="U113" s="297">
        <v>1.5</v>
      </c>
      <c r="V113" s="297">
        <v>1.47</v>
      </c>
      <c r="W113" s="297">
        <v>1.4</v>
      </c>
      <c r="X113" s="297">
        <v>0</v>
      </c>
      <c r="Y113" s="297">
        <v>1.36</v>
      </c>
      <c r="Z113" s="297"/>
      <c r="AA113" s="297"/>
      <c r="AB113" s="297"/>
      <c r="AC113" s="297"/>
      <c r="AD113" s="297"/>
      <c r="AE113" s="297"/>
      <c r="AF113" s="297"/>
      <c r="AG113" s="299" t="s">
        <v>403</v>
      </c>
      <c r="AH113" s="299" t="s">
        <v>404</v>
      </c>
      <c r="AI113" s="299">
        <v>2</v>
      </c>
      <c r="AJ113" s="299">
        <v>4</v>
      </c>
      <c r="AK113" s="388">
        <v>0.33329999999999999</v>
      </c>
      <c r="AL113" s="388">
        <v>0.66659999999999997</v>
      </c>
      <c r="AM113" s="299">
        <v>0</v>
      </c>
      <c r="AN113" s="299">
        <v>0</v>
      </c>
      <c r="AO113" s="299">
        <v>0</v>
      </c>
      <c r="AP113" s="299">
        <v>0</v>
      </c>
      <c r="AQ113" s="299">
        <v>0</v>
      </c>
      <c r="AR113" s="299">
        <v>0</v>
      </c>
      <c r="AS113" s="299">
        <v>0</v>
      </c>
      <c r="AT113" s="299">
        <v>0</v>
      </c>
      <c r="AU113" s="299">
        <v>0</v>
      </c>
      <c r="AV113" s="299">
        <v>0</v>
      </c>
      <c r="AW113" s="299">
        <v>0</v>
      </c>
      <c r="AX113" s="299">
        <v>0</v>
      </c>
      <c r="AY113" s="297"/>
      <c r="AZ113" s="299" t="s">
        <v>38</v>
      </c>
      <c r="BA113" s="299"/>
      <c r="BB113" s="299" t="s">
        <v>38</v>
      </c>
      <c r="BC113" s="299"/>
      <c r="BD113" s="298" t="s">
        <v>44</v>
      </c>
      <c r="BE113" s="297" t="s">
        <v>40</v>
      </c>
      <c r="BF113" s="299">
        <v>50</v>
      </c>
      <c r="BG113" s="299" t="s">
        <v>43</v>
      </c>
      <c r="BH113" s="298"/>
      <c r="BI113" t="s">
        <v>430</v>
      </c>
      <c r="BJ113" s="366" t="s">
        <v>368</v>
      </c>
    </row>
    <row r="114" spans="1:62" x14ac:dyDescent="0.15">
      <c r="A114" s="297">
        <v>573</v>
      </c>
      <c r="B114" s="328">
        <v>43291</v>
      </c>
      <c r="C114" s="296" t="s">
        <v>10</v>
      </c>
      <c r="D114" s="297" t="s">
        <v>57</v>
      </c>
      <c r="E114" s="295">
        <v>43182</v>
      </c>
      <c r="F114" s="298" t="s">
        <v>25</v>
      </c>
      <c r="G114" s="297" t="s">
        <v>26</v>
      </c>
      <c r="H114" s="297">
        <v>78</v>
      </c>
      <c r="I114" s="376" t="s">
        <v>402</v>
      </c>
      <c r="J114" s="331">
        <v>3200</v>
      </c>
      <c r="K114" s="331">
        <v>3200</v>
      </c>
      <c r="L114" s="331">
        <v>3200</v>
      </c>
      <c r="M114" s="331">
        <v>3200</v>
      </c>
      <c r="N114" s="297"/>
      <c r="O114" s="297">
        <v>2.8</v>
      </c>
      <c r="P114" s="329">
        <v>0</v>
      </c>
      <c r="Q114" s="297">
        <v>0</v>
      </c>
      <c r="R114" s="329">
        <v>0</v>
      </c>
      <c r="S114" s="297">
        <v>2.2000000000000002</v>
      </c>
      <c r="T114" s="297"/>
      <c r="U114" s="297">
        <v>2</v>
      </c>
      <c r="V114" s="329">
        <v>0</v>
      </c>
      <c r="W114" s="297">
        <v>0</v>
      </c>
      <c r="X114" s="329">
        <v>0</v>
      </c>
      <c r="Y114" s="297">
        <v>1.6</v>
      </c>
      <c r="Z114" s="297"/>
      <c r="AA114" s="297"/>
      <c r="AB114" s="297"/>
      <c r="AC114" s="297"/>
      <c r="AD114" s="297"/>
      <c r="AE114" s="297"/>
      <c r="AF114" s="297"/>
      <c r="AG114" s="299" t="s">
        <v>403</v>
      </c>
      <c r="AH114" s="299" t="s">
        <v>404</v>
      </c>
      <c r="AI114" s="299">
        <v>2</v>
      </c>
      <c r="AJ114" s="299">
        <v>4</v>
      </c>
      <c r="AK114" s="388">
        <v>0.33329999999999999</v>
      </c>
      <c r="AL114" s="388">
        <v>0.66659999999999997</v>
      </c>
      <c r="AM114" s="299">
        <v>0</v>
      </c>
      <c r="AN114" s="299">
        <v>0</v>
      </c>
      <c r="AO114" s="299">
        <v>0</v>
      </c>
      <c r="AP114" s="299">
        <v>13</v>
      </c>
      <c r="AQ114" s="299">
        <v>0</v>
      </c>
      <c r="AR114" s="299">
        <v>0</v>
      </c>
      <c r="AS114" s="299">
        <v>0</v>
      </c>
      <c r="AT114" s="299">
        <v>0</v>
      </c>
      <c r="AU114" s="299">
        <v>0</v>
      </c>
      <c r="AV114" s="299">
        <v>0</v>
      </c>
      <c r="AW114" s="299">
        <v>0</v>
      </c>
      <c r="AX114" s="299">
        <v>0</v>
      </c>
      <c r="AY114" s="297"/>
      <c r="AZ114" s="299" t="s">
        <v>38</v>
      </c>
      <c r="BA114" s="299">
        <v>12</v>
      </c>
      <c r="BB114" s="299" t="s">
        <v>38</v>
      </c>
      <c r="BC114" s="299"/>
      <c r="BD114" s="298"/>
      <c r="BE114" s="298"/>
      <c r="BF114" s="299"/>
      <c r="BG114" s="299" t="s">
        <v>41</v>
      </c>
      <c r="BH114" s="298"/>
      <c r="BI114" s="366" t="s">
        <v>430</v>
      </c>
      <c r="BJ114" t="s">
        <v>368</v>
      </c>
    </row>
    <row r="115" spans="1:62" x14ac:dyDescent="0.15">
      <c r="A115" s="297">
        <v>1431</v>
      </c>
      <c r="B115" s="328">
        <v>43292</v>
      </c>
      <c r="C115" s="296" t="s">
        <v>10</v>
      </c>
      <c r="D115" s="297" t="s">
        <v>57</v>
      </c>
      <c r="E115" s="309">
        <v>43145</v>
      </c>
      <c r="F115" s="298" t="s">
        <v>27</v>
      </c>
      <c r="G115" s="379" t="s">
        <v>28</v>
      </c>
      <c r="H115" s="297">
        <v>80</v>
      </c>
      <c r="I115" s="376" t="s">
        <v>402</v>
      </c>
      <c r="J115" s="331">
        <v>3200</v>
      </c>
      <c r="K115" s="331">
        <v>3200</v>
      </c>
      <c r="L115" s="331">
        <v>3200</v>
      </c>
      <c r="M115" s="331">
        <v>3200</v>
      </c>
      <c r="N115" s="297"/>
      <c r="O115" s="297">
        <v>2.25</v>
      </c>
      <c r="P115" s="297">
        <v>0</v>
      </c>
      <c r="Q115" s="297">
        <v>0</v>
      </c>
      <c r="R115" s="297">
        <v>0</v>
      </c>
      <c r="S115" s="297">
        <v>1.95</v>
      </c>
      <c r="T115" s="297"/>
      <c r="U115" s="297">
        <v>1.88</v>
      </c>
      <c r="V115" s="297">
        <v>0</v>
      </c>
      <c r="W115" s="297">
        <v>0</v>
      </c>
      <c r="X115" s="297">
        <v>0</v>
      </c>
      <c r="Y115" s="297">
        <v>1.58</v>
      </c>
      <c r="Z115" s="297"/>
      <c r="AA115" s="297"/>
      <c r="AB115" s="297"/>
      <c r="AC115" s="297"/>
      <c r="AD115" s="297"/>
      <c r="AE115" s="297"/>
      <c r="AF115" s="297"/>
      <c r="AG115" s="299" t="s">
        <v>403</v>
      </c>
      <c r="AH115" s="299" t="s">
        <v>404</v>
      </c>
      <c r="AI115" s="299">
        <v>2</v>
      </c>
      <c r="AJ115" s="299">
        <v>4</v>
      </c>
      <c r="AK115" s="388">
        <v>0.33329999999999999</v>
      </c>
      <c r="AL115" s="388">
        <v>0.66659999999999997</v>
      </c>
      <c r="AM115" s="299">
        <v>0</v>
      </c>
      <c r="AN115" s="299">
        <v>0</v>
      </c>
      <c r="AO115" s="299">
        <v>10</v>
      </c>
      <c r="AP115" s="299">
        <v>0</v>
      </c>
      <c r="AQ115" s="299">
        <v>0</v>
      </c>
      <c r="AR115" s="299">
        <v>0</v>
      </c>
      <c r="AS115" s="299">
        <v>0</v>
      </c>
      <c r="AT115" s="299">
        <v>0</v>
      </c>
      <c r="AU115" s="299">
        <v>0</v>
      </c>
      <c r="AV115" s="299">
        <v>0</v>
      </c>
      <c r="AW115" s="299">
        <v>0</v>
      </c>
      <c r="AX115" s="299">
        <v>0</v>
      </c>
      <c r="AY115" s="299"/>
      <c r="AZ115" s="299" t="s">
        <v>38</v>
      </c>
      <c r="BA115" s="299"/>
      <c r="BB115" s="299" t="s">
        <v>38</v>
      </c>
      <c r="BC115" s="299"/>
      <c r="BD115" s="298"/>
      <c r="BE115" s="297"/>
      <c r="BF115" s="299"/>
      <c r="BG115" s="299" t="s">
        <v>43</v>
      </c>
      <c r="BH115" s="298"/>
      <c r="BI115" s="366" t="s">
        <v>430</v>
      </c>
      <c r="BJ115" t="s">
        <v>45</v>
      </c>
    </row>
    <row r="116" spans="1:62" x14ac:dyDescent="0.15">
      <c r="A116" s="297">
        <v>796</v>
      </c>
      <c r="B116" s="328">
        <v>43293</v>
      </c>
      <c r="C116" s="296" t="s">
        <v>10</v>
      </c>
      <c r="D116" s="297" t="s">
        <v>57</v>
      </c>
      <c r="E116" s="309">
        <v>43194</v>
      </c>
      <c r="F116" s="298" t="s">
        <v>29</v>
      </c>
      <c r="G116" s="297" t="s">
        <v>30</v>
      </c>
      <c r="H116" s="339">
        <v>76.81</v>
      </c>
      <c r="I116" s="376" t="s">
        <v>402</v>
      </c>
      <c r="J116" s="297">
        <v>6000</v>
      </c>
      <c r="K116" s="297">
        <v>12000</v>
      </c>
      <c r="L116" s="297">
        <v>84000</v>
      </c>
      <c r="M116" s="297">
        <v>84000</v>
      </c>
      <c r="N116" s="297"/>
      <c r="O116" s="341">
        <v>2.88</v>
      </c>
      <c r="P116" s="332">
        <v>2.82</v>
      </c>
      <c r="Q116" s="332">
        <v>1.91</v>
      </c>
      <c r="R116" s="297">
        <v>0</v>
      </c>
      <c r="S116" s="341">
        <v>1.87</v>
      </c>
      <c r="T116" s="297"/>
      <c r="U116" s="340">
        <v>2.2000000000000002</v>
      </c>
      <c r="V116" s="332">
        <v>2.12</v>
      </c>
      <c r="W116" s="332">
        <v>1.9</v>
      </c>
      <c r="X116" s="297">
        <v>0</v>
      </c>
      <c r="Y116" s="341">
        <v>1.78</v>
      </c>
      <c r="Z116" s="297"/>
      <c r="AA116" s="297"/>
      <c r="AB116" s="297"/>
      <c r="AC116" s="297"/>
      <c r="AD116" s="297"/>
      <c r="AE116" s="297"/>
      <c r="AF116" s="297"/>
      <c r="AG116" s="299" t="s">
        <v>403</v>
      </c>
      <c r="AH116" s="299" t="s">
        <v>404</v>
      </c>
      <c r="AI116" s="299">
        <v>2</v>
      </c>
      <c r="AJ116" s="299">
        <v>4</v>
      </c>
      <c r="AK116" s="388">
        <v>0.33329999999999999</v>
      </c>
      <c r="AL116" s="388">
        <v>0.66659999999999997</v>
      </c>
      <c r="AM116" s="299">
        <v>0</v>
      </c>
      <c r="AN116" s="299">
        <v>0</v>
      </c>
      <c r="AO116" s="299">
        <v>0</v>
      </c>
      <c r="AP116" s="299">
        <v>26</v>
      </c>
      <c r="AQ116" s="299">
        <v>0</v>
      </c>
      <c r="AR116" s="299">
        <v>0</v>
      </c>
      <c r="AS116" s="299">
        <v>0</v>
      </c>
      <c r="AT116" s="299">
        <v>0</v>
      </c>
      <c r="AU116" s="299">
        <v>0</v>
      </c>
      <c r="AV116" s="299">
        <v>0</v>
      </c>
      <c r="AW116" s="299">
        <v>0</v>
      </c>
      <c r="AX116" s="299">
        <v>0</v>
      </c>
      <c r="AY116" s="297"/>
      <c r="AZ116" s="299" t="s">
        <v>38</v>
      </c>
      <c r="BA116" s="299">
        <v>24</v>
      </c>
      <c r="BB116" s="299" t="s">
        <v>38</v>
      </c>
      <c r="BC116" s="299"/>
      <c r="BD116" s="378" t="s">
        <v>46</v>
      </c>
      <c r="BE116" s="297" t="s">
        <v>365</v>
      </c>
      <c r="BF116" s="299">
        <v>50</v>
      </c>
      <c r="BG116" s="299" t="s">
        <v>43</v>
      </c>
      <c r="BH116" s="298"/>
      <c r="BI116" t="s">
        <v>430</v>
      </c>
      <c r="BJ116" s="366" t="s">
        <v>368</v>
      </c>
    </row>
    <row r="117" spans="1:62" x14ac:dyDescent="0.15">
      <c r="A117" s="297">
        <v>1606</v>
      </c>
      <c r="B117" s="328">
        <v>43293</v>
      </c>
      <c r="C117" s="296" t="s">
        <v>10</v>
      </c>
      <c r="D117" s="297" t="s">
        <v>57</v>
      </c>
      <c r="E117" s="309">
        <v>43221</v>
      </c>
      <c r="F117" s="297" t="s">
        <v>31</v>
      </c>
      <c r="G117" s="297" t="s">
        <v>32</v>
      </c>
      <c r="H117" s="332">
        <v>73</v>
      </c>
      <c r="I117" s="376" t="s">
        <v>402</v>
      </c>
      <c r="J117" s="297">
        <v>6000</v>
      </c>
      <c r="K117" s="297">
        <v>12000</v>
      </c>
      <c r="L117" s="297">
        <v>84000</v>
      </c>
      <c r="M117" s="297">
        <v>84000</v>
      </c>
      <c r="N117" s="332"/>
      <c r="O117" s="332">
        <v>2.86</v>
      </c>
      <c r="P117" s="332">
        <v>2.7589999999999999</v>
      </c>
      <c r="Q117" s="332">
        <v>1.8240000000000001</v>
      </c>
      <c r="R117" s="297">
        <v>0</v>
      </c>
      <c r="S117" s="332">
        <v>1.7749999999999999</v>
      </c>
      <c r="T117" s="332"/>
      <c r="U117" s="332">
        <v>2.335</v>
      </c>
      <c r="V117" s="332">
        <v>1.78</v>
      </c>
      <c r="W117" s="332">
        <v>1.5940000000000001</v>
      </c>
      <c r="X117" s="297">
        <v>0</v>
      </c>
      <c r="Y117" s="332">
        <v>1.4410000000000001</v>
      </c>
      <c r="Z117" s="332"/>
      <c r="AA117" s="332"/>
      <c r="AB117" s="332"/>
      <c r="AC117" s="332"/>
      <c r="AD117" s="332"/>
      <c r="AE117" s="332"/>
      <c r="AF117" s="332"/>
      <c r="AG117" s="333" t="s">
        <v>403</v>
      </c>
      <c r="AH117" s="333" t="s">
        <v>404</v>
      </c>
      <c r="AI117" s="299">
        <v>2</v>
      </c>
      <c r="AJ117" s="299">
        <v>4</v>
      </c>
      <c r="AK117" s="388">
        <v>0.33329999999999999</v>
      </c>
      <c r="AL117" s="388">
        <v>0.66659999999999997</v>
      </c>
      <c r="AM117" s="299">
        <v>0</v>
      </c>
      <c r="AN117" s="299">
        <v>0</v>
      </c>
      <c r="AO117" s="299">
        <v>0</v>
      </c>
      <c r="AP117" s="299">
        <v>25</v>
      </c>
      <c r="AQ117" s="299">
        <v>0</v>
      </c>
      <c r="AR117" s="299">
        <v>0</v>
      </c>
      <c r="AS117" s="299">
        <v>0</v>
      </c>
      <c r="AT117" s="299">
        <v>0</v>
      </c>
      <c r="AU117" s="299">
        <v>0</v>
      </c>
      <c r="AV117" s="299">
        <v>0</v>
      </c>
      <c r="AW117" s="299">
        <v>0</v>
      </c>
      <c r="AX117" s="299">
        <v>0</v>
      </c>
      <c r="AY117" s="299"/>
      <c r="AZ117" s="299" t="s">
        <v>38</v>
      </c>
      <c r="BA117" s="299">
        <v>12</v>
      </c>
      <c r="BB117" s="299" t="s">
        <v>38</v>
      </c>
      <c r="BC117" s="299"/>
      <c r="BD117" s="298"/>
      <c r="BE117" s="297"/>
      <c r="BF117" s="299"/>
      <c r="BG117" s="299" t="s">
        <v>43</v>
      </c>
      <c r="BH117" s="298"/>
      <c r="BI117" t="s">
        <v>430</v>
      </c>
      <c r="BJ117" s="366" t="s">
        <v>368</v>
      </c>
    </row>
    <row r="118" spans="1:62" x14ac:dyDescent="0.15">
      <c r="A118" s="297">
        <v>1546</v>
      </c>
      <c r="B118" s="328">
        <v>43292</v>
      </c>
      <c r="C118" s="296" t="s">
        <v>10</v>
      </c>
      <c r="D118" s="297" t="s">
        <v>57</v>
      </c>
      <c r="E118" s="295">
        <v>43249</v>
      </c>
      <c r="F118" s="298" t="s">
        <v>987</v>
      </c>
      <c r="G118" s="297" t="s">
        <v>33</v>
      </c>
      <c r="H118" s="5">
        <v>96.8</v>
      </c>
      <c r="I118" s="376" t="s">
        <v>402</v>
      </c>
      <c r="J118" s="297">
        <v>6000</v>
      </c>
      <c r="K118" s="297">
        <v>12000</v>
      </c>
      <c r="L118" s="297">
        <v>12000</v>
      </c>
      <c r="M118" s="297">
        <v>12000</v>
      </c>
      <c r="N118" s="297"/>
      <c r="O118" s="297">
        <v>3.55</v>
      </c>
      <c r="P118" s="297">
        <v>3.05</v>
      </c>
      <c r="Q118" s="329">
        <v>0</v>
      </c>
      <c r="R118" s="329">
        <v>0</v>
      </c>
      <c r="S118" s="297">
        <v>2.2999999999999998</v>
      </c>
      <c r="T118" s="297"/>
      <c r="U118" s="297">
        <v>2.5</v>
      </c>
      <c r="V118" s="297">
        <v>2.4500000000000002</v>
      </c>
      <c r="W118" s="329">
        <v>0</v>
      </c>
      <c r="X118" s="329">
        <v>0</v>
      </c>
      <c r="Y118" s="297">
        <v>2.2999999999999998</v>
      </c>
      <c r="Z118" s="297"/>
      <c r="AA118" s="297"/>
      <c r="AB118" s="297"/>
      <c r="AC118" s="297"/>
      <c r="AD118" s="297"/>
      <c r="AE118" s="297"/>
      <c r="AF118" s="297"/>
      <c r="AG118" s="299" t="s">
        <v>403</v>
      </c>
      <c r="AH118" s="299" t="s">
        <v>404</v>
      </c>
      <c r="AI118" s="299">
        <v>2</v>
      </c>
      <c r="AJ118" s="299">
        <v>4</v>
      </c>
      <c r="AK118" s="388">
        <v>0.33329999999999999</v>
      </c>
      <c r="AL118" s="388">
        <v>0.66659999999999997</v>
      </c>
      <c r="AM118" s="299">
        <v>0</v>
      </c>
      <c r="AN118" s="299">
        <v>0</v>
      </c>
      <c r="AO118" s="299">
        <v>5</v>
      </c>
      <c r="AP118" s="299">
        <v>0</v>
      </c>
      <c r="AQ118" s="299">
        <v>0</v>
      </c>
      <c r="AR118" s="299">
        <v>0</v>
      </c>
      <c r="AS118" s="299">
        <v>0</v>
      </c>
      <c r="AT118" s="299">
        <v>0</v>
      </c>
      <c r="AU118" s="299">
        <v>0</v>
      </c>
      <c r="AV118" s="299">
        <v>0</v>
      </c>
      <c r="AW118" s="299">
        <v>0</v>
      </c>
      <c r="AX118" s="299">
        <v>0</v>
      </c>
      <c r="AY118" s="299"/>
      <c r="AZ118" s="299" t="s">
        <v>38</v>
      </c>
      <c r="BA118" s="299"/>
      <c r="BB118" s="299" t="s">
        <v>38</v>
      </c>
      <c r="BC118" s="299"/>
      <c r="BD118" s="298"/>
      <c r="BE118" s="297"/>
      <c r="BF118" s="299"/>
      <c r="BG118" s="299" t="s">
        <v>41</v>
      </c>
      <c r="BH118" s="298" t="s">
        <v>370</v>
      </c>
      <c r="BI118" t="s">
        <v>430</v>
      </c>
      <c r="BJ118" t="s">
        <v>368</v>
      </c>
    </row>
    <row r="119" spans="1:62" x14ac:dyDescent="0.15">
      <c r="A119" s="297"/>
      <c r="B119" s="328">
        <v>43300</v>
      </c>
      <c r="C119" s="296" t="s">
        <v>295</v>
      </c>
      <c r="D119" s="297" t="s">
        <v>57</v>
      </c>
      <c r="E119" s="295">
        <v>43221</v>
      </c>
      <c r="F119" s="298" t="s">
        <v>1</v>
      </c>
      <c r="G119" s="297" t="s">
        <v>2</v>
      </c>
      <c r="H119" s="297">
        <v>98</v>
      </c>
      <c r="I119" s="376" t="s">
        <v>296</v>
      </c>
      <c r="J119" s="297">
        <v>12000</v>
      </c>
      <c r="K119" s="297">
        <v>12000</v>
      </c>
      <c r="L119" s="297">
        <v>12000</v>
      </c>
      <c r="M119" s="297">
        <v>12000</v>
      </c>
      <c r="N119" s="297"/>
      <c r="O119" s="297">
        <v>3</v>
      </c>
      <c r="P119" s="297">
        <v>0</v>
      </c>
      <c r="Q119" s="329">
        <v>0</v>
      </c>
      <c r="R119" s="329">
        <v>0</v>
      </c>
      <c r="S119" s="297">
        <v>2.4</v>
      </c>
      <c r="T119" s="297"/>
      <c r="U119" s="297">
        <v>1.9</v>
      </c>
      <c r="V119" s="297">
        <v>0</v>
      </c>
      <c r="W119" s="329">
        <v>0</v>
      </c>
      <c r="X119" s="329">
        <v>0</v>
      </c>
      <c r="Y119" s="297">
        <v>1.6</v>
      </c>
      <c r="AG119" s="299" t="s">
        <v>403</v>
      </c>
      <c r="AH119" s="299" t="s">
        <v>404</v>
      </c>
      <c r="AI119" s="299">
        <v>2</v>
      </c>
      <c r="AJ119" s="299">
        <v>4</v>
      </c>
      <c r="AK119" s="388">
        <v>0.33329999999999999</v>
      </c>
      <c r="AL119" s="388">
        <v>0.66659999999999997</v>
      </c>
      <c r="AM119" s="299">
        <v>0</v>
      </c>
      <c r="AN119" s="299">
        <v>0</v>
      </c>
      <c r="AO119" s="299">
        <v>34</v>
      </c>
      <c r="AP119" s="299">
        <v>0</v>
      </c>
      <c r="AQ119" s="299">
        <v>1</v>
      </c>
      <c r="AR119" s="299">
        <v>0</v>
      </c>
      <c r="AS119" s="299">
        <v>0</v>
      </c>
      <c r="AT119" s="299">
        <v>0</v>
      </c>
      <c r="AU119" s="299">
        <v>0</v>
      </c>
      <c r="AV119" s="299">
        <v>0</v>
      </c>
      <c r="AW119" s="299">
        <v>0</v>
      </c>
      <c r="AX119" s="299">
        <v>0</v>
      </c>
      <c r="AY119" s="299"/>
      <c r="AZ119" s="299" t="s">
        <v>38</v>
      </c>
      <c r="BA119" s="299"/>
      <c r="BB119" s="299"/>
      <c r="BC119" s="299"/>
      <c r="BD119" s="298"/>
      <c r="BE119" s="297"/>
      <c r="BF119" s="299"/>
      <c r="BG119" s="299" t="s">
        <v>41</v>
      </c>
      <c r="BH119" s="298"/>
    </row>
    <row r="120" spans="1:62" x14ac:dyDescent="0.15">
      <c r="A120" s="297">
        <v>1508</v>
      </c>
      <c r="B120" s="328">
        <v>43293</v>
      </c>
      <c r="C120" s="296" t="s">
        <v>10</v>
      </c>
      <c r="D120" s="297" t="s">
        <v>57</v>
      </c>
      <c r="E120" s="309">
        <v>43229</v>
      </c>
      <c r="F120" s="297" t="s">
        <v>34</v>
      </c>
      <c r="G120" s="297" t="s">
        <v>35</v>
      </c>
      <c r="H120" s="332">
        <v>93.56</v>
      </c>
      <c r="O120" s="332">
        <v>1.76</v>
      </c>
      <c r="P120" s="332"/>
      <c r="Q120" s="332"/>
      <c r="R120" s="332"/>
      <c r="S120" s="332"/>
      <c r="T120" s="332"/>
      <c r="U120" s="332">
        <v>1.45</v>
      </c>
      <c r="V120" s="332"/>
      <c r="W120" s="332"/>
      <c r="X120" s="332"/>
      <c r="Y120" s="332"/>
      <c r="AG120" s="299" t="s">
        <v>403</v>
      </c>
      <c r="AH120" s="299" t="s">
        <v>404</v>
      </c>
      <c r="AI120" s="299">
        <v>2</v>
      </c>
      <c r="AJ120" s="299">
        <v>4</v>
      </c>
      <c r="AK120" s="388">
        <v>0.33329999999999999</v>
      </c>
      <c r="AL120" s="388">
        <v>0.66659999999999997</v>
      </c>
      <c r="AM120" s="299">
        <v>0</v>
      </c>
      <c r="AN120" s="299">
        <v>0</v>
      </c>
      <c r="AO120" s="299">
        <v>5</v>
      </c>
      <c r="AP120" s="299">
        <v>0</v>
      </c>
      <c r="AQ120" s="299">
        <v>0</v>
      </c>
      <c r="AR120" s="299">
        <v>0</v>
      </c>
      <c r="AS120" s="299">
        <v>0</v>
      </c>
      <c r="AT120" s="299">
        <v>0</v>
      </c>
      <c r="AU120" s="299">
        <v>0</v>
      </c>
      <c r="AV120" s="299">
        <v>0</v>
      </c>
      <c r="AW120" s="299">
        <v>0</v>
      </c>
      <c r="AX120" s="299">
        <v>0</v>
      </c>
      <c r="AY120" s="299"/>
      <c r="AZ120" s="299" t="s">
        <v>38</v>
      </c>
      <c r="BA120" s="299"/>
      <c r="BB120" s="299" t="s">
        <v>38</v>
      </c>
      <c r="BD120" s="298"/>
      <c r="BE120" s="297"/>
      <c r="BF120" s="299"/>
      <c r="BG120" s="299" t="s">
        <v>43</v>
      </c>
      <c r="BH120" s="298" t="s">
        <v>47</v>
      </c>
      <c r="BI120" t="s">
        <v>56</v>
      </c>
      <c r="BJ120" t="s">
        <v>368</v>
      </c>
    </row>
    <row r="121" spans="1:62" x14ac:dyDescent="0.15">
      <c r="A121"/>
    </row>
    <row r="122" spans="1:62" x14ac:dyDescent="0.15">
      <c r="A122"/>
    </row>
    <row r="123" spans="1:62" x14ac:dyDescent="0.15">
      <c r="A123"/>
    </row>
    <row r="124" spans="1:62" x14ac:dyDescent="0.15">
      <c r="A124"/>
    </row>
    <row r="125" spans="1:62" x14ac:dyDescent="0.15">
      <c r="A125"/>
    </row>
    <row r="126" spans="1:62" x14ac:dyDescent="0.15">
      <c r="A126"/>
    </row>
    <row r="127" spans="1:62" x14ac:dyDescent="0.15">
      <c r="A127"/>
    </row>
    <row r="128" spans="1:62" x14ac:dyDescent="0.15">
      <c r="A128"/>
    </row>
    <row r="129" spans="1:1" x14ac:dyDescent="0.15">
      <c r="A129"/>
    </row>
    <row r="130" spans="1:1" x14ac:dyDescent="0.15">
      <c r="A130"/>
    </row>
    <row r="131" spans="1:1" x14ac:dyDescent="0.15">
      <c r="A131"/>
    </row>
    <row r="132" spans="1:1" x14ac:dyDescent="0.15">
      <c r="A132"/>
    </row>
    <row r="133" spans="1:1" x14ac:dyDescent="0.15">
      <c r="A133"/>
    </row>
    <row r="134" spans="1:1" x14ac:dyDescent="0.15">
      <c r="A134"/>
    </row>
    <row r="135" spans="1:1" x14ac:dyDescent="0.15">
      <c r="A135"/>
    </row>
    <row r="136" spans="1:1" x14ac:dyDescent="0.15">
      <c r="A136"/>
    </row>
    <row r="137" spans="1:1" x14ac:dyDescent="0.15">
      <c r="A137"/>
    </row>
    <row r="138" spans="1:1" x14ac:dyDescent="0.15">
      <c r="A138"/>
    </row>
    <row r="139" spans="1:1" x14ac:dyDescent="0.15">
      <c r="A139"/>
    </row>
    <row r="140" spans="1:1" x14ac:dyDescent="0.15">
      <c r="A140"/>
    </row>
    <row r="141" spans="1:1" x14ac:dyDescent="0.15">
      <c r="A141"/>
    </row>
    <row r="142" spans="1:1" x14ac:dyDescent="0.15">
      <c r="A142"/>
    </row>
    <row r="143" spans="1:1" x14ac:dyDescent="0.15">
      <c r="A143"/>
    </row>
    <row r="144" spans="1:1" x14ac:dyDescent="0.15">
      <c r="A144"/>
    </row>
    <row r="145" spans="1:1" x14ac:dyDescent="0.15">
      <c r="A145"/>
    </row>
    <row r="146" spans="1:1" x14ac:dyDescent="0.15">
      <c r="A146"/>
    </row>
    <row r="147" spans="1:1" x14ac:dyDescent="0.15">
      <c r="A147"/>
    </row>
    <row r="148" spans="1:1" x14ac:dyDescent="0.15">
      <c r="A148"/>
    </row>
    <row r="149" spans="1:1" x14ac:dyDescent="0.15">
      <c r="A149"/>
    </row>
    <row r="150" spans="1:1" x14ac:dyDescent="0.15">
      <c r="A150"/>
    </row>
    <row r="151" spans="1:1" x14ac:dyDescent="0.15">
      <c r="A151"/>
    </row>
    <row r="152" spans="1:1" x14ac:dyDescent="0.15">
      <c r="A152"/>
    </row>
    <row r="153" spans="1:1" x14ac:dyDescent="0.15">
      <c r="A153"/>
    </row>
    <row r="154" spans="1:1" x14ac:dyDescent="0.15">
      <c r="A154"/>
    </row>
    <row r="155" spans="1:1" x14ac:dyDescent="0.15">
      <c r="A155"/>
    </row>
    <row r="156" spans="1:1" x14ac:dyDescent="0.15">
      <c r="A156"/>
    </row>
    <row r="157" spans="1:1" x14ac:dyDescent="0.15">
      <c r="A157"/>
    </row>
    <row r="158" spans="1:1" x14ac:dyDescent="0.15">
      <c r="A158"/>
    </row>
    <row r="159" spans="1:1" x14ac:dyDescent="0.15">
      <c r="A159"/>
    </row>
    <row r="160" spans="1:1" x14ac:dyDescent="0.15">
      <c r="A160"/>
    </row>
    <row r="161" spans="1:1" x14ac:dyDescent="0.15">
      <c r="A161"/>
    </row>
    <row r="162" spans="1:1" x14ac:dyDescent="0.15">
      <c r="A162"/>
    </row>
    <row r="163" spans="1:1" x14ac:dyDescent="0.15">
      <c r="A163"/>
    </row>
    <row r="164" spans="1:1" x14ac:dyDescent="0.15">
      <c r="A164"/>
    </row>
    <row r="165" spans="1:1" x14ac:dyDescent="0.15">
      <c r="A165"/>
    </row>
    <row r="166" spans="1:1" x14ac:dyDescent="0.15">
      <c r="A166"/>
    </row>
    <row r="167" spans="1:1" x14ac:dyDescent="0.15">
      <c r="A167"/>
    </row>
    <row r="168" spans="1:1" x14ac:dyDescent="0.15">
      <c r="A168"/>
    </row>
    <row r="169" spans="1:1" x14ac:dyDescent="0.15">
      <c r="A169"/>
    </row>
    <row r="170" spans="1:1" x14ac:dyDescent="0.15">
      <c r="A170"/>
    </row>
    <row r="171" spans="1:1" x14ac:dyDescent="0.15">
      <c r="A171"/>
    </row>
    <row r="172" spans="1:1" x14ac:dyDescent="0.15">
      <c r="A172"/>
    </row>
    <row r="173" spans="1:1" x14ac:dyDescent="0.15">
      <c r="A173"/>
    </row>
    <row r="174" spans="1:1" x14ac:dyDescent="0.15">
      <c r="A174"/>
    </row>
    <row r="175" spans="1:1" x14ac:dyDescent="0.15">
      <c r="A175"/>
    </row>
    <row r="176" spans="1:1" x14ac:dyDescent="0.15">
      <c r="A176"/>
    </row>
    <row r="177" spans="1:1" x14ac:dyDescent="0.15">
      <c r="A177"/>
    </row>
    <row r="178" spans="1:1" x14ac:dyDescent="0.15">
      <c r="A178"/>
    </row>
    <row r="179" spans="1:1" x14ac:dyDescent="0.15">
      <c r="A179"/>
    </row>
    <row r="180" spans="1:1" x14ac:dyDescent="0.15">
      <c r="A180"/>
    </row>
    <row r="181" spans="1:1" x14ac:dyDescent="0.15">
      <c r="A181"/>
    </row>
    <row r="182" spans="1:1" x14ac:dyDescent="0.15">
      <c r="A182"/>
    </row>
    <row r="183" spans="1:1" x14ac:dyDescent="0.15">
      <c r="A183"/>
    </row>
    <row r="184" spans="1:1" x14ac:dyDescent="0.15">
      <c r="A184"/>
    </row>
    <row r="185" spans="1:1" x14ac:dyDescent="0.15">
      <c r="A185"/>
    </row>
    <row r="186" spans="1:1" x14ac:dyDescent="0.15">
      <c r="A186"/>
    </row>
    <row r="187" spans="1:1" x14ac:dyDescent="0.15">
      <c r="A187"/>
    </row>
    <row r="188" spans="1:1" x14ac:dyDescent="0.15">
      <c r="A188"/>
    </row>
    <row r="189" spans="1:1" x14ac:dyDescent="0.15">
      <c r="A189"/>
    </row>
    <row r="190" spans="1:1" x14ac:dyDescent="0.15">
      <c r="A190"/>
    </row>
    <row r="191" spans="1:1" x14ac:dyDescent="0.15">
      <c r="A191"/>
    </row>
    <row r="192" spans="1:1" x14ac:dyDescent="0.15">
      <c r="A192"/>
    </row>
    <row r="193" spans="1:1" x14ac:dyDescent="0.15">
      <c r="A193"/>
    </row>
    <row r="194" spans="1:1" x14ac:dyDescent="0.15">
      <c r="A194"/>
    </row>
    <row r="195" spans="1:1" x14ac:dyDescent="0.15">
      <c r="A195"/>
    </row>
    <row r="196" spans="1:1" x14ac:dyDescent="0.15">
      <c r="A196"/>
    </row>
    <row r="197" spans="1:1" x14ac:dyDescent="0.15">
      <c r="A197"/>
    </row>
    <row r="198" spans="1:1" x14ac:dyDescent="0.15">
      <c r="A198"/>
    </row>
    <row r="199" spans="1:1" x14ac:dyDescent="0.15">
      <c r="A199"/>
    </row>
    <row r="200" spans="1:1" x14ac:dyDescent="0.15">
      <c r="A200"/>
    </row>
    <row r="201" spans="1:1" x14ac:dyDescent="0.15">
      <c r="A201"/>
    </row>
    <row r="202" spans="1:1" x14ac:dyDescent="0.15">
      <c r="A202"/>
    </row>
    <row r="203" spans="1:1" x14ac:dyDescent="0.15">
      <c r="A203"/>
    </row>
    <row r="204" spans="1:1" x14ac:dyDescent="0.15">
      <c r="A204"/>
    </row>
    <row r="205" spans="1:1" x14ac:dyDescent="0.15">
      <c r="A205"/>
    </row>
    <row r="206" spans="1:1" x14ac:dyDescent="0.15">
      <c r="A206"/>
    </row>
    <row r="207" spans="1:1" x14ac:dyDescent="0.15">
      <c r="A207"/>
    </row>
    <row r="208" spans="1:1" x14ac:dyDescent="0.15">
      <c r="A208"/>
    </row>
    <row r="209" spans="1:1" x14ac:dyDescent="0.15">
      <c r="A209"/>
    </row>
    <row r="210" spans="1:1" x14ac:dyDescent="0.15">
      <c r="A210"/>
    </row>
    <row r="211" spans="1:1" x14ac:dyDescent="0.15">
      <c r="A211"/>
    </row>
    <row r="212" spans="1:1" x14ac:dyDescent="0.15">
      <c r="A212"/>
    </row>
    <row r="213" spans="1:1" x14ac:dyDescent="0.15">
      <c r="A213"/>
    </row>
    <row r="214" spans="1:1" x14ac:dyDescent="0.15">
      <c r="A214"/>
    </row>
    <row r="215" spans="1:1" x14ac:dyDescent="0.15">
      <c r="A215"/>
    </row>
    <row r="216" spans="1:1" x14ac:dyDescent="0.15">
      <c r="A216"/>
    </row>
    <row r="217" spans="1:1" x14ac:dyDescent="0.15">
      <c r="A217"/>
    </row>
    <row r="218" spans="1:1" x14ac:dyDescent="0.15">
      <c r="A218"/>
    </row>
    <row r="219" spans="1:1" x14ac:dyDescent="0.15">
      <c r="A219"/>
    </row>
    <row r="220" spans="1:1" x14ac:dyDescent="0.15">
      <c r="A220"/>
    </row>
    <row r="221" spans="1:1" x14ac:dyDescent="0.15">
      <c r="A221"/>
    </row>
    <row r="222" spans="1:1" x14ac:dyDescent="0.15">
      <c r="A222"/>
    </row>
    <row r="223" spans="1:1" x14ac:dyDescent="0.15">
      <c r="A223"/>
    </row>
    <row r="224" spans="1:1" x14ac:dyDescent="0.15">
      <c r="A224"/>
    </row>
    <row r="225" spans="1:1" x14ac:dyDescent="0.15">
      <c r="A225"/>
    </row>
    <row r="226" spans="1:1" x14ac:dyDescent="0.15">
      <c r="A226"/>
    </row>
    <row r="227" spans="1:1" x14ac:dyDescent="0.15">
      <c r="A227"/>
    </row>
    <row r="228" spans="1:1" x14ac:dyDescent="0.15">
      <c r="A228"/>
    </row>
    <row r="229" spans="1:1" x14ac:dyDescent="0.15">
      <c r="A229"/>
    </row>
    <row r="230" spans="1:1" x14ac:dyDescent="0.15">
      <c r="A230"/>
    </row>
    <row r="231" spans="1:1" x14ac:dyDescent="0.15">
      <c r="A231"/>
    </row>
    <row r="232" spans="1:1" x14ac:dyDescent="0.15">
      <c r="A232"/>
    </row>
    <row r="233" spans="1:1" x14ac:dyDescent="0.15">
      <c r="A233"/>
    </row>
    <row r="234" spans="1:1" x14ac:dyDescent="0.15">
      <c r="A234"/>
    </row>
    <row r="235" spans="1:1" x14ac:dyDescent="0.15">
      <c r="A235"/>
    </row>
    <row r="236" spans="1:1" x14ac:dyDescent="0.15">
      <c r="A236"/>
    </row>
    <row r="237" spans="1:1" x14ac:dyDescent="0.15">
      <c r="A237"/>
    </row>
    <row r="238" spans="1:1" x14ac:dyDescent="0.15">
      <c r="A238"/>
    </row>
    <row r="239" spans="1:1" x14ac:dyDescent="0.15">
      <c r="A239"/>
    </row>
    <row r="240" spans="1:1" x14ac:dyDescent="0.15">
      <c r="A240"/>
    </row>
    <row r="241" spans="1:1" x14ac:dyDescent="0.15">
      <c r="A241"/>
    </row>
    <row r="242" spans="1:1" x14ac:dyDescent="0.15">
      <c r="A242"/>
    </row>
    <row r="243" spans="1:1" x14ac:dyDescent="0.15">
      <c r="A243"/>
    </row>
    <row r="244" spans="1:1" x14ac:dyDescent="0.15">
      <c r="A244"/>
    </row>
    <row r="245" spans="1:1" x14ac:dyDescent="0.15">
      <c r="A245"/>
    </row>
  </sheetData>
  <sheetProtection algorithmName="SHA-512" hashValue="ngV5kj7o5R7T6WEYEvuFpHCffITYYb5A3yVf1CzLPlduVZ0G8fbLLcwYj7lmGgDoBIX7PqaHwmE9y/GOwJvmSQ==" saltValue="G65sFPO8sSAHj+kMALxfyw==" spinCount="100000" sheet="1" objects="1" scenarios="1"/>
  <phoneticPr fontId="20" type="noConversion"/>
  <hyperlinks>
    <hyperlink ref="BI16" r:id="rId1" xr:uid="{00000000-0004-0000-1200-000000000000}"/>
  </hyperlinks>
  <pageMargins left="0.75" right="0.75" top="1" bottom="1" header="0.5" footer="0.5"/>
  <pageSetup paperSize="10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AD2AD-ABC2-CD4E-BC2B-409BEC15BD82}">
  <sheetPr codeName="Sheet75"/>
  <dimension ref="A1:AW169"/>
  <sheetViews>
    <sheetView workbookViewId="0">
      <selection activeCell="F43" sqref="F43"/>
    </sheetView>
  </sheetViews>
  <sheetFormatPr baseColWidth="10" defaultRowHeight="13" x14ac:dyDescent="0.15"/>
  <cols>
    <col min="1" max="1" width="20.83203125" customWidth="1"/>
    <col min="2" max="2" width="21.6640625" bestFit="1" customWidth="1"/>
    <col min="3" max="3" width="16.83203125" bestFit="1" customWidth="1"/>
    <col min="4" max="4" width="7.5" bestFit="1" customWidth="1"/>
    <col min="5" max="9" width="10" bestFit="1" customWidth="1"/>
    <col min="10" max="14" width="8.5" bestFit="1" customWidth="1"/>
    <col min="15" max="16" width="10.6640625" hidden="1" customWidth="1"/>
    <col min="17" max="17" width="10.1640625" hidden="1" customWidth="1"/>
    <col min="18" max="18" width="10.6640625" bestFit="1" customWidth="1"/>
    <col min="21" max="21" width="10.5" bestFit="1" customWidth="1"/>
    <col min="22" max="22" width="10.5" customWidth="1"/>
    <col min="23" max="23" width="19" hidden="1" customWidth="1"/>
    <col min="24" max="24" width="10.83203125" hidden="1" customWidth="1"/>
    <col min="25" max="26" width="10.6640625" hidden="1" customWidth="1"/>
    <col min="27" max="27" width="14.1640625" customWidth="1"/>
    <col min="28" max="28" width="14" customWidth="1"/>
  </cols>
  <sheetData>
    <row r="1" spans="1:49" x14ac:dyDescent="0.15">
      <c r="A1" s="594" t="s">
        <v>722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  <c r="AB1" s="594"/>
      <c r="AC1" s="594"/>
      <c r="AD1" s="594"/>
      <c r="AE1" s="594"/>
      <c r="AF1" s="593"/>
      <c r="AG1" s="593"/>
      <c r="AH1" s="593"/>
      <c r="AI1" s="593"/>
      <c r="AJ1" s="593"/>
      <c r="AK1" s="593"/>
      <c r="AL1" s="593"/>
      <c r="AM1" s="593"/>
      <c r="AN1" s="593"/>
      <c r="AO1" s="593"/>
      <c r="AP1" s="593"/>
      <c r="AQ1" s="593"/>
      <c r="AR1" s="593"/>
      <c r="AS1" s="593"/>
      <c r="AT1" s="593"/>
      <c r="AU1" s="593"/>
      <c r="AV1" s="593"/>
      <c r="AW1" s="593"/>
    </row>
    <row r="2" spans="1:49" x14ac:dyDescent="0.15">
      <c r="A2" s="594" t="s">
        <v>723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3"/>
      <c r="AG2" s="593"/>
      <c r="AH2" s="593"/>
      <c r="AI2" s="593"/>
      <c r="AJ2" s="593"/>
      <c r="AK2" s="593"/>
      <c r="AL2" s="593"/>
      <c r="AM2" s="593"/>
      <c r="AN2" s="593"/>
      <c r="AO2" s="593"/>
      <c r="AP2" s="593"/>
      <c r="AQ2" s="593"/>
      <c r="AR2" s="593"/>
      <c r="AS2" s="593"/>
      <c r="AT2" s="593"/>
      <c r="AU2" s="593"/>
      <c r="AV2" s="593"/>
      <c r="AW2" s="593"/>
    </row>
    <row r="3" spans="1:49" ht="14" thickBot="1" x14ac:dyDescent="0.2">
      <c r="A3" s="594"/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94"/>
      <c r="AB3" s="594"/>
      <c r="AC3" s="594"/>
      <c r="AD3" s="594"/>
      <c r="AE3" s="594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3"/>
      <c r="AT3" s="593"/>
      <c r="AU3" s="593"/>
      <c r="AV3" s="593"/>
      <c r="AW3" s="593"/>
    </row>
    <row r="4" spans="1:49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410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6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593"/>
      <c r="AS4" s="593"/>
      <c r="AT4" s="593"/>
      <c r="AU4" s="593"/>
      <c r="AV4" s="593"/>
      <c r="AW4" s="593"/>
    </row>
    <row r="5" spans="1:49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411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9"/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3"/>
      <c r="AR5" s="593"/>
      <c r="AS5" s="593"/>
      <c r="AT5" s="593"/>
      <c r="AU5" s="593"/>
      <c r="AV5" s="593"/>
      <c r="AW5" s="593"/>
    </row>
    <row r="6" spans="1:49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411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9"/>
      <c r="AF6" s="593"/>
      <c r="AG6" s="593"/>
      <c r="AH6" s="593"/>
      <c r="AI6" s="593"/>
      <c r="AJ6" s="593"/>
      <c r="AK6" s="593"/>
      <c r="AL6" s="593"/>
      <c r="AM6" s="593"/>
      <c r="AN6" s="593"/>
      <c r="AO6" s="593"/>
      <c r="AP6" s="593"/>
      <c r="AQ6" s="593"/>
      <c r="AR6" s="593"/>
      <c r="AS6" s="593"/>
      <c r="AT6" s="593"/>
      <c r="AU6" s="593"/>
      <c r="AV6" s="593"/>
      <c r="AW6" s="593"/>
    </row>
    <row r="7" spans="1:49" ht="65" customHeight="1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501" t="s">
        <v>572</v>
      </c>
      <c r="P7" s="501" t="s">
        <v>1243</v>
      </c>
      <c r="Q7" s="510" t="s">
        <v>573</v>
      </c>
      <c r="R7" s="493" t="s">
        <v>574</v>
      </c>
      <c r="S7" s="495" t="s">
        <v>575</v>
      </c>
      <c r="T7" s="496" t="s">
        <v>576</v>
      </c>
      <c r="U7" s="496" t="s">
        <v>577</v>
      </c>
      <c r="V7" s="496" t="s">
        <v>578</v>
      </c>
      <c r="W7" s="536" t="s">
        <v>1548</v>
      </c>
      <c r="X7" s="536" t="s">
        <v>1549</v>
      </c>
      <c r="Y7" s="502" t="s">
        <v>579</v>
      </c>
      <c r="Z7" s="502" t="s">
        <v>580</v>
      </c>
      <c r="AA7" s="497" t="s">
        <v>581</v>
      </c>
      <c r="AB7" s="497" t="s">
        <v>582</v>
      </c>
      <c r="AC7" s="498" t="s">
        <v>583</v>
      </c>
      <c r="AD7" s="499" t="s">
        <v>584</v>
      </c>
      <c r="AE7" s="500" t="s">
        <v>585</v>
      </c>
      <c r="AF7" s="593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593"/>
      <c r="AS7" s="593"/>
      <c r="AT7" s="593"/>
      <c r="AU7" s="593"/>
      <c r="AV7" s="593"/>
      <c r="AW7" s="593"/>
    </row>
    <row r="8" spans="1:49" ht="14" x14ac:dyDescent="0.15">
      <c r="A8" s="270" t="str">
        <f>'Tariffs Jul2022'!F2</f>
        <v>AGL</v>
      </c>
      <c r="B8" s="40" t="str">
        <f>'Tariffs Jul2022'!D2</f>
        <v>Multinet Metro 1</v>
      </c>
      <c r="C8" s="40" t="str">
        <f>'Tariffs Jul2022'!G2</f>
        <v>Value Saver</v>
      </c>
      <c r="D8" s="59">
        <f>365*'Tariffs Jul2022'!H2/100</f>
        <v>306.60000000000002</v>
      </c>
      <c r="E8" s="59">
        <f>IF($C$5*'Tariffs Jul2022'!AK2/'Tariffs Jul2022'!AI2&gt;='Tariffs Jul2022'!J2,( 'Tariffs Jul2022'!J2*'Tariffs Jul2022'!O2/100)* 'Tariffs Jul2022'!AI2,($C$5*'Tariffs Jul2022'!AK2/'Tariffs Jul2022'!AI2*'Tariffs Jul2022'!O2/100)* 'Tariffs Jul2022'!AI2)</f>
        <v>202.09090909090912</v>
      </c>
      <c r="F8" s="59">
        <f>IF($C$5*'Tariffs Jul2022'!AK2/'Tariffs Jul2022'!AI2&lt;'Tariffs Jul2022'!J2,0,IF($C$5*'Tariffs Jul2022'!AK2/'Tariffs Jul2022'!AI2&lt;='Tariffs Jul2022'!K2,($C$5*'Tariffs Jul2022'!AK2/'Tariffs Jul2022'!AI2-'Tariffs Jul2022'!J2)*('Tariffs Jul2022'!P2/100)*'Tariffs Jul2022'!AI2,('Tariffs Jul2022'!K2-'Tariffs Jul2022'!J2)*('Tariffs Jul2022'!P2/100)*'Tariffs Jul2022'!AI2))</f>
        <v>179.18181818181816</v>
      </c>
      <c r="G8" s="59">
        <f>IF($C$5*'Tariffs Jul2022'!AK2/'Tariffs Jul2022'!AI2&lt;'Tariffs Jul2022'!K2,0,IF($C$5*'Tariffs Jul2022'!AK2/'Tariffs Jul2022'!AI2&lt;='Tariffs Jul2022'!L2,($C$5*'Tariffs Jul2022'!AK2/'Tariffs Jul2022'!AI2-'Tariffs Jul2022'!K2)*('Tariffs Jul2022'!Q2/100)*'Tariffs Jul2022'!AI2,('Tariffs Jul2022'!L2-'Tariffs Jul2022'!K2)*('Tariffs Jul2022'!Q2/100)*'Tariffs Jul2022'!AI2))</f>
        <v>147.27272727272725</v>
      </c>
      <c r="H8" s="59">
        <f>IF($C$5*'Tariffs Jul2022'!AK2/'Tariffs Jul2022'!AI2&lt;'Tariffs Jul2022'!L2,0,IF($C$5*'Tariffs Jul2022'!AK2/'Tariffs Jul2022'!AI2&lt;='Tariffs Jul2022'!M2,($C$5*'Tariffs Jul2022'!AK2/'Tariffs Jul2022'!AI2-'Tariffs Jul2022'!L2)*('Tariffs Jul2022'!R2/100)*'Tariffs Jul2022'!AI2,('Tariffs Jul2022'!M2-'Tariffs Jul2022'!L2)*('Tariffs Jul2022'!R2/100)*'Tariffs Jul2022'!AI2))</f>
        <v>63.81818181818182</v>
      </c>
      <c r="I8" s="59">
        <f>IF(($C$5*'Tariffs Jul2022'!AK2/'Tariffs Jul2022'!AI2&gt;'Tariffs Jul2022'!M2),($C$5*'Tariffs Jul2022'!AK2/'Tariffs Jul2022'!AI2-'Tariffs Jul2022'!M2)*'Tariffs Jul2022'!S2/100*'Tariffs Jul2022'!AI2,0)</f>
        <v>0</v>
      </c>
      <c r="J8" s="59">
        <f>IF($C$5*'Tariffs Jul2022'!AL2/'Tariffs Jul2022'!AJ2&gt;='Tariffs Jul2022'!J2,('Tariffs Jul2022'!J2*'Tariffs Jul2022'!U2/100)* 'Tariffs Jul2022'!AJ2,($C$5*'Tariffs Jul2022'!AL2/'Tariffs Jul2022'!AJ2*'Tariffs Jul2022'!U2/100)* 'Tariffs Jul2022'!AJ2)</f>
        <v>193.09090909090904</v>
      </c>
      <c r="K8" s="59">
        <f>IF($C$5*'Tariffs Jul2022'!AL2/'Tariffs Jul2022'!AJ2&lt;'Tariffs Jul2022'!J2,0,IF($C$5*'Tariffs Jul2022'!AL2/'Tariffs Jul2022'!AJ2&lt;='Tariffs Jul2022'!K2,($C$5*'Tariffs Jul2022'!AL2/'Tariffs Jul2022'!AJ2-'Tariffs Jul2022'!J2)*('Tariffs Jul2022'!V2/100)*'Tariffs Jul2022'!AJ2,('Tariffs Jul2022'!K2-'Tariffs Jul2022'!J2)*('Tariffs Jul2022'!V2/100)*'Tariffs Jul2022'!AJ2))</f>
        <v>170.18181818181819</v>
      </c>
      <c r="L8" s="59">
        <f>IF($C$5*'Tariffs Jul2022'!AL2/'Tariffs Jul2022'!AJ2&lt;'Tariffs Jul2022'!K2,0,IF($C$5*'Tariffs Jul2022'!AL2/'Tariffs Jul2022'!AJ2&lt;='Tariffs Jul2022'!L2,($C$5*'Tariffs Jul2022'!AL2/'Tariffs Jul2022'!AJ2-'Tariffs Jul2022'!K2)*('Tariffs Jul2022'!W2/100)*'Tariffs Jul2022'!AJ2,('Tariffs Jul2022'!L2-'Tariffs Jul2022'!K2)*('Tariffs Jul2022'!W2/100)*'Tariffs Jul2022'!AJ2))</f>
        <v>141.5454545454545</v>
      </c>
      <c r="M8" s="59">
        <f>IF($C$5*'Tariffs Jul2022'!AL2/'Tariffs Jul2022'!AJ2&lt;'Tariffs Jul2022'!L2,0,IF($C$5*'Tariffs Jul2022'!AL2/'Tariffs Jul2022'!AJ2&lt;='Tariffs Jul2022'!M2,($C$5*'Tariffs Jul2022'!AL2/'Tariffs Jul2022'!AJ2-'Tariffs Jul2022'!L2)*('Tariffs Jul2022'!X2/100)*'Tariffs Jul2022'!AJ2,('Tariffs Jul2022'!M2-'Tariffs Jul2022'!L2)*('Tariffs Jul2022'!X2/100)*'Tariffs Jul2022'!AJ2))</f>
        <v>62.590909090909093</v>
      </c>
      <c r="N8" s="59">
        <f>IF(($C$5*'Tariffs Jul2022'!AL2/'Tariffs Jul2022'!AJ2&gt;'Tariffs Jul2022'!M2),($C$5*'Tariffs Jul2022'!AL2/'Tariffs Jul2022'!AJ2-'Tariffs Jul2022'!M2)*'Tariffs Jul2022'!Y2/100*'Tariffs Jul2022'!AJ2,0)</f>
        <v>0</v>
      </c>
      <c r="O8" s="59">
        <f>SUM(E8:N8)</f>
        <v>1159.772727272727</v>
      </c>
      <c r="P8" s="503">
        <f>O8*1.1</f>
        <v>1275.7499999999998</v>
      </c>
      <c r="Q8" s="59">
        <f>D8+O8</f>
        <v>1466.3727272727269</v>
      </c>
      <c r="R8" s="272">
        <f>Q8*1.1</f>
        <v>1613.0099999999998</v>
      </c>
      <c r="S8" s="40">
        <f>'Tariffs Jul2022'!AN2</f>
        <v>0</v>
      </c>
      <c r="T8" s="40">
        <f>'Tariffs Jul2022'!AO2</f>
        <v>0</v>
      </c>
      <c r="U8" s="40">
        <f>'Tariffs Jul2022'!AP2</f>
        <v>0</v>
      </c>
      <c r="V8" s="40">
        <f>'Tariffs Jul2022'!AQ2</f>
        <v>0</v>
      </c>
      <c r="W8" s="539" t="str">
        <f>IF(SUM(S8:V8)=0,"No discount",IF(S8&gt;0,"Guaranteed off bill",IF(T8&gt;0,"Guaranteed off usage",IF(U8&gt;0,"Pay-on-time off bill","Pay-on-time off usage"))))</f>
        <v>No discount</v>
      </c>
      <c r="X8" s="538" t="str">
        <f>IF(OR(A8="Origin Energy",A8="Red Energy",A8="Powershop"),"Inclusive","Exclusive")</f>
        <v>Exclusive</v>
      </c>
      <c r="Y8" s="534">
        <f>IF(AND(W8="Guaranteed off bill",X8="Inclusive"),((Q8*1.1)-((Q8*1.1)*S8/100))/1.1,IF(AND(W8="Guaranteed off usage",X8="Inclusive"),((Q8*1.1)-((P8*1.1)*T8/100))/1.1,IF(AND(W8="Guaranteed off bill",X8="Exclusive"),Q8-(Q8*S8/100),IF(AND(W8="Guaranteed off usage",X8="Exclusive"),Q8-(P8*T8/100),IF(X8="Inclusive",((Q8*1.1))/1.1,Q8)))))</f>
        <v>1466.3727272727269</v>
      </c>
      <c r="Z8" s="535">
        <f>IF(AND(W8="Pay-on-time off bill",X8="Inclusive"),((Y8*1.1)-((Y8*1.1)*U8/100))/1.1,IF(AND(W8="Pay-on-time off usage",X8="Inclusive"),((Y8*1.1)-((P8*1.1)*V8/100))/1.1,IF(AND(W8="Pay-on-time off bill",X8="Exclusive"),Y8-(Y8*U8/100),IF(AND(W8="Pay-on-time off usage",X8="Exclusive"),Y8-(P8*V8/100),IF(X8="Inclusive",((Y8*1.1))/1.1,Y8)))))</f>
        <v>1466.3727272727269</v>
      </c>
      <c r="AA8" s="542">
        <f t="shared" ref="AA8:AB21" si="0">Y8*1.1</f>
        <v>1613.0099999999998</v>
      </c>
      <c r="AB8" s="542">
        <f t="shared" si="0"/>
        <v>1613.0099999999998</v>
      </c>
      <c r="AC8" s="274">
        <f>'Tariffs Jul2022'!AZ2</f>
        <v>0</v>
      </c>
      <c r="AD8" s="274" t="str">
        <f>'Tariffs Jul2022'!BA2</f>
        <v>n</v>
      </c>
      <c r="AE8" s="275" t="str">
        <f>'Tariffs Jul2022'!BJ2</f>
        <v>N</v>
      </c>
      <c r="AF8" s="593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593"/>
      <c r="AS8" s="593"/>
      <c r="AT8" s="593"/>
      <c r="AU8" s="593"/>
      <c r="AV8" s="593"/>
      <c r="AW8" s="593"/>
    </row>
    <row r="9" spans="1:49" ht="14" x14ac:dyDescent="0.15">
      <c r="A9" s="270" t="str">
        <f>'Tariffs Jul2022'!F3</f>
        <v>Alinta Energy</v>
      </c>
      <c r="B9" s="40" t="str">
        <f>'Tariffs Jul2022'!D3</f>
        <v>Multinet Metro 1</v>
      </c>
      <c r="C9" s="40" t="str">
        <f>'Tariffs Jul2022'!G3</f>
        <v>Home Deal</v>
      </c>
      <c r="D9" s="59">
        <f>365*'Tariffs Jul2022'!H3/100</f>
        <v>244.28454545454545</v>
      </c>
      <c r="E9" s="59">
        <f>IF($C$5*'Tariffs Jul2022'!AK3/'Tariffs Jul2022'!AI3&gt;='Tariffs Jul2022'!J3,( 'Tariffs Jul2022'!J3*'Tariffs Jul2022'!O3/100)* 'Tariffs Jul2022'!AI3,($C$5*'Tariffs Jul2022'!AK3/'Tariffs Jul2022'!AI3*'Tariffs Jul2022'!O3/100)* 'Tariffs Jul2022'!AI3)</f>
        <v>218.45454545454538</v>
      </c>
      <c r="F9" s="59">
        <f>IF($C$5*'Tariffs Jul2022'!AK3/'Tariffs Jul2022'!AI3&lt;'Tariffs Jul2022'!J3,0,IF($C$5*'Tariffs Jul2022'!AK3/'Tariffs Jul2022'!AI3&lt;='Tariffs Jul2022'!K3,($C$5*'Tariffs Jul2022'!AK3/'Tariffs Jul2022'!AI3-'Tariffs Jul2022'!J3)*('Tariffs Jul2022'!P3/100)*'Tariffs Jul2022'!AI3,('Tariffs Jul2022'!K3-'Tariffs Jul2022'!J3)*('Tariffs Jul2022'!P3/100)*'Tariffs Jul2022'!AI3))</f>
        <v>192.27272727272728</v>
      </c>
      <c r="G9" s="59">
        <f>IF($C$5*'Tariffs Jul2022'!AK3/'Tariffs Jul2022'!AI3&lt;'Tariffs Jul2022'!K3,0,IF($C$5*'Tariffs Jul2022'!AK3/'Tariffs Jul2022'!AI3&lt;='Tariffs Jul2022'!L3,($C$5*'Tariffs Jul2022'!AK3/'Tariffs Jul2022'!AI3-'Tariffs Jul2022'!K3)*('Tariffs Jul2022'!Q3/100)*'Tariffs Jul2022'!AI3,('Tariffs Jul2022'!L3-'Tariffs Jul2022'!K3)*('Tariffs Jul2022'!Q3/100)*'Tariffs Jul2022'!AI3))</f>
        <v>0</v>
      </c>
      <c r="H9" s="59">
        <f>IF($C$5*'Tariffs Jul2022'!AK3/'Tariffs Jul2022'!AI3&lt;'Tariffs Jul2022'!L3,0,IF($C$5*'Tariffs Jul2022'!AK3/'Tariffs Jul2022'!AI3&lt;='Tariffs Jul2022'!M3,($C$5*'Tariffs Jul2022'!AK3/'Tariffs Jul2022'!AI3-'Tariffs Jul2022'!L3)*('Tariffs Jul2022'!R3/100)*'Tariffs Jul2022'!AI3,('Tariffs Jul2022'!M3-'Tariffs Jul2022'!L3)*('Tariffs Jul2022'!R3/100)*'Tariffs Jul2022'!AI3))</f>
        <v>0</v>
      </c>
      <c r="I9" s="59">
        <f>IF(($C$5*'Tariffs Jul2022'!AK3/'Tariffs Jul2022'!AI3&gt;'Tariffs Jul2022'!M3),($C$5*'Tariffs Jul2022'!AK3/'Tariffs Jul2022'!AI3-'Tariffs Jul2022'!M3)*'Tariffs Jul2022'!S3/100*'Tariffs Jul2022'!AI3,0)</f>
        <v>227.0454545454545</v>
      </c>
      <c r="J9" s="59">
        <f>IF($C$5*'Tariffs Jul2022'!AL3/'Tariffs Jul2022'!AJ3&gt;='Tariffs Jul2022'!J3,('Tariffs Jul2022'!J3*'Tariffs Jul2022'!U3/100)* 'Tariffs Jul2022'!AJ3,($C$5*'Tariffs Jul2022'!AL3/'Tariffs Jul2022'!AJ3*'Tariffs Jul2022'!U3/100)* 'Tariffs Jul2022'!AJ3)</f>
        <v>209.45454545454544</v>
      </c>
      <c r="K9" s="59">
        <f>IF($C$5*'Tariffs Jul2022'!AL3/'Tariffs Jul2022'!AJ3&lt;'Tariffs Jul2022'!J3,0,IF($C$5*'Tariffs Jul2022'!AL3/'Tariffs Jul2022'!AJ3&lt;='Tariffs Jul2022'!K3,($C$5*'Tariffs Jul2022'!AL3/'Tariffs Jul2022'!AJ3-'Tariffs Jul2022'!J3)*('Tariffs Jul2022'!V3/100)*'Tariffs Jul2022'!AJ3,('Tariffs Jul2022'!K3-'Tariffs Jul2022'!J3)*('Tariffs Jul2022'!V3/100)*'Tariffs Jul2022'!AJ3))</f>
        <v>184.90909090909091</v>
      </c>
      <c r="L9" s="59">
        <f>IF($C$5*'Tariffs Jul2022'!AL3/'Tariffs Jul2022'!AJ3&lt;'Tariffs Jul2022'!K3,0,IF($C$5*'Tariffs Jul2022'!AL3/'Tariffs Jul2022'!AJ3&lt;='Tariffs Jul2022'!L3,($C$5*'Tariffs Jul2022'!AL3/'Tariffs Jul2022'!AJ3-'Tariffs Jul2022'!K3)*('Tariffs Jul2022'!W3/100)*'Tariffs Jul2022'!AJ3,('Tariffs Jul2022'!L3-'Tariffs Jul2022'!K3)*('Tariffs Jul2022'!W3/100)*'Tariffs Jul2022'!AJ3))</f>
        <v>0</v>
      </c>
      <c r="M9" s="59">
        <f>IF($C$5*'Tariffs Jul2022'!AL3/'Tariffs Jul2022'!AJ3&lt;'Tariffs Jul2022'!L3,0,IF($C$5*'Tariffs Jul2022'!AL3/'Tariffs Jul2022'!AJ3&lt;='Tariffs Jul2022'!M3,($C$5*'Tariffs Jul2022'!AL3/'Tariffs Jul2022'!AJ3-'Tariffs Jul2022'!L3)*('Tariffs Jul2022'!X3/100)*'Tariffs Jul2022'!AJ3,('Tariffs Jul2022'!M3-'Tariffs Jul2022'!L3)*('Tariffs Jul2022'!X3/100)*'Tariffs Jul2022'!AJ3))</f>
        <v>0</v>
      </c>
      <c r="N9" s="59">
        <f>IF(($C$5*'Tariffs Jul2022'!AL3/'Tariffs Jul2022'!AJ3&gt;'Tariffs Jul2022'!M3),($C$5*'Tariffs Jul2022'!AL3/'Tariffs Jul2022'!AJ3-'Tariffs Jul2022'!M3)*'Tariffs Jul2022'!Y3/100*'Tariffs Jul2022'!AJ3,0)</f>
        <v>227.0454545454545</v>
      </c>
      <c r="O9" s="59">
        <f t="shared" ref="O9:O75" si="1">SUM(E9:N9)</f>
        <v>1259.181818181818</v>
      </c>
      <c r="P9" s="503">
        <f t="shared" ref="P9:P64" si="2">O9*1.1</f>
        <v>1385.1</v>
      </c>
      <c r="Q9" s="59">
        <f t="shared" ref="Q9:Q75" si="3">D9+O9</f>
        <v>1503.4663636363634</v>
      </c>
      <c r="R9" s="272">
        <f t="shared" ref="R9:R75" si="4">Q9*1.1</f>
        <v>1653.8129999999999</v>
      </c>
      <c r="S9" s="40">
        <f>'Tariffs Jul2022'!AN3</f>
        <v>0</v>
      </c>
      <c r="T9" s="40">
        <f>'Tariffs Jul2022'!AO3</f>
        <v>0</v>
      </c>
      <c r="U9" s="40">
        <f>'Tariffs Jul2022'!AP3</f>
        <v>0</v>
      </c>
      <c r="V9" s="40">
        <f>'Tariffs Jul2022'!AQ3</f>
        <v>0</v>
      </c>
      <c r="W9" s="537" t="str">
        <f t="shared" ref="W9:W21" si="5">IF(SUM(S9:V9)=0,"No discount",IF(S9&gt;0,"Guaranteed off bill",IF(T9&gt;0,"Guaranteed off usage",IF(U9&gt;0,"Pay-on-time off bill","Pay-on-time off usage"))))</f>
        <v>No discount</v>
      </c>
      <c r="X9" s="538" t="str">
        <f t="shared" ref="X9:X21" si="6">IF(OR(A9="Origin Energy",A9="Red Energy",A9="Powershop"),"Inclusive","Exclusive")</f>
        <v>Exclusive</v>
      </c>
      <c r="Y9" s="534">
        <f>IF(AND(W9="Guaranteed off bill",X9="Inclusive"),((Q9*1.1)-((Q9*1.1)*S9/100))/1.1,IF(AND(W9="Guaranteed off usage",X9="Inclusive"),((Q9*1.1)-((P9*1.1)*T9/100))/1.1,IF(AND(W9="Guaranteed off bill",X9="Exclusive"),Q9-(Q9*S9/100),IF(AND(W9="Guaranteed off usage",X9="Exclusive"),Q9-(P9*T9/100),IF(X9="Inclusive",((Q9*1.1))/1.1,Q9)))))</f>
        <v>1503.4663636363634</v>
      </c>
      <c r="Z9" s="535">
        <f>IF(AND(W9="Pay-on-time off bill",X9="Inclusive"),((Y9*1.1)-((Y9*1.1)*U9/100))/1.1,IF(AND(W9="Pay-on-time off usage",X9="Inclusive"),((Y9*1.1)-((P9*1.1)*V9/100))/1.1,IF(AND(W9="Pay-on-time off bill",X9="Exclusive"),Y9-(Y9*U9/100),IF(AND(W9="Pay-on-time off usage",X9="Exclusive"),Y9-(P9*V9/100),IF(X9="Inclusive",((Y9*1.1))/1.1,Y9)))))</f>
        <v>1503.4663636363634</v>
      </c>
      <c r="AA9" s="542">
        <f t="shared" si="0"/>
        <v>1653.8129999999999</v>
      </c>
      <c r="AB9" s="542">
        <f t="shared" si="0"/>
        <v>1653.8129999999999</v>
      </c>
      <c r="AC9" s="274">
        <f>'Tariffs Jul2022'!AZ3</f>
        <v>0</v>
      </c>
      <c r="AD9" s="274" t="str">
        <f>'Tariffs Jul2022'!BA3</f>
        <v>n</v>
      </c>
      <c r="AE9" s="275" t="str">
        <f>'Tariffs Jul2022'!BJ3</f>
        <v>N</v>
      </c>
      <c r="AF9" s="593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593"/>
      <c r="AS9" s="593"/>
      <c r="AT9" s="593"/>
      <c r="AU9" s="593"/>
      <c r="AV9" s="593"/>
      <c r="AW9" s="593"/>
    </row>
    <row r="10" spans="1:49" ht="14" x14ac:dyDescent="0.15">
      <c r="A10" s="270" t="str">
        <f>'Tariffs Jul2022'!F4</f>
        <v>Dodo Power &amp; Gas</v>
      </c>
      <c r="B10" s="40" t="str">
        <f>'Tariffs Jul2022'!D4</f>
        <v>Multinet Metro 1</v>
      </c>
      <c r="C10" s="40" t="str">
        <f>'Tariffs Jul2022'!G4</f>
        <v>Market offer</v>
      </c>
      <c r="D10" s="59">
        <f>365*'Tariffs Jul2022'!H4/100</f>
        <v>196.86772727272725</v>
      </c>
      <c r="E10" s="59">
        <f>IF($C$5*'Tariffs Jul2022'!AK4/'Tariffs Jul2022'!AI4&gt;='Tariffs Jul2022'!J4,( 'Tariffs Jul2022'!J4*'Tariffs Jul2022'!O4/100)* 'Tariffs Jul2022'!AI4,($C$5*'Tariffs Jul2022'!AK4/'Tariffs Jul2022'!AI4*'Tariffs Jul2022'!O4/100)* 'Tariffs Jul2022'!AI4)</f>
        <v>243.81818181818181</v>
      </c>
      <c r="F10" s="59">
        <f>IF($C$5*'Tariffs Jul2022'!AK4/'Tariffs Jul2022'!AI4&lt;'Tariffs Jul2022'!J4,0,IF($C$5*'Tariffs Jul2022'!AK4/'Tariffs Jul2022'!AI4&lt;='Tariffs Jul2022'!K4,($C$5*'Tariffs Jul2022'!AK4/'Tariffs Jul2022'!AI4-'Tariffs Jul2022'!J4)*('Tariffs Jul2022'!P4/100)*'Tariffs Jul2022'!AI4,('Tariffs Jul2022'!K4-'Tariffs Jul2022'!J4)*('Tariffs Jul2022'!P4/100)*'Tariffs Jul2022'!AI4))</f>
        <v>209.45454545454544</v>
      </c>
      <c r="G10" s="59">
        <f>IF($C$5*'Tariffs Jul2022'!AK4/'Tariffs Jul2022'!AI4&lt;'Tariffs Jul2022'!K4,0,IF($C$5*'Tariffs Jul2022'!AK4/'Tariffs Jul2022'!AI4&lt;='Tariffs Jul2022'!L4,($C$5*'Tariffs Jul2022'!AK4/'Tariffs Jul2022'!AI4-'Tariffs Jul2022'!K4)*('Tariffs Jul2022'!Q4/100)*'Tariffs Jul2022'!AI4,('Tariffs Jul2022'!L4-'Tariffs Jul2022'!K4)*('Tariffs Jul2022'!Q4/100)*'Tariffs Jul2022'!AI4))</f>
        <v>171.81818181818181</v>
      </c>
      <c r="H10" s="59">
        <f>IF($C$5*'Tariffs Jul2022'!AK4/'Tariffs Jul2022'!AI4&lt;'Tariffs Jul2022'!L4,0,IF($C$5*'Tariffs Jul2022'!AK4/'Tariffs Jul2022'!AI4&lt;='Tariffs Jul2022'!M4,($C$5*'Tariffs Jul2022'!AK4/'Tariffs Jul2022'!AI4-'Tariffs Jul2022'!L4)*('Tariffs Jul2022'!R4/100)*'Tariffs Jul2022'!AI4,('Tariffs Jul2022'!M4-'Tariffs Jul2022'!L4)*('Tariffs Jul2022'!R4/100)*'Tariffs Jul2022'!AI4))</f>
        <v>78.545454545454533</v>
      </c>
      <c r="I10" s="59">
        <f>IF(($C$5*'Tariffs Jul2022'!AK4/'Tariffs Jul2022'!AI4&gt;'Tariffs Jul2022'!M4),($C$5*'Tariffs Jul2022'!AK4/'Tariffs Jul2022'!AI4-'Tariffs Jul2022'!M4)*'Tariffs Jul2022'!S4/100*'Tariffs Jul2022'!AI4,0)</f>
        <v>0</v>
      </c>
      <c r="J10" s="59">
        <f>IF($C$5*'Tariffs Jul2022'!AL4/'Tariffs Jul2022'!AJ4&gt;='Tariffs Jul2022'!J4,('Tariffs Jul2022'!J4*'Tariffs Jul2022'!U4/100)* 'Tariffs Jul2022'!AJ4,($C$5*'Tariffs Jul2022'!AL4/'Tariffs Jul2022'!AJ4*'Tariffs Jul2022'!U4/100)* 'Tariffs Jul2022'!AJ4)</f>
        <v>229.09090909090904</v>
      </c>
      <c r="K10" s="59">
        <f>IF($C$5*'Tariffs Jul2022'!AL4/'Tariffs Jul2022'!AJ4&lt;'Tariffs Jul2022'!J4,0,IF($C$5*'Tariffs Jul2022'!AL4/'Tariffs Jul2022'!AJ4&lt;='Tariffs Jul2022'!K4,($C$5*'Tariffs Jul2022'!AL4/'Tariffs Jul2022'!AJ4-'Tariffs Jul2022'!J4)*('Tariffs Jul2022'!V4/100)*'Tariffs Jul2022'!AJ4,('Tariffs Jul2022'!K4-'Tariffs Jul2022'!J4)*('Tariffs Jul2022'!V4/100)*'Tariffs Jul2022'!AJ4))</f>
        <v>199.6363636363636</v>
      </c>
      <c r="L10" s="59">
        <f>IF($C$5*'Tariffs Jul2022'!AL4/'Tariffs Jul2022'!AJ4&lt;'Tariffs Jul2022'!K4,0,IF($C$5*'Tariffs Jul2022'!AL4/'Tariffs Jul2022'!AJ4&lt;='Tariffs Jul2022'!L4,($C$5*'Tariffs Jul2022'!AL4/'Tariffs Jul2022'!AJ4-'Tariffs Jul2022'!K4)*('Tariffs Jul2022'!W4/100)*'Tariffs Jul2022'!AJ4,('Tariffs Jul2022'!L4-'Tariffs Jul2022'!K4)*('Tariffs Jul2022'!W4/100)*'Tariffs Jul2022'!AJ4))</f>
        <v>167.72727272727269</v>
      </c>
      <c r="M10" s="59">
        <f>IF($C$5*'Tariffs Jul2022'!AL4/'Tariffs Jul2022'!AJ4&lt;'Tariffs Jul2022'!L4,0,IF($C$5*'Tariffs Jul2022'!AL4/'Tariffs Jul2022'!AJ4&lt;='Tariffs Jul2022'!M4,($C$5*'Tariffs Jul2022'!AL4/'Tariffs Jul2022'!AJ4-'Tariffs Jul2022'!L4)*('Tariffs Jul2022'!X4/100)*'Tariffs Jul2022'!AJ4,('Tariffs Jul2022'!M4-'Tariffs Jul2022'!L4)*('Tariffs Jul2022'!X4/100)*'Tariffs Jul2022'!AJ4))</f>
        <v>77.318181818181813</v>
      </c>
      <c r="N10" s="59">
        <f>IF(($C$5*'Tariffs Jul2022'!AL4/'Tariffs Jul2022'!AJ4&gt;'Tariffs Jul2022'!M4),($C$5*'Tariffs Jul2022'!AL4/'Tariffs Jul2022'!AJ4-'Tariffs Jul2022'!M4)*'Tariffs Jul2022'!Y4/100*'Tariffs Jul2022'!AJ4,0)</f>
        <v>0</v>
      </c>
      <c r="O10" s="59">
        <f t="shared" si="1"/>
        <v>1377.4090909090905</v>
      </c>
      <c r="P10" s="503">
        <f t="shared" si="2"/>
        <v>1515.1499999999996</v>
      </c>
      <c r="Q10" s="59">
        <f t="shared" si="3"/>
        <v>1574.2768181818178</v>
      </c>
      <c r="R10" s="272">
        <f t="shared" si="4"/>
        <v>1731.7044999999998</v>
      </c>
      <c r="S10" s="40">
        <f>'Tariffs Jul2022'!AN4</f>
        <v>0</v>
      </c>
      <c r="T10" s="40">
        <f>'Tariffs Jul2022'!AO4</f>
        <v>0</v>
      </c>
      <c r="U10" s="40">
        <f>'Tariffs Jul2022'!AP4</f>
        <v>0</v>
      </c>
      <c r="V10" s="40">
        <f>'Tariffs Jul2022'!AQ4</f>
        <v>0</v>
      </c>
      <c r="W10" s="537" t="str">
        <f t="shared" si="5"/>
        <v>No discount</v>
      </c>
      <c r="X10" s="538" t="str">
        <f t="shared" si="6"/>
        <v>Exclusive</v>
      </c>
      <c r="Y10" s="534">
        <f>IF(AND(W10="Guaranteed off bill",X10="Inclusive"),((Q10*1.1)-((Q10*1.1)*S10/100))/1.1,IF(AND(W10="Guaranteed off usage",X10="Inclusive"),((Q10*1.1)-((P10*1.1)*T10/100))/1.1,IF(AND(W10="Guaranteed off bill",X10="Exclusive"),Q10-(Q10*S10/100),IF(AND(W10="Guaranteed off usage",X10="Exclusive"),Q10-(P10*T10/100),IF(X10="Inclusive",((Q10*1.1))/1.1,Q10)))))</f>
        <v>1574.2768181818178</v>
      </c>
      <c r="Z10" s="535">
        <f>IF(AND(W10="Pay-on-time off bill",X10="Inclusive"),((Y10*1.1)-((Y10*1.1)*U10/100))/1.1,IF(AND(W10="Pay-on-time off usage",X10="Inclusive"),((Y10*1.1)-((P10*1.1)*V10/100))/1.1,IF(AND(W10="Pay-on-time off bill",X10="Exclusive"),Y10-(Y10*U10/100),IF(AND(W10="Pay-on-time off usage",X10="Exclusive"),Y10-(P10*V10/100),IF(X10="Inclusive",((Y10*1.1))/1.1,Y10)))))</f>
        <v>1574.2768181818178</v>
      </c>
      <c r="AA10" s="542">
        <f t="shared" si="0"/>
        <v>1731.7044999999998</v>
      </c>
      <c r="AB10" s="542">
        <f t="shared" si="0"/>
        <v>1731.7044999999998</v>
      </c>
      <c r="AC10" s="274">
        <f>'Tariffs Jul2022'!AZ4</f>
        <v>0</v>
      </c>
      <c r="AD10" s="274" t="str">
        <f>'Tariffs Jul2022'!BA4</f>
        <v>n</v>
      </c>
      <c r="AE10" s="275" t="str">
        <f>'Tariffs Jul2022'!BJ4</f>
        <v>N</v>
      </c>
      <c r="AF10" s="593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593"/>
      <c r="AS10" s="593"/>
      <c r="AT10" s="593"/>
      <c r="AU10" s="593"/>
      <c r="AV10" s="593"/>
      <c r="AW10" s="593"/>
    </row>
    <row r="11" spans="1:49" ht="14" x14ac:dyDescent="0.15">
      <c r="A11" s="270" t="str">
        <f>'Tariffs Jul2022'!F5</f>
        <v>EnergyAustralia</v>
      </c>
      <c r="B11" s="40" t="str">
        <f>'Tariffs Jul2022'!D5</f>
        <v>Multinet Metro 1</v>
      </c>
      <c r="C11" s="40" t="str">
        <f>'Tariffs Jul2022'!G5</f>
        <v>Flexi Plan</v>
      </c>
      <c r="D11" s="59">
        <f>365*'Tariffs Jul2022'!H5/100</f>
        <v>308.42500000000001</v>
      </c>
      <c r="E11" s="59">
        <f>IF($C$5*'Tariffs Jul2022'!AK5/'Tariffs Jul2022'!AI5&gt;='Tariffs Jul2022'!J5,( 'Tariffs Jul2022'!J5*'Tariffs Jul2022'!O5/100)* 'Tariffs Jul2022'!AI5,($C$5*'Tariffs Jul2022'!AK5/'Tariffs Jul2022'!AI5*'Tariffs Jul2022'!O5/100)* 'Tariffs Jul2022'!AI5)</f>
        <v>283.90909090909088</v>
      </c>
      <c r="F11" s="59">
        <f>IF($C$5*'Tariffs Jul2022'!AK5/'Tariffs Jul2022'!AI5&lt;'Tariffs Jul2022'!J5,0,IF($C$5*'Tariffs Jul2022'!AK5/'Tariffs Jul2022'!AI5&lt;='Tariffs Jul2022'!K5,($C$5*'Tariffs Jul2022'!AK5/'Tariffs Jul2022'!AI5-'Tariffs Jul2022'!J5)*('Tariffs Jul2022'!P5/100)*'Tariffs Jul2022'!AI5,('Tariffs Jul2022'!K5-'Tariffs Jul2022'!J5)*('Tariffs Jul2022'!P5/100)*'Tariffs Jul2022'!AI5))</f>
        <v>243.81818181818181</v>
      </c>
      <c r="G11" s="59">
        <f>IF($C$5*'Tariffs Jul2022'!AK5/'Tariffs Jul2022'!AI5&lt;'Tariffs Jul2022'!K5,0,IF($C$5*'Tariffs Jul2022'!AK5/'Tariffs Jul2022'!AI5&lt;='Tariffs Jul2022'!L5,($C$5*'Tariffs Jul2022'!AK5/'Tariffs Jul2022'!AI5-'Tariffs Jul2022'!K5)*('Tariffs Jul2022'!Q5/100)*'Tariffs Jul2022'!AI5,('Tariffs Jul2022'!L5-'Tariffs Jul2022'!K5)*('Tariffs Jul2022'!Q5/100)*'Tariffs Jul2022'!AI5))</f>
        <v>199.6363636363636</v>
      </c>
      <c r="H11" s="59">
        <f>IF($C$5*'Tariffs Jul2022'!AK5/'Tariffs Jul2022'!AI5&lt;'Tariffs Jul2022'!L5,0,IF($C$5*'Tariffs Jul2022'!AK5/'Tariffs Jul2022'!AI5&lt;='Tariffs Jul2022'!M5,($C$5*'Tariffs Jul2022'!AK5/'Tariffs Jul2022'!AI5-'Tariffs Jul2022'!L5)*('Tariffs Jul2022'!R5/100)*'Tariffs Jul2022'!AI5,('Tariffs Jul2022'!M5-'Tariffs Jul2022'!L5)*('Tariffs Jul2022'!R5/100)*'Tariffs Jul2022'!AI5))</f>
        <v>86.318181818181799</v>
      </c>
      <c r="I11" s="59">
        <f>IF(($C$5*'Tariffs Jul2022'!AK5/'Tariffs Jul2022'!AI5&gt;'Tariffs Jul2022'!M5),($C$5*'Tariffs Jul2022'!AK5/'Tariffs Jul2022'!AI5-'Tariffs Jul2022'!M5)*'Tariffs Jul2022'!S5/100*'Tariffs Jul2022'!AI5,0)</f>
        <v>0</v>
      </c>
      <c r="J11" s="59">
        <f>IF($C$5*'Tariffs Jul2022'!AL5/'Tariffs Jul2022'!AJ5&gt;='Tariffs Jul2022'!J5,('Tariffs Jul2022'!J5*'Tariffs Jul2022'!U5/100)* 'Tariffs Jul2022'!AJ5,($C$5*'Tariffs Jul2022'!AL5/'Tariffs Jul2022'!AJ5*'Tariffs Jul2022'!U5/100)* 'Tariffs Jul2022'!AJ5)</f>
        <v>274.90909090909088</v>
      </c>
      <c r="K11" s="59">
        <f>IF($C$5*'Tariffs Jul2022'!AL5/'Tariffs Jul2022'!AJ5&lt;'Tariffs Jul2022'!J5,0,IF($C$5*'Tariffs Jul2022'!AL5/'Tariffs Jul2022'!AJ5&lt;='Tariffs Jul2022'!K5,($C$5*'Tariffs Jul2022'!AL5/'Tariffs Jul2022'!AJ5-'Tariffs Jul2022'!J5)*('Tariffs Jul2022'!V5/100)*'Tariffs Jul2022'!AJ5,('Tariffs Jul2022'!K5-'Tariffs Jul2022'!J5)*('Tariffs Jul2022'!V5/100)*'Tariffs Jul2022'!AJ5))</f>
        <v>233.99999999999994</v>
      </c>
      <c r="L11" s="59">
        <f>IF($C$5*'Tariffs Jul2022'!AL5/'Tariffs Jul2022'!AJ5&lt;'Tariffs Jul2022'!K5,0,IF($C$5*'Tariffs Jul2022'!AL5/'Tariffs Jul2022'!AJ5&lt;='Tariffs Jul2022'!L5,($C$5*'Tariffs Jul2022'!AL5/'Tariffs Jul2022'!AJ5-'Tariffs Jul2022'!K5)*('Tariffs Jul2022'!W5/100)*'Tariffs Jul2022'!AJ5,('Tariffs Jul2022'!L5-'Tariffs Jul2022'!K5)*('Tariffs Jul2022'!W5/100)*'Tariffs Jul2022'!AJ5))</f>
        <v>194.72727272727272</v>
      </c>
      <c r="M11" s="59">
        <f>IF($C$5*'Tariffs Jul2022'!AL5/'Tariffs Jul2022'!AJ5&lt;'Tariffs Jul2022'!L5,0,IF($C$5*'Tariffs Jul2022'!AL5/'Tariffs Jul2022'!AJ5&lt;='Tariffs Jul2022'!M5,($C$5*'Tariffs Jul2022'!AL5/'Tariffs Jul2022'!AJ5-'Tariffs Jul2022'!L5)*('Tariffs Jul2022'!X5/100)*'Tariffs Jul2022'!AJ5,('Tariffs Jul2022'!M5-'Tariffs Jul2022'!L5)*('Tariffs Jul2022'!X5/100)*'Tariffs Jul2022'!AJ5))</f>
        <v>83.454545454545453</v>
      </c>
      <c r="N11" s="59">
        <f>IF(($C$5*'Tariffs Jul2022'!AL5/'Tariffs Jul2022'!AJ5&gt;'Tariffs Jul2022'!M5),($C$5*'Tariffs Jul2022'!AL5/'Tariffs Jul2022'!AJ5-'Tariffs Jul2022'!M5)*'Tariffs Jul2022'!Y5/100*'Tariffs Jul2022'!AJ5,0)</f>
        <v>0</v>
      </c>
      <c r="O11" s="59">
        <f>SUM(E11:N11)</f>
        <v>1600.7727272727273</v>
      </c>
      <c r="P11" s="503">
        <f t="shared" si="2"/>
        <v>1760.8500000000001</v>
      </c>
      <c r="Q11" s="59">
        <f>D11+O11</f>
        <v>1909.1977272727272</v>
      </c>
      <c r="R11" s="272">
        <f t="shared" si="4"/>
        <v>2100.1175000000003</v>
      </c>
      <c r="S11" s="40">
        <f>'Tariffs Jul2022'!AN5</f>
        <v>8</v>
      </c>
      <c r="T11" s="40">
        <f>'Tariffs Jul2022'!AO5</f>
        <v>0</v>
      </c>
      <c r="U11" s="40">
        <f>'Tariffs Jul2022'!AP5</f>
        <v>0</v>
      </c>
      <c r="V11" s="40">
        <f>'Tariffs Jul2022'!AQ5</f>
        <v>0</v>
      </c>
      <c r="W11" s="537" t="str">
        <f t="shared" si="5"/>
        <v>Guaranteed off bill</v>
      </c>
      <c r="X11" s="538" t="str">
        <f t="shared" si="6"/>
        <v>Exclusive</v>
      </c>
      <c r="Y11" s="534">
        <f t="shared" ref="Y11" si="7">IF(AND(W11="Guaranteed off bill",X11="Inclusive"),((Q11*1.1)-((Q11*1.1)*S11/100))/1.1,IF(AND(W11="Guaranteed off usage",X11="Inclusive"),((Q11*1.1)-((P11*1.1)*T11/100))/1.1,IF(AND(W11="Guaranteed off bill",X11="Exclusive"),Q11-(Q11*S11/100),IF(AND(W11="Guaranteed off usage",X11="Exclusive"),Q11-(P11*T11/100),IF(X11="Inclusive",((Q11*1.1))/1.1,Q11)))))</f>
        <v>1756.4619090909091</v>
      </c>
      <c r="Z11" s="535">
        <f t="shared" ref="Z11" si="8">IF(AND(W11="Pay-on-time off bill",X11="Inclusive"),((Y11*1.1)-((Y11*1.1)*U11/100))/1.1,IF(AND(W11="Pay-on-time off usage",X11="Inclusive"),((Y11*1.1)-((P11*1.1)*V11/100))/1.1,IF(AND(W11="Pay-on-time off bill",X11="Exclusive"),Y11-(Y11*U11/100),IF(AND(W11="Pay-on-time off usage",X11="Exclusive"),Y11-(P11*V11/100),IF(X11="Inclusive",((Y11*1.1))/1.1,Y11)))))</f>
        <v>1756.4619090909091</v>
      </c>
      <c r="AA11" s="542">
        <f t="shared" si="0"/>
        <v>1932.1081000000001</v>
      </c>
      <c r="AB11" s="542">
        <f t="shared" si="0"/>
        <v>1932.1081000000001</v>
      </c>
      <c r="AC11" s="274">
        <f>'Tariffs Jul2022'!AZ5</f>
        <v>12</v>
      </c>
      <c r="AD11" s="274" t="str">
        <f>'Tariffs Jul2022'!BA5</f>
        <v>n</v>
      </c>
      <c r="AE11" s="275" t="str">
        <f>'Tariffs Jul2022'!BJ5</f>
        <v>N</v>
      </c>
      <c r="AF11" s="593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593"/>
      <c r="AS11" s="593"/>
      <c r="AT11" s="593"/>
      <c r="AU11" s="593"/>
      <c r="AV11" s="593"/>
      <c r="AW11" s="593"/>
    </row>
    <row r="12" spans="1:49" ht="14" x14ac:dyDescent="0.15">
      <c r="A12" s="270" t="str">
        <f>'Tariffs Jul2022'!F6</f>
        <v>Lumo Energy</v>
      </c>
      <c r="B12" s="40" t="str">
        <f>'Tariffs Jul2022'!D6</f>
        <v>Multinet Metro 1</v>
      </c>
      <c r="C12" s="40" t="str">
        <f>'Tariffs Jul2022'!G6</f>
        <v>Value</v>
      </c>
      <c r="D12" s="59">
        <f>365*'Tariffs Jul2022'!H6/100</f>
        <v>251.48500000000004</v>
      </c>
      <c r="E12" s="59">
        <f>IF($C$5*'Tariffs Jul2022'!AK6/'Tariffs Jul2022'!AI6&gt;='Tariffs Jul2022'!J6,( 'Tariffs Jul2022'!J6*'Tariffs Jul2022'!O6/100)* 'Tariffs Jul2022'!AI6,($C$5*'Tariffs Jul2022'!AK6/'Tariffs Jul2022'!AI6*'Tariffs Jul2022'!O6/100)* 'Tariffs Jul2022'!AI6)</f>
        <v>202.09090909090912</v>
      </c>
      <c r="F12" s="59">
        <f>IF($C$5*'Tariffs Jul2022'!AK6/'Tariffs Jul2022'!AI6&lt;'Tariffs Jul2022'!J6,0,IF($C$5*'Tariffs Jul2022'!AK6/'Tariffs Jul2022'!AI6&lt;='Tariffs Jul2022'!K6,($C$5*'Tariffs Jul2022'!AK6/'Tariffs Jul2022'!AI6-'Tariffs Jul2022'!J6)*('Tariffs Jul2022'!P6/100)*'Tariffs Jul2022'!AI6,('Tariffs Jul2022'!K6-'Tariffs Jul2022'!J6)*('Tariffs Jul2022'!P6/100)*'Tariffs Jul2022'!AI6))</f>
        <v>166.90909090909091</v>
      </c>
      <c r="G12" s="59">
        <f>IF($C$5*'Tariffs Jul2022'!AK6/'Tariffs Jul2022'!AI6&lt;'Tariffs Jul2022'!K6,0,IF($C$5*'Tariffs Jul2022'!AK6/'Tariffs Jul2022'!AI6&lt;='Tariffs Jul2022'!L6,($C$5*'Tariffs Jul2022'!AK6/'Tariffs Jul2022'!AI6-'Tariffs Jul2022'!K6)*('Tariffs Jul2022'!Q6/100)*'Tariffs Jul2022'!AI6,('Tariffs Jul2022'!L6-'Tariffs Jul2022'!K6)*('Tariffs Jul2022'!Q6/100)*'Tariffs Jul2022'!AI6))</f>
        <v>156.27272727272725</v>
      </c>
      <c r="H12" s="59">
        <f>IF($C$5*'Tariffs Jul2022'!AK6/'Tariffs Jul2022'!AI6&lt;'Tariffs Jul2022'!L6,0,IF($C$5*'Tariffs Jul2022'!AK6/'Tariffs Jul2022'!AI6&lt;='Tariffs Jul2022'!M6,($C$5*'Tariffs Jul2022'!AK6/'Tariffs Jul2022'!AI6-'Tariffs Jul2022'!L6)*('Tariffs Jul2022'!R6/100)*'Tariffs Jul2022'!AI6,('Tariffs Jul2022'!M6-'Tariffs Jul2022'!L6)*('Tariffs Jul2022'!R6/100)*'Tariffs Jul2022'!AI6))</f>
        <v>75.272727272727266</v>
      </c>
      <c r="I12" s="59">
        <f>IF(($C$5*'Tariffs Jul2022'!AK6/'Tariffs Jul2022'!AI6&gt;'Tariffs Jul2022'!M6),($C$5*'Tariffs Jul2022'!AK6/'Tariffs Jul2022'!AI6-'Tariffs Jul2022'!M6)*'Tariffs Jul2022'!S6/100*'Tariffs Jul2022'!AI6,0)</f>
        <v>0</v>
      </c>
      <c r="J12" s="59">
        <f>IF($C$5*'Tariffs Jul2022'!AL6/'Tariffs Jul2022'!AJ6&gt;='Tariffs Jul2022'!J6,('Tariffs Jul2022'!J6*'Tariffs Jul2022'!U6/100)* 'Tariffs Jul2022'!AJ6,($C$5*'Tariffs Jul2022'!AL6/'Tariffs Jul2022'!AJ6*'Tariffs Jul2022'!U6/100)* 'Tariffs Jul2022'!AJ6)</f>
        <v>193.09090909090904</v>
      </c>
      <c r="K12" s="59">
        <f>IF($C$5*'Tariffs Jul2022'!AL6/'Tariffs Jul2022'!AJ6&lt;'Tariffs Jul2022'!J6,0,IF($C$5*'Tariffs Jul2022'!AL6/'Tariffs Jul2022'!AJ6&lt;='Tariffs Jul2022'!K6,($C$5*'Tariffs Jul2022'!AL6/'Tariffs Jul2022'!AJ6-'Tariffs Jul2022'!J6)*('Tariffs Jul2022'!V6/100)*'Tariffs Jul2022'!AJ6,('Tariffs Jul2022'!K6-'Tariffs Jul2022'!J6)*('Tariffs Jul2022'!V6/100)*'Tariffs Jul2022'!AJ6))</f>
        <v>166.90909090909091</v>
      </c>
      <c r="L12" s="59">
        <f>IF($C$5*'Tariffs Jul2022'!AL6/'Tariffs Jul2022'!AJ6&lt;'Tariffs Jul2022'!K6,0,IF($C$5*'Tariffs Jul2022'!AL6/'Tariffs Jul2022'!AJ6&lt;='Tariffs Jul2022'!L6,($C$5*'Tariffs Jul2022'!AL6/'Tariffs Jul2022'!AJ6-'Tariffs Jul2022'!K6)*('Tariffs Jul2022'!W6/100)*'Tariffs Jul2022'!AJ6,('Tariffs Jul2022'!L6-'Tariffs Jul2022'!K6)*('Tariffs Jul2022'!W6/100)*'Tariffs Jul2022'!AJ6))</f>
        <v>154.63636363636363</v>
      </c>
      <c r="M12" s="59">
        <f>IF($C$5*'Tariffs Jul2022'!AL6/'Tariffs Jul2022'!AJ6&lt;'Tariffs Jul2022'!L6,0,IF($C$5*'Tariffs Jul2022'!AL6/'Tariffs Jul2022'!AJ6&lt;='Tariffs Jul2022'!M6,($C$5*'Tariffs Jul2022'!AL6/'Tariffs Jul2022'!AJ6-'Tariffs Jul2022'!L6)*('Tariffs Jul2022'!X6/100)*'Tariffs Jul2022'!AJ6,('Tariffs Jul2022'!M6-'Tariffs Jul2022'!L6)*('Tariffs Jul2022'!X6/100)*'Tariffs Jul2022'!AJ6))</f>
        <v>74.045454545454533</v>
      </c>
      <c r="N12" s="59">
        <f>IF(($C$5*'Tariffs Jul2022'!AL6/'Tariffs Jul2022'!AJ6&gt;'Tariffs Jul2022'!M6),($C$5*'Tariffs Jul2022'!AL6/'Tariffs Jul2022'!AJ6-'Tariffs Jul2022'!M6)*'Tariffs Jul2022'!Y6/100*'Tariffs Jul2022'!AJ6,0)</f>
        <v>0</v>
      </c>
      <c r="O12" s="59">
        <f t="shared" si="1"/>
        <v>1189.2272727272725</v>
      </c>
      <c r="P12" s="503">
        <f t="shared" si="2"/>
        <v>1308.1499999999999</v>
      </c>
      <c r="Q12" s="59">
        <f t="shared" si="3"/>
        <v>1440.7122727272726</v>
      </c>
      <c r="R12" s="272">
        <f t="shared" si="4"/>
        <v>1584.7835</v>
      </c>
      <c r="S12" s="40">
        <f>'Tariffs Jul2022'!AN6</f>
        <v>0</v>
      </c>
      <c r="T12" s="40">
        <f>'Tariffs Jul2022'!AO6</f>
        <v>0</v>
      </c>
      <c r="U12" s="40">
        <f>'Tariffs Jul2022'!AP6</f>
        <v>0</v>
      </c>
      <c r="V12" s="40">
        <f>'Tariffs Jul2022'!AQ6</f>
        <v>0</v>
      </c>
      <c r="W12" s="537" t="str">
        <f t="shared" si="5"/>
        <v>No discount</v>
      </c>
      <c r="X12" s="538" t="str">
        <f t="shared" si="6"/>
        <v>Exclusive</v>
      </c>
      <c r="Y12" s="534">
        <f>IF(AND(W12="Guaranteed off bill",X12="Inclusive"),((Q12*1.1)-((Q12*1.1)*S12/100))/1.1,IF(AND(W12="Guaranteed off usage",X12="Inclusive"),((Q12*1.1)-((P12*1.1)*T12/100))/1.1,IF(AND(W12="Guaranteed off bill",X12="Exclusive"),Q12-(Q12*S12/100),IF(AND(W12="Guaranteed off usage",X12="Exclusive"),Q12-(P12*T12/100),IF(X12="Inclusive",((Q12*1.1))/1.1,Q12)))))</f>
        <v>1440.7122727272726</v>
      </c>
      <c r="Z12" s="535">
        <f>IF(AND(W12="Pay-on-time off bill",X12="Inclusive"),((Y12*1.1)-((Y12*1.1)*U12/100))/1.1,IF(AND(W12="Pay-on-time off usage",X12="Inclusive"),((Y12*1.1)-((P12*1.1)*V12/100))/1.1,IF(AND(W12="Pay-on-time off bill",X12="Exclusive"),Y12-(Y12*U12/100),IF(AND(W12="Pay-on-time off usage",X12="Exclusive"),Y12-(P12*V12/100),IF(X12="Inclusive",((Y12*1.1))/1.1,Y12)))))</f>
        <v>1440.7122727272726</v>
      </c>
      <c r="AA12" s="542">
        <f t="shared" si="0"/>
        <v>1584.7835</v>
      </c>
      <c r="AB12" s="542">
        <f t="shared" si="0"/>
        <v>1584.7835</v>
      </c>
      <c r="AC12" s="274">
        <f>'Tariffs Jul2022'!AZ6</f>
        <v>0</v>
      </c>
      <c r="AD12" s="274" t="str">
        <f>'Tariffs Jul2022'!BA6</f>
        <v>n</v>
      </c>
      <c r="AE12" s="275" t="str">
        <f>'Tariffs Jul2022'!BJ6</f>
        <v>N</v>
      </c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</row>
    <row r="13" spans="1:49" ht="14" x14ac:dyDescent="0.15">
      <c r="A13" s="270" t="str">
        <f>'Tariffs Jul2022'!F7</f>
        <v>Origin Energy</v>
      </c>
      <c r="B13" s="40" t="str">
        <f>'Tariffs Jul2022'!D7</f>
        <v>Multinet Metro 1</v>
      </c>
      <c r="C13" s="40" t="str">
        <f>'Tariffs Jul2022'!G7</f>
        <v>Go Variable</v>
      </c>
      <c r="D13" s="59">
        <f>365*'Tariffs Jul2022'!H7/100</f>
        <v>260.8422727272727</v>
      </c>
      <c r="E13" s="59">
        <f>IF($C$5*'Tariffs Jul2022'!AK7/'Tariffs Jul2022'!AI7&gt;='Tariffs Jul2022'!J7,( 'Tariffs Jul2022'!J7*'Tariffs Jul2022'!O7/100)* 'Tariffs Jul2022'!AI7,($C$5*'Tariffs Jul2022'!AK7/'Tariffs Jul2022'!AI7*'Tariffs Jul2022'!O7/100)* 'Tariffs Jul2022'!AI7)</f>
        <v>459.81818181818176</v>
      </c>
      <c r="F13" s="59">
        <f>IF($C$5*'Tariffs Jul2022'!AK7/'Tariffs Jul2022'!AI7&lt;'Tariffs Jul2022'!J7,0,IF($C$5*'Tariffs Jul2022'!AK7/'Tariffs Jul2022'!AI7&lt;='Tariffs Jul2022'!K7,($C$5*'Tariffs Jul2022'!AK7/'Tariffs Jul2022'!AI7-'Tariffs Jul2022'!J7)*('Tariffs Jul2022'!P7/100)*'Tariffs Jul2022'!AI7,('Tariffs Jul2022'!K7-'Tariffs Jul2022'!J7)*('Tariffs Jul2022'!P7/100)*'Tariffs Jul2022'!AI7))</f>
        <v>0</v>
      </c>
      <c r="G13" s="59">
        <f>IF($C$5*'Tariffs Jul2022'!AK7/'Tariffs Jul2022'!AI7&lt;'Tariffs Jul2022'!K7,0,IF($C$5*'Tariffs Jul2022'!AK7/'Tariffs Jul2022'!AI7&lt;='Tariffs Jul2022'!L7,($C$5*'Tariffs Jul2022'!AK7/'Tariffs Jul2022'!AI7-'Tariffs Jul2022'!K7)*('Tariffs Jul2022'!Q7/100)*'Tariffs Jul2022'!AI7,('Tariffs Jul2022'!L7-'Tariffs Jul2022'!K7)*('Tariffs Jul2022'!Q7/100)*'Tariffs Jul2022'!AI7))</f>
        <v>0</v>
      </c>
      <c r="H13" s="59">
        <f>IF($C$5*'Tariffs Jul2022'!AK7/'Tariffs Jul2022'!AI7&lt;'Tariffs Jul2022'!L7,0,IF($C$5*'Tariffs Jul2022'!AK7/'Tariffs Jul2022'!AI7&lt;='Tariffs Jul2022'!M7,($C$5*'Tariffs Jul2022'!AK7/'Tariffs Jul2022'!AI7-'Tariffs Jul2022'!L7)*('Tariffs Jul2022'!R7/100)*'Tariffs Jul2022'!AI7,('Tariffs Jul2022'!M7-'Tariffs Jul2022'!L7)*('Tariffs Jul2022'!R7/100)*'Tariffs Jul2022'!AI7))</f>
        <v>0</v>
      </c>
      <c r="I13" s="59">
        <f>IF(($C$5*'Tariffs Jul2022'!AK7/'Tariffs Jul2022'!AI7&gt;'Tariffs Jul2022'!M7),($C$5*'Tariffs Jul2022'!AK7/'Tariffs Jul2022'!AI7-'Tariffs Jul2022'!M7)*'Tariffs Jul2022'!S7/100*'Tariffs Jul2022'!AI7,0)</f>
        <v>229.5</v>
      </c>
      <c r="J13" s="59">
        <f>IF($C$5*'Tariffs Jul2022'!AL7/'Tariffs Jul2022'!AJ7&gt;='Tariffs Jul2022'!J7,('Tariffs Jul2022'!J7*'Tariffs Jul2022'!U7/100)* 'Tariffs Jul2022'!AJ7,($C$5*'Tariffs Jul2022'!AL7/'Tariffs Jul2022'!AJ7*'Tariffs Jul2022'!U7/100)* 'Tariffs Jul2022'!AJ7)</f>
        <v>459.81818181818176</v>
      </c>
      <c r="K13" s="59">
        <f>IF($C$5*'Tariffs Jul2022'!AL7/'Tariffs Jul2022'!AJ7&lt;'Tariffs Jul2022'!J7,0,IF($C$5*'Tariffs Jul2022'!AL7/'Tariffs Jul2022'!AJ7&lt;='Tariffs Jul2022'!K7,($C$5*'Tariffs Jul2022'!AL7/'Tariffs Jul2022'!AJ7-'Tariffs Jul2022'!J7)*('Tariffs Jul2022'!V7/100)*'Tariffs Jul2022'!AJ7,('Tariffs Jul2022'!K7-'Tariffs Jul2022'!J7)*('Tariffs Jul2022'!V7/100)*'Tariffs Jul2022'!AJ7))</f>
        <v>0</v>
      </c>
      <c r="L13" s="59">
        <f>IF($C$5*'Tariffs Jul2022'!AL7/'Tariffs Jul2022'!AJ7&lt;'Tariffs Jul2022'!K7,0,IF($C$5*'Tariffs Jul2022'!AL7/'Tariffs Jul2022'!AJ7&lt;='Tariffs Jul2022'!L7,($C$5*'Tariffs Jul2022'!AL7/'Tariffs Jul2022'!AJ7-'Tariffs Jul2022'!K7)*('Tariffs Jul2022'!W7/100)*'Tariffs Jul2022'!AJ7,('Tariffs Jul2022'!L7-'Tariffs Jul2022'!K7)*('Tariffs Jul2022'!W7/100)*'Tariffs Jul2022'!AJ7))</f>
        <v>0</v>
      </c>
      <c r="M13" s="59">
        <f>IF($C$5*'Tariffs Jul2022'!AL7/'Tariffs Jul2022'!AJ7&lt;'Tariffs Jul2022'!L7,0,IF($C$5*'Tariffs Jul2022'!AL7/'Tariffs Jul2022'!AJ7&lt;='Tariffs Jul2022'!M7,($C$5*'Tariffs Jul2022'!AL7/'Tariffs Jul2022'!AJ7-'Tariffs Jul2022'!L7)*('Tariffs Jul2022'!X7/100)*'Tariffs Jul2022'!AJ7,('Tariffs Jul2022'!M7-'Tariffs Jul2022'!L7)*('Tariffs Jul2022'!X7/100)*'Tariffs Jul2022'!AJ7))</f>
        <v>0</v>
      </c>
      <c r="N13" s="59">
        <f>IF(($C$5*'Tariffs Jul2022'!AL7/'Tariffs Jul2022'!AJ7&gt;'Tariffs Jul2022'!M7),($C$5*'Tariffs Jul2022'!AL7/'Tariffs Jul2022'!AJ7-'Tariffs Jul2022'!M7)*'Tariffs Jul2022'!Y7/100*'Tariffs Jul2022'!AJ7,0)</f>
        <v>229.5</v>
      </c>
      <c r="O13" s="59">
        <f t="shared" si="1"/>
        <v>1378.6363636363635</v>
      </c>
      <c r="P13" s="503">
        <f t="shared" si="2"/>
        <v>1516.5</v>
      </c>
      <c r="Q13" s="59">
        <f t="shared" si="3"/>
        <v>1639.4786363636363</v>
      </c>
      <c r="R13" s="272">
        <f t="shared" si="4"/>
        <v>1803.4265</v>
      </c>
      <c r="S13" s="40">
        <f>'Tariffs Jul2022'!AN7</f>
        <v>0</v>
      </c>
      <c r="T13" s="40">
        <f>'Tariffs Jul2022'!AO7</f>
        <v>0</v>
      </c>
      <c r="U13" s="40">
        <f>'Tariffs Jul2022'!AP7</f>
        <v>0</v>
      </c>
      <c r="V13" s="40">
        <f>'Tariffs Jul2022'!AQ7</f>
        <v>0</v>
      </c>
      <c r="W13" s="537" t="str">
        <f t="shared" si="5"/>
        <v>No discount</v>
      </c>
      <c r="X13" s="538" t="str">
        <f t="shared" si="6"/>
        <v>Inclusive</v>
      </c>
      <c r="Y13" s="534">
        <f>IF(AND(W13="Guaranteed off bill",X13="Inclusive"),((Q13*1.1)-((Q13*1.1)*S13/100))/1.1,IF(AND(W13="Guaranteed off usage",X13="Inclusive"),((Q13*1.1)-((P13*1.1)*T13/100))/1.1,IF(AND(W13="Guaranteed off bill",X13="Exclusive"),Q13-(Q13*S13/100),IF(AND(W13="Guaranteed off usage",X13="Exclusive"),Q13-(P13*T13/100),IF(X13="Inclusive",((Q13*1.1))/1.1,Q13)))))</f>
        <v>1639.4786363636363</v>
      </c>
      <c r="Z13" s="535">
        <f>IF(AND(W13="Pay-on-time off bill",X13="Inclusive"),((Y13*1.1)-((Y13*1.1)*U13/100))/1.1,IF(AND(W13="Pay-on-time off usage",X13="Inclusive"),((Y13*1.1)-((P13*1.1)*V13/100))/1.1,IF(AND(W13="Pay-on-time off bill",X13="Exclusive"),Y13-(Y13*U13/100),IF(AND(W13="Pay-on-time off usage",X13="Exclusive"),Y13-(P13*V13/100),IF(X13="Inclusive",((Y13*1.1))/1.1,Y13)))))</f>
        <v>1639.4786363636363</v>
      </c>
      <c r="AA13" s="542">
        <f t="shared" si="0"/>
        <v>1803.4265</v>
      </c>
      <c r="AB13" s="542">
        <f t="shared" si="0"/>
        <v>1803.4265</v>
      </c>
      <c r="AC13" s="274">
        <f>'Tariffs Jul2022'!AZ7</f>
        <v>0</v>
      </c>
      <c r="AD13" s="274" t="str">
        <f>'Tariffs Jul2022'!BA7</f>
        <v>n</v>
      </c>
      <c r="AE13" s="275" t="str">
        <f>'Tariffs Jul2022'!BJ7</f>
        <v>N</v>
      </c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</row>
    <row r="14" spans="1:49" ht="14" x14ac:dyDescent="0.15">
      <c r="A14" s="270" t="str">
        <f>'Tariffs Jul2022'!F8</f>
        <v>Red Energy</v>
      </c>
      <c r="B14" s="40" t="str">
        <f>'Tariffs Jul2022'!D8</f>
        <v>Multinet Metro 1</v>
      </c>
      <c r="C14" s="40" t="str">
        <f>'Tariffs Jul2022'!G8</f>
        <v>Living Energy Saver</v>
      </c>
      <c r="D14" s="59">
        <f>365*'Tariffs Jul2022'!H8/100</f>
        <v>262.8</v>
      </c>
      <c r="E14" s="59">
        <f>IF($C$5*'Tariffs Jul2022'!AK8/'Tariffs Jul2022'!AI8&gt;='Tariffs Jul2022'!J8,( 'Tariffs Jul2022'!J8*'Tariffs Jul2022'!O8/100)* 'Tariffs Jul2022'!AI8,($C$5*'Tariffs Jul2022'!AK8/'Tariffs Jul2022'!AI8*'Tariffs Jul2022'!O8/100)* 'Tariffs Jul2022'!AI8)</f>
        <v>205.36363636363632</v>
      </c>
      <c r="F14" s="59">
        <f>IF($C$5*'Tariffs Jul2022'!AK8/'Tariffs Jul2022'!AI8&lt;'Tariffs Jul2022'!J8,0,IF($C$5*'Tariffs Jul2022'!AK8/'Tariffs Jul2022'!AI8&lt;='Tariffs Jul2022'!K8,($C$5*'Tariffs Jul2022'!AK8/'Tariffs Jul2022'!AI8-'Tariffs Jul2022'!J8)*('Tariffs Jul2022'!P8/100)*'Tariffs Jul2022'!AI8,('Tariffs Jul2022'!K8-'Tariffs Jul2022'!J8)*('Tariffs Jul2022'!P8/100)*'Tariffs Jul2022'!AI8))</f>
        <v>189.81818181818181</v>
      </c>
      <c r="G14" s="59">
        <f>IF($C$5*'Tariffs Jul2022'!AK8/'Tariffs Jul2022'!AI8&lt;'Tariffs Jul2022'!K8,0,IF($C$5*'Tariffs Jul2022'!AK8/'Tariffs Jul2022'!AI8&lt;='Tariffs Jul2022'!L8,($C$5*'Tariffs Jul2022'!AK8/'Tariffs Jul2022'!AI8-'Tariffs Jul2022'!K8)*('Tariffs Jul2022'!Q8/100)*'Tariffs Jul2022'!AI8,('Tariffs Jul2022'!L8-'Tariffs Jul2022'!K8)*('Tariffs Jul2022'!Q8/100)*'Tariffs Jul2022'!AI8))</f>
        <v>174.27272727272725</v>
      </c>
      <c r="H14" s="59">
        <f>IF($C$5*'Tariffs Jul2022'!AK8/'Tariffs Jul2022'!AI8&lt;'Tariffs Jul2022'!L8,0,IF($C$5*'Tariffs Jul2022'!AK8/'Tariffs Jul2022'!AI8&lt;='Tariffs Jul2022'!M8,($C$5*'Tariffs Jul2022'!AK8/'Tariffs Jul2022'!AI8-'Tariffs Jul2022'!L8)*('Tariffs Jul2022'!R8/100)*'Tariffs Jul2022'!AI8,('Tariffs Jul2022'!M8-'Tariffs Jul2022'!L8)*('Tariffs Jul2022'!R8/100)*'Tariffs Jul2022'!AI8))</f>
        <v>72</v>
      </c>
      <c r="I14" s="59">
        <f>IF(($C$5*'Tariffs Jul2022'!AK8/'Tariffs Jul2022'!AI8&gt;'Tariffs Jul2022'!M8),($C$5*'Tariffs Jul2022'!AK8/'Tariffs Jul2022'!AI8-'Tariffs Jul2022'!M8)*'Tariffs Jul2022'!S8/100*'Tariffs Jul2022'!AI8,0)</f>
        <v>0</v>
      </c>
      <c r="J14" s="59">
        <f>IF($C$5*'Tariffs Jul2022'!AL8/'Tariffs Jul2022'!AJ8&gt;='Tariffs Jul2022'!J8,('Tariffs Jul2022'!J8*'Tariffs Jul2022'!U8/100)* 'Tariffs Jul2022'!AJ8,($C$5*'Tariffs Jul2022'!AL8/'Tariffs Jul2022'!AJ8*'Tariffs Jul2022'!U8/100)* 'Tariffs Jul2022'!AJ8)</f>
        <v>205.36363636363632</v>
      </c>
      <c r="K14" s="59">
        <f>IF($C$5*'Tariffs Jul2022'!AL8/'Tariffs Jul2022'!AJ8&lt;'Tariffs Jul2022'!J8,0,IF($C$5*'Tariffs Jul2022'!AL8/'Tariffs Jul2022'!AJ8&lt;='Tariffs Jul2022'!K8,($C$5*'Tariffs Jul2022'!AL8/'Tariffs Jul2022'!AJ8-'Tariffs Jul2022'!J8)*('Tariffs Jul2022'!V8/100)*'Tariffs Jul2022'!AJ8,('Tariffs Jul2022'!K8-'Tariffs Jul2022'!J8)*('Tariffs Jul2022'!V8/100)*'Tariffs Jul2022'!AJ8))</f>
        <v>189.81818181818181</v>
      </c>
      <c r="L14" s="59">
        <f>IF($C$5*'Tariffs Jul2022'!AL8/'Tariffs Jul2022'!AJ8&lt;'Tariffs Jul2022'!K8,0,IF($C$5*'Tariffs Jul2022'!AL8/'Tariffs Jul2022'!AJ8&lt;='Tariffs Jul2022'!L8,($C$5*'Tariffs Jul2022'!AL8/'Tariffs Jul2022'!AJ8-'Tariffs Jul2022'!K8)*('Tariffs Jul2022'!W8/100)*'Tariffs Jul2022'!AJ8,('Tariffs Jul2022'!L8-'Tariffs Jul2022'!K8)*('Tariffs Jul2022'!W8/100)*'Tariffs Jul2022'!AJ8))</f>
        <v>161.99999999999997</v>
      </c>
      <c r="M14" s="59">
        <f>IF($C$5*'Tariffs Jul2022'!AL8/'Tariffs Jul2022'!AJ8&lt;'Tariffs Jul2022'!L8,0,IF($C$5*'Tariffs Jul2022'!AL8/'Tariffs Jul2022'!AJ8&lt;='Tariffs Jul2022'!M8,($C$5*'Tariffs Jul2022'!AL8/'Tariffs Jul2022'!AJ8-'Tariffs Jul2022'!L8)*('Tariffs Jul2022'!X8/100)*'Tariffs Jul2022'!AJ8,('Tariffs Jul2022'!M8-'Tariffs Jul2022'!L8)*('Tariffs Jul2022'!X8/100)*'Tariffs Jul2022'!AJ8))</f>
        <v>72</v>
      </c>
      <c r="N14" s="59">
        <f>IF(($C$5*'Tariffs Jul2022'!AL8/'Tariffs Jul2022'!AJ8&gt;'Tariffs Jul2022'!M8),($C$5*'Tariffs Jul2022'!AL8/'Tariffs Jul2022'!AJ8-'Tariffs Jul2022'!M8)*'Tariffs Jul2022'!Y8/100*'Tariffs Jul2022'!AJ8,0)</f>
        <v>0</v>
      </c>
      <c r="O14" s="59">
        <f t="shared" si="1"/>
        <v>1270.6363636363635</v>
      </c>
      <c r="P14" s="503">
        <f t="shared" si="2"/>
        <v>1397.7</v>
      </c>
      <c r="Q14" s="59">
        <f t="shared" si="3"/>
        <v>1533.4363636363635</v>
      </c>
      <c r="R14" s="272">
        <f t="shared" si="4"/>
        <v>1686.78</v>
      </c>
      <c r="S14" s="40">
        <f>'Tariffs Jul2022'!AN8</f>
        <v>0</v>
      </c>
      <c r="T14" s="40">
        <f>'Tariffs Jul2022'!AO8</f>
        <v>0</v>
      </c>
      <c r="U14" s="40">
        <f>'Tariffs Jul2022'!AP8</f>
        <v>0</v>
      </c>
      <c r="V14" s="40">
        <f>'Tariffs Jul2022'!AQ8</f>
        <v>0</v>
      </c>
      <c r="W14" s="537" t="str">
        <f t="shared" si="5"/>
        <v>No discount</v>
      </c>
      <c r="X14" s="538" t="str">
        <f t="shared" si="6"/>
        <v>Inclusive</v>
      </c>
      <c r="Y14" s="534">
        <f t="shared" ref="Y14:Y16" si="9">IF(AND(W14="Guaranteed off bill",X14="Inclusive"),((Q14*1.1)-((Q14*1.1)*S14/100))/1.1,IF(AND(W14="Guaranteed off usage",X14="Inclusive"),((Q14*1.1)-((P14*1.1)*T14/100))/1.1,IF(AND(W14="Guaranteed off bill",X14="Exclusive"),Q14-(Q14*S14/100),IF(AND(W14="Guaranteed off usage",X14="Exclusive"),Q14-(P14*T14/100),IF(X14="Inclusive",((Q14*1.1))/1.1,Q14)))))</f>
        <v>1533.4363636363635</v>
      </c>
      <c r="Z14" s="535">
        <f t="shared" ref="Z14:Z16" si="10">IF(AND(W14="Pay-on-time off bill",X14="Inclusive"),((Y14*1.1)-((Y14*1.1)*U14/100))/1.1,IF(AND(W14="Pay-on-time off usage",X14="Inclusive"),((Y14*1.1)-((P14*1.1)*V14/100))/1.1,IF(AND(W14="Pay-on-time off bill",X14="Exclusive"),Y14-(Y14*U14/100),IF(AND(W14="Pay-on-time off usage",X14="Exclusive"),Y14-(P14*V14/100),IF(X14="Inclusive",((Y14*1.1))/1.1,Y14)))))</f>
        <v>1533.4363636363635</v>
      </c>
      <c r="AA14" s="542">
        <f t="shared" si="0"/>
        <v>1686.78</v>
      </c>
      <c r="AB14" s="542">
        <f t="shared" si="0"/>
        <v>1686.78</v>
      </c>
      <c r="AC14" s="274">
        <f>'Tariffs Jul2022'!AZ8</f>
        <v>0</v>
      </c>
      <c r="AD14" s="274" t="str">
        <f>'Tariffs Jul2022'!BA8</f>
        <v>n</v>
      </c>
      <c r="AE14" s="275" t="str">
        <f>'Tariffs Jul2022'!BJ8</f>
        <v>N</v>
      </c>
      <c r="AF14" s="593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593"/>
      <c r="AS14" s="593"/>
      <c r="AT14" s="593"/>
      <c r="AU14" s="593"/>
      <c r="AV14" s="593"/>
      <c r="AW14" s="593"/>
    </row>
    <row r="15" spans="1:49" ht="14" x14ac:dyDescent="0.15">
      <c r="A15" s="270" t="str">
        <f>'Tariffs Jul2022'!F9</f>
        <v>Simply Energy</v>
      </c>
      <c r="B15" s="40" t="str">
        <f>'Tariffs Jul2022'!D9</f>
        <v>Multinet Metro 1</v>
      </c>
      <c r="C15" s="40" t="str">
        <f>'Tariffs Jul2022'!G9</f>
        <v>Basics</v>
      </c>
      <c r="D15" s="59">
        <f>365*'Tariffs Jul2022'!H9/100</f>
        <v>277.76499999999999</v>
      </c>
      <c r="E15" s="59">
        <f>IF($C$5*'Tariffs Jul2022'!AK9/'Tariffs Jul2022'!AI9&gt;='Tariffs Jul2022'!J9,( 'Tariffs Jul2022'!J9*'Tariffs Jul2022'!O9/100)* 'Tariffs Jul2022'!AI9,($C$5*'Tariffs Jul2022'!AK9/'Tariffs Jul2022'!AI9*'Tariffs Jul2022'!O9/100)* 'Tariffs Jul2022'!AI9)</f>
        <v>307.63636363636363</v>
      </c>
      <c r="F15" s="59">
        <f>IF($C$5*'Tariffs Jul2022'!AK9/'Tariffs Jul2022'!AI9&lt;'Tariffs Jul2022'!J9,0,IF($C$5*'Tariffs Jul2022'!AK9/'Tariffs Jul2022'!AI9&lt;='Tariffs Jul2022'!K9,($C$5*'Tariffs Jul2022'!AK9/'Tariffs Jul2022'!AI9-'Tariffs Jul2022'!J9)*('Tariffs Jul2022'!P9/100)*'Tariffs Jul2022'!AI9,('Tariffs Jul2022'!K9-'Tariffs Jul2022'!J9)*('Tariffs Jul2022'!P9/100)*'Tariffs Jul2022'!AI9))</f>
        <v>274.90909090909088</v>
      </c>
      <c r="G15" s="59">
        <f>IF($C$5*'Tariffs Jul2022'!AK9/'Tariffs Jul2022'!AI9&lt;'Tariffs Jul2022'!K9,0,IF($C$5*'Tariffs Jul2022'!AK9/'Tariffs Jul2022'!AI9&lt;='Tariffs Jul2022'!L9,($C$5*'Tariffs Jul2022'!AK9/'Tariffs Jul2022'!AI9-'Tariffs Jul2022'!K9)*('Tariffs Jul2022'!Q9/100)*'Tariffs Jul2022'!AI9,('Tariffs Jul2022'!L9-'Tariffs Jul2022'!K9)*('Tariffs Jul2022'!Q9/100)*'Tariffs Jul2022'!AI9))</f>
        <v>235.6363636363636</v>
      </c>
      <c r="H15" s="59">
        <f>IF($C$5*'Tariffs Jul2022'!AK9/'Tariffs Jul2022'!AI9&lt;'Tariffs Jul2022'!L9,0,IF($C$5*'Tariffs Jul2022'!AK9/'Tariffs Jul2022'!AI9&lt;='Tariffs Jul2022'!M9,($C$5*'Tariffs Jul2022'!AK9/'Tariffs Jul2022'!AI9-'Tariffs Jul2022'!L9)*('Tariffs Jul2022'!R9/100)*'Tariffs Jul2022'!AI9,('Tariffs Jul2022'!M9-'Tariffs Jul2022'!L9)*('Tariffs Jul2022'!R9/100)*'Tariffs Jul2022'!AI9))</f>
        <v>107.04545454545453</v>
      </c>
      <c r="I15" s="59">
        <f>IF(($C$5*'Tariffs Jul2022'!AK9/'Tariffs Jul2022'!AI9&gt;'Tariffs Jul2022'!M9),($C$5*'Tariffs Jul2022'!AK9/'Tariffs Jul2022'!AI9-'Tariffs Jul2022'!M9)*'Tariffs Jul2022'!S9/100*'Tariffs Jul2022'!AI9,0)</f>
        <v>0</v>
      </c>
      <c r="J15" s="59">
        <f>IF($C$5*'Tariffs Jul2022'!AL9/'Tariffs Jul2022'!AJ9&gt;='Tariffs Jul2022'!J9,('Tariffs Jul2022'!J9*'Tariffs Jul2022'!U9/100)* 'Tariffs Jul2022'!AJ9,($C$5*'Tariffs Jul2022'!AL9/'Tariffs Jul2022'!AJ9*'Tariffs Jul2022'!U9/100)* 'Tariffs Jul2022'!AJ9)</f>
        <v>292.90909090909093</v>
      </c>
      <c r="K15" s="59">
        <f>IF($C$5*'Tariffs Jul2022'!AL9/'Tariffs Jul2022'!AJ9&lt;'Tariffs Jul2022'!J9,0,IF($C$5*'Tariffs Jul2022'!AL9/'Tariffs Jul2022'!AJ9&lt;='Tariffs Jul2022'!K9,($C$5*'Tariffs Jul2022'!AL9/'Tariffs Jul2022'!AJ9-'Tariffs Jul2022'!J9)*('Tariffs Jul2022'!V9/100)*'Tariffs Jul2022'!AJ9,('Tariffs Jul2022'!K9-'Tariffs Jul2022'!J9)*('Tariffs Jul2022'!V9/100)*'Tariffs Jul2022'!AJ9))</f>
        <v>263.45454545454544</v>
      </c>
      <c r="L15" s="59">
        <f>IF($C$5*'Tariffs Jul2022'!AL9/'Tariffs Jul2022'!AJ9&lt;'Tariffs Jul2022'!K9,0,IF($C$5*'Tariffs Jul2022'!AL9/'Tariffs Jul2022'!AJ9&lt;='Tariffs Jul2022'!L9,($C$5*'Tariffs Jul2022'!AL9/'Tariffs Jul2022'!AJ9-'Tariffs Jul2022'!K9)*('Tariffs Jul2022'!W9/100)*'Tariffs Jul2022'!AJ9,('Tariffs Jul2022'!L9-'Tariffs Jul2022'!K9)*('Tariffs Jul2022'!W9/100)*'Tariffs Jul2022'!AJ9))</f>
        <v>230.72727272727272</v>
      </c>
      <c r="M15" s="59">
        <f>IF($C$5*'Tariffs Jul2022'!AL9/'Tariffs Jul2022'!AJ9&lt;'Tariffs Jul2022'!L9,0,IF($C$5*'Tariffs Jul2022'!AL9/'Tariffs Jul2022'!AJ9&lt;='Tariffs Jul2022'!M9,($C$5*'Tariffs Jul2022'!AL9/'Tariffs Jul2022'!AJ9-'Tariffs Jul2022'!L9)*('Tariffs Jul2022'!X9/100)*'Tariffs Jul2022'!AJ9,('Tariffs Jul2022'!M9-'Tariffs Jul2022'!L9)*('Tariffs Jul2022'!X9/100)*'Tariffs Jul2022'!AJ9))</f>
        <v>105.13636363636363</v>
      </c>
      <c r="N15" s="59">
        <f>IF(($C$5*'Tariffs Jul2022'!AL9/'Tariffs Jul2022'!AJ9&gt;'Tariffs Jul2022'!M9),($C$5*'Tariffs Jul2022'!AL9/'Tariffs Jul2022'!AJ9-'Tariffs Jul2022'!M9)*'Tariffs Jul2022'!Y9/100*'Tariffs Jul2022'!AJ9,0)</f>
        <v>0</v>
      </c>
      <c r="O15" s="59">
        <f t="shared" si="1"/>
        <v>1817.4545454545455</v>
      </c>
      <c r="P15" s="503">
        <f t="shared" si="2"/>
        <v>1999.2000000000003</v>
      </c>
      <c r="Q15" s="59">
        <f t="shared" si="3"/>
        <v>2095.2195454545454</v>
      </c>
      <c r="R15" s="272">
        <f t="shared" si="4"/>
        <v>2304.7415000000001</v>
      </c>
      <c r="S15" s="40">
        <f>'Tariffs Jul2022'!AN9</f>
        <v>0</v>
      </c>
      <c r="T15" s="40">
        <f>'Tariffs Jul2022'!AO9</f>
        <v>0</v>
      </c>
      <c r="U15" s="40">
        <f>'Tariffs Jul2022'!AP9</f>
        <v>0</v>
      </c>
      <c r="V15" s="40">
        <f>'Tariffs Jul2022'!AQ9</f>
        <v>0</v>
      </c>
      <c r="W15" s="537" t="str">
        <f t="shared" si="5"/>
        <v>No discount</v>
      </c>
      <c r="X15" s="538" t="str">
        <f t="shared" si="6"/>
        <v>Exclusive</v>
      </c>
      <c r="Y15" s="534">
        <f t="shared" si="9"/>
        <v>2095.2195454545454</v>
      </c>
      <c r="Z15" s="535">
        <f t="shared" si="10"/>
        <v>2095.2195454545454</v>
      </c>
      <c r="AA15" s="542">
        <f t="shared" si="0"/>
        <v>2304.7415000000001</v>
      </c>
      <c r="AB15" s="542">
        <f t="shared" si="0"/>
        <v>2304.7415000000001</v>
      </c>
      <c r="AC15" s="274">
        <f>'Tariffs Jul2022'!AZ9</f>
        <v>0</v>
      </c>
      <c r="AD15" s="274" t="str">
        <f>'Tariffs Jul2022'!BA9</f>
        <v>n</v>
      </c>
      <c r="AE15" s="275" t="str">
        <f>'Tariffs Jul2022'!BJ9</f>
        <v>N</v>
      </c>
      <c r="AF15" s="593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593"/>
      <c r="AS15" s="593"/>
      <c r="AT15" s="593"/>
      <c r="AU15" s="593"/>
      <c r="AV15" s="593"/>
      <c r="AW15" s="593"/>
    </row>
    <row r="16" spans="1:49" ht="14" x14ac:dyDescent="0.15">
      <c r="A16" s="270" t="str">
        <f>'Tariffs Jul2022'!F10</f>
        <v>GloBird Energy</v>
      </c>
      <c r="B16" s="40" t="str">
        <f>'Tariffs Jul2022'!D10</f>
        <v>Multinet Metro 1</v>
      </c>
      <c r="C16" s="40" t="str">
        <f>'Tariffs Jul2022'!G10</f>
        <v>GloSave</v>
      </c>
      <c r="D16" s="59">
        <f>365*'Tariffs Jul2022'!H10/100</f>
        <v>218.99999999999997</v>
      </c>
      <c r="E16" s="59">
        <f>IF($C$5*'Tariffs Jul2022'!AK10/'Tariffs Jul2022'!AI10&gt;='Tariffs Jul2022'!J10,( 'Tariffs Jul2022'!J10*'Tariffs Jul2022'!O10/100)* 'Tariffs Jul2022'!AI10,($C$5*'Tariffs Jul2022'!AK10/'Tariffs Jul2022'!AI10*'Tariffs Jul2022'!O10/100)* 'Tariffs Jul2022'!AI10)</f>
        <v>549.81818181818176</v>
      </c>
      <c r="F16" s="59">
        <f>IF($C$5*'Tariffs Jul2022'!AK10/'Tariffs Jul2022'!AI10&lt;'Tariffs Jul2022'!J10,0,IF($C$5*'Tariffs Jul2022'!AK10/'Tariffs Jul2022'!AI10&lt;='Tariffs Jul2022'!K10,($C$5*'Tariffs Jul2022'!AK10/'Tariffs Jul2022'!AI10-'Tariffs Jul2022'!J10)*('Tariffs Jul2022'!P10/100)*'Tariffs Jul2022'!AI10,('Tariffs Jul2022'!K10-'Tariffs Jul2022'!J10)*('Tariffs Jul2022'!P10/100)*'Tariffs Jul2022'!AI10))</f>
        <v>0</v>
      </c>
      <c r="G16" s="59">
        <f>IF($C$5*'Tariffs Jul2022'!AK10/'Tariffs Jul2022'!AI10&lt;'Tariffs Jul2022'!K10,0,IF($C$5*'Tariffs Jul2022'!AK10/'Tariffs Jul2022'!AI10&lt;='Tariffs Jul2022'!L10,($C$5*'Tariffs Jul2022'!AK10/'Tariffs Jul2022'!AI10-'Tariffs Jul2022'!K10)*('Tariffs Jul2022'!Q10/100)*'Tariffs Jul2022'!AI10,('Tariffs Jul2022'!L10-'Tariffs Jul2022'!K10)*('Tariffs Jul2022'!Q10/100)*'Tariffs Jul2022'!AI10))</f>
        <v>0</v>
      </c>
      <c r="H16" s="59">
        <f>IF($C$5*'Tariffs Jul2022'!AK10/'Tariffs Jul2022'!AI10&lt;'Tariffs Jul2022'!L10,0,IF($C$5*'Tariffs Jul2022'!AK10/'Tariffs Jul2022'!AI10&lt;='Tariffs Jul2022'!M10,($C$5*'Tariffs Jul2022'!AK10/'Tariffs Jul2022'!AI10-'Tariffs Jul2022'!L10)*('Tariffs Jul2022'!R10/100)*'Tariffs Jul2022'!AI10,('Tariffs Jul2022'!M10-'Tariffs Jul2022'!L10)*('Tariffs Jul2022'!R10/100)*'Tariffs Jul2022'!AI10))</f>
        <v>0</v>
      </c>
      <c r="I16" s="59">
        <f>IF(($C$5*'Tariffs Jul2022'!AK10/'Tariffs Jul2022'!AI10&gt;'Tariffs Jul2022'!M10),($C$5*'Tariffs Jul2022'!AK10/'Tariffs Jul2022'!AI10-'Tariffs Jul2022'!M10)*'Tariffs Jul2022'!S10/100*'Tariffs Jul2022'!AI10,0)</f>
        <v>364.5</v>
      </c>
      <c r="J16" s="59">
        <f>IF($C$5*'Tariffs Jul2022'!AL10/'Tariffs Jul2022'!AJ10&gt;='Tariffs Jul2022'!J10,('Tariffs Jul2022'!J10*'Tariffs Jul2022'!U10/100)* 'Tariffs Jul2022'!AJ10,($C$5*'Tariffs Jul2022'!AL10/'Tariffs Jul2022'!AJ10*'Tariffs Jul2022'!U10/100)* 'Tariffs Jul2022'!AJ10)</f>
        <v>549.81818181818176</v>
      </c>
      <c r="K16" s="59">
        <f>IF($C$5*'Tariffs Jul2022'!AL10/'Tariffs Jul2022'!AJ10&lt;'Tariffs Jul2022'!J10,0,IF($C$5*'Tariffs Jul2022'!AL10/'Tariffs Jul2022'!AJ10&lt;='Tariffs Jul2022'!K10,($C$5*'Tariffs Jul2022'!AL10/'Tariffs Jul2022'!AJ10-'Tariffs Jul2022'!J10)*('Tariffs Jul2022'!V10/100)*'Tariffs Jul2022'!AJ10,('Tariffs Jul2022'!K10-'Tariffs Jul2022'!J10)*('Tariffs Jul2022'!V10/100)*'Tariffs Jul2022'!AJ10))</f>
        <v>0</v>
      </c>
      <c r="L16" s="59">
        <f>IF($C$5*'Tariffs Jul2022'!AL10/'Tariffs Jul2022'!AJ10&lt;'Tariffs Jul2022'!K10,0,IF($C$5*'Tariffs Jul2022'!AL10/'Tariffs Jul2022'!AJ10&lt;='Tariffs Jul2022'!L10,($C$5*'Tariffs Jul2022'!AL10/'Tariffs Jul2022'!AJ10-'Tariffs Jul2022'!K10)*('Tariffs Jul2022'!W10/100)*'Tariffs Jul2022'!AJ10,('Tariffs Jul2022'!L10-'Tariffs Jul2022'!K10)*('Tariffs Jul2022'!W10/100)*'Tariffs Jul2022'!AJ10))</f>
        <v>0</v>
      </c>
      <c r="M16" s="59">
        <f>IF($C$5*'Tariffs Jul2022'!AL10/'Tariffs Jul2022'!AJ10&lt;'Tariffs Jul2022'!L10,0,IF($C$5*'Tariffs Jul2022'!AL10/'Tariffs Jul2022'!AJ10&lt;='Tariffs Jul2022'!M10,($C$5*'Tariffs Jul2022'!AL10/'Tariffs Jul2022'!AJ10-'Tariffs Jul2022'!L10)*('Tariffs Jul2022'!X10/100)*'Tariffs Jul2022'!AJ10,('Tariffs Jul2022'!M10-'Tariffs Jul2022'!L10)*('Tariffs Jul2022'!X10/100)*'Tariffs Jul2022'!AJ10))</f>
        <v>0</v>
      </c>
      <c r="N16" s="59">
        <f>IF(($C$5*'Tariffs Jul2022'!AL10/'Tariffs Jul2022'!AJ10&gt;'Tariffs Jul2022'!M10),($C$5*'Tariffs Jul2022'!AL10/'Tariffs Jul2022'!AJ10-'Tariffs Jul2022'!M10)*'Tariffs Jul2022'!Y10/100*'Tariffs Jul2022'!AJ10,0)</f>
        <v>364.5</v>
      </c>
      <c r="O16" s="59">
        <f>SUM(E16:N16)</f>
        <v>1828.6363636363635</v>
      </c>
      <c r="P16" s="503">
        <f t="shared" si="2"/>
        <v>2011.5</v>
      </c>
      <c r="Q16" s="59">
        <f>D16+O16</f>
        <v>2047.6363636363635</v>
      </c>
      <c r="R16" s="272">
        <f t="shared" si="4"/>
        <v>2252.4</v>
      </c>
      <c r="S16" s="40">
        <f>'Tariffs Jul2022'!AN10</f>
        <v>0</v>
      </c>
      <c r="T16" s="40">
        <f>'Tariffs Jul2022'!AO10</f>
        <v>0</v>
      </c>
      <c r="U16" s="40">
        <f>'Tariffs Jul2022'!AP10</f>
        <v>0</v>
      </c>
      <c r="V16" s="40">
        <f>'Tariffs Jul2022'!AQ10</f>
        <v>0</v>
      </c>
      <c r="W16" s="537" t="str">
        <f t="shared" si="5"/>
        <v>No discount</v>
      </c>
      <c r="X16" s="538" t="str">
        <f t="shared" si="6"/>
        <v>Exclusive</v>
      </c>
      <c r="Y16" s="534">
        <f t="shared" si="9"/>
        <v>2047.6363636363635</v>
      </c>
      <c r="Z16" s="535">
        <f t="shared" si="10"/>
        <v>2047.6363636363635</v>
      </c>
      <c r="AA16" s="542">
        <f t="shared" si="0"/>
        <v>2252.4</v>
      </c>
      <c r="AB16" s="542">
        <f t="shared" si="0"/>
        <v>2252.4</v>
      </c>
      <c r="AC16" s="274">
        <f>'Tariffs Jul2022'!AZ10</f>
        <v>0</v>
      </c>
      <c r="AD16" s="274" t="str">
        <f>'Tariffs Jul2022'!BA10</f>
        <v>n</v>
      </c>
      <c r="AE16" s="275" t="str">
        <f>'Tariffs Jul2022'!BJ10</f>
        <v>N</v>
      </c>
      <c r="AF16" s="593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593"/>
      <c r="AS16" s="593"/>
      <c r="AT16" s="593"/>
      <c r="AU16" s="593"/>
      <c r="AV16" s="593"/>
      <c r="AW16" s="593"/>
    </row>
    <row r="17" spans="1:49" ht="14" x14ac:dyDescent="0.15">
      <c r="A17" s="270" t="str">
        <f>'Tariffs Jul2022'!F11</f>
        <v>Powershop</v>
      </c>
      <c r="B17" s="40" t="str">
        <f>'Tariffs Jul2022'!D11</f>
        <v>Multinet Metro 1</v>
      </c>
      <c r="C17" s="40" t="str">
        <f>'Tariffs Jul2022'!G11</f>
        <v>Carbon Neutral</v>
      </c>
      <c r="D17" s="59">
        <f>365*'Tariffs Jul2022'!H11/100</f>
        <v>241.09909090909088</v>
      </c>
      <c r="E17" s="59">
        <f>((C$5*'Tariffs Jul2022'!AK11/'Tariffs Jul2022'!AI11)*('Tariffs Jul2022'!O11/100))*'Tariffs Jul2022'!AI11</f>
        <v>604.22727272727263</v>
      </c>
      <c r="F17" s="59">
        <v>0</v>
      </c>
      <c r="G17" s="59">
        <v>0</v>
      </c>
      <c r="H17" s="59">
        <v>0</v>
      </c>
      <c r="I17" s="59">
        <v>0</v>
      </c>
      <c r="J17" s="59">
        <f>((C$5*'Tariffs Jul2022'!AL11/'Tariffs Jul2022'!AJ11)*('Tariffs Jul2022'!U11/100))*'Tariffs Jul2022'!AJ11</f>
        <v>569.86363636363626</v>
      </c>
      <c r="K17" s="59">
        <v>0</v>
      </c>
      <c r="L17" s="59">
        <v>0</v>
      </c>
      <c r="M17" s="59">
        <v>0</v>
      </c>
      <c r="N17" s="59">
        <v>0</v>
      </c>
      <c r="O17" s="59">
        <f>SUM(E17:N17)</f>
        <v>1174.090909090909</v>
      </c>
      <c r="P17" s="503">
        <f t="shared" si="2"/>
        <v>1291.5</v>
      </c>
      <c r="Q17" s="59">
        <f>D17+O17</f>
        <v>1415.1899999999998</v>
      </c>
      <c r="R17" s="272">
        <f t="shared" si="4"/>
        <v>1556.7089999999998</v>
      </c>
      <c r="S17" s="40">
        <f>'Tariffs Jul2022'!AN11</f>
        <v>0</v>
      </c>
      <c r="T17" s="40">
        <f>'Tariffs Jul2022'!AO11</f>
        <v>0</v>
      </c>
      <c r="U17" s="40">
        <f>'Tariffs Jul2022'!AP11</f>
        <v>0</v>
      </c>
      <c r="V17" s="40">
        <f>'Tariffs Jul2022'!AQ11</f>
        <v>0</v>
      </c>
      <c r="W17" s="537" t="str">
        <f t="shared" si="5"/>
        <v>No discount</v>
      </c>
      <c r="X17" s="538" t="str">
        <f t="shared" si="6"/>
        <v>Inclusive</v>
      </c>
      <c r="Y17" s="534">
        <f>IF(AND(W17="Guaranteed off bill",X17="Inclusive"),((Q17*1.1)-((Q17*1.1)*S17/100))/1.1,IF(AND(W17="Guaranteed off usage",X17="Inclusive"),((Q17*1.1)-((P17*1.1)*T17/100))/1.1,IF(AND(W17="Guaranteed off bill",X17="Exclusive"),Q17-(Q17*S17/100),IF(AND(W17="Guaranteed off usage",X17="Exclusive"),Q17-(P17*T17/100),IF(X17="Inclusive",((Q17*1.1))/1.1,Q17)))))</f>
        <v>1415.1899999999998</v>
      </c>
      <c r="Z17" s="535">
        <f>IF(AND(W17="Pay-on-time off bill",X17="Inclusive"),((Y17*1.1)-((Y17*1.1)*U17/100))/1.1,IF(AND(W17="Pay-on-time off usage",X17="Inclusive"),((Y17*1.1)-((P17*1.1)*V17/100))/1.1,IF(AND(W17="Pay-on-time off bill",X17="Exclusive"),Y17-(Y17*U17/100),IF(AND(W17="Pay-on-time off usage",X17="Exclusive"),Y17-(P17*V17/100),IF(X17="Inclusive",((Y17*1.1))/1.1,Y17)))))</f>
        <v>1415.1899999999998</v>
      </c>
      <c r="AA17" s="542">
        <f t="shared" si="0"/>
        <v>1556.7089999999998</v>
      </c>
      <c r="AB17" s="542">
        <f t="shared" si="0"/>
        <v>1556.7089999999998</v>
      </c>
      <c r="AC17" s="274">
        <f>'Tariffs Jul2022'!AZ11</f>
        <v>0</v>
      </c>
      <c r="AD17" s="274" t="str">
        <f>'Tariffs Jul2022'!BA11</f>
        <v>n</v>
      </c>
      <c r="AE17" s="275" t="str">
        <f>'Tariffs Jul2022'!BJ11</f>
        <v>Y</v>
      </c>
      <c r="AF17" s="593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593"/>
      <c r="AS17" s="593"/>
      <c r="AT17" s="593"/>
      <c r="AU17" s="593"/>
      <c r="AV17" s="593"/>
      <c r="AW17" s="593"/>
    </row>
    <row r="18" spans="1:49" ht="14" x14ac:dyDescent="0.15">
      <c r="A18" s="270" t="str">
        <f>'Tariffs Jul2022'!F12</f>
        <v>1st Energy</v>
      </c>
      <c r="B18" s="40" t="str">
        <f>'Tariffs Jul2022'!D12</f>
        <v>Multinet Metro 1</v>
      </c>
      <c r="C18" s="40" t="str">
        <f>'Tariffs Jul2022'!G12</f>
        <v>1st Saver Plus</v>
      </c>
      <c r="D18" s="59">
        <f>365*'Tariffs Jul2022'!H12/100</f>
        <v>259.14999999999998</v>
      </c>
      <c r="E18" s="59">
        <f>IF($C$5*'Tariffs Jul2022'!AK12/'Tariffs Jul2022'!AI12&gt;='Tariffs Jul2022'!J12,( 'Tariffs Jul2022'!J12*'Tariffs Jul2022'!O12/100)* 'Tariffs Jul2022'!AI12,($C$5*'Tariffs Jul2022'!AK12/'Tariffs Jul2022'!AI12*'Tariffs Jul2022'!O12/100)* 'Tariffs Jul2022'!AI12)</f>
        <v>238.90909090909088</v>
      </c>
      <c r="F18" s="59">
        <f>IF($C$5*'Tariffs Jul2022'!AK12/'Tariffs Jul2022'!AI12&lt;'Tariffs Jul2022'!J12,0,IF($C$5*'Tariffs Jul2022'!AK12/'Tariffs Jul2022'!AI12&lt;='Tariffs Jul2022'!K12,($C$5*'Tariffs Jul2022'!AK12/'Tariffs Jul2022'!AI12-'Tariffs Jul2022'!J12)*('Tariffs Jul2022'!P12/100)*'Tariffs Jul2022'!AI12,('Tariffs Jul2022'!K12-'Tariffs Jul2022'!J12)*('Tariffs Jul2022'!P12/100)*'Tariffs Jul2022'!AI12))</f>
        <v>309.27272727272725</v>
      </c>
      <c r="G18" s="59">
        <f>IF($C$5*'Tariffs Jul2022'!AK12/'Tariffs Jul2022'!AI12&lt;'Tariffs Jul2022'!K12,0,IF($C$5*'Tariffs Jul2022'!AK12/'Tariffs Jul2022'!AI12&lt;='Tariffs Jul2022'!L12,($C$5*'Tariffs Jul2022'!AK12/'Tariffs Jul2022'!AI12-'Tariffs Jul2022'!K12)*('Tariffs Jul2022'!Q12/100)*'Tariffs Jul2022'!AI12,('Tariffs Jul2022'!L12-'Tariffs Jul2022'!K12)*('Tariffs Jul2022'!Q12/100)*'Tariffs Jul2022'!AI12))</f>
        <v>0</v>
      </c>
      <c r="H18" s="59">
        <f>IF($C$5*'Tariffs Jul2022'!AK12/'Tariffs Jul2022'!AI12&lt;'Tariffs Jul2022'!L12,0,IF($C$5*'Tariffs Jul2022'!AK12/'Tariffs Jul2022'!AI12&lt;='Tariffs Jul2022'!M12,($C$5*'Tariffs Jul2022'!AK12/'Tariffs Jul2022'!AI12-'Tariffs Jul2022'!L12)*('Tariffs Jul2022'!R12/100)*'Tariffs Jul2022'!AI12,('Tariffs Jul2022'!M12-'Tariffs Jul2022'!L12)*('Tariffs Jul2022'!R12/100)*'Tariffs Jul2022'!AI12))</f>
        <v>0</v>
      </c>
      <c r="I18" s="59">
        <f>IF(($C$5*'Tariffs Jul2022'!AK12/'Tariffs Jul2022'!AI12&gt;'Tariffs Jul2022'!M12),($C$5*'Tariffs Jul2022'!AK12/'Tariffs Jul2022'!AI12-'Tariffs Jul2022'!M12)*'Tariffs Jul2022'!S12/100*'Tariffs Jul2022'!AI12,0)</f>
        <v>171.81818181818181</v>
      </c>
      <c r="J18" s="59">
        <f>IF($C$5*'Tariffs Jul2022'!AL12/'Tariffs Jul2022'!AJ12&gt;='Tariffs Jul2022'!J12,('Tariffs Jul2022'!J12*'Tariffs Jul2022'!U12/100)* 'Tariffs Jul2022'!AJ12,($C$5*'Tariffs Jul2022'!AL12/'Tariffs Jul2022'!AJ12*'Tariffs Jul2022'!U12/100)* 'Tariffs Jul2022'!AJ12)</f>
        <v>238.90909090909088</v>
      </c>
      <c r="K18" s="59">
        <f>IF($C$5*'Tariffs Jul2022'!AL12/'Tariffs Jul2022'!AJ12&lt;'Tariffs Jul2022'!J12,0,IF($C$5*'Tariffs Jul2022'!AL12/'Tariffs Jul2022'!AJ12&lt;='Tariffs Jul2022'!K12,($C$5*'Tariffs Jul2022'!AL12/'Tariffs Jul2022'!AJ12-'Tariffs Jul2022'!J12)*('Tariffs Jul2022'!V12/100)*'Tariffs Jul2022'!AJ12,('Tariffs Jul2022'!K12-'Tariffs Jul2022'!J12)*('Tariffs Jul2022'!V12/100)*'Tariffs Jul2022'!AJ12))</f>
        <v>309.27272727272725</v>
      </c>
      <c r="L18" s="59">
        <f>IF($C$5*'Tariffs Jul2022'!AL12/'Tariffs Jul2022'!AJ12&lt;'Tariffs Jul2022'!K12,0,IF($C$5*'Tariffs Jul2022'!AL12/'Tariffs Jul2022'!AJ12&lt;='Tariffs Jul2022'!L12,($C$5*'Tariffs Jul2022'!AL12/'Tariffs Jul2022'!AJ12-'Tariffs Jul2022'!K12)*('Tariffs Jul2022'!W12/100)*'Tariffs Jul2022'!AJ12,('Tariffs Jul2022'!L12-'Tariffs Jul2022'!K12)*('Tariffs Jul2022'!W12/100)*'Tariffs Jul2022'!AJ12))</f>
        <v>0</v>
      </c>
      <c r="M18" s="59">
        <f>IF($C$5*'Tariffs Jul2022'!AL12/'Tariffs Jul2022'!AJ12&lt;'Tariffs Jul2022'!L12,0,IF($C$5*'Tariffs Jul2022'!AL12/'Tariffs Jul2022'!AJ12&lt;='Tariffs Jul2022'!M12,($C$5*'Tariffs Jul2022'!AL12/'Tariffs Jul2022'!AJ12-'Tariffs Jul2022'!L12)*('Tariffs Jul2022'!X12/100)*'Tariffs Jul2022'!AJ12,('Tariffs Jul2022'!M12-'Tariffs Jul2022'!L12)*('Tariffs Jul2022'!X12/100)*'Tariffs Jul2022'!AJ12))</f>
        <v>0</v>
      </c>
      <c r="N18" s="59">
        <f>IF(($C$5*'Tariffs Jul2022'!AL12/'Tariffs Jul2022'!AJ12&gt;'Tariffs Jul2022'!M12),($C$5*'Tariffs Jul2022'!AL12/'Tariffs Jul2022'!AJ12-'Tariffs Jul2022'!M12)*'Tariffs Jul2022'!Y12/100*'Tariffs Jul2022'!AJ12,0)</f>
        <v>171.81818181818181</v>
      </c>
      <c r="O18" s="59">
        <f t="shared" si="1"/>
        <v>1439.9999999999998</v>
      </c>
      <c r="P18" s="503">
        <f t="shared" si="2"/>
        <v>1583.9999999999998</v>
      </c>
      <c r="Q18" s="59">
        <f t="shared" si="3"/>
        <v>1699.1499999999996</v>
      </c>
      <c r="R18" s="272">
        <f t="shared" si="4"/>
        <v>1869.0649999999998</v>
      </c>
      <c r="S18" s="40">
        <f>'Tariffs Jul2022'!AN12</f>
        <v>0</v>
      </c>
      <c r="T18" s="40">
        <f>'Tariffs Jul2022'!AO12</f>
        <v>7</v>
      </c>
      <c r="U18" s="40">
        <f>'Tariffs Jul2022'!AP12</f>
        <v>0</v>
      </c>
      <c r="V18" s="40">
        <f>'Tariffs Jul2022'!AQ12</f>
        <v>3</v>
      </c>
      <c r="W18" s="537" t="str">
        <f t="shared" si="5"/>
        <v>Guaranteed off usage</v>
      </c>
      <c r="X18" s="538" t="str">
        <f t="shared" si="6"/>
        <v>Exclusive</v>
      </c>
      <c r="Y18" s="534">
        <f>Q18-(P18*T18)/100</f>
        <v>1588.2699999999998</v>
      </c>
      <c r="Z18" s="535">
        <f>Y18-(P18*V18)/100</f>
        <v>1540.7499999999998</v>
      </c>
      <c r="AA18" s="542">
        <f t="shared" si="0"/>
        <v>1747.097</v>
      </c>
      <c r="AB18" s="542">
        <f t="shared" si="0"/>
        <v>1694.8249999999998</v>
      </c>
      <c r="AC18" s="274">
        <f>'Tariffs Jul2022'!AZ12</f>
        <v>0</v>
      </c>
      <c r="AD18" s="274" t="str">
        <f>'Tariffs Jul2022'!BA12</f>
        <v>n</v>
      </c>
      <c r="AE18" s="275" t="str">
        <f>'Tariffs Jul2022'!BJ12</f>
        <v>N</v>
      </c>
      <c r="AF18" s="593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593"/>
      <c r="AS18" s="593"/>
      <c r="AT18" s="593"/>
      <c r="AU18" s="593"/>
      <c r="AV18" s="593"/>
      <c r="AW18" s="593"/>
    </row>
    <row r="19" spans="1:49" ht="14" x14ac:dyDescent="0.15">
      <c r="A19" s="270" t="str">
        <f>'Tariffs Jul2022'!F13</f>
        <v>Kogan Energy</v>
      </c>
      <c r="B19" s="40" t="str">
        <f>'Tariffs Jul2022'!D13</f>
        <v>Multinet Metro 1</v>
      </c>
      <c r="C19" s="40" t="str">
        <f>'Tariffs Jul2022'!G13</f>
        <v>Kogan Basic</v>
      </c>
      <c r="D19" s="59">
        <f>365*'Tariffs Jul2022'!H13/100</f>
        <v>283.80409090909086</v>
      </c>
      <c r="E19" s="59">
        <f>((C$5*'Tariffs Jul2022'!AK13/'Tariffs Jul2022'!AI13)*('Tariffs Jul2022'!O13/100))*'Tariffs Jul2022'!AI13</f>
        <v>621.40909090909088</v>
      </c>
      <c r="F19" s="59">
        <v>0</v>
      </c>
      <c r="G19" s="59">
        <v>0</v>
      </c>
      <c r="H19" s="59">
        <v>0</v>
      </c>
      <c r="I19" s="59">
        <v>0</v>
      </c>
      <c r="J19" s="59">
        <f>((C$5*'Tariffs Jul2022'!AL13/'Tariffs Jul2022'!AJ13)*('Tariffs Jul2022'!U13/100))*'Tariffs Jul2022'!AJ13</f>
        <v>564.13636363636374</v>
      </c>
      <c r="K19" s="59">
        <v>0</v>
      </c>
      <c r="L19" s="59">
        <v>0</v>
      </c>
      <c r="M19" s="59">
        <v>0</v>
      </c>
      <c r="N19" s="59">
        <v>0</v>
      </c>
      <c r="O19" s="59">
        <f>SUM(E19:N19)</f>
        <v>1185.5454545454545</v>
      </c>
      <c r="P19" s="503">
        <f t="shared" si="2"/>
        <v>1304.1000000000001</v>
      </c>
      <c r="Q19" s="59">
        <f>D19+O19</f>
        <v>1469.3495454545455</v>
      </c>
      <c r="R19" s="272">
        <f t="shared" si="4"/>
        <v>1616.2845000000002</v>
      </c>
      <c r="S19" s="40">
        <f>'Tariffs Jul2022'!AN13</f>
        <v>0</v>
      </c>
      <c r="T19" s="40">
        <f>'Tariffs Jul2022'!AO13</f>
        <v>0</v>
      </c>
      <c r="U19" s="40">
        <f>'Tariffs Jul2022'!AP13</f>
        <v>0</v>
      </c>
      <c r="V19" s="40">
        <f>'Tariffs Jul2022'!AQ13</f>
        <v>0</v>
      </c>
      <c r="W19" s="537" t="str">
        <f t="shared" si="5"/>
        <v>No discount</v>
      </c>
      <c r="X19" s="538" t="str">
        <f t="shared" si="6"/>
        <v>Exclusive</v>
      </c>
      <c r="Y19" s="534">
        <f t="shared" ref="Y19:Y21" si="11">IF(AND(W19="Guaranteed off bill",X19="Inclusive"),((Q19*1.1)-((Q19*1.1)*S19/100))/1.1,IF(AND(W19="Guaranteed off usage",X19="Inclusive"),((Q19*1.1)-((P19*1.1)*T19/100))/1.1,IF(AND(W19="Guaranteed off bill",X19="Exclusive"),Q19-(Q19*S19/100),IF(AND(W19="Guaranteed off usage",X19="Exclusive"),Q19-(P19*T19/100),IF(X19="Inclusive",((Q19*1.1))/1.1,Q19)))))</f>
        <v>1469.3495454545455</v>
      </c>
      <c r="Z19" s="535">
        <f t="shared" ref="Z19:Z21" si="12">IF(AND(W19="Pay-on-time off bill",X19="Inclusive"),((Y19*1.1)-((Y19*1.1)*U19/100))/1.1,IF(AND(W19="Pay-on-time off usage",X19="Inclusive"),((Y19*1.1)-((P19*1.1)*V19/100))/1.1,IF(AND(W19="Pay-on-time off bill",X19="Exclusive"),Y19-(Y19*U19/100),IF(AND(W19="Pay-on-time off usage",X19="Exclusive"),Y19-(P19*V19/100),IF(X19="Inclusive",((Y19*1.1))/1.1,Y19)))))</f>
        <v>1469.3495454545455</v>
      </c>
      <c r="AA19" s="542">
        <f t="shared" si="0"/>
        <v>1616.2845000000002</v>
      </c>
      <c r="AB19" s="542">
        <f t="shared" si="0"/>
        <v>1616.2845000000002</v>
      </c>
      <c r="AC19" s="274">
        <f>'Tariffs Jul2022'!AZ13</f>
        <v>0</v>
      </c>
      <c r="AD19" s="274" t="str">
        <f>'Tariffs Jul2022'!BA13</f>
        <v>n</v>
      </c>
      <c r="AE19" s="275" t="str">
        <f>'Tariffs Jul2022'!BJ13</f>
        <v>N</v>
      </c>
      <c r="AF19" s="593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593"/>
      <c r="AS19" s="593"/>
      <c r="AT19" s="593"/>
      <c r="AU19" s="593"/>
      <c r="AV19" s="593"/>
      <c r="AW19" s="593"/>
    </row>
    <row r="20" spans="1:49" ht="14" x14ac:dyDescent="0.15">
      <c r="A20" s="270" t="str">
        <f>'Tariffs Jul2022'!F14</f>
        <v>Tango Energy</v>
      </c>
      <c r="B20" s="40" t="str">
        <f>'Tariffs Jul2022'!D14</f>
        <v>Multinet Metro 1</v>
      </c>
      <c r="C20" s="40" t="str">
        <f>'Tariffs Jul2022'!G14</f>
        <v>Home Select</v>
      </c>
      <c r="D20" s="59">
        <f>365*'Tariffs Jul2022'!H14/100</f>
        <v>244.55</v>
      </c>
      <c r="E20" s="59">
        <f>IF($C$5*'Tariffs Jul2022'!AK14/'Tariffs Jul2022'!AI14&gt;='Tariffs Jul2022'!J14,( 'Tariffs Jul2022'!J14*'Tariffs Jul2022'!O14/100)* 'Tariffs Jul2022'!AI14,($C$5*'Tariffs Jul2022'!AK14/'Tariffs Jul2022'!AI14*'Tariffs Jul2022'!O14/100)* 'Tariffs Jul2022'!AI14)</f>
        <v>210.27272727272725</v>
      </c>
      <c r="F20" s="59">
        <f>IF($C$5*'Tariffs Jul2022'!AK14/'Tariffs Jul2022'!AI14&lt;'Tariffs Jul2022'!J14,0,IF($C$5*'Tariffs Jul2022'!AK14/'Tariffs Jul2022'!AI14&lt;='Tariffs Jul2022'!K14,($C$5*'Tariffs Jul2022'!AK14/'Tariffs Jul2022'!AI14-'Tariffs Jul2022'!J14)*('Tariffs Jul2022'!P14/100)*'Tariffs Jul2022'!AI14,('Tariffs Jul2022'!K14-'Tariffs Jul2022'!J14)*('Tariffs Jul2022'!P14/100)*'Tariffs Jul2022'!AI14))</f>
        <v>189.81818181818181</v>
      </c>
      <c r="G20" s="59">
        <f>IF($C$5*'Tariffs Jul2022'!AK14/'Tariffs Jul2022'!AI14&lt;'Tariffs Jul2022'!K14,0,IF($C$5*'Tariffs Jul2022'!AK14/'Tariffs Jul2022'!AI14&lt;='Tariffs Jul2022'!L14,($C$5*'Tariffs Jul2022'!AK14/'Tariffs Jul2022'!AI14-'Tariffs Jul2022'!K14)*('Tariffs Jul2022'!Q14/100)*'Tariffs Jul2022'!AI14,('Tariffs Jul2022'!L14-'Tariffs Jul2022'!K14)*('Tariffs Jul2022'!Q14/100)*'Tariffs Jul2022'!AI14))</f>
        <v>160.36363636363635</v>
      </c>
      <c r="H20" s="59">
        <f>IF($C$5*'Tariffs Jul2022'!AK14/'Tariffs Jul2022'!AI14&lt;'Tariffs Jul2022'!L14,0,IF($C$5*'Tariffs Jul2022'!AK14/'Tariffs Jul2022'!AI14&lt;='Tariffs Jul2022'!M14,($C$5*'Tariffs Jul2022'!AK14/'Tariffs Jul2022'!AI14-'Tariffs Jul2022'!L14)*('Tariffs Jul2022'!R14/100)*'Tariffs Jul2022'!AI14,('Tariffs Jul2022'!M14-'Tariffs Jul2022'!L14)*('Tariffs Jul2022'!R14/100)*'Tariffs Jul2022'!AI14))</f>
        <v>73.22727272727272</v>
      </c>
      <c r="I20" s="59">
        <f>IF(($C$5*'Tariffs Jul2022'!AK14/'Tariffs Jul2022'!AI14&gt;'Tariffs Jul2022'!M14),($C$5*'Tariffs Jul2022'!AK14/'Tariffs Jul2022'!AI14-'Tariffs Jul2022'!M14)*'Tariffs Jul2022'!S14/100*'Tariffs Jul2022'!AI14,0)</f>
        <v>0</v>
      </c>
      <c r="J20" s="59">
        <f>IF($C$5*'Tariffs Jul2022'!AL14/'Tariffs Jul2022'!AJ14&gt;='Tariffs Jul2022'!J14,('Tariffs Jul2022'!J14*'Tariffs Jul2022'!U14/100)* 'Tariffs Jul2022'!AJ14,($C$5*'Tariffs Jul2022'!AL14/'Tariffs Jul2022'!AJ14*'Tariffs Jul2022'!U14/100)* 'Tariffs Jul2022'!AJ14)</f>
        <v>189.81818181818181</v>
      </c>
      <c r="K20" s="59">
        <f>IF($C$5*'Tariffs Jul2022'!AL14/'Tariffs Jul2022'!AJ14&lt;'Tariffs Jul2022'!J14,0,IF($C$5*'Tariffs Jul2022'!AL14/'Tariffs Jul2022'!AJ14&lt;='Tariffs Jul2022'!K14,($C$5*'Tariffs Jul2022'!AL14/'Tariffs Jul2022'!AJ14-'Tariffs Jul2022'!J14)*('Tariffs Jul2022'!V14/100)*'Tariffs Jul2022'!AJ14,('Tariffs Jul2022'!K14-'Tariffs Jul2022'!J14)*('Tariffs Jul2022'!V14/100)*'Tariffs Jul2022'!AJ14))</f>
        <v>164.45454545454544</v>
      </c>
      <c r="L20" s="59">
        <f>IF($C$5*'Tariffs Jul2022'!AL14/'Tariffs Jul2022'!AJ14&lt;'Tariffs Jul2022'!K14,0,IF($C$5*'Tariffs Jul2022'!AL14/'Tariffs Jul2022'!AJ14&lt;='Tariffs Jul2022'!L14,($C$5*'Tariffs Jul2022'!AL14/'Tariffs Jul2022'!AJ14-'Tariffs Jul2022'!K14)*('Tariffs Jul2022'!W14/100)*'Tariffs Jul2022'!AJ14,('Tariffs Jul2022'!L14-'Tariffs Jul2022'!K14)*('Tariffs Jul2022'!W14/100)*'Tariffs Jul2022'!AJ14))</f>
        <v>143.18181818181816</v>
      </c>
      <c r="M20" s="59">
        <f>IF($C$5*'Tariffs Jul2022'!AL14/'Tariffs Jul2022'!AJ14&lt;'Tariffs Jul2022'!L14,0,IF($C$5*'Tariffs Jul2022'!AL14/'Tariffs Jul2022'!AJ14&lt;='Tariffs Jul2022'!M14,($C$5*'Tariffs Jul2022'!AL14/'Tariffs Jul2022'!AJ14-'Tariffs Jul2022'!L14)*('Tariffs Jul2022'!X14/100)*'Tariffs Jul2022'!AJ14,('Tariffs Jul2022'!M14-'Tariffs Jul2022'!L14)*('Tariffs Jul2022'!X14/100)*'Tariffs Jul2022'!AJ14))</f>
        <v>66.272727272727266</v>
      </c>
      <c r="N20" s="59">
        <f>IF(($C$5*'Tariffs Jul2022'!AL14/'Tariffs Jul2022'!AJ14&gt;'Tariffs Jul2022'!M14),($C$5*'Tariffs Jul2022'!AL14/'Tariffs Jul2022'!AJ14-'Tariffs Jul2022'!M14)*'Tariffs Jul2022'!Y14/100*'Tariffs Jul2022'!AJ14,0)</f>
        <v>0</v>
      </c>
      <c r="O20" s="59">
        <f t="shared" ref="O20:O21" si="13">SUM(E20:N20)</f>
        <v>1197.409090909091</v>
      </c>
      <c r="P20" s="503">
        <f t="shared" si="2"/>
        <v>1317.15</v>
      </c>
      <c r="Q20" s="59">
        <f t="shared" ref="Q20:Q21" si="14">D20+O20</f>
        <v>1441.9590909090909</v>
      </c>
      <c r="R20" s="272">
        <f t="shared" si="4"/>
        <v>1586.1550000000002</v>
      </c>
      <c r="S20" s="40">
        <f>'Tariffs Jul2022'!AN14</f>
        <v>0</v>
      </c>
      <c r="T20" s="40">
        <f>'Tariffs Jul2022'!AO14</f>
        <v>0</v>
      </c>
      <c r="U20" s="40">
        <f>'Tariffs Jul2022'!AP14</f>
        <v>0</v>
      </c>
      <c r="V20" s="40">
        <f>'Tariffs Jul2022'!AQ14</f>
        <v>0</v>
      </c>
      <c r="W20" s="578" t="str">
        <f t="shared" si="5"/>
        <v>No discount</v>
      </c>
      <c r="X20" s="578" t="str">
        <f t="shared" si="6"/>
        <v>Exclusive</v>
      </c>
      <c r="Y20" s="535">
        <f t="shared" si="11"/>
        <v>1441.9590909090909</v>
      </c>
      <c r="Z20" s="535">
        <f t="shared" si="12"/>
        <v>1441.9590909090909</v>
      </c>
      <c r="AA20" s="542">
        <f t="shared" si="0"/>
        <v>1586.1550000000002</v>
      </c>
      <c r="AB20" s="542">
        <f t="shared" si="0"/>
        <v>1586.1550000000002</v>
      </c>
      <c r="AC20" s="274">
        <f>'Tariffs Jul2022'!AZ14</f>
        <v>0</v>
      </c>
      <c r="AD20" s="274" t="str">
        <f>'Tariffs Jul2022'!BA14</f>
        <v>n</v>
      </c>
      <c r="AE20" s="275" t="str">
        <f>'Tariffs Jul2022'!BJ14</f>
        <v>N</v>
      </c>
      <c r="AF20" s="593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593"/>
      <c r="AS20" s="593"/>
      <c r="AT20" s="593"/>
      <c r="AU20" s="593"/>
      <c r="AV20" s="593"/>
      <c r="AW20" s="593"/>
    </row>
    <row r="21" spans="1:49" ht="15" thickBot="1" x14ac:dyDescent="0.2">
      <c r="A21" s="276" t="str">
        <f>'Tariffs Jul2022'!F15</f>
        <v>Sumo Power</v>
      </c>
      <c r="B21" s="277" t="str">
        <f>'Tariffs Jul2022'!D15</f>
        <v>Multinet Metro 1</v>
      </c>
      <c r="C21" s="277" t="str">
        <f>'Tariffs Jul2022'!G15</f>
        <v>Assure</v>
      </c>
      <c r="D21" s="278">
        <f>365*'Tariffs Jul2022'!H15/100</f>
        <v>229.94999999999996</v>
      </c>
      <c r="E21" s="278">
        <f>IF($C$5*'Tariffs Jul2022'!AK15/'Tariffs Jul2022'!AI15&gt;='Tariffs Jul2022'!J15,( 'Tariffs Jul2022'!J15*'Tariffs Jul2022'!O15/100)* 'Tariffs Jul2022'!AI15,($C$5*'Tariffs Jul2022'!AK15/'Tariffs Jul2022'!AI15*'Tariffs Jul2022'!O15/100)* 'Tariffs Jul2022'!AI15)</f>
        <v>210.27272727272725</v>
      </c>
      <c r="F21" s="278">
        <f>IF($C$5*'Tariffs Jul2022'!AK15/'Tariffs Jul2022'!AI15&lt;'Tariffs Jul2022'!J15,0,IF($C$5*'Tariffs Jul2022'!AK15/'Tariffs Jul2022'!AI15&lt;='Tariffs Jul2022'!K15,($C$5*'Tariffs Jul2022'!AK15/'Tariffs Jul2022'!AI15-'Tariffs Jul2022'!J15)*('Tariffs Jul2022'!P15/100)*'Tariffs Jul2022'!AI15,('Tariffs Jul2022'!K15-'Tariffs Jul2022'!J15)*('Tariffs Jul2022'!P15/100)*'Tariffs Jul2022'!AI15))</f>
        <v>178.36363636363637</v>
      </c>
      <c r="G21" s="278">
        <f>IF($C$5*'Tariffs Jul2022'!AK15/'Tariffs Jul2022'!AI15&lt;'Tariffs Jul2022'!K15,0,IF($C$5*'Tariffs Jul2022'!AK15/'Tariffs Jul2022'!AI15&lt;='Tariffs Jul2022'!L15,($C$5*'Tariffs Jul2022'!AK15/'Tariffs Jul2022'!AI15-'Tariffs Jul2022'!K15)*('Tariffs Jul2022'!Q15/100)*'Tariffs Jul2022'!AI15,('Tariffs Jul2022'!L15-'Tariffs Jul2022'!K15)*('Tariffs Jul2022'!Q15/100)*'Tariffs Jul2022'!AI15))</f>
        <v>154.63636363636363</v>
      </c>
      <c r="H21" s="278">
        <f>IF($C$5*'Tariffs Jul2022'!AK15/'Tariffs Jul2022'!AI15&lt;'Tariffs Jul2022'!L15,0,IF($C$5*'Tariffs Jul2022'!AK15/'Tariffs Jul2022'!AI15&lt;='Tariffs Jul2022'!M15,($C$5*'Tariffs Jul2022'!AK15/'Tariffs Jul2022'!AI15-'Tariffs Jul2022'!L15)*('Tariffs Jul2022'!R15/100)*'Tariffs Jul2022'!AI15,('Tariffs Jul2022'!M15-'Tariffs Jul2022'!L15)*('Tariffs Jul2022'!R15/100)*'Tariffs Jul2022'!AI15))</f>
        <v>62.590909090909093</v>
      </c>
      <c r="I21" s="278">
        <f>IF(($C$5*'Tariffs Jul2022'!AK15/'Tariffs Jul2022'!AI15&gt;'Tariffs Jul2022'!M15),($C$5*'Tariffs Jul2022'!AK15/'Tariffs Jul2022'!AI15-'Tariffs Jul2022'!M15)*'Tariffs Jul2022'!S15/100*'Tariffs Jul2022'!AI15,0)</f>
        <v>0</v>
      </c>
      <c r="J21" s="278">
        <f>IF($C$5*'Tariffs Jul2022'!AL15/'Tariffs Jul2022'!AJ15&gt;='Tariffs Jul2022'!J15,('Tariffs Jul2022'!J15*'Tariffs Jul2022'!U15/100)* 'Tariffs Jul2022'!AJ15,($C$5*'Tariffs Jul2022'!AL15/'Tariffs Jul2022'!AJ15*'Tariffs Jul2022'!U15/100)* 'Tariffs Jul2022'!AJ15)</f>
        <v>178.36363636363637</v>
      </c>
      <c r="K21" s="278">
        <f>IF($C$5*'Tariffs Jul2022'!AL15/'Tariffs Jul2022'!AJ15&lt;'Tariffs Jul2022'!J15,0,IF($C$5*'Tariffs Jul2022'!AL15/'Tariffs Jul2022'!AJ15&lt;='Tariffs Jul2022'!K15,($C$5*'Tariffs Jul2022'!AL15/'Tariffs Jul2022'!AJ15-'Tariffs Jul2022'!J15)*('Tariffs Jul2022'!V15/100)*'Tariffs Jul2022'!AJ15,('Tariffs Jul2022'!K15-'Tariffs Jul2022'!J15)*('Tariffs Jul2022'!V15/100)*'Tariffs Jul2022'!AJ15))</f>
        <v>149.72727272727272</v>
      </c>
      <c r="L21" s="278">
        <f>IF($C$5*'Tariffs Jul2022'!AL15/'Tariffs Jul2022'!AJ15&lt;'Tariffs Jul2022'!K15,0,IF($C$5*'Tariffs Jul2022'!AL15/'Tariffs Jul2022'!AJ15&lt;='Tariffs Jul2022'!L15,($C$5*'Tariffs Jul2022'!AL15/'Tariffs Jul2022'!AJ15-'Tariffs Jul2022'!K15)*('Tariffs Jul2022'!W15/100)*'Tariffs Jul2022'!AJ15,('Tariffs Jul2022'!L15-'Tariffs Jul2022'!K15)*('Tariffs Jul2022'!W15/100)*'Tariffs Jul2022'!AJ15))</f>
        <v>140.72727272727272</v>
      </c>
      <c r="M21" s="278">
        <f>IF($C$5*'Tariffs Jul2022'!AL15/'Tariffs Jul2022'!AJ15&lt;'Tariffs Jul2022'!L15,0,IF($C$5*'Tariffs Jul2022'!AL15/'Tariffs Jul2022'!AJ15&lt;='Tariffs Jul2022'!M15,($C$5*'Tariffs Jul2022'!AL15/'Tariffs Jul2022'!AJ15-'Tariffs Jul2022'!L15)*('Tariffs Jul2022'!X15/100)*'Tariffs Jul2022'!AJ15,('Tariffs Jul2022'!M15-'Tariffs Jul2022'!L15)*('Tariffs Jul2022'!X15/100)*'Tariffs Jul2022'!AJ15))</f>
        <v>58.499999999999986</v>
      </c>
      <c r="N21" s="278">
        <f>IF(($C$5*'Tariffs Jul2022'!AL15/'Tariffs Jul2022'!AJ15&gt;'Tariffs Jul2022'!M15),($C$5*'Tariffs Jul2022'!AL15/'Tariffs Jul2022'!AJ15-'Tariffs Jul2022'!M15)*'Tariffs Jul2022'!Y15/100*'Tariffs Jul2022'!AJ15,0)</f>
        <v>0</v>
      </c>
      <c r="O21" s="278">
        <f t="shared" si="13"/>
        <v>1133.1818181818182</v>
      </c>
      <c r="P21" s="504">
        <f t="shared" si="2"/>
        <v>1246.5000000000002</v>
      </c>
      <c r="Q21" s="278">
        <f t="shared" si="14"/>
        <v>1363.1318181818183</v>
      </c>
      <c r="R21" s="280">
        <f t="shared" si="4"/>
        <v>1499.4450000000002</v>
      </c>
      <c r="S21" s="277">
        <f>'Tariffs Jul2022'!AN15</f>
        <v>0</v>
      </c>
      <c r="T21" s="277">
        <f>'Tariffs Jul2022'!AO15</f>
        <v>0</v>
      </c>
      <c r="U21" s="277">
        <f>'Tariffs Jul2022'!AP15</f>
        <v>0</v>
      </c>
      <c r="V21" s="277">
        <f>'Tariffs Jul2022'!AQ15</f>
        <v>0</v>
      </c>
      <c r="W21" s="585" t="str">
        <f t="shared" si="5"/>
        <v>No discount</v>
      </c>
      <c r="X21" s="585" t="str">
        <f t="shared" si="6"/>
        <v>Exclusive</v>
      </c>
      <c r="Y21" s="544">
        <f t="shared" si="11"/>
        <v>1363.1318181818183</v>
      </c>
      <c r="Z21" s="544">
        <f t="shared" si="12"/>
        <v>1363.1318181818183</v>
      </c>
      <c r="AA21" s="545">
        <f t="shared" si="0"/>
        <v>1499.4450000000002</v>
      </c>
      <c r="AB21" s="545">
        <f t="shared" si="0"/>
        <v>1499.4450000000002</v>
      </c>
      <c r="AC21" s="282">
        <f>'Tariffs Jul2022'!AZ15</f>
        <v>0</v>
      </c>
      <c r="AD21" s="282" t="str">
        <f>'Tariffs Jul2022'!BA15</f>
        <v>n</v>
      </c>
      <c r="AE21" s="283" t="str">
        <f>'Tariffs Jul2022'!BJ15</f>
        <v>Y</v>
      </c>
      <c r="AF21" s="593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593"/>
      <c r="AS21" s="593"/>
      <c r="AT21" s="593"/>
      <c r="AU21" s="593"/>
      <c r="AV21" s="593"/>
      <c r="AW21" s="593"/>
    </row>
    <row r="22" spans="1:49" ht="15" thickTop="1" x14ac:dyDescent="0.15">
      <c r="A22" s="270" t="str">
        <f>'Tariffs Jul2022'!F16</f>
        <v>AGL</v>
      </c>
      <c r="B22" s="40" t="str">
        <f>'Tariffs Jul2022'!D16</f>
        <v>Multinet Metro 2</v>
      </c>
      <c r="C22" s="40" t="str">
        <f>'Tariffs Jul2022'!G16</f>
        <v>Value Saver</v>
      </c>
      <c r="D22" s="59">
        <f>365*'Tariffs Jul2022'!H16/100</f>
        <v>306.60000000000002</v>
      </c>
      <c r="E22" s="59">
        <f>IF($C$5*'Tariffs Jul2022'!AK16/'Tariffs Jul2022'!AI16&gt;='Tariffs Jul2022'!J16,( 'Tariffs Jul2022'!J16*'Tariffs Jul2022'!O16/100)* 'Tariffs Jul2022'!AI16,($C$5*'Tariffs Jul2022'!AK16/'Tariffs Jul2022'!AI16*'Tariffs Jul2022'!O16/100)* 'Tariffs Jul2022'!AI16)</f>
        <v>202.09090909090912</v>
      </c>
      <c r="F22" s="59">
        <f>IF($C$5*'Tariffs Jul2022'!AK16/'Tariffs Jul2022'!AI16&lt;'Tariffs Jul2022'!J16,0,IF($C$5*'Tariffs Jul2022'!AK16/'Tariffs Jul2022'!AI16&lt;='Tariffs Jul2022'!K16,($C$5*'Tariffs Jul2022'!AK16/'Tariffs Jul2022'!AI16-'Tariffs Jul2022'!J16)*('Tariffs Jul2022'!P16/100)*'Tariffs Jul2022'!AI16,('Tariffs Jul2022'!K16-'Tariffs Jul2022'!J16)*('Tariffs Jul2022'!P16/100)*'Tariffs Jul2022'!AI16))</f>
        <v>179.18181818181816</v>
      </c>
      <c r="G22" s="59">
        <f>IF($C$5*'Tariffs Jul2022'!AK16/'Tariffs Jul2022'!AI16&lt;'Tariffs Jul2022'!K16,0,IF($C$5*'Tariffs Jul2022'!AK16/'Tariffs Jul2022'!AI16&lt;='Tariffs Jul2022'!L16,($C$5*'Tariffs Jul2022'!AK16/'Tariffs Jul2022'!AI16-'Tariffs Jul2022'!K16)*('Tariffs Jul2022'!Q16/100)*'Tariffs Jul2022'!AI16,('Tariffs Jul2022'!L16-'Tariffs Jul2022'!K16)*('Tariffs Jul2022'!Q16/100)*'Tariffs Jul2022'!AI16))</f>
        <v>147.27272727272725</v>
      </c>
      <c r="H22" s="59">
        <f>IF($C$5*'Tariffs Jul2022'!AK16/'Tariffs Jul2022'!AI16&lt;'Tariffs Jul2022'!L16,0,IF($C$5*'Tariffs Jul2022'!AK16/'Tariffs Jul2022'!AI16&lt;='Tariffs Jul2022'!M16,($C$5*'Tariffs Jul2022'!AK16/'Tariffs Jul2022'!AI16-'Tariffs Jul2022'!L16)*('Tariffs Jul2022'!R16/100)*'Tariffs Jul2022'!AI16,('Tariffs Jul2022'!M16-'Tariffs Jul2022'!L16)*('Tariffs Jul2022'!R16/100)*'Tariffs Jul2022'!AI16))</f>
        <v>63.81818181818182</v>
      </c>
      <c r="I22" s="59">
        <f>IF(($C$5*'Tariffs Jul2022'!AK16/'Tariffs Jul2022'!AI16&gt;'Tariffs Jul2022'!M16),($C$5*'Tariffs Jul2022'!AK16/'Tariffs Jul2022'!AI16-'Tariffs Jul2022'!M16)*'Tariffs Jul2022'!S16/100*'Tariffs Jul2022'!AI16,0)</f>
        <v>0</v>
      </c>
      <c r="J22" s="59">
        <f>IF($C$5*'Tariffs Jul2022'!AL16/'Tariffs Jul2022'!AJ16&gt;='Tariffs Jul2022'!J16,('Tariffs Jul2022'!J16*'Tariffs Jul2022'!U16/100)* 'Tariffs Jul2022'!AJ16,($C$5*'Tariffs Jul2022'!AL16/'Tariffs Jul2022'!AJ16*'Tariffs Jul2022'!U16/100)* 'Tariffs Jul2022'!AJ16)</f>
        <v>193.09090909090904</v>
      </c>
      <c r="K22" s="59">
        <f>IF($C$5*'Tariffs Jul2022'!AL16/'Tariffs Jul2022'!AJ16&lt;'Tariffs Jul2022'!J16,0,IF($C$5*'Tariffs Jul2022'!AL16/'Tariffs Jul2022'!AJ16&lt;='Tariffs Jul2022'!K16,($C$5*'Tariffs Jul2022'!AL16/'Tariffs Jul2022'!AJ16-'Tariffs Jul2022'!J16)*('Tariffs Jul2022'!V16/100)*'Tariffs Jul2022'!AJ16,('Tariffs Jul2022'!K16-'Tariffs Jul2022'!J16)*('Tariffs Jul2022'!V16/100)*'Tariffs Jul2022'!AJ16))</f>
        <v>170.18181818181819</v>
      </c>
      <c r="L22" s="59">
        <f>IF($C$5*'Tariffs Jul2022'!AL16/'Tariffs Jul2022'!AJ16&lt;'Tariffs Jul2022'!K16,0,IF($C$5*'Tariffs Jul2022'!AL16/'Tariffs Jul2022'!AJ16&lt;='Tariffs Jul2022'!L16,($C$5*'Tariffs Jul2022'!AL16/'Tariffs Jul2022'!AJ16-'Tariffs Jul2022'!K16)*('Tariffs Jul2022'!W16/100)*'Tariffs Jul2022'!AJ16,('Tariffs Jul2022'!L16-'Tariffs Jul2022'!K16)*('Tariffs Jul2022'!W16/100)*'Tariffs Jul2022'!AJ16))</f>
        <v>141.5454545454545</v>
      </c>
      <c r="M22" s="59">
        <f>IF($C$5*'Tariffs Jul2022'!AL16/'Tariffs Jul2022'!AJ16&lt;'Tariffs Jul2022'!L16,0,IF($C$5*'Tariffs Jul2022'!AL16/'Tariffs Jul2022'!AJ16&lt;='Tariffs Jul2022'!M16,($C$5*'Tariffs Jul2022'!AL16/'Tariffs Jul2022'!AJ16-'Tariffs Jul2022'!L16)*('Tariffs Jul2022'!X16/100)*'Tariffs Jul2022'!AJ16,('Tariffs Jul2022'!M16-'Tariffs Jul2022'!L16)*('Tariffs Jul2022'!X16/100)*'Tariffs Jul2022'!AJ16))</f>
        <v>62.590909090909093</v>
      </c>
      <c r="N22" s="59">
        <f>IF(($C$5*'Tariffs Jul2022'!AL16/'Tariffs Jul2022'!AJ16&gt;'Tariffs Jul2022'!M16),($C$5*'Tariffs Jul2022'!AL16/'Tariffs Jul2022'!AJ16-'Tariffs Jul2022'!M16)*'Tariffs Jul2022'!Y16/100*'Tariffs Jul2022'!AJ16,0)</f>
        <v>0</v>
      </c>
      <c r="O22" s="59">
        <f t="shared" si="1"/>
        <v>1159.772727272727</v>
      </c>
      <c r="P22" s="503">
        <f t="shared" si="2"/>
        <v>1275.7499999999998</v>
      </c>
      <c r="Q22" s="59">
        <f t="shared" si="3"/>
        <v>1466.3727272727269</v>
      </c>
      <c r="R22" s="272">
        <f t="shared" si="4"/>
        <v>1613.0099999999998</v>
      </c>
      <c r="S22" s="40">
        <f>'Tariffs Jul2022'!AN16</f>
        <v>0</v>
      </c>
      <c r="T22" s="40">
        <f>'Tariffs Jul2022'!AO16</f>
        <v>0</v>
      </c>
      <c r="U22" s="40">
        <f>'Tariffs Jul2022'!AP16</f>
        <v>0</v>
      </c>
      <c r="V22" s="40">
        <f>'Tariffs Jul2022'!AQ16</f>
        <v>0</v>
      </c>
      <c r="W22" s="537" t="str">
        <f>IF(SUM(S22:V22)=0,"No discount",IF(S22&gt;0,"Guaranteed off bill",IF(T22&gt;0,"Guaranteed off usage",IF(U22&gt;0,"Pay-on-time off bill","Pay-on-time off usage"))))</f>
        <v>No discount</v>
      </c>
      <c r="X22" s="538" t="str">
        <f>IF(OR(A22="Origin Energy",A22="Red Energy",A22="Powershop"),"Inclusive","Exclusive")</f>
        <v>Exclusive</v>
      </c>
      <c r="Y22" s="534">
        <f>IF(AND(W22="Guaranteed off bill",X22="Inclusive"),((Q22*1.1)-((Q22*1.1)*S22/100))/1.1,IF(AND(W22="Guaranteed off usage",X22="Inclusive"),((Q22*1.1)-((P22*1.1)*T22/100))/1.1,IF(AND(W22="Guaranteed off bill",X22="Exclusive"),Q22-(Q22*S22/100),IF(AND(W22="Guaranteed off usage",X22="Exclusive"),Q22-(P22*T22/100),IF(X22="Inclusive",((Q22*1.1))/1.1,Q22)))))</f>
        <v>1466.3727272727269</v>
      </c>
      <c r="Z22" s="535">
        <f>IF(AND(W22="Pay-on-time off bill",X22="Inclusive"),((Y22*1.1)-((Y22*1.1)*U22/100))/1.1,IF(AND(W22="Pay-on-time off usage",X22="Inclusive"),((Y22*1.1)-((P22*1.1)*V22/100))/1.1,IF(AND(W22="Pay-on-time off bill",X22="Exclusive"),Y22-(Y22*U22/100),IF(AND(W22="Pay-on-time off usage",X22="Exclusive"),Y22-(P22*V22/100),IF(X22="Inclusive",((Y22*1.1))/1.1,Y22)))))</f>
        <v>1466.3727272727269</v>
      </c>
      <c r="AA22" s="542">
        <f t="shared" ref="AA22:AB35" si="15">Y22*1.1</f>
        <v>1613.0099999999998</v>
      </c>
      <c r="AB22" s="542">
        <f t="shared" si="15"/>
        <v>1613.0099999999998</v>
      </c>
      <c r="AC22" s="274">
        <f>'Tariffs Jul2022'!AZ16</f>
        <v>0</v>
      </c>
      <c r="AD22" s="274" t="str">
        <f>'Tariffs Jul2022'!BA16</f>
        <v>n</v>
      </c>
      <c r="AE22" s="275" t="str">
        <f>'Tariffs Jul2022'!BJ16</f>
        <v>N</v>
      </c>
      <c r="AF22" s="593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593"/>
      <c r="AS22" s="593"/>
      <c r="AT22" s="593"/>
      <c r="AU22" s="593"/>
      <c r="AV22" s="593"/>
      <c r="AW22" s="593"/>
    </row>
    <row r="23" spans="1:49" ht="14" x14ac:dyDescent="0.15">
      <c r="A23" s="270" t="str">
        <f>'Tariffs Jul2022'!F17</f>
        <v>Alinta Energy</v>
      </c>
      <c r="B23" s="40" t="str">
        <f>'Tariffs Jul2022'!D17</f>
        <v>Multinet Metro 2</v>
      </c>
      <c r="C23" s="40" t="str">
        <f>'Tariffs Jul2022'!G17</f>
        <v>Home Deal</v>
      </c>
      <c r="D23" s="59">
        <f>365*'Tariffs Jul2022'!H17/100</f>
        <v>244.28454545454545</v>
      </c>
      <c r="E23" s="59">
        <f>IF($C$5*'Tariffs Jul2022'!AK17/'Tariffs Jul2022'!AI17&gt;='Tariffs Jul2022'!J17,( 'Tariffs Jul2022'!J17*'Tariffs Jul2022'!O17/100)* 'Tariffs Jul2022'!AI17,($C$5*'Tariffs Jul2022'!AK17/'Tariffs Jul2022'!AI17*'Tariffs Jul2022'!O17/100)* 'Tariffs Jul2022'!AI17)</f>
        <v>218.45454545454538</v>
      </c>
      <c r="F23" s="59">
        <f>IF($C$5*'Tariffs Jul2022'!AK17/'Tariffs Jul2022'!AI17&lt;'Tariffs Jul2022'!J17,0,IF($C$5*'Tariffs Jul2022'!AK17/'Tariffs Jul2022'!AI17&lt;='Tariffs Jul2022'!K17,($C$5*'Tariffs Jul2022'!AK17/'Tariffs Jul2022'!AI17-'Tariffs Jul2022'!J17)*('Tariffs Jul2022'!P17/100)*'Tariffs Jul2022'!AI17,('Tariffs Jul2022'!K17-'Tariffs Jul2022'!J17)*('Tariffs Jul2022'!P17/100)*'Tariffs Jul2022'!AI17))</f>
        <v>192.27272727272728</v>
      </c>
      <c r="G23" s="59">
        <f>IF($C$5*'Tariffs Jul2022'!AK17/'Tariffs Jul2022'!AI17&lt;'Tariffs Jul2022'!K17,0,IF($C$5*'Tariffs Jul2022'!AK17/'Tariffs Jul2022'!AI17&lt;='Tariffs Jul2022'!L17,($C$5*'Tariffs Jul2022'!AK17/'Tariffs Jul2022'!AI17-'Tariffs Jul2022'!K17)*('Tariffs Jul2022'!Q17/100)*'Tariffs Jul2022'!AI17,('Tariffs Jul2022'!L17-'Tariffs Jul2022'!K17)*('Tariffs Jul2022'!Q17/100)*'Tariffs Jul2022'!AI17))</f>
        <v>0</v>
      </c>
      <c r="H23" s="59">
        <f>IF($C$5*'Tariffs Jul2022'!AK17/'Tariffs Jul2022'!AI17&lt;'Tariffs Jul2022'!L17,0,IF($C$5*'Tariffs Jul2022'!AK17/'Tariffs Jul2022'!AI17&lt;='Tariffs Jul2022'!M17,($C$5*'Tariffs Jul2022'!AK17/'Tariffs Jul2022'!AI17-'Tariffs Jul2022'!L17)*('Tariffs Jul2022'!R17/100)*'Tariffs Jul2022'!AI17,('Tariffs Jul2022'!M17-'Tariffs Jul2022'!L17)*('Tariffs Jul2022'!R17/100)*'Tariffs Jul2022'!AI17))</f>
        <v>0</v>
      </c>
      <c r="I23" s="59">
        <f>IF(($C$5*'Tariffs Jul2022'!AK17/'Tariffs Jul2022'!AI17&gt;'Tariffs Jul2022'!M17),($C$5*'Tariffs Jul2022'!AK17/'Tariffs Jul2022'!AI17-'Tariffs Jul2022'!M17)*'Tariffs Jul2022'!S17/100*'Tariffs Jul2022'!AI17,0)</f>
        <v>227.0454545454545</v>
      </c>
      <c r="J23" s="59">
        <f>IF($C$5*'Tariffs Jul2022'!AL17/'Tariffs Jul2022'!AJ17&gt;='Tariffs Jul2022'!J17,('Tariffs Jul2022'!J17*'Tariffs Jul2022'!U17/100)* 'Tariffs Jul2022'!AJ17,($C$5*'Tariffs Jul2022'!AL17/'Tariffs Jul2022'!AJ17*'Tariffs Jul2022'!U17/100)* 'Tariffs Jul2022'!AJ17)</f>
        <v>209.45454545454544</v>
      </c>
      <c r="K23" s="59">
        <f>IF($C$5*'Tariffs Jul2022'!AL17/'Tariffs Jul2022'!AJ17&lt;'Tariffs Jul2022'!J17,0,IF($C$5*'Tariffs Jul2022'!AL17/'Tariffs Jul2022'!AJ17&lt;='Tariffs Jul2022'!K17,($C$5*'Tariffs Jul2022'!AL17/'Tariffs Jul2022'!AJ17-'Tariffs Jul2022'!J17)*('Tariffs Jul2022'!V17/100)*'Tariffs Jul2022'!AJ17,('Tariffs Jul2022'!K17-'Tariffs Jul2022'!J17)*('Tariffs Jul2022'!V17/100)*'Tariffs Jul2022'!AJ17))</f>
        <v>184.90909090909091</v>
      </c>
      <c r="L23" s="59">
        <f>IF($C$5*'Tariffs Jul2022'!AL17/'Tariffs Jul2022'!AJ17&lt;'Tariffs Jul2022'!K17,0,IF($C$5*'Tariffs Jul2022'!AL17/'Tariffs Jul2022'!AJ17&lt;='Tariffs Jul2022'!L17,($C$5*'Tariffs Jul2022'!AL17/'Tariffs Jul2022'!AJ17-'Tariffs Jul2022'!K17)*('Tariffs Jul2022'!W17/100)*'Tariffs Jul2022'!AJ17,('Tariffs Jul2022'!L17-'Tariffs Jul2022'!K17)*('Tariffs Jul2022'!W17/100)*'Tariffs Jul2022'!AJ17))</f>
        <v>0</v>
      </c>
      <c r="M23" s="59">
        <f>IF($C$5*'Tariffs Jul2022'!AL17/'Tariffs Jul2022'!AJ17&lt;'Tariffs Jul2022'!L17,0,IF($C$5*'Tariffs Jul2022'!AL17/'Tariffs Jul2022'!AJ17&lt;='Tariffs Jul2022'!M17,($C$5*'Tariffs Jul2022'!AL17/'Tariffs Jul2022'!AJ17-'Tariffs Jul2022'!L17)*('Tariffs Jul2022'!X17/100)*'Tariffs Jul2022'!AJ17,('Tariffs Jul2022'!M17-'Tariffs Jul2022'!L17)*('Tariffs Jul2022'!X17/100)*'Tariffs Jul2022'!AJ17))</f>
        <v>0</v>
      </c>
      <c r="N23" s="59">
        <f>IF(($C$5*'Tariffs Jul2022'!AL17/'Tariffs Jul2022'!AJ17&gt;'Tariffs Jul2022'!M17),($C$5*'Tariffs Jul2022'!AL17/'Tariffs Jul2022'!AJ17-'Tariffs Jul2022'!M17)*'Tariffs Jul2022'!Y17/100*'Tariffs Jul2022'!AJ17,0)</f>
        <v>227.0454545454545</v>
      </c>
      <c r="O23" s="59">
        <f t="shared" si="1"/>
        <v>1259.181818181818</v>
      </c>
      <c r="P23" s="503">
        <f t="shared" si="2"/>
        <v>1385.1</v>
      </c>
      <c r="Q23" s="59">
        <f t="shared" si="3"/>
        <v>1503.4663636363634</v>
      </c>
      <c r="R23" s="272">
        <f t="shared" si="4"/>
        <v>1653.8129999999999</v>
      </c>
      <c r="S23" s="40">
        <f>'Tariffs Jul2022'!AN17</f>
        <v>0</v>
      </c>
      <c r="T23" s="40">
        <f>'Tariffs Jul2022'!AO17</f>
        <v>0</v>
      </c>
      <c r="U23" s="40">
        <f>'Tariffs Jul2022'!AP17</f>
        <v>0</v>
      </c>
      <c r="V23" s="40">
        <f>'Tariffs Jul2022'!AQ17</f>
        <v>0</v>
      </c>
      <c r="W23" s="537" t="str">
        <f t="shared" ref="W23:W35" si="16">IF(SUM(S23:V23)=0,"No discount",IF(S23&gt;0,"Guaranteed off bill",IF(T23&gt;0,"Guaranteed off usage",IF(U23&gt;0,"Pay-on-time off bill","Pay-on-time off usage"))))</f>
        <v>No discount</v>
      </c>
      <c r="X23" s="538" t="str">
        <f t="shared" ref="X23:X35" si="17">IF(OR(A23="Origin Energy",A23="Red Energy",A23="Powershop"),"Inclusive","Exclusive")</f>
        <v>Exclusive</v>
      </c>
      <c r="Y23" s="534">
        <f>IF(AND(W23="Guaranteed off bill",X23="Inclusive"),((Q23*1.1)-((Q23*1.1)*S23/100))/1.1,IF(AND(W23="Guaranteed off usage",X23="Inclusive"),((Q23*1.1)-((P23*1.1)*T23/100))/1.1,IF(AND(W23="Guaranteed off bill",X23="Exclusive"),Q23-(Q23*S23/100),IF(AND(W23="Guaranteed off usage",X23="Exclusive"),Q23-(P23*T23/100),IF(X23="Inclusive",((Q23*1.1))/1.1,Q23)))))</f>
        <v>1503.4663636363634</v>
      </c>
      <c r="Z23" s="535">
        <f>IF(AND(W23="Pay-on-time off bill",X23="Inclusive"),((Y23*1.1)-((Y23*1.1)*U23/100))/1.1,IF(AND(W23="Pay-on-time off usage",X23="Inclusive"),((Y23*1.1)-((P23*1.1)*V23/100))/1.1,IF(AND(W23="Pay-on-time off bill",X23="Exclusive"),Y23-(Y23*U23/100),IF(AND(W23="Pay-on-time off usage",X23="Exclusive"),Y23-(P23*V23/100),IF(X23="Inclusive",((Y23*1.1))/1.1,Y23)))))</f>
        <v>1503.4663636363634</v>
      </c>
      <c r="AA23" s="542">
        <f t="shared" si="15"/>
        <v>1653.8129999999999</v>
      </c>
      <c r="AB23" s="542">
        <f t="shared" si="15"/>
        <v>1653.8129999999999</v>
      </c>
      <c r="AC23" s="274">
        <f>'Tariffs Jul2022'!AZ17</f>
        <v>0</v>
      </c>
      <c r="AD23" s="274" t="str">
        <f>'Tariffs Jul2022'!BA17</f>
        <v>n</v>
      </c>
      <c r="AE23" s="275" t="str">
        <f>'Tariffs Jul2022'!BJ17</f>
        <v>N</v>
      </c>
      <c r="AF23" s="593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593"/>
      <c r="AS23" s="593"/>
      <c r="AT23" s="593"/>
      <c r="AU23" s="593"/>
      <c r="AV23" s="593"/>
      <c r="AW23" s="593"/>
    </row>
    <row r="24" spans="1:49" ht="14" x14ac:dyDescent="0.15">
      <c r="A24" s="270" t="str">
        <f>'Tariffs Jul2022'!F18</f>
        <v>Dodo Power &amp; Gas</v>
      </c>
      <c r="B24" s="40" t="str">
        <f>'Tariffs Jul2022'!D18</f>
        <v>Multinet Metro 2</v>
      </c>
      <c r="C24" s="40" t="str">
        <f>'Tariffs Jul2022'!G18</f>
        <v>Market offer</v>
      </c>
      <c r="D24" s="59">
        <f>365*'Tariffs Jul2022'!H18/100</f>
        <v>196.86772727272725</v>
      </c>
      <c r="E24" s="59">
        <f>IF($C$5*'Tariffs Jul2022'!AK18/'Tariffs Jul2022'!AI18&gt;='Tariffs Jul2022'!J18,( 'Tariffs Jul2022'!J18*'Tariffs Jul2022'!O18/100)* 'Tariffs Jul2022'!AI18,($C$5*'Tariffs Jul2022'!AK18/'Tariffs Jul2022'!AI18*'Tariffs Jul2022'!O18/100)* 'Tariffs Jul2022'!AI18)</f>
        <v>243.81818181818181</v>
      </c>
      <c r="F24" s="59">
        <f>IF($C$5*'Tariffs Jul2022'!AK18/'Tariffs Jul2022'!AI18&lt;'Tariffs Jul2022'!J18,0,IF($C$5*'Tariffs Jul2022'!AK18/'Tariffs Jul2022'!AI18&lt;='Tariffs Jul2022'!K18,($C$5*'Tariffs Jul2022'!AK18/'Tariffs Jul2022'!AI18-'Tariffs Jul2022'!J18)*('Tariffs Jul2022'!P18/100)*'Tariffs Jul2022'!AI18,('Tariffs Jul2022'!K18-'Tariffs Jul2022'!J18)*('Tariffs Jul2022'!P18/100)*'Tariffs Jul2022'!AI18))</f>
        <v>209.45454545454544</v>
      </c>
      <c r="G24" s="59">
        <f>IF($C$5*'Tariffs Jul2022'!AK18/'Tariffs Jul2022'!AI18&lt;'Tariffs Jul2022'!K18,0,IF($C$5*'Tariffs Jul2022'!AK18/'Tariffs Jul2022'!AI18&lt;='Tariffs Jul2022'!L18,($C$5*'Tariffs Jul2022'!AK18/'Tariffs Jul2022'!AI18-'Tariffs Jul2022'!K18)*('Tariffs Jul2022'!Q18/100)*'Tariffs Jul2022'!AI18,('Tariffs Jul2022'!L18-'Tariffs Jul2022'!K18)*('Tariffs Jul2022'!Q18/100)*'Tariffs Jul2022'!AI18))</f>
        <v>171.81818181818181</v>
      </c>
      <c r="H24" s="59">
        <f>IF($C$5*'Tariffs Jul2022'!AK18/'Tariffs Jul2022'!AI18&lt;'Tariffs Jul2022'!L18,0,IF($C$5*'Tariffs Jul2022'!AK18/'Tariffs Jul2022'!AI18&lt;='Tariffs Jul2022'!M18,($C$5*'Tariffs Jul2022'!AK18/'Tariffs Jul2022'!AI18-'Tariffs Jul2022'!L18)*('Tariffs Jul2022'!R18/100)*'Tariffs Jul2022'!AI18,('Tariffs Jul2022'!M18-'Tariffs Jul2022'!L18)*('Tariffs Jul2022'!R18/100)*'Tariffs Jul2022'!AI18))</f>
        <v>78.545454545454533</v>
      </c>
      <c r="I24" s="59">
        <f>IF(($C$5*'Tariffs Jul2022'!AK18/'Tariffs Jul2022'!AI18&gt;'Tariffs Jul2022'!M18),($C$5*'Tariffs Jul2022'!AK18/'Tariffs Jul2022'!AI18-'Tariffs Jul2022'!M18)*'Tariffs Jul2022'!S18/100*'Tariffs Jul2022'!AI18,0)</f>
        <v>0</v>
      </c>
      <c r="J24" s="59">
        <f>IF($C$5*'Tariffs Jul2022'!AL18/'Tariffs Jul2022'!AJ18&gt;='Tariffs Jul2022'!J18,('Tariffs Jul2022'!J18*'Tariffs Jul2022'!U18/100)* 'Tariffs Jul2022'!AJ18,($C$5*'Tariffs Jul2022'!AL18/'Tariffs Jul2022'!AJ18*'Tariffs Jul2022'!U18/100)* 'Tariffs Jul2022'!AJ18)</f>
        <v>229.09090909090904</v>
      </c>
      <c r="K24" s="59">
        <f>IF($C$5*'Tariffs Jul2022'!AL18/'Tariffs Jul2022'!AJ18&lt;'Tariffs Jul2022'!J18,0,IF($C$5*'Tariffs Jul2022'!AL18/'Tariffs Jul2022'!AJ18&lt;='Tariffs Jul2022'!K18,($C$5*'Tariffs Jul2022'!AL18/'Tariffs Jul2022'!AJ18-'Tariffs Jul2022'!J18)*('Tariffs Jul2022'!V18/100)*'Tariffs Jul2022'!AJ18,('Tariffs Jul2022'!K18-'Tariffs Jul2022'!J18)*('Tariffs Jul2022'!V18/100)*'Tariffs Jul2022'!AJ18))</f>
        <v>199.6363636363636</v>
      </c>
      <c r="L24" s="59">
        <f>IF($C$5*'Tariffs Jul2022'!AL18/'Tariffs Jul2022'!AJ18&lt;'Tariffs Jul2022'!K18,0,IF($C$5*'Tariffs Jul2022'!AL18/'Tariffs Jul2022'!AJ18&lt;='Tariffs Jul2022'!L18,($C$5*'Tariffs Jul2022'!AL18/'Tariffs Jul2022'!AJ18-'Tariffs Jul2022'!K18)*('Tariffs Jul2022'!W18/100)*'Tariffs Jul2022'!AJ18,('Tariffs Jul2022'!L18-'Tariffs Jul2022'!K18)*('Tariffs Jul2022'!W18/100)*'Tariffs Jul2022'!AJ18))</f>
        <v>167.72727272727269</v>
      </c>
      <c r="M24" s="59">
        <f>IF($C$5*'Tariffs Jul2022'!AL18/'Tariffs Jul2022'!AJ18&lt;'Tariffs Jul2022'!L18,0,IF($C$5*'Tariffs Jul2022'!AL18/'Tariffs Jul2022'!AJ18&lt;='Tariffs Jul2022'!M18,($C$5*'Tariffs Jul2022'!AL18/'Tariffs Jul2022'!AJ18-'Tariffs Jul2022'!L18)*('Tariffs Jul2022'!X18/100)*'Tariffs Jul2022'!AJ18,('Tariffs Jul2022'!M18-'Tariffs Jul2022'!L18)*('Tariffs Jul2022'!X18/100)*'Tariffs Jul2022'!AJ18))</f>
        <v>77.318181818181813</v>
      </c>
      <c r="N24" s="59">
        <f>IF(($C$5*'Tariffs Jul2022'!AL18/'Tariffs Jul2022'!AJ18&gt;'Tariffs Jul2022'!M18),($C$5*'Tariffs Jul2022'!AL18/'Tariffs Jul2022'!AJ18-'Tariffs Jul2022'!M18)*'Tariffs Jul2022'!Y18/100*'Tariffs Jul2022'!AJ18,0)</f>
        <v>0</v>
      </c>
      <c r="O24" s="59">
        <f t="shared" si="1"/>
        <v>1377.4090909090905</v>
      </c>
      <c r="P24" s="503">
        <f t="shared" si="2"/>
        <v>1515.1499999999996</v>
      </c>
      <c r="Q24" s="59">
        <f t="shared" si="3"/>
        <v>1574.2768181818178</v>
      </c>
      <c r="R24" s="272">
        <f t="shared" si="4"/>
        <v>1731.7044999999998</v>
      </c>
      <c r="S24" s="40">
        <f>'Tariffs Jul2022'!AN18</f>
        <v>0</v>
      </c>
      <c r="T24" s="40">
        <f>'Tariffs Jul2022'!AO18</f>
        <v>0</v>
      </c>
      <c r="U24" s="40">
        <f>'Tariffs Jul2022'!AP18</f>
        <v>0</v>
      </c>
      <c r="V24" s="40">
        <f>'Tariffs Jul2022'!AQ18</f>
        <v>0</v>
      </c>
      <c r="W24" s="537" t="str">
        <f t="shared" si="16"/>
        <v>No discount</v>
      </c>
      <c r="X24" s="538" t="str">
        <f t="shared" si="17"/>
        <v>Exclusive</v>
      </c>
      <c r="Y24" s="534">
        <f>IF(AND(W24="Guaranteed off bill",X24="Inclusive"),((Q24*1.1)-((Q24*1.1)*S24/100))/1.1,IF(AND(W24="Guaranteed off usage",X24="Inclusive"),((Q24*1.1)-((P24*1.1)*T24/100))/1.1,IF(AND(W24="Guaranteed off bill",X24="Exclusive"),Q24-(Q24*S24/100),IF(AND(W24="Guaranteed off usage",X24="Exclusive"),Q24-(P24*T24/100),IF(X24="Inclusive",((Q24*1.1))/1.1,Q24)))))</f>
        <v>1574.2768181818178</v>
      </c>
      <c r="Z24" s="535">
        <f>IF(AND(W24="Pay-on-time off bill",X24="Inclusive"),((Y24*1.1)-((Y24*1.1)*U24/100))/1.1,IF(AND(W24="Pay-on-time off usage",X24="Inclusive"),((Y24*1.1)-((P24*1.1)*V24/100))/1.1,IF(AND(W24="Pay-on-time off bill",X24="Exclusive"),Y24-(Y24*U24/100),IF(AND(W24="Pay-on-time off usage",X24="Exclusive"),Y24-(P24*V24/100),IF(X24="Inclusive",((Y24*1.1))/1.1,Y24)))))</f>
        <v>1574.2768181818178</v>
      </c>
      <c r="AA24" s="542">
        <f t="shared" si="15"/>
        <v>1731.7044999999998</v>
      </c>
      <c r="AB24" s="542">
        <f t="shared" si="15"/>
        <v>1731.7044999999998</v>
      </c>
      <c r="AC24" s="274">
        <f>'Tariffs Jul2022'!AZ18</f>
        <v>0</v>
      </c>
      <c r="AD24" s="274" t="str">
        <f>'Tariffs Jul2022'!BA18</f>
        <v>n</v>
      </c>
      <c r="AE24" s="275" t="str">
        <f>'Tariffs Jul2022'!BJ18</f>
        <v>N</v>
      </c>
      <c r="AF24" s="593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593"/>
      <c r="AS24" s="593"/>
      <c r="AT24" s="593"/>
      <c r="AU24" s="593"/>
      <c r="AV24" s="593"/>
      <c r="AW24" s="593"/>
    </row>
    <row r="25" spans="1:49" ht="14" x14ac:dyDescent="0.15">
      <c r="A25" s="270" t="str">
        <f>'Tariffs Jul2022'!F19</f>
        <v>EnergyAustralia</v>
      </c>
      <c r="B25" s="40" t="str">
        <f>'Tariffs Jul2022'!D19</f>
        <v>Multinet Metro 2</v>
      </c>
      <c r="C25" s="40" t="str">
        <f>'Tariffs Jul2022'!G19</f>
        <v>Flexi Plan</v>
      </c>
      <c r="D25" s="59">
        <f>365*'Tariffs Jul2022'!H19/100</f>
        <v>304.77499999999998</v>
      </c>
      <c r="E25" s="59">
        <f>IF($C$5*'Tariffs Jul2022'!AK19/'Tariffs Jul2022'!AI19&gt;='Tariffs Jul2022'!J19,( 'Tariffs Jul2022'!J19*'Tariffs Jul2022'!O19/100)* 'Tariffs Jul2022'!AI19,($C$5*'Tariffs Jul2022'!AK19/'Tariffs Jul2022'!AI19*'Tariffs Jul2022'!O19/100)* 'Tariffs Jul2022'!AI19)</f>
        <v>288</v>
      </c>
      <c r="F25" s="59">
        <f>IF($C$5*'Tariffs Jul2022'!AK19/'Tariffs Jul2022'!AI19&lt;'Tariffs Jul2022'!J19,0,IF($C$5*'Tariffs Jul2022'!AK19/'Tariffs Jul2022'!AI19&lt;='Tariffs Jul2022'!K19,($C$5*'Tariffs Jul2022'!AK19/'Tariffs Jul2022'!AI19-'Tariffs Jul2022'!J19)*('Tariffs Jul2022'!P19/100)*'Tariffs Jul2022'!AI19,('Tariffs Jul2022'!K19-'Tariffs Jul2022'!J19)*('Tariffs Jul2022'!P19/100)*'Tariffs Jul2022'!AI19))</f>
        <v>238.90909090909088</v>
      </c>
      <c r="G25" s="59">
        <f>IF($C$5*'Tariffs Jul2022'!AK19/'Tariffs Jul2022'!AI19&lt;'Tariffs Jul2022'!K19,0,IF($C$5*'Tariffs Jul2022'!AK19/'Tariffs Jul2022'!AI19&lt;='Tariffs Jul2022'!L19,($C$5*'Tariffs Jul2022'!AK19/'Tariffs Jul2022'!AI19-'Tariffs Jul2022'!K19)*('Tariffs Jul2022'!Q19/100)*'Tariffs Jul2022'!AI19,('Tariffs Jul2022'!L19-'Tariffs Jul2022'!K19)*('Tariffs Jul2022'!Q19/100)*'Tariffs Jul2022'!AI19))</f>
        <v>196.36363636363637</v>
      </c>
      <c r="H25" s="59">
        <f>IF($C$5*'Tariffs Jul2022'!AK19/'Tariffs Jul2022'!AI19&lt;'Tariffs Jul2022'!L19,0,IF($C$5*'Tariffs Jul2022'!AK19/'Tariffs Jul2022'!AI19&lt;='Tariffs Jul2022'!M19,($C$5*'Tariffs Jul2022'!AK19/'Tariffs Jul2022'!AI19-'Tariffs Jul2022'!L19)*('Tariffs Jul2022'!R19/100)*'Tariffs Jul2022'!AI19,('Tariffs Jul2022'!M19-'Tariffs Jul2022'!L19)*('Tariffs Jul2022'!R19/100)*'Tariffs Jul2022'!AI19))</f>
        <v>89.181818181818187</v>
      </c>
      <c r="I25" s="59">
        <f>IF(($C$5*'Tariffs Jul2022'!AK19/'Tariffs Jul2022'!AI19&gt;'Tariffs Jul2022'!M19),($C$5*'Tariffs Jul2022'!AK19/'Tariffs Jul2022'!AI19-'Tariffs Jul2022'!M19)*'Tariffs Jul2022'!S19/100*'Tariffs Jul2022'!AI19,0)</f>
        <v>0</v>
      </c>
      <c r="J25" s="59">
        <f>IF($C$5*'Tariffs Jul2022'!AL19/'Tariffs Jul2022'!AJ19&gt;='Tariffs Jul2022'!J19,('Tariffs Jul2022'!J19*'Tariffs Jul2022'!U19/100)* 'Tariffs Jul2022'!AJ19,($C$5*'Tariffs Jul2022'!AL19/'Tariffs Jul2022'!AJ19*'Tariffs Jul2022'!U19/100)* 'Tariffs Jul2022'!AJ19)</f>
        <v>269.99999999999994</v>
      </c>
      <c r="K25" s="59">
        <f>IF($C$5*'Tariffs Jul2022'!AL19/'Tariffs Jul2022'!AJ19&lt;'Tariffs Jul2022'!J19,0,IF($C$5*'Tariffs Jul2022'!AL19/'Tariffs Jul2022'!AJ19&lt;='Tariffs Jul2022'!K19,($C$5*'Tariffs Jul2022'!AL19/'Tariffs Jul2022'!AJ19-'Tariffs Jul2022'!J19)*('Tariffs Jul2022'!V19/100)*'Tariffs Jul2022'!AJ19,('Tariffs Jul2022'!K19-'Tariffs Jul2022'!J19)*('Tariffs Jul2022'!V19/100)*'Tariffs Jul2022'!AJ19))</f>
        <v>227.45454545454544</v>
      </c>
      <c r="L25" s="59">
        <f>IF($C$5*'Tariffs Jul2022'!AL19/'Tariffs Jul2022'!AJ19&lt;'Tariffs Jul2022'!K19,0,IF($C$5*'Tariffs Jul2022'!AL19/'Tariffs Jul2022'!AJ19&lt;='Tariffs Jul2022'!L19,($C$5*'Tariffs Jul2022'!AL19/'Tariffs Jul2022'!AJ19-'Tariffs Jul2022'!K19)*('Tariffs Jul2022'!W19/100)*'Tariffs Jul2022'!AJ19,('Tariffs Jul2022'!L19-'Tariffs Jul2022'!K19)*('Tariffs Jul2022'!W19/100)*'Tariffs Jul2022'!AJ19))</f>
        <v>184.90909090909091</v>
      </c>
      <c r="M25" s="59">
        <f>IF($C$5*'Tariffs Jul2022'!AL19/'Tariffs Jul2022'!AJ19&lt;'Tariffs Jul2022'!L19,0,IF($C$5*'Tariffs Jul2022'!AL19/'Tariffs Jul2022'!AJ19&lt;='Tariffs Jul2022'!M19,($C$5*'Tariffs Jul2022'!AL19/'Tariffs Jul2022'!AJ19-'Tariffs Jul2022'!L19)*('Tariffs Jul2022'!X19/100)*'Tariffs Jul2022'!AJ19,('Tariffs Jul2022'!M19-'Tariffs Jul2022'!L19)*('Tariffs Jul2022'!X19/100)*'Tariffs Jul2022'!AJ19))</f>
        <v>85.499999999999972</v>
      </c>
      <c r="N25" s="59">
        <f>IF(($C$5*'Tariffs Jul2022'!AL19/'Tariffs Jul2022'!AJ19&gt;'Tariffs Jul2022'!M19),($C$5*'Tariffs Jul2022'!AL19/'Tariffs Jul2022'!AJ19-'Tariffs Jul2022'!M19)*'Tariffs Jul2022'!Y19/100*'Tariffs Jul2022'!AJ19,0)</f>
        <v>0</v>
      </c>
      <c r="O25" s="59">
        <f t="shared" si="1"/>
        <v>1580.318181818182</v>
      </c>
      <c r="P25" s="503">
        <f t="shared" si="2"/>
        <v>1738.3500000000004</v>
      </c>
      <c r="Q25" s="59">
        <f t="shared" si="3"/>
        <v>1885.0931818181821</v>
      </c>
      <c r="R25" s="272">
        <f t="shared" si="4"/>
        <v>2073.6025000000004</v>
      </c>
      <c r="S25" s="40">
        <f>'Tariffs Jul2022'!AN19</f>
        <v>8</v>
      </c>
      <c r="T25" s="40">
        <f>'Tariffs Jul2022'!AO19</f>
        <v>0</v>
      </c>
      <c r="U25" s="40">
        <f>'Tariffs Jul2022'!AP19</f>
        <v>0</v>
      </c>
      <c r="V25" s="40">
        <f>'Tariffs Jul2022'!AQ19</f>
        <v>0</v>
      </c>
      <c r="W25" s="537" t="str">
        <f t="shared" si="16"/>
        <v>Guaranteed off bill</v>
      </c>
      <c r="X25" s="538" t="str">
        <f t="shared" si="17"/>
        <v>Exclusive</v>
      </c>
      <c r="Y25" s="534">
        <f t="shared" ref="Y25" si="18">IF(AND(W25="Guaranteed off bill",X25="Inclusive"),((Q25*1.1)-((Q25*1.1)*S25/100))/1.1,IF(AND(W25="Guaranteed off usage",X25="Inclusive"),((Q25*1.1)-((P25*1.1)*T25/100))/1.1,IF(AND(W25="Guaranteed off bill",X25="Exclusive"),Q25-(Q25*S25/100),IF(AND(W25="Guaranteed off usage",X25="Exclusive"),Q25-(P25*T25/100),IF(X25="Inclusive",((Q25*1.1))/1.1,Q25)))))</f>
        <v>1734.2857272727274</v>
      </c>
      <c r="Z25" s="535">
        <f t="shared" ref="Z25" si="19">IF(AND(W25="Pay-on-time off bill",X25="Inclusive"),((Y25*1.1)-((Y25*1.1)*U25/100))/1.1,IF(AND(W25="Pay-on-time off usage",X25="Inclusive"),((Y25*1.1)-((P25*1.1)*V25/100))/1.1,IF(AND(W25="Pay-on-time off bill",X25="Exclusive"),Y25-(Y25*U25/100),IF(AND(W25="Pay-on-time off usage",X25="Exclusive"),Y25-(P25*V25/100),IF(X25="Inclusive",((Y25*1.1))/1.1,Y25)))))</f>
        <v>1734.2857272727274</v>
      </c>
      <c r="AA25" s="542">
        <f t="shared" si="15"/>
        <v>1907.7143000000003</v>
      </c>
      <c r="AB25" s="542">
        <f t="shared" si="15"/>
        <v>1907.7143000000003</v>
      </c>
      <c r="AC25" s="274">
        <f>'Tariffs Jul2022'!AZ19</f>
        <v>12</v>
      </c>
      <c r="AD25" s="274" t="str">
        <f>'Tariffs Jul2022'!BA19</f>
        <v>n</v>
      </c>
      <c r="AE25" s="275" t="str">
        <f>'Tariffs Jul2022'!BJ19</f>
        <v>N</v>
      </c>
      <c r="AF25" s="593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593"/>
      <c r="AS25" s="593"/>
      <c r="AT25" s="593"/>
      <c r="AU25" s="593"/>
      <c r="AV25" s="593"/>
      <c r="AW25" s="593"/>
    </row>
    <row r="26" spans="1:49" ht="14" x14ac:dyDescent="0.15">
      <c r="A26" s="270" t="str">
        <f>'Tariffs Jul2022'!F20</f>
        <v>Lumo Energy</v>
      </c>
      <c r="B26" s="40" t="str">
        <f>'Tariffs Jul2022'!D20</f>
        <v>Multinet Metro 2</v>
      </c>
      <c r="C26" s="40" t="str">
        <f>'Tariffs Jul2022'!G20</f>
        <v>Value</v>
      </c>
      <c r="D26" s="59">
        <f>365*'Tariffs Jul2022'!H20/100</f>
        <v>251.48500000000004</v>
      </c>
      <c r="E26" s="59">
        <f>IF($C$5*'Tariffs Jul2022'!AK20/'Tariffs Jul2022'!AI20&gt;='Tariffs Jul2022'!J20,( 'Tariffs Jul2022'!J20*'Tariffs Jul2022'!O20/100)* 'Tariffs Jul2022'!AI20,($C$5*'Tariffs Jul2022'!AK20/'Tariffs Jul2022'!AI20*'Tariffs Jul2022'!O20/100)* 'Tariffs Jul2022'!AI20)</f>
        <v>202.09090909090912</v>
      </c>
      <c r="F26" s="59">
        <f>IF($C$5*'Tariffs Jul2022'!AK20/'Tariffs Jul2022'!AI20&lt;'Tariffs Jul2022'!J20,0,IF($C$5*'Tariffs Jul2022'!AK20/'Tariffs Jul2022'!AI20&lt;='Tariffs Jul2022'!K20,($C$5*'Tariffs Jul2022'!AK20/'Tariffs Jul2022'!AI20-'Tariffs Jul2022'!J20)*('Tariffs Jul2022'!P20/100)*'Tariffs Jul2022'!AI20,('Tariffs Jul2022'!K20-'Tariffs Jul2022'!J20)*('Tariffs Jul2022'!P20/100)*'Tariffs Jul2022'!AI20))</f>
        <v>166.90909090909091</v>
      </c>
      <c r="G26" s="59">
        <f>IF($C$5*'Tariffs Jul2022'!AK20/'Tariffs Jul2022'!AI20&lt;'Tariffs Jul2022'!K20,0,IF($C$5*'Tariffs Jul2022'!AK20/'Tariffs Jul2022'!AI20&lt;='Tariffs Jul2022'!L20,($C$5*'Tariffs Jul2022'!AK20/'Tariffs Jul2022'!AI20-'Tariffs Jul2022'!K20)*('Tariffs Jul2022'!Q20/100)*'Tariffs Jul2022'!AI20,('Tariffs Jul2022'!L20-'Tariffs Jul2022'!K20)*('Tariffs Jul2022'!Q20/100)*'Tariffs Jul2022'!AI20))</f>
        <v>156.27272727272725</v>
      </c>
      <c r="H26" s="59">
        <f>IF($C$5*'Tariffs Jul2022'!AK20/'Tariffs Jul2022'!AI20&lt;'Tariffs Jul2022'!L20,0,IF($C$5*'Tariffs Jul2022'!AK20/'Tariffs Jul2022'!AI20&lt;='Tariffs Jul2022'!M20,($C$5*'Tariffs Jul2022'!AK20/'Tariffs Jul2022'!AI20-'Tariffs Jul2022'!L20)*('Tariffs Jul2022'!R20/100)*'Tariffs Jul2022'!AI20,('Tariffs Jul2022'!M20-'Tariffs Jul2022'!L20)*('Tariffs Jul2022'!R20/100)*'Tariffs Jul2022'!AI20))</f>
        <v>75.272727272727266</v>
      </c>
      <c r="I26" s="59">
        <f>IF(($C$5*'Tariffs Jul2022'!AK20/'Tariffs Jul2022'!AI20&gt;'Tariffs Jul2022'!M20),($C$5*'Tariffs Jul2022'!AK20/'Tariffs Jul2022'!AI20-'Tariffs Jul2022'!M20)*'Tariffs Jul2022'!S20/100*'Tariffs Jul2022'!AI20,0)</f>
        <v>0</v>
      </c>
      <c r="J26" s="59">
        <f>IF($C$5*'Tariffs Jul2022'!AL20/'Tariffs Jul2022'!AJ20&gt;='Tariffs Jul2022'!J20,('Tariffs Jul2022'!J20*'Tariffs Jul2022'!U20/100)* 'Tariffs Jul2022'!AJ20,($C$5*'Tariffs Jul2022'!AL20/'Tariffs Jul2022'!AJ20*'Tariffs Jul2022'!U20/100)* 'Tariffs Jul2022'!AJ20)</f>
        <v>193.09090909090904</v>
      </c>
      <c r="K26" s="59">
        <f>IF($C$5*'Tariffs Jul2022'!AL20/'Tariffs Jul2022'!AJ20&lt;'Tariffs Jul2022'!J20,0,IF($C$5*'Tariffs Jul2022'!AL20/'Tariffs Jul2022'!AJ20&lt;='Tariffs Jul2022'!K20,($C$5*'Tariffs Jul2022'!AL20/'Tariffs Jul2022'!AJ20-'Tariffs Jul2022'!J20)*('Tariffs Jul2022'!V20/100)*'Tariffs Jul2022'!AJ20,('Tariffs Jul2022'!K20-'Tariffs Jul2022'!J20)*('Tariffs Jul2022'!V20/100)*'Tariffs Jul2022'!AJ20))</f>
        <v>166.90909090909091</v>
      </c>
      <c r="L26" s="59">
        <f>IF($C$5*'Tariffs Jul2022'!AL20/'Tariffs Jul2022'!AJ20&lt;'Tariffs Jul2022'!K20,0,IF($C$5*'Tariffs Jul2022'!AL20/'Tariffs Jul2022'!AJ20&lt;='Tariffs Jul2022'!L20,($C$5*'Tariffs Jul2022'!AL20/'Tariffs Jul2022'!AJ20-'Tariffs Jul2022'!K20)*('Tariffs Jul2022'!W20/100)*'Tariffs Jul2022'!AJ20,('Tariffs Jul2022'!L20-'Tariffs Jul2022'!K20)*('Tariffs Jul2022'!W20/100)*'Tariffs Jul2022'!AJ20))</f>
        <v>154.63636363636363</v>
      </c>
      <c r="M26" s="59">
        <f>IF($C$5*'Tariffs Jul2022'!AL20/'Tariffs Jul2022'!AJ20&lt;'Tariffs Jul2022'!L20,0,IF($C$5*'Tariffs Jul2022'!AL20/'Tariffs Jul2022'!AJ20&lt;='Tariffs Jul2022'!M20,($C$5*'Tariffs Jul2022'!AL20/'Tariffs Jul2022'!AJ20-'Tariffs Jul2022'!L20)*('Tariffs Jul2022'!X20/100)*'Tariffs Jul2022'!AJ20,('Tariffs Jul2022'!M20-'Tariffs Jul2022'!L20)*('Tariffs Jul2022'!X20/100)*'Tariffs Jul2022'!AJ20))</f>
        <v>74.045454545454533</v>
      </c>
      <c r="N26" s="59">
        <f>IF(($C$5*'Tariffs Jul2022'!AL20/'Tariffs Jul2022'!AJ20&gt;'Tariffs Jul2022'!M20),($C$5*'Tariffs Jul2022'!AL20/'Tariffs Jul2022'!AJ20-'Tariffs Jul2022'!M20)*'Tariffs Jul2022'!Y20/100*'Tariffs Jul2022'!AJ20,0)</f>
        <v>0</v>
      </c>
      <c r="O26" s="59">
        <f t="shared" si="1"/>
        <v>1189.2272727272725</v>
      </c>
      <c r="P26" s="503">
        <f t="shared" si="2"/>
        <v>1308.1499999999999</v>
      </c>
      <c r="Q26" s="59">
        <f t="shared" si="3"/>
        <v>1440.7122727272726</v>
      </c>
      <c r="R26" s="272">
        <f t="shared" si="4"/>
        <v>1584.7835</v>
      </c>
      <c r="S26" s="40">
        <f>'Tariffs Jul2022'!AN20</f>
        <v>0</v>
      </c>
      <c r="T26" s="40">
        <f>'Tariffs Jul2022'!AO20</f>
        <v>0</v>
      </c>
      <c r="U26" s="40">
        <f>'Tariffs Jul2022'!AP20</f>
        <v>0</v>
      </c>
      <c r="V26" s="40">
        <f>'Tariffs Jul2022'!AQ20</f>
        <v>0</v>
      </c>
      <c r="W26" s="537" t="str">
        <f t="shared" si="16"/>
        <v>No discount</v>
      </c>
      <c r="X26" s="538" t="str">
        <f t="shared" si="17"/>
        <v>Exclusive</v>
      </c>
      <c r="Y26" s="534">
        <f>IF(AND(W26="Guaranteed off bill",X26="Inclusive"),((Q26*1.1)-((Q26*1.1)*S26/100))/1.1,IF(AND(W26="Guaranteed off usage",X26="Inclusive"),((Q26*1.1)-((P26*1.1)*T26/100))/1.1,IF(AND(W26="Guaranteed off bill",X26="Exclusive"),Q26-(Q26*S26/100),IF(AND(W26="Guaranteed off usage",X26="Exclusive"),Q26-(P26*T26/100),IF(X26="Inclusive",((Q26*1.1))/1.1,Q26)))))</f>
        <v>1440.7122727272726</v>
      </c>
      <c r="Z26" s="535">
        <f>IF(AND(W26="Pay-on-time off bill",X26="Inclusive"),((Y26*1.1)-((Y26*1.1)*U26/100))/1.1,IF(AND(W26="Pay-on-time off usage",X26="Inclusive"),((Y26*1.1)-((P26*1.1)*V26/100))/1.1,IF(AND(W26="Pay-on-time off bill",X26="Exclusive"),Y26-(Y26*U26/100),IF(AND(W26="Pay-on-time off usage",X26="Exclusive"),Y26-(P26*V26/100),IF(X26="Inclusive",((Y26*1.1))/1.1,Y26)))))</f>
        <v>1440.7122727272726</v>
      </c>
      <c r="AA26" s="542">
        <f t="shared" si="15"/>
        <v>1584.7835</v>
      </c>
      <c r="AB26" s="542">
        <f t="shared" si="15"/>
        <v>1584.7835</v>
      </c>
      <c r="AC26" s="274">
        <f>'Tariffs Jul2022'!AZ20</f>
        <v>0</v>
      </c>
      <c r="AD26" s="274" t="str">
        <f>'Tariffs Jul2022'!BA20</f>
        <v>n</v>
      </c>
      <c r="AE26" s="275" t="str">
        <f>'Tariffs Jul2022'!BJ20</f>
        <v>N</v>
      </c>
      <c r="AF26" s="593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593"/>
      <c r="AR26" s="593"/>
      <c r="AS26" s="593"/>
      <c r="AT26" s="593"/>
      <c r="AU26" s="593"/>
      <c r="AV26" s="593"/>
      <c r="AW26" s="593"/>
    </row>
    <row r="27" spans="1:49" ht="14" x14ac:dyDescent="0.15">
      <c r="A27" s="270" t="str">
        <f>'Tariffs Jul2022'!F21</f>
        <v>Origin Energy</v>
      </c>
      <c r="B27" s="40" t="str">
        <f>'Tariffs Jul2022'!D21</f>
        <v>Multinet Metro 2</v>
      </c>
      <c r="C27" s="40" t="str">
        <f>'Tariffs Jul2022'!G21</f>
        <v>Go Variable</v>
      </c>
      <c r="D27" s="59">
        <f>365*'Tariffs Jul2022'!H21/100</f>
        <v>260.8422727272727</v>
      </c>
      <c r="E27" s="59">
        <f>IF($C$5*'Tariffs Jul2022'!AK21/'Tariffs Jul2022'!AI21&gt;='Tariffs Jul2022'!J21,( 'Tariffs Jul2022'!J21*'Tariffs Jul2022'!O21/100)* 'Tariffs Jul2022'!AI21,($C$5*'Tariffs Jul2022'!AK21/'Tariffs Jul2022'!AI21*'Tariffs Jul2022'!O21/100)* 'Tariffs Jul2022'!AI21)</f>
        <v>459.81818181818176</v>
      </c>
      <c r="F27" s="59">
        <f>IF($C$5*'Tariffs Jul2022'!AK21/'Tariffs Jul2022'!AI21&lt;'Tariffs Jul2022'!J21,0,IF($C$5*'Tariffs Jul2022'!AK21/'Tariffs Jul2022'!AI21&lt;='Tariffs Jul2022'!K21,($C$5*'Tariffs Jul2022'!AK21/'Tariffs Jul2022'!AI21-'Tariffs Jul2022'!J21)*('Tariffs Jul2022'!P21/100)*'Tariffs Jul2022'!AI21,('Tariffs Jul2022'!K21-'Tariffs Jul2022'!J21)*('Tariffs Jul2022'!P21/100)*'Tariffs Jul2022'!AI21))</f>
        <v>0</v>
      </c>
      <c r="G27" s="59">
        <f>IF($C$5*'Tariffs Jul2022'!AK21/'Tariffs Jul2022'!AI21&lt;'Tariffs Jul2022'!K21,0,IF($C$5*'Tariffs Jul2022'!AK21/'Tariffs Jul2022'!AI21&lt;='Tariffs Jul2022'!L21,($C$5*'Tariffs Jul2022'!AK21/'Tariffs Jul2022'!AI21-'Tariffs Jul2022'!K21)*('Tariffs Jul2022'!Q21/100)*'Tariffs Jul2022'!AI21,('Tariffs Jul2022'!L21-'Tariffs Jul2022'!K21)*('Tariffs Jul2022'!Q21/100)*'Tariffs Jul2022'!AI21))</f>
        <v>0</v>
      </c>
      <c r="H27" s="59">
        <f>IF($C$5*'Tariffs Jul2022'!AK21/'Tariffs Jul2022'!AI21&lt;'Tariffs Jul2022'!L21,0,IF($C$5*'Tariffs Jul2022'!AK21/'Tariffs Jul2022'!AI21&lt;='Tariffs Jul2022'!M21,($C$5*'Tariffs Jul2022'!AK21/'Tariffs Jul2022'!AI21-'Tariffs Jul2022'!L21)*('Tariffs Jul2022'!R21/100)*'Tariffs Jul2022'!AI21,('Tariffs Jul2022'!M21-'Tariffs Jul2022'!L21)*('Tariffs Jul2022'!R21/100)*'Tariffs Jul2022'!AI21))</f>
        <v>0</v>
      </c>
      <c r="I27" s="59">
        <f>IF(($C$5*'Tariffs Jul2022'!AK21/'Tariffs Jul2022'!AI21&gt;'Tariffs Jul2022'!M21),($C$5*'Tariffs Jul2022'!AK21/'Tariffs Jul2022'!AI21-'Tariffs Jul2022'!M21)*'Tariffs Jul2022'!S21/100*'Tariffs Jul2022'!AI21,0)</f>
        <v>229.5</v>
      </c>
      <c r="J27" s="59">
        <f>IF($C$5*'Tariffs Jul2022'!AL21/'Tariffs Jul2022'!AJ21&gt;='Tariffs Jul2022'!J21,('Tariffs Jul2022'!J21*'Tariffs Jul2022'!U21/100)* 'Tariffs Jul2022'!AJ21,($C$5*'Tariffs Jul2022'!AL21/'Tariffs Jul2022'!AJ21*'Tariffs Jul2022'!U21/100)* 'Tariffs Jul2022'!AJ21)</f>
        <v>459.81818181818176</v>
      </c>
      <c r="K27" s="59">
        <f>IF($C$5*'Tariffs Jul2022'!AL21/'Tariffs Jul2022'!AJ21&lt;'Tariffs Jul2022'!J21,0,IF($C$5*'Tariffs Jul2022'!AL21/'Tariffs Jul2022'!AJ21&lt;='Tariffs Jul2022'!K21,($C$5*'Tariffs Jul2022'!AL21/'Tariffs Jul2022'!AJ21-'Tariffs Jul2022'!J21)*('Tariffs Jul2022'!V21/100)*'Tariffs Jul2022'!AJ21,('Tariffs Jul2022'!K21-'Tariffs Jul2022'!J21)*('Tariffs Jul2022'!V21/100)*'Tariffs Jul2022'!AJ21))</f>
        <v>0</v>
      </c>
      <c r="L27" s="59">
        <f>IF($C$5*'Tariffs Jul2022'!AL21/'Tariffs Jul2022'!AJ21&lt;'Tariffs Jul2022'!K21,0,IF($C$5*'Tariffs Jul2022'!AL21/'Tariffs Jul2022'!AJ21&lt;='Tariffs Jul2022'!L21,($C$5*'Tariffs Jul2022'!AL21/'Tariffs Jul2022'!AJ21-'Tariffs Jul2022'!K21)*('Tariffs Jul2022'!W21/100)*'Tariffs Jul2022'!AJ21,('Tariffs Jul2022'!L21-'Tariffs Jul2022'!K21)*('Tariffs Jul2022'!W21/100)*'Tariffs Jul2022'!AJ21))</f>
        <v>0</v>
      </c>
      <c r="M27" s="59">
        <f>IF($C$5*'Tariffs Jul2022'!AL21/'Tariffs Jul2022'!AJ21&lt;'Tariffs Jul2022'!L21,0,IF($C$5*'Tariffs Jul2022'!AL21/'Tariffs Jul2022'!AJ21&lt;='Tariffs Jul2022'!M21,($C$5*'Tariffs Jul2022'!AL21/'Tariffs Jul2022'!AJ21-'Tariffs Jul2022'!L21)*('Tariffs Jul2022'!X21/100)*'Tariffs Jul2022'!AJ21,('Tariffs Jul2022'!M21-'Tariffs Jul2022'!L21)*('Tariffs Jul2022'!X21/100)*'Tariffs Jul2022'!AJ21))</f>
        <v>0</v>
      </c>
      <c r="N27" s="59">
        <f>IF(($C$5*'Tariffs Jul2022'!AL21/'Tariffs Jul2022'!AJ21&gt;'Tariffs Jul2022'!M21),($C$5*'Tariffs Jul2022'!AL21/'Tariffs Jul2022'!AJ21-'Tariffs Jul2022'!M21)*'Tariffs Jul2022'!Y21/100*'Tariffs Jul2022'!AJ21,0)</f>
        <v>229.5</v>
      </c>
      <c r="O27" s="59">
        <f t="shared" si="1"/>
        <v>1378.6363636363635</v>
      </c>
      <c r="P27" s="503">
        <f t="shared" si="2"/>
        <v>1516.5</v>
      </c>
      <c r="Q27" s="59">
        <f t="shared" si="3"/>
        <v>1639.4786363636363</v>
      </c>
      <c r="R27" s="272">
        <f t="shared" si="4"/>
        <v>1803.4265</v>
      </c>
      <c r="S27" s="40">
        <f>'Tariffs Jul2022'!AN21</f>
        <v>0</v>
      </c>
      <c r="T27" s="40">
        <f>'Tariffs Jul2022'!AO21</f>
        <v>0</v>
      </c>
      <c r="U27" s="40">
        <f>'Tariffs Jul2022'!AP21</f>
        <v>0</v>
      </c>
      <c r="V27" s="40">
        <f>'Tariffs Jul2022'!AQ21</f>
        <v>0</v>
      </c>
      <c r="W27" s="537" t="str">
        <f t="shared" si="16"/>
        <v>No discount</v>
      </c>
      <c r="X27" s="538" t="str">
        <f t="shared" si="17"/>
        <v>Inclusive</v>
      </c>
      <c r="Y27" s="534">
        <f>IF(AND(W27="Guaranteed off bill",X27="Inclusive"),((Q27*1.1)-((Q27*1.1)*S27/100))/1.1,IF(AND(W27="Guaranteed off usage",X27="Inclusive"),((Q27*1.1)-((P27*1.1)*T27/100))/1.1,IF(AND(W27="Guaranteed off bill",X27="Exclusive"),Q27-(Q27*S27/100),IF(AND(W27="Guaranteed off usage",X27="Exclusive"),Q27-(P27*T27/100),IF(X27="Inclusive",((Q27*1.1))/1.1,Q27)))))</f>
        <v>1639.4786363636363</v>
      </c>
      <c r="Z27" s="535">
        <f>IF(AND(W27="Pay-on-time off bill",X27="Inclusive"),((Y27*1.1)-((Y27*1.1)*U27/100))/1.1,IF(AND(W27="Pay-on-time off usage",X27="Inclusive"),((Y27*1.1)-((P27*1.1)*V27/100))/1.1,IF(AND(W27="Pay-on-time off bill",X27="Exclusive"),Y27-(Y27*U27/100),IF(AND(W27="Pay-on-time off usage",X27="Exclusive"),Y27-(P27*V27/100),IF(X27="Inclusive",((Y27*1.1))/1.1,Y27)))))</f>
        <v>1639.4786363636363</v>
      </c>
      <c r="AA27" s="542">
        <f t="shared" si="15"/>
        <v>1803.4265</v>
      </c>
      <c r="AB27" s="542">
        <f t="shared" si="15"/>
        <v>1803.4265</v>
      </c>
      <c r="AC27" s="274">
        <f>'Tariffs Jul2022'!AZ21</f>
        <v>0</v>
      </c>
      <c r="AD27" s="274" t="str">
        <f>'Tariffs Jul2022'!BA21</f>
        <v>n</v>
      </c>
      <c r="AE27" s="275" t="str">
        <f>'Tariffs Jul2022'!BJ21</f>
        <v>N</v>
      </c>
      <c r="AF27" s="593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593"/>
      <c r="AS27" s="593"/>
      <c r="AT27" s="593"/>
      <c r="AU27" s="593"/>
      <c r="AV27" s="593"/>
      <c r="AW27" s="593"/>
    </row>
    <row r="28" spans="1:49" ht="14" x14ac:dyDescent="0.15">
      <c r="A28" s="270" t="str">
        <f>'Tariffs Jul2022'!F22</f>
        <v>Red Energy</v>
      </c>
      <c r="B28" s="40" t="str">
        <f>'Tariffs Jul2022'!D22</f>
        <v>Multinet Metro 2</v>
      </c>
      <c r="C28" s="40" t="str">
        <f>'Tariffs Jul2022'!G22</f>
        <v>Living Energy Saver</v>
      </c>
      <c r="D28" s="59">
        <f>365*'Tariffs Jul2022'!H22/100</f>
        <v>262.8</v>
      </c>
      <c r="E28" s="59">
        <f>IF($C$5*'Tariffs Jul2022'!AK22/'Tariffs Jul2022'!AI22&gt;='Tariffs Jul2022'!J22,( 'Tariffs Jul2022'!J22*'Tariffs Jul2022'!O22/100)* 'Tariffs Jul2022'!AI22,($C$5*'Tariffs Jul2022'!AK22/'Tariffs Jul2022'!AI22*'Tariffs Jul2022'!O22/100)* 'Tariffs Jul2022'!AI22)</f>
        <v>205.36363636363632</v>
      </c>
      <c r="F28" s="59">
        <f>IF($C$5*'Tariffs Jul2022'!AK22/'Tariffs Jul2022'!AI22&lt;'Tariffs Jul2022'!J22,0,IF($C$5*'Tariffs Jul2022'!AK22/'Tariffs Jul2022'!AI22&lt;='Tariffs Jul2022'!K22,($C$5*'Tariffs Jul2022'!AK22/'Tariffs Jul2022'!AI22-'Tariffs Jul2022'!J22)*('Tariffs Jul2022'!P22/100)*'Tariffs Jul2022'!AI22,('Tariffs Jul2022'!K22-'Tariffs Jul2022'!J22)*('Tariffs Jul2022'!P22/100)*'Tariffs Jul2022'!AI22))</f>
        <v>189.81818181818181</v>
      </c>
      <c r="G28" s="59">
        <f>IF($C$5*'Tariffs Jul2022'!AK22/'Tariffs Jul2022'!AI22&lt;'Tariffs Jul2022'!K22,0,IF($C$5*'Tariffs Jul2022'!AK22/'Tariffs Jul2022'!AI22&lt;='Tariffs Jul2022'!L22,($C$5*'Tariffs Jul2022'!AK22/'Tariffs Jul2022'!AI22-'Tariffs Jul2022'!K22)*('Tariffs Jul2022'!Q22/100)*'Tariffs Jul2022'!AI22,('Tariffs Jul2022'!L22-'Tariffs Jul2022'!K22)*('Tariffs Jul2022'!Q22/100)*'Tariffs Jul2022'!AI22))</f>
        <v>174.27272727272725</v>
      </c>
      <c r="H28" s="59">
        <f>IF($C$5*'Tariffs Jul2022'!AK22/'Tariffs Jul2022'!AI22&lt;'Tariffs Jul2022'!L22,0,IF($C$5*'Tariffs Jul2022'!AK22/'Tariffs Jul2022'!AI22&lt;='Tariffs Jul2022'!M22,($C$5*'Tariffs Jul2022'!AK22/'Tariffs Jul2022'!AI22-'Tariffs Jul2022'!L22)*('Tariffs Jul2022'!R22/100)*'Tariffs Jul2022'!AI22,('Tariffs Jul2022'!M22-'Tariffs Jul2022'!L22)*('Tariffs Jul2022'!R22/100)*'Tariffs Jul2022'!AI22))</f>
        <v>72</v>
      </c>
      <c r="I28" s="59">
        <f>IF(($C$5*'Tariffs Jul2022'!AK22/'Tariffs Jul2022'!AI22&gt;'Tariffs Jul2022'!M22),($C$5*'Tariffs Jul2022'!AK22/'Tariffs Jul2022'!AI22-'Tariffs Jul2022'!M22)*'Tariffs Jul2022'!S22/100*'Tariffs Jul2022'!AI22,0)</f>
        <v>0</v>
      </c>
      <c r="J28" s="59">
        <f>IF($C$5*'Tariffs Jul2022'!AL22/'Tariffs Jul2022'!AJ22&gt;='Tariffs Jul2022'!J22,('Tariffs Jul2022'!J22*'Tariffs Jul2022'!U22/100)* 'Tariffs Jul2022'!AJ22,($C$5*'Tariffs Jul2022'!AL22/'Tariffs Jul2022'!AJ22*'Tariffs Jul2022'!U22/100)* 'Tariffs Jul2022'!AJ22)</f>
        <v>205.36363636363632</v>
      </c>
      <c r="K28" s="59">
        <f>IF($C$5*'Tariffs Jul2022'!AL22/'Tariffs Jul2022'!AJ22&lt;'Tariffs Jul2022'!J22,0,IF($C$5*'Tariffs Jul2022'!AL22/'Tariffs Jul2022'!AJ22&lt;='Tariffs Jul2022'!K22,($C$5*'Tariffs Jul2022'!AL22/'Tariffs Jul2022'!AJ22-'Tariffs Jul2022'!J22)*('Tariffs Jul2022'!V22/100)*'Tariffs Jul2022'!AJ22,('Tariffs Jul2022'!K22-'Tariffs Jul2022'!J22)*('Tariffs Jul2022'!V22/100)*'Tariffs Jul2022'!AJ22))</f>
        <v>189.81818181818181</v>
      </c>
      <c r="L28" s="59">
        <f>IF($C$5*'Tariffs Jul2022'!AL22/'Tariffs Jul2022'!AJ22&lt;'Tariffs Jul2022'!K22,0,IF($C$5*'Tariffs Jul2022'!AL22/'Tariffs Jul2022'!AJ22&lt;='Tariffs Jul2022'!L22,($C$5*'Tariffs Jul2022'!AL22/'Tariffs Jul2022'!AJ22-'Tariffs Jul2022'!K22)*('Tariffs Jul2022'!W22/100)*'Tariffs Jul2022'!AJ22,('Tariffs Jul2022'!L22-'Tariffs Jul2022'!K22)*('Tariffs Jul2022'!W22/100)*'Tariffs Jul2022'!AJ22))</f>
        <v>161.99999999999997</v>
      </c>
      <c r="M28" s="59">
        <f>IF($C$5*'Tariffs Jul2022'!AL22/'Tariffs Jul2022'!AJ22&lt;'Tariffs Jul2022'!L22,0,IF($C$5*'Tariffs Jul2022'!AL22/'Tariffs Jul2022'!AJ22&lt;='Tariffs Jul2022'!M22,($C$5*'Tariffs Jul2022'!AL22/'Tariffs Jul2022'!AJ22-'Tariffs Jul2022'!L22)*('Tariffs Jul2022'!X22/100)*'Tariffs Jul2022'!AJ22,('Tariffs Jul2022'!M22-'Tariffs Jul2022'!L22)*('Tariffs Jul2022'!X22/100)*'Tariffs Jul2022'!AJ22))</f>
        <v>72</v>
      </c>
      <c r="N28" s="59">
        <f>IF(($C$5*'Tariffs Jul2022'!AL22/'Tariffs Jul2022'!AJ22&gt;'Tariffs Jul2022'!M22),($C$5*'Tariffs Jul2022'!AL22/'Tariffs Jul2022'!AJ22-'Tariffs Jul2022'!M22)*'Tariffs Jul2022'!Y22/100*'Tariffs Jul2022'!AJ22,0)</f>
        <v>0</v>
      </c>
      <c r="O28" s="59">
        <f t="shared" si="1"/>
        <v>1270.6363636363635</v>
      </c>
      <c r="P28" s="503">
        <f t="shared" si="2"/>
        <v>1397.7</v>
      </c>
      <c r="Q28" s="59">
        <f t="shared" si="3"/>
        <v>1533.4363636363635</v>
      </c>
      <c r="R28" s="272">
        <f t="shared" si="4"/>
        <v>1686.78</v>
      </c>
      <c r="S28" s="40">
        <f>'Tariffs Jul2022'!AN22</f>
        <v>0</v>
      </c>
      <c r="T28" s="40">
        <f>'Tariffs Jul2022'!AO22</f>
        <v>0</v>
      </c>
      <c r="U28" s="40">
        <f>'Tariffs Jul2022'!AP22</f>
        <v>0</v>
      </c>
      <c r="V28" s="40">
        <f>'Tariffs Jul2022'!AQ22</f>
        <v>0</v>
      </c>
      <c r="W28" s="537" t="str">
        <f t="shared" si="16"/>
        <v>No discount</v>
      </c>
      <c r="X28" s="538" t="str">
        <f t="shared" si="17"/>
        <v>Inclusive</v>
      </c>
      <c r="Y28" s="534">
        <f t="shared" ref="Y28:Y30" si="20">IF(AND(W28="Guaranteed off bill",X28="Inclusive"),((Q28*1.1)-((Q28*1.1)*S28/100))/1.1,IF(AND(W28="Guaranteed off usage",X28="Inclusive"),((Q28*1.1)-((P28*1.1)*T28/100))/1.1,IF(AND(W28="Guaranteed off bill",X28="Exclusive"),Q28-(Q28*S28/100),IF(AND(W28="Guaranteed off usage",X28="Exclusive"),Q28-(P28*T28/100),IF(X28="Inclusive",((Q28*1.1))/1.1,Q28)))))</f>
        <v>1533.4363636363635</v>
      </c>
      <c r="Z28" s="535">
        <f t="shared" ref="Z28:Z30" si="21">IF(AND(W28="Pay-on-time off bill",X28="Inclusive"),((Y28*1.1)-((Y28*1.1)*U28/100))/1.1,IF(AND(W28="Pay-on-time off usage",X28="Inclusive"),((Y28*1.1)-((P28*1.1)*V28/100))/1.1,IF(AND(W28="Pay-on-time off bill",X28="Exclusive"),Y28-(Y28*U28/100),IF(AND(W28="Pay-on-time off usage",X28="Exclusive"),Y28-(P28*V28/100),IF(X28="Inclusive",((Y28*1.1))/1.1,Y28)))))</f>
        <v>1533.4363636363635</v>
      </c>
      <c r="AA28" s="542">
        <f t="shared" si="15"/>
        <v>1686.78</v>
      </c>
      <c r="AB28" s="542">
        <f t="shared" si="15"/>
        <v>1686.78</v>
      </c>
      <c r="AC28" s="274">
        <f>'Tariffs Jul2022'!AZ22</f>
        <v>0</v>
      </c>
      <c r="AD28" s="274" t="str">
        <f>'Tariffs Jul2022'!BA22</f>
        <v>n</v>
      </c>
      <c r="AE28" s="275" t="str">
        <f>'Tariffs Jul2022'!BJ22</f>
        <v>N</v>
      </c>
      <c r="AF28" s="593"/>
      <c r="AG28" s="593"/>
      <c r="AH28" s="593"/>
      <c r="AI28" s="593"/>
      <c r="AJ28" s="593"/>
      <c r="AK28" s="593"/>
      <c r="AL28" s="593"/>
      <c r="AM28" s="593"/>
      <c r="AN28" s="593"/>
      <c r="AO28" s="593"/>
      <c r="AP28" s="593"/>
      <c r="AQ28" s="593"/>
      <c r="AR28" s="593"/>
      <c r="AS28" s="593"/>
      <c r="AT28" s="593"/>
      <c r="AU28" s="593"/>
      <c r="AV28" s="593"/>
      <c r="AW28" s="593"/>
    </row>
    <row r="29" spans="1:49" ht="14" x14ac:dyDescent="0.15">
      <c r="A29" s="270" t="str">
        <f>'Tariffs Jul2022'!F23</f>
        <v>Simply Energy</v>
      </c>
      <c r="B29" s="40" t="str">
        <f>'Tariffs Jul2022'!D23</f>
        <v>Multinet Metro 2</v>
      </c>
      <c r="C29" s="40" t="str">
        <f>'Tariffs Jul2022'!G23</f>
        <v>Basics</v>
      </c>
      <c r="D29" s="59">
        <f>365*'Tariffs Jul2022'!H23/100</f>
        <v>277.76499999999999</v>
      </c>
      <c r="E29" s="59">
        <f>IF($C$5*'Tariffs Jul2022'!AK23/'Tariffs Jul2022'!AI23&gt;='Tariffs Jul2022'!J23,( 'Tariffs Jul2022'!J23*'Tariffs Jul2022'!O23/100)* 'Tariffs Jul2022'!AI23,($C$5*'Tariffs Jul2022'!AK23/'Tariffs Jul2022'!AI23*'Tariffs Jul2022'!O23/100)* 'Tariffs Jul2022'!AI23)</f>
        <v>307.63636363636363</v>
      </c>
      <c r="F29" s="59">
        <f>IF($C$5*'Tariffs Jul2022'!AK23/'Tariffs Jul2022'!AI23&lt;'Tariffs Jul2022'!J23,0,IF($C$5*'Tariffs Jul2022'!AK23/'Tariffs Jul2022'!AI23&lt;='Tariffs Jul2022'!K23,($C$5*'Tariffs Jul2022'!AK23/'Tariffs Jul2022'!AI23-'Tariffs Jul2022'!J23)*('Tariffs Jul2022'!P23/100)*'Tariffs Jul2022'!AI23,('Tariffs Jul2022'!K23-'Tariffs Jul2022'!J23)*('Tariffs Jul2022'!P23/100)*'Tariffs Jul2022'!AI23))</f>
        <v>274.90909090909088</v>
      </c>
      <c r="G29" s="59">
        <f>IF($C$5*'Tariffs Jul2022'!AK23/'Tariffs Jul2022'!AI23&lt;'Tariffs Jul2022'!K23,0,IF($C$5*'Tariffs Jul2022'!AK23/'Tariffs Jul2022'!AI23&lt;='Tariffs Jul2022'!L23,($C$5*'Tariffs Jul2022'!AK23/'Tariffs Jul2022'!AI23-'Tariffs Jul2022'!K23)*('Tariffs Jul2022'!Q23/100)*'Tariffs Jul2022'!AI23,('Tariffs Jul2022'!L23-'Tariffs Jul2022'!K23)*('Tariffs Jul2022'!Q23/100)*'Tariffs Jul2022'!AI23))</f>
        <v>235.6363636363636</v>
      </c>
      <c r="H29" s="59">
        <f>IF($C$5*'Tariffs Jul2022'!AK23/'Tariffs Jul2022'!AI23&lt;'Tariffs Jul2022'!L23,0,IF($C$5*'Tariffs Jul2022'!AK23/'Tariffs Jul2022'!AI23&lt;='Tariffs Jul2022'!M23,($C$5*'Tariffs Jul2022'!AK23/'Tariffs Jul2022'!AI23-'Tariffs Jul2022'!L23)*('Tariffs Jul2022'!R23/100)*'Tariffs Jul2022'!AI23,('Tariffs Jul2022'!M23-'Tariffs Jul2022'!L23)*('Tariffs Jul2022'!R23/100)*'Tariffs Jul2022'!AI23))</f>
        <v>107.04545454545453</v>
      </c>
      <c r="I29" s="59">
        <f>IF(($C$5*'Tariffs Jul2022'!AK23/'Tariffs Jul2022'!AI23&gt;'Tariffs Jul2022'!M23),($C$5*'Tariffs Jul2022'!AK23/'Tariffs Jul2022'!AI23-'Tariffs Jul2022'!M23)*'Tariffs Jul2022'!S23/100*'Tariffs Jul2022'!AI23,0)</f>
        <v>0</v>
      </c>
      <c r="J29" s="59">
        <f>IF($C$5*'Tariffs Jul2022'!AL23/'Tariffs Jul2022'!AJ23&gt;='Tariffs Jul2022'!J23,('Tariffs Jul2022'!J23*'Tariffs Jul2022'!U23/100)* 'Tariffs Jul2022'!AJ23,($C$5*'Tariffs Jul2022'!AL23/'Tariffs Jul2022'!AJ23*'Tariffs Jul2022'!U23/100)* 'Tariffs Jul2022'!AJ23)</f>
        <v>292.90909090909093</v>
      </c>
      <c r="K29" s="59">
        <f>IF($C$5*'Tariffs Jul2022'!AL23/'Tariffs Jul2022'!AJ23&lt;'Tariffs Jul2022'!J23,0,IF($C$5*'Tariffs Jul2022'!AL23/'Tariffs Jul2022'!AJ23&lt;='Tariffs Jul2022'!K23,($C$5*'Tariffs Jul2022'!AL23/'Tariffs Jul2022'!AJ23-'Tariffs Jul2022'!J23)*('Tariffs Jul2022'!V23/100)*'Tariffs Jul2022'!AJ23,('Tariffs Jul2022'!K23-'Tariffs Jul2022'!J23)*('Tariffs Jul2022'!V23/100)*'Tariffs Jul2022'!AJ23))</f>
        <v>263.45454545454544</v>
      </c>
      <c r="L29" s="59">
        <f>IF($C$5*'Tariffs Jul2022'!AL23/'Tariffs Jul2022'!AJ23&lt;'Tariffs Jul2022'!K23,0,IF($C$5*'Tariffs Jul2022'!AL23/'Tariffs Jul2022'!AJ23&lt;='Tariffs Jul2022'!L23,($C$5*'Tariffs Jul2022'!AL23/'Tariffs Jul2022'!AJ23-'Tariffs Jul2022'!K23)*('Tariffs Jul2022'!W23/100)*'Tariffs Jul2022'!AJ23,('Tariffs Jul2022'!L23-'Tariffs Jul2022'!K23)*('Tariffs Jul2022'!W23/100)*'Tariffs Jul2022'!AJ23))</f>
        <v>230.72727272727272</v>
      </c>
      <c r="M29" s="59">
        <f>IF($C$5*'Tariffs Jul2022'!AL23/'Tariffs Jul2022'!AJ23&lt;'Tariffs Jul2022'!L23,0,IF($C$5*'Tariffs Jul2022'!AL23/'Tariffs Jul2022'!AJ23&lt;='Tariffs Jul2022'!M23,($C$5*'Tariffs Jul2022'!AL23/'Tariffs Jul2022'!AJ23-'Tariffs Jul2022'!L23)*('Tariffs Jul2022'!X23/100)*'Tariffs Jul2022'!AJ23,('Tariffs Jul2022'!M23-'Tariffs Jul2022'!L23)*('Tariffs Jul2022'!X23/100)*'Tariffs Jul2022'!AJ23))</f>
        <v>105.13636363636363</v>
      </c>
      <c r="N29" s="59">
        <f>IF(($C$5*'Tariffs Jul2022'!AL23/'Tariffs Jul2022'!AJ23&gt;'Tariffs Jul2022'!M23),($C$5*'Tariffs Jul2022'!AL23/'Tariffs Jul2022'!AJ23-'Tariffs Jul2022'!M23)*'Tariffs Jul2022'!Y23/100*'Tariffs Jul2022'!AJ23,0)</f>
        <v>0</v>
      </c>
      <c r="O29" s="59">
        <f t="shared" si="1"/>
        <v>1817.4545454545455</v>
      </c>
      <c r="P29" s="503">
        <f t="shared" si="2"/>
        <v>1999.2000000000003</v>
      </c>
      <c r="Q29" s="59">
        <f t="shared" si="3"/>
        <v>2095.2195454545454</v>
      </c>
      <c r="R29" s="272">
        <f t="shared" si="4"/>
        <v>2304.7415000000001</v>
      </c>
      <c r="S29" s="40">
        <f>'Tariffs Jul2022'!AN23</f>
        <v>0</v>
      </c>
      <c r="T29" s="40">
        <f>'Tariffs Jul2022'!AO23</f>
        <v>0</v>
      </c>
      <c r="U29" s="40">
        <f>'Tariffs Jul2022'!AP23</f>
        <v>0</v>
      </c>
      <c r="V29" s="40">
        <f>'Tariffs Jul2022'!AQ23</f>
        <v>0</v>
      </c>
      <c r="W29" s="537" t="str">
        <f t="shared" si="16"/>
        <v>No discount</v>
      </c>
      <c r="X29" s="538" t="str">
        <f t="shared" si="17"/>
        <v>Exclusive</v>
      </c>
      <c r="Y29" s="534">
        <f t="shared" si="20"/>
        <v>2095.2195454545454</v>
      </c>
      <c r="Z29" s="535">
        <f t="shared" si="21"/>
        <v>2095.2195454545454</v>
      </c>
      <c r="AA29" s="542">
        <f t="shared" si="15"/>
        <v>2304.7415000000001</v>
      </c>
      <c r="AB29" s="542">
        <f t="shared" si="15"/>
        <v>2304.7415000000001</v>
      </c>
      <c r="AC29" s="274">
        <f>'Tariffs Jul2022'!AZ23</f>
        <v>0</v>
      </c>
      <c r="AD29" s="274" t="str">
        <f>'Tariffs Jul2022'!BA23</f>
        <v>n</v>
      </c>
      <c r="AE29" s="275" t="str">
        <f>'Tariffs Jul2022'!BJ23</f>
        <v>N</v>
      </c>
      <c r="AF29" s="593"/>
      <c r="AG29" s="593"/>
      <c r="AH29" s="593"/>
      <c r="AI29" s="593"/>
      <c r="AJ29" s="593"/>
      <c r="AK29" s="593"/>
      <c r="AL29" s="593"/>
      <c r="AM29" s="593"/>
      <c r="AN29" s="593"/>
      <c r="AO29" s="593"/>
      <c r="AP29" s="593"/>
      <c r="AQ29" s="593"/>
      <c r="AR29" s="593"/>
      <c r="AS29" s="593"/>
      <c r="AT29" s="593"/>
      <c r="AU29" s="593"/>
      <c r="AV29" s="593"/>
      <c r="AW29" s="593"/>
    </row>
    <row r="30" spans="1:49" ht="14" x14ac:dyDescent="0.15">
      <c r="A30" s="270" t="str">
        <f>'Tariffs Jul2022'!F24</f>
        <v>GloBird Energy</v>
      </c>
      <c r="B30" s="40" t="str">
        <f>'Tariffs Jul2022'!D24</f>
        <v>Multinet Metro 2</v>
      </c>
      <c r="C30" s="40" t="str">
        <f>'Tariffs Jul2022'!G24</f>
        <v>GloSave</v>
      </c>
      <c r="D30" s="59">
        <f>365*'Tariffs Jul2022'!H24/100</f>
        <v>218.99999999999997</v>
      </c>
      <c r="E30" s="59">
        <f>IF($C$5*'Tariffs Jul2022'!AK24/'Tariffs Jul2022'!AI24&gt;='Tariffs Jul2022'!J24,( 'Tariffs Jul2022'!J24*'Tariffs Jul2022'!O24/100)* 'Tariffs Jul2022'!AI24,($C$5*'Tariffs Jul2022'!AK24/'Tariffs Jul2022'!AI24*'Tariffs Jul2022'!O24/100)* 'Tariffs Jul2022'!AI24)</f>
        <v>549.81818181818176</v>
      </c>
      <c r="F30" s="59">
        <f>IF($C$5*'Tariffs Jul2022'!AK24/'Tariffs Jul2022'!AI24&lt;'Tariffs Jul2022'!J24,0,IF($C$5*'Tariffs Jul2022'!AK24/'Tariffs Jul2022'!AI24&lt;='Tariffs Jul2022'!K24,($C$5*'Tariffs Jul2022'!AK24/'Tariffs Jul2022'!AI24-'Tariffs Jul2022'!J24)*('Tariffs Jul2022'!P24/100)*'Tariffs Jul2022'!AI24,('Tariffs Jul2022'!K24-'Tariffs Jul2022'!J24)*('Tariffs Jul2022'!P24/100)*'Tariffs Jul2022'!AI24))</f>
        <v>0</v>
      </c>
      <c r="G30" s="59">
        <f>IF($C$5*'Tariffs Jul2022'!AK24/'Tariffs Jul2022'!AI24&lt;'Tariffs Jul2022'!K24,0,IF($C$5*'Tariffs Jul2022'!AK24/'Tariffs Jul2022'!AI24&lt;='Tariffs Jul2022'!L24,($C$5*'Tariffs Jul2022'!AK24/'Tariffs Jul2022'!AI24-'Tariffs Jul2022'!K24)*('Tariffs Jul2022'!Q24/100)*'Tariffs Jul2022'!AI24,('Tariffs Jul2022'!L24-'Tariffs Jul2022'!K24)*('Tariffs Jul2022'!Q24/100)*'Tariffs Jul2022'!AI24))</f>
        <v>0</v>
      </c>
      <c r="H30" s="59">
        <f>IF($C$5*'Tariffs Jul2022'!AK24/'Tariffs Jul2022'!AI24&lt;'Tariffs Jul2022'!L24,0,IF($C$5*'Tariffs Jul2022'!AK24/'Tariffs Jul2022'!AI24&lt;='Tariffs Jul2022'!M24,($C$5*'Tariffs Jul2022'!AK24/'Tariffs Jul2022'!AI24-'Tariffs Jul2022'!L24)*('Tariffs Jul2022'!R24/100)*'Tariffs Jul2022'!AI24,('Tariffs Jul2022'!M24-'Tariffs Jul2022'!L24)*('Tariffs Jul2022'!R24/100)*'Tariffs Jul2022'!AI24))</f>
        <v>0</v>
      </c>
      <c r="I30" s="59">
        <f>IF(($C$5*'Tariffs Jul2022'!AK24/'Tariffs Jul2022'!AI24&gt;'Tariffs Jul2022'!M24),($C$5*'Tariffs Jul2022'!AK24/'Tariffs Jul2022'!AI24-'Tariffs Jul2022'!M24)*'Tariffs Jul2022'!S24/100*'Tariffs Jul2022'!AI24,0)</f>
        <v>364.5</v>
      </c>
      <c r="J30" s="59">
        <f>IF($C$5*'Tariffs Jul2022'!AL24/'Tariffs Jul2022'!AJ24&gt;='Tariffs Jul2022'!J24,('Tariffs Jul2022'!J24*'Tariffs Jul2022'!U24/100)* 'Tariffs Jul2022'!AJ24,($C$5*'Tariffs Jul2022'!AL24/'Tariffs Jul2022'!AJ24*'Tariffs Jul2022'!U24/100)* 'Tariffs Jul2022'!AJ24)</f>
        <v>549.81818181818176</v>
      </c>
      <c r="K30" s="59">
        <f>IF($C$5*'Tariffs Jul2022'!AL24/'Tariffs Jul2022'!AJ24&lt;'Tariffs Jul2022'!J24,0,IF($C$5*'Tariffs Jul2022'!AL24/'Tariffs Jul2022'!AJ24&lt;='Tariffs Jul2022'!K24,($C$5*'Tariffs Jul2022'!AL24/'Tariffs Jul2022'!AJ24-'Tariffs Jul2022'!J24)*('Tariffs Jul2022'!V24/100)*'Tariffs Jul2022'!AJ24,('Tariffs Jul2022'!K24-'Tariffs Jul2022'!J24)*('Tariffs Jul2022'!V24/100)*'Tariffs Jul2022'!AJ24))</f>
        <v>0</v>
      </c>
      <c r="L30" s="59">
        <f>IF($C$5*'Tariffs Jul2022'!AL24/'Tariffs Jul2022'!AJ24&lt;'Tariffs Jul2022'!K24,0,IF($C$5*'Tariffs Jul2022'!AL24/'Tariffs Jul2022'!AJ24&lt;='Tariffs Jul2022'!L24,($C$5*'Tariffs Jul2022'!AL24/'Tariffs Jul2022'!AJ24-'Tariffs Jul2022'!K24)*('Tariffs Jul2022'!W24/100)*'Tariffs Jul2022'!AJ24,('Tariffs Jul2022'!L24-'Tariffs Jul2022'!K24)*('Tariffs Jul2022'!W24/100)*'Tariffs Jul2022'!AJ24))</f>
        <v>0</v>
      </c>
      <c r="M30" s="59">
        <f>IF($C$5*'Tariffs Jul2022'!AL24/'Tariffs Jul2022'!AJ24&lt;'Tariffs Jul2022'!L24,0,IF($C$5*'Tariffs Jul2022'!AL24/'Tariffs Jul2022'!AJ24&lt;='Tariffs Jul2022'!M24,($C$5*'Tariffs Jul2022'!AL24/'Tariffs Jul2022'!AJ24-'Tariffs Jul2022'!L24)*('Tariffs Jul2022'!X24/100)*'Tariffs Jul2022'!AJ24,('Tariffs Jul2022'!M24-'Tariffs Jul2022'!L24)*('Tariffs Jul2022'!X24/100)*'Tariffs Jul2022'!AJ24))</f>
        <v>0</v>
      </c>
      <c r="N30" s="59">
        <f>IF(($C$5*'Tariffs Jul2022'!AL24/'Tariffs Jul2022'!AJ24&gt;'Tariffs Jul2022'!M24),($C$5*'Tariffs Jul2022'!AL24/'Tariffs Jul2022'!AJ24-'Tariffs Jul2022'!M24)*'Tariffs Jul2022'!Y24/100*'Tariffs Jul2022'!AJ24,0)</f>
        <v>364.5</v>
      </c>
      <c r="O30" s="59">
        <f>SUM(E30:N30)</f>
        <v>1828.6363636363635</v>
      </c>
      <c r="P30" s="503">
        <f t="shared" si="2"/>
        <v>2011.5</v>
      </c>
      <c r="Q30" s="59">
        <f>D30+O30</f>
        <v>2047.6363636363635</v>
      </c>
      <c r="R30" s="272">
        <f>Q30*1.1</f>
        <v>2252.4</v>
      </c>
      <c r="S30" s="40">
        <f>'Tariffs Jul2022'!AN24</f>
        <v>0</v>
      </c>
      <c r="T30" s="40">
        <f>'Tariffs Jul2022'!AO24</f>
        <v>0</v>
      </c>
      <c r="U30" s="40">
        <f>'Tariffs Jul2022'!AP24</f>
        <v>0</v>
      </c>
      <c r="V30" s="40">
        <f>'Tariffs Jul2022'!AQ24</f>
        <v>0</v>
      </c>
      <c r="W30" s="537" t="str">
        <f t="shared" si="16"/>
        <v>No discount</v>
      </c>
      <c r="X30" s="538" t="str">
        <f t="shared" si="17"/>
        <v>Exclusive</v>
      </c>
      <c r="Y30" s="534">
        <f t="shared" si="20"/>
        <v>2047.6363636363635</v>
      </c>
      <c r="Z30" s="535">
        <f t="shared" si="21"/>
        <v>2047.6363636363635</v>
      </c>
      <c r="AA30" s="542">
        <f t="shared" si="15"/>
        <v>2252.4</v>
      </c>
      <c r="AB30" s="542">
        <f t="shared" si="15"/>
        <v>2252.4</v>
      </c>
      <c r="AC30" s="274">
        <f>'Tariffs Jul2022'!AZ24</f>
        <v>0</v>
      </c>
      <c r="AD30" s="274" t="str">
        <f>'Tariffs Jul2022'!BA24</f>
        <v>n</v>
      </c>
      <c r="AE30" s="275" t="str">
        <f>'Tariffs Jul2022'!BJ24</f>
        <v>N</v>
      </c>
      <c r="AF30" s="593"/>
      <c r="AG30" s="593"/>
      <c r="AH30" s="593"/>
      <c r="AI30" s="593"/>
      <c r="AJ30" s="593"/>
      <c r="AK30" s="593"/>
      <c r="AL30" s="593"/>
      <c r="AM30" s="593"/>
      <c r="AN30" s="593"/>
      <c r="AO30" s="593"/>
      <c r="AP30" s="593"/>
      <c r="AQ30" s="593"/>
      <c r="AR30" s="593"/>
      <c r="AS30" s="593"/>
      <c r="AT30" s="593"/>
      <c r="AU30" s="593"/>
      <c r="AV30" s="593"/>
      <c r="AW30" s="593"/>
    </row>
    <row r="31" spans="1:49" ht="14" x14ac:dyDescent="0.15">
      <c r="A31" s="270" t="str">
        <f>'Tariffs Jul2022'!F25</f>
        <v>Powershop</v>
      </c>
      <c r="B31" s="40" t="str">
        <f>'Tariffs Jul2022'!D25</f>
        <v>Multinet Metro 2</v>
      </c>
      <c r="C31" s="40" t="str">
        <f>'Tariffs Jul2022'!G25</f>
        <v>Carbon Neutral</v>
      </c>
      <c r="D31" s="59">
        <f>365*'Tariffs Jul2022'!H25/100</f>
        <v>241.09909090909088</v>
      </c>
      <c r="E31" s="59">
        <f>((C$5*'Tariffs Jul2022'!AK25/'Tariffs Jul2022'!AI25)*('Tariffs Jul2022'!O25/100))*'Tariffs Jul2022'!AI25</f>
        <v>604.22727272727263</v>
      </c>
      <c r="F31" s="59">
        <v>0</v>
      </c>
      <c r="G31" s="59">
        <v>0</v>
      </c>
      <c r="H31" s="59">
        <v>0</v>
      </c>
      <c r="I31" s="59">
        <v>0</v>
      </c>
      <c r="J31" s="59">
        <f>((C$5*'Tariffs Jul2022'!AL25/'Tariffs Jul2022'!AJ25)*('Tariffs Jul2022'!U25/100))*'Tariffs Jul2022'!AJ25</f>
        <v>569.86363636363626</v>
      </c>
      <c r="K31" s="59">
        <v>0</v>
      </c>
      <c r="L31" s="59">
        <v>0</v>
      </c>
      <c r="M31" s="59">
        <v>0</v>
      </c>
      <c r="N31" s="59">
        <v>0</v>
      </c>
      <c r="O31" s="59">
        <f t="shared" si="1"/>
        <v>1174.090909090909</v>
      </c>
      <c r="P31" s="503">
        <f t="shared" si="2"/>
        <v>1291.5</v>
      </c>
      <c r="Q31" s="59">
        <f t="shared" si="3"/>
        <v>1415.1899999999998</v>
      </c>
      <c r="R31" s="272">
        <f t="shared" si="4"/>
        <v>1556.7089999999998</v>
      </c>
      <c r="S31" s="40">
        <f>'Tariffs Jul2022'!AN25</f>
        <v>0</v>
      </c>
      <c r="T31" s="40">
        <f>'Tariffs Jul2022'!AO25</f>
        <v>0</v>
      </c>
      <c r="U31" s="40">
        <f>'Tariffs Jul2022'!AP25</f>
        <v>0</v>
      </c>
      <c r="V31" s="40">
        <f>'Tariffs Jul2022'!AQ25</f>
        <v>0</v>
      </c>
      <c r="W31" s="537" t="str">
        <f t="shared" si="16"/>
        <v>No discount</v>
      </c>
      <c r="X31" s="538" t="str">
        <f t="shared" si="17"/>
        <v>Inclusive</v>
      </c>
      <c r="Y31" s="534">
        <f>IF(AND(W31="Guaranteed off bill",X31="Inclusive"),((Q31*1.1)-((Q31*1.1)*S31/100))/1.1,IF(AND(W31="Guaranteed off usage",X31="Inclusive"),((Q31*1.1)-((P31*1.1)*T31/100))/1.1,IF(AND(W31="Guaranteed off bill",X31="Exclusive"),Q31-(Q31*S31/100),IF(AND(W31="Guaranteed off usage",X31="Exclusive"),Q31-(P31*T31/100),IF(X31="Inclusive",((Q31*1.1))/1.1,Q31)))))</f>
        <v>1415.1899999999998</v>
      </c>
      <c r="Z31" s="535">
        <f>IF(AND(W31="Pay-on-time off bill",X31="Inclusive"),((Y31*1.1)-((Y31*1.1)*U31/100))/1.1,IF(AND(W31="Pay-on-time off usage",X31="Inclusive"),((Y31*1.1)-((P31*1.1)*V31/100))/1.1,IF(AND(W31="Pay-on-time off bill",X31="Exclusive"),Y31-(Y31*U31/100),IF(AND(W31="Pay-on-time off usage",X31="Exclusive"),Y31-(P31*V31/100),IF(X31="Inclusive",((Y31*1.1))/1.1,Y31)))))</f>
        <v>1415.1899999999998</v>
      </c>
      <c r="AA31" s="542">
        <f t="shared" si="15"/>
        <v>1556.7089999999998</v>
      </c>
      <c r="AB31" s="542">
        <f t="shared" si="15"/>
        <v>1556.7089999999998</v>
      </c>
      <c r="AC31" s="274">
        <f>'Tariffs Jul2022'!AZ25</f>
        <v>0</v>
      </c>
      <c r="AD31" s="274" t="str">
        <f>'Tariffs Jul2022'!BA25</f>
        <v>n</v>
      </c>
      <c r="AE31" s="275" t="str">
        <f>'Tariffs Jul2022'!BJ25</f>
        <v>Y</v>
      </c>
      <c r="AF31" s="593"/>
      <c r="AG31" s="593"/>
      <c r="AH31" s="593"/>
      <c r="AI31" s="593"/>
      <c r="AJ31" s="593"/>
      <c r="AK31" s="593"/>
      <c r="AL31" s="593"/>
      <c r="AM31" s="593"/>
      <c r="AN31" s="593"/>
      <c r="AO31" s="593"/>
      <c r="AP31" s="593"/>
      <c r="AQ31" s="593"/>
      <c r="AR31" s="593"/>
      <c r="AS31" s="593"/>
      <c r="AT31" s="593"/>
      <c r="AU31" s="593"/>
      <c r="AV31" s="593"/>
      <c r="AW31" s="593"/>
    </row>
    <row r="32" spans="1:49" ht="14" x14ac:dyDescent="0.15">
      <c r="A32" s="270" t="str">
        <f>'Tariffs Jul2022'!F26</f>
        <v>1st Energy</v>
      </c>
      <c r="B32" s="40" t="str">
        <f>'Tariffs Jul2022'!D26</f>
        <v>Multinet Metro 2</v>
      </c>
      <c r="C32" s="40" t="str">
        <f>'Tariffs Jul2022'!G26</f>
        <v>1st Saver Plus</v>
      </c>
      <c r="D32" s="59">
        <f>365*'Tariffs Jul2022'!H26/100</f>
        <v>259.14999999999998</v>
      </c>
      <c r="E32" s="59">
        <f>IF($C$5*'Tariffs Jul2022'!AK26/'Tariffs Jul2022'!AI26&gt;='Tariffs Jul2022'!J26,( 'Tariffs Jul2022'!J26*'Tariffs Jul2022'!O26/100)* 'Tariffs Jul2022'!AI26,($C$5*'Tariffs Jul2022'!AK26/'Tariffs Jul2022'!AI26*'Tariffs Jul2022'!O26/100)* 'Tariffs Jul2022'!AI26)</f>
        <v>238.90909090909088</v>
      </c>
      <c r="F32" s="59">
        <f>IF($C$5*'Tariffs Jul2022'!AK26/'Tariffs Jul2022'!AI26&lt;'Tariffs Jul2022'!J26,0,IF($C$5*'Tariffs Jul2022'!AK26/'Tariffs Jul2022'!AI26&lt;='Tariffs Jul2022'!K26,($C$5*'Tariffs Jul2022'!AK26/'Tariffs Jul2022'!AI26-'Tariffs Jul2022'!J26)*('Tariffs Jul2022'!P26/100)*'Tariffs Jul2022'!AI26,('Tariffs Jul2022'!K26-'Tariffs Jul2022'!J26)*('Tariffs Jul2022'!P26/100)*'Tariffs Jul2022'!AI26))</f>
        <v>309.27272727272725</v>
      </c>
      <c r="G32" s="59">
        <f>IF($C$5*'Tariffs Jul2022'!AK26/'Tariffs Jul2022'!AI26&lt;'Tariffs Jul2022'!K26,0,IF($C$5*'Tariffs Jul2022'!AK26/'Tariffs Jul2022'!AI26&lt;='Tariffs Jul2022'!L26,($C$5*'Tariffs Jul2022'!AK26/'Tariffs Jul2022'!AI26-'Tariffs Jul2022'!K26)*('Tariffs Jul2022'!Q26/100)*'Tariffs Jul2022'!AI26,('Tariffs Jul2022'!L26-'Tariffs Jul2022'!K26)*('Tariffs Jul2022'!Q26/100)*'Tariffs Jul2022'!AI26))</f>
        <v>0</v>
      </c>
      <c r="H32" s="59">
        <f>IF($C$5*'Tariffs Jul2022'!AK26/'Tariffs Jul2022'!AI26&lt;'Tariffs Jul2022'!L26,0,IF($C$5*'Tariffs Jul2022'!AK26/'Tariffs Jul2022'!AI26&lt;='Tariffs Jul2022'!M26,($C$5*'Tariffs Jul2022'!AK26/'Tariffs Jul2022'!AI26-'Tariffs Jul2022'!L26)*('Tariffs Jul2022'!R26/100)*'Tariffs Jul2022'!AI26,('Tariffs Jul2022'!M26-'Tariffs Jul2022'!L26)*('Tariffs Jul2022'!R26/100)*'Tariffs Jul2022'!AI26))</f>
        <v>0</v>
      </c>
      <c r="I32" s="59">
        <f>IF(($C$5*'Tariffs Jul2022'!AK26/'Tariffs Jul2022'!AI26&gt;'Tariffs Jul2022'!M26),($C$5*'Tariffs Jul2022'!AK26/'Tariffs Jul2022'!AI26-'Tariffs Jul2022'!M26)*'Tariffs Jul2022'!S26/100*'Tariffs Jul2022'!AI26,0)</f>
        <v>171.81818181818181</v>
      </c>
      <c r="J32" s="59">
        <f>IF($C$5*'Tariffs Jul2022'!AL26/'Tariffs Jul2022'!AJ26&gt;='Tariffs Jul2022'!J26,('Tariffs Jul2022'!J26*'Tariffs Jul2022'!U26/100)* 'Tariffs Jul2022'!AJ26,($C$5*'Tariffs Jul2022'!AL26/'Tariffs Jul2022'!AJ26*'Tariffs Jul2022'!U26/100)* 'Tariffs Jul2022'!AJ26)</f>
        <v>238.90909090909088</v>
      </c>
      <c r="K32" s="59">
        <f>IF($C$5*'Tariffs Jul2022'!AL26/'Tariffs Jul2022'!AJ26&lt;'Tariffs Jul2022'!J26,0,IF($C$5*'Tariffs Jul2022'!AL26/'Tariffs Jul2022'!AJ26&lt;='Tariffs Jul2022'!K26,($C$5*'Tariffs Jul2022'!AL26/'Tariffs Jul2022'!AJ26-'Tariffs Jul2022'!J26)*('Tariffs Jul2022'!V26/100)*'Tariffs Jul2022'!AJ26,('Tariffs Jul2022'!K26-'Tariffs Jul2022'!J26)*('Tariffs Jul2022'!V26/100)*'Tariffs Jul2022'!AJ26))</f>
        <v>309.27272727272725</v>
      </c>
      <c r="L32" s="59">
        <f>IF($C$5*'Tariffs Jul2022'!AL26/'Tariffs Jul2022'!AJ26&lt;'Tariffs Jul2022'!K26,0,IF($C$5*'Tariffs Jul2022'!AL26/'Tariffs Jul2022'!AJ26&lt;='Tariffs Jul2022'!L26,($C$5*'Tariffs Jul2022'!AL26/'Tariffs Jul2022'!AJ26-'Tariffs Jul2022'!K26)*('Tariffs Jul2022'!W26/100)*'Tariffs Jul2022'!AJ26,('Tariffs Jul2022'!L26-'Tariffs Jul2022'!K26)*('Tariffs Jul2022'!W26/100)*'Tariffs Jul2022'!AJ26))</f>
        <v>0</v>
      </c>
      <c r="M32" s="59">
        <f>IF($C$5*'Tariffs Jul2022'!AL26/'Tariffs Jul2022'!AJ26&lt;'Tariffs Jul2022'!L26,0,IF($C$5*'Tariffs Jul2022'!AL26/'Tariffs Jul2022'!AJ26&lt;='Tariffs Jul2022'!M26,($C$5*'Tariffs Jul2022'!AL26/'Tariffs Jul2022'!AJ26-'Tariffs Jul2022'!L26)*('Tariffs Jul2022'!X26/100)*'Tariffs Jul2022'!AJ26,('Tariffs Jul2022'!M26-'Tariffs Jul2022'!L26)*('Tariffs Jul2022'!X26/100)*'Tariffs Jul2022'!AJ26))</f>
        <v>0</v>
      </c>
      <c r="N32" s="59">
        <f>IF(($C$5*'Tariffs Jul2022'!AL26/'Tariffs Jul2022'!AJ26&gt;'Tariffs Jul2022'!M26),($C$5*'Tariffs Jul2022'!AL26/'Tariffs Jul2022'!AJ26-'Tariffs Jul2022'!M26)*'Tariffs Jul2022'!Y26/100*'Tariffs Jul2022'!AJ26,0)</f>
        <v>171.81818181818181</v>
      </c>
      <c r="O32" s="59">
        <f t="shared" si="1"/>
        <v>1439.9999999999998</v>
      </c>
      <c r="P32" s="503">
        <f t="shared" si="2"/>
        <v>1583.9999999999998</v>
      </c>
      <c r="Q32" s="59">
        <f t="shared" si="3"/>
        <v>1699.1499999999996</v>
      </c>
      <c r="R32" s="272">
        <f t="shared" si="4"/>
        <v>1869.0649999999998</v>
      </c>
      <c r="S32" s="40">
        <f>'Tariffs Jul2022'!AN26</f>
        <v>0</v>
      </c>
      <c r="T32" s="40">
        <f>'Tariffs Jul2022'!AO26</f>
        <v>7</v>
      </c>
      <c r="U32" s="40">
        <f>'Tariffs Jul2022'!AP26</f>
        <v>0</v>
      </c>
      <c r="V32" s="40">
        <f>'Tariffs Jul2022'!AQ26</f>
        <v>3</v>
      </c>
      <c r="W32" s="537" t="str">
        <f t="shared" si="16"/>
        <v>Guaranteed off usage</v>
      </c>
      <c r="X32" s="538" t="str">
        <f t="shared" si="17"/>
        <v>Exclusive</v>
      </c>
      <c r="Y32" s="534">
        <f>Q32-(P32*T32)/100</f>
        <v>1588.2699999999998</v>
      </c>
      <c r="Z32" s="535">
        <f>Y32-(P32*V32)/100</f>
        <v>1540.7499999999998</v>
      </c>
      <c r="AA32" s="542">
        <f t="shared" si="15"/>
        <v>1747.097</v>
      </c>
      <c r="AB32" s="542">
        <f t="shared" si="15"/>
        <v>1694.8249999999998</v>
      </c>
      <c r="AC32" s="274">
        <f>'Tariffs Jul2022'!AZ26</f>
        <v>0</v>
      </c>
      <c r="AD32" s="274" t="str">
        <f>'Tariffs Jul2022'!BA26</f>
        <v>n</v>
      </c>
      <c r="AE32" s="275" t="str">
        <f>'Tariffs Jul2022'!BJ26</f>
        <v>N</v>
      </c>
      <c r="AF32" s="593"/>
      <c r="AG32" s="593"/>
      <c r="AH32" s="593"/>
      <c r="AI32" s="593"/>
      <c r="AJ32" s="593"/>
      <c r="AK32" s="593"/>
      <c r="AL32" s="593"/>
      <c r="AM32" s="593"/>
      <c r="AN32" s="593"/>
      <c r="AO32" s="593"/>
      <c r="AP32" s="593"/>
      <c r="AQ32" s="593"/>
      <c r="AR32" s="593"/>
      <c r="AS32" s="593"/>
      <c r="AT32" s="593"/>
      <c r="AU32" s="593"/>
      <c r="AV32" s="593"/>
      <c r="AW32" s="593"/>
    </row>
    <row r="33" spans="1:49" ht="14" x14ac:dyDescent="0.15">
      <c r="A33" s="270" t="str">
        <f>'Tariffs Jul2022'!F27</f>
        <v>Kogan Energy</v>
      </c>
      <c r="B33" s="40" t="str">
        <f>'Tariffs Jul2022'!D27</f>
        <v>Multinet Metro 2</v>
      </c>
      <c r="C33" s="40" t="str">
        <f>'Tariffs Jul2022'!G27</f>
        <v>Kogan Basic</v>
      </c>
      <c r="D33" s="59">
        <f>365*'Tariffs Jul2022'!H27/100</f>
        <v>283.80409090909086</v>
      </c>
      <c r="E33" s="59">
        <f>((C$5*'Tariffs Jul2022'!AK27/'Tariffs Jul2022'!AI27)*('Tariffs Jul2022'!O27/100))*'Tariffs Jul2022'!AI27</f>
        <v>621.40909090909088</v>
      </c>
      <c r="F33" s="59">
        <v>0</v>
      </c>
      <c r="G33" s="59">
        <v>0</v>
      </c>
      <c r="H33" s="59">
        <v>0</v>
      </c>
      <c r="I33" s="59">
        <v>0</v>
      </c>
      <c r="J33" s="59">
        <f>((C$5*'Tariffs Jul2022'!AL27/'Tariffs Jul2022'!AJ27)*('Tariffs Jul2022'!U27/100))*'Tariffs Jul2022'!AJ27</f>
        <v>564.13636363636374</v>
      </c>
      <c r="K33" s="59">
        <v>0</v>
      </c>
      <c r="L33" s="59">
        <v>0</v>
      </c>
      <c r="M33" s="59">
        <v>0</v>
      </c>
      <c r="N33" s="59">
        <v>0</v>
      </c>
      <c r="O33" s="59">
        <f t="shared" si="1"/>
        <v>1185.5454545454545</v>
      </c>
      <c r="P33" s="503">
        <f t="shared" si="2"/>
        <v>1304.1000000000001</v>
      </c>
      <c r="Q33" s="59">
        <f t="shared" si="3"/>
        <v>1469.3495454545455</v>
      </c>
      <c r="R33" s="272">
        <f t="shared" si="4"/>
        <v>1616.2845000000002</v>
      </c>
      <c r="S33" s="40">
        <f>'Tariffs Jul2022'!AN27</f>
        <v>0</v>
      </c>
      <c r="T33" s="40">
        <f>'Tariffs Jul2022'!AO27</f>
        <v>0</v>
      </c>
      <c r="U33" s="40">
        <f>'Tariffs Jul2022'!AP27</f>
        <v>0</v>
      </c>
      <c r="V33" s="40">
        <f>'Tariffs Jul2022'!AQ27</f>
        <v>0</v>
      </c>
      <c r="W33" s="537" t="str">
        <f t="shared" si="16"/>
        <v>No discount</v>
      </c>
      <c r="X33" s="538" t="str">
        <f t="shared" si="17"/>
        <v>Exclusive</v>
      </c>
      <c r="Y33" s="534">
        <f t="shared" ref="Y33:Y35" si="22">IF(AND(W33="Guaranteed off bill",X33="Inclusive"),((Q33*1.1)-((Q33*1.1)*S33/100))/1.1,IF(AND(W33="Guaranteed off usage",X33="Inclusive"),((Q33*1.1)-((P33*1.1)*T33/100))/1.1,IF(AND(W33="Guaranteed off bill",X33="Exclusive"),Q33-(Q33*S33/100),IF(AND(W33="Guaranteed off usage",X33="Exclusive"),Q33-(P33*T33/100),IF(X33="Inclusive",((Q33*1.1))/1.1,Q33)))))</f>
        <v>1469.3495454545455</v>
      </c>
      <c r="Z33" s="535">
        <f t="shared" ref="Z33:Z35" si="23">IF(AND(W33="Pay-on-time off bill",X33="Inclusive"),((Y33*1.1)-((Y33*1.1)*U33/100))/1.1,IF(AND(W33="Pay-on-time off usage",X33="Inclusive"),((Y33*1.1)-((P33*1.1)*V33/100))/1.1,IF(AND(W33="Pay-on-time off bill",X33="Exclusive"),Y33-(Y33*U33/100),IF(AND(W33="Pay-on-time off usage",X33="Exclusive"),Y33-(P33*V33/100),IF(X33="Inclusive",((Y33*1.1))/1.1,Y33)))))</f>
        <v>1469.3495454545455</v>
      </c>
      <c r="AA33" s="542">
        <f t="shared" si="15"/>
        <v>1616.2845000000002</v>
      </c>
      <c r="AB33" s="542">
        <f t="shared" si="15"/>
        <v>1616.2845000000002</v>
      </c>
      <c r="AC33" s="274">
        <f>'Tariffs Jul2022'!AZ27</f>
        <v>0</v>
      </c>
      <c r="AD33" s="274" t="str">
        <f>'Tariffs Jul2022'!BA27</f>
        <v>n</v>
      </c>
      <c r="AE33" s="275" t="str">
        <f>'Tariffs Jul2022'!BJ27</f>
        <v>N</v>
      </c>
      <c r="AF33" s="593"/>
      <c r="AG33" s="593"/>
      <c r="AH33" s="593"/>
      <c r="AI33" s="593"/>
      <c r="AJ33" s="593"/>
      <c r="AK33" s="593"/>
      <c r="AL33" s="593"/>
      <c r="AM33" s="593"/>
      <c r="AN33" s="593"/>
      <c r="AO33" s="593"/>
      <c r="AP33" s="593"/>
      <c r="AQ33" s="593"/>
      <c r="AR33" s="593"/>
      <c r="AS33" s="593"/>
      <c r="AT33" s="593"/>
      <c r="AU33" s="593"/>
      <c r="AV33" s="593"/>
      <c r="AW33" s="593"/>
    </row>
    <row r="34" spans="1:49" ht="14" x14ac:dyDescent="0.15">
      <c r="A34" s="270" t="str">
        <f>'Tariffs Jul2022'!F28</f>
        <v>Tango Energy</v>
      </c>
      <c r="B34" s="40" t="str">
        <f>'Tariffs Jul2022'!D28</f>
        <v>Multinet Metro 2</v>
      </c>
      <c r="C34" s="40" t="str">
        <f>'Tariffs Jul2022'!G28</f>
        <v>Home Select</v>
      </c>
      <c r="D34" s="59">
        <f>365*'Tariffs Jul2022'!H28/100</f>
        <v>244.55</v>
      </c>
      <c r="E34" s="59">
        <f>IF($C$5*'Tariffs Jul2022'!AK28/'Tariffs Jul2022'!AI28&gt;='Tariffs Jul2022'!J28,( 'Tariffs Jul2022'!J28*'Tariffs Jul2022'!O28/100)* 'Tariffs Jul2022'!AI28,($C$5*'Tariffs Jul2022'!AK28/'Tariffs Jul2022'!AI28*'Tariffs Jul2022'!O28/100)* 'Tariffs Jul2022'!AI28)</f>
        <v>210.27272727272725</v>
      </c>
      <c r="F34" s="59">
        <f>IF($C$5*'Tariffs Jul2022'!AK28/'Tariffs Jul2022'!AI28&lt;'Tariffs Jul2022'!J28,0,IF($C$5*'Tariffs Jul2022'!AK28/'Tariffs Jul2022'!AI28&lt;='Tariffs Jul2022'!K28,($C$5*'Tariffs Jul2022'!AK28/'Tariffs Jul2022'!AI28-'Tariffs Jul2022'!J28)*('Tariffs Jul2022'!P28/100)*'Tariffs Jul2022'!AI28,('Tariffs Jul2022'!K28-'Tariffs Jul2022'!J28)*('Tariffs Jul2022'!P28/100)*'Tariffs Jul2022'!AI28))</f>
        <v>189.81818181818181</v>
      </c>
      <c r="G34" s="59">
        <f>IF($C$5*'Tariffs Jul2022'!AK28/'Tariffs Jul2022'!AI28&lt;'Tariffs Jul2022'!K28,0,IF($C$5*'Tariffs Jul2022'!AK28/'Tariffs Jul2022'!AI28&lt;='Tariffs Jul2022'!L28,($C$5*'Tariffs Jul2022'!AK28/'Tariffs Jul2022'!AI28-'Tariffs Jul2022'!K28)*('Tariffs Jul2022'!Q28/100)*'Tariffs Jul2022'!AI28,('Tariffs Jul2022'!L28-'Tariffs Jul2022'!K28)*('Tariffs Jul2022'!Q28/100)*'Tariffs Jul2022'!AI28))</f>
        <v>160.36363636363635</v>
      </c>
      <c r="H34" s="59">
        <f>IF($C$5*'Tariffs Jul2022'!AK28/'Tariffs Jul2022'!AI28&lt;'Tariffs Jul2022'!L28,0,IF($C$5*'Tariffs Jul2022'!AK28/'Tariffs Jul2022'!AI28&lt;='Tariffs Jul2022'!M28,($C$5*'Tariffs Jul2022'!AK28/'Tariffs Jul2022'!AI28-'Tariffs Jul2022'!L28)*('Tariffs Jul2022'!R28/100)*'Tariffs Jul2022'!AI28,('Tariffs Jul2022'!M28-'Tariffs Jul2022'!L28)*('Tariffs Jul2022'!R28/100)*'Tariffs Jul2022'!AI28))</f>
        <v>73.22727272727272</v>
      </c>
      <c r="I34" s="59">
        <f>IF(($C$5*'Tariffs Jul2022'!AK28/'Tariffs Jul2022'!AI28&gt;'Tariffs Jul2022'!M28),($C$5*'Tariffs Jul2022'!AK28/'Tariffs Jul2022'!AI28-'Tariffs Jul2022'!M28)*'Tariffs Jul2022'!S28/100*'Tariffs Jul2022'!AI28,0)</f>
        <v>0</v>
      </c>
      <c r="J34" s="59">
        <f>IF($C$5*'Tariffs Jul2022'!AL28/'Tariffs Jul2022'!AJ28&gt;='Tariffs Jul2022'!J28,('Tariffs Jul2022'!J28*'Tariffs Jul2022'!U28/100)* 'Tariffs Jul2022'!AJ28,($C$5*'Tariffs Jul2022'!AL28/'Tariffs Jul2022'!AJ28*'Tariffs Jul2022'!U28/100)* 'Tariffs Jul2022'!AJ28)</f>
        <v>189.81818181818181</v>
      </c>
      <c r="K34" s="59">
        <f>IF($C$5*'Tariffs Jul2022'!AL28/'Tariffs Jul2022'!AJ28&lt;'Tariffs Jul2022'!J28,0,IF($C$5*'Tariffs Jul2022'!AL28/'Tariffs Jul2022'!AJ28&lt;='Tariffs Jul2022'!K28,($C$5*'Tariffs Jul2022'!AL28/'Tariffs Jul2022'!AJ28-'Tariffs Jul2022'!J28)*('Tariffs Jul2022'!V28/100)*'Tariffs Jul2022'!AJ28,('Tariffs Jul2022'!K28-'Tariffs Jul2022'!J28)*('Tariffs Jul2022'!V28/100)*'Tariffs Jul2022'!AJ28))</f>
        <v>164.45454545454544</v>
      </c>
      <c r="L34" s="59">
        <f>IF($C$5*'Tariffs Jul2022'!AL28/'Tariffs Jul2022'!AJ28&lt;'Tariffs Jul2022'!K28,0,IF($C$5*'Tariffs Jul2022'!AL28/'Tariffs Jul2022'!AJ28&lt;='Tariffs Jul2022'!L28,($C$5*'Tariffs Jul2022'!AL28/'Tariffs Jul2022'!AJ28-'Tariffs Jul2022'!K28)*('Tariffs Jul2022'!W28/100)*'Tariffs Jul2022'!AJ28,('Tariffs Jul2022'!L28-'Tariffs Jul2022'!K28)*('Tariffs Jul2022'!W28/100)*'Tariffs Jul2022'!AJ28))</f>
        <v>143.18181818181816</v>
      </c>
      <c r="M34" s="59">
        <f>IF($C$5*'Tariffs Jul2022'!AL28/'Tariffs Jul2022'!AJ28&lt;'Tariffs Jul2022'!L28,0,IF($C$5*'Tariffs Jul2022'!AL28/'Tariffs Jul2022'!AJ28&lt;='Tariffs Jul2022'!M28,($C$5*'Tariffs Jul2022'!AL28/'Tariffs Jul2022'!AJ28-'Tariffs Jul2022'!L28)*('Tariffs Jul2022'!X28/100)*'Tariffs Jul2022'!AJ28,('Tariffs Jul2022'!M28-'Tariffs Jul2022'!L28)*('Tariffs Jul2022'!X28/100)*'Tariffs Jul2022'!AJ28))</f>
        <v>66.272727272727266</v>
      </c>
      <c r="N34" s="59">
        <f>IF(($C$5*'Tariffs Jul2022'!AL28/'Tariffs Jul2022'!AJ28&gt;'Tariffs Jul2022'!M28),($C$5*'Tariffs Jul2022'!AL28/'Tariffs Jul2022'!AJ28-'Tariffs Jul2022'!M28)*'Tariffs Jul2022'!Y28/100*'Tariffs Jul2022'!AJ28,0)</f>
        <v>0</v>
      </c>
      <c r="O34" s="59">
        <f t="shared" si="1"/>
        <v>1197.409090909091</v>
      </c>
      <c r="P34" s="503">
        <f t="shared" si="2"/>
        <v>1317.15</v>
      </c>
      <c r="Q34" s="59">
        <f>D34+O34</f>
        <v>1441.9590909090909</v>
      </c>
      <c r="R34" s="272">
        <f t="shared" si="4"/>
        <v>1586.1550000000002</v>
      </c>
      <c r="S34" s="40">
        <f>'Tariffs Jul2022'!AN28</f>
        <v>0</v>
      </c>
      <c r="T34" s="40">
        <f>'Tariffs Jul2022'!AO28</f>
        <v>0</v>
      </c>
      <c r="U34" s="40">
        <f>'Tariffs Jul2022'!AP28</f>
        <v>0</v>
      </c>
      <c r="V34" s="40">
        <f>'Tariffs Jul2022'!AQ28</f>
        <v>0</v>
      </c>
      <c r="W34" s="537" t="str">
        <f t="shared" si="16"/>
        <v>No discount</v>
      </c>
      <c r="X34" s="538" t="str">
        <f t="shared" si="17"/>
        <v>Exclusive</v>
      </c>
      <c r="Y34" s="534">
        <f t="shared" si="22"/>
        <v>1441.9590909090909</v>
      </c>
      <c r="Z34" s="535">
        <f t="shared" si="23"/>
        <v>1441.9590909090909</v>
      </c>
      <c r="AA34" s="542">
        <f t="shared" si="15"/>
        <v>1586.1550000000002</v>
      </c>
      <c r="AB34" s="542">
        <f t="shared" si="15"/>
        <v>1586.1550000000002</v>
      </c>
      <c r="AC34" s="274">
        <f>'Tariffs Jul2022'!AZ28</f>
        <v>0</v>
      </c>
      <c r="AD34" s="274" t="str">
        <f>'Tariffs Jul2022'!BA28</f>
        <v>n</v>
      </c>
      <c r="AE34" s="275" t="str">
        <f>'Tariffs Jul2022'!BJ28</f>
        <v>N</v>
      </c>
      <c r="AF34" s="593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593"/>
      <c r="AS34" s="593"/>
      <c r="AT34" s="593"/>
      <c r="AU34" s="593"/>
      <c r="AV34" s="593"/>
      <c r="AW34" s="593"/>
    </row>
    <row r="35" spans="1:49" ht="15" thickBot="1" x14ac:dyDescent="0.2">
      <c r="A35" s="276" t="str">
        <f>'Tariffs Jul2022'!F29</f>
        <v>Sumo Power</v>
      </c>
      <c r="B35" s="277" t="str">
        <f>'Tariffs Jul2022'!D29</f>
        <v>Multinet Metro 2</v>
      </c>
      <c r="C35" s="277" t="str">
        <f>'Tariffs Jul2022'!G29</f>
        <v>Assure</v>
      </c>
      <c r="D35" s="278">
        <f>365*'Tariffs Jul2022'!H29/100</f>
        <v>229.94999999999996</v>
      </c>
      <c r="E35" s="278">
        <f>IF($C$5*'Tariffs Jul2022'!AK29/'Tariffs Jul2022'!AI29&gt;='Tariffs Jul2022'!J29,( 'Tariffs Jul2022'!J29*'Tariffs Jul2022'!O29/100)* 'Tariffs Jul2022'!AI29,($C$5*'Tariffs Jul2022'!AK29/'Tariffs Jul2022'!AI29*'Tariffs Jul2022'!O29/100)* 'Tariffs Jul2022'!AI29)</f>
        <v>210.27272727272725</v>
      </c>
      <c r="F35" s="278">
        <f>IF($C$5*'Tariffs Jul2022'!AK29/'Tariffs Jul2022'!AI29&lt;'Tariffs Jul2022'!J29,0,IF($C$5*'Tariffs Jul2022'!AK29/'Tariffs Jul2022'!AI29&lt;='Tariffs Jul2022'!K29,($C$5*'Tariffs Jul2022'!AK29/'Tariffs Jul2022'!AI29-'Tariffs Jul2022'!J29)*('Tariffs Jul2022'!P29/100)*'Tariffs Jul2022'!AI29,('Tariffs Jul2022'!K29-'Tariffs Jul2022'!J29)*('Tariffs Jul2022'!P29/100)*'Tariffs Jul2022'!AI29))</f>
        <v>178.36363636363637</v>
      </c>
      <c r="G35" s="278">
        <f>IF($C$5*'Tariffs Jul2022'!AK29/'Tariffs Jul2022'!AI29&lt;'Tariffs Jul2022'!K29,0,IF($C$5*'Tariffs Jul2022'!AK29/'Tariffs Jul2022'!AI29&lt;='Tariffs Jul2022'!L29,($C$5*'Tariffs Jul2022'!AK29/'Tariffs Jul2022'!AI29-'Tariffs Jul2022'!K29)*('Tariffs Jul2022'!Q29/100)*'Tariffs Jul2022'!AI29,('Tariffs Jul2022'!L29-'Tariffs Jul2022'!K29)*('Tariffs Jul2022'!Q29/100)*'Tariffs Jul2022'!AI29))</f>
        <v>154.63636363636363</v>
      </c>
      <c r="H35" s="278">
        <f>IF($C$5*'Tariffs Jul2022'!AK29/'Tariffs Jul2022'!AI29&lt;'Tariffs Jul2022'!L29,0,IF($C$5*'Tariffs Jul2022'!AK29/'Tariffs Jul2022'!AI29&lt;='Tariffs Jul2022'!M29,($C$5*'Tariffs Jul2022'!AK29/'Tariffs Jul2022'!AI29-'Tariffs Jul2022'!L29)*('Tariffs Jul2022'!R29/100)*'Tariffs Jul2022'!AI29,('Tariffs Jul2022'!M29-'Tariffs Jul2022'!L29)*('Tariffs Jul2022'!R29/100)*'Tariffs Jul2022'!AI29))</f>
        <v>62.590909090909093</v>
      </c>
      <c r="I35" s="278">
        <f>IF(($C$5*'Tariffs Jul2022'!AK29/'Tariffs Jul2022'!AI29&gt;'Tariffs Jul2022'!M29),($C$5*'Tariffs Jul2022'!AK29/'Tariffs Jul2022'!AI29-'Tariffs Jul2022'!M29)*'Tariffs Jul2022'!S29/100*'Tariffs Jul2022'!AI29,0)</f>
        <v>0</v>
      </c>
      <c r="J35" s="278">
        <f>IF($C$5*'Tariffs Jul2022'!AL29/'Tariffs Jul2022'!AJ29&gt;='Tariffs Jul2022'!J29,('Tariffs Jul2022'!J29*'Tariffs Jul2022'!U29/100)* 'Tariffs Jul2022'!AJ29,($C$5*'Tariffs Jul2022'!AL29/'Tariffs Jul2022'!AJ29*'Tariffs Jul2022'!U29/100)* 'Tariffs Jul2022'!AJ29)</f>
        <v>178.36363636363637</v>
      </c>
      <c r="K35" s="278">
        <f>IF($C$5*'Tariffs Jul2022'!AL29/'Tariffs Jul2022'!AJ29&lt;'Tariffs Jul2022'!J29,0,IF($C$5*'Tariffs Jul2022'!AL29/'Tariffs Jul2022'!AJ29&lt;='Tariffs Jul2022'!K29,($C$5*'Tariffs Jul2022'!AL29/'Tariffs Jul2022'!AJ29-'Tariffs Jul2022'!J29)*('Tariffs Jul2022'!V29/100)*'Tariffs Jul2022'!AJ29,('Tariffs Jul2022'!K29-'Tariffs Jul2022'!J29)*('Tariffs Jul2022'!V29/100)*'Tariffs Jul2022'!AJ29))</f>
        <v>149.72727272727272</v>
      </c>
      <c r="L35" s="278">
        <f>IF($C$5*'Tariffs Jul2022'!AL29/'Tariffs Jul2022'!AJ29&lt;'Tariffs Jul2022'!K29,0,IF($C$5*'Tariffs Jul2022'!AL29/'Tariffs Jul2022'!AJ29&lt;='Tariffs Jul2022'!L29,($C$5*'Tariffs Jul2022'!AL29/'Tariffs Jul2022'!AJ29-'Tariffs Jul2022'!K29)*('Tariffs Jul2022'!W29/100)*'Tariffs Jul2022'!AJ29,('Tariffs Jul2022'!L29-'Tariffs Jul2022'!K29)*('Tariffs Jul2022'!W29/100)*'Tariffs Jul2022'!AJ29))</f>
        <v>140.72727272727272</v>
      </c>
      <c r="M35" s="278">
        <f>IF($C$5*'Tariffs Jul2022'!AL29/'Tariffs Jul2022'!AJ29&lt;'Tariffs Jul2022'!L29,0,IF($C$5*'Tariffs Jul2022'!AL29/'Tariffs Jul2022'!AJ29&lt;='Tariffs Jul2022'!M29,($C$5*'Tariffs Jul2022'!AL29/'Tariffs Jul2022'!AJ29-'Tariffs Jul2022'!L29)*('Tariffs Jul2022'!X29/100)*'Tariffs Jul2022'!AJ29,('Tariffs Jul2022'!M29-'Tariffs Jul2022'!L29)*('Tariffs Jul2022'!X29/100)*'Tariffs Jul2022'!AJ29))</f>
        <v>58.499999999999986</v>
      </c>
      <c r="N35" s="278">
        <f>IF(($C$5*'Tariffs Jul2022'!AL29/'Tariffs Jul2022'!AJ29&gt;'Tariffs Jul2022'!M29),($C$5*'Tariffs Jul2022'!AL29/'Tariffs Jul2022'!AJ29-'Tariffs Jul2022'!M29)*'Tariffs Jul2022'!Y29/100*'Tariffs Jul2022'!AJ29,0)</f>
        <v>0</v>
      </c>
      <c r="O35" s="278">
        <f t="shared" si="1"/>
        <v>1133.1818181818182</v>
      </c>
      <c r="P35" s="504">
        <f t="shared" si="2"/>
        <v>1246.5000000000002</v>
      </c>
      <c r="Q35" s="278">
        <f>D35+O35</f>
        <v>1363.1318181818183</v>
      </c>
      <c r="R35" s="280">
        <f t="shared" si="4"/>
        <v>1499.4450000000002</v>
      </c>
      <c r="S35" s="277">
        <f>'Tariffs Jul2022'!AN29</f>
        <v>0</v>
      </c>
      <c r="T35" s="277">
        <f>'Tariffs Jul2022'!AO29</f>
        <v>0</v>
      </c>
      <c r="U35" s="277">
        <f>'Tariffs Jul2022'!AP29</f>
        <v>0</v>
      </c>
      <c r="V35" s="277">
        <f>'Tariffs Jul2022'!AQ29</f>
        <v>0</v>
      </c>
      <c r="W35" s="540" t="str">
        <f t="shared" si="16"/>
        <v>No discount</v>
      </c>
      <c r="X35" s="541" t="str">
        <f t="shared" si="17"/>
        <v>Exclusive</v>
      </c>
      <c r="Y35" s="543">
        <f t="shared" si="22"/>
        <v>1363.1318181818183</v>
      </c>
      <c r="Z35" s="544">
        <f t="shared" si="23"/>
        <v>1363.1318181818183</v>
      </c>
      <c r="AA35" s="545">
        <f t="shared" si="15"/>
        <v>1499.4450000000002</v>
      </c>
      <c r="AB35" s="545">
        <f t="shared" si="15"/>
        <v>1499.4450000000002</v>
      </c>
      <c r="AC35" s="282">
        <f>'Tariffs Jul2022'!AZ29</f>
        <v>0</v>
      </c>
      <c r="AD35" s="282" t="str">
        <f>'Tariffs Jul2022'!BA29</f>
        <v>n</v>
      </c>
      <c r="AE35" s="283" t="str">
        <f>'Tariffs Jul2022'!BJ29</f>
        <v>Y</v>
      </c>
      <c r="AF35" s="593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593"/>
      <c r="AS35" s="593"/>
      <c r="AT35" s="593"/>
      <c r="AU35" s="593"/>
      <c r="AV35" s="593"/>
      <c r="AW35" s="593"/>
    </row>
    <row r="36" spans="1:49" ht="15" thickTop="1" x14ac:dyDescent="0.15">
      <c r="A36" s="270" t="str">
        <f>'Tariffs Jul2022'!F30</f>
        <v>AGL</v>
      </c>
      <c r="B36" s="40" t="str">
        <f>'Tariffs Jul2022'!D30</f>
        <v>AGN North</v>
      </c>
      <c r="C36" s="40" t="str">
        <f>'Tariffs Jul2022'!G30</f>
        <v>Value Saver</v>
      </c>
      <c r="D36" s="59">
        <f>365*'Tariffs Jul2022'!H30/100</f>
        <v>297.30909090909086</v>
      </c>
      <c r="E36" s="59">
        <f>IF($C$5*'Tariffs Jul2022'!AK30/'Tariffs Jul2022'!AI30&gt;='Tariffs Jul2022'!J30,( 'Tariffs Jul2022'!J30*'Tariffs Jul2022'!O30/100)* 'Tariffs Jul2022'!AI30,($C$5*'Tariffs Jul2022'!AK30/'Tariffs Jul2022'!AI30*'Tariffs Jul2022'!O30/100)* 'Tariffs Jul2022'!AI30)</f>
        <v>111.71045454545454</v>
      </c>
      <c r="F36" s="59">
        <f>IF($C$5*'Tariffs Jul2022'!AK30/'Tariffs Jul2022'!AI30&lt;'Tariffs Jul2022'!J30,0,IF($C$5*'Tariffs Jul2022'!AK30/'Tariffs Jul2022'!AI30&lt;='Tariffs Jul2022'!K30,($C$5*'Tariffs Jul2022'!AK30/'Tariffs Jul2022'!AI30-'Tariffs Jul2022'!J30)*('Tariffs Jul2022'!P30/100)*'Tariffs Jul2022'!AI30,('Tariffs Jul2022'!K30-'Tariffs Jul2022'!J30)*('Tariffs Jul2022'!P30/100)*'Tariffs Jul2022'!AI30))</f>
        <v>85.365000000000009</v>
      </c>
      <c r="G36" s="59">
        <f>IF($C$5*'Tariffs Jul2022'!AK30/'Tariffs Jul2022'!AI30&lt;'Tariffs Jul2022'!K30,0,IF($C$5*'Tariffs Jul2022'!AK30/'Tariffs Jul2022'!AI30&lt;='Tariffs Jul2022'!L30,($C$5*'Tariffs Jul2022'!AK30/'Tariffs Jul2022'!AI30-'Tariffs Jul2022'!K30)*('Tariffs Jul2022'!Q30/100)*'Tariffs Jul2022'!AI30,('Tariffs Jul2022'!L30-'Tariffs Jul2022'!K30)*('Tariffs Jul2022'!Q30/100)*'Tariffs Jul2022'!AI30))</f>
        <v>0</v>
      </c>
      <c r="H36" s="59">
        <f>IF($C$5*'Tariffs Jul2022'!AK30/'Tariffs Jul2022'!AI30&lt;'Tariffs Jul2022'!L30,0,IF($C$5*'Tariffs Jul2022'!AK30/'Tariffs Jul2022'!AI30&lt;='Tariffs Jul2022'!M30,($C$5*'Tariffs Jul2022'!AK30/'Tariffs Jul2022'!AI30-'Tariffs Jul2022'!L30)*('Tariffs Jul2022'!R30/100)*'Tariffs Jul2022'!AI30,('Tariffs Jul2022'!M30-'Tariffs Jul2022'!L30)*('Tariffs Jul2022'!R30/100)*'Tariffs Jul2022'!AI30))</f>
        <v>0</v>
      </c>
      <c r="I36" s="59">
        <f>IF(($C$5*'Tariffs Jul2022'!AK30/'Tariffs Jul2022'!AI30&gt;'Tariffs Jul2022'!M30),($C$5*'Tariffs Jul2022'!AK30/'Tariffs Jul2022'!AI30-'Tariffs Jul2022'!M30)*'Tariffs Jul2022'!S30/100*'Tariffs Jul2022'!AI30,0)</f>
        <v>394.77272727272725</v>
      </c>
      <c r="J36" s="59">
        <f>IF($C$5*'Tariffs Jul2022'!AL30/'Tariffs Jul2022'!AJ30&gt;='Tariffs Jul2022'!J30,('Tariffs Jul2022'!J30*'Tariffs Jul2022'!U30/100)* 'Tariffs Jul2022'!AJ30,($C$5*'Tariffs Jul2022'!AL30/'Tariffs Jul2022'!AJ30*'Tariffs Jul2022'!U30/100)* 'Tariffs Jul2022'!AJ30)</f>
        <v>111.71045454545454</v>
      </c>
      <c r="K36" s="59">
        <f>IF($C$5*'Tariffs Jul2022'!AL30/'Tariffs Jul2022'!AJ30&lt;'Tariffs Jul2022'!J30,0,IF($C$5*'Tariffs Jul2022'!AL30/'Tariffs Jul2022'!AJ30&lt;='Tariffs Jul2022'!K30,($C$5*'Tariffs Jul2022'!AL30/'Tariffs Jul2022'!AJ30-'Tariffs Jul2022'!J30)*('Tariffs Jul2022'!V30/100)*'Tariffs Jul2022'!AJ30,('Tariffs Jul2022'!K30-'Tariffs Jul2022'!J30)*('Tariffs Jul2022'!V30/100)*'Tariffs Jul2022'!AJ30))</f>
        <v>85.365000000000009</v>
      </c>
      <c r="L36" s="59">
        <f>IF($C$5*'Tariffs Jul2022'!AL30/'Tariffs Jul2022'!AJ30&lt;'Tariffs Jul2022'!K30,0,IF($C$5*'Tariffs Jul2022'!AL30/'Tariffs Jul2022'!AJ30&lt;='Tariffs Jul2022'!L30,($C$5*'Tariffs Jul2022'!AL30/'Tariffs Jul2022'!AJ30-'Tariffs Jul2022'!K30)*('Tariffs Jul2022'!W30/100)*'Tariffs Jul2022'!AJ30,('Tariffs Jul2022'!L30-'Tariffs Jul2022'!K30)*('Tariffs Jul2022'!W30/100)*'Tariffs Jul2022'!AJ30))</f>
        <v>0</v>
      </c>
      <c r="M36" s="59">
        <f>IF($C$5*'Tariffs Jul2022'!AL30/'Tariffs Jul2022'!AJ30&lt;'Tariffs Jul2022'!L30,0,IF($C$5*'Tariffs Jul2022'!AL30/'Tariffs Jul2022'!AJ30&lt;='Tariffs Jul2022'!M30,($C$5*'Tariffs Jul2022'!AL30/'Tariffs Jul2022'!AJ30-'Tariffs Jul2022'!L30)*('Tariffs Jul2022'!X30/100)*'Tariffs Jul2022'!AJ30,('Tariffs Jul2022'!M30-'Tariffs Jul2022'!L30)*('Tariffs Jul2022'!X30/100)*'Tariffs Jul2022'!AJ30))</f>
        <v>0</v>
      </c>
      <c r="N36" s="59">
        <f>IF(($C$5*'Tariffs Jul2022'!AL30/'Tariffs Jul2022'!AJ30&gt;'Tariffs Jul2022'!M30),($C$5*'Tariffs Jul2022'!AL30/'Tariffs Jul2022'!AJ30-'Tariffs Jul2022'!M30)*'Tariffs Jul2022'!Y30/100*'Tariffs Jul2022'!AJ30,0)</f>
        <v>394.77272727272725</v>
      </c>
      <c r="O36" s="59">
        <f t="shared" si="1"/>
        <v>1183.6963636363635</v>
      </c>
      <c r="P36" s="503">
        <f t="shared" si="2"/>
        <v>1302.0659999999998</v>
      </c>
      <c r="Q36" s="59">
        <f t="shared" si="3"/>
        <v>1481.0054545454543</v>
      </c>
      <c r="R36" s="272">
        <f t="shared" si="4"/>
        <v>1629.1059999999998</v>
      </c>
      <c r="S36" s="40">
        <f>'Tariffs Jul2022'!AN30</f>
        <v>0</v>
      </c>
      <c r="T36" s="40">
        <f>'Tariffs Jul2022'!AO30</f>
        <v>0</v>
      </c>
      <c r="U36" s="40">
        <f>'Tariffs Jul2022'!AP30</f>
        <v>0</v>
      </c>
      <c r="V36" s="40">
        <f>'Tariffs Jul2022'!AQ30</f>
        <v>0</v>
      </c>
      <c r="W36" s="537" t="str">
        <f>IF(SUM(S36:V36)=0,"No discount",IF(S36&gt;0,"Guaranteed off bill",IF(T36&gt;0,"Guaranteed off usage",IF(U36&gt;0,"Pay-on-time off bill","Pay-on-time off usage"))))</f>
        <v>No discount</v>
      </c>
      <c r="X36" s="538" t="str">
        <f>IF(OR(A36="Origin Energy",A36="Red Energy",A36="Powershop"),"Inclusive","Exclusive")</f>
        <v>Exclusive</v>
      </c>
      <c r="Y36" s="534">
        <f>IF(AND(W36="Guaranteed off bill",X36="Inclusive"),((Q36*1.1)-((Q36*1.1)*S36/100))/1.1,IF(AND(W36="Guaranteed off usage",X36="Inclusive"),((Q36*1.1)-((P36*1.1)*T36/100))/1.1,IF(AND(W36="Guaranteed off bill",X36="Exclusive"),Q36-(Q36*S36/100),IF(AND(W36="Guaranteed off usage",X36="Exclusive"),Q36-(P36*T36/100),IF(X36="Inclusive",((Q36*1.1))/1.1,Q36)))))</f>
        <v>1481.0054545454543</v>
      </c>
      <c r="Z36" s="535">
        <f>IF(AND(W36="Pay-on-time off bill",X36="Inclusive"),((Y36*1.1)-((Y36*1.1)*U36/100))/1.1,IF(AND(W36="Pay-on-time off usage",X36="Inclusive"),((Y36*1.1)-((P36*1.1)*V36/100))/1.1,IF(AND(W36="Pay-on-time off bill",X36="Exclusive"),Y36-(Y36*U36/100),IF(AND(W36="Pay-on-time off usage",X36="Exclusive"),Y36-(P36*V36/100),IF(X36="Inclusive",((Y36*1.1))/1.1,Y36)))))</f>
        <v>1481.0054545454543</v>
      </c>
      <c r="AA36" s="542">
        <f t="shared" ref="AA36:AB49" si="24">Y36*1.1</f>
        <v>1629.1059999999998</v>
      </c>
      <c r="AB36" s="542">
        <f t="shared" si="24"/>
        <v>1629.1059999999998</v>
      </c>
      <c r="AC36" s="274">
        <f>'Tariffs Jul2022'!AZ30</f>
        <v>0</v>
      </c>
      <c r="AD36" s="274" t="str">
        <f>'Tariffs Jul2022'!BA30</f>
        <v>n</v>
      </c>
      <c r="AE36" s="275" t="str">
        <f>'Tariffs Jul2022'!BJ30</f>
        <v>N</v>
      </c>
      <c r="AF36" s="593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593"/>
      <c r="AS36" s="593"/>
      <c r="AT36" s="593"/>
      <c r="AU36" s="593"/>
      <c r="AV36" s="593"/>
      <c r="AW36" s="593"/>
    </row>
    <row r="37" spans="1:49" ht="14" x14ac:dyDescent="0.15">
      <c r="A37" s="270" t="str">
        <f>'Tariffs Jul2022'!F31</f>
        <v>Alinta Energy</v>
      </c>
      <c r="B37" s="40" t="str">
        <f>'Tariffs Jul2022'!D31</f>
        <v>AGN North</v>
      </c>
      <c r="C37" s="40" t="str">
        <f>'Tariffs Jul2022'!G31</f>
        <v>Home Deal</v>
      </c>
      <c r="D37" s="59">
        <f>365*'Tariffs Jul2022'!H31/100</f>
        <v>237.21681818181816</v>
      </c>
      <c r="E37" s="59">
        <f>IF($C$5*'Tariffs Jul2022'!AK31/'Tariffs Jul2022'!AI31&gt;='Tariffs Jul2022'!J31,( 'Tariffs Jul2022'!J31*'Tariffs Jul2022'!O31/100)* 'Tariffs Jul2022'!AI31,($C$5*'Tariffs Jul2022'!AK31/'Tariffs Jul2022'!AI31*'Tariffs Jul2022'!O31/100)* 'Tariffs Jul2022'!AI31)</f>
        <v>114.85090909090908</v>
      </c>
      <c r="F37" s="59">
        <f>IF($C$5*'Tariffs Jul2022'!AK31/'Tariffs Jul2022'!AI31&lt;'Tariffs Jul2022'!J31,0,IF($C$5*'Tariffs Jul2022'!AK31/'Tariffs Jul2022'!AI31&lt;='Tariffs Jul2022'!K31,($C$5*'Tariffs Jul2022'!AK31/'Tariffs Jul2022'!AI31-'Tariffs Jul2022'!J31)*('Tariffs Jul2022'!P31/100)*'Tariffs Jul2022'!AI31,('Tariffs Jul2022'!K31-'Tariffs Jul2022'!J31)*('Tariffs Jul2022'!P31/100)*'Tariffs Jul2022'!AI31))</f>
        <v>94.603636363636355</v>
      </c>
      <c r="G37" s="59">
        <f>IF($C$5*'Tariffs Jul2022'!AK31/'Tariffs Jul2022'!AI31&lt;'Tariffs Jul2022'!K31,0,IF($C$5*'Tariffs Jul2022'!AK31/'Tariffs Jul2022'!AI31&lt;='Tariffs Jul2022'!L31,($C$5*'Tariffs Jul2022'!AK31/'Tariffs Jul2022'!AI31-'Tariffs Jul2022'!K31)*('Tariffs Jul2022'!Q31/100)*'Tariffs Jul2022'!AI31,('Tariffs Jul2022'!L31-'Tariffs Jul2022'!K31)*('Tariffs Jul2022'!Q31/100)*'Tariffs Jul2022'!AI31))</f>
        <v>0</v>
      </c>
      <c r="H37" s="59">
        <f>IF($C$5*'Tariffs Jul2022'!AK31/'Tariffs Jul2022'!AI31&lt;'Tariffs Jul2022'!L31,0,IF($C$5*'Tariffs Jul2022'!AK31/'Tariffs Jul2022'!AI31&lt;='Tariffs Jul2022'!M31,($C$5*'Tariffs Jul2022'!AK31/'Tariffs Jul2022'!AI31-'Tariffs Jul2022'!L31)*('Tariffs Jul2022'!R31/100)*'Tariffs Jul2022'!AI31,('Tariffs Jul2022'!M31-'Tariffs Jul2022'!L31)*('Tariffs Jul2022'!R31/100)*'Tariffs Jul2022'!AI31))</f>
        <v>0</v>
      </c>
      <c r="I37" s="59">
        <f>IF(($C$5*'Tariffs Jul2022'!AK31/'Tariffs Jul2022'!AI31&gt;'Tariffs Jul2022'!M31),($C$5*'Tariffs Jul2022'!AK31/'Tariffs Jul2022'!AI31-'Tariffs Jul2022'!M31)*'Tariffs Jul2022'!S31/100*'Tariffs Jul2022'!AI31,0)</f>
        <v>464.31818181818176</v>
      </c>
      <c r="J37" s="59">
        <f>IF($C$5*'Tariffs Jul2022'!AL31/'Tariffs Jul2022'!AJ31&gt;='Tariffs Jul2022'!J31,('Tariffs Jul2022'!J31*'Tariffs Jul2022'!U31/100)* 'Tariffs Jul2022'!AJ31,($C$5*'Tariffs Jul2022'!AL31/'Tariffs Jul2022'!AJ31*'Tariffs Jul2022'!U31/100)* 'Tariffs Jul2022'!AJ31)</f>
        <v>114.85090909090908</v>
      </c>
      <c r="K37" s="59">
        <f>IF($C$5*'Tariffs Jul2022'!AL31/'Tariffs Jul2022'!AJ31&lt;'Tariffs Jul2022'!J31,0,IF($C$5*'Tariffs Jul2022'!AL31/'Tariffs Jul2022'!AJ31&lt;='Tariffs Jul2022'!K31,($C$5*'Tariffs Jul2022'!AL31/'Tariffs Jul2022'!AJ31-'Tariffs Jul2022'!J31)*('Tariffs Jul2022'!V31/100)*'Tariffs Jul2022'!AJ31,('Tariffs Jul2022'!K31-'Tariffs Jul2022'!J31)*('Tariffs Jul2022'!V31/100)*'Tariffs Jul2022'!AJ31))</f>
        <v>94.603636363636355</v>
      </c>
      <c r="L37" s="59">
        <f>IF($C$5*'Tariffs Jul2022'!AL31/'Tariffs Jul2022'!AJ31&lt;'Tariffs Jul2022'!K31,0,IF($C$5*'Tariffs Jul2022'!AL31/'Tariffs Jul2022'!AJ31&lt;='Tariffs Jul2022'!L31,($C$5*'Tariffs Jul2022'!AL31/'Tariffs Jul2022'!AJ31-'Tariffs Jul2022'!K31)*('Tariffs Jul2022'!W31/100)*'Tariffs Jul2022'!AJ31,('Tariffs Jul2022'!L31-'Tariffs Jul2022'!K31)*('Tariffs Jul2022'!W31/100)*'Tariffs Jul2022'!AJ31))</f>
        <v>0</v>
      </c>
      <c r="M37" s="59">
        <f>IF($C$5*'Tariffs Jul2022'!AL31/'Tariffs Jul2022'!AJ31&lt;'Tariffs Jul2022'!L31,0,IF($C$5*'Tariffs Jul2022'!AL31/'Tariffs Jul2022'!AJ31&lt;='Tariffs Jul2022'!M31,($C$5*'Tariffs Jul2022'!AL31/'Tariffs Jul2022'!AJ31-'Tariffs Jul2022'!L31)*('Tariffs Jul2022'!X31/100)*'Tariffs Jul2022'!AJ31,('Tariffs Jul2022'!M31-'Tariffs Jul2022'!L31)*('Tariffs Jul2022'!X31/100)*'Tariffs Jul2022'!AJ31))</f>
        <v>0</v>
      </c>
      <c r="N37" s="59">
        <f>IF(($C$5*'Tariffs Jul2022'!AL31/'Tariffs Jul2022'!AJ31&gt;'Tariffs Jul2022'!M31),($C$5*'Tariffs Jul2022'!AL31/'Tariffs Jul2022'!AJ31-'Tariffs Jul2022'!M31)*'Tariffs Jul2022'!Y31/100*'Tariffs Jul2022'!AJ31,0)</f>
        <v>464.31818181818176</v>
      </c>
      <c r="O37" s="59">
        <f t="shared" si="1"/>
        <v>1347.5454545454545</v>
      </c>
      <c r="P37" s="503">
        <f t="shared" si="2"/>
        <v>1482.3000000000002</v>
      </c>
      <c r="Q37" s="59">
        <f t="shared" si="3"/>
        <v>1584.7622727272726</v>
      </c>
      <c r="R37" s="272">
        <f t="shared" si="4"/>
        <v>1743.2384999999999</v>
      </c>
      <c r="S37" s="40">
        <f>'Tariffs Jul2022'!AN31</f>
        <v>0</v>
      </c>
      <c r="T37" s="40">
        <f>'Tariffs Jul2022'!AO31</f>
        <v>0</v>
      </c>
      <c r="U37" s="40">
        <f>'Tariffs Jul2022'!AP31</f>
        <v>0</v>
      </c>
      <c r="V37" s="40">
        <f>'Tariffs Jul2022'!AQ31</f>
        <v>0</v>
      </c>
      <c r="W37" s="537" t="str">
        <f t="shared" ref="W37:W49" si="25">IF(SUM(S37:V37)=0,"No discount",IF(S37&gt;0,"Guaranteed off bill",IF(T37&gt;0,"Guaranteed off usage",IF(U37&gt;0,"Pay-on-time off bill","Pay-on-time off usage"))))</f>
        <v>No discount</v>
      </c>
      <c r="X37" s="538" t="str">
        <f t="shared" ref="X37:X49" si="26">IF(OR(A37="Origin Energy",A37="Red Energy",A37="Powershop"),"Inclusive","Exclusive")</f>
        <v>Exclusive</v>
      </c>
      <c r="Y37" s="534">
        <f>IF(AND(W37="Guaranteed off bill",X37="Inclusive"),((Q37*1.1)-((Q37*1.1)*S37/100))/1.1,IF(AND(W37="Guaranteed off usage",X37="Inclusive"),((Q37*1.1)-((P37*1.1)*T37/100))/1.1,IF(AND(W37="Guaranteed off bill",X37="Exclusive"),Q37-(Q37*S37/100),IF(AND(W37="Guaranteed off usage",X37="Exclusive"),Q37-(P37*T37/100),IF(X37="Inclusive",((Q37*1.1))/1.1,Q37)))))</f>
        <v>1584.7622727272726</v>
      </c>
      <c r="Z37" s="535">
        <f>IF(AND(W37="Pay-on-time off bill",X37="Inclusive"),((Y37*1.1)-((Y37*1.1)*U37/100))/1.1,IF(AND(W37="Pay-on-time off usage",X37="Inclusive"),((Y37*1.1)-((P37*1.1)*V37/100))/1.1,IF(AND(W37="Pay-on-time off bill",X37="Exclusive"),Y37-(Y37*U37/100),IF(AND(W37="Pay-on-time off usage",X37="Exclusive"),Y37-(P37*V37/100),IF(X37="Inclusive",((Y37*1.1))/1.1,Y37)))))</f>
        <v>1584.7622727272726</v>
      </c>
      <c r="AA37" s="542">
        <f t="shared" si="24"/>
        <v>1743.2384999999999</v>
      </c>
      <c r="AB37" s="542">
        <f t="shared" si="24"/>
        <v>1743.2384999999999</v>
      </c>
      <c r="AC37" s="274">
        <f>'Tariffs Jul2022'!AZ31</f>
        <v>0</v>
      </c>
      <c r="AD37" s="274" t="str">
        <f>'Tariffs Jul2022'!BA31</f>
        <v>n</v>
      </c>
      <c r="AE37" s="275" t="str">
        <f>'Tariffs Jul2022'!BJ31</f>
        <v>N</v>
      </c>
      <c r="AF37" s="593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593"/>
      <c r="AS37" s="593"/>
      <c r="AT37" s="593"/>
      <c r="AU37" s="593"/>
      <c r="AV37" s="593"/>
      <c r="AW37" s="593"/>
    </row>
    <row r="38" spans="1:49" ht="14" x14ac:dyDescent="0.15">
      <c r="A38" s="270" t="str">
        <f>'Tariffs Jul2022'!F32</f>
        <v>Dodo Power &amp; Gas</v>
      </c>
      <c r="B38" s="40" t="str">
        <f>'Tariffs Jul2022'!D32</f>
        <v>AGN North</v>
      </c>
      <c r="C38" s="40" t="str">
        <f>'Tariffs Jul2022'!G32</f>
        <v>Market offer</v>
      </c>
      <c r="D38" s="59">
        <f>365*'Tariffs Jul2022'!H32/100</f>
        <v>207.35318181818181</v>
      </c>
      <c r="E38" s="59">
        <f>IF($C$5*'Tariffs Jul2022'!AK32/'Tariffs Jul2022'!AI32&gt;='Tariffs Jul2022'!J32,( 'Tariffs Jul2022'!J32*'Tariffs Jul2022'!O32/100)* 'Tariffs Jul2022'!AI32,($C$5*'Tariffs Jul2022'!AK32/'Tariffs Jul2022'!AI32*'Tariffs Jul2022'!O32/100)* 'Tariffs Jul2022'!AI32)</f>
        <v>96.307272727272718</v>
      </c>
      <c r="F38" s="59">
        <f>IF($C$5*'Tariffs Jul2022'!AK32/'Tariffs Jul2022'!AI32&lt;'Tariffs Jul2022'!J32,0,IF($C$5*'Tariffs Jul2022'!AK32/'Tariffs Jul2022'!AI32&lt;='Tariffs Jul2022'!K32,($C$5*'Tariffs Jul2022'!AK32/'Tariffs Jul2022'!AI32-'Tariffs Jul2022'!J32)*('Tariffs Jul2022'!P32/100)*'Tariffs Jul2022'!AI32,('Tariffs Jul2022'!K32-'Tariffs Jul2022'!J32)*('Tariffs Jul2022'!P32/100)*'Tariffs Jul2022'!AI32))</f>
        <v>64.547272727272727</v>
      </c>
      <c r="G38" s="59">
        <f>IF($C$5*'Tariffs Jul2022'!AK32/'Tariffs Jul2022'!AI32&lt;'Tariffs Jul2022'!K32,0,IF($C$5*'Tariffs Jul2022'!AK32/'Tariffs Jul2022'!AI32&lt;='Tariffs Jul2022'!L32,($C$5*'Tariffs Jul2022'!AK32/'Tariffs Jul2022'!AI32-'Tariffs Jul2022'!K32)*('Tariffs Jul2022'!Q32/100)*'Tariffs Jul2022'!AI32,('Tariffs Jul2022'!L32-'Tariffs Jul2022'!K32)*('Tariffs Jul2022'!Q32/100)*'Tariffs Jul2022'!AI32))</f>
        <v>0</v>
      </c>
      <c r="H38" s="59">
        <f>IF($C$5*'Tariffs Jul2022'!AK32/'Tariffs Jul2022'!AI32&lt;'Tariffs Jul2022'!L32,0,IF($C$5*'Tariffs Jul2022'!AK32/'Tariffs Jul2022'!AI32&lt;='Tariffs Jul2022'!M32,($C$5*'Tariffs Jul2022'!AK32/'Tariffs Jul2022'!AI32-'Tariffs Jul2022'!L32)*('Tariffs Jul2022'!R32/100)*'Tariffs Jul2022'!AI32,('Tariffs Jul2022'!M32-'Tariffs Jul2022'!L32)*('Tariffs Jul2022'!R32/100)*'Tariffs Jul2022'!AI32))</f>
        <v>0</v>
      </c>
      <c r="I38" s="59">
        <f>IF(($C$5*'Tariffs Jul2022'!AK32/'Tariffs Jul2022'!AI32&gt;'Tariffs Jul2022'!M32),($C$5*'Tariffs Jul2022'!AK32/'Tariffs Jul2022'!AI32-'Tariffs Jul2022'!M32)*'Tariffs Jul2022'!S32/100*'Tariffs Jul2022'!AI32,0)</f>
        <v>293.14077272727269</v>
      </c>
      <c r="J38" s="59">
        <f>IF($C$5*'Tariffs Jul2022'!AL32/'Tariffs Jul2022'!AJ32&gt;='Tariffs Jul2022'!J32,('Tariffs Jul2022'!J32*'Tariffs Jul2022'!U32/100)* 'Tariffs Jul2022'!AJ32,($C$5*'Tariffs Jul2022'!AL32/'Tariffs Jul2022'!AJ32*'Tariffs Jul2022'!U32/100)* 'Tariffs Jul2022'!AJ32)</f>
        <v>192.61454545454544</v>
      </c>
      <c r="K38" s="59">
        <f>IF($C$5*'Tariffs Jul2022'!AL32/'Tariffs Jul2022'!AJ32&lt;'Tariffs Jul2022'!J32,0,IF($C$5*'Tariffs Jul2022'!AL32/'Tariffs Jul2022'!AJ32&lt;='Tariffs Jul2022'!K32,($C$5*'Tariffs Jul2022'!AL32/'Tariffs Jul2022'!AJ32-'Tariffs Jul2022'!J32)*('Tariffs Jul2022'!V32/100)*'Tariffs Jul2022'!AJ32,('Tariffs Jul2022'!K32-'Tariffs Jul2022'!J32)*('Tariffs Jul2022'!V32/100)*'Tariffs Jul2022'!AJ32))</f>
        <v>129.09454545454545</v>
      </c>
      <c r="L38" s="59">
        <f>IF($C$5*'Tariffs Jul2022'!AL32/'Tariffs Jul2022'!AJ32&lt;'Tariffs Jul2022'!K32,0,IF($C$5*'Tariffs Jul2022'!AL32/'Tariffs Jul2022'!AJ32&lt;='Tariffs Jul2022'!L32,($C$5*'Tariffs Jul2022'!AL32/'Tariffs Jul2022'!AJ32-'Tariffs Jul2022'!K32)*('Tariffs Jul2022'!W32/100)*'Tariffs Jul2022'!AJ32,('Tariffs Jul2022'!L32-'Tariffs Jul2022'!K32)*('Tariffs Jul2022'!W32/100)*'Tariffs Jul2022'!AJ32))</f>
        <v>0</v>
      </c>
      <c r="M38" s="59">
        <f>IF($C$5*'Tariffs Jul2022'!AL32/'Tariffs Jul2022'!AJ32&lt;'Tariffs Jul2022'!L32,0,IF($C$5*'Tariffs Jul2022'!AL32/'Tariffs Jul2022'!AJ32&lt;='Tariffs Jul2022'!M32,($C$5*'Tariffs Jul2022'!AL32/'Tariffs Jul2022'!AJ32-'Tariffs Jul2022'!L32)*('Tariffs Jul2022'!X32/100)*'Tariffs Jul2022'!AJ32,('Tariffs Jul2022'!M32-'Tariffs Jul2022'!L32)*('Tariffs Jul2022'!X32/100)*'Tariffs Jul2022'!AJ32))</f>
        <v>0</v>
      </c>
      <c r="N38" s="59">
        <f>IF(($C$5*'Tariffs Jul2022'!AL32/'Tariffs Jul2022'!AJ32&gt;'Tariffs Jul2022'!M32),($C$5*'Tariffs Jul2022'!AL32/'Tariffs Jul2022'!AJ32-'Tariffs Jul2022'!M32)*'Tariffs Jul2022'!Y32/100*'Tariffs Jul2022'!AJ32,0)</f>
        <v>586.28154545454538</v>
      </c>
      <c r="O38" s="59">
        <f t="shared" si="1"/>
        <v>1361.9859545454544</v>
      </c>
      <c r="P38" s="503">
        <f t="shared" si="2"/>
        <v>1498.1845499999999</v>
      </c>
      <c r="Q38" s="59">
        <f t="shared" si="3"/>
        <v>1569.3391363636363</v>
      </c>
      <c r="R38" s="272">
        <f t="shared" si="4"/>
        <v>1726.27305</v>
      </c>
      <c r="S38" s="40">
        <f>'Tariffs Jul2022'!AN32</f>
        <v>0</v>
      </c>
      <c r="T38" s="40">
        <f>'Tariffs Jul2022'!AO32</f>
        <v>0</v>
      </c>
      <c r="U38" s="40">
        <f>'Tariffs Jul2022'!AP32</f>
        <v>0</v>
      </c>
      <c r="V38" s="40">
        <f>'Tariffs Jul2022'!AQ32</f>
        <v>0</v>
      </c>
      <c r="W38" s="537" t="str">
        <f t="shared" si="25"/>
        <v>No discount</v>
      </c>
      <c r="X38" s="538" t="str">
        <f t="shared" si="26"/>
        <v>Exclusive</v>
      </c>
      <c r="Y38" s="534">
        <f>IF(AND(W38="Guaranteed off bill",X38="Inclusive"),((Q38*1.1)-((Q38*1.1)*S38/100))/1.1,IF(AND(W38="Guaranteed off usage",X38="Inclusive"),((Q38*1.1)-((P38*1.1)*T38/100))/1.1,IF(AND(W38="Guaranteed off bill",X38="Exclusive"),Q38-(Q38*S38/100),IF(AND(W38="Guaranteed off usage",X38="Exclusive"),Q38-(P38*T38/100),IF(X38="Inclusive",((Q38*1.1))/1.1,Q38)))))</f>
        <v>1569.3391363636363</v>
      </c>
      <c r="Z38" s="535">
        <f>IF(AND(W38="Pay-on-time off bill",X38="Inclusive"),((Y38*1.1)-((Y38*1.1)*U38/100))/1.1,IF(AND(W38="Pay-on-time off usage",X38="Inclusive"),((Y38*1.1)-((P38*1.1)*V38/100))/1.1,IF(AND(W38="Pay-on-time off bill",X38="Exclusive"),Y38-(Y38*U38/100),IF(AND(W38="Pay-on-time off usage",X38="Exclusive"),Y38-(P38*V38/100),IF(X38="Inclusive",((Y38*1.1))/1.1,Y38)))))</f>
        <v>1569.3391363636363</v>
      </c>
      <c r="AA38" s="542">
        <f t="shared" si="24"/>
        <v>1726.27305</v>
      </c>
      <c r="AB38" s="542">
        <f t="shared" si="24"/>
        <v>1726.27305</v>
      </c>
      <c r="AC38" s="274">
        <f>'Tariffs Jul2022'!AZ32</f>
        <v>0</v>
      </c>
      <c r="AD38" s="274" t="str">
        <f>'Tariffs Jul2022'!BA32</f>
        <v>n</v>
      </c>
      <c r="AE38" s="275" t="str">
        <f>'Tariffs Jul2022'!BJ32</f>
        <v>N</v>
      </c>
      <c r="AF38" s="593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593"/>
      <c r="AS38" s="593"/>
      <c r="AT38" s="593"/>
      <c r="AU38" s="593"/>
      <c r="AV38" s="593"/>
      <c r="AW38" s="593"/>
    </row>
    <row r="39" spans="1:49" ht="14" x14ac:dyDescent="0.15">
      <c r="A39" s="270" t="str">
        <f>'Tariffs Jul2022'!F33</f>
        <v>EnergyAustralia</v>
      </c>
      <c r="B39" s="40" t="str">
        <f>'Tariffs Jul2022'!D33</f>
        <v>AGN North</v>
      </c>
      <c r="C39" s="40" t="str">
        <f>'Tariffs Jul2022'!G33</f>
        <v>Flexi Plan</v>
      </c>
      <c r="D39" s="59">
        <f>365*'Tariffs Jul2022'!H33/100</f>
        <v>319.375</v>
      </c>
      <c r="E39" s="59">
        <f>IF($C$5*'Tariffs Jul2022'!AK33/'Tariffs Jul2022'!AI33&gt;='Tariffs Jul2022'!J33,( 'Tariffs Jul2022'!J33*'Tariffs Jul2022'!O33/100)* 'Tariffs Jul2022'!AI33,($C$5*'Tariffs Jul2022'!AK33/'Tariffs Jul2022'!AI33*'Tariffs Jul2022'!O33/100)* 'Tariffs Jul2022'!AI33)</f>
        <v>171.82772727272726</v>
      </c>
      <c r="F39" s="59">
        <f>IF($C$5*'Tariffs Jul2022'!AK33/'Tariffs Jul2022'!AI33&lt;'Tariffs Jul2022'!J33,0,IF($C$5*'Tariffs Jul2022'!AK33/'Tariffs Jul2022'!AI33&lt;='Tariffs Jul2022'!K33,($C$5*'Tariffs Jul2022'!AK33/'Tariffs Jul2022'!AI33-'Tariffs Jul2022'!J33)*('Tariffs Jul2022'!P33/100)*'Tariffs Jul2022'!AI33,('Tariffs Jul2022'!K33-'Tariffs Jul2022'!J33)*('Tariffs Jul2022'!P33/100)*'Tariffs Jul2022'!AI33))</f>
        <v>110.4940909090909</v>
      </c>
      <c r="G39" s="59">
        <f>IF($C$5*'Tariffs Jul2022'!AK33/'Tariffs Jul2022'!AI33&lt;'Tariffs Jul2022'!K33,0,IF($C$5*'Tariffs Jul2022'!AK33/'Tariffs Jul2022'!AI33&lt;='Tariffs Jul2022'!L33,($C$5*'Tariffs Jul2022'!AK33/'Tariffs Jul2022'!AI33-'Tariffs Jul2022'!K33)*('Tariffs Jul2022'!Q33/100)*'Tariffs Jul2022'!AI33,('Tariffs Jul2022'!L33-'Tariffs Jul2022'!K33)*('Tariffs Jul2022'!Q33/100)*'Tariffs Jul2022'!AI33))</f>
        <v>0</v>
      </c>
      <c r="H39" s="59">
        <f>IF($C$5*'Tariffs Jul2022'!AK33/'Tariffs Jul2022'!AI33&lt;'Tariffs Jul2022'!L33,0,IF($C$5*'Tariffs Jul2022'!AK33/'Tariffs Jul2022'!AI33&lt;='Tariffs Jul2022'!M33,($C$5*'Tariffs Jul2022'!AK33/'Tariffs Jul2022'!AI33-'Tariffs Jul2022'!L33)*('Tariffs Jul2022'!R33/100)*'Tariffs Jul2022'!AI33,('Tariffs Jul2022'!M33-'Tariffs Jul2022'!L33)*('Tariffs Jul2022'!R33/100)*'Tariffs Jul2022'!AI33))</f>
        <v>0</v>
      </c>
      <c r="I39" s="59">
        <f>IF(($C$5*'Tariffs Jul2022'!AK33/'Tariffs Jul2022'!AI33&gt;'Tariffs Jul2022'!M33),($C$5*'Tariffs Jul2022'!AK33/'Tariffs Jul2022'!AI33-'Tariffs Jul2022'!M33)*'Tariffs Jul2022'!S33/100*'Tariffs Jul2022'!AI33,0)</f>
        <v>492.95454545454544</v>
      </c>
      <c r="J39" s="59">
        <f>IF($C$5*'Tariffs Jul2022'!AL33/'Tariffs Jul2022'!AJ33&gt;='Tariffs Jul2022'!J33,('Tariffs Jul2022'!J33*'Tariffs Jul2022'!U33/100)* 'Tariffs Jul2022'!AJ33,($C$5*'Tariffs Jul2022'!AL33/'Tariffs Jul2022'!AJ33*'Tariffs Jul2022'!U33/100)* 'Tariffs Jul2022'!AJ33)</f>
        <v>171.82772727272726</v>
      </c>
      <c r="K39" s="59">
        <f>IF($C$5*'Tariffs Jul2022'!AL33/'Tariffs Jul2022'!AJ33&lt;'Tariffs Jul2022'!J33,0,IF($C$5*'Tariffs Jul2022'!AL33/'Tariffs Jul2022'!AJ33&lt;='Tariffs Jul2022'!K33,($C$5*'Tariffs Jul2022'!AL33/'Tariffs Jul2022'!AJ33-'Tariffs Jul2022'!J33)*('Tariffs Jul2022'!V33/100)*'Tariffs Jul2022'!AJ33,('Tariffs Jul2022'!K33-'Tariffs Jul2022'!J33)*('Tariffs Jul2022'!V33/100)*'Tariffs Jul2022'!AJ33))</f>
        <v>110.4940909090909</v>
      </c>
      <c r="L39" s="59">
        <f>IF($C$5*'Tariffs Jul2022'!AL33/'Tariffs Jul2022'!AJ33&lt;'Tariffs Jul2022'!K33,0,IF($C$5*'Tariffs Jul2022'!AL33/'Tariffs Jul2022'!AJ33&lt;='Tariffs Jul2022'!L33,($C$5*'Tariffs Jul2022'!AL33/'Tariffs Jul2022'!AJ33-'Tariffs Jul2022'!K33)*('Tariffs Jul2022'!W33/100)*'Tariffs Jul2022'!AJ33,('Tariffs Jul2022'!L33-'Tariffs Jul2022'!K33)*('Tariffs Jul2022'!W33/100)*'Tariffs Jul2022'!AJ33))</f>
        <v>0</v>
      </c>
      <c r="M39" s="59">
        <f>IF($C$5*'Tariffs Jul2022'!AL33/'Tariffs Jul2022'!AJ33&lt;'Tariffs Jul2022'!L33,0,IF($C$5*'Tariffs Jul2022'!AL33/'Tariffs Jul2022'!AJ33&lt;='Tariffs Jul2022'!M33,($C$5*'Tariffs Jul2022'!AL33/'Tariffs Jul2022'!AJ33-'Tariffs Jul2022'!L33)*('Tariffs Jul2022'!X33/100)*'Tariffs Jul2022'!AJ33,('Tariffs Jul2022'!M33-'Tariffs Jul2022'!L33)*('Tariffs Jul2022'!X33/100)*'Tariffs Jul2022'!AJ33))</f>
        <v>0</v>
      </c>
      <c r="N39" s="59">
        <f>IF(($C$5*'Tariffs Jul2022'!AL33/'Tariffs Jul2022'!AJ33&gt;'Tariffs Jul2022'!M33),($C$5*'Tariffs Jul2022'!AL33/'Tariffs Jul2022'!AJ33-'Tariffs Jul2022'!M33)*'Tariffs Jul2022'!Y33/100*'Tariffs Jul2022'!AJ33,0)</f>
        <v>492.95454545454544</v>
      </c>
      <c r="O39" s="59">
        <f t="shared" si="1"/>
        <v>1550.5527272727272</v>
      </c>
      <c r="P39" s="503">
        <f t="shared" si="2"/>
        <v>1705.6080000000002</v>
      </c>
      <c r="Q39" s="59">
        <f t="shared" si="3"/>
        <v>1869.9277272727272</v>
      </c>
      <c r="R39" s="272">
        <f t="shared" si="4"/>
        <v>2056.9205000000002</v>
      </c>
      <c r="S39" s="40">
        <f>'Tariffs Jul2022'!AN33</f>
        <v>8</v>
      </c>
      <c r="T39" s="40">
        <f>'Tariffs Jul2022'!AO33</f>
        <v>0</v>
      </c>
      <c r="U39" s="40">
        <f>'Tariffs Jul2022'!AP33</f>
        <v>0</v>
      </c>
      <c r="V39" s="40">
        <f>'Tariffs Jul2022'!AQ33</f>
        <v>0</v>
      </c>
      <c r="W39" s="537" t="str">
        <f t="shared" si="25"/>
        <v>Guaranteed off bill</v>
      </c>
      <c r="X39" s="538" t="str">
        <f t="shared" si="26"/>
        <v>Exclusive</v>
      </c>
      <c r="Y39" s="534">
        <f t="shared" ref="Y39" si="27">IF(AND(W39="Guaranteed off bill",X39="Inclusive"),((Q39*1.1)-((Q39*1.1)*S39/100))/1.1,IF(AND(W39="Guaranteed off usage",X39="Inclusive"),((Q39*1.1)-((P39*1.1)*T39/100))/1.1,IF(AND(W39="Guaranteed off bill",X39="Exclusive"),Q39-(Q39*S39/100),IF(AND(W39="Guaranteed off usage",X39="Exclusive"),Q39-(P39*T39/100),IF(X39="Inclusive",((Q39*1.1))/1.1,Q39)))))</f>
        <v>1720.333509090909</v>
      </c>
      <c r="Z39" s="535">
        <f t="shared" ref="Z39" si="28">IF(AND(W39="Pay-on-time off bill",X39="Inclusive"),((Y39*1.1)-((Y39*1.1)*U39/100))/1.1,IF(AND(W39="Pay-on-time off usage",X39="Inclusive"),((Y39*1.1)-((P39*1.1)*V39/100))/1.1,IF(AND(W39="Pay-on-time off bill",X39="Exclusive"),Y39-(Y39*U39/100),IF(AND(W39="Pay-on-time off usage",X39="Exclusive"),Y39-(P39*V39/100),IF(X39="Inclusive",((Y39*1.1))/1.1,Y39)))))</f>
        <v>1720.333509090909</v>
      </c>
      <c r="AA39" s="542">
        <f t="shared" si="24"/>
        <v>1892.3668600000001</v>
      </c>
      <c r="AB39" s="542">
        <f t="shared" si="24"/>
        <v>1892.3668600000001</v>
      </c>
      <c r="AC39" s="274">
        <f>'Tariffs Jul2022'!AZ33</f>
        <v>12</v>
      </c>
      <c r="AD39" s="274" t="str">
        <f>'Tariffs Jul2022'!BA33</f>
        <v>n</v>
      </c>
      <c r="AE39" s="275" t="str">
        <f>'Tariffs Jul2022'!BJ33</f>
        <v>N</v>
      </c>
      <c r="AF39" s="593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593"/>
      <c r="AS39" s="593"/>
      <c r="AT39" s="593"/>
      <c r="AU39" s="593"/>
      <c r="AV39" s="593"/>
      <c r="AW39" s="593"/>
    </row>
    <row r="40" spans="1:49" ht="14" x14ac:dyDescent="0.15">
      <c r="A40" s="270" t="str">
        <f>'Tariffs Jul2022'!F34</f>
        <v>Lumo Energy</v>
      </c>
      <c r="B40" s="40" t="str">
        <f>'Tariffs Jul2022'!D34</f>
        <v>AGN North</v>
      </c>
      <c r="C40" s="40" t="str">
        <f>'Tariffs Jul2022'!G34</f>
        <v>Value</v>
      </c>
      <c r="D40" s="59">
        <f>365*'Tariffs Jul2022'!H34/100</f>
        <v>269.20409090909089</v>
      </c>
      <c r="E40" s="59">
        <f>IF($C$5*'Tariffs Jul2022'!AK34/'Tariffs Jul2022'!AI34&gt;='Tariffs Jul2022'!J34,( 'Tariffs Jul2022'!J34*'Tariffs Jul2022'!O34/100)* 'Tariffs Jul2022'!AI34,($C$5*'Tariffs Jul2022'!AK34/'Tariffs Jul2022'!AI34*'Tariffs Jul2022'!O34/100)* 'Tariffs Jul2022'!AI34)</f>
        <v>102.73772727272726</v>
      </c>
      <c r="F40" s="59">
        <f>IF($C$5*'Tariffs Jul2022'!AK34/'Tariffs Jul2022'!AI34&lt;'Tariffs Jul2022'!J34,0,IF($C$5*'Tariffs Jul2022'!AK34/'Tariffs Jul2022'!AI34&lt;='Tariffs Jul2022'!K34,($C$5*'Tariffs Jul2022'!AK34/'Tariffs Jul2022'!AI34-'Tariffs Jul2022'!J34)*('Tariffs Jul2022'!P34/100)*'Tariffs Jul2022'!AI34,('Tariffs Jul2022'!K34-'Tariffs Jul2022'!J34)*('Tariffs Jul2022'!P34/100)*'Tariffs Jul2022'!AI34))</f>
        <v>80.560909090909092</v>
      </c>
      <c r="G40" s="59">
        <f>IF($C$5*'Tariffs Jul2022'!AK34/'Tariffs Jul2022'!AI34&lt;'Tariffs Jul2022'!K34,0,IF($C$5*'Tariffs Jul2022'!AK34/'Tariffs Jul2022'!AI34&lt;='Tariffs Jul2022'!L34,($C$5*'Tariffs Jul2022'!AK34/'Tariffs Jul2022'!AI34-'Tariffs Jul2022'!K34)*('Tariffs Jul2022'!Q34/100)*'Tariffs Jul2022'!AI34,('Tariffs Jul2022'!L34-'Tariffs Jul2022'!K34)*('Tariffs Jul2022'!Q34/100)*'Tariffs Jul2022'!AI34))</f>
        <v>0</v>
      </c>
      <c r="H40" s="59">
        <f>IF($C$5*'Tariffs Jul2022'!AK34/'Tariffs Jul2022'!AI34&lt;'Tariffs Jul2022'!L34,0,IF($C$5*'Tariffs Jul2022'!AK34/'Tariffs Jul2022'!AI34&lt;='Tariffs Jul2022'!M34,($C$5*'Tariffs Jul2022'!AK34/'Tariffs Jul2022'!AI34-'Tariffs Jul2022'!L34)*('Tariffs Jul2022'!R34/100)*'Tariffs Jul2022'!AI34,('Tariffs Jul2022'!M34-'Tariffs Jul2022'!L34)*('Tariffs Jul2022'!R34/100)*'Tariffs Jul2022'!AI34))</f>
        <v>0</v>
      </c>
      <c r="I40" s="59">
        <f>IF(($C$5*'Tariffs Jul2022'!AK34/'Tariffs Jul2022'!AI34&gt;'Tariffs Jul2022'!M34),($C$5*'Tariffs Jul2022'!AK34/'Tariffs Jul2022'!AI34-'Tariffs Jul2022'!M34)*'Tariffs Jul2022'!S34/100*'Tariffs Jul2022'!AI34,0)</f>
        <v>415.22727272727275</v>
      </c>
      <c r="J40" s="59">
        <f>IF($C$5*'Tariffs Jul2022'!AL34/'Tariffs Jul2022'!AJ34&gt;='Tariffs Jul2022'!J34,('Tariffs Jul2022'!J34*'Tariffs Jul2022'!U34/100)* 'Tariffs Jul2022'!AJ34,($C$5*'Tariffs Jul2022'!AL34/'Tariffs Jul2022'!AJ34*'Tariffs Jul2022'!U34/100)* 'Tariffs Jul2022'!AJ34)</f>
        <v>102.73772727272726</v>
      </c>
      <c r="K40" s="59">
        <f>IF($C$5*'Tariffs Jul2022'!AL34/'Tariffs Jul2022'!AJ34&lt;'Tariffs Jul2022'!J34,0,IF($C$5*'Tariffs Jul2022'!AL34/'Tariffs Jul2022'!AJ34&lt;='Tariffs Jul2022'!K34,($C$5*'Tariffs Jul2022'!AL34/'Tariffs Jul2022'!AJ34-'Tariffs Jul2022'!J34)*('Tariffs Jul2022'!V34/100)*'Tariffs Jul2022'!AJ34,('Tariffs Jul2022'!K34-'Tariffs Jul2022'!J34)*('Tariffs Jul2022'!V34/100)*'Tariffs Jul2022'!AJ34))</f>
        <v>80.560909090909092</v>
      </c>
      <c r="L40" s="59">
        <f>IF($C$5*'Tariffs Jul2022'!AL34/'Tariffs Jul2022'!AJ34&lt;'Tariffs Jul2022'!K34,0,IF($C$5*'Tariffs Jul2022'!AL34/'Tariffs Jul2022'!AJ34&lt;='Tariffs Jul2022'!L34,($C$5*'Tariffs Jul2022'!AL34/'Tariffs Jul2022'!AJ34-'Tariffs Jul2022'!K34)*('Tariffs Jul2022'!W34/100)*'Tariffs Jul2022'!AJ34,('Tariffs Jul2022'!L34-'Tariffs Jul2022'!K34)*('Tariffs Jul2022'!W34/100)*'Tariffs Jul2022'!AJ34))</f>
        <v>0</v>
      </c>
      <c r="M40" s="59">
        <f>IF($C$5*'Tariffs Jul2022'!AL34/'Tariffs Jul2022'!AJ34&lt;'Tariffs Jul2022'!L34,0,IF($C$5*'Tariffs Jul2022'!AL34/'Tariffs Jul2022'!AJ34&lt;='Tariffs Jul2022'!M34,($C$5*'Tariffs Jul2022'!AL34/'Tariffs Jul2022'!AJ34-'Tariffs Jul2022'!L34)*('Tariffs Jul2022'!X34/100)*'Tariffs Jul2022'!AJ34,('Tariffs Jul2022'!M34-'Tariffs Jul2022'!L34)*('Tariffs Jul2022'!X34/100)*'Tariffs Jul2022'!AJ34))</f>
        <v>0</v>
      </c>
      <c r="N40" s="59">
        <f>IF(($C$5*'Tariffs Jul2022'!AL34/'Tariffs Jul2022'!AJ34&gt;'Tariffs Jul2022'!M34),($C$5*'Tariffs Jul2022'!AL34/'Tariffs Jul2022'!AJ34-'Tariffs Jul2022'!M34)*'Tariffs Jul2022'!Y34/100*'Tariffs Jul2022'!AJ34,0)</f>
        <v>415.22727272727275</v>
      </c>
      <c r="O40" s="59">
        <f t="shared" si="1"/>
        <v>1197.0518181818181</v>
      </c>
      <c r="P40" s="503">
        <f t="shared" si="2"/>
        <v>1316.7570000000001</v>
      </c>
      <c r="Q40" s="59">
        <f t="shared" si="3"/>
        <v>1466.255909090909</v>
      </c>
      <c r="R40" s="272">
        <f t="shared" si="4"/>
        <v>1612.8815</v>
      </c>
      <c r="S40" s="40">
        <f>'Tariffs Jul2022'!AN34</f>
        <v>0</v>
      </c>
      <c r="T40" s="40">
        <f>'Tariffs Jul2022'!AO34</f>
        <v>0</v>
      </c>
      <c r="U40" s="40">
        <f>'Tariffs Jul2022'!AP34</f>
        <v>0</v>
      </c>
      <c r="V40" s="40">
        <f>'Tariffs Jul2022'!AQ34</f>
        <v>0</v>
      </c>
      <c r="W40" s="537" t="str">
        <f t="shared" si="25"/>
        <v>No discount</v>
      </c>
      <c r="X40" s="538" t="str">
        <f t="shared" si="26"/>
        <v>Exclusive</v>
      </c>
      <c r="Y40" s="534">
        <f>IF(AND(W40="Guaranteed off bill",X40="Inclusive"),((Q40*1.1)-((Q40*1.1)*S40/100))/1.1,IF(AND(W40="Guaranteed off usage",X40="Inclusive"),((Q40*1.1)-((P40*1.1)*T40/100))/1.1,IF(AND(W40="Guaranteed off bill",X40="Exclusive"),Q40-(Q40*S40/100),IF(AND(W40="Guaranteed off usage",X40="Exclusive"),Q40-(P40*T40/100),IF(X40="Inclusive",((Q40*1.1))/1.1,Q40)))))</f>
        <v>1466.255909090909</v>
      </c>
      <c r="Z40" s="535">
        <f>IF(AND(W40="Pay-on-time off bill",X40="Inclusive"),((Y40*1.1)-((Y40*1.1)*U40/100))/1.1,IF(AND(W40="Pay-on-time off usage",X40="Inclusive"),((Y40*1.1)-((P40*1.1)*V40/100))/1.1,IF(AND(W40="Pay-on-time off bill",X40="Exclusive"),Y40-(Y40*U40/100),IF(AND(W40="Pay-on-time off usage",X40="Exclusive"),Y40-(P40*V40/100),IF(X40="Inclusive",((Y40*1.1))/1.1,Y40)))))</f>
        <v>1466.255909090909</v>
      </c>
      <c r="AA40" s="542">
        <f t="shared" si="24"/>
        <v>1612.8815</v>
      </c>
      <c r="AB40" s="542">
        <f t="shared" si="24"/>
        <v>1612.8815</v>
      </c>
      <c r="AC40" s="274">
        <f>'Tariffs Jul2022'!AZ34</f>
        <v>0</v>
      </c>
      <c r="AD40" s="274" t="str">
        <f>'Tariffs Jul2022'!BA34</f>
        <v>n</v>
      </c>
      <c r="AE40" s="275" t="str">
        <f>'Tariffs Jul2022'!BJ34</f>
        <v>N</v>
      </c>
      <c r="AF40" s="593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593"/>
      <c r="AS40" s="593"/>
      <c r="AT40" s="593"/>
      <c r="AU40" s="593"/>
      <c r="AV40" s="593"/>
      <c r="AW40" s="593"/>
    </row>
    <row r="41" spans="1:49" ht="14" x14ac:dyDescent="0.15">
      <c r="A41" s="270" t="str">
        <f>'Tariffs Jul2022'!F35</f>
        <v>Origin Energy</v>
      </c>
      <c r="B41" s="40" t="str">
        <f>'Tariffs Jul2022'!D35</f>
        <v>AGN North</v>
      </c>
      <c r="C41" s="40" t="str">
        <f>'Tariffs Jul2022'!G35</f>
        <v>Go Variable</v>
      </c>
      <c r="D41" s="59">
        <f>365*'Tariffs Jul2022'!H35/100</f>
        <v>255.16818181818181</v>
      </c>
      <c r="E41" s="59">
        <f>IF($C$5*'Tariffs Jul2022'!AK35/'Tariffs Jul2022'!AI35&gt;='Tariffs Jul2022'!J35,( 'Tariffs Jul2022'!J35*'Tariffs Jul2022'!O35/100)* 'Tariffs Jul2022'!AI35,($C$5*'Tariffs Jul2022'!AK35/'Tariffs Jul2022'!AI35*'Tariffs Jul2022'!O35/100)* 'Tariffs Jul2022'!AI35)</f>
        <v>425.45454545454544</v>
      </c>
      <c r="F41" s="59">
        <f>IF($C$5*'Tariffs Jul2022'!AK35/'Tariffs Jul2022'!AI35&lt;'Tariffs Jul2022'!J35,0,IF($C$5*'Tariffs Jul2022'!AK35/'Tariffs Jul2022'!AI35&lt;='Tariffs Jul2022'!K35,($C$5*'Tariffs Jul2022'!AK35/'Tariffs Jul2022'!AI35-'Tariffs Jul2022'!J35)*('Tariffs Jul2022'!P35/100)*'Tariffs Jul2022'!AI35,('Tariffs Jul2022'!K35-'Tariffs Jul2022'!J35)*('Tariffs Jul2022'!P35/100)*'Tariffs Jul2022'!AI35))</f>
        <v>304.36363636363637</v>
      </c>
      <c r="G41" s="59">
        <f>IF($C$5*'Tariffs Jul2022'!AK35/'Tariffs Jul2022'!AI35&lt;'Tariffs Jul2022'!K35,0,IF($C$5*'Tariffs Jul2022'!AK35/'Tariffs Jul2022'!AI35&lt;='Tariffs Jul2022'!L35,($C$5*'Tariffs Jul2022'!AK35/'Tariffs Jul2022'!AI35-'Tariffs Jul2022'!K35)*('Tariffs Jul2022'!Q35/100)*'Tariffs Jul2022'!AI35,('Tariffs Jul2022'!L35-'Tariffs Jul2022'!K35)*('Tariffs Jul2022'!Q35/100)*'Tariffs Jul2022'!AI35))</f>
        <v>0</v>
      </c>
      <c r="H41" s="59">
        <f>IF($C$5*'Tariffs Jul2022'!AK35/'Tariffs Jul2022'!AI35&lt;'Tariffs Jul2022'!L35,0,IF($C$5*'Tariffs Jul2022'!AK35/'Tariffs Jul2022'!AI35&lt;='Tariffs Jul2022'!M35,($C$5*'Tariffs Jul2022'!AK35/'Tariffs Jul2022'!AI35-'Tariffs Jul2022'!L35)*('Tariffs Jul2022'!R35/100)*'Tariffs Jul2022'!AI35,('Tariffs Jul2022'!M35-'Tariffs Jul2022'!L35)*('Tariffs Jul2022'!R35/100)*'Tariffs Jul2022'!AI35))</f>
        <v>0</v>
      </c>
      <c r="I41" s="59">
        <f>IF(($C$5*'Tariffs Jul2022'!AK35/'Tariffs Jul2022'!AI35&gt;'Tariffs Jul2022'!M35),($C$5*'Tariffs Jul2022'!AK35/'Tariffs Jul2022'!AI35-'Tariffs Jul2022'!M35)*'Tariffs Jul2022'!S35/100*'Tariffs Jul2022'!AI35,0)</f>
        <v>0</v>
      </c>
      <c r="J41" s="59">
        <f>IF($C$5*'Tariffs Jul2022'!AL35/'Tariffs Jul2022'!AJ35&gt;='Tariffs Jul2022'!J35,('Tariffs Jul2022'!J35*'Tariffs Jul2022'!U35/100)* 'Tariffs Jul2022'!AJ35,($C$5*'Tariffs Jul2022'!AL35/'Tariffs Jul2022'!AJ35*'Tariffs Jul2022'!U35/100)* 'Tariffs Jul2022'!AJ35)</f>
        <v>425.45454545454544</v>
      </c>
      <c r="K41" s="59">
        <f>IF($C$5*'Tariffs Jul2022'!AL35/'Tariffs Jul2022'!AJ35&lt;'Tariffs Jul2022'!J35,0,IF($C$5*'Tariffs Jul2022'!AL35/'Tariffs Jul2022'!AJ35&lt;='Tariffs Jul2022'!K35,($C$5*'Tariffs Jul2022'!AL35/'Tariffs Jul2022'!AJ35-'Tariffs Jul2022'!J35)*('Tariffs Jul2022'!V35/100)*'Tariffs Jul2022'!AJ35,('Tariffs Jul2022'!K35-'Tariffs Jul2022'!J35)*('Tariffs Jul2022'!V35/100)*'Tariffs Jul2022'!AJ35))</f>
        <v>304.36363636363637</v>
      </c>
      <c r="L41" s="59">
        <f>IF($C$5*'Tariffs Jul2022'!AL35/'Tariffs Jul2022'!AJ35&lt;'Tariffs Jul2022'!K35,0,IF($C$5*'Tariffs Jul2022'!AL35/'Tariffs Jul2022'!AJ35&lt;='Tariffs Jul2022'!L35,($C$5*'Tariffs Jul2022'!AL35/'Tariffs Jul2022'!AJ35-'Tariffs Jul2022'!K35)*('Tariffs Jul2022'!W35/100)*'Tariffs Jul2022'!AJ35,('Tariffs Jul2022'!L35-'Tariffs Jul2022'!K35)*('Tariffs Jul2022'!W35/100)*'Tariffs Jul2022'!AJ35))</f>
        <v>0</v>
      </c>
      <c r="M41" s="59">
        <f>IF($C$5*'Tariffs Jul2022'!AL35/'Tariffs Jul2022'!AJ35&lt;'Tariffs Jul2022'!L35,0,IF($C$5*'Tariffs Jul2022'!AL35/'Tariffs Jul2022'!AJ35&lt;='Tariffs Jul2022'!M35,($C$5*'Tariffs Jul2022'!AL35/'Tariffs Jul2022'!AJ35-'Tariffs Jul2022'!L35)*('Tariffs Jul2022'!X35/100)*'Tariffs Jul2022'!AJ35,('Tariffs Jul2022'!M35-'Tariffs Jul2022'!L35)*('Tariffs Jul2022'!X35/100)*'Tariffs Jul2022'!AJ35))</f>
        <v>0</v>
      </c>
      <c r="N41" s="59">
        <f>IF(($C$5*'Tariffs Jul2022'!AL35/'Tariffs Jul2022'!AJ35&gt;'Tariffs Jul2022'!M35),($C$5*'Tariffs Jul2022'!AL35/'Tariffs Jul2022'!AJ35-'Tariffs Jul2022'!M35)*'Tariffs Jul2022'!Y35/100*'Tariffs Jul2022'!AJ35,0)</f>
        <v>0</v>
      </c>
      <c r="O41" s="59">
        <f t="shared" si="1"/>
        <v>1459.6363636363635</v>
      </c>
      <c r="P41" s="503">
        <f t="shared" si="2"/>
        <v>1605.6</v>
      </c>
      <c r="Q41" s="59">
        <f t="shared" si="3"/>
        <v>1714.8045454545454</v>
      </c>
      <c r="R41" s="272">
        <f t="shared" si="4"/>
        <v>1886.2850000000001</v>
      </c>
      <c r="S41" s="40">
        <f>'Tariffs Jul2022'!AN35</f>
        <v>0</v>
      </c>
      <c r="T41" s="40">
        <f>'Tariffs Jul2022'!AO35</f>
        <v>0</v>
      </c>
      <c r="U41" s="40">
        <f>'Tariffs Jul2022'!AP35</f>
        <v>0</v>
      </c>
      <c r="V41" s="40">
        <f>'Tariffs Jul2022'!AQ35</f>
        <v>0</v>
      </c>
      <c r="W41" s="537" t="str">
        <f t="shared" si="25"/>
        <v>No discount</v>
      </c>
      <c r="X41" s="538" t="str">
        <f t="shared" si="26"/>
        <v>Inclusive</v>
      </c>
      <c r="Y41" s="534">
        <f>IF(AND(W41="Guaranteed off bill",X41="Inclusive"),((Q41*1.1)-((Q41*1.1)*S41/100))/1.1,IF(AND(W41="Guaranteed off usage",X41="Inclusive"),((Q41*1.1)-((P41*1.1)*T41/100))/1.1,IF(AND(W41="Guaranteed off bill",X41="Exclusive"),Q41-(Q41*S41/100),IF(AND(W41="Guaranteed off usage",X41="Exclusive"),Q41-(P41*T41/100),IF(X41="Inclusive",((Q41*1.1))/1.1,Q41)))))</f>
        <v>1714.8045454545454</v>
      </c>
      <c r="Z41" s="535">
        <f>IF(AND(W41="Pay-on-time off bill",X41="Inclusive"),((Y41*1.1)-((Y41*1.1)*U41/100))/1.1,IF(AND(W41="Pay-on-time off usage",X41="Inclusive"),((Y41*1.1)-((P41*1.1)*V41/100))/1.1,IF(AND(W41="Pay-on-time off bill",X41="Exclusive"),Y41-(Y41*U41/100),IF(AND(W41="Pay-on-time off usage",X41="Exclusive"),Y41-(P41*V41/100),IF(X41="Inclusive",((Y41*1.1))/1.1,Y41)))))</f>
        <v>1714.8045454545454</v>
      </c>
      <c r="AA41" s="542">
        <f t="shared" si="24"/>
        <v>1886.2850000000001</v>
      </c>
      <c r="AB41" s="542">
        <f t="shared" si="24"/>
        <v>1886.2850000000001</v>
      </c>
      <c r="AC41" s="274">
        <f>'Tariffs Jul2022'!AZ35</f>
        <v>0</v>
      </c>
      <c r="AD41" s="274" t="str">
        <f>'Tariffs Jul2022'!BA35</f>
        <v>n</v>
      </c>
      <c r="AE41" s="275" t="str">
        <f>'Tariffs Jul2022'!BJ35</f>
        <v>N</v>
      </c>
      <c r="AF41" s="593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593"/>
      <c r="AS41" s="593"/>
      <c r="AT41" s="593"/>
      <c r="AU41" s="593"/>
      <c r="AV41" s="593"/>
      <c r="AW41" s="593"/>
    </row>
    <row r="42" spans="1:49" ht="14" x14ac:dyDescent="0.15">
      <c r="A42" s="270" t="str">
        <f>'Tariffs Jul2022'!F36</f>
        <v>Red Energy</v>
      </c>
      <c r="B42" s="40" t="str">
        <f>'Tariffs Jul2022'!D36</f>
        <v>AGN North</v>
      </c>
      <c r="C42" s="40" t="str">
        <f>'Tariffs Jul2022'!G36</f>
        <v>Living Energy Saver</v>
      </c>
      <c r="D42" s="59">
        <f>365*'Tariffs Jul2022'!H36/100</f>
        <v>269.20409090909089</v>
      </c>
      <c r="E42" s="59">
        <f>IF($C$5*'Tariffs Jul2022'!AK36/'Tariffs Jul2022'!AI36&gt;='Tariffs Jul2022'!J36,( 'Tariffs Jul2022'!J36*'Tariffs Jul2022'!O36/100)* 'Tariffs Jul2022'!AI36,($C$5*'Tariffs Jul2022'!AK36/'Tariffs Jul2022'!AI36*'Tariffs Jul2022'!O36/100)* 'Tariffs Jul2022'!AI36)</f>
        <v>110.36454545454546</v>
      </c>
      <c r="F42" s="59">
        <f>IF($C$5*'Tariffs Jul2022'!AK36/'Tariffs Jul2022'!AI36&lt;'Tariffs Jul2022'!J36,0,IF($C$5*'Tariffs Jul2022'!AK36/'Tariffs Jul2022'!AI36&lt;='Tariffs Jul2022'!K36,($C$5*'Tariffs Jul2022'!AK36/'Tariffs Jul2022'!AI36-'Tariffs Jul2022'!J36)*('Tariffs Jul2022'!P36/100)*'Tariffs Jul2022'!AI36,('Tariffs Jul2022'!K36-'Tariffs Jul2022'!J36)*('Tariffs Jul2022'!P36/100)*'Tariffs Jul2022'!AI36))</f>
        <v>86.473636363636359</v>
      </c>
      <c r="G42" s="59">
        <f>IF($C$5*'Tariffs Jul2022'!AK36/'Tariffs Jul2022'!AI36&lt;'Tariffs Jul2022'!K36,0,IF($C$5*'Tariffs Jul2022'!AK36/'Tariffs Jul2022'!AI36&lt;='Tariffs Jul2022'!L36,($C$5*'Tariffs Jul2022'!AK36/'Tariffs Jul2022'!AI36-'Tariffs Jul2022'!K36)*('Tariffs Jul2022'!Q36/100)*'Tariffs Jul2022'!AI36,('Tariffs Jul2022'!L36-'Tariffs Jul2022'!K36)*('Tariffs Jul2022'!Q36/100)*'Tariffs Jul2022'!AI36))</f>
        <v>0</v>
      </c>
      <c r="H42" s="59">
        <f>IF($C$5*'Tariffs Jul2022'!AK36/'Tariffs Jul2022'!AI36&lt;'Tariffs Jul2022'!L36,0,IF($C$5*'Tariffs Jul2022'!AK36/'Tariffs Jul2022'!AI36&lt;='Tariffs Jul2022'!M36,($C$5*'Tariffs Jul2022'!AK36/'Tariffs Jul2022'!AI36-'Tariffs Jul2022'!L36)*('Tariffs Jul2022'!R36/100)*'Tariffs Jul2022'!AI36,('Tariffs Jul2022'!M36-'Tariffs Jul2022'!L36)*('Tariffs Jul2022'!R36/100)*'Tariffs Jul2022'!AI36))</f>
        <v>0</v>
      </c>
      <c r="I42" s="59">
        <f>IF(($C$5*'Tariffs Jul2022'!AK36/'Tariffs Jul2022'!AI36&gt;'Tariffs Jul2022'!M36),($C$5*'Tariffs Jul2022'!AK36/'Tariffs Jul2022'!AI36-'Tariffs Jul2022'!M36)*'Tariffs Jul2022'!S36/100*'Tariffs Jul2022'!AI36,0)</f>
        <v>392.72727272727263</v>
      </c>
      <c r="J42" s="59">
        <f>IF($C$5*'Tariffs Jul2022'!AL36/'Tariffs Jul2022'!AJ36&gt;='Tariffs Jul2022'!J36,('Tariffs Jul2022'!J36*'Tariffs Jul2022'!U36/100)* 'Tariffs Jul2022'!AJ36,($C$5*'Tariffs Jul2022'!AL36/'Tariffs Jul2022'!AJ36*'Tariffs Jul2022'!U36/100)* 'Tariffs Jul2022'!AJ36)</f>
        <v>110.36454545454546</v>
      </c>
      <c r="K42" s="59">
        <f>IF($C$5*'Tariffs Jul2022'!AL36/'Tariffs Jul2022'!AJ36&lt;'Tariffs Jul2022'!J36,0,IF($C$5*'Tariffs Jul2022'!AL36/'Tariffs Jul2022'!AJ36&lt;='Tariffs Jul2022'!K36,($C$5*'Tariffs Jul2022'!AL36/'Tariffs Jul2022'!AJ36-'Tariffs Jul2022'!J36)*('Tariffs Jul2022'!V36/100)*'Tariffs Jul2022'!AJ36,('Tariffs Jul2022'!K36-'Tariffs Jul2022'!J36)*('Tariffs Jul2022'!V36/100)*'Tariffs Jul2022'!AJ36))</f>
        <v>86.473636363636359</v>
      </c>
      <c r="L42" s="59">
        <f>IF($C$5*'Tariffs Jul2022'!AL36/'Tariffs Jul2022'!AJ36&lt;'Tariffs Jul2022'!K36,0,IF($C$5*'Tariffs Jul2022'!AL36/'Tariffs Jul2022'!AJ36&lt;='Tariffs Jul2022'!L36,($C$5*'Tariffs Jul2022'!AL36/'Tariffs Jul2022'!AJ36-'Tariffs Jul2022'!K36)*('Tariffs Jul2022'!W36/100)*'Tariffs Jul2022'!AJ36,('Tariffs Jul2022'!L36-'Tariffs Jul2022'!K36)*('Tariffs Jul2022'!W36/100)*'Tariffs Jul2022'!AJ36))</f>
        <v>0</v>
      </c>
      <c r="M42" s="59">
        <f>IF($C$5*'Tariffs Jul2022'!AL36/'Tariffs Jul2022'!AJ36&lt;'Tariffs Jul2022'!L36,0,IF($C$5*'Tariffs Jul2022'!AL36/'Tariffs Jul2022'!AJ36&lt;='Tariffs Jul2022'!M36,($C$5*'Tariffs Jul2022'!AL36/'Tariffs Jul2022'!AJ36-'Tariffs Jul2022'!L36)*('Tariffs Jul2022'!X36/100)*'Tariffs Jul2022'!AJ36,('Tariffs Jul2022'!M36-'Tariffs Jul2022'!L36)*('Tariffs Jul2022'!X36/100)*'Tariffs Jul2022'!AJ36))</f>
        <v>0</v>
      </c>
      <c r="N42" s="59">
        <f>IF(($C$5*'Tariffs Jul2022'!AL36/'Tariffs Jul2022'!AJ36&gt;'Tariffs Jul2022'!M36),($C$5*'Tariffs Jul2022'!AL36/'Tariffs Jul2022'!AJ36-'Tariffs Jul2022'!M36)*'Tariffs Jul2022'!Y36/100*'Tariffs Jul2022'!AJ36,0)</f>
        <v>392.72727272727263</v>
      </c>
      <c r="O42" s="59">
        <f t="shared" si="1"/>
        <v>1179.130909090909</v>
      </c>
      <c r="P42" s="503">
        <f t="shared" si="2"/>
        <v>1297.0439999999999</v>
      </c>
      <c r="Q42" s="59">
        <f t="shared" si="3"/>
        <v>1448.3349999999998</v>
      </c>
      <c r="R42" s="272">
        <f t="shared" si="4"/>
        <v>1593.1685</v>
      </c>
      <c r="S42" s="40">
        <f>'Tariffs Jul2022'!AN36</f>
        <v>0</v>
      </c>
      <c r="T42" s="40">
        <f>'Tariffs Jul2022'!AO36</f>
        <v>0</v>
      </c>
      <c r="U42" s="40">
        <f>'Tariffs Jul2022'!AP36</f>
        <v>0</v>
      </c>
      <c r="V42" s="40">
        <f>'Tariffs Jul2022'!AQ36</f>
        <v>0</v>
      </c>
      <c r="W42" s="537" t="str">
        <f t="shared" si="25"/>
        <v>No discount</v>
      </c>
      <c r="X42" s="538" t="str">
        <f t="shared" si="26"/>
        <v>Inclusive</v>
      </c>
      <c r="Y42" s="534">
        <f t="shared" ref="Y42:Y44" si="29">IF(AND(W42="Guaranteed off bill",X42="Inclusive"),((Q42*1.1)-((Q42*1.1)*S42/100))/1.1,IF(AND(W42="Guaranteed off usage",X42="Inclusive"),((Q42*1.1)-((P42*1.1)*T42/100))/1.1,IF(AND(W42="Guaranteed off bill",X42="Exclusive"),Q42-(Q42*S42/100),IF(AND(W42="Guaranteed off usage",X42="Exclusive"),Q42-(P42*T42/100),IF(X42="Inclusive",((Q42*1.1))/1.1,Q42)))))</f>
        <v>1448.3349999999998</v>
      </c>
      <c r="Z42" s="535">
        <f t="shared" ref="Z42:Z44" si="30">IF(AND(W42="Pay-on-time off bill",X42="Inclusive"),((Y42*1.1)-((Y42*1.1)*U42/100))/1.1,IF(AND(W42="Pay-on-time off usage",X42="Inclusive"),((Y42*1.1)-((P42*1.1)*V42/100))/1.1,IF(AND(W42="Pay-on-time off bill",X42="Exclusive"),Y42-(Y42*U42/100),IF(AND(W42="Pay-on-time off usage",X42="Exclusive"),Y42-(P42*V42/100),IF(X42="Inclusive",((Y42*1.1))/1.1,Y42)))))</f>
        <v>1448.3349999999998</v>
      </c>
      <c r="AA42" s="542">
        <f t="shared" si="24"/>
        <v>1593.1685</v>
      </c>
      <c r="AB42" s="542">
        <f t="shared" si="24"/>
        <v>1593.1685</v>
      </c>
      <c r="AC42" s="274">
        <f>'Tariffs Jul2022'!AZ36</f>
        <v>0</v>
      </c>
      <c r="AD42" s="274" t="str">
        <f>'Tariffs Jul2022'!BA36</f>
        <v>n</v>
      </c>
      <c r="AE42" s="275" t="str">
        <f>'Tariffs Jul2022'!BJ36</f>
        <v>N</v>
      </c>
      <c r="AF42" s="593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593"/>
      <c r="AS42" s="593"/>
      <c r="AT42" s="593"/>
      <c r="AU42" s="593"/>
      <c r="AV42" s="593"/>
      <c r="AW42" s="593"/>
    </row>
    <row r="43" spans="1:49" ht="14" x14ac:dyDescent="0.15">
      <c r="A43" s="270" t="str">
        <f>'Tariffs Jul2022'!F37</f>
        <v>Simply Energy</v>
      </c>
      <c r="B43" s="40" t="str">
        <f>'Tariffs Jul2022'!D37</f>
        <v>AGN North</v>
      </c>
      <c r="C43" s="40" t="str">
        <f>'Tariffs Jul2022'!G37</f>
        <v>Basics</v>
      </c>
      <c r="D43" s="59">
        <f>365*'Tariffs Jul2022'!H37/100</f>
        <v>281.41499999999996</v>
      </c>
      <c r="E43" s="59">
        <f>IF($C$5*'Tariffs Jul2022'!AK37/'Tariffs Jul2022'!AI37&gt;='Tariffs Jul2022'!J37,( 'Tariffs Jul2022'!J37*'Tariffs Jul2022'!O37/100)* 'Tariffs Jul2022'!AI37,($C$5*'Tariffs Jul2022'!AK37/'Tariffs Jul2022'!AI37*'Tariffs Jul2022'!O37/100)* 'Tariffs Jul2022'!AI37)</f>
        <v>176.76272727272726</v>
      </c>
      <c r="F43" s="59">
        <f>IF($C$5*'Tariffs Jul2022'!AK37/'Tariffs Jul2022'!AI37&lt;'Tariffs Jul2022'!J37,0,IF($C$5*'Tariffs Jul2022'!AK37/'Tariffs Jul2022'!AI37&lt;='Tariffs Jul2022'!K37,($C$5*'Tariffs Jul2022'!AK37/'Tariffs Jul2022'!AI37-'Tariffs Jul2022'!J37)*('Tariffs Jul2022'!P37/100)*'Tariffs Jul2022'!AI37,('Tariffs Jul2022'!K37-'Tariffs Jul2022'!J37)*('Tariffs Jul2022'!P37/100)*'Tariffs Jul2022'!AI37))</f>
        <v>124.90636363636364</v>
      </c>
      <c r="G43" s="59">
        <f>IF($C$5*'Tariffs Jul2022'!AK37/'Tariffs Jul2022'!AI37&lt;'Tariffs Jul2022'!K37,0,IF($C$5*'Tariffs Jul2022'!AK37/'Tariffs Jul2022'!AI37&lt;='Tariffs Jul2022'!L37,($C$5*'Tariffs Jul2022'!AK37/'Tariffs Jul2022'!AI37-'Tariffs Jul2022'!K37)*('Tariffs Jul2022'!Q37/100)*'Tariffs Jul2022'!AI37,('Tariffs Jul2022'!L37-'Tariffs Jul2022'!K37)*('Tariffs Jul2022'!Q37/100)*'Tariffs Jul2022'!AI37))</f>
        <v>0</v>
      </c>
      <c r="H43" s="59">
        <f>IF($C$5*'Tariffs Jul2022'!AK37/'Tariffs Jul2022'!AI37&lt;'Tariffs Jul2022'!L37,0,IF($C$5*'Tariffs Jul2022'!AK37/'Tariffs Jul2022'!AI37&lt;='Tariffs Jul2022'!M37,($C$5*'Tariffs Jul2022'!AK37/'Tariffs Jul2022'!AI37-'Tariffs Jul2022'!L37)*('Tariffs Jul2022'!R37/100)*'Tariffs Jul2022'!AI37,('Tariffs Jul2022'!M37-'Tariffs Jul2022'!L37)*('Tariffs Jul2022'!R37/100)*'Tariffs Jul2022'!AI37))</f>
        <v>0</v>
      </c>
      <c r="I43" s="59">
        <f>IF(($C$5*'Tariffs Jul2022'!AK37/'Tariffs Jul2022'!AI37&gt;'Tariffs Jul2022'!M37),($C$5*'Tariffs Jul2022'!AK37/'Tariffs Jul2022'!AI37-'Tariffs Jul2022'!M37)*'Tariffs Jul2022'!S37/100*'Tariffs Jul2022'!AI37,0)</f>
        <v>589.09090909090901</v>
      </c>
      <c r="J43" s="59">
        <f>IF($C$5*'Tariffs Jul2022'!AL37/'Tariffs Jul2022'!AJ37&gt;='Tariffs Jul2022'!J37,('Tariffs Jul2022'!J37*'Tariffs Jul2022'!U37/100)* 'Tariffs Jul2022'!AJ37,($C$5*'Tariffs Jul2022'!AL37/'Tariffs Jul2022'!AJ37*'Tariffs Jul2022'!U37/100)* 'Tariffs Jul2022'!AJ37)</f>
        <v>176.76272727272726</v>
      </c>
      <c r="K43" s="59">
        <f>IF($C$5*'Tariffs Jul2022'!AL37/'Tariffs Jul2022'!AJ37&lt;'Tariffs Jul2022'!J37,0,IF($C$5*'Tariffs Jul2022'!AL37/'Tariffs Jul2022'!AJ37&lt;='Tariffs Jul2022'!K37,($C$5*'Tariffs Jul2022'!AL37/'Tariffs Jul2022'!AJ37-'Tariffs Jul2022'!J37)*('Tariffs Jul2022'!V37/100)*'Tariffs Jul2022'!AJ37,('Tariffs Jul2022'!K37-'Tariffs Jul2022'!J37)*('Tariffs Jul2022'!V37/100)*'Tariffs Jul2022'!AJ37))</f>
        <v>124.90636363636364</v>
      </c>
      <c r="L43" s="59">
        <f>IF($C$5*'Tariffs Jul2022'!AL37/'Tariffs Jul2022'!AJ37&lt;'Tariffs Jul2022'!K37,0,IF($C$5*'Tariffs Jul2022'!AL37/'Tariffs Jul2022'!AJ37&lt;='Tariffs Jul2022'!L37,($C$5*'Tariffs Jul2022'!AL37/'Tariffs Jul2022'!AJ37-'Tariffs Jul2022'!K37)*('Tariffs Jul2022'!W37/100)*'Tariffs Jul2022'!AJ37,('Tariffs Jul2022'!L37-'Tariffs Jul2022'!K37)*('Tariffs Jul2022'!W37/100)*'Tariffs Jul2022'!AJ37))</f>
        <v>0</v>
      </c>
      <c r="M43" s="59">
        <f>IF($C$5*'Tariffs Jul2022'!AL37/'Tariffs Jul2022'!AJ37&lt;'Tariffs Jul2022'!L37,0,IF($C$5*'Tariffs Jul2022'!AL37/'Tariffs Jul2022'!AJ37&lt;='Tariffs Jul2022'!M37,($C$5*'Tariffs Jul2022'!AL37/'Tariffs Jul2022'!AJ37-'Tariffs Jul2022'!L37)*('Tariffs Jul2022'!X37/100)*'Tariffs Jul2022'!AJ37,('Tariffs Jul2022'!M37-'Tariffs Jul2022'!L37)*('Tariffs Jul2022'!X37/100)*'Tariffs Jul2022'!AJ37))</f>
        <v>0</v>
      </c>
      <c r="N43" s="59">
        <f>IF(($C$5*'Tariffs Jul2022'!AL37/'Tariffs Jul2022'!AJ37&gt;'Tariffs Jul2022'!M37),($C$5*'Tariffs Jul2022'!AL37/'Tariffs Jul2022'!AJ37-'Tariffs Jul2022'!M37)*'Tariffs Jul2022'!Y37/100*'Tariffs Jul2022'!AJ37,0)</f>
        <v>589.09090909090901</v>
      </c>
      <c r="O43" s="59">
        <f t="shared" si="1"/>
        <v>1781.5199999999998</v>
      </c>
      <c r="P43" s="503">
        <f t="shared" si="2"/>
        <v>1959.6719999999998</v>
      </c>
      <c r="Q43" s="59">
        <f t="shared" si="3"/>
        <v>2062.9349999999995</v>
      </c>
      <c r="R43" s="272">
        <f t="shared" si="4"/>
        <v>2269.2284999999997</v>
      </c>
      <c r="S43" s="40">
        <f>'Tariffs Jul2022'!AN37</f>
        <v>0</v>
      </c>
      <c r="T43" s="40">
        <f>'Tariffs Jul2022'!AO37</f>
        <v>0</v>
      </c>
      <c r="U43" s="40">
        <f>'Tariffs Jul2022'!AP37</f>
        <v>0</v>
      </c>
      <c r="V43" s="40">
        <f>'Tariffs Jul2022'!AQ37</f>
        <v>0</v>
      </c>
      <c r="W43" s="537" t="str">
        <f t="shared" si="25"/>
        <v>No discount</v>
      </c>
      <c r="X43" s="538" t="str">
        <f t="shared" si="26"/>
        <v>Exclusive</v>
      </c>
      <c r="Y43" s="534">
        <f t="shared" si="29"/>
        <v>2062.9349999999995</v>
      </c>
      <c r="Z43" s="535">
        <f t="shared" si="30"/>
        <v>2062.9349999999995</v>
      </c>
      <c r="AA43" s="542">
        <f t="shared" si="24"/>
        <v>2269.2284999999997</v>
      </c>
      <c r="AB43" s="542">
        <f t="shared" si="24"/>
        <v>2269.2284999999997</v>
      </c>
      <c r="AC43" s="274">
        <f>'Tariffs Jul2022'!AZ37</f>
        <v>0</v>
      </c>
      <c r="AD43" s="274" t="str">
        <f>'Tariffs Jul2022'!BA37</f>
        <v>n</v>
      </c>
      <c r="AE43" s="275" t="str">
        <f>'Tariffs Jul2022'!BJ37</f>
        <v>N</v>
      </c>
      <c r="AF43" s="593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593"/>
      <c r="AS43" s="593"/>
      <c r="AT43" s="593"/>
      <c r="AU43" s="593"/>
      <c r="AV43" s="593"/>
      <c r="AW43" s="593"/>
    </row>
    <row r="44" spans="1:49" ht="14" x14ac:dyDescent="0.15">
      <c r="A44" s="270" t="str">
        <f>'Tariffs Jul2022'!F38</f>
        <v>GloBird Energy</v>
      </c>
      <c r="B44" s="40" t="str">
        <f>'Tariffs Jul2022'!D38</f>
        <v>AGN North</v>
      </c>
      <c r="C44" s="40" t="str">
        <f>'Tariffs Jul2022'!G38</f>
        <v>GloSave</v>
      </c>
      <c r="D44" s="59">
        <f>365*'Tariffs Jul2022'!H38/100</f>
        <v>218.99999999999997</v>
      </c>
      <c r="E44" s="59">
        <f>IF($C$5*'Tariffs Jul2022'!AK38/'Tariffs Jul2022'!AI38&gt;='Tariffs Jul2022'!J38,( 'Tariffs Jul2022'!J38*'Tariffs Jul2022'!O38/100)* 'Tariffs Jul2022'!AI38,($C$5*'Tariffs Jul2022'!AK38/'Tariffs Jul2022'!AI38*'Tariffs Jul2022'!O38/100)* 'Tariffs Jul2022'!AI38)</f>
        <v>292.90909090909093</v>
      </c>
      <c r="F44" s="59">
        <f>IF($C$5*'Tariffs Jul2022'!AK38/'Tariffs Jul2022'!AI38&lt;'Tariffs Jul2022'!J38,0,IF($C$5*'Tariffs Jul2022'!AK38/'Tariffs Jul2022'!AI38&lt;='Tariffs Jul2022'!K38,($C$5*'Tariffs Jul2022'!AK38/'Tariffs Jul2022'!AI38-'Tariffs Jul2022'!J38)*('Tariffs Jul2022'!P38/100)*'Tariffs Jul2022'!AI38,('Tariffs Jul2022'!K38-'Tariffs Jul2022'!J38)*('Tariffs Jul2022'!P38/100)*'Tariffs Jul2022'!AI38))</f>
        <v>0</v>
      </c>
      <c r="G44" s="59">
        <f>IF($C$5*'Tariffs Jul2022'!AK38/'Tariffs Jul2022'!AI38&lt;'Tariffs Jul2022'!K38,0,IF($C$5*'Tariffs Jul2022'!AK38/'Tariffs Jul2022'!AI38&lt;='Tariffs Jul2022'!L38,($C$5*'Tariffs Jul2022'!AK38/'Tariffs Jul2022'!AI38-'Tariffs Jul2022'!K38)*('Tariffs Jul2022'!Q38/100)*'Tariffs Jul2022'!AI38,('Tariffs Jul2022'!L38-'Tariffs Jul2022'!K38)*('Tariffs Jul2022'!Q38/100)*'Tariffs Jul2022'!AI38))</f>
        <v>0</v>
      </c>
      <c r="H44" s="59">
        <f>IF($C$5*'Tariffs Jul2022'!AK38/'Tariffs Jul2022'!AI38&lt;'Tariffs Jul2022'!L38,0,IF($C$5*'Tariffs Jul2022'!AK38/'Tariffs Jul2022'!AI38&lt;='Tariffs Jul2022'!M38,($C$5*'Tariffs Jul2022'!AK38/'Tariffs Jul2022'!AI38-'Tariffs Jul2022'!L38)*('Tariffs Jul2022'!R38/100)*'Tariffs Jul2022'!AI38,('Tariffs Jul2022'!M38-'Tariffs Jul2022'!L38)*('Tariffs Jul2022'!R38/100)*'Tariffs Jul2022'!AI38))</f>
        <v>0</v>
      </c>
      <c r="I44" s="59">
        <f>IF(($C$5*'Tariffs Jul2022'!AK38/'Tariffs Jul2022'!AI38&gt;'Tariffs Jul2022'!M38),($C$5*'Tariffs Jul2022'!AK38/'Tariffs Jul2022'!AI38-'Tariffs Jul2022'!M38)*'Tariffs Jul2022'!S38/100*'Tariffs Jul2022'!AI38,0)</f>
        <v>619.77272727272714</v>
      </c>
      <c r="J44" s="59">
        <f>IF($C$5*'Tariffs Jul2022'!AL38/'Tariffs Jul2022'!AJ38&gt;='Tariffs Jul2022'!J38,('Tariffs Jul2022'!J38*'Tariffs Jul2022'!U38/100)* 'Tariffs Jul2022'!AJ38,($C$5*'Tariffs Jul2022'!AL38/'Tariffs Jul2022'!AJ38*'Tariffs Jul2022'!U38/100)* 'Tariffs Jul2022'!AJ38)</f>
        <v>292.90909090909093</v>
      </c>
      <c r="K44" s="59">
        <f>IF($C$5*'Tariffs Jul2022'!AL38/'Tariffs Jul2022'!AJ38&lt;'Tariffs Jul2022'!J38,0,IF($C$5*'Tariffs Jul2022'!AL38/'Tariffs Jul2022'!AJ38&lt;='Tariffs Jul2022'!K38,($C$5*'Tariffs Jul2022'!AL38/'Tariffs Jul2022'!AJ38-'Tariffs Jul2022'!J38)*('Tariffs Jul2022'!V38/100)*'Tariffs Jul2022'!AJ38,('Tariffs Jul2022'!K38-'Tariffs Jul2022'!J38)*('Tariffs Jul2022'!V38/100)*'Tariffs Jul2022'!AJ38))</f>
        <v>0</v>
      </c>
      <c r="L44" s="59">
        <f>IF($C$5*'Tariffs Jul2022'!AL38/'Tariffs Jul2022'!AJ38&lt;'Tariffs Jul2022'!K38,0,IF($C$5*'Tariffs Jul2022'!AL38/'Tariffs Jul2022'!AJ38&lt;='Tariffs Jul2022'!L38,($C$5*'Tariffs Jul2022'!AL38/'Tariffs Jul2022'!AJ38-'Tariffs Jul2022'!K38)*('Tariffs Jul2022'!W38/100)*'Tariffs Jul2022'!AJ38,('Tariffs Jul2022'!L38-'Tariffs Jul2022'!K38)*('Tariffs Jul2022'!W38/100)*'Tariffs Jul2022'!AJ38))</f>
        <v>0</v>
      </c>
      <c r="M44" s="59">
        <f>IF($C$5*'Tariffs Jul2022'!AL38/'Tariffs Jul2022'!AJ38&lt;'Tariffs Jul2022'!L38,0,IF($C$5*'Tariffs Jul2022'!AL38/'Tariffs Jul2022'!AJ38&lt;='Tariffs Jul2022'!M38,($C$5*'Tariffs Jul2022'!AL38/'Tariffs Jul2022'!AJ38-'Tariffs Jul2022'!L38)*('Tariffs Jul2022'!X38/100)*'Tariffs Jul2022'!AJ38,('Tariffs Jul2022'!M38-'Tariffs Jul2022'!L38)*('Tariffs Jul2022'!X38/100)*'Tariffs Jul2022'!AJ38))</f>
        <v>0</v>
      </c>
      <c r="N44" s="59">
        <f>IF(($C$5*'Tariffs Jul2022'!AL38/'Tariffs Jul2022'!AJ38&gt;'Tariffs Jul2022'!M38),($C$5*'Tariffs Jul2022'!AL38/'Tariffs Jul2022'!AJ38-'Tariffs Jul2022'!M38)*'Tariffs Jul2022'!Y38/100*'Tariffs Jul2022'!AJ38,0)</f>
        <v>619.77272727272714</v>
      </c>
      <c r="O44" s="59">
        <f t="shared" si="1"/>
        <v>1825.363636363636</v>
      </c>
      <c r="P44" s="503">
        <f t="shared" si="2"/>
        <v>2007.8999999999999</v>
      </c>
      <c r="Q44" s="59">
        <f t="shared" si="3"/>
        <v>2044.363636363636</v>
      </c>
      <c r="R44" s="272">
        <f t="shared" si="4"/>
        <v>2248.7999999999997</v>
      </c>
      <c r="S44" s="40">
        <f>'Tariffs Jul2022'!AN38</f>
        <v>0</v>
      </c>
      <c r="T44" s="40">
        <f>'Tariffs Jul2022'!AO38</f>
        <v>0</v>
      </c>
      <c r="U44" s="40">
        <f>'Tariffs Jul2022'!AP38</f>
        <v>0</v>
      </c>
      <c r="V44" s="40">
        <f>'Tariffs Jul2022'!AQ38</f>
        <v>0</v>
      </c>
      <c r="W44" s="537" t="str">
        <f t="shared" si="25"/>
        <v>No discount</v>
      </c>
      <c r="X44" s="538" t="str">
        <f t="shared" si="26"/>
        <v>Exclusive</v>
      </c>
      <c r="Y44" s="534">
        <f t="shared" si="29"/>
        <v>2044.363636363636</v>
      </c>
      <c r="Z44" s="535">
        <f t="shared" si="30"/>
        <v>2044.363636363636</v>
      </c>
      <c r="AA44" s="542">
        <f t="shared" si="24"/>
        <v>2248.7999999999997</v>
      </c>
      <c r="AB44" s="542">
        <f t="shared" si="24"/>
        <v>2248.7999999999997</v>
      </c>
      <c r="AC44" s="274">
        <f>'Tariffs Jul2022'!AZ38</f>
        <v>0</v>
      </c>
      <c r="AD44" s="274" t="str">
        <f>'Tariffs Jul2022'!BA38</f>
        <v>n</v>
      </c>
      <c r="AE44" s="275" t="str">
        <f>'Tariffs Jul2022'!BJ38</f>
        <v>N</v>
      </c>
      <c r="AF44" s="593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3"/>
      <c r="AR44" s="593"/>
      <c r="AS44" s="593"/>
      <c r="AT44" s="593"/>
      <c r="AU44" s="593"/>
      <c r="AV44" s="593"/>
      <c r="AW44" s="593"/>
    </row>
    <row r="45" spans="1:49" ht="14" x14ac:dyDescent="0.15">
      <c r="A45" s="270" t="str">
        <f>'Tariffs Jul2022'!F39</f>
        <v>Powershop</v>
      </c>
      <c r="B45" s="40" t="str">
        <f>'Tariffs Jul2022'!D39</f>
        <v>AGN North</v>
      </c>
      <c r="C45" s="40" t="str">
        <f>'Tariffs Jul2022'!G39</f>
        <v>Carbon Neutral</v>
      </c>
      <c r="D45" s="59">
        <f>365*'Tariffs Jul2022'!H39/100</f>
        <v>247.8681818181818</v>
      </c>
      <c r="E45" s="59">
        <f>((C$5*'Tariffs Jul2022'!AK39/'Tariffs Jul2022'!AI39)*('Tariffs Jul2022'!O39/100))*'Tariffs Jul2022'!AI39</f>
        <v>624.27272727272725</v>
      </c>
      <c r="F45" s="59">
        <v>0</v>
      </c>
      <c r="G45" s="59">
        <v>0</v>
      </c>
      <c r="H45" s="59">
        <v>0</v>
      </c>
      <c r="I45" s="59">
        <v>0</v>
      </c>
      <c r="J45" s="59">
        <f>((C$5*'Tariffs Jul2022'!AL39/'Tariffs Jul2022'!AJ39)*('Tariffs Jul2022'!U39/100))*'Tariffs Jul2022'!AJ39</f>
        <v>624.27272727272725</v>
      </c>
      <c r="K45" s="59">
        <v>0</v>
      </c>
      <c r="L45" s="59">
        <v>0</v>
      </c>
      <c r="M45" s="59">
        <v>0</v>
      </c>
      <c r="N45" s="59">
        <v>0</v>
      </c>
      <c r="O45" s="59">
        <f t="shared" si="1"/>
        <v>1248.5454545454545</v>
      </c>
      <c r="P45" s="503">
        <f t="shared" si="2"/>
        <v>1373.4</v>
      </c>
      <c r="Q45" s="59">
        <f t="shared" si="3"/>
        <v>1496.4136363636362</v>
      </c>
      <c r="R45" s="272">
        <f t="shared" si="4"/>
        <v>1646.0550000000001</v>
      </c>
      <c r="S45" s="40">
        <f>'Tariffs Jul2022'!AN39</f>
        <v>0</v>
      </c>
      <c r="T45" s="40">
        <f>'Tariffs Jul2022'!AO39</f>
        <v>0</v>
      </c>
      <c r="U45" s="40">
        <f>'Tariffs Jul2022'!AP39</f>
        <v>0</v>
      </c>
      <c r="V45" s="40">
        <f>'Tariffs Jul2022'!AQ39</f>
        <v>0</v>
      </c>
      <c r="W45" s="537" t="str">
        <f t="shared" si="25"/>
        <v>No discount</v>
      </c>
      <c r="X45" s="538" t="str">
        <f t="shared" si="26"/>
        <v>Inclusive</v>
      </c>
      <c r="Y45" s="534">
        <f>IF(AND(W45="Guaranteed off bill",X45="Inclusive"),((Q45*1.1)-((Q45*1.1)*S45/100))/1.1,IF(AND(W45="Guaranteed off usage",X45="Inclusive"),((Q45*1.1)-((P45*1.1)*T45/100))/1.1,IF(AND(W45="Guaranteed off bill",X45="Exclusive"),Q45-(Q45*S45/100),IF(AND(W45="Guaranteed off usage",X45="Exclusive"),Q45-(P45*T45/100),IF(X45="Inclusive",((Q45*1.1))/1.1,Q45)))))</f>
        <v>1496.4136363636362</v>
      </c>
      <c r="Z45" s="535">
        <f>IF(AND(W45="Pay-on-time off bill",X45="Inclusive"),((Y45*1.1)-((Y45*1.1)*U45/100))/1.1,IF(AND(W45="Pay-on-time off usage",X45="Inclusive"),((Y45*1.1)-((P45*1.1)*V45/100))/1.1,IF(AND(W45="Pay-on-time off bill",X45="Exclusive"),Y45-(Y45*U45/100),IF(AND(W45="Pay-on-time off usage",X45="Exclusive"),Y45-(P45*V45/100),IF(X45="Inclusive",((Y45*1.1))/1.1,Y45)))))</f>
        <v>1496.4136363636362</v>
      </c>
      <c r="AA45" s="542">
        <f t="shared" si="24"/>
        <v>1646.0550000000001</v>
      </c>
      <c r="AB45" s="542">
        <f t="shared" si="24"/>
        <v>1646.0550000000001</v>
      </c>
      <c r="AC45" s="274">
        <f>'Tariffs Jul2022'!AZ39</f>
        <v>0</v>
      </c>
      <c r="AD45" s="274" t="str">
        <f>'Tariffs Jul2022'!BA39</f>
        <v>n</v>
      </c>
      <c r="AE45" s="275" t="str">
        <f>'Tariffs Jul2022'!BJ39</f>
        <v>Y</v>
      </c>
      <c r="AF45" s="593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3"/>
      <c r="AR45" s="593"/>
      <c r="AS45" s="593"/>
      <c r="AT45" s="593"/>
      <c r="AU45" s="593"/>
      <c r="AV45" s="593"/>
      <c r="AW45" s="593"/>
    </row>
    <row r="46" spans="1:49" ht="14" x14ac:dyDescent="0.15">
      <c r="A46" s="270" t="str">
        <f>'Tariffs Jul2022'!F40</f>
        <v>1st Energy</v>
      </c>
      <c r="B46" s="40" t="str">
        <f>'Tariffs Jul2022'!D40</f>
        <v>AGN North</v>
      </c>
      <c r="C46" s="40" t="str">
        <f>'Tariffs Jul2022'!G40</f>
        <v>1st Saver Plus</v>
      </c>
      <c r="D46" s="59">
        <f>365*'Tariffs Jul2022'!H40/100</f>
        <v>266.45</v>
      </c>
      <c r="E46" s="59">
        <f>IF($C$5*'Tariffs Jul2022'!AK40/'Tariffs Jul2022'!AI40&gt;='Tariffs Jul2022'!J40,( 'Tariffs Jul2022'!J40*'Tariffs Jul2022'!O40/100)* 'Tariffs Jul2022'!AI40,($C$5*'Tariffs Jul2022'!AK40/'Tariffs Jul2022'!AI40*'Tariffs Jul2022'!O40/100)* 'Tariffs Jul2022'!AI40)</f>
        <v>144.46090909090907</v>
      </c>
      <c r="F46" s="59">
        <f>IF($C$5*'Tariffs Jul2022'!AK40/'Tariffs Jul2022'!AI40&lt;'Tariffs Jul2022'!J40,0,IF($C$5*'Tariffs Jul2022'!AK40/'Tariffs Jul2022'!AI40&lt;='Tariffs Jul2022'!K40,($C$5*'Tariffs Jul2022'!AK40/'Tariffs Jul2022'!AI40-'Tariffs Jul2022'!J40)*('Tariffs Jul2022'!P40/100)*'Tariffs Jul2022'!AI40,('Tariffs Jul2022'!K40-'Tariffs Jul2022'!J40)*('Tariffs Jul2022'!P40/100)*'Tariffs Jul2022'!AI40))</f>
        <v>103.47272727272725</v>
      </c>
      <c r="G46" s="59">
        <f>IF($C$5*'Tariffs Jul2022'!AK40/'Tariffs Jul2022'!AI40&lt;'Tariffs Jul2022'!K40,0,IF($C$5*'Tariffs Jul2022'!AK40/'Tariffs Jul2022'!AI40&lt;='Tariffs Jul2022'!L40,($C$5*'Tariffs Jul2022'!AK40/'Tariffs Jul2022'!AI40-'Tariffs Jul2022'!K40)*('Tariffs Jul2022'!Q40/100)*'Tariffs Jul2022'!AI40,('Tariffs Jul2022'!L40-'Tariffs Jul2022'!K40)*('Tariffs Jul2022'!Q40/100)*'Tariffs Jul2022'!AI40))</f>
        <v>0</v>
      </c>
      <c r="H46" s="59">
        <f>IF($C$5*'Tariffs Jul2022'!AK40/'Tariffs Jul2022'!AI40&lt;'Tariffs Jul2022'!L40,0,IF($C$5*'Tariffs Jul2022'!AK40/'Tariffs Jul2022'!AI40&lt;='Tariffs Jul2022'!M40,($C$5*'Tariffs Jul2022'!AK40/'Tariffs Jul2022'!AI40-'Tariffs Jul2022'!L40)*('Tariffs Jul2022'!R40/100)*'Tariffs Jul2022'!AI40,('Tariffs Jul2022'!M40-'Tariffs Jul2022'!L40)*('Tariffs Jul2022'!R40/100)*'Tariffs Jul2022'!AI40))</f>
        <v>0</v>
      </c>
      <c r="I46" s="59">
        <f>IF(($C$5*'Tariffs Jul2022'!AK40/'Tariffs Jul2022'!AI40&gt;'Tariffs Jul2022'!M40),($C$5*'Tariffs Jul2022'!AK40/'Tariffs Jul2022'!AI40-'Tariffs Jul2022'!M40)*'Tariffs Jul2022'!S40/100*'Tariffs Jul2022'!AI40,0)</f>
        <v>490.90909090909088</v>
      </c>
      <c r="J46" s="59">
        <f>IF($C$5*'Tariffs Jul2022'!AL40/'Tariffs Jul2022'!AJ40&gt;='Tariffs Jul2022'!J40,('Tariffs Jul2022'!J40*'Tariffs Jul2022'!U40/100)* 'Tariffs Jul2022'!AJ40,($C$5*'Tariffs Jul2022'!AL40/'Tariffs Jul2022'!AJ40*'Tariffs Jul2022'!U40/100)* 'Tariffs Jul2022'!AJ40)</f>
        <v>144.46090909090907</v>
      </c>
      <c r="K46" s="59">
        <f>IF($C$5*'Tariffs Jul2022'!AL40/'Tariffs Jul2022'!AJ40&lt;'Tariffs Jul2022'!J40,0,IF($C$5*'Tariffs Jul2022'!AL40/'Tariffs Jul2022'!AJ40&lt;='Tariffs Jul2022'!K40,($C$5*'Tariffs Jul2022'!AL40/'Tariffs Jul2022'!AJ40-'Tariffs Jul2022'!J40)*('Tariffs Jul2022'!V40/100)*'Tariffs Jul2022'!AJ40,('Tariffs Jul2022'!K40-'Tariffs Jul2022'!J40)*('Tariffs Jul2022'!V40/100)*'Tariffs Jul2022'!AJ40))</f>
        <v>103.47272727272725</v>
      </c>
      <c r="L46" s="59">
        <f>IF($C$5*'Tariffs Jul2022'!AL40/'Tariffs Jul2022'!AJ40&lt;'Tariffs Jul2022'!K40,0,IF($C$5*'Tariffs Jul2022'!AL40/'Tariffs Jul2022'!AJ40&lt;='Tariffs Jul2022'!L40,($C$5*'Tariffs Jul2022'!AL40/'Tariffs Jul2022'!AJ40-'Tariffs Jul2022'!K40)*('Tariffs Jul2022'!W40/100)*'Tariffs Jul2022'!AJ40,('Tariffs Jul2022'!L40-'Tariffs Jul2022'!K40)*('Tariffs Jul2022'!W40/100)*'Tariffs Jul2022'!AJ40))</f>
        <v>0</v>
      </c>
      <c r="M46" s="59">
        <f>IF($C$5*'Tariffs Jul2022'!AL40/'Tariffs Jul2022'!AJ40&lt;'Tariffs Jul2022'!L40,0,IF($C$5*'Tariffs Jul2022'!AL40/'Tariffs Jul2022'!AJ40&lt;='Tariffs Jul2022'!M40,($C$5*'Tariffs Jul2022'!AL40/'Tariffs Jul2022'!AJ40-'Tariffs Jul2022'!L40)*('Tariffs Jul2022'!X40/100)*'Tariffs Jul2022'!AJ40,('Tariffs Jul2022'!M40-'Tariffs Jul2022'!L40)*('Tariffs Jul2022'!X40/100)*'Tariffs Jul2022'!AJ40))</f>
        <v>0</v>
      </c>
      <c r="N46" s="59">
        <f>IF(($C$5*'Tariffs Jul2022'!AL40/'Tariffs Jul2022'!AJ40&gt;'Tariffs Jul2022'!M40),($C$5*'Tariffs Jul2022'!AL40/'Tariffs Jul2022'!AJ40-'Tariffs Jul2022'!M40)*'Tariffs Jul2022'!Y40/100*'Tariffs Jul2022'!AJ40,0)</f>
        <v>490.90909090909088</v>
      </c>
      <c r="O46" s="59">
        <f t="shared" si="1"/>
        <v>1477.6854545454544</v>
      </c>
      <c r="P46" s="503">
        <f t="shared" si="2"/>
        <v>1625.454</v>
      </c>
      <c r="Q46" s="59">
        <f t="shared" si="3"/>
        <v>1744.1354545454544</v>
      </c>
      <c r="R46" s="272">
        <f t="shared" si="4"/>
        <v>1918.549</v>
      </c>
      <c r="S46" s="40">
        <f>'Tariffs Jul2022'!AN40</f>
        <v>0</v>
      </c>
      <c r="T46" s="40">
        <f>'Tariffs Jul2022'!AO40</f>
        <v>7</v>
      </c>
      <c r="U46" s="40">
        <f>'Tariffs Jul2022'!AP40</f>
        <v>0</v>
      </c>
      <c r="V46" s="40">
        <f>'Tariffs Jul2022'!AQ40</f>
        <v>3</v>
      </c>
      <c r="W46" s="537" t="str">
        <f t="shared" si="25"/>
        <v>Guaranteed off usage</v>
      </c>
      <c r="X46" s="538" t="str">
        <f t="shared" si="26"/>
        <v>Exclusive</v>
      </c>
      <c r="Y46" s="534">
        <f>Q46-(P46*T46)/100</f>
        <v>1630.3536745454544</v>
      </c>
      <c r="Z46" s="535">
        <f>Y46-(P46*V46)/100</f>
        <v>1581.5900545454544</v>
      </c>
      <c r="AA46" s="542">
        <f t="shared" si="24"/>
        <v>1793.389042</v>
      </c>
      <c r="AB46" s="542">
        <f t="shared" si="24"/>
        <v>1739.7490600000001</v>
      </c>
      <c r="AC46" s="274">
        <f>'Tariffs Jul2022'!AZ40</f>
        <v>0</v>
      </c>
      <c r="AD46" s="274" t="str">
        <f>'Tariffs Jul2022'!BA40</f>
        <v>n</v>
      </c>
      <c r="AE46" s="275" t="str">
        <f>'Tariffs Jul2022'!BJ40</f>
        <v>N</v>
      </c>
      <c r="AF46" s="593"/>
      <c r="AG46" s="593"/>
      <c r="AH46" s="593"/>
      <c r="AI46" s="593"/>
      <c r="AJ46" s="593"/>
      <c r="AK46" s="593"/>
      <c r="AL46" s="593"/>
      <c r="AM46" s="593"/>
      <c r="AN46" s="593"/>
      <c r="AO46" s="593"/>
      <c r="AP46" s="593"/>
      <c r="AQ46" s="593"/>
      <c r="AR46" s="593"/>
      <c r="AS46" s="593"/>
      <c r="AT46" s="593"/>
      <c r="AU46" s="593"/>
      <c r="AV46" s="593"/>
      <c r="AW46" s="593"/>
    </row>
    <row r="47" spans="1:49" ht="14" x14ac:dyDescent="0.15">
      <c r="A47" s="270" t="str">
        <f>'Tariffs Jul2022'!F41</f>
        <v>Kogan Energy</v>
      </c>
      <c r="B47" s="40" t="str">
        <f>'Tariffs Jul2022'!D41</f>
        <v>AGN North</v>
      </c>
      <c r="C47" s="40" t="str">
        <f>'Tariffs Jul2022'!G41</f>
        <v>Kogan Basic</v>
      </c>
      <c r="D47" s="59">
        <f>365*'Tariffs Jul2022'!H41/100</f>
        <v>287.45409090909089</v>
      </c>
      <c r="E47" s="59">
        <f>((C$5*'Tariffs Jul2022'!AK41/'Tariffs Jul2022'!AI41)*('Tariffs Jul2022'!O41/100))*'Tariffs Jul2022'!AI41</f>
        <v>615.68181818181802</v>
      </c>
      <c r="F47" s="59">
        <v>0</v>
      </c>
      <c r="G47" s="59">
        <v>0</v>
      </c>
      <c r="H47" s="59">
        <v>0</v>
      </c>
      <c r="I47" s="59">
        <v>0</v>
      </c>
      <c r="J47" s="59">
        <f>((C$5*'Tariffs Jul2022'!AL41/'Tariffs Jul2022'!AJ41)*('Tariffs Jul2022'!U41/100))*'Tariffs Jul2022'!AJ41</f>
        <v>615.68181818181802</v>
      </c>
      <c r="K47" s="59">
        <v>0</v>
      </c>
      <c r="L47" s="59">
        <v>0</v>
      </c>
      <c r="M47" s="59">
        <v>0</v>
      </c>
      <c r="N47" s="59">
        <v>0</v>
      </c>
      <c r="O47" s="59">
        <f t="shared" si="1"/>
        <v>1231.363636363636</v>
      </c>
      <c r="P47" s="503">
        <f t="shared" si="2"/>
        <v>1354.4999999999998</v>
      </c>
      <c r="Q47" s="59">
        <f t="shared" si="3"/>
        <v>1518.8177272727269</v>
      </c>
      <c r="R47" s="272">
        <f t="shared" si="4"/>
        <v>1670.6994999999997</v>
      </c>
      <c r="S47" s="40">
        <f>'Tariffs Jul2022'!AN41</f>
        <v>0</v>
      </c>
      <c r="T47" s="40">
        <f>'Tariffs Jul2022'!AO41</f>
        <v>0</v>
      </c>
      <c r="U47" s="40">
        <f>'Tariffs Jul2022'!AP41</f>
        <v>0</v>
      </c>
      <c r="V47" s="40">
        <f>'Tariffs Jul2022'!AQ41</f>
        <v>0</v>
      </c>
      <c r="W47" s="537" t="str">
        <f t="shared" si="25"/>
        <v>No discount</v>
      </c>
      <c r="X47" s="538" t="str">
        <f t="shared" si="26"/>
        <v>Exclusive</v>
      </c>
      <c r="Y47" s="534">
        <f t="shared" ref="Y47:Y49" si="31">IF(AND(W47="Guaranteed off bill",X47="Inclusive"),((Q47*1.1)-((Q47*1.1)*S47/100))/1.1,IF(AND(W47="Guaranteed off usage",X47="Inclusive"),((Q47*1.1)-((P47*1.1)*T47/100))/1.1,IF(AND(W47="Guaranteed off bill",X47="Exclusive"),Q47-(Q47*S47/100),IF(AND(W47="Guaranteed off usage",X47="Exclusive"),Q47-(P47*T47/100),IF(X47="Inclusive",((Q47*1.1))/1.1,Q47)))))</f>
        <v>1518.8177272727269</v>
      </c>
      <c r="Z47" s="535">
        <f t="shared" ref="Z47:Z49" si="32">IF(AND(W47="Pay-on-time off bill",X47="Inclusive"),((Y47*1.1)-((Y47*1.1)*U47/100))/1.1,IF(AND(W47="Pay-on-time off usage",X47="Inclusive"),((Y47*1.1)-((P47*1.1)*V47/100))/1.1,IF(AND(W47="Pay-on-time off bill",X47="Exclusive"),Y47-(Y47*U47/100),IF(AND(W47="Pay-on-time off usage",X47="Exclusive"),Y47-(P47*V47/100),IF(X47="Inclusive",((Y47*1.1))/1.1,Y47)))))</f>
        <v>1518.8177272727269</v>
      </c>
      <c r="AA47" s="542">
        <f t="shared" si="24"/>
        <v>1670.6994999999997</v>
      </c>
      <c r="AB47" s="542">
        <f t="shared" si="24"/>
        <v>1670.6994999999997</v>
      </c>
      <c r="AC47" s="274">
        <f>'Tariffs Jul2022'!AZ41</f>
        <v>0</v>
      </c>
      <c r="AD47" s="274" t="str">
        <f>'Tariffs Jul2022'!BA41</f>
        <v>n</v>
      </c>
      <c r="AE47" s="275" t="str">
        <f>'Tariffs Jul2022'!BJ41</f>
        <v>N</v>
      </c>
      <c r="AF47" s="593"/>
      <c r="AG47" s="593"/>
      <c r="AH47" s="593"/>
      <c r="AI47" s="593"/>
      <c r="AJ47" s="593"/>
      <c r="AK47" s="593"/>
      <c r="AL47" s="593"/>
      <c r="AM47" s="593"/>
      <c r="AN47" s="593"/>
      <c r="AO47" s="593"/>
      <c r="AP47" s="593"/>
      <c r="AQ47" s="593"/>
      <c r="AR47" s="593"/>
      <c r="AS47" s="593"/>
      <c r="AT47" s="593"/>
      <c r="AU47" s="593"/>
      <c r="AV47" s="593"/>
      <c r="AW47" s="593"/>
    </row>
    <row r="48" spans="1:49" ht="14" x14ac:dyDescent="0.15">
      <c r="A48" s="270" t="str">
        <f>'Tariffs Jul2022'!F42</f>
        <v>Tango Energy</v>
      </c>
      <c r="B48" s="40" t="str">
        <f>'Tariffs Jul2022'!D42</f>
        <v>AGN North</v>
      </c>
      <c r="C48" s="40" t="str">
        <f>'Tariffs Jul2022'!G42</f>
        <v>Home Select</v>
      </c>
      <c r="D48" s="59">
        <f>365*'Tariffs Jul2022'!H42/100</f>
        <v>292</v>
      </c>
      <c r="E48" s="59">
        <f>IF($C$5*'Tariffs Jul2022'!AK42/'Tariffs Jul2022'!AI42&gt;='Tariffs Jul2022'!J42,( 'Tariffs Jul2022'!J42*'Tariffs Jul2022'!O42/100)* 'Tariffs Jul2022'!AI42,($C$5*'Tariffs Jul2022'!AK42/'Tariffs Jul2022'!AI42*'Tariffs Jul2022'!O42/100)* 'Tariffs Jul2022'!AI42)</f>
        <v>108.57</v>
      </c>
      <c r="F48" s="59">
        <f>IF($C$5*'Tariffs Jul2022'!AK42/'Tariffs Jul2022'!AI42&lt;'Tariffs Jul2022'!J42,0,IF($C$5*'Tariffs Jul2022'!AK42/'Tariffs Jul2022'!AI42&lt;='Tariffs Jul2022'!K42,($C$5*'Tariffs Jul2022'!AK42/'Tariffs Jul2022'!AI42-'Tariffs Jul2022'!J42)*('Tariffs Jul2022'!P42/100)*'Tariffs Jul2022'!AI42,('Tariffs Jul2022'!K42-'Tariffs Jul2022'!J42)*('Tariffs Jul2022'!P42/100)*'Tariffs Jul2022'!AI42))</f>
        <v>83.886818181818171</v>
      </c>
      <c r="G48" s="59">
        <f>IF($C$5*'Tariffs Jul2022'!AK42/'Tariffs Jul2022'!AI42&lt;'Tariffs Jul2022'!K42,0,IF($C$5*'Tariffs Jul2022'!AK42/'Tariffs Jul2022'!AI42&lt;='Tariffs Jul2022'!L42,($C$5*'Tariffs Jul2022'!AK42/'Tariffs Jul2022'!AI42-'Tariffs Jul2022'!K42)*('Tariffs Jul2022'!Q42/100)*'Tariffs Jul2022'!AI42,('Tariffs Jul2022'!L42-'Tariffs Jul2022'!K42)*('Tariffs Jul2022'!Q42/100)*'Tariffs Jul2022'!AI42))</f>
        <v>0</v>
      </c>
      <c r="H48" s="59">
        <f>IF($C$5*'Tariffs Jul2022'!AK42/'Tariffs Jul2022'!AI42&lt;'Tariffs Jul2022'!L42,0,IF($C$5*'Tariffs Jul2022'!AK42/'Tariffs Jul2022'!AI42&lt;='Tariffs Jul2022'!M42,($C$5*'Tariffs Jul2022'!AK42/'Tariffs Jul2022'!AI42-'Tariffs Jul2022'!L42)*('Tariffs Jul2022'!R42/100)*'Tariffs Jul2022'!AI42,('Tariffs Jul2022'!M42-'Tariffs Jul2022'!L42)*('Tariffs Jul2022'!R42/100)*'Tariffs Jul2022'!AI42))</f>
        <v>0</v>
      </c>
      <c r="I48" s="59">
        <f>IF(($C$5*'Tariffs Jul2022'!AK42/'Tariffs Jul2022'!AI42&gt;'Tariffs Jul2022'!M42),($C$5*'Tariffs Jul2022'!AK42/'Tariffs Jul2022'!AI42-'Tariffs Jul2022'!M42)*'Tariffs Jul2022'!S42/100*'Tariffs Jul2022'!AI42,0)</f>
        <v>394.77272727272725</v>
      </c>
      <c r="J48" s="59">
        <f>IF($C$5*'Tariffs Jul2022'!AL42/'Tariffs Jul2022'!AJ42&gt;='Tariffs Jul2022'!J42,('Tariffs Jul2022'!J42*'Tariffs Jul2022'!U42/100)* 'Tariffs Jul2022'!AJ42,($C$5*'Tariffs Jul2022'!AL42/'Tariffs Jul2022'!AJ42*'Tariffs Jul2022'!U42/100)* 'Tariffs Jul2022'!AJ42)</f>
        <v>108.57</v>
      </c>
      <c r="K48" s="59">
        <f>IF($C$5*'Tariffs Jul2022'!AL42/'Tariffs Jul2022'!AJ42&lt;'Tariffs Jul2022'!J42,0,IF($C$5*'Tariffs Jul2022'!AL42/'Tariffs Jul2022'!AJ42&lt;='Tariffs Jul2022'!K42,($C$5*'Tariffs Jul2022'!AL42/'Tariffs Jul2022'!AJ42-'Tariffs Jul2022'!J42)*('Tariffs Jul2022'!V42/100)*'Tariffs Jul2022'!AJ42,('Tariffs Jul2022'!K42-'Tariffs Jul2022'!J42)*('Tariffs Jul2022'!V42/100)*'Tariffs Jul2022'!AJ42))</f>
        <v>83.886818181818171</v>
      </c>
      <c r="L48" s="59">
        <f>IF($C$5*'Tariffs Jul2022'!AL42/'Tariffs Jul2022'!AJ42&lt;'Tariffs Jul2022'!K42,0,IF($C$5*'Tariffs Jul2022'!AL42/'Tariffs Jul2022'!AJ42&lt;='Tariffs Jul2022'!L42,($C$5*'Tariffs Jul2022'!AL42/'Tariffs Jul2022'!AJ42-'Tariffs Jul2022'!K42)*('Tariffs Jul2022'!W42/100)*'Tariffs Jul2022'!AJ42,('Tariffs Jul2022'!L42-'Tariffs Jul2022'!K42)*('Tariffs Jul2022'!W42/100)*'Tariffs Jul2022'!AJ42))</f>
        <v>0</v>
      </c>
      <c r="M48" s="59">
        <f>IF($C$5*'Tariffs Jul2022'!AL42/'Tariffs Jul2022'!AJ42&lt;'Tariffs Jul2022'!L42,0,IF($C$5*'Tariffs Jul2022'!AL42/'Tariffs Jul2022'!AJ42&lt;='Tariffs Jul2022'!M42,($C$5*'Tariffs Jul2022'!AL42/'Tariffs Jul2022'!AJ42-'Tariffs Jul2022'!L42)*('Tariffs Jul2022'!X42/100)*'Tariffs Jul2022'!AJ42,('Tariffs Jul2022'!M42-'Tariffs Jul2022'!L42)*('Tariffs Jul2022'!X42/100)*'Tariffs Jul2022'!AJ42))</f>
        <v>0</v>
      </c>
      <c r="N48" s="59">
        <f>IF(($C$5*'Tariffs Jul2022'!AL42/'Tariffs Jul2022'!AJ42&gt;'Tariffs Jul2022'!M42),($C$5*'Tariffs Jul2022'!AL42/'Tariffs Jul2022'!AJ42-'Tariffs Jul2022'!M42)*'Tariffs Jul2022'!Y42/100*'Tariffs Jul2022'!AJ42,0)</f>
        <v>394.77272727272725</v>
      </c>
      <c r="O48" s="59">
        <f>SUM(E48:N48)</f>
        <v>1174.4590909090907</v>
      </c>
      <c r="P48" s="503">
        <f t="shared" si="2"/>
        <v>1291.905</v>
      </c>
      <c r="Q48" s="59">
        <f>D48+O48</f>
        <v>1466.4590909090907</v>
      </c>
      <c r="R48" s="272">
        <f>Q48*1.1</f>
        <v>1613.105</v>
      </c>
      <c r="S48" s="40">
        <f>'Tariffs Jul2022'!AN42</f>
        <v>0</v>
      </c>
      <c r="T48" s="40">
        <f>'Tariffs Jul2022'!AO42</f>
        <v>0</v>
      </c>
      <c r="U48" s="40">
        <f>'Tariffs Jul2022'!AP42</f>
        <v>0</v>
      </c>
      <c r="V48" s="40">
        <f>'Tariffs Jul2022'!AQ42</f>
        <v>0</v>
      </c>
      <c r="W48" s="537" t="str">
        <f t="shared" si="25"/>
        <v>No discount</v>
      </c>
      <c r="X48" s="538" t="str">
        <f t="shared" si="26"/>
        <v>Exclusive</v>
      </c>
      <c r="Y48" s="534">
        <f t="shared" si="31"/>
        <v>1466.4590909090907</v>
      </c>
      <c r="Z48" s="535">
        <f t="shared" si="32"/>
        <v>1466.4590909090907</v>
      </c>
      <c r="AA48" s="542">
        <f t="shared" si="24"/>
        <v>1613.105</v>
      </c>
      <c r="AB48" s="542">
        <f t="shared" si="24"/>
        <v>1613.105</v>
      </c>
      <c r="AC48" s="274">
        <f>'Tariffs Jul2022'!AZ42</f>
        <v>0</v>
      </c>
      <c r="AD48" s="274" t="str">
        <f>'Tariffs Jul2022'!BA42</f>
        <v>n</v>
      </c>
      <c r="AE48" s="275" t="str">
        <f>'Tariffs Jul2022'!BJ42</f>
        <v>N</v>
      </c>
      <c r="AF48" s="593"/>
      <c r="AG48" s="593"/>
      <c r="AH48" s="593"/>
      <c r="AI48" s="593"/>
      <c r="AJ48" s="593"/>
      <c r="AK48" s="593"/>
      <c r="AL48" s="593"/>
      <c r="AM48" s="593"/>
      <c r="AN48" s="593"/>
      <c r="AO48" s="593"/>
      <c r="AP48" s="593"/>
      <c r="AQ48" s="593"/>
      <c r="AR48" s="593"/>
      <c r="AS48" s="593"/>
      <c r="AT48" s="593"/>
      <c r="AU48" s="593"/>
      <c r="AV48" s="593"/>
      <c r="AW48" s="593"/>
    </row>
    <row r="49" spans="1:49" ht="15" thickBot="1" x14ac:dyDescent="0.2">
      <c r="A49" s="276" t="str">
        <f>'Tariffs Jul2022'!F43</f>
        <v>Sumo Power</v>
      </c>
      <c r="B49" s="277" t="str">
        <f>'Tariffs Jul2022'!D43</f>
        <v>AGN North</v>
      </c>
      <c r="C49" s="277" t="str">
        <f>'Tariffs Jul2022'!G43</f>
        <v>Assure</v>
      </c>
      <c r="D49" s="278">
        <f>365*'Tariffs Jul2022'!H43/100</f>
        <v>229.94999999999996</v>
      </c>
      <c r="E49" s="278">
        <f>IF($C$5*'Tariffs Jul2022'!AK43/'Tariffs Jul2022'!AI43&gt;='Tariffs Jul2022'!J43,( 'Tariffs Jul2022'!J43*'Tariffs Jul2022'!O43/100)* 'Tariffs Jul2022'!AI43,($C$5*'Tariffs Jul2022'!AK43/'Tariffs Jul2022'!AI43*'Tariffs Jul2022'!O43/100)* 'Tariffs Jul2022'!AI43)</f>
        <v>113.05636363636361</v>
      </c>
      <c r="F49" s="278">
        <f>IF($C$5*'Tariffs Jul2022'!AK43/'Tariffs Jul2022'!AI43&lt;'Tariffs Jul2022'!J43,0,IF($C$5*'Tariffs Jul2022'!AK43/'Tariffs Jul2022'!AI43&lt;='Tariffs Jul2022'!K43,($C$5*'Tariffs Jul2022'!AK43/'Tariffs Jul2022'!AI43-'Tariffs Jul2022'!J43)*('Tariffs Jul2022'!P43/100)*'Tariffs Jul2022'!AI43,('Tariffs Jul2022'!K43-'Tariffs Jul2022'!J43)*('Tariffs Jul2022'!P43/100)*'Tariffs Jul2022'!AI43))</f>
        <v>80.560909090909092</v>
      </c>
      <c r="G49" s="278">
        <f>IF($C$5*'Tariffs Jul2022'!AK43/'Tariffs Jul2022'!AI43&lt;'Tariffs Jul2022'!K43,0,IF($C$5*'Tariffs Jul2022'!AK43/'Tariffs Jul2022'!AI43&lt;='Tariffs Jul2022'!L43,($C$5*'Tariffs Jul2022'!AK43/'Tariffs Jul2022'!AI43-'Tariffs Jul2022'!K43)*('Tariffs Jul2022'!Q43/100)*'Tariffs Jul2022'!AI43,('Tariffs Jul2022'!L43-'Tariffs Jul2022'!K43)*('Tariffs Jul2022'!Q43/100)*'Tariffs Jul2022'!AI43))</f>
        <v>0</v>
      </c>
      <c r="H49" s="278">
        <f>IF($C$5*'Tariffs Jul2022'!AK43/'Tariffs Jul2022'!AI43&lt;'Tariffs Jul2022'!L43,0,IF($C$5*'Tariffs Jul2022'!AK43/'Tariffs Jul2022'!AI43&lt;='Tariffs Jul2022'!M43,($C$5*'Tariffs Jul2022'!AK43/'Tariffs Jul2022'!AI43-'Tariffs Jul2022'!L43)*('Tariffs Jul2022'!R43/100)*'Tariffs Jul2022'!AI43,('Tariffs Jul2022'!M43-'Tariffs Jul2022'!L43)*('Tariffs Jul2022'!R43/100)*'Tariffs Jul2022'!AI43))</f>
        <v>0</v>
      </c>
      <c r="I49" s="278">
        <f>IF(($C$5*'Tariffs Jul2022'!AK43/'Tariffs Jul2022'!AI43&gt;'Tariffs Jul2022'!M43),($C$5*'Tariffs Jul2022'!AK43/'Tariffs Jul2022'!AI43-'Tariffs Jul2022'!M43)*'Tariffs Jul2022'!S43/100*'Tariffs Jul2022'!AI43,0)</f>
        <v>374.31818181818181</v>
      </c>
      <c r="J49" s="278">
        <f>IF($C$5*'Tariffs Jul2022'!AL43/'Tariffs Jul2022'!AJ43&gt;='Tariffs Jul2022'!J43,('Tariffs Jul2022'!J43*'Tariffs Jul2022'!U43/100)* 'Tariffs Jul2022'!AJ43,($C$5*'Tariffs Jul2022'!AL43/'Tariffs Jul2022'!AJ43*'Tariffs Jul2022'!U43/100)* 'Tariffs Jul2022'!AJ43)</f>
        <v>113.05636363636361</v>
      </c>
      <c r="K49" s="278">
        <f>IF($C$5*'Tariffs Jul2022'!AL43/'Tariffs Jul2022'!AJ43&lt;'Tariffs Jul2022'!J43,0,IF($C$5*'Tariffs Jul2022'!AL43/'Tariffs Jul2022'!AJ43&lt;='Tariffs Jul2022'!K43,($C$5*'Tariffs Jul2022'!AL43/'Tariffs Jul2022'!AJ43-'Tariffs Jul2022'!J43)*('Tariffs Jul2022'!V43/100)*'Tariffs Jul2022'!AJ43,('Tariffs Jul2022'!K43-'Tariffs Jul2022'!J43)*('Tariffs Jul2022'!V43/100)*'Tariffs Jul2022'!AJ43))</f>
        <v>80.560909090909092</v>
      </c>
      <c r="L49" s="278">
        <f>IF($C$5*'Tariffs Jul2022'!AL43/'Tariffs Jul2022'!AJ43&lt;'Tariffs Jul2022'!K43,0,IF($C$5*'Tariffs Jul2022'!AL43/'Tariffs Jul2022'!AJ43&lt;='Tariffs Jul2022'!L43,($C$5*'Tariffs Jul2022'!AL43/'Tariffs Jul2022'!AJ43-'Tariffs Jul2022'!K43)*('Tariffs Jul2022'!W43/100)*'Tariffs Jul2022'!AJ43,('Tariffs Jul2022'!L43-'Tariffs Jul2022'!K43)*('Tariffs Jul2022'!W43/100)*'Tariffs Jul2022'!AJ43))</f>
        <v>0</v>
      </c>
      <c r="M49" s="278">
        <f>IF($C$5*'Tariffs Jul2022'!AL43/'Tariffs Jul2022'!AJ43&lt;'Tariffs Jul2022'!L43,0,IF($C$5*'Tariffs Jul2022'!AL43/'Tariffs Jul2022'!AJ43&lt;='Tariffs Jul2022'!M43,($C$5*'Tariffs Jul2022'!AL43/'Tariffs Jul2022'!AJ43-'Tariffs Jul2022'!L43)*('Tariffs Jul2022'!X43/100)*'Tariffs Jul2022'!AJ43,('Tariffs Jul2022'!M43-'Tariffs Jul2022'!L43)*('Tariffs Jul2022'!X43/100)*'Tariffs Jul2022'!AJ43))</f>
        <v>0</v>
      </c>
      <c r="N49" s="278">
        <f>IF(($C$5*'Tariffs Jul2022'!AL43/'Tariffs Jul2022'!AJ43&gt;'Tariffs Jul2022'!M43),($C$5*'Tariffs Jul2022'!AL43/'Tariffs Jul2022'!AJ43-'Tariffs Jul2022'!M43)*'Tariffs Jul2022'!Y43/100*'Tariffs Jul2022'!AJ43,0)</f>
        <v>374.31818181818181</v>
      </c>
      <c r="O49" s="278">
        <f>SUM(E49:N49)</f>
        <v>1135.870909090909</v>
      </c>
      <c r="P49" s="504">
        <f t="shared" si="2"/>
        <v>1249.4580000000001</v>
      </c>
      <c r="Q49" s="278">
        <f>D49+O49</f>
        <v>1365.820909090909</v>
      </c>
      <c r="R49" s="280">
        <f>Q49*1.1</f>
        <v>1502.403</v>
      </c>
      <c r="S49" s="277">
        <f>'Tariffs Jul2022'!AN43</f>
        <v>0</v>
      </c>
      <c r="T49" s="277">
        <f>'Tariffs Jul2022'!AO43</f>
        <v>0</v>
      </c>
      <c r="U49" s="277">
        <f>'Tariffs Jul2022'!AP43</f>
        <v>0</v>
      </c>
      <c r="V49" s="277">
        <f>'Tariffs Jul2022'!AQ43</f>
        <v>0</v>
      </c>
      <c r="W49" s="540" t="str">
        <f t="shared" si="25"/>
        <v>No discount</v>
      </c>
      <c r="X49" s="541" t="str">
        <f t="shared" si="26"/>
        <v>Exclusive</v>
      </c>
      <c r="Y49" s="543">
        <f t="shared" si="31"/>
        <v>1365.820909090909</v>
      </c>
      <c r="Z49" s="544">
        <f t="shared" si="32"/>
        <v>1365.820909090909</v>
      </c>
      <c r="AA49" s="545">
        <f t="shared" si="24"/>
        <v>1502.403</v>
      </c>
      <c r="AB49" s="545">
        <f t="shared" si="24"/>
        <v>1502.403</v>
      </c>
      <c r="AC49" s="282">
        <f>'Tariffs Jul2022'!AZ43</f>
        <v>0</v>
      </c>
      <c r="AD49" s="282" t="str">
        <f>'Tariffs Jul2022'!BA43</f>
        <v>n</v>
      </c>
      <c r="AE49" s="283" t="str">
        <f>'Tariffs Jul2022'!BJ43</f>
        <v>Y</v>
      </c>
      <c r="AF49" s="593"/>
      <c r="AG49" s="593"/>
      <c r="AH49" s="593"/>
      <c r="AI49" s="593"/>
      <c r="AJ49" s="593"/>
      <c r="AK49" s="593"/>
      <c r="AL49" s="593"/>
      <c r="AM49" s="593"/>
      <c r="AN49" s="593"/>
      <c r="AO49" s="593"/>
      <c r="AP49" s="593"/>
      <c r="AQ49" s="593"/>
      <c r="AR49" s="593"/>
      <c r="AS49" s="593"/>
      <c r="AT49" s="593"/>
      <c r="AU49" s="593"/>
      <c r="AV49" s="593"/>
      <c r="AW49" s="593"/>
    </row>
    <row r="50" spans="1:49" ht="15" thickTop="1" x14ac:dyDescent="0.15">
      <c r="A50" s="270" t="str">
        <f>'Tariffs Jul2022'!F44</f>
        <v>AGL</v>
      </c>
      <c r="B50" s="40" t="str">
        <f>'Tariffs Jul2022'!D44</f>
        <v>AGN Central 2</v>
      </c>
      <c r="C50" s="40" t="str">
        <f>'Tariffs Jul2022'!G44</f>
        <v>Value Saver</v>
      </c>
      <c r="D50" s="59">
        <f>365*'Tariffs Jul2022'!H44/100</f>
        <v>296.37999999999994</v>
      </c>
      <c r="E50" s="59">
        <f>IF($C$5*'Tariffs Jul2022'!AK44/'Tariffs Jul2022'!AI44&gt;='Tariffs Jul2022'!J44,( 'Tariffs Jul2022'!J44*'Tariffs Jul2022'!O44/100)* 'Tariffs Jul2022'!AI44,($C$5*'Tariffs Jul2022'!AK44/'Tariffs Jul2022'!AI44*'Tariffs Jul2022'!O44/100)* 'Tariffs Jul2022'!AI44)</f>
        <v>117.99136363636363</v>
      </c>
      <c r="F50" s="59">
        <f>IF($C$5*'Tariffs Jul2022'!AK44/'Tariffs Jul2022'!AI44&lt;'Tariffs Jul2022'!J44,0,IF($C$5*'Tariffs Jul2022'!AK44/'Tariffs Jul2022'!AI44&lt;='Tariffs Jul2022'!K44,($C$5*'Tariffs Jul2022'!AK44/'Tariffs Jul2022'!AI44-'Tariffs Jul2022'!J44)*('Tariffs Jul2022'!P44/100)*'Tariffs Jul2022'!AI44,('Tariffs Jul2022'!K44-'Tariffs Jul2022'!J44)*('Tariffs Jul2022'!P44/100)*'Tariffs Jul2022'!AI44))</f>
        <v>88.321363636363643</v>
      </c>
      <c r="G50" s="59">
        <f>IF($C$5*'Tariffs Jul2022'!AK44/'Tariffs Jul2022'!AI44&lt;'Tariffs Jul2022'!K44,0,IF($C$5*'Tariffs Jul2022'!AK44/'Tariffs Jul2022'!AI44&lt;='Tariffs Jul2022'!L44,($C$5*'Tariffs Jul2022'!AK44/'Tariffs Jul2022'!AI44-'Tariffs Jul2022'!K44)*('Tariffs Jul2022'!Q44/100)*'Tariffs Jul2022'!AI44,('Tariffs Jul2022'!L44-'Tariffs Jul2022'!K44)*('Tariffs Jul2022'!Q44/100)*'Tariffs Jul2022'!AI44))</f>
        <v>0</v>
      </c>
      <c r="H50" s="59">
        <f>IF($C$5*'Tariffs Jul2022'!AK44/'Tariffs Jul2022'!AI44&lt;'Tariffs Jul2022'!L44,0,IF($C$5*'Tariffs Jul2022'!AK44/'Tariffs Jul2022'!AI44&lt;='Tariffs Jul2022'!M44,($C$5*'Tariffs Jul2022'!AK44/'Tariffs Jul2022'!AI44-'Tariffs Jul2022'!L44)*('Tariffs Jul2022'!R44/100)*'Tariffs Jul2022'!AI44,('Tariffs Jul2022'!M44-'Tariffs Jul2022'!L44)*('Tariffs Jul2022'!R44/100)*'Tariffs Jul2022'!AI44))</f>
        <v>0</v>
      </c>
      <c r="I50" s="59">
        <f>IF(($C$5*'Tariffs Jul2022'!AK44/'Tariffs Jul2022'!AI44&gt;'Tariffs Jul2022'!M44),($C$5*'Tariffs Jul2022'!AK44/'Tariffs Jul2022'!AI44-'Tariffs Jul2022'!M44)*'Tariffs Jul2022'!S44/100*'Tariffs Jul2022'!AI44,0)</f>
        <v>366.13636363636363</v>
      </c>
      <c r="J50" s="59">
        <f>IF($C$5*'Tariffs Jul2022'!AL44/'Tariffs Jul2022'!AJ44&gt;='Tariffs Jul2022'!J44,('Tariffs Jul2022'!J44*'Tariffs Jul2022'!U44/100)* 'Tariffs Jul2022'!AJ44,($C$5*'Tariffs Jul2022'!AL44/'Tariffs Jul2022'!AJ44*'Tariffs Jul2022'!U44/100)* 'Tariffs Jul2022'!AJ44)</f>
        <v>117.99136363636363</v>
      </c>
      <c r="K50" s="59">
        <f>IF($C$5*'Tariffs Jul2022'!AL44/'Tariffs Jul2022'!AJ44&lt;'Tariffs Jul2022'!J44,0,IF($C$5*'Tariffs Jul2022'!AL44/'Tariffs Jul2022'!AJ44&lt;='Tariffs Jul2022'!K44,($C$5*'Tariffs Jul2022'!AL44/'Tariffs Jul2022'!AJ44-'Tariffs Jul2022'!J44)*('Tariffs Jul2022'!V44/100)*'Tariffs Jul2022'!AJ44,('Tariffs Jul2022'!K44-'Tariffs Jul2022'!J44)*('Tariffs Jul2022'!V44/100)*'Tariffs Jul2022'!AJ44))</f>
        <v>88.321363636363643</v>
      </c>
      <c r="L50" s="59">
        <f>IF($C$5*'Tariffs Jul2022'!AL44/'Tariffs Jul2022'!AJ44&lt;'Tariffs Jul2022'!K44,0,IF($C$5*'Tariffs Jul2022'!AL44/'Tariffs Jul2022'!AJ44&lt;='Tariffs Jul2022'!L44,($C$5*'Tariffs Jul2022'!AL44/'Tariffs Jul2022'!AJ44-'Tariffs Jul2022'!K44)*('Tariffs Jul2022'!W44/100)*'Tariffs Jul2022'!AJ44,('Tariffs Jul2022'!L44-'Tariffs Jul2022'!K44)*('Tariffs Jul2022'!W44/100)*'Tariffs Jul2022'!AJ44))</f>
        <v>0</v>
      </c>
      <c r="M50" s="59">
        <f>IF($C$5*'Tariffs Jul2022'!AL44/'Tariffs Jul2022'!AJ44&lt;'Tariffs Jul2022'!L44,0,IF($C$5*'Tariffs Jul2022'!AL44/'Tariffs Jul2022'!AJ44&lt;='Tariffs Jul2022'!M44,($C$5*'Tariffs Jul2022'!AL44/'Tariffs Jul2022'!AJ44-'Tariffs Jul2022'!L44)*('Tariffs Jul2022'!X44/100)*'Tariffs Jul2022'!AJ44,('Tariffs Jul2022'!M44-'Tariffs Jul2022'!L44)*('Tariffs Jul2022'!X44/100)*'Tariffs Jul2022'!AJ44))</f>
        <v>0</v>
      </c>
      <c r="N50" s="59">
        <f>IF(($C$5*'Tariffs Jul2022'!AL44/'Tariffs Jul2022'!AJ44&gt;'Tariffs Jul2022'!M44),($C$5*'Tariffs Jul2022'!AL44/'Tariffs Jul2022'!AJ44-'Tariffs Jul2022'!M44)*'Tariffs Jul2022'!Y44/100*'Tariffs Jul2022'!AJ44,0)</f>
        <v>366.13636363636363</v>
      </c>
      <c r="O50" s="59">
        <f t="shared" si="1"/>
        <v>1144.8981818181819</v>
      </c>
      <c r="P50" s="503">
        <f t="shared" si="2"/>
        <v>1259.3880000000001</v>
      </c>
      <c r="Q50" s="59">
        <f t="shared" si="3"/>
        <v>1441.2781818181818</v>
      </c>
      <c r="R50" s="272">
        <f t="shared" si="4"/>
        <v>1585.4060000000002</v>
      </c>
      <c r="S50" s="40">
        <f>'Tariffs Jul2022'!AN44</f>
        <v>0</v>
      </c>
      <c r="T50" s="40">
        <f>'Tariffs Jul2022'!AO44</f>
        <v>0</v>
      </c>
      <c r="U50" s="40">
        <f>'Tariffs Jul2022'!AP44</f>
        <v>0</v>
      </c>
      <c r="V50" s="40">
        <f>'Tariffs Jul2022'!AQ44</f>
        <v>0</v>
      </c>
      <c r="W50" s="537" t="str">
        <f>IF(SUM(S50:V50)=0,"No discount",IF(S50&gt;0,"Guaranteed off bill",IF(T50&gt;0,"Guaranteed off usage",IF(U50&gt;0,"Pay-on-time off bill","Pay-on-time off usage"))))</f>
        <v>No discount</v>
      </c>
      <c r="X50" s="538" t="str">
        <f>IF(OR(A50="Origin Energy",A50="Red Energy",A50="Powershop"),"Inclusive","Exclusive")</f>
        <v>Exclusive</v>
      </c>
      <c r="Y50" s="534">
        <f>IF(AND(W50="Guaranteed off bill",X50="Inclusive"),((Q50*1.1)-((Q50*1.1)*S50/100))/1.1,IF(AND(W50="Guaranteed off usage",X50="Inclusive"),((Q50*1.1)-((P50*1.1)*T50/100))/1.1,IF(AND(W50="Guaranteed off bill",X50="Exclusive"),Q50-(Q50*S50/100),IF(AND(W50="Guaranteed off usage",X50="Exclusive"),Q50-(P50*T50/100),IF(X50="Inclusive",((Q50*1.1))/1.1,Q50)))))</f>
        <v>1441.2781818181818</v>
      </c>
      <c r="Z50" s="535">
        <f>IF(AND(W50="Pay-on-time off bill",X50="Inclusive"),((Y50*1.1)-((Y50*1.1)*U50/100))/1.1,IF(AND(W50="Pay-on-time off usage",X50="Inclusive"),((Y50*1.1)-((P50*1.1)*V50/100))/1.1,IF(AND(W50="Pay-on-time off bill",X50="Exclusive"),Y50-(Y50*U50/100),IF(AND(W50="Pay-on-time off usage",X50="Exclusive"),Y50-(P50*V50/100),IF(X50="Inclusive",((Y50*1.1))/1.1,Y50)))))</f>
        <v>1441.2781818181818</v>
      </c>
      <c r="AA50" s="542">
        <f t="shared" ref="AA50:AB63" si="33">Y50*1.1</f>
        <v>1585.4060000000002</v>
      </c>
      <c r="AB50" s="542">
        <f t="shared" si="33"/>
        <v>1585.4060000000002</v>
      </c>
      <c r="AC50" s="274">
        <f>'Tariffs Jul2022'!AZ44</f>
        <v>0</v>
      </c>
      <c r="AD50" s="274" t="str">
        <f>'Tariffs Jul2022'!BA44</f>
        <v>n</v>
      </c>
      <c r="AE50" s="275" t="str">
        <f>'Tariffs Jul2022'!BJ44</f>
        <v>N</v>
      </c>
      <c r="AF50" s="593"/>
      <c r="AG50" s="593"/>
      <c r="AH50" s="593"/>
      <c r="AI50" s="593"/>
      <c r="AJ50" s="593"/>
      <c r="AK50" s="593"/>
      <c r="AL50" s="593"/>
      <c r="AM50" s="593"/>
      <c r="AN50" s="593"/>
      <c r="AO50" s="593"/>
      <c r="AP50" s="593"/>
      <c r="AQ50" s="593"/>
      <c r="AR50" s="593"/>
      <c r="AS50" s="593"/>
      <c r="AT50" s="593"/>
      <c r="AU50" s="593"/>
      <c r="AV50" s="593"/>
      <c r="AW50" s="593"/>
    </row>
    <row r="51" spans="1:49" ht="14" x14ac:dyDescent="0.15">
      <c r="A51" s="270" t="str">
        <f>'Tariffs Jul2022'!F45</f>
        <v>Alinta Energy</v>
      </c>
      <c r="B51" s="40" t="str">
        <f>'Tariffs Jul2022'!D45</f>
        <v>AGN Central 2</v>
      </c>
      <c r="C51" s="40" t="str">
        <f>'Tariffs Jul2022'!G45</f>
        <v>Home Deal</v>
      </c>
      <c r="D51" s="59">
        <f>365*'Tariffs Jul2022'!H45/100</f>
        <v>223.0481818181818</v>
      </c>
      <c r="E51" s="59">
        <f>IF($C$5*'Tariffs Jul2022'!AK45/'Tariffs Jul2022'!AI45&gt;='Tariffs Jul2022'!J45,( 'Tariffs Jul2022'!J45*'Tariffs Jul2022'!O45/100)* 'Tariffs Jul2022'!AI45,($C$5*'Tariffs Jul2022'!AK45/'Tariffs Jul2022'!AI45*'Tariffs Jul2022'!O45/100)* 'Tariffs Jul2022'!AI45)</f>
        <v>142.6663636363636</v>
      </c>
      <c r="F51" s="59">
        <f>IF($C$5*'Tariffs Jul2022'!AK45/'Tariffs Jul2022'!AI45&lt;'Tariffs Jul2022'!J45,0,IF($C$5*'Tariffs Jul2022'!AK45/'Tariffs Jul2022'!AI45&lt;='Tariffs Jul2022'!K45,($C$5*'Tariffs Jul2022'!AK45/'Tariffs Jul2022'!AI45-'Tariffs Jul2022'!J45)*('Tariffs Jul2022'!P45/100)*'Tariffs Jul2022'!AI45,('Tariffs Jul2022'!K45-'Tariffs Jul2022'!J45)*('Tariffs Jul2022'!P45/100)*'Tariffs Jul2022'!AI45))</f>
        <v>102.36409090909089</v>
      </c>
      <c r="G51" s="59">
        <f>IF($C$5*'Tariffs Jul2022'!AK45/'Tariffs Jul2022'!AI45&lt;'Tariffs Jul2022'!K45,0,IF($C$5*'Tariffs Jul2022'!AK45/'Tariffs Jul2022'!AI45&lt;='Tariffs Jul2022'!L45,($C$5*'Tariffs Jul2022'!AK45/'Tariffs Jul2022'!AI45-'Tariffs Jul2022'!K45)*('Tariffs Jul2022'!Q45/100)*'Tariffs Jul2022'!AI45,('Tariffs Jul2022'!L45-'Tariffs Jul2022'!K45)*('Tariffs Jul2022'!Q45/100)*'Tariffs Jul2022'!AI45))</f>
        <v>0</v>
      </c>
      <c r="H51" s="59">
        <f>IF($C$5*'Tariffs Jul2022'!AK45/'Tariffs Jul2022'!AI45&lt;'Tariffs Jul2022'!L45,0,IF($C$5*'Tariffs Jul2022'!AK45/'Tariffs Jul2022'!AI45&lt;='Tariffs Jul2022'!M45,($C$5*'Tariffs Jul2022'!AK45/'Tariffs Jul2022'!AI45-'Tariffs Jul2022'!L45)*('Tariffs Jul2022'!R45/100)*'Tariffs Jul2022'!AI45,('Tariffs Jul2022'!M45-'Tariffs Jul2022'!L45)*('Tariffs Jul2022'!R45/100)*'Tariffs Jul2022'!AI45))</f>
        <v>0</v>
      </c>
      <c r="I51" s="59">
        <f>IF(($C$5*'Tariffs Jul2022'!AK45/'Tariffs Jul2022'!AI45&gt;'Tariffs Jul2022'!M45),($C$5*'Tariffs Jul2022'!AK45/'Tariffs Jul2022'!AI45-'Tariffs Jul2022'!M45)*'Tariffs Jul2022'!S45/100*'Tariffs Jul2022'!AI45,0)</f>
        <v>441.81818181818187</v>
      </c>
      <c r="J51" s="59">
        <f>IF($C$5*'Tariffs Jul2022'!AL45/'Tariffs Jul2022'!AJ45&gt;='Tariffs Jul2022'!J45,('Tariffs Jul2022'!J45*'Tariffs Jul2022'!U45/100)* 'Tariffs Jul2022'!AJ45,($C$5*'Tariffs Jul2022'!AL45/'Tariffs Jul2022'!AJ45*'Tariffs Jul2022'!U45/100)* 'Tariffs Jul2022'!AJ45)</f>
        <v>142.6663636363636</v>
      </c>
      <c r="K51" s="59">
        <f>IF($C$5*'Tariffs Jul2022'!AL45/'Tariffs Jul2022'!AJ45&lt;'Tariffs Jul2022'!J45,0,IF($C$5*'Tariffs Jul2022'!AL45/'Tariffs Jul2022'!AJ45&lt;='Tariffs Jul2022'!K45,($C$5*'Tariffs Jul2022'!AL45/'Tariffs Jul2022'!AJ45-'Tariffs Jul2022'!J45)*('Tariffs Jul2022'!V45/100)*'Tariffs Jul2022'!AJ45,('Tariffs Jul2022'!K45-'Tariffs Jul2022'!J45)*('Tariffs Jul2022'!V45/100)*'Tariffs Jul2022'!AJ45))</f>
        <v>102.36409090909089</v>
      </c>
      <c r="L51" s="59">
        <f>IF($C$5*'Tariffs Jul2022'!AL45/'Tariffs Jul2022'!AJ45&lt;'Tariffs Jul2022'!K45,0,IF($C$5*'Tariffs Jul2022'!AL45/'Tariffs Jul2022'!AJ45&lt;='Tariffs Jul2022'!L45,($C$5*'Tariffs Jul2022'!AL45/'Tariffs Jul2022'!AJ45-'Tariffs Jul2022'!K45)*('Tariffs Jul2022'!W45/100)*'Tariffs Jul2022'!AJ45,('Tariffs Jul2022'!L45-'Tariffs Jul2022'!K45)*('Tariffs Jul2022'!W45/100)*'Tariffs Jul2022'!AJ45))</f>
        <v>0</v>
      </c>
      <c r="M51" s="59">
        <f>IF($C$5*'Tariffs Jul2022'!AL45/'Tariffs Jul2022'!AJ45&lt;'Tariffs Jul2022'!L45,0,IF($C$5*'Tariffs Jul2022'!AL45/'Tariffs Jul2022'!AJ45&lt;='Tariffs Jul2022'!M45,($C$5*'Tariffs Jul2022'!AL45/'Tariffs Jul2022'!AJ45-'Tariffs Jul2022'!L45)*('Tariffs Jul2022'!X45/100)*'Tariffs Jul2022'!AJ45,('Tariffs Jul2022'!M45-'Tariffs Jul2022'!L45)*('Tariffs Jul2022'!X45/100)*'Tariffs Jul2022'!AJ45))</f>
        <v>0</v>
      </c>
      <c r="N51" s="59">
        <f>IF(($C$5*'Tariffs Jul2022'!AL45/'Tariffs Jul2022'!AJ45&gt;'Tariffs Jul2022'!M45),($C$5*'Tariffs Jul2022'!AL45/'Tariffs Jul2022'!AJ45-'Tariffs Jul2022'!M45)*'Tariffs Jul2022'!Y45/100*'Tariffs Jul2022'!AJ45,0)</f>
        <v>441.81818181818187</v>
      </c>
      <c r="O51" s="59">
        <f t="shared" si="1"/>
        <v>1373.6972727272728</v>
      </c>
      <c r="P51" s="503">
        <f t="shared" si="2"/>
        <v>1511.0670000000002</v>
      </c>
      <c r="Q51" s="59">
        <f t="shared" si="3"/>
        <v>1596.7454545454545</v>
      </c>
      <c r="R51" s="272">
        <f t="shared" si="4"/>
        <v>1756.42</v>
      </c>
      <c r="S51" s="40">
        <f>'Tariffs Jul2022'!AN45</f>
        <v>0</v>
      </c>
      <c r="T51" s="40">
        <f>'Tariffs Jul2022'!AO45</f>
        <v>0</v>
      </c>
      <c r="U51" s="40">
        <f>'Tariffs Jul2022'!AP45</f>
        <v>0</v>
      </c>
      <c r="V51" s="40">
        <f>'Tariffs Jul2022'!AQ45</f>
        <v>0</v>
      </c>
      <c r="W51" s="537" t="str">
        <f t="shared" ref="W51:W63" si="34">IF(SUM(S51:V51)=0,"No discount",IF(S51&gt;0,"Guaranteed off bill",IF(T51&gt;0,"Guaranteed off usage",IF(U51&gt;0,"Pay-on-time off bill","Pay-on-time off usage"))))</f>
        <v>No discount</v>
      </c>
      <c r="X51" s="538" t="str">
        <f t="shared" ref="X51:X63" si="35">IF(OR(A51="Origin Energy",A51="Red Energy",A51="Powershop"),"Inclusive","Exclusive")</f>
        <v>Exclusive</v>
      </c>
      <c r="Y51" s="534">
        <f>IF(AND(W51="Guaranteed off bill",X51="Inclusive"),((Q51*1.1)-((Q51*1.1)*S51/100))/1.1,IF(AND(W51="Guaranteed off usage",X51="Inclusive"),((Q51*1.1)-((P51*1.1)*T51/100))/1.1,IF(AND(W51="Guaranteed off bill",X51="Exclusive"),Q51-(Q51*S51/100),IF(AND(W51="Guaranteed off usage",X51="Exclusive"),Q51-(P51*T51/100),IF(X51="Inclusive",((Q51*1.1))/1.1,Q51)))))</f>
        <v>1596.7454545454545</v>
      </c>
      <c r="Z51" s="535">
        <f>IF(AND(W51="Pay-on-time off bill",X51="Inclusive"),((Y51*1.1)-((Y51*1.1)*U51/100))/1.1,IF(AND(W51="Pay-on-time off usage",X51="Inclusive"),((Y51*1.1)-((P51*1.1)*V51/100))/1.1,IF(AND(W51="Pay-on-time off bill",X51="Exclusive"),Y51-(Y51*U51/100),IF(AND(W51="Pay-on-time off usage",X51="Exclusive"),Y51-(P51*V51/100),IF(X51="Inclusive",((Y51*1.1))/1.1,Y51)))))</f>
        <v>1596.7454545454545</v>
      </c>
      <c r="AA51" s="542">
        <f t="shared" si="33"/>
        <v>1756.42</v>
      </c>
      <c r="AB51" s="542">
        <f t="shared" si="33"/>
        <v>1756.42</v>
      </c>
      <c r="AC51" s="274">
        <f>'Tariffs Jul2022'!AZ45</f>
        <v>0</v>
      </c>
      <c r="AD51" s="274" t="str">
        <f>'Tariffs Jul2022'!BA45</f>
        <v>n</v>
      </c>
      <c r="AE51" s="275" t="str">
        <f>'Tariffs Jul2022'!BJ45</f>
        <v>N</v>
      </c>
      <c r="AF51" s="593"/>
      <c r="AG51" s="593"/>
      <c r="AH51" s="593"/>
      <c r="AI51" s="593"/>
      <c r="AJ51" s="593"/>
      <c r="AK51" s="593"/>
      <c r="AL51" s="593"/>
      <c r="AM51" s="593"/>
      <c r="AN51" s="593"/>
      <c r="AO51" s="593"/>
      <c r="AP51" s="593"/>
      <c r="AQ51" s="593"/>
      <c r="AR51" s="593"/>
      <c r="AS51" s="593"/>
      <c r="AT51" s="593"/>
      <c r="AU51" s="593"/>
      <c r="AV51" s="593"/>
      <c r="AW51" s="593"/>
    </row>
    <row r="52" spans="1:49" ht="14" x14ac:dyDescent="0.15">
      <c r="A52" s="270" t="str">
        <f>'Tariffs Jul2022'!F46</f>
        <v>Dodo Power &amp; Gas</v>
      </c>
      <c r="B52" s="40" t="str">
        <f>'Tariffs Jul2022'!D46</f>
        <v>AGN Central 2</v>
      </c>
      <c r="C52" s="40" t="str">
        <f>'Tariffs Jul2022'!G46</f>
        <v>Market offer</v>
      </c>
      <c r="D52" s="59">
        <f>365*'Tariffs Jul2022'!H46/100</f>
        <v>207.35318181818181</v>
      </c>
      <c r="E52" s="59">
        <f>IF($C$5*'Tariffs Jul2022'!AK46/'Tariffs Jul2022'!AI46&gt;='Tariffs Jul2022'!J46,( 'Tariffs Jul2022'!J46*'Tariffs Jul2022'!O46/100)* 'Tariffs Jul2022'!AI46,($C$5*'Tariffs Jul2022'!AK46/'Tariffs Jul2022'!AI46*'Tariffs Jul2022'!O46/100)* 'Tariffs Jul2022'!AI46)</f>
        <v>102.2890909090909</v>
      </c>
      <c r="F52" s="59">
        <f>IF($C$5*'Tariffs Jul2022'!AK46/'Tariffs Jul2022'!AI46&lt;'Tariffs Jul2022'!J46,0,IF($C$5*'Tariffs Jul2022'!AK46/'Tariffs Jul2022'!AI46&lt;='Tariffs Jul2022'!K46,($C$5*'Tariffs Jul2022'!AK46/'Tariffs Jul2022'!AI46-'Tariffs Jul2022'!J46)*('Tariffs Jul2022'!P46/100)*'Tariffs Jul2022'!AI46,('Tariffs Jul2022'!K46-'Tariffs Jul2022'!J46)*('Tariffs Jul2022'!P46/100)*'Tariffs Jul2022'!AI46))</f>
        <v>67.010909090909081</v>
      </c>
      <c r="G52" s="59">
        <f>IF($C$5*'Tariffs Jul2022'!AK46/'Tariffs Jul2022'!AI46&lt;'Tariffs Jul2022'!K46,0,IF($C$5*'Tariffs Jul2022'!AK46/'Tariffs Jul2022'!AI46&lt;='Tariffs Jul2022'!L46,($C$5*'Tariffs Jul2022'!AK46/'Tariffs Jul2022'!AI46-'Tariffs Jul2022'!K46)*('Tariffs Jul2022'!Q46/100)*'Tariffs Jul2022'!AI46,('Tariffs Jul2022'!L46-'Tariffs Jul2022'!K46)*('Tariffs Jul2022'!Q46/100)*'Tariffs Jul2022'!AI46))</f>
        <v>0</v>
      </c>
      <c r="H52" s="59">
        <f>IF($C$5*'Tariffs Jul2022'!AK46/'Tariffs Jul2022'!AI46&lt;'Tariffs Jul2022'!L46,0,IF($C$5*'Tariffs Jul2022'!AK46/'Tariffs Jul2022'!AI46&lt;='Tariffs Jul2022'!M46,($C$5*'Tariffs Jul2022'!AK46/'Tariffs Jul2022'!AI46-'Tariffs Jul2022'!L46)*('Tariffs Jul2022'!R46/100)*'Tariffs Jul2022'!AI46,('Tariffs Jul2022'!M46-'Tariffs Jul2022'!L46)*('Tariffs Jul2022'!R46/100)*'Tariffs Jul2022'!AI46))</f>
        <v>0</v>
      </c>
      <c r="I52" s="59">
        <f>IF(($C$5*'Tariffs Jul2022'!AK46/'Tariffs Jul2022'!AI46&gt;'Tariffs Jul2022'!M46),($C$5*'Tariffs Jul2022'!AK46/'Tariffs Jul2022'!AI46-'Tariffs Jul2022'!M46)*'Tariffs Jul2022'!S46/100*'Tariffs Jul2022'!AI46,0)</f>
        <v>298.59455454545446</v>
      </c>
      <c r="J52" s="59">
        <f>IF($C$5*'Tariffs Jul2022'!AL46/'Tariffs Jul2022'!AJ46&gt;='Tariffs Jul2022'!J46,('Tariffs Jul2022'!J46*'Tariffs Jul2022'!U46/100)* 'Tariffs Jul2022'!AJ46,($C$5*'Tariffs Jul2022'!AL46/'Tariffs Jul2022'!AJ46*'Tariffs Jul2022'!U46/100)* 'Tariffs Jul2022'!AJ46)</f>
        <v>204.5781818181818</v>
      </c>
      <c r="K52" s="59">
        <f>IF($C$5*'Tariffs Jul2022'!AL46/'Tariffs Jul2022'!AJ46&lt;'Tariffs Jul2022'!J46,0,IF($C$5*'Tariffs Jul2022'!AL46/'Tariffs Jul2022'!AJ46&lt;='Tariffs Jul2022'!K46,($C$5*'Tariffs Jul2022'!AL46/'Tariffs Jul2022'!AJ46-'Tariffs Jul2022'!J46)*('Tariffs Jul2022'!V46/100)*'Tariffs Jul2022'!AJ46,('Tariffs Jul2022'!K46-'Tariffs Jul2022'!J46)*('Tariffs Jul2022'!V46/100)*'Tariffs Jul2022'!AJ46))</f>
        <v>134.02181818181816</v>
      </c>
      <c r="L52" s="59">
        <f>IF($C$5*'Tariffs Jul2022'!AL46/'Tariffs Jul2022'!AJ46&lt;'Tariffs Jul2022'!K46,0,IF($C$5*'Tariffs Jul2022'!AL46/'Tariffs Jul2022'!AJ46&lt;='Tariffs Jul2022'!L46,($C$5*'Tariffs Jul2022'!AL46/'Tariffs Jul2022'!AJ46-'Tariffs Jul2022'!K46)*('Tariffs Jul2022'!W46/100)*'Tariffs Jul2022'!AJ46,('Tariffs Jul2022'!L46-'Tariffs Jul2022'!K46)*('Tariffs Jul2022'!W46/100)*'Tariffs Jul2022'!AJ46))</f>
        <v>0</v>
      </c>
      <c r="M52" s="59">
        <f>IF($C$5*'Tariffs Jul2022'!AL46/'Tariffs Jul2022'!AJ46&lt;'Tariffs Jul2022'!L46,0,IF($C$5*'Tariffs Jul2022'!AL46/'Tariffs Jul2022'!AJ46&lt;='Tariffs Jul2022'!M46,($C$5*'Tariffs Jul2022'!AL46/'Tariffs Jul2022'!AJ46-'Tariffs Jul2022'!L46)*('Tariffs Jul2022'!X46/100)*'Tariffs Jul2022'!AJ46,('Tariffs Jul2022'!M46-'Tariffs Jul2022'!L46)*('Tariffs Jul2022'!X46/100)*'Tariffs Jul2022'!AJ46))</f>
        <v>0</v>
      </c>
      <c r="N52" s="59">
        <f>IF(($C$5*'Tariffs Jul2022'!AL46/'Tariffs Jul2022'!AJ46&gt;'Tariffs Jul2022'!M46),($C$5*'Tariffs Jul2022'!AL46/'Tariffs Jul2022'!AJ46-'Tariffs Jul2022'!M46)*'Tariffs Jul2022'!Y46/100*'Tariffs Jul2022'!AJ46,0)</f>
        <v>597.18910909090891</v>
      </c>
      <c r="O52" s="59">
        <f t="shared" si="1"/>
        <v>1403.6836636363632</v>
      </c>
      <c r="P52" s="503">
        <f t="shared" si="2"/>
        <v>1544.0520299999996</v>
      </c>
      <c r="Q52" s="59">
        <f t="shared" si="3"/>
        <v>1611.0368454545451</v>
      </c>
      <c r="R52" s="272">
        <f t="shared" si="4"/>
        <v>1772.1405299999997</v>
      </c>
      <c r="S52" s="40">
        <f>'Tariffs Jul2022'!AN46</f>
        <v>0</v>
      </c>
      <c r="T52" s="40">
        <f>'Tariffs Jul2022'!AO46</f>
        <v>0</v>
      </c>
      <c r="U52" s="40">
        <f>'Tariffs Jul2022'!AP46</f>
        <v>0</v>
      </c>
      <c r="V52" s="40">
        <f>'Tariffs Jul2022'!AQ46</f>
        <v>0</v>
      </c>
      <c r="W52" s="537" t="str">
        <f t="shared" si="34"/>
        <v>No discount</v>
      </c>
      <c r="X52" s="538" t="str">
        <f t="shared" si="35"/>
        <v>Exclusive</v>
      </c>
      <c r="Y52" s="534">
        <f>IF(AND(W52="Guaranteed off bill",X52="Inclusive"),((Q52*1.1)-((Q52*1.1)*S52/100))/1.1,IF(AND(W52="Guaranteed off usage",X52="Inclusive"),((Q52*1.1)-((P52*1.1)*T52/100))/1.1,IF(AND(W52="Guaranteed off bill",X52="Exclusive"),Q52-(Q52*S52/100),IF(AND(W52="Guaranteed off usage",X52="Exclusive"),Q52-(P52*T52/100),IF(X52="Inclusive",((Q52*1.1))/1.1,Q52)))))</f>
        <v>1611.0368454545451</v>
      </c>
      <c r="Z52" s="535">
        <f>IF(AND(W52="Pay-on-time off bill",X52="Inclusive"),((Y52*1.1)-((Y52*1.1)*U52/100))/1.1,IF(AND(W52="Pay-on-time off usage",X52="Inclusive"),((Y52*1.1)-((P52*1.1)*V52/100))/1.1,IF(AND(W52="Pay-on-time off bill",X52="Exclusive"),Y52-(Y52*U52/100),IF(AND(W52="Pay-on-time off usage",X52="Exclusive"),Y52-(P52*V52/100),IF(X52="Inclusive",((Y52*1.1))/1.1,Y52)))))</f>
        <v>1611.0368454545451</v>
      </c>
      <c r="AA52" s="542">
        <f t="shared" si="33"/>
        <v>1772.1405299999997</v>
      </c>
      <c r="AB52" s="542">
        <f t="shared" si="33"/>
        <v>1772.1405299999997</v>
      </c>
      <c r="AC52" s="274">
        <f>'Tariffs Jul2022'!AZ46</f>
        <v>0</v>
      </c>
      <c r="AD52" s="274" t="str">
        <f>'Tariffs Jul2022'!BA46</f>
        <v>n</v>
      </c>
      <c r="AE52" s="275" t="str">
        <f>'Tariffs Jul2022'!BJ46</f>
        <v>N</v>
      </c>
      <c r="AF52" s="593"/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593"/>
      <c r="AS52" s="593"/>
      <c r="AT52" s="593"/>
      <c r="AU52" s="593"/>
      <c r="AV52" s="593"/>
      <c r="AW52" s="593"/>
    </row>
    <row r="53" spans="1:49" ht="14" x14ac:dyDescent="0.15">
      <c r="A53" s="270" t="str">
        <f>'Tariffs Jul2022'!F47</f>
        <v>EnergyAustralia</v>
      </c>
      <c r="B53" s="40" t="str">
        <f>'Tariffs Jul2022'!D47</f>
        <v>AGN Central 2</v>
      </c>
      <c r="C53" s="40" t="str">
        <f>'Tariffs Jul2022'!G47</f>
        <v>Flexi Plan</v>
      </c>
      <c r="D53" s="59">
        <f>365*'Tariffs Jul2022'!H47/100</f>
        <v>317.91499999999996</v>
      </c>
      <c r="E53" s="59">
        <f>IF($C$5*'Tariffs Jul2022'!AK47/'Tariffs Jul2022'!AI47&gt;='Tariffs Jul2022'!J47,( 'Tariffs Jul2022'!J47*'Tariffs Jul2022'!O47/100)* 'Tariffs Jul2022'!AI47,($C$5*'Tariffs Jul2022'!AK47/'Tariffs Jul2022'!AI47*'Tariffs Jul2022'!O47/100)* 'Tariffs Jul2022'!AI47)</f>
        <v>173.62227272727273</v>
      </c>
      <c r="F53" s="59">
        <f>IF($C$5*'Tariffs Jul2022'!AK47/'Tariffs Jul2022'!AI47&lt;'Tariffs Jul2022'!J47,0,IF($C$5*'Tariffs Jul2022'!AK47/'Tariffs Jul2022'!AI47&lt;='Tariffs Jul2022'!K47,($C$5*'Tariffs Jul2022'!AK47/'Tariffs Jul2022'!AI47-'Tariffs Jul2022'!J47)*('Tariffs Jul2022'!P47/100)*'Tariffs Jul2022'!AI47,('Tariffs Jul2022'!K47-'Tariffs Jul2022'!J47)*('Tariffs Jul2022'!P47/100)*'Tariffs Jul2022'!AI47))</f>
        <v>108.64636363636362</v>
      </c>
      <c r="G53" s="59">
        <f>IF($C$5*'Tariffs Jul2022'!AK47/'Tariffs Jul2022'!AI47&lt;'Tariffs Jul2022'!K47,0,IF($C$5*'Tariffs Jul2022'!AK47/'Tariffs Jul2022'!AI47&lt;='Tariffs Jul2022'!L47,($C$5*'Tariffs Jul2022'!AK47/'Tariffs Jul2022'!AI47-'Tariffs Jul2022'!K47)*('Tariffs Jul2022'!Q47/100)*'Tariffs Jul2022'!AI47,('Tariffs Jul2022'!L47-'Tariffs Jul2022'!K47)*('Tariffs Jul2022'!Q47/100)*'Tariffs Jul2022'!AI47))</f>
        <v>0</v>
      </c>
      <c r="H53" s="59">
        <f>IF($C$5*'Tariffs Jul2022'!AK47/'Tariffs Jul2022'!AI47&lt;'Tariffs Jul2022'!L47,0,IF($C$5*'Tariffs Jul2022'!AK47/'Tariffs Jul2022'!AI47&lt;='Tariffs Jul2022'!M47,($C$5*'Tariffs Jul2022'!AK47/'Tariffs Jul2022'!AI47-'Tariffs Jul2022'!L47)*('Tariffs Jul2022'!R47/100)*'Tariffs Jul2022'!AI47,('Tariffs Jul2022'!M47-'Tariffs Jul2022'!L47)*('Tariffs Jul2022'!R47/100)*'Tariffs Jul2022'!AI47))</f>
        <v>0</v>
      </c>
      <c r="I53" s="59">
        <f>IF(($C$5*'Tariffs Jul2022'!AK47/'Tariffs Jul2022'!AI47&gt;'Tariffs Jul2022'!M47),($C$5*'Tariffs Jul2022'!AK47/'Tariffs Jul2022'!AI47-'Tariffs Jul2022'!M47)*'Tariffs Jul2022'!S47/100*'Tariffs Jul2022'!AI47,0)</f>
        <v>492.95454545454544</v>
      </c>
      <c r="J53" s="59">
        <f>IF($C$5*'Tariffs Jul2022'!AL47/'Tariffs Jul2022'!AJ47&gt;='Tariffs Jul2022'!J47,('Tariffs Jul2022'!J47*'Tariffs Jul2022'!U47/100)* 'Tariffs Jul2022'!AJ47,($C$5*'Tariffs Jul2022'!AL47/'Tariffs Jul2022'!AJ47*'Tariffs Jul2022'!U47/100)* 'Tariffs Jul2022'!AJ47)</f>
        <v>173.62227272727273</v>
      </c>
      <c r="K53" s="59">
        <f>IF($C$5*'Tariffs Jul2022'!AL47/'Tariffs Jul2022'!AJ47&lt;'Tariffs Jul2022'!J47,0,IF($C$5*'Tariffs Jul2022'!AL47/'Tariffs Jul2022'!AJ47&lt;='Tariffs Jul2022'!K47,($C$5*'Tariffs Jul2022'!AL47/'Tariffs Jul2022'!AJ47-'Tariffs Jul2022'!J47)*('Tariffs Jul2022'!V47/100)*'Tariffs Jul2022'!AJ47,('Tariffs Jul2022'!K47-'Tariffs Jul2022'!J47)*('Tariffs Jul2022'!V47/100)*'Tariffs Jul2022'!AJ47))</f>
        <v>108.64636363636362</v>
      </c>
      <c r="L53" s="59">
        <f>IF($C$5*'Tariffs Jul2022'!AL47/'Tariffs Jul2022'!AJ47&lt;'Tariffs Jul2022'!K47,0,IF($C$5*'Tariffs Jul2022'!AL47/'Tariffs Jul2022'!AJ47&lt;='Tariffs Jul2022'!L47,($C$5*'Tariffs Jul2022'!AL47/'Tariffs Jul2022'!AJ47-'Tariffs Jul2022'!K47)*('Tariffs Jul2022'!W47/100)*'Tariffs Jul2022'!AJ47,('Tariffs Jul2022'!L47-'Tariffs Jul2022'!K47)*('Tariffs Jul2022'!W47/100)*'Tariffs Jul2022'!AJ47))</f>
        <v>0</v>
      </c>
      <c r="M53" s="59">
        <f>IF($C$5*'Tariffs Jul2022'!AL47/'Tariffs Jul2022'!AJ47&lt;'Tariffs Jul2022'!L47,0,IF($C$5*'Tariffs Jul2022'!AL47/'Tariffs Jul2022'!AJ47&lt;='Tariffs Jul2022'!M47,($C$5*'Tariffs Jul2022'!AL47/'Tariffs Jul2022'!AJ47-'Tariffs Jul2022'!L47)*('Tariffs Jul2022'!X47/100)*'Tariffs Jul2022'!AJ47,('Tariffs Jul2022'!M47-'Tariffs Jul2022'!L47)*('Tariffs Jul2022'!X47/100)*'Tariffs Jul2022'!AJ47))</f>
        <v>0</v>
      </c>
      <c r="N53" s="59">
        <f>IF(($C$5*'Tariffs Jul2022'!AL47/'Tariffs Jul2022'!AJ47&gt;'Tariffs Jul2022'!M47),($C$5*'Tariffs Jul2022'!AL47/'Tariffs Jul2022'!AJ47-'Tariffs Jul2022'!M47)*'Tariffs Jul2022'!Y47/100*'Tariffs Jul2022'!AJ47,0)</f>
        <v>492.95454545454544</v>
      </c>
      <c r="O53" s="59">
        <f t="shared" si="1"/>
        <v>1550.4463636363635</v>
      </c>
      <c r="P53" s="503">
        <f t="shared" si="2"/>
        <v>1705.491</v>
      </c>
      <c r="Q53" s="59">
        <f t="shared" si="3"/>
        <v>1868.3613636363634</v>
      </c>
      <c r="R53" s="272">
        <f t="shared" si="4"/>
        <v>2055.1974999999998</v>
      </c>
      <c r="S53" s="40">
        <f>'Tariffs Jul2022'!AN47</f>
        <v>8</v>
      </c>
      <c r="T53" s="40">
        <f>'Tariffs Jul2022'!AO47</f>
        <v>0</v>
      </c>
      <c r="U53" s="40">
        <f>'Tariffs Jul2022'!AP47</f>
        <v>0</v>
      </c>
      <c r="V53" s="40">
        <f>'Tariffs Jul2022'!AQ47</f>
        <v>0</v>
      </c>
      <c r="W53" s="537" t="str">
        <f t="shared" si="34"/>
        <v>Guaranteed off bill</v>
      </c>
      <c r="X53" s="538" t="str">
        <f t="shared" si="35"/>
        <v>Exclusive</v>
      </c>
      <c r="Y53" s="534">
        <f t="shared" ref="Y53" si="36">IF(AND(W53="Guaranteed off bill",X53="Inclusive"),((Q53*1.1)-((Q53*1.1)*S53/100))/1.1,IF(AND(W53="Guaranteed off usage",X53="Inclusive"),((Q53*1.1)-((P53*1.1)*T53/100))/1.1,IF(AND(W53="Guaranteed off bill",X53="Exclusive"),Q53-(Q53*S53/100),IF(AND(W53="Guaranteed off usage",X53="Exclusive"),Q53-(P53*T53/100),IF(X53="Inclusive",((Q53*1.1))/1.1,Q53)))))</f>
        <v>1718.8924545454543</v>
      </c>
      <c r="Z53" s="535">
        <f t="shared" ref="Z53" si="37">IF(AND(W53="Pay-on-time off bill",X53="Inclusive"),((Y53*1.1)-((Y53*1.1)*U53/100))/1.1,IF(AND(W53="Pay-on-time off usage",X53="Inclusive"),((Y53*1.1)-((P53*1.1)*V53/100))/1.1,IF(AND(W53="Pay-on-time off bill",X53="Exclusive"),Y53-(Y53*U53/100),IF(AND(W53="Pay-on-time off usage",X53="Exclusive"),Y53-(P53*V53/100),IF(X53="Inclusive",((Y53*1.1))/1.1,Y53)))))</f>
        <v>1718.8924545454543</v>
      </c>
      <c r="AA53" s="542">
        <f t="shared" si="33"/>
        <v>1890.7816999999998</v>
      </c>
      <c r="AB53" s="542">
        <f t="shared" si="33"/>
        <v>1890.7816999999998</v>
      </c>
      <c r="AC53" s="274">
        <f>'Tariffs Jul2022'!AZ47</f>
        <v>12</v>
      </c>
      <c r="AD53" s="274" t="str">
        <f>'Tariffs Jul2022'!BA47</f>
        <v>n</v>
      </c>
      <c r="AE53" s="275" t="str">
        <f>'Tariffs Jul2022'!BJ47</f>
        <v>N</v>
      </c>
      <c r="AF53" s="593"/>
      <c r="AG53" s="593"/>
      <c r="AH53" s="593"/>
      <c r="AI53" s="593"/>
      <c r="AJ53" s="593"/>
      <c r="AK53" s="593"/>
      <c r="AL53" s="593"/>
      <c r="AM53" s="593"/>
      <c r="AN53" s="593"/>
      <c r="AO53" s="593"/>
      <c r="AP53" s="593"/>
      <c r="AQ53" s="593"/>
      <c r="AR53" s="593"/>
      <c r="AS53" s="593"/>
      <c r="AT53" s="593"/>
      <c r="AU53" s="593"/>
      <c r="AV53" s="593"/>
      <c r="AW53" s="593"/>
    </row>
    <row r="54" spans="1:49" ht="14" x14ac:dyDescent="0.15">
      <c r="A54" s="270" t="str">
        <f>'Tariffs Jul2022'!F48</f>
        <v>Lumo Energy</v>
      </c>
      <c r="B54" s="40" t="str">
        <f>'Tariffs Jul2022'!D48</f>
        <v>AGN Central 2</v>
      </c>
      <c r="C54" s="40" t="str">
        <f>'Tariffs Jul2022'!G48</f>
        <v>Value</v>
      </c>
      <c r="D54" s="59">
        <f>365*'Tariffs Jul2022'!H48/100</f>
        <v>269.20409090909089</v>
      </c>
      <c r="E54" s="59">
        <f>IF($C$5*'Tariffs Jul2022'!AK48/'Tariffs Jul2022'!AI48&gt;='Tariffs Jul2022'!J48,( 'Tariffs Jul2022'!J48*'Tariffs Jul2022'!O48/100)* 'Tariffs Jul2022'!AI48,($C$5*'Tariffs Jul2022'!AK48/'Tariffs Jul2022'!AI48*'Tariffs Jul2022'!O48/100)* 'Tariffs Jul2022'!AI48)</f>
        <v>102.73772727272726</v>
      </c>
      <c r="F54" s="59">
        <f>IF($C$5*'Tariffs Jul2022'!AK48/'Tariffs Jul2022'!AI48&lt;'Tariffs Jul2022'!J48,0,IF($C$5*'Tariffs Jul2022'!AK48/'Tariffs Jul2022'!AI48&lt;='Tariffs Jul2022'!K48,($C$5*'Tariffs Jul2022'!AK48/'Tariffs Jul2022'!AI48-'Tariffs Jul2022'!J48)*('Tariffs Jul2022'!P48/100)*'Tariffs Jul2022'!AI48,('Tariffs Jul2022'!K48-'Tariffs Jul2022'!J48)*('Tariffs Jul2022'!P48/100)*'Tariffs Jul2022'!AI48))</f>
        <v>80.560909090909092</v>
      </c>
      <c r="G54" s="59">
        <f>IF($C$5*'Tariffs Jul2022'!AK48/'Tariffs Jul2022'!AI48&lt;'Tariffs Jul2022'!K48,0,IF($C$5*'Tariffs Jul2022'!AK48/'Tariffs Jul2022'!AI48&lt;='Tariffs Jul2022'!L48,($C$5*'Tariffs Jul2022'!AK48/'Tariffs Jul2022'!AI48-'Tariffs Jul2022'!K48)*('Tariffs Jul2022'!Q48/100)*'Tariffs Jul2022'!AI48,('Tariffs Jul2022'!L48-'Tariffs Jul2022'!K48)*('Tariffs Jul2022'!Q48/100)*'Tariffs Jul2022'!AI48))</f>
        <v>0</v>
      </c>
      <c r="H54" s="59">
        <f>IF($C$5*'Tariffs Jul2022'!AK48/'Tariffs Jul2022'!AI48&lt;'Tariffs Jul2022'!L48,0,IF($C$5*'Tariffs Jul2022'!AK48/'Tariffs Jul2022'!AI48&lt;='Tariffs Jul2022'!M48,($C$5*'Tariffs Jul2022'!AK48/'Tariffs Jul2022'!AI48-'Tariffs Jul2022'!L48)*('Tariffs Jul2022'!R48/100)*'Tariffs Jul2022'!AI48,('Tariffs Jul2022'!M48-'Tariffs Jul2022'!L48)*('Tariffs Jul2022'!R48/100)*'Tariffs Jul2022'!AI48))</f>
        <v>0</v>
      </c>
      <c r="I54" s="59">
        <f>IF(($C$5*'Tariffs Jul2022'!AK48/'Tariffs Jul2022'!AI48&gt;'Tariffs Jul2022'!M48),($C$5*'Tariffs Jul2022'!AK48/'Tariffs Jul2022'!AI48-'Tariffs Jul2022'!M48)*'Tariffs Jul2022'!S48/100*'Tariffs Jul2022'!AI48,0)</f>
        <v>415.22727272727275</v>
      </c>
      <c r="J54" s="59">
        <f>IF($C$5*'Tariffs Jul2022'!AL48/'Tariffs Jul2022'!AJ48&gt;='Tariffs Jul2022'!J48,('Tariffs Jul2022'!J48*'Tariffs Jul2022'!U48/100)* 'Tariffs Jul2022'!AJ48,($C$5*'Tariffs Jul2022'!AL48/'Tariffs Jul2022'!AJ48*'Tariffs Jul2022'!U48/100)* 'Tariffs Jul2022'!AJ48)</f>
        <v>102.73772727272726</v>
      </c>
      <c r="K54" s="59">
        <f>IF($C$5*'Tariffs Jul2022'!AL48/'Tariffs Jul2022'!AJ48&lt;'Tariffs Jul2022'!J48,0,IF($C$5*'Tariffs Jul2022'!AL48/'Tariffs Jul2022'!AJ48&lt;='Tariffs Jul2022'!K48,($C$5*'Tariffs Jul2022'!AL48/'Tariffs Jul2022'!AJ48-'Tariffs Jul2022'!J48)*('Tariffs Jul2022'!V48/100)*'Tariffs Jul2022'!AJ48,('Tariffs Jul2022'!K48-'Tariffs Jul2022'!J48)*('Tariffs Jul2022'!V48/100)*'Tariffs Jul2022'!AJ48))</f>
        <v>80.560909090909092</v>
      </c>
      <c r="L54" s="59">
        <f>IF($C$5*'Tariffs Jul2022'!AL48/'Tariffs Jul2022'!AJ48&lt;'Tariffs Jul2022'!K48,0,IF($C$5*'Tariffs Jul2022'!AL48/'Tariffs Jul2022'!AJ48&lt;='Tariffs Jul2022'!L48,($C$5*'Tariffs Jul2022'!AL48/'Tariffs Jul2022'!AJ48-'Tariffs Jul2022'!K48)*('Tariffs Jul2022'!W48/100)*'Tariffs Jul2022'!AJ48,('Tariffs Jul2022'!L48-'Tariffs Jul2022'!K48)*('Tariffs Jul2022'!W48/100)*'Tariffs Jul2022'!AJ48))</f>
        <v>0</v>
      </c>
      <c r="M54" s="59">
        <f>IF($C$5*'Tariffs Jul2022'!AL48/'Tariffs Jul2022'!AJ48&lt;'Tariffs Jul2022'!L48,0,IF($C$5*'Tariffs Jul2022'!AL48/'Tariffs Jul2022'!AJ48&lt;='Tariffs Jul2022'!M48,($C$5*'Tariffs Jul2022'!AL48/'Tariffs Jul2022'!AJ48-'Tariffs Jul2022'!L48)*('Tariffs Jul2022'!X48/100)*'Tariffs Jul2022'!AJ48,('Tariffs Jul2022'!M48-'Tariffs Jul2022'!L48)*('Tariffs Jul2022'!X48/100)*'Tariffs Jul2022'!AJ48))</f>
        <v>0</v>
      </c>
      <c r="N54" s="59">
        <f>IF(($C$5*'Tariffs Jul2022'!AL48/'Tariffs Jul2022'!AJ48&gt;'Tariffs Jul2022'!M48),($C$5*'Tariffs Jul2022'!AL48/'Tariffs Jul2022'!AJ48-'Tariffs Jul2022'!M48)*'Tariffs Jul2022'!Y48/100*'Tariffs Jul2022'!AJ48,0)</f>
        <v>415.22727272727275</v>
      </c>
      <c r="O54" s="59">
        <f t="shared" si="1"/>
        <v>1197.0518181818181</v>
      </c>
      <c r="P54" s="503">
        <f t="shared" si="2"/>
        <v>1316.7570000000001</v>
      </c>
      <c r="Q54" s="59">
        <f t="shared" si="3"/>
        <v>1466.255909090909</v>
      </c>
      <c r="R54" s="272">
        <f t="shared" si="4"/>
        <v>1612.8815</v>
      </c>
      <c r="S54" s="40">
        <f>'Tariffs Jul2022'!AN48</f>
        <v>0</v>
      </c>
      <c r="T54" s="40">
        <f>'Tariffs Jul2022'!AO48</f>
        <v>0</v>
      </c>
      <c r="U54" s="40">
        <f>'Tariffs Jul2022'!AP48</f>
        <v>0</v>
      </c>
      <c r="V54" s="40">
        <f>'Tariffs Jul2022'!AQ48</f>
        <v>0</v>
      </c>
      <c r="W54" s="537" t="str">
        <f t="shared" si="34"/>
        <v>No discount</v>
      </c>
      <c r="X54" s="538" t="str">
        <f t="shared" si="35"/>
        <v>Exclusive</v>
      </c>
      <c r="Y54" s="534">
        <f>IF(AND(W54="Guaranteed off bill",X54="Inclusive"),((Q54*1.1)-((Q54*1.1)*S54/100))/1.1,IF(AND(W54="Guaranteed off usage",X54="Inclusive"),((Q54*1.1)-((P54*1.1)*T54/100))/1.1,IF(AND(W54="Guaranteed off bill",X54="Exclusive"),Q54-(Q54*S54/100),IF(AND(W54="Guaranteed off usage",X54="Exclusive"),Q54-(P54*T54/100),IF(X54="Inclusive",((Q54*1.1))/1.1,Q54)))))</f>
        <v>1466.255909090909</v>
      </c>
      <c r="Z54" s="535">
        <f>IF(AND(W54="Pay-on-time off bill",X54="Inclusive"),((Y54*1.1)-((Y54*1.1)*U54/100))/1.1,IF(AND(W54="Pay-on-time off usage",X54="Inclusive"),((Y54*1.1)-((P54*1.1)*V54/100))/1.1,IF(AND(W54="Pay-on-time off bill",X54="Exclusive"),Y54-(Y54*U54/100),IF(AND(W54="Pay-on-time off usage",X54="Exclusive"),Y54-(P54*V54/100),IF(X54="Inclusive",((Y54*1.1))/1.1,Y54)))))</f>
        <v>1466.255909090909</v>
      </c>
      <c r="AA54" s="542">
        <f t="shared" si="33"/>
        <v>1612.8815</v>
      </c>
      <c r="AB54" s="542">
        <f t="shared" si="33"/>
        <v>1612.8815</v>
      </c>
      <c r="AC54" s="274">
        <f>'Tariffs Jul2022'!AZ48</f>
        <v>0</v>
      </c>
      <c r="AD54" s="274" t="str">
        <f>'Tariffs Jul2022'!BA48</f>
        <v>n</v>
      </c>
      <c r="AE54" s="275" t="str">
        <f>'Tariffs Jul2022'!BJ48</f>
        <v>N</v>
      </c>
      <c r="AF54" s="593"/>
      <c r="AG54" s="593"/>
      <c r="AH54" s="593"/>
      <c r="AI54" s="593"/>
      <c r="AJ54" s="593"/>
      <c r="AK54" s="593"/>
      <c r="AL54" s="593"/>
      <c r="AM54" s="593"/>
      <c r="AN54" s="593"/>
      <c r="AO54" s="593"/>
      <c r="AP54" s="593"/>
      <c r="AQ54" s="593"/>
      <c r="AR54" s="593"/>
      <c r="AS54" s="593"/>
      <c r="AT54" s="593"/>
      <c r="AU54" s="593"/>
      <c r="AV54" s="593"/>
      <c r="AW54" s="593"/>
    </row>
    <row r="55" spans="1:49" ht="14" x14ac:dyDescent="0.15">
      <c r="A55" s="270" t="str">
        <f>'Tariffs Jul2022'!F49</f>
        <v>Origin Energy</v>
      </c>
      <c r="B55" s="40" t="str">
        <f>'Tariffs Jul2022'!D49</f>
        <v>AGN Central 2</v>
      </c>
      <c r="C55" s="40" t="str">
        <f>'Tariffs Jul2022'!G49</f>
        <v>Go Variable</v>
      </c>
      <c r="D55" s="59">
        <f>365*'Tariffs Jul2022'!H49/100</f>
        <v>255.16818181818181</v>
      </c>
      <c r="E55" s="59">
        <f>IF($C$5*'Tariffs Jul2022'!AK49/'Tariffs Jul2022'!AI49&gt;='Tariffs Jul2022'!J49,( 'Tariffs Jul2022'!J49*'Tariffs Jul2022'!O49/100)* 'Tariffs Jul2022'!AI49,($C$5*'Tariffs Jul2022'!AK49/'Tariffs Jul2022'!AI49*'Tariffs Jul2022'!O49/100)* 'Tariffs Jul2022'!AI49)</f>
        <v>425.45454545454544</v>
      </c>
      <c r="F55" s="59">
        <f>IF($C$5*'Tariffs Jul2022'!AK49/'Tariffs Jul2022'!AI49&lt;'Tariffs Jul2022'!J49,0,IF($C$5*'Tariffs Jul2022'!AK49/'Tariffs Jul2022'!AI49&lt;='Tariffs Jul2022'!K49,($C$5*'Tariffs Jul2022'!AK49/'Tariffs Jul2022'!AI49-'Tariffs Jul2022'!J49)*('Tariffs Jul2022'!P49/100)*'Tariffs Jul2022'!AI49,('Tariffs Jul2022'!K49-'Tariffs Jul2022'!J49)*('Tariffs Jul2022'!P49/100)*'Tariffs Jul2022'!AI49))</f>
        <v>304.36363636363637</v>
      </c>
      <c r="G55" s="59">
        <f>IF($C$5*'Tariffs Jul2022'!AK49/'Tariffs Jul2022'!AI49&lt;'Tariffs Jul2022'!K49,0,IF($C$5*'Tariffs Jul2022'!AK49/'Tariffs Jul2022'!AI49&lt;='Tariffs Jul2022'!L49,($C$5*'Tariffs Jul2022'!AK49/'Tariffs Jul2022'!AI49-'Tariffs Jul2022'!K49)*('Tariffs Jul2022'!Q49/100)*'Tariffs Jul2022'!AI49,('Tariffs Jul2022'!L49-'Tariffs Jul2022'!K49)*('Tariffs Jul2022'!Q49/100)*'Tariffs Jul2022'!AI49))</f>
        <v>0</v>
      </c>
      <c r="H55" s="59">
        <f>IF($C$5*'Tariffs Jul2022'!AK49/'Tariffs Jul2022'!AI49&lt;'Tariffs Jul2022'!L49,0,IF($C$5*'Tariffs Jul2022'!AK49/'Tariffs Jul2022'!AI49&lt;='Tariffs Jul2022'!M49,($C$5*'Tariffs Jul2022'!AK49/'Tariffs Jul2022'!AI49-'Tariffs Jul2022'!L49)*('Tariffs Jul2022'!R49/100)*'Tariffs Jul2022'!AI49,('Tariffs Jul2022'!M49-'Tariffs Jul2022'!L49)*('Tariffs Jul2022'!R49/100)*'Tariffs Jul2022'!AI49))</f>
        <v>0</v>
      </c>
      <c r="I55" s="59">
        <f>IF(($C$5*'Tariffs Jul2022'!AK49/'Tariffs Jul2022'!AI49&gt;'Tariffs Jul2022'!M49),($C$5*'Tariffs Jul2022'!AK49/'Tariffs Jul2022'!AI49-'Tariffs Jul2022'!M49)*'Tariffs Jul2022'!S49/100*'Tariffs Jul2022'!AI49,0)</f>
        <v>0</v>
      </c>
      <c r="J55" s="59">
        <f>IF($C$5*'Tariffs Jul2022'!AL49/'Tariffs Jul2022'!AJ49&gt;='Tariffs Jul2022'!J49,('Tariffs Jul2022'!J49*'Tariffs Jul2022'!U49/100)* 'Tariffs Jul2022'!AJ49,($C$5*'Tariffs Jul2022'!AL49/'Tariffs Jul2022'!AJ49*'Tariffs Jul2022'!U49/100)* 'Tariffs Jul2022'!AJ49)</f>
        <v>425.45454545454544</v>
      </c>
      <c r="K55" s="59">
        <f>IF($C$5*'Tariffs Jul2022'!AL49/'Tariffs Jul2022'!AJ49&lt;'Tariffs Jul2022'!J49,0,IF($C$5*'Tariffs Jul2022'!AL49/'Tariffs Jul2022'!AJ49&lt;='Tariffs Jul2022'!K49,($C$5*'Tariffs Jul2022'!AL49/'Tariffs Jul2022'!AJ49-'Tariffs Jul2022'!J49)*('Tariffs Jul2022'!V49/100)*'Tariffs Jul2022'!AJ49,('Tariffs Jul2022'!K49-'Tariffs Jul2022'!J49)*('Tariffs Jul2022'!V49/100)*'Tariffs Jul2022'!AJ49))</f>
        <v>304.36363636363637</v>
      </c>
      <c r="L55" s="59">
        <f>IF($C$5*'Tariffs Jul2022'!AL49/'Tariffs Jul2022'!AJ49&lt;'Tariffs Jul2022'!K49,0,IF($C$5*'Tariffs Jul2022'!AL49/'Tariffs Jul2022'!AJ49&lt;='Tariffs Jul2022'!L49,($C$5*'Tariffs Jul2022'!AL49/'Tariffs Jul2022'!AJ49-'Tariffs Jul2022'!K49)*('Tariffs Jul2022'!W49/100)*'Tariffs Jul2022'!AJ49,('Tariffs Jul2022'!L49-'Tariffs Jul2022'!K49)*('Tariffs Jul2022'!W49/100)*'Tariffs Jul2022'!AJ49))</f>
        <v>0</v>
      </c>
      <c r="M55" s="59">
        <f>IF($C$5*'Tariffs Jul2022'!AL49/'Tariffs Jul2022'!AJ49&lt;'Tariffs Jul2022'!L49,0,IF($C$5*'Tariffs Jul2022'!AL49/'Tariffs Jul2022'!AJ49&lt;='Tariffs Jul2022'!M49,($C$5*'Tariffs Jul2022'!AL49/'Tariffs Jul2022'!AJ49-'Tariffs Jul2022'!L49)*('Tariffs Jul2022'!X49/100)*'Tariffs Jul2022'!AJ49,('Tariffs Jul2022'!M49-'Tariffs Jul2022'!L49)*('Tariffs Jul2022'!X49/100)*'Tariffs Jul2022'!AJ49))</f>
        <v>0</v>
      </c>
      <c r="N55" s="59">
        <f>IF(($C$5*'Tariffs Jul2022'!AL49/'Tariffs Jul2022'!AJ49&gt;'Tariffs Jul2022'!M49),($C$5*'Tariffs Jul2022'!AL49/'Tariffs Jul2022'!AJ49-'Tariffs Jul2022'!M49)*'Tariffs Jul2022'!Y49/100*'Tariffs Jul2022'!AJ49,0)</f>
        <v>0</v>
      </c>
      <c r="O55" s="59">
        <f t="shared" si="1"/>
        <v>1459.6363636363635</v>
      </c>
      <c r="P55" s="503">
        <f t="shared" si="2"/>
        <v>1605.6</v>
      </c>
      <c r="Q55" s="59">
        <f t="shared" si="3"/>
        <v>1714.8045454545454</v>
      </c>
      <c r="R55" s="272">
        <f t="shared" si="4"/>
        <v>1886.2850000000001</v>
      </c>
      <c r="S55" s="40">
        <f>'Tariffs Jul2022'!AN49</f>
        <v>0</v>
      </c>
      <c r="T55" s="40">
        <f>'Tariffs Jul2022'!AO49</f>
        <v>0</v>
      </c>
      <c r="U55" s="40">
        <f>'Tariffs Jul2022'!AP49</f>
        <v>0</v>
      </c>
      <c r="V55" s="40">
        <f>'Tariffs Jul2022'!AQ49</f>
        <v>0</v>
      </c>
      <c r="W55" s="537" t="str">
        <f t="shared" si="34"/>
        <v>No discount</v>
      </c>
      <c r="X55" s="538" t="str">
        <f t="shared" si="35"/>
        <v>Inclusive</v>
      </c>
      <c r="Y55" s="534">
        <f>IF(AND(W55="Guaranteed off bill",X55="Inclusive"),((Q55*1.1)-((Q55*1.1)*S55/100))/1.1,IF(AND(W55="Guaranteed off usage",X55="Inclusive"),((Q55*1.1)-((P55*1.1)*T55/100))/1.1,IF(AND(W55="Guaranteed off bill",X55="Exclusive"),Q55-(Q55*S55/100),IF(AND(W55="Guaranteed off usage",X55="Exclusive"),Q55-(P55*T55/100),IF(X55="Inclusive",((Q55*1.1))/1.1,Q55)))))</f>
        <v>1714.8045454545454</v>
      </c>
      <c r="Z55" s="535">
        <f>IF(AND(W55="Pay-on-time off bill",X55="Inclusive"),((Y55*1.1)-((Y55*1.1)*U55/100))/1.1,IF(AND(W55="Pay-on-time off usage",X55="Inclusive"),((Y55*1.1)-((P55*1.1)*V55/100))/1.1,IF(AND(W55="Pay-on-time off bill",X55="Exclusive"),Y55-(Y55*U55/100),IF(AND(W55="Pay-on-time off usage",X55="Exclusive"),Y55-(P55*V55/100),IF(X55="Inclusive",((Y55*1.1))/1.1,Y55)))))</f>
        <v>1714.8045454545454</v>
      </c>
      <c r="AA55" s="542">
        <f t="shared" si="33"/>
        <v>1886.2850000000001</v>
      </c>
      <c r="AB55" s="542">
        <f t="shared" si="33"/>
        <v>1886.2850000000001</v>
      </c>
      <c r="AC55" s="274">
        <f>'Tariffs Jul2022'!AZ49</f>
        <v>0</v>
      </c>
      <c r="AD55" s="274" t="str">
        <f>'Tariffs Jul2022'!BA49</f>
        <v>n</v>
      </c>
      <c r="AE55" s="275" t="str">
        <f>'Tariffs Jul2022'!BJ49</f>
        <v>N</v>
      </c>
      <c r="AF55" s="593"/>
      <c r="AG55" s="593"/>
      <c r="AH55" s="593"/>
      <c r="AI55" s="593"/>
      <c r="AJ55" s="593"/>
      <c r="AK55" s="593"/>
      <c r="AL55" s="593"/>
      <c r="AM55" s="593"/>
      <c r="AN55" s="593"/>
      <c r="AO55" s="593"/>
      <c r="AP55" s="593"/>
      <c r="AQ55" s="593"/>
      <c r="AR55" s="593"/>
      <c r="AS55" s="593"/>
      <c r="AT55" s="593"/>
      <c r="AU55" s="593"/>
      <c r="AV55" s="593"/>
      <c r="AW55" s="593"/>
    </row>
    <row r="56" spans="1:49" ht="14" x14ac:dyDescent="0.15">
      <c r="A56" s="270" t="str">
        <f>'Tariffs Jul2022'!F50</f>
        <v>Red Energy</v>
      </c>
      <c r="B56" s="40" t="str">
        <f>'Tariffs Jul2022'!D50</f>
        <v>AGN Central 2</v>
      </c>
      <c r="C56" s="40" t="str">
        <f>'Tariffs Jul2022'!G50</f>
        <v>Living Energy Saver</v>
      </c>
      <c r="D56" s="59">
        <f>365*'Tariffs Jul2022'!H50/100</f>
        <v>269.20409090909089</v>
      </c>
      <c r="E56" s="59">
        <f>IF($C$5*'Tariffs Jul2022'!AK50/'Tariffs Jul2022'!AI50&gt;='Tariffs Jul2022'!J50,( 'Tariffs Jul2022'!J50*'Tariffs Jul2022'!O50/100)* 'Tariffs Jul2022'!AI50,($C$5*'Tariffs Jul2022'!AK50/'Tariffs Jul2022'!AI50*'Tariffs Jul2022'!O50/100)* 'Tariffs Jul2022'!AI50)</f>
        <v>110.36454545454546</v>
      </c>
      <c r="F56" s="59">
        <f>IF($C$5*'Tariffs Jul2022'!AK50/'Tariffs Jul2022'!AI50&lt;'Tariffs Jul2022'!J50,0,IF($C$5*'Tariffs Jul2022'!AK50/'Tariffs Jul2022'!AI50&lt;='Tariffs Jul2022'!K50,($C$5*'Tariffs Jul2022'!AK50/'Tariffs Jul2022'!AI50-'Tariffs Jul2022'!J50)*('Tariffs Jul2022'!P50/100)*'Tariffs Jul2022'!AI50,('Tariffs Jul2022'!K50-'Tariffs Jul2022'!J50)*('Tariffs Jul2022'!P50/100)*'Tariffs Jul2022'!AI50))</f>
        <v>86.473636363636359</v>
      </c>
      <c r="G56" s="59">
        <f>IF($C$5*'Tariffs Jul2022'!AK50/'Tariffs Jul2022'!AI50&lt;'Tariffs Jul2022'!K50,0,IF($C$5*'Tariffs Jul2022'!AK50/'Tariffs Jul2022'!AI50&lt;='Tariffs Jul2022'!L50,($C$5*'Tariffs Jul2022'!AK50/'Tariffs Jul2022'!AI50-'Tariffs Jul2022'!K50)*('Tariffs Jul2022'!Q50/100)*'Tariffs Jul2022'!AI50,('Tariffs Jul2022'!L50-'Tariffs Jul2022'!K50)*('Tariffs Jul2022'!Q50/100)*'Tariffs Jul2022'!AI50))</f>
        <v>0</v>
      </c>
      <c r="H56" s="59">
        <f>IF($C$5*'Tariffs Jul2022'!AK50/'Tariffs Jul2022'!AI50&lt;'Tariffs Jul2022'!L50,0,IF($C$5*'Tariffs Jul2022'!AK50/'Tariffs Jul2022'!AI50&lt;='Tariffs Jul2022'!M50,($C$5*'Tariffs Jul2022'!AK50/'Tariffs Jul2022'!AI50-'Tariffs Jul2022'!L50)*('Tariffs Jul2022'!R50/100)*'Tariffs Jul2022'!AI50,('Tariffs Jul2022'!M50-'Tariffs Jul2022'!L50)*('Tariffs Jul2022'!R50/100)*'Tariffs Jul2022'!AI50))</f>
        <v>0</v>
      </c>
      <c r="I56" s="59">
        <f>IF(($C$5*'Tariffs Jul2022'!AK50/'Tariffs Jul2022'!AI50&gt;'Tariffs Jul2022'!M50),($C$5*'Tariffs Jul2022'!AK50/'Tariffs Jul2022'!AI50-'Tariffs Jul2022'!M50)*'Tariffs Jul2022'!S50/100*'Tariffs Jul2022'!AI50,0)</f>
        <v>392.72727272727263</v>
      </c>
      <c r="J56" s="59">
        <f>IF($C$5*'Tariffs Jul2022'!AL50/'Tariffs Jul2022'!AJ50&gt;='Tariffs Jul2022'!J50,('Tariffs Jul2022'!J50*'Tariffs Jul2022'!U50/100)* 'Tariffs Jul2022'!AJ50,($C$5*'Tariffs Jul2022'!AL50/'Tariffs Jul2022'!AJ50*'Tariffs Jul2022'!U50/100)* 'Tariffs Jul2022'!AJ50)</f>
        <v>110.36454545454546</v>
      </c>
      <c r="K56" s="59">
        <f>IF($C$5*'Tariffs Jul2022'!AL50/'Tariffs Jul2022'!AJ50&lt;'Tariffs Jul2022'!J50,0,IF($C$5*'Tariffs Jul2022'!AL50/'Tariffs Jul2022'!AJ50&lt;='Tariffs Jul2022'!K50,($C$5*'Tariffs Jul2022'!AL50/'Tariffs Jul2022'!AJ50-'Tariffs Jul2022'!J50)*('Tariffs Jul2022'!V50/100)*'Tariffs Jul2022'!AJ50,('Tariffs Jul2022'!K50-'Tariffs Jul2022'!J50)*('Tariffs Jul2022'!V50/100)*'Tariffs Jul2022'!AJ50))</f>
        <v>86.473636363636359</v>
      </c>
      <c r="L56" s="59">
        <f>IF($C$5*'Tariffs Jul2022'!AL50/'Tariffs Jul2022'!AJ50&lt;'Tariffs Jul2022'!K50,0,IF($C$5*'Tariffs Jul2022'!AL50/'Tariffs Jul2022'!AJ50&lt;='Tariffs Jul2022'!L50,($C$5*'Tariffs Jul2022'!AL50/'Tariffs Jul2022'!AJ50-'Tariffs Jul2022'!K50)*('Tariffs Jul2022'!W50/100)*'Tariffs Jul2022'!AJ50,('Tariffs Jul2022'!L50-'Tariffs Jul2022'!K50)*('Tariffs Jul2022'!W50/100)*'Tariffs Jul2022'!AJ50))</f>
        <v>0</v>
      </c>
      <c r="M56" s="59">
        <f>IF($C$5*'Tariffs Jul2022'!AL50/'Tariffs Jul2022'!AJ50&lt;'Tariffs Jul2022'!L50,0,IF($C$5*'Tariffs Jul2022'!AL50/'Tariffs Jul2022'!AJ50&lt;='Tariffs Jul2022'!M50,($C$5*'Tariffs Jul2022'!AL50/'Tariffs Jul2022'!AJ50-'Tariffs Jul2022'!L50)*('Tariffs Jul2022'!X50/100)*'Tariffs Jul2022'!AJ50,('Tariffs Jul2022'!M50-'Tariffs Jul2022'!L50)*('Tariffs Jul2022'!X50/100)*'Tariffs Jul2022'!AJ50))</f>
        <v>0</v>
      </c>
      <c r="N56" s="59">
        <f>IF(($C$5*'Tariffs Jul2022'!AL50/'Tariffs Jul2022'!AJ50&gt;'Tariffs Jul2022'!M50),($C$5*'Tariffs Jul2022'!AL50/'Tariffs Jul2022'!AJ50-'Tariffs Jul2022'!M50)*'Tariffs Jul2022'!Y50/100*'Tariffs Jul2022'!AJ50,0)</f>
        <v>392.72727272727263</v>
      </c>
      <c r="O56" s="59">
        <f>SUM(E56:N56)</f>
        <v>1179.130909090909</v>
      </c>
      <c r="P56" s="503">
        <f t="shared" si="2"/>
        <v>1297.0439999999999</v>
      </c>
      <c r="Q56" s="59">
        <f>D56+O56</f>
        <v>1448.3349999999998</v>
      </c>
      <c r="R56" s="272">
        <f>Q56*1.1</f>
        <v>1593.1685</v>
      </c>
      <c r="S56" s="40">
        <f>'Tariffs Jul2022'!AN50</f>
        <v>0</v>
      </c>
      <c r="T56" s="40">
        <f>'Tariffs Jul2022'!AO50</f>
        <v>0</v>
      </c>
      <c r="U56" s="40">
        <f>'Tariffs Jul2022'!AP50</f>
        <v>0</v>
      </c>
      <c r="V56" s="40">
        <f>'Tariffs Jul2022'!AQ50</f>
        <v>0</v>
      </c>
      <c r="W56" s="537" t="str">
        <f t="shared" si="34"/>
        <v>No discount</v>
      </c>
      <c r="X56" s="538" t="str">
        <f t="shared" si="35"/>
        <v>Inclusive</v>
      </c>
      <c r="Y56" s="534">
        <f t="shared" ref="Y56:Y58" si="38">IF(AND(W56="Guaranteed off bill",X56="Inclusive"),((Q56*1.1)-((Q56*1.1)*S56/100))/1.1,IF(AND(W56="Guaranteed off usage",X56="Inclusive"),((Q56*1.1)-((P56*1.1)*T56/100))/1.1,IF(AND(W56="Guaranteed off bill",X56="Exclusive"),Q56-(Q56*S56/100),IF(AND(W56="Guaranteed off usage",X56="Exclusive"),Q56-(P56*T56/100),IF(X56="Inclusive",((Q56*1.1))/1.1,Q56)))))</f>
        <v>1448.3349999999998</v>
      </c>
      <c r="Z56" s="535">
        <f t="shared" ref="Z56:Z58" si="39">IF(AND(W56="Pay-on-time off bill",X56="Inclusive"),((Y56*1.1)-((Y56*1.1)*U56/100))/1.1,IF(AND(W56="Pay-on-time off usage",X56="Inclusive"),((Y56*1.1)-((P56*1.1)*V56/100))/1.1,IF(AND(W56="Pay-on-time off bill",X56="Exclusive"),Y56-(Y56*U56/100),IF(AND(W56="Pay-on-time off usage",X56="Exclusive"),Y56-(P56*V56/100),IF(X56="Inclusive",((Y56*1.1))/1.1,Y56)))))</f>
        <v>1448.3349999999998</v>
      </c>
      <c r="AA56" s="542">
        <f t="shared" si="33"/>
        <v>1593.1685</v>
      </c>
      <c r="AB56" s="542">
        <f t="shared" si="33"/>
        <v>1593.1685</v>
      </c>
      <c r="AC56" s="274">
        <f>'Tariffs Jul2022'!AZ50</f>
        <v>0</v>
      </c>
      <c r="AD56" s="274" t="str">
        <f>'Tariffs Jul2022'!BA50</f>
        <v>n</v>
      </c>
      <c r="AE56" s="275" t="str">
        <f>'Tariffs Jul2022'!BJ50</f>
        <v>N</v>
      </c>
      <c r="AF56" s="593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593"/>
      <c r="AS56" s="593"/>
      <c r="AT56" s="593"/>
      <c r="AU56" s="593"/>
      <c r="AV56" s="593"/>
      <c r="AW56" s="593"/>
    </row>
    <row r="57" spans="1:49" ht="14" x14ac:dyDescent="0.15">
      <c r="A57" s="270" t="str">
        <f>'Tariffs Jul2022'!F51</f>
        <v>Simply Energy</v>
      </c>
      <c r="B57" s="40" t="str">
        <f>'Tariffs Jul2022'!D51</f>
        <v>AGN Central 2</v>
      </c>
      <c r="C57" s="40" t="str">
        <f>'Tariffs Jul2022'!G51</f>
        <v>Basics</v>
      </c>
      <c r="D57" s="59">
        <f>365*'Tariffs Jul2022'!H51/100</f>
        <v>281.68045454545455</v>
      </c>
      <c r="E57" s="59">
        <f>IF($C$5*'Tariffs Jul2022'!AK51/'Tariffs Jul2022'!AI51&gt;='Tariffs Jul2022'!J51,( 'Tariffs Jul2022'!J51*'Tariffs Jul2022'!O51/100)* 'Tariffs Jul2022'!AI51,($C$5*'Tariffs Jul2022'!AK51/'Tariffs Jul2022'!AI51*'Tariffs Jul2022'!O51/100)* 'Tariffs Jul2022'!AI51)</f>
        <v>180.35181818181815</v>
      </c>
      <c r="F57" s="59">
        <f>IF($C$5*'Tariffs Jul2022'!AK51/'Tariffs Jul2022'!AI51&lt;'Tariffs Jul2022'!J51,0,IF($C$5*'Tariffs Jul2022'!AK51/'Tariffs Jul2022'!AI51&lt;='Tariffs Jul2022'!K51,($C$5*'Tariffs Jul2022'!AK51/'Tariffs Jul2022'!AI51-'Tariffs Jul2022'!J51)*('Tariffs Jul2022'!P51/100)*'Tariffs Jul2022'!AI51,('Tariffs Jul2022'!K51-'Tariffs Jul2022'!J51)*('Tariffs Jul2022'!P51/100)*'Tariffs Jul2022'!AI51))</f>
        <v>124.90636363636364</v>
      </c>
      <c r="G57" s="59">
        <f>IF($C$5*'Tariffs Jul2022'!AK51/'Tariffs Jul2022'!AI51&lt;'Tariffs Jul2022'!K51,0,IF($C$5*'Tariffs Jul2022'!AK51/'Tariffs Jul2022'!AI51&lt;='Tariffs Jul2022'!L51,($C$5*'Tariffs Jul2022'!AK51/'Tariffs Jul2022'!AI51-'Tariffs Jul2022'!K51)*('Tariffs Jul2022'!Q51/100)*'Tariffs Jul2022'!AI51,('Tariffs Jul2022'!L51-'Tariffs Jul2022'!K51)*('Tariffs Jul2022'!Q51/100)*'Tariffs Jul2022'!AI51))</f>
        <v>0</v>
      </c>
      <c r="H57" s="59">
        <f>IF($C$5*'Tariffs Jul2022'!AK51/'Tariffs Jul2022'!AI51&lt;'Tariffs Jul2022'!L51,0,IF($C$5*'Tariffs Jul2022'!AK51/'Tariffs Jul2022'!AI51&lt;='Tariffs Jul2022'!M51,($C$5*'Tariffs Jul2022'!AK51/'Tariffs Jul2022'!AI51-'Tariffs Jul2022'!L51)*('Tariffs Jul2022'!R51/100)*'Tariffs Jul2022'!AI51,('Tariffs Jul2022'!M51-'Tariffs Jul2022'!L51)*('Tariffs Jul2022'!R51/100)*'Tariffs Jul2022'!AI51))</f>
        <v>0</v>
      </c>
      <c r="I57" s="59">
        <f>IF(($C$5*'Tariffs Jul2022'!AK51/'Tariffs Jul2022'!AI51&gt;'Tariffs Jul2022'!M51),($C$5*'Tariffs Jul2022'!AK51/'Tariffs Jul2022'!AI51-'Tariffs Jul2022'!M51)*'Tariffs Jul2022'!S51/100*'Tariffs Jul2022'!AI51,0)</f>
        <v>578.86363636363626</v>
      </c>
      <c r="J57" s="59">
        <f>IF($C$5*'Tariffs Jul2022'!AL51/'Tariffs Jul2022'!AJ51&gt;='Tariffs Jul2022'!J51,('Tariffs Jul2022'!J51*'Tariffs Jul2022'!U51/100)* 'Tariffs Jul2022'!AJ51,($C$5*'Tariffs Jul2022'!AL51/'Tariffs Jul2022'!AJ51*'Tariffs Jul2022'!U51/100)* 'Tariffs Jul2022'!AJ51)</f>
        <v>180.35181818181815</v>
      </c>
      <c r="K57" s="59">
        <f>IF($C$5*'Tariffs Jul2022'!AL51/'Tariffs Jul2022'!AJ51&lt;'Tariffs Jul2022'!J51,0,IF($C$5*'Tariffs Jul2022'!AL51/'Tariffs Jul2022'!AJ51&lt;='Tariffs Jul2022'!K51,($C$5*'Tariffs Jul2022'!AL51/'Tariffs Jul2022'!AJ51-'Tariffs Jul2022'!J51)*('Tariffs Jul2022'!V51/100)*'Tariffs Jul2022'!AJ51,('Tariffs Jul2022'!K51-'Tariffs Jul2022'!J51)*('Tariffs Jul2022'!V51/100)*'Tariffs Jul2022'!AJ51))</f>
        <v>124.90636363636364</v>
      </c>
      <c r="L57" s="59">
        <f>IF($C$5*'Tariffs Jul2022'!AL51/'Tariffs Jul2022'!AJ51&lt;'Tariffs Jul2022'!K51,0,IF($C$5*'Tariffs Jul2022'!AL51/'Tariffs Jul2022'!AJ51&lt;='Tariffs Jul2022'!L51,($C$5*'Tariffs Jul2022'!AL51/'Tariffs Jul2022'!AJ51-'Tariffs Jul2022'!K51)*('Tariffs Jul2022'!W51/100)*'Tariffs Jul2022'!AJ51,('Tariffs Jul2022'!L51-'Tariffs Jul2022'!K51)*('Tariffs Jul2022'!W51/100)*'Tariffs Jul2022'!AJ51))</f>
        <v>0</v>
      </c>
      <c r="M57" s="59">
        <f>IF($C$5*'Tariffs Jul2022'!AL51/'Tariffs Jul2022'!AJ51&lt;'Tariffs Jul2022'!L51,0,IF($C$5*'Tariffs Jul2022'!AL51/'Tariffs Jul2022'!AJ51&lt;='Tariffs Jul2022'!M51,($C$5*'Tariffs Jul2022'!AL51/'Tariffs Jul2022'!AJ51-'Tariffs Jul2022'!L51)*('Tariffs Jul2022'!X51/100)*'Tariffs Jul2022'!AJ51,('Tariffs Jul2022'!M51-'Tariffs Jul2022'!L51)*('Tariffs Jul2022'!X51/100)*'Tariffs Jul2022'!AJ51))</f>
        <v>0</v>
      </c>
      <c r="N57" s="59">
        <f>IF(($C$5*'Tariffs Jul2022'!AL51/'Tariffs Jul2022'!AJ51&gt;'Tariffs Jul2022'!M51),($C$5*'Tariffs Jul2022'!AL51/'Tariffs Jul2022'!AJ51-'Tariffs Jul2022'!M51)*'Tariffs Jul2022'!Y51/100*'Tariffs Jul2022'!AJ51,0)</f>
        <v>578.86363636363626</v>
      </c>
      <c r="O57" s="59">
        <f t="shared" si="1"/>
        <v>1768.2436363636361</v>
      </c>
      <c r="P57" s="503">
        <f t="shared" si="2"/>
        <v>1945.068</v>
      </c>
      <c r="Q57" s="59">
        <f t="shared" si="3"/>
        <v>2049.9240909090909</v>
      </c>
      <c r="R57" s="272">
        <f t="shared" si="4"/>
        <v>2254.9165000000003</v>
      </c>
      <c r="S57" s="40">
        <f>'Tariffs Jul2022'!AN51</f>
        <v>0</v>
      </c>
      <c r="T57" s="40">
        <f>'Tariffs Jul2022'!AO51</f>
        <v>0</v>
      </c>
      <c r="U57" s="40">
        <f>'Tariffs Jul2022'!AP51</f>
        <v>0</v>
      </c>
      <c r="V57" s="40">
        <f>'Tariffs Jul2022'!AQ51</f>
        <v>0</v>
      </c>
      <c r="W57" s="537" t="str">
        <f t="shared" si="34"/>
        <v>No discount</v>
      </c>
      <c r="X57" s="538" t="str">
        <f t="shared" si="35"/>
        <v>Exclusive</v>
      </c>
      <c r="Y57" s="534">
        <f t="shared" si="38"/>
        <v>2049.9240909090909</v>
      </c>
      <c r="Z57" s="535">
        <f t="shared" si="39"/>
        <v>2049.9240909090909</v>
      </c>
      <c r="AA57" s="542">
        <f t="shared" si="33"/>
        <v>2254.9165000000003</v>
      </c>
      <c r="AB57" s="542">
        <f t="shared" si="33"/>
        <v>2254.9165000000003</v>
      </c>
      <c r="AC57" s="274">
        <f>'Tariffs Jul2022'!AZ51</f>
        <v>0</v>
      </c>
      <c r="AD57" s="274" t="str">
        <f>'Tariffs Jul2022'!BA51</f>
        <v>n</v>
      </c>
      <c r="AE57" s="275" t="str">
        <f>'Tariffs Jul2022'!BJ51</f>
        <v>N</v>
      </c>
      <c r="AF57" s="593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593"/>
      <c r="AS57" s="593"/>
      <c r="AT57" s="593"/>
      <c r="AU57" s="593"/>
      <c r="AV57" s="593"/>
      <c r="AW57" s="593"/>
    </row>
    <row r="58" spans="1:49" ht="14" x14ac:dyDescent="0.15">
      <c r="A58" s="270" t="str">
        <f>'Tariffs Jul2022'!F52</f>
        <v>GloBird Energy</v>
      </c>
      <c r="B58" s="40" t="str">
        <f>'Tariffs Jul2022'!D52</f>
        <v>AGN Central 2</v>
      </c>
      <c r="C58" s="40" t="str">
        <f>'Tariffs Jul2022'!G52</f>
        <v>GloSave</v>
      </c>
      <c r="D58" s="59">
        <f>365*'Tariffs Jul2022'!H52/100</f>
        <v>218.99999999999997</v>
      </c>
      <c r="E58" s="59">
        <f>IF($C$5*'Tariffs Jul2022'!AK52/'Tariffs Jul2022'!AI52&gt;='Tariffs Jul2022'!J52,( 'Tariffs Jul2022'!J52*'Tariffs Jul2022'!O52/100)* 'Tariffs Jul2022'!AI52,($C$5*'Tariffs Jul2022'!AK52/'Tariffs Jul2022'!AI52*'Tariffs Jul2022'!O52/100)* 'Tariffs Jul2022'!AI52)</f>
        <v>195.27272727272728</v>
      </c>
      <c r="F58" s="59">
        <f>IF($C$5*'Tariffs Jul2022'!AK52/'Tariffs Jul2022'!AI52&lt;'Tariffs Jul2022'!J52,0,IF($C$5*'Tariffs Jul2022'!AK52/'Tariffs Jul2022'!AI52&lt;='Tariffs Jul2022'!K52,($C$5*'Tariffs Jul2022'!AK52/'Tariffs Jul2022'!AI52-'Tariffs Jul2022'!J52)*('Tariffs Jul2022'!P52/100)*'Tariffs Jul2022'!AI52,('Tariffs Jul2022'!K52-'Tariffs Jul2022'!J52)*('Tariffs Jul2022'!P52/100)*'Tariffs Jul2022'!AI52))</f>
        <v>0</v>
      </c>
      <c r="G58" s="59">
        <f>IF($C$5*'Tariffs Jul2022'!AK52/'Tariffs Jul2022'!AI52&lt;'Tariffs Jul2022'!K52,0,IF($C$5*'Tariffs Jul2022'!AK52/'Tariffs Jul2022'!AI52&lt;='Tariffs Jul2022'!L52,($C$5*'Tariffs Jul2022'!AK52/'Tariffs Jul2022'!AI52-'Tariffs Jul2022'!K52)*('Tariffs Jul2022'!Q52/100)*'Tariffs Jul2022'!AI52,('Tariffs Jul2022'!L52-'Tariffs Jul2022'!K52)*('Tariffs Jul2022'!Q52/100)*'Tariffs Jul2022'!AI52))</f>
        <v>0</v>
      </c>
      <c r="H58" s="59">
        <f>IF($C$5*'Tariffs Jul2022'!AK52/'Tariffs Jul2022'!AI52&lt;'Tariffs Jul2022'!L52,0,IF($C$5*'Tariffs Jul2022'!AK52/'Tariffs Jul2022'!AI52&lt;='Tariffs Jul2022'!M52,($C$5*'Tariffs Jul2022'!AK52/'Tariffs Jul2022'!AI52-'Tariffs Jul2022'!L52)*('Tariffs Jul2022'!R52/100)*'Tariffs Jul2022'!AI52,('Tariffs Jul2022'!M52-'Tariffs Jul2022'!L52)*('Tariffs Jul2022'!R52/100)*'Tariffs Jul2022'!AI52))</f>
        <v>0</v>
      </c>
      <c r="I58" s="59">
        <f>IF(($C$5*'Tariffs Jul2022'!AK52/'Tariffs Jul2022'!AI52&gt;'Tariffs Jul2022'!M52),($C$5*'Tariffs Jul2022'!AK52/'Tariffs Jul2022'!AI52-'Tariffs Jul2022'!M52)*'Tariffs Jul2022'!S52/100*'Tariffs Jul2022'!AI52,0)</f>
        <v>413.12397272727253</v>
      </c>
      <c r="J58" s="59">
        <f>IF($C$5*'Tariffs Jul2022'!AL52/'Tariffs Jul2022'!AJ52&gt;='Tariffs Jul2022'!J52,('Tariffs Jul2022'!J52*'Tariffs Jul2022'!U52/100)* 'Tariffs Jul2022'!AJ52,($C$5*'Tariffs Jul2022'!AL52/'Tariffs Jul2022'!AJ52*'Tariffs Jul2022'!U52/100)* 'Tariffs Jul2022'!AJ52)</f>
        <v>390.54545454545456</v>
      </c>
      <c r="K58" s="59">
        <f>IF($C$5*'Tariffs Jul2022'!AL52/'Tariffs Jul2022'!AJ52&lt;'Tariffs Jul2022'!J52,0,IF($C$5*'Tariffs Jul2022'!AL52/'Tariffs Jul2022'!AJ52&lt;='Tariffs Jul2022'!K52,($C$5*'Tariffs Jul2022'!AL52/'Tariffs Jul2022'!AJ52-'Tariffs Jul2022'!J52)*('Tariffs Jul2022'!V52/100)*'Tariffs Jul2022'!AJ52,('Tariffs Jul2022'!K52-'Tariffs Jul2022'!J52)*('Tariffs Jul2022'!V52/100)*'Tariffs Jul2022'!AJ52))</f>
        <v>0</v>
      </c>
      <c r="L58" s="59">
        <f>IF($C$5*'Tariffs Jul2022'!AL52/'Tariffs Jul2022'!AJ52&lt;'Tariffs Jul2022'!K52,0,IF($C$5*'Tariffs Jul2022'!AL52/'Tariffs Jul2022'!AJ52&lt;='Tariffs Jul2022'!L52,($C$5*'Tariffs Jul2022'!AL52/'Tariffs Jul2022'!AJ52-'Tariffs Jul2022'!K52)*('Tariffs Jul2022'!W52/100)*'Tariffs Jul2022'!AJ52,('Tariffs Jul2022'!L52-'Tariffs Jul2022'!K52)*('Tariffs Jul2022'!W52/100)*'Tariffs Jul2022'!AJ52))</f>
        <v>0</v>
      </c>
      <c r="M58" s="59">
        <f>IF($C$5*'Tariffs Jul2022'!AL52/'Tariffs Jul2022'!AJ52&lt;'Tariffs Jul2022'!L52,0,IF($C$5*'Tariffs Jul2022'!AL52/'Tariffs Jul2022'!AJ52&lt;='Tariffs Jul2022'!M52,($C$5*'Tariffs Jul2022'!AL52/'Tariffs Jul2022'!AJ52-'Tariffs Jul2022'!L52)*('Tariffs Jul2022'!X52/100)*'Tariffs Jul2022'!AJ52,('Tariffs Jul2022'!M52-'Tariffs Jul2022'!L52)*('Tariffs Jul2022'!X52/100)*'Tariffs Jul2022'!AJ52))</f>
        <v>0</v>
      </c>
      <c r="N58" s="59">
        <f>IF(($C$5*'Tariffs Jul2022'!AL52/'Tariffs Jul2022'!AJ52&gt;'Tariffs Jul2022'!M52),($C$5*'Tariffs Jul2022'!AL52/'Tariffs Jul2022'!AJ52-'Tariffs Jul2022'!M52)*'Tariffs Jul2022'!Y52/100*'Tariffs Jul2022'!AJ52,0)</f>
        <v>826.24794545454506</v>
      </c>
      <c r="O58" s="59">
        <f t="shared" si="1"/>
        <v>1825.1900999999993</v>
      </c>
      <c r="P58" s="503">
        <f t="shared" si="2"/>
        <v>2007.7091099999996</v>
      </c>
      <c r="Q58" s="59">
        <f t="shared" si="3"/>
        <v>2044.1900999999993</v>
      </c>
      <c r="R58" s="272">
        <f t="shared" si="4"/>
        <v>2248.6091099999994</v>
      </c>
      <c r="S58" s="40">
        <f>'Tariffs Jul2022'!AN52</f>
        <v>0</v>
      </c>
      <c r="T58" s="40">
        <f>'Tariffs Jul2022'!AO52</f>
        <v>0</v>
      </c>
      <c r="U58" s="40">
        <f>'Tariffs Jul2022'!AP52</f>
        <v>0</v>
      </c>
      <c r="V58" s="40">
        <f>'Tariffs Jul2022'!AQ52</f>
        <v>0</v>
      </c>
      <c r="W58" s="537" t="str">
        <f t="shared" si="34"/>
        <v>No discount</v>
      </c>
      <c r="X58" s="538" t="str">
        <f t="shared" si="35"/>
        <v>Exclusive</v>
      </c>
      <c r="Y58" s="534">
        <f t="shared" si="38"/>
        <v>2044.1900999999993</v>
      </c>
      <c r="Z58" s="535">
        <f t="shared" si="39"/>
        <v>2044.1900999999993</v>
      </c>
      <c r="AA58" s="542">
        <f t="shared" si="33"/>
        <v>2248.6091099999994</v>
      </c>
      <c r="AB58" s="542">
        <f t="shared" si="33"/>
        <v>2248.6091099999994</v>
      </c>
      <c r="AC58" s="274">
        <f>'Tariffs Jul2022'!AZ52</f>
        <v>0</v>
      </c>
      <c r="AD58" s="274" t="str">
        <f>'Tariffs Jul2022'!BA52</f>
        <v>n</v>
      </c>
      <c r="AE58" s="275" t="str">
        <f>'Tariffs Jul2022'!BJ52</f>
        <v>N</v>
      </c>
      <c r="AF58" s="593"/>
      <c r="AG58" s="593"/>
      <c r="AH58" s="593"/>
      <c r="AI58" s="593"/>
      <c r="AJ58" s="593"/>
      <c r="AK58" s="593"/>
      <c r="AL58" s="593"/>
      <c r="AM58" s="593"/>
      <c r="AN58" s="593"/>
      <c r="AO58" s="593"/>
      <c r="AP58" s="593"/>
      <c r="AQ58" s="593"/>
      <c r="AR58" s="593"/>
      <c r="AS58" s="593"/>
      <c r="AT58" s="593"/>
      <c r="AU58" s="593"/>
      <c r="AV58" s="593"/>
      <c r="AW58" s="593"/>
    </row>
    <row r="59" spans="1:49" ht="14" x14ac:dyDescent="0.15">
      <c r="A59" s="270" t="str">
        <f>'Tariffs Jul2022'!F53</f>
        <v>Powershop</v>
      </c>
      <c r="B59" s="40" t="str">
        <f>'Tariffs Jul2022'!D53</f>
        <v>AGN Central 2</v>
      </c>
      <c r="C59" s="40" t="str">
        <f>'Tariffs Jul2022'!G53</f>
        <v>Carbon Neutral</v>
      </c>
      <c r="D59" s="59">
        <f>365*'Tariffs Jul2022'!H53/100</f>
        <v>267.04727272727274</v>
      </c>
      <c r="E59" s="59">
        <f>((C$5*'Tariffs Jul2022'!AK53/'Tariffs Jul2022'!AI53)*('Tariffs Jul2022'!O53/100))*'Tariffs Jul2022'!AI53</f>
        <v>618.5454545454545</v>
      </c>
      <c r="F59" s="59">
        <v>0</v>
      </c>
      <c r="G59" s="59">
        <v>0</v>
      </c>
      <c r="H59" s="59">
        <v>0</v>
      </c>
      <c r="I59" s="59">
        <v>0</v>
      </c>
      <c r="J59" s="59">
        <f>((C$5*'Tariffs Jul2022'!AL53/'Tariffs Jul2022'!AJ53)*('Tariffs Jul2022'!U53/100))*'Tariffs Jul2022'!AJ53</f>
        <v>618.5454545454545</v>
      </c>
      <c r="K59" s="59">
        <v>0</v>
      </c>
      <c r="L59" s="59">
        <v>0</v>
      </c>
      <c r="M59" s="59">
        <v>0</v>
      </c>
      <c r="N59" s="59">
        <v>0</v>
      </c>
      <c r="O59" s="59">
        <f t="shared" si="1"/>
        <v>1237.090909090909</v>
      </c>
      <c r="P59" s="503">
        <f t="shared" si="2"/>
        <v>1360.8</v>
      </c>
      <c r="Q59" s="59">
        <f t="shared" si="3"/>
        <v>1504.1381818181817</v>
      </c>
      <c r="R59" s="272">
        <f t="shared" si="4"/>
        <v>1654.5519999999999</v>
      </c>
      <c r="S59" s="40">
        <f>'Tariffs Jul2022'!AN53</f>
        <v>0</v>
      </c>
      <c r="T59" s="40">
        <f>'Tariffs Jul2022'!AO53</f>
        <v>0</v>
      </c>
      <c r="U59" s="40">
        <f>'Tariffs Jul2022'!AP53</f>
        <v>0</v>
      </c>
      <c r="V59" s="40">
        <f>'Tariffs Jul2022'!AQ53</f>
        <v>0</v>
      </c>
      <c r="W59" s="537" t="str">
        <f t="shared" si="34"/>
        <v>No discount</v>
      </c>
      <c r="X59" s="538" t="str">
        <f t="shared" si="35"/>
        <v>Inclusive</v>
      </c>
      <c r="Y59" s="534">
        <f>IF(AND(W59="Guaranteed off bill",X59="Inclusive"),((Q59*1.1)-((Q59*1.1)*S59/100))/1.1,IF(AND(W59="Guaranteed off usage",X59="Inclusive"),((Q59*1.1)-((P59*1.1)*T59/100))/1.1,IF(AND(W59="Guaranteed off bill",X59="Exclusive"),Q59-(Q59*S59/100),IF(AND(W59="Guaranteed off usage",X59="Exclusive"),Q59-(P59*T59/100),IF(X59="Inclusive",((Q59*1.1))/1.1,Q59)))))</f>
        <v>1504.1381818181817</v>
      </c>
      <c r="Z59" s="535">
        <f>IF(AND(W59="Pay-on-time off bill",X59="Inclusive"),((Y59*1.1)-((Y59*1.1)*U59/100))/1.1,IF(AND(W59="Pay-on-time off usage",X59="Inclusive"),((Y59*1.1)-((P59*1.1)*V59/100))/1.1,IF(AND(W59="Pay-on-time off bill",X59="Exclusive"),Y59-(Y59*U59/100),IF(AND(W59="Pay-on-time off usage",X59="Exclusive"),Y59-(P59*V59/100),IF(X59="Inclusive",((Y59*1.1))/1.1,Y59)))))</f>
        <v>1504.1381818181817</v>
      </c>
      <c r="AA59" s="542">
        <f t="shared" si="33"/>
        <v>1654.5519999999999</v>
      </c>
      <c r="AB59" s="542">
        <f t="shared" si="33"/>
        <v>1654.5519999999999</v>
      </c>
      <c r="AC59" s="274">
        <f>'Tariffs Jul2022'!AZ53</f>
        <v>0</v>
      </c>
      <c r="AD59" s="274" t="str">
        <f>'Tariffs Jul2022'!BA53</f>
        <v>n</v>
      </c>
      <c r="AE59" s="275" t="str">
        <f>'Tariffs Jul2022'!BJ53</f>
        <v>Y</v>
      </c>
      <c r="AF59" s="593"/>
      <c r="AG59" s="593"/>
      <c r="AH59" s="593"/>
      <c r="AI59" s="593"/>
      <c r="AJ59" s="593"/>
      <c r="AK59" s="593"/>
      <c r="AL59" s="593"/>
      <c r="AM59" s="593"/>
      <c r="AN59" s="593"/>
      <c r="AO59" s="593"/>
      <c r="AP59" s="593"/>
      <c r="AQ59" s="593"/>
      <c r="AR59" s="593"/>
      <c r="AS59" s="593"/>
      <c r="AT59" s="593"/>
      <c r="AU59" s="593"/>
      <c r="AV59" s="593"/>
      <c r="AW59" s="593"/>
    </row>
    <row r="60" spans="1:49" ht="14" x14ac:dyDescent="0.15">
      <c r="A60" s="270" t="str">
        <f>'Tariffs Jul2022'!F54</f>
        <v>1st Energy</v>
      </c>
      <c r="B60" s="40" t="str">
        <f>'Tariffs Jul2022'!D54</f>
        <v>AGN Central 2</v>
      </c>
      <c r="C60" s="40" t="str">
        <f>'Tariffs Jul2022'!G54</f>
        <v>1st Saver Plus</v>
      </c>
      <c r="D60" s="59">
        <f>365*'Tariffs Jul2022'!H54/100</f>
        <v>266.45</v>
      </c>
      <c r="E60" s="59">
        <f>IF($C$5*'Tariffs Jul2022'!AK54/'Tariffs Jul2022'!AI54&gt;='Tariffs Jul2022'!J54,( 'Tariffs Jul2022'!J54*'Tariffs Jul2022'!O54/100)* 'Tariffs Jul2022'!AI54,($C$5*'Tariffs Jul2022'!AK54/'Tariffs Jul2022'!AI54*'Tariffs Jul2022'!O54/100)* 'Tariffs Jul2022'!AI54)</f>
        <v>144.46090909090907</v>
      </c>
      <c r="F60" s="59">
        <f>IF($C$5*'Tariffs Jul2022'!AK54/'Tariffs Jul2022'!AI54&lt;'Tariffs Jul2022'!J54,0,IF($C$5*'Tariffs Jul2022'!AK54/'Tariffs Jul2022'!AI54&lt;='Tariffs Jul2022'!K54,($C$5*'Tariffs Jul2022'!AK54/'Tariffs Jul2022'!AI54-'Tariffs Jul2022'!J54)*('Tariffs Jul2022'!P54/100)*'Tariffs Jul2022'!AI54,('Tariffs Jul2022'!K54-'Tariffs Jul2022'!J54)*('Tariffs Jul2022'!P54/100)*'Tariffs Jul2022'!AI54))</f>
        <v>103.47272727272725</v>
      </c>
      <c r="G60" s="59">
        <f>IF($C$5*'Tariffs Jul2022'!AK54/'Tariffs Jul2022'!AI54&lt;'Tariffs Jul2022'!K54,0,IF($C$5*'Tariffs Jul2022'!AK54/'Tariffs Jul2022'!AI54&lt;='Tariffs Jul2022'!L54,($C$5*'Tariffs Jul2022'!AK54/'Tariffs Jul2022'!AI54-'Tariffs Jul2022'!K54)*('Tariffs Jul2022'!Q54/100)*'Tariffs Jul2022'!AI54,('Tariffs Jul2022'!L54-'Tariffs Jul2022'!K54)*('Tariffs Jul2022'!Q54/100)*'Tariffs Jul2022'!AI54))</f>
        <v>0</v>
      </c>
      <c r="H60" s="59">
        <f>IF($C$5*'Tariffs Jul2022'!AK54/'Tariffs Jul2022'!AI54&lt;'Tariffs Jul2022'!L54,0,IF($C$5*'Tariffs Jul2022'!AK54/'Tariffs Jul2022'!AI54&lt;='Tariffs Jul2022'!M54,($C$5*'Tariffs Jul2022'!AK54/'Tariffs Jul2022'!AI54-'Tariffs Jul2022'!L54)*('Tariffs Jul2022'!R54/100)*'Tariffs Jul2022'!AI54,('Tariffs Jul2022'!M54-'Tariffs Jul2022'!L54)*('Tariffs Jul2022'!R54/100)*'Tariffs Jul2022'!AI54))</f>
        <v>0</v>
      </c>
      <c r="I60" s="59">
        <f>IF(($C$5*'Tariffs Jul2022'!AK54/'Tariffs Jul2022'!AI54&gt;'Tariffs Jul2022'!M54),($C$5*'Tariffs Jul2022'!AK54/'Tariffs Jul2022'!AI54-'Tariffs Jul2022'!M54)*'Tariffs Jul2022'!S54/100*'Tariffs Jul2022'!AI54,0)</f>
        <v>490.90909090909088</v>
      </c>
      <c r="J60" s="59">
        <f>IF($C$5*'Tariffs Jul2022'!AL54/'Tariffs Jul2022'!AJ54&gt;='Tariffs Jul2022'!J54,('Tariffs Jul2022'!J54*'Tariffs Jul2022'!U54/100)* 'Tariffs Jul2022'!AJ54,($C$5*'Tariffs Jul2022'!AL54/'Tariffs Jul2022'!AJ54*'Tariffs Jul2022'!U54/100)* 'Tariffs Jul2022'!AJ54)</f>
        <v>144.46090909090907</v>
      </c>
      <c r="K60" s="59">
        <f>IF($C$5*'Tariffs Jul2022'!AL54/'Tariffs Jul2022'!AJ54&lt;'Tariffs Jul2022'!J54,0,IF($C$5*'Tariffs Jul2022'!AL54/'Tariffs Jul2022'!AJ54&lt;='Tariffs Jul2022'!K54,($C$5*'Tariffs Jul2022'!AL54/'Tariffs Jul2022'!AJ54-'Tariffs Jul2022'!J54)*('Tariffs Jul2022'!V54/100)*'Tariffs Jul2022'!AJ54,('Tariffs Jul2022'!K54-'Tariffs Jul2022'!J54)*('Tariffs Jul2022'!V54/100)*'Tariffs Jul2022'!AJ54))</f>
        <v>103.47272727272725</v>
      </c>
      <c r="L60" s="59">
        <f>IF($C$5*'Tariffs Jul2022'!AL54/'Tariffs Jul2022'!AJ54&lt;'Tariffs Jul2022'!K54,0,IF($C$5*'Tariffs Jul2022'!AL54/'Tariffs Jul2022'!AJ54&lt;='Tariffs Jul2022'!L54,($C$5*'Tariffs Jul2022'!AL54/'Tariffs Jul2022'!AJ54-'Tariffs Jul2022'!K54)*('Tariffs Jul2022'!W54/100)*'Tariffs Jul2022'!AJ54,('Tariffs Jul2022'!L54-'Tariffs Jul2022'!K54)*('Tariffs Jul2022'!W54/100)*'Tariffs Jul2022'!AJ54))</f>
        <v>0</v>
      </c>
      <c r="M60" s="59">
        <f>IF($C$5*'Tariffs Jul2022'!AL54/'Tariffs Jul2022'!AJ54&lt;'Tariffs Jul2022'!L54,0,IF($C$5*'Tariffs Jul2022'!AL54/'Tariffs Jul2022'!AJ54&lt;='Tariffs Jul2022'!M54,($C$5*'Tariffs Jul2022'!AL54/'Tariffs Jul2022'!AJ54-'Tariffs Jul2022'!L54)*('Tariffs Jul2022'!X54/100)*'Tariffs Jul2022'!AJ54,('Tariffs Jul2022'!M54-'Tariffs Jul2022'!L54)*('Tariffs Jul2022'!X54/100)*'Tariffs Jul2022'!AJ54))</f>
        <v>0</v>
      </c>
      <c r="N60" s="59">
        <f>IF(($C$5*'Tariffs Jul2022'!AL54/'Tariffs Jul2022'!AJ54&gt;'Tariffs Jul2022'!M54),($C$5*'Tariffs Jul2022'!AL54/'Tariffs Jul2022'!AJ54-'Tariffs Jul2022'!M54)*'Tariffs Jul2022'!Y54/100*'Tariffs Jul2022'!AJ54,0)</f>
        <v>490.90909090909088</v>
      </c>
      <c r="O60" s="59">
        <f t="shared" si="1"/>
        <v>1477.6854545454544</v>
      </c>
      <c r="P60" s="503">
        <f t="shared" si="2"/>
        <v>1625.454</v>
      </c>
      <c r="Q60" s="59">
        <f t="shared" si="3"/>
        <v>1744.1354545454544</v>
      </c>
      <c r="R60" s="272">
        <f t="shared" si="4"/>
        <v>1918.549</v>
      </c>
      <c r="S60" s="40">
        <f>'Tariffs Jul2022'!AN54</f>
        <v>0</v>
      </c>
      <c r="T60" s="40">
        <f>'Tariffs Jul2022'!AO54</f>
        <v>7</v>
      </c>
      <c r="U60" s="40">
        <f>'Tariffs Jul2022'!AP54</f>
        <v>0</v>
      </c>
      <c r="V60" s="40">
        <f>'Tariffs Jul2022'!AQ54</f>
        <v>3</v>
      </c>
      <c r="W60" s="537" t="str">
        <f t="shared" si="34"/>
        <v>Guaranteed off usage</v>
      </c>
      <c r="X60" s="538" t="str">
        <f t="shared" si="35"/>
        <v>Exclusive</v>
      </c>
      <c r="Y60" s="534">
        <f>Q60-(P60*T60)/100</f>
        <v>1630.3536745454544</v>
      </c>
      <c r="Z60" s="535">
        <f>Y60-(P60*V60)/100</f>
        <v>1581.5900545454544</v>
      </c>
      <c r="AA60" s="542">
        <f t="shared" si="33"/>
        <v>1793.389042</v>
      </c>
      <c r="AB60" s="542">
        <f t="shared" si="33"/>
        <v>1739.7490600000001</v>
      </c>
      <c r="AC60" s="274">
        <f>'Tariffs Jul2022'!AZ54</f>
        <v>0</v>
      </c>
      <c r="AD60" s="274" t="str">
        <f>'Tariffs Jul2022'!BA54</f>
        <v>n</v>
      </c>
      <c r="AE60" s="275" t="str">
        <f>'Tariffs Jul2022'!BJ54</f>
        <v>N</v>
      </c>
      <c r="AF60" s="593"/>
      <c r="AG60" s="593"/>
      <c r="AH60" s="593"/>
      <c r="AI60" s="593"/>
      <c r="AJ60" s="593"/>
      <c r="AK60" s="593"/>
      <c r="AL60" s="593"/>
      <c r="AM60" s="593"/>
      <c r="AN60" s="593"/>
      <c r="AO60" s="593"/>
      <c r="AP60" s="593"/>
      <c r="AQ60" s="593"/>
      <c r="AR60" s="593"/>
      <c r="AS60" s="593"/>
      <c r="AT60" s="593"/>
      <c r="AU60" s="593"/>
      <c r="AV60" s="593"/>
      <c r="AW60" s="593"/>
    </row>
    <row r="61" spans="1:49" ht="14" x14ac:dyDescent="0.15">
      <c r="A61" s="270" t="str">
        <f>'Tariffs Jul2022'!F55</f>
        <v>Kogan Energy</v>
      </c>
      <c r="B61" s="40" t="str">
        <f>'Tariffs Jul2022'!D55</f>
        <v>AGN Central 2</v>
      </c>
      <c r="C61" s="40" t="str">
        <f>'Tariffs Jul2022'!G55</f>
        <v>Kogan Basic</v>
      </c>
      <c r="D61" s="59">
        <f>365*'Tariffs Jul2022'!H55/100</f>
        <v>287.45409090909089</v>
      </c>
      <c r="E61" s="59">
        <f>((C$5*'Tariffs Jul2022'!AK55/'Tariffs Jul2022'!AI55)*('Tariffs Jul2022'!O55/100))*'Tariffs Jul2022'!AI55</f>
        <v>641.4545454545455</v>
      </c>
      <c r="F61" s="59">
        <v>0</v>
      </c>
      <c r="G61" s="59">
        <v>0</v>
      </c>
      <c r="H61" s="59">
        <v>0</v>
      </c>
      <c r="I61" s="59">
        <v>0</v>
      </c>
      <c r="J61" s="59">
        <f>((C$5*'Tariffs Jul2022'!AL55/'Tariffs Jul2022'!AJ55)*('Tariffs Jul2022'!U55/100))*'Tariffs Jul2022'!AJ55</f>
        <v>641.4545454545455</v>
      </c>
      <c r="K61" s="59">
        <v>0</v>
      </c>
      <c r="L61" s="59">
        <v>0</v>
      </c>
      <c r="M61" s="59">
        <v>0</v>
      </c>
      <c r="N61" s="59">
        <v>0</v>
      </c>
      <c r="O61" s="59">
        <f t="shared" si="1"/>
        <v>1282.909090909091</v>
      </c>
      <c r="P61" s="503">
        <f t="shared" si="2"/>
        <v>1411.2000000000003</v>
      </c>
      <c r="Q61" s="59">
        <f t="shared" si="3"/>
        <v>1570.3631818181818</v>
      </c>
      <c r="R61" s="272">
        <f t="shared" si="4"/>
        <v>1727.3995000000002</v>
      </c>
      <c r="S61" s="40">
        <f>'Tariffs Jul2022'!AN55</f>
        <v>0</v>
      </c>
      <c r="T61" s="40">
        <f>'Tariffs Jul2022'!AO55</f>
        <v>0</v>
      </c>
      <c r="U61" s="40">
        <f>'Tariffs Jul2022'!AP55</f>
        <v>0</v>
      </c>
      <c r="V61" s="40">
        <f>'Tariffs Jul2022'!AQ55</f>
        <v>0</v>
      </c>
      <c r="W61" s="537" t="str">
        <f t="shared" si="34"/>
        <v>No discount</v>
      </c>
      <c r="X61" s="538" t="str">
        <f t="shared" si="35"/>
        <v>Exclusive</v>
      </c>
      <c r="Y61" s="534">
        <f t="shared" ref="Y61:Y63" si="40">IF(AND(W61="Guaranteed off bill",X61="Inclusive"),((Q61*1.1)-((Q61*1.1)*S61/100))/1.1,IF(AND(W61="Guaranteed off usage",X61="Inclusive"),((Q61*1.1)-((P61*1.1)*T61/100))/1.1,IF(AND(W61="Guaranteed off bill",X61="Exclusive"),Q61-(Q61*S61/100),IF(AND(W61="Guaranteed off usage",X61="Exclusive"),Q61-(P61*T61/100),IF(X61="Inclusive",((Q61*1.1))/1.1,Q61)))))</f>
        <v>1570.3631818181818</v>
      </c>
      <c r="Z61" s="535">
        <f t="shared" ref="Z61:Z63" si="41">IF(AND(W61="Pay-on-time off bill",X61="Inclusive"),((Y61*1.1)-((Y61*1.1)*U61/100))/1.1,IF(AND(W61="Pay-on-time off usage",X61="Inclusive"),((Y61*1.1)-((P61*1.1)*V61/100))/1.1,IF(AND(W61="Pay-on-time off bill",X61="Exclusive"),Y61-(Y61*U61/100),IF(AND(W61="Pay-on-time off usage",X61="Exclusive"),Y61-(P61*V61/100),IF(X61="Inclusive",((Y61*1.1))/1.1,Y61)))))</f>
        <v>1570.3631818181818</v>
      </c>
      <c r="AA61" s="542">
        <f t="shared" si="33"/>
        <v>1727.3995000000002</v>
      </c>
      <c r="AB61" s="542">
        <f t="shared" si="33"/>
        <v>1727.3995000000002</v>
      </c>
      <c r="AC61" s="274">
        <f>'Tariffs Jul2022'!AZ55</f>
        <v>0</v>
      </c>
      <c r="AD61" s="274" t="str">
        <f>'Tariffs Jul2022'!BA55</f>
        <v>n</v>
      </c>
      <c r="AE61" s="275" t="str">
        <f>'Tariffs Jul2022'!BJ55</f>
        <v>N</v>
      </c>
      <c r="AF61" s="593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593"/>
      <c r="AS61" s="593"/>
      <c r="AT61" s="593"/>
      <c r="AU61" s="593"/>
      <c r="AV61" s="593"/>
      <c r="AW61" s="593"/>
    </row>
    <row r="62" spans="1:49" ht="14" x14ac:dyDescent="0.15">
      <c r="A62" s="270" t="str">
        <f>'Tariffs Jul2022'!F56</f>
        <v>Tango Energy</v>
      </c>
      <c r="B62" s="40" t="str">
        <f>'Tariffs Jul2022'!D56</f>
        <v>AGN Central 2</v>
      </c>
      <c r="C62" s="40" t="str">
        <f>'Tariffs Jul2022'!G56</f>
        <v>Home Select</v>
      </c>
      <c r="D62" s="59">
        <f>365*'Tariffs Jul2022'!H56/100</f>
        <v>273.75</v>
      </c>
      <c r="E62" s="59">
        <f>IF($C$5*'Tariffs Jul2022'!AK56/'Tariffs Jul2022'!AI56&gt;='Tariffs Jul2022'!J56,( 'Tariffs Jul2022'!J56*'Tariffs Jul2022'!O56/100)* 'Tariffs Jul2022'!AI56,($C$5*'Tariffs Jul2022'!AK56/'Tariffs Jul2022'!AI56*'Tariffs Jul2022'!O56/100)* 'Tariffs Jul2022'!AI56)</f>
        <v>112.15909090909091</v>
      </c>
      <c r="F62" s="59">
        <f>IF($C$5*'Tariffs Jul2022'!AK56/'Tariffs Jul2022'!AI56&lt;'Tariffs Jul2022'!J56,0,IF($C$5*'Tariffs Jul2022'!AK56/'Tariffs Jul2022'!AI56&lt;='Tariffs Jul2022'!K56,($C$5*'Tariffs Jul2022'!AK56/'Tariffs Jul2022'!AI56-'Tariffs Jul2022'!J56)*('Tariffs Jul2022'!P56/100)*'Tariffs Jul2022'!AI56,('Tariffs Jul2022'!K56-'Tariffs Jul2022'!J56)*('Tariffs Jul2022'!P56/100)*'Tariffs Jul2022'!AI56))</f>
        <v>86.843181818181819</v>
      </c>
      <c r="G62" s="59">
        <f>IF($C$5*'Tariffs Jul2022'!AK56/'Tariffs Jul2022'!AI56&lt;'Tariffs Jul2022'!K56,0,IF($C$5*'Tariffs Jul2022'!AK56/'Tariffs Jul2022'!AI56&lt;='Tariffs Jul2022'!L56,($C$5*'Tariffs Jul2022'!AK56/'Tariffs Jul2022'!AI56-'Tariffs Jul2022'!K56)*('Tariffs Jul2022'!Q56/100)*'Tariffs Jul2022'!AI56,('Tariffs Jul2022'!L56-'Tariffs Jul2022'!K56)*('Tariffs Jul2022'!Q56/100)*'Tariffs Jul2022'!AI56))</f>
        <v>0</v>
      </c>
      <c r="H62" s="59">
        <f>IF($C$5*'Tariffs Jul2022'!AK56/'Tariffs Jul2022'!AI56&lt;'Tariffs Jul2022'!L56,0,IF($C$5*'Tariffs Jul2022'!AK56/'Tariffs Jul2022'!AI56&lt;='Tariffs Jul2022'!M56,($C$5*'Tariffs Jul2022'!AK56/'Tariffs Jul2022'!AI56-'Tariffs Jul2022'!L56)*('Tariffs Jul2022'!R56/100)*'Tariffs Jul2022'!AI56,('Tariffs Jul2022'!M56-'Tariffs Jul2022'!L56)*('Tariffs Jul2022'!R56/100)*'Tariffs Jul2022'!AI56))</f>
        <v>0</v>
      </c>
      <c r="I62" s="59">
        <f>IF(($C$5*'Tariffs Jul2022'!AK56/'Tariffs Jul2022'!AI56&gt;'Tariffs Jul2022'!M56),($C$5*'Tariffs Jul2022'!AK56/'Tariffs Jul2022'!AI56-'Tariffs Jul2022'!M56)*'Tariffs Jul2022'!S56/100*'Tariffs Jul2022'!AI56,0)</f>
        <v>396.81818181818176</v>
      </c>
      <c r="J62" s="59">
        <f>IF($C$5*'Tariffs Jul2022'!AL56/'Tariffs Jul2022'!AJ56&gt;='Tariffs Jul2022'!J56,('Tariffs Jul2022'!J56*'Tariffs Jul2022'!U56/100)* 'Tariffs Jul2022'!AJ56,($C$5*'Tariffs Jul2022'!AL56/'Tariffs Jul2022'!AJ56*'Tariffs Jul2022'!U56/100)* 'Tariffs Jul2022'!AJ56)</f>
        <v>112.15909090909091</v>
      </c>
      <c r="K62" s="59">
        <f>IF($C$5*'Tariffs Jul2022'!AL56/'Tariffs Jul2022'!AJ56&lt;'Tariffs Jul2022'!J56,0,IF($C$5*'Tariffs Jul2022'!AL56/'Tariffs Jul2022'!AJ56&lt;='Tariffs Jul2022'!K56,($C$5*'Tariffs Jul2022'!AL56/'Tariffs Jul2022'!AJ56-'Tariffs Jul2022'!J56)*('Tariffs Jul2022'!V56/100)*'Tariffs Jul2022'!AJ56,('Tariffs Jul2022'!K56-'Tariffs Jul2022'!J56)*('Tariffs Jul2022'!V56/100)*'Tariffs Jul2022'!AJ56))</f>
        <v>86.843181818181819</v>
      </c>
      <c r="L62" s="59">
        <f>IF($C$5*'Tariffs Jul2022'!AL56/'Tariffs Jul2022'!AJ56&lt;'Tariffs Jul2022'!K56,0,IF($C$5*'Tariffs Jul2022'!AL56/'Tariffs Jul2022'!AJ56&lt;='Tariffs Jul2022'!L56,($C$5*'Tariffs Jul2022'!AL56/'Tariffs Jul2022'!AJ56-'Tariffs Jul2022'!K56)*('Tariffs Jul2022'!W56/100)*'Tariffs Jul2022'!AJ56,('Tariffs Jul2022'!L56-'Tariffs Jul2022'!K56)*('Tariffs Jul2022'!W56/100)*'Tariffs Jul2022'!AJ56))</f>
        <v>0</v>
      </c>
      <c r="M62" s="59">
        <f>IF($C$5*'Tariffs Jul2022'!AL56/'Tariffs Jul2022'!AJ56&lt;'Tariffs Jul2022'!L56,0,IF($C$5*'Tariffs Jul2022'!AL56/'Tariffs Jul2022'!AJ56&lt;='Tariffs Jul2022'!M56,($C$5*'Tariffs Jul2022'!AL56/'Tariffs Jul2022'!AJ56-'Tariffs Jul2022'!L56)*('Tariffs Jul2022'!X56/100)*'Tariffs Jul2022'!AJ56,('Tariffs Jul2022'!M56-'Tariffs Jul2022'!L56)*('Tariffs Jul2022'!X56/100)*'Tariffs Jul2022'!AJ56))</f>
        <v>0</v>
      </c>
      <c r="N62" s="59">
        <f>IF(($C$5*'Tariffs Jul2022'!AL56/'Tariffs Jul2022'!AJ56&gt;'Tariffs Jul2022'!M56),($C$5*'Tariffs Jul2022'!AL56/'Tariffs Jul2022'!AJ56-'Tariffs Jul2022'!M56)*'Tariffs Jul2022'!Y56/100*'Tariffs Jul2022'!AJ56,0)</f>
        <v>396.81818181818176</v>
      </c>
      <c r="O62" s="59">
        <f>SUM(E62:N62)</f>
        <v>1191.640909090909</v>
      </c>
      <c r="P62" s="503">
        <f t="shared" si="2"/>
        <v>1310.8050000000001</v>
      </c>
      <c r="Q62" s="59">
        <f>D62+O62</f>
        <v>1465.390909090909</v>
      </c>
      <c r="R62" s="272">
        <f>Q62*1.1</f>
        <v>1611.93</v>
      </c>
      <c r="S62" s="40">
        <f>'Tariffs Jul2022'!AN56</f>
        <v>0</v>
      </c>
      <c r="T62" s="40">
        <f>'Tariffs Jul2022'!AO56</f>
        <v>0</v>
      </c>
      <c r="U62" s="40">
        <f>'Tariffs Jul2022'!AP56</f>
        <v>0</v>
      </c>
      <c r="V62" s="40">
        <f>'Tariffs Jul2022'!AQ56</f>
        <v>0</v>
      </c>
      <c r="W62" s="537" t="str">
        <f t="shared" si="34"/>
        <v>No discount</v>
      </c>
      <c r="X62" s="538" t="str">
        <f t="shared" si="35"/>
        <v>Exclusive</v>
      </c>
      <c r="Y62" s="534">
        <f t="shared" si="40"/>
        <v>1465.390909090909</v>
      </c>
      <c r="Z62" s="535">
        <f t="shared" si="41"/>
        <v>1465.390909090909</v>
      </c>
      <c r="AA62" s="542">
        <f t="shared" si="33"/>
        <v>1611.93</v>
      </c>
      <c r="AB62" s="542">
        <f t="shared" si="33"/>
        <v>1611.93</v>
      </c>
      <c r="AC62" s="274">
        <f>'Tariffs Jul2022'!AZ56</f>
        <v>0</v>
      </c>
      <c r="AD62" s="274" t="str">
        <f>'Tariffs Jul2022'!BA56</f>
        <v>n</v>
      </c>
      <c r="AE62" s="275" t="str">
        <f>'Tariffs Jul2022'!BJ56</f>
        <v>N</v>
      </c>
      <c r="AF62" s="593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593"/>
      <c r="AS62" s="593"/>
      <c r="AT62" s="593"/>
      <c r="AU62" s="593"/>
      <c r="AV62" s="593"/>
      <c r="AW62" s="593"/>
    </row>
    <row r="63" spans="1:49" ht="15" thickBot="1" x14ac:dyDescent="0.2">
      <c r="A63" s="276" t="str">
        <f>'Tariffs Jul2022'!F57</f>
        <v>Sumo Power</v>
      </c>
      <c r="B63" s="277" t="str">
        <f>'Tariffs Jul2022'!D57</f>
        <v>AGN Central 2</v>
      </c>
      <c r="C63" s="277" t="str">
        <f>'Tariffs Jul2022'!G57</f>
        <v>Assure</v>
      </c>
      <c r="D63" s="278">
        <f>365*'Tariffs Jul2022'!H57/100</f>
        <v>248.19999999999996</v>
      </c>
      <c r="E63" s="278">
        <f>IF($C$5*'Tariffs Jul2022'!AK57/'Tariffs Jul2022'!AI57&gt;='Tariffs Jul2022'!J57,( 'Tariffs Jul2022'!J57*'Tariffs Jul2022'!O57/100)* 'Tariffs Jul2022'!AI57,($C$5*'Tariffs Jul2022'!AK57/'Tariffs Jul2022'!AI57*'Tariffs Jul2022'!O57/100)* 'Tariffs Jul2022'!AI57)</f>
        <v>117.99136363636363</v>
      </c>
      <c r="F63" s="278">
        <f>IF($C$5*'Tariffs Jul2022'!AK57/'Tariffs Jul2022'!AI57&lt;'Tariffs Jul2022'!J57,0,IF($C$5*'Tariffs Jul2022'!AK57/'Tariffs Jul2022'!AI57&lt;='Tariffs Jul2022'!K57,($C$5*'Tariffs Jul2022'!AK57/'Tariffs Jul2022'!AI57-'Tariffs Jul2022'!J57)*('Tariffs Jul2022'!P57/100)*'Tariffs Jul2022'!AI57,('Tariffs Jul2022'!K57-'Tariffs Jul2022'!J57)*('Tariffs Jul2022'!P57/100)*'Tariffs Jul2022'!AI57))</f>
        <v>78.713181818181809</v>
      </c>
      <c r="G63" s="278">
        <f>IF($C$5*'Tariffs Jul2022'!AK57/'Tariffs Jul2022'!AI57&lt;'Tariffs Jul2022'!K57,0,IF($C$5*'Tariffs Jul2022'!AK57/'Tariffs Jul2022'!AI57&lt;='Tariffs Jul2022'!L57,($C$5*'Tariffs Jul2022'!AK57/'Tariffs Jul2022'!AI57-'Tariffs Jul2022'!K57)*('Tariffs Jul2022'!Q57/100)*'Tariffs Jul2022'!AI57,('Tariffs Jul2022'!L57-'Tariffs Jul2022'!K57)*('Tariffs Jul2022'!Q57/100)*'Tariffs Jul2022'!AI57))</f>
        <v>0</v>
      </c>
      <c r="H63" s="278">
        <f>IF($C$5*'Tariffs Jul2022'!AK57/'Tariffs Jul2022'!AI57&lt;'Tariffs Jul2022'!L57,0,IF($C$5*'Tariffs Jul2022'!AK57/'Tariffs Jul2022'!AI57&lt;='Tariffs Jul2022'!M57,($C$5*'Tariffs Jul2022'!AK57/'Tariffs Jul2022'!AI57-'Tariffs Jul2022'!L57)*('Tariffs Jul2022'!R57/100)*'Tariffs Jul2022'!AI57,('Tariffs Jul2022'!M57-'Tariffs Jul2022'!L57)*('Tariffs Jul2022'!R57/100)*'Tariffs Jul2022'!AI57))</f>
        <v>0</v>
      </c>
      <c r="I63" s="278">
        <f>IF(($C$5*'Tariffs Jul2022'!AK57/'Tariffs Jul2022'!AI57&gt;'Tariffs Jul2022'!M57),($C$5*'Tariffs Jul2022'!AK57/'Tariffs Jul2022'!AI57-'Tariffs Jul2022'!M57)*'Tariffs Jul2022'!S57/100*'Tariffs Jul2022'!AI57,0)</f>
        <v>378.40909090909088</v>
      </c>
      <c r="J63" s="278">
        <f>IF($C$5*'Tariffs Jul2022'!AL57/'Tariffs Jul2022'!AJ57&gt;='Tariffs Jul2022'!J57,('Tariffs Jul2022'!J57*'Tariffs Jul2022'!U57/100)* 'Tariffs Jul2022'!AJ57,($C$5*'Tariffs Jul2022'!AL57/'Tariffs Jul2022'!AJ57*'Tariffs Jul2022'!U57/100)* 'Tariffs Jul2022'!AJ57)</f>
        <v>117.99136363636363</v>
      </c>
      <c r="K63" s="278">
        <f>IF($C$5*'Tariffs Jul2022'!AL57/'Tariffs Jul2022'!AJ57&lt;'Tariffs Jul2022'!J57,0,IF($C$5*'Tariffs Jul2022'!AL57/'Tariffs Jul2022'!AJ57&lt;='Tariffs Jul2022'!K57,($C$5*'Tariffs Jul2022'!AL57/'Tariffs Jul2022'!AJ57-'Tariffs Jul2022'!J57)*('Tariffs Jul2022'!V57/100)*'Tariffs Jul2022'!AJ57,('Tariffs Jul2022'!K57-'Tariffs Jul2022'!J57)*('Tariffs Jul2022'!V57/100)*'Tariffs Jul2022'!AJ57))</f>
        <v>78.713181818181809</v>
      </c>
      <c r="L63" s="278">
        <f>IF($C$5*'Tariffs Jul2022'!AL57/'Tariffs Jul2022'!AJ57&lt;'Tariffs Jul2022'!K57,0,IF($C$5*'Tariffs Jul2022'!AL57/'Tariffs Jul2022'!AJ57&lt;='Tariffs Jul2022'!L57,($C$5*'Tariffs Jul2022'!AL57/'Tariffs Jul2022'!AJ57-'Tariffs Jul2022'!K57)*('Tariffs Jul2022'!W57/100)*'Tariffs Jul2022'!AJ57,('Tariffs Jul2022'!L57-'Tariffs Jul2022'!K57)*('Tariffs Jul2022'!W57/100)*'Tariffs Jul2022'!AJ57))</f>
        <v>0</v>
      </c>
      <c r="M63" s="278">
        <f>IF($C$5*'Tariffs Jul2022'!AL57/'Tariffs Jul2022'!AJ57&lt;'Tariffs Jul2022'!L57,0,IF($C$5*'Tariffs Jul2022'!AL57/'Tariffs Jul2022'!AJ57&lt;='Tariffs Jul2022'!M57,($C$5*'Tariffs Jul2022'!AL57/'Tariffs Jul2022'!AJ57-'Tariffs Jul2022'!L57)*('Tariffs Jul2022'!X57/100)*'Tariffs Jul2022'!AJ57,('Tariffs Jul2022'!M57-'Tariffs Jul2022'!L57)*('Tariffs Jul2022'!X57/100)*'Tariffs Jul2022'!AJ57))</f>
        <v>0</v>
      </c>
      <c r="N63" s="278">
        <f>IF(($C$5*'Tariffs Jul2022'!AL57/'Tariffs Jul2022'!AJ57&gt;'Tariffs Jul2022'!M57),($C$5*'Tariffs Jul2022'!AL57/'Tariffs Jul2022'!AJ57-'Tariffs Jul2022'!M57)*'Tariffs Jul2022'!Y57/100*'Tariffs Jul2022'!AJ57,0)</f>
        <v>378.40909090909088</v>
      </c>
      <c r="O63" s="278">
        <f>SUM(E63:N63)</f>
        <v>1150.2272727272725</v>
      </c>
      <c r="P63" s="504">
        <f t="shared" si="2"/>
        <v>1265.2499999999998</v>
      </c>
      <c r="Q63" s="278">
        <f>D63+O63</f>
        <v>1398.4272727272726</v>
      </c>
      <c r="R63" s="280">
        <f>Q63*1.1</f>
        <v>1538.27</v>
      </c>
      <c r="S63" s="277">
        <f>'Tariffs Jul2022'!AN57</f>
        <v>0</v>
      </c>
      <c r="T63" s="277">
        <f>'Tariffs Jul2022'!AO57</f>
        <v>0</v>
      </c>
      <c r="U63" s="277">
        <f>'Tariffs Jul2022'!AP57</f>
        <v>0</v>
      </c>
      <c r="V63" s="277">
        <f>'Tariffs Jul2022'!AQ57</f>
        <v>0</v>
      </c>
      <c r="W63" s="540" t="str">
        <f t="shared" si="34"/>
        <v>No discount</v>
      </c>
      <c r="X63" s="541" t="str">
        <f t="shared" si="35"/>
        <v>Exclusive</v>
      </c>
      <c r="Y63" s="543">
        <f t="shared" si="40"/>
        <v>1398.4272727272726</v>
      </c>
      <c r="Z63" s="544">
        <f t="shared" si="41"/>
        <v>1398.4272727272726</v>
      </c>
      <c r="AA63" s="545">
        <f t="shared" si="33"/>
        <v>1538.27</v>
      </c>
      <c r="AB63" s="545">
        <f t="shared" si="33"/>
        <v>1538.27</v>
      </c>
      <c r="AC63" s="282">
        <f>'Tariffs Jul2022'!AZ57</f>
        <v>0</v>
      </c>
      <c r="AD63" s="282" t="str">
        <f>'Tariffs Jul2022'!BA57</f>
        <v>n</v>
      </c>
      <c r="AE63" s="283" t="str">
        <f>'Tariffs Jul2022'!BJ57</f>
        <v>Y</v>
      </c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593"/>
      <c r="AS63" s="593"/>
      <c r="AT63" s="593"/>
      <c r="AU63" s="593"/>
      <c r="AV63" s="593"/>
      <c r="AW63" s="593"/>
    </row>
    <row r="64" spans="1:49" ht="15" thickTop="1" x14ac:dyDescent="0.15">
      <c r="A64" s="270" t="str">
        <f>'Tariffs Jul2022'!F58</f>
        <v>AGL</v>
      </c>
      <c r="B64" s="40" t="str">
        <f>'Tariffs Jul2022'!D58</f>
        <v>AGN Central 1</v>
      </c>
      <c r="C64" s="40" t="str">
        <f>'Tariffs Jul2022'!G58</f>
        <v>Value Saver</v>
      </c>
      <c r="D64" s="59">
        <f>365*'Tariffs Jul2022'!H58/100</f>
        <v>296.37999999999994</v>
      </c>
      <c r="E64" s="59">
        <f>IF($C$5*'Tariffs Jul2022'!AK58/'Tariffs Jul2022'!AI58&gt;='Tariffs Jul2022'!J58,( 'Tariffs Jul2022'!J58*'Tariffs Jul2022'!O58/100)* 'Tariffs Jul2022'!AI58,($C$5*'Tariffs Jul2022'!AK58/'Tariffs Jul2022'!AI58*'Tariffs Jul2022'!O58/100)* 'Tariffs Jul2022'!AI58)</f>
        <v>117.99136363636363</v>
      </c>
      <c r="F64" s="59">
        <f>IF($C$5*'Tariffs Jul2022'!AK58/'Tariffs Jul2022'!AI58&lt;'Tariffs Jul2022'!J58,0,IF($C$5*'Tariffs Jul2022'!AK58/'Tariffs Jul2022'!AI58&lt;='Tariffs Jul2022'!K58,($C$5*'Tariffs Jul2022'!AK58/'Tariffs Jul2022'!AI58-'Tariffs Jul2022'!J58)*('Tariffs Jul2022'!P58/100)*'Tariffs Jul2022'!AI58,('Tariffs Jul2022'!K58-'Tariffs Jul2022'!J58)*('Tariffs Jul2022'!P58/100)*'Tariffs Jul2022'!AI58))</f>
        <v>88.321363636363643</v>
      </c>
      <c r="G64" s="59">
        <f>IF($C$5*'Tariffs Jul2022'!AK58/'Tariffs Jul2022'!AI58&lt;'Tariffs Jul2022'!K58,0,IF($C$5*'Tariffs Jul2022'!AK58/'Tariffs Jul2022'!AI58&lt;='Tariffs Jul2022'!L58,($C$5*'Tariffs Jul2022'!AK58/'Tariffs Jul2022'!AI58-'Tariffs Jul2022'!K58)*('Tariffs Jul2022'!Q58/100)*'Tariffs Jul2022'!AI58,('Tariffs Jul2022'!L58-'Tariffs Jul2022'!K58)*('Tariffs Jul2022'!Q58/100)*'Tariffs Jul2022'!AI58))</f>
        <v>0</v>
      </c>
      <c r="H64" s="59">
        <f>IF($C$5*'Tariffs Jul2022'!AK58/'Tariffs Jul2022'!AI58&lt;'Tariffs Jul2022'!L58,0,IF($C$5*'Tariffs Jul2022'!AK58/'Tariffs Jul2022'!AI58&lt;='Tariffs Jul2022'!M58,($C$5*'Tariffs Jul2022'!AK58/'Tariffs Jul2022'!AI58-'Tariffs Jul2022'!L58)*('Tariffs Jul2022'!R58/100)*'Tariffs Jul2022'!AI58,('Tariffs Jul2022'!M58-'Tariffs Jul2022'!L58)*('Tariffs Jul2022'!R58/100)*'Tariffs Jul2022'!AI58))</f>
        <v>0</v>
      </c>
      <c r="I64" s="59">
        <f>IF(($C$5*'Tariffs Jul2022'!AK58/'Tariffs Jul2022'!AI58&gt;'Tariffs Jul2022'!M58),($C$5*'Tariffs Jul2022'!AK58/'Tariffs Jul2022'!AI58-'Tariffs Jul2022'!M58)*'Tariffs Jul2022'!S58/100*'Tariffs Jul2022'!AI58,0)</f>
        <v>366.13636363636363</v>
      </c>
      <c r="J64" s="59">
        <f>IF($C$5*'Tariffs Jul2022'!AL58/'Tariffs Jul2022'!AJ58&gt;='Tariffs Jul2022'!J58,('Tariffs Jul2022'!J58*'Tariffs Jul2022'!U58/100)* 'Tariffs Jul2022'!AJ58,($C$5*'Tariffs Jul2022'!AL58/'Tariffs Jul2022'!AJ58*'Tariffs Jul2022'!U58/100)* 'Tariffs Jul2022'!AJ58)</f>
        <v>117.99136363636363</v>
      </c>
      <c r="K64" s="59">
        <f>IF($C$5*'Tariffs Jul2022'!AL58/'Tariffs Jul2022'!AJ58&lt;'Tariffs Jul2022'!J58,0,IF($C$5*'Tariffs Jul2022'!AL58/'Tariffs Jul2022'!AJ58&lt;='Tariffs Jul2022'!K58,($C$5*'Tariffs Jul2022'!AL58/'Tariffs Jul2022'!AJ58-'Tariffs Jul2022'!J58)*('Tariffs Jul2022'!V58/100)*'Tariffs Jul2022'!AJ58,('Tariffs Jul2022'!K58-'Tariffs Jul2022'!J58)*('Tariffs Jul2022'!V58/100)*'Tariffs Jul2022'!AJ58))</f>
        <v>88.321363636363643</v>
      </c>
      <c r="L64" s="59">
        <f>IF($C$5*'Tariffs Jul2022'!AL58/'Tariffs Jul2022'!AJ58&lt;'Tariffs Jul2022'!K58,0,IF($C$5*'Tariffs Jul2022'!AL58/'Tariffs Jul2022'!AJ58&lt;='Tariffs Jul2022'!L58,($C$5*'Tariffs Jul2022'!AL58/'Tariffs Jul2022'!AJ58-'Tariffs Jul2022'!K58)*('Tariffs Jul2022'!W58/100)*'Tariffs Jul2022'!AJ58,('Tariffs Jul2022'!L58-'Tariffs Jul2022'!K58)*('Tariffs Jul2022'!W58/100)*'Tariffs Jul2022'!AJ58))</f>
        <v>0</v>
      </c>
      <c r="M64" s="59">
        <f>IF($C$5*'Tariffs Jul2022'!AL58/'Tariffs Jul2022'!AJ58&lt;'Tariffs Jul2022'!L58,0,IF($C$5*'Tariffs Jul2022'!AL58/'Tariffs Jul2022'!AJ58&lt;='Tariffs Jul2022'!M58,($C$5*'Tariffs Jul2022'!AL58/'Tariffs Jul2022'!AJ58-'Tariffs Jul2022'!L58)*('Tariffs Jul2022'!X58/100)*'Tariffs Jul2022'!AJ58,('Tariffs Jul2022'!M58-'Tariffs Jul2022'!L58)*('Tariffs Jul2022'!X58/100)*'Tariffs Jul2022'!AJ58))</f>
        <v>0</v>
      </c>
      <c r="N64" s="59">
        <f>IF(($C$5*'Tariffs Jul2022'!AL58/'Tariffs Jul2022'!AJ58&gt;'Tariffs Jul2022'!M58),($C$5*'Tariffs Jul2022'!AL58/'Tariffs Jul2022'!AJ58-'Tariffs Jul2022'!M58)*'Tariffs Jul2022'!Y58/100*'Tariffs Jul2022'!AJ58,0)</f>
        <v>366.13636363636363</v>
      </c>
      <c r="O64" s="59">
        <f t="shared" si="1"/>
        <v>1144.8981818181819</v>
      </c>
      <c r="P64" s="503">
        <f t="shared" si="2"/>
        <v>1259.3880000000001</v>
      </c>
      <c r="Q64" s="59">
        <f t="shared" si="3"/>
        <v>1441.2781818181818</v>
      </c>
      <c r="R64" s="272">
        <f t="shared" si="4"/>
        <v>1585.4060000000002</v>
      </c>
      <c r="S64" s="40">
        <f>'Tariffs Jul2022'!AN58</f>
        <v>0</v>
      </c>
      <c r="T64" s="40">
        <f>'Tariffs Jul2022'!AO58</f>
        <v>0</v>
      </c>
      <c r="U64" s="40">
        <f>'Tariffs Jul2022'!AP58</f>
        <v>0</v>
      </c>
      <c r="V64" s="40">
        <f>'Tariffs Jul2022'!AQ58</f>
        <v>0</v>
      </c>
      <c r="W64" s="537" t="str">
        <f>IF(SUM(S64:V64)=0,"No discount",IF(S64&gt;0,"Guaranteed off bill",IF(T64&gt;0,"Guaranteed off usage",IF(U64&gt;0,"Pay-on-time off bill","Pay-on-time off usage"))))</f>
        <v>No discount</v>
      </c>
      <c r="X64" s="538" t="str">
        <f>IF(OR(A64="Origin Energy",A64="Red Energy",A64="Powershop"),"Inclusive","Exclusive")</f>
        <v>Exclusive</v>
      </c>
      <c r="Y64" s="534">
        <f>IF(AND(W64="Guaranteed off bill",X64="Inclusive"),((Q64*1.1)-((Q64*1.1)*S64/100))/1.1,IF(AND(W64="Guaranteed off usage",X64="Inclusive"),((Q64*1.1)-((P64*1.1)*T64/100))/1.1,IF(AND(W64="Guaranteed off bill",X64="Exclusive"),Q64-(Q64*S64/100),IF(AND(W64="Guaranteed off usage",X64="Exclusive"),Q64-(P64*T64/100),IF(X64="Inclusive",((Q64*1.1))/1.1,Q64)))))</f>
        <v>1441.2781818181818</v>
      </c>
      <c r="Z64" s="535">
        <f>IF(AND(W64="Pay-on-time off bill",X64="Inclusive"),((Y64*1.1)-((Y64*1.1)*U64/100))/1.1,IF(AND(W64="Pay-on-time off usage",X64="Inclusive"),((Y64*1.1)-((P64*1.1)*V64/100))/1.1,IF(AND(W64="Pay-on-time off bill",X64="Exclusive"),Y64-(Y64*U64/100),IF(AND(W64="Pay-on-time off usage",X64="Exclusive"),Y64-(P64*V64/100),IF(X64="Inclusive",((Y64*1.1))/1.1,Y64)))))</f>
        <v>1441.2781818181818</v>
      </c>
      <c r="AA64" s="542">
        <f t="shared" ref="AA64:AB77" si="42">Y64*1.1</f>
        <v>1585.4060000000002</v>
      </c>
      <c r="AB64" s="542">
        <f t="shared" si="42"/>
        <v>1585.4060000000002</v>
      </c>
      <c r="AC64" s="274">
        <f>'Tariffs Jul2022'!AZ58</f>
        <v>0</v>
      </c>
      <c r="AD64" s="274" t="str">
        <f>'Tariffs Jul2022'!BA58</f>
        <v>n</v>
      </c>
      <c r="AE64" s="275" t="str">
        <f>'Tariffs Jul2022'!BJ58</f>
        <v>N</v>
      </c>
      <c r="AF64" s="593"/>
      <c r="AG64" s="593"/>
      <c r="AH64" s="593"/>
      <c r="AI64" s="593"/>
      <c r="AJ64" s="593"/>
      <c r="AK64" s="593"/>
      <c r="AL64" s="593"/>
      <c r="AM64" s="593"/>
      <c r="AN64" s="593"/>
      <c r="AO64" s="593"/>
      <c r="AP64" s="593"/>
      <c r="AQ64" s="593"/>
      <c r="AR64" s="593"/>
      <c r="AS64" s="593"/>
      <c r="AT64" s="593"/>
      <c r="AU64" s="593"/>
      <c r="AV64" s="593"/>
      <c r="AW64" s="593"/>
    </row>
    <row r="65" spans="1:49" ht="14" x14ac:dyDescent="0.15">
      <c r="A65" s="270" t="str">
        <f>'Tariffs Jul2022'!F59</f>
        <v>Alinta Energy</v>
      </c>
      <c r="B65" s="40" t="str">
        <f>'Tariffs Jul2022'!D59</f>
        <v>AGN Central 1</v>
      </c>
      <c r="C65" s="40" t="str">
        <f>'Tariffs Jul2022'!G59</f>
        <v>Home Deal</v>
      </c>
      <c r="D65" s="59">
        <f>365*'Tariffs Jul2022'!H59/100</f>
        <v>223.0481818181818</v>
      </c>
      <c r="E65" s="59">
        <f>IF($C$5*'Tariffs Jul2022'!AK59/'Tariffs Jul2022'!AI59&gt;='Tariffs Jul2022'!J59,( 'Tariffs Jul2022'!J59*'Tariffs Jul2022'!O59/100)* 'Tariffs Jul2022'!AI59,($C$5*'Tariffs Jul2022'!AK59/'Tariffs Jul2022'!AI59*'Tariffs Jul2022'!O59/100)* 'Tariffs Jul2022'!AI59)</f>
        <v>142.6663636363636</v>
      </c>
      <c r="F65" s="59">
        <f>IF($C$5*'Tariffs Jul2022'!AK59/'Tariffs Jul2022'!AI59&lt;'Tariffs Jul2022'!J59,0,IF($C$5*'Tariffs Jul2022'!AK59/'Tariffs Jul2022'!AI59&lt;='Tariffs Jul2022'!K59,($C$5*'Tariffs Jul2022'!AK59/'Tariffs Jul2022'!AI59-'Tariffs Jul2022'!J59)*('Tariffs Jul2022'!P59/100)*'Tariffs Jul2022'!AI59,('Tariffs Jul2022'!K59-'Tariffs Jul2022'!J59)*('Tariffs Jul2022'!P59/100)*'Tariffs Jul2022'!AI59))</f>
        <v>102.36409090909089</v>
      </c>
      <c r="G65" s="59">
        <f>IF($C$5*'Tariffs Jul2022'!AK59/'Tariffs Jul2022'!AI59&lt;'Tariffs Jul2022'!K59,0,IF($C$5*'Tariffs Jul2022'!AK59/'Tariffs Jul2022'!AI59&lt;='Tariffs Jul2022'!L59,($C$5*'Tariffs Jul2022'!AK59/'Tariffs Jul2022'!AI59-'Tariffs Jul2022'!K59)*('Tariffs Jul2022'!Q59/100)*'Tariffs Jul2022'!AI59,('Tariffs Jul2022'!L59-'Tariffs Jul2022'!K59)*('Tariffs Jul2022'!Q59/100)*'Tariffs Jul2022'!AI59))</f>
        <v>0</v>
      </c>
      <c r="H65" s="59">
        <f>IF($C$5*'Tariffs Jul2022'!AK59/'Tariffs Jul2022'!AI59&lt;'Tariffs Jul2022'!L59,0,IF($C$5*'Tariffs Jul2022'!AK59/'Tariffs Jul2022'!AI59&lt;='Tariffs Jul2022'!M59,($C$5*'Tariffs Jul2022'!AK59/'Tariffs Jul2022'!AI59-'Tariffs Jul2022'!L59)*('Tariffs Jul2022'!R59/100)*'Tariffs Jul2022'!AI59,('Tariffs Jul2022'!M59-'Tariffs Jul2022'!L59)*('Tariffs Jul2022'!R59/100)*'Tariffs Jul2022'!AI59))</f>
        <v>0</v>
      </c>
      <c r="I65" s="59">
        <f>IF(($C$5*'Tariffs Jul2022'!AK59/'Tariffs Jul2022'!AI59&gt;'Tariffs Jul2022'!M59),($C$5*'Tariffs Jul2022'!AK59/'Tariffs Jul2022'!AI59-'Tariffs Jul2022'!M59)*'Tariffs Jul2022'!S59/100*'Tariffs Jul2022'!AI59,0)</f>
        <v>441.81818181818187</v>
      </c>
      <c r="J65" s="59">
        <f>IF($C$5*'Tariffs Jul2022'!AL59/'Tariffs Jul2022'!AJ59&gt;='Tariffs Jul2022'!J59,('Tariffs Jul2022'!J59*'Tariffs Jul2022'!U59/100)* 'Tariffs Jul2022'!AJ59,($C$5*'Tariffs Jul2022'!AL59/'Tariffs Jul2022'!AJ59*'Tariffs Jul2022'!U59/100)* 'Tariffs Jul2022'!AJ59)</f>
        <v>142.6663636363636</v>
      </c>
      <c r="K65" s="59">
        <f>IF($C$5*'Tariffs Jul2022'!AL59/'Tariffs Jul2022'!AJ59&lt;'Tariffs Jul2022'!J59,0,IF($C$5*'Tariffs Jul2022'!AL59/'Tariffs Jul2022'!AJ59&lt;='Tariffs Jul2022'!K59,($C$5*'Tariffs Jul2022'!AL59/'Tariffs Jul2022'!AJ59-'Tariffs Jul2022'!J59)*('Tariffs Jul2022'!V59/100)*'Tariffs Jul2022'!AJ59,('Tariffs Jul2022'!K59-'Tariffs Jul2022'!J59)*('Tariffs Jul2022'!V59/100)*'Tariffs Jul2022'!AJ59))</f>
        <v>102.36409090909089</v>
      </c>
      <c r="L65" s="59">
        <f>IF($C$5*'Tariffs Jul2022'!AL59/'Tariffs Jul2022'!AJ59&lt;'Tariffs Jul2022'!K59,0,IF($C$5*'Tariffs Jul2022'!AL59/'Tariffs Jul2022'!AJ59&lt;='Tariffs Jul2022'!L59,($C$5*'Tariffs Jul2022'!AL59/'Tariffs Jul2022'!AJ59-'Tariffs Jul2022'!K59)*('Tariffs Jul2022'!W59/100)*'Tariffs Jul2022'!AJ59,('Tariffs Jul2022'!L59-'Tariffs Jul2022'!K59)*('Tariffs Jul2022'!W59/100)*'Tariffs Jul2022'!AJ59))</f>
        <v>0</v>
      </c>
      <c r="M65" s="59">
        <f>IF($C$5*'Tariffs Jul2022'!AL59/'Tariffs Jul2022'!AJ59&lt;'Tariffs Jul2022'!L59,0,IF($C$5*'Tariffs Jul2022'!AL59/'Tariffs Jul2022'!AJ59&lt;='Tariffs Jul2022'!M59,($C$5*'Tariffs Jul2022'!AL59/'Tariffs Jul2022'!AJ59-'Tariffs Jul2022'!L59)*('Tariffs Jul2022'!X59/100)*'Tariffs Jul2022'!AJ59,('Tariffs Jul2022'!M59-'Tariffs Jul2022'!L59)*('Tariffs Jul2022'!X59/100)*'Tariffs Jul2022'!AJ59))</f>
        <v>0</v>
      </c>
      <c r="N65" s="59">
        <f>IF(($C$5*'Tariffs Jul2022'!AL59/'Tariffs Jul2022'!AJ59&gt;'Tariffs Jul2022'!M59),($C$5*'Tariffs Jul2022'!AL59/'Tariffs Jul2022'!AJ59-'Tariffs Jul2022'!M59)*'Tariffs Jul2022'!Y59/100*'Tariffs Jul2022'!AJ59,0)</f>
        <v>441.81818181818187</v>
      </c>
      <c r="O65" s="59">
        <f t="shared" si="1"/>
        <v>1373.6972727272728</v>
      </c>
      <c r="P65" s="503">
        <f t="shared" ref="P65:P117" si="43">O65*1.1</f>
        <v>1511.0670000000002</v>
      </c>
      <c r="Q65" s="59">
        <f t="shared" si="3"/>
        <v>1596.7454545454545</v>
      </c>
      <c r="R65" s="272">
        <f t="shared" si="4"/>
        <v>1756.42</v>
      </c>
      <c r="S65" s="40">
        <f>'Tariffs Jul2022'!AN59</f>
        <v>0</v>
      </c>
      <c r="T65" s="40">
        <f>'Tariffs Jul2022'!AO59</f>
        <v>0</v>
      </c>
      <c r="U65" s="40">
        <f>'Tariffs Jul2022'!AP59</f>
        <v>0</v>
      </c>
      <c r="V65" s="40">
        <f>'Tariffs Jul2022'!AQ59</f>
        <v>0</v>
      </c>
      <c r="W65" s="537" t="str">
        <f t="shared" ref="W65:W89" si="44">IF(SUM(S65:V65)=0,"No discount",IF(S65&gt;0,"Guaranteed off bill",IF(T65&gt;0,"Guaranteed off usage",IF(U65&gt;0,"Pay-on-time off bill","Pay-on-time off usage"))))</f>
        <v>No discount</v>
      </c>
      <c r="X65" s="538" t="str">
        <f t="shared" ref="X65:X89" si="45">IF(OR(A65="Origin Energy",A65="Red Energy",A65="Powershop"),"Inclusive","Exclusive")</f>
        <v>Exclusive</v>
      </c>
      <c r="Y65" s="534">
        <f>IF(AND(W65="Guaranteed off bill",X65="Inclusive"),((Q65*1.1)-((Q65*1.1)*S65/100))/1.1,IF(AND(W65="Guaranteed off usage",X65="Inclusive"),((Q65*1.1)-((P65*1.1)*T65/100))/1.1,IF(AND(W65="Guaranteed off bill",X65="Exclusive"),Q65-(Q65*S65/100),IF(AND(W65="Guaranteed off usage",X65="Exclusive"),Q65-(P65*T65/100),IF(X65="Inclusive",((Q65*1.1))/1.1,Q65)))))</f>
        <v>1596.7454545454545</v>
      </c>
      <c r="Z65" s="535">
        <f>IF(AND(W65="Pay-on-time off bill",X65="Inclusive"),((Y65*1.1)-((Y65*1.1)*U65/100))/1.1,IF(AND(W65="Pay-on-time off usage",X65="Inclusive"),((Y65*1.1)-((P65*1.1)*V65/100))/1.1,IF(AND(W65="Pay-on-time off bill",X65="Exclusive"),Y65-(Y65*U65/100),IF(AND(W65="Pay-on-time off usage",X65="Exclusive"),Y65-(P65*V65/100),IF(X65="Inclusive",((Y65*1.1))/1.1,Y65)))))</f>
        <v>1596.7454545454545</v>
      </c>
      <c r="AA65" s="542">
        <f t="shared" si="42"/>
        <v>1756.42</v>
      </c>
      <c r="AB65" s="542">
        <f t="shared" si="42"/>
        <v>1756.42</v>
      </c>
      <c r="AC65" s="274">
        <f>'Tariffs Jul2022'!AZ59</f>
        <v>0</v>
      </c>
      <c r="AD65" s="274" t="str">
        <f>'Tariffs Jul2022'!BA59</f>
        <v>n</v>
      </c>
      <c r="AE65" s="275" t="str">
        <f>'Tariffs Jul2022'!BJ59</f>
        <v>N</v>
      </c>
      <c r="AF65" s="593"/>
      <c r="AG65" s="593"/>
      <c r="AH65" s="593"/>
      <c r="AI65" s="593"/>
      <c r="AJ65" s="593"/>
      <c r="AK65" s="593"/>
      <c r="AL65" s="593"/>
      <c r="AM65" s="593"/>
      <c r="AN65" s="593"/>
      <c r="AO65" s="593"/>
      <c r="AP65" s="593"/>
      <c r="AQ65" s="593"/>
      <c r="AR65" s="593"/>
      <c r="AS65" s="593"/>
      <c r="AT65" s="593"/>
      <c r="AU65" s="593"/>
      <c r="AV65" s="593"/>
      <c r="AW65" s="593"/>
    </row>
    <row r="66" spans="1:49" ht="14" x14ac:dyDescent="0.15">
      <c r="A66" s="270" t="str">
        <f>'Tariffs Jul2022'!F60</f>
        <v>Dodo Power &amp; Gas</v>
      </c>
      <c r="B66" s="40" t="str">
        <f>'Tariffs Jul2022'!D60</f>
        <v>AGN Central 1</v>
      </c>
      <c r="C66" s="40" t="str">
        <f>'Tariffs Jul2022'!G60</f>
        <v>Market offer</v>
      </c>
      <c r="D66" s="59">
        <f>365*'Tariffs Jul2022'!H60/100</f>
        <v>207.35318181818181</v>
      </c>
      <c r="E66" s="59">
        <f>IF($C$5*'Tariffs Jul2022'!AK60/'Tariffs Jul2022'!AI60&gt;='Tariffs Jul2022'!J60,( 'Tariffs Jul2022'!J60*'Tariffs Jul2022'!O60/100)* 'Tariffs Jul2022'!AI60,($C$5*'Tariffs Jul2022'!AK60/'Tariffs Jul2022'!AI60*'Tariffs Jul2022'!O60/100)* 'Tariffs Jul2022'!AI60)</f>
        <v>102.2890909090909</v>
      </c>
      <c r="F66" s="59">
        <f>IF($C$5*'Tariffs Jul2022'!AK60/'Tariffs Jul2022'!AI60&lt;'Tariffs Jul2022'!J60,0,IF($C$5*'Tariffs Jul2022'!AK60/'Tariffs Jul2022'!AI60&lt;='Tariffs Jul2022'!K60,($C$5*'Tariffs Jul2022'!AK60/'Tariffs Jul2022'!AI60-'Tariffs Jul2022'!J60)*('Tariffs Jul2022'!P60/100)*'Tariffs Jul2022'!AI60,('Tariffs Jul2022'!K60-'Tariffs Jul2022'!J60)*('Tariffs Jul2022'!P60/100)*'Tariffs Jul2022'!AI60))</f>
        <v>67.010909090909081</v>
      </c>
      <c r="G66" s="59">
        <f>IF($C$5*'Tariffs Jul2022'!AK60/'Tariffs Jul2022'!AI60&lt;'Tariffs Jul2022'!K60,0,IF($C$5*'Tariffs Jul2022'!AK60/'Tariffs Jul2022'!AI60&lt;='Tariffs Jul2022'!L60,($C$5*'Tariffs Jul2022'!AK60/'Tariffs Jul2022'!AI60-'Tariffs Jul2022'!K60)*('Tariffs Jul2022'!Q60/100)*'Tariffs Jul2022'!AI60,('Tariffs Jul2022'!L60-'Tariffs Jul2022'!K60)*('Tariffs Jul2022'!Q60/100)*'Tariffs Jul2022'!AI60))</f>
        <v>0</v>
      </c>
      <c r="H66" s="59">
        <f>IF($C$5*'Tariffs Jul2022'!AK60/'Tariffs Jul2022'!AI60&lt;'Tariffs Jul2022'!L60,0,IF($C$5*'Tariffs Jul2022'!AK60/'Tariffs Jul2022'!AI60&lt;='Tariffs Jul2022'!M60,($C$5*'Tariffs Jul2022'!AK60/'Tariffs Jul2022'!AI60-'Tariffs Jul2022'!L60)*('Tariffs Jul2022'!R60/100)*'Tariffs Jul2022'!AI60,('Tariffs Jul2022'!M60-'Tariffs Jul2022'!L60)*('Tariffs Jul2022'!R60/100)*'Tariffs Jul2022'!AI60))</f>
        <v>0</v>
      </c>
      <c r="I66" s="59">
        <f>IF(($C$5*'Tariffs Jul2022'!AK60/'Tariffs Jul2022'!AI60&gt;'Tariffs Jul2022'!M60),($C$5*'Tariffs Jul2022'!AK60/'Tariffs Jul2022'!AI60-'Tariffs Jul2022'!M60)*'Tariffs Jul2022'!S60/100*'Tariffs Jul2022'!AI60,0)</f>
        <v>298.59455454545446</v>
      </c>
      <c r="J66" s="59">
        <f>IF($C$5*'Tariffs Jul2022'!AL60/'Tariffs Jul2022'!AJ60&gt;='Tariffs Jul2022'!J60,('Tariffs Jul2022'!J60*'Tariffs Jul2022'!U60/100)* 'Tariffs Jul2022'!AJ60,($C$5*'Tariffs Jul2022'!AL60/'Tariffs Jul2022'!AJ60*'Tariffs Jul2022'!U60/100)* 'Tariffs Jul2022'!AJ60)</f>
        <v>204.5781818181818</v>
      </c>
      <c r="K66" s="59">
        <f>IF($C$5*'Tariffs Jul2022'!AL60/'Tariffs Jul2022'!AJ60&lt;'Tariffs Jul2022'!J60,0,IF($C$5*'Tariffs Jul2022'!AL60/'Tariffs Jul2022'!AJ60&lt;='Tariffs Jul2022'!K60,($C$5*'Tariffs Jul2022'!AL60/'Tariffs Jul2022'!AJ60-'Tariffs Jul2022'!J60)*('Tariffs Jul2022'!V60/100)*'Tariffs Jul2022'!AJ60,('Tariffs Jul2022'!K60-'Tariffs Jul2022'!J60)*('Tariffs Jul2022'!V60/100)*'Tariffs Jul2022'!AJ60))</f>
        <v>134.02181818181816</v>
      </c>
      <c r="L66" s="59">
        <f>IF($C$5*'Tariffs Jul2022'!AL60/'Tariffs Jul2022'!AJ60&lt;'Tariffs Jul2022'!K60,0,IF($C$5*'Tariffs Jul2022'!AL60/'Tariffs Jul2022'!AJ60&lt;='Tariffs Jul2022'!L60,($C$5*'Tariffs Jul2022'!AL60/'Tariffs Jul2022'!AJ60-'Tariffs Jul2022'!K60)*('Tariffs Jul2022'!W60/100)*'Tariffs Jul2022'!AJ60,('Tariffs Jul2022'!L60-'Tariffs Jul2022'!K60)*('Tariffs Jul2022'!W60/100)*'Tariffs Jul2022'!AJ60))</f>
        <v>0</v>
      </c>
      <c r="M66" s="59">
        <f>IF($C$5*'Tariffs Jul2022'!AL60/'Tariffs Jul2022'!AJ60&lt;'Tariffs Jul2022'!L60,0,IF($C$5*'Tariffs Jul2022'!AL60/'Tariffs Jul2022'!AJ60&lt;='Tariffs Jul2022'!M60,($C$5*'Tariffs Jul2022'!AL60/'Tariffs Jul2022'!AJ60-'Tariffs Jul2022'!L60)*('Tariffs Jul2022'!X60/100)*'Tariffs Jul2022'!AJ60,('Tariffs Jul2022'!M60-'Tariffs Jul2022'!L60)*('Tariffs Jul2022'!X60/100)*'Tariffs Jul2022'!AJ60))</f>
        <v>0</v>
      </c>
      <c r="N66" s="59">
        <f>IF(($C$5*'Tariffs Jul2022'!AL60/'Tariffs Jul2022'!AJ60&gt;'Tariffs Jul2022'!M60),($C$5*'Tariffs Jul2022'!AL60/'Tariffs Jul2022'!AJ60-'Tariffs Jul2022'!M60)*'Tariffs Jul2022'!Y60/100*'Tariffs Jul2022'!AJ60,0)</f>
        <v>597.18910909090891</v>
      </c>
      <c r="O66" s="59">
        <f t="shared" si="1"/>
        <v>1403.6836636363632</v>
      </c>
      <c r="P66" s="503">
        <f t="shared" si="43"/>
        <v>1544.0520299999996</v>
      </c>
      <c r="Q66" s="59">
        <f t="shared" si="3"/>
        <v>1611.0368454545451</v>
      </c>
      <c r="R66" s="272">
        <f t="shared" si="4"/>
        <v>1772.1405299999997</v>
      </c>
      <c r="S66" s="40">
        <f>'Tariffs Jul2022'!AN60</f>
        <v>0</v>
      </c>
      <c r="T66" s="40">
        <f>'Tariffs Jul2022'!AO60</f>
        <v>0</v>
      </c>
      <c r="U66" s="40">
        <f>'Tariffs Jul2022'!AP60</f>
        <v>0</v>
      </c>
      <c r="V66" s="40">
        <f>'Tariffs Jul2022'!AQ60</f>
        <v>0</v>
      </c>
      <c r="W66" s="537" t="str">
        <f t="shared" si="44"/>
        <v>No discount</v>
      </c>
      <c r="X66" s="538" t="str">
        <f t="shared" si="45"/>
        <v>Exclusive</v>
      </c>
      <c r="Y66" s="534">
        <f>IF(AND(W66="Guaranteed off bill",X66="Inclusive"),((Q66*1.1)-((Q66*1.1)*S66/100))/1.1,IF(AND(W66="Guaranteed off usage",X66="Inclusive"),((Q66*1.1)-((P66*1.1)*T66/100))/1.1,IF(AND(W66="Guaranteed off bill",X66="Exclusive"),Q66-(Q66*S66/100),IF(AND(W66="Guaranteed off usage",X66="Exclusive"),Q66-(P66*T66/100),IF(X66="Inclusive",((Q66*1.1))/1.1,Q66)))))</f>
        <v>1611.0368454545451</v>
      </c>
      <c r="Z66" s="535">
        <f>IF(AND(W66="Pay-on-time off bill",X66="Inclusive"),((Y66*1.1)-((Y66*1.1)*U66/100))/1.1,IF(AND(W66="Pay-on-time off usage",X66="Inclusive"),((Y66*1.1)-((P66*1.1)*V66/100))/1.1,IF(AND(W66="Pay-on-time off bill",X66="Exclusive"),Y66-(Y66*U66/100),IF(AND(W66="Pay-on-time off usage",X66="Exclusive"),Y66-(P66*V66/100),IF(X66="Inclusive",((Y66*1.1))/1.1,Y66)))))</f>
        <v>1611.0368454545451</v>
      </c>
      <c r="AA66" s="542">
        <f t="shared" si="42"/>
        <v>1772.1405299999997</v>
      </c>
      <c r="AB66" s="542">
        <f t="shared" si="42"/>
        <v>1772.1405299999997</v>
      </c>
      <c r="AC66" s="274">
        <f>'Tariffs Jul2022'!AZ60</f>
        <v>0</v>
      </c>
      <c r="AD66" s="274" t="str">
        <f>'Tariffs Jul2022'!BA60</f>
        <v>n</v>
      </c>
      <c r="AE66" s="275" t="str">
        <f>'Tariffs Jul2022'!BJ60</f>
        <v>N</v>
      </c>
      <c r="AF66" s="593"/>
      <c r="AG66" s="593"/>
      <c r="AH66" s="593"/>
      <c r="AI66" s="593"/>
      <c r="AJ66" s="593"/>
      <c r="AK66" s="593"/>
      <c r="AL66" s="593"/>
      <c r="AM66" s="593"/>
      <c r="AN66" s="593"/>
      <c r="AO66" s="593"/>
      <c r="AP66" s="593"/>
      <c r="AQ66" s="593"/>
      <c r="AR66" s="593"/>
      <c r="AS66" s="593"/>
      <c r="AT66" s="593"/>
      <c r="AU66" s="593"/>
      <c r="AV66" s="593"/>
      <c r="AW66" s="593"/>
    </row>
    <row r="67" spans="1:49" ht="14" x14ac:dyDescent="0.15">
      <c r="A67" s="270" t="str">
        <f>'Tariffs Jul2022'!F61</f>
        <v>EnergyAustralia</v>
      </c>
      <c r="B67" s="40" t="str">
        <f>'Tariffs Jul2022'!D61</f>
        <v>AGN Central 1</v>
      </c>
      <c r="C67" s="40" t="str">
        <f>'Tariffs Jul2022'!G61</f>
        <v>Flexi Plan</v>
      </c>
      <c r="D67" s="59">
        <f>365*'Tariffs Jul2022'!H61/100</f>
        <v>318.27999999999997</v>
      </c>
      <c r="E67" s="59">
        <f>IF($C$5*'Tariffs Jul2022'!AK61/'Tariffs Jul2022'!AI61&gt;='Tariffs Jul2022'!J61,( 'Tariffs Jul2022'!J61*'Tariffs Jul2022'!O61/100)* 'Tariffs Jul2022'!AI61,($C$5*'Tariffs Jul2022'!AK61/'Tariffs Jul2022'!AI61*'Tariffs Jul2022'!O61/100)* 'Tariffs Jul2022'!AI61)</f>
        <v>171.82772727272726</v>
      </c>
      <c r="F67" s="59">
        <f>IF($C$5*'Tariffs Jul2022'!AK61/'Tariffs Jul2022'!AI61&lt;'Tariffs Jul2022'!J61,0,IF($C$5*'Tariffs Jul2022'!AK61/'Tariffs Jul2022'!AI61&lt;='Tariffs Jul2022'!K61,($C$5*'Tariffs Jul2022'!AK61/'Tariffs Jul2022'!AI61-'Tariffs Jul2022'!J61)*('Tariffs Jul2022'!P61/100)*'Tariffs Jul2022'!AI61,('Tariffs Jul2022'!K61-'Tariffs Jul2022'!J61)*('Tariffs Jul2022'!P61/100)*'Tariffs Jul2022'!AI61))</f>
        <v>107.16818181818181</v>
      </c>
      <c r="G67" s="59">
        <f>IF($C$5*'Tariffs Jul2022'!AK61/'Tariffs Jul2022'!AI61&lt;'Tariffs Jul2022'!K61,0,IF($C$5*'Tariffs Jul2022'!AK61/'Tariffs Jul2022'!AI61&lt;='Tariffs Jul2022'!L61,($C$5*'Tariffs Jul2022'!AK61/'Tariffs Jul2022'!AI61-'Tariffs Jul2022'!K61)*('Tariffs Jul2022'!Q61/100)*'Tariffs Jul2022'!AI61,('Tariffs Jul2022'!L61-'Tariffs Jul2022'!K61)*('Tariffs Jul2022'!Q61/100)*'Tariffs Jul2022'!AI61))</f>
        <v>0</v>
      </c>
      <c r="H67" s="59">
        <f>IF($C$5*'Tariffs Jul2022'!AK61/'Tariffs Jul2022'!AI61&lt;'Tariffs Jul2022'!L61,0,IF($C$5*'Tariffs Jul2022'!AK61/'Tariffs Jul2022'!AI61&lt;='Tariffs Jul2022'!M61,($C$5*'Tariffs Jul2022'!AK61/'Tariffs Jul2022'!AI61-'Tariffs Jul2022'!L61)*('Tariffs Jul2022'!R61/100)*'Tariffs Jul2022'!AI61,('Tariffs Jul2022'!M61-'Tariffs Jul2022'!L61)*('Tariffs Jul2022'!R61/100)*'Tariffs Jul2022'!AI61))</f>
        <v>0</v>
      </c>
      <c r="I67" s="59">
        <f>IF(($C$5*'Tariffs Jul2022'!AK61/'Tariffs Jul2022'!AI61&gt;'Tariffs Jul2022'!M61),($C$5*'Tariffs Jul2022'!AK61/'Tariffs Jul2022'!AI61-'Tariffs Jul2022'!M61)*'Tariffs Jul2022'!S61/100*'Tariffs Jul2022'!AI61,0)</f>
        <v>494.99999999999989</v>
      </c>
      <c r="J67" s="59">
        <f>IF($C$5*'Tariffs Jul2022'!AL61/'Tariffs Jul2022'!AJ61&gt;='Tariffs Jul2022'!J61,('Tariffs Jul2022'!J61*'Tariffs Jul2022'!U61/100)* 'Tariffs Jul2022'!AJ61,($C$5*'Tariffs Jul2022'!AL61/'Tariffs Jul2022'!AJ61*'Tariffs Jul2022'!U61/100)* 'Tariffs Jul2022'!AJ61)</f>
        <v>171.82772727272726</v>
      </c>
      <c r="K67" s="59">
        <f>IF($C$5*'Tariffs Jul2022'!AL61/'Tariffs Jul2022'!AJ61&lt;'Tariffs Jul2022'!J61,0,IF($C$5*'Tariffs Jul2022'!AL61/'Tariffs Jul2022'!AJ61&lt;='Tariffs Jul2022'!K61,($C$5*'Tariffs Jul2022'!AL61/'Tariffs Jul2022'!AJ61-'Tariffs Jul2022'!J61)*('Tariffs Jul2022'!V61/100)*'Tariffs Jul2022'!AJ61,('Tariffs Jul2022'!K61-'Tariffs Jul2022'!J61)*('Tariffs Jul2022'!V61/100)*'Tariffs Jul2022'!AJ61))</f>
        <v>107.16818181818181</v>
      </c>
      <c r="L67" s="59">
        <f>IF($C$5*'Tariffs Jul2022'!AL61/'Tariffs Jul2022'!AJ61&lt;'Tariffs Jul2022'!K61,0,IF($C$5*'Tariffs Jul2022'!AL61/'Tariffs Jul2022'!AJ61&lt;='Tariffs Jul2022'!L61,($C$5*'Tariffs Jul2022'!AL61/'Tariffs Jul2022'!AJ61-'Tariffs Jul2022'!K61)*('Tariffs Jul2022'!W61/100)*'Tariffs Jul2022'!AJ61,('Tariffs Jul2022'!L61-'Tariffs Jul2022'!K61)*('Tariffs Jul2022'!W61/100)*'Tariffs Jul2022'!AJ61))</f>
        <v>0</v>
      </c>
      <c r="M67" s="59">
        <f>IF($C$5*'Tariffs Jul2022'!AL61/'Tariffs Jul2022'!AJ61&lt;'Tariffs Jul2022'!L61,0,IF($C$5*'Tariffs Jul2022'!AL61/'Tariffs Jul2022'!AJ61&lt;='Tariffs Jul2022'!M61,($C$5*'Tariffs Jul2022'!AL61/'Tariffs Jul2022'!AJ61-'Tariffs Jul2022'!L61)*('Tariffs Jul2022'!X61/100)*'Tariffs Jul2022'!AJ61,('Tariffs Jul2022'!M61-'Tariffs Jul2022'!L61)*('Tariffs Jul2022'!X61/100)*'Tariffs Jul2022'!AJ61))</f>
        <v>0</v>
      </c>
      <c r="N67" s="59">
        <f>IF(($C$5*'Tariffs Jul2022'!AL61/'Tariffs Jul2022'!AJ61&gt;'Tariffs Jul2022'!M61),($C$5*'Tariffs Jul2022'!AL61/'Tariffs Jul2022'!AJ61-'Tariffs Jul2022'!M61)*'Tariffs Jul2022'!Y61/100*'Tariffs Jul2022'!AJ61,0)</f>
        <v>494.99999999999989</v>
      </c>
      <c r="O67" s="59">
        <f t="shared" si="1"/>
        <v>1547.991818181818</v>
      </c>
      <c r="P67" s="503">
        <f t="shared" si="43"/>
        <v>1702.7909999999999</v>
      </c>
      <c r="Q67" s="59">
        <f t="shared" si="3"/>
        <v>1866.2718181818179</v>
      </c>
      <c r="R67" s="272">
        <f t="shared" si="4"/>
        <v>2052.8989999999999</v>
      </c>
      <c r="S67" s="40">
        <f>'Tariffs Jul2022'!AN61</f>
        <v>8</v>
      </c>
      <c r="T67" s="40">
        <f>'Tariffs Jul2022'!AO61</f>
        <v>0</v>
      </c>
      <c r="U67" s="40">
        <f>'Tariffs Jul2022'!AP61</f>
        <v>0</v>
      </c>
      <c r="V67" s="40">
        <f>'Tariffs Jul2022'!AQ61</f>
        <v>0</v>
      </c>
      <c r="W67" s="537" t="str">
        <f t="shared" si="44"/>
        <v>Guaranteed off bill</v>
      </c>
      <c r="X67" s="538" t="str">
        <f t="shared" si="45"/>
        <v>Exclusive</v>
      </c>
      <c r="Y67" s="534">
        <f t="shared" ref="Y67" si="46">IF(AND(W67="Guaranteed off bill",X67="Inclusive"),((Q67*1.1)-((Q67*1.1)*S67/100))/1.1,IF(AND(W67="Guaranteed off usage",X67="Inclusive"),((Q67*1.1)-((P67*1.1)*T67/100))/1.1,IF(AND(W67="Guaranteed off bill",X67="Exclusive"),Q67-(Q67*S67/100),IF(AND(W67="Guaranteed off usage",X67="Exclusive"),Q67-(P67*T67/100),IF(X67="Inclusive",((Q67*1.1))/1.1,Q67)))))</f>
        <v>1716.9700727272725</v>
      </c>
      <c r="Z67" s="535">
        <f t="shared" ref="Z67" si="47">IF(AND(W67="Pay-on-time off bill",X67="Inclusive"),((Y67*1.1)-((Y67*1.1)*U67/100))/1.1,IF(AND(W67="Pay-on-time off usage",X67="Inclusive"),((Y67*1.1)-((P67*1.1)*V67/100))/1.1,IF(AND(W67="Pay-on-time off bill",X67="Exclusive"),Y67-(Y67*U67/100),IF(AND(W67="Pay-on-time off usage",X67="Exclusive"),Y67-(P67*V67/100),IF(X67="Inclusive",((Y67*1.1))/1.1,Y67)))))</f>
        <v>1716.9700727272725</v>
      </c>
      <c r="AA67" s="542">
        <f t="shared" si="42"/>
        <v>1888.6670799999999</v>
      </c>
      <c r="AB67" s="542">
        <f t="shared" si="42"/>
        <v>1888.6670799999999</v>
      </c>
      <c r="AC67" s="274">
        <f>'Tariffs Jul2022'!AZ61</f>
        <v>12</v>
      </c>
      <c r="AD67" s="274" t="str">
        <f>'Tariffs Jul2022'!BA61</f>
        <v>n</v>
      </c>
      <c r="AE67" s="275" t="str">
        <f>'Tariffs Jul2022'!BJ61</f>
        <v>N</v>
      </c>
      <c r="AF67" s="593"/>
      <c r="AG67" s="593"/>
      <c r="AH67" s="593"/>
      <c r="AI67" s="593"/>
      <c r="AJ67" s="593"/>
      <c r="AK67" s="593"/>
      <c r="AL67" s="593"/>
      <c r="AM67" s="593"/>
      <c r="AN67" s="593"/>
      <c r="AO67" s="593"/>
      <c r="AP67" s="593"/>
      <c r="AQ67" s="593"/>
      <c r="AR67" s="593"/>
      <c r="AS67" s="593"/>
      <c r="AT67" s="593"/>
      <c r="AU67" s="593"/>
      <c r="AV67" s="593"/>
      <c r="AW67" s="593"/>
    </row>
    <row r="68" spans="1:49" ht="14" x14ac:dyDescent="0.15">
      <c r="A68" s="270" t="str">
        <f>'Tariffs Jul2022'!F62</f>
        <v>Lumo Energy</v>
      </c>
      <c r="B68" s="40" t="str">
        <f>'Tariffs Jul2022'!D62</f>
        <v>AGN Central 1</v>
      </c>
      <c r="C68" s="40" t="str">
        <f>'Tariffs Jul2022'!G62</f>
        <v>Value</v>
      </c>
      <c r="D68" s="59">
        <f>365*'Tariffs Jul2022'!H62/100</f>
        <v>269.20409090909089</v>
      </c>
      <c r="E68" s="59">
        <f>IF($C$5*'Tariffs Jul2022'!AK62/'Tariffs Jul2022'!AI62&gt;='Tariffs Jul2022'!J62,( 'Tariffs Jul2022'!J62*'Tariffs Jul2022'!O62/100)* 'Tariffs Jul2022'!AI62,($C$5*'Tariffs Jul2022'!AK62/'Tariffs Jul2022'!AI62*'Tariffs Jul2022'!O62/100)* 'Tariffs Jul2022'!AI62)</f>
        <v>102.73772727272726</v>
      </c>
      <c r="F68" s="59">
        <f>IF($C$5*'Tariffs Jul2022'!AK62/'Tariffs Jul2022'!AI62&lt;'Tariffs Jul2022'!J62,0,IF($C$5*'Tariffs Jul2022'!AK62/'Tariffs Jul2022'!AI62&lt;='Tariffs Jul2022'!K62,($C$5*'Tariffs Jul2022'!AK62/'Tariffs Jul2022'!AI62-'Tariffs Jul2022'!J62)*('Tariffs Jul2022'!P62/100)*'Tariffs Jul2022'!AI62,('Tariffs Jul2022'!K62-'Tariffs Jul2022'!J62)*('Tariffs Jul2022'!P62/100)*'Tariffs Jul2022'!AI62))</f>
        <v>80.560909090909092</v>
      </c>
      <c r="G68" s="59">
        <f>IF($C$5*'Tariffs Jul2022'!AK62/'Tariffs Jul2022'!AI62&lt;'Tariffs Jul2022'!K62,0,IF($C$5*'Tariffs Jul2022'!AK62/'Tariffs Jul2022'!AI62&lt;='Tariffs Jul2022'!L62,($C$5*'Tariffs Jul2022'!AK62/'Tariffs Jul2022'!AI62-'Tariffs Jul2022'!K62)*('Tariffs Jul2022'!Q62/100)*'Tariffs Jul2022'!AI62,('Tariffs Jul2022'!L62-'Tariffs Jul2022'!K62)*('Tariffs Jul2022'!Q62/100)*'Tariffs Jul2022'!AI62))</f>
        <v>0</v>
      </c>
      <c r="H68" s="59">
        <f>IF($C$5*'Tariffs Jul2022'!AK62/'Tariffs Jul2022'!AI62&lt;'Tariffs Jul2022'!L62,0,IF($C$5*'Tariffs Jul2022'!AK62/'Tariffs Jul2022'!AI62&lt;='Tariffs Jul2022'!M62,($C$5*'Tariffs Jul2022'!AK62/'Tariffs Jul2022'!AI62-'Tariffs Jul2022'!L62)*('Tariffs Jul2022'!R62/100)*'Tariffs Jul2022'!AI62,('Tariffs Jul2022'!M62-'Tariffs Jul2022'!L62)*('Tariffs Jul2022'!R62/100)*'Tariffs Jul2022'!AI62))</f>
        <v>0</v>
      </c>
      <c r="I68" s="59">
        <f>IF(($C$5*'Tariffs Jul2022'!AK62/'Tariffs Jul2022'!AI62&gt;'Tariffs Jul2022'!M62),($C$5*'Tariffs Jul2022'!AK62/'Tariffs Jul2022'!AI62-'Tariffs Jul2022'!M62)*'Tariffs Jul2022'!S62/100*'Tariffs Jul2022'!AI62,0)</f>
        <v>415.22727272727275</v>
      </c>
      <c r="J68" s="59">
        <f>IF($C$5*'Tariffs Jul2022'!AL62/'Tariffs Jul2022'!AJ62&gt;='Tariffs Jul2022'!J62,('Tariffs Jul2022'!J62*'Tariffs Jul2022'!U62/100)* 'Tariffs Jul2022'!AJ62,($C$5*'Tariffs Jul2022'!AL62/'Tariffs Jul2022'!AJ62*'Tariffs Jul2022'!U62/100)* 'Tariffs Jul2022'!AJ62)</f>
        <v>102.73772727272726</v>
      </c>
      <c r="K68" s="59">
        <f>IF($C$5*'Tariffs Jul2022'!AL62/'Tariffs Jul2022'!AJ62&lt;'Tariffs Jul2022'!J62,0,IF($C$5*'Tariffs Jul2022'!AL62/'Tariffs Jul2022'!AJ62&lt;='Tariffs Jul2022'!K62,($C$5*'Tariffs Jul2022'!AL62/'Tariffs Jul2022'!AJ62-'Tariffs Jul2022'!J62)*('Tariffs Jul2022'!V62/100)*'Tariffs Jul2022'!AJ62,('Tariffs Jul2022'!K62-'Tariffs Jul2022'!J62)*('Tariffs Jul2022'!V62/100)*'Tariffs Jul2022'!AJ62))</f>
        <v>80.560909090909092</v>
      </c>
      <c r="L68" s="59">
        <f>IF($C$5*'Tariffs Jul2022'!AL62/'Tariffs Jul2022'!AJ62&lt;'Tariffs Jul2022'!K62,0,IF($C$5*'Tariffs Jul2022'!AL62/'Tariffs Jul2022'!AJ62&lt;='Tariffs Jul2022'!L62,($C$5*'Tariffs Jul2022'!AL62/'Tariffs Jul2022'!AJ62-'Tariffs Jul2022'!K62)*('Tariffs Jul2022'!W62/100)*'Tariffs Jul2022'!AJ62,('Tariffs Jul2022'!L62-'Tariffs Jul2022'!K62)*('Tariffs Jul2022'!W62/100)*'Tariffs Jul2022'!AJ62))</f>
        <v>0</v>
      </c>
      <c r="M68" s="59">
        <f>IF($C$5*'Tariffs Jul2022'!AL62/'Tariffs Jul2022'!AJ62&lt;'Tariffs Jul2022'!L62,0,IF($C$5*'Tariffs Jul2022'!AL62/'Tariffs Jul2022'!AJ62&lt;='Tariffs Jul2022'!M62,($C$5*'Tariffs Jul2022'!AL62/'Tariffs Jul2022'!AJ62-'Tariffs Jul2022'!L62)*('Tariffs Jul2022'!X62/100)*'Tariffs Jul2022'!AJ62,('Tariffs Jul2022'!M62-'Tariffs Jul2022'!L62)*('Tariffs Jul2022'!X62/100)*'Tariffs Jul2022'!AJ62))</f>
        <v>0</v>
      </c>
      <c r="N68" s="59">
        <f>IF(($C$5*'Tariffs Jul2022'!AL62/'Tariffs Jul2022'!AJ62&gt;'Tariffs Jul2022'!M62),($C$5*'Tariffs Jul2022'!AL62/'Tariffs Jul2022'!AJ62-'Tariffs Jul2022'!M62)*'Tariffs Jul2022'!Y62/100*'Tariffs Jul2022'!AJ62,0)</f>
        <v>415.22727272727275</v>
      </c>
      <c r="O68" s="59">
        <f t="shared" si="1"/>
        <v>1197.0518181818181</v>
      </c>
      <c r="P68" s="503">
        <f t="shared" si="43"/>
        <v>1316.7570000000001</v>
      </c>
      <c r="Q68" s="59">
        <f t="shared" si="3"/>
        <v>1466.255909090909</v>
      </c>
      <c r="R68" s="272">
        <f t="shared" si="4"/>
        <v>1612.8815</v>
      </c>
      <c r="S68" s="40">
        <f>'Tariffs Jul2022'!AN62</f>
        <v>0</v>
      </c>
      <c r="T68" s="40">
        <f>'Tariffs Jul2022'!AO62</f>
        <v>0</v>
      </c>
      <c r="U68" s="40">
        <f>'Tariffs Jul2022'!AP62</f>
        <v>0</v>
      </c>
      <c r="V68" s="40">
        <f>'Tariffs Jul2022'!AQ62</f>
        <v>0</v>
      </c>
      <c r="W68" s="537" t="str">
        <f t="shared" si="44"/>
        <v>No discount</v>
      </c>
      <c r="X68" s="538" t="str">
        <f t="shared" si="45"/>
        <v>Exclusive</v>
      </c>
      <c r="Y68" s="534">
        <f>IF(AND(W68="Guaranteed off bill",X68="Inclusive"),((Q68*1.1)-((Q68*1.1)*S68/100))/1.1,IF(AND(W68="Guaranteed off usage",X68="Inclusive"),((Q68*1.1)-((P68*1.1)*T68/100))/1.1,IF(AND(W68="Guaranteed off bill",X68="Exclusive"),Q68-(Q68*S68/100),IF(AND(W68="Guaranteed off usage",X68="Exclusive"),Q68-(P68*T68/100),IF(X68="Inclusive",((Q68*1.1))/1.1,Q68)))))</f>
        <v>1466.255909090909</v>
      </c>
      <c r="Z68" s="535">
        <f>IF(AND(W68="Pay-on-time off bill",X68="Inclusive"),((Y68*1.1)-((Y68*1.1)*U68/100))/1.1,IF(AND(W68="Pay-on-time off usage",X68="Inclusive"),((Y68*1.1)-((P68*1.1)*V68/100))/1.1,IF(AND(W68="Pay-on-time off bill",X68="Exclusive"),Y68-(Y68*U68/100),IF(AND(W68="Pay-on-time off usage",X68="Exclusive"),Y68-(P68*V68/100),IF(X68="Inclusive",((Y68*1.1))/1.1,Y68)))))</f>
        <v>1466.255909090909</v>
      </c>
      <c r="AA68" s="542">
        <f t="shared" si="42"/>
        <v>1612.8815</v>
      </c>
      <c r="AB68" s="542">
        <f t="shared" si="42"/>
        <v>1612.8815</v>
      </c>
      <c r="AC68" s="274">
        <f>'Tariffs Jul2022'!AZ62</f>
        <v>0</v>
      </c>
      <c r="AD68" s="274" t="str">
        <f>'Tariffs Jul2022'!BA62</f>
        <v>n</v>
      </c>
      <c r="AE68" s="275" t="str">
        <f>'Tariffs Jul2022'!BJ62</f>
        <v>N</v>
      </c>
      <c r="AF68" s="593"/>
      <c r="AG68" s="593"/>
      <c r="AH68" s="593"/>
      <c r="AI68" s="593"/>
      <c r="AJ68" s="593"/>
      <c r="AK68" s="593"/>
      <c r="AL68" s="593"/>
      <c r="AM68" s="593"/>
      <c r="AN68" s="593"/>
      <c r="AO68" s="593"/>
      <c r="AP68" s="593"/>
      <c r="AQ68" s="593"/>
      <c r="AR68" s="593"/>
      <c r="AS68" s="593"/>
      <c r="AT68" s="593"/>
      <c r="AU68" s="593"/>
      <c r="AV68" s="593"/>
      <c r="AW68" s="593"/>
    </row>
    <row r="69" spans="1:49" ht="14" x14ac:dyDescent="0.15">
      <c r="A69" s="270" t="str">
        <f>'Tariffs Jul2022'!F63</f>
        <v>Origin Energy</v>
      </c>
      <c r="B69" s="40" t="str">
        <f>'Tariffs Jul2022'!D63</f>
        <v>AGN Central 1</v>
      </c>
      <c r="C69" s="40" t="str">
        <f>'Tariffs Jul2022'!G63</f>
        <v>Go Variable</v>
      </c>
      <c r="D69" s="59">
        <f>365*'Tariffs Jul2022'!H63/100</f>
        <v>255.16818181818181</v>
      </c>
      <c r="E69" s="59">
        <f>IF($C$5*'Tariffs Jul2022'!AK63/'Tariffs Jul2022'!AI63&gt;='Tariffs Jul2022'!J63,( 'Tariffs Jul2022'!J63*'Tariffs Jul2022'!O63/100)* 'Tariffs Jul2022'!AI63,($C$5*'Tariffs Jul2022'!AK63/'Tariffs Jul2022'!AI63*'Tariffs Jul2022'!O63/100)* 'Tariffs Jul2022'!AI63)</f>
        <v>425.45454545454544</v>
      </c>
      <c r="F69" s="59">
        <f>IF($C$5*'Tariffs Jul2022'!AK63/'Tariffs Jul2022'!AI63&lt;'Tariffs Jul2022'!J63,0,IF($C$5*'Tariffs Jul2022'!AK63/'Tariffs Jul2022'!AI63&lt;='Tariffs Jul2022'!K63,($C$5*'Tariffs Jul2022'!AK63/'Tariffs Jul2022'!AI63-'Tariffs Jul2022'!J63)*('Tariffs Jul2022'!P63/100)*'Tariffs Jul2022'!AI63,('Tariffs Jul2022'!K63-'Tariffs Jul2022'!J63)*('Tariffs Jul2022'!P63/100)*'Tariffs Jul2022'!AI63))</f>
        <v>304.36363636363637</v>
      </c>
      <c r="G69" s="59">
        <f>IF($C$5*'Tariffs Jul2022'!AK63/'Tariffs Jul2022'!AI63&lt;'Tariffs Jul2022'!K63,0,IF($C$5*'Tariffs Jul2022'!AK63/'Tariffs Jul2022'!AI63&lt;='Tariffs Jul2022'!L63,($C$5*'Tariffs Jul2022'!AK63/'Tariffs Jul2022'!AI63-'Tariffs Jul2022'!K63)*('Tariffs Jul2022'!Q63/100)*'Tariffs Jul2022'!AI63,('Tariffs Jul2022'!L63-'Tariffs Jul2022'!K63)*('Tariffs Jul2022'!Q63/100)*'Tariffs Jul2022'!AI63))</f>
        <v>0</v>
      </c>
      <c r="H69" s="59">
        <f>IF($C$5*'Tariffs Jul2022'!AK63/'Tariffs Jul2022'!AI63&lt;'Tariffs Jul2022'!L63,0,IF($C$5*'Tariffs Jul2022'!AK63/'Tariffs Jul2022'!AI63&lt;='Tariffs Jul2022'!M63,($C$5*'Tariffs Jul2022'!AK63/'Tariffs Jul2022'!AI63-'Tariffs Jul2022'!L63)*('Tariffs Jul2022'!R63/100)*'Tariffs Jul2022'!AI63,('Tariffs Jul2022'!M63-'Tariffs Jul2022'!L63)*('Tariffs Jul2022'!R63/100)*'Tariffs Jul2022'!AI63))</f>
        <v>0</v>
      </c>
      <c r="I69" s="59">
        <f>IF(($C$5*'Tariffs Jul2022'!AK63/'Tariffs Jul2022'!AI63&gt;'Tariffs Jul2022'!M63),($C$5*'Tariffs Jul2022'!AK63/'Tariffs Jul2022'!AI63-'Tariffs Jul2022'!M63)*'Tariffs Jul2022'!S63/100*'Tariffs Jul2022'!AI63,0)</f>
        <v>0</v>
      </c>
      <c r="J69" s="59">
        <f>IF($C$5*'Tariffs Jul2022'!AL63/'Tariffs Jul2022'!AJ63&gt;='Tariffs Jul2022'!J63,('Tariffs Jul2022'!J63*'Tariffs Jul2022'!U63/100)* 'Tariffs Jul2022'!AJ63,($C$5*'Tariffs Jul2022'!AL63/'Tariffs Jul2022'!AJ63*'Tariffs Jul2022'!U63/100)* 'Tariffs Jul2022'!AJ63)</f>
        <v>425.45454545454544</v>
      </c>
      <c r="K69" s="59">
        <f>IF($C$5*'Tariffs Jul2022'!AL63/'Tariffs Jul2022'!AJ63&lt;'Tariffs Jul2022'!J63,0,IF($C$5*'Tariffs Jul2022'!AL63/'Tariffs Jul2022'!AJ63&lt;='Tariffs Jul2022'!K63,($C$5*'Tariffs Jul2022'!AL63/'Tariffs Jul2022'!AJ63-'Tariffs Jul2022'!J63)*('Tariffs Jul2022'!V63/100)*'Tariffs Jul2022'!AJ63,('Tariffs Jul2022'!K63-'Tariffs Jul2022'!J63)*('Tariffs Jul2022'!V63/100)*'Tariffs Jul2022'!AJ63))</f>
        <v>304.36363636363637</v>
      </c>
      <c r="L69" s="59">
        <f>IF($C$5*'Tariffs Jul2022'!AL63/'Tariffs Jul2022'!AJ63&lt;'Tariffs Jul2022'!K63,0,IF($C$5*'Tariffs Jul2022'!AL63/'Tariffs Jul2022'!AJ63&lt;='Tariffs Jul2022'!L63,($C$5*'Tariffs Jul2022'!AL63/'Tariffs Jul2022'!AJ63-'Tariffs Jul2022'!K63)*('Tariffs Jul2022'!W63/100)*'Tariffs Jul2022'!AJ63,('Tariffs Jul2022'!L63-'Tariffs Jul2022'!K63)*('Tariffs Jul2022'!W63/100)*'Tariffs Jul2022'!AJ63))</f>
        <v>0</v>
      </c>
      <c r="M69" s="59">
        <f>IF($C$5*'Tariffs Jul2022'!AL63/'Tariffs Jul2022'!AJ63&lt;'Tariffs Jul2022'!L63,0,IF($C$5*'Tariffs Jul2022'!AL63/'Tariffs Jul2022'!AJ63&lt;='Tariffs Jul2022'!M63,($C$5*'Tariffs Jul2022'!AL63/'Tariffs Jul2022'!AJ63-'Tariffs Jul2022'!L63)*('Tariffs Jul2022'!X63/100)*'Tariffs Jul2022'!AJ63,('Tariffs Jul2022'!M63-'Tariffs Jul2022'!L63)*('Tariffs Jul2022'!X63/100)*'Tariffs Jul2022'!AJ63))</f>
        <v>0</v>
      </c>
      <c r="N69" s="59">
        <f>IF(($C$5*'Tariffs Jul2022'!AL63/'Tariffs Jul2022'!AJ63&gt;'Tariffs Jul2022'!M63),($C$5*'Tariffs Jul2022'!AL63/'Tariffs Jul2022'!AJ63-'Tariffs Jul2022'!M63)*'Tariffs Jul2022'!Y63/100*'Tariffs Jul2022'!AJ63,0)</f>
        <v>0</v>
      </c>
      <c r="O69" s="59">
        <f t="shared" si="1"/>
        <v>1459.6363636363635</v>
      </c>
      <c r="P69" s="503">
        <f t="shared" si="43"/>
        <v>1605.6</v>
      </c>
      <c r="Q69" s="59">
        <f t="shared" si="3"/>
        <v>1714.8045454545454</v>
      </c>
      <c r="R69" s="272">
        <f t="shared" si="4"/>
        <v>1886.2850000000001</v>
      </c>
      <c r="S69" s="40">
        <f>'Tariffs Jul2022'!AN63</f>
        <v>0</v>
      </c>
      <c r="T69" s="40">
        <f>'Tariffs Jul2022'!AO63</f>
        <v>0</v>
      </c>
      <c r="U69" s="40">
        <f>'Tariffs Jul2022'!AP63</f>
        <v>0</v>
      </c>
      <c r="V69" s="40">
        <f>'Tariffs Jul2022'!AQ63</f>
        <v>0</v>
      </c>
      <c r="W69" s="537" t="str">
        <f t="shared" si="44"/>
        <v>No discount</v>
      </c>
      <c r="X69" s="538" t="str">
        <f t="shared" si="45"/>
        <v>Inclusive</v>
      </c>
      <c r="Y69" s="534">
        <f>IF(AND(W69="Guaranteed off bill",X69="Inclusive"),((Q69*1.1)-((Q69*1.1)*S69/100))/1.1,IF(AND(W69="Guaranteed off usage",X69="Inclusive"),((Q69*1.1)-((P69*1.1)*T69/100))/1.1,IF(AND(W69="Guaranteed off bill",X69="Exclusive"),Q69-(Q69*S69/100),IF(AND(W69="Guaranteed off usage",X69="Exclusive"),Q69-(P69*T69/100),IF(X69="Inclusive",((Q69*1.1))/1.1,Q69)))))</f>
        <v>1714.8045454545454</v>
      </c>
      <c r="Z69" s="535">
        <f>IF(AND(W69="Pay-on-time off bill",X69="Inclusive"),((Y69*1.1)-((Y69*1.1)*U69/100))/1.1,IF(AND(W69="Pay-on-time off usage",X69="Inclusive"),((Y69*1.1)-((P69*1.1)*V69/100))/1.1,IF(AND(W69="Pay-on-time off bill",X69="Exclusive"),Y69-(Y69*U69/100),IF(AND(W69="Pay-on-time off usage",X69="Exclusive"),Y69-(P69*V69/100),IF(X69="Inclusive",((Y69*1.1))/1.1,Y69)))))</f>
        <v>1714.8045454545454</v>
      </c>
      <c r="AA69" s="542">
        <f t="shared" si="42"/>
        <v>1886.2850000000001</v>
      </c>
      <c r="AB69" s="542">
        <f t="shared" si="42"/>
        <v>1886.2850000000001</v>
      </c>
      <c r="AC69" s="274">
        <f>'Tariffs Jul2022'!AZ63</f>
        <v>0</v>
      </c>
      <c r="AD69" s="274" t="str">
        <f>'Tariffs Jul2022'!BA63</f>
        <v>n</v>
      </c>
      <c r="AE69" s="275" t="str">
        <f>'Tariffs Jul2022'!BJ63</f>
        <v>N</v>
      </c>
      <c r="AF69" s="593"/>
      <c r="AG69" s="593"/>
      <c r="AH69" s="593"/>
      <c r="AI69" s="593"/>
      <c r="AJ69" s="593"/>
      <c r="AK69" s="593"/>
      <c r="AL69" s="593"/>
      <c r="AM69" s="593"/>
      <c r="AN69" s="593"/>
      <c r="AO69" s="593"/>
      <c r="AP69" s="593"/>
      <c r="AQ69" s="593"/>
      <c r="AR69" s="593"/>
      <c r="AS69" s="593"/>
      <c r="AT69" s="593"/>
      <c r="AU69" s="593"/>
      <c r="AV69" s="593"/>
      <c r="AW69" s="593"/>
    </row>
    <row r="70" spans="1:49" ht="14" x14ac:dyDescent="0.15">
      <c r="A70" s="270" t="str">
        <f>'Tariffs Jul2022'!F64</f>
        <v>Red Energy</v>
      </c>
      <c r="B70" s="40" t="str">
        <f>'Tariffs Jul2022'!D64</f>
        <v>AGN Central 1</v>
      </c>
      <c r="C70" s="40" t="str">
        <f>'Tariffs Jul2022'!G64</f>
        <v>Living Energy Saver</v>
      </c>
      <c r="D70" s="59">
        <f>365*'Tariffs Jul2022'!H64/100</f>
        <v>269.20409090909089</v>
      </c>
      <c r="E70" s="59">
        <f>IF($C$5*'Tariffs Jul2022'!AK64/'Tariffs Jul2022'!AI64&gt;='Tariffs Jul2022'!J64,( 'Tariffs Jul2022'!J64*'Tariffs Jul2022'!O64/100)* 'Tariffs Jul2022'!AI64,($C$5*'Tariffs Jul2022'!AK64/'Tariffs Jul2022'!AI64*'Tariffs Jul2022'!O64/100)* 'Tariffs Jul2022'!AI64)</f>
        <v>110.36454545454546</v>
      </c>
      <c r="F70" s="59">
        <f>IF($C$5*'Tariffs Jul2022'!AK64/'Tariffs Jul2022'!AI64&lt;'Tariffs Jul2022'!J64,0,IF($C$5*'Tariffs Jul2022'!AK64/'Tariffs Jul2022'!AI64&lt;='Tariffs Jul2022'!K64,($C$5*'Tariffs Jul2022'!AK64/'Tariffs Jul2022'!AI64-'Tariffs Jul2022'!J64)*('Tariffs Jul2022'!P64/100)*'Tariffs Jul2022'!AI64,('Tariffs Jul2022'!K64-'Tariffs Jul2022'!J64)*('Tariffs Jul2022'!P64/100)*'Tariffs Jul2022'!AI64))</f>
        <v>86.473636363636359</v>
      </c>
      <c r="G70" s="59">
        <f>IF($C$5*'Tariffs Jul2022'!AK64/'Tariffs Jul2022'!AI64&lt;'Tariffs Jul2022'!K64,0,IF($C$5*'Tariffs Jul2022'!AK64/'Tariffs Jul2022'!AI64&lt;='Tariffs Jul2022'!L64,($C$5*'Tariffs Jul2022'!AK64/'Tariffs Jul2022'!AI64-'Tariffs Jul2022'!K64)*('Tariffs Jul2022'!Q64/100)*'Tariffs Jul2022'!AI64,('Tariffs Jul2022'!L64-'Tariffs Jul2022'!K64)*('Tariffs Jul2022'!Q64/100)*'Tariffs Jul2022'!AI64))</f>
        <v>0</v>
      </c>
      <c r="H70" s="59">
        <f>IF($C$5*'Tariffs Jul2022'!AK64/'Tariffs Jul2022'!AI64&lt;'Tariffs Jul2022'!L64,0,IF($C$5*'Tariffs Jul2022'!AK64/'Tariffs Jul2022'!AI64&lt;='Tariffs Jul2022'!M64,($C$5*'Tariffs Jul2022'!AK64/'Tariffs Jul2022'!AI64-'Tariffs Jul2022'!L64)*('Tariffs Jul2022'!R64/100)*'Tariffs Jul2022'!AI64,('Tariffs Jul2022'!M64-'Tariffs Jul2022'!L64)*('Tariffs Jul2022'!R64/100)*'Tariffs Jul2022'!AI64))</f>
        <v>0</v>
      </c>
      <c r="I70" s="59">
        <f>IF(($C$5*'Tariffs Jul2022'!AK64/'Tariffs Jul2022'!AI64&gt;'Tariffs Jul2022'!M64),($C$5*'Tariffs Jul2022'!AK64/'Tariffs Jul2022'!AI64-'Tariffs Jul2022'!M64)*'Tariffs Jul2022'!S64/100*'Tariffs Jul2022'!AI64,0)</f>
        <v>392.72727272727263</v>
      </c>
      <c r="J70" s="59">
        <f>IF($C$5*'Tariffs Jul2022'!AL64/'Tariffs Jul2022'!AJ64&gt;='Tariffs Jul2022'!J64,('Tariffs Jul2022'!J64*'Tariffs Jul2022'!U64/100)* 'Tariffs Jul2022'!AJ64,($C$5*'Tariffs Jul2022'!AL64/'Tariffs Jul2022'!AJ64*'Tariffs Jul2022'!U64/100)* 'Tariffs Jul2022'!AJ64)</f>
        <v>110.36454545454546</v>
      </c>
      <c r="K70" s="59">
        <f>IF($C$5*'Tariffs Jul2022'!AL64/'Tariffs Jul2022'!AJ64&lt;'Tariffs Jul2022'!J64,0,IF($C$5*'Tariffs Jul2022'!AL64/'Tariffs Jul2022'!AJ64&lt;='Tariffs Jul2022'!K64,($C$5*'Tariffs Jul2022'!AL64/'Tariffs Jul2022'!AJ64-'Tariffs Jul2022'!J64)*('Tariffs Jul2022'!V64/100)*'Tariffs Jul2022'!AJ64,('Tariffs Jul2022'!K64-'Tariffs Jul2022'!J64)*('Tariffs Jul2022'!V64/100)*'Tariffs Jul2022'!AJ64))</f>
        <v>86.473636363636359</v>
      </c>
      <c r="L70" s="59">
        <f>IF($C$5*'Tariffs Jul2022'!AL64/'Tariffs Jul2022'!AJ64&lt;'Tariffs Jul2022'!K64,0,IF($C$5*'Tariffs Jul2022'!AL64/'Tariffs Jul2022'!AJ64&lt;='Tariffs Jul2022'!L64,($C$5*'Tariffs Jul2022'!AL64/'Tariffs Jul2022'!AJ64-'Tariffs Jul2022'!K64)*('Tariffs Jul2022'!W64/100)*'Tariffs Jul2022'!AJ64,('Tariffs Jul2022'!L64-'Tariffs Jul2022'!K64)*('Tariffs Jul2022'!W64/100)*'Tariffs Jul2022'!AJ64))</f>
        <v>0</v>
      </c>
      <c r="M70" s="59">
        <f>IF($C$5*'Tariffs Jul2022'!AL64/'Tariffs Jul2022'!AJ64&lt;'Tariffs Jul2022'!L64,0,IF($C$5*'Tariffs Jul2022'!AL64/'Tariffs Jul2022'!AJ64&lt;='Tariffs Jul2022'!M64,($C$5*'Tariffs Jul2022'!AL64/'Tariffs Jul2022'!AJ64-'Tariffs Jul2022'!L64)*('Tariffs Jul2022'!X64/100)*'Tariffs Jul2022'!AJ64,('Tariffs Jul2022'!M64-'Tariffs Jul2022'!L64)*('Tariffs Jul2022'!X64/100)*'Tariffs Jul2022'!AJ64))</f>
        <v>0</v>
      </c>
      <c r="N70" s="59">
        <f>IF(($C$5*'Tariffs Jul2022'!AL64/'Tariffs Jul2022'!AJ64&gt;'Tariffs Jul2022'!M64),($C$5*'Tariffs Jul2022'!AL64/'Tariffs Jul2022'!AJ64-'Tariffs Jul2022'!M64)*'Tariffs Jul2022'!Y64/100*'Tariffs Jul2022'!AJ64,0)</f>
        <v>392.72727272727263</v>
      </c>
      <c r="O70" s="59">
        <f t="shared" si="1"/>
        <v>1179.130909090909</v>
      </c>
      <c r="P70" s="503">
        <f t="shared" si="43"/>
        <v>1297.0439999999999</v>
      </c>
      <c r="Q70" s="59">
        <f t="shared" si="3"/>
        <v>1448.3349999999998</v>
      </c>
      <c r="R70" s="272">
        <f t="shared" si="4"/>
        <v>1593.1685</v>
      </c>
      <c r="S70" s="40">
        <f>'Tariffs Jul2022'!AN64</f>
        <v>0</v>
      </c>
      <c r="T70" s="40">
        <f>'Tariffs Jul2022'!AO64</f>
        <v>0</v>
      </c>
      <c r="U70" s="40">
        <f>'Tariffs Jul2022'!AP64</f>
        <v>0</v>
      </c>
      <c r="V70" s="40">
        <f>'Tariffs Jul2022'!AQ64</f>
        <v>0</v>
      </c>
      <c r="W70" s="537" t="str">
        <f t="shared" si="44"/>
        <v>No discount</v>
      </c>
      <c r="X70" s="538" t="str">
        <f t="shared" si="45"/>
        <v>Inclusive</v>
      </c>
      <c r="Y70" s="534">
        <f t="shared" ref="Y70:Y72" si="48">IF(AND(W70="Guaranteed off bill",X70="Inclusive"),((Q70*1.1)-((Q70*1.1)*S70/100))/1.1,IF(AND(W70="Guaranteed off usage",X70="Inclusive"),((Q70*1.1)-((P70*1.1)*T70/100))/1.1,IF(AND(W70="Guaranteed off bill",X70="Exclusive"),Q70-(Q70*S70/100),IF(AND(W70="Guaranteed off usage",X70="Exclusive"),Q70-(P70*T70/100),IF(X70="Inclusive",((Q70*1.1))/1.1,Q70)))))</f>
        <v>1448.3349999999998</v>
      </c>
      <c r="Z70" s="535">
        <f t="shared" ref="Z70:Z72" si="49">IF(AND(W70="Pay-on-time off bill",X70="Inclusive"),((Y70*1.1)-((Y70*1.1)*U70/100))/1.1,IF(AND(W70="Pay-on-time off usage",X70="Inclusive"),((Y70*1.1)-((P70*1.1)*V70/100))/1.1,IF(AND(W70="Pay-on-time off bill",X70="Exclusive"),Y70-(Y70*U70/100),IF(AND(W70="Pay-on-time off usage",X70="Exclusive"),Y70-(P70*V70/100),IF(X70="Inclusive",((Y70*1.1))/1.1,Y70)))))</f>
        <v>1448.3349999999998</v>
      </c>
      <c r="AA70" s="542">
        <f t="shared" si="42"/>
        <v>1593.1685</v>
      </c>
      <c r="AB70" s="542">
        <f t="shared" si="42"/>
        <v>1593.1685</v>
      </c>
      <c r="AC70" s="274">
        <f>'Tariffs Jul2022'!AZ64</f>
        <v>0</v>
      </c>
      <c r="AD70" s="274" t="str">
        <f>'Tariffs Jul2022'!BA64</f>
        <v>n</v>
      </c>
      <c r="AE70" s="275" t="str">
        <f>'Tariffs Jul2022'!BJ64</f>
        <v>N</v>
      </c>
      <c r="AF70" s="593"/>
      <c r="AG70" s="593"/>
      <c r="AH70" s="593"/>
      <c r="AI70" s="593"/>
      <c r="AJ70" s="593"/>
      <c r="AK70" s="593"/>
      <c r="AL70" s="593"/>
      <c r="AM70" s="593"/>
      <c r="AN70" s="593"/>
      <c r="AO70" s="593"/>
      <c r="AP70" s="593"/>
      <c r="AQ70" s="593"/>
      <c r="AR70" s="593"/>
      <c r="AS70" s="593"/>
      <c r="AT70" s="593"/>
      <c r="AU70" s="593"/>
      <c r="AV70" s="593"/>
      <c r="AW70" s="593"/>
    </row>
    <row r="71" spans="1:49" ht="14" x14ac:dyDescent="0.15">
      <c r="A71" s="270" t="str">
        <f>'Tariffs Jul2022'!F65</f>
        <v>Simply Energy</v>
      </c>
      <c r="B71" s="40" t="str">
        <f>'Tariffs Jul2022'!D65</f>
        <v>AGN Central 1</v>
      </c>
      <c r="C71" s="40" t="str">
        <f>'Tariffs Jul2022'!G65</f>
        <v>Basics</v>
      </c>
      <c r="D71" s="59">
        <f>365*'Tariffs Jul2022'!H65/100</f>
        <v>281.68045454545455</v>
      </c>
      <c r="E71" s="59">
        <f>IF($C$5*'Tariffs Jul2022'!AK65/'Tariffs Jul2022'!AI65&gt;='Tariffs Jul2022'!J65,( 'Tariffs Jul2022'!J65*'Tariffs Jul2022'!O65/100)* 'Tariffs Jul2022'!AI65,($C$5*'Tariffs Jul2022'!AK65/'Tariffs Jul2022'!AI65*'Tariffs Jul2022'!O65/100)* 'Tariffs Jul2022'!AI65)</f>
        <v>180.35181818181815</v>
      </c>
      <c r="F71" s="59">
        <f>IF($C$5*'Tariffs Jul2022'!AK65/'Tariffs Jul2022'!AI65&lt;'Tariffs Jul2022'!J65,0,IF($C$5*'Tariffs Jul2022'!AK65/'Tariffs Jul2022'!AI65&lt;='Tariffs Jul2022'!K65,($C$5*'Tariffs Jul2022'!AK65/'Tariffs Jul2022'!AI65-'Tariffs Jul2022'!J65)*('Tariffs Jul2022'!P65/100)*'Tariffs Jul2022'!AI65,('Tariffs Jul2022'!K65-'Tariffs Jul2022'!J65)*('Tariffs Jul2022'!P65/100)*'Tariffs Jul2022'!AI65))</f>
        <v>124.90636363636364</v>
      </c>
      <c r="G71" s="59">
        <f>IF($C$5*'Tariffs Jul2022'!AK65/'Tariffs Jul2022'!AI65&lt;'Tariffs Jul2022'!K65,0,IF($C$5*'Tariffs Jul2022'!AK65/'Tariffs Jul2022'!AI65&lt;='Tariffs Jul2022'!L65,($C$5*'Tariffs Jul2022'!AK65/'Tariffs Jul2022'!AI65-'Tariffs Jul2022'!K65)*('Tariffs Jul2022'!Q65/100)*'Tariffs Jul2022'!AI65,('Tariffs Jul2022'!L65-'Tariffs Jul2022'!K65)*('Tariffs Jul2022'!Q65/100)*'Tariffs Jul2022'!AI65))</f>
        <v>0</v>
      </c>
      <c r="H71" s="59">
        <f>IF($C$5*'Tariffs Jul2022'!AK65/'Tariffs Jul2022'!AI65&lt;'Tariffs Jul2022'!L65,0,IF($C$5*'Tariffs Jul2022'!AK65/'Tariffs Jul2022'!AI65&lt;='Tariffs Jul2022'!M65,($C$5*'Tariffs Jul2022'!AK65/'Tariffs Jul2022'!AI65-'Tariffs Jul2022'!L65)*('Tariffs Jul2022'!R65/100)*'Tariffs Jul2022'!AI65,('Tariffs Jul2022'!M65-'Tariffs Jul2022'!L65)*('Tariffs Jul2022'!R65/100)*'Tariffs Jul2022'!AI65))</f>
        <v>0</v>
      </c>
      <c r="I71" s="59">
        <f>IF(($C$5*'Tariffs Jul2022'!AK65/'Tariffs Jul2022'!AI65&gt;'Tariffs Jul2022'!M65),($C$5*'Tariffs Jul2022'!AK65/'Tariffs Jul2022'!AI65-'Tariffs Jul2022'!M65)*'Tariffs Jul2022'!S65/100*'Tariffs Jul2022'!AI65,0)</f>
        <v>578.86363636363626</v>
      </c>
      <c r="J71" s="59">
        <f>IF($C$5*'Tariffs Jul2022'!AL65/'Tariffs Jul2022'!AJ65&gt;='Tariffs Jul2022'!J65,('Tariffs Jul2022'!J65*'Tariffs Jul2022'!U65/100)* 'Tariffs Jul2022'!AJ65,($C$5*'Tariffs Jul2022'!AL65/'Tariffs Jul2022'!AJ65*'Tariffs Jul2022'!U65/100)* 'Tariffs Jul2022'!AJ65)</f>
        <v>180.35181818181815</v>
      </c>
      <c r="K71" s="59">
        <f>IF($C$5*'Tariffs Jul2022'!AL65/'Tariffs Jul2022'!AJ65&lt;'Tariffs Jul2022'!J65,0,IF($C$5*'Tariffs Jul2022'!AL65/'Tariffs Jul2022'!AJ65&lt;='Tariffs Jul2022'!K65,($C$5*'Tariffs Jul2022'!AL65/'Tariffs Jul2022'!AJ65-'Tariffs Jul2022'!J65)*('Tariffs Jul2022'!V65/100)*'Tariffs Jul2022'!AJ65,('Tariffs Jul2022'!K65-'Tariffs Jul2022'!J65)*('Tariffs Jul2022'!V65/100)*'Tariffs Jul2022'!AJ65))</f>
        <v>124.90636363636364</v>
      </c>
      <c r="L71" s="59">
        <f>IF($C$5*'Tariffs Jul2022'!AL65/'Tariffs Jul2022'!AJ65&lt;'Tariffs Jul2022'!K65,0,IF($C$5*'Tariffs Jul2022'!AL65/'Tariffs Jul2022'!AJ65&lt;='Tariffs Jul2022'!L65,($C$5*'Tariffs Jul2022'!AL65/'Tariffs Jul2022'!AJ65-'Tariffs Jul2022'!K65)*('Tariffs Jul2022'!W65/100)*'Tariffs Jul2022'!AJ65,('Tariffs Jul2022'!L65-'Tariffs Jul2022'!K65)*('Tariffs Jul2022'!W65/100)*'Tariffs Jul2022'!AJ65))</f>
        <v>0</v>
      </c>
      <c r="M71" s="59">
        <f>IF($C$5*'Tariffs Jul2022'!AL65/'Tariffs Jul2022'!AJ65&lt;'Tariffs Jul2022'!L65,0,IF($C$5*'Tariffs Jul2022'!AL65/'Tariffs Jul2022'!AJ65&lt;='Tariffs Jul2022'!M65,($C$5*'Tariffs Jul2022'!AL65/'Tariffs Jul2022'!AJ65-'Tariffs Jul2022'!L65)*('Tariffs Jul2022'!X65/100)*'Tariffs Jul2022'!AJ65,('Tariffs Jul2022'!M65-'Tariffs Jul2022'!L65)*('Tariffs Jul2022'!X65/100)*'Tariffs Jul2022'!AJ65))</f>
        <v>0</v>
      </c>
      <c r="N71" s="59">
        <f>IF(($C$5*'Tariffs Jul2022'!AL65/'Tariffs Jul2022'!AJ65&gt;'Tariffs Jul2022'!M65),($C$5*'Tariffs Jul2022'!AL65/'Tariffs Jul2022'!AJ65-'Tariffs Jul2022'!M65)*'Tariffs Jul2022'!Y65/100*'Tariffs Jul2022'!AJ65,0)</f>
        <v>578.86363636363626</v>
      </c>
      <c r="O71" s="59">
        <f t="shared" si="1"/>
        <v>1768.2436363636361</v>
      </c>
      <c r="P71" s="503">
        <f t="shared" si="43"/>
        <v>1945.068</v>
      </c>
      <c r="Q71" s="59">
        <f t="shared" si="3"/>
        <v>2049.9240909090909</v>
      </c>
      <c r="R71" s="272">
        <f t="shared" si="4"/>
        <v>2254.9165000000003</v>
      </c>
      <c r="S71" s="40">
        <f>'Tariffs Jul2022'!AN65</f>
        <v>0</v>
      </c>
      <c r="T71" s="40">
        <f>'Tariffs Jul2022'!AO65</f>
        <v>0</v>
      </c>
      <c r="U71" s="40">
        <f>'Tariffs Jul2022'!AP65</f>
        <v>0</v>
      </c>
      <c r="V71" s="40">
        <f>'Tariffs Jul2022'!AQ65</f>
        <v>0</v>
      </c>
      <c r="W71" s="537" t="str">
        <f t="shared" si="44"/>
        <v>No discount</v>
      </c>
      <c r="X71" s="538" t="str">
        <f t="shared" si="45"/>
        <v>Exclusive</v>
      </c>
      <c r="Y71" s="534">
        <f t="shared" si="48"/>
        <v>2049.9240909090909</v>
      </c>
      <c r="Z71" s="535">
        <f t="shared" si="49"/>
        <v>2049.9240909090909</v>
      </c>
      <c r="AA71" s="542">
        <f t="shared" si="42"/>
        <v>2254.9165000000003</v>
      </c>
      <c r="AB71" s="542">
        <f t="shared" si="42"/>
        <v>2254.9165000000003</v>
      </c>
      <c r="AC71" s="274">
        <f>'Tariffs Jul2022'!AZ65</f>
        <v>0</v>
      </c>
      <c r="AD71" s="274" t="str">
        <f>'Tariffs Jul2022'!BA65</f>
        <v>n</v>
      </c>
      <c r="AE71" s="275" t="str">
        <f>'Tariffs Jul2022'!BJ65</f>
        <v>N</v>
      </c>
      <c r="AF71" s="593"/>
      <c r="AG71" s="593"/>
      <c r="AH71" s="593"/>
      <c r="AI71" s="593"/>
      <c r="AJ71" s="593"/>
      <c r="AK71" s="593"/>
      <c r="AL71" s="593"/>
      <c r="AM71" s="593"/>
      <c r="AN71" s="593"/>
      <c r="AO71" s="593"/>
      <c r="AP71" s="593"/>
      <c r="AQ71" s="593"/>
      <c r="AR71" s="593"/>
      <c r="AS71" s="593"/>
      <c r="AT71" s="593"/>
      <c r="AU71" s="593"/>
      <c r="AV71" s="593"/>
      <c r="AW71" s="593"/>
    </row>
    <row r="72" spans="1:49" ht="14" x14ac:dyDescent="0.15">
      <c r="A72" s="270" t="str">
        <f>'Tariffs Jul2022'!F66</f>
        <v>GloBird Energy</v>
      </c>
      <c r="B72" s="40" t="str">
        <f>'Tariffs Jul2022'!D66</f>
        <v>AGN Central 1</v>
      </c>
      <c r="C72" s="40" t="str">
        <f>'Tariffs Jul2022'!G66</f>
        <v>GloSave</v>
      </c>
      <c r="D72" s="59">
        <f>365*'Tariffs Jul2022'!H66/100</f>
        <v>218.99999999999997</v>
      </c>
      <c r="E72" s="59">
        <f>IF($C$5*'Tariffs Jul2022'!AK66/'Tariffs Jul2022'!AI66&gt;='Tariffs Jul2022'!J66,( 'Tariffs Jul2022'!J66*'Tariffs Jul2022'!O66/100)* 'Tariffs Jul2022'!AI66,($C$5*'Tariffs Jul2022'!AK66/'Tariffs Jul2022'!AI66*'Tariffs Jul2022'!O66/100)* 'Tariffs Jul2022'!AI66)</f>
        <v>195.27272727272728</v>
      </c>
      <c r="F72" s="59">
        <f>IF($C$5*'Tariffs Jul2022'!AK66/'Tariffs Jul2022'!AI66&lt;'Tariffs Jul2022'!J66,0,IF($C$5*'Tariffs Jul2022'!AK66/'Tariffs Jul2022'!AI66&lt;='Tariffs Jul2022'!K66,($C$5*'Tariffs Jul2022'!AK66/'Tariffs Jul2022'!AI66-'Tariffs Jul2022'!J66)*('Tariffs Jul2022'!P66/100)*'Tariffs Jul2022'!AI66,('Tariffs Jul2022'!K66-'Tariffs Jul2022'!J66)*('Tariffs Jul2022'!P66/100)*'Tariffs Jul2022'!AI66))</f>
        <v>0</v>
      </c>
      <c r="G72" s="59">
        <f>IF($C$5*'Tariffs Jul2022'!AK66/'Tariffs Jul2022'!AI66&lt;'Tariffs Jul2022'!K66,0,IF($C$5*'Tariffs Jul2022'!AK66/'Tariffs Jul2022'!AI66&lt;='Tariffs Jul2022'!L66,($C$5*'Tariffs Jul2022'!AK66/'Tariffs Jul2022'!AI66-'Tariffs Jul2022'!K66)*('Tariffs Jul2022'!Q66/100)*'Tariffs Jul2022'!AI66,('Tariffs Jul2022'!L66-'Tariffs Jul2022'!K66)*('Tariffs Jul2022'!Q66/100)*'Tariffs Jul2022'!AI66))</f>
        <v>0</v>
      </c>
      <c r="H72" s="59">
        <f>IF($C$5*'Tariffs Jul2022'!AK66/'Tariffs Jul2022'!AI66&lt;'Tariffs Jul2022'!L66,0,IF($C$5*'Tariffs Jul2022'!AK66/'Tariffs Jul2022'!AI66&lt;='Tariffs Jul2022'!M66,($C$5*'Tariffs Jul2022'!AK66/'Tariffs Jul2022'!AI66-'Tariffs Jul2022'!L66)*('Tariffs Jul2022'!R66/100)*'Tariffs Jul2022'!AI66,('Tariffs Jul2022'!M66-'Tariffs Jul2022'!L66)*('Tariffs Jul2022'!R66/100)*'Tariffs Jul2022'!AI66))</f>
        <v>0</v>
      </c>
      <c r="I72" s="59">
        <f>IF(($C$5*'Tariffs Jul2022'!AK66/'Tariffs Jul2022'!AI66&gt;'Tariffs Jul2022'!M66),($C$5*'Tariffs Jul2022'!AK66/'Tariffs Jul2022'!AI66-'Tariffs Jul2022'!M66)*'Tariffs Jul2022'!S66/100*'Tariffs Jul2022'!AI66,0)</f>
        <v>413.12397272727253</v>
      </c>
      <c r="J72" s="59">
        <f>IF($C$5*'Tariffs Jul2022'!AL66/'Tariffs Jul2022'!AJ66&gt;='Tariffs Jul2022'!J66,('Tariffs Jul2022'!J66*'Tariffs Jul2022'!U66/100)* 'Tariffs Jul2022'!AJ66,($C$5*'Tariffs Jul2022'!AL66/'Tariffs Jul2022'!AJ66*'Tariffs Jul2022'!U66/100)* 'Tariffs Jul2022'!AJ66)</f>
        <v>390.54545454545456</v>
      </c>
      <c r="K72" s="59">
        <f>IF($C$5*'Tariffs Jul2022'!AL66/'Tariffs Jul2022'!AJ66&lt;'Tariffs Jul2022'!J66,0,IF($C$5*'Tariffs Jul2022'!AL66/'Tariffs Jul2022'!AJ66&lt;='Tariffs Jul2022'!K66,($C$5*'Tariffs Jul2022'!AL66/'Tariffs Jul2022'!AJ66-'Tariffs Jul2022'!J66)*('Tariffs Jul2022'!V66/100)*'Tariffs Jul2022'!AJ66,('Tariffs Jul2022'!K66-'Tariffs Jul2022'!J66)*('Tariffs Jul2022'!V66/100)*'Tariffs Jul2022'!AJ66))</f>
        <v>0</v>
      </c>
      <c r="L72" s="59">
        <f>IF($C$5*'Tariffs Jul2022'!AL66/'Tariffs Jul2022'!AJ66&lt;'Tariffs Jul2022'!K66,0,IF($C$5*'Tariffs Jul2022'!AL66/'Tariffs Jul2022'!AJ66&lt;='Tariffs Jul2022'!L66,($C$5*'Tariffs Jul2022'!AL66/'Tariffs Jul2022'!AJ66-'Tariffs Jul2022'!K66)*('Tariffs Jul2022'!W66/100)*'Tariffs Jul2022'!AJ66,('Tariffs Jul2022'!L66-'Tariffs Jul2022'!K66)*('Tariffs Jul2022'!W66/100)*'Tariffs Jul2022'!AJ66))</f>
        <v>0</v>
      </c>
      <c r="M72" s="59">
        <f>IF($C$5*'Tariffs Jul2022'!AL66/'Tariffs Jul2022'!AJ66&lt;'Tariffs Jul2022'!L66,0,IF($C$5*'Tariffs Jul2022'!AL66/'Tariffs Jul2022'!AJ66&lt;='Tariffs Jul2022'!M66,($C$5*'Tariffs Jul2022'!AL66/'Tariffs Jul2022'!AJ66-'Tariffs Jul2022'!L66)*('Tariffs Jul2022'!X66/100)*'Tariffs Jul2022'!AJ66,('Tariffs Jul2022'!M66-'Tariffs Jul2022'!L66)*('Tariffs Jul2022'!X66/100)*'Tariffs Jul2022'!AJ66))</f>
        <v>0</v>
      </c>
      <c r="N72" s="59">
        <f>IF(($C$5*'Tariffs Jul2022'!AL66/'Tariffs Jul2022'!AJ66&gt;'Tariffs Jul2022'!M66),($C$5*'Tariffs Jul2022'!AL66/'Tariffs Jul2022'!AJ66-'Tariffs Jul2022'!M66)*'Tariffs Jul2022'!Y66/100*'Tariffs Jul2022'!AJ66,0)</f>
        <v>826.24794545454506</v>
      </c>
      <c r="O72" s="59">
        <f t="shared" si="1"/>
        <v>1825.1900999999993</v>
      </c>
      <c r="P72" s="503">
        <f t="shared" si="43"/>
        <v>2007.7091099999996</v>
      </c>
      <c r="Q72" s="59">
        <f t="shared" si="3"/>
        <v>2044.1900999999993</v>
      </c>
      <c r="R72" s="272">
        <f t="shared" si="4"/>
        <v>2248.6091099999994</v>
      </c>
      <c r="S72" s="40">
        <f>'Tariffs Jul2022'!AN66</f>
        <v>0</v>
      </c>
      <c r="T72" s="40">
        <f>'Tariffs Jul2022'!AO66</f>
        <v>0</v>
      </c>
      <c r="U72" s="40">
        <f>'Tariffs Jul2022'!AP66</f>
        <v>0</v>
      </c>
      <c r="V72" s="40">
        <f>'Tariffs Jul2022'!AQ66</f>
        <v>0</v>
      </c>
      <c r="W72" s="537" t="str">
        <f t="shared" si="44"/>
        <v>No discount</v>
      </c>
      <c r="X72" s="538" t="str">
        <f t="shared" si="45"/>
        <v>Exclusive</v>
      </c>
      <c r="Y72" s="534">
        <f t="shared" si="48"/>
        <v>2044.1900999999993</v>
      </c>
      <c r="Z72" s="535">
        <f t="shared" si="49"/>
        <v>2044.1900999999993</v>
      </c>
      <c r="AA72" s="542">
        <f t="shared" si="42"/>
        <v>2248.6091099999994</v>
      </c>
      <c r="AB72" s="542">
        <f t="shared" si="42"/>
        <v>2248.6091099999994</v>
      </c>
      <c r="AC72" s="274">
        <f>'Tariffs Jul2022'!AZ66</f>
        <v>0</v>
      </c>
      <c r="AD72" s="274" t="str">
        <f>'Tariffs Jul2022'!BA66</f>
        <v>n</v>
      </c>
      <c r="AE72" s="275" t="str">
        <f>'Tariffs Jul2022'!BJ66</f>
        <v>N</v>
      </c>
      <c r="AF72" s="593"/>
      <c r="AG72" s="593"/>
      <c r="AH72" s="593"/>
      <c r="AI72" s="593"/>
      <c r="AJ72" s="593"/>
      <c r="AK72" s="593"/>
      <c r="AL72" s="593"/>
      <c r="AM72" s="593"/>
      <c r="AN72" s="593"/>
      <c r="AO72" s="593"/>
      <c r="AP72" s="593"/>
      <c r="AQ72" s="593"/>
      <c r="AR72" s="593"/>
      <c r="AS72" s="593"/>
      <c r="AT72" s="593"/>
      <c r="AU72" s="593"/>
      <c r="AV72" s="593"/>
      <c r="AW72" s="593"/>
    </row>
    <row r="73" spans="1:49" ht="14" x14ac:dyDescent="0.15">
      <c r="A73" s="270" t="str">
        <f>'Tariffs Jul2022'!F67</f>
        <v>Powershop</v>
      </c>
      <c r="B73" s="40" t="str">
        <f>'Tariffs Jul2022'!D67</f>
        <v>AGN Central 1</v>
      </c>
      <c r="C73" s="40" t="str">
        <f>'Tariffs Jul2022'!G67</f>
        <v>Carbon Neutral</v>
      </c>
      <c r="D73" s="59">
        <f>365*'Tariffs Jul2022'!H67/100</f>
        <v>267.04727272727274</v>
      </c>
      <c r="E73" s="59">
        <f>((C$5*'Tariffs Jul2022'!AK67/'Tariffs Jul2022'!AI67)*('Tariffs Jul2022'!O67/100))*'Tariffs Jul2022'!AI67</f>
        <v>618.5454545454545</v>
      </c>
      <c r="F73" s="59">
        <v>0</v>
      </c>
      <c r="G73" s="59">
        <v>0</v>
      </c>
      <c r="H73" s="59">
        <v>0</v>
      </c>
      <c r="I73" s="59">
        <v>0</v>
      </c>
      <c r="J73" s="59">
        <f>((C$5*'Tariffs Jul2022'!AL67/'Tariffs Jul2022'!AJ67)*('Tariffs Jul2022'!U67/100))*'Tariffs Jul2022'!AJ67</f>
        <v>618.5454545454545</v>
      </c>
      <c r="K73" s="59">
        <v>0</v>
      </c>
      <c r="L73" s="59">
        <v>0</v>
      </c>
      <c r="M73" s="59">
        <v>0</v>
      </c>
      <c r="N73" s="59">
        <v>0</v>
      </c>
      <c r="O73" s="59">
        <f t="shared" si="1"/>
        <v>1237.090909090909</v>
      </c>
      <c r="P73" s="503">
        <f t="shared" si="43"/>
        <v>1360.8</v>
      </c>
      <c r="Q73" s="59">
        <f t="shared" si="3"/>
        <v>1504.1381818181817</v>
      </c>
      <c r="R73" s="272">
        <f t="shared" si="4"/>
        <v>1654.5519999999999</v>
      </c>
      <c r="S73" s="40">
        <f>'Tariffs Jul2022'!AN67</f>
        <v>0</v>
      </c>
      <c r="T73" s="40">
        <f>'Tariffs Jul2022'!AO67</f>
        <v>0</v>
      </c>
      <c r="U73" s="40">
        <f>'Tariffs Jul2022'!AP67</f>
        <v>0</v>
      </c>
      <c r="V73" s="40">
        <f>'Tariffs Jul2022'!AQ67</f>
        <v>0</v>
      </c>
      <c r="W73" s="537" t="str">
        <f t="shared" si="44"/>
        <v>No discount</v>
      </c>
      <c r="X73" s="538" t="str">
        <f t="shared" si="45"/>
        <v>Inclusive</v>
      </c>
      <c r="Y73" s="534">
        <f>IF(AND(W73="Guaranteed off bill",X73="Inclusive"),((Q73*1.1)-((Q73*1.1)*S73/100))/1.1,IF(AND(W73="Guaranteed off usage",X73="Inclusive"),((Q73*1.1)-((P73*1.1)*T73/100))/1.1,IF(AND(W73="Guaranteed off bill",X73="Exclusive"),Q73-(Q73*S73/100),IF(AND(W73="Guaranteed off usage",X73="Exclusive"),Q73-(P73*T73/100),IF(X73="Inclusive",((Q73*1.1))/1.1,Q73)))))</f>
        <v>1504.1381818181817</v>
      </c>
      <c r="Z73" s="535">
        <f>IF(AND(W73="Pay-on-time off bill",X73="Inclusive"),((Y73*1.1)-((Y73*1.1)*U73/100))/1.1,IF(AND(W73="Pay-on-time off usage",X73="Inclusive"),((Y73*1.1)-((P73*1.1)*V73/100))/1.1,IF(AND(W73="Pay-on-time off bill",X73="Exclusive"),Y73-(Y73*U73/100),IF(AND(W73="Pay-on-time off usage",X73="Exclusive"),Y73-(P73*V73/100),IF(X73="Inclusive",((Y73*1.1))/1.1,Y73)))))</f>
        <v>1504.1381818181817</v>
      </c>
      <c r="AA73" s="542">
        <f t="shared" si="42"/>
        <v>1654.5519999999999</v>
      </c>
      <c r="AB73" s="542">
        <f t="shared" si="42"/>
        <v>1654.5519999999999</v>
      </c>
      <c r="AC73" s="274">
        <f>'Tariffs Jul2022'!AZ67</f>
        <v>0</v>
      </c>
      <c r="AD73" s="274" t="str">
        <f>'Tariffs Jul2022'!BA67</f>
        <v>n</v>
      </c>
      <c r="AE73" s="275" t="str">
        <f>'Tariffs Jul2022'!BJ67</f>
        <v>Y</v>
      </c>
      <c r="AF73" s="593"/>
      <c r="AG73" s="593"/>
      <c r="AH73" s="593"/>
      <c r="AI73" s="593"/>
      <c r="AJ73" s="593"/>
      <c r="AK73" s="593"/>
      <c r="AL73" s="593"/>
      <c r="AM73" s="593"/>
      <c r="AN73" s="593"/>
      <c r="AO73" s="593"/>
      <c r="AP73" s="593"/>
      <c r="AQ73" s="593"/>
      <c r="AR73" s="593"/>
      <c r="AS73" s="593"/>
      <c r="AT73" s="593"/>
      <c r="AU73" s="593"/>
      <c r="AV73" s="593"/>
      <c r="AW73" s="593"/>
    </row>
    <row r="74" spans="1:49" ht="14" x14ac:dyDescent="0.15">
      <c r="A74" s="270" t="str">
        <f>'Tariffs Jul2022'!F68</f>
        <v>1st Energy</v>
      </c>
      <c r="B74" s="40" t="str">
        <f>'Tariffs Jul2022'!D68</f>
        <v>AGN Central 1</v>
      </c>
      <c r="C74" s="40" t="str">
        <f>'Tariffs Jul2022'!G68</f>
        <v>1st Saver Plus</v>
      </c>
      <c r="D74" s="59">
        <f>365*'Tariffs Jul2022'!H68/100</f>
        <v>266.45</v>
      </c>
      <c r="E74" s="59">
        <f>IF($C$5*'Tariffs Jul2022'!AK68/'Tariffs Jul2022'!AI68&gt;='Tariffs Jul2022'!J68,( 'Tariffs Jul2022'!J68*'Tariffs Jul2022'!O68/100)* 'Tariffs Jul2022'!AI68,($C$5*'Tariffs Jul2022'!AK68/'Tariffs Jul2022'!AI68*'Tariffs Jul2022'!O68/100)* 'Tariffs Jul2022'!AI68)</f>
        <v>144.46090909090907</v>
      </c>
      <c r="F74" s="59">
        <f>IF($C$5*'Tariffs Jul2022'!AK68/'Tariffs Jul2022'!AI68&lt;'Tariffs Jul2022'!J68,0,IF($C$5*'Tariffs Jul2022'!AK68/'Tariffs Jul2022'!AI68&lt;='Tariffs Jul2022'!K68,($C$5*'Tariffs Jul2022'!AK68/'Tariffs Jul2022'!AI68-'Tariffs Jul2022'!J68)*('Tariffs Jul2022'!P68/100)*'Tariffs Jul2022'!AI68,('Tariffs Jul2022'!K68-'Tariffs Jul2022'!J68)*('Tariffs Jul2022'!P68/100)*'Tariffs Jul2022'!AI68))</f>
        <v>103.47272727272725</v>
      </c>
      <c r="G74" s="59">
        <f>IF($C$5*'Tariffs Jul2022'!AK68/'Tariffs Jul2022'!AI68&lt;'Tariffs Jul2022'!K68,0,IF($C$5*'Tariffs Jul2022'!AK68/'Tariffs Jul2022'!AI68&lt;='Tariffs Jul2022'!L68,($C$5*'Tariffs Jul2022'!AK68/'Tariffs Jul2022'!AI68-'Tariffs Jul2022'!K68)*('Tariffs Jul2022'!Q68/100)*'Tariffs Jul2022'!AI68,('Tariffs Jul2022'!L68-'Tariffs Jul2022'!K68)*('Tariffs Jul2022'!Q68/100)*'Tariffs Jul2022'!AI68))</f>
        <v>0</v>
      </c>
      <c r="H74" s="59">
        <f>IF($C$5*'Tariffs Jul2022'!AK68/'Tariffs Jul2022'!AI68&lt;'Tariffs Jul2022'!L68,0,IF($C$5*'Tariffs Jul2022'!AK68/'Tariffs Jul2022'!AI68&lt;='Tariffs Jul2022'!M68,($C$5*'Tariffs Jul2022'!AK68/'Tariffs Jul2022'!AI68-'Tariffs Jul2022'!L68)*('Tariffs Jul2022'!R68/100)*'Tariffs Jul2022'!AI68,('Tariffs Jul2022'!M68-'Tariffs Jul2022'!L68)*('Tariffs Jul2022'!R68/100)*'Tariffs Jul2022'!AI68))</f>
        <v>0</v>
      </c>
      <c r="I74" s="69">
        <f>IF(($C$5*'Tariffs Jul2022'!AK68/'Tariffs Jul2022'!AI68&gt;'Tariffs Jul2022'!M68),($C$5*'Tariffs Jul2022'!AK68/'Tariffs Jul2022'!AI68-'Tariffs Jul2022'!M68)*'Tariffs Jul2022'!S68/100*'Tariffs Jul2022'!AI68,0)</f>
        <v>490.90909090909088</v>
      </c>
      <c r="J74" s="69">
        <f>IF($C$5*'Tariffs Jul2022'!AL68/'Tariffs Jul2022'!AJ68&gt;='Tariffs Jul2022'!J68,('Tariffs Jul2022'!J68*'Tariffs Jul2022'!U68/100)* 'Tariffs Jul2022'!AJ68,($C$5*'Tariffs Jul2022'!AL68/'Tariffs Jul2022'!AJ68*'Tariffs Jul2022'!U68/100)* 'Tariffs Jul2022'!AJ68)</f>
        <v>144.46090909090907</v>
      </c>
      <c r="K74" s="69">
        <f>IF($C$5*'Tariffs Jul2022'!AL68/'Tariffs Jul2022'!AJ68&lt;'Tariffs Jul2022'!J68,0,IF($C$5*'Tariffs Jul2022'!AL68/'Tariffs Jul2022'!AJ68&lt;='Tariffs Jul2022'!K68,($C$5*'Tariffs Jul2022'!AL68/'Tariffs Jul2022'!AJ68-'Tariffs Jul2022'!J68)*('Tariffs Jul2022'!V68/100)*'Tariffs Jul2022'!AJ68,('Tariffs Jul2022'!K68-'Tariffs Jul2022'!J68)*('Tariffs Jul2022'!V68/100)*'Tariffs Jul2022'!AJ68))</f>
        <v>103.47272727272725</v>
      </c>
      <c r="L74" s="69">
        <f>IF($C$5*'Tariffs Jul2022'!AL68/'Tariffs Jul2022'!AJ68&lt;'Tariffs Jul2022'!K68,0,IF($C$5*'Tariffs Jul2022'!AL68/'Tariffs Jul2022'!AJ68&lt;='Tariffs Jul2022'!L68,($C$5*'Tariffs Jul2022'!AL68/'Tariffs Jul2022'!AJ68-'Tariffs Jul2022'!K68)*('Tariffs Jul2022'!W68/100)*'Tariffs Jul2022'!AJ68,('Tariffs Jul2022'!L68-'Tariffs Jul2022'!K68)*('Tariffs Jul2022'!W68/100)*'Tariffs Jul2022'!AJ68))</f>
        <v>0</v>
      </c>
      <c r="M74" s="69">
        <f>IF($C$5*'Tariffs Jul2022'!AL68/'Tariffs Jul2022'!AJ68&lt;'Tariffs Jul2022'!L68,0,IF($C$5*'Tariffs Jul2022'!AL68/'Tariffs Jul2022'!AJ68&lt;='Tariffs Jul2022'!M68,($C$5*'Tariffs Jul2022'!AL68/'Tariffs Jul2022'!AJ68-'Tariffs Jul2022'!L68)*('Tariffs Jul2022'!X68/100)*'Tariffs Jul2022'!AJ68,('Tariffs Jul2022'!M68-'Tariffs Jul2022'!L68)*('Tariffs Jul2022'!X68/100)*'Tariffs Jul2022'!AJ68))</f>
        <v>0</v>
      </c>
      <c r="N74" s="69">
        <f>IF(($C$5*'Tariffs Jul2022'!AL68/'Tariffs Jul2022'!AJ68&gt;'Tariffs Jul2022'!M68),($C$5*'Tariffs Jul2022'!AL68/'Tariffs Jul2022'!AJ68-'Tariffs Jul2022'!M68)*'Tariffs Jul2022'!Y68/100*'Tariffs Jul2022'!AJ68,0)</f>
        <v>490.90909090909088</v>
      </c>
      <c r="O74" s="59">
        <f t="shared" si="1"/>
        <v>1477.6854545454544</v>
      </c>
      <c r="P74" s="503">
        <f t="shared" si="43"/>
        <v>1625.454</v>
      </c>
      <c r="Q74" s="59">
        <f t="shared" si="3"/>
        <v>1744.1354545454544</v>
      </c>
      <c r="R74" s="272">
        <f t="shared" si="4"/>
        <v>1918.549</v>
      </c>
      <c r="S74" s="40">
        <f>'Tariffs Jul2022'!AN68</f>
        <v>0</v>
      </c>
      <c r="T74" s="40">
        <f>'Tariffs Jul2022'!AO68</f>
        <v>7</v>
      </c>
      <c r="U74" s="40">
        <f>'Tariffs Jul2022'!AP68</f>
        <v>0</v>
      </c>
      <c r="V74" s="40">
        <f>'Tariffs Jul2022'!AQ68</f>
        <v>3</v>
      </c>
      <c r="W74" s="537" t="str">
        <f t="shared" si="44"/>
        <v>Guaranteed off usage</v>
      </c>
      <c r="X74" s="538" t="str">
        <f t="shared" si="45"/>
        <v>Exclusive</v>
      </c>
      <c r="Y74" s="534">
        <f>Q74-(P74*T74)/100</f>
        <v>1630.3536745454544</v>
      </c>
      <c r="Z74" s="535">
        <f>Y74-(P74*V74)/100</f>
        <v>1581.5900545454544</v>
      </c>
      <c r="AA74" s="542">
        <f t="shared" si="42"/>
        <v>1793.389042</v>
      </c>
      <c r="AB74" s="542">
        <f t="shared" si="42"/>
        <v>1739.7490600000001</v>
      </c>
      <c r="AC74" s="274">
        <f>'Tariffs Jul2022'!AZ68</f>
        <v>0</v>
      </c>
      <c r="AD74" s="274" t="str">
        <f>'Tariffs Jul2022'!BA68</f>
        <v>n</v>
      </c>
      <c r="AE74" s="275" t="str">
        <f>'Tariffs Jul2022'!BJ68</f>
        <v>N</v>
      </c>
      <c r="AF74" s="593"/>
      <c r="AG74" s="593"/>
      <c r="AH74" s="593"/>
      <c r="AI74" s="593"/>
      <c r="AJ74" s="593"/>
      <c r="AK74" s="593"/>
      <c r="AL74" s="593"/>
      <c r="AM74" s="593"/>
      <c r="AN74" s="593"/>
      <c r="AO74" s="593"/>
      <c r="AP74" s="593"/>
      <c r="AQ74" s="593"/>
      <c r="AR74" s="593"/>
      <c r="AS74" s="593"/>
      <c r="AT74" s="593"/>
      <c r="AU74" s="593"/>
      <c r="AV74" s="593"/>
      <c r="AW74" s="593"/>
    </row>
    <row r="75" spans="1:49" ht="14" x14ac:dyDescent="0.15">
      <c r="A75" s="270" t="str">
        <f>'Tariffs Jul2022'!F69</f>
        <v>Kogan Energy</v>
      </c>
      <c r="B75" s="40" t="str">
        <f>'Tariffs Jul2022'!D69</f>
        <v>AGN Central 1</v>
      </c>
      <c r="C75" s="40" t="str">
        <f>'Tariffs Jul2022'!G69</f>
        <v>Kogan Basic</v>
      </c>
      <c r="D75" s="59">
        <f>365*'Tariffs Jul2022'!H69/100</f>
        <v>287.45409090909089</v>
      </c>
      <c r="E75" s="59">
        <f>((C$5*'Tariffs Jul2022'!AK69/'Tariffs Jul2022'!AI69)*('Tariffs Jul2022'!O69/100))*'Tariffs Jul2022'!AI69</f>
        <v>641.4545454545455</v>
      </c>
      <c r="F75" s="59">
        <v>0</v>
      </c>
      <c r="G75" s="59">
        <v>0</v>
      </c>
      <c r="H75" s="59">
        <v>0</v>
      </c>
      <c r="I75" s="69">
        <v>0</v>
      </c>
      <c r="J75" s="69">
        <f>((C$5*'Tariffs Jul2022'!AL69/'Tariffs Jul2022'!AJ69)*('Tariffs Jul2022'!U69/100))*'Tariffs Jul2022'!AJ69</f>
        <v>641.4545454545455</v>
      </c>
      <c r="K75" s="69">
        <v>0</v>
      </c>
      <c r="L75" s="69">
        <v>0</v>
      </c>
      <c r="M75" s="69">
        <v>0</v>
      </c>
      <c r="N75" s="69">
        <v>0</v>
      </c>
      <c r="O75" s="59">
        <f t="shared" si="1"/>
        <v>1282.909090909091</v>
      </c>
      <c r="P75" s="503">
        <f t="shared" si="43"/>
        <v>1411.2000000000003</v>
      </c>
      <c r="Q75" s="59">
        <f t="shared" si="3"/>
        <v>1570.3631818181818</v>
      </c>
      <c r="R75" s="272">
        <f t="shared" si="4"/>
        <v>1727.3995000000002</v>
      </c>
      <c r="S75" s="40">
        <f>'Tariffs Jul2022'!AN69</f>
        <v>0</v>
      </c>
      <c r="T75" s="40">
        <f>'Tariffs Jul2022'!AO69</f>
        <v>0</v>
      </c>
      <c r="U75" s="40">
        <f>'Tariffs Jul2022'!AP69</f>
        <v>0</v>
      </c>
      <c r="V75" s="40">
        <f>'Tariffs Jul2022'!AQ69</f>
        <v>0</v>
      </c>
      <c r="W75" s="537" t="str">
        <f t="shared" si="44"/>
        <v>No discount</v>
      </c>
      <c r="X75" s="538" t="str">
        <f t="shared" si="45"/>
        <v>Exclusive</v>
      </c>
      <c r="Y75" s="534">
        <f t="shared" ref="Y75:Y86" si="50">IF(AND(W75="Guaranteed off bill",X75="Inclusive"),((Q75*1.1)-((Q75*1.1)*S75/100))/1.1,IF(AND(W75="Guaranteed off usage",X75="Inclusive"),((Q75*1.1)-((P75*1.1)*T75/100))/1.1,IF(AND(W75="Guaranteed off bill",X75="Exclusive"),Q75-(Q75*S75/100),IF(AND(W75="Guaranteed off usage",X75="Exclusive"),Q75-(P75*T75/100),IF(X75="Inclusive",((Q75*1.1))/1.1,Q75)))))</f>
        <v>1570.3631818181818</v>
      </c>
      <c r="Z75" s="535">
        <f t="shared" ref="Z75:Z86" si="51">IF(AND(W75="Pay-on-time off bill",X75="Inclusive"),((Y75*1.1)-((Y75*1.1)*U75/100))/1.1,IF(AND(W75="Pay-on-time off usage",X75="Inclusive"),((Y75*1.1)-((P75*1.1)*V75/100))/1.1,IF(AND(W75="Pay-on-time off bill",X75="Exclusive"),Y75-(Y75*U75/100),IF(AND(W75="Pay-on-time off usage",X75="Exclusive"),Y75-(P75*V75/100),IF(X75="Inclusive",((Y75*1.1))/1.1,Y75)))))</f>
        <v>1570.3631818181818</v>
      </c>
      <c r="AA75" s="542">
        <f t="shared" si="42"/>
        <v>1727.3995000000002</v>
      </c>
      <c r="AB75" s="542">
        <f t="shared" si="42"/>
        <v>1727.3995000000002</v>
      </c>
      <c r="AC75" s="274">
        <f>'Tariffs Jul2022'!AZ69</f>
        <v>0</v>
      </c>
      <c r="AD75" s="274" t="str">
        <f>'Tariffs Jul2022'!BA69</f>
        <v>n</v>
      </c>
      <c r="AE75" s="275" t="str">
        <f>'Tariffs Jul2022'!BJ69</f>
        <v>N</v>
      </c>
      <c r="AF75" s="593"/>
      <c r="AG75" s="593"/>
      <c r="AH75" s="593"/>
      <c r="AI75" s="593"/>
      <c r="AJ75" s="593"/>
      <c r="AK75" s="593"/>
      <c r="AL75" s="593"/>
      <c r="AM75" s="593"/>
      <c r="AN75" s="593"/>
      <c r="AO75" s="593"/>
      <c r="AP75" s="593"/>
      <c r="AQ75" s="593"/>
      <c r="AR75" s="593"/>
      <c r="AS75" s="593"/>
      <c r="AT75" s="593"/>
      <c r="AU75" s="593"/>
      <c r="AV75" s="593"/>
      <c r="AW75" s="593"/>
    </row>
    <row r="76" spans="1:49" ht="14" x14ac:dyDescent="0.15">
      <c r="A76" s="270" t="str">
        <f>'Tariffs Jul2022'!F70</f>
        <v>Tango Energy</v>
      </c>
      <c r="B76" s="40" t="str">
        <f>'Tariffs Jul2022'!D70</f>
        <v>AGN Central 1</v>
      </c>
      <c r="C76" s="40" t="str">
        <f>'Tariffs Jul2022'!G70</f>
        <v>Home Select</v>
      </c>
      <c r="D76" s="59">
        <f>365*'Tariffs Jul2022'!H70/100</f>
        <v>273.75</v>
      </c>
      <c r="E76" s="59">
        <f>IF($C$5*'Tariffs Jul2022'!AK70/'Tariffs Jul2022'!AI70&gt;='Tariffs Jul2022'!J70,( 'Tariffs Jul2022'!J70*'Tariffs Jul2022'!O70/100)* 'Tariffs Jul2022'!AI70,($C$5*'Tariffs Jul2022'!AK70/'Tariffs Jul2022'!AI70*'Tariffs Jul2022'!O70/100)* 'Tariffs Jul2022'!AI70)</f>
        <v>112.15909090909091</v>
      </c>
      <c r="F76" s="59">
        <f>IF($C$5*'Tariffs Jul2022'!AK70/'Tariffs Jul2022'!AI70&lt;'Tariffs Jul2022'!J70,0,IF($C$5*'Tariffs Jul2022'!AK70/'Tariffs Jul2022'!AI70&lt;='Tariffs Jul2022'!K70,($C$5*'Tariffs Jul2022'!AK70/'Tariffs Jul2022'!AI70-'Tariffs Jul2022'!J70)*('Tariffs Jul2022'!P70/100)*'Tariffs Jul2022'!AI70,('Tariffs Jul2022'!K70-'Tariffs Jul2022'!J70)*('Tariffs Jul2022'!P70/100)*'Tariffs Jul2022'!AI70))</f>
        <v>86.843181818181819</v>
      </c>
      <c r="G76" s="59">
        <f>IF($C$5*'Tariffs Jul2022'!AK70/'Tariffs Jul2022'!AI70&lt;'Tariffs Jul2022'!K70,0,IF($C$5*'Tariffs Jul2022'!AK70/'Tariffs Jul2022'!AI70&lt;='Tariffs Jul2022'!L70,($C$5*'Tariffs Jul2022'!AK70/'Tariffs Jul2022'!AI70-'Tariffs Jul2022'!K70)*('Tariffs Jul2022'!Q70/100)*'Tariffs Jul2022'!AI70,('Tariffs Jul2022'!L70-'Tariffs Jul2022'!K70)*('Tariffs Jul2022'!Q70/100)*'Tariffs Jul2022'!AI70))</f>
        <v>0</v>
      </c>
      <c r="H76" s="59">
        <f>IF($C$5*'Tariffs Jul2022'!AK70/'Tariffs Jul2022'!AI70&lt;'Tariffs Jul2022'!L70,0,IF($C$5*'Tariffs Jul2022'!AK70/'Tariffs Jul2022'!AI70&lt;='Tariffs Jul2022'!M70,($C$5*'Tariffs Jul2022'!AK70/'Tariffs Jul2022'!AI70-'Tariffs Jul2022'!L70)*('Tariffs Jul2022'!R70/100)*'Tariffs Jul2022'!AI70,('Tariffs Jul2022'!M70-'Tariffs Jul2022'!L70)*('Tariffs Jul2022'!R70/100)*'Tariffs Jul2022'!AI70))</f>
        <v>0</v>
      </c>
      <c r="I76" s="69">
        <f>IF(($C$5*'Tariffs Jul2022'!AK70/'Tariffs Jul2022'!AI70&gt;'Tariffs Jul2022'!M70),($C$5*'Tariffs Jul2022'!AK70/'Tariffs Jul2022'!AI70-'Tariffs Jul2022'!M70)*'Tariffs Jul2022'!S70/100*'Tariffs Jul2022'!AI70,0)</f>
        <v>396.81818181818176</v>
      </c>
      <c r="J76" s="69">
        <f>IF($C$5*'Tariffs Jul2022'!AL70/'Tariffs Jul2022'!AJ70&gt;='Tariffs Jul2022'!J70,('Tariffs Jul2022'!J70*'Tariffs Jul2022'!U70/100)* 'Tariffs Jul2022'!AJ70,($C$5*'Tariffs Jul2022'!AL70/'Tariffs Jul2022'!AJ70*'Tariffs Jul2022'!U70/100)* 'Tariffs Jul2022'!AJ70)</f>
        <v>112.15909090909091</v>
      </c>
      <c r="K76" s="69">
        <f>IF($C$5*'Tariffs Jul2022'!AL70/'Tariffs Jul2022'!AJ70&lt;'Tariffs Jul2022'!J70,0,IF($C$5*'Tariffs Jul2022'!AL70/'Tariffs Jul2022'!AJ70&lt;='Tariffs Jul2022'!K70,($C$5*'Tariffs Jul2022'!AL70/'Tariffs Jul2022'!AJ70-'Tariffs Jul2022'!J70)*('Tariffs Jul2022'!V70/100)*'Tariffs Jul2022'!AJ70,('Tariffs Jul2022'!K70-'Tariffs Jul2022'!J70)*('Tariffs Jul2022'!V70/100)*'Tariffs Jul2022'!AJ70))</f>
        <v>86.843181818181819</v>
      </c>
      <c r="L76" s="69">
        <v>0</v>
      </c>
      <c r="M76" s="69">
        <v>0</v>
      </c>
      <c r="N76" s="69">
        <f>IF(($C$5*'Tariffs Jul2022'!AL70/'Tariffs Jul2022'!AJ70&gt;'Tariffs Jul2022'!M70),($C$5*'Tariffs Jul2022'!AL70/'Tariffs Jul2022'!AJ70-'Tariffs Jul2022'!M70)*'Tariffs Jul2022'!Y70/100*'Tariffs Jul2022'!AJ70,0)</f>
        <v>396.81818181818176</v>
      </c>
      <c r="O76" s="59">
        <f t="shared" ref="O76:O104" si="52">SUM(E76:N76)</f>
        <v>1191.640909090909</v>
      </c>
      <c r="P76" s="503">
        <f t="shared" si="43"/>
        <v>1310.8050000000001</v>
      </c>
      <c r="Q76" s="59">
        <f t="shared" ref="Q76:Q104" si="53">D76+O76</f>
        <v>1465.390909090909</v>
      </c>
      <c r="R76" s="272">
        <f t="shared" ref="R76:R104" si="54">Q76*1.1</f>
        <v>1611.93</v>
      </c>
      <c r="S76" s="40">
        <f>'Tariffs Jul2022'!AN70</f>
        <v>0</v>
      </c>
      <c r="T76" s="40">
        <f>'Tariffs Jul2022'!AO70</f>
        <v>0</v>
      </c>
      <c r="U76" s="40">
        <f>'Tariffs Jul2022'!AP70</f>
        <v>0</v>
      </c>
      <c r="V76" s="40">
        <f>'Tariffs Jul2022'!AQ70</f>
        <v>0</v>
      </c>
      <c r="W76" s="537" t="str">
        <f t="shared" si="44"/>
        <v>No discount</v>
      </c>
      <c r="X76" s="538" t="str">
        <f t="shared" si="45"/>
        <v>Exclusive</v>
      </c>
      <c r="Y76" s="534">
        <f t="shared" si="50"/>
        <v>1465.390909090909</v>
      </c>
      <c r="Z76" s="535">
        <f t="shared" si="51"/>
        <v>1465.390909090909</v>
      </c>
      <c r="AA76" s="542">
        <f t="shared" si="42"/>
        <v>1611.93</v>
      </c>
      <c r="AB76" s="542">
        <f t="shared" si="42"/>
        <v>1611.93</v>
      </c>
      <c r="AC76" s="274">
        <f>'Tariffs Jul2022'!AZ70</f>
        <v>0</v>
      </c>
      <c r="AD76" s="274" t="str">
        <f>'Tariffs Jul2022'!BA70</f>
        <v>n</v>
      </c>
      <c r="AE76" s="275" t="str">
        <f>'Tariffs Jul2022'!BJ70</f>
        <v>N</v>
      </c>
      <c r="AF76" s="593"/>
      <c r="AG76" s="593"/>
      <c r="AH76" s="593"/>
      <c r="AI76" s="593"/>
      <c r="AJ76" s="593"/>
      <c r="AK76" s="593"/>
      <c r="AL76" s="593"/>
      <c r="AM76" s="593"/>
      <c r="AN76" s="593"/>
      <c r="AO76" s="593"/>
      <c r="AP76" s="593"/>
      <c r="AQ76" s="593"/>
      <c r="AR76" s="593"/>
      <c r="AS76" s="593"/>
      <c r="AT76" s="593"/>
      <c r="AU76" s="593"/>
      <c r="AV76" s="593"/>
      <c r="AW76" s="593"/>
    </row>
    <row r="77" spans="1:49" ht="15" thickBot="1" x14ac:dyDescent="0.2">
      <c r="A77" s="276" t="str">
        <f>'Tariffs Jul2022'!F71</f>
        <v>Sumo Power</v>
      </c>
      <c r="B77" s="277" t="str">
        <f>'Tariffs Jul2022'!D71</f>
        <v>AGN Central 1</v>
      </c>
      <c r="C77" s="277" t="str">
        <f>'Tariffs Jul2022'!G71</f>
        <v>Assure</v>
      </c>
      <c r="D77" s="278">
        <f>365*'Tariffs Jul2022'!H71/100</f>
        <v>248.19999999999996</v>
      </c>
      <c r="E77" s="278">
        <f>IF($C$5*'Tariffs Jul2022'!AK71/'Tariffs Jul2022'!AI71&gt;='Tariffs Jul2022'!J71,( 'Tariffs Jul2022'!J71*'Tariffs Jul2022'!O71/100)* 'Tariffs Jul2022'!AI71,($C$5*'Tariffs Jul2022'!AK71/'Tariffs Jul2022'!AI71*'Tariffs Jul2022'!O71/100)* 'Tariffs Jul2022'!AI71)</f>
        <v>117.99136363636363</v>
      </c>
      <c r="F77" s="278">
        <f>IF($C$5*'Tariffs Jul2022'!AK71/'Tariffs Jul2022'!AI71&lt;'Tariffs Jul2022'!J71,0,IF($C$5*'Tariffs Jul2022'!AK71/'Tariffs Jul2022'!AI71&lt;='Tariffs Jul2022'!K71,($C$5*'Tariffs Jul2022'!AK71/'Tariffs Jul2022'!AI71-'Tariffs Jul2022'!J71)*('Tariffs Jul2022'!P71/100)*'Tariffs Jul2022'!AI71,('Tariffs Jul2022'!K71-'Tariffs Jul2022'!J71)*('Tariffs Jul2022'!P71/100)*'Tariffs Jul2022'!AI71))</f>
        <v>78.713181818181809</v>
      </c>
      <c r="G77" s="278">
        <f>IF($C$5*'Tariffs Jul2022'!AK71/'Tariffs Jul2022'!AI71&lt;'Tariffs Jul2022'!K71,0,IF($C$5*'Tariffs Jul2022'!AK71/'Tariffs Jul2022'!AI71&lt;='Tariffs Jul2022'!L71,($C$5*'Tariffs Jul2022'!AK71/'Tariffs Jul2022'!AI71-'Tariffs Jul2022'!K71)*('Tariffs Jul2022'!Q71/100)*'Tariffs Jul2022'!AI71,('Tariffs Jul2022'!L71-'Tariffs Jul2022'!K71)*('Tariffs Jul2022'!Q71/100)*'Tariffs Jul2022'!AI71))</f>
        <v>0</v>
      </c>
      <c r="H77" s="278">
        <f>IF($C$5*'Tariffs Jul2022'!AK71/'Tariffs Jul2022'!AI71&lt;'Tariffs Jul2022'!L71,0,IF($C$5*'Tariffs Jul2022'!AK71/'Tariffs Jul2022'!AI71&lt;='Tariffs Jul2022'!M71,($C$5*'Tariffs Jul2022'!AK71/'Tariffs Jul2022'!AI71-'Tariffs Jul2022'!L71)*('Tariffs Jul2022'!R71/100)*'Tariffs Jul2022'!AI71,('Tariffs Jul2022'!M71-'Tariffs Jul2022'!L71)*('Tariffs Jul2022'!R71/100)*'Tariffs Jul2022'!AI71))</f>
        <v>0</v>
      </c>
      <c r="I77" s="547">
        <f>IF(($C$5*'Tariffs Jul2022'!AK71/'Tariffs Jul2022'!AI71&gt;'Tariffs Jul2022'!M71),($C$5*'Tariffs Jul2022'!AK71/'Tariffs Jul2022'!AI71-'Tariffs Jul2022'!M71)*'Tariffs Jul2022'!S71/100*'Tariffs Jul2022'!AI71,0)</f>
        <v>378.40909090909088</v>
      </c>
      <c r="J77" s="547">
        <f>IF($C$5*'Tariffs Jul2022'!AL71/'Tariffs Jul2022'!AJ71&gt;='Tariffs Jul2022'!J71,('Tariffs Jul2022'!J71*'Tariffs Jul2022'!U71/100)* 'Tariffs Jul2022'!AJ71,($C$5*'Tariffs Jul2022'!AL71/'Tariffs Jul2022'!AJ71*'Tariffs Jul2022'!U71/100)* 'Tariffs Jul2022'!AJ71)</f>
        <v>117.99136363636363</v>
      </c>
      <c r="K77" s="547">
        <f>IF($C$5*'Tariffs Jul2022'!AL71/'Tariffs Jul2022'!AJ71&lt;'Tariffs Jul2022'!J71,0,IF($C$5*'Tariffs Jul2022'!AL71/'Tariffs Jul2022'!AJ71&lt;='Tariffs Jul2022'!K71,($C$5*'Tariffs Jul2022'!AL71/'Tariffs Jul2022'!AJ71-'Tariffs Jul2022'!J71)*('Tariffs Jul2022'!V71/100)*'Tariffs Jul2022'!AJ71,('Tariffs Jul2022'!K71-'Tariffs Jul2022'!J71)*('Tariffs Jul2022'!V71/100)*'Tariffs Jul2022'!AJ71))</f>
        <v>78.713181818181809</v>
      </c>
      <c r="L77" s="547">
        <v>0</v>
      </c>
      <c r="M77" s="547">
        <v>0</v>
      </c>
      <c r="N77" s="547">
        <f>IF(($C$5*'Tariffs Jul2022'!AL71/'Tariffs Jul2022'!AJ71&gt;'Tariffs Jul2022'!M71),($C$5*'Tariffs Jul2022'!AL71/'Tariffs Jul2022'!AJ71-'Tariffs Jul2022'!M71)*'Tariffs Jul2022'!Y71/100*'Tariffs Jul2022'!AJ71,0)</f>
        <v>378.40909090909088</v>
      </c>
      <c r="O77" s="278">
        <f t="shared" si="52"/>
        <v>1150.2272727272725</v>
      </c>
      <c r="P77" s="504">
        <f t="shared" si="43"/>
        <v>1265.2499999999998</v>
      </c>
      <c r="Q77" s="278">
        <f t="shared" si="53"/>
        <v>1398.4272727272726</v>
      </c>
      <c r="R77" s="280">
        <f t="shared" si="54"/>
        <v>1538.27</v>
      </c>
      <c r="S77" s="277">
        <f>'Tariffs Jul2022'!AN71</f>
        <v>0</v>
      </c>
      <c r="T77" s="277">
        <f>'Tariffs Jul2022'!AO71</f>
        <v>0</v>
      </c>
      <c r="U77" s="277">
        <f>'Tariffs Jul2022'!AP71</f>
        <v>0</v>
      </c>
      <c r="V77" s="277">
        <f>'Tariffs Jul2022'!AQ71</f>
        <v>0</v>
      </c>
      <c r="W77" s="540" t="str">
        <f t="shared" si="44"/>
        <v>No discount</v>
      </c>
      <c r="X77" s="541" t="str">
        <f t="shared" si="45"/>
        <v>Exclusive</v>
      </c>
      <c r="Y77" s="543">
        <f t="shared" si="50"/>
        <v>1398.4272727272726</v>
      </c>
      <c r="Z77" s="544">
        <f t="shared" si="51"/>
        <v>1398.4272727272726</v>
      </c>
      <c r="AA77" s="545">
        <f t="shared" si="42"/>
        <v>1538.27</v>
      </c>
      <c r="AB77" s="545">
        <f t="shared" si="42"/>
        <v>1538.27</v>
      </c>
      <c r="AC77" s="282">
        <f>'Tariffs Jul2022'!AZ71</f>
        <v>0</v>
      </c>
      <c r="AD77" s="282" t="str">
        <f>'Tariffs Jul2022'!BA71</f>
        <v>n</v>
      </c>
      <c r="AE77" s="283" t="str">
        <f>'Tariffs Jul2022'!BJ71</f>
        <v>Y</v>
      </c>
      <c r="AF77" s="593"/>
      <c r="AG77" s="593"/>
      <c r="AH77" s="593"/>
      <c r="AI77" s="593"/>
      <c r="AJ77" s="593"/>
      <c r="AK77" s="593"/>
      <c r="AL77" s="593"/>
      <c r="AM77" s="593"/>
      <c r="AN77" s="593"/>
      <c r="AO77" s="593"/>
      <c r="AP77" s="593"/>
      <c r="AQ77" s="593"/>
      <c r="AR77" s="593"/>
      <c r="AS77" s="593"/>
      <c r="AT77" s="593"/>
      <c r="AU77" s="593"/>
      <c r="AV77" s="593"/>
      <c r="AW77" s="593"/>
    </row>
    <row r="78" spans="1:49" ht="15" thickTop="1" x14ac:dyDescent="0.15">
      <c r="A78" s="270" t="str">
        <f>'Tariffs Jul2022'!F72</f>
        <v>AGL</v>
      </c>
      <c r="B78" s="40" t="str">
        <f>'Tariffs Jul2022'!D72</f>
        <v>AusNet Services West</v>
      </c>
      <c r="C78" s="40" t="str">
        <f>'Tariffs Jul2022'!G72</f>
        <v>Value Saver</v>
      </c>
      <c r="D78" s="59">
        <f>365*'Tariffs Jul2022'!H72/100</f>
        <v>339.88136363636363</v>
      </c>
      <c r="E78" s="59">
        <f>IF($C$5*'Tariffs Jul2022'!AK72/'Tariffs Jul2022'!AI72&gt;='Tariffs Jul2022'!J72,( 'Tariffs Jul2022'!J72*'Tariffs Jul2022'!O72/100)* 'Tariffs Jul2022'!AI72,($C$5*'Tariffs Jul2022'!AK72/'Tariffs Jul2022'!AI72*'Tariffs Jul2022'!O72/100)* 'Tariffs Jul2022'!AI72)</f>
        <v>221.45454545454544</v>
      </c>
      <c r="F78" s="59">
        <f>IF($C$5*'Tariffs Jul2022'!AK72/'Tariffs Jul2022'!AI72&lt;'Tariffs Jul2022'!J72,0,IF($C$5*'Tariffs Jul2022'!AK72/'Tariffs Jul2022'!AI72&lt;='Tariffs Jul2022'!K72,($C$5*'Tariffs Jul2022'!AK72/'Tariffs Jul2022'!AI72-'Tariffs Jul2022'!J72)*('Tariffs Jul2022'!P72/100)*'Tariffs Jul2022'!AI72,('Tariffs Jul2022'!K72-'Tariffs Jul2022'!J72)*('Tariffs Jul2022'!P72/100)*'Tariffs Jul2022'!AI72))</f>
        <v>163.59818181818176</v>
      </c>
      <c r="G78" s="59">
        <f>IF($C$5*'Tariffs Jul2022'!AK72/'Tariffs Jul2022'!AI72&lt;'Tariffs Jul2022'!K72,0,IF($C$5*'Tariffs Jul2022'!AK72/'Tariffs Jul2022'!AI72&lt;='Tariffs Jul2022'!L72,($C$5*'Tariffs Jul2022'!AK72/'Tariffs Jul2022'!AI72-'Tariffs Jul2022'!K72)*('Tariffs Jul2022'!Q72/100)*'Tariffs Jul2022'!AI72,('Tariffs Jul2022'!L72-'Tariffs Jul2022'!K72)*('Tariffs Jul2022'!Q72/100)*'Tariffs Jul2022'!AI72))</f>
        <v>0</v>
      </c>
      <c r="H78" s="59">
        <f>IF($C$5*'Tariffs Jul2022'!AK72/'Tariffs Jul2022'!AI72&lt;'Tariffs Jul2022'!L72,0,IF($C$5*'Tariffs Jul2022'!AK72/'Tariffs Jul2022'!AI72&lt;='Tariffs Jul2022'!M72,($C$5*'Tariffs Jul2022'!AK72/'Tariffs Jul2022'!AI72-'Tariffs Jul2022'!L72)*('Tariffs Jul2022'!R72/100)*'Tariffs Jul2022'!AI72,('Tariffs Jul2022'!M72-'Tariffs Jul2022'!L72)*('Tariffs Jul2022'!R72/100)*'Tariffs Jul2022'!AI72))</f>
        <v>0</v>
      </c>
      <c r="I78" s="69">
        <f>IF(($C$5*'Tariffs Jul2022'!AK72/'Tariffs Jul2022'!AI72&gt;'Tariffs Jul2022'!M72),($C$5*'Tariffs Jul2022'!AK72/'Tariffs Jul2022'!AI72-'Tariffs Jul2022'!M72)*'Tariffs Jul2022'!S72/100*'Tariffs Jul2022'!AI72,0)</f>
        <v>0</v>
      </c>
      <c r="J78" s="69">
        <f>IF($C$5*'Tariffs Jul2022'!AL72/'Tariffs Jul2022'!AJ72&gt;='Tariffs Jul2022'!J72,('Tariffs Jul2022'!J72*'Tariffs Jul2022'!U72/100)* 'Tariffs Jul2022'!AJ72,($C$5*'Tariffs Jul2022'!AL72/'Tariffs Jul2022'!AJ72*'Tariffs Jul2022'!U72/100)* 'Tariffs Jul2022'!AJ72)</f>
        <v>405.81818181818181</v>
      </c>
      <c r="K78" s="69">
        <f>IF($C$5*'Tariffs Jul2022'!AL72/'Tariffs Jul2022'!AJ72&lt;'Tariffs Jul2022'!J72,0,IF($C$5*'Tariffs Jul2022'!AL72/'Tariffs Jul2022'!AJ72&lt;='Tariffs Jul2022'!K72,($C$5*'Tariffs Jul2022'!AL72/'Tariffs Jul2022'!AJ72-'Tariffs Jul2022'!J72)*('Tariffs Jul2022'!V72/100)*'Tariffs Jul2022'!AJ72,('Tariffs Jul2022'!K72-'Tariffs Jul2022'!J72)*('Tariffs Jul2022'!V72/100)*'Tariffs Jul2022'!AJ72))</f>
        <v>253.57718181818174</v>
      </c>
      <c r="L78" s="69">
        <f>IF($C$5*'Tariffs Jul2022'!AL72/'Tariffs Jul2022'!AJ72&lt;'Tariffs Jul2022'!K72,0,IF($C$5*'Tariffs Jul2022'!AL72/'Tariffs Jul2022'!AJ72&lt;='Tariffs Jul2022'!L72,($C$5*'Tariffs Jul2022'!AL72/'Tariffs Jul2022'!AJ72-'Tariffs Jul2022'!K72)*('Tariffs Jul2022'!W72/100)*'Tariffs Jul2022'!AJ72,('Tariffs Jul2022'!L72-'Tariffs Jul2022'!K72)*('Tariffs Jul2022'!W72/100)*'Tariffs Jul2022'!AJ72))</f>
        <v>0</v>
      </c>
      <c r="M78" s="69">
        <f>IF($C$5*'Tariffs Jul2022'!AL72/'Tariffs Jul2022'!AJ72&lt;'Tariffs Jul2022'!L72,0,IF($C$5*'Tariffs Jul2022'!AL72/'Tariffs Jul2022'!AJ72&lt;='Tariffs Jul2022'!M72,($C$5*'Tariffs Jul2022'!AL72/'Tariffs Jul2022'!AJ72-'Tariffs Jul2022'!L72)*('Tariffs Jul2022'!X72/100)*'Tariffs Jul2022'!AJ72,('Tariffs Jul2022'!M72-'Tariffs Jul2022'!L72)*('Tariffs Jul2022'!X72/100)*'Tariffs Jul2022'!AJ72))</f>
        <v>0</v>
      </c>
      <c r="N78" s="69">
        <f>IF(($C$5*'Tariffs Jul2022'!AL72/'Tariffs Jul2022'!AJ72&gt;'Tariffs Jul2022'!M72),($C$5*'Tariffs Jul2022'!AL72/'Tariffs Jul2022'!AJ72-'Tariffs Jul2022'!M72)*'Tariffs Jul2022'!Y72/100*'Tariffs Jul2022'!AJ72,0)</f>
        <v>0</v>
      </c>
      <c r="O78" s="59">
        <f t="shared" si="52"/>
        <v>1044.4480909090908</v>
      </c>
      <c r="P78" s="503">
        <f t="shared" si="43"/>
        <v>1148.8928999999998</v>
      </c>
      <c r="Q78" s="59">
        <f t="shared" si="53"/>
        <v>1384.3294545454544</v>
      </c>
      <c r="R78" s="272">
        <f t="shared" si="54"/>
        <v>1522.7623999999998</v>
      </c>
      <c r="S78" s="40">
        <f>'Tariffs Jul2022'!AN72</f>
        <v>0</v>
      </c>
      <c r="T78" s="40">
        <f>'Tariffs Jul2022'!AO72</f>
        <v>0</v>
      </c>
      <c r="U78" s="40">
        <f>'Tariffs Jul2022'!AP72</f>
        <v>0</v>
      </c>
      <c r="V78" s="40">
        <f>'Tariffs Jul2022'!AQ72</f>
        <v>0</v>
      </c>
      <c r="W78" s="537" t="str">
        <f t="shared" si="44"/>
        <v>No discount</v>
      </c>
      <c r="X78" s="538" t="str">
        <f t="shared" si="45"/>
        <v>Exclusive</v>
      </c>
      <c r="Y78" s="534">
        <f t="shared" si="50"/>
        <v>1384.3294545454544</v>
      </c>
      <c r="Z78" s="535">
        <f t="shared" si="51"/>
        <v>1384.3294545454544</v>
      </c>
      <c r="AA78" s="542">
        <f t="shared" ref="AA78:AB91" si="55">Y78*1.1</f>
        <v>1522.7623999999998</v>
      </c>
      <c r="AB78" s="542">
        <f t="shared" si="55"/>
        <v>1522.7623999999998</v>
      </c>
      <c r="AC78" s="274">
        <f>'Tariffs Jul2022'!AZ72</f>
        <v>0</v>
      </c>
      <c r="AD78" s="274" t="str">
        <f>'Tariffs Jul2022'!BA72</f>
        <v>n</v>
      </c>
      <c r="AE78" s="275" t="str">
        <f>'Tariffs Jul2022'!BJ72</f>
        <v>N</v>
      </c>
      <c r="AF78" s="593"/>
      <c r="AG78" s="593"/>
      <c r="AH78" s="593"/>
      <c r="AI78" s="593"/>
      <c r="AJ78" s="593"/>
      <c r="AK78" s="593"/>
      <c r="AL78" s="593"/>
      <c r="AM78" s="593"/>
      <c r="AN78" s="593"/>
      <c r="AO78" s="593"/>
      <c r="AP78" s="593"/>
      <c r="AQ78" s="593"/>
      <c r="AR78" s="593"/>
      <c r="AS78" s="593"/>
      <c r="AT78" s="593"/>
      <c r="AU78" s="593"/>
      <c r="AV78" s="593"/>
      <c r="AW78" s="593"/>
    </row>
    <row r="79" spans="1:49" ht="14" x14ac:dyDescent="0.15">
      <c r="A79" s="270" t="str">
        <f>'Tariffs Jul2022'!F73</f>
        <v>Alinta Energy</v>
      </c>
      <c r="B79" s="40" t="str">
        <f>'Tariffs Jul2022'!D73</f>
        <v>AusNet Services West</v>
      </c>
      <c r="C79" s="40" t="str">
        <f>'Tariffs Jul2022'!G73</f>
        <v>Home Deal</v>
      </c>
      <c r="D79" s="59">
        <f>365*'Tariffs Jul2022'!H73/100</f>
        <v>283.23999999999995</v>
      </c>
      <c r="E79" s="59">
        <f>IF($C$5*'Tariffs Jul2022'!AK73/'Tariffs Jul2022'!AI73&gt;='Tariffs Jul2022'!J73,( 'Tariffs Jul2022'!J73*'Tariffs Jul2022'!O73/100)* 'Tariffs Jul2022'!AI73,($C$5*'Tariffs Jul2022'!AK73/'Tariffs Jul2022'!AI73*'Tariffs Jul2022'!O73/100)* 'Tariffs Jul2022'!AI73)</f>
        <v>267.27272727272725</v>
      </c>
      <c r="F79" s="59">
        <f>IF($C$5*'Tariffs Jul2022'!AK73/'Tariffs Jul2022'!AI73&lt;'Tariffs Jul2022'!J73,0,IF($C$5*'Tariffs Jul2022'!AK73/'Tariffs Jul2022'!AI73&lt;='Tariffs Jul2022'!K73,($C$5*'Tariffs Jul2022'!AK73/'Tariffs Jul2022'!AI73-'Tariffs Jul2022'!J73)*('Tariffs Jul2022'!P73/100)*'Tariffs Jul2022'!AI73,('Tariffs Jul2022'!K73-'Tariffs Jul2022'!J73)*('Tariffs Jul2022'!P73/100)*'Tariffs Jul2022'!AI73))</f>
        <v>0</v>
      </c>
      <c r="G79" s="59">
        <f>IF($C$5*'Tariffs Jul2022'!AK73/'Tariffs Jul2022'!AI73&lt;'Tariffs Jul2022'!K73,0,IF($C$5*'Tariffs Jul2022'!AK73/'Tariffs Jul2022'!AI73&lt;='Tariffs Jul2022'!L73,($C$5*'Tariffs Jul2022'!AK73/'Tariffs Jul2022'!AI73-'Tariffs Jul2022'!K73)*('Tariffs Jul2022'!Q73/100)*'Tariffs Jul2022'!AI73,('Tariffs Jul2022'!L73-'Tariffs Jul2022'!K73)*('Tariffs Jul2022'!Q73/100)*'Tariffs Jul2022'!AI73))</f>
        <v>0</v>
      </c>
      <c r="H79" s="59">
        <f>IF($C$5*'Tariffs Jul2022'!AK73/'Tariffs Jul2022'!AI73&lt;'Tariffs Jul2022'!L73,0,IF($C$5*'Tariffs Jul2022'!AK73/'Tariffs Jul2022'!AI73&lt;='Tariffs Jul2022'!M73,($C$5*'Tariffs Jul2022'!AK73/'Tariffs Jul2022'!AI73-'Tariffs Jul2022'!L73)*('Tariffs Jul2022'!R73/100)*'Tariffs Jul2022'!AI73,('Tariffs Jul2022'!M73-'Tariffs Jul2022'!L73)*('Tariffs Jul2022'!R73/100)*'Tariffs Jul2022'!AI73))</f>
        <v>0</v>
      </c>
      <c r="I79" s="69">
        <f>IF(($C$5*'Tariffs Jul2022'!AK73/'Tariffs Jul2022'!AI73&gt;'Tariffs Jul2022'!M73),($C$5*'Tariffs Jul2022'!AK73/'Tariffs Jul2022'!AI73-'Tariffs Jul2022'!M73)*'Tariffs Jul2022'!S73/100*'Tariffs Jul2022'!AI73,0)</f>
        <v>183.22996363636361</v>
      </c>
      <c r="J79" s="69">
        <f>IF($C$5*'Tariffs Jul2022'!AL73/'Tariffs Jul2022'!AJ73&gt;='Tariffs Jul2022'!J73,('Tariffs Jul2022'!J73*'Tariffs Jul2022'!U73/100)* 'Tariffs Jul2022'!AJ73,($C$5*'Tariffs Jul2022'!AL73/'Tariffs Jul2022'!AJ73*'Tariffs Jul2022'!U73/100)* 'Tariffs Jul2022'!AJ73)</f>
        <v>469.09090909090907</v>
      </c>
      <c r="K79" s="69">
        <f>IF($C$5*'Tariffs Jul2022'!AL73/'Tariffs Jul2022'!AJ73&lt;'Tariffs Jul2022'!J73,0,IF($C$5*'Tariffs Jul2022'!AL73/'Tariffs Jul2022'!AJ73&lt;='Tariffs Jul2022'!K73,($C$5*'Tariffs Jul2022'!AL73/'Tariffs Jul2022'!AJ73-'Tariffs Jul2022'!J73)*('Tariffs Jul2022'!V73/100)*'Tariffs Jul2022'!AJ73,('Tariffs Jul2022'!K73-'Tariffs Jul2022'!J73)*('Tariffs Jul2022'!V73/100)*'Tariffs Jul2022'!AJ73))</f>
        <v>0</v>
      </c>
      <c r="L79" s="69">
        <f>IF($C$5*'Tariffs Jul2022'!AL73/'Tariffs Jul2022'!AJ73&lt;'Tariffs Jul2022'!K73,0,IF($C$5*'Tariffs Jul2022'!AL73/'Tariffs Jul2022'!AJ73&lt;='Tariffs Jul2022'!L73,($C$5*'Tariffs Jul2022'!AL73/'Tariffs Jul2022'!AJ73-'Tariffs Jul2022'!K73)*('Tariffs Jul2022'!W73/100)*'Tariffs Jul2022'!AJ73,('Tariffs Jul2022'!L73-'Tariffs Jul2022'!K73)*('Tariffs Jul2022'!W73/100)*'Tariffs Jul2022'!AJ73))</f>
        <v>0</v>
      </c>
      <c r="M79" s="69">
        <f>IF($C$5*'Tariffs Jul2022'!AL73/'Tariffs Jul2022'!AJ73&lt;'Tariffs Jul2022'!L73,0,IF($C$5*'Tariffs Jul2022'!AL73/'Tariffs Jul2022'!AJ73&lt;='Tariffs Jul2022'!M73,($C$5*'Tariffs Jul2022'!AL73/'Tariffs Jul2022'!AJ73-'Tariffs Jul2022'!L73)*('Tariffs Jul2022'!X73/100)*'Tariffs Jul2022'!AJ73,('Tariffs Jul2022'!M73-'Tariffs Jul2022'!L73)*('Tariffs Jul2022'!X73/100)*'Tariffs Jul2022'!AJ73))</f>
        <v>0</v>
      </c>
      <c r="N79" s="69">
        <f>IF(($C$5*'Tariffs Jul2022'!AL73/'Tariffs Jul2022'!AJ73&gt;'Tariffs Jul2022'!M73),($C$5*'Tariffs Jul2022'!AL73/'Tariffs Jul2022'!AJ73-'Tariffs Jul2022'!M73)*'Tariffs Jul2022'!Y73/100*'Tariffs Jul2022'!AJ73,0)</f>
        <v>284.66083636363629</v>
      </c>
      <c r="O79" s="59">
        <f t="shared" si="52"/>
        <v>1204.2544363636362</v>
      </c>
      <c r="P79" s="503">
        <f t="shared" si="43"/>
        <v>1324.6798799999999</v>
      </c>
      <c r="Q79" s="59">
        <f t="shared" si="53"/>
        <v>1487.4944363636362</v>
      </c>
      <c r="R79" s="272">
        <f t="shared" si="54"/>
        <v>1636.24388</v>
      </c>
      <c r="S79" s="40">
        <f>'Tariffs Jul2022'!AN73</f>
        <v>0</v>
      </c>
      <c r="T79" s="40">
        <f>'Tariffs Jul2022'!AO73</f>
        <v>0</v>
      </c>
      <c r="U79" s="40">
        <f>'Tariffs Jul2022'!AP73</f>
        <v>0</v>
      </c>
      <c r="V79" s="40">
        <f>'Tariffs Jul2022'!AQ73</f>
        <v>0</v>
      </c>
      <c r="W79" s="537" t="str">
        <f t="shared" si="44"/>
        <v>No discount</v>
      </c>
      <c r="X79" s="538" t="str">
        <f t="shared" si="45"/>
        <v>Exclusive</v>
      </c>
      <c r="Y79" s="534">
        <f t="shared" si="50"/>
        <v>1487.4944363636362</v>
      </c>
      <c r="Z79" s="535">
        <f t="shared" si="51"/>
        <v>1487.4944363636362</v>
      </c>
      <c r="AA79" s="542">
        <f t="shared" si="55"/>
        <v>1636.24388</v>
      </c>
      <c r="AB79" s="542">
        <f t="shared" si="55"/>
        <v>1636.24388</v>
      </c>
      <c r="AC79" s="274">
        <f>'Tariffs Jul2022'!AZ73</f>
        <v>0</v>
      </c>
      <c r="AD79" s="274" t="str">
        <f>'Tariffs Jul2022'!BA73</f>
        <v>n</v>
      </c>
      <c r="AE79" s="275" t="str">
        <f>'Tariffs Jul2022'!BJ73</f>
        <v>N</v>
      </c>
      <c r="AF79" s="593"/>
      <c r="AG79" s="593"/>
      <c r="AH79" s="593"/>
      <c r="AI79" s="593"/>
      <c r="AJ79" s="593"/>
      <c r="AK79" s="593"/>
      <c r="AL79" s="593"/>
      <c r="AM79" s="593"/>
      <c r="AN79" s="593"/>
      <c r="AO79" s="593"/>
      <c r="AP79" s="593"/>
      <c r="AQ79" s="593"/>
      <c r="AR79" s="593"/>
      <c r="AS79" s="593"/>
      <c r="AT79" s="593"/>
      <c r="AU79" s="593"/>
      <c r="AV79" s="593"/>
      <c r="AW79" s="593"/>
    </row>
    <row r="80" spans="1:49" ht="14" x14ac:dyDescent="0.15">
      <c r="A80" s="270" t="str">
        <f>'Tariffs Jul2022'!F74</f>
        <v>EnergyAustralia</v>
      </c>
      <c r="B80" s="40" t="str">
        <f>'Tariffs Jul2022'!D74</f>
        <v>AusNet Services West</v>
      </c>
      <c r="C80" s="40" t="str">
        <f>'Tariffs Jul2022'!G74</f>
        <v>Flexi Plan</v>
      </c>
      <c r="D80" s="59">
        <f>365*'Tariffs Jul2022'!H74/100</f>
        <v>378.50499999999994</v>
      </c>
      <c r="E80" s="59">
        <f>IF($C$5*'Tariffs Jul2022'!AK74/'Tariffs Jul2022'!AI74&gt;='Tariffs Jul2022'!J74,( 'Tariffs Jul2022'!J74*'Tariffs Jul2022'!O74/100)* 'Tariffs Jul2022'!AI74,($C$5*'Tariffs Jul2022'!AK74/'Tariffs Jul2022'!AI74*'Tariffs Jul2022'!O74/100)* 'Tariffs Jul2022'!AI74)</f>
        <v>309.81818181818181</v>
      </c>
      <c r="F80" s="59">
        <f>IF($C$5*'Tariffs Jul2022'!AK74/'Tariffs Jul2022'!AI74&lt;'Tariffs Jul2022'!J74,0,IF($C$5*'Tariffs Jul2022'!AK74/'Tariffs Jul2022'!AI74&lt;='Tariffs Jul2022'!K74,($C$5*'Tariffs Jul2022'!AK74/'Tariffs Jul2022'!AI74-'Tariffs Jul2022'!J74)*('Tariffs Jul2022'!P74/100)*'Tariffs Jul2022'!AI74,('Tariffs Jul2022'!K74-'Tariffs Jul2022'!J74)*('Tariffs Jul2022'!P74/100)*'Tariffs Jul2022'!AI74))</f>
        <v>213.49562727272721</v>
      </c>
      <c r="G80" s="59">
        <f>IF($C$5*'Tariffs Jul2022'!AK74/'Tariffs Jul2022'!AI74&lt;'Tariffs Jul2022'!K74,0,IF($C$5*'Tariffs Jul2022'!AK74/'Tariffs Jul2022'!AI74&lt;='Tariffs Jul2022'!L74,($C$5*'Tariffs Jul2022'!AK74/'Tariffs Jul2022'!AI74-'Tariffs Jul2022'!K74)*('Tariffs Jul2022'!Q74/100)*'Tariffs Jul2022'!AI74,('Tariffs Jul2022'!L74-'Tariffs Jul2022'!K74)*('Tariffs Jul2022'!Q74/100)*'Tariffs Jul2022'!AI74))</f>
        <v>0</v>
      </c>
      <c r="H80" s="59">
        <f>IF($C$5*'Tariffs Jul2022'!AK74/'Tariffs Jul2022'!AI74&lt;'Tariffs Jul2022'!L74,0,IF($C$5*'Tariffs Jul2022'!AK74/'Tariffs Jul2022'!AI74&lt;='Tariffs Jul2022'!M74,($C$5*'Tariffs Jul2022'!AK74/'Tariffs Jul2022'!AI74-'Tariffs Jul2022'!L74)*('Tariffs Jul2022'!R74/100)*'Tariffs Jul2022'!AI74,('Tariffs Jul2022'!M74-'Tariffs Jul2022'!L74)*('Tariffs Jul2022'!R74/100)*'Tariffs Jul2022'!AI74))</f>
        <v>0</v>
      </c>
      <c r="I80" s="69">
        <f>IF(($C$5*'Tariffs Jul2022'!AK74/'Tariffs Jul2022'!AI74&gt;'Tariffs Jul2022'!M74),($C$5*'Tariffs Jul2022'!AK74/'Tariffs Jul2022'!AI74-'Tariffs Jul2022'!M74)*'Tariffs Jul2022'!S74/100*'Tariffs Jul2022'!AI74,0)</f>
        <v>0</v>
      </c>
      <c r="J80" s="69">
        <f>IF($C$5*'Tariffs Jul2022'!AL74/'Tariffs Jul2022'!AJ74&gt;='Tariffs Jul2022'!J74,('Tariffs Jul2022'!J74*'Tariffs Jul2022'!U74/100)* 'Tariffs Jul2022'!AJ74,($C$5*'Tariffs Jul2022'!AL74/'Tariffs Jul2022'!AJ74*'Tariffs Jul2022'!U74/100)* 'Tariffs Jul2022'!AJ74)</f>
        <v>510.5454545454545</v>
      </c>
      <c r="K80" s="69">
        <f>IF($C$5*'Tariffs Jul2022'!AL74/'Tariffs Jul2022'!AJ74&lt;'Tariffs Jul2022'!J74,0,IF($C$5*'Tariffs Jul2022'!AL74/'Tariffs Jul2022'!AJ74&lt;='Tariffs Jul2022'!K74,($C$5*'Tariffs Jul2022'!AL74/'Tariffs Jul2022'!AJ74-'Tariffs Jul2022'!J74)*('Tariffs Jul2022'!V74/100)*'Tariffs Jul2022'!AJ74,('Tariffs Jul2022'!K74-'Tariffs Jul2022'!J74)*('Tariffs Jul2022'!V74/100)*'Tariffs Jul2022'!AJ74))</f>
        <v>379.5477818181817</v>
      </c>
      <c r="L80" s="69">
        <f>IF($C$5*'Tariffs Jul2022'!AL74/'Tariffs Jul2022'!AJ74&lt;'Tariffs Jul2022'!K74,0,IF($C$5*'Tariffs Jul2022'!AL74/'Tariffs Jul2022'!AJ74&lt;='Tariffs Jul2022'!L74,($C$5*'Tariffs Jul2022'!AL74/'Tariffs Jul2022'!AJ74-'Tariffs Jul2022'!K74)*('Tariffs Jul2022'!W74/100)*'Tariffs Jul2022'!AJ74,('Tariffs Jul2022'!L74-'Tariffs Jul2022'!K74)*('Tariffs Jul2022'!W74/100)*'Tariffs Jul2022'!AJ74))</f>
        <v>0</v>
      </c>
      <c r="M80" s="69">
        <f>IF($C$5*'Tariffs Jul2022'!AL74/'Tariffs Jul2022'!AJ74&lt;'Tariffs Jul2022'!L74,0,IF($C$5*'Tariffs Jul2022'!AL74/'Tariffs Jul2022'!AJ74&lt;='Tariffs Jul2022'!M74,($C$5*'Tariffs Jul2022'!AL74/'Tariffs Jul2022'!AJ74-'Tariffs Jul2022'!L74)*('Tariffs Jul2022'!X74/100)*'Tariffs Jul2022'!AJ74,('Tariffs Jul2022'!M74-'Tariffs Jul2022'!L74)*('Tariffs Jul2022'!X74/100)*'Tariffs Jul2022'!AJ74))</f>
        <v>0</v>
      </c>
      <c r="N80" s="69">
        <f>IF(($C$5*'Tariffs Jul2022'!AL74/'Tariffs Jul2022'!AJ74&gt;'Tariffs Jul2022'!M74),($C$5*'Tariffs Jul2022'!AL74/'Tariffs Jul2022'!AJ74-'Tariffs Jul2022'!M74)*'Tariffs Jul2022'!Y74/100*'Tariffs Jul2022'!AJ74,0)</f>
        <v>0</v>
      </c>
      <c r="O80" s="59">
        <f>SUM(E80:N80)</f>
        <v>1413.4070454545451</v>
      </c>
      <c r="P80" s="503">
        <f t="shared" si="43"/>
        <v>1554.7477499999998</v>
      </c>
      <c r="Q80" s="59">
        <f>D80+O80</f>
        <v>1791.912045454545</v>
      </c>
      <c r="R80" s="272">
        <f>Q80*1.1</f>
        <v>1971.1032499999997</v>
      </c>
      <c r="S80" s="40">
        <f>'Tariffs Jul2022'!AN74</f>
        <v>8</v>
      </c>
      <c r="T80" s="40">
        <f>'Tariffs Jul2022'!AO74</f>
        <v>0</v>
      </c>
      <c r="U80" s="40">
        <f>'Tariffs Jul2022'!AP74</f>
        <v>0</v>
      </c>
      <c r="V80" s="40">
        <f>'Tariffs Jul2022'!AQ74</f>
        <v>0</v>
      </c>
      <c r="W80" s="537" t="str">
        <f t="shared" si="44"/>
        <v>Guaranteed off bill</v>
      </c>
      <c r="X80" s="538" t="str">
        <f t="shared" si="45"/>
        <v>Exclusive</v>
      </c>
      <c r="Y80" s="534">
        <f t="shared" si="50"/>
        <v>1648.5590818181813</v>
      </c>
      <c r="Z80" s="535">
        <f t="shared" si="51"/>
        <v>1648.5590818181813</v>
      </c>
      <c r="AA80" s="542">
        <f t="shared" si="55"/>
        <v>1813.4149899999995</v>
      </c>
      <c r="AB80" s="542">
        <f t="shared" si="55"/>
        <v>1813.4149899999995</v>
      </c>
      <c r="AC80" s="274">
        <f>'Tariffs Jul2022'!AZ74</f>
        <v>12</v>
      </c>
      <c r="AD80" s="274" t="str">
        <f>'Tariffs Jul2022'!BA74</f>
        <v>n</v>
      </c>
      <c r="AE80" s="275" t="str">
        <f>'Tariffs Jul2022'!BJ74</f>
        <v>N</v>
      </c>
      <c r="AF80" s="593"/>
      <c r="AG80" s="593"/>
      <c r="AH80" s="593"/>
      <c r="AI80" s="593"/>
      <c r="AJ80" s="593"/>
      <c r="AK80" s="593"/>
      <c r="AL80" s="593"/>
      <c r="AM80" s="593"/>
      <c r="AN80" s="593"/>
      <c r="AO80" s="593"/>
      <c r="AP80" s="593"/>
      <c r="AQ80" s="593"/>
      <c r="AR80" s="593"/>
      <c r="AS80" s="593"/>
      <c r="AT80" s="593"/>
      <c r="AU80" s="593"/>
      <c r="AV80" s="593"/>
      <c r="AW80" s="593"/>
    </row>
    <row r="81" spans="1:49" ht="14" x14ac:dyDescent="0.15">
      <c r="A81" s="270" t="str">
        <f>'Tariffs Jul2022'!F75</f>
        <v>Lumo Energy</v>
      </c>
      <c r="B81" s="40" t="str">
        <f>'Tariffs Jul2022'!D75</f>
        <v>AusNet Services West</v>
      </c>
      <c r="C81" s="40" t="str">
        <f>'Tariffs Jul2022'!G75</f>
        <v>Value</v>
      </c>
      <c r="D81" s="59">
        <f>365*'Tariffs Jul2022'!H75/100</f>
        <v>322.85909090909087</v>
      </c>
      <c r="E81" s="59">
        <f>IF($C$5*'Tariffs Jul2022'!AK75/'Tariffs Jul2022'!AI75&gt;='Tariffs Jul2022'!J75,( 'Tariffs Jul2022'!J75*'Tariffs Jul2022'!O75/100)* 'Tariffs Jul2022'!AI75,($C$5*'Tariffs Jul2022'!AK75/'Tariffs Jul2022'!AI75*'Tariffs Jul2022'!O75/100)* 'Tariffs Jul2022'!AI75)</f>
        <v>232.36363636363632</v>
      </c>
      <c r="F81" s="59">
        <f>IF($C$5*'Tariffs Jul2022'!AK75/'Tariffs Jul2022'!AI75&lt;'Tariffs Jul2022'!J75,0,IF($C$5*'Tariffs Jul2022'!AK75/'Tariffs Jul2022'!AI75&lt;='Tariffs Jul2022'!K75,($C$5*'Tariffs Jul2022'!AK75/'Tariffs Jul2022'!AI75-'Tariffs Jul2022'!J75)*('Tariffs Jul2022'!P75/100)*'Tariffs Jul2022'!AI75,('Tariffs Jul2022'!K75-'Tariffs Jul2022'!J75)*('Tariffs Jul2022'!P75/100)*'Tariffs Jul2022'!AI75))</f>
        <v>163.59818181818176</v>
      </c>
      <c r="G81" s="59">
        <f>IF($C$5*'Tariffs Jul2022'!AK75/'Tariffs Jul2022'!AI75&lt;'Tariffs Jul2022'!K75,0,IF($C$5*'Tariffs Jul2022'!AK75/'Tariffs Jul2022'!AI75&lt;='Tariffs Jul2022'!L75,($C$5*'Tariffs Jul2022'!AK75/'Tariffs Jul2022'!AI75-'Tariffs Jul2022'!K75)*('Tariffs Jul2022'!Q75/100)*'Tariffs Jul2022'!AI75,('Tariffs Jul2022'!L75-'Tariffs Jul2022'!K75)*('Tariffs Jul2022'!Q75/100)*'Tariffs Jul2022'!AI75))</f>
        <v>0</v>
      </c>
      <c r="H81" s="59">
        <f>IF($C$5*'Tariffs Jul2022'!AK75/'Tariffs Jul2022'!AI75&lt;'Tariffs Jul2022'!L75,0,IF($C$5*'Tariffs Jul2022'!AK75/'Tariffs Jul2022'!AI75&lt;='Tariffs Jul2022'!M75,($C$5*'Tariffs Jul2022'!AK75/'Tariffs Jul2022'!AI75-'Tariffs Jul2022'!L75)*('Tariffs Jul2022'!R75/100)*'Tariffs Jul2022'!AI75,('Tariffs Jul2022'!M75-'Tariffs Jul2022'!L75)*('Tariffs Jul2022'!R75/100)*'Tariffs Jul2022'!AI75))</f>
        <v>0</v>
      </c>
      <c r="I81" s="69">
        <f>IF(($C$5*'Tariffs Jul2022'!AK75/'Tariffs Jul2022'!AI75&gt;'Tariffs Jul2022'!M75),($C$5*'Tariffs Jul2022'!AK75/'Tariffs Jul2022'!AI75-'Tariffs Jul2022'!M75)*'Tariffs Jul2022'!S75/100*'Tariffs Jul2022'!AI75,0)</f>
        <v>0</v>
      </c>
      <c r="J81" s="69">
        <f>IF($C$5*'Tariffs Jul2022'!AL75/'Tariffs Jul2022'!AJ75&gt;='Tariffs Jul2022'!J75,('Tariffs Jul2022'!J75*'Tariffs Jul2022'!U75/100)* 'Tariffs Jul2022'!AJ75,($C$5*'Tariffs Jul2022'!AL75/'Tariffs Jul2022'!AJ75*'Tariffs Jul2022'!U75/100)* 'Tariffs Jul2022'!AJ75)</f>
        <v>436.36363636363632</v>
      </c>
      <c r="K81" s="69">
        <f>IF($C$5*'Tariffs Jul2022'!AL75/'Tariffs Jul2022'!AJ75&lt;'Tariffs Jul2022'!J75,0,IF($C$5*'Tariffs Jul2022'!AL75/'Tariffs Jul2022'!AJ75&lt;='Tariffs Jul2022'!K75,($C$5*'Tariffs Jul2022'!AL75/'Tariffs Jul2022'!AJ75-'Tariffs Jul2022'!J75)*('Tariffs Jul2022'!V75/100)*'Tariffs Jul2022'!AJ75,('Tariffs Jul2022'!K75-'Tariffs Jul2022'!J75)*('Tariffs Jul2022'!V75/100)*'Tariffs Jul2022'!AJ75))</f>
        <v>297.74869090909078</v>
      </c>
      <c r="L81" s="69">
        <f>IF($C$5*'Tariffs Jul2022'!AL75/'Tariffs Jul2022'!AJ75&lt;'Tariffs Jul2022'!K75,0,IF($C$5*'Tariffs Jul2022'!AL75/'Tariffs Jul2022'!AJ75&lt;='Tariffs Jul2022'!L75,($C$5*'Tariffs Jul2022'!AL75/'Tariffs Jul2022'!AJ75-'Tariffs Jul2022'!K75)*('Tariffs Jul2022'!W75/100)*'Tariffs Jul2022'!AJ75,('Tariffs Jul2022'!L75-'Tariffs Jul2022'!K75)*('Tariffs Jul2022'!W75/100)*'Tariffs Jul2022'!AJ75))</f>
        <v>0</v>
      </c>
      <c r="M81" s="69">
        <f>IF($C$5*'Tariffs Jul2022'!AL75/'Tariffs Jul2022'!AJ75&lt;'Tariffs Jul2022'!L75,0,IF($C$5*'Tariffs Jul2022'!AL75/'Tariffs Jul2022'!AJ75&lt;='Tariffs Jul2022'!M75,($C$5*'Tariffs Jul2022'!AL75/'Tariffs Jul2022'!AJ75-'Tariffs Jul2022'!L75)*('Tariffs Jul2022'!X75/100)*'Tariffs Jul2022'!AJ75,('Tariffs Jul2022'!M75-'Tariffs Jul2022'!L75)*('Tariffs Jul2022'!X75/100)*'Tariffs Jul2022'!AJ75))</f>
        <v>0</v>
      </c>
      <c r="N81" s="69">
        <f>IF(($C$5*'Tariffs Jul2022'!AL75/'Tariffs Jul2022'!AJ75&gt;'Tariffs Jul2022'!M75),($C$5*'Tariffs Jul2022'!AL75/'Tariffs Jul2022'!AJ75-'Tariffs Jul2022'!M75)*'Tariffs Jul2022'!Y75/100*'Tariffs Jul2022'!AJ75,0)</f>
        <v>0</v>
      </c>
      <c r="O81" s="59">
        <f t="shared" si="52"/>
        <v>1130.0741454545453</v>
      </c>
      <c r="P81" s="503">
        <f t="shared" si="43"/>
        <v>1243.0815599999999</v>
      </c>
      <c r="Q81" s="59">
        <f t="shared" si="53"/>
        <v>1452.9332363636361</v>
      </c>
      <c r="R81" s="272">
        <f t="shared" si="54"/>
        <v>1598.2265599999998</v>
      </c>
      <c r="S81" s="40">
        <f>'Tariffs Jul2022'!AN75</f>
        <v>0</v>
      </c>
      <c r="T81" s="40">
        <f>'Tariffs Jul2022'!AO75</f>
        <v>0</v>
      </c>
      <c r="U81" s="40">
        <f>'Tariffs Jul2022'!AP75</f>
        <v>0</v>
      </c>
      <c r="V81" s="40">
        <f>'Tariffs Jul2022'!AQ75</f>
        <v>0</v>
      </c>
      <c r="W81" s="537" t="str">
        <f t="shared" si="44"/>
        <v>No discount</v>
      </c>
      <c r="X81" s="538" t="str">
        <f t="shared" si="45"/>
        <v>Exclusive</v>
      </c>
      <c r="Y81" s="534">
        <f t="shared" si="50"/>
        <v>1452.9332363636361</v>
      </c>
      <c r="Z81" s="535">
        <f t="shared" si="51"/>
        <v>1452.9332363636361</v>
      </c>
      <c r="AA81" s="542">
        <f t="shared" si="55"/>
        <v>1598.2265599999998</v>
      </c>
      <c r="AB81" s="542">
        <f t="shared" si="55"/>
        <v>1598.2265599999998</v>
      </c>
      <c r="AC81" s="274">
        <f>'Tariffs Jul2022'!AZ75</f>
        <v>0</v>
      </c>
      <c r="AD81" s="274" t="str">
        <f>'Tariffs Jul2022'!BA75</f>
        <v>n</v>
      </c>
      <c r="AE81" s="275" t="str">
        <f>'Tariffs Jul2022'!BJ75</f>
        <v>N</v>
      </c>
      <c r="AF81" s="593"/>
      <c r="AG81" s="593"/>
      <c r="AH81" s="593"/>
      <c r="AI81" s="593"/>
      <c r="AJ81" s="593"/>
      <c r="AK81" s="593"/>
      <c r="AL81" s="593"/>
      <c r="AM81" s="593"/>
      <c r="AN81" s="593"/>
      <c r="AO81" s="593"/>
      <c r="AP81" s="593"/>
      <c r="AQ81" s="593"/>
      <c r="AR81" s="593"/>
      <c r="AS81" s="593"/>
      <c r="AT81" s="593"/>
      <c r="AU81" s="593"/>
      <c r="AV81" s="593"/>
      <c r="AW81" s="593"/>
    </row>
    <row r="82" spans="1:49" ht="14" x14ac:dyDescent="0.15">
      <c r="A82" s="270" t="str">
        <f>'Tariffs Jul2022'!F76</f>
        <v>Origin Energy</v>
      </c>
      <c r="B82" s="40" t="str">
        <f>'Tariffs Jul2022'!D76</f>
        <v>AusNet Services West</v>
      </c>
      <c r="C82" s="40" t="str">
        <f>'Tariffs Jul2022'!G76</f>
        <v>Go Variable</v>
      </c>
      <c r="D82" s="59">
        <f>365*'Tariffs Jul2022'!H76/100</f>
        <v>299.9636363636364</v>
      </c>
      <c r="E82" s="59">
        <f>((C$5*'Tariffs Jul2022'!AK76/'Tariffs Jul2022'!AI76)*('Tariffs Jul2022'!O76/100))*'Tariffs Jul2022'!AI76</f>
        <v>652.90909090909076</v>
      </c>
      <c r="F82" s="59">
        <v>0</v>
      </c>
      <c r="G82" s="59">
        <v>0</v>
      </c>
      <c r="H82" s="59">
        <v>0</v>
      </c>
      <c r="I82" s="69">
        <v>0</v>
      </c>
      <c r="J82" s="69">
        <f>((C$5*'Tariffs Jul2022'!AL76/'Tariffs Jul2022'!AJ76)*('Tariffs Jul2022'!U76/100))*'Tariffs Jul2022'!AJ76</f>
        <v>652.90909090909076</v>
      </c>
      <c r="K82" s="69">
        <v>0</v>
      </c>
      <c r="L82" s="69">
        <v>0</v>
      </c>
      <c r="M82" s="69">
        <v>0</v>
      </c>
      <c r="N82" s="69">
        <v>0</v>
      </c>
      <c r="O82" s="59">
        <f t="shared" si="52"/>
        <v>1305.8181818181815</v>
      </c>
      <c r="P82" s="503">
        <f t="shared" si="43"/>
        <v>1436.3999999999999</v>
      </c>
      <c r="Q82" s="59">
        <f t="shared" si="53"/>
        <v>1605.7818181818179</v>
      </c>
      <c r="R82" s="272">
        <f t="shared" si="54"/>
        <v>1766.36</v>
      </c>
      <c r="S82" s="40">
        <f>'Tariffs Jul2022'!AN76</f>
        <v>0</v>
      </c>
      <c r="T82" s="40">
        <f>'Tariffs Jul2022'!AO76</f>
        <v>0</v>
      </c>
      <c r="U82" s="40">
        <f>'Tariffs Jul2022'!AP76</f>
        <v>0</v>
      </c>
      <c r="V82" s="40">
        <f>'Tariffs Jul2022'!AQ76</f>
        <v>0</v>
      </c>
      <c r="W82" s="537" t="str">
        <f t="shared" si="44"/>
        <v>No discount</v>
      </c>
      <c r="X82" s="538" t="str">
        <f t="shared" si="45"/>
        <v>Inclusive</v>
      </c>
      <c r="Y82" s="534">
        <f t="shared" si="50"/>
        <v>1605.7818181818179</v>
      </c>
      <c r="Z82" s="535">
        <f t="shared" si="51"/>
        <v>1605.7818181818179</v>
      </c>
      <c r="AA82" s="542">
        <f t="shared" si="55"/>
        <v>1766.36</v>
      </c>
      <c r="AB82" s="542">
        <f t="shared" si="55"/>
        <v>1766.36</v>
      </c>
      <c r="AC82" s="274">
        <f>'Tariffs Jul2022'!AZ76</f>
        <v>0</v>
      </c>
      <c r="AD82" s="274" t="str">
        <f>'Tariffs Jul2022'!BA76</f>
        <v>n</v>
      </c>
      <c r="AE82" s="275" t="str">
        <f>'Tariffs Jul2022'!BJ76</f>
        <v>N</v>
      </c>
      <c r="AF82" s="593"/>
      <c r="AG82" s="593"/>
      <c r="AH82" s="593"/>
      <c r="AI82" s="593"/>
      <c r="AJ82" s="593"/>
      <c r="AK82" s="593"/>
      <c r="AL82" s="593"/>
      <c r="AM82" s="593"/>
      <c r="AN82" s="593"/>
      <c r="AO82" s="593"/>
      <c r="AP82" s="593"/>
      <c r="AQ82" s="593"/>
      <c r="AR82" s="593"/>
      <c r="AS82" s="593"/>
      <c r="AT82" s="593"/>
      <c r="AU82" s="593"/>
      <c r="AV82" s="593"/>
      <c r="AW82" s="593"/>
    </row>
    <row r="83" spans="1:49" ht="14" x14ac:dyDescent="0.15">
      <c r="A83" s="270" t="str">
        <f>'Tariffs Jul2022'!F77</f>
        <v>Red Energy</v>
      </c>
      <c r="B83" s="40" t="str">
        <f>'Tariffs Jul2022'!D77</f>
        <v>AusNet Services West</v>
      </c>
      <c r="C83" s="40" t="str">
        <f>'Tariffs Jul2022'!G77</f>
        <v>Living Energy Saver</v>
      </c>
      <c r="D83" s="59">
        <f>365*'Tariffs Jul2022'!H77/100</f>
        <v>333.97500000000002</v>
      </c>
      <c r="E83" s="59">
        <f>IF($C$5*'Tariffs Jul2022'!AK77/'Tariffs Jul2022'!AI77&gt;='Tariffs Jul2022'!J77,( 'Tariffs Jul2022'!J77*'Tariffs Jul2022'!O77/100)* 'Tariffs Jul2022'!AI77,($C$5*'Tariffs Jul2022'!AK77/'Tariffs Jul2022'!AI77*'Tariffs Jul2022'!O77/100)* 'Tariffs Jul2022'!AI77)</f>
        <v>235.63636363636363</v>
      </c>
      <c r="F83" s="59">
        <f>IF($C$5*'Tariffs Jul2022'!AK77/'Tariffs Jul2022'!AI77&lt;'Tariffs Jul2022'!J77,0,IF($C$5*'Tariffs Jul2022'!AK77/'Tariffs Jul2022'!AI77&lt;='Tariffs Jul2022'!K77,($C$5*'Tariffs Jul2022'!AK77/'Tariffs Jul2022'!AI77-'Tariffs Jul2022'!J77)*('Tariffs Jul2022'!P77/100)*'Tariffs Jul2022'!AI77,('Tariffs Jul2022'!K77-'Tariffs Jul2022'!J77)*('Tariffs Jul2022'!P77/100)*'Tariffs Jul2022'!AI77))</f>
        <v>169.32411818181814</v>
      </c>
      <c r="G83" s="59">
        <f>IF($C$5*'Tariffs Jul2022'!AK77/'Tariffs Jul2022'!AI77&lt;'Tariffs Jul2022'!K77,0,IF($C$5*'Tariffs Jul2022'!AK77/'Tariffs Jul2022'!AI77&lt;='Tariffs Jul2022'!L77,($C$5*'Tariffs Jul2022'!AK77/'Tariffs Jul2022'!AI77-'Tariffs Jul2022'!K77)*('Tariffs Jul2022'!Q77/100)*'Tariffs Jul2022'!AI77,('Tariffs Jul2022'!L77-'Tariffs Jul2022'!K77)*('Tariffs Jul2022'!Q77/100)*'Tariffs Jul2022'!AI77))</f>
        <v>0</v>
      </c>
      <c r="H83" s="59">
        <f>IF($C$5*'Tariffs Jul2022'!AK77/'Tariffs Jul2022'!AI77&lt;'Tariffs Jul2022'!L77,0,IF($C$5*'Tariffs Jul2022'!AK77/'Tariffs Jul2022'!AI77&lt;='Tariffs Jul2022'!M77,($C$5*'Tariffs Jul2022'!AK77/'Tariffs Jul2022'!AI77-'Tariffs Jul2022'!L77)*('Tariffs Jul2022'!R77/100)*'Tariffs Jul2022'!AI77,('Tariffs Jul2022'!M77-'Tariffs Jul2022'!L77)*('Tariffs Jul2022'!R77/100)*'Tariffs Jul2022'!AI77))</f>
        <v>0</v>
      </c>
      <c r="I83" s="69">
        <f>IF(($C$5*'Tariffs Jul2022'!AK77/'Tariffs Jul2022'!AI77&gt;'Tariffs Jul2022'!M77),($C$5*'Tariffs Jul2022'!AK77/'Tariffs Jul2022'!AI77-'Tariffs Jul2022'!M77)*'Tariffs Jul2022'!S77/100*'Tariffs Jul2022'!AI77,0)</f>
        <v>0</v>
      </c>
      <c r="J83" s="69">
        <f>IF($C$5*'Tariffs Jul2022'!AL77/'Tariffs Jul2022'!AJ77&gt;='Tariffs Jul2022'!J77,('Tariffs Jul2022'!J77*'Tariffs Jul2022'!U77/100)* 'Tariffs Jul2022'!AJ77,($C$5*'Tariffs Jul2022'!AL77/'Tariffs Jul2022'!AJ77*'Tariffs Jul2022'!U77/100)* 'Tariffs Jul2022'!AJ77)</f>
        <v>451.63636363636363</v>
      </c>
      <c r="K83" s="69">
        <f>IF($C$5*'Tariffs Jul2022'!AL77/'Tariffs Jul2022'!AJ77&lt;'Tariffs Jul2022'!J77,0,IF($C$5*'Tariffs Jul2022'!AL77/'Tariffs Jul2022'!AJ77&lt;='Tariffs Jul2022'!K77,($C$5*'Tariffs Jul2022'!AL77/'Tariffs Jul2022'!AJ77-'Tariffs Jul2022'!J77)*('Tariffs Jul2022'!V77/100)*'Tariffs Jul2022'!AJ77,('Tariffs Jul2022'!K77-'Tariffs Jul2022'!J77)*('Tariffs Jul2022'!V77/100)*'Tariffs Jul2022'!AJ77))</f>
        <v>323.92439999999988</v>
      </c>
      <c r="L83" s="69">
        <f>IF($C$5*'Tariffs Jul2022'!AL77/'Tariffs Jul2022'!AJ77&lt;'Tariffs Jul2022'!K77,0,IF($C$5*'Tariffs Jul2022'!AL77/'Tariffs Jul2022'!AJ77&lt;='Tariffs Jul2022'!L77,($C$5*'Tariffs Jul2022'!AL77/'Tariffs Jul2022'!AJ77-'Tariffs Jul2022'!K77)*('Tariffs Jul2022'!W77/100)*'Tariffs Jul2022'!AJ77,('Tariffs Jul2022'!L77-'Tariffs Jul2022'!K77)*('Tariffs Jul2022'!W77/100)*'Tariffs Jul2022'!AJ77))</f>
        <v>0</v>
      </c>
      <c r="M83" s="69">
        <f>IF($C$5*'Tariffs Jul2022'!AL77/'Tariffs Jul2022'!AJ77&lt;'Tariffs Jul2022'!L77,0,IF($C$5*'Tariffs Jul2022'!AL77/'Tariffs Jul2022'!AJ77&lt;='Tariffs Jul2022'!M77,($C$5*'Tariffs Jul2022'!AL77/'Tariffs Jul2022'!AJ77-'Tariffs Jul2022'!L77)*('Tariffs Jul2022'!X77/100)*'Tariffs Jul2022'!AJ77,('Tariffs Jul2022'!M77-'Tariffs Jul2022'!L77)*('Tariffs Jul2022'!X77/100)*'Tariffs Jul2022'!AJ77))</f>
        <v>0</v>
      </c>
      <c r="N83" s="69">
        <f>IF(($C$5*'Tariffs Jul2022'!AL77/'Tariffs Jul2022'!AJ77&gt;'Tariffs Jul2022'!M77),($C$5*'Tariffs Jul2022'!AL77/'Tariffs Jul2022'!AJ77-'Tariffs Jul2022'!M77)*'Tariffs Jul2022'!Y77/100*'Tariffs Jul2022'!AJ77,0)</f>
        <v>0</v>
      </c>
      <c r="O83" s="59">
        <f t="shared" si="52"/>
        <v>1180.5212454545454</v>
      </c>
      <c r="P83" s="503">
        <f t="shared" si="43"/>
        <v>1298.5733700000001</v>
      </c>
      <c r="Q83" s="59">
        <f t="shared" si="53"/>
        <v>1514.4962454545453</v>
      </c>
      <c r="R83" s="272">
        <f t="shared" si="54"/>
        <v>1665.94587</v>
      </c>
      <c r="S83" s="40">
        <f>'Tariffs Jul2022'!AN77</f>
        <v>0</v>
      </c>
      <c r="T83" s="40">
        <f>'Tariffs Jul2022'!AO77</f>
        <v>0</v>
      </c>
      <c r="U83" s="40">
        <f>'Tariffs Jul2022'!AP77</f>
        <v>0</v>
      </c>
      <c r="V83" s="40">
        <f>'Tariffs Jul2022'!AQ77</f>
        <v>0</v>
      </c>
      <c r="W83" s="537" t="str">
        <f t="shared" si="44"/>
        <v>No discount</v>
      </c>
      <c r="X83" s="538" t="str">
        <f t="shared" si="45"/>
        <v>Inclusive</v>
      </c>
      <c r="Y83" s="534">
        <f t="shared" si="50"/>
        <v>1514.4962454545453</v>
      </c>
      <c r="Z83" s="535">
        <f t="shared" si="51"/>
        <v>1514.4962454545453</v>
      </c>
      <c r="AA83" s="542">
        <f t="shared" si="55"/>
        <v>1665.94587</v>
      </c>
      <c r="AB83" s="542">
        <f t="shared" si="55"/>
        <v>1665.94587</v>
      </c>
      <c r="AC83" s="274">
        <f>'Tariffs Jul2022'!AZ77</f>
        <v>0</v>
      </c>
      <c r="AD83" s="274" t="str">
        <f>'Tariffs Jul2022'!BA77</f>
        <v>n</v>
      </c>
      <c r="AE83" s="275" t="str">
        <f>'Tariffs Jul2022'!BJ77</f>
        <v>N</v>
      </c>
      <c r="AF83" s="593"/>
      <c r="AG83" s="593"/>
      <c r="AH83" s="593"/>
      <c r="AI83" s="593"/>
      <c r="AJ83" s="593"/>
      <c r="AK83" s="593"/>
      <c r="AL83" s="593"/>
      <c r="AM83" s="593"/>
      <c r="AN83" s="593"/>
      <c r="AO83" s="593"/>
      <c r="AP83" s="593"/>
      <c r="AQ83" s="593"/>
      <c r="AR83" s="593"/>
      <c r="AS83" s="593"/>
      <c r="AT83" s="593"/>
      <c r="AU83" s="593"/>
      <c r="AV83" s="593"/>
      <c r="AW83" s="593"/>
    </row>
    <row r="84" spans="1:49" ht="14" x14ac:dyDescent="0.15">
      <c r="A84" s="270" t="str">
        <f>'Tariffs Jul2022'!F78</f>
        <v>Simply Energy</v>
      </c>
      <c r="B84" s="40" t="str">
        <f>'Tariffs Jul2022'!D78</f>
        <v>AusNet Services West</v>
      </c>
      <c r="C84" s="40" t="str">
        <f>'Tariffs Jul2022'!G78</f>
        <v>Basics</v>
      </c>
      <c r="D84" s="59">
        <f>365*'Tariffs Jul2022'!H78/100</f>
        <v>319.93909090909091</v>
      </c>
      <c r="E84" s="59">
        <f>IF($C$5*'Tariffs Jul2022'!AK78/'Tariffs Jul2022'!AI78&gt;='Tariffs Jul2022'!J78,( 'Tariffs Jul2022'!J78*'Tariffs Jul2022'!O78/100)* 'Tariffs Jul2022'!AI78,($C$5*'Tariffs Jul2022'!AK78/'Tariffs Jul2022'!AI78*'Tariffs Jul2022'!O78/100)* 'Tariffs Jul2022'!AI78)</f>
        <v>352.36363636363632</v>
      </c>
      <c r="F84" s="59">
        <f>IF($C$5*'Tariffs Jul2022'!AK78/'Tariffs Jul2022'!AI78&lt;'Tariffs Jul2022'!J78,0,IF($C$5*'Tariffs Jul2022'!AK78/'Tariffs Jul2022'!AI78&lt;='Tariffs Jul2022'!K78,($C$5*'Tariffs Jul2022'!AK78/'Tariffs Jul2022'!AI78-'Tariffs Jul2022'!J78)*('Tariffs Jul2022'!P78/100)*'Tariffs Jul2022'!AI78,('Tariffs Jul2022'!K78-'Tariffs Jul2022'!J78)*('Tariffs Jul2022'!P78/100)*'Tariffs Jul2022'!AI78))</f>
        <v>260.93909999999994</v>
      </c>
      <c r="G84" s="59">
        <f>IF($C$5*'Tariffs Jul2022'!AK78/'Tariffs Jul2022'!AI78&lt;'Tariffs Jul2022'!K78,0,IF($C$5*'Tariffs Jul2022'!AK78/'Tariffs Jul2022'!AI78&lt;='Tariffs Jul2022'!L78,($C$5*'Tariffs Jul2022'!AK78/'Tariffs Jul2022'!AI78-'Tariffs Jul2022'!K78)*('Tariffs Jul2022'!Q78/100)*'Tariffs Jul2022'!AI78,('Tariffs Jul2022'!L78-'Tariffs Jul2022'!K78)*('Tariffs Jul2022'!Q78/100)*'Tariffs Jul2022'!AI78))</f>
        <v>0</v>
      </c>
      <c r="H84" s="59">
        <f>IF($C$5*'Tariffs Jul2022'!AK78/'Tariffs Jul2022'!AI78&lt;'Tariffs Jul2022'!L78,0,IF($C$5*'Tariffs Jul2022'!AK78/'Tariffs Jul2022'!AI78&lt;='Tariffs Jul2022'!M78,($C$5*'Tariffs Jul2022'!AK78/'Tariffs Jul2022'!AI78-'Tariffs Jul2022'!L78)*('Tariffs Jul2022'!R78/100)*'Tariffs Jul2022'!AI78,('Tariffs Jul2022'!M78-'Tariffs Jul2022'!L78)*('Tariffs Jul2022'!R78/100)*'Tariffs Jul2022'!AI78))</f>
        <v>0</v>
      </c>
      <c r="I84" s="69">
        <f>IF(($C$5*'Tariffs Jul2022'!AK78/'Tariffs Jul2022'!AI78&gt;'Tariffs Jul2022'!M78),($C$5*'Tariffs Jul2022'!AK78/'Tariffs Jul2022'!AI78-'Tariffs Jul2022'!M78)*'Tariffs Jul2022'!S78/100*'Tariffs Jul2022'!AI78,0)</f>
        <v>0</v>
      </c>
      <c r="J84" s="69">
        <f>IF($C$5*'Tariffs Jul2022'!AL78/'Tariffs Jul2022'!AJ78&gt;='Tariffs Jul2022'!J78,('Tariffs Jul2022'!J78*'Tariffs Jul2022'!U78/100)* 'Tariffs Jul2022'!AJ78,($C$5*'Tariffs Jul2022'!AL78/'Tariffs Jul2022'!AJ78*'Tariffs Jul2022'!U78/100)* 'Tariffs Jul2022'!AJ78)</f>
        <v>576</v>
      </c>
      <c r="K84" s="69">
        <f>IF($C$5*'Tariffs Jul2022'!AL78/'Tariffs Jul2022'!AJ78&lt;'Tariffs Jul2022'!J78,0,IF($C$5*'Tariffs Jul2022'!AL78/'Tariffs Jul2022'!AJ78&lt;='Tariffs Jul2022'!K78,($C$5*'Tariffs Jul2022'!AL78/'Tariffs Jul2022'!AJ78-'Tariffs Jul2022'!J78)*('Tariffs Jul2022'!V78/100)*'Tariffs Jul2022'!AJ78,('Tariffs Jul2022'!K78-'Tariffs Jul2022'!J78)*('Tariffs Jul2022'!V78/100)*'Tariffs Jul2022'!AJ78))</f>
        <v>423.71929090909072</v>
      </c>
      <c r="L84" s="69">
        <f>IF($C$5*'Tariffs Jul2022'!AL78/'Tariffs Jul2022'!AJ78&lt;'Tariffs Jul2022'!K78,0,IF($C$5*'Tariffs Jul2022'!AL78/'Tariffs Jul2022'!AJ78&lt;='Tariffs Jul2022'!L78,($C$5*'Tariffs Jul2022'!AL78/'Tariffs Jul2022'!AJ78-'Tariffs Jul2022'!K78)*('Tariffs Jul2022'!W78/100)*'Tariffs Jul2022'!AJ78,('Tariffs Jul2022'!L78-'Tariffs Jul2022'!K78)*('Tariffs Jul2022'!W78/100)*'Tariffs Jul2022'!AJ78))</f>
        <v>0</v>
      </c>
      <c r="M84" s="69">
        <f>IF($C$5*'Tariffs Jul2022'!AL78/'Tariffs Jul2022'!AJ78&lt;'Tariffs Jul2022'!L78,0,IF($C$5*'Tariffs Jul2022'!AL78/'Tariffs Jul2022'!AJ78&lt;='Tariffs Jul2022'!M78,($C$5*'Tariffs Jul2022'!AL78/'Tariffs Jul2022'!AJ78-'Tariffs Jul2022'!L78)*('Tariffs Jul2022'!X78/100)*'Tariffs Jul2022'!AJ78,('Tariffs Jul2022'!M78-'Tariffs Jul2022'!L78)*('Tariffs Jul2022'!X78/100)*'Tariffs Jul2022'!AJ78))</f>
        <v>0</v>
      </c>
      <c r="N84" s="69">
        <f>IF(($C$5*'Tariffs Jul2022'!AL78/'Tariffs Jul2022'!AJ78&gt;'Tariffs Jul2022'!M78),($C$5*'Tariffs Jul2022'!AL78/'Tariffs Jul2022'!AJ78-'Tariffs Jul2022'!M78)*'Tariffs Jul2022'!Y78/100*'Tariffs Jul2022'!AJ78,0)</f>
        <v>0</v>
      </c>
      <c r="O84" s="59">
        <f t="shared" si="52"/>
        <v>1613.022027272727</v>
      </c>
      <c r="P84" s="503">
        <f t="shared" si="43"/>
        <v>1774.3242299999997</v>
      </c>
      <c r="Q84" s="59">
        <f t="shared" si="53"/>
        <v>1932.9611181818179</v>
      </c>
      <c r="R84" s="272">
        <f t="shared" si="54"/>
        <v>2126.2572299999997</v>
      </c>
      <c r="S84" s="40">
        <f>'Tariffs Jul2022'!AN78</f>
        <v>0</v>
      </c>
      <c r="T84" s="40">
        <f>'Tariffs Jul2022'!AO78</f>
        <v>0</v>
      </c>
      <c r="U84" s="40">
        <f>'Tariffs Jul2022'!AP78</f>
        <v>0</v>
      </c>
      <c r="V84" s="40">
        <f>'Tariffs Jul2022'!AQ78</f>
        <v>0</v>
      </c>
      <c r="W84" s="537" t="str">
        <f t="shared" si="44"/>
        <v>No discount</v>
      </c>
      <c r="X84" s="538" t="str">
        <f t="shared" si="45"/>
        <v>Exclusive</v>
      </c>
      <c r="Y84" s="534">
        <f t="shared" si="50"/>
        <v>1932.9611181818179</v>
      </c>
      <c r="Z84" s="535">
        <f t="shared" si="51"/>
        <v>1932.9611181818179</v>
      </c>
      <c r="AA84" s="542">
        <f t="shared" si="55"/>
        <v>2126.2572299999997</v>
      </c>
      <c r="AB84" s="542">
        <f t="shared" si="55"/>
        <v>2126.2572299999997</v>
      </c>
      <c r="AC84" s="274">
        <f>'Tariffs Jul2022'!AZ78</f>
        <v>0</v>
      </c>
      <c r="AD84" s="274" t="str">
        <f>'Tariffs Jul2022'!BA78</f>
        <v>n</v>
      </c>
      <c r="AE84" s="275" t="str">
        <f>'Tariffs Jul2022'!BJ78</f>
        <v>N</v>
      </c>
      <c r="AF84" s="593"/>
      <c r="AG84" s="593"/>
      <c r="AH84" s="593"/>
      <c r="AI84" s="593"/>
      <c r="AJ84" s="593"/>
      <c r="AK84" s="593"/>
      <c r="AL84" s="593"/>
      <c r="AM84" s="593"/>
      <c r="AN84" s="593"/>
      <c r="AO84" s="593"/>
      <c r="AP84" s="593"/>
      <c r="AQ84" s="593"/>
      <c r="AR84" s="593"/>
      <c r="AS84" s="593"/>
      <c r="AT84" s="593"/>
      <c r="AU84" s="593"/>
      <c r="AV84" s="593"/>
      <c r="AW84" s="593"/>
    </row>
    <row r="85" spans="1:49" ht="14" x14ac:dyDescent="0.15">
      <c r="A85" s="270" t="str">
        <f>'Tariffs Jul2022'!F79</f>
        <v>GloBird Energy</v>
      </c>
      <c r="B85" s="40" t="str">
        <f>'Tariffs Jul2022'!D79</f>
        <v>AusNet Services West</v>
      </c>
      <c r="C85" s="40" t="str">
        <f>'Tariffs Jul2022'!G79</f>
        <v>GloSave</v>
      </c>
      <c r="D85" s="59">
        <f>365*'Tariffs Jul2022'!H79/100</f>
        <v>284.7</v>
      </c>
      <c r="E85" s="59">
        <f>IF($C$5*'Tariffs Jul2022'!AK79/'Tariffs Jul2022'!AI79&gt;='Tariffs Jul2022'!J79,( 'Tariffs Jul2022'!J79*'Tariffs Jul2022'!O79/100)* 'Tariffs Jul2022'!AI79,($C$5*'Tariffs Jul2022'!AK79/'Tariffs Jul2022'!AI79*'Tariffs Jul2022'!O79/100)* 'Tariffs Jul2022'!AI79)</f>
        <v>311.99999999999994</v>
      </c>
      <c r="F85" s="59">
        <f>IF($C$5*'Tariffs Jul2022'!AK79/'Tariffs Jul2022'!AI79&lt;'Tariffs Jul2022'!J79,0,IF($C$5*'Tariffs Jul2022'!AK79/'Tariffs Jul2022'!AI79&lt;='Tariffs Jul2022'!K79,($C$5*'Tariffs Jul2022'!AK79/'Tariffs Jul2022'!AI79-'Tariffs Jul2022'!J79)*('Tariffs Jul2022'!P79/100)*'Tariffs Jul2022'!AI79,('Tariffs Jul2022'!K79-'Tariffs Jul2022'!J79)*('Tariffs Jul2022'!P79/100)*'Tariffs Jul2022'!AI79))</f>
        <v>0</v>
      </c>
      <c r="G85" s="59">
        <f>IF($C$5*'Tariffs Jul2022'!AK79/'Tariffs Jul2022'!AI79&lt;'Tariffs Jul2022'!K79,0,IF($C$5*'Tariffs Jul2022'!AK79/'Tariffs Jul2022'!AI79&lt;='Tariffs Jul2022'!L79,($C$5*'Tariffs Jul2022'!AK79/'Tariffs Jul2022'!AI79-'Tariffs Jul2022'!K79)*('Tariffs Jul2022'!Q79/100)*'Tariffs Jul2022'!AI79,('Tariffs Jul2022'!L79-'Tariffs Jul2022'!K79)*('Tariffs Jul2022'!Q79/100)*'Tariffs Jul2022'!AI79))</f>
        <v>0</v>
      </c>
      <c r="H85" s="59">
        <f>IF($C$5*'Tariffs Jul2022'!AK79/'Tariffs Jul2022'!AI79&lt;'Tariffs Jul2022'!L79,0,IF($C$5*'Tariffs Jul2022'!AK79/'Tariffs Jul2022'!AI79&lt;='Tariffs Jul2022'!M79,($C$5*'Tariffs Jul2022'!AK79/'Tariffs Jul2022'!AI79-'Tariffs Jul2022'!L79)*('Tariffs Jul2022'!R79/100)*'Tariffs Jul2022'!AI79,('Tariffs Jul2022'!M79-'Tariffs Jul2022'!L79)*('Tariffs Jul2022'!R79/100)*'Tariffs Jul2022'!AI79))</f>
        <v>0</v>
      </c>
      <c r="I85" s="69">
        <f>IF(($C$5*'Tariffs Jul2022'!AK79/'Tariffs Jul2022'!AI79&gt;'Tariffs Jul2022'!M79),($C$5*'Tariffs Jul2022'!AK79/'Tariffs Jul2022'!AI79-'Tariffs Jul2022'!M79)*'Tariffs Jul2022'!S79/100*'Tariffs Jul2022'!AI79,0)</f>
        <v>233.94539999999989</v>
      </c>
      <c r="J85" s="69">
        <f>IF($C$5*'Tariffs Jul2022'!AL79/'Tariffs Jul2022'!AJ79&gt;='Tariffs Jul2022'!J79,('Tariffs Jul2022'!J79*'Tariffs Jul2022'!U79/100)* 'Tariffs Jul2022'!AJ79,($C$5*'Tariffs Jul2022'!AL79/'Tariffs Jul2022'!AJ79*'Tariffs Jul2022'!U79/100)* 'Tariffs Jul2022'!AJ79)</f>
        <v>623.99999999999989</v>
      </c>
      <c r="K85" s="69">
        <f>IF($C$5*'Tariffs Jul2022'!AL79/'Tariffs Jul2022'!AJ79&lt;'Tariffs Jul2022'!J79,0,IF($C$5*'Tariffs Jul2022'!AL79/'Tariffs Jul2022'!AJ79&lt;='Tariffs Jul2022'!K79,($C$5*'Tariffs Jul2022'!AL79/'Tariffs Jul2022'!AJ79-'Tariffs Jul2022'!J79)*('Tariffs Jul2022'!V79/100)*'Tariffs Jul2022'!AJ79,('Tariffs Jul2022'!K79-'Tariffs Jul2022'!J79)*('Tariffs Jul2022'!V79/100)*'Tariffs Jul2022'!AJ79))</f>
        <v>0</v>
      </c>
      <c r="L85" s="69">
        <f>IF($C$5*'Tariffs Jul2022'!AL79/'Tariffs Jul2022'!AJ79&lt;'Tariffs Jul2022'!K79,0,IF($C$5*'Tariffs Jul2022'!AL79/'Tariffs Jul2022'!AJ79&lt;='Tariffs Jul2022'!L79,($C$5*'Tariffs Jul2022'!AL79/'Tariffs Jul2022'!AJ79-'Tariffs Jul2022'!K79)*('Tariffs Jul2022'!W79/100)*'Tariffs Jul2022'!AJ79,('Tariffs Jul2022'!L79-'Tariffs Jul2022'!K79)*('Tariffs Jul2022'!W79/100)*'Tariffs Jul2022'!AJ79))</f>
        <v>0</v>
      </c>
      <c r="M85" s="69">
        <f>IF($C$5*'Tariffs Jul2022'!AL79/'Tariffs Jul2022'!AJ79&lt;'Tariffs Jul2022'!L79,0,IF($C$5*'Tariffs Jul2022'!AL79/'Tariffs Jul2022'!AJ79&lt;='Tariffs Jul2022'!M79,($C$5*'Tariffs Jul2022'!AL79/'Tariffs Jul2022'!AJ79-'Tariffs Jul2022'!L79)*('Tariffs Jul2022'!X79/100)*'Tariffs Jul2022'!AJ79,('Tariffs Jul2022'!M79-'Tariffs Jul2022'!L79)*('Tariffs Jul2022'!X79/100)*'Tariffs Jul2022'!AJ79))</f>
        <v>0</v>
      </c>
      <c r="N85" s="69">
        <f>IF(($C$5*'Tariffs Jul2022'!AL79/'Tariffs Jul2022'!AJ79&gt;'Tariffs Jul2022'!M79),($C$5*'Tariffs Jul2022'!AL79/'Tariffs Jul2022'!AJ79-'Tariffs Jul2022'!M79)*'Tariffs Jul2022'!Y79/100*'Tariffs Jul2022'!AJ79,0)</f>
        <v>467.89079999999979</v>
      </c>
      <c r="O85" s="59">
        <f t="shared" si="52"/>
        <v>1637.8361999999993</v>
      </c>
      <c r="P85" s="503">
        <f t="shared" si="43"/>
        <v>1801.6198199999994</v>
      </c>
      <c r="Q85" s="59">
        <f t="shared" si="53"/>
        <v>1922.5361999999993</v>
      </c>
      <c r="R85" s="272">
        <f t="shared" si="54"/>
        <v>2114.7898199999995</v>
      </c>
      <c r="S85" s="40">
        <f>'Tariffs Jul2022'!AN79</f>
        <v>0</v>
      </c>
      <c r="T85" s="40">
        <f>'Tariffs Jul2022'!AO79</f>
        <v>0</v>
      </c>
      <c r="U85" s="40">
        <f>'Tariffs Jul2022'!AP79</f>
        <v>0</v>
      </c>
      <c r="V85" s="40">
        <f>'Tariffs Jul2022'!AQ79</f>
        <v>0</v>
      </c>
      <c r="W85" s="537" t="str">
        <f t="shared" si="44"/>
        <v>No discount</v>
      </c>
      <c r="X85" s="538" t="str">
        <f t="shared" si="45"/>
        <v>Exclusive</v>
      </c>
      <c r="Y85" s="534">
        <f t="shared" si="50"/>
        <v>1922.5361999999993</v>
      </c>
      <c r="Z85" s="535">
        <f t="shared" si="51"/>
        <v>1922.5361999999993</v>
      </c>
      <c r="AA85" s="542">
        <f t="shared" si="55"/>
        <v>2114.7898199999995</v>
      </c>
      <c r="AB85" s="542">
        <f t="shared" si="55"/>
        <v>2114.7898199999995</v>
      </c>
      <c r="AC85" s="274">
        <f>'Tariffs Jul2022'!AZ79</f>
        <v>0</v>
      </c>
      <c r="AD85" s="274" t="str">
        <f>'Tariffs Jul2022'!BA79</f>
        <v>n</v>
      </c>
      <c r="AE85" s="275" t="str">
        <f>'Tariffs Jul2022'!BJ79</f>
        <v>N</v>
      </c>
      <c r="AF85" s="593"/>
      <c r="AG85" s="593"/>
      <c r="AH85" s="593"/>
      <c r="AI85" s="593"/>
      <c r="AJ85" s="593"/>
      <c r="AK85" s="593"/>
      <c r="AL85" s="593"/>
      <c r="AM85" s="593"/>
      <c r="AN85" s="593"/>
      <c r="AO85" s="593"/>
      <c r="AP85" s="593"/>
      <c r="AQ85" s="593"/>
      <c r="AR85" s="593"/>
      <c r="AS85" s="593"/>
      <c r="AT85" s="593"/>
      <c r="AU85" s="593"/>
      <c r="AV85" s="593"/>
      <c r="AW85" s="593"/>
    </row>
    <row r="86" spans="1:49" ht="14" x14ac:dyDescent="0.15">
      <c r="A86" s="270" t="str">
        <f>'Tariffs Jul2022'!F80</f>
        <v>Powershop</v>
      </c>
      <c r="B86" s="40" t="str">
        <f>'Tariffs Jul2022'!D80</f>
        <v>AusNet Services West</v>
      </c>
      <c r="C86" s="40" t="str">
        <f>'Tariffs Jul2022'!G80</f>
        <v>Carbon Neutral</v>
      </c>
      <c r="D86" s="59">
        <f>365*'Tariffs Jul2022'!H80/100</f>
        <v>293.55954545454546</v>
      </c>
      <c r="E86" s="59">
        <f>((C$5*'Tariffs Jul2022'!AK80/'Tariffs Jul2022'!AI80)*('Tariffs Jul2022'!O80/100))*'Tariffs Jul2022'!AI80</f>
        <v>364.59989999999993</v>
      </c>
      <c r="F86" s="59">
        <v>0</v>
      </c>
      <c r="G86" s="59">
        <v>0</v>
      </c>
      <c r="H86" s="59">
        <v>0</v>
      </c>
      <c r="I86" s="69">
        <v>0</v>
      </c>
      <c r="J86" s="69">
        <f>((C$5*'Tariffs Jul2022'!AL80/'Tariffs Jul2022'!AJ80)*('Tariffs Jul2022'!U80/100))*'Tariffs Jul2022'!AJ80</f>
        <v>660.47939999999983</v>
      </c>
      <c r="K86" s="69">
        <v>0</v>
      </c>
      <c r="L86" s="69">
        <v>0</v>
      </c>
      <c r="M86" s="69">
        <v>0</v>
      </c>
      <c r="N86" s="69">
        <v>0</v>
      </c>
      <c r="O86" s="59">
        <f t="shared" si="52"/>
        <v>1025.0792999999999</v>
      </c>
      <c r="P86" s="503">
        <f t="shared" si="43"/>
        <v>1127.5872299999999</v>
      </c>
      <c r="Q86" s="59">
        <f t="shared" si="53"/>
        <v>1318.6388454545454</v>
      </c>
      <c r="R86" s="272">
        <f t="shared" si="54"/>
        <v>1450.5027300000002</v>
      </c>
      <c r="S86" s="40">
        <f>'Tariffs Jul2022'!AN80</f>
        <v>0</v>
      </c>
      <c r="T86" s="40">
        <f>'Tariffs Jul2022'!AO80</f>
        <v>0</v>
      </c>
      <c r="U86" s="40">
        <f>'Tariffs Jul2022'!AP80</f>
        <v>0</v>
      </c>
      <c r="V86" s="40">
        <f>'Tariffs Jul2022'!AQ80</f>
        <v>0</v>
      </c>
      <c r="W86" s="537" t="str">
        <f t="shared" si="44"/>
        <v>No discount</v>
      </c>
      <c r="X86" s="538" t="str">
        <f t="shared" si="45"/>
        <v>Inclusive</v>
      </c>
      <c r="Y86" s="534">
        <f t="shared" si="50"/>
        <v>1318.6388454545454</v>
      </c>
      <c r="Z86" s="535">
        <f t="shared" si="51"/>
        <v>1318.6388454545454</v>
      </c>
      <c r="AA86" s="542">
        <f t="shared" si="55"/>
        <v>1450.5027300000002</v>
      </c>
      <c r="AB86" s="542">
        <f t="shared" si="55"/>
        <v>1450.5027300000002</v>
      </c>
      <c r="AC86" s="274">
        <f>'Tariffs Jul2022'!AZ80</f>
        <v>0</v>
      </c>
      <c r="AD86" s="274" t="str">
        <f>'Tariffs Jul2022'!BA80</f>
        <v>n</v>
      </c>
      <c r="AE86" s="275" t="str">
        <f>'Tariffs Jul2022'!BJ80</f>
        <v>Y</v>
      </c>
      <c r="AF86" s="593"/>
      <c r="AG86" s="593"/>
      <c r="AH86" s="593"/>
      <c r="AI86" s="593"/>
      <c r="AJ86" s="593"/>
      <c r="AK86" s="593"/>
      <c r="AL86" s="593"/>
      <c r="AM86" s="593"/>
      <c r="AN86" s="593"/>
      <c r="AO86" s="593"/>
      <c r="AP86" s="593"/>
      <c r="AQ86" s="593"/>
      <c r="AR86" s="593"/>
      <c r="AS86" s="593"/>
      <c r="AT86" s="593"/>
      <c r="AU86" s="593"/>
      <c r="AV86" s="593"/>
      <c r="AW86" s="593"/>
    </row>
    <row r="87" spans="1:49" ht="14" x14ac:dyDescent="0.15">
      <c r="A87" s="270" t="str">
        <f>'Tariffs Jul2022'!F81</f>
        <v>1st Energy</v>
      </c>
      <c r="B87" s="40" t="str">
        <f>'Tariffs Jul2022'!D81</f>
        <v>AusNet Services West</v>
      </c>
      <c r="C87" s="40" t="str">
        <f>'Tariffs Jul2022'!G81</f>
        <v>1st Saver Plus</v>
      </c>
      <c r="D87" s="59">
        <f>365*'Tariffs Jul2022'!H81/100</f>
        <v>313.89999999999998</v>
      </c>
      <c r="E87" s="59">
        <f>IF($C$5*'Tariffs Jul2022'!AK81/'Tariffs Jul2022'!AI81&gt;='Tariffs Jul2022'!J81,( 'Tariffs Jul2022'!J81*'Tariffs Jul2022'!O81/100)* 'Tariffs Jul2022'!AI81,($C$5*'Tariffs Jul2022'!AK81/'Tariffs Jul2022'!AI81*'Tariffs Jul2022'!O81/100)* 'Tariffs Jul2022'!AI81)</f>
        <v>386.18181818181807</v>
      </c>
      <c r="F87" s="59">
        <f>IF($C$5*'Tariffs Jul2022'!AK81/'Tariffs Jul2022'!AI81&lt;'Tariffs Jul2022'!J81,0,IF($C$5*'Tariffs Jul2022'!AK81/'Tariffs Jul2022'!AI81&lt;='Tariffs Jul2022'!K81,($C$5*'Tariffs Jul2022'!AK81/'Tariffs Jul2022'!AI81-'Tariffs Jul2022'!J81)*('Tariffs Jul2022'!P81/100)*'Tariffs Jul2022'!AI81,('Tariffs Jul2022'!K81-'Tariffs Jul2022'!J81)*('Tariffs Jul2022'!P81/100)*'Tariffs Jul2022'!AI81))</f>
        <v>279.81818181818176</v>
      </c>
      <c r="G87" s="59">
        <f>IF($C$5*'Tariffs Jul2022'!AK81/'Tariffs Jul2022'!AI81&lt;'Tariffs Jul2022'!K81,0,IF($C$5*'Tariffs Jul2022'!AK81/'Tariffs Jul2022'!AI81&lt;='Tariffs Jul2022'!L81,($C$5*'Tariffs Jul2022'!AK81/'Tariffs Jul2022'!AI81-'Tariffs Jul2022'!K81)*('Tariffs Jul2022'!Q81/100)*'Tariffs Jul2022'!AI81,('Tariffs Jul2022'!L81-'Tariffs Jul2022'!K81)*('Tariffs Jul2022'!Q81/100)*'Tariffs Jul2022'!AI81))</f>
        <v>0</v>
      </c>
      <c r="H87" s="59">
        <f>IF($C$5*'Tariffs Jul2022'!AK81/'Tariffs Jul2022'!AI81&lt;'Tariffs Jul2022'!L81,0,IF($C$5*'Tariffs Jul2022'!AK81/'Tariffs Jul2022'!AI81&lt;='Tariffs Jul2022'!M81,($C$5*'Tariffs Jul2022'!AK81/'Tariffs Jul2022'!AI81-'Tariffs Jul2022'!L81)*('Tariffs Jul2022'!R81/100)*'Tariffs Jul2022'!AI81,('Tariffs Jul2022'!M81-'Tariffs Jul2022'!L81)*('Tariffs Jul2022'!R81/100)*'Tariffs Jul2022'!AI81))</f>
        <v>0</v>
      </c>
      <c r="I87" s="69">
        <f>IF(($C$5*'Tariffs Jul2022'!AK81/'Tariffs Jul2022'!AI81&gt;'Tariffs Jul2022'!M81),($C$5*'Tariffs Jul2022'!AK81/'Tariffs Jul2022'!AI81-'Tariffs Jul2022'!M81)*'Tariffs Jul2022'!S81/100*'Tariffs Jul2022'!AI81,0)</f>
        <v>0</v>
      </c>
      <c r="J87" s="69">
        <f>IF($C$5*'Tariffs Jul2022'!AL81/'Tariffs Jul2022'!AJ81&gt;='Tariffs Jul2022'!J81,('Tariffs Jul2022'!J81*'Tariffs Jul2022'!U81/100)* 'Tariffs Jul2022'!AJ81,($C$5*'Tariffs Jul2022'!AL81/'Tariffs Jul2022'!AJ81*'Tariffs Jul2022'!U81/100)* 'Tariffs Jul2022'!AJ81)</f>
        <v>386.18181818181807</v>
      </c>
      <c r="K87" s="69">
        <f>IF($C$5*'Tariffs Jul2022'!AL81/'Tariffs Jul2022'!AJ81&lt;'Tariffs Jul2022'!J81,0,IF($C$5*'Tariffs Jul2022'!AL81/'Tariffs Jul2022'!AJ81&lt;='Tariffs Jul2022'!K81,($C$5*'Tariffs Jul2022'!AL81/'Tariffs Jul2022'!AJ81-'Tariffs Jul2022'!J81)*('Tariffs Jul2022'!V81/100)*'Tariffs Jul2022'!AJ81,('Tariffs Jul2022'!K81-'Tariffs Jul2022'!J81)*('Tariffs Jul2022'!V81/100)*'Tariffs Jul2022'!AJ81))</f>
        <v>279.81818181818176</v>
      </c>
      <c r="L87" s="69">
        <f>IF($C$5*'Tariffs Jul2022'!AL81/'Tariffs Jul2022'!AJ81&lt;'Tariffs Jul2022'!K81,0,IF($C$5*'Tariffs Jul2022'!AL81/'Tariffs Jul2022'!AJ81&lt;='Tariffs Jul2022'!L81,($C$5*'Tariffs Jul2022'!AL81/'Tariffs Jul2022'!AJ81-'Tariffs Jul2022'!K81)*('Tariffs Jul2022'!W81/100)*'Tariffs Jul2022'!AJ81,('Tariffs Jul2022'!L81-'Tariffs Jul2022'!K81)*('Tariffs Jul2022'!W81/100)*'Tariffs Jul2022'!AJ81))</f>
        <v>0</v>
      </c>
      <c r="M87" s="69">
        <f>IF($C$5*'Tariffs Jul2022'!AL81/'Tariffs Jul2022'!AJ81&lt;'Tariffs Jul2022'!L81,0,IF($C$5*'Tariffs Jul2022'!AL81/'Tariffs Jul2022'!AJ81&lt;='Tariffs Jul2022'!M81,($C$5*'Tariffs Jul2022'!AL81/'Tariffs Jul2022'!AJ81-'Tariffs Jul2022'!L81)*('Tariffs Jul2022'!X81/100)*'Tariffs Jul2022'!AJ81,('Tariffs Jul2022'!M81-'Tariffs Jul2022'!L81)*('Tariffs Jul2022'!X81/100)*'Tariffs Jul2022'!AJ81))</f>
        <v>0</v>
      </c>
      <c r="N87" s="69">
        <f>IF(($C$5*'Tariffs Jul2022'!AL81/'Tariffs Jul2022'!AJ81&gt;'Tariffs Jul2022'!M81),($C$5*'Tariffs Jul2022'!AL81/'Tariffs Jul2022'!AJ81-'Tariffs Jul2022'!M81)*'Tariffs Jul2022'!Y81/100*'Tariffs Jul2022'!AJ81,0)</f>
        <v>0</v>
      </c>
      <c r="O87" s="59">
        <f t="shared" si="52"/>
        <v>1331.9999999999995</v>
      </c>
      <c r="P87" s="503">
        <f t="shared" si="43"/>
        <v>1465.1999999999996</v>
      </c>
      <c r="Q87" s="59">
        <f t="shared" si="53"/>
        <v>1645.8999999999996</v>
      </c>
      <c r="R87" s="272">
        <f t="shared" si="54"/>
        <v>1810.4899999999998</v>
      </c>
      <c r="S87" s="40">
        <f>'Tariffs Jul2022'!AN81</f>
        <v>0</v>
      </c>
      <c r="T87" s="40">
        <f>'Tariffs Jul2022'!AO81</f>
        <v>7</v>
      </c>
      <c r="U87" s="40">
        <f>'Tariffs Jul2022'!AP81</f>
        <v>0</v>
      </c>
      <c r="V87" s="40">
        <f>'Tariffs Jul2022'!AQ81</f>
        <v>3</v>
      </c>
      <c r="W87" s="537" t="str">
        <f t="shared" si="44"/>
        <v>Guaranteed off usage</v>
      </c>
      <c r="X87" s="538" t="str">
        <f t="shared" si="45"/>
        <v>Exclusive</v>
      </c>
      <c r="Y87" s="534">
        <f>Q87-(P87*T87)/100</f>
        <v>1543.3359999999996</v>
      </c>
      <c r="Z87" s="535">
        <f>Y87-(P87*V87)/100</f>
        <v>1499.3799999999997</v>
      </c>
      <c r="AA87" s="542">
        <f t="shared" si="55"/>
        <v>1697.6695999999997</v>
      </c>
      <c r="AB87" s="542">
        <f t="shared" si="55"/>
        <v>1649.3179999999998</v>
      </c>
      <c r="AC87" s="274">
        <f>'Tariffs Jul2022'!AZ81</f>
        <v>0</v>
      </c>
      <c r="AD87" s="274" t="str">
        <f>'Tariffs Jul2022'!BA81</f>
        <v>n</v>
      </c>
      <c r="AE87" s="275" t="str">
        <f>'Tariffs Jul2022'!BJ81</f>
        <v>N</v>
      </c>
      <c r="AF87" s="593"/>
      <c r="AG87" s="593"/>
      <c r="AH87" s="593"/>
      <c r="AI87" s="593"/>
      <c r="AJ87" s="593"/>
      <c r="AK87" s="593"/>
      <c r="AL87" s="593"/>
      <c r="AM87" s="593"/>
      <c r="AN87" s="593"/>
      <c r="AO87" s="593"/>
      <c r="AP87" s="593"/>
      <c r="AQ87" s="593"/>
      <c r="AR87" s="593"/>
      <c r="AS87" s="593"/>
      <c r="AT87" s="593"/>
      <c r="AU87" s="593"/>
      <c r="AV87" s="593"/>
      <c r="AW87" s="593"/>
    </row>
    <row r="88" spans="1:49" ht="14" x14ac:dyDescent="0.15">
      <c r="A88" s="270" t="str">
        <f>'Tariffs Jul2022'!F82</f>
        <v>Kogan Energy</v>
      </c>
      <c r="B88" s="40" t="str">
        <f>'Tariffs Jul2022'!D82</f>
        <v>AusNet Services West</v>
      </c>
      <c r="C88" s="40" t="str">
        <f>'Tariffs Jul2022'!G82</f>
        <v>Kogan Basic</v>
      </c>
      <c r="D88" s="59">
        <f>365*'Tariffs Jul2022'!H82/100</f>
        <v>375.61818181818182</v>
      </c>
      <c r="E88" s="59">
        <f>((C$5*'Tariffs Jul2022'!AK82/'Tariffs Jul2022'!AI82)*('Tariffs Jul2022'!O82/100))*'Tariffs Jul2022'!AI82</f>
        <v>341.69309999999996</v>
      </c>
      <c r="F88" s="59">
        <v>0</v>
      </c>
      <c r="G88" s="59">
        <v>0</v>
      </c>
      <c r="H88" s="59">
        <v>0</v>
      </c>
      <c r="I88" s="69">
        <v>0</v>
      </c>
      <c r="J88" s="69">
        <f>((C$5*'Tariffs Jul2022'!AL82/'Tariffs Jul2022'!AJ82)*('Tariffs Jul2022'!U82/100))*'Tariffs Jul2022'!AJ82</f>
        <v>683.38619999999992</v>
      </c>
      <c r="K88" s="69">
        <v>0</v>
      </c>
      <c r="L88" s="69">
        <v>0</v>
      </c>
      <c r="M88" s="69">
        <v>0</v>
      </c>
      <c r="N88" s="69">
        <v>0</v>
      </c>
      <c r="O88" s="59">
        <f t="shared" si="52"/>
        <v>1025.0792999999999</v>
      </c>
      <c r="P88" s="503">
        <f t="shared" si="43"/>
        <v>1127.5872299999999</v>
      </c>
      <c r="Q88" s="59">
        <f t="shared" si="53"/>
        <v>1400.6974818181816</v>
      </c>
      <c r="R88" s="272">
        <f t="shared" si="54"/>
        <v>1540.7672299999999</v>
      </c>
      <c r="S88" s="40">
        <f>'Tariffs Jul2022'!AN82</f>
        <v>0</v>
      </c>
      <c r="T88" s="40">
        <f>'Tariffs Jul2022'!AO82</f>
        <v>0</v>
      </c>
      <c r="U88" s="40">
        <f>'Tariffs Jul2022'!AP82</f>
        <v>0</v>
      </c>
      <c r="V88" s="40">
        <f>'Tariffs Jul2022'!AQ82</f>
        <v>0</v>
      </c>
      <c r="W88" s="537" t="str">
        <f t="shared" si="44"/>
        <v>No discount</v>
      </c>
      <c r="X88" s="538" t="str">
        <f t="shared" si="45"/>
        <v>Exclusive</v>
      </c>
      <c r="Y88" s="534">
        <f t="shared" ref="Y88:Y89" si="56">IF(AND(W88="Guaranteed off bill",X88="Inclusive"),((Q88*1.1)-((Q88*1.1)*S88/100))/1.1,IF(AND(W88="Guaranteed off usage",X88="Inclusive"),((Q88*1.1)-((P88*1.1)*T88/100))/1.1,IF(AND(W88="Guaranteed off bill",X88="Exclusive"),Q88-(Q88*S88/100),IF(AND(W88="Guaranteed off usage",X88="Exclusive"),Q88-(P88*T88/100),IF(X88="Inclusive",((Q88*1.1))/1.1,Q88)))))</f>
        <v>1400.6974818181816</v>
      </c>
      <c r="Z88" s="535">
        <f t="shared" ref="Z88:Z89" si="57">IF(AND(W88="Pay-on-time off bill",X88="Inclusive"),((Y88*1.1)-((Y88*1.1)*U88/100))/1.1,IF(AND(W88="Pay-on-time off usage",X88="Inclusive"),((Y88*1.1)-((P88*1.1)*V88/100))/1.1,IF(AND(W88="Pay-on-time off bill",X88="Exclusive"),Y88-(Y88*U88/100),IF(AND(W88="Pay-on-time off usage",X88="Exclusive"),Y88-(P88*V88/100),IF(X88="Inclusive",((Y88*1.1))/1.1,Y88)))))</f>
        <v>1400.6974818181816</v>
      </c>
      <c r="AA88" s="542">
        <f t="shared" si="55"/>
        <v>1540.7672299999999</v>
      </c>
      <c r="AB88" s="542">
        <f t="shared" si="55"/>
        <v>1540.7672299999999</v>
      </c>
      <c r="AC88" s="274">
        <f>'Tariffs Jul2022'!AZ82</f>
        <v>0</v>
      </c>
      <c r="AD88" s="274" t="str">
        <f>'Tariffs Jul2022'!BA82</f>
        <v>n</v>
      </c>
      <c r="AE88" s="275" t="str">
        <f>'Tariffs Jul2022'!BJ82</f>
        <v>N</v>
      </c>
      <c r="AF88" s="593"/>
      <c r="AG88" s="593"/>
      <c r="AH88" s="593"/>
      <c r="AI88" s="593"/>
      <c r="AJ88" s="593"/>
      <c r="AK88" s="593"/>
      <c r="AL88" s="593"/>
      <c r="AM88" s="593"/>
      <c r="AN88" s="593"/>
      <c r="AO88" s="593"/>
      <c r="AP88" s="593"/>
      <c r="AQ88" s="593"/>
      <c r="AR88" s="593"/>
      <c r="AS88" s="593"/>
      <c r="AT88" s="593"/>
      <c r="AU88" s="593"/>
      <c r="AV88" s="593"/>
      <c r="AW88" s="593"/>
    </row>
    <row r="89" spans="1:49" ht="15" thickBot="1" x14ac:dyDescent="0.2">
      <c r="A89" s="276" t="str">
        <f>'Tariffs Jul2022'!F83</f>
        <v>Tango Energy</v>
      </c>
      <c r="B89" s="277" t="str">
        <f>'Tariffs Jul2022'!D83</f>
        <v>AusNet Services West</v>
      </c>
      <c r="C89" s="277" t="str">
        <f>'Tariffs Jul2022'!G83</f>
        <v>Home Select</v>
      </c>
      <c r="D89" s="278">
        <f>365*'Tariffs Jul2022'!H83/100</f>
        <v>346.74999999999994</v>
      </c>
      <c r="E89" s="278">
        <f>IF($C$5*'Tariffs Jul2022'!AK83/'Tariffs Jul2022'!AI83&gt;='Tariffs Jul2022'!J83,( 'Tariffs Jul2022'!J83*'Tariffs Jul2022'!O83/100)* 'Tariffs Jul2022'!AI83,($C$5*'Tariffs Jul2022'!AK83/'Tariffs Jul2022'!AI83*'Tariffs Jul2022'!O83/100)* 'Tariffs Jul2022'!AI83)</f>
        <v>241.09090909090904</v>
      </c>
      <c r="F89" s="278">
        <f>IF($C$5*'Tariffs Jul2022'!AK83/'Tariffs Jul2022'!AI83&lt;'Tariffs Jul2022'!J83,0,IF($C$5*'Tariffs Jul2022'!AK83/'Tariffs Jul2022'!AI83&lt;='Tariffs Jul2022'!K83,($C$5*'Tariffs Jul2022'!AK83/'Tariffs Jul2022'!AI83-'Tariffs Jul2022'!J83)*('Tariffs Jul2022'!P83/100)*'Tariffs Jul2022'!AI83,('Tariffs Jul2022'!K83-'Tariffs Jul2022'!J83)*('Tariffs Jul2022'!P83/100)*'Tariffs Jul2022'!AI83))</f>
        <v>167.68813636363629</v>
      </c>
      <c r="G89" s="278">
        <f>IF($C$5*'Tariffs Jul2022'!AK83/'Tariffs Jul2022'!AI83&lt;'Tariffs Jul2022'!K83,0,IF($C$5*'Tariffs Jul2022'!AK83/'Tariffs Jul2022'!AI83&lt;='Tariffs Jul2022'!L83,($C$5*'Tariffs Jul2022'!AK83/'Tariffs Jul2022'!AI83-'Tariffs Jul2022'!K83)*('Tariffs Jul2022'!Q83/100)*'Tariffs Jul2022'!AI83,('Tariffs Jul2022'!L83-'Tariffs Jul2022'!K83)*('Tariffs Jul2022'!Q83/100)*'Tariffs Jul2022'!AI83))</f>
        <v>0</v>
      </c>
      <c r="H89" s="278">
        <f>IF($C$5*'Tariffs Jul2022'!AK83/'Tariffs Jul2022'!AI83&lt;'Tariffs Jul2022'!L83,0,IF($C$5*'Tariffs Jul2022'!AK83/'Tariffs Jul2022'!AI83&lt;='Tariffs Jul2022'!M83,($C$5*'Tariffs Jul2022'!AK83/'Tariffs Jul2022'!AI83-'Tariffs Jul2022'!L83)*('Tariffs Jul2022'!R83/100)*'Tariffs Jul2022'!AI83,('Tariffs Jul2022'!M83-'Tariffs Jul2022'!L83)*('Tariffs Jul2022'!R83/100)*'Tariffs Jul2022'!AI83))</f>
        <v>0</v>
      </c>
      <c r="I89" s="547">
        <f>IF(($C$5*'Tariffs Jul2022'!AK83/'Tariffs Jul2022'!AI83&gt;'Tariffs Jul2022'!M83),($C$5*'Tariffs Jul2022'!AK83/'Tariffs Jul2022'!AI83-'Tariffs Jul2022'!M83)*'Tariffs Jul2022'!S83/100*'Tariffs Jul2022'!AI83,0)</f>
        <v>0</v>
      </c>
      <c r="J89" s="547">
        <f>IF($C$5*'Tariffs Jul2022'!AL83/'Tariffs Jul2022'!AJ83&gt;='Tariffs Jul2022'!J83,('Tariffs Jul2022'!J83*'Tariffs Jul2022'!U83/100)* 'Tariffs Jul2022'!AJ83,($C$5*'Tariffs Jul2022'!AL83/'Tariffs Jul2022'!AJ83*'Tariffs Jul2022'!U83/100)* 'Tariffs Jul2022'!AJ83)</f>
        <v>399.27272727272725</v>
      </c>
      <c r="K89" s="547">
        <f>IF($C$5*'Tariffs Jul2022'!AL83/'Tariffs Jul2022'!AJ83&lt;'Tariffs Jul2022'!J83,0,IF($C$5*'Tariffs Jul2022'!AL83/'Tariffs Jul2022'!AJ83&lt;='Tariffs Jul2022'!K83,($C$5*'Tariffs Jul2022'!AL83/'Tariffs Jul2022'!AJ83-'Tariffs Jul2022'!J83)*('Tariffs Jul2022'!V83/100)*'Tariffs Jul2022'!AJ83,('Tariffs Jul2022'!K83-'Tariffs Jul2022'!J83)*('Tariffs Jul2022'!V83/100)*'Tariffs Jul2022'!AJ83))</f>
        <v>230.67343636363628</v>
      </c>
      <c r="L89" s="547">
        <f>IF($C$5*'Tariffs Jul2022'!AL83/'Tariffs Jul2022'!AJ83&lt;'Tariffs Jul2022'!K83,0,IF($C$5*'Tariffs Jul2022'!AL83/'Tariffs Jul2022'!AJ83&lt;='Tariffs Jul2022'!L83,($C$5*'Tariffs Jul2022'!AL83/'Tariffs Jul2022'!AJ83-'Tariffs Jul2022'!K83)*('Tariffs Jul2022'!W83/100)*'Tariffs Jul2022'!AJ83,('Tariffs Jul2022'!L83-'Tariffs Jul2022'!K83)*('Tariffs Jul2022'!W83/100)*'Tariffs Jul2022'!AJ83))</f>
        <v>0</v>
      </c>
      <c r="M89" s="547">
        <f>IF($C$5*'Tariffs Jul2022'!AL83/'Tariffs Jul2022'!AJ83&lt;'Tariffs Jul2022'!L83,0,IF($C$5*'Tariffs Jul2022'!AL83/'Tariffs Jul2022'!AJ83&lt;='Tariffs Jul2022'!M83,($C$5*'Tariffs Jul2022'!AL83/'Tariffs Jul2022'!AJ83-'Tariffs Jul2022'!L83)*('Tariffs Jul2022'!X83/100)*'Tariffs Jul2022'!AJ83,('Tariffs Jul2022'!M83-'Tariffs Jul2022'!L83)*('Tariffs Jul2022'!X83/100)*'Tariffs Jul2022'!AJ83))</f>
        <v>0</v>
      </c>
      <c r="N89" s="547">
        <f>IF(($C$5*'Tariffs Jul2022'!AL83/'Tariffs Jul2022'!AJ83&gt;'Tariffs Jul2022'!M83),($C$5*'Tariffs Jul2022'!AL83/'Tariffs Jul2022'!AJ83-'Tariffs Jul2022'!M83)*'Tariffs Jul2022'!Y83/100*'Tariffs Jul2022'!AJ83,0)</f>
        <v>0</v>
      </c>
      <c r="O89" s="278">
        <f t="shared" si="52"/>
        <v>1038.7252090909089</v>
      </c>
      <c r="P89" s="504">
        <f t="shared" si="43"/>
        <v>1142.59773</v>
      </c>
      <c r="Q89" s="278">
        <f t="shared" si="53"/>
        <v>1385.4752090909089</v>
      </c>
      <c r="R89" s="280">
        <f t="shared" si="54"/>
        <v>1524.0227299999999</v>
      </c>
      <c r="S89" s="277">
        <f>'Tariffs Jul2022'!AN83</f>
        <v>0</v>
      </c>
      <c r="T89" s="277">
        <f>'Tariffs Jul2022'!AO83</f>
        <v>0</v>
      </c>
      <c r="U89" s="277">
        <f>'Tariffs Jul2022'!AP83</f>
        <v>0</v>
      </c>
      <c r="V89" s="277">
        <f>'Tariffs Jul2022'!AQ83</f>
        <v>0</v>
      </c>
      <c r="W89" s="540" t="str">
        <f t="shared" si="44"/>
        <v>No discount</v>
      </c>
      <c r="X89" s="541" t="str">
        <f t="shared" si="45"/>
        <v>Exclusive</v>
      </c>
      <c r="Y89" s="543">
        <f t="shared" si="56"/>
        <v>1385.4752090909089</v>
      </c>
      <c r="Z89" s="544">
        <f t="shared" si="57"/>
        <v>1385.4752090909089</v>
      </c>
      <c r="AA89" s="545">
        <f t="shared" si="55"/>
        <v>1524.0227299999999</v>
      </c>
      <c r="AB89" s="545">
        <f t="shared" si="55"/>
        <v>1524.0227299999999</v>
      </c>
      <c r="AC89" s="282">
        <f>'Tariffs Jul2022'!AZ83</f>
        <v>0</v>
      </c>
      <c r="AD89" s="282" t="str">
        <f>'Tariffs Jul2022'!BA83</f>
        <v>n</v>
      </c>
      <c r="AE89" s="283" t="str">
        <f>'Tariffs Jul2022'!BJ83</f>
        <v>N</v>
      </c>
      <c r="AF89" s="593"/>
      <c r="AG89" s="593"/>
      <c r="AH89" s="593"/>
      <c r="AI89" s="593"/>
      <c r="AJ89" s="593"/>
      <c r="AK89" s="593"/>
      <c r="AL89" s="593"/>
      <c r="AM89" s="593"/>
      <c r="AN89" s="593"/>
      <c r="AO89" s="593"/>
      <c r="AP89" s="593"/>
      <c r="AQ89" s="593"/>
      <c r="AR89" s="593"/>
      <c r="AS89" s="593"/>
      <c r="AT89" s="593"/>
      <c r="AU89" s="593"/>
      <c r="AV89" s="593"/>
      <c r="AW89" s="593"/>
    </row>
    <row r="90" spans="1:49" ht="15" thickTop="1" x14ac:dyDescent="0.15">
      <c r="A90" s="270" t="str">
        <f>'Tariffs Jul2022'!F85</f>
        <v>AGL</v>
      </c>
      <c r="B90" s="40" t="str">
        <f>'Tariffs Jul2022'!D85</f>
        <v>AusNet Services Central 2</v>
      </c>
      <c r="C90" s="40" t="str">
        <f>'Tariffs Jul2022'!G85</f>
        <v>Value Saver</v>
      </c>
      <c r="D90" s="59">
        <f>365*'Tariffs Jul2022'!H85/100</f>
        <v>339.44999999999993</v>
      </c>
      <c r="E90" s="59">
        <f>IF($C$5*'Tariffs Jul2022'!AK85/'Tariffs Jul2022'!AI85&gt;='Tariffs Jul2022'!J85,( 'Tariffs Jul2022'!J85*'Tariffs Jul2022'!O85/100)* 'Tariffs Jul2022'!AI85,($C$5*'Tariffs Jul2022'!AK85/'Tariffs Jul2022'!AI85*'Tariffs Jul2022'!O85/100)* 'Tariffs Jul2022'!AI85)</f>
        <v>253.09090909090909</v>
      </c>
      <c r="F90" s="59">
        <f>IF($C$5*'Tariffs Jul2022'!AK85/'Tariffs Jul2022'!AI85&lt;'Tariffs Jul2022'!J85,0,IF($C$5*'Tariffs Jul2022'!AK85/'Tariffs Jul2022'!AI85&lt;='Tariffs Jul2022'!K85,($C$5*'Tariffs Jul2022'!AK85/'Tariffs Jul2022'!AI85-'Tariffs Jul2022'!J85)*('Tariffs Jul2022'!P85/100)*'Tariffs Jul2022'!AI85,('Tariffs Jul2022'!K85-'Tariffs Jul2022'!J85)*('Tariffs Jul2022'!P85/100)*'Tariffs Jul2022'!AI85))</f>
        <v>183.22996363636361</v>
      </c>
      <c r="G90" s="59">
        <f>IF($C$5*'Tariffs Jul2022'!AK85/'Tariffs Jul2022'!AI85&lt;'Tariffs Jul2022'!K85,0,IF($C$5*'Tariffs Jul2022'!AK85/'Tariffs Jul2022'!AI85&lt;='Tariffs Jul2022'!L85,($C$5*'Tariffs Jul2022'!AK85/'Tariffs Jul2022'!AI85-'Tariffs Jul2022'!K85)*('Tariffs Jul2022'!Q85/100)*'Tariffs Jul2022'!AI85,('Tariffs Jul2022'!L85-'Tariffs Jul2022'!K85)*('Tariffs Jul2022'!Q85/100)*'Tariffs Jul2022'!AI85))</f>
        <v>0</v>
      </c>
      <c r="H90" s="59">
        <f>IF($C$5*'Tariffs Jul2022'!AK85/'Tariffs Jul2022'!AI85&lt;'Tariffs Jul2022'!L85,0,IF($C$5*'Tariffs Jul2022'!AK85/'Tariffs Jul2022'!AI85&lt;='Tariffs Jul2022'!M85,($C$5*'Tariffs Jul2022'!AK85/'Tariffs Jul2022'!AI85-'Tariffs Jul2022'!L85)*('Tariffs Jul2022'!R85/100)*'Tariffs Jul2022'!AI85,('Tariffs Jul2022'!M85-'Tariffs Jul2022'!L85)*('Tariffs Jul2022'!R85/100)*'Tariffs Jul2022'!AI85))</f>
        <v>0</v>
      </c>
      <c r="I90" s="69">
        <f>IF(($C$5*'Tariffs Jul2022'!AK85/'Tariffs Jul2022'!AI85&gt;'Tariffs Jul2022'!M85),($C$5*'Tariffs Jul2022'!AK85/'Tariffs Jul2022'!AI85-'Tariffs Jul2022'!M85)*'Tariffs Jul2022'!S85/100*'Tariffs Jul2022'!AI85,0)</f>
        <v>0</v>
      </c>
      <c r="J90" s="69">
        <f>IF($C$5*'Tariffs Jul2022'!AL85/'Tariffs Jul2022'!AJ85&gt;='Tariffs Jul2022'!J85,('Tariffs Jul2022'!J85*'Tariffs Jul2022'!U85/100)* 'Tariffs Jul2022'!AJ85,($C$5*'Tariffs Jul2022'!AL85/'Tariffs Jul2022'!AJ85*'Tariffs Jul2022'!U85/100)* 'Tariffs Jul2022'!AJ85)</f>
        <v>434.18181818181819</v>
      </c>
      <c r="K90" s="69">
        <f>IF($C$5*'Tariffs Jul2022'!AL85/'Tariffs Jul2022'!AJ85&lt;'Tariffs Jul2022'!J85,0,IF($C$5*'Tariffs Jul2022'!AL85/'Tariffs Jul2022'!AJ85&lt;='Tariffs Jul2022'!K85,($C$5*'Tariffs Jul2022'!AL85/'Tariffs Jul2022'!AJ85-'Tariffs Jul2022'!J85)*('Tariffs Jul2022'!V85/100)*'Tariffs Jul2022'!AJ85,('Tariffs Jul2022'!K85-'Tariffs Jul2022'!J85)*('Tariffs Jul2022'!V85/100)*'Tariffs Jul2022'!AJ85))</f>
        <v>279.75289090909081</v>
      </c>
      <c r="L90" s="69">
        <f>IF($C$5*'Tariffs Jul2022'!AL85/'Tariffs Jul2022'!AJ85&lt;'Tariffs Jul2022'!K85,0,IF($C$5*'Tariffs Jul2022'!AL85/'Tariffs Jul2022'!AJ85&lt;='Tariffs Jul2022'!L85,($C$5*'Tariffs Jul2022'!AL85/'Tariffs Jul2022'!AJ85-'Tariffs Jul2022'!K85)*('Tariffs Jul2022'!W85/100)*'Tariffs Jul2022'!AJ85,('Tariffs Jul2022'!L85-'Tariffs Jul2022'!K85)*('Tariffs Jul2022'!W85/100)*'Tariffs Jul2022'!AJ85))</f>
        <v>0</v>
      </c>
      <c r="M90" s="69">
        <f>IF($C$5*'Tariffs Jul2022'!AL85/'Tariffs Jul2022'!AJ85&lt;'Tariffs Jul2022'!L85,0,IF($C$5*'Tariffs Jul2022'!AL85/'Tariffs Jul2022'!AJ85&lt;='Tariffs Jul2022'!M85,($C$5*'Tariffs Jul2022'!AL85/'Tariffs Jul2022'!AJ85-'Tariffs Jul2022'!L85)*('Tariffs Jul2022'!X85/100)*'Tariffs Jul2022'!AJ85,('Tariffs Jul2022'!M85-'Tariffs Jul2022'!L85)*('Tariffs Jul2022'!X85/100)*'Tariffs Jul2022'!AJ85))</f>
        <v>0</v>
      </c>
      <c r="N90" s="69">
        <f>IF(($C$5*'Tariffs Jul2022'!AL85/'Tariffs Jul2022'!AJ85&gt;'Tariffs Jul2022'!M85),($C$5*'Tariffs Jul2022'!AL85/'Tariffs Jul2022'!AJ85-'Tariffs Jul2022'!M85)*'Tariffs Jul2022'!Y85/100*'Tariffs Jul2022'!AJ85,0)</f>
        <v>0</v>
      </c>
      <c r="O90" s="59">
        <f t="shared" si="52"/>
        <v>1150.2555818181818</v>
      </c>
      <c r="P90" s="503">
        <f t="shared" si="43"/>
        <v>1265.2811400000001</v>
      </c>
      <c r="Q90" s="59">
        <f t="shared" si="53"/>
        <v>1489.7055818181816</v>
      </c>
      <c r="R90" s="272">
        <f t="shared" si="54"/>
        <v>1638.6761399999998</v>
      </c>
      <c r="S90" s="40">
        <f>'Tariffs Jul2022'!AN85</f>
        <v>0</v>
      </c>
      <c r="T90" s="40">
        <f>'Tariffs Jul2022'!AO85</f>
        <v>0</v>
      </c>
      <c r="U90" s="40">
        <f>'Tariffs Jul2022'!AP85</f>
        <v>0</v>
      </c>
      <c r="V90" s="40">
        <f>'Tariffs Jul2022'!AQ85</f>
        <v>0</v>
      </c>
      <c r="W90" s="537" t="str">
        <f>IF(SUM(S90:V90)=0,"No discount",IF(S90&gt;0,"Guaranteed off bill",IF(T90&gt;0,"Guaranteed off usage",IF(U90&gt;0,"Pay-on-time off bill","Pay-on-time off usage"))))</f>
        <v>No discount</v>
      </c>
      <c r="X90" s="538" t="str">
        <f>IF(OR(A90="Origin Energy",A90="Red Energy",A90="Powershop"),"Inclusive","Exclusive")</f>
        <v>Exclusive</v>
      </c>
      <c r="Y90" s="534">
        <f>IF(AND(W90="Guaranteed off bill",X90="Inclusive"),((Q90*1.1)-((Q90*1.1)*S90/100))/1.1,IF(AND(W90="Guaranteed off usage",X90="Inclusive"),((Q90*1.1)-((P90*1.1)*T90/100))/1.1,IF(AND(W90="Guaranteed off bill",X90="Exclusive"),Q90-(Q90*S90/100),IF(AND(W90="Guaranteed off usage",X90="Exclusive"),Q90-(P90*T90/100),IF(X90="Inclusive",((Q90*1.1))/1.1,Q90)))))</f>
        <v>1489.7055818181816</v>
      </c>
      <c r="Z90" s="535">
        <f>IF(AND(W90="Pay-on-time off bill",X90="Inclusive"),((Y90*1.1)-((Y90*1.1)*U90/100))/1.1,IF(AND(W90="Pay-on-time off usage",X90="Inclusive"),((Y90*1.1)-((P90*1.1)*V90/100))/1.1,IF(AND(W90="Pay-on-time off bill",X90="Exclusive"),Y90-(Y90*U90/100),IF(AND(W90="Pay-on-time off usage",X90="Exclusive"),Y90-(P90*V90/100),IF(X90="Inclusive",((Y90*1.1))/1.1,Y90)))))</f>
        <v>1489.7055818181816</v>
      </c>
      <c r="AA90" s="542">
        <f t="shared" si="55"/>
        <v>1638.6761399999998</v>
      </c>
      <c r="AB90" s="542">
        <f t="shared" si="55"/>
        <v>1638.6761399999998</v>
      </c>
      <c r="AC90" s="274">
        <f>'Tariffs Jul2022'!AZ85</f>
        <v>0</v>
      </c>
      <c r="AD90" s="274" t="str">
        <f>'Tariffs Jul2022'!BA85</f>
        <v>n</v>
      </c>
      <c r="AE90" s="275" t="str">
        <f>'Tariffs Jul2022'!BJ85</f>
        <v>N</v>
      </c>
      <c r="AF90" s="593"/>
      <c r="AG90" s="593"/>
      <c r="AH90" s="593"/>
      <c r="AI90" s="593"/>
      <c r="AJ90" s="593"/>
      <c r="AK90" s="593"/>
      <c r="AL90" s="593"/>
      <c r="AM90" s="593"/>
      <c r="AN90" s="593"/>
      <c r="AO90" s="593"/>
      <c r="AP90" s="593"/>
      <c r="AQ90" s="593"/>
      <c r="AR90" s="593"/>
      <c r="AS90" s="593"/>
      <c r="AT90" s="593"/>
      <c r="AU90" s="593"/>
      <c r="AV90" s="593"/>
      <c r="AW90" s="593"/>
    </row>
    <row r="91" spans="1:49" ht="14" x14ac:dyDescent="0.15">
      <c r="A91" s="270" t="str">
        <f>'Tariffs Jul2022'!F86</f>
        <v>Alinta Energy</v>
      </c>
      <c r="B91" s="40" t="str">
        <f>'Tariffs Jul2022'!D86</f>
        <v>AusNet Services Central 2</v>
      </c>
      <c r="C91" s="40" t="str">
        <f>'Tariffs Jul2022'!G86</f>
        <v>Home Deal</v>
      </c>
      <c r="D91" s="59">
        <f>365*'Tariffs Jul2022'!H86/100</f>
        <v>258.45318181818175</v>
      </c>
      <c r="E91" s="59">
        <f>IF($C$5*'Tariffs Jul2022'!AK86/'Tariffs Jul2022'!AI86&gt;='Tariffs Jul2022'!J86,( 'Tariffs Jul2022'!J86*'Tariffs Jul2022'!O86/100)* 'Tariffs Jul2022'!AI86,($C$5*'Tariffs Jul2022'!AK86/'Tariffs Jul2022'!AI86*'Tariffs Jul2022'!O86/100)* 'Tariffs Jul2022'!AI86)</f>
        <v>300</v>
      </c>
      <c r="F91" s="59">
        <f>IF($C$5*'Tariffs Jul2022'!AK86/'Tariffs Jul2022'!AI86&lt;'Tariffs Jul2022'!J86,0,IF($C$5*'Tariffs Jul2022'!AK86/'Tariffs Jul2022'!AI86&lt;='Tariffs Jul2022'!K86,($C$5*'Tariffs Jul2022'!AK86/'Tariffs Jul2022'!AI86-'Tariffs Jul2022'!J86)*('Tariffs Jul2022'!P86/100)*'Tariffs Jul2022'!AI86,('Tariffs Jul2022'!K86-'Tariffs Jul2022'!J86)*('Tariffs Jul2022'!P86/100)*'Tariffs Jul2022'!AI86))</f>
        <v>0</v>
      </c>
      <c r="G91" s="59">
        <f>IF($C$5*'Tariffs Jul2022'!AK86/'Tariffs Jul2022'!AI86&lt;'Tariffs Jul2022'!K86,0,IF($C$5*'Tariffs Jul2022'!AK86/'Tariffs Jul2022'!AI86&lt;='Tariffs Jul2022'!L86,($C$5*'Tariffs Jul2022'!AK86/'Tariffs Jul2022'!AI86-'Tariffs Jul2022'!K86)*('Tariffs Jul2022'!Q86/100)*'Tariffs Jul2022'!AI86,('Tariffs Jul2022'!L86-'Tariffs Jul2022'!K86)*('Tariffs Jul2022'!Q86/100)*'Tariffs Jul2022'!AI86))</f>
        <v>0</v>
      </c>
      <c r="H91" s="59">
        <f>IF($C$5*'Tariffs Jul2022'!AK86/'Tariffs Jul2022'!AI86&lt;'Tariffs Jul2022'!L86,0,IF($C$5*'Tariffs Jul2022'!AK86/'Tariffs Jul2022'!AI86&lt;='Tariffs Jul2022'!M86,($C$5*'Tariffs Jul2022'!AK86/'Tariffs Jul2022'!AI86-'Tariffs Jul2022'!L86)*('Tariffs Jul2022'!R86/100)*'Tariffs Jul2022'!AI86,('Tariffs Jul2022'!M86-'Tariffs Jul2022'!L86)*('Tariffs Jul2022'!R86/100)*'Tariffs Jul2022'!AI86))</f>
        <v>0</v>
      </c>
      <c r="I91" s="69">
        <f>IF(($C$5*'Tariffs Jul2022'!AK86/'Tariffs Jul2022'!AI86&gt;'Tariffs Jul2022'!M86),($C$5*'Tariffs Jul2022'!AK86/'Tariffs Jul2022'!AI86-'Tariffs Jul2022'!M86)*'Tariffs Jul2022'!S86/100*'Tariffs Jul2022'!AI86,0)</f>
        <v>174.23206363636356</v>
      </c>
      <c r="J91" s="69">
        <f>IF($C$5*'Tariffs Jul2022'!AL86/'Tariffs Jul2022'!AJ86&gt;='Tariffs Jul2022'!J86,('Tariffs Jul2022'!J86*'Tariffs Jul2022'!U86/100)* 'Tariffs Jul2022'!AJ86,($C$5*'Tariffs Jul2022'!AL86/'Tariffs Jul2022'!AJ86*'Tariffs Jul2022'!U86/100)* 'Tariffs Jul2022'!AJ86)</f>
        <v>556.36363636363637</v>
      </c>
      <c r="K91" s="69">
        <f>IF($C$5*'Tariffs Jul2022'!AL86/'Tariffs Jul2022'!AJ86&lt;'Tariffs Jul2022'!J86,0,IF($C$5*'Tariffs Jul2022'!AL86/'Tariffs Jul2022'!AJ86&lt;='Tariffs Jul2022'!K86,($C$5*'Tariffs Jul2022'!AL86/'Tariffs Jul2022'!AJ86-'Tariffs Jul2022'!J86)*('Tariffs Jul2022'!V86/100)*'Tariffs Jul2022'!AJ86,('Tariffs Jul2022'!K86-'Tariffs Jul2022'!J86)*('Tariffs Jul2022'!V86/100)*'Tariffs Jul2022'!AJ86))</f>
        <v>0</v>
      </c>
      <c r="L91" s="69">
        <f>IF($C$5*'Tariffs Jul2022'!AL86/'Tariffs Jul2022'!AJ86&lt;'Tariffs Jul2022'!K86,0,IF($C$5*'Tariffs Jul2022'!AL86/'Tariffs Jul2022'!AJ86&lt;='Tariffs Jul2022'!L86,($C$5*'Tariffs Jul2022'!AL86/'Tariffs Jul2022'!AJ86-'Tariffs Jul2022'!K86)*('Tariffs Jul2022'!W86/100)*'Tariffs Jul2022'!AJ86,('Tariffs Jul2022'!L86-'Tariffs Jul2022'!K86)*('Tariffs Jul2022'!W86/100)*'Tariffs Jul2022'!AJ86))</f>
        <v>0</v>
      </c>
      <c r="M91" s="69">
        <f>IF($C$5*'Tariffs Jul2022'!AL86/'Tariffs Jul2022'!AJ86&lt;'Tariffs Jul2022'!L86,0,IF($C$5*'Tariffs Jul2022'!AL86/'Tariffs Jul2022'!AJ86&lt;='Tariffs Jul2022'!M86,($C$5*'Tariffs Jul2022'!AL86/'Tariffs Jul2022'!AJ86-'Tariffs Jul2022'!L86)*('Tariffs Jul2022'!X86/100)*'Tariffs Jul2022'!AJ86,('Tariffs Jul2022'!M86-'Tariffs Jul2022'!L86)*('Tariffs Jul2022'!X86/100)*'Tariffs Jul2022'!AJ86))</f>
        <v>0</v>
      </c>
      <c r="N91" s="69">
        <f>IF(($C$5*'Tariffs Jul2022'!AL86/'Tariffs Jul2022'!AJ86&gt;'Tariffs Jul2022'!M86),($C$5*'Tariffs Jul2022'!AL86/'Tariffs Jul2022'!AJ86-'Tariffs Jul2022'!M86)*'Tariffs Jul2022'!Y86/100*'Tariffs Jul2022'!AJ86,0)</f>
        <v>333.74029090909085</v>
      </c>
      <c r="O91" s="59">
        <f t="shared" si="52"/>
        <v>1364.3359909090907</v>
      </c>
      <c r="P91" s="503">
        <f t="shared" si="43"/>
        <v>1500.7695899999999</v>
      </c>
      <c r="Q91" s="59">
        <f t="shared" si="53"/>
        <v>1622.7891727272724</v>
      </c>
      <c r="R91" s="272">
        <f t="shared" si="54"/>
        <v>1785.0680899999998</v>
      </c>
      <c r="S91" s="40">
        <f>'Tariffs Jul2022'!AN86</f>
        <v>0</v>
      </c>
      <c r="T91" s="40">
        <f>'Tariffs Jul2022'!AO86</f>
        <v>0</v>
      </c>
      <c r="U91" s="40">
        <f>'Tariffs Jul2022'!AP86</f>
        <v>0</v>
      </c>
      <c r="V91" s="40">
        <f>'Tariffs Jul2022'!AQ86</f>
        <v>0</v>
      </c>
      <c r="W91" s="537" t="str">
        <f t="shared" ref="W91:W103" si="58">IF(SUM(S91:V91)=0,"No discount",IF(S91&gt;0,"Guaranteed off bill",IF(T91&gt;0,"Guaranteed off usage",IF(U91&gt;0,"Pay-on-time off bill","Pay-on-time off usage"))))</f>
        <v>No discount</v>
      </c>
      <c r="X91" s="538" t="str">
        <f t="shared" ref="X91:X103" si="59">IF(OR(A91="Origin Energy",A91="Red Energy",A91="Powershop"),"Inclusive","Exclusive")</f>
        <v>Exclusive</v>
      </c>
      <c r="Y91" s="534">
        <f>IF(AND(W91="Guaranteed off bill",X91="Inclusive"),((Q91*1.1)-((Q91*1.1)*S91/100))/1.1,IF(AND(W91="Guaranteed off usage",X91="Inclusive"),((Q91*1.1)-((P91*1.1)*T91/100))/1.1,IF(AND(W91="Guaranteed off bill",X91="Exclusive"),Q91-(Q91*S91/100),IF(AND(W91="Guaranteed off usage",X91="Exclusive"),Q91-(P91*T91/100),IF(X91="Inclusive",((Q91*1.1))/1.1,Q91)))))</f>
        <v>1622.7891727272724</v>
      </c>
      <c r="Z91" s="535">
        <f>IF(AND(W91="Pay-on-time off bill",X91="Inclusive"),((Y91*1.1)-((Y91*1.1)*U91/100))/1.1,IF(AND(W91="Pay-on-time off usage",X91="Inclusive"),((Y91*1.1)-((P91*1.1)*V91/100))/1.1,IF(AND(W91="Pay-on-time off bill",X91="Exclusive"),Y91-(Y91*U91/100),IF(AND(W91="Pay-on-time off usage",X91="Exclusive"),Y91-(P91*V91/100),IF(X91="Inclusive",((Y91*1.1))/1.1,Y91)))))</f>
        <v>1622.7891727272724</v>
      </c>
      <c r="AA91" s="542">
        <f t="shared" si="55"/>
        <v>1785.0680899999998</v>
      </c>
      <c r="AB91" s="542">
        <f t="shared" si="55"/>
        <v>1785.0680899999998</v>
      </c>
      <c r="AC91" s="274">
        <f>'Tariffs Jul2022'!AZ86</f>
        <v>0</v>
      </c>
      <c r="AD91" s="274" t="str">
        <f>'Tariffs Jul2022'!BA86</f>
        <v>n</v>
      </c>
      <c r="AE91" s="275" t="str">
        <f>'Tariffs Jul2022'!BJ86</f>
        <v>N</v>
      </c>
      <c r="AF91" s="593"/>
      <c r="AG91" s="593"/>
      <c r="AH91" s="593"/>
      <c r="AI91" s="593"/>
      <c r="AJ91" s="593"/>
      <c r="AK91" s="593"/>
      <c r="AL91" s="593"/>
      <c r="AM91" s="593"/>
      <c r="AN91" s="593"/>
      <c r="AO91" s="593"/>
      <c r="AP91" s="593"/>
      <c r="AQ91" s="593"/>
      <c r="AR91" s="593"/>
      <c r="AS91" s="593"/>
      <c r="AT91" s="593"/>
      <c r="AU91" s="593"/>
      <c r="AV91" s="593"/>
      <c r="AW91" s="593"/>
    </row>
    <row r="92" spans="1:49" ht="14" x14ac:dyDescent="0.15">
      <c r="A92" s="270" t="str">
        <f>'Tariffs Jul2022'!F87</f>
        <v>Dodo Power &amp; Gas</v>
      </c>
      <c r="B92" s="40" t="str">
        <f>'Tariffs Jul2022'!D87</f>
        <v>AusNet Services Central 2</v>
      </c>
      <c r="C92" s="40" t="str">
        <f>'Tariffs Jul2022'!G87</f>
        <v>Market offer</v>
      </c>
      <c r="D92" s="59">
        <f>365*'Tariffs Jul2022'!H87/100</f>
        <v>317.41727272727269</v>
      </c>
      <c r="E92" s="59">
        <f>IF($C$5*'Tariffs Jul2022'!AK87/'Tariffs Jul2022'!AI87&gt;='Tariffs Jul2022'!J87,( 'Tariffs Jul2022'!J87*'Tariffs Jul2022'!O87/100)* 'Tariffs Jul2022'!AI87,($C$5*'Tariffs Jul2022'!AK87/'Tariffs Jul2022'!AI87*'Tariffs Jul2022'!O87/100)* 'Tariffs Jul2022'!AI87)</f>
        <v>267.27272727272725</v>
      </c>
      <c r="F92" s="59">
        <f>IF($C$5*'Tariffs Jul2022'!AK87/'Tariffs Jul2022'!AI87&lt;'Tariffs Jul2022'!J87,0,IF($C$5*'Tariffs Jul2022'!AK87/'Tariffs Jul2022'!AI87&lt;='Tariffs Jul2022'!K87,($C$5*'Tariffs Jul2022'!AK87/'Tariffs Jul2022'!AI87-'Tariffs Jul2022'!J87)*('Tariffs Jul2022'!P87/100)*'Tariffs Jul2022'!AI87,('Tariffs Jul2022'!K87-'Tariffs Jul2022'!J87)*('Tariffs Jul2022'!P87/100)*'Tariffs Jul2022'!AI87))</f>
        <v>176.6860363636363</v>
      </c>
      <c r="G92" s="59">
        <f>IF($C$5*'Tariffs Jul2022'!AK87/'Tariffs Jul2022'!AI87&lt;'Tariffs Jul2022'!K87,0,IF($C$5*'Tariffs Jul2022'!AK87/'Tariffs Jul2022'!AI87&lt;='Tariffs Jul2022'!L87,($C$5*'Tariffs Jul2022'!AK87/'Tariffs Jul2022'!AI87-'Tariffs Jul2022'!K87)*('Tariffs Jul2022'!Q87/100)*'Tariffs Jul2022'!AI87,('Tariffs Jul2022'!L87-'Tariffs Jul2022'!K87)*('Tariffs Jul2022'!Q87/100)*'Tariffs Jul2022'!AI87))</f>
        <v>0</v>
      </c>
      <c r="H92" s="59">
        <f>IF($C$5*'Tariffs Jul2022'!AK87/'Tariffs Jul2022'!AI87&lt;'Tariffs Jul2022'!L87,0,IF($C$5*'Tariffs Jul2022'!AK87/'Tariffs Jul2022'!AI87&lt;='Tariffs Jul2022'!M87,($C$5*'Tariffs Jul2022'!AK87/'Tariffs Jul2022'!AI87-'Tariffs Jul2022'!L87)*('Tariffs Jul2022'!R87/100)*'Tariffs Jul2022'!AI87,('Tariffs Jul2022'!M87-'Tariffs Jul2022'!L87)*('Tariffs Jul2022'!R87/100)*'Tariffs Jul2022'!AI87))</f>
        <v>0</v>
      </c>
      <c r="I92" s="69">
        <f>IF(($C$5*'Tariffs Jul2022'!AK87/'Tariffs Jul2022'!AI87&gt;'Tariffs Jul2022'!M87),($C$5*'Tariffs Jul2022'!AK87/'Tariffs Jul2022'!AI87-'Tariffs Jul2022'!M87)*'Tariffs Jul2022'!S87/100*'Tariffs Jul2022'!AI87,0)</f>
        <v>0</v>
      </c>
      <c r="J92" s="69">
        <f>IF($C$5*'Tariffs Jul2022'!AL87/'Tariffs Jul2022'!AJ87&gt;='Tariffs Jul2022'!J87,('Tariffs Jul2022'!J87*'Tariffs Jul2022'!U87/100)* 'Tariffs Jul2022'!AJ87,($C$5*'Tariffs Jul2022'!AL87/'Tariffs Jul2022'!AJ87*'Tariffs Jul2022'!U87/100)* 'Tariffs Jul2022'!AJ87)</f>
        <v>429.81818181818176</v>
      </c>
      <c r="K92" s="69">
        <f>IF($C$5*'Tariffs Jul2022'!AL87/'Tariffs Jul2022'!AJ87&lt;'Tariffs Jul2022'!J87,0,IF($C$5*'Tariffs Jul2022'!AL87/'Tariffs Jul2022'!AJ87&lt;='Tariffs Jul2022'!K87,($C$5*'Tariffs Jul2022'!AL87/'Tariffs Jul2022'!AJ87-'Tariffs Jul2022'!J87)*('Tariffs Jul2022'!V87/100)*'Tariffs Jul2022'!AJ87,('Tariffs Jul2022'!K87-'Tariffs Jul2022'!J87)*('Tariffs Jul2022'!V87/100)*'Tariffs Jul2022'!AJ87))</f>
        <v>313.12691999999993</v>
      </c>
      <c r="L92" s="69">
        <f>IF($C$5*'Tariffs Jul2022'!AL87/'Tariffs Jul2022'!AJ87&lt;'Tariffs Jul2022'!K87,0,IF($C$5*'Tariffs Jul2022'!AL87/'Tariffs Jul2022'!AJ87&lt;='Tariffs Jul2022'!L87,($C$5*'Tariffs Jul2022'!AL87/'Tariffs Jul2022'!AJ87-'Tariffs Jul2022'!K87)*('Tariffs Jul2022'!W87/100)*'Tariffs Jul2022'!AJ87,('Tariffs Jul2022'!L87-'Tariffs Jul2022'!K87)*('Tariffs Jul2022'!W87/100)*'Tariffs Jul2022'!AJ87))</f>
        <v>0</v>
      </c>
      <c r="M92" s="69">
        <f>IF($C$5*'Tariffs Jul2022'!AL87/'Tariffs Jul2022'!AJ87&lt;'Tariffs Jul2022'!L87,0,IF($C$5*'Tariffs Jul2022'!AL87/'Tariffs Jul2022'!AJ87&lt;='Tariffs Jul2022'!M87,($C$5*'Tariffs Jul2022'!AL87/'Tariffs Jul2022'!AJ87-'Tariffs Jul2022'!L87)*('Tariffs Jul2022'!X87/100)*'Tariffs Jul2022'!AJ87,('Tariffs Jul2022'!M87-'Tariffs Jul2022'!L87)*('Tariffs Jul2022'!X87/100)*'Tariffs Jul2022'!AJ87))</f>
        <v>0</v>
      </c>
      <c r="N92" s="69">
        <f>IF(($C$5*'Tariffs Jul2022'!AL87/'Tariffs Jul2022'!AJ87&gt;'Tariffs Jul2022'!M87),($C$5*'Tariffs Jul2022'!AL87/'Tariffs Jul2022'!AJ87-'Tariffs Jul2022'!M87)*'Tariffs Jul2022'!Y87/100*'Tariffs Jul2022'!AJ87,0)</f>
        <v>0</v>
      </c>
      <c r="O92" s="59">
        <f t="shared" si="52"/>
        <v>1186.9038654545452</v>
      </c>
      <c r="P92" s="503">
        <f t="shared" si="43"/>
        <v>1305.5942519999999</v>
      </c>
      <c r="Q92" s="59">
        <f t="shared" si="53"/>
        <v>1504.3211381818178</v>
      </c>
      <c r="R92" s="272">
        <f t="shared" si="54"/>
        <v>1654.7532519999997</v>
      </c>
      <c r="S92" s="40">
        <f>'Tariffs Jul2022'!AN87</f>
        <v>0</v>
      </c>
      <c r="T92" s="40">
        <f>'Tariffs Jul2022'!AO87</f>
        <v>0</v>
      </c>
      <c r="U92" s="40">
        <f>'Tariffs Jul2022'!AP87</f>
        <v>0</v>
      </c>
      <c r="V92" s="40">
        <f>'Tariffs Jul2022'!AQ87</f>
        <v>0</v>
      </c>
      <c r="W92" s="537" t="str">
        <f t="shared" si="58"/>
        <v>No discount</v>
      </c>
      <c r="X92" s="538" t="str">
        <f t="shared" si="59"/>
        <v>Exclusive</v>
      </c>
      <c r="Y92" s="534">
        <f>IF(AND(W92="Guaranteed off bill",X92="Inclusive"),((Q92*1.1)-((Q92*1.1)*S92/100))/1.1,IF(AND(W92="Guaranteed off usage",X92="Inclusive"),((Q92*1.1)-((P92*1.1)*T92/100))/1.1,IF(AND(W92="Guaranteed off bill",X92="Exclusive"),Q92-(Q92*S92/100),IF(AND(W92="Guaranteed off usage",X92="Exclusive"),Q92-(P92*T92/100),IF(X92="Inclusive",((Q92*1.1))/1.1,Q92)))))</f>
        <v>1504.3211381818178</v>
      </c>
      <c r="Z92" s="535">
        <f>IF(AND(W92="Pay-on-time off bill",X92="Inclusive"),((Y92*1.1)-((Y92*1.1)*U92/100))/1.1,IF(AND(W92="Pay-on-time off usage",X92="Inclusive"),((Y92*1.1)-((P92*1.1)*V92/100))/1.1,IF(AND(W92="Pay-on-time off bill",X92="Exclusive"),Y92-(Y92*U92/100),IF(AND(W92="Pay-on-time off usage",X92="Exclusive"),Y92-(P92*V92/100),IF(X92="Inclusive",((Y92*1.1))/1.1,Y92)))))</f>
        <v>1504.3211381818178</v>
      </c>
      <c r="AA92" s="542">
        <f t="shared" ref="AA92:AB117" si="60">Y92*1.1</f>
        <v>1654.7532519999997</v>
      </c>
      <c r="AB92" s="542">
        <f t="shared" si="60"/>
        <v>1654.7532519999997</v>
      </c>
      <c r="AC92" s="274">
        <f>'Tariffs Jul2022'!AZ87</f>
        <v>0</v>
      </c>
      <c r="AD92" s="274" t="str">
        <f>'Tariffs Jul2022'!BA87</f>
        <v>n</v>
      </c>
      <c r="AE92" s="275" t="str">
        <f>'Tariffs Jul2022'!BJ87</f>
        <v>N</v>
      </c>
      <c r="AF92" s="593"/>
      <c r="AG92" s="593"/>
      <c r="AH92" s="593"/>
      <c r="AI92" s="593"/>
      <c r="AJ92" s="593"/>
      <c r="AK92" s="593"/>
      <c r="AL92" s="593"/>
      <c r="AM92" s="593"/>
      <c r="AN92" s="593"/>
      <c r="AO92" s="593"/>
      <c r="AP92" s="593"/>
      <c r="AQ92" s="593"/>
      <c r="AR92" s="593"/>
      <c r="AS92" s="593"/>
      <c r="AT92" s="593"/>
      <c r="AU92" s="593"/>
      <c r="AV92" s="593"/>
      <c r="AW92" s="593"/>
    </row>
    <row r="93" spans="1:49" ht="14" x14ac:dyDescent="0.15">
      <c r="A93" s="270" t="str">
        <f>'Tariffs Jul2022'!F88</f>
        <v>EnergyAustralia</v>
      </c>
      <c r="B93" s="40" t="str">
        <f>'Tariffs Jul2022'!D88</f>
        <v>AusNet Services Central 2</v>
      </c>
      <c r="C93" s="40" t="str">
        <f>'Tariffs Jul2022'!G88</f>
        <v>Flexi Plan</v>
      </c>
      <c r="D93" s="59">
        <f>365*'Tariffs Jul2022'!H88/100</f>
        <v>381.42500000000001</v>
      </c>
      <c r="E93" s="59">
        <f>IF($C$5*'Tariffs Jul2022'!AK88/'Tariffs Jul2022'!AI88&gt;='Tariffs Jul2022'!J88,( 'Tariffs Jul2022'!J88*'Tariffs Jul2022'!O88/100)* 'Tariffs Jul2022'!AI88,($C$5*'Tariffs Jul2022'!AK88/'Tariffs Jul2022'!AI88*'Tariffs Jul2022'!O88/100)* 'Tariffs Jul2022'!AI88)</f>
        <v>355.63636363636363</v>
      </c>
      <c r="F93" s="59">
        <f>IF($C$5*'Tariffs Jul2022'!AK88/'Tariffs Jul2022'!AI88&lt;'Tariffs Jul2022'!J88,0,IF($C$5*'Tariffs Jul2022'!AK88/'Tariffs Jul2022'!AI88&lt;='Tariffs Jul2022'!K88,($C$5*'Tariffs Jul2022'!AK88/'Tariffs Jul2022'!AI88-'Tariffs Jul2022'!J88)*('Tariffs Jul2022'!P88/100)*'Tariffs Jul2022'!AI88,('Tariffs Jul2022'!K88-'Tariffs Jul2022'!J88)*('Tariffs Jul2022'!P88/100)*'Tariffs Jul2022'!AI88))</f>
        <v>224.94749999999996</v>
      </c>
      <c r="G93" s="59">
        <f>IF($C$5*'Tariffs Jul2022'!AK88/'Tariffs Jul2022'!AI88&lt;'Tariffs Jul2022'!K88,0,IF($C$5*'Tariffs Jul2022'!AK88/'Tariffs Jul2022'!AI88&lt;='Tariffs Jul2022'!L88,($C$5*'Tariffs Jul2022'!AK88/'Tariffs Jul2022'!AI88-'Tariffs Jul2022'!K88)*('Tariffs Jul2022'!Q88/100)*'Tariffs Jul2022'!AI88,('Tariffs Jul2022'!L88-'Tariffs Jul2022'!K88)*('Tariffs Jul2022'!Q88/100)*'Tariffs Jul2022'!AI88))</f>
        <v>0</v>
      </c>
      <c r="H93" s="59">
        <f>IF($C$5*'Tariffs Jul2022'!AK88/'Tariffs Jul2022'!AI88&lt;'Tariffs Jul2022'!L88,0,IF($C$5*'Tariffs Jul2022'!AK88/'Tariffs Jul2022'!AI88&lt;='Tariffs Jul2022'!M88,($C$5*'Tariffs Jul2022'!AK88/'Tariffs Jul2022'!AI88-'Tariffs Jul2022'!L88)*('Tariffs Jul2022'!R88/100)*'Tariffs Jul2022'!AI88,('Tariffs Jul2022'!M88-'Tariffs Jul2022'!L88)*('Tariffs Jul2022'!R88/100)*'Tariffs Jul2022'!AI88))</f>
        <v>0</v>
      </c>
      <c r="I93" s="69">
        <f>IF(($C$5*'Tariffs Jul2022'!AK88/'Tariffs Jul2022'!AI88&gt;'Tariffs Jul2022'!M88),($C$5*'Tariffs Jul2022'!AK88/'Tariffs Jul2022'!AI88-'Tariffs Jul2022'!M88)*'Tariffs Jul2022'!S88/100*'Tariffs Jul2022'!AI88,0)</f>
        <v>0</v>
      </c>
      <c r="J93" s="69">
        <f>IF($C$5*'Tariffs Jul2022'!AL88/'Tariffs Jul2022'!AJ88&gt;='Tariffs Jul2022'!J88,('Tariffs Jul2022'!J88*'Tariffs Jul2022'!U88/100)* 'Tariffs Jul2022'!AJ88,($C$5*'Tariffs Jul2022'!AL88/'Tariffs Jul2022'!AJ88*'Tariffs Jul2022'!U88/100)* 'Tariffs Jul2022'!AJ88)</f>
        <v>551.99999999999989</v>
      </c>
      <c r="K93" s="69">
        <f>IF($C$5*'Tariffs Jul2022'!AL88/'Tariffs Jul2022'!AJ88&lt;'Tariffs Jul2022'!J88,0,IF($C$5*'Tariffs Jul2022'!AL88/'Tariffs Jul2022'!AJ88&lt;='Tariffs Jul2022'!K88,($C$5*'Tariffs Jul2022'!AL88/'Tariffs Jul2022'!AJ88-'Tariffs Jul2022'!J88)*('Tariffs Jul2022'!V88/100)*'Tariffs Jul2022'!AJ88,('Tariffs Jul2022'!K88-'Tariffs Jul2022'!J88)*('Tariffs Jul2022'!V88/100)*'Tariffs Jul2022'!AJ88))</f>
        <v>392.63563636363625</v>
      </c>
      <c r="L93" s="69">
        <f>IF($C$5*'Tariffs Jul2022'!AL88/'Tariffs Jul2022'!AJ88&lt;'Tariffs Jul2022'!K88,0,IF($C$5*'Tariffs Jul2022'!AL88/'Tariffs Jul2022'!AJ88&lt;='Tariffs Jul2022'!L88,($C$5*'Tariffs Jul2022'!AL88/'Tariffs Jul2022'!AJ88-'Tariffs Jul2022'!K88)*('Tariffs Jul2022'!W88/100)*'Tariffs Jul2022'!AJ88,('Tariffs Jul2022'!L88-'Tariffs Jul2022'!K88)*('Tariffs Jul2022'!W88/100)*'Tariffs Jul2022'!AJ88))</f>
        <v>0</v>
      </c>
      <c r="M93" s="69">
        <f>IF($C$5*'Tariffs Jul2022'!AL88/'Tariffs Jul2022'!AJ88&lt;'Tariffs Jul2022'!L88,0,IF($C$5*'Tariffs Jul2022'!AL88/'Tariffs Jul2022'!AJ88&lt;='Tariffs Jul2022'!M88,($C$5*'Tariffs Jul2022'!AL88/'Tariffs Jul2022'!AJ88-'Tariffs Jul2022'!L88)*('Tariffs Jul2022'!X88/100)*'Tariffs Jul2022'!AJ88,('Tariffs Jul2022'!M88-'Tariffs Jul2022'!L88)*('Tariffs Jul2022'!X88/100)*'Tariffs Jul2022'!AJ88))</f>
        <v>0</v>
      </c>
      <c r="N93" s="69">
        <f>IF(($C$5*'Tariffs Jul2022'!AL88/'Tariffs Jul2022'!AJ88&gt;'Tariffs Jul2022'!M88),($C$5*'Tariffs Jul2022'!AL88/'Tariffs Jul2022'!AJ88-'Tariffs Jul2022'!M88)*'Tariffs Jul2022'!Y88/100*'Tariffs Jul2022'!AJ88,0)</f>
        <v>0</v>
      </c>
      <c r="O93" s="59">
        <f t="shared" si="52"/>
        <v>1525.2194999999997</v>
      </c>
      <c r="P93" s="503">
        <f t="shared" si="43"/>
        <v>1677.7414499999998</v>
      </c>
      <c r="Q93" s="59">
        <f t="shared" si="53"/>
        <v>1906.6444999999997</v>
      </c>
      <c r="R93" s="272">
        <f t="shared" si="54"/>
        <v>2097.3089499999996</v>
      </c>
      <c r="S93" s="40">
        <f>'Tariffs Jul2022'!AN88</f>
        <v>8</v>
      </c>
      <c r="T93" s="40">
        <f>'Tariffs Jul2022'!AO88</f>
        <v>0</v>
      </c>
      <c r="U93" s="40">
        <f>'Tariffs Jul2022'!AP88</f>
        <v>0</v>
      </c>
      <c r="V93" s="40">
        <f>'Tariffs Jul2022'!AQ88</f>
        <v>0</v>
      </c>
      <c r="W93" s="537" t="str">
        <f t="shared" si="58"/>
        <v>Guaranteed off bill</v>
      </c>
      <c r="X93" s="538" t="str">
        <f t="shared" si="59"/>
        <v>Exclusive</v>
      </c>
      <c r="Y93" s="534">
        <f t="shared" ref="Y93" si="61">IF(AND(W93="Guaranteed off bill",X93="Inclusive"),((Q93*1.1)-((Q93*1.1)*S93/100))/1.1,IF(AND(W93="Guaranteed off usage",X93="Inclusive"),((Q93*1.1)-((P93*1.1)*T93/100))/1.1,IF(AND(W93="Guaranteed off bill",X93="Exclusive"),Q93-(Q93*S93/100),IF(AND(W93="Guaranteed off usage",X93="Exclusive"),Q93-(P93*T93/100),IF(X93="Inclusive",((Q93*1.1))/1.1,Q93)))))</f>
        <v>1754.1129399999998</v>
      </c>
      <c r="Z93" s="535">
        <f t="shared" ref="Z93" si="62">IF(AND(W93="Pay-on-time off bill",X93="Inclusive"),((Y93*1.1)-((Y93*1.1)*U93/100))/1.1,IF(AND(W93="Pay-on-time off usage",X93="Inclusive"),((Y93*1.1)-((P93*1.1)*V93/100))/1.1,IF(AND(W93="Pay-on-time off bill",X93="Exclusive"),Y93-(Y93*U93/100),IF(AND(W93="Pay-on-time off usage",X93="Exclusive"),Y93-(P93*V93/100),IF(X93="Inclusive",((Y93*1.1))/1.1,Y93)))))</f>
        <v>1754.1129399999998</v>
      </c>
      <c r="AA93" s="542">
        <f t="shared" si="60"/>
        <v>1929.524234</v>
      </c>
      <c r="AB93" s="542">
        <f t="shared" si="60"/>
        <v>1929.524234</v>
      </c>
      <c r="AC93" s="274">
        <f>'Tariffs Jul2022'!AZ88</f>
        <v>12</v>
      </c>
      <c r="AD93" s="274" t="str">
        <f>'Tariffs Jul2022'!BA88</f>
        <v>n</v>
      </c>
      <c r="AE93" s="275" t="str">
        <f>'Tariffs Jul2022'!BJ88</f>
        <v>N</v>
      </c>
      <c r="AF93" s="593"/>
      <c r="AG93" s="593"/>
      <c r="AH93" s="593"/>
      <c r="AI93" s="593"/>
      <c r="AJ93" s="593"/>
      <c r="AK93" s="593"/>
      <c r="AL93" s="593"/>
      <c r="AM93" s="593"/>
      <c r="AN93" s="593"/>
      <c r="AO93" s="593"/>
      <c r="AP93" s="593"/>
      <c r="AQ93" s="593"/>
      <c r="AR93" s="593"/>
      <c r="AS93" s="593"/>
      <c r="AT93" s="593"/>
      <c r="AU93" s="593"/>
      <c r="AV93" s="593"/>
      <c r="AW93" s="593"/>
    </row>
    <row r="94" spans="1:49" ht="14" x14ac:dyDescent="0.15">
      <c r="A94" s="270" t="str">
        <f>'Tariffs Jul2022'!F89</f>
        <v>Lumo Energy</v>
      </c>
      <c r="B94" s="40" t="str">
        <f>'Tariffs Jul2022'!D89</f>
        <v>AusNet Services Central 2</v>
      </c>
      <c r="C94" s="40" t="str">
        <f>'Tariffs Jul2022'!G89</f>
        <v>Value</v>
      </c>
      <c r="D94" s="59">
        <f>365*'Tariffs Jul2022'!H89/100</f>
        <v>322.85909090909087</v>
      </c>
      <c r="E94" s="59">
        <f>IF($C$5*'Tariffs Jul2022'!AK89/'Tariffs Jul2022'!AI89&gt;='Tariffs Jul2022'!J89,( 'Tariffs Jul2022'!J89*'Tariffs Jul2022'!O89/100)* 'Tariffs Jul2022'!AI89,($C$5*'Tariffs Jul2022'!AK89/'Tariffs Jul2022'!AI89*'Tariffs Jul2022'!O89/100)* 'Tariffs Jul2022'!AI89)</f>
        <v>249.81818181818181</v>
      </c>
      <c r="F94" s="59">
        <f>IF($C$5*'Tariffs Jul2022'!AK89/'Tariffs Jul2022'!AI89&lt;'Tariffs Jul2022'!J89,0,IF($C$5*'Tariffs Jul2022'!AK89/'Tariffs Jul2022'!AI89&lt;='Tariffs Jul2022'!K89,($C$5*'Tariffs Jul2022'!AK89/'Tariffs Jul2022'!AI89-'Tariffs Jul2022'!J89)*('Tariffs Jul2022'!P89/100)*'Tariffs Jul2022'!AI89,('Tariffs Jul2022'!K89-'Tariffs Jul2022'!J89)*('Tariffs Jul2022'!P89/100)*'Tariffs Jul2022'!AI89))</f>
        <v>183.22996363636361</v>
      </c>
      <c r="G94" s="59">
        <f>IF($C$5*'Tariffs Jul2022'!AK89/'Tariffs Jul2022'!AI89&lt;'Tariffs Jul2022'!K89,0,IF($C$5*'Tariffs Jul2022'!AK89/'Tariffs Jul2022'!AI89&lt;='Tariffs Jul2022'!L89,($C$5*'Tariffs Jul2022'!AK89/'Tariffs Jul2022'!AI89-'Tariffs Jul2022'!K89)*('Tariffs Jul2022'!Q89/100)*'Tariffs Jul2022'!AI89,('Tariffs Jul2022'!L89-'Tariffs Jul2022'!K89)*('Tariffs Jul2022'!Q89/100)*'Tariffs Jul2022'!AI89))</f>
        <v>0</v>
      </c>
      <c r="H94" s="59">
        <f>IF($C$5*'Tariffs Jul2022'!AK89/'Tariffs Jul2022'!AI89&lt;'Tariffs Jul2022'!L89,0,IF($C$5*'Tariffs Jul2022'!AK89/'Tariffs Jul2022'!AI89&lt;='Tariffs Jul2022'!M89,($C$5*'Tariffs Jul2022'!AK89/'Tariffs Jul2022'!AI89-'Tariffs Jul2022'!L89)*('Tariffs Jul2022'!R89/100)*'Tariffs Jul2022'!AI89,('Tariffs Jul2022'!M89-'Tariffs Jul2022'!L89)*('Tariffs Jul2022'!R89/100)*'Tariffs Jul2022'!AI89))</f>
        <v>0</v>
      </c>
      <c r="I94" s="69">
        <f>IF(($C$5*'Tariffs Jul2022'!AK89/'Tariffs Jul2022'!AI89&gt;'Tariffs Jul2022'!M89),($C$5*'Tariffs Jul2022'!AK89/'Tariffs Jul2022'!AI89-'Tariffs Jul2022'!M89)*'Tariffs Jul2022'!S89/100*'Tariffs Jul2022'!AI89,0)</f>
        <v>0</v>
      </c>
      <c r="J94" s="69">
        <f>IF($C$5*'Tariffs Jul2022'!AL89/'Tariffs Jul2022'!AJ89&gt;='Tariffs Jul2022'!J89,('Tariffs Jul2022'!J89*'Tariffs Jul2022'!U89/100)* 'Tariffs Jul2022'!AJ89,($C$5*'Tariffs Jul2022'!AL89/'Tariffs Jul2022'!AJ89*'Tariffs Jul2022'!U89/100)* 'Tariffs Jul2022'!AJ89)</f>
        <v>427.63636363636363</v>
      </c>
      <c r="K94" s="69">
        <f>IF($C$5*'Tariffs Jul2022'!AL89/'Tariffs Jul2022'!AJ89&lt;'Tariffs Jul2022'!J89,0,IF($C$5*'Tariffs Jul2022'!AL89/'Tariffs Jul2022'!AJ89&lt;='Tariffs Jul2022'!K89,($C$5*'Tariffs Jul2022'!AL89/'Tariffs Jul2022'!AJ89-'Tariffs Jul2022'!J89)*('Tariffs Jul2022'!V89/100)*'Tariffs Jul2022'!AJ89,('Tariffs Jul2022'!K89-'Tariffs Jul2022'!J89)*('Tariffs Jul2022'!V89/100)*'Tariffs Jul2022'!AJ89))</f>
        <v>299.38467272727269</v>
      </c>
      <c r="L94" s="69">
        <f>IF($C$5*'Tariffs Jul2022'!AL89/'Tariffs Jul2022'!AJ89&lt;'Tariffs Jul2022'!K89,0,IF($C$5*'Tariffs Jul2022'!AL89/'Tariffs Jul2022'!AJ89&lt;='Tariffs Jul2022'!L89,($C$5*'Tariffs Jul2022'!AL89/'Tariffs Jul2022'!AJ89-'Tariffs Jul2022'!K89)*('Tariffs Jul2022'!W89/100)*'Tariffs Jul2022'!AJ89,('Tariffs Jul2022'!L89-'Tariffs Jul2022'!K89)*('Tariffs Jul2022'!W89/100)*'Tariffs Jul2022'!AJ89))</f>
        <v>0</v>
      </c>
      <c r="M94" s="69">
        <f>IF($C$5*'Tariffs Jul2022'!AL89/'Tariffs Jul2022'!AJ89&lt;'Tariffs Jul2022'!L89,0,IF($C$5*'Tariffs Jul2022'!AL89/'Tariffs Jul2022'!AJ89&lt;='Tariffs Jul2022'!M89,($C$5*'Tariffs Jul2022'!AL89/'Tariffs Jul2022'!AJ89-'Tariffs Jul2022'!L89)*('Tariffs Jul2022'!X89/100)*'Tariffs Jul2022'!AJ89,('Tariffs Jul2022'!M89-'Tariffs Jul2022'!L89)*('Tariffs Jul2022'!X89/100)*'Tariffs Jul2022'!AJ89))</f>
        <v>0</v>
      </c>
      <c r="N94" s="69">
        <f>IF(($C$5*'Tariffs Jul2022'!AL89/'Tariffs Jul2022'!AJ89&gt;'Tariffs Jul2022'!M89),($C$5*'Tariffs Jul2022'!AL89/'Tariffs Jul2022'!AJ89-'Tariffs Jul2022'!M89)*'Tariffs Jul2022'!Y89/100*'Tariffs Jul2022'!AJ89,0)</f>
        <v>0</v>
      </c>
      <c r="O94" s="59">
        <f t="shared" si="52"/>
        <v>1160.0691818181817</v>
      </c>
      <c r="P94" s="503">
        <f t="shared" si="43"/>
        <v>1276.0761</v>
      </c>
      <c r="Q94" s="59">
        <f t="shared" si="53"/>
        <v>1482.9282727272725</v>
      </c>
      <c r="R94" s="272">
        <f t="shared" si="54"/>
        <v>1631.2211</v>
      </c>
      <c r="S94" s="40">
        <f>'Tariffs Jul2022'!AN89</f>
        <v>0</v>
      </c>
      <c r="T94" s="40">
        <f>'Tariffs Jul2022'!AO89</f>
        <v>0</v>
      </c>
      <c r="U94" s="40">
        <f>'Tariffs Jul2022'!AP89</f>
        <v>0</v>
      </c>
      <c r="V94" s="40">
        <f>'Tariffs Jul2022'!AQ89</f>
        <v>0</v>
      </c>
      <c r="W94" s="537" t="str">
        <f t="shared" si="58"/>
        <v>No discount</v>
      </c>
      <c r="X94" s="538" t="str">
        <f t="shared" si="59"/>
        <v>Exclusive</v>
      </c>
      <c r="Y94" s="534">
        <f>IF(AND(W94="Guaranteed off bill",X94="Inclusive"),((Q94*1.1)-((Q94*1.1)*S94/100))/1.1,IF(AND(W94="Guaranteed off usage",X94="Inclusive"),((Q94*1.1)-((P94*1.1)*T94/100))/1.1,IF(AND(W94="Guaranteed off bill",X94="Exclusive"),Q94-(Q94*S94/100),IF(AND(W94="Guaranteed off usage",X94="Exclusive"),Q94-(P94*T94/100),IF(X94="Inclusive",((Q94*1.1))/1.1,Q94)))))</f>
        <v>1482.9282727272725</v>
      </c>
      <c r="Z94" s="535">
        <f>IF(AND(W94="Pay-on-time off bill",X94="Inclusive"),((Y94*1.1)-((Y94*1.1)*U94/100))/1.1,IF(AND(W94="Pay-on-time off usage",X94="Inclusive"),((Y94*1.1)-((P94*1.1)*V94/100))/1.1,IF(AND(W94="Pay-on-time off bill",X94="Exclusive"),Y94-(Y94*U94/100),IF(AND(W94="Pay-on-time off usage",X94="Exclusive"),Y94-(P94*V94/100),IF(X94="Inclusive",((Y94*1.1))/1.1,Y94)))))</f>
        <v>1482.9282727272725</v>
      </c>
      <c r="AA94" s="542">
        <f t="shared" si="60"/>
        <v>1631.2211</v>
      </c>
      <c r="AB94" s="542">
        <f t="shared" si="60"/>
        <v>1631.2211</v>
      </c>
      <c r="AC94" s="274">
        <f>'Tariffs Jul2022'!AZ89</f>
        <v>0</v>
      </c>
      <c r="AD94" s="274" t="str">
        <f>'Tariffs Jul2022'!BA89</f>
        <v>n</v>
      </c>
      <c r="AE94" s="275" t="str">
        <f>'Tariffs Jul2022'!BJ89</f>
        <v>N</v>
      </c>
      <c r="AF94" s="593"/>
      <c r="AG94" s="593"/>
      <c r="AH94" s="593"/>
      <c r="AI94" s="593"/>
      <c r="AJ94" s="593"/>
      <c r="AK94" s="593"/>
      <c r="AL94" s="593"/>
      <c r="AM94" s="593"/>
      <c r="AN94" s="593"/>
      <c r="AO94" s="593"/>
      <c r="AP94" s="593"/>
      <c r="AQ94" s="593"/>
      <c r="AR94" s="593"/>
      <c r="AS94" s="593"/>
      <c r="AT94" s="593"/>
      <c r="AU94" s="593"/>
      <c r="AV94" s="593"/>
      <c r="AW94" s="593"/>
    </row>
    <row r="95" spans="1:49" ht="14" x14ac:dyDescent="0.15">
      <c r="A95" s="270" t="str">
        <f>'Tariffs Jul2022'!F90</f>
        <v>Origin Energy</v>
      </c>
      <c r="B95" s="40" t="str">
        <f>'Tariffs Jul2022'!D90</f>
        <v>AusNet Services Central 2</v>
      </c>
      <c r="C95" s="40" t="str">
        <f>'Tariffs Jul2022'!G90</f>
        <v>Go Variable</v>
      </c>
      <c r="D95" s="59">
        <f>365*'Tariffs Jul2022'!H90/100</f>
        <v>299.26681818181817</v>
      </c>
      <c r="E95" s="59">
        <f>((C$5*'Tariffs Jul2022'!AK90/'Tariffs Jul2022'!AI90)*('Tariffs Jul2022'!O90/100))*'Tariffs Jul2022'!AI90</f>
        <v>693</v>
      </c>
      <c r="F95" s="59">
        <v>0</v>
      </c>
      <c r="G95" s="59">
        <v>0</v>
      </c>
      <c r="H95" s="59">
        <v>0</v>
      </c>
      <c r="I95" s="69">
        <v>0</v>
      </c>
      <c r="J95" s="69">
        <f>((C$5*'Tariffs Jul2022'!AL90/'Tariffs Jul2022'!AJ90)*('Tariffs Jul2022'!U90/100))*'Tariffs Jul2022'!AJ90</f>
        <v>693</v>
      </c>
      <c r="K95" s="69">
        <v>0</v>
      </c>
      <c r="L95" s="69">
        <v>0</v>
      </c>
      <c r="M95" s="69">
        <v>0</v>
      </c>
      <c r="N95" s="69">
        <v>0</v>
      </c>
      <c r="O95" s="59">
        <f t="shared" si="52"/>
        <v>1386</v>
      </c>
      <c r="P95" s="503">
        <f t="shared" si="43"/>
        <v>1524.6000000000001</v>
      </c>
      <c r="Q95" s="59">
        <f t="shared" si="53"/>
        <v>1685.2668181818181</v>
      </c>
      <c r="R95" s="272">
        <f t="shared" si="54"/>
        <v>1853.7935</v>
      </c>
      <c r="S95" s="40">
        <f>'Tariffs Jul2022'!AN90</f>
        <v>0</v>
      </c>
      <c r="T95" s="40">
        <f>'Tariffs Jul2022'!AO90</f>
        <v>0</v>
      </c>
      <c r="U95" s="40">
        <f>'Tariffs Jul2022'!AP90</f>
        <v>0</v>
      </c>
      <c r="V95" s="40">
        <f>'Tariffs Jul2022'!AQ90</f>
        <v>0</v>
      </c>
      <c r="W95" s="537" t="str">
        <f t="shared" si="58"/>
        <v>No discount</v>
      </c>
      <c r="X95" s="538" t="str">
        <f t="shared" si="59"/>
        <v>Inclusive</v>
      </c>
      <c r="Y95" s="534">
        <f>IF(AND(W95="Guaranteed off bill",X95="Inclusive"),((Q95*1.1)-((Q95*1.1)*S95/100))/1.1,IF(AND(W95="Guaranteed off usage",X95="Inclusive"),((Q95*1.1)-((P95*1.1)*T95/100))/1.1,IF(AND(W95="Guaranteed off bill",X95="Exclusive"),Q95-(Q95*S95/100),IF(AND(W95="Guaranteed off usage",X95="Exclusive"),Q95-(P95*T95/100),IF(X95="Inclusive",((Q95*1.1))/1.1,Q95)))))</f>
        <v>1685.2668181818181</v>
      </c>
      <c r="Z95" s="535">
        <f>IF(AND(W95="Pay-on-time off bill",X95="Inclusive"),((Y95*1.1)-((Y95*1.1)*U95/100))/1.1,IF(AND(W95="Pay-on-time off usage",X95="Inclusive"),((Y95*1.1)-((P95*1.1)*V95/100))/1.1,IF(AND(W95="Pay-on-time off bill",X95="Exclusive"),Y95-(Y95*U95/100),IF(AND(W95="Pay-on-time off usage",X95="Exclusive"),Y95-(P95*V95/100),IF(X95="Inclusive",((Y95*1.1))/1.1,Y95)))))</f>
        <v>1685.2668181818181</v>
      </c>
      <c r="AA95" s="542">
        <f t="shared" si="60"/>
        <v>1853.7935</v>
      </c>
      <c r="AB95" s="542">
        <f t="shared" si="60"/>
        <v>1853.7935</v>
      </c>
      <c r="AC95" s="274">
        <f>'Tariffs Jul2022'!AZ90</f>
        <v>0</v>
      </c>
      <c r="AD95" s="274" t="str">
        <f>'Tariffs Jul2022'!BA90</f>
        <v>n</v>
      </c>
      <c r="AE95" s="275" t="str">
        <f>'Tariffs Jul2022'!BJ90</f>
        <v>N</v>
      </c>
      <c r="AF95" s="593"/>
      <c r="AG95" s="593"/>
      <c r="AH95" s="593"/>
      <c r="AI95" s="593"/>
      <c r="AJ95" s="593"/>
      <c r="AK95" s="593"/>
      <c r="AL95" s="593"/>
      <c r="AM95" s="593"/>
      <c r="AN95" s="593"/>
      <c r="AO95" s="593"/>
      <c r="AP95" s="593"/>
      <c r="AQ95" s="593"/>
      <c r="AR95" s="593"/>
      <c r="AS95" s="593"/>
      <c r="AT95" s="593"/>
      <c r="AU95" s="593"/>
      <c r="AV95" s="593"/>
      <c r="AW95" s="593"/>
    </row>
    <row r="96" spans="1:49" ht="14" x14ac:dyDescent="0.15">
      <c r="A96" s="270" t="str">
        <f>'Tariffs Jul2022'!F91</f>
        <v>Red Energy</v>
      </c>
      <c r="B96" s="40" t="str">
        <f>'Tariffs Jul2022'!D91</f>
        <v>AusNet Services Central 2</v>
      </c>
      <c r="C96" s="40" t="str">
        <f>'Tariffs Jul2022'!G91</f>
        <v>Living Energy Saver</v>
      </c>
      <c r="D96" s="59">
        <f>365*'Tariffs Jul2022'!H91/100</f>
        <v>333.97500000000002</v>
      </c>
      <c r="E96" s="59">
        <f>IF($C$5*'Tariffs Jul2022'!AK91/'Tariffs Jul2022'!AI91&gt;='Tariffs Jul2022'!J91,( 'Tariffs Jul2022'!J91*'Tariffs Jul2022'!O91/100)* 'Tariffs Jul2022'!AI91,($C$5*'Tariffs Jul2022'!AK91/'Tariffs Jul2022'!AI91*'Tariffs Jul2022'!O91/100)* 'Tariffs Jul2022'!AI91)</f>
        <v>259.63636363636363</v>
      </c>
      <c r="F96" s="59">
        <f>IF($C$5*'Tariffs Jul2022'!AK91/'Tariffs Jul2022'!AI91&lt;'Tariffs Jul2022'!J91,0,IF($C$5*'Tariffs Jul2022'!AK91/'Tariffs Jul2022'!AI91&lt;='Tariffs Jul2022'!K91,($C$5*'Tariffs Jul2022'!AK91/'Tariffs Jul2022'!AI91-'Tariffs Jul2022'!J91)*('Tariffs Jul2022'!P91/100)*'Tariffs Jul2022'!AI91,('Tariffs Jul2022'!K91-'Tariffs Jul2022'!J91)*('Tariffs Jul2022'!P91/100)*'Tariffs Jul2022'!AI91))</f>
        <v>184.8659454545454</v>
      </c>
      <c r="G96" s="59">
        <f>IF($C$5*'Tariffs Jul2022'!AK91/'Tariffs Jul2022'!AI91&lt;'Tariffs Jul2022'!K91,0,IF($C$5*'Tariffs Jul2022'!AK91/'Tariffs Jul2022'!AI91&lt;='Tariffs Jul2022'!L91,($C$5*'Tariffs Jul2022'!AK91/'Tariffs Jul2022'!AI91-'Tariffs Jul2022'!K91)*('Tariffs Jul2022'!Q91/100)*'Tariffs Jul2022'!AI91,('Tariffs Jul2022'!L91-'Tariffs Jul2022'!K91)*('Tariffs Jul2022'!Q91/100)*'Tariffs Jul2022'!AI91))</f>
        <v>0</v>
      </c>
      <c r="H96" s="59">
        <f>IF($C$5*'Tariffs Jul2022'!AK91/'Tariffs Jul2022'!AI91&lt;'Tariffs Jul2022'!L91,0,IF($C$5*'Tariffs Jul2022'!AK91/'Tariffs Jul2022'!AI91&lt;='Tariffs Jul2022'!M91,($C$5*'Tariffs Jul2022'!AK91/'Tariffs Jul2022'!AI91-'Tariffs Jul2022'!L91)*('Tariffs Jul2022'!R91/100)*'Tariffs Jul2022'!AI91,('Tariffs Jul2022'!M91-'Tariffs Jul2022'!L91)*('Tariffs Jul2022'!R91/100)*'Tariffs Jul2022'!AI91))</f>
        <v>0</v>
      </c>
      <c r="I96" s="69">
        <f>IF(($C$5*'Tariffs Jul2022'!AK91/'Tariffs Jul2022'!AI91&gt;'Tariffs Jul2022'!M91),($C$5*'Tariffs Jul2022'!AK91/'Tariffs Jul2022'!AI91-'Tariffs Jul2022'!M91)*'Tariffs Jul2022'!S91/100*'Tariffs Jul2022'!AI91,0)</f>
        <v>0</v>
      </c>
      <c r="J96" s="69">
        <f>IF($C$5*'Tariffs Jul2022'!AL91/'Tariffs Jul2022'!AJ91&gt;='Tariffs Jul2022'!J91,('Tariffs Jul2022'!J91*'Tariffs Jul2022'!U91/100)* 'Tariffs Jul2022'!AJ91,($C$5*'Tariffs Jul2022'!AL91/'Tariffs Jul2022'!AJ91*'Tariffs Jul2022'!U91/100)* 'Tariffs Jul2022'!AJ91)</f>
        <v>475.63636363636363</v>
      </c>
      <c r="K96" s="69">
        <f>IF($C$5*'Tariffs Jul2022'!AL91/'Tariffs Jul2022'!AJ91&lt;'Tariffs Jul2022'!J91,0,IF($C$5*'Tariffs Jul2022'!AL91/'Tariffs Jul2022'!AJ91&lt;='Tariffs Jul2022'!K91,($C$5*'Tariffs Jul2022'!AL91/'Tariffs Jul2022'!AJ91-'Tariffs Jul2022'!J91)*('Tariffs Jul2022'!V91/100)*'Tariffs Jul2022'!AJ91,('Tariffs Jul2022'!K91-'Tariffs Jul2022'!J91)*('Tariffs Jul2022'!V91/100)*'Tariffs Jul2022'!AJ91))</f>
        <v>338.64823636363627</v>
      </c>
      <c r="L96" s="69">
        <f>IF($C$5*'Tariffs Jul2022'!AL91/'Tariffs Jul2022'!AJ91&lt;'Tariffs Jul2022'!K91,0,IF($C$5*'Tariffs Jul2022'!AL91/'Tariffs Jul2022'!AJ91&lt;='Tariffs Jul2022'!L91,($C$5*'Tariffs Jul2022'!AL91/'Tariffs Jul2022'!AJ91-'Tariffs Jul2022'!K91)*('Tariffs Jul2022'!W91/100)*'Tariffs Jul2022'!AJ91,('Tariffs Jul2022'!L91-'Tariffs Jul2022'!K91)*('Tariffs Jul2022'!W91/100)*'Tariffs Jul2022'!AJ91))</f>
        <v>0</v>
      </c>
      <c r="M96" s="69">
        <f>IF($C$5*'Tariffs Jul2022'!AL91/'Tariffs Jul2022'!AJ91&lt;'Tariffs Jul2022'!L91,0,IF($C$5*'Tariffs Jul2022'!AL91/'Tariffs Jul2022'!AJ91&lt;='Tariffs Jul2022'!M91,($C$5*'Tariffs Jul2022'!AL91/'Tariffs Jul2022'!AJ91-'Tariffs Jul2022'!L91)*('Tariffs Jul2022'!X91/100)*'Tariffs Jul2022'!AJ91,('Tariffs Jul2022'!M91-'Tariffs Jul2022'!L91)*('Tariffs Jul2022'!X91/100)*'Tariffs Jul2022'!AJ91))</f>
        <v>0</v>
      </c>
      <c r="N96" s="69">
        <f>IF(($C$5*'Tariffs Jul2022'!AL91/'Tariffs Jul2022'!AJ91&gt;'Tariffs Jul2022'!M91),($C$5*'Tariffs Jul2022'!AL91/'Tariffs Jul2022'!AJ91-'Tariffs Jul2022'!M91)*'Tariffs Jul2022'!Y91/100*'Tariffs Jul2022'!AJ91,0)</f>
        <v>0</v>
      </c>
      <c r="O96" s="59">
        <f t="shared" si="52"/>
        <v>1258.7869090909089</v>
      </c>
      <c r="P96" s="503">
        <f t="shared" si="43"/>
        <v>1384.6655999999998</v>
      </c>
      <c r="Q96" s="59">
        <f t="shared" si="53"/>
        <v>1592.7619090909088</v>
      </c>
      <c r="R96" s="272">
        <f t="shared" si="54"/>
        <v>1752.0380999999998</v>
      </c>
      <c r="S96" s="40">
        <f>'Tariffs Jul2022'!AN91</f>
        <v>0</v>
      </c>
      <c r="T96" s="40">
        <f>'Tariffs Jul2022'!AO91</f>
        <v>0</v>
      </c>
      <c r="U96" s="40">
        <f>'Tariffs Jul2022'!AP91</f>
        <v>0</v>
      </c>
      <c r="V96" s="40">
        <f>'Tariffs Jul2022'!AQ91</f>
        <v>0</v>
      </c>
      <c r="W96" s="537" t="str">
        <f t="shared" si="58"/>
        <v>No discount</v>
      </c>
      <c r="X96" s="538" t="str">
        <f t="shared" si="59"/>
        <v>Inclusive</v>
      </c>
      <c r="Y96" s="534">
        <f t="shared" ref="Y96:Y98" si="63">IF(AND(W96="Guaranteed off bill",X96="Inclusive"),((Q96*1.1)-((Q96*1.1)*S96/100))/1.1,IF(AND(W96="Guaranteed off usage",X96="Inclusive"),((Q96*1.1)-((P96*1.1)*T96/100))/1.1,IF(AND(W96="Guaranteed off bill",X96="Exclusive"),Q96-(Q96*S96/100),IF(AND(W96="Guaranteed off usage",X96="Exclusive"),Q96-(P96*T96/100),IF(X96="Inclusive",((Q96*1.1))/1.1,Q96)))))</f>
        <v>1592.7619090909088</v>
      </c>
      <c r="Z96" s="535">
        <f t="shared" ref="Z96:Z98" si="64">IF(AND(W96="Pay-on-time off bill",X96="Inclusive"),((Y96*1.1)-((Y96*1.1)*U96/100))/1.1,IF(AND(W96="Pay-on-time off usage",X96="Inclusive"),((Y96*1.1)-((P96*1.1)*V96/100))/1.1,IF(AND(W96="Pay-on-time off bill",X96="Exclusive"),Y96-(Y96*U96/100),IF(AND(W96="Pay-on-time off usage",X96="Exclusive"),Y96-(P96*V96/100),IF(X96="Inclusive",((Y96*1.1))/1.1,Y96)))))</f>
        <v>1592.7619090909088</v>
      </c>
      <c r="AA96" s="542">
        <f t="shared" si="60"/>
        <v>1752.0380999999998</v>
      </c>
      <c r="AB96" s="542">
        <f t="shared" si="60"/>
        <v>1752.0380999999998</v>
      </c>
      <c r="AC96" s="274">
        <f>'Tariffs Jul2022'!AZ91</f>
        <v>0</v>
      </c>
      <c r="AD96" s="274" t="str">
        <f>'Tariffs Jul2022'!BA91</f>
        <v>n</v>
      </c>
      <c r="AE96" s="275" t="str">
        <f>'Tariffs Jul2022'!BJ91</f>
        <v>N</v>
      </c>
      <c r="AF96" s="593"/>
      <c r="AG96" s="593"/>
      <c r="AH96" s="593"/>
      <c r="AI96" s="593"/>
      <c r="AJ96" s="593"/>
      <c r="AK96" s="593"/>
      <c r="AL96" s="593"/>
      <c r="AM96" s="593"/>
      <c r="AN96" s="593"/>
      <c r="AO96" s="593"/>
      <c r="AP96" s="593"/>
      <c r="AQ96" s="593"/>
      <c r="AR96" s="593"/>
      <c r="AS96" s="593"/>
      <c r="AT96" s="593"/>
      <c r="AU96" s="593"/>
      <c r="AV96" s="593"/>
      <c r="AW96" s="593"/>
    </row>
    <row r="97" spans="1:49" ht="14" x14ac:dyDescent="0.15">
      <c r="A97" s="270" t="str">
        <f>'Tariffs Jul2022'!F92</f>
        <v>Simply Energy</v>
      </c>
      <c r="B97" s="40" t="str">
        <f>'Tariffs Jul2022'!D92</f>
        <v>AusNet Services Central 2</v>
      </c>
      <c r="C97" s="40" t="str">
        <f>'Tariffs Jul2022'!G92</f>
        <v>Basics</v>
      </c>
      <c r="D97" s="59">
        <f>365*'Tariffs Jul2022'!H92/100</f>
        <v>319.9722727272727</v>
      </c>
      <c r="E97" s="59">
        <f>IF($C$5*'Tariffs Jul2022'!AK92/'Tariffs Jul2022'!AI92&gt;='Tariffs Jul2022'!J92,( 'Tariffs Jul2022'!J92*'Tariffs Jul2022'!O92/100)* 'Tariffs Jul2022'!AI92,($C$5*'Tariffs Jul2022'!AK92/'Tariffs Jul2022'!AI92*'Tariffs Jul2022'!O92/100)* 'Tariffs Jul2022'!AI92)</f>
        <v>391.63636363636363</v>
      </c>
      <c r="F97" s="59">
        <f>IF($C$5*'Tariffs Jul2022'!AK92/'Tariffs Jul2022'!AI92&lt;'Tariffs Jul2022'!J92,0,IF($C$5*'Tariffs Jul2022'!AK92/'Tariffs Jul2022'!AI92&lt;='Tariffs Jul2022'!K92,($C$5*'Tariffs Jul2022'!AK92/'Tariffs Jul2022'!AI92-'Tariffs Jul2022'!J92)*('Tariffs Jul2022'!P92/100)*'Tariffs Jul2022'!AI92,('Tariffs Jul2022'!K92-'Tariffs Jul2022'!J92)*('Tariffs Jul2022'!P92/100)*'Tariffs Jul2022'!AI92))</f>
        <v>287.93279999999993</v>
      </c>
      <c r="G97" s="59">
        <f>IF($C$5*'Tariffs Jul2022'!AK92/'Tariffs Jul2022'!AI92&lt;'Tariffs Jul2022'!K92,0,IF($C$5*'Tariffs Jul2022'!AK92/'Tariffs Jul2022'!AI92&lt;='Tariffs Jul2022'!L92,($C$5*'Tariffs Jul2022'!AK92/'Tariffs Jul2022'!AI92-'Tariffs Jul2022'!K92)*('Tariffs Jul2022'!Q92/100)*'Tariffs Jul2022'!AI92,('Tariffs Jul2022'!L92-'Tariffs Jul2022'!K92)*('Tariffs Jul2022'!Q92/100)*'Tariffs Jul2022'!AI92))</f>
        <v>0</v>
      </c>
      <c r="H97" s="59">
        <f>IF($C$5*'Tariffs Jul2022'!AK92/'Tariffs Jul2022'!AI92&lt;'Tariffs Jul2022'!L92,0,IF($C$5*'Tariffs Jul2022'!AK92/'Tariffs Jul2022'!AI92&lt;='Tariffs Jul2022'!M92,($C$5*'Tariffs Jul2022'!AK92/'Tariffs Jul2022'!AI92-'Tariffs Jul2022'!L92)*('Tariffs Jul2022'!R92/100)*'Tariffs Jul2022'!AI92,('Tariffs Jul2022'!M92-'Tariffs Jul2022'!L92)*('Tariffs Jul2022'!R92/100)*'Tariffs Jul2022'!AI92))</f>
        <v>0</v>
      </c>
      <c r="I97" s="69">
        <f>IF(($C$5*'Tariffs Jul2022'!AK92/'Tariffs Jul2022'!AI92&gt;'Tariffs Jul2022'!M92),($C$5*'Tariffs Jul2022'!AK92/'Tariffs Jul2022'!AI92-'Tariffs Jul2022'!M92)*'Tariffs Jul2022'!S92/100*'Tariffs Jul2022'!AI92,0)</f>
        <v>0</v>
      </c>
      <c r="J97" s="69">
        <f>IF($C$5*'Tariffs Jul2022'!AL92/'Tariffs Jul2022'!AJ92&gt;='Tariffs Jul2022'!J92,('Tariffs Jul2022'!J92*'Tariffs Jul2022'!U92/100)* 'Tariffs Jul2022'!AJ92,($C$5*'Tariffs Jul2022'!AL92/'Tariffs Jul2022'!AJ92*'Tariffs Jul2022'!U92/100)* 'Tariffs Jul2022'!AJ92)</f>
        <v>597.81818181818176</v>
      </c>
      <c r="K97" s="69">
        <f>IF($C$5*'Tariffs Jul2022'!AL92/'Tariffs Jul2022'!AJ92&lt;'Tariffs Jul2022'!J92,0,IF($C$5*'Tariffs Jul2022'!AL92/'Tariffs Jul2022'!AJ92&lt;='Tariffs Jul2022'!K92,($C$5*'Tariffs Jul2022'!AL92/'Tariffs Jul2022'!AJ92-'Tariffs Jul2022'!J92)*('Tariffs Jul2022'!V92/100)*'Tariffs Jul2022'!AJ92,('Tariffs Jul2022'!K92-'Tariffs Jul2022'!J92)*('Tariffs Jul2022'!V92/100)*'Tariffs Jul2022'!AJ92))</f>
        <v>431.89919999999989</v>
      </c>
      <c r="L97" s="69">
        <f>IF($C$5*'Tariffs Jul2022'!AL92/'Tariffs Jul2022'!AJ92&lt;'Tariffs Jul2022'!K92,0,IF($C$5*'Tariffs Jul2022'!AL92/'Tariffs Jul2022'!AJ92&lt;='Tariffs Jul2022'!L92,($C$5*'Tariffs Jul2022'!AL92/'Tariffs Jul2022'!AJ92-'Tariffs Jul2022'!K92)*('Tariffs Jul2022'!W92/100)*'Tariffs Jul2022'!AJ92,('Tariffs Jul2022'!L92-'Tariffs Jul2022'!K92)*('Tariffs Jul2022'!W92/100)*'Tariffs Jul2022'!AJ92))</f>
        <v>0</v>
      </c>
      <c r="M97" s="69">
        <f>IF($C$5*'Tariffs Jul2022'!AL92/'Tariffs Jul2022'!AJ92&lt;'Tariffs Jul2022'!L92,0,IF($C$5*'Tariffs Jul2022'!AL92/'Tariffs Jul2022'!AJ92&lt;='Tariffs Jul2022'!M92,($C$5*'Tariffs Jul2022'!AL92/'Tariffs Jul2022'!AJ92-'Tariffs Jul2022'!L92)*('Tariffs Jul2022'!X92/100)*'Tariffs Jul2022'!AJ92,('Tariffs Jul2022'!M92-'Tariffs Jul2022'!L92)*('Tariffs Jul2022'!X92/100)*'Tariffs Jul2022'!AJ92))</f>
        <v>0</v>
      </c>
      <c r="N97" s="69">
        <f>IF(($C$5*'Tariffs Jul2022'!AL92/'Tariffs Jul2022'!AJ92&gt;'Tariffs Jul2022'!M92),($C$5*'Tariffs Jul2022'!AL92/'Tariffs Jul2022'!AJ92-'Tariffs Jul2022'!M92)*'Tariffs Jul2022'!Y92/100*'Tariffs Jul2022'!AJ92,0)</f>
        <v>0</v>
      </c>
      <c r="O97" s="59">
        <f t="shared" si="52"/>
        <v>1709.2865454545451</v>
      </c>
      <c r="P97" s="503">
        <f t="shared" si="43"/>
        <v>1880.2151999999999</v>
      </c>
      <c r="Q97" s="59">
        <f t="shared" si="53"/>
        <v>2029.2588181818178</v>
      </c>
      <c r="R97" s="272">
        <f t="shared" si="54"/>
        <v>2232.1846999999998</v>
      </c>
      <c r="S97" s="40">
        <f>'Tariffs Jul2022'!AN92</f>
        <v>0</v>
      </c>
      <c r="T97" s="40">
        <f>'Tariffs Jul2022'!AO92</f>
        <v>0</v>
      </c>
      <c r="U97" s="40">
        <f>'Tariffs Jul2022'!AP92</f>
        <v>0</v>
      </c>
      <c r="V97" s="40">
        <f>'Tariffs Jul2022'!AQ92</f>
        <v>0</v>
      </c>
      <c r="W97" s="537" t="str">
        <f t="shared" si="58"/>
        <v>No discount</v>
      </c>
      <c r="X97" s="538" t="str">
        <f t="shared" si="59"/>
        <v>Exclusive</v>
      </c>
      <c r="Y97" s="534">
        <f t="shared" si="63"/>
        <v>2029.2588181818178</v>
      </c>
      <c r="Z97" s="535">
        <f t="shared" si="64"/>
        <v>2029.2588181818178</v>
      </c>
      <c r="AA97" s="542">
        <f t="shared" si="60"/>
        <v>2232.1846999999998</v>
      </c>
      <c r="AB97" s="542">
        <f t="shared" si="60"/>
        <v>2232.1846999999998</v>
      </c>
      <c r="AC97" s="274">
        <f>'Tariffs Jul2022'!AZ92</f>
        <v>0</v>
      </c>
      <c r="AD97" s="274" t="str">
        <f>'Tariffs Jul2022'!BA92</f>
        <v>n</v>
      </c>
      <c r="AE97" s="275" t="str">
        <f>'Tariffs Jul2022'!BJ92</f>
        <v>N</v>
      </c>
      <c r="AF97" s="593"/>
      <c r="AG97" s="593"/>
      <c r="AH97" s="593"/>
      <c r="AI97" s="593"/>
      <c r="AJ97" s="593"/>
      <c r="AK97" s="593"/>
      <c r="AL97" s="593"/>
      <c r="AM97" s="593"/>
      <c r="AN97" s="593"/>
      <c r="AO97" s="593"/>
      <c r="AP97" s="593"/>
      <c r="AQ97" s="593"/>
      <c r="AR97" s="593"/>
      <c r="AS97" s="593"/>
      <c r="AT97" s="593"/>
      <c r="AU97" s="593"/>
      <c r="AV97" s="593"/>
      <c r="AW97" s="593"/>
    </row>
    <row r="98" spans="1:49" ht="14" x14ac:dyDescent="0.15">
      <c r="A98" s="270" t="str">
        <f>'Tariffs Jul2022'!F93</f>
        <v>GloBird Energy</v>
      </c>
      <c r="B98" s="40" t="str">
        <f>'Tariffs Jul2022'!D93</f>
        <v>AusNet Services Central 2</v>
      </c>
      <c r="C98" s="40" t="str">
        <f>'Tariffs Jul2022'!G93</f>
        <v>GloSave</v>
      </c>
      <c r="D98" s="59">
        <f>365*'Tariffs Jul2022'!H93/100</f>
        <v>284.7</v>
      </c>
      <c r="E98" s="59">
        <f>IF($C$5*'Tariffs Jul2022'!AK93/'Tariffs Jul2022'!AI93&gt;='Tariffs Jul2022'!J93,( 'Tariffs Jul2022'!J93*'Tariffs Jul2022'!O93/100)* 'Tariffs Jul2022'!AI93,($C$5*'Tariffs Jul2022'!AK93/'Tariffs Jul2022'!AI93*'Tariffs Jul2022'!O93/100)* 'Tariffs Jul2022'!AI93)</f>
        <v>348</v>
      </c>
      <c r="F98" s="59">
        <f>IF($C$5*'Tariffs Jul2022'!AK93/'Tariffs Jul2022'!AI93&lt;'Tariffs Jul2022'!J93,0,IF($C$5*'Tariffs Jul2022'!AK93/'Tariffs Jul2022'!AI93&lt;='Tariffs Jul2022'!K93,($C$5*'Tariffs Jul2022'!AK93/'Tariffs Jul2022'!AI93-'Tariffs Jul2022'!J93)*('Tariffs Jul2022'!P93/100)*'Tariffs Jul2022'!AI93,('Tariffs Jul2022'!K93-'Tariffs Jul2022'!J93)*('Tariffs Jul2022'!P93/100)*'Tariffs Jul2022'!AI93))</f>
        <v>0</v>
      </c>
      <c r="G98" s="59">
        <f>IF($C$5*'Tariffs Jul2022'!AK93/'Tariffs Jul2022'!AI93&lt;'Tariffs Jul2022'!K93,0,IF($C$5*'Tariffs Jul2022'!AK93/'Tariffs Jul2022'!AI93&lt;='Tariffs Jul2022'!L93,($C$5*'Tariffs Jul2022'!AK93/'Tariffs Jul2022'!AI93-'Tariffs Jul2022'!K93)*('Tariffs Jul2022'!Q93/100)*'Tariffs Jul2022'!AI93,('Tariffs Jul2022'!L93-'Tariffs Jul2022'!K93)*('Tariffs Jul2022'!Q93/100)*'Tariffs Jul2022'!AI93))</f>
        <v>0</v>
      </c>
      <c r="H98" s="59">
        <f>IF($C$5*'Tariffs Jul2022'!AK93/'Tariffs Jul2022'!AI93&lt;'Tariffs Jul2022'!L93,0,IF($C$5*'Tariffs Jul2022'!AK93/'Tariffs Jul2022'!AI93&lt;='Tariffs Jul2022'!M93,($C$5*'Tariffs Jul2022'!AK93/'Tariffs Jul2022'!AI93-'Tariffs Jul2022'!L93)*('Tariffs Jul2022'!R93/100)*'Tariffs Jul2022'!AI93,('Tariffs Jul2022'!M93-'Tariffs Jul2022'!L93)*('Tariffs Jul2022'!R93/100)*'Tariffs Jul2022'!AI93))</f>
        <v>0</v>
      </c>
      <c r="I98" s="69">
        <f>IF(($C$5*'Tariffs Jul2022'!AK93/'Tariffs Jul2022'!AI93&gt;'Tariffs Jul2022'!M93),($C$5*'Tariffs Jul2022'!AK93/'Tariffs Jul2022'!AI93-'Tariffs Jul2022'!M93)*'Tariffs Jul2022'!S93/100*'Tariffs Jul2022'!AI93,0)</f>
        <v>247.85124545454536</v>
      </c>
      <c r="J98" s="69">
        <f>IF($C$5*'Tariffs Jul2022'!AL93/'Tariffs Jul2022'!AJ93&gt;='Tariffs Jul2022'!J93,('Tariffs Jul2022'!J93*'Tariffs Jul2022'!U93/100)* 'Tariffs Jul2022'!AJ93,($C$5*'Tariffs Jul2022'!AL93/'Tariffs Jul2022'!AJ93*'Tariffs Jul2022'!U93/100)* 'Tariffs Jul2022'!AJ93)</f>
        <v>623.99999999999989</v>
      </c>
      <c r="K98" s="69">
        <f>IF($C$5*'Tariffs Jul2022'!AL93/'Tariffs Jul2022'!AJ93&lt;'Tariffs Jul2022'!J93,0,IF($C$5*'Tariffs Jul2022'!AL93/'Tariffs Jul2022'!AJ93&lt;='Tariffs Jul2022'!K93,($C$5*'Tariffs Jul2022'!AL93/'Tariffs Jul2022'!AJ93-'Tariffs Jul2022'!J93)*('Tariffs Jul2022'!V93/100)*'Tariffs Jul2022'!AJ93,('Tariffs Jul2022'!K93-'Tariffs Jul2022'!J93)*('Tariffs Jul2022'!V93/100)*'Tariffs Jul2022'!AJ93))</f>
        <v>0</v>
      </c>
      <c r="L98" s="69">
        <f>IF($C$5*'Tariffs Jul2022'!AL93/'Tariffs Jul2022'!AJ93&lt;'Tariffs Jul2022'!K93,0,IF($C$5*'Tariffs Jul2022'!AL93/'Tariffs Jul2022'!AJ93&lt;='Tariffs Jul2022'!L93,($C$5*'Tariffs Jul2022'!AL93/'Tariffs Jul2022'!AJ93-'Tariffs Jul2022'!K93)*('Tariffs Jul2022'!W93/100)*'Tariffs Jul2022'!AJ93,('Tariffs Jul2022'!L93-'Tariffs Jul2022'!K93)*('Tariffs Jul2022'!W93/100)*'Tariffs Jul2022'!AJ93))</f>
        <v>0</v>
      </c>
      <c r="M98" s="69">
        <f>IF($C$5*'Tariffs Jul2022'!AL93/'Tariffs Jul2022'!AJ93&lt;'Tariffs Jul2022'!L93,0,IF($C$5*'Tariffs Jul2022'!AL93/'Tariffs Jul2022'!AJ93&lt;='Tariffs Jul2022'!M93,($C$5*'Tariffs Jul2022'!AL93/'Tariffs Jul2022'!AJ93-'Tariffs Jul2022'!L93)*('Tariffs Jul2022'!X93/100)*'Tariffs Jul2022'!AJ93,('Tariffs Jul2022'!M93-'Tariffs Jul2022'!L93)*('Tariffs Jul2022'!X93/100)*'Tariffs Jul2022'!AJ93))</f>
        <v>0</v>
      </c>
      <c r="N98" s="69">
        <f>IF(($C$5*'Tariffs Jul2022'!AL93/'Tariffs Jul2022'!AJ93&gt;'Tariffs Jul2022'!M93),($C$5*'Tariffs Jul2022'!AL93/'Tariffs Jul2022'!AJ93-'Tariffs Jul2022'!M93)*'Tariffs Jul2022'!Y93/100*'Tariffs Jul2022'!AJ93,0)</f>
        <v>449.89499999999987</v>
      </c>
      <c r="O98" s="59">
        <f t="shared" si="52"/>
        <v>1669.7462454545453</v>
      </c>
      <c r="P98" s="503">
        <f t="shared" si="43"/>
        <v>1836.7208699999999</v>
      </c>
      <c r="Q98" s="59">
        <f t="shared" si="53"/>
        <v>1954.4462454545453</v>
      </c>
      <c r="R98" s="272">
        <f t="shared" si="54"/>
        <v>2149.8908700000002</v>
      </c>
      <c r="S98" s="40">
        <f>'Tariffs Jul2022'!AN93</f>
        <v>0</v>
      </c>
      <c r="T98" s="40">
        <f>'Tariffs Jul2022'!AO93</f>
        <v>0</v>
      </c>
      <c r="U98" s="40">
        <f>'Tariffs Jul2022'!AP93</f>
        <v>0</v>
      </c>
      <c r="V98" s="40">
        <f>'Tariffs Jul2022'!AQ93</f>
        <v>0</v>
      </c>
      <c r="W98" s="537" t="str">
        <f t="shared" si="58"/>
        <v>No discount</v>
      </c>
      <c r="X98" s="538" t="str">
        <f t="shared" si="59"/>
        <v>Exclusive</v>
      </c>
      <c r="Y98" s="534">
        <f t="shared" si="63"/>
        <v>1954.4462454545453</v>
      </c>
      <c r="Z98" s="535">
        <f t="shared" si="64"/>
        <v>1954.4462454545453</v>
      </c>
      <c r="AA98" s="542">
        <f t="shared" si="60"/>
        <v>2149.8908700000002</v>
      </c>
      <c r="AB98" s="542">
        <f t="shared" si="60"/>
        <v>2149.8908700000002</v>
      </c>
      <c r="AC98" s="274">
        <f>'Tariffs Jul2022'!AZ93</f>
        <v>0</v>
      </c>
      <c r="AD98" s="274" t="str">
        <f>'Tariffs Jul2022'!BA93</f>
        <v>n</v>
      </c>
      <c r="AE98" s="275" t="str">
        <f>'Tariffs Jul2022'!BJ93</f>
        <v>N</v>
      </c>
      <c r="AF98" s="593"/>
      <c r="AG98" s="593"/>
      <c r="AH98" s="593"/>
      <c r="AI98" s="593"/>
      <c r="AJ98" s="593"/>
      <c r="AK98" s="593"/>
      <c r="AL98" s="593"/>
      <c r="AM98" s="593"/>
      <c r="AN98" s="593"/>
      <c r="AO98" s="593"/>
      <c r="AP98" s="593"/>
      <c r="AQ98" s="593"/>
      <c r="AR98" s="593"/>
      <c r="AS98" s="593"/>
      <c r="AT98" s="593"/>
      <c r="AU98" s="593"/>
      <c r="AV98" s="593"/>
      <c r="AW98" s="593"/>
    </row>
    <row r="99" spans="1:49" ht="14" x14ac:dyDescent="0.15">
      <c r="A99" s="270" t="str">
        <f>'Tariffs Jul2022'!F94</f>
        <v>Powershop</v>
      </c>
      <c r="B99" s="40" t="str">
        <f>'Tariffs Jul2022'!D94</f>
        <v>AusNet Services Central 2</v>
      </c>
      <c r="C99" s="40" t="str">
        <f>'Tariffs Jul2022'!G94</f>
        <v>Carbon Neutral</v>
      </c>
      <c r="D99" s="59">
        <f>365*'Tariffs Jul2022'!H94/100</f>
        <v>293.55954545454546</v>
      </c>
      <c r="E99" s="59">
        <f>((C$5*'Tariffs Jul2022'!AK94/'Tariffs Jul2022'!AI94)*('Tariffs Jul2022'!O94/100))*'Tariffs Jul2022'!AI94</f>
        <v>400.86899999999991</v>
      </c>
      <c r="F99" s="59">
        <v>0</v>
      </c>
      <c r="G99" s="59">
        <v>0</v>
      </c>
      <c r="H99" s="59">
        <v>0</v>
      </c>
      <c r="I99" s="69">
        <v>0</v>
      </c>
      <c r="J99" s="69">
        <f>((C$5*'Tariffs Jul2022'!AL94/'Tariffs Jul2022'!AJ94)*('Tariffs Jul2022'!U94/100))*'Tariffs Jul2022'!AJ94</f>
        <v>679.5684</v>
      </c>
      <c r="K99" s="69">
        <v>0</v>
      </c>
      <c r="L99" s="69">
        <v>0</v>
      </c>
      <c r="M99" s="69">
        <v>0</v>
      </c>
      <c r="N99" s="69">
        <v>0</v>
      </c>
      <c r="O99" s="59">
        <f t="shared" si="52"/>
        <v>1080.4373999999998</v>
      </c>
      <c r="P99" s="503">
        <f t="shared" si="43"/>
        <v>1188.4811399999999</v>
      </c>
      <c r="Q99" s="59">
        <f t="shared" si="53"/>
        <v>1373.9969454545453</v>
      </c>
      <c r="R99" s="272">
        <f t="shared" si="54"/>
        <v>1511.3966399999999</v>
      </c>
      <c r="S99" s="40">
        <f>'Tariffs Jul2022'!AN94</f>
        <v>0</v>
      </c>
      <c r="T99" s="40">
        <f>'Tariffs Jul2022'!AO94</f>
        <v>0</v>
      </c>
      <c r="U99" s="40">
        <f>'Tariffs Jul2022'!AP94</f>
        <v>0</v>
      </c>
      <c r="V99" s="40">
        <f>'Tariffs Jul2022'!AQ94</f>
        <v>0</v>
      </c>
      <c r="W99" s="537" t="str">
        <f t="shared" si="58"/>
        <v>No discount</v>
      </c>
      <c r="X99" s="538" t="str">
        <f t="shared" si="59"/>
        <v>Inclusive</v>
      </c>
      <c r="Y99" s="534">
        <f>IF(AND(W99="Guaranteed off bill",X99="Inclusive"),((Q99*1.1)-((Q99*1.1)*S99/100))/1.1,IF(AND(W99="Guaranteed off usage",X99="Inclusive"),((Q99*1.1)-((P99*1.1)*T99/100))/1.1,IF(AND(W99="Guaranteed off bill",X99="Exclusive"),Q99-(Q99*S99/100),IF(AND(W99="Guaranteed off usage",X99="Exclusive"),Q99-(P99*T99/100),IF(X99="Inclusive",((Q99*1.1))/1.1,Q99)))))</f>
        <v>1373.9969454545453</v>
      </c>
      <c r="Z99" s="535">
        <f>IF(AND(W99="Pay-on-time off bill",X99="Inclusive"),((Y99*1.1)-((Y99*1.1)*U99/100))/1.1,IF(AND(W99="Pay-on-time off usage",X99="Inclusive"),((Y99*1.1)-((P99*1.1)*V99/100))/1.1,IF(AND(W99="Pay-on-time off bill",X99="Exclusive"),Y99-(Y99*U99/100),IF(AND(W99="Pay-on-time off usage",X99="Exclusive"),Y99-(P99*V99/100),IF(X99="Inclusive",((Y99*1.1))/1.1,Y99)))))</f>
        <v>1373.9969454545453</v>
      </c>
      <c r="AA99" s="542">
        <f t="shared" si="60"/>
        <v>1511.3966399999999</v>
      </c>
      <c r="AB99" s="542">
        <f t="shared" si="60"/>
        <v>1511.3966399999999</v>
      </c>
      <c r="AC99" s="274">
        <f>'Tariffs Jul2022'!AZ94</f>
        <v>0</v>
      </c>
      <c r="AD99" s="274" t="str">
        <f>'Tariffs Jul2022'!BA94</f>
        <v>n</v>
      </c>
      <c r="AE99" s="275" t="str">
        <f>'Tariffs Jul2022'!BJ94</f>
        <v>Y</v>
      </c>
      <c r="AF99" s="593"/>
      <c r="AG99" s="593"/>
      <c r="AH99" s="593"/>
      <c r="AI99" s="593"/>
      <c r="AJ99" s="593"/>
      <c r="AK99" s="593"/>
      <c r="AL99" s="593"/>
      <c r="AM99" s="593"/>
      <c r="AN99" s="593"/>
      <c r="AO99" s="593"/>
      <c r="AP99" s="593"/>
      <c r="AQ99" s="593"/>
      <c r="AR99" s="593"/>
      <c r="AS99" s="593"/>
      <c r="AT99" s="593"/>
      <c r="AU99" s="593"/>
      <c r="AV99" s="593"/>
      <c r="AW99" s="593"/>
    </row>
    <row r="100" spans="1:49" ht="14" x14ac:dyDescent="0.15">
      <c r="A100" s="270" t="str">
        <f>'Tariffs Jul2022'!F95</f>
        <v>1st Energy</v>
      </c>
      <c r="B100" s="40" t="str">
        <f>'Tariffs Jul2022'!D95</f>
        <v>AusNet Services Central 2</v>
      </c>
      <c r="C100" s="40" t="str">
        <f>'Tariffs Jul2022'!G95</f>
        <v>1st Saver Plus</v>
      </c>
      <c r="D100" s="59">
        <f>365*'Tariffs Jul2022'!H95/100</f>
        <v>313.89999999999998</v>
      </c>
      <c r="E100" s="59">
        <f>IF($C$5*'Tariffs Jul2022'!AK95/'Tariffs Jul2022'!AI95&gt;='Tariffs Jul2022'!J95,( 'Tariffs Jul2022'!J95*'Tariffs Jul2022'!O95/100)* 'Tariffs Jul2022'!AI95,($C$5*'Tariffs Jul2022'!AK95/'Tariffs Jul2022'!AI95*'Tariffs Jul2022'!O95/100)* 'Tariffs Jul2022'!AI95)</f>
        <v>413.99999999999989</v>
      </c>
      <c r="F100" s="59">
        <f>IF($C$5*'Tariffs Jul2022'!AK95/'Tariffs Jul2022'!AI95&lt;'Tariffs Jul2022'!J95,0,IF($C$5*'Tariffs Jul2022'!AK95/'Tariffs Jul2022'!AI95&lt;='Tariffs Jul2022'!K95,($C$5*'Tariffs Jul2022'!AK95/'Tariffs Jul2022'!AI95-'Tariffs Jul2022'!J95)*('Tariffs Jul2022'!P95/100)*'Tariffs Jul2022'!AI95,('Tariffs Jul2022'!K95-'Tariffs Jul2022'!J95)*('Tariffs Jul2022'!P95/100)*'Tariffs Jul2022'!AI95))</f>
        <v>274.90909090909093</v>
      </c>
      <c r="G100" s="59">
        <f>IF($C$5*'Tariffs Jul2022'!AK95/'Tariffs Jul2022'!AI95&lt;'Tariffs Jul2022'!K95,0,IF($C$5*'Tariffs Jul2022'!AK95/'Tariffs Jul2022'!AI95&lt;='Tariffs Jul2022'!L95,($C$5*'Tariffs Jul2022'!AK95/'Tariffs Jul2022'!AI95-'Tariffs Jul2022'!K95)*('Tariffs Jul2022'!Q95/100)*'Tariffs Jul2022'!AI95,('Tariffs Jul2022'!L95-'Tariffs Jul2022'!K95)*('Tariffs Jul2022'!Q95/100)*'Tariffs Jul2022'!AI95))</f>
        <v>0</v>
      </c>
      <c r="H100" s="59">
        <f>IF($C$5*'Tariffs Jul2022'!AK95/'Tariffs Jul2022'!AI95&lt;'Tariffs Jul2022'!L95,0,IF($C$5*'Tariffs Jul2022'!AK95/'Tariffs Jul2022'!AI95&lt;='Tariffs Jul2022'!M95,($C$5*'Tariffs Jul2022'!AK95/'Tariffs Jul2022'!AI95-'Tariffs Jul2022'!L95)*('Tariffs Jul2022'!R95/100)*'Tariffs Jul2022'!AI95,('Tariffs Jul2022'!M95-'Tariffs Jul2022'!L95)*('Tariffs Jul2022'!R95/100)*'Tariffs Jul2022'!AI95))</f>
        <v>0</v>
      </c>
      <c r="I100" s="69">
        <f>IF(($C$5*'Tariffs Jul2022'!AK95/'Tariffs Jul2022'!AI95&gt;'Tariffs Jul2022'!M95),($C$5*'Tariffs Jul2022'!AK95/'Tariffs Jul2022'!AI95-'Tariffs Jul2022'!M95)*'Tariffs Jul2022'!S95/100*'Tariffs Jul2022'!AI95,0)</f>
        <v>0</v>
      </c>
      <c r="J100" s="69">
        <f>IF($C$5*'Tariffs Jul2022'!AL95/'Tariffs Jul2022'!AJ95&gt;='Tariffs Jul2022'!J95,('Tariffs Jul2022'!J95*'Tariffs Jul2022'!U95/100)* 'Tariffs Jul2022'!AJ95,($C$5*'Tariffs Jul2022'!AL95/'Tariffs Jul2022'!AJ95*'Tariffs Jul2022'!U95/100)* 'Tariffs Jul2022'!AJ95)</f>
        <v>413.99999999999989</v>
      </c>
      <c r="K100" s="69">
        <f>IF($C$5*'Tariffs Jul2022'!AL95/'Tariffs Jul2022'!AJ95&lt;'Tariffs Jul2022'!J95,0,IF($C$5*'Tariffs Jul2022'!AL95/'Tariffs Jul2022'!AJ95&lt;='Tariffs Jul2022'!K95,($C$5*'Tariffs Jul2022'!AL95/'Tariffs Jul2022'!AJ95-'Tariffs Jul2022'!J95)*('Tariffs Jul2022'!V95/100)*'Tariffs Jul2022'!AJ95,('Tariffs Jul2022'!K95-'Tariffs Jul2022'!J95)*('Tariffs Jul2022'!V95/100)*'Tariffs Jul2022'!AJ95))</f>
        <v>274.90909090909093</v>
      </c>
      <c r="L100" s="69">
        <f>IF($C$5*'Tariffs Jul2022'!AL95/'Tariffs Jul2022'!AJ95&lt;'Tariffs Jul2022'!K95,0,IF($C$5*'Tariffs Jul2022'!AL95/'Tariffs Jul2022'!AJ95&lt;='Tariffs Jul2022'!L95,($C$5*'Tariffs Jul2022'!AL95/'Tariffs Jul2022'!AJ95-'Tariffs Jul2022'!K95)*('Tariffs Jul2022'!W95/100)*'Tariffs Jul2022'!AJ95,('Tariffs Jul2022'!L95-'Tariffs Jul2022'!K95)*('Tariffs Jul2022'!W95/100)*'Tariffs Jul2022'!AJ95))</f>
        <v>0</v>
      </c>
      <c r="M100" s="69">
        <f>IF($C$5*'Tariffs Jul2022'!AL95/'Tariffs Jul2022'!AJ95&lt;'Tariffs Jul2022'!L95,0,IF($C$5*'Tariffs Jul2022'!AL95/'Tariffs Jul2022'!AJ95&lt;='Tariffs Jul2022'!M95,($C$5*'Tariffs Jul2022'!AL95/'Tariffs Jul2022'!AJ95-'Tariffs Jul2022'!L95)*('Tariffs Jul2022'!X95/100)*'Tariffs Jul2022'!AJ95,('Tariffs Jul2022'!M95-'Tariffs Jul2022'!L95)*('Tariffs Jul2022'!X95/100)*'Tariffs Jul2022'!AJ95))</f>
        <v>0</v>
      </c>
      <c r="N100" s="69">
        <f>IF(($C$5*'Tariffs Jul2022'!AL95/'Tariffs Jul2022'!AJ95&gt;'Tariffs Jul2022'!M95),($C$5*'Tariffs Jul2022'!AL95/'Tariffs Jul2022'!AJ95-'Tariffs Jul2022'!M95)*'Tariffs Jul2022'!Y95/100*'Tariffs Jul2022'!AJ95,0)</f>
        <v>0</v>
      </c>
      <c r="O100" s="59">
        <f t="shared" si="52"/>
        <v>1377.8181818181815</v>
      </c>
      <c r="P100" s="503">
        <f t="shared" si="43"/>
        <v>1515.6</v>
      </c>
      <c r="Q100" s="59">
        <f t="shared" si="53"/>
        <v>1691.7181818181816</v>
      </c>
      <c r="R100" s="272">
        <f t="shared" si="54"/>
        <v>1860.8899999999999</v>
      </c>
      <c r="S100" s="40">
        <f>'Tariffs Jul2022'!AN95</f>
        <v>0</v>
      </c>
      <c r="T100" s="40">
        <f>'Tariffs Jul2022'!AO95</f>
        <v>7</v>
      </c>
      <c r="U100" s="40">
        <f>'Tariffs Jul2022'!AP95</f>
        <v>0</v>
      </c>
      <c r="V100" s="40">
        <f>'Tariffs Jul2022'!AQ95</f>
        <v>3</v>
      </c>
      <c r="W100" s="537" t="str">
        <f t="shared" si="58"/>
        <v>Guaranteed off usage</v>
      </c>
      <c r="X100" s="538" t="str">
        <f t="shared" si="59"/>
        <v>Exclusive</v>
      </c>
      <c r="Y100" s="534">
        <f>Q100-(P100*T100)/100</f>
        <v>1585.6261818181815</v>
      </c>
      <c r="Z100" s="535">
        <f>Y100-(P100*V100)/100</f>
        <v>1540.1581818181814</v>
      </c>
      <c r="AA100" s="542">
        <f t="shared" si="60"/>
        <v>1744.1887999999999</v>
      </c>
      <c r="AB100" s="542">
        <f t="shared" si="60"/>
        <v>1694.1739999999998</v>
      </c>
      <c r="AC100" s="274">
        <f>'Tariffs Jul2022'!AZ95</f>
        <v>0</v>
      </c>
      <c r="AD100" s="274" t="str">
        <f>'Tariffs Jul2022'!BA95</f>
        <v>n</v>
      </c>
      <c r="AE100" s="275" t="str">
        <f>'Tariffs Jul2022'!BJ95</f>
        <v>N</v>
      </c>
      <c r="AF100" s="593"/>
      <c r="AG100" s="593"/>
      <c r="AH100" s="593"/>
      <c r="AI100" s="593"/>
      <c r="AJ100" s="593"/>
      <c r="AK100" s="593"/>
      <c r="AL100" s="593"/>
      <c r="AM100" s="593"/>
      <c r="AN100" s="593"/>
      <c r="AO100" s="593"/>
      <c r="AP100" s="593"/>
      <c r="AQ100" s="593"/>
      <c r="AR100" s="593"/>
      <c r="AS100" s="593"/>
      <c r="AT100" s="593"/>
      <c r="AU100" s="593"/>
      <c r="AV100" s="593"/>
      <c r="AW100" s="593"/>
    </row>
    <row r="101" spans="1:49" ht="14" x14ac:dyDescent="0.15">
      <c r="A101" s="270" t="str">
        <f>'Tariffs Jul2022'!F96</f>
        <v>Kogan Energy</v>
      </c>
      <c r="B101" s="40" t="str">
        <f>'Tariffs Jul2022'!D96</f>
        <v>AusNet Services Central 2</v>
      </c>
      <c r="C101" s="40" t="str">
        <f>'Tariffs Jul2022'!G96</f>
        <v>Kogan Basic</v>
      </c>
      <c r="D101" s="59">
        <f>365*'Tariffs Jul2022'!H96/100</f>
        <v>375.61818181818182</v>
      </c>
      <c r="E101" s="59">
        <f>((C$5*'Tariffs Jul2022'!AK96/'Tariffs Jul2022'!AI96)*('Tariffs Jul2022'!O96/100))*'Tariffs Jul2022'!AI96</f>
        <v>379.8710999999999</v>
      </c>
      <c r="F101" s="59">
        <v>0</v>
      </c>
      <c r="G101" s="59">
        <v>0</v>
      </c>
      <c r="H101" s="59">
        <v>0</v>
      </c>
      <c r="I101" s="69">
        <v>0</v>
      </c>
      <c r="J101" s="69">
        <f>((C$5*'Tariffs Jul2022'!AL96/'Tariffs Jul2022'!AJ96)*('Tariffs Jul2022'!U96/100))*'Tariffs Jul2022'!AJ96</f>
        <v>759.7421999999998</v>
      </c>
      <c r="K101" s="69">
        <v>0</v>
      </c>
      <c r="L101" s="69">
        <v>0</v>
      </c>
      <c r="M101" s="69">
        <v>0</v>
      </c>
      <c r="N101" s="69">
        <v>0</v>
      </c>
      <c r="O101" s="59">
        <f t="shared" si="52"/>
        <v>1139.6132999999998</v>
      </c>
      <c r="P101" s="503">
        <f t="shared" si="43"/>
        <v>1253.5746299999998</v>
      </c>
      <c r="Q101" s="59">
        <f t="shared" si="53"/>
        <v>1515.2314818181817</v>
      </c>
      <c r="R101" s="272">
        <f t="shared" si="54"/>
        <v>1666.7546299999999</v>
      </c>
      <c r="S101" s="40">
        <f>'Tariffs Jul2022'!AN96</f>
        <v>0</v>
      </c>
      <c r="T101" s="40">
        <f>'Tariffs Jul2022'!AO96</f>
        <v>0</v>
      </c>
      <c r="U101" s="40">
        <f>'Tariffs Jul2022'!AP96</f>
        <v>0</v>
      </c>
      <c r="V101" s="40">
        <f>'Tariffs Jul2022'!AQ96</f>
        <v>0</v>
      </c>
      <c r="W101" s="537" t="str">
        <f t="shared" si="58"/>
        <v>No discount</v>
      </c>
      <c r="X101" s="538" t="str">
        <f t="shared" si="59"/>
        <v>Exclusive</v>
      </c>
      <c r="Y101" s="534">
        <f t="shared" ref="Y101:Y103" si="65">IF(AND(W101="Guaranteed off bill",X101="Inclusive"),((Q101*1.1)-((Q101*1.1)*S101/100))/1.1,IF(AND(W101="Guaranteed off usage",X101="Inclusive"),((Q101*1.1)-((P101*1.1)*T101/100))/1.1,IF(AND(W101="Guaranteed off bill",X101="Exclusive"),Q101-(Q101*S101/100),IF(AND(W101="Guaranteed off usage",X101="Exclusive"),Q101-(P101*T101/100),IF(X101="Inclusive",((Q101*1.1))/1.1,Q101)))))</f>
        <v>1515.2314818181817</v>
      </c>
      <c r="Z101" s="535">
        <f t="shared" ref="Z101:Z103" si="66">IF(AND(W101="Pay-on-time off bill",X101="Inclusive"),((Y101*1.1)-((Y101*1.1)*U101/100))/1.1,IF(AND(W101="Pay-on-time off usage",X101="Inclusive"),((Y101*1.1)-((P101*1.1)*V101/100))/1.1,IF(AND(W101="Pay-on-time off bill",X101="Exclusive"),Y101-(Y101*U101/100),IF(AND(W101="Pay-on-time off usage",X101="Exclusive"),Y101-(P101*V101/100),IF(X101="Inclusive",((Y101*1.1))/1.1,Y101)))))</f>
        <v>1515.2314818181817</v>
      </c>
      <c r="AA101" s="542">
        <f t="shared" si="60"/>
        <v>1666.7546299999999</v>
      </c>
      <c r="AB101" s="542">
        <f t="shared" si="60"/>
        <v>1666.7546299999999</v>
      </c>
      <c r="AC101" s="274">
        <f>'Tariffs Jul2022'!AZ96</f>
        <v>0</v>
      </c>
      <c r="AD101" s="274" t="str">
        <f>'Tariffs Jul2022'!BA96</f>
        <v>n</v>
      </c>
      <c r="AE101" s="275" t="str">
        <f>'Tariffs Jul2022'!BJ96</f>
        <v>N</v>
      </c>
      <c r="AF101" s="593"/>
      <c r="AG101" s="593"/>
      <c r="AH101" s="593"/>
      <c r="AI101" s="593"/>
      <c r="AJ101" s="593"/>
      <c r="AK101" s="593"/>
      <c r="AL101" s="593"/>
      <c r="AM101" s="593"/>
      <c r="AN101" s="593"/>
      <c r="AO101" s="593"/>
      <c r="AP101" s="593"/>
      <c r="AQ101" s="593"/>
      <c r="AR101" s="593"/>
      <c r="AS101" s="593"/>
      <c r="AT101" s="593"/>
      <c r="AU101" s="593"/>
      <c r="AV101" s="593"/>
      <c r="AW101" s="593"/>
    </row>
    <row r="102" spans="1:49" ht="14" x14ac:dyDescent="0.15">
      <c r="A102" s="270" t="str">
        <f>'Tariffs Jul2022'!F97</f>
        <v>Tango Energy</v>
      </c>
      <c r="B102" s="40" t="str">
        <f>'Tariffs Jul2022'!D97</f>
        <v>AusNet Services Central 2</v>
      </c>
      <c r="C102" s="40" t="str">
        <f>'Tariffs Jul2022'!G97</f>
        <v>Home Select</v>
      </c>
      <c r="D102" s="59">
        <f>365*'Tariffs Jul2022'!H97/100</f>
        <v>273.75</v>
      </c>
      <c r="E102" s="59">
        <f>IF($C$5*'Tariffs Jul2022'!AK97/'Tariffs Jul2022'!AI97&gt;='Tariffs Jul2022'!J97,( 'Tariffs Jul2022'!J97*'Tariffs Jul2022'!O97/100)* 'Tariffs Jul2022'!AI97,($C$5*'Tariffs Jul2022'!AK97/'Tariffs Jul2022'!AI97*'Tariffs Jul2022'!O97/100)* 'Tariffs Jul2022'!AI97)</f>
        <v>268.36363636363637</v>
      </c>
      <c r="F102" s="59">
        <f>IF($C$5*'Tariffs Jul2022'!AK97/'Tariffs Jul2022'!AI97&lt;'Tariffs Jul2022'!J97,0,IF($C$5*'Tariffs Jul2022'!AK97/'Tariffs Jul2022'!AI97&lt;='Tariffs Jul2022'!K97,($C$5*'Tariffs Jul2022'!AK97/'Tariffs Jul2022'!AI97-'Tariffs Jul2022'!J97)*('Tariffs Jul2022'!P97/100)*'Tariffs Jul2022'!AI97,('Tariffs Jul2022'!K97-'Tariffs Jul2022'!J97)*('Tariffs Jul2022'!P97/100)*'Tariffs Jul2022'!AI97))</f>
        <v>180.77599090909086</v>
      </c>
      <c r="G102" s="59">
        <f>IF($C$5*'Tariffs Jul2022'!AK97/'Tariffs Jul2022'!AI97&lt;'Tariffs Jul2022'!K97,0,IF($C$5*'Tariffs Jul2022'!AK97/'Tariffs Jul2022'!AI97&lt;='Tariffs Jul2022'!L97,($C$5*'Tariffs Jul2022'!AK97/'Tariffs Jul2022'!AI97-'Tariffs Jul2022'!K97)*('Tariffs Jul2022'!Q97/100)*'Tariffs Jul2022'!AI97,('Tariffs Jul2022'!L97-'Tariffs Jul2022'!K97)*('Tariffs Jul2022'!Q97/100)*'Tariffs Jul2022'!AI97))</f>
        <v>0</v>
      </c>
      <c r="H102" s="59">
        <f>IF($C$5*'Tariffs Jul2022'!AK97/'Tariffs Jul2022'!AI97&lt;'Tariffs Jul2022'!L97,0,IF($C$5*'Tariffs Jul2022'!AK97/'Tariffs Jul2022'!AI97&lt;='Tariffs Jul2022'!M97,($C$5*'Tariffs Jul2022'!AK97/'Tariffs Jul2022'!AI97-'Tariffs Jul2022'!L97)*('Tariffs Jul2022'!R97/100)*'Tariffs Jul2022'!AI97,('Tariffs Jul2022'!M97-'Tariffs Jul2022'!L97)*('Tariffs Jul2022'!R97/100)*'Tariffs Jul2022'!AI97))</f>
        <v>0</v>
      </c>
      <c r="I102" s="69">
        <f>IF(($C$5*'Tariffs Jul2022'!AK97/'Tariffs Jul2022'!AI97&gt;'Tariffs Jul2022'!M97),($C$5*'Tariffs Jul2022'!AK97/'Tariffs Jul2022'!AI97-'Tariffs Jul2022'!M97)*'Tariffs Jul2022'!S97/100*'Tariffs Jul2022'!AI97,0)</f>
        <v>0</v>
      </c>
      <c r="J102" s="69">
        <f>IF($C$5*'Tariffs Jul2022'!AL97/'Tariffs Jul2022'!AJ97&gt;='Tariffs Jul2022'!J97,('Tariffs Jul2022'!J97*'Tariffs Jul2022'!U97/100)* 'Tariffs Jul2022'!AJ97,($C$5*'Tariffs Jul2022'!AL97/'Tariffs Jul2022'!AJ97*'Tariffs Jul2022'!U97/100)* 'Tariffs Jul2022'!AJ97)</f>
        <v>469.09090909090907</v>
      </c>
      <c r="K102" s="69">
        <f>IF($C$5*'Tariffs Jul2022'!AL97/'Tariffs Jul2022'!AJ97&lt;'Tariffs Jul2022'!J97,0,IF($C$5*'Tariffs Jul2022'!AL97/'Tariffs Jul2022'!AJ97&lt;='Tariffs Jul2022'!K97,($C$5*'Tariffs Jul2022'!AL97/'Tariffs Jul2022'!AJ97-'Tariffs Jul2022'!J97)*('Tariffs Jul2022'!V97/100)*'Tariffs Jul2022'!AJ97,('Tariffs Jul2022'!K97-'Tariffs Jul2022'!J97)*('Tariffs Jul2022'!V97/100)*'Tariffs Jul2022'!AJ97))</f>
        <v>299.38467272727269</v>
      </c>
      <c r="L102" s="69">
        <f>IF($C$5*'Tariffs Jul2022'!AL97/'Tariffs Jul2022'!AJ97&lt;'Tariffs Jul2022'!K97,0,IF($C$5*'Tariffs Jul2022'!AL97/'Tariffs Jul2022'!AJ97&lt;='Tariffs Jul2022'!L97,($C$5*'Tariffs Jul2022'!AL97/'Tariffs Jul2022'!AJ97-'Tariffs Jul2022'!K97)*('Tariffs Jul2022'!W97/100)*'Tariffs Jul2022'!AJ97,('Tariffs Jul2022'!L97-'Tariffs Jul2022'!K97)*('Tariffs Jul2022'!W97/100)*'Tariffs Jul2022'!AJ97))</f>
        <v>0</v>
      </c>
      <c r="M102" s="69">
        <f>IF($C$5*'Tariffs Jul2022'!AL97/'Tariffs Jul2022'!AJ97&lt;'Tariffs Jul2022'!L97,0,IF($C$5*'Tariffs Jul2022'!AL97/'Tariffs Jul2022'!AJ97&lt;='Tariffs Jul2022'!M97,($C$5*'Tariffs Jul2022'!AL97/'Tariffs Jul2022'!AJ97-'Tariffs Jul2022'!L97)*('Tariffs Jul2022'!X97/100)*'Tariffs Jul2022'!AJ97,('Tariffs Jul2022'!M97-'Tariffs Jul2022'!L97)*('Tariffs Jul2022'!X97/100)*'Tariffs Jul2022'!AJ97))</f>
        <v>0</v>
      </c>
      <c r="N102" s="69">
        <f>IF(($C$5*'Tariffs Jul2022'!AL97/'Tariffs Jul2022'!AJ97&gt;'Tariffs Jul2022'!M97),($C$5*'Tariffs Jul2022'!AL97/'Tariffs Jul2022'!AJ97-'Tariffs Jul2022'!M97)*'Tariffs Jul2022'!Y97/100*'Tariffs Jul2022'!AJ97,0)</f>
        <v>0</v>
      </c>
      <c r="O102" s="59">
        <f t="shared" si="52"/>
        <v>1217.615209090909</v>
      </c>
      <c r="P102" s="503">
        <f t="shared" si="43"/>
        <v>1339.37673</v>
      </c>
      <c r="Q102" s="59">
        <f t="shared" si="53"/>
        <v>1491.365209090909</v>
      </c>
      <c r="R102" s="272">
        <f t="shared" si="54"/>
        <v>1640.5017300000002</v>
      </c>
      <c r="S102" s="40">
        <f>'Tariffs Jul2022'!AN97</f>
        <v>0</v>
      </c>
      <c r="T102" s="40">
        <f>'Tariffs Jul2022'!AO97</f>
        <v>0</v>
      </c>
      <c r="U102" s="40">
        <f>'Tariffs Jul2022'!AP97</f>
        <v>0</v>
      </c>
      <c r="V102" s="40">
        <f>'Tariffs Jul2022'!AQ97</f>
        <v>0</v>
      </c>
      <c r="W102" s="537" t="str">
        <f t="shared" si="58"/>
        <v>No discount</v>
      </c>
      <c r="X102" s="538" t="str">
        <f t="shared" si="59"/>
        <v>Exclusive</v>
      </c>
      <c r="Y102" s="534">
        <f t="shared" si="65"/>
        <v>1491.365209090909</v>
      </c>
      <c r="Z102" s="535">
        <f t="shared" si="66"/>
        <v>1491.365209090909</v>
      </c>
      <c r="AA102" s="542">
        <f t="shared" si="60"/>
        <v>1640.5017300000002</v>
      </c>
      <c r="AB102" s="542">
        <f t="shared" si="60"/>
        <v>1640.5017300000002</v>
      </c>
      <c r="AC102" s="274">
        <f>'Tariffs Jul2022'!AZ97</f>
        <v>0</v>
      </c>
      <c r="AD102" s="274" t="str">
        <f>'Tariffs Jul2022'!BA97</f>
        <v>n</v>
      </c>
      <c r="AE102" s="275" t="str">
        <f>'Tariffs Jul2022'!BJ97</f>
        <v>N</v>
      </c>
      <c r="AF102" s="593"/>
      <c r="AG102" s="593"/>
      <c r="AH102" s="593"/>
      <c r="AI102" s="593"/>
      <c r="AJ102" s="593"/>
      <c r="AK102" s="593"/>
      <c r="AL102" s="593"/>
      <c r="AM102" s="593"/>
      <c r="AN102" s="593"/>
      <c r="AO102" s="593"/>
      <c r="AP102" s="593"/>
      <c r="AQ102" s="593"/>
      <c r="AR102" s="593"/>
      <c r="AS102" s="593"/>
      <c r="AT102" s="593"/>
      <c r="AU102" s="593"/>
      <c r="AV102" s="593"/>
      <c r="AW102" s="593"/>
    </row>
    <row r="103" spans="1:49" ht="15" thickBot="1" x14ac:dyDescent="0.2">
      <c r="A103" s="276" t="str">
        <f>'Tariffs Jul2022'!F98</f>
        <v>Sumo Power</v>
      </c>
      <c r="B103" s="277" t="str">
        <f>'Tariffs Jul2022'!D98</f>
        <v>AusNet Services Central 2</v>
      </c>
      <c r="C103" s="277" t="str">
        <f>'Tariffs Jul2022'!G98</f>
        <v>Assure</v>
      </c>
      <c r="D103" s="278">
        <f>365*'Tariffs Jul2022'!H98/100</f>
        <v>244.55</v>
      </c>
      <c r="E103" s="278">
        <f>IF($C$5*'Tariffs Jul2022'!AK98/'Tariffs Jul2022'!AI98&gt;='Tariffs Jul2022'!J98,( 'Tariffs Jul2022'!J98*'Tariffs Jul2022'!O98/100)* 'Tariffs Jul2022'!AI98,($C$5*'Tariffs Jul2022'!AK98/'Tariffs Jul2022'!AI98*'Tariffs Jul2022'!O98/100)* 'Tariffs Jul2022'!AI98)</f>
        <v>261.81818181818181</v>
      </c>
      <c r="F103" s="278">
        <f>IF($C$5*'Tariffs Jul2022'!AK98/'Tariffs Jul2022'!AI98&lt;'Tariffs Jul2022'!J98,0,IF($C$5*'Tariffs Jul2022'!AK98/'Tariffs Jul2022'!AI98&lt;='Tariffs Jul2022'!K98,($C$5*'Tariffs Jul2022'!AK98/'Tariffs Jul2022'!AI98-'Tariffs Jul2022'!J98)*('Tariffs Jul2022'!P98/100)*'Tariffs Jul2022'!AI98,('Tariffs Jul2022'!K98-'Tariffs Jul2022'!J98)*('Tariffs Jul2022'!P98/100)*'Tariffs Jul2022'!AI98))</f>
        <v>178.32201818181815</v>
      </c>
      <c r="G103" s="278">
        <f>IF($C$5*'Tariffs Jul2022'!AK98/'Tariffs Jul2022'!AI98&lt;'Tariffs Jul2022'!K98,0,IF($C$5*'Tariffs Jul2022'!AK98/'Tariffs Jul2022'!AI98&lt;='Tariffs Jul2022'!L98,($C$5*'Tariffs Jul2022'!AK98/'Tariffs Jul2022'!AI98-'Tariffs Jul2022'!K98)*('Tariffs Jul2022'!Q98/100)*'Tariffs Jul2022'!AI98,('Tariffs Jul2022'!L98-'Tariffs Jul2022'!K98)*('Tariffs Jul2022'!Q98/100)*'Tariffs Jul2022'!AI98))</f>
        <v>0</v>
      </c>
      <c r="H103" s="278">
        <f>IF($C$5*'Tariffs Jul2022'!AK98/'Tariffs Jul2022'!AI98&lt;'Tariffs Jul2022'!L98,0,IF($C$5*'Tariffs Jul2022'!AK98/'Tariffs Jul2022'!AI98&lt;='Tariffs Jul2022'!M98,($C$5*'Tariffs Jul2022'!AK98/'Tariffs Jul2022'!AI98-'Tariffs Jul2022'!L98)*('Tariffs Jul2022'!R98/100)*'Tariffs Jul2022'!AI98,('Tariffs Jul2022'!M98-'Tariffs Jul2022'!L98)*('Tariffs Jul2022'!R98/100)*'Tariffs Jul2022'!AI98))</f>
        <v>0</v>
      </c>
      <c r="I103" s="547">
        <f>IF(($C$5*'Tariffs Jul2022'!AK98/'Tariffs Jul2022'!AI98&gt;'Tariffs Jul2022'!M98),($C$5*'Tariffs Jul2022'!AK98/'Tariffs Jul2022'!AI98-'Tariffs Jul2022'!M98)*'Tariffs Jul2022'!S98/100*'Tariffs Jul2022'!AI98,0)</f>
        <v>0</v>
      </c>
      <c r="J103" s="547">
        <f>IF($C$5*'Tariffs Jul2022'!AL98/'Tariffs Jul2022'!AJ98&gt;='Tariffs Jul2022'!J98,('Tariffs Jul2022'!J98*'Tariffs Jul2022'!U98/100)* 'Tariffs Jul2022'!AJ98,($C$5*'Tariffs Jul2022'!AL98/'Tariffs Jul2022'!AJ98*'Tariffs Jul2022'!U98/100)* 'Tariffs Jul2022'!AJ98)</f>
        <v>414.5454545454545</v>
      </c>
      <c r="K103" s="547">
        <f>IF($C$5*'Tariffs Jul2022'!AL98/'Tariffs Jul2022'!AJ98&lt;'Tariffs Jul2022'!J98,0,IF($C$5*'Tariffs Jul2022'!AL98/'Tariffs Jul2022'!AJ98&lt;='Tariffs Jul2022'!K98,($C$5*'Tariffs Jul2022'!AL98/'Tariffs Jul2022'!AJ98-'Tariffs Jul2022'!J98)*('Tariffs Jul2022'!V98/100)*'Tariffs Jul2022'!AJ98,('Tariffs Jul2022'!K98-'Tariffs Jul2022'!J98)*('Tariffs Jul2022'!V98/100)*'Tariffs Jul2022'!AJ98))</f>
        <v>271.57298181818169</v>
      </c>
      <c r="L103" s="547">
        <f>IF($C$5*'Tariffs Jul2022'!AL98/'Tariffs Jul2022'!AJ98&lt;'Tariffs Jul2022'!K98,0,IF($C$5*'Tariffs Jul2022'!AL98/'Tariffs Jul2022'!AJ98&lt;='Tariffs Jul2022'!L98,($C$5*'Tariffs Jul2022'!AL98/'Tariffs Jul2022'!AJ98-'Tariffs Jul2022'!K98)*('Tariffs Jul2022'!W98/100)*'Tariffs Jul2022'!AJ98,('Tariffs Jul2022'!L98-'Tariffs Jul2022'!K98)*('Tariffs Jul2022'!W98/100)*'Tariffs Jul2022'!AJ98))</f>
        <v>0</v>
      </c>
      <c r="M103" s="547">
        <f>IF($C$5*'Tariffs Jul2022'!AL98/'Tariffs Jul2022'!AJ98&lt;'Tariffs Jul2022'!L98,0,IF($C$5*'Tariffs Jul2022'!AL98/'Tariffs Jul2022'!AJ98&lt;='Tariffs Jul2022'!M98,($C$5*'Tariffs Jul2022'!AL98/'Tariffs Jul2022'!AJ98-'Tariffs Jul2022'!L98)*('Tariffs Jul2022'!X98/100)*'Tariffs Jul2022'!AJ98,('Tariffs Jul2022'!M98-'Tariffs Jul2022'!L98)*('Tariffs Jul2022'!X98/100)*'Tariffs Jul2022'!AJ98))</f>
        <v>0</v>
      </c>
      <c r="N103" s="547">
        <f>IF(($C$5*'Tariffs Jul2022'!AL98/'Tariffs Jul2022'!AJ98&gt;'Tariffs Jul2022'!M98),($C$5*'Tariffs Jul2022'!AL98/'Tariffs Jul2022'!AJ98-'Tariffs Jul2022'!M98)*'Tariffs Jul2022'!Y98/100*'Tariffs Jul2022'!AJ98,0)</f>
        <v>0</v>
      </c>
      <c r="O103" s="278">
        <f t="shared" si="52"/>
        <v>1126.258636363636</v>
      </c>
      <c r="P103" s="504">
        <f t="shared" si="43"/>
        <v>1238.8844999999997</v>
      </c>
      <c r="Q103" s="278">
        <f t="shared" si="53"/>
        <v>1370.808636363636</v>
      </c>
      <c r="R103" s="280">
        <f t="shared" si="54"/>
        <v>1507.8894999999998</v>
      </c>
      <c r="S103" s="277">
        <f>'Tariffs Jul2022'!AN98</f>
        <v>0</v>
      </c>
      <c r="T103" s="277">
        <f>'Tariffs Jul2022'!AO98</f>
        <v>0</v>
      </c>
      <c r="U103" s="277">
        <f>'Tariffs Jul2022'!AP98</f>
        <v>0</v>
      </c>
      <c r="V103" s="277">
        <f>'Tariffs Jul2022'!AQ98</f>
        <v>0</v>
      </c>
      <c r="W103" s="540" t="str">
        <f t="shared" si="58"/>
        <v>No discount</v>
      </c>
      <c r="X103" s="541" t="str">
        <f t="shared" si="59"/>
        <v>Exclusive</v>
      </c>
      <c r="Y103" s="543">
        <f t="shared" si="65"/>
        <v>1370.808636363636</v>
      </c>
      <c r="Z103" s="544">
        <f t="shared" si="66"/>
        <v>1370.808636363636</v>
      </c>
      <c r="AA103" s="545">
        <f t="shared" si="60"/>
        <v>1507.8894999999998</v>
      </c>
      <c r="AB103" s="545">
        <f t="shared" si="60"/>
        <v>1507.8894999999998</v>
      </c>
      <c r="AC103" s="282">
        <f>'Tariffs Jul2022'!AZ98</f>
        <v>0</v>
      </c>
      <c r="AD103" s="282" t="str">
        <f>'Tariffs Jul2022'!BA98</f>
        <v>n</v>
      </c>
      <c r="AE103" s="283" t="str">
        <f>'Tariffs Jul2022'!BJ98</f>
        <v>Y</v>
      </c>
      <c r="AF103" s="593"/>
      <c r="AG103" s="593"/>
      <c r="AH103" s="593"/>
      <c r="AI103" s="593"/>
      <c r="AJ103" s="593"/>
      <c r="AK103" s="593"/>
      <c r="AL103" s="593"/>
      <c r="AM103" s="593"/>
      <c r="AN103" s="593"/>
      <c r="AO103" s="593"/>
      <c r="AP103" s="593"/>
      <c r="AQ103" s="593"/>
      <c r="AR103" s="593"/>
      <c r="AS103" s="593"/>
      <c r="AT103" s="593"/>
      <c r="AU103" s="593"/>
      <c r="AV103" s="593"/>
      <c r="AW103" s="593"/>
    </row>
    <row r="104" spans="1:49" ht="15" thickTop="1" x14ac:dyDescent="0.15">
      <c r="A104" s="270" t="str">
        <f>'Tariffs Jul2022'!F99</f>
        <v>AGL</v>
      </c>
      <c r="B104" s="40" t="str">
        <f>'Tariffs Jul2022'!D99</f>
        <v>AusNet Services Central 1</v>
      </c>
      <c r="C104" s="40" t="str">
        <f>'Tariffs Jul2022'!G99</f>
        <v>Value Saver</v>
      </c>
      <c r="D104" s="59">
        <f>365*'Tariffs Jul2022'!H99/100</f>
        <v>339.44999999999993</v>
      </c>
      <c r="E104" s="59">
        <f>IF($C$5*'Tariffs Jul2022'!AK99/'Tariffs Jul2022'!AI99&gt;='Tariffs Jul2022'!J99,( 'Tariffs Jul2022'!J99*'Tariffs Jul2022'!O99/100)* 'Tariffs Jul2022'!AI99,($C$5*'Tariffs Jul2022'!AK99/'Tariffs Jul2022'!AI99*'Tariffs Jul2022'!O99/100)* 'Tariffs Jul2022'!AI99)</f>
        <v>253.09090909090909</v>
      </c>
      <c r="F104" s="59">
        <f>IF($C$5*'Tariffs Jul2022'!AK99/'Tariffs Jul2022'!AI99&lt;'Tariffs Jul2022'!J99,0,IF($C$5*'Tariffs Jul2022'!AK99/'Tariffs Jul2022'!AI99&lt;='Tariffs Jul2022'!K99,($C$5*'Tariffs Jul2022'!AK99/'Tariffs Jul2022'!AI99-'Tariffs Jul2022'!J99)*('Tariffs Jul2022'!P99/100)*'Tariffs Jul2022'!AI99,('Tariffs Jul2022'!K99-'Tariffs Jul2022'!J99)*('Tariffs Jul2022'!P99/100)*'Tariffs Jul2022'!AI99))</f>
        <v>183.22996363636361</v>
      </c>
      <c r="G104" s="59">
        <f>IF($C$5*'Tariffs Jul2022'!AK99/'Tariffs Jul2022'!AI99&lt;'Tariffs Jul2022'!K99,0,IF($C$5*'Tariffs Jul2022'!AK99/'Tariffs Jul2022'!AI99&lt;='Tariffs Jul2022'!L99,($C$5*'Tariffs Jul2022'!AK99/'Tariffs Jul2022'!AI99-'Tariffs Jul2022'!K99)*('Tariffs Jul2022'!Q99/100)*'Tariffs Jul2022'!AI99,('Tariffs Jul2022'!L99-'Tariffs Jul2022'!K99)*('Tariffs Jul2022'!Q99/100)*'Tariffs Jul2022'!AI99))</f>
        <v>0</v>
      </c>
      <c r="H104" s="59">
        <f>IF($C$5*'Tariffs Jul2022'!AK99/'Tariffs Jul2022'!AI99&lt;'Tariffs Jul2022'!L99,0,IF($C$5*'Tariffs Jul2022'!AK99/'Tariffs Jul2022'!AI99&lt;='Tariffs Jul2022'!M99,($C$5*'Tariffs Jul2022'!AK99/'Tariffs Jul2022'!AI99-'Tariffs Jul2022'!L99)*('Tariffs Jul2022'!R99/100)*'Tariffs Jul2022'!AI99,('Tariffs Jul2022'!M99-'Tariffs Jul2022'!L99)*('Tariffs Jul2022'!R99/100)*'Tariffs Jul2022'!AI99))</f>
        <v>0</v>
      </c>
      <c r="I104" s="69">
        <f>IF(($C$5*'Tariffs Jul2022'!AK99/'Tariffs Jul2022'!AI99&gt;'Tariffs Jul2022'!M99),($C$5*'Tariffs Jul2022'!AK99/'Tariffs Jul2022'!AI99-'Tariffs Jul2022'!M99)*'Tariffs Jul2022'!S99/100*'Tariffs Jul2022'!AI99,0)</f>
        <v>0</v>
      </c>
      <c r="J104" s="69">
        <f>IF($C$5*'Tariffs Jul2022'!AL99/'Tariffs Jul2022'!AJ99&gt;='Tariffs Jul2022'!J99,('Tariffs Jul2022'!J99*'Tariffs Jul2022'!U99/100)* 'Tariffs Jul2022'!AJ99,($C$5*'Tariffs Jul2022'!AL99/'Tariffs Jul2022'!AJ99*'Tariffs Jul2022'!U99/100)* 'Tariffs Jul2022'!AJ99)</f>
        <v>434.18181818181819</v>
      </c>
      <c r="K104" s="69">
        <f>IF($C$5*'Tariffs Jul2022'!AL99/'Tariffs Jul2022'!AJ99&lt;'Tariffs Jul2022'!J99,0,IF($C$5*'Tariffs Jul2022'!AL99/'Tariffs Jul2022'!AJ99&lt;='Tariffs Jul2022'!K99,($C$5*'Tariffs Jul2022'!AL99/'Tariffs Jul2022'!AJ99-'Tariffs Jul2022'!J99)*('Tariffs Jul2022'!V99/100)*'Tariffs Jul2022'!AJ99,('Tariffs Jul2022'!K99-'Tariffs Jul2022'!J99)*('Tariffs Jul2022'!V99/100)*'Tariffs Jul2022'!AJ99))</f>
        <v>279.75289090909081</v>
      </c>
      <c r="L104" s="69">
        <f>IF($C$5*'Tariffs Jul2022'!AL99/'Tariffs Jul2022'!AJ99&lt;'Tariffs Jul2022'!K99,0,IF($C$5*'Tariffs Jul2022'!AL99/'Tariffs Jul2022'!AJ99&lt;='Tariffs Jul2022'!L99,($C$5*'Tariffs Jul2022'!AL99/'Tariffs Jul2022'!AJ99-'Tariffs Jul2022'!K99)*('Tariffs Jul2022'!W99/100)*'Tariffs Jul2022'!AJ99,('Tariffs Jul2022'!L99-'Tariffs Jul2022'!K99)*('Tariffs Jul2022'!W99/100)*'Tariffs Jul2022'!AJ99))</f>
        <v>0</v>
      </c>
      <c r="M104" s="69">
        <f>IF($C$5*'Tariffs Jul2022'!AL99/'Tariffs Jul2022'!AJ99&lt;'Tariffs Jul2022'!L99,0,IF($C$5*'Tariffs Jul2022'!AL99/'Tariffs Jul2022'!AJ99&lt;='Tariffs Jul2022'!M99,($C$5*'Tariffs Jul2022'!AL99/'Tariffs Jul2022'!AJ99-'Tariffs Jul2022'!L99)*('Tariffs Jul2022'!X99/100)*'Tariffs Jul2022'!AJ99,('Tariffs Jul2022'!M99-'Tariffs Jul2022'!L99)*('Tariffs Jul2022'!X99/100)*'Tariffs Jul2022'!AJ99))</f>
        <v>0</v>
      </c>
      <c r="N104" s="69">
        <f>IF(($C$5*'Tariffs Jul2022'!AL99/'Tariffs Jul2022'!AJ99&gt;'Tariffs Jul2022'!M99),($C$5*'Tariffs Jul2022'!AL99/'Tariffs Jul2022'!AJ99-'Tariffs Jul2022'!M99)*'Tariffs Jul2022'!Y99/100*'Tariffs Jul2022'!AJ99,0)</f>
        <v>0</v>
      </c>
      <c r="O104" s="59">
        <f t="shared" si="52"/>
        <v>1150.2555818181818</v>
      </c>
      <c r="P104" s="503">
        <f t="shared" si="43"/>
        <v>1265.2811400000001</v>
      </c>
      <c r="Q104" s="59">
        <f t="shared" si="53"/>
        <v>1489.7055818181816</v>
      </c>
      <c r="R104" s="272">
        <f t="shared" si="54"/>
        <v>1638.6761399999998</v>
      </c>
      <c r="S104" s="40">
        <f>'Tariffs Jul2022'!AN99</f>
        <v>0</v>
      </c>
      <c r="T104" s="40">
        <f>'Tariffs Jul2022'!AO99</f>
        <v>0</v>
      </c>
      <c r="U104" s="40">
        <f>'Tariffs Jul2022'!AP99</f>
        <v>0</v>
      </c>
      <c r="V104" s="40">
        <f>'Tariffs Jul2022'!AQ99</f>
        <v>0</v>
      </c>
      <c r="W104" s="537" t="str">
        <f>IF(SUM(S104:V104)=0,"No discount",IF(S104&gt;0,"Guaranteed off bill",IF(T104&gt;0,"Guaranteed off usage",IF(U104&gt;0,"Pay-on-time off bill","Pay-on-time off usage"))))</f>
        <v>No discount</v>
      </c>
      <c r="X104" s="538" t="str">
        <f>IF(OR(A104="Origin Energy",A104="Red Energy",A104="Powershop"),"Inclusive","Exclusive")</f>
        <v>Exclusive</v>
      </c>
      <c r="Y104" s="534">
        <f>IF(AND(W104="Guaranteed off bill",X104="Inclusive"),((Q104*1.1)-((Q104*1.1)*S104/100))/1.1,IF(AND(W104="Guaranteed off usage",X104="Inclusive"),((Q104*1.1)-((P104*1.1)*T104/100))/1.1,IF(AND(W104="Guaranteed off bill",X104="Exclusive"),Q104-(Q104*S104/100),IF(AND(W104="Guaranteed off usage",X104="Exclusive"),Q104-(P104*T104/100),IF(X104="Inclusive",((Q104*1.1))/1.1,Q104)))))</f>
        <v>1489.7055818181816</v>
      </c>
      <c r="Z104" s="535">
        <f>IF(AND(W104="Pay-on-time off bill",X104="Inclusive"),((Y104*1.1)-((Y104*1.1)*U104/100))/1.1,IF(AND(W104="Pay-on-time off usage",X104="Inclusive"),((Y104*1.1)-((P104*1.1)*V104/100))/1.1,IF(AND(W104="Pay-on-time off bill",X104="Exclusive"),Y104-(Y104*U104/100),IF(AND(W104="Pay-on-time off usage",X104="Exclusive"),Y104-(P104*V104/100),IF(X104="Inclusive",((Y104*1.1))/1.1,Y104)))))</f>
        <v>1489.7055818181816</v>
      </c>
      <c r="AA104" s="542">
        <f t="shared" si="60"/>
        <v>1638.6761399999998</v>
      </c>
      <c r="AB104" s="542">
        <f t="shared" si="60"/>
        <v>1638.6761399999998</v>
      </c>
      <c r="AC104" s="274">
        <f>'Tariffs Jul2022'!AZ99</f>
        <v>0</v>
      </c>
      <c r="AD104" s="274" t="str">
        <f>'Tariffs Jul2022'!BA99</f>
        <v>n</v>
      </c>
      <c r="AE104" s="275" t="str">
        <f>'Tariffs Jul2022'!BJ99</f>
        <v>N</v>
      </c>
      <c r="AF104" s="593"/>
      <c r="AG104" s="593"/>
      <c r="AH104" s="593"/>
      <c r="AI104" s="593"/>
      <c r="AJ104" s="593"/>
      <c r="AK104" s="593"/>
      <c r="AL104" s="593"/>
      <c r="AM104" s="593"/>
      <c r="AN104" s="593"/>
      <c r="AO104" s="593"/>
      <c r="AP104" s="593"/>
      <c r="AQ104" s="593"/>
      <c r="AR104" s="593"/>
      <c r="AS104" s="593"/>
      <c r="AT104" s="593"/>
      <c r="AU104" s="593"/>
      <c r="AV104" s="593"/>
      <c r="AW104" s="593"/>
    </row>
    <row r="105" spans="1:49" ht="14" x14ac:dyDescent="0.15">
      <c r="A105" s="270" t="str">
        <f>'Tariffs Jul2022'!F100</f>
        <v>Alinta Energy</v>
      </c>
      <c r="B105" s="40" t="str">
        <f>'Tariffs Jul2022'!D100</f>
        <v>AusNet Services Central 1</v>
      </c>
      <c r="C105" s="40" t="str">
        <f>'Tariffs Jul2022'!G100</f>
        <v>Home Deal</v>
      </c>
      <c r="D105" s="59">
        <f>365*'Tariffs Jul2022'!H100/100</f>
        <v>258.45318181818175</v>
      </c>
      <c r="E105" s="59">
        <f>IF($C$5*'Tariffs Jul2022'!AK100/'Tariffs Jul2022'!AI100&gt;='Tariffs Jul2022'!J100,( 'Tariffs Jul2022'!J100*'Tariffs Jul2022'!O100/100)* 'Tariffs Jul2022'!AI100,($C$5*'Tariffs Jul2022'!AK100/'Tariffs Jul2022'!AI100*'Tariffs Jul2022'!O100/100)* 'Tariffs Jul2022'!AI100)</f>
        <v>300</v>
      </c>
      <c r="F105" s="59">
        <f>IF($C$5*'Tariffs Jul2022'!AK100/'Tariffs Jul2022'!AI100&lt;'Tariffs Jul2022'!J100,0,IF($C$5*'Tariffs Jul2022'!AK100/'Tariffs Jul2022'!AI100&lt;='Tariffs Jul2022'!K100,($C$5*'Tariffs Jul2022'!AK100/'Tariffs Jul2022'!AI100-'Tariffs Jul2022'!J100)*('Tariffs Jul2022'!P100/100)*'Tariffs Jul2022'!AI100,('Tariffs Jul2022'!K100-'Tariffs Jul2022'!J100)*('Tariffs Jul2022'!P100/100)*'Tariffs Jul2022'!AI100))</f>
        <v>0</v>
      </c>
      <c r="G105" s="59">
        <f>IF($C$5*'Tariffs Jul2022'!AK100/'Tariffs Jul2022'!AI100&lt;'Tariffs Jul2022'!K100,0,IF($C$5*'Tariffs Jul2022'!AK100/'Tariffs Jul2022'!AI100&lt;='Tariffs Jul2022'!L100,($C$5*'Tariffs Jul2022'!AK100/'Tariffs Jul2022'!AI100-'Tariffs Jul2022'!K100)*('Tariffs Jul2022'!Q100/100)*'Tariffs Jul2022'!AI100,('Tariffs Jul2022'!L100-'Tariffs Jul2022'!K100)*('Tariffs Jul2022'!Q100/100)*'Tariffs Jul2022'!AI100))</f>
        <v>0</v>
      </c>
      <c r="H105" s="59">
        <f>IF($C$5*'Tariffs Jul2022'!AK100/'Tariffs Jul2022'!AI100&lt;'Tariffs Jul2022'!L100,0,IF($C$5*'Tariffs Jul2022'!AK100/'Tariffs Jul2022'!AI100&lt;='Tariffs Jul2022'!M100,($C$5*'Tariffs Jul2022'!AK100/'Tariffs Jul2022'!AI100-'Tariffs Jul2022'!L100)*('Tariffs Jul2022'!R100/100)*'Tariffs Jul2022'!AI100,('Tariffs Jul2022'!M100-'Tariffs Jul2022'!L100)*('Tariffs Jul2022'!R100/100)*'Tariffs Jul2022'!AI100))</f>
        <v>0</v>
      </c>
      <c r="I105" s="69">
        <f>IF(($C$5*'Tariffs Jul2022'!AK100/'Tariffs Jul2022'!AI100&gt;'Tariffs Jul2022'!M100),($C$5*'Tariffs Jul2022'!AK100/'Tariffs Jul2022'!AI100-'Tariffs Jul2022'!M100)*'Tariffs Jul2022'!S100/100*'Tariffs Jul2022'!AI100,0)</f>
        <v>174.23206363636356</v>
      </c>
      <c r="J105" s="69">
        <f>IF($C$5*'Tariffs Jul2022'!AL100/'Tariffs Jul2022'!AJ100&gt;='Tariffs Jul2022'!J100,('Tariffs Jul2022'!J100*'Tariffs Jul2022'!U100/100)* 'Tariffs Jul2022'!AJ100,($C$5*'Tariffs Jul2022'!AL100/'Tariffs Jul2022'!AJ100*'Tariffs Jul2022'!U100/100)* 'Tariffs Jul2022'!AJ100)</f>
        <v>556.36363636363637</v>
      </c>
      <c r="K105" s="69">
        <f>IF($C$5*'Tariffs Jul2022'!AL100/'Tariffs Jul2022'!AJ100&lt;'Tariffs Jul2022'!J100,0,IF($C$5*'Tariffs Jul2022'!AL100/'Tariffs Jul2022'!AJ100&lt;='Tariffs Jul2022'!K100,($C$5*'Tariffs Jul2022'!AL100/'Tariffs Jul2022'!AJ100-'Tariffs Jul2022'!J100)*('Tariffs Jul2022'!V100/100)*'Tariffs Jul2022'!AJ100,('Tariffs Jul2022'!K100-'Tariffs Jul2022'!J100)*('Tariffs Jul2022'!V100/100)*'Tariffs Jul2022'!AJ100))</f>
        <v>0</v>
      </c>
      <c r="L105" s="69">
        <f>IF($C$5*'Tariffs Jul2022'!AL100/'Tariffs Jul2022'!AJ100&lt;'Tariffs Jul2022'!K100,0,IF($C$5*'Tariffs Jul2022'!AL100/'Tariffs Jul2022'!AJ100&lt;='Tariffs Jul2022'!L100,($C$5*'Tariffs Jul2022'!AL100/'Tariffs Jul2022'!AJ100-'Tariffs Jul2022'!K100)*('Tariffs Jul2022'!W100/100)*'Tariffs Jul2022'!AJ100,('Tariffs Jul2022'!L100-'Tariffs Jul2022'!K100)*('Tariffs Jul2022'!W100/100)*'Tariffs Jul2022'!AJ100))</f>
        <v>0</v>
      </c>
      <c r="M105" s="69">
        <f>IF($C$5*'Tariffs Jul2022'!AL100/'Tariffs Jul2022'!AJ100&lt;'Tariffs Jul2022'!L100,0,IF($C$5*'Tariffs Jul2022'!AL100/'Tariffs Jul2022'!AJ100&lt;='Tariffs Jul2022'!M100,($C$5*'Tariffs Jul2022'!AL100/'Tariffs Jul2022'!AJ100-'Tariffs Jul2022'!L100)*('Tariffs Jul2022'!X100/100)*'Tariffs Jul2022'!AJ100,('Tariffs Jul2022'!M100-'Tariffs Jul2022'!L100)*('Tariffs Jul2022'!X100/100)*'Tariffs Jul2022'!AJ100))</f>
        <v>0</v>
      </c>
      <c r="N105" s="69">
        <f>IF(($C$5*'Tariffs Jul2022'!AL100/'Tariffs Jul2022'!AJ100&gt;'Tariffs Jul2022'!M100),($C$5*'Tariffs Jul2022'!AL100/'Tariffs Jul2022'!AJ100-'Tariffs Jul2022'!M100)*'Tariffs Jul2022'!Y100/100*'Tariffs Jul2022'!AJ100,0)</f>
        <v>333.74029090909085</v>
      </c>
      <c r="O105" s="59">
        <f>SUM(E105:N105)</f>
        <v>1364.3359909090907</v>
      </c>
      <c r="P105" s="503">
        <f t="shared" si="43"/>
        <v>1500.7695899999999</v>
      </c>
      <c r="Q105" s="59">
        <f>D105+O105</f>
        <v>1622.7891727272724</v>
      </c>
      <c r="R105" s="272">
        <f>Q105*1.1</f>
        <v>1785.0680899999998</v>
      </c>
      <c r="S105" s="40">
        <f>'Tariffs Jul2022'!AN100</f>
        <v>0</v>
      </c>
      <c r="T105" s="40">
        <f>'Tariffs Jul2022'!AO100</f>
        <v>0</v>
      </c>
      <c r="U105" s="40">
        <f>'Tariffs Jul2022'!AP100</f>
        <v>0</v>
      </c>
      <c r="V105" s="40">
        <f>'Tariffs Jul2022'!AQ100</f>
        <v>0</v>
      </c>
      <c r="W105" s="537" t="str">
        <f t="shared" ref="W105:W117" si="67">IF(SUM(S105:V105)=0,"No discount",IF(S105&gt;0,"Guaranteed off bill",IF(T105&gt;0,"Guaranteed off usage",IF(U105&gt;0,"Pay-on-time off bill","Pay-on-time off usage"))))</f>
        <v>No discount</v>
      </c>
      <c r="X105" s="538" t="str">
        <f t="shared" ref="X105:X117" si="68">IF(OR(A105="Origin Energy",A105="Red Energy",A105="Powershop"),"Inclusive","Exclusive")</f>
        <v>Exclusive</v>
      </c>
      <c r="Y105" s="534">
        <f>IF(AND(W105="Guaranteed off bill",X105="Inclusive"),((Q105*1.1)-((Q105*1.1)*S105/100))/1.1,IF(AND(W105="Guaranteed off usage",X105="Inclusive"),((Q105*1.1)-((P105*1.1)*T105/100))/1.1,IF(AND(W105="Guaranteed off bill",X105="Exclusive"),Q105-(Q105*S105/100),IF(AND(W105="Guaranteed off usage",X105="Exclusive"),Q105-(P105*T105/100),IF(X105="Inclusive",((Q105*1.1))/1.1,Q105)))))</f>
        <v>1622.7891727272724</v>
      </c>
      <c r="Z105" s="535">
        <f>IF(AND(W105="Pay-on-time off bill",X105="Inclusive"),((Y105*1.1)-((Y105*1.1)*U105/100))/1.1,IF(AND(W105="Pay-on-time off usage",X105="Inclusive"),((Y105*1.1)-((P105*1.1)*V105/100))/1.1,IF(AND(W105="Pay-on-time off bill",X105="Exclusive"),Y105-(Y105*U105/100),IF(AND(W105="Pay-on-time off usage",X105="Exclusive"),Y105-(P105*V105/100),IF(X105="Inclusive",((Y105*1.1))/1.1,Y105)))))</f>
        <v>1622.7891727272724</v>
      </c>
      <c r="AA105" s="542">
        <f t="shared" si="60"/>
        <v>1785.0680899999998</v>
      </c>
      <c r="AB105" s="542">
        <f t="shared" si="60"/>
        <v>1785.0680899999998</v>
      </c>
      <c r="AC105" s="274">
        <f>'Tariffs Jul2022'!AZ100</f>
        <v>0</v>
      </c>
      <c r="AD105" s="274" t="str">
        <f>'Tariffs Jul2022'!BA100</f>
        <v>n</v>
      </c>
      <c r="AE105" s="275" t="str">
        <f>'Tariffs Jul2022'!BJ100</f>
        <v>N</v>
      </c>
      <c r="AF105" s="593"/>
      <c r="AG105" s="593"/>
      <c r="AH105" s="593"/>
      <c r="AI105" s="593"/>
      <c r="AJ105" s="593"/>
      <c r="AK105" s="593"/>
      <c r="AL105" s="593"/>
      <c r="AM105" s="593"/>
      <c r="AN105" s="593"/>
      <c r="AO105" s="593"/>
      <c r="AP105" s="593"/>
      <c r="AQ105" s="593"/>
      <c r="AR105" s="593"/>
      <c r="AS105" s="593"/>
      <c r="AT105" s="593"/>
      <c r="AU105" s="593"/>
      <c r="AV105" s="593"/>
      <c r="AW105" s="593"/>
    </row>
    <row r="106" spans="1:49" ht="14" x14ac:dyDescent="0.15">
      <c r="A106" s="270" t="str">
        <f>'Tariffs Jul2022'!F101</f>
        <v>Dodo Power &amp; Gas</v>
      </c>
      <c r="B106" s="40" t="str">
        <f>'Tariffs Jul2022'!D101</f>
        <v>AusNet Services Central 1</v>
      </c>
      <c r="C106" s="40" t="str">
        <f>'Tariffs Jul2022'!G101</f>
        <v>Market offer</v>
      </c>
      <c r="D106" s="59">
        <f>365*'Tariffs Jul2022'!H101/100</f>
        <v>317.41727272727269</v>
      </c>
      <c r="E106" s="59">
        <f>IF($C$5*'Tariffs Jul2022'!AK101/'Tariffs Jul2022'!AI101&gt;='Tariffs Jul2022'!J101,( 'Tariffs Jul2022'!J101*'Tariffs Jul2022'!O101/100)* 'Tariffs Jul2022'!AI101,($C$5*'Tariffs Jul2022'!AK101/'Tariffs Jul2022'!AI101*'Tariffs Jul2022'!O101/100)* 'Tariffs Jul2022'!AI101)</f>
        <v>267.27272727272725</v>
      </c>
      <c r="F106" s="59">
        <f>IF($C$5*'Tariffs Jul2022'!AK101/'Tariffs Jul2022'!AI101&lt;'Tariffs Jul2022'!J101,0,IF($C$5*'Tariffs Jul2022'!AK101/'Tariffs Jul2022'!AI101&lt;='Tariffs Jul2022'!K101,($C$5*'Tariffs Jul2022'!AK101/'Tariffs Jul2022'!AI101-'Tariffs Jul2022'!J101)*('Tariffs Jul2022'!P101/100)*'Tariffs Jul2022'!AI101,('Tariffs Jul2022'!K101-'Tariffs Jul2022'!J101)*('Tariffs Jul2022'!P101/100)*'Tariffs Jul2022'!AI101))</f>
        <v>176.6860363636363</v>
      </c>
      <c r="G106" s="59">
        <f>IF($C$5*'Tariffs Jul2022'!AK101/'Tariffs Jul2022'!AI101&lt;'Tariffs Jul2022'!K101,0,IF($C$5*'Tariffs Jul2022'!AK101/'Tariffs Jul2022'!AI101&lt;='Tariffs Jul2022'!L101,($C$5*'Tariffs Jul2022'!AK101/'Tariffs Jul2022'!AI101-'Tariffs Jul2022'!K101)*('Tariffs Jul2022'!Q101/100)*'Tariffs Jul2022'!AI101,('Tariffs Jul2022'!L101-'Tariffs Jul2022'!K101)*('Tariffs Jul2022'!Q101/100)*'Tariffs Jul2022'!AI101))</f>
        <v>0</v>
      </c>
      <c r="H106" s="59">
        <f>IF($C$5*'Tariffs Jul2022'!AK101/'Tariffs Jul2022'!AI101&lt;'Tariffs Jul2022'!L101,0,IF($C$5*'Tariffs Jul2022'!AK101/'Tariffs Jul2022'!AI101&lt;='Tariffs Jul2022'!M101,($C$5*'Tariffs Jul2022'!AK101/'Tariffs Jul2022'!AI101-'Tariffs Jul2022'!L101)*('Tariffs Jul2022'!R101/100)*'Tariffs Jul2022'!AI101,('Tariffs Jul2022'!M101-'Tariffs Jul2022'!L101)*('Tariffs Jul2022'!R101/100)*'Tariffs Jul2022'!AI101))</f>
        <v>0</v>
      </c>
      <c r="I106" s="69">
        <f>IF(($C$5*'Tariffs Jul2022'!AK101/'Tariffs Jul2022'!AI101&gt;'Tariffs Jul2022'!M101),($C$5*'Tariffs Jul2022'!AK101/'Tariffs Jul2022'!AI101-'Tariffs Jul2022'!M101)*'Tariffs Jul2022'!S101/100*'Tariffs Jul2022'!AI101,0)</f>
        <v>0</v>
      </c>
      <c r="J106" s="69">
        <f>IF($C$5*'Tariffs Jul2022'!AL101/'Tariffs Jul2022'!AJ101&gt;='Tariffs Jul2022'!J101,('Tariffs Jul2022'!J101*'Tariffs Jul2022'!U101/100)* 'Tariffs Jul2022'!AJ101,($C$5*'Tariffs Jul2022'!AL101/'Tariffs Jul2022'!AJ101*'Tariffs Jul2022'!U101/100)* 'Tariffs Jul2022'!AJ101)</f>
        <v>429.81818181818176</v>
      </c>
      <c r="K106" s="69">
        <f>IF($C$5*'Tariffs Jul2022'!AL101/'Tariffs Jul2022'!AJ101&lt;'Tariffs Jul2022'!J101,0,IF($C$5*'Tariffs Jul2022'!AL101/'Tariffs Jul2022'!AJ101&lt;='Tariffs Jul2022'!K101,($C$5*'Tariffs Jul2022'!AL101/'Tariffs Jul2022'!AJ101-'Tariffs Jul2022'!J101)*('Tariffs Jul2022'!V101/100)*'Tariffs Jul2022'!AJ101,('Tariffs Jul2022'!K101-'Tariffs Jul2022'!J101)*('Tariffs Jul2022'!V101/100)*'Tariffs Jul2022'!AJ101))</f>
        <v>313.12691999999993</v>
      </c>
      <c r="L106" s="69">
        <f>IF($C$5*'Tariffs Jul2022'!AL101/'Tariffs Jul2022'!AJ101&lt;'Tariffs Jul2022'!K101,0,IF($C$5*'Tariffs Jul2022'!AL101/'Tariffs Jul2022'!AJ101&lt;='Tariffs Jul2022'!L101,($C$5*'Tariffs Jul2022'!AL101/'Tariffs Jul2022'!AJ101-'Tariffs Jul2022'!K101)*('Tariffs Jul2022'!W101/100)*'Tariffs Jul2022'!AJ101,('Tariffs Jul2022'!L101-'Tariffs Jul2022'!K101)*('Tariffs Jul2022'!W101/100)*'Tariffs Jul2022'!AJ101))</f>
        <v>0</v>
      </c>
      <c r="M106" s="69">
        <f>IF($C$5*'Tariffs Jul2022'!AL101/'Tariffs Jul2022'!AJ101&lt;'Tariffs Jul2022'!L101,0,IF($C$5*'Tariffs Jul2022'!AL101/'Tariffs Jul2022'!AJ101&lt;='Tariffs Jul2022'!M101,($C$5*'Tariffs Jul2022'!AL101/'Tariffs Jul2022'!AJ101-'Tariffs Jul2022'!L101)*('Tariffs Jul2022'!X101/100)*'Tariffs Jul2022'!AJ101,('Tariffs Jul2022'!M101-'Tariffs Jul2022'!L101)*('Tariffs Jul2022'!X101/100)*'Tariffs Jul2022'!AJ101))</f>
        <v>0</v>
      </c>
      <c r="N106" s="69">
        <f>IF(($C$5*'Tariffs Jul2022'!AL101/'Tariffs Jul2022'!AJ101&gt;'Tariffs Jul2022'!M101),($C$5*'Tariffs Jul2022'!AL101/'Tariffs Jul2022'!AJ101-'Tariffs Jul2022'!M101)*'Tariffs Jul2022'!Y101/100*'Tariffs Jul2022'!AJ101,0)</f>
        <v>0</v>
      </c>
      <c r="O106" s="59">
        <f t="shared" ref="O106:O117" si="69">SUM(E106:N106)</f>
        <v>1186.9038654545452</v>
      </c>
      <c r="P106" s="503">
        <f t="shared" si="43"/>
        <v>1305.5942519999999</v>
      </c>
      <c r="Q106" s="59">
        <f t="shared" ref="Q106:Q117" si="70">D106+O106</f>
        <v>1504.3211381818178</v>
      </c>
      <c r="R106" s="272">
        <f t="shared" ref="R106:R117" si="71">Q106*1.1</f>
        <v>1654.7532519999997</v>
      </c>
      <c r="S106" s="40">
        <f>'Tariffs Jul2022'!AN101</f>
        <v>0</v>
      </c>
      <c r="T106" s="40">
        <f>'Tariffs Jul2022'!AO101</f>
        <v>0</v>
      </c>
      <c r="U106" s="40">
        <f>'Tariffs Jul2022'!AP101</f>
        <v>0</v>
      </c>
      <c r="V106" s="40">
        <f>'Tariffs Jul2022'!AQ101</f>
        <v>0</v>
      </c>
      <c r="W106" s="537" t="str">
        <f t="shared" si="67"/>
        <v>No discount</v>
      </c>
      <c r="X106" s="538" t="str">
        <f t="shared" si="68"/>
        <v>Exclusive</v>
      </c>
      <c r="Y106" s="534">
        <f>IF(AND(W106="Guaranteed off bill",X106="Inclusive"),((Q106*1.1)-((Q106*1.1)*S106/100))/1.1,IF(AND(W106="Guaranteed off usage",X106="Inclusive"),((Q106*1.1)-((P106*1.1)*T106/100))/1.1,IF(AND(W106="Guaranteed off bill",X106="Exclusive"),Q106-(Q106*S106/100),IF(AND(W106="Guaranteed off usage",X106="Exclusive"),Q106-(P106*T106/100),IF(X106="Inclusive",((Q106*1.1))/1.1,Q106)))))</f>
        <v>1504.3211381818178</v>
      </c>
      <c r="Z106" s="535">
        <f>IF(AND(W106="Pay-on-time off bill",X106="Inclusive"),((Y106*1.1)-((Y106*1.1)*U106/100))/1.1,IF(AND(W106="Pay-on-time off usage",X106="Inclusive"),((Y106*1.1)-((P106*1.1)*V106/100))/1.1,IF(AND(W106="Pay-on-time off bill",X106="Exclusive"),Y106-(Y106*U106/100),IF(AND(W106="Pay-on-time off usage",X106="Exclusive"),Y106-(P106*V106/100),IF(X106="Inclusive",((Y106*1.1))/1.1,Y106)))))</f>
        <v>1504.3211381818178</v>
      </c>
      <c r="AA106" s="542">
        <f t="shared" si="60"/>
        <v>1654.7532519999997</v>
      </c>
      <c r="AB106" s="542">
        <f t="shared" si="60"/>
        <v>1654.7532519999997</v>
      </c>
      <c r="AC106" s="274">
        <f>'Tariffs Jul2022'!AZ101</f>
        <v>0</v>
      </c>
      <c r="AD106" s="274" t="str">
        <f>'Tariffs Jul2022'!BA101</f>
        <v>n</v>
      </c>
      <c r="AE106" s="275" t="str">
        <f>'Tariffs Jul2022'!BJ101</f>
        <v>N</v>
      </c>
      <c r="AF106" s="593"/>
      <c r="AG106" s="593"/>
      <c r="AH106" s="593"/>
      <c r="AI106" s="593"/>
      <c r="AJ106" s="593"/>
      <c r="AK106" s="593"/>
      <c r="AL106" s="593"/>
      <c r="AM106" s="593"/>
      <c r="AN106" s="593"/>
      <c r="AO106" s="593"/>
      <c r="AP106" s="593"/>
      <c r="AQ106" s="593"/>
      <c r="AR106" s="593"/>
      <c r="AS106" s="593"/>
      <c r="AT106" s="593"/>
      <c r="AU106" s="593"/>
      <c r="AV106" s="593"/>
      <c r="AW106" s="593"/>
    </row>
    <row r="107" spans="1:49" ht="14" x14ac:dyDescent="0.15">
      <c r="A107" s="270" t="str">
        <f>'Tariffs Jul2022'!F102</f>
        <v>EnergyAustralia</v>
      </c>
      <c r="B107" s="40" t="str">
        <f>'Tariffs Jul2022'!D102</f>
        <v>AusNet Services Central 1</v>
      </c>
      <c r="C107" s="40" t="str">
        <f>'Tariffs Jul2022'!G102</f>
        <v>Flexi Plan</v>
      </c>
      <c r="D107" s="59">
        <f>365*'Tariffs Jul2022'!H102/100</f>
        <v>378.50499999999994</v>
      </c>
      <c r="E107" s="59">
        <f>IF($C$5*'Tariffs Jul2022'!AK102/'Tariffs Jul2022'!AI102&gt;='Tariffs Jul2022'!J102,( 'Tariffs Jul2022'!J102*'Tariffs Jul2022'!O102/100)* 'Tariffs Jul2022'!AI102,($C$5*'Tariffs Jul2022'!AK102/'Tariffs Jul2022'!AI102*'Tariffs Jul2022'!O102/100)* 'Tariffs Jul2022'!AI102)</f>
        <v>366.5454545454545</v>
      </c>
      <c r="F107" s="59">
        <f>IF($C$5*'Tariffs Jul2022'!AK102/'Tariffs Jul2022'!AI102&lt;'Tariffs Jul2022'!J102,0,IF($C$5*'Tariffs Jul2022'!AK102/'Tariffs Jul2022'!AI102&lt;='Tariffs Jul2022'!K102,($C$5*'Tariffs Jul2022'!AK102/'Tariffs Jul2022'!AI102-'Tariffs Jul2022'!J102)*('Tariffs Jul2022'!P102/100)*'Tariffs Jul2022'!AI102,('Tariffs Jul2022'!K102-'Tariffs Jul2022'!J102)*('Tariffs Jul2022'!P102/100)*'Tariffs Jul2022'!AI102))</f>
        <v>220.85754545454543</v>
      </c>
      <c r="G107" s="59">
        <f>IF($C$5*'Tariffs Jul2022'!AK102/'Tariffs Jul2022'!AI102&lt;'Tariffs Jul2022'!K102,0,IF($C$5*'Tariffs Jul2022'!AK102/'Tariffs Jul2022'!AI102&lt;='Tariffs Jul2022'!L102,($C$5*'Tariffs Jul2022'!AK102/'Tariffs Jul2022'!AI102-'Tariffs Jul2022'!K102)*('Tariffs Jul2022'!Q102/100)*'Tariffs Jul2022'!AI102,('Tariffs Jul2022'!L102-'Tariffs Jul2022'!K102)*('Tariffs Jul2022'!Q102/100)*'Tariffs Jul2022'!AI102))</f>
        <v>0</v>
      </c>
      <c r="H107" s="59">
        <f>IF($C$5*'Tariffs Jul2022'!AK102/'Tariffs Jul2022'!AI102&lt;'Tariffs Jul2022'!L102,0,IF($C$5*'Tariffs Jul2022'!AK102/'Tariffs Jul2022'!AI102&lt;='Tariffs Jul2022'!M102,($C$5*'Tariffs Jul2022'!AK102/'Tariffs Jul2022'!AI102-'Tariffs Jul2022'!L102)*('Tariffs Jul2022'!R102/100)*'Tariffs Jul2022'!AI102,('Tariffs Jul2022'!M102-'Tariffs Jul2022'!L102)*('Tariffs Jul2022'!R102/100)*'Tariffs Jul2022'!AI102))</f>
        <v>0</v>
      </c>
      <c r="I107" s="69">
        <f>IF(($C$5*'Tariffs Jul2022'!AK102/'Tariffs Jul2022'!AI102&gt;'Tariffs Jul2022'!M102),($C$5*'Tariffs Jul2022'!AK102/'Tariffs Jul2022'!AI102-'Tariffs Jul2022'!M102)*'Tariffs Jul2022'!S102/100*'Tariffs Jul2022'!AI102,0)</f>
        <v>0</v>
      </c>
      <c r="J107" s="69">
        <f>IF($C$5*'Tariffs Jul2022'!AL102/'Tariffs Jul2022'!AJ102&gt;='Tariffs Jul2022'!J102,('Tariffs Jul2022'!J102*'Tariffs Jul2022'!U102/100)* 'Tariffs Jul2022'!AJ102,($C$5*'Tariffs Jul2022'!AL102/'Tariffs Jul2022'!AJ102*'Tariffs Jul2022'!U102/100)* 'Tariffs Jul2022'!AJ102)</f>
        <v>560.72727272727263</v>
      </c>
      <c r="K107" s="69">
        <f>IF($C$5*'Tariffs Jul2022'!AL102/'Tariffs Jul2022'!AJ102&lt;'Tariffs Jul2022'!J102,0,IF($C$5*'Tariffs Jul2022'!AL102/'Tariffs Jul2022'!AJ102&lt;='Tariffs Jul2022'!K102,($C$5*'Tariffs Jul2022'!AL102/'Tariffs Jul2022'!AJ102-'Tariffs Jul2022'!J102)*('Tariffs Jul2022'!V102/100)*'Tariffs Jul2022'!AJ102,('Tariffs Jul2022'!K102-'Tariffs Jul2022'!J102)*('Tariffs Jul2022'!V102/100)*'Tariffs Jul2022'!AJ102))</f>
        <v>381.18376363636349</v>
      </c>
      <c r="L107" s="69">
        <f>IF($C$5*'Tariffs Jul2022'!AL102/'Tariffs Jul2022'!AJ102&lt;'Tariffs Jul2022'!K102,0,IF($C$5*'Tariffs Jul2022'!AL102/'Tariffs Jul2022'!AJ102&lt;='Tariffs Jul2022'!L102,($C$5*'Tariffs Jul2022'!AL102/'Tariffs Jul2022'!AJ102-'Tariffs Jul2022'!K102)*('Tariffs Jul2022'!W102/100)*'Tariffs Jul2022'!AJ102,('Tariffs Jul2022'!L102-'Tariffs Jul2022'!K102)*('Tariffs Jul2022'!W102/100)*'Tariffs Jul2022'!AJ102))</f>
        <v>0</v>
      </c>
      <c r="M107" s="69">
        <f>IF($C$5*'Tariffs Jul2022'!AL102/'Tariffs Jul2022'!AJ102&lt;'Tariffs Jul2022'!L102,0,IF($C$5*'Tariffs Jul2022'!AL102/'Tariffs Jul2022'!AJ102&lt;='Tariffs Jul2022'!M102,($C$5*'Tariffs Jul2022'!AL102/'Tariffs Jul2022'!AJ102-'Tariffs Jul2022'!L102)*('Tariffs Jul2022'!X102/100)*'Tariffs Jul2022'!AJ102,('Tariffs Jul2022'!M102-'Tariffs Jul2022'!L102)*('Tariffs Jul2022'!X102/100)*'Tariffs Jul2022'!AJ102))</f>
        <v>0</v>
      </c>
      <c r="N107" s="69">
        <f>IF(($C$5*'Tariffs Jul2022'!AL102/'Tariffs Jul2022'!AJ102&gt;'Tariffs Jul2022'!M102),($C$5*'Tariffs Jul2022'!AL102/'Tariffs Jul2022'!AJ102-'Tariffs Jul2022'!M102)*'Tariffs Jul2022'!Y102/100*'Tariffs Jul2022'!AJ102,0)</f>
        <v>0</v>
      </c>
      <c r="O107" s="59">
        <f t="shared" si="69"/>
        <v>1529.314036363636</v>
      </c>
      <c r="P107" s="503">
        <f t="shared" si="43"/>
        <v>1682.2454399999997</v>
      </c>
      <c r="Q107" s="59">
        <f t="shared" si="70"/>
        <v>1907.8190363636359</v>
      </c>
      <c r="R107" s="272">
        <f t="shared" si="71"/>
        <v>2098.6009399999998</v>
      </c>
      <c r="S107" s="40">
        <f>'Tariffs Jul2022'!AN102</f>
        <v>8</v>
      </c>
      <c r="T107" s="40">
        <f>'Tariffs Jul2022'!AO102</f>
        <v>0</v>
      </c>
      <c r="U107" s="40">
        <f>'Tariffs Jul2022'!AP102</f>
        <v>0</v>
      </c>
      <c r="V107" s="40">
        <f>'Tariffs Jul2022'!AQ102</f>
        <v>0</v>
      </c>
      <c r="W107" s="537" t="str">
        <f t="shared" si="67"/>
        <v>Guaranteed off bill</v>
      </c>
      <c r="X107" s="538" t="str">
        <f t="shared" si="68"/>
        <v>Exclusive</v>
      </c>
      <c r="Y107" s="534">
        <f t="shared" ref="Y107" si="72">IF(AND(W107="Guaranteed off bill",X107="Inclusive"),((Q107*1.1)-((Q107*1.1)*S107/100))/1.1,IF(AND(W107="Guaranteed off usage",X107="Inclusive"),((Q107*1.1)-((P107*1.1)*T107/100))/1.1,IF(AND(W107="Guaranteed off bill",X107="Exclusive"),Q107-(Q107*S107/100),IF(AND(W107="Guaranteed off usage",X107="Exclusive"),Q107-(P107*T107/100),IF(X107="Inclusive",((Q107*1.1))/1.1,Q107)))))</f>
        <v>1755.1935134545449</v>
      </c>
      <c r="Z107" s="535">
        <f t="shared" ref="Z107" si="73">IF(AND(W107="Pay-on-time off bill",X107="Inclusive"),((Y107*1.1)-((Y107*1.1)*U107/100))/1.1,IF(AND(W107="Pay-on-time off usage",X107="Inclusive"),((Y107*1.1)-((P107*1.1)*V107/100))/1.1,IF(AND(W107="Pay-on-time off bill",X107="Exclusive"),Y107-(Y107*U107/100),IF(AND(W107="Pay-on-time off usage",X107="Exclusive"),Y107-(P107*V107/100),IF(X107="Inclusive",((Y107*1.1))/1.1,Y107)))))</f>
        <v>1755.1935134545449</v>
      </c>
      <c r="AA107" s="542">
        <f t="shared" si="60"/>
        <v>1930.7128647999996</v>
      </c>
      <c r="AB107" s="542">
        <f t="shared" si="60"/>
        <v>1930.7128647999996</v>
      </c>
      <c r="AC107" s="274">
        <f>'Tariffs Jul2022'!AZ102</f>
        <v>12</v>
      </c>
      <c r="AD107" s="274" t="str">
        <f>'Tariffs Jul2022'!BA102</f>
        <v>n</v>
      </c>
      <c r="AE107" s="275" t="str">
        <f>'Tariffs Jul2022'!BJ102</f>
        <v>N</v>
      </c>
      <c r="AF107" s="593"/>
      <c r="AG107" s="593"/>
      <c r="AH107" s="593"/>
      <c r="AI107" s="593"/>
      <c r="AJ107" s="593"/>
      <c r="AK107" s="593"/>
      <c r="AL107" s="593"/>
      <c r="AM107" s="593"/>
      <c r="AN107" s="593"/>
      <c r="AO107" s="593"/>
      <c r="AP107" s="593"/>
      <c r="AQ107" s="593"/>
      <c r="AR107" s="593"/>
      <c r="AS107" s="593"/>
      <c r="AT107" s="593"/>
      <c r="AU107" s="593"/>
      <c r="AV107" s="593"/>
      <c r="AW107" s="593"/>
    </row>
    <row r="108" spans="1:49" ht="14" x14ac:dyDescent="0.15">
      <c r="A108" s="270" t="str">
        <f>'Tariffs Jul2022'!F103</f>
        <v>Lumo Energy</v>
      </c>
      <c r="B108" s="40" t="str">
        <f>'Tariffs Jul2022'!D103</f>
        <v>AusNet Services Central 1</v>
      </c>
      <c r="C108" s="40" t="str">
        <f>'Tariffs Jul2022'!G103</f>
        <v>Value</v>
      </c>
      <c r="D108" s="59">
        <f>365*'Tariffs Jul2022'!H103/100</f>
        <v>322.85909090909087</v>
      </c>
      <c r="E108" s="59">
        <f>IF($C$5*'Tariffs Jul2022'!AK103/'Tariffs Jul2022'!AI103&gt;='Tariffs Jul2022'!J103,( 'Tariffs Jul2022'!J103*'Tariffs Jul2022'!O103/100)* 'Tariffs Jul2022'!AI103,($C$5*'Tariffs Jul2022'!AK103/'Tariffs Jul2022'!AI103*'Tariffs Jul2022'!O103/100)* 'Tariffs Jul2022'!AI103)</f>
        <v>249.81818181818181</v>
      </c>
      <c r="F108" s="59">
        <f>IF($C$5*'Tariffs Jul2022'!AK103/'Tariffs Jul2022'!AI103&lt;'Tariffs Jul2022'!J103,0,IF($C$5*'Tariffs Jul2022'!AK103/'Tariffs Jul2022'!AI103&lt;='Tariffs Jul2022'!K103,($C$5*'Tariffs Jul2022'!AK103/'Tariffs Jul2022'!AI103-'Tariffs Jul2022'!J103)*('Tariffs Jul2022'!P103/100)*'Tariffs Jul2022'!AI103,('Tariffs Jul2022'!K103-'Tariffs Jul2022'!J103)*('Tariffs Jul2022'!P103/100)*'Tariffs Jul2022'!AI103))</f>
        <v>183.22996363636361</v>
      </c>
      <c r="G108" s="59">
        <f>IF($C$5*'Tariffs Jul2022'!AK103/'Tariffs Jul2022'!AI103&lt;'Tariffs Jul2022'!K103,0,IF($C$5*'Tariffs Jul2022'!AK103/'Tariffs Jul2022'!AI103&lt;='Tariffs Jul2022'!L103,($C$5*'Tariffs Jul2022'!AK103/'Tariffs Jul2022'!AI103-'Tariffs Jul2022'!K103)*('Tariffs Jul2022'!Q103/100)*'Tariffs Jul2022'!AI103,('Tariffs Jul2022'!L103-'Tariffs Jul2022'!K103)*('Tariffs Jul2022'!Q103/100)*'Tariffs Jul2022'!AI103))</f>
        <v>0</v>
      </c>
      <c r="H108" s="59">
        <f>IF($C$5*'Tariffs Jul2022'!AK103/'Tariffs Jul2022'!AI103&lt;'Tariffs Jul2022'!L103,0,IF($C$5*'Tariffs Jul2022'!AK103/'Tariffs Jul2022'!AI103&lt;='Tariffs Jul2022'!M103,($C$5*'Tariffs Jul2022'!AK103/'Tariffs Jul2022'!AI103-'Tariffs Jul2022'!L103)*('Tariffs Jul2022'!R103/100)*'Tariffs Jul2022'!AI103,('Tariffs Jul2022'!M103-'Tariffs Jul2022'!L103)*('Tariffs Jul2022'!R103/100)*'Tariffs Jul2022'!AI103))</f>
        <v>0</v>
      </c>
      <c r="I108" s="69">
        <f>IF(($C$5*'Tariffs Jul2022'!AK103/'Tariffs Jul2022'!AI103&gt;'Tariffs Jul2022'!M103),($C$5*'Tariffs Jul2022'!AK103/'Tariffs Jul2022'!AI103-'Tariffs Jul2022'!M103)*'Tariffs Jul2022'!S103/100*'Tariffs Jul2022'!AI103,0)</f>
        <v>0</v>
      </c>
      <c r="J108" s="69">
        <f>IF($C$5*'Tariffs Jul2022'!AL103/'Tariffs Jul2022'!AJ103&gt;='Tariffs Jul2022'!J103,('Tariffs Jul2022'!J103*'Tariffs Jul2022'!U103/100)* 'Tariffs Jul2022'!AJ103,($C$5*'Tariffs Jul2022'!AL103/'Tariffs Jul2022'!AJ103*'Tariffs Jul2022'!U103/100)* 'Tariffs Jul2022'!AJ103)</f>
        <v>427.63636363636363</v>
      </c>
      <c r="K108" s="69">
        <f>IF($C$5*'Tariffs Jul2022'!AL103/'Tariffs Jul2022'!AJ103&lt;'Tariffs Jul2022'!J103,0,IF($C$5*'Tariffs Jul2022'!AL103/'Tariffs Jul2022'!AJ103&lt;='Tariffs Jul2022'!K103,($C$5*'Tariffs Jul2022'!AL103/'Tariffs Jul2022'!AJ103-'Tariffs Jul2022'!J103)*('Tariffs Jul2022'!V103/100)*'Tariffs Jul2022'!AJ103,('Tariffs Jul2022'!K103-'Tariffs Jul2022'!J103)*('Tariffs Jul2022'!V103/100)*'Tariffs Jul2022'!AJ103))</f>
        <v>299.38467272727269</v>
      </c>
      <c r="L108" s="69">
        <f>IF($C$5*'Tariffs Jul2022'!AL103/'Tariffs Jul2022'!AJ103&lt;'Tariffs Jul2022'!K103,0,IF($C$5*'Tariffs Jul2022'!AL103/'Tariffs Jul2022'!AJ103&lt;='Tariffs Jul2022'!L103,($C$5*'Tariffs Jul2022'!AL103/'Tariffs Jul2022'!AJ103-'Tariffs Jul2022'!K103)*('Tariffs Jul2022'!W103/100)*'Tariffs Jul2022'!AJ103,('Tariffs Jul2022'!L103-'Tariffs Jul2022'!K103)*('Tariffs Jul2022'!W103/100)*'Tariffs Jul2022'!AJ103))</f>
        <v>0</v>
      </c>
      <c r="M108" s="69">
        <f>IF($C$5*'Tariffs Jul2022'!AL103/'Tariffs Jul2022'!AJ103&lt;'Tariffs Jul2022'!L103,0,IF($C$5*'Tariffs Jul2022'!AL103/'Tariffs Jul2022'!AJ103&lt;='Tariffs Jul2022'!M103,($C$5*'Tariffs Jul2022'!AL103/'Tariffs Jul2022'!AJ103-'Tariffs Jul2022'!L103)*('Tariffs Jul2022'!X103/100)*'Tariffs Jul2022'!AJ103,('Tariffs Jul2022'!M103-'Tariffs Jul2022'!L103)*('Tariffs Jul2022'!X103/100)*'Tariffs Jul2022'!AJ103))</f>
        <v>0</v>
      </c>
      <c r="N108" s="69">
        <f>IF(($C$5*'Tariffs Jul2022'!AL103/'Tariffs Jul2022'!AJ103&gt;'Tariffs Jul2022'!M103),($C$5*'Tariffs Jul2022'!AL103/'Tariffs Jul2022'!AJ103-'Tariffs Jul2022'!M103)*'Tariffs Jul2022'!Y103/100*'Tariffs Jul2022'!AJ103,0)</f>
        <v>0</v>
      </c>
      <c r="O108" s="59">
        <f t="shared" si="69"/>
        <v>1160.0691818181817</v>
      </c>
      <c r="P108" s="503">
        <f t="shared" si="43"/>
        <v>1276.0761</v>
      </c>
      <c r="Q108" s="59">
        <f t="shared" si="70"/>
        <v>1482.9282727272725</v>
      </c>
      <c r="R108" s="272">
        <f t="shared" si="71"/>
        <v>1631.2211</v>
      </c>
      <c r="S108" s="40">
        <f>'Tariffs Jul2022'!AN103</f>
        <v>0</v>
      </c>
      <c r="T108" s="40">
        <f>'Tariffs Jul2022'!AO103</f>
        <v>0</v>
      </c>
      <c r="U108" s="40">
        <f>'Tariffs Jul2022'!AP103</f>
        <v>0</v>
      </c>
      <c r="V108" s="40">
        <f>'Tariffs Jul2022'!AQ103</f>
        <v>0</v>
      </c>
      <c r="W108" s="537" t="str">
        <f t="shared" si="67"/>
        <v>No discount</v>
      </c>
      <c r="X108" s="538" t="str">
        <f t="shared" si="68"/>
        <v>Exclusive</v>
      </c>
      <c r="Y108" s="534">
        <f>IF(AND(W108="Guaranteed off bill",X108="Inclusive"),((Q108*1.1)-((Q108*1.1)*S108/100))/1.1,IF(AND(W108="Guaranteed off usage",X108="Inclusive"),((Q108*1.1)-((P108*1.1)*T108/100))/1.1,IF(AND(W108="Guaranteed off bill",X108="Exclusive"),Q108-(Q108*S108/100),IF(AND(W108="Guaranteed off usage",X108="Exclusive"),Q108-(P108*T108/100),IF(X108="Inclusive",((Q108*1.1))/1.1,Q108)))))</f>
        <v>1482.9282727272725</v>
      </c>
      <c r="Z108" s="535">
        <f>IF(AND(W108="Pay-on-time off bill",X108="Inclusive"),((Y108*1.1)-((Y108*1.1)*U108/100))/1.1,IF(AND(W108="Pay-on-time off usage",X108="Inclusive"),((Y108*1.1)-((P108*1.1)*V108/100))/1.1,IF(AND(W108="Pay-on-time off bill",X108="Exclusive"),Y108-(Y108*U108/100),IF(AND(W108="Pay-on-time off usage",X108="Exclusive"),Y108-(P108*V108/100),IF(X108="Inclusive",((Y108*1.1))/1.1,Y108)))))</f>
        <v>1482.9282727272725</v>
      </c>
      <c r="AA108" s="542">
        <f t="shared" si="60"/>
        <v>1631.2211</v>
      </c>
      <c r="AB108" s="542">
        <f t="shared" si="60"/>
        <v>1631.2211</v>
      </c>
      <c r="AC108" s="274">
        <f>'Tariffs Jul2022'!AZ103</f>
        <v>0</v>
      </c>
      <c r="AD108" s="274" t="str">
        <f>'Tariffs Jul2022'!BA103</f>
        <v>n</v>
      </c>
      <c r="AE108" s="275" t="str">
        <f>'Tariffs Jul2022'!BJ103</f>
        <v>N</v>
      </c>
      <c r="AF108" s="593"/>
      <c r="AG108" s="593"/>
      <c r="AH108" s="593"/>
      <c r="AI108" s="593"/>
      <c r="AJ108" s="593"/>
      <c r="AK108" s="593"/>
      <c r="AL108" s="593"/>
      <c r="AM108" s="593"/>
      <c r="AN108" s="593"/>
      <c r="AO108" s="593"/>
      <c r="AP108" s="593"/>
      <c r="AQ108" s="593"/>
      <c r="AR108" s="593"/>
      <c r="AS108" s="593"/>
      <c r="AT108" s="593"/>
      <c r="AU108" s="593"/>
      <c r="AV108" s="593"/>
      <c r="AW108" s="593"/>
    </row>
    <row r="109" spans="1:49" ht="14" x14ac:dyDescent="0.15">
      <c r="A109" s="270" t="str">
        <f>'Tariffs Jul2022'!F104</f>
        <v>Origin Energy</v>
      </c>
      <c r="B109" s="40" t="str">
        <f>'Tariffs Jul2022'!D104</f>
        <v>AusNet Services Central 1</v>
      </c>
      <c r="C109" s="40" t="str">
        <f>'Tariffs Jul2022'!G104</f>
        <v>Go Variable</v>
      </c>
      <c r="D109" s="59">
        <f>365*'Tariffs Jul2022'!H104/100</f>
        <v>299.26681818181817</v>
      </c>
      <c r="E109" s="59">
        <f>((C$5*'Tariffs Jul2022'!AK104/'Tariffs Jul2022'!AI104)*('Tariffs Jul2022'!O104/100))*'Tariffs Jul2022'!AI104</f>
        <v>693</v>
      </c>
      <c r="F109" s="59">
        <v>0</v>
      </c>
      <c r="G109" s="59">
        <v>0</v>
      </c>
      <c r="H109" s="59">
        <v>0</v>
      </c>
      <c r="I109" s="69">
        <v>0</v>
      </c>
      <c r="J109" s="69">
        <f>((C$5*'Tariffs Jul2022'!AL104/'Tariffs Jul2022'!AJ104)*('Tariffs Jul2022'!U104/100))*'Tariffs Jul2022'!AJ104</f>
        <v>693</v>
      </c>
      <c r="K109" s="69">
        <v>0</v>
      </c>
      <c r="L109" s="69">
        <v>0</v>
      </c>
      <c r="M109" s="69">
        <v>0</v>
      </c>
      <c r="N109" s="69">
        <v>0</v>
      </c>
      <c r="O109" s="59">
        <f t="shared" si="69"/>
        <v>1386</v>
      </c>
      <c r="P109" s="503">
        <f t="shared" si="43"/>
        <v>1524.6000000000001</v>
      </c>
      <c r="Q109" s="59">
        <f t="shared" si="70"/>
        <v>1685.2668181818181</v>
      </c>
      <c r="R109" s="272">
        <f t="shared" si="71"/>
        <v>1853.7935</v>
      </c>
      <c r="S109" s="40">
        <f>'Tariffs Jul2022'!AN104</f>
        <v>0</v>
      </c>
      <c r="T109" s="40">
        <f>'Tariffs Jul2022'!AO104</f>
        <v>0</v>
      </c>
      <c r="U109" s="40">
        <f>'Tariffs Jul2022'!AP104</f>
        <v>0</v>
      </c>
      <c r="V109" s="40">
        <f>'Tariffs Jul2022'!AQ104</f>
        <v>0</v>
      </c>
      <c r="W109" s="537" t="str">
        <f t="shared" si="67"/>
        <v>No discount</v>
      </c>
      <c r="X109" s="538" t="str">
        <f t="shared" si="68"/>
        <v>Inclusive</v>
      </c>
      <c r="Y109" s="534">
        <f>IF(AND(W109="Guaranteed off bill",X109="Inclusive"),((Q109*1.1)-((Q109*1.1)*S109/100))/1.1,IF(AND(W109="Guaranteed off usage",X109="Inclusive"),((Q109*1.1)-((P109*1.1)*T109/100))/1.1,IF(AND(W109="Guaranteed off bill",X109="Exclusive"),Q109-(Q109*S109/100),IF(AND(W109="Guaranteed off usage",X109="Exclusive"),Q109-(P109*T109/100),IF(X109="Inclusive",((Q109*1.1))/1.1,Q109)))))</f>
        <v>1685.2668181818181</v>
      </c>
      <c r="Z109" s="535">
        <f>IF(AND(W109="Pay-on-time off bill",X109="Inclusive"),((Y109*1.1)-((Y109*1.1)*U109/100))/1.1,IF(AND(W109="Pay-on-time off usage",X109="Inclusive"),((Y109*1.1)-((P109*1.1)*V109/100))/1.1,IF(AND(W109="Pay-on-time off bill",X109="Exclusive"),Y109-(Y109*U109/100),IF(AND(W109="Pay-on-time off usage",X109="Exclusive"),Y109-(P109*V109/100),IF(X109="Inclusive",((Y109*1.1))/1.1,Y109)))))</f>
        <v>1685.2668181818181</v>
      </c>
      <c r="AA109" s="542">
        <f t="shared" si="60"/>
        <v>1853.7935</v>
      </c>
      <c r="AB109" s="542">
        <f t="shared" si="60"/>
        <v>1853.7935</v>
      </c>
      <c r="AC109" s="274">
        <f>'Tariffs Jul2022'!AZ104</f>
        <v>0</v>
      </c>
      <c r="AD109" s="274" t="str">
        <f>'Tariffs Jul2022'!BA104</f>
        <v>n</v>
      </c>
      <c r="AE109" s="275" t="str">
        <f>'Tariffs Jul2022'!BJ104</f>
        <v>N</v>
      </c>
      <c r="AF109" s="593"/>
      <c r="AG109" s="593"/>
      <c r="AH109" s="593"/>
      <c r="AI109" s="593"/>
      <c r="AJ109" s="593"/>
      <c r="AK109" s="593"/>
      <c r="AL109" s="593"/>
      <c r="AM109" s="593"/>
      <c r="AN109" s="593"/>
      <c r="AO109" s="593"/>
      <c r="AP109" s="593"/>
      <c r="AQ109" s="593"/>
      <c r="AR109" s="593"/>
      <c r="AS109" s="593"/>
      <c r="AT109" s="593"/>
      <c r="AU109" s="593"/>
      <c r="AV109" s="593"/>
      <c r="AW109" s="593"/>
    </row>
    <row r="110" spans="1:49" ht="14" x14ac:dyDescent="0.15">
      <c r="A110" s="270" t="str">
        <f>'Tariffs Jul2022'!F105</f>
        <v>Red Energy</v>
      </c>
      <c r="B110" s="40" t="str">
        <f>'Tariffs Jul2022'!D105</f>
        <v>AusNet Services Central 1</v>
      </c>
      <c r="C110" s="40" t="str">
        <f>'Tariffs Jul2022'!G105</f>
        <v>Living Energy Saver</v>
      </c>
      <c r="D110" s="59">
        <f>365*'Tariffs Jul2022'!H105/100</f>
        <v>333.97500000000002</v>
      </c>
      <c r="E110" s="59">
        <f>IF($C$5*'Tariffs Jul2022'!AK105/'Tariffs Jul2022'!AI105&gt;='Tariffs Jul2022'!J105,( 'Tariffs Jul2022'!J105*'Tariffs Jul2022'!O105/100)* 'Tariffs Jul2022'!AI105,($C$5*'Tariffs Jul2022'!AK105/'Tariffs Jul2022'!AI105*'Tariffs Jul2022'!O105/100)* 'Tariffs Jul2022'!AI105)</f>
        <v>259.63636363636363</v>
      </c>
      <c r="F110" s="59">
        <f>IF($C$5*'Tariffs Jul2022'!AK105/'Tariffs Jul2022'!AI105&lt;'Tariffs Jul2022'!J105,0,IF($C$5*'Tariffs Jul2022'!AK105/'Tariffs Jul2022'!AI105&lt;='Tariffs Jul2022'!K105,($C$5*'Tariffs Jul2022'!AK105/'Tariffs Jul2022'!AI105-'Tariffs Jul2022'!J105)*('Tariffs Jul2022'!P105/100)*'Tariffs Jul2022'!AI105,('Tariffs Jul2022'!K105-'Tariffs Jul2022'!J105)*('Tariffs Jul2022'!P105/100)*'Tariffs Jul2022'!AI105))</f>
        <v>184.8659454545454</v>
      </c>
      <c r="G110" s="59">
        <f>IF($C$5*'Tariffs Jul2022'!AK105/'Tariffs Jul2022'!AI105&lt;'Tariffs Jul2022'!K105,0,IF($C$5*'Tariffs Jul2022'!AK105/'Tariffs Jul2022'!AI105&lt;='Tariffs Jul2022'!L105,($C$5*'Tariffs Jul2022'!AK105/'Tariffs Jul2022'!AI105-'Tariffs Jul2022'!K105)*('Tariffs Jul2022'!Q105/100)*'Tariffs Jul2022'!AI105,('Tariffs Jul2022'!L105-'Tariffs Jul2022'!K105)*('Tariffs Jul2022'!Q105/100)*'Tariffs Jul2022'!AI105))</f>
        <v>0</v>
      </c>
      <c r="H110" s="59">
        <f>IF($C$5*'Tariffs Jul2022'!AK105/'Tariffs Jul2022'!AI105&lt;'Tariffs Jul2022'!L105,0,IF($C$5*'Tariffs Jul2022'!AK105/'Tariffs Jul2022'!AI105&lt;='Tariffs Jul2022'!M105,($C$5*'Tariffs Jul2022'!AK105/'Tariffs Jul2022'!AI105-'Tariffs Jul2022'!L105)*('Tariffs Jul2022'!R105/100)*'Tariffs Jul2022'!AI105,('Tariffs Jul2022'!M105-'Tariffs Jul2022'!L105)*('Tariffs Jul2022'!R105/100)*'Tariffs Jul2022'!AI105))</f>
        <v>0</v>
      </c>
      <c r="I110" s="69">
        <f>IF(($C$5*'Tariffs Jul2022'!AK105/'Tariffs Jul2022'!AI105&gt;'Tariffs Jul2022'!M105),($C$5*'Tariffs Jul2022'!AK105/'Tariffs Jul2022'!AI105-'Tariffs Jul2022'!M105)*'Tariffs Jul2022'!S105/100*'Tariffs Jul2022'!AI105,0)</f>
        <v>0</v>
      </c>
      <c r="J110" s="69">
        <f>IF($C$5*'Tariffs Jul2022'!AL105/'Tariffs Jul2022'!AJ105&gt;='Tariffs Jul2022'!J105,('Tariffs Jul2022'!J105*'Tariffs Jul2022'!U105/100)* 'Tariffs Jul2022'!AJ105,($C$5*'Tariffs Jul2022'!AL105/'Tariffs Jul2022'!AJ105*'Tariffs Jul2022'!U105/100)* 'Tariffs Jul2022'!AJ105)</f>
        <v>475.63636363636363</v>
      </c>
      <c r="K110" s="69">
        <f>IF($C$5*'Tariffs Jul2022'!AL105/'Tariffs Jul2022'!AJ105&lt;'Tariffs Jul2022'!J105,0,IF($C$5*'Tariffs Jul2022'!AL105/'Tariffs Jul2022'!AJ105&lt;='Tariffs Jul2022'!K105,($C$5*'Tariffs Jul2022'!AL105/'Tariffs Jul2022'!AJ105-'Tariffs Jul2022'!J105)*('Tariffs Jul2022'!V105/100)*'Tariffs Jul2022'!AJ105,('Tariffs Jul2022'!K105-'Tariffs Jul2022'!J105)*('Tariffs Jul2022'!V105/100)*'Tariffs Jul2022'!AJ105))</f>
        <v>338.64823636363627</v>
      </c>
      <c r="L110" s="69">
        <f>IF($C$5*'Tariffs Jul2022'!AL105/'Tariffs Jul2022'!AJ105&lt;'Tariffs Jul2022'!K105,0,IF($C$5*'Tariffs Jul2022'!AL105/'Tariffs Jul2022'!AJ105&lt;='Tariffs Jul2022'!L105,($C$5*'Tariffs Jul2022'!AL105/'Tariffs Jul2022'!AJ105-'Tariffs Jul2022'!K105)*('Tariffs Jul2022'!W105/100)*'Tariffs Jul2022'!AJ105,('Tariffs Jul2022'!L105-'Tariffs Jul2022'!K105)*('Tariffs Jul2022'!W105/100)*'Tariffs Jul2022'!AJ105))</f>
        <v>0</v>
      </c>
      <c r="M110" s="69">
        <f>IF($C$5*'Tariffs Jul2022'!AL105/'Tariffs Jul2022'!AJ105&lt;'Tariffs Jul2022'!L105,0,IF($C$5*'Tariffs Jul2022'!AL105/'Tariffs Jul2022'!AJ105&lt;='Tariffs Jul2022'!M105,($C$5*'Tariffs Jul2022'!AL105/'Tariffs Jul2022'!AJ105-'Tariffs Jul2022'!L105)*('Tariffs Jul2022'!X105/100)*'Tariffs Jul2022'!AJ105,('Tariffs Jul2022'!M105-'Tariffs Jul2022'!L105)*('Tariffs Jul2022'!X105/100)*'Tariffs Jul2022'!AJ105))</f>
        <v>0</v>
      </c>
      <c r="N110" s="69">
        <f>IF(($C$5*'Tariffs Jul2022'!AL105/'Tariffs Jul2022'!AJ105&gt;'Tariffs Jul2022'!M105),($C$5*'Tariffs Jul2022'!AL105/'Tariffs Jul2022'!AJ105-'Tariffs Jul2022'!M105)*'Tariffs Jul2022'!Y105/100*'Tariffs Jul2022'!AJ105,0)</f>
        <v>0</v>
      </c>
      <c r="O110" s="59">
        <f t="shared" si="69"/>
        <v>1258.7869090909089</v>
      </c>
      <c r="P110" s="503">
        <f t="shared" si="43"/>
        <v>1384.6655999999998</v>
      </c>
      <c r="Q110" s="59">
        <f t="shared" si="70"/>
        <v>1592.7619090909088</v>
      </c>
      <c r="R110" s="272">
        <f t="shared" si="71"/>
        <v>1752.0380999999998</v>
      </c>
      <c r="S110" s="40">
        <f>'Tariffs Jul2022'!AN105</f>
        <v>0</v>
      </c>
      <c r="T110" s="40">
        <f>'Tariffs Jul2022'!AO105</f>
        <v>0</v>
      </c>
      <c r="U110" s="40">
        <f>'Tariffs Jul2022'!AP105</f>
        <v>0</v>
      </c>
      <c r="V110" s="40">
        <f>'Tariffs Jul2022'!AQ105</f>
        <v>0</v>
      </c>
      <c r="W110" s="537" t="str">
        <f t="shared" si="67"/>
        <v>No discount</v>
      </c>
      <c r="X110" s="538" t="str">
        <f t="shared" si="68"/>
        <v>Inclusive</v>
      </c>
      <c r="Y110" s="534">
        <f t="shared" ref="Y110:Y112" si="74">IF(AND(W110="Guaranteed off bill",X110="Inclusive"),((Q110*1.1)-((Q110*1.1)*S110/100))/1.1,IF(AND(W110="Guaranteed off usage",X110="Inclusive"),((Q110*1.1)-((P110*1.1)*T110/100))/1.1,IF(AND(W110="Guaranteed off bill",X110="Exclusive"),Q110-(Q110*S110/100),IF(AND(W110="Guaranteed off usage",X110="Exclusive"),Q110-(P110*T110/100),IF(X110="Inclusive",((Q110*1.1))/1.1,Q110)))))</f>
        <v>1592.7619090909088</v>
      </c>
      <c r="Z110" s="535">
        <f t="shared" ref="Z110:Z112" si="75">IF(AND(W110="Pay-on-time off bill",X110="Inclusive"),((Y110*1.1)-((Y110*1.1)*U110/100))/1.1,IF(AND(W110="Pay-on-time off usage",X110="Inclusive"),((Y110*1.1)-((P110*1.1)*V110/100))/1.1,IF(AND(W110="Pay-on-time off bill",X110="Exclusive"),Y110-(Y110*U110/100),IF(AND(W110="Pay-on-time off usage",X110="Exclusive"),Y110-(P110*V110/100),IF(X110="Inclusive",((Y110*1.1))/1.1,Y110)))))</f>
        <v>1592.7619090909088</v>
      </c>
      <c r="AA110" s="542">
        <f t="shared" si="60"/>
        <v>1752.0380999999998</v>
      </c>
      <c r="AB110" s="542">
        <f t="shared" si="60"/>
        <v>1752.0380999999998</v>
      </c>
      <c r="AC110" s="274">
        <f>'Tariffs Jul2022'!AZ105</f>
        <v>0</v>
      </c>
      <c r="AD110" s="274" t="str">
        <f>'Tariffs Jul2022'!BA105</f>
        <v>n</v>
      </c>
      <c r="AE110" s="275" t="str">
        <f>'Tariffs Jul2022'!BJ105</f>
        <v>N</v>
      </c>
      <c r="AF110" s="593"/>
      <c r="AG110" s="593"/>
      <c r="AH110" s="593"/>
      <c r="AI110" s="593"/>
      <c r="AJ110" s="593"/>
      <c r="AK110" s="593"/>
      <c r="AL110" s="593"/>
      <c r="AM110" s="593"/>
      <c r="AN110" s="593"/>
      <c r="AO110" s="593"/>
      <c r="AP110" s="593"/>
      <c r="AQ110" s="593"/>
      <c r="AR110" s="593"/>
      <c r="AS110" s="593"/>
      <c r="AT110" s="593"/>
      <c r="AU110" s="593"/>
      <c r="AV110" s="593"/>
      <c r="AW110" s="593"/>
    </row>
    <row r="111" spans="1:49" ht="14" x14ac:dyDescent="0.15">
      <c r="A111" s="270" t="str">
        <f>'Tariffs Jul2022'!F106</f>
        <v>Simply Energy</v>
      </c>
      <c r="B111" s="40" t="str">
        <f>'Tariffs Jul2022'!D106</f>
        <v>AusNet Services Central 1</v>
      </c>
      <c r="C111" s="40" t="str">
        <f>'Tariffs Jul2022'!G106</f>
        <v>Basics</v>
      </c>
      <c r="D111" s="59">
        <f>365*'Tariffs Jul2022'!H106/100</f>
        <v>319.9722727272727</v>
      </c>
      <c r="E111" s="59">
        <f>IF($C$5*'Tariffs Jul2022'!AK106/'Tariffs Jul2022'!AI106&gt;='Tariffs Jul2022'!J106,( 'Tariffs Jul2022'!J106*'Tariffs Jul2022'!O106/100)* 'Tariffs Jul2022'!AI106,($C$5*'Tariffs Jul2022'!AK106/'Tariffs Jul2022'!AI106*'Tariffs Jul2022'!O106/100)* 'Tariffs Jul2022'!AI106)</f>
        <v>391.63636363636363</v>
      </c>
      <c r="F111" s="59">
        <f>IF($C$5*'Tariffs Jul2022'!AK106/'Tariffs Jul2022'!AI106&lt;'Tariffs Jul2022'!J106,0,IF($C$5*'Tariffs Jul2022'!AK106/'Tariffs Jul2022'!AI106&lt;='Tariffs Jul2022'!K106,($C$5*'Tariffs Jul2022'!AK106/'Tariffs Jul2022'!AI106-'Tariffs Jul2022'!J106)*('Tariffs Jul2022'!P106/100)*'Tariffs Jul2022'!AI106,('Tariffs Jul2022'!K106-'Tariffs Jul2022'!J106)*('Tariffs Jul2022'!P106/100)*'Tariffs Jul2022'!AI106))</f>
        <v>287.93279999999993</v>
      </c>
      <c r="G111" s="59">
        <f>IF($C$5*'Tariffs Jul2022'!AK106/'Tariffs Jul2022'!AI106&lt;'Tariffs Jul2022'!K106,0,IF($C$5*'Tariffs Jul2022'!AK106/'Tariffs Jul2022'!AI106&lt;='Tariffs Jul2022'!L106,($C$5*'Tariffs Jul2022'!AK106/'Tariffs Jul2022'!AI106-'Tariffs Jul2022'!K106)*('Tariffs Jul2022'!Q106/100)*'Tariffs Jul2022'!AI106,('Tariffs Jul2022'!L106-'Tariffs Jul2022'!K106)*('Tariffs Jul2022'!Q106/100)*'Tariffs Jul2022'!AI106))</f>
        <v>0</v>
      </c>
      <c r="H111" s="59">
        <f>IF($C$5*'Tariffs Jul2022'!AK106/'Tariffs Jul2022'!AI106&lt;'Tariffs Jul2022'!L106,0,IF($C$5*'Tariffs Jul2022'!AK106/'Tariffs Jul2022'!AI106&lt;='Tariffs Jul2022'!M106,($C$5*'Tariffs Jul2022'!AK106/'Tariffs Jul2022'!AI106-'Tariffs Jul2022'!L106)*('Tariffs Jul2022'!R106/100)*'Tariffs Jul2022'!AI106,('Tariffs Jul2022'!M106-'Tariffs Jul2022'!L106)*('Tariffs Jul2022'!R106/100)*'Tariffs Jul2022'!AI106))</f>
        <v>0</v>
      </c>
      <c r="I111" s="69">
        <f>IF(($C$5*'Tariffs Jul2022'!AK106/'Tariffs Jul2022'!AI106&gt;'Tariffs Jul2022'!M106),($C$5*'Tariffs Jul2022'!AK106/'Tariffs Jul2022'!AI106-'Tariffs Jul2022'!M106)*'Tariffs Jul2022'!S106/100*'Tariffs Jul2022'!AI106,0)</f>
        <v>0</v>
      </c>
      <c r="J111" s="69">
        <f>IF($C$5*'Tariffs Jul2022'!AL106/'Tariffs Jul2022'!AJ106&gt;='Tariffs Jul2022'!J106,('Tariffs Jul2022'!J106*'Tariffs Jul2022'!U106/100)* 'Tariffs Jul2022'!AJ106,($C$5*'Tariffs Jul2022'!AL106/'Tariffs Jul2022'!AJ106*'Tariffs Jul2022'!U106/100)* 'Tariffs Jul2022'!AJ106)</f>
        <v>597.81818181818176</v>
      </c>
      <c r="K111" s="69">
        <f>IF($C$5*'Tariffs Jul2022'!AL106/'Tariffs Jul2022'!AJ106&lt;'Tariffs Jul2022'!J106,0,IF($C$5*'Tariffs Jul2022'!AL106/'Tariffs Jul2022'!AJ106&lt;='Tariffs Jul2022'!K106,($C$5*'Tariffs Jul2022'!AL106/'Tariffs Jul2022'!AJ106-'Tariffs Jul2022'!J106)*('Tariffs Jul2022'!V106/100)*'Tariffs Jul2022'!AJ106,('Tariffs Jul2022'!K106-'Tariffs Jul2022'!J106)*('Tariffs Jul2022'!V106/100)*'Tariffs Jul2022'!AJ106))</f>
        <v>431.89919999999989</v>
      </c>
      <c r="L111" s="69">
        <f>IF($C$5*'Tariffs Jul2022'!AL106/'Tariffs Jul2022'!AJ106&lt;'Tariffs Jul2022'!K106,0,IF($C$5*'Tariffs Jul2022'!AL106/'Tariffs Jul2022'!AJ106&lt;='Tariffs Jul2022'!L106,($C$5*'Tariffs Jul2022'!AL106/'Tariffs Jul2022'!AJ106-'Tariffs Jul2022'!K106)*('Tariffs Jul2022'!W106/100)*'Tariffs Jul2022'!AJ106,('Tariffs Jul2022'!L106-'Tariffs Jul2022'!K106)*('Tariffs Jul2022'!W106/100)*'Tariffs Jul2022'!AJ106))</f>
        <v>0</v>
      </c>
      <c r="M111" s="69">
        <f>IF($C$5*'Tariffs Jul2022'!AL106/'Tariffs Jul2022'!AJ106&lt;'Tariffs Jul2022'!L106,0,IF($C$5*'Tariffs Jul2022'!AL106/'Tariffs Jul2022'!AJ106&lt;='Tariffs Jul2022'!M106,($C$5*'Tariffs Jul2022'!AL106/'Tariffs Jul2022'!AJ106-'Tariffs Jul2022'!L106)*('Tariffs Jul2022'!X106/100)*'Tariffs Jul2022'!AJ106,('Tariffs Jul2022'!M106-'Tariffs Jul2022'!L106)*('Tariffs Jul2022'!X106/100)*'Tariffs Jul2022'!AJ106))</f>
        <v>0</v>
      </c>
      <c r="N111" s="69">
        <f>IF(($C$5*'Tariffs Jul2022'!AL106/'Tariffs Jul2022'!AJ106&gt;'Tariffs Jul2022'!M106),($C$5*'Tariffs Jul2022'!AL106/'Tariffs Jul2022'!AJ106-'Tariffs Jul2022'!M106)*'Tariffs Jul2022'!Y106/100*'Tariffs Jul2022'!AJ106,0)</f>
        <v>0</v>
      </c>
      <c r="O111" s="59">
        <f t="shared" si="69"/>
        <v>1709.2865454545451</v>
      </c>
      <c r="P111" s="503">
        <f t="shared" si="43"/>
        <v>1880.2151999999999</v>
      </c>
      <c r="Q111" s="59">
        <f t="shared" si="70"/>
        <v>2029.2588181818178</v>
      </c>
      <c r="R111" s="272">
        <f t="shared" si="71"/>
        <v>2232.1846999999998</v>
      </c>
      <c r="S111" s="40">
        <f>'Tariffs Jul2022'!AN106</f>
        <v>0</v>
      </c>
      <c r="T111" s="40">
        <f>'Tariffs Jul2022'!AO106</f>
        <v>0</v>
      </c>
      <c r="U111" s="40">
        <f>'Tariffs Jul2022'!AP106</f>
        <v>0</v>
      </c>
      <c r="V111" s="40">
        <f>'Tariffs Jul2022'!AQ106</f>
        <v>0</v>
      </c>
      <c r="W111" s="537" t="str">
        <f t="shared" si="67"/>
        <v>No discount</v>
      </c>
      <c r="X111" s="538" t="str">
        <f t="shared" si="68"/>
        <v>Exclusive</v>
      </c>
      <c r="Y111" s="534">
        <f t="shared" si="74"/>
        <v>2029.2588181818178</v>
      </c>
      <c r="Z111" s="535">
        <f t="shared" si="75"/>
        <v>2029.2588181818178</v>
      </c>
      <c r="AA111" s="542">
        <f t="shared" si="60"/>
        <v>2232.1846999999998</v>
      </c>
      <c r="AB111" s="542">
        <f t="shared" si="60"/>
        <v>2232.1846999999998</v>
      </c>
      <c r="AC111" s="274">
        <f>'Tariffs Jul2022'!AZ106</f>
        <v>0</v>
      </c>
      <c r="AD111" s="274" t="str">
        <f>'Tariffs Jul2022'!BA106</f>
        <v>n</v>
      </c>
      <c r="AE111" s="275" t="str">
        <f>'Tariffs Jul2022'!BJ106</f>
        <v>N</v>
      </c>
      <c r="AF111" s="593"/>
      <c r="AG111" s="593"/>
      <c r="AH111" s="593"/>
      <c r="AI111" s="593"/>
      <c r="AJ111" s="593"/>
      <c r="AK111" s="593"/>
      <c r="AL111" s="593"/>
      <c r="AM111" s="593"/>
      <c r="AN111" s="593"/>
      <c r="AO111" s="593"/>
      <c r="AP111" s="593"/>
      <c r="AQ111" s="593"/>
      <c r="AR111" s="593"/>
      <c r="AS111" s="593"/>
      <c r="AT111" s="593"/>
      <c r="AU111" s="593"/>
      <c r="AV111" s="593"/>
      <c r="AW111" s="593"/>
    </row>
    <row r="112" spans="1:49" ht="14" x14ac:dyDescent="0.15">
      <c r="A112" s="270" t="str">
        <f>'Tariffs Jul2022'!F107</f>
        <v>GloBird Energy</v>
      </c>
      <c r="B112" s="40" t="str">
        <f>'Tariffs Jul2022'!D107</f>
        <v>AusNet Services Central 1</v>
      </c>
      <c r="C112" s="40" t="str">
        <f>'Tariffs Jul2022'!G107</f>
        <v>GloSave</v>
      </c>
      <c r="D112" s="59">
        <f>365*'Tariffs Jul2022'!H107/100</f>
        <v>284.7</v>
      </c>
      <c r="E112" s="59">
        <f>IF($C$5*'Tariffs Jul2022'!AK107/'Tariffs Jul2022'!AI107&gt;='Tariffs Jul2022'!J107,( 'Tariffs Jul2022'!J107*'Tariffs Jul2022'!O107/100)* 'Tariffs Jul2022'!AI107,($C$5*'Tariffs Jul2022'!AK107/'Tariffs Jul2022'!AI107*'Tariffs Jul2022'!O107/100)* 'Tariffs Jul2022'!AI107)</f>
        <v>348</v>
      </c>
      <c r="F112" s="59">
        <f>IF($C$5*'Tariffs Jul2022'!AK107/'Tariffs Jul2022'!AI107&lt;'Tariffs Jul2022'!J107,0,IF($C$5*'Tariffs Jul2022'!AK107/'Tariffs Jul2022'!AI107&lt;='Tariffs Jul2022'!K107,($C$5*'Tariffs Jul2022'!AK107/'Tariffs Jul2022'!AI107-'Tariffs Jul2022'!J107)*('Tariffs Jul2022'!P107/100)*'Tariffs Jul2022'!AI107,('Tariffs Jul2022'!K107-'Tariffs Jul2022'!J107)*('Tariffs Jul2022'!P107/100)*'Tariffs Jul2022'!AI107))</f>
        <v>0</v>
      </c>
      <c r="G112" s="59">
        <f>IF($C$5*'Tariffs Jul2022'!AK107/'Tariffs Jul2022'!AI107&lt;'Tariffs Jul2022'!K107,0,IF($C$5*'Tariffs Jul2022'!AK107/'Tariffs Jul2022'!AI107&lt;='Tariffs Jul2022'!L107,($C$5*'Tariffs Jul2022'!AK107/'Tariffs Jul2022'!AI107-'Tariffs Jul2022'!K107)*('Tariffs Jul2022'!Q107/100)*'Tariffs Jul2022'!AI107,('Tariffs Jul2022'!L107-'Tariffs Jul2022'!K107)*('Tariffs Jul2022'!Q107/100)*'Tariffs Jul2022'!AI107))</f>
        <v>0</v>
      </c>
      <c r="H112" s="59">
        <f>IF($C$5*'Tariffs Jul2022'!AK107/'Tariffs Jul2022'!AI107&lt;'Tariffs Jul2022'!L107,0,IF($C$5*'Tariffs Jul2022'!AK107/'Tariffs Jul2022'!AI107&lt;='Tariffs Jul2022'!M107,($C$5*'Tariffs Jul2022'!AK107/'Tariffs Jul2022'!AI107-'Tariffs Jul2022'!L107)*('Tariffs Jul2022'!R107/100)*'Tariffs Jul2022'!AI107,('Tariffs Jul2022'!M107-'Tariffs Jul2022'!L107)*('Tariffs Jul2022'!R107/100)*'Tariffs Jul2022'!AI107))</f>
        <v>0</v>
      </c>
      <c r="I112" s="69">
        <f>IF(($C$5*'Tariffs Jul2022'!AK107/'Tariffs Jul2022'!AI107&gt;'Tariffs Jul2022'!M107),($C$5*'Tariffs Jul2022'!AK107/'Tariffs Jul2022'!AI107-'Tariffs Jul2022'!M107)*'Tariffs Jul2022'!S107/100*'Tariffs Jul2022'!AI107,0)</f>
        <v>247.85124545454536</v>
      </c>
      <c r="J112" s="69">
        <f>IF($C$5*'Tariffs Jul2022'!AL107/'Tariffs Jul2022'!AJ107&gt;='Tariffs Jul2022'!J107,('Tariffs Jul2022'!J107*'Tariffs Jul2022'!U107/100)* 'Tariffs Jul2022'!AJ107,($C$5*'Tariffs Jul2022'!AL107/'Tariffs Jul2022'!AJ107*'Tariffs Jul2022'!U107/100)* 'Tariffs Jul2022'!AJ107)</f>
        <v>623.99999999999989</v>
      </c>
      <c r="K112" s="69">
        <f>IF($C$5*'Tariffs Jul2022'!AL107/'Tariffs Jul2022'!AJ107&lt;'Tariffs Jul2022'!J107,0,IF($C$5*'Tariffs Jul2022'!AL107/'Tariffs Jul2022'!AJ107&lt;='Tariffs Jul2022'!K107,($C$5*'Tariffs Jul2022'!AL107/'Tariffs Jul2022'!AJ107-'Tariffs Jul2022'!J107)*('Tariffs Jul2022'!V107/100)*'Tariffs Jul2022'!AJ107,('Tariffs Jul2022'!K107-'Tariffs Jul2022'!J107)*('Tariffs Jul2022'!V107/100)*'Tariffs Jul2022'!AJ107))</f>
        <v>0</v>
      </c>
      <c r="L112" s="69">
        <f>IF($C$5*'Tariffs Jul2022'!AL107/'Tariffs Jul2022'!AJ107&lt;'Tariffs Jul2022'!K107,0,IF($C$5*'Tariffs Jul2022'!AL107/'Tariffs Jul2022'!AJ107&lt;='Tariffs Jul2022'!L107,($C$5*'Tariffs Jul2022'!AL107/'Tariffs Jul2022'!AJ107-'Tariffs Jul2022'!K107)*('Tariffs Jul2022'!W107/100)*'Tariffs Jul2022'!AJ107,('Tariffs Jul2022'!L107-'Tariffs Jul2022'!K107)*('Tariffs Jul2022'!W107/100)*'Tariffs Jul2022'!AJ107))</f>
        <v>0</v>
      </c>
      <c r="M112" s="69">
        <f>IF($C$5*'Tariffs Jul2022'!AL107/'Tariffs Jul2022'!AJ107&lt;'Tariffs Jul2022'!L107,0,IF($C$5*'Tariffs Jul2022'!AL107/'Tariffs Jul2022'!AJ107&lt;='Tariffs Jul2022'!M107,($C$5*'Tariffs Jul2022'!AL107/'Tariffs Jul2022'!AJ107-'Tariffs Jul2022'!L107)*('Tariffs Jul2022'!X107/100)*'Tariffs Jul2022'!AJ107,('Tariffs Jul2022'!M107-'Tariffs Jul2022'!L107)*('Tariffs Jul2022'!X107/100)*'Tariffs Jul2022'!AJ107))</f>
        <v>0</v>
      </c>
      <c r="N112" s="69">
        <f>IF(($C$5*'Tariffs Jul2022'!AL107/'Tariffs Jul2022'!AJ107&gt;'Tariffs Jul2022'!M107),($C$5*'Tariffs Jul2022'!AL107/'Tariffs Jul2022'!AJ107-'Tariffs Jul2022'!M107)*'Tariffs Jul2022'!Y107/100*'Tariffs Jul2022'!AJ107,0)</f>
        <v>449.89499999999987</v>
      </c>
      <c r="O112" s="59">
        <f t="shared" si="69"/>
        <v>1669.7462454545453</v>
      </c>
      <c r="P112" s="503">
        <f t="shared" si="43"/>
        <v>1836.7208699999999</v>
      </c>
      <c r="Q112" s="59">
        <f t="shared" si="70"/>
        <v>1954.4462454545453</v>
      </c>
      <c r="R112" s="272">
        <f t="shared" si="71"/>
        <v>2149.8908700000002</v>
      </c>
      <c r="S112" s="40">
        <f>'Tariffs Jul2022'!AN107</f>
        <v>0</v>
      </c>
      <c r="T112" s="40">
        <f>'Tariffs Jul2022'!AO107</f>
        <v>0</v>
      </c>
      <c r="U112" s="40">
        <f>'Tariffs Jul2022'!AP107</f>
        <v>0</v>
      </c>
      <c r="V112" s="40">
        <f>'Tariffs Jul2022'!AQ107</f>
        <v>0</v>
      </c>
      <c r="W112" s="537" t="str">
        <f t="shared" si="67"/>
        <v>No discount</v>
      </c>
      <c r="X112" s="538" t="str">
        <f t="shared" si="68"/>
        <v>Exclusive</v>
      </c>
      <c r="Y112" s="534">
        <f t="shared" si="74"/>
        <v>1954.4462454545453</v>
      </c>
      <c r="Z112" s="535">
        <f t="shared" si="75"/>
        <v>1954.4462454545453</v>
      </c>
      <c r="AA112" s="542">
        <f t="shared" si="60"/>
        <v>2149.8908700000002</v>
      </c>
      <c r="AB112" s="542">
        <f t="shared" si="60"/>
        <v>2149.8908700000002</v>
      </c>
      <c r="AC112" s="274">
        <f>'Tariffs Jul2022'!AZ107</f>
        <v>0</v>
      </c>
      <c r="AD112" s="274" t="str">
        <f>'Tariffs Jul2022'!BA107</f>
        <v>n</v>
      </c>
      <c r="AE112" s="275" t="str">
        <f>'Tariffs Jul2022'!BJ107</f>
        <v>N</v>
      </c>
      <c r="AF112" s="593"/>
      <c r="AG112" s="593"/>
      <c r="AH112" s="593"/>
      <c r="AI112" s="593"/>
      <c r="AJ112" s="593"/>
      <c r="AK112" s="593"/>
      <c r="AL112" s="593"/>
      <c r="AM112" s="593"/>
      <c r="AN112" s="593"/>
      <c r="AO112" s="593"/>
      <c r="AP112" s="593"/>
      <c r="AQ112" s="593"/>
      <c r="AR112" s="593"/>
      <c r="AS112" s="593"/>
      <c r="AT112" s="593"/>
      <c r="AU112" s="593"/>
      <c r="AV112" s="593"/>
      <c r="AW112" s="593"/>
    </row>
    <row r="113" spans="1:49" ht="14" x14ac:dyDescent="0.15">
      <c r="A113" s="270" t="str">
        <f>'Tariffs Jul2022'!F108</f>
        <v>Powershop</v>
      </c>
      <c r="B113" s="40" t="str">
        <f>'Tariffs Jul2022'!D108</f>
        <v>AusNet Services Central 1</v>
      </c>
      <c r="C113" s="40" t="str">
        <f>'Tariffs Jul2022'!G108</f>
        <v>Carbon Neutral</v>
      </c>
      <c r="D113" s="59">
        <f>365*'Tariffs Jul2022'!H108/100</f>
        <v>293.55954545454546</v>
      </c>
      <c r="E113" s="59">
        <f>((C$5*'Tariffs Jul2022'!AK108/'Tariffs Jul2022'!AI108)*('Tariffs Jul2022'!O108/100))*'Tariffs Jul2022'!AI108</f>
        <v>400.86899999999991</v>
      </c>
      <c r="F113" s="59">
        <v>0</v>
      </c>
      <c r="G113" s="59">
        <v>0</v>
      </c>
      <c r="H113" s="59">
        <v>0</v>
      </c>
      <c r="I113" s="69">
        <v>0</v>
      </c>
      <c r="J113" s="69">
        <f>((C$5*'Tariffs Jul2022'!AL108/'Tariffs Jul2022'!AJ108)*('Tariffs Jul2022'!U108/100))*'Tariffs Jul2022'!AJ108</f>
        <v>679.5684</v>
      </c>
      <c r="K113" s="69">
        <v>0</v>
      </c>
      <c r="L113" s="69">
        <v>0</v>
      </c>
      <c r="M113" s="69">
        <v>0</v>
      </c>
      <c r="N113" s="69">
        <v>0</v>
      </c>
      <c r="O113" s="59">
        <f t="shared" si="69"/>
        <v>1080.4373999999998</v>
      </c>
      <c r="P113" s="503">
        <f t="shared" si="43"/>
        <v>1188.4811399999999</v>
      </c>
      <c r="Q113" s="59">
        <f t="shared" si="70"/>
        <v>1373.9969454545453</v>
      </c>
      <c r="R113" s="272">
        <f t="shared" si="71"/>
        <v>1511.3966399999999</v>
      </c>
      <c r="S113" s="40">
        <f>'Tariffs Jul2022'!AN108</f>
        <v>0</v>
      </c>
      <c r="T113" s="40">
        <f>'Tariffs Jul2022'!AO108</f>
        <v>0</v>
      </c>
      <c r="U113" s="40">
        <f>'Tariffs Jul2022'!AP108</f>
        <v>0</v>
      </c>
      <c r="V113" s="40">
        <f>'Tariffs Jul2022'!AQ108</f>
        <v>0</v>
      </c>
      <c r="W113" s="537" t="str">
        <f t="shared" si="67"/>
        <v>No discount</v>
      </c>
      <c r="X113" s="538" t="str">
        <f t="shared" si="68"/>
        <v>Inclusive</v>
      </c>
      <c r="Y113" s="534">
        <f>IF(AND(W113="Guaranteed off bill",X113="Inclusive"),((Q113*1.1)-((Q113*1.1)*S113/100))/1.1,IF(AND(W113="Guaranteed off usage",X113="Inclusive"),((Q113*1.1)-((P113*1.1)*T113/100))/1.1,IF(AND(W113="Guaranteed off bill",X113="Exclusive"),Q113-(Q113*S113/100),IF(AND(W113="Guaranteed off usage",X113="Exclusive"),Q113-(P113*T113/100),IF(X113="Inclusive",((Q113*1.1))/1.1,Q113)))))</f>
        <v>1373.9969454545453</v>
      </c>
      <c r="Z113" s="535">
        <f>IF(AND(W113="Pay-on-time off bill",X113="Inclusive"),((Y113*1.1)-((Y113*1.1)*U113/100))/1.1,IF(AND(W113="Pay-on-time off usage",X113="Inclusive"),((Y113*1.1)-((P113*1.1)*V113/100))/1.1,IF(AND(W113="Pay-on-time off bill",X113="Exclusive"),Y113-(Y113*U113/100),IF(AND(W113="Pay-on-time off usage",X113="Exclusive"),Y113-(P113*V113/100),IF(X113="Inclusive",((Y113*1.1))/1.1,Y113)))))</f>
        <v>1373.9969454545453</v>
      </c>
      <c r="AA113" s="542">
        <f t="shared" si="60"/>
        <v>1511.3966399999999</v>
      </c>
      <c r="AB113" s="542">
        <f t="shared" si="60"/>
        <v>1511.3966399999999</v>
      </c>
      <c r="AC113" s="274">
        <f>'Tariffs Jul2022'!AZ108</f>
        <v>0</v>
      </c>
      <c r="AD113" s="274" t="str">
        <f>'Tariffs Jul2022'!BA108</f>
        <v>n</v>
      </c>
      <c r="AE113" s="275" t="str">
        <f>'Tariffs Jul2022'!BJ108</f>
        <v>Y</v>
      </c>
      <c r="AF113" s="593"/>
      <c r="AG113" s="593"/>
      <c r="AH113" s="593"/>
      <c r="AI113" s="593"/>
      <c r="AJ113" s="593"/>
      <c r="AK113" s="593"/>
      <c r="AL113" s="593"/>
      <c r="AM113" s="593"/>
      <c r="AN113" s="593"/>
      <c r="AO113" s="593"/>
      <c r="AP113" s="593"/>
      <c r="AQ113" s="593"/>
      <c r="AR113" s="593"/>
      <c r="AS113" s="593"/>
      <c r="AT113" s="593"/>
      <c r="AU113" s="593"/>
      <c r="AV113" s="593"/>
      <c r="AW113" s="593"/>
    </row>
    <row r="114" spans="1:49" ht="14" x14ac:dyDescent="0.15">
      <c r="A114" s="270" t="str">
        <f>'Tariffs Jul2022'!F109</f>
        <v>1st Energy</v>
      </c>
      <c r="B114" s="40" t="str">
        <f>'Tariffs Jul2022'!D109</f>
        <v>AusNet Services Central 1</v>
      </c>
      <c r="C114" s="40" t="str">
        <f>'Tariffs Jul2022'!G109</f>
        <v>1st Saver Plus</v>
      </c>
      <c r="D114" s="59">
        <f>365*'Tariffs Jul2022'!H109/100</f>
        <v>313.89999999999998</v>
      </c>
      <c r="E114" s="59">
        <f>IF($C$5*'Tariffs Jul2022'!AK109/'Tariffs Jul2022'!AI109&gt;='Tariffs Jul2022'!J109,( 'Tariffs Jul2022'!J109*'Tariffs Jul2022'!O109/100)* 'Tariffs Jul2022'!AI109,($C$5*'Tariffs Jul2022'!AK109/'Tariffs Jul2022'!AI109*'Tariffs Jul2022'!O109/100)* 'Tariffs Jul2022'!AI109)</f>
        <v>413.99999999999989</v>
      </c>
      <c r="F114" s="59">
        <f>IF($C$5*'Tariffs Jul2022'!AK109/'Tariffs Jul2022'!AI109&lt;'Tariffs Jul2022'!J109,0,IF($C$5*'Tariffs Jul2022'!AK109/'Tariffs Jul2022'!AI109&lt;='Tariffs Jul2022'!K109,($C$5*'Tariffs Jul2022'!AK109/'Tariffs Jul2022'!AI109-'Tariffs Jul2022'!J109)*('Tariffs Jul2022'!P109/100)*'Tariffs Jul2022'!AI109,('Tariffs Jul2022'!K109-'Tariffs Jul2022'!J109)*('Tariffs Jul2022'!P109/100)*'Tariffs Jul2022'!AI109))</f>
        <v>274.90909090909093</v>
      </c>
      <c r="G114" s="59">
        <f>IF($C$5*'Tariffs Jul2022'!AK109/'Tariffs Jul2022'!AI109&lt;'Tariffs Jul2022'!K109,0,IF($C$5*'Tariffs Jul2022'!AK109/'Tariffs Jul2022'!AI109&lt;='Tariffs Jul2022'!L109,($C$5*'Tariffs Jul2022'!AK109/'Tariffs Jul2022'!AI109-'Tariffs Jul2022'!K109)*('Tariffs Jul2022'!Q109/100)*'Tariffs Jul2022'!AI109,('Tariffs Jul2022'!L109-'Tariffs Jul2022'!K109)*('Tariffs Jul2022'!Q109/100)*'Tariffs Jul2022'!AI109))</f>
        <v>0</v>
      </c>
      <c r="H114" s="59">
        <f>IF($C$5*'Tariffs Jul2022'!AK109/'Tariffs Jul2022'!AI109&lt;'Tariffs Jul2022'!L109,0,IF($C$5*'Tariffs Jul2022'!AK109/'Tariffs Jul2022'!AI109&lt;='Tariffs Jul2022'!M109,($C$5*'Tariffs Jul2022'!AK109/'Tariffs Jul2022'!AI109-'Tariffs Jul2022'!L109)*('Tariffs Jul2022'!R109/100)*'Tariffs Jul2022'!AI109,('Tariffs Jul2022'!M109-'Tariffs Jul2022'!L109)*('Tariffs Jul2022'!R109/100)*'Tariffs Jul2022'!AI109))</f>
        <v>0</v>
      </c>
      <c r="I114" s="69">
        <f>IF(($C$5*'Tariffs Jul2022'!AK109/'Tariffs Jul2022'!AI109&gt;'Tariffs Jul2022'!M109),($C$5*'Tariffs Jul2022'!AK109/'Tariffs Jul2022'!AI109-'Tariffs Jul2022'!M109)*'Tariffs Jul2022'!S109/100*'Tariffs Jul2022'!AI109,0)</f>
        <v>0</v>
      </c>
      <c r="J114" s="69">
        <f>IF($C$5*'Tariffs Jul2022'!AL109/'Tariffs Jul2022'!AJ109&gt;='Tariffs Jul2022'!J109,('Tariffs Jul2022'!J109*'Tariffs Jul2022'!U109/100)* 'Tariffs Jul2022'!AJ109,($C$5*'Tariffs Jul2022'!AL109/'Tariffs Jul2022'!AJ109*'Tariffs Jul2022'!U109/100)* 'Tariffs Jul2022'!AJ109)</f>
        <v>413.99999999999989</v>
      </c>
      <c r="K114" s="69">
        <f>IF($C$5*'Tariffs Jul2022'!AL109/'Tariffs Jul2022'!AJ109&lt;'Tariffs Jul2022'!J109,0,IF($C$5*'Tariffs Jul2022'!AL109/'Tariffs Jul2022'!AJ109&lt;='Tariffs Jul2022'!K109,($C$5*'Tariffs Jul2022'!AL109/'Tariffs Jul2022'!AJ109-'Tariffs Jul2022'!J109)*('Tariffs Jul2022'!V109/100)*'Tariffs Jul2022'!AJ109,('Tariffs Jul2022'!K109-'Tariffs Jul2022'!J109)*('Tariffs Jul2022'!V109/100)*'Tariffs Jul2022'!AJ109))</f>
        <v>274.90909090909093</v>
      </c>
      <c r="L114" s="69">
        <f>IF($C$5*'Tariffs Jul2022'!AL109/'Tariffs Jul2022'!AJ109&lt;'Tariffs Jul2022'!K109,0,IF($C$5*'Tariffs Jul2022'!AL109/'Tariffs Jul2022'!AJ109&lt;='Tariffs Jul2022'!L109,($C$5*'Tariffs Jul2022'!AL109/'Tariffs Jul2022'!AJ109-'Tariffs Jul2022'!K109)*('Tariffs Jul2022'!W109/100)*'Tariffs Jul2022'!AJ109,('Tariffs Jul2022'!L109-'Tariffs Jul2022'!K109)*('Tariffs Jul2022'!W109/100)*'Tariffs Jul2022'!AJ109))</f>
        <v>0</v>
      </c>
      <c r="M114" s="69">
        <f>IF($C$5*'Tariffs Jul2022'!AL109/'Tariffs Jul2022'!AJ109&lt;'Tariffs Jul2022'!L109,0,IF($C$5*'Tariffs Jul2022'!AL109/'Tariffs Jul2022'!AJ109&lt;='Tariffs Jul2022'!M109,($C$5*'Tariffs Jul2022'!AL109/'Tariffs Jul2022'!AJ109-'Tariffs Jul2022'!L109)*('Tariffs Jul2022'!X109/100)*'Tariffs Jul2022'!AJ109,('Tariffs Jul2022'!M109-'Tariffs Jul2022'!L109)*('Tariffs Jul2022'!X109/100)*'Tariffs Jul2022'!AJ109))</f>
        <v>0</v>
      </c>
      <c r="N114" s="69">
        <f>IF(($C$5*'Tariffs Jul2022'!AL109/'Tariffs Jul2022'!AJ109&gt;'Tariffs Jul2022'!M109),($C$5*'Tariffs Jul2022'!AL109/'Tariffs Jul2022'!AJ109-'Tariffs Jul2022'!M109)*'Tariffs Jul2022'!Y109/100*'Tariffs Jul2022'!AJ109,0)</f>
        <v>0</v>
      </c>
      <c r="O114" s="59">
        <f t="shared" si="69"/>
        <v>1377.8181818181815</v>
      </c>
      <c r="P114" s="503">
        <f t="shared" si="43"/>
        <v>1515.6</v>
      </c>
      <c r="Q114" s="59">
        <f t="shared" si="70"/>
        <v>1691.7181818181816</v>
      </c>
      <c r="R114" s="272">
        <f t="shared" si="71"/>
        <v>1860.8899999999999</v>
      </c>
      <c r="S114" s="40">
        <f>'Tariffs Jul2022'!AN109</f>
        <v>0</v>
      </c>
      <c r="T114" s="40">
        <f>'Tariffs Jul2022'!AO109</f>
        <v>7</v>
      </c>
      <c r="U114" s="40">
        <f>'Tariffs Jul2022'!AP109</f>
        <v>0</v>
      </c>
      <c r="V114" s="40">
        <f>'Tariffs Jul2022'!AQ109</f>
        <v>3</v>
      </c>
      <c r="W114" s="537" t="str">
        <f t="shared" si="67"/>
        <v>Guaranteed off usage</v>
      </c>
      <c r="X114" s="538" t="str">
        <f t="shared" si="68"/>
        <v>Exclusive</v>
      </c>
      <c r="Y114" s="534">
        <f>Q114-(P114*T114)/100</f>
        <v>1585.6261818181815</v>
      </c>
      <c r="Z114" s="535">
        <f>Y114-(P114*V114)/100</f>
        <v>1540.1581818181814</v>
      </c>
      <c r="AA114" s="542">
        <f t="shared" si="60"/>
        <v>1744.1887999999999</v>
      </c>
      <c r="AB114" s="542">
        <f t="shared" si="60"/>
        <v>1694.1739999999998</v>
      </c>
      <c r="AC114" s="274">
        <f>'Tariffs Jul2022'!AZ109</f>
        <v>0</v>
      </c>
      <c r="AD114" s="274" t="str">
        <f>'Tariffs Jul2022'!BA109</f>
        <v>n</v>
      </c>
      <c r="AE114" s="275" t="str">
        <f>'Tariffs Jul2022'!BJ109</f>
        <v>N</v>
      </c>
      <c r="AF114" s="593"/>
      <c r="AG114" s="593"/>
      <c r="AH114" s="593"/>
      <c r="AI114" s="593"/>
      <c r="AJ114" s="593"/>
      <c r="AK114" s="593"/>
      <c r="AL114" s="593"/>
      <c r="AM114" s="593"/>
      <c r="AN114" s="593"/>
      <c r="AO114" s="593"/>
      <c r="AP114" s="593"/>
      <c r="AQ114" s="593"/>
      <c r="AR114" s="593"/>
      <c r="AS114" s="593"/>
      <c r="AT114" s="593"/>
      <c r="AU114" s="593"/>
      <c r="AV114" s="593"/>
      <c r="AW114" s="593"/>
    </row>
    <row r="115" spans="1:49" ht="14" x14ac:dyDescent="0.15">
      <c r="A115" s="270" t="str">
        <f>'Tariffs Jul2022'!F110</f>
        <v>Kogan Energy</v>
      </c>
      <c r="B115" s="40" t="str">
        <f>'Tariffs Jul2022'!D110</f>
        <v>AusNet Services Central 1</v>
      </c>
      <c r="C115" s="40" t="str">
        <f>'Tariffs Jul2022'!G110</f>
        <v>Kogan Basic</v>
      </c>
      <c r="D115" s="59">
        <f>365*'Tariffs Jul2022'!H110/100</f>
        <v>375.61818181818182</v>
      </c>
      <c r="E115" s="59">
        <f>((C$5*'Tariffs Jul2022'!AK110/'Tariffs Jul2022'!AI110)*('Tariffs Jul2022'!O110/100))*'Tariffs Jul2022'!AI110</f>
        <v>379.8710999999999</v>
      </c>
      <c r="F115" s="59">
        <v>0</v>
      </c>
      <c r="G115" s="59">
        <v>0</v>
      </c>
      <c r="H115" s="59">
        <v>0</v>
      </c>
      <c r="I115" s="69">
        <v>0</v>
      </c>
      <c r="J115" s="69">
        <f>((C$5*'Tariffs Jul2022'!AL110/'Tariffs Jul2022'!AJ110)*('Tariffs Jul2022'!U110/100))*'Tariffs Jul2022'!AJ110</f>
        <v>759.7421999999998</v>
      </c>
      <c r="K115" s="69">
        <v>0</v>
      </c>
      <c r="L115" s="69">
        <v>0</v>
      </c>
      <c r="M115" s="69">
        <v>0</v>
      </c>
      <c r="N115" s="69">
        <v>0</v>
      </c>
      <c r="O115" s="59">
        <f t="shared" si="69"/>
        <v>1139.6132999999998</v>
      </c>
      <c r="P115" s="503">
        <f t="shared" si="43"/>
        <v>1253.5746299999998</v>
      </c>
      <c r="Q115" s="59">
        <f t="shared" si="70"/>
        <v>1515.2314818181817</v>
      </c>
      <c r="R115" s="272">
        <f t="shared" si="71"/>
        <v>1666.7546299999999</v>
      </c>
      <c r="S115" s="40">
        <f>'Tariffs Jul2022'!AN110</f>
        <v>0</v>
      </c>
      <c r="T115" s="40">
        <f>'Tariffs Jul2022'!AO110</f>
        <v>0</v>
      </c>
      <c r="U115" s="40">
        <f>'Tariffs Jul2022'!AP110</f>
        <v>0</v>
      </c>
      <c r="V115" s="40">
        <f>'Tariffs Jul2022'!AQ110</f>
        <v>0</v>
      </c>
      <c r="W115" s="537" t="str">
        <f t="shared" si="67"/>
        <v>No discount</v>
      </c>
      <c r="X115" s="538" t="str">
        <f t="shared" si="68"/>
        <v>Exclusive</v>
      </c>
      <c r="Y115" s="534">
        <f t="shared" ref="Y115:Y117" si="76">IF(AND(W115="Guaranteed off bill",X115="Inclusive"),((Q115*1.1)-((Q115*1.1)*S115/100))/1.1,IF(AND(W115="Guaranteed off usage",X115="Inclusive"),((Q115*1.1)-((P115*1.1)*T115/100))/1.1,IF(AND(W115="Guaranteed off bill",X115="Exclusive"),Q115-(Q115*S115/100),IF(AND(W115="Guaranteed off usage",X115="Exclusive"),Q115-(P115*T115/100),IF(X115="Inclusive",((Q115*1.1))/1.1,Q115)))))</f>
        <v>1515.2314818181817</v>
      </c>
      <c r="Z115" s="535">
        <f t="shared" ref="Z115:Z117" si="77">IF(AND(W115="Pay-on-time off bill",X115="Inclusive"),((Y115*1.1)-((Y115*1.1)*U115/100))/1.1,IF(AND(W115="Pay-on-time off usage",X115="Inclusive"),((Y115*1.1)-((P115*1.1)*V115/100))/1.1,IF(AND(W115="Pay-on-time off bill",X115="Exclusive"),Y115-(Y115*U115/100),IF(AND(W115="Pay-on-time off usage",X115="Exclusive"),Y115-(P115*V115/100),IF(X115="Inclusive",((Y115*1.1))/1.1,Y115)))))</f>
        <v>1515.2314818181817</v>
      </c>
      <c r="AA115" s="542">
        <f t="shared" si="60"/>
        <v>1666.7546299999999</v>
      </c>
      <c r="AB115" s="542">
        <f t="shared" si="60"/>
        <v>1666.7546299999999</v>
      </c>
      <c r="AC115" s="274">
        <f>'Tariffs Jul2022'!AZ110</f>
        <v>0</v>
      </c>
      <c r="AD115" s="274" t="str">
        <f>'Tariffs Jul2022'!BA110</f>
        <v>n</v>
      </c>
      <c r="AE115" s="275" t="str">
        <f>'Tariffs Jul2022'!BJ110</f>
        <v>N</v>
      </c>
      <c r="AF115" s="593"/>
      <c r="AG115" s="593"/>
      <c r="AH115" s="593"/>
      <c r="AI115" s="593"/>
      <c r="AJ115" s="593"/>
      <c r="AK115" s="593"/>
      <c r="AL115" s="593"/>
      <c r="AM115" s="593"/>
      <c r="AN115" s="593"/>
      <c r="AO115" s="593"/>
      <c r="AP115" s="593"/>
      <c r="AQ115" s="593"/>
      <c r="AR115" s="593"/>
      <c r="AS115" s="593"/>
      <c r="AT115" s="593"/>
      <c r="AU115" s="593"/>
      <c r="AV115" s="593"/>
      <c r="AW115" s="593"/>
    </row>
    <row r="116" spans="1:49" ht="14" x14ac:dyDescent="0.15">
      <c r="A116" s="270" t="str">
        <f>'Tariffs Jul2022'!F111</f>
        <v>Tango Energy</v>
      </c>
      <c r="B116" s="40" t="str">
        <f>'Tariffs Jul2022'!D111</f>
        <v>AusNet Services Central 1</v>
      </c>
      <c r="C116" s="40" t="str">
        <f>'Tariffs Jul2022'!G111</f>
        <v>Home Select</v>
      </c>
      <c r="D116" s="59">
        <f>365*'Tariffs Jul2022'!H111/100</f>
        <v>273.75</v>
      </c>
      <c r="E116" s="59">
        <f>IF($C$5*'Tariffs Jul2022'!AK111/'Tariffs Jul2022'!AI111&gt;='Tariffs Jul2022'!J111,( 'Tariffs Jul2022'!J111*'Tariffs Jul2022'!O111/100)* 'Tariffs Jul2022'!AI111,($C$5*'Tariffs Jul2022'!AK111/'Tariffs Jul2022'!AI111*'Tariffs Jul2022'!O111/100)* 'Tariffs Jul2022'!AI111)</f>
        <v>268.36363636363637</v>
      </c>
      <c r="F116" s="59">
        <f>IF($C$5*'Tariffs Jul2022'!AK111/'Tariffs Jul2022'!AI111&lt;'Tariffs Jul2022'!J111,0,IF($C$5*'Tariffs Jul2022'!AK111/'Tariffs Jul2022'!AI111&lt;='Tariffs Jul2022'!K111,($C$5*'Tariffs Jul2022'!AK111/'Tariffs Jul2022'!AI111-'Tariffs Jul2022'!J111)*('Tariffs Jul2022'!P111/100)*'Tariffs Jul2022'!AI111,('Tariffs Jul2022'!K111-'Tariffs Jul2022'!J111)*('Tariffs Jul2022'!P111/100)*'Tariffs Jul2022'!AI111))</f>
        <v>180.77599090909086</v>
      </c>
      <c r="G116" s="59">
        <f>IF($C$5*'Tariffs Jul2022'!AK111/'Tariffs Jul2022'!AI111&lt;'Tariffs Jul2022'!K111,0,IF($C$5*'Tariffs Jul2022'!AK111/'Tariffs Jul2022'!AI111&lt;='Tariffs Jul2022'!L111,($C$5*'Tariffs Jul2022'!AK111/'Tariffs Jul2022'!AI111-'Tariffs Jul2022'!K111)*('Tariffs Jul2022'!Q111/100)*'Tariffs Jul2022'!AI111,('Tariffs Jul2022'!L111-'Tariffs Jul2022'!K111)*('Tariffs Jul2022'!Q111/100)*'Tariffs Jul2022'!AI111))</f>
        <v>0</v>
      </c>
      <c r="H116" s="59">
        <f>IF($C$5*'Tariffs Jul2022'!AK111/'Tariffs Jul2022'!AI111&lt;'Tariffs Jul2022'!L111,0,IF($C$5*'Tariffs Jul2022'!AK111/'Tariffs Jul2022'!AI111&lt;='Tariffs Jul2022'!M111,($C$5*'Tariffs Jul2022'!AK111/'Tariffs Jul2022'!AI111-'Tariffs Jul2022'!L111)*('Tariffs Jul2022'!R111/100)*'Tariffs Jul2022'!AI111,('Tariffs Jul2022'!M111-'Tariffs Jul2022'!L111)*('Tariffs Jul2022'!R111/100)*'Tariffs Jul2022'!AI111))</f>
        <v>0</v>
      </c>
      <c r="I116" s="69">
        <f>IF(($C$5*'Tariffs Jul2022'!AK111/'Tariffs Jul2022'!AI111&gt;'Tariffs Jul2022'!M111),($C$5*'Tariffs Jul2022'!AK111/'Tariffs Jul2022'!AI111-'Tariffs Jul2022'!M111)*'Tariffs Jul2022'!S111/100*'Tariffs Jul2022'!AI111,0)</f>
        <v>0</v>
      </c>
      <c r="J116" s="69">
        <f>IF($C$5*'Tariffs Jul2022'!AL111/'Tariffs Jul2022'!AJ111&gt;='Tariffs Jul2022'!J111,('Tariffs Jul2022'!J111*'Tariffs Jul2022'!U111/100)* 'Tariffs Jul2022'!AJ111,($C$5*'Tariffs Jul2022'!AL111/'Tariffs Jul2022'!AJ111*'Tariffs Jul2022'!U111/100)* 'Tariffs Jul2022'!AJ111)</f>
        <v>469.09090909090907</v>
      </c>
      <c r="K116" s="69">
        <f>IF($C$5*'Tariffs Jul2022'!AL111/'Tariffs Jul2022'!AJ111&lt;'Tariffs Jul2022'!J111,0,IF($C$5*'Tariffs Jul2022'!AL111/'Tariffs Jul2022'!AJ111&lt;='Tariffs Jul2022'!K111,($C$5*'Tariffs Jul2022'!AL111/'Tariffs Jul2022'!AJ111-'Tariffs Jul2022'!J111)*('Tariffs Jul2022'!V111/100)*'Tariffs Jul2022'!AJ111,('Tariffs Jul2022'!K111-'Tariffs Jul2022'!J111)*('Tariffs Jul2022'!V111/100)*'Tariffs Jul2022'!AJ111))</f>
        <v>299.38467272727269</v>
      </c>
      <c r="L116" s="69">
        <f>IF($C$5*'Tariffs Jul2022'!AL111/'Tariffs Jul2022'!AJ111&lt;'Tariffs Jul2022'!K111,0,IF($C$5*'Tariffs Jul2022'!AL111/'Tariffs Jul2022'!AJ111&lt;='Tariffs Jul2022'!L111,($C$5*'Tariffs Jul2022'!AL111/'Tariffs Jul2022'!AJ111-'Tariffs Jul2022'!K111)*('Tariffs Jul2022'!W111/100)*'Tariffs Jul2022'!AJ111,('Tariffs Jul2022'!L111-'Tariffs Jul2022'!K111)*('Tariffs Jul2022'!W111/100)*'Tariffs Jul2022'!AJ111))</f>
        <v>0</v>
      </c>
      <c r="M116" s="69">
        <f>IF($C$5*'Tariffs Jul2022'!AL111/'Tariffs Jul2022'!AJ111&lt;'Tariffs Jul2022'!L111,0,IF($C$5*'Tariffs Jul2022'!AL111/'Tariffs Jul2022'!AJ111&lt;='Tariffs Jul2022'!M111,($C$5*'Tariffs Jul2022'!AL111/'Tariffs Jul2022'!AJ111-'Tariffs Jul2022'!L111)*('Tariffs Jul2022'!X111/100)*'Tariffs Jul2022'!AJ111,('Tariffs Jul2022'!M111-'Tariffs Jul2022'!L111)*('Tariffs Jul2022'!X111/100)*'Tariffs Jul2022'!AJ111))</f>
        <v>0</v>
      </c>
      <c r="N116" s="69">
        <f>IF(($C$5*'Tariffs Jul2022'!AL111/'Tariffs Jul2022'!AJ111&gt;'Tariffs Jul2022'!M111),($C$5*'Tariffs Jul2022'!AL111/'Tariffs Jul2022'!AJ111-'Tariffs Jul2022'!M111)*'Tariffs Jul2022'!Y111/100*'Tariffs Jul2022'!AJ111,0)</f>
        <v>0</v>
      </c>
      <c r="O116" s="59">
        <f t="shared" si="69"/>
        <v>1217.615209090909</v>
      </c>
      <c r="P116" s="503">
        <f t="shared" si="43"/>
        <v>1339.37673</v>
      </c>
      <c r="Q116" s="59">
        <f t="shared" si="70"/>
        <v>1491.365209090909</v>
      </c>
      <c r="R116" s="272">
        <f t="shared" si="71"/>
        <v>1640.5017300000002</v>
      </c>
      <c r="S116" s="40">
        <f>'Tariffs Jul2022'!AN111</f>
        <v>0</v>
      </c>
      <c r="T116" s="40">
        <f>'Tariffs Jul2022'!AO111</f>
        <v>0</v>
      </c>
      <c r="U116" s="40">
        <f>'Tariffs Jul2022'!AP111</f>
        <v>0</v>
      </c>
      <c r="V116" s="40">
        <f>'Tariffs Jul2022'!AQ111</f>
        <v>0</v>
      </c>
      <c r="W116" s="537" t="str">
        <f t="shared" si="67"/>
        <v>No discount</v>
      </c>
      <c r="X116" s="538" t="str">
        <f t="shared" si="68"/>
        <v>Exclusive</v>
      </c>
      <c r="Y116" s="534">
        <f t="shared" si="76"/>
        <v>1491.365209090909</v>
      </c>
      <c r="Z116" s="535">
        <f t="shared" si="77"/>
        <v>1491.365209090909</v>
      </c>
      <c r="AA116" s="542">
        <f t="shared" si="60"/>
        <v>1640.5017300000002</v>
      </c>
      <c r="AB116" s="542">
        <f t="shared" si="60"/>
        <v>1640.5017300000002</v>
      </c>
      <c r="AC116" s="274">
        <f>'Tariffs Jul2022'!AZ111</f>
        <v>0</v>
      </c>
      <c r="AD116" s="274" t="str">
        <f>'Tariffs Jul2022'!BA111</f>
        <v>n</v>
      </c>
      <c r="AE116" s="275" t="str">
        <f>'Tariffs Jul2022'!BJ111</f>
        <v>N</v>
      </c>
      <c r="AF116" s="593"/>
      <c r="AG116" s="593"/>
      <c r="AH116" s="593"/>
      <c r="AI116" s="593"/>
      <c r="AJ116" s="593"/>
      <c r="AK116" s="593"/>
      <c r="AL116" s="593"/>
      <c r="AM116" s="593"/>
      <c r="AN116" s="593"/>
      <c r="AO116" s="593"/>
      <c r="AP116" s="593"/>
      <c r="AQ116" s="593"/>
      <c r="AR116" s="593"/>
      <c r="AS116" s="593"/>
      <c r="AT116" s="593"/>
      <c r="AU116" s="593"/>
      <c r="AV116" s="593"/>
      <c r="AW116" s="593"/>
    </row>
    <row r="117" spans="1:49" ht="15" thickBot="1" x14ac:dyDescent="0.2">
      <c r="A117" s="286" t="str">
        <f>'Tariffs Jul2022'!F112</f>
        <v>Sumo Power</v>
      </c>
      <c r="B117" s="287" t="str">
        <f>'Tariffs Jul2022'!D112</f>
        <v>AusNet Services Central 1</v>
      </c>
      <c r="C117" s="287" t="str">
        <f>'Tariffs Jul2022'!G112</f>
        <v>Assure</v>
      </c>
      <c r="D117" s="288">
        <f>365*'Tariffs Jul2022'!H112/100</f>
        <v>244.55</v>
      </c>
      <c r="E117" s="288">
        <f>IF($C$5*'Tariffs Jul2022'!AK112/'Tariffs Jul2022'!AI112&gt;='Tariffs Jul2022'!J112,( 'Tariffs Jul2022'!J112*'Tariffs Jul2022'!O112/100)* 'Tariffs Jul2022'!AI112,($C$5*'Tariffs Jul2022'!AK112/'Tariffs Jul2022'!AI112*'Tariffs Jul2022'!O112/100)* 'Tariffs Jul2022'!AI112)</f>
        <v>261.81818181818181</v>
      </c>
      <c r="F117" s="288">
        <f>IF($C$5*'Tariffs Jul2022'!AK112/'Tariffs Jul2022'!AI112&lt;'Tariffs Jul2022'!J112,0,IF($C$5*'Tariffs Jul2022'!AK112/'Tariffs Jul2022'!AI112&lt;='Tariffs Jul2022'!K112,($C$5*'Tariffs Jul2022'!AK112/'Tariffs Jul2022'!AI112-'Tariffs Jul2022'!J112)*('Tariffs Jul2022'!P112/100)*'Tariffs Jul2022'!AI112,('Tariffs Jul2022'!K112-'Tariffs Jul2022'!J112)*('Tariffs Jul2022'!P112/100)*'Tariffs Jul2022'!AI112))</f>
        <v>178.32201818181815</v>
      </c>
      <c r="G117" s="288">
        <f>IF($C$5*'Tariffs Jul2022'!AK112/'Tariffs Jul2022'!AI112&lt;'Tariffs Jul2022'!K112,0,IF($C$5*'Tariffs Jul2022'!AK112/'Tariffs Jul2022'!AI112&lt;='Tariffs Jul2022'!L112,($C$5*'Tariffs Jul2022'!AK112/'Tariffs Jul2022'!AI112-'Tariffs Jul2022'!K112)*('Tariffs Jul2022'!Q112/100)*'Tariffs Jul2022'!AI112,('Tariffs Jul2022'!L112-'Tariffs Jul2022'!K112)*('Tariffs Jul2022'!Q112/100)*'Tariffs Jul2022'!AI112))</f>
        <v>0</v>
      </c>
      <c r="H117" s="288">
        <f>IF($C$5*'Tariffs Jul2022'!AK112/'Tariffs Jul2022'!AI112&lt;'Tariffs Jul2022'!L112,0,IF($C$5*'Tariffs Jul2022'!AK112/'Tariffs Jul2022'!AI112&lt;='Tariffs Jul2022'!M112,($C$5*'Tariffs Jul2022'!AK112/'Tariffs Jul2022'!AI112-'Tariffs Jul2022'!L112)*('Tariffs Jul2022'!R112/100)*'Tariffs Jul2022'!AI112,('Tariffs Jul2022'!M112-'Tariffs Jul2022'!L112)*('Tariffs Jul2022'!R112/100)*'Tariffs Jul2022'!AI112))</f>
        <v>0</v>
      </c>
      <c r="I117" s="548">
        <f>IF(($C$5*'Tariffs Jul2022'!AK112/'Tariffs Jul2022'!AI112&gt;'Tariffs Jul2022'!M112),($C$5*'Tariffs Jul2022'!AK112/'Tariffs Jul2022'!AI112-'Tariffs Jul2022'!M112)*'Tariffs Jul2022'!S112/100*'Tariffs Jul2022'!AI112,0)</f>
        <v>0</v>
      </c>
      <c r="J117" s="548">
        <f>IF($C$5*'Tariffs Jul2022'!AL112/'Tariffs Jul2022'!AJ112&gt;='Tariffs Jul2022'!J112,('Tariffs Jul2022'!J112*'Tariffs Jul2022'!U112/100)* 'Tariffs Jul2022'!AJ112,($C$5*'Tariffs Jul2022'!AL112/'Tariffs Jul2022'!AJ112*'Tariffs Jul2022'!U112/100)* 'Tariffs Jul2022'!AJ112)</f>
        <v>414.5454545454545</v>
      </c>
      <c r="K117" s="548">
        <f>IF($C$5*'Tariffs Jul2022'!AL112/'Tariffs Jul2022'!AJ112&lt;'Tariffs Jul2022'!J112,0,IF($C$5*'Tariffs Jul2022'!AL112/'Tariffs Jul2022'!AJ112&lt;='Tariffs Jul2022'!K112,($C$5*'Tariffs Jul2022'!AL112/'Tariffs Jul2022'!AJ112-'Tariffs Jul2022'!J112)*('Tariffs Jul2022'!V112/100)*'Tariffs Jul2022'!AJ112,('Tariffs Jul2022'!K112-'Tariffs Jul2022'!J112)*('Tariffs Jul2022'!V112/100)*'Tariffs Jul2022'!AJ112))</f>
        <v>271.57298181818169</v>
      </c>
      <c r="L117" s="548">
        <f>IF($C$5*'Tariffs Jul2022'!AL112/'Tariffs Jul2022'!AJ112&lt;'Tariffs Jul2022'!K112,0,IF($C$5*'Tariffs Jul2022'!AL112/'Tariffs Jul2022'!AJ112&lt;='Tariffs Jul2022'!L112,($C$5*'Tariffs Jul2022'!AL112/'Tariffs Jul2022'!AJ112-'Tariffs Jul2022'!K112)*('Tariffs Jul2022'!W112/100)*'Tariffs Jul2022'!AJ112,('Tariffs Jul2022'!L112-'Tariffs Jul2022'!K112)*('Tariffs Jul2022'!W112/100)*'Tariffs Jul2022'!AJ112))</f>
        <v>0</v>
      </c>
      <c r="M117" s="548">
        <f>IF($C$5*'Tariffs Jul2022'!AL112/'Tariffs Jul2022'!AJ112&lt;'Tariffs Jul2022'!L112,0,IF($C$5*'Tariffs Jul2022'!AL112/'Tariffs Jul2022'!AJ112&lt;='Tariffs Jul2022'!M112,($C$5*'Tariffs Jul2022'!AL112/'Tariffs Jul2022'!AJ112-'Tariffs Jul2022'!L112)*('Tariffs Jul2022'!X112/100)*'Tariffs Jul2022'!AJ112,('Tariffs Jul2022'!M112-'Tariffs Jul2022'!L112)*('Tariffs Jul2022'!X112/100)*'Tariffs Jul2022'!AJ112))</f>
        <v>0</v>
      </c>
      <c r="N117" s="548">
        <f>IF(($C$5*'Tariffs Jul2022'!AL112/'Tariffs Jul2022'!AJ112&gt;'Tariffs Jul2022'!M112),($C$5*'Tariffs Jul2022'!AL112/'Tariffs Jul2022'!AJ112-'Tariffs Jul2022'!M112)*'Tariffs Jul2022'!Y112/100*'Tariffs Jul2022'!AJ112,0)</f>
        <v>0</v>
      </c>
      <c r="O117" s="288">
        <f t="shared" si="69"/>
        <v>1126.258636363636</v>
      </c>
      <c r="P117" s="505">
        <f t="shared" si="43"/>
        <v>1238.8844999999997</v>
      </c>
      <c r="Q117" s="288">
        <f t="shared" si="70"/>
        <v>1370.808636363636</v>
      </c>
      <c r="R117" s="290">
        <f t="shared" si="71"/>
        <v>1507.8894999999998</v>
      </c>
      <c r="S117" s="287">
        <f>'Tariffs Jul2022'!AN112</f>
        <v>0</v>
      </c>
      <c r="T117" s="287">
        <f>'Tariffs Jul2022'!AO112</f>
        <v>0</v>
      </c>
      <c r="U117" s="287">
        <f>'Tariffs Jul2022'!AP112</f>
        <v>0</v>
      </c>
      <c r="V117" s="287">
        <f>'Tariffs Jul2022'!AQ112</f>
        <v>0</v>
      </c>
      <c r="W117" s="586" t="str">
        <f t="shared" si="67"/>
        <v>No discount</v>
      </c>
      <c r="X117" s="587" t="str">
        <f t="shared" si="68"/>
        <v>Exclusive</v>
      </c>
      <c r="Y117" s="588">
        <f t="shared" si="76"/>
        <v>1370.808636363636</v>
      </c>
      <c r="Z117" s="589">
        <f t="shared" si="77"/>
        <v>1370.808636363636</v>
      </c>
      <c r="AA117" s="590">
        <f t="shared" si="60"/>
        <v>1507.8894999999998</v>
      </c>
      <c r="AB117" s="590">
        <f t="shared" si="60"/>
        <v>1507.8894999999998</v>
      </c>
      <c r="AC117" s="292">
        <f>'Tariffs Jul2022'!AZ112</f>
        <v>0</v>
      </c>
      <c r="AD117" s="292" t="str">
        <f>'Tariffs Jul2022'!BA112</f>
        <v>n</v>
      </c>
      <c r="AE117" s="293" t="str">
        <f>'Tariffs Jul2022'!BJ112</f>
        <v>Y</v>
      </c>
      <c r="AF117" s="593"/>
      <c r="AG117" s="593"/>
      <c r="AH117" s="593"/>
      <c r="AI117" s="593"/>
      <c r="AJ117" s="593"/>
      <c r="AK117" s="593"/>
      <c r="AL117" s="593"/>
      <c r="AM117" s="593"/>
      <c r="AN117" s="593"/>
      <c r="AO117" s="593"/>
      <c r="AP117" s="593"/>
      <c r="AQ117" s="593"/>
      <c r="AR117" s="593"/>
      <c r="AS117" s="593"/>
      <c r="AT117" s="593"/>
      <c r="AU117" s="593"/>
      <c r="AV117" s="593"/>
      <c r="AW117" s="593"/>
    </row>
    <row r="118" spans="1:49" x14ac:dyDescent="0.15">
      <c r="A118" s="593"/>
      <c r="B118" s="593"/>
      <c r="C118" s="593"/>
      <c r="D118" s="593"/>
      <c r="E118" s="593"/>
      <c r="F118" s="593"/>
      <c r="G118" s="593"/>
      <c r="H118" s="593"/>
      <c r="I118" s="593"/>
      <c r="J118" s="593"/>
      <c r="K118" s="593"/>
      <c r="L118" s="593"/>
      <c r="M118" s="593"/>
      <c r="N118" s="593"/>
      <c r="O118" s="593"/>
      <c r="P118" s="593"/>
      <c r="Q118" s="593"/>
      <c r="R118" s="593"/>
      <c r="S118" s="593"/>
      <c r="T118" s="593"/>
      <c r="U118" s="593"/>
      <c r="V118" s="593"/>
      <c r="W118" s="593"/>
      <c r="X118" s="593"/>
      <c r="Y118" s="593"/>
      <c r="Z118" s="593"/>
      <c r="AA118" s="593"/>
      <c r="AB118" s="593"/>
      <c r="AC118" s="593"/>
      <c r="AD118" s="593"/>
      <c r="AE118" s="593"/>
      <c r="AF118" s="593"/>
      <c r="AG118" s="593"/>
      <c r="AH118" s="593"/>
      <c r="AI118" s="593"/>
      <c r="AJ118" s="593"/>
      <c r="AK118" s="593"/>
      <c r="AL118" s="593"/>
      <c r="AM118" s="593"/>
      <c r="AN118" s="593"/>
      <c r="AO118" s="593"/>
      <c r="AP118" s="593"/>
      <c r="AQ118" s="593"/>
      <c r="AR118" s="593"/>
      <c r="AS118" s="593"/>
      <c r="AT118" s="593"/>
      <c r="AU118" s="593"/>
      <c r="AV118" s="593"/>
      <c r="AW118" s="593"/>
    </row>
    <row r="119" spans="1:49" x14ac:dyDescent="0.15">
      <c r="A119" s="593"/>
      <c r="B119" s="593"/>
      <c r="C119" s="593"/>
      <c r="D119" s="593"/>
      <c r="E119" s="593"/>
      <c r="F119" s="593"/>
      <c r="G119" s="593"/>
      <c r="H119" s="593"/>
      <c r="I119" s="593"/>
      <c r="J119" s="593"/>
      <c r="K119" s="593"/>
      <c r="L119" s="593"/>
      <c r="M119" s="593"/>
      <c r="N119" s="593"/>
      <c r="O119" s="593"/>
      <c r="P119" s="593"/>
      <c r="Q119" s="593"/>
      <c r="R119" s="593"/>
      <c r="S119" s="593"/>
      <c r="T119" s="593"/>
      <c r="U119" s="593"/>
      <c r="V119" s="593"/>
      <c r="W119" s="593"/>
      <c r="X119" s="593"/>
      <c r="Y119" s="593"/>
      <c r="Z119" s="593"/>
      <c r="AA119" s="593"/>
      <c r="AB119" s="593"/>
      <c r="AC119" s="593"/>
      <c r="AD119" s="593"/>
      <c r="AE119" s="593"/>
      <c r="AF119" s="593"/>
      <c r="AG119" s="593"/>
      <c r="AH119" s="593"/>
      <c r="AI119" s="593"/>
      <c r="AJ119" s="593"/>
      <c r="AK119" s="593"/>
      <c r="AL119" s="593"/>
      <c r="AM119" s="593"/>
      <c r="AN119" s="593"/>
      <c r="AO119" s="593"/>
      <c r="AP119" s="593"/>
      <c r="AQ119" s="593"/>
      <c r="AR119" s="593"/>
      <c r="AS119" s="593"/>
      <c r="AT119" s="593"/>
      <c r="AU119" s="593"/>
      <c r="AV119" s="593"/>
      <c r="AW119" s="593"/>
    </row>
    <row r="120" spans="1:49" x14ac:dyDescent="0.15">
      <c r="A120" s="593"/>
      <c r="B120" s="593"/>
      <c r="C120" s="593"/>
      <c r="D120" s="593"/>
      <c r="E120" s="593"/>
      <c r="F120" s="593"/>
      <c r="G120" s="593"/>
      <c r="H120" s="593"/>
      <c r="I120" s="593"/>
      <c r="J120" s="593"/>
      <c r="K120" s="593"/>
      <c r="L120" s="593"/>
      <c r="M120" s="593"/>
      <c r="N120" s="593"/>
      <c r="O120" s="593"/>
      <c r="P120" s="593"/>
      <c r="Q120" s="593"/>
      <c r="R120" s="593"/>
      <c r="S120" s="593"/>
      <c r="T120" s="593"/>
      <c r="U120" s="593"/>
      <c r="V120" s="593"/>
      <c r="W120" s="593"/>
      <c r="X120" s="593"/>
      <c r="Y120" s="593"/>
      <c r="Z120" s="593"/>
      <c r="AA120" s="593"/>
      <c r="AB120" s="593"/>
      <c r="AC120" s="593"/>
      <c r="AD120" s="593"/>
      <c r="AE120" s="593"/>
      <c r="AF120" s="593"/>
      <c r="AG120" s="593"/>
      <c r="AH120" s="593"/>
      <c r="AI120" s="593"/>
      <c r="AJ120" s="593"/>
      <c r="AK120" s="593"/>
      <c r="AL120" s="593"/>
      <c r="AM120" s="593"/>
      <c r="AN120" s="593"/>
      <c r="AO120" s="593"/>
      <c r="AP120" s="593"/>
      <c r="AQ120" s="593"/>
      <c r="AR120" s="593"/>
      <c r="AS120" s="593"/>
      <c r="AT120" s="593"/>
      <c r="AU120" s="593"/>
      <c r="AV120" s="593"/>
      <c r="AW120" s="593"/>
    </row>
    <row r="121" spans="1:49" x14ac:dyDescent="0.15">
      <c r="A121" s="593"/>
      <c r="B121" s="593"/>
      <c r="C121" s="593"/>
      <c r="D121" s="593"/>
      <c r="E121" s="593"/>
      <c r="F121" s="593"/>
      <c r="G121" s="593"/>
      <c r="H121" s="593"/>
      <c r="I121" s="593"/>
      <c r="J121" s="593"/>
      <c r="K121" s="593"/>
      <c r="L121" s="593"/>
      <c r="M121" s="593"/>
      <c r="N121" s="593"/>
      <c r="O121" s="593"/>
      <c r="P121" s="593"/>
      <c r="Q121" s="593"/>
      <c r="R121" s="593"/>
      <c r="S121" s="593"/>
      <c r="T121" s="593"/>
      <c r="U121" s="593"/>
      <c r="V121" s="593"/>
      <c r="W121" s="593"/>
      <c r="X121" s="593"/>
      <c r="Y121" s="593"/>
      <c r="Z121" s="593"/>
      <c r="AA121" s="593"/>
      <c r="AB121" s="593"/>
      <c r="AC121" s="593"/>
      <c r="AD121" s="593"/>
      <c r="AE121" s="593"/>
      <c r="AF121" s="593"/>
      <c r="AG121" s="593"/>
      <c r="AH121" s="593"/>
      <c r="AI121" s="593"/>
      <c r="AJ121" s="593"/>
      <c r="AK121" s="593"/>
      <c r="AL121" s="593"/>
      <c r="AM121" s="593"/>
      <c r="AN121" s="593"/>
      <c r="AO121" s="593"/>
      <c r="AP121" s="593"/>
      <c r="AQ121" s="593"/>
      <c r="AR121" s="593"/>
      <c r="AS121" s="593"/>
      <c r="AT121" s="593"/>
      <c r="AU121" s="593"/>
      <c r="AV121" s="593"/>
      <c r="AW121" s="593"/>
    </row>
    <row r="122" spans="1:49" x14ac:dyDescent="0.15">
      <c r="A122" s="593"/>
      <c r="B122" s="593"/>
      <c r="C122" s="593"/>
      <c r="D122" s="593"/>
      <c r="E122" s="593"/>
      <c r="F122" s="593"/>
      <c r="G122" s="593"/>
      <c r="H122" s="593"/>
      <c r="I122" s="593"/>
      <c r="J122" s="593"/>
      <c r="K122" s="593"/>
      <c r="L122" s="593"/>
      <c r="M122" s="593"/>
      <c r="N122" s="593"/>
      <c r="O122" s="593"/>
      <c r="P122" s="593"/>
      <c r="Q122" s="593"/>
      <c r="R122" s="593"/>
      <c r="S122" s="593"/>
      <c r="T122" s="593"/>
      <c r="U122" s="593"/>
      <c r="V122" s="593"/>
      <c r="W122" s="593"/>
      <c r="X122" s="593"/>
      <c r="Y122" s="593"/>
      <c r="Z122" s="593"/>
      <c r="AA122" s="593"/>
      <c r="AB122" s="593"/>
      <c r="AC122" s="593"/>
      <c r="AD122" s="593"/>
      <c r="AE122" s="593"/>
      <c r="AF122" s="593"/>
      <c r="AG122" s="593"/>
      <c r="AH122" s="593"/>
      <c r="AI122" s="593"/>
      <c r="AJ122" s="593"/>
      <c r="AK122" s="593"/>
      <c r="AL122" s="593"/>
      <c r="AM122" s="593"/>
      <c r="AN122" s="593"/>
      <c r="AO122" s="593"/>
      <c r="AP122" s="593"/>
      <c r="AQ122" s="593"/>
      <c r="AR122" s="593"/>
      <c r="AS122" s="593"/>
      <c r="AT122" s="593"/>
      <c r="AU122" s="593"/>
      <c r="AV122" s="593"/>
      <c r="AW122" s="593"/>
    </row>
    <row r="123" spans="1:49" x14ac:dyDescent="0.15">
      <c r="A123" s="593"/>
      <c r="B123" s="593"/>
      <c r="C123" s="593"/>
      <c r="D123" s="593"/>
      <c r="E123" s="593"/>
      <c r="F123" s="593"/>
      <c r="G123" s="593"/>
      <c r="H123" s="593"/>
      <c r="I123" s="593"/>
      <c r="J123" s="593"/>
      <c r="K123" s="593"/>
      <c r="L123" s="593"/>
      <c r="M123" s="593"/>
      <c r="N123" s="593"/>
      <c r="O123" s="593"/>
      <c r="P123" s="593"/>
      <c r="Q123" s="593"/>
      <c r="R123" s="593"/>
      <c r="S123" s="593"/>
      <c r="T123" s="593"/>
      <c r="U123" s="593"/>
      <c r="V123" s="593"/>
      <c r="W123" s="593"/>
      <c r="X123" s="593"/>
      <c r="Y123" s="593"/>
      <c r="Z123" s="593"/>
      <c r="AA123" s="593"/>
      <c r="AB123" s="593"/>
      <c r="AC123" s="593"/>
      <c r="AD123" s="593"/>
      <c r="AE123" s="593"/>
      <c r="AF123" s="593"/>
      <c r="AG123" s="593"/>
      <c r="AH123" s="593"/>
      <c r="AI123" s="593"/>
      <c r="AJ123" s="593"/>
      <c r="AK123" s="593"/>
      <c r="AL123" s="593"/>
      <c r="AM123" s="593"/>
      <c r="AN123" s="593"/>
      <c r="AO123" s="593"/>
      <c r="AP123" s="593"/>
      <c r="AQ123" s="593"/>
      <c r="AR123" s="593"/>
      <c r="AS123" s="593"/>
      <c r="AT123" s="593"/>
      <c r="AU123" s="593"/>
      <c r="AV123" s="593"/>
      <c r="AW123" s="593"/>
    </row>
    <row r="124" spans="1:49" x14ac:dyDescent="0.15">
      <c r="A124" s="593"/>
      <c r="B124" s="593"/>
      <c r="C124" s="593"/>
      <c r="D124" s="593"/>
      <c r="E124" s="593"/>
      <c r="F124" s="593"/>
      <c r="G124" s="593"/>
      <c r="H124" s="593"/>
      <c r="I124" s="593"/>
      <c r="J124" s="593"/>
      <c r="K124" s="593"/>
      <c r="L124" s="593"/>
      <c r="M124" s="593"/>
      <c r="N124" s="593"/>
      <c r="O124" s="593"/>
      <c r="P124" s="593"/>
      <c r="Q124" s="593"/>
      <c r="R124" s="593"/>
      <c r="S124" s="593"/>
      <c r="T124" s="593"/>
      <c r="U124" s="593"/>
      <c r="V124" s="593"/>
      <c r="W124" s="593"/>
      <c r="X124" s="593"/>
      <c r="Y124" s="593"/>
      <c r="Z124" s="593"/>
      <c r="AA124" s="593"/>
      <c r="AB124" s="593"/>
      <c r="AC124" s="593"/>
      <c r="AD124" s="593"/>
      <c r="AE124" s="593"/>
      <c r="AF124" s="593"/>
      <c r="AG124" s="593"/>
      <c r="AH124" s="593"/>
      <c r="AI124" s="593"/>
      <c r="AJ124" s="593"/>
      <c r="AK124" s="593"/>
      <c r="AL124" s="593"/>
      <c r="AM124" s="593"/>
      <c r="AN124" s="593"/>
      <c r="AO124" s="593"/>
      <c r="AP124" s="593"/>
      <c r="AQ124" s="593"/>
      <c r="AR124" s="593"/>
      <c r="AS124" s="593"/>
      <c r="AT124" s="593"/>
      <c r="AU124" s="593"/>
      <c r="AV124" s="593"/>
      <c r="AW124" s="593"/>
    </row>
    <row r="125" spans="1:49" x14ac:dyDescent="0.15">
      <c r="A125" s="593"/>
      <c r="B125" s="593"/>
      <c r="C125" s="593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3"/>
      <c r="T125" s="593"/>
      <c r="U125" s="593"/>
      <c r="V125" s="593"/>
      <c r="W125" s="593"/>
      <c r="X125" s="593"/>
      <c r="Y125" s="593"/>
      <c r="Z125" s="593"/>
      <c r="AA125" s="593"/>
      <c r="AB125" s="593"/>
      <c r="AC125" s="593"/>
      <c r="AD125" s="593"/>
      <c r="AE125" s="593"/>
      <c r="AF125" s="593"/>
      <c r="AG125" s="593"/>
      <c r="AH125" s="593"/>
      <c r="AI125" s="593"/>
      <c r="AJ125" s="593"/>
      <c r="AK125" s="593"/>
      <c r="AL125" s="593"/>
      <c r="AM125" s="593"/>
      <c r="AN125" s="593"/>
      <c r="AO125" s="593"/>
      <c r="AP125" s="593"/>
      <c r="AQ125" s="593"/>
      <c r="AR125" s="593"/>
      <c r="AS125" s="593"/>
      <c r="AT125" s="593"/>
      <c r="AU125" s="593"/>
      <c r="AV125" s="593"/>
      <c r="AW125" s="593"/>
    </row>
    <row r="126" spans="1:49" x14ac:dyDescent="0.15">
      <c r="A126" s="593"/>
      <c r="B126" s="593"/>
      <c r="C126" s="593"/>
      <c r="D126" s="593"/>
      <c r="E126" s="593"/>
      <c r="F126" s="593"/>
      <c r="G126" s="593"/>
      <c r="H126" s="593"/>
      <c r="I126" s="593"/>
      <c r="J126" s="593"/>
      <c r="K126" s="593"/>
      <c r="L126" s="593"/>
      <c r="M126" s="593"/>
      <c r="N126" s="593"/>
      <c r="O126" s="593"/>
      <c r="P126" s="593"/>
      <c r="Q126" s="593"/>
      <c r="R126" s="593"/>
      <c r="S126" s="593"/>
      <c r="T126" s="593"/>
      <c r="U126" s="593"/>
      <c r="V126" s="593"/>
      <c r="W126" s="593"/>
      <c r="X126" s="593"/>
      <c r="Y126" s="593"/>
      <c r="Z126" s="593"/>
      <c r="AA126" s="593"/>
      <c r="AB126" s="593"/>
      <c r="AC126" s="593"/>
      <c r="AD126" s="593"/>
      <c r="AE126" s="593"/>
      <c r="AF126" s="593"/>
      <c r="AG126" s="593"/>
      <c r="AH126" s="593"/>
      <c r="AI126" s="593"/>
      <c r="AJ126" s="593"/>
      <c r="AK126" s="593"/>
      <c r="AL126" s="593"/>
      <c r="AM126" s="593"/>
      <c r="AN126" s="593"/>
      <c r="AO126" s="593"/>
      <c r="AP126" s="593"/>
      <c r="AQ126" s="593"/>
      <c r="AR126" s="593"/>
      <c r="AS126" s="593"/>
      <c r="AT126" s="593"/>
      <c r="AU126" s="593"/>
      <c r="AV126" s="593"/>
      <c r="AW126" s="593"/>
    </row>
    <row r="127" spans="1:49" x14ac:dyDescent="0.15">
      <c r="A127" s="593"/>
      <c r="B127" s="593"/>
      <c r="C127" s="593"/>
      <c r="D127" s="593"/>
      <c r="E127" s="593"/>
      <c r="F127" s="593"/>
      <c r="G127" s="593"/>
      <c r="H127" s="593"/>
      <c r="I127" s="593"/>
      <c r="J127" s="593"/>
      <c r="K127" s="593"/>
      <c r="L127" s="593"/>
      <c r="M127" s="593"/>
      <c r="N127" s="593"/>
      <c r="O127" s="593"/>
      <c r="P127" s="593"/>
      <c r="Q127" s="593"/>
      <c r="R127" s="593"/>
      <c r="S127" s="593"/>
      <c r="T127" s="593"/>
      <c r="U127" s="593"/>
      <c r="V127" s="593"/>
      <c r="W127" s="593"/>
      <c r="X127" s="593"/>
      <c r="Y127" s="593"/>
      <c r="Z127" s="593"/>
      <c r="AA127" s="593"/>
      <c r="AB127" s="593"/>
      <c r="AC127" s="593"/>
      <c r="AD127" s="593"/>
      <c r="AE127" s="593"/>
      <c r="AF127" s="593"/>
      <c r="AG127" s="593"/>
      <c r="AH127" s="593"/>
      <c r="AI127" s="593"/>
      <c r="AJ127" s="593"/>
      <c r="AK127" s="593"/>
      <c r="AL127" s="593"/>
      <c r="AM127" s="593"/>
      <c r="AN127" s="593"/>
      <c r="AO127" s="593"/>
      <c r="AP127" s="593"/>
      <c r="AQ127" s="593"/>
      <c r="AR127" s="593"/>
      <c r="AS127" s="593"/>
      <c r="AT127" s="593"/>
      <c r="AU127" s="593"/>
      <c r="AV127" s="593"/>
      <c r="AW127" s="593"/>
    </row>
    <row r="128" spans="1:49" x14ac:dyDescent="0.15">
      <c r="A128" s="593"/>
      <c r="B128" s="593"/>
      <c r="C128" s="593"/>
      <c r="D128" s="593"/>
      <c r="E128" s="593"/>
      <c r="F128" s="593"/>
      <c r="G128" s="593"/>
      <c r="H128" s="593"/>
      <c r="I128" s="593"/>
      <c r="J128" s="593"/>
      <c r="K128" s="593"/>
      <c r="L128" s="593"/>
      <c r="M128" s="593"/>
      <c r="N128" s="593"/>
      <c r="O128" s="593"/>
      <c r="P128" s="593"/>
      <c r="Q128" s="593"/>
      <c r="R128" s="593"/>
      <c r="S128" s="593"/>
      <c r="T128" s="593"/>
      <c r="U128" s="593"/>
      <c r="V128" s="593"/>
      <c r="W128" s="593"/>
      <c r="X128" s="593"/>
      <c r="Y128" s="593"/>
      <c r="Z128" s="593"/>
      <c r="AA128" s="593"/>
      <c r="AB128" s="593"/>
      <c r="AC128" s="593"/>
      <c r="AD128" s="593"/>
      <c r="AE128" s="593"/>
      <c r="AF128" s="593"/>
      <c r="AG128" s="593"/>
      <c r="AH128" s="593"/>
      <c r="AI128" s="593"/>
      <c r="AJ128" s="593"/>
      <c r="AK128" s="593"/>
      <c r="AL128" s="593"/>
      <c r="AM128" s="593"/>
      <c r="AN128" s="593"/>
      <c r="AO128" s="593"/>
      <c r="AP128" s="593"/>
      <c r="AQ128" s="593"/>
      <c r="AR128" s="593"/>
      <c r="AS128" s="593"/>
      <c r="AT128" s="593"/>
      <c r="AU128" s="593"/>
      <c r="AV128" s="593"/>
      <c r="AW128" s="593"/>
    </row>
    <row r="129" spans="1:49" x14ac:dyDescent="0.15">
      <c r="A129" s="593"/>
      <c r="B129" s="593"/>
      <c r="C129" s="593"/>
      <c r="D129" s="593"/>
      <c r="E129" s="593"/>
      <c r="F129" s="593"/>
      <c r="G129" s="593"/>
      <c r="H129" s="593"/>
      <c r="I129" s="593"/>
      <c r="J129" s="593"/>
      <c r="K129" s="593"/>
      <c r="L129" s="593"/>
      <c r="M129" s="593"/>
      <c r="N129" s="593"/>
      <c r="O129" s="593"/>
      <c r="P129" s="593"/>
      <c r="Q129" s="593"/>
      <c r="R129" s="593"/>
      <c r="S129" s="593"/>
      <c r="T129" s="593"/>
      <c r="U129" s="593"/>
      <c r="V129" s="593"/>
      <c r="W129" s="593"/>
      <c r="X129" s="593"/>
      <c r="Y129" s="593"/>
      <c r="Z129" s="593"/>
      <c r="AA129" s="593"/>
      <c r="AB129" s="593"/>
      <c r="AC129" s="593"/>
      <c r="AD129" s="593"/>
      <c r="AE129" s="593"/>
      <c r="AF129" s="593"/>
      <c r="AG129" s="593"/>
      <c r="AH129" s="593"/>
      <c r="AI129" s="593"/>
      <c r="AJ129" s="593"/>
      <c r="AK129" s="593"/>
      <c r="AL129" s="593"/>
      <c r="AM129" s="593"/>
      <c r="AN129" s="593"/>
      <c r="AO129" s="593"/>
      <c r="AP129" s="593"/>
      <c r="AQ129" s="593"/>
      <c r="AR129" s="593"/>
      <c r="AS129" s="593"/>
      <c r="AT129" s="593"/>
      <c r="AU129" s="593"/>
      <c r="AV129" s="593"/>
      <c r="AW129" s="593"/>
    </row>
    <row r="130" spans="1:49" x14ac:dyDescent="0.15">
      <c r="A130" s="593"/>
      <c r="B130" s="593"/>
      <c r="C130" s="593"/>
      <c r="D130" s="593"/>
      <c r="E130" s="593"/>
      <c r="F130" s="593"/>
      <c r="G130" s="593"/>
      <c r="H130" s="593"/>
      <c r="I130" s="593"/>
      <c r="J130" s="593"/>
      <c r="K130" s="593"/>
      <c r="L130" s="593"/>
      <c r="M130" s="593"/>
      <c r="N130" s="593"/>
      <c r="O130" s="593"/>
      <c r="P130" s="593"/>
      <c r="Q130" s="593"/>
      <c r="R130" s="593"/>
      <c r="S130" s="593"/>
      <c r="T130" s="593"/>
      <c r="U130" s="593"/>
      <c r="V130" s="593"/>
      <c r="W130" s="593"/>
      <c r="X130" s="593"/>
      <c r="Y130" s="593"/>
      <c r="Z130" s="593"/>
      <c r="AA130" s="593"/>
      <c r="AB130" s="593"/>
      <c r="AC130" s="593"/>
      <c r="AD130" s="593"/>
      <c r="AE130" s="593"/>
      <c r="AF130" s="593"/>
      <c r="AG130" s="593"/>
      <c r="AH130" s="593"/>
      <c r="AI130" s="593"/>
      <c r="AJ130" s="593"/>
      <c r="AK130" s="593"/>
      <c r="AL130" s="593"/>
      <c r="AM130" s="593"/>
      <c r="AN130" s="593"/>
      <c r="AO130" s="593"/>
      <c r="AP130" s="593"/>
      <c r="AQ130" s="593"/>
      <c r="AR130" s="593"/>
      <c r="AS130" s="593"/>
      <c r="AT130" s="593"/>
      <c r="AU130" s="593"/>
      <c r="AV130" s="593"/>
      <c r="AW130" s="593"/>
    </row>
    <row r="131" spans="1:49" x14ac:dyDescent="0.15">
      <c r="A131" s="593"/>
      <c r="B131" s="593"/>
      <c r="C131" s="593"/>
      <c r="D131" s="593"/>
      <c r="E131" s="593"/>
      <c r="F131" s="593"/>
      <c r="G131" s="593"/>
      <c r="H131" s="593"/>
      <c r="I131" s="593"/>
      <c r="J131" s="593"/>
      <c r="K131" s="593"/>
      <c r="L131" s="593"/>
      <c r="M131" s="593"/>
      <c r="N131" s="593"/>
      <c r="O131" s="593"/>
      <c r="P131" s="593"/>
      <c r="Q131" s="593"/>
      <c r="R131" s="593"/>
      <c r="S131" s="593"/>
      <c r="T131" s="593"/>
      <c r="U131" s="593"/>
      <c r="V131" s="593"/>
      <c r="W131" s="593"/>
      <c r="X131" s="593"/>
      <c r="Y131" s="593"/>
      <c r="Z131" s="593"/>
      <c r="AA131" s="593"/>
      <c r="AB131" s="593"/>
      <c r="AC131" s="593"/>
      <c r="AD131" s="593"/>
      <c r="AE131" s="593"/>
      <c r="AF131" s="593"/>
      <c r="AG131" s="593"/>
      <c r="AH131" s="593"/>
      <c r="AI131" s="593"/>
      <c r="AJ131" s="593"/>
      <c r="AK131" s="593"/>
      <c r="AL131" s="593"/>
      <c r="AM131" s="593"/>
      <c r="AN131" s="593"/>
      <c r="AO131" s="593"/>
      <c r="AP131" s="593"/>
      <c r="AQ131" s="593"/>
      <c r="AR131" s="593"/>
      <c r="AS131" s="593"/>
      <c r="AT131" s="593"/>
      <c r="AU131" s="593"/>
      <c r="AV131" s="593"/>
      <c r="AW131" s="593"/>
    </row>
    <row r="132" spans="1:49" x14ac:dyDescent="0.15">
      <c r="A132" s="593"/>
      <c r="B132" s="593"/>
      <c r="C132" s="593"/>
      <c r="D132" s="593"/>
      <c r="E132" s="593"/>
      <c r="F132" s="593"/>
      <c r="G132" s="593"/>
      <c r="H132" s="593"/>
      <c r="I132" s="593"/>
      <c r="J132" s="593"/>
      <c r="K132" s="593"/>
      <c r="L132" s="593"/>
      <c r="M132" s="593"/>
      <c r="N132" s="593"/>
      <c r="O132" s="593"/>
      <c r="P132" s="593"/>
      <c r="Q132" s="593"/>
      <c r="R132" s="593"/>
      <c r="S132" s="593"/>
      <c r="T132" s="593"/>
      <c r="U132" s="593"/>
      <c r="V132" s="593"/>
      <c r="W132" s="593"/>
      <c r="X132" s="593"/>
      <c r="Y132" s="593"/>
      <c r="Z132" s="593"/>
      <c r="AA132" s="593"/>
      <c r="AB132" s="593"/>
      <c r="AC132" s="593"/>
      <c r="AD132" s="593"/>
      <c r="AE132" s="593"/>
      <c r="AF132" s="593"/>
      <c r="AG132" s="593"/>
      <c r="AH132" s="593"/>
      <c r="AI132" s="593"/>
      <c r="AJ132" s="593"/>
      <c r="AK132" s="593"/>
      <c r="AL132" s="593"/>
      <c r="AM132" s="593"/>
      <c r="AN132" s="593"/>
      <c r="AO132" s="593"/>
      <c r="AP132" s="593"/>
      <c r="AQ132" s="593"/>
      <c r="AR132" s="593"/>
      <c r="AS132" s="593"/>
      <c r="AT132" s="593"/>
      <c r="AU132" s="593"/>
      <c r="AV132" s="593"/>
      <c r="AW132" s="593"/>
    </row>
    <row r="133" spans="1:49" x14ac:dyDescent="0.15">
      <c r="A133" s="593"/>
      <c r="B133" s="593"/>
      <c r="C133" s="593"/>
      <c r="D133" s="593"/>
      <c r="E133" s="593"/>
      <c r="F133" s="593"/>
      <c r="G133" s="593"/>
      <c r="H133" s="593"/>
      <c r="I133" s="593"/>
      <c r="J133" s="593"/>
      <c r="K133" s="593"/>
      <c r="L133" s="593"/>
      <c r="M133" s="593"/>
      <c r="N133" s="593"/>
      <c r="O133" s="593"/>
      <c r="P133" s="593"/>
      <c r="Q133" s="593"/>
      <c r="R133" s="593"/>
      <c r="S133" s="593"/>
      <c r="T133" s="593"/>
      <c r="U133" s="593"/>
      <c r="V133" s="593"/>
      <c r="W133" s="593"/>
      <c r="X133" s="593"/>
      <c r="Y133" s="593"/>
      <c r="Z133" s="593"/>
      <c r="AA133" s="593"/>
      <c r="AB133" s="593"/>
      <c r="AC133" s="593"/>
      <c r="AD133" s="593"/>
      <c r="AE133" s="593"/>
      <c r="AF133" s="593"/>
      <c r="AG133" s="593"/>
      <c r="AH133" s="593"/>
      <c r="AI133" s="593"/>
      <c r="AJ133" s="593"/>
      <c r="AK133" s="593"/>
      <c r="AL133" s="593"/>
      <c r="AM133" s="593"/>
      <c r="AN133" s="593"/>
      <c r="AO133" s="593"/>
      <c r="AP133" s="593"/>
      <c r="AQ133" s="593"/>
      <c r="AR133" s="593"/>
      <c r="AS133" s="593"/>
      <c r="AT133" s="593"/>
      <c r="AU133" s="593"/>
      <c r="AV133" s="593"/>
      <c r="AW133" s="593"/>
    </row>
    <row r="134" spans="1:49" x14ac:dyDescent="0.15">
      <c r="A134" s="593"/>
      <c r="B134" s="593"/>
      <c r="C134" s="593"/>
      <c r="D134" s="593"/>
      <c r="E134" s="593"/>
      <c r="F134" s="593"/>
      <c r="G134" s="593"/>
      <c r="H134" s="593"/>
      <c r="I134" s="593"/>
      <c r="J134" s="593"/>
      <c r="K134" s="593"/>
      <c r="L134" s="593"/>
      <c r="M134" s="593"/>
      <c r="N134" s="593"/>
      <c r="O134" s="593"/>
      <c r="P134" s="593"/>
      <c r="Q134" s="593"/>
      <c r="R134" s="593"/>
      <c r="S134" s="593"/>
      <c r="T134" s="593"/>
      <c r="U134" s="593"/>
      <c r="V134" s="593"/>
      <c r="W134" s="593"/>
      <c r="X134" s="593"/>
      <c r="Y134" s="593"/>
      <c r="Z134" s="593"/>
      <c r="AA134" s="593"/>
      <c r="AB134" s="593"/>
      <c r="AC134" s="593"/>
      <c r="AD134" s="593"/>
      <c r="AE134" s="593"/>
      <c r="AF134" s="593"/>
      <c r="AG134" s="593"/>
      <c r="AH134" s="593"/>
      <c r="AI134" s="593"/>
      <c r="AJ134" s="593"/>
      <c r="AK134" s="593"/>
      <c r="AL134" s="593"/>
      <c r="AM134" s="593"/>
      <c r="AN134" s="593"/>
      <c r="AO134" s="593"/>
      <c r="AP134" s="593"/>
      <c r="AQ134" s="593"/>
      <c r="AR134" s="593"/>
      <c r="AS134" s="593"/>
      <c r="AT134" s="593"/>
      <c r="AU134" s="593"/>
      <c r="AV134" s="593"/>
      <c r="AW134" s="593"/>
    </row>
    <row r="135" spans="1:49" x14ac:dyDescent="0.15">
      <c r="A135" s="593"/>
      <c r="B135" s="593"/>
      <c r="C135" s="593"/>
      <c r="D135" s="593"/>
      <c r="E135" s="593"/>
      <c r="F135" s="593"/>
      <c r="G135" s="593"/>
      <c r="H135" s="593"/>
      <c r="I135" s="593"/>
      <c r="J135" s="593"/>
      <c r="K135" s="593"/>
      <c r="L135" s="593"/>
      <c r="M135" s="593"/>
      <c r="N135" s="593"/>
      <c r="O135" s="593"/>
      <c r="P135" s="593"/>
      <c r="Q135" s="593"/>
      <c r="R135" s="593"/>
      <c r="S135" s="593"/>
      <c r="T135" s="593"/>
      <c r="U135" s="593"/>
      <c r="V135" s="593"/>
      <c r="W135" s="593"/>
      <c r="X135" s="593"/>
      <c r="Y135" s="593"/>
      <c r="Z135" s="593"/>
      <c r="AA135" s="593"/>
      <c r="AB135" s="593"/>
      <c r="AC135" s="593"/>
      <c r="AD135" s="593"/>
      <c r="AE135" s="593"/>
      <c r="AF135" s="593"/>
      <c r="AG135" s="593"/>
      <c r="AH135" s="593"/>
      <c r="AI135" s="593"/>
      <c r="AJ135" s="593"/>
      <c r="AK135" s="593"/>
      <c r="AL135" s="593"/>
      <c r="AM135" s="593"/>
      <c r="AN135" s="593"/>
      <c r="AO135" s="593"/>
      <c r="AP135" s="593"/>
      <c r="AQ135" s="593"/>
      <c r="AR135" s="593"/>
      <c r="AS135" s="593"/>
      <c r="AT135" s="593"/>
      <c r="AU135" s="593"/>
      <c r="AV135" s="593"/>
      <c r="AW135" s="593"/>
    </row>
    <row r="136" spans="1:49" x14ac:dyDescent="0.15">
      <c r="A136" s="593"/>
      <c r="B136" s="593"/>
      <c r="C136" s="593"/>
      <c r="D136" s="593"/>
      <c r="E136" s="593"/>
      <c r="F136" s="593"/>
      <c r="G136" s="593"/>
      <c r="H136" s="593"/>
      <c r="I136" s="593"/>
      <c r="J136" s="593"/>
      <c r="K136" s="593"/>
      <c r="L136" s="593"/>
      <c r="M136" s="593"/>
      <c r="N136" s="593"/>
      <c r="O136" s="593"/>
      <c r="P136" s="593"/>
      <c r="Q136" s="593"/>
      <c r="R136" s="593"/>
      <c r="S136" s="593"/>
      <c r="T136" s="593"/>
      <c r="U136" s="593"/>
      <c r="V136" s="593"/>
      <c r="W136" s="593"/>
      <c r="X136" s="593"/>
      <c r="Y136" s="593"/>
      <c r="Z136" s="593"/>
      <c r="AA136" s="593"/>
      <c r="AB136" s="593"/>
      <c r="AC136" s="593"/>
      <c r="AD136" s="593"/>
      <c r="AE136" s="593"/>
      <c r="AF136" s="593"/>
      <c r="AG136" s="593"/>
      <c r="AH136" s="593"/>
      <c r="AI136" s="593"/>
      <c r="AJ136" s="593"/>
      <c r="AK136" s="593"/>
      <c r="AL136" s="593"/>
      <c r="AM136" s="593"/>
      <c r="AN136" s="593"/>
      <c r="AO136" s="593"/>
      <c r="AP136" s="593"/>
      <c r="AQ136" s="593"/>
      <c r="AR136" s="593"/>
      <c r="AS136" s="593"/>
      <c r="AT136" s="593"/>
      <c r="AU136" s="593"/>
      <c r="AV136" s="593"/>
      <c r="AW136" s="593"/>
    </row>
    <row r="137" spans="1:49" x14ac:dyDescent="0.15">
      <c r="A137" s="593"/>
      <c r="B137" s="593"/>
      <c r="C137" s="593"/>
      <c r="D137" s="593"/>
      <c r="E137" s="593"/>
      <c r="F137" s="593"/>
      <c r="G137" s="593"/>
      <c r="H137" s="593"/>
      <c r="I137" s="593"/>
      <c r="J137" s="593"/>
      <c r="K137" s="593"/>
      <c r="L137" s="593"/>
      <c r="M137" s="593"/>
      <c r="N137" s="593"/>
      <c r="O137" s="593"/>
      <c r="P137" s="593"/>
      <c r="Q137" s="593"/>
      <c r="R137" s="593"/>
      <c r="S137" s="593"/>
      <c r="T137" s="593"/>
      <c r="U137" s="593"/>
      <c r="V137" s="593"/>
      <c r="W137" s="593"/>
      <c r="X137" s="593"/>
      <c r="Y137" s="593"/>
      <c r="Z137" s="593"/>
      <c r="AA137" s="593"/>
      <c r="AB137" s="593"/>
      <c r="AC137" s="593"/>
      <c r="AD137" s="593"/>
      <c r="AE137" s="593"/>
      <c r="AF137" s="593"/>
      <c r="AG137" s="593"/>
      <c r="AH137" s="593"/>
      <c r="AI137" s="593"/>
      <c r="AJ137" s="593"/>
      <c r="AK137" s="593"/>
      <c r="AL137" s="593"/>
      <c r="AM137" s="593"/>
      <c r="AN137" s="593"/>
      <c r="AO137" s="593"/>
      <c r="AP137" s="593"/>
      <c r="AQ137" s="593"/>
      <c r="AR137" s="593"/>
      <c r="AS137" s="593"/>
      <c r="AT137" s="593"/>
      <c r="AU137" s="593"/>
      <c r="AV137" s="593"/>
      <c r="AW137" s="593"/>
    </row>
    <row r="138" spans="1:49" x14ac:dyDescent="0.15">
      <c r="A138" s="593"/>
      <c r="B138" s="593"/>
      <c r="C138" s="593"/>
      <c r="D138" s="593"/>
      <c r="E138" s="593"/>
      <c r="F138" s="593"/>
      <c r="G138" s="593"/>
      <c r="H138" s="593"/>
      <c r="I138" s="593"/>
      <c r="J138" s="593"/>
      <c r="K138" s="593"/>
      <c r="L138" s="593"/>
      <c r="M138" s="593"/>
      <c r="N138" s="593"/>
      <c r="O138" s="593"/>
      <c r="P138" s="593"/>
      <c r="Q138" s="593"/>
      <c r="R138" s="593"/>
      <c r="S138" s="593"/>
      <c r="T138" s="593"/>
      <c r="U138" s="593"/>
      <c r="V138" s="593"/>
      <c r="W138" s="593"/>
      <c r="X138" s="593"/>
      <c r="Y138" s="593"/>
      <c r="Z138" s="593"/>
      <c r="AA138" s="593"/>
      <c r="AB138" s="593"/>
      <c r="AC138" s="593"/>
      <c r="AD138" s="593"/>
      <c r="AE138" s="593"/>
      <c r="AF138" s="593"/>
      <c r="AG138" s="593"/>
      <c r="AH138" s="593"/>
      <c r="AI138" s="593"/>
      <c r="AJ138" s="593"/>
      <c r="AK138" s="593"/>
      <c r="AL138" s="593"/>
      <c r="AM138" s="593"/>
      <c r="AN138" s="593"/>
      <c r="AO138" s="593"/>
      <c r="AP138" s="593"/>
      <c r="AQ138" s="593"/>
      <c r="AR138" s="593"/>
      <c r="AS138" s="593"/>
      <c r="AT138" s="593"/>
      <c r="AU138" s="593"/>
      <c r="AV138" s="593"/>
      <c r="AW138" s="593"/>
    </row>
    <row r="139" spans="1:49" x14ac:dyDescent="0.15">
      <c r="A139" s="593"/>
      <c r="B139" s="593"/>
      <c r="C139" s="593"/>
      <c r="D139" s="593"/>
      <c r="E139" s="593"/>
      <c r="F139" s="593"/>
      <c r="G139" s="593"/>
      <c r="H139" s="593"/>
      <c r="I139" s="593"/>
      <c r="J139" s="593"/>
      <c r="K139" s="593"/>
      <c r="L139" s="593"/>
      <c r="M139" s="593"/>
      <c r="N139" s="593"/>
      <c r="O139" s="593"/>
      <c r="P139" s="593"/>
      <c r="Q139" s="593"/>
      <c r="R139" s="593"/>
      <c r="S139" s="593"/>
      <c r="T139" s="593"/>
      <c r="U139" s="593"/>
      <c r="V139" s="593"/>
      <c r="W139" s="593"/>
      <c r="X139" s="593"/>
      <c r="Y139" s="593"/>
      <c r="Z139" s="593"/>
      <c r="AA139" s="593"/>
      <c r="AB139" s="593"/>
      <c r="AC139" s="593"/>
      <c r="AD139" s="593"/>
      <c r="AE139" s="593"/>
      <c r="AF139" s="593"/>
      <c r="AG139" s="593"/>
      <c r="AH139" s="593"/>
      <c r="AI139" s="593"/>
      <c r="AJ139" s="593"/>
      <c r="AK139" s="593"/>
      <c r="AL139" s="593"/>
      <c r="AM139" s="593"/>
      <c r="AN139" s="593"/>
      <c r="AO139" s="593"/>
      <c r="AP139" s="593"/>
      <c r="AQ139" s="593"/>
      <c r="AR139" s="593"/>
      <c r="AS139" s="593"/>
      <c r="AT139" s="593"/>
      <c r="AU139" s="593"/>
      <c r="AV139" s="593"/>
      <c r="AW139" s="593"/>
    </row>
    <row r="140" spans="1:49" x14ac:dyDescent="0.15">
      <c r="A140" s="593"/>
      <c r="B140" s="593"/>
      <c r="C140" s="593"/>
      <c r="D140" s="593"/>
      <c r="E140" s="593"/>
      <c r="F140" s="593"/>
      <c r="G140" s="593"/>
      <c r="H140" s="593"/>
      <c r="I140" s="593"/>
      <c r="J140" s="593"/>
      <c r="K140" s="593"/>
      <c r="L140" s="593"/>
      <c r="M140" s="593"/>
      <c r="N140" s="593"/>
      <c r="O140" s="593"/>
      <c r="P140" s="593"/>
      <c r="Q140" s="593"/>
      <c r="R140" s="593"/>
      <c r="S140" s="593"/>
      <c r="T140" s="593"/>
      <c r="U140" s="593"/>
      <c r="V140" s="593"/>
      <c r="W140" s="593"/>
      <c r="X140" s="593"/>
      <c r="Y140" s="593"/>
      <c r="Z140" s="593"/>
      <c r="AA140" s="593"/>
      <c r="AB140" s="593"/>
      <c r="AC140" s="593"/>
      <c r="AD140" s="593"/>
      <c r="AE140" s="593"/>
      <c r="AF140" s="593"/>
      <c r="AG140" s="593"/>
      <c r="AH140" s="593"/>
      <c r="AI140" s="593"/>
      <c r="AJ140" s="593"/>
      <c r="AK140" s="593"/>
      <c r="AL140" s="593"/>
      <c r="AM140" s="593"/>
      <c r="AN140" s="593"/>
      <c r="AO140" s="593"/>
      <c r="AP140" s="593"/>
      <c r="AQ140" s="593"/>
      <c r="AR140" s="593"/>
      <c r="AS140" s="593"/>
      <c r="AT140" s="593"/>
      <c r="AU140" s="593"/>
      <c r="AV140" s="593"/>
      <c r="AW140" s="593"/>
    </row>
    <row r="141" spans="1:49" x14ac:dyDescent="0.15">
      <c r="A141" s="593"/>
      <c r="B141" s="593"/>
      <c r="C141" s="593"/>
      <c r="D141" s="593"/>
      <c r="E141" s="593"/>
      <c r="F141" s="593"/>
      <c r="G141" s="593"/>
      <c r="H141" s="593"/>
      <c r="I141" s="593"/>
      <c r="J141" s="593"/>
      <c r="K141" s="593"/>
      <c r="L141" s="593"/>
      <c r="M141" s="593"/>
      <c r="N141" s="593"/>
      <c r="O141" s="593"/>
      <c r="P141" s="593"/>
      <c r="Q141" s="593"/>
      <c r="R141" s="593"/>
      <c r="S141" s="593"/>
      <c r="T141" s="593"/>
      <c r="U141" s="593"/>
      <c r="V141" s="593"/>
      <c r="W141" s="593"/>
      <c r="X141" s="593"/>
      <c r="Y141" s="593"/>
      <c r="Z141" s="593"/>
      <c r="AA141" s="593"/>
      <c r="AB141" s="593"/>
      <c r="AC141" s="593"/>
      <c r="AD141" s="593"/>
      <c r="AE141" s="593"/>
      <c r="AF141" s="593"/>
      <c r="AG141" s="593"/>
      <c r="AH141" s="593"/>
      <c r="AI141" s="593"/>
      <c r="AJ141" s="593"/>
      <c r="AK141" s="593"/>
      <c r="AL141" s="593"/>
      <c r="AM141" s="593"/>
      <c r="AN141" s="593"/>
      <c r="AO141" s="593"/>
      <c r="AP141" s="593"/>
      <c r="AQ141" s="593"/>
      <c r="AR141" s="593"/>
      <c r="AS141" s="593"/>
      <c r="AT141" s="593"/>
      <c r="AU141" s="593"/>
      <c r="AV141" s="593"/>
      <c r="AW141" s="593"/>
    </row>
    <row r="142" spans="1:49" x14ac:dyDescent="0.15">
      <c r="A142" s="593"/>
      <c r="B142" s="593"/>
      <c r="C142" s="593"/>
      <c r="D142" s="593"/>
      <c r="E142" s="593"/>
      <c r="F142" s="593"/>
      <c r="G142" s="593"/>
      <c r="H142" s="593"/>
      <c r="I142" s="593"/>
      <c r="J142" s="593"/>
      <c r="K142" s="593"/>
      <c r="L142" s="593"/>
      <c r="M142" s="593"/>
      <c r="N142" s="593"/>
      <c r="O142" s="593"/>
      <c r="P142" s="593"/>
      <c r="Q142" s="593"/>
      <c r="R142" s="593"/>
      <c r="S142" s="593"/>
      <c r="T142" s="593"/>
      <c r="U142" s="593"/>
      <c r="V142" s="593"/>
      <c r="W142" s="593"/>
      <c r="X142" s="593"/>
      <c r="Y142" s="593"/>
      <c r="Z142" s="593"/>
      <c r="AA142" s="593"/>
      <c r="AB142" s="593"/>
      <c r="AC142" s="593"/>
      <c r="AD142" s="593"/>
      <c r="AE142" s="593"/>
      <c r="AF142" s="593"/>
      <c r="AG142" s="593"/>
      <c r="AH142" s="593"/>
      <c r="AI142" s="593"/>
      <c r="AJ142" s="593"/>
      <c r="AK142" s="593"/>
      <c r="AL142" s="593"/>
      <c r="AM142" s="593"/>
      <c r="AN142" s="593"/>
      <c r="AO142" s="593"/>
      <c r="AP142" s="593"/>
      <c r="AQ142" s="593"/>
      <c r="AR142" s="593"/>
      <c r="AS142" s="593"/>
      <c r="AT142" s="593"/>
      <c r="AU142" s="593"/>
      <c r="AV142" s="593"/>
      <c r="AW142" s="593"/>
    </row>
    <row r="143" spans="1:49" x14ac:dyDescent="0.15">
      <c r="A143" s="593"/>
      <c r="B143" s="593"/>
      <c r="C143" s="593"/>
      <c r="D143" s="593"/>
      <c r="E143" s="593"/>
      <c r="F143" s="593"/>
      <c r="G143" s="593"/>
      <c r="H143" s="593"/>
      <c r="I143" s="593"/>
      <c r="J143" s="593"/>
      <c r="K143" s="593"/>
      <c r="L143" s="593"/>
      <c r="M143" s="593"/>
      <c r="N143" s="593"/>
      <c r="O143" s="593"/>
      <c r="P143" s="593"/>
      <c r="Q143" s="593"/>
      <c r="R143" s="593"/>
      <c r="S143" s="593"/>
      <c r="T143" s="593"/>
      <c r="U143" s="593"/>
      <c r="V143" s="593"/>
      <c r="W143" s="593"/>
      <c r="X143" s="593"/>
      <c r="Y143" s="593"/>
      <c r="Z143" s="593"/>
      <c r="AA143" s="593"/>
      <c r="AB143" s="593"/>
      <c r="AC143" s="593"/>
      <c r="AD143" s="593"/>
      <c r="AE143" s="593"/>
      <c r="AF143" s="593"/>
      <c r="AG143" s="593"/>
      <c r="AH143" s="593"/>
      <c r="AI143" s="593"/>
      <c r="AJ143" s="593"/>
      <c r="AK143" s="593"/>
      <c r="AL143" s="593"/>
      <c r="AM143" s="593"/>
      <c r="AN143" s="593"/>
      <c r="AO143" s="593"/>
      <c r="AP143" s="593"/>
      <c r="AQ143" s="593"/>
      <c r="AR143" s="593"/>
      <c r="AS143" s="593"/>
      <c r="AT143" s="593"/>
      <c r="AU143" s="593"/>
      <c r="AV143" s="593"/>
      <c r="AW143" s="593"/>
    </row>
    <row r="144" spans="1:49" x14ac:dyDescent="0.15">
      <c r="A144" s="593"/>
      <c r="B144" s="593"/>
      <c r="C144" s="593"/>
      <c r="D144" s="593"/>
      <c r="E144" s="593"/>
      <c r="F144" s="593"/>
      <c r="G144" s="593"/>
      <c r="H144" s="593"/>
      <c r="I144" s="593"/>
      <c r="J144" s="593"/>
      <c r="K144" s="593"/>
      <c r="L144" s="593"/>
      <c r="M144" s="593"/>
      <c r="N144" s="593"/>
      <c r="O144" s="593"/>
      <c r="P144" s="593"/>
      <c r="Q144" s="593"/>
      <c r="R144" s="593"/>
      <c r="S144" s="593"/>
      <c r="T144" s="593"/>
      <c r="U144" s="593"/>
      <c r="V144" s="593"/>
      <c r="W144" s="593"/>
      <c r="X144" s="593"/>
      <c r="Y144" s="593"/>
      <c r="Z144" s="593"/>
      <c r="AA144" s="593"/>
      <c r="AB144" s="593"/>
      <c r="AC144" s="593"/>
      <c r="AD144" s="593"/>
      <c r="AE144" s="593"/>
      <c r="AF144" s="593"/>
      <c r="AG144" s="593"/>
      <c r="AH144" s="593"/>
      <c r="AI144" s="593"/>
      <c r="AJ144" s="593"/>
      <c r="AK144" s="593"/>
      <c r="AL144" s="593"/>
      <c r="AM144" s="593"/>
      <c r="AN144" s="593"/>
      <c r="AO144" s="593"/>
      <c r="AP144" s="593"/>
      <c r="AQ144" s="593"/>
      <c r="AR144" s="593"/>
      <c r="AS144" s="593"/>
      <c r="AT144" s="593"/>
      <c r="AU144" s="593"/>
      <c r="AV144" s="593"/>
      <c r="AW144" s="593"/>
    </row>
    <row r="145" spans="1:49" x14ac:dyDescent="0.15">
      <c r="A145" s="593"/>
      <c r="B145" s="593"/>
      <c r="C145" s="593"/>
      <c r="D145" s="593"/>
      <c r="E145" s="593"/>
      <c r="F145" s="593"/>
      <c r="G145" s="593"/>
      <c r="H145" s="593"/>
      <c r="I145" s="593"/>
      <c r="J145" s="593"/>
      <c r="K145" s="593"/>
      <c r="L145" s="593"/>
      <c r="M145" s="593"/>
      <c r="N145" s="593"/>
      <c r="O145" s="593"/>
      <c r="P145" s="593"/>
      <c r="Q145" s="593"/>
      <c r="R145" s="593"/>
      <c r="S145" s="593"/>
      <c r="T145" s="593"/>
      <c r="U145" s="593"/>
      <c r="V145" s="593"/>
      <c r="W145" s="593"/>
      <c r="X145" s="593"/>
      <c r="Y145" s="593"/>
      <c r="Z145" s="593"/>
      <c r="AA145" s="593"/>
      <c r="AB145" s="593"/>
      <c r="AC145" s="593"/>
      <c r="AD145" s="593"/>
      <c r="AE145" s="593"/>
      <c r="AF145" s="593"/>
      <c r="AG145" s="593"/>
      <c r="AH145" s="593"/>
      <c r="AI145" s="593"/>
      <c r="AJ145" s="593"/>
      <c r="AK145" s="593"/>
      <c r="AL145" s="593"/>
      <c r="AM145" s="593"/>
      <c r="AN145" s="593"/>
      <c r="AO145" s="593"/>
      <c r="AP145" s="593"/>
      <c r="AQ145" s="593"/>
      <c r="AR145" s="593"/>
      <c r="AS145" s="593"/>
      <c r="AT145" s="593"/>
      <c r="AU145" s="593"/>
      <c r="AV145" s="593"/>
      <c r="AW145" s="593"/>
    </row>
    <row r="146" spans="1:49" x14ac:dyDescent="0.15">
      <c r="A146" s="593"/>
      <c r="B146" s="593"/>
      <c r="C146" s="593"/>
      <c r="D146" s="593"/>
      <c r="E146" s="593"/>
      <c r="F146" s="593"/>
      <c r="G146" s="593"/>
      <c r="H146" s="593"/>
      <c r="I146" s="593"/>
      <c r="J146" s="593"/>
      <c r="K146" s="593"/>
      <c r="L146" s="593"/>
      <c r="M146" s="593"/>
      <c r="N146" s="593"/>
      <c r="O146" s="593"/>
      <c r="P146" s="593"/>
      <c r="Q146" s="593"/>
      <c r="R146" s="593"/>
      <c r="S146" s="593"/>
      <c r="T146" s="593"/>
      <c r="U146" s="593"/>
      <c r="V146" s="593"/>
      <c r="W146" s="593"/>
      <c r="X146" s="593"/>
      <c r="Y146" s="593"/>
      <c r="Z146" s="593"/>
      <c r="AA146" s="593"/>
      <c r="AB146" s="593"/>
      <c r="AC146" s="593"/>
      <c r="AD146" s="593"/>
      <c r="AE146" s="593"/>
      <c r="AF146" s="593"/>
      <c r="AG146" s="593"/>
      <c r="AH146" s="593"/>
      <c r="AI146" s="593"/>
      <c r="AJ146" s="593"/>
      <c r="AK146" s="593"/>
      <c r="AL146" s="593"/>
      <c r="AM146" s="593"/>
      <c r="AN146" s="593"/>
      <c r="AO146" s="593"/>
      <c r="AP146" s="593"/>
      <c r="AQ146" s="593"/>
      <c r="AR146" s="593"/>
      <c r="AS146" s="593"/>
      <c r="AT146" s="593"/>
      <c r="AU146" s="593"/>
      <c r="AV146" s="593"/>
      <c r="AW146" s="593"/>
    </row>
    <row r="147" spans="1:49" x14ac:dyDescent="0.15">
      <c r="A147" s="593"/>
      <c r="B147" s="593"/>
      <c r="C147" s="593"/>
      <c r="D147" s="593"/>
      <c r="E147" s="593"/>
      <c r="F147" s="593"/>
      <c r="G147" s="593"/>
      <c r="H147" s="593"/>
      <c r="I147" s="593"/>
      <c r="J147" s="593"/>
      <c r="K147" s="593"/>
      <c r="L147" s="593"/>
      <c r="M147" s="593"/>
      <c r="N147" s="593"/>
      <c r="O147" s="593"/>
      <c r="P147" s="593"/>
      <c r="Q147" s="593"/>
      <c r="R147" s="593"/>
      <c r="S147" s="593"/>
      <c r="T147" s="593"/>
      <c r="U147" s="593"/>
      <c r="V147" s="593"/>
      <c r="W147" s="593"/>
      <c r="X147" s="593"/>
      <c r="Y147" s="593"/>
      <c r="Z147" s="593"/>
      <c r="AA147" s="593"/>
      <c r="AB147" s="593"/>
      <c r="AC147" s="593"/>
      <c r="AD147" s="593"/>
      <c r="AE147" s="593"/>
      <c r="AF147" s="593"/>
      <c r="AG147" s="593"/>
      <c r="AH147" s="593"/>
      <c r="AI147" s="593"/>
      <c r="AJ147" s="593"/>
      <c r="AK147" s="593"/>
      <c r="AL147" s="593"/>
      <c r="AM147" s="593"/>
      <c r="AN147" s="593"/>
      <c r="AO147" s="593"/>
      <c r="AP147" s="593"/>
      <c r="AQ147" s="593"/>
      <c r="AR147" s="593"/>
      <c r="AS147" s="593"/>
      <c r="AT147" s="593"/>
      <c r="AU147" s="593"/>
      <c r="AV147" s="593"/>
      <c r="AW147" s="593"/>
    </row>
    <row r="148" spans="1:49" x14ac:dyDescent="0.15">
      <c r="A148" s="593"/>
      <c r="B148" s="593"/>
      <c r="C148" s="593"/>
      <c r="D148" s="593"/>
      <c r="E148" s="593"/>
      <c r="F148" s="593"/>
      <c r="G148" s="593"/>
      <c r="H148" s="593"/>
      <c r="I148" s="593"/>
      <c r="J148" s="593"/>
      <c r="K148" s="593"/>
      <c r="L148" s="593"/>
      <c r="M148" s="593"/>
      <c r="N148" s="593"/>
      <c r="O148" s="593"/>
      <c r="P148" s="593"/>
      <c r="Q148" s="593"/>
      <c r="R148" s="593"/>
      <c r="S148" s="593"/>
      <c r="T148" s="593"/>
      <c r="U148" s="593"/>
      <c r="V148" s="593"/>
      <c r="W148" s="593"/>
      <c r="X148" s="593"/>
      <c r="Y148" s="593"/>
      <c r="Z148" s="593"/>
      <c r="AA148" s="593"/>
      <c r="AB148" s="593"/>
      <c r="AC148" s="593"/>
      <c r="AD148" s="593"/>
      <c r="AE148" s="593"/>
      <c r="AF148" s="593"/>
      <c r="AG148" s="593"/>
      <c r="AH148" s="593"/>
      <c r="AI148" s="593"/>
      <c r="AJ148" s="593"/>
      <c r="AK148" s="593"/>
      <c r="AL148" s="593"/>
      <c r="AM148" s="593"/>
      <c r="AN148" s="593"/>
      <c r="AO148" s="593"/>
      <c r="AP148" s="593"/>
      <c r="AQ148" s="593"/>
      <c r="AR148" s="593"/>
      <c r="AS148" s="593"/>
      <c r="AT148" s="593"/>
      <c r="AU148" s="593"/>
      <c r="AV148" s="593"/>
      <c r="AW148" s="593"/>
    </row>
    <row r="149" spans="1:49" x14ac:dyDescent="0.15">
      <c r="A149" s="593"/>
      <c r="B149" s="593"/>
      <c r="C149" s="593"/>
      <c r="D149" s="593"/>
      <c r="E149" s="593"/>
      <c r="F149" s="593"/>
      <c r="G149" s="593"/>
      <c r="H149" s="593"/>
      <c r="I149" s="593"/>
      <c r="J149" s="593"/>
      <c r="K149" s="593"/>
      <c r="L149" s="593"/>
      <c r="M149" s="593"/>
      <c r="N149" s="593"/>
      <c r="O149" s="593"/>
      <c r="P149" s="593"/>
      <c r="Q149" s="593"/>
      <c r="R149" s="593"/>
      <c r="S149" s="593"/>
      <c r="T149" s="593"/>
      <c r="U149" s="593"/>
      <c r="V149" s="593"/>
      <c r="W149" s="593"/>
      <c r="X149" s="593"/>
      <c r="Y149" s="593"/>
      <c r="Z149" s="593"/>
      <c r="AA149" s="593"/>
      <c r="AB149" s="593"/>
      <c r="AC149" s="593"/>
      <c r="AD149" s="593"/>
      <c r="AE149" s="593"/>
      <c r="AF149" s="593"/>
      <c r="AG149" s="593"/>
      <c r="AH149" s="593"/>
      <c r="AI149" s="593"/>
      <c r="AJ149" s="593"/>
      <c r="AK149" s="593"/>
      <c r="AL149" s="593"/>
      <c r="AM149" s="593"/>
      <c r="AN149" s="593"/>
      <c r="AO149" s="593"/>
      <c r="AP149" s="593"/>
      <c r="AQ149" s="593"/>
      <c r="AR149" s="593"/>
      <c r="AS149" s="593"/>
      <c r="AT149" s="593"/>
      <c r="AU149" s="593"/>
      <c r="AV149" s="593"/>
      <c r="AW149" s="593"/>
    </row>
    <row r="150" spans="1:49" x14ac:dyDescent="0.15">
      <c r="A150" s="593"/>
      <c r="B150" s="593"/>
      <c r="C150" s="593"/>
      <c r="D150" s="593"/>
      <c r="E150" s="593"/>
      <c r="F150" s="593"/>
      <c r="G150" s="593"/>
      <c r="H150" s="593"/>
      <c r="I150" s="593"/>
      <c r="J150" s="593"/>
      <c r="K150" s="593"/>
      <c r="L150" s="593"/>
      <c r="M150" s="593"/>
      <c r="N150" s="593"/>
      <c r="O150" s="593"/>
      <c r="P150" s="593"/>
      <c r="Q150" s="593"/>
      <c r="R150" s="593"/>
      <c r="S150" s="593"/>
      <c r="T150" s="593"/>
      <c r="U150" s="593"/>
      <c r="V150" s="593"/>
      <c r="W150" s="593"/>
      <c r="X150" s="593"/>
      <c r="Y150" s="593"/>
      <c r="Z150" s="593"/>
      <c r="AA150" s="593"/>
      <c r="AB150" s="593"/>
      <c r="AC150" s="593"/>
      <c r="AD150" s="593"/>
      <c r="AE150" s="593"/>
      <c r="AF150" s="593"/>
      <c r="AG150" s="593"/>
      <c r="AH150" s="593"/>
      <c r="AI150" s="593"/>
      <c r="AJ150" s="593"/>
      <c r="AK150" s="593"/>
      <c r="AL150" s="593"/>
      <c r="AM150" s="593"/>
      <c r="AN150" s="593"/>
      <c r="AO150" s="593"/>
      <c r="AP150" s="593"/>
      <c r="AQ150" s="593"/>
      <c r="AR150" s="593"/>
      <c r="AS150" s="593"/>
      <c r="AT150" s="593"/>
      <c r="AU150" s="593"/>
      <c r="AV150" s="593"/>
      <c r="AW150" s="593"/>
    </row>
    <row r="151" spans="1:49" x14ac:dyDescent="0.15">
      <c r="A151" s="593"/>
      <c r="B151" s="593"/>
      <c r="C151" s="593"/>
      <c r="D151" s="593"/>
      <c r="E151" s="593"/>
      <c r="F151" s="593"/>
      <c r="G151" s="593"/>
      <c r="H151" s="593"/>
      <c r="I151" s="593"/>
      <c r="J151" s="593"/>
      <c r="K151" s="593"/>
      <c r="L151" s="593"/>
      <c r="M151" s="593"/>
      <c r="N151" s="593"/>
      <c r="O151" s="593"/>
      <c r="P151" s="593"/>
      <c r="Q151" s="593"/>
      <c r="R151" s="593"/>
      <c r="S151" s="593"/>
      <c r="T151" s="593"/>
      <c r="U151" s="593"/>
      <c r="V151" s="593"/>
      <c r="W151" s="593"/>
      <c r="X151" s="593"/>
      <c r="Y151" s="593"/>
      <c r="Z151" s="593"/>
      <c r="AA151" s="593"/>
      <c r="AB151" s="593"/>
      <c r="AC151" s="593"/>
      <c r="AD151" s="593"/>
      <c r="AE151" s="593"/>
      <c r="AF151" s="593"/>
      <c r="AG151" s="593"/>
      <c r="AH151" s="593"/>
      <c r="AI151" s="593"/>
      <c r="AJ151" s="593"/>
      <c r="AK151" s="593"/>
      <c r="AL151" s="593"/>
      <c r="AM151" s="593"/>
      <c r="AN151" s="593"/>
      <c r="AO151" s="593"/>
      <c r="AP151" s="593"/>
      <c r="AQ151" s="593"/>
      <c r="AR151" s="593"/>
      <c r="AS151" s="593"/>
      <c r="AT151" s="593"/>
      <c r="AU151" s="593"/>
      <c r="AV151" s="593"/>
      <c r="AW151" s="593"/>
    </row>
    <row r="152" spans="1:49" x14ac:dyDescent="0.15">
      <c r="A152" s="593"/>
      <c r="B152" s="593"/>
      <c r="C152" s="593"/>
      <c r="D152" s="593"/>
      <c r="E152" s="593"/>
      <c r="F152" s="593"/>
      <c r="G152" s="593"/>
      <c r="H152" s="593"/>
      <c r="I152" s="593"/>
      <c r="J152" s="593"/>
      <c r="K152" s="593"/>
      <c r="L152" s="593"/>
      <c r="M152" s="593"/>
      <c r="N152" s="593"/>
      <c r="O152" s="593"/>
      <c r="P152" s="593"/>
      <c r="Q152" s="593"/>
      <c r="R152" s="593"/>
      <c r="S152" s="593"/>
      <c r="T152" s="593"/>
      <c r="U152" s="593"/>
      <c r="V152" s="593"/>
      <c r="W152" s="593"/>
      <c r="X152" s="593"/>
      <c r="Y152" s="593"/>
      <c r="Z152" s="593"/>
      <c r="AA152" s="593"/>
      <c r="AB152" s="593"/>
      <c r="AC152" s="593"/>
      <c r="AD152" s="593"/>
      <c r="AE152" s="593"/>
      <c r="AF152" s="593"/>
      <c r="AG152" s="593"/>
      <c r="AH152" s="593"/>
      <c r="AI152" s="593"/>
      <c r="AJ152" s="593"/>
      <c r="AK152" s="593"/>
      <c r="AL152" s="593"/>
      <c r="AM152" s="593"/>
      <c r="AN152" s="593"/>
      <c r="AO152" s="593"/>
      <c r="AP152" s="593"/>
      <c r="AQ152" s="593"/>
      <c r="AR152" s="593"/>
      <c r="AS152" s="593"/>
      <c r="AT152" s="593"/>
      <c r="AU152" s="593"/>
      <c r="AV152" s="593"/>
      <c r="AW152" s="593"/>
    </row>
    <row r="153" spans="1:49" x14ac:dyDescent="0.15">
      <c r="A153" s="593"/>
      <c r="B153" s="593"/>
      <c r="C153" s="593"/>
      <c r="D153" s="593"/>
      <c r="E153" s="593"/>
      <c r="F153" s="593"/>
      <c r="G153" s="593"/>
      <c r="H153" s="593"/>
      <c r="I153" s="593"/>
      <c r="J153" s="593"/>
      <c r="K153" s="593"/>
      <c r="L153" s="593"/>
      <c r="M153" s="593"/>
      <c r="N153" s="593"/>
      <c r="O153" s="593"/>
      <c r="P153" s="593"/>
      <c r="Q153" s="593"/>
      <c r="R153" s="593"/>
      <c r="S153" s="593"/>
      <c r="T153" s="593"/>
      <c r="U153" s="593"/>
      <c r="V153" s="593"/>
      <c r="W153" s="593"/>
      <c r="X153" s="593"/>
      <c r="Y153" s="593"/>
      <c r="Z153" s="593"/>
      <c r="AA153" s="593"/>
      <c r="AB153" s="593"/>
      <c r="AC153" s="593"/>
      <c r="AD153" s="593"/>
      <c r="AE153" s="593"/>
      <c r="AF153" s="593"/>
      <c r="AG153" s="593"/>
      <c r="AH153" s="593"/>
      <c r="AI153" s="593"/>
      <c r="AJ153" s="593"/>
      <c r="AK153" s="593"/>
      <c r="AL153" s="593"/>
      <c r="AM153" s="593"/>
      <c r="AN153" s="593"/>
      <c r="AO153" s="593"/>
      <c r="AP153" s="593"/>
      <c r="AQ153" s="593"/>
      <c r="AR153" s="593"/>
      <c r="AS153" s="593"/>
      <c r="AT153" s="593"/>
      <c r="AU153" s="593"/>
      <c r="AV153" s="593"/>
      <c r="AW153" s="593"/>
    </row>
    <row r="154" spans="1:49" x14ac:dyDescent="0.15">
      <c r="A154" s="593"/>
      <c r="B154" s="593"/>
      <c r="C154" s="593"/>
      <c r="D154" s="593"/>
      <c r="E154" s="593"/>
      <c r="F154" s="593"/>
      <c r="G154" s="593"/>
      <c r="H154" s="593"/>
      <c r="I154" s="593"/>
      <c r="J154" s="593"/>
      <c r="K154" s="593"/>
      <c r="L154" s="593"/>
      <c r="M154" s="593"/>
      <c r="N154" s="593"/>
      <c r="O154" s="593"/>
      <c r="P154" s="593"/>
      <c r="Q154" s="593"/>
      <c r="R154" s="593"/>
      <c r="S154" s="593"/>
      <c r="T154" s="593"/>
      <c r="U154" s="593"/>
      <c r="V154" s="593"/>
      <c r="W154" s="593"/>
      <c r="X154" s="593"/>
      <c r="Y154" s="593"/>
      <c r="Z154" s="593"/>
      <c r="AA154" s="593"/>
      <c r="AB154" s="593"/>
      <c r="AC154" s="593"/>
      <c r="AD154" s="593"/>
      <c r="AE154" s="593"/>
      <c r="AF154" s="593"/>
      <c r="AG154" s="593"/>
      <c r="AH154" s="593"/>
      <c r="AI154" s="593"/>
      <c r="AJ154" s="593"/>
      <c r="AK154" s="593"/>
      <c r="AL154" s="593"/>
      <c r="AM154" s="593"/>
      <c r="AN154" s="593"/>
      <c r="AO154" s="593"/>
      <c r="AP154" s="593"/>
      <c r="AQ154" s="593"/>
      <c r="AR154" s="593"/>
      <c r="AS154" s="593"/>
      <c r="AT154" s="593"/>
      <c r="AU154" s="593"/>
      <c r="AV154" s="593"/>
      <c r="AW154" s="593"/>
    </row>
    <row r="155" spans="1:49" x14ac:dyDescent="0.15">
      <c r="A155" s="593"/>
      <c r="B155" s="593"/>
      <c r="C155" s="593"/>
      <c r="D155" s="593"/>
      <c r="E155" s="593"/>
      <c r="F155" s="593"/>
      <c r="G155" s="593"/>
      <c r="H155" s="593"/>
      <c r="I155" s="593"/>
      <c r="J155" s="593"/>
      <c r="K155" s="593"/>
      <c r="L155" s="593"/>
      <c r="M155" s="593"/>
      <c r="N155" s="593"/>
      <c r="O155" s="593"/>
      <c r="P155" s="593"/>
      <c r="Q155" s="593"/>
      <c r="R155" s="593"/>
      <c r="S155" s="593"/>
      <c r="T155" s="593"/>
      <c r="U155" s="593"/>
      <c r="V155" s="593"/>
      <c r="W155" s="593"/>
      <c r="X155" s="593"/>
      <c r="Y155" s="593"/>
      <c r="Z155" s="593"/>
      <c r="AA155" s="593"/>
      <c r="AB155" s="593"/>
      <c r="AC155" s="593"/>
      <c r="AD155" s="593"/>
      <c r="AE155" s="593"/>
      <c r="AF155" s="593"/>
      <c r="AG155" s="593"/>
      <c r="AH155" s="593"/>
      <c r="AI155" s="593"/>
      <c r="AJ155" s="593"/>
      <c r="AK155" s="593"/>
      <c r="AL155" s="593"/>
      <c r="AM155" s="593"/>
      <c r="AN155" s="593"/>
      <c r="AO155" s="593"/>
      <c r="AP155" s="593"/>
      <c r="AQ155" s="593"/>
      <c r="AR155" s="593"/>
      <c r="AS155" s="593"/>
      <c r="AT155" s="593"/>
      <c r="AU155" s="593"/>
      <c r="AV155" s="593"/>
      <c r="AW155" s="593"/>
    </row>
    <row r="156" spans="1:49" x14ac:dyDescent="0.15">
      <c r="A156" s="593"/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3"/>
      <c r="Q156" s="593"/>
      <c r="R156" s="593"/>
      <c r="S156" s="593"/>
      <c r="T156" s="593"/>
      <c r="U156" s="593"/>
      <c r="V156" s="593"/>
      <c r="W156" s="593"/>
      <c r="X156" s="593"/>
      <c r="Y156" s="593"/>
      <c r="Z156" s="593"/>
      <c r="AA156" s="593"/>
      <c r="AB156" s="593"/>
      <c r="AC156" s="593"/>
      <c r="AD156" s="593"/>
      <c r="AE156" s="593"/>
      <c r="AF156" s="593"/>
      <c r="AG156" s="593"/>
      <c r="AH156" s="593"/>
      <c r="AI156" s="593"/>
      <c r="AJ156" s="593"/>
      <c r="AK156" s="593"/>
      <c r="AL156" s="593"/>
      <c r="AM156" s="593"/>
      <c r="AN156" s="593"/>
      <c r="AO156" s="593"/>
      <c r="AP156" s="593"/>
      <c r="AQ156" s="593"/>
      <c r="AR156" s="593"/>
      <c r="AS156" s="593"/>
      <c r="AT156" s="593"/>
      <c r="AU156" s="593"/>
      <c r="AV156" s="593"/>
      <c r="AW156" s="593"/>
    </row>
    <row r="157" spans="1:49" x14ac:dyDescent="0.15">
      <c r="A157" s="593"/>
      <c r="B157" s="593"/>
      <c r="C157" s="593"/>
      <c r="D157" s="593"/>
      <c r="E157" s="593"/>
      <c r="F157" s="593"/>
      <c r="G157" s="593"/>
      <c r="H157" s="593"/>
      <c r="I157" s="593"/>
      <c r="J157" s="593"/>
      <c r="K157" s="593"/>
      <c r="L157" s="593"/>
      <c r="M157" s="593"/>
      <c r="N157" s="593"/>
      <c r="O157" s="593"/>
      <c r="P157" s="593"/>
      <c r="Q157" s="593"/>
      <c r="R157" s="593"/>
      <c r="S157" s="593"/>
      <c r="T157" s="593"/>
      <c r="U157" s="593"/>
      <c r="V157" s="593"/>
      <c r="W157" s="593"/>
      <c r="X157" s="593"/>
      <c r="Y157" s="593"/>
      <c r="Z157" s="593"/>
      <c r="AA157" s="593"/>
      <c r="AB157" s="593"/>
      <c r="AC157" s="593"/>
      <c r="AD157" s="593"/>
      <c r="AE157" s="593"/>
      <c r="AF157" s="593"/>
      <c r="AG157" s="593"/>
      <c r="AH157" s="593"/>
      <c r="AI157" s="593"/>
      <c r="AJ157" s="593"/>
      <c r="AK157" s="593"/>
      <c r="AL157" s="593"/>
      <c r="AM157" s="593"/>
      <c r="AN157" s="593"/>
      <c r="AO157" s="593"/>
      <c r="AP157" s="593"/>
      <c r="AQ157" s="593"/>
      <c r="AR157" s="593"/>
      <c r="AS157" s="593"/>
      <c r="AT157" s="593"/>
      <c r="AU157" s="593"/>
      <c r="AV157" s="593"/>
      <c r="AW157" s="593"/>
    </row>
    <row r="158" spans="1:49" x14ac:dyDescent="0.15">
      <c r="A158" s="593"/>
      <c r="B158" s="593"/>
      <c r="C158" s="593"/>
      <c r="D158" s="593"/>
      <c r="E158" s="593"/>
      <c r="F158" s="593"/>
      <c r="G158" s="593"/>
      <c r="H158" s="593"/>
      <c r="I158" s="593"/>
      <c r="J158" s="593"/>
      <c r="K158" s="593"/>
      <c r="L158" s="593"/>
      <c r="M158" s="593"/>
      <c r="N158" s="593"/>
      <c r="O158" s="593"/>
      <c r="P158" s="593"/>
      <c r="Q158" s="593"/>
      <c r="R158" s="593"/>
      <c r="S158" s="593"/>
      <c r="T158" s="593"/>
      <c r="U158" s="593"/>
      <c r="V158" s="593"/>
      <c r="W158" s="593"/>
      <c r="X158" s="593"/>
      <c r="Y158" s="593"/>
      <c r="Z158" s="593"/>
      <c r="AA158" s="593"/>
      <c r="AB158" s="593"/>
      <c r="AC158" s="593"/>
      <c r="AD158" s="593"/>
      <c r="AE158" s="593"/>
      <c r="AF158" s="593"/>
      <c r="AG158" s="593"/>
      <c r="AH158" s="593"/>
      <c r="AI158" s="593"/>
      <c r="AJ158" s="593"/>
      <c r="AK158" s="593"/>
      <c r="AL158" s="593"/>
      <c r="AM158" s="593"/>
      <c r="AN158" s="593"/>
      <c r="AO158" s="593"/>
      <c r="AP158" s="593"/>
      <c r="AQ158" s="593"/>
      <c r="AR158" s="593"/>
      <c r="AS158" s="593"/>
      <c r="AT158" s="593"/>
      <c r="AU158" s="593"/>
      <c r="AV158" s="593"/>
      <c r="AW158" s="593"/>
    </row>
    <row r="159" spans="1:49" x14ac:dyDescent="0.15">
      <c r="A159" s="593"/>
      <c r="B159" s="593"/>
      <c r="C159" s="593"/>
      <c r="D159" s="593"/>
      <c r="E159" s="593"/>
      <c r="F159" s="593"/>
      <c r="G159" s="593"/>
      <c r="H159" s="593"/>
      <c r="I159" s="593"/>
      <c r="J159" s="593"/>
      <c r="K159" s="593"/>
      <c r="L159" s="593"/>
      <c r="M159" s="593"/>
      <c r="N159" s="593"/>
      <c r="O159" s="593"/>
      <c r="P159" s="593"/>
      <c r="Q159" s="593"/>
      <c r="R159" s="593"/>
      <c r="S159" s="593"/>
      <c r="T159" s="593"/>
      <c r="U159" s="593"/>
      <c r="V159" s="593"/>
      <c r="W159" s="593"/>
      <c r="X159" s="593"/>
      <c r="Y159" s="593"/>
      <c r="Z159" s="593"/>
      <c r="AA159" s="593"/>
      <c r="AB159" s="593"/>
      <c r="AC159" s="593"/>
      <c r="AD159" s="593"/>
      <c r="AE159" s="593"/>
      <c r="AF159" s="593"/>
      <c r="AG159" s="593"/>
      <c r="AH159" s="593"/>
      <c r="AI159" s="593"/>
      <c r="AJ159" s="593"/>
      <c r="AK159" s="593"/>
      <c r="AL159" s="593"/>
      <c r="AM159" s="593"/>
      <c r="AN159" s="593"/>
      <c r="AO159" s="593"/>
      <c r="AP159" s="593"/>
      <c r="AQ159" s="593"/>
      <c r="AR159" s="593"/>
      <c r="AS159" s="593"/>
      <c r="AT159" s="593"/>
      <c r="AU159" s="593"/>
      <c r="AV159" s="593"/>
      <c r="AW159" s="593"/>
    </row>
    <row r="160" spans="1:49" x14ac:dyDescent="0.15">
      <c r="A160" s="593"/>
      <c r="B160" s="593"/>
      <c r="C160" s="593"/>
      <c r="D160" s="593"/>
      <c r="E160" s="593"/>
      <c r="F160" s="593"/>
      <c r="G160" s="593"/>
      <c r="H160" s="593"/>
      <c r="I160" s="593"/>
      <c r="J160" s="593"/>
      <c r="K160" s="593"/>
      <c r="L160" s="593"/>
      <c r="M160" s="593"/>
      <c r="N160" s="593"/>
      <c r="O160" s="593"/>
      <c r="P160" s="593"/>
      <c r="Q160" s="593"/>
      <c r="R160" s="593"/>
      <c r="S160" s="593"/>
      <c r="T160" s="593"/>
      <c r="U160" s="593"/>
      <c r="V160" s="593"/>
      <c r="W160" s="593"/>
      <c r="X160" s="593"/>
      <c r="Y160" s="593"/>
      <c r="Z160" s="593"/>
      <c r="AA160" s="593"/>
      <c r="AB160" s="593"/>
      <c r="AC160" s="593"/>
      <c r="AD160" s="593"/>
      <c r="AE160" s="593"/>
      <c r="AF160" s="593"/>
      <c r="AG160" s="593"/>
      <c r="AH160" s="593"/>
      <c r="AI160" s="593"/>
      <c r="AJ160" s="593"/>
      <c r="AK160" s="593"/>
      <c r="AL160" s="593"/>
      <c r="AM160" s="593"/>
      <c r="AN160" s="593"/>
      <c r="AO160" s="593"/>
      <c r="AP160" s="593"/>
      <c r="AQ160" s="593"/>
      <c r="AR160" s="593"/>
      <c r="AS160" s="593"/>
      <c r="AT160" s="593"/>
      <c r="AU160" s="593"/>
      <c r="AV160" s="593"/>
      <c r="AW160" s="593"/>
    </row>
    <row r="161" spans="1:49" x14ac:dyDescent="0.15">
      <c r="A161" s="593"/>
      <c r="B161" s="593"/>
      <c r="C161" s="593"/>
      <c r="D161" s="593"/>
      <c r="E161" s="593"/>
      <c r="F161" s="593"/>
      <c r="G161" s="593"/>
      <c r="H161" s="593"/>
      <c r="I161" s="593"/>
      <c r="J161" s="593"/>
      <c r="K161" s="593"/>
      <c r="L161" s="593"/>
      <c r="M161" s="593"/>
      <c r="N161" s="593"/>
      <c r="O161" s="593"/>
      <c r="P161" s="593"/>
      <c r="Q161" s="593"/>
      <c r="R161" s="593"/>
      <c r="S161" s="593"/>
      <c r="T161" s="593"/>
      <c r="U161" s="593"/>
      <c r="V161" s="593"/>
      <c r="W161" s="593"/>
      <c r="X161" s="593"/>
      <c r="Y161" s="593"/>
      <c r="Z161" s="593"/>
      <c r="AA161" s="593"/>
      <c r="AB161" s="593"/>
      <c r="AC161" s="593"/>
      <c r="AD161" s="593"/>
      <c r="AE161" s="593"/>
      <c r="AF161" s="593"/>
      <c r="AG161" s="593"/>
      <c r="AH161" s="593"/>
      <c r="AI161" s="593"/>
      <c r="AJ161" s="593"/>
      <c r="AK161" s="593"/>
      <c r="AL161" s="593"/>
      <c r="AM161" s="593"/>
      <c r="AN161" s="593"/>
      <c r="AO161" s="593"/>
      <c r="AP161" s="593"/>
      <c r="AQ161" s="593"/>
      <c r="AR161" s="593"/>
      <c r="AS161" s="593"/>
      <c r="AT161" s="593"/>
      <c r="AU161" s="593"/>
      <c r="AV161" s="593"/>
      <c r="AW161" s="593"/>
    </row>
    <row r="162" spans="1:49" x14ac:dyDescent="0.15">
      <c r="A162" s="593"/>
      <c r="B162" s="593"/>
      <c r="C162" s="593"/>
      <c r="D162" s="593"/>
      <c r="E162" s="593"/>
      <c r="F162" s="593"/>
      <c r="G162" s="593"/>
      <c r="H162" s="593"/>
      <c r="I162" s="593"/>
      <c r="J162" s="593"/>
      <c r="K162" s="593"/>
      <c r="L162" s="593"/>
      <c r="M162" s="593"/>
      <c r="N162" s="593"/>
      <c r="O162" s="593"/>
      <c r="P162" s="593"/>
      <c r="Q162" s="593"/>
      <c r="R162" s="593"/>
      <c r="S162" s="593"/>
      <c r="T162" s="593"/>
      <c r="U162" s="593"/>
      <c r="V162" s="593"/>
      <c r="W162" s="593"/>
      <c r="X162" s="593"/>
      <c r="Y162" s="593"/>
      <c r="Z162" s="593"/>
      <c r="AA162" s="593"/>
      <c r="AB162" s="593"/>
      <c r="AC162" s="593"/>
      <c r="AD162" s="593"/>
      <c r="AE162" s="593"/>
      <c r="AF162" s="593"/>
      <c r="AG162" s="593"/>
      <c r="AH162" s="593"/>
      <c r="AI162" s="593"/>
      <c r="AJ162" s="593"/>
      <c r="AK162" s="593"/>
      <c r="AL162" s="593"/>
      <c r="AM162" s="593"/>
      <c r="AN162" s="593"/>
      <c r="AO162" s="593"/>
      <c r="AP162" s="593"/>
      <c r="AQ162" s="593"/>
      <c r="AR162" s="593"/>
      <c r="AS162" s="593"/>
      <c r="AT162" s="593"/>
      <c r="AU162" s="593"/>
      <c r="AV162" s="593"/>
      <c r="AW162" s="593"/>
    </row>
    <row r="163" spans="1:49" x14ac:dyDescent="0.15">
      <c r="A163" s="593"/>
      <c r="B163" s="593"/>
      <c r="C163" s="593"/>
      <c r="D163" s="593"/>
      <c r="E163" s="593"/>
      <c r="F163" s="593"/>
      <c r="G163" s="593"/>
      <c r="H163" s="593"/>
      <c r="I163" s="593"/>
      <c r="J163" s="593"/>
      <c r="K163" s="593"/>
      <c r="L163" s="593"/>
      <c r="M163" s="593"/>
      <c r="N163" s="593"/>
      <c r="O163" s="593"/>
      <c r="P163" s="593"/>
      <c r="Q163" s="593"/>
      <c r="R163" s="593"/>
      <c r="S163" s="593"/>
      <c r="T163" s="593"/>
      <c r="U163" s="593"/>
      <c r="V163" s="593"/>
      <c r="W163" s="593"/>
      <c r="X163" s="593"/>
      <c r="Y163" s="593"/>
      <c r="Z163" s="593"/>
      <c r="AA163" s="593"/>
      <c r="AB163" s="593"/>
      <c r="AC163" s="593"/>
      <c r="AD163" s="593"/>
      <c r="AE163" s="593"/>
      <c r="AF163" s="593"/>
      <c r="AG163" s="593"/>
      <c r="AH163" s="593"/>
      <c r="AI163" s="593"/>
      <c r="AJ163" s="593"/>
      <c r="AK163" s="593"/>
      <c r="AL163" s="593"/>
      <c r="AM163" s="593"/>
      <c r="AN163" s="593"/>
      <c r="AO163" s="593"/>
      <c r="AP163" s="593"/>
      <c r="AQ163" s="593"/>
      <c r="AR163" s="593"/>
      <c r="AS163" s="593"/>
      <c r="AT163" s="593"/>
      <c r="AU163" s="593"/>
      <c r="AV163" s="593"/>
      <c r="AW163" s="593"/>
    </row>
    <row r="164" spans="1:49" x14ac:dyDescent="0.15">
      <c r="A164" s="593"/>
      <c r="B164" s="593"/>
      <c r="C164" s="593"/>
      <c r="D164" s="593"/>
      <c r="E164" s="593"/>
      <c r="F164" s="593"/>
      <c r="G164" s="593"/>
      <c r="H164" s="593"/>
      <c r="I164" s="593"/>
      <c r="J164" s="593"/>
      <c r="K164" s="593"/>
      <c r="L164" s="593"/>
      <c r="M164" s="593"/>
      <c r="N164" s="593"/>
      <c r="O164" s="593"/>
      <c r="P164" s="593"/>
      <c r="Q164" s="593"/>
      <c r="R164" s="593"/>
      <c r="S164" s="593"/>
      <c r="T164" s="593"/>
      <c r="U164" s="593"/>
      <c r="V164" s="593"/>
      <c r="W164" s="593"/>
      <c r="X164" s="593"/>
      <c r="Y164" s="593"/>
      <c r="Z164" s="593"/>
      <c r="AA164" s="593"/>
      <c r="AB164" s="593"/>
      <c r="AC164" s="593"/>
      <c r="AD164" s="593"/>
      <c r="AE164" s="593"/>
      <c r="AF164" s="593"/>
      <c r="AG164" s="593"/>
      <c r="AH164" s="593"/>
      <c r="AI164" s="593"/>
      <c r="AJ164" s="593"/>
      <c r="AK164" s="593"/>
      <c r="AL164" s="593"/>
      <c r="AM164" s="593"/>
      <c r="AN164" s="593"/>
      <c r="AO164" s="593"/>
      <c r="AP164" s="593"/>
      <c r="AQ164" s="593"/>
      <c r="AR164" s="593"/>
      <c r="AS164" s="593"/>
      <c r="AT164" s="593"/>
      <c r="AU164" s="593"/>
      <c r="AV164" s="593"/>
      <c r="AW164" s="593"/>
    </row>
    <row r="165" spans="1:49" x14ac:dyDescent="0.15">
      <c r="A165" s="593"/>
      <c r="B165" s="593"/>
      <c r="C165" s="593"/>
      <c r="D165" s="593"/>
      <c r="E165" s="593"/>
      <c r="F165" s="593"/>
      <c r="G165" s="593"/>
      <c r="H165" s="593"/>
      <c r="I165" s="593"/>
      <c r="J165" s="593"/>
      <c r="K165" s="593"/>
      <c r="L165" s="593"/>
      <c r="M165" s="593"/>
      <c r="N165" s="593"/>
      <c r="O165" s="593"/>
      <c r="P165" s="593"/>
      <c r="Q165" s="593"/>
      <c r="R165" s="593"/>
      <c r="S165" s="593"/>
      <c r="T165" s="593"/>
      <c r="U165" s="593"/>
      <c r="V165" s="593"/>
      <c r="W165" s="593"/>
      <c r="X165" s="593"/>
      <c r="Y165" s="593"/>
      <c r="Z165" s="593"/>
      <c r="AA165" s="593"/>
      <c r="AB165" s="593"/>
      <c r="AC165" s="593"/>
      <c r="AD165" s="593"/>
      <c r="AE165" s="593"/>
      <c r="AF165" s="593"/>
      <c r="AG165" s="593"/>
      <c r="AH165" s="593"/>
      <c r="AI165" s="593"/>
      <c r="AJ165" s="593"/>
      <c r="AK165" s="593"/>
      <c r="AL165" s="593"/>
      <c r="AM165" s="593"/>
      <c r="AN165" s="593"/>
      <c r="AO165" s="593"/>
      <c r="AP165" s="593"/>
      <c r="AQ165" s="593"/>
      <c r="AR165" s="593"/>
      <c r="AS165" s="593"/>
      <c r="AT165" s="593"/>
      <c r="AU165" s="593"/>
      <c r="AV165" s="593"/>
      <c r="AW165" s="593"/>
    </row>
    <row r="166" spans="1:49" x14ac:dyDescent="0.15">
      <c r="A166" s="593"/>
      <c r="B166" s="593"/>
      <c r="C166" s="593"/>
      <c r="D166" s="593"/>
      <c r="E166" s="593"/>
      <c r="F166" s="593"/>
      <c r="G166" s="593"/>
      <c r="H166" s="593"/>
      <c r="I166" s="593"/>
      <c r="J166" s="593"/>
      <c r="K166" s="593"/>
      <c r="L166" s="593"/>
      <c r="M166" s="593"/>
      <c r="N166" s="593"/>
      <c r="O166" s="593"/>
      <c r="P166" s="593"/>
      <c r="Q166" s="593"/>
      <c r="R166" s="593"/>
      <c r="S166" s="593"/>
      <c r="T166" s="593"/>
      <c r="U166" s="593"/>
      <c r="V166" s="593"/>
      <c r="W166" s="593"/>
      <c r="X166" s="593"/>
      <c r="Y166" s="593"/>
      <c r="Z166" s="593"/>
      <c r="AA166" s="593"/>
      <c r="AB166" s="593"/>
      <c r="AC166" s="593"/>
      <c r="AD166" s="593"/>
      <c r="AE166" s="593"/>
      <c r="AF166" s="593"/>
      <c r="AG166" s="593"/>
      <c r="AH166" s="593"/>
      <c r="AI166" s="593"/>
      <c r="AJ166" s="593"/>
      <c r="AK166" s="593"/>
      <c r="AL166" s="593"/>
      <c r="AM166" s="593"/>
      <c r="AN166" s="593"/>
      <c r="AO166" s="593"/>
      <c r="AP166" s="593"/>
      <c r="AQ166" s="593"/>
      <c r="AR166" s="593"/>
      <c r="AS166" s="593"/>
      <c r="AT166" s="593"/>
      <c r="AU166" s="593"/>
      <c r="AV166" s="593"/>
      <c r="AW166" s="593"/>
    </row>
    <row r="167" spans="1:49" x14ac:dyDescent="0.15">
      <c r="A167" s="593"/>
      <c r="B167" s="593"/>
      <c r="C167" s="593"/>
      <c r="D167" s="593"/>
      <c r="E167" s="593"/>
      <c r="F167" s="593"/>
      <c r="G167" s="593"/>
      <c r="H167" s="593"/>
      <c r="I167" s="593"/>
      <c r="J167" s="593"/>
      <c r="K167" s="593"/>
      <c r="L167" s="593"/>
      <c r="M167" s="593"/>
      <c r="N167" s="593"/>
      <c r="O167" s="593"/>
      <c r="P167" s="593"/>
      <c r="Q167" s="593"/>
      <c r="R167" s="593"/>
      <c r="S167" s="593"/>
      <c r="T167" s="593"/>
      <c r="U167" s="593"/>
      <c r="V167" s="593"/>
      <c r="W167" s="593"/>
      <c r="X167" s="593"/>
      <c r="Y167" s="593"/>
      <c r="Z167" s="593"/>
      <c r="AA167" s="593"/>
      <c r="AB167" s="593"/>
      <c r="AC167" s="593"/>
      <c r="AD167" s="593"/>
      <c r="AE167" s="593"/>
      <c r="AF167" s="593"/>
      <c r="AG167" s="593"/>
      <c r="AH167" s="593"/>
      <c r="AI167" s="593"/>
      <c r="AJ167" s="593"/>
      <c r="AK167" s="593"/>
      <c r="AL167" s="593"/>
      <c r="AM167" s="593"/>
      <c r="AN167" s="593"/>
      <c r="AO167" s="593"/>
      <c r="AP167" s="593"/>
      <c r="AQ167" s="593"/>
      <c r="AR167" s="593"/>
      <c r="AS167" s="593"/>
      <c r="AT167" s="593"/>
      <c r="AU167" s="593"/>
      <c r="AV167" s="593"/>
      <c r="AW167" s="593"/>
    </row>
    <row r="168" spans="1:49" x14ac:dyDescent="0.15">
      <c r="A168" s="593"/>
      <c r="B168" s="593"/>
      <c r="C168" s="593"/>
      <c r="D168" s="593"/>
      <c r="E168" s="593"/>
      <c r="F168" s="593"/>
      <c r="G168" s="593"/>
      <c r="H168" s="593"/>
      <c r="I168" s="593"/>
      <c r="J168" s="593"/>
      <c r="K168" s="593"/>
      <c r="L168" s="593"/>
      <c r="M168" s="593"/>
      <c r="N168" s="593"/>
      <c r="O168" s="593"/>
      <c r="P168" s="593"/>
      <c r="Q168" s="593"/>
      <c r="R168" s="593"/>
      <c r="S168" s="593"/>
      <c r="T168" s="593"/>
      <c r="U168" s="593"/>
      <c r="V168" s="593"/>
      <c r="W168" s="593"/>
      <c r="X168" s="593"/>
      <c r="Y168" s="593"/>
      <c r="Z168" s="593"/>
      <c r="AA168" s="593"/>
      <c r="AB168" s="593"/>
      <c r="AC168" s="593"/>
      <c r="AD168" s="593"/>
      <c r="AE168" s="593"/>
      <c r="AF168" s="593"/>
      <c r="AG168" s="593"/>
      <c r="AH168" s="593"/>
      <c r="AI168" s="593"/>
      <c r="AJ168" s="593"/>
      <c r="AK168" s="593"/>
      <c r="AL168" s="593"/>
      <c r="AM168" s="593"/>
      <c r="AN168" s="593"/>
      <c r="AO168" s="593"/>
      <c r="AP168" s="593"/>
      <c r="AQ168" s="593"/>
      <c r="AR168" s="593"/>
      <c r="AS168" s="593"/>
      <c r="AT168" s="593"/>
      <c r="AU168" s="593"/>
      <c r="AV168" s="593"/>
      <c r="AW168" s="593"/>
    </row>
    <row r="169" spans="1:49" x14ac:dyDescent="0.15">
      <c r="A169" s="593"/>
      <c r="B169" s="593"/>
      <c r="C169" s="593"/>
      <c r="D169" s="593"/>
      <c r="E169" s="593"/>
      <c r="F169" s="593"/>
      <c r="G169" s="593"/>
      <c r="H169" s="593"/>
      <c r="I169" s="593"/>
      <c r="J169" s="593"/>
      <c r="K169" s="593"/>
      <c r="L169" s="593"/>
      <c r="M169" s="593"/>
      <c r="N169" s="593"/>
      <c r="O169" s="593"/>
      <c r="P169" s="593"/>
      <c r="Q169" s="593"/>
      <c r="R169" s="593"/>
      <c r="S169" s="593"/>
      <c r="T169" s="593"/>
      <c r="U169" s="593"/>
      <c r="V169" s="593"/>
      <c r="W169" s="593"/>
      <c r="X169" s="593"/>
      <c r="Y169" s="593"/>
      <c r="Z169" s="593"/>
      <c r="AA169" s="593"/>
      <c r="AB169" s="593"/>
      <c r="AC169" s="593"/>
      <c r="AD169" s="593"/>
      <c r="AE169" s="593"/>
      <c r="AF169" s="593"/>
      <c r="AG169" s="593"/>
      <c r="AH169" s="593"/>
      <c r="AI169" s="593"/>
      <c r="AJ169" s="593"/>
      <c r="AK169" s="593"/>
      <c r="AL169" s="593"/>
      <c r="AM169" s="593"/>
      <c r="AN169" s="593"/>
      <c r="AO169" s="593"/>
      <c r="AP169" s="593"/>
      <c r="AQ169" s="593"/>
      <c r="AR169" s="593"/>
      <c r="AS169" s="593"/>
      <c r="AT169" s="593"/>
      <c r="AU169" s="593"/>
      <c r="AV169" s="593"/>
      <c r="AW169" s="593"/>
    </row>
  </sheetData>
  <sheetProtection algorithmName="SHA-512" hashValue="6gIc9LZ45AnpnzPZPgkteWH/2ZuDIGXiIUrVTNXzSdnrD3ttO89TPMJIXdju8a0rwqsu9Y6CFVSjL4wSNvBPww==" saltValue="8SjW1Fl+xm5+sVN++Y6vrw==" spinCount="100000" sheet="1" objects="1" scenarios="1"/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BH104"/>
  <sheetViews>
    <sheetView topLeftCell="AN1" workbookViewId="0">
      <selection activeCell="AO10" sqref="AO10"/>
    </sheetView>
  </sheetViews>
  <sheetFormatPr baseColWidth="10" defaultColWidth="11.5" defaultRowHeight="13" x14ac:dyDescent="0.15"/>
  <cols>
    <col min="1" max="1" width="8.1640625" style="237" customWidth="1"/>
    <col min="3" max="3" width="6.33203125" style="17" customWidth="1"/>
    <col min="4" max="4" width="18.6640625" customWidth="1"/>
    <col min="6" max="6" width="16.1640625" style="17" customWidth="1"/>
    <col min="7" max="7" width="16.5" customWidth="1"/>
    <col min="8" max="8" width="11.5" style="329"/>
    <col min="9" max="9" width="11.5" style="22"/>
    <col min="14" max="14" width="11.5" style="337"/>
    <col min="20" max="20" width="11.5" style="337"/>
    <col min="26" max="26" width="11.5" style="337"/>
    <col min="32" max="32" width="11.5" style="337"/>
    <col min="33" max="35" width="11.5" style="344"/>
    <col min="36" max="36" width="11.5" style="345"/>
    <col min="37" max="41" width="11.5" style="344"/>
    <col min="46" max="46" width="11.5" style="337"/>
    <col min="50" max="50" width="11.5" style="344"/>
    <col min="51" max="51" width="11.5" style="337"/>
    <col min="54" max="54" width="50.6640625" customWidth="1"/>
    <col min="55" max="55" width="12.1640625" customWidth="1"/>
    <col min="56" max="56" width="10.83203125" style="344" customWidth="1"/>
    <col min="57" max="57" width="11.5" style="344"/>
    <col min="58" max="58" width="20.5" style="17" customWidth="1"/>
    <col min="59" max="59" width="88.1640625" customWidth="1"/>
  </cols>
  <sheetData>
    <row r="1" spans="1:60" ht="56" x14ac:dyDescent="0.15">
      <c r="A1" s="149" t="s">
        <v>443</v>
      </c>
      <c r="B1" s="149" t="s">
        <v>444</v>
      </c>
      <c r="C1" s="150" t="s">
        <v>445</v>
      </c>
      <c r="D1" s="151" t="s">
        <v>446</v>
      </c>
      <c r="E1" s="149" t="s">
        <v>447</v>
      </c>
      <c r="F1" s="150" t="s">
        <v>725</v>
      </c>
      <c r="G1" s="151" t="s">
        <v>448</v>
      </c>
      <c r="H1" s="152" t="s">
        <v>449</v>
      </c>
      <c r="I1" s="153" t="s">
        <v>450</v>
      </c>
      <c r="J1" s="153" t="s">
        <v>451</v>
      </c>
      <c r="K1" s="153" t="s">
        <v>452</v>
      </c>
      <c r="L1" s="153" t="s">
        <v>453</v>
      </c>
      <c r="M1" s="153" t="s">
        <v>454</v>
      </c>
      <c r="N1" s="154" t="s">
        <v>455</v>
      </c>
      <c r="O1" s="155" t="s">
        <v>456</v>
      </c>
      <c r="P1" s="155" t="s">
        <v>457</v>
      </c>
      <c r="Q1" s="155" t="s">
        <v>458</v>
      </c>
      <c r="R1" s="155" t="s">
        <v>459</v>
      </c>
      <c r="S1" s="155" t="s">
        <v>460</v>
      </c>
      <c r="T1" s="156" t="s">
        <v>461</v>
      </c>
      <c r="U1" s="157" t="s">
        <v>462</v>
      </c>
      <c r="V1" s="157" t="s">
        <v>463</v>
      </c>
      <c r="W1" s="157" t="s">
        <v>464</v>
      </c>
      <c r="X1" s="157" t="s">
        <v>465</v>
      </c>
      <c r="Y1" s="157" t="s">
        <v>466</v>
      </c>
      <c r="Z1" s="158" t="s">
        <v>467</v>
      </c>
      <c r="AA1" s="159" t="s">
        <v>468</v>
      </c>
      <c r="AB1" s="159" t="s">
        <v>469</v>
      </c>
      <c r="AC1" s="159" t="s">
        <v>470</v>
      </c>
      <c r="AD1" s="159" t="s">
        <v>471</v>
      </c>
      <c r="AE1" s="159" t="s">
        <v>472</v>
      </c>
      <c r="AF1" s="160" t="s">
        <v>473</v>
      </c>
      <c r="AG1" s="161" t="s">
        <v>474</v>
      </c>
      <c r="AH1" s="161" t="s">
        <v>475</v>
      </c>
      <c r="AI1" s="161" t="s">
        <v>476</v>
      </c>
      <c r="AJ1" s="162" t="s">
        <v>477</v>
      </c>
      <c r="AK1" s="161" t="s">
        <v>478</v>
      </c>
      <c r="AL1" s="161" t="s">
        <v>479</v>
      </c>
      <c r="AM1" s="163" t="s">
        <v>480</v>
      </c>
      <c r="AN1" s="164" t="s">
        <v>481</v>
      </c>
      <c r="AO1" s="163" t="s">
        <v>482</v>
      </c>
      <c r="AP1" s="155" t="s">
        <v>483</v>
      </c>
      <c r="AQ1" s="165" t="s">
        <v>484</v>
      </c>
      <c r="AR1" s="155" t="s">
        <v>485</v>
      </c>
      <c r="AS1" s="165" t="s">
        <v>382</v>
      </c>
      <c r="AT1" s="156" t="s">
        <v>383</v>
      </c>
      <c r="AU1" s="165" t="s">
        <v>384</v>
      </c>
      <c r="AV1" s="156" t="s">
        <v>385</v>
      </c>
      <c r="AW1" s="149" t="s">
        <v>386</v>
      </c>
      <c r="AX1" s="166" t="s">
        <v>387</v>
      </c>
      <c r="AY1" s="167" t="s">
        <v>388</v>
      </c>
      <c r="AZ1" s="166" t="s">
        <v>389</v>
      </c>
      <c r="BA1" s="166" t="s">
        <v>390</v>
      </c>
      <c r="BB1" s="149" t="s">
        <v>391</v>
      </c>
      <c r="BC1" s="150" t="s">
        <v>392</v>
      </c>
      <c r="BD1" s="166" t="s">
        <v>393</v>
      </c>
      <c r="BE1" s="166" t="s">
        <v>394</v>
      </c>
      <c r="BF1" s="150" t="s">
        <v>395</v>
      </c>
      <c r="BG1" s="166" t="s">
        <v>396</v>
      </c>
      <c r="BH1" s="149" t="s">
        <v>397</v>
      </c>
    </row>
    <row r="2" spans="1:60" x14ac:dyDescent="0.15">
      <c r="A2" s="148">
        <v>76</v>
      </c>
      <c r="B2" s="328">
        <v>43117</v>
      </c>
      <c r="C2" s="296" t="s">
        <v>398</v>
      </c>
      <c r="D2" s="297" t="s">
        <v>399</v>
      </c>
      <c r="E2" s="295">
        <v>43110</v>
      </c>
      <c r="F2" s="298" t="s">
        <v>400</v>
      </c>
      <c r="G2" s="297" t="s">
        <v>401</v>
      </c>
      <c r="H2" s="297">
        <v>79</v>
      </c>
      <c r="I2" s="174" t="s">
        <v>402</v>
      </c>
      <c r="J2" s="170">
        <v>3000</v>
      </c>
      <c r="K2" s="170">
        <v>6000</v>
      </c>
      <c r="L2" s="170">
        <v>9000</v>
      </c>
      <c r="M2" s="170">
        <v>15000</v>
      </c>
      <c r="N2" s="297"/>
      <c r="O2" s="297">
        <v>2.71</v>
      </c>
      <c r="P2" s="297">
        <v>2.36</v>
      </c>
      <c r="Q2" s="297">
        <v>1.88</v>
      </c>
      <c r="R2" s="297">
        <v>1.63</v>
      </c>
      <c r="S2" s="297">
        <v>1.51</v>
      </c>
      <c r="T2" s="297"/>
      <c r="U2" s="297">
        <v>2.57</v>
      </c>
      <c r="V2" s="297">
        <v>2.2200000000000002</v>
      </c>
      <c r="W2" s="297">
        <v>1.82</v>
      </c>
      <c r="X2" s="297">
        <v>1.6</v>
      </c>
      <c r="Y2" s="297">
        <v>1.47</v>
      </c>
      <c r="Z2" s="297"/>
      <c r="AA2" s="297"/>
      <c r="AB2" s="297"/>
      <c r="AC2" s="297"/>
      <c r="AD2" s="297"/>
      <c r="AE2" s="297"/>
      <c r="AF2" s="297"/>
      <c r="AG2" s="299" t="s">
        <v>403</v>
      </c>
      <c r="AH2" s="299" t="s">
        <v>404</v>
      </c>
      <c r="AI2" s="175">
        <v>3</v>
      </c>
      <c r="AJ2" s="175">
        <v>3</v>
      </c>
      <c r="AK2" s="240">
        <v>0.5</v>
      </c>
      <c r="AL2" s="240">
        <v>0.5</v>
      </c>
      <c r="AM2" s="299">
        <v>0</v>
      </c>
      <c r="AN2" s="299">
        <v>0</v>
      </c>
      <c r="AO2" s="299">
        <v>0</v>
      </c>
      <c r="AP2" s="299">
        <v>12</v>
      </c>
      <c r="AQ2" s="299">
        <v>0</v>
      </c>
      <c r="AR2" s="299">
        <v>0</v>
      </c>
      <c r="AS2" s="299">
        <v>0</v>
      </c>
      <c r="AT2" s="299">
        <v>0</v>
      </c>
      <c r="AU2" s="299">
        <v>0</v>
      </c>
      <c r="AV2" s="299">
        <v>0</v>
      </c>
      <c r="AW2" s="299"/>
      <c r="AX2" s="299" t="s">
        <v>405</v>
      </c>
      <c r="AY2" s="299">
        <v>12</v>
      </c>
      <c r="AZ2" s="299" t="s">
        <v>405</v>
      </c>
      <c r="BA2" s="299"/>
      <c r="BB2" s="298"/>
      <c r="BC2" s="297"/>
      <c r="BD2" s="299"/>
      <c r="BE2" s="299" t="s">
        <v>406</v>
      </c>
      <c r="BF2" s="298"/>
      <c r="BG2" t="s">
        <v>407</v>
      </c>
      <c r="BH2" t="s">
        <v>408</v>
      </c>
    </row>
    <row r="3" spans="1:60" x14ac:dyDescent="0.15">
      <c r="A3" s="148">
        <v>1160</v>
      </c>
      <c r="B3" s="328">
        <v>43117</v>
      </c>
      <c r="C3" s="296" t="s">
        <v>398</v>
      </c>
      <c r="D3" s="297" t="s">
        <v>399</v>
      </c>
      <c r="E3" s="309">
        <v>43112</v>
      </c>
      <c r="F3" s="298" t="s">
        <v>409</v>
      </c>
      <c r="G3" s="297" t="s">
        <v>410</v>
      </c>
      <c r="H3" s="297">
        <v>68.78</v>
      </c>
      <c r="I3" s="174" t="s">
        <v>402</v>
      </c>
      <c r="J3" s="176">
        <v>3000</v>
      </c>
      <c r="K3" s="176">
        <v>6000</v>
      </c>
      <c r="L3" s="176">
        <v>6000</v>
      </c>
      <c r="M3" s="176">
        <v>6000</v>
      </c>
      <c r="N3" s="297"/>
      <c r="O3" s="297">
        <v>2.42</v>
      </c>
      <c r="P3" s="297">
        <v>2.09</v>
      </c>
      <c r="Q3" s="329">
        <v>0</v>
      </c>
      <c r="R3" s="297">
        <v>0</v>
      </c>
      <c r="S3" s="297">
        <v>1.69</v>
      </c>
      <c r="T3" s="297"/>
      <c r="U3" s="297">
        <v>2.34</v>
      </c>
      <c r="V3" s="297">
        <v>2.04</v>
      </c>
      <c r="W3" s="329">
        <v>0</v>
      </c>
      <c r="X3" s="297">
        <v>0</v>
      </c>
      <c r="Y3" s="297">
        <v>1.68</v>
      </c>
      <c r="Z3" s="297"/>
      <c r="AA3" s="297"/>
      <c r="AB3" s="297"/>
      <c r="AC3" s="297"/>
      <c r="AD3" s="297"/>
      <c r="AE3" s="297"/>
      <c r="AF3" s="297"/>
      <c r="AG3" s="299" t="s">
        <v>403</v>
      </c>
      <c r="AH3" s="299" t="s">
        <v>404</v>
      </c>
      <c r="AI3" s="175">
        <v>3</v>
      </c>
      <c r="AJ3" s="175">
        <v>3</v>
      </c>
      <c r="AK3" s="240">
        <v>0.5</v>
      </c>
      <c r="AL3" s="240">
        <v>0.5</v>
      </c>
      <c r="AM3" s="299">
        <v>0</v>
      </c>
      <c r="AN3" s="299">
        <v>0</v>
      </c>
      <c r="AO3" s="299">
        <v>0</v>
      </c>
      <c r="AP3" s="299">
        <v>25</v>
      </c>
      <c r="AQ3" s="299">
        <v>0</v>
      </c>
      <c r="AR3" s="299">
        <v>0</v>
      </c>
      <c r="AS3" s="299">
        <v>0</v>
      </c>
      <c r="AT3" s="299">
        <v>0</v>
      </c>
      <c r="AU3" s="299">
        <v>0</v>
      </c>
      <c r="AV3" s="299">
        <v>0</v>
      </c>
      <c r="AW3" s="297"/>
      <c r="AX3" s="299" t="s">
        <v>405</v>
      </c>
      <c r="AY3" s="299">
        <v>24</v>
      </c>
      <c r="AZ3" s="299" t="s">
        <v>405</v>
      </c>
      <c r="BA3" s="299"/>
      <c r="BB3" s="298"/>
      <c r="BC3" s="297"/>
      <c r="BD3" s="299"/>
      <c r="BE3" s="299" t="s">
        <v>411</v>
      </c>
      <c r="BF3" s="298"/>
      <c r="BG3" t="s">
        <v>412</v>
      </c>
      <c r="BH3" t="s">
        <v>408</v>
      </c>
    </row>
    <row r="4" spans="1:60" x14ac:dyDescent="0.15">
      <c r="A4" s="148">
        <v>273</v>
      </c>
      <c r="B4" s="328">
        <v>43117</v>
      </c>
      <c r="C4" s="296" t="s">
        <v>398</v>
      </c>
      <c r="D4" s="297" t="s">
        <v>399</v>
      </c>
      <c r="E4" s="295">
        <v>43101</v>
      </c>
      <c r="F4" s="298" t="s">
        <v>413</v>
      </c>
      <c r="G4" s="297" t="s">
        <v>414</v>
      </c>
      <c r="H4" s="297">
        <v>78.099999999999994</v>
      </c>
      <c r="I4" s="174" t="s">
        <v>402</v>
      </c>
      <c r="J4" s="170">
        <v>3000</v>
      </c>
      <c r="K4" s="170">
        <v>6000</v>
      </c>
      <c r="L4" s="170">
        <v>9000</v>
      </c>
      <c r="M4" s="170">
        <v>15000</v>
      </c>
      <c r="N4" s="297"/>
      <c r="O4" s="297">
        <v>3.35</v>
      </c>
      <c r="P4" s="297">
        <v>2.95</v>
      </c>
      <c r="Q4" s="297">
        <v>2.5499999999999998</v>
      </c>
      <c r="R4" s="297">
        <v>2.35</v>
      </c>
      <c r="S4" s="297">
        <v>2.25</v>
      </c>
      <c r="T4" s="297"/>
      <c r="U4" s="297">
        <v>3.25</v>
      </c>
      <c r="V4" s="297">
        <v>2.9</v>
      </c>
      <c r="W4" s="297">
        <v>2.5</v>
      </c>
      <c r="X4" s="297">
        <v>2.35</v>
      </c>
      <c r="Y4" s="297">
        <v>2.2999999999999998</v>
      </c>
      <c r="Z4" s="297"/>
      <c r="AA4" s="297"/>
      <c r="AB4" s="297"/>
      <c r="AC4" s="297"/>
      <c r="AD4" s="297"/>
      <c r="AE4" s="297"/>
      <c r="AF4" s="297"/>
      <c r="AG4" s="299" t="s">
        <v>403</v>
      </c>
      <c r="AH4" s="299" t="s">
        <v>404</v>
      </c>
      <c r="AI4" s="175">
        <v>3</v>
      </c>
      <c r="AJ4" s="175">
        <v>3</v>
      </c>
      <c r="AK4" s="240">
        <v>0.5</v>
      </c>
      <c r="AL4" s="240">
        <v>0.5</v>
      </c>
      <c r="AM4" s="299">
        <v>0</v>
      </c>
      <c r="AN4" s="299">
        <v>0</v>
      </c>
      <c r="AO4" s="299">
        <v>14</v>
      </c>
      <c r="AP4" s="299">
        <v>0</v>
      </c>
      <c r="AQ4" s="299">
        <v>0</v>
      </c>
      <c r="AR4" s="299">
        <v>0</v>
      </c>
      <c r="AS4" s="299">
        <v>0</v>
      </c>
      <c r="AT4" s="299">
        <v>0</v>
      </c>
      <c r="AU4" s="299">
        <v>0</v>
      </c>
      <c r="AV4" s="299">
        <v>0</v>
      </c>
      <c r="AW4" s="297"/>
      <c r="AX4" s="299" t="s">
        <v>405</v>
      </c>
      <c r="AY4" s="299"/>
      <c r="AZ4" s="299" t="s">
        <v>405</v>
      </c>
      <c r="BA4" s="299"/>
      <c r="BB4" s="298"/>
      <c r="BC4" s="297"/>
      <c r="BD4" s="299"/>
      <c r="BE4" s="299" t="s">
        <v>406</v>
      </c>
      <c r="BF4" s="298" t="s">
        <v>415</v>
      </c>
      <c r="BG4" t="s">
        <v>416</v>
      </c>
      <c r="BH4" t="s">
        <v>408</v>
      </c>
    </row>
    <row r="5" spans="1:60" x14ac:dyDescent="0.15">
      <c r="A5" s="148">
        <v>1135</v>
      </c>
      <c r="B5" s="295">
        <v>43117</v>
      </c>
      <c r="C5" s="296" t="s">
        <v>398</v>
      </c>
      <c r="D5" s="297" t="s">
        <v>399</v>
      </c>
      <c r="E5" s="295">
        <v>43101</v>
      </c>
      <c r="F5" s="298" t="s">
        <v>417</v>
      </c>
      <c r="G5" s="297" t="s">
        <v>418</v>
      </c>
      <c r="H5" s="297">
        <v>70</v>
      </c>
      <c r="I5" s="174" t="s">
        <v>402</v>
      </c>
      <c r="J5" s="170">
        <v>3000</v>
      </c>
      <c r="K5" s="170">
        <v>9000</v>
      </c>
      <c r="L5" s="170">
        <v>12000</v>
      </c>
      <c r="M5" s="170">
        <v>18000</v>
      </c>
      <c r="N5" s="297"/>
      <c r="O5" s="297">
        <v>2.8</v>
      </c>
      <c r="P5" s="297">
        <v>2.5</v>
      </c>
      <c r="Q5" s="297">
        <v>2.1</v>
      </c>
      <c r="R5" s="297">
        <v>2.0499999999999998</v>
      </c>
      <c r="S5" s="297">
        <v>1.88</v>
      </c>
      <c r="T5" s="297"/>
      <c r="U5" s="297">
        <v>2.69</v>
      </c>
      <c r="V5" s="297">
        <v>2.2999999999999998</v>
      </c>
      <c r="W5" s="297">
        <v>1.95</v>
      </c>
      <c r="X5" s="297">
        <v>1.64</v>
      </c>
      <c r="Y5" s="297">
        <v>1.61</v>
      </c>
      <c r="Z5" s="297"/>
      <c r="AA5" s="297"/>
      <c r="AB5" s="297"/>
      <c r="AC5" s="297"/>
      <c r="AD5" s="297"/>
      <c r="AE5" s="297"/>
      <c r="AF5" s="297"/>
      <c r="AG5" s="299" t="s">
        <v>403</v>
      </c>
      <c r="AH5" s="299" t="s">
        <v>404</v>
      </c>
      <c r="AI5" s="175">
        <v>3</v>
      </c>
      <c r="AJ5" s="175">
        <v>3</v>
      </c>
      <c r="AK5" s="240">
        <v>0.5</v>
      </c>
      <c r="AL5" s="240">
        <v>0.5</v>
      </c>
      <c r="AM5" s="299">
        <v>0</v>
      </c>
      <c r="AN5" s="299">
        <v>0</v>
      </c>
      <c r="AO5" s="299">
        <v>0</v>
      </c>
      <c r="AP5" s="299">
        <v>16</v>
      </c>
      <c r="AQ5" s="299">
        <v>0</v>
      </c>
      <c r="AR5" s="299">
        <v>0</v>
      </c>
      <c r="AS5" s="299">
        <v>0</v>
      </c>
      <c r="AT5" s="299">
        <v>0</v>
      </c>
      <c r="AU5" s="299">
        <v>0</v>
      </c>
      <c r="AV5" s="299">
        <v>0</v>
      </c>
      <c r="AW5" s="299">
        <v>12</v>
      </c>
      <c r="AX5" s="299" t="s">
        <v>403</v>
      </c>
      <c r="AY5" s="299"/>
      <c r="AZ5" s="299" t="s">
        <v>405</v>
      </c>
      <c r="BA5" s="299"/>
      <c r="BB5" s="298"/>
      <c r="BC5" s="297"/>
      <c r="BD5" s="299"/>
      <c r="BE5" s="299" t="s">
        <v>406</v>
      </c>
      <c r="BF5" s="298"/>
      <c r="BG5" t="s">
        <v>419</v>
      </c>
      <c r="BH5" t="s">
        <v>408</v>
      </c>
    </row>
    <row r="6" spans="1:60" x14ac:dyDescent="0.15">
      <c r="A6" s="148">
        <v>883</v>
      </c>
      <c r="B6" s="295">
        <v>43117</v>
      </c>
      <c r="C6" s="296" t="s">
        <v>398</v>
      </c>
      <c r="D6" s="297" t="s">
        <v>399</v>
      </c>
      <c r="E6" s="295">
        <v>43009</v>
      </c>
      <c r="F6" s="298" t="s">
        <v>420</v>
      </c>
      <c r="G6" s="297" t="s">
        <v>421</v>
      </c>
      <c r="H6" s="297">
        <v>73.91</v>
      </c>
      <c r="I6" s="174" t="s">
        <v>402</v>
      </c>
      <c r="J6" s="176">
        <v>6000</v>
      </c>
      <c r="K6" s="176">
        <v>9000</v>
      </c>
      <c r="L6" s="176">
        <v>9000</v>
      </c>
      <c r="M6" s="176">
        <v>9000</v>
      </c>
      <c r="N6" s="297"/>
      <c r="O6" s="297">
        <v>2.54</v>
      </c>
      <c r="P6" s="297">
        <v>1.92</v>
      </c>
      <c r="Q6" s="329">
        <v>0</v>
      </c>
      <c r="R6" s="297">
        <v>0</v>
      </c>
      <c r="S6" s="297">
        <v>1.53</v>
      </c>
      <c r="T6" s="297"/>
      <c r="U6" s="297">
        <v>2.39</v>
      </c>
      <c r="V6" s="297">
        <v>1.83</v>
      </c>
      <c r="W6" s="329">
        <v>0</v>
      </c>
      <c r="X6" s="297">
        <v>0</v>
      </c>
      <c r="Y6" s="297">
        <v>1.53</v>
      </c>
      <c r="Z6" s="297"/>
      <c r="AA6" s="297"/>
      <c r="AB6" s="297"/>
      <c r="AC6" s="297"/>
      <c r="AD6" s="297"/>
      <c r="AE6" s="297"/>
      <c r="AF6" s="297"/>
      <c r="AG6" s="299" t="s">
        <v>403</v>
      </c>
      <c r="AH6" s="299" t="s">
        <v>404</v>
      </c>
      <c r="AI6" s="175">
        <v>3</v>
      </c>
      <c r="AJ6" s="175">
        <v>3</v>
      </c>
      <c r="AK6" s="240">
        <v>0.5</v>
      </c>
      <c r="AL6" s="240">
        <v>0.5</v>
      </c>
      <c r="AM6" s="299">
        <v>0</v>
      </c>
      <c r="AN6" s="299">
        <v>0</v>
      </c>
      <c r="AO6" s="299">
        <v>0</v>
      </c>
      <c r="AP6" s="299">
        <v>0</v>
      </c>
      <c r="AQ6" s="299">
        <v>0</v>
      </c>
      <c r="AR6" s="299">
        <v>20</v>
      </c>
      <c r="AS6" s="299">
        <v>0</v>
      </c>
      <c r="AT6" s="299">
        <v>0</v>
      </c>
      <c r="AU6" s="299">
        <v>0</v>
      </c>
      <c r="AV6" s="299">
        <v>0</v>
      </c>
      <c r="AW6" s="297"/>
      <c r="AX6" s="299" t="s">
        <v>405</v>
      </c>
      <c r="AY6" s="299"/>
      <c r="AZ6" s="299" t="s">
        <v>405</v>
      </c>
      <c r="BA6" s="299"/>
      <c r="BB6" s="298"/>
      <c r="BC6" s="297"/>
      <c r="BD6" s="299"/>
      <c r="BE6" s="299" t="s">
        <v>422</v>
      </c>
      <c r="BF6" s="298"/>
      <c r="BG6" t="s">
        <v>423</v>
      </c>
      <c r="BH6" t="s">
        <v>408</v>
      </c>
    </row>
    <row r="7" spans="1:60" x14ac:dyDescent="0.15">
      <c r="A7" s="148">
        <v>157</v>
      </c>
      <c r="B7" s="330">
        <v>43117</v>
      </c>
      <c r="C7" s="296" t="s">
        <v>398</v>
      </c>
      <c r="D7" s="297" t="s">
        <v>399</v>
      </c>
      <c r="E7" s="295">
        <v>43102</v>
      </c>
      <c r="F7" s="298" t="s">
        <v>424</v>
      </c>
      <c r="G7" s="297" t="s">
        <v>425</v>
      </c>
      <c r="H7" s="297">
        <v>76.2</v>
      </c>
      <c r="I7" s="174" t="s">
        <v>402</v>
      </c>
      <c r="J7" s="170">
        <v>6000</v>
      </c>
      <c r="K7" s="170">
        <v>6000</v>
      </c>
      <c r="L7" s="170">
        <v>6000</v>
      </c>
      <c r="M7" s="170">
        <v>6000</v>
      </c>
      <c r="N7" s="297"/>
      <c r="O7" s="297">
        <v>2.44</v>
      </c>
      <c r="P7" s="329">
        <v>0</v>
      </c>
      <c r="Q7" s="297">
        <v>0</v>
      </c>
      <c r="R7" s="297">
        <v>0</v>
      </c>
      <c r="S7" s="297">
        <v>1.77</v>
      </c>
      <c r="T7" s="297"/>
      <c r="U7" s="297">
        <v>2.44</v>
      </c>
      <c r="V7" s="329">
        <v>0</v>
      </c>
      <c r="W7" s="297">
        <v>0</v>
      </c>
      <c r="X7" s="297">
        <v>0</v>
      </c>
      <c r="Y7" s="297">
        <v>1.77</v>
      </c>
      <c r="Z7" s="297"/>
      <c r="AA7" s="297"/>
      <c r="AB7" s="297"/>
      <c r="AC7" s="297"/>
      <c r="AD7" s="297"/>
      <c r="AE7" s="297"/>
      <c r="AF7" s="297"/>
      <c r="AG7" s="299" t="s">
        <v>405</v>
      </c>
      <c r="AH7" s="297"/>
      <c r="AI7" s="175">
        <v>3</v>
      </c>
      <c r="AJ7" s="175">
        <v>3</v>
      </c>
      <c r="AK7" s="240">
        <v>0.5</v>
      </c>
      <c r="AL7" s="240">
        <v>0.5</v>
      </c>
      <c r="AM7" s="299">
        <v>0</v>
      </c>
      <c r="AN7" s="299">
        <v>0</v>
      </c>
      <c r="AO7" s="299">
        <v>0</v>
      </c>
      <c r="AP7" s="299">
        <v>15</v>
      </c>
      <c r="AQ7" s="299">
        <v>0</v>
      </c>
      <c r="AR7" s="299">
        <v>0</v>
      </c>
      <c r="AS7" s="299">
        <v>0</v>
      </c>
      <c r="AT7" s="299">
        <v>0</v>
      </c>
      <c r="AU7" s="299">
        <v>0</v>
      </c>
      <c r="AV7" s="299">
        <v>0</v>
      </c>
      <c r="AW7" s="297"/>
      <c r="AX7" s="299" t="s">
        <v>405</v>
      </c>
      <c r="AY7" s="299">
        <v>12</v>
      </c>
      <c r="AZ7" s="299" t="s">
        <v>405</v>
      </c>
      <c r="BA7" s="299"/>
      <c r="BB7" s="298"/>
      <c r="BC7" s="297"/>
      <c r="BD7" s="299"/>
      <c r="BE7" s="299" t="s">
        <v>406</v>
      </c>
      <c r="BF7" s="298"/>
      <c r="BG7" s="301" t="s">
        <v>426</v>
      </c>
      <c r="BH7" t="s">
        <v>408</v>
      </c>
    </row>
    <row r="8" spans="1:60" x14ac:dyDescent="0.15">
      <c r="A8" s="148">
        <v>171</v>
      </c>
      <c r="B8" s="330">
        <v>43117</v>
      </c>
      <c r="C8" s="296" t="s">
        <v>398</v>
      </c>
      <c r="D8" s="297" t="s">
        <v>399</v>
      </c>
      <c r="E8" s="295">
        <v>42754</v>
      </c>
      <c r="F8" s="298" t="s">
        <v>427</v>
      </c>
      <c r="G8" s="297" t="s">
        <v>428</v>
      </c>
      <c r="H8" s="297">
        <v>65.900000000000006</v>
      </c>
      <c r="I8" s="174" t="s">
        <v>402</v>
      </c>
      <c r="J8" s="170">
        <v>3000</v>
      </c>
      <c r="K8" s="170">
        <v>6000</v>
      </c>
      <c r="L8" s="170">
        <v>9000</v>
      </c>
      <c r="M8" s="170">
        <v>15000</v>
      </c>
      <c r="N8" s="297"/>
      <c r="O8" s="297">
        <v>2.5299999999999998</v>
      </c>
      <c r="P8" s="297">
        <v>2.21</v>
      </c>
      <c r="Q8" s="297">
        <v>1.84</v>
      </c>
      <c r="R8" s="297">
        <v>1.65</v>
      </c>
      <c r="S8" s="297">
        <v>1.6</v>
      </c>
      <c r="T8" s="297"/>
      <c r="U8" s="297">
        <v>2.39</v>
      </c>
      <c r="V8" s="297">
        <v>2.11</v>
      </c>
      <c r="W8" s="297">
        <v>1.79</v>
      </c>
      <c r="X8" s="297">
        <v>1.62</v>
      </c>
      <c r="Y8" s="297">
        <v>1.58</v>
      </c>
      <c r="Z8" s="297"/>
      <c r="AA8" s="297"/>
      <c r="AB8" s="297"/>
      <c r="AC8" s="297"/>
      <c r="AD8" s="297"/>
      <c r="AE8" s="297"/>
      <c r="AF8" s="297"/>
      <c r="AG8" s="299" t="s">
        <v>403</v>
      </c>
      <c r="AH8" s="299" t="s">
        <v>404</v>
      </c>
      <c r="AI8" s="175">
        <v>3</v>
      </c>
      <c r="AJ8" s="175">
        <v>3</v>
      </c>
      <c r="AK8" s="240">
        <v>0.5</v>
      </c>
      <c r="AL8" s="240">
        <v>0.5</v>
      </c>
      <c r="AM8" s="299">
        <v>0</v>
      </c>
      <c r="AN8" s="299">
        <v>0</v>
      </c>
      <c r="AO8" s="299">
        <v>15</v>
      </c>
      <c r="AP8" s="299">
        <v>0</v>
      </c>
      <c r="AQ8" s="299">
        <v>0</v>
      </c>
      <c r="AR8" s="299">
        <v>0</v>
      </c>
      <c r="AS8" s="299">
        <v>0</v>
      </c>
      <c r="AT8" s="299">
        <v>0</v>
      </c>
      <c r="AU8" s="299">
        <v>0</v>
      </c>
      <c r="AV8" s="299">
        <v>0</v>
      </c>
      <c r="AW8" s="297"/>
      <c r="AX8" s="299" t="s">
        <v>405</v>
      </c>
      <c r="AY8" s="299"/>
      <c r="AZ8" s="299" t="s">
        <v>405</v>
      </c>
      <c r="BA8" s="299"/>
      <c r="BB8" s="298" t="s">
        <v>429</v>
      </c>
      <c r="BC8" s="297"/>
      <c r="BD8" s="299"/>
      <c r="BE8" s="299" t="s">
        <v>406</v>
      </c>
      <c r="BF8" s="298"/>
      <c r="BG8" t="s">
        <v>430</v>
      </c>
      <c r="BH8" t="s">
        <v>408</v>
      </c>
    </row>
    <row r="9" spans="1:60" x14ac:dyDescent="0.15">
      <c r="A9" s="148">
        <v>312</v>
      </c>
      <c r="B9" s="330">
        <v>43117</v>
      </c>
      <c r="C9" s="296" t="s">
        <v>398</v>
      </c>
      <c r="D9" s="297" t="s">
        <v>399</v>
      </c>
      <c r="E9" s="295">
        <v>43101</v>
      </c>
      <c r="F9" s="297" t="s">
        <v>431</v>
      </c>
      <c r="G9" s="297" t="s">
        <v>421</v>
      </c>
      <c r="H9" s="297">
        <v>75.05</v>
      </c>
      <c r="I9" s="174" t="s">
        <v>402</v>
      </c>
      <c r="J9" s="170">
        <v>3000</v>
      </c>
      <c r="K9" s="170">
        <v>6000</v>
      </c>
      <c r="L9" s="170">
        <v>9000</v>
      </c>
      <c r="M9" s="170">
        <v>15000</v>
      </c>
      <c r="N9" s="297"/>
      <c r="O9" s="297">
        <v>2.2109999999999999</v>
      </c>
      <c r="P9" s="297">
        <v>1.9570000000000001</v>
      </c>
      <c r="Q9" s="297">
        <v>1.643</v>
      </c>
      <c r="R9" s="297">
        <v>1.478</v>
      </c>
      <c r="S9" s="297">
        <v>1.4339999999999999</v>
      </c>
      <c r="T9" s="297"/>
      <c r="U9" s="297">
        <v>1.9530000000000001</v>
      </c>
      <c r="V9" s="297">
        <v>1.744</v>
      </c>
      <c r="W9" s="297">
        <v>1.4890000000000001</v>
      </c>
      <c r="X9" s="297">
        <v>1.3540000000000001</v>
      </c>
      <c r="Y9" s="297">
        <v>1.319</v>
      </c>
      <c r="Z9" s="297"/>
      <c r="AA9" s="297"/>
      <c r="AB9" s="297"/>
      <c r="AC9" s="297"/>
      <c r="AD9" s="297"/>
      <c r="AE9" s="297"/>
      <c r="AF9" s="297"/>
      <c r="AG9" s="299" t="s">
        <v>403</v>
      </c>
      <c r="AH9" s="299" t="s">
        <v>404</v>
      </c>
      <c r="AI9" s="175">
        <v>3</v>
      </c>
      <c r="AJ9" s="175">
        <v>3</v>
      </c>
      <c r="AK9" s="240">
        <v>0.5</v>
      </c>
      <c r="AL9" s="240">
        <v>0.5</v>
      </c>
      <c r="AM9" s="299">
        <v>0</v>
      </c>
      <c r="AN9" s="299">
        <v>0</v>
      </c>
      <c r="AO9" s="299">
        <v>0</v>
      </c>
      <c r="AP9" s="299">
        <v>0</v>
      </c>
      <c r="AQ9" s="299">
        <v>0</v>
      </c>
      <c r="AR9" s="299">
        <v>0</v>
      </c>
      <c r="AS9" s="299">
        <v>0</v>
      </c>
      <c r="AT9" s="299">
        <v>0</v>
      </c>
      <c r="AU9" s="299">
        <v>0</v>
      </c>
      <c r="AV9" s="299">
        <v>0</v>
      </c>
      <c r="AW9" s="297"/>
      <c r="AX9" s="299" t="s">
        <v>405</v>
      </c>
      <c r="AY9" s="299"/>
      <c r="AZ9" s="299" t="s">
        <v>405</v>
      </c>
      <c r="BA9" s="299"/>
      <c r="BB9" s="298" t="s">
        <v>432</v>
      </c>
      <c r="BC9" s="297" t="s">
        <v>433</v>
      </c>
      <c r="BD9" s="299">
        <v>50</v>
      </c>
      <c r="BE9" s="299" t="s">
        <v>422</v>
      </c>
      <c r="BF9" s="298"/>
      <c r="BG9" t="s">
        <v>353</v>
      </c>
      <c r="BH9" t="s">
        <v>408</v>
      </c>
    </row>
    <row r="10" spans="1:60" x14ac:dyDescent="0.15">
      <c r="A10" s="148">
        <v>567</v>
      </c>
      <c r="B10" s="330">
        <v>43111</v>
      </c>
      <c r="C10" s="296" t="s">
        <v>398</v>
      </c>
      <c r="D10" s="297" t="s">
        <v>399</v>
      </c>
      <c r="E10" s="295">
        <v>43101</v>
      </c>
      <c r="F10" s="298" t="s">
        <v>354</v>
      </c>
      <c r="G10" s="297" t="s">
        <v>355</v>
      </c>
      <c r="H10" s="297">
        <v>70</v>
      </c>
      <c r="I10" s="174" t="s">
        <v>402</v>
      </c>
      <c r="J10" s="176">
        <v>6000</v>
      </c>
      <c r="K10" s="176">
        <v>9000</v>
      </c>
      <c r="L10" s="176">
        <v>9000</v>
      </c>
      <c r="M10" s="176">
        <v>9000</v>
      </c>
      <c r="N10" s="331"/>
      <c r="O10" s="297">
        <v>2.4</v>
      </c>
      <c r="P10" s="297">
        <v>1.95</v>
      </c>
      <c r="Q10" s="329">
        <v>0</v>
      </c>
      <c r="R10" s="297">
        <v>0</v>
      </c>
      <c r="S10" s="297">
        <v>1.45</v>
      </c>
      <c r="T10" s="297"/>
      <c r="U10" s="297">
        <v>2.2000000000000002</v>
      </c>
      <c r="V10" s="297">
        <v>1.75</v>
      </c>
      <c r="W10" s="329">
        <v>0</v>
      </c>
      <c r="X10" s="297">
        <v>0</v>
      </c>
      <c r="Y10" s="297">
        <v>1.35</v>
      </c>
      <c r="Z10" s="297"/>
      <c r="AA10" s="297"/>
      <c r="AB10" s="297"/>
      <c r="AC10" s="297"/>
      <c r="AD10" s="297"/>
      <c r="AE10" s="297"/>
      <c r="AF10" s="297"/>
      <c r="AG10" s="299" t="s">
        <v>403</v>
      </c>
      <c r="AH10" s="299" t="s">
        <v>404</v>
      </c>
      <c r="AI10" s="175">
        <v>3</v>
      </c>
      <c r="AJ10" s="175">
        <v>3</v>
      </c>
      <c r="AK10" s="240">
        <v>0.5</v>
      </c>
      <c r="AL10" s="240">
        <v>0.5</v>
      </c>
      <c r="AM10" s="299">
        <v>0</v>
      </c>
      <c r="AN10" s="299">
        <v>0</v>
      </c>
      <c r="AO10" s="299">
        <v>0</v>
      </c>
      <c r="AP10" s="299">
        <v>13</v>
      </c>
      <c r="AQ10" s="299">
        <v>0</v>
      </c>
      <c r="AR10" s="299">
        <v>0</v>
      </c>
      <c r="AS10" s="299">
        <v>0</v>
      </c>
      <c r="AT10" s="299">
        <v>0</v>
      </c>
      <c r="AU10" s="299">
        <v>0</v>
      </c>
      <c r="AV10" s="299">
        <v>0</v>
      </c>
      <c r="AW10" s="297"/>
      <c r="AX10" s="299" t="s">
        <v>405</v>
      </c>
      <c r="AY10" s="299">
        <v>12</v>
      </c>
      <c r="AZ10" s="299" t="s">
        <v>405</v>
      </c>
      <c r="BA10" s="299"/>
      <c r="BB10" s="298"/>
      <c r="BC10" s="298"/>
      <c r="BD10" s="299"/>
      <c r="BE10" s="299" t="s">
        <v>406</v>
      </c>
      <c r="BF10" s="298"/>
      <c r="BG10" t="s">
        <v>356</v>
      </c>
      <c r="BH10" t="s">
        <v>357</v>
      </c>
    </row>
    <row r="11" spans="1:60" x14ac:dyDescent="0.15">
      <c r="A11" s="148">
        <v>233</v>
      </c>
      <c r="B11" s="330">
        <v>43117</v>
      </c>
      <c r="C11" s="296" t="s">
        <v>398</v>
      </c>
      <c r="D11" s="297" t="s">
        <v>399</v>
      </c>
      <c r="E11" s="309" t="s">
        <v>358</v>
      </c>
      <c r="F11" s="298" t="s">
        <v>359</v>
      </c>
      <c r="G11" s="297" t="s">
        <v>360</v>
      </c>
      <c r="H11" s="297">
        <v>71.099999999999994</v>
      </c>
      <c r="I11" s="174" t="s">
        <v>402</v>
      </c>
      <c r="J11" s="176">
        <v>6000</v>
      </c>
      <c r="K11" s="176">
        <v>9000</v>
      </c>
      <c r="L11" s="176">
        <v>9000</v>
      </c>
      <c r="M11" s="176">
        <v>9000</v>
      </c>
      <c r="N11" s="297"/>
      <c r="O11" s="297">
        <v>1.8149999999999999</v>
      </c>
      <c r="P11" s="297">
        <v>1.355</v>
      </c>
      <c r="Q11" s="329">
        <v>0</v>
      </c>
      <c r="R11" s="297">
        <v>0</v>
      </c>
      <c r="S11" s="297">
        <v>1.163</v>
      </c>
      <c r="T11" s="297"/>
      <c r="U11" s="297">
        <v>1.84</v>
      </c>
      <c r="V11" s="297">
        <v>1.35</v>
      </c>
      <c r="W11" s="329">
        <v>0</v>
      </c>
      <c r="X11" s="297">
        <v>0</v>
      </c>
      <c r="Y11" s="297">
        <v>1.163</v>
      </c>
      <c r="Z11" s="297"/>
      <c r="AA11" s="297"/>
      <c r="AB11" s="297"/>
      <c r="AC11" s="297"/>
      <c r="AD11" s="297"/>
      <c r="AE11" s="297"/>
      <c r="AF11" s="297"/>
      <c r="AG11" s="299" t="s">
        <v>403</v>
      </c>
      <c r="AH11" s="299" t="s">
        <v>404</v>
      </c>
      <c r="AI11" s="175">
        <v>3</v>
      </c>
      <c r="AJ11" s="175">
        <v>3</v>
      </c>
      <c r="AK11" s="240">
        <v>0.5</v>
      </c>
      <c r="AL11" s="240">
        <v>0.5</v>
      </c>
      <c r="AM11" s="299">
        <v>0</v>
      </c>
      <c r="AN11" s="299">
        <v>0</v>
      </c>
      <c r="AO11" s="299">
        <v>10</v>
      </c>
      <c r="AP11" s="299">
        <v>0</v>
      </c>
      <c r="AQ11" s="299">
        <v>0</v>
      </c>
      <c r="AR11" s="299">
        <v>0</v>
      </c>
      <c r="AS11" s="299">
        <v>0</v>
      </c>
      <c r="AT11" s="299">
        <v>0</v>
      </c>
      <c r="AU11" s="299">
        <v>0</v>
      </c>
      <c r="AV11" s="299">
        <v>0</v>
      </c>
      <c r="AW11" s="299"/>
      <c r="AX11" s="299" t="s">
        <v>405</v>
      </c>
      <c r="AY11" s="299"/>
      <c r="AZ11" s="299" t="s">
        <v>405</v>
      </c>
      <c r="BA11" s="299"/>
      <c r="BB11" s="298"/>
      <c r="BC11" s="297"/>
      <c r="BD11" s="299"/>
      <c r="BE11" s="299" t="s">
        <v>422</v>
      </c>
      <c r="BF11" s="298"/>
      <c r="BG11" t="s">
        <v>361</v>
      </c>
      <c r="BH11" t="s">
        <v>357</v>
      </c>
    </row>
    <row r="12" spans="1:60" x14ac:dyDescent="0.15">
      <c r="A12" s="148">
        <v>778</v>
      </c>
      <c r="B12" s="330">
        <v>43088</v>
      </c>
      <c r="C12" s="296" t="s">
        <v>398</v>
      </c>
      <c r="D12" s="297" t="s">
        <v>399</v>
      </c>
      <c r="E12" s="309">
        <v>43115</v>
      </c>
      <c r="F12" s="298" t="s">
        <v>362</v>
      </c>
      <c r="G12" s="297" t="s">
        <v>363</v>
      </c>
      <c r="H12" s="297">
        <v>70.099999999999994</v>
      </c>
      <c r="I12" s="174" t="s">
        <v>402</v>
      </c>
      <c r="J12" s="170">
        <v>3000</v>
      </c>
      <c r="K12" s="170">
        <v>6000</v>
      </c>
      <c r="L12" s="170">
        <v>9000</v>
      </c>
      <c r="M12" s="170">
        <v>15000</v>
      </c>
      <c r="N12" s="297"/>
      <c r="O12" s="297">
        <v>2.95</v>
      </c>
      <c r="P12" s="297">
        <v>2.63</v>
      </c>
      <c r="Q12" s="297">
        <v>2.25</v>
      </c>
      <c r="R12" s="297">
        <v>2.04</v>
      </c>
      <c r="S12" s="297">
        <v>1.99</v>
      </c>
      <c r="T12" s="297"/>
      <c r="U12" s="297">
        <v>2.78</v>
      </c>
      <c r="V12" s="297">
        <v>2.5099999999999998</v>
      </c>
      <c r="W12" s="297">
        <v>2.19</v>
      </c>
      <c r="X12" s="297">
        <v>2.0099999999999998</v>
      </c>
      <c r="Y12" s="297">
        <v>1.97</v>
      </c>
      <c r="Z12" s="297"/>
      <c r="AA12" s="297">
        <v>2.9</v>
      </c>
      <c r="AB12" s="297">
        <v>2.59</v>
      </c>
      <c r="AC12" s="297">
        <v>2.23</v>
      </c>
      <c r="AD12" s="297">
        <v>2.0299999999999998</v>
      </c>
      <c r="AE12" s="297">
        <v>1.99</v>
      </c>
      <c r="AF12" s="297"/>
      <c r="AG12" s="299" t="s">
        <v>403</v>
      </c>
      <c r="AH12" s="299" t="s">
        <v>404</v>
      </c>
      <c r="AI12" s="175">
        <v>3</v>
      </c>
      <c r="AJ12" s="175">
        <v>3</v>
      </c>
      <c r="AK12" s="240">
        <v>0.5</v>
      </c>
      <c r="AL12" s="240">
        <v>0.5</v>
      </c>
      <c r="AM12" s="299">
        <v>0</v>
      </c>
      <c r="AN12" s="299">
        <v>0</v>
      </c>
      <c r="AO12" s="299">
        <v>0</v>
      </c>
      <c r="AP12" s="299">
        <v>20</v>
      </c>
      <c r="AQ12" s="299">
        <v>0</v>
      </c>
      <c r="AR12" s="299">
        <v>0</v>
      </c>
      <c r="AS12" s="299">
        <v>0</v>
      </c>
      <c r="AT12" s="299">
        <v>0</v>
      </c>
      <c r="AU12" s="299">
        <v>0</v>
      </c>
      <c r="AV12" s="299">
        <v>0</v>
      </c>
      <c r="AW12" s="297"/>
      <c r="AX12" s="299" t="s">
        <v>405</v>
      </c>
      <c r="AY12" s="299">
        <v>24</v>
      </c>
      <c r="AZ12" s="299" t="s">
        <v>405</v>
      </c>
      <c r="BA12" s="299"/>
      <c r="BB12" s="298" t="s">
        <v>364</v>
      </c>
      <c r="BC12" s="297" t="s">
        <v>365</v>
      </c>
      <c r="BD12" s="299">
        <v>25</v>
      </c>
      <c r="BE12" s="299" t="s">
        <v>422</v>
      </c>
      <c r="BF12" s="298"/>
      <c r="BG12" t="s">
        <v>430</v>
      </c>
      <c r="BH12" t="s">
        <v>408</v>
      </c>
    </row>
    <row r="13" spans="1:60" x14ac:dyDescent="0.15">
      <c r="A13" s="148">
        <v>1126</v>
      </c>
      <c r="B13" s="330">
        <v>43088</v>
      </c>
      <c r="C13" s="296" t="s">
        <v>398</v>
      </c>
      <c r="D13" s="297" t="s">
        <v>399</v>
      </c>
      <c r="E13" s="309">
        <v>42948</v>
      </c>
      <c r="F13" s="297" t="s">
        <v>366</v>
      </c>
      <c r="G13" s="297" t="s">
        <v>367</v>
      </c>
      <c r="H13" s="332">
        <v>77.84</v>
      </c>
      <c r="I13" s="174" t="s">
        <v>402</v>
      </c>
      <c r="J13" s="170">
        <v>3000</v>
      </c>
      <c r="K13" s="170">
        <v>6000</v>
      </c>
      <c r="L13" s="170">
        <v>9000</v>
      </c>
      <c r="M13" s="170">
        <v>9000</v>
      </c>
      <c r="N13" s="332"/>
      <c r="O13" s="332">
        <v>3.105</v>
      </c>
      <c r="P13" s="332">
        <v>2.64</v>
      </c>
      <c r="Q13" s="332">
        <v>2.0990000000000002</v>
      </c>
      <c r="R13" s="329">
        <v>0</v>
      </c>
      <c r="S13" s="332">
        <v>1.8540000000000001</v>
      </c>
      <c r="T13" s="332"/>
      <c r="U13" s="332">
        <v>2.9039999999999999</v>
      </c>
      <c r="V13" s="332">
        <v>2.4689999999999999</v>
      </c>
      <c r="W13" s="332">
        <v>2.036</v>
      </c>
      <c r="X13" s="329">
        <v>0</v>
      </c>
      <c r="Y13" s="332">
        <v>1.8360000000000001</v>
      </c>
      <c r="Z13" s="332"/>
      <c r="AA13" s="332"/>
      <c r="AB13" s="332"/>
      <c r="AC13" s="332"/>
      <c r="AD13" s="332"/>
      <c r="AE13" s="332"/>
      <c r="AF13" s="332"/>
      <c r="AG13" s="333" t="s">
        <v>403</v>
      </c>
      <c r="AH13" s="333" t="s">
        <v>404</v>
      </c>
      <c r="AI13" s="175">
        <v>3</v>
      </c>
      <c r="AJ13" s="175">
        <v>3</v>
      </c>
      <c r="AK13" s="240">
        <v>0.5</v>
      </c>
      <c r="AL13" s="240">
        <v>0.5</v>
      </c>
      <c r="AM13" s="299">
        <v>0</v>
      </c>
      <c r="AN13" s="299">
        <v>0</v>
      </c>
      <c r="AO13" s="299">
        <v>0</v>
      </c>
      <c r="AP13" s="299">
        <v>17</v>
      </c>
      <c r="AQ13" s="299">
        <v>0</v>
      </c>
      <c r="AR13" s="299">
        <v>0</v>
      </c>
      <c r="AS13" s="299">
        <v>0</v>
      </c>
      <c r="AT13" s="299">
        <v>0</v>
      </c>
      <c r="AU13" s="299">
        <v>0</v>
      </c>
      <c r="AV13" s="299">
        <v>0</v>
      </c>
      <c r="AW13" s="299"/>
      <c r="AX13" s="299" t="s">
        <v>405</v>
      </c>
      <c r="AY13" s="299">
        <v>12</v>
      </c>
      <c r="AZ13" s="299" t="s">
        <v>405</v>
      </c>
      <c r="BA13" s="299"/>
      <c r="BB13" s="298"/>
      <c r="BC13" s="297"/>
      <c r="BD13" s="299"/>
      <c r="BE13" s="299" t="s">
        <v>422</v>
      </c>
      <c r="BF13" s="298"/>
      <c r="BG13" t="s">
        <v>430</v>
      </c>
      <c r="BH13" t="s">
        <v>368</v>
      </c>
    </row>
    <row r="14" spans="1:60" x14ac:dyDescent="0.15">
      <c r="A14" s="148">
        <v>1260</v>
      </c>
      <c r="B14" s="328">
        <v>43117</v>
      </c>
      <c r="C14" s="296" t="s">
        <v>398</v>
      </c>
      <c r="D14" s="297" t="s">
        <v>399</v>
      </c>
      <c r="E14" s="295">
        <v>43101</v>
      </c>
      <c r="F14" s="298" t="s">
        <v>987</v>
      </c>
      <c r="G14" s="297" t="s">
        <v>369</v>
      </c>
      <c r="H14" s="297">
        <v>78.099999999999994</v>
      </c>
      <c r="I14" s="174" t="s">
        <v>402</v>
      </c>
      <c r="J14" s="170">
        <v>3000</v>
      </c>
      <c r="K14" s="170">
        <v>6000</v>
      </c>
      <c r="L14" s="170">
        <v>9000</v>
      </c>
      <c r="M14" s="170">
        <v>15000</v>
      </c>
      <c r="N14" s="297"/>
      <c r="O14" s="297">
        <v>3.35</v>
      </c>
      <c r="P14" s="297">
        <v>2.95</v>
      </c>
      <c r="Q14" s="297">
        <v>2.5499999999999998</v>
      </c>
      <c r="R14" s="297">
        <v>2.35</v>
      </c>
      <c r="S14" s="297">
        <v>2.25</v>
      </c>
      <c r="T14" s="297"/>
      <c r="U14" s="297">
        <v>3.25</v>
      </c>
      <c r="V14" s="297">
        <v>2.9</v>
      </c>
      <c r="W14" s="297">
        <v>2.5</v>
      </c>
      <c r="X14" s="297">
        <v>2.35</v>
      </c>
      <c r="Y14" s="297">
        <v>2.2999999999999998</v>
      </c>
      <c r="Z14" s="297"/>
      <c r="AA14" s="297"/>
      <c r="AB14" s="297"/>
      <c r="AC14" s="297"/>
      <c r="AD14" s="297"/>
      <c r="AE14" s="297"/>
      <c r="AF14" s="297"/>
      <c r="AG14" s="299" t="s">
        <v>403</v>
      </c>
      <c r="AH14" s="299" t="s">
        <v>404</v>
      </c>
      <c r="AI14" s="175">
        <v>3</v>
      </c>
      <c r="AJ14" s="175">
        <v>3</v>
      </c>
      <c r="AK14" s="240">
        <v>0.5</v>
      </c>
      <c r="AL14" s="240">
        <v>0.5</v>
      </c>
      <c r="AM14" s="299">
        <v>0</v>
      </c>
      <c r="AN14" s="299">
        <v>0</v>
      </c>
      <c r="AO14" s="299">
        <v>28</v>
      </c>
      <c r="AP14" s="299">
        <v>0</v>
      </c>
      <c r="AQ14" s="299">
        <v>0</v>
      </c>
      <c r="AR14" s="299">
        <v>0</v>
      </c>
      <c r="AS14" s="299">
        <v>0</v>
      </c>
      <c r="AT14" s="299">
        <v>0</v>
      </c>
      <c r="AU14" s="299">
        <v>0</v>
      </c>
      <c r="AV14" s="299">
        <v>0</v>
      </c>
      <c r="AW14" s="299"/>
      <c r="AX14" s="299" t="s">
        <v>405</v>
      </c>
      <c r="AY14" s="299"/>
      <c r="AZ14" s="299" t="s">
        <v>405</v>
      </c>
      <c r="BA14" s="299"/>
      <c r="BB14" s="298"/>
      <c r="BC14" s="297"/>
      <c r="BD14" s="299"/>
      <c r="BE14" s="299" t="s">
        <v>406</v>
      </c>
      <c r="BF14" s="298" t="s">
        <v>370</v>
      </c>
      <c r="BG14" t="s">
        <v>371</v>
      </c>
      <c r="BH14" t="s">
        <v>408</v>
      </c>
    </row>
    <row r="15" spans="1:60" x14ac:dyDescent="0.15">
      <c r="A15" s="148">
        <v>77</v>
      </c>
      <c r="B15" s="334">
        <v>43117</v>
      </c>
      <c r="C15" s="296" t="s">
        <v>398</v>
      </c>
      <c r="D15" s="297" t="s">
        <v>372</v>
      </c>
      <c r="E15" s="295">
        <v>43110</v>
      </c>
      <c r="F15" s="298" t="s">
        <v>400</v>
      </c>
      <c r="G15" s="297" t="s">
        <v>401</v>
      </c>
      <c r="H15" s="297">
        <v>84</v>
      </c>
      <c r="I15" s="182" t="s">
        <v>402</v>
      </c>
      <c r="J15" s="178">
        <v>3000</v>
      </c>
      <c r="K15" s="178">
        <v>6000</v>
      </c>
      <c r="L15" s="178">
        <v>9000</v>
      </c>
      <c r="M15" s="178">
        <v>15000</v>
      </c>
      <c r="N15" s="297"/>
      <c r="O15" s="297">
        <v>2.66</v>
      </c>
      <c r="P15" s="297">
        <v>2.33</v>
      </c>
      <c r="Q15" s="297">
        <v>1.88</v>
      </c>
      <c r="R15" s="297">
        <v>1.64</v>
      </c>
      <c r="S15" s="297">
        <v>1.6</v>
      </c>
      <c r="T15" s="297"/>
      <c r="U15" s="297">
        <v>2.52</v>
      </c>
      <c r="V15" s="297">
        <v>2.2000000000000002</v>
      </c>
      <c r="W15" s="297">
        <v>1.81</v>
      </c>
      <c r="X15" s="297">
        <v>1.6</v>
      </c>
      <c r="Y15" s="297">
        <v>1.55</v>
      </c>
      <c r="Z15" s="297"/>
      <c r="AA15" s="297"/>
      <c r="AB15" s="297"/>
      <c r="AC15" s="297"/>
      <c r="AD15" s="297"/>
      <c r="AE15" s="297"/>
      <c r="AF15" s="297"/>
      <c r="AG15" s="299" t="s">
        <v>403</v>
      </c>
      <c r="AH15" s="299" t="s">
        <v>404</v>
      </c>
      <c r="AI15" s="183">
        <v>3</v>
      </c>
      <c r="AJ15" s="183">
        <v>3</v>
      </c>
      <c r="AK15" s="241">
        <v>0.5</v>
      </c>
      <c r="AL15" s="241">
        <v>0.5</v>
      </c>
      <c r="AM15" s="299">
        <v>0</v>
      </c>
      <c r="AN15" s="299">
        <v>0</v>
      </c>
      <c r="AO15" s="299">
        <v>0</v>
      </c>
      <c r="AP15" s="299">
        <v>12</v>
      </c>
      <c r="AQ15" s="299">
        <v>0</v>
      </c>
      <c r="AR15" s="299">
        <v>0</v>
      </c>
      <c r="AS15" s="299">
        <v>0</v>
      </c>
      <c r="AT15" s="299">
        <v>0</v>
      </c>
      <c r="AU15" s="299">
        <v>0</v>
      </c>
      <c r="AV15" s="299">
        <v>0</v>
      </c>
      <c r="AW15" s="299"/>
      <c r="AX15" s="299" t="s">
        <v>405</v>
      </c>
      <c r="AY15" s="299">
        <v>12</v>
      </c>
      <c r="AZ15" s="299" t="s">
        <v>405</v>
      </c>
      <c r="BA15" s="299"/>
      <c r="BB15" s="298"/>
      <c r="BC15" s="297"/>
      <c r="BD15" s="299"/>
      <c r="BE15" s="299" t="s">
        <v>406</v>
      </c>
      <c r="BF15" s="298"/>
      <c r="BG15" t="s">
        <v>373</v>
      </c>
      <c r="BH15" t="s">
        <v>408</v>
      </c>
    </row>
    <row r="16" spans="1:60" x14ac:dyDescent="0.15">
      <c r="A16" s="148">
        <v>1161</v>
      </c>
      <c r="B16" s="334">
        <v>43117</v>
      </c>
      <c r="C16" s="296" t="s">
        <v>398</v>
      </c>
      <c r="D16" s="297" t="s">
        <v>372</v>
      </c>
      <c r="E16" s="309">
        <v>43112</v>
      </c>
      <c r="F16" s="298" t="s">
        <v>409</v>
      </c>
      <c r="G16" s="297" t="s">
        <v>410</v>
      </c>
      <c r="H16" s="297">
        <v>65.790000000000006</v>
      </c>
      <c r="I16" s="182" t="s">
        <v>402</v>
      </c>
      <c r="J16" s="185">
        <v>3000</v>
      </c>
      <c r="K16" s="185">
        <v>6000</v>
      </c>
      <c r="L16" s="185">
        <v>6000</v>
      </c>
      <c r="M16" s="185">
        <v>6000</v>
      </c>
      <c r="N16" s="297"/>
      <c r="O16" s="297">
        <v>2.46</v>
      </c>
      <c r="P16" s="297">
        <v>1.85</v>
      </c>
      <c r="Q16" s="329">
        <v>0</v>
      </c>
      <c r="R16" s="297">
        <v>0</v>
      </c>
      <c r="S16" s="297">
        <v>1.58</v>
      </c>
      <c r="T16" s="297"/>
      <c r="U16" s="297">
        <v>2.42</v>
      </c>
      <c r="V16" s="297">
        <v>1.75</v>
      </c>
      <c r="W16" s="329">
        <v>0</v>
      </c>
      <c r="X16" s="297">
        <v>0</v>
      </c>
      <c r="Y16" s="297">
        <v>1.75</v>
      </c>
      <c r="Z16" s="297"/>
      <c r="AA16" s="297"/>
      <c r="AB16" s="297"/>
      <c r="AC16" s="297"/>
      <c r="AD16" s="297"/>
      <c r="AE16" s="297"/>
      <c r="AF16" s="297"/>
      <c r="AG16" s="299" t="s">
        <v>403</v>
      </c>
      <c r="AH16" s="299" t="s">
        <v>404</v>
      </c>
      <c r="AI16" s="183">
        <v>3</v>
      </c>
      <c r="AJ16" s="183">
        <v>3</v>
      </c>
      <c r="AK16" s="241">
        <v>0.5</v>
      </c>
      <c r="AL16" s="241">
        <v>0.5</v>
      </c>
      <c r="AM16" s="299">
        <v>0</v>
      </c>
      <c r="AN16" s="299">
        <v>0</v>
      </c>
      <c r="AO16" s="299">
        <v>0</v>
      </c>
      <c r="AP16" s="299">
        <v>25</v>
      </c>
      <c r="AQ16" s="299">
        <v>0</v>
      </c>
      <c r="AR16" s="299">
        <v>0</v>
      </c>
      <c r="AS16" s="299">
        <v>0</v>
      </c>
      <c r="AT16" s="299">
        <v>0</v>
      </c>
      <c r="AU16" s="299">
        <v>0</v>
      </c>
      <c r="AV16" s="299">
        <v>0</v>
      </c>
      <c r="AW16" s="297"/>
      <c r="AX16" s="299" t="s">
        <v>405</v>
      </c>
      <c r="AY16" s="299">
        <v>24</v>
      </c>
      <c r="AZ16" s="299" t="s">
        <v>405</v>
      </c>
      <c r="BA16" s="299"/>
      <c r="BB16" s="298"/>
      <c r="BC16" s="297"/>
      <c r="BD16" s="299"/>
      <c r="BE16" s="299" t="s">
        <v>411</v>
      </c>
      <c r="BF16" s="298"/>
      <c r="BG16" t="s">
        <v>412</v>
      </c>
      <c r="BH16" t="s">
        <v>408</v>
      </c>
    </row>
    <row r="17" spans="1:60" x14ac:dyDescent="0.15">
      <c r="A17" s="148">
        <v>274</v>
      </c>
      <c r="B17" s="334">
        <v>43117</v>
      </c>
      <c r="C17" s="296" t="s">
        <v>398</v>
      </c>
      <c r="D17" s="297" t="s">
        <v>372</v>
      </c>
      <c r="E17" s="295">
        <v>43101</v>
      </c>
      <c r="F17" s="298" t="s">
        <v>413</v>
      </c>
      <c r="G17" s="297" t="s">
        <v>414</v>
      </c>
      <c r="H17" s="297">
        <v>78.099999999999994</v>
      </c>
      <c r="I17" s="182" t="s">
        <v>402</v>
      </c>
      <c r="J17" s="178">
        <v>3000</v>
      </c>
      <c r="K17" s="178">
        <v>6000</v>
      </c>
      <c r="L17" s="178">
        <v>9000</v>
      </c>
      <c r="M17" s="178">
        <v>15000</v>
      </c>
      <c r="N17" s="297"/>
      <c r="O17" s="297">
        <v>3.35</v>
      </c>
      <c r="P17" s="297">
        <v>2.95</v>
      </c>
      <c r="Q17" s="297">
        <v>2.5499999999999998</v>
      </c>
      <c r="R17" s="297">
        <v>2.35</v>
      </c>
      <c r="S17" s="297">
        <v>2.25</v>
      </c>
      <c r="T17" s="297"/>
      <c r="U17" s="297">
        <v>3.25</v>
      </c>
      <c r="V17" s="297">
        <v>2.9</v>
      </c>
      <c r="W17" s="297">
        <v>2.5</v>
      </c>
      <c r="X17" s="297">
        <v>2.35</v>
      </c>
      <c r="Y17" s="297">
        <v>2.2999999999999998</v>
      </c>
      <c r="Z17" s="297"/>
      <c r="AA17" s="297"/>
      <c r="AB17" s="297"/>
      <c r="AC17" s="297"/>
      <c r="AD17" s="297"/>
      <c r="AE17" s="297"/>
      <c r="AF17" s="297"/>
      <c r="AG17" s="299" t="s">
        <v>403</v>
      </c>
      <c r="AH17" s="299" t="s">
        <v>404</v>
      </c>
      <c r="AI17" s="183">
        <v>3</v>
      </c>
      <c r="AJ17" s="183">
        <v>3</v>
      </c>
      <c r="AK17" s="241">
        <v>0.5</v>
      </c>
      <c r="AL17" s="241">
        <v>0.5</v>
      </c>
      <c r="AM17" s="299">
        <v>0</v>
      </c>
      <c r="AN17" s="299">
        <v>0</v>
      </c>
      <c r="AO17" s="299">
        <v>14</v>
      </c>
      <c r="AP17" s="299">
        <v>0</v>
      </c>
      <c r="AQ17" s="299">
        <v>0</v>
      </c>
      <c r="AR17" s="299">
        <v>0</v>
      </c>
      <c r="AS17" s="299">
        <v>0</v>
      </c>
      <c r="AT17" s="299">
        <v>0</v>
      </c>
      <c r="AU17" s="299">
        <v>0</v>
      </c>
      <c r="AV17" s="299">
        <v>0</v>
      </c>
      <c r="AW17" s="297"/>
      <c r="AX17" s="299" t="s">
        <v>405</v>
      </c>
      <c r="AY17" s="299"/>
      <c r="AZ17" s="299" t="s">
        <v>405</v>
      </c>
      <c r="BA17" s="299"/>
      <c r="BB17" s="298"/>
      <c r="BC17" s="297"/>
      <c r="BD17" s="299"/>
      <c r="BE17" s="299" t="s">
        <v>406</v>
      </c>
      <c r="BF17" s="298" t="s">
        <v>415</v>
      </c>
      <c r="BG17" t="s">
        <v>374</v>
      </c>
      <c r="BH17" t="s">
        <v>408</v>
      </c>
    </row>
    <row r="18" spans="1:60" x14ac:dyDescent="0.15">
      <c r="A18" s="148">
        <v>1136</v>
      </c>
      <c r="B18" s="330">
        <v>43117</v>
      </c>
      <c r="C18" s="296" t="s">
        <v>398</v>
      </c>
      <c r="D18" s="297" t="s">
        <v>372</v>
      </c>
      <c r="E18" s="295">
        <v>43101</v>
      </c>
      <c r="F18" s="298" t="s">
        <v>417</v>
      </c>
      <c r="G18" s="297" t="s">
        <v>418</v>
      </c>
      <c r="H18" s="297">
        <v>70</v>
      </c>
      <c r="I18" s="182" t="s">
        <v>402</v>
      </c>
      <c r="J18" s="178">
        <v>3000</v>
      </c>
      <c r="K18" s="178">
        <v>9000</v>
      </c>
      <c r="L18" s="178">
        <v>12000</v>
      </c>
      <c r="M18" s="178">
        <v>18000</v>
      </c>
      <c r="N18" s="297"/>
      <c r="O18" s="297">
        <v>2.8</v>
      </c>
      <c r="P18" s="297">
        <v>2.5</v>
      </c>
      <c r="Q18" s="297">
        <v>2.1</v>
      </c>
      <c r="R18" s="297">
        <v>2.0499999999999998</v>
      </c>
      <c r="S18" s="297">
        <v>1.88</v>
      </c>
      <c r="T18" s="297"/>
      <c r="U18" s="297">
        <v>2.69</v>
      </c>
      <c r="V18" s="297">
        <v>2.2999999999999998</v>
      </c>
      <c r="W18" s="297">
        <v>1.95</v>
      </c>
      <c r="X18" s="297">
        <v>1.64</v>
      </c>
      <c r="Y18" s="297">
        <v>1.61</v>
      </c>
      <c r="Z18" s="297"/>
      <c r="AA18" s="297"/>
      <c r="AB18" s="297"/>
      <c r="AC18" s="297"/>
      <c r="AD18" s="297"/>
      <c r="AE18" s="297"/>
      <c r="AF18" s="297"/>
      <c r="AG18" s="299" t="s">
        <v>403</v>
      </c>
      <c r="AH18" s="299" t="s">
        <v>404</v>
      </c>
      <c r="AI18" s="183">
        <v>3</v>
      </c>
      <c r="AJ18" s="183">
        <v>3</v>
      </c>
      <c r="AK18" s="241">
        <v>0.5</v>
      </c>
      <c r="AL18" s="241">
        <v>0.5</v>
      </c>
      <c r="AM18" s="299">
        <v>0</v>
      </c>
      <c r="AN18" s="299">
        <v>0</v>
      </c>
      <c r="AO18" s="299">
        <v>0</v>
      </c>
      <c r="AP18" s="299">
        <v>16</v>
      </c>
      <c r="AQ18" s="299">
        <v>0</v>
      </c>
      <c r="AR18" s="299">
        <v>0</v>
      </c>
      <c r="AS18" s="299">
        <v>0</v>
      </c>
      <c r="AT18" s="299">
        <v>0</v>
      </c>
      <c r="AU18" s="299">
        <v>0</v>
      </c>
      <c r="AV18" s="299">
        <v>0</v>
      </c>
      <c r="AW18" s="299">
        <v>12</v>
      </c>
      <c r="AX18" s="299" t="s">
        <v>403</v>
      </c>
      <c r="AY18" s="299"/>
      <c r="AZ18" s="299" t="s">
        <v>405</v>
      </c>
      <c r="BA18" s="299"/>
      <c r="BB18" s="298"/>
      <c r="BC18" s="297"/>
      <c r="BD18" s="299"/>
      <c r="BE18" s="299" t="s">
        <v>406</v>
      </c>
      <c r="BF18" s="298"/>
      <c r="BG18" t="s">
        <v>419</v>
      </c>
      <c r="BH18" t="s">
        <v>408</v>
      </c>
    </row>
    <row r="19" spans="1:60" x14ac:dyDescent="0.15">
      <c r="A19" s="148">
        <v>884</v>
      </c>
      <c r="B19" s="330">
        <v>43117</v>
      </c>
      <c r="C19" s="296" t="s">
        <v>398</v>
      </c>
      <c r="D19" s="297" t="s">
        <v>372</v>
      </c>
      <c r="E19" s="295">
        <v>43009</v>
      </c>
      <c r="F19" s="298" t="s">
        <v>420</v>
      </c>
      <c r="G19" s="297" t="s">
        <v>421</v>
      </c>
      <c r="H19" s="297">
        <v>73.91</v>
      </c>
      <c r="I19" s="182" t="s">
        <v>402</v>
      </c>
      <c r="J19" s="185">
        <v>3500</v>
      </c>
      <c r="K19" s="185">
        <v>3500</v>
      </c>
      <c r="L19" s="185">
        <v>3500</v>
      </c>
      <c r="M19" s="185">
        <v>3500</v>
      </c>
      <c r="N19" s="297"/>
      <c r="O19" s="297">
        <v>2.4500000000000002</v>
      </c>
      <c r="P19" s="329">
        <v>0</v>
      </c>
      <c r="Q19" s="297">
        <v>0</v>
      </c>
      <c r="R19" s="297">
        <v>0</v>
      </c>
      <c r="S19" s="297">
        <v>1.98</v>
      </c>
      <c r="T19" s="297"/>
      <c r="U19" s="297">
        <v>2.29</v>
      </c>
      <c r="V19" s="329">
        <v>0</v>
      </c>
      <c r="W19" s="297">
        <v>0</v>
      </c>
      <c r="X19" s="297">
        <v>0</v>
      </c>
      <c r="Y19" s="297">
        <v>1.92</v>
      </c>
      <c r="Z19" s="297"/>
      <c r="AA19" s="297"/>
      <c r="AB19" s="297"/>
      <c r="AC19" s="297"/>
      <c r="AD19" s="297"/>
      <c r="AE19" s="297"/>
      <c r="AF19" s="297"/>
      <c r="AG19" s="299" t="s">
        <v>403</v>
      </c>
      <c r="AH19" s="299" t="s">
        <v>404</v>
      </c>
      <c r="AI19" s="183">
        <v>3</v>
      </c>
      <c r="AJ19" s="183">
        <v>3</v>
      </c>
      <c r="AK19" s="241">
        <v>0.5</v>
      </c>
      <c r="AL19" s="241">
        <v>0.5</v>
      </c>
      <c r="AM19" s="299">
        <v>0</v>
      </c>
      <c r="AN19" s="299">
        <v>0</v>
      </c>
      <c r="AO19" s="299">
        <v>0</v>
      </c>
      <c r="AP19" s="299">
        <v>0</v>
      </c>
      <c r="AQ19" s="299">
        <v>0</v>
      </c>
      <c r="AR19" s="299">
        <v>20</v>
      </c>
      <c r="AS19" s="299">
        <v>0</v>
      </c>
      <c r="AT19" s="299">
        <v>0</v>
      </c>
      <c r="AU19" s="299">
        <v>0</v>
      </c>
      <c r="AV19" s="299">
        <v>0</v>
      </c>
      <c r="AW19" s="297"/>
      <c r="AX19" s="299" t="s">
        <v>405</v>
      </c>
      <c r="AY19" s="299"/>
      <c r="AZ19" s="299" t="s">
        <v>405</v>
      </c>
      <c r="BA19" s="299"/>
      <c r="BB19" s="298"/>
      <c r="BC19" s="297"/>
      <c r="BD19" s="299"/>
      <c r="BE19" s="299" t="s">
        <v>422</v>
      </c>
      <c r="BF19" s="298"/>
      <c r="BG19" t="s">
        <v>423</v>
      </c>
      <c r="BH19" t="s">
        <v>408</v>
      </c>
    </row>
    <row r="20" spans="1:60" x14ac:dyDescent="0.15">
      <c r="A20" s="148">
        <v>158</v>
      </c>
      <c r="B20" s="330">
        <v>43117</v>
      </c>
      <c r="C20" s="296" t="s">
        <v>398</v>
      </c>
      <c r="D20" s="297" t="s">
        <v>372</v>
      </c>
      <c r="E20" s="295">
        <v>43102</v>
      </c>
      <c r="F20" s="298" t="s">
        <v>424</v>
      </c>
      <c r="G20" s="297" t="s">
        <v>425</v>
      </c>
      <c r="H20" s="297">
        <v>76.2</v>
      </c>
      <c r="I20" s="182" t="s">
        <v>402</v>
      </c>
      <c r="J20" s="178">
        <v>6000</v>
      </c>
      <c r="K20" s="178">
        <v>6000</v>
      </c>
      <c r="L20" s="178">
        <v>6000</v>
      </c>
      <c r="M20" s="178">
        <v>6000</v>
      </c>
      <c r="N20" s="297"/>
      <c r="O20" s="297">
        <v>2.44</v>
      </c>
      <c r="P20" s="329">
        <v>0</v>
      </c>
      <c r="Q20" s="297">
        <v>0</v>
      </c>
      <c r="R20" s="297">
        <v>0</v>
      </c>
      <c r="S20" s="297">
        <v>1.77</v>
      </c>
      <c r="T20" s="297"/>
      <c r="U20" s="297">
        <v>2.44</v>
      </c>
      <c r="V20" s="329">
        <v>0</v>
      </c>
      <c r="W20" s="297">
        <v>0</v>
      </c>
      <c r="X20" s="297">
        <v>0</v>
      </c>
      <c r="Y20" s="297">
        <v>1.77</v>
      </c>
      <c r="Z20" s="297"/>
      <c r="AA20" s="297"/>
      <c r="AB20" s="297"/>
      <c r="AC20" s="297"/>
      <c r="AD20" s="297"/>
      <c r="AE20" s="297"/>
      <c r="AF20" s="297"/>
      <c r="AG20" s="299" t="s">
        <v>403</v>
      </c>
      <c r="AH20" s="299" t="s">
        <v>404</v>
      </c>
      <c r="AI20" s="183">
        <v>3</v>
      </c>
      <c r="AJ20" s="183">
        <v>3</v>
      </c>
      <c r="AK20" s="241">
        <v>0.5</v>
      </c>
      <c r="AL20" s="241">
        <v>0.5</v>
      </c>
      <c r="AM20" s="299">
        <v>0</v>
      </c>
      <c r="AN20" s="299">
        <v>0</v>
      </c>
      <c r="AO20" s="299">
        <v>0</v>
      </c>
      <c r="AP20" s="299">
        <v>15</v>
      </c>
      <c r="AQ20" s="299">
        <v>0</v>
      </c>
      <c r="AR20" s="299">
        <v>0</v>
      </c>
      <c r="AS20" s="299">
        <v>0</v>
      </c>
      <c r="AT20" s="299">
        <v>0</v>
      </c>
      <c r="AU20" s="299">
        <v>0</v>
      </c>
      <c r="AV20" s="299">
        <v>0</v>
      </c>
      <c r="AW20" s="297"/>
      <c r="AX20" s="299" t="s">
        <v>405</v>
      </c>
      <c r="AY20" s="299">
        <v>12</v>
      </c>
      <c r="AZ20" s="299" t="s">
        <v>405</v>
      </c>
      <c r="BA20" s="299"/>
      <c r="BB20" s="298"/>
      <c r="BC20" s="297"/>
      <c r="BD20" s="299"/>
      <c r="BE20" s="299" t="s">
        <v>406</v>
      </c>
      <c r="BF20" s="298"/>
      <c r="BG20" s="301" t="s">
        <v>375</v>
      </c>
      <c r="BH20" t="s">
        <v>408</v>
      </c>
    </row>
    <row r="21" spans="1:60" x14ac:dyDescent="0.15">
      <c r="A21" s="148">
        <v>172</v>
      </c>
      <c r="B21" s="295">
        <v>43117</v>
      </c>
      <c r="C21" s="296" t="s">
        <v>398</v>
      </c>
      <c r="D21" s="297" t="s">
        <v>372</v>
      </c>
      <c r="E21" s="295">
        <v>42754</v>
      </c>
      <c r="F21" s="298" t="s">
        <v>427</v>
      </c>
      <c r="G21" s="297" t="s">
        <v>428</v>
      </c>
      <c r="H21" s="297">
        <v>65.900000000000006</v>
      </c>
      <c r="I21" s="182" t="s">
        <v>402</v>
      </c>
      <c r="J21" s="178">
        <v>3000</v>
      </c>
      <c r="K21" s="178">
        <v>6000</v>
      </c>
      <c r="L21" s="178">
        <v>9000</v>
      </c>
      <c r="M21" s="178">
        <v>15000</v>
      </c>
      <c r="N21" s="297"/>
      <c r="O21" s="297">
        <v>2.54</v>
      </c>
      <c r="P21" s="297">
        <v>2.23</v>
      </c>
      <c r="Q21" s="297">
        <v>1.87</v>
      </c>
      <c r="R21" s="297">
        <v>1.67</v>
      </c>
      <c r="S21" s="297">
        <v>1.62</v>
      </c>
      <c r="T21" s="297"/>
      <c r="U21" s="297">
        <v>2.4</v>
      </c>
      <c r="V21" s="297">
        <v>2.13</v>
      </c>
      <c r="W21" s="297">
        <v>1.81</v>
      </c>
      <c r="X21" s="297">
        <v>1.64</v>
      </c>
      <c r="Y21" s="297">
        <v>1.6</v>
      </c>
      <c r="Z21" s="297"/>
      <c r="AA21" s="297"/>
      <c r="AB21" s="297"/>
      <c r="AC21" s="297"/>
      <c r="AD21" s="297"/>
      <c r="AE21" s="297"/>
      <c r="AF21" s="297"/>
      <c r="AG21" s="299" t="s">
        <v>403</v>
      </c>
      <c r="AH21" s="299" t="s">
        <v>404</v>
      </c>
      <c r="AI21" s="183">
        <v>3</v>
      </c>
      <c r="AJ21" s="183">
        <v>3</v>
      </c>
      <c r="AK21" s="241">
        <v>0.5</v>
      </c>
      <c r="AL21" s="241">
        <v>0.5</v>
      </c>
      <c r="AM21" s="299">
        <v>0</v>
      </c>
      <c r="AN21" s="299">
        <v>0</v>
      </c>
      <c r="AO21" s="299">
        <v>15</v>
      </c>
      <c r="AP21" s="335">
        <v>0</v>
      </c>
      <c r="AQ21" s="299">
        <v>0</v>
      </c>
      <c r="AR21" s="299">
        <v>0</v>
      </c>
      <c r="AS21" s="299">
        <v>0</v>
      </c>
      <c r="AT21" s="299">
        <v>0</v>
      </c>
      <c r="AU21" s="299">
        <v>0</v>
      </c>
      <c r="AV21" s="299">
        <v>0</v>
      </c>
      <c r="AW21" s="297"/>
      <c r="AX21" s="299" t="s">
        <v>405</v>
      </c>
      <c r="AY21" s="299"/>
      <c r="AZ21" s="299" t="s">
        <v>405</v>
      </c>
      <c r="BA21" s="299"/>
      <c r="BB21" s="298" t="s">
        <v>429</v>
      </c>
      <c r="BC21" s="297"/>
      <c r="BD21" s="299"/>
      <c r="BE21" s="299" t="s">
        <v>406</v>
      </c>
      <c r="BF21" s="298"/>
      <c r="BG21" t="s">
        <v>430</v>
      </c>
      <c r="BH21" t="s">
        <v>408</v>
      </c>
    </row>
    <row r="22" spans="1:60" x14ac:dyDescent="0.15">
      <c r="A22" s="148">
        <v>313</v>
      </c>
      <c r="B22" s="295">
        <v>43117</v>
      </c>
      <c r="C22" s="296" t="s">
        <v>398</v>
      </c>
      <c r="D22" s="297" t="s">
        <v>372</v>
      </c>
      <c r="E22" s="295">
        <v>43101</v>
      </c>
      <c r="F22" s="297" t="s">
        <v>431</v>
      </c>
      <c r="G22" s="297" t="s">
        <v>421</v>
      </c>
      <c r="H22" s="297">
        <v>75.05</v>
      </c>
      <c r="I22" s="182" t="s">
        <v>402</v>
      </c>
      <c r="J22" s="178">
        <v>3000</v>
      </c>
      <c r="K22" s="178">
        <v>6000</v>
      </c>
      <c r="L22" s="178">
        <v>9000</v>
      </c>
      <c r="M22" s="178">
        <v>15000</v>
      </c>
      <c r="N22" s="297"/>
      <c r="O22" s="297">
        <v>2.2109999999999999</v>
      </c>
      <c r="P22" s="297">
        <v>1.9570000000000001</v>
      </c>
      <c r="Q22" s="297">
        <v>1.643</v>
      </c>
      <c r="R22" s="297">
        <v>1.478</v>
      </c>
      <c r="S22" s="297">
        <v>1.4339999999999999</v>
      </c>
      <c r="T22" s="297"/>
      <c r="U22" s="297">
        <v>1.9530000000000001</v>
      </c>
      <c r="V22" s="297">
        <v>1.744</v>
      </c>
      <c r="W22" s="297">
        <v>1.4890000000000001</v>
      </c>
      <c r="X22" s="297">
        <v>1.3540000000000001</v>
      </c>
      <c r="Y22" s="297">
        <v>1.319</v>
      </c>
      <c r="Z22" s="297"/>
      <c r="AA22" s="297"/>
      <c r="AB22" s="297"/>
      <c r="AC22" s="297"/>
      <c r="AD22" s="297"/>
      <c r="AE22" s="297"/>
      <c r="AF22" s="297"/>
      <c r="AG22" s="299" t="s">
        <v>403</v>
      </c>
      <c r="AH22" s="299" t="s">
        <v>404</v>
      </c>
      <c r="AI22" s="183">
        <v>3</v>
      </c>
      <c r="AJ22" s="183">
        <v>3</v>
      </c>
      <c r="AK22" s="241">
        <v>0.5</v>
      </c>
      <c r="AL22" s="241">
        <v>0.5</v>
      </c>
      <c r="AM22" s="299">
        <v>0</v>
      </c>
      <c r="AN22" s="299">
        <v>0</v>
      </c>
      <c r="AO22" s="299">
        <v>0</v>
      </c>
      <c r="AP22" s="335">
        <v>0</v>
      </c>
      <c r="AQ22" s="299">
        <v>0</v>
      </c>
      <c r="AR22" s="299">
        <v>0</v>
      </c>
      <c r="AS22" s="299">
        <v>0</v>
      </c>
      <c r="AT22" s="299">
        <v>0</v>
      </c>
      <c r="AU22" s="299">
        <v>0</v>
      </c>
      <c r="AV22" s="299">
        <v>0</v>
      </c>
      <c r="AW22" s="297"/>
      <c r="AX22" s="299" t="s">
        <v>405</v>
      </c>
      <c r="AY22" s="299"/>
      <c r="AZ22" s="299" t="s">
        <v>405</v>
      </c>
      <c r="BA22" s="299"/>
      <c r="BB22" s="298" t="s">
        <v>432</v>
      </c>
      <c r="BC22" s="297" t="s">
        <v>433</v>
      </c>
      <c r="BD22" s="299">
        <v>50</v>
      </c>
      <c r="BE22" s="299" t="s">
        <v>422</v>
      </c>
      <c r="BF22" s="298"/>
      <c r="BG22" t="s">
        <v>353</v>
      </c>
      <c r="BH22" t="s">
        <v>408</v>
      </c>
    </row>
    <row r="23" spans="1:60" x14ac:dyDescent="0.15">
      <c r="A23" s="148">
        <v>568</v>
      </c>
      <c r="B23" s="295">
        <v>43111</v>
      </c>
      <c r="C23" s="296" t="s">
        <v>398</v>
      </c>
      <c r="D23" s="297" t="s">
        <v>372</v>
      </c>
      <c r="E23" s="295">
        <v>43101</v>
      </c>
      <c r="F23" s="298" t="s">
        <v>354</v>
      </c>
      <c r="G23" s="297" t="s">
        <v>355</v>
      </c>
      <c r="H23" s="5">
        <v>70</v>
      </c>
      <c r="I23" s="182" t="s">
        <v>402</v>
      </c>
      <c r="J23" s="185">
        <v>6000</v>
      </c>
      <c r="K23" s="185">
        <v>9000</v>
      </c>
      <c r="L23" s="185">
        <v>9000</v>
      </c>
      <c r="M23" s="185">
        <v>9000</v>
      </c>
      <c r="N23" s="331"/>
      <c r="O23" s="297">
        <v>2.4</v>
      </c>
      <c r="P23" s="297">
        <v>1.95</v>
      </c>
      <c r="Q23" s="329">
        <v>0</v>
      </c>
      <c r="R23" s="297">
        <v>0</v>
      </c>
      <c r="S23" s="297">
        <v>1.45</v>
      </c>
      <c r="T23" s="297"/>
      <c r="U23" s="297">
        <v>2.2000000000000002</v>
      </c>
      <c r="V23" s="297">
        <v>1.75</v>
      </c>
      <c r="W23" s="329">
        <v>0</v>
      </c>
      <c r="X23" s="297">
        <v>0</v>
      </c>
      <c r="Y23" s="297">
        <v>1.35</v>
      </c>
      <c r="Z23" s="297"/>
      <c r="AA23" s="297"/>
      <c r="AB23" s="297"/>
      <c r="AC23" s="297"/>
      <c r="AD23" s="297"/>
      <c r="AE23" s="297"/>
      <c r="AF23" s="297"/>
      <c r="AG23" s="299" t="s">
        <v>403</v>
      </c>
      <c r="AH23" s="299" t="s">
        <v>404</v>
      </c>
      <c r="AI23" s="183">
        <v>3</v>
      </c>
      <c r="AJ23" s="183">
        <v>3</v>
      </c>
      <c r="AK23" s="241">
        <v>0.5</v>
      </c>
      <c r="AL23" s="241">
        <v>0.5</v>
      </c>
      <c r="AM23" s="299">
        <v>0</v>
      </c>
      <c r="AN23" s="299">
        <v>0</v>
      </c>
      <c r="AO23" s="299">
        <v>0</v>
      </c>
      <c r="AP23" s="335">
        <v>13</v>
      </c>
      <c r="AQ23" s="299">
        <v>0</v>
      </c>
      <c r="AR23" s="299">
        <v>0</v>
      </c>
      <c r="AS23" s="299">
        <v>0</v>
      </c>
      <c r="AT23" s="299">
        <v>0</v>
      </c>
      <c r="AU23" s="299">
        <v>0</v>
      </c>
      <c r="AV23" s="299">
        <v>0</v>
      </c>
      <c r="AW23" s="297"/>
      <c r="AX23" s="299" t="s">
        <v>405</v>
      </c>
      <c r="AY23" s="299">
        <v>12</v>
      </c>
      <c r="AZ23" s="299" t="s">
        <v>405</v>
      </c>
      <c r="BA23" s="299"/>
      <c r="BB23" s="298"/>
      <c r="BC23" s="298"/>
      <c r="BD23" s="299"/>
      <c r="BE23" s="299" t="s">
        <v>406</v>
      </c>
      <c r="BF23" s="298"/>
      <c r="BG23" t="s">
        <v>376</v>
      </c>
      <c r="BH23" t="s">
        <v>357</v>
      </c>
    </row>
    <row r="24" spans="1:60" x14ac:dyDescent="0.15">
      <c r="A24" s="148">
        <v>234</v>
      </c>
      <c r="B24" s="295">
        <v>43117</v>
      </c>
      <c r="C24" s="296" t="s">
        <v>398</v>
      </c>
      <c r="D24" s="297" t="s">
        <v>372</v>
      </c>
      <c r="E24" s="309" t="s">
        <v>358</v>
      </c>
      <c r="F24" s="298" t="s">
        <v>359</v>
      </c>
      <c r="G24" s="297" t="s">
        <v>360</v>
      </c>
      <c r="H24" s="5">
        <v>71.400000000000006</v>
      </c>
      <c r="I24" s="182" t="s">
        <v>402</v>
      </c>
      <c r="J24" s="185">
        <v>3500</v>
      </c>
      <c r="K24" s="185">
        <v>3500</v>
      </c>
      <c r="L24" s="185">
        <v>3500</v>
      </c>
      <c r="M24" s="185">
        <v>3500</v>
      </c>
      <c r="N24" s="297"/>
      <c r="O24" s="297">
        <v>1.776</v>
      </c>
      <c r="P24" s="329">
        <v>0</v>
      </c>
      <c r="Q24" s="297">
        <v>0</v>
      </c>
      <c r="R24" s="297">
        <v>0</v>
      </c>
      <c r="S24" s="297">
        <v>1.4119999999999999</v>
      </c>
      <c r="T24" s="297"/>
      <c r="U24" s="297">
        <v>1.74</v>
      </c>
      <c r="V24" s="329">
        <v>0</v>
      </c>
      <c r="W24" s="297">
        <v>0</v>
      </c>
      <c r="X24" s="297">
        <v>0</v>
      </c>
      <c r="Y24" s="297">
        <v>1.409</v>
      </c>
      <c r="Z24" s="297"/>
      <c r="AA24" s="297"/>
      <c r="AB24" s="297"/>
      <c r="AC24" s="297"/>
      <c r="AD24" s="297"/>
      <c r="AE24" s="297"/>
      <c r="AF24" s="297"/>
      <c r="AG24" s="299" t="s">
        <v>403</v>
      </c>
      <c r="AH24" s="299" t="s">
        <v>404</v>
      </c>
      <c r="AI24" s="183">
        <v>3</v>
      </c>
      <c r="AJ24" s="183">
        <v>3</v>
      </c>
      <c r="AK24" s="241">
        <v>0.5</v>
      </c>
      <c r="AL24" s="241">
        <v>0.5</v>
      </c>
      <c r="AM24" s="299">
        <v>0</v>
      </c>
      <c r="AN24" s="299">
        <v>0</v>
      </c>
      <c r="AO24" s="299">
        <v>10</v>
      </c>
      <c r="AP24" s="299">
        <v>0</v>
      </c>
      <c r="AQ24" s="299">
        <v>0</v>
      </c>
      <c r="AR24" s="299">
        <v>0</v>
      </c>
      <c r="AS24" s="299">
        <v>0</v>
      </c>
      <c r="AT24" s="299">
        <v>0</v>
      </c>
      <c r="AU24" s="299">
        <v>0</v>
      </c>
      <c r="AV24" s="299">
        <v>0</v>
      </c>
      <c r="AW24" s="299"/>
      <c r="AX24" s="299" t="s">
        <v>405</v>
      </c>
      <c r="AY24" s="299"/>
      <c r="AZ24" s="299" t="s">
        <v>405</v>
      </c>
      <c r="BA24" s="299"/>
      <c r="BB24" s="298"/>
      <c r="BC24" s="297"/>
      <c r="BD24" s="299"/>
      <c r="BE24" s="299" t="s">
        <v>422</v>
      </c>
      <c r="BF24" s="298"/>
      <c r="BG24" t="s">
        <v>377</v>
      </c>
      <c r="BH24" t="s">
        <v>357</v>
      </c>
    </row>
    <row r="25" spans="1:60" x14ac:dyDescent="0.15">
      <c r="A25" s="148">
        <v>781</v>
      </c>
      <c r="B25" s="295">
        <v>43088</v>
      </c>
      <c r="C25" s="296" t="s">
        <v>398</v>
      </c>
      <c r="D25" s="297" t="s">
        <v>372</v>
      </c>
      <c r="E25" s="309">
        <v>43115</v>
      </c>
      <c r="F25" s="298" t="s">
        <v>362</v>
      </c>
      <c r="G25" s="297" t="s">
        <v>363</v>
      </c>
      <c r="H25" s="5">
        <v>70.099999999999994</v>
      </c>
      <c r="I25" s="182" t="s">
        <v>402</v>
      </c>
      <c r="J25" s="178">
        <v>3000</v>
      </c>
      <c r="K25" s="178">
        <v>6000</v>
      </c>
      <c r="L25" s="178">
        <v>9000</v>
      </c>
      <c r="M25" s="178">
        <v>15000</v>
      </c>
      <c r="N25" s="297"/>
      <c r="O25" s="297">
        <v>2.95</v>
      </c>
      <c r="P25" s="297">
        <v>2.63</v>
      </c>
      <c r="Q25" s="297">
        <v>2.25</v>
      </c>
      <c r="R25" s="297">
        <v>2.04</v>
      </c>
      <c r="S25" s="297">
        <v>1.99</v>
      </c>
      <c r="T25" s="297"/>
      <c r="U25" s="297">
        <v>2.78</v>
      </c>
      <c r="V25" s="297">
        <v>2.5099999999999998</v>
      </c>
      <c r="W25" s="297">
        <v>2.19</v>
      </c>
      <c r="X25" s="297">
        <v>2.0099999999999998</v>
      </c>
      <c r="Y25" s="297">
        <v>1.97</v>
      </c>
      <c r="Z25" s="297"/>
      <c r="AA25" s="297">
        <v>2.9</v>
      </c>
      <c r="AB25" s="297">
        <v>2.59</v>
      </c>
      <c r="AC25" s="297">
        <v>2.23</v>
      </c>
      <c r="AD25" s="297">
        <v>2.0299999999999998</v>
      </c>
      <c r="AE25" s="297">
        <v>1.99</v>
      </c>
      <c r="AF25" s="297"/>
      <c r="AG25" s="299" t="s">
        <v>403</v>
      </c>
      <c r="AH25" s="299" t="s">
        <v>404</v>
      </c>
      <c r="AI25" s="183">
        <v>3</v>
      </c>
      <c r="AJ25" s="183">
        <v>3</v>
      </c>
      <c r="AK25" s="241">
        <v>0.5</v>
      </c>
      <c r="AL25" s="241">
        <v>0.5</v>
      </c>
      <c r="AM25" s="299">
        <v>0</v>
      </c>
      <c r="AN25" s="299">
        <v>0</v>
      </c>
      <c r="AO25" s="299">
        <v>0</v>
      </c>
      <c r="AP25" s="299">
        <v>20</v>
      </c>
      <c r="AQ25" s="299">
        <v>0</v>
      </c>
      <c r="AR25" s="299">
        <v>0</v>
      </c>
      <c r="AS25" s="299">
        <v>0</v>
      </c>
      <c r="AT25" s="299">
        <v>0</v>
      </c>
      <c r="AU25" s="299">
        <v>0</v>
      </c>
      <c r="AV25" s="299">
        <v>0</v>
      </c>
      <c r="AW25" s="297"/>
      <c r="AX25" s="299" t="s">
        <v>405</v>
      </c>
      <c r="AY25" s="299">
        <v>24</v>
      </c>
      <c r="AZ25" s="299" t="s">
        <v>405</v>
      </c>
      <c r="BA25" s="299"/>
      <c r="BB25" s="298" t="s">
        <v>364</v>
      </c>
      <c r="BC25" s="297" t="s">
        <v>365</v>
      </c>
      <c r="BD25" s="299">
        <v>25</v>
      </c>
      <c r="BE25" s="299" t="s">
        <v>422</v>
      </c>
      <c r="BF25" s="298"/>
      <c r="BG25" t="s">
        <v>430</v>
      </c>
      <c r="BH25" t="s">
        <v>408</v>
      </c>
    </row>
    <row r="26" spans="1:60" x14ac:dyDescent="0.15">
      <c r="A26" s="148">
        <v>1127</v>
      </c>
      <c r="B26" s="295">
        <v>43088</v>
      </c>
      <c r="C26" s="296" t="s">
        <v>398</v>
      </c>
      <c r="D26" s="297" t="s">
        <v>372</v>
      </c>
      <c r="E26" s="309">
        <v>42948</v>
      </c>
      <c r="F26" s="297" t="s">
        <v>366</v>
      </c>
      <c r="G26" s="297" t="s">
        <v>367</v>
      </c>
      <c r="H26" s="336">
        <v>81.98</v>
      </c>
      <c r="I26" s="174" t="s">
        <v>402</v>
      </c>
      <c r="J26" s="170">
        <v>3000</v>
      </c>
      <c r="K26" s="170">
        <v>6000</v>
      </c>
      <c r="L26" s="170">
        <v>9000</v>
      </c>
      <c r="M26" s="170">
        <v>9000</v>
      </c>
      <c r="N26" s="332"/>
      <c r="O26" s="332">
        <v>3.0219999999999998</v>
      </c>
      <c r="P26" s="332">
        <v>2.621</v>
      </c>
      <c r="Q26" s="332">
        <v>2.117</v>
      </c>
      <c r="R26" s="329">
        <v>0</v>
      </c>
      <c r="S26" s="332">
        <v>1.8740000000000001</v>
      </c>
      <c r="T26" s="332"/>
      <c r="U26" s="332">
        <v>2.8610000000000002</v>
      </c>
      <c r="V26" s="332">
        <v>2.444</v>
      </c>
      <c r="W26" s="332">
        <v>2.069</v>
      </c>
      <c r="X26" s="329">
        <v>0</v>
      </c>
      <c r="Y26" s="332">
        <v>1.8089999999999999</v>
      </c>
      <c r="Z26" s="332"/>
      <c r="AA26" s="332"/>
      <c r="AB26" s="332"/>
      <c r="AC26" s="332"/>
      <c r="AD26" s="332"/>
      <c r="AE26" s="332"/>
      <c r="AF26" s="332"/>
      <c r="AG26" s="333" t="s">
        <v>403</v>
      </c>
      <c r="AH26" s="333" t="s">
        <v>404</v>
      </c>
      <c r="AI26" s="183">
        <v>3</v>
      </c>
      <c r="AJ26" s="183">
        <v>3</v>
      </c>
      <c r="AK26" s="241">
        <v>0.5</v>
      </c>
      <c r="AL26" s="241">
        <v>0.5</v>
      </c>
      <c r="AM26" s="299">
        <v>0</v>
      </c>
      <c r="AN26" s="299">
        <v>0</v>
      </c>
      <c r="AO26" s="299">
        <v>0</v>
      </c>
      <c r="AP26" s="299">
        <v>17</v>
      </c>
      <c r="AQ26" s="299">
        <v>0</v>
      </c>
      <c r="AR26" s="299">
        <v>0</v>
      </c>
      <c r="AS26" s="299">
        <v>0</v>
      </c>
      <c r="AT26" s="299">
        <v>0</v>
      </c>
      <c r="AU26" s="299">
        <v>0</v>
      </c>
      <c r="AV26" s="299">
        <v>0</v>
      </c>
      <c r="AW26" s="299"/>
      <c r="AX26" s="299" t="s">
        <v>405</v>
      </c>
      <c r="AY26" s="299">
        <v>12</v>
      </c>
      <c r="AZ26" s="299" t="s">
        <v>405</v>
      </c>
      <c r="BA26" s="299"/>
      <c r="BB26" s="298"/>
      <c r="BC26" s="297"/>
      <c r="BD26" s="299"/>
      <c r="BE26" s="299" t="s">
        <v>422</v>
      </c>
      <c r="BF26" s="298"/>
      <c r="BG26" t="s">
        <v>430</v>
      </c>
      <c r="BH26" t="s">
        <v>368</v>
      </c>
    </row>
    <row r="27" spans="1:60" x14ac:dyDescent="0.15">
      <c r="A27" s="148">
        <v>1261</v>
      </c>
      <c r="B27" s="334">
        <v>43117</v>
      </c>
      <c r="C27" s="296" t="s">
        <v>398</v>
      </c>
      <c r="D27" s="297" t="s">
        <v>372</v>
      </c>
      <c r="E27" s="295">
        <v>43101</v>
      </c>
      <c r="F27" s="298" t="s">
        <v>987</v>
      </c>
      <c r="G27" s="297" t="s">
        <v>369</v>
      </c>
      <c r="H27" s="297">
        <v>78.099999999999994</v>
      </c>
      <c r="I27" s="174" t="s">
        <v>402</v>
      </c>
      <c r="J27" s="170">
        <v>3000</v>
      </c>
      <c r="K27" s="170">
        <v>6000</v>
      </c>
      <c r="L27" s="170">
        <v>9000</v>
      </c>
      <c r="M27" s="170">
        <v>15000</v>
      </c>
      <c r="N27" s="297"/>
      <c r="O27" s="297">
        <v>3.35</v>
      </c>
      <c r="P27" s="297">
        <v>2.95</v>
      </c>
      <c r="Q27" s="297">
        <v>2.5499999999999998</v>
      </c>
      <c r="R27" s="297">
        <v>2.35</v>
      </c>
      <c r="S27" s="297">
        <v>2.25</v>
      </c>
      <c r="T27" s="297"/>
      <c r="U27" s="297">
        <v>3.25</v>
      </c>
      <c r="V27" s="297">
        <v>2.9</v>
      </c>
      <c r="W27" s="297">
        <v>2.5</v>
      </c>
      <c r="X27" s="297">
        <v>2.35</v>
      </c>
      <c r="Y27" s="297">
        <v>2.2999999999999998</v>
      </c>
      <c r="Z27" s="297"/>
      <c r="AA27" s="297"/>
      <c r="AB27" s="297"/>
      <c r="AC27" s="297"/>
      <c r="AD27" s="297"/>
      <c r="AE27" s="297"/>
      <c r="AF27" s="297"/>
      <c r="AG27" s="299" t="s">
        <v>403</v>
      </c>
      <c r="AH27" s="299" t="s">
        <v>404</v>
      </c>
      <c r="AI27" s="183">
        <v>3</v>
      </c>
      <c r="AJ27" s="183">
        <v>3</v>
      </c>
      <c r="AK27" s="241">
        <v>0.5</v>
      </c>
      <c r="AL27" s="241">
        <v>0.5</v>
      </c>
      <c r="AM27" s="299">
        <v>0</v>
      </c>
      <c r="AN27" s="299">
        <v>0</v>
      </c>
      <c r="AO27" s="299">
        <v>28</v>
      </c>
      <c r="AP27" s="299">
        <v>0</v>
      </c>
      <c r="AQ27" s="299">
        <v>0</v>
      </c>
      <c r="AR27" s="299">
        <v>0</v>
      </c>
      <c r="AS27" s="299">
        <v>0</v>
      </c>
      <c r="AT27" s="299">
        <v>0</v>
      </c>
      <c r="AU27" s="299">
        <v>0</v>
      </c>
      <c r="AV27" s="299">
        <v>0</v>
      </c>
      <c r="AW27" s="299"/>
      <c r="AX27" s="299" t="s">
        <v>405</v>
      </c>
      <c r="AY27" s="299"/>
      <c r="AZ27" s="299" t="s">
        <v>405</v>
      </c>
      <c r="BA27" s="299"/>
      <c r="BB27" s="298"/>
      <c r="BC27" s="297"/>
      <c r="BD27" s="299"/>
      <c r="BE27" s="299" t="s">
        <v>406</v>
      </c>
      <c r="BF27" s="298" t="s">
        <v>370</v>
      </c>
      <c r="BG27" t="s">
        <v>378</v>
      </c>
      <c r="BH27" t="s">
        <v>408</v>
      </c>
    </row>
    <row r="28" spans="1:60" x14ac:dyDescent="0.15">
      <c r="A28" s="148">
        <v>78</v>
      </c>
      <c r="B28" s="328">
        <v>43117</v>
      </c>
      <c r="C28" s="296" t="s">
        <v>398</v>
      </c>
      <c r="D28" s="297" t="s">
        <v>379</v>
      </c>
      <c r="E28" s="295">
        <v>43110</v>
      </c>
      <c r="F28" s="298" t="s">
        <v>400</v>
      </c>
      <c r="G28" s="297" t="s">
        <v>401</v>
      </c>
      <c r="H28" s="297">
        <v>77</v>
      </c>
      <c r="I28" s="191" t="s">
        <v>402</v>
      </c>
      <c r="J28" s="187">
        <v>1645</v>
      </c>
      <c r="K28" s="187">
        <v>3000</v>
      </c>
      <c r="L28" s="187">
        <v>3000</v>
      </c>
      <c r="M28" s="187">
        <v>3000</v>
      </c>
      <c r="N28" s="297"/>
      <c r="O28" s="297">
        <v>2.74</v>
      </c>
      <c r="P28" s="297">
        <v>2.4900000000000002</v>
      </c>
      <c r="Q28" s="329">
        <v>0</v>
      </c>
      <c r="R28" s="329">
        <v>0</v>
      </c>
      <c r="S28" s="297">
        <v>2.08</v>
      </c>
      <c r="T28" s="297"/>
      <c r="U28" s="297">
        <v>2.74</v>
      </c>
      <c r="V28" s="297">
        <v>2.4900000000000002</v>
      </c>
      <c r="W28" s="329">
        <v>0</v>
      </c>
      <c r="X28" s="329">
        <v>0</v>
      </c>
      <c r="Y28" s="297">
        <v>2.08</v>
      </c>
      <c r="Z28" s="297"/>
      <c r="AA28" s="297"/>
      <c r="AB28" s="297"/>
      <c r="AC28" s="297"/>
      <c r="AD28" s="297"/>
      <c r="AE28" s="297"/>
      <c r="AF28" s="297"/>
      <c r="AG28" s="299" t="s">
        <v>405</v>
      </c>
      <c r="AH28" s="299"/>
      <c r="AI28" s="192">
        <v>2</v>
      </c>
      <c r="AJ28" s="192">
        <v>4</v>
      </c>
      <c r="AK28" s="242">
        <v>0.33329999999999999</v>
      </c>
      <c r="AL28" s="242">
        <v>0.66659999999999997</v>
      </c>
      <c r="AM28" s="299">
        <v>0</v>
      </c>
      <c r="AN28" s="299">
        <v>0</v>
      </c>
      <c r="AO28" s="299">
        <v>0</v>
      </c>
      <c r="AP28" s="299">
        <v>12</v>
      </c>
      <c r="AQ28" s="299">
        <v>0</v>
      </c>
      <c r="AR28" s="299">
        <v>0</v>
      </c>
      <c r="AS28" s="299">
        <v>0</v>
      </c>
      <c r="AT28" s="299">
        <v>0</v>
      </c>
      <c r="AU28" s="299">
        <v>0</v>
      </c>
      <c r="AV28" s="299">
        <v>0</v>
      </c>
      <c r="AW28" s="299"/>
      <c r="AX28" s="299" t="s">
        <v>405</v>
      </c>
      <c r="AY28" s="299">
        <v>12</v>
      </c>
      <c r="AZ28" s="299" t="s">
        <v>405</v>
      </c>
      <c r="BA28" s="299"/>
      <c r="BB28" s="298"/>
      <c r="BC28" s="297"/>
      <c r="BD28" s="299"/>
      <c r="BE28" s="299" t="s">
        <v>406</v>
      </c>
      <c r="BF28" s="298"/>
      <c r="BG28" t="s">
        <v>380</v>
      </c>
      <c r="BH28" t="s">
        <v>408</v>
      </c>
    </row>
    <row r="29" spans="1:60" x14ac:dyDescent="0.15">
      <c r="A29" s="148">
        <v>1162</v>
      </c>
      <c r="B29" s="328">
        <v>43117</v>
      </c>
      <c r="C29" s="296" t="s">
        <v>398</v>
      </c>
      <c r="D29" s="297" t="s">
        <v>379</v>
      </c>
      <c r="E29" s="309">
        <v>43112</v>
      </c>
      <c r="F29" s="298" t="s">
        <v>409</v>
      </c>
      <c r="G29" s="297" t="s">
        <v>410</v>
      </c>
      <c r="H29" s="297">
        <v>67.72</v>
      </c>
      <c r="I29" s="191" t="s">
        <v>402</v>
      </c>
      <c r="J29" s="187">
        <v>1645</v>
      </c>
      <c r="K29" s="187">
        <v>3000</v>
      </c>
      <c r="L29" s="187">
        <v>3000</v>
      </c>
      <c r="M29" s="187">
        <v>3000</v>
      </c>
      <c r="N29" s="297"/>
      <c r="O29" s="297">
        <v>2.27</v>
      </c>
      <c r="P29" s="297">
        <v>2.27</v>
      </c>
      <c r="Q29" s="329">
        <v>0</v>
      </c>
      <c r="R29" s="329">
        <v>0</v>
      </c>
      <c r="S29" s="297">
        <v>2.02</v>
      </c>
      <c r="T29" s="297"/>
      <c r="U29" s="297">
        <v>2.27</v>
      </c>
      <c r="V29" s="297">
        <v>2.27</v>
      </c>
      <c r="W29" s="329">
        <v>0</v>
      </c>
      <c r="X29" s="329">
        <v>0</v>
      </c>
      <c r="Y29" s="297">
        <v>2.02</v>
      </c>
      <c r="Z29" s="297"/>
      <c r="AA29" s="297"/>
      <c r="AB29" s="297"/>
      <c r="AC29" s="297"/>
      <c r="AD29" s="297"/>
      <c r="AE29" s="297"/>
      <c r="AF29" s="297"/>
      <c r="AG29" s="299" t="s">
        <v>405</v>
      </c>
      <c r="AH29" s="299"/>
      <c r="AI29" s="192">
        <v>2</v>
      </c>
      <c r="AJ29" s="192">
        <v>4</v>
      </c>
      <c r="AK29" s="242">
        <v>0.33329999999999999</v>
      </c>
      <c r="AL29" s="242">
        <v>0.66659999999999997</v>
      </c>
      <c r="AM29" s="299">
        <v>0</v>
      </c>
      <c r="AN29" s="299">
        <v>0</v>
      </c>
      <c r="AO29" s="299">
        <v>0</v>
      </c>
      <c r="AP29" s="299">
        <v>25</v>
      </c>
      <c r="AQ29" s="299">
        <v>0</v>
      </c>
      <c r="AR29" s="299">
        <v>0</v>
      </c>
      <c r="AS29" s="299">
        <v>0</v>
      </c>
      <c r="AT29" s="299">
        <v>0</v>
      </c>
      <c r="AU29" s="299">
        <v>0</v>
      </c>
      <c r="AV29" s="299">
        <v>0</v>
      </c>
      <c r="AW29" s="297"/>
      <c r="AX29" s="299" t="s">
        <v>405</v>
      </c>
      <c r="AY29" s="299">
        <v>24</v>
      </c>
      <c r="AZ29" s="299" t="s">
        <v>405</v>
      </c>
      <c r="BA29" s="299"/>
      <c r="BB29" s="298"/>
      <c r="BC29" s="297"/>
      <c r="BD29" s="299"/>
      <c r="BE29" s="299" t="s">
        <v>411</v>
      </c>
      <c r="BF29" s="298"/>
      <c r="BG29" t="s">
        <v>412</v>
      </c>
      <c r="BH29" t="s">
        <v>408</v>
      </c>
    </row>
    <row r="30" spans="1:60" x14ac:dyDescent="0.15">
      <c r="A30" s="148">
        <v>275</v>
      </c>
      <c r="B30" s="328">
        <v>43117</v>
      </c>
      <c r="C30" s="296" t="s">
        <v>398</v>
      </c>
      <c r="D30" s="297" t="s">
        <v>379</v>
      </c>
      <c r="E30" s="295">
        <v>43101</v>
      </c>
      <c r="F30" s="298" t="s">
        <v>413</v>
      </c>
      <c r="G30" s="297" t="s">
        <v>414</v>
      </c>
      <c r="H30" s="297">
        <v>80.2</v>
      </c>
      <c r="I30" s="191" t="s">
        <v>402</v>
      </c>
      <c r="J30" s="187">
        <v>1645</v>
      </c>
      <c r="K30" s="187">
        <v>3000</v>
      </c>
      <c r="L30" s="187">
        <v>3000</v>
      </c>
      <c r="M30" s="187">
        <v>3000</v>
      </c>
      <c r="N30" s="297"/>
      <c r="O30" s="297">
        <v>3.75</v>
      </c>
      <c r="P30" s="297">
        <v>3.2</v>
      </c>
      <c r="Q30" s="329">
        <v>0</v>
      </c>
      <c r="R30" s="329">
        <v>0</v>
      </c>
      <c r="S30" s="297">
        <v>2.8</v>
      </c>
      <c r="T30" s="297"/>
      <c r="U30" s="297">
        <v>3.75</v>
      </c>
      <c r="V30" s="297">
        <v>3.2</v>
      </c>
      <c r="W30" s="329">
        <v>0</v>
      </c>
      <c r="X30" s="329">
        <v>0</v>
      </c>
      <c r="Y30" s="297">
        <v>2.8</v>
      </c>
      <c r="Z30" s="297"/>
      <c r="AA30" s="297"/>
      <c r="AB30" s="297"/>
      <c r="AC30" s="297"/>
      <c r="AD30" s="297"/>
      <c r="AE30" s="297"/>
      <c r="AF30" s="297"/>
      <c r="AG30" s="299" t="s">
        <v>405</v>
      </c>
      <c r="AH30" s="299"/>
      <c r="AI30" s="192">
        <v>2</v>
      </c>
      <c r="AJ30" s="192">
        <v>4</v>
      </c>
      <c r="AK30" s="242">
        <v>0.33329999999999999</v>
      </c>
      <c r="AL30" s="242">
        <v>0.66659999999999997</v>
      </c>
      <c r="AM30" s="299">
        <v>0</v>
      </c>
      <c r="AN30" s="299">
        <v>0</v>
      </c>
      <c r="AO30" s="299">
        <v>14</v>
      </c>
      <c r="AP30" s="299">
        <v>0</v>
      </c>
      <c r="AQ30" s="299">
        <v>0</v>
      </c>
      <c r="AR30" s="299">
        <v>0</v>
      </c>
      <c r="AS30" s="299">
        <v>0</v>
      </c>
      <c r="AT30" s="299">
        <v>0</v>
      </c>
      <c r="AU30" s="299">
        <v>0</v>
      </c>
      <c r="AV30" s="299">
        <v>0</v>
      </c>
      <c r="AW30" s="297"/>
      <c r="AX30" s="299" t="s">
        <v>405</v>
      </c>
      <c r="AY30" s="299"/>
      <c r="AZ30" s="299" t="s">
        <v>405</v>
      </c>
      <c r="BA30" s="299"/>
      <c r="BB30" s="298"/>
      <c r="BC30" s="297"/>
      <c r="BD30" s="299"/>
      <c r="BE30" s="299" t="s">
        <v>406</v>
      </c>
      <c r="BF30" s="298" t="s">
        <v>415</v>
      </c>
      <c r="BG30" t="s">
        <v>381</v>
      </c>
      <c r="BH30" t="s">
        <v>408</v>
      </c>
    </row>
    <row r="31" spans="1:60" x14ac:dyDescent="0.15">
      <c r="A31" s="148">
        <v>1137</v>
      </c>
      <c r="B31" s="295">
        <v>43117</v>
      </c>
      <c r="C31" s="296" t="s">
        <v>398</v>
      </c>
      <c r="D31" s="297" t="s">
        <v>379</v>
      </c>
      <c r="E31" s="295">
        <v>43101</v>
      </c>
      <c r="F31" s="298" t="s">
        <v>417</v>
      </c>
      <c r="G31" s="297" t="s">
        <v>418</v>
      </c>
      <c r="H31" s="297">
        <v>75</v>
      </c>
      <c r="I31" s="191" t="s">
        <v>402</v>
      </c>
      <c r="J31" s="187">
        <v>1645</v>
      </c>
      <c r="K31" s="187">
        <v>3000</v>
      </c>
      <c r="L31" s="187">
        <v>3000</v>
      </c>
      <c r="M31" s="187">
        <v>3000</v>
      </c>
      <c r="N31" s="297"/>
      <c r="O31" s="297">
        <v>2.85</v>
      </c>
      <c r="P31" s="297">
        <v>2.6</v>
      </c>
      <c r="Q31" s="329">
        <v>0</v>
      </c>
      <c r="R31" s="329">
        <v>0</v>
      </c>
      <c r="S31" s="297">
        <v>2.15</v>
      </c>
      <c r="T31" s="297"/>
      <c r="U31" s="297">
        <v>2.85</v>
      </c>
      <c r="V31" s="297">
        <v>2.6</v>
      </c>
      <c r="W31" s="329">
        <v>0</v>
      </c>
      <c r="X31" s="329">
        <v>0</v>
      </c>
      <c r="Y31" s="297">
        <v>2.15</v>
      </c>
      <c r="Z31" s="297"/>
      <c r="AA31" s="297"/>
      <c r="AB31" s="297"/>
      <c r="AC31" s="297"/>
      <c r="AD31" s="297"/>
      <c r="AE31" s="297"/>
      <c r="AF31" s="297"/>
      <c r="AG31" s="299" t="s">
        <v>405</v>
      </c>
      <c r="AH31" s="299"/>
      <c r="AI31" s="192">
        <v>2</v>
      </c>
      <c r="AJ31" s="192">
        <v>4</v>
      </c>
      <c r="AK31" s="242">
        <v>0.33329999999999999</v>
      </c>
      <c r="AL31" s="242">
        <v>0.66659999999999997</v>
      </c>
      <c r="AM31" s="299">
        <v>0</v>
      </c>
      <c r="AN31" s="299">
        <v>0</v>
      </c>
      <c r="AO31" s="299">
        <v>0</v>
      </c>
      <c r="AP31" s="299">
        <v>16</v>
      </c>
      <c r="AQ31" s="299">
        <v>0</v>
      </c>
      <c r="AR31" s="299">
        <v>0</v>
      </c>
      <c r="AS31" s="299">
        <v>0</v>
      </c>
      <c r="AT31" s="299">
        <v>0</v>
      </c>
      <c r="AU31" s="299">
        <v>0</v>
      </c>
      <c r="AV31" s="299">
        <v>0</v>
      </c>
      <c r="AW31" s="299">
        <v>12</v>
      </c>
      <c r="AX31" s="299" t="s">
        <v>403</v>
      </c>
      <c r="AY31" s="299"/>
      <c r="AZ31" s="299" t="s">
        <v>405</v>
      </c>
      <c r="BA31" s="299"/>
      <c r="BB31" s="298"/>
      <c r="BC31" s="297"/>
      <c r="BD31" s="299"/>
      <c r="BE31" s="299" t="s">
        <v>406</v>
      </c>
      <c r="BF31" s="298"/>
      <c r="BG31" t="s">
        <v>337</v>
      </c>
      <c r="BH31" t="s">
        <v>408</v>
      </c>
    </row>
    <row r="32" spans="1:60" x14ac:dyDescent="0.15">
      <c r="A32" s="148">
        <v>882</v>
      </c>
      <c r="B32" s="295">
        <v>43117</v>
      </c>
      <c r="C32" s="296" t="s">
        <v>398</v>
      </c>
      <c r="D32" s="297" t="s">
        <v>379</v>
      </c>
      <c r="E32" s="295">
        <v>43009</v>
      </c>
      <c r="F32" s="298" t="s">
        <v>420</v>
      </c>
      <c r="G32" s="297" t="s">
        <v>421</v>
      </c>
      <c r="H32" s="297">
        <v>81.349999999999994</v>
      </c>
      <c r="I32" s="191" t="s">
        <v>402</v>
      </c>
      <c r="J32" s="193">
        <v>4000</v>
      </c>
      <c r="K32" s="193">
        <v>12000</v>
      </c>
      <c r="L32" s="193">
        <v>12000</v>
      </c>
      <c r="M32" s="193">
        <v>12000</v>
      </c>
      <c r="N32" s="297"/>
      <c r="O32" s="297">
        <v>2.4900000000000002</v>
      </c>
      <c r="P32" s="297">
        <v>2.19</v>
      </c>
      <c r="Q32" s="329">
        <v>0</v>
      </c>
      <c r="R32" s="329">
        <v>0</v>
      </c>
      <c r="S32" s="297">
        <v>1.79</v>
      </c>
      <c r="T32" s="297"/>
      <c r="U32" s="297">
        <v>2.4900000000000002</v>
      </c>
      <c r="V32" s="297">
        <v>2.19</v>
      </c>
      <c r="W32" s="329">
        <v>0</v>
      </c>
      <c r="X32" s="329">
        <v>0</v>
      </c>
      <c r="Y32" s="297">
        <v>1.79</v>
      </c>
      <c r="Z32" s="297"/>
      <c r="AA32" s="297"/>
      <c r="AB32" s="297"/>
      <c r="AC32" s="297"/>
      <c r="AD32" s="297"/>
      <c r="AE32" s="297"/>
      <c r="AF32" s="297"/>
      <c r="AG32" s="299" t="s">
        <v>403</v>
      </c>
      <c r="AH32" s="299" t="s">
        <v>404</v>
      </c>
      <c r="AI32" s="192">
        <v>2</v>
      </c>
      <c r="AJ32" s="192">
        <v>4</v>
      </c>
      <c r="AK32" s="242">
        <v>0.33329999999999999</v>
      </c>
      <c r="AL32" s="242">
        <v>0.66659999999999997</v>
      </c>
      <c r="AM32" s="299">
        <v>0</v>
      </c>
      <c r="AN32" s="299">
        <v>0</v>
      </c>
      <c r="AO32" s="299">
        <v>0</v>
      </c>
      <c r="AP32" s="299">
        <v>0</v>
      </c>
      <c r="AQ32" s="299">
        <v>0</v>
      </c>
      <c r="AR32" s="299">
        <v>20</v>
      </c>
      <c r="AS32" s="299">
        <v>0</v>
      </c>
      <c r="AT32" s="299">
        <v>0</v>
      </c>
      <c r="AU32" s="299">
        <v>0</v>
      </c>
      <c r="AV32" s="299">
        <v>0</v>
      </c>
      <c r="AW32" s="297"/>
      <c r="AX32" s="299" t="s">
        <v>405</v>
      </c>
      <c r="AY32" s="299"/>
      <c r="AZ32" s="299" t="s">
        <v>405</v>
      </c>
      <c r="BA32" s="299"/>
      <c r="BB32" s="298"/>
      <c r="BC32" s="297"/>
      <c r="BD32" s="299"/>
      <c r="BE32" s="299" t="s">
        <v>422</v>
      </c>
      <c r="BF32" s="298"/>
      <c r="BG32" t="s">
        <v>338</v>
      </c>
      <c r="BH32" t="s">
        <v>408</v>
      </c>
    </row>
    <row r="33" spans="1:60" x14ac:dyDescent="0.15">
      <c r="A33" s="148">
        <v>159</v>
      </c>
      <c r="B33" s="295">
        <v>43117</v>
      </c>
      <c r="C33" s="296" t="s">
        <v>398</v>
      </c>
      <c r="D33" s="297" t="s">
        <v>379</v>
      </c>
      <c r="E33" s="295">
        <v>43102</v>
      </c>
      <c r="F33" s="298" t="s">
        <v>424</v>
      </c>
      <c r="G33" s="297" t="s">
        <v>425</v>
      </c>
      <c r="H33" s="297">
        <v>78.7</v>
      </c>
      <c r="I33" s="191" t="s">
        <v>402</v>
      </c>
      <c r="J33" s="187">
        <v>3000</v>
      </c>
      <c r="K33" s="187">
        <v>3000</v>
      </c>
      <c r="L33" s="187">
        <v>3000</v>
      </c>
      <c r="M33" s="187">
        <v>3000</v>
      </c>
      <c r="N33" s="297"/>
      <c r="O33" s="297">
        <v>2.83</v>
      </c>
      <c r="P33" s="329">
        <v>0</v>
      </c>
      <c r="Q33" s="329">
        <v>0</v>
      </c>
      <c r="R33" s="329">
        <v>0</v>
      </c>
      <c r="S33" s="297">
        <v>1.91</v>
      </c>
      <c r="T33" s="297"/>
      <c r="U33" s="297">
        <v>2.83</v>
      </c>
      <c r="V33" s="329">
        <v>0</v>
      </c>
      <c r="W33" s="329">
        <v>0</v>
      </c>
      <c r="X33" s="329">
        <v>0</v>
      </c>
      <c r="Y33" s="297">
        <v>1.91</v>
      </c>
      <c r="Z33" s="297"/>
      <c r="AA33" s="297"/>
      <c r="AB33" s="297"/>
      <c r="AC33" s="297"/>
      <c r="AD33" s="297"/>
      <c r="AE33" s="297"/>
      <c r="AF33" s="297"/>
      <c r="AG33" s="299" t="s">
        <v>405</v>
      </c>
      <c r="AH33" s="297"/>
      <c r="AI33" s="192">
        <v>2</v>
      </c>
      <c r="AJ33" s="192">
        <v>4</v>
      </c>
      <c r="AK33" s="242">
        <v>0.33329999999999999</v>
      </c>
      <c r="AL33" s="242">
        <v>0.66659999999999997</v>
      </c>
      <c r="AM33" s="299">
        <v>0</v>
      </c>
      <c r="AN33" s="299">
        <v>0</v>
      </c>
      <c r="AO33" s="299">
        <v>0</v>
      </c>
      <c r="AP33" s="299">
        <v>15</v>
      </c>
      <c r="AQ33" s="299">
        <v>0</v>
      </c>
      <c r="AR33" s="299">
        <v>0</v>
      </c>
      <c r="AS33" s="299">
        <v>0</v>
      </c>
      <c r="AT33" s="299">
        <v>0</v>
      </c>
      <c r="AU33" s="299">
        <v>0</v>
      </c>
      <c r="AV33" s="299">
        <v>0</v>
      </c>
      <c r="AW33" s="297"/>
      <c r="AX33" s="299" t="s">
        <v>405</v>
      </c>
      <c r="AY33" s="299">
        <v>12</v>
      </c>
      <c r="AZ33" s="299" t="s">
        <v>405</v>
      </c>
      <c r="BA33" s="299"/>
      <c r="BB33" s="298"/>
      <c r="BC33" s="297"/>
      <c r="BD33" s="299"/>
      <c r="BE33" s="299" t="s">
        <v>406</v>
      </c>
      <c r="BF33" s="298"/>
      <c r="BG33" s="301" t="s">
        <v>339</v>
      </c>
      <c r="BH33" t="s">
        <v>408</v>
      </c>
    </row>
    <row r="34" spans="1:60" x14ac:dyDescent="0.15">
      <c r="A34" s="148">
        <v>173</v>
      </c>
      <c r="B34" s="295">
        <v>43117</v>
      </c>
      <c r="C34" s="296" t="s">
        <v>398</v>
      </c>
      <c r="D34" s="297" t="s">
        <v>379</v>
      </c>
      <c r="E34" s="295">
        <v>42754</v>
      </c>
      <c r="F34" s="298" t="s">
        <v>427</v>
      </c>
      <c r="G34" s="297" t="s">
        <v>428</v>
      </c>
      <c r="H34" s="297">
        <v>67</v>
      </c>
      <c r="I34" s="191" t="s">
        <v>402</v>
      </c>
      <c r="J34" s="187">
        <v>1645</v>
      </c>
      <c r="K34" s="187">
        <v>3000</v>
      </c>
      <c r="L34" s="187">
        <v>3000</v>
      </c>
      <c r="M34" s="187">
        <v>3000</v>
      </c>
      <c r="N34" s="297"/>
      <c r="O34" s="297">
        <v>2.87</v>
      </c>
      <c r="P34" s="297">
        <v>2.4</v>
      </c>
      <c r="Q34" s="329">
        <v>0</v>
      </c>
      <c r="R34" s="329">
        <v>0</v>
      </c>
      <c r="S34" s="297">
        <v>2.04</v>
      </c>
      <c r="T34" s="297"/>
      <c r="U34" s="297">
        <v>2.87</v>
      </c>
      <c r="V34" s="297">
        <v>2.4</v>
      </c>
      <c r="W34" s="329">
        <v>0</v>
      </c>
      <c r="X34" s="329">
        <v>0</v>
      </c>
      <c r="Y34" s="297">
        <v>2.04</v>
      </c>
      <c r="Z34" s="297"/>
      <c r="AA34" s="297"/>
      <c r="AB34" s="297"/>
      <c r="AC34" s="297"/>
      <c r="AD34" s="297"/>
      <c r="AE34" s="297"/>
      <c r="AF34" s="297"/>
      <c r="AG34" s="299" t="s">
        <v>405</v>
      </c>
      <c r="AH34" s="299"/>
      <c r="AI34" s="192">
        <v>2</v>
      </c>
      <c r="AJ34" s="192">
        <v>4</v>
      </c>
      <c r="AK34" s="242">
        <v>0.33329999999999999</v>
      </c>
      <c r="AL34" s="242">
        <v>0.66659999999999997</v>
      </c>
      <c r="AM34" s="299">
        <v>0</v>
      </c>
      <c r="AN34" s="299">
        <v>0</v>
      </c>
      <c r="AO34" s="299">
        <v>15</v>
      </c>
      <c r="AP34" s="299">
        <v>0</v>
      </c>
      <c r="AQ34" s="299">
        <v>0</v>
      </c>
      <c r="AR34" s="299">
        <v>0</v>
      </c>
      <c r="AS34" s="299">
        <v>0</v>
      </c>
      <c r="AT34" s="299">
        <v>0</v>
      </c>
      <c r="AU34" s="299">
        <v>0</v>
      </c>
      <c r="AV34" s="299">
        <v>0</v>
      </c>
      <c r="AW34" s="297"/>
      <c r="AX34" s="299" t="s">
        <v>405</v>
      </c>
      <c r="AY34" s="299"/>
      <c r="AZ34" s="299" t="s">
        <v>405</v>
      </c>
      <c r="BA34" s="299"/>
      <c r="BB34" s="298" t="s">
        <v>429</v>
      </c>
      <c r="BC34" s="297"/>
      <c r="BD34" s="299"/>
      <c r="BE34" s="299" t="s">
        <v>406</v>
      </c>
      <c r="BF34" s="298"/>
      <c r="BG34" t="s">
        <v>430</v>
      </c>
      <c r="BH34" t="s">
        <v>408</v>
      </c>
    </row>
    <row r="35" spans="1:60" x14ac:dyDescent="0.15">
      <c r="A35" s="148">
        <v>314</v>
      </c>
      <c r="B35" s="295">
        <v>43117</v>
      </c>
      <c r="C35" s="296" t="s">
        <v>398</v>
      </c>
      <c r="D35" s="297" t="s">
        <v>379</v>
      </c>
      <c r="E35" s="295">
        <v>43101</v>
      </c>
      <c r="F35" s="297" t="s">
        <v>431</v>
      </c>
      <c r="G35" s="297" t="s">
        <v>421</v>
      </c>
      <c r="H35" s="297">
        <v>74.27</v>
      </c>
      <c r="I35" s="191" t="s">
        <v>402</v>
      </c>
      <c r="J35" s="187">
        <v>1645</v>
      </c>
      <c r="K35" s="187">
        <v>3000</v>
      </c>
      <c r="L35" s="187">
        <v>3000</v>
      </c>
      <c r="M35" s="187">
        <v>3000</v>
      </c>
      <c r="N35" s="297"/>
      <c r="O35" s="297">
        <v>2.4449999999999998</v>
      </c>
      <c r="P35" s="297">
        <v>2.0299999999999998</v>
      </c>
      <c r="Q35" s="329">
        <v>0</v>
      </c>
      <c r="R35" s="329">
        <v>0</v>
      </c>
      <c r="S35" s="297">
        <v>1.7170000000000001</v>
      </c>
      <c r="T35" s="297"/>
      <c r="U35" s="297">
        <v>2.3239999999999998</v>
      </c>
      <c r="V35" s="297">
        <v>1.9239999999999999</v>
      </c>
      <c r="W35" s="329">
        <v>0</v>
      </c>
      <c r="X35" s="329">
        <v>0</v>
      </c>
      <c r="Y35" s="297">
        <v>1.6220000000000001</v>
      </c>
      <c r="Z35" s="297"/>
      <c r="AA35" s="297"/>
      <c r="AB35" s="297"/>
      <c r="AC35" s="297"/>
      <c r="AD35" s="297"/>
      <c r="AE35" s="297"/>
      <c r="AF35" s="297"/>
      <c r="AG35" s="299" t="s">
        <v>403</v>
      </c>
      <c r="AH35" s="299" t="s">
        <v>404</v>
      </c>
      <c r="AI35" s="192">
        <v>2</v>
      </c>
      <c r="AJ35" s="192">
        <v>4</v>
      </c>
      <c r="AK35" s="242">
        <v>0.33329999999999999</v>
      </c>
      <c r="AL35" s="242">
        <v>0.66659999999999997</v>
      </c>
      <c r="AM35" s="299">
        <v>0</v>
      </c>
      <c r="AN35" s="299">
        <v>0</v>
      </c>
      <c r="AO35" s="299">
        <v>0</v>
      </c>
      <c r="AP35" s="299">
        <v>0</v>
      </c>
      <c r="AQ35" s="299">
        <v>0</v>
      </c>
      <c r="AR35" s="299">
        <v>0</v>
      </c>
      <c r="AS35" s="299">
        <v>0</v>
      </c>
      <c r="AT35" s="299">
        <v>0</v>
      </c>
      <c r="AU35" s="299">
        <v>0</v>
      </c>
      <c r="AV35" s="299">
        <v>0</v>
      </c>
      <c r="AW35" s="297"/>
      <c r="AX35" s="299" t="s">
        <v>405</v>
      </c>
      <c r="AY35" s="299"/>
      <c r="AZ35" s="299" t="s">
        <v>405</v>
      </c>
      <c r="BA35" s="299"/>
      <c r="BB35" s="298" t="s">
        <v>432</v>
      </c>
      <c r="BC35" s="297" t="s">
        <v>433</v>
      </c>
      <c r="BD35" s="299">
        <v>50</v>
      </c>
      <c r="BE35" s="299" t="s">
        <v>422</v>
      </c>
      <c r="BF35" s="298"/>
      <c r="BG35" t="s">
        <v>340</v>
      </c>
      <c r="BH35" t="s">
        <v>408</v>
      </c>
    </row>
    <row r="36" spans="1:60" x14ac:dyDescent="0.15">
      <c r="A36" s="148">
        <v>569</v>
      </c>
      <c r="B36" s="295">
        <v>43111</v>
      </c>
      <c r="C36" s="296" t="s">
        <v>398</v>
      </c>
      <c r="D36" s="297" t="s">
        <v>379</v>
      </c>
      <c r="E36" s="295">
        <v>43101</v>
      </c>
      <c r="F36" s="298" t="s">
        <v>354</v>
      </c>
      <c r="G36" s="297" t="s">
        <v>355</v>
      </c>
      <c r="H36" s="297">
        <v>69</v>
      </c>
      <c r="I36" s="191" t="s">
        <v>402</v>
      </c>
      <c r="J36" s="193">
        <v>4000</v>
      </c>
      <c r="K36" s="193">
        <v>12000</v>
      </c>
      <c r="L36" s="193">
        <v>12000</v>
      </c>
      <c r="M36" s="193">
        <v>12000</v>
      </c>
      <c r="N36" s="297"/>
      <c r="O36" s="297">
        <v>2.2000000000000002</v>
      </c>
      <c r="P36" s="297">
        <v>2.1</v>
      </c>
      <c r="Q36" s="329">
        <v>0</v>
      </c>
      <c r="R36" s="329">
        <v>0</v>
      </c>
      <c r="S36" s="297">
        <v>1.8</v>
      </c>
      <c r="T36" s="297"/>
      <c r="U36" s="297">
        <v>2.2000000000000002</v>
      </c>
      <c r="V36" s="297">
        <v>2.1</v>
      </c>
      <c r="W36" s="329">
        <v>0</v>
      </c>
      <c r="X36" s="329">
        <v>0</v>
      </c>
      <c r="Y36" s="297">
        <v>1.8</v>
      </c>
      <c r="AB36" s="297"/>
      <c r="AC36" s="297"/>
      <c r="AD36" s="297"/>
      <c r="AE36" s="297"/>
      <c r="AF36" s="297"/>
      <c r="AG36" s="299" t="s">
        <v>405</v>
      </c>
      <c r="AH36" s="299"/>
      <c r="AI36" s="192">
        <v>2</v>
      </c>
      <c r="AJ36" s="192">
        <v>4</v>
      </c>
      <c r="AK36" s="242">
        <v>0.33329999999999999</v>
      </c>
      <c r="AL36" s="242">
        <v>0.66659999999999997</v>
      </c>
      <c r="AM36" s="299">
        <v>0</v>
      </c>
      <c r="AN36" s="299">
        <v>0</v>
      </c>
      <c r="AO36" s="299">
        <v>0</v>
      </c>
      <c r="AP36" s="299">
        <v>13</v>
      </c>
      <c r="AQ36" s="299">
        <v>0</v>
      </c>
      <c r="AR36" s="299">
        <v>0</v>
      </c>
      <c r="AS36" s="299">
        <v>0</v>
      </c>
      <c r="AT36" s="299">
        <v>0</v>
      </c>
      <c r="AU36" s="299">
        <v>0</v>
      </c>
      <c r="AV36" s="299">
        <v>0</v>
      </c>
      <c r="AW36" s="297"/>
      <c r="AX36" s="299" t="s">
        <v>405</v>
      </c>
      <c r="AY36" s="299">
        <v>12</v>
      </c>
      <c r="AZ36" s="299" t="s">
        <v>405</v>
      </c>
      <c r="BA36" s="299"/>
      <c r="BB36" s="298"/>
      <c r="BC36" s="298"/>
      <c r="BD36" s="299"/>
      <c r="BE36" s="299" t="s">
        <v>406</v>
      </c>
      <c r="BF36" s="298"/>
      <c r="BG36" t="s">
        <v>341</v>
      </c>
      <c r="BH36" t="s">
        <v>357</v>
      </c>
    </row>
    <row r="37" spans="1:60" x14ac:dyDescent="0.15">
      <c r="A37" s="148">
        <v>235</v>
      </c>
      <c r="B37" s="295">
        <v>43117</v>
      </c>
      <c r="C37" s="296" t="s">
        <v>398</v>
      </c>
      <c r="D37" s="297" t="s">
        <v>379</v>
      </c>
      <c r="E37" s="309" t="s">
        <v>358</v>
      </c>
      <c r="F37" s="298" t="s">
        <v>359</v>
      </c>
      <c r="G37" s="297" t="s">
        <v>360</v>
      </c>
      <c r="H37" s="297">
        <v>72.099999999999994</v>
      </c>
      <c r="I37" s="191" t="s">
        <v>402</v>
      </c>
      <c r="J37" s="193">
        <v>3000</v>
      </c>
      <c r="K37" s="193">
        <v>3000</v>
      </c>
      <c r="L37" s="193">
        <v>3000</v>
      </c>
      <c r="M37" s="193">
        <v>3000</v>
      </c>
      <c r="N37" s="297"/>
      <c r="O37" s="297">
        <v>2.0030000000000001</v>
      </c>
      <c r="P37" s="338">
        <v>0</v>
      </c>
      <c r="Q37" s="329">
        <v>0</v>
      </c>
      <c r="R37" s="329">
        <v>0</v>
      </c>
      <c r="S37" s="297">
        <v>1.4610000000000001</v>
      </c>
      <c r="T37" s="297"/>
      <c r="U37" s="297">
        <v>2.0030000000000001</v>
      </c>
      <c r="V37" s="329">
        <v>0</v>
      </c>
      <c r="W37" s="329">
        <v>0</v>
      </c>
      <c r="X37" s="329">
        <v>0</v>
      </c>
      <c r="Y37" s="297">
        <v>1.4610000000000001</v>
      </c>
      <c r="AB37" s="297"/>
      <c r="AC37" s="297"/>
      <c r="AD37" s="297"/>
      <c r="AE37" s="297"/>
      <c r="AF37" s="297"/>
      <c r="AG37" s="299" t="s">
        <v>405</v>
      </c>
      <c r="AH37" s="299"/>
      <c r="AI37" s="192">
        <v>2</v>
      </c>
      <c r="AJ37" s="192">
        <v>4</v>
      </c>
      <c r="AK37" s="242">
        <v>0.33329999999999999</v>
      </c>
      <c r="AL37" s="242">
        <v>0.66659999999999997</v>
      </c>
      <c r="AM37" s="299">
        <v>0</v>
      </c>
      <c r="AN37" s="299">
        <v>0</v>
      </c>
      <c r="AO37" s="299">
        <v>10</v>
      </c>
      <c r="AP37" s="299">
        <v>0</v>
      </c>
      <c r="AQ37" s="299">
        <v>0</v>
      </c>
      <c r="AR37" s="299">
        <v>0</v>
      </c>
      <c r="AS37" s="299">
        <v>0</v>
      </c>
      <c r="AT37" s="299">
        <v>0</v>
      </c>
      <c r="AU37" s="299">
        <v>0</v>
      </c>
      <c r="AV37" s="299">
        <v>0</v>
      </c>
      <c r="AW37" s="299"/>
      <c r="AX37" s="299" t="s">
        <v>405</v>
      </c>
      <c r="AY37" s="299"/>
      <c r="AZ37" s="299" t="s">
        <v>405</v>
      </c>
      <c r="BA37" s="299"/>
      <c r="BB37" s="298"/>
      <c r="BC37" s="297"/>
      <c r="BD37" s="299"/>
      <c r="BE37" s="299" t="s">
        <v>422</v>
      </c>
      <c r="BF37" s="298"/>
      <c r="BG37" t="s">
        <v>342</v>
      </c>
      <c r="BH37" t="s">
        <v>357</v>
      </c>
    </row>
    <row r="38" spans="1:60" x14ac:dyDescent="0.15">
      <c r="A38" s="148">
        <v>784</v>
      </c>
      <c r="B38" s="295">
        <v>43088</v>
      </c>
      <c r="C38" s="296" t="s">
        <v>398</v>
      </c>
      <c r="D38" s="297" t="s">
        <v>379</v>
      </c>
      <c r="E38" s="309">
        <v>43115</v>
      </c>
      <c r="F38" s="298" t="s">
        <v>362</v>
      </c>
      <c r="G38" s="297" t="s">
        <v>363</v>
      </c>
      <c r="H38" s="339">
        <v>71.11</v>
      </c>
      <c r="I38" s="191" t="s">
        <v>402</v>
      </c>
      <c r="J38" s="187">
        <v>1645</v>
      </c>
      <c r="K38" s="187">
        <v>3000</v>
      </c>
      <c r="L38" s="187">
        <v>3000</v>
      </c>
      <c r="M38" s="187">
        <v>3000</v>
      </c>
      <c r="N38" s="297"/>
      <c r="O38" s="340">
        <v>3.07</v>
      </c>
      <c r="P38" s="332">
        <v>2.63</v>
      </c>
      <c r="Q38" s="329">
        <v>0</v>
      </c>
      <c r="R38" s="329">
        <v>0</v>
      </c>
      <c r="S38" s="341">
        <v>2.2400000000000002</v>
      </c>
      <c r="T38" s="297"/>
      <c r="U38" s="340">
        <v>3.07</v>
      </c>
      <c r="V38" s="332">
        <v>2.63</v>
      </c>
      <c r="W38" s="329">
        <v>0</v>
      </c>
      <c r="X38" s="329">
        <v>0</v>
      </c>
      <c r="Y38" s="341">
        <v>2.2400000000000002</v>
      </c>
      <c r="AB38" s="297"/>
      <c r="AC38" s="297"/>
      <c r="AD38" s="297"/>
      <c r="AE38" s="297"/>
      <c r="AF38" s="297"/>
      <c r="AG38" s="299" t="s">
        <v>405</v>
      </c>
      <c r="AH38" s="299"/>
      <c r="AI38" s="192">
        <v>2</v>
      </c>
      <c r="AJ38" s="192">
        <v>4</v>
      </c>
      <c r="AK38" s="242">
        <v>0.33329999999999999</v>
      </c>
      <c r="AL38" s="242">
        <v>0.66659999999999997</v>
      </c>
      <c r="AM38" s="299">
        <v>0</v>
      </c>
      <c r="AN38" s="299">
        <v>0</v>
      </c>
      <c r="AO38" s="299">
        <v>0</v>
      </c>
      <c r="AP38" s="299">
        <v>20</v>
      </c>
      <c r="AQ38" s="299">
        <v>0</v>
      </c>
      <c r="AR38" s="299">
        <v>0</v>
      </c>
      <c r="AS38" s="299">
        <v>0</v>
      </c>
      <c r="AT38" s="299">
        <v>0</v>
      </c>
      <c r="AU38" s="299">
        <v>0</v>
      </c>
      <c r="AV38" s="299">
        <v>0</v>
      </c>
      <c r="AW38" s="297"/>
      <c r="AX38" s="299" t="s">
        <v>405</v>
      </c>
      <c r="AY38" s="299">
        <v>24</v>
      </c>
      <c r="AZ38" s="299" t="s">
        <v>405</v>
      </c>
      <c r="BA38" s="299"/>
      <c r="BB38" s="298" t="s">
        <v>364</v>
      </c>
      <c r="BC38" s="297" t="s">
        <v>365</v>
      </c>
      <c r="BD38" s="299">
        <v>25</v>
      </c>
      <c r="BE38" s="299" t="s">
        <v>422</v>
      </c>
      <c r="BF38" s="298"/>
      <c r="BG38" t="s">
        <v>430</v>
      </c>
      <c r="BH38" t="s">
        <v>408</v>
      </c>
    </row>
    <row r="39" spans="1:60" x14ac:dyDescent="0.15">
      <c r="A39" s="148">
        <v>1128</v>
      </c>
      <c r="B39" s="295">
        <v>43088</v>
      </c>
      <c r="C39" s="296" t="s">
        <v>398</v>
      </c>
      <c r="D39" s="297" t="s">
        <v>379</v>
      </c>
      <c r="E39" s="309">
        <v>42948</v>
      </c>
      <c r="F39" s="297" t="s">
        <v>366</v>
      </c>
      <c r="G39" s="297" t="s">
        <v>367</v>
      </c>
      <c r="H39" s="332">
        <v>77</v>
      </c>
      <c r="I39" s="191" t="s">
        <v>402</v>
      </c>
      <c r="J39" s="187">
        <v>6000</v>
      </c>
      <c r="K39" s="187">
        <v>12000</v>
      </c>
      <c r="L39" s="187">
        <v>12000</v>
      </c>
      <c r="M39" s="187">
        <v>12000</v>
      </c>
      <c r="N39" s="332"/>
      <c r="O39" s="332">
        <v>3.024</v>
      </c>
      <c r="P39" s="332">
        <v>2.778</v>
      </c>
      <c r="Q39" s="329">
        <v>0</v>
      </c>
      <c r="R39" s="329">
        <v>0</v>
      </c>
      <c r="S39" s="332">
        <v>2.4209999999999998</v>
      </c>
      <c r="T39" s="332"/>
      <c r="U39" s="332">
        <v>3.024</v>
      </c>
      <c r="V39" s="332">
        <v>2.778</v>
      </c>
      <c r="W39" s="329">
        <v>0</v>
      </c>
      <c r="X39" s="329">
        <v>0</v>
      </c>
      <c r="Y39" s="332">
        <v>2.4209999999999998</v>
      </c>
      <c r="Z39" s="342"/>
      <c r="AA39" s="343"/>
      <c r="AB39" s="332"/>
      <c r="AC39" s="332"/>
      <c r="AD39" s="332"/>
      <c r="AE39" s="332"/>
      <c r="AF39" s="332"/>
      <c r="AG39" s="333" t="s">
        <v>405</v>
      </c>
      <c r="AH39" s="333"/>
      <c r="AI39" s="192">
        <v>2</v>
      </c>
      <c r="AJ39" s="192">
        <v>4</v>
      </c>
      <c r="AK39" s="242">
        <v>0.33329999999999999</v>
      </c>
      <c r="AL39" s="242">
        <v>0.66659999999999997</v>
      </c>
      <c r="AM39" s="299">
        <v>0</v>
      </c>
      <c r="AN39" s="299">
        <v>0</v>
      </c>
      <c r="AO39" s="299">
        <v>0</v>
      </c>
      <c r="AP39" s="299">
        <v>17</v>
      </c>
      <c r="AQ39" s="299">
        <v>0</v>
      </c>
      <c r="AR39" s="299">
        <v>0</v>
      </c>
      <c r="AS39" s="299">
        <v>0</v>
      </c>
      <c r="AT39" s="299">
        <v>0</v>
      </c>
      <c r="AU39" s="299">
        <v>0</v>
      </c>
      <c r="AV39" s="299">
        <v>0</v>
      </c>
      <c r="AW39" s="299"/>
      <c r="AX39" s="299" t="s">
        <v>405</v>
      </c>
      <c r="AY39" s="299">
        <v>12</v>
      </c>
      <c r="AZ39" s="299" t="s">
        <v>405</v>
      </c>
      <c r="BA39" s="299"/>
      <c r="BB39" s="298"/>
      <c r="BC39" s="297"/>
      <c r="BD39" s="299"/>
      <c r="BE39" s="299" t="s">
        <v>422</v>
      </c>
      <c r="BF39" s="298"/>
      <c r="BG39" t="s">
        <v>430</v>
      </c>
      <c r="BH39" t="s">
        <v>368</v>
      </c>
    </row>
    <row r="40" spans="1:60" x14ac:dyDescent="0.15">
      <c r="A40" s="148">
        <v>1262</v>
      </c>
      <c r="B40" s="328">
        <v>43117</v>
      </c>
      <c r="C40" s="296" t="s">
        <v>398</v>
      </c>
      <c r="D40" s="297" t="s">
        <v>379</v>
      </c>
      <c r="E40" s="295">
        <v>43101</v>
      </c>
      <c r="F40" s="298" t="s">
        <v>987</v>
      </c>
      <c r="G40" s="297" t="s">
        <v>369</v>
      </c>
      <c r="H40" s="297">
        <v>80.2</v>
      </c>
      <c r="I40" s="191" t="s">
        <v>402</v>
      </c>
      <c r="J40" s="187">
        <v>1645</v>
      </c>
      <c r="K40" s="187">
        <v>3000</v>
      </c>
      <c r="L40" s="187">
        <v>3000</v>
      </c>
      <c r="M40" s="187">
        <v>3000</v>
      </c>
      <c r="N40" s="297"/>
      <c r="O40" s="297">
        <v>3.75</v>
      </c>
      <c r="P40" s="297">
        <v>3.2</v>
      </c>
      <c r="Q40" s="329">
        <v>0</v>
      </c>
      <c r="R40" s="329">
        <v>0</v>
      </c>
      <c r="S40" s="297">
        <v>2.8</v>
      </c>
      <c r="T40" s="297"/>
      <c r="U40" s="297">
        <v>3.75</v>
      </c>
      <c r="V40" s="297">
        <v>3.2</v>
      </c>
      <c r="W40" s="329">
        <v>0</v>
      </c>
      <c r="X40" s="329">
        <v>0</v>
      </c>
      <c r="Y40" s="297">
        <v>2.8</v>
      </c>
      <c r="Z40" s="297"/>
      <c r="AA40" s="297"/>
      <c r="AB40" s="297"/>
      <c r="AC40" s="297"/>
      <c r="AD40" s="297"/>
      <c r="AE40" s="297"/>
      <c r="AF40" s="297"/>
      <c r="AG40" s="299" t="s">
        <v>405</v>
      </c>
      <c r="AH40" s="299"/>
      <c r="AI40" s="192">
        <v>2</v>
      </c>
      <c r="AJ40" s="192">
        <v>4</v>
      </c>
      <c r="AK40" s="242">
        <v>0.33329999999999999</v>
      </c>
      <c r="AL40" s="242">
        <v>0.66659999999999997</v>
      </c>
      <c r="AM40" s="299">
        <v>0</v>
      </c>
      <c r="AN40" s="299">
        <v>0</v>
      </c>
      <c r="AO40" s="299">
        <v>28</v>
      </c>
      <c r="AP40" s="299">
        <v>0</v>
      </c>
      <c r="AQ40" s="299">
        <v>0</v>
      </c>
      <c r="AR40" s="299">
        <v>0</v>
      </c>
      <c r="AS40" s="299">
        <v>0</v>
      </c>
      <c r="AT40" s="299">
        <v>0</v>
      </c>
      <c r="AU40" s="299">
        <v>0</v>
      </c>
      <c r="AV40" s="299">
        <v>0</v>
      </c>
      <c r="AW40" s="299"/>
      <c r="AX40" s="299" t="s">
        <v>405</v>
      </c>
      <c r="AY40" s="299"/>
      <c r="AZ40" s="299" t="s">
        <v>405</v>
      </c>
      <c r="BA40" s="299"/>
      <c r="BB40" s="298"/>
      <c r="BC40" s="297"/>
      <c r="BD40" s="299"/>
      <c r="BE40" s="299" t="s">
        <v>406</v>
      </c>
      <c r="BF40" s="298" t="s">
        <v>370</v>
      </c>
      <c r="BG40" t="s">
        <v>343</v>
      </c>
      <c r="BH40" t="s">
        <v>408</v>
      </c>
    </row>
    <row r="41" spans="1:60" x14ac:dyDescent="0.15">
      <c r="A41" s="148">
        <v>80</v>
      </c>
      <c r="B41" s="328">
        <v>43117</v>
      </c>
      <c r="C41" s="296" t="s">
        <v>398</v>
      </c>
      <c r="D41" s="297" t="s">
        <v>344</v>
      </c>
      <c r="E41" s="295">
        <v>43110</v>
      </c>
      <c r="F41" s="298" t="s">
        <v>400</v>
      </c>
      <c r="G41" s="297" t="s">
        <v>401</v>
      </c>
      <c r="H41" s="297">
        <v>77</v>
      </c>
      <c r="I41" s="199" t="s">
        <v>402</v>
      </c>
      <c r="J41" s="195">
        <v>1645</v>
      </c>
      <c r="K41" s="195">
        <v>3000</v>
      </c>
      <c r="L41" s="195">
        <v>3000</v>
      </c>
      <c r="M41" s="195">
        <v>3000</v>
      </c>
      <c r="N41" s="297"/>
      <c r="O41" s="297">
        <v>2.83</v>
      </c>
      <c r="P41" s="297">
        <v>2.7</v>
      </c>
      <c r="Q41" s="329">
        <v>0</v>
      </c>
      <c r="R41" s="329">
        <v>0</v>
      </c>
      <c r="S41" s="297">
        <v>1.83</v>
      </c>
      <c r="T41" s="297"/>
      <c r="U41" s="297">
        <v>2.83</v>
      </c>
      <c r="V41" s="297">
        <v>2.7</v>
      </c>
      <c r="W41" s="329">
        <v>0</v>
      </c>
      <c r="X41" s="329">
        <v>0</v>
      </c>
      <c r="Y41" s="297">
        <v>1.83</v>
      </c>
      <c r="Z41" s="297"/>
      <c r="AA41" s="297"/>
      <c r="AB41" s="297"/>
      <c r="AC41" s="297"/>
      <c r="AD41" s="297"/>
      <c r="AE41" s="297"/>
      <c r="AF41" s="297"/>
      <c r="AG41" s="299" t="s">
        <v>405</v>
      </c>
      <c r="AH41" s="299"/>
      <c r="AI41" s="192">
        <v>2</v>
      </c>
      <c r="AJ41" s="192">
        <v>4</v>
      </c>
      <c r="AK41" s="243">
        <v>0.33329999999999999</v>
      </c>
      <c r="AL41" s="243">
        <v>0.66659999999999997</v>
      </c>
      <c r="AM41" s="299">
        <v>0</v>
      </c>
      <c r="AN41" s="299">
        <v>0</v>
      </c>
      <c r="AO41" s="299">
        <v>0</v>
      </c>
      <c r="AP41" s="299">
        <v>12</v>
      </c>
      <c r="AQ41" s="299">
        <v>0</v>
      </c>
      <c r="AR41" s="299">
        <v>0</v>
      </c>
      <c r="AS41" s="299">
        <v>0</v>
      </c>
      <c r="AT41" s="299">
        <v>0</v>
      </c>
      <c r="AU41" s="299">
        <v>0</v>
      </c>
      <c r="AV41" s="299">
        <v>0</v>
      </c>
      <c r="AW41" s="344"/>
      <c r="AX41" s="299" t="s">
        <v>405</v>
      </c>
      <c r="AY41" s="299">
        <v>12</v>
      </c>
      <c r="AZ41" s="299" t="s">
        <v>405</v>
      </c>
      <c r="BA41" s="299"/>
      <c r="BB41" s="298"/>
      <c r="BC41" s="297"/>
      <c r="BD41" s="299"/>
      <c r="BE41" s="299" t="s">
        <v>406</v>
      </c>
      <c r="BF41" s="298"/>
      <c r="BG41" t="s">
        <v>345</v>
      </c>
      <c r="BH41" t="s">
        <v>408</v>
      </c>
    </row>
    <row r="42" spans="1:60" x14ac:dyDescent="0.15">
      <c r="A42" s="148">
        <v>1164</v>
      </c>
      <c r="B42" s="328">
        <v>43117</v>
      </c>
      <c r="C42" s="296" t="s">
        <v>398</v>
      </c>
      <c r="D42" s="297" t="s">
        <v>344</v>
      </c>
      <c r="E42" s="309">
        <v>43112</v>
      </c>
      <c r="F42" s="298" t="s">
        <v>409</v>
      </c>
      <c r="G42" s="297" t="s">
        <v>410</v>
      </c>
      <c r="H42" s="297">
        <v>70.209999999999994</v>
      </c>
      <c r="I42" s="199" t="s">
        <v>402</v>
      </c>
      <c r="J42" s="195">
        <v>1645</v>
      </c>
      <c r="K42" s="195">
        <v>3000</v>
      </c>
      <c r="L42" s="195">
        <v>3000</v>
      </c>
      <c r="M42" s="195">
        <v>3000</v>
      </c>
      <c r="N42" s="297"/>
      <c r="O42" s="297">
        <v>2.48</v>
      </c>
      <c r="P42" s="297">
        <v>2.48</v>
      </c>
      <c r="Q42" s="329">
        <v>0</v>
      </c>
      <c r="R42" s="329">
        <v>0</v>
      </c>
      <c r="S42" s="297">
        <v>1.95</v>
      </c>
      <c r="T42" s="297"/>
      <c r="U42" s="297">
        <v>2.48</v>
      </c>
      <c r="V42" s="297">
        <v>2.48</v>
      </c>
      <c r="W42" s="329">
        <v>0</v>
      </c>
      <c r="X42" s="329">
        <v>0</v>
      </c>
      <c r="Y42" s="297">
        <v>1.95</v>
      </c>
      <c r="Z42" s="297"/>
      <c r="AA42" s="297"/>
      <c r="AB42" s="297"/>
      <c r="AC42" s="297"/>
      <c r="AD42" s="297"/>
      <c r="AE42" s="297"/>
      <c r="AF42" s="297"/>
      <c r="AG42" s="299" t="s">
        <v>405</v>
      </c>
      <c r="AH42" s="299"/>
      <c r="AI42" s="192">
        <v>2</v>
      </c>
      <c r="AJ42" s="192">
        <v>4</v>
      </c>
      <c r="AK42" s="243">
        <v>0.33329999999999999</v>
      </c>
      <c r="AL42" s="243">
        <v>0.66659999999999997</v>
      </c>
      <c r="AM42" s="299">
        <v>0</v>
      </c>
      <c r="AN42" s="299">
        <v>0</v>
      </c>
      <c r="AO42" s="299">
        <v>0</v>
      </c>
      <c r="AP42" s="299">
        <v>25</v>
      </c>
      <c r="AQ42" s="299">
        <v>0</v>
      </c>
      <c r="AR42" s="299">
        <v>0</v>
      </c>
      <c r="AS42" s="299">
        <v>0</v>
      </c>
      <c r="AT42" s="299">
        <v>0</v>
      </c>
      <c r="AU42" s="299">
        <v>0</v>
      </c>
      <c r="AV42" s="299">
        <v>0</v>
      </c>
      <c r="AX42" s="299" t="s">
        <v>405</v>
      </c>
      <c r="AY42" s="299">
        <v>24</v>
      </c>
      <c r="AZ42" s="299" t="s">
        <v>405</v>
      </c>
      <c r="BA42" s="299"/>
      <c r="BB42" s="298"/>
      <c r="BC42" s="297"/>
      <c r="BD42" s="299"/>
      <c r="BE42" s="299" t="s">
        <v>411</v>
      </c>
      <c r="BF42" s="298"/>
      <c r="BG42" t="s">
        <v>412</v>
      </c>
      <c r="BH42" t="s">
        <v>408</v>
      </c>
    </row>
    <row r="43" spans="1:60" x14ac:dyDescent="0.15">
      <c r="A43" s="148">
        <v>277</v>
      </c>
      <c r="B43" s="328">
        <v>43117</v>
      </c>
      <c r="C43" s="296" t="s">
        <v>398</v>
      </c>
      <c r="D43" s="297" t="s">
        <v>344</v>
      </c>
      <c r="E43" s="295">
        <v>43101</v>
      </c>
      <c r="F43" s="298" t="s">
        <v>413</v>
      </c>
      <c r="G43" s="297" t="s">
        <v>414</v>
      </c>
      <c r="H43" s="297">
        <v>80.2</v>
      </c>
      <c r="I43" s="199" t="s">
        <v>402</v>
      </c>
      <c r="J43" s="195">
        <v>1645</v>
      </c>
      <c r="K43" s="195">
        <v>3000</v>
      </c>
      <c r="L43" s="195">
        <v>3000</v>
      </c>
      <c r="M43" s="195">
        <v>3000</v>
      </c>
      <c r="N43" s="297"/>
      <c r="O43" s="297">
        <v>3.75</v>
      </c>
      <c r="P43" s="297">
        <v>3.2</v>
      </c>
      <c r="Q43" s="329">
        <v>0</v>
      </c>
      <c r="R43" s="329">
        <v>0</v>
      </c>
      <c r="S43" s="297">
        <v>2.75</v>
      </c>
      <c r="T43" s="297"/>
      <c r="U43" s="297">
        <v>3.75</v>
      </c>
      <c r="V43" s="297">
        <v>3.2</v>
      </c>
      <c r="W43" s="329">
        <v>0</v>
      </c>
      <c r="X43" s="329">
        <v>0</v>
      </c>
      <c r="Y43" s="297">
        <v>2.75</v>
      </c>
      <c r="Z43" s="297"/>
      <c r="AA43" s="297"/>
      <c r="AB43" s="297"/>
      <c r="AC43" s="297"/>
      <c r="AD43" s="297"/>
      <c r="AE43" s="297"/>
      <c r="AF43" s="297"/>
      <c r="AG43" s="299" t="s">
        <v>405</v>
      </c>
      <c r="AH43" s="299"/>
      <c r="AI43" s="192">
        <v>2</v>
      </c>
      <c r="AJ43" s="192">
        <v>4</v>
      </c>
      <c r="AK43" s="243">
        <v>0.33329999999999999</v>
      </c>
      <c r="AL43" s="243">
        <v>0.66659999999999997</v>
      </c>
      <c r="AM43" s="299">
        <v>0</v>
      </c>
      <c r="AN43" s="299">
        <v>0</v>
      </c>
      <c r="AO43" s="299">
        <v>14</v>
      </c>
      <c r="AP43" s="299">
        <v>0</v>
      </c>
      <c r="AQ43" s="299">
        <v>0</v>
      </c>
      <c r="AR43" s="299">
        <v>0</v>
      </c>
      <c r="AS43" s="299">
        <v>0</v>
      </c>
      <c r="AT43" s="299">
        <v>0</v>
      </c>
      <c r="AU43" s="299">
        <v>0</v>
      </c>
      <c r="AV43" s="299">
        <v>0</v>
      </c>
      <c r="AX43" s="299" t="s">
        <v>405</v>
      </c>
      <c r="AY43" s="299"/>
      <c r="AZ43" s="299" t="s">
        <v>405</v>
      </c>
      <c r="BA43" s="299"/>
      <c r="BB43" s="298"/>
      <c r="BC43" s="297"/>
      <c r="BD43" s="299"/>
      <c r="BE43" s="299" t="s">
        <v>406</v>
      </c>
      <c r="BF43" s="298" t="s">
        <v>415</v>
      </c>
      <c r="BG43" t="s">
        <v>346</v>
      </c>
      <c r="BH43" t="s">
        <v>408</v>
      </c>
    </row>
    <row r="44" spans="1:60" x14ac:dyDescent="0.15">
      <c r="A44" s="148">
        <v>1139</v>
      </c>
      <c r="B44" s="295">
        <v>43117</v>
      </c>
      <c r="C44" s="296" t="s">
        <v>398</v>
      </c>
      <c r="D44" s="297" t="s">
        <v>344</v>
      </c>
      <c r="E44" s="295">
        <v>43101</v>
      </c>
      <c r="F44" s="298" t="s">
        <v>417</v>
      </c>
      <c r="G44" s="297" t="s">
        <v>418</v>
      </c>
      <c r="H44" s="297">
        <v>75</v>
      </c>
      <c r="I44" s="199" t="s">
        <v>402</v>
      </c>
      <c r="J44" s="195">
        <v>1645</v>
      </c>
      <c r="K44" s="195">
        <v>3000</v>
      </c>
      <c r="L44" s="195">
        <v>3000</v>
      </c>
      <c r="M44" s="195">
        <v>3000</v>
      </c>
      <c r="N44" s="297"/>
      <c r="O44" s="297">
        <v>2.95</v>
      </c>
      <c r="P44" s="297">
        <v>2.5</v>
      </c>
      <c r="Q44" s="329">
        <v>0</v>
      </c>
      <c r="R44" s="329">
        <v>0</v>
      </c>
      <c r="S44" s="297">
        <v>2.1</v>
      </c>
      <c r="T44" s="297"/>
      <c r="U44" s="297">
        <v>2.95</v>
      </c>
      <c r="V44" s="297">
        <v>2.5</v>
      </c>
      <c r="W44" s="329">
        <v>0</v>
      </c>
      <c r="X44" s="329">
        <v>0</v>
      </c>
      <c r="Y44" s="297">
        <v>2.1</v>
      </c>
      <c r="Z44" s="297"/>
      <c r="AA44" s="297"/>
      <c r="AB44" s="297"/>
      <c r="AC44" s="297"/>
      <c r="AD44" s="297"/>
      <c r="AE44" s="297"/>
      <c r="AF44" s="297"/>
      <c r="AG44" s="299" t="s">
        <v>405</v>
      </c>
      <c r="AH44" s="299"/>
      <c r="AI44" s="192">
        <v>2</v>
      </c>
      <c r="AJ44" s="192">
        <v>4</v>
      </c>
      <c r="AK44" s="243">
        <v>0.33329999999999999</v>
      </c>
      <c r="AL44" s="243">
        <v>0.66659999999999997</v>
      </c>
      <c r="AM44" s="299">
        <v>0</v>
      </c>
      <c r="AN44" s="299">
        <v>0</v>
      </c>
      <c r="AO44" s="299">
        <v>0</v>
      </c>
      <c r="AP44" s="299">
        <v>16</v>
      </c>
      <c r="AQ44" s="299">
        <v>0</v>
      </c>
      <c r="AR44" s="299">
        <v>0</v>
      </c>
      <c r="AS44" s="299">
        <v>0</v>
      </c>
      <c r="AT44" s="299">
        <v>0</v>
      </c>
      <c r="AU44" s="299">
        <v>0</v>
      </c>
      <c r="AV44" s="299">
        <v>0</v>
      </c>
      <c r="AW44" s="344">
        <v>12</v>
      </c>
      <c r="AX44" s="299" t="s">
        <v>403</v>
      </c>
      <c r="AY44" s="299"/>
      <c r="AZ44" s="299" t="s">
        <v>405</v>
      </c>
      <c r="BA44" s="299"/>
      <c r="BB44" s="298"/>
      <c r="BC44" s="297"/>
      <c r="BD44" s="299"/>
      <c r="BE44" s="299" t="s">
        <v>406</v>
      </c>
      <c r="BF44" s="298"/>
      <c r="BG44" t="s">
        <v>337</v>
      </c>
      <c r="BH44" t="s">
        <v>408</v>
      </c>
    </row>
    <row r="45" spans="1:60" x14ac:dyDescent="0.15">
      <c r="A45" s="148">
        <v>881</v>
      </c>
      <c r="B45" s="295">
        <v>43117</v>
      </c>
      <c r="C45" s="296" t="s">
        <v>398</v>
      </c>
      <c r="D45" s="297" t="s">
        <v>344</v>
      </c>
      <c r="E45" s="295">
        <v>43009</v>
      </c>
      <c r="F45" s="298" t="s">
        <v>420</v>
      </c>
      <c r="G45" s="297" t="s">
        <v>421</v>
      </c>
      <c r="H45" s="297">
        <v>81.349999999999994</v>
      </c>
      <c r="I45" s="199" t="s">
        <v>402</v>
      </c>
      <c r="J45" s="202">
        <v>3200</v>
      </c>
      <c r="K45" s="202">
        <v>3200</v>
      </c>
      <c r="L45" s="202">
        <v>3200</v>
      </c>
      <c r="M45" s="202">
        <v>3200</v>
      </c>
      <c r="N45" s="297"/>
      <c r="O45" s="297">
        <v>2.4900000000000002</v>
      </c>
      <c r="P45" s="329">
        <v>0</v>
      </c>
      <c r="Q45" s="329">
        <v>0</v>
      </c>
      <c r="R45" s="329">
        <v>0</v>
      </c>
      <c r="S45" s="297">
        <v>1.99</v>
      </c>
      <c r="T45" s="297"/>
      <c r="U45" s="297">
        <v>2.4900000000000002</v>
      </c>
      <c r="V45" s="329">
        <v>0</v>
      </c>
      <c r="W45" s="297">
        <v>0</v>
      </c>
      <c r="X45" s="297">
        <v>0</v>
      </c>
      <c r="Y45" s="297">
        <v>1.99</v>
      </c>
      <c r="Z45" s="297"/>
      <c r="AA45" s="297"/>
      <c r="AB45" s="297"/>
      <c r="AC45" s="297"/>
      <c r="AD45" s="297"/>
      <c r="AE45" s="297"/>
      <c r="AF45" s="297"/>
      <c r="AG45" s="299" t="s">
        <v>403</v>
      </c>
      <c r="AH45" s="299" t="s">
        <v>404</v>
      </c>
      <c r="AI45" s="192">
        <v>2</v>
      </c>
      <c r="AJ45" s="192">
        <v>4</v>
      </c>
      <c r="AK45" s="243">
        <v>0.33329999999999999</v>
      </c>
      <c r="AL45" s="243">
        <v>0.66659999999999997</v>
      </c>
      <c r="AM45" s="299">
        <v>0</v>
      </c>
      <c r="AN45" s="299">
        <v>0</v>
      </c>
      <c r="AO45" s="299">
        <v>0</v>
      </c>
      <c r="AP45" s="299">
        <v>0</v>
      </c>
      <c r="AQ45" s="299">
        <v>0</v>
      </c>
      <c r="AR45" s="299">
        <v>20</v>
      </c>
      <c r="AS45" s="299">
        <v>0</v>
      </c>
      <c r="AT45" s="299">
        <v>0</v>
      </c>
      <c r="AU45" s="299">
        <v>0</v>
      </c>
      <c r="AV45" s="299">
        <v>0</v>
      </c>
      <c r="AW45" s="297"/>
      <c r="AX45" s="299" t="s">
        <v>405</v>
      </c>
      <c r="AY45" s="299"/>
      <c r="AZ45" s="299" t="s">
        <v>405</v>
      </c>
      <c r="BA45" s="299"/>
      <c r="BB45" s="298"/>
      <c r="BC45" s="297"/>
      <c r="BD45" s="299"/>
      <c r="BE45" s="299" t="s">
        <v>422</v>
      </c>
      <c r="BF45" s="298"/>
      <c r="BG45" t="s">
        <v>338</v>
      </c>
      <c r="BH45" t="s">
        <v>408</v>
      </c>
    </row>
    <row r="46" spans="1:60" x14ac:dyDescent="0.15">
      <c r="A46" s="148">
        <v>161</v>
      </c>
      <c r="B46" s="295">
        <v>43117</v>
      </c>
      <c r="C46" s="296" t="s">
        <v>398</v>
      </c>
      <c r="D46" s="297" t="s">
        <v>344</v>
      </c>
      <c r="E46" s="295">
        <v>43102</v>
      </c>
      <c r="F46" s="298" t="s">
        <v>424</v>
      </c>
      <c r="G46" s="297" t="s">
        <v>425</v>
      </c>
      <c r="H46" s="297">
        <v>78.7</v>
      </c>
      <c r="I46" s="199" t="s">
        <v>402</v>
      </c>
      <c r="J46" s="195">
        <v>3000</v>
      </c>
      <c r="K46" s="195">
        <v>3000</v>
      </c>
      <c r="L46" s="195">
        <v>3000</v>
      </c>
      <c r="M46" s="195">
        <v>3000</v>
      </c>
      <c r="N46" s="297"/>
      <c r="O46" s="297">
        <v>2.83</v>
      </c>
      <c r="P46" s="329">
        <v>0</v>
      </c>
      <c r="Q46" s="329">
        <v>0</v>
      </c>
      <c r="R46" s="329">
        <v>0</v>
      </c>
      <c r="S46" s="297">
        <v>1.91</v>
      </c>
      <c r="T46" s="297"/>
      <c r="U46" s="297">
        <v>2.83</v>
      </c>
      <c r="V46" s="329">
        <v>0</v>
      </c>
      <c r="W46" s="329">
        <v>0</v>
      </c>
      <c r="X46" s="329">
        <v>0</v>
      </c>
      <c r="Y46" s="297">
        <v>1.91</v>
      </c>
      <c r="Z46" s="297"/>
      <c r="AA46" s="297"/>
      <c r="AB46" s="297"/>
      <c r="AC46" s="297"/>
      <c r="AD46" s="297"/>
      <c r="AE46" s="297"/>
      <c r="AF46" s="297"/>
      <c r="AG46" s="299" t="s">
        <v>405</v>
      </c>
      <c r="AH46" s="297"/>
      <c r="AI46" s="192">
        <v>2</v>
      </c>
      <c r="AJ46" s="192">
        <v>4</v>
      </c>
      <c r="AK46" s="243">
        <v>0.33329999999999999</v>
      </c>
      <c r="AL46" s="243">
        <v>0.66659999999999997</v>
      </c>
      <c r="AM46" s="299">
        <v>0</v>
      </c>
      <c r="AN46" s="299">
        <v>0</v>
      </c>
      <c r="AO46" s="299">
        <v>0</v>
      </c>
      <c r="AP46" s="299">
        <v>15</v>
      </c>
      <c r="AQ46" s="299">
        <v>0</v>
      </c>
      <c r="AR46" s="299">
        <v>0</v>
      </c>
      <c r="AS46" s="299">
        <v>0</v>
      </c>
      <c r="AT46" s="299">
        <v>0</v>
      </c>
      <c r="AU46" s="299">
        <v>0</v>
      </c>
      <c r="AV46" s="299">
        <v>0</v>
      </c>
      <c r="AX46" s="299" t="s">
        <v>405</v>
      </c>
      <c r="AY46" s="299">
        <v>12</v>
      </c>
      <c r="AZ46" s="299" t="s">
        <v>405</v>
      </c>
      <c r="BA46" s="299"/>
      <c r="BB46" s="298"/>
      <c r="BC46" s="297"/>
      <c r="BD46" s="299"/>
      <c r="BE46" s="299" t="s">
        <v>406</v>
      </c>
      <c r="BF46" s="298"/>
      <c r="BG46" s="301" t="s">
        <v>347</v>
      </c>
      <c r="BH46" t="s">
        <v>408</v>
      </c>
    </row>
    <row r="47" spans="1:60" x14ac:dyDescent="0.15">
      <c r="A47" s="148">
        <v>175</v>
      </c>
      <c r="B47" s="295">
        <v>43117</v>
      </c>
      <c r="C47" s="296" t="s">
        <v>398</v>
      </c>
      <c r="D47" s="297" t="s">
        <v>344</v>
      </c>
      <c r="E47" s="295">
        <v>42754</v>
      </c>
      <c r="F47" s="298" t="s">
        <v>427</v>
      </c>
      <c r="G47" s="297" t="s">
        <v>428</v>
      </c>
      <c r="H47" s="297">
        <v>67</v>
      </c>
      <c r="I47" s="199" t="s">
        <v>402</v>
      </c>
      <c r="J47" s="195">
        <v>1645</v>
      </c>
      <c r="K47" s="195">
        <v>3000</v>
      </c>
      <c r="L47" s="195">
        <v>3000</v>
      </c>
      <c r="M47" s="195">
        <v>3000</v>
      </c>
      <c r="N47" s="297"/>
      <c r="O47" s="297">
        <v>2.92</v>
      </c>
      <c r="P47" s="297">
        <v>2.41</v>
      </c>
      <c r="Q47" s="329">
        <v>0</v>
      </c>
      <c r="R47" s="329">
        <v>0</v>
      </c>
      <c r="S47" s="297">
        <v>2</v>
      </c>
      <c r="T47" s="297"/>
      <c r="U47" s="297">
        <v>2.92</v>
      </c>
      <c r="V47" s="297">
        <v>2.41</v>
      </c>
      <c r="W47" s="329">
        <v>0</v>
      </c>
      <c r="X47" s="329">
        <v>0</v>
      </c>
      <c r="Y47" s="297">
        <v>2</v>
      </c>
      <c r="Z47" s="297"/>
      <c r="AA47" s="297"/>
      <c r="AB47" s="297"/>
      <c r="AC47" s="297"/>
      <c r="AD47" s="297"/>
      <c r="AE47" s="297"/>
      <c r="AF47" s="297"/>
      <c r="AG47" s="299" t="s">
        <v>405</v>
      </c>
      <c r="AH47" s="299"/>
      <c r="AI47" s="192">
        <v>2</v>
      </c>
      <c r="AJ47" s="192">
        <v>4</v>
      </c>
      <c r="AK47" s="243">
        <v>0.33329999999999999</v>
      </c>
      <c r="AL47" s="243">
        <v>0.66659999999999997</v>
      </c>
      <c r="AM47" s="299">
        <v>0</v>
      </c>
      <c r="AN47" s="299">
        <v>0</v>
      </c>
      <c r="AO47" s="299">
        <v>15</v>
      </c>
      <c r="AP47" s="299">
        <v>0</v>
      </c>
      <c r="AQ47" s="299">
        <v>0</v>
      </c>
      <c r="AR47" s="299">
        <v>0</v>
      </c>
      <c r="AS47" s="299">
        <v>0</v>
      </c>
      <c r="AT47" s="299">
        <v>0</v>
      </c>
      <c r="AU47" s="299">
        <v>0</v>
      </c>
      <c r="AV47" s="299">
        <v>0</v>
      </c>
      <c r="AX47" s="299" t="s">
        <v>405</v>
      </c>
      <c r="AY47" s="299"/>
      <c r="AZ47" s="299" t="s">
        <v>405</v>
      </c>
      <c r="BA47" s="299"/>
      <c r="BB47" s="298" t="s">
        <v>429</v>
      </c>
      <c r="BC47" s="297"/>
      <c r="BD47" s="299"/>
      <c r="BE47" s="299" t="s">
        <v>406</v>
      </c>
      <c r="BF47" s="298"/>
      <c r="BG47" t="s">
        <v>430</v>
      </c>
      <c r="BH47" t="s">
        <v>408</v>
      </c>
    </row>
    <row r="48" spans="1:60" x14ac:dyDescent="0.15">
      <c r="A48" s="148">
        <v>316</v>
      </c>
      <c r="B48" s="295">
        <v>43117</v>
      </c>
      <c r="C48" s="296" t="s">
        <v>398</v>
      </c>
      <c r="D48" s="297" t="s">
        <v>344</v>
      </c>
      <c r="E48" s="295">
        <v>43101</v>
      </c>
      <c r="F48" s="297" t="s">
        <v>431</v>
      </c>
      <c r="G48" s="297" t="s">
        <v>421</v>
      </c>
      <c r="H48" s="297">
        <v>74.66</v>
      </c>
      <c r="I48" s="199" t="s">
        <v>402</v>
      </c>
      <c r="J48" s="195">
        <v>1645</v>
      </c>
      <c r="K48" s="195">
        <v>3000</v>
      </c>
      <c r="L48" s="195">
        <v>3000</v>
      </c>
      <c r="M48" s="195">
        <v>3000</v>
      </c>
      <c r="N48" s="297"/>
      <c r="O48" s="297">
        <v>2.4849999999999999</v>
      </c>
      <c r="P48" s="297">
        <v>2.0099999999999998</v>
      </c>
      <c r="Q48" s="329">
        <v>0</v>
      </c>
      <c r="R48" s="329">
        <v>0</v>
      </c>
      <c r="S48" s="297">
        <v>1.669</v>
      </c>
      <c r="T48" s="297"/>
      <c r="U48" s="297">
        <v>2.4849999999999999</v>
      </c>
      <c r="V48" s="297">
        <v>2.0099999999999998</v>
      </c>
      <c r="W48" s="329">
        <v>0</v>
      </c>
      <c r="X48" s="297">
        <v>0</v>
      </c>
      <c r="Y48" s="297">
        <v>1.669</v>
      </c>
      <c r="Z48" s="297"/>
      <c r="AA48" s="297"/>
      <c r="AB48" s="297"/>
      <c r="AC48" s="297"/>
      <c r="AD48" s="297"/>
      <c r="AE48" s="297"/>
      <c r="AF48" s="297"/>
      <c r="AG48" s="299" t="s">
        <v>403</v>
      </c>
      <c r="AH48" s="299" t="s">
        <v>404</v>
      </c>
      <c r="AI48" s="192">
        <v>2</v>
      </c>
      <c r="AJ48" s="192">
        <v>4</v>
      </c>
      <c r="AK48" s="243">
        <v>0.33329999999999999</v>
      </c>
      <c r="AL48" s="243">
        <v>0.66659999999999997</v>
      </c>
      <c r="AM48" s="299">
        <v>0</v>
      </c>
      <c r="AN48" s="299">
        <v>0</v>
      </c>
      <c r="AO48" s="299">
        <v>0</v>
      </c>
      <c r="AP48" s="299">
        <v>0</v>
      </c>
      <c r="AQ48" s="299">
        <v>0</v>
      </c>
      <c r="AR48" s="299">
        <v>0</v>
      </c>
      <c r="AS48" s="299">
        <v>0</v>
      </c>
      <c r="AT48" s="299">
        <v>0</v>
      </c>
      <c r="AU48" s="299">
        <v>0</v>
      </c>
      <c r="AV48" s="299">
        <v>0</v>
      </c>
      <c r="AW48" s="297"/>
      <c r="AX48" s="299" t="s">
        <v>405</v>
      </c>
      <c r="AY48" s="299"/>
      <c r="AZ48" s="299" t="s">
        <v>405</v>
      </c>
      <c r="BA48" s="299"/>
      <c r="BB48" s="298" t="s">
        <v>432</v>
      </c>
      <c r="BC48" s="297" t="s">
        <v>433</v>
      </c>
      <c r="BD48" s="299">
        <v>50</v>
      </c>
      <c r="BE48" s="299" t="s">
        <v>422</v>
      </c>
      <c r="BF48" s="298"/>
      <c r="BG48" t="s">
        <v>340</v>
      </c>
      <c r="BH48" t="s">
        <v>408</v>
      </c>
    </row>
    <row r="49" spans="1:60" x14ac:dyDescent="0.15">
      <c r="A49" s="148">
        <v>571</v>
      </c>
      <c r="B49" s="295">
        <v>43111</v>
      </c>
      <c r="C49" s="296" t="s">
        <v>398</v>
      </c>
      <c r="D49" s="297" t="s">
        <v>344</v>
      </c>
      <c r="E49" s="295">
        <v>43101</v>
      </c>
      <c r="F49" s="298" t="s">
        <v>354</v>
      </c>
      <c r="G49" s="297" t="s">
        <v>355</v>
      </c>
      <c r="H49" s="297">
        <v>69</v>
      </c>
      <c r="I49" s="199" t="s">
        <v>402</v>
      </c>
      <c r="J49" s="202">
        <v>4000</v>
      </c>
      <c r="K49" s="202">
        <v>12000</v>
      </c>
      <c r="L49" s="202">
        <v>12000</v>
      </c>
      <c r="M49" s="202">
        <v>12000</v>
      </c>
      <c r="N49" s="297"/>
      <c r="O49" s="297">
        <v>2.2000000000000002</v>
      </c>
      <c r="P49" s="297">
        <v>2.1</v>
      </c>
      <c r="Q49" s="329">
        <v>0</v>
      </c>
      <c r="R49" s="329">
        <v>0</v>
      </c>
      <c r="S49" s="297">
        <v>1.8</v>
      </c>
      <c r="T49" s="297"/>
      <c r="U49" s="297">
        <v>2.2000000000000002</v>
      </c>
      <c r="V49" s="297">
        <v>2.1</v>
      </c>
      <c r="W49" s="329">
        <v>0</v>
      </c>
      <c r="X49" s="329">
        <v>0</v>
      </c>
      <c r="Y49" s="297">
        <v>1.8</v>
      </c>
      <c r="Z49" s="297"/>
      <c r="AA49" s="297"/>
      <c r="AB49" s="297"/>
      <c r="AC49" s="297"/>
      <c r="AD49" s="297"/>
      <c r="AE49" s="297"/>
      <c r="AF49" s="297"/>
      <c r="AG49" s="299" t="s">
        <v>405</v>
      </c>
      <c r="AH49" s="299"/>
      <c r="AI49" s="192">
        <v>2</v>
      </c>
      <c r="AJ49" s="192">
        <v>4</v>
      </c>
      <c r="AK49" s="243">
        <v>0.33329999999999999</v>
      </c>
      <c r="AL49" s="243">
        <v>0.66659999999999997</v>
      </c>
      <c r="AM49" s="299">
        <v>0</v>
      </c>
      <c r="AN49" s="299">
        <v>0</v>
      </c>
      <c r="AO49" s="299">
        <v>0</v>
      </c>
      <c r="AP49" s="299">
        <v>13</v>
      </c>
      <c r="AQ49" s="299">
        <v>0</v>
      </c>
      <c r="AR49" s="299">
        <v>0</v>
      </c>
      <c r="AS49" s="299">
        <v>0</v>
      </c>
      <c r="AT49" s="299">
        <v>0</v>
      </c>
      <c r="AU49" s="299">
        <v>0</v>
      </c>
      <c r="AV49" s="299">
        <v>0</v>
      </c>
      <c r="AW49" s="297"/>
      <c r="AX49" s="299" t="s">
        <v>405</v>
      </c>
      <c r="AY49" s="299">
        <v>12</v>
      </c>
      <c r="AZ49" s="299" t="s">
        <v>405</v>
      </c>
      <c r="BA49" s="299"/>
      <c r="BB49" s="298"/>
      <c r="BC49" s="298"/>
      <c r="BD49" s="299"/>
      <c r="BE49" s="299" t="s">
        <v>406</v>
      </c>
      <c r="BF49" s="298"/>
      <c r="BG49" t="s">
        <v>348</v>
      </c>
      <c r="BH49" t="s">
        <v>357</v>
      </c>
    </row>
    <row r="50" spans="1:60" x14ac:dyDescent="0.15">
      <c r="A50" s="148">
        <v>237</v>
      </c>
      <c r="B50" s="295">
        <v>43117</v>
      </c>
      <c r="C50" s="296" t="s">
        <v>398</v>
      </c>
      <c r="D50" s="297" t="s">
        <v>344</v>
      </c>
      <c r="E50" s="309" t="s">
        <v>358</v>
      </c>
      <c r="F50" s="298" t="s">
        <v>359</v>
      </c>
      <c r="G50" s="297" t="s">
        <v>360</v>
      </c>
      <c r="H50" s="297">
        <v>72.7</v>
      </c>
      <c r="I50" s="199" t="s">
        <v>402</v>
      </c>
      <c r="J50" s="202">
        <v>3000</v>
      </c>
      <c r="K50" s="202">
        <v>3000</v>
      </c>
      <c r="L50" s="202">
        <v>3000</v>
      </c>
      <c r="M50" s="202">
        <v>3000</v>
      </c>
      <c r="N50" s="297"/>
      <c r="O50" s="297">
        <v>2.1459999999999999</v>
      </c>
      <c r="P50" s="329">
        <v>0</v>
      </c>
      <c r="Q50" s="329">
        <v>0</v>
      </c>
      <c r="R50" s="329">
        <v>0</v>
      </c>
      <c r="S50" s="297">
        <v>1.484</v>
      </c>
      <c r="T50" s="297"/>
      <c r="U50" s="297">
        <v>2.1459999999999999</v>
      </c>
      <c r="V50" s="329">
        <v>0</v>
      </c>
      <c r="W50" s="329">
        <v>0</v>
      </c>
      <c r="X50" s="329">
        <v>0</v>
      </c>
      <c r="Y50" s="297">
        <v>1.484</v>
      </c>
      <c r="Z50" s="297"/>
      <c r="AA50" s="297"/>
      <c r="AB50" s="297"/>
      <c r="AC50" s="297"/>
      <c r="AD50" s="297"/>
      <c r="AE50" s="297"/>
      <c r="AF50" s="297"/>
      <c r="AG50" s="299" t="s">
        <v>405</v>
      </c>
      <c r="AH50" s="299"/>
      <c r="AI50" s="192">
        <v>2</v>
      </c>
      <c r="AJ50" s="192">
        <v>4</v>
      </c>
      <c r="AK50" s="243">
        <v>0.33329999999999999</v>
      </c>
      <c r="AL50" s="243">
        <v>0.66659999999999997</v>
      </c>
      <c r="AM50" s="299">
        <v>0</v>
      </c>
      <c r="AN50" s="299">
        <v>0</v>
      </c>
      <c r="AO50" s="299">
        <v>10</v>
      </c>
      <c r="AP50" s="299">
        <v>0</v>
      </c>
      <c r="AQ50" s="299">
        <v>0</v>
      </c>
      <c r="AR50" s="299">
        <v>0</v>
      </c>
      <c r="AS50" s="299">
        <v>0</v>
      </c>
      <c r="AT50" s="299">
        <v>0</v>
      </c>
      <c r="AU50" s="299">
        <v>0</v>
      </c>
      <c r="AV50" s="299">
        <v>0</v>
      </c>
      <c r="AW50" s="299"/>
      <c r="AX50" s="299" t="s">
        <v>405</v>
      </c>
      <c r="AY50" s="299"/>
      <c r="AZ50" s="299" t="s">
        <v>405</v>
      </c>
      <c r="BA50" s="299"/>
      <c r="BB50" s="298"/>
      <c r="BC50" s="297"/>
      <c r="BD50" s="299"/>
      <c r="BE50" s="299" t="s">
        <v>422</v>
      </c>
      <c r="BF50" s="298"/>
      <c r="BG50" t="s">
        <v>349</v>
      </c>
      <c r="BH50" t="s">
        <v>357</v>
      </c>
    </row>
    <row r="51" spans="1:60" x14ac:dyDescent="0.15">
      <c r="A51" s="148">
        <v>790</v>
      </c>
      <c r="B51" s="295">
        <v>43088</v>
      </c>
      <c r="C51" s="296" t="s">
        <v>398</v>
      </c>
      <c r="D51" s="297" t="s">
        <v>344</v>
      </c>
      <c r="E51" s="309">
        <v>43115</v>
      </c>
      <c r="F51" s="298" t="s">
        <v>362</v>
      </c>
      <c r="G51" s="297" t="s">
        <v>363</v>
      </c>
      <c r="H51" s="339">
        <v>71.11</v>
      </c>
      <c r="I51" s="199" t="s">
        <v>402</v>
      </c>
      <c r="J51" s="195">
        <v>1645</v>
      </c>
      <c r="K51" s="195">
        <v>3000</v>
      </c>
      <c r="L51" s="195">
        <v>3000</v>
      </c>
      <c r="M51" s="195">
        <v>3000</v>
      </c>
      <c r="N51" s="297"/>
      <c r="O51" s="341">
        <v>3.11</v>
      </c>
      <c r="P51" s="332">
        <v>2.62</v>
      </c>
      <c r="Q51" s="329">
        <v>0</v>
      </c>
      <c r="R51" s="329">
        <v>0</v>
      </c>
      <c r="S51" s="341">
        <v>2.19</v>
      </c>
      <c r="T51" s="297"/>
      <c r="U51" s="341">
        <v>3.11</v>
      </c>
      <c r="V51" s="332">
        <v>2.62</v>
      </c>
      <c r="W51" s="329">
        <v>0</v>
      </c>
      <c r="X51" s="329">
        <v>0</v>
      </c>
      <c r="Y51" s="341">
        <v>2.19</v>
      </c>
      <c r="Z51" s="297"/>
      <c r="AA51" s="297"/>
      <c r="AB51" s="297"/>
      <c r="AC51" s="297"/>
      <c r="AD51" s="297"/>
      <c r="AE51" s="297"/>
      <c r="AF51" s="297"/>
      <c r="AG51" s="299" t="s">
        <v>405</v>
      </c>
      <c r="AH51" s="299"/>
      <c r="AI51" s="192">
        <v>2</v>
      </c>
      <c r="AJ51" s="192">
        <v>4</v>
      </c>
      <c r="AK51" s="243">
        <v>0.33329999999999999</v>
      </c>
      <c r="AL51" s="243">
        <v>0.66659999999999997</v>
      </c>
      <c r="AM51" s="299">
        <v>0</v>
      </c>
      <c r="AN51" s="299">
        <v>0</v>
      </c>
      <c r="AO51" s="299">
        <v>0</v>
      </c>
      <c r="AP51" s="299">
        <v>20</v>
      </c>
      <c r="AQ51" s="299">
        <v>0</v>
      </c>
      <c r="AR51" s="299">
        <v>0</v>
      </c>
      <c r="AS51" s="299">
        <v>0</v>
      </c>
      <c r="AT51" s="299">
        <v>0</v>
      </c>
      <c r="AU51" s="299">
        <v>0</v>
      </c>
      <c r="AV51" s="299">
        <v>0</v>
      </c>
      <c r="AW51" s="297"/>
      <c r="AX51" s="299" t="s">
        <v>405</v>
      </c>
      <c r="AY51" s="299">
        <v>24</v>
      </c>
      <c r="AZ51" s="299" t="s">
        <v>405</v>
      </c>
      <c r="BA51" s="299"/>
      <c r="BB51" s="298" t="s">
        <v>364</v>
      </c>
      <c r="BC51" s="297" t="s">
        <v>365</v>
      </c>
      <c r="BD51" s="299">
        <v>25</v>
      </c>
      <c r="BE51" s="299" t="s">
        <v>422</v>
      </c>
      <c r="BF51" s="298"/>
      <c r="BG51" t="s">
        <v>430</v>
      </c>
      <c r="BH51" t="s">
        <v>408</v>
      </c>
    </row>
    <row r="52" spans="1:60" x14ac:dyDescent="0.15">
      <c r="A52" s="148">
        <v>1130</v>
      </c>
      <c r="B52" s="295">
        <v>43088</v>
      </c>
      <c r="C52" s="296" t="s">
        <v>398</v>
      </c>
      <c r="D52" s="297" t="s">
        <v>344</v>
      </c>
      <c r="E52" s="309">
        <v>42948</v>
      </c>
      <c r="F52" s="297" t="s">
        <v>366</v>
      </c>
      <c r="G52" s="297" t="s">
        <v>367</v>
      </c>
      <c r="H52" s="332">
        <v>78</v>
      </c>
      <c r="I52" s="191" t="s">
        <v>402</v>
      </c>
      <c r="J52" s="187">
        <v>6000</v>
      </c>
      <c r="K52" s="187">
        <v>12000</v>
      </c>
      <c r="L52" s="187">
        <v>12000</v>
      </c>
      <c r="M52" s="187">
        <v>12000</v>
      </c>
      <c r="N52" s="332"/>
      <c r="O52" s="332">
        <v>3.1429999999999998</v>
      </c>
      <c r="P52" s="332">
        <v>3.0019999999999998</v>
      </c>
      <c r="Q52" s="329">
        <v>0</v>
      </c>
      <c r="R52" s="329">
        <v>0</v>
      </c>
      <c r="S52" s="332">
        <v>2.4209999999999998</v>
      </c>
      <c r="T52" s="332"/>
      <c r="U52" s="332">
        <v>3.1429999999999998</v>
      </c>
      <c r="V52" s="332">
        <v>3.0019999999999998</v>
      </c>
      <c r="W52" s="329">
        <v>0</v>
      </c>
      <c r="X52" s="329">
        <v>0</v>
      </c>
      <c r="Y52" s="332">
        <v>2.4209999999999998</v>
      </c>
      <c r="Z52" s="332"/>
      <c r="AA52" s="332"/>
      <c r="AB52" s="332"/>
      <c r="AC52" s="332"/>
      <c r="AD52" s="332"/>
      <c r="AE52" s="332"/>
      <c r="AF52" s="332"/>
      <c r="AG52" s="333" t="s">
        <v>405</v>
      </c>
      <c r="AH52" s="333"/>
      <c r="AI52" s="192">
        <v>2</v>
      </c>
      <c r="AJ52" s="192">
        <v>4</v>
      </c>
      <c r="AK52" s="243">
        <v>0.33329999999999999</v>
      </c>
      <c r="AL52" s="243">
        <v>0.66659999999999997</v>
      </c>
      <c r="AM52" s="299">
        <v>0</v>
      </c>
      <c r="AN52" s="299">
        <v>0</v>
      </c>
      <c r="AO52" s="299">
        <v>0</v>
      </c>
      <c r="AP52" s="299">
        <v>17</v>
      </c>
      <c r="AQ52" s="299">
        <v>0</v>
      </c>
      <c r="AR52" s="299">
        <v>0</v>
      </c>
      <c r="AS52" s="299">
        <v>0</v>
      </c>
      <c r="AT52" s="299">
        <v>0</v>
      </c>
      <c r="AU52" s="299">
        <v>0</v>
      </c>
      <c r="AV52" s="299">
        <v>0</v>
      </c>
      <c r="AW52" s="299"/>
      <c r="AX52" s="299" t="s">
        <v>405</v>
      </c>
      <c r="AY52" s="299">
        <v>12</v>
      </c>
      <c r="AZ52" s="299" t="s">
        <v>405</v>
      </c>
      <c r="BA52" s="299"/>
      <c r="BB52" s="298"/>
      <c r="BC52" s="297"/>
      <c r="BD52" s="299"/>
      <c r="BE52" s="299" t="s">
        <v>422</v>
      </c>
      <c r="BF52" s="298"/>
      <c r="BG52" t="s">
        <v>430</v>
      </c>
      <c r="BH52" t="s">
        <v>368</v>
      </c>
    </row>
    <row r="53" spans="1:60" x14ac:dyDescent="0.15">
      <c r="A53" s="148">
        <v>1264</v>
      </c>
      <c r="B53" s="328">
        <v>43117</v>
      </c>
      <c r="C53" s="296" t="s">
        <v>398</v>
      </c>
      <c r="D53" s="297" t="s">
        <v>344</v>
      </c>
      <c r="E53" s="295">
        <v>43101</v>
      </c>
      <c r="F53" s="298" t="s">
        <v>987</v>
      </c>
      <c r="G53" s="297" t="s">
        <v>369</v>
      </c>
      <c r="H53" s="297">
        <v>80.2</v>
      </c>
      <c r="I53" s="191" t="s">
        <v>402</v>
      </c>
      <c r="J53" s="187">
        <v>1645</v>
      </c>
      <c r="K53" s="187">
        <v>3000</v>
      </c>
      <c r="L53" s="187">
        <v>3000</v>
      </c>
      <c r="M53" s="187">
        <v>3000</v>
      </c>
      <c r="N53" s="297"/>
      <c r="O53" s="297">
        <v>3.75</v>
      </c>
      <c r="P53" s="297">
        <v>3.2</v>
      </c>
      <c r="Q53" s="329">
        <v>0</v>
      </c>
      <c r="R53" s="329">
        <v>0</v>
      </c>
      <c r="S53" s="297">
        <v>2.75</v>
      </c>
      <c r="T53" s="297"/>
      <c r="U53" s="297">
        <v>3.75</v>
      </c>
      <c r="V53" s="297">
        <v>3.2</v>
      </c>
      <c r="W53" s="329">
        <v>0</v>
      </c>
      <c r="X53" s="329">
        <v>0</v>
      </c>
      <c r="Y53" s="297">
        <v>2.75</v>
      </c>
      <c r="Z53" s="297"/>
      <c r="AA53" s="297"/>
      <c r="AB53" s="297"/>
      <c r="AC53" s="297"/>
      <c r="AD53" s="297"/>
      <c r="AE53" s="297"/>
      <c r="AF53" s="297"/>
      <c r="AG53" s="299" t="s">
        <v>405</v>
      </c>
      <c r="AH53" s="299"/>
      <c r="AI53" s="192">
        <v>2</v>
      </c>
      <c r="AJ53" s="192">
        <v>4</v>
      </c>
      <c r="AK53" s="243">
        <v>0.33329999999999999</v>
      </c>
      <c r="AL53" s="243">
        <v>0.66659999999999997</v>
      </c>
      <c r="AM53" s="299">
        <v>0</v>
      </c>
      <c r="AN53" s="299">
        <v>0</v>
      </c>
      <c r="AO53" s="299">
        <v>28</v>
      </c>
      <c r="AP53" s="299">
        <v>0</v>
      </c>
      <c r="AQ53" s="299">
        <v>0</v>
      </c>
      <c r="AR53" s="299">
        <v>0</v>
      </c>
      <c r="AS53" s="299">
        <v>0</v>
      </c>
      <c r="AT53" s="299">
        <v>0</v>
      </c>
      <c r="AU53" s="299">
        <v>0</v>
      </c>
      <c r="AV53" s="299">
        <v>0</v>
      </c>
      <c r="AW53" s="344"/>
      <c r="AX53" s="299" t="s">
        <v>405</v>
      </c>
      <c r="AY53" s="299"/>
      <c r="AZ53" s="299" t="s">
        <v>405</v>
      </c>
      <c r="BA53" s="299"/>
      <c r="BB53" s="298"/>
      <c r="BC53" s="297"/>
      <c r="BD53" s="299"/>
      <c r="BE53" s="299" t="s">
        <v>406</v>
      </c>
      <c r="BF53" s="298" t="s">
        <v>370</v>
      </c>
      <c r="BG53" t="s">
        <v>350</v>
      </c>
      <c r="BH53" t="s">
        <v>408</v>
      </c>
    </row>
    <row r="54" spans="1:60" x14ac:dyDescent="0.15">
      <c r="A54" s="148">
        <v>79</v>
      </c>
      <c r="B54" s="328">
        <v>43117</v>
      </c>
      <c r="C54" s="296" t="s">
        <v>398</v>
      </c>
      <c r="D54" s="297" t="s">
        <v>351</v>
      </c>
      <c r="E54" s="295">
        <v>43110</v>
      </c>
      <c r="F54" s="298" t="s">
        <v>400</v>
      </c>
      <c r="G54" s="297" t="s">
        <v>401</v>
      </c>
      <c r="H54" s="297">
        <v>79</v>
      </c>
      <c r="I54" s="235" t="s">
        <v>402</v>
      </c>
      <c r="J54" s="148">
        <v>1645</v>
      </c>
      <c r="K54" s="148">
        <v>3000</v>
      </c>
      <c r="L54" s="148">
        <v>3000</v>
      </c>
      <c r="M54" s="148">
        <v>3000</v>
      </c>
      <c r="N54" s="297"/>
      <c r="O54" s="297">
        <v>2.87</v>
      </c>
      <c r="P54" s="297">
        <v>2.46</v>
      </c>
      <c r="Q54" s="329">
        <v>0</v>
      </c>
      <c r="R54" s="329">
        <v>0</v>
      </c>
      <c r="S54" s="297">
        <v>1.96</v>
      </c>
      <c r="T54" s="297"/>
      <c r="U54" s="297">
        <v>2.87</v>
      </c>
      <c r="V54" s="297">
        <v>2.46</v>
      </c>
      <c r="W54" s="329">
        <v>0</v>
      </c>
      <c r="X54" s="329">
        <v>0</v>
      </c>
      <c r="Y54" s="297">
        <v>1.96</v>
      </c>
      <c r="Z54" s="297"/>
      <c r="AA54" s="297"/>
      <c r="AB54" s="297"/>
      <c r="AC54" s="297"/>
      <c r="AD54" s="297"/>
      <c r="AE54" s="297"/>
      <c r="AF54" s="297"/>
      <c r="AG54" s="299" t="s">
        <v>405</v>
      </c>
      <c r="AH54" s="299"/>
      <c r="AI54" s="192">
        <v>2</v>
      </c>
      <c r="AJ54" s="192">
        <v>4</v>
      </c>
      <c r="AK54" s="244">
        <v>0.33329999999999999</v>
      </c>
      <c r="AL54" s="244">
        <v>0.66659999999999997</v>
      </c>
      <c r="AM54" s="299">
        <v>0</v>
      </c>
      <c r="AN54" s="299">
        <v>0</v>
      </c>
      <c r="AO54" s="299">
        <v>0</v>
      </c>
      <c r="AP54" s="299">
        <v>12</v>
      </c>
      <c r="AQ54" s="299">
        <v>0</v>
      </c>
      <c r="AR54" s="335">
        <v>0</v>
      </c>
      <c r="AS54" s="299">
        <v>0</v>
      </c>
      <c r="AT54" s="299">
        <v>0</v>
      </c>
      <c r="AU54" s="299">
        <v>0</v>
      </c>
      <c r="AV54" s="299">
        <v>0</v>
      </c>
      <c r="AW54" s="299"/>
      <c r="AX54" s="299" t="s">
        <v>405</v>
      </c>
      <c r="AY54" s="299">
        <v>12</v>
      </c>
      <c r="AZ54" s="299" t="s">
        <v>405</v>
      </c>
      <c r="BA54" s="299"/>
      <c r="BB54" s="298"/>
      <c r="BC54" s="297"/>
      <c r="BD54" s="299"/>
      <c r="BE54" s="299" t="s">
        <v>406</v>
      </c>
      <c r="BF54" s="298"/>
      <c r="BG54" t="s">
        <v>352</v>
      </c>
      <c r="BH54" t="s">
        <v>408</v>
      </c>
    </row>
    <row r="55" spans="1:60" x14ac:dyDescent="0.15">
      <c r="A55" s="148">
        <v>1163</v>
      </c>
      <c r="B55" s="328">
        <v>43117</v>
      </c>
      <c r="C55" s="296" t="s">
        <v>398</v>
      </c>
      <c r="D55" s="297" t="s">
        <v>351</v>
      </c>
      <c r="E55" s="309">
        <v>43112</v>
      </c>
      <c r="F55" s="298" t="s">
        <v>409</v>
      </c>
      <c r="G55" s="297" t="s">
        <v>410</v>
      </c>
      <c r="H55" s="297">
        <v>69</v>
      </c>
      <c r="I55" s="235" t="s">
        <v>402</v>
      </c>
      <c r="J55" s="148">
        <v>1645</v>
      </c>
      <c r="K55" s="148">
        <v>3000</v>
      </c>
      <c r="L55" s="148">
        <v>3000</v>
      </c>
      <c r="M55" s="148">
        <v>3000</v>
      </c>
      <c r="N55" s="297"/>
      <c r="O55" s="297">
        <v>2.85</v>
      </c>
      <c r="P55" s="297">
        <v>2.44</v>
      </c>
      <c r="Q55" s="329">
        <v>0</v>
      </c>
      <c r="R55" s="329">
        <v>0</v>
      </c>
      <c r="S55" s="297">
        <v>1.92</v>
      </c>
      <c r="T55" s="297"/>
      <c r="U55" s="297">
        <v>2.85</v>
      </c>
      <c r="V55" s="297">
        <v>2.44</v>
      </c>
      <c r="W55" s="329">
        <v>0</v>
      </c>
      <c r="X55" s="329">
        <v>0</v>
      </c>
      <c r="Y55" s="297">
        <v>1.92</v>
      </c>
      <c r="Z55" s="297"/>
      <c r="AA55" s="297"/>
      <c r="AB55" s="297"/>
      <c r="AC55" s="297"/>
      <c r="AD55" s="297"/>
      <c r="AE55" s="297"/>
      <c r="AF55" s="297"/>
      <c r="AG55" s="299" t="s">
        <v>405</v>
      </c>
      <c r="AH55" s="299"/>
      <c r="AI55" s="192">
        <v>2</v>
      </c>
      <c r="AJ55" s="192">
        <v>4</v>
      </c>
      <c r="AK55" s="244">
        <v>0.33329999999999999</v>
      </c>
      <c r="AL55" s="244">
        <v>0.66659999999999997</v>
      </c>
      <c r="AM55" s="299">
        <v>0</v>
      </c>
      <c r="AN55" s="299">
        <v>0</v>
      </c>
      <c r="AO55" s="299">
        <v>0</v>
      </c>
      <c r="AP55" s="299">
        <v>25</v>
      </c>
      <c r="AQ55" s="299">
        <v>0</v>
      </c>
      <c r="AR55" s="335">
        <v>0</v>
      </c>
      <c r="AS55" s="299">
        <v>0</v>
      </c>
      <c r="AT55" s="299">
        <v>0</v>
      </c>
      <c r="AU55" s="299">
        <v>0</v>
      </c>
      <c r="AV55" s="299">
        <v>0</v>
      </c>
      <c r="AW55" s="297"/>
      <c r="AX55" s="299" t="s">
        <v>405</v>
      </c>
      <c r="AY55" s="299">
        <v>24</v>
      </c>
      <c r="AZ55" s="299" t="s">
        <v>405</v>
      </c>
      <c r="BA55" s="299"/>
      <c r="BB55" s="298"/>
      <c r="BC55" s="297"/>
      <c r="BD55" s="299"/>
      <c r="BE55" s="299" t="s">
        <v>411</v>
      </c>
      <c r="BF55" s="298"/>
      <c r="BG55" t="s">
        <v>412</v>
      </c>
      <c r="BH55" t="s">
        <v>408</v>
      </c>
    </row>
    <row r="56" spans="1:60" x14ac:dyDescent="0.15">
      <c r="A56" s="148">
        <v>276</v>
      </c>
      <c r="B56" s="328">
        <v>43117</v>
      </c>
      <c r="C56" s="296" t="s">
        <v>398</v>
      </c>
      <c r="D56" s="297" t="s">
        <v>351</v>
      </c>
      <c r="E56" s="295">
        <v>43101</v>
      </c>
      <c r="F56" s="298" t="s">
        <v>413</v>
      </c>
      <c r="G56" s="297" t="s">
        <v>414</v>
      </c>
      <c r="H56" s="297">
        <v>80.2</v>
      </c>
      <c r="I56" s="235" t="s">
        <v>402</v>
      </c>
      <c r="J56" s="148">
        <v>1645</v>
      </c>
      <c r="K56" s="148">
        <v>3000</v>
      </c>
      <c r="L56" s="148">
        <v>3000</v>
      </c>
      <c r="M56" s="148">
        <v>3000</v>
      </c>
      <c r="N56" s="297"/>
      <c r="O56" s="297">
        <v>3.75</v>
      </c>
      <c r="P56" s="297">
        <v>3.2</v>
      </c>
      <c r="Q56" s="329">
        <v>0</v>
      </c>
      <c r="R56" s="329">
        <v>0</v>
      </c>
      <c r="S56" s="297">
        <v>2.75</v>
      </c>
      <c r="T56" s="297"/>
      <c r="U56" s="297">
        <v>3.75</v>
      </c>
      <c r="V56" s="297">
        <v>3.2</v>
      </c>
      <c r="W56" s="329">
        <v>0</v>
      </c>
      <c r="X56" s="329">
        <v>0</v>
      </c>
      <c r="Y56" s="297">
        <v>2.75</v>
      </c>
      <c r="AB56" s="297"/>
      <c r="AC56" s="297"/>
      <c r="AD56" s="297"/>
      <c r="AE56" s="297"/>
      <c r="AF56" s="297"/>
      <c r="AG56" s="299" t="s">
        <v>405</v>
      </c>
      <c r="AH56" s="299"/>
      <c r="AI56" s="192">
        <v>2</v>
      </c>
      <c r="AJ56" s="192">
        <v>4</v>
      </c>
      <c r="AK56" s="244">
        <v>0.33329999999999999</v>
      </c>
      <c r="AL56" s="244">
        <v>0.66659999999999997</v>
      </c>
      <c r="AM56" s="299">
        <v>0</v>
      </c>
      <c r="AN56" s="299">
        <v>0</v>
      </c>
      <c r="AO56" s="299">
        <v>14</v>
      </c>
      <c r="AP56" s="299">
        <v>0</v>
      </c>
      <c r="AQ56" s="299">
        <v>0</v>
      </c>
      <c r="AR56" s="335">
        <v>0</v>
      </c>
      <c r="AS56" s="299">
        <v>0</v>
      </c>
      <c r="AT56" s="299">
        <v>0</v>
      </c>
      <c r="AU56" s="299">
        <v>0</v>
      </c>
      <c r="AV56" s="299">
        <v>0</v>
      </c>
      <c r="AW56" s="297"/>
      <c r="AX56" s="299" t="s">
        <v>405</v>
      </c>
      <c r="AY56" s="299"/>
      <c r="AZ56" s="299" t="s">
        <v>405</v>
      </c>
      <c r="BA56" s="299"/>
      <c r="BB56" s="298"/>
      <c r="BC56" s="297"/>
      <c r="BD56" s="299"/>
      <c r="BE56" s="299" t="s">
        <v>406</v>
      </c>
      <c r="BF56" s="298" t="s">
        <v>415</v>
      </c>
      <c r="BG56" t="s">
        <v>320</v>
      </c>
      <c r="BH56" t="s">
        <v>408</v>
      </c>
    </row>
    <row r="57" spans="1:60" x14ac:dyDescent="0.15">
      <c r="A57" s="148">
        <v>1138</v>
      </c>
      <c r="B57" s="295">
        <v>43117</v>
      </c>
      <c r="C57" s="296" t="s">
        <v>398</v>
      </c>
      <c r="D57" s="297" t="s">
        <v>351</v>
      </c>
      <c r="E57" s="295">
        <v>43101</v>
      </c>
      <c r="F57" s="298" t="s">
        <v>1050</v>
      </c>
      <c r="G57" s="297" t="s">
        <v>418</v>
      </c>
      <c r="H57" s="297">
        <v>75</v>
      </c>
      <c r="I57" s="235" t="s">
        <v>402</v>
      </c>
      <c r="J57" s="148">
        <v>1645</v>
      </c>
      <c r="K57" s="148">
        <v>3000</v>
      </c>
      <c r="L57" s="148">
        <v>3000</v>
      </c>
      <c r="M57" s="148">
        <v>3000</v>
      </c>
      <c r="N57" s="297"/>
      <c r="O57" s="297">
        <v>2.95</v>
      </c>
      <c r="P57" s="297">
        <v>2.5</v>
      </c>
      <c r="Q57" s="329">
        <v>0</v>
      </c>
      <c r="R57" s="329">
        <v>0</v>
      </c>
      <c r="S57" s="297">
        <v>2.1</v>
      </c>
      <c r="T57" s="297"/>
      <c r="U57" s="297">
        <v>2.95</v>
      </c>
      <c r="V57" s="297">
        <v>2.5</v>
      </c>
      <c r="W57" s="329">
        <v>0</v>
      </c>
      <c r="X57" s="329">
        <v>0</v>
      </c>
      <c r="Y57" s="297">
        <v>2.1</v>
      </c>
      <c r="Z57" s="297"/>
      <c r="AA57" s="297"/>
      <c r="AB57" s="297"/>
      <c r="AC57" s="297"/>
      <c r="AD57" s="297"/>
      <c r="AE57" s="297"/>
      <c r="AF57" s="297"/>
      <c r="AG57" s="299" t="s">
        <v>405</v>
      </c>
      <c r="AH57" s="299"/>
      <c r="AI57" s="192">
        <v>2</v>
      </c>
      <c r="AJ57" s="192">
        <v>4</v>
      </c>
      <c r="AK57" s="244">
        <v>0.33329999999999999</v>
      </c>
      <c r="AL57" s="244">
        <v>0.66659999999999997</v>
      </c>
      <c r="AM57" s="299">
        <v>0</v>
      </c>
      <c r="AN57" s="299">
        <v>0</v>
      </c>
      <c r="AO57" s="299">
        <v>0</v>
      </c>
      <c r="AP57" s="299">
        <v>16</v>
      </c>
      <c r="AQ57" s="299">
        <v>0</v>
      </c>
      <c r="AR57" s="335">
        <v>0</v>
      </c>
      <c r="AS57" s="299">
        <v>0</v>
      </c>
      <c r="AT57" s="299">
        <v>0</v>
      </c>
      <c r="AU57" s="299">
        <v>0</v>
      </c>
      <c r="AV57" s="299">
        <v>0</v>
      </c>
      <c r="AW57" s="299">
        <v>12</v>
      </c>
      <c r="AX57" s="299" t="s">
        <v>403</v>
      </c>
      <c r="AY57" s="299"/>
      <c r="AZ57" s="299" t="s">
        <v>405</v>
      </c>
      <c r="BA57" s="299"/>
      <c r="BB57" s="298"/>
      <c r="BC57" s="297"/>
      <c r="BD57" s="299"/>
      <c r="BE57" s="299" t="s">
        <v>406</v>
      </c>
      <c r="BF57" s="298"/>
      <c r="BG57" t="s">
        <v>337</v>
      </c>
      <c r="BH57" t="s">
        <v>408</v>
      </c>
    </row>
    <row r="58" spans="1:60" x14ac:dyDescent="0.15">
      <c r="A58" s="148">
        <v>880</v>
      </c>
      <c r="B58" s="295">
        <v>43117</v>
      </c>
      <c r="C58" s="296" t="s">
        <v>398</v>
      </c>
      <c r="D58" s="297" t="s">
        <v>351</v>
      </c>
      <c r="E58" s="295">
        <v>43009</v>
      </c>
      <c r="F58" s="298" t="s">
        <v>420</v>
      </c>
      <c r="G58" s="297" t="s">
        <v>421</v>
      </c>
      <c r="H58" s="297">
        <v>81.349999999999994</v>
      </c>
      <c r="I58" s="235" t="s">
        <v>402</v>
      </c>
      <c r="J58" s="238">
        <v>4000</v>
      </c>
      <c r="K58" s="238">
        <v>12000</v>
      </c>
      <c r="L58" s="238">
        <v>12000</v>
      </c>
      <c r="M58" s="238">
        <v>12000</v>
      </c>
      <c r="N58" s="297"/>
      <c r="O58" s="297">
        <v>2.54</v>
      </c>
      <c r="P58" s="297">
        <v>2.09</v>
      </c>
      <c r="Q58" s="329">
        <v>0</v>
      </c>
      <c r="R58" s="329">
        <v>0</v>
      </c>
      <c r="S58" s="297">
        <v>1.79</v>
      </c>
      <c r="T58" s="297"/>
      <c r="U58" s="297">
        <v>2.54</v>
      </c>
      <c r="V58" s="297">
        <v>2.09</v>
      </c>
      <c r="W58" s="329">
        <v>0</v>
      </c>
      <c r="X58" s="297">
        <v>0</v>
      </c>
      <c r="Y58" s="297">
        <v>1.79</v>
      </c>
      <c r="Z58" s="297"/>
      <c r="AA58" s="297"/>
      <c r="AB58" s="297"/>
      <c r="AC58" s="297"/>
      <c r="AD58" s="297"/>
      <c r="AE58" s="297"/>
      <c r="AF58" s="297"/>
      <c r="AG58" s="299" t="s">
        <v>403</v>
      </c>
      <c r="AH58" s="299" t="s">
        <v>404</v>
      </c>
      <c r="AI58" s="192">
        <v>2</v>
      </c>
      <c r="AJ58" s="192">
        <v>4</v>
      </c>
      <c r="AK58" s="244">
        <v>0.33329999999999999</v>
      </c>
      <c r="AL58" s="244">
        <v>0.66659999999999997</v>
      </c>
      <c r="AM58" s="299">
        <v>0</v>
      </c>
      <c r="AN58" s="299">
        <v>0</v>
      </c>
      <c r="AO58" s="299">
        <v>0</v>
      </c>
      <c r="AP58" s="299">
        <v>0</v>
      </c>
      <c r="AQ58" s="299">
        <v>0</v>
      </c>
      <c r="AR58" s="335">
        <v>20</v>
      </c>
      <c r="AS58" s="299">
        <v>0</v>
      </c>
      <c r="AT58" s="299">
        <v>0</v>
      </c>
      <c r="AU58" s="299">
        <v>0</v>
      </c>
      <c r="AV58" s="299">
        <v>0</v>
      </c>
      <c r="AW58" s="297"/>
      <c r="AX58" s="299" t="s">
        <v>405</v>
      </c>
      <c r="AY58" s="299"/>
      <c r="AZ58" s="299" t="s">
        <v>405</v>
      </c>
      <c r="BA58" s="299"/>
      <c r="BB58" s="298"/>
      <c r="BC58" s="297"/>
      <c r="BD58" s="299"/>
      <c r="BE58" s="299" t="s">
        <v>422</v>
      </c>
      <c r="BF58" s="298"/>
      <c r="BG58" t="s">
        <v>338</v>
      </c>
      <c r="BH58" t="s">
        <v>408</v>
      </c>
    </row>
    <row r="59" spans="1:60" x14ac:dyDescent="0.15">
      <c r="A59" s="148">
        <v>160</v>
      </c>
      <c r="B59" s="295">
        <v>43117</v>
      </c>
      <c r="C59" s="296" t="s">
        <v>398</v>
      </c>
      <c r="D59" s="297" t="s">
        <v>351</v>
      </c>
      <c r="E59" s="295">
        <v>43102</v>
      </c>
      <c r="F59" s="298" t="s">
        <v>424</v>
      </c>
      <c r="G59" s="297" t="s">
        <v>425</v>
      </c>
      <c r="H59" s="297">
        <v>78.7</v>
      </c>
      <c r="I59" s="235" t="s">
        <v>402</v>
      </c>
      <c r="J59" s="148">
        <v>3000</v>
      </c>
      <c r="K59" s="148">
        <v>3000</v>
      </c>
      <c r="L59" s="148">
        <v>3000</v>
      </c>
      <c r="M59" s="148">
        <v>3000</v>
      </c>
      <c r="N59" s="297"/>
      <c r="O59" s="297">
        <v>2.83</v>
      </c>
      <c r="P59" s="329">
        <v>0</v>
      </c>
      <c r="Q59" s="329">
        <v>0</v>
      </c>
      <c r="R59" s="329">
        <v>0</v>
      </c>
      <c r="S59" s="297">
        <v>1.91</v>
      </c>
      <c r="T59" s="297"/>
      <c r="U59" s="297">
        <v>2.83</v>
      </c>
      <c r="V59" s="329">
        <v>0</v>
      </c>
      <c r="W59" s="329">
        <v>0</v>
      </c>
      <c r="X59" s="329">
        <v>0</v>
      </c>
      <c r="Y59" s="297">
        <v>1.91</v>
      </c>
      <c r="Z59" s="297"/>
      <c r="AA59" s="297"/>
      <c r="AB59" s="297"/>
      <c r="AC59" s="297"/>
      <c r="AD59" s="297"/>
      <c r="AE59" s="297"/>
      <c r="AF59" s="297"/>
      <c r="AG59" s="299" t="s">
        <v>405</v>
      </c>
      <c r="AH59" s="297"/>
      <c r="AI59" s="192">
        <v>2</v>
      </c>
      <c r="AJ59" s="192">
        <v>4</v>
      </c>
      <c r="AK59" s="244">
        <v>0.33329999999999999</v>
      </c>
      <c r="AL59" s="244">
        <v>0.66659999999999997</v>
      </c>
      <c r="AM59" s="299">
        <v>0</v>
      </c>
      <c r="AN59" s="299">
        <v>0</v>
      </c>
      <c r="AO59" s="299">
        <v>0</v>
      </c>
      <c r="AP59" s="299">
        <v>15</v>
      </c>
      <c r="AQ59" s="299">
        <v>0</v>
      </c>
      <c r="AR59" s="335">
        <v>0</v>
      </c>
      <c r="AS59" s="299">
        <v>0</v>
      </c>
      <c r="AT59" s="299">
        <v>0</v>
      </c>
      <c r="AU59" s="299">
        <v>0</v>
      </c>
      <c r="AV59" s="299">
        <v>0</v>
      </c>
      <c r="AW59" s="297"/>
      <c r="AX59" s="299" t="s">
        <v>405</v>
      </c>
      <c r="AY59" s="299">
        <v>12</v>
      </c>
      <c r="AZ59" s="299" t="s">
        <v>405</v>
      </c>
      <c r="BA59" s="299"/>
      <c r="BB59" s="298"/>
      <c r="BC59" s="297"/>
      <c r="BD59" s="299"/>
      <c r="BE59" s="299" t="s">
        <v>406</v>
      </c>
      <c r="BF59" s="298"/>
      <c r="BG59" s="301" t="s">
        <v>321</v>
      </c>
      <c r="BH59" t="s">
        <v>408</v>
      </c>
    </row>
    <row r="60" spans="1:60" x14ac:dyDescent="0.15">
      <c r="A60" s="148">
        <v>174</v>
      </c>
      <c r="B60" s="295">
        <v>43117</v>
      </c>
      <c r="C60" s="296" t="s">
        <v>398</v>
      </c>
      <c r="D60" s="297" t="s">
        <v>351</v>
      </c>
      <c r="E60" s="295">
        <v>42754</v>
      </c>
      <c r="F60" s="298" t="s">
        <v>427</v>
      </c>
      <c r="G60" s="297" t="s">
        <v>428</v>
      </c>
      <c r="H60" s="297">
        <v>67</v>
      </c>
      <c r="I60" s="235" t="s">
        <v>402</v>
      </c>
      <c r="J60" s="148">
        <v>1645</v>
      </c>
      <c r="K60" s="148">
        <v>3000</v>
      </c>
      <c r="L60" s="148">
        <v>3000</v>
      </c>
      <c r="M60" s="148">
        <v>3000</v>
      </c>
      <c r="N60" s="297"/>
      <c r="O60" s="297">
        <v>2.93</v>
      </c>
      <c r="P60" s="297">
        <v>2.38</v>
      </c>
      <c r="Q60" s="329">
        <v>0</v>
      </c>
      <c r="R60" s="329">
        <v>0</v>
      </c>
      <c r="S60" s="297">
        <v>1.98</v>
      </c>
      <c r="T60" s="297"/>
      <c r="U60" s="297">
        <v>2.93</v>
      </c>
      <c r="V60" s="297">
        <v>2.38</v>
      </c>
      <c r="W60" s="329">
        <v>0</v>
      </c>
      <c r="X60" s="329">
        <v>0</v>
      </c>
      <c r="Y60" s="297">
        <v>1.98</v>
      </c>
      <c r="Z60" s="297"/>
      <c r="AA60" s="297"/>
      <c r="AB60" s="297"/>
      <c r="AC60" s="297"/>
      <c r="AD60" s="297"/>
      <c r="AE60" s="297"/>
      <c r="AF60" s="297"/>
      <c r="AG60" s="299" t="s">
        <v>405</v>
      </c>
      <c r="AH60" s="299"/>
      <c r="AI60" s="192">
        <v>2</v>
      </c>
      <c r="AJ60" s="192">
        <v>4</v>
      </c>
      <c r="AK60" s="244">
        <v>0.33329999999999999</v>
      </c>
      <c r="AL60" s="244">
        <v>0.66659999999999997</v>
      </c>
      <c r="AM60" s="299">
        <v>0</v>
      </c>
      <c r="AN60" s="299">
        <v>0</v>
      </c>
      <c r="AO60" s="299">
        <v>15</v>
      </c>
      <c r="AP60" s="299">
        <v>0</v>
      </c>
      <c r="AQ60" s="299">
        <v>0</v>
      </c>
      <c r="AR60" s="335">
        <v>0</v>
      </c>
      <c r="AS60" s="299">
        <v>0</v>
      </c>
      <c r="AT60" s="299">
        <v>0</v>
      </c>
      <c r="AU60" s="299">
        <v>0</v>
      </c>
      <c r="AV60" s="299">
        <v>0</v>
      </c>
      <c r="AW60" s="297"/>
      <c r="AX60" s="299" t="s">
        <v>405</v>
      </c>
      <c r="AY60" s="299"/>
      <c r="AZ60" s="299" t="s">
        <v>405</v>
      </c>
      <c r="BA60" s="299"/>
      <c r="BB60" s="298" t="s">
        <v>429</v>
      </c>
      <c r="BC60" s="297"/>
      <c r="BD60" s="299"/>
      <c r="BE60" s="299" t="s">
        <v>406</v>
      </c>
      <c r="BF60" s="298"/>
      <c r="BG60" t="s">
        <v>430</v>
      </c>
      <c r="BH60" t="s">
        <v>408</v>
      </c>
    </row>
    <row r="61" spans="1:60" x14ac:dyDescent="0.15">
      <c r="A61" s="148">
        <v>315</v>
      </c>
      <c r="B61" s="295">
        <v>43117</v>
      </c>
      <c r="C61" s="296" t="s">
        <v>398</v>
      </c>
      <c r="D61" s="297" t="s">
        <v>351</v>
      </c>
      <c r="E61" s="295">
        <v>43101</v>
      </c>
      <c r="F61" s="297" t="s">
        <v>431</v>
      </c>
      <c r="G61" s="297" t="s">
        <v>421</v>
      </c>
      <c r="H61" s="297">
        <v>74.66</v>
      </c>
      <c r="I61" s="235" t="s">
        <v>402</v>
      </c>
      <c r="J61" s="148">
        <v>1645</v>
      </c>
      <c r="K61" s="148">
        <v>3000</v>
      </c>
      <c r="L61" s="148">
        <v>3000</v>
      </c>
      <c r="M61" s="148">
        <v>3000</v>
      </c>
      <c r="N61" s="297"/>
      <c r="O61" s="297">
        <v>2.4849999999999999</v>
      </c>
      <c r="P61" s="297">
        <v>2.0099999999999998</v>
      </c>
      <c r="Q61" s="329">
        <v>0</v>
      </c>
      <c r="R61" s="329">
        <v>0</v>
      </c>
      <c r="S61" s="297">
        <v>1.669</v>
      </c>
      <c r="T61" s="297"/>
      <c r="U61" s="297">
        <v>2.4849999999999999</v>
      </c>
      <c r="V61" s="297">
        <v>2.0099999999999998</v>
      </c>
      <c r="W61" s="329">
        <v>0</v>
      </c>
      <c r="X61" s="297">
        <v>0</v>
      </c>
      <c r="Y61" s="297">
        <v>1.669</v>
      </c>
      <c r="Z61" s="297"/>
      <c r="AA61" s="297"/>
      <c r="AB61" s="297"/>
      <c r="AC61" s="297"/>
      <c r="AD61" s="297"/>
      <c r="AE61" s="297"/>
      <c r="AF61" s="297"/>
      <c r="AG61" s="299" t="s">
        <v>403</v>
      </c>
      <c r="AH61" s="299" t="s">
        <v>404</v>
      </c>
      <c r="AI61" s="192">
        <v>2</v>
      </c>
      <c r="AJ61" s="192">
        <v>4</v>
      </c>
      <c r="AK61" s="244">
        <v>0.33329999999999999</v>
      </c>
      <c r="AL61" s="244">
        <v>0.66659999999999997</v>
      </c>
      <c r="AM61" s="299">
        <v>0</v>
      </c>
      <c r="AN61" s="299">
        <v>0</v>
      </c>
      <c r="AO61" s="299">
        <v>0</v>
      </c>
      <c r="AP61" s="299">
        <v>0</v>
      </c>
      <c r="AQ61" s="299">
        <v>0</v>
      </c>
      <c r="AR61" s="335">
        <v>0</v>
      </c>
      <c r="AS61" s="299">
        <v>0</v>
      </c>
      <c r="AT61" s="299">
        <v>0</v>
      </c>
      <c r="AU61" s="299">
        <v>0</v>
      </c>
      <c r="AV61" s="299">
        <v>0</v>
      </c>
      <c r="AW61" s="297"/>
      <c r="AX61" s="299" t="s">
        <v>405</v>
      </c>
      <c r="AY61" s="299"/>
      <c r="AZ61" s="299" t="s">
        <v>405</v>
      </c>
      <c r="BA61" s="299"/>
      <c r="BB61" s="298" t="s">
        <v>432</v>
      </c>
      <c r="BC61" s="297" t="s">
        <v>433</v>
      </c>
      <c r="BD61" s="299">
        <v>50</v>
      </c>
      <c r="BE61" s="299" t="s">
        <v>422</v>
      </c>
      <c r="BF61" s="298"/>
      <c r="BG61" t="s">
        <v>340</v>
      </c>
      <c r="BH61" t="s">
        <v>408</v>
      </c>
    </row>
    <row r="62" spans="1:60" x14ac:dyDescent="0.15">
      <c r="A62" s="148">
        <v>570</v>
      </c>
      <c r="B62" s="295">
        <v>43111</v>
      </c>
      <c r="C62" s="296" t="s">
        <v>398</v>
      </c>
      <c r="D62" s="297" t="s">
        <v>351</v>
      </c>
      <c r="E62" s="295">
        <v>43101</v>
      </c>
      <c r="F62" s="298" t="s">
        <v>354</v>
      </c>
      <c r="G62" s="297" t="s">
        <v>355</v>
      </c>
      <c r="H62" s="297">
        <v>69</v>
      </c>
      <c r="I62" s="235" t="s">
        <v>402</v>
      </c>
      <c r="J62" s="238">
        <v>4000</v>
      </c>
      <c r="K62" s="238">
        <v>12000</v>
      </c>
      <c r="L62" s="238">
        <v>12000</v>
      </c>
      <c r="M62" s="238">
        <v>12000</v>
      </c>
      <c r="N62" s="297"/>
      <c r="O62" s="297">
        <v>2.2000000000000002</v>
      </c>
      <c r="P62" s="297">
        <v>2.1</v>
      </c>
      <c r="Q62" s="329">
        <v>0</v>
      </c>
      <c r="R62" s="329">
        <v>0</v>
      </c>
      <c r="S62" s="297">
        <v>1.8</v>
      </c>
      <c r="T62" s="297"/>
      <c r="U62" s="297">
        <v>2.2000000000000002</v>
      </c>
      <c r="V62" s="297">
        <v>2.1</v>
      </c>
      <c r="W62" s="329">
        <v>0</v>
      </c>
      <c r="X62" s="329">
        <v>0</v>
      </c>
      <c r="Y62" s="297">
        <v>1.8</v>
      </c>
      <c r="Z62" s="297"/>
      <c r="AA62" s="297"/>
      <c r="AB62" s="297"/>
      <c r="AC62" s="297"/>
      <c r="AD62" s="297"/>
      <c r="AE62" s="297"/>
      <c r="AF62" s="297"/>
      <c r="AG62" s="299" t="s">
        <v>405</v>
      </c>
      <c r="AH62" s="299"/>
      <c r="AI62" s="192">
        <v>2</v>
      </c>
      <c r="AJ62" s="192">
        <v>4</v>
      </c>
      <c r="AK62" s="244">
        <v>0.33329999999999999</v>
      </c>
      <c r="AL62" s="244">
        <v>0.66659999999999997</v>
      </c>
      <c r="AM62" s="299">
        <v>0</v>
      </c>
      <c r="AN62" s="299">
        <v>0</v>
      </c>
      <c r="AO62" s="299">
        <v>0</v>
      </c>
      <c r="AP62" s="299">
        <v>13</v>
      </c>
      <c r="AQ62" s="299">
        <v>0</v>
      </c>
      <c r="AR62" s="299">
        <v>0</v>
      </c>
      <c r="AS62" s="299">
        <v>0</v>
      </c>
      <c r="AT62" s="299">
        <v>0</v>
      </c>
      <c r="AU62" s="299">
        <v>0</v>
      </c>
      <c r="AV62" s="299">
        <v>0</v>
      </c>
      <c r="AW62" s="297"/>
      <c r="AX62" s="299" t="s">
        <v>405</v>
      </c>
      <c r="AY62" s="299">
        <v>12</v>
      </c>
      <c r="AZ62" s="299" t="s">
        <v>405</v>
      </c>
      <c r="BA62" s="299"/>
      <c r="BB62" s="298"/>
      <c r="BC62" s="298"/>
      <c r="BD62" s="299"/>
      <c r="BE62" s="299" t="s">
        <v>406</v>
      </c>
      <c r="BF62" s="298"/>
      <c r="BG62" t="s">
        <v>322</v>
      </c>
      <c r="BH62" t="s">
        <v>357</v>
      </c>
    </row>
    <row r="63" spans="1:60" x14ac:dyDescent="0.15">
      <c r="A63" s="148">
        <v>236</v>
      </c>
      <c r="B63" s="295">
        <v>43117</v>
      </c>
      <c r="C63" s="296" t="s">
        <v>398</v>
      </c>
      <c r="D63" s="297" t="s">
        <v>351</v>
      </c>
      <c r="E63" s="309" t="s">
        <v>358</v>
      </c>
      <c r="F63" s="298" t="s">
        <v>359</v>
      </c>
      <c r="G63" s="297" t="s">
        <v>360</v>
      </c>
      <c r="H63" s="297">
        <v>72.099999999999994</v>
      </c>
      <c r="I63" s="235" t="s">
        <v>402</v>
      </c>
      <c r="J63" s="238">
        <v>3000</v>
      </c>
      <c r="K63" s="238">
        <v>3000</v>
      </c>
      <c r="L63" s="238">
        <v>3000</v>
      </c>
      <c r="M63" s="238">
        <v>3000</v>
      </c>
      <c r="N63" s="297"/>
      <c r="O63" s="297">
        <v>2.1349999999999998</v>
      </c>
      <c r="P63" s="329">
        <v>0</v>
      </c>
      <c r="Q63" s="329">
        <v>0</v>
      </c>
      <c r="R63" s="329">
        <v>0</v>
      </c>
      <c r="S63" s="297">
        <v>1.4410000000000001</v>
      </c>
      <c r="T63" s="297"/>
      <c r="U63" s="297">
        <v>2.1349999999999998</v>
      </c>
      <c r="V63" s="329">
        <v>0</v>
      </c>
      <c r="W63" s="329">
        <v>0</v>
      </c>
      <c r="X63" s="329">
        <v>0</v>
      </c>
      <c r="Y63" s="297">
        <v>1.4410000000000001</v>
      </c>
      <c r="AB63" s="297"/>
      <c r="AC63" s="297"/>
      <c r="AD63" s="297"/>
      <c r="AE63" s="297"/>
      <c r="AF63" s="297"/>
      <c r="AG63" s="299" t="s">
        <v>405</v>
      </c>
      <c r="AH63" s="299"/>
      <c r="AI63" s="236">
        <v>2</v>
      </c>
      <c r="AJ63" s="236">
        <v>4</v>
      </c>
      <c r="AK63" s="244">
        <v>0.33329999999999999</v>
      </c>
      <c r="AL63" s="244">
        <v>0.66659999999999997</v>
      </c>
      <c r="AM63" s="299">
        <v>0</v>
      </c>
      <c r="AN63" s="299">
        <v>0</v>
      </c>
      <c r="AO63" s="299">
        <v>10</v>
      </c>
      <c r="AP63" s="299">
        <v>0</v>
      </c>
      <c r="AQ63" s="299">
        <v>0</v>
      </c>
      <c r="AR63" s="299">
        <v>0</v>
      </c>
      <c r="AS63" s="299">
        <v>0</v>
      </c>
      <c r="AT63" s="299">
        <v>0</v>
      </c>
      <c r="AU63" s="299">
        <v>0</v>
      </c>
      <c r="AV63" s="299">
        <v>0</v>
      </c>
      <c r="AW63" s="344"/>
      <c r="AX63" s="299" t="s">
        <v>405</v>
      </c>
      <c r="AY63" s="299"/>
      <c r="AZ63" s="299" t="s">
        <v>405</v>
      </c>
      <c r="BA63" s="299"/>
      <c r="BB63" s="298"/>
      <c r="BC63" s="297"/>
      <c r="BD63" s="299"/>
      <c r="BE63" s="299" t="s">
        <v>422</v>
      </c>
      <c r="BF63" s="298"/>
      <c r="BG63" t="s">
        <v>323</v>
      </c>
      <c r="BH63" t="s">
        <v>357</v>
      </c>
    </row>
    <row r="64" spans="1:60" x14ac:dyDescent="0.15">
      <c r="A64" s="148">
        <v>787</v>
      </c>
      <c r="B64" s="295">
        <v>43088</v>
      </c>
      <c r="C64" s="296" t="s">
        <v>398</v>
      </c>
      <c r="D64" s="297" t="s">
        <v>351</v>
      </c>
      <c r="E64" s="309">
        <v>43115</v>
      </c>
      <c r="F64" s="298" t="s">
        <v>362</v>
      </c>
      <c r="G64" s="297" t="s">
        <v>363</v>
      </c>
      <c r="H64" s="339">
        <v>71.11</v>
      </c>
      <c r="I64" s="235" t="s">
        <v>402</v>
      </c>
      <c r="J64" s="148">
        <v>1645</v>
      </c>
      <c r="K64" s="148">
        <v>3000</v>
      </c>
      <c r="L64" s="148">
        <v>3000</v>
      </c>
      <c r="M64" s="148">
        <v>3000</v>
      </c>
      <c r="N64" s="297"/>
      <c r="O64" s="341">
        <v>3.11</v>
      </c>
      <c r="P64" s="332">
        <v>2.62</v>
      </c>
      <c r="Q64" s="329">
        <v>0</v>
      </c>
      <c r="R64" s="329">
        <v>0</v>
      </c>
      <c r="S64" s="341">
        <v>2.19</v>
      </c>
      <c r="T64" s="297"/>
      <c r="U64" s="341">
        <v>3.11</v>
      </c>
      <c r="V64" s="332">
        <v>2.62</v>
      </c>
      <c r="W64" s="329">
        <v>0</v>
      </c>
      <c r="X64" s="329">
        <v>0</v>
      </c>
      <c r="Y64" s="341">
        <v>2.19</v>
      </c>
      <c r="AB64" s="297"/>
      <c r="AC64" s="297"/>
      <c r="AD64" s="297"/>
      <c r="AE64" s="297"/>
      <c r="AF64" s="297"/>
      <c r="AG64" s="299" t="s">
        <v>405</v>
      </c>
      <c r="AH64" s="299"/>
      <c r="AI64" s="192">
        <v>2</v>
      </c>
      <c r="AJ64" s="192">
        <v>4</v>
      </c>
      <c r="AK64" s="243">
        <v>0.33329999999999999</v>
      </c>
      <c r="AL64" s="243">
        <v>0.66659999999999997</v>
      </c>
      <c r="AM64" s="299">
        <v>0</v>
      </c>
      <c r="AN64" s="299">
        <v>0</v>
      </c>
      <c r="AO64" s="299">
        <v>0</v>
      </c>
      <c r="AP64" s="299">
        <v>20</v>
      </c>
      <c r="AQ64" s="299">
        <v>0</v>
      </c>
      <c r="AR64" s="299">
        <v>0</v>
      </c>
      <c r="AS64" s="299">
        <v>0</v>
      </c>
      <c r="AT64" s="299">
        <v>0</v>
      </c>
      <c r="AU64" s="299">
        <v>0</v>
      </c>
      <c r="AV64" s="299">
        <v>0</v>
      </c>
      <c r="AX64" s="299" t="s">
        <v>405</v>
      </c>
      <c r="AY64" s="299">
        <v>24</v>
      </c>
      <c r="AZ64" s="299" t="s">
        <v>405</v>
      </c>
      <c r="BA64" s="299"/>
      <c r="BB64" s="298" t="s">
        <v>364</v>
      </c>
      <c r="BC64" s="297" t="s">
        <v>365</v>
      </c>
      <c r="BD64" s="299">
        <v>25</v>
      </c>
      <c r="BE64" s="299" t="s">
        <v>422</v>
      </c>
      <c r="BF64" s="298"/>
      <c r="BG64" t="s">
        <v>430</v>
      </c>
      <c r="BH64" t="s">
        <v>408</v>
      </c>
    </row>
    <row r="65" spans="1:60" x14ac:dyDescent="0.15">
      <c r="A65" s="148">
        <v>1129</v>
      </c>
      <c r="B65" s="295">
        <v>43088</v>
      </c>
      <c r="C65" s="296" t="s">
        <v>398</v>
      </c>
      <c r="D65" s="297" t="s">
        <v>351</v>
      </c>
      <c r="E65" s="309">
        <v>42948</v>
      </c>
      <c r="F65" s="297" t="s">
        <v>366</v>
      </c>
      <c r="G65" s="297" t="s">
        <v>367</v>
      </c>
      <c r="H65" s="332">
        <v>79.2</v>
      </c>
      <c r="I65" s="191" t="s">
        <v>402</v>
      </c>
      <c r="J65" s="187">
        <v>6000</v>
      </c>
      <c r="K65" s="187">
        <v>12000</v>
      </c>
      <c r="L65" s="187">
        <v>12000</v>
      </c>
      <c r="M65" s="187">
        <v>12000</v>
      </c>
      <c r="N65" s="332"/>
      <c r="O65" s="332">
        <v>3.2240000000000002</v>
      </c>
      <c r="P65" s="332">
        <v>2.9209999999999998</v>
      </c>
      <c r="Q65" s="329">
        <v>0</v>
      </c>
      <c r="R65" s="329">
        <v>0</v>
      </c>
      <c r="S65" s="332">
        <v>2.3540000000000001</v>
      </c>
      <c r="T65" s="332"/>
      <c r="U65" s="332">
        <v>3.2240000000000002</v>
      </c>
      <c r="V65" s="332">
        <v>2.9209999999999998</v>
      </c>
      <c r="W65" s="329">
        <v>0</v>
      </c>
      <c r="X65" s="329">
        <v>0</v>
      </c>
      <c r="Y65" s="332">
        <v>2.3540000000000001</v>
      </c>
      <c r="Z65" s="332"/>
      <c r="AA65" s="332"/>
      <c r="AB65" s="332"/>
      <c r="AC65" s="332"/>
      <c r="AD65" s="332"/>
      <c r="AE65" s="332"/>
      <c r="AF65" s="332"/>
      <c r="AG65" s="333" t="s">
        <v>405</v>
      </c>
      <c r="AH65" s="333"/>
      <c r="AI65" s="236">
        <v>2</v>
      </c>
      <c r="AJ65" s="236">
        <v>4</v>
      </c>
      <c r="AK65" s="244">
        <v>0.33329999999999999</v>
      </c>
      <c r="AL65" s="244">
        <v>0.66659999999999997</v>
      </c>
      <c r="AM65" s="299">
        <v>0</v>
      </c>
      <c r="AN65" s="299">
        <v>0</v>
      </c>
      <c r="AO65" s="299">
        <v>0</v>
      </c>
      <c r="AP65" s="299">
        <v>17</v>
      </c>
      <c r="AQ65" s="299">
        <v>0</v>
      </c>
      <c r="AR65" s="299">
        <v>0</v>
      </c>
      <c r="AS65" s="299">
        <v>0</v>
      </c>
      <c r="AT65" s="299">
        <v>0</v>
      </c>
      <c r="AU65" s="299">
        <v>0</v>
      </c>
      <c r="AV65" s="299">
        <v>0</v>
      </c>
      <c r="AW65" s="344"/>
      <c r="AX65" s="299" t="s">
        <v>405</v>
      </c>
      <c r="AY65" s="299">
        <v>12</v>
      </c>
      <c r="AZ65" s="299" t="s">
        <v>405</v>
      </c>
      <c r="BA65" s="299"/>
      <c r="BB65" s="298"/>
      <c r="BC65" s="297"/>
      <c r="BD65" s="299"/>
      <c r="BE65" s="299" t="s">
        <v>422</v>
      </c>
      <c r="BF65" s="298"/>
      <c r="BG65" t="s">
        <v>430</v>
      </c>
      <c r="BH65" t="s">
        <v>368</v>
      </c>
    </row>
    <row r="66" spans="1:60" x14ac:dyDescent="0.15">
      <c r="A66" s="148">
        <v>1263</v>
      </c>
      <c r="B66" s="334">
        <v>43117</v>
      </c>
      <c r="C66" s="296" t="s">
        <v>398</v>
      </c>
      <c r="D66" s="297" t="s">
        <v>351</v>
      </c>
      <c r="E66" s="295">
        <v>43101</v>
      </c>
      <c r="F66" s="298" t="s">
        <v>987</v>
      </c>
      <c r="G66" s="297" t="s">
        <v>369</v>
      </c>
      <c r="H66" s="297">
        <v>80.2</v>
      </c>
      <c r="I66" s="191" t="s">
        <v>402</v>
      </c>
      <c r="J66" s="187">
        <v>1645</v>
      </c>
      <c r="K66" s="187">
        <v>3000</v>
      </c>
      <c r="L66" s="187">
        <v>3000</v>
      </c>
      <c r="M66" s="187">
        <v>3000</v>
      </c>
      <c r="N66" s="297"/>
      <c r="O66" s="297">
        <v>3.75</v>
      </c>
      <c r="P66" s="297">
        <v>3.2</v>
      </c>
      <c r="Q66" s="329">
        <v>0</v>
      </c>
      <c r="R66" s="329">
        <v>0</v>
      </c>
      <c r="S66" s="297">
        <v>2.75</v>
      </c>
      <c r="T66" s="297"/>
      <c r="U66" s="297">
        <v>3.75</v>
      </c>
      <c r="V66" s="297">
        <v>3.2</v>
      </c>
      <c r="W66" s="329">
        <v>0</v>
      </c>
      <c r="X66" s="329">
        <v>0</v>
      </c>
      <c r="Y66" s="297">
        <v>2.75</v>
      </c>
      <c r="AB66" s="297"/>
      <c r="AC66" s="297"/>
      <c r="AD66" s="297"/>
      <c r="AE66" s="297"/>
      <c r="AF66" s="297"/>
      <c r="AG66" s="299" t="s">
        <v>405</v>
      </c>
      <c r="AH66" s="299"/>
      <c r="AI66" s="192">
        <v>2</v>
      </c>
      <c r="AJ66" s="192">
        <v>4</v>
      </c>
      <c r="AK66" s="243">
        <v>0.33329999999999999</v>
      </c>
      <c r="AL66" s="243">
        <v>0.66659999999999997</v>
      </c>
      <c r="AM66" s="299">
        <v>0</v>
      </c>
      <c r="AN66" s="299">
        <v>0</v>
      </c>
      <c r="AO66" s="299">
        <v>28</v>
      </c>
      <c r="AP66" s="299">
        <v>0</v>
      </c>
      <c r="AQ66" s="299">
        <v>0</v>
      </c>
      <c r="AR66" s="335">
        <v>0</v>
      </c>
      <c r="AS66" s="299">
        <v>0</v>
      </c>
      <c r="AT66" s="299">
        <v>0</v>
      </c>
      <c r="AU66" s="299">
        <v>0</v>
      </c>
      <c r="AV66" s="299">
        <v>0</v>
      </c>
      <c r="AW66" s="299"/>
      <c r="AX66" s="299" t="s">
        <v>405</v>
      </c>
      <c r="AY66" s="299"/>
      <c r="AZ66" s="299" t="s">
        <v>405</v>
      </c>
      <c r="BA66" s="299"/>
      <c r="BB66" s="298"/>
      <c r="BC66" s="297"/>
      <c r="BD66" s="299"/>
      <c r="BE66" s="299" t="s">
        <v>406</v>
      </c>
      <c r="BF66" s="298" t="s">
        <v>370</v>
      </c>
      <c r="BG66" t="s">
        <v>324</v>
      </c>
      <c r="BH66" t="s">
        <v>408</v>
      </c>
    </row>
    <row r="67" spans="1:60" x14ac:dyDescent="0.15">
      <c r="A67" s="148">
        <v>81</v>
      </c>
      <c r="B67" s="334">
        <v>43117</v>
      </c>
      <c r="C67" s="296" t="s">
        <v>398</v>
      </c>
      <c r="D67" s="297" t="s">
        <v>325</v>
      </c>
      <c r="E67" s="295">
        <v>43110</v>
      </c>
      <c r="F67" s="298" t="s">
        <v>400</v>
      </c>
      <c r="G67" s="297" t="s">
        <v>401</v>
      </c>
      <c r="H67" s="297">
        <v>86</v>
      </c>
      <c r="I67" s="208" t="s">
        <v>402</v>
      </c>
      <c r="J67" s="204">
        <v>6000</v>
      </c>
      <c r="K67" s="204">
        <v>12000</v>
      </c>
      <c r="L67" s="204">
        <v>84000</v>
      </c>
      <c r="M67" s="204">
        <v>84000</v>
      </c>
      <c r="N67" s="297"/>
      <c r="O67" s="297">
        <v>2.27</v>
      </c>
      <c r="P67" s="297">
        <v>2.1800000000000002</v>
      </c>
      <c r="Q67" s="297">
        <v>1.81</v>
      </c>
      <c r="R67" s="329">
        <v>0</v>
      </c>
      <c r="S67" s="297">
        <v>1.62</v>
      </c>
      <c r="T67" s="297"/>
      <c r="U67" s="297">
        <v>2.06</v>
      </c>
      <c r="V67" s="297">
        <v>1.66</v>
      </c>
      <c r="W67" s="297">
        <v>1.54</v>
      </c>
      <c r="X67" s="329">
        <v>0</v>
      </c>
      <c r="Y67" s="297">
        <v>1.52</v>
      </c>
      <c r="Z67" s="297"/>
      <c r="AA67" s="297"/>
      <c r="AB67" s="297"/>
      <c r="AC67" s="297"/>
      <c r="AD67" s="297"/>
      <c r="AE67" s="297"/>
      <c r="AF67" s="297"/>
      <c r="AG67" s="299" t="s">
        <v>403</v>
      </c>
      <c r="AH67" s="299" t="s">
        <v>404</v>
      </c>
      <c r="AI67" s="192">
        <v>2</v>
      </c>
      <c r="AJ67" s="192">
        <v>4</v>
      </c>
      <c r="AK67" s="245">
        <v>0.33329999999999999</v>
      </c>
      <c r="AL67" s="245">
        <v>0.66659999999999997</v>
      </c>
      <c r="AM67" s="299">
        <v>0</v>
      </c>
      <c r="AN67" s="299">
        <v>0</v>
      </c>
      <c r="AO67" s="299">
        <v>0</v>
      </c>
      <c r="AP67" s="299">
        <v>12</v>
      </c>
      <c r="AQ67" s="299">
        <v>0</v>
      </c>
      <c r="AR67" s="299">
        <v>0</v>
      </c>
      <c r="AS67" s="299">
        <v>0</v>
      </c>
      <c r="AT67" s="299">
        <v>0</v>
      </c>
      <c r="AU67" s="299">
        <v>0</v>
      </c>
      <c r="AV67" s="299">
        <v>0</v>
      </c>
      <c r="AW67" s="299"/>
      <c r="AX67" s="299" t="s">
        <v>405</v>
      </c>
      <c r="AY67" s="299">
        <v>12</v>
      </c>
      <c r="AZ67" s="299" t="s">
        <v>405</v>
      </c>
      <c r="BA67" s="299"/>
      <c r="BB67" s="298"/>
      <c r="BC67" s="297"/>
      <c r="BD67" s="299"/>
      <c r="BE67" s="299" t="s">
        <v>406</v>
      </c>
      <c r="BF67" s="298"/>
      <c r="BG67" t="s">
        <v>326</v>
      </c>
      <c r="BH67" t="s">
        <v>408</v>
      </c>
    </row>
    <row r="68" spans="1:60" x14ac:dyDescent="0.15">
      <c r="A68" s="148">
        <v>1165</v>
      </c>
      <c r="B68" s="334">
        <v>43117</v>
      </c>
      <c r="C68" s="296" t="s">
        <v>398</v>
      </c>
      <c r="D68" s="297" t="s">
        <v>325</v>
      </c>
      <c r="E68" s="309">
        <v>43112</v>
      </c>
      <c r="F68" s="298" t="s">
        <v>409</v>
      </c>
      <c r="G68" s="297" t="s">
        <v>410</v>
      </c>
      <c r="H68" s="297">
        <v>74.900000000000006</v>
      </c>
      <c r="I68" s="208" t="s">
        <v>402</v>
      </c>
      <c r="J68" s="210">
        <v>6000</v>
      </c>
      <c r="K68" s="210">
        <v>6000</v>
      </c>
      <c r="L68" s="210">
        <v>6000</v>
      </c>
      <c r="M68" s="210">
        <v>6000</v>
      </c>
      <c r="N68" s="297"/>
      <c r="O68" s="297">
        <v>2.17</v>
      </c>
      <c r="P68" s="329">
        <v>0</v>
      </c>
      <c r="Q68" s="297">
        <v>0</v>
      </c>
      <c r="R68" s="329">
        <v>0</v>
      </c>
      <c r="S68" s="297">
        <v>1.94</v>
      </c>
      <c r="T68" s="297"/>
      <c r="U68" s="297">
        <v>1.92</v>
      </c>
      <c r="V68" s="329">
        <v>0</v>
      </c>
      <c r="W68" s="297">
        <v>0</v>
      </c>
      <c r="X68" s="329">
        <v>0</v>
      </c>
      <c r="Y68" s="297">
        <v>1.61</v>
      </c>
      <c r="Z68" s="297"/>
      <c r="AA68" s="297"/>
      <c r="AB68" s="297"/>
      <c r="AC68" s="297"/>
      <c r="AD68" s="297"/>
      <c r="AE68" s="297"/>
      <c r="AF68" s="297"/>
      <c r="AG68" s="299" t="s">
        <v>403</v>
      </c>
      <c r="AH68" s="299" t="s">
        <v>404</v>
      </c>
      <c r="AI68" s="192">
        <v>2</v>
      </c>
      <c r="AJ68" s="192">
        <v>4</v>
      </c>
      <c r="AK68" s="245">
        <v>0.33329999999999999</v>
      </c>
      <c r="AL68" s="245">
        <v>0.66659999999999997</v>
      </c>
      <c r="AM68" s="299">
        <v>0</v>
      </c>
      <c r="AN68" s="299">
        <v>0</v>
      </c>
      <c r="AO68" s="299">
        <v>0</v>
      </c>
      <c r="AP68" s="299">
        <v>25</v>
      </c>
      <c r="AQ68" s="299">
        <v>0</v>
      </c>
      <c r="AR68" s="299">
        <v>0</v>
      </c>
      <c r="AS68" s="299">
        <v>0</v>
      </c>
      <c r="AT68" s="299">
        <v>0</v>
      </c>
      <c r="AU68" s="299">
        <v>0</v>
      </c>
      <c r="AV68" s="299">
        <v>0</v>
      </c>
      <c r="AW68" s="297"/>
      <c r="AX68" s="299" t="s">
        <v>405</v>
      </c>
      <c r="AY68" s="299">
        <v>24</v>
      </c>
      <c r="AZ68" s="299" t="s">
        <v>405</v>
      </c>
      <c r="BA68" s="299"/>
      <c r="BB68" s="298"/>
      <c r="BC68" s="297"/>
      <c r="BD68" s="299"/>
      <c r="BE68" s="299" t="s">
        <v>411</v>
      </c>
      <c r="BF68" s="298"/>
      <c r="BG68" t="s">
        <v>412</v>
      </c>
      <c r="BH68" t="s">
        <v>408</v>
      </c>
    </row>
    <row r="69" spans="1:60" x14ac:dyDescent="0.15">
      <c r="A69" s="148">
        <v>278</v>
      </c>
      <c r="B69" s="328">
        <v>43117</v>
      </c>
      <c r="C69" s="296" t="s">
        <v>398</v>
      </c>
      <c r="D69" s="297" t="s">
        <v>325</v>
      </c>
      <c r="E69" s="295">
        <v>43101</v>
      </c>
      <c r="F69" s="298" t="s">
        <v>413</v>
      </c>
      <c r="G69" s="297" t="s">
        <v>414</v>
      </c>
      <c r="H69" s="297">
        <v>96.8</v>
      </c>
      <c r="I69" s="208" t="s">
        <v>402</v>
      </c>
      <c r="J69" s="204">
        <v>6000</v>
      </c>
      <c r="K69" s="204">
        <v>12000</v>
      </c>
      <c r="L69" s="204">
        <v>12000</v>
      </c>
      <c r="M69" s="204">
        <v>12000</v>
      </c>
      <c r="N69" s="297"/>
      <c r="O69" s="297">
        <v>3.05</v>
      </c>
      <c r="P69" s="297">
        <v>2.9</v>
      </c>
      <c r="Q69" s="329">
        <v>0</v>
      </c>
      <c r="R69" s="329">
        <v>0</v>
      </c>
      <c r="S69" s="297">
        <v>2.4500000000000002</v>
      </c>
      <c r="T69" s="297"/>
      <c r="U69" s="297">
        <v>2.5</v>
      </c>
      <c r="V69" s="297">
        <v>2.4500000000000002</v>
      </c>
      <c r="W69" s="329">
        <v>0</v>
      </c>
      <c r="X69" s="329">
        <v>0</v>
      </c>
      <c r="Y69" s="297">
        <v>2.35</v>
      </c>
      <c r="Z69" s="297"/>
      <c r="AA69" s="297"/>
      <c r="AB69" s="297"/>
      <c r="AC69" s="297"/>
      <c r="AD69" s="297"/>
      <c r="AE69" s="297"/>
      <c r="AF69" s="297"/>
      <c r="AG69" s="299" t="s">
        <v>403</v>
      </c>
      <c r="AH69" s="299" t="s">
        <v>404</v>
      </c>
      <c r="AI69" s="192">
        <v>2</v>
      </c>
      <c r="AJ69" s="192">
        <v>4</v>
      </c>
      <c r="AK69" s="245">
        <v>0.33329999999999999</v>
      </c>
      <c r="AL69" s="245">
        <v>0.66659999999999997</v>
      </c>
      <c r="AM69" s="299">
        <v>0</v>
      </c>
      <c r="AN69" s="299">
        <v>0</v>
      </c>
      <c r="AO69" s="299">
        <v>14</v>
      </c>
      <c r="AP69" s="299">
        <v>0</v>
      </c>
      <c r="AQ69" s="299">
        <v>0</v>
      </c>
      <c r="AR69" s="299">
        <v>0</v>
      </c>
      <c r="AS69" s="299">
        <v>0</v>
      </c>
      <c r="AT69" s="299">
        <v>0</v>
      </c>
      <c r="AU69" s="299">
        <v>0</v>
      </c>
      <c r="AV69" s="299">
        <v>0</v>
      </c>
      <c r="AW69" s="297"/>
      <c r="AX69" s="299" t="s">
        <v>405</v>
      </c>
      <c r="AY69" s="299"/>
      <c r="AZ69" s="299" t="s">
        <v>405</v>
      </c>
      <c r="BA69" s="299"/>
      <c r="BB69" s="298"/>
      <c r="BC69" s="297"/>
      <c r="BD69" s="299"/>
      <c r="BE69" s="299" t="s">
        <v>406</v>
      </c>
      <c r="BF69" s="298" t="s">
        <v>415</v>
      </c>
      <c r="BG69" t="s">
        <v>327</v>
      </c>
      <c r="BH69" t="s">
        <v>408</v>
      </c>
    </row>
    <row r="70" spans="1:60" x14ac:dyDescent="0.15">
      <c r="A70" s="148">
        <v>1140</v>
      </c>
      <c r="B70" s="295">
        <v>43117</v>
      </c>
      <c r="C70" s="296" t="s">
        <v>398</v>
      </c>
      <c r="D70" s="297" t="s">
        <v>325</v>
      </c>
      <c r="E70" s="295">
        <v>43101</v>
      </c>
      <c r="F70" s="298" t="s">
        <v>417</v>
      </c>
      <c r="G70" s="297" t="s">
        <v>418</v>
      </c>
      <c r="H70" s="297">
        <v>83</v>
      </c>
      <c r="I70" s="208" t="s">
        <v>402</v>
      </c>
      <c r="J70" s="204">
        <v>6000</v>
      </c>
      <c r="K70" s="204">
        <v>12000</v>
      </c>
      <c r="L70" s="204">
        <v>84000</v>
      </c>
      <c r="M70" s="204">
        <v>84000</v>
      </c>
      <c r="N70" s="297"/>
      <c r="O70" s="297">
        <v>2.2599999999999998</v>
      </c>
      <c r="P70" s="297">
        <v>2.1800000000000002</v>
      </c>
      <c r="Q70" s="297">
        <v>1.79</v>
      </c>
      <c r="R70" s="329">
        <v>0</v>
      </c>
      <c r="S70" s="297">
        <v>1.7</v>
      </c>
      <c r="T70" s="297"/>
      <c r="U70" s="297">
        <v>2.0499999999999998</v>
      </c>
      <c r="V70" s="297">
        <v>1.64</v>
      </c>
      <c r="W70" s="297">
        <v>1.54</v>
      </c>
      <c r="X70" s="329">
        <v>0</v>
      </c>
      <c r="Y70">
        <v>1.5</v>
      </c>
      <c r="Z70" s="297"/>
      <c r="AA70" s="297"/>
      <c r="AB70" s="297"/>
      <c r="AC70" s="297"/>
      <c r="AD70" s="297"/>
      <c r="AE70" s="297"/>
      <c r="AF70" s="297"/>
      <c r="AG70" s="299" t="s">
        <v>403</v>
      </c>
      <c r="AH70" s="299" t="s">
        <v>404</v>
      </c>
      <c r="AI70" s="209">
        <v>3</v>
      </c>
      <c r="AJ70" s="209">
        <v>3</v>
      </c>
      <c r="AK70" s="245">
        <v>0.5</v>
      </c>
      <c r="AL70" s="245">
        <v>0.5</v>
      </c>
      <c r="AM70" s="299">
        <v>0</v>
      </c>
      <c r="AN70" s="299">
        <v>0</v>
      </c>
      <c r="AO70" s="299">
        <v>0</v>
      </c>
      <c r="AP70" s="299">
        <v>16</v>
      </c>
      <c r="AQ70" s="299">
        <v>0</v>
      </c>
      <c r="AR70" s="299">
        <v>0</v>
      </c>
      <c r="AS70" s="299">
        <v>0</v>
      </c>
      <c r="AT70" s="299">
        <v>0</v>
      </c>
      <c r="AU70" s="299">
        <v>0</v>
      </c>
      <c r="AV70" s="299">
        <v>0</v>
      </c>
      <c r="AW70" s="299">
        <v>12</v>
      </c>
      <c r="AX70" s="299" t="s">
        <v>403</v>
      </c>
      <c r="AY70" s="299"/>
      <c r="AZ70" s="299" t="s">
        <v>405</v>
      </c>
      <c r="BA70" s="299"/>
      <c r="BB70" s="298"/>
      <c r="BC70" s="297"/>
      <c r="BD70" s="299"/>
      <c r="BE70" s="299" t="s">
        <v>406</v>
      </c>
      <c r="BF70" s="298"/>
      <c r="BG70" t="s">
        <v>328</v>
      </c>
      <c r="BH70" t="s">
        <v>408</v>
      </c>
    </row>
    <row r="71" spans="1:60" x14ac:dyDescent="0.15">
      <c r="A71" s="148">
        <v>162</v>
      </c>
      <c r="B71" s="295">
        <v>43117</v>
      </c>
      <c r="C71" s="296" t="s">
        <v>398</v>
      </c>
      <c r="D71" s="297" t="s">
        <v>325</v>
      </c>
      <c r="E71" s="295">
        <v>43102</v>
      </c>
      <c r="F71" s="298" t="s">
        <v>424</v>
      </c>
      <c r="G71" s="297" t="s">
        <v>425</v>
      </c>
      <c r="H71" s="297">
        <v>88</v>
      </c>
      <c r="I71" s="208" t="s">
        <v>402</v>
      </c>
      <c r="J71" s="204">
        <v>12000</v>
      </c>
      <c r="K71" s="204">
        <v>12000</v>
      </c>
      <c r="L71" s="204">
        <v>12000</v>
      </c>
      <c r="M71" s="204">
        <v>12000</v>
      </c>
      <c r="N71" s="297"/>
      <c r="O71" s="297">
        <v>2.44</v>
      </c>
      <c r="P71" s="329">
        <v>0</v>
      </c>
      <c r="Q71" s="297">
        <v>0</v>
      </c>
      <c r="R71" s="329">
        <v>0</v>
      </c>
      <c r="S71" s="297">
        <v>1.78</v>
      </c>
      <c r="T71" s="297"/>
      <c r="U71" s="297">
        <v>1.78</v>
      </c>
      <c r="V71" s="329">
        <v>0</v>
      </c>
      <c r="W71" s="297">
        <v>0</v>
      </c>
      <c r="X71" s="329">
        <v>0</v>
      </c>
      <c r="Y71" s="297">
        <v>1.78</v>
      </c>
      <c r="Z71" s="297"/>
      <c r="AA71" s="297"/>
      <c r="AB71" s="297"/>
      <c r="AC71" s="297"/>
      <c r="AD71" s="297"/>
      <c r="AE71" s="297"/>
      <c r="AF71" s="297"/>
      <c r="AG71" s="299" t="s">
        <v>403</v>
      </c>
      <c r="AH71" s="299" t="s">
        <v>404</v>
      </c>
      <c r="AI71" s="192">
        <v>2</v>
      </c>
      <c r="AJ71" s="192">
        <v>4</v>
      </c>
      <c r="AK71" s="245">
        <v>0.33329999999999999</v>
      </c>
      <c r="AL71" s="245">
        <v>0.66659999999999997</v>
      </c>
      <c r="AM71" s="299">
        <v>0</v>
      </c>
      <c r="AN71" s="299">
        <v>0</v>
      </c>
      <c r="AO71" s="299">
        <v>0</v>
      </c>
      <c r="AP71" s="299">
        <v>15</v>
      </c>
      <c r="AQ71" s="299">
        <v>0</v>
      </c>
      <c r="AR71" s="299">
        <v>0</v>
      </c>
      <c r="AS71" s="299">
        <v>0</v>
      </c>
      <c r="AT71" s="299">
        <v>0</v>
      </c>
      <c r="AU71" s="299">
        <v>0</v>
      </c>
      <c r="AV71" s="299">
        <v>0</v>
      </c>
      <c r="AW71" s="297"/>
      <c r="AX71" s="299" t="s">
        <v>405</v>
      </c>
      <c r="AY71" s="299">
        <v>12</v>
      </c>
      <c r="AZ71" s="299" t="s">
        <v>405</v>
      </c>
      <c r="BA71" s="299"/>
      <c r="BB71" s="298"/>
      <c r="BC71" s="297"/>
      <c r="BD71" s="299"/>
      <c r="BE71" s="299" t="s">
        <v>406</v>
      </c>
      <c r="BF71" s="298"/>
      <c r="BG71" s="301" t="s">
        <v>329</v>
      </c>
      <c r="BH71" t="s">
        <v>408</v>
      </c>
    </row>
    <row r="72" spans="1:60" x14ac:dyDescent="0.15">
      <c r="A72" s="148">
        <v>176</v>
      </c>
      <c r="B72" s="295">
        <v>43117</v>
      </c>
      <c r="C72" s="296" t="s">
        <v>398</v>
      </c>
      <c r="D72" s="297" t="s">
        <v>325</v>
      </c>
      <c r="E72" s="295">
        <v>42754</v>
      </c>
      <c r="F72" s="298" t="s">
        <v>427</v>
      </c>
      <c r="G72" s="297" t="s">
        <v>428</v>
      </c>
      <c r="H72" s="297">
        <v>79.400000000000006</v>
      </c>
      <c r="I72" s="208" t="s">
        <v>402</v>
      </c>
      <c r="J72" s="204">
        <v>6000</v>
      </c>
      <c r="K72" s="204">
        <v>12000</v>
      </c>
      <c r="L72" s="204">
        <v>84000</v>
      </c>
      <c r="M72" s="204">
        <v>84000</v>
      </c>
      <c r="N72" s="297"/>
      <c r="O72" s="297">
        <v>2.2599999999999998</v>
      </c>
      <c r="P72" s="297">
        <v>2.1</v>
      </c>
      <c r="Q72" s="297">
        <v>1.73</v>
      </c>
      <c r="R72" s="329">
        <v>0</v>
      </c>
      <c r="S72" s="297">
        <v>1.72</v>
      </c>
      <c r="T72" s="297"/>
      <c r="U72" s="297">
        <v>1.8</v>
      </c>
      <c r="V72" s="297">
        <v>1.77</v>
      </c>
      <c r="W72" s="297">
        <v>1.7</v>
      </c>
      <c r="X72" s="329">
        <v>0</v>
      </c>
      <c r="Y72">
        <v>1.58</v>
      </c>
      <c r="Z72" s="297"/>
      <c r="AA72" s="297"/>
      <c r="AB72" s="297"/>
      <c r="AC72" s="297"/>
      <c r="AD72" s="297"/>
      <c r="AE72" s="297"/>
      <c r="AF72" s="297"/>
      <c r="AG72" s="299" t="s">
        <v>403</v>
      </c>
      <c r="AH72" s="299" t="s">
        <v>404</v>
      </c>
      <c r="AI72" s="192">
        <v>2</v>
      </c>
      <c r="AJ72" s="192">
        <v>4</v>
      </c>
      <c r="AK72" s="245">
        <v>0.33329999999999999</v>
      </c>
      <c r="AL72" s="245">
        <v>0.66659999999999997</v>
      </c>
      <c r="AM72" s="299">
        <v>0</v>
      </c>
      <c r="AN72" s="299">
        <v>0</v>
      </c>
      <c r="AO72" s="299">
        <v>15</v>
      </c>
      <c r="AP72" s="299">
        <v>0</v>
      </c>
      <c r="AQ72" s="299">
        <v>0</v>
      </c>
      <c r="AR72" s="299">
        <v>0</v>
      </c>
      <c r="AS72" s="299">
        <v>0</v>
      </c>
      <c r="AT72" s="299">
        <v>0</v>
      </c>
      <c r="AU72" s="299">
        <v>0</v>
      </c>
      <c r="AV72" s="299">
        <v>0</v>
      </c>
      <c r="AW72" s="297"/>
      <c r="AX72" s="299" t="s">
        <v>405</v>
      </c>
      <c r="AY72" s="299"/>
      <c r="AZ72" s="299" t="s">
        <v>405</v>
      </c>
      <c r="BA72" s="299"/>
      <c r="BB72" s="298" t="s">
        <v>429</v>
      </c>
      <c r="BC72" s="297"/>
      <c r="BD72" s="299"/>
      <c r="BE72" s="299" t="s">
        <v>406</v>
      </c>
      <c r="BF72" s="298"/>
      <c r="BG72" t="s">
        <v>430</v>
      </c>
      <c r="BH72" t="s">
        <v>408</v>
      </c>
    </row>
    <row r="73" spans="1:60" x14ac:dyDescent="0.15">
      <c r="A73" s="148">
        <v>317</v>
      </c>
      <c r="B73" s="295">
        <v>43117</v>
      </c>
      <c r="C73" s="296" t="s">
        <v>398</v>
      </c>
      <c r="D73" s="297" t="s">
        <v>325</v>
      </c>
      <c r="E73" s="295">
        <v>43101</v>
      </c>
      <c r="F73" s="297" t="s">
        <v>431</v>
      </c>
      <c r="G73" s="297" t="s">
        <v>421</v>
      </c>
      <c r="H73" s="297">
        <v>84.76</v>
      </c>
      <c r="I73" s="208" t="s">
        <v>402</v>
      </c>
      <c r="J73" s="204">
        <v>6000</v>
      </c>
      <c r="K73" s="204">
        <v>12000</v>
      </c>
      <c r="L73" s="204">
        <v>84000</v>
      </c>
      <c r="M73" s="204">
        <v>84000</v>
      </c>
      <c r="N73" s="297"/>
      <c r="O73" s="297">
        <v>1.996</v>
      </c>
      <c r="P73" s="297">
        <v>1.83</v>
      </c>
      <c r="Q73" s="297">
        <v>1.5429999999999999</v>
      </c>
      <c r="R73" s="329">
        <v>0</v>
      </c>
      <c r="S73" s="297">
        <v>1.5369999999999999</v>
      </c>
      <c r="T73" s="297"/>
      <c r="U73" s="297">
        <v>1.6240000000000001</v>
      </c>
      <c r="V73" s="297">
        <v>1.6020000000000001</v>
      </c>
      <c r="W73" s="297">
        <v>1.534</v>
      </c>
      <c r="X73" s="329">
        <v>0</v>
      </c>
      <c r="Y73">
        <v>1.4510000000000001</v>
      </c>
      <c r="Z73" s="297"/>
      <c r="AA73" s="297"/>
      <c r="AB73" s="297"/>
      <c r="AC73" s="297"/>
      <c r="AD73" s="297"/>
      <c r="AE73" s="297"/>
      <c r="AF73" s="297"/>
      <c r="AG73" s="299" t="s">
        <v>403</v>
      </c>
      <c r="AH73" s="299" t="s">
        <v>404</v>
      </c>
      <c r="AI73" s="192">
        <v>2</v>
      </c>
      <c r="AJ73" s="192">
        <v>4</v>
      </c>
      <c r="AK73" s="245">
        <v>0.33329999999999999</v>
      </c>
      <c r="AL73" s="245">
        <v>0.66659999999999997</v>
      </c>
      <c r="AM73" s="299">
        <v>0</v>
      </c>
      <c r="AN73" s="299">
        <v>0</v>
      </c>
      <c r="AO73" s="299">
        <v>0</v>
      </c>
      <c r="AP73" s="299">
        <v>0</v>
      </c>
      <c r="AQ73" s="299">
        <v>0</v>
      </c>
      <c r="AR73" s="299">
        <v>0</v>
      </c>
      <c r="AS73" s="299">
        <v>0</v>
      </c>
      <c r="AT73" s="299">
        <v>0</v>
      </c>
      <c r="AU73" s="299">
        <v>0</v>
      </c>
      <c r="AV73" s="299">
        <v>0</v>
      </c>
      <c r="AW73" s="297"/>
      <c r="AX73" s="299" t="s">
        <v>405</v>
      </c>
      <c r="AY73" s="299"/>
      <c r="AZ73" s="299" t="s">
        <v>405</v>
      </c>
      <c r="BA73" s="299"/>
      <c r="BB73" s="298" t="s">
        <v>432</v>
      </c>
      <c r="BC73" s="297" t="s">
        <v>433</v>
      </c>
      <c r="BD73" s="299">
        <v>50</v>
      </c>
      <c r="BE73" s="299" t="s">
        <v>422</v>
      </c>
      <c r="BF73" s="298"/>
      <c r="BG73" t="s">
        <v>330</v>
      </c>
      <c r="BH73" t="s">
        <v>408</v>
      </c>
    </row>
    <row r="74" spans="1:60" x14ac:dyDescent="0.15">
      <c r="A74" s="148">
        <v>572</v>
      </c>
      <c r="B74" s="295">
        <v>43111</v>
      </c>
      <c r="C74" s="296" t="s">
        <v>398</v>
      </c>
      <c r="D74" s="297" t="s">
        <v>325</v>
      </c>
      <c r="E74" s="295">
        <v>43101</v>
      </c>
      <c r="F74" s="298" t="s">
        <v>354</v>
      </c>
      <c r="G74" s="297" t="s">
        <v>355</v>
      </c>
      <c r="H74" s="297">
        <v>79</v>
      </c>
      <c r="I74" s="208" t="s">
        <v>402</v>
      </c>
      <c r="J74" s="210">
        <v>3200</v>
      </c>
      <c r="K74" s="210">
        <v>3200</v>
      </c>
      <c r="L74" s="210">
        <v>3200</v>
      </c>
      <c r="M74" s="210">
        <v>3200</v>
      </c>
      <c r="N74" s="297"/>
      <c r="O74" s="297">
        <v>2.4</v>
      </c>
      <c r="P74" s="329">
        <v>0</v>
      </c>
      <c r="Q74" s="297">
        <v>0</v>
      </c>
      <c r="R74" s="329">
        <v>0</v>
      </c>
      <c r="S74" s="297">
        <v>2.1</v>
      </c>
      <c r="T74" s="297"/>
      <c r="U74" s="297">
        <v>1.75</v>
      </c>
      <c r="V74" s="329">
        <v>0</v>
      </c>
      <c r="W74" s="297">
        <v>0</v>
      </c>
      <c r="X74" s="329">
        <v>0</v>
      </c>
      <c r="Y74" s="297">
        <v>1.6</v>
      </c>
      <c r="AB74" s="297"/>
      <c r="AC74" s="297"/>
      <c r="AD74" s="297"/>
      <c r="AE74" s="297"/>
      <c r="AF74" s="297"/>
      <c r="AG74" s="299" t="s">
        <v>403</v>
      </c>
      <c r="AH74" s="299" t="s">
        <v>404</v>
      </c>
      <c r="AI74" s="192">
        <v>2</v>
      </c>
      <c r="AJ74" s="192">
        <v>4</v>
      </c>
      <c r="AK74" s="245">
        <v>0.33329999999999999</v>
      </c>
      <c r="AL74" s="245">
        <v>0.66659999999999997</v>
      </c>
      <c r="AM74" s="299">
        <v>0</v>
      </c>
      <c r="AN74" s="299">
        <v>0</v>
      </c>
      <c r="AO74" s="299">
        <v>0</v>
      </c>
      <c r="AP74" s="299">
        <v>13</v>
      </c>
      <c r="AQ74" s="299">
        <v>0</v>
      </c>
      <c r="AR74" s="299">
        <v>0</v>
      </c>
      <c r="AS74" s="299">
        <v>0</v>
      </c>
      <c r="AT74" s="299">
        <v>0</v>
      </c>
      <c r="AU74" s="299">
        <v>0</v>
      </c>
      <c r="AV74" s="299">
        <v>0</v>
      </c>
      <c r="AW74" s="297"/>
      <c r="AX74" s="299" t="s">
        <v>405</v>
      </c>
      <c r="AY74" s="299">
        <v>12</v>
      </c>
      <c r="AZ74" s="299" t="s">
        <v>405</v>
      </c>
      <c r="BA74" s="299"/>
      <c r="BB74" s="298"/>
      <c r="BC74" s="298"/>
      <c r="BD74" s="299"/>
      <c r="BE74" s="299" t="s">
        <v>406</v>
      </c>
      <c r="BF74" s="298"/>
      <c r="BG74" t="s">
        <v>331</v>
      </c>
      <c r="BH74" t="s">
        <v>408</v>
      </c>
    </row>
    <row r="75" spans="1:60" x14ac:dyDescent="0.15">
      <c r="A75" s="148">
        <v>238</v>
      </c>
      <c r="B75" s="295">
        <v>43117</v>
      </c>
      <c r="C75" s="296" t="s">
        <v>398</v>
      </c>
      <c r="D75" s="297" t="s">
        <v>325</v>
      </c>
      <c r="E75" s="309" t="s">
        <v>358</v>
      </c>
      <c r="F75" s="298" t="s">
        <v>359</v>
      </c>
      <c r="G75" s="297" t="s">
        <v>360</v>
      </c>
      <c r="H75" s="297">
        <v>85.3</v>
      </c>
      <c r="I75" s="208" t="s">
        <v>402</v>
      </c>
      <c r="J75" s="210">
        <v>3200</v>
      </c>
      <c r="K75" s="210">
        <v>3200</v>
      </c>
      <c r="L75" s="210">
        <v>3200</v>
      </c>
      <c r="M75" s="210">
        <v>3200</v>
      </c>
      <c r="N75" s="297"/>
      <c r="O75" s="297">
        <v>1.9259999999999999</v>
      </c>
      <c r="P75" s="329">
        <v>0</v>
      </c>
      <c r="Q75" s="297">
        <v>0</v>
      </c>
      <c r="R75" s="329">
        <v>0</v>
      </c>
      <c r="S75" s="297">
        <v>1.35</v>
      </c>
      <c r="T75" s="297"/>
      <c r="U75" s="297">
        <v>1.6850000000000001</v>
      </c>
      <c r="V75" s="329">
        <v>0</v>
      </c>
      <c r="W75" s="297">
        <v>0</v>
      </c>
      <c r="X75" s="329">
        <v>0</v>
      </c>
      <c r="Y75" s="297">
        <v>1.3109999999999999</v>
      </c>
      <c r="AB75" s="297"/>
      <c r="AC75" s="297"/>
      <c r="AD75" s="297"/>
      <c r="AE75" s="297"/>
      <c r="AF75" s="297"/>
      <c r="AG75" s="299" t="s">
        <v>403</v>
      </c>
      <c r="AH75" s="299" t="s">
        <v>404</v>
      </c>
      <c r="AI75" s="209">
        <v>2</v>
      </c>
      <c r="AJ75" s="209">
        <v>4</v>
      </c>
      <c r="AK75" s="245">
        <v>0.33329999999999999</v>
      </c>
      <c r="AL75" s="245">
        <v>0.66659999999999997</v>
      </c>
      <c r="AM75" s="299">
        <v>0</v>
      </c>
      <c r="AN75" s="299">
        <v>0</v>
      </c>
      <c r="AO75" s="299">
        <v>10</v>
      </c>
      <c r="AP75" s="299">
        <v>0</v>
      </c>
      <c r="AQ75" s="299">
        <v>0</v>
      </c>
      <c r="AR75" s="299">
        <v>0</v>
      </c>
      <c r="AS75" s="299">
        <v>0</v>
      </c>
      <c r="AT75" s="299">
        <v>0</v>
      </c>
      <c r="AU75" s="299">
        <v>0</v>
      </c>
      <c r="AV75" s="299">
        <v>0</v>
      </c>
      <c r="AW75" s="299"/>
      <c r="AX75" s="299" t="s">
        <v>405</v>
      </c>
      <c r="AY75" s="299"/>
      <c r="AZ75" s="299" t="s">
        <v>405</v>
      </c>
      <c r="BA75" s="299"/>
      <c r="BB75" s="298"/>
      <c r="BC75" s="297"/>
      <c r="BD75" s="299"/>
      <c r="BE75" s="299" t="s">
        <v>422</v>
      </c>
      <c r="BF75" s="298"/>
      <c r="BG75" t="s">
        <v>332</v>
      </c>
      <c r="BH75" t="s">
        <v>357</v>
      </c>
    </row>
    <row r="76" spans="1:60" x14ac:dyDescent="0.15">
      <c r="A76" s="148">
        <v>793</v>
      </c>
      <c r="B76" s="295">
        <v>43088</v>
      </c>
      <c r="C76" s="296" t="s">
        <v>398</v>
      </c>
      <c r="D76" s="297" t="s">
        <v>325</v>
      </c>
      <c r="E76" s="309">
        <v>43115</v>
      </c>
      <c r="F76" s="298" t="s">
        <v>362</v>
      </c>
      <c r="G76" s="297" t="s">
        <v>363</v>
      </c>
      <c r="H76" s="339">
        <v>76.81</v>
      </c>
      <c r="I76" s="208" t="s">
        <v>402</v>
      </c>
      <c r="J76" s="204">
        <v>6000</v>
      </c>
      <c r="K76" s="204">
        <v>12000</v>
      </c>
      <c r="L76" s="204">
        <v>84000</v>
      </c>
      <c r="M76" s="204">
        <v>84000</v>
      </c>
      <c r="N76" s="297"/>
      <c r="O76" s="340">
        <v>2.57</v>
      </c>
      <c r="P76" s="332">
        <v>2.5299999999999998</v>
      </c>
      <c r="Q76" s="332">
        <v>2.0099999999999998</v>
      </c>
      <c r="R76" s="329">
        <v>0</v>
      </c>
      <c r="S76" s="340">
        <v>2</v>
      </c>
      <c r="T76" s="297"/>
      <c r="U76" s="340">
        <v>2.1</v>
      </c>
      <c r="V76" s="332">
        <v>2.06</v>
      </c>
      <c r="W76" s="332">
        <v>1.94</v>
      </c>
      <c r="X76" s="329">
        <v>0</v>
      </c>
      <c r="Y76" s="341">
        <v>1.8</v>
      </c>
      <c r="AB76" s="297"/>
      <c r="AC76" s="297"/>
      <c r="AD76" s="297"/>
      <c r="AE76" s="297"/>
      <c r="AF76" s="297"/>
      <c r="AG76" s="299" t="s">
        <v>403</v>
      </c>
      <c r="AH76" s="299" t="s">
        <v>404</v>
      </c>
      <c r="AI76" s="192">
        <v>2</v>
      </c>
      <c r="AJ76" s="192">
        <v>4</v>
      </c>
      <c r="AK76" s="245">
        <v>0.33329999999999999</v>
      </c>
      <c r="AL76" s="245">
        <v>0.66659999999999997</v>
      </c>
      <c r="AM76" s="299">
        <v>0</v>
      </c>
      <c r="AN76" s="299">
        <v>0</v>
      </c>
      <c r="AO76" s="299">
        <v>0</v>
      </c>
      <c r="AP76" s="299">
        <v>20</v>
      </c>
      <c r="AQ76" s="299">
        <v>0</v>
      </c>
      <c r="AR76" s="299">
        <v>0</v>
      </c>
      <c r="AS76" s="299">
        <v>0</v>
      </c>
      <c r="AT76" s="299">
        <v>0</v>
      </c>
      <c r="AU76" s="299">
        <v>0</v>
      </c>
      <c r="AV76" s="299">
        <v>0</v>
      </c>
      <c r="AW76" s="297"/>
      <c r="AX76" s="299" t="s">
        <v>405</v>
      </c>
      <c r="AY76" s="299">
        <v>24</v>
      </c>
      <c r="AZ76" s="299" t="s">
        <v>405</v>
      </c>
      <c r="BA76" s="299"/>
      <c r="BB76" s="298" t="s">
        <v>364</v>
      </c>
      <c r="BC76" s="297" t="s">
        <v>365</v>
      </c>
      <c r="BD76" s="299">
        <v>25</v>
      </c>
      <c r="BE76" s="299" t="s">
        <v>422</v>
      </c>
      <c r="BF76" s="298"/>
      <c r="BG76" t="s">
        <v>430</v>
      </c>
      <c r="BH76" t="s">
        <v>408</v>
      </c>
    </row>
    <row r="77" spans="1:60" x14ac:dyDescent="0.15">
      <c r="A77" s="148">
        <v>1131</v>
      </c>
      <c r="B77" s="295">
        <v>43088</v>
      </c>
      <c r="C77" s="296" t="s">
        <v>398</v>
      </c>
      <c r="D77" s="297" t="s">
        <v>325</v>
      </c>
      <c r="E77" s="309">
        <v>42948</v>
      </c>
      <c r="F77" s="297" t="s">
        <v>366</v>
      </c>
      <c r="G77" s="297" t="s">
        <v>367</v>
      </c>
      <c r="H77" s="332">
        <v>82.39</v>
      </c>
      <c r="I77" s="208" t="s">
        <v>402</v>
      </c>
      <c r="J77" s="204">
        <v>6000</v>
      </c>
      <c r="K77" s="204">
        <v>12000</v>
      </c>
      <c r="L77" s="204">
        <v>84000</v>
      </c>
      <c r="M77" s="204">
        <v>84000</v>
      </c>
      <c r="N77" s="332"/>
      <c r="O77" s="332">
        <v>2.61</v>
      </c>
      <c r="P77" s="332">
        <v>2.4870000000000001</v>
      </c>
      <c r="Q77" s="329">
        <v>0</v>
      </c>
      <c r="R77" s="329">
        <v>0</v>
      </c>
      <c r="S77" s="332">
        <v>1.9510000000000001</v>
      </c>
      <c r="T77" s="332"/>
      <c r="U77" s="332">
        <v>2.3359999999999999</v>
      </c>
      <c r="V77" s="332">
        <v>1.875</v>
      </c>
      <c r="W77" s="329">
        <v>0</v>
      </c>
      <c r="X77" s="329">
        <v>0</v>
      </c>
      <c r="Y77" s="332">
        <v>1.752</v>
      </c>
      <c r="Z77" s="332"/>
      <c r="AA77" s="332"/>
      <c r="AB77" s="332"/>
      <c r="AC77" s="332"/>
      <c r="AD77" s="332"/>
      <c r="AE77" s="332"/>
      <c r="AF77" s="332"/>
      <c r="AG77" s="333" t="s">
        <v>403</v>
      </c>
      <c r="AH77" s="333" t="s">
        <v>404</v>
      </c>
      <c r="AI77" s="209">
        <v>2</v>
      </c>
      <c r="AJ77" s="209">
        <v>4</v>
      </c>
      <c r="AK77" s="245">
        <v>0.33329999999999999</v>
      </c>
      <c r="AL77" s="245">
        <v>0.66659999999999997</v>
      </c>
      <c r="AM77" s="299">
        <v>0</v>
      </c>
      <c r="AN77" s="299">
        <v>0</v>
      </c>
      <c r="AO77" s="299">
        <v>0</v>
      </c>
      <c r="AP77" s="299">
        <v>17</v>
      </c>
      <c r="AQ77" s="299">
        <v>0</v>
      </c>
      <c r="AR77" s="299">
        <v>0</v>
      </c>
      <c r="AS77" s="299">
        <v>0</v>
      </c>
      <c r="AT77" s="299">
        <v>0</v>
      </c>
      <c r="AU77" s="299">
        <v>0</v>
      </c>
      <c r="AV77" s="299">
        <v>0</v>
      </c>
      <c r="AW77" s="299"/>
      <c r="AX77" s="299" t="s">
        <v>405</v>
      </c>
      <c r="AY77" s="299">
        <v>12</v>
      </c>
      <c r="AZ77" s="299" t="s">
        <v>405</v>
      </c>
      <c r="BA77" s="299"/>
      <c r="BB77" s="298"/>
      <c r="BC77" s="297"/>
      <c r="BD77" s="299"/>
      <c r="BE77" s="299" t="s">
        <v>422</v>
      </c>
      <c r="BF77" s="298"/>
      <c r="BG77" t="s">
        <v>430</v>
      </c>
      <c r="BH77" t="s">
        <v>368</v>
      </c>
    </row>
    <row r="78" spans="1:60" x14ac:dyDescent="0.15">
      <c r="A78" s="148">
        <v>1265</v>
      </c>
      <c r="B78" s="334">
        <v>43117</v>
      </c>
      <c r="C78" s="296" t="s">
        <v>398</v>
      </c>
      <c r="D78" s="297" t="s">
        <v>325</v>
      </c>
      <c r="E78" s="295">
        <v>43101</v>
      </c>
      <c r="F78" s="298" t="s">
        <v>987</v>
      </c>
      <c r="G78" s="297" t="s">
        <v>369</v>
      </c>
      <c r="H78" s="297">
        <v>96.8</v>
      </c>
      <c r="I78" s="208" t="s">
        <v>402</v>
      </c>
      <c r="J78" s="204">
        <v>6000</v>
      </c>
      <c r="K78" s="204">
        <v>12000</v>
      </c>
      <c r="L78" s="204">
        <v>12000</v>
      </c>
      <c r="M78" s="204">
        <v>12000</v>
      </c>
      <c r="N78" s="297"/>
      <c r="O78" s="297">
        <v>3.05</v>
      </c>
      <c r="P78" s="297">
        <v>2.9</v>
      </c>
      <c r="Q78" s="329">
        <v>0</v>
      </c>
      <c r="R78" s="329">
        <v>0</v>
      </c>
      <c r="S78" s="297">
        <v>2.4500000000000002</v>
      </c>
      <c r="T78" s="297"/>
      <c r="U78" s="297">
        <v>2.5</v>
      </c>
      <c r="V78" s="297">
        <v>2.4500000000000002</v>
      </c>
      <c r="W78" s="329">
        <v>0</v>
      </c>
      <c r="X78" s="329">
        <v>0</v>
      </c>
      <c r="Y78" s="297">
        <v>2.35</v>
      </c>
      <c r="Z78" s="297"/>
      <c r="AA78" s="297"/>
      <c r="AB78" s="297"/>
      <c r="AC78" s="297"/>
      <c r="AD78" s="297"/>
      <c r="AE78" s="297"/>
      <c r="AF78" s="297"/>
      <c r="AG78" s="299" t="s">
        <v>403</v>
      </c>
      <c r="AH78" s="299" t="s">
        <v>404</v>
      </c>
      <c r="AI78" s="192">
        <v>2</v>
      </c>
      <c r="AJ78" s="192">
        <v>4</v>
      </c>
      <c r="AK78" s="245">
        <v>0.33329999999999999</v>
      </c>
      <c r="AL78" s="245">
        <v>0.66659999999999997</v>
      </c>
      <c r="AM78" s="299">
        <v>0</v>
      </c>
      <c r="AN78" s="299">
        <v>0</v>
      </c>
      <c r="AO78" s="299">
        <v>28</v>
      </c>
      <c r="AP78" s="299">
        <v>0</v>
      </c>
      <c r="AQ78" s="299">
        <v>0</v>
      </c>
      <c r="AR78" s="299">
        <v>0</v>
      </c>
      <c r="AS78" s="299">
        <v>0</v>
      </c>
      <c r="AT78" s="299">
        <v>0</v>
      </c>
      <c r="AU78" s="299">
        <v>0</v>
      </c>
      <c r="AV78" s="299">
        <v>0</v>
      </c>
      <c r="AW78" s="299"/>
      <c r="AX78" s="299" t="s">
        <v>405</v>
      </c>
      <c r="AY78" s="299"/>
      <c r="AZ78" s="299" t="s">
        <v>405</v>
      </c>
      <c r="BA78" s="299"/>
      <c r="BB78" s="298"/>
      <c r="BC78" s="297"/>
      <c r="BD78" s="299"/>
      <c r="BE78" s="299" t="s">
        <v>406</v>
      </c>
      <c r="BF78" s="298" t="s">
        <v>370</v>
      </c>
      <c r="BG78" t="s">
        <v>333</v>
      </c>
      <c r="BH78" t="s">
        <v>408</v>
      </c>
    </row>
    <row r="79" spans="1:60" x14ac:dyDescent="0.15">
      <c r="A79" s="148">
        <v>83</v>
      </c>
      <c r="B79" s="334">
        <v>43117</v>
      </c>
      <c r="C79" s="296" t="s">
        <v>398</v>
      </c>
      <c r="D79" s="297" t="s">
        <v>334</v>
      </c>
      <c r="E79" s="295">
        <v>43110</v>
      </c>
      <c r="F79" s="298" t="s">
        <v>400</v>
      </c>
      <c r="G79" s="297" t="s">
        <v>401</v>
      </c>
      <c r="H79" s="297">
        <v>88</v>
      </c>
      <c r="I79" s="312" t="s">
        <v>402</v>
      </c>
      <c r="J79" s="310">
        <v>6000</v>
      </c>
      <c r="K79" s="310">
        <v>12000</v>
      </c>
      <c r="L79" s="310">
        <v>84000</v>
      </c>
      <c r="M79" s="310">
        <v>84000</v>
      </c>
      <c r="N79" s="297"/>
      <c r="O79" s="297">
        <v>2.52</v>
      </c>
      <c r="P79" s="297">
        <v>2.4</v>
      </c>
      <c r="Q79" s="297">
        <v>1.83</v>
      </c>
      <c r="R79" s="329">
        <v>0</v>
      </c>
      <c r="S79" s="297">
        <v>1.56</v>
      </c>
      <c r="T79" s="297"/>
      <c r="U79" s="297">
        <v>2.16</v>
      </c>
      <c r="V79" s="297">
        <v>1.88</v>
      </c>
      <c r="W79" s="297">
        <v>1.73</v>
      </c>
      <c r="X79" s="329">
        <v>0</v>
      </c>
      <c r="Y79" s="297">
        <v>1.47</v>
      </c>
      <c r="Z79" s="297"/>
      <c r="AA79" s="297"/>
      <c r="AB79" s="297"/>
      <c r="AC79" s="297"/>
      <c r="AD79" s="297"/>
      <c r="AE79" s="297"/>
      <c r="AF79" s="297"/>
      <c r="AG79" s="299" t="s">
        <v>403</v>
      </c>
      <c r="AH79" s="299" t="s">
        <v>404</v>
      </c>
      <c r="AI79" s="192">
        <v>2</v>
      </c>
      <c r="AJ79" s="192">
        <v>4</v>
      </c>
      <c r="AK79" s="246">
        <v>0.33329999999999999</v>
      </c>
      <c r="AL79" s="246">
        <v>0.66659999999999997</v>
      </c>
      <c r="AM79" s="299">
        <v>0</v>
      </c>
      <c r="AN79" s="299">
        <v>0</v>
      </c>
      <c r="AO79" s="299">
        <v>0</v>
      </c>
      <c r="AP79" s="299">
        <v>12</v>
      </c>
      <c r="AQ79" s="299">
        <v>0</v>
      </c>
      <c r="AR79" s="299">
        <v>0</v>
      </c>
      <c r="AS79" s="299">
        <v>0</v>
      </c>
      <c r="AT79" s="299">
        <v>0</v>
      </c>
      <c r="AU79" s="299">
        <v>0</v>
      </c>
      <c r="AV79" s="299">
        <v>0</v>
      </c>
      <c r="AW79" s="299"/>
      <c r="AX79" s="299" t="s">
        <v>405</v>
      </c>
      <c r="AY79" s="299">
        <v>12</v>
      </c>
      <c r="AZ79" s="299" t="s">
        <v>405</v>
      </c>
      <c r="BA79" s="299"/>
      <c r="BB79" s="298"/>
      <c r="BC79" s="297"/>
      <c r="BD79" s="299"/>
      <c r="BE79" s="299" t="s">
        <v>406</v>
      </c>
      <c r="BF79" s="298"/>
      <c r="BG79" t="s">
        <v>335</v>
      </c>
      <c r="BH79" t="s">
        <v>408</v>
      </c>
    </row>
    <row r="80" spans="1:60" x14ac:dyDescent="0.15">
      <c r="A80" s="148">
        <v>1167</v>
      </c>
      <c r="B80" s="334">
        <v>43117</v>
      </c>
      <c r="C80" s="296" t="s">
        <v>398</v>
      </c>
      <c r="D80" s="297" t="s">
        <v>334</v>
      </c>
      <c r="E80" s="309">
        <v>43112</v>
      </c>
      <c r="F80" s="298" t="s">
        <v>409</v>
      </c>
      <c r="G80" s="297" t="s">
        <v>410</v>
      </c>
      <c r="H80" s="297">
        <v>76.900000000000006</v>
      </c>
      <c r="I80" s="312" t="s">
        <v>402</v>
      </c>
      <c r="J80" s="311">
        <v>6000</v>
      </c>
      <c r="K80" s="311">
        <v>6000</v>
      </c>
      <c r="L80" s="311">
        <v>6000</v>
      </c>
      <c r="M80" s="311">
        <v>6000</v>
      </c>
      <c r="N80" s="297"/>
      <c r="O80" s="297">
        <v>2.42</v>
      </c>
      <c r="P80" s="329">
        <v>0</v>
      </c>
      <c r="Q80" s="297">
        <v>0</v>
      </c>
      <c r="R80" s="329">
        <v>0</v>
      </c>
      <c r="S80" s="297">
        <v>1.93</v>
      </c>
      <c r="T80" s="297"/>
      <c r="U80" s="297">
        <v>1.19</v>
      </c>
      <c r="V80" s="329">
        <v>0</v>
      </c>
      <c r="W80" s="297">
        <v>0</v>
      </c>
      <c r="X80" s="329">
        <v>0</v>
      </c>
      <c r="Y80" s="297">
        <v>1.77</v>
      </c>
      <c r="Z80" s="297"/>
      <c r="AA80" s="297"/>
      <c r="AB80" s="297"/>
      <c r="AC80" s="297"/>
      <c r="AD80" s="297"/>
      <c r="AE80" s="297"/>
      <c r="AF80" s="297"/>
      <c r="AG80" s="299" t="s">
        <v>403</v>
      </c>
      <c r="AH80" s="299" t="s">
        <v>404</v>
      </c>
      <c r="AI80" s="192">
        <v>2</v>
      </c>
      <c r="AJ80" s="192">
        <v>4</v>
      </c>
      <c r="AK80" s="246">
        <v>0.33329999999999999</v>
      </c>
      <c r="AL80" s="246">
        <v>0.66659999999999997</v>
      </c>
      <c r="AM80" s="299">
        <v>0</v>
      </c>
      <c r="AN80" s="299">
        <v>0</v>
      </c>
      <c r="AO80" s="299">
        <v>0</v>
      </c>
      <c r="AP80" s="299">
        <v>25</v>
      </c>
      <c r="AQ80" s="299">
        <v>0</v>
      </c>
      <c r="AR80" s="299">
        <v>0</v>
      </c>
      <c r="AS80" s="299">
        <v>0</v>
      </c>
      <c r="AT80" s="299">
        <v>0</v>
      </c>
      <c r="AU80" s="299">
        <v>0</v>
      </c>
      <c r="AV80" s="299">
        <v>0</v>
      </c>
      <c r="AW80" s="297"/>
      <c r="AX80" s="299" t="s">
        <v>405</v>
      </c>
      <c r="AY80" s="299">
        <v>24</v>
      </c>
      <c r="AZ80" s="299" t="s">
        <v>405</v>
      </c>
      <c r="BA80" s="299"/>
      <c r="BB80" s="298"/>
      <c r="BC80" s="297"/>
      <c r="BD80" s="299"/>
      <c r="BE80" s="299" t="s">
        <v>411</v>
      </c>
      <c r="BF80" s="298"/>
      <c r="BG80" t="s">
        <v>412</v>
      </c>
      <c r="BH80" t="s">
        <v>408</v>
      </c>
    </row>
    <row r="81" spans="1:60" x14ac:dyDescent="0.15">
      <c r="A81" s="148">
        <v>280</v>
      </c>
      <c r="B81" s="334">
        <v>43117</v>
      </c>
      <c r="C81" s="296" t="s">
        <v>398</v>
      </c>
      <c r="D81" s="297" t="s">
        <v>334</v>
      </c>
      <c r="E81" s="295">
        <v>43101</v>
      </c>
      <c r="F81" s="298" t="s">
        <v>413</v>
      </c>
      <c r="G81" s="297" t="s">
        <v>414</v>
      </c>
      <c r="H81" s="297">
        <v>96.8</v>
      </c>
      <c r="I81" s="312" t="s">
        <v>402</v>
      </c>
      <c r="J81" s="310">
        <v>6000</v>
      </c>
      <c r="K81" s="310">
        <v>12000</v>
      </c>
      <c r="L81" s="310">
        <v>12000</v>
      </c>
      <c r="M81" s="310">
        <v>12000</v>
      </c>
      <c r="N81" s="297"/>
      <c r="O81" s="297">
        <v>3.55</v>
      </c>
      <c r="P81" s="297">
        <v>3.05</v>
      </c>
      <c r="Q81" s="329">
        <v>0</v>
      </c>
      <c r="R81" s="329">
        <v>0</v>
      </c>
      <c r="S81" s="297">
        <v>2.2999999999999998</v>
      </c>
      <c r="T81" s="297"/>
      <c r="U81" s="297">
        <v>2.5</v>
      </c>
      <c r="V81" s="297">
        <v>2.4500000000000002</v>
      </c>
      <c r="W81" s="329">
        <v>0</v>
      </c>
      <c r="X81" s="329">
        <v>0</v>
      </c>
      <c r="Y81" s="297">
        <v>2.2999999999999998</v>
      </c>
      <c r="Z81" s="297"/>
      <c r="AA81" s="297"/>
      <c r="AB81" s="297"/>
      <c r="AC81" s="297"/>
      <c r="AD81" s="297"/>
      <c r="AE81" s="297"/>
      <c r="AF81" s="297"/>
      <c r="AG81" s="299" t="s">
        <v>403</v>
      </c>
      <c r="AH81" s="299" t="s">
        <v>404</v>
      </c>
      <c r="AI81" s="192">
        <v>2</v>
      </c>
      <c r="AJ81" s="192">
        <v>4</v>
      </c>
      <c r="AK81" s="246">
        <v>0.33329999999999999</v>
      </c>
      <c r="AL81" s="246">
        <v>0.66659999999999997</v>
      </c>
      <c r="AM81" s="299">
        <v>0</v>
      </c>
      <c r="AN81" s="299">
        <v>0</v>
      </c>
      <c r="AO81" s="299">
        <v>14</v>
      </c>
      <c r="AP81" s="299">
        <v>0</v>
      </c>
      <c r="AQ81" s="299">
        <v>0</v>
      </c>
      <c r="AR81" s="299">
        <v>0</v>
      </c>
      <c r="AS81" s="299">
        <v>0</v>
      </c>
      <c r="AT81" s="299">
        <v>0</v>
      </c>
      <c r="AU81" s="299">
        <v>0</v>
      </c>
      <c r="AV81" s="299">
        <v>0</v>
      </c>
      <c r="AW81" s="297"/>
      <c r="AX81" s="299" t="s">
        <v>405</v>
      </c>
      <c r="AY81" s="299"/>
      <c r="AZ81" s="299" t="s">
        <v>405</v>
      </c>
      <c r="BA81" s="299"/>
      <c r="BB81" s="298"/>
      <c r="BC81" s="297"/>
      <c r="BD81" s="299"/>
      <c r="BE81" s="299" t="s">
        <v>406</v>
      </c>
      <c r="BF81" s="298" t="s">
        <v>415</v>
      </c>
      <c r="BG81" t="s">
        <v>336</v>
      </c>
      <c r="BH81" t="s">
        <v>408</v>
      </c>
    </row>
    <row r="82" spans="1:60" x14ac:dyDescent="0.15">
      <c r="A82" s="148">
        <v>1142</v>
      </c>
      <c r="B82" s="330">
        <v>43117</v>
      </c>
      <c r="C82" s="296" t="s">
        <v>398</v>
      </c>
      <c r="D82" s="297" t="s">
        <v>334</v>
      </c>
      <c r="E82" s="295">
        <v>43101</v>
      </c>
      <c r="F82" s="298" t="s">
        <v>417</v>
      </c>
      <c r="G82" s="297" t="s">
        <v>418</v>
      </c>
      <c r="H82" s="297">
        <v>82</v>
      </c>
      <c r="I82" s="312" t="s">
        <v>402</v>
      </c>
      <c r="J82" s="310">
        <v>6000</v>
      </c>
      <c r="K82" s="310">
        <v>12000</v>
      </c>
      <c r="L82" s="310">
        <v>84000</v>
      </c>
      <c r="M82" s="310">
        <v>84000</v>
      </c>
      <c r="N82" s="297"/>
      <c r="O82" s="297">
        <v>2.65</v>
      </c>
      <c r="P82" s="297">
        <v>2.5</v>
      </c>
      <c r="Q82" s="297">
        <v>1.95</v>
      </c>
      <c r="R82" s="329">
        <v>0</v>
      </c>
      <c r="S82" s="297">
        <v>1.75</v>
      </c>
      <c r="T82" s="297"/>
      <c r="U82" s="297">
        <v>2.3199999999999998</v>
      </c>
      <c r="V82" s="297">
        <v>1.9</v>
      </c>
      <c r="W82" s="297">
        <v>1.65</v>
      </c>
      <c r="X82" s="329">
        <v>0</v>
      </c>
      <c r="Y82" s="297">
        <v>1.5</v>
      </c>
      <c r="Z82" s="297"/>
      <c r="AA82" s="297"/>
      <c r="AB82" s="297"/>
      <c r="AC82" s="297"/>
      <c r="AD82" s="297"/>
      <c r="AE82" s="297"/>
      <c r="AF82" s="297"/>
      <c r="AG82" s="299" t="s">
        <v>403</v>
      </c>
      <c r="AH82" s="299" t="s">
        <v>404</v>
      </c>
      <c r="AI82" s="218">
        <v>3</v>
      </c>
      <c r="AJ82" s="218">
        <v>3</v>
      </c>
      <c r="AK82" s="246">
        <v>0.5</v>
      </c>
      <c r="AL82" s="246">
        <v>0.5</v>
      </c>
      <c r="AM82" s="299">
        <v>0</v>
      </c>
      <c r="AN82" s="299">
        <v>0</v>
      </c>
      <c r="AO82" s="299">
        <v>0</v>
      </c>
      <c r="AP82" s="299">
        <v>16</v>
      </c>
      <c r="AQ82" s="299">
        <v>0</v>
      </c>
      <c r="AR82" s="299">
        <v>0</v>
      </c>
      <c r="AS82" s="299">
        <v>0</v>
      </c>
      <c r="AT82" s="299">
        <v>0</v>
      </c>
      <c r="AU82" s="299">
        <v>0</v>
      </c>
      <c r="AV82" s="299">
        <v>0</v>
      </c>
      <c r="AW82" s="299">
        <v>12</v>
      </c>
      <c r="AX82" s="299" t="s">
        <v>403</v>
      </c>
      <c r="AY82" s="299"/>
      <c r="AZ82" s="299" t="s">
        <v>405</v>
      </c>
      <c r="BA82" s="299"/>
      <c r="BB82" s="298"/>
      <c r="BC82" s="297"/>
      <c r="BD82" s="299"/>
      <c r="BE82" s="299" t="s">
        <v>406</v>
      </c>
      <c r="BF82" s="298"/>
      <c r="BG82" t="s">
        <v>328</v>
      </c>
      <c r="BH82" t="s">
        <v>408</v>
      </c>
    </row>
    <row r="83" spans="1:60" x14ac:dyDescent="0.15">
      <c r="A83" s="148">
        <v>879</v>
      </c>
      <c r="B83" s="330">
        <v>43117</v>
      </c>
      <c r="C83" s="296" t="s">
        <v>398</v>
      </c>
      <c r="D83" s="297" t="s">
        <v>334</v>
      </c>
      <c r="E83" s="295">
        <v>43009</v>
      </c>
      <c r="F83" s="298" t="s">
        <v>420</v>
      </c>
      <c r="G83" s="297" t="s">
        <v>421</v>
      </c>
      <c r="H83" s="297">
        <v>79.900000000000006</v>
      </c>
      <c r="I83" s="312" t="s">
        <v>402</v>
      </c>
      <c r="J83" s="311">
        <v>3500</v>
      </c>
      <c r="K83" s="311">
        <v>3500</v>
      </c>
      <c r="L83" s="311">
        <v>3500</v>
      </c>
      <c r="M83" s="311">
        <v>3500</v>
      </c>
      <c r="N83" s="297"/>
      <c r="O83" s="297">
        <v>2.76</v>
      </c>
      <c r="P83" s="329">
        <v>0</v>
      </c>
      <c r="Q83" s="297">
        <v>0</v>
      </c>
      <c r="R83" s="329">
        <v>0</v>
      </c>
      <c r="S83" s="297">
        <v>2.35</v>
      </c>
      <c r="T83" s="297"/>
      <c r="U83" s="297">
        <v>2.2200000000000002</v>
      </c>
      <c r="V83" s="329">
        <v>0</v>
      </c>
      <c r="W83" s="297">
        <v>0</v>
      </c>
      <c r="X83" s="329">
        <v>0</v>
      </c>
      <c r="Y83" s="297">
        <v>1.83</v>
      </c>
      <c r="Z83" s="297"/>
      <c r="AA83" s="297"/>
      <c r="AB83" s="297"/>
      <c r="AC83" s="297"/>
      <c r="AD83" s="297"/>
      <c r="AE83" s="297"/>
      <c r="AF83" s="297"/>
      <c r="AG83" s="299" t="s">
        <v>403</v>
      </c>
      <c r="AH83" s="299" t="s">
        <v>404</v>
      </c>
      <c r="AI83" s="192">
        <v>2</v>
      </c>
      <c r="AJ83" s="192">
        <v>4</v>
      </c>
      <c r="AK83" s="246">
        <v>0.33329999999999999</v>
      </c>
      <c r="AL83" s="246">
        <v>0.66659999999999997</v>
      </c>
      <c r="AM83" s="299">
        <v>0</v>
      </c>
      <c r="AN83" s="299">
        <v>0</v>
      </c>
      <c r="AO83" s="299">
        <v>0</v>
      </c>
      <c r="AP83" s="299">
        <v>0</v>
      </c>
      <c r="AQ83" s="299">
        <v>0</v>
      </c>
      <c r="AR83" s="299">
        <v>20</v>
      </c>
      <c r="AS83" s="299">
        <v>0</v>
      </c>
      <c r="AT83" s="299">
        <v>0</v>
      </c>
      <c r="AU83" s="299">
        <v>0</v>
      </c>
      <c r="AV83" s="299">
        <v>0</v>
      </c>
      <c r="AW83" s="297"/>
      <c r="AX83" s="299" t="s">
        <v>405</v>
      </c>
      <c r="AY83" s="299"/>
      <c r="AZ83" s="299" t="s">
        <v>405</v>
      </c>
      <c r="BA83" s="299"/>
      <c r="BB83" s="298"/>
      <c r="BC83" s="297"/>
      <c r="BD83" s="299"/>
      <c r="BE83" s="299" t="s">
        <v>422</v>
      </c>
      <c r="BF83" s="298"/>
      <c r="BG83" t="s">
        <v>291</v>
      </c>
      <c r="BH83" t="s">
        <v>408</v>
      </c>
    </row>
    <row r="84" spans="1:60" x14ac:dyDescent="0.15">
      <c r="A84" s="148">
        <v>164</v>
      </c>
      <c r="B84" s="330">
        <v>43117</v>
      </c>
      <c r="C84" s="296" t="s">
        <v>398</v>
      </c>
      <c r="D84" s="297" t="s">
        <v>334</v>
      </c>
      <c r="E84" s="295">
        <v>43102</v>
      </c>
      <c r="F84" s="298" t="s">
        <v>424</v>
      </c>
      <c r="G84" s="297" t="s">
        <v>425</v>
      </c>
      <c r="H84" s="297">
        <v>88</v>
      </c>
      <c r="I84" s="312" t="s">
        <v>402</v>
      </c>
      <c r="J84" s="310">
        <v>12000</v>
      </c>
      <c r="K84" s="310">
        <v>12000</v>
      </c>
      <c r="L84" s="310">
        <v>12000</v>
      </c>
      <c r="M84" s="310">
        <v>12000</v>
      </c>
      <c r="N84" s="297"/>
      <c r="O84" s="297">
        <v>2.72</v>
      </c>
      <c r="P84" s="329">
        <v>0</v>
      </c>
      <c r="Q84" s="297">
        <v>0</v>
      </c>
      <c r="R84" s="329">
        <v>0</v>
      </c>
      <c r="S84" s="297">
        <v>1.7</v>
      </c>
      <c r="T84" s="297"/>
      <c r="U84" s="297">
        <v>1.9</v>
      </c>
      <c r="V84" s="329">
        <v>0</v>
      </c>
      <c r="W84" s="297">
        <v>0</v>
      </c>
      <c r="X84" s="329">
        <v>0</v>
      </c>
      <c r="Y84" s="297">
        <v>1.9</v>
      </c>
      <c r="Z84" s="297"/>
      <c r="AA84" s="297"/>
      <c r="AB84" s="297"/>
      <c r="AC84" s="297"/>
      <c r="AD84" s="297"/>
      <c r="AE84" s="297"/>
      <c r="AF84" s="297"/>
      <c r="AG84" s="299" t="s">
        <v>403</v>
      </c>
      <c r="AH84" s="299" t="s">
        <v>404</v>
      </c>
      <c r="AI84" s="192">
        <v>2</v>
      </c>
      <c r="AJ84" s="192">
        <v>4</v>
      </c>
      <c r="AK84" s="246">
        <v>0.33329999999999999</v>
      </c>
      <c r="AL84" s="246">
        <v>0.66659999999999997</v>
      </c>
      <c r="AM84" s="299">
        <v>0</v>
      </c>
      <c r="AN84" s="299">
        <v>0</v>
      </c>
      <c r="AO84" s="299">
        <v>0</v>
      </c>
      <c r="AP84" s="299">
        <v>15</v>
      </c>
      <c r="AQ84" s="299">
        <v>0</v>
      </c>
      <c r="AR84" s="299">
        <v>0</v>
      </c>
      <c r="AS84" s="299">
        <v>0</v>
      </c>
      <c r="AT84" s="299">
        <v>0</v>
      </c>
      <c r="AU84" s="299">
        <v>0</v>
      </c>
      <c r="AV84" s="299">
        <v>0</v>
      </c>
      <c r="AW84" s="297"/>
      <c r="AX84" s="299" t="s">
        <v>405</v>
      </c>
      <c r="AY84" s="299">
        <v>12</v>
      </c>
      <c r="AZ84" s="299" t="s">
        <v>405</v>
      </c>
      <c r="BA84" s="299"/>
      <c r="BB84" s="298"/>
      <c r="BC84" s="297"/>
      <c r="BD84" s="299"/>
      <c r="BE84" s="299" t="s">
        <v>406</v>
      </c>
      <c r="BF84" s="298"/>
      <c r="BG84" s="301" t="s">
        <v>292</v>
      </c>
      <c r="BH84" t="s">
        <v>408</v>
      </c>
    </row>
    <row r="85" spans="1:60" x14ac:dyDescent="0.15">
      <c r="A85" s="148">
        <v>178</v>
      </c>
      <c r="B85" s="330">
        <v>43117</v>
      </c>
      <c r="C85" s="296" t="s">
        <v>398</v>
      </c>
      <c r="D85" s="297" t="s">
        <v>334</v>
      </c>
      <c r="E85" s="295">
        <v>42754</v>
      </c>
      <c r="F85" s="298" t="s">
        <v>427</v>
      </c>
      <c r="G85" s="297" t="s">
        <v>428</v>
      </c>
      <c r="H85" s="297">
        <v>79.400000000000006</v>
      </c>
      <c r="I85" s="312" t="s">
        <v>402</v>
      </c>
      <c r="J85" s="310">
        <v>6000</v>
      </c>
      <c r="K85" s="310">
        <v>12000</v>
      </c>
      <c r="L85" s="310">
        <v>84000</v>
      </c>
      <c r="M85" s="310">
        <v>84000</v>
      </c>
      <c r="N85" s="297"/>
      <c r="O85" s="297">
        <v>2.68</v>
      </c>
      <c r="P85" s="297">
        <v>2.2799999999999998</v>
      </c>
      <c r="Q85" s="297">
        <v>1.63</v>
      </c>
      <c r="R85" s="329">
        <v>0</v>
      </c>
      <c r="S85" s="297">
        <v>1.6</v>
      </c>
      <c r="T85" s="297"/>
      <c r="U85" s="297">
        <v>1.84</v>
      </c>
      <c r="V85" s="297">
        <v>1.78</v>
      </c>
      <c r="W85" s="297">
        <v>1.62</v>
      </c>
      <c r="X85" s="329">
        <v>0</v>
      </c>
      <c r="Y85" s="297">
        <v>1.53</v>
      </c>
      <c r="Z85" s="297"/>
      <c r="AA85" s="297"/>
      <c r="AB85" s="297"/>
      <c r="AC85" s="297"/>
      <c r="AD85" s="297"/>
      <c r="AE85" s="297"/>
      <c r="AF85" s="297"/>
      <c r="AG85" s="299" t="s">
        <v>403</v>
      </c>
      <c r="AH85" s="299" t="s">
        <v>404</v>
      </c>
      <c r="AI85" s="192">
        <v>2</v>
      </c>
      <c r="AJ85" s="192">
        <v>4</v>
      </c>
      <c r="AK85" s="246">
        <v>0.33329999999999999</v>
      </c>
      <c r="AL85" s="246">
        <v>0.66659999999999997</v>
      </c>
      <c r="AM85" s="299">
        <v>0</v>
      </c>
      <c r="AN85" s="299">
        <v>0</v>
      </c>
      <c r="AO85" s="299">
        <v>15</v>
      </c>
      <c r="AP85" s="299">
        <v>0</v>
      </c>
      <c r="AQ85" s="299">
        <v>0</v>
      </c>
      <c r="AR85" s="299">
        <v>0</v>
      </c>
      <c r="AS85" s="299">
        <v>0</v>
      </c>
      <c r="AT85" s="299">
        <v>0</v>
      </c>
      <c r="AU85" s="299">
        <v>0</v>
      </c>
      <c r="AV85" s="299">
        <v>0</v>
      </c>
      <c r="AW85" s="297"/>
      <c r="AX85" s="299" t="s">
        <v>405</v>
      </c>
      <c r="AY85" s="299"/>
      <c r="AZ85" s="299" t="s">
        <v>405</v>
      </c>
      <c r="BA85" s="299"/>
      <c r="BB85" s="298" t="s">
        <v>429</v>
      </c>
      <c r="BC85" s="297"/>
      <c r="BD85" s="299"/>
      <c r="BE85" s="299" t="s">
        <v>406</v>
      </c>
      <c r="BF85" s="298"/>
      <c r="BG85" t="s">
        <v>430</v>
      </c>
      <c r="BH85" t="s">
        <v>408</v>
      </c>
    </row>
    <row r="86" spans="1:60" x14ac:dyDescent="0.15">
      <c r="A86" s="148">
        <v>319</v>
      </c>
      <c r="B86" s="330">
        <v>43117</v>
      </c>
      <c r="C86" s="296" t="s">
        <v>398</v>
      </c>
      <c r="D86" s="297" t="s">
        <v>334</v>
      </c>
      <c r="E86" s="295">
        <v>43101</v>
      </c>
      <c r="F86" s="297" t="s">
        <v>431</v>
      </c>
      <c r="G86" s="297" t="s">
        <v>421</v>
      </c>
      <c r="H86" s="297">
        <v>84.51</v>
      </c>
      <c r="I86" s="312" t="s">
        <v>402</v>
      </c>
      <c r="J86" s="310">
        <v>6000</v>
      </c>
      <c r="K86" s="310">
        <v>12000</v>
      </c>
      <c r="L86" s="310">
        <v>84000</v>
      </c>
      <c r="M86" s="310">
        <v>84000</v>
      </c>
      <c r="N86" s="297"/>
      <c r="O86" s="297">
        <v>2.4540000000000002</v>
      </c>
      <c r="P86" s="297">
        <v>2.0299999999999998</v>
      </c>
      <c r="Q86" s="297">
        <v>1.504</v>
      </c>
      <c r="R86" s="329">
        <v>0</v>
      </c>
      <c r="S86" s="297">
        <v>1.48</v>
      </c>
      <c r="T86" s="297"/>
      <c r="U86" s="297">
        <v>1.5249999999999999</v>
      </c>
      <c r="V86" s="297">
        <v>1.48</v>
      </c>
      <c r="W86" s="297">
        <v>1.3640000000000001</v>
      </c>
      <c r="X86" s="329">
        <v>0</v>
      </c>
      <c r="Y86" s="297">
        <v>1.3</v>
      </c>
      <c r="Z86" s="297"/>
      <c r="AA86" s="297"/>
      <c r="AB86" s="297"/>
      <c r="AC86" s="297"/>
      <c r="AD86" s="297"/>
      <c r="AE86" s="297"/>
      <c r="AF86" s="297"/>
      <c r="AG86" s="299" t="s">
        <v>403</v>
      </c>
      <c r="AH86" s="299" t="s">
        <v>404</v>
      </c>
      <c r="AI86" s="192">
        <v>2</v>
      </c>
      <c r="AJ86" s="192">
        <v>4</v>
      </c>
      <c r="AK86" s="246">
        <v>0.33329999999999999</v>
      </c>
      <c r="AL86" s="246">
        <v>0.66659999999999997</v>
      </c>
      <c r="AM86" s="299">
        <v>0</v>
      </c>
      <c r="AN86" s="299">
        <v>0</v>
      </c>
      <c r="AO86" s="299">
        <v>0</v>
      </c>
      <c r="AP86" s="299">
        <v>0</v>
      </c>
      <c r="AQ86" s="299">
        <v>0</v>
      </c>
      <c r="AR86" s="299">
        <v>0</v>
      </c>
      <c r="AS86" s="299">
        <v>0</v>
      </c>
      <c r="AT86" s="299">
        <v>0</v>
      </c>
      <c r="AU86" s="299">
        <v>0</v>
      </c>
      <c r="AV86" s="299">
        <v>0</v>
      </c>
      <c r="AW86" s="297"/>
      <c r="AX86" s="299" t="s">
        <v>405</v>
      </c>
      <c r="AY86" s="299"/>
      <c r="AZ86" s="299" t="s">
        <v>405</v>
      </c>
      <c r="BA86" s="299"/>
      <c r="BB86" s="298" t="s">
        <v>432</v>
      </c>
      <c r="BC86" s="297" t="s">
        <v>433</v>
      </c>
      <c r="BD86" s="299">
        <v>50</v>
      </c>
      <c r="BE86" s="299" t="s">
        <v>422</v>
      </c>
      <c r="BF86" s="298"/>
      <c r="BG86" t="s">
        <v>330</v>
      </c>
      <c r="BH86" t="s">
        <v>408</v>
      </c>
    </row>
    <row r="87" spans="1:60" x14ac:dyDescent="0.15">
      <c r="A87" s="148">
        <v>574</v>
      </c>
      <c r="B87" s="330">
        <v>43111</v>
      </c>
      <c r="C87" s="296" t="s">
        <v>398</v>
      </c>
      <c r="D87" s="297" t="s">
        <v>334</v>
      </c>
      <c r="E87" s="295">
        <v>43101</v>
      </c>
      <c r="F87" s="298" t="s">
        <v>354</v>
      </c>
      <c r="G87" s="297" t="s">
        <v>355</v>
      </c>
      <c r="H87" s="297">
        <v>78</v>
      </c>
      <c r="I87" s="312" t="s">
        <v>402</v>
      </c>
      <c r="J87" s="311">
        <v>3200</v>
      </c>
      <c r="K87" s="311">
        <v>3200</v>
      </c>
      <c r="L87" s="311">
        <v>3200</v>
      </c>
      <c r="M87" s="311">
        <v>3200</v>
      </c>
      <c r="N87" s="297"/>
      <c r="O87" s="297">
        <v>2.8</v>
      </c>
      <c r="P87" s="329">
        <v>0</v>
      </c>
      <c r="Q87" s="297">
        <v>0</v>
      </c>
      <c r="R87" s="329">
        <v>0</v>
      </c>
      <c r="S87" s="297">
        <v>2.2000000000000002</v>
      </c>
      <c r="T87" s="297"/>
      <c r="U87" s="297">
        <v>2</v>
      </c>
      <c r="V87" s="329">
        <v>0</v>
      </c>
      <c r="W87" s="297">
        <v>0</v>
      </c>
      <c r="X87" s="329">
        <v>0</v>
      </c>
      <c r="Y87" s="297">
        <v>1.6</v>
      </c>
      <c r="Z87" s="297"/>
      <c r="AA87" s="297"/>
      <c r="AB87" s="297"/>
      <c r="AC87" s="297"/>
      <c r="AD87" s="297"/>
      <c r="AE87" s="297"/>
      <c r="AF87" s="297"/>
      <c r="AG87" s="299" t="s">
        <v>403</v>
      </c>
      <c r="AH87" s="299" t="s">
        <v>404</v>
      </c>
      <c r="AI87" s="192">
        <v>2</v>
      </c>
      <c r="AJ87" s="192">
        <v>4</v>
      </c>
      <c r="AK87" s="246">
        <v>0.33329999999999999</v>
      </c>
      <c r="AL87" s="246">
        <v>0.66659999999999997</v>
      </c>
      <c r="AM87" s="299">
        <v>0</v>
      </c>
      <c r="AN87" s="299">
        <v>0</v>
      </c>
      <c r="AO87" s="299">
        <v>0</v>
      </c>
      <c r="AP87" s="299">
        <v>13</v>
      </c>
      <c r="AQ87" s="299">
        <v>0</v>
      </c>
      <c r="AR87" s="299">
        <v>0</v>
      </c>
      <c r="AS87" s="299">
        <v>0</v>
      </c>
      <c r="AT87" s="299">
        <v>0</v>
      </c>
      <c r="AU87" s="299">
        <v>0</v>
      </c>
      <c r="AV87" s="299">
        <v>0</v>
      </c>
      <c r="AW87" s="297"/>
      <c r="AX87" s="299" t="s">
        <v>405</v>
      </c>
      <c r="AY87" s="299">
        <v>12</v>
      </c>
      <c r="AZ87" s="299" t="s">
        <v>405</v>
      </c>
      <c r="BA87" s="299"/>
      <c r="BB87" s="298"/>
      <c r="BC87" s="298"/>
      <c r="BD87" s="299"/>
      <c r="BE87" s="299" t="s">
        <v>406</v>
      </c>
      <c r="BF87" s="298"/>
      <c r="BG87" t="s">
        <v>293</v>
      </c>
      <c r="BH87" t="s">
        <v>357</v>
      </c>
    </row>
    <row r="88" spans="1:60" x14ac:dyDescent="0.15">
      <c r="A88" s="148">
        <v>240</v>
      </c>
      <c r="B88" s="330">
        <v>43117</v>
      </c>
      <c r="C88" s="296" t="s">
        <v>398</v>
      </c>
      <c r="D88" s="297" t="s">
        <v>334</v>
      </c>
      <c r="E88" s="309" t="s">
        <v>358</v>
      </c>
      <c r="F88" s="298" t="s">
        <v>359</v>
      </c>
      <c r="G88" s="297" t="s">
        <v>360</v>
      </c>
      <c r="H88" s="297">
        <v>85.3</v>
      </c>
      <c r="I88" s="312" t="s">
        <v>402</v>
      </c>
      <c r="J88" s="311">
        <v>3500</v>
      </c>
      <c r="K88" s="311">
        <v>3500</v>
      </c>
      <c r="L88" s="311">
        <v>3500</v>
      </c>
      <c r="M88" s="311">
        <v>3500</v>
      </c>
      <c r="N88" s="297"/>
      <c r="O88" s="297">
        <v>2.1989999999999998</v>
      </c>
      <c r="P88" s="329">
        <v>0</v>
      </c>
      <c r="Q88" s="297">
        <v>0</v>
      </c>
      <c r="R88" s="329">
        <v>0</v>
      </c>
      <c r="S88" s="297">
        <v>1.5669999999999999</v>
      </c>
      <c r="T88" s="297"/>
      <c r="U88" s="297">
        <v>1.605</v>
      </c>
      <c r="V88" s="329">
        <v>0</v>
      </c>
      <c r="W88" s="297">
        <v>0</v>
      </c>
      <c r="X88" s="329">
        <v>0</v>
      </c>
      <c r="Y88" s="297">
        <v>1.304</v>
      </c>
      <c r="Z88" s="297"/>
      <c r="AA88" s="297"/>
      <c r="AB88" s="297"/>
      <c r="AC88" s="297"/>
      <c r="AD88" s="297"/>
      <c r="AE88" s="297"/>
      <c r="AF88" s="297"/>
      <c r="AG88" s="299" t="s">
        <v>403</v>
      </c>
      <c r="AH88" s="299" t="s">
        <v>404</v>
      </c>
      <c r="AI88" s="218">
        <v>2</v>
      </c>
      <c r="AJ88" s="218">
        <v>4</v>
      </c>
      <c r="AK88" s="246">
        <v>0.33329999999999999</v>
      </c>
      <c r="AL88" s="246">
        <v>0.66659999999999997</v>
      </c>
      <c r="AM88" s="299">
        <v>0</v>
      </c>
      <c r="AN88" s="299">
        <v>0</v>
      </c>
      <c r="AO88" s="299">
        <v>10</v>
      </c>
      <c r="AP88" s="299">
        <v>0</v>
      </c>
      <c r="AQ88" s="299">
        <v>0</v>
      </c>
      <c r="AR88" s="299">
        <v>0</v>
      </c>
      <c r="AS88" s="299">
        <v>0</v>
      </c>
      <c r="AT88" s="299">
        <v>0</v>
      </c>
      <c r="AU88" s="299">
        <v>0</v>
      </c>
      <c r="AV88" s="299">
        <v>0</v>
      </c>
      <c r="AW88" s="299"/>
      <c r="AX88" s="299" t="s">
        <v>405</v>
      </c>
      <c r="AY88" s="299"/>
      <c r="AZ88" s="299" t="s">
        <v>405</v>
      </c>
      <c r="BA88" s="299"/>
      <c r="BB88" s="298"/>
      <c r="BC88" s="297"/>
      <c r="BD88" s="299"/>
      <c r="BE88" s="299" t="s">
        <v>422</v>
      </c>
      <c r="BF88" s="298"/>
      <c r="BG88" t="s">
        <v>294</v>
      </c>
      <c r="BH88" t="s">
        <v>357</v>
      </c>
    </row>
    <row r="89" spans="1:60" x14ac:dyDescent="0.15">
      <c r="A89" s="148">
        <v>799</v>
      </c>
      <c r="B89" s="330">
        <v>43088</v>
      </c>
      <c r="C89" s="296" t="s">
        <v>295</v>
      </c>
      <c r="D89" s="297" t="s">
        <v>334</v>
      </c>
      <c r="E89" s="309">
        <v>43115</v>
      </c>
      <c r="F89" s="298" t="s">
        <v>984</v>
      </c>
      <c r="G89" s="297" t="s">
        <v>363</v>
      </c>
      <c r="H89" s="297">
        <v>76.81</v>
      </c>
      <c r="I89" s="312" t="s">
        <v>296</v>
      </c>
      <c r="J89" s="310">
        <v>6000</v>
      </c>
      <c r="K89" s="310">
        <v>12000</v>
      </c>
      <c r="L89" s="310">
        <v>84000</v>
      </c>
      <c r="M89" s="310">
        <v>84000</v>
      </c>
      <c r="N89" s="297"/>
      <c r="O89" s="297">
        <v>2.88</v>
      </c>
      <c r="P89" s="297">
        <v>2.82</v>
      </c>
      <c r="Q89" s="297">
        <v>1.91</v>
      </c>
      <c r="R89" s="329">
        <v>0</v>
      </c>
      <c r="S89" s="297">
        <v>1.87</v>
      </c>
      <c r="T89" s="297"/>
      <c r="U89" s="297">
        <v>2.2000000000000002</v>
      </c>
      <c r="V89" s="297">
        <v>2.12</v>
      </c>
      <c r="W89" s="297">
        <v>1.9</v>
      </c>
      <c r="X89" s="329">
        <v>0</v>
      </c>
      <c r="Y89" s="297">
        <v>1.78</v>
      </c>
      <c r="Z89" s="297"/>
      <c r="AA89" s="297"/>
      <c r="AB89" s="297"/>
      <c r="AC89" s="297"/>
      <c r="AD89" s="297"/>
      <c r="AE89" s="297"/>
      <c r="AF89" s="297"/>
      <c r="AG89" s="299" t="s">
        <v>297</v>
      </c>
      <c r="AH89" s="299" t="s">
        <v>298</v>
      </c>
      <c r="AI89" s="192">
        <v>2</v>
      </c>
      <c r="AJ89" s="192">
        <v>4</v>
      </c>
      <c r="AK89" s="246">
        <v>0.33329999999999999</v>
      </c>
      <c r="AL89" s="246">
        <v>0.66659999999999997</v>
      </c>
      <c r="AM89" s="299">
        <v>0</v>
      </c>
      <c r="AN89" s="299">
        <v>0</v>
      </c>
      <c r="AO89" s="299">
        <v>0</v>
      </c>
      <c r="AP89" s="299">
        <v>20</v>
      </c>
      <c r="AQ89" s="299">
        <v>0</v>
      </c>
      <c r="AR89" s="299">
        <v>0</v>
      </c>
      <c r="AS89" s="299">
        <v>0</v>
      </c>
      <c r="AT89" s="299">
        <v>0</v>
      </c>
      <c r="AU89" s="299">
        <v>0</v>
      </c>
      <c r="AV89" s="299">
        <v>0</v>
      </c>
      <c r="AW89" s="297"/>
      <c r="AX89" s="299" t="s">
        <v>405</v>
      </c>
      <c r="AY89" s="299">
        <v>24</v>
      </c>
      <c r="AZ89" s="299" t="s">
        <v>405</v>
      </c>
      <c r="BA89" s="299"/>
      <c r="BB89" s="298" t="s">
        <v>364</v>
      </c>
      <c r="BC89" s="297" t="s">
        <v>365</v>
      </c>
      <c r="BD89" s="299">
        <v>25</v>
      </c>
      <c r="BE89" s="299" t="s">
        <v>422</v>
      </c>
      <c r="BF89" s="298"/>
      <c r="BG89" t="s">
        <v>430</v>
      </c>
      <c r="BH89" t="s">
        <v>408</v>
      </c>
    </row>
    <row r="90" spans="1:60" x14ac:dyDescent="0.15">
      <c r="A90" s="148">
        <v>1133</v>
      </c>
      <c r="B90" s="330">
        <v>43088</v>
      </c>
      <c r="C90" s="296" t="s">
        <v>398</v>
      </c>
      <c r="D90" s="297" t="s">
        <v>334</v>
      </c>
      <c r="E90" s="309">
        <v>42948</v>
      </c>
      <c r="F90" s="297" t="s">
        <v>366</v>
      </c>
      <c r="G90" s="297" t="s">
        <v>367</v>
      </c>
      <c r="H90" s="332">
        <v>84.55</v>
      </c>
      <c r="I90" s="312" t="s">
        <v>402</v>
      </c>
      <c r="J90" s="310">
        <v>6000</v>
      </c>
      <c r="K90" s="310">
        <v>12000</v>
      </c>
      <c r="L90" s="310">
        <v>12000</v>
      </c>
      <c r="M90" s="310">
        <v>12000</v>
      </c>
      <c r="N90" s="332"/>
      <c r="O90" s="332">
        <v>2.8530000000000002</v>
      </c>
      <c r="P90" s="332">
        <v>2.7440000000000002</v>
      </c>
      <c r="Q90" s="329">
        <v>0</v>
      </c>
      <c r="R90" s="329">
        <v>0</v>
      </c>
      <c r="S90" s="332">
        <v>2.0819999999999999</v>
      </c>
      <c r="T90" s="332"/>
      <c r="U90" s="332">
        <v>2.4630000000000001</v>
      </c>
      <c r="V90" s="332">
        <v>2.133</v>
      </c>
      <c r="W90" s="329">
        <v>0</v>
      </c>
      <c r="X90" s="329">
        <v>0</v>
      </c>
      <c r="Y90" s="332">
        <v>1.95</v>
      </c>
      <c r="Z90" s="332"/>
      <c r="AA90" s="332"/>
      <c r="AB90" s="332"/>
      <c r="AC90" s="332"/>
      <c r="AD90" s="332"/>
      <c r="AE90" s="332"/>
      <c r="AF90" s="332"/>
      <c r="AG90" s="333" t="s">
        <v>403</v>
      </c>
      <c r="AH90" s="333" t="s">
        <v>404</v>
      </c>
      <c r="AI90" s="218">
        <v>2</v>
      </c>
      <c r="AJ90" s="218">
        <v>4</v>
      </c>
      <c r="AK90" s="246">
        <v>0.33329999999999999</v>
      </c>
      <c r="AL90" s="246">
        <v>0.66659999999999997</v>
      </c>
      <c r="AM90" s="299">
        <v>0</v>
      </c>
      <c r="AN90" s="299">
        <v>0</v>
      </c>
      <c r="AO90" s="299">
        <v>0</v>
      </c>
      <c r="AP90" s="299">
        <v>17</v>
      </c>
      <c r="AQ90" s="299">
        <v>0</v>
      </c>
      <c r="AR90" s="299">
        <v>0</v>
      </c>
      <c r="AS90" s="299">
        <v>0</v>
      </c>
      <c r="AT90" s="299">
        <v>0</v>
      </c>
      <c r="AU90" s="299">
        <v>0</v>
      </c>
      <c r="AV90" s="299">
        <v>0</v>
      </c>
      <c r="AW90" s="299"/>
      <c r="AX90" s="299" t="s">
        <v>405</v>
      </c>
      <c r="AY90" s="299">
        <v>12</v>
      </c>
      <c r="AZ90" s="299" t="s">
        <v>405</v>
      </c>
      <c r="BA90" s="299"/>
      <c r="BB90" s="298"/>
      <c r="BC90" s="297"/>
      <c r="BD90" s="299"/>
      <c r="BE90" s="299" t="s">
        <v>422</v>
      </c>
      <c r="BF90" s="298"/>
      <c r="BG90" t="s">
        <v>430</v>
      </c>
      <c r="BH90" t="s">
        <v>368</v>
      </c>
    </row>
    <row r="91" spans="1:60" x14ac:dyDescent="0.15">
      <c r="A91" s="148">
        <v>1267</v>
      </c>
      <c r="B91" s="334">
        <v>43117</v>
      </c>
      <c r="C91" s="296" t="s">
        <v>398</v>
      </c>
      <c r="D91" s="297" t="s">
        <v>334</v>
      </c>
      <c r="E91" s="295">
        <v>43101</v>
      </c>
      <c r="F91" s="298" t="s">
        <v>987</v>
      </c>
      <c r="G91" s="297" t="s">
        <v>369</v>
      </c>
      <c r="H91" s="297">
        <v>96.8</v>
      </c>
      <c r="I91" s="312" t="s">
        <v>402</v>
      </c>
      <c r="J91" s="310">
        <v>6000</v>
      </c>
      <c r="K91" s="310">
        <v>12000</v>
      </c>
      <c r="L91" s="310">
        <v>12000</v>
      </c>
      <c r="M91" s="310">
        <v>12000</v>
      </c>
      <c r="N91" s="297"/>
      <c r="O91" s="297">
        <v>3.55</v>
      </c>
      <c r="P91" s="297">
        <v>3.05</v>
      </c>
      <c r="Q91" s="329">
        <v>0</v>
      </c>
      <c r="R91" s="329">
        <v>0</v>
      </c>
      <c r="S91" s="297">
        <v>2.2999999999999998</v>
      </c>
      <c r="T91" s="297"/>
      <c r="U91" s="297">
        <v>2.5</v>
      </c>
      <c r="V91" s="297">
        <v>2.4500000000000002</v>
      </c>
      <c r="W91" s="329">
        <v>0</v>
      </c>
      <c r="X91" s="329">
        <v>0</v>
      </c>
      <c r="Y91" s="297">
        <v>2.2999999999999998</v>
      </c>
      <c r="Z91" s="297"/>
      <c r="AA91" s="297"/>
      <c r="AB91" s="297"/>
      <c r="AC91" s="297"/>
      <c r="AD91" s="297"/>
      <c r="AE91" s="297"/>
      <c r="AF91" s="297"/>
      <c r="AG91" s="299" t="s">
        <v>403</v>
      </c>
      <c r="AH91" s="299" t="s">
        <v>404</v>
      </c>
      <c r="AI91" s="192">
        <v>2</v>
      </c>
      <c r="AJ91" s="192">
        <v>4</v>
      </c>
      <c r="AK91" s="246">
        <v>0.33329999999999999</v>
      </c>
      <c r="AL91" s="246">
        <v>0.66659999999999997</v>
      </c>
      <c r="AM91" s="299">
        <v>0</v>
      </c>
      <c r="AN91" s="299">
        <v>0</v>
      </c>
      <c r="AO91" s="299">
        <v>28</v>
      </c>
      <c r="AP91" s="299">
        <v>0</v>
      </c>
      <c r="AQ91" s="299">
        <v>0</v>
      </c>
      <c r="AR91" s="299">
        <v>0</v>
      </c>
      <c r="AS91" s="299">
        <v>0</v>
      </c>
      <c r="AT91" s="299">
        <v>0</v>
      </c>
      <c r="AU91" s="299">
        <v>0</v>
      </c>
      <c r="AV91" s="299">
        <v>0</v>
      </c>
      <c r="AW91" s="299"/>
      <c r="AX91" s="299" t="s">
        <v>405</v>
      </c>
      <c r="AY91" s="299"/>
      <c r="AZ91" s="299" t="s">
        <v>405</v>
      </c>
      <c r="BA91" s="299"/>
      <c r="BB91" s="298"/>
      <c r="BC91" s="297"/>
      <c r="BD91" s="299"/>
      <c r="BE91" s="299" t="s">
        <v>406</v>
      </c>
      <c r="BF91" s="298" t="s">
        <v>370</v>
      </c>
      <c r="BG91" t="s">
        <v>299</v>
      </c>
      <c r="BH91" t="s">
        <v>408</v>
      </c>
    </row>
    <row r="92" spans="1:60" x14ac:dyDescent="0.15">
      <c r="A92" s="148">
        <v>82</v>
      </c>
      <c r="B92" s="334">
        <v>43117</v>
      </c>
      <c r="C92" s="296" t="s">
        <v>398</v>
      </c>
      <c r="D92" s="297" t="s">
        <v>300</v>
      </c>
      <c r="E92" s="295">
        <v>43110</v>
      </c>
      <c r="F92" s="298" t="s">
        <v>400</v>
      </c>
      <c r="G92" s="297" t="s">
        <v>401</v>
      </c>
      <c r="H92" s="297">
        <v>86</v>
      </c>
      <c r="I92" s="313" t="s">
        <v>402</v>
      </c>
      <c r="J92" s="314">
        <v>6000</v>
      </c>
      <c r="K92" s="314">
        <v>12000</v>
      </c>
      <c r="L92" s="314">
        <v>84000</v>
      </c>
      <c r="M92" s="314">
        <v>84000</v>
      </c>
      <c r="N92" s="297"/>
      <c r="O92" s="297">
        <v>2.5299999999999998</v>
      </c>
      <c r="P92" s="297">
        <v>2.4</v>
      </c>
      <c r="Q92" s="297">
        <v>1.59</v>
      </c>
      <c r="R92" s="329">
        <v>0</v>
      </c>
      <c r="S92" s="297">
        <v>1.54</v>
      </c>
      <c r="T92" s="297"/>
      <c r="U92" s="297">
        <v>2.3199999999999998</v>
      </c>
      <c r="V92" s="297">
        <v>1.77</v>
      </c>
      <c r="W92" s="297">
        <v>1.58</v>
      </c>
      <c r="X92" s="329">
        <v>0</v>
      </c>
      <c r="Y92" s="297">
        <v>1.43</v>
      </c>
      <c r="Z92" s="297"/>
      <c r="AA92" s="297"/>
      <c r="AB92" s="297"/>
      <c r="AC92" s="297"/>
      <c r="AD92" s="297"/>
      <c r="AE92" s="297"/>
      <c r="AF92" s="297"/>
      <c r="AG92" s="299" t="s">
        <v>403</v>
      </c>
      <c r="AH92" s="299" t="s">
        <v>404</v>
      </c>
      <c r="AI92" s="192">
        <v>2</v>
      </c>
      <c r="AJ92" s="192">
        <v>4</v>
      </c>
      <c r="AK92" s="247">
        <v>0.33329999999999999</v>
      </c>
      <c r="AL92" s="247">
        <v>0.66659999999999997</v>
      </c>
      <c r="AM92" s="299">
        <v>0</v>
      </c>
      <c r="AN92" s="299">
        <v>0</v>
      </c>
      <c r="AO92" s="299">
        <v>0</v>
      </c>
      <c r="AP92" s="299">
        <v>12</v>
      </c>
      <c r="AQ92" s="299">
        <v>0</v>
      </c>
      <c r="AR92" s="299">
        <v>0</v>
      </c>
      <c r="AS92" s="299">
        <v>0</v>
      </c>
      <c r="AT92" s="299">
        <v>0</v>
      </c>
      <c r="AU92" s="299">
        <v>0</v>
      </c>
      <c r="AV92" s="299">
        <v>0</v>
      </c>
      <c r="AW92" s="299"/>
      <c r="AX92" s="299" t="s">
        <v>405</v>
      </c>
      <c r="AY92" s="299">
        <v>12</v>
      </c>
      <c r="AZ92" s="299" t="s">
        <v>405</v>
      </c>
      <c r="BA92" s="299"/>
      <c r="BB92" s="298"/>
      <c r="BC92" s="297"/>
      <c r="BD92" s="299"/>
      <c r="BE92" s="299" t="s">
        <v>406</v>
      </c>
      <c r="BF92" s="298"/>
      <c r="BG92" t="s">
        <v>301</v>
      </c>
      <c r="BH92" t="s">
        <v>408</v>
      </c>
    </row>
    <row r="93" spans="1:60" x14ac:dyDescent="0.15">
      <c r="A93" s="148">
        <v>1166</v>
      </c>
      <c r="B93" s="334">
        <v>43117</v>
      </c>
      <c r="C93" s="296" t="s">
        <v>398</v>
      </c>
      <c r="D93" s="297" t="s">
        <v>300</v>
      </c>
      <c r="E93" s="309">
        <v>43112</v>
      </c>
      <c r="F93" s="298" t="s">
        <v>409</v>
      </c>
      <c r="G93" s="297" t="s">
        <v>410</v>
      </c>
      <c r="H93" s="297">
        <v>74.900000000000006</v>
      </c>
      <c r="I93" s="313" t="s">
        <v>402</v>
      </c>
      <c r="J93" s="315">
        <v>6000</v>
      </c>
      <c r="K93" s="315">
        <v>6000</v>
      </c>
      <c r="L93" s="315">
        <v>6000</v>
      </c>
      <c r="M93" s="315">
        <v>6000</v>
      </c>
      <c r="N93" s="297"/>
      <c r="O93" s="297">
        <v>2.42</v>
      </c>
      <c r="P93" s="329">
        <v>0</v>
      </c>
      <c r="Q93" s="297">
        <v>0</v>
      </c>
      <c r="R93" s="329">
        <v>0</v>
      </c>
      <c r="S93" s="297">
        <v>1.89</v>
      </c>
      <c r="T93" s="297"/>
      <c r="U93" s="297">
        <v>2.2999999999999998</v>
      </c>
      <c r="V93" s="329">
        <v>0</v>
      </c>
      <c r="W93" s="297">
        <v>0</v>
      </c>
      <c r="X93" s="329">
        <v>0</v>
      </c>
      <c r="Y93" s="297">
        <v>1.77</v>
      </c>
      <c r="Z93" s="297"/>
      <c r="AA93" s="297"/>
      <c r="AB93" s="297"/>
      <c r="AC93" s="297"/>
      <c r="AD93" s="297"/>
      <c r="AE93" s="297"/>
      <c r="AF93" s="297"/>
      <c r="AG93" s="299" t="s">
        <v>403</v>
      </c>
      <c r="AH93" s="299" t="s">
        <v>404</v>
      </c>
      <c r="AI93" s="192">
        <v>2</v>
      </c>
      <c r="AJ93" s="192">
        <v>4</v>
      </c>
      <c r="AK93" s="247">
        <v>0.33329999999999999</v>
      </c>
      <c r="AL93" s="247">
        <v>0.66659999999999997</v>
      </c>
      <c r="AM93" s="299">
        <v>0</v>
      </c>
      <c r="AN93" s="299">
        <v>0</v>
      </c>
      <c r="AO93" s="299">
        <v>0</v>
      </c>
      <c r="AP93" s="299">
        <v>25</v>
      </c>
      <c r="AQ93" s="299">
        <v>0</v>
      </c>
      <c r="AR93" s="299">
        <v>0</v>
      </c>
      <c r="AS93" s="299">
        <v>0</v>
      </c>
      <c r="AT93" s="299">
        <v>0</v>
      </c>
      <c r="AU93" s="299">
        <v>0</v>
      </c>
      <c r="AV93" s="299">
        <v>0</v>
      </c>
      <c r="AW93" s="297"/>
      <c r="AX93" s="299" t="s">
        <v>405</v>
      </c>
      <c r="AY93" s="299">
        <v>24</v>
      </c>
      <c r="AZ93" s="299" t="s">
        <v>405</v>
      </c>
      <c r="BA93" s="299"/>
      <c r="BB93" s="298"/>
      <c r="BC93" s="297"/>
      <c r="BD93" s="299"/>
      <c r="BE93" s="299" t="s">
        <v>411</v>
      </c>
      <c r="BF93" s="298"/>
      <c r="BG93" t="s">
        <v>412</v>
      </c>
      <c r="BH93" t="s">
        <v>408</v>
      </c>
    </row>
    <row r="94" spans="1:60" x14ac:dyDescent="0.15">
      <c r="A94" s="148">
        <v>279</v>
      </c>
      <c r="B94" s="334">
        <v>43117</v>
      </c>
      <c r="C94" s="296" t="s">
        <v>398</v>
      </c>
      <c r="D94" s="297" t="s">
        <v>300</v>
      </c>
      <c r="E94" s="295">
        <v>43101</v>
      </c>
      <c r="F94" s="298" t="s">
        <v>413</v>
      </c>
      <c r="G94" s="297" t="s">
        <v>414</v>
      </c>
      <c r="H94" s="297">
        <v>96.8</v>
      </c>
      <c r="I94" s="313" t="s">
        <v>402</v>
      </c>
      <c r="J94" s="314">
        <v>6000</v>
      </c>
      <c r="K94" s="314">
        <v>12000</v>
      </c>
      <c r="L94" s="314">
        <v>12000</v>
      </c>
      <c r="M94" s="314">
        <v>12000</v>
      </c>
      <c r="N94" s="297"/>
      <c r="O94" s="297">
        <v>3.55</v>
      </c>
      <c r="P94" s="297">
        <v>3.05</v>
      </c>
      <c r="Q94" s="329">
        <v>0</v>
      </c>
      <c r="R94" s="329">
        <v>0</v>
      </c>
      <c r="S94" s="297">
        <v>2.2999999999999998</v>
      </c>
      <c r="T94" s="297"/>
      <c r="U94" s="297">
        <v>2.5</v>
      </c>
      <c r="V94" s="297">
        <v>2.4500000000000002</v>
      </c>
      <c r="W94" s="329">
        <v>0</v>
      </c>
      <c r="X94" s="329">
        <v>0</v>
      </c>
      <c r="Y94" s="297">
        <v>2.2999999999999998</v>
      </c>
      <c r="Z94" s="297"/>
      <c r="AA94" s="297"/>
      <c r="AB94" s="297"/>
      <c r="AC94" s="297"/>
      <c r="AD94" s="297"/>
      <c r="AE94" s="297"/>
      <c r="AF94" s="297"/>
      <c r="AG94" s="299" t="s">
        <v>403</v>
      </c>
      <c r="AH94" s="299" t="s">
        <v>404</v>
      </c>
      <c r="AI94" s="192">
        <v>2</v>
      </c>
      <c r="AJ94" s="192">
        <v>4</v>
      </c>
      <c r="AK94" s="247">
        <v>0.33329999999999999</v>
      </c>
      <c r="AL94" s="247">
        <v>0.66659999999999997</v>
      </c>
      <c r="AM94" s="299">
        <v>0</v>
      </c>
      <c r="AN94" s="299">
        <v>0</v>
      </c>
      <c r="AO94" s="299">
        <v>14</v>
      </c>
      <c r="AP94" s="299">
        <v>0</v>
      </c>
      <c r="AQ94" s="299">
        <v>0</v>
      </c>
      <c r="AR94" s="299">
        <v>0</v>
      </c>
      <c r="AS94" s="299">
        <v>0</v>
      </c>
      <c r="AT94" s="299">
        <v>0</v>
      </c>
      <c r="AU94" s="299">
        <v>0</v>
      </c>
      <c r="AV94" s="299">
        <v>0</v>
      </c>
      <c r="AW94" s="297"/>
      <c r="AX94" s="299" t="s">
        <v>405</v>
      </c>
      <c r="AY94" s="299"/>
      <c r="AZ94" s="299" t="s">
        <v>405</v>
      </c>
      <c r="BA94" s="299"/>
      <c r="BB94" s="298"/>
      <c r="BC94" s="297"/>
      <c r="BD94" s="299"/>
      <c r="BE94" s="299" t="s">
        <v>406</v>
      </c>
      <c r="BF94" s="298" t="s">
        <v>415</v>
      </c>
      <c r="BG94" t="s">
        <v>302</v>
      </c>
      <c r="BH94" t="s">
        <v>408</v>
      </c>
    </row>
    <row r="95" spans="1:60" x14ac:dyDescent="0.15">
      <c r="A95" s="148">
        <v>1141</v>
      </c>
      <c r="B95" s="330">
        <v>43117</v>
      </c>
      <c r="C95" s="296" t="s">
        <v>398</v>
      </c>
      <c r="D95" s="297" t="s">
        <v>300</v>
      </c>
      <c r="E95" s="295">
        <v>43101</v>
      </c>
      <c r="F95" s="298" t="s">
        <v>417</v>
      </c>
      <c r="G95" s="297" t="s">
        <v>418</v>
      </c>
      <c r="H95" s="297">
        <v>82</v>
      </c>
      <c r="I95" s="313" t="s">
        <v>402</v>
      </c>
      <c r="J95" s="314">
        <v>6000</v>
      </c>
      <c r="K95" s="314">
        <v>12000</v>
      </c>
      <c r="L95" s="314">
        <v>84000</v>
      </c>
      <c r="M95" s="314">
        <v>84000</v>
      </c>
      <c r="N95" s="297"/>
      <c r="O95" s="297">
        <v>2.65</v>
      </c>
      <c r="P95" s="297">
        <v>2.5</v>
      </c>
      <c r="Q95" s="297">
        <v>1.95</v>
      </c>
      <c r="R95" s="329">
        <v>0</v>
      </c>
      <c r="S95" s="297">
        <v>1.75</v>
      </c>
      <c r="T95" s="297"/>
      <c r="U95" s="297">
        <v>2.3199999999999998</v>
      </c>
      <c r="V95" s="297">
        <v>1.9</v>
      </c>
      <c r="W95" s="297">
        <v>1.65</v>
      </c>
      <c r="X95" s="329">
        <v>0</v>
      </c>
      <c r="Y95" s="297">
        <v>1.5</v>
      </c>
      <c r="Z95" s="297"/>
      <c r="AA95" s="297"/>
      <c r="AB95" s="297"/>
      <c r="AC95" s="297"/>
      <c r="AD95" s="297"/>
      <c r="AE95" s="297"/>
      <c r="AF95" s="297"/>
      <c r="AG95" s="299" t="s">
        <v>403</v>
      </c>
      <c r="AH95" s="299" t="s">
        <v>404</v>
      </c>
      <c r="AI95" s="228">
        <v>3</v>
      </c>
      <c r="AJ95" s="228">
        <v>3</v>
      </c>
      <c r="AK95" s="247">
        <v>0.5</v>
      </c>
      <c r="AL95" s="247">
        <v>0.5</v>
      </c>
      <c r="AM95" s="299">
        <v>0</v>
      </c>
      <c r="AN95" s="299">
        <v>0</v>
      </c>
      <c r="AO95" s="299">
        <v>0</v>
      </c>
      <c r="AP95" s="299">
        <v>16</v>
      </c>
      <c r="AQ95" s="299">
        <v>0</v>
      </c>
      <c r="AR95" s="299">
        <v>0</v>
      </c>
      <c r="AS95" s="299">
        <v>0</v>
      </c>
      <c r="AT95" s="299">
        <v>0</v>
      </c>
      <c r="AU95" s="299">
        <v>0</v>
      </c>
      <c r="AV95" s="299">
        <v>0</v>
      </c>
      <c r="AW95" s="299">
        <v>12</v>
      </c>
      <c r="AX95" s="299" t="s">
        <v>403</v>
      </c>
      <c r="AY95" s="299"/>
      <c r="AZ95" s="299" t="s">
        <v>405</v>
      </c>
      <c r="BA95" s="299"/>
      <c r="BB95" s="298"/>
      <c r="BC95" s="297"/>
      <c r="BD95" s="299"/>
      <c r="BE95" s="299" t="s">
        <v>406</v>
      </c>
      <c r="BF95" s="298"/>
      <c r="BG95" t="s">
        <v>328</v>
      </c>
      <c r="BH95" t="s">
        <v>408</v>
      </c>
    </row>
    <row r="96" spans="1:60" x14ac:dyDescent="0.15">
      <c r="A96" s="148">
        <v>878</v>
      </c>
      <c r="B96" s="330">
        <v>43117</v>
      </c>
      <c r="C96" s="296" t="s">
        <v>398</v>
      </c>
      <c r="D96" s="297" t="s">
        <v>300</v>
      </c>
      <c r="E96" s="295">
        <v>43009</v>
      </c>
      <c r="F96" s="298" t="s">
        <v>420</v>
      </c>
      <c r="G96" s="297" t="s">
        <v>421</v>
      </c>
      <c r="H96" s="297">
        <v>79.900000000000006</v>
      </c>
      <c r="I96" s="313" t="s">
        <v>402</v>
      </c>
      <c r="J96" s="315">
        <v>3200</v>
      </c>
      <c r="K96" s="315">
        <v>3200</v>
      </c>
      <c r="L96" s="315">
        <v>3200</v>
      </c>
      <c r="M96" s="315">
        <v>3200</v>
      </c>
      <c r="N96" s="297"/>
      <c r="O96" s="297">
        <v>2.82</v>
      </c>
      <c r="P96" s="329">
        <v>0</v>
      </c>
      <c r="Q96" s="297">
        <v>0</v>
      </c>
      <c r="R96" s="329">
        <v>0</v>
      </c>
      <c r="S96" s="297">
        <v>2.4</v>
      </c>
      <c r="T96" s="297"/>
      <c r="U96" s="297">
        <v>2.2799999999999998</v>
      </c>
      <c r="V96" s="329">
        <v>0</v>
      </c>
      <c r="W96" s="297">
        <v>0</v>
      </c>
      <c r="X96" s="329">
        <v>0</v>
      </c>
      <c r="Y96" s="297">
        <v>1.83</v>
      </c>
      <c r="Z96" s="297"/>
      <c r="AA96" s="297"/>
      <c r="AB96" s="297"/>
      <c r="AC96" s="297"/>
      <c r="AD96" s="297"/>
      <c r="AE96" s="297"/>
      <c r="AF96" s="297"/>
      <c r="AG96" s="299" t="s">
        <v>403</v>
      </c>
      <c r="AH96" s="299" t="s">
        <v>404</v>
      </c>
      <c r="AI96" s="192">
        <v>2</v>
      </c>
      <c r="AJ96" s="192">
        <v>4</v>
      </c>
      <c r="AK96" s="247">
        <v>0.33329999999999999</v>
      </c>
      <c r="AL96" s="247">
        <v>0.66659999999999997</v>
      </c>
      <c r="AM96" s="299">
        <v>0</v>
      </c>
      <c r="AN96" s="299">
        <v>0</v>
      </c>
      <c r="AO96" s="299">
        <v>0</v>
      </c>
      <c r="AP96" s="299">
        <v>0</v>
      </c>
      <c r="AQ96" s="299">
        <v>0</v>
      </c>
      <c r="AR96" s="299">
        <v>20</v>
      </c>
      <c r="AS96" s="299">
        <v>0</v>
      </c>
      <c r="AT96" s="299">
        <v>0</v>
      </c>
      <c r="AU96" s="299">
        <v>0</v>
      </c>
      <c r="AV96" s="299">
        <v>0</v>
      </c>
      <c r="AW96" s="297"/>
      <c r="AX96" s="299" t="s">
        <v>405</v>
      </c>
      <c r="AY96" s="299"/>
      <c r="AZ96" s="299" t="s">
        <v>405</v>
      </c>
      <c r="BA96" s="299"/>
      <c r="BB96" s="298"/>
      <c r="BC96" s="297"/>
      <c r="BD96" s="299"/>
      <c r="BE96" s="299" t="s">
        <v>422</v>
      </c>
      <c r="BF96" s="298"/>
      <c r="BG96" t="s">
        <v>291</v>
      </c>
      <c r="BH96" t="s">
        <v>408</v>
      </c>
    </row>
    <row r="97" spans="1:60" x14ac:dyDescent="0.15">
      <c r="A97" s="148">
        <v>163</v>
      </c>
      <c r="B97" s="330">
        <v>43117</v>
      </c>
      <c r="C97" s="296" t="s">
        <v>398</v>
      </c>
      <c r="D97" s="297" t="s">
        <v>300</v>
      </c>
      <c r="E97" s="295">
        <v>43102</v>
      </c>
      <c r="F97" s="298" t="s">
        <v>424</v>
      </c>
      <c r="G97" s="297" t="s">
        <v>425</v>
      </c>
      <c r="H97" s="297">
        <v>88</v>
      </c>
      <c r="I97" s="313" t="s">
        <v>402</v>
      </c>
      <c r="J97" s="314">
        <v>12000</v>
      </c>
      <c r="K97" s="314">
        <v>12000</v>
      </c>
      <c r="L97" s="314">
        <v>12000</v>
      </c>
      <c r="M97" s="314">
        <v>12000</v>
      </c>
      <c r="N97" s="297"/>
      <c r="O97" s="297">
        <v>2.72</v>
      </c>
      <c r="P97" s="329">
        <v>0</v>
      </c>
      <c r="Q97" s="297">
        <v>0</v>
      </c>
      <c r="R97" s="329">
        <v>0</v>
      </c>
      <c r="S97" s="297">
        <v>1.7</v>
      </c>
      <c r="T97" s="297"/>
      <c r="U97" s="297">
        <v>1.9</v>
      </c>
      <c r="V97" s="329">
        <v>0</v>
      </c>
      <c r="W97" s="297">
        <v>0</v>
      </c>
      <c r="X97" s="329">
        <v>0</v>
      </c>
      <c r="Y97" s="297">
        <v>1.9</v>
      </c>
      <c r="Z97" s="297"/>
      <c r="AA97" s="297"/>
      <c r="AB97" s="297"/>
      <c r="AC97" s="297"/>
      <c r="AD97" s="297"/>
      <c r="AE97" s="297"/>
      <c r="AF97" s="297"/>
      <c r="AG97" s="299" t="s">
        <v>403</v>
      </c>
      <c r="AH97" s="299" t="s">
        <v>404</v>
      </c>
      <c r="AI97" s="192">
        <v>2</v>
      </c>
      <c r="AJ97" s="192">
        <v>4</v>
      </c>
      <c r="AK97" s="247">
        <v>0.33329999999999999</v>
      </c>
      <c r="AL97" s="247">
        <v>0.66659999999999997</v>
      </c>
      <c r="AM97" s="299">
        <v>0</v>
      </c>
      <c r="AN97" s="299">
        <v>0</v>
      </c>
      <c r="AO97" s="299">
        <v>0</v>
      </c>
      <c r="AP97" s="299">
        <v>15</v>
      </c>
      <c r="AQ97" s="299">
        <v>0</v>
      </c>
      <c r="AR97" s="299">
        <v>0</v>
      </c>
      <c r="AS97" s="299">
        <v>0</v>
      </c>
      <c r="AT97" s="299">
        <v>0</v>
      </c>
      <c r="AU97" s="299">
        <v>0</v>
      </c>
      <c r="AV97" s="299">
        <v>0</v>
      </c>
      <c r="AW97" s="297"/>
      <c r="AX97" s="299" t="s">
        <v>405</v>
      </c>
      <c r="AY97" s="299">
        <v>12</v>
      </c>
      <c r="AZ97" s="299" t="s">
        <v>405</v>
      </c>
      <c r="BA97" s="299"/>
      <c r="BB97" s="298"/>
      <c r="BC97" s="297"/>
      <c r="BD97" s="299"/>
      <c r="BE97" s="299" t="s">
        <v>406</v>
      </c>
      <c r="BF97" s="298"/>
      <c r="BG97" s="301" t="s">
        <v>303</v>
      </c>
      <c r="BH97" t="s">
        <v>408</v>
      </c>
    </row>
    <row r="98" spans="1:60" x14ac:dyDescent="0.15">
      <c r="A98" s="148">
        <v>177</v>
      </c>
      <c r="B98" s="330">
        <v>43117</v>
      </c>
      <c r="C98" s="296" t="s">
        <v>398</v>
      </c>
      <c r="D98" s="297" t="s">
        <v>300</v>
      </c>
      <c r="E98" s="295">
        <v>42754</v>
      </c>
      <c r="F98" s="298" t="s">
        <v>427</v>
      </c>
      <c r="G98" s="297" t="s">
        <v>428</v>
      </c>
      <c r="H98" s="297">
        <v>79.400000000000006</v>
      </c>
      <c r="I98" s="313" t="s">
        <v>402</v>
      </c>
      <c r="J98" s="314">
        <v>6000</v>
      </c>
      <c r="K98" s="314">
        <v>12000</v>
      </c>
      <c r="L98" s="314">
        <v>84000</v>
      </c>
      <c r="M98" s="314">
        <v>84000</v>
      </c>
      <c r="N98" s="297"/>
      <c r="O98" s="297">
        <v>2.7</v>
      </c>
      <c r="P98" s="297">
        <v>2.2999999999999998</v>
      </c>
      <c r="Q98" s="297">
        <v>1.64</v>
      </c>
      <c r="R98" s="329">
        <v>0</v>
      </c>
      <c r="S98" s="297">
        <v>1.61</v>
      </c>
      <c r="T98" s="297"/>
      <c r="U98" s="297">
        <v>1.86</v>
      </c>
      <c r="V98" s="297">
        <v>1.79</v>
      </c>
      <c r="W98" s="297">
        <v>1.64</v>
      </c>
      <c r="X98" s="329">
        <v>0</v>
      </c>
      <c r="Y98" s="297">
        <v>1.55</v>
      </c>
      <c r="Z98" s="297"/>
      <c r="AA98" s="297"/>
      <c r="AB98" s="297"/>
      <c r="AC98" s="297"/>
      <c r="AD98" s="297"/>
      <c r="AE98" s="297"/>
      <c r="AF98" s="297"/>
      <c r="AG98" s="299" t="s">
        <v>403</v>
      </c>
      <c r="AH98" s="299" t="s">
        <v>404</v>
      </c>
      <c r="AI98" s="192">
        <v>2</v>
      </c>
      <c r="AJ98" s="192">
        <v>4</v>
      </c>
      <c r="AK98" s="247">
        <v>0.33329999999999999</v>
      </c>
      <c r="AL98" s="247">
        <v>0.66659999999999997</v>
      </c>
      <c r="AM98" s="299">
        <v>0</v>
      </c>
      <c r="AN98" s="299">
        <v>0</v>
      </c>
      <c r="AO98" s="299">
        <v>15</v>
      </c>
      <c r="AP98" s="299">
        <v>0</v>
      </c>
      <c r="AQ98" s="299">
        <v>0</v>
      </c>
      <c r="AR98" s="299">
        <v>0</v>
      </c>
      <c r="AS98" s="299">
        <v>0</v>
      </c>
      <c r="AT98" s="299">
        <v>0</v>
      </c>
      <c r="AU98" s="299">
        <v>0</v>
      </c>
      <c r="AV98" s="299">
        <v>0</v>
      </c>
      <c r="AW98" s="297"/>
      <c r="AX98" s="299" t="s">
        <v>405</v>
      </c>
      <c r="AY98" s="299"/>
      <c r="AZ98" s="299" t="s">
        <v>405</v>
      </c>
      <c r="BA98" s="299"/>
      <c r="BB98" s="298" t="s">
        <v>429</v>
      </c>
      <c r="BC98" s="297"/>
      <c r="BD98" s="299"/>
      <c r="BE98" s="299" t="s">
        <v>406</v>
      </c>
      <c r="BF98" s="298"/>
      <c r="BG98" t="s">
        <v>430</v>
      </c>
      <c r="BH98" t="s">
        <v>408</v>
      </c>
    </row>
    <row r="99" spans="1:60" x14ac:dyDescent="0.15">
      <c r="A99" s="148">
        <v>318</v>
      </c>
      <c r="B99" s="330">
        <v>43117</v>
      </c>
      <c r="C99" s="296" t="s">
        <v>398</v>
      </c>
      <c r="D99" s="297" t="s">
        <v>300</v>
      </c>
      <c r="E99" s="295">
        <v>43101</v>
      </c>
      <c r="F99" s="297" t="s">
        <v>431</v>
      </c>
      <c r="G99" s="297" t="s">
        <v>421</v>
      </c>
      <c r="H99" s="297">
        <v>84.51</v>
      </c>
      <c r="I99" s="313" t="s">
        <v>402</v>
      </c>
      <c r="J99" s="314">
        <v>6000</v>
      </c>
      <c r="K99" s="314">
        <v>12000</v>
      </c>
      <c r="L99" s="314">
        <v>84000</v>
      </c>
      <c r="M99" s="314">
        <v>84000</v>
      </c>
      <c r="N99" s="297"/>
      <c r="O99" s="297">
        <v>2.4540000000000002</v>
      </c>
      <c r="P99" s="297">
        <v>2.0299999999999998</v>
      </c>
      <c r="Q99" s="297">
        <v>1.504</v>
      </c>
      <c r="R99" s="329">
        <v>0</v>
      </c>
      <c r="S99" s="297">
        <v>1.48</v>
      </c>
      <c r="T99" s="297"/>
      <c r="U99" s="297">
        <v>1.5249999999999999</v>
      </c>
      <c r="V99" s="297">
        <v>1.48</v>
      </c>
      <c r="W99" s="297">
        <v>1.3640000000000001</v>
      </c>
      <c r="X99" s="329">
        <v>0</v>
      </c>
      <c r="Y99" s="297">
        <v>1.3</v>
      </c>
      <c r="Z99" s="297"/>
      <c r="AA99" s="297"/>
      <c r="AB99" s="297"/>
      <c r="AC99" s="297"/>
      <c r="AD99" s="297"/>
      <c r="AE99" s="297"/>
      <c r="AF99" s="297"/>
      <c r="AG99" s="299" t="s">
        <v>403</v>
      </c>
      <c r="AH99" s="299" t="s">
        <v>404</v>
      </c>
      <c r="AI99" s="192">
        <v>2</v>
      </c>
      <c r="AJ99" s="192">
        <v>4</v>
      </c>
      <c r="AK99" s="247">
        <v>0.33329999999999999</v>
      </c>
      <c r="AL99" s="247">
        <v>0.66659999999999997</v>
      </c>
      <c r="AM99" s="299">
        <v>0</v>
      </c>
      <c r="AN99" s="299">
        <v>0</v>
      </c>
      <c r="AO99" s="299">
        <v>0</v>
      </c>
      <c r="AP99" s="299">
        <v>0</v>
      </c>
      <c r="AQ99" s="299">
        <v>0</v>
      </c>
      <c r="AR99" s="299">
        <v>0</v>
      </c>
      <c r="AS99" s="299">
        <v>0</v>
      </c>
      <c r="AT99" s="299">
        <v>0</v>
      </c>
      <c r="AU99" s="299">
        <v>0</v>
      </c>
      <c r="AV99" s="299">
        <v>0</v>
      </c>
      <c r="AW99" s="297"/>
      <c r="AX99" s="299" t="s">
        <v>405</v>
      </c>
      <c r="AY99" s="299"/>
      <c r="AZ99" s="299" t="s">
        <v>405</v>
      </c>
      <c r="BA99" s="299"/>
      <c r="BB99" s="298" t="s">
        <v>432</v>
      </c>
      <c r="BC99" s="297" t="s">
        <v>433</v>
      </c>
      <c r="BD99" s="299">
        <v>50</v>
      </c>
      <c r="BE99" s="299" t="s">
        <v>422</v>
      </c>
      <c r="BF99" s="298"/>
      <c r="BG99" t="s">
        <v>330</v>
      </c>
      <c r="BH99" t="s">
        <v>408</v>
      </c>
    </row>
    <row r="100" spans="1:60" x14ac:dyDescent="0.15">
      <c r="A100" s="148">
        <v>573</v>
      </c>
      <c r="B100" s="330">
        <v>43111</v>
      </c>
      <c r="C100" s="296" t="s">
        <v>398</v>
      </c>
      <c r="D100" s="297" t="s">
        <v>300</v>
      </c>
      <c r="E100" s="295">
        <v>43101</v>
      </c>
      <c r="F100" s="298" t="s">
        <v>354</v>
      </c>
      <c r="G100" s="297" t="s">
        <v>355</v>
      </c>
      <c r="H100" s="297">
        <v>78</v>
      </c>
      <c r="I100" s="313" t="s">
        <v>402</v>
      </c>
      <c r="J100" s="315">
        <v>3200</v>
      </c>
      <c r="K100" s="315">
        <v>3200</v>
      </c>
      <c r="L100" s="315">
        <v>3200</v>
      </c>
      <c r="M100" s="315">
        <v>3200</v>
      </c>
      <c r="N100" s="297"/>
      <c r="O100" s="297">
        <v>2.8</v>
      </c>
      <c r="P100" s="329">
        <v>0</v>
      </c>
      <c r="Q100" s="297">
        <v>0</v>
      </c>
      <c r="R100" s="329">
        <v>0</v>
      </c>
      <c r="S100" s="297">
        <v>2.2000000000000002</v>
      </c>
      <c r="T100" s="297"/>
      <c r="U100" s="297">
        <v>2</v>
      </c>
      <c r="V100" s="329">
        <v>0</v>
      </c>
      <c r="W100" s="297">
        <v>0</v>
      </c>
      <c r="X100" s="329">
        <v>0</v>
      </c>
      <c r="Y100" s="297">
        <v>1.6</v>
      </c>
      <c r="Z100" s="297"/>
      <c r="AA100" s="297"/>
      <c r="AB100" s="297"/>
      <c r="AC100" s="297"/>
      <c r="AD100" s="297"/>
      <c r="AE100" s="297"/>
      <c r="AF100" s="297"/>
      <c r="AG100" s="299" t="s">
        <v>403</v>
      </c>
      <c r="AH100" s="299" t="s">
        <v>404</v>
      </c>
      <c r="AI100" s="192">
        <v>2</v>
      </c>
      <c r="AJ100" s="192">
        <v>4</v>
      </c>
      <c r="AK100" s="247">
        <v>0.33329999999999999</v>
      </c>
      <c r="AL100" s="247">
        <v>0.66659999999999997</v>
      </c>
      <c r="AM100" s="299">
        <v>0</v>
      </c>
      <c r="AN100" s="299">
        <v>0</v>
      </c>
      <c r="AO100" s="299">
        <v>0</v>
      </c>
      <c r="AP100" s="299">
        <v>13</v>
      </c>
      <c r="AQ100" s="299">
        <v>0</v>
      </c>
      <c r="AR100" s="299">
        <v>0</v>
      </c>
      <c r="AS100" s="299">
        <v>0</v>
      </c>
      <c r="AT100" s="299">
        <v>0</v>
      </c>
      <c r="AU100" s="299">
        <v>0</v>
      </c>
      <c r="AV100" s="299">
        <v>0</v>
      </c>
      <c r="AW100" s="297"/>
      <c r="AX100" s="299" t="s">
        <v>405</v>
      </c>
      <c r="AY100" s="299">
        <v>12</v>
      </c>
      <c r="AZ100" s="299" t="s">
        <v>405</v>
      </c>
      <c r="BA100" s="299"/>
      <c r="BB100" s="298"/>
      <c r="BC100" s="298"/>
      <c r="BD100" s="299"/>
      <c r="BE100" s="299" t="s">
        <v>406</v>
      </c>
      <c r="BF100" s="298"/>
      <c r="BG100" t="s">
        <v>304</v>
      </c>
      <c r="BH100" t="s">
        <v>357</v>
      </c>
    </row>
    <row r="101" spans="1:60" x14ac:dyDescent="0.15">
      <c r="A101" s="148">
        <v>239</v>
      </c>
      <c r="B101" s="330">
        <v>43117</v>
      </c>
      <c r="C101" s="296" t="s">
        <v>398</v>
      </c>
      <c r="D101" s="297" t="s">
        <v>300</v>
      </c>
      <c r="E101" s="309" t="s">
        <v>358</v>
      </c>
      <c r="F101" s="298" t="s">
        <v>359</v>
      </c>
      <c r="G101" s="297" t="s">
        <v>360</v>
      </c>
      <c r="H101" s="297">
        <v>85.3</v>
      </c>
      <c r="I101" s="313" t="s">
        <v>402</v>
      </c>
      <c r="J101" s="315">
        <v>3200</v>
      </c>
      <c r="K101" s="315">
        <v>3200</v>
      </c>
      <c r="L101" s="315">
        <v>3200</v>
      </c>
      <c r="M101" s="315">
        <v>3200</v>
      </c>
      <c r="N101" s="297"/>
      <c r="O101" s="297">
        <v>2.3740000000000001</v>
      </c>
      <c r="P101" s="329">
        <v>0</v>
      </c>
      <c r="Q101" s="297">
        <v>0</v>
      </c>
      <c r="R101" s="329">
        <v>0</v>
      </c>
      <c r="S101" s="297">
        <v>1.4970000000000001</v>
      </c>
      <c r="T101" s="297"/>
      <c r="U101" s="297">
        <v>1.6879999999999999</v>
      </c>
      <c r="V101" s="329">
        <v>0</v>
      </c>
      <c r="W101" s="297">
        <v>0</v>
      </c>
      <c r="X101" s="329">
        <v>0</v>
      </c>
      <c r="Y101" s="297">
        <v>1.452</v>
      </c>
      <c r="Z101" s="297"/>
      <c r="AA101" s="297"/>
      <c r="AB101" s="297"/>
      <c r="AC101" s="297"/>
      <c r="AD101" s="297"/>
      <c r="AE101" s="297"/>
      <c r="AF101" s="297"/>
      <c r="AG101" s="299" t="s">
        <v>403</v>
      </c>
      <c r="AH101" s="299" t="s">
        <v>404</v>
      </c>
      <c r="AI101" s="228">
        <v>2</v>
      </c>
      <c r="AJ101" s="228">
        <v>4</v>
      </c>
      <c r="AK101" s="247">
        <v>0.33329999999999999</v>
      </c>
      <c r="AL101" s="247">
        <v>0.66659999999999997</v>
      </c>
      <c r="AM101" s="299">
        <v>0</v>
      </c>
      <c r="AN101" s="299">
        <v>0</v>
      </c>
      <c r="AO101" s="299">
        <v>10</v>
      </c>
      <c r="AP101" s="299">
        <v>0</v>
      </c>
      <c r="AQ101" s="299">
        <v>0</v>
      </c>
      <c r="AR101" s="299">
        <v>0</v>
      </c>
      <c r="AS101" s="299">
        <v>0</v>
      </c>
      <c r="AT101" s="299">
        <v>0</v>
      </c>
      <c r="AU101" s="299">
        <v>0</v>
      </c>
      <c r="AV101" s="299">
        <v>0</v>
      </c>
      <c r="AW101" s="299"/>
      <c r="AX101" s="299" t="s">
        <v>405</v>
      </c>
      <c r="AY101" s="299"/>
      <c r="AZ101" s="299" t="s">
        <v>405</v>
      </c>
      <c r="BA101" s="299"/>
      <c r="BB101" s="298"/>
      <c r="BC101" s="297"/>
      <c r="BD101" s="299"/>
      <c r="BE101" s="299" t="s">
        <v>422</v>
      </c>
      <c r="BF101" s="298"/>
      <c r="BG101" t="s">
        <v>305</v>
      </c>
      <c r="BH101" t="s">
        <v>357</v>
      </c>
    </row>
    <row r="102" spans="1:60" x14ac:dyDescent="0.15">
      <c r="A102" s="148">
        <v>796</v>
      </c>
      <c r="B102" s="330">
        <v>43088</v>
      </c>
      <c r="C102" s="296" t="s">
        <v>398</v>
      </c>
      <c r="D102" s="297" t="s">
        <v>300</v>
      </c>
      <c r="E102" s="309">
        <v>43115</v>
      </c>
      <c r="F102" s="298" t="s">
        <v>362</v>
      </c>
      <c r="G102" s="297" t="s">
        <v>363</v>
      </c>
      <c r="H102" s="339">
        <v>76.81</v>
      </c>
      <c r="I102" s="313" t="s">
        <v>402</v>
      </c>
      <c r="J102" s="314">
        <v>6000</v>
      </c>
      <c r="K102" s="314">
        <v>12000</v>
      </c>
      <c r="L102" s="314">
        <v>84000</v>
      </c>
      <c r="M102" s="314">
        <v>84000</v>
      </c>
      <c r="N102" s="297"/>
      <c r="O102" s="341">
        <v>2.88</v>
      </c>
      <c r="P102" s="332">
        <v>2.82</v>
      </c>
      <c r="Q102" s="332">
        <v>1.91</v>
      </c>
      <c r="R102" s="329">
        <v>0</v>
      </c>
      <c r="S102" s="341">
        <v>1.87</v>
      </c>
      <c r="T102" s="297"/>
      <c r="U102" s="340">
        <v>2.2000000000000002</v>
      </c>
      <c r="V102" s="332">
        <v>2.12</v>
      </c>
      <c r="W102" s="332">
        <v>1.9</v>
      </c>
      <c r="X102" s="329">
        <v>0</v>
      </c>
      <c r="Y102" s="341">
        <v>1.78</v>
      </c>
      <c r="Z102" s="297"/>
      <c r="AA102" s="297"/>
      <c r="AB102" s="297"/>
      <c r="AC102" s="297"/>
      <c r="AD102" s="297"/>
      <c r="AE102" s="297"/>
      <c r="AF102" s="297"/>
      <c r="AG102" s="299" t="s">
        <v>403</v>
      </c>
      <c r="AH102" s="299" t="s">
        <v>404</v>
      </c>
      <c r="AI102" s="192">
        <v>2</v>
      </c>
      <c r="AJ102" s="192">
        <v>4</v>
      </c>
      <c r="AK102" s="247">
        <v>0.33329999999999999</v>
      </c>
      <c r="AL102" s="247">
        <v>0.66659999999999997</v>
      </c>
      <c r="AM102" s="299">
        <v>0</v>
      </c>
      <c r="AN102" s="299">
        <v>0</v>
      </c>
      <c r="AO102" s="299">
        <v>0</v>
      </c>
      <c r="AP102" s="299">
        <v>20</v>
      </c>
      <c r="AQ102" s="299">
        <v>0</v>
      </c>
      <c r="AR102" s="299">
        <v>0</v>
      </c>
      <c r="AS102" s="299">
        <v>0</v>
      </c>
      <c r="AT102" s="299">
        <v>0</v>
      </c>
      <c r="AU102" s="299">
        <v>0</v>
      </c>
      <c r="AV102" s="299">
        <v>0</v>
      </c>
      <c r="AW102" s="297"/>
      <c r="AX102" s="299" t="s">
        <v>405</v>
      </c>
      <c r="AY102" s="299">
        <v>24</v>
      </c>
      <c r="AZ102" s="299" t="s">
        <v>405</v>
      </c>
      <c r="BA102" s="299"/>
      <c r="BB102" s="298" t="s">
        <v>364</v>
      </c>
      <c r="BC102" s="297" t="s">
        <v>365</v>
      </c>
      <c r="BD102" s="299">
        <v>25</v>
      </c>
      <c r="BE102" s="299" t="s">
        <v>422</v>
      </c>
      <c r="BF102" s="298"/>
      <c r="BG102" t="s">
        <v>430</v>
      </c>
      <c r="BH102" t="s">
        <v>408</v>
      </c>
    </row>
    <row r="103" spans="1:60" x14ac:dyDescent="0.15">
      <c r="A103" s="148">
        <v>1132</v>
      </c>
      <c r="B103" s="330">
        <v>43088</v>
      </c>
      <c r="C103" s="296" t="s">
        <v>398</v>
      </c>
      <c r="D103" s="297" t="s">
        <v>300</v>
      </c>
      <c r="E103" s="309">
        <v>42948</v>
      </c>
      <c r="F103" s="297" t="s">
        <v>366</v>
      </c>
      <c r="G103" s="297" t="s">
        <v>367</v>
      </c>
      <c r="H103" s="332">
        <v>82.62</v>
      </c>
      <c r="I103" s="313" t="s">
        <v>402</v>
      </c>
      <c r="J103" s="314">
        <v>6000</v>
      </c>
      <c r="K103" s="314">
        <v>12000</v>
      </c>
      <c r="L103" s="314">
        <v>12000</v>
      </c>
      <c r="M103" s="314">
        <v>12000</v>
      </c>
      <c r="N103" s="332"/>
      <c r="O103" s="332">
        <v>2.879</v>
      </c>
      <c r="P103" s="332">
        <v>2.738</v>
      </c>
      <c r="Q103" s="329">
        <v>0</v>
      </c>
      <c r="R103" s="329">
        <v>0</v>
      </c>
      <c r="S103" s="332">
        <v>1.82</v>
      </c>
      <c r="T103" s="332"/>
      <c r="U103" s="332">
        <v>2.5990000000000002</v>
      </c>
      <c r="V103" s="332">
        <v>1.9810000000000001</v>
      </c>
      <c r="W103" s="329">
        <v>0</v>
      </c>
      <c r="X103" s="329">
        <v>0</v>
      </c>
      <c r="Y103" s="332">
        <v>1.796</v>
      </c>
      <c r="Z103" s="332"/>
      <c r="AA103" s="332"/>
      <c r="AB103" s="332"/>
      <c r="AC103" s="332"/>
      <c r="AD103" s="332"/>
      <c r="AE103" s="332"/>
      <c r="AF103" s="332"/>
      <c r="AG103" s="333" t="s">
        <v>403</v>
      </c>
      <c r="AH103" s="333" t="s">
        <v>404</v>
      </c>
      <c r="AI103" s="228">
        <v>2</v>
      </c>
      <c r="AJ103" s="228">
        <v>4</v>
      </c>
      <c r="AK103" s="247">
        <v>0.33329999999999999</v>
      </c>
      <c r="AL103" s="247">
        <v>0.66659999999999997</v>
      </c>
      <c r="AM103" s="299">
        <v>0</v>
      </c>
      <c r="AN103" s="299">
        <v>0</v>
      </c>
      <c r="AO103" s="299">
        <v>0</v>
      </c>
      <c r="AP103" s="299">
        <v>17</v>
      </c>
      <c r="AQ103" s="299">
        <v>0</v>
      </c>
      <c r="AR103" s="299">
        <v>0</v>
      </c>
      <c r="AS103" s="299">
        <v>0</v>
      </c>
      <c r="AT103" s="299">
        <v>0</v>
      </c>
      <c r="AU103" s="299">
        <v>0</v>
      </c>
      <c r="AV103" s="299">
        <v>0</v>
      </c>
      <c r="AW103" s="299"/>
      <c r="AX103" s="299" t="s">
        <v>405</v>
      </c>
      <c r="AY103" s="299">
        <v>12</v>
      </c>
      <c r="AZ103" s="299" t="s">
        <v>405</v>
      </c>
      <c r="BA103" s="299"/>
      <c r="BB103" s="298"/>
      <c r="BC103" s="297"/>
      <c r="BD103" s="299"/>
      <c r="BE103" s="299" t="s">
        <v>422</v>
      </c>
      <c r="BF103" s="298"/>
      <c r="BG103" t="s">
        <v>430</v>
      </c>
      <c r="BH103" t="s">
        <v>368</v>
      </c>
    </row>
    <row r="104" spans="1:60" x14ac:dyDescent="0.15">
      <c r="A104" s="148">
        <v>1266</v>
      </c>
      <c r="B104" s="334">
        <v>43117</v>
      </c>
      <c r="C104" s="296" t="s">
        <v>398</v>
      </c>
      <c r="D104" s="297" t="s">
        <v>300</v>
      </c>
      <c r="E104" s="295">
        <v>43101</v>
      </c>
      <c r="F104" s="298" t="s">
        <v>987</v>
      </c>
      <c r="G104" s="297" t="s">
        <v>369</v>
      </c>
      <c r="H104" s="297">
        <v>96.8</v>
      </c>
      <c r="I104" s="313" t="s">
        <v>402</v>
      </c>
      <c r="J104" s="314">
        <v>6000</v>
      </c>
      <c r="K104" s="314">
        <v>12000</v>
      </c>
      <c r="L104" s="314">
        <v>12000</v>
      </c>
      <c r="M104" s="314">
        <v>12000</v>
      </c>
      <c r="N104" s="297"/>
      <c r="O104" s="297">
        <v>3.55</v>
      </c>
      <c r="P104" s="297">
        <v>3.05</v>
      </c>
      <c r="Q104" s="329">
        <v>0</v>
      </c>
      <c r="R104" s="329">
        <v>0</v>
      </c>
      <c r="S104" s="297">
        <v>2.2999999999999998</v>
      </c>
      <c r="T104" s="297"/>
      <c r="U104" s="297">
        <v>2.5</v>
      </c>
      <c r="V104" s="297">
        <v>2.4500000000000002</v>
      </c>
      <c r="W104" s="329">
        <v>0</v>
      </c>
      <c r="X104" s="329">
        <v>0</v>
      </c>
      <c r="Y104" s="297">
        <v>2.2999999999999998</v>
      </c>
      <c r="Z104" s="297"/>
      <c r="AA104" s="297"/>
      <c r="AB104" s="297"/>
      <c r="AC104" s="297"/>
      <c r="AD104" s="297"/>
      <c r="AE104" s="297"/>
      <c r="AF104" s="297"/>
      <c r="AG104" s="299" t="s">
        <v>403</v>
      </c>
      <c r="AH104" s="299" t="s">
        <v>404</v>
      </c>
      <c r="AI104" s="192">
        <v>2</v>
      </c>
      <c r="AJ104" s="192">
        <v>4</v>
      </c>
      <c r="AK104" s="247">
        <v>0.33329999999999999</v>
      </c>
      <c r="AL104" s="247">
        <v>0.66659999999999997</v>
      </c>
      <c r="AM104" s="299">
        <v>0</v>
      </c>
      <c r="AN104" s="299">
        <v>0</v>
      </c>
      <c r="AO104" s="299">
        <v>28</v>
      </c>
      <c r="AP104" s="299">
        <v>0</v>
      </c>
      <c r="AQ104" s="299">
        <v>0</v>
      </c>
      <c r="AR104" s="299">
        <v>0</v>
      </c>
      <c r="AS104" s="299">
        <v>0</v>
      </c>
      <c r="AT104" s="299">
        <v>0</v>
      </c>
      <c r="AU104" s="299">
        <v>0</v>
      </c>
      <c r="AV104" s="299">
        <v>0</v>
      </c>
      <c r="AW104" s="299"/>
      <c r="AX104" s="299" t="s">
        <v>405</v>
      </c>
      <c r="AY104" s="299"/>
      <c r="AZ104" s="299" t="s">
        <v>405</v>
      </c>
      <c r="BA104" s="299"/>
      <c r="BB104" s="298"/>
      <c r="BC104" s="297"/>
      <c r="BD104" s="299"/>
      <c r="BE104" s="299" t="s">
        <v>406</v>
      </c>
      <c r="BF104" s="298" t="s">
        <v>370</v>
      </c>
      <c r="BG104" t="s">
        <v>306</v>
      </c>
      <c r="BH104" t="s">
        <v>408</v>
      </c>
    </row>
  </sheetData>
  <sheetProtection algorithmName="SHA-512" hashValue="YPIkQ4th0lMfmbFrOUH7T/YoCU51T7gHcuInEoQS4xjMOOzg1+ssauTGHY/DUfJ94e+OUDt7kwB2v9TrFMvvkw==" saltValue="UudRMgQBjZwFyUuLWowTLw==" spinCount="100000" sheet="1" objects="1" scenarios="1"/>
  <phoneticPr fontId="20" type="noConversion"/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A1:BG88"/>
  <sheetViews>
    <sheetView topLeftCell="Z1" workbookViewId="0">
      <selection activeCell="AF24" sqref="AF24"/>
    </sheetView>
  </sheetViews>
  <sheetFormatPr baseColWidth="10" defaultColWidth="11.5" defaultRowHeight="13" x14ac:dyDescent="0.15"/>
  <cols>
    <col min="4" max="4" width="17.1640625" customWidth="1"/>
    <col min="5" max="5" width="11.5" style="169"/>
  </cols>
  <sheetData>
    <row r="1" spans="1:59" ht="56" x14ac:dyDescent="0.15">
      <c r="A1" s="149" t="s">
        <v>443</v>
      </c>
      <c r="B1" s="149" t="s">
        <v>307</v>
      </c>
      <c r="C1" s="150" t="s">
        <v>308</v>
      </c>
      <c r="D1" s="151" t="s">
        <v>309</v>
      </c>
      <c r="E1" s="168" t="s">
        <v>310</v>
      </c>
      <c r="F1" s="150" t="s">
        <v>725</v>
      </c>
      <c r="G1" s="151" t="s">
        <v>311</v>
      </c>
      <c r="H1" s="152" t="s">
        <v>449</v>
      </c>
      <c r="I1" s="153" t="s">
        <v>312</v>
      </c>
      <c r="J1" s="153" t="s">
        <v>313</v>
      </c>
      <c r="K1" s="153" t="s">
        <v>314</v>
      </c>
      <c r="L1" s="153" t="s">
        <v>315</v>
      </c>
      <c r="M1" s="153" t="s">
        <v>316</v>
      </c>
      <c r="N1" s="154" t="s">
        <v>317</v>
      </c>
      <c r="O1" s="155" t="s">
        <v>318</v>
      </c>
      <c r="P1" s="155" t="s">
        <v>319</v>
      </c>
      <c r="Q1" s="155" t="s">
        <v>239</v>
      </c>
      <c r="R1" s="155" t="s">
        <v>240</v>
      </c>
      <c r="S1" s="155" t="s">
        <v>241</v>
      </c>
      <c r="T1" s="156" t="s">
        <v>242</v>
      </c>
      <c r="U1" s="157" t="s">
        <v>243</v>
      </c>
      <c r="V1" s="157" t="s">
        <v>244</v>
      </c>
      <c r="W1" s="157" t="s">
        <v>245</v>
      </c>
      <c r="X1" s="157" t="s">
        <v>246</v>
      </c>
      <c r="Y1" s="157" t="s">
        <v>247</v>
      </c>
      <c r="Z1" s="158" t="s">
        <v>248</v>
      </c>
      <c r="AA1" s="159" t="s">
        <v>249</v>
      </c>
      <c r="AB1" s="159" t="s">
        <v>250</v>
      </c>
      <c r="AC1" s="159" t="s">
        <v>251</v>
      </c>
      <c r="AD1" s="159" t="s">
        <v>252</v>
      </c>
      <c r="AE1" s="159" t="s">
        <v>253</v>
      </c>
      <c r="AF1" s="160" t="s">
        <v>254</v>
      </c>
      <c r="AG1" s="161" t="s">
        <v>255</v>
      </c>
      <c r="AH1" s="161" t="s">
        <v>256</v>
      </c>
      <c r="AI1" s="161" t="s">
        <v>476</v>
      </c>
      <c r="AJ1" s="162" t="s">
        <v>477</v>
      </c>
      <c r="AK1" s="161" t="s">
        <v>478</v>
      </c>
      <c r="AL1" s="161" t="s">
        <v>479</v>
      </c>
      <c r="AM1" s="163" t="s">
        <v>257</v>
      </c>
      <c r="AN1" s="164" t="s">
        <v>258</v>
      </c>
      <c r="AO1" s="163" t="s">
        <v>259</v>
      </c>
      <c r="AP1" s="155" t="s">
        <v>260</v>
      </c>
      <c r="AQ1" s="165" t="s">
        <v>261</v>
      </c>
      <c r="AR1" s="155" t="s">
        <v>262</v>
      </c>
      <c r="AS1" s="165" t="s">
        <v>263</v>
      </c>
      <c r="AT1" s="156" t="s">
        <v>264</v>
      </c>
      <c r="AU1" s="165" t="s">
        <v>265</v>
      </c>
      <c r="AV1" s="156" t="s">
        <v>266</v>
      </c>
      <c r="AW1" s="149" t="s">
        <v>267</v>
      </c>
      <c r="AX1" s="166" t="s">
        <v>268</v>
      </c>
      <c r="AY1" s="167" t="s">
        <v>269</v>
      </c>
      <c r="AZ1" s="166" t="s">
        <v>270</v>
      </c>
      <c r="BA1" s="149" t="s">
        <v>271</v>
      </c>
      <c r="BB1" s="150" t="s">
        <v>272</v>
      </c>
      <c r="BC1" s="166" t="s">
        <v>273</v>
      </c>
      <c r="BD1" s="166" t="s">
        <v>274</v>
      </c>
      <c r="BE1" s="150" t="s">
        <v>275</v>
      </c>
      <c r="BF1" s="166" t="s">
        <v>276</v>
      </c>
      <c r="BG1" s="149" t="s">
        <v>277</v>
      </c>
    </row>
    <row r="2" spans="1:59" s="97" customFormat="1" x14ac:dyDescent="0.15">
      <c r="A2" s="148">
        <v>76</v>
      </c>
      <c r="B2" s="308">
        <v>42983</v>
      </c>
      <c r="C2" s="296" t="s">
        <v>278</v>
      </c>
      <c r="D2" s="297" t="s">
        <v>279</v>
      </c>
      <c r="E2" s="295">
        <v>42917</v>
      </c>
      <c r="F2" s="298" t="s">
        <v>280</v>
      </c>
      <c r="G2" s="297" t="s">
        <v>401</v>
      </c>
      <c r="H2" s="297">
        <v>74.13</v>
      </c>
      <c r="I2" s="174" t="s">
        <v>402</v>
      </c>
      <c r="J2" s="170">
        <v>3000</v>
      </c>
      <c r="K2" s="170">
        <v>6000</v>
      </c>
      <c r="L2" s="170">
        <v>9000</v>
      </c>
      <c r="M2" s="170">
        <v>15000</v>
      </c>
      <c r="N2" s="170"/>
      <c r="O2" s="297">
        <v>2.3149999999999999</v>
      </c>
      <c r="P2" s="297">
        <v>2.0129999999999999</v>
      </c>
      <c r="Q2" s="297">
        <v>1.6040000000000001</v>
      </c>
      <c r="R2" s="297">
        <v>1.387</v>
      </c>
      <c r="S2" s="297">
        <v>1.292</v>
      </c>
      <c r="T2" s="297"/>
      <c r="U2" s="297">
        <v>2.1960000000000002</v>
      </c>
      <c r="V2" s="297">
        <v>1.8959999999999999</v>
      </c>
      <c r="W2" s="297">
        <v>1.5549999999999999</v>
      </c>
      <c r="X2" s="297">
        <v>1.369</v>
      </c>
      <c r="Y2" s="297">
        <v>1.258</v>
      </c>
      <c r="Z2" s="297"/>
      <c r="AA2" s="297"/>
      <c r="AB2" s="297"/>
      <c r="AC2" s="297"/>
      <c r="AD2" s="297"/>
      <c r="AE2" s="297"/>
      <c r="AF2" s="297"/>
      <c r="AG2" s="299" t="s">
        <v>281</v>
      </c>
      <c r="AH2" s="299" t="s">
        <v>282</v>
      </c>
      <c r="AI2" s="175">
        <v>3</v>
      </c>
      <c r="AJ2" s="175">
        <v>3</v>
      </c>
      <c r="AK2" s="240">
        <v>0.5</v>
      </c>
      <c r="AL2" s="240">
        <v>0.5</v>
      </c>
      <c r="AM2" s="299">
        <v>0</v>
      </c>
      <c r="AN2" s="299">
        <v>0</v>
      </c>
      <c r="AO2" s="299">
        <v>0</v>
      </c>
      <c r="AP2" s="299">
        <v>15</v>
      </c>
      <c r="AQ2" s="299">
        <v>0</v>
      </c>
      <c r="AR2" s="299">
        <v>0</v>
      </c>
      <c r="AS2" s="299">
        <v>0</v>
      </c>
      <c r="AT2" s="299">
        <v>0</v>
      </c>
      <c r="AU2" s="299">
        <v>0</v>
      </c>
      <c r="AV2" s="299">
        <v>0</v>
      </c>
      <c r="AW2" s="299"/>
      <c r="AX2" s="299" t="s">
        <v>405</v>
      </c>
      <c r="AY2" s="299">
        <v>12</v>
      </c>
      <c r="AZ2" s="299" t="s">
        <v>405</v>
      </c>
      <c r="BA2" s="298" t="s">
        <v>283</v>
      </c>
      <c r="BB2" s="297" t="s">
        <v>433</v>
      </c>
      <c r="BC2" s="299">
        <v>50</v>
      </c>
      <c r="BD2" s="299" t="s">
        <v>406</v>
      </c>
      <c r="BE2" s="298"/>
      <c r="BF2" t="s">
        <v>284</v>
      </c>
      <c r="BG2"/>
    </row>
    <row r="3" spans="1:59" s="97" customFormat="1" x14ac:dyDescent="0.15">
      <c r="A3" s="148">
        <v>259</v>
      </c>
      <c r="B3" s="308">
        <v>42983</v>
      </c>
      <c r="C3" s="296" t="s">
        <v>278</v>
      </c>
      <c r="D3" s="297" t="s">
        <v>279</v>
      </c>
      <c r="E3" s="309" t="s">
        <v>285</v>
      </c>
      <c r="F3" s="298" t="s">
        <v>286</v>
      </c>
      <c r="G3" s="297" t="s">
        <v>410</v>
      </c>
      <c r="H3" s="297">
        <v>68.959999999999994</v>
      </c>
      <c r="I3" s="174" t="s">
        <v>402</v>
      </c>
      <c r="J3" s="176">
        <v>3000</v>
      </c>
      <c r="K3" s="176">
        <v>6000</v>
      </c>
      <c r="L3" s="176">
        <v>6000</v>
      </c>
      <c r="M3" s="176">
        <v>6000</v>
      </c>
      <c r="N3" s="170"/>
      <c r="O3" s="297">
        <v>2.0499999999999998</v>
      </c>
      <c r="P3" s="297">
        <v>1.78</v>
      </c>
      <c r="Q3">
        <v>0</v>
      </c>
      <c r="R3" s="297">
        <v>0</v>
      </c>
      <c r="S3" s="297">
        <v>1.44</v>
      </c>
      <c r="T3" s="297"/>
      <c r="U3" s="297">
        <v>1.99</v>
      </c>
      <c r="V3" s="297">
        <v>1.73</v>
      </c>
      <c r="W3">
        <v>0</v>
      </c>
      <c r="X3" s="297">
        <v>0</v>
      </c>
      <c r="Y3" s="297">
        <v>1.43</v>
      </c>
      <c r="Z3" s="297"/>
      <c r="AA3" s="297"/>
      <c r="AB3" s="297"/>
      <c r="AC3" s="297"/>
      <c r="AD3" s="297"/>
      <c r="AE3" s="297"/>
      <c r="AF3" s="297"/>
      <c r="AG3" s="299" t="s">
        <v>281</v>
      </c>
      <c r="AH3" s="299" t="s">
        <v>282</v>
      </c>
      <c r="AI3" s="175">
        <v>3</v>
      </c>
      <c r="AJ3" s="175">
        <v>3</v>
      </c>
      <c r="AK3" s="240">
        <v>0.5</v>
      </c>
      <c r="AL3" s="240">
        <v>0.5</v>
      </c>
      <c r="AM3" s="299">
        <v>0</v>
      </c>
      <c r="AN3" s="299">
        <v>0</v>
      </c>
      <c r="AO3" s="299">
        <v>0</v>
      </c>
      <c r="AP3" s="299">
        <v>25</v>
      </c>
      <c r="AQ3" s="299">
        <v>0</v>
      </c>
      <c r="AR3" s="299">
        <v>0</v>
      </c>
      <c r="AS3" s="299">
        <v>0</v>
      </c>
      <c r="AT3" s="299">
        <v>0</v>
      </c>
      <c r="AU3" s="299">
        <v>0</v>
      </c>
      <c r="AV3" s="299">
        <v>0</v>
      </c>
      <c r="AW3" s="297"/>
      <c r="AX3" s="299" t="s">
        <v>405</v>
      </c>
      <c r="AY3" s="299">
        <v>24</v>
      </c>
      <c r="AZ3" s="299" t="s">
        <v>405</v>
      </c>
      <c r="BA3" s="298"/>
      <c r="BB3" s="297"/>
      <c r="BC3" s="299"/>
      <c r="BD3" s="299" t="s">
        <v>406</v>
      </c>
      <c r="BE3" s="298"/>
      <c r="BF3" t="s">
        <v>287</v>
      </c>
      <c r="BG3"/>
    </row>
    <row r="4" spans="1:59" s="97" customFormat="1" x14ac:dyDescent="0.15">
      <c r="A4" s="148">
        <v>273</v>
      </c>
      <c r="B4" s="308">
        <v>42983</v>
      </c>
      <c r="C4" s="296" t="s">
        <v>278</v>
      </c>
      <c r="D4" s="297" t="s">
        <v>279</v>
      </c>
      <c r="E4" s="295">
        <v>42917</v>
      </c>
      <c r="F4" s="298" t="s">
        <v>288</v>
      </c>
      <c r="G4" s="297" t="s">
        <v>414</v>
      </c>
      <c r="H4" s="297">
        <v>78.099999999999994</v>
      </c>
      <c r="I4" s="174" t="s">
        <v>402</v>
      </c>
      <c r="J4" s="170">
        <v>3000</v>
      </c>
      <c r="K4" s="170">
        <v>6000</v>
      </c>
      <c r="L4" s="170">
        <v>9000</v>
      </c>
      <c r="M4" s="170">
        <v>15000</v>
      </c>
      <c r="N4" s="170"/>
      <c r="O4" s="297">
        <v>2.65</v>
      </c>
      <c r="P4" s="297">
        <v>2.25</v>
      </c>
      <c r="Q4" s="297">
        <v>1.85</v>
      </c>
      <c r="R4" s="297">
        <v>1.65</v>
      </c>
      <c r="S4" s="297">
        <v>1.55</v>
      </c>
      <c r="T4" s="297"/>
      <c r="U4" s="297">
        <v>2.5499999999999998</v>
      </c>
      <c r="V4" s="297">
        <v>2.2000000000000002</v>
      </c>
      <c r="W4" s="297">
        <v>1.8</v>
      </c>
      <c r="X4" s="297">
        <v>1.65</v>
      </c>
      <c r="Y4" s="297">
        <v>1.6</v>
      </c>
      <c r="Z4" s="297"/>
      <c r="AA4" s="297"/>
      <c r="AB4" s="297"/>
      <c r="AC4" s="297"/>
      <c r="AD4" s="297"/>
      <c r="AE4" s="297"/>
      <c r="AF4" s="297"/>
      <c r="AG4" s="299" t="s">
        <v>281</v>
      </c>
      <c r="AH4" s="299" t="s">
        <v>282</v>
      </c>
      <c r="AI4" s="175">
        <v>3</v>
      </c>
      <c r="AJ4" s="175">
        <v>3</v>
      </c>
      <c r="AK4" s="240">
        <v>0.5</v>
      </c>
      <c r="AL4" s="240">
        <v>0.5</v>
      </c>
      <c r="AM4" s="299">
        <v>0</v>
      </c>
      <c r="AN4" s="299">
        <v>0</v>
      </c>
      <c r="AO4" s="299">
        <v>14</v>
      </c>
      <c r="AP4" s="299">
        <v>0</v>
      </c>
      <c r="AQ4" s="299">
        <v>0</v>
      </c>
      <c r="AR4" s="299">
        <v>0</v>
      </c>
      <c r="AS4" s="299">
        <v>0</v>
      </c>
      <c r="AT4" s="299">
        <v>0</v>
      </c>
      <c r="AU4" s="299">
        <v>0</v>
      </c>
      <c r="AV4" s="299">
        <v>0</v>
      </c>
      <c r="AW4" s="297"/>
      <c r="AX4" s="299" t="s">
        <v>405</v>
      </c>
      <c r="AY4" s="299"/>
      <c r="AZ4" s="299" t="s">
        <v>405</v>
      </c>
      <c r="BA4" s="298"/>
      <c r="BB4" s="297"/>
      <c r="BC4" s="299"/>
      <c r="BD4" s="299" t="s">
        <v>406</v>
      </c>
      <c r="BE4" s="298" t="s">
        <v>415</v>
      </c>
      <c r="BF4" t="s">
        <v>416</v>
      </c>
      <c r="BG4"/>
    </row>
    <row r="5" spans="1:59" s="97" customFormat="1" x14ac:dyDescent="0.15">
      <c r="A5" s="148">
        <v>325</v>
      </c>
      <c r="B5" s="308">
        <v>42983</v>
      </c>
      <c r="C5" s="296" t="s">
        <v>278</v>
      </c>
      <c r="D5" s="297" t="s">
        <v>279</v>
      </c>
      <c r="E5" s="295">
        <v>42767</v>
      </c>
      <c r="F5" s="298" t="s">
        <v>600</v>
      </c>
      <c r="G5" s="297" t="s">
        <v>421</v>
      </c>
      <c r="H5" s="297">
        <v>70</v>
      </c>
      <c r="I5" s="174" t="s">
        <v>402</v>
      </c>
      <c r="J5" s="170">
        <v>3000</v>
      </c>
      <c r="K5" s="170">
        <v>9000</v>
      </c>
      <c r="L5" s="170">
        <v>12000</v>
      </c>
      <c r="M5" s="170">
        <v>18000</v>
      </c>
      <c r="N5" s="170"/>
      <c r="O5" s="297">
        <v>3.36</v>
      </c>
      <c r="P5" s="297">
        <v>2.92</v>
      </c>
      <c r="Q5" s="297">
        <v>2.2000000000000002</v>
      </c>
      <c r="R5" s="297">
        <v>2.09</v>
      </c>
      <c r="S5" s="297">
        <v>1.88</v>
      </c>
      <c r="T5" s="297"/>
      <c r="U5" s="297">
        <v>2.69</v>
      </c>
      <c r="V5" s="297">
        <v>2.2999999999999998</v>
      </c>
      <c r="W5" s="297">
        <v>1.95</v>
      </c>
      <c r="X5" s="297">
        <v>1.64</v>
      </c>
      <c r="Y5" s="297">
        <v>1.61</v>
      </c>
      <c r="Z5" s="297"/>
      <c r="AA5" s="297"/>
      <c r="AB5" s="297"/>
      <c r="AC5" s="297"/>
      <c r="AD5" s="297"/>
      <c r="AE5" s="297"/>
      <c r="AF5" s="297"/>
      <c r="AG5" s="299" t="s">
        <v>281</v>
      </c>
      <c r="AH5" s="299" t="s">
        <v>282</v>
      </c>
      <c r="AI5" s="175">
        <v>3</v>
      </c>
      <c r="AJ5" s="175">
        <v>3</v>
      </c>
      <c r="AK5" s="240">
        <v>0.5</v>
      </c>
      <c r="AL5" s="240">
        <v>0.5</v>
      </c>
      <c r="AM5" s="299">
        <v>0</v>
      </c>
      <c r="AN5" s="299">
        <v>0</v>
      </c>
      <c r="AO5" s="299">
        <v>0</v>
      </c>
      <c r="AP5" s="299">
        <v>16</v>
      </c>
      <c r="AQ5" s="299">
        <v>0</v>
      </c>
      <c r="AR5" s="299">
        <v>0</v>
      </c>
      <c r="AS5" s="299">
        <v>0</v>
      </c>
      <c r="AT5" s="299">
        <v>0</v>
      </c>
      <c r="AU5" s="299">
        <v>0</v>
      </c>
      <c r="AV5" s="299">
        <v>0</v>
      </c>
      <c r="AW5" s="299">
        <v>12</v>
      </c>
      <c r="AX5" s="299" t="s">
        <v>403</v>
      </c>
      <c r="AY5" s="299"/>
      <c r="AZ5" s="299" t="s">
        <v>405</v>
      </c>
      <c r="BA5" s="298"/>
      <c r="BB5" s="297"/>
      <c r="BC5" s="299"/>
      <c r="BD5" s="299" t="s">
        <v>406</v>
      </c>
      <c r="BE5" s="298"/>
      <c r="BF5" t="s">
        <v>289</v>
      </c>
      <c r="BG5"/>
    </row>
    <row r="6" spans="1:59" s="97" customFormat="1" x14ac:dyDescent="0.15">
      <c r="A6" s="148">
        <v>883</v>
      </c>
      <c r="B6" s="308">
        <v>42983</v>
      </c>
      <c r="C6" s="296" t="s">
        <v>278</v>
      </c>
      <c r="D6" s="297" t="s">
        <v>279</v>
      </c>
      <c r="E6" s="295">
        <v>42711</v>
      </c>
      <c r="F6" s="298" t="s">
        <v>290</v>
      </c>
      <c r="G6" s="297" t="s">
        <v>421</v>
      </c>
      <c r="H6" s="297">
        <v>61.59</v>
      </c>
      <c r="I6" s="174" t="s">
        <v>402</v>
      </c>
      <c r="J6" s="176">
        <v>6000</v>
      </c>
      <c r="K6" s="176">
        <v>9000</v>
      </c>
      <c r="L6" s="176">
        <v>9000</v>
      </c>
      <c r="M6" s="176">
        <v>9000</v>
      </c>
      <c r="N6" s="170"/>
      <c r="O6" s="297">
        <v>2.21</v>
      </c>
      <c r="P6" s="297">
        <v>1.67</v>
      </c>
      <c r="Q6">
        <v>0</v>
      </c>
      <c r="R6" s="297">
        <v>0</v>
      </c>
      <c r="S6" s="297">
        <v>1.33</v>
      </c>
      <c r="T6" s="297"/>
      <c r="U6" s="297">
        <v>2.09</v>
      </c>
      <c r="V6" s="297">
        <v>1.59</v>
      </c>
      <c r="W6">
        <v>0</v>
      </c>
      <c r="X6" s="297">
        <v>0</v>
      </c>
      <c r="Y6" s="297">
        <v>1.33</v>
      </c>
      <c r="Z6" s="297"/>
      <c r="AA6" s="297"/>
      <c r="AB6" s="297"/>
      <c r="AC6" s="297"/>
      <c r="AD6" s="297"/>
      <c r="AE6" s="297"/>
      <c r="AF6" s="297"/>
      <c r="AG6" s="299" t="s">
        <v>281</v>
      </c>
      <c r="AH6" s="299" t="s">
        <v>282</v>
      </c>
      <c r="AI6" s="175">
        <v>3</v>
      </c>
      <c r="AJ6" s="175">
        <v>3</v>
      </c>
      <c r="AK6" s="240">
        <v>0.5</v>
      </c>
      <c r="AL6" s="240">
        <v>0.5</v>
      </c>
      <c r="AM6" s="299">
        <v>0</v>
      </c>
      <c r="AN6" s="299">
        <v>0</v>
      </c>
      <c r="AO6" s="299">
        <v>0</v>
      </c>
      <c r="AP6" s="299">
        <v>0</v>
      </c>
      <c r="AQ6" s="299">
        <v>0</v>
      </c>
      <c r="AR6" s="299">
        <v>20</v>
      </c>
      <c r="AS6" s="299">
        <v>0</v>
      </c>
      <c r="AT6" s="299">
        <v>0</v>
      </c>
      <c r="AU6" s="299">
        <v>0</v>
      </c>
      <c r="AV6" s="299">
        <v>0</v>
      </c>
      <c r="AW6" s="297"/>
      <c r="AX6" s="299" t="s">
        <v>405</v>
      </c>
      <c r="AY6" s="299"/>
      <c r="AZ6" s="299" t="s">
        <v>405</v>
      </c>
      <c r="BA6" s="298"/>
      <c r="BB6" s="297"/>
      <c r="BC6" s="299"/>
      <c r="BD6" s="299" t="s">
        <v>422</v>
      </c>
      <c r="BE6" s="298"/>
      <c r="BF6" t="s">
        <v>216</v>
      </c>
      <c r="BG6"/>
    </row>
    <row r="7" spans="1:59" s="97" customFormat="1" x14ac:dyDescent="0.15">
      <c r="A7" s="148">
        <v>157</v>
      </c>
      <c r="B7" s="308">
        <v>42983</v>
      </c>
      <c r="C7" s="296" t="s">
        <v>278</v>
      </c>
      <c r="D7" s="297" t="s">
        <v>279</v>
      </c>
      <c r="E7" s="295">
        <v>42929</v>
      </c>
      <c r="F7" s="298" t="s">
        <v>217</v>
      </c>
      <c r="G7" s="297" t="s">
        <v>425</v>
      </c>
      <c r="H7" s="297">
        <v>73.599999999999994</v>
      </c>
      <c r="I7" s="174" t="s">
        <v>402</v>
      </c>
      <c r="J7" s="170">
        <v>3000</v>
      </c>
      <c r="K7" s="170">
        <v>6000</v>
      </c>
      <c r="L7" s="170">
        <v>9000</v>
      </c>
      <c r="M7" s="170">
        <v>15000</v>
      </c>
      <c r="N7" s="170"/>
      <c r="O7" s="297">
        <v>2.29</v>
      </c>
      <c r="P7" s="297">
        <v>2.0099999999999998</v>
      </c>
      <c r="Q7" s="297">
        <v>1.61</v>
      </c>
      <c r="R7" s="297">
        <v>1.39</v>
      </c>
      <c r="S7" s="297">
        <v>1.31</v>
      </c>
      <c r="T7" s="297"/>
      <c r="U7" s="297">
        <v>2.13</v>
      </c>
      <c r="V7" s="297">
        <v>1.8</v>
      </c>
      <c r="W7" s="297">
        <v>1.47</v>
      </c>
      <c r="X7" s="297">
        <v>1.28</v>
      </c>
      <c r="Y7" s="297">
        <v>1.22</v>
      </c>
      <c r="Z7" s="297"/>
      <c r="AA7" s="297"/>
      <c r="AB7" s="297"/>
      <c r="AC7" s="297"/>
      <c r="AD7" s="297"/>
      <c r="AE7" s="297"/>
      <c r="AF7" s="297"/>
      <c r="AG7" s="299" t="s">
        <v>281</v>
      </c>
      <c r="AH7" s="299" t="s">
        <v>282</v>
      </c>
      <c r="AI7" s="175">
        <v>3</v>
      </c>
      <c r="AJ7" s="175">
        <v>3</v>
      </c>
      <c r="AK7" s="240">
        <v>0.5</v>
      </c>
      <c r="AL7" s="240">
        <v>0.5</v>
      </c>
      <c r="AM7" s="299">
        <v>0</v>
      </c>
      <c r="AN7" s="299">
        <v>0</v>
      </c>
      <c r="AO7" s="299">
        <v>0</v>
      </c>
      <c r="AP7" s="299">
        <v>20</v>
      </c>
      <c r="AQ7" s="299">
        <v>0</v>
      </c>
      <c r="AR7" s="299">
        <v>0</v>
      </c>
      <c r="AS7" s="299">
        <v>0</v>
      </c>
      <c r="AT7" s="299">
        <v>0</v>
      </c>
      <c r="AU7" s="299">
        <v>0</v>
      </c>
      <c r="AV7" s="299">
        <v>0</v>
      </c>
      <c r="AW7" s="297"/>
      <c r="AX7" s="299" t="s">
        <v>405</v>
      </c>
      <c r="AY7" s="299">
        <v>12</v>
      </c>
      <c r="AZ7" s="299" t="s">
        <v>405</v>
      </c>
      <c r="BA7" s="298" t="s">
        <v>218</v>
      </c>
      <c r="BB7" s="297" t="s">
        <v>433</v>
      </c>
      <c r="BC7" s="299">
        <v>50</v>
      </c>
      <c r="BD7" s="299" t="s">
        <v>406</v>
      </c>
      <c r="BE7" s="298"/>
      <c r="BF7" s="301" t="s">
        <v>219</v>
      </c>
      <c r="BG7"/>
    </row>
    <row r="8" spans="1:59" s="97" customFormat="1" x14ac:dyDescent="0.15">
      <c r="A8" s="148">
        <v>171</v>
      </c>
      <c r="B8" s="308">
        <v>42983</v>
      </c>
      <c r="C8" s="296" t="s">
        <v>278</v>
      </c>
      <c r="D8" s="297" t="s">
        <v>279</v>
      </c>
      <c r="E8" s="295">
        <v>42826</v>
      </c>
      <c r="F8" s="298" t="s">
        <v>220</v>
      </c>
      <c r="G8" s="297" t="s">
        <v>428</v>
      </c>
      <c r="H8" s="297">
        <v>63.74</v>
      </c>
      <c r="I8" s="174" t="s">
        <v>402</v>
      </c>
      <c r="J8" s="170">
        <v>3000</v>
      </c>
      <c r="K8" s="170">
        <v>6000</v>
      </c>
      <c r="L8" s="170">
        <v>9000</v>
      </c>
      <c r="M8" s="170">
        <v>15000</v>
      </c>
      <c r="N8" s="170"/>
      <c r="O8" s="297">
        <v>2.238</v>
      </c>
      <c r="P8" s="297">
        <v>1.9470000000000001</v>
      </c>
      <c r="Q8" s="297">
        <v>1.595</v>
      </c>
      <c r="R8" s="297">
        <v>1.409</v>
      </c>
      <c r="S8" s="297">
        <v>1.36</v>
      </c>
      <c r="T8" s="297"/>
      <c r="U8" s="297">
        <v>2.1</v>
      </c>
      <c r="V8" s="297">
        <v>1.8480000000000001</v>
      </c>
      <c r="W8" s="297">
        <v>1.5429999999999999</v>
      </c>
      <c r="X8" s="297">
        <v>1.3819999999999999</v>
      </c>
      <c r="Y8" s="297">
        <v>1.3420000000000001</v>
      </c>
      <c r="Z8" s="297"/>
      <c r="AA8" s="297"/>
      <c r="AB8" s="297"/>
      <c r="AC8" s="297"/>
      <c r="AD8" s="297"/>
      <c r="AE8" s="297"/>
      <c r="AF8" s="297"/>
      <c r="AG8" s="299" t="s">
        <v>281</v>
      </c>
      <c r="AH8" s="299" t="s">
        <v>282</v>
      </c>
      <c r="AI8" s="175">
        <v>3</v>
      </c>
      <c r="AJ8" s="175">
        <v>3</v>
      </c>
      <c r="AK8" s="240">
        <v>0.5</v>
      </c>
      <c r="AL8" s="240">
        <v>0.5</v>
      </c>
      <c r="AM8" s="299">
        <v>0</v>
      </c>
      <c r="AN8" s="299">
        <v>0</v>
      </c>
      <c r="AO8" s="299">
        <v>15</v>
      </c>
      <c r="AP8" s="299">
        <v>0</v>
      </c>
      <c r="AQ8" s="299">
        <v>0</v>
      </c>
      <c r="AR8" s="299">
        <v>0</v>
      </c>
      <c r="AS8" s="299">
        <v>0</v>
      </c>
      <c r="AT8" s="299">
        <v>0</v>
      </c>
      <c r="AU8" s="299">
        <v>0</v>
      </c>
      <c r="AV8" s="299">
        <v>0</v>
      </c>
      <c r="AW8" s="297"/>
      <c r="AX8" s="299" t="s">
        <v>405</v>
      </c>
      <c r="AY8" s="299"/>
      <c r="AZ8" s="299" t="s">
        <v>405</v>
      </c>
      <c r="BA8" s="298" t="s">
        <v>429</v>
      </c>
      <c r="BB8" s="297"/>
      <c r="BC8" s="299"/>
      <c r="BD8" s="299" t="s">
        <v>406</v>
      </c>
      <c r="BE8" s="298"/>
      <c r="BF8" t="s">
        <v>221</v>
      </c>
      <c r="BG8"/>
    </row>
    <row r="9" spans="1:59" s="97" customFormat="1" x14ac:dyDescent="0.15">
      <c r="A9" s="148">
        <v>312</v>
      </c>
      <c r="B9" s="308">
        <v>42983</v>
      </c>
      <c r="C9" s="296" t="s">
        <v>278</v>
      </c>
      <c r="D9" s="297" t="s">
        <v>279</v>
      </c>
      <c r="E9" s="295">
        <v>42736</v>
      </c>
      <c r="F9" s="297" t="s">
        <v>222</v>
      </c>
      <c r="G9" s="297" t="s">
        <v>421</v>
      </c>
      <c r="H9" s="297">
        <v>61.14</v>
      </c>
      <c r="I9" s="174" t="s">
        <v>402</v>
      </c>
      <c r="J9" s="170">
        <v>3000</v>
      </c>
      <c r="K9" s="170">
        <v>6000</v>
      </c>
      <c r="L9" s="170">
        <v>9000</v>
      </c>
      <c r="M9" s="170">
        <v>15000</v>
      </c>
      <c r="N9" s="170"/>
      <c r="O9" s="297">
        <v>1.94</v>
      </c>
      <c r="P9" s="297">
        <v>1.7170000000000001</v>
      </c>
      <c r="Q9" s="297">
        <v>1.4419999999999999</v>
      </c>
      <c r="R9" s="297">
        <v>1.2969999999999999</v>
      </c>
      <c r="S9" s="297">
        <v>1.258</v>
      </c>
      <c r="T9" s="297"/>
      <c r="U9" s="297">
        <v>1.79</v>
      </c>
      <c r="V9" s="297">
        <v>1.5980000000000001</v>
      </c>
      <c r="W9" s="297">
        <v>1.3640000000000001</v>
      </c>
      <c r="X9" s="297">
        <v>1.2410000000000001</v>
      </c>
      <c r="Y9" s="297">
        <v>1.2090000000000001</v>
      </c>
      <c r="Z9" s="297"/>
      <c r="AA9" s="297"/>
      <c r="AB9" s="297"/>
      <c r="AC9" s="297"/>
      <c r="AD9" s="297"/>
      <c r="AE9" s="297"/>
      <c r="AF9" s="297"/>
      <c r="AG9" s="299" t="s">
        <v>281</v>
      </c>
      <c r="AH9" s="299" t="s">
        <v>282</v>
      </c>
      <c r="AI9" s="175">
        <v>3</v>
      </c>
      <c r="AJ9" s="175">
        <v>3</v>
      </c>
      <c r="AK9" s="240">
        <v>0.5</v>
      </c>
      <c r="AL9" s="240">
        <v>0.5</v>
      </c>
      <c r="AM9" s="299">
        <v>0</v>
      </c>
      <c r="AN9" s="299">
        <v>0</v>
      </c>
      <c r="AO9" s="299">
        <v>0</v>
      </c>
      <c r="AP9" s="299">
        <v>0</v>
      </c>
      <c r="AQ9" s="299">
        <v>0</v>
      </c>
      <c r="AR9" s="299">
        <v>0</v>
      </c>
      <c r="AS9" s="299">
        <v>0</v>
      </c>
      <c r="AT9" s="299">
        <v>0</v>
      </c>
      <c r="AU9" s="299">
        <v>0</v>
      </c>
      <c r="AV9" s="299">
        <v>0</v>
      </c>
      <c r="AW9" s="297"/>
      <c r="AX9" s="299" t="s">
        <v>405</v>
      </c>
      <c r="AY9" s="299"/>
      <c r="AZ9" s="299" t="s">
        <v>405</v>
      </c>
      <c r="BA9" s="298" t="s">
        <v>432</v>
      </c>
      <c r="BB9" s="297" t="s">
        <v>433</v>
      </c>
      <c r="BC9" s="299">
        <v>50</v>
      </c>
      <c r="BD9" s="299" t="s">
        <v>422</v>
      </c>
      <c r="BE9" s="298"/>
      <c r="BF9" t="s">
        <v>223</v>
      </c>
      <c r="BG9"/>
    </row>
    <row r="10" spans="1:59" s="97" customFormat="1" x14ac:dyDescent="0.15">
      <c r="A10" s="148">
        <v>567</v>
      </c>
      <c r="B10" s="308">
        <v>42983</v>
      </c>
      <c r="C10" s="296" t="s">
        <v>278</v>
      </c>
      <c r="D10" s="297" t="s">
        <v>279</v>
      </c>
      <c r="E10" s="295">
        <v>42917</v>
      </c>
      <c r="F10" s="298" t="s">
        <v>224</v>
      </c>
      <c r="G10" s="297" t="s">
        <v>355</v>
      </c>
      <c r="H10" s="297">
        <v>69.53</v>
      </c>
      <c r="I10" s="174" t="s">
        <v>402</v>
      </c>
      <c r="J10" s="176">
        <v>6000</v>
      </c>
      <c r="K10" s="176">
        <v>9000</v>
      </c>
      <c r="L10" s="176">
        <v>9000</v>
      </c>
      <c r="M10" s="176">
        <v>9000</v>
      </c>
      <c r="N10" s="176"/>
      <c r="O10" s="297">
        <v>2.2149999999999999</v>
      </c>
      <c r="P10" s="297">
        <v>1.804</v>
      </c>
      <c r="Q10">
        <v>0</v>
      </c>
      <c r="R10" s="297">
        <v>0</v>
      </c>
      <c r="S10" s="297">
        <v>1.2989999999999999</v>
      </c>
      <c r="T10" s="297"/>
      <c r="U10" s="297">
        <v>2.0110000000000001</v>
      </c>
      <c r="V10" s="297">
        <v>1.5840000000000001</v>
      </c>
      <c r="W10">
        <v>0</v>
      </c>
      <c r="X10" s="297">
        <v>0</v>
      </c>
      <c r="Y10" s="297">
        <v>1.224</v>
      </c>
      <c r="Z10" s="297"/>
      <c r="AA10" s="297"/>
      <c r="AB10" s="297"/>
      <c r="AC10" s="297"/>
      <c r="AD10" s="297"/>
      <c r="AE10" s="297"/>
      <c r="AF10" s="297"/>
      <c r="AG10" s="299" t="s">
        <v>281</v>
      </c>
      <c r="AH10" s="299" t="s">
        <v>282</v>
      </c>
      <c r="AI10" s="175">
        <v>3</v>
      </c>
      <c r="AJ10" s="175">
        <v>3</v>
      </c>
      <c r="AK10" s="240">
        <v>0.5</v>
      </c>
      <c r="AL10" s="240">
        <v>0.5</v>
      </c>
      <c r="AM10" s="299">
        <v>0</v>
      </c>
      <c r="AN10" s="299">
        <v>0</v>
      </c>
      <c r="AO10" s="299">
        <v>0</v>
      </c>
      <c r="AP10" s="299">
        <v>13</v>
      </c>
      <c r="AQ10" s="299">
        <v>0</v>
      </c>
      <c r="AR10" s="299">
        <v>0</v>
      </c>
      <c r="AS10" s="299">
        <v>0</v>
      </c>
      <c r="AT10" s="299">
        <v>0</v>
      </c>
      <c r="AU10" s="299">
        <v>0</v>
      </c>
      <c r="AV10" s="299">
        <v>0</v>
      </c>
      <c r="AW10" s="297"/>
      <c r="AX10" s="299" t="s">
        <v>405</v>
      </c>
      <c r="AY10" s="299">
        <v>12</v>
      </c>
      <c r="AZ10" s="299" t="s">
        <v>405</v>
      </c>
      <c r="BA10" s="298"/>
      <c r="BB10" s="298"/>
      <c r="BC10" s="299"/>
      <c r="BD10" s="299" t="s">
        <v>406</v>
      </c>
      <c r="BE10" s="298"/>
      <c r="BF10" t="s">
        <v>225</v>
      </c>
      <c r="BG10"/>
    </row>
    <row r="11" spans="1:59" s="97" customFormat="1" x14ac:dyDescent="0.15">
      <c r="A11" s="148">
        <v>233</v>
      </c>
      <c r="B11" s="308">
        <v>42983</v>
      </c>
      <c r="C11" s="296" t="s">
        <v>278</v>
      </c>
      <c r="D11" s="297" t="s">
        <v>279</v>
      </c>
      <c r="E11" s="309" t="s">
        <v>358</v>
      </c>
      <c r="F11" s="298" t="s">
        <v>226</v>
      </c>
      <c r="G11" s="297" t="s">
        <v>360</v>
      </c>
      <c r="H11" s="297">
        <v>70</v>
      </c>
      <c r="I11" s="174" t="s">
        <v>402</v>
      </c>
      <c r="J11" s="176">
        <v>6000</v>
      </c>
      <c r="K11" s="176">
        <v>9000</v>
      </c>
      <c r="L11" s="176">
        <v>9000</v>
      </c>
      <c r="M11" s="176">
        <v>9000</v>
      </c>
      <c r="N11" s="170"/>
      <c r="O11" s="297">
        <v>1.9810000000000001</v>
      </c>
      <c r="P11" s="297">
        <v>1.542</v>
      </c>
      <c r="Q11">
        <v>0</v>
      </c>
      <c r="R11" s="297">
        <v>0</v>
      </c>
      <c r="S11" s="297">
        <v>1.3680000000000001</v>
      </c>
      <c r="T11" s="297"/>
      <c r="U11" s="297">
        <v>1.8680000000000001</v>
      </c>
      <c r="V11" s="297">
        <v>1.498</v>
      </c>
      <c r="W11">
        <v>0</v>
      </c>
      <c r="X11" s="297">
        <v>0</v>
      </c>
      <c r="Y11" s="297">
        <v>1.347</v>
      </c>
      <c r="Z11" s="297"/>
      <c r="AA11" s="297"/>
      <c r="AB11" s="297"/>
      <c r="AC11" s="297"/>
      <c r="AD11" s="297"/>
      <c r="AE11" s="297"/>
      <c r="AF11" s="297"/>
      <c r="AG11" s="299" t="s">
        <v>281</v>
      </c>
      <c r="AH11" s="299" t="s">
        <v>282</v>
      </c>
      <c r="AI11" s="175">
        <v>3</v>
      </c>
      <c r="AJ11" s="175">
        <v>3</v>
      </c>
      <c r="AK11" s="240">
        <v>0.5</v>
      </c>
      <c r="AL11" s="240">
        <v>0.5</v>
      </c>
      <c r="AM11" s="299">
        <v>0</v>
      </c>
      <c r="AN11" s="299">
        <v>0</v>
      </c>
      <c r="AO11" s="299">
        <v>10</v>
      </c>
      <c r="AP11" s="299">
        <v>0</v>
      </c>
      <c r="AQ11" s="299">
        <v>0</v>
      </c>
      <c r="AR11" s="299">
        <v>0</v>
      </c>
      <c r="AS11" s="299">
        <v>0</v>
      </c>
      <c r="AT11" s="299">
        <v>0</v>
      </c>
      <c r="AU11" s="299">
        <v>0</v>
      </c>
      <c r="AV11" s="299">
        <v>0</v>
      </c>
      <c r="AW11" s="299"/>
      <c r="AX11" s="299" t="s">
        <v>405</v>
      </c>
      <c r="AY11" s="299"/>
      <c r="AZ11" s="299" t="s">
        <v>405</v>
      </c>
      <c r="BA11" s="298"/>
      <c r="BB11" s="297"/>
      <c r="BC11" s="299"/>
      <c r="BD11" s="299" t="s">
        <v>422</v>
      </c>
      <c r="BE11" s="298"/>
      <c r="BF11" t="s">
        <v>361</v>
      </c>
      <c r="BG11"/>
    </row>
    <row r="12" spans="1:59" s="97" customFormat="1" x14ac:dyDescent="0.15">
      <c r="A12" s="148">
        <v>778</v>
      </c>
      <c r="B12" s="308">
        <v>42983</v>
      </c>
      <c r="C12" s="296" t="s">
        <v>278</v>
      </c>
      <c r="D12" s="297" t="s">
        <v>279</v>
      </c>
      <c r="E12" s="309">
        <v>42917</v>
      </c>
      <c r="F12" s="298" t="s">
        <v>227</v>
      </c>
      <c r="G12" s="297" t="s">
        <v>363</v>
      </c>
      <c r="H12" s="297">
        <v>70.28</v>
      </c>
      <c r="I12" s="174" t="s">
        <v>402</v>
      </c>
      <c r="J12" s="170">
        <v>3000</v>
      </c>
      <c r="K12" s="170">
        <v>6000</v>
      </c>
      <c r="L12" s="170">
        <v>9000</v>
      </c>
      <c r="M12" s="170">
        <v>15000</v>
      </c>
      <c r="N12" s="170"/>
      <c r="O12" s="297">
        <v>2.2000000000000002</v>
      </c>
      <c r="P12" s="297">
        <v>1.96</v>
      </c>
      <c r="Q12" s="297">
        <v>1.68</v>
      </c>
      <c r="R12" s="297">
        <v>1.53</v>
      </c>
      <c r="S12" s="297">
        <v>1.48</v>
      </c>
      <c r="T12" s="297"/>
      <c r="U12" s="297">
        <v>2.08</v>
      </c>
      <c r="V12" s="297">
        <v>1.88</v>
      </c>
      <c r="W12" s="297">
        <v>1.63</v>
      </c>
      <c r="X12" s="297">
        <v>1.5</v>
      </c>
      <c r="Y12" s="297">
        <v>1.47</v>
      </c>
      <c r="Z12" s="297"/>
      <c r="AA12" s="297">
        <v>2.16</v>
      </c>
      <c r="AB12" s="297">
        <v>1.94</v>
      </c>
      <c r="AC12" s="297">
        <v>1.66</v>
      </c>
      <c r="AD12" s="297">
        <v>1.52</v>
      </c>
      <c r="AE12" s="297">
        <v>1.48</v>
      </c>
      <c r="AF12" s="297"/>
      <c r="AG12" s="299" t="s">
        <v>281</v>
      </c>
      <c r="AH12" s="299" t="s">
        <v>282</v>
      </c>
      <c r="AI12" s="175">
        <v>3</v>
      </c>
      <c r="AJ12" s="175">
        <v>3</v>
      </c>
      <c r="AK12" s="240">
        <v>0.5</v>
      </c>
      <c r="AL12" s="240">
        <v>0.5</v>
      </c>
      <c r="AM12" s="299">
        <v>0</v>
      </c>
      <c r="AN12" s="299">
        <v>0</v>
      </c>
      <c r="AO12" s="299">
        <v>0</v>
      </c>
      <c r="AP12" s="299">
        <v>20</v>
      </c>
      <c r="AQ12" s="299">
        <v>0</v>
      </c>
      <c r="AR12" s="299">
        <v>0</v>
      </c>
      <c r="AS12" s="299">
        <v>0</v>
      </c>
      <c r="AT12" s="299">
        <v>0</v>
      </c>
      <c r="AU12" s="299">
        <v>0</v>
      </c>
      <c r="AV12" s="299">
        <v>0</v>
      </c>
      <c r="AW12" s="299">
        <v>24</v>
      </c>
      <c r="AX12" s="299" t="s">
        <v>405</v>
      </c>
      <c r="AY12" s="299"/>
      <c r="AZ12" s="299" t="s">
        <v>405</v>
      </c>
      <c r="BA12" s="298" t="s">
        <v>364</v>
      </c>
      <c r="BB12" s="297" t="s">
        <v>365</v>
      </c>
      <c r="BC12" s="299">
        <v>25</v>
      </c>
      <c r="BD12" s="299" t="s">
        <v>422</v>
      </c>
      <c r="BE12" s="298"/>
      <c r="BF12" t="s">
        <v>430</v>
      </c>
      <c r="BG12"/>
    </row>
    <row r="13" spans="1:59" s="184" customFormat="1" x14ac:dyDescent="0.15">
      <c r="A13" s="148">
        <v>77</v>
      </c>
      <c r="B13" s="308">
        <v>42983</v>
      </c>
      <c r="C13" s="296" t="s">
        <v>278</v>
      </c>
      <c r="D13" s="297" t="s">
        <v>228</v>
      </c>
      <c r="E13" s="295">
        <v>42917</v>
      </c>
      <c r="F13" s="298" t="s">
        <v>280</v>
      </c>
      <c r="G13" s="297" t="s">
        <v>401</v>
      </c>
      <c r="H13" s="297">
        <v>78.069999999999993</v>
      </c>
      <c r="I13" s="182" t="s">
        <v>402</v>
      </c>
      <c r="J13" s="178">
        <v>3000</v>
      </c>
      <c r="K13" s="178">
        <v>6000</v>
      </c>
      <c r="L13" s="178">
        <v>9000</v>
      </c>
      <c r="M13" s="178">
        <v>15000</v>
      </c>
      <c r="N13" s="178"/>
      <c r="O13" s="297">
        <v>2.2669999999999999</v>
      </c>
      <c r="P13" s="297">
        <v>1.9850000000000001</v>
      </c>
      <c r="Q13" s="297">
        <v>1.6</v>
      </c>
      <c r="R13" s="297">
        <v>1.3959999999999999</v>
      </c>
      <c r="S13" s="297">
        <v>1.3640000000000001</v>
      </c>
      <c r="T13" s="297"/>
      <c r="U13" s="297">
        <v>2.1520000000000001</v>
      </c>
      <c r="V13" s="297">
        <v>1.877</v>
      </c>
      <c r="W13" s="297">
        <v>1.544</v>
      </c>
      <c r="X13" s="297">
        <v>1.367</v>
      </c>
      <c r="Y13" s="297">
        <v>1.3220000000000001</v>
      </c>
      <c r="Z13" s="297"/>
      <c r="AA13" s="297"/>
      <c r="AB13" s="297"/>
      <c r="AC13" s="297"/>
      <c r="AD13" s="297"/>
      <c r="AE13" s="297"/>
      <c r="AF13" s="297"/>
      <c r="AG13" s="299" t="s">
        <v>281</v>
      </c>
      <c r="AH13" s="299" t="s">
        <v>282</v>
      </c>
      <c r="AI13" s="183">
        <v>3</v>
      </c>
      <c r="AJ13" s="183">
        <v>3</v>
      </c>
      <c r="AK13" s="241">
        <v>0.5</v>
      </c>
      <c r="AL13" s="241">
        <v>0.5</v>
      </c>
      <c r="AM13" s="299">
        <v>0</v>
      </c>
      <c r="AN13" s="299">
        <v>0</v>
      </c>
      <c r="AO13" s="299">
        <v>0</v>
      </c>
      <c r="AP13" s="299">
        <v>15</v>
      </c>
      <c r="AQ13" s="299">
        <v>0</v>
      </c>
      <c r="AR13" s="299">
        <v>0</v>
      </c>
      <c r="AS13" s="299">
        <v>0</v>
      </c>
      <c r="AT13" s="299">
        <v>0</v>
      </c>
      <c r="AU13" s="299">
        <v>0</v>
      </c>
      <c r="AV13" s="299">
        <v>0</v>
      </c>
      <c r="AW13" s="299"/>
      <c r="AX13" s="299" t="s">
        <v>405</v>
      </c>
      <c r="AY13" s="299">
        <v>12</v>
      </c>
      <c r="AZ13" s="299" t="s">
        <v>405</v>
      </c>
      <c r="BA13" s="298" t="s">
        <v>283</v>
      </c>
      <c r="BB13" s="297" t="s">
        <v>433</v>
      </c>
      <c r="BC13" s="299">
        <v>50</v>
      </c>
      <c r="BD13" s="299" t="s">
        <v>406</v>
      </c>
      <c r="BE13" s="298"/>
      <c r="BF13" t="s">
        <v>229</v>
      </c>
      <c r="BG13"/>
    </row>
    <row r="14" spans="1:59" s="184" customFormat="1" x14ac:dyDescent="0.15">
      <c r="A14" s="148">
        <v>260</v>
      </c>
      <c r="B14" s="308">
        <v>42983</v>
      </c>
      <c r="C14" s="296" t="s">
        <v>278</v>
      </c>
      <c r="D14" s="297" t="s">
        <v>228</v>
      </c>
      <c r="E14" s="309" t="s">
        <v>285</v>
      </c>
      <c r="F14" s="298" t="s">
        <v>286</v>
      </c>
      <c r="G14" s="297" t="s">
        <v>410</v>
      </c>
      <c r="H14" s="297">
        <v>65.97</v>
      </c>
      <c r="I14" s="182" t="s">
        <v>402</v>
      </c>
      <c r="J14" s="185">
        <v>3000</v>
      </c>
      <c r="K14" s="185">
        <v>6000</v>
      </c>
      <c r="L14" s="185">
        <v>6000</v>
      </c>
      <c r="M14" s="185">
        <v>6000</v>
      </c>
      <c r="N14" s="178"/>
      <c r="O14" s="297">
        <v>2.1</v>
      </c>
      <c r="P14" s="297">
        <v>1.58</v>
      </c>
      <c r="Q14">
        <v>0</v>
      </c>
      <c r="R14" s="297">
        <v>0</v>
      </c>
      <c r="S14" s="297">
        <v>1.58</v>
      </c>
      <c r="T14" s="297"/>
      <c r="U14" s="297">
        <v>2.0499999999999998</v>
      </c>
      <c r="V14" s="297">
        <v>1.49</v>
      </c>
      <c r="W14">
        <v>0</v>
      </c>
      <c r="X14" s="297">
        <v>0</v>
      </c>
      <c r="Y14" s="297">
        <v>1.49</v>
      </c>
      <c r="Z14" s="297"/>
      <c r="AA14" s="297"/>
      <c r="AB14" s="297"/>
      <c r="AC14" s="297"/>
      <c r="AD14" s="297"/>
      <c r="AE14" s="297"/>
      <c r="AF14" s="297"/>
      <c r="AG14" s="299" t="s">
        <v>281</v>
      </c>
      <c r="AH14" s="299" t="s">
        <v>282</v>
      </c>
      <c r="AI14" s="183">
        <v>3</v>
      </c>
      <c r="AJ14" s="183">
        <v>3</v>
      </c>
      <c r="AK14" s="241">
        <v>0.5</v>
      </c>
      <c r="AL14" s="241">
        <v>0.5</v>
      </c>
      <c r="AM14" s="299">
        <v>0</v>
      </c>
      <c r="AN14" s="299">
        <v>0</v>
      </c>
      <c r="AO14" s="299">
        <v>0</v>
      </c>
      <c r="AP14" s="299">
        <v>25</v>
      </c>
      <c r="AQ14" s="299">
        <v>0</v>
      </c>
      <c r="AR14" s="299">
        <v>0</v>
      </c>
      <c r="AS14" s="299">
        <v>0</v>
      </c>
      <c r="AT14" s="299">
        <v>0</v>
      </c>
      <c r="AU14" s="299">
        <v>0</v>
      </c>
      <c r="AV14" s="299">
        <v>0</v>
      </c>
      <c r="AW14" s="297"/>
      <c r="AX14" s="299" t="s">
        <v>405</v>
      </c>
      <c r="AY14" s="299">
        <v>24</v>
      </c>
      <c r="AZ14" s="299" t="s">
        <v>405</v>
      </c>
      <c r="BA14" s="298"/>
      <c r="BB14" s="297"/>
      <c r="BC14" s="299"/>
      <c r="BD14" s="299" t="s">
        <v>406</v>
      </c>
      <c r="BE14" s="298"/>
      <c r="BF14" t="s">
        <v>287</v>
      </c>
      <c r="BG14"/>
    </row>
    <row r="15" spans="1:59" s="184" customFormat="1" x14ac:dyDescent="0.15">
      <c r="A15" s="148">
        <v>274</v>
      </c>
      <c r="B15" s="308">
        <v>42983</v>
      </c>
      <c r="C15" s="296" t="s">
        <v>278</v>
      </c>
      <c r="D15" s="297" t="s">
        <v>228</v>
      </c>
      <c r="E15" s="295">
        <v>42917</v>
      </c>
      <c r="F15" s="298" t="s">
        <v>288</v>
      </c>
      <c r="G15" s="297" t="s">
        <v>414</v>
      </c>
      <c r="H15" s="297">
        <v>78.099999999999994</v>
      </c>
      <c r="I15" s="182" t="s">
        <v>402</v>
      </c>
      <c r="J15" s="178">
        <v>3000</v>
      </c>
      <c r="K15" s="178">
        <v>6000</v>
      </c>
      <c r="L15" s="178">
        <v>9000</v>
      </c>
      <c r="M15" s="178">
        <v>15000</v>
      </c>
      <c r="N15" s="178"/>
      <c r="O15" s="297">
        <v>2.65</v>
      </c>
      <c r="P15" s="297">
        <v>2.25</v>
      </c>
      <c r="Q15" s="297">
        <v>1.85</v>
      </c>
      <c r="R15" s="297">
        <v>1.65</v>
      </c>
      <c r="S15" s="297">
        <v>1.55</v>
      </c>
      <c r="T15" s="297"/>
      <c r="U15" s="297">
        <v>2.5499999999999998</v>
      </c>
      <c r="V15" s="297">
        <v>2.2000000000000002</v>
      </c>
      <c r="W15" s="297">
        <v>1.8</v>
      </c>
      <c r="X15" s="297">
        <v>1.65</v>
      </c>
      <c r="Y15" s="297">
        <v>1.6</v>
      </c>
      <c r="Z15" s="297"/>
      <c r="AA15" s="297"/>
      <c r="AB15" s="297"/>
      <c r="AC15" s="297"/>
      <c r="AD15" s="297"/>
      <c r="AE15" s="297"/>
      <c r="AF15" s="297"/>
      <c r="AG15" s="299" t="s">
        <v>281</v>
      </c>
      <c r="AH15" s="299" t="s">
        <v>282</v>
      </c>
      <c r="AI15" s="183">
        <v>3</v>
      </c>
      <c r="AJ15" s="183">
        <v>3</v>
      </c>
      <c r="AK15" s="241">
        <v>0.5</v>
      </c>
      <c r="AL15" s="241">
        <v>0.5</v>
      </c>
      <c r="AM15" s="299">
        <v>0</v>
      </c>
      <c r="AN15" s="299">
        <v>0</v>
      </c>
      <c r="AO15" s="299">
        <v>14</v>
      </c>
      <c r="AP15" s="299">
        <v>0</v>
      </c>
      <c r="AQ15" s="299">
        <v>0</v>
      </c>
      <c r="AR15" s="299">
        <v>0</v>
      </c>
      <c r="AS15" s="299">
        <v>0</v>
      </c>
      <c r="AT15" s="299">
        <v>0</v>
      </c>
      <c r="AU15" s="299">
        <v>0</v>
      </c>
      <c r="AV15" s="299">
        <v>0</v>
      </c>
      <c r="AW15" s="297"/>
      <c r="AX15" s="299" t="s">
        <v>405</v>
      </c>
      <c r="AY15" s="299"/>
      <c r="AZ15" s="299" t="s">
        <v>405</v>
      </c>
      <c r="BA15" s="298"/>
      <c r="BB15" s="297"/>
      <c r="BC15" s="299"/>
      <c r="BD15" s="299" t="s">
        <v>406</v>
      </c>
      <c r="BE15" s="298" t="s">
        <v>415</v>
      </c>
      <c r="BF15" t="s">
        <v>374</v>
      </c>
      <c r="BG15"/>
    </row>
    <row r="16" spans="1:59" s="184" customFormat="1" x14ac:dyDescent="0.15">
      <c r="A16" s="148">
        <v>326</v>
      </c>
      <c r="B16" s="308">
        <v>42983</v>
      </c>
      <c r="C16" s="296" t="s">
        <v>278</v>
      </c>
      <c r="D16" s="297" t="s">
        <v>228</v>
      </c>
      <c r="E16" s="295">
        <v>42767</v>
      </c>
      <c r="F16" s="298" t="s">
        <v>600</v>
      </c>
      <c r="G16" s="297" t="s">
        <v>421</v>
      </c>
      <c r="H16" s="297">
        <v>70</v>
      </c>
      <c r="I16" s="182" t="s">
        <v>402</v>
      </c>
      <c r="J16" s="178">
        <v>3000</v>
      </c>
      <c r="K16" s="178">
        <v>9000</v>
      </c>
      <c r="L16" s="178">
        <v>12000</v>
      </c>
      <c r="M16" s="178">
        <v>18000</v>
      </c>
      <c r="N16" s="178"/>
      <c r="O16" s="297">
        <v>3.36</v>
      </c>
      <c r="P16" s="297">
        <v>2.92</v>
      </c>
      <c r="Q16" s="297">
        <v>2.2000000000000002</v>
      </c>
      <c r="R16" s="297">
        <v>2.09</v>
      </c>
      <c r="S16" s="297">
        <v>1.88</v>
      </c>
      <c r="T16" s="297"/>
      <c r="U16" s="297">
        <v>2.69</v>
      </c>
      <c r="V16" s="297">
        <v>2.2999999999999998</v>
      </c>
      <c r="W16" s="297">
        <v>1.95</v>
      </c>
      <c r="X16" s="297">
        <v>1.64</v>
      </c>
      <c r="Y16" s="297">
        <v>1.61</v>
      </c>
      <c r="Z16" s="297"/>
      <c r="AA16" s="297"/>
      <c r="AB16" s="297"/>
      <c r="AC16" s="297"/>
      <c r="AD16" s="297"/>
      <c r="AE16" s="297"/>
      <c r="AF16" s="297"/>
      <c r="AG16" s="299" t="s">
        <v>281</v>
      </c>
      <c r="AH16" s="299" t="s">
        <v>282</v>
      </c>
      <c r="AI16" s="183">
        <v>3</v>
      </c>
      <c r="AJ16" s="183">
        <v>3</v>
      </c>
      <c r="AK16" s="241">
        <v>0.5</v>
      </c>
      <c r="AL16" s="241">
        <v>0.5</v>
      </c>
      <c r="AM16" s="299">
        <v>0</v>
      </c>
      <c r="AN16" s="299">
        <v>0</v>
      </c>
      <c r="AO16" s="299">
        <v>0</v>
      </c>
      <c r="AP16" s="299">
        <v>16</v>
      </c>
      <c r="AQ16" s="299">
        <v>0</v>
      </c>
      <c r="AR16" s="299">
        <v>0</v>
      </c>
      <c r="AS16" s="299">
        <v>0</v>
      </c>
      <c r="AT16" s="299">
        <v>0</v>
      </c>
      <c r="AU16" s="299">
        <v>0</v>
      </c>
      <c r="AV16" s="299">
        <v>0</v>
      </c>
      <c r="AW16" s="299">
        <v>12</v>
      </c>
      <c r="AX16" s="299" t="s">
        <v>403</v>
      </c>
      <c r="AY16" s="299"/>
      <c r="AZ16" s="299" t="s">
        <v>405</v>
      </c>
      <c r="BA16" s="298"/>
      <c r="BB16" s="297"/>
      <c r="BC16" s="299"/>
      <c r="BD16" s="299" t="s">
        <v>406</v>
      </c>
      <c r="BE16" s="298"/>
      <c r="BF16" t="s">
        <v>289</v>
      </c>
      <c r="BG16"/>
    </row>
    <row r="17" spans="1:59" s="184" customFormat="1" x14ac:dyDescent="0.15">
      <c r="A17" s="148">
        <v>884</v>
      </c>
      <c r="B17" s="308">
        <v>42983</v>
      </c>
      <c r="C17" s="296" t="s">
        <v>278</v>
      </c>
      <c r="D17" s="297" t="s">
        <v>228</v>
      </c>
      <c r="E17" s="295">
        <v>42711</v>
      </c>
      <c r="F17" s="298" t="s">
        <v>290</v>
      </c>
      <c r="G17" s="297" t="s">
        <v>421</v>
      </c>
      <c r="H17" s="297">
        <v>31.59</v>
      </c>
      <c r="I17" s="182" t="s">
        <v>402</v>
      </c>
      <c r="J17" s="185">
        <v>3500</v>
      </c>
      <c r="K17" s="185">
        <v>3500</v>
      </c>
      <c r="L17" s="185">
        <v>3500</v>
      </c>
      <c r="M17" s="185">
        <v>3500</v>
      </c>
      <c r="N17" s="178"/>
      <c r="O17" s="297">
        <v>2.13</v>
      </c>
      <c r="P17">
        <v>0</v>
      </c>
      <c r="Q17" s="297">
        <v>0</v>
      </c>
      <c r="R17" s="297">
        <v>0</v>
      </c>
      <c r="S17" s="297">
        <v>1.72</v>
      </c>
      <c r="T17" s="297"/>
      <c r="U17" s="297">
        <v>2</v>
      </c>
      <c r="V17">
        <v>0</v>
      </c>
      <c r="W17" s="297">
        <v>0</v>
      </c>
      <c r="X17" s="297">
        <v>0</v>
      </c>
      <c r="Y17" s="297">
        <v>1.67</v>
      </c>
      <c r="Z17" s="297"/>
      <c r="AA17" s="297"/>
      <c r="AB17" s="297"/>
      <c r="AC17" s="297"/>
      <c r="AD17" s="297"/>
      <c r="AE17" s="297"/>
      <c r="AF17" s="297"/>
      <c r="AG17" s="299" t="s">
        <v>281</v>
      </c>
      <c r="AH17" s="299" t="s">
        <v>282</v>
      </c>
      <c r="AI17" s="183">
        <v>3</v>
      </c>
      <c r="AJ17" s="183">
        <v>3</v>
      </c>
      <c r="AK17" s="241">
        <v>0.5</v>
      </c>
      <c r="AL17" s="241">
        <v>0.5</v>
      </c>
      <c r="AM17" s="299">
        <v>0</v>
      </c>
      <c r="AN17" s="299">
        <v>0</v>
      </c>
      <c r="AO17" s="299">
        <v>0</v>
      </c>
      <c r="AP17" s="299">
        <v>0</v>
      </c>
      <c r="AQ17" s="299">
        <v>0</v>
      </c>
      <c r="AR17" s="299">
        <v>20</v>
      </c>
      <c r="AS17" s="299">
        <v>0</v>
      </c>
      <c r="AT17" s="299">
        <v>0</v>
      </c>
      <c r="AU17" s="299">
        <v>0</v>
      </c>
      <c r="AV17" s="299">
        <v>0</v>
      </c>
      <c r="AW17" s="297"/>
      <c r="AX17" s="299" t="s">
        <v>405</v>
      </c>
      <c r="AY17" s="299"/>
      <c r="AZ17" s="299" t="s">
        <v>405</v>
      </c>
      <c r="BA17" s="298"/>
      <c r="BB17" s="297"/>
      <c r="BC17" s="299"/>
      <c r="BD17" s="299" t="s">
        <v>422</v>
      </c>
      <c r="BE17" s="298"/>
      <c r="BF17" t="s">
        <v>216</v>
      </c>
      <c r="BG17"/>
    </row>
    <row r="18" spans="1:59" s="184" customFormat="1" x14ac:dyDescent="0.15">
      <c r="A18" s="148">
        <v>158</v>
      </c>
      <c r="B18" s="308">
        <v>42983</v>
      </c>
      <c r="C18" s="296" t="s">
        <v>278</v>
      </c>
      <c r="D18" s="297" t="s">
        <v>228</v>
      </c>
      <c r="E18" s="295">
        <v>42929</v>
      </c>
      <c r="F18" s="298" t="s">
        <v>217</v>
      </c>
      <c r="G18" s="297" t="s">
        <v>425</v>
      </c>
      <c r="H18" s="297">
        <v>67.3</v>
      </c>
      <c r="I18" s="182" t="s">
        <v>402</v>
      </c>
      <c r="J18" s="178">
        <v>3000</v>
      </c>
      <c r="K18" s="178">
        <v>6000</v>
      </c>
      <c r="L18" s="178">
        <v>9000</v>
      </c>
      <c r="M18" s="178">
        <v>15000</v>
      </c>
      <c r="N18" s="178"/>
      <c r="O18" s="297">
        <v>2.39</v>
      </c>
      <c r="P18" s="297">
        <v>2.14</v>
      </c>
      <c r="Q18" s="297">
        <v>1.73</v>
      </c>
      <c r="R18" s="297">
        <v>1.48</v>
      </c>
      <c r="S18" s="297">
        <v>1.44</v>
      </c>
      <c r="T18" s="297"/>
      <c r="U18" s="297">
        <v>2.0699999999999998</v>
      </c>
      <c r="V18" s="297">
        <v>1.78</v>
      </c>
      <c r="W18" s="297">
        <v>1.46</v>
      </c>
      <c r="X18" s="297">
        <v>1.32</v>
      </c>
      <c r="Y18" s="297">
        <v>1.28</v>
      </c>
      <c r="Z18" s="297"/>
      <c r="AA18" s="297"/>
      <c r="AB18" s="297"/>
      <c r="AC18" s="297"/>
      <c r="AD18" s="297"/>
      <c r="AE18" s="297"/>
      <c r="AF18" s="297"/>
      <c r="AG18" s="299" t="s">
        <v>281</v>
      </c>
      <c r="AH18" s="299" t="s">
        <v>282</v>
      </c>
      <c r="AI18" s="183">
        <v>3</v>
      </c>
      <c r="AJ18" s="183">
        <v>3</v>
      </c>
      <c r="AK18" s="241">
        <v>0.5</v>
      </c>
      <c r="AL18" s="241">
        <v>0.5</v>
      </c>
      <c r="AM18" s="299">
        <v>0</v>
      </c>
      <c r="AN18" s="299">
        <v>0</v>
      </c>
      <c r="AO18" s="299">
        <v>0</v>
      </c>
      <c r="AP18" s="299">
        <v>20</v>
      </c>
      <c r="AQ18" s="299">
        <v>0</v>
      </c>
      <c r="AR18" s="299">
        <v>0</v>
      </c>
      <c r="AS18" s="299">
        <v>0</v>
      </c>
      <c r="AT18" s="299">
        <v>0</v>
      </c>
      <c r="AU18" s="299">
        <v>0</v>
      </c>
      <c r="AV18" s="299">
        <v>0</v>
      </c>
      <c r="AW18" s="297"/>
      <c r="AX18" s="299" t="s">
        <v>405</v>
      </c>
      <c r="AY18" s="299">
        <v>12</v>
      </c>
      <c r="AZ18" s="299" t="s">
        <v>405</v>
      </c>
      <c r="BA18" s="298" t="s">
        <v>218</v>
      </c>
      <c r="BB18" s="297" t="s">
        <v>433</v>
      </c>
      <c r="BC18" s="299">
        <v>50</v>
      </c>
      <c r="BD18" s="299" t="s">
        <v>406</v>
      </c>
      <c r="BE18" s="298"/>
      <c r="BF18" s="301" t="s">
        <v>230</v>
      </c>
      <c r="BG18"/>
    </row>
    <row r="19" spans="1:59" s="184" customFormat="1" x14ac:dyDescent="0.15">
      <c r="A19" s="148">
        <v>172</v>
      </c>
      <c r="B19" s="308">
        <v>42983</v>
      </c>
      <c r="C19" s="296" t="s">
        <v>278</v>
      </c>
      <c r="D19" s="297" t="s">
        <v>228</v>
      </c>
      <c r="E19" s="295">
        <v>42826</v>
      </c>
      <c r="F19" s="298" t="s">
        <v>220</v>
      </c>
      <c r="G19" s="297" t="s">
        <v>428</v>
      </c>
      <c r="H19" s="297">
        <v>63.74</v>
      </c>
      <c r="I19" s="182" t="s">
        <v>402</v>
      </c>
      <c r="J19" s="178">
        <v>3000</v>
      </c>
      <c r="K19" s="178">
        <v>6000</v>
      </c>
      <c r="L19" s="178">
        <v>9000</v>
      </c>
      <c r="M19" s="178">
        <v>15000</v>
      </c>
      <c r="N19" s="178"/>
      <c r="O19" s="297">
        <v>2.2559999999999998</v>
      </c>
      <c r="P19" s="297">
        <v>1.966</v>
      </c>
      <c r="Q19" s="297">
        <v>1.613</v>
      </c>
      <c r="R19" s="297">
        <v>1.4259999999999999</v>
      </c>
      <c r="S19" s="297">
        <v>1.3779999999999999</v>
      </c>
      <c r="T19" s="297"/>
      <c r="U19" s="297">
        <v>2.1179999999999999</v>
      </c>
      <c r="V19" s="297">
        <v>1.8660000000000001</v>
      </c>
      <c r="W19" s="297">
        <v>1.5620000000000001</v>
      </c>
      <c r="X19" s="297">
        <v>1.401</v>
      </c>
      <c r="Y19" s="297">
        <v>1.359</v>
      </c>
      <c r="Z19" s="297"/>
      <c r="AA19" s="297"/>
      <c r="AB19" s="297"/>
      <c r="AC19" s="297"/>
      <c r="AD19" s="297"/>
      <c r="AE19" s="297"/>
      <c r="AF19" s="297"/>
      <c r="AG19" s="299" t="s">
        <v>281</v>
      </c>
      <c r="AH19" s="299" t="s">
        <v>282</v>
      </c>
      <c r="AI19" s="183">
        <v>3</v>
      </c>
      <c r="AJ19" s="183">
        <v>3</v>
      </c>
      <c r="AK19" s="241">
        <v>0.5</v>
      </c>
      <c r="AL19" s="241">
        <v>0.5</v>
      </c>
      <c r="AM19" s="299">
        <v>0</v>
      </c>
      <c r="AN19" s="299">
        <v>0</v>
      </c>
      <c r="AO19" s="299">
        <v>15</v>
      </c>
      <c r="AP19" s="299">
        <v>0</v>
      </c>
      <c r="AQ19" s="299">
        <v>0</v>
      </c>
      <c r="AR19" s="299">
        <v>0</v>
      </c>
      <c r="AS19" s="299">
        <v>0</v>
      </c>
      <c r="AT19" s="299">
        <v>0</v>
      </c>
      <c r="AU19" s="299">
        <v>0</v>
      </c>
      <c r="AV19" s="299">
        <v>0</v>
      </c>
      <c r="AW19" s="297"/>
      <c r="AX19" s="299" t="s">
        <v>405</v>
      </c>
      <c r="AY19" s="299"/>
      <c r="AZ19" s="299" t="s">
        <v>405</v>
      </c>
      <c r="BA19" s="298" t="s">
        <v>429</v>
      </c>
      <c r="BB19" s="297"/>
      <c r="BC19" s="299"/>
      <c r="BD19" s="299" t="s">
        <v>406</v>
      </c>
      <c r="BE19" s="298"/>
      <c r="BF19" t="s">
        <v>221</v>
      </c>
      <c r="BG19"/>
    </row>
    <row r="20" spans="1:59" s="184" customFormat="1" x14ac:dyDescent="0.15">
      <c r="A20" s="148">
        <v>313</v>
      </c>
      <c r="B20" s="308">
        <v>42983</v>
      </c>
      <c r="C20" s="296" t="s">
        <v>278</v>
      </c>
      <c r="D20" s="297" t="s">
        <v>228</v>
      </c>
      <c r="E20" s="295">
        <v>42736</v>
      </c>
      <c r="F20" s="297" t="s">
        <v>222</v>
      </c>
      <c r="G20" s="297" t="s">
        <v>421</v>
      </c>
      <c r="H20" s="297">
        <v>61.14</v>
      </c>
      <c r="I20" s="182" t="s">
        <v>402</v>
      </c>
      <c r="J20" s="178">
        <v>3000</v>
      </c>
      <c r="K20" s="178">
        <v>6000</v>
      </c>
      <c r="L20" s="178">
        <v>9000</v>
      </c>
      <c r="M20" s="178">
        <v>15000</v>
      </c>
      <c r="N20" s="178"/>
      <c r="O20" s="297">
        <v>1.94</v>
      </c>
      <c r="P20" s="297">
        <v>1.7170000000000001</v>
      </c>
      <c r="Q20" s="297">
        <v>1.4419999999999999</v>
      </c>
      <c r="R20" s="297">
        <v>1.2969999999999999</v>
      </c>
      <c r="S20" s="297">
        <v>1.258</v>
      </c>
      <c r="T20" s="297"/>
      <c r="U20" s="297">
        <v>1.79</v>
      </c>
      <c r="V20" s="297">
        <v>1.5980000000000001</v>
      </c>
      <c r="W20" s="297">
        <v>1.3640000000000001</v>
      </c>
      <c r="X20" s="297">
        <v>1.2410000000000001</v>
      </c>
      <c r="Y20" s="297">
        <v>1.2090000000000001</v>
      </c>
      <c r="Z20" s="297"/>
      <c r="AA20" s="297"/>
      <c r="AB20" s="297"/>
      <c r="AC20" s="297"/>
      <c r="AD20" s="297"/>
      <c r="AE20" s="297"/>
      <c r="AF20" s="297"/>
      <c r="AG20" s="299" t="s">
        <v>281</v>
      </c>
      <c r="AH20" s="299" t="s">
        <v>282</v>
      </c>
      <c r="AI20" s="183">
        <v>3</v>
      </c>
      <c r="AJ20" s="183">
        <v>3</v>
      </c>
      <c r="AK20" s="241">
        <v>0.5</v>
      </c>
      <c r="AL20" s="241">
        <v>0.5</v>
      </c>
      <c r="AM20" s="299">
        <v>0</v>
      </c>
      <c r="AN20" s="299">
        <v>0</v>
      </c>
      <c r="AO20" s="299">
        <v>0</v>
      </c>
      <c r="AP20" s="299">
        <v>0</v>
      </c>
      <c r="AQ20" s="299">
        <v>0</v>
      </c>
      <c r="AR20" s="299">
        <v>0</v>
      </c>
      <c r="AS20" s="299">
        <v>0</v>
      </c>
      <c r="AT20" s="299">
        <v>0</v>
      </c>
      <c r="AU20" s="299">
        <v>0</v>
      </c>
      <c r="AV20" s="299">
        <v>0</v>
      </c>
      <c r="AW20" s="297"/>
      <c r="AX20" s="299" t="s">
        <v>405</v>
      </c>
      <c r="AY20" s="299"/>
      <c r="AZ20" s="299" t="s">
        <v>405</v>
      </c>
      <c r="BA20" s="298" t="s">
        <v>432</v>
      </c>
      <c r="BB20" s="297" t="s">
        <v>433</v>
      </c>
      <c r="BC20" s="299">
        <v>50</v>
      </c>
      <c r="BD20" s="299" t="s">
        <v>422</v>
      </c>
      <c r="BE20" s="298"/>
      <c r="BF20" t="s">
        <v>223</v>
      </c>
      <c r="BG20"/>
    </row>
    <row r="21" spans="1:59" s="184" customFormat="1" x14ac:dyDescent="0.15">
      <c r="A21" s="148">
        <v>568</v>
      </c>
      <c r="B21" s="308">
        <v>42983</v>
      </c>
      <c r="C21" s="296" t="s">
        <v>278</v>
      </c>
      <c r="D21" s="297" t="s">
        <v>228</v>
      </c>
      <c r="E21" s="295">
        <v>42917</v>
      </c>
      <c r="F21" s="298" t="s">
        <v>224</v>
      </c>
      <c r="G21" s="297" t="s">
        <v>355</v>
      </c>
      <c r="H21" s="297">
        <v>69.53</v>
      </c>
      <c r="I21" s="182" t="s">
        <v>402</v>
      </c>
      <c r="J21" s="185">
        <v>6000</v>
      </c>
      <c r="K21" s="185">
        <v>9000</v>
      </c>
      <c r="L21" s="185">
        <v>9000</v>
      </c>
      <c r="M21" s="185">
        <v>9000</v>
      </c>
      <c r="N21" s="185"/>
      <c r="O21" s="297">
        <v>2.2149999999999999</v>
      </c>
      <c r="P21" s="297">
        <v>1.804</v>
      </c>
      <c r="Q21">
        <v>0</v>
      </c>
      <c r="R21" s="297">
        <v>0</v>
      </c>
      <c r="S21" s="297">
        <v>1.2989999999999999</v>
      </c>
      <c r="T21" s="297"/>
      <c r="U21" s="297">
        <v>2.0110000000000001</v>
      </c>
      <c r="V21" s="297">
        <v>1.5840000000000001</v>
      </c>
      <c r="W21">
        <v>0</v>
      </c>
      <c r="X21" s="297">
        <v>0</v>
      </c>
      <c r="Y21" s="297">
        <v>1.224</v>
      </c>
      <c r="Z21" s="297"/>
      <c r="AA21" s="297"/>
      <c r="AB21" s="297"/>
      <c r="AC21" s="297"/>
      <c r="AD21" s="297"/>
      <c r="AE21" s="297"/>
      <c r="AF21" s="297"/>
      <c r="AG21" s="299" t="s">
        <v>281</v>
      </c>
      <c r="AH21" s="299" t="s">
        <v>282</v>
      </c>
      <c r="AI21" s="183">
        <v>3</v>
      </c>
      <c r="AJ21" s="183">
        <v>3</v>
      </c>
      <c r="AK21" s="241">
        <v>0.5</v>
      </c>
      <c r="AL21" s="241">
        <v>0.5</v>
      </c>
      <c r="AM21" s="299">
        <v>0</v>
      </c>
      <c r="AN21" s="299">
        <v>0</v>
      </c>
      <c r="AO21" s="299">
        <v>0</v>
      </c>
      <c r="AP21" s="299">
        <v>13</v>
      </c>
      <c r="AQ21" s="299">
        <v>0</v>
      </c>
      <c r="AR21" s="299">
        <v>0</v>
      </c>
      <c r="AS21" s="299">
        <v>0</v>
      </c>
      <c r="AT21" s="299">
        <v>0</v>
      </c>
      <c r="AU21" s="299">
        <v>0</v>
      </c>
      <c r="AV21" s="299">
        <v>0</v>
      </c>
      <c r="AW21" s="297"/>
      <c r="AX21" s="299" t="s">
        <v>405</v>
      </c>
      <c r="AY21" s="299">
        <v>12</v>
      </c>
      <c r="AZ21" s="299" t="s">
        <v>405</v>
      </c>
      <c r="BA21" s="298"/>
      <c r="BB21" s="298"/>
      <c r="BC21" s="299"/>
      <c r="BD21" s="299" t="s">
        <v>406</v>
      </c>
      <c r="BE21" s="298"/>
      <c r="BF21" t="s">
        <v>231</v>
      </c>
      <c r="BG21"/>
    </row>
    <row r="22" spans="1:59" s="184" customFormat="1" x14ac:dyDescent="0.15">
      <c r="A22" s="148">
        <v>234</v>
      </c>
      <c r="B22" s="308">
        <v>42983</v>
      </c>
      <c r="C22" s="296" t="s">
        <v>278</v>
      </c>
      <c r="D22" s="297" t="s">
        <v>228</v>
      </c>
      <c r="E22" s="309" t="s">
        <v>358</v>
      </c>
      <c r="F22" s="298" t="s">
        <v>226</v>
      </c>
      <c r="G22" s="297" t="s">
        <v>360</v>
      </c>
      <c r="H22" s="297">
        <v>70</v>
      </c>
      <c r="I22" s="182" t="s">
        <v>402</v>
      </c>
      <c r="J22" s="185">
        <v>3500</v>
      </c>
      <c r="K22" s="185">
        <v>3500</v>
      </c>
      <c r="L22" s="185">
        <v>3500</v>
      </c>
      <c r="M22" s="185">
        <v>3500</v>
      </c>
      <c r="N22" s="178"/>
      <c r="O22" s="297">
        <v>1.889</v>
      </c>
      <c r="P22">
        <v>0</v>
      </c>
      <c r="Q22" s="297">
        <v>0</v>
      </c>
      <c r="R22" s="297">
        <v>0</v>
      </c>
      <c r="S22" s="297">
        <v>1.6579999999999999</v>
      </c>
      <c r="T22" s="297"/>
      <c r="U22" s="297">
        <v>1.7749999999999999</v>
      </c>
      <c r="V22">
        <v>0</v>
      </c>
      <c r="W22" s="297">
        <v>0</v>
      </c>
      <c r="X22" s="297">
        <v>0</v>
      </c>
      <c r="Y22" s="297">
        <v>1.583</v>
      </c>
      <c r="Z22" s="297"/>
      <c r="AA22" s="297"/>
      <c r="AB22" s="297"/>
      <c r="AC22" s="297"/>
      <c r="AD22" s="297"/>
      <c r="AE22" s="297"/>
      <c r="AF22" s="297"/>
      <c r="AG22" s="299" t="s">
        <v>281</v>
      </c>
      <c r="AH22" s="299" t="s">
        <v>282</v>
      </c>
      <c r="AI22" s="183">
        <v>3</v>
      </c>
      <c r="AJ22" s="183">
        <v>3</v>
      </c>
      <c r="AK22" s="241">
        <v>0.5</v>
      </c>
      <c r="AL22" s="241">
        <v>0.5</v>
      </c>
      <c r="AM22" s="299">
        <v>0</v>
      </c>
      <c r="AN22" s="299">
        <v>0</v>
      </c>
      <c r="AO22" s="299">
        <v>10</v>
      </c>
      <c r="AP22" s="299">
        <v>0</v>
      </c>
      <c r="AQ22" s="299">
        <v>0</v>
      </c>
      <c r="AR22" s="299">
        <v>0</v>
      </c>
      <c r="AS22" s="299">
        <v>0</v>
      </c>
      <c r="AT22" s="299">
        <v>0</v>
      </c>
      <c r="AU22" s="299">
        <v>0</v>
      </c>
      <c r="AV22" s="299">
        <v>0</v>
      </c>
      <c r="AW22" s="299"/>
      <c r="AX22" s="299" t="s">
        <v>405</v>
      </c>
      <c r="AY22" s="299"/>
      <c r="AZ22" s="299" t="s">
        <v>405</v>
      </c>
      <c r="BA22" s="298"/>
      <c r="BB22" s="297"/>
      <c r="BC22" s="299"/>
      <c r="BD22" s="299" t="s">
        <v>422</v>
      </c>
      <c r="BE22" s="298"/>
      <c r="BF22" t="s">
        <v>377</v>
      </c>
      <c r="BG22"/>
    </row>
    <row r="23" spans="1:59" s="184" customFormat="1" x14ac:dyDescent="0.15">
      <c r="A23" s="148">
        <v>781</v>
      </c>
      <c r="B23" s="308">
        <v>42983</v>
      </c>
      <c r="C23" s="296" t="s">
        <v>278</v>
      </c>
      <c r="D23" s="297" t="s">
        <v>228</v>
      </c>
      <c r="E23" s="309">
        <v>42917</v>
      </c>
      <c r="F23" s="298" t="s">
        <v>227</v>
      </c>
      <c r="G23" s="297" t="s">
        <v>363</v>
      </c>
      <c r="H23" s="297">
        <v>70.28</v>
      </c>
      <c r="I23" s="182" t="s">
        <v>402</v>
      </c>
      <c r="J23" s="178">
        <v>3000</v>
      </c>
      <c r="K23" s="178">
        <v>6000</v>
      </c>
      <c r="L23" s="178">
        <v>9000</v>
      </c>
      <c r="M23" s="178">
        <v>15000</v>
      </c>
      <c r="N23" s="178"/>
      <c r="O23" s="297">
        <v>2.2000000000000002</v>
      </c>
      <c r="P23" s="297">
        <v>1.96</v>
      </c>
      <c r="Q23" s="297">
        <v>1.68</v>
      </c>
      <c r="R23" s="297">
        <v>1.53</v>
      </c>
      <c r="S23" s="297">
        <v>1.48</v>
      </c>
      <c r="T23" s="297"/>
      <c r="U23" s="297">
        <v>2.08</v>
      </c>
      <c r="V23" s="297">
        <v>1.88</v>
      </c>
      <c r="W23" s="297">
        <v>1.63</v>
      </c>
      <c r="X23" s="297">
        <v>1.5</v>
      </c>
      <c r="Y23" s="297">
        <v>1.47</v>
      </c>
      <c r="Z23" s="297"/>
      <c r="AA23" s="297">
        <v>2.16</v>
      </c>
      <c r="AB23" s="297">
        <v>1.94</v>
      </c>
      <c r="AC23" s="297">
        <v>1.66</v>
      </c>
      <c r="AD23" s="297">
        <v>1.52</v>
      </c>
      <c r="AE23" s="297">
        <v>1.48</v>
      </c>
      <c r="AF23" s="297"/>
      <c r="AG23" s="299" t="s">
        <v>281</v>
      </c>
      <c r="AH23" s="299" t="s">
        <v>282</v>
      </c>
      <c r="AI23" s="175">
        <v>3</v>
      </c>
      <c r="AJ23" s="175">
        <v>3</v>
      </c>
      <c r="AK23" s="240">
        <v>0.5</v>
      </c>
      <c r="AL23" s="240">
        <v>0.5</v>
      </c>
      <c r="AM23" s="299">
        <v>0</v>
      </c>
      <c r="AN23" s="299">
        <v>0</v>
      </c>
      <c r="AO23" s="299">
        <v>0</v>
      </c>
      <c r="AP23" s="299">
        <v>20</v>
      </c>
      <c r="AQ23" s="299">
        <v>0</v>
      </c>
      <c r="AR23" s="299">
        <v>0</v>
      </c>
      <c r="AS23" s="299">
        <v>0</v>
      </c>
      <c r="AT23" s="299">
        <v>0</v>
      </c>
      <c r="AU23" s="299">
        <v>0</v>
      </c>
      <c r="AV23" s="299">
        <v>0</v>
      </c>
      <c r="AW23" s="299">
        <v>24</v>
      </c>
      <c r="AX23" s="299" t="s">
        <v>405</v>
      </c>
      <c r="AY23" s="299"/>
      <c r="AZ23" s="299" t="s">
        <v>405</v>
      </c>
      <c r="BA23" s="298" t="s">
        <v>364</v>
      </c>
      <c r="BB23" s="297" t="s">
        <v>365</v>
      </c>
      <c r="BC23" s="299">
        <v>25</v>
      </c>
      <c r="BD23" s="299" t="s">
        <v>422</v>
      </c>
      <c r="BE23" s="298"/>
      <c r="BF23" t="s">
        <v>430</v>
      </c>
      <c r="BG23"/>
    </row>
    <row r="24" spans="1:59" s="27" customFormat="1" x14ac:dyDescent="0.15">
      <c r="A24" s="148">
        <v>78</v>
      </c>
      <c r="B24" s="308">
        <v>42983</v>
      </c>
      <c r="C24" s="296" t="s">
        <v>278</v>
      </c>
      <c r="D24" s="297" t="s">
        <v>232</v>
      </c>
      <c r="E24" s="295">
        <v>42917</v>
      </c>
      <c r="F24" s="298" t="s">
        <v>280</v>
      </c>
      <c r="G24" s="297" t="s">
        <v>401</v>
      </c>
      <c r="H24" s="297">
        <v>71.709999999999994</v>
      </c>
      <c r="I24" s="191" t="s">
        <v>402</v>
      </c>
      <c r="J24" s="187">
        <v>1645</v>
      </c>
      <c r="K24" s="187">
        <v>3000</v>
      </c>
      <c r="L24" s="187">
        <v>3000</v>
      </c>
      <c r="M24" s="187">
        <v>3000</v>
      </c>
      <c r="N24" s="187"/>
      <c r="O24" s="297">
        <v>2.3260000000000001</v>
      </c>
      <c r="P24" s="297">
        <v>2.1139999999999999</v>
      </c>
      <c r="Q24">
        <v>0</v>
      </c>
      <c r="R24" s="297">
        <v>0</v>
      </c>
      <c r="S24" s="297">
        <v>1.764</v>
      </c>
      <c r="T24" s="297"/>
      <c r="U24" s="297">
        <v>2.3260000000000001</v>
      </c>
      <c r="V24" s="297">
        <v>2.1139999999999999</v>
      </c>
      <c r="W24">
        <v>0</v>
      </c>
      <c r="X24" s="297">
        <v>0</v>
      </c>
      <c r="Y24" s="297">
        <v>1.764</v>
      </c>
      <c r="Z24" s="297"/>
      <c r="AA24" s="297"/>
      <c r="AB24" s="297"/>
      <c r="AC24" s="297"/>
      <c r="AD24" s="297"/>
      <c r="AE24" s="297"/>
      <c r="AF24" s="297"/>
      <c r="AG24" s="299" t="s">
        <v>233</v>
      </c>
      <c r="AH24" s="299"/>
      <c r="AI24" s="192">
        <v>2</v>
      </c>
      <c r="AJ24" s="192">
        <v>4</v>
      </c>
      <c r="AK24" s="242">
        <v>0.33329999999999999</v>
      </c>
      <c r="AL24" s="242">
        <v>0.66659999999999997</v>
      </c>
      <c r="AM24" s="299">
        <v>0</v>
      </c>
      <c r="AN24" s="299">
        <v>0</v>
      </c>
      <c r="AO24" s="299">
        <v>0</v>
      </c>
      <c r="AP24" s="299">
        <v>15</v>
      </c>
      <c r="AQ24" s="299">
        <v>0</v>
      </c>
      <c r="AR24" s="299">
        <v>0</v>
      </c>
      <c r="AS24" s="299">
        <v>0</v>
      </c>
      <c r="AT24" s="299">
        <v>0</v>
      </c>
      <c r="AU24" s="299">
        <v>0</v>
      </c>
      <c r="AV24" s="299">
        <v>0</v>
      </c>
      <c r="AW24" s="299"/>
      <c r="AX24" s="299" t="s">
        <v>405</v>
      </c>
      <c r="AY24" s="299">
        <v>12</v>
      </c>
      <c r="AZ24" s="299" t="s">
        <v>405</v>
      </c>
      <c r="BA24" s="298" t="s">
        <v>283</v>
      </c>
      <c r="BB24" s="297" t="s">
        <v>433</v>
      </c>
      <c r="BC24" s="299">
        <v>50</v>
      </c>
      <c r="BD24" s="299" t="s">
        <v>406</v>
      </c>
      <c r="BE24" s="298"/>
      <c r="BF24" t="s">
        <v>234</v>
      </c>
      <c r="BG24"/>
    </row>
    <row r="25" spans="1:59" s="27" customFormat="1" x14ac:dyDescent="0.15">
      <c r="A25" s="148">
        <v>261</v>
      </c>
      <c r="B25" s="308">
        <v>42983</v>
      </c>
      <c r="C25" s="296" t="s">
        <v>278</v>
      </c>
      <c r="D25" s="297" t="s">
        <v>232</v>
      </c>
      <c r="E25" s="309" t="s">
        <v>285</v>
      </c>
      <c r="F25" s="298" t="s">
        <v>286</v>
      </c>
      <c r="G25" s="297" t="s">
        <v>410</v>
      </c>
      <c r="H25" s="297">
        <v>68.69</v>
      </c>
      <c r="I25" s="191" t="s">
        <v>402</v>
      </c>
      <c r="J25" s="187">
        <v>1645</v>
      </c>
      <c r="K25" s="187">
        <v>3000</v>
      </c>
      <c r="L25" s="187">
        <v>3000</v>
      </c>
      <c r="M25" s="187">
        <v>3000</v>
      </c>
      <c r="N25" s="187"/>
      <c r="O25" s="297">
        <v>1.97</v>
      </c>
      <c r="P25" s="297">
        <v>1.97</v>
      </c>
      <c r="Q25">
        <v>0</v>
      </c>
      <c r="R25" s="297">
        <v>0</v>
      </c>
      <c r="S25" s="297">
        <v>1.74</v>
      </c>
      <c r="T25" s="297"/>
      <c r="U25" s="297">
        <v>1.97</v>
      </c>
      <c r="V25" s="297">
        <v>1.97</v>
      </c>
      <c r="W25">
        <v>0</v>
      </c>
      <c r="X25" s="297">
        <v>0</v>
      </c>
      <c r="Y25" s="297">
        <v>1.74</v>
      </c>
      <c r="Z25" s="297"/>
      <c r="AA25" s="297"/>
      <c r="AB25" s="297"/>
      <c r="AC25" s="297"/>
      <c r="AD25" s="297"/>
      <c r="AE25" s="297"/>
      <c r="AF25" s="297"/>
      <c r="AG25" s="299" t="s">
        <v>233</v>
      </c>
      <c r="AH25" s="299"/>
      <c r="AI25" s="192">
        <v>2</v>
      </c>
      <c r="AJ25" s="192">
        <v>4</v>
      </c>
      <c r="AK25" s="242">
        <v>0.33329999999999999</v>
      </c>
      <c r="AL25" s="242">
        <v>0.66659999999999997</v>
      </c>
      <c r="AM25" s="299">
        <v>0</v>
      </c>
      <c r="AN25" s="299">
        <v>0</v>
      </c>
      <c r="AO25" s="299">
        <v>0</v>
      </c>
      <c r="AP25" s="299">
        <v>25</v>
      </c>
      <c r="AQ25" s="299">
        <v>0</v>
      </c>
      <c r="AR25" s="299">
        <v>0</v>
      </c>
      <c r="AS25" s="299">
        <v>0</v>
      </c>
      <c r="AT25" s="299">
        <v>0</v>
      </c>
      <c r="AU25" s="299">
        <v>0</v>
      </c>
      <c r="AV25" s="299">
        <v>0</v>
      </c>
      <c r="AW25" s="297"/>
      <c r="AX25" s="299" t="s">
        <v>405</v>
      </c>
      <c r="AY25" s="299">
        <v>24</v>
      </c>
      <c r="AZ25" s="299" t="s">
        <v>405</v>
      </c>
      <c r="BA25" s="298"/>
      <c r="BB25" s="297"/>
      <c r="BC25" s="299"/>
      <c r="BD25" s="299" t="s">
        <v>406</v>
      </c>
      <c r="BE25" s="298"/>
      <c r="BF25" t="s">
        <v>287</v>
      </c>
      <c r="BG25"/>
    </row>
    <row r="26" spans="1:59" s="27" customFormat="1" x14ac:dyDescent="0.15">
      <c r="A26" s="148">
        <v>275</v>
      </c>
      <c r="B26" s="308">
        <v>42983</v>
      </c>
      <c r="C26" s="296" t="s">
        <v>278</v>
      </c>
      <c r="D26" s="297" t="s">
        <v>232</v>
      </c>
      <c r="E26" s="295">
        <v>42917</v>
      </c>
      <c r="F26" s="298" t="s">
        <v>288</v>
      </c>
      <c r="G26" s="297" t="s">
        <v>414</v>
      </c>
      <c r="H26" s="297">
        <v>80.2</v>
      </c>
      <c r="I26" s="191" t="s">
        <v>402</v>
      </c>
      <c r="J26" s="187">
        <v>1645</v>
      </c>
      <c r="K26" s="187">
        <v>3000</v>
      </c>
      <c r="L26" s="187">
        <v>3000</v>
      </c>
      <c r="M26" s="187">
        <v>3000</v>
      </c>
      <c r="N26" s="187"/>
      <c r="O26" s="297">
        <v>2.95</v>
      </c>
      <c r="P26" s="297">
        <v>2.4</v>
      </c>
      <c r="Q26">
        <v>0</v>
      </c>
      <c r="R26" s="297">
        <v>0</v>
      </c>
      <c r="S26" s="297">
        <v>2</v>
      </c>
      <c r="T26" s="297"/>
      <c r="U26" s="297">
        <v>2.95</v>
      </c>
      <c r="V26" s="297">
        <v>2.4</v>
      </c>
      <c r="W26">
        <v>0</v>
      </c>
      <c r="X26" s="297">
        <v>0</v>
      </c>
      <c r="Y26" s="297">
        <v>2</v>
      </c>
      <c r="Z26" s="297"/>
      <c r="AA26" s="297"/>
      <c r="AB26" s="297"/>
      <c r="AC26" s="297"/>
      <c r="AD26" s="297"/>
      <c r="AE26" s="297"/>
      <c r="AF26" s="297"/>
      <c r="AG26" s="299" t="s">
        <v>233</v>
      </c>
      <c r="AH26" s="299"/>
      <c r="AI26" s="192">
        <v>2</v>
      </c>
      <c r="AJ26" s="192">
        <v>4</v>
      </c>
      <c r="AK26" s="242">
        <v>0.33329999999999999</v>
      </c>
      <c r="AL26" s="242">
        <v>0.66659999999999997</v>
      </c>
      <c r="AM26" s="299">
        <v>0</v>
      </c>
      <c r="AN26" s="299">
        <v>0</v>
      </c>
      <c r="AO26" s="299">
        <v>14</v>
      </c>
      <c r="AP26" s="299">
        <v>0</v>
      </c>
      <c r="AQ26" s="299">
        <v>0</v>
      </c>
      <c r="AR26" s="299">
        <v>0</v>
      </c>
      <c r="AS26" s="299">
        <v>0</v>
      </c>
      <c r="AT26" s="299">
        <v>0</v>
      </c>
      <c r="AU26" s="299">
        <v>0</v>
      </c>
      <c r="AV26" s="299">
        <v>0</v>
      </c>
      <c r="AW26" s="297"/>
      <c r="AX26" s="299" t="s">
        <v>405</v>
      </c>
      <c r="AY26" s="299"/>
      <c r="AZ26" s="299" t="s">
        <v>405</v>
      </c>
      <c r="BA26" s="298"/>
      <c r="BB26" s="297"/>
      <c r="BC26" s="299"/>
      <c r="BD26" s="299" t="s">
        <v>406</v>
      </c>
      <c r="BE26" s="298" t="s">
        <v>415</v>
      </c>
      <c r="BF26" t="s">
        <v>381</v>
      </c>
      <c r="BG26"/>
    </row>
    <row r="27" spans="1:59" s="27" customFormat="1" x14ac:dyDescent="0.15">
      <c r="A27" s="148">
        <v>327</v>
      </c>
      <c r="B27" s="308">
        <v>42983</v>
      </c>
      <c r="C27" s="296" t="s">
        <v>278</v>
      </c>
      <c r="D27" s="297" t="s">
        <v>232</v>
      </c>
      <c r="E27" s="295">
        <v>42767</v>
      </c>
      <c r="F27" s="298" t="s">
        <v>600</v>
      </c>
      <c r="G27" s="297" t="s">
        <v>421</v>
      </c>
      <c r="H27" s="297">
        <v>68</v>
      </c>
      <c r="I27" s="191" t="s">
        <v>402</v>
      </c>
      <c r="J27" s="187">
        <v>1645</v>
      </c>
      <c r="K27" s="187">
        <v>3000</v>
      </c>
      <c r="L27" s="187">
        <v>3000</v>
      </c>
      <c r="M27" s="187">
        <v>3000</v>
      </c>
      <c r="N27" s="187"/>
      <c r="O27" s="297">
        <v>3.14</v>
      </c>
      <c r="P27" s="297">
        <v>2.76</v>
      </c>
      <c r="Q27">
        <v>0</v>
      </c>
      <c r="R27" s="297">
        <v>0</v>
      </c>
      <c r="S27" s="297">
        <v>2.2599999999999998</v>
      </c>
      <c r="T27" s="297"/>
      <c r="U27" s="297">
        <v>3.14</v>
      </c>
      <c r="V27" s="297">
        <v>2.76</v>
      </c>
      <c r="W27">
        <v>0</v>
      </c>
      <c r="X27" s="297">
        <v>0</v>
      </c>
      <c r="Y27" s="297">
        <v>2.2599999999999998</v>
      </c>
      <c r="Z27" s="297"/>
      <c r="AA27" s="297"/>
      <c r="AB27" s="297"/>
      <c r="AC27" s="297"/>
      <c r="AD27" s="297"/>
      <c r="AE27" s="297"/>
      <c r="AF27" s="297"/>
      <c r="AG27" s="299" t="s">
        <v>233</v>
      </c>
      <c r="AH27" s="299"/>
      <c r="AI27" s="192">
        <v>2</v>
      </c>
      <c r="AJ27" s="192">
        <v>4</v>
      </c>
      <c r="AK27" s="242">
        <v>0.33329999999999999</v>
      </c>
      <c r="AL27" s="242">
        <v>0.66659999999999997</v>
      </c>
      <c r="AM27" s="299">
        <v>0</v>
      </c>
      <c r="AN27" s="299">
        <v>0</v>
      </c>
      <c r="AO27" s="299">
        <v>0</v>
      </c>
      <c r="AP27" s="299">
        <v>16</v>
      </c>
      <c r="AQ27" s="299">
        <v>0</v>
      </c>
      <c r="AR27" s="299">
        <v>0</v>
      </c>
      <c r="AS27" s="299">
        <v>0</v>
      </c>
      <c r="AT27" s="299">
        <v>0</v>
      </c>
      <c r="AU27" s="299">
        <v>0</v>
      </c>
      <c r="AV27" s="299">
        <v>0</v>
      </c>
      <c r="AW27" s="299">
        <v>12</v>
      </c>
      <c r="AX27" s="299" t="s">
        <v>403</v>
      </c>
      <c r="AY27" s="299"/>
      <c r="AZ27" s="299" t="s">
        <v>405</v>
      </c>
      <c r="BA27" s="298"/>
      <c r="BB27" s="297"/>
      <c r="BC27" s="299"/>
      <c r="BD27" s="299" t="s">
        <v>406</v>
      </c>
      <c r="BE27" s="298"/>
      <c r="BF27" t="s">
        <v>235</v>
      </c>
      <c r="BG27"/>
    </row>
    <row r="28" spans="1:59" s="27" customFormat="1" x14ac:dyDescent="0.15">
      <c r="A28" s="148">
        <v>882</v>
      </c>
      <c r="B28" s="308">
        <v>42983</v>
      </c>
      <c r="C28" s="296" t="s">
        <v>278</v>
      </c>
      <c r="D28" s="297" t="s">
        <v>232</v>
      </c>
      <c r="E28" s="295">
        <v>42711</v>
      </c>
      <c r="F28" s="298" t="s">
        <v>290</v>
      </c>
      <c r="G28" s="297" t="s">
        <v>421</v>
      </c>
      <c r="H28" s="297">
        <v>67.8</v>
      </c>
      <c r="I28" s="191" t="s">
        <v>402</v>
      </c>
      <c r="J28" s="193">
        <v>4000</v>
      </c>
      <c r="K28" s="193">
        <v>12000</v>
      </c>
      <c r="L28" s="193">
        <v>12000</v>
      </c>
      <c r="M28" s="193">
        <v>12000</v>
      </c>
      <c r="N28" s="187"/>
      <c r="O28" s="297">
        <v>2.1800000000000002</v>
      </c>
      <c r="P28" s="297">
        <v>1.89</v>
      </c>
      <c r="Q28">
        <v>0</v>
      </c>
      <c r="R28" s="297">
        <v>0</v>
      </c>
      <c r="S28" s="297">
        <v>1.56</v>
      </c>
      <c r="T28" s="297"/>
      <c r="U28" s="297">
        <v>2.1800000000000002</v>
      </c>
      <c r="V28" s="297">
        <v>1.89</v>
      </c>
      <c r="W28">
        <v>0</v>
      </c>
      <c r="X28" s="297">
        <v>0</v>
      </c>
      <c r="Y28" s="297">
        <v>1.56</v>
      </c>
      <c r="Z28" s="297"/>
      <c r="AA28" s="297"/>
      <c r="AB28" s="297"/>
      <c r="AC28" s="297"/>
      <c r="AD28" s="297"/>
      <c r="AE28" s="297"/>
      <c r="AF28" s="297"/>
      <c r="AG28" s="299" t="s">
        <v>281</v>
      </c>
      <c r="AH28" s="299" t="s">
        <v>282</v>
      </c>
      <c r="AI28" s="192">
        <v>2</v>
      </c>
      <c r="AJ28" s="192">
        <v>4</v>
      </c>
      <c r="AK28" s="242">
        <v>0.33329999999999999</v>
      </c>
      <c r="AL28" s="242">
        <v>0.66659999999999997</v>
      </c>
      <c r="AM28" s="299">
        <v>0</v>
      </c>
      <c r="AN28" s="299">
        <v>0</v>
      </c>
      <c r="AO28" s="299">
        <v>0</v>
      </c>
      <c r="AP28" s="299">
        <v>0</v>
      </c>
      <c r="AQ28" s="299">
        <v>0</v>
      </c>
      <c r="AR28" s="299">
        <v>20</v>
      </c>
      <c r="AS28" s="299">
        <v>0</v>
      </c>
      <c r="AT28" s="299">
        <v>0</v>
      </c>
      <c r="AU28" s="299">
        <v>0</v>
      </c>
      <c r="AV28" s="299">
        <v>0</v>
      </c>
      <c r="AW28" s="297"/>
      <c r="AX28" s="299" t="s">
        <v>405</v>
      </c>
      <c r="AY28" s="299"/>
      <c r="AZ28" s="299" t="s">
        <v>405</v>
      </c>
      <c r="BA28" s="298"/>
      <c r="BB28" s="297"/>
      <c r="BC28" s="299"/>
      <c r="BD28" s="299" t="s">
        <v>422</v>
      </c>
      <c r="BE28" s="298"/>
      <c r="BF28" t="s">
        <v>236</v>
      </c>
      <c r="BG28"/>
    </row>
    <row r="29" spans="1:59" s="27" customFormat="1" x14ac:dyDescent="0.15">
      <c r="A29" s="148">
        <v>159</v>
      </c>
      <c r="B29" s="308">
        <v>42983</v>
      </c>
      <c r="C29" s="296" t="s">
        <v>278</v>
      </c>
      <c r="D29" s="297" t="s">
        <v>232</v>
      </c>
      <c r="E29" s="295">
        <v>42929</v>
      </c>
      <c r="F29" s="298" t="s">
        <v>217</v>
      </c>
      <c r="G29" s="297" t="s">
        <v>425</v>
      </c>
      <c r="H29" s="297">
        <v>74.2</v>
      </c>
      <c r="I29" s="191" t="s">
        <v>402</v>
      </c>
      <c r="J29" s="187">
        <v>1645</v>
      </c>
      <c r="K29" s="187">
        <v>3000</v>
      </c>
      <c r="L29" s="187">
        <v>3000</v>
      </c>
      <c r="M29" s="187">
        <v>3000</v>
      </c>
      <c r="N29" s="187"/>
      <c r="O29" s="297">
        <v>2.68</v>
      </c>
      <c r="P29" s="297">
        <v>2.17</v>
      </c>
      <c r="Q29">
        <v>0</v>
      </c>
      <c r="R29" s="297">
        <v>0</v>
      </c>
      <c r="S29" s="297">
        <v>1.71</v>
      </c>
      <c r="T29" s="297"/>
      <c r="U29" s="297">
        <v>2.66</v>
      </c>
      <c r="V29" s="297">
        <v>2.15</v>
      </c>
      <c r="W29">
        <v>0</v>
      </c>
      <c r="X29" s="297">
        <v>0</v>
      </c>
      <c r="Y29" s="297">
        <v>1.69</v>
      </c>
      <c r="Z29" s="297"/>
      <c r="AA29" s="297"/>
      <c r="AB29" s="297"/>
      <c r="AC29" s="297"/>
      <c r="AD29" s="297"/>
      <c r="AE29" s="297"/>
      <c r="AF29" s="297"/>
      <c r="AG29" s="299" t="s">
        <v>281</v>
      </c>
      <c r="AH29" s="299" t="s">
        <v>282</v>
      </c>
      <c r="AI29" s="192">
        <v>2</v>
      </c>
      <c r="AJ29" s="192">
        <v>4</v>
      </c>
      <c r="AK29" s="242">
        <v>0.33329999999999999</v>
      </c>
      <c r="AL29" s="242">
        <v>0.66659999999999997</v>
      </c>
      <c r="AM29" s="299">
        <v>0</v>
      </c>
      <c r="AN29" s="299">
        <v>0</v>
      </c>
      <c r="AO29" s="299">
        <v>0</v>
      </c>
      <c r="AP29" s="299">
        <v>20</v>
      </c>
      <c r="AQ29" s="299">
        <v>0</v>
      </c>
      <c r="AR29" s="299">
        <v>0</v>
      </c>
      <c r="AS29" s="299">
        <v>0</v>
      </c>
      <c r="AT29" s="299">
        <v>0</v>
      </c>
      <c r="AU29" s="299">
        <v>0</v>
      </c>
      <c r="AV29" s="299">
        <v>0</v>
      </c>
      <c r="AW29" s="297"/>
      <c r="AX29" s="299" t="s">
        <v>405</v>
      </c>
      <c r="AY29" s="299">
        <v>12</v>
      </c>
      <c r="AZ29" s="299" t="s">
        <v>405</v>
      </c>
      <c r="BA29" s="298" t="s">
        <v>218</v>
      </c>
      <c r="BB29" s="297" t="s">
        <v>433</v>
      </c>
      <c r="BC29" s="299">
        <v>50</v>
      </c>
      <c r="BD29" s="299" t="s">
        <v>406</v>
      </c>
      <c r="BE29" s="298"/>
      <c r="BF29" s="301" t="s">
        <v>237</v>
      </c>
      <c r="BG29"/>
    </row>
    <row r="30" spans="1:59" s="27" customFormat="1" x14ac:dyDescent="0.15">
      <c r="A30" s="148">
        <v>173</v>
      </c>
      <c r="B30" s="308">
        <v>42983</v>
      </c>
      <c r="C30" s="296" t="s">
        <v>278</v>
      </c>
      <c r="D30" s="297" t="s">
        <v>232</v>
      </c>
      <c r="E30" s="295">
        <v>42826</v>
      </c>
      <c r="F30" s="298" t="s">
        <v>220</v>
      </c>
      <c r="G30" s="297" t="s">
        <v>428</v>
      </c>
      <c r="H30" s="297">
        <v>65.819999999999993</v>
      </c>
      <c r="I30" s="191" t="s">
        <v>402</v>
      </c>
      <c r="J30" s="187">
        <v>1645</v>
      </c>
      <c r="K30" s="187">
        <v>3000</v>
      </c>
      <c r="L30" s="187">
        <v>3000</v>
      </c>
      <c r="M30" s="187">
        <v>3000</v>
      </c>
      <c r="N30" s="187"/>
      <c r="O30" s="297">
        <v>2.653</v>
      </c>
      <c r="P30" s="297">
        <v>2.1800000000000002</v>
      </c>
      <c r="Q30">
        <v>0</v>
      </c>
      <c r="R30" s="297">
        <v>0</v>
      </c>
      <c r="S30" s="297">
        <v>1.8140000000000001</v>
      </c>
      <c r="T30" s="297"/>
      <c r="U30" s="297">
        <v>2.653</v>
      </c>
      <c r="V30" s="297">
        <v>2.1800000000000002</v>
      </c>
      <c r="W30">
        <v>0</v>
      </c>
      <c r="X30" s="297">
        <v>0</v>
      </c>
      <c r="Y30" s="297">
        <v>1.8140000000000001</v>
      </c>
      <c r="Z30" s="297"/>
      <c r="AA30" s="297"/>
      <c r="AB30" s="297"/>
      <c r="AC30" s="297"/>
      <c r="AD30" s="297"/>
      <c r="AE30" s="297"/>
      <c r="AF30" s="297"/>
      <c r="AG30" s="299" t="s">
        <v>233</v>
      </c>
      <c r="AH30" s="299"/>
      <c r="AI30" s="192">
        <v>2</v>
      </c>
      <c r="AJ30" s="192">
        <v>4</v>
      </c>
      <c r="AK30" s="242">
        <v>0.33329999999999999</v>
      </c>
      <c r="AL30" s="242">
        <v>0.66659999999999997</v>
      </c>
      <c r="AM30" s="299">
        <v>0</v>
      </c>
      <c r="AN30" s="299">
        <v>0</v>
      </c>
      <c r="AO30" s="299">
        <v>15</v>
      </c>
      <c r="AP30" s="299">
        <v>0</v>
      </c>
      <c r="AQ30" s="299">
        <v>0</v>
      </c>
      <c r="AR30" s="299">
        <v>0</v>
      </c>
      <c r="AS30" s="299">
        <v>0</v>
      </c>
      <c r="AT30" s="299">
        <v>0</v>
      </c>
      <c r="AU30" s="299">
        <v>0</v>
      </c>
      <c r="AV30" s="299">
        <v>0</v>
      </c>
      <c r="AW30" s="297"/>
      <c r="AX30" s="299" t="s">
        <v>405</v>
      </c>
      <c r="AY30" s="299"/>
      <c r="AZ30" s="299" t="s">
        <v>405</v>
      </c>
      <c r="BA30" s="298" t="s">
        <v>429</v>
      </c>
      <c r="BB30" s="297"/>
      <c r="BC30" s="299"/>
      <c r="BD30" s="299" t="s">
        <v>406</v>
      </c>
      <c r="BE30" s="298"/>
      <c r="BF30" t="s">
        <v>221</v>
      </c>
      <c r="BG30"/>
    </row>
    <row r="31" spans="1:59" s="27" customFormat="1" x14ac:dyDescent="0.15">
      <c r="A31" s="148">
        <v>314</v>
      </c>
      <c r="B31" s="308">
        <v>42983</v>
      </c>
      <c r="C31" s="296" t="s">
        <v>278</v>
      </c>
      <c r="D31" s="297" t="s">
        <v>232</v>
      </c>
      <c r="E31" s="295">
        <v>42736</v>
      </c>
      <c r="F31" s="297" t="s">
        <v>222</v>
      </c>
      <c r="G31" s="297" t="s">
        <v>421</v>
      </c>
      <c r="H31" s="297">
        <v>67.09</v>
      </c>
      <c r="I31" s="191" t="s">
        <v>402</v>
      </c>
      <c r="J31" s="187">
        <v>1645</v>
      </c>
      <c r="K31" s="187">
        <v>3000</v>
      </c>
      <c r="L31" s="187">
        <v>3000</v>
      </c>
      <c r="M31" s="187">
        <v>3000</v>
      </c>
      <c r="N31" s="187"/>
      <c r="O31" s="297">
        <v>2.1869999999999998</v>
      </c>
      <c r="P31" s="297">
        <v>1.8160000000000001</v>
      </c>
      <c r="Q31">
        <v>0</v>
      </c>
      <c r="R31" s="297">
        <v>0</v>
      </c>
      <c r="S31" s="297">
        <v>1.536</v>
      </c>
      <c r="T31" s="297"/>
      <c r="U31" s="297">
        <v>2.153</v>
      </c>
      <c r="V31" s="297">
        <v>1.782</v>
      </c>
      <c r="W31">
        <v>0</v>
      </c>
      <c r="X31" s="297">
        <v>0</v>
      </c>
      <c r="Y31" s="297">
        <v>1.502</v>
      </c>
      <c r="Z31" s="297"/>
      <c r="AA31" s="297"/>
      <c r="AB31" s="297"/>
      <c r="AC31" s="297"/>
      <c r="AD31" s="297"/>
      <c r="AE31" s="297"/>
      <c r="AF31" s="297"/>
      <c r="AG31" s="299" t="s">
        <v>281</v>
      </c>
      <c r="AH31" s="299" t="s">
        <v>282</v>
      </c>
      <c r="AI31" s="192">
        <v>2</v>
      </c>
      <c r="AJ31" s="192">
        <v>4</v>
      </c>
      <c r="AK31" s="242">
        <v>0.33329999999999999</v>
      </c>
      <c r="AL31" s="242">
        <v>0.66659999999999997</v>
      </c>
      <c r="AM31" s="299">
        <v>0</v>
      </c>
      <c r="AN31" s="299">
        <v>0</v>
      </c>
      <c r="AO31" s="299">
        <v>0</v>
      </c>
      <c r="AP31" s="299">
        <v>0</v>
      </c>
      <c r="AQ31" s="299">
        <v>0</v>
      </c>
      <c r="AR31" s="299">
        <v>0</v>
      </c>
      <c r="AS31" s="299">
        <v>0</v>
      </c>
      <c r="AT31" s="299">
        <v>0</v>
      </c>
      <c r="AU31" s="299">
        <v>0</v>
      </c>
      <c r="AV31" s="299">
        <v>0</v>
      </c>
      <c r="AW31" s="297"/>
      <c r="AX31" s="299" t="s">
        <v>405</v>
      </c>
      <c r="AY31" s="299"/>
      <c r="AZ31" s="299" t="s">
        <v>405</v>
      </c>
      <c r="BA31" s="298" t="s">
        <v>432</v>
      </c>
      <c r="BB31" s="297" t="s">
        <v>433</v>
      </c>
      <c r="BC31" s="299">
        <v>50</v>
      </c>
      <c r="BD31" s="299" t="s">
        <v>422</v>
      </c>
      <c r="BE31" s="298"/>
      <c r="BF31" t="s">
        <v>238</v>
      </c>
      <c r="BG31"/>
    </row>
    <row r="32" spans="1:59" s="27" customFormat="1" x14ac:dyDescent="0.15">
      <c r="A32" s="148">
        <v>569</v>
      </c>
      <c r="B32" s="308">
        <v>42983</v>
      </c>
      <c r="C32" s="296" t="s">
        <v>278</v>
      </c>
      <c r="D32" s="297" t="s">
        <v>232</v>
      </c>
      <c r="E32" s="295">
        <v>42917</v>
      </c>
      <c r="F32" s="298" t="s">
        <v>224</v>
      </c>
      <c r="G32" s="297" t="s">
        <v>355</v>
      </c>
      <c r="H32" s="297">
        <v>68.88</v>
      </c>
      <c r="I32" s="191" t="s">
        <v>402</v>
      </c>
      <c r="J32" s="193">
        <v>4000</v>
      </c>
      <c r="K32" s="193">
        <v>12000</v>
      </c>
      <c r="L32" s="193">
        <v>12000</v>
      </c>
      <c r="M32" s="193">
        <v>12000</v>
      </c>
      <c r="N32" s="187"/>
      <c r="O32" s="297">
        <v>2.0649999999999999</v>
      </c>
      <c r="P32" s="297">
        <v>1.9910000000000001</v>
      </c>
      <c r="Q32">
        <v>0</v>
      </c>
      <c r="R32" s="297">
        <v>0</v>
      </c>
      <c r="S32" s="297">
        <v>1.6240000000000001</v>
      </c>
      <c r="T32" s="297"/>
      <c r="U32" s="297">
        <v>2.0649999999999999</v>
      </c>
      <c r="V32" s="297">
        <v>1.9910000000000001</v>
      </c>
      <c r="W32">
        <v>0</v>
      </c>
      <c r="X32" s="297">
        <v>0</v>
      </c>
      <c r="Y32" s="297">
        <v>1.6240000000000001</v>
      </c>
      <c r="Z32" s="297"/>
      <c r="AA32" s="297"/>
      <c r="AB32" s="297"/>
      <c r="AC32" s="297"/>
      <c r="AD32" s="297"/>
      <c r="AE32" s="297"/>
      <c r="AF32" s="297"/>
      <c r="AG32" s="299" t="s">
        <v>233</v>
      </c>
      <c r="AH32" s="299"/>
      <c r="AI32" s="192">
        <v>2</v>
      </c>
      <c r="AJ32" s="192">
        <v>4</v>
      </c>
      <c r="AK32" s="242">
        <v>0.33329999999999999</v>
      </c>
      <c r="AL32" s="242">
        <v>0.66659999999999997</v>
      </c>
      <c r="AM32" s="299">
        <v>0</v>
      </c>
      <c r="AN32" s="299">
        <v>0</v>
      </c>
      <c r="AO32" s="299">
        <v>0</v>
      </c>
      <c r="AP32" s="299">
        <v>13</v>
      </c>
      <c r="AQ32" s="299">
        <v>0</v>
      </c>
      <c r="AR32" s="299">
        <v>0</v>
      </c>
      <c r="AS32" s="299">
        <v>0</v>
      </c>
      <c r="AT32" s="299">
        <v>0</v>
      </c>
      <c r="AU32" s="299">
        <v>0</v>
      </c>
      <c r="AV32" s="299">
        <v>0</v>
      </c>
      <c r="AW32" s="297"/>
      <c r="AX32" s="299" t="s">
        <v>405</v>
      </c>
      <c r="AY32" s="299">
        <v>12</v>
      </c>
      <c r="AZ32" s="299" t="s">
        <v>405</v>
      </c>
      <c r="BA32" s="298"/>
      <c r="BB32" s="298"/>
      <c r="BC32" s="299"/>
      <c r="BD32" s="299" t="s">
        <v>406</v>
      </c>
      <c r="BE32" s="298"/>
      <c r="BF32" t="s">
        <v>200</v>
      </c>
      <c r="BG32"/>
    </row>
    <row r="33" spans="1:59" s="27" customFormat="1" x14ac:dyDescent="0.15">
      <c r="A33" s="148">
        <v>235</v>
      </c>
      <c r="B33" s="308">
        <v>42983</v>
      </c>
      <c r="C33" s="296" t="s">
        <v>278</v>
      </c>
      <c r="D33" s="297" t="s">
        <v>232</v>
      </c>
      <c r="E33" s="309" t="s">
        <v>358</v>
      </c>
      <c r="F33" s="298" t="s">
        <v>226</v>
      </c>
      <c r="G33" s="297" t="s">
        <v>360</v>
      </c>
      <c r="H33" s="297">
        <v>71</v>
      </c>
      <c r="I33" s="191" t="s">
        <v>402</v>
      </c>
      <c r="J33" s="193">
        <v>3000</v>
      </c>
      <c r="K33" s="193">
        <v>3000</v>
      </c>
      <c r="L33" s="193">
        <v>3000</v>
      </c>
      <c r="M33" s="193">
        <v>3000</v>
      </c>
      <c r="N33" s="187"/>
      <c r="O33" s="297">
        <v>2.1720000000000002</v>
      </c>
      <c r="P33">
        <v>0</v>
      </c>
      <c r="Q33" s="297">
        <v>0</v>
      </c>
      <c r="R33" s="297">
        <v>0</v>
      </c>
      <c r="S33" s="297">
        <v>1.63</v>
      </c>
      <c r="T33" s="297"/>
      <c r="U33" s="297">
        <v>2.1720000000000002</v>
      </c>
      <c r="V33">
        <v>0</v>
      </c>
      <c r="W33" s="297">
        <v>0</v>
      </c>
      <c r="X33" s="297">
        <v>0</v>
      </c>
      <c r="Y33" s="297">
        <v>1.63</v>
      </c>
      <c r="Z33" s="297"/>
      <c r="AA33" s="297"/>
      <c r="AB33" s="297"/>
      <c r="AC33" s="297"/>
      <c r="AD33" s="297"/>
      <c r="AE33" s="297"/>
      <c r="AF33" s="297"/>
      <c r="AG33" s="299" t="s">
        <v>233</v>
      </c>
      <c r="AH33" s="299"/>
      <c r="AI33" s="192">
        <v>2</v>
      </c>
      <c r="AJ33" s="192">
        <v>4</v>
      </c>
      <c r="AK33" s="242">
        <v>0.33329999999999999</v>
      </c>
      <c r="AL33" s="242">
        <v>0.66659999999999997</v>
      </c>
      <c r="AM33" s="299">
        <v>0</v>
      </c>
      <c r="AN33" s="299">
        <v>0</v>
      </c>
      <c r="AO33" s="299">
        <v>10</v>
      </c>
      <c r="AP33" s="299">
        <v>0</v>
      </c>
      <c r="AQ33" s="299">
        <v>0</v>
      </c>
      <c r="AR33" s="299">
        <v>0</v>
      </c>
      <c r="AS33" s="299">
        <v>0</v>
      </c>
      <c r="AT33" s="299">
        <v>0</v>
      </c>
      <c r="AU33" s="299">
        <v>0</v>
      </c>
      <c r="AV33" s="299">
        <v>0</v>
      </c>
      <c r="AW33" s="299"/>
      <c r="AX33" s="299" t="s">
        <v>405</v>
      </c>
      <c r="AY33" s="299"/>
      <c r="AZ33" s="299" t="s">
        <v>405</v>
      </c>
      <c r="BA33" s="298"/>
      <c r="BB33" s="297"/>
      <c r="BC33" s="299"/>
      <c r="BD33" s="299" t="s">
        <v>422</v>
      </c>
      <c r="BE33" s="298"/>
      <c r="BF33" t="s">
        <v>342</v>
      </c>
      <c r="BG33"/>
    </row>
    <row r="34" spans="1:59" s="27" customFormat="1" x14ac:dyDescent="0.15">
      <c r="A34" s="148">
        <v>784</v>
      </c>
      <c r="B34" s="308">
        <v>42983</v>
      </c>
      <c r="C34" s="296" t="s">
        <v>278</v>
      </c>
      <c r="D34" s="297" t="s">
        <v>232</v>
      </c>
      <c r="E34" s="309">
        <v>42917</v>
      </c>
      <c r="F34" s="298" t="s">
        <v>227</v>
      </c>
      <c r="G34" s="297" t="s">
        <v>363</v>
      </c>
      <c r="H34" s="297">
        <v>72.08</v>
      </c>
      <c r="I34" s="191" t="s">
        <v>402</v>
      </c>
      <c r="J34" s="187">
        <v>1645</v>
      </c>
      <c r="K34" s="187">
        <v>3000</v>
      </c>
      <c r="L34" s="187">
        <v>3000</v>
      </c>
      <c r="M34" s="187">
        <v>3000</v>
      </c>
      <c r="N34" s="187"/>
      <c r="O34" s="297">
        <v>2.31</v>
      </c>
      <c r="P34" s="297">
        <v>1.98</v>
      </c>
      <c r="Q34" s="297">
        <v>0</v>
      </c>
      <c r="R34" s="297">
        <v>0</v>
      </c>
      <c r="S34" s="297">
        <v>1.69</v>
      </c>
      <c r="T34" s="297"/>
      <c r="U34" s="297">
        <v>2.31</v>
      </c>
      <c r="V34" s="297">
        <v>1.98</v>
      </c>
      <c r="W34" s="297">
        <v>0</v>
      </c>
      <c r="X34" s="297">
        <v>0</v>
      </c>
      <c r="Y34" s="297">
        <v>1.69</v>
      </c>
      <c r="Z34" s="297"/>
      <c r="AA34" s="297"/>
      <c r="AB34" s="297"/>
      <c r="AC34" s="297"/>
      <c r="AD34" s="297"/>
      <c r="AE34" s="297"/>
      <c r="AF34" s="297"/>
      <c r="AG34" s="299" t="s">
        <v>233</v>
      </c>
      <c r="AH34" s="299"/>
      <c r="AI34" s="192">
        <v>2</v>
      </c>
      <c r="AJ34" s="192">
        <v>4</v>
      </c>
      <c r="AK34" s="242">
        <v>0.33329999999999999</v>
      </c>
      <c r="AL34" s="242">
        <v>0.66659999999999997</v>
      </c>
      <c r="AM34" s="299">
        <v>0</v>
      </c>
      <c r="AN34" s="299">
        <v>0</v>
      </c>
      <c r="AO34" s="299">
        <v>0</v>
      </c>
      <c r="AP34" s="299">
        <v>20</v>
      </c>
      <c r="AQ34" s="299">
        <v>0</v>
      </c>
      <c r="AR34" s="299">
        <v>0</v>
      </c>
      <c r="AS34" s="299">
        <v>0</v>
      </c>
      <c r="AT34" s="299">
        <v>0</v>
      </c>
      <c r="AU34" s="299">
        <v>0</v>
      </c>
      <c r="AV34" s="299">
        <v>0</v>
      </c>
      <c r="AW34" s="299">
        <v>24</v>
      </c>
      <c r="AX34" s="299" t="s">
        <v>405</v>
      </c>
      <c r="AY34" s="299"/>
      <c r="AZ34" s="299" t="s">
        <v>405</v>
      </c>
      <c r="BA34" s="298" t="s">
        <v>364</v>
      </c>
      <c r="BB34" s="297" t="s">
        <v>365</v>
      </c>
      <c r="BC34" s="299">
        <v>25</v>
      </c>
      <c r="BD34" s="299" t="s">
        <v>422</v>
      </c>
      <c r="BE34" s="298"/>
      <c r="BF34" t="s">
        <v>430</v>
      </c>
      <c r="BG34"/>
    </row>
    <row r="35" spans="1:59" s="201" customFormat="1" x14ac:dyDescent="0.15">
      <c r="A35" s="148">
        <v>80</v>
      </c>
      <c r="B35" s="308">
        <v>42983</v>
      </c>
      <c r="C35" s="296" t="s">
        <v>278</v>
      </c>
      <c r="D35" s="297" t="s">
        <v>344</v>
      </c>
      <c r="E35" s="295">
        <v>42917</v>
      </c>
      <c r="F35" s="298" t="s">
        <v>280</v>
      </c>
      <c r="G35" s="297" t="s">
        <v>401</v>
      </c>
      <c r="H35" s="297">
        <v>71.45</v>
      </c>
      <c r="I35" s="199" t="s">
        <v>402</v>
      </c>
      <c r="J35" s="195">
        <v>1645</v>
      </c>
      <c r="K35" s="195">
        <v>3000</v>
      </c>
      <c r="L35" s="195">
        <v>3000</v>
      </c>
      <c r="M35" s="195">
        <v>3000</v>
      </c>
      <c r="N35" s="195"/>
      <c r="O35" s="297">
        <v>2.4009999999999998</v>
      </c>
      <c r="P35" s="297">
        <v>2.2930000000000001</v>
      </c>
      <c r="Q35" s="297">
        <v>0</v>
      </c>
      <c r="R35" s="297">
        <v>0</v>
      </c>
      <c r="S35" s="297">
        <v>1.5509999999999999</v>
      </c>
      <c r="T35" s="297"/>
      <c r="U35" s="297">
        <v>2.4009999999999998</v>
      </c>
      <c r="V35" s="297">
        <v>2.2930000000000001</v>
      </c>
      <c r="W35" s="297">
        <v>0</v>
      </c>
      <c r="X35" s="297">
        <v>0</v>
      </c>
      <c r="Y35" s="297">
        <v>1.5509999999999999</v>
      </c>
      <c r="Z35" s="297"/>
      <c r="AA35" s="297"/>
      <c r="AB35" s="297"/>
      <c r="AC35" s="297"/>
      <c r="AD35" s="297"/>
      <c r="AE35" s="297"/>
      <c r="AF35" s="297"/>
      <c r="AG35" s="299" t="s">
        <v>233</v>
      </c>
      <c r="AH35" s="299"/>
      <c r="AI35" s="192">
        <v>2</v>
      </c>
      <c r="AJ35" s="192">
        <v>4</v>
      </c>
      <c r="AK35" s="243">
        <v>0.33329999999999999</v>
      </c>
      <c r="AL35" s="243">
        <v>0.66659999999999997</v>
      </c>
      <c r="AM35" s="299">
        <v>0</v>
      </c>
      <c r="AN35" s="299">
        <v>0</v>
      </c>
      <c r="AO35" s="299">
        <v>0</v>
      </c>
      <c r="AP35" s="299">
        <v>15</v>
      </c>
      <c r="AQ35" s="299">
        <v>0</v>
      </c>
      <c r="AR35" s="299">
        <v>0</v>
      </c>
      <c r="AS35" s="299">
        <v>0</v>
      </c>
      <c r="AT35" s="299">
        <v>0</v>
      </c>
      <c r="AU35" s="299">
        <v>0</v>
      </c>
      <c r="AV35" s="299">
        <v>0</v>
      </c>
      <c r="AW35" s="299"/>
      <c r="AX35" s="299" t="s">
        <v>405</v>
      </c>
      <c r="AY35" s="299">
        <v>12</v>
      </c>
      <c r="AZ35" s="299" t="s">
        <v>405</v>
      </c>
      <c r="BA35" s="298" t="s">
        <v>283</v>
      </c>
      <c r="BB35" s="297" t="s">
        <v>433</v>
      </c>
      <c r="BC35" s="299">
        <v>50</v>
      </c>
      <c r="BD35" s="299" t="s">
        <v>406</v>
      </c>
      <c r="BE35" s="298"/>
      <c r="BF35" t="s">
        <v>201</v>
      </c>
      <c r="BG35"/>
    </row>
    <row r="36" spans="1:59" s="201" customFormat="1" x14ac:dyDescent="0.15">
      <c r="A36" s="148">
        <v>263</v>
      </c>
      <c r="B36" s="308">
        <v>42983</v>
      </c>
      <c r="C36" s="296" t="s">
        <v>278</v>
      </c>
      <c r="D36" s="297" t="s">
        <v>344</v>
      </c>
      <c r="E36" s="309" t="s">
        <v>285</v>
      </c>
      <c r="F36" s="298" t="s">
        <v>286</v>
      </c>
      <c r="G36" s="297" t="s">
        <v>410</v>
      </c>
      <c r="H36" s="297">
        <v>71.180000000000007</v>
      </c>
      <c r="I36" s="199" t="s">
        <v>402</v>
      </c>
      <c r="J36" s="195">
        <v>1645</v>
      </c>
      <c r="K36" s="195">
        <v>3000</v>
      </c>
      <c r="L36" s="195">
        <v>3000</v>
      </c>
      <c r="M36" s="195">
        <v>3000</v>
      </c>
      <c r="N36" s="195"/>
      <c r="O36" s="297">
        <v>2.15</v>
      </c>
      <c r="P36" s="297">
        <v>2.15</v>
      </c>
      <c r="Q36" s="297">
        <v>0</v>
      </c>
      <c r="R36" s="297">
        <v>0</v>
      </c>
      <c r="S36" s="297">
        <v>1.7</v>
      </c>
      <c r="T36" s="297"/>
      <c r="U36" s="297">
        <v>2.15</v>
      </c>
      <c r="V36" s="297">
        <v>2.15</v>
      </c>
      <c r="W36" s="297">
        <v>0</v>
      </c>
      <c r="X36" s="297">
        <v>0</v>
      </c>
      <c r="Y36" s="297">
        <v>1.7</v>
      </c>
      <c r="Z36" s="297"/>
      <c r="AA36" s="297"/>
      <c r="AB36" s="297"/>
      <c r="AC36" s="297"/>
      <c r="AD36" s="297"/>
      <c r="AE36" s="297"/>
      <c r="AF36" s="297"/>
      <c r="AG36" s="299" t="s">
        <v>233</v>
      </c>
      <c r="AH36" s="299"/>
      <c r="AI36" s="192">
        <v>2</v>
      </c>
      <c r="AJ36" s="192">
        <v>4</v>
      </c>
      <c r="AK36" s="243">
        <v>0.33329999999999999</v>
      </c>
      <c r="AL36" s="243">
        <v>0.66659999999999997</v>
      </c>
      <c r="AM36" s="299">
        <v>0</v>
      </c>
      <c r="AN36" s="299">
        <v>0</v>
      </c>
      <c r="AO36" s="299">
        <v>0</v>
      </c>
      <c r="AP36" s="299">
        <v>25</v>
      </c>
      <c r="AQ36" s="299">
        <v>0</v>
      </c>
      <c r="AR36" s="299">
        <v>0</v>
      </c>
      <c r="AS36" s="299">
        <v>0</v>
      </c>
      <c r="AT36" s="299">
        <v>0</v>
      </c>
      <c r="AU36" s="299">
        <v>0</v>
      </c>
      <c r="AV36" s="299">
        <v>0</v>
      </c>
      <c r="AW36" s="297"/>
      <c r="AX36" s="299" t="s">
        <v>405</v>
      </c>
      <c r="AY36" s="299">
        <v>24</v>
      </c>
      <c r="AZ36" s="299" t="s">
        <v>405</v>
      </c>
      <c r="BA36" s="298"/>
      <c r="BB36" s="297"/>
      <c r="BC36" s="299"/>
      <c r="BD36" s="299" t="s">
        <v>406</v>
      </c>
      <c r="BE36" s="298"/>
      <c r="BF36" t="s">
        <v>287</v>
      </c>
      <c r="BG36"/>
    </row>
    <row r="37" spans="1:59" s="201" customFormat="1" x14ac:dyDescent="0.15">
      <c r="A37" s="148">
        <v>277</v>
      </c>
      <c r="B37" s="308">
        <v>42983</v>
      </c>
      <c r="C37" s="296" t="s">
        <v>278</v>
      </c>
      <c r="D37" s="297" t="s">
        <v>344</v>
      </c>
      <c r="E37" s="295">
        <v>42917</v>
      </c>
      <c r="F37" s="298" t="s">
        <v>288</v>
      </c>
      <c r="G37" s="297" t="s">
        <v>414</v>
      </c>
      <c r="H37" s="297">
        <v>80.2</v>
      </c>
      <c r="I37" s="199" t="s">
        <v>402</v>
      </c>
      <c r="J37" s="195">
        <v>1645</v>
      </c>
      <c r="K37" s="195">
        <v>3000</v>
      </c>
      <c r="L37" s="195">
        <v>3000</v>
      </c>
      <c r="M37" s="195">
        <v>3000</v>
      </c>
      <c r="N37" s="195"/>
      <c r="O37" s="297">
        <v>2.95</v>
      </c>
      <c r="P37" s="297">
        <v>2.4</v>
      </c>
      <c r="Q37" s="297">
        <v>0</v>
      </c>
      <c r="R37" s="297">
        <v>0</v>
      </c>
      <c r="S37" s="297">
        <v>1.9</v>
      </c>
      <c r="T37" s="297"/>
      <c r="U37" s="297">
        <v>2.95</v>
      </c>
      <c r="V37" s="297">
        <v>2.4</v>
      </c>
      <c r="W37" s="297">
        <v>0</v>
      </c>
      <c r="X37" s="297">
        <v>0</v>
      </c>
      <c r="Y37" s="297">
        <v>1.9</v>
      </c>
      <c r="Z37" s="297"/>
      <c r="AA37" s="297"/>
      <c r="AB37" s="297"/>
      <c r="AC37" s="297"/>
      <c r="AD37" s="297"/>
      <c r="AE37" s="297"/>
      <c r="AF37" s="297"/>
      <c r="AG37" s="299" t="s">
        <v>233</v>
      </c>
      <c r="AH37" s="299"/>
      <c r="AI37" s="192">
        <v>2</v>
      </c>
      <c r="AJ37" s="192">
        <v>4</v>
      </c>
      <c r="AK37" s="243">
        <v>0.33329999999999999</v>
      </c>
      <c r="AL37" s="243">
        <v>0.66659999999999997</v>
      </c>
      <c r="AM37" s="299">
        <v>0</v>
      </c>
      <c r="AN37" s="299">
        <v>0</v>
      </c>
      <c r="AO37" s="299">
        <v>14</v>
      </c>
      <c r="AP37" s="299">
        <v>0</v>
      </c>
      <c r="AQ37" s="299">
        <v>0</v>
      </c>
      <c r="AR37" s="299">
        <v>0</v>
      </c>
      <c r="AS37" s="299">
        <v>0</v>
      </c>
      <c r="AT37" s="299">
        <v>0</v>
      </c>
      <c r="AU37" s="299">
        <v>0</v>
      </c>
      <c r="AV37" s="299">
        <v>0</v>
      </c>
      <c r="AW37" s="297"/>
      <c r="AX37" s="299" t="s">
        <v>405</v>
      </c>
      <c r="AY37" s="299"/>
      <c r="AZ37" s="299" t="s">
        <v>405</v>
      </c>
      <c r="BA37" s="298"/>
      <c r="BB37" s="297"/>
      <c r="BC37" s="299"/>
      <c r="BD37" s="299" t="s">
        <v>406</v>
      </c>
      <c r="BE37" s="298" t="s">
        <v>415</v>
      </c>
      <c r="BF37" t="s">
        <v>346</v>
      </c>
      <c r="BG37"/>
    </row>
    <row r="38" spans="1:59" s="201" customFormat="1" x14ac:dyDescent="0.15">
      <c r="A38" s="148">
        <v>329</v>
      </c>
      <c r="B38" s="308">
        <v>42983</v>
      </c>
      <c r="C38" s="296" t="s">
        <v>278</v>
      </c>
      <c r="D38" s="297" t="s">
        <v>344</v>
      </c>
      <c r="E38" s="295">
        <v>42767</v>
      </c>
      <c r="F38" s="298" t="s">
        <v>600</v>
      </c>
      <c r="G38" s="297" t="s">
        <v>421</v>
      </c>
      <c r="H38" s="297">
        <v>69</v>
      </c>
      <c r="I38" s="199" t="s">
        <v>402</v>
      </c>
      <c r="J38" s="195">
        <v>1645</v>
      </c>
      <c r="K38" s="195">
        <v>3000</v>
      </c>
      <c r="L38" s="195">
        <v>3000</v>
      </c>
      <c r="M38" s="195">
        <v>3000</v>
      </c>
      <c r="N38" s="195"/>
      <c r="O38" s="297">
        <v>3.47</v>
      </c>
      <c r="P38" s="297">
        <v>2.89</v>
      </c>
      <c r="Q38" s="297">
        <v>0</v>
      </c>
      <c r="R38" s="297">
        <v>0</v>
      </c>
      <c r="S38" s="297">
        <v>2.2799999999999998</v>
      </c>
      <c r="T38" s="297"/>
      <c r="U38" s="297">
        <v>3.47</v>
      </c>
      <c r="V38" s="297">
        <v>2.89</v>
      </c>
      <c r="W38" s="297">
        <v>0</v>
      </c>
      <c r="X38" s="297">
        <v>0</v>
      </c>
      <c r="Y38" s="297">
        <v>2.2799999999999998</v>
      </c>
      <c r="Z38" s="297"/>
      <c r="AA38" s="297"/>
      <c r="AB38" s="297"/>
      <c r="AC38" s="297"/>
      <c r="AD38" s="297"/>
      <c r="AE38" s="297"/>
      <c r="AF38" s="297"/>
      <c r="AG38" s="299" t="s">
        <v>233</v>
      </c>
      <c r="AH38" s="299"/>
      <c r="AI38" s="192">
        <v>2</v>
      </c>
      <c r="AJ38" s="192">
        <v>4</v>
      </c>
      <c r="AK38" s="243">
        <v>0.33329999999999999</v>
      </c>
      <c r="AL38" s="243">
        <v>0.66659999999999997</v>
      </c>
      <c r="AM38" s="299">
        <v>0</v>
      </c>
      <c r="AN38" s="299">
        <v>0</v>
      </c>
      <c r="AO38" s="299">
        <v>0</v>
      </c>
      <c r="AP38" s="299">
        <v>16</v>
      </c>
      <c r="AQ38" s="299">
        <v>0</v>
      </c>
      <c r="AR38" s="299">
        <v>0</v>
      </c>
      <c r="AS38" s="299">
        <v>0</v>
      </c>
      <c r="AT38" s="299">
        <v>0</v>
      </c>
      <c r="AU38" s="299">
        <v>0</v>
      </c>
      <c r="AV38" s="299">
        <v>0</v>
      </c>
      <c r="AW38" s="299">
        <v>12</v>
      </c>
      <c r="AX38" s="299" t="s">
        <v>403</v>
      </c>
      <c r="AY38" s="299"/>
      <c r="AZ38" s="299" t="s">
        <v>405</v>
      </c>
      <c r="BA38" s="298"/>
      <c r="BB38" s="297"/>
      <c r="BC38" s="299"/>
      <c r="BD38" s="299" t="s">
        <v>406</v>
      </c>
      <c r="BE38" s="298"/>
      <c r="BF38" t="s">
        <v>235</v>
      </c>
      <c r="BG38"/>
    </row>
    <row r="39" spans="1:59" s="201" customFormat="1" x14ac:dyDescent="0.15">
      <c r="A39" s="148">
        <v>881</v>
      </c>
      <c r="B39" s="308">
        <v>42983</v>
      </c>
      <c r="C39" s="296" t="s">
        <v>278</v>
      </c>
      <c r="D39" s="297" t="s">
        <v>344</v>
      </c>
      <c r="E39" s="295">
        <v>42711</v>
      </c>
      <c r="F39" s="298" t="s">
        <v>290</v>
      </c>
      <c r="G39" s="297" t="s">
        <v>421</v>
      </c>
      <c r="H39" s="297">
        <v>67.8</v>
      </c>
      <c r="I39" s="199" t="s">
        <v>402</v>
      </c>
      <c r="J39" s="202">
        <v>3200</v>
      </c>
      <c r="K39" s="202">
        <v>3200</v>
      </c>
      <c r="L39" s="202">
        <v>3200</v>
      </c>
      <c r="M39" s="202">
        <v>3200</v>
      </c>
      <c r="N39" s="195"/>
      <c r="O39" s="297">
        <v>2.17</v>
      </c>
      <c r="P39">
        <v>0</v>
      </c>
      <c r="Q39" s="297">
        <v>0</v>
      </c>
      <c r="R39" s="297">
        <v>0</v>
      </c>
      <c r="S39" s="297">
        <v>1.72</v>
      </c>
      <c r="T39" s="297"/>
      <c r="U39" s="297">
        <v>2.17</v>
      </c>
      <c r="V39">
        <v>0</v>
      </c>
      <c r="W39" s="297">
        <v>0</v>
      </c>
      <c r="X39" s="297">
        <v>0</v>
      </c>
      <c r="Y39" s="297">
        <v>1.72</v>
      </c>
      <c r="Z39" s="297"/>
      <c r="AA39" s="297"/>
      <c r="AB39" s="297"/>
      <c r="AC39" s="297"/>
      <c r="AD39" s="297"/>
      <c r="AE39" s="297"/>
      <c r="AF39" s="297"/>
      <c r="AG39" s="299" t="s">
        <v>281</v>
      </c>
      <c r="AH39" s="299" t="s">
        <v>282</v>
      </c>
      <c r="AI39" s="192">
        <v>2</v>
      </c>
      <c r="AJ39" s="192">
        <v>4</v>
      </c>
      <c r="AK39" s="243">
        <v>0.33329999999999999</v>
      </c>
      <c r="AL39" s="243">
        <v>0.66659999999999997</v>
      </c>
      <c r="AM39" s="299">
        <v>0</v>
      </c>
      <c r="AN39" s="299">
        <v>0</v>
      </c>
      <c r="AO39" s="299">
        <v>0</v>
      </c>
      <c r="AP39" s="299">
        <v>0</v>
      </c>
      <c r="AQ39" s="299">
        <v>0</v>
      </c>
      <c r="AR39" s="299">
        <v>20</v>
      </c>
      <c r="AS39" s="299">
        <v>0</v>
      </c>
      <c r="AT39" s="299">
        <v>0</v>
      </c>
      <c r="AU39" s="299">
        <v>0</v>
      </c>
      <c r="AV39" s="299">
        <v>0</v>
      </c>
      <c r="AW39" s="297"/>
      <c r="AX39" s="299" t="s">
        <v>405</v>
      </c>
      <c r="AY39" s="299"/>
      <c r="AZ39" s="299" t="s">
        <v>405</v>
      </c>
      <c r="BA39" s="298"/>
      <c r="BB39" s="297"/>
      <c r="BC39" s="299"/>
      <c r="BD39" s="299" t="s">
        <v>422</v>
      </c>
      <c r="BE39" s="298"/>
      <c r="BF39" t="s">
        <v>236</v>
      </c>
      <c r="BG39"/>
    </row>
    <row r="40" spans="1:59" s="201" customFormat="1" x14ac:dyDescent="0.15">
      <c r="A40" s="148">
        <v>161</v>
      </c>
      <c r="B40" s="308">
        <v>42983</v>
      </c>
      <c r="C40" s="296" t="s">
        <v>278</v>
      </c>
      <c r="D40" s="297" t="s">
        <v>344</v>
      </c>
      <c r="E40" s="295">
        <v>42929</v>
      </c>
      <c r="F40" s="298" t="s">
        <v>217</v>
      </c>
      <c r="G40" s="297" t="s">
        <v>425</v>
      </c>
      <c r="H40" s="297">
        <v>74</v>
      </c>
      <c r="I40" s="199" t="s">
        <v>402</v>
      </c>
      <c r="J40" s="195">
        <v>1645</v>
      </c>
      <c r="K40" s="195">
        <v>3000</v>
      </c>
      <c r="L40" s="195">
        <v>3000</v>
      </c>
      <c r="M40" s="195">
        <v>3000</v>
      </c>
      <c r="N40" s="195"/>
      <c r="O40" s="297">
        <v>2.79</v>
      </c>
      <c r="P40" s="297">
        <v>2.1800000000000002</v>
      </c>
      <c r="Q40" s="297">
        <v>0</v>
      </c>
      <c r="R40" s="297">
        <v>0</v>
      </c>
      <c r="S40" s="297">
        <v>1.61</v>
      </c>
      <c r="T40" s="297"/>
      <c r="U40" s="297">
        <v>2.79</v>
      </c>
      <c r="V40" s="297">
        <v>2.1800000000000002</v>
      </c>
      <c r="W40" s="297">
        <v>0</v>
      </c>
      <c r="X40" s="297">
        <v>0</v>
      </c>
      <c r="Y40" s="297">
        <v>1.61</v>
      </c>
      <c r="Z40" s="297"/>
      <c r="AA40" s="297"/>
      <c r="AB40" s="297"/>
      <c r="AC40" s="297"/>
      <c r="AD40" s="297"/>
      <c r="AE40" s="297"/>
      <c r="AF40" s="297"/>
      <c r="AG40" s="299" t="s">
        <v>281</v>
      </c>
      <c r="AH40" s="299" t="s">
        <v>282</v>
      </c>
      <c r="AI40" s="192">
        <v>2</v>
      </c>
      <c r="AJ40" s="192">
        <v>4</v>
      </c>
      <c r="AK40" s="243">
        <v>0.33329999999999999</v>
      </c>
      <c r="AL40" s="243">
        <v>0.66659999999999997</v>
      </c>
      <c r="AM40" s="299">
        <v>0</v>
      </c>
      <c r="AN40" s="299">
        <v>0</v>
      </c>
      <c r="AO40" s="299">
        <v>0</v>
      </c>
      <c r="AP40" s="299">
        <v>20</v>
      </c>
      <c r="AQ40" s="299">
        <v>0</v>
      </c>
      <c r="AR40" s="299">
        <v>0</v>
      </c>
      <c r="AS40" s="299">
        <v>0</v>
      </c>
      <c r="AT40" s="299">
        <v>0</v>
      </c>
      <c r="AU40" s="299">
        <v>0</v>
      </c>
      <c r="AV40" s="299">
        <v>0</v>
      </c>
      <c r="AW40" s="297"/>
      <c r="AX40" s="299" t="s">
        <v>405</v>
      </c>
      <c r="AY40" s="299">
        <v>12</v>
      </c>
      <c r="AZ40" s="299" t="s">
        <v>405</v>
      </c>
      <c r="BA40" s="298" t="s">
        <v>218</v>
      </c>
      <c r="BB40" s="297" t="s">
        <v>433</v>
      </c>
      <c r="BC40" s="299">
        <v>50</v>
      </c>
      <c r="BD40" s="299" t="s">
        <v>406</v>
      </c>
      <c r="BE40" s="298"/>
      <c r="BF40" s="301" t="s">
        <v>202</v>
      </c>
      <c r="BG40"/>
    </row>
    <row r="41" spans="1:59" s="201" customFormat="1" x14ac:dyDescent="0.15">
      <c r="A41" s="148">
        <v>175</v>
      </c>
      <c r="B41" s="308">
        <v>42983</v>
      </c>
      <c r="C41" s="296" t="s">
        <v>278</v>
      </c>
      <c r="D41" s="297" t="s">
        <v>344</v>
      </c>
      <c r="E41" s="295">
        <v>42826</v>
      </c>
      <c r="F41" s="298" t="s">
        <v>220</v>
      </c>
      <c r="G41" s="297" t="s">
        <v>428</v>
      </c>
      <c r="H41" s="297">
        <v>65.819999999999993</v>
      </c>
      <c r="I41" s="199" t="s">
        <v>402</v>
      </c>
      <c r="J41" s="195">
        <v>1645</v>
      </c>
      <c r="K41" s="195">
        <v>3000</v>
      </c>
      <c r="L41" s="195">
        <v>3000</v>
      </c>
      <c r="M41" s="195">
        <v>3000</v>
      </c>
      <c r="N41" s="195"/>
      <c r="O41" s="297">
        <v>2.7130000000000001</v>
      </c>
      <c r="P41" s="297">
        <v>2.1930000000000001</v>
      </c>
      <c r="Q41" s="297">
        <v>0</v>
      </c>
      <c r="R41" s="297">
        <v>0</v>
      </c>
      <c r="S41" s="297">
        <v>1.782</v>
      </c>
      <c r="T41" s="297"/>
      <c r="U41" s="297">
        <v>2.7130000000000001</v>
      </c>
      <c r="V41" s="297">
        <v>2.1930000000000001</v>
      </c>
      <c r="W41" s="297">
        <v>0</v>
      </c>
      <c r="X41" s="297">
        <v>0</v>
      </c>
      <c r="Y41" s="297">
        <v>1.782</v>
      </c>
      <c r="Z41" s="297"/>
      <c r="AA41" s="297"/>
      <c r="AB41" s="297"/>
      <c r="AC41" s="297"/>
      <c r="AD41" s="297"/>
      <c r="AE41" s="297"/>
      <c r="AF41" s="297"/>
      <c r="AG41" s="299" t="s">
        <v>233</v>
      </c>
      <c r="AH41" s="299"/>
      <c r="AI41" s="192">
        <v>2</v>
      </c>
      <c r="AJ41" s="192">
        <v>4</v>
      </c>
      <c r="AK41" s="243">
        <v>0.33329999999999999</v>
      </c>
      <c r="AL41" s="243">
        <v>0.66659999999999997</v>
      </c>
      <c r="AM41" s="299">
        <v>0</v>
      </c>
      <c r="AN41" s="299">
        <v>0</v>
      </c>
      <c r="AO41" s="299">
        <v>15</v>
      </c>
      <c r="AP41" s="299">
        <v>0</v>
      </c>
      <c r="AQ41" s="299">
        <v>0</v>
      </c>
      <c r="AR41" s="299">
        <v>0</v>
      </c>
      <c r="AS41" s="299">
        <v>0</v>
      </c>
      <c r="AT41" s="299">
        <v>0</v>
      </c>
      <c r="AU41" s="299">
        <v>0</v>
      </c>
      <c r="AV41" s="299">
        <v>0</v>
      </c>
      <c r="AW41" s="297"/>
      <c r="AX41" s="299" t="s">
        <v>405</v>
      </c>
      <c r="AY41" s="299"/>
      <c r="AZ41" s="299" t="s">
        <v>405</v>
      </c>
      <c r="BA41" s="298" t="s">
        <v>429</v>
      </c>
      <c r="BB41" s="297"/>
      <c r="BC41" s="299"/>
      <c r="BD41" s="299" t="s">
        <v>406</v>
      </c>
      <c r="BE41" s="298"/>
      <c r="BF41" t="s">
        <v>221</v>
      </c>
      <c r="BG41"/>
    </row>
    <row r="42" spans="1:59" s="201" customFormat="1" x14ac:dyDescent="0.15">
      <c r="A42" s="148">
        <v>316</v>
      </c>
      <c r="B42" s="308">
        <v>42983</v>
      </c>
      <c r="C42" s="296" t="s">
        <v>278</v>
      </c>
      <c r="D42" s="297" t="s">
        <v>344</v>
      </c>
      <c r="E42" s="295">
        <v>42736</v>
      </c>
      <c r="F42" s="297" t="s">
        <v>222</v>
      </c>
      <c r="G42" s="297" t="s">
        <v>421</v>
      </c>
      <c r="H42" s="297">
        <v>65.38</v>
      </c>
      <c r="I42" s="199" t="s">
        <v>402</v>
      </c>
      <c r="J42" s="195">
        <v>1645</v>
      </c>
      <c r="K42" s="195">
        <v>3000</v>
      </c>
      <c r="L42" s="195">
        <v>3000</v>
      </c>
      <c r="M42" s="195">
        <v>3000</v>
      </c>
      <c r="N42" s="195"/>
      <c r="O42" s="297">
        <v>2.2730000000000001</v>
      </c>
      <c r="P42" s="297">
        <v>1.8380000000000001</v>
      </c>
      <c r="Q42" s="297">
        <v>0</v>
      </c>
      <c r="R42" s="297">
        <v>0</v>
      </c>
      <c r="S42" s="297">
        <v>1.526</v>
      </c>
      <c r="T42" s="297"/>
      <c r="U42" s="297">
        <v>2.2389999999999999</v>
      </c>
      <c r="V42" s="297">
        <v>1.8049999999999999</v>
      </c>
      <c r="W42" s="297">
        <v>0</v>
      </c>
      <c r="X42" s="297">
        <v>0</v>
      </c>
      <c r="Y42" s="297">
        <v>1.492</v>
      </c>
      <c r="Z42" s="297"/>
      <c r="AA42" s="297"/>
      <c r="AB42" s="297"/>
      <c r="AC42" s="297"/>
      <c r="AD42" s="297"/>
      <c r="AE42" s="297"/>
      <c r="AF42" s="297"/>
      <c r="AG42" s="299" t="s">
        <v>281</v>
      </c>
      <c r="AH42" s="299" t="s">
        <v>282</v>
      </c>
      <c r="AI42" s="192">
        <v>2</v>
      </c>
      <c r="AJ42" s="192">
        <v>4</v>
      </c>
      <c r="AK42" s="243">
        <v>0.33329999999999999</v>
      </c>
      <c r="AL42" s="243">
        <v>0.66659999999999997</v>
      </c>
      <c r="AM42" s="299">
        <v>0</v>
      </c>
      <c r="AN42" s="299">
        <v>0</v>
      </c>
      <c r="AO42" s="299">
        <v>0</v>
      </c>
      <c r="AP42" s="299">
        <v>0</v>
      </c>
      <c r="AQ42" s="299">
        <v>0</v>
      </c>
      <c r="AR42" s="299">
        <v>0</v>
      </c>
      <c r="AS42" s="299">
        <v>0</v>
      </c>
      <c r="AT42" s="299">
        <v>0</v>
      </c>
      <c r="AU42" s="299">
        <v>0</v>
      </c>
      <c r="AV42" s="299">
        <v>0</v>
      </c>
      <c r="AW42" s="297"/>
      <c r="AX42" s="299" t="s">
        <v>405</v>
      </c>
      <c r="AY42" s="299"/>
      <c r="AZ42" s="299" t="s">
        <v>405</v>
      </c>
      <c r="BA42" s="298" t="s">
        <v>432</v>
      </c>
      <c r="BB42" s="297" t="s">
        <v>433</v>
      </c>
      <c r="BC42" s="299">
        <v>50</v>
      </c>
      <c r="BD42" s="299" t="s">
        <v>422</v>
      </c>
      <c r="BE42" s="298"/>
      <c r="BF42" t="s">
        <v>238</v>
      </c>
      <c r="BG42"/>
    </row>
    <row r="43" spans="1:59" s="201" customFormat="1" x14ac:dyDescent="0.15">
      <c r="A43" s="148">
        <v>571</v>
      </c>
      <c r="B43" s="308">
        <v>42983</v>
      </c>
      <c r="C43" s="296" t="s">
        <v>278</v>
      </c>
      <c r="D43" s="297" t="s">
        <v>344</v>
      </c>
      <c r="E43" s="295">
        <v>42917</v>
      </c>
      <c r="F43" s="298" t="s">
        <v>224</v>
      </c>
      <c r="G43" s="297" t="s">
        <v>355</v>
      </c>
      <c r="H43" s="297">
        <v>68.91</v>
      </c>
      <c r="I43" s="199" t="s">
        <v>402</v>
      </c>
      <c r="J43" s="202">
        <v>4000</v>
      </c>
      <c r="K43" s="202">
        <v>12000</v>
      </c>
      <c r="L43" s="202">
        <v>12000</v>
      </c>
      <c r="M43" s="202">
        <v>12000</v>
      </c>
      <c r="N43" s="195"/>
      <c r="O43" s="297">
        <v>2.1429999999999998</v>
      </c>
      <c r="P43" s="297">
        <v>1.929</v>
      </c>
      <c r="Q43" s="297">
        <v>0</v>
      </c>
      <c r="R43" s="297">
        <v>0</v>
      </c>
      <c r="S43" s="297">
        <v>1.6839999999999999</v>
      </c>
      <c r="T43" s="297"/>
      <c r="U43" s="297">
        <v>2.1429999999999998</v>
      </c>
      <c r="V43" s="297">
        <v>1.929</v>
      </c>
      <c r="W43" s="297">
        <v>0</v>
      </c>
      <c r="X43" s="297">
        <v>0</v>
      </c>
      <c r="Y43" s="297">
        <v>1.6839999999999999</v>
      </c>
      <c r="Z43" s="297"/>
      <c r="AA43" s="297"/>
      <c r="AB43" s="297"/>
      <c r="AC43" s="297"/>
      <c r="AD43" s="297"/>
      <c r="AE43" s="297"/>
      <c r="AF43" s="297"/>
      <c r="AG43" s="299" t="s">
        <v>233</v>
      </c>
      <c r="AH43" s="299"/>
      <c r="AI43" s="192">
        <v>2</v>
      </c>
      <c r="AJ43" s="192">
        <v>4</v>
      </c>
      <c r="AK43" s="243">
        <v>0.33329999999999999</v>
      </c>
      <c r="AL43" s="243">
        <v>0.66659999999999997</v>
      </c>
      <c r="AM43" s="299">
        <v>0</v>
      </c>
      <c r="AN43" s="299">
        <v>0</v>
      </c>
      <c r="AO43" s="299">
        <v>0</v>
      </c>
      <c r="AP43" s="299">
        <v>13</v>
      </c>
      <c r="AQ43" s="299">
        <v>0</v>
      </c>
      <c r="AR43" s="299">
        <v>0</v>
      </c>
      <c r="AS43" s="299">
        <v>0</v>
      </c>
      <c r="AT43" s="299">
        <v>0</v>
      </c>
      <c r="AU43" s="299">
        <v>0</v>
      </c>
      <c r="AV43" s="299">
        <v>0</v>
      </c>
      <c r="AW43" s="297"/>
      <c r="AX43" s="299" t="s">
        <v>405</v>
      </c>
      <c r="AY43" s="299">
        <v>12</v>
      </c>
      <c r="AZ43" s="299" t="s">
        <v>405</v>
      </c>
      <c r="BA43" s="298"/>
      <c r="BB43" s="298"/>
      <c r="BC43" s="299"/>
      <c r="BD43" s="299" t="s">
        <v>406</v>
      </c>
      <c r="BE43" s="298"/>
      <c r="BF43" t="s">
        <v>203</v>
      </c>
      <c r="BG43"/>
    </row>
    <row r="44" spans="1:59" s="201" customFormat="1" x14ac:dyDescent="0.15">
      <c r="A44" s="148">
        <v>237</v>
      </c>
      <c r="B44" s="308">
        <v>42983</v>
      </c>
      <c r="C44" s="296" t="s">
        <v>278</v>
      </c>
      <c r="D44" s="297" t="s">
        <v>344</v>
      </c>
      <c r="E44" s="309" t="s">
        <v>358</v>
      </c>
      <c r="F44" s="298" t="s">
        <v>226</v>
      </c>
      <c r="G44" s="297" t="s">
        <v>360</v>
      </c>
      <c r="H44" s="297">
        <v>71</v>
      </c>
      <c r="I44" s="199" t="s">
        <v>402</v>
      </c>
      <c r="J44" s="202">
        <v>3000</v>
      </c>
      <c r="K44" s="202">
        <v>3000</v>
      </c>
      <c r="L44" s="202">
        <v>3000</v>
      </c>
      <c r="M44" s="202">
        <v>3000</v>
      </c>
      <c r="N44" s="195"/>
      <c r="O44" s="297">
        <v>2.1789999999999998</v>
      </c>
      <c r="P44">
        <v>0</v>
      </c>
      <c r="Q44" s="297">
        <v>0</v>
      </c>
      <c r="R44" s="297">
        <v>0</v>
      </c>
      <c r="S44" s="297">
        <v>1.579</v>
      </c>
      <c r="T44" s="297"/>
      <c r="U44" s="297">
        <v>2.1789999999999998</v>
      </c>
      <c r="V44">
        <v>0</v>
      </c>
      <c r="W44" s="297">
        <v>0</v>
      </c>
      <c r="X44" s="297">
        <v>0</v>
      </c>
      <c r="Y44" s="297">
        <v>1.579</v>
      </c>
      <c r="Z44" s="297"/>
      <c r="AA44" s="297"/>
      <c r="AB44" s="297"/>
      <c r="AC44" s="297"/>
      <c r="AD44" s="297"/>
      <c r="AE44" s="297"/>
      <c r="AF44" s="297"/>
      <c r="AG44" s="299" t="s">
        <v>233</v>
      </c>
      <c r="AH44" s="299"/>
      <c r="AI44" s="200">
        <v>2</v>
      </c>
      <c r="AJ44" s="200">
        <v>4</v>
      </c>
      <c r="AK44" s="243">
        <v>0.33329999999999999</v>
      </c>
      <c r="AL44" s="243">
        <v>0.66659999999999997</v>
      </c>
      <c r="AM44" s="299">
        <v>0</v>
      </c>
      <c r="AN44" s="299">
        <v>0</v>
      </c>
      <c r="AO44" s="299">
        <v>10</v>
      </c>
      <c r="AP44" s="299">
        <v>0</v>
      </c>
      <c r="AQ44" s="299">
        <v>0</v>
      </c>
      <c r="AR44" s="299">
        <v>0</v>
      </c>
      <c r="AS44" s="299">
        <v>0</v>
      </c>
      <c r="AT44" s="299">
        <v>0</v>
      </c>
      <c r="AU44" s="299">
        <v>0</v>
      </c>
      <c r="AV44" s="299">
        <v>0</v>
      </c>
      <c r="AW44" s="299"/>
      <c r="AX44" s="299" t="s">
        <v>405</v>
      </c>
      <c r="AY44" s="299"/>
      <c r="AZ44" s="299" t="s">
        <v>405</v>
      </c>
      <c r="BA44" s="298"/>
      <c r="BB44" s="297"/>
      <c r="BC44" s="299"/>
      <c r="BD44" s="299" t="s">
        <v>422</v>
      </c>
      <c r="BE44" s="298"/>
      <c r="BF44" t="s">
        <v>349</v>
      </c>
      <c r="BG44"/>
    </row>
    <row r="45" spans="1:59" s="201" customFormat="1" x14ac:dyDescent="0.15">
      <c r="A45" s="148">
        <v>790</v>
      </c>
      <c r="B45" s="308">
        <v>42983</v>
      </c>
      <c r="C45" s="296" t="s">
        <v>278</v>
      </c>
      <c r="D45" s="297" t="s">
        <v>344</v>
      </c>
      <c r="E45" s="309">
        <v>42917</v>
      </c>
      <c r="F45" s="298" t="s">
        <v>227</v>
      </c>
      <c r="G45" s="297" t="s">
        <v>363</v>
      </c>
      <c r="H45" s="297">
        <v>72.08</v>
      </c>
      <c r="I45" s="199" t="s">
        <v>402</v>
      </c>
      <c r="J45" s="195">
        <v>1645</v>
      </c>
      <c r="K45" s="195">
        <v>3000</v>
      </c>
      <c r="L45" s="195">
        <v>3000</v>
      </c>
      <c r="M45" s="195">
        <v>3000</v>
      </c>
      <c r="N45" s="195"/>
      <c r="O45" s="297">
        <v>2.34</v>
      </c>
      <c r="P45" s="297">
        <v>1.97</v>
      </c>
      <c r="Q45" s="297">
        <v>0</v>
      </c>
      <c r="R45" s="297">
        <v>0</v>
      </c>
      <c r="S45" s="297">
        <v>1.65</v>
      </c>
      <c r="T45" s="297"/>
      <c r="U45" s="297">
        <v>2.34</v>
      </c>
      <c r="V45" s="297">
        <v>1.97</v>
      </c>
      <c r="W45" s="297">
        <v>0</v>
      </c>
      <c r="X45" s="297">
        <v>0</v>
      </c>
      <c r="Y45" s="297">
        <v>1.65</v>
      </c>
      <c r="Z45" s="297"/>
      <c r="AA45" s="297"/>
      <c r="AB45" s="297"/>
      <c r="AC45" s="297"/>
      <c r="AD45" s="297"/>
      <c r="AE45" s="297"/>
      <c r="AF45" s="297"/>
      <c r="AG45" s="299" t="s">
        <v>233</v>
      </c>
      <c r="AH45" s="299"/>
      <c r="AI45" s="192">
        <v>2</v>
      </c>
      <c r="AJ45" s="192">
        <v>4</v>
      </c>
      <c r="AK45" s="243">
        <v>0.33329999999999999</v>
      </c>
      <c r="AL45" s="243">
        <v>0.66659999999999997</v>
      </c>
      <c r="AM45" s="299">
        <v>0</v>
      </c>
      <c r="AN45" s="299">
        <v>0</v>
      </c>
      <c r="AO45" s="299">
        <v>0</v>
      </c>
      <c r="AP45" s="299">
        <v>20</v>
      </c>
      <c r="AQ45" s="299">
        <v>0</v>
      </c>
      <c r="AR45" s="299">
        <v>0</v>
      </c>
      <c r="AS45" s="299">
        <v>0</v>
      </c>
      <c r="AT45" s="299">
        <v>0</v>
      </c>
      <c r="AU45" s="299">
        <v>0</v>
      </c>
      <c r="AV45" s="299">
        <v>0</v>
      </c>
      <c r="AW45" s="299">
        <v>24</v>
      </c>
      <c r="AX45" s="299" t="s">
        <v>405</v>
      </c>
      <c r="AY45" s="299"/>
      <c r="AZ45" s="299" t="s">
        <v>405</v>
      </c>
      <c r="BA45" s="298" t="s">
        <v>364</v>
      </c>
      <c r="BB45" s="297" t="s">
        <v>365</v>
      </c>
      <c r="BC45" s="299">
        <v>25</v>
      </c>
      <c r="BD45" s="299" t="s">
        <v>422</v>
      </c>
      <c r="BE45" s="298"/>
      <c r="BF45" t="s">
        <v>204</v>
      </c>
      <c r="BG45"/>
    </row>
    <row r="46" spans="1:59" s="237" customFormat="1" x14ac:dyDescent="0.15">
      <c r="A46" s="148">
        <v>79</v>
      </c>
      <c r="B46" s="308">
        <v>42983</v>
      </c>
      <c r="C46" s="296" t="s">
        <v>278</v>
      </c>
      <c r="D46" s="297" t="s">
        <v>205</v>
      </c>
      <c r="E46" s="295">
        <v>42917</v>
      </c>
      <c r="F46" s="298" t="s">
        <v>280</v>
      </c>
      <c r="G46" s="297" t="s">
        <v>401</v>
      </c>
      <c r="H46" s="297">
        <v>73.569999999999993</v>
      </c>
      <c r="I46" s="235" t="s">
        <v>402</v>
      </c>
      <c r="J46" s="148">
        <v>1645</v>
      </c>
      <c r="K46" s="148">
        <v>3000</v>
      </c>
      <c r="L46" s="148">
        <v>3000</v>
      </c>
      <c r="M46" s="148">
        <v>3000</v>
      </c>
      <c r="N46" s="148"/>
      <c r="O46" s="297">
        <v>2.4380000000000002</v>
      </c>
      <c r="P46" s="297">
        <v>2.0870000000000002</v>
      </c>
      <c r="Q46" s="297">
        <v>0</v>
      </c>
      <c r="R46" s="297">
        <v>0</v>
      </c>
      <c r="S46" s="297">
        <v>1.661</v>
      </c>
      <c r="T46" s="297"/>
      <c r="U46" s="297">
        <v>2.4380000000000002</v>
      </c>
      <c r="V46" s="297">
        <v>2.0870000000000002</v>
      </c>
      <c r="W46" s="297">
        <v>0</v>
      </c>
      <c r="X46" s="297">
        <v>0</v>
      </c>
      <c r="Y46" s="297">
        <v>1.661</v>
      </c>
      <c r="Z46" s="297"/>
      <c r="AA46" s="297"/>
      <c r="AB46" s="297"/>
      <c r="AC46" s="297"/>
      <c r="AD46" s="297"/>
      <c r="AE46" s="297"/>
      <c r="AF46" s="297"/>
      <c r="AG46" s="299" t="s">
        <v>233</v>
      </c>
      <c r="AH46" s="299"/>
      <c r="AI46" s="192">
        <v>2</v>
      </c>
      <c r="AJ46" s="192">
        <v>4</v>
      </c>
      <c r="AK46" s="244">
        <v>0.33329999999999999</v>
      </c>
      <c r="AL46" s="244">
        <v>0.66659999999999997</v>
      </c>
      <c r="AM46" s="299">
        <v>0</v>
      </c>
      <c r="AN46" s="299">
        <v>0</v>
      </c>
      <c r="AO46" s="299">
        <v>0</v>
      </c>
      <c r="AP46" s="299">
        <v>15</v>
      </c>
      <c r="AQ46" s="299">
        <v>0</v>
      </c>
      <c r="AR46" s="299">
        <v>0</v>
      </c>
      <c r="AS46" s="299">
        <v>0</v>
      </c>
      <c r="AT46" s="299">
        <v>0</v>
      </c>
      <c r="AU46" s="299">
        <v>0</v>
      </c>
      <c r="AV46" s="299">
        <v>0</v>
      </c>
      <c r="AW46" s="299"/>
      <c r="AX46" s="299" t="s">
        <v>405</v>
      </c>
      <c r="AY46" s="299">
        <v>12</v>
      </c>
      <c r="AZ46" s="299" t="s">
        <v>405</v>
      </c>
      <c r="BA46" s="298" t="s">
        <v>283</v>
      </c>
      <c r="BB46" s="297" t="s">
        <v>433</v>
      </c>
      <c r="BC46" s="299">
        <v>50</v>
      </c>
      <c r="BD46" s="299" t="s">
        <v>406</v>
      </c>
      <c r="BE46" s="298"/>
      <c r="BF46" t="s">
        <v>206</v>
      </c>
      <c r="BG46"/>
    </row>
    <row r="47" spans="1:59" s="237" customFormat="1" x14ac:dyDescent="0.15">
      <c r="A47" s="148">
        <v>262</v>
      </c>
      <c r="B47" s="308">
        <v>42983</v>
      </c>
      <c r="C47" s="296" t="s">
        <v>278</v>
      </c>
      <c r="D47" s="297" t="s">
        <v>205</v>
      </c>
      <c r="E47" s="309" t="s">
        <v>285</v>
      </c>
      <c r="F47" s="298" t="s">
        <v>286</v>
      </c>
      <c r="G47" s="297" t="s">
        <v>410</v>
      </c>
      <c r="H47" s="297">
        <v>69.97</v>
      </c>
      <c r="I47" s="235" t="s">
        <v>402</v>
      </c>
      <c r="J47" s="148">
        <v>1645</v>
      </c>
      <c r="K47" s="148">
        <v>3000</v>
      </c>
      <c r="L47" s="148">
        <v>3000</v>
      </c>
      <c r="M47" s="148">
        <v>3000</v>
      </c>
      <c r="N47" s="148"/>
      <c r="O47" s="297">
        <v>2.48</v>
      </c>
      <c r="P47" s="297">
        <v>2.12</v>
      </c>
      <c r="Q47" s="297">
        <v>0</v>
      </c>
      <c r="R47" s="297">
        <v>0</v>
      </c>
      <c r="S47" s="297">
        <v>1.67</v>
      </c>
      <c r="T47" s="297"/>
      <c r="U47" s="297">
        <v>2.48</v>
      </c>
      <c r="V47" s="297">
        <v>2.12</v>
      </c>
      <c r="W47" s="297">
        <v>0</v>
      </c>
      <c r="X47" s="297">
        <v>0</v>
      </c>
      <c r="Y47" s="297">
        <v>1.67</v>
      </c>
      <c r="Z47" s="297"/>
      <c r="AA47" s="297"/>
      <c r="AB47" s="297"/>
      <c r="AC47" s="297"/>
      <c r="AD47" s="297"/>
      <c r="AE47" s="297"/>
      <c r="AF47" s="297"/>
      <c r="AG47" s="299" t="s">
        <v>233</v>
      </c>
      <c r="AH47" s="299"/>
      <c r="AI47" s="192">
        <v>2</v>
      </c>
      <c r="AJ47" s="192">
        <v>4</v>
      </c>
      <c r="AK47" s="244">
        <v>0.33329999999999999</v>
      </c>
      <c r="AL47" s="244">
        <v>0.66659999999999997</v>
      </c>
      <c r="AM47" s="299">
        <v>0</v>
      </c>
      <c r="AN47" s="299">
        <v>0</v>
      </c>
      <c r="AO47" s="299">
        <v>0</v>
      </c>
      <c r="AP47" s="299">
        <v>25</v>
      </c>
      <c r="AQ47" s="299">
        <v>0</v>
      </c>
      <c r="AR47" s="299">
        <v>0</v>
      </c>
      <c r="AS47" s="299">
        <v>0</v>
      </c>
      <c r="AT47" s="299">
        <v>0</v>
      </c>
      <c r="AU47" s="299">
        <v>0</v>
      </c>
      <c r="AV47" s="299">
        <v>0</v>
      </c>
      <c r="AW47" s="297"/>
      <c r="AX47" s="299" t="s">
        <v>405</v>
      </c>
      <c r="AY47" s="299">
        <v>24</v>
      </c>
      <c r="AZ47" s="299" t="s">
        <v>405</v>
      </c>
      <c r="BA47" s="298"/>
      <c r="BB47" s="297"/>
      <c r="BC47" s="299"/>
      <c r="BD47" s="299" t="s">
        <v>406</v>
      </c>
      <c r="BE47" s="298"/>
      <c r="BF47" t="s">
        <v>287</v>
      </c>
      <c r="BG47"/>
    </row>
    <row r="48" spans="1:59" s="237" customFormat="1" x14ac:dyDescent="0.15">
      <c r="A48" s="148">
        <v>276</v>
      </c>
      <c r="B48" s="308">
        <v>42983</v>
      </c>
      <c r="C48" s="296" t="s">
        <v>278</v>
      </c>
      <c r="D48" s="297" t="s">
        <v>205</v>
      </c>
      <c r="E48" s="295">
        <v>42917</v>
      </c>
      <c r="F48" s="298" t="s">
        <v>288</v>
      </c>
      <c r="G48" s="297" t="s">
        <v>414</v>
      </c>
      <c r="H48" s="297">
        <v>80.2</v>
      </c>
      <c r="I48" s="235" t="s">
        <v>402</v>
      </c>
      <c r="J48" s="148">
        <v>1645</v>
      </c>
      <c r="K48" s="148">
        <v>3000</v>
      </c>
      <c r="L48" s="148">
        <v>3000</v>
      </c>
      <c r="M48" s="148">
        <v>3000</v>
      </c>
      <c r="N48" s="148"/>
      <c r="O48" s="297">
        <v>2.95</v>
      </c>
      <c r="P48" s="297">
        <v>2.4</v>
      </c>
      <c r="Q48" s="297">
        <v>0</v>
      </c>
      <c r="R48" s="297">
        <v>0</v>
      </c>
      <c r="S48" s="297">
        <v>1.9</v>
      </c>
      <c r="T48" s="297"/>
      <c r="U48" s="297">
        <v>2.95</v>
      </c>
      <c r="V48" s="297">
        <v>2.4</v>
      </c>
      <c r="W48" s="297">
        <v>0</v>
      </c>
      <c r="X48" s="297">
        <v>0</v>
      </c>
      <c r="Y48" s="297">
        <v>1.9</v>
      </c>
      <c r="Z48" s="297"/>
      <c r="AA48" s="297"/>
      <c r="AB48" s="297"/>
      <c r="AC48" s="297"/>
      <c r="AD48" s="297"/>
      <c r="AE48" s="297"/>
      <c r="AF48" s="297"/>
      <c r="AG48" s="299" t="s">
        <v>233</v>
      </c>
      <c r="AH48" s="299"/>
      <c r="AI48" s="192">
        <v>2</v>
      </c>
      <c r="AJ48" s="192">
        <v>4</v>
      </c>
      <c r="AK48" s="244">
        <v>0.33329999999999999</v>
      </c>
      <c r="AL48" s="244">
        <v>0.66659999999999997</v>
      </c>
      <c r="AM48" s="299">
        <v>0</v>
      </c>
      <c r="AN48" s="299">
        <v>0</v>
      </c>
      <c r="AO48" s="299">
        <v>14</v>
      </c>
      <c r="AP48" s="299">
        <v>0</v>
      </c>
      <c r="AQ48" s="299">
        <v>0</v>
      </c>
      <c r="AR48" s="299">
        <v>0</v>
      </c>
      <c r="AS48" s="299">
        <v>0</v>
      </c>
      <c r="AT48" s="299">
        <v>0</v>
      </c>
      <c r="AU48" s="299">
        <v>0</v>
      </c>
      <c r="AV48" s="299">
        <v>0</v>
      </c>
      <c r="AW48" s="297"/>
      <c r="AX48" s="299" t="s">
        <v>405</v>
      </c>
      <c r="AY48" s="299"/>
      <c r="AZ48" s="299" t="s">
        <v>405</v>
      </c>
      <c r="BA48" s="298"/>
      <c r="BB48" s="297"/>
      <c r="BC48" s="299"/>
      <c r="BD48" s="299" t="s">
        <v>406</v>
      </c>
      <c r="BE48" s="298" t="s">
        <v>415</v>
      </c>
      <c r="BF48" t="s">
        <v>320</v>
      </c>
      <c r="BG48"/>
    </row>
    <row r="49" spans="1:59" s="237" customFormat="1" x14ac:dyDescent="0.15">
      <c r="A49" s="148">
        <v>328</v>
      </c>
      <c r="B49" s="308">
        <v>42983</v>
      </c>
      <c r="C49" s="296" t="s">
        <v>278</v>
      </c>
      <c r="D49" s="297" t="s">
        <v>205</v>
      </c>
      <c r="E49" s="295">
        <v>42767</v>
      </c>
      <c r="F49" s="298" t="s">
        <v>600</v>
      </c>
      <c r="G49" s="297" t="s">
        <v>421</v>
      </c>
      <c r="H49" s="297">
        <v>69</v>
      </c>
      <c r="I49" s="235" t="s">
        <v>402</v>
      </c>
      <c r="J49" s="148">
        <v>1645</v>
      </c>
      <c r="K49" s="148">
        <v>3000</v>
      </c>
      <c r="L49" s="148">
        <v>3000</v>
      </c>
      <c r="M49" s="148">
        <v>3000</v>
      </c>
      <c r="N49" s="148"/>
      <c r="O49" s="297">
        <v>3.47</v>
      </c>
      <c r="P49" s="297">
        <v>2.89</v>
      </c>
      <c r="Q49" s="297">
        <v>0</v>
      </c>
      <c r="R49" s="297">
        <v>0</v>
      </c>
      <c r="S49" s="297">
        <v>2.2799999999999998</v>
      </c>
      <c r="T49" s="297"/>
      <c r="U49" s="297">
        <v>3.47</v>
      </c>
      <c r="V49" s="297">
        <v>2.89</v>
      </c>
      <c r="W49" s="297">
        <v>0</v>
      </c>
      <c r="X49" s="297">
        <v>0</v>
      </c>
      <c r="Y49" s="297">
        <v>2.2799999999999998</v>
      </c>
      <c r="Z49" s="297"/>
      <c r="AA49" s="297"/>
      <c r="AB49" s="297"/>
      <c r="AC49" s="297"/>
      <c r="AD49" s="297"/>
      <c r="AE49" s="297"/>
      <c r="AF49" s="297"/>
      <c r="AG49" s="299" t="s">
        <v>233</v>
      </c>
      <c r="AH49" s="299"/>
      <c r="AI49" s="192">
        <v>2</v>
      </c>
      <c r="AJ49" s="192">
        <v>4</v>
      </c>
      <c r="AK49" s="244">
        <v>0.33329999999999999</v>
      </c>
      <c r="AL49" s="244">
        <v>0.66659999999999997</v>
      </c>
      <c r="AM49" s="299">
        <v>0</v>
      </c>
      <c r="AN49" s="299">
        <v>0</v>
      </c>
      <c r="AO49" s="299">
        <v>0</v>
      </c>
      <c r="AP49" s="299">
        <v>16</v>
      </c>
      <c r="AQ49" s="299">
        <v>0</v>
      </c>
      <c r="AR49" s="299">
        <v>0</v>
      </c>
      <c r="AS49" s="299">
        <v>0</v>
      </c>
      <c r="AT49" s="299">
        <v>0</v>
      </c>
      <c r="AU49" s="299">
        <v>0</v>
      </c>
      <c r="AV49" s="299">
        <v>0</v>
      </c>
      <c r="AW49" s="299">
        <v>12</v>
      </c>
      <c r="AX49" s="299" t="s">
        <v>403</v>
      </c>
      <c r="AY49" s="299"/>
      <c r="AZ49" s="299" t="s">
        <v>405</v>
      </c>
      <c r="BA49" s="298"/>
      <c r="BB49" s="297"/>
      <c r="BC49" s="299"/>
      <c r="BD49" s="299" t="s">
        <v>406</v>
      </c>
      <c r="BE49" s="298"/>
      <c r="BF49" t="s">
        <v>235</v>
      </c>
      <c r="BG49"/>
    </row>
    <row r="50" spans="1:59" s="237" customFormat="1" x14ac:dyDescent="0.15">
      <c r="A50" s="148">
        <v>880</v>
      </c>
      <c r="B50" s="308">
        <v>42983</v>
      </c>
      <c r="C50" s="296" t="s">
        <v>278</v>
      </c>
      <c r="D50" s="297" t="s">
        <v>205</v>
      </c>
      <c r="E50" s="295">
        <v>42711</v>
      </c>
      <c r="F50" s="298" t="s">
        <v>290</v>
      </c>
      <c r="G50" s="297" t="s">
        <v>421</v>
      </c>
      <c r="H50" s="297">
        <v>67.8</v>
      </c>
      <c r="I50" s="235" t="s">
        <v>402</v>
      </c>
      <c r="J50" s="238">
        <v>4000</v>
      </c>
      <c r="K50" s="238">
        <v>12000</v>
      </c>
      <c r="L50" s="238">
        <v>12000</v>
      </c>
      <c r="M50" s="238">
        <v>12000</v>
      </c>
      <c r="N50" s="148"/>
      <c r="O50" s="297">
        <v>2.21</v>
      </c>
      <c r="P50" s="297">
        <v>1.81</v>
      </c>
      <c r="Q50" s="297">
        <v>0</v>
      </c>
      <c r="R50" s="297">
        <v>0</v>
      </c>
      <c r="S50" s="297">
        <v>1.56</v>
      </c>
      <c r="T50" s="297"/>
      <c r="U50" s="297">
        <v>2.21</v>
      </c>
      <c r="V50" s="297">
        <v>1.81</v>
      </c>
      <c r="W50" s="297">
        <v>0</v>
      </c>
      <c r="X50" s="297">
        <v>0</v>
      </c>
      <c r="Y50" s="297">
        <v>1.56</v>
      </c>
      <c r="Z50" s="297"/>
      <c r="AA50" s="297"/>
      <c r="AB50" s="297"/>
      <c r="AC50" s="297"/>
      <c r="AD50" s="297"/>
      <c r="AE50" s="297"/>
      <c r="AF50" s="297"/>
      <c r="AG50" s="299" t="s">
        <v>281</v>
      </c>
      <c r="AH50" s="299" t="s">
        <v>282</v>
      </c>
      <c r="AI50" s="192">
        <v>2</v>
      </c>
      <c r="AJ50" s="192">
        <v>4</v>
      </c>
      <c r="AK50" s="244">
        <v>0.33329999999999999</v>
      </c>
      <c r="AL50" s="244">
        <v>0.66659999999999997</v>
      </c>
      <c r="AM50" s="299">
        <v>0</v>
      </c>
      <c r="AN50" s="299">
        <v>0</v>
      </c>
      <c r="AO50" s="299">
        <v>0</v>
      </c>
      <c r="AP50" s="299">
        <v>0</v>
      </c>
      <c r="AQ50" s="299">
        <v>0</v>
      </c>
      <c r="AR50" s="299">
        <v>20</v>
      </c>
      <c r="AS50" s="299">
        <v>0</v>
      </c>
      <c r="AT50" s="299">
        <v>0</v>
      </c>
      <c r="AU50" s="299">
        <v>0</v>
      </c>
      <c r="AV50" s="299">
        <v>0</v>
      </c>
      <c r="AW50" s="297"/>
      <c r="AX50" s="299" t="s">
        <v>405</v>
      </c>
      <c r="AY50" s="299"/>
      <c r="AZ50" s="299" t="s">
        <v>405</v>
      </c>
      <c r="BA50" s="298"/>
      <c r="BB50" s="297"/>
      <c r="BC50" s="299"/>
      <c r="BD50" s="299" t="s">
        <v>422</v>
      </c>
      <c r="BE50" s="298"/>
      <c r="BF50" t="s">
        <v>236</v>
      </c>
      <c r="BG50"/>
    </row>
    <row r="51" spans="1:59" s="237" customFormat="1" x14ac:dyDescent="0.15">
      <c r="A51" s="148">
        <v>160</v>
      </c>
      <c r="B51" s="308">
        <v>42983</v>
      </c>
      <c r="C51" s="296" t="s">
        <v>278</v>
      </c>
      <c r="D51" s="297" t="s">
        <v>205</v>
      </c>
      <c r="E51" s="295">
        <v>42929</v>
      </c>
      <c r="F51" s="298" t="s">
        <v>217</v>
      </c>
      <c r="G51" s="297" t="s">
        <v>425</v>
      </c>
      <c r="H51" s="297">
        <v>73.5</v>
      </c>
      <c r="I51" s="235" t="s">
        <v>402</v>
      </c>
      <c r="J51" s="148">
        <v>1645</v>
      </c>
      <c r="K51" s="148">
        <v>3000</v>
      </c>
      <c r="L51" s="148">
        <v>3000</v>
      </c>
      <c r="M51" s="148">
        <v>3000</v>
      </c>
      <c r="N51" s="148"/>
      <c r="O51" s="297">
        <v>2.82</v>
      </c>
      <c r="P51" s="297">
        <v>2.17</v>
      </c>
      <c r="Q51" s="297">
        <v>0</v>
      </c>
      <c r="R51" s="297">
        <v>0</v>
      </c>
      <c r="S51" s="297">
        <v>1.7</v>
      </c>
      <c r="T51" s="297"/>
      <c r="U51" s="297">
        <v>2.82</v>
      </c>
      <c r="V51" s="297">
        <v>2.17</v>
      </c>
      <c r="W51" s="297">
        <v>0</v>
      </c>
      <c r="X51" s="297">
        <v>0</v>
      </c>
      <c r="Y51" s="297">
        <v>1.7</v>
      </c>
      <c r="Z51" s="297"/>
      <c r="AA51" s="297"/>
      <c r="AB51" s="297"/>
      <c r="AC51" s="297"/>
      <c r="AD51" s="297"/>
      <c r="AE51" s="297"/>
      <c r="AF51" s="297"/>
      <c r="AG51" s="299" t="s">
        <v>281</v>
      </c>
      <c r="AH51" s="299" t="s">
        <v>282</v>
      </c>
      <c r="AI51" s="192">
        <v>2</v>
      </c>
      <c r="AJ51" s="192">
        <v>4</v>
      </c>
      <c r="AK51" s="244">
        <v>0.33329999999999999</v>
      </c>
      <c r="AL51" s="244">
        <v>0.66659999999999997</v>
      </c>
      <c r="AM51" s="299">
        <v>0</v>
      </c>
      <c r="AN51" s="299">
        <v>0</v>
      </c>
      <c r="AO51" s="299">
        <v>0</v>
      </c>
      <c r="AP51" s="299">
        <v>20</v>
      </c>
      <c r="AQ51" s="299">
        <v>0</v>
      </c>
      <c r="AR51" s="299">
        <v>0</v>
      </c>
      <c r="AS51" s="299">
        <v>0</v>
      </c>
      <c r="AT51" s="299">
        <v>0</v>
      </c>
      <c r="AU51" s="299">
        <v>0</v>
      </c>
      <c r="AV51" s="299">
        <v>0</v>
      </c>
      <c r="AW51" s="297"/>
      <c r="AX51" s="299" t="s">
        <v>405</v>
      </c>
      <c r="AY51" s="299">
        <v>12</v>
      </c>
      <c r="AZ51" s="299" t="s">
        <v>405</v>
      </c>
      <c r="BA51" s="298" t="s">
        <v>218</v>
      </c>
      <c r="BB51" s="297" t="s">
        <v>433</v>
      </c>
      <c r="BC51" s="299">
        <v>50</v>
      </c>
      <c r="BD51" s="299" t="s">
        <v>406</v>
      </c>
      <c r="BE51" s="298"/>
      <c r="BF51" s="301" t="s">
        <v>207</v>
      </c>
      <c r="BG51"/>
    </row>
    <row r="52" spans="1:59" s="237" customFormat="1" x14ac:dyDescent="0.15">
      <c r="A52" s="148">
        <v>174</v>
      </c>
      <c r="B52" s="308">
        <v>42983</v>
      </c>
      <c r="C52" s="296" t="s">
        <v>278</v>
      </c>
      <c r="D52" s="297" t="s">
        <v>205</v>
      </c>
      <c r="E52" s="295">
        <v>42826</v>
      </c>
      <c r="F52" s="298" t="s">
        <v>220</v>
      </c>
      <c r="G52" s="297" t="s">
        <v>428</v>
      </c>
      <c r="H52" s="297">
        <v>65.819999999999993</v>
      </c>
      <c r="I52" s="235" t="s">
        <v>402</v>
      </c>
      <c r="J52" s="148">
        <v>1645</v>
      </c>
      <c r="K52" s="148">
        <v>3000</v>
      </c>
      <c r="L52" s="148">
        <v>3000</v>
      </c>
      <c r="M52" s="148">
        <v>3000</v>
      </c>
      <c r="N52" s="148"/>
      <c r="O52" s="297">
        <v>2.72</v>
      </c>
      <c r="P52" s="297">
        <v>2.17</v>
      </c>
      <c r="Q52" s="297">
        <v>0</v>
      </c>
      <c r="R52" s="297">
        <v>0</v>
      </c>
      <c r="S52" s="297">
        <v>1.76</v>
      </c>
      <c r="T52" s="297"/>
      <c r="U52" s="297">
        <v>2.72</v>
      </c>
      <c r="V52" s="297">
        <v>2.17</v>
      </c>
      <c r="W52" s="297">
        <v>0</v>
      </c>
      <c r="X52" s="297">
        <v>0</v>
      </c>
      <c r="Y52" s="297">
        <v>1.76</v>
      </c>
      <c r="Z52" s="297"/>
      <c r="AA52" s="297"/>
      <c r="AB52" s="297"/>
      <c r="AC52" s="297"/>
      <c r="AD52" s="297"/>
      <c r="AE52" s="297"/>
      <c r="AF52" s="297"/>
      <c r="AG52" s="299" t="s">
        <v>233</v>
      </c>
      <c r="AH52" s="299"/>
      <c r="AI52" s="192">
        <v>2</v>
      </c>
      <c r="AJ52" s="192">
        <v>4</v>
      </c>
      <c r="AK52" s="244">
        <v>0.33329999999999999</v>
      </c>
      <c r="AL52" s="244">
        <v>0.66659999999999997</v>
      </c>
      <c r="AM52" s="299">
        <v>0</v>
      </c>
      <c r="AN52" s="299">
        <v>0</v>
      </c>
      <c r="AO52" s="299">
        <v>15</v>
      </c>
      <c r="AP52" s="299">
        <v>0</v>
      </c>
      <c r="AQ52" s="299">
        <v>0</v>
      </c>
      <c r="AR52" s="299">
        <v>0</v>
      </c>
      <c r="AS52" s="299">
        <v>0</v>
      </c>
      <c r="AT52" s="299">
        <v>0</v>
      </c>
      <c r="AU52" s="299">
        <v>0</v>
      </c>
      <c r="AV52" s="299">
        <v>0</v>
      </c>
      <c r="AW52" s="297"/>
      <c r="AX52" s="299" t="s">
        <v>405</v>
      </c>
      <c r="AY52" s="299"/>
      <c r="AZ52" s="299" t="s">
        <v>405</v>
      </c>
      <c r="BA52" s="298" t="s">
        <v>429</v>
      </c>
      <c r="BB52" s="297"/>
      <c r="BC52" s="299"/>
      <c r="BD52" s="299" t="s">
        <v>406</v>
      </c>
      <c r="BE52" s="298"/>
      <c r="BF52" t="s">
        <v>221</v>
      </c>
      <c r="BG52"/>
    </row>
    <row r="53" spans="1:59" s="237" customFormat="1" x14ac:dyDescent="0.15">
      <c r="A53" s="148">
        <v>315</v>
      </c>
      <c r="B53" s="308">
        <v>42983</v>
      </c>
      <c r="C53" s="296" t="s">
        <v>278</v>
      </c>
      <c r="D53" s="297" t="s">
        <v>205</v>
      </c>
      <c r="E53" s="295">
        <v>42736</v>
      </c>
      <c r="F53" s="297" t="s">
        <v>222</v>
      </c>
      <c r="G53" s="297" t="s">
        <v>421</v>
      </c>
      <c r="H53" s="297">
        <v>65.38</v>
      </c>
      <c r="I53" s="235" t="s">
        <v>402</v>
      </c>
      <c r="J53" s="148">
        <v>1645</v>
      </c>
      <c r="K53" s="148">
        <v>3000</v>
      </c>
      <c r="L53" s="148">
        <v>3000</v>
      </c>
      <c r="M53" s="148">
        <v>3000</v>
      </c>
      <c r="N53" s="148"/>
      <c r="O53" s="297">
        <v>2.2730000000000001</v>
      </c>
      <c r="P53" s="297">
        <v>1.8380000000000001</v>
      </c>
      <c r="Q53" s="297">
        <v>0</v>
      </c>
      <c r="R53" s="297">
        <v>0</v>
      </c>
      <c r="S53" s="297">
        <v>1.526</v>
      </c>
      <c r="T53" s="297"/>
      <c r="U53" s="297">
        <v>2.2389999999999999</v>
      </c>
      <c r="V53" s="297">
        <v>1.8049999999999999</v>
      </c>
      <c r="W53" s="297">
        <v>0</v>
      </c>
      <c r="X53" s="297">
        <v>0</v>
      </c>
      <c r="Y53" s="297">
        <v>1.492</v>
      </c>
      <c r="Z53" s="297"/>
      <c r="AA53" s="297"/>
      <c r="AB53" s="297"/>
      <c r="AC53" s="297"/>
      <c r="AD53" s="297"/>
      <c r="AE53" s="297"/>
      <c r="AF53" s="297"/>
      <c r="AG53" s="299" t="s">
        <v>281</v>
      </c>
      <c r="AH53" s="299" t="s">
        <v>282</v>
      </c>
      <c r="AI53" s="192">
        <v>2</v>
      </c>
      <c r="AJ53" s="192">
        <v>4</v>
      </c>
      <c r="AK53" s="244">
        <v>0.33329999999999999</v>
      </c>
      <c r="AL53" s="244">
        <v>0.66659999999999997</v>
      </c>
      <c r="AM53" s="299">
        <v>0</v>
      </c>
      <c r="AN53" s="299">
        <v>0</v>
      </c>
      <c r="AO53" s="299">
        <v>0</v>
      </c>
      <c r="AP53" s="299">
        <v>0</v>
      </c>
      <c r="AQ53" s="299">
        <v>0</v>
      </c>
      <c r="AR53" s="299">
        <v>0</v>
      </c>
      <c r="AS53" s="299">
        <v>0</v>
      </c>
      <c r="AT53" s="299">
        <v>0</v>
      </c>
      <c r="AU53" s="299">
        <v>0</v>
      </c>
      <c r="AV53" s="299">
        <v>0</v>
      </c>
      <c r="AW53" s="297"/>
      <c r="AX53" s="299" t="s">
        <v>405</v>
      </c>
      <c r="AY53" s="299"/>
      <c r="AZ53" s="299" t="s">
        <v>405</v>
      </c>
      <c r="BA53" s="298" t="s">
        <v>432</v>
      </c>
      <c r="BB53" s="297" t="s">
        <v>433</v>
      </c>
      <c r="BC53" s="299">
        <v>50</v>
      </c>
      <c r="BD53" s="299" t="s">
        <v>422</v>
      </c>
      <c r="BE53" s="298"/>
      <c r="BF53" t="s">
        <v>238</v>
      </c>
      <c r="BG53"/>
    </row>
    <row r="54" spans="1:59" s="237" customFormat="1" x14ac:dyDescent="0.15">
      <c r="A54" s="148">
        <v>570</v>
      </c>
      <c r="B54" s="308">
        <v>42983</v>
      </c>
      <c r="C54" s="296" t="s">
        <v>278</v>
      </c>
      <c r="D54" s="297" t="s">
        <v>205</v>
      </c>
      <c r="E54" s="295">
        <v>42917</v>
      </c>
      <c r="F54" s="298" t="s">
        <v>224</v>
      </c>
      <c r="G54" s="297" t="s">
        <v>355</v>
      </c>
      <c r="H54" s="297">
        <v>68.91</v>
      </c>
      <c r="I54" s="235" t="s">
        <v>402</v>
      </c>
      <c r="J54" s="238">
        <v>4000</v>
      </c>
      <c r="K54" s="238">
        <v>12000</v>
      </c>
      <c r="L54" s="238">
        <v>12000</v>
      </c>
      <c r="M54" s="238">
        <v>12000</v>
      </c>
      <c r="N54" s="148"/>
      <c r="O54" s="297">
        <v>2.1429999999999998</v>
      </c>
      <c r="P54" s="297">
        <v>1.929</v>
      </c>
      <c r="Q54" s="297">
        <v>0</v>
      </c>
      <c r="R54" s="297">
        <v>0</v>
      </c>
      <c r="S54" s="297">
        <v>1.6839999999999999</v>
      </c>
      <c r="T54" s="297"/>
      <c r="U54" s="297">
        <v>2.1429999999999998</v>
      </c>
      <c r="V54" s="297">
        <v>1.929</v>
      </c>
      <c r="W54" s="297">
        <v>0</v>
      </c>
      <c r="X54" s="297">
        <v>0</v>
      </c>
      <c r="Y54" s="297">
        <v>1.6839999999999999</v>
      </c>
      <c r="Z54" s="297"/>
      <c r="AA54" s="297"/>
      <c r="AB54" s="297"/>
      <c r="AC54" s="297"/>
      <c r="AD54" s="297"/>
      <c r="AE54" s="297"/>
      <c r="AF54" s="297"/>
      <c r="AG54" s="299" t="s">
        <v>233</v>
      </c>
      <c r="AH54" s="299"/>
      <c r="AI54" s="192">
        <v>2</v>
      </c>
      <c r="AJ54" s="192">
        <v>4</v>
      </c>
      <c r="AK54" s="244">
        <v>0.33329999999999999</v>
      </c>
      <c r="AL54" s="244">
        <v>0.66659999999999997</v>
      </c>
      <c r="AM54" s="299">
        <v>0</v>
      </c>
      <c r="AN54" s="299">
        <v>0</v>
      </c>
      <c r="AO54" s="299">
        <v>0</v>
      </c>
      <c r="AP54" s="299">
        <v>13</v>
      </c>
      <c r="AQ54" s="299">
        <v>0</v>
      </c>
      <c r="AR54" s="299">
        <v>0</v>
      </c>
      <c r="AS54" s="299">
        <v>0</v>
      </c>
      <c r="AT54" s="299">
        <v>0</v>
      </c>
      <c r="AU54" s="299">
        <v>0</v>
      </c>
      <c r="AV54" s="299">
        <v>0</v>
      </c>
      <c r="AW54" s="297"/>
      <c r="AX54" s="299" t="s">
        <v>405</v>
      </c>
      <c r="AY54" s="299">
        <v>12</v>
      </c>
      <c r="AZ54" s="299" t="s">
        <v>405</v>
      </c>
      <c r="BA54" s="298"/>
      <c r="BB54" s="298"/>
      <c r="BC54" s="299"/>
      <c r="BD54" s="299" t="s">
        <v>406</v>
      </c>
      <c r="BE54" s="298"/>
      <c r="BF54" t="s">
        <v>208</v>
      </c>
      <c r="BG54"/>
    </row>
    <row r="55" spans="1:59" s="237" customFormat="1" x14ac:dyDescent="0.15">
      <c r="A55" s="148">
        <v>236</v>
      </c>
      <c r="B55" s="308">
        <v>42983</v>
      </c>
      <c r="C55" s="296" t="s">
        <v>278</v>
      </c>
      <c r="D55" s="297" t="s">
        <v>205</v>
      </c>
      <c r="E55" s="309" t="s">
        <v>358</v>
      </c>
      <c r="F55" s="298" t="s">
        <v>226</v>
      </c>
      <c r="G55" s="297" t="s">
        <v>360</v>
      </c>
      <c r="H55" s="297">
        <v>71</v>
      </c>
      <c r="I55" s="235" t="s">
        <v>402</v>
      </c>
      <c r="J55" s="238">
        <v>3000</v>
      </c>
      <c r="K55" s="238">
        <v>3000</v>
      </c>
      <c r="L55" s="238">
        <v>3000</v>
      </c>
      <c r="M55" s="238">
        <v>3000</v>
      </c>
      <c r="N55" s="148"/>
      <c r="O55" s="297">
        <v>2.2469999999999999</v>
      </c>
      <c r="P55">
        <v>0</v>
      </c>
      <c r="Q55" s="297">
        <v>0</v>
      </c>
      <c r="R55" s="297">
        <v>0</v>
      </c>
      <c r="S55" s="297">
        <v>1.6040000000000001</v>
      </c>
      <c r="T55" s="297"/>
      <c r="U55" s="297">
        <v>2.2469999999999999</v>
      </c>
      <c r="V55">
        <v>0</v>
      </c>
      <c r="W55" s="297">
        <v>0</v>
      </c>
      <c r="X55" s="297">
        <v>0</v>
      </c>
      <c r="Y55" s="297">
        <v>1.6040000000000001</v>
      </c>
      <c r="Z55" s="297"/>
      <c r="AA55" s="297"/>
      <c r="AB55" s="297"/>
      <c r="AC55" s="297"/>
      <c r="AD55" s="297"/>
      <c r="AE55" s="297"/>
      <c r="AF55" s="297"/>
      <c r="AG55" s="299" t="s">
        <v>233</v>
      </c>
      <c r="AH55" s="299"/>
      <c r="AI55" s="236">
        <v>2</v>
      </c>
      <c r="AJ55" s="236">
        <v>4</v>
      </c>
      <c r="AK55" s="244">
        <v>0.33329999999999999</v>
      </c>
      <c r="AL55" s="244">
        <v>0.66659999999999997</v>
      </c>
      <c r="AM55" s="299">
        <v>0</v>
      </c>
      <c r="AN55" s="299">
        <v>0</v>
      </c>
      <c r="AO55" s="299">
        <v>10</v>
      </c>
      <c r="AP55" s="299">
        <v>0</v>
      </c>
      <c r="AQ55" s="299">
        <v>0</v>
      </c>
      <c r="AR55" s="299">
        <v>0</v>
      </c>
      <c r="AS55" s="299">
        <v>0</v>
      </c>
      <c r="AT55" s="299">
        <v>0</v>
      </c>
      <c r="AU55" s="299">
        <v>0</v>
      </c>
      <c r="AV55" s="299">
        <v>0</v>
      </c>
      <c r="AW55" s="299"/>
      <c r="AX55" s="299" t="s">
        <v>405</v>
      </c>
      <c r="AY55" s="299"/>
      <c r="AZ55" s="299" t="s">
        <v>405</v>
      </c>
      <c r="BA55" s="298"/>
      <c r="BB55" s="297"/>
      <c r="BC55" s="299"/>
      <c r="BD55" s="299" t="s">
        <v>422</v>
      </c>
      <c r="BE55" s="298"/>
      <c r="BF55" t="s">
        <v>323</v>
      </c>
      <c r="BG55"/>
    </row>
    <row r="56" spans="1:59" s="237" customFormat="1" x14ac:dyDescent="0.15">
      <c r="A56" s="148">
        <v>787</v>
      </c>
      <c r="B56" s="308">
        <v>42983</v>
      </c>
      <c r="C56" s="296" t="s">
        <v>278</v>
      </c>
      <c r="D56" s="297" t="s">
        <v>205</v>
      </c>
      <c r="E56" s="309">
        <v>42917</v>
      </c>
      <c r="F56" s="298" t="s">
        <v>227</v>
      </c>
      <c r="G56" s="297" t="s">
        <v>363</v>
      </c>
      <c r="H56" s="297">
        <v>72.08</v>
      </c>
      <c r="I56" s="235" t="s">
        <v>402</v>
      </c>
      <c r="J56" s="148">
        <v>1645</v>
      </c>
      <c r="K56" s="148">
        <v>3000</v>
      </c>
      <c r="L56" s="148">
        <v>3000</v>
      </c>
      <c r="M56" s="148">
        <v>3000</v>
      </c>
      <c r="N56" s="148"/>
      <c r="O56" s="297">
        <v>2.34</v>
      </c>
      <c r="P56" s="297">
        <v>1.97</v>
      </c>
      <c r="Q56" s="297">
        <v>0</v>
      </c>
      <c r="R56" s="297">
        <v>0</v>
      </c>
      <c r="S56" s="297">
        <v>1.65</v>
      </c>
      <c r="T56" s="297"/>
      <c r="U56" s="297">
        <v>2.34</v>
      </c>
      <c r="V56" s="297">
        <v>1.97</v>
      </c>
      <c r="W56" s="297">
        <v>0</v>
      </c>
      <c r="X56" s="297">
        <v>0</v>
      </c>
      <c r="Y56" s="297">
        <v>1.65</v>
      </c>
      <c r="Z56" s="297"/>
      <c r="AA56" s="297"/>
      <c r="AB56" s="297"/>
      <c r="AC56" s="297"/>
      <c r="AD56" s="297"/>
      <c r="AE56" s="297"/>
      <c r="AF56" s="297"/>
      <c r="AG56" s="299" t="s">
        <v>233</v>
      </c>
      <c r="AH56" s="299"/>
      <c r="AI56" s="192">
        <v>2</v>
      </c>
      <c r="AJ56" s="192">
        <v>4</v>
      </c>
      <c r="AK56" s="243">
        <v>0.33329999999999999</v>
      </c>
      <c r="AL56" s="243">
        <v>0.66659999999999997</v>
      </c>
      <c r="AM56" s="299">
        <v>0</v>
      </c>
      <c r="AN56" s="299">
        <v>0</v>
      </c>
      <c r="AO56" s="299">
        <v>0</v>
      </c>
      <c r="AP56" s="299">
        <v>20</v>
      </c>
      <c r="AQ56" s="299">
        <v>0</v>
      </c>
      <c r="AR56" s="299">
        <v>0</v>
      </c>
      <c r="AS56" s="299">
        <v>0</v>
      </c>
      <c r="AT56" s="299">
        <v>0</v>
      </c>
      <c r="AU56" s="299">
        <v>0</v>
      </c>
      <c r="AV56" s="299">
        <v>0</v>
      </c>
      <c r="AW56" s="299">
        <v>24</v>
      </c>
      <c r="AX56" s="299" t="s">
        <v>405</v>
      </c>
      <c r="AY56" s="299"/>
      <c r="AZ56" s="299" t="s">
        <v>405</v>
      </c>
      <c r="BA56" s="298" t="s">
        <v>364</v>
      </c>
      <c r="BB56" s="297" t="s">
        <v>365</v>
      </c>
      <c r="BC56" s="299">
        <v>25</v>
      </c>
      <c r="BD56" s="299" t="s">
        <v>422</v>
      </c>
      <c r="BE56" s="298"/>
      <c r="BF56" t="s">
        <v>204</v>
      </c>
      <c r="BG56"/>
    </row>
    <row r="57" spans="1:59" s="7" customFormat="1" x14ac:dyDescent="0.15">
      <c r="A57" s="148">
        <v>81</v>
      </c>
      <c r="B57" s="308">
        <v>42983</v>
      </c>
      <c r="C57" s="296" t="s">
        <v>278</v>
      </c>
      <c r="D57" s="297" t="s">
        <v>209</v>
      </c>
      <c r="E57" s="295">
        <v>42917</v>
      </c>
      <c r="F57" s="298" t="s">
        <v>280</v>
      </c>
      <c r="G57" s="297" t="s">
        <v>401</v>
      </c>
      <c r="H57" s="297">
        <v>78.459999999999994</v>
      </c>
      <c r="I57" s="208" t="s">
        <v>402</v>
      </c>
      <c r="J57" s="204">
        <v>6000</v>
      </c>
      <c r="K57" s="204">
        <v>12000</v>
      </c>
      <c r="L57" s="204">
        <v>84000</v>
      </c>
      <c r="M57" s="204">
        <v>8400</v>
      </c>
      <c r="N57" s="204"/>
      <c r="O57" s="297">
        <v>1.9530000000000001</v>
      </c>
      <c r="P57" s="297">
        <v>1.875</v>
      </c>
      <c r="Q57" s="297">
        <v>1.5609999999999999</v>
      </c>
      <c r="R57" s="297">
        <v>0</v>
      </c>
      <c r="S57" s="297">
        <v>1.399</v>
      </c>
      <c r="T57" s="297"/>
      <c r="U57" s="297">
        <v>1.7749999999999999</v>
      </c>
      <c r="V57" s="297">
        <v>1.4319999999999999</v>
      </c>
      <c r="W57" s="297">
        <v>1.33</v>
      </c>
      <c r="X57" s="297">
        <v>0</v>
      </c>
      <c r="Y57" s="297">
        <v>1.3109999999999999</v>
      </c>
      <c r="Z57" s="297"/>
      <c r="AA57" s="297"/>
      <c r="AB57" s="297"/>
      <c r="AC57" s="297"/>
      <c r="AD57" s="297"/>
      <c r="AE57" s="297"/>
      <c r="AF57" s="297"/>
      <c r="AG57" s="299" t="s">
        <v>281</v>
      </c>
      <c r="AH57" s="299" t="s">
        <v>282</v>
      </c>
      <c r="AI57" s="192">
        <v>2</v>
      </c>
      <c r="AJ57" s="192">
        <v>4</v>
      </c>
      <c r="AK57" s="245">
        <v>0.33329999999999999</v>
      </c>
      <c r="AL57" s="245">
        <v>0.66659999999999997</v>
      </c>
      <c r="AM57" s="299">
        <v>0</v>
      </c>
      <c r="AN57" s="299">
        <v>0</v>
      </c>
      <c r="AO57" s="299">
        <v>0</v>
      </c>
      <c r="AP57" s="299">
        <v>15</v>
      </c>
      <c r="AQ57" s="299">
        <v>0</v>
      </c>
      <c r="AR57" s="299">
        <v>0</v>
      </c>
      <c r="AS57" s="299">
        <v>0</v>
      </c>
      <c r="AT57" s="299">
        <v>0</v>
      </c>
      <c r="AU57" s="299">
        <v>0</v>
      </c>
      <c r="AV57" s="299">
        <v>0</v>
      </c>
      <c r="AW57" s="299"/>
      <c r="AX57" s="299" t="s">
        <v>405</v>
      </c>
      <c r="AY57" s="299">
        <v>12</v>
      </c>
      <c r="AZ57" s="299" t="s">
        <v>405</v>
      </c>
      <c r="BA57" s="298" t="s">
        <v>283</v>
      </c>
      <c r="BB57" s="297" t="s">
        <v>433</v>
      </c>
      <c r="BC57" s="299">
        <v>50</v>
      </c>
      <c r="BD57" s="299" t="s">
        <v>406</v>
      </c>
      <c r="BE57" s="298"/>
      <c r="BF57" t="s">
        <v>210</v>
      </c>
      <c r="BG57"/>
    </row>
    <row r="58" spans="1:59" s="7" customFormat="1" x14ac:dyDescent="0.15">
      <c r="A58" s="148">
        <v>264</v>
      </c>
      <c r="B58" s="308">
        <v>42983</v>
      </c>
      <c r="C58" s="296" t="s">
        <v>278</v>
      </c>
      <c r="D58" s="297" t="s">
        <v>209</v>
      </c>
      <c r="E58" s="309" t="s">
        <v>285</v>
      </c>
      <c r="F58" s="298" t="s">
        <v>286</v>
      </c>
      <c r="G58" s="297" t="s">
        <v>410</v>
      </c>
      <c r="H58" s="297">
        <v>63.46</v>
      </c>
      <c r="I58" s="208" t="s">
        <v>402</v>
      </c>
      <c r="J58" s="210">
        <v>6000</v>
      </c>
      <c r="K58" s="210">
        <v>6000</v>
      </c>
      <c r="L58" s="210">
        <v>6000</v>
      </c>
      <c r="M58" s="210">
        <v>6000</v>
      </c>
      <c r="N58" s="204"/>
      <c r="O58" s="297">
        <v>1.99</v>
      </c>
      <c r="P58">
        <v>0</v>
      </c>
      <c r="Q58" s="297">
        <v>0</v>
      </c>
      <c r="R58" s="297">
        <v>0</v>
      </c>
      <c r="S58" s="297">
        <v>1.79</v>
      </c>
      <c r="T58" s="297"/>
      <c r="U58" s="297">
        <v>1.77</v>
      </c>
      <c r="V58">
        <v>0</v>
      </c>
      <c r="W58" s="297">
        <v>0</v>
      </c>
      <c r="X58" s="297">
        <v>0</v>
      </c>
      <c r="Y58" s="297">
        <v>1.48</v>
      </c>
      <c r="Z58" s="297"/>
      <c r="AA58" s="297"/>
      <c r="AB58" s="297"/>
      <c r="AC58" s="297"/>
      <c r="AD58" s="297"/>
      <c r="AE58" s="297"/>
      <c r="AF58" s="297"/>
      <c r="AG58" s="299" t="s">
        <v>281</v>
      </c>
      <c r="AH58" s="299" t="s">
        <v>282</v>
      </c>
      <c r="AI58" s="192">
        <v>2</v>
      </c>
      <c r="AJ58" s="192">
        <v>4</v>
      </c>
      <c r="AK58" s="245">
        <v>0.33329999999999999</v>
      </c>
      <c r="AL58" s="245">
        <v>0.66659999999999997</v>
      </c>
      <c r="AM58" s="299">
        <v>0</v>
      </c>
      <c r="AN58" s="299">
        <v>0</v>
      </c>
      <c r="AO58" s="299">
        <v>0</v>
      </c>
      <c r="AP58" s="299">
        <v>25</v>
      </c>
      <c r="AQ58" s="299">
        <v>0</v>
      </c>
      <c r="AR58" s="299">
        <v>0</v>
      </c>
      <c r="AS58" s="299">
        <v>0</v>
      </c>
      <c r="AT58" s="299">
        <v>0</v>
      </c>
      <c r="AU58" s="299">
        <v>0</v>
      </c>
      <c r="AV58" s="299">
        <v>0</v>
      </c>
      <c r="AW58" s="297"/>
      <c r="AX58" s="299" t="s">
        <v>405</v>
      </c>
      <c r="AY58" s="299">
        <v>24</v>
      </c>
      <c r="AZ58" s="299" t="s">
        <v>405</v>
      </c>
      <c r="BA58" s="298"/>
      <c r="BB58" s="297"/>
      <c r="BC58" s="299"/>
      <c r="BD58" s="299" t="s">
        <v>406</v>
      </c>
      <c r="BE58" s="298"/>
      <c r="BF58" t="s">
        <v>287</v>
      </c>
      <c r="BG58"/>
    </row>
    <row r="59" spans="1:59" s="7" customFormat="1" x14ac:dyDescent="0.15">
      <c r="A59" s="148">
        <v>278</v>
      </c>
      <c r="B59" s="308">
        <v>42983</v>
      </c>
      <c r="C59" s="296" t="s">
        <v>278</v>
      </c>
      <c r="D59" s="297" t="s">
        <v>209</v>
      </c>
      <c r="E59" s="295">
        <v>42917</v>
      </c>
      <c r="F59" s="298" t="s">
        <v>288</v>
      </c>
      <c r="G59" s="297" t="s">
        <v>414</v>
      </c>
      <c r="H59" s="297">
        <v>96.8</v>
      </c>
      <c r="I59" s="208" t="s">
        <v>402</v>
      </c>
      <c r="J59" s="204">
        <v>6000</v>
      </c>
      <c r="K59" s="204">
        <v>12000</v>
      </c>
      <c r="L59" s="204">
        <v>12000</v>
      </c>
      <c r="M59" s="204">
        <v>12000</v>
      </c>
      <c r="N59" s="204"/>
      <c r="O59" s="297">
        <v>2.35</v>
      </c>
      <c r="P59" s="297">
        <v>2.2000000000000002</v>
      </c>
      <c r="Q59">
        <v>0</v>
      </c>
      <c r="R59" s="297">
        <v>0</v>
      </c>
      <c r="S59" s="297">
        <v>1.75</v>
      </c>
      <c r="T59" s="297"/>
      <c r="U59" s="297">
        <v>1.8</v>
      </c>
      <c r="V59" s="297">
        <v>1.75</v>
      </c>
      <c r="W59">
        <v>0</v>
      </c>
      <c r="X59" s="297">
        <v>0</v>
      </c>
      <c r="Y59" s="297">
        <v>1.65</v>
      </c>
      <c r="Z59" s="297"/>
      <c r="AA59" s="297"/>
      <c r="AB59" s="297"/>
      <c r="AC59" s="297"/>
      <c r="AD59" s="297"/>
      <c r="AE59" s="297"/>
      <c r="AF59" s="297"/>
      <c r="AG59" s="299" t="s">
        <v>281</v>
      </c>
      <c r="AH59" s="299" t="s">
        <v>282</v>
      </c>
      <c r="AI59" s="192">
        <v>2</v>
      </c>
      <c r="AJ59" s="192">
        <v>4</v>
      </c>
      <c r="AK59" s="245">
        <v>0.33329999999999999</v>
      </c>
      <c r="AL59" s="245">
        <v>0.66659999999999997</v>
      </c>
      <c r="AM59" s="299">
        <v>0</v>
      </c>
      <c r="AN59" s="299">
        <v>0</v>
      </c>
      <c r="AO59" s="299">
        <v>14</v>
      </c>
      <c r="AP59" s="299">
        <v>0</v>
      </c>
      <c r="AQ59" s="299">
        <v>0</v>
      </c>
      <c r="AR59" s="299">
        <v>0</v>
      </c>
      <c r="AS59" s="299">
        <v>0</v>
      </c>
      <c r="AT59" s="299">
        <v>0</v>
      </c>
      <c r="AU59" s="299">
        <v>0</v>
      </c>
      <c r="AV59" s="299">
        <v>0</v>
      </c>
      <c r="AW59" s="297"/>
      <c r="AX59" s="299" t="s">
        <v>405</v>
      </c>
      <c r="AY59" s="299"/>
      <c r="AZ59" s="299" t="s">
        <v>405</v>
      </c>
      <c r="BA59" s="298"/>
      <c r="BB59" s="297"/>
      <c r="BC59" s="299"/>
      <c r="BD59" s="299" t="s">
        <v>406</v>
      </c>
      <c r="BE59" s="298" t="s">
        <v>415</v>
      </c>
      <c r="BF59" t="s">
        <v>327</v>
      </c>
      <c r="BG59"/>
    </row>
    <row r="60" spans="1:59" s="7" customFormat="1" x14ac:dyDescent="0.15">
      <c r="A60" s="148">
        <v>330</v>
      </c>
      <c r="B60" s="308">
        <v>42983</v>
      </c>
      <c r="C60" s="296" t="s">
        <v>278</v>
      </c>
      <c r="D60" s="297" t="s">
        <v>209</v>
      </c>
      <c r="E60" s="295">
        <v>42767</v>
      </c>
      <c r="F60" s="298" t="s">
        <v>600</v>
      </c>
      <c r="G60" s="297" t="s">
        <v>421</v>
      </c>
      <c r="H60" s="297">
        <v>83</v>
      </c>
      <c r="I60" s="208" t="s">
        <v>402</v>
      </c>
      <c r="J60" s="204">
        <v>6000</v>
      </c>
      <c r="K60" s="204">
        <v>12000</v>
      </c>
      <c r="L60" s="204">
        <v>84000</v>
      </c>
      <c r="M60" s="204">
        <v>84000</v>
      </c>
      <c r="N60" s="204"/>
      <c r="O60" s="297">
        <v>2.73</v>
      </c>
      <c r="P60" s="297">
        <v>2.52</v>
      </c>
      <c r="Q60" s="297">
        <v>2.02</v>
      </c>
      <c r="R60" s="297">
        <v>0</v>
      </c>
      <c r="S60" s="297">
        <v>2.0099999999999998</v>
      </c>
      <c r="T60" s="297"/>
      <c r="U60" s="297">
        <v>1.96</v>
      </c>
      <c r="V60" s="297">
        <v>1.85</v>
      </c>
      <c r="W60" s="297">
        <v>1.65</v>
      </c>
      <c r="X60" s="297">
        <v>0</v>
      </c>
      <c r="Y60" s="297">
        <v>1.56</v>
      </c>
      <c r="Z60" s="297"/>
      <c r="AA60" s="297"/>
      <c r="AB60" s="297"/>
      <c r="AC60" s="297"/>
      <c r="AD60" s="297"/>
      <c r="AE60" s="297"/>
      <c r="AF60" s="297"/>
      <c r="AG60" s="299" t="s">
        <v>281</v>
      </c>
      <c r="AH60" s="299" t="s">
        <v>282</v>
      </c>
      <c r="AI60" s="209">
        <v>3</v>
      </c>
      <c r="AJ60" s="209">
        <v>3</v>
      </c>
      <c r="AK60" s="245">
        <v>0.5</v>
      </c>
      <c r="AL60" s="245">
        <v>0.5</v>
      </c>
      <c r="AM60" s="299">
        <v>0</v>
      </c>
      <c r="AN60" s="299">
        <v>0</v>
      </c>
      <c r="AO60" s="299">
        <v>0</v>
      </c>
      <c r="AP60" s="299">
        <v>16</v>
      </c>
      <c r="AQ60" s="299">
        <v>0</v>
      </c>
      <c r="AR60" s="299">
        <v>0</v>
      </c>
      <c r="AS60" s="299">
        <v>0</v>
      </c>
      <c r="AT60" s="299">
        <v>0</v>
      </c>
      <c r="AU60" s="299">
        <v>0</v>
      </c>
      <c r="AV60" s="299">
        <v>0</v>
      </c>
      <c r="AW60" s="299">
        <v>12</v>
      </c>
      <c r="AX60" s="299" t="s">
        <v>403</v>
      </c>
      <c r="AY60" s="299"/>
      <c r="AZ60" s="299" t="s">
        <v>405</v>
      </c>
      <c r="BA60" s="298"/>
      <c r="BB60" s="297"/>
      <c r="BC60" s="299"/>
      <c r="BD60" s="299" t="s">
        <v>406</v>
      </c>
      <c r="BE60" s="298"/>
      <c r="BF60" t="s">
        <v>211</v>
      </c>
      <c r="BG60"/>
    </row>
    <row r="61" spans="1:59" s="7" customFormat="1" x14ac:dyDescent="0.15">
      <c r="A61" s="148">
        <v>162</v>
      </c>
      <c r="B61" s="308">
        <v>42983</v>
      </c>
      <c r="C61" s="296" t="s">
        <v>278</v>
      </c>
      <c r="D61" s="297" t="s">
        <v>209</v>
      </c>
      <c r="E61" s="295">
        <v>42929</v>
      </c>
      <c r="F61" s="298" t="s">
        <v>217</v>
      </c>
      <c r="G61" s="297" t="s">
        <v>425</v>
      </c>
      <c r="H61" s="297">
        <v>83.6</v>
      </c>
      <c r="I61" s="208" t="s">
        <v>402</v>
      </c>
      <c r="J61" s="204">
        <v>6000</v>
      </c>
      <c r="K61" s="204">
        <v>12000</v>
      </c>
      <c r="L61" s="204">
        <v>84000</v>
      </c>
      <c r="M61" s="204">
        <v>84000</v>
      </c>
      <c r="N61" s="204"/>
      <c r="O61" s="297">
        <v>2.17</v>
      </c>
      <c r="P61" s="297">
        <v>2.0699999999999998</v>
      </c>
      <c r="Q61" s="297">
        <v>1.5</v>
      </c>
      <c r="R61" s="297">
        <v>0</v>
      </c>
      <c r="S61" s="297">
        <v>1.49</v>
      </c>
      <c r="T61" s="297"/>
      <c r="U61" s="297">
        <v>1.57</v>
      </c>
      <c r="V61" s="297">
        <v>1.49</v>
      </c>
      <c r="W61" s="297">
        <v>1.38</v>
      </c>
      <c r="X61" s="297">
        <v>0</v>
      </c>
      <c r="Y61" s="297">
        <v>1.23</v>
      </c>
      <c r="Z61" s="297"/>
      <c r="AA61" s="297"/>
      <c r="AB61" s="297"/>
      <c r="AC61" s="297"/>
      <c r="AD61" s="297"/>
      <c r="AE61" s="297"/>
      <c r="AF61" s="297"/>
      <c r="AG61" s="299" t="s">
        <v>281</v>
      </c>
      <c r="AH61" s="299" t="s">
        <v>282</v>
      </c>
      <c r="AI61" s="192">
        <v>2</v>
      </c>
      <c r="AJ61" s="192">
        <v>4</v>
      </c>
      <c r="AK61" s="245">
        <v>0.33329999999999999</v>
      </c>
      <c r="AL61" s="245">
        <v>0.66659999999999997</v>
      </c>
      <c r="AM61" s="299">
        <v>0</v>
      </c>
      <c r="AN61" s="299">
        <v>0</v>
      </c>
      <c r="AO61" s="299">
        <v>0</v>
      </c>
      <c r="AP61" s="299">
        <v>20</v>
      </c>
      <c r="AQ61" s="299">
        <v>0</v>
      </c>
      <c r="AR61" s="299">
        <v>0</v>
      </c>
      <c r="AS61" s="299">
        <v>0</v>
      </c>
      <c r="AT61" s="299">
        <v>0</v>
      </c>
      <c r="AU61" s="299">
        <v>0</v>
      </c>
      <c r="AV61" s="299">
        <v>0</v>
      </c>
      <c r="AW61" s="297"/>
      <c r="AX61" s="299" t="s">
        <v>405</v>
      </c>
      <c r="AY61" s="299">
        <v>12</v>
      </c>
      <c r="AZ61" s="299" t="s">
        <v>405</v>
      </c>
      <c r="BA61" s="298" t="s">
        <v>218</v>
      </c>
      <c r="BB61" s="297" t="s">
        <v>433</v>
      </c>
      <c r="BC61" s="299">
        <v>50</v>
      </c>
      <c r="BD61" s="299" t="s">
        <v>406</v>
      </c>
      <c r="BE61" s="298"/>
      <c r="BF61" s="301" t="s">
        <v>212</v>
      </c>
      <c r="BG61"/>
    </row>
    <row r="62" spans="1:59" s="7" customFormat="1" x14ac:dyDescent="0.15">
      <c r="A62" s="148">
        <v>176</v>
      </c>
      <c r="B62" s="308">
        <v>42983</v>
      </c>
      <c r="C62" s="296" t="s">
        <v>278</v>
      </c>
      <c r="D62" s="297" t="s">
        <v>209</v>
      </c>
      <c r="E62" s="295">
        <v>42826</v>
      </c>
      <c r="F62" s="298" t="s">
        <v>220</v>
      </c>
      <c r="G62" s="297" t="s">
        <v>428</v>
      </c>
      <c r="H62" s="297">
        <v>79.09</v>
      </c>
      <c r="I62" s="208" t="s">
        <v>402</v>
      </c>
      <c r="J62" s="204">
        <v>6000</v>
      </c>
      <c r="K62" s="204">
        <v>12000</v>
      </c>
      <c r="L62" s="204">
        <v>84000</v>
      </c>
      <c r="M62" s="204">
        <v>84000</v>
      </c>
      <c r="N62" s="204"/>
      <c r="O62" s="297">
        <v>2.0489999999999999</v>
      </c>
      <c r="P62" s="297">
        <v>1.8819999999999999</v>
      </c>
      <c r="Q62" s="297">
        <v>1.51</v>
      </c>
      <c r="R62" s="297">
        <v>0</v>
      </c>
      <c r="S62" s="297">
        <v>1.5009999999999999</v>
      </c>
      <c r="T62" s="297"/>
      <c r="U62" s="297">
        <v>1.5740000000000001</v>
      </c>
      <c r="V62" s="297">
        <v>1.546</v>
      </c>
      <c r="W62" s="297">
        <v>1.476</v>
      </c>
      <c r="X62" s="297">
        <v>0</v>
      </c>
      <c r="Y62" s="297">
        <v>1.3580000000000001</v>
      </c>
      <c r="Z62" s="297"/>
      <c r="AA62" s="297"/>
      <c r="AB62" s="297"/>
      <c r="AC62" s="297"/>
      <c r="AD62" s="297"/>
      <c r="AE62" s="297"/>
      <c r="AF62" s="297"/>
      <c r="AG62" s="299" t="s">
        <v>281</v>
      </c>
      <c r="AH62" s="299" t="s">
        <v>282</v>
      </c>
      <c r="AI62" s="192">
        <v>2</v>
      </c>
      <c r="AJ62" s="192">
        <v>4</v>
      </c>
      <c r="AK62" s="245">
        <v>0.33329999999999999</v>
      </c>
      <c r="AL62" s="245">
        <v>0.66659999999999997</v>
      </c>
      <c r="AM62" s="299">
        <v>0</v>
      </c>
      <c r="AN62" s="299">
        <v>0</v>
      </c>
      <c r="AO62" s="299">
        <v>15</v>
      </c>
      <c r="AP62" s="299">
        <v>0</v>
      </c>
      <c r="AQ62" s="299">
        <v>0</v>
      </c>
      <c r="AR62" s="299">
        <v>0</v>
      </c>
      <c r="AS62" s="299">
        <v>0</v>
      </c>
      <c r="AT62" s="299">
        <v>0</v>
      </c>
      <c r="AU62" s="299">
        <v>0</v>
      </c>
      <c r="AV62" s="299">
        <v>0</v>
      </c>
      <c r="AW62" s="297"/>
      <c r="AX62" s="299" t="s">
        <v>405</v>
      </c>
      <c r="AY62" s="299"/>
      <c r="AZ62" s="299" t="s">
        <v>405</v>
      </c>
      <c r="BA62" s="298" t="s">
        <v>429</v>
      </c>
      <c r="BB62" s="297"/>
      <c r="BC62" s="299"/>
      <c r="BD62" s="299" t="s">
        <v>406</v>
      </c>
      <c r="BE62" s="298"/>
      <c r="BF62" t="s">
        <v>221</v>
      </c>
      <c r="BG62"/>
    </row>
    <row r="63" spans="1:59" s="7" customFormat="1" x14ac:dyDescent="0.15">
      <c r="A63" s="148">
        <v>317</v>
      </c>
      <c r="B63" s="308">
        <v>42983</v>
      </c>
      <c r="C63" s="296" t="s">
        <v>278</v>
      </c>
      <c r="D63" s="297" t="s">
        <v>209</v>
      </c>
      <c r="E63" s="295">
        <v>42736</v>
      </c>
      <c r="F63" s="297" t="s">
        <v>222</v>
      </c>
      <c r="G63" s="297" t="s">
        <v>421</v>
      </c>
      <c r="H63" s="297">
        <v>69.87</v>
      </c>
      <c r="I63" s="208" t="s">
        <v>402</v>
      </c>
      <c r="J63" s="204">
        <v>6000</v>
      </c>
      <c r="K63" s="204">
        <v>12000</v>
      </c>
      <c r="L63" s="204">
        <v>84000</v>
      </c>
      <c r="M63" s="204">
        <v>84000</v>
      </c>
      <c r="N63" s="204"/>
      <c r="O63" s="297">
        <v>1.8120000000000001</v>
      </c>
      <c r="P63" s="297">
        <v>1.661</v>
      </c>
      <c r="Q63" s="297">
        <v>1.401</v>
      </c>
      <c r="R63" s="297">
        <v>0</v>
      </c>
      <c r="S63" s="297">
        <v>1.395</v>
      </c>
      <c r="T63" s="297"/>
      <c r="U63" s="297">
        <v>1.411</v>
      </c>
      <c r="V63" s="297">
        <v>1.3919999999999999</v>
      </c>
      <c r="W63" s="297">
        <v>1.333</v>
      </c>
      <c r="X63" s="297">
        <v>0</v>
      </c>
      <c r="Y63" s="297">
        <v>1.2609999999999999</v>
      </c>
      <c r="Z63" s="297"/>
      <c r="AA63" s="297"/>
      <c r="AB63" s="297"/>
      <c r="AC63" s="297"/>
      <c r="AD63" s="297"/>
      <c r="AE63" s="297"/>
      <c r="AF63" s="297"/>
      <c r="AG63" s="299" t="s">
        <v>281</v>
      </c>
      <c r="AH63" s="299" t="s">
        <v>282</v>
      </c>
      <c r="AI63" s="192">
        <v>2</v>
      </c>
      <c r="AJ63" s="192">
        <v>4</v>
      </c>
      <c r="AK63" s="245">
        <v>0.33329999999999999</v>
      </c>
      <c r="AL63" s="245">
        <v>0.66659999999999997</v>
      </c>
      <c r="AM63" s="299">
        <v>0</v>
      </c>
      <c r="AN63" s="299">
        <v>0</v>
      </c>
      <c r="AO63" s="299">
        <v>0</v>
      </c>
      <c r="AP63" s="299">
        <v>0</v>
      </c>
      <c r="AQ63" s="299">
        <v>0</v>
      </c>
      <c r="AR63" s="299">
        <v>0</v>
      </c>
      <c r="AS63" s="299">
        <v>0</v>
      </c>
      <c r="AT63" s="299">
        <v>0</v>
      </c>
      <c r="AU63" s="299">
        <v>0</v>
      </c>
      <c r="AV63" s="299">
        <v>0</v>
      </c>
      <c r="AW63" s="297"/>
      <c r="AX63" s="299" t="s">
        <v>405</v>
      </c>
      <c r="AY63" s="299"/>
      <c r="AZ63" s="299" t="s">
        <v>405</v>
      </c>
      <c r="BA63" s="298" t="s">
        <v>432</v>
      </c>
      <c r="BB63" s="297" t="s">
        <v>433</v>
      </c>
      <c r="BC63" s="299">
        <v>50</v>
      </c>
      <c r="BD63" s="299" t="s">
        <v>422</v>
      </c>
      <c r="BE63" s="298"/>
      <c r="BF63" t="s">
        <v>213</v>
      </c>
      <c r="BG63"/>
    </row>
    <row r="64" spans="1:59" s="7" customFormat="1" x14ac:dyDescent="0.15">
      <c r="A64" s="148">
        <v>572</v>
      </c>
      <c r="B64" s="308">
        <v>42983</v>
      </c>
      <c r="C64" s="296" t="s">
        <v>278</v>
      </c>
      <c r="D64" s="297" t="s">
        <v>209</v>
      </c>
      <c r="E64" s="295">
        <v>42917</v>
      </c>
      <c r="F64" s="298" t="s">
        <v>224</v>
      </c>
      <c r="G64" s="297" t="s">
        <v>355</v>
      </c>
      <c r="H64" s="297">
        <v>82.22</v>
      </c>
      <c r="I64" s="208" t="s">
        <v>402</v>
      </c>
      <c r="J64" s="210">
        <v>3200</v>
      </c>
      <c r="K64" s="210">
        <v>3200</v>
      </c>
      <c r="L64" s="210">
        <v>3200</v>
      </c>
      <c r="M64" s="210">
        <v>3200</v>
      </c>
      <c r="N64" s="204"/>
      <c r="O64" s="297">
        <v>2.246</v>
      </c>
      <c r="P64">
        <v>0</v>
      </c>
      <c r="Q64" s="297">
        <v>0</v>
      </c>
      <c r="R64" s="297">
        <v>0</v>
      </c>
      <c r="S64" s="297">
        <v>1.9670000000000001</v>
      </c>
      <c r="T64" s="297"/>
      <c r="U64" s="297">
        <v>1.627</v>
      </c>
      <c r="V64">
        <v>0</v>
      </c>
      <c r="W64" s="297">
        <v>0</v>
      </c>
      <c r="X64" s="297">
        <v>0</v>
      </c>
      <c r="Y64" s="297">
        <v>1.43</v>
      </c>
      <c r="Z64" s="297"/>
      <c r="AA64" s="297"/>
      <c r="AB64" s="297"/>
      <c r="AC64" s="297"/>
      <c r="AD64" s="297"/>
      <c r="AE64" s="297"/>
      <c r="AF64" s="297"/>
      <c r="AG64" s="299" t="s">
        <v>281</v>
      </c>
      <c r="AH64" s="299" t="s">
        <v>282</v>
      </c>
      <c r="AI64" s="192">
        <v>2</v>
      </c>
      <c r="AJ64" s="192">
        <v>4</v>
      </c>
      <c r="AK64" s="245">
        <v>0.33329999999999999</v>
      </c>
      <c r="AL64" s="245">
        <v>0.66659999999999997</v>
      </c>
      <c r="AM64" s="299">
        <v>0</v>
      </c>
      <c r="AN64" s="299">
        <v>0</v>
      </c>
      <c r="AO64" s="299">
        <v>0</v>
      </c>
      <c r="AP64" s="299">
        <v>13</v>
      </c>
      <c r="AQ64" s="299">
        <v>0</v>
      </c>
      <c r="AR64" s="299">
        <v>0</v>
      </c>
      <c r="AS64" s="299">
        <v>0</v>
      </c>
      <c r="AT64" s="299">
        <v>0</v>
      </c>
      <c r="AU64" s="299">
        <v>0</v>
      </c>
      <c r="AV64" s="299">
        <v>0</v>
      </c>
      <c r="AW64" s="297"/>
      <c r="AX64" s="299" t="s">
        <v>405</v>
      </c>
      <c r="AY64" s="299">
        <v>12</v>
      </c>
      <c r="AZ64" s="299" t="s">
        <v>405</v>
      </c>
      <c r="BA64" s="298"/>
      <c r="BB64" s="298"/>
      <c r="BC64" s="299"/>
      <c r="BD64" s="299" t="s">
        <v>406</v>
      </c>
      <c r="BE64" s="298"/>
      <c r="BF64" t="s">
        <v>214</v>
      </c>
      <c r="BG64"/>
    </row>
    <row r="65" spans="1:59" s="7" customFormat="1" x14ac:dyDescent="0.15">
      <c r="A65" s="148">
        <v>238</v>
      </c>
      <c r="B65" s="308">
        <v>42983</v>
      </c>
      <c r="C65" s="296" t="s">
        <v>278</v>
      </c>
      <c r="D65" s="297" t="s">
        <v>209</v>
      </c>
      <c r="E65" s="309" t="s">
        <v>358</v>
      </c>
      <c r="F65" s="298" t="s">
        <v>226</v>
      </c>
      <c r="G65" s="297" t="s">
        <v>360</v>
      </c>
      <c r="H65" s="297">
        <v>84</v>
      </c>
      <c r="I65" s="208" t="s">
        <v>402</v>
      </c>
      <c r="J65" s="210">
        <v>3200</v>
      </c>
      <c r="K65" s="210">
        <v>3200</v>
      </c>
      <c r="L65" s="210">
        <v>3200</v>
      </c>
      <c r="M65" s="210">
        <v>3200</v>
      </c>
      <c r="N65" s="204"/>
      <c r="O65" s="297">
        <v>2.14</v>
      </c>
      <c r="P65">
        <v>0</v>
      </c>
      <c r="Q65" s="297">
        <v>0</v>
      </c>
      <c r="R65" s="297">
        <v>0</v>
      </c>
      <c r="S65" s="297">
        <v>1.5880000000000001</v>
      </c>
      <c r="T65" s="297"/>
      <c r="U65" s="297">
        <v>1.754</v>
      </c>
      <c r="V65">
        <v>0</v>
      </c>
      <c r="W65" s="297">
        <v>0</v>
      </c>
      <c r="X65" s="297">
        <v>0</v>
      </c>
      <c r="Y65" s="297">
        <v>1.4159999999999999</v>
      </c>
      <c r="Z65" s="297"/>
      <c r="AA65" s="297"/>
      <c r="AB65" s="297"/>
      <c r="AC65" s="297"/>
      <c r="AD65" s="297"/>
      <c r="AE65" s="297"/>
      <c r="AF65" s="297"/>
      <c r="AG65" s="299" t="s">
        <v>281</v>
      </c>
      <c r="AH65" s="299" t="s">
        <v>282</v>
      </c>
      <c r="AI65" s="209">
        <v>2</v>
      </c>
      <c r="AJ65" s="209">
        <v>4</v>
      </c>
      <c r="AK65" s="245">
        <v>0.33329999999999999</v>
      </c>
      <c r="AL65" s="245">
        <v>0.66659999999999997</v>
      </c>
      <c r="AM65" s="299">
        <v>0</v>
      </c>
      <c r="AN65" s="299">
        <v>0</v>
      </c>
      <c r="AO65" s="299">
        <v>10</v>
      </c>
      <c r="AP65" s="299">
        <v>0</v>
      </c>
      <c r="AQ65" s="299">
        <v>0</v>
      </c>
      <c r="AR65" s="299">
        <v>0</v>
      </c>
      <c r="AS65" s="299">
        <v>0</v>
      </c>
      <c r="AT65" s="299">
        <v>0</v>
      </c>
      <c r="AU65" s="299">
        <v>0</v>
      </c>
      <c r="AV65" s="299">
        <v>0</v>
      </c>
      <c r="AW65" s="299"/>
      <c r="AX65" s="299" t="s">
        <v>405</v>
      </c>
      <c r="AY65" s="299"/>
      <c r="AZ65" s="299" t="s">
        <v>405</v>
      </c>
      <c r="BA65" s="298"/>
      <c r="BB65" s="297"/>
      <c r="BC65" s="299"/>
      <c r="BD65" s="299" t="s">
        <v>422</v>
      </c>
      <c r="BE65" s="298"/>
      <c r="BF65" t="s">
        <v>332</v>
      </c>
      <c r="BG65"/>
    </row>
    <row r="66" spans="1:59" s="7" customFormat="1" x14ac:dyDescent="0.15">
      <c r="A66" s="148">
        <v>793</v>
      </c>
      <c r="B66" s="308">
        <v>42983</v>
      </c>
      <c r="C66" s="296" t="s">
        <v>278</v>
      </c>
      <c r="D66" s="297" t="s">
        <v>209</v>
      </c>
      <c r="E66" s="309">
        <v>42917</v>
      </c>
      <c r="F66" s="298" t="s">
        <v>227</v>
      </c>
      <c r="G66" s="297" t="s">
        <v>363</v>
      </c>
      <c r="H66" s="297">
        <v>79.91</v>
      </c>
      <c r="I66" s="208" t="s">
        <v>402</v>
      </c>
      <c r="J66" s="204">
        <v>6000</v>
      </c>
      <c r="K66" s="204">
        <v>12000</v>
      </c>
      <c r="L66" s="204">
        <v>84000</v>
      </c>
      <c r="M66" s="204">
        <v>84000</v>
      </c>
      <c r="N66" s="204"/>
      <c r="O66" s="297">
        <v>1.89</v>
      </c>
      <c r="P66" s="297">
        <v>1.86</v>
      </c>
      <c r="Q66" s="297">
        <v>1.48</v>
      </c>
      <c r="R66" s="297">
        <v>0</v>
      </c>
      <c r="S66" s="297">
        <v>1.47</v>
      </c>
      <c r="T66" s="297"/>
      <c r="U66" s="297">
        <v>1.54</v>
      </c>
      <c r="V66" s="297">
        <v>1.51</v>
      </c>
      <c r="W66" s="297">
        <v>1.43</v>
      </c>
      <c r="X66" s="297">
        <v>0</v>
      </c>
      <c r="Y66" s="297">
        <v>1.32</v>
      </c>
      <c r="Z66" s="297"/>
      <c r="AA66" s="297"/>
      <c r="AB66" s="297"/>
      <c r="AC66" s="297"/>
      <c r="AD66" s="297"/>
      <c r="AE66" s="297"/>
      <c r="AF66" s="297"/>
      <c r="AG66" s="299" t="s">
        <v>281</v>
      </c>
      <c r="AH66" s="299" t="s">
        <v>282</v>
      </c>
      <c r="AI66" s="192">
        <v>2</v>
      </c>
      <c r="AJ66" s="192">
        <v>4</v>
      </c>
      <c r="AK66" s="245">
        <v>0.33329999999999999</v>
      </c>
      <c r="AL66" s="245">
        <v>0.66659999999999997</v>
      </c>
      <c r="AM66" s="299">
        <v>0</v>
      </c>
      <c r="AN66" s="299">
        <v>0</v>
      </c>
      <c r="AO66" s="299">
        <v>0</v>
      </c>
      <c r="AP66" s="299">
        <v>20</v>
      </c>
      <c r="AQ66" s="299">
        <v>0</v>
      </c>
      <c r="AR66" s="299">
        <v>0</v>
      </c>
      <c r="AS66" s="299">
        <v>0</v>
      </c>
      <c r="AT66" s="299">
        <v>0</v>
      </c>
      <c r="AU66" s="299">
        <v>0</v>
      </c>
      <c r="AV66" s="299">
        <v>0</v>
      </c>
      <c r="AW66" s="299">
        <v>24</v>
      </c>
      <c r="AX66" s="299" t="s">
        <v>405</v>
      </c>
      <c r="AY66" s="299"/>
      <c r="AZ66" s="299" t="s">
        <v>405</v>
      </c>
      <c r="BA66" s="298" t="s">
        <v>364</v>
      </c>
      <c r="BB66" s="297" t="s">
        <v>365</v>
      </c>
      <c r="BC66" s="299">
        <v>25</v>
      </c>
      <c r="BD66" s="299" t="s">
        <v>422</v>
      </c>
      <c r="BE66" s="298"/>
      <c r="BF66" t="s">
        <v>430</v>
      </c>
      <c r="BG66"/>
    </row>
    <row r="67" spans="1:59" s="219" customFormat="1" x14ac:dyDescent="0.15">
      <c r="A67" s="148">
        <v>83</v>
      </c>
      <c r="B67" s="308">
        <v>42983</v>
      </c>
      <c r="C67" s="296" t="s">
        <v>278</v>
      </c>
      <c r="D67" s="297" t="s">
        <v>334</v>
      </c>
      <c r="E67" s="295">
        <v>42917</v>
      </c>
      <c r="F67" s="298" t="s">
        <v>280</v>
      </c>
      <c r="G67" s="297" t="s">
        <v>401</v>
      </c>
      <c r="H67" s="297">
        <v>80.52</v>
      </c>
      <c r="I67" s="312" t="s">
        <v>402</v>
      </c>
      <c r="J67" s="310">
        <v>6000</v>
      </c>
      <c r="K67" s="310">
        <v>12000</v>
      </c>
      <c r="L67" s="310">
        <v>84000</v>
      </c>
      <c r="M67" s="310">
        <v>84000</v>
      </c>
      <c r="N67" s="310"/>
      <c r="O67" s="297">
        <v>2.1659999999999999</v>
      </c>
      <c r="P67" s="297">
        <v>2.0630000000000002</v>
      </c>
      <c r="Q67" s="297">
        <v>1.573</v>
      </c>
      <c r="R67" s="297">
        <v>0</v>
      </c>
      <c r="S67" s="297">
        <v>1.341</v>
      </c>
      <c r="T67" s="297"/>
      <c r="U67" s="297">
        <v>1.863</v>
      </c>
      <c r="V67" s="297">
        <v>1.623</v>
      </c>
      <c r="W67" s="297">
        <v>1.4870000000000001</v>
      </c>
      <c r="X67" s="297">
        <v>0</v>
      </c>
      <c r="Y67" s="297">
        <v>1.268</v>
      </c>
      <c r="Z67" s="297"/>
      <c r="AA67" s="297"/>
      <c r="AB67" s="297"/>
      <c r="AC67" s="297"/>
      <c r="AD67" s="297"/>
      <c r="AE67" s="297"/>
      <c r="AF67" s="297"/>
      <c r="AG67" s="299" t="s">
        <v>281</v>
      </c>
      <c r="AH67" s="299" t="s">
        <v>282</v>
      </c>
      <c r="AI67" s="192">
        <v>2</v>
      </c>
      <c r="AJ67" s="192">
        <v>4</v>
      </c>
      <c r="AK67" s="246">
        <v>0.33329999999999999</v>
      </c>
      <c r="AL67" s="246">
        <v>0.66659999999999997</v>
      </c>
      <c r="AM67" s="299">
        <v>0</v>
      </c>
      <c r="AN67" s="299">
        <v>0</v>
      </c>
      <c r="AO67" s="299">
        <v>0</v>
      </c>
      <c r="AP67" s="299">
        <v>15</v>
      </c>
      <c r="AQ67" s="299">
        <v>0</v>
      </c>
      <c r="AR67" s="299">
        <v>0</v>
      </c>
      <c r="AS67" s="299">
        <v>0</v>
      </c>
      <c r="AT67" s="299">
        <v>0</v>
      </c>
      <c r="AU67" s="299">
        <v>0</v>
      </c>
      <c r="AV67" s="299">
        <v>0</v>
      </c>
      <c r="AW67" s="299"/>
      <c r="AX67" s="299" t="s">
        <v>405</v>
      </c>
      <c r="AY67" s="299">
        <v>12</v>
      </c>
      <c r="AZ67" s="299" t="s">
        <v>405</v>
      </c>
      <c r="BA67" s="298" t="s">
        <v>283</v>
      </c>
      <c r="BB67" s="297" t="s">
        <v>433</v>
      </c>
      <c r="BC67" s="299">
        <v>50</v>
      </c>
      <c r="BD67" s="299" t="s">
        <v>406</v>
      </c>
      <c r="BE67" s="298"/>
      <c r="BF67" t="s">
        <v>215</v>
      </c>
      <c r="BG67"/>
    </row>
    <row r="68" spans="1:59" s="219" customFormat="1" x14ac:dyDescent="0.15">
      <c r="A68" s="148">
        <v>266</v>
      </c>
      <c r="B68" s="308">
        <v>42983</v>
      </c>
      <c r="C68" s="296" t="s">
        <v>278</v>
      </c>
      <c r="D68" s="297" t="s">
        <v>334</v>
      </c>
      <c r="E68" s="309" t="s">
        <v>285</v>
      </c>
      <c r="F68" s="298" t="s">
        <v>286</v>
      </c>
      <c r="G68" s="297" t="s">
        <v>410</v>
      </c>
      <c r="H68" s="297">
        <v>65.88</v>
      </c>
      <c r="I68" s="312" t="s">
        <v>402</v>
      </c>
      <c r="J68" s="311">
        <v>6000</v>
      </c>
      <c r="K68" s="311">
        <v>6000</v>
      </c>
      <c r="L68" s="311">
        <v>6000</v>
      </c>
      <c r="M68" s="311">
        <v>6000</v>
      </c>
      <c r="N68" s="310"/>
      <c r="O68" s="297">
        <v>2.2599999999999998</v>
      </c>
      <c r="P68">
        <v>0</v>
      </c>
      <c r="Q68" s="297">
        <v>0</v>
      </c>
      <c r="R68" s="297">
        <v>0</v>
      </c>
      <c r="S68" s="297">
        <v>1.8</v>
      </c>
      <c r="T68" s="297"/>
      <c r="U68" s="297">
        <v>2.04</v>
      </c>
      <c r="V68">
        <v>0</v>
      </c>
      <c r="W68" s="297">
        <v>0</v>
      </c>
      <c r="X68" s="297">
        <v>0</v>
      </c>
      <c r="Y68" s="297">
        <v>1.65</v>
      </c>
      <c r="Z68" s="297"/>
      <c r="AA68" s="297"/>
      <c r="AB68" s="297"/>
      <c r="AC68" s="297"/>
      <c r="AD68" s="297"/>
      <c r="AE68" s="297"/>
      <c r="AF68" s="297"/>
      <c r="AG68" s="299" t="s">
        <v>281</v>
      </c>
      <c r="AH68" s="299" t="s">
        <v>282</v>
      </c>
      <c r="AI68" s="192">
        <v>2</v>
      </c>
      <c r="AJ68" s="192">
        <v>4</v>
      </c>
      <c r="AK68" s="246">
        <v>0.33329999999999999</v>
      </c>
      <c r="AL68" s="246">
        <v>0.66659999999999997</v>
      </c>
      <c r="AM68" s="299">
        <v>0</v>
      </c>
      <c r="AN68" s="299">
        <v>0</v>
      </c>
      <c r="AO68" s="299">
        <v>0</v>
      </c>
      <c r="AP68" s="299">
        <v>25</v>
      </c>
      <c r="AQ68" s="299">
        <v>0</v>
      </c>
      <c r="AR68" s="299">
        <v>0</v>
      </c>
      <c r="AS68" s="299">
        <v>0</v>
      </c>
      <c r="AT68" s="299">
        <v>0</v>
      </c>
      <c r="AU68" s="299">
        <v>0</v>
      </c>
      <c r="AV68" s="299">
        <v>0</v>
      </c>
      <c r="AW68" s="297"/>
      <c r="AX68" s="299" t="s">
        <v>405</v>
      </c>
      <c r="AY68" s="299">
        <v>24</v>
      </c>
      <c r="AZ68" s="299" t="s">
        <v>405</v>
      </c>
      <c r="BA68" s="298"/>
      <c r="BB68" s="297"/>
      <c r="BC68" s="299"/>
      <c r="BD68" s="299" t="s">
        <v>406</v>
      </c>
      <c r="BE68" s="298"/>
      <c r="BF68" t="s">
        <v>287</v>
      </c>
      <c r="BG68"/>
    </row>
    <row r="69" spans="1:59" s="219" customFormat="1" x14ac:dyDescent="0.15">
      <c r="A69" s="148">
        <v>280</v>
      </c>
      <c r="B69" s="308">
        <v>42983</v>
      </c>
      <c r="C69" s="296" t="s">
        <v>278</v>
      </c>
      <c r="D69" s="297" t="s">
        <v>334</v>
      </c>
      <c r="E69" s="295">
        <v>42917</v>
      </c>
      <c r="F69" s="298" t="s">
        <v>288</v>
      </c>
      <c r="G69" s="297" t="s">
        <v>414</v>
      </c>
      <c r="H69" s="297">
        <v>96.8</v>
      </c>
      <c r="I69" s="312" t="s">
        <v>402</v>
      </c>
      <c r="J69" s="310">
        <v>6000</v>
      </c>
      <c r="K69" s="310">
        <v>12000</v>
      </c>
      <c r="L69" s="310">
        <v>12000</v>
      </c>
      <c r="M69" s="310">
        <v>12000</v>
      </c>
      <c r="N69" s="310"/>
      <c r="O69" s="297">
        <v>2.85</v>
      </c>
      <c r="P69" s="297">
        <v>2.35</v>
      </c>
      <c r="Q69">
        <v>0</v>
      </c>
      <c r="R69" s="297">
        <v>0</v>
      </c>
      <c r="S69" s="297">
        <v>1.6</v>
      </c>
      <c r="T69" s="297"/>
      <c r="U69" s="297">
        <v>1.8</v>
      </c>
      <c r="V69" s="297">
        <v>1.75</v>
      </c>
      <c r="W69">
        <v>0</v>
      </c>
      <c r="X69" s="297">
        <v>0</v>
      </c>
      <c r="Y69" s="297">
        <v>1.6</v>
      </c>
      <c r="Z69" s="297"/>
      <c r="AA69" s="297"/>
      <c r="AB69" s="297"/>
      <c r="AC69" s="297"/>
      <c r="AD69" s="297"/>
      <c r="AE69" s="297"/>
      <c r="AF69" s="297"/>
      <c r="AG69" s="299" t="s">
        <v>281</v>
      </c>
      <c r="AH69" s="299" t="s">
        <v>282</v>
      </c>
      <c r="AI69" s="192">
        <v>2</v>
      </c>
      <c r="AJ69" s="192">
        <v>4</v>
      </c>
      <c r="AK69" s="246">
        <v>0.33329999999999999</v>
      </c>
      <c r="AL69" s="246">
        <v>0.66659999999999997</v>
      </c>
      <c r="AM69" s="299">
        <v>0</v>
      </c>
      <c r="AN69" s="299">
        <v>0</v>
      </c>
      <c r="AO69" s="299">
        <v>14</v>
      </c>
      <c r="AP69" s="299">
        <v>0</v>
      </c>
      <c r="AQ69" s="299">
        <v>0</v>
      </c>
      <c r="AR69" s="299">
        <v>0</v>
      </c>
      <c r="AS69" s="299">
        <v>0</v>
      </c>
      <c r="AT69" s="299">
        <v>0</v>
      </c>
      <c r="AU69" s="299">
        <v>0</v>
      </c>
      <c r="AV69" s="299">
        <v>0</v>
      </c>
      <c r="AW69" s="297"/>
      <c r="AX69" s="299" t="s">
        <v>405</v>
      </c>
      <c r="AY69" s="299"/>
      <c r="AZ69" s="299" t="s">
        <v>405</v>
      </c>
      <c r="BA69" s="298"/>
      <c r="BB69" s="297"/>
      <c r="BC69" s="299"/>
      <c r="BD69" s="299" t="s">
        <v>406</v>
      </c>
      <c r="BE69" s="298" t="s">
        <v>415</v>
      </c>
      <c r="BF69" t="s">
        <v>336</v>
      </c>
      <c r="BG69"/>
    </row>
    <row r="70" spans="1:59" s="219" customFormat="1" x14ac:dyDescent="0.15">
      <c r="A70" s="148">
        <v>332</v>
      </c>
      <c r="B70" s="308">
        <v>42983</v>
      </c>
      <c r="C70" s="296" t="s">
        <v>278</v>
      </c>
      <c r="D70" s="297" t="s">
        <v>334</v>
      </c>
      <c r="E70" s="295">
        <v>42767</v>
      </c>
      <c r="F70" s="298" t="s">
        <v>600</v>
      </c>
      <c r="G70" s="297" t="s">
        <v>421</v>
      </c>
      <c r="H70" s="297">
        <v>82</v>
      </c>
      <c r="I70" s="312" t="s">
        <v>402</v>
      </c>
      <c r="J70" s="310">
        <v>6000</v>
      </c>
      <c r="K70" s="310">
        <v>12000</v>
      </c>
      <c r="L70" s="310">
        <v>84000</v>
      </c>
      <c r="M70" s="310">
        <v>84000</v>
      </c>
      <c r="N70" s="310"/>
      <c r="O70" s="297">
        <v>3.1</v>
      </c>
      <c r="P70" s="297">
        <v>2.66</v>
      </c>
      <c r="Q70" s="297">
        <v>1.98</v>
      </c>
      <c r="R70" s="297">
        <v>0</v>
      </c>
      <c r="S70" s="297">
        <v>1.93</v>
      </c>
      <c r="T70" s="297"/>
      <c r="U70" s="297">
        <v>2.13</v>
      </c>
      <c r="V70" s="297">
        <v>1.93</v>
      </c>
      <c r="W70" s="297">
        <v>1.79</v>
      </c>
      <c r="X70" s="297">
        <v>0</v>
      </c>
      <c r="Y70" s="297">
        <v>1.68</v>
      </c>
      <c r="Z70" s="297"/>
      <c r="AA70" s="297"/>
      <c r="AB70" s="297"/>
      <c r="AC70" s="297"/>
      <c r="AD70" s="297"/>
      <c r="AE70" s="297"/>
      <c r="AF70" s="297"/>
      <c r="AG70" s="299" t="s">
        <v>281</v>
      </c>
      <c r="AH70" s="299" t="s">
        <v>282</v>
      </c>
      <c r="AI70" s="218">
        <v>3</v>
      </c>
      <c r="AJ70" s="218">
        <v>3</v>
      </c>
      <c r="AK70" s="246">
        <v>0.5</v>
      </c>
      <c r="AL70" s="246">
        <v>0.5</v>
      </c>
      <c r="AM70" s="299">
        <v>0</v>
      </c>
      <c r="AN70" s="299">
        <v>0</v>
      </c>
      <c r="AO70" s="299">
        <v>0</v>
      </c>
      <c r="AP70" s="299">
        <v>16</v>
      </c>
      <c r="AQ70" s="299">
        <v>0</v>
      </c>
      <c r="AR70" s="299">
        <v>0</v>
      </c>
      <c r="AS70" s="299">
        <v>0</v>
      </c>
      <c r="AT70" s="299">
        <v>0</v>
      </c>
      <c r="AU70" s="299">
        <v>0</v>
      </c>
      <c r="AV70" s="299">
        <v>0</v>
      </c>
      <c r="AW70" s="299">
        <v>12</v>
      </c>
      <c r="AX70" s="299" t="s">
        <v>403</v>
      </c>
      <c r="AY70" s="299"/>
      <c r="AZ70" s="299" t="s">
        <v>405</v>
      </c>
      <c r="BA70" s="298"/>
      <c r="BB70" s="297"/>
      <c r="BC70" s="299"/>
      <c r="BD70" s="299" t="s">
        <v>406</v>
      </c>
      <c r="BE70" s="298"/>
      <c r="BF70" t="s">
        <v>211</v>
      </c>
      <c r="BG70"/>
    </row>
    <row r="71" spans="1:59" s="219" customFormat="1" x14ac:dyDescent="0.15">
      <c r="A71" s="148">
        <v>879</v>
      </c>
      <c r="B71" s="308">
        <v>42983</v>
      </c>
      <c r="C71" s="296" t="s">
        <v>278</v>
      </c>
      <c r="D71" s="297" t="s">
        <v>334</v>
      </c>
      <c r="E71" s="295">
        <v>42711</v>
      </c>
      <c r="F71" s="298" t="s">
        <v>290</v>
      </c>
      <c r="G71" s="297" t="s">
        <v>421</v>
      </c>
      <c r="H71" s="297">
        <v>68.989999999999995</v>
      </c>
      <c r="I71" s="312" t="s">
        <v>402</v>
      </c>
      <c r="J71" s="311">
        <v>3500</v>
      </c>
      <c r="K71" s="311">
        <v>3500</v>
      </c>
      <c r="L71" s="311">
        <v>3500</v>
      </c>
      <c r="M71" s="311">
        <v>3500</v>
      </c>
      <c r="N71" s="310"/>
      <c r="O71" s="297">
        <v>2.4</v>
      </c>
      <c r="P71">
        <v>0</v>
      </c>
      <c r="Q71" s="297">
        <v>0</v>
      </c>
      <c r="R71" s="297">
        <v>0</v>
      </c>
      <c r="S71" s="297">
        <v>2.04</v>
      </c>
      <c r="T71" s="297"/>
      <c r="U71" s="297">
        <v>1.93</v>
      </c>
      <c r="V71">
        <v>0</v>
      </c>
      <c r="W71" s="297">
        <v>0</v>
      </c>
      <c r="X71" s="297">
        <v>0</v>
      </c>
      <c r="Y71" s="297">
        <v>1.59</v>
      </c>
      <c r="Z71" s="297"/>
      <c r="AA71" s="297"/>
      <c r="AB71" s="297"/>
      <c r="AC71" s="297"/>
      <c r="AD71" s="297"/>
      <c r="AE71" s="297"/>
      <c r="AF71" s="297"/>
      <c r="AG71" s="299" t="s">
        <v>281</v>
      </c>
      <c r="AH71" s="299" t="s">
        <v>282</v>
      </c>
      <c r="AI71" s="192">
        <v>2</v>
      </c>
      <c r="AJ71" s="192">
        <v>4</v>
      </c>
      <c r="AK71" s="246">
        <v>0.33329999999999999</v>
      </c>
      <c r="AL71" s="246">
        <v>0.66659999999999997</v>
      </c>
      <c r="AM71" s="299">
        <v>0</v>
      </c>
      <c r="AN71" s="299">
        <v>0</v>
      </c>
      <c r="AO71" s="299">
        <v>0</v>
      </c>
      <c r="AP71" s="299">
        <v>0</v>
      </c>
      <c r="AQ71" s="299">
        <v>0</v>
      </c>
      <c r="AR71" s="299">
        <v>20</v>
      </c>
      <c r="AS71" s="299">
        <v>0</v>
      </c>
      <c r="AT71" s="299">
        <v>0</v>
      </c>
      <c r="AU71" s="299">
        <v>0</v>
      </c>
      <c r="AV71" s="299">
        <v>0</v>
      </c>
      <c r="AW71" s="297"/>
      <c r="AX71" s="299" t="s">
        <v>405</v>
      </c>
      <c r="AY71" s="299"/>
      <c r="AZ71" s="299" t="s">
        <v>405</v>
      </c>
      <c r="BA71" s="298"/>
      <c r="BB71" s="297"/>
      <c r="BC71" s="299"/>
      <c r="BD71" s="299" t="s">
        <v>422</v>
      </c>
      <c r="BE71" s="298"/>
      <c r="BF71" t="s">
        <v>169</v>
      </c>
      <c r="BG71"/>
    </row>
    <row r="72" spans="1:59" s="219" customFormat="1" x14ac:dyDescent="0.15">
      <c r="A72" s="148">
        <v>164</v>
      </c>
      <c r="B72" s="308">
        <v>42983</v>
      </c>
      <c r="C72" s="296" t="s">
        <v>278</v>
      </c>
      <c r="D72" s="297" t="s">
        <v>334</v>
      </c>
      <c r="E72" s="295">
        <v>42929</v>
      </c>
      <c r="F72" s="298" t="s">
        <v>217</v>
      </c>
      <c r="G72" s="297" t="s">
        <v>425</v>
      </c>
      <c r="H72" s="297">
        <v>81.5</v>
      </c>
      <c r="I72" s="312" t="s">
        <v>402</v>
      </c>
      <c r="J72" s="310">
        <v>6000</v>
      </c>
      <c r="K72" s="310">
        <v>12000</v>
      </c>
      <c r="L72" s="310">
        <v>84000</v>
      </c>
      <c r="M72" s="310">
        <v>84000</v>
      </c>
      <c r="N72" s="310"/>
      <c r="O72" s="297">
        <v>2.68</v>
      </c>
      <c r="P72" s="297">
        <v>2.15</v>
      </c>
      <c r="Q72" s="297">
        <v>1.52</v>
      </c>
      <c r="R72" s="297">
        <v>0</v>
      </c>
      <c r="S72" s="297">
        <v>1.46</v>
      </c>
      <c r="T72" s="297"/>
      <c r="U72" s="297">
        <v>1.68</v>
      </c>
      <c r="V72" s="297">
        <v>1.58</v>
      </c>
      <c r="W72" s="297">
        <v>1.51</v>
      </c>
      <c r="X72" s="297">
        <v>0</v>
      </c>
      <c r="Y72" s="297">
        <v>1.35</v>
      </c>
      <c r="Z72" s="297"/>
      <c r="AA72" s="297"/>
      <c r="AB72" s="297"/>
      <c r="AC72" s="297"/>
      <c r="AD72" s="297"/>
      <c r="AE72" s="297"/>
      <c r="AF72" s="297"/>
      <c r="AG72" s="299" t="s">
        <v>281</v>
      </c>
      <c r="AH72" s="299" t="s">
        <v>282</v>
      </c>
      <c r="AI72" s="192">
        <v>2</v>
      </c>
      <c r="AJ72" s="192">
        <v>4</v>
      </c>
      <c r="AK72" s="246">
        <v>0.33329999999999999</v>
      </c>
      <c r="AL72" s="246">
        <v>0.66659999999999997</v>
      </c>
      <c r="AM72" s="299">
        <v>0</v>
      </c>
      <c r="AN72" s="299">
        <v>0</v>
      </c>
      <c r="AO72" s="299">
        <v>0</v>
      </c>
      <c r="AP72" s="299">
        <v>20</v>
      </c>
      <c r="AQ72" s="299">
        <v>0</v>
      </c>
      <c r="AR72" s="299">
        <v>0</v>
      </c>
      <c r="AS72" s="299">
        <v>0</v>
      </c>
      <c r="AT72" s="299">
        <v>0</v>
      </c>
      <c r="AU72" s="299">
        <v>0</v>
      </c>
      <c r="AV72" s="299">
        <v>0</v>
      </c>
      <c r="AW72" s="297"/>
      <c r="AX72" s="299" t="s">
        <v>405</v>
      </c>
      <c r="AY72" s="299">
        <v>12</v>
      </c>
      <c r="AZ72" s="299" t="s">
        <v>405</v>
      </c>
      <c r="BA72" s="298" t="s">
        <v>218</v>
      </c>
      <c r="BB72" s="297" t="s">
        <v>433</v>
      </c>
      <c r="BC72" s="299">
        <v>50</v>
      </c>
      <c r="BD72" s="299" t="s">
        <v>406</v>
      </c>
      <c r="BE72" s="298"/>
      <c r="BF72" s="301" t="s">
        <v>170</v>
      </c>
      <c r="BG72"/>
    </row>
    <row r="73" spans="1:59" s="219" customFormat="1" x14ac:dyDescent="0.15">
      <c r="A73" s="148">
        <v>178</v>
      </c>
      <c r="B73" s="308">
        <v>42983</v>
      </c>
      <c r="C73" s="296" t="s">
        <v>278</v>
      </c>
      <c r="D73" s="297" t="s">
        <v>334</v>
      </c>
      <c r="E73" s="295">
        <v>42826</v>
      </c>
      <c r="F73" s="298" t="s">
        <v>220</v>
      </c>
      <c r="G73" s="297" t="s">
        <v>428</v>
      </c>
      <c r="H73" s="297">
        <v>79.09</v>
      </c>
      <c r="I73" s="312" t="s">
        <v>402</v>
      </c>
      <c r="J73" s="310">
        <v>6000</v>
      </c>
      <c r="K73" s="310">
        <v>12000</v>
      </c>
      <c r="L73" s="310">
        <v>84000</v>
      </c>
      <c r="M73" s="310">
        <v>84000</v>
      </c>
      <c r="N73" s="310"/>
      <c r="O73" s="297">
        <v>2.4729999999999999</v>
      </c>
      <c r="P73" s="297">
        <v>2.0670000000000002</v>
      </c>
      <c r="Q73" s="297">
        <v>1.4039999999999999</v>
      </c>
      <c r="R73" s="297">
        <v>0</v>
      </c>
      <c r="S73" s="297">
        <v>1.373</v>
      </c>
      <c r="T73" s="297"/>
      <c r="U73" s="297">
        <v>1.615</v>
      </c>
      <c r="V73" s="297">
        <v>1.5549999999999999</v>
      </c>
      <c r="W73" s="297">
        <v>1.397</v>
      </c>
      <c r="X73" s="297">
        <v>0</v>
      </c>
      <c r="Y73" s="297">
        <v>1.3089999999999999</v>
      </c>
      <c r="Z73" s="297"/>
      <c r="AA73" s="297"/>
      <c r="AB73" s="297"/>
      <c r="AC73" s="297"/>
      <c r="AD73" s="297"/>
      <c r="AE73" s="297"/>
      <c r="AF73" s="297"/>
      <c r="AG73" s="299" t="s">
        <v>281</v>
      </c>
      <c r="AH73" s="299" t="s">
        <v>282</v>
      </c>
      <c r="AI73" s="192">
        <v>2</v>
      </c>
      <c r="AJ73" s="192">
        <v>4</v>
      </c>
      <c r="AK73" s="246">
        <v>0.33329999999999999</v>
      </c>
      <c r="AL73" s="246">
        <v>0.66659999999999997</v>
      </c>
      <c r="AM73" s="299">
        <v>0</v>
      </c>
      <c r="AN73" s="299">
        <v>0</v>
      </c>
      <c r="AO73" s="299">
        <v>15</v>
      </c>
      <c r="AP73" s="299">
        <v>0</v>
      </c>
      <c r="AQ73" s="299">
        <v>0</v>
      </c>
      <c r="AR73" s="299">
        <v>0</v>
      </c>
      <c r="AS73" s="299">
        <v>0</v>
      </c>
      <c r="AT73" s="299">
        <v>0</v>
      </c>
      <c r="AU73" s="299">
        <v>0</v>
      </c>
      <c r="AV73" s="299">
        <v>0</v>
      </c>
      <c r="AW73" s="297"/>
      <c r="AX73" s="299" t="s">
        <v>405</v>
      </c>
      <c r="AY73" s="299"/>
      <c r="AZ73" s="299" t="s">
        <v>405</v>
      </c>
      <c r="BA73" s="298" t="s">
        <v>429</v>
      </c>
      <c r="BB73" s="297"/>
      <c r="BC73" s="299"/>
      <c r="BD73" s="299" t="s">
        <v>406</v>
      </c>
      <c r="BE73" s="298"/>
      <c r="BF73" t="s">
        <v>221</v>
      </c>
      <c r="BG73"/>
    </row>
    <row r="74" spans="1:59" s="219" customFormat="1" x14ac:dyDescent="0.15">
      <c r="A74" s="148">
        <v>319</v>
      </c>
      <c r="B74" s="308">
        <v>42983</v>
      </c>
      <c r="C74" s="296" t="s">
        <v>278</v>
      </c>
      <c r="D74" s="297" t="s">
        <v>334</v>
      </c>
      <c r="E74" s="295">
        <v>42736</v>
      </c>
      <c r="F74" s="297" t="s">
        <v>222</v>
      </c>
      <c r="G74" s="297" t="s">
        <v>421</v>
      </c>
      <c r="H74" s="297">
        <v>66.319999999999993</v>
      </c>
      <c r="I74" s="312" t="s">
        <v>402</v>
      </c>
      <c r="J74" s="310">
        <v>6000</v>
      </c>
      <c r="K74" s="310">
        <v>12000</v>
      </c>
      <c r="L74" s="310">
        <v>84000</v>
      </c>
      <c r="M74" s="310">
        <v>84000</v>
      </c>
      <c r="N74" s="310"/>
      <c r="O74" s="297">
        <v>2.1669999999999998</v>
      </c>
      <c r="P74" s="297">
        <v>1.792</v>
      </c>
      <c r="Q74" s="297">
        <v>1.3280000000000001</v>
      </c>
      <c r="R74" s="297">
        <v>0</v>
      </c>
      <c r="S74" s="297">
        <v>1.3069999999999999</v>
      </c>
      <c r="T74" s="297"/>
      <c r="U74" s="297">
        <v>1.4410000000000001</v>
      </c>
      <c r="V74" s="297">
        <v>1.399</v>
      </c>
      <c r="W74" s="297">
        <v>1.2889999999999999</v>
      </c>
      <c r="X74" s="297">
        <v>0</v>
      </c>
      <c r="Y74" s="297">
        <v>1.228</v>
      </c>
      <c r="Z74" s="297"/>
      <c r="AA74" s="297"/>
      <c r="AB74" s="297"/>
      <c r="AC74" s="297"/>
      <c r="AD74" s="297"/>
      <c r="AE74" s="297"/>
      <c r="AF74" s="297"/>
      <c r="AG74" s="299" t="s">
        <v>281</v>
      </c>
      <c r="AH74" s="299" t="s">
        <v>282</v>
      </c>
      <c r="AI74" s="192">
        <v>2</v>
      </c>
      <c r="AJ74" s="192">
        <v>4</v>
      </c>
      <c r="AK74" s="246">
        <v>0.33329999999999999</v>
      </c>
      <c r="AL74" s="246">
        <v>0.66659999999999997</v>
      </c>
      <c r="AM74" s="299">
        <v>0</v>
      </c>
      <c r="AN74" s="299">
        <v>0</v>
      </c>
      <c r="AO74" s="299">
        <v>0</v>
      </c>
      <c r="AP74" s="299">
        <v>0</v>
      </c>
      <c r="AQ74" s="299">
        <v>0</v>
      </c>
      <c r="AR74" s="299">
        <v>0</v>
      </c>
      <c r="AS74" s="299">
        <v>0</v>
      </c>
      <c r="AT74" s="299">
        <v>0</v>
      </c>
      <c r="AU74" s="299">
        <v>0</v>
      </c>
      <c r="AV74" s="299">
        <v>0</v>
      </c>
      <c r="AW74" s="297"/>
      <c r="AX74" s="299" t="s">
        <v>405</v>
      </c>
      <c r="AY74" s="299"/>
      <c r="AZ74" s="299" t="s">
        <v>405</v>
      </c>
      <c r="BA74" s="298" t="s">
        <v>432</v>
      </c>
      <c r="BB74" s="297" t="s">
        <v>433</v>
      </c>
      <c r="BC74" s="299">
        <v>50</v>
      </c>
      <c r="BD74" s="299" t="s">
        <v>422</v>
      </c>
      <c r="BE74" s="298"/>
      <c r="BF74" t="s">
        <v>213</v>
      </c>
      <c r="BG74"/>
    </row>
    <row r="75" spans="1:59" s="219" customFormat="1" x14ac:dyDescent="0.15">
      <c r="A75" s="148">
        <v>574</v>
      </c>
      <c r="B75" s="308">
        <v>42983</v>
      </c>
      <c r="C75" s="296" t="s">
        <v>278</v>
      </c>
      <c r="D75" s="297" t="s">
        <v>334</v>
      </c>
      <c r="E75" s="295">
        <v>42917</v>
      </c>
      <c r="F75" s="298" t="s">
        <v>224</v>
      </c>
      <c r="G75" s="297" t="s">
        <v>355</v>
      </c>
      <c r="H75" s="297">
        <v>81.58</v>
      </c>
      <c r="I75" s="312" t="s">
        <v>402</v>
      </c>
      <c r="J75" s="311">
        <v>3200</v>
      </c>
      <c r="K75" s="311">
        <v>3200</v>
      </c>
      <c r="L75" s="311">
        <v>3200</v>
      </c>
      <c r="M75" s="311">
        <v>3200</v>
      </c>
      <c r="N75" s="310"/>
      <c r="O75" s="297">
        <v>2.629</v>
      </c>
      <c r="P75">
        <v>0</v>
      </c>
      <c r="Q75" s="297">
        <v>0</v>
      </c>
      <c r="R75" s="297">
        <v>0</v>
      </c>
      <c r="S75" s="297">
        <v>2.0870000000000002</v>
      </c>
      <c r="T75" s="297"/>
      <c r="U75" s="297">
        <v>1.8420000000000001</v>
      </c>
      <c r="V75">
        <v>0</v>
      </c>
      <c r="W75" s="297">
        <v>0</v>
      </c>
      <c r="X75" s="297">
        <v>0</v>
      </c>
      <c r="Y75" s="297">
        <v>1.4650000000000001</v>
      </c>
      <c r="Z75" s="297"/>
      <c r="AA75" s="297"/>
      <c r="AB75" s="297"/>
      <c r="AC75" s="297"/>
      <c r="AD75" s="297"/>
      <c r="AE75" s="297"/>
      <c r="AF75" s="297"/>
      <c r="AG75" s="299" t="s">
        <v>281</v>
      </c>
      <c r="AH75" s="299" t="s">
        <v>282</v>
      </c>
      <c r="AI75" s="192">
        <v>2</v>
      </c>
      <c r="AJ75" s="192">
        <v>4</v>
      </c>
      <c r="AK75" s="246">
        <v>0.33329999999999999</v>
      </c>
      <c r="AL75" s="246">
        <v>0.66659999999999997</v>
      </c>
      <c r="AM75" s="299">
        <v>0</v>
      </c>
      <c r="AN75" s="299">
        <v>0</v>
      </c>
      <c r="AO75" s="299">
        <v>0</v>
      </c>
      <c r="AP75" s="299">
        <v>13</v>
      </c>
      <c r="AQ75" s="299">
        <v>0</v>
      </c>
      <c r="AR75" s="299">
        <v>0</v>
      </c>
      <c r="AS75" s="299">
        <v>0</v>
      </c>
      <c r="AT75" s="299">
        <v>0</v>
      </c>
      <c r="AU75" s="299">
        <v>0</v>
      </c>
      <c r="AV75" s="299">
        <v>0</v>
      </c>
      <c r="AW75" s="297"/>
      <c r="AX75" s="299" t="s">
        <v>405</v>
      </c>
      <c r="AY75" s="299">
        <v>12</v>
      </c>
      <c r="AZ75" s="299" t="s">
        <v>405</v>
      </c>
      <c r="BA75" s="298"/>
      <c r="BB75" s="298"/>
      <c r="BC75" s="299"/>
      <c r="BD75" s="299" t="s">
        <v>406</v>
      </c>
      <c r="BE75" s="298"/>
      <c r="BF75" t="s">
        <v>171</v>
      </c>
      <c r="BG75"/>
    </row>
    <row r="76" spans="1:59" s="219" customFormat="1" x14ac:dyDescent="0.15">
      <c r="A76" s="148">
        <v>240</v>
      </c>
      <c r="B76" s="308">
        <v>42983</v>
      </c>
      <c r="C76" s="296" t="s">
        <v>278</v>
      </c>
      <c r="D76" s="297" t="s">
        <v>334</v>
      </c>
      <c r="E76" s="309" t="s">
        <v>358</v>
      </c>
      <c r="F76" s="298" t="s">
        <v>226</v>
      </c>
      <c r="G76" s="297" t="s">
        <v>360</v>
      </c>
      <c r="H76" s="297">
        <v>84</v>
      </c>
      <c r="I76" s="312" t="s">
        <v>402</v>
      </c>
      <c r="J76" s="311">
        <v>3500</v>
      </c>
      <c r="K76" s="311">
        <v>3500</v>
      </c>
      <c r="L76" s="311">
        <v>3500</v>
      </c>
      <c r="M76" s="311">
        <v>3500</v>
      </c>
      <c r="N76" s="310"/>
      <c r="O76" s="297">
        <v>2.4430000000000001</v>
      </c>
      <c r="P76">
        <v>0</v>
      </c>
      <c r="Q76" s="297">
        <v>0</v>
      </c>
      <c r="R76" s="297">
        <v>0</v>
      </c>
      <c r="S76" s="297">
        <v>1.843</v>
      </c>
      <c r="T76" s="297"/>
      <c r="U76" s="297">
        <v>1.6990000000000001</v>
      </c>
      <c r="V76">
        <v>0</v>
      </c>
      <c r="W76" s="297">
        <v>0</v>
      </c>
      <c r="X76" s="297">
        <v>0</v>
      </c>
      <c r="Y76" s="297">
        <v>1.329</v>
      </c>
      <c r="Z76" s="297"/>
      <c r="AA76" s="297"/>
      <c r="AB76" s="297"/>
      <c r="AC76" s="297"/>
      <c r="AD76" s="297"/>
      <c r="AE76" s="297"/>
      <c r="AF76" s="297"/>
      <c r="AG76" s="299" t="s">
        <v>281</v>
      </c>
      <c r="AH76" s="299" t="s">
        <v>282</v>
      </c>
      <c r="AI76" s="218">
        <v>2</v>
      </c>
      <c r="AJ76" s="218">
        <v>4</v>
      </c>
      <c r="AK76" s="246">
        <v>0.33329999999999999</v>
      </c>
      <c r="AL76" s="246">
        <v>0.66659999999999997</v>
      </c>
      <c r="AM76" s="299">
        <v>0</v>
      </c>
      <c r="AN76" s="299">
        <v>0</v>
      </c>
      <c r="AO76" s="299">
        <v>10</v>
      </c>
      <c r="AP76" s="299">
        <v>0</v>
      </c>
      <c r="AQ76" s="299">
        <v>0</v>
      </c>
      <c r="AR76" s="299">
        <v>0</v>
      </c>
      <c r="AS76" s="299">
        <v>0</v>
      </c>
      <c r="AT76" s="299">
        <v>0</v>
      </c>
      <c r="AU76" s="299">
        <v>0</v>
      </c>
      <c r="AV76" s="299">
        <v>0</v>
      </c>
      <c r="AW76" s="299"/>
      <c r="AX76" s="299" t="s">
        <v>405</v>
      </c>
      <c r="AY76" s="299"/>
      <c r="AZ76" s="299" t="s">
        <v>405</v>
      </c>
      <c r="BA76" s="298"/>
      <c r="BB76" s="297"/>
      <c r="BC76" s="299"/>
      <c r="BD76" s="299" t="s">
        <v>422</v>
      </c>
      <c r="BE76" s="298"/>
      <c r="BF76" t="s">
        <v>294</v>
      </c>
      <c r="BG76"/>
    </row>
    <row r="77" spans="1:59" s="219" customFormat="1" x14ac:dyDescent="0.15">
      <c r="A77" s="148">
        <v>799</v>
      </c>
      <c r="B77" s="308">
        <v>42983</v>
      </c>
      <c r="C77" s="296" t="s">
        <v>295</v>
      </c>
      <c r="D77" s="297" t="s">
        <v>334</v>
      </c>
      <c r="E77" s="309">
        <v>42917</v>
      </c>
      <c r="F77" s="298" t="s">
        <v>984</v>
      </c>
      <c r="G77" s="297" t="s">
        <v>363</v>
      </c>
      <c r="H77" s="297">
        <v>79.91</v>
      </c>
      <c r="I77" s="312" t="s">
        <v>296</v>
      </c>
      <c r="J77" s="310">
        <v>6000</v>
      </c>
      <c r="K77" s="310">
        <v>12000</v>
      </c>
      <c r="L77" s="310">
        <v>84000</v>
      </c>
      <c r="M77" s="310">
        <v>84000</v>
      </c>
      <c r="N77" s="310"/>
      <c r="O77" s="297">
        <v>2.19</v>
      </c>
      <c r="P77" s="297">
        <v>2.15</v>
      </c>
      <c r="Q77" s="297">
        <v>1.46</v>
      </c>
      <c r="R77" s="297">
        <v>0</v>
      </c>
      <c r="S77" s="297">
        <v>1.42</v>
      </c>
      <c r="T77" s="297"/>
      <c r="U77" s="297">
        <v>1.68</v>
      </c>
      <c r="V77" s="297">
        <v>1.61</v>
      </c>
      <c r="W77" s="297">
        <v>1.45</v>
      </c>
      <c r="X77" s="297">
        <v>0</v>
      </c>
      <c r="Y77" s="297">
        <v>1.36</v>
      </c>
      <c r="Z77" s="297"/>
      <c r="AA77" s="297"/>
      <c r="AB77" s="297"/>
      <c r="AC77" s="297"/>
      <c r="AD77" s="297"/>
      <c r="AE77" s="297"/>
      <c r="AF77" s="297"/>
      <c r="AG77" s="299" t="s">
        <v>297</v>
      </c>
      <c r="AH77" s="299" t="s">
        <v>298</v>
      </c>
      <c r="AI77" s="192">
        <v>2</v>
      </c>
      <c r="AJ77" s="192">
        <v>4</v>
      </c>
      <c r="AK77" s="246">
        <v>0.33329999999999999</v>
      </c>
      <c r="AL77" s="246">
        <v>0.66659999999999997</v>
      </c>
      <c r="AM77" s="299">
        <v>0</v>
      </c>
      <c r="AN77" s="299">
        <v>0</v>
      </c>
      <c r="AO77" s="299">
        <v>0</v>
      </c>
      <c r="AP77" s="299">
        <v>20</v>
      </c>
      <c r="AQ77" s="299">
        <v>0</v>
      </c>
      <c r="AR77" s="299">
        <v>0</v>
      </c>
      <c r="AS77" s="299">
        <v>0</v>
      </c>
      <c r="AT77" s="299">
        <v>0</v>
      </c>
      <c r="AU77" s="299">
        <v>0</v>
      </c>
      <c r="AV77" s="299">
        <v>0</v>
      </c>
      <c r="AW77" s="299">
        <v>24</v>
      </c>
      <c r="AX77" s="299" t="s">
        <v>405</v>
      </c>
      <c r="AY77" s="299"/>
      <c r="AZ77" s="299" t="s">
        <v>405</v>
      </c>
      <c r="BA77" s="298" t="s">
        <v>364</v>
      </c>
      <c r="BB77" s="297" t="s">
        <v>365</v>
      </c>
      <c r="BC77" s="299">
        <v>25</v>
      </c>
      <c r="BD77" s="299" t="s">
        <v>422</v>
      </c>
      <c r="BE77" s="298"/>
      <c r="BF77" t="s">
        <v>430</v>
      </c>
      <c r="BG77"/>
    </row>
    <row r="78" spans="1:59" s="31" customFormat="1" x14ac:dyDescent="0.15">
      <c r="A78" s="148">
        <v>82</v>
      </c>
      <c r="B78" s="308">
        <v>42983</v>
      </c>
      <c r="C78" s="296" t="s">
        <v>278</v>
      </c>
      <c r="D78" s="297" t="s">
        <v>172</v>
      </c>
      <c r="E78" s="295">
        <v>42917</v>
      </c>
      <c r="F78" s="298" t="s">
        <v>280</v>
      </c>
      <c r="G78" s="297" t="s">
        <v>401</v>
      </c>
      <c r="H78" s="297">
        <v>78.680000000000007</v>
      </c>
      <c r="I78" s="313" t="s">
        <v>402</v>
      </c>
      <c r="J78" s="314">
        <v>6000</v>
      </c>
      <c r="K78" s="314">
        <v>12000</v>
      </c>
      <c r="L78" s="314">
        <v>84000</v>
      </c>
      <c r="M78" s="314">
        <v>84000</v>
      </c>
      <c r="N78" s="314"/>
      <c r="O78" s="297">
        <v>2.181</v>
      </c>
      <c r="P78" s="297">
        <v>2.0630000000000002</v>
      </c>
      <c r="Q78" s="297">
        <v>1.371</v>
      </c>
      <c r="R78" s="297">
        <v>0</v>
      </c>
      <c r="S78" s="297">
        <v>1.327</v>
      </c>
      <c r="T78" s="297"/>
      <c r="U78" s="297">
        <v>1.994</v>
      </c>
      <c r="V78" s="297">
        <v>1.52</v>
      </c>
      <c r="W78" s="297">
        <v>1.361</v>
      </c>
      <c r="X78" s="297">
        <v>0</v>
      </c>
      <c r="Y78" s="297">
        <v>1.2310000000000001</v>
      </c>
      <c r="Z78" s="297"/>
      <c r="AA78" s="297"/>
      <c r="AB78" s="297"/>
      <c r="AC78" s="297"/>
      <c r="AD78" s="297"/>
      <c r="AE78" s="297"/>
      <c r="AF78" s="297"/>
      <c r="AG78" s="299" t="s">
        <v>281</v>
      </c>
      <c r="AH78" s="299" t="s">
        <v>282</v>
      </c>
      <c r="AI78" s="192">
        <v>2</v>
      </c>
      <c r="AJ78" s="192">
        <v>4</v>
      </c>
      <c r="AK78" s="247">
        <v>0.33329999999999999</v>
      </c>
      <c r="AL78" s="247">
        <v>0.66659999999999997</v>
      </c>
      <c r="AM78" s="299">
        <v>0</v>
      </c>
      <c r="AN78" s="299">
        <v>0</v>
      </c>
      <c r="AO78" s="299">
        <v>0</v>
      </c>
      <c r="AP78" s="299">
        <v>15</v>
      </c>
      <c r="AQ78" s="299">
        <v>0</v>
      </c>
      <c r="AR78" s="299">
        <v>0</v>
      </c>
      <c r="AS78" s="299">
        <v>0</v>
      </c>
      <c r="AT78" s="299">
        <v>0</v>
      </c>
      <c r="AU78" s="299">
        <v>0</v>
      </c>
      <c r="AV78" s="299">
        <v>0</v>
      </c>
      <c r="AW78" s="299"/>
      <c r="AX78" s="299" t="s">
        <v>405</v>
      </c>
      <c r="AY78" s="299">
        <v>12</v>
      </c>
      <c r="AZ78" s="299" t="s">
        <v>405</v>
      </c>
      <c r="BA78" s="298" t="s">
        <v>283</v>
      </c>
      <c r="BB78" s="297" t="s">
        <v>433</v>
      </c>
      <c r="BC78" s="299">
        <v>50</v>
      </c>
      <c r="BD78" s="299" t="s">
        <v>406</v>
      </c>
      <c r="BE78" s="298"/>
      <c r="BF78" t="s">
        <v>173</v>
      </c>
      <c r="BG78"/>
    </row>
    <row r="79" spans="1:59" s="31" customFormat="1" x14ac:dyDescent="0.15">
      <c r="A79" s="148">
        <v>265</v>
      </c>
      <c r="B79" s="308">
        <v>42983</v>
      </c>
      <c r="C79" s="296" t="s">
        <v>278</v>
      </c>
      <c r="D79" s="297" t="s">
        <v>172</v>
      </c>
      <c r="E79" s="309" t="s">
        <v>285</v>
      </c>
      <c r="F79" s="298" t="s">
        <v>286</v>
      </c>
      <c r="G79" s="297" t="s">
        <v>410</v>
      </c>
      <c r="H79" s="297">
        <v>66.010000000000005</v>
      </c>
      <c r="I79" s="313" t="s">
        <v>402</v>
      </c>
      <c r="J79" s="315">
        <v>6000</v>
      </c>
      <c r="K79" s="315">
        <v>6000</v>
      </c>
      <c r="L79" s="315">
        <v>6000</v>
      </c>
      <c r="M79" s="315">
        <v>6000</v>
      </c>
      <c r="N79" s="314"/>
      <c r="O79" s="297">
        <v>2.2400000000000002</v>
      </c>
      <c r="P79">
        <v>0</v>
      </c>
      <c r="Q79" s="297">
        <v>0</v>
      </c>
      <c r="R79" s="297">
        <v>0</v>
      </c>
      <c r="S79" s="297">
        <v>1.75</v>
      </c>
      <c r="T79" s="297"/>
      <c r="U79" s="297">
        <v>2.13</v>
      </c>
      <c r="V79">
        <v>0</v>
      </c>
      <c r="W79" s="297">
        <v>0</v>
      </c>
      <c r="X79" s="297">
        <v>0</v>
      </c>
      <c r="Y79" s="297">
        <v>1.63</v>
      </c>
      <c r="Z79" s="297"/>
      <c r="AA79" s="297"/>
      <c r="AB79" s="297"/>
      <c r="AC79" s="297"/>
      <c r="AD79" s="297"/>
      <c r="AE79" s="297"/>
      <c r="AF79" s="297"/>
      <c r="AG79" s="299" t="s">
        <v>281</v>
      </c>
      <c r="AH79" s="299" t="s">
        <v>282</v>
      </c>
      <c r="AI79" s="192">
        <v>2</v>
      </c>
      <c r="AJ79" s="192">
        <v>4</v>
      </c>
      <c r="AK79" s="247">
        <v>0.33329999999999999</v>
      </c>
      <c r="AL79" s="247">
        <v>0.66659999999999997</v>
      </c>
      <c r="AM79" s="299">
        <v>0</v>
      </c>
      <c r="AN79" s="299">
        <v>0</v>
      </c>
      <c r="AO79" s="299">
        <v>0</v>
      </c>
      <c r="AP79" s="299">
        <v>25</v>
      </c>
      <c r="AQ79" s="299">
        <v>0</v>
      </c>
      <c r="AR79" s="299">
        <v>0</v>
      </c>
      <c r="AS79" s="299">
        <v>0</v>
      </c>
      <c r="AT79" s="299">
        <v>0</v>
      </c>
      <c r="AU79" s="299">
        <v>0</v>
      </c>
      <c r="AV79" s="299">
        <v>0</v>
      </c>
      <c r="AW79" s="297"/>
      <c r="AX79" s="299" t="s">
        <v>405</v>
      </c>
      <c r="AY79" s="299">
        <v>24</v>
      </c>
      <c r="AZ79" s="299" t="s">
        <v>405</v>
      </c>
      <c r="BA79" s="298"/>
      <c r="BB79" s="297"/>
      <c r="BC79" s="299"/>
      <c r="BD79" s="299" t="s">
        <v>406</v>
      </c>
      <c r="BE79" s="298"/>
      <c r="BF79" t="s">
        <v>287</v>
      </c>
      <c r="BG79"/>
    </row>
    <row r="80" spans="1:59" s="31" customFormat="1" x14ac:dyDescent="0.15">
      <c r="A80" s="148">
        <v>279</v>
      </c>
      <c r="B80" s="308">
        <v>42983</v>
      </c>
      <c r="C80" s="296" t="s">
        <v>278</v>
      </c>
      <c r="D80" s="297" t="s">
        <v>172</v>
      </c>
      <c r="E80" s="295">
        <v>42917</v>
      </c>
      <c r="F80" s="298" t="s">
        <v>288</v>
      </c>
      <c r="G80" s="297" t="s">
        <v>414</v>
      </c>
      <c r="H80" s="297">
        <v>96.8</v>
      </c>
      <c r="I80" s="313" t="s">
        <v>402</v>
      </c>
      <c r="J80" s="314">
        <v>6000</v>
      </c>
      <c r="K80" s="314">
        <v>12000</v>
      </c>
      <c r="L80" s="314">
        <v>12000</v>
      </c>
      <c r="M80" s="314">
        <v>12000</v>
      </c>
      <c r="N80" s="314"/>
      <c r="O80" s="297">
        <v>2.85</v>
      </c>
      <c r="P80" s="297">
        <v>2.35</v>
      </c>
      <c r="Q80">
        <v>0</v>
      </c>
      <c r="R80" s="297">
        <v>0</v>
      </c>
      <c r="S80" s="297">
        <v>1.6</v>
      </c>
      <c r="T80" s="297"/>
      <c r="U80" s="297">
        <v>1.8</v>
      </c>
      <c r="V80" s="297">
        <v>1.75</v>
      </c>
      <c r="W80">
        <v>0</v>
      </c>
      <c r="X80" s="297">
        <v>0</v>
      </c>
      <c r="Y80" s="297">
        <v>1.6</v>
      </c>
      <c r="Z80" s="297"/>
      <c r="AA80" s="297"/>
      <c r="AB80" s="297"/>
      <c r="AC80" s="297"/>
      <c r="AD80" s="297"/>
      <c r="AE80" s="297"/>
      <c r="AF80" s="297"/>
      <c r="AG80" s="299" t="s">
        <v>281</v>
      </c>
      <c r="AH80" s="299" t="s">
        <v>282</v>
      </c>
      <c r="AI80" s="192">
        <v>2</v>
      </c>
      <c r="AJ80" s="192">
        <v>4</v>
      </c>
      <c r="AK80" s="247">
        <v>0.33329999999999999</v>
      </c>
      <c r="AL80" s="247">
        <v>0.66659999999999997</v>
      </c>
      <c r="AM80" s="299">
        <v>0</v>
      </c>
      <c r="AN80" s="299">
        <v>0</v>
      </c>
      <c r="AO80" s="299">
        <v>14</v>
      </c>
      <c r="AP80" s="299">
        <v>0</v>
      </c>
      <c r="AQ80" s="299">
        <v>0</v>
      </c>
      <c r="AR80" s="299">
        <v>0</v>
      </c>
      <c r="AS80" s="299">
        <v>0</v>
      </c>
      <c r="AT80" s="299">
        <v>0</v>
      </c>
      <c r="AU80" s="299">
        <v>0</v>
      </c>
      <c r="AV80" s="299">
        <v>0</v>
      </c>
      <c r="AW80" s="297"/>
      <c r="AX80" s="299" t="s">
        <v>405</v>
      </c>
      <c r="AY80" s="299"/>
      <c r="AZ80" s="299" t="s">
        <v>405</v>
      </c>
      <c r="BA80" s="298"/>
      <c r="BB80" s="297"/>
      <c r="BC80" s="299"/>
      <c r="BD80" s="299" t="s">
        <v>406</v>
      </c>
      <c r="BE80" s="298" t="s">
        <v>415</v>
      </c>
      <c r="BF80" t="s">
        <v>302</v>
      </c>
      <c r="BG80"/>
    </row>
    <row r="81" spans="1:59" s="31" customFormat="1" x14ac:dyDescent="0.15">
      <c r="A81" s="148">
        <v>331</v>
      </c>
      <c r="B81" s="308">
        <v>42983</v>
      </c>
      <c r="C81" s="296" t="s">
        <v>278</v>
      </c>
      <c r="D81" s="297" t="s">
        <v>172</v>
      </c>
      <c r="E81" s="295">
        <v>42767</v>
      </c>
      <c r="F81" s="298" t="s">
        <v>600</v>
      </c>
      <c r="G81" s="297" t="s">
        <v>421</v>
      </c>
      <c r="H81" s="297">
        <v>82</v>
      </c>
      <c r="I81" s="313" t="s">
        <v>402</v>
      </c>
      <c r="J81" s="314">
        <v>6000</v>
      </c>
      <c r="K81" s="314">
        <v>12000</v>
      </c>
      <c r="L81" s="314">
        <v>84000</v>
      </c>
      <c r="M81" s="314">
        <v>84000</v>
      </c>
      <c r="N81" s="314"/>
      <c r="O81" s="297">
        <v>3.1</v>
      </c>
      <c r="P81" s="297">
        <v>2.66</v>
      </c>
      <c r="Q81" s="297">
        <v>1.98</v>
      </c>
      <c r="R81" s="297">
        <v>0</v>
      </c>
      <c r="S81" s="297">
        <v>1.93</v>
      </c>
      <c r="T81" s="297"/>
      <c r="U81" s="297">
        <v>2.13</v>
      </c>
      <c r="V81" s="297">
        <v>1.93</v>
      </c>
      <c r="W81" s="297">
        <v>1.79</v>
      </c>
      <c r="X81" s="297">
        <v>0</v>
      </c>
      <c r="Y81" s="297">
        <v>1.68</v>
      </c>
      <c r="Z81" s="297"/>
      <c r="AA81" s="297"/>
      <c r="AB81" s="297"/>
      <c r="AC81" s="297"/>
      <c r="AD81" s="297"/>
      <c r="AE81" s="297"/>
      <c r="AF81" s="297"/>
      <c r="AG81" s="299" t="s">
        <v>281</v>
      </c>
      <c r="AH81" s="299" t="s">
        <v>282</v>
      </c>
      <c r="AI81" s="228">
        <v>3</v>
      </c>
      <c r="AJ81" s="228">
        <v>3</v>
      </c>
      <c r="AK81" s="247">
        <v>0.5</v>
      </c>
      <c r="AL81" s="247">
        <v>0.5</v>
      </c>
      <c r="AM81" s="299">
        <v>0</v>
      </c>
      <c r="AN81" s="299">
        <v>0</v>
      </c>
      <c r="AO81" s="299">
        <v>0</v>
      </c>
      <c r="AP81" s="299">
        <v>16</v>
      </c>
      <c r="AQ81" s="299">
        <v>0</v>
      </c>
      <c r="AR81" s="299">
        <v>0</v>
      </c>
      <c r="AS81" s="299">
        <v>0</v>
      </c>
      <c r="AT81" s="299">
        <v>0</v>
      </c>
      <c r="AU81" s="299">
        <v>0</v>
      </c>
      <c r="AV81" s="299">
        <v>0</v>
      </c>
      <c r="AW81" s="299">
        <v>12</v>
      </c>
      <c r="AX81" s="299" t="s">
        <v>403</v>
      </c>
      <c r="AY81" s="299"/>
      <c r="AZ81" s="299" t="s">
        <v>405</v>
      </c>
      <c r="BA81" s="298"/>
      <c r="BB81" s="297"/>
      <c r="BC81" s="299"/>
      <c r="BD81" s="299" t="s">
        <v>406</v>
      </c>
      <c r="BE81" s="298"/>
      <c r="BF81" t="s">
        <v>211</v>
      </c>
      <c r="BG81"/>
    </row>
    <row r="82" spans="1:59" s="31" customFormat="1" x14ac:dyDescent="0.15">
      <c r="A82" s="148">
        <v>878</v>
      </c>
      <c r="B82" s="308">
        <v>42983</v>
      </c>
      <c r="C82" s="296" t="s">
        <v>278</v>
      </c>
      <c r="D82" s="297" t="s">
        <v>172</v>
      </c>
      <c r="E82" s="295">
        <v>42711</v>
      </c>
      <c r="F82" s="298" t="s">
        <v>290</v>
      </c>
      <c r="G82" s="297" t="s">
        <v>421</v>
      </c>
      <c r="H82" s="297">
        <v>65.989999999999995</v>
      </c>
      <c r="I82" s="313" t="s">
        <v>402</v>
      </c>
      <c r="J82" s="315">
        <v>3200</v>
      </c>
      <c r="K82" s="315">
        <v>3200</v>
      </c>
      <c r="L82" s="315">
        <v>3200</v>
      </c>
      <c r="M82" s="315">
        <v>3200</v>
      </c>
      <c r="N82" s="314"/>
      <c r="O82" s="297">
        <v>2.4500000000000002</v>
      </c>
      <c r="P82">
        <v>0</v>
      </c>
      <c r="Q82" s="297">
        <v>0</v>
      </c>
      <c r="R82" s="297">
        <v>0</v>
      </c>
      <c r="S82" s="297">
        <v>2.09</v>
      </c>
      <c r="T82" s="297"/>
      <c r="U82" s="297">
        <v>1.98</v>
      </c>
      <c r="V82">
        <v>0</v>
      </c>
      <c r="W82" s="297">
        <v>0</v>
      </c>
      <c r="X82" s="297">
        <v>0</v>
      </c>
      <c r="Y82" s="297">
        <v>1.59</v>
      </c>
      <c r="Z82" s="297"/>
      <c r="AA82" s="297"/>
      <c r="AB82" s="297"/>
      <c r="AC82" s="297"/>
      <c r="AD82" s="297"/>
      <c r="AE82" s="297"/>
      <c r="AF82" s="297"/>
      <c r="AG82" s="299" t="s">
        <v>281</v>
      </c>
      <c r="AH82" s="299" t="s">
        <v>282</v>
      </c>
      <c r="AI82" s="192">
        <v>2</v>
      </c>
      <c r="AJ82" s="192">
        <v>4</v>
      </c>
      <c r="AK82" s="247">
        <v>0.33329999999999999</v>
      </c>
      <c r="AL82" s="247">
        <v>0.66659999999999997</v>
      </c>
      <c r="AM82" s="299">
        <v>0</v>
      </c>
      <c r="AN82" s="299">
        <v>0</v>
      </c>
      <c r="AO82" s="299">
        <v>0</v>
      </c>
      <c r="AP82" s="299">
        <v>0</v>
      </c>
      <c r="AQ82" s="299">
        <v>0</v>
      </c>
      <c r="AR82" s="299">
        <v>20</v>
      </c>
      <c r="AS82" s="299">
        <v>0</v>
      </c>
      <c r="AT82" s="299">
        <v>0</v>
      </c>
      <c r="AU82" s="299">
        <v>0</v>
      </c>
      <c r="AV82" s="299">
        <v>0</v>
      </c>
      <c r="AW82" s="297"/>
      <c r="AX82" s="299" t="s">
        <v>405</v>
      </c>
      <c r="AY82" s="299"/>
      <c r="AZ82" s="299" t="s">
        <v>405</v>
      </c>
      <c r="BA82" s="298"/>
      <c r="BB82" s="297"/>
      <c r="BC82" s="299"/>
      <c r="BD82" s="299" t="s">
        <v>422</v>
      </c>
      <c r="BE82" s="298"/>
      <c r="BF82" t="s">
        <v>169</v>
      </c>
      <c r="BG82"/>
    </row>
    <row r="83" spans="1:59" s="31" customFormat="1" x14ac:dyDescent="0.15">
      <c r="A83" s="148">
        <v>163</v>
      </c>
      <c r="B83" s="308">
        <v>42983</v>
      </c>
      <c r="C83" s="296" t="s">
        <v>278</v>
      </c>
      <c r="D83" s="297" t="s">
        <v>172</v>
      </c>
      <c r="E83" s="295">
        <v>42929</v>
      </c>
      <c r="F83" s="298" t="s">
        <v>217</v>
      </c>
      <c r="G83" s="297" t="s">
        <v>425</v>
      </c>
      <c r="H83" s="297">
        <v>86.1</v>
      </c>
      <c r="I83" s="313" t="s">
        <v>402</v>
      </c>
      <c r="J83" s="314">
        <v>6000</v>
      </c>
      <c r="K83" s="314">
        <v>12000</v>
      </c>
      <c r="L83" s="314">
        <v>84000</v>
      </c>
      <c r="M83" s="314">
        <v>84000</v>
      </c>
      <c r="N83" s="314"/>
      <c r="O83" s="297">
        <v>2.66</v>
      </c>
      <c r="P83" s="297">
        <v>2.0499999999999998</v>
      </c>
      <c r="Q83" s="297">
        <v>1.33</v>
      </c>
      <c r="R83" s="297">
        <v>0</v>
      </c>
      <c r="S83" s="297">
        <v>1.25</v>
      </c>
      <c r="T83" s="297"/>
      <c r="U83" s="297">
        <v>1.78</v>
      </c>
      <c r="V83" s="297">
        <v>1.53</v>
      </c>
      <c r="W83" s="297">
        <v>1.3</v>
      </c>
      <c r="X83" s="297">
        <v>0</v>
      </c>
      <c r="Y83" s="297">
        <v>1.2</v>
      </c>
      <c r="Z83" s="297"/>
      <c r="AA83" s="297"/>
      <c r="AB83" s="297"/>
      <c r="AC83" s="297"/>
      <c r="AD83" s="297"/>
      <c r="AE83" s="297"/>
      <c r="AF83" s="297"/>
      <c r="AG83" s="299" t="s">
        <v>281</v>
      </c>
      <c r="AH83" s="299" t="s">
        <v>282</v>
      </c>
      <c r="AI83" s="192">
        <v>2</v>
      </c>
      <c r="AJ83" s="192">
        <v>4</v>
      </c>
      <c r="AK83" s="247">
        <v>0.33329999999999999</v>
      </c>
      <c r="AL83" s="247">
        <v>0.66659999999999997</v>
      </c>
      <c r="AM83" s="299">
        <v>0</v>
      </c>
      <c r="AN83" s="299">
        <v>0</v>
      </c>
      <c r="AO83" s="299">
        <v>0</v>
      </c>
      <c r="AP83" s="299">
        <v>20</v>
      </c>
      <c r="AQ83" s="299">
        <v>0</v>
      </c>
      <c r="AR83" s="299">
        <v>0</v>
      </c>
      <c r="AS83" s="299">
        <v>0</v>
      </c>
      <c r="AT83" s="299">
        <v>0</v>
      </c>
      <c r="AU83" s="299">
        <v>0</v>
      </c>
      <c r="AV83" s="299">
        <v>0</v>
      </c>
      <c r="AW83" s="297"/>
      <c r="AX83" s="299" t="s">
        <v>405</v>
      </c>
      <c r="AY83" s="299">
        <v>12</v>
      </c>
      <c r="AZ83" s="299" t="s">
        <v>405</v>
      </c>
      <c r="BA83" s="298" t="s">
        <v>218</v>
      </c>
      <c r="BB83" s="297" t="s">
        <v>433</v>
      </c>
      <c r="BC83" s="299">
        <v>50</v>
      </c>
      <c r="BD83" s="299" t="s">
        <v>406</v>
      </c>
      <c r="BE83" s="298"/>
      <c r="BF83" s="301" t="s">
        <v>174</v>
      </c>
      <c r="BG83"/>
    </row>
    <row r="84" spans="1:59" s="31" customFormat="1" x14ac:dyDescent="0.15">
      <c r="A84" s="148">
        <v>177</v>
      </c>
      <c r="B84" s="308">
        <v>42983</v>
      </c>
      <c r="C84" s="296" t="s">
        <v>278</v>
      </c>
      <c r="D84" s="297" t="s">
        <v>172</v>
      </c>
      <c r="E84" s="295">
        <v>42826</v>
      </c>
      <c r="F84" s="298" t="s">
        <v>220</v>
      </c>
      <c r="G84" s="297" t="s">
        <v>428</v>
      </c>
      <c r="H84" s="297">
        <v>79.09</v>
      </c>
      <c r="I84" s="313" t="s">
        <v>402</v>
      </c>
      <c r="J84" s="314">
        <v>6000</v>
      </c>
      <c r="K84" s="314">
        <v>12000</v>
      </c>
      <c r="L84" s="314">
        <v>84000</v>
      </c>
      <c r="M84" s="314">
        <v>84000</v>
      </c>
      <c r="N84" s="314"/>
      <c r="O84" s="297">
        <v>2.4950000000000001</v>
      </c>
      <c r="P84" s="297">
        <v>2.09</v>
      </c>
      <c r="Q84" s="297">
        <v>1.4259999999999999</v>
      </c>
      <c r="R84" s="297">
        <v>0</v>
      </c>
      <c r="S84" s="297">
        <v>1.395</v>
      </c>
      <c r="T84" s="297"/>
      <c r="U84" s="297">
        <v>1.637</v>
      </c>
      <c r="V84" s="297">
        <v>1.5760000000000001</v>
      </c>
      <c r="W84" s="297">
        <v>1.419</v>
      </c>
      <c r="X84" s="297">
        <v>0</v>
      </c>
      <c r="Y84" s="297">
        <v>1.331</v>
      </c>
      <c r="Z84" s="297"/>
      <c r="AA84" s="297"/>
      <c r="AB84" s="297"/>
      <c r="AC84" s="297"/>
      <c r="AD84" s="297"/>
      <c r="AE84" s="297"/>
      <c r="AF84" s="297"/>
      <c r="AG84" s="299" t="s">
        <v>281</v>
      </c>
      <c r="AH84" s="299" t="s">
        <v>282</v>
      </c>
      <c r="AI84" s="192">
        <v>2</v>
      </c>
      <c r="AJ84" s="192">
        <v>4</v>
      </c>
      <c r="AK84" s="247">
        <v>0.33329999999999999</v>
      </c>
      <c r="AL84" s="247">
        <v>0.66659999999999997</v>
      </c>
      <c r="AM84" s="299">
        <v>0</v>
      </c>
      <c r="AN84" s="299">
        <v>0</v>
      </c>
      <c r="AO84" s="299">
        <v>15</v>
      </c>
      <c r="AP84" s="299">
        <v>0</v>
      </c>
      <c r="AQ84" s="299">
        <v>0</v>
      </c>
      <c r="AR84" s="299">
        <v>0</v>
      </c>
      <c r="AS84" s="299">
        <v>0</v>
      </c>
      <c r="AT84" s="299">
        <v>0</v>
      </c>
      <c r="AU84" s="299">
        <v>0</v>
      </c>
      <c r="AV84" s="299">
        <v>0</v>
      </c>
      <c r="AW84" s="297"/>
      <c r="AX84" s="299" t="s">
        <v>405</v>
      </c>
      <c r="AY84" s="299"/>
      <c r="AZ84" s="299" t="s">
        <v>405</v>
      </c>
      <c r="BA84" s="298" t="s">
        <v>429</v>
      </c>
      <c r="BB84" s="297"/>
      <c r="BC84" s="299"/>
      <c r="BD84" s="299" t="s">
        <v>406</v>
      </c>
      <c r="BE84" s="298"/>
      <c r="BF84" t="s">
        <v>221</v>
      </c>
      <c r="BG84"/>
    </row>
    <row r="85" spans="1:59" s="31" customFormat="1" x14ac:dyDescent="0.15">
      <c r="A85" s="148">
        <v>318</v>
      </c>
      <c r="B85" s="308">
        <v>42983</v>
      </c>
      <c r="C85" s="296" t="s">
        <v>278</v>
      </c>
      <c r="D85" s="297" t="s">
        <v>172</v>
      </c>
      <c r="E85" s="295">
        <v>42736</v>
      </c>
      <c r="F85" s="297" t="s">
        <v>222</v>
      </c>
      <c r="G85" s="297" t="s">
        <v>421</v>
      </c>
      <c r="H85" s="297">
        <v>66.319999999999993</v>
      </c>
      <c r="I85" s="313" t="s">
        <v>402</v>
      </c>
      <c r="J85" s="314">
        <v>6000</v>
      </c>
      <c r="K85" s="314">
        <v>12000</v>
      </c>
      <c r="L85" s="314">
        <v>84000</v>
      </c>
      <c r="M85" s="314">
        <v>84000</v>
      </c>
      <c r="N85" s="314"/>
      <c r="O85" s="297">
        <v>2.1669999999999998</v>
      </c>
      <c r="P85" s="297">
        <v>1.792</v>
      </c>
      <c r="Q85" s="297">
        <v>1.3280000000000001</v>
      </c>
      <c r="R85" s="297">
        <v>0</v>
      </c>
      <c r="S85" s="297">
        <v>1.3069999999999999</v>
      </c>
      <c r="T85" s="297"/>
      <c r="U85" s="297">
        <v>1.4410000000000001</v>
      </c>
      <c r="V85" s="297">
        <v>1.399</v>
      </c>
      <c r="W85" s="297">
        <v>1.2889999999999999</v>
      </c>
      <c r="X85" s="297">
        <v>0</v>
      </c>
      <c r="Y85" s="297">
        <v>1.228</v>
      </c>
      <c r="Z85" s="297"/>
      <c r="AA85" s="297"/>
      <c r="AB85" s="297"/>
      <c r="AC85" s="297"/>
      <c r="AD85" s="297"/>
      <c r="AE85" s="297"/>
      <c r="AF85" s="297"/>
      <c r="AG85" s="299" t="s">
        <v>281</v>
      </c>
      <c r="AH85" s="299" t="s">
        <v>282</v>
      </c>
      <c r="AI85" s="192">
        <v>2</v>
      </c>
      <c r="AJ85" s="192">
        <v>4</v>
      </c>
      <c r="AK85" s="247">
        <v>0.33329999999999999</v>
      </c>
      <c r="AL85" s="247">
        <v>0.66659999999999997</v>
      </c>
      <c r="AM85" s="299">
        <v>0</v>
      </c>
      <c r="AN85" s="299">
        <v>0</v>
      </c>
      <c r="AO85" s="299">
        <v>0</v>
      </c>
      <c r="AP85" s="299">
        <v>0</v>
      </c>
      <c r="AQ85" s="299">
        <v>0</v>
      </c>
      <c r="AR85" s="299">
        <v>0</v>
      </c>
      <c r="AS85" s="299">
        <v>0</v>
      </c>
      <c r="AT85" s="299">
        <v>0</v>
      </c>
      <c r="AU85" s="299">
        <v>0</v>
      </c>
      <c r="AV85" s="299">
        <v>0</v>
      </c>
      <c r="AW85" s="297"/>
      <c r="AX85" s="299" t="s">
        <v>405</v>
      </c>
      <c r="AY85" s="299"/>
      <c r="AZ85" s="299" t="s">
        <v>405</v>
      </c>
      <c r="BA85" s="298" t="s">
        <v>432</v>
      </c>
      <c r="BB85" s="297" t="s">
        <v>433</v>
      </c>
      <c r="BC85" s="299">
        <v>50</v>
      </c>
      <c r="BD85" s="299" t="s">
        <v>422</v>
      </c>
      <c r="BE85" s="298"/>
      <c r="BF85" t="s">
        <v>213</v>
      </c>
      <c r="BG85"/>
    </row>
    <row r="86" spans="1:59" s="31" customFormat="1" x14ac:dyDescent="0.15">
      <c r="A86" s="148">
        <v>573</v>
      </c>
      <c r="B86" s="308">
        <v>42983</v>
      </c>
      <c r="C86" s="296" t="s">
        <v>278</v>
      </c>
      <c r="D86" s="297" t="s">
        <v>172</v>
      </c>
      <c r="E86" s="295">
        <v>42917</v>
      </c>
      <c r="F86" s="298" t="s">
        <v>224</v>
      </c>
      <c r="G86" s="297" t="s">
        <v>355</v>
      </c>
      <c r="H86" s="297">
        <v>81.58</v>
      </c>
      <c r="I86" s="313" t="s">
        <v>402</v>
      </c>
      <c r="J86" s="315">
        <v>3200</v>
      </c>
      <c r="K86" s="315">
        <v>3200</v>
      </c>
      <c r="L86" s="315">
        <v>3200</v>
      </c>
      <c r="M86" s="315">
        <v>3200</v>
      </c>
      <c r="N86" s="314"/>
      <c r="O86" s="297">
        <v>2.629</v>
      </c>
      <c r="P86">
        <v>0</v>
      </c>
      <c r="Q86" s="297">
        <v>0</v>
      </c>
      <c r="R86" s="297">
        <v>0</v>
      </c>
      <c r="S86" s="297">
        <v>2.0870000000000002</v>
      </c>
      <c r="T86" s="297"/>
      <c r="U86" s="297">
        <v>1.8420000000000001</v>
      </c>
      <c r="V86">
        <v>0</v>
      </c>
      <c r="W86" s="297">
        <v>0</v>
      </c>
      <c r="X86" s="297">
        <v>0</v>
      </c>
      <c r="Y86" s="297">
        <v>1.4650000000000001</v>
      </c>
      <c r="Z86" s="297"/>
      <c r="AA86" s="297"/>
      <c r="AB86" s="297"/>
      <c r="AC86" s="297"/>
      <c r="AD86" s="297"/>
      <c r="AE86" s="297"/>
      <c r="AF86" s="297"/>
      <c r="AG86" s="299" t="s">
        <v>281</v>
      </c>
      <c r="AH86" s="299" t="s">
        <v>282</v>
      </c>
      <c r="AI86" s="192">
        <v>2</v>
      </c>
      <c r="AJ86" s="192">
        <v>4</v>
      </c>
      <c r="AK86" s="247">
        <v>0.33329999999999999</v>
      </c>
      <c r="AL86" s="247">
        <v>0.66659999999999997</v>
      </c>
      <c r="AM86" s="299">
        <v>0</v>
      </c>
      <c r="AN86" s="299">
        <v>0</v>
      </c>
      <c r="AO86" s="299">
        <v>0</v>
      </c>
      <c r="AP86" s="299">
        <v>13</v>
      </c>
      <c r="AQ86" s="299">
        <v>0</v>
      </c>
      <c r="AR86" s="299">
        <v>0</v>
      </c>
      <c r="AS86" s="299">
        <v>0</v>
      </c>
      <c r="AT86" s="299">
        <v>0</v>
      </c>
      <c r="AU86" s="299">
        <v>0</v>
      </c>
      <c r="AV86" s="299">
        <v>0</v>
      </c>
      <c r="AW86" s="297"/>
      <c r="AX86" s="299" t="s">
        <v>405</v>
      </c>
      <c r="AY86" s="299">
        <v>12</v>
      </c>
      <c r="AZ86" s="299" t="s">
        <v>405</v>
      </c>
      <c r="BA86" s="298"/>
      <c r="BB86" s="298"/>
      <c r="BC86" s="299"/>
      <c r="BD86" s="299" t="s">
        <v>406</v>
      </c>
      <c r="BE86" s="298"/>
      <c r="BF86" t="s">
        <v>175</v>
      </c>
      <c r="BG86"/>
    </row>
    <row r="87" spans="1:59" s="31" customFormat="1" x14ac:dyDescent="0.15">
      <c r="A87" s="148">
        <v>239</v>
      </c>
      <c r="B87" s="308">
        <v>42983</v>
      </c>
      <c r="C87" s="296" t="s">
        <v>278</v>
      </c>
      <c r="D87" s="297" t="s">
        <v>172</v>
      </c>
      <c r="E87" s="309" t="s">
        <v>358</v>
      </c>
      <c r="F87" s="298" t="s">
        <v>226</v>
      </c>
      <c r="G87" s="297" t="s">
        <v>360</v>
      </c>
      <c r="H87" s="297">
        <v>84</v>
      </c>
      <c r="I87" s="313" t="s">
        <v>402</v>
      </c>
      <c r="J87" s="315">
        <v>3200</v>
      </c>
      <c r="K87" s="315">
        <v>3200</v>
      </c>
      <c r="L87" s="315">
        <v>3200</v>
      </c>
      <c r="M87" s="315">
        <v>3200</v>
      </c>
      <c r="N87" s="314"/>
      <c r="O87" s="297">
        <v>2.6379999999999999</v>
      </c>
      <c r="P87">
        <v>0</v>
      </c>
      <c r="Q87" s="297">
        <v>0</v>
      </c>
      <c r="R87" s="297">
        <v>0</v>
      </c>
      <c r="S87" s="297">
        <v>1.742</v>
      </c>
      <c r="T87" s="297"/>
      <c r="U87" s="297">
        <v>1.7390000000000001</v>
      </c>
      <c r="V87">
        <v>0</v>
      </c>
      <c r="W87" s="297">
        <v>0</v>
      </c>
      <c r="X87" s="297">
        <v>0</v>
      </c>
      <c r="Y87" s="297">
        <v>1.579</v>
      </c>
      <c r="Z87" s="297"/>
      <c r="AA87" s="297"/>
      <c r="AB87" s="297"/>
      <c r="AC87" s="297"/>
      <c r="AD87" s="297"/>
      <c r="AE87" s="297"/>
      <c r="AF87" s="297"/>
      <c r="AG87" s="299" t="s">
        <v>281</v>
      </c>
      <c r="AH87" s="299" t="s">
        <v>282</v>
      </c>
      <c r="AI87" s="228">
        <v>2</v>
      </c>
      <c r="AJ87" s="228">
        <v>4</v>
      </c>
      <c r="AK87" s="247">
        <v>0.33329999999999999</v>
      </c>
      <c r="AL87" s="247">
        <v>0.66659999999999997</v>
      </c>
      <c r="AM87" s="299">
        <v>0</v>
      </c>
      <c r="AN87" s="299">
        <v>0</v>
      </c>
      <c r="AO87" s="299">
        <v>10</v>
      </c>
      <c r="AP87" s="299">
        <v>0</v>
      </c>
      <c r="AQ87" s="299">
        <v>0</v>
      </c>
      <c r="AR87" s="299">
        <v>0</v>
      </c>
      <c r="AS87" s="299">
        <v>0</v>
      </c>
      <c r="AT87" s="299">
        <v>0</v>
      </c>
      <c r="AU87" s="299">
        <v>0</v>
      </c>
      <c r="AV87" s="299">
        <v>0</v>
      </c>
      <c r="AW87" s="299"/>
      <c r="AX87" s="299" t="s">
        <v>405</v>
      </c>
      <c r="AY87" s="299"/>
      <c r="AZ87" s="299" t="s">
        <v>405</v>
      </c>
      <c r="BA87" s="298"/>
      <c r="BB87" s="297"/>
      <c r="BC87" s="299"/>
      <c r="BD87" s="299" t="s">
        <v>422</v>
      </c>
      <c r="BE87" s="298"/>
      <c r="BF87" t="s">
        <v>305</v>
      </c>
      <c r="BG87"/>
    </row>
    <row r="88" spans="1:59" s="31" customFormat="1" x14ac:dyDescent="0.15">
      <c r="A88" s="148">
        <v>796</v>
      </c>
      <c r="B88" s="308">
        <v>42983</v>
      </c>
      <c r="C88" s="296" t="s">
        <v>278</v>
      </c>
      <c r="D88" s="297" t="s">
        <v>172</v>
      </c>
      <c r="E88" s="309">
        <v>42917</v>
      </c>
      <c r="F88" s="298" t="s">
        <v>227</v>
      </c>
      <c r="G88" s="297" t="s">
        <v>363</v>
      </c>
      <c r="H88" s="297">
        <v>79.91</v>
      </c>
      <c r="I88" s="313" t="s">
        <v>402</v>
      </c>
      <c r="J88" s="314">
        <v>6000</v>
      </c>
      <c r="K88" s="314">
        <v>12000</v>
      </c>
      <c r="L88" s="314">
        <v>84000</v>
      </c>
      <c r="M88" s="314">
        <v>84000</v>
      </c>
      <c r="N88" s="314"/>
      <c r="O88" s="297">
        <v>2.19</v>
      </c>
      <c r="P88" s="297">
        <v>2.15</v>
      </c>
      <c r="Q88" s="297">
        <v>1.46</v>
      </c>
      <c r="R88" s="297">
        <v>0</v>
      </c>
      <c r="S88" s="297">
        <v>1.42</v>
      </c>
      <c r="T88" s="297"/>
      <c r="U88" s="297">
        <v>1.68</v>
      </c>
      <c r="V88" s="297">
        <v>1.61</v>
      </c>
      <c r="W88" s="297">
        <v>1.45</v>
      </c>
      <c r="X88" s="297">
        <v>0</v>
      </c>
      <c r="Y88" s="297">
        <v>1.36</v>
      </c>
      <c r="Z88" s="297"/>
      <c r="AA88" s="297"/>
      <c r="AB88" s="297"/>
      <c r="AC88" s="297"/>
      <c r="AD88" s="297"/>
      <c r="AE88" s="297"/>
      <c r="AF88" s="297"/>
      <c r="AG88" s="299" t="s">
        <v>281</v>
      </c>
      <c r="AH88" s="299" t="s">
        <v>282</v>
      </c>
      <c r="AI88" s="192">
        <v>2</v>
      </c>
      <c r="AJ88" s="192">
        <v>4</v>
      </c>
      <c r="AK88" s="247">
        <v>0.33329999999999999</v>
      </c>
      <c r="AL88" s="247">
        <v>0.66659999999999997</v>
      </c>
      <c r="AM88" s="299">
        <v>0</v>
      </c>
      <c r="AN88" s="299">
        <v>0</v>
      </c>
      <c r="AO88" s="299">
        <v>0</v>
      </c>
      <c r="AP88" s="299">
        <v>20</v>
      </c>
      <c r="AQ88" s="299">
        <v>0</v>
      </c>
      <c r="AR88" s="299">
        <v>0</v>
      </c>
      <c r="AS88" s="299">
        <v>0</v>
      </c>
      <c r="AT88" s="299">
        <v>0</v>
      </c>
      <c r="AU88" s="299">
        <v>0</v>
      </c>
      <c r="AV88" s="299">
        <v>0</v>
      </c>
      <c r="AW88" s="299">
        <v>24</v>
      </c>
      <c r="AX88" s="299" t="s">
        <v>405</v>
      </c>
      <c r="AY88" s="299"/>
      <c r="AZ88" s="299" t="s">
        <v>405</v>
      </c>
      <c r="BA88" s="298" t="s">
        <v>364</v>
      </c>
      <c r="BB88" s="297" t="s">
        <v>365</v>
      </c>
      <c r="BC88" s="299">
        <v>25</v>
      </c>
      <c r="BD88" s="299" t="s">
        <v>422</v>
      </c>
      <c r="BE88" s="298"/>
      <c r="BF88" t="s">
        <v>430</v>
      </c>
      <c r="BG88"/>
    </row>
  </sheetData>
  <sheetProtection algorithmName="SHA-512" hashValue="3YOOFxBgLwmYA6yFXnFBtmqtkz0R6nMkJL1qm03MBt1XyJjRwJcEQPAfvIU+JmJuDaOD6wzknvhviOaxWj6gBw==" saltValue="AcVpizvcbpQTZNdkbXnLqw==" spinCount="100000" sheet="1" objects="1" scenarios="1"/>
  <phoneticPr fontId="20" type="noConversion"/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/>
  <dimension ref="A1:BG88"/>
  <sheetViews>
    <sheetView workbookViewId="0">
      <selection activeCell="A12" sqref="A12:XFD12"/>
    </sheetView>
  </sheetViews>
  <sheetFormatPr baseColWidth="10" defaultColWidth="11.5" defaultRowHeight="13" x14ac:dyDescent="0.15"/>
  <cols>
    <col min="4" max="4" width="17.1640625" customWidth="1"/>
    <col min="5" max="5" width="11.5" style="169"/>
  </cols>
  <sheetData>
    <row r="1" spans="1:59" ht="56" x14ac:dyDescent="0.15">
      <c r="A1" s="149" t="s">
        <v>443</v>
      </c>
      <c r="B1" s="149" t="s">
        <v>307</v>
      </c>
      <c r="C1" s="150" t="s">
        <v>308</v>
      </c>
      <c r="D1" s="151" t="s">
        <v>309</v>
      </c>
      <c r="E1" s="168" t="s">
        <v>310</v>
      </c>
      <c r="F1" s="150" t="s">
        <v>725</v>
      </c>
      <c r="G1" s="151" t="s">
        <v>311</v>
      </c>
      <c r="H1" s="152" t="s">
        <v>449</v>
      </c>
      <c r="I1" s="153" t="s">
        <v>312</v>
      </c>
      <c r="J1" s="153" t="s">
        <v>313</v>
      </c>
      <c r="K1" s="153" t="s">
        <v>314</v>
      </c>
      <c r="L1" s="153" t="s">
        <v>315</v>
      </c>
      <c r="M1" s="153" t="s">
        <v>316</v>
      </c>
      <c r="N1" s="154" t="s">
        <v>317</v>
      </c>
      <c r="O1" s="155" t="s">
        <v>318</v>
      </c>
      <c r="P1" s="155" t="s">
        <v>319</v>
      </c>
      <c r="Q1" s="155" t="s">
        <v>239</v>
      </c>
      <c r="R1" s="155" t="s">
        <v>240</v>
      </c>
      <c r="S1" s="155" t="s">
        <v>241</v>
      </c>
      <c r="T1" s="156" t="s">
        <v>242</v>
      </c>
      <c r="U1" s="157" t="s">
        <v>243</v>
      </c>
      <c r="V1" s="157" t="s">
        <v>244</v>
      </c>
      <c r="W1" s="157" t="s">
        <v>245</v>
      </c>
      <c r="X1" s="157" t="s">
        <v>246</v>
      </c>
      <c r="Y1" s="157" t="s">
        <v>247</v>
      </c>
      <c r="Z1" s="158" t="s">
        <v>248</v>
      </c>
      <c r="AA1" s="159" t="s">
        <v>249</v>
      </c>
      <c r="AB1" s="159" t="s">
        <v>250</v>
      </c>
      <c r="AC1" s="159" t="s">
        <v>251</v>
      </c>
      <c r="AD1" s="159" t="s">
        <v>252</v>
      </c>
      <c r="AE1" s="159" t="s">
        <v>253</v>
      </c>
      <c r="AF1" s="160" t="s">
        <v>254</v>
      </c>
      <c r="AG1" s="161" t="s">
        <v>255</v>
      </c>
      <c r="AH1" s="161" t="s">
        <v>256</v>
      </c>
      <c r="AI1" s="161" t="s">
        <v>476</v>
      </c>
      <c r="AJ1" s="162" t="s">
        <v>477</v>
      </c>
      <c r="AK1" s="161" t="s">
        <v>478</v>
      </c>
      <c r="AL1" s="161" t="s">
        <v>479</v>
      </c>
      <c r="AM1" s="163" t="s">
        <v>257</v>
      </c>
      <c r="AN1" s="164" t="s">
        <v>258</v>
      </c>
      <c r="AO1" s="163" t="s">
        <v>259</v>
      </c>
      <c r="AP1" s="155" t="s">
        <v>260</v>
      </c>
      <c r="AQ1" s="165" t="s">
        <v>261</v>
      </c>
      <c r="AR1" s="155" t="s">
        <v>262</v>
      </c>
      <c r="AS1" s="165" t="s">
        <v>263</v>
      </c>
      <c r="AT1" s="156" t="s">
        <v>264</v>
      </c>
      <c r="AU1" s="165" t="s">
        <v>265</v>
      </c>
      <c r="AV1" s="156" t="s">
        <v>266</v>
      </c>
      <c r="AW1" s="149" t="s">
        <v>267</v>
      </c>
      <c r="AX1" s="166" t="s">
        <v>268</v>
      </c>
      <c r="AY1" s="167" t="s">
        <v>269</v>
      </c>
      <c r="AZ1" s="166" t="s">
        <v>270</v>
      </c>
      <c r="BA1" s="149" t="s">
        <v>271</v>
      </c>
      <c r="BB1" s="150" t="s">
        <v>272</v>
      </c>
      <c r="BC1" s="166" t="s">
        <v>273</v>
      </c>
      <c r="BD1" s="166" t="s">
        <v>274</v>
      </c>
      <c r="BE1" s="150" t="s">
        <v>275</v>
      </c>
      <c r="BF1" s="166" t="s">
        <v>276</v>
      </c>
      <c r="BG1" s="149" t="s">
        <v>277</v>
      </c>
    </row>
    <row r="2" spans="1:59" s="97" customFormat="1" x14ac:dyDescent="0.15">
      <c r="A2" s="148">
        <v>76</v>
      </c>
      <c r="B2" s="295">
        <v>41285</v>
      </c>
      <c r="C2" s="296" t="s">
        <v>278</v>
      </c>
      <c r="D2" s="297" t="s">
        <v>279</v>
      </c>
      <c r="E2" s="295">
        <v>42736</v>
      </c>
      <c r="F2" s="298" t="s">
        <v>280</v>
      </c>
      <c r="G2" s="297" t="s">
        <v>176</v>
      </c>
      <c r="H2" s="297">
        <v>74.13</v>
      </c>
      <c r="I2" s="174" t="s">
        <v>402</v>
      </c>
      <c r="J2" s="170">
        <v>3000</v>
      </c>
      <c r="K2" s="170">
        <v>6000</v>
      </c>
      <c r="L2" s="170">
        <v>9000</v>
      </c>
      <c r="M2" s="170">
        <v>15000</v>
      </c>
      <c r="N2" s="170"/>
      <c r="O2" s="297">
        <v>2.3149999999999999</v>
      </c>
      <c r="P2" s="297">
        <v>2.0129999999999999</v>
      </c>
      <c r="Q2" s="297">
        <v>1.6040000000000001</v>
      </c>
      <c r="R2" s="297">
        <v>1.387</v>
      </c>
      <c r="S2" s="297">
        <v>1.292</v>
      </c>
      <c r="T2" s="297"/>
      <c r="U2" s="297">
        <v>2.1960000000000002</v>
      </c>
      <c r="V2" s="297">
        <v>1.8959999999999999</v>
      </c>
      <c r="W2" s="297">
        <v>1.5549999999999999</v>
      </c>
      <c r="X2" s="297">
        <v>1.369</v>
      </c>
      <c r="Y2" s="297">
        <v>1.258</v>
      </c>
      <c r="Z2" s="297"/>
      <c r="AA2" s="297"/>
      <c r="AB2" s="297"/>
      <c r="AC2" s="297"/>
      <c r="AD2" s="297"/>
      <c r="AE2" s="297"/>
      <c r="AF2" s="297"/>
      <c r="AG2" s="299" t="s">
        <v>281</v>
      </c>
      <c r="AH2" s="299" t="s">
        <v>282</v>
      </c>
      <c r="AI2" s="175">
        <v>3</v>
      </c>
      <c r="AJ2" s="175">
        <v>3</v>
      </c>
      <c r="AK2" s="240">
        <v>0.5</v>
      </c>
      <c r="AL2" s="240">
        <v>0.5</v>
      </c>
      <c r="AM2" s="299">
        <v>0</v>
      </c>
      <c r="AN2" s="299">
        <v>0</v>
      </c>
      <c r="AO2" s="299">
        <v>0</v>
      </c>
      <c r="AP2" s="299">
        <v>15</v>
      </c>
      <c r="AQ2" s="299">
        <v>0</v>
      </c>
      <c r="AR2" s="299">
        <v>0</v>
      </c>
      <c r="AS2" s="299">
        <v>0</v>
      </c>
      <c r="AT2" s="299">
        <v>0</v>
      </c>
      <c r="AU2" s="299">
        <v>0</v>
      </c>
      <c r="AV2" s="299">
        <v>2</v>
      </c>
      <c r="AW2" s="299"/>
      <c r="AX2" s="299" t="s">
        <v>233</v>
      </c>
      <c r="AY2" s="299">
        <v>12</v>
      </c>
      <c r="AZ2" s="299" t="s">
        <v>233</v>
      </c>
      <c r="BA2" s="298" t="s">
        <v>177</v>
      </c>
      <c r="BB2" s="297" t="s">
        <v>178</v>
      </c>
      <c r="BC2" s="299">
        <v>50</v>
      </c>
      <c r="BD2" s="299" t="s">
        <v>179</v>
      </c>
      <c r="BE2" s="298"/>
      <c r="BF2" t="s">
        <v>180</v>
      </c>
      <c r="BG2" t="s">
        <v>181</v>
      </c>
    </row>
    <row r="3" spans="1:59" s="97" customFormat="1" x14ac:dyDescent="0.15">
      <c r="A3" s="148">
        <v>259</v>
      </c>
      <c r="B3" s="295">
        <v>41285</v>
      </c>
      <c r="C3" s="296" t="s">
        <v>278</v>
      </c>
      <c r="D3" s="297" t="s">
        <v>279</v>
      </c>
      <c r="E3" s="295">
        <v>42747</v>
      </c>
      <c r="F3" s="298" t="s">
        <v>286</v>
      </c>
      <c r="G3" s="297" t="s">
        <v>182</v>
      </c>
      <c r="H3" s="297">
        <v>68.959999999999994</v>
      </c>
      <c r="I3" s="174" t="s">
        <v>402</v>
      </c>
      <c r="J3" s="176">
        <v>3000</v>
      </c>
      <c r="K3" s="176">
        <v>6000</v>
      </c>
      <c r="L3" s="176">
        <v>6000</v>
      </c>
      <c r="M3" s="176">
        <v>6000</v>
      </c>
      <c r="N3" s="170"/>
      <c r="O3" s="297">
        <v>2.0499999999999998</v>
      </c>
      <c r="P3" s="297">
        <v>1.78</v>
      </c>
      <c r="Q3" s="297">
        <v>0</v>
      </c>
      <c r="R3" s="297">
        <v>0</v>
      </c>
      <c r="S3" s="297">
        <v>1.44</v>
      </c>
      <c r="T3" s="297"/>
      <c r="U3" s="297">
        <v>1.99</v>
      </c>
      <c r="V3" s="297">
        <v>1.73</v>
      </c>
      <c r="W3" s="297">
        <v>0</v>
      </c>
      <c r="X3" s="297">
        <v>0</v>
      </c>
      <c r="Y3" s="297">
        <v>1.43</v>
      </c>
      <c r="Z3" s="297"/>
      <c r="AA3" s="297"/>
      <c r="AB3" s="297"/>
      <c r="AC3" s="297"/>
      <c r="AD3" s="297"/>
      <c r="AE3" s="297"/>
      <c r="AF3" s="297"/>
      <c r="AG3" s="299" t="s">
        <v>281</v>
      </c>
      <c r="AH3" s="299" t="s">
        <v>282</v>
      </c>
      <c r="AI3" s="175">
        <v>3</v>
      </c>
      <c r="AJ3" s="175">
        <v>3</v>
      </c>
      <c r="AK3" s="240">
        <v>0.5</v>
      </c>
      <c r="AL3" s="240">
        <v>0.5</v>
      </c>
      <c r="AM3" s="299">
        <v>0</v>
      </c>
      <c r="AN3" s="299">
        <v>0</v>
      </c>
      <c r="AO3" s="299">
        <v>0</v>
      </c>
      <c r="AP3" s="299">
        <v>15</v>
      </c>
      <c r="AQ3" s="299">
        <v>0</v>
      </c>
      <c r="AR3" s="299">
        <v>0</v>
      </c>
      <c r="AS3" s="299">
        <v>0</v>
      </c>
      <c r="AT3" s="299">
        <v>0</v>
      </c>
      <c r="AU3" s="299">
        <v>0</v>
      </c>
      <c r="AV3" s="299">
        <v>0</v>
      </c>
      <c r="AW3" s="297"/>
      <c r="AX3" s="299" t="s">
        <v>233</v>
      </c>
      <c r="AY3" s="299">
        <v>24</v>
      </c>
      <c r="AZ3" s="299" t="s">
        <v>233</v>
      </c>
      <c r="BA3" s="298"/>
      <c r="BB3" s="297"/>
      <c r="BC3" s="299"/>
      <c r="BD3" s="299" t="s">
        <v>183</v>
      </c>
      <c r="BE3" s="298"/>
      <c r="BF3" t="s">
        <v>184</v>
      </c>
      <c r="BG3" t="s">
        <v>181</v>
      </c>
    </row>
    <row r="4" spans="1:59" s="97" customFormat="1" x14ac:dyDescent="0.15">
      <c r="A4" s="148">
        <v>273</v>
      </c>
      <c r="B4" s="295">
        <v>41285</v>
      </c>
      <c r="C4" s="296" t="s">
        <v>278</v>
      </c>
      <c r="D4" s="297" t="s">
        <v>279</v>
      </c>
      <c r="E4" s="295">
        <v>42736</v>
      </c>
      <c r="F4" s="298" t="s">
        <v>288</v>
      </c>
      <c r="G4" s="297" t="s">
        <v>185</v>
      </c>
      <c r="H4" s="297">
        <v>71</v>
      </c>
      <c r="I4" s="174" t="s">
        <v>402</v>
      </c>
      <c r="J4" s="170">
        <v>3000</v>
      </c>
      <c r="K4" s="170">
        <v>6000</v>
      </c>
      <c r="L4" s="170">
        <v>9000</v>
      </c>
      <c r="M4" s="170">
        <v>15000</v>
      </c>
      <c r="N4" s="170"/>
      <c r="O4" s="297">
        <v>2.4</v>
      </c>
      <c r="P4" s="297">
        <v>2.0499999999999998</v>
      </c>
      <c r="Q4" s="297">
        <v>1.7</v>
      </c>
      <c r="R4" s="297">
        <v>1.5</v>
      </c>
      <c r="S4" s="297">
        <v>1.4</v>
      </c>
      <c r="T4" s="297"/>
      <c r="U4" s="297">
        <v>2.2999999999999998</v>
      </c>
      <c r="V4" s="297">
        <v>2</v>
      </c>
      <c r="W4" s="297">
        <v>1.65</v>
      </c>
      <c r="X4" s="297">
        <v>1.5</v>
      </c>
      <c r="Y4" s="297">
        <v>1.45</v>
      </c>
      <c r="Z4" s="297"/>
      <c r="AA4" s="297"/>
      <c r="AB4" s="297"/>
      <c r="AC4" s="297"/>
      <c r="AD4" s="297"/>
      <c r="AE4" s="297"/>
      <c r="AF4" s="297"/>
      <c r="AG4" s="299" t="s">
        <v>281</v>
      </c>
      <c r="AH4" s="299" t="s">
        <v>282</v>
      </c>
      <c r="AI4" s="175">
        <v>3</v>
      </c>
      <c r="AJ4" s="175">
        <v>3</v>
      </c>
      <c r="AK4" s="240">
        <v>0.5</v>
      </c>
      <c r="AL4" s="240">
        <v>0.5</v>
      </c>
      <c r="AM4" s="299">
        <v>0</v>
      </c>
      <c r="AN4" s="299">
        <v>0</v>
      </c>
      <c r="AO4" s="299">
        <v>14</v>
      </c>
      <c r="AP4" s="299">
        <v>0</v>
      </c>
      <c r="AQ4" s="299">
        <v>0</v>
      </c>
      <c r="AR4" s="299">
        <v>0</v>
      </c>
      <c r="AS4" s="299">
        <v>0</v>
      </c>
      <c r="AT4" s="299">
        <v>0</v>
      </c>
      <c r="AU4" s="299">
        <v>0</v>
      </c>
      <c r="AV4" s="299">
        <v>0</v>
      </c>
      <c r="AW4" s="297"/>
      <c r="AX4" s="299" t="s">
        <v>233</v>
      </c>
      <c r="AY4" s="299"/>
      <c r="AZ4" s="299" t="s">
        <v>233</v>
      </c>
      <c r="BA4" s="298"/>
      <c r="BB4" s="297"/>
      <c r="BC4" s="299"/>
      <c r="BD4" s="299" t="s">
        <v>179</v>
      </c>
      <c r="BE4" s="298" t="s">
        <v>186</v>
      </c>
      <c r="BF4" t="s">
        <v>416</v>
      </c>
      <c r="BG4" t="s">
        <v>181</v>
      </c>
    </row>
    <row r="5" spans="1:59" s="97" customFormat="1" x14ac:dyDescent="0.15">
      <c r="A5" s="148">
        <v>325</v>
      </c>
      <c r="B5" s="295">
        <v>41285</v>
      </c>
      <c r="C5" s="296" t="s">
        <v>278</v>
      </c>
      <c r="D5" s="297" t="s">
        <v>279</v>
      </c>
      <c r="E5" s="295">
        <v>42767</v>
      </c>
      <c r="F5" s="298" t="s">
        <v>600</v>
      </c>
      <c r="G5" s="297" t="s">
        <v>187</v>
      </c>
      <c r="H5" s="297">
        <v>70</v>
      </c>
      <c r="I5" s="174" t="s">
        <v>402</v>
      </c>
      <c r="J5" s="170">
        <v>3000</v>
      </c>
      <c r="K5" s="170">
        <v>9000</v>
      </c>
      <c r="L5" s="170">
        <v>12000</v>
      </c>
      <c r="M5" s="170">
        <v>18000</v>
      </c>
      <c r="N5" s="170"/>
      <c r="O5" s="297">
        <v>3.36</v>
      </c>
      <c r="P5" s="297">
        <v>2.92</v>
      </c>
      <c r="Q5" s="297">
        <v>2.2000000000000002</v>
      </c>
      <c r="R5" s="297">
        <v>2.09</v>
      </c>
      <c r="S5" s="297">
        <v>1.88</v>
      </c>
      <c r="T5" s="297"/>
      <c r="U5" s="297">
        <v>2.69</v>
      </c>
      <c r="V5" s="297">
        <v>2.2999999999999998</v>
      </c>
      <c r="W5" s="297">
        <v>1.95</v>
      </c>
      <c r="X5" s="297">
        <v>1.64</v>
      </c>
      <c r="Y5" s="297">
        <v>1.61</v>
      </c>
      <c r="Z5" s="297"/>
      <c r="AA5" s="297"/>
      <c r="AB5" s="297"/>
      <c r="AC5" s="297"/>
      <c r="AD5" s="297"/>
      <c r="AE5" s="297"/>
      <c r="AF5" s="297"/>
      <c r="AG5" s="299" t="s">
        <v>281</v>
      </c>
      <c r="AH5" s="299" t="s">
        <v>282</v>
      </c>
      <c r="AI5" s="175">
        <v>3</v>
      </c>
      <c r="AJ5" s="175">
        <v>3</v>
      </c>
      <c r="AK5" s="240">
        <v>0.5</v>
      </c>
      <c r="AL5" s="240">
        <v>0.5</v>
      </c>
      <c r="AM5" s="299">
        <v>0</v>
      </c>
      <c r="AN5" s="299">
        <v>0</v>
      </c>
      <c r="AO5" s="299">
        <v>0</v>
      </c>
      <c r="AP5" s="299">
        <v>16</v>
      </c>
      <c r="AQ5" s="299">
        <v>0</v>
      </c>
      <c r="AR5" s="299">
        <v>0</v>
      </c>
      <c r="AS5" s="299">
        <v>0</v>
      </c>
      <c r="AT5" s="299">
        <v>0</v>
      </c>
      <c r="AU5" s="299">
        <v>0</v>
      </c>
      <c r="AV5" s="299">
        <v>0</v>
      </c>
      <c r="AW5" s="299">
        <v>12</v>
      </c>
      <c r="AX5" s="299" t="s">
        <v>281</v>
      </c>
      <c r="AY5" s="299"/>
      <c r="AZ5" s="299" t="s">
        <v>233</v>
      </c>
      <c r="BA5" s="298"/>
      <c r="BB5" s="297"/>
      <c r="BC5" s="299"/>
      <c r="BD5" s="299" t="s">
        <v>183</v>
      </c>
      <c r="BE5" s="298"/>
      <c r="BF5" t="s">
        <v>188</v>
      </c>
      <c r="BG5" t="s">
        <v>189</v>
      </c>
    </row>
    <row r="6" spans="1:59" s="97" customFormat="1" x14ac:dyDescent="0.15">
      <c r="A6" s="148">
        <v>883</v>
      </c>
      <c r="B6" s="295">
        <v>41286</v>
      </c>
      <c r="C6" s="296" t="s">
        <v>278</v>
      </c>
      <c r="D6" s="297" t="s">
        <v>279</v>
      </c>
      <c r="E6" s="295">
        <v>42711</v>
      </c>
      <c r="F6" s="298" t="s">
        <v>290</v>
      </c>
      <c r="G6" s="297" t="s">
        <v>187</v>
      </c>
      <c r="H6" s="297">
        <v>61.59</v>
      </c>
      <c r="I6" s="174" t="s">
        <v>402</v>
      </c>
      <c r="J6" s="176">
        <v>6000</v>
      </c>
      <c r="K6" s="176">
        <v>9000</v>
      </c>
      <c r="L6" s="176">
        <v>9000</v>
      </c>
      <c r="M6" s="176">
        <v>9000</v>
      </c>
      <c r="N6" s="170"/>
      <c r="O6" s="297">
        <v>2.21</v>
      </c>
      <c r="P6" s="297">
        <v>1.67</v>
      </c>
      <c r="Q6" s="297">
        <v>0</v>
      </c>
      <c r="R6" s="297">
        <v>0</v>
      </c>
      <c r="S6" s="297">
        <v>1.33</v>
      </c>
      <c r="T6" s="297"/>
      <c r="U6" s="297">
        <v>2.09</v>
      </c>
      <c r="V6" s="297">
        <v>1.59</v>
      </c>
      <c r="W6" s="297">
        <v>0</v>
      </c>
      <c r="X6" s="297">
        <v>0</v>
      </c>
      <c r="Y6" s="297">
        <v>1.33</v>
      </c>
      <c r="Z6" s="297"/>
      <c r="AA6" s="297"/>
      <c r="AB6" s="297"/>
      <c r="AC6" s="297"/>
      <c r="AD6" s="297"/>
      <c r="AE6" s="297"/>
      <c r="AF6" s="297"/>
      <c r="AG6" s="299" t="s">
        <v>281</v>
      </c>
      <c r="AH6" s="299" t="s">
        <v>282</v>
      </c>
      <c r="AI6" s="175">
        <v>3</v>
      </c>
      <c r="AJ6" s="175">
        <v>3</v>
      </c>
      <c r="AK6" s="240">
        <v>0.5</v>
      </c>
      <c r="AL6" s="240">
        <v>0.5</v>
      </c>
      <c r="AM6" s="299">
        <v>0</v>
      </c>
      <c r="AN6" s="299">
        <v>0</v>
      </c>
      <c r="AO6" s="299">
        <v>0</v>
      </c>
      <c r="AP6" s="299">
        <v>0</v>
      </c>
      <c r="AQ6" s="299">
        <v>0</v>
      </c>
      <c r="AR6" s="299">
        <v>20</v>
      </c>
      <c r="AS6" s="299">
        <v>0</v>
      </c>
      <c r="AT6" s="299">
        <v>0</v>
      </c>
      <c r="AU6" s="299">
        <v>0</v>
      </c>
      <c r="AV6" s="299">
        <v>0</v>
      </c>
      <c r="AW6" s="297"/>
      <c r="AX6" s="299" t="s">
        <v>233</v>
      </c>
      <c r="AY6" s="299"/>
      <c r="AZ6" s="299" t="s">
        <v>233</v>
      </c>
      <c r="BA6" s="298"/>
      <c r="BB6" s="297"/>
      <c r="BC6" s="299"/>
      <c r="BD6" s="299" t="s">
        <v>183</v>
      </c>
      <c r="BE6" s="298"/>
      <c r="BF6" t="s">
        <v>216</v>
      </c>
      <c r="BG6" t="s">
        <v>189</v>
      </c>
    </row>
    <row r="7" spans="1:59" s="97" customFormat="1" x14ac:dyDescent="0.15">
      <c r="A7" s="148">
        <v>157</v>
      </c>
      <c r="B7" s="295">
        <v>41286</v>
      </c>
      <c r="C7" s="296" t="s">
        <v>278</v>
      </c>
      <c r="D7" s="297" t="s">
        <v>279</v>
      </c>
      <c r="E7" s="295">
        <v>42737</v>
      </c>
      <c r="F7" s="298" t="s">
        <v>217</v>
      </c>
      <c r="G7" s="297" t="s">
        <v>190</v>
      </c>
      <c r="H7" s="297">
        <v>73.599999999999994</v>
      </c>
      <c r="I7" s="174" t="s">
        <v>402</v>
      </c>
      <c r="J7" s="170">
        <v>3000</v>
      </c>
      <c r="K7" s="170">
        <v>6000</v>
      </c>
      <c r="L7" s="170">
        <v>9000</v>
      </c>
      <c r="M7" s="170">
        <v>15000</v>
      </c>
      <c r="N7" s="170"/>
      <c r="O7" s="297">
        <v>2.29</v>
      </c>
      <c r="P7" s="297">
        <v>2.0099999999999998</v>
      </c>
      <c r="Q7" s="297">
        <v>1.61</v>
      </c>
      <c r="R7" s="297">
        <v>1.39</v>
      </c>
      <c r="S7" s="297">
        <v>1.31</v>
      </c>
      <c r="T7" s="297"/>
      <c r="U7" s="297">
        <v>2.13</v>
      </c>
      <c r="V7" s="297">
        <v>1.8</v>
      </c>
      <c r="W7" s="297">
        <v>1.47</v>
      </c>
      <c r="X7" s="297">
        <v>1.28</v>
      </c>
      <c r="Y7" s="297">
        <v>1.22</v>
      </c>
      <c r="Z7" s="297"/>
      <c r="AA7" s="297"/>
      <c r="AB7" s="297"/>
      <c r="AC7" s="297"/>
      <c r="AD7" s="297"/>
      <c r="AE7" s="297"/>
      <c r="AF7" s="297"/>
      <c r="AG7" s="299" t="s">
        <v>281</v>
      </c>
      <c r="AH7" s="299" t="s">
        <v>282</v>
      </c>
      <c r="AI7" s="175">
        <v>3</v>
      </c>
      <c r="AJ7" s="175">
        <v>3</v>
      </c>
      <c r="AK7" s="240">
        <v>0.5</v>
      </c>
      <c r="AL7" s="240">
        <v>0.5</v>
      </c>
      <c r="AM7" s="299">
        <v>0</v>
      </c>
      <c r="AN7" s="299">
        <v>0</v>
      </c>
      <c r="AO7" s="299">
        <v>0</v>
      </c>
      <c r="AP7" s="299">
        <v>16</v>
      </c>
      <c r="AQ7" s="299">
        <v>0</v>
      </c>
      <c r="AR7" s="299">
        <v>0</v>
      </c>
      <c r="AS7" s="299">
        <v>0</v>
      </c>
      <c r="AT7" s="299">
        <v>4</v>
      </c>
      <c r="AU7" s="299">
        <v>0</v>
      </c>
      <c r="AV7" s="299">
        <v>0</v>
      </c>
      <c r="AW7" s="297"/>
      <c r="AX7" s="299" t="s">
        <v>233</v>
      </c>
      <c r="AY7" s="299">
        <v>12</v>
      </c>
      <c r="AZ7" s="299" t="s">
        <v>233</v>
      </c>
      <c r="BA7" s="298"/>
      <c r="BB7" s="298"/>
      <c r="BC7" s="300"/>
      <c r="BD7" s="299" t="s">
        <v>179</v>
      </c>
      <c r="BE7" s="298" t="s">
        <v>191</v>
      </c>
      <c r="BF7" s="301" t="s">
        <v>192</v>
      </c>
      <c r="BG7" t="s">
        <v>181</v>
      </c>
    </row>
    <row r="8" spans="1:59" s="97" customFormat="1" x14ac:dyDescent="0.15">
      <c r="A8" s="148">
        <v>171</v>
      </c>
      <c r="B8" s="295">
        <v>41286</v>
      </c>
      <c r="C8" s="296" t="s">
        <v>278</v>
      </c>
      <c r="D8" s="297" t="s">
        <v>279</v>
      </c>
      <c r="E8" s="295">
        <v>42736</v>
      </c>
      <c r="F8" s="298" t="s">
        <v>220</v>
      </c>
      <c r="G8" s="297" t="s">
        <v>193</v>
      </c>
      <c r="H8" s="297">
        <v>63.74</v>
      </c>
      <c r="I8" s="174" t="s">
        <v>402</v>
      </c>
      <c r="J8" s="170">
        <v>3000</v>
      </c>
      <c r="K8" s="170">
        <v>6000</v>
      </c>
      <c r="L8" s="170">
        <v>9000</v>
      </c>
      <c r="M8" s="170">
        <v>15000</v>
      </c>
      <c r="N8" s="170"/>
      <c r="O8" s="297">
        <v>2.238</v>
      </c>
      <c r="P8" s="297">
        <v>1.9470000000000001</v>
      </c>
      <c r="Q8" s="297">
        <v>1.595</v>
      </c>
      <c r="R8" s="297">
        <v>1.409</v>
      </c>
      <c r="S8" s="297">
        <v>1.36</v>
      </c>
      <c r="T8" s="297"/>
      <c r="U8" s="297">
        <v>2.1</v>
      </c>
      <c r="V8" s="297">
        <v>1.8480000000000001</v>
      </c>
      <c r="W8" s="297">
        <v>1.5429999999999999</v>
      </c>
      <c r="X8" s="297">
        <v>1.3819999999999999</v>
      </c>
      <c r="Y8" s="297">
        <v>1.3420000000000001</v>
      </c>
      <c r="Z8" s="297"/>
      <c r="AA8" s="297"/>
      <c r="AB8" s="297"/>
      <c r="AC8" s="297"/>
      <c r="AD8" s="297"/>
      <c r="AE8" s="297"/>
      <c r="AF8" s="297"/>
      <c r="AG8" s="299" t="s">
        <v>281</v>
      </c>
      <c r="AH8" s="299" t="s">
        <v>282</v>
      </c>
      <c r="AI8" s="175">
        <v>3</v>
      </c>
      <c r="AJ8" s="175">
        <v>3</v>
      </c>
      <c r="AK8" s="240">
        <v>0.5</v>
      </c>
      <c r="AL8" s="240">
        <v>0.5</v>
      </c>
      <c r="AM8" s="299">
        <v>0</v>
      </c>
      <c r="AN8" s="299">
        <v>0</v>
      </c>
      <c r="AO8" s="299">
        <v>15</v>
      </c>
      <c r="AP8" s="299">
        <v>0</v>
      </c>
      <c r="AQ8" s="299">
        <v>0</v>
      </c>
      <c r="AR8" s="299">
        <v>0</v>
      </c>
      <c r="AS8" s="299">
        <v>0</v>
      </c>
      <c r="AT8" s="299">
        <v>0</v>
      </c>
      <c r="AU8" s="299">
        <v>0</v>
      </c>
      <c r="AV8" s="299">
        <v>0</v>
      </c>
      <c r="AW8" s="299">
        <v>24</v>
      </c>
      <c r="AX8" s="299" t="s">
        <v>233</v>
      </c>
      <c r="AY8" s="299"/>
      <c r="AZ8" s="299" t="s">
        <v>233</v>
      </c>
      <c r="BA8" s="298" t="s">
        <v>429</v>
      </c>
      <c r="BB8" s="297"/>
      <c r="BC8" s="299"/>
      <c r="BD8" s="299" t="s">
        <v>183</v>
      </c>
      <c r="BE8" s="298"/>
      <c r="BF8" t="s">
        <v>194</v>
      </c>
      <c r="BG8" t="s">
        <v>181</v>
      </c>
    </row>
    <row r="9" spans="1:59" s="97" customFormat="1" x14ac:dyDescent="0.15">
      <c r="A9" s="148">
        <v>312</v>
      </c>
      <c r="B9" s="295">
        <v>41286</v>
      </c>
      <c r="C9" s="296" t="s">
        <v>278</v>
      </c>
      <c r="D9" s="297" t="s">
        <v>279</v>
      </c>
      <c r="E9" s="295">
        <v>42736</v>
      </c>
      <c r="F9" s="297" t="s">
        <v>222</v>
      </c>
      <c r="G9" s="297" t="s">
        <v>187</v>
      </c>
      <c r="H9" s="297">
        <v>61.14</v>
      </c>
      <c r="I9" s="174" t="s">
        <v>402</v>
      </c>
      <c r="J9" s="170">
        <v>3000</v>
      </c>
      <c r="K9" s="170">
        <v>6000</v>
      </c>
      <c r="L9" s="170">
        <v>9000</v>
      </c>
      <c r="M9" s="170">
        <v>15000</v>
      </c>
      <c r="N9" s="170"/>
      <c r="O9" s="297">
        <v>1.94</v>
      </c>
      <c r="P9" s="297">
        <v>1.7170000000000001</v>
      </c>
      <c r="Q9" s="297">
        <v>1.4419999999999999</v>
      </c>
      <c r="R9" s="297">
        <v>1.2969999999999999</v>
      </c>
      <c r="S9" s="297">
        <v>1.258</v>
      </c>
      <c r="T9" s="297"/>
      <c r="U9" s="297">
        <v>1.79</v>
      </c>
      <c r="V9" s="297">
        <v>1.5980000000000001</v>
      </c>
      <c r="W9" s="297">
        <v>1.3640000000000001</v>
      </c>
      <c r="X9" s="297">
        <v>1.2410000000000001</v>
      </c>
      <c r="Y9" s="297">
        <v>1.2090000000000001</v>
      </c>
      <c r="Z9" s="297"/>
      <c r="AA9" s="297"/>
      <c r="AB9" s="297"/>
      <c r="AC9" s="297"/>
      <c r="AD9" s="297"/>
      <c r="AE9" s="297"/>
      <c r="AF9" s="297"/>
      <c r="AG9" s="299" t="s">
        <v>281</v>
      </c>
      <c r="AH9" s="299" t="s">
        <v>282</v>
      </c>
      <c r="AI9" s="175">
        <v>3</v>
      </c>
      <c r="AJ9" s="175">
        <v>3</v>
      </c>
      <c r="AK9" s="240">
        <v>0.5</v>
      </c>
      <c r="AL9" s="240">
        <v>0.5</v>
      </c>
      <c r="AM9" s="299">
        <v>0</v>
      </c>
      <c r="AN9" s="299">
        <v>0</v>
      </c>
      <c r="AO9" s="299">
        <v>0</v>
      </c>
      <c r="AP9" s="299">
        <v>0</v>
      </c>
      <c r="AQ9" s="299">
        <v>0</v>
      </c>
      <c r="AR9" s="299">
        <v>0</v>
      </c>
      <c r="AS9" s="299">
        <v>0</v>
      </c>
      <c r="AT9" s="299">
        <v>0</v>
      </c>
      <c r="AU9" s="299">
        <v>0</v>
      </c>
      <c r="AV9" s="299">
        <v>0</v>
      </c>
      <c r="AW9" s="297"/>
      <c r="AX9" s="299" t="s">
        <v>233</v>
      </c>
      <c r="AY9" s="299"/>
      <c r="AZ9" s="299" t="s">
        <v>233</v>
      </c>
      <c r="BA9" s="298" t="s">
        <v>195</v>
      </c>
      <c r="BB9" s="297" t="s">
        <v>178</v>
      </c>
      <c r="BC9" s="299">
        <v>50</v>
      </c>
      <c r="BD9" s="299" t="s">
        <v>183</v>
      </c>
      <c r="BE9" s="298"/>
      <c r="BF9" t="s">
        <v>223</v>
      </c>
      <c r="BG9" t="s">
        <v>181</v>
      </c>
    </row>
    <row r="10" spans="1:59" s="97" customFormat="1" x14ac:dyDescent="0.15">
      <c r="A10" s="148">
        <v>567</v>
      </c>
      <c r="B10" s="295">
        <v>41283</v>
      </c>
      <c r="C10" s="296" t="s">
        <v>278</v>
      </c>
      <c r="D10" s="297" t="s">
        <v>279</v>
      </c>
      <c r="E10" s="295">
        <v>42736</v>
      </c>
      <c r="F10" s="298" t="s">
        <v>224</v>
      </c>
      <c r="G10" s="297" t="s">
        <v>196</v>
      </c>
      <c r="H10" s="297">
        <v>69.53</v>
      </c>
      <c r="I10" s="174" t="s">
        <v>402</v>
      </c>
      <c r="J10" s="176">
        <v>6000</v>
      </c>
      <c r="K10" s="176">
        <v>9000</v>
      </c>
      <c r="L10" s="176">
        <v>9000</v>
      </c>
      <c r="M10" s="176">
        <v>9000</v>
      </c>
      <c r="N10" s="176"/>
      <c r="O10" s="297">
        <v>2.2149999999999999</v>
      </c>
      <c r="P10" s="297">
        <v>1.804</v>
      </c>
      <c r="Q10" s="297">
        <v>0</v>
      </c>
      <c r="R10" s="297">
        <v>0</v>
      </c>
      <c r="S10" s="297">
        <v>1.2989999999999999</v>
      </c>
      <c r="T10" s="297"/>
      <c r="U10" s="297">
        <v>2.0110000000000001</v>
      </c>
      <c r="V10" s="297">
        <v>1.5840000000000001</v>
      </c>
      <c r="W10" s="297">
        <v>0</v>
      </c>
      <c r="X10" s="297">
        <v>0</v>
      </c>
      <c r="Y10" s="297">
        <v>1.224</v>
      </c>
      <c r="Z10" s="297"/>
      <c r="AA10" s="297"/>
      <c r="AB10" s="297"/>
      <c r="AC10" s="297"/>
      <c r="AD10" s="297"/>
      <c r="AE10" s="297"/>
      <c r="AF10" s="297"/>
      <c r="AG10" s="299" t="s">
        <v>281</v>
      </c>
      <c r="AH10" s="299" t="s">
        <v>282</v>
      </c>
      <c r="AI10" s="175">
        <v>3</v>
      </c>
      <c r="AJ10" s="175">
        <v>3</v>
      </c>
      <c r="AK10" s="240">
        <v>0.5</v>
      </c>
      <c r="AL10" s="240">
        <v>0.5</v>
      </c>
      <c r="AM10" s="299">
        <v>0</v>
      </c>
      <c r="AN10" s="299">
        <v>0</v>
      </c>
      <c r="AO10" s="299">
        <v>0</v>
      </c>
      <c r="AP10" s="299">
        <v>13</v>
      </c>
      <c r="AQ10" s="299">
        <v>0</v>
      </c>
      <c r="AR10" s="299">
        <v>0</v>
      </c>
      <c r="AS10" s="299">
        <v>0</v>
      </c>
      <c r="AT10" s="299">
        <v>0</v>
      </c>
      <c r="AU10" s="299">
        <v>0</v>
      </c>
      <c r="AV10" s="299">
        <v>0</v>
      </c>
      <c r="AW10" s="297"/>
      <c r="AX10" s="299" t="s">
        <v>233</v>
      </c>
      <c r="AY10" s="299">
        <v>12</v>
      </c>
      <c r="AZ10" s="299" t="s">
        <v>233</v>
      </c>
      <c r="BA10" s="298"/>
      <c r="BB10" s="298"/>
      <c r="BC10" s="299"/>
      <c r="BD10" s="299" t="s">
        <v>179</v>
      </c>
      <c r="BE10" s="298"/>
      <c r="BF10" t="s">
        <v>225</v>
      </c>
      <c r="BG10" t="s">
        <v>189</v>
      </c>
    </row>
    <row r="11" spans="1:59" s="97" customFormat="1" x14ac:dyDescent="0.15">
      <c r="A11" s="148">
        <v>233</v>
      </c>
      <c r="B11" s="295">
        <v>41286</v>
      </c>
      <c r="C11" s="296" t="s">
        <v>278</v>
      </c>
      <c r="D11" s="297" t="s">
        <v>279</v>
      </c>
      <c r="E11" s="295">
        <v>42767</v>
      </c>
      <c r="F11" s="298" t="s">
        <v>226</v>
      </c>
      <c r="G11" s="297" t="s">
        <v>197</v>
      </c>
      <c r="H11" s="297">
        <v>70</v>
      </c>
      <c r="I11" s="174" t="s">
        <v>402</v>
      </c>
      <c r="J11" s="176">
        <v>6000</v>
      </c>
      <c r="K11" s="176">
        <v>9000</v>
      </c>
      <c r="L11" s="176">
        <v>9000</v>
      </c>
      <c r="M11" s="176">
        <v>9000</v>
      </c>
      <c r="N11" s="170"/>
      <c r="O11" s="297">
        <v>1.9810000000000001</v>
      </c>
      <c r="P11" s="297">
        <v>1.542</v>
      </c>
      <c r="Q11" s="297">
        <v>0</v>
      </c>
      <c r="R11" s="297">
        <v>0</v>
      </c>
      <c r="S11" s="297">
        <v>1.3680000000000001</v>
      </c>
      <c r="T11" s="297"/>
      <c r="U11" s="297">
        <v>1.8680000000000001</v>
      </c>
      <c r="V11" s="297">
        <v>1.498</v>
      </c>
      <c r="W11" s="297">
        <v>0</v>
      </c>
      <c r="X11" s="297">
        <v>0</v>
      </c>
      <c r="Y11" s="297">
        <v>1.347</v>
      </c>
      <c r="Z11" s="297"/>
      <c r="AA11" s="297"/>
      <c r="AB11" s="297"/>
      <c r="AC11" s="297"/>
      <c r="AD11" s="297"/>
      <c r="AE11" s="297"/>
      <c r="AF11" s="297"/>
      <c r="AG11" s="299" t="s">
        <v>281</v>
      </c>
      <c r="AH11" s="299" t="s">
        <v>282</v>
      </c>
      <c r="AI11" s="175">
        <v>3</v>
      </c>
      <c r="AJ11" s="175">
        <v>3</v>
      </c>
      <c r="AK11" s="240">
        <v>0.5</v>
      </c>
      <c r="AL11" s="240">
        <v>0.5</v>
      </c>
      <c r="AM11" s="299">
        <v>0</v>
      </c>
      <c r="AN11" s="299">
        <v>0</v>
      </c>
      <c r="AO11" s="299">
        <v>10</v>
      </c>
      <c r="AP11" s="299">
        <v>0</v>
      </c>
      <c r="AQ11" s="299">
        <v>0</v>
      </c>
      <c r="AR11" s="299">
        <v>0</v>
      </c>
      <c r="AS11" s="299">
        <v>0</v>
      </c>
      <c r="AT11" s="299">
        <v>0</v>
      </c>
      <c r="AU11" s="299">
        <v>0</v>
      </c>
      <c r="AV11" s="299">
        <v>0</v>
      </c>
      <c r="AW11" s="299"/>
      <c r="AX11" s="299" t="s">
        <v>233</v>
      </c>
      <c r="AY11" s="299"/>
      <c r="AZ11" s="299" t="s">
        <v>233</v>
      </c>
      <c r="BA11" s="298"/>
      <c r="BB11" s="297"/>
      <c r="BC11" s="299"/>
      <c r="BD11" s="299" t="s">
        <v>183</v>
      </c>
      <c r="BE11" s="298"/>
      <c r="BF11" t="s">
        <v>361</v>
      </c>
      <c r="BG11" t="s">
        <v>189</v>
      </c>
    </row>
    <row r="12" spans="1:59" s="97" customFormat="1" x14ac:dyDescent="0.15">
      <c r="A12" s="148">
        <v>778</v>
      </c>
      <c r="B12" s="295">
        <v>41285</v>
      </c>
      <c r="C12" s="296" t="s">
        <v>278</v>
      </c>
      <c r="D12" s="297" t="s">
        <v>279</v>
      </c>
      <c r="E12" s="295">
        <v>42767</v>
      </c>
      <c r="F12" s="298" t="s">
        <v>227</v>
      </c>
      <c r="G12" s="297" t="s">
        <v>198</v>
      </c>
      <c r="H12" s="297">
        <v>70.28</v>
      </c>
      <c r="I12" s="174" t="s">
        <v>402</v>
      </c>
      <c r="J12" s="170">
        <v>3000</v>
      </c>
      <c r="K12" s="170">
        <v>6000</v>
      </c>
      <c r="L12" s="170">
        <v>9000</v>
      </c>
      <c r="M12" s="170">
        <v>15000</v>
      </c>
      <c r="N12" s="170"/>
      <c r="O12" s="297">
        <v>2.2000000000000002</v>
      </c>
      <c r="P12" s="297">
        <v>1.96</v>
      </c>
      <c r="Q12" s="297">
        <v>1.68</v>
      </c>
      <c r="R12" s="297">
        <v>1.53</v>
      </c>
      <c r="S12" s="297">
        <v>1.48</v>
      </c>
      <c r="T12" s="297"/>
      <c r="U12" s="297">
        <v>2.08</v>
      </c>
      <c r="V12" s="297">
        <v>1.88</v>
      </c>
      <c r="W12" s="297">
        <v>1.63</v>
      </c>
      <c r="X12" s="297">
        <v>1.5</v>
      </c>
      <c r="Y12" s="297">
        <v>1.47</v>
      </c>
      <c r="Z12" s="297"/>
      <c r="AA12" s="297">
        <v>2.16</v>
      </c>
      <c r="AB12" s="297">
        <v>1.94</v>
      </c>
      <c r="AC12" s="297">
        <v>1.66</v>
      </c>
      <c r="AD12" s="297">
        <v>1.52</v>
      </c>
      <c r="AE12" s="297">
        <v>1.48</v>
      </c>
      <c r="AF12" s="297"/>
      <c r="AG12" s="299" t="s">
        <v>281</v>
      </c>
      <c r="AH12" s="299" t="s">
        <v>282</v>
      </c>
      <c r="AI12" s="175">
        <v>3</v>
      </c>
      <c r="AJ12" s="175">
        <v>3</v>
      </c>
      <c r="AK12" s="240">
        <v>0.5</v>
      </c>
      <c r="AL12" s="240">
        <v>0.5</v>
      </c>
      <c r="AM12" s="299">
        <v>0</v>
      </c>
      <c r="AN12" s="299">
        <v>0</v>
      </c>
      <c r="AO12" s="299">
        <v>0</v>
      </c>
      <c r="AP12" s="299">
        <v>15</v>
      </c>
      <c r="AQ12" s="299">
        <v>0</v>
      </c>
      <c r="AR12" s="299">
        <v>0</v>
      </c>
      <c r="AS12" s="299">
        <v>0</v>
      </c>
      <c r="AT12" s="299">
        <v>0</v>
      </c>
      <c r="AU12" s="299">
        <v>0</v>
      </c>
      <c r="AV12" s="299">
        <v>0</v>
      </c>
      <c r="AW12" s="299">
        <v>24</v>
      </c>
      <c r="AX12" s="299" t="s">
        <v>233</v>
      </c>
      <c r="AY12" s="299"/>
      <c r="AZ12" s="299" t="s">
        <v>233</v>
      </c>
      <c r="BA12" s="298" t="s">
        <v>199</v>
      </c>
      <c r="BB12" s="297" t="s">
        <v>152</v>
      </c>
      <c r="BC12" s="299">
        <v>25</v>
      </c>
      <c r="BD12" s="299" t="s">
        <v>183</v>
      </c>
      <c r="BE12" s="298"/>
      <c r="BF12" t="s">
        <v>153</v>
      </c>
      <c r="BG12" t="s">
        <v>189</v>
      </c>
    </row>
    <row r="13" spans="1:59" s="184" customFormat="1" x14ac:dyDescent="0.15">
      <c r="A13" s="148">
        <v>77</v>
      </c>
      <c r="B13" s="295">
        <v>41285</v>
      </c>
      <c r="C13" s="296" t="s">
        <v>278</v>
      </c>
      <c r="D13" s="297" t="s">
        <v>228</v>
      </c>
      <c r="E13" s="295">
        <v>42736</v>
      </c>
      <c r="F13" s="298" t="s">
        <v>280</v>
      </c>
      <c r="G13" s="297" t="s">
        <v>176</v>
      </c>
      <c r="H13" s="297">
        <v>78.069999999999993</v>
      </c>
      <c r="I13" s="182" t="s">
        <v>402</v>
      </c>
      <c r="J13" s="178">
        <v>3000</v>
      </c>
      <c r="K13" s="178">
        <v>6000</v>
      </c>
      <c r="L13" s="178">
        <v>9000</v>
      </c>
      <c r="M13" s="178">
        <v>15000</v>
      </c>
      <c r="N13" s="178"/>
      <c r="O13" s="297">
        <v>2.2669999999999999</v>
      </c>
      <c r="P13" s="297">
        <v>1.9850000000000001</v>
      </c>
      <c r="Q13" s="297">
        <v>1.6</v>
      </c>
      <c r="R13" s="297">
        <v>1.3959999999999999</v>
      </c>
      <c r="S13" s="297">
        <v>1.3640000000000001</v>
      </c>
      <c r="T13" s="297"/>
      <c r="U13" s="297">
        <v>2.1520000000000001</v>
      </c>
      <c r="V13" s="297">
        <v>1.877</v>
      </c>
      <c r="W13" s="297">
        <v>1.544</v>
      </c>
      <c r="X13" s="297">
        <v>1.367</v>
      </c>
      <c r="Y13" s="297">
        <v>1.3220000000000001</v>
      </c>
      <c r="Z13" s="297"/>
      <c r="AA13" s="297"/>
      <c r="AB13" s="297"/>
      <c r="AC13" s="297"/>
      <c r="AD13" s="297"/>
      <c r="AE13" s="297"/>
      <c r="AF13" s="297"/>
      <c r="AG13" s="299" t="s">
        <v>281</v>
      </c>
      <c r="AH13" s="299" t="s">
        <v>282</v>
      </c>
      <c r="AI13" s="183">
        <v>3</v>
      </c>
      <c r="AJ13" s="183">
        <v>3</v>
      </c>
      <c r="AK13" s="241">
        <v>0.5</v>
      </c>
      <c r="AL13" s="241">
        <v>0.5</v>
      </c>
      <c r="AM13" s="299">
        <v>0</v>
      </c>
      <c r="AN13" s="299">
        <v>0</v>
      </c>
      <c r="AO13" s="299">
        <v>0</v>
      </c>
      <c r="AP13" s="299">
        <v>15</v>
      </c>
      <c r="AQ13" s="299">
        <v>0</v>
      </c>
      <c r="AR13" s="299">
        <v>0</v>
      </c>
      <c r="AS13" s="299">
        <v>0</v>
      </c>
      <c r="AT13" s="299">
        <v>0</v>
      </c>
      <c r="AU13" s="299">
        <v>0</v>
      </c>
      <c r="AV13" s="299">
        <v>2</v>
      </c>
      <c r="AW13" s="299"/>
      <c r="AX13" s="299" t="s">
        <v>233</v>
      </c>
      <c r="AY13" s="299">
        <v>12</v>
      </c>
      <c r="AZ13" s="299" t="s">
        <v>233</v>
      </c>
      <c r="BA13" s="298" t="s">
        <v>177</v>
      </c>
      <c r="BB13" s="297" t="s">
        <v>178</v>
      </c>
      <c r="BC13" s="299">
        <v>50</v>
      </c>
      <c r="BD13" s="299" t="s">
        <v>179</v>
      </c>
      <c r="BE13" s="298"/>
      <c r="BF13" t="s">
        <v>154</v>
      </c>
      <c r="BG13" t="s">
        <v>181</v>
      </c>
    </row>
    <row r="14" spans="1:59" s="184" customFormat="1" x14ac:dyDescent="0.15">
      <c r="A14" s="148">
        <v>260</v>
      </c>
      <c r="B14" s="295">
        <v>41285</v>
      </c>
      <c r="C14" s="296" t="s">
        <v>278</v>
      </c>
      <c r="D14" s="297" t="s">
        <v>228</v>
      </c>
      <c r="E14" s="295">
        <v>42747</v>
      </c>
      <c r="F14" s="298" t="s">
        <v>286</v>
      </c>
      <c r="G14" s="297" t="s">
        <v>182</v>
      </c>
      <c r="H14" s="297">
        <v>65.97</v>
      </c>
      <c r="I14" s="182" t="s">
        <v>402</v>
      </c>
      <c r="J14" s="185">
        <v>3000</v>
      </c>
      <c r="K14" s="185">
        <v>6000</v>
      </c>
      <c r="L14" s="185">
        <v>6000</v>
      </c>
      <c r="M14" s="185">
        <v>6000</v>
      </c>
      <c r="N14" s="178"/>
      <c r="O14" s="297">
        <v>2.1</v>
      </c>
      <c r="P14" s="297">
        <v>1.58</v>
      </c>
      <c r="Q14" s="297">
        <v>0</v>
      </c>
      <c r="R14" s="297">
        <v>0</v>
      </c>
      <c r="S14" s="297">
        <v>1.58</v>
      </c>
      <c r="T14" s="297"/>
      <c r="U14" s="297">
        <v>2.0499999999999998</v>
      </c>
      <c r="V14" s="297">
        <v>1.49</v>
      </c>
      <c r="W14" s="297">
        <v>0</v>
      </c>
      <c r="X14" s="297">
        <v>0</v>
      </c>
      <c r="Y14" s="297">
        <v>1.49</v>
      </c>
      <c r="Z14" s="297"/>
      <c r="AA14" s="297"/>
      <c r="AB14" s="297"/>
      <c r="AC14" s="297"/>
      <c r="AD14" s="297"/>
      <c r="AE14" s="297"/>
      <c r="AF14" s="297"/>
      <c r="AG14" s="299" t="s">
        <v>281</v>
      </c>
      <c r="AH14" s="299" t="s">
        <v>282</v>
      </c>
      <c r="AI14" s="183">
        <v>3</v>
      </c>
      <c r="AJ14" s="183">
        <v>3</v>
      </c>
      <c r="AK14" s="241">
        <v>0.5</v>
      </c>
      <c r="AL14" s="241">
        <v>0.5</v>
      </c>
      <c r="AM14" s="299">
        <v>0</v>
      </c>
      <c r="AN14" s="299">
        <v>0</v>
      </c>
      <c r="AO14" s="299">
        <v>0</v>
      </c>
      <c r="AP14" s="299">
        <v>15</v>
      </c>
      <c r="AQ14" s="299">
        <v>0</v>
      </c>
      <c r="AR14" s="299">
        <v>0</v>
      </c>
      <c r="AS14" s="299">
        <v>0</v>
      </c>
      <c r="AT14" s="299">
        <v>0</v>
      </c>
      <c r="AU14" s="299">
        <v>0</v>
      </c>
      <c r="AV14" s="299">
        <v>0</v>
      </c>
      <c r="AW14" s="297"/>
      <c r="AX14" s="299" t="s">
        <v>233</v>
      </c>
      <c r="AY14" s="299">
        <v>24</v>
      </c>
      <c r="AZ14" s="299" t="s">
        <v>233</v>
      </c>
      <c r="BA14" s="298"/>
      <c r="BB14" s="297"/>
      <c r="BC14" s="299"/>
      <c r="BD14" s="299" t="s">
        <v>183</v>
      </c>
      <c r="BE14" s="298"/>
      <c r="BF14" t="s">
        <v>184</v>
      </c>
      <c r="BG14" t="s">
        <v>181</v>
      </c>
    </row>
    <row r="15" spans="1:59" s="184" customFormat="1" x14ac:dyDescent="0.15">
      <c r="A15" s="148">
        <v>274</v>
      </c>
      <c r="B15" s="295">
        <v>41285</v>
      </c>
      <c r="C15" s="296" t="s">
        <v>278</v>
      </c>
      <c r="D15" s="297" t="s">
        <v>228</v>
      </c>
      <c r="E15" s="295">
        <v>42736</v>
      </c>
      <c r="F15" s="298" t="s">
        <v>288</v>
      </c>
      <c r="G15" s="297" t="s">
        <v>185</v>
      </c>
      <c r="H15" s="297">
        <v>71</v>
      </c>
      <c r="I15" s="182" t="s">
        <v>402</v>
      </c>
      <c r="J15" s="178">
        <v>3000</v>
      </c>
      <c r="K15" s="178">
        <v>6000</v>
      </c>
      <c r="L15" s="178">
        <v>9000</v>
      </c>
      <c r="M15" s="178">
        <v>15000</v>
      </c>
      <c r="N15" s="178"/>
      <c r="O15" s="297">
        <v>2.4</v>
      </c>
      <c r="P15" s="297">
        <v>2.0499999999999998</v>
      </c>
      <c r="Q15" s="297">
        <v>1.7</v>
      </c>
      <c r="R15" s="297">
        <v>1.5</v>
      </c>
      <c r="S15" s="297">
        <v>1.4</v>
      </c>
      <c r="T15" s="297"/>
      <c r="U15" s="297">
        <v>2.2999999999999998</v>
      </c>
      <c r="V15" s="297">
        <v>2</v>
      </c>
      <c r="W15" s="297">
        <v>1.65</v>
      </c>
      <c r="X15" s="297">
        <v>1.5</v>
      </c>
      <c r="Y15" s="297">
        <v>1.45</v>
      </c>
      <c r="Z15" s="297"/>
      <c r="AA15" s="297"/>
      <c r="AB15" s="297"/>
      <c r="AC15" s="297"/>
      <c r="AD15" s="297"/>
      <c r="AE15" s="297"/>
      <c r="AF15" s="297"/>
      <c r="AG15" s="299" t="s">
        <v>281</v>
      </c>
      <c r="AH15" s="299" t="s">
        <v>282</v>
      </c>
      <c r="AI15" s="183">
        <v>3</v>
      </c>
      <c r="AJ15" s="183">
        <v>3</v>
      </c>
      <c r="AK15" s="241">
        <v>0.5</v>
      </c>
      <c r="AL15" s="241">
        <v>0.5</v>
      </c>
      <c r="AM15" s="299">
        <v>0</v>
      </c>
      <c r="AN15" s="299">
        <v>0</v>
      </c>
      <c r="AO15" s="299">
        <v>14</v>
      </c>
      <c r="AP15" s="299">
        <v>0</v>
      </c>
      <c r="AQ15" s="299">
        <v>0</v>
      </c>
      <c r="AR15" s="299">
        <v>0</v>
      </c>
      <c r="AS15" s="299">
        <v>0</v>
      </c>
      <c r="AT15" s="299">
        <v>0</v>
      </c>
      <c r="AU15" s="299">
        <v>0</v>
      </c>
      <c r="AV15" s="299">
        <v>0</v>
      </c>
      <c r="AW15" s="297"/>
      <c r="AX15" s="299" t="s">
        <v>233</v>
      </c>
      <c r="AY15" s="299"/>
      <c r="AZ15" s="299" t="s">
        <v>233</v>
      </c>
      <c r="BA15" s="298"/>
      <c r="BB15" s="297"/>
      <c r="BC15" s="299"/>
      <c r="BD15" s="299" t="s">
        <v>179</v>
      </c>
      <c r="BE15" s="298" t="s">
        <v>186</v>
      </c>
      <c r="BF15" t="s">
        <v>374</v>
      </c>
      <c r="BG15" t="s">
        <v>181</v>
      </c>
    </row>
    <row r="16" spans="1:59" s="184" customFormat="1" x14ac:dyDescent="0.15">
      <c r="A16" s="148">
        <v>326</v>
      </c>
      <c r="B16" s="295">
        <v>41285</v>
      </c>
      <c r="C16" s="296" t="s">
        <v>278</v>
      </c>
      <c r="D16" s="297" t="s">
        <v>228</v>
      </c>
      <c r="E16" s="295">
        <v>42767</v>
      </c>
      <c r="F16" s="298" t="s">
        <v>600</v>
      </c>
      <c r="G16" s="297" t="s">
        <v>187</v>
      </c>
      <c r="H16" s="297">
        <v>70</v>
      </c>
      <c r="I16" s="182" t="s">
        <v>402</v>
      </c>
      <c r="J16" s="178">
        <v>3000</v>
      </c>
      <c r="K16" s="178">
        <v>9000</v>
      </c>
      <c r="L16" s="178">
        <v>12000</v>
      </c>
      <c r="M16" s="178">
        <v>18000</v>
      </c>
      <c r="N16" s="178"/>
      <c r="O16" s="297">
        <v>3.36</v>
      </c>
      <c r="P16" s="297">
        <v>2.92</v>
      </c>
      <c r="Q16" s="297">
        <v>2.2000000000000002</v>
      </c>
      <c r="R16" s="297">
        <v>2.09</v>
      </c>
      <c r="S16" s="297">
        <v>1.88</v>
      </c>
      <c r="T16" s="297"/>
      <c r="U16" s="297">
        <v>2.69</v>
      </c>
      <c r="V16" s="297">
        <v>2.2999999999999998</v>
      </c>
      <c r="W16" s="297">
        <v>1.95</v>
      </c>
      <c r="X16" s="297">
        <v>1.64</v>
      </c>
      <c r="Y16" s="297">
        <v>1.61</v>
      </c>
      <c r="Z16" s="297"/>
      <c r="AA16" s="297"/>
      <c r="AB16" s="297"/>
      <c r="AC16" s="297"/>
      <c r="AD16" s="297"/>
      <c r="AE16" s="297"/>
      <c r="AF16" s="297"/>
      <c r="AG16" s="299" t="s">
        <v>281</v>
      </c>
      <c r="AH16" s="299" t="s">
        <v>282</v>
      </c>
      <c r="AI16" s="183">
        <v>3</v>
      </c>
      <c r="AJ16" s="183">
        <v>3</v>
      </c>
      <c r="AK16" s="241">
        <v>0.5</v>
      </c>
      <c r="AL16" s="241">
        <v>0.5</v>
      </c>
      <c r="AM16" s="299">
        <v>0</v>
      </c>
      <c r="AN16" s="299">
        <v>0</v>
      </c>
      <c r="AO16" s="299">
        <v>0</v>
      </c>
      <c r="AP16" s="299">
        <v>16</v>
      </c>
      <c r="AQ16" s="299">
        <v>0</v>
      </c>
      <c r="AR16" s="299">
        <v>0</v>
      </c>
      <c r="AS16" s="299">
        <v>0</v>
      </c>
      <c r="AT16" s="299">
        <v>0</v>
      </c>
      <c r="AU16" s="299">
        <v>0</v>
      </c>
      <c r="AV16" s="299">
        <v>0</v>
      </c>
      <c r="AW16" s="299">
        <v>12</v>
      </c>
      <c r="AX16" s="299" t="s">
        <v>281</v>
      </c>
      <c r="AY16" s="299"/>
      <c r="AZ16" s="299" t="s">
        <v>233</v>
      </c>
      <c r="BA16" s="298"/>
      <c r="BB16" s="297"/>
      <c r="BC16" s="299"/>
      <c r="BD16" s="299" t="s">
        <v>183</v>
      </c>
      <c r="BE16" s="298"/>
      <c r="BF16" t="s">
        <v>188</v>
      </c>
      <c r="BG16" t="s">
        <v>189</v>
      </c>
    </row>
    <row r="17" spans="1:59" s="184" customFormat="1" x14ac:dyDescent="0.15">
      <c r="A17" s="148">
        <v>884</v>
      </c>
      <c r="B17" s="295">
        <v>41286</v>
      </c>
      <c r="C17" s="296" t="s">
        <v>278</v>
      </c>
      <c r="D17" s="297" t="s">
        <v>228</v>
      </c>
      <c r="E17" s="295">
        <v>42711</v>
      </c>
      <c r="F17" s="298" t="s">
        <v>290</v>
      </c>
      <c r="G17" s="297" t="s">
        <v>187</v>
      </c>
      <c r="H17" s="297">
        <v>31.59</v>
      </c>
      <c r="I17" s="182" t="s">
        <v>402</v>
      </c>
      <c r="J17" s="185">
        <v>3500</v>
      </c>
      <c r="K17" s="185">
        <v>3500</v>
      </c>
      <c r="L17" s="185">
        <v>3500</v>
      </c>
      <c r="M17" s="185">
        <v>3500</v>
      </c>
      <c r="N17" s="178"/>
      <c r="O17" s="297">
        <v>2.13</v>
      </c>
      <c r="P17" s="297">
        <v>0</v>
      </c>
      <c r="Q17" s="297">
        <v>0</v>
      </c>
      <c r="R17" s="297">
        <v>0</v>
      </c>
      <c r="S17" s="297">
        <v>1.72</v>
      </c>
      <c r="T17" s="297"/>
      <c r="U17" s="297">
        <v>2</v>
      </c>
      <c r="V17" s="297">
        <v>0</v>
      </c>
      <c r="W17" s="297">
        <v>0</v>
      </c>
      <c r="X17" s="297">
        <v>0</v>
      </c>
      <c r="Y17" s="297">
        <v>1.67</v>
      </c>
      <c r="Z17" s="297"/>
      <c r="AA17" s="297"/>
      <c r="AB17" s="297"/>
      <c r="AC17" s="297"/>
      <c r="AD17" s="297"/>
      <c r="AE17" s="297"/>
      <c r="AF17" s="297"/>
      <c r="AG17" s="299" t="s">
        <v>281</v>
      </c>
      <c r="AH17" s="299" t="s">
        <v>282</v>
      </c>
      <c r="AI17" s="183">
        <v>3</v>
      </c>
      <c r="AJ17" s="183">
        <v>3</v>
      </c>
      <c r="AK17" s="241">
        <v>0.5</v>
      </c>
      <c r="AL17" s="241">
        <v>0.5</v>
      </c>
      <c r="AM17" s="299">
        <v>0</v>
      </c>
      <c r="AN17" s="299">
        <v>0</v>
      </c>
      <c r="AO17" s="299">
        <v>0</v>
      </c>
      <c r="AP17" s="299">
        <v>0</v>
      </c>
      <c r="AQ17" s="299">
        <v>0</v>
      </c>
      <c r="AR17" s="299">
        <v>20</v>
      </c>
      <c r="AS17" s="299">
        <v>0</v>
      </c>
      <c r="AT17" s="299">
        <v>0</v>
      </c>
      <c r="AU17" s="299">
        <v>0</v>
      </c>
      <c r="AV17" s="299">
        <v>0</v>
      </c>
      <c r="AW17" s="297"/>
      <c r="AX17" s="299" t="s">
        <v>233</v>
      </c>
      <c r="AY17" s="299"/>
      <c r="AZ17" s="299" t="s">
        <v>233</v>
      </c>
      <c r="BA17" s="298"/>
      <c r="BB17" s="297"/>
      <c r="BC17" s="299"/>
      <c r="BD17" s="299" t="s">
        <v>183</v>
      </c>
      <c r="BE17" s="298"/>
      <c r="BF17" t="s">
        <v>216</v>
      </c>
      <c r="BG17" t="s">
        <v>189</v>
      </c>
    </row>
    <row r="18" spans="1:59" s="184" customFormat="1" x14ac:dyDescent="0.15">
      <c r="A18" s="148">
        <v>158</v>
      </c>
      <c r="B18" s="295">
        <v>41286</v>
      </c>
      <c r="C18" s="296" t="s">
        <v>278</v>
      </c>
      <c r="D18" s="297" t="s">
        <v>228</v>
      </c>
      <c r="E18" s="295">
        <v>42737</v>
      </c>
      <c r="F18" s="298" t="s">
        <v>217</v>
      </c>
      <c r="G18" s="297" t="s">
        <v>190</v>
      </c>
      <c r="H18" s="297">
        <v>67.3</v>
      </c>
      <c r="I18" s="182" t="s">
        <v>402</v>
      </c>
      <c r="J18" s="178">
        <v>3000</v>
      </c>
      <c r="K18" s="178">
        <v>6000</v>
      </c>
      <c r="L18" s="178">
        <v>9000</v>
      </c>
      <c r="M18" s="178">
        <v>15000</v>
      </c>
      <c r="N18" s="178"/>
      <c r="O18" s="297">
        <v>2.39</v>
      </c>
      <c r="P18" s="297">
        <v>2.14</v>
      </c>
      <c r="Q18" s="297">
        <v>1.73</v>
      </c>
      <c r="R18" s="297">
        <v>1.48</v>
      </c>
      <c r="S18" s="297">
        <v>1.44</v>
      </c>
      <c r="T18" s="297"/>
      <c r="U18" s="297">
        <v>2.0699999999999998</v>
      </c>
      <c r="V18" s="297">
        <v>1.78</v>
      </c>
      <c r="W18" s="297">
        <v>1.46</v>
      </c>
      <c r="X18" s="297">
        <v>1.32</v>
      </c>
      <c r="Y18" s="297">
        <v>1.28</v>
      </c>
      <c r="Z18" s="297"/>
      <c r="AA18" s="297"/>
      <c r="AB18" s="297"/>
      <c r="AC18" s="297"/>
      <c r="AD18" s="297"/>
      <c r="AE18" s="297"/>
      <c r="AF18" s="297"/>
      <c r="AG18" s="299" t="s">
        <v>281</v>
      </c>
      <c r="AH18" s="299" t="s">
        <v>282</v>
      </c>
      <c r="AI18" s="183">
        <v>3</v>
      </c>
      <c r="AJ18" s="183">
        <v>3</v>
      </c>
      <c r="AK18" s="241">
        <v>0.5</v>
      </c>
      <c r="AL18" s="241">
        <v>0.5</v>
      </c>
      <c r="AM18" s="299">
        <v>0</v>
      </c>
      <c r="AN18" s="299">
        <v>0</v>
      </c>
      <c r="AO18" s="299">
        <v>0</v>
      </c>
      <c r="AP18" s="299">
        <v>16</v>
      </c>
      <c r="AQ18" s="299">
        <v>0</v>
      </c>
      <c r="AR18" s="299">
        <v>0</v>
      </c>
      <c r="AS18" s="299">
        <v>0</v>
      </c>
      <c r="AT18" s="299">
        <v>4</v>
      </c>
      <c r="AU18" s="299">
        <v>0</v>
      </c>
      <c r="AV18" s="299">
        <v>0</v>
      </c>
      <c r="AW18" s="297"/>
      <c r="AX18" s="299" t="s">
        <v>233</v>
      </c>
      <c r="AY18" s="299">
        <v>12</v>
      </c>
      <c r="AZ18" s="299" t="s">
        <v>233</v>
      </c>
      <c r="BA18" s="298"/>
      <c r="BB18" s="298"/>
      <c r="BC18" s="300"/>
      <c r="BD18" s="299" t="s">
        <v>179</v>
      </c>
      <c r="BE18" s="298" t="s">
        <v>191</v>
      </c>
      <c r="BF18" s="301" t="s">
        <v>155</v>
      </c>
      <c r="BG18" t="s">
        <v>181</v>
      </c>
    </row>
    <row r="19" spans="1:59" s="184" customFormat="1" x14ac:dyDescent="0.15">
      <c r="A19" s="148">
        <v>172</v>
      </c>
      <c r="B19" s="295">
        <v>41286</v>
      </c>
      <c r="C19" s="296" t="s">
        <v>278</v>
      </c>
      <c r="D19" s="297" t="s">
        <v>228</v>
      </c>
      <c r="E19" s="295">
        <v>42736</v>
      </c>
      <c r="F19" s="298" t="s">
        <v>220</v>
      </c>
      <c r="G19" s="297" t="s">
        <v>193</v>
      </c>
      <c r="H19" s="297">
        <v>63.74</v>
      </c>
      <c r="I19" s="182" t="s">
        <v>402</v>
      </c>
      <c r="J19" s="178">
        <v>3000</v>
      </c>
      <c r="K19" s="178">
        <v>6000</v>
      </c>
      <c r="L19" s="178">
        <v>9000</v>
      </c>
      <c r="M19" s="178">
        <v>15000</v>
      </c>
      <c r="N19" s="178"/>
      <c r="O19" s="297">
        <v>2.2559999999999998</v>
      </c>
      <c r="P19" s="297">
        <v>1.966</v>
      </c>
      <c r="Q19" s="297">
        <v>1.613</v>
      </c>
      <c r="R19" s="297">
        <v>1.4259999999999999</v>
      </c>
      <c r="S19" s="297">
        <v>1.3779999999999999</v>
      </c>
      <c r="T19" s="297"/>
      <c r="U19" s="297">
        <v>2.1179999999999999</v>
      </c>
      <c r="V19" s="297">
        <v>1.8660000000000001</v>
      </c>
      <c r="W19" s="297">
        <v>1.5620000000000001</v>
      </c>
      <c r="X19" s="297">
        <v>1.401</v>
      </c>
      <c r="Y19" s="297">
        <v>1.359</v>
      </c>
      <c r="Z19" s="297"/>
      <c r="AA19" s="297"/>
      <c r="AB19" s="297"/>
      <c r="AC19" s="297"/>
      <c r="AD19" s="297"/>
      <c r="AE19" s="297"/>
      <c r="AF19" s="297"/>
      <c r="AG19" s="299" t="s">
        <v>281</v>
      </c>
      <c r="AH19" s="299" t="s">
        <v>282</v>
      </c>
      <c r="AI19" s="183">
        <v>3</v>
      </c>
      <c r="AJ19" s="183">
        <v>3</v>
      </c>
      <c r="AK19" s="241">
        <v>0.5</v>
      </c>
      <c r="AL19" s="241">
        <v>0.5</v>
      </c>
      <c r="AM19" s="299">
        <v>0</v>
      </c>
      <c r="AN19" s="299">
        <v>0</v>
      </c>
      <c r="AO19" s="299">
        <v>15</v>
      </c>
      <c r="AP19" s="299">
        <v>0</v>
      </c>
      <c r="AQ19" s="299">
        <v>0</v>
      </c>
      <c r="AR19" s="299">
        <v>0</v>
      </c>
      <c r="AS19" s="299">
        <v>0</v>
      </c>
      <c r="AT19" s="299">
        <v>0</v>
      </c>
      <c r="AU19" s="299">
        <v>0</v>
      </c>
      <c r="AV19" s="299">
        <v>0</v>
      </c>
      <c r="AW19" s="299">
        <v>24</v>
      </c>
      <c r="AX19" s="299" t="s">
        <v>233</v>
      </c>
      <c r="AY19" s="299"/>
      <c r="AZ19" s="299" t="s">
        <v>233</v>
      </c>
      <c r="BA19" s="298" t="s">
        <v>429</v>
      </c>
      <c r="BB19" s="297"/>
      <c r="BC19" s="299"/>
      <c r="BD19" s="299" t="s">
        <v>183</v>
      </c>
      <c r="BE19" s="298"/>
      <c r="BF19" t="s">
        <v>194</v>
      </c>
      <c r="BG19" t="s">
        <v>181</v>
      </c>
    </row>
    <row r="20" spans="1:59" s="184" customFormat="1" x14ac:dyDescent="0.15">
      <c r="A20" s="148">
        <v>313</v>
      </c>
      <c r="B20" s="295">
        <v>41286</v>
      </c>
      <c r="C20" s="296" t="s">
        <v>278</v>
      </c>
      <c r="D20" s="297" t="s">
        <v>228</v>
      </c>
      <c r="E20" s="295">
        <v>42736</v>
      </c>
      <c r="F20" s="297" t="s">
        <v>222</v>
      </c>
      <c r="G20" s="297" t="s">
        <v>187</v>
      </c>
      <c r="H20" s="297">
        <v>61.14</v>
      </c>
      <c r="I20" s="182" t="s">
        <v>402</v>
      </c>
      <c r="J20" s="178">
        <v>3000</v>
      </c>
      <c r="K20" s="178">
        <v>6000</v>
      </c>
      <c r="L20" s="178">
        <v>9000</v>
      </c>
      <c r="M20" s="178">
        <v>15000</v>
      </c>
      <c r="N20" s="178"/>
      <c r="O20" s="297">
        <v>1.94</v>
      </c>
      <c r="P20" s="297">
        <v>1.7170000000000001</v>
      </c>
      <c r="Q20" s="297">
        <v>1.4419999999999999</v>
      </c>
      <c r="R20" s="297">
        <v>1.2969999999999999</v>
      </c>
      <c r="S20" s="297">
        <v>1.258</v>
      </c>
      <c r="T20" s="297"/>
      <c r="U20" s="297">
        <v>1.79</v>
      </c>
      <c r="V20" s="297">
        <v>1.5980000000000001</v>
      </c>
      <c r="W20" s="297">
        <v>1.3640000000000001</v>
      </c>
      <c r="X20" s="297">
        <v>1.2410000000000001</v>
      </c>
      <c r="Y20" s="297">
        <v>1.2090000000000001</v>
      </c>
      <c r="Z20" s="297"/>
      <c r="AA20" s="297"/>
      <c r="AB20" s="297"/>
      <c r="AC20" s="297"/>
      <c r="AD20" s="297"/>
      <c r="AE20" s="297"/>
      <c r="AF20" s="297"/>
      <c r="AG20" s="299" t="s">
        <v>281</v>
      </c>
      <c r="AH20" s="299" t="s">
        <v>282</v>
      </c>
      <c r="AI20" s="183">
        <v>3</v>
      </c>
      <c r="AJ20" s="183">
        <v>3</v>
      </c>
      <c r="AK20" s="241">
        <v>0.5</v>
      </c>
      <c r="AL20" s="241">
        <v>0.5</v>
      </c>
      <c r="AM20" s="299">
        <v>0</v>
      </c>
      <c r="AN20" s="299">
        <v>0</v>
      </c>
      <c r="AO20" s="299">
        <v>0</v>
      </c>
      <c r="AP20" s="299">
        <v>0</v>
      </c>
      <c r="AQ20" s="299">
        <v>0</v>
      </c>
      <c r="AR20" s="299">
        <v>0</v>
      </c>
      <c r="AS20" s="299">
        <v>0</v>
      </c>
      <c r="AT20" s="299">
        <v>0</v>
      </c>
      <c r="AU20" s="299">
        <v>0</v>
      </c>
      <c r="AV20" s="299">
        <v>0</v>
      </c>
      <c r="AW20" s="297"/>
      <c r="AX20" s="299" t="s">
        <v>233</v>
      </c>
      <c r="AY20" s="299"/>
      <c r="AZ20" s="299" t="s">
        <v>233</v>
      </c>
      <c r="BA20" s="298" t="s">
        <v>195</v>
      </c>
      <c r="BB20" s="297" t="s">
        <v>178</v>
      </c>
      <c r="BC20" s="299">
        <v>50</v>
      </c>
      <c r="BD20" s="299" t="s">
        <v>183</v>
      </c>
      <c r="BE20" s="298"/>
      <c r="BF20" t="s">
        <v>223</v>
      </c>
      <c r="BG20" t="s">
        <v>181</v>
      </c>
    </row>
    <row r="21" spans="1:59" s="184" customFormat="1" x14ac:dyDescent="0.15">
      <c r="A21" s="148">
        <v>568</v>
      </c>
      <c r="B21" s="295">
        <v>41283</v>
      </c>
      <c r="C21" s="296" t="s">
        <v>278</v>
      </c>
      <c r="D21" s="297" t="s">
        <v>228</v>
      </c>
      <c r="E21" s="295">
        <v>42736</v>
      </c>
      <c r="F21" s="298" t="s">
        <v>224</v>
      </c>
      <c r="G21" s="297" t="s">
        <v>196</v>
      </c>
      <c r="H21" s="297">
        <v>69.53</v>
      </c>
      <c r="I21" s="182" t="s">
        <v>402</v>
      </c>
      <c r="J21" s="185">
        <v>6000</v>
      </c>
      <c r="K21" s="185">
        <v>9000</v>
      </c>
      <c r="L21" s="185">
        <v>9000</v>
      </c>
      <c r="M21" s="185">
        <v>9000</v>
      </c>
      <c r="N21" s="185"/>
      <c r="O21" s="297">
        <v>2.2149999999999999</v>
      </c>
      <c r="P21" s="297">
        <v>1.804</v>
      </c>
      <c r="Q21" s="297">
        <v>0</v>
      </c>
      <c r="R21" s="297">
        <v>0</v>
      </c>
      <c r="S21" s="297">
        <v>1.2989999999999999</v>
      </c>
      <c r="T21" s="297"/>
      <c r="U21" s="297">
        <v>2.0110000000000001</v>
      </c>
      <c r="V21" s="297">
        <v>1.5840000000000001</v>
      </c>
      <c r="W21" s="297">
        <v>0</v>
      </c>
      <c r="X21" s="297">
        <v>0</v>
      </c>
      <c r="Y21" s="297">
        <v>1.224</v>
      </c>
      <c r="Z21" s="297"/>
      <c r="AA21" s="297"/>
      <c r="AB21" s="297"/>
      <c r="AC21" s="297"/>
      <c r="AD21" s="297"/>
      <c r="AE21" s="297"/>
      <c r="AF21" s="297"/>
      <c r="AG21" s="299" t="s">
        <v>281</v>
      </c>
      <c r="AH21" s="299" t="s">
        <v>282</v>
      </c>
      <c r="AI21" s="183">
        <v>3</v>
      </c>
      <c r="AJ21" s="183">
        <v>3</v>
      </c>
      <c r="AK21" s="241">
        <v>0.5</v>
      </c>
      <c r="AL21" s="241">
        <v>0.5</v>
      </c>
      <c r="AM21" s="299">
        <v>0</v>
      </c>
      <c r="AN21" s="299">
        <v>0</v>
      </c>
      <c r="AO21" s="299">
        <v>0</v>
      </c>
      <c r="AP21" s="299">
        <v>13</v>
      </c>
      <c r="AQ21" s="299">
        <v>0</v>
      </c>
      <c r="AR21" s="299">
        <v>0</v>
      </c>
      <c r="AS21" s="299">
        <v>0</v>
      </c>
      <c r="AT21" s="299">
        <v>0</v>
      </c>
      <c r="AU21" s="299">
        <v>0</v>
      </c>
      <c r="AV21" s="299">
        <v>0</v>
      </c>
      <c r="AW21" s="297"/>
      <c r="AX21" s="299" t="s">
        <v>233</v>
      </c>
      <c r="AY21" s="299">
        <v>12</v>
      </c>
      <c r="AZ21" s="299" t="s">
        <v>233</v>
      </c>
      <c r="BA21" s="298"/>
      <c r="BB21" s="298"/>
      <c r="BC21" s="299"/>
      <c r="BD21" s="299" t="s">
        <v>179</v>
      </c>
      <c r="BE21" s="298"/>
      <c r="BF21" t="s">
        <v>231</v>
      </c>
      <c r="BG21" t="s">
        <v>189</v>
      </c>
    </row>
    <row r="22" spans="1:59" s="184" customFormat="1" x14ac:dyDescent="0.15">
      <c r="A22" s="148">
        <v>234</v>
      </c>
      <c r="B22" s="295">
        <v>41286</v>
      </c>
      <c r="C22" s="296" t="s">
        <v>278</v>
      </c>
      <c r="D22" s="297" t="s">
        <v>228</v>
      </c>
      <c r="E22" s="295">
        <v>42767</v>
      </c>
      <c r="F22" s="298" t="s">
        <v>226</v>
      </c>
      <c r="G22" s="297" t="s">
        <v>197</v>
      </c>
      <c r="H22" s="297">
        <v>70</v>
      </c>
      <c r="I22" s="182" t="s">
        <v>402</v>
      </c>
      <c r="J22" s="185">
        <v>3500</v>
      </c>
      <c r="K22" s="185">
        <v>3500</v>
      </c>
      <c r="L22" s="185">
        <v>3500</v>
      </c>
      <c r="M22" s="185">
        <v>3500</v>
      </c>
      <c r="N22" s="178"/>
      <c r="O22" s="297">
        <v>1.889</v>
      </c>
      <c r="P22" s="297">
        <v>0</v>
      </c>
      <c r="Q22" s="297">
        <v>0</v>
      </c>
      <c r="R22" s="297">
        <v>0</v>
      </c>
      <c r="S22" s="297">
        <v>1.6579999999999999</v>
      </c>
      <c r="T22" s="297"/>
      <c r="U22" s="297">
        <v>1.7749999999999999</v>
      </c>
      <c r="V22" s="297">
        <v>0</v>
      </c>
      <c r="W22" s="297">
        <v>0</v>
      </c>
      <c r="X22" s="297">
        <v>0</v>
      </c>
      <c r="Y22" s="297">
        <v>1.583</v>
      </c>
      <c r="Z22" s="297"/>
      <c r="AA22" s="297"/>
      <c r="AB22" s="297"/>
      <c r="AC22" s="297"/>
      <c r="AD22" s="297"/>
      <c r="AE22" s="297"/>
      <c r="AF22" s="297"/>
      <c r="AG22" s="299" t="s">
        <v>281</v>
      </c>
      <c r="AH22" s="299" t="s">
        <v>282</v>
      </c>
      <c r="AI22" s="183">
        <v>3</v>
      </c>
      <c r="AJ22" s="183">
        <v>3</v>
      </c>
      <c r="AK22" s="241">
        <v>0.5</v>
      </c>
      <c r="AL22" s="241">
        <v>0.5</v>
      </c>
      <c r="AM22" s="299">
        <v>0</v>
      </c>
      <c r="AN22" s="299">
        <v>0</v>
      </c>
      <c r="AO22" s="299">
        <v>10</v>
      </c>
      <c r="AP22" s="299">
        <v>0</v>
      </c>
      <c r="AQ22" s="299">
        <v>0</v>
      </c>
      <c r="AR22" s="299">
        <v>0</v>
      </c>
      <c r="AS22" s="299">
        <v>0</v>
      </c>
      <c r="AT22" s="299">
        <v>0</v>
      </c>
      <c r="AU22" s="299">
        <v>0</v>
      </c>
      <c r="AV22" s="299">
        <v>0</v>
      </c>
      <c r="AW22" s="299"/>
      <c r="AX22" s="299" t="s">
        <v>233</v>
      </c>
      <c r="AY22" s="299"/>
      <c r="AZ22" s="299" t="s">
        <v>233</v>
      </c>
      <c r="BA22" s="298"/>
      <c r="BB22" s="297"/>
      <c r="BC22" s="299"/>
      <c r="BD22" s="299" t="s">
        <v>183</v>
      </c>
      <c r="BE22" s="298"/>
      <c r="BF22" t="s">
        <v>377</v>
      </c>
      <c r="BG22" t="s">
        <v>189</v>
      </c>
    </row>
    <row r="23" spans="1:59" s="184" customFormat="1" x14ac:dyDescent="0.15">
      <c r="A23" s="148">
        <v>781</v>
      </c>
      <c r="B23" s="295">
        <v>41285</v>
      </c>
      <c r="C23" s="296" t="s">
        <v>278</v>
      </c>
      <c r="D23" s="297" t="s">
        <v>228</v>
      </c>
      <c r="E23" s="295">
        <v>42767</v>
      </c>
      <c r="F23" s="298" t="s">
        <v>227</v>
      </c>
      <c r="G23" s="297" t="s">
        <v>198</v>
      </c>
      <c r="H23" s="297">
        <v>70.28</v>
      </c>
      <c r="I23" s="182" t="s">
        <v>402</v>
      </c>
      <c r="J23" s="178">
        <v>3000</v>
      </c>
      <c r="K23" s="178">
        <v>6000</v>
      </c>
      <c r="L23" s="178">
        <v>9000</v>
      </c>
      <c r="M23" s="178">
        <v>15000</v>
      </c>
      <c r="N23" s="178"/>
      <c r="O23" s="297">
        <v>2.2000000000000002</v>
      </c>
      <c r="P23" s="297">
        <v>1.96</v>
      </c>
      <c r="Q23" s="297">
        <v>1.68</v>
      </c>
      <c r="R23" s="297">
        <v>1.53</v>
      </c>
      <c r="S23" s="297">
        <v>1.48</v>
      </c>
      <c r="T23" s="297"/>
      <c r="U23" s="297">
        <v>2.08</v>
      </c>
      <c r="V23" s="297">
        <v>1.88</v>
      </c>
      <c r="W23" s="297">
        <v>1.63</v>
      </c>
      <c r="X23" s="297">
        <v>1.5</v>
      </c>
      <c r="Y23" s="297">
        <v>1.47</v>
      </c>
      <c r="Z23" s="297"/>
      <c r="AA23" s="297">
        <v>2.16</v>
      </c>
      <c r="AB23" s="297">
        <v>1.94</v>
      </c>
      <c r="AC23" s="297">
        <v>1.66</v>
      </c>
      <c r="AD23" s="297">
        <v>1.52</v>
      </c>
      <c r="AE23" s="297">
        <v>1.48</v>
      </c>
      <c r="AF23" s="297"/>
      <c r="AG23" s="299" t="s">
        <v>281</v>
      </c>
      <c r="AH23" s="299" t="s">
        <v>282</v>
      </c>
      <c r="AI23" s="175">
        <v>3</v>
      </c>
      <c r="AJ23" s="175">
        <v>3</v>
      </c>
      <c r="AK23" s="240">
        <v>0.5</v>
      </c>
      <c r="AL23" s="240">
        <v>0.5</v>
      </c>
      <c r="AM23" s="299">
        <v>0</v>
      </c>
      <c r="AN23" s="299">
        <v>0</v>
      </c>
      <c r="AO23" s="299">
        <v>0</v>
      </c>
      <c r="AP23" s="299">
        <v>15</v>
      </c>
      <c r="AQ23" s="299">
        <v>0</v>
      </c>
      <c r="AR23" s="299">
        <v>0</v>
      </c>
      <c r="AS23" s="299">
        <v>0</v>
      </c>
      <c r="AT23" s="299">
        <v>0</v>
      </c>
      <c r="AU23" s="299">
        <v>0</v>
      </c>
      <c r="AV23" s="299">
        <v>0</v>
      </c>
      <c r="AW23" s="299">
        <v>24</v>
      </c>
      <c r="AX23" s="299" t="s">
        <v>233</v>
      </c>
      <c r="AY23" s="299"/>
      <c r="AZ23" s="299" t="s">
        <v>233</v>
      </c>
      <c r="BA23" s="298" t="s">
        <v>199</v>
      </c>
      <c r="BB23" s="297" t="s">
        <v>152</v>
      </c>
      <c r="BC23" s="299">
        <v>25</v>
      </c>
      <c r="BD23" s="299" t="s">
        <v>183</v>
      </c>
      <c r="BE23" s="298"/>
      <c r="BF23" t="s">
        <v>156</v>
      </c>
      <c r="BG23" t="s">
        <v>189</v>
      </c>
    </row>
    <row r="24" spans="1:59" s="27" customFormat="1" x14ac:dyDescent="0.15">
      <c r="A24" s="148">
        <v>78</v>
      </c>
      <c r="B24" s="295">
        <v>41285</v>
      </c>
      <c r="C24" s="296" t="s">
        <v>278</v>
      </c>
      <c r="D24" s="297" t="s">
        <v>232</v>
      </c>
      <c r="E24" s="295">
        <v>42736</v>
      </c>
      <c r="F24" s="298" t="s">
        <v>280</v>
      </c>
      <c r="G24" s="297" t="s">
        <v>176</v>
      </c>
      <c r="H24" s="297">
        <v>71.709999999999994</v>
      </c>
      <c r="I24" s="191" t="s">
        <v>402</v>
      </c>
      <c r="J24" s="187">
        <v>1645</v>
      </c>
      <c r="K24" s="187">
        <v>3000</v>
      </c>
      <c r="L24" s="187">
        <v>3000</v>
      </c>
      <c r="M24" s="187">
        <v>3000</v>
      </c>
      <c r="N24" s="187"/>
      <c r="O24" s="297">
        <v>2.3260000000000001</v>
      </c>
      <c r="P24" s="297">
        <v>2.1139999999999999</v>
      </c>
      <c r="Q24" s="297">
        <v>0</v>
      </c>
      <c r="R24" s="297">
        <v>0</v>
      </c>
      <c r="S24" s="297">
        <v>1.764</v>
      </c>
      <c r="T24" s="297"/>
      <c r="U24" s="297">
        <v>2.3260000000000001</v>
      </c>
      <c r="V24" s="297">
        <v>2.1139999999999999</v>
      </c>
      <c r="W24" s="297">
        <v>0</v>
      </c>
      <c r="X24" s="297">
        <v>0</v>
      </c>
      <c r="Y24" s="297">
        <v>1.764</v>
      </c>
      <c r="Z24" s="297"/>
      <c r="AA24" s="297"/>
      <c r="AB24" s="297"/>
      <c r="AC24" s="297"/>
      <c r="AD24" s="297"/>
      <c r="AE24" s="297"/>
      <c r="AF24" s="297"/>
      <c r="AG24" s="299" t="s">
        <v>233</v>
      </c>
      <c r="AH24" s="299"/>
      <c r="AI24" s="192">
        <v>2</v>
      </c>
      <c r="AJ24" s="192">
        <v>4</v>
      </c>
      <c r="AK24" s="242">
        <v>0.33329999999999999</v>
      </c>
      <c r="AL24" s="242">
        <v>0.66659999999999997</v>
      </c>
      <c r="AM24" s="299">
        <v>0</v>
      </c>
      <c r="AN24" s="299">
        <v>0</v>
      </c>
      <c r="AO24" s="299">
        <v>0</v>
      </c>
      <c r="AP24" s="299">
        <v>15</v>
      </c>
      <c r="AQ24" s="299">
        <v>0</v>
      </c>
      <c r="AR24" s="299">
        <v>0</v>
      </c>
      <c r="AS24" s="299">
        <v>0</v>
      </c>
      <c r="AT24" s="299">
        <v>0</v>
      </c>
      <c r="AU24" s="299">
        <v>0</v>
      </c>
      <c r="AV24" s="299">
        <v>2</v>
      </c>
      <c r="AW24" s="299"/>
      <c r="AX24" s="299" t="s">
        <v>233</v>
      </c>
      <c r="AY24" s="299">
        <v>12</v>
      </c>
      <c r="AZ24" s="299" t="s">
        <v>233</v>
      </c>
      <c r="BA24" s="298" t="s">
        <v>177</v>
      </c>
      <c r="BB24" s="297" t="s">
        <v>178</v>
      </c>
      <c r="BC24" s="299">
        <v>50</v>
      </c>
      <c r="BD24" s="299" t="s">
        <v>179</v>
      </c>
      <c r="BE24" s="298"/>
      <c r="BF24" t="s">
        <v>157</v>
      </c>
      <c r="BG24" t="s">
        <v>181</v>
      </c>
    </row>
    <row r="25" spans="1:59" s="27" customFormat="1" x14ac:dyDescent="0.15">
      <c r="A25" s="148">
        <v>261</v>
      </c>
      <c r="B25" s="295">
        <v>41285</v>
      </c>
      <c r="C25" s="296" t="s">
        <v>278</v>
      </c>
      <c r="D25" s="297" t="s">
        <v>232</v>
      </c>
      <c r="E25" s="295">
        <v>42747</v>
      </c>
      <c r="F25" s="298" t="s">
        <v>286</v>
      </c>
      <c r="G25" s="297" t="s">
        <v>182</v>
      </c>
      <c r="H25" s="297">
        <v>68.69</v>
      </c>
      <c r="I25" s="191" t="s">
        <v>402</v>
      </c>
      <c r="J25" s="187">
        <v>1645</v>
      </c>
      <c r="K25" s="187">
        <v>3000</v>
      </c>
      <c r="L25" s="187">
        <v>3000</v>
      </c>
      <c r="M25" s="187">
        <v>3000</v>
      </c>
      <c r="N25" s="187"/>
      <c r="O25" s="297">
        <v>1.97</v>
      </c>
      <c r="P25" s="297">
        <v>1.97</v>
      </c>
      <c r="Q25" s="297">
        <v>0</v>
      </c>
      <c r="R25" s="297">
        <v>0</v>
      </c>
      <c r="S25" s="297">
        <v>1.74</v>
      </c>
      <c r="T25" s="297"/>
      <c r="U25" s="297">
        <v>1.97</v>
      </c>
      <c r="V25" s="297">
        <v>1.97</v>
      </c>
      <c r="W25" s="297">
        <v>0</v>
      </c>
      <c r="X25" s="297">
        <v>0</v>
      </c>
      <c r="Y25" s="297">
        <v>1.74</v>
      </c>
      <c r="Z25" s="297"/>
      <c r="AA25" s="297"/>
      <c r="AB25" s="297"/>
      <c r="AC25" s="297"/>
      <c r="AD25" s="297"/>
      <c r="AE25" s="297"/>
      <c r="AF25" s="297"/>
      <c r="AG25" s="299" t="s">
        <v>233</v>
      </c>
      <c r="AH25" s="299"/>
      <c r="AI25" s="192">
        <v>2</v>
      </c>
      <c r="AJ25" s="192">
        <v>4</v>
      </c>
      <c r="AK25" s="242">
        <v>0.33329999999999999</v>
      </c>
      <c r="AL25" s="242">
        <v>0.66659999999999997</v>
      </c>
      <c r="AM25" s="299">
        <v>0</v>
      </c>
      <c r="AN25" s="299">
        <v>0</v>
      </c>
      <c r="AO25" s="299">
        <v>0</v>
      </c>
      <c r="AP25" s="299">
        <v>15</v>
      </c>
      <c r="AQ25" s="299">
        <v>0</v>
      </c>
      <c r="AR25" s="299">
        <v>0</v>
      </c>
      <c r="AS25" s="299">
        <v>0</v>
      </c>
      <c r="AT25" s="299">
        <v>0</v>
      </c>
      <c r="AU25" s="299">
        <v>0</v>
      </c>
      <c r="AV25" s="299">
        <v>0</v>
      </c>
      <c r="AW25" s="297"/>
      <c r="AX25" s="299" t="s">
        <v>233</v>
      </c>
      <c r="AY25" s="299">
        <v>24</v>
      </c>
      <c r="AZ25" s="299" t="s">
        <v>233</v>
      </c>
      <c r="BA25" s="298"/>
      <c r="BB25" s="297"/>
      <c r="BC25" s="299"/>
      <c r="BD25" s="299" t="s">
        <v>183</v>
      </c>
      <c r="BE25" s="298"/>
      <c r="BF25" t="s">
        <v>184</v>
      </c>
      <c r="BG25" t="s">
        <v>181</v>
      </c>
    </row>
    <row r="26" spans="1:59" s="27" customFormat="1" x14ac:dyDescent="0.15">
      <c r="A26" s="148">
        <v>275</v>
      </c>
      <c r="B26" s="295">
        <v>41285</v>
      </c>
      <c r="C26" s="296" t="s">
        <v>278</v>
      </c>
      <c r="D26" s="297" t="s">
        <v>232</v>
      </c>
      <c r="E26" s="295">
        <v>42736</v>
      </c>
      <c r="F26" s="298" t="s">
        <v>288</v>
      </c>
      <c r="G26" s="297" t="s">
        <v>185</v>
      </c>
      <c r="H26" s="297">
        <v>73</v>
      </c>
      <c r="I26" s="191" t="s">
        <v>402</v>
      </c>
      <c r="J26" s="187">
        <v>1645</v>
      </c>
      <c r="K26" s="187">
        <v>3000</v>
      </c>
      <c r="L26" s="187">
        <v>3000</v>
      </c>
      <c r="M26" s="187">
        <v>3000</v>
      </c>
      <c r="N26" s="187"/>
      <c r="O26" s="297">
        <v>2.7</v>
      </c>
      <c r="P26" s="297">
        <v>2.2000000000000002</v>
      </c>
      <c r="Q26" s="297">
        <v>0</v>
      </c>
      <c r="R26" s="297">
        <v>0</v>
      </c>
      <c r="S26" s="297">
        <v>1.8</v>
      </c>
      <c r="T26" s="297"/>
      <c r="U26" s="297">
        <v>2.7</v>
      </c>
      <c r="V26" s="297">
        <v>2.2000000000000002</v>
      </c>
      <c r="W26" s="297">
        <v>0</v>
      </c>
      <c r="X26" s="297">
        <v>0</v>
      </c>
      <c r="Y26" s="297">
        <v>1.8</v>
      </c>
      <c r="Z26" s="297"/>
      <c r="AA26" s="297"/>
      <c r="AB26" s="297"/>
      <c r="AC26" s="297"/>
      <c r="AD26" s="297"/>
      <c r="AE26" s="297"/>
      <c r="AF26" s="297"/>
      <c r="AG26" s="299" t="s">
        <v>233</v>
      </c>
      <c r="AH26" s="299"/>
      <c r="AI26" s="192">
        <v>2</v>
      </c>
      <c r="AJ26" s="192">
        <v>4</v>
      </c>
      <c r="AK26" s="242">
        <v>0.33329999999999999</v>
      </c>
      <c r="AL26" s="242">
        <v>0.66659999999999997</v>
      </c>
      <c r="AM26" s="299">
        <v>0</v>
      </c>
      <c r="AN26" s="299">
        <v>0</v>
      </c>
      <c r="AO26" s="299">
        <v>14</v>
      </c>
      <c r="AP26" s="299">
        <v>0</v>
      </c>
      <c r="AQ26" s="299">
        <v>0</v>
      </c>
      <c r="AR26" s="299">
        <v>0</v>
      </c>
      <c r="AS26" s="299">
        <v>0</v>
      </c>
      <c r="AT26" s="299">
        <v>0</v>
      </c>
      <c r="AU26" s="299">
        <v>0</v>
      </c>
      <c r="AV26" s="299">
        <v>0</v>
      </c>
      <c r="AW26" s="297"/>
      <c r="AX26" s="299" t="s">
        <v>233</v>
      </c>
      <c r="AY26" s="299"/>
      <c r="AZ26" s="299" t="s">
        <v>233</v>
      </c>
      <c r="BA26" s="298"/>
      <c r="BB26" s="297"/>
      <c r="BC26" s="299"/>
      <c r="BD26" s="299" t="s">
        <v>179</v>
      </c>
      <c r="BE26" s="298" t="s">
        <v>186</v>
      </c>
      <c r="BF26" t="s">
        <v>381</v>
      </c>
      <c r="BG26" t="s">
        <v>181</v>
      </c>
    </row>
    <row r="27" spans="1:59" s="27" customFormat="1" x14ac:dyDescent="0.15">
      <c r="A27" s="148">
        <v>327</v>
      </c>
      <c r="B27" s="295">
        <v>41285</v>
      </c>
      <c r="C27" s="296" t="s">
        <v>278</v>
      </c>
      <c r="D27" s="297" t="s">
        <v>232</v>
      </c>
      <c r="E27" s="295">
        <v>42767</v>
      </c>
      <c r="F27" s="298" t="s">
        <v>600</v>
      </c>
      <c r="G27" s="297" t="s">
        <v>187</v>
      </c>
      <c r="H27" s="297">
        <v>68</v>
      </c>
      <c r="I27" s="191" t="s">
        <v>402</v>
      </c>
      <c r="J27" s="187">
        <v>1645</v>
      </c>
      <c r="K27" s="187">
        <v>3000</v>
      </c>
      <c r="L27" s="187">
        <v>3000</v>
      </c>
      <c r="M27" s="187">
        <v>3000</v>
      </c>
      <c r="N27" s="187"/>
      <c r="O27" s="297">
        <v>3.14</v>
      </c>
      <c r="P27" s="297">
        <v>2.76</v>
      </c>
      <c r="Q27" s="297">
        <v>0</v>
      </c>
      <c r="R27" s="297">
        <v>0</v>
      </c>
      <c r="S27" s="297">
        <v>2.2599999999999998</v>
      </c>
      <c r="T27" s="297"/>
      <c r="U27" s="297">
        <v>3.14</v>
      </c>
      <c r="V27" s="297">
        <v>2.76</v>
      </c>
      <c r="W27" s="297">
        <v>0</v>
      </c>
      <c r="X27" s="297">
        <v>0</v>
      </c>
      <c r="Y27" s="297">
        <v>2.2599999999999998</v>
      </c>
      <c r="Z27" s="297"/>
      <c r="AA27" s="297"/>
      <c r="AB27" s="297"/>
      <c r="AC27" s="297"/>
      <c r="AD27" s="297"/>
      <c r="AE27" s="297"/>
      <c r="AF27" s="297"/>
      <c r="AG27" s="299" t="s">
        <v>233</v>
      </c>
      <c r="AH27" s="299"/>
      <c r="AI27" s="192">
        <v>2</v>
      </c>
      <c r="AJ27" s="192">
        <v>4</v>
      </c>
      <c r="AK27" s="242">
        <v>0.33329999999999999</v>
      </c>
      <c r="AL27" s="242">
        <v>0.66659999999999997</v>
      </c>
      <c r="AM27" s="299">
        <v>0</v>
      </c>
      <c r="AN27" s="299">
        <v>0</v>
      </c>
      <c r="AO27" s="299">
        <v>0</v>
      </c>
      <c r="AP27" s="299">
        <v>16</v>
      </c>
      <c r="AQ27" s="299">
        <v>0</v>
      </c>
      <c r="AR27" s="299">
        <v>0</v>
      </c>
      <c r="AS27" s="299">
        <v>0</v>
      </c>
      <c r="AT27" s="299">
        <v>0</v>
      </c>
      <c r="AU27" s="299">
        <v>0</v>
      </c>
      <c r="AV27" s="299">
        <v>0</v>
      </c>
      <c r="AW27" s="299">
        <v>12</v>
      </c>
      <c r="AX27" s="299" t="s">
        <v>281</v>
      </c>
      <c r="AY27" s="299"/>
      <c r="AZ27" s="299" t="s">
        <v>233</v>
      </c>
      <c r="BA27" s="298"/>
      <c r="BB27" s="297"/>
      <c r="BC27" s="299"/>
      <c r="BD27" s="299" t="s">
        <v>183</v>
      </c>
      <c r="BE27" s="298"/>
      <c r="BF27" t="s">
        <v>158</v>
      </c>
      <c r="BG27" t="s">
        <v>189</v>
      </c>
    </row>
    <row r="28" spans="1:59" s="27" customFormat="1" x14ac:dyDescent="0.15">
      <c r="A28" s="148">
        <v>882</v>
      </c>
      <c r="B28" s="295">
        <v>41286</v>
      </c>
      <c r="C28" s="296" t="s">
        <v>278</v>
      </c>
      <c r="D28" s="297" t="s">
        <v>232</v>
      </c>
      <c r="E28" s="295">
        <v>42711</v>
      </c>
      <c r="F28" s="298" t="s">
        <v>290</v>
      </c>
      <c r="G28" s="297" t="s">
        <v>187</v>
      </c>
      <c r="H28" s="297">
        <v>67.8</v>
      </c>
      <c r="I28" s="191" t="s">
        <v>402</v>
      </c>
      <c r="J28" s="193">
        <v>4000</v>
      </c>
      <c r="K28" s="193">
        <v>12000</v>
      </c>
      <c r="L28" s="193">
        <v>12000</v>
      </c>
      <c r="M28" s="193">
        <v>12000</v>
      </c>
      <c r="N28" s="187"/>
      <c r="O28" s="297">
        <v>2.1800000000000002</v>
      </c>
      <c r="P28" s="297">
        <v>1.89</v>
      </c>
      <c r="Q28" s="297">
        <v>0</v>
      </c>
      <c r="R28" s="297">
        <v>0</v>
      </c>
      <c r="S28" s="297">
        <v>1.56</v>
      </c>
      <c r="T28" s="297"/>
      <c r="U28" s="297">
        <v>2.1800000000000002</v>
      </c>
      <c r="V28" s="297">
        <v>1.89</v>
      </c>
      <c r="W28" s="297">
        <v>0</v>
      </c>
      <c r="X28" s="297">
        <v>0</v>
      </c>
      <c r="Y28" s="297">
        <v>1.56</v>
      </c>
      <c r="Z28" s="297"/>
      <c r="AA28" s="297"/>
      <c r="AB28" s="297"/>
      <c r="AC28" s="297"/>
      <c r="AD28" s="297"/>
      <c r="AE28" s="297"/>
      <c r="AF28" s="297"/>
      <c r="AG28" s="299" t="s">
        <v>281</v>
      </c>
      <c r="AH28" s="299" t="s">
        <v>282</v>
      </c>
      <c r="AI28" s="192">
        <v>2</v>
      </c>
      <c r="AJ28" s="192">
        <v>4</v>
      </c>
      <c r="AK28" s="242">
        <v>0.33329999999999999</v>
      </c>
      <c r="AL28" s="242">
        <v>0.66659999999999997</v>
      </c>
      <c r="AM28" s="299">
        <v>0</v>
      </c>
      <c r="AN28" s="299">
        <v>0</v>
      </c>
      <c r="AO28" s="299">
        <v>0</v>
      </c>
      <c r="AP28" s="299">
        <v>0</v>
      </c>
      <c r="AQ28" s="299">
        <v>0</v>
      </c>
      <c r="AR28" s="299">
        <v>20</v>
      </c>
      <c r="AS28" s="299">
        <v>0</v>
      </c>
      <c r="AT28" s="299">
        <v>0</v>
      </c>
      <c r="AU28" s="299">
        <v>0</v>
      </c>
      <c r="AV28" s="299">
        <v>0</v>
      </c>
      <c r="AW28" s="297"/>
      <c r="AX28" s="299" t="s">
        <v>233</v>
      </c>
      <c r="AY28" s="299"/>
      <c r="AZ28" s="299" t="s">
        <v>233</v>
      </c>
      <c r="BA28" s="298"/>
      <c r="BB28" s="297"/>
      <c r="BC28" s="299"/>
      <c r="BD28" s="299" t="s">
        <v>183</v>
      </c>
      <c r="BE28" s="298"/>
      <c r="BF28" t="s">
        <v>236</v>
      </c>
      <c r="BG28" t="s">
        <v>189</v>
      </c>
    </row>
    <row r="29" spans="1:59" s="27" customFormat="1" x14ac:dyDescent="0.15">
      <c r="A29" s="148">
        <v>159</v>
      </c>
      <c r="B29" s="295">
        <v>41286</v>
      </c>
      <c r="C29" s="296" t="s">
        <v>278</v>
      </c>
      <c r="D29" s="297" t="s">
        <v>232</v>
      </c>
      <c r="E29" s="295">
        <v>42737</v>
      </c>
      <c r="F29" s="298" t="s">
        <v>217</v>
      </c>
      <c r="G29" s="297" t="s">
        <v>190</v>
      </c>
      <c r="H29" s="297">
        <v>74.2</v>
      </c>
      <c r="I29" s="191" t="s">
        <v>402</v>
      </c>
      <c r="J29" s="187">
        <v>1645</v>
      </c>
      <c r="K29" s="187">
        <v>3000</v>
      </c>
      <c r="L29" s="187">
        <v>3000</v>
      </c>
      <c r="M29" s="187">
        <v>3000</v>
      </c>
      <c r="N29" s="187"/>
      <c r="O29" s="297">
        <v>2.68</v>
      </c>
      <c r="P29" s="297">
        <v>2.17</v>
      </c>
      <c r="Q29" s="297">
        <v>0</v>
      </c>
      <c r="R29" s="297">
        <v>0</v>
      </c>
      <c r="S29" s="297">
        <v>1.71</v>
      </c>
      <c r="T29" s="297"/>
      <c r="U29" s="297">
        <v>2.66</v>
      </c>
      <c r="V29" s="297">
        <v>2.15</v>
      </c>
      <c r="W29" s="297">
        <v>0</v>
      </c>
      <c r="X29" s="297">
        <v>0</v>
      </c>
      <c r="Y29" s="297">
        <v>1.69</v>
      </c>
      <c r="Z29" s="297"/>
      <c r="AA29" s="297"/>
      <c r="AB29" s="297"/>
      <c r="AC29" s="297"/>
      <c r="AD29" s="297"/>
      <c r="AE29" s="297"/>
      <c r="AF29" s="297"/>
      <c r="AG29" s="299" t="s">
        <v>281</v>
      </c>
      <c r="AH29" s="299" t="s">
        <v>282</v>
      </c>
      <c r="AI29" s="192">
        <v>2</v>
      </c>
      <c r="AJ29" s="192">
        <v>4</v>
      </c>
      <c r="AK29" s="242">
        <v>0.33329999999999999</v>
      </c>
      <c r="AL29" s="242">
        <v>0.66659999999999997</v>
      </c>
      <c r="AM29" s="299">
        <v>0</v>
      </c>
      <c r="AN29" s="299">
        <v>0</v>
      </c>
      <c r="AO29" s="299">
        <v>0</v>
      </c>
      <c r="AP29" s="299">
        <v>16</v>
      </c>
      <c r="AQ29" s="299">
        <v>0</v>
      </c>
      <c r="AR29" s="299">
        <v>0</v>
      </c>
      <c r="AS29" s="299">
        <v>0</v>
      </c>
      <c r="AT29" s="299">
        <v>4</v>
      </c>
      <c r="AU29" s="299">
        <v>0</v>
      </c>
      <c r="AV29" s="299">
        <v>0</v>
      </c>
      <c r="AW29" s="297"/>
      <c r="AX29" s="299" t="s">
        <v>233</v>
      </c>
      <c r="AY29" s="299">
        <v>12</v>
      </c>
      <c r="AZ29" s="299" t="s">
        <v>233</v>
      </c>
      <c r="BA29" s="298"/>
      <c r="BB29" s="298"/>
      <c r="BC29" s="300"/>
      <c r="BD29" s="299" t="s">
        <v>179</v>
      </c>
      <c r="BE29" s="298" t="s">
        <v>191</v>
      </c>
      <c r="BF29" s="301" t="s">
        <v>159</v>
      </c>
      <c r="BG29" t="s">
        <v>181</v>
      </c>
    </row>
    <row r="30" spans="1:59" s="27" customFormat="1" x14ac:dyDescent="0.15">
      <c r="A30" s="148">
        <v>173</v>
      </c>
      <c r="B30" s="295">
        <v>41286</v>
      </c>
      <c r="C30" s="296" t="s">
        <v>278</v>
      </c>
      <c r="D30" s="297" t="s">
        <v>232</v>
      </c>
      <c r="E30" s="295">
        <v>42736</v>
      </c>
      <c r="F30" s="298" t="s">
        <v>220</v>
      </c>
      <c r="G30" s="297" t="s">
        <v>193</v>
      </c>
      <c r="H30" s="297">
        <v>65.819999999999993</v>
      </c>
      <c r="I30" s="191" t="s">
        <v>402</v>
      </c>
      <c r="J30" s="187">
        <v>1645</v>
      </c>
      <c r="K30" s="187">
        <v>3000</v>
      </c>
      <c r="L30" s="187">
        <v>3000</v>
      </c>
      <c r="M30" s="187">
        <v>3000</v>
      </c>
      <c r="N30" s="187"/>
      <c r="O30" s="297">
        <v>2.653</v>
      </c>
      <c r="P30" s="297">
        <v>2.1800000000000002</v>
      </c>
      <c r="Q30" s="297">
        <v>0</v>
      </c>
      <c r="R30" s="297">
        <v>0</v>
      </c>
      <c r="S30" s="297">
        <v>1.8140000000000001</v>
      </c>
      <c r="T30" s="297"/>
      <c r="U30" s="297">
        <v>2.653</v>
      </c>
      <c r="V30" s="297">
        <v>2.1800000000000002</v>
      </c>
      <c r="W30" s="297">
        <v>0</v>
      </c>
      <c r="X30" s="297">
        <v>0</v>
      </c>
      <c r="Y30" s="297">
        <v>1.8140000000000001</v>
      </c>
      <c r="Z30" s="297"/>
      <c r="AA30" s="297"/>
      <c r="AB30" s="297"/>
      <c r="AC30" s="297"/>
      <c r="AD30" s="297"/>
      <c r="AE30" s="297"/>
      <c r="AF30" s="297"/>
      <c r="AG30" s="299" t="s">
        <v>233</v>
      </c>
      <c r="AH30" s="299"/>
      <c r="AI30" s="192">
        <v>2</v>
      </c>
      <c r="AJ30" s="192">
        <v>4</v>
      </c>
      <c r="AK30" s="242">
        <v>0.33329999999999999</v>
      </c>
      <c r="AL30" s="242">
        <v>0.66659999999999997</v>
      </c>
      <c r="AM30" s="299">
        <v>0</v>
      </c>
      <c r="AN30" s="299">
        <v>0</v>
      </c>
      <c r="AO30" s="299">
        <v>15</v>
      </c>
      <c r="AP30" s="299">
        <v>0</v>
      </c>
      <c r="AQ30" s="299">
        <v>0</v>
      </c>
      <c r="AR30" s="299">
        <v>0</v>
      </c>
      <c r="AS30" s="299">
        <v>0</v>
      </c>
      <c r="AT30" s="299">
        <v>0</v>
      </c>
      <c r="AU30" s="299">
        <v>0</v>
      </c>
      <c r="AV30" s="299">
        <v>0</v>
      </c>
      <c r="AW30" s="299">
        <v>24</v>
      </c>
      <c r="AX30" s="299" t="s">
        <v>233</v>
      </c>
      <c r="AY30" s="299"/>
      <c r="AZ30" s="299" t="s">
        <v>233</v>
      </c>
      <c r="BA30" s="298" t="s">
        <v>429</v>
      </c>
      <c r="BB30" s="297"/>
      <c r="BC30" s="299"/>
      <c r="BD30" s="299" t="s">
        <v>183</v>
      </c>
      <c r="BE30" s="298"/>
      <c r="BF30" t="s">
        <v>194</v>
      </c>
      <c r="BG30" t="s">
        <v>181</v>
      </c>
    </row>
    <row r="31" spans="1:59" s="27" customFormat="1" x14ac:dyDescent="0.15">
      <c r="A31" s="148">
        <v>314</v>
      </c>
      <c r="B31" s="295">
        <v>41286</v>
      </c>
      <c r="C31" s="296" t="s">
        <v>278</v>
      </c>
      <c r="D31" s="297" t="s">
        <v>232</v>
      </c>
      <c r="E31" s="295">
        <v>42736</v>
      </c>
      <c r="F31" s="297" t="s">
        <v>222</v>
      </c>
      <c r="G31" s="297" t="s">
        <v>187</v>
      </c>
      <c r="H31" s="297">
        <v>67.09</v>
      </c>
      <c r="I31" s="191" t="s">
        <v>402</v>
      </c>
      <c r="J31" s="187">
        <v>1645</v>
      </c>
      <c r="K31" s="187">
        <v>3000</v>
      </c>
      <c r="L31" s="187">
        <v>3000</v>
      </c>
      <c r="M31" s="187">
        <v>3000</v>
      </c>
      <c r="N31" s="187"/>
      <c r="O31" s="297">
        <v>2.1869999999999998</v>
      </c>
      <c r="P31" s="297">
        <v>1.8160000000000001</v>
      </c>
      <c r="Q31" s="297">
        <v>0</v>
      </c>
      <c r="R31" s="297">
        <v>0</v>
      </c>
      <c r="S31" s="297">
        <v>1.536</v>
      </c>
      <c r="T31" s="297"/>
      <c r="U31" s="297">
        <v>2.153</v>
      </c>
      <c r="V31" s="297">
        <v>1.782</v>
      </c>
      <c r="W31" s="297">
        <v>0</v>
      </c>
      <c r="X31" s="297">
        <v>0</v>
      </c>
      <c r="Y31" s="297">
        <v>1.502</v>
      </c>
      <c r="Z31" s="297"/>
      <c r="AA31" s="297"/>
      <c r="AB31" s="297"/>
      <c r="AC31" s="297"/>
      <c r="AD31" s="297"/>
      <c r="AE31" s="297"/>
      <c r="AF31" s="297"/>
      <c r="AG31" s="299" t="s">
        <v>281</v>
      </c>
      <c r="AH31" s="299" t="s">
        <v>282</v>
      </c>
      <c r="AI31" s="192">
        <v>2</v>
      </c>
      <c r="AJ31" s="192">
        <v>4</v>
      </c>
      <c r="AK31" s="242">
        <v>0.33329999999999999</v>
      </c>
      <c r="AL31" s="242">
        <v>0.66659999999999997</v>
      </c>
      <c r="AM31" s="299">
        <v>0</v>
      </c>
      <c r="AN31" s="299">
        <v>0</v>
      </c>
      <c r="AO31" s="299">
        <v>0</v>
      </c>
      <c r="AP31" s="299">
        <v>0</v>
      </c>
      <c r="AQ31" s="299">
        <v>0</v>
      </c>
      <c r="AR31" s="299">
        <v>0</v>
      </c>
      <c r="AS31" s="299">
        <v>0</v>
      </c>
      <c r="AT31" s="299">
        <v>0</v>
      </c>
      <c r="AU31" s="299">
        <v>0</v>
      </c>
      <c r="AV31" s="299">
        <v>0</v>
      </c>
      <c r="AW31" s="297"/>
      <c r="AX31" s="299" t="s">
        <v>233</v>
      </c>
      <c r="AY31" s="299"/>
      <c r="AZ31" s="299" t="s">
        <v>233</v>
      </c>
      <c r="BA31" s="298" t="s">
        <v>195</v>
      </c>
      <c r="BB31" s="297" t="s">
        <v>178</v>
      </c>
      <c r="BC31" s="299">
        <v>50</v>
      </c>
      <c r="BD31" s="299" t="s">
        <v>183</v>
      </c>
      <c r="BE31" s="298"/>
      <c r="BF31" t="s">
        <v>238</v>
      </c>
      <c r="BG31" t="s">
        <v>181</v>
      </c>
    </row>
    <row r="32" spans="1:59" s="27" customFormat="1" x14ac:dyDescent="0.15">
      <c r="A32" s="148">
        <v>569</v>
      </c>
      <c r="B32" s="295">
        <v>41283</v>
      </c>
      <c r="C32" s="296" t="s">
        <v>278</v>
      </c>
      <c r="D32" s="297" t="s">
        <v>232</v>
      </c>
      <c r="E32" s="295">
        <v>42736</v>
      </c>
      <c r="F32" s="298" t="s">
        <v>224</v>
      </c>
      <c r="G32" s="297" t="s">
        <v>196</v>
      </c>
      <c r="H32" s="297">
        <v>68.88</v>
      </c>
      <c r="I32" s="191" t="s">
        <v>402</v>
      </c>
      <c r="J32" s="193">
        <v>4000</v>
      </c>
      <c r="K32" s="193">
        <v>12000</v>
      </c>
      <c r="L32" s="193">
        <v>12000</v>
      </c>
      <c r="M32" s="193">
        <v>12000</v>
      </c>
      <c r="N32" s="187"/>
      <c r="O32" s="297">
        <v>2.0649999999999999</v>
      </c>
      <c r="P32" s="297">
        <v>1.9910000000000001</v>
      </c>
      <c r="Q32" s="297">
        <v>0</v>
      </c>
      <c r="R32" s="297">
        <v>0</v>
      </c>
      <c r="S32" s="297">
        <v>1.6240000000000001</v>
      </c>
      <c r="T32" s="297"/>
      <c r="U32" s="297">
        <v>2.0649999999999999</v>
      </c>
      <c r="V32" s="297">
        <v>1.9910000000000001</v>
      </c>
      <c r="W32" s="297">
        <v>0</v>
      </c>
      <c r="X32" s="297">
        <v>0</v>
      </c>
      <c r="Y32" s="297">
        <v>1.6240000000000001</v>
      </c>
      <c r="Z32" s="297"/>
      <c r="AA32" s="297"/>
      <c r="AB32" s="297"/>
      <c r="AC32" s="297"/>
      <c r="AD32" s="297"/>
      <c r="AE32" s="297"/>
      <c r="AF32" s="297"/>
      <c r="AG32" s="299" t="s">
        <v>233</v>
      </c>
      <c r="AH32" s="299"/>
      <c r="AI32" s="192">
        <v>2</v>
      </c>
      <c r="AJ32" s="192">
        <v>4</v>
      </c>
      <c r="AK32" s="242">
        <v>0.33329999999999999</v>
      </c>
      <c r="AL32" s="242">
        <v>0.66659999999999997</v>
      </c>
      <c r="AM32" s="299">
        <v>0</v>
      </c>
      <c r="AN32" s="299">
        <v>0</v>
      </c>
      <c r="AO32" s="299">
        <v>0</v>
      </c>
      <c r="AP32" s="299">
        <v>13</v>
      </c>
      <c r="AQ32" s="299">
        <v>0</v>
      </c>
      <c r="AR32" s="299">
        <v>0</v>
      </c>
      <c r="AS32" s="299">
        <v>0</v>
      </c>
      <c r="AT32" s="299">
        <v>0</v>
      </c>
      <c r="AU32" s="299">
        <v>0</v>
      </c>
      <c r="AV32" s="299">
        <v>0</v>
      </c>
      <c r="AW32" s="297"/>
      <c r="AX32" s="299" t="s">
        <v>233</v>
      </c>
      <c r="AY32" s="299">
        <v>12</v>
      </c>
      <c r="AZ32" s="299" t="s">
        <v>233</v>
      </c>
      <c r="BA32" s="298"/>
      <c r="BB32" s="298"/>
      <c r="BC32" s="299"/>
      <c r="BD32" s="299" t="s">
        <v>179</v>
      </c>
      <c r="BE32" s="298"/>
      <c r="BF32" t="s">
        <v>200</v>
      </c>
      <c r="BG32" t="s">
        <v>189</v>
      </c>
    </row>
    <row r="33" spans="1:59" s="27" customFormat="1" x14ac:dyDescent="0.15">
      <c r="A33" s="148">
        <v>235</v>
      </c>
      <c r="B33" s="295">
        <v>41286</v>
      </c>
      <c r="C33" s="296" t="s">
        <v>278</v>
      </c>
      <c r="D33" s="297" t="s">
        <v>232</v>
      </c>
      <c r="E33" s="295">
        <v>42767</v>
      </c>
      <c r="F33" s="298" t="s">
        <v>226</v>
      </c>
      <c r="G33" s="297" t="s">
        <v>197</v>
      </c>
      <c r="H33" s="297">
        <v>71</v>
      </c>
      <c r="I33" s="191" t="s">
        <v>402</v>
      </c>
      <c r="J33" s="193">
        <v>3000</v>
      </c>
      <c r="K33" s="193">
        <v>3000</v>
      </c>
      <c r="L33" s="193">
        <v>3000</v>
      </c>
      <c r="M33" s="193">
        <v>3000</v>
      </c>
      <c r="N33" s="187"/>
      <c r="O33" s="297">
        <v>2.1720000000000002</v>
      </c>
      <c r="P33" s="297">
        <v>0</v>
      </c>
      <c r="Q33" s="297">
        <v>0</v>
      </c>
      <c r="R33" s="297">
        <v>0</v>
      </c>
      <c r="S33" s="297">
        <v>1.63</v>
      </c>
      <c r="T33" s="297"/>
      <c r="U33" s="297">
        <v>2.1720000000000002</v>
      </c>
      <c r="V33" s="297">
        <v>0</v>
      </c>
      <c r="W33" s="297">
        <v>0</v>
      </c>
      <c r="X33" s="297">
        <v>0</v>
      </c>
      <c r="Y33" s="297">
        <v>1.63</v>
      </c>
      <c r="Z33" s="297"/>
      <c r="AA33" s="297"/>
      <c r="AB33" s="297"/>
      <c r="AC33" s="297"/>
      <c r="AD33" s="297"/>
      <c r="AE33" s="297"/>
      <c r="AF33" s="297"/>
      <c r="AG33" s="299" t="s">
        <v>233</v>
      </c>
      <c r="AH33" s="299"/>
      <c r="AI33" s="192">
        <v>2</v>
      </c>
      <c r="AJ33" s="192">
        <v>4</v>
      </c>
      <c r="AK33" s="242">
        <v>0.33329999999999999</v>
      </c>
      <c r="AL33" s="242">
        <v>0.66659999999999997</v>
      </c>
      <c r="AM33" s="299">
        <v>0</v>
      </c>
      <c r="AN33" s="299">
        <v>0</v>
      </c>
      <c r="AO33" s="299">
        <v>10</v>
      </c>
      <c r="AP33" s="299">
        <v>0</v>
      </c>
      <c r="AQ33" s="299">
        <v>0</v>
      </c>
      <c r="AR33" s="299">
        <v>0</v>
      </c>
      <c r="AS33" s="299">
        <v>0</v>
      </c>
      <c r="AT33" s="299">
        <v>0</v>
      </c>
      <c r="AU33" s="299">
        <v>0</v>
      </c>
      <c r="AV33" s="299">
        <v>0</v>
      </c>
      <c r="AW33" s="299"/>
      <c r="AX33" s="299" t="s">
        <v>233</v>
      </c>
      <c r="AY33" s="299"/>
      <c r="AZ33" s="299" t="s">
        <v>233</v>
      </c>
      <c r="BA33" s="298"/>
      <c r="BB33" s="297"/>
      <c r="BC33" s="299"/>
      <c r="BD33" s="299" t="s">
        <v>183</v>
      </c>
      <c r="BE33" s="298"/>
      <c r="BF33" t="s">
        <v>342</v>
      </c>
      <c r="BG33" t="s">
        <v>189</v>
      </c>
    </row>
    <row r="34" spans="1:59" s="27" customFormat="1" x14ac:dyDescent="0.15">
      <c r="A34" s="148">
        <v>784</v>
      </c>
      <c r="B34" s="295">
        <v>41285</v>
      </c>
      <c r="C34" s="296" t="s">
        <v>278</v>
      </c>
      <c r="D34" s="297" t="s">
        <v>232</v>
      </c>
      <c r="E34" s="295">
        <v>42767</v>
      </c>
      <c r="F34" s="298" t="s">
        <v>227</v>
      </c>
      <c r="G34" s="297" t="s">
        <v>198</v>
      </c>
      <c r="H34" s="297">
        <v>72.08</v>
      </c>
      <c r="I34" s="191" t="s">
        <v>402</v>
      </c>
      <c r="J34" s="187">
        <v>1645</v>
      </c>
      <c r="K34" s="187">
        <v>3000</v>
      </c>
      <c r="L34" s="187">
        <v>3000</v>
      </c>
      <c r="M34" s="187">
        <v>3000</v>
      </c>
      <c r="N34" s="187"/>
      <c r="O34" s="297">
        <v>2.31</v>
      </c>
      <c r="P34" s="297">
        <v>1.98</v>
      </c>
      <c r="Q34" s="297">
        <v>0</v>
      </c>
      <c r="R34" s="297">
        <v>0</v>
      </c>
      <c r="S34" s="297">
        <v>1.69</v>
      </c>
      <c r="T34" s="297"/>
      <c r="U34" s="297">
        <v>2.31</v>
      </c>
      <c r="V34" s="297">
        <v>1.98</v>
      </c>
      <c r="W34" s="297">
        <v>0</v>
      </c>
      <c r="X34" s="297">
        <v>0</v>
      </c>
      <c r="Y34" s="297">
        <v>1.69</v>
      </c>
      <c r="Z34" s="297"/>
      <c r="AA34" s="297"/>
      <c r="AB34" s="297"/>
      <c r="AC34" s="297"/>
      <c r="AD34" s="297"/>
      <c r="AE34" s="297"/>
      <c r="AF34" s="297"/>
      <c r="AG34" s="299" t="s">
        <v>233</v>
      </c>
      <c r="AH34" s="299"/>
      <c r="AI34" s="192">
        <v>2</v>
      </c>
      <c r="AJ34" s="192">
        <v>4</v>
      </c>
      <c r="AK34" s="242">
        <v>0.33329999999999999</v>
      </c>
      <c r="AL34" s="242">
        <v>0.66659999999999997</v>
      </c>
      <c r="AM34" s="299">
        <v>0</v>
      </c>
      <c r="AN34" s="299">
        <v>0</v>
      </c>
      <c r="AO34" s="299">
        <v>0</v>
      </c>
      <c r="AP34" s="299">
        <v>15</v>
      </c>
      <c r="AQ34" s="299">
        <v>0</v>
      </c>
      <c r="AR34" s="299">
        <v>0</v>
      </c>
      <c r="AS34" s="299">
        <v>0</v>
      </c>
      <c r="AT34" s="299">
        <v>0</v>
      </c>
      <c r="AU34" s="299">
        <v>0</v>
      </c>
      <c r="AV34" s="299">
        <v>0</v>
      </c>
      <c r="AW34" s="299">
        <v>24</v>
      </c>
      <c r="AX34" s="299" t="s">
        <v>233</v>
      </c>
      <c r="AY34" s="299"/>
      <c r="AZ34" s="299" t="s">
        <v>233</v>
      </c>
      <c r="BA34" s="298" t="s">
        <v>199</v>
      </c>
      <c r="BB34" s="297" t="s">
        <v>152</v>
      </c>
      <c r="BC34" s="299">
        <v>25</v>
      </c>
      <c r="BD34" s="299" t="s">
        <v>183</v>
      </c>
      <c r="BE34" s="298"/>
      <c r="BF34" t="s">
        <v>160</v>
      </c>
      <c r="BG34" t="s">
        <v>189</v>
      </c>
    </row>
    <row r="35" spans="1:59" s="201" customFormat="1" x14ac:dyDescent="0.15">
      <c r="A35" s="148">
        <v>80</v>
      </c>
      <c r="B35" s="295">
        <v>41285</v>
      </c>
      <c r="C35" s="296" t="s">
        <v>278</v>
      </c>
      <c r="D35" s="297" t="s">
        <v>344</v>
      </c>
      <c r="E35" s="295">
        <v>42736</v>
      </c>
      <c r="F35" s="298" t="s">
        <v>280</v>
      </c>
      <c r="G35" s="297" t="s">
        <v>176</v>
      </c>
      <c r="H35" s="297">
        <v>71.45</v>
      </c>
      <c r="I35" s="199" t="s">
        <v>402</v>
      </c>
      <c r="J35" s="195">
        <v>1645</v>
      </c>
      <c r="K35" s="195">
        <v>3000</v>
      </c>
      <c r="L35" s="195">
        <v>3000</v>
      </c>
      <c r="M35" s="195">
        <v>3000</v>
      </c>
      <c r="N35" s="195"/>
      <c r="O35" s="297">
        <v>2.4009999999999998</v>
      </c>
      <c r="P35" s="297">
        <v>2.2930000000000001</v>
      </c>
      <c r="Q35" s="297">
        <v>0</v>
      </c>
      <c r="R35" s="297">
        <v>0</v>
      </c>
      <c r="S35" s="297">
        <v>1.5509999999999999</v>
      </c>
      <c r="T35" s="297"/>
      <c r="U35" s="297">
        <v>2.4009999999999998</v>
      </c>
      <c r="V35" s="297">
        <v>2.2930000000000001</v>
      </c>
      <c r="W35" s="297">
        <v>0</v>
      </c>
      <c r="X35" s="297">
        <v>0</v>
      </c>
      <c r="Y35" s="297">
        <v>1.5509999999999999</v>
      </c>
      <c r="Z35" s="297"/>
      <c r="AA35" s="297"/>
      <c r="AB35" s="297"/>
      <c r="AC35" s="297"/>
      <c r="AD35" s="297"/>
      <c r="AE35" s="297"/>
      <c r="AF35" s="297"/>
      <c r="AG35" s="299" t="s">
        <v>233</v>
      </c>
      <c r="AH35" s="299"/>
      <c r="AI35" s="192">
        <v>2</v>
      </c>
      <c r="AJ35" s="192">
        <v>4</v>
      </c>
      <c r="AK35" s="243">
        <v>0.33329999999999999</v>
      </c>
      <c r="AL35" s="243">
        <v>0.66659999999999997</v>
      </c>
      <c r="AM35" s="299">
        <v>0</v>
      </c>
      <c r="AN35" s="299">
        <v>0</v>
      </c>
      <c r="AO35" s="299">
        <v>0</v>
      </c>
      <c r="AP35" s="299">
        <v>15</v>
      </c>
      <c r="AQ35" s="299">
        <v>0</v>
      </c>
      <c r="AR35" s="299">
        <v>0</v>
      </c>
      <c r="AS35" s="299">
        <v>0</v>
      </c>
      <c r="AT35" s="299">
        <v>0</v>
      </c>
      <c r="AU35" s="299">
        <v>0</v>
      </c>
      <c r="AV35" s="299">
        <v>2</v>
      </c>
      <c r="AW35" s="299"/>
      <c r="AX35" s="299" t="s">
        <v>233</v>
      </c>
      <c r="AY35" s="299">
        <v>12</v>
      </c>
      <c r="AZ35" s="299" t="s">
        <v>233</v>
      </c>
      <c r="BA35" s="298" t="s">
        <v>177</v>
      </c>
      <c r="BB35" s="297" t="s">
        <v>178</v>
      </c>
      <c r="BC35" s="299">
        <v>50</v>
      </c>
      <c r="BD35" s="299" t="s">
        <v>179</v>
      </c>
      <c r="BE35" s="298"/>
      <c r="BF35" t="s">
        <v>161</v>
      </c>
      <c r="BG35" t="s">
        <v>181</v>
      </c>
    </row>
    <row r="36" spans="1:59" s="201" customFormat="1" x14ac:dyDescent="0.15">
      <c r="A36" s="148">
        <v>263</v>
      </c>
      <c r="B36" s="295">
        <v>41285</v>
      </c>
      <c r="C36" s="296" t="s">
        <v>278</v>
      </c>
      <c r="D36" s="297" t="s">
        <v>344</v>
      </c>
      <c r="E36" s="295">
        <v>42747</v>
      </c>
      <c r="F36" s="298" t="s">
        <v>286</v>
      </c>
      <c r="G36" s="297" t="s">
        <v>182</v>
      </c>
      <c r="H36" s="297">
        <v>71.180000000000007</v>
      </c>
      <c r="I36" s="199" t="s">
        <v>402</v>
      </c>
      <c r="J36" s="195">
        <v>1645</v>
      </c>
      <c r="K36" s="195">
        <v>3000</v>
      </c>
      <c r="L36" s="195">
        <v>3000</v>
      </c>
      <c r="M36" s="195">
        <v>3000</v>
      </c>
      <c r="N36" s="195"/>
      <c r="O36" s="297">
        <v>2.15</v>
      </c>
      <c r="P36" s="297">
        <v>2.15</v>
      </c>
      <c r="Q36" s="297">
        <v>0</v>
      </c>
      <c r="R36" s="297">
        <v>0</v>
      </c>
      <c r="S36" s="297">
        <v>1.7</v>
      </c>
      <c r="T36" s="297"/>
      <c r="U36" s="297">
        <v>2.15</v>
      </c>
      <c r="V36" s="297">
        <v>2.15</v>
      </c>
      <c r="W36" s="297">
        <v>0</v>
      </c>
      <c r="X36" s="297">
        <v>0</v>
      </c>
      <c r="Y36" s="297">
        <v>1.7</v>
      </c>
      <c r="Z36" s="297"/>
      <c r="AA36" s="297"/>
      <c r="AB36" s="297"/>
      <c r="AC36" s="297"/>
      <c r="AD36" s="297"/>
      <c r="AE36" s="297"/>
      <c r="AF36" s="297"/>
      <c r="AG36" s="299" t="s">
        <v>233</v>
      </c>
      <c r="AH36" s="299"/>
      <c r="AI36" s="192">
        <v>2</v>
      </c>
      <c r="AJ36" s="192">
        <v>4</v>
      </c>
      <c r="AK36" s="243">
        <v>0.33329999999999999</v>
      </c>
      <c r="AL36" s="243">
        <v>0.66659999999999997</v>
      </c>
      <c r="AM36" s="299">
        <v>0</v>
      </c>
      <c r="AN36" s="299">
        <v>0</v>
      </c>
      <c r="AO36" s="299">
        <v>0</v>
      </c>
      <c r="AP36" s="299">
        <v>15</v>
      </c>
      <c r="AQ36" s="299">
        <v>0</v>
      </c>
      <c r="AR36" s="299">
        <v>0</v>
      </c>
      <c r="AS36" s="299">
        <v>0</v>
      </c>
      <c r="AT36" s="299">
        <v>0</v>
      </c>
      <c r="AU36" s="299">
        <v>0</v>
      </c>
      <c r="AV36" s="299">
        <v>0</v>
      </c>
      <c r="AW36" s="297"/>
      <c r="AX36" s="299" t="s">
        <v>233</v>
      </c>
      <c r="AY36" s="299">
        <v>24</v>
      </c>
      <c r="AZ36" s="299" t="s">
        <v>233</v>
      </c>
      <c r="BA36" s="298"/>
      <c r="BB36" s="297"/>
      <c r="BC36" s="299"/>
      <c r="BD36" s="299" t="s">
        <v>183</v>
      </c>
      <c r="BE36" s="298"/>
      <c r="BF36" t="s">
        <v>184</v>
      </c>
      <c r="BG36" t="s">
        <v>181</v>
      </c>
    </row>
    <row r="37" spans="1:59" s="201" customFormat="1" x14ac:dyDescent="0.15">
      <c r="A37" s="148">
        <v>277</v>
      </c>
      <c r="B37" s="295">
        <v>41285</v>
      </c>
      <c r="C37" s="296" t="s">
        <v>278</v>
      </c>
      <c r="D37" s="297" t="s">
        <v>344</v>
      </c>
      <c r="E37" s="295">
        <v>42736</v>
      </c>
      <c r="F37" s="298" t="s">
        <v>288</v>
      </c>
      <c r="G37" s="297" t="s">
        <v>185</v>
      </c>
      <c r="H37" s="297">
        <v>73</v>
      </c>
      <c r="I37" s="199" t="s">
        <v>402</v>
      </c>
      <c r="J37" s="195">
        <v>1645</v>
      </c>
      <c r="K37" s="195">
        <v>3000</v>
      </c>
      <c r="L37" s="195">
        <v>3000</v>
      </c>
      <c r="M37" s="195">
        <v>3000</v>
      </c>
      <c r="N37" s="195"/>
      <c r="O37" s="297">
        <v>2.7</v>
      </c>
      <c r="P37" s="297">
        <v>2.2000000000000002</v>
      </c>
      <c r="Q37" s="297">
        <v>0</v>
      </c>
      <c r="R37" s="297">
        <v>0</v>
      </c>
      <c r="S37" s="297">
        <v>1.75</v>
      </c>
      <c r="T37" s="297"/>
      <c r="U37" s="297">
        <v>2.7</v>
      </c>
      <c r="V37" s="297">
        <v>2.2000000000000002</v>
      </c>
      <c r="W37" s="297">
        <v>0</v>
      </c>
      <c r="X37" s="297">
        <v>0</v>
      </c>
      <c r="Y37" s="297">
        <v>1.75</v>
      </c>
      <c r="Z37" s="297"/>
      <c r="AA37" s="297"/>
      <c r="AB37" s="297"/>
      <c r="AC37" s="297"/>
      <c r="AD37" s="297"/>
      <c r="AE37" s="297"/>
      <c r="AF37" s="297"/>
      <c r="AG37" s="299" t="s">
        <v>233</v>
      </c>
      <c r="AH37" s="299"/>
      <c r="AI37" s="192">
        <v>2</v>
      </c>
      <c r="AJ37" s="192">
        <v>4</v>
      </c>
      <c r="AK37" s="243">
        <v>0.33329999999999999</v>
      </c>
      <c r="AL37" s="243">
        <v>0.66659999999999997</v>
      </c>
      <c r="AM37" s="299">
        <v>0</v>
      </c>
      <c r="AN37" s="299">
        <v>0</v>
      </c>
      <c r="AO37" s="299">
        <v>14</v>
      </c>
      <c r="AP37" s="299">
        <v>0</v>
      </c>
      <c r="AQ37" s="299">
        <v>0</v>
      </c>
      <c r="AR37" s="299">
        <v>0</v>
      </c>
      <c r="AS37" s="299">
        <v>0</v>
      </c>
      <c r="AT37" s="299">
        <v>0</v>
      </c>
      <c r="AU37" s="299">
        <v>0</v>
      </c>
      <c r="AV37" s="299">
        <v>0</v>
      </c>
      <c r="AW37" s="297"/>
      <c r="AX37" s="299" t="s">
        <v>233</v>
      </c>
      <c r="AY37" s="299"/>
      <c r="AZ37" s="299" t="s">
        <v>233</v>
      </c>
      <c r="BA37" s="298"/>
      <c r="BB37" s="297"/>
      <c r="BC37" s="299"/>
      <c r="BD37" s="299" t="s">
        <v>179</v>
      </c>
      <c r="BE37" s="298" t="s">
        <v>186</v>
      </c>
      <c r="BF37" t="s">
        <v>346</v>
      </c>
      <c r="BG37" t="s">
        <v>181</v>
      </c>
    </row>
    <row r="38" spans="1:59" s="201" customFormat="1" x14ac:dyDescent="0.15">
      <c r="A38" s="148">
        <v>329</v>
      </c>
      <c r="B38" s="295">
        <v>41285</v>
      </c>
      <c r="C38" s="296" t="s">
        <v>278</v>
      </c>
      <c r="D38" s="297" t="s">
        <v>344</v>
      </c>
      <c r="E38" s="295">
        <v>42767</v>
      </c>
      <c r="F38" s="298" t="s">
        <v>600</v>
      </c>
      <c r="G38" s="297" t="s">
        <v>187</v>
      </c>
      <c r="H38" s="297">
        <v>69</v>
      </c>
      <c r="I38" s="199" t="s">
        <v>402</v>
      </c>
      <c r="J38" s="195">
        <v>1645</v>
      </c>
      <c r="K38" s="195">
        <v>3000</v>
      </c>
      <c r="L38" s="195">
        <v>3000</v>
      </c>
      <c r="M38" s="195">
        <v>3000</v>
      </c>
      <c r="N38" s="195"/>
      <c r="O38" s="297">
        <v>3.47</v>
      </c>
      <c r="P38" s="297">
        <v>2.89</v>
      </c>
      <c r="Q38" s="297">
        <v>0</v>
      </c>
      <c r="R38" s="297">
        <v>0</v>
      </c>
      <c r="S38" s="297">
        <v>2.2799999999999998</v>
      </c>
      <c r="T38" s="297"/>
      <c r="U38" s="297">
        <v>3.47</v>
      </c>
      <c r="V38" s="297">
        <v>2.89</v>
      </c>
      <c r="W38" s="297">
        <v>0</v>
      </c>
      <c r="X38" s="297">
        <v>0</v>
      </c>
      <c r="Y38" s="297">
        <v>2.2799999999999998</v>
      </c>
      <c r="Z38" s="297"/>
      <c r="AA38" s="297"/>
      <c r="AB38" s="297"/>
      <c r="AC38" s="297"/>
      <c r="AD38" s="297"/>
      <c r="AE38" s="297"/>
      <c r="AF38" s="297"/>
      <c r="AG38" s="299" t="s">
        <v>233</v>
      </c>
      <c r="AH38" s="299"/>
      <c r="AI38" s="192">
        <v>2</v>
      </c>
      <c r="AJ38" s="192">
        <v>4</v>
      </c>
      <c r="AK38" s="243">
        <v>0.33329999999999999</v>
      </c>
      <c r="AL38" s="243">
        <v>0.66659999999999997</v>
      </c>
      <c r="AM38" s="299">
        <v>0</v>
      </c>
      <c r="AN38" s="299">
        <v>0</v>
      </c>
      <c r="AO38" s="299">
        <v>0</v>
      </c>
      <c r="AP38" s="299">
        <v>16</v>
      </c>
      <c r="AQ38" s="299">
        <v>0</v>
      </c>
      <c r="AR38" s="299">
        <v>0</v>
      </c>
      <c r="AS38" s="299">
        <v>0</v>
      </c>
      <c r="AT38" s="299">
        <v>0</v>
      </c>
      <c r="AU38" s="299">
        <v>0</v>
      </c>
      <c r="AV38" s="299">
        <v>0</v>
      </c>
      <c r="AW38" s="299">
        <v>12</v>
      </c>
      <c r="AX38" s="299" t="s">
        <v>281</v>
      </c>
      <c r="AY38" s="299"/>
      <c r="AZ38" s="299" t="s">
        <v>233</v>
      </c>
      <c r="BA38" s="298"/>
      <c r="BB38" s="297"/>
      <c r="BC38" s="299"/>
      <c r="BD38" s="299" t="s">
        <v>183</v>
      </c>
      <c r="BE38" s="298"/>
      <c r="BF38" t="s">
        <v>158</v>
      </c>
      <c r="BG38" t="s">
        <v>189</v>
      </c>
    </row>
    <row r="39" spans="1:59" s="201" customFormat="1" x14ac:dyDescent="0.15">
      <c r="A39" s="148">
        <v>881</v>
      </c>
      <c r="B39" s="295">
        <v>41286</v>
      </c>
      <c r="C39" s="296" t="s">
        <v>278</v>
      </c>
      <c r="D39" s="297" t="s">
        <v>344</v>
      </c>
      <c r="E39" s="295">
        <v>42711</v>
      </c>
      <c r="F39" s="298" t="s">
        <v>290</v>
      </c>
      <c r="G39" s="297" t="s">
        <v>187</v>
      </c>
      <c r="H39" s="297">
        <v>67.8</v>
      </c>
      <c r="I39" s="199" t="s">
        <v>402</v>
      </c>
      <c r="J39" s="202">
        <v>3200</v>
      </c>
      <c r="K39" s="202">
        <v>3200</v>
      </c>
      <c r="L39" s="202">
        <v>3200</v>
      </c>
      <c r="M39" s="202">
        <v>3200</v>
      </c>
      <c r="N39" s="195"/>
      <c r="O39" s="297">
        <v>2.17</v>
      </c>
      <c r="P39" s="297">
        <v>0</v>
      </c>
      <c r="Q39" s="297">
        <v>0</v>
      </c>
      <c r="R39" s="297">
        <v>0</v>
      </c>
      <c r="S39" s="297">
        <v>1.72</v>
      </c>
      <c r="T39" s="297"/>
      <c r="U39" s="297">
        <v>2.17</v>
      </c>
      <c r="V39" s="297">
        <v>0</v>
      </c>
      <c r="W39" s="297">
        <v>0</v>
      </c>
      <c r="X39" s="297">
        <v>0</v>
      </c>
      <c r="Y39" s="297">
        <v>1.72</v>
      </c>
      <c r="Z39" s="297"/>
      <c r="AA39" s="297"/>
      <c r="AB39" s="297"/>
      <c r="AC39" s="297"/>
      <c r="AD39" s="297"/>
      <c r="AE39" s="297"/>
      <c r="AF39" s="297"/>
      <c r="AG39" s="299" t="s">
        <v>281</v>
      </c>
      <c r="AH39" s="299" t="s">
        <v>282</v>
      </c>
      <c r="AI39" s="192">
        <v>2</v>
      </c>
      <c r="AJ39" s="192">
        <v>4</v>
      </c>
      <c r="AK39" s="243">
        <v>0.33329999999999999</v>
      </c>
      <c r="AL39" s="243">
        <v>0.66659999999999997</v>
      </c>
      <c r="AM39" s="299">
        <v>0</v>
      </c>
      <c r="AN39" s="299">
        <v>0</v>
      </c>
      <c r="AO39" s="299">
        <v>0</v>
      </c>
      <c r="AP39" s="299">
        <v>0</v>
      </c>
      <c r="AQ39" s="299">
        <v>0</v>
      </c>
      <c r="AR39" s="299">
        <v>20</v>
      </c>
      <c r="AS39" s="299">
        <v>0</v>
      </c>
      <c r="AT39" s="299">
        <v>0</v>
      </c>
      <c r="AU39" s="299">
        <v>0</v>
      </c>
      <c r="AV39" s="299">
        <v>0</v>
      </c>
      <c r="AW39" s="297"/>
      <c r="AX39" s="299" t="s">
        <v>233</v>
      </c>
      <c r="AY39" s="299"/>
      <c r="AZ39" s="299" t="s">
        <v>233</v>
      </c>
      <c r="BA39" s="298"/>
      <c r="BB39" s="297"/>
      <c r="BC39" s="299"/>
      <c r="BD39" s="299" t="s">
        <v>183</v>
      </c>
      <c r="BE39" s="298"/>
      <c r="BF39" t="s">
        <v>236</v>
      </c>
      <c r="BG39" t="s">
        <v>189</v>
      </c>
    </row>
    <row r="40" spans="1:59" s="201" customFormat="1" x14ac:dyDescent="0.15">
      <c r="A40" s="148">
        <v>161</v>
      </c>
      <c r="B40" s="295">
        <v>41286</v>
      </c>
      <c r="C40" s="296" t="s">
        <v>278</v>
      </c>
      <c r="D40" s="297" t="s">
        <v>344</v>
      </c>
      <c r="E40" s="295">
        <v>42737</v>
      </c>
      <c r="F40" s="298" t="s">
        <v>217</v>
      </c>
      <c r="G40" s="297" t="s">
        <v>190</v>
      </c>
      <c r="H40" s="297">
        <v>74</v>
      </c>
      <c r="I40" s="199" t="s">
        <v>402</v>
      </c>
      <c r="J40" s="195">
        <v>1645</v>
      </c>
      <c r="K40" s="195">
        <v>3000</v>
      </c>
      <c r="L40" s="195">
        <v>3000</v>
      </c>
      <c r="M40" s="195">
        <v>3000</v>
      </c>
      <c r="N40" s="195"/>
      <c r="O40" s="297">
        <v>2.79</v>
      </c>
      <c r="P40" s="297">
        <v>2.1800000000000002</v>
      </c>
      <c r="Q40" s="297">
        <v>0</v>
      </c>
      <c r="R40" s="297">
        <v>0</v>
      </c>
      <c r="S40" s="297">
        <v>1.61</v>
      </c>
      <c r="T40" s="297"/>
      <c r="U40" s="297">
        <v>2.79</v>
      </c>
      <c r="V40" s="297">
        <v>2.1800000000000002</v>
      </c>
      <c r="W40" s="297">
        <v>0</v>
      </c>
      <c r="X40" s="297">
        <v>0</v>
      </c>
      <c r="Y40" s="297">
        <v>1.61</v>
      </c>
      <c r="Z40" s="297"/>
      <c r="AA40" s="297"/>
      <c r="AB40" s="297"/>
      <c r="AC40" s="297"/>
      <c r="AD40" s="297"/>
      <c r="AE40" s="297"/>
      <c r="AF40" s="297"/>
      <c r="AG40" s="299" t="s">
        <v>281</v>
      </c>
      <c r="AH40" s="299" t="s">
        <v>282</v>
      </c>
      <c r="AI40" s="192">
        <v>2</v>
      </c>
      <c r="AJ40" s="192">
        <v>4</v>
      </c>
      <c r="AK40" s="243">
        <v>0.33329999999999999</v>
      </c>
      <c r="AL40" s="243">
        <v>0.66659999999999997</v>
      </c>
      <c r="AM40" s="299">
        <v>0</v>
      </c>
      <c r="AN40" s="299">
        <v>0</v>
      </c>
      <c r="AO40" s="299">
        <v>0</v>
      </c>
      <c r="AP40" s="299">
        <v>16</v>
      </c>
      <c r="AQ40" s="299">
        <v>0</v>
      </c>
      <c r="AR40" s="299">
        <v>0</v>
      </c>
      <c r="AS40" s="299">
        <v>0</v>
      </c>
      <c r="AT40" s="299">
        <v>4</v>
      </c>
      <c r="AU40" s="299">
        <v>0</v>
      </c>
      <c r="AV40" s="299">
        <v>0</v>
      </c>
      <c r="AW40" s="297"/>
      <c r="AX40" s="299" t="s">
        <v>233</v>
      </c>
      <c r="AY40" s="299">
        <v>12</v>
      </c>
      <c r="AZ40" s="299" t="s">
        <v>233</v>
      </c>
      <c r="BA40" s="298"/>
      <c r="BB40" s="298"/>
      <c r="BC40" s="300"/>
      <c r="BD40" s="299" t="s">
        <v>179</v>
      </c>
      <c r="BE40" s="298" t="s">
        <v>191</v>
      </c>
      <c r="BF40" s="301" t="s">
        <v>162</v>
      </c>
      <c r="BG40" t="s">
        <v>181</v>
      </c>
    </row>
    <row r="41" spans="1:59" s="201" customFormat="1" x14ac:dyDescent="0.15">
      <c r="A41" s="148">
        <v>175</v>
      </c>
      <c r="B41" s="295">
        <v>41286</v>
      </c>
      <c r="C41" s="296" t="s">
        <v>278</v>
      </c>
      <c r="D41" s="297" t="s">
        <v>344</v>
      </c>
      <c r="E41" s="295">
        <v>42736</v>
      </c>
      <c r="F41" s="298" t="s">
        <v>220</v>
      </c>
      <c r="G41" s="297" t="s">
        <v>193</v>
      </c>
      <c r="H41" s="297">
        <v>65.819999999999993</v>
      </c>
      <c r="I41" s="199" t="s">
        <v>402</v>
      </c>
      <c r="J41" s="195">
        <v>1645</v>
      </c>
      <c r="K41" s="195">
        <v>3000</v>
      </c>
      <c r="L41" s="195">
        <v>3000</v>
      </c>
      <c r="M41" s="195">
        <v>3000</v>
      </c>
      <c r="N41" s="195"/>
      <c r="O41" s="297">
        <v>2.7130000000000001</v>
      </c>
      <c r="P41" s="297">
        <v>2.1930000000000001</v>
      </c>
      <c r="Q41" s="297">
        <v>0</v>
      </c>
      <c r="R41" s="297">
        <v>0</v>
      </c>
      <c r="S41" s="297">
        <v>1.782</v>
      </c>
      <c r="T41" s="297"/>
      <c r="U41" s="297">
        <v>2.7130000000000001</v>
      </c>
      <c r="V41" s="297">
        <v>2.1930000000000001</v>
      </c>
      <c r="W41" s="297">
        <v>0</v>
      </c>
      <c r="X41" s="297">
        <v>0</v>
      </c>
      <c r="Y41" s="297">
        <v>1.782</v>
      </c>
      <c r="Z41" s="297"/>
      <c r="AA41" s="297"/>
      <c r="AB41" s="297"/>
      <c r="AC41" s="297"/>
      <c r="AD41" s="297"/>
      <c r="AE41" s="297"/>
      <c r="AF41" s="297"/>
      <c r="AG41" s="299" t="s">
        <v>233</v>
      </c>
      <c r="AH41" s="299"/>
      <c r="AI41" s="192">
        <v>2</v>
      </c>
      <c r="AJ41" s="192">
        <v>4</v>
      </c>
      <c r="AK41" s="243">
        <v>0.33329999999999999</v>
      </c>
      <c r="AL41" s="243">
        <v>0.66659999999999997</v>
      </c>
      <c r="AM41" s="299">
        <v>0</v>
      </c>
      <c r="AN41" s="299">
        <v>0</v>
      </c>
      <c r="AO41" s="299">
        <v>15</v>
      </c>
      <c r="AP41" s="299">
        <v>0</v>
      </c>
      <c r="AQ41" s="299">
        <v>0</v>
      </c>
      <c r="AR41" s="299">
        <v>0</v>
      </c>
      <c r="AS41" s="299">
        <v>0</v>
      </c>
      <c r="AT41" s="299">
        <v>0</v>
      </c>
      <c r="AU41" s="299">
        <v>0</v>
      </c>
      <c r="AV41" s="299">
        <v>0</v>
      </c>
      <c r="AW41" s="299">
        <v>24</v>
      </c>
      <c r="AX41" s="299" t="s">
        <v>233</v>
      </c>
      <c r="AY41" s="299"/>
      <c r="AZ41" s="299" t="s">
        <v>233</v>
      </c>
      <c r="BA41" s="298" t="s">
        <v>429</v>
      </c>
      <c r="BB41" s="297"/>
      <c r="BC41" s="299"/>
      <c r="BD41" s="299" t="s">
        <v>183</v>
      </c>
      <c r="BE41" s="298"/>
      <c r="BF41" t="s">
        <v>194</v>
      </c>
      <c r="BG41" t="s">
        <v>181</v>
      </c>
    </row>
    <row r="42" spans="1:59" s="201" customFormat="1" x14ac:dyDescent="0.15">
      <c r="A42" s="148">
        <v>316</v>
      </c>
      <c r="B42" s="295">
        <v>41286</v>
      </c>
      <c r="C42" s="296" t="s">
        <v>278</v>
      </c>
      <c r="D42" s="297" t="s">
        <v>344</v>
      </c>
      <c r="E42" s="295">
        <v>42736</v>
      </c>
      <c r="F42" s="297" t="s">
        <v>222</v>
      </c>
      <c r="G42" s="297" t="s">
        <v>187</v>
      </c>
      <c r="H42" s="297">
        <v>65.38</v>
      </c>
      <c r="I42" s="199" t="s">
        <v>402</v>
      </c>
      <c r="J42" s="195">
        <v>1645</v>
      </c>
      <c r="K42" s="195">
        <v>3000</v>
      </c>
      <c r="L42" s="195">
        <v>3000</v>
      </c>
      <c r="M42" s="195">
        <v>3000</v>
      </c>
      <c r="N42" s="195"/>
      <c r="O42" s="297">
        <v>2.2730000000000001</v>
      </c>
      <c r="P42" s="297">
        <v>1.8380000000000001</v>
      </c>
      <c r="Q42" s="297">
        <v>0</v>
      </c>
      <c r="R42" s="297">
        <v>0</v>
      </c>
      <c r="S42" s="297">
        <v>1.526</v>
      </c>
      <c r="T42" s="297"/>
      <c r="U42" s="297">
        <v>2.2389999999999999</v>
      </c>
      <c r="V42" s="297">
        <v>1.8049999999999999</v>
      </c>
      <c r="W42" s="297">
        <v>0</v>
      </c>
      <c r="X42" s="297">
        <v>0</v>
      </c>
      <c r="Y42" s="297">
        <v>1.492</v>
      </c>
      <c r="Z42" s="297"/>
      <c r="AA42" s="297"/>
      <c r="AB42" s="297"/>
      <c r="AC42" s="297"/>
      <c r="AD42" s="297"/>
      <c r="AE42" s="297"/>
      <c r="AF42" s="297"/>
      <c r="AG42" s="299" t="s">
        <v>281</v>
      </c>
      <c r="AH42" s="299" t="s">
        <v>282</v>
      </c>
      <c r="AI42" s="192">
        <v>2</v>
      </c>
      <c r="AJ42" s="192">
        <v>4</v>
      </c>
      <c r="AK42" s="243">
        <v>0.33329999999999999</v>
      </c>
      <c r="AL42" s="243">
        <v>0.66659999999999997</v>
      </c>
      <c r="AM42" s="299">
        <v>0</v>
      </c>
      <c r="AN42" s="299">
        <v>0</v>
      </c>
      <c r="AO42" s="299">
        <v>0</v>
      </c>
      <c r="AP42" s="299">
        <v>0</v>
      </c>
      <c r="AQ42" s="299">
        <v>0</v>
      </c>
      <c r="AR42" s="299">
        <v>0</v>
      </c>
      <c r="AS42" s="299">
        <v>0</v>
      </c>
      <c r="AT42" s="299">
        <v>0</v>
      </c>
      <c r="AU42" s="299">
        <v>0</v>
      </c>
      <c r="AV42" s="299">
        <v>0</v>
      </c>
      <c r="AW42" s="297"/>
      <c r="AX42" s="299" t="s">
        <v>233</v>
      </c>
      <c r="AY42" s="299"/>
      <c r="AZ42" s="299" t="s">
        <v>233</v>
      </c>
      <c r="BA42" s="298" t="s">
        <v>195</v>
      </c>
      <c r="BB42" s="297" t="s">
        <v>178</v>
      </c>
      <c r="BC42" s="299">
        <v>50</v>
      </c>
      <c r="BD42" s="299" t="s">
        <v>183</v>
      </c>
      <c r="BE42" s="298"/>
      <c r="BF42" t="s">
        <v>238</v>
      </c>
      <c r="BG42" t="s">
        <v>181</v>
      </c>
    </row>
    <row r="43" spans="1:59" s="201" customFormat="1" x14ac:dyDescent="0.15">
      <c r="A43" s="148">
        <v>571</v>
      </c>
      <c r="B43" s="295">
        <v>41283</v>
      </c>
      <c r="C43" s="296" t="s">
        <v>278</v>
      </c>
      <c r="D43" s="297" t="s">
        <v>344</v>
      </c>
      <c r="E43" s="295">
        <v>42736</v>
      </c>
      <c r="F43" s="298" t="s">
        <v>224</v>
      </c>
      <c r="G43" s="297" t="s">
        <v>196</v>
      </c>
      <c r="H43" s="297">
        <v>68.91</v>
      </c>
      <c r="I43" s="199" t="s">
        <v>402</v>
      </c>
      <c r="J43" s="202">
        <v>4000</v>
      </c>
      <c r="K43" s="202">
        <v>12000</v>
      </c>
      <c r="L43" s="202">
        <v>12000</v>
      </c>
      <c r="M43" s="202">
        <v>12000</v>
      </c>
      <c r="N43" s="195"/>
      <c r="O43" s="297">
        <v>2.1429999999999998</v>
      </c>
      <c r="P43" s="297">
        <v>1.929</v>
      </c>
      <c r="Q43" s="297">
        <v>0</v>
      </c>
      <c r="R43" s="297">
        <v>0</v>
      </c>
      <c r="S43" s="297">
        <v>1.6839999999999999</v>
      </c>
      <c r="T43" s="297"/>
      <c r="U43" s="297">
        <v>2.1429999999999998</v>
      </c>
      <c r="V43" s="297">
        <v>1.929</v>
      </c>
      <c r="W43" s="297">
        <v>0</v>
      </c>
      <c r="X43" s="297">
        <v>0</v>
      </c>
      <c r="Y43" s="297">
        <v>1.6839999999999999</v>
      </c>
      <c r="Z43" s="297"/>
      <c r="AA43" s="297"/>
      <c r="AB43" s="297"/>
      <c r="AC43" s="297"/>
      <c r="AD43" s="297"/>
      <c r="AE43" s="297"/>
      <c r="AF43" s="297"/>
      <c r="AG43" s="299" t="s">
        <v>233</v>
      </c>
      <c r="AH43" s="299"/>
      <c r="AI43" s="192">
        <v>2</v>
      </c>
      <c r="AJ43" s="192">
        <v>4</v>
      </c>
      <c r="AK43" s="243">
        <v>0.33329999999999999</v>
      </c>
      <c r="AL43" s="243">
        <v>0.66659999999999997</v>
      </c>
      <c r="AM43" s="299">
        <v>0</v>
      </c>
      <c r="AN43" s="299">
        <v>0</v>
      </c>
      <c r="AO43" s="299">
        <v>0</v>
      </c>
      <c r="AP43" s="299">
        <v>13</v>
      </c>
      <c r="AQ43" s="299">
        <v>0</v>
      </c>
      <c r="AR43" s="299">
        <v>0</v>
      </c>
      <c r="AS43" s="299">
        <v>0</v>
      </c>
      <c r="AT43" s="299">
        <v>0</v>
      </c>
      <c r="AU43" s="299">
        <v>0</v>
      </c>
      <c r="AV43" s="299">
        <v>0</v>
      </c>
      <c r="AW43" s="297"/>
      <c r="AX43" s="299" t="s">
        <v>233</v>
      </c>
      <c r="AY43" s="299">
        <v>12</v>
      </c>
      <c r="AZ43" s="299" t="s">
        <v>233</v>
      </c>
      <c r="BA43" s="298"/>
      <c r="BB43" s="298"/>
      <c r="BC43" s="299"/>
      <c r="BD43" s="299" t="s">
        <v>179</v>
      </c>
      <c r="BE43" s="298"/>
      <c r="BF43" t="s">
        <v>203</v>
      </c>
      <c r="BG43" t="s">
        <v>189</v>
      </c>
    </row>
    <row r="44" spans="1:59" s="201" customFormat="1" x14ac:dyDescent="0.15">
      <c r="A44" s="148">
        <v>237</v>
      </c>
      <c r="B44" s="295">
        <v>41286</v>
      </c>
      <c r="C44" s="296" t="s">
        <v>278</v>
      </c>
      <c r="D44" s="297" t="s">
        <v>344</v>
      </c>
      <c r="E44" s="295">
        <v>42767</v>
      </c>
      <c r="F44" s="298" t="s">
        <v>226</v>
      </c>
      <c r="G44" s="297" t="s">
        <v>197</v>
      </c>
      <c r="H44" s="297">
        <v>71</v>
      </c>
      <c r="I44" s="199" t="s">
        <v>402</v>
      </c>
      <c r="J44" s="202">
        <v>3000</v>
      </c>
      <c r="K44" s="202">
        <v>3000</v>
      </c>
      <c r="L44" s="202">
        <v>3000</v>
      </c>
      <c r="M44" s="202">
        <v>3000</v>
      </c>
      <c r="N44" s="195"/>
      <c r="O44" s="297">
        <v>2.1789999999999998</v>
      </c>
      <c r="P44" s="297">
        <v>0</v>
      </c>
      <c r="Q44" s="297">
        <v>0</v>
      </c>
      <c r="R44" s="297">
        <v>0</v>
      </c>
      <c r="S44" s="297">
        <v>1.579</v>
      </c>
      <c r="T44" s="297"/>
      <c r="U44" s="297">
        <v>2.1789999999999998</v>
      </c>
      <c r="V44" s="297">
        <v>0</v>
      </c>
      <c r="W44" s="297">
        <v>0</v>
      </c>
      <c r="X44" s="297">
        <v>0</v>
      </c>
      <c r="Y44" s="297">
        <v>1.579</v>
      </c>
      <c r="Z44" s="297"/>
      <c r="AA44" s="297"/>
      <c r="AB44" s="297"/>
      <c r="AC44" s="297"/>
      <c r="AD44" s="297"/>
      <c r="AE44" s="297"/>
      <c r="AF44" s="297"/>
      <c r="AG44" s="299" t="s">
        <v>233</v>
      </c>
      <c r="AH44" s="299"/>
      <c r="AI44" s="200">
        <v>2</v>
      </c>
      <c r="AJ44" s="200">
        <v>4</v>
      </c>
      <c r="AK44" s="243">
        <v>0.33329999999999999</v>
      </c>
      <c r="AL44" s="243">
        <v>0.66659999999999997</v>
      </c>
      <c r="AM44" s="299">
        <v>0</v>
      </c>
      <c r="AN44" s="299">
        <v>0</v>
      </c>
      <c r="AO44" s="299">
        <v>10</v>
      </c>
      <c r="AP44" s="299">
        <v>0</v>
      </c>
      <c r="AQ44" s="299">
        <v>0</v>
      </c>
      <c r="AR44" s="299">
        <v>0</v>
      </c>
      <c r="AS44" s="299">
        <v>0</v>
      </c>
      <c r="AT44" s="299">
        <v>0</v>
      </c>
      <c r="AU44" s="299">
        <v>0</v>
      </c>
      <c r="AV44" s="299">
        <v>0</v>
      </c>
      <c r="AW44" s="299"/>
      <c r="AX44" s="299" t="s">
        <v>233</v>
      </c>
      <c r="AY44" s="299"/>
      <c r="AZ44" s="299" t="s">
        <v>233</v>
      </c>
      <c r="BA44" s="298"/>
      <c r="BB44" s="297"/>
      <c r="BC44" s="299"/>
      <c r="BD44" s="299" t="s">
        <v>183</v>
      </c>
      <c r="BE44" s="298"/>
      <c r="BF44" t="s">
        <v>349</v>
      </c>
      <c r="BG44" t="s">
        <v>189</v>
      </c>
    </row>
    <row r="45" spans="1:59" s="201" customFormat="1" x14ac:dyDescent="0.15">
      <c r="A45" s="148">
        <v>790</v>
      </c>
      <c r="B45" s="295">
        <v>41285</v>
      </c>
      <c r="C45" s="296" t="s">
        <v>278</v>
      </c>
      <c r="D45" s="297" t="s">
        <v>344</v>
      </c>
      <c r="E45" s="295">
        <v>42767</v>
      </c>
      <c r="F45" s="298" t="s">
        <v>227</v>
      </c>
      <c r="G45" s="297" t="s">
        <v>198</v>
      </c>
      <c r="H45" s="297">
        <v>72.08</v>
      </c>
      <c r="I45" s="199" t="s">
        <v>402</v>
      </c>
      <c r="J45" s="195">
        <v>1645</v>
      </c>
      <c r="K45" s="195">
        <v>3000</v>
      </c>
      <c r="L45" s="195">
        <v>3000</v>
      </c>
      <c r="M45" s="195">
        <v>3000</v>
      </c>
      <c r="N45" s="195"/>
      <c r="O45" s="297">
        <v>2.34</v>
      </c>
      <c r="P45" s="297">
        <v>1.97</v>
      </c>
      <c r="Q45" s="297">
        <v>0</v>
      </c>
      <c r="R45" s="297">
        <v>0</v>
      </c>
      <c r="S45" s="297">
        <v>1.65</v>
      </c>
      <c r="T45" s="297"/>
      <c r="U45" s="297">
        <v>2.34</v>
      </c>
      <c r="V45" s="297">
        <v>1.97</v>
      </c>
      <c r="W45" s="297">
        <v>0</v>
      </c>
      <c r="X45" s="297">
        <v>0</v>
      </c>
      <c r="Y45" s="297">
        <v>1.65</v>
      </c>
      <c r="Z45" s="297"/>
      <c r="AA45" s="297"/>
      <c r="AB45" s="297"/>
      <c r="AC45" s="297"/>
      <c r="AD45" s="297"/>
      <c r="AE45" s="297"/>
      <c r="AF45" s="297"/>
      <c r="AG45" s="299" t="s">
        <v>233</v>
      </c>
      <c r="AH45" s="299"/>
      <c r="AI45" s="192">
        <v>2</v>
      </c>
      <c r="AJ45" s="192">
        <v>4</v>
      </c>
      <c r="AK45" s="243">
        <v>0.33329999999999999</v>
      </c>
      <c r="AL45" s="243">
        <v>0.66659999999999997</v>
      </c>
      <c r="AM45" s="299">
        <v>0</v>
      </c>
      <c r="AN45" s="299">
        <v>0</v>
      </c>
      <c r="AO45" s="299">
        <v>0</v>
      </c>
      <c r="AP45" s="299">
        <v>15</v>
      </c>
      <c r="AQ45" s="299">
        <v>0</v>
      </c>
      <c r="AR45" s="299">
        <v>0</v>
      </c>
      <c r="AS45" s="299">
        <v>0</v>
      </c>
      <c r="AT45" s="299">
        <v>0</v>
      </c>
      <c r="AU45" s="299">
        <v>0</v>
      </c>
      <c r="AV45" s="299">
        <v>0</v>
      </c>
      <c r="AW45" s="299">
        <v>24</v>
      </c>
      <c r="AX45" s="299" t="s">
        <v>233</v>
      </c>
      <c r="AY45" s="299"/>
      <c r="AZ45" s="299" t="s">
        <v>233</v>
      </c>
      <c r="BA45" s="298" t="s">
        <v>199</v>
      </c>
      <c r="BB45" s="297" t="s">
        <v>152</v>
      </c>
      <c r="BC45" s="299">
        <v>25</v>
      </c>
      <c r="BD45" s="299" t="s">
        <v>183</v>
      </c>
      <c r="BE45" s="298"/>
      <c r="BF45" t="s">
        <v>163</v>
      </c>
      <c r="BG45" t="s">
        <v>189</v>
      </c>
    </row>
    <row r="46" spans="1:59" s="237" customFormat="1" x14ac:dyDescent="0.15">
      <c r="A46" s="148">
        <v>79</v>
      </c>
      <c r="B46" s="295">
        <v>41285</v>
      </c>
      <c r="C46" s="296" t="s">
        <v>278</v>
      </c>
      <c r="D46" s="297" t="s">
        <v>205</v>
      </c>
      <c r="E46" s="295">
        <v>42736</v>
      </c>
      <c r="F46" s="298" t="s">
        <v>280</v>
      </c>
      <c r="G46" s="297" t="s">
        <v>176</v>
      </c>
      <c r="H46" s="297">
        <v>73.569999999999993</v>
      </c>
      <c r="I46" s="235" t="s">
        <v>402</v>
      </c>
      <c r="J46" s="148">
        <v>1645</v>
      </c>
      <c r="K46" s="148">
        <v>3000</v>
      </c>
      <c r="L46" s="148">
        <v>3000</v>
      </c>
      <c r="M46" s="148">
        <v>3000</v>
      </c>
      <c r="N46" s="148"/>
      <c r="O46" s="297">
        <v>2.4380000000000002</v>
      </c>
      <c r="P46" s="297">
        <v>2.0870000000000002</v>
      </c>
      <c r="Q46" s="297">
        <v>0</v>
      </c>
      <c r="R46" s="297">
        <v>0</v>
      </c>
      <c r="S46" s="297">
        <v>1.661</v>
      </c>
      <c r="T46" s="297"/>
      <c r="U46" s="297">
        <v>2.4380000000000002</v>
      </c>
      <c r="V46" s="297">
        <v>2.0870000000000002</v>
      </c>
      <c r="W46" s="297">
        <v>0</v>
      </c>
      <c r="X46" s="297">
        <v>0</v>
      </c>
      <c r="Y46" s="297">
        <v>1.661</v>
      </c>
      <c r="Z46" s="297"/>
      <c r="AA46" s="297"/>
      <c r="AB46" s="297"/>
      <c r="AC46" s="297"/>
      <c r="AD46" s="297"/>
      <c r="AE46" s="297"/>
      <c r="AF46" s="297"/>
      <c r="AG46" s="299" t="s">
        <v>233</v>
      </c>
      <c r="AH46" s="299"/>
      <c r="AI46" s="192">
        <v>2</v>
      </c>
      <c r="AJ46" s="192">
        <v>4</v>
      </c>
      <c r="AK46" s="244">
        <v>0.33329999999999999</v>
      </c>
      <c r="AL46" s="244">
        <v>0.66659999999999997</v>
      </c>
      <c r="AM46" s="299">
        <v>0</v>
      </c>
      <c r="AN46" s="299">
        <v>0</v>
      </c>
      <c r="AO46" s="299">
        <v>0</v>
      </c>
      <c r="AP46" s="299">
        <v>15</v>
      </c>
      <c r="AQ46" s="299">
        <v>0</v>
      </c>
      <c r="AR46" s="299">
        <v>0</v>
      </c>
      <c r="AS46" s="299">
        <v>0</v>
      </c>
      <c r="AT46" s="299">
        <v>0</v>
      </c>
      <c r="AU46" s="299">
        <v>0</v>
      </c>
      <c r="AV46" s="299">
        <v>2</v>
      </c>
      <c r="AW46" s="299"/>
      <c r="AX46" s="299" t="s">
        <v>233</v>
      </c>
      <c r="AY46" s="299">
        <v>12</v>
      </c>
      <c r="AZ46" s="299" t="s">
        <v>233</v>
      </c>
      <c r="BA46" s="298" t="s">
        <v>177</v>
      </c>
      <c r="BB46" s="297" t="s">
        <v>178</v>
      </c>
      <c r="BC46" s="299">
        <v>50</v>
      </c>
      <c r="BD46" s="299" t="s">
        <v>179</v>
      </c>
      <c r="BE46" s="298"/>
      <c r="BF46" t="s">
        <v>164</v>
      </c>
      <c r="BG46" t="s">
        <v>181</v>
      </c>
    </row>
    <row r="47" spans="1:59" s="237" customFormat="1" x14ac:dyDescent="0.15">
      <c r="A47" s="148">
        <v>262</v>
      </c>
      <c r="B47" s="295">
        <v>41285</v>
      </c>
      <c r="C47" s="296" t="s">
        <v>278</v>
      </c>
      <c r="D47" s="297" t="s">
        <v>205</v>
      </c>
      <c r="E47" s="295">
        <v>42747</v>
      </c>
      <c r="F47" s="298" t="s">
        <v>286</v>
      </c>
      <c r="G47" s="297" t="s">
        <v>182</v>
      </c>
      <c r="H47" s="297">
        <v>69.97</v>
      </c>
      <c r="I47" s="235" t="s">
        <v>402</v>
      </c>
      <c r="J47" s="148">
        <v>1645</v>
      </c>
      <c r="K47" s="148">
        <v>3000</v>
      </c>
      <c r="L47" s="148">
        <v>3000</v>
      </c>
      <c r="M47" s="148">
        <v>3000</v>
      </c>
      <c r="N47" s="148"/>
      <c r="O47" s="297">
        <v>2.48</v>
      </c>
      <c r="P47" s="297">
        <v>2.12</v>
      </c>
      <c r="Q47" s="297">
        <v>0</v>
      </c>
      <c r="R47" s="297">
        <v>0</v>
      </c>
      <c r="S47" s="297">
        <v>1.67</v>
      </c>
      <c r="T47" s="297"/>
      <c r="U47" s="297">
        <v>2.48</v>
      </c>
      <c r="V47" s="297">
        <v>2.12</v>
      </c>
      <c r="W47" s="297">
        <v>0</v>
      </c>
      <c r="X47" s="297">
        <v>0</v>
      </c>
      <c r="Y47" s="297">
        <v>1.67</v>
      </c>
      <c r="Z47" s="297"/>
      <c r="AA47" s="297"/>
      <c r="AB47" s="297"/>
      <c r="AC47" s="297"/>
      <c r="AD47" s="297"/>
      <c r="AE47" s="297"/>
      <c r="AF47" s="297"/>
      <c r="AG47" s="299" t="s">
        <v>233</v>
      </c>
      <c r="AH47" s="299"/>
      <c r="AI47" s="192">
        <v>2</v>
      </c>
      <c r="AJ47" s="192">
        <v>4</v>
      </c>
      <c r="AK47" s="244">
        <v>0.33329999999999999</v>
      </c>
      <c r="AL47" s="244">
        <v>0.66659999999999997</v>
      </c>
      <c r="AM47" s="299">
        <v>0</v>
      </c>
      <c r="AN47" s="299">
        <v>0</v>
      </c>
      <c r="AO47" s="299">
        <v>0</v>
      </c>
      <c r="AP47" s="299">
        <v>15</v>
      </c>
      <c r="AQ47" s="299">
        <v>0</v>
      </c>
      <c r="AR47" s="299">
        <v>0</v>
      </c>
      <c r="AS47" s="299">
        <v>0</v>
      </c>
      <c r="AT47" s="299">
        <v>0</v>
      </c>
      <c r="AU47" s="299">
        <v>0</v>
      </c>
      <c r="AV47" s="299">
        <v>0</v>
      </c>
      <c r="AW47" s="297"/>
      <c r="AX47" s="299" t="s">
        <v>233</v>
      </c>
      <c r="AY47" s="299">
        <v>24</v>
      </c>
      <c r="AZ47" s="299" t="s">
        <v>233</v>
      </c>
      <c r="BA47" s="298"/>
      <c r="BB47" s="297"/>
      <c r="BC47" s="299"/>
      <c r="BD47" s="299" t="s">
        <v>183</v>
      </c>
      <c r="BE47" s="298"/>
      <c r="BF47" t="s">
        <v>184</v>
      </c>
      <c r="BG47" t="s">
        <v>181</v>
      </c>
    </row>
    <row r="48" spans="1:59" s="237" customFormat="1" x14ac:dyDescent="0.15">
      <c r="A48" s="148">
        <v>276</v>
      </c>
      <c r="B48" s="295">
        <v>41285</v>
      </c>
      <c r="C48" s="296" t="s">
        <v>278</v>
      </c>
      <c r="D48" s="297" t="s">
        <v>205</v>
      </c>
      <c r="E48" s="295">
        <v>42736</v>
      </c>
      <c r="F48" s="298" t="s">
        <v>288</v>
      </c>
      <c r="G48" s="297" t="s">
        <v>185</v>
      </c>
      <c r="H48" s="297">
        <v>73</v>
      </c>
      <c r="I48" s="235" t="s">
        <v>402</v>
      </c>
      <c r="J48" s="148">
        <v>1645</v>
      </c>
      <c r="K48" s="148">
        <v>3000</v>
      </c>
      <c r="L48" s="148">
        <v>3000</v>
      </c>
      <c r="M48" s="148">
        <v>3000</v>
      </c>
      <c r="N48" s="148"/>
      <c r="O48" s="297">
        <v>2.7</v>
      </c>
      <c r="P48" s="297">
        <v>2.2000000000000002</v>
      </c>
      <c r="Q48" s="297">
        <v>0</v>
      </c>
      <c r="R48" s="297">
        <v>0</v>
      </c>
      <c r="S48" s="297">
        <v>1.75</v>
      </c>
      <c r="T48" s="297"/>
      <c r="U48" s="297">
        <v>2.7</v>
      </c>
      <c r="V48" s="297">
        <v>2.2000000000000002</v>
      </c>
      <c r="W48" s="297">
        <v>0</v>
      </c>
      <c r="X48" s="297">
        <v>0</v>
      </c>
      <c r="Y48" s="297">
        <v>1.75</v>
      </c>
      <c r="Z48" s="297"/>
      <c r="AA48" s="297"/>
      <c r="AB48" s="297"/>
      <c r="AC48" s="297"/>
      <c r="AD48" s="297"/>
      <c r="AE48" s="297"/>
      <c r="AF48" s="297"/>
      <c r="AG48" s="299" t="s">
        <v>233</v>
      </c>
      <c r="AH48" s="299"/>
      <c r="AI48" s="192">
        <v>2</v>
      </c>
      <c r="AJ48" s="192">
        <v>4</v>
      </c>
      <c r="AK48" s="244">
        <v>0.33329999999999999</v>
      </c>
      <c r="AL48" s="244">
        <v>0.66659999999999997</v>
      </c>
      <c r="AM48" s="299">
        <v>0</v>
      </c>
      <c r="AN48" s="299">
        <v>0</v>
      </c>
      <c r="AO48" s="299">
        <v>14</v>
      </c>
      <c r="AP48" s="299">
        <v>0</v>
      </c>
      <c r="AQ48" s="299">
        <v>0</v>
      </c>
      <c r="AR48" s="299">
        <v>0</v>
      </c>
      <c r="AS48" s="299">
        <v>0</v>
      </c>
      <c r="AT48" s="299">
        <v>0</v>
      </c>
      <c r="AU48" s="299">
        <v>0</v>
      </c>
      <c r="AV48" s="299">
        <v>0</v>
      </c>
      <c r="AW48" s="297"/>
      <c r="AX48" s="299" t="s">
        <v>233</v>
      </c>
      <c r="AY48" s="299"/>
      <c r="AZ48" s="299" t="s">
        <v>233</v>
      </c>
      <c r="BA48" s="298"/>
      <c r="BB48" s="297"/>
      <c r="BC48" s="299"/>
      <c r="BD48" s="299" t="s">
        <v>179</v>
      </c>
      <c r="BE48" s="298" t="s">
        <v>186</v>
      </c>
      <c r="BF48" t="s">
        <v>320</v>
      </c>
      <c r="BG48" t="s">
        <v>181</v>
      </c>
    </row>
    <row r="49" spans="1:59" s="237" customFormat="1" x14ac:dyDescent="0.15">
      <c r="A49" s="148">
        <v>328</v>
      </c>
      <c r="B49" s="295">
        <v>41285</v>
      </c>
      <c r="C49" s="296" t="s">
        <v>278</v>
      </c>
      <c r="D49" s="297" t="s">
        <v>205</v>
      </c>
      <c r="E49" s="295">
        <v>42767</v>
      </c>
      <c r="F49" s="298" t="s">
        <v>600</v>
      </c>
      <c r="G49" s="297" t="s">
        <v>187</v>
      </c>
      <c r="H49" s="297">
        <v>69</v>
      </c>
      <c r="I49" s="235" t="s">
        <v>402</v>
      </c>
      <c r="J49" s="148">
        <v>1645</v>
      </c>
      <c r="K49" s="148">
        <v>3000</v>
      </c>
      <c r="L49" s="148">
        <v>3000</v>
      </c>
      <c r="M49" s="148">
        <v>3000</v>
      </c>
      <c r="N49" s="148"/>
      <c r="O49" s="297">
        <v>3.47</v>
      </c>
      <c r="P49" s="297">
        <v>2.89</v>
      </c>
      <c r="Q49" s="297">
        <v>0</v>
      </c>
      <c r="R49" s="297">
        <v>0</v>
      </c>
      <c r="S49" s="297">
        <v>2.2799999999999998</v>
      </c>
      <c r="T49" s="297"/>
      <c r="U49" s="297">
        <v>3.47</v>
      </c>
      <c r="V49" s="297">
        <v>2.89</v>
      </c>
      <c r="W49" s="297">
        <v>0</v>
      </c>
      <c r="X49" s="297">
        <v>0</v>
      </c>
      <c r="Y49" s="297">
        <v>2.2799999999999998</v>
      </c>
      <c r="Z49" s="297"/>
      <c r="AA49" s="297"/>
      <c r="AB49" s="297"/>
      <c r="AC49" s="297"/>
      <c r="AD49" s="297"/>
      <c r="AE49" s="297"/>
      <c r="AF49" s="297"/>
      <c r="AG49" s="299" t="s">
        <v>233</v>
      </c>
      <c r="AH49" s="299"/>
      <c r="AI49" s="192">
        <v>2</v>
      </c>
      <c r="AJ49" s="192">
        <v>4</v>
      </c>
      <c r="AK49" s="244">
        <v>0.33329999999999999</v>
      </c>
      <c r="AL49" s="244">
        <v>0.66659999999999997</v>
      </c>
      <c r="AM49" s="299">
        <v>0</v>
      </c>
      <c r="AN49" s="299">
        <v>0</v>
      </c>
      <c r="AO49" s="299">
        <v>0</v>
      </c>
      <c r="AP49" s="299">
        <v>16</v>
      </c>
      <c r="AQ49" s="299">
        <v>0</v>
      </c>
      <c r="AR49" s="299">
        <v>0</v>
      </c>
      <c r="AS49" s="299">
        <v>0</v>
      </c>
      <c r="AT49" s="299">
        <v>0</v>
      </c>
      <c r="AU49" s="299">
        <v>0</v>
      </c>
      <c r="AV49" s="299">
        <v>0</v>
      </c>
      <c r="AW49" s="299">
        <v>12</v>
      </c>
      <c r="AX49" s="299" t="s">
        <v>281</v>
      </c>
      <c r="AY49" s="299"/>
      <c r="AZ49" s="299" t="s">
        <v>233</v>
      </c>
      <c r="BA49" s="298"/>
      <c r="BB49" s="297"/>
      <c r="BC49" s="299"/>
      <c r="BD49" s="299" t="s">
        <v>183</v>
      </c>
      <c r="BE49" s="298"/>
      <c r="BF49" t="s">
        <v>158</v>
      </c>
      <c r="BG49" t="s">
        <v>189</v>
      </c>
    </row>
    <row r="50" spans="1:59" s="237" customFormat="1" x14ac:dyDescent="0.15">
      <c r="A50" s="148">
        <v>880</v>
      </c>
      <c r="B50" s="295">
        <v>41286</v>
      </c>
      <c r="C50" s="296" t="s">
        <v>278</v>
      </c>
      <c r="D50" s="297" t="s">
        <v>205</v>
      </c>
      <c r="E50" s="295">
        <v>42711</v>
      </c>
      <c r="F50" s="298" t="s">
        <v>290</v>
      </c>
      <c r="G50" s="297" t="s">
        <v>187</v>
      </c>
      <c r="H50" s="297">
        <v>67.8</v>
      </c>
      <c r="I50" s="235" t="s">
        <v>402</v>
      </c>
      <c r="J50" s="238">
        <v>4000</v>
      </c>
      <c r="K50" s="238">
        <v>12000</v>
      </c>
      <c r="L50" s="238">
        <v>12000</v>
      </c>
      <c r="M50" s="238">
        <v>12000</v>
      </c>
      <c r="N50" s="148"/>
      <c r="O50" s="297">
        <v>2.21</v>
      </c>
      <c r="P50" s="297">
        <v>1.81</v>
      </c>
      <c r="Q50" s="297">
        <v>0</v>
      </c>
      <c r="R50" s="297">
        <v>0</v>
      </c>
      <c r="S50" s="297">
        <v>1.56</v>
      </c>
      <c r="T50" s="297"/>
      <c r="U50" s="297">
        <v>2.21</v>
      </c>
      <c r="V50" s="297">
        <v>1.81</v>
      </c>
      <c r="W50" s="297">
        <v>0</v>
      </c>
      <c r="X50" s="297">
        <v>0</v>
      </c>
      <c r="Y50" s="297">
        <v>1.56</v>
      </c>
      <c r="Z50" s="297"/>
      <c r="AA50" s="297"/>
      <c r="AB50" s="297"/>
      <c r="AC50" s="297"/>
      <c r="AD50" s="297"/>
      <c r="AE50" s="297"/>
      <c r="AF50" s="297"/>
      <c r="AG50" s="299" t="s">
        <v>281</v>
      </c>
      <c r="AH50" s="299" t="s">
        <v>282</v>
      </c>
      <c r="AI50" s="192">
        <v>2</v>
      </c>
      <c r="AJ50" s="192">
        <v>4</v>
      </c>
      <c r="AK50" s="244">
        <v>0.33329999999999999</v>
      </c>
      <c r="AL50" s="244">
        <v>0.66659999999999997</v>
      </c>
      <c r="AM50" s="299">
        <v>0</v>
      </c>
      <c r="AN50" s="299">
        <v>0</v>
      </c>
      <c r="AO50" s="299">
        <v>0</v>
      </c>
      <c r="AP50" s="299">
        <v>0</v>
      </c>
      <c r="AQ50" s="299">
        <v>0</v>
      </c>
      <c r="AR50" s="299">
        <v>20</v>
      </c>
      <c r="AS50" s="299">
        <v>0</v>
      </c>
      <c r="AT50" s="299">
        <v>0</v>
      </c>
      <c r="AU50" s="299">
        <v>0</v>
      </c>
      <c r="AV50" s="299">
        <v>0</v>
      </c>
      <c r="AW50" s="297"/>
      <c r="AX50" s="299" t="s">
        <v>233</v>
      </c>
      <c r="AY50" s="299"/>
      <c r="AZ50" s="299" t="s">
        <v>233</v>
      </c>
      <c r="BA50" s="298"/>
      <c r="BB50" s="297"/>
      <c r="BC50" s="299"/>
      <c r="BD50" s="299" t="s">
        <v>183</v>
      </c>
      <c r="BE50" s="298"/>
      <c r="BF50" t="s">
        <v>236</v>
      </c>
      <c r="BG50" t="s">
        <v>189</v>
      </c>
    </row>
    <row r="51" spans="1:59" s="237" customFormat="1" x14ac:dyDescent="0.15">
      <c r="A51" s="148">
        <v>160</v>
      </c>
      <c r="B51" s="295">
        <v>41286</v>
      </c>
      <c r="C51" s="296" t="s">
        <v>278</v>
      </c>
      <c r="D51" s="297" t="s">
        <v>205</v>
      </c>
      <c r="E51" s="295">
        <v>42737</v>
      </c>
      <c r="F51" s="298" t="s">
        <v>217</v>
      </c>
      <c r="G51" s="297" t="s">
        <v>190</v>
      </c>
      <c r="H51" s="297">
        <v>73.5</v>
      </c>
      <c r="I51" s="235" t="s">
        <v>402</v>
      </c>
      <c r="J51" s="148">
        <v>1645</v>
      </c>
      <c r="K51" s="148">
        <v>3000</v>
      </c>
      <c r="L51" s="148">
        <v>3000</v>
      </c>
      <c r="M51" s="148">
        <v>3000</v>
      </c>
      <c r="N51" s="148"/>
      <c r="O51" s="297">
        <v>2.82</v>
      </c>
      <c r="P51" s="297">
        <v>2.17</v>
      </c>
      <c r="Q51" s="297">
        <v>0</v>
      </c>
      <c r="R51" s="297">
        <v>0</v>
      </c>
      <c r="S51" s="297">
        <v>1.7</v>
      </c>
      <c r="T51" s="297"/>
      <c r="U51" s="297">
        <v>2.82</v>
      </c>
      <c r="V51" s="297">
        <v>2.17</v>
      </c>
      <c r="W51" s="297">
        <v>0</v>
      </c>
      <c r="X51" s="297">
        <v>0</v>
      </c>
      <c r="Y51" s="297">
        <v>1.7</v>
      </c>
      <c r="Z51" s="297"/>
      <c r="AA51" s="297"/>
      <c r="AB51" s="297"/>
      <c r="AC51" s="297"/>
      <c r="AD51" s="297"/>
      <c r="AE51" s="297"/>
      <c r="AF51" s="297"/>
      <c r="AG51" s="299" t="s">
        <v>281</v>
      </c>
      <c r="AH51" s="299" t="s">
        <v>282</v>
      </c>
      <c r="AI51" s="192">
        <v>2</v>
      </c>
      <c r="AJ51" s="192">
        <v>4</v>
      </c>
      <c r="AK51" s="244">
        <v>0.33329999999999999</v>
      </c>
      <c r="AL51" s="244">
        <v>0.66659999999999997</v>
      </c>
      <c r="AM51" s="299">
        <v>0</v>
      </c>
      <c r="AN51" s="299">
        <v>0</v>
      </c>
      <c r="AO51" s="299">
        <v>0</v>
      </c>
      <c r="AP51" s="299">
        <v>16</v>
      </c>
      <c r="AQ51" s="299">
        <v>0</v>
      </c>
      <c r="AR51" s="299">
        <v>0</v>
      </c>
      <c r="AS51" s="299">
        <v>0</v>
      </c>
      <c r="AT51" s="299">
        <v>4</v>
      </c>
      <c r="AU51" s="299">
        <v>0</v>
      </c>
      <c r="AV51" s="299">
        <v>0</v>
      </c>
      <c r="AW51" s="297"/>
      <c r="AX51" s="299" t="s">
        <v>233</v>
      </c>
      <c r="AY51" s="299">
        <v>12</v>
      </c>
      <c r="AZ51" s="299" t="s">
        <v>233</v>
      </c>
      <c r="BA51" s="298"/>
      <c r="BB51" s="298"/>
      <c r="BC51" s="300"/>
      <c r="BD51" s="299" t="s">
        <v>179</v>
      </c>
      <c r="BE51" s="298" t="s">
        <v>191</v>
      </c>
      <c r="BF51" s="301" t="s">
        <v>165</v>
      </c>
      <c r="BG51" t="s">
        <v>181</v>
      </c>
    </row>
    <row r="52" spans="1:59" s="237" customFormat="1" x14ac:dyDescent="0.15">
      <c r="A52" s="148">
        <v>174</v>
      </c>
      <c r="B52" s="295">
        <v>41286</v>
      </c>
      <c r="C52" s="296" t="s">
        <v>278</v>
      </c>
      <c r="D52" s="297" t="s">
        <v>205</v>
      </c>
      <c r="E52" s="295">
        <v>42736</v>
      </c>
      <c r="F52" s="298" t="s">
        <v>220</v>
      </c>
      <c r="G52" s="297" t="s">
        <v>193</v>
      </c>
      <c r="H52" s="297">
        <v>65.819999999999993</v>
      </c>
      <c r="I52" s="235" t="s">
        <v>402</v>
      </c>
      <c r="J52" s="148">
        <v>1645</v>
      </c>
      <c r="K52" s="148">
        <v>3000</v>
      </c>
      <c r="L52" s="148">
        <v>3000</v>
      </c>
      <c r="M52" s="148">
        <v>3000</v>
      </c>
      <c r="N52" s="148"/>
      <c r="O52" s="297">
        <v>2.72</v>
      </c>
      <c r="P52" s="297">
        <v>2.17</v>
      </c>
      <c r="Q52" s="297">
        <v>0</v>
      </c>
      <c r="R52" s="297">
        <v>0</v>
      </c>
      <c r="S52" s="297">
        <v>1.76</v>
      </c>
      <c r="T52" s="297"/>
      <c r="U52" s="297">
        <v>2.72</v>
      </c>
      <c r="V52" s="297">
        <v>2.17</v>
      </c>
      <c r="W52" s="297">
        <v>0</v>
      </c>
      <c r="X52" s="297">
        <v>0</v>
      </c>
      <c r="Y52" s="297">
        <v>1.76</v>
      </c>
      <c r="Z52" s="297"/>
      <c r="AA52" s="297"/>
      <c r="AB52" s="297"/>
      <c r="AC52" s="297"/>
      <c r="AD52" s="297"/>
      <c r="AE52" s="297"/>
      <c r="AF52" s="297"/>
      <c r="AG52" s="299" t="s">
        <v>233</v>
      </c>
      <c r="AH52" s="299"/>
      <c r="AI52" s="192">
        <v>2</v>
      </c>
      <c r="AJ52" s="192">
        <v>4</v>
      </c>
      <c r="AK52" s="244">
        <v>0.33329999999999999</v>
      </c>
      <c r="AL52" s="244">
        <v>0.66659999999999997</v>
      </c>
      <c r="AM52" s="299">
        <v>0</v>
      </c>
      <c r="AN52" s="299">
        <v>0</v>
      </c>
      <c r="AO52" s="299">
        <v>15</v>
      </c>
      <c r="AP52" s="299">
        <v>0</v>
      </c>
      <c r="AQ52" s="299">
        <v>0</v>
      </c>
      <c r="AR52" s="299">
        <v>0</v>
      </c>
      <c r="AS52" s="299">
        <v>0</v>
      </c>
      <c r="AT52" s="299">
        <v>0</v>
      </c>
      <c r="AU52" s="299">
        <v>0</v>
      </c>
      <c r="AV52" s="299">
        <v>0</v>
      </c>
      <c r="AW52" s="299">
        <v>24</v>
      </c>
      <c r="AX52" s="299" t="s">
        <v>233</v>
      </c>
      <c r="AY52" s="299"/>
      <c r="AZ52" s="299" t="s">
        <v>233</v>
      </c>
      <c r="BA52" s="298" t="s">
        <v>429</v>
      </c>
      <c r="BB52" s="297"/>
      <c r="BC52" s="299"/>
      <c r="BD52" s="299" t="s">
        <v>183</v>
      </c>
      <c r="BE52" s="298"/>
      <c r="BF52" t="s">
        <v>194</v>
      </c>
      <c r="BG52" t="s">
        <v>181</v>
      </c>
    </row>
    <row r="53" spans="1:59" s="237" customFormat="1" x14ac:dyDescent="0.15">
      <c r="A53" s="148">
        <v>315</v>
      </c>
      <c r="B53" s="295">
        <v>41286</v>
      </c>
      <c r="C53" s="296" t="s">
        <v>278</v>
      </c>
      <c r="D53" s="297" t="s">
        <v>205</v>
      </c>
      <c r="E53" s="295">
        <v>42736</v>
      </c>
      <c r="F53" s="297" t="s">
        <v>222</v>
      </c>
      <c r="G53" s="297" t="s">
        <v>187</v>
      </c>
      <c r="H53" s="297">
        <v>65.38</v>
      </c>
      <c r="I53" s="235" t="s">
        <v>402</v>
      </c>
      <c r="J53" s="148">
        <v>1645</v>
      </c>
      <c r="K53" s="148">
        <v>3000</v>
      </c>
      <c r="L53" s="148">
        <v>3000</v>
      </c>
      <c r="M53" s="148">
        <v>3000</v>
      </c>
      <c r="N53" s="148"/>
      <c r="O53" s="297">
        <v>2.2730000000000001</v>
      </c>
      <c r="P53" s="297">
        <v>1.8380000000000001</v>
      </c>
      <c r="Q53" s="297">
        <v>0</v>
      </c>
      <c r="R53" s="297">
        <v>0</v>
      </c>
      <c r="S53" s="297">
        <v>1.526</v>
      </c>
      <c r="T53" s="297"/>
      <c r="U53" s="297">
        <v>2.2389999999999999</v>
      </c>
      <c r="V53" s="297">
        <v>1.8049999999999999</v>
      </c>
      <c r="W53" s="297">
        <v>0</v>
      </c>
      <c r="X53" s="297">
        <v>0</v>
      </c>
      <c r="Y53" s="297">
        <v>1.492</v>
      </c>
      <c r="Z53" s="297"/>
      <c r="AA53" s="297"/>
      <c r="AB53" s="297"/>
      <c r="AC53" s="297"/>
      <c r="AD53" s="297"/>
      <c r="AE53" s="297"/>
      <c r="AF53" s="297"/>
      <c r="AG53" s="299" t="s">
        <v>281</v>
      </c>
      <c r="AH53" s="299" t="s">
        <v>282</v>
      </c>
      <c r="AI53" s="192">
        <v>2</v>
      </c>
      <c r="AJ53" s="192">
        <v>4</v>
      </c>
      <c r="AK53" s="244">
        <v>0.33329999999999999</v>
      </c>
      <c r="AL53" s="244">
        <v>0.66659999999999997</v>
      </c>
      <c r="AM53" s="299">
        <v>0</v>
      </c>
      <c r="AN53" s="299">
        <v>0</v>
      </c>
      <c r="AO53" s="299">
        <v>0</v>
      </c>
      <c r="AP53" s="299">
        <v>0</v>
      </c>
      <c r="AQ53" s="299">
        <v>0</v>
      </c>
      <c r="AR53" s="299">
        <v>0</v>
      </c>
      <c r="AS53" s="299">
        <v>0</v>
      </c>
      <c r="AT53" s="299">
        <v>0</v>
      </c>
      <c r="AU53" s="299">
        <v>0</v>
      </c>
      <c r="AV53" s="299">
        <v>0</v>
      </c>
      <c r="AW53" s="297"/>
      <c r="AX53" s="299" t="s">
        <v>233</v>
      </c>
      <c r="AY53" s="299"/>
      <c r="AZ53" s="299" t="s">
        <v>233</v>
      </c>
      <c r="BA53" s="298" t="s">
        <v>195</v>
      </c>
      <c r="BB53" s="297" t="s">
        <v>178</v>
      </c>
      <c r="BC53" s="299">
        <v>50</v>
      </c>
      <c r="BD53" s="299" t="s">
        <v>183</v>
      </c>
      <c r="BE53" s="298"/>
      <c r="BF53" t="s">
        <v>238</v>
      </c>
      <c r="BG53" t="s">
        <v>181</v>
      </c>
    </row>
    <row r="54" spans="1:59" s="237" customFormat="1" x14ac:dyDescent="0.15">
      <c r="A54" s="148">
        <v>570</v>
      </c>
      <c r="B54" s="295">
        <v>41283</v>
      </c>
      <c r="C54" s="296" t="s">
        <v>278</v>
      </c>
      <c r="D54" s="297" t="s">
        <v>205</v>
      </c>
      <c r="E54" s="295">
        <v>42736</v>
      </c>
      <c r="F54" s="298" t="s">
        <v>224</v>
      </c>
      <c r="G54" s="297" t="s">
        <v>196</v>
      </c>
      <c r="H54" s="297">
        <v>68.91</v>
      </c>
      <c r="I54" s="235" t="s">
        <v>402</v>
      </c>
      <c r="J54" s="238">
        <v>4000</v>
      </c>
      <c r="K54" s="238">
        <v>12000</v>
      </c>
      <c r="L54" s="238">
        <v>12000</v>
      </c>
      <c r="M54" s="238">
        <v>12000</v>
      </c>
      <c r="N54" s="148"/>
      <c r="O54" s="297">
        <v>2.1429999999999998</v>
      </c>
      <c r="P54" s="297">
        <v>1.929</v>
      </c>
      <c r="Q54" s="297">
        <v>0</v>
      </c>
      <c r="R54" s="297">
        <v>0</v>
      </c>
      <c r="S54" s="297">
        <v>1.6839999999999999</v>
      </c>
      <c r="T54" s="297"/>
      <c r="U54" s="297">
        <v>2.1429999999999998</v>
      </c>
      <c r="V54" s="297">
        <v>1.929</v>
      </c>
      <c r="W54" s="297">
        <v>0</v>
      </c>
      <c r="X54" s="297">
        <v>0</v>
      </c>
      <c r="Y54" s="297">
        <v>1.6839999999999999</v>
      </c>
      <c r="Z54" s="297"/>
      <c r="AA54" s="297"/>
      <c r="AB54" s="297"/>
      <c r="AC54" s="297"/>
      <c r="AD54" s="297"/>
      <c r="AE54" s="297"/>
      <c r="AF54" s="297"/>
      <c r="AG54" s="299" t="s">
        <v>233</v>
      </c>
      <c r="AH54" s="299"/>
      <c r="AI54" s="192">
        <v>2</v>
      </c>
      <c r="AJ54" s="192">
        <v>4</v>
      </c>
      <c r="AK54" s="244">
        <v>0.33329999999999999</v>
      </c>
      <c r="AL54" s="244">
        <v>0.66659999999999997</v>
      </c>
      <c r="AM54" s="299">
        <v>0</v>
      </c>
      <c r="AN54" s="299">
        <v>0</v>
      </c>
      <c r="AO54" s="299">
        <v>0</v>
      </c>
      <c r="AP54" s="299">
        <v>13</v>
      </c>
      <c r="AQ54" s="299">
        <v>0</v>
      </c>
      <c r="AR54" s="299">
        <v>0</v>
      </c>
      <c r="AS54" s="299">
        <v>0</v>
      </c>
      <c r="AT54" s="299">
        <v>0</v>
      </c>
      <c r="AU54" s="299">
        <v>0</v>
      </c>
      <c r="AV54" s="299">
        <v>0</v>
      </c>
      <c r="AW54" s="297"/>
      <c r="AX54" s="299" t="s">
        <v>233</v>
      </c>
      <c r="AY54" s="299">
        <v>12</v>
      </c>
      <c r="AZ54" s="299" t="s">
        <v>233</v>
      </c>
      <c r="BA54" s="298"/>
      <c r="BB54" s="298"/>
      <c r="BC54" s="299"/>
      <c r="BD54" s="299" t="s">
        <v>179</v>
      </c>
      <c r="BE54" s="298"/>
      <c r="BF54" t="s">
        <v>208</v>
      </c>
      <c r="BG54" t="s">
        <v>189</v>
      </c>
    </row>
    <row r="55" spans="1:59" s="237" customFormat="1" x14ac:dyDescent="0.15">
      <c r="A55" s="148">
        <v>236</v>
      </c>
      <c r="B55" s="295">
        <v>41286</v>
      </c>
      <c r="C55" s="296" t="s">
        <v>278</v>
      </c>
      <c r="D55" s="297" t="s">
        <v>205</v>
      </c>
      <c r="E55" s="295">
        <v>42767</v>
      </c>
      <c r="F55" s="298" t="s">
        <v>226</v>
      </c>
      <c r="G55" s="297" t="s">
        <v>197</v>
      </c>
      <c r="H55" s="297">
        <v>71</v>
      </c>
      <c r="I55" s="235" t="s">
        <v>402</v>
      </c>
      <c r="J55" s="238">
        <v>3000</v>
      </c>
      <c r="K55" s="238">
        <v>3000</v>
      </c>
      <c r="L55" s="238">
        <v>3000</v>
      </c>
      <c r="M55" s="238">
        <v>3000</v>
      </c>
      <c r="N55" s="148"/>
      <c r="O55" s="297">
        <v>2.2469999999999999</v>
      </c>
      <c r="P55" s="297">
        <v>0</v>
      </c>
      <c r="Q55" s="297">
        <v>0</v>
      </c>
      <c r="R55" s="297">
        <v>0</v>
      </c>
      <c r="S55" s="297">
        <v>1.6040000000000001</v>
      </c>
      <c r="T55" s="297"/>
      <c r="U55" s="297">
        <v>2.2469999999999999</v>
      </c>
      <c r="V55" s="297">
        <v>0</v>
      </c>
      <c r="W55" s="297">
        <v>0</v>
      </c>
      <c r="X55" s="297">
        <v>0</v>
      </c>
      <c r="Y55" s="297">
        <v>1.6040000000000001</v>
      </c>
      <c r="Z55" s="297"/>
      <c r="AA55" s="297"/>
      <c r="AB55" s="297"/>
      <c r="AC55" s="297"/>
      <c r="AD55" s="297"/>
      <c r="AE55" s="297"/>
      <c r="AF55" s="297"/>
      <c r="AG55" s="299" t="s">
        <v>233</v>
      </c>
      <c r="AH55" s="299"/>
      <c r="AI55" s="236">
        <v>2</v>
      </c>
      <c r="AJ55" s="236">
        <v>4</v>
      </c>
      <c r="AK55" s="244">
        <v>0.33329999999999999</v>
      </c>
      <c r="AL55" s="244">
        <v>0.66659999999999997</v>
      </c>
      <c r="AM55" s="299">
        <v>0</v>
      </c>
      <c r="AN55" s="299">
        <v>0</v>
      </c>
      <c r="AO55" s="299">
        <v>10</v>
      </c>
      <c r="AP55" s="299">
        <v>0</v>
      </c>
      <c r="AQ55" s="299">
        <v>0</v>
      </c>
      <c r="AR55" s="299">
        <v>0</v>
      </c>
      <c r="AS55" s="299">
        <v>0</v>
      </c>
      <c r="AT55" s="299">
        <v>0</v>
      </c>
      <c r="AU55" s="299">
        <v>0</v>
      </c>
      <c r="AV55" s="299">
        <v>0</v>
      </c>
      <c r="AW55" s="299"/>
      <c r="AX55" s="299" t="s">
        <v>233</v>
      </c>
      <c r="AY55" s="299"/>
      <c r="AZ55" s="299" t="s">
        <v>233</v>
      </c>
      <c r="BA55" s="298"/>
      <c r="BB55" s="297"/>
      <c r="BC55" s="299"/>
      <c r="BD55" s="299" t="s">
        <v>183</v>
      </c>
      <c r="BE55" s="298"/>
      <c r="BF55" t="s">
        <v>323</v>
      </c>
      <c r="BG55" t="s">
        <v>189</v>
      </c>
    </row>
    <row r="56" spans="1:59" s="237" customFormat="1" x14ac:dyDescent="0.15">
      <c r="A56" s="148">
        <v>787</v>
      </c>
      <c r="B56" s="295">
        <v>41285</v>
      </c>
      <c r="C56" s="296" t="s">
        <v>278</v>
      </c>
      <c r="D56" s="297" t="s">
        <v>205</v>
      </c>
      <c r="E56" s="295">
        <v>42767</v>
      </c>
      <c r="F56" s="298" t="s">
        <v>227</v>
      </c>
      <c r="G56" s="297" t="s">
        <v>198</v>
      </c>
      <c r="H56" s="297">
        <v>72.08</v>
      </c>
      <c r="I56" s="235" t="s">
        <v>402</v>
      </c>
      <c r="J56" s="148">
        <v>1645</v>
      </c>
      <c r="K56" s="148">
        <v>3000</v>
      </c>
      <c r="L56" s="148">
        <v>3000</v>
      </c>
      <c r="M56" s="148">
        <v>3000</v>
      </c>
      <c r="N56" s="148"/>
      <c r="O56" s="297">
        <v>2.34</v>
      </c>
      <c r="P56" s="297">
        <v>1.97</v>
      </c>
      <c r="Q56" s="297">
        <v>0</v>
      </c>
      <c r="R56" s="297">
        <v>0</v>
      </c>
      <c r="S56" s="297">
        <v>1.65</v>
      </c>
      <c r="T56" s="297"/>
      <c r="U56" s="297">
        <v>2.34</v>
      </c>
      <c r="V56" s="297">
        <v>1.97</v>
      </c>
      <c r="W56" s="297">
        <v>0</v>
      </c>
      <c r="X56" s="297">
        <v>0</v>
      </c>
      <c r="Y56" s="297">
        <v>1.65</v>
      </c>
      <c r="Z56" s="297"/>
      <c r="AA56" s="297"/>
      <c r="AB56" s="297"/>
      <c r="AC56" s="297"/>
      <c r="AD56" s="297"/>
      <c r="AE56" s="297"/>
      <c r="AF56" s="297"/>
      <c r="AG56" s="299" t="s">
        <v>233</v>
      </c>
      <c r="AH56" s="299"/>
      <c r="AI56" s="192">
        <v>2</v>
      </c>
      <c r="AJ56" s="192">
        <v>4</v>
      </c>
      <c r="AK56" s="243">
        <v>0.33329999999999999</v>
      </c>
      <c r="AL56" s="243">
        <v>0.66659999999999997</v>
      </c>
      <c r="AM56" s="299">
        <v>0</v>
      </c>
      <c r="AN56" s="299">
        <v>0</v>
      </c>
      <c r="AO56" s="299">
        <v>0</v>
      </c>
      <c r="AP56" s="299">
        <v>15</v>
      </c>
      <c r="AQ56" s="299">
        <v>0</v>
      </c>
      <c r="AR56" s="299">
        <v>0</v>
      </c>
      <c r="AS56" s="299">
        <v>0</v>
      </c>
      <c r="AT56" s="299">
        <v>0</v>
      </c>
      <c r="AU56" s="299">
        <v>0</v>
      </c>
      <c r="AV56" s="299">
        <v>0</v>
      </c>
      <c r="AW56" s="299">
        <v>24</v>
      </c>
      <c r="AX56" s="299" t="s">
        <v>233</v>
      </c>
      <c r="AY56" s="299"/>
      <c r="AZ56" s="299" t="s">
        <v>233</v>
      </c>
      <c r="BA56" s="298" t="s">
        <v>199</v>
      </c>
      <c r="BB56" s="297" t="s">
        <v>152</v>
      </c>
      <c r="BC56" s="299">
        <v>25</v>
      </c>
      <c r="BD56" s="299" t="s">
        <v>183</v>
      </c>
      <c r="BE56" s="298"/>
      <c r="BF56" t="s">
        <v>166</v>
      </c>
      <c r="BG56" t="s">
        <v>189</v>
      </c>
    </row>
    <row r="57" spans="1:59" s="7" customFormat="1" x14ac:dyDescent="0.15">
      <c r="A57" s="148">
        <v>81</v>
      </c>
      <c r="B57" s="295">
        <v>41285</v>
      </c>
      <c r="C57" s="296" t="s">
        <v>278</v>
      </c>
      <c r="D57" s="297" t="s">
        <v>209</v>
      </c>
      <c r="E57" s="295">
        <v>42736</v>
      </c>
      <c r="F57" s="298" t="s">
        <v>280</v>
      </c>
      <c r="G57" s="297" t="s">
        <v>176</v>
      </c>
      <c r="H57" s="297">
        <v>78.459999999999994</v>
      </c>
      <c r="I57" s="208" t="s">
        <v>402</v>
      </c>
      <c r="J57" s="204">
        <v>6000</v>
      </c>
      <c r="K57" s="204">
        <v>12000</v>
      </c>
      <c r="L57" s="204">
        <v>12000</v>
      </c>
      <c r="M57" s="204">
        <v>12000</v>
      </c>
      <c r="N57" s="204"/>
      <c r="O57" s="297">
        <v>1.9530000000000001</v>
      </c>
      <c r="P57" s="297">
        <v>1.875</v>
      </c>
      <c r="Q57" s="297">
        <v>1.5609999999999999</v>
      </c>
      <c r="R57" s="297">
        <v>0</v>
      </c>
      <c r="S57" s="297">
        <v>1.399</v>
      </c>
      <c r="T57" s="297"/>
      <c r="U57" s="297">
        <v>1.7749999999999999</v>
      </c>
      <c r="V57" s="297">
        <v>1.4319999999999999</v>
      </c>
      <c r="W57" s="297">
        <v>1.33</v>
      </c>
      <c r="X57" s="297">
        <v>0</v>
      </c>
      <c r="Y57" s="297">
        <v>1.3109999999999999</v>
      </c>
      <c r="Z57" s="297"/>
      <c r="AA57" s="297"/>
      <c r="AB57" s="297"/>
      <c r="AC57" s="297"/>
      <c r="AD57" s="297"/>
      <c r="AE57" s="297"/>
      <c r="AF57" s="297"/>
      <c r="AG57" s="299" t="s">
        <v>281</v>
      </c>
      <c r="AH57" s="299" t="s">
        <v>282</v>
      </c>
      <c r="AI57" s="192">
        <v>2</v>
      </c>
      <c r="AJ57" s="192">
        <v>4</v>
      </c>
      <c r="AK57" s="245">
        <v>0.33329999999999999</v>
      </c>
      <c r="AL57" s="245">
        <v>0.66659999999999997</v>
      </c>
      <c r="AM57" s="299">
        <v>0</v>
      </c>
      <c r="AN57" s="299">
        <v>0</v>
      </c>
      <c r="AO57" s="299">
        <v>0</v>
      </c>
      <c r="AP57" s="299">
        <v>15</v>
      </c>
      <c r="AQ57" s="299">
        <v>0</v>
      </c>
      <c r="AR57" s="299">
        <v>0</v>
      </c>
      <c r="AS57" s="299">
        <v>0</v>
      </c>
      <c r="AT57" s="299">
        <v>0</v>
      </c>
      <c r="AU57" s="299">
        <v>0</v>
      </c>
      <c r="AV57" s="299">
        <v>2</v>
      </c>
      <c r="AW57" s="299"/>
      <c r="AX57" s="299" t="s">
        <v>233</v>
      </c>
      <c r="AY57" s="299">
        <v>12</v>
      </c>
      <c r="AZ57" s="299" t="s">
        <v>233</v>
      </c>
      <c r="BA57" s="298" t="s">
        <v>177</v>
      </c>
      <c r="BB57" s="297" t="s">
        <v>178</v>
      </c>
      <c r="BC57" s="299">
        <v>50</v>
      </c>
      <c r="BD57" s="299" t="s">
        <v>179</v>
      </c>
      <c r="BE57" s="298"/>
      <c r="BF57" t="s">
        <v>167</v>
      </c>
      <c r="BG57" t="s">
        <v>181</v>
      </c>
    </row>
    <row r="58" spans="1:59" s="7" customFormat="1" x14ac:dyDescent="0.15">
      <c r="A58" s="148">
        <v>264</v>
      </c>
      <c r="B58" s="295">
        <v>41285</v>
      </c>
      <c r="C58" s="296" t="s">
        <v>278</v>
      </c>
      <c r="D58" s="297" t="s">
        <v>209</v>
      </c>
      <c r="E58" s="295">
        <v>42747</v>
      </c>
      <c r="F58" s="298" t="s">
        <v>286</v>
      </c>
      <c r="G58" s="297" t="s">
        <v>182</v>
      </c>
      <c r="H58" s="297">
        <v>63.46</v>
      </c>
      <c r="I58" s="208" t="s">
        <v>402</v>
      </c>
      <c r="J58" s="210">
        <v>6000</v>
      </c>
      <c r="K58" s="210">
        <v>6000</v>
      </c>
      <c r="L58" s="210">
        <v>6000</v>
      </c>
      <c r="M58" s="210">
        <v>6000</v>
      </c>
      <c r="N58" s="204"/>
      <c r="O58" s="297">
        <v>1.99</v>
      </c>
      <c r="P58" s="297">
        <v>0</v>
      </c>
      <c r="Q58" s="297">
        <v>0</v>
      </c>
      <c r="R58" s="297">
        <v>0</v>
      </c>
      <c r="S58" s="297">
        <v>1.79</v>
      </c>
      <c r="T58" s="297"/>
      <c r="U58" s="297">
        <v>1.77</v>
      </c>
      <c r="V58" s="297">
        <v>0</v>
      </c>
      <c r="W58" s="297">
        <v>0</v>
      </c>
      <c r="X58" s="297">
        <v>0</v>
      </c>
      <c r="Y58" s="297">
        <v>1.48</v>
      </c>
      <c r="Z58" s="297"/>
      <c r="AA58" s="297"/>
      <c r="AB58" s="297"/>
      <c r="AC58" s="297"/>
      <c r="AD58" s="297"/>
      <c r="AE58" s="297"/>
      <c r="AF58" s="297"/>
      <c r="AG58" s="299" t="s">
        <v>281</v>
      </c>
      <c r="AH58" s="299" t="s">
        <v>282</v>
      </c>
      <c r="AI58" s="192">
        <v>2</v>
      </c>
      <c r="AJ58" s="192">
        <v>4</v>
      </c>
      <c r="AK58" s="245">
        <v>0.33329999999999999</v>
      </c>
      <c r="AL58" s="245">
        <v>0.66659999999999997</v>
      </c>
      <c r="AM58" s="299">
        <v>0</v>
      </c>
      <c r="AN58" s="299">
        <v>0</v>
      </c>
      <c r="AO58" s="299">
        <v>0</v>
      </c>
      <c r="AP58" s="299">
        <v>15</v>
      </c>
      <c r="AQ58" s="299">
        <v>0</v>
      </c>
      <c r="AR58" s="299">
        <v>0</v>
      </c>
      <c r="AS58" s="299">
        <v>0</v>
      </c>
      <c r="AT58" s="299">
        <v>0</v>
      </c>
      <c r="AU58" s="299">
        <v>0</v>
      </c>
      <c r="AV58" s="299">
        <v>0</v>
      </c>
      <c r="AW58" s="297"/>
      <c r="AX58" s="299" t="s">
        <v>233</v>
      </c>
      <c r="AY58" s="299">
        <v>24</v>
      </c>
      <c r="AZ58" s="299" t="s">
        <v>233</v>
      </c>
      <c r="BA58" s="298"/>
      <c r="BB58" s="297"/>
      <c r="BC58" s="299"/>
      <c r="BD58" s="299" t="s">
        <v>183</v>
      </c>
      <c r="BE58" s="298"/>
      <c r="BF58" t="s">
        <v>184</v>
      </c>
      <c r="BG58" t="s">
        <v>181</v>
      </c>
    </row>
    <row r="59" spans="1:59" s="7" customFormat="1" x14ac:dyDescent="0.15">
      <c r="A59" s="148">
        <v>278</v>
      </c>
      <c r="B59" s="295">
        <v>41285</v>
      </c>
      <c r="C59" s="296" t="s">
        <v>278</v>
      </c>
      <c r="D59" s="297" t="s">
        <v>209</v>
      </c>
      <c r="E59" s="295">
        <v>42736</v>
      </c>
      <c r="F59" s="298" t="s">
        <v>288</v>
      </c>
      <c r="G59" s="297" t="s">
        <v>185</v>
      </c>
      <c r="H59" s="297">
        <v>88</v>
      </c>
      <c r="I59" s="208" t="s">
        <v>402</v>
      </c>
      <c r="J59" s="204">
        <v>6000</v>
      </c>
      <c r="K59" s="204">
        <v>12000</v>
      </c>
      <c r="L59" s="204">
        <v>12000</v>
      </c>
      <c r="M59" s="204">
        <v>12000</v>
      </c>
      <c r="N59" s="204"/>
      <c r="O59" s="297">
        <v>2.15</v>
      </c>
      <c r="P59" s="297">
        <v>2</v>
      </c>
      <c r="Q59" s="297">
        <v>0</v>
      </c>
      <c r="R59" s="297">
        <v>0</v>
      </c>
      <c r="S59" s="297">
        <v>1.6</v>
      </c>
      <c r="T59" s="297"/>
      <c r="U59" s="297">
        <v>1.65</v>
      </c>
      <c r="V59" s="297">
        <v>1.6</v>
      </c>
      <c r="W59" s="297">
        <v>0</v>
      </c>
      <c r="X59" s="297">
        <v>0</v>
      </c>
      <c r="Y59" s="297">
        <v>1.5</v>
      </c>
      <c r="Z59" s="297"/>
      <c r="AA59" s="297"/>
      <c r="AB59" s="297"/>
      <c r="AC59" s="297"/>
      <c r="AD59" s="297"/>
      <c r="AE59" s="297"/>
      <c r="AF59" s="297"/>
      <c r="AG59" s="299" t="s">
        <v>281</v>
      </c>
      <c r="AH59" s="299" t="s">
        <v>282</v>
      </c>
      <c r="AI59" s="192">
        <v>2</v>
      </c>
      <c r="AJ59" s="192">
        <v>4</v>
      </c>
      <c r="AK59" s="245">
        <v>0.33329999999999999</v>
      </c>
      <c r="AL59" s="245">
        <v>0.66659999999999997</v>
      </c>
      <c r="AM59" s="299">
        <v>0</v>
      </c>
      <c r="AN59" s="299">
        <v>0</v>
      </c>
      <c r="AO59" s="299">
        <v>14</v>
      </c>
      <c r="AP59" s="299">
        <v>0</v>
      </c>
      <c r="AQ59" s="299">
        <v>0</v>
      </c>
      <c r="AR59" s="299">
        <v>0</v>
      </c>
      <c r="AS59" s="299">
        <v>0</v>
      </c>
      <c r="AT59" s="299">
        <v>0</v>
      </c>
      <c r="AU59" s="299">
        <v>0</v>
      </c>
      <c r="AV59" s="299">
        <v>0</v>
      </c>
      <c r="AW59" s="297"/>
      <c r="AX59" s="299" t="s">
        <v>233</v>
      </c>
      <c r="AY59" s="299"/>
      <c r="AZ59" s="299" t="s">
        <v>233</v>
      </c>
      <c r="BA59" s="298"/>
      <c r="BB59" s="297"/>
      <c r="BC59" s="299"/>
      <c r="BD59" s="299" t="s">
        <v>179</v>
      </c>
      <c r="BE59" s="298" t="s">
        <v>186</v>
      </c>
      <c r="BF59" t="s">
        <v>327</v>
      </c>
      <c r="BG59" t="s">
        <v>181</v>
      </c>
    </row>
    <row r="60" spans="1:59" s="7" customFormat="1" x14ac:dyDescent="0.15">
      <c r="A60" s="148">
        <v>330</v>
      </c>
      <c r="B60" s="295">
        <v>41285</v>
      </c>
      <c r="C60" s="296" t="s">
        <v>278</v>
      </c>
      <c r="D60" s="297" t="s">
        <v>209</v>
      </c>
      <c r="E60" s="295">
        <v>42767</v>
      </c>
      <c r="F60" s="298" t="s">
        <v>600</v>
      </c>
      <c r="G60" s="297" t="s">
        <v>187</v>
      </c>
      <c r="H60" s="297">
        <v>83</v>
      </c>
      <c r="I60" s="208" t="s">
        <v>402</v>
      </c>
      <c r="J60" s="204">
        <v>6000</v>
      </c>
      <c r="K60" s="204">
        <v>12000</v>
      </c>
      <c r="L60" s="204">
        <v>84000</v>
      </c>
      <c r="M60" s="204">
        <v>84000</v>
      </c>
      <c r="N60" s="204"/>
      <c r="O60" s="297">
        <v>2.73</v>
      </c>
      <c r="P60" s="297">
        <v>2.52</v>
      </c>
      <c r="Q60" s="297">
        <v>2.02</v>
      </c>
      <c r="R60" s="297">
        <v>0</v>
      </c>
      <c r="S60" s="297">
        <v>2.0099999999999998</v>
      </c>
      <c r="T60" s="297"/>
      <c r="U60" s="297">
        <v>1.96</v>
      </c>
      <c r="V60" s="297">
        <v>1.85</v>
      </c>
      <c r="W60" s="297">
        <v>1.65</v>
      </c>
      <c r="X60" s="297">
        <v>0</v>
      </c>
      <c r="Y60" s="297">
        <v>1.56</v>
      </c>
      <c r="Z60" s="297"/>
      <c r="AA60" s="297"/>
      <c r="AB60" s="297"/>
      <c r="AC60" s="297"/>
      <c r="AD60" s="297"/>
      <c r="AE60" s="297"/>
      <c r="AF60" s="297"/>
      <c r="AG60" s="299" t="s">
        <v>281</v>
      </c>
      <c r="AH60" s="299" t="s">
        <v>282</v>
      </c>
      <c r="AI60" s="209">
        <v>3</v>
      </c>
      <c r="AJ60" s="209">
        <v>3</v>
      </c>
      <c r="AK60" s="245">
        <v>0.5</v>
      </c>
      <c r="AL60" s="245">
        <v>0.5</v>
      </c>
      <c r="AM60" s="299">
        <v>0</v>
      </c>
      <c r="AN60" s="299">
        <v>0</v>
      </c>
      <c r="AO60" s="299">
        <v>0</v>
      </c>
      <c r="AP60" s="299">
        <v>16</v>
      </c>
      <c r="AQ60" s="299">
        <v>0</v>
      </c>
      <c r="AR60" s="299">
        <v>0</v>
      </c>
      <c r="AS60" s="299">
        <v>0</v>
      </c>
      <c r="AT60" s="299">
        <v>0</v>
      </c>
      <c r="AU60" s="299">
        <v>0</v>
      </c>
      <c r="AV60" s="299">
        <v>0</v>
      </c>
      <c r="AW60" s="299">
        <v>12</v>
      </c>
      <c r="AX60" s="299" t="s">
        <v>281</v>
      </c>
      <c r="AY60" s="299"/>
      <c r="AZ60" s="299" t="s">
        <v>233</v>
      </c>
      <c r="BA60" s="298"/>
      <c r="BB60" s="297"/>
      <c r="BC60" s="299"/>
      <c r="BD60" s="299" t="s">
        <v>183</v>
      </c>
      <c r="BE60" s="298"/>
      <c r="BF60" t="s">
        <v>168</v>
      </c>
      <c r="BG60" t="s">
        <v>189</v>
      </c>
    </row>
    <row r="61" spans="1:59" s="7" customFormat="1" x14ac:dyDescent="0.15">
      <c r="A61" s="148">
        <v>162</v>
      </c>
      <c r="B61" s="295">
        <v>41286</v>
      </c>
      <c r="C61" s="296" t="s">
        <v>278</v>
      </c>
      <c r="D61" s="297" t="s">
        <v>209</v>
      </c>
      <c r="E61" s="295">
        <v>42737</v>
      </c>
      <c r="F61" s="298" t="s">
        <v>217</v>
      </c>
      <c r="G61" s="297" t="s">
        <v>190</v>
      </c>
      <c r="H61" s="297">
        <v>83.6</v>
      </c>
      <c r="I61" s="208" t="s">
        <v>402</v>
      </c>
      <c r="J61" s="204">
        <v>6000</v>
      </c>
      <c r="K61" s="204">
        <v>12000</v>
      </c>
      <c r="L61" s="204">
        <v>12000</v>
      </c>
      <c r="M61" s="204">
        <v>12000</v>
      </c>
      <c r="N61" s="204"/>
      <c r="O61" s="297">
        <v>2.17</v>
      </c>
      <c r="P61" s="297">
        <v>2.0699999999999998</v>
      </c>
      <c r="Q61" s="297">
        <v>1.5</v>
      </c>
      <c r="R61" s="297">
        <v>0</v>
      </c>
      <c r="S61" s="297">
        <v>1.49</v>
      </c>
      <c r="T61" s="297"/>
      <c r="U61" s="297">
        <v>1.57</v>
      </c>
      <c r="V61" s="297">
        <v>1.49</v>
      </c>
      <c r="W61" s="297">
        <v>1.38</v>
      </c>
      <c r="X61" s="297">
        <v>0</v>
      </c>
      <c r="Y61" s="297">
        <v>1.23</v>
      </c>
      <c r="Z61" s="297"/>
      <c r="AA61" s="297"/>
      <c r="AB61" s="297"/>
      <c r="AC61" s="297"/>
      <c r="AD61" s="297"/>
      <c r="AE61" s="297"/>
      <c r="AF61" s="297"/>
      <c r="AG61" s="299" t="s">
        <v>281</v>
      </c>
      <c r="AH61" s="299" t="s">
        <v>282</v>
      </c>
      <c r="AI61" s="192">
        <v>2</v>
      </c>
      <c r="AJ61" s="192">
        <v>4</v>
      </c>
      <c r="AK61" s="245">
        <v>0.33329999999999999</v>
      </c>
      <c r="AL61" s="245">
        <v>0.66659999999999997</v>
      </c>
      <c r="AM61" s="299">
        <v>0</v>
      </c>
      <c r="AN61" s="299">
        <v>0</v>
      </c>
      <c r="AO61" s="299">
        <v>0</v>
      </c>
      <c r="AP61" s="299">
        <v>16</v>
      </c>
      <c r="AQ61" s="299">
        <v>0</v>
      </c>
      <c r="AR61" s="299">
        <v>0</v>
      </c>
      <c r="AS61" s="299">
        <v>0</v>
      </c>
      <c r="AT61" s="299">
        <v>4</v>
      </c>
      <c r="AU61" s="299">
        <v>0</v>
      </c>
      <c r="AV61" s="299">
        <v>0</v>
      </c>
      <c r="AW61" s="297"/>
      <c r="AX61" s="299" t="s">
        <v>233</v>
      </c>
      <c r="AY61" s="299">
        <v>12</v>
      </c>
      <c r="AZ61" s="299" t="s">
        <v>233</v>
      </c>
      <c r="BA61" s="298"/>
      <c r="BB61" s="298"/>
      <c r="BC61" s="300"/>
      <c r="BD61" s="299" t="s">
        <v>179</v>
      </c>
      <c r="BE61" s="298" t="s">
        <v>191</v>
      </c>
      <c r="BF61" s="301" t="s">
        <v>136</v>
      </c>
      <c r="BG61" t="s">
        <v>181</v>
      </c>
    </row>
    <row r="62" spans="1:59" s="7" customFormat="1" x14ac:dyDescent="0.15">
      <c r="A62" s="148">
        <v>176</v>
      </c>
      <c r="B62" s="295">
        <v>41286</v>
      </c>
      <c r="C62" s="296" t="s">
        <v>278</v>
      </c>
      <c r="D62" s="297" t="s">
        <v>209</v>
      </c>
      <c r="E62" s="295">
        <v>42736</v>
      </c>
      <c r="F62" s="298" t="s">
        <v>220</v>
      </c>
      <c r="G62" s="297" t="s">
        <v>193</v>
      </c>
      <c r="H62" s="297">
        <v>79.09</v>
      </c>
      <c r="I62" s="208" t="s">
        <v>402</v>
      </c>
      <c r="J62" s="204">
        <v>6000</v>
      </c>
      <c r="K62" s="204">
        <v>12000</v>
      </c>
      <c r="L62" s="204">
        <v>12000</v>
      </c>
      <c r="M62" s="204">
        <v>12000</v>
      </c>
      <c r="N62" s="204"/>
      <c r="O62" s="297">
        <v>2.0489999999999999</v>
      </c>
      <c r="P62" s="297">
        <v>1.8819999999999999</v>
      </c>
      <c r="Q62" s="297">
        <v>1.51</v>
      </c>
      <c r="R62" s="297">
        <v>0</v>
      </c>
      <c r="S62" s="297">
        <v>1.5009999999999999</v>
      </c>
      <c r="T62" s="297"/>
      <c r="U62" s="297">
        <v>1.5740000000000001</v>
      </c>
      <c r="V62" s="297">
        <v>1.546</v>
      </c>
      <c r="W62" s="297">
        <v>1.476</v>
      </c>
      <c r="X62" s="297">
        <v>0</v>
      </c>
      <c r="Y62" s="297">
        <v>1.3580000000000001</v>
      </c>
      <c r="Z62" s="297"/>
      <c r="AA62" s="297"/>
      <c r="AB62" s="297"/>
      <c r="AC62" s="297"/>
      <c r="AD62" s="297"/>
      <c r="AE62" s="297"/>
      <c r="AF62" s="297"/>
      <c r="AG62" s="299" t="s">
        <v>281</v>
      </c>
      <c r="AH62" s="299" t="s">
        <v>282</v>
      </c>
      <c r="AI62" s="192">
        <v>2</v>
      </c>
      <c r="AJ62" s="192">
        <v>4</v>
      </c>
      <c r="AK62" s="245">
        <v>0.33329999999999999</v>
      </c>
      <c r="AL62" s="245">
        <v>0.66659999999999997</v>
      </c>
      <c r="AM62" s="299">
        <v>0</v>
      </c>
      <c r="AN62" s="299">
        <v>0</v>
      </c>
      <c r="AO62" s="299">
        <v>15</v>
      </c>
      <c r="AP62" s="299">
        <v>0</v>
      </c>
      <c r="AQ62" s="299">
        <v>0</v>
      </c>
      <c r="AR62" s="299">
        <v>0</v>
      </c>
      <c r="AS62" s="299">
        <v>0</v>
      </c>
      <c r="AT62" s="299">
        <v>0</v>
      </c>
      <c r="AU62" s="299">
        <v>0</v>
      </c>
      <c r="AV62" s="299">
        <v>0</v>
      </c>
      <c r="AW62" s="299">
        <v>24</v>
      </c>
      <c r="AX62" s="299" t="s">
        <v>233</v>
      </c>
      <c r="AY62" s="299"/>
      <c r="AZ62" s="299" t="s">
        <v>233</v>
      </c>
      <c r="BA62" s="298" t="s">
        <v>429</v>
      </c>
      <c r="BB62" s="297"/>
      <c r="BC62" s="299"/>
      <c r="BD62" s="299" t="s">
        <v>183</v>
      </c>
      <c r="BE62" s="298"/>
      <c r="BF62" t="s">
        <v>194</v>
      </c>
      <c r="BG62" t="s">
        <v>181</v>
      </c>
    </row>
    <row r="63" spans="1:59" s="7" customFormat="1" x14ac:dyDescent="0.15">
      <c r="A63" s="148">
        <v>317</v>
      </c>
      <c r="B63" s="295">
        <v>41286</v>
      </c>
      <c r="C63" s="296" t="s">
        <v>278</v>
      </c>
      <c r="D63" s="297" t="s">
        <v>209</v>
      </c>
      <c r="E63" s="295">
        <v>42736</v>
      </c>
      <c r="F63" s="297" t="s">
        <v>222</v>
      </c>
      <c r="G63" s="297" t="s">
        <v>187</v>
      </c>
      <c r="H63" s="297">
        <v>69.87</v>
      </c>
      <c r="I63" s="208" t="s">
        <v>402</v>
      </c>
      <c r="J63" s="204">
        <v>6000</v>
      </c>
      <c r="K63" s="204">
        <v>12000</v>
      </c>
      <c r="L63" s="204">
        <v>12000</v>
      </c>
      <c r="M63" s="204">
        <v>12000</v>
      </c>
      <c r="N63" s="204"/>
      <c r="O63" s="297">
        <v>1.8120000000000001</v>
      </c>
      <c r="P63" s="297">
        <v>1.661</v>
      </c>
      <c r="Q63" s="297">
        <v>1.401</v>
      </c>
      <c r="R63" s="297">
        <v>0</v>
      </c>
      <c r="S63" s="297">
        <v>1.395</v>
      </c>
      <c r="T63" s="297"/>
      <c r="U63" s="297">
        <v>1.411</v>
      </c>
      <c r="V63" s="297">
        <v>1.3919999999999999</v>
      </c>
      <c r="W63" s="297">
        <v>1.333</v>
      </c>
      <c r="X63" s="297">
        <v>0</v>
      </c>
      <c r="Y63" s="297">
        <v>1.2609999999999999</v>
      </c>
      <c r="Z63" s="297"/>
      <c r="AA63" s="297"/>
      <c r="AB63" s="297"/>
      <c r="AC63" s="297"/>
      <c r="AD63" s="297"/>
      <c r="AE63" s="297"/>
      <c r="AF63" s="297"/>
      <c r="AG63" s="299" t="s">
        <v>281</v>
      </c>
      <c r="AH63" s="299" t="s">
        <v>282</v>
      </c>
      <c r="AI63" s="192">
        <v>2</v>
      </c>
      <c r="AJ63" s="192">
        <v>4</v>
      </c>
      <c r="AK63" s="245">
        <v>0.33329999999999999</v>
      </c>
      <c r="AL63" s="245">
        <v>0.66659999999999997</v>
      </c>
      <c r="AM63" s="299">
        <v>0</v>
      </c>
      <c r="AN63" s="299">
        <v>0</v>
      </c>
      <c r="AO63" s="299">
        <v>0</v>
      </c>
      <c r="AP63" s="299">
        <v>0</v>
      </c>
      <c r="AQ63" s="299">
        <v>0</v>
      </c>
      <c r="AR63" s="299">
        <v>0</v>
      </c>
      <c r="AS63" s="299">
        <v>0</v>
      </c>
      <c r="AT63" s="299">
        <v>0</v>
      </c>
      <c r="AU63" s="299">
        <v>0</v>
      </c>
      <c r="AV63" s="299">
        <v>0</v>
      </c>
      <c r="AW63" s="297"/>
      <c r="AX63" s="299" t="s">
        <v>233</v>
      </c>
      <c r="AY63" s="299"/>
      <c r="AZ63" s="299" t="s">
        <v>233</v>
      </c>
      <c r="BA63" s="298" t="s">
        <v>195</v>
      </c>
      <c r="BB63" s="297" t="s">
        <v>178</v>
      </c>
      <c r="BC63" s="299">
        <v>50</v>
      </c>
      <c r="BD63" s="299" t="s">
        <v>183</v>
      </c>
      <c r="BE63" s="298"/>
      <c r="BF63" t="s">
        <v>213</v>
      </c>
      <c r="BG63" t="s">
        <v>181</v>
      </c>
    </row>
    <row r="64" spans="1:59" s="7" customFormat="1" x14ac:dyDescent="0.15">
      <c r="A64" s="148">
        <v>572</v>
      </c>
      <c r="B64" s="295">
        <v>41283</v>
      </c>
      <c r="C64" s="296" t="s">
        <v>278</v>
      </c>
      <c r="D64" s="297" t="s">
        <v>209</v>
      </c>
      <c r="E64" s="295">
        <v>42736</v>
      </c>
      <c r="F64" s="298" t="s">
        <v>224</v>
      </c>
      <c r="G64" s="297" t="s">
        <v>196</v>
      </c>
      <c r="H64" s="297">
        <v>82.22</v>
      </c>
      <c r="I64" s="208" t="s">
        <v>402</v>
      </c>
      <c r="J64" s="210">
        <v>3200</v>
      </c>
      <c r="K64" s="210">
        <v>3200</v>
      </c>
      <c r="L64" s="210">
        <v>3200</v>
      </c>
      <c r="M64" s="210">
        <v>3200</v>
      </c>
      <c r="N64" s="204"/>
      <c r="O64" s="297">
        <v>2.246</v>
      </c>
      <c r="P64" s="297">
        <v>0</v>
      </c>
      <c r="Q64" s="297">
        <v>0</v>
      </c>
      <c r="R64" s="297">
        <v>0</v>
      </c>
      <c r="S64" s="297">
        <v>1.9670000000000001</v>
      </c>
      <c r="T64" s="297"/>
      <c r="U64" s="297">
        <v>1.627</v>
      </c>
      <c r="V64" s="297">
        <v>0</v>
      </c>
      <c r="W64" s="297">
        <v>0</v>
      </c>
      <c r="X64" s="297">
        <v>0</v>
      </c>
      <c r="Y64" s="297">
        <v>1.43</v>
      </c>
      <c r="Z64" s="297"/>
      <c r="AA64" s="297"/>
      <c r="AB64" s="297"/>
      <c r="AC64" s="297"/>
      <c r="AD64" s="297"/>
      <c r="AE64" s="297"/>
      <c r="AF64" s="297"/>
      <c r="AG64" s="299" t="s">
        <v>281</v>
      </c>
      <c r="AH64" s="299" t="s">
        <v>282</v>
      </c>
      <c r="AI64" s="192">
        <v>2</v>
      </c>
      <c r="AJ64" s="192">
        <v>4</v>
      </c>
      <c r="AK64" s="245">
        <v>0.33329999999999999</v>
      </c>
      <c r="AL64" s="245">
        <v>0.66659999999999997</v>
      </c>
      <c r="AM64" s="299">
        <v>0</v>
      </c>
      <c r="AN64" s="299">
        <v>0</v>
      </c>
      <c r="AO64" s="299">
        <v>0</v>
      </c>
      <c r="AP64" s="299">
        <v>13</v>
      </c>
      <c r="AQ64" s="299">
        <v>0</v>
      </c>
      <c r="AR64" s="299">
        <v>0</v>
      </c>
      <c r="AS64" s="299">
        <v>0</v>
      </c>
      <c r="AT64" s="299">
        <v>0</v>
      </c>
      <c r="AU64" s="299">
        <v>0</v>
      </c>
      <c r="AV64" s="299">
        <v>0</v>
      </c>
      <c r="AW64" s="297"/>
      <c r="AX64" s="299" t="s">
        <v>233</v>
      </c>
      <c r="AY64" s="299">
        <v>12</v>
      </c>
      <c r="AZ64" s="299" t="s">
        <v>233</v>
      </c>
      <c r="BA64" s="298"/>
      <c r="BB64" s="298"/>
      <c r="BC64" s="299"/>
      <c r="BD64" s="299" t="s">
        <v>179</v>
      </c>
      <c r="BE64" s="298"/>
      <c r="BF64" t="s">
        <v>214</v>
      </c>
      <c r="BG64" t="s">
        <v>189</v>
      </c>
    </row>
    <row r="65" spans="1:59" s="7" customFormat="1" x14ac:dyDescent="0.15">
      <c r="A65" s="148">
        <v>238</v>
      </c>
      <c r="B65" s="295">
        <v>41286</v>
      </c>
      <c r="C65" s="296" t="s">
        <v>278</v>
      </c>
      <c r="D65" s="297" t="s">
        <v>209</v>
      </c>
      <c r="E65" s="295">
        <v>42767</v>
      </c>
      <c r="F65" s="298" t="s">
        <v>226</v>
      </c>
      <c r="G65" s="297" t="s">
        <v>197</v>
      </c>
      <c r="H65" s="297">
        <v>84</v>
      </c>
      <c r="I65" s="208" t="s">
        <v>402</v>
      </c>
      <c r="J65" s="210">
        <v>3200</v>
      </c>
      <c r="K65" s="210">
        <v>3200</v>
      </c>
      <c r="L65" s="210">
        <v>3200</v>
      </c>
      <c r="M65" s="210">
        <v>3200</v>
      </c>
      <c r="N65" s="204"/>
      <c r="O65" s="297">
        <v>2.14</v>
      </c>
      <c r="P65" s="297">
        <v>0</v>
      </c>
      <c r="Q65" s="297">
        <v>0</v>
      </c>
      <c r="R65" s="297">
        <v>0</v>
      </c>
      <c r="S65" s="297">
        <v>1.5880000000000001</v>
      </c>
      <c r="T65" s="297"/>
      <c r="U65" s="297">
        <v>1.754</v>
      </c>
      <c r="V65" s="297">
        <v>0</v>
      </c>
      <c r="W65" s="297">
        <v>0</v>
      </c>
      <c r="X65" s="297">
        <v>0</v>
      </c>
      <c r="Y65" s="297">
        <v>1.4159999999999999</v>
      </c>
      <c r="Z65" s="297"/>
      <c r="AA65" s="297"/>
      <c r="AB65" s="297"/>
      <c r="AC65" s="297"/>
      <c r="AD65" s="297"/>
      <c r="AE65" s="297"/>
      <c r="AF65" s="297"/>
      <c r="AG65" s="299" t="s">
        <v>281</v>
      </c>
      <c r="AH65" s="299" t="s">
        <v>282</v>
      </c>
      <c r="AI65" s="209">
        <v>2</v>
      </c>
      <c r="AJ65" s="209">
        <v>4</v>
      </c>
      <c r="AK65" s="245">
        <v>0.33329999999999999</v>
      </c>
      <c r="AL65" s="245">
        <v>0.66659999999999997</v>
      </c>
      <c r="AM65" s="299">
        <v>0</v>
      </c>
      <c r="AN65" s="299">
        <v>0</v>
      </c>
      <c r="AO65" s="299">
        <v>10</v>
      </c>
      <c r="AP65" s="299">
        <v>0</v>
      </c>
      <c r="AQ65" s="299">
        <v>0</v>
      </c>
      <c r="AR65" s="299">
        <v>0</v>
      </c>
      <c r="AS65" s="299">
        <v>0</v>
      </c>
      <c r="AT65" s="299">
        <v>0</v>
      </c>
      <c r="AU65" s="299">
        <v>0</v>
      </c>
      <c r="AV65" s="299">
        <v>0</v>
      </c>
      <c r="AW65" s="299"/>
      <c r="AX65" s="299" t="s">
        <v>233</v>
      </c>
      <c r="AY65" s="299"/>
      <c r="AZ65" s="299" t="s">
        <v>233</v>
      </c>
      <c r="BA65" s="298"/>
      <c r="BB65" s="297"/>
      <c r="BC65" s="299"/>
      <c r="BD65" s="299" t="s">
        <v>183</v>
      </c>
      <c r="BE65" s="298"/>
      <c r="BF65" t="s">
        <v>332</v>
      </c>
      <c r="BG65" t="s">
        <v>189</v>
      </c>
    </row>
    <row r="66" spans="1:59" s="7" customFormat="1" x14ac:dyDescent="0.15">
      <c r="A66" s="148">
        <v>793</v>
      </c>
      <c r="B66" s="295">
        <v>41285</v>
      </c>
      <c r="C66" s="296" t="s">
        <v>278</v>
      </c>
      <c r="D66" s="297" t="s">
        <v>209</v>
      </c>
      <c r="E66" s="295">
        <v>42767</v>
      </c>
      <c r="F66" s="298" t="s">
        <v>227</v>
      </c>
      <c r="G66" s="297" t="s">
        <v>198</v>
      </c>
      <c r="H66" s="297">
        <v>79.91</v>
      </c>
      <c r="I66" s="208" t="s">
        <v>402</v>
      </c>
      <c r="J66" s="204">
        <v>6000</v>
      </c>
      <c r="K66" s="204">
        <v>12000</v>
      </c>
      <c r="L66" s="204">
        <v>12000</v>
      </c>
      <c r="M66" s="204">
        <v>12000</v>
      </c>
      <c r="N66" s="204"/>
      <c r="O66" s="297">
        <v>1.89</v>
      </c>
      <c r="P66" s="297">
        <v>1.86</v>
      </c>
      <c r="Q66" s="297">
        <v>0</v>
      </c>
      <c r="R66" s="297">
        <v>0</v>
      </c>
      <c r="S66" s="297">
        <v>1.48</v>
      </c>
      <c r="T66" s="297"/>
      <c r="U66" s="297">
        <v>1.54</v>
      </c>
      <c r="V66" s="297">
        <v>1.51</v>
      </c>
      <c r="W66" s="297">
        <v>0</v>
      </c>
      <c r="X66" s="297">
        <v>0</v>
      </c>
      <c r="Y66" s="297">
        <v>1.43</v>
      </c>
      <c r="Z66" s="297"/>
      <c r="AA66" s="297"/>
      <c r="AB66" s="297"/>
      <c r="AC66" s="297"/>
      <c r="AD66" s="297"/>
      <c r="AE66" s="297"/>
      <c r="AF66" s="297"/>
      <c r="AG66" s="299" t="s">
        <v>281</v>
      </c>
      <c r="AH66" s="299" t="s">
        <v>282</v>
      </c>
      <c r="AI66" s="192">
        <v>2</v>
      </c>
      <c r="AJ66" s="192">
        <v>4</v>
      </c>
      <c r="AK66" s="245">
        <v>0.33329999999999999</v>
      </c>
      <c r="AL66" s="245">
        <v>0.66659999999999997</v>
      </c>
      <c r="AM66" s="299">
        <v>0</v>
      </c>
      <c r="AN66" s="299">
        <v>0</v>
      </c>
      <c r="AO66" s="299">
        <v>0</v>
      </c>
      <c r="AP66" s="299">
        <v>15</v>
      </c>
      <c r="AQ66" s="299">
        <v>0</v>
      </c>
      <c r="AR66" s="299">
        <v>0</v>
      </c>
      <c r="AS66" s="299">
        <v>0</v>
      </c>
      <c r="AT66" s="299">
        <v>0</v>
      </c>
      <c r="AU66" s="299">
        <v>0</v>
      </c>
      <c r="AV66" s="299">
        <v>0</v>
      </c>
      <c r="AW66" s="299">
        <v>24</v>
      </c>
      <c r="AX66" s="299" t="s">
        <v>233</v>
      </c>
      <c r="AY66" s="299"/>
      <c r="AZ66" s="299" t="s">
        <v>233</v>
      </c>
      <c r="BA66" s="298" t="s">
        <v>199</v>
      </c>
      <c r="BB66" s="297" t="s">
        <v>152</v>
      </c>
      <c r="BC66" s="299">
        <v>25</v>
      </c>
      <c r="BD66" s="299" t="s">
        <v>183</v>
      </c>
      <c r="BE66" s="298"/>
      <c r="BF66" t="s">
        <v>137</v>
      </c>
      <c r="BG66" t="s">
        <v>189</v>
      </c>
    </row>
    <row r="67" spans="1:59" s="219" customFormat="1" x14ac:dyDescent="0.15">
      <c r="A67" s="148">
        <v>83</v>
      </c>
      <c r="B67" s="295">
        <v>41285</v>
      </c>
      <c r="C67" s="296" t="s">
        <v>278</v>
      </c>
      <c r="D67" s="297" t="s">
        <v>334</v>
      </c>
      <c r="E67" s="295">
        <v>42736</v>
      </c>
      <c r="F67" s="298" t="s">
        <v>280</v>
      </c>
      <c r="G67" s="297" t="s">
        <v>176</v>
      </c>
      <c r="H67" s="297">
        <v>80.52</v>
      </c>
      <c r="I67" s="217" t="s">
        <v>402</v>
      </c>
      <c r="J67" s="213">
        <v>6000</v>
      </c>
      <c r="K67" s="213">
        <v>12000</v>
      </c>
      <c r="L67" s="213">
        <v>12000</v>
      </c>
      <c r="M67" s="213">
        <v>12000</v>
      </c>
      <c r="N67" s="213"/>
      <c r="O67" s="297">
        <v>2.1659999999999999</v>
      </c>
      <c r="P67" s="297">
        <v>2.0630000000000002</v>
      </c>
      <c r="Q67" s="297">
        <v>1.573</v>
      </c>
      <c r="R67" s="297">
        <v>0</v>
      </c>
      <c r="S67" s="297">
        <v>1.341</v>
      </c>
      <c r="T67" s="297"/>
      <c r="U67" s="297">
        <v>1.863</v>
      </c>
      <c r="V67" s="297">
        <v>1.623</v>
      </c>
      <c r="W67" s="297">
        <v>1.4870000000000001</v>
      </c>
      <c r="X67" s="297">
        <v>0</v>
      </c>
      <c r="Y67" s="297">
        <v>1.268</v>
      </c>
      <c r="Z67" s="297"/>
      <c r="AA67" s="297"/>
      <c r="AB67" s="297"/>
      <c r="AC67" s="297"/>
      <c r="AD67" s="297"/>
      <c r="AE67" s="297"/>
      <c r="AF67" s="297"/>
      <c r="AG67" s="299" t="s">
        <v>281</v>
      </c>
      <c r="AH67" s="299" t="s">
        <v>282</v>
      </c>
      <c r="AI67" s="192">
        <v>2</v>
      </c>
      <c r="AJ67" s="192">
        <v>4</v>
      </c>
      <c r="AK67" s="246">
        <v>0.33329999999999999</v>
      </c>
      <c r="AL67" s="246">
        <v>0.66659999999999997</v>
      </c>
      <c r="AM67" s="299">
        <v>0</v>
      </c>
      <c r="AN67" s="299">
        <v>0</v>
      </c>
      <c r="AO67" s="299">
        <v>0</v>
      </c>
      <c r="AP67" s="299">
        <v>15</v>
      </c>
      <c r="AQ67" s="299">
        <v>0</v>
      </c>
      <c r="AR67" s="299">
        <v>0</v>
      </c>
      <c r="AS67" s="299">
        <v>0</v>
      </c>
      <c r="AT67" s="299">
        <v>0</v>
      </c>
      <c r="AU67" s="299">
        <v>0</v>
      </c>
      <c r="AV67" s="299">
        <v>2</v>
      </c>
      <c r="AW67" s="299"/>
      <c r="AX67" s="299" t="s">
        <v>233</v>
      </c>
      <c r="AY67" s="299">
        <v>12</v>
      </c>
      <c r="AZ67" s="299" t="s">
        <v>233</v>
      </c>
      <c r="BA67" s="298" t="s">
        <v>177</v>
      </c>
      <c r="BB67" s="297" t="s">
        <v>178</v>
      </c>
      <c r="BC67" s="299">
        <v>50</v>
      </c>
      <c r="BD67" s="299" t="s">
        <v>179</v>
      </c>
      <c r="BE67" s="298"/>
      <c r="BF67" t="s">
        <v>138</v>
      </c>
      <c r="BG67" t="s">
        <v>181</v>
      </c>
    </row>
    <row r="68" spans="1:59" s="219" customFormat="1" x14ac:dyDescent="0.15">
      <c r="A68" s="148">
        <v>266</v>
      </c>
      <c r="B68" s="295">
        <v>41285</v>
      </c>
      <c r="C68" s="296" t="s">
        <v>278</v>
      </c>
      <c r="D68" s="297" t="s">
        <v>334</v>
      </c>
      <c r="E68" s="295">
        <v>42747</v>
      </c>
      <c r="F68" s="298" t="s">
        <v>286</v>
      </c>
      <c r="G68" s="297" t="s">
        <v>182</v>
      </c>
      <c r="H68" s="297">
        <v>65.88</v>
      </c>
      <c r="I68" s="217" t="s">
        <v>402</v>
      </c>
      <c r="J68" s="220">
        <v>6000</v>
      </c>
      <c r="K68" s="220">
        <v>6000</v>
      </c>
      <c r="L68" s="220">
        <v>6000</v>
      </c>
      <c r="M68" s="220">
        <v>6000</v>
      </c>
      <c r="N68" s="213"/>
      <c r="O68" s="297">
        <v>2.2599999999999998</v>
      </c>
      <c r="P68" s="297">
        <v>0</v>
      </c>
      <c r="Q68" s="297">
        <v>0</v>
      </c>
      <c r="R68" s="297">
        <v>0</v>
      </c>
      <c r="S68" s="297">
        <v>1.8</v>
      </c>
      <c r="T68" s="297"/>
      <c r="U68" s="297">
        <v>2.04</v>
      </c>
      <c r="V68" s="297">
        <v>0</v>
      </c>
      <c r="W68" s="297">
        <v>0</v>
      </c>
      <c r="X68" s="297">
        <v>0</v>
      </c>
      <c r="Y68" s="297">
        <v>1.65</v>
      </c>
      <c r="Z68" s="297"/>
      <c r="AA68" s="297"/>
      <c r="AB68" s="297"/>
      <c r="AC68" s="297"/>
      <c r="AD68" s="297"/>
      <c r="AE68" s="297"/>
      <c r="AF68" s="297"/>
      <c r="AG68" s="299" t="s">
        <v>281</v>
      </c>
      <c r="AH68" s="299" t="s">
        <v>282</v>
      </c>
      <c r="AI68" s="192">
        <v>2</v>
      </c>
      <c r="AJ68" s="192">
        <v>4</v>
      </c>
      <c r="AK68" s="246">
        <v>0.33329999999999999</v>
      </c>
      <c r="AL68" s="246">
        <v>0.66659999999999997</v>
      </c>
      <c r="AM68" s="299">
        <v>0</v>
      </c>
      <c r="AN68" s="299">
        <v>0</v>
      </c>
      <c r="AO68" s="299">
        <v>0</v>
      </c>
      <c r="AP68" s="299">
        <v>15</v>
      </c>
      <c r="AQ68" s="299">
        <v>0</v>
      </c>
      <c r="AR68" s="299">
        <v>0</v>
      </c>
      <c r="AS68" s="299">
        <v>0</v>
      </c>
      <c r="AT68" s="299">
        <v>0</v>
      </c>
      <c r="AU68" s="299">
        <v>0</v>
      </c>
      <c r="AV68" s="299">
        <v>0</v>
      </c>
      <c r="AW68" s="297"/>
      <c r="AX68" s="299" t="s">
        <v>233</v>
      </c>
      <c r="AY68" s="299">
        <v>24</v>
      </c>
      <c r="AZ68" s="299" t="s">
        <v>233</v>
      </c>
      <c r="BA68" s="298"/>
      <c r="BB68" s="297"/>
      <c r="BC68" s="299"/>
      <c r="BD68" s="299" t="s">
        <v>183</v>
      </c>
      <c r="BE68" s="298"/>
      <c r="BF68" t="s">
        <v>184</v>
      </c>
      <c r="BG68" t="s">
        <v>181</v>
      </c>
    </row>
    <row r="69" spans="1:59" s="219" customFormat="1" x14ac:dyDescent="0.15">
      <c r="A69" s="148">
        <v>280</v>
      </c>
      <c r="B69" s="295">
        <v>41285</v>
      </c>
      <c r="C69" s="296" t="s">
        <v>278</v>
      </c>
      <c r="D69" s="297" t="s">
        <v>334</v>
      </c>
      <c r="E69" s="295">
        <v>42736</v>
      </c>
      <c r="F69" s="298" t="s">
        <v>288</v>
      </c>
      <c r="G69" s="297" t="s">
        <v>185</v>
      </c>
      <c r="H69" s="297">
        <v>88</v>
      </c>
      <c r="I69" s="217" t="s">
        <v>402</v>
      </c>
      <c r="J69" s="213">
        <v>6000</v>
      </c>
      <c r="K69" s="213">
        <v>12000</v>
      </c>
      <c r="L69" s="213">
        <v>12000</v>
      </c>
      <c r="M69" s="213">
        <v>12000</v>
      </c>
      <c r="N69" s="213"/>
      <c r="O69" s="297">
        <v>2.6</v>
      </c>
      <c r="P69" s="297">
        <v>2.15</v>
      </c>
      <c r="Q69" s="297">
        <v>0</v>
      </c>
      <c r="R69" s="297">
        <v>0</v>
      </c>
      <c r="S69" s="297">
        <v>1.45</v>
      </c>
      <c r="T69" s="297"/>
      <c r="U69" s="297">
        <v>1.65</v>
      </c>
      <c r="V69" s="297">
        <v>1.6</v>
      </c>
      <c r="W69" s="297">
        <v>0</v>
      </c>
      <c r="X69" s="297">
        <v>0</v>
      </c>
      <c r="Y69" s="297">
        <v>1.45</v>
      </c>
      <c r="Z69" s="297"/>
      <c r="AA69" s="297"/>
      <c r="AB69" s="297"/>
      <c r="AC69" s="297"/>
      <c r="AD69" s="297"/>
      <c r="AE69" s="297"/>
      <c r="AF69" s="297"/>
      <c r="AG69" s="299" t="s">
        <v>281</v>
      </c>
      <c r="AH69" s="299" t="s">
        <v>282</v>
      </c>
      <c r="AI69" s="192">
        <v>2</v>
      </c>
      <c r="AJ69" s="192">
        <v>4</v>
      </c>
      <c r="AK69" s="246">
        <v>0.33329999999999999</v>
      </c>
      <c r="AL69" s="246">
        <v>0.66659999999999997</v>
      </c>
      <c r="AM69" s="299">
        <v>0</v>
      </c>
      <c r="AN69" s="299">
        <v>0</v>
      </c>
      <c r="AO69" s="299">
        <v>14</v>
      </c>
      <c r="AP69" s="299">
        <v>0</v>
      </c>
      <c r="AQ69" s="299">
        <v>0</v>
      </c>
      <c r="AR69" s="299">
        <v>0</v>
      </c>
      <c r="AS69" s="299">
        <v>0</v>
      </c>
      <c r="AT69" s="299">
        <v>0</v>
      </c>
      <c r="AU69" s="299">
        <v>0</v>
      </c>
      <c r="AV69" s="299">
        <v>0</v>
      </c>
      <c r="AW69" s="297"/>
      <c r="AX69" s="299" t="s">
        <v>233</v>
      </c>
      <c r="AY69" s="299"/>
      <c r="AZ69" s="299" t="s">
        <v>233</v>
      </c>
      <c r="BA69" s="298"/>
      <c r="BB69" s="297"/>
      <c r="BC69" s="299"/>
      <c r="BD69" s="299" t="s">
        <v>179</v>
      </c>
      <c r="BE69" s="298" t="s">
        <v>186</v>
      </c>
      <c r="BF69" t="s">
        <v>336</v>
      </c>
      <c r="BG69" t="s">
        <v>181</v>
      </c>
    </row>
    <row r="70" spans="1:59" s="219" customFormat="1" x14ac:dyDescent="0.15">
      <c r="A70" s="148">
        <v>332</v>
      </c>
      <c r="B70" s="295">
        <v>41285</v>
      </c>
      <c r="C70" s="296" t="s">
        <v>278</v>
      </c>
      <c r="D70" s="297" t="s">
        <v>334</v>
      </c>
      <c r="E70" s="295">
        <v>42767</v>
      </c>
      <c r="F70" s="298" t="s">
        <v>600</v>
      </c>
      <c r="G70" s="297" t="s">
        <v>187</v>
      </c>
      <c r="H70" s="297">
        <v>82</v>
      </c>
      <c r="I70" s="217" t="s">
        <v>402</v>
      </c>
      <c r="J70" s="213">
        <v>6000</v>
      </c>
      <c r="K70" s="213">
        <v>12000</v>
      </c>
      <c r="L70" s="204">
        <v>84000</v>
      </c>
      <c r="M70" s="204">
        <v>84000</v>
      </c>
      <c r="N70" s="213"/>
      <c r="O70" s="297">
        <v>3.1</v>
      </c>
      <c r="P70" s="297">
        <v>2.66</v>
      </c>
      <c r="Q70" s="297">
        <v>1.98</v>
      </c>
      <c r="R70" s="297">
        <v>0</v>
      </c>
      <c r="S70" s="297">
        <v>1.93</v>
      </c>
      <c r="T70" s="297"/>
      <c r="U70" s="297">
        <v>2.13</v>
      </c>
      <c r="V70" s="297">
        <v>1.93</v>
      </c>
      <c r="W70" s="297">
        <v>1.79</v>
      </c>
      <c r="X70" s="297">
        <v>0</v>
      </c>
      <c r="Y70" s="297">
        <v>1.68</v>
      </c>
      <c r="Z70" s="297"/>
      <c r="AA70" s="297"/>
      <c r="AB70" s="297"/>
      <c r="AC70" s="297"/>
      <c r="AD70" s="297"/>
      <c r="AE70" s="297"/>
      <c r="AF70" s="297"/>
      <c r="AG70" s="299" t="s">
        <v>281</v>
      </c>
      <c r="AH70" s="299" t="s">
        <v>282</v>
      </c>
      <c r="AI70" s="218">
        <v>3</v>
      </c>
      <c r="AJ70" s="218">
        <v>3</v>
      </c>
      <c r="AK70" s="246">
        <v>0.5</v>
      </c>
      <c r="AL70" s="246">
        <v>0.5</v>
      </c>
      <c r="AM70" s="299">
        <v>0</v>
      </c>
      <c r="AN70" s="299">
        <v>0</v>
      </c>
      <c r="AO70" s="299">
        <v>0</v>
      </c>
      <c r="AP70" s="299">
        <v>16</v>
      </c>
      <c r="AQ70" s="299">
        <v>0</v>
      </c>
      <c r="AR70" s="299">
        <v>0</v>
      </c>
      <c r="AS70" s="299">
        <v>0</v>
      </c>
      <c r="AT70" s="299">
        <v>0</v>
      </c>
      <c r="AU70" s="299">
        <v>0</v>
      </c>
      <c r="AV70" s="299">
        <v>0</v>
      </c>
      <c r="AW70" s="299">
        <v>12</v>
      </c>
      <c r="AX70" s="299" t="s">
        <v>281</v>
      </c>
      <c r="AY70" s="299"/>
      <c r="AZ70" s="299" t="s">
        <v>233</v>
      </c>
      <c r="BA70" s="298"/>
      <c r="BB70" s="297"/>
      <c r="BC70" s="299"/>
      <c r="BD70" s="299" t="s">
        <v>183</v>
      </c>
      <c r="BE70" s="298"/>
      <c r="BF70" t="s">
        <v>168</v>
      </c>
      <c r="BG70" t="s">
        <v>189</v>
      </c>
    </row>
    <row r="71" spans="1:59" s="219" customFormat="1" x14ac:dyDescent="0.15">
      <c r="A71" s="148">
        <v>879</v>
      </c>
      <c r="B71" s="295">
        <v>41286</v>
      </c>
      <c r="C71" s="296" t="s">
        <v>278</v>
      </c>
      <c r="D71" s="297" t="s">
        <v>334</v>
      </c>
      <c r="E71" s="295">
        <v>42711</v>
      </c>
      <c r="F71" s="298" t="s">
        <v>290</v>
      </c>
      <c r="G71" s="297" t="s">
        <v>187</v>
      </c>
      <c r="H71" s="297">
        <v>68.989999999999995</v>
      </c>
      <c r="I71" s="217" t="s">
        <v>402</v>
      </c>
      <c r="J71" s="220">
        <v>3500</v>
      </c>
      <c r="K71" s="220">
        <v>3500</v>
      </c>
      <c r="L71" s="220">
        <v>3500</v>
      </c>
      <c r="M71" s="220">
        <v>3500</v>
      </c>
      <c r="N71" s="213"/>
      <c r="O71" s="297">
        <v>2.4</v>
      </c>
      <c r="P71" s="297">
        <v>0</v>
      </c>
      <c r="Q71" s="297">
        <v>0</v>
      </c>
      <c r="R71" s="297">
        <v>0</v>
      </c>
      <c r="S71" s="297">
        <v>2.04</v>
      </c>
      <c r="T71" s="297"/>
      <c r="U71" s="297">
        <v>1.93</v>
      </c>
      <c r="V71" s="297">
        <v>0</v>
      </c>
      <c r="W71" s="297">
        <v>0</v>
      </c>
      <c r="X71" s="297">
        <v>0</v>
      </c>
      <c r="Y71" s="297">
        <v>1.59</v>
      </c>
      <c r="Z71" s="297"/>
      <c r="AA71" s="297"/>
      <c r="AB71" s="297"/>
      <c r="AC71" s="297"/>
      <c r="AD71" s="297"/>
      <c r="AE71" s="297"/>
      <c r="AF71" s="297"/>
      <c r="AG71" s="299" t="s">
        <v>281</v>
      </c>
      <c r="AH71" s="299" t="s">
        <v>282</v>
      </c>
      <c r="AI71" s="192">
        <v>2</v>
      </c>
      <c r="AJ71" s="192">
        <v>4</v>
      </c>
      <c r="AK71" s="246">
        <v>0.33329999999999999</v>
      </c>
      <c r="AL71" s="246">
        <v>0.66659999999999997</v>
      </c>
      <c r="AM71" s="299">
        <v>0</v>
      </c>
      <c r="AN71" s="299">
        <v>0</v>
      </c>
      <c r="AO71" s="299">
        <v>0</v>
      </c>
      <c r="AP71" s="299">
        <v>0</v>
      </c>
      <c r="AQ71" s="299">
        <v>0</v>
      </c>
      <c r="AR71" s="299">
        <v>20</v>
      </c>
      <c r="AS71" s="299">
        <v>0</v>
      </c>
      <c r="AT71" s="299">
        <v>0</v>
      </c>
      <c r="AU71" s="299">
        <v>0</v>
      </c>
      <c r="AV71" s="299">
        <v>0</v>
      </c>
      <c r="AW71" s="297"/>
      <c r="AX71" s="299" t="s">
        <v>233</v>
      </c>
      <c r="AY71" s="299"/>
      <c r="AZ71" s="299" t="s">
        <v>233</v>
      </c>
      <c r="BA71" s="298"/>
      <c r="BB71" s="297"/>
      <c r="BC71" s="299"/>
      <c r="BD71" s="299" t="s">
        <v>183</v>
      </c>
      <c r="BE71" s="298"/>
      <c r="BF71" t="s">
        <v>169</v>
      </c>
      <c r="BG71" t="s">
        <v>189</v>
      </c>
    </row>
    <row r="72" spans="1:59" s="219" customFormat="1" x14ac:dyDescent="0.15">
      <c r="A72" s="148">
        <v>164</v>
      </c>
      <c r="B72" s="295">
        <v>41286</v>
      </c>
      <c r="C72" s="296" t="s">
        <v>278</v>
      </c>
      <c r="D72" s="297" t="s">
        <v>334</v>
      </c>
      <c r="E72" s="295">
        <v>42737</v>
      </c>
      <c r="F72" s="298" t="s">
        <v>217</v>
      </c>
      <c r="G72" s="297" t="s">
        <v>190</v>
      </c>
      <c r="H72" s="297">
        <v>81.5</v>
      </c>
      <c r="I72" s="217" t="s">
        <v>402</v>
      </c>
      <c r="J72" s="213">
        <v>6000</v>
      </c>
      <c r="K72" s="213">
        <v>12000</v>
      </c>
      <c r="L72" s="213">
        <v>12000</v>
      </c>
      <c r="M72" s="213">
        <v>12000</v>
      </c>
      <c r="N72" s="213"/>
      <c r="O72" s="297">
        <v>2.68</v>
      </c>
      <c r="P72" s="297">
        <v>2.15</v>
      </c>
      <c r="Q72" s="297">
        <v>1.52</v>
      </c>
      <c r="R72" s="297">
        <v>0</v>
      </c>
      <c r="S72" s="297">
        <v>1.46</v>
      </c>
      <c r="T72" s="297"/>
      <c r="U72" s="297">
        <v>1.68</v>
      </c>
      <c r="V72" s="297">
        <v>1.58</v>
      </c>
      <c r="W72" s="297">
        <v>1.51</v>
      </c>
      <c r="X72" s="297">
        <v>0</v>
      </c>
      <c r="Y72" s="297">
        <v>1.35</v>
      </c>
      <c r="Z72" s="297"/>
      <c r="AA72" s="297"/>
      <c r="AB72" s="297"/>
      <c r="AC72" s="297"/>
      <c r="AD72" s="297"/>
      <c r="AE72" s="297"/>
      <c r="AF72" s="297"/>
      <c r="AG72" s="299" t="s">
        <v>281</v>
      </c>
      <c r="AH72" s="299" t="s">
        <v>282</v>
      </c>
      <c r="AI72" s="192">
        <v>2</v>
      </c>
      <c r="AJ72" s="192">
        <v>4</v>
      </c>
      <c r="AK72" s="246">
        <v>0.33329999999999999</v>
      </c>
      <c r="AL72" s="246">
        <v>0.66659999999999997</v>
      </c>
      <c r="AM72" s="299">
        <v>0</v>
      </c>
      <c r="AN72" s="299">
        <v>0</v>
      </c>
      <c r="AO72" s="299">
        <v>0</v>
      </c>
      <c r="AP72" s="299">
        <v>16</v>
      </c>
      <c r="AQ72" s="299">
        <v>0</v>
      </c>
      <c r="AR72" s="299">
        <v>0</v>
      </c>
      <c r="AS72" s="299">
        <v>0</v>
      </c>
      <c r="AT72" s="299">
        <v>4</v>
      </c>
      <c r="AU72" s="299">
        <v>0</v>
      </c>
      <c r="AV72" s="299">
        <v>0</v>
      </c>
      <c r="AW72" s="297"/>
      <c r="AX72" s="299" t="s">
        <v>233</v>
      </c>
      <c r="AY72" s="299">
        <v>12</v>
      </c>
      <c r="AZ72" s="299" t="s">
        <v>233</v>
      </c>
      <c r="BA72" s="298"/>
      <c r="BB72" s="298"/>
      <c r="BC72" s="300"/>
      <c r="BD72" s="299" t="s">
        <v>179</v>
      </c>
      <c r="BE72" s="298" t="s">
        <v>191</v>
      </c>
      <c r="BF72" t="s">
        <v>139</v>
      </c>
      <c r="BG72" t="s">
        <v>181</v>
      </c>
    </row>
    <row r="73" spans="1:59" s="219" customFormat="1" x14ac:dyDescent="0.15">
      <c r="A73" s="148">
        <v>178</v>
      </c>
      <c r="B73" s="295">
        <v>41286</v>
      </c>
      <c r="C73" s="296" t="s">
        <v>278</v>
      </c>
      <c r="D73" s="297" t="s">
        <v>334</v>
      </c>
      <c r="E73" s="295">
        <v>42736</v>
      </c>
      <c r="F73" s="298" t="s">
        <v>220</v>
      </c>
      <c r="G73" s="297" t="s">
        <v>193</v>
      </c>
      <c r="H73" s="297">
        <v>79.09</v>
      </c>
      <c r="I73" s="217" t="s">
        <v>402</v>
      </c>
      <c r="J73" s="213">
        <v>6000</v>
      </c>
      <c r="K73" s="213">
        <v>12000</v>
      </c>
      <c r="L73" s="213">
        <v>12000</v>
      </c>
      <c r="M73" s="213">
        <v>12000</v>
      </c>
      <c r="N73" s="213"/>
      <c r="O73" s="297">
        <v>2.4729999999999999</v>
      </c>
      <c r="P73" s="297">
        <v>2.0670000000000002</v>
      </c>
      <c r="Q73" s="297">
        <v>1.4039999999999999</v>
      </c>
      <c r="R73" s="297">
        <v>0</v>
      </c>
      <c r="S73" s="297">
        <v>1.373</v>
      </c>
      <c r="T73" s="297"/>
      <c r="U73" s="297">
        <v>1.615</v>
      </c>
      <c r="V73" s="297">
        <v>1.5549999999999999</v>
      </c>
      <c r="W73" s="297">
        <v>1.397</v>
      </c>
      <c r="X73" s="297">
        <v>0</v>
      </c>
      <c r="Y73" s="297">
        <v>1.3089999999999999</v>
      </c>
      <c r="Z73" s="297"/>
      <c r="AA73" s="297"/>
      <c r="AB73" s="297"/>
      <c r="AC73" s="297"/>
      <c r="AD73" s="297"/>
      <c r="AE73" s="297"/>
      <c r="AF73" s="297"/>
      <c r="AG73" s="299" t="s">
        <v>281</v>
      </c>
      <c r="AH73" s="299" t="s">
        <v>282</v>
      </c>
      <c r="AI73" s="192">
        <v>2</v>
      </c>
      <c r="AJ73" s="192">
        <v>4</v>
      </c>
      <c r="AK73" s="246">
        <v>0.33329999999999999</v>
      </c>
      <c r="AL73" s="246">
        <v>0.66659999999999997</v>
      </c>
      <c r="AM73" s="299">
        <v>0</v>
      </c>
      <c r="AN73" s="299">
        <v>0</v>
      </c>
      <c r="AO73" s="299">
        <v>15</v>
      </c>
      <c r="AP73" s="299">
        <v>0</v>
      </c>
      <c r="AQ73" s="299">
        <v>0</v>
      </c>
      <c r="AR73" s="299">
        <v>0</v>
      </c>
      <c r="AS73" s="299">
        <v>0</v>
      </c>
      <c r="AT73" s="299">
        <v>0</v>
      </c>
      <c r="AU73" s="299">
        <v>0</v>
      </c>
      <c r="AV73" s="299">
        <v>0</v>
      </c>
      <c r="AW73" s="299">
        <v>24</v>
      </c>
      <c r="AX73" s="299" t="s">
        <v>233</v>
      </c>
      <c r="AY73" s="299"/>
      <c r="AZ73" s="299" t="s">
        <v>233</v>
      </c>
      <c r="BA73" s="298" t="s">
        <v>429</v>
      </c>
      <c r="BB73" s="297"/>
      <c r="BC73" s="299"/>
      <c r="BD73" s="299" t="s">
        <v>183</v>
      </c>
      <c r="BE73" s="298"/>
      <c r="BF73" t="s">
        <v>194</v>
      </c>
      <c r="BG73" t="s">
        <v>181</v>
      </c>
    </row>
    <row r="74" spans="1:59" s="219" customFormat="1" x14ac:dyDescent="0.15">
      <c r="A74" s="148">
        <v>319</v>
      </c>
      <c r="B74" s="295">
        <v>41286</v>
      </c>
      <c r="C74" s="296" t="s">
        <v>278</v>
      </c>
      <c r="D74" s="297" t="s">
        <v>334</v>
      </c>
      <c r="E74" s="295">
        <v>42736</v>
      </c>
      <c r="F74" s="297" t="s">
        <v>222</v>
      </c>
      <c r="G74" s="297" t="s">
        <v>187</v>
      </c>
      <c r="H74" s="297">
        <v>66.319999999999993</v>
      </c>
      <c r="I74" s="217" t="s">
        <v>402</v>
      </c>
      <c r="J74" s="213">
        <v>6000</v>
      </c>
      <c r="K74" s="213">
        <v>12000</v>
      </c>
      <c r="L74" s="213">
        <v>12000</v>
      </c>
      <c r="M74" s="213">
        <v>12000</v>
      </c>
      <c r="N74" s="213"/>
      <c r="O74" s="297">
        <v>2.1669999999999998</v>
      </c>
      <c r="P74" s="297">
        <v>1.792</v>
      </c>
      <c r="Q74" s="297">
        <v>1.3280000000000001</v>
      </c>
      <c r="R74" s="297">
        <v>0</v>
      </c>
      <c r="S74" s="297">
        <v>1.3069999999999999</v>
      </c>
      <c r="T74" s="297"/>
      <c r="U74" s="297">
        <v>1.4410000000000001</v>
      </c>
      <c r="V74" s="297">
        <v>1.399</v>
      </c>
      <c r="W74" s="297">
        <v>1.2889999999999999</v>
      </c>
      <c r="X74" s="297">
        <v>0</v>
      </c>
      <c r="Y74" s="297">
        <v>1.228</v>
      </c>
      <c r="Z74" s="297"/>
      <c r="AA74" s="297"/>
      <c r="AB74" s="297"/>
      <c r="AC74" s="297"/>
      <c r="AD74" s="297"/>
      <c r="AE74" s="297"/>
      <c r="AF74" s="297"/>
      <c r="AG74" s="299" t="s">
        <v>281</v>
      </c>
      <c r="AH74" s="299" t="s">
        <v>282</v>
      </c>
      <c r="AI74" s="192">
        <v>2</v>
      </c>
      <c r="AJ74" s="192">
        <v>4</v>
      </c>
      <c r="AK74" s="246">
        <v>0.33329999999999999</v>
      </c>
      <c r="AL74" s="246">
        <v>0.66659999999999997</v>
      </c>
      <c r="AM74" s="299">
        <v>0</v>
      </c>
      <c r="AN74" s="299">
        <v>0</v>
      </c>
      <c r="AO74" s="299">
        <v>0</v>
      </c>
      <c r="AP74" s="299">
        <v>0</v>
      </c>
      <c r="AQ74" s="299">
        <v>0</v>
      </c>
      <c r="AR74" s="299">
        <v>0</v>
      </c>
      <c r="AS74" s="299">
        <v>0</v>
      </c>
      <c r="AT74" s="299">
        <v>0</v>
      </c>
      <c r="AU74" s="299">
        <v>0</v>
      </c>
      <c r="AV74" s="299">
        <v>0</v>
      </c>
      <c r="AW74" s="297"/>
      <c r="AX74" s="299" t="s">
        <v>233</v>
      </c>
      <c r="AY74" s="299"/>
      <c r="AZ74" s="299" t="s">
        <v>233</v>
      </c>
      <c r="BA74" s="298" t="s">
        <v>195</v>
      </c>
      <c r="BB74" s="297" t="s">
        <v>178</v>
      </c>
      <c r="BC74" s="299">
        <v>50</v>
      </c>
      <c r="BD74" s="299" t="s">
        <v>183</v>
      </c>
      <c r="BE74" s="298"/>
      <c r="BF74" t="s">
        <v>213</v>
      </c>
      <c r="BG74" t="s">
        <v>181</v>
      </c>
    </row>
    <row r="75" spans="1:59" s="219" customFormat="1" x14ac:dyDescent="0.15">
      <c r="A75" s="148">
        <v>574</v>
      </c>
      <c r="B75" s="295">
        <v>41283</v>
      </c>
      <c r="C75" s="296" t="s">
        <v>278</v>
      </c>
      <c r="D75" s="297" t="s">
        <v>334</v>
      </c>
      <c r="E75" s="295">
        <v>42736</v>
      </c>
      <c r="F75" s="298" t="s">
        <v>224</v>
      </c>
      <c r="G75" s="297" t="s">
        <v>196</v>
      </c>
      <c r="H75" s="297">
        <v>81.58</v>
      </c>
      <c r="I75" s="217" t="s">
        <v>402</v>
      </c>
      <c r="J75" s="220">
        <v>3200</v>
      </c>
      <c r="K75" s="220">
        <v>3200</v>
      </c>
      <c r="L75" s="220">
        <v>3200</v>
      </c>
      <c r="M75" s="220">
        <v>3200</v>
      </c>
      <c r="N75" s="213"/>
      <c r="O75" s="297">
        <v>2.629</v>
      </c>
      <c r="P75" s="297">
        <v>0</v>
      </c>
      <c r="Q75" s="297">
        <v>0</v>
      </c>
      <c r="R75" s="297">
        <v>0</v>
      </c>
      <c r="S75" s="297">
        <v>2.0870000000000002</v>
      </c>
      <c r="T75" s="297"/>
      <c r="U75" s="297">
        <v>1.8420000000000001</v>
      </c>
      <c r="V75" s="297">
        <v>0</v>
      </c>
      <c r="W75" s="297">
        <v>0</v>
      </c>
      <c r="X75" s="297">
        <v>0</v>
      </c>
      <c r="Y75" s="297">
        <v>1.4650000000000001</v>
      </c>
      <c r="Z75" s="297"/>
      <c r="AA75" s="297"/>
      <c r="AB75" s="297"/>
      <c r="AC75" s="297"/>
      <c r="AD75" s="297"/>
      <c r="AE75" s="297"/>
      <c r="AF75" s="297"/>
      <c r="AG75" s="299" t="s">
        <v>281</v>
      </c>
      <c r="AH75" s="299" t="s">
        <v>282</v>
      </c>
      <c r="AI75" s="192">
        <v>2</v>
      </c>
      <c r="AJ75" s="192">
        <v>4</v>
      </c>
      <c r="AK75" s="246">
        <v>0.33329999999999999</v>
      </c>
      <c r="AL75" s="246">
        <v>0.66659999999999997</v>
      </c>
      <c r="AM75" s="299">
        <v>0</v>
      </c>
      <c r="AN75" s="299">
        <v>0</v>
      </c>
      <c r="AO75" s="299">
        <v>0</v>
      </c>
      <c r="AP75" s="299">
        <v>13</v>
      </c>
      <c r="AQ75" s="299">
        <v>0</v>
      </c>
      <c r="AR75" s="299">
        <v>0</v>
      </c>
      <c r="AS75" s="299">
        <v>0</v>
      </c>
      <c r="AT75" s="299">
        <v>0</v>
      </c>
      <c r="AU75" s="299">
        <v>0</v>
      </c>
      <c r="AV75" s="299">
        <v>0</v>
      </c>
      <c r="AW75" s="297"/>
      <c r="AX75" s="299" t="s">
        <v>233</v>
      </c>
      <c r="AY75" s="299">
        <v>12</v>
      </c>
      <c r="AZ75" s="299" t="s">
        <v>233</v>
      </c>
      <c r="BA75" s="298"/>
      <c r="BB75" s="298"/>
      <c r="BC75" s="299"/>
      <c r="BD75" s="299" t="s">
        <v>179</v>
      </c>
      <c r="BE75" s="298"/>
      <c r="BF75" t="s">
        <v>171</v>
      </c>
      <c r="BG75" t="s">
        <v>189</v>
      </c>
    </row>
    <row r="76" spans="1:59" s="219" customFormat="1" x14ac:dyDescent="0.15">
      <c r="A76" s="148">
        <v>240</v>
      </c>
      <c r="B76" s="295">
        <v>41286</v>
      </c>
      <c r="C76" s="296" t="s">
        <v>278</v>
      </c>
      <c r="D76" s="297" t="s">
        <v>334</v>
      </c>
      <c r="E76" s="295">
        <v>42767</v>
      </c>
      <c r="F76" s="298" t="s">
        <v>226</v>
      </c>
      <c r="G76" s="297" t="s">
        <v>197</v>
      </c>
      <c r="H76" s="297">
        <v>84</v>
      </c>
      <c r="I76" s="217" t="s">
        <v>402</v>
      </c>
      <c r="J76" s="220">
        <v>3500</v>
      </c>
      <c r="K76" s="220">
        <v>3500</v>
      </c>
      <c r="L76" s="220">
        <v>3500</v>
      </c>
      <c r="M76" s="220">
        <v>3500</v>
      </c>
      <c r="N76" s="213"/>
      <c r="O76" s="297">
        <v>2.4430000000000001</v>
      </c>
      <c r="P76" s="297">
        <v>0</v>
      </c>
      <c r="Q76" s="297">
        <v>0</v>
      </c>
      <c r="R76" s="297">
        <v>0</v>
      </c>
      <c r="S76" s="297">
        <v>1.843</v>
      </c>
      <c r="T76" s="297"/>
      <c r="U76" s="297">
        <v>1.6990000000000001</v>
      </c>
      <c r="V76" s="297">
        <v>0</v>
      </c>
      <c r="W76" s="297">
        <v>0</v>
      </c>
      <c r="X76" s="297">
        <v>0</v>
      </c>
      <c r="Y76" s="297">
        <v>1.329</v>
      </c>
      <c r="Z76" s="297"/>
      <c r="AA76" s="297"/>
      <c r="AB76" s="297"/>
      <c r="AC76" s="297"/>
      <c r="AD76" s="297"/>
      <c r="AE76" s="297"/>
      <c r="AF76" s="297"/>
      <c r="AG76" s="299" t="s">
        <v>281</v>
      </c>
      <c r="AH76" s="299" t="s">
        <v>282</v>
      </c>
      <c r="AI76" s="218">
        <v>2</v>
      </c>
      <c r="AJ76" s="218">
        <v>4</v>
      </c>
      <c r="AK76" s="246">
        <v>0.33329999999999999</v>
      </c>
      <c r="AL76" s="246">
        <v>0.66659999999999997</v>
      </c>
      <c r="AM76" s="299">
        <v>0</v>
      </c>
      <c r="AN76" s="299">
        <v>0</v>
      </c>
      <c r="AO76" s="299">
        <v>10</v>
      </c>
      <c r="AP76" s="299">
        <v>0</v>
      </c>
      <c r="AQ76" s="299">
        <v>0</v>
      </c>
      <c r="AR76" s="299">
        <v>0</v>
      </c>
      <c r="AS76" s="299">
        <v>0</v>
      </c>
      <c r="AT76" s="299">
        <v>0</v>
      </c>
      <c r="AU76" s="299">
        <v>0</v>
      </c>
      <c r="AV76" s="299">
        <v>0</v>
      </c>
      <c r="AW76" s="299"/>
      <c r="AX76" s="299" t="s">
        <v>233</v>
      </c>
      <c r="AY76" s="299"/>
      <c r="AZ76" s="299" t="s">
        <v>233</v>
      </c>
      <c r="BA76" s="298"/>
      <c r="BB76" s="297"/>
      <c r="BC76" s="299"/>
      <c r="BD76" s="299" t="s">
        <v>183</v>
      </c>
      <c r="BE76" s="298"/>
      <c r="BF76" t="s">
        <v>294</v>
      </c>
      <c r="BG76" t="s">
        <v>189</v>
      </c>
    </row>
    <row r="77" spans="1:59" s="219" customFormat="1" x14ac:dyDescent="0.15">
      <c r="A77" s="148">
        <v>799</v>
      </c>
      <c r="B77" s="295">
        <v>41285</v>
      </c>
      <c r="C77" s="296" t="s">
        <v>295</v>
      </c>
      <c r="D77" s="297" t="s">
        <v>334</v>
      </c>
      <c r="E77" s="295">
        <v>42767</v>
      </c>
      <c r="F77" s="298" t="s">
        <v>984</v>
      </c>
      <c r="G77" s="297" t="s">
        <v>198</v>
      </c>
      <c r="H77" s="297">
        <v>79.91</v>
      </c>
      <c r="I77" s="217" t="s">
        <v>296</v>
      </c>
      <c r="J77" s="213">
        <v>6000</v>
      </c>
      <c r="K77" s="213">
        <v>12000</v>
      </c>
      <c r="L77" s="213">
        <v>12000</v>
      </c>
      <c r="M77" s="213">
        <v>12000</v>
      </c>
      <c r="N77" s="213"/>
      <c r="O77" s="297">
        <v>2.19</v>
      </c>
      <c r="P77" s="297">
        <v>2.15</v>
      </c>
      <c r="Q77" s="297">
        <v>0</v>
      </c>
      <c r="R77" s="297">
        <v>0</v>
      </c>
      <c r="S77" s="297">
        <v>1.46</v>
      </c>
      <c r="T77" s="297"/>
      <c r="U77" s="297">
        <v>1.68</v>
      </c>
      <c r="V77" s="297">
        <v>1.61</v>
      </c>
      <c r="W77" s="297">
        <v>0</v>
      </c>
      <c r="X77" s="297">
        <v>0</v>
      </c>
      <c r="Y77" s="297">
        <v>1.45</v>
      </c>
      <c r="Z77" s="297"/>
      <c r="AA77" s="297"/>
      <c r="AB77" s="297"/>
      <c r="AC77" s="297"/>
      <c r="AD77" s="297"/>
      <c r="AE77" s="297"/>
      <c r="AF77" s="297"/>
      <c r="AG77" s="299" t="s">
        <v>297</v>
      </c>
      <c r="AH77" s="299" t="s">
        <v>298</v>
      </c>
      <c r="AI77" s="192">
        <v>2</v>
      </c>
      <c r="AJ77" s="192">
        <v>4</v>
      </c>
      <c r="AK77" s="246">
        <v>0.33329999999999999</v>
      </c>
      <c r="AL77" s="246">
        <v>0.66659999999999997</v>
      </c>
      <c r="AM77" s="299">
        <v>0</v>
      </c>
      <c r="AN77" s="299">
        <v>0</v>
      </c>
      <c r="AO77" s="299">
        <v>0</v>
      </c>
      <c r="AP77" s="299">
        <v>15</v>
      </c>
      <c r="AQ77" s="299">
        <v>0</v>
      </c>
      <c r="AR77" s="299">
        <v>0</v>
      </c>
      <c r="AS77" s="299">
        <v>0</v>
      </c>
      <c r="AT77" s="299">
        <v>0</v>
      </c>
      <c r="AU77" s="299">
        <v>0</v>
      </c>
      <c r="AV77" s="299">
        <v>0</v>
      </c>
      <c r="AW77" s="299">
        <v>24</v>
      </c>
      <c r="AX77" s="299" t="s">
        <v>233</v>
      </c>
      <c r="AY77" s="299"/>
      <c r="AZ77" s="299" t="s">
        <v>233</v>
      </c>
      <c r="BA77" s="298" t="s">
        <v>199</v>
      </c>
      <c r="BB77" s="297" t="s">
        <v>152</v>
      </c>
      <c r="BC77" s="299">
        <v>25</v>
      </c>
      <c r="BD77" s="299" t="s">
        <v>183</v>
      </c>
      <c r="BE77" s="298"/>
      <c r="BF77" t="s">
        <v>140</v>
      </c>
      <c r="BG77" t="s">
        <v>189</v>
      </c>
    </row>
    <row r="78" spans="1:59" s="31" customFormat="1" x14ac:dyDescent="0.15">
      <c r="A78" s="148">
        <v>82</v>
      </c>
      <c r="B78" s="295">
        <v>41285</v>
      </c>
      <c r="C78" s="296" t="s">
        <v>278</v>
      </c>
      <c r="D78" s="297" t="s">
        <v>172</v>
      </c>
      <c r="E78" s="295">
        <v>42736</v>
      </c>
      <c r="F78" s="298" t="s">
        <v>280</v>
      </c>
      <c r="G78" s="297" t="s">
        <v>176</v>
      </c>
      <c r="H78" s="297">
        <v>78.680000000000007</v>
      </c>
      <c r="I78" s="227" t="s">
        <v>402</v>
      </c>
      <c r="J78" s="223">
        <v>6000</v>
      </c>
      <c r="K78" s="223">
        <v>12000</v>
      </c>
      <c r="L78" s="223">
        <v>12000</v>
      </c>
      <c r="M78" s="223">
        <v>12000</v>
      </c>
      <c r="N78" s="223"/>
      <c r="O78" s="297">
        <v>2.181</v>
      </c>
      <c r="P78" s="297">
        <v>2.0630000000000002</v>
      </c>
      <c r="Q78" s="297">
        <v>1.371</v>
      </c>
      <c r="R78" s="297">
        <v>0</v>
      </c>
      <c r="S78" s="297">
        <v>1.327</v>
      </c>
      <c r="T78" s="297"/>
      <c r="U78" s="297">
        <v>1.994</v>
      </c>
      <c r="V78" s="297">
        <v>1.52</v>
      </c>
      <c r="W78" s="297">
        <v>1.361</v>
      </c>
      <c r="X78" s="297">
        <v>0</v>
      </c>
      <c r="Y78" s="297">
        <v>1.2310000000000001</v>
      </c>
      <c r="Z78" s="297"/>
      <c r="AA78" s="297"/>
      <c r="AB78" s="297"/>
      <c r="AC78" s="297"/>
      <c r="AD78" s="297"/>
      <c r="AE78" s="297"/>
      <c r="AF78" s="297"/>
      <c r="AG78" s="299" t="s">
        <v>281</v>
      </c>
      <c r="AH78" s="299" t="s">
        <v>282</v>
      </c>
      <c r="AI78" s="192">
        <v>2</v>
      </c>
      <c r="AJ78" s="192">
        <v>4</v>
      </c>
      <c r="AK78" s="247">
        <v>0.33329999999999999</v>
      </c>
      <c r="AL78" s="247">
        <v>0.66659999999999997</v>
      </c>
      <c r="AM78" s="299">
        <v>0</v>
      </c>
      <c r="AN78" s="299">
        <v>0</v>
      </c>
      <c r="AO78" s="299">
        <v>0</v>
      </c>
      <c r="AP78" s="299">
        <v>15</v>
      </c>
      <c r="AQ78" s="299">
        <v>0</v>
      </c>
      <c r="AR78" s="299">
        <v>0</v>
      </c>
      <c r="AS78" s="299">
        <v>0</v>
      </c>
      <c r="AT78" s="299">
        <v>0</v>
      </c>
      <c r="AU78" s="299">
        <v>0</v>
      </c>
      <c r="AV78" s="299">
        <v>2</v>
      </c>
      <c r="AW78" s="299"/>
      <c r="AX78" s="299" t="s">
        <v>233</v>
      </c>
      <c r="AY78" s="299">
        <v>12</v>
      </c>
      <c r="AZ78" s="299" t="s">
        <v>233</v>
      </c>
      <c r="BA78" s="298" t="s">
        <v>177</v>
      </c>
      <c r="BB78" s="297" t="s">
        <v>178</v>
      </c>
      <c r="BC78" s="299">
        <v>50</v>
      </c>
      <c r="BD78" s="299" t="s">
        <v>179</v>
      </c>
      <c r="BE78" s="298"/>
      <c r="BF78" t="s">
        <v>141</v>
      </c>
      <c r="BG78" t="s">
        <v>181</v>
      </c>
    </row>
    <row r="79" spans="1:59" s="31" customFormat="1" x14ac:dyDescent="0.15">
      <c r="A79" s="148">
        <v>265</v>
      </c>
      <c r="B79" s="295">
        <v>41285</v>
      </c>
      <c r="C79" s="296" t="s">
        <v>278</v>
      </c>
      <c r="D79" s="297" t="s">
        <v>172</v>
      </c>
      <c r="E79" s="295">
        <v>42747</v>
      </c>
      <c r="F79" s="298" t="s">
        <v>286</v>
      </c>
      <c r="G79" s="297" t="s">
        <v>182</v>
      </c>
      <c r="H79" s="297">
        <v>66.010000000000005</v>
      </c>
      <c r="I79" s="227" t="s">
        <v>402</v>
      </c>
      <c r="J79" s="229">
        <v>6000</v>
      </c>
      <c r="K79" s="229">
        <v>6000</v>
      </c>
      <c r="L79" s="229">
        <v>6000</v>
      </c>
      <c r="M79" s="229">
        <v>6000</v>
      </c>
      <c r="N79" s="223"/>
      <c r="O79" s="297">
        <v>2.2400000000000002</v>
      </c>
      <c r="P79" s="297">
        <v>0</v>
      </c>
      <c r="Q79" s="297">
        <v>0</v>
      </c>
      <c r="R79" s="297">
        <v>0</v>
      </c>
      <c r="S79" s="297">
        <v>1.75</v>
      </c>
      <c r="T79" s="297"/>
      <c r="U79" s="297">
        <v>2.13</v>
      </c>
      <c r="V79" s="297">
        <v>0</v>
      </c>
      <c r="W79" s="297">
        <v>0</v>
      </c>
      <c r="X79" s="297">
        <v>0</v>
      </c>
      <c r="Y79" s="297">
        <v>1.63</v>
      </c>
      <c r="Z79" s="297"/>
      <c r="AA79" s="297"/>
      <c r="AB79" s="297"/>
      <c r="AC79" s="297"/>
      <c r="AD79" s="297"/>
      <c r="AE79" s="297"/>
      <c r="AF79" s="297"/>
      <c r="AG79" s="299" t="s">
        <v>281</v>
      </c>
      <c r="AH79" s="299" t="s">
        <v>282</v>
      </c>
      <c r="AI79" s="192">
        <v>2</v>
      </c>
      <c r="AJ79" s="192">
        <v>4</v>
      </c>
      <c r="AK79" s="247">
        <v>0.33329999999999999</v>
      </c>
      <c r="AL79" s="247">
        <v>0.66659999999999997</v>
      </c>
      <c r="AM79" s="299">
        <v>0</v>
      </c>
      <c r="AN79" s="299">
        <v>0</v>
      </c>
      <c r="AO79" s="299">
        <v>0</v>
      </c>
      <c r="AP79" s="299">
        <v>15</v>
      </c>
      <c r="AQ79" s="299">
        <v>0</v>
      </c>
      <c r="AR79" s="299">
        <v>0</v>
      </c>
      <c r="AS79" s="299">
        <v>0</v>
      </c>
      <c r="AT79" s="299">
        <v>0</v>
      </c>
      <c r="AU79" s="299">
        <v>0</v>
      </c>
      <c r="AV79" s="299">
        <v>0</v>
      </c>
      <c r="AW79" s="297"/>
      <c r="AX79" s="299" t="s">
        <v>233</v>
      </c>
      <c r="AY79" s="299">
        <v>24</v>
      </c>
      <c r="AZ79" s="299" t="s">
        <v>233</v>
      </c>
      <c r="BA79" s="298"/>
      <c r="BB79" s="297"/>
      <c r="BC79" s="299"/>
      <c r="BD79" s="299" t="s">
        <v>183</v>
      </c>
      <c r="BE79" s="298"/>
      <c r="BF79" t="s">
        <v>184</v>
      </c>
      <c r="BG79" t="s">
        <v>181</v>
      </c>
    </row>
    <row r="80" spans="1:59" s="31" customFormat="1" x14ac:dyDescent="0.15">
      <c r="A80" s="148">
        <v>279</v>
      </c>
      <c r="B80" s="295">
        <v>41285</v>
      </c>
      <c r="C80" s="296" t="s">
        <v>278</v>
      </c>
      <c r="D80" s="297" t="s">
        <v>172</v>
      </c>
      <c r="E80" s="295">
        <v>42736</v>
      </c>
      <c r="F80" s="298" t="s">
        <v>288</v>
      </c>
      <c r="G80" s="297" t="s">
        <v>185</v>
      </c>
      <c r="H80" s="297">
        <v>88</v>
      </c>
      <c r="I80" s="227" t="s">
        <v>402</v>
      </c>
      <c r="J80" s="223">
        <v>6000</v>
      </c>
      <c r="K80" s="223">
        <v>12000</v>
      </c>
      <c r="L80" s="223">
        <v>12000</v>
      </c>
      <c r="M80" s="223">
        <v>12000</v>
      </c>
      <c r="N80" s="223"/>
      <c r="O80" s="297">
        <v>2.6</v>
      </c>
      <c r="P80" s="297">
        <v>2.15</v>
      </c>
      <c r="Q80" s="297">
        <v>0</v>
      </c>
      <c r="R80" s="297">
        <v>0</v>
      </c>
      <c r="S80" s="297">
        <v>1.45</v>
      </c>
      <c r="T80" s="297"/>
      <c r="U80" s="297">
        <v>1.65</v>
      </c>
      <c r="V80" s="297">
        <v>1.6</v>
      </c>
      <c r="W80" s="297">
        <v>0</v>
      </c>
      <c r="X80" s="297">
        <v>0</v>
      </c>
      <c r="Y80" s="297">
        <v>1.45</v>
      </c>
      <c r="Z80" s="297"/>
      <c r="AA80" s="297"/>
      <c r="AB80" s="297"/>
      <c r="AC80" s="297"/>
      <c r="AD80" s="297"/>
      <c r="AE80" s="297"/>
      <c r="AF80" s="297"/>
      <c r="AG80" s="299" t="s">
        <v>281</v>
      </c>
      <c r="AH80" s="299" t="s">
        <v>282</v>
      </c>
      <c r="AI80" s="192">
        <v>2</v>
      </c>
      <c r="AJ80" s="192">
        <v>4</v>
      </c>
      <c r="AK80" s="247">
        <v>0.33329999999999999</v>
      </c>
      <c r="AL80" s="247">
        <v>0.66659999999999997</v>
      </c>
      <c r="AM80" s="299">
        <v>0</v>
      </c>
      <c r="AN80" s="299">
        <v>0</v>
      </c>
      <c r="AO80" s="299">
        <v>14</v>
      </c>
      <c r="AP80" s="299">
        <v>0</v>
      </c>
      <c r="AQ80" s="299">
        <v>0</v>
      </c>
      <c r="AR80" s="299">
        <v>0</v>
      </c>
      <c r="AS80" s="299">
        <v>0</v>
      </c>
      <c r="AT80" s="299">
        <v>0</v>
      </c>
      <c r="AU80" s="299">
        <v>0</v>
      </c>
      <c r="AV80" s="299">
        <v>0</v>
      </c>
      <c r="AW80" s="297"/>
      <c r="AX80" s="299" t="s">
        <v>233</v>
      </c>
      <c r="AY80" s="299"/>
      <c r="AZ80" s="299" t="s">
        <v>233</v>
      </c>
      <c r="BA80" s="298"/>
      <c r="BB80" s="297"/>
      <c r="BC80" s="299"/>
      <c r="BD80" s="299" t="s">
        <v>179</v>
      </c>
      <c r="BE80" s="298" t="s">
        <v>186</v>
      </c>
      <c r="BF80" t="s">
        <v>302</v>
      </c>
      <c r="BG80" t="s">
        <v>181</v>
      </c>
    </row>
    <row r="81" spans="1:59" s="31" customFormat="1" x14ac:dyDescent="0.15">
      <c r="A81" s="148">
        <v>331</v>
      </c>
      <c r="B81" s="295">
        <v>41285</v>
      </c>
      <c r="C81" s="296" t="s">
        <v>278</v>
      </c>
      <c r="D81" s="297" t="s">
        <v>172</v>
      </c>
      <c r="E81" s="295">
        <v>42767</v>
      </c>
      <c r="F81" s="298" t="s">
        <v>600</v>
      </c>
      <c r="G81" s="297" t="s">
        <v>187</v>
      </c>
      <c r="H81" s="297">
        <v>82</v>
      </c>
      <c r="I81" s="227" t="s">
        <v>402</v>
      </c>
      <c r="J81" s="223">
        <v>6000</v>
      </c>
      <c r="K81" s="223">
        <v>12000</v>
      </c>
      <c r="L81" s="204">
        <v>84000</v>
      </c>
      <c r="M81" s="204">
        <v>84000</v>
      </c>
      <c r="N81" s="223"/>
      <c r="O81" s="297">
        <v>3.1</v>
      </c>
      <c r="P81" s="297">
        <v>2.66</v>
      </c>
      <c r="Q81" s="297">
        <v>1.98</v>
      </c>
      <c r="R81" s="297">
        <v>0</v>
      </c>
      <c r="S81" s="297">
        <v>1.93</v>
      </c>
      <c r="T81" s="297"/>
      <c r="U81" s="297">
        <v>2.13</v>
      </c>
      <c r="V81" s="297">
        <v>1.93</v>
      </c>
      <c r="W81" s="297">
        <v>1.79</v>
      </c>
      <c r="X81" s="297">
        <v>0</v>
      </c>
      <c r="Y81" s="297">
        <v>1.68</v>
      </c>
      <c r="Z81" s="297"/>
      <c r="AA81" s="297"/>
      <c r="AB81" s="297"/>
      <c r="AC81" s="297"/>
      <c r="AD81" s="297"/>
      <c r="AE81" s="297"/>
      <c r="AF81" s="297"/>
      <c r="AG81" s="299" t="s">
        <v>281</v>
      </c>
      <c r="AH81" s="299" t="s">
        <v>282</v>
      </c>
      <c r="AI81" s="228">
        <v>3</v>
      </c>
      <c r="AJ81" s="228">
        <v>3</v>
      </c>
      <c r="AK81" s="247">
        <v>0.5</v>
      </c>
      <c r="AL81" s="247">
        <v>0.5</v>
      </c>
      <c r="AM81" s="299">
        <v>0</v>
      </c>
      <c r="AN81" s="299">
        <v>0</v>
      </c>
      <c r="AO81" s="299">
        <v>0</v>
      </c>
      <c r="AP81" s="299">
        <v>16</v>
      </c>
      <c r="AQ81" s="299">
        <v>0</v>
      </c>
      <c r="AR81" s="299">
        <v>0</v>
      </c>
      <c r="AS81" s="299">
        <v>0</v>
      </c>
      <c r="AT81" s="299">
        <v>0</v>
      </c>
      <c r="AU81" s="299">
        <v>0</v>
      </c>
      <c r="AV81" s="299">
        <v>0</v>
      </c>
      <c r="AW81" s="299">
        <v>12</v>
      </c>
      <c r="AX81" s="299" t="s">
        <v>281</v>
      </c>
      <c r="AY81" s="299"/>
      <c r="AZ81" s="299" t="s">
        <v>233</v>
      </c>
      <c r="BA81" s="298"/>
      <c r="BB81" s="297"/>
      <c r="BC81" s="299"/>
      <c r="BD81" s="299" t="s">
        <v>183</v>
      </c>
      <c r="BE81" s="298"/>
      <c r="BF81" t="s">
        <v>168</v>
      </c>
      <c r="BG81" t="s">
        <v>189</v>
      </c>
    </row>
    <row r="82" spans="1:59" s="31" customFormat="1" x14ac:dyDescent="0.15">
      <c r="A82" s="148">
        <v>878</v>
      </c>
      <c r="B82" s="295">
        <v>41286</v>
      </c>
      <c r="C82" s="296" t="s">
        <v>278</v>
      </c>
      <c r="D82" s="297" t="s">
        <v>172</v>
      </c>
      <c r="E82" s="295">
        <v>42711</v>
      </c>
      <c r="F82" s="298" t="s">
        <v>290</v>
      </c>
      <c r="G82" s="297" t="s">
        <v>187</v>
      </c>
      <c r="H82" s="297">
        <v>65.989999999999995</v>
      </c>
      <c r="I82" s="227" t="s">
        <v>402</v>
      </c>
      <c r="J82" s="229">
        <v>3200</v>
      </c>
      <c r="K82" s="229">
        <v>3200</v>
      </c>
      <c r="L82" s="229">
        <v>3200</v>
      </c>
      <c r="M82" s="229">
        <v>3200</v>
      </c>
      <c r="N82" s="223"/>
      <c r="O82" s="297">
        <v>2.4500000000000002</v>
      </c>
      <c r="P82" s="297">
        <v>0</v>
      </c>
      <c r="Q82" s="297">
        <v>0</v>
      </c>
      <c r="R82" s="297">
        <v>0</v>
      </c>
      <c r="S82" s="297">
        <v>2.09</v>
      </c>
      <c r="T82" s="297"/>
      <c r="U82" s="297">
        <v>1.98</v>
      </c>
      <c r="V82" s="297">
        <v>0</v>
      </c>
      <c r="W82" s="297">
        <v>0</v>
      </c>
      <c r="X82" s="297">
        <v>0</v>
      </c>
      <c r="Y82" s="297">
        <v>1.59</v>
      </c>
      <c r="Z82" s="297"/>
      <c r="AA82" s="297"/>
      <c r="AB82" s="297"/>
      <c r="AC82" s="297"/>
      <c r="AD82" s="297"/>
      <c r="AE82" s="297"/>
      <c r="AF82" s="297"/>
      <c r="AG82" s="299" t="s">
        <v>281</v>
      </c>
      <c r="AH82" s="299" t="s">
        <v>282</v>
      </c>
      <c r="AI82" s="192">
        <v>2</v>
      </c>
      <c r="AJ82" s="192">
        <v>4</v>
      </c>
      <c r="AK82" s="247">
        <v>0.33329999999999999</v>
      </c>
      <c r="AL82" s="247">
        <v>0.66659999999999997</v>
      </c>
      <c r="AM82" s="299">
        <v>0</v>
      </c>
      <c r="AN82" s="299">
        <v>0</v>
      </c>
      <c r="AO82" s="299">
        <v>0</v>
      </c>
      <c r="AP82" s="299">
        <v>0</v>
      </c>
      <c r="AQ82" s="299">
        <v>0</v>
      </c>
      <c r="AR82" s="299">
        <v>20</v>
      </c>
      <c r="AS82" s="299">
        <v>0</v>
      </c>
      <c r="AT82" s="299">
        <v>0</v>
      </c>
      <c r="AU82" s="299">
        <v>0</v>
      </c>
      <c r="AV82" s="299">
        <v>0</v>
      </c>
      <c r="AW82" s="297"/>
      <c r="AX82" s="299" t="s">
        <v>233</v>
      </c>
      <c r="AY82" s="299"/>
      <c r="AZ82" s="299" t="s">
        <v>233</v>
      </c>
      <c r="BA82" s="298"/>
      <c r="BB82" s="297"/>
      <c r="BC82" s="299"/>
      <c r="BD82" s="299" t="s">
        <v>183</v>
      </c>
      <c r="BE82" s="298"/>
      <c r="BF82" t="s">
        <v>169</v>
      </c>
      <c r="BG82" t="s">
        <v>189</v>
      </c>
    </row>
    <row r="83" spans="1:59" s="31" customFormat="1" x14ac:dyDescent="0.15">
      <c r="A83" s="148">
        <v>163</v>
      </c>
      <c r="B83" s="295">
        <v>41286</v>
      </c>
      <c r="C83" s="296" t="s">
        <v>278</v>
      </c>
      <c r="D83" s="297" t="s">
        <v>172</v>
      </c>
      <c r="E83" s="295">
        <v>42737</v>
      </c>
      <c r="F83" s="298" t="s">
        <v>217</v>
      </c>
      <c r="G83" s="297" t="s">
        <v>190</v>
      </c>
      <c r="H83" s="297">
        <v>86.1</v>
      </c>
      <c r="I83" s="227" t="s">
        <v>402</v>
      </c>
      <c r="J83" s="223">
        <v>6000</v>
      </c>
      <c r="K83" s="223">
        <v>12000</v>
      </c>
      <c r="L83" s="223">
        <v>12000</v>
      </c>
      <c r="M83" s="223">
        <v>12000</v>
      </c>
      <c r="N83" s="223"/>
      <c r="O83" s="297">
        <v>2.66</v>
      </c>
      <c r="P83" s="297">
        <v>2.0499999999999998</v>
      </c>
      <c r="Q83" s="297">
        <v>1.33</v>
      </c>
      <c r="R83" s="297">
        <v>0</v>
      </c>
      <c r="S83" s="297">
        <v>1.25</v>
      </c>
      <c r="T83" s="297"/>
      <c r="U83" s="297">
        <v>1.78</v>
      </c>
      <c r="V83" s="297">
        <v>1.53</v>
      </c>
      <c r="W83" s="297">
        <v>1.3</v>
      </c>
      <c r="X83" s="297">
        <v>0</v>
      </c>
      <c r="Y83" s="297">
        <v>1.2</v>
      </c>
      <c r="Z83" s="297"/>
      <c r="AA83" s="297"/>
      <c r="AB83" s="297"/>
      <c r="AC83" s="297"/>
      <c r="AD83" s="297"/>
      <c r="AE83" s="297"/>
      <c r="AF83" s="297"/>
      <c r="AG83" s="299" t="s">
        <v>281</v>
      </c>
      <c r="AH83" s="299" t="s">
        <v>282</v>
      </c>
      <c r="AI83" s="192">
        <v>2</v>
      </c>
      <c r="AJ83" s="192">
        <v>4</v>
      </c>
      <c r="AK83" s="247">
        <v>0.33329999999999999</v>
      </c>
      <c r="AL83" s="247">
        <v>0.66659999999999997</v>
      </c>
      <c r="AM83" s="299">
        <v>0</v>
      </c>
      <c r="AN83" s="299">
        <v>0</v>
      </c>
      <c r="AO83" s="299">
        <v>0</v>
      </c>
      <c r="AP83" s="299">
        <v>16</v>
      </c>
      <c r="AQ83" s="299">
        <v>0</v>
      </c>
      <c r="AR83" s="299">
        <v>0</v>
      </c>
      <c r="AS83" s="299">
        <v>0</v>
      </c>
      <c r="AT83" s="299">
        <v>4</v>
      </c>
      <c r="AU83" s="299">
        <v>0</v>
      </c>
      <c r="AV83" s="299">
        <v>0</v>
      </c>
      <c r="AW83" s="297"/>
      <c r="AX83" s="299" t="s">
        <v>233</v>
      </c>
      <c r="AY83" s="299">
        <v>12</v>
      </c>
      <c r="AZ83" s="299" t="s">
        <v>233</v>
      </c>
      <c r="BA83" s="298"/>
      <c r="BB83" s="298"/>
      <c r="BC83" s="300"/>
      <c r="BD83" s="299" t="s">
        <v>179</v>
      </c>
      <c r="BE83" s="298" t="s">
        <v>191</v>
      </c>
      <c r="BF83" s="301" t="s">
        <v>142</v>
      </c>
      <c r="BG83" t="s">
        <v>181</v>
      </c>
    </row>
    <row r="84" spans="1:59" s="31" customFormat="1" x14ac:dyDescent="0.15">
      <c r="A84" s="148">
        <v>177</v>
      </c>
      <c r="B84" s="295">
        <v>41286</v>
      </c>
      <c r="C84" s="296" t="s">
        <v>278</v>
      </c>
      <c r="D84" s="297" t="s">
        <v>172</v>
      </c>
      <c r="E84" s="295">
        <v>42736</v>
      </c>
      <c r="F84" s="298" t="s">
        <v>220</v>
      </c>
      <c r="G84" s="297" t="s">
        <v>193</v>
      </c>
      <c r="H84" s="297">
        <v>79.09</v>
      </c>
      <c r="I84" s="227" t="s">
        <v>402</v>
      </c>
      <c r="J84" s="223">
        <v>6000</v>
      </c>
      <c r="K84" s="223">
        <v>12000</v>
      </c>
      <c r="L84" s="223">
        <v>12000</v>
      </c>
      <c r="M84" s="223">
        <v>12000</v>
      </c>
      <c r="N84" s="223"/>
      <c r="O84" s="297">
        <v>2.4950000000000001</v>
      </c>
      <c r="P84" s="297">
        <v>2.09</v>
      </c>
      <c r="Q84" s="297">
        <v>1.4259999999999999</v>
      </c>
      <c r="R84" s="297">
        <v>0</v>
      </c>
      <c r="S84" s="297">
        <v>1.395</v>
      </c>
      <c r="T84" s="297"/>
      <c r="U84" s="297">
        <v>1.637</v>
      </c>
      <c r="V84" s="297">
        <v>1.5760000000000001</v>
      </c>
      <c r="W84" s="297">
        <v>1.419</v>
      </c>
      <c r="X84" s="297">
        <v>0</v>
      </c>
      <c r="Y84" s="297">
        <v>1.331</v>
      </c>
      <c r="Z84" s="297"/>
      <c r="AA84" s="297"/>
      <c r="AB84" s="297"/>
      <c r="AC84" s="297"/>
      <c r="AD84" s="297"/>
      <c r="AE84" s="297"/>
      <c r="AF84" s="297"/>
      <c r="AG84" s="299" t="s">
        <v>281</v>
      </c>
      <c r="AH84" s="299" t="s">
        <v>282</v>
      </c>
      <c r="AI84" s="192">
        <v>2</v>
      </c>
      <c r="AJ84" s="192">
        <v>4</v>
      </c>
      <c r="AK84" s="247">
        <v>0.33329999999999999</v>
      </c>
      <c r="AL84" s="247">
        <v>0.66659999999999997</v>
      </c>
      <c r="AM84" s="299">
        <v>0</v>
      </c>
      <c r="AN84" s="299">
        <v>0</v>
      </c>
      <c r="AO84" s="299">
        <v>15</v>
      </c>
      <c r="AP84" s="299">
        <v>0</v>
      </c>
      <c r="AQ84" s="299">
        <v>0</v>
      </c>
      <c r="AR84" s="299">
        <v>0</v>
      </c>
      <c r="AS84" s="299">
        <v>0</v>
      </c>
      <c r="AT84" s="299">
        <v>0</v>
      </c>
      <c r="AU84" s="299">
        <v>0</v>
      </c>
      <c r="AV84" s="299">
        <v>0</v>
      </c>
      <c r="AW84" s="299">
        <v>24</v>
      </c>
      <c r="AX84" s="299" t="s">
        <v>233</v>
      </c>
      <c r="AY84" s="299"/>
      <c r="AZ84" s="299" t="s">
        <v>233</v>
      </c>
      <c r="BA84" s="298" t="s">
        <v>429</v>
      </c>
      <c r="BB84" s="297"/>
      <c r="BC84" s="299"/>
      <c r="BD84" s="299" t="s">
        <v>183</v>
      </c>
      <c r="BE84" s="298"/>
      <c r="BF84" t="s">
        <v>194</v>
      </c>
      <c r="BG84" t="s">
        <v>181</v>
      </c>
    </row>
    <row r="85" spans="1:59" s="31" customFormat="1" x14ac:dyDescent="0.15">
      <c r="A85" s="148">
        <v>318</v>
      </c>
      <c r="B85" s="295">
        <v>41286</v>
      </c>
      <c r="C85" s="296" t="s">
        <v>278</v>
      </c>
      <c r="D85" s="297" t="s">
        <v>172</v>
      </c>
      <c r="E85" s="295">
        <v>42736</v>
      </c>
      <c r="F85" s="297" t="s">
        <v>222</v>
      </c>
      <c r="G85" s="297" t="s">
        <v>187</v>
      </c>
      <c r="H85" s="297">
        <v>66.319999999999993</v>
      </c>
      <c r="I85" s="227" t="s">
        <v>402</v>
      </c>
      <c r="J85" s="223">
        <v>6000</v>
      </c>
      <c r="K85" s="223">
        <v>12000</v>
      </c>
      <c r="L85" s="223">
        <v>12000</v>
      </c>
      <c r="M85" s="223">
        <v>12000</v>
      </c>
      <c r="N85" s="223"/>
      <c r="O85" s="297">
        <v>2.1669999999999998</v>
      </c>
      <c r="P85" s="297">
        <v>1.792</v>
      </c>
      <c r="Q85" s="297">
        <v>1.3280000000000001</v>
      </c>
      <c r="R85" s="297">
        <v>0</v>
      </c>
      <c r="S85" s="297">
        <v>1.3069999999999999</v>
      </c>
      <c r="T85" s="297"/>
      <c r="U85" s="297">
        <v>1.4410000000000001</v>
      </c>
      <c r="V85" s="297">
        <v>1.399</v>
      </c>
      <c r="W85" s="297">
        <v>1.2889999999999999</v>
      </c>
      <c r="X85" s="297">
        <v>0</v>
      </c>
      <c r="Y85" s="297">
        <v>1.228</v>
      </c>
      <c r="Z85" s="297"/>
      <c r="AA85" s="297"/>
      <c r="AB85" s="297"/>
      <c r="AC85" s="297"/>
      <c r="AD85" s="297"/>
      <c r="AE85" s="297"/>
      <c r="AF85" s="297"/>
      <c r="AG85" s="299" t="s">
        <v>281</v>
      </c>
      <c r="AH85" s="299" t="s">
        <v>282</v>
      </c>
      <c r="AI85" s="192">
        <v>2</v>
      </c>
      <c r="AJ85" s="192">
        <v>4</v>
      </c>
      <c r="AK85" s="247">
        <v>0.33329999999999999</v>
      </c>
      <c r="AL85" s="247">
        <v>0.66659999999999997</v>
      </c>
      <c r="AM85" s="299">
        <v>0</v>
      </c>
      <c r="AN85" s="299">
        <v>0</v>
      </c>
      <c r="AO85" s="299">
        <v>0</v>
      </c>
      <c r="AP85" s="299">
        <v>0</v>
      </c>
      <c r="AQ85" s="299">
        <v>0</v>
      </c>
      <c r="AR85" s="299">
        <v>0</v>
      </c>
      <c r="AS85" s="299">
        <v>0</v>
      </c>
      <c r="AT85" s="299">
        <v>0</v>
      </c>
      <c r="AU85" s="299">
        <v>0</v>
      </c>
      <c r="AV85" s="299">
        <v>0</v>
      </c>
      <c r="AW85" s="297"/>
      <c r="AX85" s="299" t="s">
        <v>233</v>
      </c>
      <c r="AY85" s="299"/>
      <c r="AZ85" s="299" t="s">
        <v>233</v>
      </c>
      <c r="BA85" s="298" t="s">
        <v>195</v>
      </c>
      <c r="BB85" s="297" t="s">
        <v>178</v>
      </c>
      <c r="BC85" s="299">
        <v>50</v>
      </c>
      <c r="BD85" s="299" t="s">
        <v>183</v>
      </c>
      <c r="BE85" s="298"/>
      <c r="BF85" t="s">
        <v>213</v>
      </c>
      <c r="BG85" t="s">
        <v>181</v>
      </c>
    </row>
    <row r="86" spans="1:59" s="31" customFormat="1" x14ac:dyDescent="0.15">
      <c r="A86" s="148">
        <v>573</v>
      </c>
      <c r="B86" s="295">
        <v>41283</v>
      </c>
      <c r="C86" s="296" t="s">
        <v>278</v>
      </c>
      <c r="D86" s="297" t="s">
        <v>172</v>
      </c>
      <c r="E86" s="295">
        <v>42736</v>
      </c>
      <c r="F86" s="298" t="s">
        <v>224</v>
      </c>
      <c r="G86" s="297" t="s">
        <v>196</v>
      </c>
      <c r="H86" s="297">
        <v>81.58</v>
      </c>
      <c r="I86" s="227" t="s">
        <v>402</v>
      </c>
      <c r="J86" s="229">
        <v>3200</v>
      </c>
      <c r="K86" s="229">
        <v>3200</v>
      </c>
      <c r="L86" s="229">
        <v>3200</v>
      </c>
      <c r="M86" s="229">
        <v>3200</v>
      </c>
      <c r="N86" s="223"/>
      <c r="O86" s="297">
        <v>2.629</v>
      </c>
      <c r="P86" s="297">
        <v>0</v>
      </c>
      <c r="Q86" s="297">
        <v>0</v>
      </c>
      <c r="R86" s="297">
        <v>0</v>
      </c>
      <c r="S86" s="297">
        <v>2.0870000000000002</v>
      </c>
      <c r="T86" s="297"/>
      <c r="U86" s="297">
        <v>1.8420000000000001</v>
      </c>
      <c r="V86" s="297">
        <v>0</v>
      </c>
      <c r="W86" s="297">
        <v>0</v>
      </c>
      <c r="X86" s="297">
        <v>0</v>
      </c>
      <c r="Y86" s="297">
        <v>1.4650000000000001</v>
      </c>
      <c r="Z86" s="297"/>
      <c r="AA86" s="297"/>
      <c r="AB86" s="297"/>
      <c r="AC86" s="297"/>
      <c r="AD86" s="297"/>
      <c r="AE86" s="297"/>
      <c r="AF86" s="297"/>
      <c r="AG86" s="299" t="s">
        <v>281</v>
      </c>
      <c r="AH86" s="299" t="s">
        <v>282</v>
      </c>
      <c r="AI86" s="192">
        <v>2</v>
      </c>
      <c r="AJ86" s="192">
        <v>4</v>
      </c>
      <c r="AK86" s="247">
        <v>0.33329999999999999</v>
      </c>
      <c r="AL86" s="247">
        <v>0.66659999999999997</v>
      </c>
      <c r="AM86" s="299">
        <v>0</v>
      </c>
      <c r="AN86" s="299">
        <v>0</v>
      </c>
      <c r="AO86" s="299">
        <v>0</v>
      </c>
      <c r="AP86" s="299">
        <v>13</v>
      </c>
      <c r="AQ86" s="299">
        <v>0</v>
      </c>
      <c r="AR86" s="299">
        <v>0</v>
      </c>
      <c r="AS86" s="299">
        <v>0</v>
      </c>
      <c r="AT86" s="299">
        <v>0</v>
      </c>
      <c r="AU86" s="299">
        <v>0</v>
      </c>
      <c r="AV86" s="299">
        <v>0</v>
      </c>
      <c r="AW86" s="297"/>
      <c r="AX86" s="299" t="s">
        <v>233</v>
      </c>
      <c r="AY86" s="299">
        <v>12</v>
      </c>
      <c r="AZ86" s="299" t="s">
        <v>233</v>
      </c>
      <c r="BA86" s="298"/>
      <c r="BB86" s="298"/>
      <c r="BC86" s="299"/>
      <c r="BD86" s="299" t="s">
        <v>179</v>
      </c>
      <c r="BE86" s="298"/>
      <c r="BF86" t="s">
        <v>175</v>
      </c>
      <c r="BG86" t="s">
        <v>189</v>
      </c>
    </row>
    <row r="87" spans="1:59" s="31" customFormat="1" x14ac:dyDescent="0.15">
      <c r="A87" s="148">
        <v>239</v>
      </c>
      <c r="B87" s="295">
        <v>41286</v>
      </c>
      <c r="C87" s="296" t="s">
        <v>278</v>
      </c>
      <c r="D87" s="297" t="s">
        <v>172</v>
      </c>
      <c r="E87" s="295">
        <v>42767</v>
      </c>
      <c r="F87" s="298" t="s">
        <v>226</v>
      </c>
      <c r="G87" s="297" t="s">
        <v>197</v>
      </c>
      <c r="H87" s="297">
        <v>84</v>
      </c>
      <c r="I87" s="227" t="s">
        <v>402</v>
      </c>
      <c r="J87" s="229">
        <v>3200</v>
      </c>
      <c r="K87" s="229">
        <v>3200</v>
      </c>
      <c r="L87" s="229">
        <v>3200</v>
      </c>
      <c r="M87" s="229">
        <v>3200</v>
      </c>
      <c r="N87" s="223"/>
      <c r="O87" s="297">
        <v>2.6379999999999999</v>
      </c>
      <c r="P87" s="297">
        <v>0</v>
      </c>
      <c r="Q87" s="297">
        <v>0</v>
      </c>
      <c r="R87" s="297">
        <v>0</v>
      </c>
      <c r="S87" s="297">
        <v>1.742</v>
      </c>
      <c r="T87" s="297"/>
      <c r="U87" s="297">
        <v>1.7390000000000001</v>
      </c>
      <c r="V87" s="297">
        <v>0</v>
      </c>
      <c r="W87" s="297">
        <v>0</v>
      </c>
      <c r="X87" s="297">
        <v>0</v>
      </c>
      <c r="Y87" s="297">
        <v>1.579</v>
      </c>
      <c r="Z87" s="297"/>
      <c r="AA87" s="297"/>
      <c r="AB87" s="297"/>
      <c r="AC87" s="297"/>
      <c r="AD87" s="297"/>
      <c r="AE87" s="297"/>
      <c r="AF87" s="297"/>
      <c r="AG87" s="299" t="s">
        <v>281</v>
      </c>
      <c r="AH87" s="299" t="s">
        <v>282</v>
      </c>
      <c r="AI87" s="228">
        <v>2</v>
      </c>
      <c r="AJ87" s="228">
        <v>4</v>
      </c>
      <c r="AK87" s="247">
        <v>0.33329999999999999</v>
      </c>
      <c r="AL87" s="247">
        <v>0.66659999999999997</v>
      </c>
      <c r="AM87" s="299">
        <v>0</v>
      </c>
      <c r="AN87" s="299">
        <v>0</v>
      </c>
      <c r="AO87" s="299">
        <v>10</v>
      </c>
      <c r="AP87" s="299">
        <v>0</v>
      </c>
      <c r="AQ87" s="299">
        <v>0</v>
      </c>
      <c r="AR87" s="299">
        <v>0</v>
      </c>
      <c r="AS87" s="299">
        <v>0</v>
      </c>
      <c r="AT87" s="299">
        <v>0</v>
      </c>
      <c r="AU87" s="299">
        <v>0</v>
      </c>
      <c r="AV87" s="299">
        <v>0</v>
      </c>
      <c r="AW87" s="299"/>
      <c r="AX87" s="299" t="s">
        <v>233</v>
      </c>
      <c r="AY87" s="299"/>
      <c r="AZ87" s="299" t="s">
        <v>233</v>
      </c>
      <c r="BA87" s="298"/>
      <c r="BB87" s="297"/>
      <c r="BC87" s="299"/>
      <c r="BD87" s="299" t="s">
        <v>183</v>
      </c>
      <c r="BE87" s="298"/>
      <c r="BF87" t="s">
        <v>305</v>
      </c>
      <c r="BG87" t="s">
        <v>189</v>
      </c>
    </row>
    <row r="88" spans="1:59" s="31" customFormat="1" x14ac:dyDescent="0.15">
      <c r="A88" s="148">
        <v>796</v>
      </c>
      <c r="B88" s="295">
        <v>41285</v>
      </c>
      <c r="C88" s="296" t="s">
        <v>278</v>
      </c>
      <c r="D88" s="297" t="s">
        <v>172</v>
      </c>
      <c r="E88" s="295">
        <v>42767</v>
      </c>
      <c r="F88" s="298" t="s">
        <v>227</v>
      </c>
      <c r="G88" s="297" t="s">
        <v>198</v>
      </c>
      <c r="H88" s="297">
        <v>79.91</v>
      </c>
      <c r="I88" s="227" t="s">
        <v>402</v>
      </c>
      <c r="J88" s="223">
        <v>6000</v>
      </c>
      <c r="K88" s="223">
        <v>12000</v>
      </c>
      <c r="L88" s="223">
        <v>12000</v>
      </c>
      <c r="M88" s="223">
        <v>12000</v>
      </c>
      <c r="N88" s="223"/>
      <c r="O88" s="297">
        <v>2.19</v>
      </c>
      <c r="P88" s="297">
        <v>2.15</v>
      </c>
      <c r="Q88" s="297">
        <v>0</v>
      </c>
      <c r="R88" s="297">
        <v>0</v>
      </c>
      <c r="S88" s="297">
        <v>1.46</v>
      </c>
      <c r="T88" s="297"/>
      <c r="U88" s="297">
        <v>1.68</v>
      </c>
      <c r="V88" s="297">
        <v>1.61</v>
      </c>
      <c r="W88" s="297">
        <v>0</v>
      </c>
      <c r="X88" s="297">
        <v>0</v>
      </c>
      <c r="Y88" s="297">
        <v>1.45</v>
      </c>
      <c r="Z88" s="297"/>
      <c r="AA88" s="297"/>
      <c r="AB88" s="297"/>
      <c r="AC88" s="297"/>
      <c r="AD88" s="297"/>
      <c r="AE88" s="297"/>
      <c r="AF88" s="297"/>
      <c r="AG88" s="299" t="s">
        <v>281</v>
      </c>
      <c r="AH88" s="299" t="s">
        <v>282</v>
      </c>
      <c r="AI88" s="192">
        <v>2</v>
      </c>
      <c r="AJ88" s="192">
        <v>4</v>
      </c>
      <c r="AK88" s="247">
        <v>0.33329999999999999</v>
      </c>
      <c r="AL88" s="247">
        <v>0.66659999999999997</v>
      </c>
      <c r="AM88" s="299">
        <v>0</v>
      </c>
      <c r="AN88" s="299">
        <v>0</v>
      </c>
      <c r="AO88" s="299">
        <v>0</v>
      </c>
      <c r="AP88" s="299">
        <v>15</v>
      </c>
      <c r="AQ88" s="299">
        <v>0</v>
      </c>
      <c r="AR88" s="299">
        <v>0</v>
      </c>
      <c r="AS88" s="299">
        <v>0</v>
      </c>
      <c r="AT88" s="299">
        <v>0</v>
      </c>
      <c r="AU88" s="299">
        <v>0</v>
      </c>
      <c r="AV88" s="299">
        <v>0</v>
      </c>
      <c r="AW88" s="299">
        <v>24</v>
      </c>
      <c r="AX88" s="299" t="s">
        <v>233</v>
      </c>
      <c r="AY88" s="299"/>
      <c r="AZ88" s="299" t="s">
        <v>233</v>
      </c>
      <c r="BA88" s="298" t="s">
        <v>199</v>
      </c>
      <c r="BB88" s="297" t="s">
        <v>152</v>
      </c>
      <c r="BC88" s="299">
        <v>25</v>
      </c>
      <c r="BD88" s="299" t="s">
        <v>183</v>
      </c>
      <c r="BE88" s="298"/>
      <c r="BF88" t="s">
        <v>143</v>
      </c>
      <c r="BG88" t="s">
        <v>189</v>
      </c>
    </row>
  </sheetData>
  <sheetProtection algorithmName="SHA-512" hashValue="xDyYxMZt8YBUWr+HfvZwj8qrEP0JGXbHZJU4SP1mB3MZ8nFww33cuuDT5su0B2bX1Ao4H1k8X1hBqjGGCBLe1Q==" saltValue="UL1glDNqCtql0HdQK9zlwg==" spinCount="100000" sheet="1" objects="1" scenarios="1"/>
  <sortState xmlns:xlrd2="http://schemas.microsoft.com/office/spreadsheetml/2017/richdata2" ref="A2:XFD1048576">
    <sortCondition ref="D3:D1048576"/>
    <sortCondition ref="F3:F1048576"/>
  </sortState>
  <phoneticPr fontId="20" type="noConversion"/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/>
  <dimension ref="A1:BG88"/>
  <sheetViews>
    <sheetView workbookViewId="0">
      <selection activeCell="AI2" sqref="AI2:AJ88"/>
    </sheetView>
  </sheetViews>
  <sheetFormatPr baseColWidth="10" defaultColWidth="11.5" defaultRowHeight="13" x14ac:dyDescent="0.15"/>
  <cols>
    <col min="4" max="4" width="17.1640625" customWidth="1"/>
    <col min="5" max="5" width="11.5" style="169"/>
  </cols>
  <sheetData>
    <row r="1" spans="1:59" ht="56" x14ac:dyDescent="0.15">
      <c r="A1" s="149" t="s">
        <v>443</v>
      </c>
      <c r="B1" s="149" t="s">
        <v>307</v>
      </c>
      <c r="C1" s="150" t="s">
        <v>308</v>
      </c>
      <c r="D1" s="151" t="s">
        <v>309</v>
      </c>
      <c r="E1" s="168" t="s">
        <v>310</v>
      </c>
      <c r="F1" s="150" t="s">
        <v>725</v>
      </c>
      <c r="G1" s="151" t="s">
        <v>311</v>
      </c>
      <c r="H1" s="152" t="s">
        <v>449</v>
      </c>
      <c r="I1" s="153" t="s">
        <v>312</v>
      </c>
      <c r="J1" s="153" t="s">
        <v>313</v>
      </c>
      <c r="K1" s="153" t="s">
        <v>314</v>
      </c>
      <c r="L1" s="153" t="s">
        <v>315</v>
      </c>
      <c r="M1" s="153" t="s">
        <v>316</v>
      </c>
      <c r="N1" s="154" t="s">
        <v>317</v>
      </c>
      <c r="O1" s="155" t="s">
        <v>318</v>
      </c>
      <c r="P1" s="155" t="s">
        <v>319</v>
      </c>
      <c r="Q1" s="155" t="s">
        <v>239</v>
      </c>
      <c r="R1" s="155" t="s">
        <v>240</v>
      </c>
      <c r="S1" s="155" t="s">
        <v>241</v>
      </c>
      <c r="T1" s="156" t="s">
        <v>242</v>
      </c>
      <c r="U1" s="157" t="s">
        <v>243</v>
      </c>
      <c r="V1" s="157" t="s">
        <v>244</v>
      </c>
      <c r="W1" s="157" t="s">
        <v>245</v>
      </c>
      <c r="X1" s="157" t="s">
        <v>246</v>
      </c>
      <c r="Y1" s="157" t="s">
        <v>247</v>
      </c>
      <c r="Z1" s="158" t="s">
        <v>248</v>
      </c>
      <c r="AA1" s="159" t="s">
        <v>249</v>
      </c>
      <c r="AB1" s="159" t="s">
        <v>250</v>
      </c>
      <c r="AC1" s="159" t="s">
        <v>251</v>
      </c>
      <c r="AD1" s="159" t="s">
        <v>252</v>
      </c>
      <c r="AE1" s="159" t="s">
        <v>253</v>
      </c>
      <c r="AF1" s="160" t="s">
        <v>254</v>
      </c>
      <c r="AG1" s="161" t="s">
        <v>255</v>
      </c>
      <c r="AH1" s="161" t="s">
        <v>256</v>
      </c>
      <c r="AI1" s="161" t="s">
        <v>476</v>
      </c>
      <c r="AJ1" s="162" t="s">
        <v>477</v>
      </c>
      <c r="AK1" s="161" t="s">
        <v>478</v>
      </c>
      <c r="AL1" s="161" t="s">
        <v>479</v>
      </c>
      <c r="AM1" s="163" t="s">
        <v>257</v>
      </c>
      <c r="AN1" s="164" t="s">
        <v>258</v>
      </c>
      <c r="AO1" s="163" t="s">
        <v>259</v>
      </c>
      <c r="AP1" s="155" t="s">
        <v>260</v>
      </c>
      <c r="AQ1" s="165" t="s">
        <v>261</v>
      </c>
      <c r="AR1" s="155" t="s">
        <v>262</v>
      </c>
      <c r="AS1" s="165" t="s">
        <v>263</v>
      </c>
      <c r="AT1" s="156" t="s">
        <v>264</v>
      </c>
      <c r="AU1" s="165" t="s">
        <v>265</v>
      </c>
      <c r="AV1" s="156" t="s">
        <v>266</v>
      </c>
      <c r="AW1" s="149" t="s">
        <v>267</v>
      </c>
      <c r="AX1" s="166" t="s">
        <v>268</v>
      </c>
      <c r="AY1" s="167" t="s">
        <v>269</v>
      </c>
      <c r="AZ1" s="166" t="s">
        <v>270</v>
      </c>
      <c r="BA1" s="149" t="s">
        <v>271</v>
      </c>
      <c r="BB1" s="150" t="s">
        <v>272</v>
      </c>
      <c r="BC1" s="166" t="s">
        <v>273</v>
      </c>
      <c r="BD1" s="166" t="s">
        <v>274</v>
      </c>
      <c r="BE1" s="150" t="s">
        <v>275</v>
      </c>
      <c r="BF1" s="166" t="s">
        <v>276</v>
      </c>
      <c r="BG1" s="149" t="s">
        <v>277</v>
      </c>
    </row>
    <row r="2" spans="1:59" s="97" customFormat="1" x14ac:dyDescent="0.15">
      <c r="A2" s="170">
        <v>76</v>
      </c>
      <c r="B2" s="172">
        <v>41163</v>
      </c>
      <c r="C2" s="171" t="s">
        <v>278</v>
      </c>
      <c r="D2" s="170" t="s">
        <v>279</v>
      </c>
      <c r="E2" s="172">
        <v>42618</v>
      </c>
      <c r="F2" s="173" t="s">
        <v>280</v>
      </c>
      <c r="G2" s="170" t="s">
        <v>176</v>
      </c>
      <c r="H2" s="170">
        <v>68.260000000000005</v>
      </c>
      <c r="I2" s="174" t="s">
        <v>402</v>
      </c>
      <c r="J2" s="170">
        <v>3000</v>
      </c>
      <c r="K2" s="170">
        <v>6000</v>
      </c>
      <c r="L2" s="170">
        <v>9000</v>
      </c>
      <c r="M2" s="170">
        <v>15000</v>
      </c>
      <c r="N2" s="170"/>
      <c r="O2" s="170">
        <v>2.1320000000000001</v>
      </c>
      <c r="P2" s="170">
        <v>1.8540000000000001</v>
      </c>
      <c r="Q2" s="170">
        <v>1.4770000000000001</v>
      </c>
      <c r="R2" s="170">
        <v>1.278</v>
      </c>
      <c r="S2" s="170">
        <v>1.19</v>
      </c>
      <c r="T2" s="170"/>
      <c r="U2" s="170">
        <v>2.0230000000000001</v>
      </c>
      <c r="V2" s="170">
        <v>1.746</v>
      </c>
      <c r="W2" s="170">
        <v>1.4319999999999999</v>
      </c>
      <c r="X2" s="170">
        <v>1.2609999999999999</v>
      </c>
      <c r="Y2" s="170">
        <v>1.159</v>
      </c>
      <c r="Z2" s="170"/>
      <c r="AA2" s="170"/>
      <c r="AB2" s="170"/>
      <c r="AC2" s="170"/>
      <c r="AD2" s="170"/>
      <c r="AE2" s="170"/>
      <c r="AF2" s="170"/>
      <c r="AG2" s="175" t="s">
        <v>281</v>
      </c>
      <c r="AH2" s="175" t="s">
        <v>282</v>
      </c>
      <c r="AI2" s="175">
        <v>3</v>
      </c>
      <c r="AJ2" s="175">
        <v>3</v>
      </c>
      <c r="AK2" s="240">
        <v>0.5</v>
      </c>
      <c r="AL2" s="240">
        <v>0.5</v>
      </c>
      <c r="AM2" s="175">
        <v>0</v>
      </c>
      <c r="AN2" s="175">
        <v>0</v>
      </c>
      <c r="AO2" s="175">
        <v>0</v>
      </c>
      <c r="AP2" s="175">
        <v>13</v>
      </c>
      <c r="AQ2" s="175">
        <v>0</v>
      </c>
      <c r="AR2" s="175">
        <v>0</v>
      </c>
      <c r="AS2" s="175">
        <v>0</v>
      </c>
      <c r="AT2" s="175">
        <v>0</v>
      </c>
      <c r="AU2" s="175">
        <v>0</v>
      </c>
      <c r="AV2" s="175">
        <v>2</v>
      </c>
      <c r="AW2" s="175">
        <v>0</v>
      </c>
      <c r="AX2" s="175" t="s">
        <v>233</v>
      </c>
      <c r="AY2" s="175">
        <v>12</v>
      </c>
      <c r="AZ2" s="175" t="s">
        <v>233</v>
      </c>
      <c r="BA2" s="173" t="s">
        <v>177</v>
      </c>
      <c r="BB2" s="170" t="s">
        <v>178</v>
      </c>
      <c r="BC2" s="175">
        <v>50</v>
      </c>
      <c r="BD2" s="175" t="s">
        <v>179</v>
      </c>
      <c r="BE2" s="173"/>
      <c r="BF2" s="97" t="s">
        <v>144</v>
      </c>
      <c r="BG2" s="97" t="s">
        <v>181</v>
      </c>
    </row>
    <row r="3" spans="1:59" s="97" customFormat="1" x14ac:dyDescent="0.15">
      <c r="A3" s="170">
        <v>259</v>
      </c>
      <c r="B3" s="172">
        <v>41163</v>
      </c>
      <c r="C3" s="171" t="s">
        <v>278</v>
      </c>
      <c r="D3" s="170" t="s">
        <v>279</v>
      </c>
      <c r="E3" s="172">
        <v>42023</v>
      </c>
      <c r="F3" s="173" t="s">
        <v>286</v>
      </c>
      <c r="G3" s="170" t="s">
        <v>182</v>
      </c>
      <c r="H3" s="170">
        <v>64.83</v>
      </c>
      <c r="I3" s="174" t="s">
        <v>402</v>
      </c>
      <c r="J3" s="176">
        <v>3000</v>
      </c>
      <c r="K3" s="176">
        <v>6000</v>
      </c>
      <c r="L3" s="176">
        <v>6000</v>
      </c>
      <c r="M3" s="176">
        <v>6000</v>
      </c>
      <c r="N3" s="170"/>
      <c r="O3" s="170">
        <v>1.93</v>
      </c>
      <c r="P3" s="170">
        <v>1.67</v>
      </c>
      <c r="Q3" s="170">
        <v>0</v>
      </c>
      <c r="R3" s="170">
        <v>0</v>
      </c>
      <c r="S3" s="170">
        <v>1.35</v>
      </c>
      <c r="T3" s="170"/>
      <c r="U3" s="170">
        <v>1.87</v>
      </c>
      <c r="V3" s="170">
        <v>1.63</v>
      </c>
      <c r="W3" s="170">
        <v>0</v>
      </c>
      <c r="X3" s="170">
        <v>0</v>
      </c>
      <c r="Y3" s="170">
        <v>1.34</v>
      </c>
      <c r="Z3" s="170"/>
      <c r="AA3" s="170"/>
      <c r="AB3" s="170"/>
      <c r="AC3" s="170"/>
      <c r="AD3" s="170"/>
      <c r="AE3" s="170"/>
      <c r="AF3" s="170"/>
      <c r="AG3" s="175" t="s">
        <v>281</v>
      </c>
      <c r="AH3" s="175" t="s">
        <v>282</v>
      </c>
      <c r="AI3" s="175">
        <v>3</v>
      </c>
      <c r="AJ3" s="175">
        <v>3</v>
      </c>
      <c r="AK3" s="240">
        <v>0.5</v>
      </c>
      <c r="AL3" s="240">
        <v>0.5</v>
      </c>
      <c r="AM3" s="175">
        <v>0</v>
      </c>
      <c r="AN3" s="175">
        <v>0</v>
      </c>
      <c r="AO3" s="175">
        <v>0</v>
      </c>
      <c r="AP3" s="175">
        <v>15</v>
      </c>
      <c r="AQ3" s="175">
        <v>0</v>
      </c>
      <c r="AR3" s="175">
        <v>0</v>
      </c>
      <c r="AS3" s="175">
        <v>0</v>
      </c>
      <c r="AT3" s="175">
        <v>0</v>
      </c>
      <c r="AU3" s="175">
        <v>0</v>
      </c>
      <c r="AV3" s="175">
        <v>0</v>
      </c>
      <c r="AW3" s="175">
        <v>0</v>
      </c>
      <c r="AX3" s="175" t="s">
        <v>233</v>
      </c>
      <c r="AY3" s="175"/>
      <c r="AZ3" s="175" t="s">
        <v>233</v>
      </c>
      <c r="BA3" s="173"/>
      <c r="BB3" s="170"/>
      <c r="BC3" s="175"/>
      <c r="BD3" s="175" t="s">
        <v>183</v>
      </c>
      <c r="BE3" s="173"/>
      <c r="BF3" s="97" t="s">
        <v>145</v>
      </c>
      <c r="BG3" s="97" t="s">
        <v>189</v>
      </c>
    </row>
    <row r="4" spans="1:59" s="97" customFormat="1" x14ac:dyDescent="0.15">
      <c r="A4" s="170">
        <v>273</v>
      </c>
      <c r="B4" s="172">
        <v>41163</v>
      </c>
      <c r="C4" s="171" t="s">
        <v>278</v>
      </c>
      <c r="D4" s="170" t="s">
        <v>279</v>
      </c>
      <c r="E4" s="172">
        <v>42370</v>
      </c>
      <c r="F4" s="173" t="s">
        <v>288</v>
      </c>
      <c r="G4" s="170" t="s">
        <v>185</v>
      </c>
      <c r="H4" s="170">
        <v>66.5</v>
      </c>
      <c r="I4" s="174" t="s">
        <v>402</v>
      </c>
      <c r="J4" s="170">
        <v>3000</v>
      </c>
      <c r="K4" s="170">
        <v>6000</v>
      </c>
      <c r="L4" s="170">
        <v>9000</v>
      </c>
      <c r="M4" s="170">
        <v>15000</v>
      </c>
      <c r="N4" s="170"/>
      <c r="O4" s="170">
        <v>2.2000000000000002</v>
      </c>
      <c r="P4" s="170">
        <v>1.9</v>
      </c>
      <c r="Q4" s="170">
        <v>1.55</v>
      </c>
      <c r="R4" s="170">
        <v>1.35</v>
      </c>
      <c r="S4" s="170">
        <v>1.3</v>
      </c>
      <c r="T4" s="170"/>
      <c r="U4" s="170">
        <v>2.0499999999999998</v>
      </c>
      <c r="V4" s="170">
        <v>1.8</v>
      </c>
      <c r="W4" s="170">
        <v>1.5</v>
      </c>
      <c r="X4" s="170">
        <v>1.35</v>
      </c>
      <c r="Y4" s="170">
        <v>1.3</v>
      </c>
      <c r="Z4" s="170"/>
      <c r="AA4" s="170"/>
      <c r="AB4" s="170"/>
      <c r="AC4" s="170"/>
      <c r="AD4" s="170"/>
      <c r="AE4" s="170"/>
      <c r="AF4" s="170"/>
      <c r="AG4" s="175" t="s">
        <v>281</v>
      </c>
      <c r="AH4" s="175" t="s">
        <v>282</v>
      </c>
      <c r="AI4" s="175">
        <v>3</v>
      </c>
      <c r="AJ4" s="175">
        <v>3</v>
      </c>
      <c r="AK4" s="240">
        <v>0.5</v>
      </c>
      <c r="AL4" s="240">
        <v>0.5</v>
      </c>
      <c r="AM4" s="175">
        <v>0</v>
      </c>
      <c r="AN4" s="175">
        <v>0</v>
      </c>
      <c r="AO4" s="175">
        <v>14</v>
      </c>
      <c r="AP4" s="175">
        <v>0</v>
      </c>
      <c r="AQ4" s="175">
        <v>0</v>
      </c>
      <c r="AR4" s="175">
        <v>0</v>
      </c>
      <c r="AS4" s="175">
        <v>0</v>
      </c>
      <c r="AT4" s="175">
        <v>0</v>
      </c>
      <c r="AU4" s="175">
        <v>0</v>
      </c>
      <c r="AV4" s="175">
        <v>0</v>
      </c>
      <c r="AW4" s="175">
        <v>0</v>
      </c>
      <c r="AX4" s="175" t="s">
        <v>233</v>
      </c>
      <c r="AY4" s="175"/>
      <c r="AZ4" s="175" t="s">
        <v>233</v>
      </c>
      <c r="BA4" s="173"/>
      <c r="BB4" s="170"/>
      <c r="BC4" s="175"/>
      <c r="BD4" s="175" t="s">
        <v>179</v>
      </c>
      <c r="BE4" s="173" t="s">
        <v>186</v>
      </c>
      <c r="BF4" s="97" t="s">
        <v>416</v>
      </c>
      <c r="BG4" s="97" t="s">
        <v>189</v>
      </c>
    </row>
    <row r="5" spans="1:59" s="97" customFormat="1" x14ac:dyDescent="0.15">
      <c r="A5" s="170">
        <v>325</v>
      </c>
      <c r="B5" s="172">
        <v>41163</v>
      </c>
      <c r="C5" s="171" t="s">
        <v>278</v>
      </c>
      <c r="D5" s="170" t="s">
        <v>279</v>
      </c>
      <c r="E5" s="172">
        <v>42370</v>
      </c>
      <c r="F5" s="173" t="s">
        <v>600</v>
      </c>
      <c r="G5" s="170" t="s">
        <v>187</v>
      </c>
      <c r="H5" s="170">
        <v>67</v>
      </c>
      <c r="I5" s="174" t="s">
        <v>402</v>
      </c>
      <c r="J5" s="170">
        <v>3000</v>
      </c>
      <c r="K5" s="170">
        <v>6000</v>
      </c>
      <c r="L5" s="170">
        <v>9000</v>
      </c>
      <c r="M5" s="170">
        <v>15000</v>
      </c>
      <c r="N5" s="170"/>
      <c r="O5" s="170">
        <v>2.13</v>
      </c>
      <c r="P5" s="170">
        <v>1.82</v>
      </c>
      <c r="Q5" s="170">
        <v>1.44</v>
      </c>
      <c r="R5" s="170">
        <v>1.25</v>
      </c>
      <c r="S5" s="170">
        <v>1.2</v>
      </c>
      <c r="T5" s="170"/>
      <c r="U5" s="170">
        <v>1.83</v>
      </c>
      <c r="V5" s="170">
        <v>1.57</v>
      </c>
      <c r="W5" s="170">
        <v>1.25</v>
      </c>
      <c r="X5" s="170">
        <v>1.08</v>
      </c>
      <c r="Y5" s="170">
        <v>1.04</v>
      </c>
      <c r="Z5" s="170"/>
      <c r="AA5" s="170"/>
      <c r="AB5" s="170"/>
      <c r="AC5" s="170"/>
      <c r="AD5" s="170"/>
      <c r="AE5" s="170"/>
      <c r="AF5" s="170"/>
      <c r="AG5" s="175" t="s">
        <v>281</v>
      </c>
      <c r="AH5" s="175" t="s">
        <v>282</v>
      </c>
      <c r="AI5" s="175">
        <v>3</v>
      </c>
      <c r="AJ5" s="175">
        <v>3</v>
      </c>
      <c r="AK5" s="240">
        <v>0.5</v>
      </c>
      <c r="AL5" s="240">
        <v>0.5</v>
      </c>
      <c r="AM5" s="175">
        <v>0</v>
      </c>
      <c r="AN5" s="175">
        <v>0</v>
      </c>
      <c r="AO5" s="175">
        <v>0</v>
      </c>
      <c r="AP5" s="175">
        <v>12</v>
      </c>
      <c r="AQ5" s="175">
        <v>0</v>
      </c>
      <c r="AR5" s="175">
        <v>0</v>
      </c>
      <c r="AS5" s="175">
        <v>0</v>
      </c>
      <c r="AT5" s="175">
        <v>0</v>
      </c>
      <c r="AU5" s="175">
        <v>0</v>
      </c>
      <c r="AV5" s="175">
        <v>0</v>
      </c>
      <c r="AW5" s="175">
        <v>12</v>
      </c>
      <c r="AX5" s="175" t="s">
        <v>281</v>
      </c>
      <c r="AY5" s="175"/>
      <c r="AZ5" s="175" t="s">
        <v>233</v>
      </c>
      <c r="BA5" s="173"/>
      <c r="BB5" s="170"/>
      <c r="BC5" s="175"/>
      <c r="BD5" s="175" t="s">
        <v>183</v>
      </c>
      <c r="BE5" s="173"/>
      <c r="BF5" s="97" t="s">
        <v>188</v>
      </c>
      <c r="BG5" s="97" t="s">
        <v>189</v>
      </c>
    </row>
    <row r="6" spans="1:59" s="97" customFormat="1" x14ac:dyDescent="0.15">
      <c r="A6" s="170">
        <v>223</v>
      </c>
      <c r="B6" s="172">
        <v>41164</v>
      </c>
      <c r="C6" s="171" t="s">
        <v>278</v>
      </c>
      <c r="D6" s="170" t="s">
        <v>279</v>
      </c>
      <c r="E6" s="172">
        <v>42614</v>
      </c>
      <c r="F6" s="173" t="s">
        <v>290</v>
      </c>
      <c r="G6" s="170" t="s">
        <v>187</v>
      </c>
      <c r="H6" s="170">
        <v>54.99</v>
      </c>
      <c r="I6" s="174" t="s">
        <v>402</v>
      </c>
      <c r="J6" s="176">
        <v>6000</v>
      </c>
      <c r="K6" s="176">
        <v>9000</v>
      </c>
      <c r="L6" s="176">
        <v>9000</v>
      </c>
      <c r="M6" s="176">
        <v>9000</v>
      </c>
      <c r="N6" s="170"/>
      <c r="O6" s="170">
        <v>1.97</v>
      </c>
      <c r="P6" s="170">
        <v>1.9</v>
      </c>
      <c r="Q6" s="170">
        <v>0</v>
      </c>
      <c r="R6" s="170">
        <v>0</v>
      </c>
      <c r="S6" s="170">
        <v>1.19</v>
      </c>
      <c r="T6" s="170"/>
      <c r="U6" s="170">
        <v>1.87</v>
      </c>
      <c r="V6" s="170">
        <v>1.42</v>
      </c>
      <c r="W6" s="170">
        <v>0</v>
      </c>
      <c r="X6" s="170">
        <v>0</v>
      </c>
      <c r="Y6" s="170">
        <v>1.19</v>
      </c>
      <c r="Z6" s="170"/>
      <c r="AA6" s="170"/>
      <c r="AB6" s="170"/>
      <c r="AC6" s="170"/>
      <c r="AD6" s="170"/>
      <c r="AE6" s="170"/>
      <c r="AF6" s="170"/>
      <c r="AG6" s="175" t="s">
        <v>281</v>
      </c>
      <c r="AH6" s="175" t="s">
        <v>282</v>
      </c>
      <c r="AI6" s="175">
        <v>3</v>
      </c>
      <c r="AJ6" s="175">
        <v>3</v>
      </c>
      <c r="AK6" s="240">
        <v>0.5</v>
      </c>
      <c r="AL6" s="240">
        <v>0.5</v>
      </c>
      <c r="AM6" s="175">
        <v>0</v>
      </c>
      <c r="AN6" s="175">
        <v>0</v>
      </c>
      <c r="AO6" s="175">
        <v>0</v>
      </c>
      <c r="AP6" s="175">
        <v>0</v>
      </c>
      <c r="AQ6" s="175">
        <v>0</v>
      </c>
      <c r="AR6" s="175">
        <v>20</v>
      </c>
      <c r="AS6" s="175">
        <v>0</v>
      </c>
      <c r="AT6" s="175">
        <v>0</v>
      </c>
      <c r="AU6" s="175">
        <v>0</v>
      </c>
      <c r="AV6" s="175">
        <v>0</v>
      </c>
      <c r="AW6" s="175">
        <v>0</v>
      </c>
      <c r="AX6" s="175" t="s">
        <v>233</v>
      </c>
      <c r="AY6" s="175"/>
      <c r="AZ6" s="175" t="s">
        <v>233</v>
      </c>
      <c r="BA6" s="173"/>
      <c r="BB6" s="170"/>
      <c r="BC6" s="175"/>
      <c r="BD6" s="175" t="s">
        <v>183</v>
      </c>
      <c r="BE6" s="173"/>
      <c r="BF6" s="97" t="s">
        <v>146</v>
      </c>
      <c r="BG6" s="97" t="s">
        <v>181</v>
      </c>
    </row>
    <row r="7" spans="1:59" s="97" customFormat="1" x14ac:dyDescent="0.15">
      <c r="A7" s="170">
        <v>157</v>
      </c>
      <c r="B7" s="172">
        <v>41163</v>
      </c>
      <c r="C7" s="171" t="s">
        <v>278</v>
      </c>
      <c r="D7" s="170" t="s">
        <v>279</v>
      </c>
      <c r="E7" s="172">
        <v>42579</v>
      </c>
      <c r="F7" s="173" t="s">
        <v>217</v>
      </c>
      <c r="G7" s="170" t="s">
        <v>190</v>
      </c>
      <c r="H7" s="170">
        <v>71</v>
      </c>
      <c r="I7" s="174" t="s">
        <v>402</v>
      </c>
      <c r="J7" s="170">
        <v>3000</v>
      </c>
      <c r="K7" s="170">
        <v>6000</v>
      </c>
      <c r="L7" s="170">
        <v>9000</v>
      </c>
      <c r="M7" s="170">
        <v>15000</v>
      </c>
      <c r="N7" s="170"/>
      <c r="O7" s="170">
        <v>2.1</v>
      </c>
      <c r="P7" s="170">
        <v>1.85</v>
      </c>
      <c r="Q7" s="170">
        <v>1.48</v>
      </c>
      <c r="R7" s="170">
        <v>1.28</v>
      </c>
      <c r="S7" s="170">
        <v>1.21</v>
      </c>
      <c r="T7" s="170"/>
      <c r="U7" s="170">
        <v>1.95</v>
      </c>
      <c r="V7" s="170">
        <v>1.65</v>
      </c>
      <c r="W7" s="170">
        <v>1.34</v>
      </c>
      <c r="X7" s="170">
        <v>1.18</v>
      </c>
      <c r="Y7" s="170">
        <v>1.1200000000000001</v>
      </c>
      <c r="Z7" s="170"/>
      <c r="AA7" s="170"/>
      <c r="AB7" s="170"/>
      <c r="AC7" s="170"/>
      <c r="AD7" s="170"/>
      <c r="AE7" s="170"/>
      <c r="AF7" s="170"/>
      <c r="AG7" s="175" t="s">
        <v>281</v>
      </c>
      <c r="AH7" s="175" t="s">
        <v>282</v>
      </c>
      <c r="AI7" s="175">
        <v>3</v>
      </c>
      <c r="AJ7" s="175">
        <v>3</v>
      </c>
      <c r="AK7" s="240">
        <v>0.5</v>
      </c>
      <c r="AL7" s="240">
        <v>0.5</v>
      </c>
      <c r="AM7" s="175">
        <v>0</v>
      </c>
      <c r="AN7" s="175">
        <v>0</v>
      </c>
      <c r="AO7" s="175">
        <v>0</v>
      </c>
      <c r="AP7" s="175">
        <v>16</v>
      </c>
      <c r="AQ7" s="175">
        <v>0</v>
      </c>
      <c r="AR7" s="175">
        <v>0</v>
      </c>
      <c r="AS7" s="175">
        <v>0</v>
      </c>
      <c r="AT7" s="175">
        <v>2</v>
      </c>
      <c r="AU7" s="175">
        <v>0</v>
      </c>
      <c r="AV7" s="175">
        <v>0</v>
      </c>
      <c r="AW7" s="175">
        <v>0</v>
      </c>
      <c r="AX7" s="175" t="s">
        <v>233</v>
      </c>
      <c r="AY7" s="175">
        <v>12</v>
      </c>
      <c r="AZ7" s="175" t="s">
        <v>233</v>
      </c>
      <c r="BA7" s="173"/>
      <c r="BB7" s="173"/>
      <c r="BC7" s="177"/>
      <c r="BD7" s="175" t="s">
        <v>179</v>
      </c>
      <c r="BE7" s="173"/>
      <c r="BF7" s="356" t="s">
        <v>147</v>
      </c>
      <c r="BG7" s="97" t="s">
        <v>189</v>
      </c>
    </row>
    <row r="8" spans="1:59" s="97" customFormat="1" x14ac:dyDescent="0.15">
      <c r="A8" s="170">
        <v>171</v>
      </c>
      <c r="B8" s="172">
        <v>41163</v>
      </c>
      <c r="C8" s="171" t="s">
        <v>278</v>
      </c>
      <c r="D8" s="170" t="s">
        <v>279</v>
      </c>
      <c r="E8" s="172">
        <v>42374</v>
      </c>
      <c r="F8" s="173" t="s">
        <v>220</v>
      </c>
      <c r="G8" s="170" t="s">
        <v>193</v>
      </c>
      <c r="H8" s="170">
        <v>62.91</v>
      </c>
      <c r="I8" s="174" t="s">
        <v>402</v>
      </c>
      <c r="J8" s="170">
        <v>3000</v>
      </c>
      <c r="K8" s="170">
        <v>6000</v>
      </c>
      <c r="L8" s="170">
        <v>9000</v>
      </c>
      <c r="M8" s="170">
        <v>15000</v>
      </c>
      <c r="N8" s="170"/>
      <c r="O8" s="170">
        <v>2.089</v>
      </c>
      <c r="P8" s="170">
        <v>1.823</v>
      </c>
      <c r="Q8" s="170">
        <v>1.5009999999999999</v>
      </c>
      <c r="R8" s="170">
        <v>1.331</v>
      </c>
      <c r="S8" s="170">
        <v>1.286</v>
      </c>
      <c r="T8" s="170"/>
      <c r="U8" s="170">
        <v>1.9630000000000001</v>
      </c>
      <c r="V8" s="170">
        <v>1.7330000000000001</v>
      </c>
      <c r="W8" s="170">
        <v>1.454</v>
      </c>
      <c r="X8" s="170">
        <v>1.3069999999999999</v>
      </c>
      <c r="Y8" s="170">
        <v>1.27</v>
      </c>
      <c r="Z8" s="170"/>
      <c r="AA8" s="170"/>
      <c r="AB8" s="170"/>
      <c r="AC8" s="170"/>
      <c r="AD8" s="170"/>
      <c r="AE8" s="170"/>
      <c r="AF8" s="170"/>
      <c r="AG8" s="175" t="s">
        <v>281</v>
      </c>
      <c r="AH8" s="175" t="s">
        <v>282</v>
      </c>
      <c r="AI8" s="175">
        <v>3</v>
      </c>
      <c r="AJ8" s="175">
        <v>3</v>
      </c>
      <c r="AK8" s="240">
        <v>0.5</v>
      </c>
      <c r="AL8" s="240">
        <v>0.5</v>
      </c>
      <c r="AM8" s="175">
        <v>0</v>
      </c>
      <c r="AN8" s="175">
        <v>0</v>
      </c>
      <c r="AO8" s="175">
        <v>15</v>
      </c>
      <c r="AP8" s="175">
        <v>0</v>
      </c>
      <c r="AQ8" s="175">
        <v>0</v>
      </c>
      <c r="AR8" s="175">
        <v>0</v>
      </c>
      <c r="AS8" s="175">
        <v>0</v>
      </c>
      <c r="AT8" s="175">
        <v>0</v>
      </c>
      <c r="AU8" s="175">
        <v>0</v>
      </c>
      <c r="AV8" s="175">
        <v>0</v>
      </c>
      <c r="AW8" s="175">
        <v>24</v>
      </c>
      <c r="AX8" s="175" t="s">
        <v>233</v>
      </c>
      <c r="AY8" s="175"/>
      <c r="AZ8" s="175" t="s">
        <v>233</v>
      </c>
      <c r="BA8" s="173" t="s">
        <v>429</v>
      </c>
      <c r="BB8" s="170"/>
      <c r="BC8" s="175"/>
      <c r="BD8" s="175" t="s">
        <v>183</v>
      </c>
      <c r="BE8" s="173"/>
      <c r="BF8" s="97" t="s">
        <v>148</v>
      </c>
      <c r="BG8" s="97" t="s">
        <v>189</v>
      </c>
    </row>
    <row r="9" spans="1:59" s="97" customFormat="1" x14ac:dyDescent="0.15">
      <c r="A9" s="170">
        <v>312</v>
      </c>
      <c r="B9" s="172">
        <v>41163</v>
      </c>
      <c r="C9" s="171" t="s">
        <v>278</v>
      </c>
      <c r="D9" s="170" t="s">
        <v>279</v>
      </c>
      <c r="E9" s="172">
        <v>42583</v>
      </c>
      <c r="F9" s="170" t="s">
        <v>222</v>
      </c>
      <c r="G9" s="170" t="s">
        <v>187</v>
      </c>
      <c r="H9" s="170">
        <v>58.14</v>
      </c>
      <c r="I9" s="174" t="s">
        <v>402</v>
      </c>
      <c r="J9" s="170">
        <v>3000</v>
      </c>
      <c r="K9" s="170">
        <v>6000</v>
      </c>
      <c r="L9" s="170">
        <v>9000</v>
      </c>
      <c r="M9" s="170">
        <v>15000</v>
      </c>
      <c r="N9" s="170"/>
      <c r="O9" s="170">
        <v>1.6439999999999999</v>
      </c>
      <c r="P9" s="170">
        <v>1.4670000000000001</v>
      </c>
      <c r="Q9" s="170">
        <v>1.2050000000000001</v>
      </c>
      <c r="R9" s="170">
        <v>1.0669999999999999</v>
      </c>
      <c r="S9" s="170">
        <v>0.98599999999999999</v>
      </c>
      <c r="T9" s="170"/>
      <c r="U9" s="170">
        <v>1.4890000000000001</v>
      </c>
      <c r="V9" s="170">
        <v>1.3440000000000001</v>
      </c>
      <c r="W9" s="170">
        <v>1.1220000000000001</v>
      </c>
      <c r="X9" s="170">
        <v>1.004</v>
      </c>
      <c r="Y9" s="170">
        <v>0.92200000000000004</v>
      </c>
      <c r="Z9" s="170"/>
      <c r="AA9" s="170"/>
      <c r="AB9" s="170"/>
      <c r="AC9" s="170"/>
      <c r="AD9" s="170"/>
      <c r="AE9" s="170"/>
      <c r="AF9" s="170"/>
      <c r="AG9" s="175" t="s">
        <v>281</v>
      </c>
      <c r="AH9" s="175" t="s">
        <v>282</v>
      </c>
      <c r="AI9" s="175">
        <v>3</v>
      </c>
      <c r="AJ9" s="175">
        <v>3</v>
      </c>
      <c r="AK9" s="240">
        <v>0.5</v>
      </c>
      <c r="AL9" s="240">
        <v>0.5</v>
      </c>
      <c r="AM9" s="175">
        <v>0</v>
      </c>
      <c r="AN9" s="175">
        <v>0</v>
      </c>
      <c r="AO9" s="175">
        <v>0</v>
      </c>
      <c r="AP9" s="175">
        <v>0</v>
      </c>
      <c r="AQ9" s="175">
        <v>0</v>
      </c>
      <c r="AR9" s="175">
        <v>0</v>
      </c>
      <c r="AS9" s="175">
        <v>0</v>
      </c>
      <c r="AT9" s="175">
        <v>0</v>
      </c>
      <c r="AU9" s="175">
        <v>0</v>
      </c>
      <c r="AV9" s="175">
        <v>0</v>
      </c>
      <c r="AW9" s="175">
        <v>0</v>
      </c>
      <c r="AX9" s="175" t="s">
        <v>233</v>
      </c>
      <c r="AY9" s="175"/>
      <c r="AZ9" s="175" t="s">
        <v>233</v>
      </c>
      <c r="BA9" s="173" t="s">
        <v>195</v>
      </c>
      <c r="BB9" s="170" t="s">
        <v>178</v>
      </c>
      <c r="BC9" s="175">
        <v>50</v>
      </c>
      <c r="BD9" s="175" t="s">
        <v>183</v>
      </c>
      <c r="BE9" s="173"/>
      <c r="BF9" s="97" t="s">
        <v>149</v>
      </c>
      <c r="BG9" s="97" t="s">
        <v>189</v>
      </c>
    </row>
    <row r="10" spans="1:59" s="97" customFormat="1" x14ac:dyDescent="0.15">
      <c r="A10" s="170">
        <v>567</v>
      </c>
      <c r="B10" s="172">
        <v>41164</v>
      </c>
      <c r="C10" s="171" t="s">
        <v>278</v>
      </c>
      <c r="D10" s="170" t="s">
        <v>279</v>
      </c>
      <c r="E10" s="172">
        <v>42614</v>
      </c>
      <c r="F10" s="173" t="s">
        <v>224</v>
      </c>
      <c r="G10" s="170" t="s">
        <v>196</v>
      </c>
      <c r="H10" s="170">
        <v>68.7</v>
      </c>
      <c r="I10" s="174" t="s">
        <v>402</v>
      </c>
      <c r="J10" s="176">
        <v>6000</v>
      </c>
      <c r="K10" s="176">
        <v>9000</v>
      </c>
      <c r="L10" s="176">
        <v>9000</v>
      </c>
      <c r="M10" s="176">
        <v>9000</v>
      </c>
      <c r="N10" s="176"/>
      <c r="O10" s="170">
        <v>2.0760000000000001</v>
      </c>
      <c r="P10" s="170">
        <v>1.665</v>
      </c>
      <c r="Q10" s="170">
        <v>0</v>
      </c>
      <c r="R10" s="170">
        <v>0</v>
      </c>
      <c r="S10" s="170">
        <v>1.1599999999999999</v>
      </c>
      <c r="T10" s="170"/>
      <c r="U10" s="170">
        <v>1.8720000000000001</v>
      </c>
      <c r="V10" s="170">
        <v>1.4450000000000001</v>
      </c>
      <c r="W10" s="170">
        <v>0</v>
      </c>
      <c r="X10" s="170">
        <v>0</v>
      </c>
      <c r="Y10" s="170">
        <v>1.085</v>
      </c>
      <c r="Z10" s="170"/>
      <c r="AA10" s="170"/>
      <c r="AB10" s="170"/>
      <c r="AC10" s="170"/>
      <c r="AD10" s="170"/>
      <c r="AE10" s="170"/>
      <c r="AF10" s="170"/>
      <c r="AG10" s="175" t="s">
        <v>281</v>
      </c>
      <c r="AH10" s="175" t="s">
        <v>282</v>
      </c>
      <c r="AI10" s="175">
        <v>3</v>
      </c>
      <c r="AJ10" s="175">
        <v>3</v>
      </c>
      <c r="AK10" s="240">
        <v>0.5</v>
      </c>
      <c r="AL10" s="240">
        <v>0.5</v>
      </c>
      <c r="AM10" s="175">
        <v>0</v>
      </c>
      <c r="AN10" s="175">
        <v>0</v>
      </c>
      <c r="AO10" s="175">
        <v>0</v>
      </c>
      <c r="AP10" s="175">
        <v>13</v>
      </c>
      <c r="AQ10" s="175">
        <v>0</v>
      </c>
      <c r="AR10" s="175">
        <v>0</v>
      </c>
      <c r="AS10" s="175">
        <v>0</v>
      </c>
      <c r="AT10" s="175">
        <v>0</v>
      </c>
      <c r="AU10" s="175">
        <v>0</v>
      </c>
      <c r="AV10" s="175">
        <v>0</v>
      </c>
      <c r="AW10" s="175">
        <v>0</v>
      </c>
      <c r="AX10" s="175" t="s">
        <v>233</v>
      </c>
      <c r="AY10" s="175">
        <v>12</v>
      </c>
      <c r="AZ10" s="175" t="s">
        <v>233</v>
      </c>
      <c r="BA10" s="173"/>
      <c r="BB10" s="173"/>
      <c r="BC10" s="175"/>
      <c r="BD10" s="175" t="s">
        <v>179</v>
      </c>
      <c r="BE10" s="173"/>
      <c r="BF10" s="97" t="s">
        <v>150</v>
      </c>
      <c r="BG10" s="97" t="s">
        <v>181</v>
      </c>
    </row>
    <row r="11" spans="1:59" s="97" customFormat="1" x14ac:dyDescent="0.15">
      <c r="A11" s="170">
        <v>233</v>
      </c>
      <c r="B11" s="172"/>
      <c r="C11" s="171" t="s">
        <v>278</v>
      </c>
      <c r="D11" s="170" t="s">
        <v>279</v>
      </c>
      <c r="E11" s="248" t="s">
        <v>151</v>
      </c>
      <c r="F11" s="173" t="s">
        <v>226</v>
      </c>
      <c r="G11" s="170" t="s">
        <v>197</v>
      </c>
      <c r="H11" s="170">
        <v>68</v>
      </c>
      <c r="I11" s="174" t="s">
        <v>402</v>
      </c>
      <c r="J11" s="176">
        <v>6000</v>
      </c>
      <c r="K11" s="176">
        <v>9000</v>
      </c>
      <c r="L11" s="176">
        <v>9000</v>
      </c>
      <c r="M11" s="176">
        <v>9000</v>
      </c>
      <c r="N11" s="170"/>
      <c r="O11" s="170">
        <v>1.7070000000000001</v>
      </c>
      <c r="P11" s="170">
        <v>1.3280000000000001</v>
      </c>
      <c r="Q11" s="170">
        <v>0</v>
      </c>
      <c r="R11" s="170">
        <v>0</v>
      </c>
      <c r="S11" s="170">
        <v>1.1870000000000001</v>
      </c>
      <c r="T11" s="170"/>
      <c r="U11" s="170">
        <v>1.609</v>
      </c>
      <c r="V11" s="170">
        <v>1.2929999999999999</v>
      </c>
      <c r="W11" s="170">
        <v>0</v>
      </c>
      <c r="X11" s="170">
        <v>0</v>
      </c>
      <c r="Y11" s="170">
        <v>1.17</v>
      </c>
      <c r="Z11" s="170"/>
      <c r="AA11" s="170"/>
      <c r="AB11" s="170"/>
      <c r="AC11" s="170"/>
      <c r="AD11" s="170"/>
      <c r="AE11" s="170"/>
      <c r="AF11" s="170"/>
      <c r="AG11" s="175" t="s">
        <v>281</v>
      </c>
      <c r="AH11" s="175" t="s">
        <v>282</v>
      </c>
      <c r="AI11" s="175">
        <v>3</v>
      </c>
      <c r="AJ11" s="175">
        <v>3</v>
      </c>
      <c r="AK11" s="240">
        <v>0.5</v>
      </c>
      <c r="AL11" s="240">
        <v>0.5</v>
      </c>
      <c r="AM11" s="175">
        <v>0</v>
      </c>
      <c r="AN11" s="175">
        <v>0</v>
      </c>
      <c r="AO11" s="175">
        <v>10</v>
      </c>
      <c r="AP11" s="175">
        <v>0</v>
      </c>
      <c r="AQ11" s="175">
        <v>0</v>
      </c>
      <c r="AR11" s="175">
        <v>0</v>
      </c>
      <c r="AS11" s="175">
        <v>0</v>
      </c>
      <c r="AT11" s="175">
        <v>0</v>
      </c>
      <c r="AU11" s="175">
        <v>0</v>
      </c>
      <c r="AV11" s="175">
        <v>0</v>
      </c>
      <c r="AW11" s="175">
        <v>0</v>
      </c>
      <c r="AX11" s="175" t="s">
        <v>233</v>
      </c>
      <c r="AY11" s="173"/>
      <c r="AZ11" s="175" t="s">
        <v>233</v>
      </c>
      <c r="BA11" s="175"/>
      <c r="BB11" s="175"/>
      <c r="BC11" s="173"/>
      <c r="BD11" s="175" t="s">
        <v>183</v>
      </c>
      <c r="BE11" s="173"/>
      <c r="BF11" s="97" t="s">
        <v>121</v>
      </c>
    </row>
    <row r="12" spans="1:59" s="97" customFormat="1" x14ac:dyDescent="0.15">
      <c r="A12" s="170">
        <v>778</v>
      </c>
      <c r="B12" s="172">
        <v>41164</v>
      </c>
      <c r="C12" s="171" t="s">
        <v>278</v>
      </c>
      <c r="D12" s="170" t="s">
        <v>279</v>
      </c>
      <c r="E12" s="248">
        <v>42430</v>
      </c>
      <c r="F12" s="173" t="s">
        <v>227</v>
      </c>
      <c r="G12" s="170" t="s">
        <v>198</v>
      </c>
      <c r="H12" s="170">
        <v>55.75</v>
      </c>
      <c r="I12" s="174" t="s">
        <v>402</v>
      </c>
      <c r="J12" s="170">
        <v>3000</v>
      </c>
      <c r="K12" s="170">
        <v>6000</v>
      </c>
      <c r="L12" s="170">
        <v>9000</v>
      </c>
      <c r="M12" s="170">
        <v>15000</v>
      </c>
      <c r="N12" s="170"/>
      <c r="O12" s="170">
        <v>2.0459999999999998</v>
      </c>
      <c r="P12" s="170">
        <v>1.83</v>
      </c>
      <c r="Q12" s="170">
        <v>1.56</v>
      </c>
      <c r="R12" s="170">
        <v>1.4259999999999999</v>
      </c>
      <c r="S12" s="170">
        <v>1.39</v>
      </c>
      <c r="T12" s="170"/>
      <c r="U12" s="170">
        <v>1.94</v>
      </c>
      <c r="V12" s="170">
        <v>1.75</v>
      </c>
      <c r="W12" s="170">
        <v>1.53</v>
      </c>
      <c r="X12" s="170">
        <v>1.4</v>
      </c>
      <c r="Y12" s="170">
        <v>1.37</v>
      </c>
      <c r="Z12" s="170"/>
      <c r="AA12" s="170"/>
      <c r="AB12" s="170"/>
      <c r="AC12" s="170"/>
      <c r="AD12" s="170"/>
      <c r="AE12" s="170"/>
      <c r="AF12" s="170"/>
      <c r="AG12" s="175" t="s">
        <v>281</v>
      </c>
      <c r="AH12" s="175" t="s">
        <v>282</v>
      </c>
      <c r="AI12" s="175">
        <v>3</v>
      </c>
      <c r="AJ12" s="175">
        <v>3</v>
      </c>
      <c r="AK12" s="240">
        <v>0.5</v>
      </c>
      <c r="AL12" s="240">
        <v>0.5</v>
      </c>
      <c r="AM12" s="175">
        <v>0</v>
      </c>
      <c r="AN12" s="175">
        <v>15</v>
      </c>
      <c r="AO12" s="175">
        <v>0</v>
      </c>
      <c r="AP12" s="175">
        <v>5</v>
      </c>
      <c r="AQ12" s="175">
        <v>0</v>
      </c>
      <c r="AR12" s="175">
        <v>0</v>
      </c>
      <c r="AS12" s="175">
        <v>0</v>
      </c>
      <c r="AT12" s="175">
        <v>0</v>
      </c>
      <c r="AU12" s="175">
        <v>0</v>
      </c>
      <c r="AV12" s="175">
        <v>0</v>
      </c>
      <c r="AW12" s="175">
        <v>24</v>
      </c>
      <c r="AX12" s="175" t="s">
        <v>233</v>
      </c>
      <c r="AY12" s="175"/>
      <c r="AZ12" s="175" t="s">
        <v>233</v>
      </c>
      <c r="BA12" s="173"/>
      <c r="BB12" s="170"/>
      <c r="BC12" s="175"/>
      <c r="BD12" s="175" t="s">
        <v>183</v>
      </c>
      <c r="BE12" s="173"/>
      <c r="BF12" s="97" t="s">
        <v>153</v>
      </c>
      <c r="BG12" s="97" t="s">
        <v>189</v>
      </c>
    </row>
    <row r="13" spans="1:59" s="184" customFormat="1" x14ac:dyDescent="0.15">
      <c r="A13" s="178">
        <v>77</v>
      </c>
      <c r="B13" s="180">
        <v>41163</v>
      </c>
      <c r="C13" s="179" t="s">
        <v>278</v>
      </c>
      <c r="D13" s="178" t="s">
        <v>228</v>
      </c>
      <c r="E13" s="180">
        <v>42618</v>
      </c>
      <c r="F13" s="181" t="s">
        <v>280</v>
      </c>
      <c r="G13" s="178" t="s">
        <v>176</v>
      </c>
      <c r="H13" s="178">
        <v>71.89</v>
      </c>
      <c r="I13" s="182" t="s">
        <v>402</v>
      </c>
      <c r="J13" s="178">
        <v>3000</v>
      </c>
      <c r="K13" s="178">
        <v>6000</v>
      </c>
      <c r="L13" s="178">
        <v>9000</v>
      </c>
      <c r="M13" s="178">
        <v>15000</v>
      </c>
      <c r="N13" s="178"/>
      <c r="O13" s="178">
        <v>2.0880000000000001</v>
      </c>
      <c r="P13" s="178">
        <v>1.8280000000000001</v>
      </c>
      <c r="Q13" s="178">
        <v>1.474</v>
      </c>
      <c r="R13" s="178">
        <v>1.286</v>
      </c>
      <c r="S13" s="178">
        <v>1.256</v>
      </c>
      <c r="T13" s="178"/>
      <c r="U13" s="178">
        <v>1.982</v>
      </c>
      <c r="V13" s="178">
        <v>1.7290000000000001</v>
      </c>
      <c r="W13" s="178">
        <v>1.4219999999999999</v>
      </c>
      <c r="X13" s="178">
        <v>1.2589999999999999</v>
      </c>
      <c r="Y13" s="178">
        <v>1.218</v>
      </c>
      <c r="Z13" s="178"/>
      <c r="AA13" s="178"/>
      <c r="AB13" s="178"/>
      <c r="AC13" s="178"/>
      <c r="AD13" s="178"/>
      <c r="AE13" s="178"/>
      <c r="AF13" s="178"/>
      <c r="AG13" s="183" t="s">
        <v>281</v>
      </c>
      <c r="AH13" s="183" t="s">
        <v>282</v>
      </c>
      <c r="AI13" s="183">
        <v>3</v>
      </c>
      <c r="AJ13" s="183">
        <v>3</v>
      </c>
      <c r="AK13" s="241">
        <v>0.5</v>
      </c>
      <c r="AL13" s="241">
        <v>0.5</v>
      </c>
      <c r="AM13" s="183">
        <v>0</v>
      </c>
      <c r="AN13" s="183">
        <v>0</v>
      </c>
      <c r="AO13" s="183">
        <v>0</v>
      </c>
      <c r="AP13" s="183">
        <v>13</v>
      </c>
      <c r="AQ13" s="183">
        <v>0</v>
      </c>
      <c r="AR13" s="183">
        <v>0</v>
      </c>
      <c r="AS13" s="183">
        <v>0</v>
      </c>
      <c r="AT13" s="183">
        <v>0</v>
      </c>
      <c r="AU13" s="183">
        <v>0</v>
      </c>
      <c r="AV13" s="183">
        <v>2</v>
      </c>
      <c r="AW13" s="175">
        <v>0</v>
      </c>
      <c r="AX13" s="183" t="s">
        <v>233</v>
      </c>
      <c r="AY13" s="183">
        <v>12</v>
      </c>
      <c r="AZ13" s="183" t="s">
        <v>233</v>
      </c>
      <c r="BA13" s="181" t="s">
        <v>177</v>
      </c>
      <c r="BB13" s="178" t="s">
        <v>178</v>
      </c>
      <c r="BC13" s="183">
        <v>50</v>
      </c>
      <c r="BD13" s="183" t="s">
        <v>179</v>
      </c>
      <c r="BE13" s="181"/>
      <c r="BF13" s="184" t="s">
        <v>122</v>
      </c>
      <c r="BG13" s="184" t="s">
        <v>181</v>
      </c>
    </row>
    <row r="14" spans="1:59" s="184" customFormat="1" x14ac:dyDescent="0.15">
      <c r="A14" s="178">
        <v>260</v>
      </c>
      <c r="B14" s="180">
        <v>41163</v>
      </c>
      <c r="C14" s="179" t="s">
        <v>278</v>
      </c>
      <c r="D14" s="178" t="s">
        <v>228</v>
      </c>
      <c r="E14" s="180">
        <v>42023</v>
      </c>
      <c r="F14" s="181" t="s">
        <v>286</v>
      </c>
      <c r="G14" s="178" t="s">
        <v>182</v>
      </c>
      <c r="H14" s="178">
        <v>63.25</v>
      </c>
      <c r="I14" s="182" t="s">
        <v>402</v>
      </c>
      <c r="J14" s="185">
        <v>3000</v>
      </c>
      <c r="K14" s="185">
        <v>6000</v>
      </c>
      <c r="L14" s="185">
        <v>6000</v>
      </c>
      <c r="M14" s="185">
        <v>6000</v>
      </c>
      <c r="N14" s="178"/>
      <c r="O14" s="178">
        <v>2.0099999999999998</v>
      </c>
      <c r="P14" s="178">
        <v>1.51</v>
      </c>
      <c r="Q14" s="178">
        <v>0</v>
      </c>
      <c r="R14" s="178">
        <v>0</v>
      </c>
      <c r="S14" s="178">
        <v>1.51</v>
      </c>
      <c r="T14" s="178"/>
      <c r="U14" s="178">
        <v>1.97</v>
      </c>
      <c r="V14" s="178">
        <v>1.43</v>
      </c>
      <c r="W14" s="178">
        <v>0</v>
      </c>
      <c r="X14" s="178">
        <v>0</v>
      </c>
      <c r="Y14" s="178">
        <v>1.43</v>
      </c>
      <c r="Z14" s="178"/>
      <c r="AA14" s="178"/>
      <c r="AB14" s="178"/>
      <c r="AC14" s="178"/>
      <c r="AD14" s="178"/>
      <c r="AE14" s="178"/>
      <c r="AF14" s="178"/>
      <c r="AG14" s="183" t="s">
        <v>281</v>
      </c>
      <c r="AH14" s="183" t="s">
        <v>282</v>
      </c>
      <c r="AI14" s="183">
        <v>3</v>
      </c>
      <c r="AJ14" s="183">
        <v>3</v>
      </c>
      <c r="AK14" s="241">
        <v>0.5</v>
      </c>
      <c r="AL14" s="241">
        <v>0.5</v>
      </c>
      <c r="AM14" s="183">
        <v>0</v>
      </c>
      <c r="AN14" s="183">
        <v>0</v>
      </c>
      <c r="AO14" s="183">
        <v>0</v>
      </c>
      <c r="AP14" s="183">
        <v>15</v>
      </c>
      <c r="AQ14" s="183">
        <v>0</v>
      </c>
      <c r="AR14" s="183">
        <v>0</v>
      </c>
      <c r="AS14" s="183">
        <v>0</v>
      </c>
      <c r="AT14" s="183">
        <v>0</v>
      </c>
      <c r="AU14" s="183">
        <v>0</v>
      </c>
      <c r="AV14" s="183">
        <v>0</v>
      </c>
      <c r="AW14" s="175">
        <v>0</v>
      </c>
      <c r="AX14" s="183" t="s">
        <v>233</v>
      </c>
      <c r="AY14" s="183"/>
      <c r="AZ14" s="183" t="s">
        <v>233</v>
      </c>
      <c r="BA14" s="181"/>
      <c r="BB14" s="178"/>
      <c r="BC14" s="183"/>
      <c r="BD14" s="183" t="s">
        <v>183</v>
      </c>
      <c r="BE14" s="181"/>
      <c r="BF14" s="184" t="s">
        <v>145</v>
      </c>
      <c r="BG14" s="184" t="s">
        <v>189</v>
      </c>
    </row>
    <row r="15" spans="1:59" s="184" customFormat="1" x14ac:dyDescent="0.15">
      <c r="A15" s="178">
        <v>274</v>
      </c>
      <c r="B15" s="180">
        <v>41163</v>
      </c>
      <c r="C15" s="179" t="s">
        <v>278</v>
      </c>
      <c r="D15" s="178" t="s">
        <v>228</v>
      </c>
      <c r="E15" s="180">
        <v>42370</v>
      </c>
      <c r="F15" s="181" t="s">
        <v>288</v>
      </c>
      <c r="G15" s="178" t="s">
        <v>185</v>
      </c>
      <c r="H15" s="178">
        <v>66.5</v>
      </c>
      <c r="I15" s="182" t="s">
        <v>402</v>
      </c>
      <c r="J15" s="178">
        <v>3000</v>
      </c>
      <c r="K15" s="178">
        <v>6000</v>
      </c>
      <c r="L15" s="178">
        <v>9000</v>
      </c>
      <c r="M15" s="178">
        <v>15000</v>
      </c>
      <c r="N15" s="178"/>
      <c r="O15" s="178">
        <v>2.2000000000000002</v>
      </c>
      <c r="P15" s="178">
        <v>1.9</v>
      </c>
      <c r="Q15" s="178">
        <v>1.55</v>
      </c>
      <c r="R15" s="178">
        <v>1.35</v>
      </c>
      <c r="S15" s="178">
        <v>1.3</v>
      </c>
      <c r="T15" s="178"/>
      <c r="U15" s="178">
        <v>2.0499999999999998</v>
      </c>
      <c r="V15" s="178">
        <v>1.8</v>
      </c>
      <c r="W15" s="178">
        <v>1.5</v>
      </c>
      <c r="X15" s="178">
        <v>1.35</v>
      </c>
      <c r="Y15" s="178">
        <v>1.3</v>
      </c>
      <c r="Z15" s="178"/>
      <c r="AA15" s="178"/>
      <c r="AB15" s="178"/>
      <c r="AC15" s="178"/>
      <c r="AD15" s="178"/>
      <c r="AE15" s="178"/>
      <c r="AF15" s="178"/>
      <c r="AG15" s="183" t="s">
        <v>281</v>
      </c>
      <c r="AH15" s="183" t="s">
        <v>282</v>
      </c>
      <c r="AI15" s="183">
        <v>3</v>
      </c>
      <c r="AJ15" s="183">
        <v>3</v>
      </c>
      <c r="AK15" s="241">
        <v>0.5</v>
      </c>
      <c r="AL15" s="241">
        <v>0.5</v>
      </c>
      <c r="AM15" s="183">
        <v>0</v>
      </c>
      <c r="AN15" s="183">
        <v>0</v>
      </c>
      <c r="AO15" s="183">
        <v>14</v>
      </c>
      <c r="AP15" s="183">
        <v>0</v>
      </c>
      <c r="AQ15" s="183">
        <v>0</v>
      </c>
      <c r="AR15" s="183">
        <v>0</v>
      </c>
      <c r="AS15" s="183">
        <v>0</v>
      </c>
      <c r="AT15" s="183">
        <v>0</v>
      </c>
      <c r="AU15" s="183">
        <v>0</v>
      </c>
      <c r="AV15" s="183">
        <v>0</v>
      </c>
      <c r="AW15" s="175">
        <v>0</v>
      </c>
      <c r="AX15" s="183" t="s">
        <v>233</v>
      </c>
      <c r="AY15" s="183"/>
      <c r="AZ15" s="183" t="s">
        <v>233</v>
      </c>
      <c r="BA15" s="181"/>
      <c r="BB15" s="178"/>
      <c r="BC15" s="183"/>
      <c r="BD15" s="183" t="s">
        <v>179</v>
      </c>
      <c r="BE15" s="181" t="s">
        <v>186</v>
      </c>
      <c r="BF15" s="184" t="s">
        <v>374</v>
      </c>
      <c r="BG15" s="184" t="s">
        <v>189</v>
      </c>
    </row>
    <row r="16" spans="1:59" s="184" customFormat="1" x14ac:dyDescent="0.15">
      <c r="A16" s="178">
        <v>326</v>
      </c>
      <c r="B16" s="180">
        <v>41163</v>
      </c>
      <c r="C16" s="179" t="s">
        <v>278</v>
      </c>
      <c r="D16" s="178" t="s">
        <v>228</v>
      </c>
      <c r="E16" s="180">
        <v>42370</v>
      </c>
      <c r="F16" s="181" t="s">
        <v>600</v>
      </c>
      <c r="G16" s="178" t="s">
        <v>187</v>
      </c>
      <c r="H16" s="178">
        <v>67</v>
      </c>
      <c r="I16" s="182" t="s">
        <v>402</v>
      </c>
      <c r="J16" s="178">
        <v>3000</v>
      </c>
      <c r="K16" s="178">
        <v>6000</v>
      </c>
      <c r="L16" s="178">
        <v>9000</v>
      </c>
      <c r="M16" s="178">
        <v>15000</v>
      </c>
      <c r="N16" s="178"/>
      <c r="O16" s="178">
        <v>2.13</v>
      </c>
      <c r="P16" s="178">
        <v>1.82</v>
      </c>
      <c r="Q16" s="178">
        <v>1.44</v>
      </c>
      <c r="R16" s="178">
        <v>1.25</v>
      </c>
      <c r="S16" s="178">
        <v>1.2</v>
      </c>
      <c r="T16" s="178"/>
      <c r="U16" s="178">
        <v>1.83</v>
      </c>
      <c r="V16" s="178">
        <v>1.57</v>
      </c>
      <c r="W16" s="178">
        <v>1.25</v>
      </c>
      <c r="X16" s="178">
        <v>1.08</v>
      </c>
      <c r="Y16" s="178">
        <v>1.04</v>
      </c>
      <c r="Z16" s="178"/>
      <c r="AA16" s="178"/>
      <c r="AB16" s="178"/>
      <c r="AC16" s="178"/>
      <c r="AD16" s="178"/>
      <c r="AE16" s="178"/>
      <c r="AF16" s="178"/>
      <c r="AG16" s="183" t="s">
        <v>281</v>
      </c>
      <c r="AH16" s="183" t="s">
        <v>282</v>
      </c>
      <c r="AI16" s="183">
        <v>3</v>
      </c>
      <c r="AJ16" s="183">
        <v>3</v>
      </c>
      <c r="AK16" s="241">
        <v>0.5</v>
      </c>
      <c r="AL16" s="241">
        <v>0.5</v>
      </c>
      <c r="AM16" s="183">
        <v>0</v>
      </c>
      <c r="AN16" s="183">
        <v>0</v>
      </c>
      <c r="AO16" s="183">
        <v>0</v>
      </c>
      <c r="AP16" s="183">
        <v>12</v>
      </c>
      <c r="AQ16" s="183">
        <v>0</v>
      </c>
      <c r="AR16" s="183">
        <v>0</v>
      </c>
      <c r="AS16" s="183">
        <v>0</v>
      </c>
      <c r="AT16" s="183">
        <v>0</v>
      </c>
      <c r="AU16" s="183">
        <v>0</v>
      </c>
      <c r="AV16" s="183">
        <v>0</v>
      </c>
      <c r="AW16" s="175">
        <v>12</v>
      </c>
      <c r="AX16" s="183" t="s">
        <v>281</v>
      </c>
      <c r="AY16" s="183"/>
      <c r="AZ16" s="183" t="s">
        <v>233</v>
      </c>
      <c r="BA16" s="181"/>
      <c r="BB16" s="178"/>
      <c r="BC16" s="183"/>
      <c r="BD16" s="183" t="s">
        <v>183</v>
      </c>
      <c r="BE16" s="181"/>
      <c r="BF16" s="184" t="s">
        <v>188</v>
      </c>
      <c r="BG16" s="184" t="s">
        <v>189</v>
      </c>
    </row>
    <row r="17" spans="1:59" s="184" customFormat="1" x14ac:dyDescent="0.15">
      <c r="A17" s="178">
        <v>224</v>
      </c>
      <c r="B17" s="180">
        <v>41164</v>
      </c>
      <c r="C17" s="179" t="s">
        <v>278</v>
      </c>
      <c r="D17" s="178" t="s">
        <v>228</v>
      </c>
      <c r="E17" s="180">
        <v>42614</v>
      </c>
      <c r="F17" s="181" t="s">
        <v>290</v>
      </c>
      <c r="G17" s="178" t="s">
        <v>187</v>
      </c>
      <c r="H17" s="178">
        <v>54.99</v>
      </c>
      <c r="I17" s="182" t="s">
        <v>402</v>
      </c>
      <c r="J17" s="185">
        <v>3500</v>
      </c>
      <c r="K17" s="185">
        <v>3500</v>
      </c>
      <c r="L17" s="185">
        <v>3500</v>
      </c>
      <c r="M17" s="185">
        <v>3500</v>
      </c>
      <c r="N17" s="178"/>
      <c r="O17" s="178">
        <v>1.89</v>
      </c>
      <c r="P17" s="178">
        <v>0</v>
      </c>
      <c r="Q17" s="178">
        <v>0</v>
      </c>
      <c r="R17" s="178">
        <v>0</v>
      </c>
      <c r="S17" s="178">
        <v>1.54</v>
      </c>
      <c r="T17" s="178"/>
      <c r="U17" s="178">
        <v>1.79</v>
      </c>
      <c r="V17" s="178">
        <v>0</v>
      </c>
      <c r="W17" s="178">
        <v>0</v>
      </c>
      <c r="X17" s="178">
        <v>0</v>
      </c>
      <c r="Y17" s="178">
        <v>1.49</v>
      </c>
      <c r="Z17" s="178"/>
      <c r="AA17" s="178"/>
      <c r="AB17" s="178"/>
      <c r="AC17" s="178"/>
      <c r="AD17" s="178"/>
      <c r="AE17" s="178"/>
      <c r="AF17" s="178"/>
      <c r="AG17" s="183" t="s">
        <v>281</v>
      </c>
      <c r="AH17" s="183" t="s">
        <v>282</v>
      </c>
      <c r="AI17" s="183">
        <v>3</v>
      </c>
      <c r="AJ17" s="183">
        <v>3</v>
      </c>
      <c r="AK17" s="241">
        <v>0.5</v>
      </c>
      <c r="AL17" s="241">
        <v>0.5</v>
      </c>
      <c r="AM17" s="183">
        <v>0</v>
      </c>
      <c r="AN17" s="183">
        <v>0</v>
      </c>
      <c r="AO17" s="183">
        <v>0</v>
      </c>
      <c r="AP17" s="183">
        <v>0</v>
      </c>
      <c r="AQ17" s="183">
        <v>0</v>
      </c>
      <c r="AR17" s="183">
        <v>20</v>
      </c>
      <c r="AS17" s="183">
        <v>0</v>
      </c>
      <c r="AT17" s="183">
        <v>0</v>
      </c>
      <c r="AU17" s="183">
        <v>0</v>
      </c>
      <c r="AV17" s="183">
        <v>0</v>
      </c>
      <c r="AW17" s="175">
        <v>0</v>
      </c>
      <c r="AX17" s="183" t="s">
        <v>233</v>
      </c>
      <c r="AY17" s="183"/>
      <c r="AZ17" s="183" t="s">
        <v>233</v>
      </c>
      <c r="BA17" s="181"/>
      <c r="BB17" s="178"/>
      <c r="BC17" s="183"/>
      <c r="BD17" s="183" t="s">
        <v>183</v>
      </c>
      <c r="BE17" s="181"/>
      <c r="BF17" s="184" t="s">
        <v>146</v>
      </c>
      <c r="BG17" s="184" t="s">
        <v>181</v>
      </c>
    </row>
    <row r="18" spans="1:59" s="184" customFormat="1" x14ac:dyDescent="0.15">
      <c r="A18" s="178">
        <v>158</v>
      </c>
      <c r="B18" s="180">
        <v>41163</v>
      </c>
      <c r="C18" s="179" t="s">
        <v>278</v>
      </c>
      <c r="D18" s="178" t="s">
        <v>228</v>
      </c>
      <c r="E18" s="180">
        <v>42579</v>
      </c>
      <c r="F18" s="181" t="s">
        <v>217</v>
      </c>
      <c r="G18" s="178" t="s">
        <v>190</v>
      </c>
      <c r="H18" s="178">
        <v>61</v>
      </c>
      <c r="I18" s="182" t="s">
        <v>402</v>
      </c>
      <c r="J18" s="178">
        <v>3000</v>
      </c>
      <c r="K18" s="178">
        <v>6000</v>
      </c>
      <c r="L18" s="178">
        <v>9000</v>
      </c>
      <c r="M18" s="178">
        <v>15000</v>
      </c>
      <c r="N18" s="178"/>
      <c r="O18" s="178">
        <v>2.2000000000000002</v>
      </c>
      <c r="P18" s="178">
        <v>2</v>
      </c>
      <c r="Q18" s="178">
        <v>1.65</v>
      </c>
      <c r="R18" s="178">
        <v>1.4530000000000001</v>
      </c>
      <c r="S18" s="178">
        <v>1.39</v>
      </c>
      <c r="T18" s="178"/>
      <c r="U18" s="178">
        <v>1.85</v>
      </c>
      <c r="V18" s="178">
        <v>1.65</v>
      </c>
      <c r="W18" s="178">
        <v>1.4</v>
      </c>
      <c r="X18" s="178">
        <v>1.2270000000000001</v>
      </c>
      <c r="Y18" s="178">
        <v>1.18</v>
      </c>
      <c r="Z18" s="178"/>
      <c r="AA18" s="178"/>
      <c r="AB18" s="178"/>
      <c r="AC18" s="178"/>
      <c r="AD18" s="178"/>
      <c r="AE18" s="178"/>
      <c r="AF18" s="178"/>
      <c r="AG18" s="183" t="s">
        <v>281</v>
      </c>
      <c r="AH18" s="183" t="s">
        <v>282</v>
      </c>
      <c r="AI18" s="183">
        <v>3</v>
      </c>
      <c r="AJ18" s="183">
        <v>3</v>
      </c>
      <c r="AK18" s="241">
        <v>0.5</v>
      </c>
      <c r="AL18" s="241">
        <v>0.5</v>
      </c>
      <c r="AM18" s="183">
        <v>0</v>
      </c>
      <c r="AN18" s="183">
        <v>0</v>
      </c>
      <c r="AO18" s="183">
        <v>0</v>
      </c>
      <c r="AP18" s="183">
        <v>16</v>
      </c>
      <c r="AQ18" s="183">
        <v>0</v>
      </c>
      <c r="AR18" s="183">
        <v>0</v>
      </c>
      <c r="AS18" s="183">
        <v>0</v>
      </c>
      <c r="AT18" s="183">
        <v>2</v>
      </c>
      <c r="AU18" s="183">
        <v>0</v>
      </c>
      <c r="AV18" s="183">
        <v>0</v>
      </c>
      <c r="AW18" s="175">
        <v>0</v>
      </c>
      <c r="AX18" s="183" t="s">
        <v>233</v>
      </c>
      <c r="AY18" s="183">
        <v>12</v>
      </c>
      <c r="AZ18" s="183" t="s">
        <v>233</v>
      </c>
      <c r="BA18" s="181"/>
      <c r="BB18" s="181"/>
      <c r="BC18" s="186"/>
      <c r="BD18" s="183" t="s">
        <v>179</v>
      </c>
      <c r="BE18" s="181"/>
      <c r="BF18" s="357" t="s">
        <v>123</v>
      </c>
      <c r="BG18" s="184" t="s">
        <v>189</v>
      </c>
    </row>
    <row r="19" spans="1:59" s="184" customFormat="1" x14ac:dyDescent="0.15">
      <c r="A19" s="178">
        <v>172</v>
      </c>
      <c r="B19" s="180">
        <v>41163</v>
      </c>
      <c r="C19" s="179" t="s">
        <v>278</v>
      </c>
      <c r="D19" s="178" t="s">
        <v>228</v>
      </c>
      <c r="E19" s="180">
        <v>42374</v>
      </c>
      <c r="F19" s="181" t="s">
        <v>220</v>
      </c>
      <c r="G19" s="178" t="s">
        <v>193</v>
      </c>
      <c r="H19" s="178">
        <v>62.91</v>
      </c>
      <c r="I19" s="182" t="s">
        <v>402</v>
      </c>
      <c r="J19" s="178">
        <v>3000</v>
      </c>
      <c r="K19" s="178">
        <v>6000</v>
      </c>
      <c r="L19" s="178">
        <v>9000</v>
      </c>
      <c r="M19" s="178">
        <v>15000</v>
      </c>
      <c r="N19" s="178"/>
      <c r="O19" s="178">
        <v>2.1040000000000001</v>
      </c>
      <c r="P19" s="178">
        <v>1.839</v>
      </c>
      <c r="Q19" s="178">
        <v>1.5169999999999999</v>
      </c>
      <c r="R19" s="178">
        <v>1.3460000000000001</v>
      </c>
      <c r="S19" s="178">
        <v>1.302</v>
      </c>
      <c r="T19" s="178"/>
      <c r="U19" s="178">
        <v>1.978</v>
      </c>
      <c r="V19" s="178">
        <v>1.748</v>
      </c>
      <c r="W19" s="178">
        <v>1.47</v>
      </c>
      <c r="X19" s="178">
        <v>1.323</v>
      </c>
      <c r="Y19" s="178">
        <v>1.2849999999999999</v>
      </c>
      <c r="Z19" s="178"/>
      <c r="AA19" s="178"/>
      <c r="AB19" s="178"/>
      <c r="AC19" s="178"/>
      <c r="AD19" s="178"/>
      <c r="AE19" s="178"/>
      <c r="AF19" s="178"/>
      <c r="AG19" s="183" t="s">
        <v>281</v>
      </c>
      <c r="AH19" s="183" t="s">
        <v>282</v>
      </c>
      <c r="AI19" s="183">
        <v>3</v>
      </c>
      <c r="AJ19" s="183">
        <v>3</v>
      </c>
      <c r="AK19" s="241">
        <v>0.5</v>
      </c>
      <c r="AL19" s="241">
        <v>0.5</v>
      </c>
      <c r="AM19" s="183">
        <v>0</v>
      </c>
      <c r="AN19" s="183">
        <v>0</v>
      </c>
      <c r="AO19" s="183">
        <v>15</v>
      </c>
      <c r="AP19" s="183">
        <v>0</v>
      </c>
      <c r="AQ19" s="183">
        <v>0</v>
      </c>
      <c r="AR19" s="183">
        <v>0</v>
      </c>
      <c r="AS19" s="183">
        <v>0</v>
      </c>
      <c r="AT19" s="183">
        <v>0</v>
      </c>
      <c r="AU19" s="183">
        <v>0</v>
      </c>
      <c r="AV19" s="183">
        <v>0</v>
      </c>
      <c r="AW19" s="175">
        <v>24</v>
      </c>
      <c r="AX19" s="183" t="s">
        <v>233</v>
      </c>
      <c r="AY19" s="183"/>
      <c r="AZ19" s="183" t="s">
        <v>233</v>
      </c>
      <c r="BA19" s="181" t="s">
        <v>429</v>
      </c>
      <c r="BB19" s="178"/>
      <c r="BC19" s="183"/>
      <c r="BD19" s="183" t="s">
        <v>183</v>
      </c>
      <c r="BE19" s="181"/>
      <c r="BF19" s="184" t="s">
        <v>148</v>
      </c>
      <c r="BG19" s="184" t="s">
        <v>189</v>
      </c>
    </row>
    <row r="20" spans="1:59" s="184" customFormat="1" x14ac:dyDescent="0.15">
      <c r="A20" s="178">
        <v>313</v>
      </c>
      <c r="B20" s="180">
        <v>41163</v>
      </c>
      <c r="C20" s="179" t="s">
        <v>278</v>
      </c>
      <c r="D20" s="178" t="s">
        <v>228</v>
      </c>
      <c r="E20" s="180">
        <v>42583</v>
      </c>
      <c r="F20" s="178" t="s">
        <v>222</v>
      </c>
      <c r="G20" s="178" t="s">
        <v>187</v>
      </c>
      <c r="H20" s="178">
        <v>58.14</v>
      </c>
      <c r="I20" s="182" t="s">
        <v>402</v>
      </c>
      <c r="J20" s="178">
        <v>3000</v>
      </c>
      <c r="K20" s="178">
        <v>6000</v>
      </c>
      <c r="L20" s="178">
        <v>9000</v>
      </c>
      <c r="M20" s="178">
        <v>15000</v>
      </c>
      <c r="N20" s="178"/>
      <c r="O20" s="178">
        <v>1.6439999999999999</v>
      </c>
      <c r="P20" s="178">
        <v>1.4670000000000001</v>
      </c>
      <c r="Q20" s="178">
        <v>1.2050000000000001</v>
      </c>
      <c r="R20" s="178">
        <v>1.0669999999999999</v>
      </c>
      <c r="S20" s="178">
        <v>0.98599999999999999</v>
      </c>
      <c r="T20" s="178"/>
      <c r="U20" s="178">
        <v>1.4890000000000001</v>
      </c>
      <c r="V20" s="178">
        <v>1.3440000000000001</v>
      </c>
      <c r="W20" s="178">
        <v>1.1220000000000001</v>
      </c>
      <c r="X20" s="178">
        <v>1.004</v>
      </c>
      <c r="Y20" s="178">
        <v>0.92200000000000004</v>
      </c>
      <c r="Z20" s="178"/>
      <c r="AA20" s="178"/>
      <c r="AB20" s="178"/>
      <c r="AC20" s="178"/>
      <c r="AD20" s="178"/>
      <c r="AE20" s="178"/>
      <c r="AF20" s="178"/>
      <c r="AG20" s="183" t="s">
        <v>281</v>
      </c>
      <c r="AH20" s="183" t="s">
        <v>282</v>
      </c>
      <c r="AI20" s="183">
        <v>3</v>
      </c>
      <c r="AJ20" s="183">
        <v>3</v>
      </c>
      <c r="AK20" s="241">
        <v>0.5</v>
      </c>
      <c r="AL20" s="241">
        <v>0.5</v>
      </c>
      <c r="AM20" s="183">
        <v>0</v>
      </c>
      <c r="AN20" s="183">
        <v>0</v>
      </c>
      <c r="AO20" s="183">
        <v>0</v>
      </c>
      <c r="AP20" s="183">
        <v>0</v>
      </c>
      <c r="AQ20" s="183">
        <v>0</v>
      </c>
      <c r="AR20" s="183">
        <v>0</v>
      </c>
      <c r="AS20" s="183">
        <v>0</v>
      </c>
      <c r="AT20" s="183">
        <v>0</v>
      </c>
      <c r="AU20" s="183">
        <v>0</v>
      </c>
      <c r="AV20" s="183">
        <v>0</v>
      </c>
      <c r="AW20" s="175">
        <v>0</v>
      </c>
      <c r="AX20" s="183" t="s">
        <v>233</v>
      </c>
      <c r="AY20" s="183"/>
      <c r="AZ20" s="183" t="s">
        <v>233</v>
      </c>
      <c r="BA20" s="181" t="s">
        <v>195</v>
      </c>
      <c r="BB20" s="178" t="s">
        <v>178</v>
      </c>
      <c r="BC20" s="183">
        <v>50</v>
      </c>
      <c r="BD20" s="183" t="s">
        <v>183</v>
      </c>
      <c r="BE20" s="181"/>
      <c r="BF20" s="184" t="s">
        <v>149</v>
      </c>
      <c r="BG20" s="184" t="s">
        <v>189</v>
      </c>
    </row>
    <row r="21" spans="1:59" s="184" customFormat="1" x14ac:dyDescent="0.15">
      <c r="A21" s="178">
        <v>568</v>
      </c>
      <c r="B21" s="180">
        <v>41164</v>
      </c>
      <c r="C21" s="179" t="s">
        <v>278</v>
      </c>
      <c r="D21" s="178" t="s">
        <v>228</v>
      </c>
      <c r="E21" s="180">
        <v>42614</v>
      </c>
      <c r="F21" s="181" t="s">
        <v>224</v>
      </c>
      <c r="G21" s="178" t="s">
        <v>196</v>
      </c>
      <c r="H21" s="178">
        <v>68.7</v>
      </c>
      <c r="I21" s="182" t="s">
        <v>402</v>
      </c>
      <c r="J21" s="185">
        <v>6000</v>
      </c>
      <c r="K21" s="185">
        <v>9000</v>
      </c>
      <c r="L21" s="185">
        <v>9000</v>
      </c>
      <c r="M21" s="185">
        <v>9000</v>
      </c>
      <c r="N21" s="185"/>
      <c r="O21" s="178">
        <v>2.0760000000000001</v>
      </c>
      <c r="P21" s="178">
        <v>1.665</v>
      </c>
      <c r="Q21" s="178">
        <v>0</v>
      </c>
      <c r="R21" s="178">
        <v>0</v>
      </c>
      <c r="S21" s="178">
        <v>1.1599999999999999</v>
      </c>
      <c r="T21" s="178"/>
      <c r="U21" s="178">
        <v>1.8720000000000001</v>
      </c>
      <c r="V21" s="178">
        <v>1.4450000000000001</v>
      </c>
      <c r="W21" s="178">
        <v>0</v>
      </c>
      <c r="X21" s="178">
        <v>0</v>
      </c>
      <c r="Y21" s="178">
        <v>1.085</v>
      </c>
      <c r="Z21" s="178"/>
      <c r="AA21" s="178"/>
      <c r="AB21" s="178"/>
      <c r="AC21" s="178"/>
      <c r="AD21" s="178"/>
      <c r="AE21" s="178"/>
      <c r="AF21" s="178"/>
      <c r="AG21" s="183" t="s">
        <v>281</v>
      </c>
      <c r="AH21" s="183" t="s">
        <v>282</v>
      </c>
      <c r="AI21" s="183">
        <v>3</v>
      </c>
      <c r="AJ21" s="183">
        <v>3</v>
      </c>
      <c r="AK21" s="241">
        <v>0.5</v>
      </c>
      <c r="AL21" s="241">
        <v>0.5</v>
      </c>
      <c r="AM21" s="183">
        <v>0</v>
      </c>
      <c r="AN21" s="183">
        <v>0</v>
      </c>
      <c r="AO21" s="183">
        <v>0</v>
      </c>
      <c r="AP21" s="183">
        <v>13</v>
      </c>
      <c r="AQ21" s="183">
        <v>0</v>
      </c>
      <c r="AR21" s="183">
        <v>0</v>
      </c>
      <c r="AS21" s="183">
        <v>0</v>
      </c>
      <c r="AT21" s="183">
        <v>0</v>
      </c>
      <c r="AU21" s="183">
        <v>0</v>
      </c>
      <c r="AV21" s="183">
        <v>0</v>
      </c>
      <c r="AW21" s="175">
        <v>0</v>
      </c>
      <c r="AX21" s="183" t="s">
        <v>233</v>
      </c>
      <c r="AY21" s="183">
        <v>12</v>
      </c>
      <c r="AZ21" s="183" t="s">
        <v>233</v>
      </c>
      <c r="BA21" s="181"/>
      <c r="BB21" s="181"/>
      <c r="BC21" s="183"/>
      <c r="BD21" s="183" t="s">
        <v>179</v>
      </c>
      <c r="BE21" s="181"/>
      <c r="BF21" s="184" t="s">
        <v>124</v>
      </c>
      <c r="BG21" s="184" t="s">
        <v>181</v>
      </c>
    </row>
    <row r="22" spans="1:59" s="184" customFormat="1" x14ac:dyDescent="0.15">
      <c r="A22" s="178">
        <v>234</v>
      </c>
      <c r="B22" s="180">
        <v>41193</v>
      </c>
      <c r="C22" s="179" t="s">
        <v>278</v>
      </c>
      <c r="D22" s="178" t="s">
        <v>228</v>
      </c>
      <c r="E22" s="250" t="s">
        <v>151</v>
      </c>
      <c r="F22" s="181" t="s">
        <v>226</v>
      </c>
      <c r="G22" s="178" t="s">
        <v>197</v>
      </c>
      <c r="H22" s="178">
        <v>68</v>
      </c>
      <c r="I22" s="182" t="s">
        <v>402</v>
      </c>
      <c r="J22" s="185">
        <v>3500</v>
      </c>
      <c r="K22" s="185">
        <v>3500</v>
      </c>
      <c r="L22" s="185">
        <v>3500</v>
      </c>
      <c r="M22" s="185">
        <v>3500</v>
      </c>
      <c r="N22" s="178"/>
      <c r="O22" s="178">
        <v>1.59</v>
      </c>
      <c r="P22" s="249">
        <v>0</v>
      </c>
      <c r="Q22" s="178">
        <v>0</v>
      </c>
      <c r="R22" s="178">
        <v>0</v>
      </c>
      <c r="S22" s="178">
        <v>1.397</v>
      </c>
      <c r="T22" s="178"/>
      <c r="U22" s="178">
        <v>1.4930000000000001</v>
      </c>
      <c r="V22" s="249">
        <v>0</v>
      </c>
      <c r="W22" s="178">
        <v>0</v>
      </c>
      <c r="X22" s="178">
        <v>0</v>
      </c>
      <c r="Y22" s="178">
        <v>1.3360000000000001</v>
      </c>
      <c r="Z22" s="178"/>
      <c r="AA22" s="178"/>
      <c r="AB22" s="178"/>
      <c r="AC22" s="178"/>
      <c r="AD22" s="178"/>
      <c r="AE22" s="178"/>
      <c r="AF22" s="178"/>
      <c r="AG22" s="183" t="s">
        <v>281</v>
      </c>
      <c r="AH22" s="183" t="s">
        <v>282</v>
      </c>
      <c r="AI22" s="183">
        <v>3</v>
      </c>
      <c r="AJ22" s="183">
        <v>3</v>
      </c>
      <c r="AK22" s="241">
        <v>0.5</v>
      </c>
      <c r="AL22" s="241">
        <v>0.5</v>
      </c>
      <c r="AM22" s="183">
        <v>0</v>
      </c>
      <c r="AN22" s="183">
        <v>0</v>
      </c>
      <c r="AO22" s="183">
        <v>10</v>
      </c>
      <c r="AP22" s="183">
        <v>0</v>
      </c>
      <c r="AQ22" s="183">
        <v>0</v>
      </c>
      <c r="AR22" s="183">
        <v>0</v>
      </c>
      <c r="AS22" s="183">
        <v>0</v>
      </c>
      <c r="AT22" s="183">
        <v>0</v>
      </c>
      <c r="AU22" s="183">
        <v>0</v>
      </c>
      <c r="AV22" s="183">
        <v>0</v>
      </c>
      <c r="AW22" s="175">
        <v>0</v>
      </c>
      <c r="AX22" s="183" t="s">
        <v>233</v>
      </c>
      <c r="AY22" s="181"/>
      <c r="AZ22" s="183" t="s">
        <v>233</v>
      </c>
      <c r="BA22" s="183"/>
      <c r="BB22" s="183"/>
      <c r="BC22" s="181"/>
      <c r="BD22" s="183" t="s">
        <v>183</v>
      </c>
      <c r="BE22" s="181"/>
      <c r="BF22" s="184" t="s">
        <v>377</v>
      </c>
    </row>
    <row r="23" spans="1:59" s="184" customFormat="1" x14ac:dyDescent="0.15">
      <c r="A23" s="178">
        <v>781</v>
      </c>
      <c r="B23" s="180">
        <v>41164</v>
      </c>
      <c r="C23" s="179" t="s">
        <v>278</v>
      </c>
      <c r="D23" s="178" t="s">
        <v>228</v>
      </c>
      <c r="E23" s="250">
        <v>42430</v>
      </c>
      <c r="F23" s="181" t="s">
        <v>227</v>
      </c>
      <c r="G23" s="178" t="s">
        <v>198</v>
      </c>
      <c r="H23" s="178">
        <v>55.75</v>
      </c>
      <c r="I23" s="182" t="s">
        <v>402</v>
      </c>
      <c r="J23" s="178">
        <v>3000</v>
      </c>
      <c r="K23" s="178">
        <v>6000</v>
      </c>
      <c r="L23" s="178">
        <v>9000</v>
      </c>
      <c r="M23" s="178">
        <v>15000</v>
      </c>
      <c r="N23" s="178"/>
      <c r="O23" s="178">
        <v>2.0459999999999998</v>
      </c>
      <c r="P23" s="178">
        <v>1.83</v>
      </c>
      <c r="Q23" s="178">
        <v>1.56</v>
      </c>
      <c r="R23" s="178">
        <v>1.4259999999999999</v>
      </c>
      <c r="S23" s="178">
        <v>1.39</v>
      </c>
      <c r="T23" s="178"/>
      <c r="U23" s="178">
        <v>1.94</v>
      </c>
      <c r="V23" s="178">
        <v>1.75</v>
      </c>
      <c r="W23" s="178">
        <v>1.53</v>
      </c>
      <c r="X23" s="178">
        <v>1.4</v>
      </c>
      <c r="Y23" s="178">
        <v>1.37</v>
      </c>
      <c r="Z23" s="178"/>
      <c r="AA23" s="178"/>
      <c r="AB23" s="178"/>
      <c r="AC23" s="178"/>
      <c r="AD23" s="178"/>
      <c r="AE23" s="178"/>
      <c r="AF23" s="178"/>
      <c r="AG23" s="183" t="s">
        <v>281</v>
      </c>
      <c r="AH23" s="183" t="s">
        <v>282</v>
      </c>
      <c r="AI23" s="183">
        <v>3</v>
      </c>
      <c r="AJ23" s="183">
        <v>3</v>
      </c>
      <c r="AK23" s="241">
        <v>0.5</v>
      </c>
      <c r="AL23" s="241">
        <v>0.5</v>
      </c>
      <c r="AM23" s="183">
        <v>0</v>
      </c>
      <c r="AN23" s="183">
        <v>15</v>
      </c>
      <c r="AO23" s="183">
        <v>0</v>
      </c>
      <c r="AP23" s="183">
        <v>5</v>
      </c>
      <c r="AQ23" s="183">
        <v>0</v>
      </c>
      <c r="AR23" s="183">
        <v>0</v>
      </c>
      <c r="AS23" s="183">
        <v>0</v>
      </c>
      <c r="AT23" s="183">
        <v>0</v>
      </c>
      <c r="AU23" s="183">
        <v>0</v>
      </c>
      <c r="AV23" s="183">
        <v>0</v>
      </c>
      <c r="AW23" s="175">
        <v>24</v>
      </c>
      <c r="AX23" s="183" t="s">
        <v>233</v>
      </c>
      <c r="AY23" s="183"/>
      <c r="AZ23" s="183" t="s">
        <v>233</v>
      </c>
      <c r="BA23" s="181"/>
      <c r="BB23" s="178"/>
      <c r="BC23" s="183"/>
      <c r="BD23" s="183" t="s">
        <v>183</v>
      </c>
      <c r="BE23" s="181"/>
      <c r="BF23" s="184" t="s">
        <v>156</v>
      </c>
      <c r="BG23" s="184" t="s">
        <v>189</v>
      </c>
    </row>
    <row r="24" spans="1:59" s="27" customFormat="1" x14ac:dyDescent="0.15">
      <c r="A24" s="187">
        <v>78</v>
      </c>
      <c r="B24" s="189">
        <v>41163</v>
      </c>
      <c r="C24" s="188" t="s">
        <v>278</v>
      </c>
      <c r="D24" s="187" t="s">
        <v>232</v>
      </c>
      <c r="E24" s="189">
        <v>42618</v>
      </c>
      <c r="F24" s="190" t="s">
        <v>280</v>
      </c>
      <c r="G24" s="187" t="s">
        <v>176</v>
      </c>
      <c r="H24" s="187">
        <v>66.040000000000006</v>
      </c>
      <c r="I24" s="191" t="s">
        <v>402</v>
      </c>
      <c r="J24" s="187">
        <v>1645</v>
      </c>
      <c r="K24" s="187">
        <v>3000</v>
      </c>
      <c r="L24" s="187">
        <v>3000</v>
      </c>
      <c r="M24" s="187">
        <v>3000</v>
      </c>
      <c r="N24" s="187"/>
      <c r="O24" s="187">
        <v>2.1419999999999999</v>
      </c>
      <c r="P24" s="187">
        <v>1.9470000000000001</v>
      </c>
      <c r="Q24" s="187">
        <v>0</v>
      </c>
      <c r="R24" s="187">
        <v>0</v>
      </c>
      <c r="S24" s="187">
        <v>1.625</v>
      </c>
      <c r="T24" s="187"/>
      <c r="U24" s="187">
        <v>2.1419999999999999</v>
      </c>
      <c r="V24" s="187">
        <v>1.9470000000000001</v>
      </c>
      <c r="W24" s="187">
        <v>0</v>
      </c>
      <c r="X24" s="187">
        <v>0</v>
      </c>
      <c r="Y24" s="187">
        <v>1.625</v>
      </c>
      <c r="Z24" s="187"/>
      <c r="AA24" s="187"/>
      <c r="AB24" s="187"/>
      <c r="AC24" s="187"/>
      <c r="AD24" s="187"/>
      <c r="AE24" s="187"/>
      <c r="AF24" s="187"/>
      <c r="AG24" s="192" t="s">
        <v>233</v>
      </c>
      <c r="AH24" s="192" t="s">
        <v>282</v>
      </c>
      <c r="AI24" s="192">
        <v>2</v>
      </c>
      <c r="AJ24" s="192">
        <v>4</v>
      </c>
      <c r="AK24" s="242">
        <v>0.33329999999999999</v>
      </c>
      <c r="AL24" s="242">
        <v>0.66659999999999997</v>
      </c>
      <c r="AM24" s="192">
        <v>0</v>
      </c>
      <c r="AN24" s="192">
        <v>0</v>
      </c>
      <c r="AO24" s="192">
        <v>0</v>
      </c>
      <c r="AP24" s="192">
        <v>13</v>
      </c>
      <c r="AQ24" s="192">
        <v>0</v>
      </c>
      <c r="AR24" s="192">
        <v>0</v>
      </c>
      <c r="AS24" s="192">
        <v>0</v>
      </c>
      <c r="AT24" s="192">
        <v>0</v>
      </c>
      <c r="AU24" s="192">
        <v>0</v>
      </c>
      <c r="AV24" s="192">
        <v>2</v>
      </c>
      <c r="AW24" s="175">
        <v>0</v>
      </c>
      <c r="AX24" s="192" t="s">
        <v>233</v>
      </c>
      <c r="AY24" s="192">
        <v>12</v>
      </c>
      <c r="AZ24" s="192" t="s">
        <v>233</v>
      </c>
      <c r="BA24" s="190" t="s">
        <v>177</v>
      </c>
      <c r="BB24" s="187" t="s">
        <v>178</v>
      </c>
      <c r="BC24" s="192">
        <v>50</v>
      </c>
      <c r="BD24" s="192" t="s">
        <v>179</v>
      </c>
      <c r="BE24" s="190"/>
      <c r="BF24" s="27" t="s">
        <v>125</v>
      </c>
      <c r="BG24" s="27" t="s">
        <v>181</v>
      </c>
    </row>
    <row r="25" spans="1:59" s="27" customFormat="1" x14ac:dyDescent="0.15">
      <c r="A25" s="187">
        <v>261</v>
      </c>
      <c r="B25" s="189">
        <v>41163</v>
      </c>
      <c r="C25" s="188" t="s">
        <v>278</v>
      </c>
      <c r="D25" s="187" t="s">
        <v>232</v>
      </c>
      <c r="E25" s="189">
        <v>42023</v>
      </c>
      <c r="F25" s="190" t="s">
        <v>286</v>
      </c>
      <c r="G25" s="187" t="s">
        <v>182</v>
      </c>
      <c r="H25" s="187">
        <v>64.569999999999993</v>
      </c>
      <c r="I25" s="191" t="s">
        <v>402</v>
      </c>
      <c r="J25" s="187">
        <v>1645</v>
      </c>
      <c r="K25" s="187">
        <v>3000</v>
      </c>
      <c r="L25" s="187">
        <v>3000</v>
      </c>
      <c r="M25" s="187">
        <v>3000</v>
      </c>
      <c r="N25" s="187"/>
      <c r="O25" s="187">
        <v>1.85</v>
      </c>
      <c r="P25" s="187">
        <v>1.85</v>
      </c>
      <c r="Q25" s="187">
        <v>0</v>
      </c>
      <c r="R25" s="187">
        <v>0</v>
      </c>
      <c r="S25" s="187">
        <v>1.64</v>
      </c>
      <c r="T25" s="187"/>
      <c r="U25" s="187">
        <v>1.85</v>
      </c>
      <c r="V25" s="187">
        <v>1.85</v>
      </c>
      <c r="W25" s="187">
        <v>0</v>
      </c>
      <c r="X25" s="187">
        <v>0</v>
      </c>
      <c r="Y25" s="187">
        <v>1.64</v>
      </c>
      <c r="Z25" s="187"/>
      <c r="AA25" s="187"/>
      <c r="AB25" s="187"/>
      <c r="AC25" s="187"/>
      <c r="AD25" s="187"/>
      <c r="AE25" s="187"/>
      <c r="AF25" s="187"/>
      <c r="AG25" s="192" t="s">
        <v>233</v>
      </c>
      <c r="AH25" s="192" t="s">
        <v>282</v>
      </c>
      <c r="AI25" s="192">
        <v>2</v>
      </c>
      <c r="AJ25" s="192">
        <v>4</v>
      </c>
      <c r="AK25" s="242">
        <v>0.33329999999999999</v>
      </c>
      <c r="AL25" s="242">
        <v>0.66659999999999997</v>
      </c>
      <c r="AM25" s="192">
        <v>0</v>
      </c>
      <c r="AN25" s="192">
        <v>0</v>
      </c>
      <c r="AO25" s="192">
        <v>0</v>
      </c>
      <c r="AP25" s="192">
        <v>15</v>
      </c>
      <c r="AQ25" s="192">
        <v>0</v>
      </c>
      <c r="AR25" s="192">
        <v>0</v>
      </c>
      <c r="AS25" s="192">
        <v>0</v>
      </c>
      <c r="AT25" s="192">
        <v>0</v>
      </c>
      <c r="AU25" s="192">
        <v>0</v>
      </c>
      <c r="AV25" s="192">
        <v>0</v>
      </c>
      <c r="AW25" s="175">
        <v>0</v>
      </c>
      <c r="AX25" s="192" t="s">
        <v>233</v>
      </c>
      <c r="AY25" s="192"/>
      <c r="AZ25" s="192" t="s">
        <v>233</v>
      </c>
      <c r="BA25" s="190"/>
      <c r="BB25" s="187"/>
      <c r="BC25" s="192"/>
      <c r="BD25" s="192" t="s">
        <v>183</v>
      </c>
      <c r="BE25" s="190"/>
      <c r="BF25" s="27" t="s">
        <v>145</v>
      </c>
      <c r="BG25" s="27" t="s">
        <v>189</v>
      </c>
    </row>
    <row r="26" spans="1:59" s="27" customFormat="1" x14ac:dyDescent="0.15">
      <c r="A26" s="187">
        <v>275</v>
      </c>
      <c r="B26" s="189">
        <v>41163</v>
      </c>
      <c r="C26" s="188" t="s">
        <v>278</v>
      </c>
      <c r="D26" s="187" t="s">
        <v>232</v>
      </c>
      <c r="E26" s="189">
        <v>42370</v>
      </c>
      <c r="F26" s="190" t="s">
        <v>288</v>
      </c>
      <c r="G26" s="187" t="s">
        <v>185</v>
      </c>
      <c r="H26" s="187">
        <v>66.5</v>
      </c>
      <c r="I26" s="191" t="s">
        <v>402</v>
      </c>
      <c r="J26" s="187">
        <v>1645</v>
      </c>
      <c r="K26" s="187">
        <v>3000</v>
      </c>
      <c r="L26" s="187">
        <v>3000</v>
      </c>
      <c r="M26" s="187">
        <v>3000</v>
      </c>
      <c r="N26" s="187"/>
      <c r="O26" s="187">
        <v>2.38</v>
      </c>
      <c r="P26" s="187">
        <v>1.98</v>
      </c>
      <c r="Q26" s="187">
        <v>0</v>
      </c>
      <c r="R26" s="187">
        <v>0</v>
      </c>
      <c r="S26" s="187">
        <v>1.64</v>
      </c>
      <c r="T26" s="187"/>
      <c r="U26" s="187">
        <v>2.38</v>
      </c>
      <c r="V26" s="187">
        <v>1.98</v>
      </c>
      <c r="W26" s="187">
        <v>0</v>
      </c>
      <c r="X26" s="187">
        <v>0</v>
      </c>
      <c r="Y26" s="187">
        <v>1.64</v>
      </c>
      <c r="Z26" s="187"/>
      <c r="AA26" s="187"/>
      <c r="AB26" s="187"/>
      <c r="AC26" s="187"/>
      <c r="AD26" s="187"/>
      <c r="AE26" s="187"/>
      <c r="AF26" s="187"/>
      <c r="AG26" s="192" t="s">
        <v>233</v>
      </c>
      <c r="AH26" s="192" t="s">
        <v>282</v>
      </c>
      <c r="AI26" s="192">
        <v>2</v>
      </c>
      <c r="AJ26" s="192">
        <v>4</v>
      </c>
      <c r="AK26" s="242">
        <v>0.33329999999999999</v>
      </c>
      <c r="AL26" s="242">
        <v>0.66659999999999997</v>
      </c>
      <c r="AM26" s="192">
        <v>0</v>
      </c>
      <c r="AN26" s="192">
        <v>0</v>
      </c>
      <c r="AO26" s="192">
        <v>14</v>
      </c>
      <c r="AP26" s="192">
        <v>0</v>
      </c>
      <c r="AQ26" s="192">
        <v>0</v>
      </c>
      <c r="AR26" s="192">
        <v>0</v>
      </c>
      <c r="AS26" s="192">
        <v>0</v>
      </c>
      <c r="AT26" s="192">
        <v>0</v>
      </c>
      <c r="AU26" s="192">
        <v>0</v>
      </c>
      <c r="AV26" s="192">
        <v>0</v>
      </c>
      <c r="AW26" s="175">
        <v>0</v>
      </c>
      <c r="AX26" s="192" t="s">
        <v>233</v>
      </c>
      <c r="AY26" s="192"/>
      <c r="AZ26" s="192" t="s">
        <v>233</v>
      </c>
      <c r="BA26" s="190"/>
      <c r="BB26" s="187"/>
      <c r="BC26" s="192"/>
      <c r="BD26" s="192" t="s">
        <v>179</v>
      </c>
      <c r="BE26" s="190" t="s">
        <v>186</v>
      </c>
      <c r="BF26" s="27" t="s">
        <v>126</v>
      </c>
      <c r="BG26" s="27" t="s">
        <v>189</v>
      </c>
    </row>
    <row r="27" spans="1:59" s="27" customFormat="1" x14ac:dyDescent="0.15">
      <c r="A27" s="187">
        <v>327</v>
      </c>
      <c r="B27" s="189">
        <v>41163</v>
      </c>
      <c r="C27" s="188" t="s">
        <v>278</v>
      </c>
      <c r="D27" s="187" t="s">
        <v>232</v>
      </c>
      <c r="E27" s="189">
        <v>42370</v>
      </c>
      <c r="F27" s="190" t="s">
        <v>600</v>
      </c>
      <c r="G27" s="187" t="s">
        <v>187</v>
      </c>
      <c r="H27" s="187">
        <v>62</v>
      </c>
      <c r="I27" s="191" t="s">
        <v>402</v>
      </c>
      <c r="J27" s="187">
        <v>1645</v>
      </c>
      <c r="K27" s="187">
        <v>3000</v>
      </c>
      <c r="L27" s="187">
        <v>3000</v>
      </c>
      <c r="M27" s="187">
        <v>3000</v>
      </c>
      <c r="N27" s="187"/>
      <c r="O27" s="187">
        <v>2.34</v>
      </c>
      <c r="P27" s="187">
        <v>1.89</v>
      </c>
      <c r="Q27" s="187">
        <v>0</v>
      </c>
      <c r="R27" s="187">
        <v>0</v>
      </c>
      <c r="S27" s="187">
        <v>1.54</v>
      </c>
      <c r="T27" s="187"/>
      <c r="U27" s="187">
        <v>2.34</v>
      </c>
      <c r="V27" s="187">
        <v>1.89</v>
      </c>
      <c r="W27" s="187">
        <v>0</v>
      </c>
      <c r="X27" s="187">
        <v>0</v>
      </c>
      <c r="Y27" s="187">
        <v>1.54</v>
      </c>
      <c r="Z27" s="187"/>
      <c r="AA27" s="187"/>
      <c r="AB27" s="187"/>
      <c r="AC27" s="187"/>
      <c r="AD27" s="187"/>
      <c r="AE27" s="187"/>
      <c r="AF27" s="187"/>
      <c r="AG27" s="192" t="s">
        <v>233</v>
      </c>
      <c r="AH27" s="192" t="s">
        <v>282</v>
      </c>
      <c r="AI27" s="192">
        <v>2</v>
      </c>
      <c r="AJ27" s="192">
        <v>4</v>
      </c>
      <c r="AK27" s="242">
        <v>0.33329999999999999</v>
      </c>
      <c r="AL27" s="242">
        <v>0.66659999999999997</v>
      </c>
      <c r="AM27" s="192">
        <v>0</v>
      </c>
      <c r="AN27" s="192">
        <v>0</v>
      </c>
      <c r="AO27" s="192">
        <v>0</v>
      </c>
      <c r="AP27" s="192">
        <v>12</v>
      </c>
      <c r="AQ27" s="192">
        <v>0</v>
      </c>
      <c r="AR27" s="192">
        <v>0</v>
      </c>
      <c r="AS27" s="192">
        <v>0</v>
      </c>
      <c r="AT27" s="192">
        <v>0</v>
      </c>
      <c r="AU27" s="192">
        <v>0</v>
      </c>
      <c r="AV27" s="192">
        <v>0</v>
      </c>
      <c r="AW27" s="175">
        <v>12</v>
      </c>
      <c r="AX27" s="192" t="s">
        <v>281</v>
      </c>
      <c r="AY27" s="192"/>
      <c r="AZ27" s="192" t="s">
        <v>233</v>
      </c>
      <c r="BA27" s="190"/>
      <c r="BB27" s="187"/>
      <c r="BC27" s="192"/>
      <c r="BD27" s="192" t="s">
        <v>183</v>
      </c>
      <c r="BE27" s="190"/>
      <c r="BF27" s="27" t="s">
        <v>158</v>
      </c>
      <c r="BG27" s="27" t="s">
        <v>189</v>
      </c>
    </row>
    <row r="28" spans="1:59" s="27" customFormat="1" x14ac:dyDescent="0.15">
      <c r="A28" s="187">
        <v>225</v>
      </c>
      <c r="B28" s="189">
        <v>41164</v>
      </c>
      <c r="C28" s="188" t="s">
        <v>278</v>
      </c>
      <c r="D28" s="187" t="s">
        <v>232</v>
      </c>
      <c r="E28" s="189">
        <v>42614</v>
      </c>
      <c r="F28" s="190" t="s">
        <v>290</v>
      </c>
      <c r="G28" s="187" t="s">
        <v>187</v>
      </c>
      <c r="H28" s="187">
        <v>59.95</v>
      </c>
      <c r="I28" s="191" t="s">
        <v>402</v>
      </c>
      <c r="J28" s="193">
        <v>4000</v>
      </c>
      <c r="K28" s="193">
        <v>12000</v>
      </c>
      <c r="L28" s="193">
        <v>12000</v>
      </c>
      <c r="M28" s="193">
        <v>12000</v>
      </c>
      <c r="N28" s="187"/>
      <c r="O28" s="187">
        <v>1.95</v>
      </c>
      <c r="P28" s="187">
        <v>1.69</v>
      </c>
      <c r="Q28" s="187">
        <v>0</v>
      </c>
      <c r="R28" s="187">
        <v>0</v>
      </c>
      <c r="S28" s="187">
        <v>1.39</v>
      </c>
      <c r="T28" s="187"/>
      <c r="U28" s="187">
        <v>1.92</v>
      </c>
      <c r="V28" s="187">
        <v>1.69</v>
      </c>
      <c r="W28" s="187">
        <v>0</v>
      </c>
      <c r="X28" s="187">
        <v>0</v>
      </c>
      <c r="Y28" s="187">
        <v>1.39</v>
      </c>
      <c r="Z28" s="187"/>
      <c r="AA28" s="187"/>
      <c r="AB28" s="187"/>
      <c r="AC28" s="187"/>
      <c r="AD28" s="187"/>
      <c r="AE28" s="187"/>
      <c r="AF28" s="187"/>
      <c r="AG28" s="192" t="s">
        <v>281</v>
      </c>
      <c r="AH28" s="192" t="s">
        <v>282</v>
      </c>
      <c r="AI28" s="192">
        <v>2</v>
      </c>
      <c r="AJ28" s="192">
        <v>4</v>
      </c>
      <c r="AK28" s="242">
        <v>0.33329999999999999</v>
      </c>
      <c r="AL28" s="242">
        <v>0.66659999999999997</v>
      </c>
      <c r="AM28" s="192">
        <v>0</v>
      </c>
      <c r="AN28" s="192">
        <v>0</v>
      </c>
      <c r="AO28" s="192">
        <v>0</v>
      </c>
      <c r="AP28" s="192">
        <v>0</v>
      </c>
      <c r="AQ28" s="192">
        <v>0</v>
      </c>
      <c r="AR28" s="192">
        <v>20</v>
      </c>
      <c r="AS28" s="192">
        <v>0</v>
      </c>
      <c r="AT28" s="192">
        <v>0</v>
      </c>
      <c r="AU28" s="192">
        <v>0</v>
      </c>
      <c r="AV28" s="192">
        <v>0</v>
      </c>
      <c r="AW28" s="175">
        <v>0</v>
      </c>
      <c r="AX28" s="192" t="s">
        <v>233</v>
      </c>
      <c r="AY28" s="192"/>
      <c r="AZ28" s="192" t="s">
        <v>233</v>
      </c>
      <c r="BA28" s="190"/>
      <c r="BB28" s="187"/>
      <c r="BC28" s="192"/>
      <c r="BD28" s="192" t="s">
        <v>183</v>
      </c>
      <c r="BE28" s="190"/>
      <c r="BF28" s="27" t="s">
        <v>127</v>
      </c>
      <c r="BG28" s="27" t="s">
        <v>181</v>
      </c>
    </row>
    <row r="29" spans="1:59" s="27" customFormat="1" x14ac:dyDescent="0.15">
      <c r="A29" s="187">
        <v>159</v>
      </c>
      <c r="B29" s="189">
        <v>41163</v>
      </c>
      <c r="C29" s="188" t="s">
        <v>278</v>
      </c>
      <c r="D29" s="187" t="s">
        <v>232</v>
      </c>
      <c r="E29" s="189">
        <v>42579</v>
      </c>
      <c r="F29" s="190" t="s">
        <v>217</v>
      </c>
      <c r="G29" s="187" t="s">
        <v>190</v>
      </c>
      <c r="H29" s="187">
        <v>70</v>
      </c>
      <c r="I29" s="191" t="s">
        <v>402</v>
      </c>
      <c r="J29" s="187">
        <v>1645</v>
      </c>
      <c r="K29" s="187">
        <v>3000</v>
      </c>
      <c r="L29" s="187">
        <v>3000</v>
      </c>
      <c r="M29" s="187">
        <v>3000</v>
      </c>
      <c r="N29" s="187"/>
      <c r="O29" s="187">
        <v>2.5</v>
      </c>
      <c r="P29" s="187">
        <v>2</v>
      </c>
      <c r="Q29" s="187">
        <v>0</v>
      </c>
      <c r="R29" s="187">
        <v>0</v>
      </c>
      <c r="S29" s="187">
        <v>1.58</v>
      </c>
      <c r="T29" s="187"/>
      <c r="U29" s="187">
        <v>2.48</v>
      </c>
      <c r="V29" s="187">
        <v>1.98</v>
      </c>
      <c r="W29" s="187">
        <v>0</v>
      </c>
      <c r="X29" s="187">
        <v>0</v>
      </c>
      <c r="Y29" s="187">
        <v>1.56</v>
      </c>
      <c r="Z29" s="187"/>
      <c r="AA29" s="187"/>
      <c r="AB29" s="187"/>
      <c r="AC29" s="187"/>
      <c r="AD29" s="187"/>
      <c r="AE29" s="187"/>
      <c r="AF29" s="187"/>
      <c r="AG29" s="192" t="s">
        <v>281</v>
      </c>
      <c r="AH29" s="192" t="s">
        <v>282</v>
      </c>
      <c r="AI29" s="192">
        <v>2</v>
      </c>
      <c r="AJ29" s="192">
        <v>4</v>
      </c>
      <c r="AK29" s="242">
        <v>0.33329999999999999</v>
      </c>
      <c r="AL29" s="242">
        <v>0.66659999999999997</v>
      </c>
      <c r="AM29" s="192">
        <v>0</v>
      </c>
      <c r="AN29" s="192">
        <v>0</v>
      </c>
      <c r="AO29" s="192">
        <v>0</v>
      </c>
      <c r="AP29" s="192">
        <v>16</v>
      </c>
      <c r="AQ29" s="192">
        <v>0</v>
      </c>
      <c r="AR29" s="192">
        <v>0</v>
      </c>
      <c r="AS29" s="192">
        <v>0</v>
      </c>
      <c r="AT29" s="192">
        <v>2</v>
      </c>
      <c r="AU29" s="192">
        <v>0</v>
      </c>
      <c r="AV29" s="192">
        <v>0</v>
      </c>
      <c r="AW29" s="175">
        <v>0</v>
      </c>
      <c r="AX29" s="192" t="s">
        <v>233</v>
      </c>
      <c r="AY29" s="192">
        <v>12</v>
      </c>
      <c r="AZ29" s="192" t="s">
        <v>233</v>
      </c>
      <c r="BA29" s="190"/>
      <c r="BB29" s="190"/>
      <c r="BC29" s="194"/>
      <c r="BD29" s="192" t="s">
        <v>179</v>
      </c>
      <c r="BE29" s="190"/>
      <c r="BF29" s="358" t="s">
        <v>128</v>
      </c>
      <c r="BG29" s="27" t="s">
        <v>189</v>
      </c>
    </row>
    <row r="30" spans="1:59" s="27" customFormat="1" x14ac:dyDescent="0.15">
      <c r="A30" s="187">
        <v>173</v>
      </c>
      <c r="B30" s="189">
        <v>41163</v>
      </c>
      <c r="C30" s="188" t="s">
        <v>278</v>
      </c>
      <c r="D30" s="187" t="s">
        <v>232</v>
      </c>
      <c r="E30" s="189">
        <v>42374</v>
      </c>
      <c r="F30" s="190" t="s">
        <v>220</v>
      </c>
      <c r="G30" s="187" t="s">
        <v>193</v>
      </c>
      <c r="H30" s="187">
        <v>64.459999999999994</v>
      </c>
      <c r="I30" s="191" t="s">
        <v>402</v>
      </c>
      <c r="J30" s="187">
        <v>1645</v>
      </c>
      <c r="K30" s="187">
        <v>3000</v>
      </c>
      <c r="L30" s="187">
        <v>3000</v>
      </c>
      <c r="M30" s="187">
        <v>3000</v>
      </c>
      <c r="N30" s="187"/>
      <c r="O30" s="187">
        <v>2.4329999999999998</v>
      </c>
      <c r="P30" s="187">
        <v>2.0470000000000002</v>
      </c>
      <c r="Q30" s="187">
        <v>0</v>
      </c>
      <c r="R30" s="187">
        <v>0</v>
      </c>
      <c r="S30" s="187">
        <v>1.71</v>
      </c>
      <c r="T30" s="187"/>
      <c r="U30" s="187">
        <v>2.4329999999999998</v>
      </c>
      <c r="V30" s="187">
        <v>2.0470000000000002</v>
      </c>
      <c r="W30" s="187">
        <v>0</v>
      </c>
      <c r="X30" s="187">
        <v>0</v>
      </c>
      <c r="Y30" s="187">
        <v>1.71</v>
      </c>
      <c r="Z30" s="187"/>
      <c r="AA30" s="187"/>
      <c r="AB30" s="187"/>
      <c r="AC30" s="187"/>
      <c r="AD30" s="187"/>
      <c r="AE30" s="187"/>
      <c r="AF30" s="187"/>
      <c r="AG30" s="192" t="s">
        <v>233</v>
      </c>
      <c r="AH30" s="192" t="s">
        <v>282</v>
      </c>
      <c r="AI30" s="192">
        <v>2</v>
      </c>
      <c r="AJ30" s="192">
        <v>4</v>
      </c>
      <c r="AK30" s="242">
        <v>0.33329999999999999</v>
      </c>
      <c r="AL30" s="242">
        <v>0.66659999999999997</v>
      </c>
      <c r="AM30" s="192">
        <v>0</v>
      </c>
      <c r="AN30" s="192">
        <v>0</v>
      </c>
      <c r="AO30" s="192">
        <v>15</v>
      </c>
      <c r="AP30" s="192">
        <v>0</v>
      </c>
      <c r="AQ30" s="192">
        <v>0</v>
      </c>
      <c r="AR30" s="192">
        <v>0</v>
      </c>
      <c r="AS30" s="192">
        <v>0</v>
      </c>
      <c r="AT30" s="192">
        <v>0</v>
      </c>
      <c r="AU30" s="192">
        <v>0</v>
      </c>
      <c r="AV30" s="192">
        <v>0</v>
      </c>
      <c r="AW30" s="175">
        <v>24</v>
      </c>
      <c r="AX30" s="192" t="s">
        <v>233</v>
      </c>
      <c r="AY30" s="192"/>
      <c r="AZ30" s="192" t="s">
        <v>233</v>
      </c>
      <c r="BA30" s="190" t="s">
        <v>429</v>
      </c>
      <c r="BB30" s="187"/>
      <c r="BC30" s="192"/>
      <c r="BD30" s="192" t="s">
        <v>183</v>
      </c>
      <c r="BE30" s="190"/>
      <c r="BF30" s="27" t="s">
        <v>148</v>
      </c>
      <c r="BG30" s="27" t="s">
        <v>189</v>
      </c>
    </row>
    <row r="31" spans="1:59" s="27" customFormat="1" x14ac:dyDescent="0.15">
      <c r="A31" s="187">
        <v>314</v>
      </c>
      <c r="B31" s="189">
        <v>41163</v>
      </c>
      <c r="C31" s="188" t="s">
        <v>278</v>
      </c>
      <c r="D31" s="187" t="s">
        <v>232</v>
      </c>
      <c r="E31" s="189">
        <v>42583</v>
      </c>
      <c r="F31" s="187" t="s">
        <v>222</v>
      </c>
      <c r="G31" s="187" t="s">
        <v>187</v>
      </c>
      <c r="H31" s="187">
        <v>64.09</v>
      </c>
      <c r="I31" s="191" t="s">
        <v>402</v>
      </c>
      <c r="J31" s="187">
        <v>1645</v>
      </c>
      <c r="K31" s="187">
        <v>3000</v>
      </c>
      <c r="L31" s="187">
        <v>3000</v>
      </c>
      <c r="M31" s="187">
        <v>3000</v>
      </c>
      <c r="N31" s="187"/>
      <c r="O31" s="187">
        <v>1.792</v>
      </c>
      <c r="P31" s="187">
        <v>1.5229999999999999</v>
      </c>
      <c r="Q31" s="187">
        <v>0</v>
      </c>
      <c r="R31" s="187">
        <v>0</v>
      </c>
      <c r="S31" s="187">
        <v>1.254</v>
      </c>
      <c r="T31" s="187"/>
      <c r="U31" s="187">
        <v>1.7509999999999999</v>
      </c>
      <c r="V31" s="187">
        <v>1.482</v>
      </c>
      <c r="W31" s="187">
        <v>0</v>
      </c>
      <c r="X31" s="187">
        <v>0</v>
      </c>
      <c r="Y31" s="187">
        <v>1.212</v>
      </c>
      <c r="Z31" s="187"/>
      <c r="AA31" s="187"/>
      <c r="AB31" s="187"/>
      <c r="AC31" s="187"/>
      <c r="AD31" s="187"/>
      <c r="AE31" s="187"/>
      <c r="AF31" s="187"/>
      <c r="AG31" s="192" t="s">
        <v>281</v>
      </c>
      <c r="AH31" s="192" t="s">
        <v>282</v>
      </c>
      <c r="AI31" s="192">
        <v>2</v>
      </c>
      <c r="AJ31" s="192">
        <v>4</v>
      </c>
      <c r="AK31" s="242">
        <v>0.33329999999999999</v>
      </c>
      <c r="AL31" s="242">
        <v>0.66659999999999997</v>
      </c>
      <c r="AM31" s="192">
        <v>0</v>
      </c>
      <c r="AN31" s="192">
        <v>0</v>
      </c>
      <c r="AO31" s="192">
        <v>0</v>
      </c>
      <c r="AP31" s="192">
        <v>0</v>
      </c>
      <c r="AQ31" s="192">
        <v>0</v>
      </c>
      <c r="AR31" s="192">
        <v>0</v>
      </c>
      <c r="AS31" s="192">
        <v>0</v>
      </c>
      <c r="AT31" s="192">
        <v>0</v>
      </c>
      <c r="AU31" s="192">
        <v>0</v>
      </c>
      <c r="AV31" s="192">
        <v>0</v>
      </c>
      <c r="AW31" s="175">
        <v>0</v>
      </c>
      <c r="AX31" s="192" t="s">
        <v>233</v>
      </c>
      <c r="AY31" s="192"/>
      <c r="AZ31" s="192" t="s">
        <v>233</v>
      </c>
      <c r="BA31" s="190" t="s">
        <v>195</v>
      </c>
      <c r="BB31" s="187" t="s">
        <v>178</v>
      </c>
      <c r="BC31" s="192">
        <v>50</v>
      </c>
      <c r="BD31" s="192" t="s">
        <v>183</v>
      </c>
      <c r="BE31" s="190"/>
      <c r="BF31" s="27" t="s">
        <v>129</v>
      </c>
      <c r="BG31" s="27" t="s">
        <v>189</v>
      </c>
    </row>
    <row r="32" spans="1:59" s="27" customFormat="1" x14ac:dyDescent="0.15">
      <c r="A32" s="187">
        <v>569</v>
      </c>
      <c r="B32" s="189">
        <v>41164</v>
      </c>
      <c r="C32" s="188" t="s">
        <v>278</v>
      </c>
      <c r="D32" s="187" t="s">
        <v>232</v>
      </c>
      <c r="E32" s="189">
        <v>42614</v>
      </c>
      <c r="F32" s="190" t="s">
        <v>224</v>
      </c>
      <c r="G32" s="187" t="s">
        <v>196</v>
      </c>
      <c r="H32" s="187">
        <v>64.22</v>
      </c>
      <c r="I32" s="191" t="s">
        <v>402</v>
      </c>
      <c r="J32" s="193">
        <v>4000</v>
      </c>
      <c r="K32" s="193">
        <v>12000</v>
      </c>
      <c r="L32" s="193">
        <v>12000</v>
      </c>
      <c r="M32" s="193">
        <v>12000</v>
      </c>
      <c r="N32" s="187"/>
      <c r="O32" s="187">
        <v>1.915</v>
      </c>
      <c r="P32" s="187">
        <v>1.841</v>
      </c>
      <c r="Q32" s="187">
        <v>0</v>
      </c>
      <c r="R32" s="187">
        <v>0</v>
      </c>
      <c r="S32" s="187">
        <v>1.474</v>
      </c>
      <c r="T32" s="187"/>
      <c r="U32" s="187">
        <v>1.915</v>
      </c>
      <c r="V32" s="187">
        <v>1.841</v>
      </c>
      <c r="W32" s="187">
        <v>0</v>
      </c>
      <c r="X32" s="187">
        <v>0</v>
      </c>
      <c r="Y32" s="187">
        <v>1.474</v>
      </c>
      <c r="Z32" s="187"/>
      <c r="AA32" s="187"/>
      <c r="AB32" s="187"/>
      <c r="AC32" s="187"/>
      <c r="AD32" s="187"/>
      <c r="AE32" s="187"/>
      <c r="AF32" s="187"/>
      <c r="AG32" s="192" t="s">
        <v>233</v>
      </c>
      <c r="AH32" s="192" t="s">
        <v>282</v>
      </c>
      <c r="AI32" s="192">
        <v>2</v>
      </c>
      <c r="AJ32" s="192">
        <v>4</v>
      </c>
      <c r="AK32" s="242">
        <v>0.33329999999999999</v>
      </c>
      <c r="AL32" s="242">
        <v>0.66659999999999997</v>
      </c>
      <c r="AM32" s="192">
        <v>0</v>
      </c>
      <c r="AN32" s="192">
        <v>0</v>
      </c>
      <c r="AO32" s="192">
        <v>0</v>
      </c>
      <c r="AP32" s="192">
        <v>13</v>
      </c>
      <c r="AQ32" s="192">
        <v>0</v>
      </c>
      <c r="AR32" s="192">
        <v>0</v>
      </c>
      <c r="AS32" s="192">
        <v>0</v>
      </c>
      <c r="AT32" s="192">
        <v>0</v>
      </c>
      <c r="AU32" s="192">
        <v>0</v>
      </c>
      <c r="AV32" s="192">
        <v>0</v>
      </c>
      <c r="AW32" s="175">
        <v>0</v>
      </c>
      <c r="AX32" s="192" t="s">
        <v>233</v>
      </c>
      <c r="AY32" s="192">
        <v>12</v>
      </c>
      <c r="AZ32" s="192" t="s">
        <v>233</v>
      </c>
      <c r="BA32" s="190"/>
      <c r="BB32" s="190"/>
      <c r="BC32" s="192"/>
      <c r="BD32" s="192" t="s">
        <v>179</v>
      </c>
      <c r="BE32" s="190"/>
      <c r="BF32" s="27" t="s">
        <v>130</v>
      </c>
      <c r="BG32" s="27" t="s">
        <v>181</v>
      </c>
    </row>
    <row r="33" spans="1:59" s="27" customFormat="1" x14ac:dyDescent="0.15">
      <c r="A33" s="187">
        <v>235</v>
      </c>
      <c r="B33" s="189">
        <v>41193</v>
      </c>
      <c r="C33" s="188" t="s">
        <v>278</v>
      </c>
      <c r="D33" s="187" t="s">
        <v>232</v>
      </c>
      <c r="E33" s="252" t="s">
        <v>151</v>
      </c>
      <c r="F33" s="190" t="s">
        <v>226</v>
      </c>
      <c r="G33" s="187" t="s">
        <v>197</v>
      </c>
      <c r="H33" s="187">
        <v>68</v>
      </c>
      <c r="I33" s="191" t="s">
        <v>402</v>
      </c>
      <c r="J33" s="193">
        <v>3000</v>
      </c>
      <c r="K33" s="193">
        <v>3000</v>
      </c>
      <c r="L33" s="193">
        <v>3000</v>
      </c>
      <c r="M33" s="193">
        <v>3000</v>
      </c>
      <c r="N33" s="187"/>
      <c r="O33" s="187">
        <v>1.8360000000000001</v>
      </c>
      <c r="P33" s="251">
        <v>0</v>
      </c>
      <c r="Q33" s="187">
        <v>0</v>
      </c>
      <c r="R33" s="187">
        <v>0</v>
      </c>
      <c r="S33" s="187">
        <v>1.3580000000000001</v>
      </c>
      <c r="T33" s="187"/>
      <c r="U33" s="187">
        <v>1.8360000000000001</v>
      </c>
      <c r="V33" s="251">
        <v>0</v>
      </c>
      <c r="W33" s="187">
        <v>0</v>
      </c>
      <c r="X33" s="187">
        <v>0</v>
      </c>
      <c r="Y33" s="187">
        <v>1.3580000000000001</v>
      </c>
      <c r="Z33" s="187"/>
      <c r="AA33" s="187"/>
      <c r="AB33" s="187"/>
      <c r="AC33" s="187"/>
      <c r="AD33" s="187"/>
      <c r="AE33" s="187"/>
      <c r="AF33" s="187"/>
      <c r="AG33" s="192" t="s">
        <v>233</v>
      </c>
      <c r="AH33" s="192" t="s">
        <v>131</v>
      </c>
      <c r="AI33" s="192">
        <v>2</v>
      </c>
      <c r="AJ33" s="192">
        <v>4</v>
      </c>
      <c r="AK33" s="242">
        <v>0.33329999999999999</v>
      </c>
      <c r="AL33" s="242">
        <v>0.66659999999999997</v>
      </c>
      <c r="AM33" s="192">
        <v>0</v>
      </c>
      <c r="AN33" s="192">
        <v>0</v>
      </c>
      <c r="AO33" s="192">
        <v>10</v>
      </c>
      <c r="AP33" s="192">
        <v>0</v>
      </c>
      <c r="AQ33" s="192">
        <v>0</v>
      </c>
      <c r="AR33" s="192">
        <v>0</v>
      </c>
      <c r="AS33" s="192">
        <v>0</v>
      </c>
      <c r="AT33" s="192">
        <v>0</v>
      </c>
      <c r="AU33" s="192">
        <v>0</v>
      </c>
      <c r="AV33" s="192">
        <v>0</v>
      </c>
      <c r="AW33" s="175">
        <v>0</v>
      </c>
      <c r="AX33" s="192" t="s">
        <v>233</v>
      </c>
      <c r="AY33" s="190"/>
      <c r="AZ33" s="192" t="s">
        <v>233</v>
      </c>
      <c r="BA33" s="192"/>
      <c r="BB33" s="192"/>
      <c r="BC33" s="190"/>
      <c r="BD33" s="192" t="s">
        <v>183</v>
      </c>
      <c r="BE33" s="190"/>
      <c r="BF33" s="27" t="s">
        <v>342</v>
      </c>
    </row>
    <row r="34" spans="1:59" s="27" customFormat="1" x14ac:dyDescent="0.15">
      <c r="A34" s="187">
        <v>784</v>
      </c>
      <c r="B34" s="189">
        <v>41164</v>
      </c>
      <c r="C34" s="188" t="s">
        <v>278</v>
      </c>
      <c r="D34" s="187" t="s">
        <v>232</v>
      </c>
      <c r="E34" s="252">
        <v>42430</v>
      </c>
      <c r="F34" s="190" t="s">
        <v>227</v>
      </c>
      <c r="G34" s="187" t="s">
        <v>198</v>
      </c>
      <c r="H34" s="187">
        <v>57.02</v>
      </c>
      <c r="I34" s="191" t="s">
        <v>402</v>
      </c>
      <c r="J34" s="187">
        <v>1645</v>
      </c>
      <c r="K34" s="187">
        <v>3000</v>
      </c>
      <c r="L34" s="187">
        <v>3000</v>
      </c>
      <c r="M34" s="187">
        <v>3000</v>
      </c>
      <c r="N34" s="187"/>
      <c r="O34" s="187">
        <v>2.21</v>
      </c>
      <c r="P34" s="187">
        <v>1.89</v>
      </c>
      <c r="Q34" s="187">
        <v>0</v>
      </c>
      <c r="R34" s="187">
        <v>0</v>
      </c>
      <c r="S34" s="187">
        <v>1.62</v>
      </c>
      <c r="T34" s="187"/>
      <c r="U34" s="187">
        <v>2.21</v>
      </c>
      <c r="V34" s="187">
        <v>1.89</v>
      </c>
      <c r="W34" s="187">
        <v>0</v>
      </c>
      <c r="X34" s="187">
        <v>0</v>
      </c>
      <c r="Y34" s="187">
        <v>1.62</v>
      </c>
      <c r="Z34" s="187"/>
      <c r="AA34" s="187"/>
      <c r="AB34" s="187"/>
      <c r="AC34" s="187"/>
      <c r="AD34" s="187"/>
      <c r="AE34" s="187"/>
      <c r="AF34" s="187"/>
      <c r="AG34" s="192" t="s">
        <v>233</v>
      </c>
      <c r="AH34" s="192" t="s">
        <v>282</v>
      </c>
      <c r="AI34" s="192">
        <v>2</v>
      </c>
      <c r="AJ34" s="192">
        <v>4</v>
      </c>
      <c r="AK34" s="242">
        <v>0.33329999999999999</v>
      </c>
      <c r="AL34" s="242">
        <v>0.66659999999999997</v>
      </c>
      <c r="AM34" s="192">
        <v>0</v>
      </c>
      <c r="AN34" s="192">
        <v>15</v>
      </c>
      <c r="AO34" s="192">
        <v>0</v>
      </c>
      <c r="AP34" s="192">
        <v>5</v>
      </c>
      <c r="AQ34" s="192">
        <v>0</v>
      </c>
      <c r="AR34" s="192">
        <v>0</v>
      </c>
      <c r="AS34" s="192">
        <v>0</v>
      </c>
      <c r="AT34" s="192">
        <v>0</v>
      </c>
      <c r="AU34" s="192">
        <v>0</v>
      </c>
      <c r="AV34" s="192">
        <v>0</v>
      </c>
      <c r="AW34" s="175">
        <v>24</v>
      </c>
      <c r="AX34" s="192" t="s">
        <v>233</v>
      </c>
      <c r="AY34" s="192"/>
      <c r="AZ34" s="192" t="s">
        <v>233</v>
      </c>
      <c r="BA34" s="190"/>
      <c r="BB34" s="187"/>
      <c r="BC34" s="192"/>
      <c r="BD34" s="192" t="s">
        <v>183</v>
      </c>
      <c r="BE34" s="190"/>
      <c r="BF34" s="27" t="s">
        <v>160</v>
      </c>
      <c r="BG34" s="27" t="s">
        <v>189</v>
      </c>
    </row>
    <row r="35" spans="1:59" s="201" customFormat="1" x14ac:dyDescent="0.15">
      <c r="A35" s="195">
        <v>80</v>
      </c>
      <c r="B35" s="197">
        <v>41163</v>
      </c>
      <c r="C35" s="196" t="s">
        <v>278</v>
      </c>
      <c r="D35" s="195" t="s">
        <v>344</v>
      </c>
      <c r="E35" s="197">
        <v>42618</v>
      </c>
      <c r="F35" s="198" t="s">
        <v>280</v>
      </c>
      <c r="G35" s="195" t="s">
        <v>176</v>
      </c>
      <c r="H35" s="195">
        <v>65.8</v>
      </c>
      <c r="I35" s="199" t="s">
        <v>402</v>
      </c>
      <c r="J35" s="195">
        <v>1645</v>
      </c>
      <c r="K35" s="195">
        <v>3000</v>
      </c>
      <c r="L35" s="195">
        <v>3000</v>
      </c>
      <c r="M35" s="195">
        <v>3000</v>
      </c>
      <c r="N35" s="195"/>
      <c r="O35" s="195">
        <v>2.2109999999999999</v>
      </c>
      <c r="P35" s="195">
        <v>2.1120000000000001</v>
      </c>
      <c r="Q35" s="195">
        <v>0</v>
      </c>
      <c r="R35" s="195">
        <v>0</v>
      </c>
      <c r="S35" s="195">
        <v>1.429</v>
      </c>
      <c r="T35" s="195"/>
      <c r="U35" s="195">
        <v>2.2109999999999999</v>
      </c>
      <c r="V35" s="195">
        <v>2.1120000000000001</v>
      </c>
      <c r="W35" s="195">
        <v>0</v>
      </c>
      <c r="X35" s="195">
        <v>0</v>
      </c>
      <c r="Y35" s="195">
        <v>1.429</v>
      </c>
      <c r="Z35" s="195"/>
      <c r="AA35" s="195"/>
      <c r="AB35" s="195"/>
      <c r="AC35" s="195"/>
      <c r="AD35" s="195"/>
      <c r="AE35" s="195"/>
      <c r="AF35" s="195"/>
      <c r="AG35" s="200" t="s">
        <v>233</v>
      </c>
      <c r="AH35" s="200" t="s">
        <v>282</v>
      </c>
      <c r="AI35" s="192">
        <v>2</v>
      </c>
      <c r="AJ35" s="192">
        <v>4</v>
      </c>
      <c r="AK35" s="243">
        <v>0.33329999999999999</v>
      </c>
      <c r="AL35" s="243">
        <v>0.66659999999999997</v>
      </c>
      <c r="AM35" s="200">
        <v>0</v>
      </c>
      <c r="AN35" s="200">
        <v>0</v>
      </c>
      <c r="AO35" s="200">
        <v>0</v>
      </c>
      <c r="AP35" s="200">
        <v>13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2</v>
      </c>
      <c r="AW35" s="175">
        <v>0</v>
      </c>
      <c r="AX35" s="200" t="s">
        <v>233</v>
      </c>
      <c r="AY35" s="200">
        <v>12</v>
      </c>
      <c r="AZ35" s="200" t="s">
        <v>233</v>
      </c>
      <c r="BA35" s="198" t="s">
        <v>177</v>
      </c>
      <c r="BB35" s="195" t="s">
        <v>178</v>
      </c>
      <c r="BC35" s="200">
        <v>50</v>
      </c>
      <c r="BD35" s="200" t="s">
        <v>179</v>
      </c>
      <c r="BE35" s="198"/>
      <c r="BF35" s="201" t="s">
        <v>132</v>
      </c>
      <c r="BG35" s="201" t="s">
        <v>181</v>
      </c>
    </row>
    <row r="36" spans="1:59" s="201" customFormat="1" x14ac:dyDescent="0.15">
      <c r="A36" s="195">
        <v>263</v>
      </c>
      <c r="B36" s="197">
        <v>41163</v>
      </c>
      <c r="C36" s="196" t="s">
        <v>278</v>
      </c>
      <c r="D36" s="195" t="s">
        <v>344</v>
      </c>
      <c r="E36" s="197">
        <v>42023</v>
      </c>
      <c r="F36" s="198" t="s">
        <v>286</v>
      </c>
      <c r="G36" s="195" t="s">
        <v>182</v>
      </c>
      <c r="H36" s="195">
        <v>63.81</v>
      </c>
      <c r="I36" s="199" t="s">
        <v>402</v>
      </c>
      <c r="J36" s="195">
        <v>1645</v>
      </c>
      <c r="K36" s="195">
        <v>3000</v>
      </c>
      <c r="L36" s="195">
        <v>3000</v>
      </c>
      <c r="M36" s="195">
        <v>3000</v>
      </c>
      <c r="N36" s="195"/>
      <c r="O36" s="195">
        <v>1.93</v>
      </c>
      <c r="P36" s="195">
        <v>1.93</v>
      </c>
      <c r="Q36" s="195">
        <v>0</v>
      </c>
      <c r="R36" s="195">
        <v>0</v>
      </c>
      <c r="S36" s="195">
        <v>1.52</v>
      </c>
      <c r="T36" s="195"/>
      <c r="U36" s="195">
        <v>1.93</v>
      </c>
      <c r="V36" s="195">
        <v>1.93</v>
      </c>
      <c r="W36" s="195">
        <v>0</v>
      </c>
      <c r="X36" s="195">
        <v>0</v>
      </c>
      <c r="Y36" s="195">
        <v>1.52</v>
      </c>
      <c r="Z36" s="195"/>
      <c r="AA36" s="195"/>
      <c r="AB36" s="195"/>
      <c r="AC36" s="195"/>
      <c r="AD36" s="195"/>
      <c r="AE36" s="195"/>
      <c r="AF36" s="195"/>
      <c r="AG36" s="200" t="s">
        <v>233</v>
      </c>
      <c r="AH36" s="200" t="s">
        <v>282</v>
      </c>
      <c r="AI36" s="192">
        <v>2</v>
      </c>
      <c r="AJ36" s="192">
        <v>4</v>
      </c>
      <c r="AK36" s="243">
        <v>0.33329999999999999</v>
      </c>
      <c r="AL36" s="243">
        <v>0.66659999999999997</v>
      </c>
      <c r="AM36" s="200">
        <v>0</v>
      </c>
      <c r="AN36" s="200">
        <v>0</v>
      </c>
      <c r="AO36" s="200">
        <v>0</v>
      </c>
      <c r="AP36" s="200">
        <v>15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175">
        <v>0</v>
      </c>
      <c r="AX36" s="200" t="s">
        <v>233</v>
      </c>
      <c r="AY36" s="200"/>
      <c r="AZ36" s="200" t="s">
        <v>233</v>
      </c>
      <c r="BA36" s="198"/>
      <c r="BB36" s="195"/>
      <c r="BC36" s="200"/>
      <c r="BD36" s="200" t="s">
        <v>183</v>
      </c>
      <c r="BE36" s="198"/>
      <c r="BF36" s="201" t="s">
        <v>145</v>
      </c>
      <c r="BG36" s="201" t="s">
        <v>189</v>
      </c>
    </row>
    <row r="37" spans="1:59" s="201" customFormat="1" x14ac:dyDescent="0.15">
      <c r="A37" s="195">
        <v>277</v>
      </c>
      <c r="B37" s="197">
        <v>41163</v>
      </c>
      <c r="C37" s="196" t="s">
        <v>278</v>
      </c>
      <c r="D37" s="195" t="s">
        <v>344</v>
      </c>
      <c r="E37" s="197">
        <v>42370</v>
      </c>
      <c r="F37" s="198" t="s">
        <v>288</v>
      </c>
      <c r="G37" s="195" t="s">
        <v>185</v>
      </c>
      <c r="H37" s="195">
        <v>66.5</v>
      </c>
      <c r="I37" s="199" t="s">
        <v>402</v>
      </c>
      <c r="J37" s="195">
        <v>1645</v>
      </c>
      <c r="K37" s="195">
        <v>3000</v>
      </c>
      <c r="L37" s="195">
        <v>3000</v>
      </c>
      <c r="M37" s="195">
        <v>3000</v>
      </c>
      <c r="N37" s="195"/>
      <c r="O37" s="195">
        <v>2.44</v>
      </c>
      <c r="P37" s="195">
        <v>1.98</v>
      </c>
      <c r="Q37" s="195">
        <v>0</v>
      </c>
      <c r="R37" s="195">
        <v>0</v>
      </c>
      <c r="S37" s="195">
        <v>1.58</v>
      </c>
      <c r="T37" s="195"/>
      <c r="U37" s="195">
        <v>2.44</v>
      </c>
      <c r="V37" s="195">
        <v>1.98</v>
      </c>
      <c r="W37" s="195">
        <v>0</v>
      </c>
      <c r="X37" s="195">
        <v>0</v>
      </c>
      <c r="Y37" s="195">
        <v>1.58</v>
      </c>
      <c r="Z37" s="195"/>
      <c r="AA37" s="195"/>
      <c r="AB37" s="195"/>
      <c r="AC37" s="195"/>
      <c r="AD37" s="195"/>
      <c r="AE37" s="195"/>
      <c r="AF37" s="195"/>
      <c r="AG37" s="200" t="s">
        <v>233</v>
      </c>
      <c r="AH37" s="200" t="s">
        <v>282</v>
      </c>
      <c r="AI37" s="192">
        <v>2</v>
      </c>
      <c r="AJ37" s="192">
        <v>4</v>
      </c>
      <c r="AK37" s="243">
        <v>0.33329999999999999</v>
      </c>
      <c r="AL37" s="243">
        <v>0.66659999999999997</v>
      </c>
      <c r="AM37" s="200">
        <v>0</v>
      </c>
      <c r="AN37" s="200">
        <v>0</v>
      </c>
      <c r="AO37" s="200">
        <v>14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175">
        <v>0</v>
      </c>
      <c r="AX37" s="200" t="s">
        <v>233</v>
      </c>
      <c r="AY37" s="200"/>
      <c r="AZ37" s="200" t="s">
        <v>233</v>
      </c>
      <c r="BA37" s="198"/>
      <c r="BB37" s="195"/>
      <c r="BC37" s="200"/>
      <c r="BD37" s="200" t="s">
        <v>179</v>
      </c>
      <c r="BE37" s="198" t="s">
        <v>186</v>
      </c>
      <c r="BF37" s="201" t="s">
        <v>133</v>
      </c>
      <c r="BG37" s="201" t="s">
        <v>189</v>
      </c>
    </row>
    <row r="38" spans="1:59" s="201" customFormat="1" x14ac:dyDescent="0.15">
      <c r="A38" s="195">
        <v>329</v>
      </c>
      <c r="B38" s="197">
        <v>41163</v>
      </c>
      <c r="C38" s="196" t="s">
        <v>278</v>
      </c>
      <c r="D38" s="195" t="s">
        <v>344</v>
      </c>
      <c r="E38" s="197">
        <v>42370</v>
      </c>
      <c r="F38" s="198" t="s">
        <v>600</v>
      </c>
      <c r="G38" s="195" t="s">
        <v>187</v>
      </c>
      <c r="H38" s="195">
        <v>66.5</v>
      </c>
      <c r="I38" s="199" t="s">
        <v>402</v>
      </c>
      <c r="J38" s="195">
        <v>1645</v>
      </c>
      <c r="K38" s="195">
        <v>3000</v>
      </c>
      <c r="L38" s="195">
        <v>3000</v>
      </c>
      <c r="M38" s="195">
        <v>3000</v>
      </c>
      <c r="N38" s="195"/>
      <c r="O38" s="195">
        <v>2.5299999999999998</v>
      </c>
      <c r="P38" s="195">
        <v>2.02</v>
      </c>
      <c r="Q38" s="195">
        <v>0</v>
      </c>
      <c r="R38" s="195">
        <v>0</v>
      </c>
      <c r="S38" s="195">
        <v>1.58</v>
      </c>
      <c r="T38" s="195"/>
      <c r="U38" s="195">
        <v>2.5299999999999998</v>
      </c>
      <c r="V38" s="195">
        <v>2.02</v>
      </c>
      <c r="W38" s="195">
        <v>0</v>
      </c>
      <c r="X38" s="195">
        <v>0</v>
      </c>
      <c r="Y38" s="195">
        <v>1.58</v>
      </c>
      <c r="Z38" s="195"/>
      <c r="AA38" s="195"/>
      <c r="AB38" s="195"/>
      <c r="AC38" s="195"/>
      <c r="AD38" s="195"/>
      <c r="AE38" s="195"/>
      <c r="AF38" s="195"/>
      <c r="AG38" s="200" t="s">
        <v>233</v>
      </c>
      <c r="AH38" s="200" t="s">
        <v>282</v>
      </c>
      <c r="AI38" s="192">
        <v>2</v>
      </c>
      <c r="AJ38" s="192">
        <v>4</v>
      </c>
      <c r="AK38" s="243">
        <v>0.33329999999999999</v>
      </c>
      <c r="AL38" s="243">
        <v>0.66659999999999997</v>
      </c>
      <c r="AM38" s="200">
        <v>0</v>
      </c>
      <c r="AN38" s="200">
        <v>0</v>
      </c>
      <c r="AO38" s="200">
        <v>0</v>
      </c>
      <c r="AP38" s="200">
        <v>12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175">
        <v>12</v>
      </c>
      <c r="AX38" s="200" t="s">
        <v>281</v>
      </c>
      <c r="AY38" s="200"/>
      <c r="AZ38" s="200" t="s">
        <v>233</v>
      </c>
      <c r="BA38" s="198"/>
      <c r="BB38" s="195"/>
      <c r="BC38" s="200"/>
      <c r="BD38" s="200" t="s">
        <v>183</v>
      </c>
      <c r="BE38" s="198"/>
      <c r="BF38" s="201" t="s">
        <v>158</v>
      </c>
      <c r="BG38" s="201" t="s">
        <v>189</v>
      </c>
    </row>
    <row r="39" spans="1:59" s="201" customFormat="1" x14ac:dyDescent="0.15">
      <c r="A39" s="195">
        <v>227</v>
      </c>
      <c r="B39" s="197">
        <v>41164</v>
      </c>
      <c r="C39" s="196" t="s">
        <v>278</v>
      </c>
      <c r="D39" s="195" t="s">
        <v>344</v>
      </c>
      <c r="E39" s="197">
        <v>42614</v>
      </c>
      <c r="F39" s="198" t="s">
        <v>290</v>
      </c>
      <c r="G39" s="195" t="s">
        <v>187</v>
      </c>
      <c r="H39" s="195">
        <v>59.95</v>
      </c>
      <c r="I39" s="199" t="s">
        <v>402</v>
      </c>
      <c r="J39" s="202">
        <v>3200</v>
      </c>
      <c r="K39" s="202">
        <v>3200</v>
      </c>
      <c r="L39" s="202">
        <v>3200</v>
      </c>
      <c r="M39" s="202">
        <v>3200</v>
      </c>
      <c r="N39" s="195"/>
      <c r="O39" s="195">
        <v>1.94</v>
      </c>
      <c r="P39" s="195">
        <v>0</v>
      </c>
      <c r="Q39" s="195">
        <v>0</v>
      </c>
      <c r="R39" s="195">
        <v>0</v>
      </c>
      <c r="S39" s="195">
        <v>1.54</v>
      </c>
      <c r="T39" s="195"/>
      <c r="U39" s="195">
        <v>1.89</v>
      </c>
      <c r="V39" s="195">
        <v>0</v>
      </c>
      <c r="W39" s="195">
        <v>0</v>
      </c>
      <c r="X39" s="195">
        <v>0</v>
      </c>
      <c r="Y39" s="195">
        <v>1.54</v>
      </c>
      <c r="Z39" s="195"/>
      <c r="AA39" s="195"/>
      <c r="AB39" s="195"/>
      <c r="AC39" s="195"/>
      <c r="AD39" s="195"/>
      <c r="AE39" s="195"/>
      <c r="AF39" s="195"/>
      <c r="AG39" s="200" t="s">
        <v>281</v>
      </c>
      <c r="AH39" s="200" t="s">
        <v>282</v>
      </c>
      <c r="AI39" s="192">
        <v>2</v>
      </c>
      <c r="AJ39" s="192">
        <v>4</v>
      </c>
      <c r="AK39" s="243">
        <v>0.33329999999999999</v>
      </c>
      <c r="AL39" s="243">
        <v>0.66659999999999997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20</v>
      </c>
      <c r="AS39" s="200">
        <v>0</v>
      </c>
      <c r="AT39" s="200">
        <v>0</v>
      </c>
      <c r="AU39" s="200">
        <v>0</v>
      </c>
      <c r="AV39" s="200">
        <v>0</v>
      </c>
      <c r="AW39" s="175">
        <v>0</v>
      </c>
      <c r="AX39" s="200" t="s">
        <v>233</v>
      </c>
      <c r="AY39" s="200"/>
      <c r="AZ39" s="200" t="s">
        <v>233</v>
      </c>
      <c r="BA39" s="198"/>
      <c r="BB39" s="195"/>
      <c r="BC39" s="200"/>
      <c r="BD39" s="200" t="s">
        <v>183</v>
      </c>
      <c r="BE39" s="198"/>
      <c r="BF39" s="201" t="s">
        <v>134</v>
      </c>
      <c r="BG39" s="201" t="s">
        <v>181</v>
      </c>
    </row>
    <row r="40" spans="1:59" s="201" customFormat="1" x14ac:dyDescent="0.15">
      <c r="A40" s="195">
        <v>161</v>
      </c>
      <c r="B40" s="197">
        <v>41163</v>
      </c>
      <c r="C40" s="196" t="s">
        <v>278</v>
      </c>
      <c r="D40" s="195" t="s">
        <v>344</v>
      </c>
      <c r="E40" s="197">
        <v>42579</v>
      </c>
      <c r="F40" s="198" t="s">
        <v>217</v>
      </c>
      <c r="G40" s="195" t="s">
        <v>190</v>
      </c>
      <c r="H40" s="195">
        <v>71</v>
      </c>
      <c r="I40" s="199" t="s">
        <v>402</v>
      </c>
      <c r="J40" s="195">
        <v>1645</v>
      </c>
      <c r="K40" s="195">
        <v>3000</v>
      </c>
      <c r="L40" s="195">
        <v>3000</v>
      </c>
      <c r="M40" s="195">
        <v>3000</v>
      </c>
      <c r="N40" s="195"/>
      <c r="O40" s="195">
        <v>2.59</v>
      </c>
      <c r="P40" s="195">
        <v>2.0499999999999998</v>
      </c>
      <c r="Q40" s="195">
        <v>0</v>
      </c>
      <c r="R40" s="195">
        <v>0</v>
      </c>
      <c r="S40" s="195">
        <v>1.48</v>
      </c>
      <c r="T40" s="195"/>
      <c r="U40" s="195">
        <v>2.59</v>
      </c>
      <c r="V40" s="195">
        <v>2.0499999999999998</v>
      </c>
      <c r="W40" s="195">
        <v>0</v>
      </c>
      <c r="X40" s="195">
        <v>0</v>
      </c>
      <c r="Y40" s="195">
        <v>1.48</v>
      </c>
      <c r="Z40" s="195"/>
      <c r="AA40" s="195"/>
      <c r="AB40" s="195"/>
      <c r="AC40" s="195"/>
      <c r="AD40" s="195"/>
      <c r="AE40" s="195"/>
      <c r="AF40" s="195"/>
      <c r="AG40" s="200" t="s">
        <v>281</v>
      </c>
      <c r="AH40" s="200" t="s">
        <v>282</v>
      </c>
      <c r="AI40" s="192">
        <v>2</v>
      </c>
      <c r="AJ40" s="192">
        <v>4</v>
      </c>
      <c r="AK40" s="243">
        <v>0.33329999999999999</v>
      </c>
      <c r="AL40" s="243">
        <v>0.66659999999999997</v>
      </c>
      <c r="AM40" s="200">
        <v>0</v>
      </c>
      <c r="AN40" s="200">
        <v>0</v>
      </c>
      <c r="AO40" s="200">
        <v>0</v>
      </c>
      <c r="AP40" s="200">
        <v>16</v>
      </c>
      <c r="AQ40" s="200">
        <v>0</v>
      </c>
      <c r="AR40" s="200">
        <v>0</v>
      </c>
      <c r="AS40" s="200">
        <v>0</v>
      </c>
      <c r="AT40" s="200">
        <v>2</v>
      </c>
      <c r="AU40" s="200">
        <v>0</v>
      </c>
      <c r="AV40" s="200">
        <v>0</v>
      </c>
      <c r="AW40" s="175">
        <v>0</v>
      </c>
      <c r="AX40" s="200" t="s">
        <v>233</v>
      </c>
      <c r="AY40" s="200">
        <v>12</v>
      </c>
      <c r="AZ40" s="200" t="s">
        <v>233</v>
      </c>
      <c r="BA40" s="198"/>
      <c r="BB40" s="198"/>
      <c r="BC40" s="203"/>
      <c r="BD40" s="200" t="s">
        <v>179</v>
      </c>
      <c r="BE40" s="198"/>
      <c r="BF40" s="359" t="s">
        <v>135</v>
      </c>
      <c r="BG40" s="201" t="s">
        <v>189</v>
      </c>
    </row>
    <row r="41" spans="1:59" s="201" customFormat="1" x14ac:dyDescent="0.15">
      <c r="A41" s="195">
        <v>175</v>
      </c>
      <c r="B41" s="197">
        <v>41163</v>
      </c>
      <c r="C41" s="196" t="s">
        <v>278</v>
      </c>
      <c r="D41" s="195" t="s">
        <v>344</v>
      </c>
      <c r="E41" s="197">
        <v>42374</v>
      </c>
      <c r="F41" s="198" t="s">
        <v>220</v>
      </c>
      <c r="G41" s="195" t="s">
        <v>193</v>
      </c>
      <c r="H41" s="195">
        <v>64.45</v>
      </c>
      <c r="I41" s="199" t="s">
        <v>402</v>
      </c>
      <c r="J41" s="195">
        <v>1645</v>
      </c>
      <c r="K41" s="195">
        <v>3000</v>
      </c>
      <c r="L41" s="195">
        <v>3000</v>
      </c>
      <c r="M41" s="195">
        <v>3000</v>
      </c>
      <c r="N41" s="195"/>
      <c r="O41" s="195">
        <v>2.5150000000000001</v>
      </c>
      <c r="P41" s="195">
        <v>2.0720000000000001</v>
      </c>
      <c r="Q41" s="195">
        <v>0</v>
      </c>
      <c r="R41" s="195">
        <v>0</v>
      </c>
      <c r="S41" s="195">
        <v>1.6839999999999999</v>
      </c>
      <c r="T41" s="195"/>
      <c r="U41" s="195">
        <v>2.5150000000000001</v>
      </c>
      <c r="V41" s="195">
        <v>2.0720000000000001</v>
      </c>
      <c r="W41" s="195">
        <v>0</v>
      </c>
      <c r="X41" s="195">
        <v>0</v>
      </c>
      <c r="Y41" s="195">
        <v>1.6839999999999999</v>
      </c>
      <c r="Z41" s="195"/>
      <c r="AA41" s="195"/>
      <c r="AB41" s="195"/>
      <c r="AC41" s="195"/>
      <c r="AD41" s="195"/>
      <c r="AE41" s="195"/>
      <c r="AF41" s="195"/>
      <c r="AG41" s="200" t="s">
        <v>233</v>
      </c>
      <c r="AH41" s="200" t="s">
        <v>282</v>
      </c>
      <c r="AI41" s="192">
        <v>2</v>
      </c>
      <c r="AJ41" s="192">
        <v>4</v>
      </c>
      <c r="AK41" s="243">
        <v>0.33329999999999999</v>
      </c>
      <c r="AL41" s="243">
        <v>0.66659999999999997</v>
      </c>
      <c r="AM41" s="200">
        <v>0</v>
      </c>
      <c r="AN41" s="200">
        <v>0</v>
      </c>
      <c r="AO41" s="200">
        <v>15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175">
        <v>24</v>
      </c>
      <c r="AX41" s="200" t="s">
        <v>233</v>
      </c>
      <c r="AY41" s="200"/>
      <c r="AZ41" s="200" t="s">
        <v>233</v>
      </c>
      <c r="BA41" s="198" t="s">
        <v>429</v>
      </c>
      <c r="BB41" s="195"/>
      <c r="BC41" s="200"/>
      <c r="BD41" s="200" t="s">
        <v>183</v>
      </c>
      <c r="BE41" s="198"/>
      <c r="BF41" s="201" t="s">
        <v>148</v>
      </c>
      <c r="BG41" s="201" t="s">
        <v>189</v>
      </c>
    </row>
    <row r="42" spans="1:59" s="201" customFormat="1" x14ac:dyDescent="0.15">
      <c r="A42" s="195">
        <v>316</v>
      </c>
      <c r="B42" s="197">
        <v>41163</v>
      </c>
      <c r="C42" s="196" t="s">
        <v>278</v>
      </c>
      <c r="D42" s="195" t="s">
        <v>344</v>
      </c>
      <c r="E42" s="197">
        <v>42583</v>
      </c>
      <c r="F42" s="195" t="s">
        <v>222</v>
      </c>
      <c r="G42" s="195" t="s">
        <v>187</v>
      </c>
      <c r="H42" s="195">
        <v>62.38</v>
      </c>
      <c r="I42" s="199" t="s">
        <v>402</v>
      </c>
      <c r="J42" s="195">
        <v>1645</v>
      </c>
      <c r="K42" s="195">
        <v>3000</v>
      </c>
      <c r="L42" s="195">
        <v>3000</v>
      </c>
      <c r="M42" s="195">
        <v>3000</v>
      </c>
      <c r="N42" s="195"/>
      <c r="O42" s="195">
        <v>1.927</v>
      </c>
      <c r="P42" s="195">
        <v>1.6120000000000001</v>
      </c>
      <c r="Q42" s="195">
        <v>0</v>
      </c>
      <c r="R42" s="195">
        <v>0</v>
      </c>
      <c r="S42" s="195">
        <v>1.302</v>
      </c>
      <c r="T42" s="195"/>
      <c r="U42" s="195">
        <v>1.8859999999999999</v>
      </c>
      <c r="V42" s="195">
        <v>1.57</v>
      </c>
      <c r="W42" s="195">
        <v>0</v>
      </c>
      <c r="X42" s="195">
        <v>0</v>
      </c>
      <c r="Y42" s="195">
        <v>1.2609999999999999</v>
      </c>
      <c r="Z42" s="195"/>
      <c r="AA42" s="195"/>
      <c r="AB42" s="195"/>
      <c r="AC42" s="195"/>
      <c r="AD42" s="195"/>
      <c r="AE42" s="195"/>
      <c r="AF42" s="195"/>
      <c r="AG42" s="200" t="s">
        <v>281</v>
      </c>
      <c r="AH42" s="200" t="s">
        <v>282</v>
      </c>
      <c r="AI42" s="192">
        <v>2</v>
      </c>
      <c r="AJ42" s="192">
        <v>4</v>
      </c>
      <c r="AK42" s="243">
        <v>0.33329999999999999</v>
      </c>
      <c r="AL42" s="243">
        <v>0.66659999999999997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175">
        <v>0</v>
      </c>
      <c r="AX42" s="200" t="s">
        <v>233</v>
      </c>
      <c r="AY42" s="200"/>
      <c r="AZ42" s="200" t="s">
        <v>233</v>
      </c>
      <c r="BA42" s="198" t="s">
        <v>195</v>
      </c>
      <c r="BB42" s="195" t="s">
        <v>178</v>
      </c>
      <c r="BC42" s="200">
        <v>50</v>
      </c>
      <c r="BD42" s="200" t="s">
        <v>183</v>
      </c>
      <c r="BE42" s="198"/>
      <c r="BF42" s="201" t="s">
        <v>129</v>
      </c>
      <c r="BG42" s="201" t="s">
        <v>189</v>
      </c>
    </row>
    <row r="43" spans="1:59" s="201" customFormat="1" x14ac:dyDescent="0.15">
      <c r="A43" s="195">
        <v>571</v>
      </c>
      <c r="B43" s="197">
        <v>41164</v>
      </c>
      <c r="C43" s="196" t="s">
        <v>278</v>
      </c>
      <c r="D43" s="195" t="s">
        <v>344</v>
      </c>
      <c r="E43" s="197">
        <v>42614</v>
      </c>
      <c r="F43" s="198" t="s">
        <v>224</v>
      </c>
      <c r="G43" s="195" t="s">
        <v>196</v>
      </c>
      <c r="H43" s="195">
        <v>64.13</v>
      </c>
      <c r="I43" s="199" t="s">
        <v>402</v>
      </c>
      <c r="J43" s="202">
        <v>4000</v>
      </c>
      <c r="K43" s="202">
        <v>12000</v>
      </c>
      <c r="L43" s="202">
        <v>12000</v>
      </c>
      <c r="M43" s="202">
        <v>12000</v>
      </c>
      <c r="N43" s="195"/>
      <c r="O43" s="195">
        <v>2.0019999999999998</v>
      </c>
      <c r="P43" s="195">
        <v>1.788</v>
      </c>
      <c r="Q43" s="195">
        <v>0</v>
      </c>
      <c r="R43" s="195">
        <v>0</v>
      </c>
      <c r="S43" s="195">
        <v>1.5429999999999999</v>
      </c>
      <c r="T43" s="195"/>
      <c r="U43" s="195">
        <v>2.0019999999999998</v>
      </c>
      <c r="V43" s="195">
        <v>1.788</v>
      </c>
      <c r="W43" s="195">
        <v>0</v>
      </c>
      <c r="X43" s="195">
        <v>0</v>
      </c>
      <c r="Y43" s="195">
        <v>1.5429999999999999</v>
      </c>
      <c r="Z43" s="195"/>
      <c r="AA43" s="195"/>
      <c r="AB43" s="195"/>
      <c r="AC43" s="195"/>
      <c r="AD43" s="195"/>
      <c r="AE43" s="195"/>
      <c r="AF43" s="195"/>
      <c r="AG43" s="200" t="s">
        <v>233</v>
      </c>
      <c r="AH43" s="200" t="s">
        <v>282</v>
      </c>
      <c r="AI43" s="192">
        <v>2</v>
      </c>
      <c r="AJ43" s="192">
        <v>4</v>
      </c>
      <c r="AK43" s="243">
        <v>0.33329999999999999</v>
      </c>
      <c r="AL43" s="243">
        <v>0.66659999999999997</v>
      </c>
      <c r="AM43" s="200">
        <v>0</v>
      </c>
      <c r="AN43" s="200">
        <v>0</v>
      </c>
      <c r="AO43" s="200">
        <v>0</v>
      </c>
      <c r="AP43" s="200">
        <v>13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175">
        <v>0</v>
      </c>
      <c r="AX43" s="200" t="s">
        <v>233</v>
      </c>
      <c r="AY43" s="200">
        <v>12</v>
      </c>
      <c r="AZ43" s="200" t="s">
        <v>233</v>
      </c>
      <c r="BA43" s="198"/>
      <c r="BB43" s="198"/>
      <c r="BC43" s="200"/>
      <c r="BD43" s="200" t="s">
        <v>179</v>
      </c>
      <c r="BE43" s="198"/>
      <c r="BF43" s="201" t="s">
        <v>106</v>
      </c>
      <c r="BG43" s="201" t="s">
        <v>181</v>
      </c>
    </row>
    <row r="44" spans="1:59" s="201" customFormat="1" x14ac:dyDescent="0.15">
      <c r="A44" s="195">
        <v>237</v>
      </c>
      <c r="B44" s="197">
        <v>41193</v>
      </c>
      <c r="C44" s="196" t="s">
        <v>278</v>
      </c>
      <c r="D44" s="195" t="s">
        <v>344</v>
      </c>
      <c r="E44" s="254" t="s">
        <v>151</v>
      </c>
      <c r="F44" s="198" t="s">
        <v>226</v>
      </c>
      <c r="G44" s="195" t="s">
        <v>197</v>
      </c>
      <c r="H44" s="195">
        <v>68</v>
      </c>
      <c r="I44" s="199" t="s">
        <v>402</v>
      </c>
      <c r="J44" s="202">
        <v>3000</v>
      </c>
      <c r="K44" s="202">
        <v>3000</v>
      </c>
      <c r="L44" s="202">
        <v>3000</v>
      </c>
      <c r="M44" s="202">
        <v>3000</v>
      </c>
      <c r="N44" s="195"/>
      <c r="O44" s="195">
        <v>1.8779999999999999</v>
      </c>
      <c r="P44" s="253">
        <v>0</v>
      </c>
      <c r="Q44" s="195">
        <v>0</v>
      </c>
      <c r="R44" s="195">
        <v>0</v>
      </c>
      <c r="S44" s="195">
        <v>1.39</v>
      </c>
      <c r="T44" s="195"/>
      <c r="U44" s="195">
        <v>1.8779999999999999</v>
      </c>
      <c r="V44" s="253">
        <v>0</v>
      </c>
      <c r="W44" s="195">
        <v>0</v>
      </c>
      <c r="X44" s="195">
        <v>0</v>
      </c>
      <c r="Y44" s="195">
        <v>1.39</v>
      </c>
      <c r="Z44" s="195"/>
      <c r="AA44" s="195"/>
      <c r="AB44" s="195"/>
      <c r="AC44" s="195"/>
      <c r="AD44" s="195"/>
      <c r="AE44" s="195"/>
      <c r="AF44" s="195"/>
      <c r="AG44" s="200" t="s">
        <v>233</v>
      </c>
      <c r="AH44" s="200" t="s">
        <v>282</v>
      </c>
      <c r="AI44" s="200">
        <v>2</v>
      </c>
      <c r="AJ44" s="200">
        <v>4</v>
      </c>
      <c r="AK44" s="243">
        <v>0.33329999999999999</v>
      </c>
      <c r="AL44" s="243">
        <v>0.66659999999999997</v>
      </c>
      <c r="AM44" s="200">
        <v>0</v>
      </c>
      <c r="AN44" s="200">
        <v>0</v>
      </c>
      <c r="AO44" s="200">
        <v>10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175">
        <v>0</v>
      </c>
      <c r="AX44" s="200" t="s">
        <v>233</v>
      </c>
      <c r="AY44" s="198"/>
      <c r="AZ44" s="200" t="s">
        <v>233</v>
      </c>
      <c r="BA44" s="200"/>
      <c r="BB44" s="200"/>
      <c r="BC44" s="198"/>
      <c r="BD44" s="200" t="s">
        <v>183</v>
      </c>
      <c r="BE44" s="198"/>
      <c r="BF44" s="201" t="s">
        <v>349</v>
      </c>
    </row>
    <row r="45" spans="1:59" s="201" customFormat="1" x14ac:dyDescent="0.15">
      <c r="A45" s="195">
        <v>790</v>
      </c>
      <c r="B45" s="197">
        <v>41164</v>
      </c>
      <c r="C45" s="196" t="s">
        <v>278</v>
      </c>
      <c r="D45" s="195" t="s">
        <v>344</v>
      </c>
      <c r="E45" s="254">
        <v>42430</v>
      </c>
      <c r="F45" s="198" t="s">
        <v>227</v>
      </c>
      <c r="G45" s="195" t="s">
        <v>198</v>
      </c>
      <c r="H45" s="195">
        <v>57.02</v>
      </c>
      <c r="I45" s="199" t="s">
        <v>402</v>
      </c>
      <c r="J45" s="195">
        <v>1645</v>
      </c>
      <c r="K45" s="195">
        <v>3000</v>
      </c>
      <c r="L45" s="195">
        <v>3000</v>
      </c>
      <c r="M45" s="195">
        <v>3000</v>
      </c>
      <c r="N45" s="195"/>
      <c r="O45" s="195">
        <v>2.2999999999999998</v>
      </c>
      <c r="P45" s="195">
        <v>1.93</v>
      </c>
      <c r="Q45" s="195">
        <v>0</v>
      </c>
      <c r="R45" s="195">
        <v>0</v>
      </c>
      <c r="S45" s="195">
        <v>1.62</v>
      </c>
      <c r="T45" s="195"/>
      <c r="U45" s="195">
        <v>2.2999999999999998</v>
      </c>
      <c r="V45" s="195">
        <v>1.93</v>
      </c>
      <c r="W45" s="195">
        <v>0</v>
      </c>
      <c r="X45" s="195">
        <v>0</v>
      </c>
      <c r="Y45" s="195">
        <v>1.62</v>
      </c>
      <c r="Z45" s="195"/>
      <c r="AA45" s="195"/>
      <c r="AB45" s="195"/>
      <c r="AC45" s="195"/>
      <c r="AD45" s="195"/>
      <c r="AE45" s="195"/>
      <c r="AF45" s="195"/>
      <c r="AG45" s="200" t="s">
        <v>233</v>
      </c>
      <c r="AH45" s="200" t="s">
        <v>282</v>
      </c>
      <c r="AI45" s="192">
        <v>2</v>
      </c>
      <c r="AJ45" s="192">
        <v>4</v>
      </c>
      <c r="AK45" s="243">
        <v>0.33329999999999999</v>
      </c>
      <c r="AL45" s="243">
        <v>0.66659999999999997</v>
      </c>
      <c r="AM45" s="200">
        <v>0</v>
      </c>
      <c r="AN45" s="200">
        <v>15</v>
      </c>
      <c r="AO45" s="200">
        <v>0</v>
      </c>
      <c r="AP45" s="200">
        <v>5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175">
        <v>24</v>
      </c>
      <c r="AX45" s="200" t="s">
        <v>233</v>
      </c>
      <c r="AY45" s="200"/>
      <c r="AZ45" s="200" t="s">
        <v>233</v>
      </c>
      <c r="BA45" s="198"/>
      <c r="BB45" s="195"/>
      <c r="BC45" s="200"/>
      <c r="BD45" s="200" t="s">
        <v>183</v>
      </c>
      <c r="BE45" s="198"/>
      <c r="BF45" s="201" t="s">
        <v>163</v>
      </c>
      <c r="BG45" s="201" t="s">
        <v>189</v>
      </c>
    </row>
    <row r="46" spans="1:59" s="237" customFormat="1" x14ac:dyDescent="0.15">
      <c r="A46" s="148">
        <v>79</v>
      </c>
      <c r="B46" s="233">
        <v>41163</v>
      </c>
      <c r="C46" s="232" t="s">
        <v>278</v>
      </c>
      <c r="D46" s="148" t="s">
        <v>205</v>
      </c>
      <c r="E46" s="233">
        <v>42618</v>
      </c>
      <c r="F46" s="234" t="s">
        <v>280</v>
      </c>
      <c r="G46" s="148" t="s">
        <v>176</v>
      </c>
      <c r="H46" s="148">
        <v>67.75</v>
      </c>
      <c r="I46" s="235" t="s">
        <v>402</v>
      </c>
      <c r="J46" s="148">
        <v>1645</v>
      </c>
      <c r="K46" s="148">
        <v>3000</v>
      </c>
      <c r="L46" s="148">
        <v>3000</v>
      </c>
      <c r="M46" s="148">
        <v>3000</v>
      </c>
      <c r="N46" s="148"/>
      <c r="O46" s="148">
        <v>2.2450000000000001</v>
      </c>
      <c r="P46" s="148">
        <v>1.9219999999999999</v>
      </c>
      <c r="Q46" s="148">
        <v>0</v>
      </c>
      <c r="R46" s="148">
        <v>0</v>
      </c>
      <c r="S46" s="148">
        <v>1.53</v>
      </c>
      <c r="T46" s="148"/>
      <c r="U46" s="148">
        <v>2.2450000000000001</v>
      </c>
      <c r="V46" s="148">
        <v>1.9219999999999999</v>
      </c>
      <c r="W46" s="148">
        <v>0</v>
      </c>
      <c r="X46" s="148">
        <v>0</v>
      </c>
      <c r="Y46" s="148">
        <v>1.53</v>
      </c>
      <c r="Z46" s="148"/>
      <c r="AA46" s="148"/>
      <c r="AB46" s="148"/>
      <c r="AC46" s="148"/>
      <c r="AD46" s="148"/>
      <c r="AE46" s="148"/>
      <c r="AF46" s="148"/>
      <c r="AG46" s="236" t="s">
        <v>233</v>
      </c>
      <c r="AH46" s="236" t="s">
        <v>282</v>
      </c>
      <c r="AI46" s="192">
        <v>2</v>
      </c>
      <c r="AJ46" s="192">
        <v>4</v>
      </c>
      <c r="AK46" s="244">
        <v>0.33329999999999999</v>
      </c>
      <c r="AL46" s="244">
        <v>0.66659999999999997</v>
      </c>
      <c r="AM46" s="236">
        <v>0</v>
      </c>
      <c r="AN46" s="236">
        <v>0</v>
      </c>
      <c r="AO46" s="236">
        <v>0</v>
      </c>
      <c r="AP46" s="236">
        <v>13</v>
      </c>
      <c r="AQ46" s="236">
        <v>0</v>
      </c>
      <c r="AR46" s="236">
        <v>0</v>
      </c>
      <c r="AS46" s="236">
        <v>0</v>
      </c>
      <c r="AT46" s="236">
        <v>0</v>
      </c>
      <c r="AU46" s="236">
        <v>0</v>
      </c>
      <c r="AV46" s="236">
        <v>2</v>
      </c>
      <c r="AW46" s="175">
        <v>0</v>
      </c>
      <c r="AX46" s="236" t="s">
        <v>233</v>
      </c>
      <c r="AY46" s="236">
        <v>12</v>
      </c>
      <c r="AZ46" s="236" t="s">
        <v>233</v>
      </c>
      <c r="BA46" s="234" t="s">
        <v>177</v>
      </c>
      <c r="BB46" s="148" t="s">
        <v>178</v>
      </c>
      <c r="BC46" s="236">
        <v>50</v>
      </c>
      <c r="BD46" s="236" t="s">
        <v>179</v>
      </c>
      <c r="BE46" s="234"/>
      <c r="BF46" s="237" t="s">
        <v>107</v>
      </c>
      <c r="BG46" s="237" t="s">
        <v>181</v>
      </c>
    </row>
    <row r="47" spans="1:59" s="237" customFormat="1" x14ac:dyDescent="0.15">
      <c r="A47" s="148">
        <v>262</v>
      </c>
      <c r="B47" s="233">
        <v>41163</v>
      </c>
      <c r="C47" s="232" t="s">
        <v>278</v>
      </c>
      <c r="D47" s="148" t="s">
        <v>205</v>
      </c>
      <c r="E47" s="233">
        <v>42023</v>
      </c>
      <c r="F47" s="234" t="s">
        <v>286</v>
      </c>
      <c r="G47" s="148" t="s">
        <v>182</v>
      </c>
      <c r="H47" s="148">
        <v>64.569999999999993</v>
      </c>
      <c r="I47" s="235" t="s">
        <v>402</v>
      </c>
      <c r="J47" s="148">
        <v>1645</v>
      </c>
      <c r="K47" s="148">
        <v>3000</v>
      </c>
      <c r="L47" s="148">
        <v>3000</v>
      </c>
      <c r="M47" s="148">
        <v>3000</v>
      </c>
      <c r="N47" s="148"/>
      <c r="O47" s="148">
        <v>2.29</v>
      </c>
      <c r="P47" s="148">
        <v>1.96</v>
      </c>
      <c r="Q47" s="148">
        <v>0</v>
      </c>
      <c r="R47" s="148">
        <v>0</v>
      </c>
      <c r="S47" s="148">
        <v>1.54</v>
      </c>
      <c r="T47" s="148"/>
      <c r="U47" s="148">
        <v>2.29</v>
      </c>
      <c r="V47" s="148">
        <v>1.96</v>
      </c>
      <c r="W47" s="148">
        <v>0</v>
      </c>
      <c r="X47" s="148">
        <v>0</v>
      </c>
      <c r="Y47" s="148">
        <v>1.54</v>
      </c>
      <c r="Z47" s="148"/>
      <c r="AA47" s="148"/>
      <c r="AB47" s="148"/>
      <c r="AC47" s="148"/>
      <c r="AD47" s="148"/>
      <c r="AE47" s="148"/>
      <c r="AF47" s="148"/>
      <c r="AG47" s="236" t="s">
        <v>233</v>
      </c>
      <c r="AH47" s="236" t="s">
        <v>282</v>
      </c>
      <c r="AI47" s="192">
        <v>2</v>
      </c>
      <c r="AJ47" s="192">
        <v>4</v>
      </c>
      <c r="AK47" s="244">
        <v>0.33329999999999999</v>
      </c>
      <c r="AL47" s="244">
        <v>0.66659999999999997</v>
      </c>
      <c r="AM47" s="236">
        <v>0</v>
      </c>
      <c r="AN47" s="236">
        <v>0</v>
      </c>
      <c r="AO47" s="236">
        <v>0</v>
      </c>
      <c r="AP47" s="236">
        <v>15</v>
      </c>
      <c r="AQ47" s="236">
        <v>0</v>
      </c>
      <c r="AR47" s="236">
        <v>0</v>
      </c>
      <c r="AS47" s="236">
        <v>0</v>
      </c>
      <c r="AT47" s="236">
        <v>0</v>
      </c>
      <c r="AU47" s="236">
        <v>0</v>
      </c>
      <c r="AV47" s="236">
        <v>0</v>
      </c>
      <c r="AW47" s="175">
        <v>0</v>
      </c>
      <c r="AX47" s="236" t="s">
        <v>233</v>
      </c>
      <c r="AY47" s="236"/>
      <c r="AZ47" s="236" t="s">
        <v>233</v>
      </c>
      <c r="BA47" s="234"/>
      <c r="BB47" s="148"/>
      <c r="BC47" s="236"/>
      <c r="BD47" s="236" t="s">
        <v>183</v>
      </c>
      <c r="BE47" s="234"/>
      <c r="BF47" s="237" t="s">
        <v>145</v>
      </c>
      <c r="BG47" s="237" t="s">
        <v>189</v>
      </c>
    </row>
    <row r="48" spans="1:59" s="237" customFormat="1" x14ac:dyDescent="0.15">
      <c r="A48" s="148">
        <v>276</v>
      </c>
      <c r="B48" s="233">
        <v>41163</v>
      </c>
      <c r="C48" s="232" t="s">
        <v>278</v>
      </c>
      <c r="D48" s="148" t="s">
        <v>205</v>
      </c>
      <c r="E48" s="233">
        <v>42370</v>
      </c>
      <c r="F48" s="234" t="s">
        <v>288</v>
      </c>
      <c r="G48" s="148" t="s">
        <v>185</v>
      </c>
      <c r="H48" s="148">
        <v>66.5</v>
      </c>
      <c r="I48" s="235" t="s">
        <v>402</v>
      </c>
      <c r="J48" s="148">
        <v>1645</v>
      </c>
      <c r="K48" s="148">
        <v>3000</v>
      </c>
      <c r="L48" s="148">
        <v>3000</v>
      </c>
      <c r="M48" s="148">
        <v>3000</v>
      </c>
      <c r="N48" s="148"/>
      <c r="O48" s="148">
        <v>2.44</v>
      </c>
      <c r="P48" s="148">
        <v>1.98</v>
      </c>
      <c r="Q48" s="148">
        <v>0</v>
      </c>
      <c r="R48" s="148">
        <v>0</v>
      </c>
      <c r="S48" s="148">
        <v>1.58</v>
      </c>
      <c r="T48" s="148"/>
      <c r="U48" s="148">
        <v>2.44</v>
      </c>
      <c r="V48" s="148">
        <v>1.98</v>
      </c>
      <c r="W48" s="148">
        <v>0</v>
      </c>
      <c r="X48" s="148">
        <v>0</v>
      </c>
      <c r="Y48" s="148">
        <v>1.58</v>
      </c>
      <c r="Z48" s="148"/>
      <c r="AA48" s="148"/>
      <c r="AB48" s="148"/>
      <c r="AC48" s="148"/>
      <c r="AD48" s="148"/>
      <c r="AE48" s="148"/>
      <c r="AF48" s="148"/>
      <c r="AG48" s="236" t="s">
        <v>233</v>
      </c>
      <c r="AH48" s="236" t="s">
        <v>282</v>
      </c>
      <c r="AI48" s="192">
        <v>2</v>
      </c>
      <c r="AJ48" s="192">
        <v>4</v>
      </c>
      <c r="AK48" s="244">
        <v>0.33329999999999999</v>
      </c>
      <c r="AL48" s="244">
        <v>0.66659999999999997</v>
      </c>
      <c r="AM48" s="236">
        <v>0</v>
      </c>
      <c r="AN48" s="236">
        <v>0</v>
      </c>
      <c r="AO48" s="236">
        <v>14</v>
      </c>
      <c r="AP48" s="236">
        <v>0</v>
      </c>
      <c r="AQ48" s="236">
        <v>0</v>
      </c>
      <c r="AR48" s="236">
        <v>0</v>
      </c>
      <c r="AS48" s="236">
        <v>0</v>
      </c>
      <c r="AT48" s="236">
        <v>0</v>
      </c>
      <c r="AU48" s="236">
        <v>0</v>
      </c>
      <c r="AV48" s="236">
        <v>0</v>
      </c>
      <c r="AW48" s="175">
        <v>0</v>
      </c>
      <c r="AX48" s="236" t="s">
        <v>233</v>
      </c>
      <c r="AY48" s="236"/>
      <c r="AZ48" s="236" t="s">
        <v>233</v>
      </c>
      <c r="BA48" s="234"/>
      <c r="BB48" s="148"/>
      <c r="BC48" s="236"/>
      <c r="BD48" s="236" t="s">
        <v>179</v>
      </c>
      <c r="BE48" s="234" t="s">
        <v>186</v>
      </c>
      <c r="BF48" s="237" t="s">
        <v>108</v>
      </c>
      <c r="BG48" s="237" t="s">
        <v>189</v>
      </c>
    </row>
    <row r="49" spans="1:59" s="237" customFormat="1" x14ac:dyDescent="0.15">
      <c r="A49" s="148">
        <v>328</v>
      </c>
      <c r="B49" s="233">
        <v>41163</v>
      </c>
      <c r="C49" s="232" t="s">
        <v>278</v>
      </c>
      <c r="D49" s="148" t="s">
        <v>205</v>
      </c>
      <c r="E49" s="233">
        <v>42370</v>
      </c>
      <c r="F49" s="234" t="s">
        <v>600</v>
      </c>
      <c r="G49" s="148" t="s">
        <v>187</v>
      </c>
      <c r="H49" s="148">
        <v>66.5</v>
      </c>
      <c r="I49" s="235" t="s">
        <v>402</v>
      </c>
      <c r="J49" s="148">
        <v>1645</v>
      </c>
      <c r="K49" s="148">
        <v>3000</v>
      </c>
      <c r="L49" s="148">
        <v>3000</v>
      </c>
      <c r="M49" s="148">
        <v>3000</v>
      </c>
      <c r="N49" s="148"/>
      <c r="O49" s="148">
        <v>2.5299999999999998</v>
      </c>
      <c r="P49" s="148">
        <v>2.02</v>
      </c>
      <c r="Q49" s="148">
        <v>0</v>
      </c>
      <c r="R49" s="148">
        <v>0</v>
      </c>
      <c r="S49" s="148">
        <v>1.58</v>
      </c>
      <c r="T49" s="148"/>
      <c r="U49" s="148">
        <v>2.5299999999999998</v>
      </c>
      <c r="V49" s="148">
        <v>2.02</v>
      </c>
      <c r="W49" s="148">
        <v>0</v>
      </c>
      <c r="X49" s="148">
        <v>0</v>
      </c>
      <c r="Y49" s="148">
        <v>1.58</v>
      </c>
      <c r="Z49" s="148"/>
      <c r="AA49" s="148"/>
      <c r="AB49" s="148"/>
      <c r="AC49" s="148"/>
      <c r="AD49" s="148"/>
      <c r="AE49" s="148"/>
      <c r="AF49" s="148"/>
      <c r="AG49" s="236" t="s">
        <v>233</v>
      </c>
      <c r="AH49" s="236" t="s">
        <v>282</v>
      </c>
      <c r="AI49" s="192">
        <v>2</v>
      </c>
      <c r="AJ49" s="192">
        <v>4</v>
      </c>
      <c r="AK49" s="244">
        <v>0.33329999999999999</v>
      </c>
      <c r="AL49" s="244">
        <v>0.66659999999999997</v>
      </c>
      <c r="AM49" s="236">
        <v>0</v>
      </c>
      <c r="AN49" s="236">
        <v>0</v>
      </c>
      <c r="AO49" s="236">
        <v>0</v>
      </c>
      <c r="AP49" s="236">
        <v>12</v>
      </c>
      <c r="AQ49" s="236">
        <v>0</v>
      </c>
      <c r="AR49" s="236">
        <v>0</v>
      </c>
      <c r="AS49" s="236">
        <v>0</v>
      </c>
      <c r="AT49" s="236">
        <v>0</v>
      </c>
      <c r="AU49" s="236">
        <v>0</v>
      </c>
      <c r="AV49" s="236">
        <v>0</v>
      </c>
      <c r="AW49" s="175">
        <v>12</v>
      </c>
      <c r="AX49" s="236" t="s">
        <v>281</v>
      </c>
      <c r="AY49" s="236"/>
      <c r="AZ49" s="236" t="s">
        <v>233</v>
      </c>
      <c r="BA49" s="234"/>
      <c r="BB49" s="148"/>
      <c r="BC49" s="236"/>
      <c r="BD49" s="236" t="s">
        <v>183</v>
      </c>
      <c r="BE49" s="234"/>
      <c r="BF49" s="237" t="s">
        <v>158</v>
      </c>
      <c r="BG49" s="237" t="s">
        <v>189</v>
      </c>
    </row>
    <row r="50" spans="1:59" s="237" customFormat="1" x14ac:dyDescent="0.15">
      <c r="A50" s="148">
        <v>226</v>
      </c>
      <c r="B50" s="233">
        <v>41164</v>
      </c>
      <c r="C50" s="232" t="s">
        <v>278</v>
      </c>
      <c r="D50" s="148" t="s">
        <v>205</v>
      </c>
      <c r="E50" s="233">
        <v>42614</v>
      </c>
      <c r="F50" s="234" t="s">
        <v>290</v>
      </c>
      <c r="G50" s="148" t="s">
        <v>187</v>
      </c>
      <c r="H50" s="148">
        <v>59.95</v>
      </c>
      <c r="I50" s="235" t="s">
        <v>402</v>
      </c>
      <c r="J50" s="238">
        <v>4000</v>
      </c>
      <c r="K50" s="238">
        <v>12000</v>
      </c>
      <c r="L50" s="238">
        <v>12000</v>
      </c>
      <c r="M50" s="238">
        <v>12000</v>
      </c>
      <c r="N50" s="148"/>
      <c r="O50" s="148">
        <v>1.97</v>
      </c>
      <c r="P50" s="148">
        <v>1.62</v>
      </c>
      <c r="Q50" s="148">
        <v>0</v>
      </c>
      <c r="R50" s="148">
        <v>0</v>
      </c>
      <c r="S50" s="148">
        <v>1.39</v>
      </c>
      <c r="T50" s="148"/>
      <c r="U50" s="148">
        <v>1.94</v>
      </c>
      <c r="V50" s="148">
        <v>1.59</v>
      </c>
      <c r="W50" s="148">
        <v>0</v>
      </c>
      <c r="X50" s="148">
        <v>0</v>
      </c>
      <c r="Y50" s="148">
        <v>1.39</v>
      </c>
      <c r="Z50" s="148"/>
      <c r="AA50" s="148"/>
      <c r="AB50" s="148"/>
      <c r="AC50" s="148"/>
      <c r="AD50" s="148"/>
      <c r="AE50" s="148"/>
      <c r="AF50" s="148"/>
      <c r="AG50" s="236" t="s">
        <v>281</v>
      </c>
      <c r="AH50" s="236" t="s">
        <v>282</v>
      </c>
      <c r="AI50" s="192">
        <v>2</v>
      </c>
      <c r="AJ50" s="192">
        <v>4</v>
      </c>
      <c r="AK50" s="244">
        <v>0.33329999999999999</v>
      </c>
      <c r="AL50" s="244">
        <v>0.66659999999999997</v>
      </c>
      <c r="AM50" s="236">
        <v>0</v>
      </c>
      <c r="AN50" s="236">
        <v>0</v>
      </c>
      <c r="AO50" s="236">
        <v>0</v>
      </c>
      <c r="AP50" s="236">
        <v>0</v>
      </c>
      <c r="AQ50" s="236">
        <v>0</v>
      </c>
      <c r="AR50" s="236">
        <v>20</v>
      </c>
      <c r="AS50" s="236">
        <v>0</v>
      </c>
      <c r="AT50" s="236">
        <v>0</v>
      </c>
      <c r="AU50" s="236">
        <v>0</v>
      </c>
      <c r="AV50" s="236">
        <v>0</v>
      </c>
      <c r="AW50" s="175">
        <v>0</v>
      </c>
      <c r="AX50" s="236" t="s">
        <v>233</v>
      </c>
      <c r="AY50" s="236"/>
      <c r="AZ50" s="236" t="s">
        <v>233</v>
      </c>
      <c r="BA50" s="234"/>
      <c r="BB50" s="148"/>
      <c r="BC50" s="236"/>
      <c r="BD50" s="236" t="s">
        <v>183</v>
      </c>
      <c r="BE50" s="234"/>
      <c r="BF50" s="237" t="s">
        <v>127</v>
      </c>
      <c r="BG50" s="237" t="s">
        <v>181</v>
      </c>
    </row>
    <row r="51" spans="1:59" s="237" customFormat="1" x14ac:dyDescent="0.15">
      <c r="A51" s="148">
        <v>160</v>
      </c>
      <c r="B51" s="233">
        <v>41163</v>
      </c>
      <c r="C51" s="232" t="s">
        <v>278</v>
      </c>
      <c r="D51" s="148" t="s">
        <v>205</v>
      </c>
      <c r="E51" s="233">
        <v>42579</v>
      </c>
      <c r="F51" s="234" t="s">
        <v>217</v>
      </c>
      <c r="G51" s="148" t="s">
        <v>190</v>
      </c>
      <c r="H51" s="148">
        <v>71</v>
      </c>
      <c r="I51" s="235" t="s">
        <v>402</v>
      </c>
      <c r="J51" s="148">
        <v>1645</v>
      </c>
      <c r="K51" s="148">
        <v>3000</v>
      </c>
      <c r="L51" s="148">
        <v>3000</v>
      </c>
      <c r="M51" s="148">
        <v>3000</v>
      </c>
      <c r="N51" s="148"/>
      <c r="O51" s="148">
        <v>2.6</v>
      </c>
      <c r="P51" s="148">
        <v>2.0499999999999998</v>
      </c>
      <c r="Q51" s="148">
        <v>0</v>
      </c>
      <c r="R51" s="148">
        <v>0</v>
      </c>
      <c r="S51" s="148">
        <v>1.5820000000000001</v>
      </c>
      <c r="T51" s="148"/>
      <c r="U51" s="148">
        <v>2.6</v>
      </c>
      <c r="V51" s="148">
        <v>2.0499999999999998</v>
      </c>
      <c r="W51" s="148">
        <v>0</v>
      </c>
      <c r="X51" s="148">
        <v>0</v>
      </c>
      <c r="Y51" s="148">
        <v>1.5820000000000001</v>
      </c>
      <c r="Z51" s="148"/>
      <c r="AA51" s="148"/>
      <c r="AB51" s="148"/>
      <c r="AC51" s="148"/>
      <c r="AD51" s="148"/>
      <c r="AE51" s="148"/>
      <c r="AF51" s="148"/>
      <c r="AG51" s="236" t="s">
        <v>281</v>
      </c>
      <c r="AH51" s="236" t="s">
        <v>282</v>
      </c>
      <c r="AI51" s="192">
        <v>2</v>
      </c>
      <c r="AJ51" s="192">
        <v>4</v>
      </c>
      <c r="AK51" s="244">
        <v>0.33329999999999999</v>
      </c>
      <c r="AL51" s="244">
        <v>0.66659999999999997</v>
      </c>
      <c r="AM51" s="236">
        <v>0</v>
      </c>
      <c r="AN51" s="236">
        <v>0</v>
      </c>
      <c r="AO51" s="236">
        <v>0</v>
      </c>
      <c r="AP51" s="236">
        <v>16</v>
      </c>
      <c r="AQ51" s="236">
        <v>0</v>
      </c>
      <c r="AR51" s="236">
        <v>0</v>
      </c>
      <c r="AS51" s="236">
        <v>0</v>
      </c>
      <c r="AT51" s="236">
        <v>2</v>
      </c>
      <c r="AU51" s="236">
        <v>0</v>
      </c>
      <c r="AV51" s="236">
        <v>0</v>
      </c>
      <c r="AW51" s="175">
        <v>0</v>
      </c>
      <c r="AX51" s="236" t="s">
        <v>233</v>
      </c>
      <c r="AY51" s="236">
        <v>12</v>
      </c>
      <c r="AZ51" s="236" t="s">
        <v>233</v>
      </c>
      <c r="BA51" s="234"/>
      <c r="BB51" s="234"/>
      <c r="BC51" s="239"/>
      <c r="BD51" s="236" t="s">
        <v>179</v>
      </c>
      <c r="BE51" s="234"/>
      <c r="BF51" s="360" t="s">
        <v>109</v>
      </c>
      <c r="BG51" s="237" t="s">
        <v>189</v>
      </c>
    </row>
    <row r="52" spans="1:59" s="237" customFormat="1" x14ac:dyDescent="0.15">
      <c r="A52" s="148">
        <v>174</v>
      </c>
      <c r="B52" s="233">
        <v>41163</v>
      </c>
      <c r="C52" s="232" t="s">
        <v>278</v>
      </c>
      <c r="D52" s="148" t="s">
        <v>205</v>
      </c>
      <c r="E52" s="233">
        <v>42374</v>
      </c>
      <c r="F52" s="234" t="s">
        <v>220</v>
      </c>
      <c r="G52" s="148" t="s">
        <v>193</v>
      </c>
      <c r="H52" s="148">
        <v>64.459999999999994</v>
      </c>
      <c r="I52" s="235" t="s">
        <v>402</v>
      </c>
      <c r="J52" s="148">
        <v>1645</v>
      </c>
      <c r="K52" s="148">
        <v>3000</v>
      </c>
      <c r="L52" s="148">
        <v>3000</v>
      </c>
      <c r="M52" s="148">
        <v>3000</v>
      </c>
      <c r="N52" s="148"/>
      <c r="O52" s="148">
        <v>2.5009999999999999</v>
      </c>
      <c r="P52" s="148">
        <v>2.0579999999999998</v>
      </c>
      <c r="Q52" s="148">
        <v>0</v>
      </c>
      <c r="R52" s="148">
        <v>0</v>
      </c>
      <c r="S52" s="148">
        <v>1.671</v>
      </c>
      <c r="T52" s="148"/>
      <c r="U52" s="148">
        <v>2.5009999999999999</v>
      </c>
      <c r="V52" s="148">
        <v>2.0579999999999998</v>
      </c>
      <c r="W52" s="148">
        <v>0</v>
      </c>
      <c r="X52" s="148">
        <v>0</v>
      </c>
      <c r="Y52" s="148">
        <v>1.671</v>
      </c>
      <c r="Z52" s="148"/>
      <c r="AA52" s="148"/>
      <c r="AB52" s="148"/>
      <c r="AC52" s="148"/>
      <c r="AD52" s="148"/>
      <c r="AE52" s="148"/>
      <c r="AF52" s="148"/>
      <c r="AG52" s="236" t="s">
        <v>233</v>
      </c>
      <c r="AH52" s="236" t="s">
        <v>282</v>
      </c>
      <c r="AI52" s="192">
        <v>2</v>
      </c>
      <c r="AJ52" s="192">
        <v>4</v>
      </c>
      <c r="AK52" s="244">
        <v>0.33329999999999999</v>
      </c>
      <c r="AL52" s="244">
        <v>0.66659999999999997</v>
      </c>
      <c r="AM52" s="236">
        <v>0</v>
      </c>
      <c r="AN52" s="236">
        <v>0</v>
      </c>
      <c r="AO52" s="236">
        <v>15</v>
      </c>
      <c r="AP52" s="236">
        <v>0</v>
      </c>
      <c r="AQ52" s="236">
        <v>0</v>
      </c>
      <c r="AR52" s="236">
        <v>0</v>
      </c>
      <c r="AS52" s="236">
        <v>0</v>
      </c>
      <c r="AT52" s="236">
        <v>0</v>
      </c>
      <c r="AU52" s="236">
        <v>0</v>
      </c>
      <c r="AV52" s="236">
        <v>0</v>
      </c>
      <c r="AW52" s="175">
        <v>24</v>
      </c>
      <c r="AX52" s="236" t="s">
        <v>233</v>
      </c>
      <c r="AY52" s="236"/>
      <c r="AZ52" s="236" t="s">
        <v>233</v>
      </c>
      <c r="BA52" s="234" t="s">
        <v>429</v>
      </c>
      <c r="BB52" s="148"/>
      <c r="BC52" s="236"/>
      <c r="BD52" s="236" t="s">
        <v>183</v>
      </c>
      <c r="BE52" s="234"/>
      <c r="BF52" s="237" t="s">
        <v>148</v>
      </c>
      <c r="BG52" s="237" t="s">
        <v>189</v>
      </c>
    </row>
    <row r="53" spans="1:59" s="237" customFormat="1" x14ac:dyDescent="0.15">
      <c r="A53" s="148">
        <v>315</v>
      </c>
      <c r="B53" s="233">
        <v>41163</v>
      </c>
      <c r="C53" s="232" t="s">
        <v>278</v>
      </c>
      <c r="D53" s="148" t="s">
        <v>205</v>
      </c>
      <c r="E53" s="233">
        <v>42583</v>
      </c>
      <c r="F53" s="148" t="s">
        <v>222</v>
      </c>
      <c r="G53" s="148" t="s">
        <v>187</v>
      </c>
      <c r="H53" s="148">
        <v>62.38</v>
      </c>
      <c r="I53" s="235" t="s">
        <v>402</v>
      </c>
      <c r="J53" s="148">
        <v>1645</v>
      </c>
      <c r="K53" s="148">
        <v>3000</v>
      </c>
      <c r="L53" s="148">
        <v>3000</v>
      </c>
      <c r="M53" s="148">
        <v>3000</v>
      </c>
      <c r="N53" s="148"/>
      <c r="O53" s="148">
        <v>1.927</v>
      </c>
      <c r="P53" s="148">
        <v>1.6120000000000001</v>
      </c>
      <c r="Q53" s="148">
        <v>0</v>
      </c>
      <c r="R53" s="148">
        <v>0</v>
      </c>
      <c r="S53" s="148">
        <v>1.302</v>
      </c>
      <c r="T53" s="148"/>
      <c r="U53" s="148">
        <v>1.8859999999999999</v>
      </c>
      <c r="V53" s="148">
        <v>1.57</v>
      </c>
      <c r="W53" s="148">
        <v>0</v>
      </c>
      <c r="X53" s="148">
        <v>0</v>
      </c>
      <c r="Y53" s="148">
        <v>1.2609999999999999</v>
      </c>
      <c r="Z53" s="148"/>
      <c r="AA53" s="148"/>
      <c r="AB53" s="148"/>
      <c r="AC53" s="148"/>
      <c r="AD53" s="148"/>
      <c r="AE53" s="148"/>
      <c r="AF53" s="148"/>
      <c r="AG53" s="236" t="s">
        <v>281</v>
      </c>
      <c r="AH53" s="236" t="s">
        <v>282</v>
      </c>
      <c r="AI53" s="192">
        <v>2</v>
      </c>
      <c r="AJ53" s="192">
        <v>4</v>
      </c>
      <c r="AK53" s="244">
        <v>0.33329999999999999</v>
      </c>
      <c r="AL53" s="244">
        <v>0.66659999999999997</v>
      </c>
      <c r="AM53" s="236">
        <v>0</v>
      </c>
      <c r="AN53" s="236">
        <v>0</v>
      </c>
      <c r="AO53" s="236">
        <v>0</v>
      </c>
      <c r="AP53" s="236">
        <v>0</v>
      </c>
      <c r="AQ53" s="236">
        <v>0</v>
      </c>
      <c r="AR53" s="236">
        <v>0</v>
      </c>
      <c r="AS53" s="236">
        <v>0</v>
      </c>
      <c r="AT53" s="236">
        <v>0</v>
      </c>
      <c r="AU53" s="236">
        <v>0</v>
      </c>
      <c r="AV53" s="236">
        <v>0</v>
      </c>
      <c r="AW53" s="175">
        <v>0</v>
      </c>
      <c r="AX53" s="236" t="s">
        <v>233</v>
      </c>
      <c r="AY53" s="236"/>
      <c r="AZ53" s="236" t="s">
        <v>233</v>
      </c>
      <c r="BA53" s="234" t="s">
        <v>195</v>
      </c>
      <c r="BB53" s="148" t="s">
        <v>178</v>
      </c>
      <c r="BC53" s="236">
        <v>50</v>
      </c>
      <c r="BD53" s="236" t="s">
        <v>183</v>
      </c>
      <c r="BE53" s="234"/>
      <c r="BF53" s="237" t="s">
        <v>129</v>
      </c>
      <c r="BG53" s="237" t="s">
        <v>189</v>
      </c>
    </row>
    <row r="54" spans="1:59" s="237" customFormat="1" x14ac:dyDescent="0.15">
      <c r="A54" s="148">
        <v>570</v>
      </c>
      <c r="B54" s="233">
        <v>41164</v>
      </c>
      <c r="C54" s="232" t="s">
        <v>278</v>
      </c>
      <c r="D54" s="148" t="s">
        <v>205</v>
      </c>
      <c r="E54" s="233">
        <v>42614</v>
      </c>
      <c r="F54" s="234" t="s">
        <v>224</v>
      </c>
      <c r="G54" s="148" t="s">
        <v>196</v>
      </c>
      <c r="H54" s="148">
        <v>64.13</v>
      </c>
      <c r="I54" s="235" t="s">
        <v>402</v>
      </c>
      <c r="J54" s="238">
        <v>4000</v>
      </c>
      <c r="K54" s="238">
        <v>12000</v>
      </c>
      <c r="L54" s="238">
        <v>12000</v>
      </c>
      <c r="M54" s="238">
        <v>12000</v>
      </c>
      <c r="N54" s="148"/>
      <c r="O54" s="148">
        <v>2.0019999999999998</v>
      </c>
      <c r="P54" s="148">
        <v>1.788</v>
      </c>
      <c r="Q54" s="148">
        <v>0</v>
      </c>
      <c r="R54" s="148">
        <v>0</v>
      </c>
      <c r="S54" s="148">
        <v>1.5429999999999999</v>
      </c>
      <c r="T54" s="148"/>
      <c r="U54" s="148">
        <v>2.0019999999999998</v>
      </c>
      <c r="V54" s="148">
        <v>1.788</v>
      </c>
      <c r="W54" s="148">
        <v>0</v>
      </c>
      <c r="X54" s="148">
        <v>0</v>
      </c>
      <c r="Y54" s="148">
        <v>1.5429999999999999</v>
      </c>
      <c r="Z54" s="148"/>
      <c r="AA54" s="148"/>
      <c r="AB54" s="148"/>
      <c r="AC54" s="148"/>
      <c r="AD54" s="148"/>
      <c r="AE54" s="148"/>
      <c r="AF54" s="148"/>
      <c r="AG54" s="236" t="s">
        <v>233</v>
      </c>
      <c r="AH54" s="236" t="s">
        <v>282</v>
      </c>
      <c r="AI54" s="192">
        <v>2</v>
      </c>
      <c r="AJ54" s="192">
        <v>4</v>
      </c>
      <c r="AK54" s="244">
        <v>0.33329999999999999</v>
      </c>
      <c r="AL54" s="244">
        <v>0.66659999999999997</v>
      </c>
      <c r="AM54" s="236">
        <v>0</v>
      </c>
      <c r="AN54" s="236">
        <v>0</v>
      </c>
      <c r="AO54" s="236">
        <v>0</v>
      </c>
      <c r="AP54" s="236">
        <v>13</v>
      </c>
      <c r="AQ54" s="236">
        <v>0</v>
      </c>
      <c r="AR54" s="236">
        <v>0</v>
      </c>
      <c r="AS54" s="236">
        <v>0</v>
      </c>
      <c r="AT54" s="236">
        <v>0</v>
      </c>
      <c r="AU54" s="236">
        <v>0</v>
      </c>
      <c r="AV54" s="236">
        <v>0</v>
      </c>
      <c r="AW54" s="175">
        <v>0</v>
      </c>
      <c r="AX54" s="236" t="s">
        <v>233</v>
      </c>
      <c r="AY54" s="236">
        <v>12</v>
      </c>
      <c r="AZ54" s="236" t="s">
        <v>233</v>
      </c>
      <c r="BA54" s="234"/>
      <c r="BB54" s="234"/>
      <c r="BC54" s="236"/>
      <c r="BD54" s="236" t="s">
        <v>179</v>
      </c>
      <c r="BE54" s="234"/>
      <c r="BF54" s="237" t="s">
        <v>110</v>
      </c>
      <c r="BG54" s="237" t="s">
        <v>181</v>
      </c>
    </row>
    <row r="55" spans="1:59" s="237" customFormat="1" x14ac:dyDescent="0.15">
      <c r="A55" s="148">
        <v>236</v>
      </c>
      <c r="B55" s="233">
        <v>41193</v>
      </c>
      <c r="C55" s="232" t="s">
        <v>278</v>
      </c>
      <c r="D55" s="148" t="s">
        <v>205</v>
      </c>
      <c r="E55" s="256" t="s">
        <v>151</v>
      </c>
      <c r="F55" s="234" t="s">
        <v>226</v>
      </c>
      <c r="G55" s="148" t="s">
        <v>197</v>
      </c>
      <c r="H55" s="148">
        <v>68</v>
      </c>
      <c r="I55" s="235" t="s">
        <v>402</v>
      </c>
      <c r="J55" s="238">
        <v>3000</v>
      </c>
      <c r="K55" s="238">
        <v>3000</v>
      </c>
      <c r="L55" s="238">
        <v>3000</v>
      </c>
      <c r="M55" s="238">
        <v>3000</v>
      </c>
      <c r="N55" s="148"/>
      <c r="O55" s="148">
        <v>1.86</v>
      </c>
      <c r="P55" s="255">
        <v>0</v>
      </c>
      <c r="Q55" s="148">
        <v>0</v>
      </c>
      <c r="R55" s="148">
        <v>0</v>
      </c>
      <c r="S55" s="148">
        <v>1.4319999999999999</v>
      </c>
      <c r="T55" s="148"/>
      <c r="U55" s="148">
        <v>1.86</v>
      </c>
      <c r="V55" s="255">
        <v>0</v>
      </c>
      <c r="W55" s="148">
        <v>0</v>
      </c>
      <c r="X55" s="148">
        <v>0</v>
      </c>
      <c r="Y55" s="148">
        <v>1.4319999999999999</v>
      </c>
      <c r="Z55" s="148"/>
      <c r="AA55" s="148"/>
      <c r="AB55" s="148"/>
      <c r="AC55" s="148"/>
      <c r="AD55" s="148"/>
      <c r="AE55" s="148"/>
      <c r="AF55" s="148"/>
      <c r="AG55" s="236" t="s">
        <v>233</v>
      </c>
      <c r="AH55" s="236" t="s">
        <v>282</v>
      </c>
      <c r="AI55" s="236">
        <v>2</v>
      </c>
      <c r="AJ55" s="236">
        <v>4</v>
      </c>
      <c r="AK55" s="244">
        <v>0.33329999999999999</v>
      </c>
      <c r="AL55" s="244">
        <v>0.66659999999999997</v>
      </c>
      <c r="AM55" s="236">
        <v>0</v>
      </c>
      <c r="AN55" s="236">
        <v>0</v>
      </c>
      <c r="AO55" s="236">
        <v>10</v>
      </c>
      <c r="AP55" s="236">
        <v>0</v>
      </c>
      <c r="AQ55" s="236">
        <v>0</v>
      </c>
      <c r="AR55" s="236">
        <v>0</v>
      </c>
      <c r="AS55" s="236">
        <v>0</v>
      </c>
      <c r="AT55" s="236">
        <v>0</v>
      </c>
      <c r="AU55" s="236">
        <v>0</v>
      </c>
      <c r="AV55" s="236">
        <v>0</v>
      </c>
      <c r="AW55" s="175">
        <v>0</v>
      </c>
      <c r="AX55" s="236" t="s">
        <v>233</v>
      </c>
      <c r="AY55" s="234"/>
      <c r="AZ55" s="236" t="s">
        <v>233</v>
      </c>
      <c r="BA55" s="236"/>
      <c r="BB55" s="236"/>
      <c r="BC55" s="234"/>
      <c r="BD55" s="236" t="s">
        <v>183</v>
      </c>
      <c r="BE55" s="234"/>
      <c r="BF55" s="237" t="s">
        <v>323</v>
      </c>
    </row>
    <row r="56" spans="1:59" s="237" customFormat="1" x14ac:dyDescent="0.15">
      <c r="A56" s="148">
        <v>787</v>
      </c>
      <c r="B56" s="233">
        <v>41164</v>
      </c>
      <c r="C56" s="232" t="s">
        <v>278</v>
      </c>
      <c r="D56" s="148" t="s">
        <v>205</v>
      </c>
      <c r="E56" s="256">
        <v>42430</v>
      </c>
      <c r="F56" s="234" t="s">
        <v>227</v>
      </c>
      <c r="G56" s="148" t="s">
        <v>198</v>
      </c>
      <c r="H56" s="148">
        <v>57.02</v>
      </c>
      <c r="I56" s="235" t="s">
        <v>402</v>
      </c>
      <c r="J56" s="148">
        <v>1645</v>
      </c>
      <c r="K56" s="148">
        <v>3000</v>
      </c>
      <c r="L56" s="148">
        <v>3000</v>
      </c>
      <c r="M56" s="148">
        <v>3000</v>
      </c>
      <c r="N56" s="148"/>
      <c r="O56" s="148">
        <v>2.2999999999999998</v>
      </c>
      <c r="P56" s="148">
        <v>1.93</v>
      </c>
      <c r="Q56" s="148">
        <v>0</v>
      </c>
      <c r="R56" s="148">
        <v>0</v>
      </c>
      <c r="S56" s="148">
        <v>1.62</v>
      </c>
      <c r="T56" s="148"/>
      <c r="U56" s="148">
        <v>2.2999999999999998</v>
      </c>
      <c r="V56" s="148">
        <v>1.93</v>
      </c>
      <c r="W56" s="148">
        <v>0</v>
      </c>
      <c r="X56" s="148">
        <v>0</v>
      </c>
      <c r="Y56" s="148">
        <v>1.62</v>
      </c>
      <c r="Z56" s="148"/>
      <c r="AA56" s="148"/>
      <c r="AB56" s="148"/>
      <c r="AC56" s="148"/>
      <c r="AD56" s="148"/>
      <c r="AE56" s="148"/>
      <c r="AF56" s="148"/>
      <c r="AG56" s="236" t="s">
        <v>233</v>
      </c>
      <c r="AH56" s="236" t="s">
        <v>282</v>
      </c>
      <c r="AI56" s="192">
        <v>2</v>
      </c>
      <c r="AJ56" s="192">
        <v>4</v>
      </c>
      <c r="AK56" s="244">
        <v>0.33329999999999999</v>
      </c>
      <c r="AL56" s="244">
        <v>0.66659999999999997</v>
      </c>
      <c r="AM56" s="236">
        <v>0</v>
      </c>
      <c r="AN56" s="236">
        <v>15</v>
      </c>
      <c r="AO56" s="236">
        <v>0</v>
      </c>
      <c r="AP56" s="236">
        <v>5</v>
      </c>
      <c r="AQ56" s="236">
        <v>0</v>
      </c>
      <c r="AR56" s="236">
        <v>0</v>
      </c>
      <c r="AS56" s="236">
        <v>0</v>
      </c>
      <c r="AT56" s="236">
        <v>0</v>
      </c>
      <c r="AU56" s="236">
        <v>0</v>
      </c>
      <c r="AV56" s="236">
        <v>0</v>
      </c>
      <c r="AW56" s="175">
        <v>24</v>
      </c>
      <c r="AX56" s="236" t="s">
        <v>233</v>
      </c>
      <c r="AY56" s="236"/>
      <c r="AZ56" s="236" t="s">
        <v>233</v>
      </c>
      <c r="BA56" s="234"/>
      <c r="BB56" s="148"/>
      <c r="BC56" s="236"/>
      <c r="BD56" s="236" t="s">
        <v>183</v>
      </c>
      <c r="BE56" s="234"/>
      <c r="BF56" s="237" t="s">
        <v>166</v>
      </c>
      <c r="BG56" s="237" t="s">
        <v>189</v>
      </c>
    </row>
    <row r="57" spans="1:59" s="7" customFormat="1" x14ac:dyDescent="0.15">
      <c r="A57" s="204">
        <v>81</v>
      </c>
      <c r="B57" s="206">
        <v>41163</v>
      </c>
      <c r="C57" s="205" t="s">
        <v>278</v>
      </c>
      <c r="D57" s="204" t="s">
        <v>209</v>
      </c>
      <c r="E57" s="206">
        <v>42618</v>
      </c>
      <c r="F57" s="207" t="s">
        <v>280</v>
      </c>
      <c r="G57" s="204" t="s">
        <v>176</v>
      </c>
      <c r="H57" s="204">
        <v>72.25</v>
      </c>
      <c r="I57" s="208" t="s">
        <v>402</v>
      </c>
      <c r="J57" s="204">
        <v>6000</v>
      </c>
      <c r="K57" s="204">
        <v>12000</v>
      </c>
      <c r="L57" s="204">
        <v>12000</v>
      </c>
      <c r="M57" s="204">
        <v>12000</v>
      </c>
      <c r="N57" s="204"/>
      <c r="O57" s="204">
        <v>1.7989999999999999</v>
      </c>
      <c r="P57" s="204">
        <v>1.7270000000000001</v>
      </c>
      <c r="Q57" s="204">
        <v>0</v>
      </c>
      <c r="R57" s="204">
        <v>0</v>
      </c>
      <c r="S57" s="204">
        <v>1.4379999999999999</v>
      </c>
      <c r="T57" s="204"/>
      <c r="U57" s="204">
        <v>1.635</v>
      </c>
      <c r="V57" s="204">
        <v>1.319</v>
      </c>
      <c r="W57" s="204">
        <v>0</v>
      </c>
      <c r="X57" s="204">
        <v>0</v>
      </c>
      <c r="Y57" s="204">
        <v>1.2250000000000001</v>
      </c>
      <c r="Z57" s="204"/>
      <c r="AA57" s="204"/>
      <c r="AB57" s="204"/>
      <c r="AC57" s="204"/>
      <c r="AD57" s="204"/>
      <c r="AE57" s="204"/>
      <c r="AF57" s="204"/>
      <c r="AG57" s="209" t="s">
        <v>281</v>
      </c>
      <c r="AH57" s="209" t="s">
        <v>282</v>
      </c>
      <c r="AI57" s="192">
        <v>2</v>
      </c>
      <c r="AJ57" s="192">
        <v>4</v>
      </c>
      <c r="AK57" s="245">
        <v>0.33329999999999999</v>
      </c>
      <c r="AL57" s="245">
        <v>0.66659999999999997</v>
      </c>
      <c r="AM57" s="209">
        <v>0</v>
      </c>
      <c r="AN57" s="209">
        <v>0</v>
      </c>
      <c r="AO57" s="209">
        <v>0</v>
      </c>
      <c r="AP57" s="209">
        <v>13</v>
      </c>
      <c r="AQ57" s="209">
        <v>0</v>
      </c>
      <c r="AR57" s="209">
        <v>0</v>
      </c>
      <c r="AS57" s="209">
        <v>0</v>
      </c>
      <c r="AT57" s="209">
        <v>0</v>
      </c>
      <c r="AU57" s="209">
        <v>0</v>
      </c>
      <c r="AV57" s="209">
        <v>2</v>
      </c>
      <c r="AW57" s="209">
        <v>0</v>
      </c>
      <c r="AX57" s="209" t="s">
        <v>233</v>
      </c>
      <c r="AY57" s="209">
        <v>12</v>
      </c>
      <c r="AZ57" s="209" t="s">
        <v>233</v>
      </c>
      <c r="BA57" s="207" t="s">
        <v>177</v>
      </c>
      <c r="BB57" s="204" t="s">
        <v>178</v>
      </c>
      <c r="BC57" s="209">
        <v>50</v>
      </c>
      <c r="BD57" s="209" t="s">
        <v>179</v>
      </c>
      <c r="BE57" s="207"/>
      <c r="BF57" s="7" t="s">
        <v>111</v>
      </c>
      <c r="BG57" s="7" t="s">
        <v>181</v>
      </c>
    </row>
    <row r="58" spans="1:59" s="7" customFormat="1" x14ac:dyDescent="0.15">
      <c r="A58" s="204">
        <v>264</v>
      </c>
      <c r="B58" s="206">
        <v>41163</v>
      </c>
      <c r="C58" s="205" t="s">
        <v>278</v>
      </c>
      <c r="D58" s="204" t="s">
        <v>209</v>
      </c>
      <c r="E58" s="206">
        <v>42023</v>
      </c>
      <c r="F58" s="207" t="s">
        <v>286</v>
      </c>
      <c r="G58" s="204" t="s">
        <v>182</v>
      </c>
      <c r="H58" s="204">
        <v>61.39</v>
      </c>
      <c r="I58" s="208" t="s">
        <v>402</v>
      </c>
      <c r="J58" s="210">
        <v>6000</v>
      </c>
      <c r="K58" s="210">
        <v>6000</v>
      </c>
      <c r="L58" s="210">
        <v>6000</v>
      </c>
      <c r="M58" s="210">
        <v>6000</v>
      </c>
      <c r="N58" s="204"/>
      <c r="O58" s="204">
        <v>1.93</v>
      </c>
      <c r="P58" s="204">
        <v>0</v>
      </c>
      <c r="Q58" s="204">
        <v>0</v>
      </c>
      <c r="R58" s="204">
        <v>0</v>
      </c>
      <c r="S58" s="204">
        <v>1.73</v>
      </c>
      <c r="T58" s="204"/>
      <c r="U58" s="204">
        <v>1.71</v>
      </c>
      <c r="V58" s="204">
        <v>0</v>
      </c>
      <c r="W58" s="204">
        <v>0</v>
      </c>
      <c r="X58" s="204">
        <v>0</v>
      </c>
      <c r="Y58" s="204">
        <v>1.43</v>
      </c>
      <c r="Z58" s="204"/>
      <c r="AA58" s="204"/>
      <c r="AB58" s="204"/>
      <c r="AC58" s="204"/>
      <c r="AD58" s="204"/>
      <c r="AE58" s="204"/>
      <c r="AF58" s="204"/>
      <c r="AG58" s="209" t="s">
        <v>281</v>
      </c>
      <c r="AH58" s="209" t="s">
        <v>282</v>
      </c>
      <c r="AI58" s="192">
        <v>2</v>
      </c>
      <c r="AJ58" s="192">
        <v>4</v>
      </c>
      <c r="AK58" s="245">
        <v>0.33329999999999999</v>
      </c>
      <c r="AL58" s="245">
        <v>0.66659999999999997</v>
      </c>
      <c r="AM58" s="209">
        <v>0</v>
      </c>
      <c r="AN58" s="209">
        <v>0</v>
      </c>
      <c r="AO58" s="209">
        <v>0</v>
      </c>
      <c r="AP58" s="209">
        <v>15</v>
      </c>
      <c r="AQ58" s="209">
        <v>0</v>
      </c>
      <c r="AR58" s="209">
        <v>0</v>
      </c>
      <c r="AS58" s="209">
        <v>0</v>
      </c>
      <c r="AT58" s="209">
        <v>0</v>
      </c>
      <c r="AU58" s="209">
        <v>0</v>
      </c>
      <c r="AV58" s="209">
        <v>0</v>
      </c>
      <c r="AW58" s="209">
        <v>0</v>
      </c>
      <c r="AX58" s="209" t="s">
        <v>233</v>
      </c>
      <c r="AY58" s="209"/>
      <c r="AZ58" s="209" t="s">
        <v>233</v>
      </c>
      <c r="BA58" s="207"/>
      <c r="BB58" s="204"/>
      <c r="BC58" s="209"/>
      <c r="BD58" s="209" t="s">
        <v>183</v>
      </c>
      <c r="BE58" s="207"/>
      <c r="BF58" s="7" t="s">
        <v>145</v>
      </c>
      <c r="BG58" s="7" t="s">
        <v>189</v>
      </c>
    </row>
    <row r="59" spans="1:59" s="7" customFormat="1" x14ac:dyDescent="0.15">
      <c r="A59" s="204">
        <v>278</v>
      </c>
      <c r="B59" s="206">
        <v>41163</v>
      </c>
      <c r="C59" s="205" t="s">
        <v>278</v>
      </c>
      <c r="D59" s="204" t="s">
        <v>209</v>
      </c>
      <c r="E59" s="206">
        <v>42370</v>
      </c>
      <c r="F59" s="207" t="s">
        <v>288</v>
      </c>
      <c r="G59" s="204" t="s">
        <v>185</v>
      </c>
      <c r="H59" s="204">
        <v>66.5</v>
      </c>
      <c r="I59" s="208" t="s">
        <v>402</v>
      </c>
      <c r="J59" s="204">
        <v>6000</v>
      </c>
      <c r="K59" s="204">
        <v>12000</v>
      </c>
      <c r="L59" s="204">
        <v>12000</v>
      </c>
      <c r="M59" s="204">
        <v>12000</v>
      </c>
      <c r="N59" s="204"/>
      <c r="O59" s="204">
        <v>2.04</v>
      </c>
      <c r="P59" s="204">
        <v>2</v>
      </c>
      <c r="Q59" s="204">
        <v>0</v>
      </c>
      <c r="R59" s="204">
        <v>0</v>
      </c>
      <c r="S59" s="204">
        <v>1.49</v>
      </c>
      <c r="T59" s="204"/>
      <c r="U59" s="204">
        <v>1.58</v>
      </c>
      <c r="V59" s="204">
        <v>1.54</v>
      </c>
      <c r="W59" s="204">
        <v>0</v>
      </c>
      <c r="X59" s="204">
        <v>0</v>
      </c>
      <c r="Y59" s="204">
        <v>1.42</v>
      </c>
      <c r="Z59" s="204"/>
      <c r="AA59" s="204"/>
      <c r="AB59" s="204"/>
      <c r="AC59" s="204"/>
      <c r="AD59" s="204"/>
      <c r="AE59" s="204"/>
      <c r="AF59" s="204"/>
      <c r="AG59" s="209" t="s">
        <v>281</v>
      </c>
      <c r="AH59" s="209" t="s">
        <v>282</v>
      </c>
      <c r="AI59" s="192">
        <v>2</v>
      </c>
      <c r="AJ59" s="192">
        <v>4</v>
      </c>
      <c r="AK59" s="245">
        <v>0.33329999999999999</v>
      </c>
      <c r="AL59" s="245">
        <v>0.66659999999999997</v>
      </c>
      <c r="AM59" s="209">
        <v>0</v>
      </c>
      <c r="AN59" s="209">
        <v>0</v>
      </c>
      <c r="AO59" s="209">
        <v>14</v>
      </c>
      <c r="AP59" s="209">
        <v>0</v>
      </c>
      <c r="AQ59" s="209">
        <v>0</v>
      </c>
      <c r="AR59" s="209">
        <v>0</v>
      </c>
      <c r="AS59" s="209">
        <v>0</v>
      </c>
      <c r="AT59" s="209">
        <v>0</v>
      </c>
      <c r="AU59" s="209">
        <v>0</v>
      </c>
      <c r="AV59" s="209">
        <v>0</v>
      </c>
      <c r="AW59" s="209">
        <v>0</v>
      </c>
      <c r="AX59" s="209" t="s">
        <v>233</v>
      </c>
      <c r="AY59" s="209"/>
      <c r="AZ59" s="209" t="s">
        <v>233</v>
      </c>
      <c r="BA59" s="207"/>
      <c r="BB59" s="204"/>
      <c r="BC59" s="209"/>
      <c r="BD59" s="209" t="s">
        <v>179</v>
      </c>
      <c r="BE59" s="207" t="s">
        <v>186</v>
      </c>
      <c r="BF59" s="7" t="s">
        <v>112</v>
      </c>
      <c r="BG59" s="7" t="s">
        <v>189</v>
      </c>
    </row>
    <row r="60" spans="1:59" s="7" customFormat="1" x14ac:dyDescent="0.15">
      <c r="A60" s="204">
        <v>330</v>
      </c>
      <c r="B60" s="206">
        <v>41163</v>
      </c>
      <c r="C60" s="205" t="s">
        <v>278</v>
      </c>
      <c r="D60" s="204" t="s">
        <v>209</v>
      </c>
      <c r="E60" s="206">
        <v>42370</v>
      </c>
      <c r="F60" s="207" t="s">
        <v>600</v>
      </c>
      <c r="G60" s="204" t="s">
        <v>187</v>
      </c>
      <c r="H60" s="204">
        <v>66</v>
      </c>
      <c r="I60" s="208" t="s">
        <v>402</v>
      </c>
      <c r="J60" s="204">
        <v>6000</v>
      </c>
      <c r="K60" s="204">
        <v>12000</v>
      </c>
      <c r="L60" s="204">
        <v>12000</v>
      </c>
      <c r="M60" s="204">
        <v>12000</v>
      </c>
      <c r="N60" s="204"/>
      <c r="O60" s="204">
        <v>1.89</v>
      </c>
      <c r="P60" s="204">
        <v>1.86</v>
      </c>
      <c r="Q60" s="204">
        <v>0</v>
      </c>
      <c r="R60" s="204">
        <v>0</v>
      </c>
      <c r="S60" s="204">
        <v>1.32</v>
      </c>
      <c r="T60" s="204"/>
      <c r="U60" s="204">
        <v>1.26</v>
      </c>
      <c r="V60" s="204">
        <v>1.22</v>
      </c>
      <c r="W60" s="204">
        <v>0</v>
      </c>
      <c r="X60" s="204">
        <v>0</v>
      </c>
      <c r="Y60" s="204">
        <v>1.1000000000000001</v>
      </c>
      <c r="Z60" s="204"/>
      <c r="AA60" s="204"/>
      <c r="AB60" s="204"/>
      <c r="AC60" s="204"/>
      <c r="AD60" s="204"/>
      <c r="AE60" s="204"/>
      <c r="AF60" s="204"/>
      <c r="AG60" s="209" t="s">
        <v>281</v>
      </c>
      <c r="AH60" s="209" t="s">
        <v>282</v>
      </c>
      <c r="AI60" s="209">
        <v>3</v>
      </c>
      <c r="AJ60" s="209">
        <v>3</v>
      </c>
      <c r="AK60" s="245">
        <v>0.5</v>
      </c>
      <c r="AL60" s="245">
        <v>0.5</v>
      </c>
      <c r="AM60" s="209">
        <v>0</v>
      </c>
      <c r="AN60" s="209">
        <v>0</v>
      </c>
      <c r="AO60" s="209">
        <v>0</v>
      </c>
      <c r="AP60" s="209">
        <v>12</v>
      </c>
      <c r="AQ60" s="209">
        <v>0</v>
      </c>
      <c r="AR60" s="209">
        <v>0</v>
      </c>
      <c r="AS60" s="209">
        <v>0</v>
      </c>
      <c r="AT60" s="209">
        <v>0</v>
      </c>
      <c r="AU60" s="209">
        <v>0</v>
      </c>
      <c r="AV60" s="209">
        <v>0</v>
      </c>
      <c r="AW60" s="209">
        <v>12</v>
      </c>
      <c r="AX60" s="209" t="s">
        <v>281</v>
      </c>
      <c r="AY60" s="209"/>
      <c r="AZ60" s="209" t="s">
        <v>233</v>
      </c>
      <c r="BA60" s="207"/>
      <c r="BB60" s="204"/>
      <c r="BC60" s="209"/>
      <c r="BD60" s="209" t="s">
        <v>183</v>
      </c>
      <c r="BE60" s="207"/>
      <c r="BF60" s="7" t="s">
        <v>168</v>
      </c>
      <c r="BG60" s="7" t="s">
        <v>189</v>
      </c>
    </row>
    <row r="61" spans="1:59" s="7" customFormat="1" x14ac:dyDescent="0.15">
      <c r="A61" s="204">
        <v>162</v>
      </c>
      <c r="B61" s="206">
        <v>41163</v>
      </c>
      <c r="C61" s="205" t="s">
        <v>278</v>
      </c>
      <c r="D61" s="204" t="s">
        <v>209</v>
      </c>
      <c r="E61" s="206">
        <v>42579</v>
      </c>
      <c r="F61" s="207" t="s">
        <v>217</v>
      </c>
      <c r="G61" s="204" t="s">
        <v>190</v>
      </c>
      <c r="H61" s="204">
        <v>67</v>
      </c>
      <c r="I61" s="208" t="s">
        <v>402</v>
      </c>
      <c r="J61" s="204">
        <v>6000</v>
      </c>
      <c r="K61" s="204">
        <v>12000</v>
      </c>
      <c r="L61" s="204">
        <v>12000</v>
      </c>
      <c r="M61" s="204">
        <v>12000</v>
      </c>
      <c r="N61" s="204"/>
      <c r="O61" s="204">
        <v>2.0910000000000002</v>
      </c>
      <c r="P61" s="204">
        <v>2.0529999999999999</v>
      </c>
      <c r="Q61" s="204">
        <v>0</v>
      </c>
      <c r="R61" s="204">
        <v>0</v>
      </c>
      <c r="S61" s="204">
        <v>1.478</v>
      </c>
      <c r="T61" s="204"/>
      <c r="U61" s="204">
        <v>1.518</v>
      </c>
      <c r="V61" s="204">
        <v>1.4630000000000001</v>
      </c>
      <c r="W61" s="204">
        <v>0</v>
      </c>
      <c r="X61" s="204">
        <v>0</v>
      </c>
      <c r="Y61" s="204">
        <v>1.35</v>
      </c>
      <c r="Z61" s="204"/>
      <c r="AA61" s="204"/>
      <c r="AB61" s="204"/>
      <c r="AC61" s="204"/>
      <c r="AD61" s="204"/>
      <c r="AE61" s="204"/>
      <c r="AF61" s="204"/>
      <c r="AG61" s="209" t="s">
        <v>281</v>
      </c>
      <c r="AH61" s="209" t="s">
        <v>282</v>
      </c>
      <c r="AI61" s="192">
        <v>2</v>
      </c>
      <c r="AJ61" s="192">
        <v>4</v>
      </c>
      <c r="AK61" s="245">
        <v>0.33329999999999999</v>
      </c>
      <c r="AL61" s="245">
        <v>0.66659999999999997</v>
      </c>
      <c r="AM61" s="209">
        <v>0</v>
      </c>
      <c r="AN61" s="209">
        <v>0</v>
      </c>
      <c r="AO61" s="209">
        <v>0</v>
      </c>
      <c r="AP61" s="209">
        <v>16</v>
      </c>
      <c r="AQ61" s="209">
        <v>0</v>
      </c>
      <c r="AR61" s="209">
        <v>0</v>
      </c>
      <c r="AS61" s="209">
        <v>0</v>
      </c>
      <c r="AT61" s="209">
        <v>2</v>
      </c>
      <c r="AU61" s="209">
        <v>0</v>
      </c>
      <c r="AV61" s="209">
        <v>0</v>
      </c>
      <c r="AW61" s="209">
        <v>0</v>
      </c>
      <c r="AX61" s="209" t="s">
        <v>233</v>
      </c>
      <c r="AY61" s="209">
        <v>12</v>
      </c>
      <c r="AZ61" s="209" t="s">
        <v>233</v>
      </c>
      <c r="BA61" s="207"/>
      <c r="BB61" s="207"/>
      <c r="BC61" s="211"/>
      <c r="BD61" s="209" t="s">
        <v>179</v>
      </c>
      <c r="BE61" s="207"/>
      <c r="BF61" s="361" t="s">
        <v>113</v>
      </c>
      <c r="BG61" s="7" t="s">
        <v>189</v>
      </c>
    </row>
    <row r="62" spans="1:59" s="7" customFormat="1" x14ac:dyDescent="0.15">
      <c r="A62" s="204">
        <v>176</v>
      </c>
      <c r="B62" s="206">
        <v>41163</v>
      </c>
      <c r="C62" s="205" t="s">
        <v>278</v>
      </c>
      <c r="D62" s="204" t="s">
        <v>209</v>
      </c>
      <c r="E62" s="206">
        <v>42374</v>
      </c>
      <c r="F62" s="207" t="s">
        <v>220</v>
      </c>
      <c r="G62" s="204" t="s">
        <v>193</v>
      </c>
      <c r="H62" s="204">
        <v>64.25</v>
      </c>
      <c r="I62" s="208" t="s">
        <v>402</v>
      </c>
      <c r="J62" s="204">
        <v>6000</v>
      </c>
      <c r="K62" s="204">
        <v>12000</v>
      </c>
      <c r="L62" s="204">
        <v>12000</v>
      </c>
      <c r="M62" s="204">
        <v>12000</v>
      </c>
      <c r="N62" s="204"/>
      <c r="O62" s="204">
        <v>1.9770000000000001</v>
      </c>
      <c r="P62" s="204">
        <v>1.9430000000000001</v>
      </c>
      <c r="Q62" s="204">
        <v>0</v>
      </c>
      <c r="R62" s="204">
        <v>0</v>
      </c>
      <c r="S62" s="204">
        <v>1.48</v>
      </c>
      <c r="T62" s="204"/>
      <c r="U62" s="204">
        <v>1.5589999999999999</v>
      </c>
      <c r="V62" s="204">
        <v>1.5249999999999999</v>
      </c>
      <c r="W62" s="204">
        <v>0</v>
      </c>
      <c r="X62" s="204">
        <v>0</v>
      </c>
      <c r="Y62" s="204">
        <v>1.419</v>
      </c>
      <c r="Z62" s="204"/>
      <c r="AA62" s="204"/>
      <c r="AB62" s="204"/>
      <c r="AC62" s="204"/>
      <c r="AD62" s="204"/>
      <c r="AE62" s="204"/>
      <c r="AF62" s="204"/>
      <c r="AG62" s="209" t="s">
        <v>281</v>
      </c>
      <c r="AH62" s="209" t="s">
        <v>282</v>
      </c>
      <c r="AI62" s="192">
        <v>2</v>
      </c>
      <c r="AJ62" s="192">
        <v>4</v>
      </c>
      <c r="AK62" s="245">
        <v>0.33329999999999999</v>
      </c>
      <c r="AL62" s="245">
        <v>0.66659999999999997</v>
      </c>
      <c r="AM62" s="209">
        <v>0</v>
      </c>
      <c r="AN62" s="209">
        <v>0</v>
      </c>
      <c r="AO62" s="209">
        <v>15</v>
      </c>
      <c r="AP62" s="209">
        <v>0</v>
      </c>
      <c r="AQ62" s="209">
        <v>0</v>
      </c>
      <c r="AR62" s="209">
        <v>0</v>
      </c>
      <c r="AS62" s="209">
        <v>0</v>
      </c>
      <c r="AT62" s="209">
        <v>0</v>
      </c>
      <c r="AU62" s="209">
        <v>0</v>
      </c>
      <c r="AV62" s="209">
        <v>0</v>
      </c>
      <c r="AW62" s="209">
        <v>24</v>
      </c>
      <c r="AX62" s="209" t="s">
        <v>233</v>
      </c>
      <c r="AY62" s="209"/>
      <c r="AZ62" s="209" t="s">
        <v>233</v>
      </c>
      <c r="BA62" s="207" t="s">
        <v>429</v>
      </c>
      <c r="BB62" s="204"/>
      <c r="BC62" s="209"/>
      <c r="BD62" s="209" t="s">
        <v>183</v>
      </c>
      <c r="BE62" s="207"/>
      <c r="BF62" s="7" t="s">
        <v>148</v>
      </c>
      <c r="BG62" s="7" t="s">
        <v>189</v>
      </c>
    </row>
    <row r="63" spans="1:59" s="7" customFormat="1" x14ac:dyDescent="0.15">
      <c r="A63" s="204">
        <v>317</v>
      </c>
      <c r="B63" s="206">
        <v>41163</v>
      </c>
      <c r="C63" s="205" t="s">
        <v>278</v>
      </c>
      <c r="D63" s="204" t="s">
        <v>209</v>
      </c>
      <c r="E63" s="206">
        <v>42583</v>
      </c>
      <c r="F63" s="204" t="s">
        <v>222</v>
      </c>
      <c r="G63" s="204" t="s">
        <v>187</v>
      </c>
      <c r="H63" s="204">
        <v>66.87</v>
      </c>
      <c r="I63" s="208" t="s">
        <v>402</v>
      </c>
      <c r="J63" s="204">
        <v>6000</v>
      </c>
      <c r="K63" s="204">
        <v>12000</v>
      </c>
      <c r="L63" s="204">
        <v>12000</v>
      </c>
      <c r="M63" s="204">
        <v>12000</v>
      </c>
      <c r="N63" s="204"/>
      <c r="O63" s="204">
        <v>1.528</v>
      </c>
      <c r="P63" s="204">
        <v>1.5389999999999999</v>
      </c>
      <c r="Q63" s="204">
        <v>0</v>
      </c>
      <c r="R63" s="204">
        <v>0</v>
      </c>
      <c r="S63" s="204">
        <v>1.169</v>
      </c>
      <c r="T63" s="204"/>
      <c r="U63" s="204">
        <v>1.151</v>
      </c>
      <c r="V63" s="204">
        <v>1.163</v>
      </c>
      <c r="W63" s="204">
        <v>0</v>
      </c>
      <c r="X63" s="204">
        <v>0</v>
      </c>
      <c r="Y63" s="204">
        <v>1.0780000000000001</v>
      </c>
      <c r="Z63" s="204"/>
      <c r="AA63" s="204"/>
      <c r="AB63" s="204"/>
      <c r="AC63" s="204"/>
      <c r="AD63" s="204"/>
      <c r="AE63" s="204"/>
      <c r="AF63" s="204"/>
      <c r="AG63" s="209" t="s">
        <v>281</v>
      </c>
      <c r="AH63" s="209" t="s">
        <v>282</v>
      </c>
      <c r="AI63" s="192">
        <v>2</v>
      </c>
      <c r="AJ63" s="192">
        <v>4</v>
      </c>
      <c r="AK63" s="245">
        <v>0.33329999999999999</v>
      </c>
      <c r="AL63" s="245">
        <v>0.66659999999999997</v>
      </c>
      <c r="AM63" s="209">
        <v>0</v>
      </c>
      <c r="AN63" s="209">
        <v>0</v>
      </c>
      <c r="AO63" s="209">
        <v>0</v>
      </c>
      <c r="AP63" s="209">
        <v>0</v>
      </c>
      <c r="AQ63" s="209">
        <v>0</v>
      </c>
      <c r="AR63" s="209">
        <v>0</v>
      </c>
      <c r="AS63" s="209">
        <v>0</v>
      </c>
      <c r="AT63" s="209">
        <v>0</v>
      </c>
      <c r="AU63" s="209">
        <v>0</v>
      </c>
      <c r="AV63" s="209">
        <v>0</v>
      </c>
      <c r="AW63" s="209">
        <v>0</v>
      </c>
      <c r="AX63" s="209" t="s">
        <v>233</v>
      </c>
      <c r="AY63" s="209"/>
      <c r="AZ63" s="209" t="s">
        <v>233</v>
      </c>
      <c r="BA63" s="207" t="s">
        <v>195</v>
      </c>
      <c r="BB63" s="204" t="s">
        <v>178</v>
      </c>
      <c r="BC63" s="209">
        <v>50</v>
      </c>
      <c r="BD63" s="209" t="s">
        <v>183</v>
      </c>
      <c r="BE63" s="207"/>
      <c r="BF63" s="7" t="s">
        <v>213</v>
      </c>
      <c r="BG63" s="7" t="s">
        <v>189</v>
      </c>
    </row>
    <row r="64" spans="1:59" s="7" customFormat="1" x14ac:dyDescent="0.15">
      <c r="A64" s="204">
        <v>572</v>
      </c>
      <c r="B64" s="206">
        <v>41164</v>
      </c>
      <c r="C64" s="205" t="s">
        <v>278</v>
      </c>
      <c r="D64" s="204" t="s">
        <v>209</v>
      </c>
      <c r="E64" s="206">
        <v>42614</v>
      </c>
      <c r="F64" s="207" t="s">
        <v>224</v>
      </c>
      <c r="G64" s="204" t="s">
        <v>196</v>
      </c>
      <c r="H64" s="204">
        <v>63.19</v>
      </c>
      <c r="I64" s="208" t="s">
        <v>402</v>
      </c>
      <c r="J64" s="210">
        <v>3200</v>
      </c>
      <c r="K64" s="210">
        <v>3200</v>
      </c>
      <c r="L64" s="210">
        <v>3200</v>
      </c>
      <c r="M64" s="210">
        <v>3200</v>
      </c>
      <c r="N64" s="204"/>
      <c r="O64" s="204">
        <v>2.2010000000000001</v>
      </c>
      <c r="P64" s="204">
        <v>0</v>
      </c>
      <c r="Q64" s="204">
        <v>0</v>
      </c>
      <c r="R64" s="204">
        <v>0</v>
      </c>
      <c r="S64" s="204">
        <v>1.9219999999999999</v>
      </c>
      <c r="T64" s="204"/>
      <c r="U64" s="204">
        <v>1.57</v>
      </c>
      <c r="V64" s="204">
        <v>0</v>
      </c>
      <c r="W64" s="204">
        <v>0</v>
      </c>
      <c r="X64" s="204">
        <v>0</v>
      </c>
      <c r="Y64" s="204">
        <v>1.373</v>
      </c>
      <c r="Z64" s="204"/>
      <c r="AA64" s="204"/>
      <c r="AB64" s="204"/>
      <c r="AC64" s="204"/>
      <c r="AD64" s="204"/>
      <c r="AE64" s="204"/>
      <c r="AF64" s="204"/>
      <c r="AG64" s="209" t="s">
        <v>281</v>
      </c>
      <c r="AH64" s="209" t="s">
        <v>282</v>
      </c>
      <c r="AI64" s="192">
        <v>2</v>
      </c>
      <c r="AJ64" s="192">
        <v>4</v>
      </c>
      <c r="AK64" s="245">
        <v>0.33329999999999999</v>
      </c>
      <c r="AL64" s="245">
        <v>0.66659999999999997</v>
      </c>
      <c r="AM64" s="209">
        <v>0</v>
      </c>
      <c r="AN64" s="209">
        <v>0</v>
      </c>
      <c r="AO64" s="209">
        <v>0</v>
      </c>
      <c r="AP64" s="209">
        <v>13</v>
      </c>
      <c r="AQ64" s="209">
        <v>0</v>
      </c>
      <c r="AR64" s="209">
        <v>0</v>
      </c>
      <c r="AS64" s="209">
        <v>0</v>
      </c>
      <c r="AT64" s="209">
        <v>0</v>
      </c>
      <c r="AU64" s="209">
        <v>0</v>
      </c>
      <c r="AV64" s="209">
        <v>0</v>
      </c>
      <c r="AW64" s="209">
        <v>0</v>
      </c>
      <c r="AX64" s="209" t="s">
        <v>233</v>
      </c>
      <c r="AY64" s="209">
        <v>12</v>
      </c>
      <c r="AZ64" s="209" t="s">
        <v>233</v>
      </c>
      <c r="BA64" s="207"/>
      <c r="BB64" s="207"/>
      <c r="BC64" s="209"/>
      <c r="BD64" s="209" t="s">
        <v>179</v>
      </c>
      <c r="BE64" s="207"/>
      <c r="BF64" s="7" t="s">
        <v>114</v>
      </c>
      <c r="BG64" s="7" t="s">
        <v>181</v>
      </c>
    </row>
    <row r="65" spans="1:59" s="7" customFormat="1" x14ac:dyDescent="0.15">
      <c r="A65" s="204">
        <v>238</v>
      </c>
      <c r="B65" s="206">
        <v>41193</v>
      </c>
      <c r="C65" s="205" t="s">
        <v>278</v>
      </c>
      <c r="D65" s="204" t="s">
        <v>209</v>
      </c>
      <c r="E65" s="212" t="s">
        <v>151</v>
      </c>
      <c r="F65" s="207" t="s">
        <v>226</v>
      </c>
      <c r="G65" s="204" t="s">
        <v>197</v>
      </c>
      <c r="H65" s="204">
        <v>68</v>
      </c>
      <c r="I65" s="208" t="s">
        <v>402</v>
      </c>
      <c r="J65" s="210">
        <v>3200</v>
      </c>
      <c r="K65" s="210">
        <v>3200</v>
      </c>
      <c r="L65" s="210">
        <v>3200</v>
      </c>
      <c r="M65" s="210">
        <v>3200</v>
      </c>
      <c r="N65" s="204"/>
      <c r="O65" s="204">
        <v>1.8520000000000001</v>
      </c>
      <c r="P65" s="204">
        <v>0</v>
      </c>
      <c r="Q65" s="204">
        <v>0</v>
      </c>
      <c r="R65" s="204">
        <v>0</v>
      </c>
      <c r="S65" s="204">
        <v>1.5029999999999999</v>
      </c>
      <c r="T65" s="204"/>
      <c r="U65" s="204">
        <v>1.556</v>
      </c>
      <c r="V65" s="204">
        <v>0</v>
      </c>
      <c r="W65" s="204">
        <v>0</v>
      </c>
      <c r="X65" s="204">
        <v>0</v>
      </c>
      <c r="Y65" s="204">
        <v>1.2609999999999999</v>
      </c>
      <c r="Z65" s="204"/>
      <c r="AA65" s="204"/>
      <c r="AB65" s="204"/>
      <c r="AC65" s="204"/>
      <c r="AD65" s="204"/>
      <c r="AE65" s="204"/>
      <c r="AF65" s="204"/>
      <c r="AG65" s="209" t="s">
        <v>281</v>
      </c>
      <c r="AH65" s="209" t="s">
        <v>282</v>
      </c>
      <c r="AI65" s="209">
        <v>2</v>
      </c>
      <c r="AJ65" s="209">
        <v>4</v>
      </c>
      <c r="AK65" s="245">
        <v>0.33329999999999999</v>
      </c>
      <c r="AL65" s="245">
        <v>0.66659999999999997</v>
      </c>
      <c r="AM65" s="209">
        <v>0</v>
      </c>
      <c r="AN65" s="209">
        <v>0</v>
      </c>
      <c r="AO65" s="209">
        <v>10</v>
      </c>
      <c r="AP65" s="209">
        <v>0</v>
      </c>
      <c r="AQ65" s="209">
        <v>0</v>
      </c>
      <c r="AR65" s="209">
        <v>0</v>
      </c>
      <c r="AS65" s="209">
        <v>0</v>
      </c>
      <c r="AT65" s="209">
        <v>0</v>
      </c>
      <c r="AU65" s="209">
        <v>0</v>
      </c>
      <c r="AV65" s="209">
        <v>0</v>
      </c>
      <c r="AW65" s="209">
        <v>0</v>
      </c>
      <c r="AX65" s="209" t="s">
        <v>233</v>
      </c>
      <c r="AY65" s="207"/>
      <c r="AZ65" s="209" t="s">
        <v>233</v>
      </c>
      <c r="BA65" s="209"/>
      <c r="BB65" s="209"/>
      <c r="BC65" s="207"/>
      <c r="BD65" s="209" t="s">
        <v>183</v>
      </c>
      <c r="BF65" s="7" t="s">
        <v>332</v>
      </c>
      <c r="BG65" s="7" t="s">
        <v>181</v>
      </c>
    </row>
    <row r="66" spans="1:59" s="7" customFormat="1" x14ac:dyDescent="0.15">
      <c r="A66" s="204">
        <v>793</v>
      </c>
      <c r="B66" s="206">
        <v>41164</v>
      </c>
      <c r="C66" s="205" t="s">
        <v>278</v>
      </c>
      <c r="D66" s="204" t="s">
        <v>209</v>
      </c>
      <c r="E66" s="212">
        <v>42430</v>
      </c>
      <c r="F66" s="207" t="s">
        <v>227</v>
      </c>
      <c r="G66" s="204" t="s">
        <v>198</v>
      </c>
      <c r="H66" s="204">
        <v>56.85</v>
      </c>
      <c r="I66" s="208" t="s">
        <v>402</v>
      </c>
      <c r="J66" s="204">
        <v>6000</v>
      </c>
      <c r="K66" s="204">
        <v>12000</v>
      </c>
      <c r="L66" s="204">
        <v>12000</v>
      </c>
      <c r="M66" s="204">
        <v>12000</v>
      </c>
      <c r="N66" s="204"/>
      <c r="O66" s="204">
        <v>1.87</v>
      </c>
      <c r="P66" s="204">
        <v>1.84</v>
      </c>
      <c r="Q66" s="204">
        <v>0</v>
      </c>
      <c r="R66" s="204">
        <v>0</v>
      </c>
      <c r="S66" s="204">
        <v>1.46</v>
      </c>
      <c r="T66" s="204"/>
      <c r="U66" s="204">
        <v>1.5</v>
      </c>
      <c r="V66" s="204">
        <v>1.41</v>
      </c>
      <c r="W66" s="204">
        <v>0</v>
      </c>
      <c r="X66" s="204">
        <v>0</v>
      </c>
      <c r="Y66" s="204">
        <v>1.31</v>
      </c>
      <c r="Z66" s="204"/>
      <c r="AA66" s="204"/>
      <c r="AB66" s="204"/>
      <c r="AC66" s="204"/>
      <c r="AD66" s="204"/>
      <c r="AE66" s="204"/>
      <c r="AF66" s="204"/>
      <c r="AG66" s="209" t="s">
        <v>281</v>
      </c>
      <c r="AH66" s="209" t="s">
        <v>282</v>
      </c>
      <c r="AI66" s="192">
        <v>2</v>
      </c>
      <c r="AJ66" s="192">
        <v>4</v>
      </c>
      <c r="AK66" s="245">
        <v>0.33329999999999999</v>
      </c>
      <c r="AL66" s="245">
        <v>0.66659999999999997</v>
      </c>
      <c r="AM66" s="209">
        <v>0</v>
      </c>
      <c r="AN66" s="209">
        <v>15</v>
      </c>
      <c r="AO66" s="209">
        <v>0</v>
      </c>
      <c r="AP66" s="209">
        <v>5</v>
      </c>
      <c r="AQ66" s="209">
        <v>0</v>
      </c>
      <c r="AR66" s="209">
        <v>0</v>
      </c>
      <c r="AS66" s="209">
        <v>0</v>
      </c>
      <c r="AT66" s="209">
        <v>0</v>
      </c>
      <c r="AU66" s="209">
        <v>0</v>
      </c>
      <c r="AV66" s="209">
        <v>0</v>
      </c>
      <c r="AW66" s="209">
        <v>24</v>
      </c>
      <c r="AX66" s="209" t="s">
        <v>233</v>
      </c>
      <c r="AY66" s="209"/>
      <c r="AZ66" s="209" t="s">
        <v>233</v>
      </c>
      <c r="BA66" s="207"/>
      <c r="BB66" s="204"/>
      <c r="BC66" s="209"/>
      <c r="BD66" s="209" t="s">
        <v>183</v>
      </c>
      <c r="BE66" s="207"/>
      <c r="BF66" s="7" t="s">
        <v>137</v>
      </c>
      <c r="BG66" s="7" t="s">
        <v>189</v>
      </c>
    </row>
    <row r="67" spans="1:59" s="219" customFormat="1" x14ac:dyDescent="0.15">
      <c r="A67" s="213">
        <v>83</v>
      </c>
      <c r="B67" s="215">
        <v>41163</v>
      </c>
      <c r="C67" s="214" t="s">
        <v>278</v>
      </c>
      <c r="D67" s="213" t="s">
        <v>334</v>
      </c>
      <c r="E67" s="215">
        <v>42618</v>
      </c>
      <c r="F67" s="216" t="s">
        <v>280</v>
      </c>
      <c r="G67" s="213" t="s">
        <v>176</v>
      </c>
      <c r="H67" s="213">
        <v>74.150000000000006</v>
      </c>
      <c r="I67" s="217" t="s">
        <v>402</v>
      </c>
      <c r="J67" s="213">
        <v>6000</v>
      </c>
      <c r="K67" s="213">
        <v>12000</v>
      </c>
      <c r="L67" s="213">
        <v>12000</v>
      </c>
      <c r="M67" s="213">
        <v>12000</v>
      </c>
      <c r="N67" s="213"/>
      <c r="O67" s="213">
        <v>1.9950000000000001</v>
      </c>
      <c r="P67" s="213">
        <v>1.9</v>
      </c>
      <c r="Q67" s="213">
        <v>0</v>
      </c>
      <c r="R67" s="213">
        <v>0</v>
      </c>
      <c r="S67" s="213">
        <v>1.4490000000000001</v>
      </c>
      <c r="T67" s="213"/>
      <c r="U67" s="213">
        <v>1.716</v>
      </c>
      <c r="V67" s="213">
        <v>1.4950000000000001</v>
      </c>
      <c r="W67" s="213">
        <v>0</v>
      </c>
      <c r="X67" s="213">
        <v>0</v>
      </c>
      <c r="Y67" s="213">
        <v>1.37</v>
      </c>
      <c r="Z67" s="213"/>
      <c r="AA67" s="213"/>
      <c r="AB67" s="213"/>
      <c r="AC67" s="213"/>
      <c r="AD67" s="213"/>
      <c r="AE67" s="213"/>
      <c r="AF67" s="213"/>
      <c r="AG67" s="218" t="s">
        <v>281</v>
      </c>
      <c r="AH67" s="218" t="s">
        <v>282</v>
      </c>
      <c r="AI67" s="192">
        <v>2</v>
      </c>
      <c r="AJ67" s="192">
        <v>4</v>
      </c>
      <c r="AK67" s="246">
        <v>0.33329999999999999</v>
      </c>
      <c r="AL67" s="246">
        <v>0.66659999999999997</v>
      </c>
      <c r="AM67" s="218">
        <v>0</v>
      </c>
      <c r="AN67" s="218">
        <v>0</v>
      </c>
      <c r="AO67" s="218">
        <v>0</v>
      </c>
      <c r="AP67" s="218">
        <v>13</v>
      </c>
      <c r="AQ67" s="218">
        <v>0</v>
      </c>
      <c r="AR67" s="218">
        <v>0</v>
      </c>
      <c r="AS67" s="218">
        <v>0</v>
      </c>
      <c r="AT67" s="218">
        <v>0</v>
      </c>
      <c r="AU67" s="218">
        <v>0</v>
      </c>
      <c r="AV67" s="218">
        <v>2</v>
      </c>
      <c r="AW67" s="175">
        <v>0</v>
      </c>
      <c r="AX67" s="218" t="s">
        <v>233</v>
      </c>
      <c r="AY67" s="218">
        <v>12</v>
      </c>
      <c r="AZ67" s="218" t="s">
        <v>233</v>
      </c>
      <c r="BA67" s="216" t="s">
        <v>177</v>
      </c>
      <c r="BB67" s="213" t="s">
        <v>178</v>
      </c>
      <c r="BC67" s="218">
        <v>50</v>
      </c>
      <c r="BD67" s="218" t="s">
        <v>179</v>
      </c>
      <c r="BE67" s="216"/>
      <c r="BF67" s="219" t="s">
        <v>115</v>
      </c>
      <c r="BG67" s="219" t="s">
        <v>181</v>
      </c>
    </row>
    <row r="68" spans="1:59" s="219" customFormat="1" x14ac:dyDescent="0.15">
      <c r="A68" s="213">
        <v>266</v>
      </c>
      <c r="B68" s="215">
        <v>41163</v>
      </c>
      <c r="C68" s="214" t="s">
        <v>278</v>
      </c>
      <c r="D68" s="213" t="s">
        <v>334</v>
      </c>
      <c r="E68" s="215">
        <v>42023</v>
      </c>
      <c r="F68" s="216" t="s">
        <v>286</v>
      </c>
      <c r="G68" s="213" t="s">
        <v>182</v>
      </c>
      <c r="H68" s="213">
        <v>61.93</v>
      </c>
      <c r="I68" s="217" t="s">
        <v>402</v>
      </c>
      <c r="J68" s="220">
        <v>6000</v>
      </c>
      <c r="K68" s="220">
        <v>6000</v>
      </c>
      <c r="L68" s="220">
        <v>6000</v>
      </c>
      <c r="M68" s="220">
        <v>6000</v>
      </c>
      <c r="N68" s="213"/>
      <c r="O68" s="213">
        <v>2.12</v>
      </c>
      <c r="P68" s="213">
        <v>0</v>
      </c>
      <c r="Q68" s="213">
        <v>0</v>
      </c>
      <c r="R68" s="213">
        <v>0</v>
      </c>
      <c r="S68" s="213">
        <v>1.69</v>
      </c>
      <c r="T68" s="213"/>
      <c r="U68" s="213">
        <v>1.92</v>
      </c>
      <c r="V68" s="213">
        <v>0</v>
      </c>
      <c r="W68" s="213">
        <v>0</v>
      </c>
      <c r="X68" s="213">
        <v>0</v>
      </c>
      <c r="Y68" s="213">
        <v>1.55</v>
      </c>
      <c r="Z68" s="213"/>
      <c r="AA68" s="213"/>
      <c r="AB68" s="213"/>
      <c r="AC68" s="213"/>
      <c r="AD68" s="213"/>
      <c r="AE68" s="213"/>
      <c r="AF68" s="213"/>
      <c r="AG68" s="218" t="s">
        <v>281</v>
      </c>
      <c r="AH68" s="218" t="s">
        <v>282</v>
      </c>
      <c r="AI68" s="192">
        <v>2</v>
      </c>
      <c r="AJ68" s="192">
        <v>4</v>
      </c>
      <c r="AK68" s="246">
        <v>0.33329999999999999</v>
      </c>
      <c r="AL68" s="246">
        <v>0.66659999999999997</v>
      </c>
      <c r="AM68" s="218">
        <v>0</v>
      </c>
      <c r="AN68" s="218">
        <v>0</v>
      </c>
      <c r="AO68" s="218">
        <v>0</v>
      </c>
      <c r="AP68" s="218">
        <v>15</v>
      </c>
      <c r="AQ68" s="218">
        <v>0</v>
      </c>
      <c r="AR68" s="218">
        <v>0</v>
      </c>
      <c r="AS68" s="218">
        <v>0</v>
      </c>
      <c r="AT68" s="218">
        <v>0</v>
      </c>
      <c r="AU68" s="218">
        <v>0</v>
      </c>
      <c r="AV68" s="218">
        <v>0</v>
      </c>
      <c r="AW68" s="175">
        <v>0</v>
      </c>
      <c r="AX68" s="218" t="s">
        <v>233</v>
      </c>
      <c r="AY68" s="218"/>
      <c r="AZ68" s="218" t="s">
        <v>233</v>
      </c>
      <c r="BA68" s="216"/>
      <c r="BB68" s="213"/>
      <c r="BC68" s="218"/>
      <c r="BD68" s="218" t="s">
        <v>183</v>
      </c>
      <c r="BE68" s="216"/>
      <c r="BF68" s="219" t="s">
        <v>145</v>
      </c>
      <c r="BG68" s="219" t="s">
        <v>189</v>
      </c>
    </row>
    <row r="69" spans="1:59" s="219" customFormat="1" x14ac:dyDescent="0.15">
      <c r="A69" s="213">
        <v>280</v>
      </c>
      <c r="B69" s="215">
        <v>41163</v>
      </c>
      <c r="C69" s="214" t="s">
        <v>278</v>
      </c>
      <c r="D69" s="213" t="s">
        <v>334</v>
      </c>
      <c r="E69" s="215">
        <v>42370</v>
      </c>
      <c r="F69" s="216" t="s">
        <v>288</v>
      </c>
      <c r="G69" s="213" t="s">
        <v>185</v>
      </c>
      <c r="H69" s="213">
        <v>66.5</v>
      </c>
      <c r="I69" s="217" t="s">
        <v>402</v>
      </c>
      <c r="J69" s="213">
        <v>6000</v>
      </c>
      <c r="K69" s="213">
        <v>12000</v>
      </c>
      <c r="L69" s="213">
        <v>12000</v>
      </c>
      <c r="M69" s="213">
        <v>12000</v>
      </c>
      <c r="N69" s="213"/>
      <c r="O69" s="213">
        <v>2.2999999999999998</v>
      </c>
      <c r="P69" s="213">
        <v>2.25</v>
      </c>
      <c r="Q69" s="213">
        <v>0</v>
      </c>
      <c r="R69" s="213">
        <v>0</v>
      </c>
      <c r="S69" s="213">
        <v>1.35</v>
      </c>
      <c r="T69" s="213"/>
      <c r="U69" s="213">
        <v>1.64</v>
      </c>
      <c r="V69" s="213">
        <v>1.55</v>
      </c>
      <c r="W69" s="213">
        <v>0</v>
      </c>
      <c r="X69" s="213">
        <v>0</v>
      </c>
      <c r="Y69" s="213">
        <v>1.34</v>
      </c>
      <c r="Z69" s="213"/>
      <c r="AA69" s="213"/>
      <c r="AB69" s="213"/>
      <c r="AC69" s="213"/>
      <c r="AD69" s="213"/>
      <c r="AE69" s="213"/>
      <c r="AF69" s="213"/>
      <c r="AG69" s="218" t="s">
        <v>281</v>
      </c>
      <c r="AH69" s="218" t="s">
        <v>282</v>
      </c>
      <c r="AI69" s="192">
        <v>2</v>
      </c>
      <c r="AJ69" s="192">
        <v>4</v>
      </c>
      <c r="AK69" s="246">
        <v>0.33329999999999999</v>
      </c>
      <c r="AL69" s="246">
        <v>0.66659999999999997</v>
      </c>
      <c r="AM69" s="218">
        <v>0</v>
      </c>
      <c r="AN69" s="218">
        <v>0</v>
      </c>
      <c r="AO69" s="218">
        <v>14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 s="218">
        <v>0</v>
      </c>
      <c r="AV69" s="218">
        <v>0</v>
      </c>
      <c r="AW69" s="175">
        <v>0</v>
      </c>
      <c r="AX69" s="218" t="s">
        <v>233</v>
      </c>
      <c r="AY69" s="218"/>
      <c r="AZ69" s="218" t="s">
        <v>233</v>
      </c>
      <c r="BA69" s="216"/>
      <c r="BB69" s="213"/>
      <c r="BC69" s="218"/>
      <c r="BD69" s="218" t="s">
        <v>179</v>
      </c>
      <c r="BE69" s="216" t="s">
        <v>186</v>
      </c>
      <c r="BF69" s="219" t="s">
        <v>116</v>
      </c>
      <c r="BG69" s="219" t="s">
        <v>189</v>
      </c>
    </row>
    <row r="70" spans="1:59" s="219" customFormat="1" x14ac:dyDescent="0.15">
      <c r="A70" s="213">
        <v>332</v>
      </c>
      <c r="B70" s="215">
        <v>41163</v>
      </c>
      <c r="C70" s="214" t="s">
        <v>278</v>
      </c>
      <c r="D70" s="213" t="s">
        <v>334</v>
      </c>
      <c r="E70" s="215">
        <v>42370</v>
      </c>
      <c r="F70" s="216" t="s">
        <v>600</v>
      </c>
      <c r="G70" s="213" t="s">
        <v>187</v>
      </c>
      <c r="H70" s="213">
        <v>66</v>
      </c>
      <c r="I70" s="217" t="s">
        <v>402</v>
      </c>
      <c r="J70" s="213">
        <v>6000</v>
      </c>
      <c r="K70" s="213">
        <v>12000</v>
      </c>
      <c r="L70" s="213">
        <v>12000</v>
      </c>
      <c r="M70" s="213">
        <v>12000</v>
      </c>
      <c r="N70" s="213"/>
      <c r="O70" s="213">
        <v>2.27</v>
      </c>
      <c r="P70" s="213">
        <v>2.21</v>
      </c>
      <c r="Q70" s="213">
        <v>0</v>
      </c>
      <c r="R70" s="213">
        <v>0</v>
      </c>
      <c r="S70" s="213">
        <v>1.26</v>
      </c>
      <c r="T70" s="213"/>
      <c r="U70" s="213">
        <v>1.41</v>
      </c>
      <c r="V70" s="213">
        <v>1.32</v>
      </c>
      <c r="W70" s="213">
        <v>0</v>
      </c>
      <c r="X70" s="213">
        <v>0</v>
      </c>
      <c r="Y70" s="213">
        <v>1.1000000000000001</v>
      </c>
      <c r="Z70" s="213"/>
      <c r="AA70" s="213"/>
      <c r="AB70" s="213"/>
      <c r="AC70" s="213"/>
      <c r="AD70" s="213"/>
      <c r="AE70" s="213"/>
      <c r="AF70" s="213"/>
      <c r="AG70" s="218" t="s">
        <v>281</v>
      </c>
      <c r="AH70" s="218" t="s">
        <v>282</v>
      </c>
      <c r="AI70" s="218">
        <v>3</v>
      </c>
      <c r="AJ70" s="218">
        <v>3</v>
      </c>
      <c r="AK70" s="246">
        <v>0.5</v>
      </c>
      <c r="AL70" s="246">
        <v>0.5</v>
      </c>
      <c r="AM70" s="218">
        <v>0</v>
      </c>
      <c r="AN70" s="218">
        <v>0</v>
      </c>
      <c r="AO70" s="218">
        <v>0</v>
      </c>
      <c r="AP70" s="218">
        <v>12</v>
      </c>
      <c r="AQ70" s="218">
        <v>0</v>
      </c>
      <c r="AR70" s="218">
        <v>0</v>
      </c>
      <c r="AS70" s="218">
        <v>0</v>
      </c>
      <c r="AT70" s="218">
        <v>0</v>
      </c>
      <c r="AU70" s="218">
        <v>0</v>
      </c>
      <c r="AV70" s="218">
        <v>0</v>
      </c>
      <c r="AW70" s="175">
        <v>12</v>
      </c>
      <c r="AX70" s="218" t="s">
        <v>281</v>
      </c>
      <c r="AY70" s="218"/>
      <c r="AZ70" s="218" t="s">
        <v>233</v>
      </c>
      <c r="BA70" s="216"/>
      <c r="BB70" s="213"/>
      <c r="BC70" s="218"/>
      <c r="BD70" s="218" t="s">
        <v>183</v>
      </c>
      <c r="BE70" s="216"/>
      <c r="BF70" s="219" t="s">
        <v>168</v>
      </c>
      <c r="BG70" s="219" t="s">
        <v>189</v>
      </c>
    </row>
    <row r="71" spans="1:59" s="219" customFormat="1" x14ac:dyDescent="0.15">
      <c r="A71" s="213">
        <v>229</v>
      </c>
      <c r="B71" s="215">
        <v>41164</v>
      </c>
      <c r="C71" s="214" t="s">
        <v>278</v>
      </c>
      <c r="D71" s="213" t="s">
        <v>334</v>
      </c>
      <c r="E71" s="215">
        <v>42614</v>
      </c>
      <c r="F71" s="216" t="s">
        <v>290</v>
      </c>
      <c r="G71" s="213" t="s">
        <v>187</v>
      </c>
      <c r="H71" s="213">
        <v>54.99</v>
      </c>
      <c r="I71" s="217" t="s">
        <v>402</v>
      </c>
      <c r="J71" s="220">
        <v>3500</v>
      </c>
      <c r="K71" s="220">
        <v>3500</v>
      </c>
      <c r="L71" s="220">
        <v>3500</v>
      </c>
      <c r="M71" s="220">
        <v>3500</v>
      </c>
      <c r="N71" s="213"/>
      <c r="O71" s="213">
        <v>2.04</v>
      </c>
      <c r="P71" s="213">
        <v>0</v>
      </c>
      <c r="Q71" s="213">
        <v>0</v>
      </c>
      <c r="R71" s="213">
        <v>0</v>
      </c>
      <c r="S71" s="213">
        <v>1.79</v>
      </c>
      <c r="T71" s="213"/>
      <c r="U71" s="213">
        <v>1.74</v>
      </c>
      <c r="V71" s="213">
        <v>0</v>
      </c>
      <c r="W71" s="213">
        <v>0</v>
      </c>
      <c r="X71" s="213">
        <v>0</v>
      </c>
      <c r="Y71" s="213">
        <v>1.59</v>
      </c>
      <c r="Z71" s="213"/>
      <c r="AA71" s="213"/>
      <c r="AB71" s="213"/>
      <c r="AC71" s="213"/>
      <c r="AD71" s="213"/>
      <c r="AE71" s="213"/>
      <c r="AF71" s="213"/>
      <c r="AG71" s="218" t="s">
        <v>281</v>
      </c>
      <c r="AH71" s="218" t="s">
        <v>282</v>
      </c>
      <c r="AI71" s="192">
        <v>2</v>
      </c>
      <c r="AJ71" s="192">
        <v>4</v>
      </c>
      <c r="AK71" s="246">
        <v>0.33329999999999999</v>
      </c>
      <c r="AL71" s="246">
        <v>0.66659999999999997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20</v>
      </c>
      <c r="AS71" s="218">
        <v>0</v>
      </c>
      <c r="AT71" s="218">
        <v>0</v>
      </c>
      <c r="AU71" s="218">
        <v>0</v>
      </c>
      <c r="AV71" s="218">
        <v>0</v>
      </c>
      <c r="AW71" s="175">
        <v>0</v>
      </c>
      <c r="AX71" s="218" t="s">
        <v>233</v>
      </c>
      <c r="AY71" s="218"/>
      <c r="AZ71" s="218" t="s">
        <v>233</v>
      </c>
      <c r="BA71" s="216"/>
      <c r="BB71" s="213"/>
      <c r="BC71" s="218"/>
      <c r="BD71" s="218" t="s">
        <v>183</v>
      </c>
      <c r="BE71" s="216"/>
      <c r="BF71" s="219" t="s">
        <v>117</v>
      </c>
      <c r="BG71" s="219" t="s">
        <v>181</v>
      </c>
    </row>
    <row r="72" spans="1:59" s="219" customFormat="1" x14ac:dyDescent="0.15">
      <c r="A72" s="213">
        <v>164</v>
      </c>
      <c r="B72" s="215">
        <v>41163</v>
      </c>
      <c r="C72" s="214" t="s">
        <v>278</v>
      </c>
      <c r="D72" s="213" t="s">
        <v>334</v>
      </c>
      <c r="E72" s="215">
        <v>42579</v>
      </c>
      <c r="F72" s="216" t="s">
        <v>217</v>
      </c>
      <c r="G72" s="213" t="s">
        <v>190</v>
      </c>
      <c r="H72" s="213">
        <v>65</v>
      </c>
      <c r="I72" s="217" t="s">
        <v>402</v>
      </c>
      <c r="J72" s="213">
        <v>6000</v>
      </c>
      <c r="K72" s="213">
        <v>12000</v>
      </c>
      <c r="L72" s="213">
        <v>12000</v>
      </c>
      <c r="M72" s="213">
        <v>12000</v>
      </c>
      <c r="N72" s="213"/>
      <c r="O72" s="213">
        <v>2.42</v>
      </c>
      <c r="P72" s="213">
        <v>2.25</v>
      </c>
      <c r="Q72" s="213">
        <v>0</v>
      </c>
      <c r="R72" s="213">
        <v>0</v>
      </c>
      <c r="S72" s="213">
        <v>1.5</v>
      </c>
      <c r="T72" s="213"/>
      <c r="U72" s="213">
        <v>1.68</v>
      </c>
      <c r="V72" s="213">
        <v>1.54</v>
      </c>
      <c r="W72" s="213">
        <v>0</v>
      </c>
      <c r="X72" s="213">
        <v>0</v>
      </c>
      <c r="Y72" s="213">
        <v>1.48</v>
      </c>
      <c r="Z72" s="213"/>
      <c r="AA72" s="213"/>
      <c r="AB72" s="213"/>
      <c r="AC72" s="213"/>
      <c r="AD72" s="213"/>
      <c r="AE72" s="213"/>
      <c r="AF72" s="213"/>
      <c r="AG72" s="218" t="s">
        <v>281</v>
      </c>
      <c r="AH72" s="218" t="s">
        <v>282</v>
      </c>
      <c r="AI72" s="192">
        <v>2</v>
      </c>
      <c r="AJ72" s="192">
        <v>4</v>
      </c>
      <c r="AK72" s="246">
        <v>0.33329999999999999</v>
      </c>
      <c r="AL72" s="246">
        <v>0.66659999999999997</v>
      </c>
      <c r="AM72" s="218">
        <v>0</v>
      </c>
      <c r="AN72" s="218">
        <v>0</v>
      </c>
      <c r="AO72" s="218">
        <v>0</v>
      </c>
      <c r="AP72" s="218">
        <v>16</v>
      </c>
      <c r="AQ72" s="218">
        <v>0</v>
      </c>
      <c r="AR72" s="218">
        <v>0</v>
      </c>
      <c r="AS72" s="218">
        <v>0</v>
      </c>
      <c r="AT72" s="218">
        <v>2</v>
      </c>
      <c r="AU72" s="218">
        <v>0</v>
      </c>
      <c r="AV72" s="218">
        <v>0</v>
      </c>
      <c r="AW72" s="175">
        <v>0</v>
      </c>
      <c r="AX72" s="218" t="s">
        <v>233</v>
      </c>
      <c r="AY72" s="218">
        <v>12</v>
      </c>
      <c r="AZ72" s="218" t="s">
        <v>233</v>
      </c>
      <c r="BA72" s="216"/>
      <c r="BB72" s="216"/>
      <c r="BC72" s="221"/>
      <c r="BD72" s="218" t="s">
        <v>179</v>
      </c>
      <c r="BE72" s="216"/>
      <c r="BF72" s="362" t="s">
        <v>118</v>
      </c>
      <c r="BG72" s="219" t="s">
        <v>189</v>
      </c>
    </row>
    <row r="73" spans="1:59" s="219" customFormat="1" x14ac:dyDescent="0.15">
      <c r="A73" s="213">
        <v>178</v>
      </c>
      <c r="B73" s="215">
        <v>41163</v>
      </c>
      <c r="C73" s="214" t="s">
        <v>278</v>
      </c>
      <c r="D73" s="213" t="s">
        <v>334</v>
      </c>
      <c r="E73" s="215">
        <v>42374</v>
      </c>
      <c r="F73" s="216" t="s">
        <v>220</v>
      </c>
      <c r="G73" s="213" t="s">
        <v>193</v>
      </c>
      <c r="H73" s="213">
        <v>64.25</v>
      </c>
      <c r="I73" s="217" t="s">
        <v>402</v>
      </c>
      <c r="J73" s="213">
        <v>6000</v>
      </c>
      <c r="K73" s="213">
        <v>12000</v>
      </c>
      <c r="L73" s="213">
        <v>12000</v>
      </c>
      <c r="M73" s="213">
        <v>12000</v>
      </c>
      <c r="N73" s="213"/>
      <c r="O73" s="213">
        <v>2.2549999999999999</v>
      </c>
      <c r="P73" s="213">
        <v>2.2040000000000002</v>
      </c>
      <c r="Q73" s="213">
        <v>0</v>
      </c>
      <c r="R73" s="213">
        <v>0</v>
      </c>
      <c r="S73" s="213">
        <v>1.375</v>
      </c>
      <c r="T73" s="213"/>
      <c r="U73" s="213">
        <v>1.639</v>
      </c>
      <c r="V73" s="213">
        <v>1.5640000000000001</v>
      </c>
      <c r="W73" s="213">
        <v>0</v>
      </c>
      <c r="X73" s="213">
        <v>0</v>
      </c>
      <c r="Y73" s="213">
        <v>1.367</v>
      </c>
      <c r="Z73" s="213"/>
      <c r="AA73" s="213"/>
      <c r="AB73" s="213"/>
      <c r="AC73" s="213"/>
      <c r="AD73" s="213"/>
      <c r="AE73" s="213"/>
      <c r="AF73" s="213"/>
      <c r="AG73" s="218" t="s">
        <v>281</v>
      </c>
      <c r="AH73" s="218" t="s">
        <v>282</v>
      </c>
      <c r="AI73" s="192">
        <v>2</v>
      </c>
      <c r="AJ73" s="192">
        <v>4</v>
      </c>
      <c r="AK73" s="246">
        <v>0.33329999999999999</v>
      </c>
      <c r="AL73" s="246">
        <v>0.66659999999999997</v>
      </c>
      <c r="AM73" s="218">
        <v>0</v>
      </c>
      <c r="AN73" s="218">
        <v>0</v>
      </c>
      <c r="AO73" s="218">
        <v>15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 s="218">
        <v>0</v>
      </c>
      <c r="AV73" s="218">
        <v>0</v>
      </c>
      <c r="AW73" s="175">
        <v>24</v>
      </c>
      <c r="AX73" s="218" t="s">
        <v>233</v>
      </c>
      <c r="AY73" s="218"/>
      <c r="AZ73" s="218" t="s">
        <v>233</v>
      </c>
      <c r="BA73" s="216" t="s">
        <v>429</v>
      </c>
      <c r="BB73" s="213"/>
      <c r="BC73" s="218"/>
      <c r="BD73" s="218" t="s">
        <v>183</v>
      </c>
      <c r="BE73" s="216"/>
      <c r="BF73" s="219" t="s">
        <v>148</v>
      </c>
      <c r="BG73" s="219" t="s">
        <v>189</v>
      </c>
    </row>
    <row r="74" spans="1:59" s="219" customFormat="1" x14ac:dyDescent="0.15">
      <c r="A74" s="213">
        <v>319</v>
      </c>
      <c r="B74" s="215">
        <v>41163</v>
      </c>
      <c r="C74" s="214" t="s">
        <v>278</v>
      </c>
      <c r="D74" s="213" t="s">
        <v>334</v>
      </c>
      <c r="E74" s="215">
        <v>42583</v>
      </c>
      <c r="F74" s="213" t="s">
        <v>222</v>
      </c>
      <c r="G74" s="213" t="s">
        <v>187</v>
      </c>
      <c r="H74" s="213">
        <v>63.32</v>
      </c>
      <c r="I74" s="217" t="s">
        <v>402</v>
      </c>
      <c r="J74" s="213">
        <v>6000</v>
      </c>
      <c r="K74" s="213">
        <v>12000</v>
      </c>
      <c r="L74" s="213">
        <v>12000</v>
      </c>
      <c r="M74" s="213">
        <v>12000</v>
      </c>
      <c r="N74" s="213"/>
      <c r="O74" s="213">
        <v>1.744</v>
      </c>
      <c r="P74" s="213">
        <v>1.742</v>
      </c>
      <c r="Q74" s="213">
        <v>0</v>
      </c>
      <c r="R74" s="213">
        <v>0</v>
      </c>
      <c r="S74" s="213">
        <v>1.079</v>
      </c>
      <c r="T74" s="213"/>
      <c r="U74" s="213">
        <v>1.2090000000000001</v>
      </c>
      <c r="V74" s="213">
        <v>1.1879999999999999</v>
      </c>
      <c r="W74" s="213">
        <v>0</v>
      </c>
      <c r="X74" s="213">
        <v>0</v>
      </c>
      <c r="Y74" s="213">
        <v>1.03</v>
      </c>
      <c r="Z74" s="213"/>
      <c r="AA74" s="213"/>
      <c r="AB74" s="213"/>
      <c r="AC74" s="213"/>
      <c r="AD74" s="213"/>
      <c r="AE74" s="213"/>
      <c r="AF74" s="213"/>
      <c r="AG74" s="218" t="s">
        <v>281</v>
      </c>
      <c r="AH74" s="218" t="s">
        <v>282</v>
      </c>
      <c r="AI74" s="192">
        <v>2</v>
      </c>
      <c r="AJ74" s="192">
        <v>4</v>
      </c>
      <c r="AK74" s="246">
        <v>0.33329999999999999</v>
      </c>
      <c r="AL74" s="246">
        <v>0.66659999999999997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 s="218">
        <v>0</v>
      </c>
      <c r="AV74" s="218">
        <v>0</v>
      </c>
      <c r="AW74" s="175">
        <v>0</v>
      </c>
      <c r="AX74" s="218" t="s">
        <v>233</v>
      </c>
      <c r="AY74" s="218"/>
      <c r="AZ74" s="218" t="s">
        <v>233</v>
      </c>
      <c r="BA74" s="216" t="s">
        <v>195</v>
      </c>
      <c r="BB74" s="213" t="s">
        <v>178</v>
      </c>
      <c r="BC74" s="218">
        <v>50</v>
      </c>
      <c r="BD74" s="218" t="s">
        <v>183</v>
      </c>
      <c r="BE74" s="216"/>
      <c r="BF74" s="219" t="s">
        <v>213</v>
      </c>
      <c r="BG74" s="219" t="s">
        <v>189</v>
      </c>
    </row>
    <row r="75" spans="1:59" s="219" customFormat="1" x14ac:dyDescent="0.15">
      <c r="A75" s="213">
        <v>574</v>
      </c>
      <c r="B75" s="215">
        <v>41164</v>
      </c>
      <c r="C75" s="214" t="s">
        <v>278</v>
      </c>
      <c r="D75" s="213" t="s">
        <v>334</v>
      </c>
      <c r="E75" s="215">
        <v>42614</v>
      </c>
      <c r="F75" s="216" t="s">
        <v>224</v>
      </c>
      <c r="G75" s="213" t="s">
        <v>196</v>
      </c>
      <c r="H75" s="213">
        <v>61.74</v>
      </c>
      <c r="I75" s="217" t="s">
        <v>402</v>
      </c>
      <c r="J75" s="220">
        <v>3200</v>
      </c>
      <c r="K75" s="220">
        <v>3200</v>
      </c>
      <c r="L75" s="220">
        <v>3200</v>
      </c>
      <c r="M75" s="220">
        <v>3200</v>
      </c>
      <c r="N75" s="213"/>
      <c r="O75" s="213">
        <v>2.5499999999999998</v>
      </c>
      <c r="P75" s="213">
        <v>0</v>
      </c>
      <c r="Q75" s="213">
        <v>0</v>
      </c>
      <c r="R75" s="213">
        <v>0</v>
      </c>
      <c r="S75" s="213">
        <v>2.008</v>
      </c>
      <c r="T75" s="213"/>
      <c r="U75" s="213">
        <v>1.8140000000000001</v>
      </c>
      <c r="V75" s="213">
        <v>0</v>
      </c>
      <c r="W75" s="213">
        <v>0</v>
      </c>
      <c r="X75" s="213">
        <v>0</v>
      </c>
      <c r="Y75" s="213">
        <v>1.4370000000000001</v>
      </c>
      <c r="Z75" s="213"/>
      <c r="AA75" s="213"/>
      <c r="AB75" s="213"/>
      <c r="AC75" s="213"/>
      <c r="AD75" s="213"/>
      <c r="AE75" s="213"/>
      <c r="AF75" s="213"/>
      <c r="AG75" s="218" t="s">
        <v>281</v>
      </c>
      <c r="AH75" s="218" t="s">
        <v>282</v>
      </c>
      <c r="AI75" s="192">
        <v>2</v>
      </c>
      <c r="AJ75" s="192">
        <v>4</v>
      </c>
      <c r="AK75" s="246">
        <v>0.33329999999999999</v>
      </c>
      <c r="AL75" s="246">
        <v>0.66659999999999997</v>
      </c>
      <c r="AM75" s="218">
        <v>0</v>
      </c>
      <c r="AN75" s="218">
        <v>0</v>
      </c>
      <c r="AO75" s="218">
        <v>0</v>
      </c>
      <c r="AP75" s="218">
        <v>13</v>
      </c>
      <c r="AQ75" s="218">
        <v>0</v>
      </c>
      <c r="AR75" s="218">
        <v>0</v>
      </c>
      <c r="AS75" s="218">
        <v>0</v>
      </c>
      <c r="AT75" s="218">
        <v>0</v>
      </c>
      <c r="AU75" s="218">
        <v>0</v>
      </c>
      <c r="AV75" s="218">
        <v>0</v>
      </c>
      <c r="AW75" s="175">
        <v>0</v>
      </c>
      <c r="AX75" s="218" t="s">
        <v>233</v>
      </c>
      <c r="AY75" s="218">
        <v>12</v>
      </c>
      <c r="AZ75" s="218" t="s">
        <v>233</v>
      </c>
      <c r="BA75" s="216"/>
      <c r="BB75" s="216"/>
      <c r="BC75" s="218"/>
      <c r="BD75" s="218" t="s">
        <v>179</v>
      </c>
      <c r="BE75" s="216"/>
      <c r="BF75" s="219" t="s">
        <v>119</v>
      </c>
      <c r="BG75" s="219" t="s">
        <v>181</v>
      </c>
    </row>
    <row r="76" spans="1:59" s="219" customFormat="1" x14ac:dyDescent="0.15">
      <c r="A76" s="213">
        <v>240</v>
      </c>
      <c r="B76" s="215">
        <v>41193</v>
      </c>
      <c r="C76" s="214" t="s">
        <v>278</v>
      </c>
      <c r="D76" s="213" t="s">
        <v>334</v>
      </c>
      <c r="E76" s="222" t="s">
        <v>151</v>
      </c>
      <c r="F76" s="216" t="s">
        <v>226</v>
      </c>
      <c r="G76" s="213" t="s">
        <v>197</v>
      </c>
      <c r="H76" s="213">
        <v>68</v>
      </c>
      <c r="I76" s="217" t="s">
        <v>402</v>
      </c>
      <c r="J76" s="220">
        <v>3500</v>
      </c>
      <c r="K76" s="220">
        <v>3500</v>
      </c>
      <c r="L76" s="220">
        <v>3500</v>
      </c>
      <c r="M76" s="220">
        <v>3500</v>
      </c>
      <c r="N76" s="213"/>
      <c r="O76" s="213">
        <v>2.0539999999999998</v>
      </c>
      <c r="P76" s="213">
        <v>0</v>
      </c>
      <c r="Q76" s="213">
        <v>0</v>
      </c>
      <c r="R76" s="213">
        <v>0</v>
      </c>
      <c r="S76" s="213">
        <v>1.645</v>
      </c>
      <c r="T76" s="213"/>
      <c r="U76" s="213">
        <v>1.512</v>
      </c>
      <c r="V76" s="213">
        <v>0</v>
      </c>
      <c r="W76" s="213">
        <v>0</v>
      </c>
      <c r="X76" s="213">
        <v>0</v>
      </c>
      <c r="Y76" s="213">
        <v>1.361</v>
      </c>
      <c r="Z76" s="213"/>
      <c r="AA76" s="213"/>
      <c r="AB76" s="213"/>
      <c r="AC76" s="213"/>
      <c r="AD76" s="213"/>
      <c r="AE76" s="213"/>
      <c r="AF76" s="213"/>
      <c r="AG76" s="218" t="s">
        <v>281</v>
      </c>
      <c r="AH76" s="218" t="s">
        <v>282</v>
      </c>
      <c r="AI76" s="218">
        <v>2</v>
      </c>
      <c r="AJ76" s="218">
        <v>4</v>
      </c>
      <c r="AK76" s="246">
        <v>0.33329999999999999</v>
      </c>
      <c r="AL76" s="246">
        <v>0.66659999999999997</v>
      </c>
      <c r="AM76" s="218">
        <v>0</v>
      </c>
      <c r="AN76" s="218">
        <v>0</v>
      </c>
      <c r="AO76" s="218">
        <v>10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 s="218">
        <v>0</v>
      </c>
      <c r="AV76" s="218">
        <v>0</v>
      </c>
      <c r="AW76" s="175">
        <v>0</v>
      </c>
      <c r="AX76" s="218" t="s">
        <v>233</v>
      </c>
      <c r="AY76" s="216"/>
      <c r="AZ76" s="218" t="s">
        <v>233</v>
      </c>
      <c r="BA76" s="218"/>
      <c r="BB76" s="218"/>
      <c r="BC76" s="216"/>
      <c r="BD76" s="218" t="s">
        <v>183</v>
      </c>
      <c r="BF76" s="219" t="s">
        <v>294</v>
      </c>
      <c r="BG76" s="219" t="s">
        <v>181</v>
      </c>
    </row>
    <row r="77" spans="1:59" s="219" customFormat="1" x14ac:dyDescent="0.15">
      <c r="A77" s="213">
        <v>799</v>
      </c>
      <c r="B77" s="215">
        <v>41164</v>
      </c>
      <c r="C77" s="214" t="s">
        <v>295</v>
      </c>
      <c r="D77" s="213" t="s">
        <v>334</v>
      </c>
      <c r="E77" s="222">
        <v>42430</v>
      </c>
      <c r="F77" s="216" t="s">
        <v>984</v>
      </c>
      <c r="G77" s="213" t="s">
        <v>198</v>
      </c>
      <c r="H77" s="213">
        <v>56.85</v>
      </c>
      <c r="I77" s="217" t="s">
        <v>296</v>
      </c>
      <c r="J77" s="213">
        <v>6000</v>
      </c>
      <c r="K77" s="213">
        <v>12000</v>
      </c>
      <c r="L77" s="213">
        <v>12000</v>
      </c>
      <c r="M77" s="213">
        <v>12000</v>
      </c>
      <c r="N77" s="213"/>
      <c r="O77" s="213">
        <v>2.15</v>
      </c>
      <c r="P77" s="213">
        <v>2.11</v>
      </c>
      <c r="Q77" s="213">
        <v>0</v>
      </c>
      <c r="R77" s="213">
        <v>0</v>
      </c>
      <c r="S77" s="213">
        <v>1.43</v>
      </c>
      <c r="T77" s="213"/>
      <c r="U77" s="213">
        <v>1.64</v>
      </c>
      <c r="V77" s="213">
        <v>1.58</v>
      </c>
      <c r="W77" s="213">
        <v>0</v>
      </c>
      <c r="X77" s="213">
        <v>0</v>
      </c>
      <c r="Y77" s="213">
        <v>1.42</v>
      </c>
      <c r="Z77" s="213"/>
      <c r="AA77" s="213"/>
      <c r="AB77" s="213"/>
      <c r="AC77" s="213"/>
      <c r="AD77" s="213"/>
      <c r="AE77" s="213"/>
      <c r="AF77" s="213"/>
      <c r="AG77" s="218" t="s">
        <v>297</v>
      </c>
      <c r="AH77" s="218" t="s">
        <v>298</v>
      </c>
      <c r="AI77" s="192">
        <v>2</v>
      </c>
      <c r="AJ77" s="192">
        <v>4</v>
      </c>
      <c r="AK77" s="246">
        <v>0.33329999999999999</v>
      </c>
      <c r="AL77" s="246">
        <v>0.66659999999999997</v>
      </c>
      <c r="AM77" s="218">
        <v>0</v>
      </c>
      <c r="AN77" s="218">
        <v>15</v>
      </c>
      <c r="AO77" s="218">
        <v>0</v>
      </c>
      <c r="AP77" s="218">
        <v>5</v>
      </c>
      <c r="AQ77" s="218">
        <v>0</v>
      </c>
      <c r="AR77" s="218">
        <v>0</v>
      </c>
      <c r="AS77" s="218">
        <v>0</v>
      </c>
      <c r="AT77" s="218">
        <v>0</v>
      </c>
      <c r="AU77" s="218">
        <v>0</v>
      </c>
      <c r="AV77" s="218">
        <v>0</v>
      </c>
      <c r="AW77" s="175">
        <v>24</v>
      </c>
      <c r="AX77" s="218" t="s">
        <v>233</v>
      </c>
      <c r="AY77" s="218"/>
      <c r="AZ77" s="218" t="s">
        <v>233</v>
      </c>
      <c r="BA77" s="216"/>
      <c r="BB77" s="213"/>
      <c r="BC77" s="218"/>
      <c r="BD77" s="218" t="s">
        <v>183</v>
      </c>
      <c r="BE77" s="216"/>
      <c r="BF77" s="219" t="s">
        <v>140</v>
      </c>
      <c r="BG77" s="219" t="s">
        <v>189</v>
      </c>
    </row>
    <row r="78" spans="1:59" s="31" customFormat="1" x14ac:dyDescent="0.15">
      <c r="A78" s="223">
        <v>82</v>
      </c>
      <c r="B78" s="225">
        <v>41163</v>
      </c>
      <c r="C78" s="224" t="s">
        <v>278</v>
      </c>
      <c r="D78" s="223" t="s">
        <v>172</v>
      </c>
      <c r="E78" s="225">
        <v>42618</v>
      </c>
      <c r="F78" s="226" t="s">
        <v>280</v>
      </c>
      <c r="G78" s="223" t="s">
        <v>176</v>
      </c>
      <c r="H78" s="223">
        <v>72.45</v>
      </c>
      <c r="I78" s="227" t="s">
        <v>402</v>
      </c>
      <c r="J78" s="223">
        <v>6000</v>
      </c>
      <c r="K78" s="223">
        <v>12000</v>
      </c>
      <c r="L78" s="223">
        <v>12000</v>
      </c>
      <c r="M78" s="223">
        <v>12000</v>
      </c>
      <c r="N78" s="223"/>
      <c r="O78" s="223">
        <v>2.0089999999999999</v>
      </c>
      <c r="P78" s="223">
        <v>1.9</v>
      </c>
      <c r="Q78" s="223">
        <v>0</v>
      </c>
      <c r="R78" s="223">
        <v>0</v>
      </c>
      <c r="S78" s="223">
        <v>1.2629999999999999</v>
      </c>
      <c r="T78" s="223"/>
      <c r="U78" s="223">
        <v>1.837</v>
      </c>
      <c r="V78" s="223">
        <v>1.4</v>
      </c>
      <c r="W78" s="223">
        <v>0</v>
      </c>
      <c r="X78" s="223">
        <v>0</v>
      </c>
      <c r="Y78" s="223">
        <v>1.254</v>
      </c>
      <c r="Z78" s="223"/>
      <c r="AA78" s="223"/>
      <c r="AB78" s="223"/>
      <c r="AC78" s="223"/>
      <c r="AD78" s="223"/>
      <c r="AE78" s="223"/>
      <c r="AF78" s="223"/>
      <c r="AG78" s="228" t="s">
        <v>281</v>
      </c>
      <c r="AH78" s="228" t="s">
        <v>282</v>
      </c>
      <c r="AI78" s="192">
        <v>2</v>
      </c>
      <c r="AJ78" s="192">
        <v>4</v>
      </c>
      <c r="AK78" s="247">
        <v>0.33329999999999999</v>
      </c>
      <c r="AL78" s="247">
        <v>0.66659999999999997</v>
      </c>
      <c r="AM78" s="228">
        <v>0</v>
      </c>
      <c r="AN78" s="228">
        <v>0</v>
      </c>
      <c r="AO78" s="228">
        <v>0</v>
      </c>
      <c r="AP78" s="228">
        <v>13</v>
      </c>
      <c r="AQ78" s="228">
        <v>0</v>
      </c>
      <c r="AR78" s="228">
        <v>0</v>
      </c>
      <c r="AS78" s="228">
        <v>0</v>
      </c>
      <c r="AT78" s="228">
        <v>0</v>
      </c>
      <c r="AU78" s="228">
        <v>0</v>
      </c>
      <c r="AV78" s="228">
        <v>2</v>
      </c>
      <c r="AW78" s="175">
        <v>0</v>
      </c>
      <c r="AX78" s="228" t="s">
        <v>233</v>
      </c>
      <c r="AY78" s="228">
        <v>12</v>
      </c>
      <c r="AZ78" s="228" t="s">
        <v>233</v>
      </c>
      <c r="BA78" s="226" t="s">
        <v>177</v>
      </c>
      <c r="BB78" s="223" t="s">
        <v>178</v>
      </c>
      <c r="BC78" s="228">
        <v>50</v>
      </c>
      <c r="BD78" s="228" t="s">
        <v>179</v>
      </c>
      <c r="BE78" s="226"/>
      <c r="BF78" s="31" t="s">
        <v>120</v>
      </c>
      <c r="BG78" s="31" t="s">
        <v>181</v>
      </c>
    </row>
    <row r="79" spans="1:59" s="31" customFormat="1" x14ac:dyDescent="0.15">
      <c r="A79" s="223">
        <v>265</v>
      </c>
      <c r="B79" s="225">
        <v>41163</v>
      </c>
      <c r="C79" s="224" t="s">
        <v>278</v>
      </c>
      <c r="D79" s="223" t="s">
        <v>172</v>
      </c>
      <c r="E79" s="225">
        <v>42023</v>
      </c>
      <c r="F79" s="226" t="s">
        <v>286</v>
      </c>
      <c r="G79" s="223" t="s">
        <v>182</v>
      </c>
      <c r="H79" s="223">
        <v>62.61</v>
      </c>
      <c r="I79" s="227" t="s">
        <v>402</v>
      </c>
      <c r="J79" s="229">
        <v>6000</v>
      </c>
      <c r="K79" s="229">
        <v>6000</v>
      </c>
      <c r="L79" s="229">
        <v>6000</v>
      </c>
      <c r="M79" s="229">
        <v>6000</v>
      </c>
      <c r="N79" s="223"/>
      <c r="O79" s="223">
        <v>2.12</v>
      </c>
      <c r="P79" s="223">
        <v>0</v>
      </c>
      <c r="Q79" s="223">
        <v>0</v>
      </c>
      <c r="R79" s="223">
        <v>0</v>
      </c>
      <c r="S79" s="223">
        <v>1.66</v>
      </c>
      <c r="T79" s="223"/>
      <c r="U79" s="223">
        <v>2.02</v>
      </c>
      <c r="V79" s="223">
        <v>0</v>
      </c>
      <c r="W79" s="223">
        <v>0</v>
      </c>
      <c r="X79" s="223">
        <v>0</v>
      </c>
      <c r="Y79" s="223">
        <v>1.55</v>
      </c>
      <c r="Z79" s="223"/>
      <c r="AA79" s="223"/>
      <c r="AB79" s="223"/>
      <c r="AC79" s="223"/>
      <c r="AD79" s="223"/>
      <c r="AE79" s="223"/>
      <c r="AF79" s="223"/>
      <c r="AG79" s="228" t="s">
        <v>281</v>
      </c>
      <c r="AH79" s="228" t="s">
        <v>282</v>
      </c>
      <c r="AI79" s="192">
        <v>2</v>
      </c>
      <c r="AJ79" s="192">
        <v>4</v>
      </c>
      <c r="AK79" s="247">
        <v>0.33329999999999999</v>
      </c>
      <c r="AL79" s="247">
        <v>0.66659999999999997</v>
      </c>
      <c r="AM79" s="228">
        <v>0</v>
      </c>
      <c r="AN79" s="228">
        <v>0</v>
      </c>
      <c r="AO79" s="228">
        <v>0</v>
      </c>
      <c r="AP79" s="228">
        <v>15</v>
      </c>
      <c r="AQ79" s="228">
        <v>0</v>
      </c>
      <c r="AR79" s="228">
        <v>0</v>
      </c>
      <c r="AS79" s="228">
        <v>0</v>
      </c>
      <c r="AT79" s="228">
        <v>0</v>
      </c>
      <c r="AU79" s="228">
        <v>0</v>
      </c>
      <c r="AV79" s="228">
        <v>0</v>
      </c>
      <c r="AW79" s="175">
        <v>0</v>
      </c>
      <c r="AX79" s="228" t="s">
        <v>233</v>
      </c>
      <c r="AY79" s="228"/>
      <c r="AZ79" s="228" t="s">
        <v>233</v>
      </c>
      <c r="BA79" s="226"/>
      <c r="BB79" s="223"/>
      <c r="BC79" s="228"/>
      <c r="BD79" s="228" t="s">
        <v>183</v>
      </c>
      <c r="BE79" s="226"/>
      <c r="BF79" s="31" t="s">
        <v>145</v>
      </c>
      <c r="BG79" s="31" t="s">
        <v>189</v>
      </c>
    </row>
    <row r="80" spans="1:59" s="31" customFormat="1" x14ac:dyDescent="0.15">
      <c r="A80" s="223">
        <v>279</v>
      </c>
      <c r="B80" s="225">
        <v>41163</v>
      </c>
      <c r="C80" s="224" t="s">
        <v>278</v>
      </c>
      <c r="D80" s="223" t="s">
        <v>172</v>
      </c>
      <c r="E80" s="225">
        <v>42370</v>
      </c>
      <c r="F80" s="226" t="s">
        <v>288</v>
      </c>
      <c r="G80" s="223" t="s">
        <v>185</v>
      </c>
      <c r="H80" s="223">
        <v>66.5</v>
      </c>
      <c r="I80" s="227" t="s">
        <v>402</v>
      </c>
      <c r="J80" s="223">
        <v>6000</v>
      </c>
      <c r="K80" s="223">
        <v>12000</v>
      </c>
      <c r="L80" s="223">
        <v>12000</v>
      </c>
      <c r="M80" s="223">
        <v>12000</v>
      </c>
      <c r="N80" s="223"/>
      <c r="O80" s="223">
        <v>2.2999999999999998</v>
      </c>
      <c r="P80" s="223">
        <v>2.25</v>
      </c>
      <c r="Q80" s="223">
        <v>0</v>
      </c>
      <c r="R80" s="223">
        <v>0</v>
      </c>
      <c r="S80" s="223">
        <v>1.35</v>
      </c>
      <c r="T80" s="223"/>
      <c r="U80" s="223">
        <v>1.64</v>
      </c>
      <c r="V80" s="223">
        <v>1.55</v>
      </c>
      <c r="W80" s="223">
        <v>0</v>
      </c>
      <c r="X80" s="223">
        <v>0</v>
      </c>
      <c r="Y80" s="223">
        <v>1.34</v>
      </c>
      <c r="Z80" s="223"/>
      <c r="AA80" s="223"/>
      <c r="AB80" s="223"/>
      <c r="AC80" s="223"/>
      <c r="AD80" s="223"/>
      <c r="AE80" s="223"/>
      <c r="AF80" s="223"/>
      <c r="AG80" s="228" t="s">
        <v>281</v>
      </c>
      <c r="AH80" s="228" t="s">
        <v>282</v>
      </c>
      <c r="AI80" s="192">
        <v>2</v>
      </c>
      <c r="AJ80" s="192">
        <v>4</v>
      </c>
      <c r="AK80" s="247">
        <v>0.33329999999999999</v>
      </c>
      <c r="AL80" s="247">
        <v>0.66659999999999997</v>
      </c>
      <c r="AM80" s="228">
        <v>0</v>
      </c>
      <c r="AN80" s="228">
        <v>0</v>
      </c>
      <c r="AO80" s="228">
        <v>14</v>
      </c>
      <c r="AP80" s="228">
        <v>0</v>
      </c>
      <c r="AQ80" s="228">
        <v>0</v>
      </c>
      <c r="AR80" s="228">
        <v>0</v>
      </c>
      <c r="AS80" s="228">
        <v>0</v>
      </c>
      <c r="AT80" s="228">
        <v>0</v>
      </c>
      <c r="AU80" s="228">
        <v>0</v>
      </c>
      <c r="AV80" s="228">
        <v>0</v>
      </c>
      <c r="AW80" s="175">
        <v>0</v>
      </c>
      <c r="AX80" s="228" t="s">
        <v>233</v>
      </c>
      <c r="AY80" s="228"/>
      <c r="AZ80" s="228" t="s">
        <v>233</v>
      </c>
      <c r="BA80" s="226"/>
      <c r="BB80" s="223"/>
      <c r="BC80" s="228"/>
      <c r="BD80" s="228" t="s">
        <v>179</v>
      </c>
      <c r="BE80" s="226" t="s">
        <v>186</v>
      </c>
      <c r="BF80" s="31" t="s">
        <v>58</v>
      </c>
      <c r="BG80" s="31" t="s">
        <v>189</v>
      </c>
    </row>
    <row r="81" spans="1:59" s="31" customFormat="1" x14ac:dyDescent="0.15">
      <c r="A81" s="223">
        <v>331</v>
      </c>
      <c r="B81" s="225">
        <v>41163</v>
      </c>
      <c r="C81" s="224" t="s">
        <v>278</v>
      </c>
      <c r="D81" s="223" t="s">
        <v>172</v>
      </c>
      <c r="E81" s="225">
        <v>42370</v>
      </c>
      <c r="F81" s="226" t="s">
        <v>600</v>
      </c>
      <c r="G81" s="223" t="s">
        <v>187</v>
      </c>
      <c r="H81" s="223">
        <v>66</v>
      </c>
      <c r="I81" s="227" t="s">
        <v>402</v>
      </c>
      <c r="J81" s="223">
        <v>6000</v>
      </c>
      <c r="K81" s="223">
        <v>12000</v>
      </c>
      <c r="L81" s="223">
        <v>12000</v>
      </c>
      <c r="M81" s="223">
        <v>12000</v>
      </c>
      <c r="N81" s="223"/>
      <c r="O81" s="223">
        <v>2.27</v>
      </c>
      <c r="P81" s="223">
        <v>2.21</v>
      </c>
      <c r="Q81" s="223">
        <v>0</v>
      </c>
      <c r="R81" s="223">
        <v>0</v>
      </c>
      <c r="S81" s="223">
        <v>1.26</v>
      </c>
      <c r="T81" s="223"/>
      <c r="U81" s="223">
        <v>1.41</v>
      </c>
      <c r="V81" s="223">
        <v>1.32</v>
      </c>
      <c r="W81" s="223">
        <v>0</v>
      </c>
      <c r="X81" s="223">
        <v>0</v>
      </c>
      <c r="Y81" s="223">
        <v>1.1000000000000001</v>
      </c>
      <c r="Z81" s="223"/>
      <c r="AA81" s="223"/>
      <c r="AB81" s="223"/>
      <c r="AC81" s="223"/>
      <c r="AD81" s="223"/>
      <c r="AE81" s="223"/>
      <c r="AF81" s="223"/>
      <c r="AG81" s="228" t="s">
        <v>281</v>
      </c>
      <c r="AH81" s="228" t="s">
        <v>282</v>
      </c>
      <c r="AI81" s="228">
        <v>3</v>
      </c>
      <c r="AJ81" s="228">
        <v>3</v>
      </c>
      <c r="AK81" s="247">
        <v>0.5</v>
      </c>
      <c r="AL81" s="247">
        <v>0.5</v>
      </c>
      <c r="AM81" s="228">
        <v>0</v>
      </c>
      <c r="AN81" s="228">
        <v>0</v>
      </c>
      <c r="AO81" s="228">
        <v>0</v>
      </c>
      <c r="AP81" s="228">
        <v>12</v>
      </c>
      <c r="AQ81" s="228">
        <v>0</v>
      </c>
      <c r="AR81" s="228">
        <v>0</v>
      </c>
      <c r="AS81" s="228">
        <v>0</v>
      </c>
      <c r="AT81" s="228">
        <v>0</v>
      </c>
      <c r="AU81" s="228">
        <v>0</v>
      </c>
      <c r="AV81" s="228">
        <v>0</v>
      </c>
      <c r="AW81" s="175">
        <v>12</v>
      </c>
      <c r="AX81" s="228" t="s">
        <v>281</v>
      </c>
      <c r="AY81" s="228"/>
      <c r="AZ81" s="228" t="s">
        <v>233</v>
      </c>
      <c r="BA81" s="226"/>
      <c r="BB81" s="223"/>
      <c r="BC81" s="228"/>
      <c r="BD81" s="228" t="s">
        <v>183</v>
      </c>
      <c r="BE81" s="226"/>
      <c r="BF81" s="31" t="s">
        <v>168</v>
      </c>
      <c r="BG81" s="31" t="s">
        <v>189</v>
      </c>
    </row>
    <row r="82" spans="1:59" s="31" customFormat="1" x14ac:dyDescent="0.15">
      <c r="A82" s="223">
        <v>228</v>
      </c>
      <c r="B82" s="225">
        <v>41164</v>
      </c>
      <c r="C82" s="224" t="s">
        <v>278</v>
      </c>
      <c r="D82" s="223" t="s">
        <v>172</v>
      </c>
      <c r="E82" s="225">
        <v>42614</v>
      </c>
      <c r="F82" s="226" t="s">
        <v>290</v>
      </c>
      <c r="G82" s="223" t="s">
        <v>187</v>
      </c>
      <c r="H82" s="223">
        <v>54.99</v>
      </c>
      <c r="I82" s="227" t="s">
        <v>402</v>
      </c>
      <c r="J82" s="229">
        <v>3200</v>
      </c>
      <c r="K82" s="229">
        <v>3200</v>
      </c>
      <c r="L82" s="229">
        <v>3200</v>
      </c>
      <c r="M82" s="229">
        <v>3200</v>
      </c>
      <c r="N82" s="223"/>
      <c r="O82" s="223">
        <v>2.09</v>
      </c>
      <c r="P82" s="223">
        <v>0</v>
      </c>
      <c r="Q82" s="223">
        <v>0</v>
      </c>
      <c r="R82" s="223">
        <v>0</v>
      </c>
      <c r="S82" s="223">
        <v>1.54</v>
      </c>
      <c r="T82" s="223"/>
      <c r="U82" s="223">
        <v>1.79</v>
      </c>
      <c r="V82" s="223">
        <v>0</v>
      </c>
      <c r="W82" s="223">
        <v>0</v>
      </c>
      <c r="X82" s="223">
        <v>0</v>
      </c>
      <c r="Y82" s="223">
        <v>1.59</v>
      </c>
      <c r="Z82" s="223"/>
      <c r="AA82" s="223"/>
      <c r="AB82" s="223"/>
      <c r="AC82" s="223"/>
      <c r="AD82" s="223"/>
      <c r="AE82" s="223"/>
      <c r="AF82" s="223"/>
      <c r="AG82" s="228" t="s">
        <v>281</v>
      </c>
      <c r="AH82" s="228" t="s">
        <v>282</v>
      </c>
      <c r="AI82" s="192">
        <v>2</v>
      </c>
      <c r="AJ82" s="192">
        <v>4</v>
      </c>
      <c r="AK82" s="247">
        <v>0.33329999999999999</v>
      </c>
      <c r="AL82" s="247">
        <v>0.66659999999999997</v>
      </c>
      <c r="AM82" s="228">
        <v>0</v>
      </c>
      <c r="AN82" s="228">
        <v>0</v>
      </c>
      <c r="AO82" s="228">
        <v>0</v>
      </c>
      <c r="AP82" s="228">
        <v>0</v>
      </c>
      <c r="AQ82" s="228">
        <v>0</v>
      </c>
      <c r="AR82" s="228">
        <v>20</v>
      </c>
      <c r="AS82" s="228">
        <v>0</v>
      </c>
      <c r="AT82" s="228">
        <v>0</v>
      </c>
      <c r="AU82" s="228">
        <v>0</v>
      </c>
      <c r="AV82" s="228">
        <v>0</v>
      </c>
      <c r="AW82" s="175">
        <v>0</v>
      </c>
      <c r="AX82" s="228" t="s">
        <v>233</v>
      </c>
      <c r="AY82" s="228"/>
      <c r="AZ82" s="228" t="s">
        <v>233</v>
      </c>
      <c r="BA82" s="226"/>
      <c r="BB82" s="223"/>
      <c r="BC82" s="228"/>
      <c r="BD82" s="228" t="s">
        <v>183</v>
      </c>
      <c r="BE82" s="226"/>
      <c r="BF82" s="31" t="s">
        <v>117</v>
      </c>
      <c r="BG82" s="31" t="s">
        <v>181</v>
      </c>
    </row>
    <row r="83" spans="1:59" s="31" customFormat="1" x14ac:dyDescent="0.15">
      <c r="A83" s="223">
        <v>163</v>
      </c>
      <c r="B83" s="225">
        <v>41163</v>
      </c>
      <c r="C83" s="224" t="s">
        <v>278</v>
      </c>
      <c r="D83" s="223" t="s">
        <v>172</v>
      </c>
      <c r="E83" s="225">
        <v>42579</v>
      </c>
      <c r="F83" s="226" t="s">
        <v>217</v>
      </c>
      <c r="G83" s="223" t="s">
        <v>190</v>
      </c>
      <c r="H83" s="223">
        <v>70.5</v>
      </c>
      <c r="I83" s="227" t="s">
        <v>402</v>
      </c>
      <c r="J83" s="223">
        <v>6000</v>
      </c>
      <c r="K83" s="223">
        <v>12000</v>
      </c>
      <c r="L83" s="223">
        <v>12000</v>
      </c>
      <c r="M83" s="223">
        <v>12000</v>
      </c>
      <c r="N83" s="223"/>
      <c r="O83" s="223">
        <v>2.4300000000000002</v>
      </c>
      <c r="P83" s="223">
        <v>2.2000000000000002</v>
      </c>
      <c r="Q83" s="223">
        <v>0</v>
      </c>
      <c r="R83" s="223">
        <v>0</v>
      </c>
      <c r="S83" s="223">
        <v>1.27</v>
      </c>
      <c r="T83" s="223"/>
      <c r="U83" s="223">
        <v>1.72</v>
      </c>
      <c r="V83" s="223">
        <v>1.48</v>
      </c>
      <c r="W83" s="223">
        <v>0</v>
      </c>
      <c r="X83" s="223">
        <v>0</v>
      </c>
      <c r="Y83" s="223">
        <v>1.26</v>
      </c>
      <c r="Z83" s="223"/>
      <c r="AA83" s="223"/>
      <c r="AB83" s="223"/>
      <c r="AC83" s="223"/>
      <c r="AD83" s="223"/>
      <c r="AE83" s="223"/>
      <c r="AF83" s="223"/>
      <c r="AG83" s="228" t="s">
        <v>281</v>
      </c>
      <c r="AH83" s="228" t="s">
        <v>282</v>
      </c>
      <c r="AI83" s="192">
        <v>2</v>
      </c>
      <c r="AJ83" s="192">
        <v>4</v>
      </c>
      <c r="AK83" s="247">
        <v>0.33329999999999999</v>
      </c>
      <c r="AL83" s="247">
        <v>0.66659999999999997</v>
      </c>
      <c r="AM83" s="228">
        <v>0</v>
      </c>
      <c r="AN83" s="228">
        <v>0</v>
      </c>
      <c r="AO83" s="228">
        <v>0</v>
      </c>
      <c r="AP83" s="228">
        <v>16</v>
      </c>
      <c r="AQ83" s="228">
        <v>0</v>
      </c>
      <c r="AR83" s="228">
        <v>0</v>
      </c>
      <c r="AS83" s="228">
        <v>0</v>
      </c>
      <c r="AT83" s="228">
        <v>2</v>
      </c>
      <c r="AU83" s="228">
        <v>0</v>
      </c>
      <c r="AV83" s="228">
        <v>0</v>
      </c>
      <c r="AW83" s="175">
        <v>0</v>
      </c>
      <c r="AX83" s="228" t="s">
        <v>233</v>
      </c>
      <c r="AY83" s="228">
        <v>12</v>
      </c>
      <c r="AZ83" s="228" t="s">
        <v>233</v>
      </c>
      <c r="BA83" s="226"/>
      <c r="BB83" s="226"/>
      <c r="BC83" s="230"/>
      <c r="BD83" s="228" t="s">
        <v>179</v>
      </c>
      <c r="BE83" s="226"/>
      <c r="BF83" s="363" t="s">
        <v>59</v>
      </c>
      <c r="BG83" s="31" t="s">
        <v>189</v>
      </c>
    </row>
    <row r="84" spans="1:59" s="31" customFormat="1" x14ac:dyDescent="0.15">
      <c r="A84" s="223">
        <v>177</v>
      </c>
      <c r="B84" s="225">
        <v>41163</v>
      </c>
      <c r="C84" s="224" t="s">
        <v>278</v>
      </c>
      <c r="D84" s="223" t="s">
        <v>172</v>
      </c>
      <c r="E84" s="225">
        <v>42374</v>
      </c>
      <c r="F84" s="226" t="s">
        <v>220</v>
      </c>
      <c r="G84" s="223" t="s">
        <v>193</v>
      </c>
      <c r="H84" s="223">
        <v>64.25</v>
      </c>
      <c r="I84" s="227" t="s">
        <v>402</v>
      </c>
      <c r="J84" s="223">
        <v>6000</v>
      </c>
      <c r="K84" s="223">
        <v>12000</v>
      </c>
      <c r="L84" s="223">
        <v>12000</v>
      </c>
      <c r="M84" s="223">
        <v>12000</v>
      </c>
      <c r="N84" s="223"/>
      <c r="O84" s="223">
        <v>2.274</v>
      </c>
      <c r="P84" s="223">
        <v>2.2240000000000002</v>
      </c>
      <c r="Q84" s="223">
        <v>0</v>
      </c>
      <c r="R84" s="223">
        <v>0</v>
      </c>
      <c r="S84" s="223">
        <v>1.395</v>
      </c>
      <c r="T84" s="223"/>
      <c r="U84" s="223">
        <v>1.6579999999999999</v>
      </c>
      <c r="V84" s="223">
        <v>1.583</v>
      </c>
      <c r="W84" s="223">
        <v>0</v>
      </c>
      <c r="X84" s="223">
        <v>0</v>
      </c>
      <c r="Y84" s="223">
        <v>1.3859999999999999</v>
      </c>
      <c r="Z84" s="223"/>
      <c r="AA84" s="223"/>
      <c r="AB84" s="223"/>
      <c r="AC84" s="223"/>
      <c r="AD84" s="223"/>
      <c r="AE84" s="223"/>
      <c r="AF84" s="223"/>
      <c r="AG84" s="228" t="s">
        <v>281</v>
      </c>
      <c r="AH84" s="228" t="s">
        <v>282</v>
      </c>
      <c r="AI84" s="192">
        <v>2</v>
      </c>
      <c r="AJ84" s="192">
        <v>4</v>
      </c>
      <c r="AK84" s="247">
        <v>0.33329999999999999</v>
      </c>
      <c r="AL84" s="247">
        <v>0.66659999999999997</v>
      </c>
      <c r="AM84" s="228">
        <v>0</v>
      </c>
      <c r="AN84" s="228">
        <v>0</v>
      </c>
      <c r="AO84" s="228">
        <v>15</v>
      </c>
      <c r="AP84" s="228">
        <v>0</v>
      </c>
      <c r="AQ84" s="228">
        <v>0</v>
      </c>
      <c r="AR84" s="228">
        <v>0</v>
      </c>
      <c r="AS84" s="228">
        <v>0</v>
      </c>
      <c r="AT84" s="228">
        <v>0</v>
      </c>
      <c r="AU84" s="228">
        <v>0</v>
      </c>
      <c r="AV84" s="228">
        <v>0</v>
      </c>
      <c r="AW84" s="175">
        <v>24</v>
      </c>
      <c r="AX84" s="228" t="s">
        <v>233</v>
      </c>
      <c r="AY84" s="228"/>
      <c r="AZ84" s="228" t="s">
        <v>233</v>
      </c>
      <c r="BA84" s="226" t="s">
        <v>429</v>
      </c>
      <c r="BB84" s="223"/>
      <c r="BC84" s="228"/>
      <c r="BD84" s="228" t="s">
        <v>183</v>
      </c>
      <c r="BE84" s="226"/>
      <c r="BF84" s="31" t="s">
        <v>148</v>
      </c>
      <c r="BG84" s="31" t="s">
        <v>189</v>
      </c>
    </row>
    <row r="85" spans="1:59" s="31" customFormat="1" x14ac:dyDescent="0.15">
      <c r="A85" s="223">
        <v>318</v>
      </c>
      <c r="B85" s="225">
        <v>41163</v>
      </c>
      <c r="C85" s="224" t="s">
        <v>278</v>
      </c>
      <c r="D85" s="223" t="s">
        <v>172</v>
      </c>
      <c r="E85" s="225">
        <v>42583</v>
      </c>
      <c r="F85" s="223" t="s">
        <v>222</v>
      </c>
      <c r="G85" s="223" t="s">
        <v>187</v>
      </c>
      <c r="H85" s="223">
        <v>63.32</v>
      </c>
      <c r="I85" s="227" t="s">
        <v>402</v>
      </c>
      <c r="J85" s="223">
        <v>6000</v>
      </c>
      <c r="K85" s="223">
        <v>12000</v>
      </c>
      <c r="L85" s="223">
        <v>12000</v>
      </c>
      <c r="M85" s="223">
        <v>12000</v>
      </c>
      <c r="N85" s="223"/>
      <c r="O85" s="223">
        <v>1.744</v>
      </c>
      <c r="P85" s="223">
        <v>1.742</v>
      </c>
      <c r="Q85" s="223">
        <v>0</v>
      </c>
      <c r="R85" s="223">
        <v>0</v>
      </c>
      <c r="S85" s="223">
        <v>1.079</v>
      </c>
      <c r="T85" s="223"/>
      <c r="U85" s="223">
        <v>1.2090000000000001</v>
      </c>
      <c r="V85" s="223">
        <v>1.1879999999999999</v>
      </c>
      <c r="W85" s="223">
        <v>0</v>
      </c>
      <c r="X85" s="223">
        <v>0</v>
      </c>
      <c r="Y85" s="223">
        <v>1.03</v>
      </c>
      <c r="Z85" s="223"/>
      <c r="AA85" s="223"/>
      <c r="AB85" s="223"/>
      <c r="AC85" s="223"/>
      <c r="AD85" s="223"/>
      <c r="AE85" s="223"/>
      <c r="AF85" s="223"/>
      <c r="AG85" s="228" t="s">
        <v>281</v>
      </c>
      <c r="AH85" s="228" t="s">
        <v>282</v>
      </c>
      <c r="AI85" s="192">
        <v>2</v>
      </c>
      <c r="AJ85" s="192">
        <v>4</v>
      </c>
      <c r="AK85" s="247">
        <v>0.33329999999999999</v>
      </c>
      <c r="AL85" s="247">
        <v>0.66659999999999997</v>
      </c>
      <c r="AM85" s="228">
        <v>0</v>
      </c>
      <c r="AN85" s="228">
        <v>0</v>
      </c>
      <c r="AO85" s="228">
        <v>0</v>
      </c>
      <c r="AP85" s="228">
        <v>0</v>
      </c>
      <c r="AQ85" s="228">
        <v>0</v>
      </c>
      <c r="AR85" s="228">
        <v>0</v>
      </c>
      <c r="AS85" s="228">
        <v>0</v>
      </c>
      <c r="AT85" s="228">
        <v>0</v>
      </c>
      <c r="AU85" s="228">
        <v>0</v>
      </c>
      <c r="AV85" s="228">
        <v>0</v>
      </c>
      <c r="AW85" s="175">
        <v>0</v>
      </c>
      <c r="AX85" s="228" t="s">
        <v>233</v>
      </c>
      <c r="AY85" s="228"/>
      <c r="AZ85" s="228" t="s">
        <v>233</v>
      </c>
      <c r="BA85" s="226" t="s">
        <v>195</v>
      </c>
      <c r="BB85" s="223" t="s">
        <v>178</v>
      </c>
      <c r="BC85" s="228">
        <v>50</v>
      </c>
      <c r="BD85" s="228" t="s">
        <v>183</v>
      </c>
      <c r="BE85" s="226"/>
      <c r="BF85" s="31" t="s">
        <v>213</v>
      </c>
      <c r="BG85" s="31" t="s">
        <v>189</v>
      </c>
    </row>
    <row r="86" spans="1:59" s="31" customFormat="1" x14ac:dyDescent="0.15">
      <c r="A86" s="223">
        <v>573</v>
      </c>
      <c r="B86" s="225">
        <v>41164</v>
      </c>
      <c r="C86" s="224" t="s">
        <v>278</v>
      </c>
      <c r="D86" s="223" t="s">
        <v>172</v>
      </c>
      <c r="E86" s="225">
        <v>42614</v>
      </c>
      <c r="F86" s="226" t="s">
        <v>224</v>
      </c>
      <c r="G86" s="223" t="s">
        <v>196</v>
      </c>
      <c r="H86" s="223">
        <v>61.74</v>
      </c>
      <c r="I86" s="227" t="s">
        <v>402</v>
      </c>
      <c r="J86" s="229">
        <v>3200</v>
      </c>
      <c r="K86" s="229">
        <v>3200</v>
      </c>
      <c r="L86" s="229">
        <v>3200</v>
      </c>
      <c r="M86" s="229">
        <v>3200</v>
      </c>
      <c r="N86" s="223"/>
      <c r="O86" s="223">
        <v>2.5499999999999998</v>
      </c>
      <c r="P86" s="223">
        <v>0</v>
      </c>
      <c r="Q86" s="223">
        <v>0</v>
      </c>
      <c r="R86" s="223">
        <v>0</v>
      </c>
      <c r="S86" s="223">
        <v>2.008</v>
      </c>
      <c r="T86" s="223"/>
      <c r="U86" s="223">
        <v>1.8140000000000001</v>
      </c>
      <c r="V86" s="223">
        <v>0</v>
      </c>
      <c r="W86" s="223">
        <v>0</v>
      </c>
      <c r="X86" s="223">
        <v>0</v>
      </c>
      <c r="Y86" s="223">
        <v>1.4370000000000001</v>
      </c>
      <c r="Z86" s="223"/>
      <c r="AA86" s="223"/>
      <c r="AB86" s="223"/>
      <c r="AC86" s="223"/>
      <c r="AD86" s="223"/>
      <c r="AE86" s="223"/>
      <c r="AF86" s="223"/>
      <c r="AG86" s="228" t="s">
        <v>281</v>
      </c>
      <c r="AH86" s="228" t="s">
        <v>282</v>
      </c>
      <c r="AI86" s="192">
        <v>2</v>
      </c>
      <c r="AJ86" s="192">
        <v>4</v>
      </c>
      <c r="AK86" s="247">
        <v>0.33329999999999999</v>
      </c>
      <c r="AL86" s="247">
        <v>0.66659999999999997</v>
      </c>
      <c r="AM86" s="228">
        <v>0</v>
      </c>
      <c r="AN86" s="228">
        <v>0</v>
      </c>
      <c r="AO86" s="228">
        <v>0</v>
      </c>
      <c r="AP86" s="228">
        <v>13</v>
      </c>
      <c r="AQ86" s="228">
        <v>0</v>
      </c>
      <c r="AR86" s="228">
        <v>0</v>
      </c>
      <c r="AS86" s="228">
        <v>0</v>
      </c>
      <c r="AT86" s="228">
        <v>0</v>
      </c>
      <c r="AU86" s="228">
        <v>0</v>
      </c>
      <c r="AV86" s="228">
        <v>0</v>
      </c>
      <c r="AW86" s="175">
        <v>0</v>
      </c>
      <c r="AX86" s="228" t="s">
        <v>233</v>
      </c>
      <c r="AY86" s="228">
        <v>12</v>
      </c>
      <c r="AZ86" s="228" t="s">
        <v>233</v>
      </c>
      <c r="BA86" s="226"/>
      <c r="BB86" s="226"/>
      <c r="BC86" s="228"/>
      <c r="BD86" s="228" t="s">
        <v>179</v>
      </c>
      <c r="BE86" s="226"/>
      <c r="BF86" s="31" t="s">
        <v>60</v>
      </c>
      <c r="BG86" s="31" t="s">
        <v>181</v>
      </c>
    </row>
    <row r="87" spans="1:59" s="31" customFormat="1" x14ac:dyDescent="0.15">
      <c r="A87" s="223">
        <v>239</v>
      </c>
      <c r="B87" s="225">
        <v>41193</v>
      </c>
      <c r="C87" s="224" t="s">
        <v>278</v>
      </c>
      <c r="D87" s="223" t="s">
        <v>172</v>
      </c>
      <c r="E87" s="231" t="s">
        <v>151</v>
      </c>
      <c r="F87" s="226" t="s">
        <v>226</v>
      </c>
      <c r="G87" s="223" t="s">
        <v>197</v>
      </c>
      <c r="H87" s="223">
        <v>68</v>
      </c>
      <c r="I87" s="227" t="s">
        <v>402</v>
      </c>
      <c r="J87" s="229">
        <v>3200</v>
      </c>
      <c r="K87" s="229">
        <v>3200</v>
      </c>
      <c r="L87" s="229">
        <v>3200</v>
      </c>
      <c r="M87" s="229">
        <v>3200</v>
      </c>
      <c r="N87" s="223"/>
      <c r="O87" s="223">
        <v>1.9750000000000001</v>
      </c>
      <c r="P87" s="223">
        <v>0</v>
      </c>
      <c r="Q87" s="223">
        <v>0</v>
      </c>
      <c r="R87" s="223">
        <v>0</v>
      </c>
      <c r="S87" s="223">
        <v>1.7629999999999999</v>
      </c>
      <c r="T87" s="223"/>
      <c r="U87" s="223">
        <v>1.524</v>
      </c>
      <c r="V87" s="223">
        <v>0</v>
      </c>
      <c r="W87" s="223">
        <v>0</v>
      </c>
      <c r="X87" s="223">
        <v>0</v>
      </c>
      <c r="Y87" s="223">
        <v>1.335</v>
      </c>
      <c r="Z87" s="223"/>
      <c r="AA87" s="223"/>
      <c r="AB87" s="223"/>
      <c r="AC87" s="223"/>
      <c r="AD87" s="223"/>
      <c r="AE87" s="223"/>
      <c r="AF87" s="223"/>
      <c r="AG87" s="228" t="s">
        <v>281</v>
      </c>
      <c r="AH87" s="228" t="s">
        <v>282</v>
      </c>
      <c r="AI87" s="228">
        <v>2</v>
      </c>
      <c r="AJ87" s="228">
        <v>4</v>
      </c>
      <c r="AK87" s="247">
        <v>0.33329999999999999</v>
      </c>
      <c r="AL87" s="247">
        <v>0.66659999999999997</v>
      </c>
      <c r="AM87" s="228">
        <v>0</v>
      </c>
      <c r="AN87" s="228">
        <v>0</v>
      </c>
      <c r="AO87" s="228">
        <v>10</v>
      </c>
      <c r="AP87" s="228">
        <v>0</v>
      </c>
      <c r="AQ87" s="228">
        <v>0</v>
      </c>
      <c r="AR87" s="228">
        <v>0</v>
      </c>
      <c r="AS87" s="228">
        <v>0</v>
      </c>
      <c r="AT87" s="228">
        <v>0</v>
      </c>
      <c r="AU87" s="228">
        <v>0</v>
      </c>
      <c r="AV87" s="228">
        <v>0</v>
      </c>
      <c r="AW87" s="175">
        <v>0</v>
      </c>
      <c r="AX87" s="228" t="s">
        <v>233</v>
      </c>
      <c r="AY87" s="226"/>
      <c r="AZ87" s="228" t="s">
        <v>233</v>
      </c>
      <c r="BA87" s="228"/>
      <c r="BB87" s="228"/>
      <c r="BC87" s="226"/>
      <c r="BD87" s="228" t="s">
        <v>183</v>
      </c>
      <c r="BF87" s="31" t="s">
        <v>305</v>
      </c>
      <c r="BG87" s="31" t="s">
        <v>181</v>
      </c>
    </row>
    <row r="88" spans="1:59" s="31" customFormat="1" x14ac:dyDescent="0.15">
      <c r="A88" s="223">
        <v>796</v>
      </c>
      <c r="B88" s="225">
        <v>41164</v>
      </c>
      <c r="C88" s="224" t="s">
        <v>278</v>
      </c>
      <c r="D88" s="223" t="s">
        <v>172</v>
      </c>
      <c r="E88" s="231">
        <v>42430</v>
      </c>
      <c r="F88" s="226" t="s">
        <v>227</v>
      </c>
      <c r="G88" s="223" t="s">
        <v>198</v>
      </c>
      <c r="H88" s="223">
        <v>56.85</v>
      </c>
      <c r="I88" s="227" t="s">
        <v>402</v>
      </c>
      <c r="J88" s="223">
        <v>6000</v>
      </c>
      <c r="K88" s="223">
        <v>12000</v>
      </c>
      <c r="L88" s="223">
        <v>12000</v>
      </c>
      <c r="M88" s="223">
        <v>12000</v>
      </c>
      <c r="N88" s="223"/>
      <c r="O88" s="223">
        <v>2.15</v>
      </c>
      <c r="P88" s="223">
        <v>2.11</v>
      </c>
      <c r="Q88" s="223">
        <v>0</v>
      </c>
      <c r="R88" s="223">
        <v>0</v>
      </c>
      <c r="S88" s="223">
        <v>1.43</v>
      </c>
      <c r="T88" s="223"/>
      <c r="U88" s="223">
        <v>1.64</v>
      </c>
      <c r="V88" s="223">
        <v>1.58</v>
      </c>
      <c r="W88" s="223">
        <v>0</v>
      </c>
      <c r="X88" s="223">
        <v>0</v>
      </c>
      <c r="Y88" s="223">
        <v>1.42</v>
      </c>
      <c r="Z88" s="223"/>
      <c r="AA88" s="223"/>
      <c r="AB88" s="223"/>
      <c r="AC88" s="223"/>
      <c r="AD88" s="223"/>
      <c r="AE88" s="223"/>
      <c r="AF88" s="223"/>
      <c r="AG88" s="228" t="s">
        <v>281</v>
      </c>
      <c r="AH88" s="228" t="s">
        <v>282</v>
      </c>
      <c r="AI88" s="192">
        <v>2</v>
      </c>
      <c r="AJ88" s="192">
        <v>4</v>
      </c>
      <c r="AK88" s="247">
        <v>0.33329999999999999</v>
      </c>
      <c r="AL88" s="247">
        <v>0.66659999999999997</v>
      </c>
      <c r="AM88" s="228">
        <v>0</v>
      </c>
      <c r="AN88" s="228">
        <v>15</v>
      </c>
      <c r="AO88" s="228">
        <v>0</v>
      </c>
      <c r="AP88" s="228">
        <v>5</v>
      </c>
      <c r="AQ88" s="228">
        <v>0</v>
      </c>
      <c r="AR88" s="228">
        <v>0</v>
      </c>
      <c r="AS88" s="228">
        <v>0</v>
      </c>
      <c r="AT88" s="228">
        <v>0</v>
      </c>
      <c r="AU88" s="228">
        <v>0</v>
      </c>
      <c r="AV88" s="228">
        <v>0</v>
      </c>
      <c r="AW88" s="175">
        <v>24</v>
      </c>
      <c r="AX88" s="228" t="s">
        <v>233</v>
      </c>
      <c r="AY88" s="228"/>
      <c r="AZ88" s="228" t="s">
        <v>233</v>
      </c>
      <c r="BA88" s="226"/>
      <c r="BB88" s="223"/>
      <c r="BC88" s="228"/>
      <c r="BD88" s="228" t="s">
        <v>183</v>
      </c>
      <c r="BE88" s="226"/>
      <c r="BF88" s="31" t="s">
        <v>143</v>
      </c>
      <c r="BG88" s="31" t="s">
        <v>189</v>
      </c>
    </row>
  </sheetData>
  <sheetProtection algorithmName="SHA-512" hashValue="7gfHUEd/cH//zcYeiZIzeR5+e5sHiH6km+amsW1KQQUSS1HOMfPv6w7GeZBEeVUbFt0LRMNGvE4mrtAgnMtUCQ==" saltValue="qc+w7o7arp24R4+vrmWwbw==" spinCount="100000" sheet="1" objects="1" scenarios="1"/>
  <phoneticPr fontId="20" type="noConversion"/>
  <pageMargins left="0.75" right="0.75" top="1" bottom="1" header="0.5" footer="0.5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/>
  <dimension ref="A1:O55"/>
  <sheetViews>
    <sheetView workbookViewId="0">
      <selection activeCell="I37" sqref="I37:I47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5" x14ac:dyDescent="0.15">
      <c r="A1" t="s">
        <v>722</v>
      </c>
    </row>
    <row r="2" spans="1:15" x14ac:dyDescent="0.15">
      <c r="A2" s="45"/>
      <c r="B2" s="46"/>
      <c r="C2" s="46"/>
      <c r="D2" s="46"/>
      <c r="E2" s="46"/>
      <c r="F2" s="46"/>
      <c r="G2" s="46"/>
      <c r="H2" s="46"/>
      <c r="I2" s="46"/>
      <c r="J2" s="46"/>
      <c r="K2" s="46"/>
      <c r="L2" s="144"/>
      <c r="M2" s="144"/>
      <c r="N2" s="46"/>
      <c r="O2" s="46"/>
    </row>
    <row r="3" spans="1:15" x14ac:dyDescent="0.15">
      <c r="A3" s="4" t="s">
        <v>61</v>
      </c>
      <c r="B3" s="5"/>
      <c r="C3" s="5"/>
      <c r="D3" s="6"/>
      <c r="E3" s="5"/>
      <c r="F3" s="5"/>
      <c r="G3" s="5"/>
      <c r="H3" s="5"/>
      <c r="I3" s="5"/>
      <c r="J3" s="5"/>
      <c r="K3" s="5"/>
    </row>
    <row r="4" spans="1:15" x14ac:dyDescent="0.15">
      <c r="D4" s="7"/>
      <c r="E4" s="8" t="s">
        <v>62</v>
      </c>
    </row>
    <row r="5" spans="1:15" x14ac:dyDescent="0.15">
      <c r="D5" s="7"/>
    </row>
    <row r="6" spans="1:15" x14ac:dyDescent="0.15">
      <c r="A6" s="9" t="s">
        <v>1074</v>
      </c>
      <c r="D6" s="7"/>
      <c r="E6" s="10" t="s">
        <v>1044</v>
      </c>
      <c r="F6" s="23" t="s">
        <v>591</v>
      </c>
      <c r="G6" s="23" t="s">
        <v>592</v>
      </c>
      <c r="H6" s="23" t="s">
        <v>614</v>
      </c>
      <c r="I6" s="23" t="s">
        <v>594</v>
      </c>
      <c r="J6" s="23" t="s">
        <v>595</v>
      </c>
      <c r="K6" s="23" t="s">
        <v>596</v>
      </c>
      <c r="L6" s="10" t="s">
        <v>486</v>
      </c>
      <c r="M6" s="23" t="s">
        <v>487</v>
      </c>
      <c r="N6" s="10" t="s">
        <v>599</v>
      </c>
      <c r="O6" s="10" t="s">
        <v>600</v>
      </c>
    </row>
    <row r="7" spans="1:15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  <c r="K7" s="13">
        <v>0.5</v>
      </c>
      <c r="L7" s="13">
        <v>0.5</v>
      </c>
      <c r="M7" s="13">
        <v>0.5</v>
      </c>
      <c r="N7" s="13">
        <v>0.5</v>
      </c>
      <c r="O7" s="13">
        <v>0.5</v>
      </c>
    </row>
    <row r="8" spans="1:15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  <c r="K8" s="15">
        <v>3</v>
      </c>
      <c r="L8" s="15">
        <v>3</v>
      </c>
      <c r="M8" s="15">
        <v>3</v>
      </c>
      <c r="N8" s="15">
        <v>3</v>
      </c>
      <c r="O8" s="15">
        <v>3</v>
      </c>
    </row>
    <row r="9" spans="1:15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  <c r="K9" s="13">
        <v>0.5</v>
      </c>
      <c r="L9" s="13">
        <v>0.5</v>
      </c>
      <c r="M9" s="13">
        <v>0.5</v>
      </c>
      <c r="N9" s="13">
        <v>0.5</v>
      </c>
      <c r="O9" s="13">
        <v>0.5</v>
      </c>
    </row>
    <row r="10" spans="1:15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  <c r="K10" s="15">
        <v>3</v>
      </c>
      <c r="L10" s="15">
        <v>3</v>
      </c>
      <c r="M10" s="15">
        <v>3</v>
      </c>
      <c r="N10" s="15">
        <v>3</v>
      </c>
      <c r="O10" s="15">
        <v>3</v>
      </c>
    </row>
    <row r="11" spans="1:15" x14ac:dyDescent="0.15">
      <c r="A11" t="s">
        <v>67</v>
      </c>
      <c r="D11" s="7"/>
      <c r="E11" s="15">
        <v>3000</v>
      </c>
      <c r="F11">
        <v>6000</v>
      </c>
      <c r="G11" s="15">
        <v>3000</v>
      </c>
      <c r="H11" s="15">
        <v>3000</v>
      </c>
      <c r="I11" s="15">
        <v>6000</v>
      </c>
      <c r="J11" s="15">
        <v>3000</v>
      </c>
      <c r="K11" s="15">
        <v>6000</v>
      </c>
      <c r="L11" s="15">
        <v>3000</v>
      </c>
      <c r="M11" s="15">
        <v>6000</v>
      </c>
      <c r="N11" s="15">
        <v>3000</v>
      </c>
      <c r="O11" s="15">
        <v>3000</v>
      </c>
    </row>
    <row r="12" spans="1:15" x14ac:dyDescent="0.15">
      <c r="A12" t="s">
        <v>68</v>
      </c>
      <c r="D12" s="7"/>
      <c r="E12">
        <v>6000</v>
      </c>
      <c r="F12">
        <v>9000</v>
      </c>
      <c r="G12" s="15">
        <v>6000</v>
      </c>
      <c r="H12">
        <v>6000</v>
      </c>
      <c r="I12">
        <v>9000</v>
      </c>
      <c r="J12">
        <v>6000</v>
      </c>
      <c r="K12">
        <v>9000</v>
      </c>
      <c r="L12">
        <v>6000</v>
      </c>
      <c r="M12">
        <v>9000</v>
      </c>
      <c r="N12" s="15">
        <v>6000</v>
      </c>
      <c r="O12" s="15">
        <v>6000</v>
      </c>
    </row>
    <row r="13" spans="1:15" x14ac:dyDescent="0.15">
      <c r="A13" t="s">
        <v>69</v>
      </c>
      <c r="D13" s="7"/>
      <c r="E13">
        <v>9000</v>
      </c>
      <c r="F13" s="15">
        <v>9000</v>
      </c>
      <c r="G13" s="15">
        <v>9000</v>
      </c>
      <c r="H13">
        <v>9000</v>
      </c>
      <c r="I13" s="15">
        <v>9000</v>
      </c>
      <c r="J13">
        <v>9000</v>
      </c>
      <c r="K13" s="15">
        <v>9000</v>
      </c>
      <c r="L13" s="15">
        <v>6000</v>
      </c>
      <c r="M13" s="15">
        <v>9000</v>
      </c>
      <c r="N13" s="15">
        <v>9000</v>
      </c>
      <c r="O13" s="15">
        <v>9000</v>
      </c>
    </row>
    <row r="14" spans="1:15" x14ac:dyDescent="0.15">
      <c r="A14" s="11" t="s">
        <v>70</v>
      </c>
      <c r="B14" s="11"/>
      <c r="C14" s="11"/>
      <c r="D14" s="12"/>
      <c r="E14" s="11">
        <v>15000</v>
      </c>
      <c r="F14" s="11">
        <v>9000</v>
      </c>
      <c r="G14" s="11">
        <v>15000</v>
      </c>
      <c r="H14" s="11">
        <v>15000</v>
      </c>
      <c r="I14" s="11">
        <v>9000</v>
      </c>
      <c r="J14" s="11">
        <v>15000</v>
      </c>
      <c r="K14" s="11">
        <v>9000</v>
      </c>
      <c r="L14" s="11">
        <v>6000</v>
      </c>
      <c r="M14" s="11">
        <v>9000</v>
      </c>
      <c r="N14" s="32">
        <v>15000</v>
      </c>
      <c r="O14" s="32">
        <v>15000</v>
      </c>
    </row>
    <row r="15" spans="1:15" x14ac:dyDescent="0.15">
      <c r="A15" t="s">
        <v>71</v>
      </c>
      <c r="D15" s="7"/>
      <c r="E15">
        <v>2.1320000000000001</v>
      </c>
      <c r="F15">
        <v>2.0760000000000001</v>
      </c>
      <c r="G15">
        <v>2.1</v>
      </c>
      <c r="H15">
        <v>1.6439999999999999</v>
      </c>
      <c r="I15">
        <v>1.95</v>
      </c>
      <c r="J15">
        <v>2.089</v>
      </c>
      <c r="K15">
        <v>1.8360000000000001</v>
      </c>
      <c r="L15">
        <v>1.9300000000000002</v>
      </c>
      <c r="M15">
        <v>1.8</v>
      </c>
      <c r="N15" s="146">
        <v>2.2000000000000002</v>
      </c>
      <c r="O15" s="138">
        <v>2.13</v>
      </c>
    </row>
    <row r="16" spans="1:15" x14ac:dyDescent="0.15">
      <c r="A16" t="s">
        <v>72</v>
      </c>
      <c r="D16" s="7"/>
      <c r="E16">
        <v>1.8540000000000001</v>
      </c>
      <c r="F16">
        <v>1.665</v>
      </c>
      <c r="G16">
        <v>1.85</v>
      </c>
      <c r="H16">
        <v>1.4670000000000001</v>
      </c>
      <c r="I16">
        <v>1.42</v>
      </c>
      <c r="J16">
        <v>1.823</v>
      </c>
      <c r="K16">
        <v>1.429</v>
      </c>
      <c r="L16">
        <v>1.67</v>
      </c>
      <c r="M16">
        <v>1.3199999999999998</v>
      </c>
      <c r="N16" s="146">
        <v>1.9</v>
      </c>
      <c r="O16" s="138">
        <v>1.82</v>
      </c>
    </row>
    <row r="17" spans="1:15" x14ac:dyDescent="0.15">
      <c r="A17" t="s">
        <v>73</v>
      </c>
      <c r="D17" s="7"/>
      <c r="E17">
        <v>1.4770000000000001</v>
      </c>
      <c r="F17">
        <v>0</v>
      </c>
      <c r="G17">
        <v>1.48</v>
      </c>
      <c r="H17">
        <v>1.2050000000000001</v>
      </c>
      <c r="I17">
        <v>0</v>
      </c>
      <c r="J17">
        <v>1.5009999999999999</v>
      </c>
      <c r="K17">
        <v>0</v>
      </c>
      <c r="L17">
        <v>0</v>
      </c>
      <c r="M17">
        <v>0</v>
      </c>
      <c r="N17" s="146">
        <v>1.55</v>
      </c>
      <c r="O17" s="138">
        <v>1.44</v>
      </c>
    </row>
    <row r="18" spans="1:15" x14ac:dyDescent="0.15">
      <c r="A18" t="s">
        <v>74</v>
      </c>
      <c r="D18" s="7"/>
      <c r="E18">
        <v>1.278</v>
      </c>
      <c r="F18">
        <v>0</v>
      </c>
      <c r="G18">
        <v>1.28</v>
      </c>
      <c r="H18">
        <v>1.167</v>
      </c>
      <c r="I18">
        <v>0</v>
      </c>
      <c r="J18">
        <v>1.331</v>
      </c>
      <c r="K18">
        <v>0</v>
      </c>
      <c r="L18">
        <v>0</v>
      </c>
      <c r="M18">
        <v>0</v>
      </c>
      <c r="N18" s="146">
        <v>1.35</v>
      </c>
      <c r="O18" s="138">
        <v>1.25</v>
      </c>
    </row>
    <row r="19" spans="1:15" x14ac:dyDescent="0.15">
      <c r="A19" t="s">
        <v>75</v>
      </c>
      <c r="D19" s="7"/>
      <c r="E19">
        <v>1.19</v>
      </c>
      <c r="F19">
        <v>1.1599999999999999</v>
      </c>
      <c r="G19">
        <v>1.21</v>
      </c>
      <c r="H19">
        <v>0.98599999999999999</v>
      </c>
      <c r="I19">
        <v>0.97</v>
      </c>
      <c r="J19">
        <v>1.286</v>
      </c>
      <c r="K19">
        <v>1.2769999999999999</v>
      </c>
      <c r="L19">
        <v>1.35</v>
      </c>
      <c r="M19">
        <v>1.03</v>
      </c>
      <c r="N19" s="146">
        <v>1.3</v>
      </c>
      <c r="O19" s="138">
        <v>1.2</v>
      </c>
    </row>
    <row r="20" spans="1:15" x14ac:dyDescent="0.15">
      <c r="A20" t="s">
        <v>76</v>
      </c>
      <c r="D20" s="7"/>
      <c r="E20">
        <v>2.0230000000000001</v>
      </c>
      <c r="F20">
        <v>1.8720000000000001</v>
      </c>
      <c r="G20">
        <v>1.95</v>
      </c>
      <c r="H20">
        <v>1.4890000000000001</v>
      </c>
      <c r="I20">
        <v>1.81</v>
      </c>
      <c r="J20">
        <v>1.9630000000000001</v>
      </c>
      <c r="K20">
        <v>1.7310000000000001</v>
      </c>
      <c r="L20">
        <v>1.8699999999999999</v>
      </c>
      <c r="M20">
        <v>1.75</v>
      </c>
      <c r="N20" s="146">
        <v>2.0499999999999998</v>
      </c>
      <c r="O20" s="138">
        <v>1.83</v>
      </c>
    </row>
    <row r="21" spans="1:15" x14ac:dyDescent="0.15">
      <c r="A21" t="s">
        <v>77</v>
      </c>
      <c r="D21" s="7"/>
      <c r="E21">
        <v>1.746</v>
      </c>
      <c r="F21">
        <v>1.4450000000000001</v>
      </c>
      <c r="G21">
        <v>1.65</v>
      </c>
      <c r="H21">
        <v>1.3440000000000001</v>
      </c>
      <c r="I21">
        <v>1.23</v>
      </c>
      <c r="J21">
        <v>1.7330000000000001</v>
      </c>
      <c r="K21">
        <v>1.391</v>
      </c>
      <c r="L21">
        <v>1.63</v>
      </c>
      <c r="M21">
        <v>1.2599999999999998</v>
      </c>
      <c r="N21" s="146">
        <v>1.8</v>
      </c>
      <c r="O21" s="138">
        <v>1.57</v>
      </c>
    </row>
    <row r="22" spans="1:15" x14ac:dyDescent="0.15">
      <c r="A22" t="s">
        <v>78</v>
      </c>
      <c r="D22" s="7"/>
      <c r="E22">
        <v>1.4319999999999999</v>
      </c>
      <c r="F22">
        <v>0</v>
      </c>
      <c r="G22">
        <v>1.34</v>
      </c>
      <c r="H22">
        <v>1.1220000000000001</v>
      </c>
      <c r="I22">
        <v>0</v>
      </c>
      <c r="J22">
        <v>1.454</v>
      </c>
      <c r="K22">
        <v>0</v>
      </c>
      <c r="L22">
        <v>0</v>
      </c>
      <c r="M22">
        <v>0</v>
      </c>
      <c r="N22" s="146">
        <v>1.5</v>
      </c>
      <c r="O22" s="138">
        <v>1.25</v>
      </c>
    </row>
    <row r="23" spans="1:15" x14ac:dyDescent="0.15">
      <c r="A23" t="s">
        <v>79</v>
      </c>
      <c r="D23" s="7"/>
      <c r="E23">
        <v>1.2609999999999999</v>
      </c>
      <c r="F23">
        <v>0</v>
      </c>
      <c r="G23">
        <v>1.18</v>
      </c>
      <c r="H23">
        <v>1.004</v>
      </c>
      <c r="I23">
        <v>0</v>
      </c>
      <c r="J23">
        <v>1.3069999999999999</v>
      </c>
      <c r="K23">
        <v>0</v>
      </c>
      <c r="L23">
        <v>0</v>
      </c>
      <c r="M23">
        <v>0</v>
      </c>
      <c r="N23" s="146">
        <v>1.35</v>
      </c>
      <c r="O23" s="138">
        <v>1.08</v>
      </c>
    </row>
    <row r="24" spans="1:15" x14ac:dyDescent="0.15">
      <c r="A24" t="s">
        <v>80</v>
      </c>
      <c r="D24" s="7"/>
      <c r="E24">
        <v>1.159</v>
      </c>
      <c r="F24">
        <v>1.085</v>
      </c>
      <c r="G24">
        <v>1.1200000000000001</v>
      </c>
      <c r="H24">
        <v>0.92200000000000004</v>
      </c>
      <c r="I24">
        <v>0.92</v>
      </c>
      <c r="J24">
        <v>1.27</v>
      </c>
      <c r="K24">
        <v>1.2589999999999999</v>
      </c>
      <c r="L24">
        <v>1.3399999999999999</v>
      </c>
      <c r="M24">
        <v>0.96000000000000008</v>
      </c>
      <c r="N24" s="146">
        <v>1.3</v>
      </c>
      <c r="O24" s="138">
        <v>1.04</v>
      </c>
    </row>
    <row r="25" spans="1:15" x14ac:dyDescent="0.15">
      <c r="A25" t="s">
        <v>81</v>
      </c>
      <c r="D25" s="7"/>
      <c r="E25">
        <v>68.260000000000005</v>
      </c>
      <c r="F25">
        <v>68.7</v>
      </c>
      <c r="G25">
        <v>71</v>
      </c>
      <c r="H25">
        <v>58.14</v>
      </c>
      <c r="I25">
        <v>65.900000000000006</v>
      </c>
      <c r="J25">
        <v>62.91</v>
      </c>
      <c r="K25">
        <v>68</v>
      </c>
      <c r="L25">
        <v>64.83</v>
      </c>
      <c r="M25">
        <v>52.99</v>
      </c>
      <c r="N25" s="146">
        <v>66.5</v>
      </c>
      <c r="O25" s="138">
        <v>67</v>
      </c>
    </row>
    <row r="26" spans="1:15" x14ac:dyDescent="0.15">
      <c r="D26" s="7"/>
      <c r="K26" s="147"/>
    </row>
    <row r="27" spans="1:15" x14ac:dyDescent="0.15">
      <c r="D27" s="7"/>
      <c r="K27" s="147"/>
    </row>
    <row r="28" spans="1:15" x14ac:dyDescent="0.15">
      <c r="A28" s="9" t="s">
        <v>1076</v>
      </c>
      <c r="D28" s="7"/>
      <c r="E28" s="10" t="s">
        <v>1044</v>
      </c>
      <c r="F28" s="23" t="s">
        <v>591</v>
      </c>
      <c r="G28" s="23" t="s">
        <v>592</v>
      </c>
      <c r="H28" s="10" t="s">
        <v>614</v>
      </c>
      <c r="I28" s="10" t="s">
        <v>615</v>
      </c>
      <c r="J28" s="23" t="s">
        <v>546</v>
      </c>
      <c r="K28" s="10" t="s">
        <v>545</v>
      </c>
      <c r="L28" s="10" t="s">
        <v>486</v>
      </c>
      <c r="M28" s="10" t="s">
        <v>487</v>
      </c>
      <c r="N28" s="10" t="s">
        <v>599</v>
      </c>
      <c r="O28" s="10" t="s">
        <v>600</v>
      </c>
    </row>
    <row r="29" spans="1:15" x14ac:dyDescent="0.15">
      <c r="A29" s="1" t="s">
        <v>63</v>
      </c>
      <c r="D29" s="7"/>
      <c r="E29" s="13">
        <v>0.5</v>
      </c>
      <c r="F29" s="13">
        <v>0.5</v>
      </c>
      <c r="G29" s="13">
        <v>0.5</v>
      </c>
      <c r="H29" s="13">
        <v>0.5</v>
      </c>
      <c r="I29" s="14">
        <v>0.33329999999999999</v>
      </c>
      <c r="J29" s="13">
        <v>0.5</v>
      </c>
      <c r="K29" s="13">
        <v>0.5</v>
      </c>
      <c r="L29" s="13">
        <v>0.5</v>
      </c>
      <c r="M29" s="13">
        <v>0.5</v>
      </c>
      <c r="N29" s="13">
        <v>0.5</v>
      </c>
      <c r="O29" s="13">
        <v>0.5</v>
      </c>
    </row>
    <row r="30" spans="1:15" x14ac:dyDescent="0.15">
      <c r="A30" s="1" t="s">
        <v>64</v>
      </c>
      <c r="D30" s="7"/>
      <c r="E30" s="15">
        <v>3</v>
      </c>
      <c r="F30" s="15">
        <v>3</v>
      </c>
      <c r="G30" s="15">
        <v>3</v>
      </c>
      <c r="H30" s="15">
        <v>3</v>
      </c>
      <c r="I30" s="15">
        <v>2</v>
      </c>
      <c r="J30" s="15">
        <v>3</v>
      </c>
      <c r="K30" s="15">
        <v>3</v>
      </c>
      <c r="L30" s="15">
        <v>3</v>
      </c>
      <c r="M30" s="15">
        <v>3</v>
      </c>
      <c r="N30" s="15">
        <v>3</v>
      </c>
      <c r="O30" s="15">
        <v>3</v>
      </c>
    </row>
    <row r="31" spans="1:15" x14ac:dyDescent="0.15">
      <c r="A31" s="1" t="s">
        <v>65</v>
      </c>
      <c r="D31" s="7"/>
      <c r="E31" s="13">
        <v>0.5</v>
      </c>
      <c r="F31" s="13">
        <v>0.5</v>
      </c>
      <c r="G31" s="13">
        <v>0.5</v>
      </c>
      <c r="H31" s="13">
        <v>0.5</v>
      </c>
      <c r="I31" s="14">
        <v>0.66659999999999997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</row>
    <row r="32" spans="1:15" x14ac:dyDescent="0.15">
      <c r="A32" s="1" t="s">
        <v>66</v>
      </c>
      <c r="D32" s="7"/>
      <c r="E32" s="15">
        <v>3</v>
      </c>
      <c r="F32" s="15">
        <v>3</v>
      </c>
      <c r="G32" s="15">
        <v>3</v>
      </c>
      <c r="H32" s="15">
        <v>3</v>
      </c>
      <c r="I32" s="15">
        <v>4</v>
      </c>
      <c r="J32" s="15">
        <v>3</v>
      </c>
      <c r="K32" s="15">
        <v>3</v>
      </c>
      <c r="L32" s="15">
        <v>3</v>
      </c>
      <c r="M32" s="15">
        <v>3</v>
      </c>
      <c r="N32" s="15">
        <v>3</v>
      </c>
      <c r="O32" s="15">
        <v>3</v>
      </c>
    </row>
    <row r="33" spans="1:15" x14ac:dyDescent="0.15">
      <c r="A33" t="s">
        <v>67</v>
      </c>
      <c r="D33" s="7"/>
      <c r="E33" s="15">
        <v>3000</v>
      </c>
      <c r="F33">
        <v>6000</v>
      </c>
      <c r="G33" s="15">
        <v>3000</v>
      </c>
      <c r="H33" s="15">
        <v>3000</v>
      </c>
      <c r="I33" s="15">
        <v>3500</v>
      </c>
      <c r="J33" s="15">
        <v>3000</v>
      </c>
      <c r="K33" s="15">
        <v>3500</v>
      </c>
      <c r="L33" s="15">
        <v>3000</v>
      </c>
      <c r="M33" s="15">
        <v>3500</v>
      </c>
      <c r="N33" s="15">
        <v>3000</v>
      </c>
      <c r="O33" s="15">
        <v>3000</v>
      </c>
    </row>
    <row r="34" spans="1:15" x14ac:dyDescent="0.15">
      <c r="A34" t="s">
        <v>68</v>
      </c>
      <c r="D34" s="7"/>
      <c r="E34" s="15">
        <v>6000</v>
      </c>
      <c r="F34">
        <v>9000</v>
      </c>
      <c r="G34" s="15">
        <v>6000</v>
      </c>
      <c r="H34">
        <v>6000</v>
      </c>
      <c r="I34" s="15">
        <v>3500</v>
      </c>
      <c r="J34" s="15">
        <v>6000</v>
      </c>
      <c r="K34" s="15">
        <v>3500</v>
      </c>
      <c r="L34">
        <v>3000</v>
      </c>
      <c r="M34" s="15">
        <v>3500</v>
      </c>
      <c r="N34" s="15">
        <v>6000</v>
      </c>
      <c r="O34" s="15">
        <v>6000</v>
      </c>
    </row>
    <row r="35" spans="1:15" x14ac:dyDescent="0.15">
      <c r="A35" t="s">
        <v>69</v>
      </c>
      <c r="D35" s="7"/>
      <c r="E35" s="15">
        <v>9000</v>
      </c>
      <c r="F35" s="15">
        <v>9000</v>
      </c>
      <c r="G35" s="15">
        <v>9000</v>
      </c>
      <c r="H35">
        <v>9000</v>
      </c>
      <c r="I35" s="15">
        <v>3500</v>
      </c>
      <c r="J35" s="15">
        <v>9000</v>
      </c>
      <c r="K35" s="15">
        <v>3500</v>
      </c>
      <c r="L35" s="15">
        <v>3000</v>
      </c>
      <c r="M35" s="15">
        <v>3500</v>
      </c>
      <c r="N35" s="15">
        <v>9000</v>
      </c>
      <c r="O35" s="15">
        <v>9000</v>
      </c>
    </row>
    <row r="36" spans="1:15" x14ac:dyDescent="0.15">
      <c r="A36" s="11" t="s">
        <v>70</v>
      </c>
      <c r="B36" s="11"/>
      <c r="C36" s="11"/>
      <c r="D36" s="12"/>
      <c r="E36" s="11">
        <v>15000</v>
      </c>
      <c r="F36" s="11">
        <v>9000</v>
      </c>
      <c r="G36" s="11">
        <v>15000</v>
      </c>
      <c r="H36" s="11">
        <v>15000</v>
      </c>
      <c r="I36" s="11">
        <v>3500</v>
      </c>
      <c r="J36" s="11">
        <v>15000</v>
      </c>
      <c r="K36" s="11">
        <v>3500</v>
      </c>
      <c r="L36" s="11">
        <v>3000</v>
      </c>
      <c r="M36" s="11">
        <v>3500</v>
      </c>
      <c r="N36" s="32">
        <v>15000</v>
      </c>
      <c r="O36" s="32">
        <v>15000</v>
      </c>
    </row>
    <row r="37" spans="1:15" x14ac:dyDescent="0.15">
      <c r="A37" t="s">
        <v>71</v>
      </c>
      <c r="D37" s="7"/>
      <c r="E37">
        <v>2.0880000000000001</v>
      </c>
      <c r="F37">
        <v>2.0760000000000001</v>
      </c>
      <c r="G37">
        <v>2.2000000000000002</v>
      </c>
      <c r="H37">
        <v>1.6439999999999999</v>
      </c>
      <c r="I37">
        <v>1.74</v>
      </c>
      <c r="J37">
        <v>2.1040000000000001</v>
      </c>
      <c r="K37">
        <v>1.7230000000000001</v>
      </c>
      <c r="L37">
        <v>2.0099999999999998</v>
      </c>
      <c r="M37">
        <v>1.71</v>
      </c>
      <c r="N37" s="146">
        <v>2.2000000000000002</v>
      </c>
      <c r="O37" s="138">
        <v>2.13</v>
      </c>
    </row>
    <row r="38" spans="1:15" x14ac:dyDescent="0.15">
      <c r="A38" t="s">
        <v>72</v>
      </c>
      <c r="D38" s="7"/>
      <c r="E38">
        <v>1.8280000000000001</v>
      </c>
      <c r="F38">
        <v>1.665</v>
      </c>
      <c r="G38">
        <v>2</v>
      </c>
      <c r="H38">
        <v>1.4670000000000001</v>
      </c>
      <c r="I38">
        <v>0</v>
      </c>
      <c r="J38">
        <v>1.839</v>
      </c>
      <c r="K38">
        <v>0</v>
      </c>
      <c r="L38">
        <v>0</v>
      </c>
      <c r="M38">
        <v>0</v>
      </c>
      <c r="N38" s="146">
        <v>1.9</v>
      </c>
      <c r="O38" s="138">
        <v>1.82</v>
      </c>
    </row>
    <row r="39" spans="1:15" x14ac:dyDescent="0.15">
      <c r="A39" t="s">
        <v>73</v>
      </c>
      <c r="D39" s="7"/>
      <c r="E39">
        <v>1.474</v>
      </c>
      <c r="F39">
        <v>0</v>
      </c>
      <c r="G39">
        <v>1.65</v>
      </c>
      <c r="H39">
        <v>1.2050000000000001</v>
      </c>
      <c r="I39">
        <v>0</v>
      </c>
      <c r="J39">
        <v>1.5169999999999999</v>
      </c>
      <c r="K39">
        <v>0</v>
      </c>
      <c r="L39">
        <v>0</v>
      </c>
      <c r="M39">
        <v>0</v>
      </c>
      <c r="N39" s="146">
        <v>1.55</v>
      </c>
      <c r="O39" s="138">
        <v>1.44</v>
      </c>
    </row>
    <row r="40" spans="1:15" x14ac:dyDescent="0.15">
      <c r="A40" t="s">
        <v>74</v>
      </c>
      <c r="D40" s="7"/>
      <c r="E40">
        <v>1.286</v>
      </c>
      <c r="F40">
        <v>0</v>
      </c>
      <c r="G40">
        <v>1.4530000000000001</v>
      </c>
      <c r="H40">
        <v>1.167</v>
      </c>
      <c r="I40">
        <v>0</v>
      </c>
      <c r="J40">
        <v>1.3460000000000001</v>
      </c>
      <c r="K40">
        <v>0</v>
      </c>
      <c r="L40">
        <v>0</v>
      </c>
      <c r="M40">
        <v>0</v>
      </c>
      <c r="N40" s="146">
        <v>1.35</v>
      </c>
      <c r="O40" s="138">
        <v>1.25</v>
      </c>
    </row>
    <row r="41" spans="1:15" x14ac:dyDescent="0.15">
      <c r="A41" t="s">
        <v>75</v>
      </c>
      <c r="D41" s="7"/>
      <c r="E41">
        <v>1.256</v>
      </c>
      <c r="F41">
        <v>1.1599999999999999</v>
      </c>
      <c r="G41">
        <v>1.39</v>
      </c>
      <c r="H41">
        <v>0.98599999999999999</v>
      </c>
      <c r="I41">
        <v>1.5</v>
      </c>
      <c r="J41">
        <v>1.302</v>
      </c>
      <c r="K41">
        <v>1.514</v>
      </c>
      <c r="L41">
        <v>1.51</v>
      </c>
      <c r="M41">
        <v>1.4</v>
      </c>
      <c r="N41" s="146">
        <v>1.3</v>
      </c>
      <c r="O41" s="138">
        <v>1.2</v>
      </c>
    </row>
    <row r="42" spans="1:15" x14ac:dyDescent="0.15">
      <c r="A42" t="s">
        <v>76</v>
      </c>
      <c r="D42" s="7"/>
      <c r="E42">
        <v>1.982</v>
      </c>
      <c r="F42">
        <v>1.8720000000000001</v>
      </c>
      <c r="G42">
        <v>1.85</v>
      </c>
      <c r="H42">
        <v>1.4890000000000001</v>
      </c>
      <c r="I42">
        <v>1.67</v>
      </c>
      <c r="J42">
        <v>1.978</v>
      </c>
      <c r="K42">
        <v>1.6180000000000001</v>
      </c>
      <c r="L42">
        <v>1.9699999999999998</v>
      </c>
      <c r="M42">
        <v>1.6400000000000001</v>
      </c>
      <c r="N42" s="146">
        <v>2.0499999999999998</v>
      </c>
      <c r="O42" s="138">
        <v>1.83</v>
      </c>
    </row>
    <row r="43" spans="1:15" x14ac:dyDescent="0.15">
      <c r="A43" t="s">
        <v>77</v>
      </c>
      <c r="D43" s="7"/>
      <c r="E43">
        <v>1.7290000000000001</v>
      </c>
      <c r="F43">
        <v>1.4450000000000001</v>
      </c>
      <c r="G43">
        <v>1.65</v>
      </c>
      <c r="H43">
        <v>1.3440000000000001</v>
      </c>
      <c r="I43">
        <v>0</v>
      </c>
      <c r="J43">
        <v>1.748</v>
      </c>
      <c r="K43">
        <v>0</v>
      </c>
      <c r="L43">
        <v>0</v>
      </c>
      <c r="M43">
        <v>0</v>
      </c>
      <c r="N43" s="146">
        <v>1.8</v>
      </c>
      <c r="O43" s="138">
        <v>1.57</v>
      </c>
    </row>
    <row r="44" spans="1:15" x14ac:dyDescent="0.15">
      <c r="A44" t="s">
        <v>78</v>
      </c>
      <c r="D44" s="7"/>
      <c r="E44">
        <v>1.4219999999999999</v>
      </c>
      <c r="F44">
        <v>0</v>
      </c>
      <c r="G44">
        <v>1.4</v>
      </c>
      <c r="H44">
        <v>1.1220000000000001</v>
      </c>
      <c r="I44">
        <v>0</v>
      </c>
      <c r="J44">
        <v>1.47</v>
      </c>
      <c r="K44">
        <v>0</v>
      </c>
      <c r="L44">
        <v>0</v>
      </c>
      <c r="M44">
        <v>0</v>
      </c>
      <c r="N44" s="146">
        <v>1.5</v>
      </c>
      <c r="O44" s="138">
        <v>1.25</v>
      </c>
    </row>
    <row r="45" spans="1:15" x14ac:dyDescent="0.15">
      <c r="A45" t="s">
        <v>79</v>
      </c>
      <c r="D45" s="7"/>
      <c r="E45">
        <v>1.2589999999999999</v>
      </c>
      <c r="F45">
        <v>0</v>
      </c>
      <c r="G45">
        <v>1.2270000000000001</v>
      </c>
      <c r="H45">
        <v>1.004</v>
      </c>
      <c r="I45">
        <v>0</v>
      </c>
      <c r="J45">
        <v>1.323</v>
      </c>
      <c r="K45">
        <v>0</v>
      </c>
      <c r="L45">
        <v>0</v>
      </c>
      <c r="M45">
        <v>0</v>
      </c>
      <c r="N45" s="146">
        <v>1.35</v>
      </c>
      <c r="O45" s="138">
        <v>1.08</v>
      </c>
    </row>
    <row r="46" spans="1:15" x14ac:dyDescent="0.15">
      <c r="A46" t="s">
        <v>80</v>
      </c>
      <c r="D46" s="7"/>
      <c r="E46">
        <v>1.218</v>
      </c>
      <c r="F46">
        <v>1.085</v>
      </c>
      <c r="G46">
        <v>1.18</v>
      </c>
      <c r="H46">
        <v>0.92200000000000004</v>
      </c>
      <c r="I46">
        <v>1.3</v>
      </c>
      <c r="J46">
        <v>1.2849999999999999</v>
      </c>
      <c r="K46">
        <v>1.448</v>
      </c>
      <c r="L46">
        <v>1.43</v>
      </c>
      <c r="M46">
        <v>1.25</v>
      </c>
      <c r="N46" s="146">
        <v>1.3</v>
      </c>
      <c r="O46" s="138">
        <v>1.04</v>
      </c>
    </row>
    <row r="47" spans="1:15" x14ac:dyDescent="0.15">
      <c r="A47" t="s">
        <v>81</v>
      </c>
      <c r="D47" s="7"/>
      <c r="E47">
        <v>71.89</v>
      </c>
      <c r="F47">
        <v>68.7</v>
      </c>
      <c r="G47">
        <v>61</v>
      </c>
      <c r="H47">
        <v>58.14</v>
      </c>
      <c r="I47">
        <v>60</v>
      </c>
      <c r="J47">
        <v>62.91</v>
      </c>
      <c r="K47">
        <v>68</v>
      </c>
      <c r="L47">
        <v>63.25</v>
      </c>
      <c r="M47">
        <v>51.99</v>
      </c>
      <c r="N47" s="146">
        <v>66.5</v>
      </c>
      <c r="O47" s="138">
        <v>67</v>
      </c>
    </row>
    <row r="48" spans="1:15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</row>
    <row r="49" spans="1:15" x14ac:dyDescent="0.15">
      <c r="A49" s="9" t="s">
        <v>490</v>
      </c>
      <c r="D49" s="7"/>
      <c r="E49" s="10" t="s">
        <v>1044</v>
      </c>
      <c r="F49" s="23" t="s">
        <v>591</v>
      </c>
      <c r="G49" s="23" t="s">
        <v>592</v>
      </c>
      <c r="H49" s="23" t="s">
        <v>614</v>
      </c>
      <c r="I49" s="23" t="s">
        <v>594</v>
      </c>
      <c r="J49" s="23" t="s">
        <v>595</v>
      </c>
      <c r="K49" s="23" t="s">
        <v>596</v>
      </c>
      <c r="L49" s="10" t="s">
        <v>486</v>
      </c>
      <c r="M49" s="23" t="s">
        <v>487</v>
      </c>
      <c r="N49" s="10" t="s">
        <v>599</v>
      </c>
      <c r="O49" s="10" t="s">
        <v>600</v>
      </c>
    </row>
    <row r="50" spans="1:15" x14ac:dyDescent="0.15">
      <c r="A50" t="s">
        <v>491</v>
      </c>
      <c r="D50" s="7"/>
      <c r="E50" s="24" t="s">
        <v>492</v>
      </c>
      <c r="F50" s="25" t="s">
        <v>493</v>
      </c>
      <c r="G50" s="25" t="s">
        <v>493</v>
      </c>
      <c r="H50" s="25" t="s">
        <v>493</v>
      </c>
      <c r="I50" s="24" t="s">
        <v>495</v>
      </c>
      <c r="J50" s="25" t="s">
        <v>494</v>
      </c>
      <c r="K50" s="25" t="s">
        <v>493</v>
      </c>
      <c r="L50" s="25" t="s">
        <v>493</v>
      </c>
      <c r="M50" s="25" t="s">
        <v>493</v>
      </c>
      <c r="N50" s="25" t="s">
        <v>493</v>
      </c>
      <c r="O50" s="25" t="s">
        <v>493</v>
      </c>
    </row>
    <row r="51" spans="1:15" x14ac:dyDescent="0.15">
      <c r="A51" t="s">
        <v>496</v>
      </c>
      <c r="D51" s="7"/>
      <c r="E51" s="25" t="s">
        <v>497</v>
      </c>
      <c r="F51" s="25" t="s">
        <v>497</v>
      </c>
      <c r="G51" s="25" t="s">
        <v>497</v>
      </c>
      <c r="H51" s="25" t="s">
        <v>493</v>
      </c>
      <c r="I51" s="25" t="s">
        <v>498</v>
      </c>
      <c r="J51" s="25" t="s">
        <v>498</v>
      </c>
      <c r="K51" s="25" t="s">
        <v>493</v>
      </c>
      <c r="L51" s="25" t="s">
        <v>493</v>
      </c>
      <c r="M51" s="25" t="s">
        <v>493</v>
      </c>
      <c r="N51" s="25" t="s">
        <v>493</v>
      </c>
      <c r="O51" s="25" t="s">
        <v>497</v>
      </c>
    </row>
    <row r="52" spans="1:15" x14ac:dyDescent="0.15">
      <c r="A52" t="s">
        <v>499</v>
      </c>
      <c r="D52" s="7"/>
      <c r="E52" s="25" t="s">
        <v>493</v>
      </c>
      <c r="F52" s="37" t="s">
        <v>493</v>
      </c>
      <c r="G52" s="37" t="s">
        <v>493</v>
      </c>
      <c r="H52" s="37" t="s">
        <v>493</v>
      </c>
      <c r="I52" s="37" t="s">
        <v>493</v>
      </c>
      <c r="J52" s="37" t="s">
        <v>493</v>
      </c>
      <c r="K52" t="s">
        <v>493</v>
      </c>
      <c r="L52" t="s">
        <v>493</v>
      </c>
      <c r="M52" t="s">
        <v>493</v>
      </c>
      <c r="N52" t="s">
        <v>493</v>
      </c>
      <c r="O52" s="37" t="s">
        <v>500</v>
      </c>
    </row>
    <row r="53" spans="1:15" x14ac:dyDescent="0.15">
      <c r="A53" t="s">
        <v>501</v>
      </c>
      <c r="D53" s="7"/>
      <c r="E53" s="25" t="s">
        <v>502</v>
      </c>
      <c r="F53" s="24" t="s">
        <v>503</v>
      </c>
      <c r="G53" s="24" t="s">
        <v>504</v>
      </c>
      <c r="H53" s="24" t="s">
        <v>493</v>
      </c>
      <c r="I53" s="24" t="s">
        <v>493</v>
      </c>
      <c r="J53" s="24" t="s">
        <v>505</v>
      </c>
      <c r="K53" s="24" t="s">
        <v>506</v>
      </c>
      <c r="L53" s="24" t="s">
        <v>529</v>
      </c>
      <c r="M53" s="24" t="s">
        <v>532</v>
      </c>
      <c r="N53" s="24" t="s">
        <v>509</v>
      </c>
      <c r="O53" s="24" t="s">
        <v>510</v>
      </c>
    </row>
    <row r="54" spans="1:15" x14ac:dyDescent="0.15">
      <c r="A54" t="s">
        <v>442</v>
      </c>
      <c r="D54" s="7"/>
      <c r="E54" s="25" t="s">
        <v>512</v>
      </c>
      <c r="F54" s="25" t="s">
        <v>500</v>
      </c>
      <c r="G54" s="25" t="s">
        <v>500</v>
      </c>
      <c r="H54" s="25" t="s">
        <v>493</v>
      </c>
      <c r="I54" s="25" t="s">
        <v>493</v>
      </c>
      <c r="J54" s="25" t="s">
        <v>500</v>
      </c>
      <c r="K54" s="25" t="s">
        <v>493</v>
      </c>
      <c r="L54" s="25" t="s">
        <v>493</v>
      </c>
      <c r="M54" s="25" t="s">
        <v>493</v>
      </c>
      <c r="N54" s="25" t="s">
        <v>493</v>
      </c>
      <c r="O54" s="25" t="s">
        <v>494</v>
      </c>
    </row>
    <row r="55" spans="1:15" x14ac:dyDescent="0.15">
      <c r="A55" s="45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144"/>
      <c r="M55" s="144"/>
      <c r="N55" s="46"/>
      <c r="O55" s="46"/>
    </row>
  </sheetData>
  <sheetProtection algorithmName="SHA-512" hashValue="WVppPe96LPX4KNSa6R2heIJlmuPNKfNBlGvHEmxw0EppwtLzEprmQtK5P18IpePA5++ynd55oFXmZpdpqYM7QA==" saltValue="KNf/N/1cyTIfR4LnCNxxA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/>
  <dimension ref="A1:O59"/>
  <sheetViews>
    <sheetView workbookViewId="0">
      <selection activeCell="E29" sqref="E2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5" x14ac:dyDescent="0.15">
      <c r="A1" t="s">
        <v>722</v>
      </c>
    </row>
    <row r="2" spans="1:15" x14ac:dyDescent="0.15">
      <c r="A2" s="145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46"/>
      <c r="O2" s="46"/>
    </row>
    <row r="3" spans="1:15" x14ac:dyDescent="0.15">
      <c r="A3" s="8" t="s">
        <v>82</v>
      </c>
      <c r="D3" s="7"/>
    </row>
    <row r="4" spans="1:15" x14ac:dyDescent="0.15">
      <c r="D4" s="7"/>
      <c r="E4" s="8" t="s">
        <v>62</v>
      </c>
    </row>
    <row r="5" spans="1:15" x14ac:dyDescent="0.15">
      <c r="A5" s="9" t="s">
        <v>83</v>
      </c>
      <c r="D5" s="7"/>
    </row>
    <row r="6" spans="1:15" x14ac:dyDescent="0.15">
      <c r="A6" s="9" t="s">
        <v>1024</v>
      </c>
      <c r="D6" s="7"/>
      <c r="E6" s="10" t="s">
        <v>1044</v>
      </c>
      <c r="F6" s="23" t="s">
        <v>591</v>
      </c>
      <c r="G6" s="23" t="s">
        <v>592</v>
      </c>
      <c r="H6" s="10" t="s">
        <v>614</v>
      </c>
      <c r="I6" s="23" t="s">
        <v>594</v>
      </c>
      <c r="J6" s="23" t="s">
        <v>595</v>
      </c>
      <c r="K6" s="23" t="s">
        <v>596</v>
      </c>
      <c r="L6" s="10" t="s">
        <v>486</v>
      </c>
      <c r="M6" s="23" t="s">
        <v>487</v>
      </c>
      <c r="N6" s="10" t="s">
        <v>599</v>
      </c>
      <c r="O6" s="10" t="s">
        <v>600</v>
      </c>
    </row>
    <row r="7" spans="1:15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  <c r="L7" s="14">
        <v>0.33329999999999999</v>
      </c>
      <c r="M7" s="14">
        <v>0.33329999999999999</v>
      </c>
      <c r="N7" s="14">
        <v>0.33329999999999999</v>
      </c>
      <c r="O7" s="14">
        <v>0.33329999999999999</v>
      </c>
    </row>
    <row r="8" spans="1:15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  <c r="L8" s="15">
        <v>2</v>
      </c>
      <c r="M8" s="15">
        <v>2</v>
      </c>
      <c r="N8" s="15">
        <v>2</v>
      </c>
      <c r="O8" s="15">
        <v>2</v>
      </c>
    </row>
    <row r="9" spans="1:15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  <c r="L9" s="14">
        <v>0.66659999999999997</v>
      </c>
      <c r="M9" s="14">
        <v>0.66659999999999997</v>
      </c>
      <c r="N9" s="14">
        <v>0.66659999999999997</v>
      </c>
      <c r="O9" s="14">
        <v>0.66659999999999997</v>
      </c>
    </row>
    <row r="10" spans="1:15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  <c r="L10" s="15">
        <v>4</v>
      </c>
      <c r="M10" s="15">
        <v>4</v>
      </c>
      <c r="N10" s="15">
        <v>4</v>
      </c>
      <c r="O10" s="15">
        <v>4</v>
      </c>
    </row>
    <row r="11" spans="1:15" x14ac:dyDescent="0.15">
      <c r="A11" t="s">
        <v>67</v>
      </c>
      <c r="D11" s="7"/>
      <c r="E11" s="15">
        <v>1645</v>
      </c>
      <c r="F11">
        <v>4000</v>
      </c>
      <c r="G11" s="15">
        <v>1645</v>
      </c>
      <c r="H11" s="15">
        <v>1645</v>
      </c>
      <c r="I11">
        <v>4000</v>
      </c>
      <c r="J11" s="15">
        <v>1645</v>
      </c>
      <c r="K11">
        <v>3000</v>
      </c>
      <c r="L11" s="15">
        <v>1645</v>
      </c>
      <c r="M11">
        <v>4000</v>
      </c>
      <c r="N11" s="15">
        <v>1645</v>
      </c>
      <c r="O11" s="15">
        <v>1645</v>
      </c>
    </row>
    <row r="12" spans="1:15" x14ac:dyDescent="0.15">
      <c r="A12" s="11" t="s">
        <v>84</v>
      </c>
      <c r="B12" s="11"/>
      <c r="C12" s="11"/>
      <c r="D12" s="12"/>
      <c r="E12" s="11">
        <v>3000</v>
      </c>
      <c r="F12" s="11">
        <v>12000</v>
      </c>
      <c r="G12" s="11">
        <v>3000</v>
      </c>
      <c r="H12" s="11">
        <v>3000</v>
      </c>
      <c r="I12" s="11">
        <v>12000</v>
      </c>
      <c r="J12" s="11">
        <v>3000</v>
      </c>
      <c r="K12" s="11">
        <v>3000</v>
      </c>
      <c r="L12" s="11">
        <v>3000</v>
      </c>
      <c r="M12" s="11">
        <v>12000</v>
      </c>
      <c r="N12" s="11">
        <v>3000</v>
      </c>
      <c r="O12" s="11">
        <v>3000</v>
      </c>
    </row>
    <row r="13" spans="1:15" x14ac:dyDescent="0.15">
      <c r="A13" t="s">
        <v>71</v>
      </c>
      <c r="D13" s="7"/>
      <c r="E13">
        <v>2.1419999999999999</v>
      </c>
      <c r="F13">
        <v>1.915</v>
      </c>
      <c r="G13">
        <v>2.5</v>
      </c>
      <c r="H13">
        <v>1.792</v>
      </c>
      <c r="I13">
        <v>1.81</v>
      </c>
      <c r="J13">
        <v>2.4329999999999998</v>
      </c>
      <c r="K13">
        <v>2.1389999999999998</v>
      </c>
      <c r="L13">
        <v>1.85</v>
      </c>
      <c r="M13">
        <v>1.78</v>
      </c>
      <c r="N13">
        <v>2.38</v>
      </c>
      <c r="O13">
        <v>2.34</v>
      </c>
    </row>
    <row r="14" spans="1:15" x14ac:dyDescent="0.15">
      <c r="A14" t="s">
        <v>72</v>
      </c>
      <c r="D14" s="7"/>
      <c r="E14">
        <v>1.9470000000000001</v>
      </c>
      <c r="F14">
        <v>1.841</v>
      </c>
      <c r="G14">
        <v>2</v>
      </c>
      <c r="H14">
        <v>1.5229999999999999</v>
      </c>
      <c r="I14">
        <v>1.71</v>
      </c>
      <c r="J14">
        <v>2.0459999999999998</v>
      </c>
      <c r="K14">
        <v>0</v>
      </c>
      <c r="L14">
        <v>1.85</v>
      </c>
      <c r="M14">
        <v>1.63</v>
      </c>
      <c r="N14">
        <v>1.98</v>
      </c>
      <c r="O14">
        <v>1.89</v>
      </c>
    </row>
    <row r="15" spans="1:15" x14ac:dyDescent="0.15">
      <c r="A15" t="s">
        <v>75</v>
      </c>
      <c r="D15" s="7"/>
      <c r="E15">
        <v>1.625</v>
      </c>
      <c r="F15">
        <v>1.474</v>
      </c>
      <c r="G15">
        <v>1.58</v>
      </c>
      <c r="H15">
        <v>1.254</v>
      </c>
      <c r="I15">
        <v>1.33</v>
      </c>
      <c r="J15">
        <v>1.71</v>
      </c>
      <c r="K15">
        <v>1.647</v>
      </c>
      <c r="L15">
        <v>1.6400000000000001</v>
      </c>
      <c r="M15">
        <v>1.33</v>
      </c>
      <c r="N15">
        <v>1.64</v>
      </c>
      <c r="O15">
        <v>1.54</v>
      </c>
    </row>
    <row r="16" spans="1:15" x14ac:dyDescent="0.15">
      <c r="A16" t="s">
        <v>76</v>
      </c>
      <c r="D16" s="7"/>
      <c r="E16">
        <v>2.1419999999999999</v>
      </c>
      <c r="F16">
        <v>1.915</v>
      </c>
      <c r="G16">
        <v>2.48</v>
      </c>
      <c r="H16">
        <v>1.7509999999999999</v>
      </c>
      <c r="I16">
        <v>1.73</v>
      </c>
      <c r="J16">
        <v>2.4329999999999998</v>
      </c>
      <c r="K16">
        <v>2.1389999999999998</v>
      </c>
      <c r="L16">
        <v>1.85</v>
      </c>
      <c r="M16">
        <v>1.7000000000000002</v>
      </c>
      <c r="N16">
        <v>2.38</v>
      </c>
      <c r="O16">
        <v>2.34</v>
      </c>
    </row>
    <row r="17" spans="1:15" x14ac:dyDescent="0.15">
      <c r="A17" t="s">
        <v>77</v>
      </c>
      <c r="D17" s="7"/>
      <c r="E17">
        <v>1.9470000000000001</v>
      </c>
      <c r="F17">
        <v>1.841</v>
      </c>
      <c r="G17">
        <v>1.98</v>
      </c>
      <c r="H17">
        <v>1.482</v>
      </c>
      <c r="I17">
        <v>1.66</v>
      </c>
      <c r="J17">
        <v>2.0459999999999998</v>
      </c>
      <c r="K17">
        <v>0</v>
      </c>
      <c r="L17">
        <v>1.85</v>
      </c>
      <c r="M17">
        <v>1.6099999999999999</v>
      </c>
      <c r="N17">
        <v>1.98</v>
      </c>
      <c r="O17">
        <v>1.89</v>
      </c>
    </row>
    <row r="18" spans="1:15" x14ac:dyDescent="0.15">
      <c r="A18" t="s">
        <v>80</v>
      </c>
      <c r="D18" s="7"/>
      <c r="E18">
        <v>1.625</v>
      </c>
      <c r="F18">
        <v>1.474</v>
      </c>
      <c r="G18">
        <v>1.56</v>
      </c>
      <c r="H18">
        <v>1.212</v>
      </c>
      <c r="I18">
        <v>1.29</v>
      </c>
      <c r="J18">
        <v>1.71</v>
      </c>
      <c r="K18">
        <v>1.647</v>
      </c>
      <c r="L18">
        <v>1.6400000000000001</v>
      </c>
      <c r="M18">
        <v>1.2999999999999998</v>
      </c>
      <c r="N18">
        <v>1.64</v>
      </c>
      <c r="O18">
        <v>1.54</v>
      </c>
    </row>
    <row r="19" spans="1:15" x14ac:dyDescent="0.15">
      <c r="A19" t="s">
        <v>81</v>
      </c>
      <c r="D19" s="7"/>
      <c r="E19">
        <v>66.040000000000006</v>
      </c>
      <c r="F19">
        <v>64.22</v>
      </c>
      <c r="G19">
        <v>70</v>
      </c>
      <c r="H19">
        <v>64.089999999999989</v>
      </c>
      <c r="I19">
        <v>61.14</v>
      </c>
      <c r="J19">
        <v>64.459999999999994</v>
      </c>
      <c r="K19">
        <v>68</v>
      </c>
      <c r="L19">
        <v>64.570000000000007</v>
      </c>
      <c r="M19">
        <v>56.95</v>
      </c>
      <c r="N19">
        <v>66.5</v>
      </c>
      <c r="O19">
        <v>62</v>
      </c>
    </row>
    <row r="20" spans="1:15" x14ac:dyDescent="0.15">
      <c r="D20" s="7"/>
    </row>
    <row r="21" spans="1:15" x14ac:dyDescent="0.15">
      <c r="A21" s="9" t="s">
        <v>85</v>
      </c>
      <c r="D21" s="7"/>
    </row>
    <row r="22" spans="1:15" x14ac:dyDescent="0.15">
      <c r="A22" s="9" t="s">
        <v>488</v>
      </c>
      <c r="D22" s="7"/>
      <c r="E22" s="10" t="s">
        <v>1044</v>
      </c>
      <c r="F22" s="23" t="s">
        <v>591</v>
      </c>
      <c r="G22" s="23" t="s">
        <v>592</v>
      </c>
      <c r="H22" s="10" t="s">
        <v>614</v>
      </c>
      <c r="I22" s="10" t="s">
        <v>615</v>
      </c>
      <c r="J22" s="23" t="s">
        <v>546</v>
      </c>
      <c r="K22" s="10" t="s">
        <v>545</v>
      </c>
      <c r="L22" s="10" t="s">
        <v>486</v>
      </c>
      <c r="M22" s="10" t="s">
        <v>487</v>
      </c>
      <c r="N22" s="10" t="s">
        <v>599</v>
      </c>
      <c r="O22" s="10" t="s">
        <v>600</v>
      </c>
    </row>
    <row r="23" spans="1:15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  <c r="L23" s="14">
        <v>0.33329999999999999</v>
      </c>
      <c r="M23" s="14">
        <v>0.33329999999999999</v>
      </c>
      <c r="N23" s="14">
        <v>0.33329999999999999</v>
      </c>
      <c r="O23" s="14">
        <v>0.33329999999999999</v>
      </c>
    </row>
    <row r="24" spans="1:15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  <c r="L24" s="15">
        <v>2</v>
      </c>
      <c r="M24" s="15">
        <v>2</v>
      </c>
      <c r="N24" s="15">
        <v>2</v>
      </c>
      <c r="O24" s="15">
        <v>2</v>
      </c>
    </row>
    <row r="25" spans="1:15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  <c r="L25" s="14">
        <v>0.66659999999999997</v>
      </c>
      <c r="M25" s="14">
        <v>0.66659999999999997</v>
      </c>
      <c r="N25" s="14">
        <v>0.66659999999999997</v>
      </c>
      <c r="O25" s="14">
        <v>0.66659999999999997</v>
      </c>
    </row>
    <row r="26" spans="1:15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  <c r="L26" s="15">
        <v>4</v>
      </c>
      <c r="M26" s="15">
        <v>4</v>
      </c>
      <c r="N26" s="15">
        <v>4</v>
      </c>
      <c r="O26" s="15">
        <v>4</v>
      </c>
    </row>
    <row r="27" spans="1:15" x14ac:dyDescent="0.15">
      <c r="A27" t="s">
        <v>67</v>
      </c>
      <c r="D27" s="7"/>
      <c r="E27" s="15">
        <v>1645</v>
      </c>
      <c r="F27">
        <v>4000</v>
      </c>
      <c r="G27" s="15">
        <v>1645</v>
      </c>
      <c r="H27" s="15">
        <v>1645</v>
      </c>
      <c r="I27" s="15">
        <v>3200</v>
      </c>
      <c r="J27" s="15">
        <v>1645</v>
      </c>
      <c r="K27">
        <v>3000</v>
      </c>
      <c r="L27" s="15">
        <v>1644</v>
      </c>
      <c r="M27" s="15">
        <v>3200</v>
      </c>
      <c r="N27" s="15">
        <v>1645</v>
      </c>
      <c r="O27" s="15">
        <v>1645</v>
      </c>
    </row>
    <row r="28" spans="1:15" x14ac:dyDescent="0.15">
      <c r="A28" s="11" t="s">
        <v>68</v>
      </c>
      <c r="B28" s="11"/>
      <c r="C28" s="11"/>
      <c r="D28" s="12"/>
      <c r="E28" s="11">
        <v>3000</v>
      </c>
      <c r="F28" s="11">
        <v>12000</v>
      </c>
      <c r="G28" s="11">
        <v>3000</v>
      </c>
      <c r="H28" s="11">
        <v>3000</v>
      </c>
      <c r="I28" s="11">
        <v>3200</v>
      </c>
      <c r="J28" s="11">
        <v>3000</v>
      </c>
      <c r="K28" s="11">
        <v>3000</v>
      </c>
      <c r="L28" s="11">
        <v>1644</v>
      </c>
      <c r="M28" s="11">
        <v>3200</v>
      </c>
      <c r="N28" s="11">
        <v>3000</v>
      </c>
      <c r="O28" s="11">
        <v>3000</v>
      </c>
    </row>
    <row r="29" spans="1:15" x14ac:dyDescent="0.15">
      <c r="A29" t="s">
        <v>71</v>
      </c>
      <c r="D29" s="7"/>
      <c r="E29">
        <v>2.2109999999999999</v>
      </c>
      <c r="F29">
        <v>2.0019999999999998</v>
      </c>
      <c r="G29">
        <v>2.59</v>
      </c>
      <c r="H29">
        <v>1.927</v>
      </c>
      <c r="I29">
        <v>1.8</v>
      </c>
      <c r="J29">
        <v>2.5150000000000001</v>
      </c>
      <c r="K29">
        <v>2.1110000000000002</v>
      </c>
      <c r="L29">
        <v>1.9300000000000002</v>
      </c>
      <c r="M29">
        <v>1.76</v>
      </c>
      <c r="N29">
        <v>2.44</v>
      </c>
      <c r="O29">
        <v>2.5299999999999998</v>
      </c>
    </row>
    <row r="30" spans="1:15" x14ac:dyDescent="0.15">
      <c r="A30" t="s">
        <v>72</v>
      </c>
      <c r="D30" s="7"/>
      <c r="E30">
        <v>2.1120000000000001</v>
      </c>
      <c r="F30">
        <v>1.788</v>
      </c>
      <c r="G30">
        <v>2.0499999999999998</v>
      </c>
      <c r="H30">
        <v>1.6120000000000001</v>
      </c>
      <c r="I30">
        <v>0</v>
      </c>
      <c r="J30">
        <v>2.0720000000000001</v>
      </c>
      <c r="K30">
        <v>0</v>
      </c>
      <c r="L30">
        <v>0</v>
      </c>
      <c r="M30">
        <v>0</v>
      </c>
      <c r="N30">
        <v>1.98</v>
      </c>
      <c r="O30">
        <v>2.02</v>
      </c>
    </row>
    <row r="31" spans="1:15" x14ac:dyDescent="0.15">
      <c r="A31" t="s">
        <v>75</v>
      </c>
      <c r="D31" s="7"/>
      <c r="E31">
        <v>1.429</v>
      </c>
      <c r="F31">
        <v>1.5429999999999999</v>
      </c>
      <c r="G31">
        <v>1.48</v>
      </c>
      <c r="H31">
        <v>1.302</v>
      </c>
      <c r="I31">
        <v>1.59</v>
      </c>
      <c r="J31">
        <v>1.6839999999999999</v>
      </c>
      <c r="K31">
        <v>1.5620000000000001</v>
      </c>
      <c r="L31">
        <v>1.52</v>
      </c>
      <c r="M31">
        <v>1.49</v>
      </c>
      <c r="N31">
        <v>1.58</v>
      </c>
      <c r="O31">
        <v>1.58</v>
      </c>
    </row>
    <row r="32" spans="1:15" x14ac:dyDescent="0.15">
      <c r="A32" t="s">
        <v>76</v>
      </c>
      <c r="D32" s="7"/>
      <c r="E32">
        <v>2.2109999999999999</v>
      </c>
      <c r="F32">
        <v>2.0019999999999998</v>
      </c>
      <c r="G32">
        <v>2.59</v>
      </c>
      <c r="H32">
        <v>1.8859999999999999</v>
      </c>
      <c r="I32">
        <v>1.69</v>
      </c>
      <c r="J32">
        <v>2.5150000000000001</v>
      </c>
      <c r="K32">
        <v>2.1110000000000002</v>
      </c>
      <c r="L32">
        <v>1.9300000000000002</v>
      </c>
      <c r="M32">
        <v>1.63</v>
      </c>
      <c r="N32">
        <v>2.44</v>
      </c>
      <c r="O32">
        <v>2.5299999999999998</v>
      </c>
    </row>
    <row r="33" spans="1:15" x14ac:dyDescent="0.15">
      <c r="A33" t="s">
        <v>86</v>
      </c>
      <c r="D33" s="7"/>
      <c r="E33">
        <v>2.1120000000000001</v>
      </c>
      <c r="F33">
        <v>1.788</v>
      </c>
      <c r="G33">
        <v>2.0499999999999998</v>
      </c>
      <c r="H33">
        <v>1.57</v>
      </c>
      <c r="I33">
        <v>0</v>
      </c>
      <c r="J33">
        <v>2.0720000000000001</v>
      </c>
      <c r="K33">
        <v>0</v>
      </c>
      <c r="L33">
        <v>0</v>
      </c>
      <c r="M33">
        <v>0</v>
      </c>
      <c r="N33">
        <v>1.98</v>
      </c>
      <c r="O33">
        <v>2.02</v>
      </c>
    </row>
    <row r="34" spans="1:15" x14ac:dyDescent="0.15">
      <c r="A34" t="s">
        <v>80</v>
      </c>
      <c r="D34" s="7"/>
      <c r="E34">
        <v>1.429</v>
      </c>
      <c r="F34">
        <v>1.5429999999999999</v>
      </c>
      <c r="G34">
        <v>1.48</v>
      </c>
      <c r="H34">
        <v>1.2609999999999999</v>
      </c>
      <c r="I34">
        <v>1.51</v>
      </c>
      <c r="J34">
        <v>1.6839999999999999</v>
      </c>
      <c r="K34">
        <v>1.5620000000000001</v>
      </c>
      <c r="L34">
        <v>1.52</v>
      </c>
      <c r="M34">
        <v>1.41</v>
      </c>
      <c r="N34">
        <v>1.58</v>
      </c>
      <c r="O34">
        <v>1.58</v>
      </c>
    </row>
    <row r="35" spans="1:15" x14ac:dyDescent="0.15">
      <c r="A35" t="s">
        <v>81</v>
      </c>
      <c r="D35" s="7"/>
      <c r="E35">
        <v>65.8</v>
      </c>
      <c r="F35">
        <v>64.13</v>
      </c>
      <c r="G35">
        <v>71</v>
      </c>
      <c r="H35">
        <v>62.379999999999995</v>
      </c>
      <c r="I35">
        <v>59.64</v>
      </c>
      <c r="J35">
        <v>64.45</v>
      </c>
      <c r="K35">
        <v>68</v>
      </c>
      <c r="L35">
        <v>63.81</v>
      </c>
      <c r="M35">
        <v>56.95</v>
      </c>
      <c r="N35">
        <v>66.5</v>
      </c>
      <c r="O35">
        <v>66.5</v>
      </c>
    </row>
    <row r="36" spans="1:15" x14ac:dyDescent="0.15">
      <c r="D36" s="7"/>
    </row>
    <row r="37" spans="1:15" x14ac:dyDescent="0.15">
      <c r="A37" s="9" t="s">
        <v>85</v>
      </c>
      <c r="D37" s="7"/>
    </row>
    <row r="38" spans="1:15" x14ac:dyDescent="0.15">
      <c r="A38" s="9" t="s">
        <v>1028</v>
      </c>
      <c r="D38" s="7"/>
      <c r="E38" s="10" t="s">
        <v>1044</v>
      </c>
      <c r="F38" s="23" t="s">
        <v>591</v>
      </c>
      <c r="G38" s="23" t="s">
        <v>592</v>
      </c>
      <c r="H38" s="10" t="s">
        <v>614</v>
      </c>
      <c r="I38" s="10" t="s">
        <v>615</v>
      </c>
      <c r="J38" s="23" t="s">
        <v>546</v>
      </c>
      <c r="K38" s="10" t="s">
        <v>545</v>
      </c>
      <c r="L38" s="10" t="s">
        <v>486</v>
      </c>
      <c r="M38" s="10" t="s">
        <v>487</v>
      </c>
      <c r="N38" s="10" t="s">
        <v>599</v>
      </c>
      <c r="O38" s="10" t="s">
        <v>600</v>
      </c>
    </row>
    <row r="39" spans="1:15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  <c r="L39" s="14">
        <v>0.33329999999999999</v>
      </c>
      <c r="M39" s="14">
        <v>0.33329999999999999</v>
      </c>
      <c r="N39" s="14">
        <v>0.33329999999999999</v>
      </c>
      <c r="O39" s="14">
        <v>0.33329999999999999</v>
      </c>
    </row>
    <row r="40" spans="1:15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  <c r="L40" s="15">
        <v>2</v>
      </c>
      <c r="M40" s="15">
        <v>2</v>
      </c>
      <c r="N40" s="15">
        <v>2</v>
      </c>
      <c r="O40" s="15">
        <v>2</v>
      </c>
    </row>
    <row r="41" spans="1:15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  <c r="L41" s="14">
        <v>0.66659999999999997</v>
      </c>
      <c r="M41" s="14">
        <v>0.66659999999999997</v>
      </c>
      <c r="N41" s="14">
        <v>0.66659999999999997</v>
      </c>
      <c r="O41" s="14">
        <v>0.66659999999999997</v>
      </c>
    </row>
    <row r="42" spans="1:15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  <c r="L42" s="15">
        <v>4</v>
      </c>
      <c r="M42" s="15">
        <v>4</v>
      </c>
      <c r="N42" s="15">
        <v>4</v>
      </c>
      <c r="O42" s="15">
        <v>4</v>
      </c>
    </row>
    <row r="43" spans="1:15" x14ac:dyDescent="0.15">
      <c r="A43" t="s">
        <v>67</v>
      </c>
      <c r="D43" s="7"/>
      <c r="E43" s="15">
        <v>1645</v>
      </c>
      <c r="F43">
        <v>4000</v>
      </c>
      <c r="G43" s="15">
        <v>1645</v>
      </c>
      <c r="H43" s="15">
        <v>1645</v>
      </c>
      <c r="I43">
        <v>4000</v>
      </c>
      <c r="J43" s="15">
        <v>1645</v>
      </c>
      <c r="K43">
        <v>3000</v>
      </c>
      <c r="L43" s="15">
        <v>1645</v>
      </c>
      <c r="M43">
        <v>4000</v>
      </c>
      <c r="N43" s="15">
        <v>1645</v>
      </c>
      <c r="O43" s="15">
        <v>1645</v>
      </c>
    </row>
    <row r="44" spans="1:15" x14ac:dyDescent="0.15">
      <c r="A44" s="11" t="s">
        <v>84</v>
      </c>
      <c r="B44" s="11"/>
      <c r="C44" s="11"/>
      <c r="D44" s="12"/>
      <c r="E44" s="11">
        <v>3000</v>
      </c>
      <c r="F44" s="11">
        <v>12000</v>
      </c>
      <c r="G44" s="11">
        <v>3000</v>
      </c>
      <c r="H44" s="11">
        <v>3000</v>
      </c>
      <c r="I44" s="11">
        <v>12000</v>
      </c>
      <c r="J44" s="11">
        <v>3000</v>
      </c>
      <c r="K44" s="11">
        <v>3000</v>
      </c>
      <c r="L44" s="11">
        <v>3000</v>
      </c>
      <c r="M44" s="11">
        <v>12000</v>
      </c>
      <c r="N44" s="11">
        <v>3000</v>
      </c>
      <c r="O44" s="11">
        <v>3000</v>
      </c>
    </row>
    <row r="45" spans="1:15" x14ac:dyDescent="0.15">
      <c r="A45" t="s">
        <v>71</v>
      </c>
      <c r="D45" s="7"/>
      <c r="E45">
        <v>2.2450000000000001</v>
      </c>
      <c r="F45">
        <v>2.0019999999999998</v>
      </c>
      <c r="G45">
        <v>2.6</v>
      </c>
      <c r="H45">
        <v>1.927</v>
      </c>
      <c r="I45">
        <v>1.85</v>
      </c>
      <c r="J45">
        <v>2.5009999999999999</v>
      </c>
      <c r="K45">
        <v>2.1110000000000002</v>
      </c>
      <c r="L45">
        <v>2.29</v>
      </c>
      <c r="M45">
        <v>1.8</v>
      </c>
      <c r="N45">
        <v>2.44</v>
      </c>
      <c r="O45">
        <v>2.5299999999999998</v>
      </c>
    </row>
    <row r="46" spans="1:15" x14ac:dyDescent="0.15">
      <c r="A46" t="s">
        <v>72</v>
      </c>
      <c r="D46" s="7"/>
      <c r="E46">
        <v>1.9219999999999999</v>
      </c>
      <c r="F46">
        <v>1.788</v>
      </c>
      <c r="G46">
        <v>2.0499999999999998</v>
      </c>
      <c r="H46">
        <v>1.6120000000000001</v>
      </c>
      <c r="I46">
        <v>1.64</v>
      </c>
      <c r="J46">
        <v>2.0579999999999998</v>
      </c>
      <c r="K46">
        <v>0</v>
      </c>
      <c r="L46">
        <v>1.9600000000000002</v>
      </c>
      <c r="M46">
        <v>1.57</v>
      </c>
      <c r="N46">
        <v>1.98</v>
      </c>
      <c r="O46">
        <v>2.02</v>
      </c>
    </row>
    <row r="47" spans="1:15" x14ac:dyDescent="0.15">
      <c r="A47" t="s">
        <v>75</v>
      </c>
      <c r="D47" s="7"/>
      <c r="E47">
        <v>1.53</v>
      </c>
      <c r="F47">
        <v>1.5429999999999999</v>
      </c>
      <c r="G47">
        <v>1.5820000000000001</v>
      </c>
      <c r="H47">
        <v>1.302</v>
      </c>
      <c r="I47">
        <v>1.39</v>
      </c>
      <c r="J47">
        <v>1.671</v>
      </c>
      <c r="K47">
        <v>1.5620000000000001</v>
      </c>
      <c r="L47">
        <v>1.54</v>
      </c>
      <c r="M47">
        <v>1.27</v>
      </c>
      <c r="N47">
        <v>1.58</v>
      </c>
      <c r="O47">
        <v>1.58</v>
      </c>
    </row>
    <row r="48" spans="1:15" x14ac:dyDescent="0.15">
      <c r="A48" t="s">
        <v>76</v>
      </c>
      <c r="D48" s="7"/>
      <c r="E48">
        <v>2.2450000000000001</v>
      </c>
      <c r="F48">
        <v>2.0019999999999998</v>
      </c>
      <c r="G48">
        <v>2.6</v>
      </c>
      <c r="H48">
        <v>1.8859999999999999</v>
      </c>
      <c r="I48">
        <v>1.82</v>
      </c>
      <c r="J48">
        <v>2.5009999999999999</v>
      </c>
      <c r="K48">
        <v>2.1110000000000002</v>
      </c>
      <c r="L48">
        <v>2.29</v>
      </c>
      <c r="M48">
        <v>1.74</v>
      </c>
      <c r="N48">
        <v>2.44</v>
      </c>
      <c r="O48">
        <v>2.5299999999999998</v>
      </c>
    </row>
    <row r="49" spans="1:15" x14ac:dyDescent="0.15">
      <c r="A49" t="s">
        <v>77</v>
      </c>
      <c r="D49" s="7"/>
      <c r="E49">
        <v>1.9219999999999999</v>
      </c>
      <c r="F49">
        <v>1.788</v>
      </c>
      <c r="G49">
        <v>2.0499999999999998</v>
      </c>
      <c r="H49">
        <v>1.57</v>
      </c>
      <c r="I49">
        <v>1.62</v>
      </c>
      <c r="J49">
        <v>2.0579999999999998</v>
      </c>
      <c r="K49">
        <v>0</v>
      </c>
      <c r="L49">
        <v>1.9600000000000002</v>
      </c>
      <c r="M49">
        <v>1.5</v>
      </c>
      <c r="N49">
        <v>1.98</v>
      </c>
      <c r="O49">
        <v>2.02</v>
      </c>
    </row>
    <row r="50" spans="1:15" x14ac:dyDescent="0.15">
      <c r="A50" t="s">
        <v>80</v>
      </c>
      <c r="D50" s="7"/>
      <c r="E50">
        <v>1.53</v>
      </c>
      <c r="F50">
        <v>1.5429999999999999</v>
      </c>
      <c r="G50">
        <v>1.5820000000000001</v>
      </c>
      <c r="H50">
        <v>1.2609999999999999</v>
      </c>
      <c r="I50">
        <v>1.31</v>
      </c>
      <c r="J50">
        <v>1.671</v>
      </c>
      <c r="K50">
        <v>1.5620000000000001</v>
      </c>
      <c r="L50">
        <v>1.54</v>
      </c>
      <c r="M50">
        <v>1.2599999999999998</v>
      </c>
      <c r="N50">
        <v>1.58</v>
      </c>
      <c r="O50">
        <v>1.58</v>
      </c>
    </row>
    <row r="51" spans="1:15" x14ac:dyDescent="0.15">
      <c r="A51" t="s">
        <v>81</v>
      </c>
      <c r="D51" s="7"/>
      <c r="E51">
        <v>67.75</v>
      </c>
      <c r="F51">
        <v>64.13</v>
      </c>
      <c r="G51">
        <v>71</v>
      </c>
      <c r="H51">
        <v>62.379999999999995</v>
      </c>
      <c r="I51">
        <v>61.14</v>
      </c>
      <c r="J51">
        <v>64.459999999999994</v>
      </c>
      <c r="K51">
        <v>68</v>
      </c>
      <c r="L51">
        <v>64.570000000000007</v>
      </c>
      <c r="M51">
        <v>56.95</v>
      </c>
      <c r="N51">
        <v>66.5</v>
      </c>
      <c r="O51">
        <v>66.5</v>
      </c>
    </row>
    <row r="52" spans="1:15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</row>
    <row r="53" spans="1:15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614</v>
      </c>
      <c r="I53" s="23" t="s">
        <v>594</v>
      </c>
      <c r="J53" s="23" t="s">
        <v>595</v>
      </c>
      <c r="K53" s="23" t="s">
        <v>596</v>
      </c>
      <c r="L53" s="10" t="s">
        <v>486</v>
      </c>
      <c r="M53" s="23" t="s">
        <v>487</v>
      </c>
      <c r="N53" s="10" t="s">
        <v>599</v>
      </c>
      <c r="O53" s="10" t="s">
        <v>600</v>
      </c>
    </row>
    <row r="54" spans="1:15" x14ac:dyDescent="0.15">
      <c r="A54" t="s">
        <v>491</v>
      </c>
      <c r="D54" s="7"/>
      <c r="E54" s="24" t="s">
        <v>492</v>
      </c>
      <c r="F54" s="25" t="s">
        <v>493</v>
      </c>
      <c r="G54" s="25" t="s">
        <v>493</v>
      </c>
      <c r="H54" s="25" t="s">
        <v>493</v>
      </c>
      <c r="I54" s="24" t="s">
        <v>495</v>
      </c>
      <c r="J54" s="25" t="s">
        <v>494</v>
      </c>
      <c r="K54" s="25" t="s">
        <v>493</v>
      </c>
      <c r="L54" s="25" t="s">
        <v>493</v>
      </c>
      <c r="M54" s="25" t="s">
        <v>493</v>
      </c>
      <c r="N54" s="25" t="s">
        <v>493</v>
      </c>
      <c r="O54" s="25" t="s">
        <v>493</v>
      </c>
    </row>
    <row r="55" spans="1:15" x14ac:dyDescent="0.15">
      <c r="A55" t="s">
        <v>496</v>
      </c>
      <c r="D55" s="7"/>
      <c r="E55" s="25" t="s">
        <v>497</v>
      </c>
      <c r="F55" s="25" t="s">
        <v>497</v>
      </c>
      <c r="G55" s="25" t="s">
        <v>497</v>
      </c>
      <c r="H55" s="25" t="s">
        <v>493</v>
      </c>
      <c r="I55" s="25" t="s">
        <v>498</v>
      </c>
      <c r="J55" s="25" t="s">
        <v>498</v>
      </c>
      <c r="K55" s="25" t="s">
        <v>493</v>
      </c>
      <c r="L55" s="25" t="s">
        <v>493</v>
      </c>
      <c r="M55" s="25" t="s">
        <v>493</v>
      </c>
      <c r="N55" s="25" t="s">
        <v>493</v>
      </c>
      <c r="O55" s="25" t="s">
        <v>497</v>
      </c>
    </row>
    <row r="56" spans="1:15" x14ac:dyDescent="0.15">
      <c r="A56" t="s">
        <v>499</v>
      </c>
      <c r="D56" s="7"/>
      <c r="E56" s="25" t="s">
        <v>493</v>
      </c>
      <c r="F56" s="37" t="s">
        <v>493</v>
      </c>
      <c r="G56" s="37" t="s">
        <v>493</v>
      </c>
      <c r="H56" s="37" t="s">
        <v>493</v>
      </c>
      <c r="I56" s="37" t="s">
        <v>493</v>
      </c>
      <c r="J56" s="37" t="s">
        <v>493</v>
      </c>
      <c r="K56" t="s">
        <v>493</v>
      </c>
      <c r="L56" t="s">
        <v>493</v>
      </c>
      <c r="M56" t="s">
        <v>493</v>
      </c>
      <c r="N56" t="s">
        <v>493</v>
      </c>
      <c r="O56" s="37" t="s">
        <v>500</v>
      </c>
    </row>
    <row r="57" spans="1:15" x14ac:dyDescent="0.15">
      <c r="A57" t="s">
        <v>501</v>
      </c>
      <c r="D57" s="7"/>
      <c r="E57" s="25" t="s">
        <v>502</v>
      </c>
      <c r="F57" s="24" t="s">
        <v>503</v>
      </c>
      <c r="G57" s="24" t="s">
        <v>504</v>
      </c>
      <c r="H57" s="24" t="s">
        <v>493</v>
      </c>
      <c r="I57" s="24" t="s">
        <v>493</v>
      </c>
      <c r="J57" s="24" t="s">
        <v>505</v>
      </c>
      <c r="K57" s="24" t="s">
        <v>506</v>
      </c>
      <c r="L57" s="24" t="s">
        <v>529</v>
      </c>
      <c r="M57" s="24" t="s">
        <v>532</v>
      </c>
      <c r="N57" s="24" t="s">
        <v>509</v>
      </c>
      <c r="O57" s="24" t="s">
        <v>510</v>
      </c>
    </row>
    <row r="58" spans="1:15" x14ac:dyDescent="0.15">
      <c r="A58" t="s">
        <v>442</v>
      </c>
      <c r="D58" s="7"/>
      <c r="E58" s="25" t="s">
        <v>512</v>
      </c>
      <c r="F58" s="25" t="s">
        <v>500</v>
      </c>
      <c r="G58" s="25" t="s">
        <v>500</v>
      </c>
      <c r="H58" s="25" t="s">
        <v>493</v>
      </c>
      <c r="I58" s="25" t="s">
        <v>493</v>
      </c>
      <c r="J58" s="25" t="s">
        <v>500</v>
      </c>
      <c r="K58" s="25" t="s">
        <v>493</v>
      </c>
      <c r="L58" s="25" t="s">
        <v>493</v>
      </c>
      <c r="M58" s="25" t="s">
        <v>493</v>
      </c>
      <c r="N58" s="25" t="s">
        <v>493</v>
      </c>
      <c r="O58" s="25" t="s">
        <v>494</v>
      </c>
    </row>
    <row r="59" spans="1:15" x14ac:dyDescent="0.15">
      <c r="A59" s="145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46"/>
      <c r="O59" s="46"/>
    </row>
  </sheetData>
  <sheetProtection algorithmName="SHA-512" hashValue="sMU5N/5yRkFagvBURU8XwU5DIr3v132lbjeHkTFDuBGbwNaaZosDEQvGu6TAXc+d5A8wvyGHeP0sNLoUAKLX3w==" saltValue="JV4tlTG4TDwU5tWIrhWOa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/>
  <dimension ref="A1:O59"/>
  <sheetViews>
    <sheetView workbookViewId="0">
      <selection activeCell="I13" sqref="I13:I1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  <col min="13" max="13" width="11.33203125" customWidth="1"/>
  </cols>
  <sheetData>
    <row r="1" spans="1:15" x14ac:dyDescent="0.15">
      <c r="A1" t="s">
        <v>722</v>
      </c>
    </row>
    <row r="2" spans="1:15" x14ac:dyDescent="0.15">
      <c r="A2" s="145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46"/>
      <c r="O2" s="46"/>
    </row>
    <row r="3" spans="1:15" x14ac:dyDescent="0.15">
      <c r="A3" s="8" t="s">
        <v>87</v>
      </c>
      <c r="D3" s="7"/>
    </row>
    <row r="4" spans="1:15" x14ac:dyDescent="0.15">
      <c r="D4" s="7"/>
      <c r="E4" s="8" t="s">
        <v>62</v>
      </c>
    </row>
    <row r="5" spans="1:15" x14ac:dyDescent="0.15">
      <c r="A5" s="9" t="s">
        <v>88</v>
      </c>
      <c r="D5" s="7"/>
    </row>
    <row r="6" spans="1:15" x14ac:dyDescent="0.15">
      <c r="A6" s="9" t="s">
        <v>1030</v>
      </c>
      <c r="D6" s="7"/>
      <c r="E6" s="10" t="s">
        <v>1044</v>
      </c>
      <c r="F6" s="23" t="s">
        <v>591</v>
      </c>
      <c r="G6" s="23" t="s">
        <v>592</v>
      </c>
      <c r="H6" s="10" t="s">
        <v>614</v>
      </c>
      <c r="I6" s="23" t="s">
        <v>594</v>
      </c>
      <c r="J6" s="23" t="s">
        <v>595</v>
      </c>
      <c r="K6" s="23" t="s">
        <v>596</v>
      </c>
      <c r="L6" s="10" t="s">
        <v>486</v>
      </c>
      <c r="M6" s="23" t="s">
        <v>487</v>
      </c>
      <c r="N6" s="10" t="s">
        <v>599</v>
      </c>
      <c r="O6" s="10" t="s">
        <v>600</v>
      </c>
    </row>
    <row r="7" spans="1:15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  <c r="L7" s="14">
        <v>0.33329999999999999</v>
      </c>
      <c r="M7" s="14">
        <v>0.33329999999999999</v>
      </c>
      <c r="N7" s="14">
        <v>0.33329999999999999</v>
      </c>
      <c r="O7" s="14">
        <v>0.33329999999999999</v>
      </c>
    </row>
    <row r="8" spans="1:15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  <c r="L8" s="15">
        <v>2</v>
      </c>
      <c r="M8" s="15">
        <v>2</v>
      </c>
      <c r="N8" s="15">
        <v>2</v>
      </c>
      <c r="O8" s="15">
        <v>2</v>
      </c>
    </row>
    <row r="9" spans="1:15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  <c r="L9" s="14">
        <v>0.66659999999999997</v>
      </c>
      <c r="M9" s="14">
        <v>0.66659999999999997</v>
      </c>
      <c r="N9" s="14">
        <v>0.66659999999999997</v>
      </c>
      <c r="O9" s="14">
        <v>0.66659999999999997</v>
      </c>
    </row>
    <row r="10" spans="1:15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  <c r="L10" s="15">
        <v>4</v>
      </c>
      <c r="M10" s="15">
        <v>4</v>
      </c>
      <c r="N10" s="15">
        <v>4</v>
      </c>
      <c r="O10" s="15">
        <v>4</v>
      </c>
    </row>
    <row r="11" spans="1:15" x14ac:dyDescent="0.15">
      <c r="A11" t="s">
        <v>67</v>
      </c>
      <c r="D11" s="7"/>
      <c r="E11" s="15">
        <v>6000</v>
      </c>
      <c r="F11" s="15">
        <v>3200</v>
      </c>
      <c r="G11" s="15">
        <v>6000</v>
      </c>
      <c r="H11" s="15">
        <v>6000</v>
      </c>
      <c r="I11" s="15">
        <v>3200</v>
      </c>
      <c r="J11" s="15">
        <v>6000</v>
      </c>
      <c r="K11" s="15">
        <v>3200</v>
      </c>
      <c r="L11" s="15">
        <v>6000</v>
      </c>
      <c r="M11" s="15">
        <v>3200</v>
      </c>
      <c r="N11" s="15">
        <v>6000</v>
      </c>
      <c r="O11" s="15">
        <v>6000</v>
      </c>
    </row>
    <row r="12" spans="1:15" x14ac:dyDescent="0.15">
      <c r="A12" s="11" t="s">
        <v>68</v>
      </c>
      <c r="B12" s="11"/>
      <c r="C12" s="11"/>
      <c r="D12" s="12"/>
      <c r="E12" s="11">
        <v>12000</v>
      </c>
      <c r="F12" s="11">
        <v>3200</v>
      </c>
      <c r="G12" s="11">
        <v>12000</v>
      </c>
      <c r="H12" s="11">
        <v>12000</v>
      </c>
      <c r="I12" s="11">
        <v>3200</v>
      </c>
      <c r="J12" s="11">
        <v>12000</v>
      </c>
      <c r="K12" s="11">
        <v>3200</v>
      </c>
      <c r="L12" s="11">
        <v>6000</v>
      </c>
      <c r="M12" s="11">
        <v>3200</v>
      </c>
      <c r="N12" s="11">
        <v>12000</v>
      </c>
      <c r="O12" s="11">
        <v>12000</v>
      </c>
    </row>
    <row r="13" spans="1:15" x14ac:dyDescent="0.15">
      <c r="A13" t="s">
        <v>71</v>
      </c>
      <c r="D13" s="7"/>
      <c r="E13">
        <v>1.7989999999999999</v>
      </c>
      <c r="F13">
        <v>2.2010000000000001</v>
      </c>
      <c r="G13">
        <v>2.0910000000000002</v>
      </c>
      <c r="H13">
        <v>1.528</v>
      </c>
      <c r="I13">
        <v>1.8</v>
      </c>
      <c r="J13">
        <v>1.9770000000000001</v>
      </c>
      <c r="K13">
        <v>1.93</v>
      </c>
      <c r="L13">
        <v>1.9300000000000002</v>
      </c>
      <c r="M13">
        <v>1.8199999999999998</v>
      </c>
      <c r="N13" s="146">
        <v>2.04</v>
      </c>
      <c r="O13" s="138">
        <v>1.89</v>
      </c>
    </row>
    <row r="14" spans="1:15" x14ac:dyDescent="0.15">
      <c r="A14" t="s">
        <v>72</v>
      </c>
      <c r="D14" s="7"/>
      <c r="E14">
        <v>1.7270000000000001</v>
      </c>
      <c r="F14">
        <v>0</v>
      </c>
      <c r="G14">
        <v>2.0529999999999999</v>
      </c>
      <c r="H14">
        <v>1.5389999999999999</v>
      </c>
      <c r="I14">
        <v>0</v>
      </c>
      <c r="J14">
        <v>1.9430000000000001</v>
      </c>
      <c r="K14">
        <v>0</v>
      </c>
      <c r="L14">
        <v>0</v>
      </c>
      <c r="M14">
        <v>0</v>
      </c>
      <c r="N14" s="146">
        <v>2</v>
      </c>
      <c r="O14" s="138">
        <v>1.86</v>
      </c>
    </row>
    <row r="15" spans="1:15" x14ac:dyDescent="0.15">
      <c r="A15" t="s">
        <v>75</v>
      </c>
      <c r="D15" s="7"/>
      <c r="E15">
        <v>1.4379999999999999</v>
      </c>
      <c r="F15">
        <v>1.9219999999999999</v>
      </c>
      <c r="G15">
        <v>1.478</v>
      </c>
      <c r="H15">
        <v>1.169</v>
      </c>
      <c r="I15">
        <v>1.59</v>
      </c>
      <c r="J15">
        <v>1.48</v>
      </c>
      <c r="K15">
        <v>1.5660000000000001</v>
      </c>
      <c r="L15">
        <v>1.73</v>
      </c>
      <c r="M15">
        <v>1.63</v>
      </c>
      <c r="N15" s="146">
        <v>1.49</v>
      </c>
      <c r="O15" s="138">
        <v>1.32</v>
      </c>
    </row>
    <row r="16" spans="1:15" x14ac:dyDescent="0.15">
      <c r="A16" t="s">
        <v>76</v>
      </c>
      <c r="D16" s="7"/>
      <c r="E16">
        <v>1.635</v>
      </c>
      <c r="F16">
        <v>1.57</v>
      </c>
      <c r="G16">
        <v>1.518</v>
      </c>
      <c r="H16">
        <v>1.151</v>
      </c>
      <c r="I16">
        <v>1.53</v>
      </c>
      <c r="J16">
        <v>1.5589999999999999</v>
      </c>
      <c r="K16">
        <v>1.621</v>
      </c>
      <c r="L16">
        <v>1.71</v>
      </c>
      <c r="M16">
        <v>1.6099999999999999</v>
      </c>
      <c r="N16" s="146">
        <v>1.58</v>
      </c>
      <c r="O16" s="138">
        <v>1.26</v>
      </c>
    </row>
    <row r="17" spans="1:15" x14ac:dyDescent="0.15">
      <c r="A17" t="s">
        <v>86</v>
      </c>
      <c r="D17" s="7"/>
      <c r="E17">
        <v>1.319</v>
      </c>
      <c r="F17">
        <v>0</v>
      </c>
      <c r="G17">
        <v>1.4630000000000001</v>
      </c>
      <c r="H17">
        <v>1.163</v>
      </c>
      <c r="I17">
        <v>0</v>
      </c>
      <c r="J17">
        <v>1.5249999999999999</v>
      </c>
      <c r="K17">
        <v>0</v>
      </c>
      <c r="L17">
        <v>0</v>
      </c>
      <c r="M17">
        <v>0</v>
      </c>
      <c r="N17" s="146">
        <v>1.54</v>
      </c>
      <c r="O17" s="138">
        <v>1.22</v>
      </c>
    </row>
    <row r="18" spans="1:15" x14ac:dyDescent="0.15">
      <c r="A18" t="s">
        <v>80</v>
      </c>
      <c r="D18" s="7"/>
      <c r="E18">
        <v>1.2250000000000001</v>
      </c>
      <c r="F18">
        <v>1.373</v>
      </c>
      <c r="G18">
        <v>1.35</v>
      </c>
      <c r="H18">
        <v>1.0780000000000001</v>
      </c>
      <c r="I18">
        <v>1.35</v>
      </c>
      <c r="J18">
        <v>1.419</v>
      </c>
      <c r="K18">
        <v>1.3140000000000001</v>
      </c>
      <c r="L18">
        <v>1.43</v>
      </c>
      <c r="M18">
        <v>1.3599999999999999</v>
      </c>
      <c r="N18" s="146">
        <v>1.42</v>
      </c>
      <c r="O18" s="138">
        <v>1.1000000000000001</v>
      </c>
    </row>
    <row r="19" spans="1:15" x14ac:dyDescent="0.15">
      <c r="A19" t="s">
        <v>81</v>
      </c>
      <c r="D19" s="7"/>
      <c r="E19">
        <v>72.25</v>
      </c>
      <c r="F19">
        <v>63.19</v>
      </c>
      <c r="G19">
        <v>67</v>
      </c>
      <c r="H19">
        <v>66.87</v>
      </c>
      <c r="I19">
        <v>69.06</v>
      </c>
      <c r="J19">
        <v>64.25</v>
      </c>
      <c r="K19">
        <v>68</v>
      </c>
      <c r="L19">
        <v>61.39</v>
      </c>
      <c r="M19">
        <v>53.984545454545454</v>
      </c>
      <c r="N19" s="146">
        <v>66.5</v>
      </c>
      <c r="O19" s="138">
        <v>66</v>
      </c>
    </row>
    <row r="20" spans="1:15" x14ac:dyDescent="0.15">
      <c r="D20" s="7"/>
    </row>
    <row r="21" spans="1:15" x14ac:dyDescent="0.15">
      <c r="A21" s="9" t="s">
        <v>89</v>
      </c>
      <c r="D21" s="7"/>
    </row>
    <row r="22" spans="1:15" x14ac:dyDescent="0.15">
      <c r="A22" s="9" t="s">
        <v>1032</v>
      </c>
      <c r="D22" s="7"/>
      <c r="E22" s="10" t="s">
        <v>1044</v>
      </c>
      <c r="F22" s="23" t="s">
        <v>591</v>
      </c>
      <c r="G22" s="23" t="s">
        <v>592</v>
      </c>
      <c r="H22" s="10" t="s">
        <v>614</v>
      </c>
      <c r="I22" s="10" t="s">
        <v>615</v>
      </c>
      <c r="J22" s="23" t="s">
        <v>546</v>
      </c>
      <c r="K22" s="10" t="s">
        <v>545</v>
      </c>
      <c r="L22" s="10" t="s">
        <v>486</v>
      </c>
      <c r="M22" s="10" t="s">
        <v>487</v>
      </c>
      <c r="N22" s="10" t="s">
        <v>599</v>
      </c>
      <c r="O22" s="10" t="s">
        <v>600</v>
      </c>
    </row>
    <row r="23" spans="1:15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  <c r="L23" s="14">
        <v>0.33329999999999999</v>
      </c>
      <c r="M23" s="14">
        <v>0.33329999999999999</v>
      </c>
      <c r="N23" s="14">
        <v>0.33329999999999999</v>
      </c>
      <c r="O23" s="14">
        <v>0.33329999999999999</v>
      </c>
    </row>
    <row r="24" spans="1:15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  <c r="L24" s="15">
        <v>2</v>
      </c>
      <c r="M24" s="15">
        <v>2</v>
      </c>
      <c r="N24" s="15">
        <v>2</v>
      </c>
      <c r="O24" s="15">
        <v>2</v>
      </c>
    </row>
    <row r="25" spans="1:15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  <c r="L25" s="14">
        <v>0.66659999999999997</v>
      </c>
      <c r="M25" s="14">
        <v>0.66659999999999997</v>
      </c>
      <c r="N25" s="14">
        <v>0.66659999999999997</v>
      </c>
      <c r="O25" s="14">
        <v>0.66659999999999997</v>
      </c>
    </row>
    <row r="26" spans="1:15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  <c r="L26" s="15">
        <v>4</v>
      </c>
      <c r="M26" s="15">
        <v>4</v>
      </c>
      <c r="N26" s="15">
        <v>4</v>
      </c>
      <c r="O26" s="15">
        <v>4</v>
      </c>
    </row>
    <row r="27" spans="1:15" x14ac:dyDescent="0.15">
      <c r="A27" t="s">
        <v>67</v>
      </c>
      <c r="D27" s="7"/>
      <c r="E27" s="15">
        <v>6000</v>
      </c>
      <c r="F27" s="15">
        <v>3200</v>
      </c>
      <c r="G27" s="15">
        <v>6000</v>
      </c>
      <c r="H27" s="15">
        <v>6000</v>
      </c>
      <c r="I27" s="15">
        <v>3500</v>
      </c>
      <c r="J27" s="15">
        <v>6000</v>
      </c>
      <c r="K27" s="15">
        <v>3500</v>
      </c>
      <c r="L27" s="15">
        <v>6000</v>
      </c>
      <c r="M27" s="15">
        <v>3500</v>
      </c>
      <c r="N27" s="15">
        <v>6000</v>
      </c>
      <c r="O27" s="15">
        <v>6000</v>
      </c>
    </row>
    <row r="28" spans="1:15" x14ac:dyDescent="0.15">
      <c r="A28" s="11" t="s">
        <v>68</v>
      </c>
      <c r="B28" s="11"/>
      <c r="C28" s="11"/>
      <c r="D28" s="12"/>
      <c r="E28" s="11">
        <v>12000</v>
      </c>
      <c r="F28" s="11">
        <v>3200</v>
      </c>
      <c r="G28" s="11">
        <v>12000</v>
      </c>
      <c r="H28" s="11">
        <v>12000</v>
      </c>
      <c r="I28" s="11">
        <v>3500</v>
      </c>
      <c r="J28" s="11">
        <v>12000</v>
      </c>
      <c r="K28" s="11">
        <v>3500</v>
      </c>
      <c r="L28" s="11">
        <v>6000</v>
      </c>
      <c r="M28" s="11">
        <v>3500</v>
      </c>
      <c r="N28" s="11">
        <v>12000</v>
      </c>
      <c r="O28" s="11">
        <v>12000</v>
      </c>
    </row>
    <row r="29" spans="1:15" x14ac:dyDescent="0.15">
      <c r="A29" t="s">
        <v>71</v>
      </c>
      <c r="D29" s="7"/>
      <c r="E29">
        <v>1.9950000000000001</v>
      </c>
      <c r="F29">
        <v>2.5499999999999998</v>
      </c>
      <c r="G29">
        <v>2.42</v>
      </c>
      <c r="H29">
        <v>1.744</v>
      </c>
      <c r="I29">
        <v>1.93</v>
      </c>
      <c r="J29">
        <v>2.2549999999999999</v>
      </c>
      <c r="K29">
        <v>2.1859999999999999</v>
      </c>
      <c r="L29">
        <v>2.1199999999999997</v>
      </c>
      <c r="M29">
        <v>1.9</v>
      </c>
      <c r="N29" s="146">
        <v>2.2999999999999998</v>
      </c>
      <c r="O29" s="138">
        <v>2.27</v>
      </c>
    </row>
    <row r="30" spans="1:15" x14ac:dyDescent="0.15">
      <c r="A30" t="s">
        <v>72</v>
      </c>
      <c r="D30" s="7"/>
      <c r="E30">
        <v>1.9</v>
      </c>
      <c r="F30">
        <v>0</v>
      </c>
      <c r="G30">
        <v>2.25</v>
      </c>
      <c r="H30">
        <v>1.742</v>
      </c>
      <c r="I30">
        <v>0</v>
      </c>
      <c r="J30">
        <v>2.2040000000000002</v>
      </c>
      <c r="K30">
        <v>0</v>
      </c>
      <c r="L30">
        <v>0</v>
      </c>
      <c r="M30">
        <v>0</v>
      </c>
      <c r="N30" s="146">
        <v>2.25</v>
      </c>
      <c r="O30" s="138">
        <v>2.21</v>
      </c>
    </row>
    <row r="31" spans="1:15" x14ac:dyDescent="0.15">
      <c r="A31" t="s">
        <v>75</v>
      </c>
      <c r="D31" s="7"/>
      <c r="E31">
        <v>1.4490000000000001</v>
      </c>
      <c r="F31">
        <v>2.008</v>
      </c>
      <c r="G31">
        <v>1.5</v>
      </c>
      <c r="H31">
        <v>1.079</v>
      </c>
      <c r="I31">
        <v>1.72</v>
      </c>
      <c r="J31">
        <v>1.375</v>
      </c>
      <c r="K31">
        <v>1.7509999999999999</v>
      </c>
      <c r="L31">
        <v>1.6600000000000001</v>
      </c>
      <c r="M31">
        <v>1.63</v>
      </c>
      <c r="N31" s="146">
        <v>1.35</v>
      </c>
      <c r="O31" s="138">
        <v>1.26</v>
      </c>
    </row>
    <row r="32" spans="1:15" x14ac:dyDescent="0.15">
      <c r="A32" t="s">
        <v>76</v>
      </c>
      <c r="D32" s="7"/>
      <c r="E32">
        <v>1.716</v>
      </c>
      <c r="F32">
        <v>1.8140000000000001</v>
      </c>
      <c r="G32">
        <v>1.68</v>
      </c>
      <c r="H32">
        <v>1.2090000000000001</v>
      </c>
      <c r="I32">
        <v>1.59</v>
      </c>
      <c r="J32">
        <v>1.639</v>
      </c>
      <c r="K32">
        <v>1.609</v>
      </c>
      <c r="L32">
        <v>2.02</v>
      </c>
      <c r="M32">
        <v>1.63</v>
      </c>
      <c r="N32" s="146">
        <v>1.64</v>
      </c>
      <c r="O32" s="138">
        <v>1.41</v>
      </c>
    </row>
    <row r="33" spans="1:15" x14ac:dyDescent="0.15">
      <c r="A33" t="s">
        <v>86</v>
      </c>
      <c r="D33" s="7"/>
      <c r="E33">
        <v>1.4950000000000001</v>
      </c>
      <c r="F33">
        <v>0</v>
      </c>
      <c r="G33">
        <v>1.54</v>
      </c>
      <c r="H33">
        <v>1.1879999999999999</v>
      </c>
      <c r="I33">
        <v>0</v>
      </c>
      <c r="J33">
        <v>1.5640000000000001</v>
      </c>
      <c r="K33">
        <v>0</v>
      </c>
      <c r="L33">
        <v>0</v>
      </c>
      <c r="M33">
        <v>0</v>
      </c>
      <c r="N33" s="146">
        <v>1.55</v>
      </c>
      <c r="O33" s="138">
        <v>1.32</v>
      </c>
    </row>
    <row r="34" spans="1:15" x14ac:dyDescent="0.15">
      <c r="A34" t="s">
        <v>80</v>
      </c>
      <c r="D34" s="7"/>
      <c r="E34">
        <v>1.37</v>
      </c>
      <c r="F34">
        <v>1.4370000000000001</v>
      </c>
      <c r="G34">
        <v>1.48</v>
      </c>
      <c r="H34">
        <v>1.03</v>
      </c>
      <c r="I34">
        <v>1.53</v>
      </c>
      <c r="J34">
        <v>1.367</v>
      </c>
      <c r="K34">
        <v>1.448</v>
      </c>
      <c r="L34">
        <v>1.55</v>
      </c>
      <c r="M34">
        <v>1.48</v>
      </c>
      <c r="N34" s="146">
        <v>1.34</v>
      </c>
      <c r="O34" s="138">
        <v>1.1000000000000001</v>
      </c>
    </row>
    <row r="35" spans="1:15" x14ac:dyDescent="0.15">
      <c r="A35" t="s">
        <v>81</v>
      </c>
      <c r="D35" s="7"/>
      <c r="E35">
        <v>74.150000000000006</v>
      </c>
      <c r="F35">
        <v>61.74</v>
      </c>
      <c r="G35">
        <v>65</v>
      </c>
      <c r="H35">
        <v>63.32</v>
      </c>
      <c r="I35">
        <v>69.66</v>
      </c>
      <c r="J35">
        <v>64.25</v>
      </c>
      <c r="K35">
        <v>68</v>
      </c>
      <c r="L35">
        <v>62.61</v>
      </c>
      <c r="M35">
        <v>51.99</v>
      </c>
      <c r="N35" s="146">
        <v>66.5</v>
      </c>
      <c r="O35" s="138">
        <v>66</v>
      </c>
    </row>
    <row r="36" spans="1:15" x14ac:dyDescent="0.15">
      <c r="D36" s="7"/>
    </row>
    <row r="37" spans="1:15" x14ac:dyDescent="0.15">
      <c r="A37" s="9" t="s">
        <v>89</v>
      </c>
      <c r="D37" s="7"/>
    </row>
    <row r="38" spans="1:15" x14ac:dyDescent="0.15">
      <c r="A38" s="9" t="s">
        <v>1034</v>
      </c>
      <c r="D38" s="7"/>
      <c r="E38" s="10" t="s">
        <v>1044</v>
      </c>
      <c r="F38" s="23" t="s">
        <v>591</v>
      </c>
      <c r="G38" s="23" t="s">
        <v>592</v>
      </c>
      <c r="H38" s="10" t="s">
        <v>614</v>
      </c>
      <c r="I38" s="10" t="s">
        <v>615</v>
      </c>
      <c r="J38" s="23" t="s">
        <v>546</v>
      </c>
      <c r="K38" s="10" t="s">
        <v>545</v>
      </c>
      <c r="L38" s="10" t="s">
        <v>486</v>
      </c>
      <c r="M38" s="10" t="s">
        <v>487</v>
      </c>
      <c r="N38" s="10" t="s">
        <v>599</v>
      </c>
      <c r="O38" s="10" t="s">
        <v>600</v>
      </c>
    </row>
    <row r="39" spans="1:15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  <c r="L39" s="14">
        <v>0.33329999999999999</v>
      </c>
      <c r="M39" s="14">
        <v>0.33329999999999999</v>
      </c>
      <c r="N39" s="14">
        <v>0.33329999999999999</v>
      </c>
      <c r="O39" s="14">
        <v>0.33329999999999999</v>
      </c>
    </row>
    <row r="40" spans="1:15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  <c r="L40" s="15">
        <v>2</v>
      </c>
      <c r="M40" s="15">
        <v>2</v>
      </c>
      <c r="N40" s="15">
        <v>2</v>
      </c>
      <c r="O40" s="15">
        <v>2</v>
      </c>
    </row>
    <row r="41" spans="1:15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  <c r="L41" s="14">
        <v>0.66659999999999997</v>
      </c>
      <c r="M41" s="14">
        <v>0.66659999999999997</v>
      </c>
      <c r="N41" s="14">
        <v>0.66659999999999997</v>
      </c>
      <c r="O41" s="14">
        <v>0.66659999999999997</v>
      </c>
    </row>
    <row r="42" spans="1:15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  <c r="L42" s="15">
        <v>4</v>
      </c>
      <c r="M42" s="15">
        <v>4</v>
      </c>
      <c r="N42" s="15">
        <v>4</v>
      </c>
      <c r="O42" s="15">
        <v>4</v>
      </c>
    </row>
    <row r="43" spans="1:15" x14ac:dyDescent="0.15">
      <c r="A43" t="s">
        <v>67</v>
      </c>
      <c r="D43" s="7"/>
      <c r="E43" s="15">
        <v>6000</v>
      </c>
      <c r="F43" s="15">
        <v>3200</v>
      </c>
      <c r="G43" s="15">
        <v>6000</v>
      </c>
      <c r="H43" s="15">
        <v>6000</v>
      </c>
      <c r="I43" s="15">
        <v>3200</v>
      </c>
      <c r="J43" s="15">
        <v>6000</v>
      </c>
      <c r="K43" s="15">
        <v>3200</v>
      </c>
      <c r="L43" s="15">
        <v>6000</v>
      </c>
      <c r="M43" s="15">
        <v>3200</v>
      </c>
      <c r="N43" s="15">
        <v>6000</v>
      </c>
      <c r="O43" s="15">
        <v>6000</v>
      </c>
    </row>
    <row r="44" spans="1:15" x14ac:dyDescent="0.15">
      <c r="A44" s="11" t="s">
        <v>68</v>
      </c>
      <c r="B44" s="11"/>
      <c r="C44" s="11"/>
      <c r="D44" s="12"/>
      <c r="E44" s="11">
        <v>12000</v>
      </c>
      <c r="F44" s="11">
        <v>3200</v>
      </c>
      <c r="G44" s="11">
        <v>12000</v>
      </c>
      <c r="H44" s="11">
        <v>12000</v>
      </c>
      <c r="I44" s="11">
        <v>3200</v>
      </c>
      <c r="J44" s="11">
        <v>12000</v>
      </c>
      <c r="K44" s="11">
        <v>3200</v>
      </c>
      <c r="L44" s="11">
        <v>6000</v>
      </c>
      <c r="M44" s="11">
        <v>3200</v>
      </c>
      <c r="N44" s="11">
        <v>12000</v>
      </c>
      <c r="O44" s="11">
        <v>12000</v>
      </c>
    </row>
    <row r="45" spans="1:15" x14ac:dyDescent="0.15">
      <c r="A45" t="s">
        <v>71</v>
      </c>
      <c r="D45" s="7"/>
      <c r="E45">
        <v>2.0089999999999999</v>
      </c>
      <c r="F45">
        <v>2.5499999999999998</v>
      </c>
      <c r="G45">
        <v>2.4300000000000002</v>
      </c>
      <c r="H45">
        <v>1.744</v>
      </c>
      <c r="I45">
        <v>2.0299999999999998</v>
      </c>
      <c r="J45">
        <v>2.274</v>
      </c>
      <c r="K45">
        <v>2.1949999999999998</v>
      </c>
      <c r="L45">
        <v>2.1109090909090908</v>
      </c>
      <c r="M45">
        <v>2</v>
      </c>
      <c r="N45" s="146">
        <v>2.2999999999999998</v>
      </c>
      <c r="O45" s="138">
        <v>2.27</v>
      </c>
    </row>
    <row r="46" spans="1:15" x14ac:dyDescent="0.15">
      <c r="A46" t="s">
        <v>72</v>
      </c>
      <c r="D46" s="7"/>
      <c r="E46">
        <v>1.9</v>
      </c>
      <c r="F46">
        <v>0</v>
      </c>
      <c r="G46">
        <v>2.2000000000000002</v>
      </c>
      <c r="H46">
        <v>1.742</v>
      </c>
      <c r="I46">
        <v>0</v>
      </c>
      <c r="J46">
        <v>2.2240000000000002</v>
      </c>
      <c r="K46">
        <v>0</v>
      </c>
      <c r="L46">
        <v>0</v>
      </c>
      <c r="M46">
        <v>0</v>
      </c>
      <c r="N46" s="146">
        <v>2.25</v>
      </c>
      <c r="O46" s="138">
        <v>2.21</v>
      </c>
    </row>
    <row r="47" spans="1:15" x14ac:dyDescent="0.15">
      <c r="A47" t="s">
        <v>75</v>
      </c>
      <c r="D47" s="7"/>
      <c r="E47">
        <v>1.2629999999999999</v>
      </c>
      <c r="F47">
        <v>2.008</v>
      </c>
      <c r="G47">
        <v>1.27</v>
      </c>
      <c r="H47">
        <v>1.079</v>
      </c>
      <c r="I47">
        <v>1.62</v>
      </c>
      <c r="J47">
        <v>1.395</v>
      </c>
      <c r="K47">
        <v>1.9590000000000001</v>
      </c>
      <c r="L47">
        <v>1.69</v>
      </c>
      <c r="M47">
        <v>1.62</v>
      </c>
      <c r="N47" s="146">
        <v>1.35</v>
      </c>
      <c r="O47" s="138">
        <v>1.26</v>
      </c>
    </row>
    <row r="48" spans="1:15" x14ac:dyDescent="0.15">
      <c r="A48" t="s">
        <v>76</v>
      </c>
      <c r="D48" s="7"/>
      <c r="E48">
        <v>1.837</v>
      </c>
      <c r="F48">
        <v>1.8140000000000001</v>
      </c>
      <c r="G48">
        <v>1.72</v>
      </c>
      <c r="H48">
        <v>1.2090000000000001</v>
      </c>
      <c r="I48">
        <v>1.73</v>
      </c>
      <c r="J48">
        <v>1.6579999999999999</v>
      </c>
      <c r="K48">
        <v>1.694</v>
      </c>
      <c r="L48">
        <v>1.9200000000000002</v>
      </c>
      <c r="M48">
        <v>1.76</v>
      </c>
      <c r="N48" s="146">
        <v>1.64</v>
      </c>
      <c r="O48" s="138">
        <v>1.41</v>
      </c>
    </row>
    <row r="49" spans="1:15" x14ac:dyDescent="0.15">
      <c r="A49" t="s">
        <v>86</v>
      </c>
      <c r="D49" s="7"/>
      <c r="E49">
        <v>1.4</v>
      </c>
      <c r="F49">
        <v>0</v>
      </c>
      <c r="G49">
        <v>1.48</v>
      </c>
      <c r="H49">
        <v>1.1879999999999999</v>
      </c>
      <c r="I49">
        <v>0</v>
      </c>
      <c r="J49">
        <v>1.583</v>
      </c>
      <c r="K49">
        <v>0</v>
      </c>
      <c r="L49">
        <v>0</v>
      </c>
      <c r="M49">
        <v>0</v>
      </c>
      <c r="N49" s="146">
        <v>1.55</v>
      </c>
      <c r="O49" s="138">
        <v>1.32</v>
      </c>
    </row>
    <row r="50" spans="1:15" x14ac:dyDescent="0.15">
      <c r="A50" t="s">
        <v>80</v>
      </c>
      <c r="D50" s="7"/>
      <c r="E50">
        <v>1.254</v>
      </c>
      <c r="F50">
        <v>1.4370000000000001</v>
      </c>
      <c r="G50">
        <v>1.26</v>
      </c>
      <c r="H50">
        <v>1.03</v>
      </c>
      <c r="I50">
        <v>1.52</v>
      </c>
      <c r="J50">
        <v>1.3859999999999999</v>
      </c>
      <c r="K50">
        <v>1.335</v>
      </c>
      <c r="L50">
        <v>1.55</v>
      </c>
      <c r="M50">
        <v>1.51</v>
      </c>
      <c r="N50" s="146">
        <v>1.34</v>
      </c>
      <c r="O50" s="138">
        <v>1.1000000000000001</v>
      </c>
    </row>
    <row r="51" spans="1:15" x14ac:dyDescent="0.15">
      <c r="A51" t="s">
        <v>81</v>
      </c>
      <c r="D51" s="7"/>
      <c r="E51">
        <v>72.42</v>
      </c>
      <c r="F51">
        <v>61.74</v>
      </c>
      <c r="G51">
        <v>70.5</v>
      </c>
      <c r="H51">
        <v>63.32</v>
      </c>
      <c r="I51">
        <v>70.44</v>
      </c>
      <c r="J51">
        <v>64.25</v>
      </c>
      <c r="K51">
        <v>68</v>
      </c>
      <c r="L51">
        <v>61.930000000000007</v>
      </c>
      <c r="M51">
        <v>52.99</v>
      </c>
      <c r="N51" s="146">
        <v>66.5</v>
      </c>
      <c r="O51" s="138">
        <v>66</v>
      </c>
    </row>
    <row r="52" spans="1:15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</row>
    <row r="53" spans="1:15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593</v>
      </c>
      <c r="I53" s="23" t="s">
        <v>594</v>
      </c>
      <c r="J53" s="23" t="s">
        <v>595</v>
      </c>
      <c r="K53" s="23" t="s">
        <v>596</v>
      </c>
      <c r="L53" s="10" t="s">
        <v>597</v>
      </c>
      <c r="M53" s="23" t="s">
        <v>598</v>
      </c>
      <c r="N53" s="10" t="s">
        <v>599</v>
      </c>
      <c r="O53" s="10" t="s">
        <v>600</v>
      </c>
    </row>
    <row r="54" spans="1:15" x14ac:dyDescent="0.15">
      <c r="A54" t="s">
        <v>491</v>
      </c>
      <c r="D54" s="7"/>
      <c r="E54" s="24" t="s">
        <v>492</v>
      </c>
      <c r="F54" s="25" t="s">
        <v>493</v>
      </c>
      <c r="G54" s="25" t="s">
        <v>493</v>
      </c>
      <c r="H54" s="25" t="s">
        <v>494</v>
      </c>
      <c r="I54" s="24" t="s">
        <v>495</v>
      </c>
      <c r="J54" s="25" t="s">
        <v>494</v>
      </c>
      <c r="K54" s="25" t="s">
        <v>493</v>
      </c>
      <c r="L54" s="25" t="s">
        <v>494</v>
      </c>
      <c r="M54" s="25" t="s">
        <v>494</v>
      </c>
      <c r="N54" s="25" t="s">
        <v>493</v>
      </c>
      <c r="O54" s="25" t="s">
        <v>493</v>
      </c>
    </row>
    <row r="55" spans="1:15" x14ac:dyDescent="0.15">
      <c r="A55" t="s">
        <v>496</v>
      </c>
      <c r="D55" s="7"/>
      <c r="E55" s="25" t="s">
        <v>497</v>
      </c>
      <c r="F55" s="25" t="s">
        <v>497</v>
      </c>
      <c r="G55" s="25" t="s">
        <v>497</v>
      </c>
      <c r="H55" s="25" t="s">
        <v>494</v>
      </c>
      <c r="I55" s="25" t="s">
        <v>498</v>
      </c>
      <c r="J55" s="25" t="s">
        <v>498</v>
      </c>
      <c r="K55" s="25" t="s">
        <v>493</v>
      </c>
      <c r="L55" s="25" t="s">
        <v>494</v>
      </c>
      <c r="M55" s="25" t="s">
        <v>494</v>
      </c>
      <c r="N55" s="25" t="s">
        <v>493</v>
      </c>
      <c r="O55" s="25" t="s">
        <v>497</v>
      </c>
    </row>
    <row r="56" spans="1:15" x14ac:dyDescent="0.15">
      <c r="A56" t="s">
        <v>499</v>
      </c>
      <c r="D56" s="7"/>
      <c r="E56" s="25" t="s">
        <v>493</v>
      </c>
      <c r="F56" s="37" t="s">
        <v>493</v>
      </c>
      <c r="G56" s="37" t="s">
        <v>493</v>
      </c>
      <c r="H56" s="37" t="s">
        <v>494</v>
      </c>
      <c r="I56" s="37" t="s">
        <v>493</v>
      </c>
      <c r="J56" s="37" t="s">
        <v>493</v>
      </c>
      <c r="K56" t="s">
        <v>493</v>
      </c>
      <c r="L56" t="s">
        <v>494</v>
      </c>
      <c r="M56" t="s">
        <v>494</v>
      </c>
      <c r="N56" t="s">
        <v>493</v>
      </c>
      <c r="O56" s="37" t="s">
        <v>500</v>
      </c>
    </row>
    <row r="57" spans="1:15" x14ac:dyDescent="0.15">
      <c r="A57" t="s">
        <v>501</v>
      </c>
      <c r="D57" s="7"/>
      <c r="E57" s="25" t="s">
        <v>502</v>
      </c>
      <c r="F57" s="24" t="s">
        <v>503</v>
      </c>
      <c r="G57" s="24" t="s">
        <v>504</v>
      </c>
      <c r="H57" s="24" t="s">
        <v>494</v>
      </c>
      <c r="I57" s="24" t="s">
        <v>493</v>
      </c>
      <c r="J57" s="24" t="s">
        <v>505</v>
      </c>
      <c r="K57" s="24" t="s">
        <v>506</v>
      </c>
      <c r="L57" s="24" t="s">
        <v>507</v>
      </c>
      <c r="M57" s="24" t="s">
        <v>508</v>
      </c>
      <c r="N57" s="24" t="s">
        <v>509</v>
      </c>
      <c r="O57" s="24" t="s">
        <v>510</v>
      </c>
    </row>
    <row r="58" spans="1:15" x14ac:dyDescent="0.15">
      <c r="A58" t="s">
        <v>442</v>
      </c>
      <c r="D58" s="7"/>
      <c r="E58" s="25" t="s">
        <v>512</v>
      </c>
      <c r="F58" s="25" t="s">
        <v>500</v>
      </c>
      <c r="G58" s="25" t="s">
        <v>500</v>
      </c>
      <c r="H58" s="25" t="s">
        <v>494</v>
      </c>
      <c r="I58" s="25" t="s">
        <v>493</v>
      </c>
      <c r="J58" s="25" t="s">
        <v>500</v>
      </c>
      <c r="K58" s="25" t="s">
        <v>493</v>
      </c>
      <c r="L58" s="25" t="s">
        <v>494</v>
      </c>
      <c r="M58" s="25" t="s">
        <v>494</v>
      </c>
      <c r="N58" s="25" t="s">
        <v>493</v>
      </c>
      <c r="O58" s="25" t="s">
        <v>494</v>
      </c>
    </row>
    <row r="59" spans="1:15" x14ac:dyDescent="0.15">
      <c r="A59" s="145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46"/>
      <c r="O59" s="46"/>
    </row>
  </sheetData>
  <sheetProtection algorithmName="SHA-512" hashValue="fJTXh1xG2pTXV+U+L9OWCgyuxZ125cBjP5Nz+NdobwSr6H15FEmeBo9WNL7QOitqkr9daioSOYdA7G5RHm+pEQ==" saltValue="zcas2MY0+Y4za4yhrgp7RA==" spinCount="100000" sheet="1" objects="1" scenarios="1"/>
  <phoneticPr fontId="20" type="noConversion"/>
  <pageMargins left="0.75" right="0.75" top="1" bottom="1" header="0.5" footer="0.5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/>
  <dimension ref="A1:O55"/>
  <sheetViews>
    <sheetView topLeftCell="A6" workbookViewId="0">
      <selection activeCell="F52" sqref="F52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5" x14ac:dyDescent="0.15">
      <c r="A1" t="s">
        <v>722</v>
      </c>
    </row>
    <row r="2" spans="1:15" x14ac:dyDescent="0.15">
      <c r="A2" s="131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3"/>
      <c r="M2" s="133"/>
      <c r="N2" s="132"/>
      <c r="O2" s="132"/>
    </row>
    <row r="3" spans="1:15" x14ac:dyDescent="0.15">
      <c r="A3" s="4" t="s">
        <v>61</v>
      </c>
      <c r="B3" s="5"/>
      <c r="C3" s="5"/>
      <c r="D3" s="6"/>
      <c r="E3" s="5"/>
      <c r="F3" s="5"/>
      <c r="G3" s="5"/>
      <c r="H3" s="5"/>
      <c r="I3" s="5"/>
      <c r="J3" s="5"/>
      <c r="K3" s="5"/>
    </row>
    <row r="4" spans="1:15" x14ac:dyDescent="0.15">
      <c r="D4" s="7"/>
      <c r="E4" s="8" t="s">
        <v>90</v>
      </c>
    </row>
    <row r="5" spans="1:15" x14ac:dyDescent="0.15">
      <c r="D5" s="7"/>
    </row>
    <row r="6" spans="1:15" x14ac:dyDescent="0.15">
      <c r="A6" s="9" t="s">
        <v>1074</v>
      </c>
      <c r="D6" s="7"/>
      <c r="E6" s="10" t="s">
        <v>1044</v>
      </c>
      <c r="F6" s="23" t="s">
        <v>591</v>
      </c>
      <c r="G6" s="23" t="s">
        <v>592</v>
      </c>
      <c r="H6" s="23" t="s">
        <v>614</v>
      </c>
      <c r="I6" s="23" t="s">
        <v>594</v>
      </c>
      <c r="J6" s="23" t="s">
        <v>595</v>
      </c>
      <c r="K6" s="23" t="s">
        <v>596</v>
      </c>
      <c r="L6" s="10" t="s">
        <v>486</v>
      </c>
      <c r="M6" s="23" t="s">
        <v>487</v>
      </c>
      <c r="N6" s="10" t="s">
        <v>599</v>
      </c>
      <c r="O6" s="10" t="s">
        <v>600</v>
      </c>
    </row>
    <row r="7" spans="1:15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  <c r="K7" s="13">
        <v>0.5</v>
      </c>
      <c r="L7" s="13">
        <v>0.5</v>
      </c>
      <c r="M7" s="13">
        <v>0.5</v>
      </c>
      <c r="N7" s="13">
        <v>0.5</v>
      </c>
      <c r="O7" s="13">
        <v>0.5</v>
      </c>
    </row>
    <row r="8" spans="1:15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  <c r="K8" s="15">
        <v>3</v>
      </c>
      <c r="L8" s="15">
        <v>3</v>
      </c>
      <c r="M8" s="15">
        <v>3</v>
      </c>
      <c r="N8" s="15">
        <v>3</v>
      </c>
      <c r="O8" s="15">
        <v>3</v>
      </c>
    </row>
    <row r="9" spans="1:15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  <c r="K9" s="13">
        <v>0.5</v>
      </c>
      <c r="L9" s="13">
        <v>0.5</v>
      </c>
      <c r="M9" s="13">
        <v>0.5</v>
      </c>
      <c r="N9" s="13">
        <v>0.5</v>
      </c>
      <c r="O9" s="13">
        <v>0.5</v>
      </c>
    </row>
    <row r="10" spans="1:15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  <c r="K10" s="15">
        <v>3</v>
      </c>
      <c r="L10" s="15">
        <v>3</v>
      </c>
      <c r="M10" s="15">
        <v>3</v>
      </c>
      <c r="N10" s="15">
        <v>3</v>
      </c>
      <c r="O10" s="15">
        <v>3</v>
      </c>
    </row>
    <row r="11" spans="1:15" x14ac:dyDescent="0.15">
      <c r="A11" t="s">
        <v>67</v>
      </c>
      <c r="D11" s="7"/>
      <c r="E11" s="15">
        <v>3000</v>
      </c>
      <c r="F11">
        <v>6000</v>
      </c>
      <c r="G11" s="15">
        <v>3000</v>
      </c>
      <c r="H11" s="15">
        <v>3000</v>
      </c>
      <c r="I11" s="15">
        <v>6000</v>
      </c>
      <c r="J11" s="15">
        <v>6000</v>
      </c>
      <c r="K11" s="15">
        <v>6000</v>
      </c>
      <c r="L11" s="15">
        <v>3000</v>
      </c>
      <c r="M11" s="15">
        <v>6000</v>
      </c>
      <c r="N11" s="15">
        <v>3000</v>
      </c>
      <c r="O11" s="15">
        <v>3000</v>
      </c>
    </row>
    <row r="12" spans="1:15" x14ac:dyDescent="0.15">
      <c r="A12" t="s">
        <v>68</v>
      </c>
      <c r="D12" s="7"/>
      <c r="E12">
        <v>6000</v>
      </c>
      <c r="F12">
        <v>9000</v>
      </c>
      <c r="G12" s="15">
        <v>6000</v>
      </c>
      <c r="H12">
        <v>6000</v>
      </c>
      <c r="I12">
        <v>9000</v>
      </c>
      <c r="J12">
        <v>9000</v>
      </c>
      <c r="K12">
        <v>9000</v>
      </c>
      <c r="L12">
        <v>6000</v>
      </c>
      <c r="M12">
        <v>9000</v>
      </c>
      <c r="N12" s="15">
        <v>6000</v>
      </c>
      <c r="O12" s="15">
        <v>6000</v>
      </c>
    </row>
    <row r="13" spans="1:15" x14ac:dyDescent="0.15">
      <c r="A13" t="s">
        <v>69</v>
      </c>
      <c r="D13" s="7"/>
      <c r="E13">
        <v>9000</v>
      </c>
      <c r="F13" s="15">
        <v>9000</v>
      </c>
      <c r="G13" s="15">
        <v>9000</v>
      </c>
      <c r="H13">
        <v>9000</v>
      </c>
      <c r="I13" s="15">
        <v>9000</v>
      </c>
      <c r="J13" s="15">
        <v>9000</v>
      </c>
      <c r="K13" s="15">
        <v>9000</v>
      </c>
      <c r="L13" s="15">
        <v>6000</v>
      </c>
      <c r="M13" s="15">
        <v>9000</v>
      </c>
      <c r="N13" s="15">
        <v>9000</v>
      </c>
      <c r="O13" s="15">
        <v>9000</v>
      </c>
    </row>
    <row r="14" spans="1:15" x14ac:dyDescent="0.15">
      <c r="A14" s="11" t="s">
        <v>70</v>
      </c>
      <c r="B14" s="11"/>
      <c r="C14" s="11"/>
      <c r="D14" s="12"/>
      <c r="E14" s="11">
        <v>15000</v>
      </c>
      <c r="F14" s="11">
        <v>9000</v>
      </c>
      <c r="G14" s="11">
        <v>15000</v>
      </c>
      <c r="H14" s="11">
        <v>15000</v>
      </c>
      <c r="I14" s="11">
        <v>9000</v>
      </c>
      <c r="J14" s="11">
        <v>9000</v>
      </c>
      <c r="K14" s="11">
        <v>9000</v>
      </c>
      <c r="L14" s="11">
        <v>6000</v>
      </c>
      <c r="M14" s="11">
        <v>9000</v>
      </c>
      <c r="N14" s="32">
        <v>15000</v>
      </c>
      <c r="O14" s="32">
        <v>15000</v>
      </c>
    </row>
    <row r="15" spans="1:15" x14ac:dyDescent="0.15">
      <c r="A15" t="s">
        <v>71</v>
      </c>
      <c r="D15" s="7"/>
      <c r="E15">
        <v>1.9849999999999999</v>
      </c>
      <c r="F15">
        <v>1.921</v>
      </c>
      <c r="G15">
        <v>1.97</v>
      </c>
      <c r="H15">
        <v>1.4930000000000001</v>
      </c>
      <c r="I15">
        <v>1.95</v>
      </c>
      <c r="J15">
        <v>1.7929999999999999</v>
      </c>
      <c r="K15">
        <v>1.85</v>
      </c>
      <c r="L15">
        <v>1.9300000000000002</v>
      </c>
      <c r="M15">
        <v>1.8</v>
      </c>
      <c r="N15" s="146">
        <v>2.069</v>
      </c>
      <c r="O15" s="138">
        <v>1.92</v>
      </c>
    </row>
    <row r="16" spans="1:15" x14ac:dyDescent="0.15">
      <c r="A16" t="s">
        <v>72</v>
      </c>
      <c r="D16" s="7"/>
      <c r="E16">
        <v>1.716</v>
      </c>
      <c r="F16">
        <v>1.5190000000000001</v>
      </c>
      <c r="G16">
        <v>1.75</v>
      </c>
      <c r="H16">
        <v>1.3169999999999999</v>
      </c>
      <c r="I16">
        <v>1.42</v>
      </c>
      <c r="J16">
        <v>1.4016999999999999</v>
      </c>
      <c r="K16">
        <v>1.54</v>
      </c>
      <c r="L16">
        <v>1.67</v>
      </c>
      <c r="M16">
        <v>1.3199999999999998</v>
      </c>
      <c r="N16" s="146">
        <v>1.7929999999999999</v>
      </c>
      <c r="O16" s="138">
        <v>1.87</v>
      </c>
    </row>
    <row r="17" spans="1:15" x14ac:dyDescent="0.15">
      <c r="A17" t="s">
        <v>73</v>
      </c>
      <c r="D17" s="7"/>
      <c r="E17">
        <v>1.351</v>
      </c>
      <c r="F17">
        <v>0</v>
      </c>
      <c r="G17">
        <v>1.2350000000000001</v>
      </c>
      <c r="H17">
        <v>1.0680000000000001</v>
      </c>
      <c r="I17">
        <v>0</v>
      </c>
      <c r="J17">
        <v>0</v>
      </c>
      <c r="K17">
        <v>0</v>
      </c>
      <c r="L17">
        <v>0</v>
      </c>
      <c r="M17">
        <v>0</v>
      </c>
      <c r="N17" s="146">
        <v>1.458</v>
      </c>
      <c r="O17" s="138">
        <v>1.33</v>
      </c>
    </row>
    <row r="18" spans="1:15" x14ac:dyDescent="0.15">
      <c r="A18" t="s">
        <v>74</v>
      </c>
      <c r="D18" s="7"/>
      <c r="E18">
        <v>1.159</v>
      </c>
      <c r="F18">
        <v>0</v>
      </c>
      <c r="G18">
        <v>1.2322</v>
      </c>
      <c r="H18">
        <v>0.93600000000000005</v>
      </c>
      <c r="I18">
        <v>0</v>
      </c>
      <c r="J18">
        <v>0</v>
      </c>
      <c r="K18">
        <v>0</v>
      </c>
      <c r="L18">
        <v>0</v>
      </c>
      <c r="M18">
        <v>0</v>
      </c>
      <c r="N18" s="146">
        <v>1.2809999999999999</v>
      </c>
      <c r="O18" s="138">
        <v>1.02</v>
      </c>
    </row>
    <row r="19" spans="1:15" x14ac:dyDescent="0.15">
      <c r="A19" t="s">
        <v>75</v>
      </c>
      <c r="D19" s="7"/>
      <c r="E19">
        <v>1.0740000000000001</v>
      </c>
      <c r="F19">
        <v>1.0249999999999999</v>
      </c>
      <c r="G19">
        <v>1.0714999999999999</v>
      </c>
      <c r="H19">
        <v>0.871</v>
      </c>
      <c r="I19">
        <v>0.97</v>
      </c>
      <c r="J19">
        <v>1.2305999999999999</v>
      </c>
      <c r="K19">
        <v>1.1299999999999999</v>
      </c>
      <c r="L19">
        <v>1.35</v>
      </c>
      <c r="M19">
        <v>1.03</v>
      </c>
      <c r="N19" s="146">
        <v>1.234</v>
      </c>
      <c r="O19" s="138">
        <v>0.95</v>
      </c>
    </row>
    <row r="20" spans="1:15" x14ac:dyDescent="0.15">
      <c r="A20" t="s">
        <v>76</v>
      </c>
      <c r="D20" s="7"/>
      <c r="E20">
        <v>1.879</v>
      </c>
      <c r="F20">
        <v>1.722</v>
      </c>
      <c r="G20">
        <v>1.86</v>
      </c>
      <c r="H20">
        <v>1.353</v>
      </c>
      <c r="I20">
        <v>1.81</v>
      </c>
      <c r="J20">
        <v>1.6886000000000001</v>
      </c>
      <c r="K20">
        <v>1.73</v>
      </c>
      <c r="L20">
        <v>1.8699999999999999</v>
      </c>
      <c r="M20">
        <v>1.75</v>
      </c>
      <c r="N20" s="146">
        <v>1.9239999999999999</v>
      </c>
      <c r="O20" s="138">
        <v>1.73</v>
      </c>
    </row>
    <row r="21" spans="1:15" x14ac:dyDescent="0.15">
      <c r="A21" t="s">
        <v>77</v>
      </c>
      <c r="D21" s="7"/>
      <c r="E21">
        <v>1.611</v>
      </c>
      <c r="F21">
        <v>1.304</v>
      </c>
      <c r="G21">
        <v>1.7</v>
      </c>
      <c r="H21">
        <v>1.208</v>
      </c>
      <c r="I21">
        <v>1.23</v>
      </c>
      <c r="J21">
        <v>1.3161</v>
      </c>
      <c r="K21">
        <v>1.21</v>
      </c>
      <c r="L21">
        <v>1.63</v>
      </c>
      <c r="M21">
        <v>1.2599999999999998</v>
      </c>
      <c r="N21" s="146">
        <v>1.6890000000000001</v>
      </c>
      <c r="O21" s="138">
        <v>1.64</v>
      </c>
    </row>
    <row r="22" spans="1:15" x14ac:dyDescent="0.15">
      <c r="A22" t="s">
        <v>78</v>
      </c>
      <c r="D22" s="7"/>
      <c r="E22">
        <v>1.3080000000000001</v>
      </c>
      <c r="F22">
        <v>0</v>
      </c>
      <c r="G22">
        <v>1.19</v>
      </c>
      <c r="H22">
        <v>0.996</v>
      </c>
      <c r="I22">
        <v>0</v>
      </c>
      <c r="J22">
        <v>0</v>
      </c>
      <c r="K22">
        <v>0</v>
      </c>
      <c r="L22">
        <v>0</v>
      </c>
      <c r="M22">
        <v>0</v>
      </c>
      <c r="N22" s="146">
        <v>1.4039999999999999</v>
      </c>
      <c r="O22" s="138">
        <v>1.25</v>
      </c>
    </row>
    <row r="23" spans="1:15" x14ac:dyDescent="0.15">
      <c r="A23" t="s">
        <v>79</v>
      </c>
      <c r="D23" s="7"/>
      <c r="E23">
        <v>1.1419999999999999</v>
      </c>
      <c r="F23">
        <v>0</v>
      </c>
      <c r="G23">
        <v>1.1465000000000001</v>
      </c>
      <c r="H23">
        <v>0.88400000000000001</v>
      </c>
      <c r="I23">
        <v>0</v>
      </c>
      <c r="J23">
        <v>0</v>
      </c>
      <c r="K23">
        <v>0</v>
      </c>
      <c r="L23">
        <v>0</v>
      </c>
      <c r="M23">
        <v>0</v>
      </c>
      <c r="N23" s="146">
        <v>1.254</v>
      </c>
      <c r="O23" s="138">
        <v>1.36</v>
      </c>
    </row>
    <row r="24" spans="1:15" x14ac:dyDescent="0.15">
      <c r="A24" t="s">
        <v>80</v>
      </c>
      <c r="D24" s="7"/>
      <c r="E24">
        <v>1.044</v>
      </c>
      <c r="F24">
        <v>0.95199999999999996</v>
      </c>
      <c r="G24">
        <v>1.0179</v>
      </c>
      <c r="H24">
        <v>0.81599999999999995</v>
      </c>
      <c r="I24">
        <v>0.92</v>
      </c>
      <c r="J24">
        <v>1.1677</v>
      </c>
      <c r="K24">
        <v>1.07</v>
      </c>
      <c r="L24">
        <v>1.3399999999999999</v>
      </c>
      <c r="M24">
        <v>0.96000000000000008</v>
      </c>
      <c r="N24" s="146">
        <v>1.2290000000000001</v>
      </c>
      <c r="O24" s="138">
        <v>0.9</v>
      </c>
    </row>
    <row r="25" spans="1:15" x14ac:dyDescent="0.15">
      <c r="A25" t="s">
        <v>81</v>
      </c>
      <c r="D25" s="7"/>
      <c r="E25">
        <v>65.52</v>
      </c>
      <c r="F25">
        <v>67</v>
      </c>
      <c r="G25">
        <v>69.650000000000006</v>
      </c>
      <c r="H25">
        <v>58.14</v>
      </c>
      <c r="I25">
        <v>65.900000000000006</v>
      </c>
      <c r="J25">
        <v>63.11</v>
      </c>
      <c r="K25">
        <v>62</v>
      </c>
      <c r="L25">
        <v>64.83</v>
      </c>
      <c r="M25">
        <v>52.99</v>
      </c>
      <c r="N25" s="146">
        <v>62.5</v>
      </c>
      <c r="O25" s="138">
        <v>67</v>
      </c>
    </row>
    <row r="26" spans="1:15" x14ac:dyDescent="0.15">
      <c r="D26" s="7"/>
    </row>
    <row r="27" spans="1:15" x14ac:dyDescent="0.15">
      <c r="D27" s="7"/>
    </row>
    <row r="28" spans="1:15" x14ac:dyDescent="0.15">
      <c r="A28" s="9" t="s">
        <v>1076</v>
      </c>
      <c r="D28" s="7"/>
      <c r="E28" s="10" t="s">
        <v>1044</v>
      </c>
      <c r="F28" s="23" t="s">
        <v>591</v>
      </c>
      <c r="G28" s="23" t="s">
        <v>592</v>
      </c>
      <c r="H28" s="23" t="s">
        <v>614</v>
      </c>
      <c r="I28" s="23" t="s">
        <v>594</v>
      </c>
      <c r="J28" s="23" t="s">
        <v>595</v>
      </c>
      <c r="K28" s="23" t="s">
        <v>596</v>
      </c>
      <c r="L28" s="10" t="s">
        <v>486</v>
      </c>
      <c r="M28" s="23" t="s">
        <v>487</v>
      </c>
      <c r="N28" s="10" t="s">
        <v>599</v>
      </c>
      <c r="O28" s="10" t="s">
        <v>600</v>
      </c>
    </row>
    <row r="29" spans="1:15" x14ac:dyDescent="0.15">
      <c r="A29" s="1" t="s">
        <v>63</v>
      </c>
      <c r="D29" s="7"/>
      <c r="E29" s="13">
        <v>0.5</v>
      </c>
      <c r="F29" s="13">
        <v>0.5</v>
      </c>
      <c r="G29" s="13">
        <v>0.5</v>
      </c>
      <c r="H29" s="13">
        <v>0.5</v>
      </c>
      <c r="I29" s="14">
        <v>0.33329999999999999</v>
      </c>
      <c r="J29" s="13">
        <v>0.5</v>
      </c>
      <c r="K29" s="13">
        <v>0.5</v>
      </c>
      <c r="L29" s="13">
        <v>0.5</v>
      </c>
      <c r="M29" s="13">
        <v>0.5</v>
      </c>
      <c r="N29" s="13">
        <v>0.5</v>
      </c>
      <c r="O29" s="13">
        <v>0.5</v>
      </c>
    </row>
    <row r="30" spans="1:15" x14ac:dyDescent="0.15">
      <c r="A30" s="1" t="s">
        <v>64</v>
      </c>
      <c r="D30" s="7"/>
      <c r="E30" s="15">
        <v>3</v>
      </c>
      <c r="F30" s="15">
        <v>3</v>
      </c>
      <c r="G30" s="15">
        <v>3</v>
      </c>
      <c r="H30" s="15">
        <v>3</v>
      </c>
      <c r="I30" s="15">
        <v>2</v>
      </c>
      <c r="J30" s="15">
        <v>3</v>
      </c>
      <c r="K30" s="15">
        <v>3</v>
      </c>
      <c r="L30" s="15">
        <v>3</v>
      </c>
      <c r="M30" s="15">
        <v>3</v>
      </c>
      <c r="N30" s="15">
        <v>3</v>
      </c>
      <c r="O30" s="15">
        <v>3</v>
      </c>
    </row>
    <row r="31" spans="1:15" x14ac:dyDescent="0.15">
      <c r="A31" s="1" t="s">
        <v>65</v>
      </c>
      <c r="D31" s="7"/>
      <c r="E31" s="13">
        <v>0.5</v>
      </c>
      <c r="F31" s="13">
        <v>0.5</v>
      </c>
      <c r="G31" s="13">
        <v>0.5</v>
      </c>
      <c r="H31" s="13">
        <v>0.5</v>
      </c>
      <c r="I31" s="14">
        <v>0.66659999999999997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</row>
    <row r="32" spans="1:15" x14ac:dyDescent="0.15">
      <c r="A32" s="1" t="s">
        <v>66</v>
      </c>
      <c r="D32" s="7"/>
      <c r="E32" s="15">
        <v>3</v>
      </c>
      <c r="F32" s="15">
        <v>3</v>
      </c>
      <c r="G32" s="15">
        <v>3</v>
      </c>
      <c r="H32" s="15">
        <v>3</v>
      </c>
      <c r="I32" s="15">
        <v>4</v>
      </c>
      <c r="J32" s="15">
        <v>3</v>
      </c>
      <c r="K32" s="15">
        <v>3</v>
      </c>
      <c r="L32" s="15">
        <v>3</v>
      </c>
      <c r="M32" s="15">
        <v>3</v>
      </c>
      <c r="N32" s="15">
        <v>3</v>
      </c>
      <c r="O32" s="15">
        <v>3</v>
      </c>
    </row>
    <row r="33" spans="1:15" x14ac:dyDescent="0.15">
      <c r="A33" t="s">
        <v>67</v>
      </c>
      <c r="D33" s="7"/>
      <c r="E33" s="15">
        <v>3000</v>
      </c>
      <c r="F33" s="15">
        <v>3500</v>
      </c>
      <c r="G33" s="15">
        <v>3000</v>
      </c>
      <c r="H33" s="15">
        <v>3000</v>
      </c>
      <c r="I33" s="15">
        <v>3500</v>
      </c>
      <c r="J33" s="15">
        <v>3500</v>
      </c>
      <c r="K33" s="15">
        <v>3500</v>
      </c>
      <c r="L33" s="15">
        <v>3000</v>
      </c>
      <c r="M33" s="15">
        <v>3500</v>
      </c>
      <c r="N33" s="15">
        <v>3000</v>
      </c>
      <c r="O33" s="15">
        <v>3000</v>
      </c>
    </row>
    <row r="34" spans="1:15" x14ac:dyDescent="0.15">
      <c r="A34" t="s">
        <v>68</v>
      </c>
      <c r="D34" s="7"/>
      <c r="E34" s="15">
        <v>6000</v>
      </c>
      <c r="F34" s="15">
        <v>3500</v>
      </c>
      <c r="G34" s="15">
        <v>6000</v>
      </c>
      <c r="H34">
        <v>6000</v>
      </c>
      <c r="I34" s="15">
        <v>3500</v>
      </c>
      <c r="J34" s="15">
        <v>3500</v>
      </c>
      <c r="K34" s="15">
        <v>3500</v>
      </c>
      <c r="L34">
        <v>3000</v>
      </c>
      <c r="M34" s="15">
        <v>3500</v>
      </c>
      <c r="N34" s="15">
        <v>6000</v>
      </c>
      <c r="O34" s="15">
        <v>6000</v>
      </c>
    </row>
    <row r="35" spans="1:15" x14ac:dyDescent="0.15">
      <c r="A35" t="s">
        <v>69</v>
      </c>
      <c r="D35" s="7"/>
      <c r="E35" s="15">
        <v>9000</v>
      </c>
      <c r="F35" s="15">
        <v>3500</v>
      </c>
      <c r="G35" s="15">
        <v>9000</v>
      </c>
      <c r="H35">
        <v>9000</v>
      </c>
      <c r="I35" s="15">
        <v>3500</v>
      </c>
      <c r="J35" s="15">
        <v>3500</v>
      </c>
      <c r="K35" s="15">
        <v>3500</v>
      </c>
      <c r="L35" s="15">
        <v>3000</v>
      </c>
      <c r="M35" s="15">
        <v>3500</v>
      </c>
      <c r="N35" s="15">
        <v>9000</v>
      </c>
      <c r="O35" s="15">
        <v>9000</v>
      </c>
    </row>
    <row r="36" spans="1:15" x14ac:dyDescent="0.15">
      <c r="A36" s="11" t="s">
        <v>70</v>
      </c>
      <c r="B36" s="11"/>
      <c r="C36" s="11"/>
      <c r="D36" s="12"/>
      <c r="E36" s="11">
        <v>15000</v>
      </c>
      <c r="F36" s="11">
        <v>3500</v>
      </c>
      <c r="G36" s="11">
        <v>15000</v>
      </c>
      <c r="H36" s="11">
        <v>15000</v>
      </c>
      <c r="I36" s="11">
        <v>3500</v>
      </c>
      <c r="J36" s="11">
        <v>3500</v>
      </c>
      <c r="K36" s="11">
        <v>3500</v>
      </c>
      <c r="L36" s="11">
        <v>3000</v>
      </c>
      <c r="M36" s="11">
        <v>3500</v>
      </c>
      <c r="N36" s="32">
        <v>15000</v>
      </c>
      <c r="O36" s="32">
        <v>15000</v>
      </c>
    </row>
    <row r="37" spans="1:15" x14ac:dyDescent="0.15">
      <c r="A37" t="s">
        <v>71</v>
      </c>
      <c r="D37" s="7"/>
      <c r="E37">
        <v>2.0150000000000001</v>
      </c>
      <c r="F37">
        <v>1.9380000000000002</v>
      </c>
      <c r="G37">
        <v>1.9238</v>
      </c>
      <c r="H37">
        <v>1.4930000000000001</v>
      </c>
      <c r="I37">
        <v>1.74</v>
      </c>
      <c r="J37">
        <v>1.7939000000000001</v>
      </c>
      <c r="K37">
        <v>1.7589999999999999</v>
      </c>
      <c r="L37">
        <v>2.0099999999999998</v>
      </c>
      <c r="M37">
        <v>1.71</v>
      </c>
      <c r="N37" s="139">
        <v>2.0390000000000001</v>
      </c>
      <c r="O37" s="138">
        <v>1.92</v>
      </c>
    </row>
    <row r="38" spans="1:15" x14ac:dyDescent="0.15">
      <c r="A38" t="s">
        <v>72</v>
      </c>
      <c r="D38" s="7"/>
      <c r="E38">
        <v>1.7550000000000001</v>
      </c>
      <c r="F38">
        <v>0</v>
      </c>
      <c r="G38">
        <v>1.7527999999999999</v>
      </c>
      <c r="H38">
        <v>1.3169999999999999</v>
      </c>
      <c r="I38">
        <v>0</v>
      </c>
      <c r="J38">
        <v>0</v>
      </c>
      <c r="K38">
        <v>0</v>
      </c>
      <c r="L38">
        <v>0</v>
      </c>
      <c r="M38">
        <v>0</v>
      </c>
      <c r="N38" s="139">
        <v>1.7669999999999999</v>
      </c>
      <c r="O38" s="138">
        <v>1.87</v>
      </c>
    </row>
    <row r="39" spans="1:15" x14ac:dyDescent="0.15">
      <c r="A39" t="s">
        <v>73</v>
      </c>
      <c r="D39" s="7"/>
      <c r="E39">
        <v>1.4409999999999998</v>
      </c>
      <c r="F39">
        <v>0</v>
      </c>
      <c r="G39">
        <v>1.4919</v>
      </c>
      <c r="H39">
        <v>1.0680000000000001</v>
      </c>
      <c r="I39">
        <v>0</v>
      </c>
      <c r="J39">
        <v>0</v>
      </c>
      <c r="K39">
        <v>0</v>
      </c>
      <c r="L39">
        <v>0</v>
      </c>
      <c r="M39">
        <v>0</v>
      </c>
      <c r="N39" s="139">
        <v>1.4370000000000001</v>
      </c>
      <c r="O39" s="138">
        <v>1.33</v>
      </c>
    </row>
    <row r="40" spans="1:15" x14ac:dyDescent="0.15">
      <c r="A40" t="s">
        <v>74</v>
      </c>
      <c r="D40" s="7"/>
      <c r="E40">
        <v>1.3160000000000001</v>
      </c>
      <c r="F40">
        <v>0</v>
      </c>
      <c r="G40">
        <v>1.3466</v>
      </c>
      <c r="H40">
        <v>0.93600000000000005</v>
      </c>
      <c r="I40">
        <v>0</v>
      </c>
      <c r="J40">
        <v>0</v>
      </c>
      <c r="K40">
        <v>0</v>
      </c>
      <c r="L40">
        <v>0</v>
      </c>
      <c r="M40">
        <v>0</v>
      </c>
      <c r="N40" s="139">
        <v>1.262</v>
      </c>
      <c r="O40" s="138">
        <v>1.02</v>
      </c>
    </row>
    <row r="41" spans="1:15" x14ac:dyDescent="0.15">
      <c r="A41" t="s">
        <v>75</v>
      </c>
      <c r="D41" s="7"/>
      <c r="E41">
        <v>1.294</v>
      </c>
      <c r="F41">
        <v>1.478</v>
      </c>
      <c r="G41">
        <v>1.3091999999999999</v>
      </c>
      <c r="H41">
        <v>0.871</v>
      </c>
      <c r="I41">
        <v>1.5</v>
      </c>
      <c r="J41">
        <v>1.5154000000000001</v>
      </c>
      <c r="K41">
        <v>1.4590000000000001</v>
      </c>
      <c r="L41">
        <v>1.51</v>
      </c>
      <c r="M41">
        <v>1.4</v>
      </c>
      <c r="N41" s="139">
        <v>1.216</v>
      </c>
      <c r="O41" s="138">
        <v>0.95</v>
      </c>
    </row>
    <row r="42" spans="1:15" x14ac:dyDescent="0.15">
      <c r="A42" t="s">
        <v>76</v>
      </c>
      <c r="D42" s="7"/>
      <c r="E42">
        <v>1.8860000000000001</v>
      </c>
      <c r="F42">
        <v>1.7509999999999999</v>
      </c>
      <c r="G42">
        <v>1.6673</v>
      </c>
      <c r="H42">
        <v>1.353</v>
      </c>
      <c r="I42">
        <v>1.67</v>
      </c>
      <c r="J42">
        <v>1.6676</v>
      </c>
      <c r="K42">
        <v>1.659</v>
      </c>
      <c r="L42">
        <v>1.9699999999999998</v>
      </c>
      <c r="M42">
        <v>1.6400000000000001</v>
      </c>
      <c r="N42" s="139">
        <v>1.8959999999999999</v>
      </c>
      <c r="O42" s="138">
        <v>1.73</v>
      </c>
    </row>
    <row r="43" spans="1:15" x14ac:dyDescent="0.15">
      <c r="A43" t="s">
        <v>77</v>
      </c>
      <c r="D43" s="7"/>
      <c r="E43">
        <v>1.6719999999999999</v>
      </c>
      <c r="F43">
        <v>0</v>
      </c>
      <c r="G43">
        <v>1.4675</v>
      </c>
      <c r="H43">
        <v>1.208</v>
      </c>
      <c r="I43">
        <v>0</v>
      </c>
      <c r="J43">
        <v>0</v>
      </c>
      <c r="K43">
        <v>0</v>
      </c>
      <c r="L43">
        <v>0</v>
      </c>
      <c r="M43">
        <v>0</v>
      </c>
      <c r="N43" s="139">
        <v>1.6639999999999999</v>
      </c>
      <c r="O43" s="138">
        <v>1.64</v>
      </c>
    </row>
    <row r="44" spans="1:15" x14ac:dyDescent="0.15">
      <c r="A44" t="s">
        <v>78</v>
      </c>
      <c r="D44" s="7"/>
      <c r="E44">
        <v>1.395</v>
      </c>
      <c r="F44">
        <v>0</v>
      </c>
      <c r="G44">
        <v>1.2867999999999999</v>
      </c>
      <c r="H44">
        <v>0.996</v>
      </c>
      <c r="I44">
        <v>0</v>
      </c>
      <c r="J44">
        <v>0</v>
      </c>
      <c r="K44">
        <v>0</v>
      </c>
      <c r="L44">
        <v>0</v>
      </c>
      <c r="M44">
        <v>0</v>
      </c>
      <c r="N44" s="139">
        <v>1.3839999999999999</v>
      </c>
      <c r="O44" s="138">
        <v>1.25</v>
      </c>
    </row>
    <row r="45" spans="1:15" x14ac:dyDescent="0.15">
      <c r="A45" t="s">
        <v>79</v>
      </c>
      <c r="D45" s="7"/>
      <c r="E45">
        <v>1.2799999999999998</v>
      </c>
      <c r="F45">
        <v>0</v>
      </c>
      <c r="G45">
        <v>1.2814000000000001</v>
      </c>
      <c r="H45">
        <v>0.88400000000000001</v>
      </c>
      <c r="I45">
        <v>0</v>
      </c>
      <c r="J45">
        <v>0</v>
      </c>
      <c r="K45">
        <v>0</v>
      </c>
      <c r="L45">
        <v>0</v>
      </c>
      <c r="M45">
        <v>0</v>
      </c>
      <c r="N45" s="139">
        <v>1.2350000000000001</v>
      </c>
      <c r="O45" s="138">
        <v>1.36</v>
      </c>
    </row>
    <row r="46" spans="1:15" x14ac:dyDescent="0.15">
      <c r="A46" t="s">
        <v>80</v>
      </c>
      <c r="D46" s="7"/>
      <c r="E46">
        <v>1.2449999999999999</v>
      </c>
      <c r="F46">
        <v>1.24</v>
      </c>
      <c r="G46">
        <v>1.1638999999999999</v>
      </c>
      <c r="H46">
        <v>0.81599999999999995</v>
      </c>
      <c r="I46">
        <v>1.3</v>
      </c>
      <c r="J46">
        <v>1.3866000000000001</v>
      </c>
      <c r="K46">
        <v>1.389</v>
      </c>
      <c r="L46">
        <v>1.43</v>
      </c>
      <c r="M46">
        <v>1.25</v>
      </c>
      <c r="N46" s="139">
        <v>1.2110000000000001</v>
      </c>
      <c r="O46" s="138">
        <v>0.9</v>
      </c>
    </row>
    <row r="47" spans="1:15" x14ac:dyDescent="0.15">
      <c r="A47" t="s">
        <v>81</v>
      </c>
      <c r="D47" s="7"/>
      <c r="E47">
        <v>53.85</v>
      </c>
      <c r="F47">
        <v>62</v>
      </c>
      <c r="G47">
        <v>67.34</v>
      </c>
      <c r="H47">
        <v>58.14</v>
      </c>
      <c r="I47">
        <v>60</v>
      </c>
      <c r="J47">
        <v>57.87</v>
      </c>
      <c r="K47">
        <v>62</v>
      </c>
      <c r="L47">
        <v>63.25</v>
      </c>
      <c r="M47">
        <v>51.99</v>
      </c>
      <c r="N47" s="139">
        <v>62.5</v>
      </c>
      <c r="O47" s="138">
        <v>67</v>
      </c>
    </row>
    <row r="48" spans="1:15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</row>
    <row r="49" spans="1:15" x14ac:dyDescent="0.15">
      <c r="A49" s="9" t="s">
        <v>490</v>
      </c>
      <c r="D49" s="7"/>
      <c r="E49" s="10" t="s">
        <v>1044</v>
      </c>
      <c r="F49" s="23" t="s">
        <v>591</v>
      </c>
      <c r="G49" s="23" t="s">
        <v>592</v>
      </c>
      <c r="H49" s="23" t="s">
        <v>614</v>
      </c>
      <c r="I49" s="23" t="s">
        <v>594</v>
      </c>
      <c r="J49" s="23" t="s">
        <v>595</v>
      </c>
      <c r="K49" s="23" t="s">
        <v>596</v>
      </c>
      <c r="L49" s="10" t="s">
        <v>486</v>
      </c>
      <c r="M49" s="23" t="s">
        <v>487</v>
      </c>
      <c r="N49" s="10" t="s">
        <v>599</v>
      </c>
      <c r="O49" s="10" t="s">
        <v>600</v>
      </c>
    </row>
    <row r="50" spans="1:15" x14ac:dyDescent="0.15">
      <c r="A50" t="s">
        <v>491</v>
      </c>
      <c r="D50" s="7"/>
      <c r="E50" s="24" t="s">
        <v>492</v>
      </c>
      <c r="F50" s="25" t="s">
        <v>493</v>
      </c>
      <c r="G50" s="25" t="s">
        <v>493</v>
      </c>
      <c r="H50" s="25" t="s">
        <v>493</v>
      </c>
      <c r="I50" s="24" t="s">
        <v>495</v>
      </c>
      <c r="J50" s="25" t="s">
        <v>494</v>
      </c>
      <c r="K50" s="25" t="s">
        <v>493</v>
      </c>
      <c r="L50" s="25" t="s">
        <v>493</v>
      </c>
      <c r="M50" s="25" t="s">
        <v>493</v>
      </c>
      <c r="N50" s="25" t="s">
        <v>493</v>
      </c>
      <c r="O50" s="25" t="s">
        <v>493</v>
      </c>
    </row>
    <row r="51" spans="1:15" x14ac:dyDescent="0.15">
      <c r="A51" t="s">
        <v>496</v>
      </c>
      <c r="D51" s="7"/>
      <c r="E51" s="25" t="s">
        <v>497</v>
      </c>
      <c r="F51" s="25" t="s">
        <v>497</v>
      </c>
      <c r="G51" s="25" t="s">
        <v>497</v>
      </c>
      <c r="H51" s="25" t="s">
        <v>493</v>
      </c>
      <c r="I51" s="25" t="s">
        <v>498</v>
      </c>
      <c r="J51" s="25" t="s">
        <v>498</v>
      </c>
      <c r="K51" s="25" t="s">
        <v>527</v>
      </c>
      <c r="L51" s="25" t="s">
        <v>493</v>
      </c>
      <c r="M51" s="25" t="s">
        <v>493</v>
      </c>
      <c r="N51" s="25" t="s">
        <v>493</v>
      </c>
      <c r="O51" s="25" t="s">
        <v>497</v>
      </c>
    </row>
    <row r="52" spans="1:15" x14ac:dyDescent="0.15">
      <c r="A52" t="s">
        <v>499</v>
      </c>
      <c r="D52" s="7"/>
      <c r="E52" s="25" t="s">
        <v>493</v>
      </c>
      <c r="F52" s="37" t="s">
        <v>493</v>
      </c>
      <c r="G52" s="37" t="s">
        <v>493</v>
      </c>
      <c r="H52" s="37" t="s">
        <v>493</v>
      </c>
      <c r="I52" s="37">
        <v>22</v>
      </c>
      <c r="J52" s="37">
        <v>80</v>
      </c>
      <c r="K52" s="37">
        <v>20</v>
      </c>
      <c r="L52" t="s">
        <v>493</v>
      </c>
      <c r="M52" t="s">
        <v>493</v>
      </c>
      <c r="N52" t="s">
        <v>493</v>
      </c>
      <c r="O52" s="37" t="s">
        <v>500</v>
      </c>
    </row>
    <row r="53" spans="1:15" x14ac:dyDescent="0.15">
      <c r="A53" t="s">
        <v>501</v>
      </c>
      <c r="D53" s="7"/>
      <c r="E53" s="25" t="s">
        <v>502</v>
      </c>
      <c r="F53" s="24" t="s">
        <v>91</v>
      </c>
      <c r="G53" s="24" t="s">
        <v>504</v>
      </c>
      <c r="H53" s="24" t="s">
        <v>493</v>
      </c>
      <c r="I53" s="24" t="s">
        <v>493</v>
      </c>
      <c r="J53" s="24" t="s">
        <v>530</v>
      </c>
      <c r="K53" s="24" t="s">
        <v>506</v>
      </c>
      <c r="L53" s="24" t="s">
        <v>529</v>
      </c>
      <c r="M53" s="24" t="s">
        <v>532</v>
      </c>
      <c r="N53" s="24" t="s">
        <v>502</v>
      </c>
      <c r="O53" s="24" t="s">
        <v>550</v>
      </c>
    </row>
    <row r="54" spans="1:15" x14ac:dyDescent="0.15">
      <c r="A54" t="s">
        <v>442</v>
      </c>
      <c r="D54" s="7"/>
      <c r="E54" s="25" t="s">
        <v>512</v>
      </c>
      <c r="F54" s="25" t="s">
        <v>494</v>
      </c>
      <c r="G54" s="25" t="s">
        <v>494</v>
      </c>
      <c r="H54" s="25" t="s">
        <v>493</v>
      </c>
      <c r="I54" s="25" t="s">
        <v>493</v>
      </c>
      <c r="J54" s="25" t="s">
        <v>494</v>
      </c>
      <c r="K54" s="25" t="s">
        <v>493</v>
      </c>
      <c r="L54" s="25" t="s">
        <v>493</v>
      </c>
      <c r="M54" s="25" t="s">
        <v>493</v>
      </c>
      <c r="N54" s="25" t="s">
        <v>493</v>
      </c>
      <c r="O54" s="25" t="s">
        <v>494</v>
      </c>
    </row>
    <row r="55" spans="1:15" x14ac:dyDescent="0.15">
      <c r="A55" s="131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</row>
  </sheetData>
  <sheetProtection algorithmName="SHA-512" hashValue="21LhLEpMMF76y4GTEUwgFHZgt1RRMWyM+IGTPcwO6uYtIjZrZhPEOCJBASN026Eni/fbJtuVofIoa/r+JrxUkA==" saltValue="wbU+u9qSNzeJgRtC8N5/7w==" spinCount="100000" sheet="1" objects="1" scenarios="1"/>
  <phoneticPr fontId="20" type="noConversion"/>
  <pageMargins left="0.75" right="0.75" top="1" bottom="1" header="0.5" footer="0.5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1:O59"/>
  <sheetViews>
    <sheetView workbookViewId="0">
      <selection activeCell="I17" sqref="I17:I1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5" x14ac:dyDescent="0.15">
      <c r="A1" t="s">
        <v>722</v>
      </c>
    </row>
    <row r="2" spans="1:15" x14ac:dyDescent="0.15">
      <c r="A2" s="134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2"/>
      <c r="O2" s="132"/>
    </row>
    <row r="3" spans="1:15" x14ac:dyDescent="0.15">
      <c r="A3" s="8" t="s">
        <v>82</v>
      </c>
      <c r="D3" s="7"/>
    </row>
    <row r="4" spans="1:15" x14ac:dyDescent="0.15">
      <c r="D4" s="7"/>
      <c r="E4" s="8" t="s">
        <v>90</v>
      </c>
    </row>
    <row r="5" spans="1:15" x14ac:dyDescent="0.15">
      <c r="A5" s="9" t="s">
        <v>83</v>
      </c>
      <c r="D5" s="7"/>
    </row>
    <row r="6" spans="1:15" x14ac:dyDescent="0.15">
      <c r="A6" s="9" t="s">
        <v>1024</v>
      </c>
      <c r="D6" s="7"/>
      <c r="E6" s="10" t="s">
        <v>1044</v>
      </c>
      <c r="F6" s="23" t="s">
        <v>591</v>
      </c>
      <c r="G6" s="23" t="s">
        <v>592</v>
      </c>
      <c r="H6" s="10" t="s">
        <v>614</v>
      </c>
      <c r="I6" s="10" t="s">
        <v>615</v>
      </c>
      <c r="J6" s="23" t="s">
        <v>595</v>
      </c>
      <c r="K6" s="23" t="s">
        <v>596</v>
      </c>
      <c r="L6" s="10" t="s">
        <v>486</v>
      </c>
      <c r="M6" s="23" t="s">
        <v>487</v>
      </c>
      <c r="N6" s="10" t="s">
        <v>599</v>
      </c>
      <c r="O6" s="10" t="s">
        <v>600</v>
      </c>
    </row>
    <row r="7" spans="1:15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  <c r="L7" s="14">
        <v>0.33329999999999999</v>
      </c>
      <c r="M7" s="14">
        <v>0.33329999999999999</v>
      </c>
      <c r="N7" s="14">
        <v>0.33329999999999999</v>
      </c>
      <c r="O7" s="14">
        <v>0.33329999999999999</v>
      </c>
    </row>
    <row r="8" spans="1:15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  <c r="L8" s="15">
        <v>2</v>
      </c>
      <c r="M8" s="15">
        <v>2</v>
      </c>
      <c r="N8" s="15">
        <v>2</v>
      </c>
      <c r="O8" s="15">
        <v>2</v>
      </c>
    </row>
    <row r="9" spans="1:15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  <c r="L9" s="14">
        <v>0.66659999999999997</v>
      </c>
      <c r="M9" s="14">
        <v>0.66659999999999997</v>
      </c>
      <c r="N9" s="14">
        <v>0.66659999999999997</v>
      </c>
      <c r="O9" s="14">
        <v>0.66659999999999997</v>
      </c>
    </row>
    <row r="10" spans="1:15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  <c r="L10" s="15">
        <v>4</v>
      </c>
      <c r="M10" s="15">
        <v>4</v>
      </c>
      <c r="N10" s="15">
        <v>4</v>
      </c>
      <c r="O10" s="15">
        <v>4</v>
      </c>
    </row>
    <row r="11" spans="1:15" x14ac:dyDescent="0.15">
      <c r="A11" t="s">
        <v>67</v>
      </c>
      <c r="D11" s="7"/>
      <c r="E11" s="15">
        <v>1644</v>
      </c>
      <c r="F11">
        <v>4000</v>
      </c>
      <c r="G11" s="15">
        <v>6000</v>
      </c>
      <c r="H11" s="15">
        <v>1680</v>
      </c>
      <c r="I11">
        <v>4000</v>
      </c>
      <c r="J11">
        <v>4000</v>
      </c>
      <c r="K11">
        <v>3000</v>
      </c>
      <c r="L11" s="15">
        <v>1644</v>
      </c>
      <c r="M11">
        <v>4000</v>
      </c>
      <c r="N11">
        <v>1655</v>
      </c>
      <c r="O11">
        <v>1655</v>
      </c>
    </row>
    <row r="12" spans="1:15" x14ac:dyDescent="0.15">
      <c r="A12" s="11" t="s">
        <v>84</v>
      </c>
      <c r="B12" s="11"/>
      <c r="C12" s="11"/>
      <c r="D12" s="12"/>
      <c r="E12" s="11">
        <v>2958</v>
      </c>
      <c r="F12" s="11">
        <v>12000</v>
      </c>
      <c r="G12" s="11">
        <v>12000</v>
      </c>
      <c r="H12" s="11">
        <v>3000</v>
      </c>
      <c r="I12" s="11">
        <v>12000</v>
      </c>
      <c r="J12" s="11">
        <v>12000</v>
      </c>
      <c r="K12" s="11">
        <v>3000</v>
      </c>
      <c r="L12" s="11">
        <v>2958</v>
      </c>
      <c r="M12" s="11">
        <v>12000</v>
      </c>
      <c r="N12" s="11">
        <v>2970</v>
      </c>
      <c r="O12" s="11">
        <v>2970</v>
      </c>
    </row>
    <row r="13" spans="1:15" x14ac:dyDescent="0.15">
      <c r="A13" t="s">
        <v>71</v>
      </c>
      <c r="D13" s="7"/>
      <c r="E13">
        <v>1.998</v>
      </c>
      <c r="F13">
        <v>1.782</v>
      </c>
      <c r="G13">
        <v>1.8778999999999999</v>
      </c>
      <c r="H13">
        <v>1.609</v>
      </c>
      <c r="I13">
        <v>1.81</v>
      </c>
      <c r="J13">
        <v>1.7641</v>
      </c>
      <c r="K13">
        <v>2</v>
      </c>
      <c r="L13">
        <v>1.85</v>
      </c>
      <c r="M13">
        <v>1.78</v>
      </c>
      <c r="N13">
        <v>2.19</v>
      </c>
      <c r="O13">
        <v>1.85</v>
      </c>
    </row>
    <row r="14" spans="1:15" x14ac:dyDescent="0.15">
      <c r="A14" t="s">
        <v>72</v>
      </c>
      <c r="D14" s="7"/>
      <c r="E14">
        <v>1.8089999999999999</v>
      </c>
      <c r="F14">
        <v>1.7089999999999999</v>
      </c>
      <c r="G14">
        <v>1.6625000000000001</v>
      </c>
      <c r="H14">
        <v>1.39</v>
      </c>
      <c r="I14">
        <v>1.71</v>
      </c>
      <c r="J14">
        <v>1.5684</v>
      </c>
      <c r="K14">
        <v>0</v>
      </c>
      <c r="L14">
        <v>1.85</v>
      </c>
      <c r="M14">
        <v>1.63</v>
      </c>
      <c r="N14">
        <v>1.877</v>
      </c>
      <c r="O14">
        <v>1.87</v>
      </c>
    </row>
    <row r="15" spans="1:15" x14ac:dyDescent="0.15">
      <c r="A15" t="s">
        <v>75</v>
      </c>
      <c r="D15" s="7"/>
      <c r="E15">
        <v>1.4970000000000001</v>
      </c>
      <c r="F15">
        <v>1.347</v>
      </c>
      <c r="G15">
        <v>1.3826000000000001</v>
      </c>
      <c r="H15">
        <v>1.125</v>
      </c>
      <c r="I15">
        <v>1.33</v>
      </c>
      <c r="J15">
        <v>1.4359999999999999</v>
      </c>
      <c r="K15">
        <v>1.4</v>
      </c>
      <c r="L15">
        <v>1.6400000000000001</v>
      </c>
      <c r="M15">
        <v>1.33</v>
      </c>
      <c r="N15">
        <v>1.5429999999999999</v>
      </c>
      <c r="O15">
        <v>1.48</v>
      </c>
    </row>
    <row r="16" spans="1:15" x14ac:dyDescent="0.15">
      <c r="A16" t="s">
        <v>76</v>
      </c>
      <c r="D16" s="7"/>
      <c r="E16">
        <v>1.998</v>
      </c>
      <c r="F16">
        <v>1.782</v>
      </c>
      <c r="G16">
        <v>1.7702</v>
      </c>
      <c r="H16">
        <v>1.5569999999999999</v>
      </c>
      <c r="I16">
        <v>1.73</v>
      </c>
      <c r="J16">
        <v>1.6961999999999999</v>
      </c>
      <c r="K16">
        <v>2</v>
      </c>
      <c r="L16">
        <v>1.85</v>
      </c>
      <c r="M16">
        <v>1.7000000000000002</v>
      </c>
      <c r="N16">
        <v>2.19</v>
      </c>
      <c r="O16">
        <v>1.85</v>
      </c>
    </row>
    <row r="17" spans="1:15" x14ac:dyDescent="0.15">
      <c r="A17" t="s">
        <v>77</v>
      </c>
      <c r="D17" s="7"/>
      <c r="E17">
        <v>1.8089999999999999</v>
      </c>
      <c r="F17">
        <v>1.7089999999999999</v>
      </c>
      <c r="G17">
        <v>1.5979000000000001</v>
      </c>
      <c r="H17">
        <v>1.359</v>
      </c>
      <c r="I17">
        <v>1.66</v>
      </c>
      <c r="J17">
        <v>1.5338000000000001</v>
      </c>
      <c r="K17">
        <v>0</v>
      </c>
      <c r="L17">
        <v>1.85</v>
      </c>
      <c r="M17">
        <v>1.6099999999999999</v>
      </c>
      <c r="N17">
        <v>1.877</v>
      </c>
      <c r="O17">
        <v>1.87</v>
      </c>
    </row>
    <row r="18" spans="1:15" x14ac:dyDescent="0.15">
      <c r="A18" t="s">
        <v>80</v>
      </c>
      <c r="D18" s="7"/>
      <c r="E18">
        <v>1.4970000000000001</v>
      </c>
      <c r="F18">
        <v>1.347</v>
      </c>
      <c r="G18">
        <v>1.3394999999999999</v>
      </c>
      <c r="H18">
        <v>1.0940000000000001</v>
      </c>
      <c r="I18">
        <v>1.29</v>
      </c>
      <c r="J18">
        <v>1.3980999999999999</v>
      </c>
      <c r="K18">
        <v>1.4</v>
      </c>
      <c r="L18">
        <v>1.6400000000000001</v>
      </c>
      <c r="M18">
        <v>1.2999999999999998</v>
      </c>
      <c r="N18">
        <v>1.5429999999999999</v>
      </c>
      <c r="O18">
        <v>1.48</v>
      </c>
    </row>
    <row r="19" spans="1:15" x14ac:dyDescent="0.15">
      <c r="A19" t="s">
        <v>81</v>
      </c>
      <c r="D19" s="7"/>
      <c r="E19">
        <v>63.489999999999995</v>
      </c>
      <c r="F19">
        <v>62</v>
      </c>
      <c r="G19">
        <v>64.760000000000005</v>
      </c>
      <c r="H19">
        <v>64.089999999999989</v>
      </c>
      <c r="I19">
        <v>61.4</v>
      </c>
      <c r="J19">
        <v>62.19</v>
      </c>
      <c r="K19">
        <v>62</v>
      </c>
      <c r="L19">
        <v>64.570000000000007</v>
      </c>
      <c r="M19">
        <v>56.95</v>
      </c>
      <c r="N19">
        <v>62.5</v>
      </c>
      <c r="O19">
        <v>62</v>
      </c>
    </row>
    <row r="20" spans="1:15" x14ac:dyDescent="0.15">
      <c r="D20" s="7"/>
    </row>
    <row r="21" spans="1:15" x14ac:dyDescent="0.15">
      <c r="A21" s="9" t="s">
        <v>85</v>
      </c>
      <c r="D21" s="7"/>
    </row>
    <row r="22" spans="1:15" x14ac:dyDescent="0.15">
      <c r="A22" s="9" t="s">
        <v>488</v>
      </c>
      <c r="D22" s="7"/>
      <c r="E22" s="10" t="s">
        <v>1044</v>
      </c>
      <c r="F22" s="23" t="s">
        <v>591</v>
      </c>
      <c r="G22" s="23" t="s">
        <v>592</v>
      </c>
      <c r="H22" s="10" t="s">
        <v>614</v>
      </c>
      <c r="I22" s="10" t="s">
        <v>615</v>
      </c>
      <c r="J22" s="23" t="s">
        <v>595</v>
      </c>
      <c r="K22" s="23" t="s">
        <v>596</v>
      </c>
      <c r="L22" s="10" t="s">
        <v>486</v>
      </c>
      <c r="M22" s="23" t="s">
        <v>487</v>
      </c>
      <c r="N22" s="10" t="s">
        <v>599</v>
      </c>
      <c r="O22" s="10" t="s">
        <v>600</v>
      </c>
    </row>
    <row r="23" spans="1:15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  <c r="L23" s="14">
        <v>0.33329999999999999</v>
      </c>
      <c r="M23" s="14">
        <v>0.33329999999999999</v>
      </c>
      <c r="N23" s="14">
        <v>0.33329999999999999</v>
      </c>
      <c r="O23" s="14">
        <v>0.33329999999999999</v>
      </c>
    </row>
    <row r="24" spans="1:15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  <c r="L24" s="15">
        <v>2</v>
      </c>
      <c r="M24" s="15">
        <v>2</v>
      </c>
      <c r="N24" s="15">
        <v>2</v>
      </c>
      <c r="O24" s="15">
        <v>2</v>
      </c>
    </row>
    <row r="25" spans="1:15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  <c r="L25" s="14">
        <v>0.66659999999999997</v>
      </c>
      <c r="M25" s="14">
        <v>0.66659999999999997</v>
      </c>
      <c r="N25" s="14">
        <v>0.66659999999999997</v>
      </c>
      <c r="O25" s="14">
        <v>0.66659999999999997</v>
      </c>
    </row>
    <row r="26" spans="1:15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  <c r="L26" s="15">
        <v>4</v>
      </c>
      <c r="M26" s="15">
        <v>4</v>
      </c>
      <c r="N26" s="15">
        <v>4</v>
      </c>
      <c r="O26" s="15">
        <v>4</v>
      </c>
    </row>
    <row r="27" spans="1:15" x14ac:dyDescent="0.15">
      <c r="A27" t="s">
        <v>67</v>
      </c>
      <c r="D27" s="7"/>
      <c r="E27" s="15">
        <v>1644</v>
      </c>
      <c r="F27" s="15">
        <v>3200</v>
      </c>
      <c r="G27" s="15">
        <v>6000</v>
      </c>
      <c r="H27" s="15">
        <v>1680</v>
      </c>
      <c r="I27" s="15">
        <v>3200</v>
      </c>
      <c r="J27" s="15">
        <v>3200</v>
      </c>
      <c r="K27">
        <v>3000</v>
      </c>
      <c r="L27" s="15">
        <v>1644</v>
      </c>
      <c r="M27" s="15">
        <v>3200</v>
      </c>
      <c r="N27">
        <v>1655</v>
      </c>
      <c r="O27">
        <v>1655</v>
      </c>
    </row>
    <row r="28" spans="1:15" x14ac:dyDescent="0.15">
      <c r="A28" s="11" t="s">
        <v>68</v>
      </c>
      <c r="B28" s="11"/>
      <c r="C28" s="11"/>
      <c r="D28" s="12"/>
      <c r="E28" s="11">
        <v>2958</v>
      </c>
      <c r="F28" s="11">
        <v>3200</v>
      </c>
      <c r="G28" s="11">
        <v>12000</v>
      </c>
      <c r="H28" s="11">
        <v>3000</v>
      </c>
      <c r="I28" s="11">
        <v>3200</v>
      </c>
      <c r="J28" s="11">
        <v>3200</v>
      </c>
      <c r="K28" s="11">
        <v>3000</v>
      </c>
      <c r="L28" s="11">
        <v>1644</v>
      </c>
      <c r="M28" s="11">
        <v>3200</v>
      </c>
      <c r="N28" s="11">
        <v>2970</v>
      </c>
      <c r="O28" s="11">
        <v>2970</v>
      </c>
    </row>
    <row r="29" spans="1:15" x14ac:dyDescent="0.15">
      <c r="A29" t="s">
        <v>71</v>
      </c>
      <c r="D29" s="7"/>
      <c r="E29">
        <v>2.069</v>
      </c>
      <c r="F29">
        <v>1.8419999999999999</v>
      </c>
      <c r="G29">
        <v>1.7865</v>
      </c>
      <c r="H29">
        <v>1.7330000000000001</v>
      </c>
      <c r="I29">
        <v>1.8</v>
      </c>
      <c r="J29">
        <v>1.8984000000000001</v>
      </c>
      <c r="K29">
        <v>1.8</v>
      </c>
      <c r="L29">
        <v>1.9300000000000002</v>
      </c>
      <c r="M29">
        <v>1.76</v>
      </c>
      <c r="N29">
        <v>2.2200000000000002</v>
      </c>
      <c r="O29">
        <v>2.1</v>
      </c>
    </row>
    <row r="30" spans="1:15" x14ac:dyDescent="0.15">
      <c r="A30" t="s">
        <v>72</v>
      </c>
      <c r="D30" s="7"/>
      <c r="E30">
        <v>1.9730000000000001</v>
      </c>
      <c r="F30">
        <v>0</v>
      </c>
      <c r="G30">
        <v>1.7697000000000001</v>
      </c>
      <c r="H30">
        <v>1.478</v>
      </c>
      <c r="I30">
        <v>0</v>
      </c>
      <c r="J30">
        <v>0</v>
      </c>
      <c r="K30">
        <v>0</v>
      </c>
      <c r="L30">
        <v>0</v>
      </c>
      <c r="M30">
        <v>0</v>
      </c>
      <c r="N30">
        <v>1.8819999999999999</v>
      </c>
      <c r="O30">
        <v>1.95</v>
      </c>
    </row>
    <row r="31" spans="1:15" x14ac:dyDescent="0.15">
      <c r="A31" t="s">
        <v>75</v>
      </c>
      <c r="D31" s="7"/>
      <c r="E31">
        <v>1.31</v>
      </c>
      <c r="F31">
        <v>1.536</v>
      </c>
      <c r="G31">
        <v>1.5561</v>
      </c>
      <c r="H31">
        <v>1.173</v>
      </c>
      <c r="I31">
        <v>1.59</v>
      </c>
      <c r="J31">
        <v>1.6259999999999999</v>
      </c>
      <c r="K31">
        <v>1.55</v>
      </c>
      <c r="L31">
        <v>1.52</v>
      </c>
      <c r="M31">
        <v>1.49</v>
      </c>
      <c r="N31">
        <v>1.4830000000000001</v>
      </c>
      <c r="O31">
        <v>1.58</v>
      </c>
    </row>
    <row r="32" spans="1:15" x14ac:dyDescent="0.15">
      <c r="A32" t="s">
        <v>76</v>
      </c>
      <c r="D32" s="7"/>
      <c r="E32">
        <v>2.069</v>
      </c>
      <c r="F32">
        <v>1.8419999999999999</v>
      </c>
      <c r="G32">
        <v>1.7036</v>
      </c>
      <c r="H32">
        <v>1.702</v>
      </c>
      <c r="I32">
        <v>1.69</v>
      </c>
      <c r="J32">
        <v>1.8406</v>
      </c>
      <c r="K32">
        <v>1.8</v>
      </c>
      <c r="L32">
        <v>1.9300000000000002</v>
      </c>
      <c r="M32">
        <v>1.63</v>
      </c>
      <c r="N32">
        <v>2.2200000000000002</v>
      </c>
      <c r="O32">
        <v>2.1</v>
      </c>
    </row>
    <row r="33" spans="1:15" x14ac:dyDescent="0.15">
      <c r="A33" t="s">
        <v>86</v>
      </c>
      <c r="D33" s="7"/>
      <c r="E33">
        <v>1.9730000000000001</v>
      </c>
      <c r="F33">
        <v>0</v>
      </c>
      <c r="G33">
        <v>1.6557999999999999</v>
      </c>
      <c r="H33">
        <v>1.4470000000000001</v>
      </c>
      <c r="I33">
        <v>0</v>
      </c>
      <c r="J33">
        <v>0</v>
      </c>
      <c r="K33">
        <v>0</v>
      </c>
      <c r="L33">
        <v>0</v>
      </c>
      <c r="M33">
        <v>0</v>
      </c>
      <c r="N33">
        <v>1.8819999999999999</v>
      </c>
      <c r="O33">
        <v>1.95</v>
      </c>
    </row>
    <row r="34" spans="1:15" x14ac:dyDescent="0.15">
      <c r="A34" t="s">
        <v>80</v>
      </c>
      <c r="D34" s="7"/>
      <c r="E34">
        <v>1.31</v>
      </c>
      <c r="F34">
        <v>1.536</v>
      </c>
      <c r="G34">
        <v>1.4323999999999999</v>
      </c>
      <c r="H34">
        <v>1.141</v>
      </c>
      <c r="I34">
        <v>1.51</v>
      </c>
      <c r="J34">
        <v>1.5633999999999999</v>
      </c>
      <c r="K34">
        <v>1.55</v>
      </c>
      <c r="L34">
        <v>1.52</v>
      </c>
      <c r="M34">
        <v>1.41</v>
      </c>
      <c r="N34">
        <v>1.4830000000000001</v>
      </c>
      <c r="O34">
        <v>1.58</v>
      </c>
    </row>
    <row r="35" spans="1:15" x14ac:dyDescent="0.15">
      <c r="A35" t="s">
        <v>81</v>
      </c>
      <c r="D35" s="7"/>
      <c r="E35">
        <v>63.38</v>
      </c>
      <c r="F35">
        <v>60</v>
      </c>
      <c r="G35">
        <v>64.92</v>
      </c>
      <c r="H35">
        <v>62.379999999999995</v>
      </c>
      <c r="I35">
        <v>59.64</v>
      </c>
      <c r="J35">
        <v>61.4</v>
      </c>
      <c r="K35">
        <v>62</v>
      </c>
      <c r="L35">
        <v>63.81</v>
      </c>
      <c r="M35">
        <v>56.95</v>
      </c>
      <c r="N35">
        <v>62.5</v>
      </c>
      <c r="O35">
        <v>60</v>
      </c>
    </row>
    <row r="36" spans="1:15" x14ac:dyDescent="0.15">
      <c r="D36" s="7"/>
    </row>
    <row r="37" spans="1:15" x14ac:dyDescent="0.15">
      <c r="A37" s="9" t="s">
        <v>85</v>
      </c>
      <c r="D37" s="7"/>
    </row>
    <row r="38" spans="1:15" x14ac:dyDescent="0.15">
      <c r="A38" s="9" t="s">
        <v>1028</v>
      </c>
      <c r="D38" s="7"/>
      <c r="E38" s="10" t="s">
        <v>1044</v>
      </c>
      <c r="F38" s="23" t="s">
        <v>591</v>
      </c>
      <c r="G38" s="23" t="s">
        <v>592</v>
      </c>
      <c r="H38" s="10" t="s">
        <v>614</v>
      </c>
      <c r="I38" s="10" t="s">
        <v>615</v>
      </c>
      <c r="J38" s="23" t="s">
        <v>595</v>
      </c>
      <c r="K38" s="23" t="s">
        <v>596</v>
      </c>
      <c r="L38" s="10" t="s">
        <v>486</v>
      </c>
      <c r="M38" s="23" t="s">
        <v>487</v>
      </c>
      <c r="N38" s="10" t="s">
        <v>599</v>
      </c>
      <c r="O38" s="10" t="s">
        <v>600</v>
      </c>
    </row>
    <row r="39" spans="1:15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  <c r="L39" s="14">
        <v>0.33329999999999999</v>
      </c>
      <c r="M39" s="14">
        <v>0.33329999999999999</v>
      </c>
      <c r="N39" s="14">
        <v>0.33329999999999999</v>
      </c>
      <c r="O39" s="14">
        <v>0.33329999999999999</v>
      </c>
    </row>
    <row r="40" spans="1:15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  <c r="L40" s="15">
        <v>2</v>
      </c>
      <c r="M40" s="15">
        <v>2</v>
      </c>
      <c r="N40" s="15">
        <v>2</v>
      </c>
      <c r="O40" s="15">
        <v>2</v>
      </c>
    </row>
    <row r="41" spans="1:15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  <c r="L41" s="14">
        <v>0.66659999999999997</v>
      </c>
      <c r="M41" s="14">
        <v>0.66659999999999997</v>
      </c>
      <c r="N41" s="14">
        <v>0.66659999999999997</v>
      </c>
      <c r="O41" s="14">
        <v>0.66659999999999997</v>
      </c>
    </row>
    <row r="42" spans="1:15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  <c r="L42" s="15">
        <v>4</v>
      </c>
      <c r="M42" s="15">
        <v>4</v>
      </c>
      <c r="N42" s="15">
        <v>4</v>
      </c>
      <c r="O42" s="15">
        <v>4</v>
      </c>
    </row>
    <row r="43" spans="1:15" x14ac:dyDescent="0.15">
      <c r="A43" t="s">
        <v>67</v>
      </c>
      <c r="D43" s="7"/>
      <c r="E43" s="15">
        <v>1644</v>
      </c>
      <c r="F43">
        <v>4000</v>
      </c>
      <c r="G43" s="15">
        <v>6000</v>
      </c>
      <c r="H43" s="15">
        <v>1680</v>
      </c>
      <c r="I43">
        <v>4000</v>
      </c>
      <c r="J43">
        <v>4000</v>
      </c>
      <c r="K43">
        <v>3000</v>
      </c>
      <c r="L43" s="15">
        <v>1644</v>
      </c>
      <c r="M43">
        <v>4000</v>
      </c>
      <c r="N43">
        <v>1655</v>
      </c>
      <c r="O43">
        <v>1655</v>
      </c>
    </row>
    <row r="44" spans="1:15" x14ac:dyDescent="0.15">
      <c r="A44" s="11" t="s">
        <v>84</v>
      </c>
      <c r="B44" s="11"/>
      <c r="C44" s="11"/>
      <c r="D44" s="12"/>
      <c r="E44" s="11">
        <v>2958</v>
      </c>
      <c r="F44" s="11">
        <v>12000</v>
      </c>
      <c r="G44" s="11">
        <v>12000</v>
      </c>
      <c r="H44" s="11">
        <v>3000</v>
      </c>
      <c r="I44" s="11">
        <v>12000</v>
      </c>
      <c r="J44" s="11">
        <v>12000</v>
      </c>
      <c r="K44" s="11">
        <v>3000</v>
      </c>
      <c r="L44" s="11">
        <v>2958</v>
      </c>
      <c r="M44" s="11">
        <v>12000</v>
      </c>
      <c r="N44" s="11">
        <v>2970</v>
      </c>
      <c r="O44" s="11">
        <v>2970</v>
      </c>
    </row>
    <row r="45" spans="1:15" x14ac:dyDescent="0.15">
      <c r="A45" t="s">
        <v>71</v>
      </c>
      <c r="D45" s="7"/>
      <c r="E45">
        <v>2.0979999999999999</v>
      </c>
      <c r="F45">
        <v>1.8649999999999998</v>
      </c>
      <c r="G45">
        <v>1.8668</v>
      </c>
      <c r="H45">
        <v>1.7330000000000001</v>
      </c>
      <c r="I45">
        <v>1.85</v>
      </c>
      <c r="J45">
        <v>1.905</v>
      </c>
      <c r="K45">
        <v>1.9</v>
      </c>
      <c r="L45">
        <v>2.29</v>
      </c>
      <c r="M45">
        <v>1.8</v>
      </c>
      <c r="N45">
        <v>2.2250000000000001</v>
      </c>
      <c r="O45">
        <v>2.1</v>
      </c>
    </row>
    <row r="46" spans="1:15" x14ac:dyDescent="0.15">
      <c r="A46" t="s">
        <v>72</v>
      </c>
      <c r="D46" s="7"/>
      <c r="E46">
        <v>1.7850000000000001</v>
      </c>
      <c r="F46">
        <v>1.6539999999999999</v>
      </c>
      <c r="G46">
        <v>1.6086</v>
      </c>
      <c r="H46">
        <v>1.478</v>
      </c>
      <c r="I46">
        <v>1.64</v>
      </c>
      <c r="J46">
        <v>1.595</v>
      </c>
      <c r="K46">
        <v>0</v>
      </c>
      <c r="L46">
        <v>1.9600000000000002</v>
      </c>
      <c r="M46">
        <v>1.57</v>
      </c>
      <c r="N46">
        <v>1.8680000000000001</v>
      </c>
      <c r="O46">
        <v>1.95</v>
      </c>
    </row>
    <row r="47" spans="1:15" x14ac:dyDescent="0.15">
      <c r="A47" t="s">
        <v>75</v>
      </c>
      <c r="D47" s="7"/>
      <c r="E47">
        <v>1.405</v>
      </c>
      <c r="F47">
        <v>1.4119999999999999</v>
      </c>
      <c r="G47">
        <v>1.4626999999999999</v>
      </c>
      <c r="H47">
        <v>1.173</v>
      </c>
      <c r="I47">
        <v>1.39</v>
      </c>
      <c r="J47">
        <v>1.5167999999999999</v>
      </c>
      <c r="K47">
        <v>1.5</v>
      </c>
      <c r="L47">
        <v>1.54</v>
      </c>
      <c r="M47">
        <v>1.27</v>
      </c>
      <c r="N47">
        <v>1.486</v>
      </c>
      <c r="O47">
        <v>1.58</v>
      </c>
    </row>
    <row r="48" spans="1:15" x14ac:dyDescent="0.15">
      <c r="A48" t="s">
        <v>76</v>
      </c>
      <c r="D48" s="7"/>
      <c r="E48">
        <v>2.0979999999999999</v>
      </c>
      <c r="F48">
        <v>1.8649999999999998</v>
      </c>
      <c r="G48">
        <v>1.7999000000000001</v>
      </c>
      <c r="H48">
        <v>1.702</v>
      </c>
      <c r="I48">
        <v>1.82</v>
      </c>
      <c r="J48">
        <v>1.8577999999999999</v>
      </c>
      <c r="K48">
        <v>1.9</v>
      </c>
      <c r="L48">
        <v>2.29</v>
      </c>
      <c r="M48">
        <v>1.74</v>
      </c>
      <c r="N48">
        <v>2.2250000000000001</v>
      </c>
      <c r="O48">
        <v>2.1</v>
      </c>
    </row>
    <row r="49" spans="1:15" x14ac:dyDescent="0.15">
      <c r="A49" t="s">
        <v>77</v>
      </c>
      <c r="D49" s="7"/>
      <c r="E49">
        <v>1.7850000000000001</v>
      </c>
      <c r="F49">
        <v>1.6539999999999999</v>
      </c>
      <c r="G49">
        <v>1.5660000000000001</v>
      </c>
      <c r="H49">
        <v>1.4470000000000001</v>
      </c>
      <c r="I49">
        <v>1.62</v>
      </c>
      <c r="J49">
        <v>1.5536000000000001</v>
      </c>
      <c r="K49">
        <v>0</v>
      </c>
      <c r="L49">
        <v>1.9600000000000002</v>
      </c>
      <c r="M49">
        <v>1.5</v>
      </c>
      <c r="N49">
        <v>1.8680000000000001</v>
      </c>
      <c r="O49">
        <v>1.95</v>
      </c>
    </row>
    <row r="50" spans="1:15" x14ac:dyDescent="0.15">
      <c r="A50" t="s">
        <v>80</v>
      </c>
      <c r="D50" s="7"/>
      <c r="E50">
        <v>1.405</v>
      </c>
      <c r="F50">
        <v>1.4119999999999999</v>
      </c>
      <c r="G50">
        <v>1.3683000000000001</v>
      </c>
      <c r="H50">
        <v>1.141</v>
      </c>
      <c r="I50">
        <v>1.31</v>
      </c>
      <c r="J50">
        <v>1.4834000000000001</v>
      </c>
      <c r="K50">
        <v>1.5</v>
      </c>
      <c r="L50">
        <v>1.54</v>
      </c>
      <c r="M50">
        <v>1.2599999999999998</v>
      </c>
      <c r="N50">
        <v>1.486</v>
      </c>
      <c r="O50">
        <v>1.58</v>
      </c>
    </row>
    <row r="51" spans="1:15" x14ac:dyDescent="0.15">
      <c r="A51" t="s">
        <v>81</v>
      </c>
      <c r="D51" s="7"/>
      <c r="E51">
        <v>65.150000000000006</v>
      </c>
      <c r="F51">
        <v>60</v>
      </c>
      <c r="G51">
        <v>68.069999999999993</v>
      </c>
      <c r="H51">
        <v>62.379999999999995</v>
      </c>
      <c r="I51">
        <v>61.14</v>
      </c>
      <c r="J51">
        <v>61.4</v>
      </c>
      <c r="K51">
        <v>62</v>
      </c>
      <c r="L51">
        <v>64.570000000000007</v>
      </c>
      <c r="M51">
        <v>56.95</v>
      </c>
      <c r="N51">
        <v>62.5</v>
      </c>
      <c r="O51">
        <v>60</v>
      </c>
    </row>
    <row r="52" spans="1:15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</row>
    <row r="53" spans="1:15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614</v>
      </c>
      <c r="I53" s="23" t="s">
        <v>594</v>
      </c>
      <c r="J53" s="23" t="s">
        <v>595</v>
      </c>
      <c r="K53" s="23" t="s">
        <v>596</v>
      </c>
      <c r="L53" s="10" t="s">
        <v>486</v>
      </c>
      <c r="M53" s="23" t="s">
        <v>487</v>
      </c>
      <c r="N53" s="10" t="s">
        <v>599</v>
      </c>
      <c r="O53" s="10" t="s">
        <v>600</v>
      </c>
    </row>
    <row r="54" spans="1:15" x14ac:dyDescent="0.15">
      <c r="A54" t="s">
        <v>491</v>
      </c>
      <c r="D54" s="7"/>
      <c r="E54" s="24" t="s">
        <v>492</v>
      </c>
      <c r="F54" s="25" t="s">
        <v>493</v>
      </c>
      <c r="G54" s="25" t="s">
        <v>493</v>
      </c>
      <c r="H54" s="25" t="s">
        <v>493</v>
      </c>
      <c r="I54" s="24" t="s">
        <v>495</v>
      </c>
      <c r="J54" s="25" t="s">
        <v>494</v>
      </c>
      <c r="K54" s="25" t="s">
        <v>493</v>
      </c>
      <c r="L54" s="25" t="s">
        <v>493</v>
      </c>
      <c r="M54" s="25" t="s">
        <v>493</v>
      </c>
      <c r="N54" s="25" t="s">
        <v>493</v>
      </c>
      <c r="O54" s="25" t="s">
        <v>493</v>
      </c>
    </row>
    <row r="55" spans="1:15" x14ac:dyDescent="0.15">
      <c r="A55" t="s">
        <v>496</v>
      </c>
      <c r="D55" s="7"/>
      <c r="E55" s="25" t="s">
        <v>497</v>
      </c>
      <c r="F55" s="25" t="s">
        <v>497</v>
      </c>
      <c r="G55" s="25" t="s">
        <v>497</v>
      </c>
      <c r="H55" s="25" t="s">
        <v>493</v>
      </c>
      <c r="I55" s="25" t="s">
        <v>498</v>
      </c>
      <c r="J55" s="25" t="s">
        <v>498</v>
      </c>
      <c r="K55" s="25" t="s">
        <v>527</v>
      </c>
      <c r="L55" s="25" t="s">
        <v>493</v>
      </c>
      <c r="M55" s="25" t="s">
        <v>493</v>
      </c>
      <c r="N55" s="25" t="s">
        <v>493</v>
      </c>
      <c r="O55" s="25" t="s">
        <v>497</v>
      </c>
    </row>
    <row r="56" spans="1:15" x14ac:dyDescent="0.15">
      <c r="A56" t="s">
        <v>499</v>
      </c>
      <c r="D56" s="7"/>
      <c r="E56" s="25" t="s">
        <v>493</v>
      </c>
      <c r="F56" s="37" t="s">
        <v>493</v>
      </c>
      <c r="G56" s="37" t="s">
        <v>493</v>
      </c>
      <c r="H56" s="37" t="s">
        <v>493</v>
      </c>
      <c r="I56" s="37">
        <v>22</v>
      </c>
      <c r="J56" s="37">
        <v>80</v>
      </c>
      <c r="K56" s="37">
        <v>20</v>
      </c>
      <c r="L56" t="s">
        <v>493</v>
      </c>
      <c r="M56" t="s">
        <v>493</v>
      </c>
      <c r="N56" t="s">
        <v>493</v>
      </c>
      <c r="O56" s="37" t="s">
        <v>500</v>
      </c>
    </row>
    <row r="57" spans="1:15" x14ac:dyDescent="0.15">
      <c r="A57" t="s">
        <v>501</v>
      </c>
      <c r="D57" s="7"/>
      <c r="E57" s="25" t="s">
        <v>502</v>
      </c>
      <c r="F57" s="24" t="s">
        <v>91</v>
      </c>
      <c r="G57" s="24" t="s">
        <v>504</v>
      </c>
      <c r="H57" s="24" t="s">
        <v>493</v>
      </c>
      <c r="I57" s="24" t="s">
        <v>493</v>
      </c>
      <c r="J57" s="24" t="s">
        <v>530</v>
      </c>
      <c r="K57" s="24" t="s">
        <v>506</v>
      </c>
      <c r="L57" s="24" t="s">
        <v>529</v>
      </c>
      <c r="M57" s="24" t="s">
        <v>532</v>
      </c>
      <c r="N57" s="24" t="s">
        <v>502</v>
      </c>
      <c r="O57" s="24" t="s">
        <v>550</v>
      </c>
    </row>
    <row r="58" spans="1:15" x14ac:dyDescent="0.15">
      <c r="A58" t="s">
        <v>442</v>
      </c>
      <c r="D58" s="7"/>
      <c r="E58" s="25" t="s">
        <v>512</v>
      </c>
      <c r="F58" s="25" t="s">
        <v>494</v>
      </c>
      <c r="G58" s="25" t="s">
        <v>494</v>
      </c>
      <c r="H58" s="25" t="s">
        <v>493</v>
      </c>
      <c r="I58" s="25" t="s">
        <v>493</v>
      </c>
      <c r="J58" s="25" t="s">
        <v>494</v>
      </c>
      <c r="K58" s="25" t="s">
        <v>493</v>
      </c>
      <c r="L58" s="25" t="s">
        <v>493</v>
      </c>
      <c r="M58" s="25" t="s">
        <v>493</v>
      </c>
      <c r="N58" s="25" t="s">
        <v>493</v>
      </c>
      <c r="O58" s="25" t="s">
        <v>494</v>
      </c>
    </row>
    <row r="59" spans="1:15" x14ac:dyDescent="0.15">
      <c r="A59" s="131"/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</row>
  </sheetData>
  <sheetProtection algorithmName="SHA-512" hashValue="jCUJF8TNfixXssamjnmoJ9h9ciFP4cLlffJ/ATUsYME5ehY9zOMgOai28OL3iMCrBFzQuUbeyRRgKd+CL7mjmQ==" saltValue="PPcZKfOJtXMQTt2JbGniqw==" spinCount="100000" sheet="1" objects="1" scenarios="1"/>
  <phoneticPr fontId="20" type="noConversion"/>
  <pageMargins left="0.75" right="0.75" top="1" bottom="1" header="0.5" footer="0.5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/>
  <dimension ref="A1:O59"/>
  <sheetViews>
    <sheetView workbookViewId="0">
      <selection sqref="A1:XFD65536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  <col min="13" max="13" width="11.33203125" customWidth="1"/>
  </cols>
  <sheetData>
    <row r="1" spans="1:15" x14ac:dyDescent="0.15">
      <c r="A1" t="s">
        <v>722</v>
      </c>
    </row>
    <row r="2" spans="1:15" x14ac:dyDescent="0.15">
      <c r="A2" s="134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2"/>
      <c r="O2" s="132"/>
    </row>
    <row r="3" spans="1:15" x14ac:dyDescent="0.15">
      <c r="A3" s="8" t="s">
        <v>87</v>
      </c>
      <c r="D3" s="7"/>
    </row>
    <row r="4" spans="1:15" x14ac:dyDescent="0.15">
      <c r="D4" s="7"/>
      <c r="E4" s="8" t="s">
        <v>90</v>
      </c>
    </row>
    <row r="5" spans="1:15" x14ac:dyDescent="0.15">
      <c r="A5" s="9" t="s">
        <v>88</v>
      </c>
      <c r="D5" s="7"/>
    </row>
    <row r="6" spans="1:15" x14ac:dyDescent="0.15">
      <c r="A6" s="9" t="s">
        <v>1030</v>
      </c>
      <c r="D6" s="7"/>
      <c r="E6" s="10" t="s">
        <v>1044</v>
      </c>
      <c r="F6" s="23" t="s">
        <v>591</v>
      </c>
      <c r="G6" s="23" t="s">
        <v>592</v>
      </c>
      <c r="H6" s="10" t="s">
        <v>614</v>
      </c>
      <c r="I6" s="10" t="s">
        <v>615</v>
      </c>
      <c r="J6" s="23" t="s">
        <v>595</v>
      </c>
      <c r="K6" s="23" t="s">
        <v>596</v>
      </c>
      <c r="L6" s="10" t="s">
        <v>486</v>
      </c>
      <c r="M6" s="23" t="s">
        <v>487</v>
      </c>
      <c r="N6" s="10" t="s">
        <v>599</v>
      </c>
      <c r="O6" s="10" t="s">
        <v>600</v>
      </c>
    </row>
    <row r="7" spans="1:15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  <c r="L7" s="14">
        <v>0.33329999999999999</v>
      </c>
      <c r="M7" s="14">
        <v>0.33329999999999999</v>
      </c>
      <c r="N7" s="14">
        <v>0.33329999999999999</v>
      </c>
      <c r="O7" s="14">
        <v>0.33329999999999999</v>
      </c>
    </row>
    <row r="8" spans="1:15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  <c r="L8" s="15">
        <v>2</v>
      </c>
      <c r="M8" s="15">
        <v>2</v>
      </c>
      <c r="N8" s="15">
        <v>2</v>
      </c>
      <c r="O8" s="15">
        <v>2</v>
      </c>
    </row>
    <row r="9" spans="1:15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  <c r="L9" s="14">
        <v>0.66659999999999997</v>
      </c>
      <c r="M9" s="14">
        <v>0.66659999999999997</v>
      </c>
      <c r="N9" s="14">
        <v>0.66659999999999997</v>
      </c>
      <c r="O9" s="14">
        <v>0.66659999999999997</v>
      </c>
    </row>
    <row r="10" spans="1:15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  <c r="L10" s="15">
        <v>4</v>
      </c>
      <c r="M10" s="15">
        <v>4</v>
      </c>
      <c r="N10" s="15">
        <v>4</v>
      </c>
      <c r="O10" s="15">
        <v>4</v>
      </c>
    </row>
    <row r="11" spans="1:15" x14ac:dyDescent="0.15">
      <c r="A11" t="s">
        <v>67</v>
      </c>
      <c r="D11" s="7"/>
      <c r="E11" s="15">
        <v>6000</v>
      </c>
      <c r="F11" s="15">
        <v>3200</v>
      </c>
      <c r="G11" s="15">
        <v>6000</v>
      </c>
      <c r="H11" s="15">
        <v>6000</v>
      </c>
      <c r="I11" s="15">
        <v>3200</v>
      </c>
      <c r="J11" s="15">
        <v>3200</v>
      </c>
      <c r="K11" s="15">
        <v>3200</v>
      </c>
      <c r="L11" s="15">
        <v>6000</v>
      </c>
      <c r="M11" s="15">
        <v>3200</v>
      </c>
      <c r="N11" s="15">
        <v>6000</v>
      </c>
      <c r="O11" s="15">
        <v>6000</v>
      </c>
    </row>
    <row r="12" spans="1:15" x14ac:dyDescent="0.15">
      <c r="A12" s="11" t="s">
        <v>68</v>
      </c>
      <c r="B12" s="11"/>
      <c r="C12" s="11"/>
      <c r="D12" s="12"/>
      <c r="E12" s="11">
        <v>12000</v>
      </c>
      <c r="F12" s="11">
        <v>3200</v>
      </c>
      <c r="G12" s="11">
        <v>12000</v>
      </c>
      <c r="H12" s="11">
        <v>12000</v>
      </c>
      <c r="I12" s="11">
        <v>3200</v>
      </c>
      <c r="J12" s="11">
        <v>3200</v>
      </c>
      <c r="K12" s="11">
        <v>3200</v>
      </c>
      <c r="L12" s="11">
        <v>6000</v>
      </c>
      <c r="M12" s="11">
        <v>3200</v>
      </c>
      <c r="N12" s="11">
        <v>12000</v>
      </c>
      <c r="O12" s="11">
        <v>12000</v>
      </c>
    </row>
    <row r="13" spans="1:15" x14ac:dyDescent="0.15">
      <c r="A13" t="s">
        <v>71</v>
      </c>
      <c r="D13" s="7"/>
      <c r="E13">
        <v>1.736</v>
      </c>
      <c r="F13">
        <v>1.9470000000000001</v>
      </c>
      <c r="G13">
        <v>1.98</v>
      </c>
      <c r="H13">
        <v>1.1970000000000001</v>
      </c>
      <c r="I13">
        <v>1.8</v>
      </c>
      <c r="J13">
        <v>1.6032999999999999</v>
      </c>
      <c r="K13">
        <v>1.978</v>
      </c>
      <c r="L13">
        <v>1.9300000000000002</v>
      </c>
      <c r="M13">
        <v>1.8199999999999998</v>
      </c>
      <c r="N13" s="146">
        <v>1.7170000000000001</v>
      </c>
      <c r="O13" s="138">
        <v>1.88</v>
      </c>
    </row>
    <row r="14" spans="1:15" x14ac:dyDescent="0.15">
      <c r="A14" t="s">
        <v>72</v>
      </c>
      <c r="D14" s="7"/>
      <c r="E14">
        <v>1.62</v>
      </c>
      <c r="F14">
        <v>0</v>
      </c>
      <c r="G14">
        <v>1.7789999999999999</v>
      </c>
      <c r="H14">
        <v>1.21</v>
      </c>
      <c r="I14">
        <v>0</v>
      </c>
      <c r="J14">
        <v>0</v>
      </c>
      <c r="K14">
        <v>0</v>
      </c>
      <c r="L14">
        <v>0</v>
      </c>
      <c r="M14">
        <v>0</v>
      </c>
      <c r="N14" s="146">
        <v>1.6930000000000001</v>
      </c>
      <c r="O14" s="138">
        <v>1.7</v>
      </c>
    </row>
    <row r="15" spans="1:15" x14ac:dyDescent="0.15">
      <c r="A15" t="s">
        <v>75</v>
      </c>
      <c r="D15" s="7"/>
      <c r="E15">
        <v>1.2889999999999999</v>
      </c>
      <c r="F15">
        <v>1.6719999999999999</v>
      </c>
      <c r="G15">
        <v>1.587</v>
      </c>
      <c r="H15">
        <v>1.1200000000000001</v>
      </c>
      <c r="I15">
        <v>1.59</v>
      </c>
      <c r="J15">
        <v>1.5765</v>
      </c>
      <c r="K15">
        <v>1.603</v>
      </c>
      <c r="L15">
        <v>1.73</v>
      </c>
      <c r="M15">
        <v>1.63</v>
      </c>
      <c r="N15" s="146">
        <v>1.5680000000000001</v>
      </c>
      <c r="O15" s="138">
        <v>1.65</v>
      </c>
    </row>
    <row r="16" spans="1:15" x14ac:dyDescent="0.15">
      <c r="A16" t="s">
        <v>76</v>
      </c>
      <c r="D16" s="7"/>
      <c r="E16">
        <v>1.635</v>
      </c>
      <c r="F16">
        <v>1.5129999999999999</v>
      </c>
      <c r="G16">
        <v>1.64</v>
      </c>
      <c r="H16">
        <v>1.1479999999999999</v>
      </c>
      <c r="I16">
        <v>1.53</v>
      </c>
      <c r="J16">
        <v>1.3841000000000001</v>
      </c>
      <c r="K16">
        <v>1.7529999999999999</v>
      </c>
      <c r="L16">
        <v>1.71</v>
      </c>
      <c r="M16">
        <v>1.6099999999999999</v>
      </c>
      <c r="N16" s="146">
        <v>1.6930000000000001</v>
      </c>
      <c r="O16" s="138">
        <v>1.5</v>
      </c>
    </row>
    <row r="17" spans="1:15" x14ac:dyDescent="0.15">
      <c r="A17" t="s">
        <v>86</v>
      </c>
      <c r="D17" s="7"/>
      <c r="E17">
        <v>1.319</v>
      </c>
      <c r="F17">
        <v>0</v>
      </c>
      <c r="G17">
        <v>1.46</v>
      </c>
      <c r="H17">
        <v>0.96899999999999997</v>
      </c>
      <c r="I17">
        <v>0</v>
      </c>
      <c r="J17">
        <v>0</v>
      </c>
      <c r="K17">
        <v>0</v>
      </c>
      <c r="L17">
        <v>0</v>
      </c>
      <c r="M17">
        <v>0</v>
      </c>
      <c r="N17" s="146">
        <v>1.4039999999999999</v>
      </c>
      <c r="O17" s="138">
        <v>1.35</v>
      </c>
    </row>
    <row r="18" spans="1:15" x14ac:dyDescent="0.15">
      <c r="A18" t="s">
        <v>80</v>
      </c>
      <c r="D18" s="7"/>
      <c r="E18">
        <v>1.2249999999999999</v>
      </c>
      <c r="F18">
        <v>1.319</v>
      </c>
      <c r="G18">
        <v>1.3551</v>
      </c>
      <c r="H18">
        <v>0.91600000000000004</v>
      </c>
      <c r="I18">
        <v>1.35</v>
      </c>
      <c r="J18">
        <v>1.3006</v>
      </c>
      <c r="K18">
        <v>1.423</v>
      </c>
      <c r="L18">
        <v>1.43</v>
      </c>
      <c r="M18">
        <v>1.3599999999999999</v>
      </c>
      <c r="N18" s="146">
        <v>1.331</v>
      </c>
      <c r="O18" s="138">
        <v>1.28</v>
      </c>
    </row>
    <row r="19" spans="1:15" x14ac:dyDescent="0.15">
      <c r="A19" t="s">
        <v>81</v>
      </c>
      <c r="D19" s="7"/>
      <c r="E19">
        <v>61.040000000000006</v>
      </c>
      <c r="F19">
        <v>66.429999999999993</v>
      </c>
      <c r="G19">
        <v>63.8</v>
      </c>
      <c r="H19">
        <v>66.87</v>
      </c>
      <c r="I19">
        <v>69.06</v>
      </c>
      <c r="J19">
        <v>63.44</v>
      </c>
      <c r="K19">
        <v>62</v>
      </c>
      <c r="L19">
        <v>61.39</v>
      </c>
      <c r="M19">
        <v>53.984545454545454</v>
      </c>
      <c r="N19" s="146">
        <v>62.5</v>
      </c>
      <c r="O19" s="138">
        <v>66</v>
      </c>
    </row>
    <row r="20" spans="1:15" x14ac:dyDescent="0.15">
      <c r="D20" s="7"/>
    </row>
    <row r="21" spans="1:15" x14ac:dyDescent="0.15">
      <c r="A21" s="9" t="s">
        <v>89</v>
      </c>
      <c r="D21" s="7"/>
    </row>
    <row r="22" spans="1:15" x14ac:dyDescent="0.15">
      <c r="A22" s="9" t="s">
        <v>1032</v>
      </c>
      <c r="D22" s="7"/>
      <c r="E22" s="10" t="s">
        <v>1044</v>
      </c>
      <c r="F22" s="23" t="s">
        <v>591</v>
      </c>
      <c r="G22" s="23" t="s">
        <v>592</v>
      </c>
      <c r="H22" s="10" t="s">
        <v>614</v>
      </c>
      <c r="I22" s="10" t="s">
        <v>615</v>
      </c>
      <c r="J22" s="23" t="s">
        <v>595</v>
      </c>
      <c r="K22" s="23" t="s">
        <v>596</v>
      </c>
      <c r="L22" s="10" t="s">
        <v>486</v>
      </c>
      <c r="M22" s="23" t="s">
        <v>487</v>
      </c>
      <c r="N22" s="10" t="s">
        <v>599</v>
      </c>
      <c r="O22" s="10" t="s">
        <v>600</v>
      </c>
    </row>
    <row r="23" spans="1:15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  <c r="L23" s="14">
        <v>0.33329999999999999</v>
      </c>
      <c r="M23" s="14">
        <v>0.33329999999999999</v>
      </c>
      <c r="N23" s="14">
        <v>0.33329999999999999</v>
      </c>
      <c r="O23" s="14">
        <v>0.33329999999999999</v>
      </c>
    </row>
    <row r="24" spans="1:15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  <c r="L24" s="15">
        <v>2</v>
      </c>
      <c r="M24" s="15">
        <v>2</v>
      </c>
      <c r="N24" s="15">
        <v>2</v>
      </c>
      <c r="O24" s="15">
        <v>2</v>
      </c>
    </row>
    <row r="25" spans="1:15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  <c r="L25" s="14">
        <v>0.66659999999999997</v>
      </c>
      <c r="M25" s="14">
        <v>0.66659999999999997</v>
      </c>
      <c r="N25" s="14">
        <v>0.66659999999999997</v>
      </c>
      <c r="O25" s="14">
        <v>0.66659999999999997</v>
      </c>
    </row>
    <row r="26" spans="1:15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  <c r="L26" s="15">
        <v>4</v>
      </c>
      <c r="M26" s="15">
        <v>4</v>
      </c>
      <c r="N26" s="15">
        <v>4</v>
      </c>
      <c r="O26" s="15">
        <v>4</v>
      </c>
    </row>
    <row r="27" spans="1:15" x14ac:dyDescent="0.15">
      <c r="A27" t="s">
        <v>67</v>
      </c>
      <c r="D27" s="7"/>
      <c r="E27" s="15">
        <v>6000</v>
      </c>
      <c r="F27" s="15">
        <v>3200</v>
      </c>
      <c r="G27" s="15">
        <v>6000</v>
      </c>
      <c r="H27" s="15">
        <v>6000</v>
      </c>
      <c r="I27" s="15">
        <v>3500</v>
      </c>
      <c r="J27" s="15">
        <v>3500</v>
      </c>
      <c r="K27" s="15">
        <v>3500</v>
      </c>
      <c r="L27" s="15">
        <v>6000</v>
      </c>
      <c r="M27" s="15">
        <v>3500</v>
      </c>
      <c r="N27" s="15">
        <v>6000</v>
      </c>
      <c r="O27" s="15">
        <v>6000</v>
      </c>
    </row>
    <row r="28" spans="1:15" x14ac:dyDescent="0.15">
      <c r="A28" s="11" t="s">
        <v>68</v>
      </c>
      <c r="B28" s="11"/>
      <c r="C28" s="11"/>
      <c r="D28" s="12"/>
      <c r="E28" s="11">
        <v>12000</v>
      </c>
      <c r="F28" s="11">
        <v>3200</v>
      </c>
      <c r="G28" s="11">
        <v>12000</v>
      </c>
      <c r="H28" s="11">
        <v>12000</v>
      </c>
      <c r="I28" s="11">
        <v>3500</v>
      </c>
      <c r="J28" s="11">
        <v>3500</v>
      </c>
      <c r="K28" s="11">
        <v>3500</v>
      </c>
      <c r="L28" s="11">
        <v>6000</v>
      </c>
      <c r="M28" s="11">
        <v>3500</v>
      </c>
      <c r="N28" s="11">
        <v>12000</v>
      </c>
      <c r="O28" s="11">
        <v>12000</v>
      </c>
    </row>
    <row r="29" spans="1:15" x14ac:dyDescent="0.15">
      <c r="A29" t="s">
        <v>71</v>
      </c>
      <c r="D29" s="7"/>
      <c r="E29">
        <v>1.9340000000000002</v>
      </c>
      <c r="F29">
        <v>2.234</v>
      </c>
      <c r="G29">
        <v>1.88</v>
      </c>
      <c r="H29">
        <v>1.3109999999999999</v>
      </c>
      <c r="I29">
        <v>1.93</v>
      </c>
      <c r="J29">
        <v>1.7996000000000001</v>
      </c>
      <c r="K29">
        <v>1.95</v>
      </c>
      <c r="L29">
        <v>2.1199999999999997</v>
      </c>
      <c r="M29">
        <v>1.9</v>
      </c>
      <c r="N29" s="146">
        <v>1.8129999999999999</v>
      </c>
      <c r="O29" s="138">
        <v>2.15</v>
      </c>
    </row>
    <row r="30" spans="1:15" x14ac:dyDescent="0.15">
      <c r="A30" t="s">
        <v>72</v>
      </c>
      <c r="D30" s="7"/>
      <c r="E30">
        <v>1.5960000000000001</v>
      </c>
      <c r="F30">
        <v>0</v>
      </c>
      <c r="G30">
        <v>1.82</v>
      </c>
      <c r="H30">
        <v>1.3160000000000001</v>
      </c>
      <c r="I30">
        <v>0</v>
      </c>
      <c r="J30">
        <v>0</v>
      </c>
      <c r="K30">
        <v>0</v>
      </c>
      <c r="L30">
        <v>0</v>
      </c>
      <c r="M30">
        <v>0</v>
      </c>
      <c r="N30" s="146">
        <v>1.7789999999999999</v>
      </c>
      <c r="O30" s="138">
        <v>1.78</v>
      </c>
    </row>
    <row r="31" spans="1:15" x14ac:dyDescent="0.15">
      <c r="A31" t="s">
        <v>75</v>
      </c>
      <c r="D31" s="7"/>
      <c r="E31">
        <v>1.4490000000000001</v>
      </c>
      <c r="F31">
        <v>1.698</v>
      </c>
      <c r="G31">
        <v>1.7250000000000001</v>
      </c>
      <c r="H31">
        <v>1.014</v>
      </c>
      <c r="I31">
        <v>1.72</v>
      </c>
      <c r="J31">
        <v>1.7690999999999999</v>
      </c>
      <c r="K31">
        <v>1.63</v>
      </c>
      <c r="L31">
        <v>1.6600000000000001</v>
      </c>
      <c r="M31">
        <v>1.63</v>
      </c>
      <c r="N31" s="146">
        <v>1.3759999999999999</v>
      </c>
      <c r="O31" s="138">
        <v>1.65</v>
      </c>
    </row>
    <row r="32" spans="1:15" x14ac:dyDescent="0.15">
      <c r="A32" t="s">
        <v>76</v>
      </c>
      <c r="D32" s="7"/>
      <c r="E32">
        <v>1.716</v>
      </c>
      <c r="F32">
        <v>1.798</v>
      </c>
      <c r="G32">
        <v>1.68</v>
      </c>
      <c r="H32">
        <v>1.254</v>
      </c>
      <c r="I32">
        <v>1.59</v>
      </c>
      <c r="J32">
        <v>1.5505</v>
      </c>
      <c r="K32">
        <v>1.85</v>
      </c>
      <c r="L32">
        <v>2.02</v>
      </c>
      <c r="M32">
        <v>1.63</v>
      </c>
      <c r="N32" s="146">
        <v>1.7789999999999999</v>
      </c>
      <c r="O32" s="138">
        <v>1.8</v>
      </c>
    </row>
    <row r="33" spans="1:15" x14ac:dyDescent="0.15">
      <c r="A33" t="s">
        <v>86</v>
      </c>
      <c r="D33" s="7"/>
      <c r="E33">
        <v>1.4449999999999998</v>
      </c>
      <c r="F33">
        <v>0</v>
      </c>
      <c r="G33">
        <v>1.55</v>
      </c>
      <c r="H33">
        <v>0.96399999999999997</v>
      </c>
      <c r="I33">
        <v>0</v>
      </c>
      <c r="J33">
        <v>0</v>
      </c>
      <c r="K33">
        <v>0</v>
      </c>
      <c r="L33">
        <v>0</v>
      </c>
      <c r="M33">
        <v>0</v>
      </c>
      <c r="N33" s="146">
        <v>1.532</v>
      </c>
      <c r="O33" s="138">
        <v>1.68</v>
      </c>
    </row>
    <row r="34" spans="1:15" x14ac:dyDescent="0.15">
      <c r="A34" t="s">
        <v>80</v>
      </c>
      <c r="D34" s="7"/>
      <c r="E34">
        <v>1.3699999999999999</v>
      </c>
      <c r="F34">
        <v>1.4259999999999999</v>
      </c>
      <c r="G34">
        <v>1.3789</v>
      </c>
      <c r="H34">
        <v>0.86599999999999999</v>
      </c>
      <c r="I34">
        <v>1.53</v>
      </c>
      <c r="J34">
        <v>1.3861000000000001</v>
      </c>
      <c r="K34">
        <v>1.42</v>
      </c>
      <c r="L34">
        <v>1.55</v>
      </c>
      <c r="M34">
        <v>1.48</v>
      </c>
      <c r="N34" s="146">
        <v>1.22</v>
      </c>
      <c r="O34" s="138">
        <v>1.56</v>
      </c>
    </row>
    <row r="35" spans="1:15" x14ac:dyDescent="0.15">
      <c r="A35" t="s">
        <v>81</v>
      </c>
      <c r="D35" s="7"/>
      <c r="E35">
        <v>60.76</v>
      </c>
      <c r="F35">
        <v>65</v>
      </c>
      <c r="G35">
        <v>63.85</v>
      </c>
      <c r="H35">
        <v>63.32</v>
      </c>
      <c r="I35">
        <v>69.66</v>
      </c>
      <c r="J35">
        <v>61.71</v>
      </c>
      <c r="K35">
        <v>62</v>
      </c>
      <c r="L35">
        <v>62.61</v>
      </c>
      <c r="M35">
        <v>51.99</v>
      </c>
      <c r="N35" s="146">
        <v>62.5</v>
      </c>
      <c r="O35" s="138">
        <v>65</v>
      </c>
    </row>
    <row r="36" spans="1:15" x14ac:dyDescent="0.15">
      <c r="D36" s="7"/>
    </row>
    <row r="37" spans="1:15" x14ac:dyDescent="0.15">
      <c r="A37" s="9" t="s">
        <v>89</v>
      </c>
      <c r="D37" s="7"/>
    </row>
    <row r="38" spans="1:15" x14ac:dyDescent="0.15">
      <c r="A38" s="9" t="s">
        <v>1034</v>
      </c>
      <c r="D38" s="7"/>
      <c r="E38" s="10" t="s">
        <v>1044</v>
      </c>
      <c r="F38" s="23" t="s">
        <v>591</v>
      </c>
      <c r="G38" s="23" t="s">
        <v>592</v>
      </c>
      <c r="H38" s="10" t="s">
        <v>614</v>
      </c>
      <c r="I38" s="10" t="s">
        <v>615</v>
      </c>
      <c r="J38" s="23" t="s">
        <v>595</v>
      </c>
      <c r="K38" s="23" t="s">
        <v>596</v>
      </c>
      <c r="L38" s="10" t="s">
        <v>486</v>
      </c>
      <c r="M38" s="23" t="s">
        <v>487</v>
      </c>
      <c r="N38" s="10" t="s">
        <v>599</v>
      </c>
      <c r="O38" s="10" t="s">
        <v>600</v>
      </c>
    </row>
    <row r="39" spans="1:15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  <c r="L39" s="14">
        <v>0.33329999999999999</v>
      </c>
      <c r="M39" s="14">
        <v>0.33329999999999999</v>
      </c>
      <c r="N39" s="14">
        <v>0.33329999999999999</v>
      </c>
      <c r="O39" s="14">
        <v>0.33329999999999999</v>
      </c>
    </row>
    <row r="40" spans="1:15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  <c r="L40" s="15">
        <v>2</v>
      </c>
      <c r="M40" s="15">
        <v>2</v>
      </c>
      <c r="N40" s="15">
        <v>2</v>
      </c>
      <c r="O40" s="15">
        <v>2</v>
      </c>
    </row>
    <row r="41" spans="1:15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  <c r="L41" s="14">
        <v>0.66659999999999997</v>
      </c>
      <c r="M41" s="14">
        <v>0.66659999999999997</v>
      </c>
      <c r="N41" s="14">
        <v>0.66659999999999997</v>
      </c>
      <c r="O41" s="14">
        <v>0.66659999999999997</v>
      </c>
    </row>
    <row r="42" spans="1:15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  <c r="L42" s="15">
        <v>4</v>
      </c>
      <c r="M42" s="15">
        <v>4</v>
      </c>
      <c r="N42" s="15">
        <v>4</v>
      </c>
      <c r="O42" s="15">
        <v>4</v>
      </c>
    </row>
    <row r="43" spans="1:15" x14ac:dyDescent="0.15">
      <c r="A43" t="s">
        <v>67</v>
      </c>
      <c r="D43" s="7"/>
      <c r="E43" s="15">
        <v>6000</v>
      </c>
      <c r="F43" s="15">
        <v>3200</v>
      </c>
      <c r="G43" s="15">
        <v>6000</v>
      </c>
      <c r="H43" s="15">
        <v>6000</v>
      </c>
      <c r="I43" s="15">
        <v>3200</v>
      </c>
      <c r="J43" s="15">
        <v>3200</v>
      </c>
      <c r="K43" s="15">
        <v>3200</v>
      </c>
      <c r="L43" s="15">
        <v>6000</v>
      </c>
      <c r="M43" s="15">
        <v>3200</v>
      </c>
      <c r="N43" s="15">
        <v>6000</v>
      </c>
      <c r="O43" s="15">
        <v>6000</v>
      </c>
    </row>
    <row r="44" spans="1:15" x14ac:dyDescent="0.15">
      <c r="A44" s="11" t="s">
        <v>68</v>
      </c>
      <c r="B44" s="11"/>
      <c r="C44" s="11"/>
      <c r="D44" s="12"/>
      <c r="E44" s="11">
        <v>12000</v>
      </c>
      <c r="F44" s="11">
        <v>3200</v>
      </c>
      <c r="G44" s="11">
        <v>12000</v>
      </c>
      <c r="H44" s="11">
        <v>12000</v>
      </c>
      <c r="I44" s="11">
        <v>3200</v>
      </c>
      <c r="J44" s="11">
        <v>3200</v>
      </c>
      <c r="K44" s="11">
        <v>3200</v>
      </c>
      <c r="L44" s="11">
        <v>6000</v>
      </c>
      <c r="M44" s="11">
        <v>3200</v>
      </c>
      <c r="N44" s="11">
        <v>12000</v>
      </c>
      <c r="O44" s="11">
        <v>12000</v>
      </c>
    </row>
    <row r="45" spans="1:15" x14ac:dyDescent="0.15">
      <c r="A45" t="s">
        <v>71</v>
      </c>
      <c r="D45" s="7"/>
      <c r="E45">
        <v>1.988</v>
      </c>
      <c r="F45">
        <v>2.234</v>
      </c>
      <c r="G45">
        <v>2.21</v>
      </c>
      <c r="H45">
        <v>1.3109999999999999</v>
      </c>
      <c r="I45">
        <v>2.0299999999999998</v>
      </c>
      <c r="J45">
        <v>1.8283</v>
      </c>
      <c r="K45">
        <v>1.9630000000000001</v>
      </c>
      <c r="L45">
        <v>2.1109090909090908</v>
      </c>
      <c r="M45">
        <v>2</v>
      </c>
      <c r="N45" s="146">
        <v>1.85</v>
      </c>
      <c r="O45" s="138">
        <v>2.15</v>
      </c>
    </row>
    <row r="46" spans="1:15" x14ac:dyDescent="0.15">
      <c r="A46" t="s">
        <v>72</v>
      </c>
      <c r="D46" s="7"/>
      <c r="E46">
        <v>1.4809999999999999</v>
      </c>
      <c r="F46">
        <v>0</v>
      </c>
      <c r="G46">
        <v>1.915</v>
      </c>
      <c r="H46">
        <v>1.3160000000000001</v>
      </c>
      <c r="I46">
        <v>0</v>
      </c>
      <c r="J46">
        <v>0</v>
      </c>
      <c r="K46">
        <v>0</v>
      </c>
      <c r="L46">
        <v>0</v>
      </c>
      <c r="M46">
        <v>0</v>
      </c>
      <c r="N46" s="146">
        <v>1.8160000000000001</v>
      </c>
      <c r="O46" s="138">
        <v>1.78</v>
      </c>
    </row>
    <row r="47" spans="1:15" x14ac:dyDescent="0.15">
      <c r="A47" t="s">
        <v>75</v>
      </c>
      <c r="D47" s="7"/>
      <c r="E47">
        <v>1.216</v>
      </c>
      <c r="F47">
        <v>1.698</v>
      </c>
      <c r="G47">
        <v>1.4757</v>
      </c>
      <c r="H47">
        <v>1.014</v>
      </c>
      <c r="I47">
        <v>1.62</v>
      </c>
      <c r="J47">
        <v>1.7022999999999999</v>
      </c>
      <c r="K47">
        <v>1.6579999999999999</v>
      </c>
      <c r="L47">
        <v>1.69</v>
      </c>
      <c r="M47">
        <v>1.62</v>
      </c>
      <c r="N47" s="146">
        <v>1.4039999999999999</v>
      </c>
      <c r="O47" s="138">
        <v>1.65</v>
      </c>
    </row>
    <row r="48" spans="1:15" x14ac:dyDescent="0.15">
      <c r="A48" t="s">
        <v>76</v>
      </c>
      <c r="D48" s="7"/>
      <c r="E48">
        <v>1.8370000000000002</v>
      </c>
      <c r="F48">
        <v>1.798</v>
      </c>
      <c r="G48">
        <v>1.78</v>
      </c>
      <c r="H48">
        <v>1.254</v>
      </c>
      <c r="I48">
        <v>1.73</v>
      </c>
      <c r="J48">
        <v>1.6107</v>
      </c>
      <c r="K48">
        <v>1.823</v>
      </c>
      <c r="L48">
        <v>1.9200000000000002</v>
      </c>
      <c r="M48">
        <v>1.76</v>
      </c>
      <c r="N48" s="146">
        <v>1.8149999999999999</v>
      </c>
      <c r="O48" s="138">
        <v>1.8</v>
      </c>
    </row>
    <row r="49" spans="1:15" x14ac:dyDescent="0.15">
      <c r="A49" t="s">
        <v>86</v>
      </c>
      <c r="D49" s="7"/>
      <c r="E49">
        <v>1.3129999999999999</v>
      </c>
      <c r="F49">
        <v>0</v>
      </c>
      <c r="G49">
        <v>1.74</v>
      </c>
      <c r="H49">
        <v>0.96399999999999997</v>
      </c>
      <c r="I49">
        <v>0</v>
      </c>
      <c r="J49">
        <v>0</v>
      </c>
      <c r="K49">
        <v>0</v>
      </c>
      <c r="L49">
        <v>0</v>
      </c>
      <c r="M49">
        <v>0</v>
      </c>
      <c r="N49" s="146">
        <v>1.379</v>
      </c>
      <c r="O49" s="138">
        <v>1.68</v>
      </c>
    </row>
    <row r="50" spans="1:15" x14ac:dyDescent="0.15">
      <c r="A50" t="s">
        <v>80</v>
      </c>
      <c r="D50" s="7"/>
      <c r="E50">
        <v>1.177</v>
      </c>
      <c r="F50">
        <v>1.4259999999999999</v>
      </c>
      <c r="G50">
        <v>1.3585</v>
      </c>
      <c r="H50">
        <v>0.86599999999999999</v>
      </c>
      <c r="I50">
        <v>1.52</v>
      </c>
      <c r="J50">
        <v>1.3622000000000001</v>
      </c>
      <c r="K50">
        <v>1.4379999999999999</v>
      </c>
      <c r="L50">
        <v>1.55</v>
      </c>
      <c r="M50">
        <v>1.51</v>
      </c>
      <c r="N50" s="146">
        <v>1.2450000000000001</v>
      </c>
      <c r="O50" s="138">
        <v>1.56</v>
      </c>
    </row>
    <row r="51" spans="1:15" x14ac:dyDescent="0.15">
      <c r="A51" t="s">
        <v>81</v>
      </c>
      <c r="D51" s="7"/>
      <c r="E51">
        <v>62.8</v>
      </c>
      <c r="F51">
        <v>65</v>
      </c>
      <c r="G51">
        <v>66</v>
      </c>
      <c r="H51">
        <v>63.32</v>
      </c>
      <c r="I51">
        <v>70.44</v>
      </c>
      <c r="J51">
        <v>64.19</v>
      </c>
      <c r="K51">
        <v>62</v>
      </c>
      <c r="L51">
        <v>61.930000000000007</v>
      </c>
      <c r="M51">
        <v>52.99</v>
      </c>
      <c r="N51" s="146">
        <v>62.5</v>
      </c>
      <c r="O51" s="138">
        <v>65</v>
      </c>
    </row>
    <row r="52" spans="1:15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</row>
    <row r="53" spans="1:15" x14ac:dyDescent="0.15">
      <c r="A53" s="9" t="s">
        <v>490</v>
      </c>
      <c r="D53" s="7"/>
      <c r="E53" s="10" t="s">
        <v>1044</v>
      </c>
      <c r="F53" s="23" t="s">
        <v>591</v>
      </c>
      <c r="G53" s="23" t="s">
        <v>514</v>
      </c>
      <c r="H53" s="23" t="s">
        <v>593</v>
      </c>
      <c r="I53" s="23" t="s">
        <v>615</v>
      </c>
      <c r="J53" s="23" t="s">
        <v>515</v>
      </c>
      <c r="K53" s="23" t="s">
        <v>516</v>
      </c>
      <c r="L53" s="10" t="s">
        <v>597</v>
      </c>
      <c r="M53" s="23" t="s">
        <v>598</v>
      </c>
      <c r="N53" s="10" t="s">
        <v>517</v>
      </c>
      <c r="O53" s="10" t="s">
        <v>1050</v>
      </c>
    </row>
    <row r="54" spans="1:15" x14ac:dyDescent="0.15">
      <c r="A54" t="s">
        <v>491</v>
      </c>
      <c r="D54" s="7"/>
      <c r="E54" s="24" t="s">
        <v>494</v>
      </c>
      <c r="F54" s="25" t="s">
        <v>494</v>
      </c>
      <c r="G54" s="25" t="s">
        <v>494</v>
      </c>
      <c r="H54" s="25" t="s">
        <v>494</v>
      </c>
      <c r="I54" s="24" t="s">
        <v>518</v>
      </c>
      <c r="J54" s="25" t="s">
        <v>494</v>
      </c>
      <c r="K54" s="25" t="s">
        <v>494</v>
      </c>
      <c r="L54" s="25" t="s">
        <v>494</v>
      </c>
      <c r="M54" s="25" t="s">
        <v>494</v>
      </c>
      <c r="N54" s="25" t="s">
        <v>494</v>
      </c>
      <c r="O54" s="25" t="s">
        <v>494</v>
      </c>
    </row>
    <row r="55" spans="1:15" x14ac:dyDescent="0.15">
      <c r="A55" t="s">
        <v>496</v>
      </c>
      <c r="D55" s="7"/>
      <c r="E55" s="25" t="s">
        <v>519</v>
      </c>
      <c r="F55" s="25" t="s">
        <v>519</v>
      </c>
      <c r="G55" s="25" t="s">
        <v>519</v>
      </c>
      <c r="H55" s="25" t="s">
        <v>494</v>
      </c>
      <c r="I55" s="25" t="s">
        <v>498</v>
      </c>
      <c r="J55" s="25" t="s">
        <v>498</v>
      </c>
      <c r="K55" s="25" t="s">
        <v>498</v>
      </c>
      <c r="L55" s="25" t="s">
        <v>494</v>
      </c>
      <c r="M55" s="25" t="s">
        <v>494</v>
      </c>
      <c r="N55" s="25" t="s">
        <v>494</v>
      </c>
      <c r="O55" s="25" t="s">
        <v>519</v>
      </c>
    </row>
    <row r="56" spans="1:15" x14ac:dyDescent="0.15">
      <c r="A56" t="s">
        <v>499</v>
      </c>
      <c r="D56" s="7"/>
      <c r="E56" s="25" t="s">
        <v>494</v>
      </c>
      <c r="F56" s="37" t="s">
        <v>494</v>
      </c>
      <c r="G56" s="37" t="s">
        <v>494</v>
      </c>
      <c r="H56" s="37" t="s">
        <v>494</v>
      </c>
      <c r="I56" s="37">
        <v>22</v>
      </c>
      <c r="J56" s="37">
        <v>80</v>
      </c>
      <c r="K56" s="37">
        <v>20</v>
      </c>
      <c r="L56" t="s">
        <v>494</v>
      </c>
      <c r="M56" t="s">
        <v>494</v>
      </c>
      <c r="N56" t="s">
        <v>494</v>
      </c>
      <c r="O56" s="37" t="s">
        <v>512</v>
      </c>
    </row>
    <row r="57" spans="1:15" x14ac:dyDescent="0.15">
      <c r="A57" t="s">
        <v>501</v>
      </c>
      <c r="D57" s="7"/>
      <c r="E57" s="25" t="s">
        <v>520</v>
      </c>
      <c r="F57" s="24" t="s">
        <v>521</v>
      </c>
      <c r="G57" s="24" t="s">
        <v>521</v>
      </c>
      <c r="H57" s="24" t="s">
        <v>494</v>
      </c>
      <c r="I57" s="24" t="s">
        <v>494</v>
      </c>
      <c r="J57" s="24" t="s">
        <v>522</v>
      </c>
      <c r="K57" s="24" t="s">
        <v>523</v>
      </c>
      <c r="L57" s="24" t="s">
        <v>507</v>
      </c>
      <c r="M57" s="24" t="s">
        <v>508</v>
      </c>
      <c r="N57" s="24" t="s">
        <v>520</v>
      </c>
      <c r="O57" s="24" t="s">
        <v>520</v>
      </c>
    </row>
    <row r="58" spans="1:15" x14ac:dyDescent="0.15">
      <c r="A58" t="s">
        <v>442</v>
      </c>
      <c r="D58" s="7"/>
      <c r="E58" s="25" t="s">
        <v>512</v>
      </c>
      <c r="F58" s="25" t="s">
        <v>494</v>
      </c>
      <c r="G58" s="25" t="s">
        <v>494</v>
      </c>
      <c r="H58" s="25" t="s">
        <v>494</v>
      </c>
      <c r="I58" s="25" t="s">
        <v>494</v>
      </c>
      <c r="J58" s="25" t="s">
        <v>494</v>
      </c>
      <c r="K58" s="25" t="s">
        <v>494</v>
      </c>
      <c r="L58" s="25" t="s">
        <v>494</v>
      </c>
      <c r="M58" s="25" t="s">
        <v>494</v>
      </c>
      <c r="N58" s="25" t="s">
        <v>494</v>
      </c>
      <c r="O58" s="25" t="s">
        <v>494</v>
      </c>
    </row>
    <row r="59" spans="1:15" x14ac:dyDescent="0.15">
      <c r="A59" s="131"/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</row>
  </sheetData>
  <sheetProtection algorithmName="SHA-512" hashValue="Yhw8uKBlveLgmIdbwEnUP0f2pliSxPX59Is7qvD0Y5oX4KUOIwHA70kMgbc3DRupzC4FCA4iFB0tyes9luNsnw==" saltValue="dKoCxyLb4D1DV1EDgsX9KA==" spinCount="100000" sheet="1" objects="1" scenarios="1"/>
  <phoneticPr fontId="20" type="noConversion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F6F29-7DC8-A545-82DB-284179D146E7}">
  <sheetPr codeName="Sheet76"/>
  <dimension ref="A1:AW185"/>
  <sheetViews>
    <sheetView workbookViewId="0">
      <selection activeCell="A124" sqref="A124:XFD124"/>
    </sheetView>
  </sheetViews>
  <sheetFormatPr baseColWidth="10" defaultRowHeight="13" x14ac:dyDescent="0.15"/>
  <cols>
    <col min="1" max="1" width="20.83203125" customWidth="1"/>
    <col min="2" max="2" width="21.6640625" bestFit="1" customWidth="1"/>
    <col min="3" max="3" width="16.83203125" bestFit="1" customWidth="1"/>
    <col min="4" max="4" width="7.5" bestFit="1" customWidth="1"/>
    <col min="5" max="9" width="10" bestFit="1" customWidth="1"/>
    <col min="10" max="14" width="8.5" bestFit="1" customWidth="1"/>
    <col min="15" max="16" width="10.6640625" hidden="1" customWidth="1"/>
    <col min="17" max="17" width="10.1640625" hidden="1" customWidth="1"/>
    <col min="18" max="18" width="10.6640625" bestFit="1" customWidth="1"/>
    <col min="21" max="21" width="10.5" bestFit="1" customWidth="1"/>
    <col min="22" max="22" width="10.5" customWidth="1"/>
    <col min="23" max="23" width="19" hidden="1" customWidth="1"/>
    <col min="24" max="24" width="10.83203125" hidden="1" customWidth="1"/>
    <col min="25" max="26" width="10.6640625" hidden="1" customWidth="1"/>
    <col min="27" max="27" width="14.1640625" customWidth="1"/>
    <col min="28" max="28" width="14" customWidth="1"/>
  </cols>
  <sheetData>
    <row r="1" spans="1:49" x14ac:dyDescent="0.15">
      <c r="A1" s="577" t="s">
        <v>722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  <c r="AA1" s="577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 s="577"/>
      <c r="AV1" s="577"/>
      <c r="AW1" s="577"/>
    </row>
    <row r="2" spans="1:49" x14ac:dyDescent="0.15">
      <c r="A2" s="577" t="s">
        <v>723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  <c r="AK2" s="577"/>
      <c r="AL2" s="577"/>
      <c r="AM2" s="577"/>
      <c r="AN2" s="577"/>
      <c r="AO2" s="577"/>
      <c r="AP2" s="577"/>
      <c r="AQ2" s="577"/>
      <c r="AR2" s="577"/>
      <c r="AS2" s="577"/>
      <c r="AT2" s="577"/>
      <c r="AU2" s="577"/>
      <c r="AV2" s="577"/>
      <c r="AW2" s="577"/>
    </row>
    <row r="3" spans="1:49" ht="14" thickBot="1" x14ac:dyDescent="0.2">
      <c r="A3" s="577"/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  <c r="AA3" s="577"/>
      <c r="AB3" s="577"/>
      <c r="AC3" s="577"/>
      <c r="AD3" s="577"/>
      <c r="AE3" s="577"/>
      <c r="AF3" s="577"/>
      <c r="AG3" s="577"/>
      <c r="AH3" s="577"/>
      <c r="AI3" s="577"/>
      <c r="AJ3" s="577"/>
      <c r="AK3" s="577"/>
      <c r="AL3" s="577"/>
      <c r="AM3" s="577"/>
      <c r="AN3" s="577"/>
      <c r="AO3" s="577"/>
      <c r="AP3" s="577"/>
      <c r="AQ3" s="577"/>
      <c r="AR3" s="577"/>
      <c r="AS3" s="577"/>
      <c r="AT3" s="577"/>
      <c r="AU3" s="577"/>
      <c r="AV3" s="577"/>
      <c r="AW3" s="577"/>
    </row>
    <row r="4" spans="1:49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410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6"/>
      <c r="AF4" s="577"/>
      <c r="AG4" s="577"/>
      <c r="AH4" s="577"/>
      <c r="AI4" s="577"/>
      <c r="AJ4" s="577"/>
      <c r="AK4" s="577"/>
      <c r="AL4" s="577"/>
      <c r="AM4" s="577"/>
      <c r="AN4" s="577"/>
      <c r="AO4" s="577"/>
      <c r="AP4" s="577"/>
      <c r="AQ4" s="577"/>
      <c r="AR4" s="577"/>
      <c r="AS4" s="577"/>
      <c r="AT4" s="577"/>
      <c r="AU4" s="577"/>
      <c r="AV4" s="577"/>
      <c r="AW4" s="577"/>
    </row>
    <row r="5" spans="1:49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411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9"/>
      <c r="AF5" s="577"/>
      <c r="AG5" s="577"/>
      <c r="AH5" s="577"/>
      <c r="AI5" s="577"/>
      <c r="AJ5" s="577"/>
      <c r="AK5" s="577"/>
      <c r="AL5" s="577"/>
      <c r="AM5" s="577"/>
      <c r="AN5" s="577"/>
      <c r="AO5" s="577"/>
      <c r="AP5" s="577"/>
      <c r="AQ5" s="577"/>
      <c r="AR5" s="577"/>
      <c r="AS5" s="577"/>
      <c r="AT5" s="577"/>
      <c r="AU5" s="577"/>
      <c r="AV5" s="577"/>
      <c r="AW5" s="577"/>
    </row>
    <row r="6" spans="1:49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411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9"/>
      <c r="AF6" s="577"/>
      <c r="AG6" s="577"/>
      <c r="AH6" s="577"/>
      <c r="AI6" s="577"/>
      <c r="AJ6" s="577"/>
      <c r="AK6" s="577"/>
      <c r="AL6" s="577"/>
      <c r="AM6" s="577"/>
      <c r="AN6" s="577"/>
      <c r="AO6" s="577"/>
      <c r="AP6" s="577"/>
      <c r="AQ6" s="577"/>
      <c r="AR6" s="577"/>
      <c r="AS6" s="577"/>
      <c r="AT6" s="577"/>
      <c r="AU6" s="577"/>
      <c r="AV6" s="577"/>
      <c r="AW6" s="577"/>
    </row>
    <row r="7" spans="1:49" ht="65" customHeight="1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501" t="s">
        <v>572</v>
      </c>
      <c r="P7" s="501" t="s">
        <v>1243</v>
      </c>
      <c r="Q7" s="510" t="s">
        <v>573</v>
      </c>
      <c r="R7" s="493" t="s">
        <v>574</v>
      </c>
      <c r="S7" s="495" t="s">
        <v>575</v>
      </c>
      <c r="T7" s="496" t="s">
        <v>576</v>
      </c>
      <c r="U7" s="496" t="s">
        <v>577</v>
      </c>
      <c r="V7" s="496" t="s">
        <v>578</v>
      </c>
      <c r="W7" s="536" t="s">
        <v>1548</v>
      </c>
      <c r="X7" s="536" t="s">
        <v>1549</v>
      </c>
      <c r="Y7" s="502" t="s">
        <v>579</v>
      </c>
      <c r="Z7" s="502" t="s">
        <v>580</v>
      </c>
      <c r="AA7" s="497" t="s">
        <v>581</v>
      </c>
      <c r="AB7" s="497" t="s">
        <v>582</v>
      </c>
      <c r="AC7" s="498" t="s">
        <v>583</v>
      </c>
      <c r="AD7" s="499" t="s">
        <v>584</v>
      </c>
      <c r="AE7" s="500" t="s">
        <v>585</v>
      </c>
      <c r="AF7" s="577"/>
      <c r="AG7" s="577"/>
      <c r="AH7" s="577"/>
      <c r="AI7" s="577"/>
      <c r="AJ7" s="577"/>
      <c r="AK7" s="577"/>
      <c r="AL7" s="577"/>
      <c r="AM7" s="577"/>
      <c r="AN7" s="577"/>
      <c r="AO7" s="577"/>
      <c r="AP7" s="577"/>
      <c r="AQ7" s="577"/>
      <c r="AR7" s="577"/>
      <c r="AS7" s="577"/>
      <c r="AT7" s="577"/>
      <c r="AU7" s="577"/>
      <c r="AV7" s="577"/>
      <c r="AW7" s="577"/>
    </row>
    <row r="8" spans="1:49" ht="14" x14ac:dyDescent="0.15">
      <c r="A8" s="270" t="str">
        <f>'Tariffs Jan2022'!F2</f>
        <v>AGL</v>
      </c>
      <c r="B8" s="40" t="str">
        <f>'Tariffs Jan2022'!D2</f>
        <v>Multinet Metro 1</v>
      </c>
      <c r="C8" s="40" t="str">
        <f>'Tariffs Jan2022'!G2</f>
        <v>Flexible Saver</v>
      </c>
      <c r="D8" s="59">
        <f>365*'Tariffs Jan2022'!H2/100</f>
        <v>306.60000000000002</v>
      </c>
      <c r="E8" s="59">
        <f>IF($C$5*'Tariffs Jan2022'!AK2/'Tariffs Jan2022'!AI2&gt;='Tariffs Jan2022'!J2,( 'Tariffs Jan2022'!J2*'Tariffs Jan2022'!O2/100)* 'Tariffs Jan2022'!AI2,($C$5*'Tariffs Jan2022'!AK2/'Tariffs Jan2022'!AI2*'Tariffs Jan2022'!O2/100)* 'Tariffs Jan2022'!AI2)</f>
        <v>216.81818181818181</v>
      </c>
      <c r="F8" s="59">
        <f>IF($C$5*'Tariffs Jan2022'!AK2/'Tariffs Jan2022'!AI2&lt;'Tariffs Jan2022'!J2,0,IF($C$5*'Tariffs Jan2022'!AK2/'Tariffs Jan2022'!AI2&lt;='Tariffs Jan2022'!K2,($C$5*'Tariffs Jan2022'!AK2/'Tariffs Jan2022'!AI2-'Tariffs Jan2022'!J2)*('Tariffs Jan2022'!P2/100)*'Tariffs Jan2022'!AI2,('Tariffs Jan2022'!K2-'Tariffs Jan2022'!J2)*('Tariffs Jan2022'!P2/100)*'Tariffs Jan2022'!AI2))</f>
        <v>192.27272727272728</v>
      </c>
      <c r="G8" s="59">
        <f>IF($C$5*'Tariffs Jan2022'!AK2/'Tariffs Jan2022'!AI2&lt;'Tariffs Jan2022'!K2,0,IF($C$5*'Tariffs Jan2022'!AK2/'Tariffs Jan2022'!AI2&lt;='Tariffs Jan2022'!L2,($C$5*'Tariffs Jan2022'!AK2/'Tariffs Jan2022'!AI2-'Tariffs Jan2022'!K2)*('Tariffs Jan2022'!Q2/100)*'Tariffs Jan2022'!AI2,('Tariffs Jan2022'!L2-'Tariffs Jan2022'!K2)*('Tariffs Jan2022'!Q2/100)*'Tariffs Jan2022'!AI2))</f>
        <v>157.90909090909091</v>
      </c>
      <c r="H8" s="59">
        <f>IF($C$5*'Tariffs Jan2022'!AK2/'Tariffs Jan2022'!AI2&lt;'Tariffs Jan2022'!L2,0,IF($C$5*'Tariffs Jan2022'!AK2/'Tariffs Jan2022'!AI2&lt;='Tariffs Jan2022'!M2,($C$5*'Tariffs Jan2022'!AK2/'Tariffs Jan2022'!AI2-'Tariffs Jan2022'!L2)*('Tariffs Jan2022'!R2/100)*'Tariffs Jan2022'!AI2,('Tariffs Jan2022'!M2-'Tariffs Jan2022'!L2)*('Tariffs Jan2022'!R2/100)*'Tariffs Jan2022'!AI2))</f>
        <v>68.72727272727272</v>
      </c>
      <c r="I8" s="59">
        <f>IF(($C$5*'Tariffs Jan2022'!AK2/'Tariffs Jan2022'!AI2&gt;'Tariffs Jan2022'!M2),($C$5*'Tariffs Jan2022'!AK2/'Tariffs Jan2022'!AI2-'Tariffs Jan2022'!M2)*'Tariffs Jan2022'!S2/100*'Tariffs Jan2022'!AI2,0)</f>
        <v>0</v>
      </c>
      <c r="J8" s="59">
        <f>IF($C$5*'Tariffs Jan2022'!AL2/'Tariffs Jan2022'!AJ2&gt;='Tariffs Jan2022'!J2,('Tariffs Jan2022'!J2*'Tariffs Jan2022'!U2/100)* 'Tariffs Jan2022'!AJ2,($C$5*'Tariffs Jan2022'!AL2/'Tariffs Jan2022'!AJ2*'Tariffs Jan2022'!U2/100)* 'Tariffs Jan2022'!AJ2)</f>
        <v>207.81818181818181</v>
      </c>
      <c r="K8" s="59">
        <f>IF($C$5*'Tariffs Jan2022'!AL2/'Tariffs Jan2022'!AJ2&lt;'Tariffs Jan2022'!J2,0,IF($C$5*'Tariffs Jan2022'!AL2/'Tariffs Jan2022'!AJ2&lt;='Tariffs Jan2022'!K2,($C$5*'Tariffs Jan2022'!AL2/'Tariffs Jan2022'!AJ2-'Tariffs Jan2022'!J2)*('Tariffs Jan2022'!V2/100)*'Tariffs Jan2022'!AJ2,('Tariffs Jan2022'!K2-'Tariffs Jan2022'!J2)*('Tariffs Jan2022'!V2/100)*'Tariffs Jan2022'!AJ2))</f>
        <v>183.27272727272728</v>
      </c>
      <c r="L8" s="59">
        <f>IF($C$5*'Tariffs Jan2022'!AL2/'Tariffs Jan2022'!AJ2&lt;'Tariffs Jan2022'!K2,0,IF($C$5*'Tariffs Jan2022'!AL2/'Tariffs Jan2022'!AJ2&lt;='Tariffs Jan2022'!L2,($C$5*'Tariffs Jan2022'!AL2/'Tariffs Jan2022'!AJ2-'Tariffs Jan2022'!K2)*('Tariffs Jan2022'!W2/100)*'Tariffs Jan2022'!AJ2,('Tariffs Jan2022'!L2-'Tariffs Jan2022'!K2)*('Tariffs Jan2022'!W2/100)*'Tariffs Jan2022'!AJ2))</f>
        <v>152.18181818181819</v>
      </c>
      <c r="M8" s="59">
        <f>IF($C$5*'Tariffs Jan2022'!AL2/'Tariffs Jan2022'!AJ2&lt;'Tariffs Jan2022'!L2,0,IF($C$5*'Tariffs Jan2022'!AL2/'Tariffs Jan2022'!AJ2&lt;='Tariffs Jan2022'!M2,($C$5*'Tariffs Jan2022'!AL2/'Tariffs Jan2022'!AJ2-'Tariffs Jan2022'!L2)*('Tariffs Jan2022'!X2/100)*'Tariffs Jan2022'!AJ2,('Tariffs Jan2022'!M2-'Tariffs Jan2022'!L2)*('Tariffs Jan2022'!X2/100)*'Tariffs Jan2022'!AJ2))</f>
        <v>67.499999999999986</v>
      </c>
      <c r="N8" s="59">
        <f>IF(($C$5*'Tariffs Jan2022'!AL2/'Tariffs Jan2022'!AJ2&gt;'Tariffs Jan2022'!M2),($C$5*'Tariffs Jan2022'!AL2/'Tariffs Jan2022'!AJ2-'Tariffs Jan2022'!M2)*'Tariffs Jan2022'!Y2/100*'Tariffs Jan2022'!AJ2,0)</f>
        <v>0</v>
      </c>
      <c r="O8" s="59">
        <f>SUM(E8:N8)</f>
        <v>1246.5</v>
      </c>
      <c r="P8" s="503">
        <f>O8*1.1</f>
        <v>1371.15</v>
      </c>
      <c r="Q8" s="59">
        <f>D8+O8</f>
        <v>1553.1</v>
      </c>
      <c r="R8" s="272">
        <f>Q8*1.1</f>
        <v>1708.41</v>
      </c>
      <c r="S8" s="40">
        <f>'Tariffs Jan2022'!AN2</f>
        <v>0</v>
      </c>
      <c r="T8" s="40">
        <f>'Tariffs Jan2022'!AO2</f>
        <v>0</v>
      </c>
      <c r="U8" s="40">
        <f>'Tariffs Jan2022'!AP2</f>
        <v>0</v>
      </c>
      <c r="V8" s="40">
        <f>'Tariffs Jan2022'!AQ2</f>
        <v>0</v>
      </c>
      <c r="W8" s="539" t="str">
        <f>IF(SUM(S8:V8)=0,"No discount",IF(S8&gt;0,"Guaranteed off bill",IF(T8&gt;0,"Guaranteed off usage",IF(U8&gt;0,"Pay-on-time off bill","Pay-on-time off usage"))))</f>
        <v>No discount</v>
      </c>
      <c r="X8" s="538" t="str">
        <f>IF(OR(A8="Origin Energy",A8="Red Energy",A8="Powershop"),"Inclusive","Exclusive")</f>
        <v>Exclusive</v>
      </c>
      <c r="Y8" s="534">
        <f>IF(AND(W8="Guaranteed off bill",X8="Inclusive"),((Q8*1.1)-((Q8*1.1)*S8/100))/1.1,IF(AND(W8="Guaranteed off usage",X8="Inclusive"),((Q8*1.1)-((P8*1.1)*T8/100))/1.1,IF(AND(W8="Guaranteed off bill",X8="Exclusive"),Q8-(Q8*S8/100),IF(AND(W8="Guaranteed off usage",X8="Exclusive"),Q8-(P8*T8/100),IF(X8="Inclusive",((Q8*1.1))/1.1,Q8)))))</f>
        <v>1553.1</v>
      </c>
      <c r="Z8" s="535">
        <f>IF(AND(W8="Pay-on-time off bill",X8="Inclusive"),((Y8*1.1)-((Y8*1.1)*U8/100))/1.1,IF(AND(W8="Pay-on-time off usage",X8="Inclusive"),((Y8*1.1)-((P8*1.1)*V8/100))/1.1,IF(AND(W8="Pay-on-time off bill",X8="Exclusive"),Y8-(Y8*U8/100),IF(AND(W8="Pay-on-time off usage",X8="Exclusive"),Y8-(P8*V8/100),IF(X8="Inclusive",((Y8*1.1))/1.1,Y8)))))</f>
        <v>1553.1</v>
      </c>
      <c r="AA8" s="542">
        <f t="shared" ref="AA8:AB22" si="0">Y8*1.1</f>
        <v>1708.41</v>
      </c>
      <c r="AB8" s="542">
        <f t="shared" si="0"/>
        <v>1708.41</v>
      </c>
      <c r="AC8" s="274">
        <f>'Tariffs Jan2022'!AZ2</f>
        <v>0</v>
      </c>
      <c r="AD8" s="274" t="str">
        <f>'Tariffs Jan2022'!BA2</f>
        <v>n</v>
      </c>
      <c r="AE8" s="275" t="str">
        <f>'Tariffs Jan2022'!BJ2</f>
        <v>N</v>
      </c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</row>
    <row r="9" spans="1:49" ht="14" x14ac:dyDescent="0.15">
      <c r="A9" s="270" t="str">
        <f>'Tariffs Jan2022'!F3</f>
        <v>Alinta Energy</v>
      </c>
      <c r="B9" s="40" t="str">
        <f>'Tariffs Jan2022'!D3</f>
        <v>Multinet Metro 1</v>
      </c>
      <c r="C9" s="40" t="str">
        <f>'Tariffs Jan2022'!G3</f>
        <v>Home Deal</v>
      </c>
      <c r="D9" s="59">
        <f>365*'Tariffs Jan2022'!H3/100</f>
        <v>171.48363636363635</v>
      </c>
      <c r="E9" s="59">
        <f>IF($C$5*'Tariffs Jan2022'!AK3/'Tariffs Jan2022'!AI3&gt;='Tariffs Jan2022'!J3,( 'Tariffs Jan2022'!J3*'Tariffs Jan2022'!O3/100)* 'Tariffs Jan2022'!AI3,($C$5*'Tariffs Jan2022'!AK3/'Tariffs Jan2022'!AI3*'Tariffs Jan2022'!O3/100)* 'Tariffs Jan2022'!AI3)</f>
        <v>181.63636363636363</v>
      </c>
      <c r="F9" s="59">
        <f>IF($C$5*'Tariffs Jan2022'!AK3/'Tariffs Jan2022'!AI3&lt;'Tariffs Jan2022'!J3,0,IF($C$5*'Tariffs Jan2022'!AK3/'Tariffs Jan2022'!AI3&lt;='Tariffs Jan2022'!K3,($C$5*'Tariffs Jan2022'!AK3/'Tariffs Jan2022'!AI3-'Tariffs Jan2022'!J3)*('Tariffs Jan2022'!P3/100)*'Tariffs Jan2022'!AI3,('Tariffs Jan2022'!K3-'Tariffs Jan2022'!J3)*('Tariffs Jan2022'!P3/100)*'Tariffs Jan2022'!AI3))</f>
        <v>164.45454545454544</v>
      </c>
      <c r="G9" s="59">
        <f>IF($C$5*'Tariffs Jan2022'!AK3/'Tariffs Jan2022'!AI3&lt;'Tariffs Jan2022'!K3,0,IF($C$5*'Tariffs Jan2022'!AK3/'Tariffs Jan2022'!AI3&lt;='Tariffs Jan2022'!L3,($C$5*'Tariffs Jan2022'!AK3/'Tariffs Jan2022'!AI3-'Tariffs Jan2022'!K3)*('Tariffs Jan2022'!Q3/100)*'Tariffs Jan2022'!AI3,('Tariffs Jan2022'!L3-'Tariffs Jan2022'!K3)*('Tariffs Jan2022'!Q3/100)*'Tariffs Jan2022'!AI3))</f>
        <v>0</v>
      </c>
      <c r="H9" s="59">
        <f>IF($C$5*'Tariffs Jan2022'!AK3/'Tariffs Jan2022'!AI3&lt;'Tariffs Jan2022'!L3,0,IF($C$5*'Tariffs Jan2022'!AK3/'Tariffs Jan2022'!AI3&lt;='Tariffs Jan2022'!M3,($C$5*'Tariffs Jan2022'!AK3/'Tariffs Jan2022'!AI3-'Tariffs Jan2022'!L3)*('Tariffs Jan2022'!R3/100)*'Tariffs Jan2022'!AI3,('Tariffs Jan2022'!M3-'Tariffs Jan2022'!L3)*('Tariffs Jan2022'!R3/100)*'Tariffs Jan2022'!AI3))</f>
        <v>0</v>
      </c>
      <c r="I9" s="59">
        <f>IF(($C$5*'Tariffs Jan2022'!AK3/'Tariffs Jan2022'!AI3&gt;'Tariffs Jan2022'!M3),($C$5*'Tariffs Jan2022'!AK3/'Tariffs Jan2022'!AI3-'Tariffs Jan2022'!M3)*'Tariffs Jan2022'!S3/100*'Tariffs Jan2022'!AI3,0)</f>
        <v>193.90909090909088</v>
      </c>
      <c r="J9" s="59">
        <f>IF($C$5*'Tariffs Jan2022'!AL3/'Tariffs Jan2022'!AJ3&gt;='Tariffs Jan2022'!J3,('Tariffs Jan2022'!J3*'Tariffs Jan2022'!U3/100)* 'Tariffs Jan2022'!AJ3,($C$5*'Tariffs Jan2022'!AL3/'Tariffs Jan2022'!AJ3*'Tariffs Jan2022'!U3/100)* 'Tariffs Jan2022'!AJ3)</f>
        <v>181.63636363636363</v>
      </c>
      <c r="K9" s="59">
        <f>IF($C$5*'Tariffs Jan2022'!AL3/'Tariffs Jan2022'!AJ3&lt;'Tariffs Jan2022'!J3,0,IF($C$5*'Tariffs Jan2022'!AL3/'Tariffs Jan2022'!AJ3&lt;='Tariffs Jan2022'!K3,($C$5*'Tariffs Jan2022'!AL3/'Tariffs Jan2022'!AJ3-'Tariffs Jan2022'!J3)*('Tariffs Jan2022'!V3/100)*'Tariffs Jan2022'!AJ3,('Tariffs Jan2022'!K3-'Tariffs Jan2022'!J3)*('Tariffs Jan2022'!V3/100)*'Tariffs Jan2022'!AJ3))</f>
        <v>155.45454545454541</v>
      </c>
      <c r="L9" s="59">
        <f>IF($C$5*'Tariffs Jan2022'!AL3/'Tariffs Jan2022'!AJ3&lt;'Tariffs Jan2022'!K3,0,IF($C$5*'Tariffs Jan2022'!AL3/'Tariffs Jan2022'!AJ3&lt;='Tariffs Jan2022'!L3,($C$5*'Tariffs Jan2022'!AL3/'Tariffs Jan2022'!AJ3-'Tariffs Jan2022'!K3)*('Tariffs Jan2022'!W3/100)*'Tariffs Jan2022'!AJ3,('Tariffs Jan2022'!L3-'Tariffs Jan2022'!K3)*('Tariffs Jan2022'!W3/100)*'Tariffs Jan2022'!AJ3))</f>
        <v>0</v>
      </c>
      <c r="M9" s="59">
        <f>IF($C$5*'Tariffs Jan2022'!AL3/'Tariffs Jan2022'!AJ3&lt;'Tariffs Jan2022'!L3,0,IF($C$5*'Tariffs Jan2022'!AL3/'Tariffs Jan2022'!AJ3&lt;='Tariffs Jan2022'!M3,($C$5*'Tariffs Jan2022'!AL3/'Tariffs Jan2022'!AJ3-'Tariffs Jan2022'!L3)*('Tariffs Jan2022'!X3/100)*'Tariffs Jan2022'!AJ3,('Tariffs Jan2022'!M3-'Tariffs Jan2022'!L3)*('Tariffs Jan2022'!X3/100)*'Tariffs Jan2022'!AJ3))</f>
        <v>0</v>
      </c>
      <c r="N9" s="59">
        <f>IF(($C$5*'Tariffs Jan2022'!AL3/'Tariffs Jan2022'!AJ3&gt;'Tariffs Jan2022'!M3),($C$5*'Tariffs Jan2022'!AL3/'Tariffs Jan2022'!AJ3-'Tariffs Jan2022'!M3)*'Tariffs Jan2022'!Y3/100*'Tariffs Jan2022'!AJ3,0)</f>
        <v>193.90909090909088</v>
      </c>
      <c r="O9" s="59">
        <f t="shared" ref="O9:O85" si="1">SUM(E9:N9)</f>
        <v>1071</v>
      </c>
      <c r="P9" s="503">
        <f t="shared" ref="P9:P72" si="2">O9*1.1</f>
        <v>1178.1000000000001</v>
      </c>
      <c r="Q9" s="59">
        <f t="shared" ref="Q9:Q85" si="3">D9+O9</f>
        <v>1242.4836363636364</v>
      </c>
      <c r="R9" s="272">
        <f t="shared" ref="R9:R85" si="4">Q9*1.1</f>
        <v>1366.7320000000002</v>
      </c>
      <c r="S9" s="40">
        <f>'Tariffs Jan2022'!AN3</f>
        <v>0</v>
      </c>
      <c r="T9" s="40">
        <f>'Tariffs Jan2022'!AO3</f>
        <v>0</v>
      </c>
      <c r="U9" s="40">
        <f>'Tariffs Jan2022'!AP3</f>
        <v>0</v>
      </c>
      <c r="V9" s="40">
        <f>'Tariffs Jan2022'!AQ3</f>
        <v>0</v>
      </c>
      <c r="W9" s="537" t="str">
        <f t="shared" ref="W9:W22" si="5">IF(SUM(S9:V9)=0,"No discount",IF(S9&gt;0,"Guaranteed off bill",IF(T9&gt;0,"Guaranteed off usage",IF(U9&gt;0,"Pay-on-time off bill","Pay-on-time off usage"))))</f>
        <v>No discount</v>
      </c>
      <c r="X9" s="538" t="str">
        <f t="shared" ref="X9:X22" si="6">IF(OR(A9="Origin Energy",A9="Red Energy",A9="Powershop"),"Inclusive","Exclusive")</f>
        <v>Exclusive</v>
      </c>
      <c r="Y9" s="534">
        <f>IF(AND(W9="Guaranteed off bill",X9="Inclusive"),((Q9*1.1)-((Q9*1.1)*S9/100))/1.1,IF(AND(W9="Guaranteed off usage",X9="Inclusive"),((Q9*1.1)-((P9*1.1)*T9/100))/1.1,IF(AND(W9="Guaranteed off bill",X9="Exclusive"),Q9-(Q9*S9/100),IF(AND(W9="Guaranteed off usage",X9="Exclusive"),Q9-(P9*T9/100),IF(X9="Inclusive",((Q9*1.1))/1.1,Q9)))))</f>
        <v>1242.4836363636364</v>
      </c>
      <c r="Z9" s="535">
        <f>IF(AND(W9="Pay-on-time off bill",X9="Inclusive"),((Y9*1.1)-((Y9*1.1)*U9/100))/1.1,IF(AND(W9="Pay-on-time off usage",X9="Inclusive"),((Y9*1.1)-((P9*1.1)*V9/100))/1.1,IF(AND(W9="Pay-on-time off bill",X9="Exclusive"),Y9-(Y9*U9/100),IF(AND(W9="Pay-on-time off usage",X9="Exclusive"),Y9-(P9*V9/100),IF(X9="Inclusive",((Y9*1.1))/1.1,Y9)))))</f>
        <v>1242.4836363636364</v>
      </c>
      <c r="AA9" s="542">
        <f t="shared" si="0"/>
        <v>1366.7320000000002</v>
      </c>
      <c r="AB9" s="542">
        <f t="shared" si="0"/>
        <v>1366.7320000000002</v>
      </c>
      <c r="AC9" s="274">
        <f>'Tariffs Jan2022'!AZ3</f>
        <v>0</v>
      </c>
      <c r="AD9" s="274" t="str">
        <f>'Tariffs Jan2022'!BA3</f>
        <v>n</v>
      </c>
      <c r="AE9" s="275" t="str">
        <f>'Tariffs Jan2022'!BJ3</f>
        <v>N</v>
      </c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77"/>
      <c r="AR9" s="577"/>
      <c r="AS9" s="577"/>
      <c r="AT9" s="577"/>
      <c r="AU9" s="577"/>
      <c r="AV9" s="577"/>
      <c r="AW9" s="577"/>
    </row>
    <row r="10" spans="1:49" ht="14" x14ac:dyDescent="0.15">
      <c r="A10" s="270" t="str">
        <f>'Tariffs Jan2022'!F4</f>
        <v>Covau</v>
      </c>
      <c r="B10" s="40" t="str">
        <f>'Tariffs Jan2022'!D4</f>
        <v>Multinet Metro 1</v>
      </c>
      <c r="C10" s="40" t="str">
        <f>'Tariffs Jan2022'!G4</f>
        <v>Super Saver Plus</v>
      </c>
      <c r="D10" s="59">
        <f>365*'Tariffs Jan2022'!H4/100</f>
        <v>284.7</v>
      </c>
      <c r="E10" s="59">
        <f>IF($C$5*'Tariffs Jan2022'!AK4/'Tariffs Jan2022'!AI4&gt;='Tariffs Jan2022'!J4,( 'Tariffs Jan2022'!J4*'Tariffs Jan2022'!O4/100)* 'Tariffs Jan2022'!AI4,($C$5*'Tariffs Jan2022'!AK4/'Tariffs Jan2022'!AI4*'Tariffs Jan2022'!O4/100)* 'Tariffs Jan2022'!AI4)</f>
        <v>241.36363636363637</v>
      </c>
      <c r="F10" s="59">
        <f>IF($C$5*'Tariffs Jan2022'!AK4/'Tariffs Jan2022'!AI4&lt;'Tariffs Jan2022'!J4,0,IF($C$5*'Tariffs Jan2022'!AK4/'Tariffs Jan2022'!AI4&lt;='Tariffs Jan2022'!K4,($C$5*'Tariffs Jan2022'!AK4/'Tariffs Jan2022'!AI4-'Tariffs Jan2022'!J4)*('Tariffs Jan2022'!P4/100)*'Tariffs Jan2022'!AI4,('Tariffs Jan2022'!K4-'Tariffs Jan2022'!J4)*('Tariffs Jan2022'!P4/100)*'Tariffs Jan2022'!AI4))</f>
        <v>213.5454545454545</v>
      </c>
      <c r="G10" s="59">
        <f>IF($C$5*'Tariffs Jan2022'!AK4/'Tariffs Jan2022'!AI4&lt;'Tariffs Jan2022'!K4,0,IF($C$5*'Tariffs Jan2022'!AK4/'Tariffs Jan2022'!AI4&lt;='Tariffs Jan2022'!L4,($C$5*'Tariffs Jan2022'!AK4/'Tariffs Jan2022'!AI4-'Tariffs Jan2022'!K4)*('Tariffs Jan2022'!Q4/100)*'Tariffs Jan2022'!AI4,('Tariffs Jan2022'!L4-'Tariffs Jan2022'!K4)*('Tariffs Jan2022'!Q4/100)*'Tariffs Jan2022'!AI4))</f>
        <v>173.45454545454544</v>
      </c>
      <c r="H10" s="59">
        <f>IF($C$5*'Tariffs Jan2022'!AK4/'Tariffs Jan2022'!AI4&lt;'Tariffs Jan2022'!L4,0,IF($C$5*'Tariffs Jan2022'!AK4/'Tariffs Jan2022'!AI4&lt;='Tariffs Jan2022'!M4,($C$5*'Tariffs Jan2022'!AK4/'Tariffs Jan2022'!AI4-'Tariffs Jan2022'!L4)*('Tariffs Jan2022'!R4/100)*'Tariffs Jan2022'!AI4,('Tariffs Jan2022'!M4-'Tariffs Jan2022'!L4)*('Tariffs Jan2022'!R4/100)*'Tariffs Jan2022'!AI4))</f>
        <v>76.090909090909093</v>
      </c>
      <c r="I10" s="59">
        <f>IF(($C$5*'Tariffs Jan2022'!AK4/'Tariffs Jan2022'!AI4&gt;'Tariffs Jan2022'!M4),($C$5*'Tariffs Jan2022'!AK4/'Tariffs Jan2022'!AI4-'Tariffs Jan2022'!M4)*'Tariffs Jan2022'!S4/100*'Tariffs Jan2022'!AI4,0)</f>
        <v>0</v>
      </c>
      <c r="J10" s="59">
        <f>IF($C$5*'Tariffs Jan2022'!AL4/'Tariffs Jan2022'!AJ4&gt;='Tariffs Jan2022'!J4,('Tariffs Jan2022'!J4*'Tariffs Jan2022'!U4/100)* 'Tariffs Jan2022'!AJ4,($C$5*'Tariffs Jan2022'!AL4/'Tariffs Jan2022'!AJ4*'Tariffs Jan2022'!U4/100)* 'Tariffs Jan2022'!AJ4)</f>
        <v>230.72727272727272</v>
      </c>
      <c r="K10" s="59">
        <f>IF($C$5*'Tariffs Jan2022'!AL4/'Tariffs Jan2022'!AJ4&lt;'Tariffs Jan2022'!J4,0,IF($C$5*'Tariffs Jan2022'!AL4/'Tariffs Jan2022'!AJ4&lt;='Tariffs Jan2022'!K4,($C$5*'Tariffs Jan2022'!AL4/'Tariffs Jan2022'!AJ4-'Tariffs Jan2022'!J4)*('Tariffs Jan2022'!V4/100)*'Tariffs Jan2022'!AJ4,('Tariffs Jan2022'!K4-'Tariffs Jan2022'!J4)*('Tariffs Jan2022'!V4/100)*'Tariffs Jan2022'!AJ4))</f>
        <v>193.90909090909093</v>
      </c>
      <c r="L10" s="59">
        <f>IF($C$5*'Tariffs Jan2022'!AL4/'Tariffs Jan2022'!AJ4&lt;'Tariffs Jan2022'!K4,0,IF($C$5*'Tariffs Jan2022'!AL4/'Tariffs Jan2022'!AJ4&lt;='Tariffs Jan2022'!L4,($C$5*'Tariffs Jan2022'!AL4/'Tariffs Jan2022'!AJ4-'Tariffs Jan2022'!K4)*('Tariffs Jan2022'!W4/100)*'Tariffs Jan2022'!AJ4,('Tariffs Jan2022'!L4-'Tariffs Jan2022'!K4)*('Tariffs Jan2022'!W4/100)*'Tariffs Jan2022'!AJ4))</f>
        <v>160.36363636363635</v>
      </c>
      <c r="M10" s="59">
        <f>IF($C$5*'Tariffs Jan2022'!AL4/'Tariffs Jan2022'!AJ4&lt;'Tariffs Jan2022'!L4,0,IF($C$5*'Tariffs Jan2022'!AL4/'Tariffs Jan2022'!AJ4&lt;='Tariffs Jan2022'!M4,($C$5*'Tariffs Jan2022'!AL4/'Tariffs Jan2022'!AJ4-'Tariffs Jan2022'!L4)*('Tariffs Jan2022'!X4/100)*'Tariffs Jan2022'!AJ4,('Tariffs Jan2022'!M4-'Tariffs Jan2022'!L4)*('Tariffs Jan2022'!X4/100)*'Tariffs Jan2022'!AJ4))</f>
        <v>71.181818181818187</v>
      </c>
      <c r="N10" s="59">
        <f>IF(($C$5*'Tariffs Jan2022'!AL4/'Tariffs Jan2022'!AJ4&gt;'Tariffs Jan2022'!M4),($C$5*'Tariffs Jan2022'!AL4/'Tariffs Jan2022'!AJ4-'Tariffs Jan2022'!M4)*'Tariffs Jan2022'!Y4/100*'Tariffs Jan2022'!AJ4,0)</f>
        <v>0</v>
      </c>
      <c r="O10" s="59">
        <f t="shared" si="1"/>
        <v>1360.6363636363635</v>
      </c>
      <c r="P10" s="503">
        <f t="shared" si="2"/>
        <v>1496.7</v>
      </c>
      <c r="Q10" s="59">
        <f t="shared" si="3"/>
        <v>1645.3363636363636</v>
      </c>
      <c r="R10" s="272">
        <f t="shared" si="4"/>
        <v>1809.8700000000001</v>
      </c>
      <c r="S10" s="40">
        <f>'Tariffs Jan2022'!AN4</f>
        <v>0</v>
      </c>
      <c r="T10" s="40">
        <f>'Tariffs Jan2022'!AO4</f>
        <v>20</v>
      </c>
      <c r="U10" s="40">
        <f>'Tariffs Jan2022'!AP4</f>
        <v>0</v>
      </c>
      <c r="V10" s="40">
        <f>'Tariffs Jan2022'!AQ4</f>
        <v>0</v>
      </c>
      <c r="W10" s="537" t="str">
        <f t="shared" si="5"/>
        <v>Guaranteed off usage</v>
      </c>
      <c r="X10" s="538" t="str">
        <f t="shared" si="6"/>
        <v>Exclusive</v>
      </c>
      <c r="Y10" s="534">
        <f t="shared" ref="Y10" si="7">IF(AND(W10="Guaranteed off bill",X10="Inclusive"),((Q10*1.1)-((Q10*1.1)*S10/100))/1.1,IF(AND(W10="Guaranteed off usage",X10="Inclusive"),((Q10*1.1)-((P10*1.1)*T10/100))/1.1,IF(AND(W10="Guaranteed off bill",X10="Exclusive"),Q10-(Q10*S10/100),IF(AND(W10="Guaranteed off usage",X10="Exclusive"),Q10-(P10*T10/100),IF(X10="Inclusive",((Q10*1.1))/1.1,Q10)))))</f>
        <v>1345.9963636363636</v>
      </c>
      <c r="Z10" s="535">
        <f t="shared" ref="Z10" si="8">IF(AND(W10="Pay-on-time off bill",X10="Inclusive"),((Y10*1.1)-((Y10*1.1)*U10/100))/1.1,IF(AND(W10="Pay-on-time off usage",X10="Inclusive"),((Y10*1.1)-((P10*1.1)*V10/100))/1.1,IF(AND(W10="Pay-on-time off bill",X10="Exclusive"),Y10-(Y10*U10/100),IF(AND(W10="Pay-on-time off usage",X10="Exclusive"),Y10-(P10*V10/100),IF(X10="Inclusive",((Y10*1.1))/1.1,Y10)))))</f>
        <v>1345.9963636363636</v>
      </c>
      <c r="AA10" s="542">
        <f t="shared" si="0"/>
        <v>1480.5960000000002</v>
      </c>
      <c r="AB10" s="542">
        <f t="shared" si="0"/>
        <v>1480.5960000000002</v>
      </c>
      <c r="AC10" s="274">
        <f>'Tariffs Jan2022'!AZ4</f>
        <v>0</v>
      </c>
      <c r="AD10" s="274" t="str">
        <f>'Tariffs Jan2022'!BA4</f>
        <v>n</v>
      </c>
      <c r="AE10" s="275" t="str">
        <f>'Tariffs Jan2022'!BJ4</f>
        <v>N</v>
      </c>
      <c r="AF10" s="577"/>
      <c r="AG10" s="577"/>
      <c r="AH10" s="577"/>
      <c r="AI10" s="577"/>
      <c r="AJ10" s="577"/>
      <c r="AK10" s="577"/>
      <c r="AL10" s="577"/>
      <c r="AM10" s="577"/>
      <c r="AN10" s="577"/>
      <c r="AO10" s="577"/>
      <c r="AP10" s="577"/>
      <c r="AQ10" s="577"/>
      <c r="AR10" s="577"/>
      <c r="AS10" s="577"/>
      <c r="AT10" s="577"/>
      <c r="AU10" s="577"/>
      <c r="AV10" s="577"/>
      <c r="AW10" s="577"/>
    </row>
    <row r="11" spans="1:49" ht="14" x14ac:dyDescent="0.15">
      <c r="A11" s="270" t="str">
        <f>'Tariffs Jan2022'!F5</f>
        <v>Dodo Power &amp; Gas</v>
      </c>
      <c r="B11" s="40" t="str">
        <f>'Tariffs Jan2022'!D5</f>
        <v>Multinet Metro 1</v>
      </c>
      <c r="C11" s="40" t="str">
        <f>'Tariffs Jan2022'!G5</f>
        <v>Market offer</v>
      </c>
      <c r="D11" s="59">
        <f>365*'Tariffs Jan2022'!H5/100</f>
        <v>171.185</v>
      </c>
      <c r="E11" s="59">
        <f>IF($C$5*'Tariffs Jan2022'!AK5/'Tariffs Jan2022'!AI5&gt;='Tariffs Jan2022'!J5,( 'Tariffs Jan2022'!J5*'Tariffs Jan2022'!O5/100)* 'Tariffs Jan2022'!AI5,($C$5*'Tariffs Jan2022'!AK5/'Tariffs Jan2022'!AI5*'Tariffs Jan2022'!O5/100)* 'Tariffs Jan2022'!AI5)</f>
        <v>221.72727272727272</v>
      </c>
      <c r="F11" s="59">
        <f>IF($C$5*'Tariffs Jan2022'!AK5/'Tariffs Jan2022'!AI5&lt;'Tariffs Jan2022'!J5,0,IF($C$5*'Tariffs Jan2022'!AK5/'Tariffs Jan2022'!AI5&lt;='Tariffs Jan2022'!K5,($C$5*'Tariffs Jan2022'!AK5/'Tariffs Jan2022'!AI5-'Tariffs Jan2022'!J5)*('Tariffs Jan2022'!P5/100)*'Tariffs Jan2022'!AI5,('Tariffs Jan2022'!K5-'Tariffs Jan2022'!J5)*('Tariffs Jan2022'!P5/100)*'Tariffs Jan2022'!AI5))</f>
        <v>190.63636363636363</v>
      </c>
      <c r="G11" s="59">
        <f>IF($C$5*'Tariffs Jan2022'!AK5/'Tariffs Jan2022'!AI5&lt;'Tariffs Jan2022'!K5,0,IF($C$5*'Tariffs Jan2022'!AK5/'Tariffs Jan2022'!AI5&lt;='Tariffs Jan2022'!L5,($C$5*'Tariffs Jan2022'!AK5/'Tariffs Jan2022'!AI5-'Tariffs Jan2022'!K5)*('Tariffs Jan2022'!Q5/100)*'Tariffs Jan2022'!AI5,('Tariffs Jan2022'!L5-'Tariffs Jan2022'!K5)*('Tariffs Jan2022'!Q5/100)*'Tariffs Jan2022'!AI5))</f>
        <v>156.27272727272725</v>
      </c>
      <c r="H11" s="59">
        <f>IF($C$5*'Tariffs Jan2022'!AK5/'Tariffs Jan2022'!AI5&lt;'Tariffs Jan2022'!L5,0,IF($C$5*'Tariffs Jan2022'!AK5/'Tariffs Jan2022'!AI5&lt;='Tariffs Jan2022'!M5,($C$5*'Tariffs Jan2022'!AK5/'Tariffs Jan2022'!AI5-'Tariffs Jan2022'!L5)*('Tariffs Jan2022'!R5/100)*'Tariffs Jan2022'!AI5,('Tariffs Jan2022'!M5-'Tariffs Jan2022'!L5)*('Tariffs Jan2022'!R5/100)*'Tariffs Jan2022'!AI5))</f>
        <v>71.590909090909079</v>
      </c>
      <c r="I11" s="59">
        <f>IF(($C$5*'Tariffs Jan2022'!AK5/'Tariffs Jan2022'!AI5&gt;'Tariffs Jan2022'!M5),($C$5*'Tariffs Jan2022'!AK5/'Tariffs Jan2022'!AI5-'Tariffs Jan2022'!M5)*'Tariffs Jan2022'!S5/100*'Tariffs Jan2022'!AI5,0)</f>
        <v>0</v>
      </c>
      <c r="J11" s="59">
        <f>IF($C$5*'Tariffs Jan2022'!AL5/'Tariffs Jan2022'!AJ5&gt;='Tariffs Jan2022'!J5,('Tariffs Jan2022'!J5*'Tariffs Jan2022'!U5/100)* 'Tariffs Jan2022'!AJ5,($C$5*'Tariffs Jan2022'!AL5/'Tariffs Jan2022'!AJ5*'Tariffs Jan2022'!U5/100)* 'Tariffs Jan2022'!AJ5)</f>
        <v>207.81818181818181</v>
      </c>
      <c r="K11" s="59">
        <f>IF($C$5*'Tariffs Jan2022'!AL5/'Tariffs Jan2022'!AJ5&lt;'Tariffs Jan2022'!J5,0,IF($C$5*'Tariffs Jan2022'!AL5/'Tariffs Jan2022'!AJ5&lt;='Tariffs Jan2022'!K5,($C$5*'Tariffs Jan2022'!AL5/'Tariffs Jan2022'!AJ5-'Tariffs Jan2022'!J5)*('Tariffs Jan2022'!V5/100)*'Tariffs Jan2022'!AJ5,('Tariffs Jan2022'!K5-'Tariffs Jan2022'!J5)*('Tariffs Jan2022'!V5/100)*'Tariffs Jan2022'!AJ5))</f>
        <v>181.63636363636363</v>
      </c>
      <c r="L11" s="59">
        <f>IF($C$5*'Tariffs Jan2022'!AL5/'Tariffs Jan2022'!AJ5&lt;'Tariffs Jan2022'!K5,0,IF($C$5*'Tariffs Jan2022'!AL5/'Tariffs Jan2022'!AJ5&lt;='Tariffs Jan2022'!L5,($C$5*'Tariffs Jan2022'!AL5/'Tariffs Jan2022'!AJ5-'Tariffs Jan2022'!K5)*('Tariffs Jan2022'!W5/100)*'Tariffs Jan2022'!AJ5,('Tariffs Jan2022'!L5-'Tariffs Jan2022'!K5)*('Tariffs Jan2022'!W5/100)*'Tariffs Jan2022'!AJ5))</f>
        <v>152.18181818181819</v>
      </c>
      <c r="M11" s="59">
        <f>IF($C$5*'Tariffs Jan2022'!AL5/'Tariffs Jan2022'!AJ5&lt;'Tariffs Jan2022'!L5,0,IF($C$5*'Tariffs Jan2022'!AL5/'Tariffs Jan2022'!AJ5&lt;='Tariffs Jan2022'!M5,($C$5*'Tariffs Jan2022'!AL5/'Tariffs Jan2022'!AJ5-'Tariffs Jan2022'!L5)*('Tariffs Jan2022'!X5/100)*'Tariffs Jan2022'!AJ5,('Tariffs Jan2022'!M5-'Tariffs Jan2022'!L5)*('Tariffs Jan2022'!X5/100)*'Tariffs Jan2022'!AJ5))</f>
        <v>70.36363636363636</v>
      </c>
      <c r="N11" s="59">
        <f>IF(($C$5*'Tariffs Jan2022'!AL5/'Tariffs Jan2022'!AJ5&gt;'Tariffs Jan2022'!M5),($C$5*'Tariffs Jan2022'!AL5/'Tariffs Jan2022'!AJ5-'Tariffs Jan2022'!M5)*'Tariffs Jan2022'!Y5/100*'Tariffs Jan2022'!AJ5,0)</f>
        <v>0</v>
      </c>
      <c r="O11" s="59">
        <f t="shared" si="1"/>
        <v>1252.2272727272725</v>
      </c>
      <c r="P11" s="503">
        <f t="shared" si="2"/>
        <v>1377.4499999999998</v>
      </c>
      <c r="Q11" s="59">
        <f t="shared" si="3"/>
        <v>1423.4122727272725</v>
      </c>
      <c r="R11" s="272">
        <f t="shared" si="4"/>
        <v>1565.7534999999998</v>
      </c>
      <c r="S11" s="40">
        <f>'Tariffs Jan2022'!AN5</f>
        <v>0</v>
      </c>
      <c r="T11" s="40">
        <f>'Tariffs Jan2022'!AO5</f>
        <v>0</v>
      </c>
      <c r="U11" s="40">
        <f>'Tariffs Jan2022'!AP5</f>
        <v>0</v>
      </c>
      <c r="V11" s="40">
        <f>'Tariffs Jan2022'!AQ5</f>
        <v>0</v>
      </c>
      <c r="W11" s="537" t="str">
        <f t="shared" si="5"/>
        <v>No discount</v>
      </c>
      <c r="X11" s="538" t="str">
        <f t="shared" si="6"/>
        <v>Exclusive</v>
      </c>
      <c r="Y11" s="534">
        <f>IF(AND(W11="Guaranteed off bill",X11="Inclusive"),((Q11*1.1)-((Q11*1.1)*S11/100))/1.1,IF(AND(W11="Guaranteed off usage",X11="Inclusive"),((Q11*1.1)-((P11*1.1)*T11/100))/1.1,IF(AND(W11="Guaranteed off bill",X11="Exclusive"),Q11-(Q11*S11/100),IF(AND(W11="Guaranteed off usage",X11="Exclusive"),Q11-(P11*T11/100),IF(X11="Inclusive",((Q11*1.1))/1.1,Q11)))))</f>
        <v>1423.4122727272725</v>
      </c>
      <c r="Z11" s="535">
        <f>IF(AND(W11="Pay-on-time off bill",X11="Inclusive"),((Y11*1.1)-((Y11*1.1)*U11/100))/1.1,IF(AND(W11="Pay-on-time off usage",X11="Inclusive"),((Y11*1.1)-((P11*1.1)*V11/100))/1.1,IF(AND(W11="Pay-on-time off bill",X11="Exclusive"),Y11-(Y11*U11/100),IF(AND(W11="Pay-on-time off usage",X11="Exclusive"),Y11-(P11*V11/100),IF(X11="Inclusive",((Y11*1.1))/1.1,Y11)))))</f>
        <v>1423.4122727272725</v>
      </c>
      <c r="AA11" s="542">
        <f t="shared" si="0"/>
        <v>1565.7534999999998</v>
      </c>
      <c r="AB11" s="542">
        <f t="shared" si="0"/>
        <v>1565.7534999999998</v>
      </c>
      <c r="AC11" s="274">
        <f>'Tariffs Jan2022'!AZ5</f>
        <v>0</v>
      </c>
      <c r="AD11" s="274" t="str">
        <f>'Tariffs Jan2022'!BA5</f>
        <v>n</v>
      </c>
      <c r="AE11" s="275" t="str">
        <f>'Tariffs Jan2022'!BJ5</f>
        <v>N</v>
      </c>
      <c r="AF11" s="577"/>
      <c r="AG11" s="577"/>
      <c r="AH11" s="577"/>
      <c r="AI11" s="577"/>
      <c r="AJ11" s="577"/>
      <c r="AK11" s="577"/>
      <c r="AL11" s="577"/>
      <c r="AM11" s="577"/>
      <c r="AN11" s="577"/>
      <c r="AO11" s="577"/>
      <c r="AP11" s="577"/>
      <c r="AQ11" s="577"/>
      <c r="AR11" s="577"/>
      <c r="AS11" s="577"/>
      <c r="AT11" s="577"/>
      <c r="AU11" s="577"/>
      <c r="AV11" s="577"/>
      <c r="AW11" s="577"/>
    </row>
    <row r="12" spans="1:49" ht="14" x14ac:dyDescent="0.15">
      <c r="A12" s="270" t="str">
        <f>'Tariffs Jan2022'!F6</f>
        <v>EnergyAustralia</v>
      </c>
      <c r="B12" s="40" t="str">
        <f>'Tariffs Jan2022'!D6</f>
        <v>Multinet Metro 1</v>
      </c>
      <c r="C12" s="40" t="str">
        <f>'Tariffs Jan2022'!G6</f>
        <v>Total Plan</v>
      </c>
      <c r="D12" s="59">
        <f>365*'Tariffs Jan2022'!H6/100</f>
        <v>308.42500000000001</v>
      </c>
      <c r="E12" s="59">
        <f>IF($C$5*'Tariffs Jan2022'!AK6/'Tariffs Jan2022'!AI6&gt;='Tariffs Jan2022'!J6,( 'Tariffs Jan2022'!J6*'Tariffs Jan2022'!O6/100)* 'Tariffs Jan2022'!AI6,($C$5*'Tariffs Jan2022'!AK6/'Tariffs Jan2022'!AI6*'Tariffs Jan2022'!O6/100)* 'Tariffs Jan2022'!AI6)</f>
        <v>283.90909090909088</v>
      </c>
      <c r="F12" s="59">
        <f>IF($C$5*'Tariffs Jan2022'!AK6/'Tariffs Jan2022'!AI6&lt;'Tariffs Jan2022'!J6,0,IF($C$5*'Tariffs Jan2022'!AK6/'Tariffs Jan2022'!AI6&lt;='Tariffs Jan2022'!K6,($C$5*'Tariffs Jan2022'!AK6/'Tariffs Jan2022'!AI6-'Tariffs Jan2022'!J6)*('Tariffs Jan2022'!P6/100)*'Tariffs Jan2022'!AI6,('Tariffs Jan2022'!K6-'Tariffs Jan2022'!J6)*('Tariffs Jan2022'!P6/100)*'Tariffs Jan2022'!AI6))</f>
        <v>243.81818181818181</v>
      </c>
      <c r="G12" s="59">
        <f>IF($C$5*'Tariffs Jan2022'!AK6/'Tariffs Jan2022'!AI6&lt;'Tariffs Jan2022'!K6,0,IF($C$5*'Tariffs Jan2022'!AK6/'Tariffs Jan2022'!AI6&lt;='Tariffs Jan2022'!L6,($C$5*'Tariffs Jan2022'!AK6/'Tariffs Jan2022'!AI6-'Tariffs Jan2022'!K6)*('Tariffs Jan2022'!Q6/100)*'Tariffs Jan2022'!AI6,('Tariffs Jan2022'!L6-'Tariffs Jan2022'!K6)*('Tariffs Jan2022'!Q6/100)*'Tariffs Jan2022'!AI6))</f>
        <v>199.6363636363636</v>
      </c>
      <c r="H12" s="59">
        <f>IF($C$5*'Tariffs Jan2022'!AK6/'Tariffs Jan2022'!AI6&lt;'Tariffs Jan2022'!L6,0,IF($C$5*'Tariffs Jan2022'!AK6/'Tariffs Jan2022'!AI6&lt;='Tariffs Jan2022'!M6,($C$5*'Tariffs Jan2022'!AK6/'Tariffs Jan2022'!AI6-'Tariffs Jan2022'!L6)*('Tariffs Jan2022'!R6/100)*'Tariffs Jan2022'!AI6,('Tariffs Jan2022'!M6-'Tariffs Jan2022'!L6)*('Tariffs Jan2022'!R6/100)*'Tariffs Jan2022'!AI6))</f>
        <v>86.318181818181799</v>
      </c>
      <c r="I12" s="59">
        <f>IF(($C$5*'Tariffs Jan2022'!AK6/'Tariffs Jan2022'!AI6&gt;'Tariffs Jan2022'!M6),($C$5*'Tariffs Jan2022'!AK6/'Tariffs Jan2022'!AI6-'Tariffs Jan2022'!M6)*'Tariffs Jan2022'!S6/100*'Tariffs Jan2022'!AI6,0)</f>
        <v>0</v>
      </c>
      <c r="J12" s="59">
        <f>IF($C$5*'Tariffs Jan2022'!AL6/'Tariffs Jan2022'!AJ6&gt;='Tariffs Jan2022'!J6,('Tariffs Jan2022'!J6*'Tariffs Jan2022'!U6/100)* 'Tariffs Jan2022'!AJ6,($C$5*'Tariffs Jan2022'!AL6/'Tariffs Jan2022'!AJ6*'Tariffs Jan2022'!U6/100)* 'Tariffs Jan2022'!AJ6)</f>
        <v>274.90909090909088</v>
      </c>
      <c r="K12" s="59">
        <f>IF($C$5*'Tariffs Jan2022'!AL6/'Tariffs Jan2022'!AJ6&lt;'Tariffs Jan2022'!J6,0,IF($C$5*'Tariffs Jan2022'!AL6/'Tariffs Jan2022'!AJ6&lt;='Tariffs Jan2022'!K6,($C$5*'Tariffs Jan2022'!AL6/'Tariffs Jan2022'!AJ6-'Tariffs Jan2022'!J6)*('Tariffs Jan2022'!V6/100)*'Tariffs Jan2022'!AJ6,('Tariffs Jan2022'!K6-'Tariffs Jan2022'!J6)*('Tariffs Jan2022'!V6/100)*'Tariffs Jan2022'!AJ6))</f>
        <v>233.99999999999994</v>
      </c>
      <c r="L12" s="59">
        <f>IF($C$5*'Tariffs Jan2022'!AL6/'Tariffs Jan2022'!AJ6&lt;'Tariffs Jan2022'!K6,0,IF($C$5*'Tariffs Jan2022'!AL6/'Tariffs Jan2022'!AJ6&lt;='Tariffs Jan2022'!L6,($C$5*'Tariffs Jan2022'!AL6/'Tariffs Jan2022'!AJ6-'Tariffs Jan2022'!K6)*('Tariffs Jan2022'!W6/100)*'Tariffs Jan2022'!AJ6,('Tariffs Jan2022'!L6-'Tariffs Jan2022'!K6)*('Tariffs Jan2022'!W6/100)*'Tariffs Jan2022'!AJ6))</f>
        <v>194.72727272727272</v>
      </c>
      <c r="M12" s="59">
        <f>IF($C$5*'Tariffs Jan2022'!AL6/'Tariffs Jan2022'!AJ6&lt;'Tariffs Jan2022'!L6,0,IF($C$5*'Tariffs Jan2022'!AL6/'Tariffs Jan2022'!AJ6&lt;='Tariffs Jan2022'!M6,($C$5*'Tariffs Jan2022'!AL6/'Tariffs Jan2022'!AJ6-'Tariffs Jan2022'!L6)*('Tariffs Jan2022'!X6/100)*'Tariffs Jan2022'!AJ6,('Tariffs Jan2022'!M6-'Tariffs Jan2022'!L6)*('Tariffs Jan2022'!X6/100)*'Tariffs Jan2022'!AJ6))</f>
        <v>83.454545454545453</v>
      </c>
      <c r="N12" s="59">
        <f>IF(($C$5*'Tariffs Jan2022'!AL6/'Tariffs Jan2022'!AJ6&gt;'Tariffs Jan2022'!M6),($C$5*'Tariffs Jan2022'!AL6/'Tariffs Jan2022'!AJ6-'Tariffs Jan2022'!M6)*'Tariffs Jan2022'!Y6/100*'Tariffs Jan2022'!AJ6,0)</f>
        <v>0</v>
      </c>
      <c r="O12" s="59">
        <f>SUM(E12:N12)</f>
        <v>1600.7727272727273</v>
      </c>
      <c r="P12" s="503">
        <f t="shared" si="2"/>
        <v>1760.8500000000001</v>
      </c>
      <c r="Q12" s="59">
        <f>D12+O12</f>
        <v>1909.1977272727272</v>
      </c>
      <c r="R12" s="272">
        <f t="shared" si="4"/>
        <v>2100.1175000000003</v>
      </c>
      <c r="S12" s="40">
        <f>'Tariffs Jan2022'!AN6</f>
        <v>24</v>
      </c>
      <c r="T12" s="40">
        <f>'Tariffs Jan2022'!AO6</f>
        <v>0</v>
      </c>
      <c r="U12" s="40">
        <f>'Tariffs Jan2022'!AP6</f>
        <v>0</v>
      </c>
      <c r="V12" s="40">
        <f>'Tariffs Jan2022'!AQ6</f>
        <v>0</v>
      </c>
      <c r="W12" s="537" t="str">
        <f t="shared" si="5"/>
        <v>Guaranteed off bill</v>
      </c>
      <c r="X12" s="538" t="str">
        <f t="shared" si="6"/>
        <v>Exclusive</v>
      </c>
      <c r="Y12" s="534">
        <f t="shared" ref="Y12" si="9">IF(AND(W12="Guaranteed off bill",X12="Inclusive"),((Q12*1.1)-((Q12*1.1)*S12/100))/1.1,IF(AND(W12="Guaranteed off usage",X12="Inclusive"),((Q12*1.1)-((P12*1.1)*T12/100))/1.1,IF(AND(W12="Guaranteed off bill",X12="Exclusive"),Q12-(Q12*S12/100),IF(AND(W12="Guaranteed off usage",X12="Exclusive"),Q12-(P12*T12/100),IF(X12="Inclusive",((Q12*1.1))/1.1,Q12)))))</f>
        <v>1450.9902727272727</v>
      </c>
      <c r="Z12" s="535">
        <f t="shared" ref="Z12" si="10">IF(AND(W12="Pay-on-time off bill",X12="Inclusive"),((Y12*1.1)-((Y12*1.1)*U12/100))/1.1,IF(AND(W12="Pay-on-time off usage",X12="Inclusive"),((Y12*1.1)-((P12*1.1)*V12/100))/1.1,IF(AND(W12="Pay-on-time off bill",X12="Exclusive"),Y12-(Y12*U12/100),IF(AND(W12="Pay-on-time off usage",X12="Exclusive"),Y12-(P12*V12/100),IF(X12="Inclusive",((Y12*1.1))/1.1,Y12)))))</f>
        <v>1450.9902727272727</v>
      </c>
      <c r="AA12" s="542">
        <f t="shared" si="0"/>
        <v>1596.0893000000001</v>
      </c>
      <c r="AB12" s="542">
        <f t="shared" si="0"/>
        <v>1596.0893000000001</v>
      </c>
      <c r="AC12" s="274">
        <f>'Tariffs Jan2022'!AZ6</f>
        <v>12</v>
      </c>
      <c r="AD12" s="274" t="str">
        <f>'Tariffs Jan2022'!BA6</f>
        <v>n</v>
      </c>
      <c r="AE12" s="275" t="str">
        <f>'Tariffs Jan2022'!BJ6</f>
        <v>N</v>
      </c>
      <c r="AF12" s="577"/>
      <c r="AG12" s="577"/>
      <c r="AH12" s="577"/>
      <c r="AI12" s="577"/>
      <c r="AJ12" s="577"/>
      <c r="AK12" s="577"/>
      <c r="AL12" s="577"/>
      <c r="AM12" s="577"/>
      <c r="AN12" s="577"/>
      <c r="AO12" s="577"/>
      <c r="AP12" s="577"/>
      <c r="AQ12" s="577"/>
      <c r="AR12" s="577"/>
      <c r="AS12" s="577"/>
      <c r="AT12" s="577"/>
      <c r="AU12" s="577"/>
      <c r="AV12" s="577"/>
      <c r="AW12" s="577"/>
    </row>
    <row r="13" spans="1:49" ht="14" x14ac:dyDescent="0.15">
      <c r="A13" s="270" t="str">
        <f>'Tariffs Jan2022'!F7</f>
        <v>Lumo Energy</v>
      </c>
      <c r="B13" s="40" t="str">
        <f>'Tariffs Jan2022'!D7</f>
        <v>Multinet Metro 1</v>
      </c>
      <c r="C13" s="40" t="str">
        <f>'Tariffs Jan2022'!G7</f>
        <v>Value</v>
      </c>
      <c r="D13" s="59">
        <f>365*'Tariffs Jan2022'!H7/100</f>
        <v>233.79909090909089</v>
      </c>
      <c r="E13" s="59">
        <f>IF($C$5*'Tariffs Jan2022'!AK7/'Tariffs Jan2022'!AI7&gt;='Tariffs Jan2022'!J7,( 'Tariffs Jan2022'!J7*'Tariffs Jan2022'!O7/100)* 'Tariffs Jan2022'!AI7,($C$5*'Tariffs Jan2022'!AK7/'Tariffs Jan2022'!AI7*'Tariffs Jan2022'!O7/100)* 'Tariffs Jan2022'!AI7)</f>
        <v>170.99999999999997</v>
      </c>
      <c r="F13" s="59">
        <f>IF($C$5*'Tariffs Jan2022'!AK7/'Tariffs Jan2022'!AI7&lt;'Tariffs Jan2022'!J7,0,IF($C$5*'Tariffs Jan2022'!AK7/'Tariffs Jan2022'!AI7&lt;='Tariffs Jan2022'!K7,($C$5*'Tariffs Jan2022'!AK7/'Tariffs Jan2022'!AI7-'Tariffs Jan2022'!J7)*('Tariffs Jan2022'!P7/100)*'Tariffs Jan2022'!AI7,('Tariffs Jan2022'!K7-'Tariffs Jan2022'!J7)*('Tariffs Jan2022'!P7/100)*'Tariffs Jan2022'!AI7))</f>
        <v>169.36363636363637</v>
      </c>
      <c r="G13" s="59">
        <f>IF($C$5*'Tariffs Jan2022'!AK7/'Tariffs Jan2022'!AI7&lt;'Tariffs Jan2022'!K7,0,IF($C$5*'Tariffs Jan2022'!AK7/'Tariffs Jan2022'!AI7&lt;='Tariffs Jan2022'!L7,($C$5*'Tariffs Jan2022'!AK7/'Tariffs Jan2022'!AI7-'Tariffs Jan2022'!K7)*('Tariffs Jan2022'!Q7/100)*'Tariffs Jan2022'!AI7,('Tariffs Jan2022'!L7-'Tariffs Jan2022'!K7)*('Tariffs Jan2022'!Q7/100)*'Tariffs Jan2022'!AI7))</f>
        <v>156.27272727272725</v>
      </c>
      <c r="H13" s="59">
        <f>IF($C$5*'Tariffs Jan2022'!AK7/'Tariffs Jan2022'!AI7&lt;'Tariffs Jan2022'!L7,0,IF($C$5*'Tariffs Jan2022'!AK7/'Tariffs Jan2022'!AI7&lt;='Tariffs Jan2022'!M7,($C$5*'Tariffs Jan2022'!AK7/'Tariffs Jan2022'!AI7-'Tariffs Jan2022'!L7)*('Tariffs Jan2022'!R7/100)*'Tariffs Jan2022'!AI7,('Tariffs Jan2022'!M7-'Tariffs Jan2022'!L7)*('Tariffs Jan2022'!R7/100)*'Tariffs Jan2022'!AI7))</f>
        <v>75.272727272727266</v>
      </c>
      <c r="I13" s="59">
        <f>IF(($C$5*'Tariffs Jan2022'!AK7/'Tariffs Jan2022'!AI7&gt;'Tariffs Jan2022'!M7),($C$5*'Tariffs Jan2022'!AK7/'Tariffs Jan2022'!AI7-'Tariffs Jan2022'!M7)*'Tariffs Jan2022'!S7/100*'Tariffs Jan2022'!AI7,0)</f>
        <v>0</v>
      </c>
      <c r="J13" s="59">
        <f>IF($C$5*'Tariffs Jan2022'!AL7/'Tariffs Jan2022'!AJ7&gt;='Tariffs Jan2022'!J7,('Tariffs Jan2022'!J7*'Tariffs Jan2022'!U7/100)* 'Tariffs Jan2022'!AJ7,($C$5*'Tariffs Jan2022'!AL7/'Tariffs Jan2022'!AJ7*'Tariffs Jan2022'!U7/100)* 'Tariffs Jan2022'!AJ7)</f>
        <v>169.36363636363637</v>
      </c>
      <c r="K13" s="59">
        <f>IF($C$5*'Tariffs Jan2022'!AL7/'Tariffs Jan2022'!AJ7&lt;'Tariffs Jan2022'!J7,0,IF($C$5*'Tariffs Jan2022'!AL7/'Tariffs Jan2022'!AJ7&lt;='Tariffs Jan2022'!K7,($C$5*'Tariffs Jan2022'!AL7/'Tariffs Jan2022'!AJ7-'Tariffs Jan2022'!J7)*('Tariffs Jan2022'!V7/100)*'Tariffs Jan2022'!AJ7,('Tariffs Jan2022'!K7-'Tariffs Jan2022'!J7)*('Tariffs Jan2022'!V7/100)*'Tariffs Jan2022'!AJ7))</f>
        <v>168.5454545454545</v>
      </c>
      <c r="L13" s="59">
        <f>IF($C$5*'Tariffs Jan2022'!AL7/'Tariffs Jan2022'!AJ7&lt;'Tariffs Jan2022'!K7,0,IF($C$5*'Tariffs Jan2022'!AL7/'Tariffs Jan2022'!AJ7&lt;='Tariffs Jan2022'!L7,($C$5*'Tariffs Jan2022'!AL7/'Tariffs Jan2022'!AJ7-'Tariffs Jan2022'!K7)*('Tariffs Jan2022'!W7/100)*'Tariffs Jan2022'!AJ7,('Tariffs Jan2022'!L7-'Tariffs Jan2022'!K7)*('Tariffs Jan2022'!W7/100)*'Tariffs Jan2022'!AJ7))</f>
        <v>154.63636363636363</v>
      </c>
      <c r="M13" s="59">
        <f>IF($C$5*'Tariffs Jan2022'!AL7/'Tariffs Jan2022'!AJ7&lt;'Tariffs Jan2022'!L7,0,IF($C$5*'Tariffs Jan2022'!AL7/'Tariffs Jan2022'!AJ7&lt;='Tariffs Jan2022'!M7,($C$5*'Tariffs Jan2022'!AL7/'Tariffs Jan2022'!AJ7-'Tariffs Jan2022'!L7)*('Tariffs Jan2022'!X7/100)*'Tariffs Jan2022'!AJ7,('Tariffs Jan2022'!M7-'Tariffs Jan2022'!L7)*('Tariffs Jan2022'!X7/100)*'Tariffs Jan2022'!AJ7))</f>
        <v>74.045454545454533</v>
      </c>
      <c r="N13" s="59">
        <f>IF(($C$5*'Tariffs Jan2022'!AL7/'Tariffs Jan2022'!AJ7&gt;'Tariffs Jan2022'!M7),($C$5*'Tariffs Jan2022'!AL7/'Tariffs Jan2022'!AJ7-'Tariffs Jan2022'!M7)*'Tariffs Jan2022'!Y7/100*'Tariffs Jan2022'!AJ7,0)</f>
        <v>0</v>
      </c>
      <c r="O13" s="59">
        <f t="shared" si="1"/>
        <v>1138.5</v>
      </c>
      <c r="P13" s="503">
        <f t="shared" si="2"/>
        <v>1252.3500000000001</v>
      </c>
      <c r="Q13" s="59">
        <f t="shared" si="3"/>
        <v>1372.2990909090909</v>
      </c>
      <c r="R13" s="272">
        <f t="shared" si="4"/>
        <v>1509.529</v>
      </c>
      <c r="S13" s="40">
        <f>'Tariffs Jan2022'!AN7</f>
        <v>0</v>
      </c>
      <c r="T13" s="40">
        <f>'Tariffs Jan2022'!AO7</f>
        <v>0</v>
      </c>
      <c r="U13" s="40">
        <f>'Tariffs Jan2022'!AP7</f>
        <v>0</v>
      </c>
      <c r="V13" s="40">
        <f>'Tariffs Jan2022'!AQ7</f>
        <v>0</v>
      </c>
      <c r="W13" s="537" t="str">
        <f t="shared" si="5"/>
        <v>No discount</v>
      </c>
      <c r="X13" s="538" t="str">
        <f t="shared" si="6"/>
        <v>Exclusive</v>
      </c>
      <c r="Y13" s="534">
        <f>IF(AND(W13="Guaranteed off bill",X13="Inclusive"),((Q13*1.1)-((Q13*1.1)*S13/100))/1.1,IF(AND(W13="Guaranteed off usage",X13="Inclusive"),((Q13*1.1)-((P13*1.1)*T13/100))/1.1,IF(AND(W13="Guaranteed off bill",X13="Exclusive"),Q13-(Q13*S13/100),IF(AND(W13="Guaranteed off usage",X13="Exclusive"),Q13-(P13*T13/100),IF(X13="Inclusive",((Q13*1.1))/1.1,Q13)))))</f>
        <v>1372.2990909090909</v>
      </c>
      <c r="Z13" s="535">
        <f>IF(AND(W13="Pay-on-time off bill",X13="Inclusive"),((Y13*1.1)-((Y13*1.1)*U13/100))/1.1,IF(AND(W13="Pay-on-time off usage",X13="Inclusive"),((Y13*1.1)-((P13*1.1)*V13/100))/1.1,IF(AND(W13="Pay-on-time off bill",X13="Exclusive"),Y13-(Y13*U13/100),IF(AND(W13="Pay-on-time off usage",X13="Exclusive"),Y13-(P13*V13/100),IF(X13="Inclusive",((Y13*1.1))/1.1,Y13)))))</f>
        <v>1372.2990909090909</v>
      </c>
      <c r="AA13" s="542">
        <f t="shared" si="0"/>
        <v>1509.529</v>
      </c>
      <c r="AB13" s="542">
        <f t="shared" si="0"/>
        <v>1509.529</v>
      </c>
      <c r="AC13" s="274">
        <f>'Tariffs Jan2022'!AZ7</f>
        <v>0</v>
      </c>
      <c r="AD13" s="274" t="str">
        <f>'Tariffs Jan2022'!BA7</f>
        <v>n</v>
      </c>
      <c r="AE13" s="275" t="str">
        <f>'Tariffs Jan2022'!BJ7</f>
        <v>N</v>
      </c>
      <c r="AF13" s="577"/>
      <c r="AG13" s="577"/>
      <c r="AH13" s="577"/>
      <c r="AI13" s="577"/>
      <c r="AJ13" s="577"/>
      <c r="AK13" s="577"/>
      <c r="AL13" s="577"/>
      <c r="AM13" s="577"/>
      <c r="AN13" s="577"/>
      <c r="AO13" s="577"/>
      <c r="AP13" s="577"/>
      <c r="AQ13" s="577"/>
      <c r="AR13" s="577"/>
      <c r="AS13" s="577"/>
      <c r="AT13" s="577"/>
      <c r="AU13" s="577"/>
      <c r="AV13" s="577"/>
      <c r="AW13" s="577"/>
    </row>
    <row r="14" spans="1:49" ht="14" x14ac:dyDescent="0.15">
      <c r="A14" s="270" t="str">
        <f>'Tariffs Jan2022'!F8</f>
        <v>Momentum Energy</v>
      </c>
      <c r="B14" s="40" t="str">
        <f>'Tariffs Jan2022'!D8</f>
        <v>Multinet Metro 1</v>
      </c>
      <c r="C14" s="40" t="str">
        <f>'Tariffs Jan2022'!G8</f>
        <v>Market offer</v>
      </c>
      <c r="D14" s="59">
        <f>365*'Tariffs Jan2022'!H8/100</f>
        <v>296.37999999999994</v>
      </c>
      <c r="E14" s="59">
        <f>IF($C$5*'Tariffs Jan2022'!AK8/'Tariffs Jan2022'!AI8&gt;='Tariffs Jan2022'!J8,( 'Tariffs Jan2022'!J8*'Tariffs Jan2022'!O8/100)* 'Tariffs Jan2022'!AI8,($C$5*'Tariffs Jan2022'!AK8/'Tariffs Jan2022'!AI8*'Tariffs Jan2022'!O8/100)* 'Tariffs Jan2022'!AI8)</f>
        <v>197.99999999999994</v>
      </c>
      <c r="F14" s="59">
        <f>IF($C$5*'Tariffs Jan2022'!AK8/'Tariffs Jan2022'!AI8&lt;'Tariffs Jan2022'!J8,0,IF($C$5*'Tariffs Jan2022'!AK8/'Tariffs Jan2022'!AI8&lt;='Tariffs Jan2022'!K8,($C$5*'Tariffs Jan2022'!AK8/'Tariffs Jan2022'!AI8-'Tariffs Jan2022'!J8)*('Tariffs Jan2022'!P8/100)*'Tariffs Jan2022'!AI8,('Tariffs Jan2022'!K8-'Tariffs Jan2022'!J8)*('Tariffs Jan2022'!P8/100)*'Tariffs Jan2022'!AI8))</f>
        <v>180</v>
      </c>
      <c r="G14" s="59">
        <f>IF($C$5*'Tariffs Jan2022'!AK8/'Tariffs Jan2022'!AI8&lt;'Tariffs Jan2022'!K8,0,IF($C$5*'Tariffs Jan2022'!AK8/'Tariffs Jan2022'!AI8&lt;='Tariffs Jan2022'!L8,($C$5*'Tariffs Jan2022'!AK8/'Tariffs Jan2022'!AI8-'Tariffs Jan2022'!K8)*('Tariffs Jan2022'!Q8/100)*'Tariffs Jan2022'!AI8,('Tariffs Jan2022'!L8-'Tariffs Jan2022'!K8)*('Tariffs Jan2022'!Q8/100)*'Tariffs Jan2022'!AI8))</f>
        <v>161.99999999999997</v>
      </c>
      <c r="H14" s="59">
        <f>IF($C$5*'Tariffs Jan2022'!AK8/'Tariffs Jan2022'!AI8&lt;'Tariffs Jan2022'!L8,0,IF($C$5*'Tariffs Jan2022'!AK8/'Tariffs Jan2022'!AI8&lt;='Tariffs Jan2022'!M8,($C$5*'Tariffs Jan2022'!AK8/'Tariffs Jan2022'!AI8-'Tariffs Jan2022'!L8)*('Tariffs Jan2022'!R8/100)*'Tariffs Jan2022'!AI8,('Tariffs Jan2022'!M8-'Tariffs Jan2022'!L8)*('Tariffs Jan2022'!R8/100)*'Tariffs Jan2022'!AI8))</f>
        <v>72</v>
      </c>
      <c r="I14" s="59">
        <f>IF(($C$5*'Tariffs Jan2022'!AK8/'Tariffs Jan2022'!AI8&gt;'Tariffs Jan2022'!M8),($C$5*'Tariffs Jan2022'!AK8/'Tariffs Jan2022'!AI8-'Tariffs Jan2022'!M8)*'Tariffs Jan2022'!S8/100*'Tariffs Jan2022'!AI8,0)</f>
        <v>0</v>
      </c>
      <c r="J14" s="59">
        <f>IF($C$5*'Tariffs Jan2022'!AL8/'Tariffs Jan2022'!AJ8&gt;='Tariffs Jan2022'!J8,('Tariffs Jan2022'!J8*'Tariffs Jan2022'!U8/100)* 'Tariffs Jan2022'!AJ8,($C$5*'Tariffs Jan2022'!AL8/'Tariffs Jan2022'!AJ8*'Tariffs Jan2022'!U8/100)* 'Tariffs Jan2022'!AJ8)</f>
        <v>180</v>
      </c>
      <c r="K14" s="59">
        <f>IF($C$5*'Tariffs Jan2022'!AL8/'Tariffs Jan2022'!AJ8&lt;'Tariffs Jan2022'!J8,0,IF($C$5*'Tariffs Jan2022'!AL8/'Tariffs Jan2022'!AJ8&lt;='Tariffs Jan2022'!K8,($C$5*'Tariffs Jan2022'!AL8/'Tariffs Jan2022'!AJ8-'Tariffs Jan2022'!J8)*('Tariffs Jan2022'!V8/100)*'Tariffs Jan2022'!AJ8,('Tariffs Jan2022'!K8-'Tariffs Jan2022'!J8)*('Tariffs Jan2022'!V8/100)*'Tariffs Jan2022'!AJ8))</f>
        <v>170.99999999999994</v>
      </c>
      <c r="L14" s="59">
        <f>IF($C$5*'Tariffs Jan2022'!AL8/'Tariffs Jan2022'!AJ8&lt;'Tariffs Jan2022'!K8,0,IF($C$5*'Tariffs Jan2022'!AL8/'Tariffs Jan2022'!AJ8&lt;='Tariffs Jan2022'!L8,($C$5*'Tariffs Jan2022'!AL8/'Tariffs Jan2022'!AJ8-'Tariffs Jan2022'!K8)*('Tariffs Jan2022'!W8/100)*'Tariffs Jan2022'!AJ8,('Tariffs Jan2022'!L8-'Tariffs Jan2022'!K8)*('Tariffs Jan2022'!W8/100)*'Tariffs Jan2022'!AJ8))</f>
        <v>153.00000000000003</v>
      </c>
      <c r="M14" s="59">
        <f>IF($C$5*'Tariffs Jan2022'!AL8/'Tariffs Jan2022'!AJ8&lt;'Tariffs Jan2022'!L8,0,IF($C$5*'Tariffs Jan2022'!AL8/'Tariffs Jan2022'!AJ8&lt;='Tariffs Jan2022'!M8,($C$5*'Tariffs Jan2022'!AL8/'Tariffs Jan2022'!AJ8-'Tariffs Jan2022'!L8)*('Tariffs Jan2022'!X8/100)*'Tariffs Jan2022'!AJ8,('Tariffs Jan2022'!M8-'Tariffs Jan2022'!L8)*('Tariffs Jan2022'!X8/100)*'Tariffs Jan2022'!AJ8))</f>
        <v>72</v>
      </c>
      <c r="N14" s="59">
        <f>IF(($C$5*'Tariffs Jan2022'!AL8/'Tariffs Jan2022'!AJ8&gt;'Tariffs Jan2022'!M8),($C$5*'Tariffs Jan2022'!AL8/'Tariffs Jan2022'!AJ8-'Tariffs Jan2022'!M8)*'Tariffs Jan2022'!Y8/100*'Tariffs Jan2022'!AJ8,0)</f>
        <v>0</v>
      </c>
      <c r="O14" s="59">
        <f t="shared" si="1"/>
        <v>1187.9999999999998</v>
      </c>
      <c r="P14" s="503">
        <f t="shared" si="2"/>
        <v>1306.8</v>
      </c>
      <c r="Q14" s="59">
        <f t="shared" si="3"/>
        <v>1484.3799999999997</v>
      </c>
      <c r="R14" s="272">
        <f t="shared" si="4"/>
        <v>1632.8179999999998</v>
      </c>
      <c r="S14" s="40">
        <f>'Tariffs Jan2022'!AN8</f>
        <v>0</v>
      </c>
      <c r="T14" s="40">
        <f>'Tariffs Jan2022'!AO8</f>
        <v>0</v>
      </c>
      <c r="U14" s="40">
        <f>'Tariffs Jan2022'!AP8</f>
        <v>0</v>
      </c>
      <c r="V14" s="40">
        <f>'Tariffs Jan2022'!AQ8</f>
        <v>0</v>
      </c>
      <c r="W14" s="537" t="str">
        <f t="shared" si="5"/>
        <v>No discount</v>
      </c>
      <c r="X14" s="538" t="str">
        <f t="shared" si="6"/>
        <v>Exclusive</v>
      </c>
      <c r="Y14" s="534">
        <f t="shared" ref="Y14" si="11">IF(AND(W14="Guaranteed off bill",X14="Inclusive"),((Q14*1.1)-((Q14*1.1)*S14/100))/1.1,IF(AND(W14="Guaranteed off usage",X14="Inclusive"),((Q14*1.1)-((P14*1.1)*T14/100))/1.1,IF(AND(W14="Guaranteed off bill",X14="Exclusive"),Q14-(Q14*S14/100),IF(AND(W14="Guaranteed off usage",X14="Exclusive"),Q14-(P14*T14/100),IF(X14="Inclusive",((Q14*1.1))/1.1,Q14)))))</f>
        <v>1484.3799999999997</v>
      </c>
      <c r="Z14" s="535">
        <f t="shared" ref="Z14" si="12">IF(AND(W14="Pay-on-time off bill",X14="Inclusive"),((Y14*1.1)-((Y14*1.1)*U14/100))/1.1,IF(AND(W14="Pay-on-time off usage",X14="Inclusive"),((Y14*1.1)-((P14*1.1)*V14/100))/1.1,IF(AND(W14="Pay-on-time off bill",X14="Exclusive"),Y14-(Y14*U14/100),IF(AND(W14="Pay-on-time off usage",X14="Exclusive"),Y14-(P14*V14/100),IF(X14="Inclusive",((Y14*1.1))/1.1,Y14)))))</f>
        <v>1484.3799999999997</v>
      </c>
      <c r="AA14" s="542">
        <f t="shared" si="0"/>
        <v>1632.8179999999998</v>
      </c>
      <c r="AB14" s="542">
        <f t="shared" si="0"/>
        <v>1632.8179999999998</v>
      </c>
      <c r="AC14" s="274">
        <f>'Tariffs Jan2022'!AZ8</f>
        <v>0</v>
      </c>
      <c r="AD14" s="274" t="str">
        <f>'Tariffs Jan2022'!BA8</f>
        <v>n</v>
      </c>
      <c r="AE14" s="275" t="str">
        <f>'Tariffs Jan2022'!BJ8</f>
        <v>N</v>
      </c>
      <c r="AF14" s="577"/>
      <c r="AG14" s="577"/>
      <c r="AH14" s="577"/>
      <c r="AI14" s="577"/>
      <c r="AJ14" s="577"/>
      <c r="AK14" s="577"/>
      <c r="AL14" s="577"/>
      <c r="AM14" s="577"/>
      <c r="AN14" s="577"/>
      <c r="AO14" s="577"/>
      <c r="AP14" s="577"/>
      <c r="AQ14" s="577"/>
      <c r="AR14" s="577"/>
      <c r="AS14" s="577"/>
      <c r="AT14" s="577"/>
      <c r="AU14" s="577"/>
      <c r="AV14" s="577"/>
      <c r="AW14" s="577"/>
    </row>
    <row r="15" spans="1:49" ht="14" x14ac:dyDescent="0.15">
      <c r="A15" s="270" t="str">
        <f>'Tariffs Jan2022'!F9</f>
        <v>Origin Energy</v>
      </c>
      <c r="B15" s="40" t="str">
        <f>'Tariffs Jan2022'!D9</f>
        <v>Multinet Metro 1</v>
      </c>
      <c r="C15" s="40" t="str">
        <f>'Tariffs Jan2022'!G9</f>
        <v>Go</v>
      </c>
      <c r="D15" s="59">
        <f>365*'Tariffs Jan2022'!H9/100</f>
        <v>247.20454545454544</v>
      </c>
      <c r="E15" s="59">
        <f>IF($C$5*'Tariffs Jan2022'!AK9/'Tariffs Jan2022'!AI9&gt;='Tariffs Jan2022'!J9,( 'Tariffs Jan2022'!J9*'Tariffs Jan2022'!O9/100)* 'Tariffs Jan2022'!AI9,($C$5*'Tariffs Jan2022'!AK9/'Tariffs Jan2022'!AI9*'Tariffs Jan2022'!O9/100)* 'Tariffs Jan2022'!AI9)</f>
        <v>422.18181818181813</v>
      </c>
      <c r="F15" s="59">
        <f>IF($C$5*'Tariffs Jan2022'!AK9/'Tariffs Jan2022'!AI9&lt;'Tariffs Jan2022'!J9,0,IF($C$5*'Tariffs Jan2022'!AK9/'Tariffs Jan2022'!AI9&lt;='Tariffs Jan2022'!K9,($C$5*'Tariffs Jan2022'!AK9/'Tariffs Jan2022'!AI9-'Tariffs Jan2022'!J9)*('Tariffs Jan2022'!P9/100)*'Tariffs Jan2022'!AI9,('Tariffs Jan2022'!K9-'Tariffs Jan2022'!J9)*('Tariffs Jan2022'!P9/100)*'Tariffs Jan2022'!AI9))</f>
        <v>0</v>
      </c>
      <c r="G15" s="59">
        <f>IF($C$5*'Tariffs Jan2022'!AK9/'Tariffs Jan2022'!AI9&lt;'Tariffs Jan2022'!K9,0,IF($C$5*'Tariffs Jan2022'!AK9/'Tariffs Jan2022'!AI9&lt;='Tariffs Jan2022'!L9,($C$5*'Tariffs Jan2022'!AK9/'Tariffs Jan2022'!AI9-'Tariffs Jan2022'!K9)*('Tariffs Jan2022'!Q9/100)*'Tariffs Jan2022'!AI9,('Tariffs Jan2022'!L9-'Tariffs Jan2022'!K9)*('Tariffs Jan2022'!Q9/100)*'Tariffs Jan2022'!AI9))</f>
        <v>0</v>
      </c>
      <c r="H15" s="59">
        <f>IF($C$5*'Tariffs Jan2022'!AK9/'Tariffs Jan2022'!AI9&lt;'Tariffs Jan2022'!L9,0,IF($C$5*'Tariffs Jan2022'!AK9/'Tariffs Jan2022'!AI9&lt;='Tariffs Jan2022'!M9,($C$5*'Tariffs Jan2022'!AK9/'Tariffs Jan2022'!AI9-'Tariffs Jan2022'!L9)*('Tariffs Jan2022'!R9/100)*'Tariffs Jan2022'!AI9,('Tariffs Jan2022'!M9-'Tariffs Jan2022'!L9)*('Tariffs Jan2022'!R9/100)*'Tariffs Jan2022'!AI9))</f>
        <v>0</v>
      </c>
      <c r="I15" s="59">
        <f>IF(($C$5*'Tariffs Jan2022'!AK9/'Tariffs Jan2022'!AI9&gt;'Tariffs Jan2022'!M9),($C$5*'Tariffs Jan2022'!AK9/'Tariffs Jan2022'!AI9-'Tariffs Jan2022'!M9)*'Tariffs Jan2022'!S9/100*'Tariffs Jan2022'!AI9,0)</f>
        <v>209.86363636363637</v>
      </c>
      <c r="J15" s="59">
        <f>IF($C$5*'Tariffs Jan2022'!AL9/'Tariffs Jan2022'!AJ9&gt;='Tariffs Jan2022'!J9,('Tariffs Jan2022'!J9*'Tariffs Jan2022'!U9/100)* 'Tariffs Jan2022'!AJ9,($C$5*'Tariffs Jan2022'!AL9/'Tariffs Jan2022'!AJ9*'Tariffs Jan2022'!U9/100)* 'Tariffs Jan2022'!AJ9)</f>
        <v>422.18181818181813</v>
      </c>
      <c r="K15" s="59">
        <f>IF($C$5*'Tariffs Jan2022'!AL9/'Tariffs Jan2022'!AJ9&lt;'Tariffs Jan2022'!J9,0,IF($C$5*'Tariffs Jan2022'!AL9/'Tariffs Jan2022'!AJ9&lt;='Tariffs Jan2022'!K9,($C$5*'Tariffs Jan2022'!AL9/'Tariffs Jan2022'!AJ9-'Tariffs Jan2022'!J9)*('Tariffs Jan2022'!V9/100)*'Tariffs Jan2022'!AJ9,('Tariffs Jan2022'!K9-'Tariffs Jan2022'!J9)*('Tariffs Jan2022'!V9/100)*'Tariffs Jan2022'!AJ9))</f>
        <v>0</v>
      </c>
      <c r="L15" s="59">
        <f>IF($C$5*'Tariffs Jan2022'!AL9/'Tariffs Jan2022'!AJ9&lt;'Tariffs Jan2022'!K9,0,IF($C$5*'Tariffs Jan2022'!AL9/'Tariffs Jan2022'!AJ9&lt;='Tariffs Jan2022'!L9,($C$5*'Tariffs Jan2022'!AL9/'Tariffs Jan2022'!AJ9-'Tariffs Jan2022'!K9)*('Tariffs Jan2022'!W9/100)*'Tariffs Jan2022'!AJ9,('Tariffs Jan2022'!L9-'Tariffs Jan2022'!K9)*('Tariffs Jan2022'!W9/100)*'Tariffs Jan2022'!AJ9))</f>
        <v>0</v>
      </c>
      <c r="M15" s="59">
        <f>IF($C$5*'Tariffs Jan2022'!AL9/'Tariffs Jan2022'!AJ9&lt;'Tariffs Jan2022'!L9,0,IF($C$5*'Tariffs Jan2022'!AL9/'Tariffs Jan2022'!AJ9&lt;='Tariffs Jan2022'!M9,($C$5*'Tariffs Jan2022'!AL9/'Tariffs Jan2022'!AJ9-'Tariffs Jan2022'!L9)*('Tariffs Jan2022'!X9/100)*'Tariffs Jan2022'!AJ9,('Tariffs Jan2022'!M9-'Tariffs Jan2022'!L9)*('Tariffs Jan2022'!X9/100)*'Tariffs Jan2022'!AJ9))</f>
        <v>0</v>
      </c>
      <c r="N15" s="59">
        <f>IF(($C$5*'Tariffs Jan2022'!AL9/'Tariffs Jan2022'!AJ9&gt;'Tariffs Jan2022'!M9),($C$5*'Tariffs Jan2022'!AL9/'Tariffs Jan2022'!AJ9-'Tariffs Jan2022'!M9)*'Tariffs Jan2022'!Y9/100*'Tariffs Jan2022'!AJ9,0)</f>
        <v>209.86363636363637</v>
      </c>
      <c r="O15" s="59">
        <f t="shared" si="1"/>
        <v>1264.090909090909</v>
      </c>
      <c r="P15" s="503">
        <f t="shared" si="2"/>
        <v>1390.5</v>
      </c>
      <c r="Q15" s="59">
        <f t="shared" si="3"/>
        <v>1511.2954545454545</v>
      </c>
      <c r="R15" s="272">
        <f t="shared" si="4"/>
        <v>1662.4250000000002</v>
      </c>
      <c r="S15" s="40">
        <f>'Tariffs Jan2022'!AN9</f>
        <v>0</v>
      </c>
      <c r="T15" s="40">
        <f>'Tariffs Jan2022'!AO9</f>
        <v>0</v>
      </c>
      <c r="U15" s="40">
        <f>'Tariffs Jan2022'!AP9</f>
        <v>0</v>
      </c>
      <c r="V15" s="40">
        <f>'Tariffs Jan2022'!AQ9</f>
        <v>0</v>
      </c>
      <c r="W15" s="537" t="str">
        <f t="shared" si="5"/>
        <v>No discount</v>
      </c>
      <c r="X15" s="538" t="str">
        <f t="shared" si="6"/>
        <v>Inclusive</v>
      </c>
      <c r="Y15" s="534">
        <f>IF(AND(W15="Guaranteed off bill",X15="Inclusive"),((Q15*1.1)-((Q15*1.1)*S15/100))/1.1,IF(AND(W15="Guaranteed off usage",X15="Inclusive"),((Q15*1.1)-((P15*1.1)*T15/100))/1.1,IF(AND(W15="Guaranteed off bill",X15="Exclusive"),Q15-(Q15*S15/100),IF(AND(W15="Guaranteed off usage",X15="Exclusive"),Q15-(P15*T15/100),IF(X15="Inclusive",((Q15*1.1))/1.1,Q15)))))</f>
        <v>1511.2954545454545</v>
      </c>
      <c r="Z15" s="535">
        <f>IF(AND(W15="Pay-on-time off bill",X15="Inclusive"),((Y15*1.1)-((Y15*1.1)*U15/100))/1.1,IF(AND(W15="Pay-on-time off usage",X15="Inclusive"),((Y15*1.1)-((P15*1.1)*V15/100))/1.1,IF(AND(W15="Pay-on-time off bill",X15="Exclusive"),Y15-(Y15*U15/100),IF(AND(W15="Pay-on-time off usage",X15="Exclusive"),Y15-(P15*V15/100),IF(X15="Inclusive",((Y15*1.1))/1.1,Y15)))))</f>
        <v>1511.2954545454545</v>
      </c>
      <c r="AA15" s="542">
        <f t="shared" si="0"/>
        <v>1662.4250000000002</v>
      </c>
      <c r="AB15" s="542">
        <f t="shared" si="0"/>
        <v>1662.4250000000002</v>
      </c>
      <c r="AC15" s="274">
        <f>'Tariffs Jan2022'!AZ9</f>
        <v>0</v>
      </c>
      <c r="AD15" s="274" t="str">
        <f>'Tariffs Jan2022'!BA9</f>
        <v>n</v>
      </c>
      <c r="AE15" s="275" t="str">
        <f>'Tariffs Jan2022'!BJ9</f>
        <v>N</v>
      </c>
      <c r="AF15" s="577"/>
      <c r="AG15" s="577"/>
      <c r="AH15" s="577"/>
      <c r="AI15" s="577"/>
      <c r="AJ15" s="577"/>
      <c r="AK15" s="577"/>
      <c r="AL15" s="577"/>
      <c r="AM15" s="577"/>
      <c r="AN15" s="577"/>
      <c r="AO15" s="577"/>
      <c r="AP15" s="577"/>
      <c r="AQ15" s="577"/>
      <c r="AR15" s="577"/>
      <c r="AS15" s="577"/>
      <c r="AT15" s="577"/>
      <c r="AU15" s="577"/>
      <c r="AV15" s="577"/>
      <c r="AW15" s="577"/>
    </row>
    <row r="16" spans="1:49" ht="14" x14ac:dyDescent="0.15">
      <c r="A16" s="270" t="str">
        <f>'Tariffs Jan2022'!F10</f>
        <v>Red Energy</v>
      </c>
      <c r="B16" s="40" t="str">
        <f>'Tariffs Jan2022'!D10</f>
        <v>Multinet Metro 1</v>
      </c>
      <c r="C16" s="40" t="str">
        <f>'Tariffs Jan2022'!G10</f>
        <v>Living Energy Saver</v>
      </c>
      <c r="D16" s="59">
        <f>365*'Tariffs Jan2022'!H10/100</f>
        <v>239.14136363636356</v>
      </c>
      <c r="E16" s="59">
        <f>IF($C$5*'Tariffs Jan2022'!AK10/'Tariffs Jan2022'!AI10&gt;='Tariffs Jan2022'!J10,( 'Tariffs Jan2022'!J10*'Tariffs Jan2022'!O10/100)* 'Tariffs Jan2022'!AI10,($C$5*'Tariffs Jan2022'!AK10/'Tariffs Jan2022'!AI10*'Tariffs Jan2022'!O10/100)* 'Tariffs Jan2022'!AI10)</f>
        <v>185.72727272727269</v>
      </c>
      <c r="F16" s="59">
        <f>IF($C$5*'Tariffs Jan2022'!AK10/'Tariffs Jan2022'!AI10&lt;'Tariffs Jan2022'!J10,0,IF($C$5*'Tariffs Jan2022'!AK10/'Tariffs Jan2022'!AI10&lt;='Tariffs Jan2022'!K10,($C$5*'Tariffs Jan2022'!AK10/'Tariffs Jan2022'!AI10-'Tariffs Jan2022'!J10)*('Tariffs Jan2022'!P10/100)*'Tariffs Jan2022'!AI10,('Tariffs Jan2022'!K10-'Tariffs Jan2022'!J10)*('Tariffs Jan2022'!P10/100)*'Tariffs Jan2022'!AI10))</f>
        <v>174.27272727272725</v>
      </c>
      <c r="G16" s="59">
        <f>IF($C$5*'Tariffs Jan2022'!AK10/'Tariffs Jan2022'!AI10&lt;'Tariffs Jan2022'!K10,0,IF($C$5*'Tariffs Jan2022'!AK10/'Tariffs Jan2022'!AI10&lt;='Tariffs Jan2022'!L10,($C$5*'Tariffs Jan2022'!AK10/'Tariffs Jan2022'!AI10-'Tariffs Jan2022'!K10)*('Tariffs Jan2022'!Q10/100)*'Tariffs Jan2022'!AI10,('Tariffs Jan2022'!L10-'Tariffs Jan2022'!K10)*('Tariffs Jan2022'!Q10/100)*'Tariffs Jan2022'!AI10))</f>
        <v>153.81818181818178</v>
      </c>
      <c r="H16" s="59">
        <f>IF($C$5*'Tariffs Jan2022'!AK10/'Tariffs Jan2022'!AI10&lt;'Tariffs Jan2022'!L10,0,IF($C$5*'Tariffs Jan2022'!AK10/'Tariffs Jan2022'!AI10&lt;='Tariffs Jan2022'!M10,($C$5*'Tariffs Jan2022'!AK10/'Tariffs Jan2022'!AI10-'Tariffs Jan2022'!L10)*('Tariffs Jan2022'!R10/100)*'Tariffs Jan2022'!AI10,('Tariffs Jan2022'!M10-'Tariffs Jan2022'!L10)*('Tariffs Jan2022'!R10/100)*'Tariffs Jan2022'!AI10))</f>
        <v>72.818181818181813</v>
      </c>
      <c r="I16" s="59">
        <f>IF(($C$5*'Tariffs Jan2022'!AK10/'Tariffs Jan2022'!AI10&gt;'Tariffs Jan2022'!M10),($C$5*'Tariffs Jan2022'!AK10/'Tariffs Jan2022'!AI10-'Tariffs Jan2022'!M10)*'Tariffs Jan2022'!S10/100*'Tariffs Jan2022'!AI10,0)</f>
        <v>0</v>
      </c>
      <c r="J16" s="59">
        <f>IF($C$5*'Tariffs Jan2022'!AL10/'Tariffs Jan2022'!AJ10&gt;='Tariffs Jan2022'!J10,('Tariffs Jan2022'!J10*'Tariffs Jan2022'!U10/100)* 'Tariffs Jan2022'!AJ10,($C$5*'Tariffs Jan2022'!AL10/'Tariffs Jan2022'!AJ10*'Tariffs Jan2022'!U10/100)* 'Tariffs Jan2022'!AJ10)</f>
        <v>176.72727272727272</v>
      </c>
      <c r="K16" s="59">
        <f>IF($C$5*'Tariffs Jan2022'!AL10/'Tariffs Jan2022'!AJ10&lt;'Tariffs Jan2022'!J10,0,IF($C$5*'Tariffs Jan2022'!AL10/'Tariffs Jan2022'!AJ10&lt;='Tariffs Jan2022'!K10,($C$5*'Tariffs Jan2022'!AL10/'Tariffs Jan2022'!AJ10-'Tariffs Jan2022'!J10)*('Tariffs Jan2022'!V10/100)*'Tariffs Jan2022'!AJ10,('Tariffs Jan2022'!K10-'Tariffs Jan2022'!J10)*('Tariffs Jan2022'!V10/100)*'Tariffs Jan2022'!AJ10))</f>
        <v>161.99999999999997</v>
      </c>
      <c r="L16" s="59">
        <f>IF($C$5*'Tariffs Jan2022'!AL10/'Tariffs Jan2022'!AJ10&lt;'Tariffs Jan2022'!K10,0,IF($C$5*'Tariffs Jan2022'!AL10/'Tariffs Jan2022'!AJ10&lt;='Tariffs Jan2022'!L10,($C$5*'Tariffs Jan2022'!AL10/'Tariffs Jan2022'!AJ10-'Tariffs Jan2022'!K10)*('Tariffs Jan2022'!W10/100)*'Tariffs Jan2022'!AJ10,('Tariffs Jan2022'!L10-'Tariffs Jan2022'!K10)*('Tariffs Jan2022'!W10/100)*'Tariffs Jan2022'!AJ10))</f>
        <v>145.63636363636363</v>
      </c>
      <c r="M16" s="59">
        <f>IF($C$5*'Tariffs Jan2022'!AL10/'Tariffs Jan2022'!AJ10&lt;'Tariffs Jan2022'!L10,0,IF($C$5*'Tariffs Jan2022'!AL10/'Tariffs Jan2022'!AJ10&lt;='Tariffs Jan2022'!M10,($C$5*'Tariffs Jan2022'!AL10/'Tariffs Jan2022'!AJ10-'Tariffs Jan2022'!L10)*('Tariffs Jan2022'!X10/100)*'Tariffs Jan2022'!AJ10,('Tariffs Jan2022'!M10-'Tariffs Jan2022'!L10)*('Tariffs Jan2022'!X10/100)*'Tariffs Jan2022'!AJ10))</f>
        <v>68.72727272727272</v>
      </c>
      <c r="N16" s="59">
        <f>IF(($C$5*'Tariffs Jan2022'!AL10/'Tariffs Jan2022'!AJ10&gt;'Tariffs Jan2022'!M10),($C$5*'Tariffs Jan2022'!AL10/'Tariffs Jan2022'!AJ10-'Tariffs Jan2022'!M10)*'Tariffs Jan2022'!Y10/100*'Tariffs Jan2022'!AJ10,0)</f>
        <v>0</v>
      </c>
      <c r="O16" s="59">
        <f t="shared" si="1"/>
        <v>1139.7272727272727</v>
      </c>
      <c r="P16" s="503">
        <f t="shared" si="2"/>
        <v>1253.7</v>
      </c>
      <c r="Q16" s="59">
        <f t="shared" si="3"/>
        <v>1378.8686363636364</v>
      </c>
      <c r="R16" s="272">
        <f t="shared" si="4"/>
        <v>1516.7555000000002</v>
      </c>
      <c r="S16" s="40">
        <f>'Tariffs Jan2022'!AN10</f>
        <v>0</v>
      </c>
      <c r="T16" s="40">
        <f>'Tariffs Jan2022'!AO10</f>
        <v>0</v>
      </c>
      <c r="U16" s="40">
        <f>'Tariffs Jan2022'!AP10</f>
        <v>0</v>
      </c>
      <c r="V16" s="40">
        <f>'Tariffs Jan2022'!AQ10</f>
        <v>0</v>
      </c>
      <c r="W16" s="537" t="str">
        <f t="shared" si="5"/>
        <v>No discount</v>
      </c>
      <c r="X16" s="538" t="str">
        <f t="shared" si="6"/>
        <v>Inclusive</v>
      </c>
      <c r="Y16" s="534">
        <f t="shared" ref="Y16:Y18" si="13">IF(AND(W16="Guaranteed off bill",X16="Inclusive"),((Q16*1.1)-((Q16*1.1)*S16/100))/1.1,IF(AND(W16="Guaranteed off usage",X16="Inclusive"),((Q16*1.1)-((P16*1.1)*T16/100))/1.1,IF(AND(W16="Guaranteed off bill",X16="Exclusive"),Q16-(Q16*S16/100),IF(AND(W16="Guaranteed off usage",X16="Exclusive"),Q16-(P16*T16/100),IF(X16="Inclusive",((Q16*1.1))/1.1,Q16)))))</f>
        <v>1378.8686363636364</v>
      </c>
      <c r="Z16" s="535">
        <f t="shared" ref="Z16:Z18" si="14">IF(AND(W16="Pay-on-time off bill",X16="Inclusive"),((Y16*1.1)-((Y16*1.1)*U16/100))/1.1,IF(AND(W16="Pay-on-time off usage",X16="Inclusive"),((Y16*1.1)-((P16*1.1)*V16/100))/1.1,IF(AND(W16="Pay-on-time off bill",X16="Exclusive"),Y16-(Y16*U16/100),IF(AND(W16="Pay-on-time off usage",X16="Exclusive"),Y16-(P16*V16/100),IF(X16="Inclusive",((Y16*1.1))/1.1,Y16)))))</f>
        <v>1378.8686363636364</v>
      </c>
      <c r="AA16" s="542">
        <f t="shared" si="0"/>
        <v>1516.7555000000002</v>
      </c>
      <c r="AB16" s="542">
        <f t="shared" si="0"/>
        <v>1516.7555000000002</v>
      </c>
      <c r="AC16" s="274">
        <f>'Tariffs Jan2022'!AZ10</f>
        <v>0</v>
      </c>
      <c r="AD16" s="274" t="str">
        <f>'Tariffs Jan2022'!BA10</f>
        <v>n</v>
      </c>
      <c r="AE16" s="275" t="str">
        <f>'Tariffs Jan2022'!BJ10</f>
        <v>N</v>
      </c>
      <c r="AF16" s="577"/>
      <c r="AG16" s="577"/>
      <c r="AH16" s="577"/>
      <c r="AI16" s="577"/>
      <c r="AJ16" s="577"/>
      <c r="AK16" s="577"/>
      <c r="AL16" s="577"/>
      <c r="AM16" s="577"/>
      <c r="AN16" s="577"/>
      <c r="AO16" s="577"/>
      <c r="AP16" s="577"/>
      <c r="AQ16" s="577"/>
      <c r="AR16" s="577"/>
      <c r="AS16" s="577"/>
      <c r="AT16" s="577"/>
      <c r="AU16" s="577"/>
      <c r="AV16" s="577"/>
      <c r="AW16" s="577"/>
    </row>
    <row r="17" spans="1:49" ht="14" x14ac:dyDescent="0.15">
      <c r="A17" s="270" t="str">
        <f>'Tariffs Jan2022'!F11</f>
        <v>Simply Energy</v>
      </c>
      <c r="B17" s="40" t="str">
        <f>'Tariffs Jan2022'!D11</f>
        <v>Multinet Metro 1</v>
      </c>
      <c r="C17" s="40" t="str">
        <f>'Tariffs Jan2022'!G11</f>
        <v>Blue perks</v>
      </c>
      <c r="D17" s="59">
        <f>365*'Tariffs Jan2022'!H11/100</f>
        <v>277.76499999999999</v>
      </c>
      <c r="E17" s="59">
        <f>IF($C$5*'Tariffs Jan2022'!AK11/'Tariffs Jan2022'!AI11&gt;='Tariffs Jan2022'!J11,( 'Tariffs Jan2022'!J11*'Tariffs Jan2022'!O11/100)* 'Tariffs Jan2022'!AI11,($C$5*'Tariffs Jan2022'!AK11/'Tariffs Jan2022'!AI11*'Tariffs Jan2022'!O11/100)* 'Tariffs Jan2022'!AI11)</f>
        <v>307.63636363636363</v>
      </c>
      <c r="F17" s="59">
        <f>IF($C$5*'Tariffs Jan2022'!AK11/'Tariffs Jan2022'!AI11&lt;'Tariffs Jan2022'!J11,0,IF($C$5*'Tariffs Jan2022'!AK11/'Tariffs Jan2022'!AI11&lt;='Tariffs Jan2022'!K11,($C$5*'Tariffs Jan2022'!AK11/'Tariffs Jan2022'!AI11-'Tariffs Jan2022'!J11)*('Tariffs Jan2022'!P11/100)*'Tariffs Jan2022'!AI11,('Tariffs Jan2022'!K11-'Tariffs Jan2022'!J11)*('Tariffs Jan2022'!P11/100)*'Tariffs Jan2022'!AI11))</f>
        <v>274.90909090909088</v>
      </c>
      <c r="G17" s="59">
        <f>IF($C$5*'Tariffs Jan2022'!AK11/'Tariffs Jan2022'!AI11&lt;'Tariffs Jan2022'!K11,0,IF($C$5*'Tariffs Jan2022'!AK11/'Tariffs Jan2022'!AI11&lt;='Tariffs Jan2022'!L11,($C$5*'Tariffs Jan2022'!AK11/'Tariffs Jan2022'!AI11-'Tariffs Jan2022'!K11)*('Tariffs Jan2022'!Q11/100)*'Tariffs Jan2022'!AI11,('Tariffs Jan2022'!L11-'Tariffs Jan2022'!K11)*('Tariffs Jan2022'!Q11/100)*'Tariffs Jan2022'!AI11))</f>
        <v>235.6363636363636</v>
      </c>
      <c r="H17" s="59">
        <f>IF($C$5*'Tariffs Jan2022'!AK11/'Tariffs Jan2022'!AI11&lt;'Tariffs Jan2022'!L11,0,IF($C$5*'Tariffs Jan2022'!AK11/'Tariffs Jan2022'!AI11&lt;='Tariffs Jan2022'!M11,($C$5*'Tariffs Jan2022'!AK11/'Tariffs Jan2022'!AI11-'Tariffs Jan2022'!L11)*('Tariffs Jan2022'!R11/100)*'Tariffs Jan2022'!AI11,('Tariffs Jan2022'!M11-'Tariffs Jan2022'!L11)*('Tariffs Jan2022'!R11/100)*'Tariffs Jan2022'!AI11))</f>
        <v>107.04545454545453</v>
      </c>
      <c r="I17" s="59">
        <f>IF(($C$5*'Tariffs Jan2022'!AK11/'Tariffs Jan2022'!AI11&gt;'Tariffs Jan2022'!M11),($C$5*'Tariffs Jan2022'!AK11/'Tariffs Jan2022'!AI11-'Tariffs Jan2022'!M11)*'Tariffs Jan2022'!S11/100*'Tariffs Jan2022'!AI11,0)</f>
        <v>0</v>
      </c>
      <c r="J17" s="59">
        <f>IF($C$5*'Tariffs Jan2022'!AL11/'Tariffs Jan2022'!AJ11&gt;='Tariffs Jan2022'!J11,('Tariffs Jan2022'!J11*'Tariffs Jan2022'!U11/100)* 'Tariffs Jan2022'!AJ11,($C$5*'Tariffs Jan2022'!AL11/'Tariffs Jan2022'!AJ11*'Tariffs Jan2022'!U11/100)* 'Tariffs Jan2022'!AJ11)</f>
        <v>292.90909090909093</v>
      </c>
      <c r="K17" s="59">
        <f>IF($C$5*'Tariffs Jan2022'!AL11/'Tariffs Jan2022'!AJ11&lt;'Tariffs Jan2022'!J11,0,IF($C$5*'Tariffs Jan2022'!AL11/'Tariffs Jan2022'!AJ11&lt;='Tariffs Jan2022'!K11,($C$5*'Tariffs Jan2022'!AL11/'Tariffs Jan2022'!AJ11-'Tariffs Jan2022'!J11)*('Tariffs Jan2022'!V11/100)*'Tariffs Jan2022'!AJ11,('Tariffs Jan2022'!K11-'Tariffs Jan2022'!J11)*('Tariffs Jan2022'!V11/100)*'Tariffs Jan2022'!AJ11))</f>
        <v>263.45454545454544</v>
      </c>
      <c r="L17" s="59">
        <f>IF($C$5*'Tariffs Jan2022'!AL11/'Tariffs Jan2022'!AJ11&lt;'Tariffs Jan2022'!K11,0,IF($C$5*'Tariffs Jan2022'!AL11/'Tariffs Jan2022'!AJ11&lt;='Tariffs Jan2022'!L11,($C$5*'Tariffs Jan2022'!AL11/'Tariffs Jan2022'!AJ11-'Tariffs Jan2022'!K11)*('Tariffs Jan2022'!W11/100)*'Tariffs Jan2022'!AJ11,('Tariffs Jan2022'!L11-'Tariffs Jan2022'!K11)*('Tariffs Jan2022'!W11/100)*'Tariffs Jan2022'!AJ11))</f>
        <v>230.72727272727272</v>
      </c>
      <c r="M17" s="59">
        <f>IF($C$5*'Tariffs Jan2022'!AL11/'Tariffs Jan2022'!AJ11&lt;'Tariffs Jan2022'!L11,0,IF($C$5*'Tariffs Jan2022'!AL11/'Tariffs Jan2022'!AJ11&lt;='Tariffs Jan2022'!M11,($C$5*'Tariffs Jan2022'!AL11/'Tariffs Jan2022'!AJ11-'Tariffs Jan2022'!L11)*('Tariffs Jan2022'!X11/100)*'Tariffs Jan2022'!AJ11,('Tariffs Jan2022'!M11-'Tariffs Jan2022'!L11)*('Tariffs Jan2022'!X11/100)*'Tariffs Jan2022'!AJ11))</f>
        <v>105.13636363636363</v>
      </c>
      <c r="N17" s="59">
        <f>IF(($C$5*'Tariffs Jan2022'!AL11/'Tariffs Jan2022'!AJ11&gt;'Tariffs Jan2022'!M11),($C$5*'Tariffs Jan2022'!AL11/'Tariffs Jan2022'!AJ11-'Tariffs Jan2022'!M11)*'Tariffs Jan2022'!Y11/100*'Tariffs Jan2022'!AJ11,0)</f>
        <v>0</v>
      </c>
      <c r="O17" s="59">
        <f t="shared" si="1"/>
        <v>1817.4545454545455</v>
      </c>
      <c r="P17" s="503">
        <f t="shared" si="2"/>
        <v>1999.2000000000003</v>
      </c>
      <c r="Q17" s="59">
        <f t="shared" si="3"/>
        <v>2095.2195454545454</v>
      </c>
      <c r="R17" s="272">
        <f t="shared" si="4"/>
        <v>2304.7415000000001</v>
      </c>
      <c r="S17" s="40">
        <f>'Tariffs Jan2022'!AN11</f>
        <v>32</v>
      </c>
      <c r="T17" s="40">
        <f>'Tariffs Jan2022'!AO11</f>
        <v>0</v>
      </c>
      <c r="U17" s="40">
        <f>'Tariffs Jan2022'!AP11</f>
        <v>0</v>
      </c>
      <c r="V17" s="40">
        <f>'Tariffs Jan2022'!AQ11</f>
        <v>0</v>
      </c>
      <c r="W17" s="537" t="str">
        <f t="shared" si="5"/>
        <v>Guaranteed off bill</v>
      </c>
      <c r="X17" s="538" t="str">
        <f t="shared" si="6"/>
        <v>Exclusive</v>
      </c>
      <c r="Y17" s="534">
        <f t="shared" si="13"/>
        <v>1424.7492909090909</v>
      </c>
      <c r="Z17" s="535">
        <f t="shared" si="14"/>
        <v>1424.7492909090909</v>
      </c>
      <c r="AA17" s="542">
        <f t="shared" si="0"/>
        <v>1567.2242200000001</v>
      </c>
      <c r="AB17" s="542">
        <f t="shared" si="0"/>
        <v>1567.2242200000001</v>
      </c>
      <c r="AC17" s="274">
        <f>'Tariffs Jan2022'!AZ11</f>
        <v>0</v>
      </c>
      <c r="AD17" s="274" t="str">
        <f>'Tariffs Jan2022'!BA11</f>
        <v>n</v>
      </c>
      <c r="AE17" s="275" t="str">
        <f>'Tariffs Jan2022'!BJ11</f>
        <v>N</v>
      </c>
      <c r="AF17" s="577"/>
      <c r="AG17" s="577"/>
      <c r="AH17" s="577"/>
      <c r="AI17" s="577"/>
      <c r="AJ17" s="577"/>
      <c r="AK17" s="577"/>
      <c r="AL17" s="577"/>
      <c r="AM17" s="577"/>
      <c r="AN17" s="577"/>
      <c r="AO17" s="577"/>
      <c r="AP17" s="577"/>
      <c r="AQ17" s="577"/>
      <c r="AR17" s="577"/>
      <c r="AS17" s="577"/>
      <c r="AT17" s="577"/>
      <c r="AU17" s="577"/>
      <c r="AV17" s="577"/>
      <c r="AW17" s="577"/>
    </row>
    <row r="18" spans="1:49" ht="14" x14ac:dyDescent="0.15">
      <c r="A18" s="270" t="str">
        <f>'Tariffs Jan2022'!F12</f>
        <v>GloBird Energy</v>
      </c>
      <c r="B18" s="40" t="str">
        <f>'Tariffs Jan2022'!D12</f>
        <v>Multinet Metro 1</v>
      </c>
      <c r="C18" s="40" t="str">
        <f>'Tariffs Jan2022'!G12</f>
        <v>GloSave</v>
      </c>
      <c r="D18" s="59">
        <f>365*'Tariffs Jan2022'!H12/100</f>
        <v>218.99999999999997</v>
      </c>
      <c r="E18" s="59">
        <f>IF($C$5*'Tariffs Jan2022'!AK12/'Tariffs Jan2022'!AI12&gt;='Tariffs Jan2022'!J12,( 'Tariffs Jan2022'!J12*'Tariffs Jan2022'!O12/100)* 'Tariffs Jan2022'!AI12,($C$5*'Tariffs Jan2022'!AK12/'Tariffs Jan2022'!AI12*'Tariffs Jan2022'!O12/100)* 'Tariffs Jan2022'!AI12)</f>
        <v>369.81818181818181</v>
      </c>
      <c r="F18" s="59">
        <f>IF($C$5*'Tariffs Jan2022'!AK12/'Tariffs Jan2022'!AI12&lt;'Tariffs Jan2022'!J12,0,IF($C$5*'Tariffs Jan2022'!AK12/'Tariffs Jan2022'!AI12&lt;='Tariffs Jan2022'!K12,($C$5*'Tariffs Jan2022'!AK12/'Tariffs Jan2022'!AI12-'Tariffs Jan2022'!J12)*('Tariffs Jan2022'!P12/100)*'Tariffs Jan2022'!AI12,('Tariffs Jan2022'!K12-'Tariffs Jan2022'!J12)*('Tariffs Jan2022'!P12/100)*'Tariffs Jan2022'!AI12))</f>
        <v>0</v>
      </c>
      <c r="G18" s="59">
        <f>IF($C$5*'Tariffs Jan2022'!AK12/'Tariffs Jan2022'!AI12&lt;'Tariffs Jan2022'!K12,0,IF($C$5*'Tariffs Jan2022'!AK12/'Tariffs Jan2022'!AI12&lt;='Tariffs Jan2022'!L12,($C$5*'Tariffs Jan2022'!AK12/'Tariffs Jan2022'!AI12-'Tariffs Jan2022'!K12)*('Tariffs Jan2022'!Q12/100)*'Tariffs Jan2022'!AI12,('Tariffs Jan2022'!L12-'Tariffs Jan2022'!K12)*('Tariffs Jan2022'!Q12/100)*'Tariffs Jan2022'!AI12))</f>
        <v>0</v>
      </c>
      <c r="H18" s="59">
        <f>IF($C$5*'Tariffs Jan2022'!AK12/'Tariffs Jan2022'!AI12&lt;'Tariffs Jan2022'!L12,0,IF($C$5*'Tariffs Jan2022'!AK12/'Tariffs Jan2022'!AI12&lt;='Tariffs Jan2022'!M12,($C$5*'Tariffs Jan2022'!AK12/'Tariffs Jan2022'!AI12-'Tariffs Jan2022'!L12)*('Tariffs Jan2022'!R12/100)*'Tariffs Jan2022'!AI12,('Tariffs Jan2022'!M12-'Tariffs Jan2022'!L12)*('Tariffs Jan2022'!R12/100)*'Tariffs Jan2022'!AI12))</f>
        <v>0</v>
      </c>
      <c r="I18" s="59">
        <f>IF(($C$5*'Tariffs Jan2022'!AK12/'Tariffs Jan2022'!AI12&gt;'Tariffs Jan2022'!M12),($C$5*'Tariffs Jan2022'!AK12/'Tariffs Jan2022'!AI12-'Tariffs Jan2022'!M12)*'Tariffs Jan2022'!S12/100*'Tariffs Jan2022'!AI12,0)</f>
        <v>229.5</v>
      </c>
      <c r="J18" s="59">
        <f>IF($C$5*'Tariffs Jan2022'!AL12/'Tariffs Jan2022'!AJ12&gt;='Tariffs Jan2022'!J12,('Tariffs Jan2022'!J12*'Tariffs Jan2022'!U12/100)* 'Tariffs Jan2022'!AJ12,($C$5*'Tariffs Jan2022'!AL12/'Tariffs Jan2022'!AJ12*'Tariffs Jan2022'!U12/100)* 'Tariffs Jan2022'!AJ12)</f>
        <v>369.81818181818181</v>
      </c>
      <c r="K18" s="59">
        <f>IF($C$5*'Tariffs Jan2022'!AL12/'Tariffs Jan2022'!AJ12&lt;'Tariffs Jan2022'!J12,0,IF($C$5*'Tariffs Jan2022'!AL12/'Tariffs Jan2022'!AJ12&lt;='Tariffs Jan2022'!K12,($C$5*'Tariffs Jan2022'!AL12/'Tariffs Jan2022'!AJ12-'Tariffs Jan2022'!J12)*('Tariffs Jan2022'!V12/100)*'Tariffs Jan2022'!AJ12,('Tariffs Jan2022'!K12-'Tariffs Jan2022'!J12)*('Tariffs Jan2022'!V12/100)*'Tariffs Jan2022'!AJ12))</f>
        <v>0</v>
      </c>
      <c r="L18" s="59">
        <f>IF($C$5*'Tariffs Jan2022'!AL12/'Tariffs Jan2022'!AJ12&lt;'Tariffs Jan2022'!K12,0,IF($C$5*'Tariffs Jan2022'!AL12/'Tariffs Jan2022'!AJ12&lt;='Tariffs Jan2022'!L12,($C$5*'Tariffs Jan2022'!AL12/'Tariffs Jan2022'!AJ12-'Tariffs Jan2022'!K12)*('Tariffs Jan2022'!W12/100)*'Tariffs Jan2022'!AJ12,('Tariffs Jan2022'!L12-'Tariffs Jan2022'!K12)*('Tariffs Jan2022'!W12/100)*'Tariffs Jan2022'!AJ12))</f>
        <v>0</v>
      </c>
      <c r="M18" s="59">
        <f>IF($C$5*'Tariffs Jan2022'!AL12/'Tariffs Jan2022'!AJ12&lt;'Tariffs Jan2022'!L12,0,IF($C$5*'Tariffs Jan2022'!AL12/'Tariffs Jan2022'!AJ12&lt;='Tariffs Jan2022'!M12,($C$5*'Tariffs Jan2022'!AL12/'Tariffs Jan2022'!AJ12-'Tariffs Jan2022'!L12)*('Tariffs Jan2022'!X12/100)*'Tariffs Jan2022'!AJ12,('Tariffs Jan2022'!M12-'Tariffs Jan2022'!L12)*('Tariffs Jan2022'!X12/100)*'Tariffs Jan2022'!AJ12))</f>
        <v>0</v>
      </c>
      <c r="N18" s="59">
        <f>IF(($C$5*'Tariffs Jan2022'!AL12/'Tariffs Jan2022'!AJ12&gt;'Tariffs Jan2022'!M12),($C$5*'Tariffs Jan2022'!AL12/'Tariffs Jan2022'!AJ12-'Tariffs Jan2022'!M12)*'Tariffs Jan2022'!Y12/100*'Tariffs Jan2022'!AJ12,0)</f>
        <v>229.5</v>
      </c>
      <c r="O18" s="59">
        <f>SUM(E18:N18)</f>
        <v>1198.6363636363635</v>
      </c>
      <c r="P18" s="503">
        <f t="shared" si="2"/>
        <v>1318.5</v>
      </c>
      <c r="Q18" s="59">
        <f>D18+O18</f>
        <v>1417.6363636363635</v>
      </c>
      <c r="R18" s="272">
        <f t="shared" si="4"/>
        <v>1559.4</v>
      </c>
      <c r="S18" s="40">
        <f>'Tariffs Jan2022'!AN12</f>
        <v>0</v>
      </c>
      <c r="T18" s="40">
        <f>'Tariffs Jan2022'!AO12</f>
        <v>0</v>
      </c>
      <c r="U18" s="40">
        <f>'Tariffs Jan2022'!AP12</f>
        <v>0</v>
      </c>
      <c r="V18" s="40">
        <f>'Tariffs Jan2022'!AQ12</f>
        <v>0</v>
      </c>
      <c r="W18" s="537" t="str">
        <f t="shared" si="5"/>
        <v>No discount</v>
      </c>
      <c r="X18" s="538" t="str">
        <f t="shared" si="6"/>
        <v>Exclusive</v>
      </c>
      <c r="Y18" s="534">
        <f t="shared" si="13"/>
        <v>1417.6363636363635</v>
      </c>
      <c r="Z18" s="535">
        <f t="shared" si="14"/>
        <v>1417.6363636363635</v>
      </c>
      <c r="AA18" s="542">
        <f t="shared" si="0"/>
        <v>1559.4</v>
      </c>
      <c r="AB18" s="542">
        <f t="shared" si="0"/>
        <v>1559.4</v>
      </c>
      <c r="AC18" s="274">
        <f>'Tariffs Jan2022'!AZ12</f>
        <v>0</v>
      </c>
      <c r="AD18" s="274" t="str">
        <f>'Tariffs Jan2022'!BA12</f>
        <v>n</v>
      </c>
      <c r="AE18" s="275" t="str">
        <f>'Tariffs Jan2022'!BJ12</f>
        <v>N</v>
      </c>
      <c r="AF18" s="577"/>
      <c r="AG18" s="577"/>
      <c r="AH18" s="577"/>
      <c r="AI18" s="577"/>
      <c r="AJ18" s="577"/>
      <c r="AK18" s="577"/>
      <c r="AL18" s="577"/>
      <c r="AM18" s="577"/>
      <c r="AN18" s="577"/>
      <c r="AO18" s="577"/>
      <c r="AP18" s="577"/>
      <c r="AQ18" s="577"/>
      <c r="AR18" s="577"/>
      <c r="AS18" s="577"/>
      <c r="AT18" s="577"/>
      <c r="AU18" s="577"/>
      <c r="AV18" s="577"/>
      <c r="AW18" s="577"/>
    </row>
    <row r="19" spans="1:49" ht="14" x14ac:dyDescent="0.15">
      <c r="A19" s="270" t="str">
        <f>'Tariffs Jan2022'!F13</f>
        <v>Powershop</v>
      </c>
      <c r="B19" s="40" t="str">
        <f>'Tariffs Jan2022'!D13</f>
        <v>Multinet Metro 1</v>
      </c>
      <c r="C19" s="40" t="str">
        <f>'Tariffs Jan2022'!G13</f>
        <v>Market offer</v>
      </c>
      <c r="D19" s="59">
        <f>365*'Tariffs Jan2022'!H13/100</f>
        <v>241.09909090909088</v>
      </c>
      <c r="E19" s="59">
        <f>((C$5*'Tariffs Jan2022'!AK13/'Tariffs Jan2022'!AI13)*('Tariffs Jan2022'!O13/100))*'Tariffs Jan2022'!AI13</f>
        <v>546.9545454545455</v>
      </c>
      <c r="F19" s="59">
        <v>0</v>
      </c>
      <c r="G19" s="59">
        <v>0</v>
      </c>
      <c r="H19" s="59">
        <v>0</v>
      </c>
      <c r="I19" s="59">
        <v>0</v>
      </c>
      <c r="J19" s="59">
        <f>((C$5*'Tariffs Jan2022'!AL13/'Tariffs Jan2022'!AJ13)*('Tariffs Jan2022'!U13/100))*'Tariffs Jan2022'!AJ13</f>
        <v>492.54545454545456</v>
      </c>
      <c r="K19" s="59">
        <v>0</v>
      </c>
      <c r="L19" s="59">
        <v>0</v>
      </c>
      <c r="M19" s="59">
        <v>0</v>
      </c>
      <c r="N19" s="59">
        <v>0</v>
      </c>
      <c r="O19" s="59">
        <f>SUM(E19:N19)</f>
        <v>1039.5</v>
      </c>
      <c r="P19" s="503">
        <f t="shared" si="2"/>
        <v>1143.45</v>
      </c>
      <c r="Q19" s="59">
        <f>D19+O19</f>
        <v>1280.5990909090908</v>
      </c>
      <c r="R19" s="272">
        <f t="shared" si="4"/>
        <v>1408.6590000000001</v>
      </c>
      <c r="S19" s="40">
        <f>'Tariffs Jan2022'!AN13</f>
        <v>0</v>
      </c>
      <c r="T19" s="40">
        <f>'Tariffs Jan2022'!AO13</f>
        <v>0</v>
      </c>
      <c r="U19" s="40">
        <f>'Tariffs Jan2022'!AP13</f>
        <v>0</v>
      </c>
      <c r="V19" s="40">
        <f>'Tariffs Jan2022'!AQ13</f>
        <v>0</v>
      </c>
      <c r="W19" s="537" t="str">
        <f t="shared" si="5"/>
        <v>No discount</v>
      </c>
      <c r="X19" s="538" t="str">
        <f t="shared" si="6"/>
        <v>Inclusive</v>
      </c>
      <c r="Y19" s="534">
        <f>IF(AND(W19="Guaranteed off bill",X19="Inclusive"),((Q19*1.1)-((Q19*1.1)*S19/100))/1.1,IF(AND(W19="Guaranteed off usage",X19="Inclusive"),((Q19*1.1)-((P19*1.1)*T19/100))/1.1,IF(AND(W19="Guaranteed off bill",X19="Exclusive"),Q19-(Q19*S19/100),IF(AND(W19="Guaranteed off usage",X19="Exclusive"),Q19-(P19*T19/100),IF(X19="Inclusive",((Q19*1.1))/1.1,Q19)))))</f>
        <v>1280.5990909090908</v>
      </c>
      <c r="Z19" s="535">
        <f>IF(AND(W19="Pay-on-time off bill",X19="Inclusive"),((Y19*1.1)-((Y19*1.1)*U19/100))/1.1,IF(AND(W19="Pay-on-time off usage",X19="Inclusive"),((Y19*1.1)-((P19*1.1)*V19/100))/1.1,IF(AND(W19="Pay-on-time off bill",X19="Exclusive"),Y19-(Y19*U19/100),IF(AND(W19="Pay-on-time off usage",X19="Exclusive"),Y19-(P19*V19/100),IF(X19="Inclusive",((Y19*1.1))/1.1,Y19)))))</f>
        <v>1280.5990909090908</v>
      </c>
      <c r="AA19" s="542">
        <f t="shared" si="0"/>
        <v>1408.6590000000001</v>
      </c>
      <c r="AB19" s="542">
        <f t="shared" si="0"/>
        <v>1408.6590000000001</v>
      </c>
      <c r="AC19" s="274">
        <f>'Tariffs Jan2022'!AZ13</f>
        <v>0</v>
      </c>
      <c r="AD19" s="274" t="str">
        <f>'Tariffs Jan2022'!BA13</f>
        <v>n</v>
      </c>
      <c r="AE19" s="275" t="str">
        <f>'Tariffs Jan2022'!BJ13</f>
        <v>Y</v>
      </c>
      <c r="AF19" s="577"/>
      <c r="AG19" s="577"/>
      <c r="AH19" s="577"/>
      <c r="AI19" s="577"/>
      <c r="AJ19" s="577"/>
      <c r="AK19" s="577"/>
      <c r="AL19" s="577"/>
      <c r="AM19" s="577"/>
      <c r="AN19" s="577"/>
      <c r="AO19" s="577"/>
      <c r="AP19" s="577"/>
      <c r="AQ19" s="577"/>
      <c r="AR19" s="577"/>
      <c r="AS19" s="577"/>
      <c r="AT19" s="577"/>
      <c r="AU19" s="577"/>
      <c r="AV19" s="577"/>
      <c r="AW19" s="577"/>
    </row>
    <row r="20" spans="1:49" ht="14" x14ac:dyDescent="0.15">
      <c r="A20" s="270" t="str">
        <f>'Tariffs Jan2022'!F14</f>
        <v>1st Energy</v>
      </c>
      <c r="B20" s="40" t="str">
        <f>'Tariffs Jan2022'!D14</f>
        <v>Multinet Metro 1</v>
      </c>
      <c r="C20" s="40" t="str">
        <f>'Tariffs Jan2022'!G14</f>
        <v>1st Saver Plus</v>
      </c>
      <c r="D20" s="59">
        <f>365*'Tariffs Jan2022'!H14/100</f>
        <v>259.14999999999998</v>
      </c>
      <c r="E20" s="59">
        <f>IF($C$5*'Tariffs Jan2022'!AK14/'Tariffs Jan2022'!AI14&gt;='Tariffs Jan2022'!J14,( 'Tariffs Jan2022'!J14*'Tariffs Jan2022'!O14/100)* 'Tariffs Jan2022'!AI14,($C$5*'Tariffs Jan2022'!AK14/'Tariffs Jan2022'!AI14*'Tariffs Jan2022'!O14/100)* 'Tariffs Jan2022'!AI14)</f>
        <v>238.90909090909088</v>
      </c>
      <c r="F20" s="59">
        <f>IF($C$5*'Tariffs Jan2022'!AK14/'Tariffs Jan2022'!AI14&lt;'Tariffs Jan2022'!J14,0,IF($C$5*'Tariffs Jan2022'!AK14/'Tariffs Jan2022'!AI14&lt;='Tariffs Jan2022'!K14,($C$5*'Tariffs Jan2022'!AK14/'Tariffs Jan2022'!AI14-'Tariffs Jan2022'!J14)*('Tariffs Jan2022'!P14/100)*'Tariffs Jan2022'!AI14,('Tariffs Jan2022'!K14-'Tariffs Jan2022'!J14)*('Tariffs Jan2022'!P14/100)*'Tariffs Jan2022'!AI14))</f>
        <v>309.27272727272725</v>
      </c>
      <c r="G20" s="59">
        <f>IF($C$5*'Tariffs Jan2022'!AK14/'Tariffs Jan2022'!AI14&lt;'Tariffs Jan2022'!K14,0,IF($C$5*'Tariffs Jan2022'!AK14/'Tariffs Jan2022'!AI14&lt;='Tariffs Jan2022'!L14,($C$5*'Tariffs Jan2022'!AK14/'Tariffs Jan2022'!AI14-'Tariffs Jan2022'!K14)*('Tariffs Jan2022'!Q14/100)*'Tariffs Jan2022'!AI14,('Tariffs Jan2022'!L14-'Tariffs Jan2022'!K14)*('Tariffs Jan2022'!Q14/100)*'Tariffs Jan2022'!AI14))</f>
        <v>0</v>
      </c>
      <c r="H20" s="59">
        <f>IF($C$5*'Tariffs Jan2022'!AK14/'Tariffs Jan2022'!AI14&lt;'Tariffs Jan2022'!L14,0,IF($C$5*'Tariffs Jan2022'!AK14/'Tariffs Jan2022'!AI14&lt;='Tariffs Jan2022'!M14,($C$5*'Tariffs Jan2022'!AK14/'Tariffs Jan2022'!AI14-'Tariffs Jan2022'!L14)*('Tariffs Jan2022'!R14/100)*'Tariffs Jan2022'!AI14,('Tariffs Jan2022'!M14-'Tariffs Jan2022'!L14)*('Tariffs Jan2022'!R14/100)*'Tariffs Jan2022'!AI14))</f>
        <v>0</v>
      </c>
      <c r="I20" s="59">
        <f>IF(($C$5*'Tariffs Jan2022'!AK14/'Tariffs Jan2022'!AI14&gt;'Tariffs Jan2022'!M14),($C$5*'Tariffs Jan2022'!AK14/'Tariffs Jan2022'!AI14-'Tariffs Jan2022'!M14)*'Tariffs Jan2022'!S14/100*'Tariffs Jan2022'!AI14,0)</f>
        <v>171.81818181818181</v>
      </c>
      <c r="J20" s="59">
        <f>IF($C$5*'Tariffs Jan2022'!AL14/'Tariffs Jan2022'!AJ14&gt;='Tariffs Jan2022'!J14,('Tariffs Jan2022'!J14*'Tariffs Jan2022'!U14/100)* 'Tariffs Jan2022'!AJ14,($C$5*'Tariffs Jan2022'!AL14/'Tariffs Jan2022'!AJ14*'Tariffs Jan2022'!U14/100)* 'Tariffs Jan2022'!AJ14)</f>
        <v>238.90909090909088</v>
      </c>
      <c r="K20" s="59">
        <f>IF($C$5*'Tariffs Jan2022'!AL14/'Tariffs Jan2022'!AJ14&lt;'Tariffs Jan2022'!J14,0,IF($C$5*'Tariffs Jan2022'!AL14/'Tariffs Jan2022'!AJ14&lt;='Tariffs Jan2022'!K14,($C$5*'Tariffs Jan2022'!AL14/'Tariffs Jan2022'!AJ14-'Tariffs Jan2022'!J14)*('Tariffs Jan2022'!V14/100)*'Tariffs Jan2022'!AJ14,('Tariffs Jan2022'!K14-'Tariffs Jan2022'!J14)*('Tariffs Jan2022'!V14/100)*'Tariffs Jan2022'!AJ14))</f>
        <v>309.27272727272725</v>
      </c>
      <c r="L20" s="59">
        <f>IF($C$5*'Tariffs Jan2022'!AL14/'Tariffs Jan2022'!AJ14&lt;'Tariffs Jan2022'!K14,0,IF($C$5*'Tariffs Jan2022'!AL14/'Tariffs Jan2022'!AJ14&lt;='Tariffs Jan2022'!L14,($C$5*'Tariffs Jan2022'!AL14/'Tariffs Jan2022'!AJ14-'Tariffs Jan2022'!K14)*('Tariffs Jan2022'!W14/100)*'Tariffs Jan2022'!AJ14,('Tariffs Jan2022'!L14-'Tariffs Jan2022'!K14)*('Tariffs Jan2022'!W14/100)*'Tariffs Jan2022'!AJ14))</f>
        <v>0</v>
      </c>
      <c r="M20" s="59">
        <f>IF($C$5*'Tariffs Jan2022'!AL14/'Tariffs Jan2022'!AJ14&lt;'Tariffs Jan2022'!L14,0,IF($C$5*'Tariffs Jan2022'!AL14/'Tariffs Jan2022'!AJ14&lt;='Tariffs Jan2022'!M14,($C$5*'Tariffs Jan2022'!AL14/'Tariffs Jan2022'!AJ14-'Tariffs Jan2022'!L14)*('Tariffs Jan2022'!X14/100)*'Tariffs Jan2022'!AJ14,('Tariffs Jan2022'!M14-'Tariffs Jan2022'!L14)*('Tariffs Jan2022'!X14/100)*'Tariffs Jan2022'!AJ14))</f>
        <v>0</v>
      </c>
      <c r="N20" s="59">
        <f>IF(($C$5*'Tariffs Jan2022'!AL14/'Tariffs Jan2022'!AJ14&gt;'Tariffs Jan2022'!M14),($C$5*'Tariffs Jan2022'!AL14/'Tariffs Jan2022'!AJ14-'Tariffs Jan2022'!M14)*'Tariffs Jan2022'!Y14/100*'Tariffs Jan2022'!AJ14,0)</f>
        <v>171.81818181818181</v>
      </c>
      <c r="O20" s="59">
        <f t="shared" si="1"/>
        <v>1439.9999999999998</v>
      </c>
      <c r="P20" s="503">
        <f t="shared" si="2"/>
        <v>1583.9999999999998</v>
      </c>
      <c r="Q20" s="59">
        <f t="shared" si="3"/>
        <v>1699.1499999999996</v>
      </c>
      <c r="R20" s="272">
        <f t="shared" si="4"/>
        <v>1869.0649999999998</v>
      </c>
      <c r="S20" s="40">
        <f>'Tariffs Jan2022'!AN14</f>
        <v>0</v>
      </c>
      <c r="T20" s="40">
        <f>'Tariffs Jan2022'!AO14</f>
        <v>12</v>
      </c>
      <c r="U20" s="40">
        <f>'Tariffs Jan2022'!AP14</f>
        <v>0</v>
      </c>
      <c r="V20" s="40">
        <f>'Tariffs Jan2022'!AQ14</f>
        <v>3</v>
      </c>
      <c r="W20" s="537" t="str">
        <f t="shared" si="5"/>
        <v>Guaranteed off usage</v>
      </c>
      <c r="X20" s="538" t="str">
        <f t="shared" si="6"/>
        <v>Exclusive</v>
      </c>
      <c r="Y20" s="534">
        <f>Q20-(P20*T20)/100</f>
        <v>1509.0699999999997</v>
      </c>
      <c r="Z20" s="535">
        <f>Y20-(P20*V20)/100</f>
        <v>1461.5499999999997</v>
      </c>
      <c r="AA20" s="542">
        <f t="shared" si="0"/>
        <v>1659.9769999999999</v>
      </c>
      <c r="AB20" s="542">
        <f t="shared" si="0"/>
        <v>1607.7049999999999</v>
      </c>
      <c r="AC20" s="274">
        <f>'Tariffs Jan2022'!AZ14</f>
        <v>0</v>
      </c>
      <c r="AD20" s="274" t="str">
        <f>'Tariffs Jan2022'!BA14</f>
        <v>n</v>
      </c>
      <c r="AE20" s="275" t="str">
        <f>'Tariffs Jan2022'!BJ14</f>
        <v>Y</v>
      </c>
      <c r="AF20" s="577"/>
      <c r="AG20" s="577"/>
      <c r="AH20" s="577"/>
      <c r="AI20" s="577"/>
      <c r="AJ20" s="577"/>
      <c r="AK20" s="577"/>
      <c r="AL20" s="577"/>
      <c r="AM20" s="577"/>
      <c r="AN20" s="577"/>
      <c r="AO20" s="577"/>
      <c r="AP20" s="577"/>
      <c r="AQ20" s="577"/>
      <c r="AR20" s="577"/>
      <c r="AS20" s="577"/>
      <c r="AT20" s="577"/>
      <c r="AU20" s="577"/>
      <c r="AV20" s="577"/>
      <c r="AW20" s="577"/>
    </row>
    <row r="21" spans="1:49" ht="14" x14ac:dyDescent="0.15">
      <c r="A21" s="270" t="str">
        <f>'Tariffs Jan2022'!F15</f>
        <v>Kogan Energy</v>
      </c>
      <c r="B21" s="40" t="str">
        <f>'Tariffs Jan2022'!D15</f>
        <v>Multinet Metro 1</v>
      </c>
      <c r="C21" s="40" t="str">
        <f>'Tariffs Jan2022'!G15</f>
        <v>Kogan First</v>
      </c>
      <c r="D21" s="59">
        <f>365*'Tariffs Jan2022'!H15/100</f>
        <v>214.22181818181815</v>
      </c>
      <c r="E21" s="59">
        <f>((C$5*'Tariffs Jan2022'!AK15/'Tariffs Jan2022'!AI15)*('Tariffs Jan2022'!O15/100))*'Tariffs Jan2022'!AI15</f>
        <v>635.72727272727263</v>
      </c>
      <c r="F21" s="59">
        <v>0</v>
      </c>
      <c r="G21" s="59">
        <v>0</v>
      </c>
      <c r="H21" s="59">
        <v>0</v>
      </c>
      <c r="I21" s="59">
        <v>0</v>
      </c>
      <c r="J21" s="59">
        <f>((C$5*'Tariffs Jan2022'!AL15/'Tariffs Jan2022'!AJ15)*('Tariffs Jan2022'!U15/100))*'Tariffs Jan2022'!AJ15</f>
        <v>589.90909090909076</v>
      </c>
      <c r="K21" s="59">
        <v>0</v>
      </c>
      <c r="L21" s="59">
        <v>0</v>
      </c>
      <c r="M21" s="59">
        <v>0</v>
      </c>
      <c r="N21" s="59">
        <v>0</v>
      </c>
      <c r="O21" s="59">
        <f>SUM(E21:N21)</f>
        <v>1225.6363636363635</v>
      </c>
      <c r="P21" s="503">
        <f t="shared" si="2"/>
        <v>1348.2</v>
      </c>
      <c r="Q21" s="59">
        <f>D21+O21</f>
        <v>1439.8581818181817</v>
      </c>
      <c r="R21" s="272">
        <f t="shared" si="4"/>
        <v>1583.8440000000001</v>
      </c>
      <c r="S21" s="40">
        <f>'Tariffs Jan2022'!AN15</f>
        <v>0</v>
      </c>
      <c r="T21" s="40">
        <f>'Tariffs Jan2022'!AO15</f>
        <v>0</v>
      </c>
      <c r="U21" s="40">
        <f>'Tariffs Jan2022'!AP15</f>
        <v>0</v>
      </c>
      <c r="V21" s="40">
        <f>'Tariffs Jan2022'!AQ15</f>
        <v>0</v>
      </c>
      <c r="W21" s="537" t="str">
        <f t="shared" si="5"/>
        <v>No discount</v>
      </c>
      <c r="X21" s="538" t="str">
        <f t="shared" si="6"/>
        <v>Exclusive</v>
      </c>
      <c r="Y21" s="534">
        <f t="shared" ref="Y21:Y22" si="15">IF(AND(W21="Guaranteed off bill",X21="Inclusive"),((Q21*1.1)-((Q21*1.1)*S21/100))/1.1,IF(AND(W21="Guaranteed off usage",X21="Inclusive"),((Q21*1.1)-((P21*1.1)*T21/100))/1.1,IF(AND(W21="Guaranteed off bill",X21="Exclusive"),Q21-(Q21*S21/100),IF(AND(W21="Guaranteed off usage",X21="Exclusive"),Q21-(P21*T21/100),IF(X21="Inclusive",((Q21*1.1))/1.1,Q21)))))</f>
        <v>1439.8581818181817</v>
      </c>
      <c r="Z21" s="535">
        <f t="shared" ref="Z21:Z22" si="16">IF(AND(W21="Pay-on-time off bill",X21="Inclusive"),((Y21*1.1)-((Y21*1.1)*U21/100))/1.1,IF(AND(W21="Pay-on-time off usage",X21="Inclusive"),((Y21*1.1)-((P21*1.1)*V21/100))/1.1,IF(AND(W21="Pay-on-time off bill",X21="Exclusive"),Y21-(Y21*U21/100),IF(AND(W21="Pay-on-time off usage",X21="Exclusive"),Y21-(P21*V21/100),IF(X21="Inclusive",((Y21*1.1))/1.1,Y21)))))</f>
        <v>1439.8581818181817</v>
      </c>
      <c r="AA21" s="542">
        <f t="shared" si="0"/>
        <v>1583.8440000000001</v>
      </c>
      <c r="AB21" s="542">
        <f t="shared" si="0"/>
        <v>1583.8440000000001</v>
      </c>
      <c r="AC21" s="274">
        <f>'Tariffs Jan2022'!AZ15</f>
        <v>0</v>
      </c>
      <c r="AD21" s="274" t="str">
        <f>'Tariffs Jan2022'!BA15</f>
        <v>n</v>
      </c>
      <c r="AE21" s="275" t="str">
        <f>'Tariffs Jan2022'!BJ15</f>
        <v>Y</v>
      </c>
      <c r="AF21" s="577"/>
      <c r="AG21" s="577"/>
      <c r="AH21" s="577"/>
      <c r="AI21" s="577"/>
      <c r="AJ21" s="577"/>
      <c r="AK21" s="577"/>
      <c r="AL21" s="577"/>
      <c r="AM21" s="577"/>
      <c r="AN21" s="577"/>
      <c r="AO21" s="577"/>
      <c r="AP21" s="577"/>
      <c r="AQ21" s="577"/>
      <c r="AR21" s="577"/>
      <c r="AS21" s="577"/>
      <c r="AT21" s="577"/>
      <c r="AU21" s="577"/>
      <c r="AV21" s="577"/>
      <c r="AW21" s="577"/>
    </row>
    <row r="22" spans="1:49" ht="14" x14ac:dyDescent="0.15">
      <c r="A22" s="270" t="str">
        <f>'Tariffs Jan2022'!F16</f>
        <v>Tango Energy</v>
      </c>
      <c r="B22" s="40" t="str">
        <f>'Tariffs Jan2022'!D16</f>
        <v>Multinet Metro 1</v>
      </c>
      <c r="C22" s="40" t="str">
        <f>'Tariffs Jan2022'!G16</f>
        <v>Home Select</v>
      </c>
      <c r="D22" s="59">
        <f>365*'Tariffs Jan2022'!H16/100</f>
        <v>237.25</v>
      </c>
      <c r="E22" s="59">
        <f>IF($C$5*'Tariffs Jan2022'!AK16/'Tariffs Jan2022'!AI16&gt;='Tariffs Jan2022'!J16,( 'Tariffs Jan2022'!J16*'Tariffs Jan2022'!O16/100)* 'Tariffs Jan2022'!AI16,($C$5*'Tariffs Jan2022'!AK16/'Tariffs Jan2022'!AI16*'Tariffs Jan2022'!O16/100)* 'Tariffs Jan2022'!AI16)</f>
        <v>151.36363636363637</v>
      </c>
      <c r="F22" s="59">
        <f>IF($C$5*'Tariffs Jan2022'!AK16/'Tariffs Jan2022'!AI16&lt;'Tariffs Jan2022'!J16,0,IF($C$5*'Tariffs Jan2022'!AK16/'Tariffs Jan2022'!AI16&lt;='Tariffs Jan2022'!K16,($C$5*'Tariffs Jan2022'!AK16/'Tariffs Jan2022'!AI16-'Tariffs Jan2022'!J16)*('Tariffs Jan2022'!P16/100)*'Tariffs Jan2022'!AI16,('Tariffs Jan2022'!K16-'Tariffs Jan2022'!J16)*('Tariffs Jan2022'!P16/100)*'Tariffs Jan2022'!AI16))</f>
        <v>133.36363636363637</v>
      </c>
      <c r="G22" s="59">
        <f>IF($C$5*'Tariffs Jan2022'!AK16/'Tariffs Jan2022'!AI16&lt;'Tariffs Jan2022'!K16,0,IF($C$5*'Tariffs Jan2022'!AK16/'Tariffs Jan2022'!AI16&lt;='Tariffs Jan2022'!L16,($C$5*'Tariffs Jan2022'!AK16/'Tariffs Jan2022'!AI16-'Tariffs Jan2022'!K16)*('Tariffs Jan2022'!Q16/100)*'Tariffs Jan2022'!AI16,('Tariffs Jan2022'!L16-'Tariffs Jan2022'!K16)*('Tariffs Jan2022'!Q16/100)*'Tariffs Jan2022'!AI16))</f>
        <v>116.99999999999997</v>
      </c>
      <c r="H22" s="59">
        <f>IF($C$5*'Tariffs Jan2022'!AK16/'Tariffs Jan2022'!AI16&lt;'Tariffs Jan2022'!L16,0,IF($C$5*'Tariffs Jan2022'!AK16/'Tariffs Jan2022'!AI16&lt;='Tariffs Jan2022'!M16,($C$5*'Tariffs Jan2022'!AK16/'Tariffs Jan2022'!AI16-'Tariffs Jan2022'!L16)*('Tariffs Jan2022'!R16/100)*'Tariffs Jan2022'!AI16,('Tariffs Jan2022'!M16-'Tariffs Jan2022'!L16)*('Tariffs Jan2022'!R16/100)*'Tariffs Jan2022'!AI16))</f>
        <v>55.636363636363626</v>
      </c>
      <c r="I22" s="59">
        <f>IF(($C$5*'Tariffs Jan2022'!AK16/'Tariffs Jan2022'!AI16&gt;'Tariffs Jan2022'!M16),($C$5*'Tariffs Jan2022'!AK16/'Tariffs Jan2022'!AI16-'Tariffs Jan2022'!M16)*'Tariffs Jan2022'!S16/100*'Tariffs Jan2022'!AI16,0)</f>
        <v>0</v>
      </c>
      <c r="J22" s="59">
        <f>IF($C$5*'Tariffs Jan2022'!AL16/'Tariffs Jan2022'!AJ16&gt;='Tariffs Jan2022'!J16,('Tariffs Jan2022'!J16*'Tariffs Jan2022'!U16/100)* 'Tariffs Jan2022'!AJ16,($C$5*'Tariffs Jan2022'!AL16/'Tariffs Jan2022'!AJ16*'Tariffs Jan2022'!U16/100)* 'Tariffs Jan2022'!AJ16)</f>
        <v>134.99999999999997</v>
      </c>
      <c r="K22" s="59">
        <f>IF($C$5*'Tariffs Jan2022'!AL16/'Tariffs Jan2022'!AJ16&lt;'Tariffs Jan2022'!J16,0,IF($C$5*'Tariffs Jan2022'!AL16/'Tariffs Jan2022'!AJ16&lt;='Tariffs Jan2022'!K16,($C$5*'Tariffs Jan2022'!AL16/'Tariffs Jan2022'!AJ16-'Tariffs Jan2022'!J16)*('Tariffs Jan2022'!V16/100)*'Tariffs Jan2022'!AJ16,('Tariffs Jan2022'!K16-'Tariffs Jan2022'!J16)*('Tariffs Jan2022'!V16/100)*'Tariffs Jan2022'!AJ16))</f>
        <v>125.99999999999997</v>
      </c>
      <c r="L22" s="59">
        <f>IF($C$5*'Tariffs Jan2022'!AL16/'Tariffs Jan2022'!AJ16&lt;'Tariffs Jan2022'!K16,0,IF($C$5*'Tariffs Jan2022'!AL16/'Tariffs Jan2022'!AJ16&lt;='Tariffs Jan2022'!L16,($C$5*'Tariffs Jan2022'!AL16/'Tariffs Jan2022'!AJ16-'Tariffs Jan2022'!K16)*('Tariffs Jan2022'!W16/100)*'Tariffs Jan2022'!AJ16,('Tariffs Jan2022'!L16-'Tariffs Jan2022'!K16)*('Tariffs Jan2022'!W16/100)*'Tariffs Jan2022'!AJ16))</f>
        <v>116.99999999999997</v>
      </c>
      <c r="M22" s="59">
        <f>IF($C$5*'Tariffs Jan2022'!AL16/'Tariffs Jan2022'!AJ16&lt;'Tariffs Jan2022'!L16,0,IF($C$5*'Tariffs Jan2022'!AL16/'Tariffs Jan2022'!AJ16&lt;='Tariffs Jan2022'!M16,($C$5*'Tariffs Jan2022'!AL16/'Tariffs Jan2022'!AJ16-'Tariffs Jan2022'!L16)*('Tariffs Jan2022'!X16/100)*'Tariffs Jan2022'!AJ16,('Tariffs Jan2022'!M16-'Tariffs Jan2022'!L16)*('Tariffs Jan2022'!X16/100)*'Tariffs Jan2022'!AJ16))</f>
        <v>54</v>
      </c>
      <c r="N22" s="59">
        <f>IF(($C$5*'Tariffs Jan2022'!AL16/'Tariffs Jan2022'!AJ16&gt;'Tariffs Jan2022'!M16),($C$5*'Tariffs Jan2022'!AL16/'Tariffs Jan2022'!AJ16-'Tariffs Jan2022'!M16)*'Tariffs Jan2022'!Y16/100*'Tariffs Jan2022'!AJ16,0)</f>
        <v>0</v>
      </c>
      <c r="O22" s="59">
        <f t="shared" ref="O22" si="17">SUM(E22:N22)</f>
        <v>889.36363636363637</v>
      </c>
      <c r="P22" s="503">
        <f t="shared" si="2"/>
        <v>978.30000000000007</v>
      </c>
      <c r="Q22" s="59">
        <f t="shared" ref="Q22" si="18">D22+O22</f>
        <v>1126.6136363636365</v>
      </c>
      <c r="R22" s="272">
        <f t="shared" si="4"/>
        <v>1239.2750000000003</v>
      </c>
      <c r="S22" s="40">
        <f>'Tariffs Jan2022'!AN16</f>
        <v>0</v>
      </c>
      <c r="T22" s="40">
        <f>'Tariffs Jan2022'!AO16</f>
        <v>0</v>
      </c>
      <c r="U22" s="40">
        <f>'Tariffs Jan2022'!AP16</f>
        <v>0</v>
      </c>
      <c r="V22" s="40">
        <f>'Tariffs Jan2022'!AQ16</f>
        <v>0</v>
      </c>
      <c r="W22" s="578" t="str">
        <f t="shared" si="5"/>
        <v>No discount</v>
      </c>
      <c r="X22" s="578" t="str">
        <f t="shared" si="6"/>
        <v>Exclusive</v>
      </c>
      <c r="Y22" s="535">
        <f t="shared" si="15"/>
        <v>1126.6136363636365</v>
      </c>
      <c r="Z22" s="535">
        <f t="shared" si="16"/>
        <v>1126.6136363636365</v>
      </c>
      <c r="AA22" s="542">
        <f t="shared" si="0"/>
        <v>1239.2750000000003</v>
      </c>
      <c r="AB22" s="542">
        <f t="shared" si="0"/>
        <v>1239.2750000000003</v>
      </c>
      <c r="AC22" s="274">
        <f>'Tariffs Jan2022'!AZ16</f>
        <v>0</v>
      </c>
      <c r="AD22" s="274" t="str">
        <f>'Tariffs Jan2022'!BA16</f>
        <v>n</v>
      </c>
      <c r="AE22" s="275" t="str">
        <f>'Tariffs Jan2022'!BJ16</f>
        <v>N</v>
      </c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</row>
    <row r="23" spans="1:49" ht="15" thickBot="1" x14ac:dyDescent="0.2">
      <c r="A23" s="276" t="str">
        <f>'Tariffs Jan2022'!F17</f>
        <v>Discover Energy</v>
      </c>
      <c r="B23" s="277" t="str">
        <f>'Tariffs Jan2022'!D17</f>
        <v>Multinet Metro 1</v>
      </c>
      <c r="C23" s="277" t="str">
        <f>'Tariffs Jan2022'!G17</f>
        <v>Budget Offer</v>
      </c>
      <c r="D23" s="278">
        <f>365*'Tariffs Jan2022'!H17/100</f>
        <v>218.96681818181816</v>
      </c>
      <c r="E23" s="278">
        <f>IF($C$5*'Tariffs Jan2022'!AK17/'Tariffs Jan2022'!AI17&gt;='Tariffs Jan2022'!J17,( 'Tariffs Jan2022'!J17*'Tariffs Jan2022'!O17/100)* 'Tariffs Jan2022'!AI17,($C$5*'Tariffs Jan2022'!AK17/'Tariffs Jan2022'!AI17*'Tariffs Jan2022'!O17/100)* 'Tariffs Jan2022'!AI17)</f>
        <v>201.27272727272728</v>
      </c>
      <c r="F23" s="278">
        <f>IF($C$5*'Tariffs Jan2022'!AK17/'Tariffs Jan2022'!AI17&lt;'Tariffs Jan2022'!J17,0,IF($C$5*'Tariffs Jan2022'!AK17/'Tariffs Jan2022'!AI17&lt;='Tariffs Jan2022'!K17,($C$5*'Tariffs Jan2022'!AK17/'Tariffs Jan2022'!AI17-'Tariffs Jan2022'!J17)*('Tariffs Jan2022'!P17/100)*'Tariffs Jan2022'!AI17,('Tariffs Jan2022'!K17-'Tariffs Jan2022'!J17)*('Tariffs Jan2022'!P17/100)*'Tariffs Jan2022'!AI17))</f>
        <v>197.18181818181819</v>
      </c>
      <c r="G23" s="278">
        <f>IF($C$5*'Tariffs Jan2022'!AK17/'Tariffs Jan2022'!AI17&lt;'Tariffs Jan2022'!K17,0,IF($C$5*'Tariffs Jan2022'!AK17/'Tariffs Jan2022'!AI17&lt;='Tariffs Jan2022'!L17,($C$5*'Tariffs Jan2022'!AK17/'Tariffs Jan2022'!AI17-'Tariffs Jan2022'!K17)*('Tariffs Jan2022'!Q17/100)*'Tariffs Jan2022'!AI17,('Tariffs Jan2022'!L17-'Tariffs Jan2022'!K17)*('Tariffs Jan2022'!Q17/100)*'Tariffs Jan2022'!AI17))</f>
        <v>153.00000000000003</v>
      </c>
      <c r="H23" s="278">
        <f>IF($C$5*'Tariffs Jan2022'!AK17/'Tariffs Jan2022'!AI17&lt;'Tariffs Jan2022'!L17,0,IF($C$5*'Tariffs Jan2022'!AK17/'Tariffs Jan2022'!AI17&lt;='Tariffs Jan2022'!M17,($C$5*'Tariffs Jan2022'!AK17/'Tariffs Jan2022'!AI17-'Tariffs Jan2022'!L17)*('Tariffs Jan2022'!R17/100)*'Tariffs Jan2022'!AI17,('Tariffs Jan2022'!M17-'Tariffs Jan2022'!L17)*('Tariffs Jan2022'!R17/100)*'Tariffs Jan2022'!AI17))</f>
        <v>65.454545454545453</v>
      </c>
      <c r="I23" s="278">
        <f>IF(($C$5*'Tariffs Jan2022'!AK17/'Tariffs Jan2022'!AI17&gt;'Tariffs Jan2022'!M17),($C$5*'Tariffs Jan2022'!AK17/'Tariffs Jan2022'!AI17-'Tariffs Jan2022'!M17)*'Tariffs Jan2022'!S17/100*'Tariffs Jan2022'!AI17,0)</f>
        <v>0</v>
      </c>
      <c r="J23" s="278">
        <f>IF($C$5*'Tariffs Jan2022'!AL17/'Tariffs Jan2022'!AJ17&gt;='Tariffs Jan2022'!J17,('Tariffs Jan2022'!J17*'Tariffs Jan2022'!U17/100)* 'Tariffs Jan2022'!AJ17,($C$5*'Tariffs Jan2022'!AL17/'Tariffs Jan2022'!AJ17*'Tariffs Jan2022'!U17/100)* 'Tariffs Jan2022'!AJ17)</f>
        <v>201.27272727272728</v>
      </c>
      <c r="K23" s="278">
        <f>IF($C$5*'Tariffs Jan2022'!AL17/'Tariffs Jan2022'!AJ17&lt;'Tariffs Jan2022'!J17,0,IF($C$5*'Tariffs Jan2022'!AL17/'Tariffs Jan2022'!AJ17&lt;='Tariffs Jan2022'!K17,($C$5*'Tariffs Jan2022'!AL17/'Tariffs Jan2022'!AJ17-'Tariffs Jan2022'!J17)*('Tariffs Jan2022'!V17/100)*'Tariffs Jan2022'!AJ17,('Tariffs Jan2022'!K17-'Tariffs Jan2022'!J17)*('Tariffs Jan2022'!V17/100)*'Tariffs Jan2022'!AJ17))</f>
        <v>177.5454545454545</v>
      </c>
      <c r="L23" s="278">
        <f>IF($C$5*'Tariffs Jan2022'!AL17/'Tariffs Jan2022'!AJ17&lt;'Tariffs Jan2022'!K17,0,IF($C$5*'Tariffs Jan2022'!AL17/'Tariffs Jan2022'!AJ17&lt;='Tariffs Jan2022'!L17,($C$5*'Tariffs Jan2022'!AL17/'Tariffs Jan2022'!AJ17-'Tariffs Jan2022'!K17)*('Tariffs Jan2022'!W17/100)*'Tariffs Jan2022'!AJ17,('Tariffs Jan2022'!L17-'Tariffs Jan2022'!K17)*('Tariffs Jan2022'!W17/100)*'Tariffs Jan2022'!AJ17))</f>
        <v>146.45454545454544</v>
      </c>
      <c r="M23" s="278">
        <f>IF($C$5*'Tariffs Jan2022'!AL17/'Tariffs Jan2022'!AJ17&lt;'Tariffs Jan2022'!L17,0,IF($C$5*'Tariffs Jan2022'!AL17/'Tariffs Jan2022'!AJ17&lt;='Tariffs Jan2022'!M17,($C$5*'Tariffs Jan2022'!AL17/'Tariffs Jan2022'!AJ17-'Tariffs Jan2022'!L17)*('Tariffs Jan2022'!X17/100)*'Tariffs Jan2022'!AJ17,('Tariffs Jan2022'!M17-'Tariffs Jan2022'!L17)*('Tariffs Jan2022'!X17/100)*'Tariffs Jan2022'!AJ17))</f>
        <v>65.045454545454533</v>
      </c>
      <c r="N23" s="278">
        <f>IF(($C$5*'Tariffs Jan2022'!AL17/'Tariffs Jan2022'!AJ17&gt;'Tariffs Jan2022'!M17),($C$5*'Tariffs Jan2022'!AL17/'Tariffs Jan2022'!AJ17-'Tariffs Jan2022'!M17)*'Tariffs Jan2022'!Y17/100*'Tariffs Jan2022'!AJ17,0)</f>
        <v>0</v>
      </c>
      <c r="O23" s="278">
        <f t="shared" ref="O23" si="19">SUM(E23:N23)</f>
        <v>1207.2272727272727</v>
      </c>
      <c r="P23" s="504">
        <f t="shared" ref="P23" si="20">O23*1.1</f>
        <v>1327.95</v>
      </c>
      <c r="Q23" s="278">
        <f t="shared" ref="Q23" si="21">D23+O23</f>
        <v>1426.1940909090908</v>
      </c>
      <c r="R23" s="280">
        <f t="shared" ref="R23" si="22">Q23*1.1</f>
        <v>1568.8135</v>
      </c>
      <c r="S23" s="277">
        <f>'Tariffs Jan2022'!AN17</f>
        <v>0</v>
      </c>
      <c r="T23" s="277">
        <f>'Tariffs Jan2022'!AO17</f>
        <v>22</v>
      </c>
      <c r="U23" s="277">
        <f>'Tariffs Jan2022'!AP17</f>
        <v>0</v>
      </c>
      <c r="V23" s="277">
        <f>'Tariffs Jan2022'!AQ17</f>
        <v>0</v>
      </c>
      <c r="W23" s="585" t="str">
        <f t="shared" ref="W23" si="23">IF(SUM(S23:V23)=0,"No discount",IF(S23&gt;0,"Guaranteed off bill",IF(T23&gt;0,"Guaranteed off usage",IF(U23&gt;0,"Pay-on-time off bill","Pay-on-time off usage"))))</f>
        <v>Guaranteed off usage</v>
      </c>
      <c r="X23" s="585" t="str">
        <f t="shared" ref="X23" si="24">IF(OR(A23="Origin Energy",A23="Red Energy",A23="Powershop"),"Inclusive","Exclusive")</f>
        <v>Exclusive</v>
      </c>
      <c r="Y23" s="544">
        <f t="shared" ref="Y23" si="25">IF(AND(W23="Guaranteed off bill",X23="Inclusive"),((Q23*1.1)-((Q23*1.1)*S23/100))/1.1,IF(AND(W23="Guaranteed off usage",X23="Inclusive"),((Q23*1.1)-((P23*1.1)*T23/100))/1.1,IF(AND(W23="Guaranteed off bill",X23="Exclusive"),Q23-(Q23*S23/100),IF(AND(W23="Guaranteed off usage",X23="Exclusive"),Q23-(P23*T23/100),IF(X23="Inclusive",((Q23*1.1))/1.1,Q23)))))</f>
        <v>1134.045090909091</v>
      </c>
      <c r="Z23" s="544">
        <f t="shared" ref="Z23" si="26">IF(AND(W23="Pay-on-time off bill",X23="Inclusive"),((Y23*1.1)-((Y23*1.1)*U23/100))/1.1,IF(AND(W23="Pay-on-time off usage",X23="Inclusive"),((Y23*1.1)-((P23*1.1)*V23/100))/1.1,IF(AND(W23="Pay-on-time off bill",X23="Exclusive"),Y23-(Y23*U23/100),IF(AND(W23="Pay-on-time off usage",X23="Exclusive"),Y23-(P23*V23/100),IF(X23="Inclusive",((Y23*1.1))/1.1,Y23)))))</f>
        <v>1134.045090909091</v>
      </c>
      <c r="AA23" s="545">
        <f t="shared" ref="AA23" si="27">Y23*1.1</f>
        <v>1247.4496000000001</v>
      </c>
      <c r="AB23" s="545">
        <f t="shared" ref="AB23" si="28">Z23*1.1</f>
        <v>1247.4496000000001</v>
      </c>
      <c r="AC23" s="282">
        <f>'Tariffs Jan2022'!AZ17</f>
        <v>0</v>
      </c>
      <c r="AD23" s="282" t="str">
        <f>'Tariffs Jan2022'!BA17</f>
        <v>n</v>
      </c>
      <c r="AE23" s="283" t="str">
        <f>'Tariffs Jan2022'!BJ17</f>
        <v>N</v>
      </c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</row>
    <row r="24" spans="1:49" ht="15" thickTop="1" x14ac:dyDescent="0.15">
      <c r="A24" s="270" t="str">
        <f>'Tariffs Jan2022'!F18</f>
        <v>AGL</v>
      </c>
      <c r="B24" s="40" t="str">
        <f>'Tariffs Jan2022'!D18</f>
        <v>Multinet Metro 2</v>
      </c>
      <c r="C24" s="40" t="str">
        <f>'Tariffs Jan2022'!G18</f>
        <v>Flexible Saver</v>
      </c>
      <c r="D24" s="59">
        <f>365*'Tariffs Jan2022'!H18/100</f>
        <v>306.60000000000002</v>
      </c>
      <c r="E24" s="59">
        <f>IF($C$5*'Tariffs Jan2022'!AK18/'Tariffs Jan2022'!AI18&gt;='Tariffs Jan2022'!J18,( 'Tariffs Jan2022'!J18*'Tariffs Jan2022'!O18/100)* 'Tariffs Jan2022'!AI18,($C$5*'Tariffs Jan2022'!AK18/'Tariffs Jan2022'!AI18*'Tariffs Jan2022'!O18/100)* 'Tariffs Jan2022'!AI18)</f>
        <v>216.81818181818181</v>
      </c>
      <c r="F24" s="59">
        <f>IF($C$5*'Tariffs Jan2022'!AK18/'Tariffs Jan2022'!AI18&lt;'Tariffs Jan2022'!J18,0,IF($C$5*'Tariffs Jan2022'!AK18/'Tariffs Jan2022'!AI18&lt;='Tariffs Jan2022'!K18,($C$5*'Tariffs Jan2022'!AK18/'Tariffs Jan2022'!AI18-'Tariffs Jan2022'!J18)*('Tariffs Jan2022'!P18/100)*'Tariffs Jan2022'!AI18,('Tariffs Jan2022'!K18-'Tariffs Jan2022'!J18)*('Tariffs Jan2022'!P18/100)*'Tariffs Jan2022'!AI18))</f>
        <v>192.27272727272728</v>
      </c>
      <c r="G24" s="59">
        <f>IF($C$5*'Tariffs Jan2022'!AK18/'Tariffs Jan2022'!AI18&lt;'Tariffs Jan2022'!K18,0,IF($C$5*'Tariffs Jan2022'!AK18/'Tariffs Jan2022'!AI18&lt;='Tariffs Jan2022'!L18,($C$5*'Tariffs Jan2022'!AK18/'Tariffs Jan2022'!AI18-'Tariffs Jan2022'!K18)*('Tariffs Jan2022'!Q18/100)*'Tariffs Jan2022'!AI18,('Tariffs Jan2022'!L18-'Tariffs Jan2022'!K18)*('Tariffs Jan2022'!Q18/100)*'Tariffs Jan2022'!AI18))</f>
        <v>157.90909090909091</v>
      </c>
      <c r="H24" s="59">
        <f>IF($C$5*'Tariffs Jan2022'!AK18/'Tariffs Jan2022'!AI18&lt;'Tariffs Jan2022'!L18,0,IF($C$5*'Tariffs Jan2022'!AK18/'Tariffs Jan2022'!AI18&lt;='Tariffs Jan2022'!M18,($C$5*'Tariffs Jan2022'!AK18/'Tariffs Jan2022'!AI18-'Tariffs Jan2022'!L18)*('Tariffs Jan2022'!R18/100)*'Tariffs Jan2022'!AI18,('Tariffs Jan2022'!M18-'Tariffs Jan2022'!L18)*('Tariffs Jan2022'!R18/100)*'Tariffs Jan2022'!AI18))</f>
        <v>68.72727272727272</v>
      </c>
      <c r="I24" s="59">
        <f>IF(($C$5*'Tariffs Jan2022'!AK18/'Tariffs Jan2022'!AI18&gt;'Tariffs Jan2022'!M18),($C$5*'Tariffs Jan2022'!AK18/'Tariffs Jan2022'!AI18-'Tariffs Jan2022'!M18)*'Tariffs Jan2022'!S18/100*'Tariffs Jan2022'!AI18,0)</f>
        <v>0</v>
      </c>
      <c r="J24" s="59">
        <f>IF($C$5*'Tariffs Jan2022'!AL18/'Tariffs Jan2022'!AJ18&gt;='Tariffs Jan2022'!J18,('Tariffs Jan2022'!J18*'Tariffs Jan2022'!U18/100)* 'Tariffs Jan2022'!AJ18,($C$5*'Tariffs Jan2022'!AL18/'Tariffs Jan2022'!AJ18*'Tariffs Jan2022'!U18/100)* 'Tariffs Jan2022'!AJ18)</f>
        <v>207.81818181818181</v>
      </c>
      <c r="K24" s="59">
        <f>IF($C$5*'Tariffs Jan2022'!AL18/'Tariffs Jan2022'!AJ18&lt;'Tariffs Jan2022'!J18,0,IF($C$5*'Tariffs Jan2022'!AL18/'Tariffs Jan2022'!AJ18&lt;='Tariffs Jan2022'!K18,($C$5*'Tariffs Jan2022'!AL18/'Tariffs Jan2022'!AJ18-'Tariffs Jan2022'!J18)*('Tariffs Jan2022'!V18/100)*'Tariffs Jan2022'!AJ18,('Tariffs Jan2022'!K18-'Tariffs Jan2022'!J18)*('Tariffs Jan2022'!V18/100)*'Tariffs Jan2022'!AJ18))</f>
        <v>183.27272727272728</v>
      </c>
      <c r="L24" s="59">
        <f>IF($C$5*'Tariffs Jan2022'!AL18/'Tariffs Jan2022'!AJ18&lt;'Tariffs Jan2022'!K18,0,IF($C$5*'Tariffs Jan2022'!AL18/'Tariffs Jan2022'!AJ18&lt;='Tariffs Jan2022'!L18,($C$5*'Tariffs Jan2022'!AL18/'Tariffs Jan2022'!AJ18-'Tariffs Jan2022'!K18)*('Tariffs Jan2022'!W18/100)*'Tariffs Jan2022'!AJ18,('Tariffs Jan2022'!L18-'Tariffs Jan2022'!K18)*('Tariffs Jan2022'!W18/100)*'Tariffs Jan2022'!AJ18))</f>
        <v>152.18181818181819</v>
      </c>
      <c r="M24" s="59">
        <f>IF($C$5*'Tariffs Jan2022'!AL18/'Tariffs Jan2022'!AJ18&lt;'Tariffs Jan2022'!L18,0,IF($C$5*'Tariffs Jan2022'!AL18/'Tariffs Jan2022'!AJ18&lt;='Tariffs Jan2022'!M18,($C$5*'Tariffs Jan2022'!AL18/'Tariffs Jan2022'!AJ18-'Tariffs Jan2022'!L18)*('Tariffs Jan2022'!X18/100)*'Tariffs Jan2022'!AJ18,('Tariffs Jan2022'!M18-'Tariffs Jan2022'!L18)*('Tariffs Jan2022'!X18/100)*'Tariffs Jan2022'!AJ18))</f>
        <v>67.499999999999986</v>
      </c>
      <c r="N24" s="59">
        <f>IF(($C$5*'Tariffs Jan2022'!AL18/'Tariffs Jan2022'!AJ18&gt;'Tariffs Jan2022'!M18),($C$5*'Tariffs Jan2022'!AL18/'Tariffs Jan2022'!AJ18-'Tariffs Jan2022'!M18)*'Tariffs Jan2022'!Y18/100*'Tariffs Jan2022'!AJ18,0)</f>
        <v>0</v>
      </c>
      <c r="O24" s="59">
        <f t="shared" si="1"/>
        <v>1246.5</v>
      </c>
      <c r="P24" s="503">
        <f t="shared" si="2"/>
        <v>1371.15</v>
      </c>
      <c r="Q24" s="59">
        <f t="shared" si="3"/>
        <v>1553.1</v>
      </c>
      <c r="R24" s="272">
        <f t="shared" si="4"/>
        <v>1708.41</v>
      </c>
      <c r="S24" s="40">
        <f>'Tariffs Jan2022'!AN18</f>
        <v>0</v>
      </c>
      <c r="T24" s="40">
        <f>'Tariffs Jan2022'!AO18</f>
        <v>0</v>
      </c>
      <c r="U24" s="40">
        <f>'Tariffs Jan2022'!AP18</f>
        <v>0</v>
      </c>
      <c r="V24" s="40">
        <f>'Tariffs Jan2022'!AQ18</f>
        <v>0</v>
      </c>
      <c r="W24" s="537" t="str">
        <f>IF(SUM(S24:V24)=0,"No discount",IF(S24&gt;0,"Guaranteed off bill",IF(T24&gt;0,"Guaranteed off usage",IF(U24&gt;0,"Pay-on-time off bill","Pay-on-time off usage"))))</f>
        <v>No discount</v>
      </c>
      <c r="X24" s="538" t="str">
        <f>IF(OR(A24="Origin Energy",A24="Red Energy",A24="Powershop"),"Inclusive","Exclusive")</f>
        <v>Exclusive</v>
      </c>
      <c r="Y24" s="534">
        <f>IF(AND(W24="Guaranteed off bill",X24="Inclusive"),((Q24*1.1)-((Q24*1.1)*S24/100))/1.1,IF(AND(W24="Guaranteed off usage",X24="Inclusive"),((Q24*1.1)-((P24*1.1)*T24/100))/1.1,IF(AND(W24="Guaranteed off bill",X24="Exclusive"),Q24-(Q24*S24/100),IF(AND(W24="Guaranteed off usage",X24="Exclusive"),Q24-(P24*T24/100),IF(X24="Inclusive",((Q24*1.1))/1.1,Q24)))))</f>
        <v>1553.1</v>
      </c>
      <c r="Z24" s="535">
        <f>IF(AND(W24="Pay-on-time off bill",X24="Inclusive"),((Y24*1.1)-((Y24*1.1)*U24/100))/1.1,IF(AND(W24="Pay-on-time off usage",X24="Inclusive"),((Y24*1.1)-((P24*1.1)*V24/100))/1.1,IF(AND(W24="Pay-on-time off bill",X24="Exclusive"),Y24-(Y24*U24/100),IF(AND(W24="Pay-on-time off usage",X24="Exclusive"),Y24-(P24*V24/100),IF(X24="Inclusive",((Y24*1.1))/1.1,Y24)))))</f>
        <v>1553.1</v>
      </c>
      <c r="AA24" s="542">
        <f t="shared" ref="AA24:AB38" si="29">Y24*1.1</f>
        <v>1708.41</v>
      </c>
      <c r="AB24" s="542">
        <f t="shared" si="29"/>
        <v>1708.41</v>
      </c>
      <c r="AC24" s="274">
        <f>'Tariffs Jan2022'!AZ18</f>
        <v>0</v>
      </c>
      <c r="AD24" s="274" t="str">
        <f>'Tariffs Jan2022'!BA18</f>
        <v>n</v>
      </c>
      <c r="AE24" s="275" t="str">
        <f>'Tariffs Jan2022'!BJ18</f>
        <v>N</v>
      </c>
      <c r="AF24" s="577"/>
      <c r="AG24" s="577"/>
      <c r="AH24" s="577"/>
      <c r="AI24" s="577"/>
      <c r="AJ24" s="577"/>
      <c r="AK24" s="577"/>
      <c r="AL24" s="577"/>
      <c r="AM24" s="577"/>
      <c r="AN24" s="577"/>
      <c r="AO24" s="577"/>
      <c r="AP24" s="577"/>
      <c r="AQ24" s="577"/>
      <c r="AR24" s="577"/>
      <c r="AS24" s="577"/>
      <c r="AT24" s="577"/>
      <c r="AU24" s="577"/>
      <c r="AV24" s="577"/>
      <c r="AW24" s="577"/>
    </row>
    <row r="25" spans="1:49" ht="14" x14ac:dyDescent="0.15">
      <c r="A25" s="270" t="str">
        <f>'Tariffs Jan2022'!F19</f>
        <v>Alinta Energy</v>
      </c>
      <c r="B25" s="40" t="str">
        <f>'Tariffs Jan2022'!D19</f>
        <v>Multinet Metro 2</v>
      </c>
      <c r="C25" s="40" t="str">
        <f>'Tariffs Jan2022'!G19</f>
        <v>Home Deal</v>
      </c>
      <c r="D25" s="59">
        <f>365*'Tariffs Jan2022'!H19/100</f>
        <v>171.48363636363635</v>
      </c>
      <c r="E25" s="59">
        <f>IF($C$5*'Tariffs Jan2022'!AK19/'Tariffs Jan2022'!AI19&gt;='Tariffs Jan2022'!J19,( 'Tariffs Jan2022'!J19*'Tariffs Jan2022'!O19/100)* 'Tariffs Jan2022'!AI19,($C$5*'Tariffs Jan2022'!AK19/'Tariffs Jan2022'!AI19*'Tariffs Jan2022'!O19/100)* 'Tariffs Jan2022'!AI19)</f>
        <v>181.63636363636363</v>
      </c>
      <c r="F25" s="59">
        <f>IF($C$5*'Tariffs Jan2022'!AK19/'Tariffs Jan2022'!AI19&lt;'Tariffs Jan2022'!J19,0,IF($C$5*'Tariffs Jan2022'!AK19/'Tariffs Jan2022'!AI19&lt;='Tariffs Jan2022'!K19,($C$5*'Tariffs Jan2022'!AK19/'Tariffs Jan2022'!AI19-'Tariffs Jan2022'!J19)*('Tariffs Jan2022'!P19/100)*'Tariffs Jan2022'!AI19,('Tariffs Jan2022'!K19-'Tariffs Jan2022'!J19)*('Tariffs Jan2022'!P19/100)*'Tariffs Jan2022'!AI19))</f>
        <v>164.45454545454544</v>
      </c>
      <c r="G25" s="59">
        <f>IF($C$5*'Tariffs Jan2022'!AK19/'Tariffs Jan2022'!AI19&lt;'Tariffs Jan2022'!K19,0,IF($C$5*'Tariffs Jan2022'!AK19/'Tariffs Jan2022'!AI19&lt;='Tariffs Jan2022'!L19,($C$5*'Tariffs Jan2022'!AK19/'Tariffs Jan2022'!AI19-'Tariffs Jan2022'!K19)*('Tariffs Jan2022'!Q19/100)*'Tariffs Jan2022'!AI19,('Tariffs Jan2022'!L19-'Tariffs Jan2022'!K19)*('Tariffs Jan2022'!Q19/100)*'Tariffs Jan2022'!AI19))</f>
        <v>0</v>
      </c>
      <c r="H25" s="59">
        <f>IF($C$5*'Tariffs Jan2022'!AK19/'Tariffs Jan2022'!AI19&lt;'Tariffs Jan2022'!L19,0,IF($C$5*'Tariffs Jan2022'!AK19/'Tariffs Jan2022'!AI19&lt;='Tariffs Jan2022'!M19,($C$5*'Tariffs Jan2022'!AK19/'Tariffs Jan2022'!AI19-'Tariffs Jan2022'!L19)*('Tariffs Jan2022'!R19/100)*'Tariffs Jan2022'!AI19,('Tariffs Jan2022'!M19-'Tariffs Jan2022'!L19)*('Tariffs Jan2022'!R19/100)*'Tariffs Jan2022'!AI19))</f>
        <v>0</v>
      </c>
      <c r="I25" s="59">
        <f>IF(($C$5*'Tariffs Jan2022'!AK19/'Tariffs Jan2022'!AI19&gt;'Tariffs Jan2022'!M19),($C$5*'Tariffs Jan2022'!AK19/'Tariffs Jan2022'!AI19-'Tariffs Jan2022'!M19)*'Tariffs Jan2022'!S19/100*'Tariffs Jan2022'!AI19,0)</f>
        <v>193.90909090909088</v>
      </c>
      <c r="J25" s="59">
        <f>IF($C$5*'Tariffs Jan2022'!AL19/'Tariffs Jan2022'!AJ19&gt;='Tariffs Jan2022'!J19,('Tariffs Jan2022'!J19*'Tariffs Jan2022'!U19/100)* 'Tariffs Jan2022'!AJ19,($C$5*'Tariffs Jan2022'!AL19/'Tariffs Jan2022'!AJ19*'Tariffs Jan2022'!U19/100)* 'Tariffs Jan2022'!AJ19)</f>
        <v>181.63636363636363</v>
      </c>
      <c r="K25" s="59">
        <f>IF($C$5*'Tariffs Jan2022'!AL19/'Tariffs Jan2022'!AJ19&lt;'Tariffs Jan2022'!J19,0,IF($C$5*'Tariffs Jan2022'!AL19/'Tariffs Jan2022'!AJ19&lt;='Tariffs Jan2022'!K19,($C$5*'Tariffs Jan2022'!AL19/'Tariffs Jan2022'!AJ19-'Tariffs Jan2022'!J19)*('Tariffs Jan2022'!V19/100)*'Tariffs Jan2022'!AJ19,('Tariffs Jan2022'!K19-'Tariffs Jan2022'!J19)*('Tariffs Jan2022'!V19/100)*'Tariffs Jan2022'!AJ19))</f>
        <v>155.45454545454541</v>
      </c>
      <c r="L25" s="59">
        <f>IF($C$5*'Tariffs Jan2022'!AL19/'Tariffs Jan2022'!AJ19&lt;'Tariffs Jan2022'!K19,0,IF($C$5*'Tariffs Jan2022'!AL19/'Tariffs Jan2022'!AJ19&lt;='Tariffs Jan2022'!L19,($C$5*'Tariffs Jan2022'!AL19/'Tariffs Jan2022'!AJ19-'Tariffs Jan2022'!K19)*('Tariffs Jan2022'!W19/100)*'Tariffs Jan2022'!AJ19,('Tariffs Jan2022'!L19-'Tariffs Jan2022'!K19)*('Tariffs Jan2022'!W19/100)*'Tariffs Jan2022'!AJ19))</f>
        <v>0</v>
      </c>
      <c r="M25" s="59">
        <f>IF($C$5*'Tariffs Jan2022'!AL19/'Tariffs Jan2022'!AJ19&lt;'Tariffs Jan2022'!L19,0,IF($C$5*'Tariffs Jan2022'!AL19/'Tariffs Jan2022'!AJ19&lt;='Tariffs Jan2022'!M19,($C$5*'Tariffs Jan2022'!AL19/'Tariffs Jan2022'!AJ19-'Tariffs Jan2022'!L19)*('Tariffs Jan2022'!X19/100)*'Tariffs Jan2022'!AJ19,('Tariffs Jan2022'!M19-'Tariffs Jan2022'!L19)*('Tariffs Jan2022'!X19/100)*'Tariffs Jan2022'!AJ19))</f>
        <v>0</v>
      </c>
      <c r="N25" s="59">
        <f>IF(($C$5*'Tariffs Jan2022'!AL19/'Tariffs Jan2022'!AJ19&gt;'Tariffs Jan2022'!M19),($C$5*'Tariffs Jan2022'!AL19/'Tariffs Jan2022'!AJ19-'Tariffs Jan2022'!M19)*'Tariffs Jan2022'!Y19/100*'Tariffs Jan2022'!AJ19,0)</f>
        <v>193.90909090909088</v>
      </c>
      <c r="O25" s="59">
        <f t="shared" si="1"/>
        <v>1071</v>
      </c>
      <c r="P25" s="503">
        <f t="shared" si="2"/>
        <v>1178.1000000000001</v>
      </c>
      <c r="Q25" s="59">
        <f t="shared" si="3"/>
        <v>1242.4836363636364</v>
      </c>
      <c r="R25" s="272">
        <f t="shared" si="4"/>
        <v>1366.7320000000002</v>
      </c>
      <c r="S25" s="40">
        <f>'Tariffs Jan2022'!AN19</f>
        <v>0</v>
      </c>
      <c r="T25" s="40">
        <f>'Tariffs Jan2022'!AO19</f>
        <v>0</v>
      </c>
      <c r="U25" s="40">
        <f>'Tariffs Jan2022'!AP19</f>
        <v>0</v>
      </c>
      <c r="V25" s="40">
        <f>'Tariffs Jan2022'!AQ19</f>
        <v>0</v>
      </c>
      <c r="W25" s="537" t="str">
        <f t="shared" ref="W25:W38" si="30">IF(SUM(S25:V25)=0,"No discount",IF(S25&gt;0,"Guaranteed off bill",IF(T25&gt;0,"Guaranteed off usage",IF(U25&gt;0,"Pay-on-time off bill","Pay-on-time off usage"))))</f>
        <v>No discount</v>
      </c>
      <c r="X25" s="538" t="str">
        <f t="shared" ref="X25:X38" si="31">IF(OR(A25="Origin Energy",A25="Red Energy",A25="Powershop"),"Inclusive","Exclusive")</f>
        <v>Exclusive</v>
      </c>
      <c r="Y25" s="534">
        <f>IF(AND(W25="Guaranteed off bill",X25="Inclusive"),((Q25*1.1)-((Q25*1.1)*S25/100))/1.1,IF(AND(W25="Guaranteed off usage",X25="Inclusive"),((Q25*1.1)-((P25*1.1)*T25/100))/1.1,IF(AND(W25="Guaranteed off bill",X25="Exclusive"),Q25-(Q25*S25/100),IF(AND(W25="Guaranteed off usage",X25="Exclusive"),Q25-(P25*T25/100),IF(X25="Inclusive",((Q25*1.1))/1.1,Q25)))))</f>
        <v>1242.4836363636364</v>
      </c>
      <c r="Z25" s="535">
        <f>IF(AND(W25="Pay-on-time off bill",X25="Inclusive"),((Y25*1.1)-((Y25*1.1)*U25/100))/1.1,IF(AND(W25="Pay-on-time off usage",X25="Inclusive"),((Y25*1.1)-((P25*1.1)*V25/100))/1.1,IF(AND(W25="Pay-on-time off bill",X25="Exclusive"),Y25-(Y25*U25/100),IF(AND(W25="Pay-on-time off usage",X25="Exclusive"),Y25-(P25*V25/100),IF(X25="Inclusive",((Y25*1.1))/1.1,Y25)))))</f>
        <v>1242.4836363636364</v>
      </c>
      <c r="AA25" s="542">
        <f t="shared" si="29"/>
        <v>1366.7320000000002</v>
      </c>
      <c r="AB25" s="542">
        <f t="shared" si="29"/>
        <v>1366.7320000000002</v>
      </c>
      <c r="AC25" s="274">
        <f>'Tariffs Jan2022'!AZ19</f>
        <v>0</v>
      </c>
      <c r="AD25" s="274" t="str">
        <f>'Tariffs Jan2022'!BA19</f>
        <v>n</v>
      </c>
      <c r="AE25" s="275" t="str">
        <f>'Tariffs Jan2022'!BJ19</f>
        <v>N</v>
      </c>
      <c r="AF25" s="577"/>
      <c r="AG25" s="577"/>
      <c r="AH25" s="577"/>
      <c r="AI25" s="577"/>
      <c r="AJ25" s="577"/>
      <c r="AK25" s="577"/>
      <c r="AL25" s="577"/>
      <c r="AM25" s="577"/>
      <c r="AN25" s="577"/>
      <c r="AO25" s="577"/>
      <c r="AP25" s="577"/>
      <c r="AQ25" s="577"/>
      <c r="AR25" s="577"/>
      <c r="AS25" s="577"/>
      <c r="AT25" s="577"/>
      <c r="AU25" s="577"/>
      <c r="AV25" s="577"/>
      <c r="AW25" s="577"/>
    </row>
    <row r="26" spans="1:49" ht="14" x14ac:dyDescent="0.15">
      <c r="A26" s="270" t="str">
        <f>'Tariffs Jan2022'!F20</f>
        <v>Covau</v>
      </c>
      <c r="B26" s="40" t="str">
        <f>'Tariffs Jan2022'!D20</f>
        <v>Multinet Metro 2</v>
      </c>
      <c r="C26" s="40" t="str">
        <f>'Tariffs Jan2022'!G20</f>
        <v>Super Saver Plus</v>
      </c>
      <c r="D26" s="59">
        <f>365*'Tariffs Jan2022'!H20/100</f>
        <v>284.7</v>
      </c>
      <c r="E26" s="59">
        <f>IF($C$5*'Tariffs Jan2022'!AK20/'Tariffs Jan2022'!AI20&gt;='Tariffs Jan2022'!J20,( 'Tariffs Jan2022'!J20*'Tariffs Jan2022'!O20/100)* 'Tariffs Jan2022'!AI20,($C$5*'Tariffs Jan2022'!AK20/'Tariffs Jan2022'!AI20*'Tariffs Jan2022'!O20/100)* 'Tariffs Jan2022'!AI20)</f>
        <v>241.36363636363637</v>
      </c>
      <c r="F26" s="59">
        <f>IF($C$5*'Tariffs Jan2022'!AK20/'Tariffs Jan2022'!AI20&lt;'Tariffs Jan2022'!J20,0,IF($C$5*'Tariffs Jan2022'!AK20/'Tariffs Jan2022'!AI20&lt;='Tariffs Jan2022'!K20,($C$5*'Tariffs Jan2022'!AK20/'Tariffs Jan2022'!AI20-'Tariffs Jan2022'!J20)*('Tariffs Jan2022'!P20/100)*'Tariffs Jan2022'!AI20,('Tariffs Jan2022'!K20-'Tariffs Jan2022'!J20)*('Tariffs Jan2022'!P20/100)*'Tariffs Jan2022'!AI20))</f>
        <v>213.5454545454545</v>
      </c>
      <c r="G26" s="59">
        <f>IF($C$5*'Tariffs Jan2022'!AK20/'Tariffs Jan2022'!AI20&lt;'Tariffs Jan2022'!K20,0,IF($C$5*'Tariffs Jan2022'!AK20/'Tariffs Jan2022'!AI20&lt;='Tariffs Jan2022'!L20,($C$5*'Tariffs Jan2022'!AK20/'Tariffs Jan2022'!AI20-'Tariffs Jan2022'!K20)*('Tariffs Jan2022'!Q20/100)*'Tariffs Jan2022'!AI20,('Tariffs Jan2022'!L20-'Tariffs Jan2022'!K20)*('Tariffs Jan2022'!Q20/100)*'Tariffs Jan2022'!AI20))</f>
        <v>173.45454545454544</v>
      </c>
      <c r="H26" s="59">
        <f>IF($C$5*'Tariffs Jan2022'!AK20/'Tariffs Jan2022'!AI20&lt;'Tariffs Jan2022'!L20,0,IF($C$5*'Tariffs Jan2022'!AK20/'Tariffs Jan2022'!AI20&lt;='Tariffs Jan2022'!M20,($C$5*'Tariffs Jan2022'!AK20/'Tariffs Jan2022'!AI20-'Tariffs Jan2022'!L20)*('Tariffs Jan2022'!R20/100)*'Tariffs Jan2022'!AI20,('Tariffs Jan2022'!M20-'Tariffs Jan2022'!L20)*('Tariffs Jan2022'!R20/100)*'Tariffs Jan2022'!AI20))</f>
        <v>76.090909090909093</v>
      </c>
      <c r="I26" s="59">
        <f>IF(($C$5*'Tariffs Jan2022'!AK20/'Tariffs Jan2022'!AI20&gt;'Tariffs Jan2022'!M20),($C$5*'Tariffs Jan2022'!AK20/'Tariffs Jan2022'!AI20-'Tariffs Jan2022'!M20)*'Tariffs Jan2022'!S20/100*'Tariffs Jan2022'!AI20,0)</f>
        <v>0</v>
      </c>
      <c r="J26" s="59">
        <f>IF($C$5*'Tariffs Jan2022'!AL20/'Tariffs Jan2022'!AJ20&gt;='Tariffs Jan2022'!J20,('Tariffs Jan2022'!J20*'Tariffs Jan2022'!U20/100)* 'Tariffs Jan2022'!AJ20,($C$5*'Tariffs Jan2022'!AL20/'Tariffs Jan2022'!AJ20*'Tariffs Jan2022'!U20/100)* 'Tariffs Jan2022'!AJ20)</f>
        <v>230.72727272727272</v>
      </c>
      <c r="K26" s="59">
        <f>IF($C$5*'Tariffs Jan2022'!AL20/'Tariffs Jan2022'!AJ20&lt;'Tariffs Jan2022'!J20,0,IF($C$5*'Tariffs Jan2022'!AL20/'Tariffs Jan2022'!AJ20&lt;='Tariffs Jan2022'!K20,($C$5*'Tariffs Jan2022'!AL20/'Tariffs Jan2022'!AJ20-'Tariffs Jan2022'!J20)*('Tariffs Jan2022'!V20/100)*'Tariffs Jan2022'!AJ20,('Tariffs Jan2022'!K20-'Tariffs Jan2022'!J20)*('Tariffs Jan2022'!V20/100)*'Tariffs Jan2022'!AJ20))</f>
        <v>193.90909090909093</v>
      </c>
      <c r="L26" s="59">
        <f>IF($C$5*'Tariffs Jan2022'!AL20/'Tariffs Jan2022'!AJ20&lt;'Tariffs Jan2022'!K20,0,IF($C$5*'Tariffs Jan2022'!AL20/'Tariffs Jan2022'!AJ20&lt;='Tariffs Jan2022'!L20,($C$5*'Tariffs Jan2022'!AL20/'Tariffs Jan2022'!AJ20-'Tariffs Jan2022'!K20)*('Tariffs Jan2022'!W20/100)*'Tariffs Jan2022'!AJ20,('Tariffs Jan2022'!L20-'Tariffs Jan2022'!K20)*('Tariffs Jan2022'!W20/100)*'Tariffs Jan2022'!AJ20))</f>
        <v>160.36363636363635</v>
      </c>
      <c r="M26" s="59">
        <f>IF($C$5*'Tariffs Jan2022'!AL20/'Tariffs Jan2022'!AJ20&lt;'Tariffs Jan2022'!L20,0,IF($C$5*'Tariffs Jan2022'!AL20/'Tariffs Jan2022'!AJ20&lt;='Tariffs Jan2022'!M20,($C$5*'Tariffs Jan2022'!AL20/'Tariffs Jan2022'!AJ20-'Tariffs Jan2022'!L20)*('Tariffs Jan2022'!X20/100)*'Tariffs Jan2022'!AJ20,('Tariffs Jan2022'!M20-'Tariffs Jan2022'!L20)*('Tariffs Jan2022'!X20/100)*'Tariffs Jan2022'!AJ20))</f>
        <v>71.181818181818187</v>
      </c>
      <c r="N26" s="59">
        <f>IF(($C$5*'Tariffs Jan2022'!AL20/'Tariffs Jan2022'!AJ20&gt;'Tariffs Jan2022'!M20),($C$5*'Tariffs Jan2022'!AL20/'Tariffs Jan2022'!AJ20-'Tariffs Jan2022'!M20)*'Tariffs Jan2022'!Y20/100*'Tariffs Jan2022'!AJ20,0)</f>
        <v>0</v>
      </c>
      <c r="O26" s="59">
        <f t="shared" si="1"/>
        <v>1360.6363636363635</v>
      </c>
      <c r="P26" s="503">
        <f t="shared" si="2"/>
        <v>1496.7</v>
      </c>
      <c r="Q26" s="59">
        <f t="shared" si="3"/>
        <v>1645.3363636363636</v>
      </c>
      <c r="R26" s="272">
        <f t="shared" si="4"/>
        <v>1809.8700000000001</v>
      </c>
      <c r="S26" s="40">
        <f>'Tariffs Jan2022'!AN20</f>
        <v>0</v>
      </c>
      <c r="T26" s="40">
        <f>'Tariffs Jan2022'!AO20</f>
        <v>20</v>
      </c>
      <c r="U26" s="40">
        <f>'Tariffs Jan2022'!AP20</f>
        <v>0</v>
      </c>
      <c r="V26" s="40">
        <f>'Tariffs Jan2022'!AQ20</f>
        <v>0</v>
      </c>
      <c r="W26" s="537" t="str">
        <f t="shared" si="30"/>
        <v>Guaranteed off usage</v>
      </c>
      <c r="X26" s="538" t="str">
        <f t="shared" si="31"/>
        <v>Exclusive</v>
      </c>
      <c r="Y26" s="534">
        <f t="shared" ref="Y26" si="32">IF(AND(W26="Guaranteed off bill",X26="Inclusive"),((Q26*1.1)-((Q26*1.1)*S26/100))/1.1,IF(AND(W26="Guaranteed off usage",X26="Inclusive"),((Q26*1.1)-((P26*1.1)*T26/100))/1.1,IF(AND(W26="Guaranteed off bill",X26="Exclusive"),Q26-(Q26*S26/100),IF(AND(W26="Guaranteed off usage",X26="Exclusive"),Q26-(P26*T26/100),IF(X26="Inclusive",((Q26*1.1))/1.1,Q26)))))</f>
        <v>1345.9963636363636</v>
      </c>
      <c r="Z26" s="535">
        <f t="shared" ref="Z26" si="33">IF(AND(W26="Pay-on-time off bill",X26="Inclusive"),((Y26*1.1)-((Y26*1.1)*U26/100))/1.1,IF(AND(W26="Pay-on-time off usage",X26="Inclusive"),((Y26*1.1)-((P26*1.1)*V26/100))/1.1,IF(AND(W26="Pay-on-time off bill",X26="Exclusive"),Y26-(Y26*U26/100),IF(AND(W26="Pay-on-time off usage",X26="Exclusive"),Y26-(P26*V26/100),IF(X26="Inclusive",((Y26*1.1))/1.1,Y26)))))</f>
        <v>1345.9963636363636</v>
      </c>
      <c r="AA26" s="542">
        <f t="shared" si="29"/>
        <v>1480.5960000000002</v>
      </c>
      <c r="AB26" s="542">
        <f t="shared" si="29"/>
        <v>1480.5960000000002</v>
      </c>
      <c r="AC26" s="274">
        <f>'Tariffs Jan2022'!AZ20</f>
        <v>0</v>
      </c>
      <c r="AD26" s="274" t="str">
        <f>'Tariffs Jan2022'!BA20</f>
        <v>n</v>
      </c>
      <c r="AE26" s="275" t="str">
        <f>'Tariffs Jan2022'!BJ20</f>
        <v>N</v>
      </c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</row>
    <row r="27" spans="1:49" ht="14" x14ac:dyDescent="0.15">
      <c r="A27" s="270" t="str">
        <f>'Tariffs Jan2022'!F21</f>
        <v>Dodo Power &amp; Gas</v>
      </c>
      <c r="B27" s="40" t="str">
        <f>'Tariffs Jan2022'!D21</f>
        <v>Multinet Metro 2</v>
      </c>
      <c r="C27" s="40" t="str">
        <f>'Tariffs Jan2022'!G21</f>
        <v>Market offer</v>
      </c>
      <c r="D27" s="59">
        <f>365*'Tariffs Jan2022'!H21/100</f>
        <v>171.185</v>
      </c>
      <c r="E27" s="59">
        <f>IF($C$5*'Tariffs Jan2022'!AK21/'Tariffs Jan2022'!AI21&gt;='Tariffs Jan2022'!J21,( 'Tariffs Jan2022'!J21*'Tariffs Jan2022'!O21/100)* 'Tariffs Jan2022'!AI21,($C$5*'Tariffs Jan2022'!AK21/'Tariffs Jan2022'!AI21*'Tariffs Jan2022'!O21/100)* 'Tariffs Jan2022'!AI21)</f>
        <v>221.72727272727272</v>
      </c>
      <c r="F27" s="59">
        <f>IF($C$5*'Tariffs Jan2022'!AK21/'Tariffs Jan2022'!AI21&lt;'Tariffs Jan2022'!J21,0,IF($C$5*'Tariffs Jan2022'!AK21/'Tariffs Jan2022'!AI21&lt;='Tariffs Jan2022'!K21,($C$5*'Tariffs Jan2022'!AK21/'Tariffs Jan2022'!AI21-'Tariffs Jan2022'!J21)*('Tariffs Jan2022'!P21/100)*'Tariffs Jan2022'!AI21,('Tariffs Jan2022'!K21-'Tariffs Jan2022'!J21)*('Tariffs Jan2022'!P21/100)*'Tariffs Jan2022'!AI21))</f>
        <v>190.63636363636363</v>
      </c>
      <c r="G27" s="59">
        <f>IF($C$5*'Tariffs Jan2022'!AK21/'Tariffs Jan2022'!AI21&lt;'Tariffs Jan2022'!K21,0,IF($C$5*'Tariffs Jan2022'!AK21/'Tariffs Jan2022'!AI21&lt;='Tariffs Jan2022'!L21,($C$5*'Tariffs Jan2022'!AK21/'Tariffs Jan2022'!AI21-'Tariffs Jan2022'!K21)*('Tariffs Jan2022'!Q21/100)*'Tariffs Jan2022'!AI21,('Tariffs Jan2022'!L21-'Tariffs Jan2022'!K21)*('Tariffs Jan2022'!Q21/100)*'Tariffs Jan2022'!AI21))</f>
        <v>156.27272727272725</v>
      </c>
      <c r="H27" s="59">
        <f>IF($C$5*'Tariffs Jan2022'!AK21/'Tariffs Jan2022'!AI21&lt;'Tariffs Jan2022'!L21,0,IF($C$5*'Tariffs Jan2022'!AK21/'Tariffs Jan2022'!AI21&lt;='Tariffs Jan2022'!M21,($C$5*'Tariffs Jan2022'!AK21/'Tariffs Jan2022'!AI21-'Tariffs Jan2022'!L21)*('Tariffs Jan2022'!R21/100)*'Tariffs Jan2022'!AI21,('Tariffs Jan2022'!M21-'Tariffs Jan2022'!L21)*('Tariffs Jan2022'!R21/100)*'Tariffs Jan2022'!AI21))</f>
        <v>71.590909090909079</v>
      </c>
      <c r="I27" s="59">
        <f>IF(($C$5*'Tariffs Jan2022'!AK21/'Tariffs Jan2022'!AI21&gt;'Tariffs Jan2022'!M21),($C$5*'Tariffs Jan2022'!AK21/'Tariffs Jan2022'!AI21-'Tariffs Jan2022'!M21)*'Tariffs Jan2022'!S21/100*'Tariffs Jan2022'!AI21,0)</f>
        <v>0</v>
      </c>
      <c r="J27" s="59">
        <f>IF($C$5*'Tariffs Jan2022'!AL21/'Tariffs Jan2022'!AJ21&gt;='Tariffs Jan2022'!J21,('Tariffs Jan2022'!J21*'Tariffs Jan2022'!U21/100)* 'Tariffs Jan2022'!AJ21,($C$5*'Tariffs Jan2022'!AL21/'Tariffs Jan2022'!AJ21*'Tariffs Jan2022'!U21/100)* 'Tariffs Jan2022'!AJ21)</f>
        <v>207.81818181818181</v>
      </c>
      <c r="K27" s="59">
        <f>IF($C$5*'Tariffs Jan2022'!AL21/'Tariffs Jan2022'!AJ21&lt;'Tariffs Jan2022'!J21,0,IF($C$5*'Tariffs Jan2022'!AL21/'Tariffs Jan2022'!AJ21&lt;='Tariffs Jan2022'!K21,($C$5*'Tariffs Jan2022'!AL21/'Tariffs Jan2022'!AJ21-'Tariffs Jan2022'!J21)*('Tariffs Jan2022'!V21/100)*'Tariffs Jan2022'!AJ21,('Tariffs Jan2022'!K21-'Tariffs Jan2022'!J21)*('Tariffs Jan2022'!V21/100)*'Tariffs Jan2022'!AJ21))</f>
        <v>181.63636363636363</v>
      </c>
      <c r="L27" s="59">
        <f>IF($C$5*'Tariffs Jan2022'!AL21/'Tariffs Jan2022'!AJ21&lt;'Tariffs Jan2022'!K21,0,IF($C$5*'Tariffs Jan2022'!AL21/'Tariffs Jan2022'!AJ21&lt;='Tariffs Jan2022'!L21,($C$5*'Tariffs Jan2022'!AL21/'Tariffs Jan2022'!AJ21-'Tariffs Jan2022'!K21)*('Tariffs Jan2022'!W21/100)*'Tariffs Jan2022'!AJ21,('Tariffs Jan2022'!L21-'Tariffs Jan2022'!K21)*('Tariffs Jan2022'!W21/100)*'Tariffs Jan2022'!AJ21))</f>
        <v>152.18181818181819</v>
      </c>
      <c r="M27" s="59">
        <f>IF($C$5*'Tariffs Jan2022'!AL21/'Tariffs Jan2022'!AJ21&lt;'Tariffs Jan2022'!L21,0,IF($C$5*'Tariffs Jan2022'!AL21/'Tariffs Jan2022'!AJ21&lt;='Tariffs Jan2022'!M21,($C$5*'Tariffs Jan2022'!AL21/'Tariffs Jan2022'!AJ21-'Tariffs Jan2022'!L21)*('Tariffs Jan2022'!X21/100)*'Tariffs Jan2022'!AJ21,('Tariffs Jan2022'!M21-'Tariffs Jan2022'!L21)*('Tariffs Jan2022'!X21/100)*'Tariffs Jan2022'!AJ21))</f>
        <v>70.36363636363636</v>
      </c>
      <c r="N27" s="59">
        <f>IF(($C$5*'Tariffs Jan2022'!AL21/'Tariffs Jan2022'!AJ21&gt;'Tariffs Jan2022'!M21),($C$5*'Tariffs Jan2022'!AL21/'Tariffs Jan2022'!AJ21-'Tariffs Jan2022'!M21)*'Tariffs Jan2022'!Y21/100*'Tariffs Jan2022'!AJ21,0)</f>
        <v>0</v>
      </c>
      <c r="O27" s="59">
        <f t="shared" si="1"/>
        <v>1252.2272727272725</v>
      </c>
      <c r="P27" s="503">
        <f t="shared" si="2"/>
        <v>1377.4499999999998</v>
      </c>
      <c r="Q27" s="59">
        <f t="shared" si="3"/>
        <v>1423.4122727272725</v>
      </c>
      <c r="R27" s="272">
        <f t="shared" si="4"/>
        <v>1565.7534999999998</v>
      </c>
      <c r="S27" s="40">
        <f>'Tariffs Jan2022'!AN21</f>
        <v>0</v>
      </c>
      <c r="T27" s="40">
        <f>'Tariffs Jan2022'!AO21</f>
        <v>0</v>
      </c>
      <c r="U27" s="40">
        <f>'Tariffs Jan2022'!AP21</f>
        <v>0</v>
      </c>
      <c r="V27" s="40">
        <f>'Tariffs Jan2022'!AQ21</f>
        <v>0</v>
      </c>
      <c r="W27" s="537" t="str">
        <f t="shared" si="30"/>
        <v>No discount</v>
      </c>
      <c r="X27" s="538" t="str">
        <f t="shared" si="31"/>
        <v>Exclusive</v>
      </c>
      <c r="Y27" s="534">
        <f>IF(AND(W27="Guaranteed off bill",X27="Inclusive"),((Q27*1.1)-((Q27*1.1)*S27/100))/1.1,IF(AND(W27="Guaranteed off usage",X27="Inclusive"),((Q27*1.1)-((P27*1.1)*T27/100))/1.1,IF(AND(W27="Guaranteed off bill",X27="Exclusive"),Q27-(Q27*S27/100),IF(AND(W27="Guaranteed off usage",X27="Exclusive"),Q27-(P27*T27/100),IF(X27="Inclusive",((Q27*1.1))/1.1,Q27)))))</f>
        <v>1423.4122727272725</v>
      </c>
      <c r="Z27" s="535">
        <f>IF(AND(W27="Pay-on-time off bill",X27="Inclusive"),((Y27*1.1)-((Y27*1.1)*U27/100))/1.1,IF(AND(W27="Pay-on-time off usage",X27="Inclusive"),((Y27*1.1)-((P27*1.1)*V27/100))/1.1,IF(AND(W27="Pay-on-time off bill",X27="Exclusive"),Y27-(Y27*U27/100),IF(AND(W27="Pay-on-time off usage",X27="Exclusive"),Y27-(P27*V27/100),IF(X27="Inclusive",((Y27*1.1))/1.1,Y27)))))</f>
        <v>1423.4122727272725</v>
      </c>
      <c r="AA27" s="542">
        <f t="shared" si="29"/>
        <v>1565.7534999999998</v>
      </c>
      <c r="AB27" s="542">
        <f t="shared" si="29"/>
        <v>1565.7534999999998</v>
      </c>
      <c r="AC27" s="274">
        <f>'Tariffs Jan2022'!AZ21</f>
        <v>0</v>
      </c>
      <c r="AD27" s="274" t="str">
        <f>'Tariffs Jan2022'!BA21</f>
        <v>n</v>
      </c>
      <c r="AE27" s="275" t="str">
        <f>'Tariffs Jan2022'!BJ21</f>
        <v>N</v>
      </c>
      <c r="AF27" s="577"/>
      <c r="AG27" s="577"/>
      <c r="AH27" s="577"/>
      <c r="AI27" s="577"/>
      <c r="AJ27" s="577"/>
      <c r="AK27" s="577"/>
      <c r="AL27" s="577"/>
      <c r="AM27" s="577"/>
      <c r="AN27" s="577"/>
      <c r="AO27" s="577"/>
      <c r="AP27" s="577"/>
      <c r="AQ27" s="577"/>
      <c r="AR27" s="577"/>
      <c r="AS27" s="577"/>
      <c r="AT27" s="577"/>
      <c r="AU27" s="577"/>
      <c r="AV27" s="577"/>
      <c r="AW27" s="577"/>
    </row>
    <row r="28" spans="1:49" ht="14" x14ac:dyDescent="0.15">
      <c r="A28" s="270" t="str">
        <f>'Tariffs Jan2022'!F22</f>
        <v>EnergyAustralia</v>
      </c>
      <c r="B28" s="40" t="str">
        <f>'Tariffs Jan2022'!D22</f>
        <v>Multinet Metro 2</v>
      </c>
      <c r="C28" s="40" t="str">
        <f>'Tariffs Jan2022'!G22</f>
        <v>Total Plan</v>
      </c>
      <c r="D28" s="59">
        <f>365*'Tariffs Jan2022'!H22/100</f>
        <v>304.77499999999998</v>
      </c>
      <c r="E28" s="59">
        <f>IF($C$5*'Tariffs Jan2022'!AK22/'Tariffs Jan2022'!AI22&gt;='Tariffs Jan2022'!J22,( 'Tariffs Jan2022'!J22*'Tariffs Jan2022'!O22/100)* 'Tariffs Jan2022'!AI22,($C$5*'Tariffs Jan2022'!AK22/'Tariffs Jan2022'!AI22*'Tariffs Jan2022'!O22/100)* 'Tariffs Jan2022'!AI22)</f>
        <v>288</v>
      </c>
      <c r="F28" s="59">
        <f>IF($C$5*'Tariffs Jan2022'!AK22/'Tariffs Jan2022'!AI22&lt;'Tariffs Jan2022'!J22,0,IF($C$5*'Tariffs Jan2022'!AK22/'Tariffs Jan2022'!AI22&lt;='Tariffs Jan2022'!K22,($C$5*'Tariffs Jan2022'!AK22/'Tariffs Jan2022'!AI22-'Tariffs Jan2022'!J22)*('Tariffs Jan2022'!P22/100)*'Tariffs Jan2022'!AI22,('Tariffs Jan2022'!K22-'Tariffs Jan2022'!J22)*('Tariffs Jan2022'!P22/100)*'Tariffs Jan2022'!AI22))</f>
        <v>238.90909090909088</v>
      </c>
      <c r="G28" s="59">
        <f>IF($C$5*'Tariffs Jan2022'!AK22/'Tariffs Jan2022'!AI22&lt;'Tariffs Jan2022'!K22,0,IF($C$5*'Tariffs Jan2022'!AK22/'Tariffs Jan2022'!AI22&lt;='Tariffs Jan2022'!L22,($C$5*'Tariffs Jan2022'!AK22/'Tariffs Jan2022'!AI22-'Tariffs Jan2022'!K22)*('Tariffs Jan2022'!Q22/100)*'Tariffs Jan2022'!AI22,('Tariffs Jan2022'!L22-'Tariffs Jan2022'!K22)*('Tariffs Jan2022'!Q22/100)*'Tariffs Jan2022'!AI22))</f>
        <v>196.36363636363637</v>
      </c>
      <c r="H28" s="59">
        <f>IF($C$5*'Tariffs Jan2022'!AK22/'Tariffs Jan2022'!AI22&lt;'Tariffs Jan2022'!L22,0,IF($C$5*'Tariffs Jan2022'!AK22/'Tariffs Jan2022'!AI22&lt;='Tariffs Jan2022'!M22,($C$5*'Tariffs Jan2022'!AK22/'Tariffs Jan2022'!AI22-'Tariffs Jan2022'!L22)*('Tariffs Jan2022'!R22/100)*'Tariffs Jan2022'!AI22,('Tariffs Jan2022'!M22-'Tariffs Jan2022'!L22)*('Tariffs Jan2022'!R22/100)*'Tariffs Jan2022'!AI22))</f>
        <v>89.181818181818187</v>
      </c>
      <c r="I28" s="59">
        <f>IF(($C$5*'Tariffs Jan2022'!AK22/'Tariffs Jan2022'!AI22&gt;'Tariffs Jan2022'!M22),($C$5*'Tariffs Jan2022'!AK22/'Tariffs Jan2022'!AI22-'Tariffs Jan2022'!M22)*'Tariffs Jan2022'!S22/100*'Tariffs Jan2022'!AI22,0)</f>
        <v>0</v>
      </c>
      <c r="J28" s="59">
        <f>IF($C$5*'Tariffs Jan2022'!AL22/'Tariffs Jan2022'!AJ22&gt;='Tariffs Jan2022'!J22,('Tariffs Jan2022'!J22*'Tariffs Jan2022'!U22/100)* 'Tariffs Jan2022'!AJ22,($C$5*'Tariffs Jan2022'!AL22/'Tariffs Jan2022'!AJ22*'Tariffs Jan2022'!U22/100)* 'Tariffs Jan2022'!AJ22)</f>
        <v>269.99999999999994</v>
      </c>
      <c r="K28" s="59">
        <f>IF($C$5*'Tariffs Jan2022'!AL22/'Tariffs Jan2022'!AJ22&lt;'Tariffs Jan2022'!J22,0,IF($C$5*'Tariffs Jan2022'!AL22/'Tariffs Jan2022'!AJ22&lt;='Tariffs Jan2022'!K22,($C$5*'Tariffs Jan2022'!AL22/'Tariffs Jan2022'!AJ22-'Tariffs Jan2022'!J22)*('Tariffs Jan2022'!V22/100)*'Tariffs Jan2022'!AJ22,('Tariffs Jan2022'!K22-'Tariffs Jan2022'!J22)*('Tariffs Jan2022'!V22/100)*'Tariffs Jan2022'!AJ22))</f>
        <v>227.45454545454544</v>
      </c>
      <c r="L28" s="59">
        <f>IF($C$5*'Tariffs Jan2022'!AL22/'Tariffs Jan2022'!AJ22&lt;'Tariffs Jan2022'!K22,0,IF($C$5*'Tariffs Jan2022'!AL22/'Tariffs Jan2022'!AJ22&lt;='Tariffs Jan2022'!L22,($C$5*'Tariffs Jan2022'!AL22/'Tariffs Jan2022'!AJ22-'Tariffs Jan2022'!K22)*('Tariffs Jan2022'!W22/100)*'Tariffs Jan2022'!AJ22,('Tariffs Jan2022'!L22-'Tariffs Jan2022'!K22)*('Tariffs Jan2022'!W22/100)*'Tariffs Jan2022'!AJ22))</f>
        <v>184.90909090909091</v>
      </c>
      <c r="M28" s="59">
        <f>IF($C$5*'Tariffs Jan2022'!AL22/'Tariffs Jan2022'!AJ22&lt;'Tariffs Jan2022'!L22,0,IF($C$5*'Tariffs Jan2022'!AL22/'Tariffs Jan2022'!AJ22&lt;='Tariffs Jan2022'!M22,($C$5*'Tariffs Jan2022'!AL22/'Tariffs Jan2022'!AJ22-'Tariffs Jan2022'!L22)*('Tariffs Jan2022'!X22/100)*'Tariffs Jan2022'!AJ22,('Tariffs Jan2022'!M22-'Tariffs Jan2022'!L22)*('Tariffs Jan2022'!X22/100)*'Tariffs Jan2022'!AJ22))</f>
        <v>85.499999999999972</v>
      </c>
      <c r="N28" s="59">
        <f>IF(($C$5*'Tariffs Jan2022'!AL22/'Tariffs Jan2022'!AJ22&gt;'Tariffs Jan2022'!M22),($C$5*'Tariffs Jan2022'!AL22/'Tariffs Jan2022'!AJ22-'Tariffs Jan2022'!M22)*'Tariffs Jan2022'!Y22/100*'Tariffs Jan2022'!AJ22,0)</f>
        <v>0</v>
      </c>
      <c r="O28" s="59">
        <f t="shared" si="1"/>
        <v>1580.318181818182</v>
      </c>
      <c r="P28" s="503">
        <f t="shared" si="2"/>
        <v>1738.3500000000004</v>
      </c>
      <c r="Q28" s="59">
        <f t="shared" si="3"/>
        <v>1885.0931818181821</v>
      </c>
      <c r="R28" s="272">
        <f t="shared" si="4"/>
        <v>2073.6025000000004</v>
      </c>
      <c r="S28" s="40">
        <f>'Tariffs Jan2022'!AN22</f>
        <v>24</v>
      </c>
      <c r="T28" s="40">
        <f>'Tariffs Jan2022'!AO22</f>
        <v>0</v>
      </c>
      <c r="U28" s="40">
        <f>'Tariffs Jan2022'!AP22</f>
        <v>0</v>
      </c>
      <c r="V28" s="40">
        <f>'Tariffs Jan2022'!AQ22</f>
        <v>0</v>
      </c>
      <c r="W28" s="537" t="str">
        <f t="shared" si="30"/>
        <v>Guaranteed off bill</v>
      </c>
      <c r="X28" s="538" t="str">
        <f t="shared" si="31"/>
        <v>Exclusive</v>
      </c>
      <c r="Y28" s="534">
        <f t="shared" ref="Y28" si="34">IF(AND(W28="Guaranteed off bill",X28="Inclusive"),((Q28*1.1)-((Q28*1.1)*S28/100))/1.1,IF(AND(W28="Guaranteed off usage",X28="Inclusive"),((Q28*1.1)-((P28*1.1)*T28/100))/1.1,IF(AND(W28="Guaranteed off bill",X28="Exclusive"),Q28-(Q28*S28/100),IF(AND(W28="Guaranteed off usage",X28="Exclusive"),Q28-(P28*T28/100),IF(X28="Inclusive",((Q28*1.1))/1.1,Q28)))))</f>
        <v>1432.6708181818183</v>
      </c>
      <c r="Z28" s="535">
        <f t="shared" ref="Z28" si="35">IF(AND(W28="Pay-on-time off bill",X28="Inclusive"),((Y28*1.1)-((Y28*1.1)*U28/100))/1.1,IF(AND(W28="Pay-on-time off usage",X28="Inclusive"),((Y28*1.1)-((P28*1.1)*V28/100))/1.1,IF(AND(W28="Pay-on-time off bill",X28="Exclusive"),Y28-(Y28*U28/100),IF(AND(W28="Pay-on-time off usage",X28="Exclusive"),Y28-(P28*V28/100),IF(X28="Inclusive",((Y28*1.1))/1.1,Y28)))))</f>
        <v>1432.6708181818183</v>
      </c>
      <c r="AA28" s="542">
        <f t="shared" si="29"/>
        <v>1575.9379000000001</v>
      </c>
      <c r="AB28" s="542">
        <f t="shared" si="29"/>
        <v>1575.9379000000001</v>
      </c>
      <c r="AC28" s="274">
        <f>'Tariffs Jan2022'!AZ22</f>
        <v>12</v>
      </c>
      <c r="AD28" s="274" t="str">
        <f>'Tariffs Jan2022'!BA22</f>
        <v>n</v>
      </c>
      <c r="AE28" s="275" t="str">
        <f>'Tariffs Jan2022'!BJ22</f>
        <v>N</v>
      </c>
      <c r="AF28" s="577"/>
      <c r="AG28" s="577"/>
      <c r="AH28" s="577"/>
      <c r="AI28" s="577"/>
      <c r="AJ28" s="577"/>
      <c r="AK28" s="577"/>
      <c r="AL28" s="577"/>
      <c r="AM28" s="577"/>
      <c r="AN28" s="577"/>
      <c r="AO28" s="577"/>
      <c r="AP28" s="577"/>
      <c r="AQ28" s="577"/>
      <c r="AR28" s="577"/>
      <c r="AS28" s="577"/>
      <c r="AT28" s="577"/>
      <c r="AU28" s="577"/>
      <c r="AV28" s="577"/>
      <c r="AW28" s="577"/>
    </row>
    <row r="29" spans="1:49" ht="14" x14ac:dyDescent="0.15">
      <c r="A29" s="270" t="str">
        <f>'Tariffs Jan2022'!F23</f>
        <v>Lumo Energy</v>
      </c>
      <c r="B29" s="40" t="str">
        <f>'Tariffs Jan2022'!D23</f>
        <v>Multinet Metro 2</v>
      </c>
      <c r="C29" s="40" t="str">
        <f>'Tariffs Jan2022'!G23</f>
        <v>Value</v>
      </c>
      <c r="D29" s="59">
        <f>365*'Tariffs Jan2022'!H23/100</f>
        <v>233.79909090909089</v>
      </c>
      <c r="E29" s="59">
        <f>IF($C$5*'Tariffs Jan2022'!AK23/'Tariffs Jan2022'!AI23&gt;='Tariffs Jan2022'!J23,( 'Tariffs Jan2022'!J23*'Tariffs Jan2022'!O23/100)* 'Tariffs Jan2022'!AI23,($C$5*'Tariffs Jan2022'!AK23/'Tariffs Jan2022'!AI23*'Tariffs Jan2022'!O23/100)* 'Tariffs Jan2022'!AI23)</f>
        <v>170.99999999999997</v>
      </c>
      <c r="F29" s="59">
        <f>IF($C$5*'Tariffs Jan2022'!AK23/'Tariffs Jan2022'!AI23&lt;'Tariffs Jan2022'!J23,0,IF($C$5*'Tariffs Jan2022'!AK23/'Tariffs Jan2022'!AI23&lt;='Tariffs Jan2022'!K23,($C$5*'Tariffs Jan2022'!AK23/'Tariffs Jan2022'!AI23-'Tariffs Jan2022'!J23)*('Tariffs Jan2022'!P23/100)*'Tariffs Jan2022'!AI23,('Tariffs Jan2022'!K23-'Tariffs Jan2022'!J23)*('Tariffs Jan2022'!P23/100)*'Tariffs Jan2022'!AI23))</f>
        <v>169.36363636363637</v>
      </c>
      <c r="G29" s="59">
        <f>IF($C$5*'Tariffs Jan2022'!AK23/'Tariffs Jan2022'!AI23&lt;'Tariffs Jan2022'!K23,0,IF($C$5*'Tariffs Jan2022'!AK23/'Tariffs Jan2022'!AI23&lt;='Tariffs Jan2022'!L23,($C$5*'Tariffs Jan2022'!AK23/'Tariffs Jan2022'!AI23-'Tariffs Jan2022'!K23)*('Tariffs Jan2022'!Q23/100)*'Tariffs Jan2022'!AI23,('Tariffs Jan2022'!L23-'Tariffs Jan2022'!K23)*('Tariffs Jan2022'!Q23/100)*'Tariffs Jan2022'!AI23))</f>
        <v>156.27272727272725</v>
      </c>
      <c r="H29" s="59">
        <f>IF($C$5*'Tariffs Jan2022'!AK23/'Tariffs Jan2022'!AI23&lt;'Tariffs Jan2022'!L23,0,IF($C$5*'Tariffs Jan2022'!AK23/'Tariffs Jan2022'!AI23&lt;='Tariffs Jan2022'!M23,($C$5*'Tariffs Jan2022'!AK23/'Tariffs Jan2022'!AI23-'Tariffs Jan2022'!L23)*('Tariffs Jan2022'!R23/100)*'Tariffs Jan2022'!AI23,('Tariffs Jan2022'!M23-'Tariffs Jan2022'!L23)*('Tariffs Jan2022'!R23/100)*'Tariffs Jan2022'!AI23))</f>
        <v>75.272727272727266</v>
      </c>
      <c r="I29" s="59">
        <f>IF(($C$5*'Tariffs Jan2022'!AK23/'Tariffs Jan2022'!AI23&gt;'Tariffs Jan2022'!M23),($C$5*'Tariffs Jan2022'!AK23/'Tariffs Jan2022'!AI23-'Tariffs Jan2022'!M23)*'Tariffs Jan2022'!S23/100*'Tariffs Jan2022'!AI23,0)</f>
        <v>0</v>
      </c>
      <c r="J29" s="59">
        <f>IF($C$5*'Tariffs Jan2022'!AL23/'Tariffs Jan2022'!AJ23&gt;='Tariffs Jan2022'!J23,('Tariffs Jan2022'!J23*'Tariffs Jan2022'!U23/100)* 'Tariffs Jan2022'!AJ23,($C$5*'Tariffs Jan2022'!AL23/'Tariffs Jan2022'!AJ23*'Tariffs Jan2022'!U23/100)* 'Tariffs Jan2022'!AJ23)</f>
        <v>169.36363636363637</v>
      </c>
      <c r="K29" s="59">
        <f>IF($C$5*'Tariffs Jan2022'!AL23/'Tariffs Jan2022'!AJ23&lt;'Tariffs Jan2022'!J23,0,IF($C$5*'Tariffs Jan2022'!AL23/'Tariffs Jan2022'!AJ23&lt;='Tariffs Jan2022'!K23,($C$5*'Tariffs Jan2022'!AL23/'Tariffs Jan2022'!AJ23-'Tariffs Jan2022'!J23)*('Tariffs Jan2022'!V23/100)*'Tariffs Jan2022'!AJ23,('Tariffs Jan2022'!K23-'Tariffs Jan2022'!J23)*('Tariffs Jan2022'!V23/100)*'Tariffs Jan2022'!AJ23))</f>
        <v>168.5454545454545</v>
      </c>
      <c r="L29" s="59">
        <f>IF($C$5*'Tariffs Jan2022'!AL23/'Tariffs Jan2022'!AJ23&lt;'Tariffs Jan2022'!K23,0,IF($C$5*'Tariffs Jan2022'!AL23/'Tariffs Jan2022'!AJ23&lt;='Tariffs Jan2022'!L23,($C$5*'Tariffs Jan2022'!AL23/'Tariffs Jan2022'!AJ23-'Tariffs Jan2022'!K23)*('Tariffs Jan2022'!W23/100)*'Tariffs Jan2022'!AJ23,('Tariffs Jan2022'!L23-'Tariffs Jan2022'!K23)*('Tariffs Jan2022'!W23/100)*'Tariffs Jan2022'!AJ23))</f>
        <v>154.63636363636363</v>
      </c>
      <c r="M29" s="59">
        <f>IF($C$5*'Tariffs Jan2022'!AL23/'Tariffs Jan2022'!AJ23&lt;'Tariffs Jan2022'!L23,0,IF($C$5*'Tariffs Jan2022'!AL23/'Tariffs Jan2022'!AJ23&lt;='Tariffs Jan2022'!M23,($C$5*'Tariffs Jan2022'!AL23/'Tariffs Jan2022'!AJ23-'Tariffs Jan2022'!L23)*('Tariffs Jan2022'!X23/100)*'Tariffs Jan2022'!AJ23,('Tariffs Jan2022'!M23-'Tariffs Jan2022'!L23)*('Tariffs Jan2022'!X23/100)*'Tariffs Jan2022'!AJ23))</f>
        <v>74.045454545454533</v>
      </c>
      <c r="N29" s="59">
        <f>IF(($C$5*'Tariffs Jan2022'!AL23/'Tariffs Jan2022'!AJ23&gt;'Tariffs Jan2022'!M23),($C$5*'Tariffs Jan2022'!AL23/'Tariffs Jan2022'!AJ23-'Tariffs Jan2022'!M23)*'Tariffs Jan2022'!Y23/100*'Tariffs Jan2022'!AJ23,0)</f>
        <v>0</v>
      </c>
      <c r="O29" s="59">
        <f t="shared" si="1"/>
        <v>1138.5</v>
      </c>
      <c r="P29" s="503">
        <f t="shared" si="2"/>
        <v>1252.3500000000001</v>
      </c>
      <c r="Q29" s="59">
        <f t="shared" si="3"/>
        <v>1372.2990909090909</v>
      </c>
      <c r="R29" s="272">
        <f t="shared" si="4"/>
        <v>1509.529</v>
      </c>
      <c r="S29" s="40">
        <f>'Tariffs Jan2022'!AN23</f>
        <v>0</v>
      </c>
      <c r="T29" s="40">
        <f>'Tariffs Jan2022'!AO23</f>
        <v>0</v>
      </c>
      <c r="U29" s="40">
        <f>'Tariffs Jan2022'!AP23</f>
        <v>0</v>
      </c>
      <c r="V29" s="40">
        <f>'Tariffs Jan2022'!AQ23</f>
        <v>0</v>
      </c>
      <c r="W29" s="537" t="str">
        <f t="shared" si="30"/>
        <v>No discount</v>
      </c>
      <c r="X29" s="538" t="str">
        <f t="shared" si="31"/>
        <v>Exclusive</v>
      </c>
      <c r="Y29" s="534">
        <f>IF(AND(W29="Guaranteed off bill",X29="Inclusive"),((Q29*1.1)-((Q29*1.1)*S29/100))/1.1,IF(AND(W29="Guaranteed off usage",X29="Inclusive"),((Q29*1.1)-((P29*1.1)*T29/100))/1.1,IF(AND(W29="Guaranteed off bill",X29="Exclusive"),Q29-(Q29*S29/100),IF(AND(W29="Guaranteed off usage",X29="Exclusive"),Q29-(P29*T29/100),IF(X29="Inclusive",((Q29*1.1))/1.1,Q29)))))</f>
        <v>1372.2990909090909</v>
      </c>
      <c r="Z29" s="535">
        <f>IF(AND(W29="Pay-on-time off bill",X29="Inclusive"),((Y29*1.1)-((Y29*1.1)*U29/100))/1.1,IF(AND(W29="Pay-on-time off usage",X29="Inclusive"),((Y29*1.1)-((P29*1.1)*V29/100))/1.1,IF(AND(W29="Pay-on-time off bill",X29="Exclusive"),Y29-(Y29*U29/100),IF(AND(W29="Pay-on-time off usage",X29="Exclusive"),Y29-(P29*V29/100),IF(X29="Inclusive",((Y29*1.1))/1.1,Y29)))))</f>
        <v>1372.2990909090909</v>
      </c>
      <c r="AA29" s="542">
        <f t="shared" si="29"/>
        <v>1509.529</v>
      </c>
      <c r="AB29" s="542">
        <f t="shared" si="29"/>
        <v>1509.529</v>
      </c>
      <c r="AC29" s="274">
        <f>'Tariffs Jan2022'!AZ23</f>
        <v>0</v>
      </c>
      <c r="AD29" s="274" t="str">
        <f>'Tariffs Jan2022'!BA23</f>
        <v>n</v>
      </c>
      <c r="AE29" s="275" t="str">
        <f>'Tariffs Jan2022'!BJ23</f>
        <v>N</v>
      </c>
      <c r="AF29" s="577"/>
      <c r="AG29" s="577"/>
      <c r="AH29" s="577"/>
      <c r="AI29" s="577"/>
      <c r="AJ29" s="577"/>
      <c r="AK29" s="577"/>
      <c r="AL29" s="577"/>
      <c r="AM29" s="577"/>
      <c r="AN29" s="577"/>
      <c r="AO29" s="577"/>
      <c r="AP29" s="577"/>
      <c r="AQ29" s="577"/>
      <c r="AR29" s="577"/>
      <c r="AS29" s="577"/>
      <c r="AT29" s="577"/>
      <c r="AU29" s="577"/>
      <c r="AV29" s="577"/>
      <c r="AW29" s="577"/>
    </row>
    <row r="30" spans="1:49" ht="14" x14ac:dyDescent="0.15">
      <c r="A30" s="270" t="str">
        <f>'Tariffs Jan2022'!F24</f>
        <v>Momentum Energy</v>
      </c>
      <c r="B30" s="40" t="str">
        <f>'Tariffs Jan2022'!D24</f>
        <v>Multinet Metro 2</v>
      </c>
      <c r="C30" s="40" t="str">
        <f>'Tariffs Jan2022'!G24</f>
        <v>Market offer</v>
      </c>
      <c r="D30" s="59">
        <f>365*'Tariffs Jan2022'!H24/100</f>
        <v>296.37999999999994</v>
      </c>
      <c r="E30" s="59">
        <f>IF($C$5*'Tariffs Jan2022'!AK24/'Tariffs Jan2022'!AI24&gt;='Tariffs Jan2022'!J24,( 'Tariffs Jan2022'!J24*'Tariffs Jan2022'!O24/100)* 'Tariffs Jan2022'!AI24,($C$5*'Tariffs Jan2022'!AK24/'Tariffs Jan2022'!AI24*'Tariffs Jan2022'!O24/100)* 'Tariffs Jan2022'!AI24)</f>
        <v>197.99999999999994</v>
      </c>
      <c r="F30" s="59">
        <f>IF($C$5*'Tariffs Jan2022'!AK24/'Tariffs Jan2022'!AI24&lt;'Tariffs Jan2022'!J24,0,IF($C$5*'Tariffs Jan2022'!AK24/'Tariffs Jan2022'!AI24&lt;='Tariffs Jan2022'!K24,($C$5*'Tariffs Jan2022'!AK24/'Tariffs Jan2022'!AI24-'Tariffs Jan2022'!J24)*('Tariffs Jan2022'!P24/100)*'Tariffs Jan2022'!AI24,('Tariffs Jan2022'!K24-'Tariffs Jan2022'!J24)*('Tariffs Jan2022'!P24/100)*'Tariffs Jan2022'!AI24))</f>
        <v>180</v>
      </c>
      <c r="G30" s="59">
        <f>IF($C$5*'Tariffs Jan2022'!AK24/'Tariffs Jan2022'!AI24&lt;'Tariffs Jan2022'!K24,0,IF($C$5*'Tariffs Jan2022'!AK24/'Tariffs Jan2022'!AI24&lt;='Tariffs Jan2022'!L24,($C$5*'Tariffs Jan2022'!AK24/'Tariffs Jan2022'!AI24-'Tariffs Jan2022'!K24)*('Tariffs Jan2022'!Q24/100)*'Tariffs Jan2022'!AI24,('Tariffs Jan2022'!L24-'Tariffs Jan2022'!K24)*('Tariffs Jan2022'!Q24/100)*'Tariffs Jan2022'!AI24))</f>
        <v>161.99999999999997</v>
      </c>
      <c r="H30" s="59">
        <f>IF($C$5*'Tariffs Jan2022'!AK24/'Tariffs Jan2022'!AI24&lt;'Tariffs Jan2022'!L24,0,IF($C$5*'Tariffs Jan2022'!AK24/'Tariffs Jan2022'!AI24&lt;='Tariffs Jan2022'!M24,($C$5*'Tariffs Jan2022'!AK24/'Tariffs Jan2022'!AI24-'Tariffs Jan2022'!L24)*('Tariffs Jan2022'!R24/100)*'Tariffs Jan2022'!AI24,('Tariffs Jan2022'!M24-'Tariffs Jan2022'!L24)*('Tariffs Jan2022'!R24/100)*'Tariffs Jan2022'!AI24))</f>
        <v>72</v>
      </c>
      <c r="I30" s="59">
        <f>IF(($C$5*'Tariffs Jan2022'!AK24/'Tariffs Jan2022'!AI24&gt;'Tariffs Jan2022'!M24),($C$5*'Tariffs Jan2022'!AK24/'Tariffs Jan2022'!AI24-'Tariffs Jan2022'!M24)*'Tariffs Jan2022'!S24/100*'Tariffs Jan2022'!AI24,0)</f>
        <v>0</v>
      </c>
      <c r="J30" s="59">
        <f>IF($C$5*'Tariffs Jan2022'!AL24/'Tariffs Jan2022'!AJ24&gt;='Tariffs Jan2022'!J24,('Tariffs Jan2022'!J24*'Tariffs Jan2022'!U24/100)* 'Tariffs Jan2022'!AJ24,($C$5*'Tariffs Jan2022'!AL24/'Tariffs Jan2022'!AJ24*'Tariffs Jan2022'!U24/100)* 'Tariffs Jan2022'!AJ24)</f>
        <v>180</v>
      </c>
      <c r="K30" s="59">
        <f>IF($C$5*'Tariffs Jan2022'!AL24/'Tariffs Jan2022'!AJ24&lt;'Tariffs Jan2022'!J24,0,IF($C$5*'Tariffs Jan2022'!AL24/'Tariffs Jan2022'!AJ24&lt;='Tariffs Jan2022'!K24,($C$5*'Tariffs Jan2022'!AL24/'Tariffs Jan2022'!AJ24-'Tariffs Jan2022'!J24)*('Tariffs Jan2022'!V24/100)*'Tariffs Jan2022'!AJ24,('Tariffs Jan2022'!K24-'Tariffs Jan2022'!J24)*('Tariffs Jan2022'!V24/100)*'Tariffs Jan2022'!AJ24))</f>
        <v>170.99999999999994</v>
      </c>
      <c r="L30" s="59">
        <f>IF($C$5*'Tariffs Jan2022'!AL24/'Tariffs Jan2022'!AJ24&lt;'Tariffs Jan2022'!K24,0,IF($C$5*'Tariffs Jan2022'!AL24/'Tariffs Jan2022'!AJ24&lt;='Tariffs Jan2022'!L24,($C$5*'Tariffs Jan2022'!AL24/'Tariffs Jan2022'!AJ24-'Tariffs Jan2022'!K24)*('Tariffs Jan2022'!W24/100)*'Tariffs Jan2022'!AJ24,('Tariffs Jan2022'!L24-'Tariffs Jan2022'!K24)*('Tariffs Jan2022'!W24/100)*'Tariffs Jan2022'!AJ24))</f>
        <v>153.00000000000003</v>
      </c>
      <c r="M30" s="59">
        <f>IF($C$5*'Tariffs Jan2022'!AL24/'Tariffs Jan2022'!AJ24&lt;'Tariffs Jan2022'!L24,0,IF($C$5*'Tariffs Jan2022'!AL24/'Tariffs Jan2022'!AJ24&lt;='Tariffs Jan2022'!M24,($C$5*'Tariffs Jan2022'!AL24/'Tariffs Jan2022'!AJ24-'Tariffs Jan2022'!L24)*('Tariffs Jan2022'!X24/100)*'Tariffs Jan2022'!AJ24,('Tariffs Jan2022'!M24-'Tariffs Jan2022'!L24)*('Tariffs Jan2022'!X24/100)*'Tariffs Jan2022'!AJ24))</f>
        <v>72</v>
      </c>
      <c r="N30" s="59">
        <f>IF(($C$5*'Tariffs Jan2022'!AL24/'Tariffs Jan2022'!AJ24&gt;'Tariffs Jan2022'!M24),($C$5*'Tariffs Jan2022'!AL24/'Tariffs Jan2022'!AJ24-'Tariffs Jan2022'!M24)*'Tariffs Jan2022'!Y24/100*'Tariffs Jan2022'!AJ24,0)</f>
        <v>0</v>
      </c>
      <c r="O30" s="59">
        <f t="shared" si="1"/>
        <v>1187.9999999999998</v>
      </c>
      <c r="P30" s="503">
        <f t="shared" si="2"/>
        <v>1306.8</v>
      </c>
      <c r="Q30" s="59">
        <f t="shared" si="3"/>
        <v>1484.3799999999997</v>
      </c>
      <c r="R30" s="272">
        <f t="shared" si="4"/>
        <v>1632.8179999999998</v>
      </c>
      <c r="S30" s="40">
        <f>'Tariffs Jan2022'!AN24</f>
        <v>0</v>
      </c>
      <c r="T30" s="40">
        <f>'Tariffs Jan2022'!AO24</f>
        <v>0</v>
      </c>
      <c r="U30" s="40">
        <f>'Tariffs Jan2022'!AP24</f>
        <v>0</v>
      </c>
      <c r="V30" s="40">
        <f>'Tariffs Jan2022'!AQ24</f>
        <v>0</v>
      </c>
      <c r="W30" s="537" t="str">
        <f t="shared" si="30"/>
        <v>No discount</v>
      </c>
      <c r="X30" s="538" t="str">
        <f t="shared" si="31"/>
        <v>Exclusive</v>
      </c>
      <c r="Y30" s="534">
        <f t="shared" ref="Y30" si="36">IF(AND(W30="Guaranteed off bill",X30="Inclusive"),((Q30*1.1)-((Q30*1.1)*S30/100))/1.1,IF(AND(W30="Guaranteed off usage",X30="Inclusive"),((Q30*1.1)-((P30*1.1)*T30/100))/1.1,IF(AND(W30="Guaranteed off bill",X30="Exclusive"),Q30-(Q30*S30/100),IF(AND(W30="Guaranteed off usage",X30="Exclusive"),Q30-(P30*T30/100),IF(X30="Inclusive",((Q30*1.1))/1.1,Q30)))))</f>
        <v>1484.3799999999997</v>
      </c>
      <c r="Z30" s="535">
        <f t="shared" ref="Z30" si="37">IF(AND(W30="Pay-on-time off bill",X30="Inclusive"),((Y30*1.1)-((Y30*1.1)*U30/100))/1.1,IF(AND(W30="Pay-on-time off usage",X30="Inclusive"),((Y30*1.1)-((P30*1.1)*V30/100))/1.1,IF(AND(W30="Pay-on-time off bill",X30="Exclusive"),Y30-(Y30*U30/100),IF(AND(W30="Pay-on-time off usage",X30="Exclusive"),Y30-(P30*V30/100),IF(X30="Inclusive",((Y30*1.1))/1.1,Y30)))))</f>
        <v>1484.3799999999997</v>
      </c>
      <c r="AA30" s="542">
        <f t="shared" si="29"/>
        <v>1632.8179999999998</v>
      </c>
      <c r="AB30" s="542">
        <f t="shared" si="29"/>
        <v>1632.8179999999998</v>
      </c>
      <c r="AC30" s="274">
        <f>'Tariffs Jan2022'!AZ24</f>
        <v>0</v>
      </c>
      <c r="AD30" s="274" t="str">
        <f>'Tariffs Jan2022'!BA24</f>
        <v>n</v>
      </c>
      <c r="AE30" s="275" t="str">
        <f>'Tariffs Jan2022'!BJ24</f>
        <v>N</v>
      </c>
      <c r="AF30" s="577"/>
      <c r="AG30" s="577"/>
      <c r="AH30" s="577"/>
      <c r="AI30" s="577"/>
      <c r="AJ30" s="577"/>
      <c r="AK30" s="577"/>
      <c r="AL30" s="577"/>
      <c r="AM30" s="577"/>
      <c r="AN30" s="577"/>
      <c r="AO30" s="577"/>
      <c r="AP30" s="577"/>
      <c r="AQ30" s="577"/>
      <c r="AR30" s="577"/>
      <c r="AS30" s="577"/>
      <c r="AT30" s="577"/>
      <c r="AU30" s="577"/>
      <c r="AV30" s="577"/>
      <c r="AW30" s="577"/>
    </row>
    <row r="31" spans="1:49" ht="14" x14ac:dyDescent="0.15">
      <c r="A31" s="270" t="str">
        <f>'Tariffs Jan2022'!F25</f>
        <v>Origin Energy</v>
      </c>
      <c r="B31" s="40" t="str">
        <f>'Tariffs Jan2022'!D25</f>
        <v>Multinet Metro 2</v>
      </c>
      <c r="C31" s="40" t="str">
        <f>'Tariffs Jan2022'!G25</f>
        <v>Go</v>
      </c>
      <c r="D31" s="59">
        <f>365*'Tariffs Jan2022'!H25/100</f>
        <v>247.20454545454544</v>
      </c>
      <c r="E31" s="59">
        <f>IF($C$5*'Tariffs Jan2022'!AK25/'Tariffs Jan2022'!AI25&gt;='Tariffs Jan2022'!J25,( 'Tariffs Jan2022'!J25*'Tariffs Jan2022'!O25/100)* 'Tariffs Jan2022'!AI25,($C$5*'Tariffs Jan2022'!AK25/'Tariffs Jan2022'!AI25*'Tariffs Jan2022'!O25/100)* 'Tariffs Jan2022'!AI25)</f>
        <v>422.18181818181813</v>
      </c>
      <c r="F31" s="59">
        <f>IF($C$5*'Tariffs Jan2022'!AK25/'Tariffs Jan2022'!AI25&lt;'Tariffs Jan2022'!J25,0,IF($C$5*'Tariffs Jan2022'!AK25/'Tariffs Jan2022'!AI25&lt;='Tariffs Jan2022'!K25,($C$5*'Tariffs Jan2022'!AK25/'Tariffs Jan2022'!AI25-'Tariffs Jan2022'!J25)*('Tariffs Jan2022'!P25/100)*'Tariffs Jan2022'!AI25,('Tariffs Jan2022'!K25-'Tariffs Jan2022'!J25)*('Tariffs Jan2022'!P25/100)*'Tariffs Jan2022'!AI25))</f>
        <v>0</v>
      </c>
      <c r="G31" s="59">
        <f>IF($C$5*'Tariffs Jan2022'!AK25/'Tariffs Jan2022'!AI25&lt;'Tariffs Jan2022'!K25,0,IF($C$5*'Tariffs Jan2022'!AK25/'Tariffs Jan2022'!AI25&lt;='Tariffs Jan2022'!L25,($C$5*'Tariffs Jan2022'!AK25/'Tariffs Jan2022'!AI25-'Tariffs Jan2022'!K25)*('Tariffs Jan2022'!Q25/100)*'Tariffs Jan2022'!AI25,('Tariffs Jan2022'!L25-'Tariffs Jan2022'!K25)*('Tariffs Jan2022'!Q25/100)*'Tariffs Jan2022'!AI25))</f>
        <v>0</v>
      </c>
      <c r="H31" s="59">
        <f>IF($C$5*'Tariffs Jan2022'!AK25/'Tariffs Jan2022'!AI25&lt;'Tariffs Jan2022'!L25,0,IF($C$5*'Tariffs Jan2022'!AK25/'Tariffs Jan2022'!AI25&lt;='Tariffs Jan2022'!M25,($C$5*'Tariffs Jan2022'!AK25/'Tariffs Jan2022'!AI25-'Tariffs Jan2022'!L25)*('Tariffs Jan2022'!R25/100)*'Tariffs Jan2022'!AI25,('Tariffs Jan2022'!M25-'Tariffs Jan2022'!L25)*('Tariffs Jan2022'!R25/100)*'Tariffs Jan2022'!AI25))</f>
        <v>0</v>
      </c>
      <c r="I31" s="59">
        <f>IF(($C$5*'Tariffs Jan2022'!AK25/'Tariffs Jan2022'!AI25&gt;'Tariffs Jan2022'!M25),($C$5*'Tariffs Jan2022'!AK25/'Tariffs Jan2022'!AI25-'Tariffs Jan2022'!M25)*'Tariffs Jan2022'!S25/100*'Tariffs Jan2022'!AI25,0)</f>
        <v>209.86363636363637</v>
      </c>
      <c r="J31" s="59">
        <f>IF($C$5*'Tariffs Jan2022'!AL25/'Tariffs Jan2022'!AJ25&gt;='Tariffs Jan2022'!J25,('Tariffs Jan2022'!J25*'Tariffs Jan2022'!U25/100)* 'Tariffs Jan2022'!AJ25,($C$5*'Tariffs Jan2022'!AL25/'Tariffs Jan2022'!AJ25*'Tariffs Jan2022'!U25/100)* 'Tariffs Jan2022'!AJ25)</f>
        <v>422.18181818181813</v>
      </c>
      <c r="K31" s="59">
        <f>IF($C$5*'Tariffs Jan2022'!AL25/'Tariffs Jan2022'!AJ25&lt;'Tariffs Jan2022'!J25,0,IF($C$5*'Tariffs Jan2022'!AL25/'Tariffs Jan2022'!AJ25&lt;='Tariffs Jan2022'!K25,($C$5*'Tariffs Jan2022'!AL25/'Tariffs Jan2022'!AJ25-'Tariffs Jan2022'!J25)*('Tariffs Jan2022'!V25/100)*'Tariffs Jan2022'!AJ25,('Tariffs Jan2022'!K25-'Tariffs Jan2022'!J25)*('Tariffs Jan2022'!V25/100)*'Tariffs Jan2022'!AJ25))</f>
        <v>0</v>
      </c>
      <c r="L31" s="59">
        <f>IF($C$5*'Tariffs Jan2022'!AL25/'Tariffs Jan2022'!AJ25&lt;'Tariffs Jan2022'!K25,0,IF($C$5*'Tariffs Jan2022'!AL25/'Tariffs Jan2022'!AJ25&lt;='Tariffs Jan2022'!L25,($C$5*'Tariffs Jan2022'!AL25/'Tariffs Jan2022'!AJ25-'Tariffs Jan2022'!K25)*('Tariffs Jan2022'!W25/100)*'Tariffs Jan2022'!AJ25,('Tariffs Jan2022'!L25-'Tariffs Jan2022'!K25)*('Tariffs Jan2022'!W25/100)*'Tariffs Jan2022'!AJ25))</f>
        <v>0</v>
      </c>
      <c r="M31" s="59">
        <f>IF($C$5*'Tariffs Jan2022'!AL25/'Tariffs Jan2022'!AJ25&lt;'Tariffs Jan2022'!L25,0,IF($C$5*'Tariffs Jan2022'!AL25/'Tariffs Jan2022'!AJ25&lt;='Tariffs Jan2022'!M25,($C$5*'Tariffs Jan2022'!AL25/'Tariffs Jan2022'!AJ25-'Tariffs Jan2022'!L25)*('Tariffs Jan2022'!X25/100)*'Tariffs Jan2022'!AJ25,('Tariffs Jan2022'!M25-'Tariffs Jan2022'!L25)*('Tariffs Jan2022'!X25/100)*'Tariffs Jan2022'!AJ25))</f>
        <v>0</v>
      </c>
      <c r="N31" s="59">
        <f>IF(($C$5*'Tariffs Jan2022'!AL25/'Tariffs Jan2022'!AJ25&gt;'Tariffs Jan2022'!M25),($C$5*'Tariffs Jan2022'!AL25/'Tariffs Jan2022'!AJ25-'Tariffs Jan2022'!M25)*'Tariffs Jan2022'!Y25/100*'Tariffs Jan2022'!AJ25,0)</f>
        <v>209.86363636363637</v>
      </c>
      <c r="O31" s="59">
        <f t="shared" si="1"/>
        <v>1264.090909090909</v>
      </c>
      <c r="P31" s="503">
        <f t="shared" si="2"/>
        <v>1390.5</v>
      </c>
      <c r="Q31" s="59">
        <f t="shared" si="3"/>
        <v>1511.2954545454545</v>
      </c>
      <c r="R31" s="272">
        <f t="shared" si="4"/>
        <v>1662.4250000000002</v>
      </c>
      <c r="S31" s="40">
        <f>'Tariffs Jan2022'!AN25</f>
        <v>0</v>
      </c>
      <c r="T31" s="40">
        <f>'Tariffs Jan2022'!AO25</f>
        <v>0</v>
      </c>
      <c r="U31" s="40">
        <f>'Tariffs Jan2022'!AP25</f>
        <v>0</v>
      </c>
      <c r="V31" s="40">
        <f>'Tariffs Jan2022'!AQ25</f>
        <v>0</v>
      </c>
      <c r="W31" s="537" t="str">
        <f t="shared" si="30"/>
        <v>No discount</v>
      </c>
      <c r="X31" s="538" t="str">
        <f t="shared" si="31"/>
        <v>Inclusive</v>
      </c>
      <c r="Y31" s="534">
        <f>IF(AND(W31="Guaranteed off bill",X31="Inclusive"),((Q31*1.1)-((Q31*1.1)*S31/100))/1.1,IF(AND(W31="Guaranteed off usage",X31="Inclusive"),((Q31*1.1)-((P31*1.1)*T31/100))/1.1,IF(AND(W31="Guaranteed off bill",X31="Exclusive"),Q31-(Q31*S31/100),IF(AND(W31="Guaranteed off usage",X31="Exclusive"),Q31-(P31*T31/100),IF(X31="Inclusive",((Q31*1.1))/1.1,Q31)))))</f>
        <v>1511.2954545454545</v>
      </c>
      <c r="Z31" s="535">
        <f>IF(AND(W31="Pay-on-time off bill",X31="Inclusive"),((Y31*1.1)-((Y31*1.1)*U31/100))/1.1,IF(AND(W31="Pay-on-time off usage",X31="Inclusive"),((Y31*1.1)-((P31*1.1)*V31/100))/1.1,IF(AND(W31="Pay-on-time off bill",X31="Exclusive"),Y31-(Y31*U31/100),IF(AND(W31="Pay-on-time off usage",X31="Exclusive"),Y31-(P31*V31/100),IF(X31="Inclusive",((Y31*1.1))/1.1,Y31)))))</f>
        <v>1511.2954545454545</v>
      </c>
      <c r="AA31" s="542">
        <f t="shared" si="29"/>
        <v>1662.4250000000002</v>
      </c>
      <c r="AB31" s="542">
        <f t="shared" si="29"/>
        <v>1662.4250000000002</v>
      </c>
      <c r="AC31" s="274">
        <f>'Tariffs Jan2022'!AZ25</f>
        <v>0</v>
      </c>
      <c r="AD31" s="274" t="str">
        <f>'Tariffs Jan2022'!BA25</f>
        <v>n</v>
      </c>
      <c r="AE31" s="275" t="str">
        <f>'Tariffs Jan2022'!BJ25</f>
        <v>N</v>
      </c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77"/>
      <c r="AR31" s="577"/>
      <c r="AS31" s="577"/>
      <c r="AT31" s="577"/>
      <c r="AU31" s="577"/>
      <c r="AV31" s="577"/>
      <c r="AW31" s="577"/>
    </row>
    <row r="32" spans="1:49" ht="14" x14ac:dyDescent="0.15">
      <c r="A32" s="270" t="str">
        <f>'Tariffs Jan2022'!F26</f>
        <v>Red Energy</v>
      </c>
      <c r="B32" s="40" t="str">
        <f>'Tariffs Jan2022'!D26</f>
        <v>Multinet Metro 2</v>
      </c>
      <c r="C32" s="40" t="str">
        <f>'Tariffs Jan2022'!G26</f>
        <v>Living Energy Saver</v>
      </c>
      <c r="D32" s="59">
        <f>365*'Tariffs Jan2022'!H26/100</f>
        <v>239.14136363636356</v>
      </c>
      <c r="E32" s="59">
        <f>IF($C$5*'Tariffs Jan2022'!AK26/'Tariffs Jan2022'!AI26&gt;='Tariffs Jan2022'!J26,( 'Tariffs Jan2022'!J26*'Tariffs Jan2022'!O26/100)* 'Tariffs Jan2022'!AI26,($C$5*'Tariffs Jan2022'!AK26/'Tariffs Jan2022'!AI26*'Tariffs Jan2022'!O26/100)* 'Tariffs Jan2022'!AI26)</f>
        <v>185.72727272727269</v>
      </c>
      <c r="F32" s="59">
        <f>IF($C$5*'Tariffs Jan2022'!AK26/'Tariffs Jan2022'!AI26&lt;'Tariffs Jan2022'!J26,0,IF($C$5*'Tariffs Jan2022'!AK26/'Tariffs Jan2022'!AI26&lt;='Tariffs Jan2022'!K26,($C$5*'Tariffs Jan2022'!AK26/'Tariffs Jan2022'!AI26-'Tariffs Jan2022'!J26)*('Tariffs Jan2022'!P26/100)*'Tariffs Jan2022'!AI26,('Tariffs Jan2022'!K26-'Tariffs Jan2022'!J26)*('Tariffs Jan2022'!P26/100)*'Tariffs Jan2022'!AI26))</f>
        <v>174.27272727272725</v>
      </c>
      <c r="G32" s="59">
        <f>IF($C$5*'Tariffs Jan2022'!AK26/'Tariffs Jan2022'!AI26&lt;'Tariffs Jan2022'!K26,0,IF($C$5*'Tariffs Jan2022'!AK26/'Tariffs Jan2022'!AI26&lt;='Tariffs Jan2022'!L26,($C$5*'Tariffs Jan2022'!AK26/'Tariffs Jan2022'!AI26-'Tariffs Jan2022'!K26)*('Tariffs Jan2022'!Q26/100)*'Tariffs Jan2022'!AI26,('Tariffs Jan2022'!L26-'Tariffs Jan2022'!K26)*('Tariffs Jan2022'!Q26/100)*'Tariffs Jan2022'!AI26))</f>
        <v>153.81818181818178</v>
      </c>
      <c r="H32" s="59">
        <f>IF($C$5*'Tariffs Jan2022'!AK26/'Tariffs Jan2022'!AI26&lt;'Tariffs Jan2022'!L26,0,IF($C$5*'Tariffs Jan2022'!AK26/'Tariffs Jan2022'!AI26&lt;='Tariffs Jan2022'!M26,($C$5*'Tariffs Jan2022'!AK26/'Tariffs Jan2022'!AI26-'Tariffs Jan2022'!L26)*('Tariffs Jan2022'!R26/100)*'Tariffs Jan2022'!AI26,('Tariffs Jan2022'!M26-'Tariffs Jan2022'!L26)*('Tariffs Jan2022'!R26/100)*'Tariffs Jan2022'!AI26))</f>
        <v>72.818181818181813</v>
      </c>
      <c r="I32" s="59">
        <f>IF(($C$5*'Tariffs Jan2022'!AK26/'Tariffs Jan2022'!AI26&gt;'Tariffs Jan2022'!M26),($C$5*'Tariffs Jan2022'!AK26/'Tariffs Jan2022'!AI26-'Tariffs Jan2022'!M26)*'Tariffs Jan2022'!S26/100*'Tariffs Jan2022'!AI26,0)</f>
        <v>0</v>
      </c>
      <c r="J32" s="59">
        <f>IF($C$5*'Tariffs Jan2022'!AL26/'Tariffs Jan2022'!AJ26&gt;='Tariffs Jan2022'!J26,('Tariffs Jan2022'!J26*'Tariffs Jan2022'!U26/100)* 'Tariffs Jan2022'!AJ26,($C$5*'Tariffs Jan2022'!AL26/'Tariffs Jan2022'!AJ26*'Tariffs Jan2022'!U26/100)* 'Tariffs Jan2022'!AJ26)</f>
        <v>176.72727272727272</v>
      </c>
      <c r="K32" s="59">
        <f>IF($C$5*'Tariffs Jan2022'!AL26/'Tariffs Jan2022'!AJ26&lt;'Tariffs Jan2022'!J26,0,IF($C$5*'Tariffs Jan2022'!AL26/'Tariffs Jan2022'!AJ26&lt;='Tariffs Jan2022'!K26,($C$5*'Tariffs Jan2022'!AL26/'Tariffs Jan2022'!AJ26-'Tariffs Jan2022'!J26)*('Tariffs Jan2022'!V26/100)*'Tariffs Jan2022'!AJ26,('Tariffs Jan2022'!K26-'Tariffs Jan2022'!J26)*('Tariffs Jan2022'!V26/100)*'Tariffs Jan2022'!AJ26))</f>
        <v>161.99999999999997</v>
      </c>
      <c r="L32" s="59">
        <f>IF($C$5*'Tariffs Jan2022'!AL26/'Tariffs Jan2022'!AJ26&lt;'Tariffs Jan2022'!K26,0,IF($C$5*'Tariffs Jan2022'!AL26/'Tariffs Jan2022'!AJ26&lt;='Tariffs Jan2022'!L26,($C$5*'Tariffs Jan2022'!AL26/'Tariffs Jan2022'!AJ26-'Tariffs Jan2022'!K26)*('Tariffs Jan2022'!W26/100)*'Tariffs Jan2022'!AJ26,('Tariffs Jan2022'!L26-'Tariffs Jan2022'!K26)*('Tariffs Jan2022'!W26/100)*'Tariffs Jan2022'!AJ26))</f>
        <v>145.63636363636363</v>
      </c>
      <c r="M32" s="59">
        <f>IF($C$5*'Tariffs Jan2022'!AL26/'Tariffs Jan2022'!AJ26&lt;'Tariffs Jan2022'!L26,0,IF($C$5*'Tariffs Jan2022'!AL26/'Tariffs Jan2022'!AJ26&lt;='Tariffs Jan2022'!M26,($C$5*'Tariffs Jan2022'!AL26/'Tariffs Jan2022'!AJ26-'Tariffs Jan2022'!L26)*('Tariffs Jan2022'!X26/100)*'Tariffs Jan2022'!AJ26,('Tariffs Jan2022'!M26-'Tariffs Jan2022'!L26)*('Tariffs Jan2022'!X26/100)*'Tariffs Jan2022'!AJ26))</f>
        <v>68.72727272727272</v>
      </c>
      <c r="N32" s="59">
        <f>IF(($C$5*'Tariffs Jan2022'!AL26/'Tariffs Jan2022'!AJ26&gt;'Tariffs Jan2022'!M26),($C$5*'Tariffs Jan2022'!AL26/'Tariffs Jan2022'!AJ26-'Tariffs Jan2022'!M26)*'Tariffs Jan2022'!Y26/100*'Tariffs Jan2022'!AJ26,0)</f>
        <v>0</v>
      </c>
      <c r="O32" s="59">
        <f t="shared" si="1"/>
        <v>1139.7272727272727</v>
      </c>
      <c r="P32" s="503">
        <f t="shared" si="2"/>
        <v>1253.7</v>
      </c>
      <c r="Q32" s="59">
        <f t="shared" si="3"/>
        <v>1378.8686363636364</v>
      </c>
      <c r="R32" s="272">
        <f t="shared" si="4"/>
        <v>1516.7555000000002</v>
      </c>
      <c r="S32" s="40">
        <f>'Tariffs Jan2022'!AN26</f>
        <v>0</v>
      </c>
      <c r="T32" s="40">
        <f>'Tariffs Jan2022'!AO26</f>
        <v>0</v>
      </c>
      <c r="U32" s="40">
        <f>'Tariffs Jan2022'!AP26</f>
        <v>0</v>
      </c>
      <c r="V32" s="40">
        <f>'Tariffs Jan2022'!AQ26</f>
        <v>0</v>
      </c>
      <c r="W32" s="537" t="str">
        <f t="shared" si="30"/>
        <v>No discount</v>
      </c>
      <c r="X32" s="538" t="str">
        <f t="shared" si="31"/>
        <v>Inclusive</v>
      </c>
      <c r="Y32" s="534">
        <f t="shared" ref="Y32:Y34" si="38">IF(AND(W32="Guaranteed off bill",X32="Inclusive"),((Q32*1.1)-((Q32*1.1)*S32/100))/1.1,IF(AND(W32="Guaranteed off usage",X32="Inclusive"),((Q32*1.1)-((P32*1.1)*T32/100))/1.1,IF(AND(W32="Guaranteed off bill",X32="Exclusive"),Q32-(Q32*S32/100),IF(AND(W32="Guaranteed off usage",X32="Exclusive"),Q32-(P32*T32/100),IF(X32="Inclusive",((Q32*1.1))/1.1,Q32)))))</f>
        <v>1378.8686363636364</v>
      </c>
      <c r="Z32" s="535">
        <f t="shared" ref="Z32:Z34" si="39">IF(AND(W32="Pay-on-time off bill",X32="Inclusive"),((Y32*1.1)-((Y32*1.1)*U32/100))/1.1,IF(AND(W32="Pay-on-time off usage",X32="Inclusive"),((Y32*1.1)-((P32*1.1)*V32/100))/1.1,IF(AND(W32="Pay-on-time off bill",X32="Exclusive"),Y32-(Y32*U32/100),IF(AND(W32="Pay-on-time off usage",X32="Exclusive"),Y32-(P32*V32/100),IF(X32="Inclusive",((Y32*1.1))/1.1,Y32)))))</f>
        <v>1378.8686363636364</v>
      </c>
      <c r="AA32" s="542">
        <f t="shared" si="29"/>
        <v>1516.7555000000002</v>
      </c>
      <c r="AB32" s="542">
        <f t="shared" si="29"/>
        <v>1516.7555000000002</v>
      </c>
      <c r="AC32" s="274">
        <f>'Tariffs Jan2022'!AZ26</f>
        <v>0</v>
      </c>
      <c r="AD32" s="274" t="str">
        <f>'Tariffs Jan2022'!BA26</f>
        <v>n</v>
      </c>
      <c r="AE32" s="275" t="str">
        <f>'Tariffs Jan2022'!BJ26</f>
        <v>N</v>
      </c>
      <c r="AF32" s="577"/>
      <c r="AG32" s="577"/>
      <c r="AH32" s="577"/>
      <c r="AI32" s="577"/>
      <c r="AJ32" s="577"/>
      <c r="AK32" s="577"/>
      <c r="AL32" s="577"/>
      <c r="AM32" s="577"/>
      <c r="AN32" s="577"/>
      <c r="AO32" s="577"/>
      <c r="AP32" s="577"/>
      <c r="AQ32" s="577"/>
      <c r="AR32" s="577"/>
      <c r="AS32" s="577"/>
      <c r="AT32" s="577"/>
      <c r="AU32" s="577"/>
      <c r="AV32" s="577"/>
      <c r="AW32" s="577"/>
    </row>
    <row r="33" spans="1:49" ht="14" x14ac:dyDescent="0.15">
      <c r="A33" s="270" t="str">
        <f>'Tariffs Jan2022'!F27</f>
        <v>Simply Energy</v>
      </c>
      <c r="B33" s="40" t="str">
        <f>'Tariffs Jan2022'!D27</f>
        <v>Multinet Metro 2</v>
      </c>
      <c r="C33" s="40" t="str">
        <f>'Tariffs Jan2022'!G27</f>
        <v>Blue perks</v>
      </c>
      <c r="D33" s="59">
        <f>365*'Tariffs Jan2022'!H27/100</f>
        <v>277.76499999999999</v>
      </c>
      <c r="E33" s="59">
        <f>IF($C$5*'Tariffs Jan2022'!AK27/'Tariffs Jan2022'!AI27&gt;='Tariffs Jan2022'!J27,( 'Tariffs Jan2022'!J27*'Tariffs Jan2022'!O27/100)* 'Tariffs Jan2022'!AI27,($C$5*'Tariffs Jan2022'!AK27/'Tariffs Jan2022'!AI27*'Tariffs Jan2022'!O27/100)* 'Tariffs Jan2022'!AI27)</f>
        <v>307.63636363636363</v>
      </c>
      <c r="F33" s="59">
        <f>IF($C$5*'Tariffs Jan2022'!AK27/'Tariffs Jan2022'!AI27&lt;'Tariffs Jan2022'!J27,0,IF($C$5*'Tariffs Jan2022'!AK27/'Tariffs Jan2022'!AI27&lt;='Tariffs Jan2022'!K27,($C$5*'Tariffs Jan2022'!AK27/'Tariffs Jan2022'!AI27-'Tariffs Jan2022'!J27)*('Tariffs Jan2022'!P27/100)*'Tariffs Jan2022'!AI27,('Tariffs Jan2022'!K27-'Tariffs Jan2022'!J27)*('Tariffs Jan2022'!P27/100)*'Tariffs Jan2022'!AI27))</f>
        <v>274.90909090909088</v>
      </c>
      <c r="G33" s="59">
        <f>IF($C$5*'Tariffs Jan2022'!AK27/'Tariffs Jan2022'!AI27&lt;'Tariffs Jan2022'!K27,0,IF($C$5*'Tariffs Jan2022'!AK27/'Tariffs Jan2022'!AI27&lt;='Tariffs Jan2022'!L27,($C$5*'Tariffs Jan2022'!AK27/'Tariffs Jan2022'!AI27-'Tariffs Jan2022'!K27)*('Tariffs Jan2022'!Q27/100)*'Tariffs Jan2022'!AI27,('Tariffs Jan2022'!L27-'Tariffs Jan2022'!K27)*('Tariffs Jan2022'!Q27/100)*'Tariffs Jan2022'!AI27))</f>
        <v>235.6363636363636</v>
      </c>
      <c r="H33" s="59">
        <f>IF($C$5*'Tariffs Jan2022'!AK27/'Tariffs Jan2022'!AI27&lt;'Tariffs Jan2022'!L27,0,IF($C$5*'Tariffs Jan2022'!AK27/'Tariffs Jan2022'!AI27&lt;='Tariffs Jan2022'!M27,($C$5*'Tariffs Jan2022'!AK27/'Tariffs Jan2022'!AI27-'Tariffs Jan2022'!L27)*('Tariffs Jan2022'!R27/100)*'Tariffs Jan2022'!AI27,('Tariffs Jan2022'!M27-'Tariffs Jan2022'!L27)*('Tariffs Jan2022'!R27/100)*'Tariffs Jan2022'!AI27))</f>
        <v>107.04545454545453</v>
      </c>
      <c r="I33" s="59">
        <f>IF(($C$5*'Tariffs Jan2022'!AK27/'Tariffs Jan2022'!AI27&gt;'Tariffs Jan2022'!M27),($C$5*'Tariffs Jan2022'!AK27/'Tariffs Jan2022'!AI27-'Tariffs Jan2022'!M27)*'Tariffs Jan2022'!S27/100*'Tariffs Jan2022'!AI27,0)</f>
        <v>0</v>
      </c>
      <c r="J33" s="59">
        <f>IF($C$5*'Tariffs Jan2022'!AL27/'Tariffs Jan2022'!AJ27&gt;='Tariffs Jan2022'!J27,('Tariffs Jan2022'!J27*'Tariffs Jan2022'!U27/100)* 'Tariffs Jan2022'!AJ27,($C$5*'Tariffs Jan2022'!AL27/'Tariffs Jan2022'!AJ27*'Tariffs Jan2022'!U27/100)* 'Tariffs Jan2022'!AJ27)</f>
        <v>292.90909090909093</v>
      </c>
      <c r="K33" s="59">
        <f>IF($C$5*'Tariffs Jan2022'!AL27/'Tariffs Jan2022'!AJ27&lt;'Tariffs Jan2022'!J27,0,IF($C$5*'Tariffs Jan2022'!AL27/'Tariffs Jan2022'!AJ27&lt;='Tariffs Jan2022'!K27,($C$5*'Tariffs Jan2022'!AL27/'Tariffs Jan2022'!AJ27-'Tariffs Jan2022'!J27)*('Tariffs Jan2022'!V27/100)*'Tariffs Jan2022'!AJ27,('Tariffs Jan2022'!K27-'Tariffs Jan2022'!J27)*('Tariffs Jan2022'!V27/100)*'Tariffs Jan2022'!AJ27))</f>
        <v>263.45454545454544</v>
      </c>
      <c r="L33" s="59">
        <f>IF($C$5*'Tariffs Jan2022'!AL27/'Tariffs Jan2022'!AJ27&lt;'Tariffs Jan2022'!K27,0,IF($C$5*'Tariffs Jan2022'!AL27/'Tariffs Jan2022'!AJ27&lt;='Tariffs Jan2022'!L27,($C$5*'Tariffs Jan2022'!AL27/'Tariffs Jan2022'!AJ27-'Tariffs Jan2022'!K27)*('Tariffs Jan2022'!W27/100)*'Tariffs Jan2022'!AJ27,('Tariffs Jan2022'!L27-'Tariffs Jan2022'!K27)*('Tariffs Jan2022'!W27/100)*'Tariffs Jan2022'!AJ27))</f>
        <v>230.72727272727272</v>
      </c>
      <c r="M33" s="59">
        <f>IF($C$5*'Tariffs Jan2022'!AL27/'Tariffs Jan2022'!AJ27&lt;'Tariffs Jan2022'!L27,0,IF($C$5*'Tariffs Jan2022'!AL27/'Tariffs Jan2022'!AJ27&lt;='Tariffs Jan2022'!M27,($C$5*'Tariffs Jan2022'!AL27/'Tariffs Jan2022'!AJ27-'Tariffs Jan2022'!L27)*('Tariffs Jan2022'!X27/100)*'Tariffs Jan2022'!AJ27,('Tariffs Jan2022'!M27-'Tariffs Jan2022'!L27)*('Tariffs Jan2022'!X27/100)*'Tariffs Jan2022'!AJ27))</f>
        <v>105.13636363636363</v>
      </c>
      <c r="N33" s="59">
        <f>IF(($C$5*'Tariffs Jan2022'!AL27/'Tariffs Jan2022'!AJ27&gt;'Tariffs Jan2022'!M27),($C$5*'Tariffs Jan2022'!AL27/'Tariffs Jan2022'!AJ27-'Tariffs Jan2022'!M27)*'Tariffs Jan2022'!Y27/100*'Tariffs Jan2022'!AJ27,0)</f>
        <v>0</v>
      </c>
      <c r="O33" s="59">
        <f t="shared" si="1"/>
        <v>1817.4545454545455</v>
      </c>
      <c r="P33" s="503">
        <f t="shared" si="2"/>
        <v>1999.2000000000003</v>
      </c>
      <c r="Q33" s="59">
        <f t="shared" si="3"/>
        <v>2095.2195454545454</v>
      </c>
      <c r="R33" s="272">
        <f t="shared" si="4"/>
        <v>2304.7415000000001</v>
      </c>
      <c r="S33" s="40">
        <f>'Tariffs Jan2022'!AN27</f>
        <v>32</v>
      </c>
      <c r="T33" s="40">
        <f>'Tariffs Jan2022'!AO27</f>
        <v>0</v>
      </c>
      <c r="U33" s="40">
        <f>'Tariffs Jan2022'!AP27</f>
        <v>0</v>
      </c>
      <c r="V33" s="40">
        <f>'Tariffs Jan2022'!AQ27</f>
        <v>0</v>
      </c>
      <c r="W33" s="537" t="str">
        <f t="shared" si="30"/>
        <v>Guaranteed off bill</v>
      </c>
      <c r="X33" s="538" t="str">
        <f t="shared" si="31"/>
        <v>Exclusive</v>
      </c>
      <c r="Y33" s="534">
        <f t="shared" si="38"/>
        <v>1424.7492909090909</v>
      </c>
      <c r="Z33" s="535">
        <f t="shared" si="39"/>
        <v>1424.7492909090909</v>
      </c>
      <c r="AA33" s="542">
        <f t="shared" si="29"/>
        <v>1567.2242200000001</v>
      </c>
      <c r="AB33" s="542">
        <f t="shared" si="29"/>
        <v>1567.2242200000001</v>
      </c>
      <c r="AC33" s="274">
        <f>'Tariffs Jan2022'!AZ27</f>
        <v>0</v>
      </c>
      <c r="AD33" s="274" t="str">
        <f>'Tariffs Jan2022'!BA27</f>
        <v>n</v>
      </c>
      <c r="AE33" s="275" t="str">
        <f>'Tariffs Jan2022'!BJ27</f>
        <v>N</v>
      </c>
      <c r="AF33" s="577"/>
      <c r="AG33" s="577"/>
      <c r="AH33" s="577"/>
      <c r="AI33" s="577"/>
      <c r="AJ33" s="577"/>
      <c r="AK33" s="577"/>
      <c r="AL33" s="577"/>
      <c r="AM33" s="577"/>
      <c r="AN33" s="577"/>
      <c r="AO33" s="577"/>
      <c r="AP33" s="577"/>
      <c r="AQ33" s="577"/>
      <c r="AR33" s="577"/>
      <c r="AS33" s="577"/>
      <c r="AT33" s="577"/>
      <c r="AU33" s="577"/>
      <c r="AV33" s="577"/>
      <c r="AW33" s="577"/>
    </row>
    <row r="34" spans="1:49" ht="14" x14ac:dyDescent="0.15">
      <c r="A34" s="270" t="str">
        <f>'Tariffs Jan2022'!F28</f>
        <v>GloBird Energy</v>
      </c>
      <c r="B34" s="40" t="str">
        <f>'Tariffs Jan2022'!D28</f>
        <v>Multinet Metro 2</v>
      </c>
      <c r="C34" s="40" t="str">
        <f>'Tariffs Jan2022'!G28</f>
        <v>GloSave</v>
      </c>
      <c r="D34" s="59">
        <f>365*'Tariffs Jan2022'!H28/100</f>
        <v>218.99999999999997</v>
      </c>
      <c r="E34" s="59">
        <f>IF($C$5*'Tariffs Jan2022'!AK28/'Tariffs Jan2022'!AI28&gt;='Tariffs Jan2022'!J28,( 'Tariffs Jan2022'!J28*'Tariffs Jan2022'!O28/100)* 'Tariffs Jan2022'!AI28,($C$5*'Tariffs Jan2022'!AK28/'Tariffs Jan2022'!AI28*'Tariffs Jan2022'!O28/100)* 'Tariffs Jan2022'!AI28)</f>
        <v>369.81818181818181</v>
      </c>
      <c r="F34" s="59">
        <f>IF($C$5*'Tariffs Jan2022'!AK28/'Tariffs Jan2022'!AI28&lt;'Tariffs Jan2022'!J28,0,IF($C$5*'Tariffs Jan2022'!AK28/'Tariffs Jan2022'!AI28&lt;='Tariffs Jan2022'!K28,($C$5*'Tariffs Jan2022'!AK28/'Tariffs Jan2022'!AI28-'Tariffs Jan2022'!J28)*('Tariffs Jan2022'!P28/100)*'Tariffs Jan2022'!AI28,('Tariffs Jan2022'!K28-'Tariffs Jan2022'!J28)*('Tariffs Jan2022'!P28/100)*'Tariffs Jan2022'!AI28))</f>
        <v>0</v>
      </c>
      <c r="G34" s="59">
        <f>IF($C$5*'Tariffs Jan2022'!AK28/'Tariffs Jan2022'!AI28&lt;'Tariffs Jan2022'!K28,0,IF($C$5*'Tariffs Jan2022'!AK28/'Tariffs Jan2022'!AI28&lt;='Tariffs Jan2022'!L28,($C$5*'Tariffs Jan2022'!AK28/'Tariffs Jan2022'!AI28-'Tariffs Jan2022'!K28)*('Tariffs Jan2022'!Q28/100)*'Tariffs Jan2022'!AI28,('Tariffs Jan2022'!L28-'Tariffs Jan2022'!K28)*('Tariffs Jan2022'!Q28/100)*'Tariffs Jan2022'!AI28))</f>
        <v>0</v>
      </c>
      <c r="H34" s="59">
        <f>IF($C$5*'Tariffs Jan2022'!AK28/'Tariffs Jan2022'!AI28&lt;'Tariffs Jan2022'!L28,0,IF($C$5*'Tariffs Jan2022'!AK28/'Tariffs Jan2022'!AI28&lt;='Tariffs Jan2022'!M28,($C$5*'Tariffs Jan2022'!AK28/'Tariffs Jan2022'!AI28-'Tariffs Jan2022'!L28)*('Tariffs Jan2022'!R28/100)*'Tariffs Jan2022'!AI28,('Tariffs Jan2022'!M28-'Tariffs Jan2022'!L28)*('Tariffs Jan2022'!R28/100)*'Tariffs Jan2022'!AI28))</f>
        <v>0</v>
      </c>
      <c r="I34" s="59">
        <f>IF(($C$5*'Tariffs Jan2022'!AK28/'Tariffs Jan2022'!AI28&gt;'Tariffs Jan2022'!M28),($C$5*'Tariffs Jan2022'!AK28/'Tariffs Jan2022'!AI28-'Tariffs Jan2022'!M28)*'Tariffs Jan2022'!S28/100*'Tariffs Jan2022'!AI28,0)</f>
        <v>229.5</v>
      </c>
      <c r="J34" s="59">
        <f>IF($C$5*'Tariffs Jan2022'!AL28/'Tariffs Jan2022'!AJ28&gt;='Tariffs Jan2022'!J28,('Tariffs Jan2022'!J28*'Tariffs Jan2022'!U28/100)* 'Tariffs Jan2022'!AJ28,($C$5*'Tariffs Jan2022'!AL28/'Tariffs Jan2022'!AJ28*'Tariffs Jan2022'!U28/100)* 'Tariffs Jan2022'!AJ28)</f>
        <v>369.81818181818181</v>
      </c>
      <c r="K34" s="59">
        <f>IF($C$5*'Tariffs Jan2022'!AL28/'Tariffs Jan2022'!AJ28&lt;'Tariffs Jan2022'!J28,0,IF($C$5*'Tariffs Jan2022'!AL28/'Tariffs Jan2022'!AJ28&lt;='Tariffs Jan2022'!K28,($C$5*'Tariffs Jan2022'!AL28/'Tariffs Jan2022'!AJ28-'Tariffs Jan2022'!J28)*('Tariffs Jan2022'!V28/100)*'Tariffs Jan2022'!AJ28,('Tariffs Jan2022'!K28-'Tariffs Jan2022'!J28)*('Tariffs Jan2022'!V28/100)*'Tariffs Jan2022'!AJ28))</f>
        <v>0</v>
      </c>
      <c r="L34" s="59">
        <f>IF($C$5*'Tariffs Jan2022'!AL28/'Tariffs Jan2022'!AJ28&lt;'Tariffs Jan2022'!K28,0,IF($C$5*'Tariffs Jan2022'!AL28/'Tariffs Jan2022'!AJ28&lt;='Tariffs Jan2022'!L28,($C$5*'Tariffs Jan2022'!AL28/'Tariffs Jan2022'!AJ28-'Tariffs Jan2022'!K28)*('Tariffs Jan2022'!W28/100)*'Tariffs Jan2022'!AJ28,('Tariffs Jan2022'!L28-'Tariffs Jan2022'!K28)*('Tariffs Jan2022'!W28/100)*'Tariffs Jan2022'!AJ28))</f>
        <v>0</v>
      </c>
      <c r="M34" s="59">
        <f>IF($C$5*'Tariffs Jan2022'!AL28/'Tariffs Jan2022'!AJ28&lt;'Tariffs Jan2022'!L28,0,IF($C$5*'Tariffs Jan2022'!AL28/'Tariffs Jan2022'!AJ28&lt;='Tariffs Jan2022'!M28,($C$5*'Tariffs Jan2022'!AL28/'Tariffs Jan2022'!AJ28-'Tariffs Jan2022'!L28)*('Tariffs Jan2022'!X28/100)*'Tariffs Jan2022'!AJ28,('Tariffs Jan2022'!M28-'Tariffs Jan2022'!L28)*('Tariffs Jan2022'!X28/100)*'Tariffs Jan2022'!AJ28))</f>
        <v>0</v>
      </c>
      <c r="N34" s="59">
        <f>IF(($C$5*'Tariffs Jan2022'!AL28/'Tariffs Jan2022'!AJ28&gt;'Tariffs Jan2022'!M28),($C$5*'Tariffs Jan2022'!AL28/'Tariffs Jan2022'!AJ28-'Tariffs Jan2022'!M28)*'Tariffs Jan2022'!Y28/100*'Tariffs Jan2022'!AJ28,0)</f>
        <v>229.5</v>
      </c>
      <c r="O34" s="59">
        <f>SUM(E34:N34)</f>
        <v>1198.6363636363635</v>
      </c>
      <c r="P34" s="503">
        <f t="shared" si="2"/>
        <v>1318.5</v>
      </c>
      <c r="Q34" s="59">
        <f>D34+O34</f>
        <v>1417.6363636363635</v>
      </c>
      <c r="R34" s="272">
        <f>Q34*1.1</f>
        <v>1559.4</v>
      </c>
      <c r="S34" s="40">
        <f>'Tariffs Jan2022'!AN28</f>
        <v>0</v>
      </c>
      <c r="T34" s="40">
        <f>'Tariffs Jan2022'!AO28</f>
        <v>0</v>
      </c>
      <c r="U34" s="40">
        <f>'Tariffs Jan2022'!AP28</f>
        <v>0</v>
      </c>
      <c r="V34" s="40">
        <f>'Tariffs Jan2022'!AQ28</f>
        <v>0</v>
      </c>
      <c r="W34" s="537" t="str">
        <f t="shared" si="30"/>
        <v>No discount</v>
      </c>
      <c r="X34" s="538" t="str">
        <f t="shared" si="31"/>
        <v>Exclusive</v>
      </c>
      <c r="Y34" s="534">
        <f t="shared" si="38"/>
        <v>1417.6363636363635</v>
      </c>
      <c r="Z34" s="535">
        <f t="shared" si="39"/>
        <v>1417.6363636363635</v>
      </c>
      <c r="AA34" s="542">
        <f t="shared" si="29"/>
        <v>1559.4</v>
      </c>
      <c r="AB34" s="542">
        <f t="shared" si="29"/>
        <v>1559.4</v>
      </c>
      <c r="AC34" s="274">
        <f>'Tariffs Jan2022'!AZ28</f>
        <v>0</v>
      </c>
      <c r="AD34" s="274" t="str">
        <f>'Tariffs Jan2022'!BA28</f>
        <v>n</v>
      </c>
      <c r="AE34" s="275" t="str">
        <f>'Tariffs Jan2022'!BJ28</f>
        <v>N</v>
      </c>
      <c r="AF34" s="577"/>
      <c r="AG34" s="577"/>
      <c r="AH34" s="577"/>
      <c r="AI34" s="577"/>
      <c r="AJ34" s="577"/>
      <c r="AK34" s="577"/>
      <c r="AL34" s="577"/>
      <c r="AM34" s="577"/>
      <c r="AN34" s="577"/>
      <c r="AO34" s="577"/>
      <c r="AP34" s="577"/>
      <c r="AQ34" s="577"/>
      <c r="AR34" s="577"/>
      <c r="AS34" s="577"/>
      <c r="AT34" s="577"/>
      <c r="AU34" s="577"/>
      <c r="AV34" s="577"/>
      <c r="AW34" s="577"/>
    </row>
    <row r="35" spans="1:49" ht="14" x14ac:dyDescent="0.15">
      <c r="A35" s="270" t="str">
        <f>'Tariffs Jan2022'!F29</f>
        <v>Powershop</v>
      </c>
      <c r="B35" s="40" t="str">
        <f>'Tariffs Jan2022'!D29</f>
        <v>Multinet Metro 2</v>
      </c>
      <c r="C35" s="40" t="str">
        <f>'Tariffs Jan2022'!G29</f>
        <v>Market offer</v>
      </c>
      <c r="D35" s="59">
        <f>365*'Tariffs Jan2022'!H29/100</f>
        <v>241.09909090909088</v>
      </c>
      <c r="E35" s="59">
        <f>((C$5*'Tariffs Jan2022'!AK29/'Tariffs Jan2022'!AI29)*('Tariffs Jan2022'!O29/100))*'Tariffs Jan2022'!AI29</f>
        <v>546.9545454545455</v>
      </c>
      <c r="F35" s="59">
        <v>0</v>
      </c>
      <c r="G35" s="59">
        <v>0</v>
      </c>
      <c r="H35" s="59">
        <v>0</v>
      </c>
      <c r="I35" s="59">
        <v>0</v>
      </c>
      <c r="J35" s="59">
        <f>((C$5*'Tariffs Jan2022'!AL29/'Tariffs Jan2022'!AJ29)*('Tariffs Jan2022'!U29/100))*'Tariffs Jan2022'!AJ29</f>
        <v>492.54545454545456</v>
      </c>
      <c r="K35" s="59">
        <v>0</v>
      </c>
      <c r="L35" s="59">
        <v>0</v>
      </c>
      <c r="M35" s="59">
        <v>0</v>
      </c>
      <c r="N35" s="59">
        <v>0</v>
      </c>
      <c r="O35" s="59">
        <f t="shared" si="1"/>
        <v>1039.5</v>
      </c>
      <c r="P35" s="503">
        <f t="shared" si="2"/>
        <v>1143.45</v>
      </c>
      <c r="Q35" s="59">
        <f t="shared" si="3"/>
        <v>1280.5990909090908</v>
      </c>
      <c r="R35" s="272">
        <f t="shared" si="4"/>
        <v>1408.6590000000001</v>
      </c>
      <c r="S35" s="40">
        <f>'Tariffs Jan2022'!AN29</f>
        <v>0</v>
      </c>
      <c r="T35" s="40">
        <f>'Tariffs Jan2022'!AO29</f>
        <v>0</v>
      </c>
      <c r="U35" s="40">
        <f>'Tariffs Jan2022'!AP29</f>
        <v>0</v>
      </c>
      <c r="V35" s="40">
        <f>'Tariffs Jan2022'!AQ29</f>
        <v>0</v>
      </c>
      <c r="W35" s="537" t="str">
        <f t="shared" si="30"/>
        <v>No discount</v>
      </c>
      <c r="X35" s="538" t="str">
        <f t="shared" si="31"/>
        <v>Inclusive</v>
      </c>
      <c r="Y35" s="534">
        <f>IF(AND(W35="Guaranteed off bill",X35="Inclusive"),((Q35*1.1)-((Q35*1.1)*S35/100))/1.1,IF(AND(W35="Guaranteed off usage",X35="Inclusive"),((Q35*1.1)-((P35*1.1)*T35/100))/1.1,IF(AND(W35="Guaranteed off bill",X35="Exclusive"),Q35-(Q35*S35/100),IF(AND(W35="Guaranteed off usage",X35="Exclusive"),Q35-(P35*T35/100),IF(X35="Inclusive",((Q35*1.1))/1.1,Q35)))))</f>
        <v>1280.5990909090908</v>
      </c>
      <c r="Z35" s="535">
        <f>IF(AND(W35="Pay-on-time off bill",X35="Inclusive"),((Y35*1.1)-((Y35*1.1)*U35/100))/1.1,IF(AND(W35="Pay-on-time off usage",X35="Inclusive"),((Y35*1.1)-((P35*1.1)*V35/100))/1.1,IF(AND(W35="Pay-on-time off bill",X35="Exclusive"),Y35-(Y35*U35/100),IF(AND(W35="Pay-on-time off usage",X35="Exclusive"),Y35-(P35*V35/100),IF(X35="Inclusive",((Y35*1.1))/1.1,Y35)))))</f>
        <v>1280.5990909090908</v>
      </c>
      <c r="AA35" s="542">
        <f t="shared" si="29"/>
        <v>1408.6590000000001</v>
      </c>
      <c r="AB35" s="542">
        <f t="shared" si="29"/>
        <v>1408.6590000000001</v>
      </c>
      <c r="AC35" s="274">
        <f>'Tariffs Jan2022'!AZ29</f>
        <v>0</v>
      </c>
      <c r="AD35" s="274" t="str">
        <f>'Tariffs Jan2022'!BA29</f>
        <v>n</v>
      </c>
      <c r="AE35" s="275" t="str">
        <f>'Tariffs Jan2022'!BJ29</f>
        <v>Y</v>
      </c>
      <c r="AF35" s="577"/>
      <c r="AG35" s="577"/>
      <c r="AH35" s="577"/>
      <c r="AI35" s="577"/>
      <c r="AJ35" s="577"/>
      <c r="AK35" s="577"/>
      <c r="AL35" s="577"/>
      <c r="AM35" s="577"/>
      <c r="AN35" s="577"/>
      <c r="AO35" s="577"/>
      <c r="AP35" s="577"/>
      <c r="AQ35" s="577"/>
      <c r="AR35" s="577"/>
      <c r="AS35" s="577"/>
      <c r="AT35" s="577"/>
      <c r="AU35" s="577"/>
      <c r="AV35" s="577"/>
      <c r="AW35" s="577"/>
    </row>
    <row r="36" spans="1:49" ht="14" x14ac:dyDescent="0.15">
      <c r="A36" s="270" t="str">
        <f>'Tariffs Jan2022'!F30</f>
        <v>1st Energy</v>
      </c>
      <c r="B36" s="40" t="str">
        <f>'Tariffs Jan2022'!D30</f>
        <v>Multinet Metro 2</v>
      </c>
      <c r="C36" s="40" t="str">
        <f>'Tariffs Jan2022'!G30</f>
        <v>1st Saver Plus</v>
      </c>
      <c r="D36" s="59">
        <f>365*'Tariffs Jan2022'!H30/100</f>
        <v>259.14999999999998</v>
      </c>
      <c r="E36" s="59">
        <f>IF($C$5*'Tariffs Jan2022'!AK30/'Tariffs Jan2022'!AI30&gt;='Tariffs Jan2022'!J30,( 'Tariffs Jan2022'!J30*'Tariffs Jan2022'!O30/100)* 'Tariffs Jan2022'!AI30,($C$5*'Tariffs Jan2022'!AK30/'Tariffs Jan2022'!AI30*'Tariffs Jan2022'!O30/100)* 'Tariffs Jan2022'!AI30)</f>
        <v>238.90909090909088</v>
      </c>
      <c r="F36" s="59">
        <f>IF($C$5*'Tariffs Jan2022'!AK30/'Tariffs Jan2022'!AI30&lt;'Tariffs Jan2022'!J30,0,IF($C$5*'Tariffs Jan2022'!AK30/'Tariffs Jan2022'!AI30&lt;='Tariffs Jan2022'!K30,($C$5*'Tariffs Jan2022'!AK30/'Tariffs Jan2022'!AI30-'Tariffs Jan2022'!J30)*('Tariffs Jan2022'!P30/100)*'Tariffs Jan2022'!AI30,('Tariffs Jan2022'!K30-'Tariffs Jan2022'!J30)*('Tariffs Jan2022'!P30/100)*'Tariffs Jan2022'!AI30))</f>
        <v>309.27272727272725</v>
      </c>
      <c r="G36" s="59">
        <f>IF($C$5*'Tariffs Jan2022'!AK30/'Tariffs Jan2022'!AI30&lt;'Tariffs Jan2022'!K30,0,IF($C$5*'Tariffs Jan2022'!AK30/'Tariffs Jan2022'!AI30&lt;='Tariffs Jan2022'!L30,($C$5*'Tariffs Jan2022'!AK30/'Tariffs Jan2022'!AI30-'Tariffs Jan2022'!K30)*('Tariffs Jan2022'!Q30/100)*'Tariffs Jan2022'!AI30,('Tariffs Jan2022'!L30-'Tariffs Jan2022'!K30)*('Tariffs Jan2022'!Q30/100)*'Tariffs Jan2022'!AI30))</f>
        <v>0</v>
      </c>
      <c r="H36" s="59">
        <f>IF($C$5*'Tariffs Jan2022'!AK30/'Tariffs Jan2022'!AI30&lt;'Tariffs Jan2022'!L30,0,IF($C$5*'Tariffs Jan2022'!AK30/'Tariffs Jan2022'!AI30&lt;='Tariffs Jan2022'!M30,($C$5*'Tariffs Jan2022'!AK30/'Tariffs Jan2022'!AI30-'Tariffs Jan2022'!L30)*('Tariffs Jan2022'!R30/100)*'Tariffs Jan2022'!AI30,('Tariffs Jan2022'!M30-'Tariffs Jan2022'!L30)*('Tariffs Jan2022'!R30/100)*'Tariffs Jan2022'!AI30))</f>
        <v>0</v>
      </c>
      <c r="I36" s="59">
        <f>IF(($C$5*'Tariffs Jan2022'!AK30/'Tariffs Jan2022'!AI30&gt;'Tariffs Jan2022'!M30),($C$5*'Tariffs Jan2022'!AK30/'Tariffs Jan2022'!AI30-'Tariffs Jan2022'!M30)*'Tariffs Jan2022'!S30/100*'Tariffs Jan2022'!AI30,0)</f>
        <v>171.81818181818181</v>
      </c>
      <c r="J36" s="59">
        <f>IF($C$5*'Tariffs Jan2022'!AL30/'Tariffs Jan2022'!AJ30&gt;='Tariffs Jan2022'!J30,('Tariffs Jan2022'!J30*'Tariffs Jan2022'!U30/100)* 'Tariffs Jan2022'!AJ30,($C$5*'Tariffs Jan2022'!AL30/'Tariffs Jan2022'!AJ30*'Tariffs Jan2022'!U30/100)* 'Tariffs Jan2022'!AJ30)</f>
        <v>238.90909090909088</v>
      </c>
      <c r="K36" s="59">
        <f>IF($C$5*'Tariffs Jan2022'!AL30/'Tariffs Jan2022'!AJ30&lt;'Tariffs Jan2022'!J30,0,IF($C$5*'Tariffs Jan2022'!AL30/'Tariffs Jan2022'!AJ30&lt;='Tariffs Jan2022'!K30,($C$5*'Tariffs Jan2022'!AL30/'Tariffs Jan2022'!AJ30-'Tariffs Jan2022'!J30)*('Tariffs Jan2022'!V30/100)*'Tariffs Jan2022'!AJ30,('Tariffs Jan2022'!K30-'Tariffs Jan2022'!J30)*('Tariffs Jan2022'!V30/100)*'Tariffs Jan2022'!AJ30))</f>
        <v>309.27272727272725</v>
      </c>
      <c r="L36" s="59">
        <f>IF($C$5*'Tariffs Jan2022'!AL30/'Tariffs Jan2022'!AJ30&lt;'Tariffs Jan2022'!K30,0,IF($C$5*'Tariffs Jan2022'!AL30/'Tariffs Jan2022'!AJ30&lt;='Tariffs Jan2022'!L30,($C$5*'Tariffs Jan2022'!AL30/'Tariffs Jan2022'!AJ30-'Tariffs Jan2022'!K30)*('Tariffs Jan2022'!W30/100)*'Tariffs Jan2022'!AJ30,('Tariffs Jan2022'!L30-'Tariffs Jan2022'!K30)*('Tariffs Jan2022'!W30/100)*'Tariffs Jan2022'!AJ30))</f>
        <v>0</v>
      </c>
      <c r="M36" s="59">
        <f>IF($C$5*'Tariffs Jan2022'!AL30/'Tariffs Jan2022'!AJ30&lt;'Tariffs Jan2022'!L30,0,IF($C$5*'Tariffs Jan2022'!AL30/'Tariffs Jan2022'!AJ30&lt;='Tariffs Jan2022'!M30,($C$5*'Tariffs Jan2022'!AL30/'Tariffs Jan2022'!AJ30-'Tariffs Jan2022'!L30)*('Tariffs Jan2022'!X30/100)*'Tariffs Jan2022'!AJ30,('Tariffs Jan2022'!M30-'Tariffs Jan2022'!L30)*('Tariffs Jan2022'!X30/100)*'Tariffs Jan2022'!AJ30))</f>
        <v>0</v>
      </c>
      <c r="N36" s="59">
        <f>IF(($C$5*'Tariffs Jan2022'!AL30/'Tariffs Jan2022'!AJ30&gt;'Tariffs Jan2022'!M30),($C$5*'Tariffs Jan2022'!AL30/'Tariffs Jan2022'!AJ30-'Tariffs Jan2022'!M30)*'Tariffs Jan2022'!Y30/100*'Tariffs Jan2022'!AJ30,0)</f>
        <v>171.81818181818181</v>
      </c>
      <c r="O36" s="59">
        <f t="shared" si="1"/>
        <v>1439.9999999999998</v>
      </c>
      <c r="P36" s="503">
        <f t="shared" si="2"/>
        <v>1583.9999999999998</v>
      </c>
      <c r="Q36" s="59">
        <f t="shared" si="3"/>
        <v>1699.1499999999996</v>
      </c>
      <c r="R36" s="272">
        <f t="shared" si="4"/>
        <v>1869.0649999999998</v>
      </c>
      <c r="S36" s="40">
        <f>'Tariffs Jan2022'!AN30</f>
        <v>0</v>
      </c>
      <c r="T36" s="40">
        <f>'Tariffs Jan2022'!AO30</f>
        <v>12</v>
      </c>
      <c r="U36" s="40">
        <f>'Tariffs Jan2022'!AP30</f>
        <v>0</v>
      </c>
      <c r="V36" s="40">
        <f>'Tariffs Jan2022'!AQ30</f>
        <v>3</v>
      </c>
      <c r="W36" s="537" t="str">
        <f t="shared" si="30"/>
        <v>Guaranteed off usage</v>
      </c>
      <c r="X36" s="538" t="str">
        <f t="shared" si="31"/>
        <v>Exclusive</v>
      </c>
      <c r="Y36" s="534">
        <f>Q36-(P36*T36)/100</f>
        <v>1509.0699999999997</v>
      </c>
      <c r="Z36" s="535">
        <f>Y36-(P36*V36)/100</f>
        <v>1461.5499999999997</v>
      </c>
      <c r="AA36" s="542">
        <f t="shared" si="29"/>
        <v>1659.9769999999999</v>
      </c>
      <c r="AB36" s="542">
        <f t="shared" si="29"/>
        <v>1607.7049999999999</v>
      </c>
      <c r="AC36" s="274">
        <f>'Tariffs Jan2022'!AZ30</f>
        <v>0</v>
      </c>
      <c r="AD36" s="274" t="str">
        <f>'Tariffs Jan2022'!BA30</f>
        <v>n</v>
      </c>
      <c r="AE36" s="275" t="str">
        <f>'Tariffs Jan2022'!BJ30</f>
        <v>Y</v>
      </c>
      <c r="AF36" s="577"/>
      <c r="AG36" s="577"/>
      <c r="AH36" s="577"/>
      <c r="AI36" s="577"/>
      <c r="AJ36" s="577"/>
      <c r="AK36" s="577"/>
      <c r="AL36" s="577"/>
      <c r="AM36" s="577"/>
      <c r="AN36" s="577"/>
      <c r="AO36" s="577"/>
      <c r="AP36" s="577"/>
      <c r="AQ36" s="577"/>
      <c r="AR36" s="577"/>
      <c r="AS36" s="577"/>
      <c r="AT36" s="577"/>
      <c r="AU36" s="577"/>
      <c r="AV36" s="577"/>
      <c r="AW36" s="577"/>
    </row>
    <row r="37" spans="1:49" ht="14" x14ac:dyDescent="0.15">
      <c r="A37" s="270" t="str">
        <f>'Tariffs Jan2022'!F31</f>
        <v>Kogan Energy</v>
      </c>
      <c r="B37" s="40" t="str">
        <f>'Tariffs Jan2022'!D31</f>
        <v>Multinet Metro 2</v>
      </c>
      <c r="C37" s="40" t="str">
        <f>'Tariffs Jan2022'!G31</f>
        <v>Kogan First</v>
      </c>
      <c r="D37" s="59">
        <f>365*'Tariffs Jan2022'!H31/100</f>
        <v>217.53999999999996</v>
      </c>
      <c r="E37" s="59">
        <f>((C$5*'Tariffs Jan2022'!AK31/'Tariffs Jan2022'!AI31)*('Tariffs Jan2022'!O31/100))*'Tariffs Jan2022'!AI31</f>
        <v>635.72727272727263</v>
      </c>
      <c r="F37" s="59">
        <v>0</v>
      </c>
      <c r="G37" s="59">
        <v>0</v>
      </c>
      <c r="H37" s="59">
        <v>0</v>
      </c>
      <c r="I37" s="59">
        <v>0</v>
      </c>
      <c r="J37" s="59">
        <f>((C$5*'Tariffs Jan2022'!AL31/'Tariffs Jan2022'!AJ31)*('Tariffs Jan2022'!U31/100))*'Tariffs Jan2022'!AJ31</f>
        <v>589.90909090909076</v>
      </c>
      <c r="K37" s="59">
        <v>0</v>
      </c>
      <c r="L37" s="59">
        <v>0</v>
      </c>
      <c r="M37" s="59">
        <v>0</v>
      </c>
      <c r="N37" s="59">
        <v>0</v>
      </c>
      <c r="O37" s="59">
        <f t="shared" si="1"/>
        <v>1225.6363636363635</v>
      </c>
      <c r="P37" s="503">
        <f t="shared" si="2"/>
        <v>1348.2</v>
      </c>
      <c r="Q37" s="59">
        <f t="shared" si="3"/>
        <v>1443.1763636363635</v>
      </c>
      <c r="R37" s="272">
        <f t="shared" si="4"/>
        <v>1587.4939999999999</v>
      </c>
      <c r="S37" s="40">
        <f>'Tariffs Jan2022'!AN31</f>
        <v>0</v>
      </c>
      <c r="T37" s="40">
        <f>'Tariffs Jan2022'!AO31</f>
        <v>0</v>
      </c>
      <c r="U37" s="40">
        <f>'Tariffs Jan2022'!AP31</f>
        <v>0</v>
      </c>
      <c r="V37" s="40">
        <f>'Tariffs Jan2022'!AQ31</f>
        <v>0</v>
      </c>
      <c r="W37" s="537" t="str">
        <f t="shared" si="30"/>
        <v>No discount</v>
      </c>
      <c r="X37" s="538" t="str">
        <f t="shared" si="31"/>
        <v>Exclusive</v>
      </c>
      <c r="Y37" s="534">
        <f t="shared" ref="Y37:Y38" si="40">IF(AND(W37="Guaranteed off bill",X37="Inclusive"),((Q37*1.1)-((Q37*1.1)*S37/100))/1.1,IF(AND(W37="Guaranteed off usage",X37="Inclusive"),((Q37*1.1)-((P37*1.1)*T37/100))/1.1,IF(AND(W37="Guaranteed off bill",X37="Exclusive"),Q37-(Q37*S37/100),IF(AND(W37="Guaranteed off usage",X37="Exclusive"),Q37-(P37*T37/100),IF(X37="Inclusive",((Q37*1.1))/1.1,Q37)))))</f>
        <v>1443.1763636363635</v>
      </c>
      <c r="Z37" s="535">
        <f t="shared" ref="Z37:Z38" si="41">IF(AND(W37="Pay-on-time off bill",X37="Inclusive"),((Y37*1.1)-((Y37*1.1)*U37/100))/1.1,IF(AND(W37="Pay-on-time off usage",X37="Inclusive"),((Y37*1.1)-((P37*1.1)*V37/100))/1.1,IF(AND(W37="Pay-on-time off bill",X37="Exclusive"),Y37-(Y37*U37/100),IF(AND(W37="Pay-on-time off usage",X37="Exclusive"),Y37-(P37*V37/100),IF(X37="Inclusive",((Y37*1.1))/1.1,Y37)))))</f>
        <v>1443.1763636363635</v>
      </c>
      <c r="AA37" s="542">
        <f t="shared" si="29"/>
        <v>1587.4939999999999</v>
      </c>
      <c r="AB37" s="542">
        <f t="shared" si="29"/>
        <v>1587.4939999999999</v>
      </c>
      <c r="AC37" s="274">
        <f>'Tariffs Jan2022'!AZ31</f>
        <v>0</v>
      </c>
      <c r="AD37" s="274" t="str">
        <f>'Tariffs Jan2022'!BA31</f>
        <v>n</v>
      </c>
      <c r="AE37" s="275" t="str">
        <f>'Tariffs Jan2022'!BJ31</f>
        <v>Y</v>
      </c>
      <c r="AF37" s="577"/>
      <c r="AG37" s="577"/>
      <c r="AH37" s="577"/>
      <c r="AI37" s="577"/>
      <c r="AJ37" s="577"/>
      <c r="AK37" s="577"/>
      <c r="AL37" s="577"/>
      <c r="AM37" s="577"/>
      <c r="AN37" s="577"/>
      <c r="AO37" s="577"/>
      <c r="AP37" s="577"/>
      <c r="AQ37" s="577"/>
      <c r="AR37" s="577"/>
      <c r="AS37" s="577"/>
      <c r="AT37" s="577"/>
      <c r="AU37" s="577"/>
      <c r="AV37" s="577"/>
      <c r="AW37" s="577"/>
    </row>
    <row r="38" spans="1:49" ht="14" x14ac:dyDescent="0.15">
      <c r="A38" s="270" t="str">
        <f>'Tariffs Jan2022'!F32</f>
        <v>Tango Energy</v>
      </c>
      <c r="B38" s="40" t="str">
        <f>'Tariffs Jan2022'!D32</f>
        <v>Multinet Metro 2</v>
      </c>
      <c r="C38" s="40" t="str">
        <f>'Tariffs Jan2022'!G32</f>
        <v>Home Select</v>
      </c>
      <c r="D38" s="59">
        <f>365*'Tariffs Jan2022'!H32/100</f>
        <v>237.25</v>
      </c>
      <c r="E38" s="59">
        <f>IF($C$5*'Tariffs Jan2022'!AK32/'Tariffs Jan2022'!AI32&gt;='Tariffs Jan2022'!J32,( 'Tariffs Jan2022'!J32*'Tariffs Jan2022'!O32/100)* 'Tariffs Jan2022'!AI32,($C$5*'Tariffs Jan2022'!AK32/'Tariffs Jan2022'!AI32*'Tariffs Jan2022'!O32/100)* 'Tariffs Jan2022'!AI32)</f>
        <v>151.36363636363637</v>
      </c>
      <c r="F38" s="59">
        <f>IF($C$5*'Tariffs Jan2022'!AK32/'Tariffs Jan2022'!AI32&lt;'Tariffs Jan2022'!J32,0,IF($C$5*'Tariffs Jan2022'!AK32/'Tariffs Jan2022'!AI32&lt;='Tariffs Jan2022'!K32,($C$5*'Tariffs Jan2022'!AK32/'Tariffs Jan2022'!AI32-'Tariffs Jan2022'!J32)*('Tariffs Jan2022'!P32/100)*'Tariffs Jan2022'!AI32,('Tariffs Jan2022'!K32-'Tariffs Jan2022'!J32)*('Tariffs Jan2022'!P32/100)*'Tariffs Jan2022'!AI32))</f>
        <v>133.36363636363637</v>
      </c>
      <c r="G38" s="59">
        <f>IF($C$5*'Tariffs Jan2022'!AK32/'Tariffs Jan2022'!AI32&lt;'Tariffs Jan2022'!K32,0,IF($C$5*'Tariffs Jan2022'!AK32/'Tariffs Jan2022'!AI32&lt;='Tariffs Jan2022'!L32,($C$5*'Tariffs Jan2022'!AK32/'Tariffs Jan2022'!AI32-'Tariffs Jan2022'!K32)*('Tariffs Jan2022'!Q32/100)*'Tariffs Jan2022'!AI32,('Tariffs Jan2022'!L32-'Tariffs Jan2022'!K32)*('Tariffs Jan2022'!Q32/100)*'Tariffs Jan2022'!AI32))</f>
        <v>116.99999999999997</v>
      </c>
      <c r="H38" s="59">
        <f>IF($C$5*'Tariffs Jan2022'!AK32/'Tariffs Jan2022'!AI32&lt;'Tariffs Jan2022'!L32,0,IF($C$5*'Tariffs Jan2022'!AK32/'Tariffs Jan2022'!AI32&lt;='Tariffs Jan2022'!M32,($C$5*'Tariffs Jan2022'!AK32/'Tariffs Jan2022'!AI32-'Tariffs Jan2022'!L32)*('Tariffs Jan2022'!R32/100)*'Tariffs Jan2022'!AI32,('Tariffs Jan2022'!M32-'Tariffs Jan2022'!L32)*('Tariffs Jan2022'!R32/100)*'Tariffs Jan2022'!AI32))</f>
        <v>55.636363636363626</v>
      </c>
      <c r="I38" s="59">
        <f>IF(($C$5*'Tariffs Jan2022'!AK32/'Tariffs Jan2022'!AI32&gt;'Tariffs Jan2022'!M32),($C$5*'Tariffs Jan2022'!AK32/'Tariffs Jan2022'!AI32-'Tariffs Jan2022'!M32)*'Tariffs Jan2022'!S32/100*'Tariffs Jan2022'!AI32,0)</f>
        <v>0</v>
      </c>
      <c r="J38" s="59">
        <f>IF($C$5*'Tariffs Jan2022'!AL32/'Tariffs Jan2022'!AJ32&gt;='Tariffs Jan2022'!J32,('Tariffs Jan2022'!J32*'Tariffs Jan2022'!U32/100)* 'Tariffs Jan2022'!AJ32,($C$5*'Tariffs Jan2022'!AL32/'Tariffs Jan2022'!AJ32*'Tariffs Jan2022'!U32/100)* 'Tariffs Jan2022'!AJ32)</f>
        <v>134.99999999999997</v>
      </c>
      <c r="K38" s="59">
        <f>IF($C$5*'Tariffs Jan2022'!AL32/'Tariffs Jan2022'!AJ32&lt;'Tariffs Jan2022'!J32,0,IF($C$5*'Tariffs Jan2022'!AL32/'Tariffs Jan2022'!AJ32&lt;='Tariffs Jan2022'!K32,($C$5*'Tariffs Jan2022'!AL32/'Tariffs Jan2022'!AJ32-'Tariffs Jan2022'!J32)*('Tariffs Jan2022'!V32/100)*'Tariffs Jan2022'!AJ32,('Tariffs Jan2022'!K32-'Tariffs Jan2022'!J32)*('Tariffs Jan2022'!V32/100)*'Tariffs Jan2022'!AJ32))</f>
        <v>125.99999999999997</v>
      </c>
      <c r="L38" s="59">
        <f>IF($C$5*'Tariffs Jan2022'!AL32/'Tariffs Jan2022'!AJ32&lt;'Tariffs Jan2022'!K32,0,IF($C$5*'Tariffs Jan2022'!AL32/'Tariffs Jan2022'!AJ32&lt;='Tariffs Jan2022'!L32,($C$5*'Tariffs Jan2022'!AL32/'Tariffs Jan2022'!AJ32-'Tariffs Jan2022'!K32)*('Tariffs Jan2022'!W32/100)*'Tariffs Jan2022'!AJ32,('Tariffs Jan2022'!L32-'Tariffs Jan2022'!K32)*('Tariffs Jan2022'!W32/100)*'Tariffs Jan2022'!AJ32))</f>
        <v>116.99999999999997</v>
      </c>
      <c r="M38" s="59">
        <f>IF($C$5*'Tariffs Jan2022'!AL32/'Tariffs Jan2022'!AJ32&lt;'Tariffs Jan2022'!L32,0,IF($C$5*'Tariffs Jan2022'!AL32/'Tariffs Jan2022'!AJ32&lt;='Tariffs Jan2022'!M32,($C$5*'Tariffs Jan2022'!AL32/'Tariffs Jan2022'!AJ32-'Tariffs Jan2022'!L32)*('Tariffs Jan2022'!X32/100)*'Tariffs Jan2022'!AJ32,('Tariffs Jan2022'!M32-'Tariffs Jan2022'!L32)*('Tariffs Jan2022'!X32/100)*'Tariffs Jan2022'!AJ32))</f>
        <v>54</v>
      </c>
      <c r="N38" s="59">
        <f>IF(($C$5*'Tariffs Jan2022'!AL32/'Tariffs Jan2022'!AJ32&gt;'Tariffs Jan2022'!M32),($C$5*'Tariffs Jan2022'!AL32/'Tariffs Jan2022'!AJ32-'Tariffs Jan2022'!M32)*'Tariffs Jan2022'!Y32/100*'Tariffs Jan2022'!AJ32,0)</f>
        <v>0</v>
      </c>
      <c r="O38" s="59">
        <f t="shared" si="1"/>
        <v>889.36363636363637</v>
      </c>
      <c r="P38" s="503">
        <f t="shared" si="2"/>
        <v>978.30000000000007</v>
      </c>
      <c r="Q38" s="59">
        <f>D38+O38</f>
        <v>1126.6136363636365</v>
      </c>
      <c r="R38" s="272">
        <f t="shared" si="4"/>
        <v>1239.2750000000003</v>
      </c>
      <c r="S38" s="40">
        <f>'Tariffs Jan2022'!AN32</f>
        <v>0</v>
      </c>
      <c r="T38" s="40">
        <f>'Tariffs Jan2022'!AO32</f>
        <v>0</v>
      </c>
      <c r="U38" s="40">
        <f>'Tariffs Jan2022'!AP32</f>
        <v>0</v>
      </c>
      <c r="V38" s="40">
        <f>'Tariffs Jan2022'!AQ32</f>
        <v>0</v>
      </c>
      <c r="W38" s="537" t="str">
        <f t="shared" si="30"/>
        <v>No discount</v>
      </c>
      <c r="X38" s="538" t="str">
        <f t="shared" si="31"/>
        <v>Exclusive</v>
      </c>
      <c r="Y38" s="534">
        <f t="shared" si="40"/>
        <v>1126.6136363636365</v>
      </c>
      <c r="Z38" s="535">
        <f t="shared" si="41"/>
        <v>1126.6136363636365</v>
      </c>
      <c r="AA38" s="542">
        <f t="shared" si="29"/>
        <v>1239.2750000000003</v>
      </c>
      <c r="AB38" s="542">
        <f t="shared" si="29"/>
        <v>1239.2750000000003</v>
      </c>
      <c r="AC38" s="274">
        <f>'Tariffs Jan2022'!AZ32</f>
        <v>0</v>
      </c>
      <c r="AD38" s="274" t="str">
        <f>'Tariffs Jan2022'!BA32</f>
        <v>n</v>
      </c>
      <c r="AE38" s="275" t="str">
        <f>'Tariffs Jan2022'!BJ32</f>
        <v>N</v>
      </c>
      <c r="AF38" s="577"/>
      <c r="AG38" s="577"/>
      <c r="AH38" s="577"/>
      <c r="AI38" s="577"/>
      <c r="AJ38" s="577"/>
      <c r="AK38" s="577"/>
      <c r="AL38" s="577"/>
      <c r="AM38" s="577"/>
      <c r="AN38" s="577"/>
      <c r="AO38" s="577"/>
      <c r="AP38" s="577"/>
      <c r="AQ38" s="577"/>
      <c r="AR38" s="577"/>
      <c r="AS38" s="577"/>
      <c r="AT38" s="577"/>
      <c r="AU38" s="577"/>
      <c r="AV38" s="577"/>
      <c r="AW38" s="577"/>
    </row>
    <row r="39" spans="1:49" ht="15" thickBot="1" x14ac:dyDescent="0.2">
      <c r="A39" s="276" t="str">
        <f>'Tariffs Jan2022'!F33</f>
        <v>Discover Energy</v>
      </c>
      <c r="B39" s="277" t="str">
        <f>'Tariffs Jan2022'!D33</f>
        <v>Multinet Metro 2</v>
      </c>
      <c r="C39" s="277" t="str">
        <f>'Tariffs Jan2022'!G33</f>
        <v>Budget Offer</v>
      </c>
      <c r="D39" s="278">
        <f>365*'Tariffs Jan2022'!H33/100</f>
        <v>218.96681818181816</v>
      </c>
      <c r="E39" s="278">
        <f>IF($C$5*'Tariffs Jan2022'!AK33/'Tariffs Jan2022'!AI33&gt;='Tariffs Jan2022'!J33,( 'Tariffs Jan2022'!J33*'Tariffs Jan2022'!O33/100)* 'Tariffs Jan2022'!AI33,($C$5*'Tariffs Jan2022'!AK33/'Tariffs Jan2022'!AI33*'Tariffs Jan2022'!O33/100)* 'Tariffs Jan2022'!AI33)</f>
        <v>201.27272727272728</v>
      </c>
      <c r="F39" s="278">
        <f>IF($C$5*'Tariffs Jan2022'!AK33/'Tariffs Jan2022'!AI33&lt;'Tariffs Jan2022'!J33,0,IF($C$5*'Tariffs Jan2022'!AK33/'Tariffs Jan2022'!AI33&lt;='Tariffs Jan2022'!K33,($C$5*'Tariffs Jan2022'!AK33/'Tariffs Jan2022'!AI33-'Tariffs Jan2022'!J33)*('Tariffs Jan2022'!P33/100)*'Tariffs Jan2022'!AI33,('Tariffs Jan2022'!K33-'Tariffs Jan2022'!J33)*('Tariffs Jan2022'!P33/100)*'Tariffs Jan2022'!AI33))</f>
        <v>197.18181818181819</v>
      </c>
      <c r="G39" s="278">
        <f>IF($C$5*'Tariffs Jan2022'!AK33/'Tariffs Jan2022'!AI33&lt;'Tariffs Jan2022'!K33,0,IF($C$5*'Tariffs Jan2022'!AK33/'Tariffs Jan2022'!AI33&lt;='Tariffs Jan2022'!L33,($C$5*'Tariffs Jan2022'!AK33/'Tariffs Jan2022'!AI33-'Tariffs Jan2022'!K33)*('Tariffs Jan2022'!Q33/100)*'Tariffs Jan2022'!AI33,('Tariffs Jan2022'!L33-'Tariffs Jan2022'!K33)*('Tariffs Jan2022'!Q33/100)*'Tariffs Jan2022'!AI33))</f>
        <v>153.00000000000003</v>
      </c>
      <c r="H39" s="278">
        <f>IF($C$5*'Tariffs Jan2022'!AK33/'Tariffs Jan2022'!AI33&lt;'Tariffs Jan2022'!L33,0,IF($C$5*'Tariffs Jan2022'!AK33/'Tariffs Jan2022'!AI33&lt;='Tariffs Jan2022'!M33,($C$5*'Tariffs Jan2022'!AK33/'Tariffs Jan2022'!AI33-'Tariffs Jan2022'!L33)*('Tariffs Jan2022'!R33/100)*'Tariffs Jan2022'!AI33,('Tariffs Jan2022'!M33-'Tariffs Jan2022'!L33)*('Tariffs Jan2022'!R33/100)*'Tariffs Jan2022'!AI33))</f>
        <v>65.454545454545453</v>
      </c>
      <c r="I39" s="278">
        <f>IF(($C$5*'Tariffs Jan2022'!AK33/'Tariffs Jan2022'!AI33&gt;'Tariffs Jan2022'!M33),($C$5*'Tariffs Jan2022'!AK33/'Tariffs Jan2022'!AI33-'Tariffs Jan2022'!M33)*'Tariffs Jan2022'!S33/100*'Tariffs Jan2022'!AI33,0)</f>
        <v>0</v>
      </c>
      <c r="J39" s="278">
        <f>IF($C$5*'Tariffs Jan2022'!AL33/'Tariffs Jan2022'!AJ33&gt;='Tariffs Jan2022'!J33,('Tariffs Jan2022'!J33*'Tariffs Jan2022'!U33/100)* 'Tariffs Jan2022'!AJ33,($C$5*'Tariffs Jan2022'!AL33/'Tariffs Jan2022'!AJ33*'Tariffs Jan2022'!U33/100)* 'Tariffs Jan2022'!AJ33)</f>
        <v>201.27272727272728</v>
      </c>
      <c r="K39" s="278">
        <f>IF($C$5*'Tariffs Jan2022'!AL33/'Tariffs Jan2022'!AJ33&lt;'Tariffs Jan2022'!J33,0,IF($C$5*'Tariffs Jan2022'!AL33/'Tariffs Jan2022'!AJ33&lt;='Tariffs Jan2022'!K33,($C$5*'Tariffs Jan2022'!AL33/'Tariffs Jan2022'!AJ33-'Tariffs Jan2022'!J33)*('Tariffs Jan2022'!V33/100)*'Tariffs Jan2022'!AJ33,('Tariffs Jan2022'!K33-'Tariffs Jan2022'!J33)*('Tariffs Jan2022'!V33/100)*'Tariffs Jan2022'!AJ33))</f>
        <v>177.5454545454545</v>
      </c>
      <c r="L39" s="278">
        <f>IF($C$5*'Tariffs Jan2022'!AL33/'Tariffs Jan2022'!AJ33&lt;'Tariffs Jan2022'!K33,0,IF($C$5*'Tariffs Jan2022'!AL33/'Tariffs Jan2022'!AJ33&lt;='Tariffs Jan2022'!L33,($C$5*'Tariffs Jan2022'!AL33/'Tariffs Jan2022'!AJ33-'Tariffs Jan2022'!K33)*('Tariffs Jan2022'!W33/100)*'Tariffs Jan2022'!AJ33,('Tariffs Jan2022'!L33-'Tariffs Jan2022'!K33)*('Tariffs Jan2022'!W33/100)*'Tariffs Jan2022'!AJ33))</f>
        <v>146.45454545454544</v>
      </c>
      <c r="M39" s="278">
        <f>IF($C$5*'Tariffs Jan2022'!AL33/'Tariffs Jan2022'!AJ33&lt;'Tariffs Jan2022'!L33,0,IF($C$5*'Tariffs Jan2022'!AL33/'Tariffs Jan2022'!AJ33&lt;='Tariffs Jan2022'!M33,($C$5*'Tariffs Jan2022'!AL33/'Tariffs Jan2022'!AJ33-'Tariffs Jan2022'!L33)*('Tariffs Jan2022'!X33/100)*'Tariffs Jan2022'!AJ33,('Tariffs Jan2022'!M33-'Tariffs Jan2022'!L33)*('Tariffs Jan2022'!X33/100)*'Tariffs Jan2022'!AJ33))</f>
        <v>65.045454545454533</v>
      </c>
      <c r="N39" s="278">
        <f>IF(($C$5*'Tariffs Jan2022'!AL33/'Tariffs Jan2022'!AJ33&gt;'Tariffs Jan2022'!M33),($C$5*'Tariffs Jan2022'!AL33/'Tariffs Jan2022'!AJ33-'Tariffs Jan2022'!M33)*'Tariffs Jan2022'!Y33/100*'Tariffs Jan2022'!AJ33,0)</f>
        <v>0</v>
      </c>
      <c r="O39" s="278">
        <f t="shared" ref="O39" si="42">SUM(E39:N39)</f>
        <v>1207.2272727272727</v>
      </c>
      <c r="P39" s="504">
        <f t="shared" ref="P39" si="43">O39*1.1</f>
        <v>1327.95</v>
      </c>
      <c r="Q39" s="278">
        <f>D39+O39</f>
        <v>1426.1940909090908</v>
      </c>
      <c r="R39" s="280">
        <f t="shared" ref="R39" si="44">Q39*1.1</f>
        <v>1568.8135</v>
      </c>
      <c r="S39" s="277">
        <f>'Tariffs Jan2022'!AN33</f>
        <v>0</v>
      </c>
      <c r="T39" s="277">
        <f>'Tariffs Jan2022'!AO33</f>
        <v>22</v>
      </c>
      <c r="U39" s="277">
        <f>'Tariffs Jan2022'!AP33</f>
        <v>0</v>
      </c>
      <c r="V39" s="277">
        <f>'Tariffs Jan2022'!AQ33</f>
        <v>0</v>
      </c>
      <c r="W39" s="540" t="str">
        <f t="shared" ref="W39" si="45">IF(SUM(S39:V39)=0,"No discount",IF(S39&gt;0,"Guaranteed off bill",IF(T39&gt;0,"Guaranteed off usage",IF(U39&gt;0,"Pay-on-time off bill","Pay-on-time off usage"))))</f>
        <v>Guaranteed off usage</v>
      </c>
      <c r="X39" s="541" t="str">
        <f t="shared" ref="X39" si="46">IF(OR(A39="Origin Energy",A39="Red Energy",A39="Powershop"),"Inclusive","Exclusive")</f>
        <v>Exclusive</v>
      </c>
      <c r="Y39" s="543">
        <f t="shared" ref="Y39" si="47">IF(AND(W39="Guaranteed off bill",X39="Inclusive"),((Q39*1.1)-((Q39*1.1)*S39/100))/1.1,IF(AND(W39="Guaranteed off usage",X39="Inclusive"),((Q39*1.1)-((P39*1.1)*T39/100))/1.1,IF(AND(W39="Guaranteed off bill",X39="Exclusive"),Q39-(Q39*S39/100),IF(AND(W39="Guaranteed off usage",X39="Exclusive"),Q39-(P39*T39/100),IF(X39="Inclusive",((Q39*1.1))/1.1,Q39)))))</f>
        <v>1134.045090909091</v>
      </c>
      <c r="Z39" s="544">
        <f t="shared" ref="Z39" si="48">IF(AND(W39="Pay-on-time off bill",X39="Inclusive"),((Y39*1.1)-((Y39*1.1)*U39/100))/1.1,IF(AND(W39="Pay-on-time off usage",X39="Inclusive"),((Y39*1.1)-((P39*1.1)*V39/100))/1.1,IF(AND(W39="Pay-on-time off bill",X39="Exclusive"),Y39-(Y39*U39/100),IF(AND(W39="Pay-on-time off usage",X39="Exclusive"),Y39-(P39*V39/100),IF(X39="Inclusive",((Y39*1.1))/1.1,Y39)))))</f>
        <v>1134.045090909091</v>
      </c>
      <c r="AA39" s="545">
        <f t="shared" ref="AA39" si="49">Y39*1.1</f>
        <v>1247.4496000000001</v>
      </c>
      <c r="AB39" s="545">
        <f t="shared" ref="AB39" si="50">Z39*1.1</f>
        <v>1247.4496000000001</v>
      </c>
      <c r="AC39" s="282">
        <f>'Tariffs Jan2022'!AZ33</f>
        <v>0</v>
      </c>
      <c r="AD39" s="282" t="str">
        <f>'Tariffs Jan2022'!BA33</f>
        <v>n</v>
      </c>
      <c r="AE39" s="283" t="str">
        <f>'Tariffs Jan2022'!BJ33</f>
        <v>N</v>
      </c>
      <c r="AF39" s="577"/>
      <c r="AG39" s="577"/>
      <c r="AH39" s="577"/>
      <c r="AI39" s="577"/>
      <c r="AJ39" s="577"/>
      <c r="AK39" s="577"/>
      <c r="AL39" s="577"/>
      <c r="AM39" s="577"/>
      <c r="AN39" s="577"/>
      <c r="AO39" s="577"/>
      <c r="AP39" s="577"/>
      <c r="AQ39" s="577"/>
      <c r="AR39" s="577"/>
      <c r="AS39" s="577"/>
      <c r="AT39" s="577"/>
      <c r="AU39" s="577"/>
      <c r="AV39" s="577"/>
      <c r="AW39" s="577"/>
    </row>
    <row r="40" spans="1:49" ht="15" thickTop="1" x14ac:dyDescent="0.15">
      <c r="A40" s="270" t="str">
        <f>'Tariffs Jan2022'!F34</f>
        <v>AGL</v>
      </c>
      <c r="B40" s="40" t="str">
        <f>'Tariffs Jan2022'!D34</f>
        <v>AGN North</v>
      </c>
      <c r="C40" s="40" t="str">
        <f>'Tariffs Jan2022'!G34</f>
        <v>Flexible Saver</v>
      </c>
      <c r="D40" s="59">
        <f>365*'Tariffs Jan2022'!H34/100</f>
        <v>297.30909090909086</v>
      </c>
      <c r="E40" s="59">
        <f>IF($C$5*'Tariffs Jan2022'!AK34/'Tariffs Jan2022'!AI34&gt;='Tariffs Jan2022'!J34,( 'Tariffs Jan2022'!J34*'Tariffs Jan2022'!O34/100)* 'Tariffs Jan2022'!AI34,($C$5*'Tariffs Jan2022'!AK34/'Tariffs Jan2022'!AI34*'Tariffs Jan2022'!O34/100)* 'Tariffs Jan2022'!AI34)</f>
        <v>120.23454545454545</v>
      </c>
      <c r="F40" s="59">
        <f>IF($C$5*'Tariffs Jan2022'!AK34/'Tariffs Jan2022'!AI34&lt;'Tariffs Jan2022'!J34,0,IF($C$5*'Tariffs Jan2022'!AK34/'Tariffs Jan2022'!AI34&lt;='Tariffs Jan2022'!K34,($C$5*'Tariffs Jan2022'!AK34/'Tariffs Jan2022'!AI34-'Tariffs Jan2022'!J34)*('Tariffs Jan2022'!P34/100)*'Tariffs Jan2022'!AI34,('Tariffs Jan2022'!K34-'Tariffs Jan2022'!J34)*('Tariffs Jan2022'!P34/100)*'Tariffs Jan2022'!AI34))</f>
        <v>92.016818181818181</v>
      </c>
      <c r="G40" s="59">
        <f>IF($C$5*'Tariffs Jan2022'!AK34/'Tariffs Jan2022'!AI34&lt;'Tariffs Jan2022'!K34,0,IF($C$5*'Tariffs Jan2022'!AK34/'Tariffs Jan2022'!AI34&lt;='Tariffs Jan2022'!L34,($C$5*'Tariffs Jan2022'!AK34/'Tariffs Jan2022'!AI34-'Tariffs Jan2022'!K34)*('Tariffs Jan2022'!Q34/100)*'Tariffs Jan2022'!AI34,('Tariffs Jan2022'!L34-'Tariffs Jan2022'!K34)*('Tariffs Jan2022'!Q34/100)*'Tariffs Jan2022'!AI34))</f>
        <v>0</v>
      </c>
      <c r="H40" s="59">
        <f>IF($C$5*'Tariffs Jan2022'!AK34/'Tariffs Jan2022'!AI34&lt;'Tariffs Jan2022'!L34,0,IF($C$5*'Tariffs Jan2022'!AK34/'Tariffs Jan2022'!AI34&lt;='Tariffs Jan2022'!M34,($C$5*'Tariffs Jan2022'!AK34/'Tariffs Jan2022'!AI34-'Tariffs Jan2022'!L34)*('Tariffs Jan2022'!R34/100)*'Tariffs Jan2022'!AI34,('Tariffs Jan2022'!M34-'Tariffs Jan2022'!L34)*('Tariffs Jan2022'!R34/100)*'Tariffs Jan2022'!AI34))</f>
        <v>0</v>
      </c>
      <c r="I40" s="59">
        <f>IF(($C$5*'Tariffs Jan2022'!AK34/'Tariffs Jan2022'!AI34&gt;'Tariffs Jan2022'!M34),($C$5*'Tariffs Jan2022'!AK34/'Tariffs Jan2022'!AI34-'Tariffs Jan2022'!M34)*'Tariffs Jan2022'!S34/100*'Tariffs Jan2022'!AI34,0)</f>
        <v>425.45454545454544</v>
      </c>
      <c r="J40" s="59">
        <f>IF($C$5*'Tariffs Jan2022'!AL34/'Tariffs Jan2022'!AJ34&gt;='Tariffs Jan2022'!J34,('Tariffs Jan2022'!J34*'Tariffs Jan2022'!U34/100)* 'Tariffs Jan2022'!AJ34,($C$5*'Tariffs Jan2022'!AL34/'Tariffs Jan2022'!AJ34*'Tariffs Jan2022'!U34/100)* 'Tariffs Jan2022'!AJ34)</f>
        <v>120.23454545454545</v>
      </c>
      <c r="K40" s="59">
        <f>IF($C$5*'Tariffs Jan2022'!AL34/'Tariffs Jan2022'!AJ34&lt;'Tariffs Jan2022'!J34,0,IF($C$5*'Tariffs Jan2022'!AL34/'Tariffs Jan2022'!AJ34&lt;='Tariffs Jan2022'!K34,($C$5*'Tariffs Jan2022'!AL34/'Tariffs Jan2022'!AJ34-'Tariffs Jan2022'!J34)*('Tariffs Jan2022'!V34/100)*'Tariffs Jan2022'!AJ34,('Tariffs Jan2022'!K34-'Tariffs Jan2022'!J34)*('Tariffs Jan2022'!V34/100)*'Tariffs Jan2022'!AJ34))</f>
        <v>92.016818181818181</v>
      </c>
      <c r="L40" s="59">
        <f>IF($C$5*'Tariffs Jan2022'!AL34/'Tariffs Jan2022'!AJ34&lt;'Tariffs Jan2022'!K34,0,IF($C$5*'Tariffs Jan2022'!AL34/'Tariffs Jan2022'!AJ34&lt;='Tariffs Jan2022'!L34,($C$5*'Tariffs Jan2022'!AL34/'Tariffs Jan2022'!AJ34-'Tariffs Jan2022'!K34)*('Tariffs Jan2022'!W34/100)*'Tariffs Jan2022'!AJ34,('Tariffs Jan2022'!L34-'Tariffs Jan2022'!K34)*('Tariffs Jan2022'!W34/100)*'Tariffs Jan2022'!AJ34))</f>
        <v>0</v>
      </c>
      <c r="M40" s="59">
        <f>IF($C$5*'Tariffs Jan2022'!AL34/'Tariffs Jan2022'!AJ34&lt;'Tariffs Jan2022'!L34,0,IF($C$5*'Tariffs Jan2022'!AL34/'Tariffs Jan2022'!AJ34&lt;='Tariffs Jan2022'!M34,($C$5*'Tariffs Jan2022'!AL34/'Tariffs Jan2022'!AJ34-'Tariffs Jan2022'!L34)*('Tariffs Jan2022'!X34/100)*'Tariffs Jan2022'!AJ34,('Tariffs Jan2022'!M34-'Tariffs Jan2022'!L34)*('Tariffs Jan2022'!X34/100)*'Tariffs Jan2022'!AJ34))</f>
        <v>0</v>
      </c>
      <c r="N40" s="59">
        <f>IF(($C$5*'Tariffs Jan2022'!AL34/'Tariffs Jan2022'!AJ34&gt;'Tariffs Jan2022'!M34),($C$5*'Tariffs Jan2022'!AL34/'Tariffs Jan2022'!AJ34-'Tariffs Jan2022'!M34)*'Tariffs Jan2022'!Y34/100*'Tariffs Jan2022'!AJ34,0)</f>
        <v>425.45454545454544</v>
      </c>
      <c r="O40" s="59">
        <f t="shared" si="1"/>
        <v>1275.411818181818</v>
      </c>
      <c r="P40" s="503">
        <f t="shared" si="2"/>
        <v>1402.953</v>
      </c>
      <c r="Q40" s="59">
        <f t="shared" si="3"/>
        <v>1572.7209090909089</v>
      </c>
      <c r="R40" s="272">
        <f t="shared" si="4"/>
        <v>1729.9929999999999</v>
      </c>
      <c r="S40" s="40">
        <f>'Tariffs Jan2022'!AN34</f>
        <v>0</v>
      </c>
      <c r="T40" s="40">
        <f>'Tariffs Jan2022'!AO34</f>
        <v>0</v>
      </c>
      <c r="U40" s="40">
        <f>'Tariffs Jan2022'!AP34</f>
        <v>0</v>
      </c>
      <c r="V40" s="40">
        <f>'Tariffs Jan2022'!AQ34</f>
        <v>0</v>
      </c>
      <c r="W40" s="537" t="str">
        <f>IF(SUM(S40:V40)=0,"No discount",IF(S40&gt;0,"Guaranteed off bill",IF(T40&gt;0,"Guaranteed off usage",IF(U40&gt;0,"Pay-on-time off bill","Pay-on-time off usage"))))</f>
        <v>No discount</v>
      </c>
      <c r="X40" s="538" t="str">
        <f>IF(OR(A40="Origin Energy",A40="Red Energy",A40="Powershop"),"Inclusive","Exclusive")</f>
        <v>Exclusive</v>
      </c>
      <c r="Y40" s="534">
        <f>IF(AND(W40="Guaranteed off bill",X40="Inclusive"),((Q40*1.1)-((Q40*1.1)*S40/100))/1.1,IF(AND(W40="Guaranteed off usage",X40="Inclusive"),((Q40*1.1)-((P40*1.1)*T40/100))/1.1,IF(AND(W40="Guaranteed off bill",X40="Exclusive"),Q40-(Q40*S40/100),IF(AND(W40="Guaranteed off usage",X40="Exclusive"),Q40-(P40*T40/100),IF(X40="Inclusive",((Q40*1.1))/1.1,Q40)))))</f>
        <v>1572.7209090909089</v>
      </c>
      <c r="Z40" s="535">
        <f>IF(AND(W40="Pay-on-time off bill",X40="Inclusive"),((Y40*1.1)-((Y40*1.1)*U40/100))/1.1,IF(AND(W40="Pay-on-time off usage",X40="Inclusive"),((Y40*1.1)-((P40*1.1)*V40/100))/1.1,IF(AND(W40="Pay-on-time off bill",X40="Exclusive"),Y40-(Y40*U40/100),IF(AND(W40="Pay-on-time off usage",X40="Exclusive"),Y40-(P40*V40/100),IF(X40="Inclusive",((Y40*1.1))/1.1,Y40)))))</f>
        <v>1572.7209090909089</v>
      </c>
      <c r="AA40" s="542">
        <f t="shared" ref="AA40:AB54" si="51">Y40*1.1</f>
        <v>1729.9929999999999</v>
      </c>
      <c r="AB40" s="542">
        <f t="shared" si="51"/>
        <v>1729.9929999999999</v>
      </c>
      <c r="AC40" s="274">
        <f>'Tariffs Jan2022'!AZ34</f>
        <v>0</v>
      </c>
      <c r="AD40" s="274" t="str">
        <f>'Tariffs Jan2022'!BA34</f>
        <v>n</v>
      </c>
      <c r="AE40" s="275" t="str">
        <f>'Tariffs Jan2022'!BJ34</f>
        <v>N</v>
      </c>
      <c r="AF40" s="577"/>
      <c r="AG40" s="577"/>
      <c r="AH40" s="577"/>
      <c r="AI40" s="577"/>
      <c r="AJ40" s="577"/>
      <c r="AK40" s="577"/>
      <c r="AL40" s="577"/>
      <c r="AM40" s="577"/>
      <c r="AN40" s="577"/>
      <c r="AO40" s="577"/>
      <c r="AP40" s="577"/>
      <c r="AQ40" s="577"/>
      <c r="AR40" s="577"/>
      <c r="AS40" s="577"/>
      <c r="AT40" s="577"/>
      <c r="AU40" s="577"/>
      <c r="AV40" s="577"/>
      <c r="AW40" s="577"/>
    </row>
    <row r="41" spans="1:49" ht="14" x14ac:dyDescent="0.15">
      <c r="A41" s="270" t="str">
        <f>'Tariffs Jan2022'!F35</f>
        <v>Alinta Energy</v>
      </c>
      <c r="B41" s="40" t="str">
        <f>'Tariffs Jan2022'!D35</f>
        <v>AGN North</v>
      </c>
      <c r="C41" s="40" t="str">
        <f>'Tariffs Jan2022'!G35</f>
        <v>Home Deal</v>
      </c>
      <c r="D41" s="59">
        <f>365*'Tariffs Jan2022'!H35/100</f>
        <v>175.89681818181816</v>
      </c>
      <c r="E41" s="59">
        <f>IF($C$5*'Tariffs Jan2022'!AK35/'Tariffs Jan2022'!AI35&gt;='Tariffs Jan2022'!J35,( 'Tariffs Jan2022'!J35*'Tariffs Jan2022'!O35/100)* 'Tariffs Jan2022'!AI35,($C$5*'Tariffs Jan2022'!AK35/'Tariffs Jan2022'!AI35*'Tariffs Jan2022'!O35/100)* 'Tariffs Jan2022'!AI35)</f>
        <v>92.419090909090897</v>
      </c>
      <c r="F41" s="59">
        <f>IF($C$5*'Tariffs Jan2022'!AK35/'Tariffs Jan2022'!AI35&lt;'Tariffs Jan2022'!J35,0,IF($C$5*'Tariffs Jan2022'!AK35/'Tariffs Jan2022'!AI35&lt;='Tariffs Jan2022'!K35,($C$5*'Tariffs Jan2022'!AK35/'Tariffs Jan2022'!AI35-'Tariffs Jan2022'!J35)*('Tariffs Jan2022'!P35/100)*'Tariffs Jan2022'!AI35,('Tariffs Jan2022'!K35-'Tariffs Jan2022'!J35)*('Tariffs Jan2022'!P35/100)*'Tariffs Jan2022'!AI35))</f>
        <v>76.126363636363621</v>
      </c>
      <c r="G41" s="59">
        <f>IF($C$5*'Tariffs Jan2022'!AK35/'Tariffs Jan2022'!AI35&lt;'Tariffs Jan2022'!K35,0,IF($C$5*'Tariffs Jan2022'!AK35/'Tariffs Jan2022'!AI35&lt;='Tariffs Jan2022'!L35,($C$5*'Tariffs Jan2022'!AK35/'Tariffs Jan2022'!AI35-'Tariffs Jan2022'!K35)*('Tariffs Jan2022'!Q35/100)*'Tariffs Jan2022'!AI35,('Tariffs Jan2022'!L35-'Tariffs Jan2022'!K35)*('Tariffs Jan2022'!Q35/100)*'Tariffs Jan2022'!AI35))</f>
        <v>0</v>
      </c>
      <c r="H41" s="59">
        <f>IF($C$5*'Tariffs Jan2022'!AK35/'Tariffs Jan2022'!AI35&lt;'Tariffs Jan2022'!L35,0,IF($C$5*'Tariffs Jan2022'!AK35/'Tariffs Jan2022'!AI35&lt;='Tariffs Jan2022'!M35,($C$5*'Tariffs Jan2022'!AK35/'Tariffs Jan2022'!AI35-'Tariffs Jan2022'!L35)*('Tariffs Jan2022'!R35/100)*'Tariffs Jan2022'!AI35,('Tariffs Jan2022'!M35-'Tariffs Jan2022'!L35)*('Tariffs Jan2022'!R35/100)*'Tariffs Jan2022'!AI35))</f>
        <v>0</v>
      </c>
      <c r="I41" s="59">
        <f>IF(($C$5*'Tariffs Jan2022'!AK35/'Tariffs Jan2022'!AI35&gt;'Tariffs Jan2022'!M35),($C$5*'Tariffs Jan2022'!AK35/'Tariffs Jan2022'!AI35-'Tariffs Jan2022'!M35)*'Tariffs Jan2022'!S35/100*'Tariffs Jan2022'!AI35,0)</f>
        <v>362.0454545454545</v>
      </c>
      <c r="J41" s="59">
        <f>IF($C$5*'Tariffs Jan2022'!AL35/'Tariffs Jan2022'!AJ35&gt;='Tariffs Jan2022'!J35,('Tariffs Jan2022'!J35*'Tariffs Jan2022'!U35/100)* 'Tariffs Jan2022'!AJ35,($C$5*'Tariffs Jan2022'!AL35/'Tariffs Jan2022'!AJ35*'Tariffs Jan2022'!U35/100)* 'Tariffs Jan2022'!AJ35)</f>
        <v>92.419090909090897</v>
      </c>
      <c r="K41" s="59">
        <f>IF($C$5*'Tariffs Jan2022'!AL35/'Tariffs Jan2022'!AJ35&lt;'Tariffs Jan2022'!J35,0,IF($C$5*'Tariffs Jan2022'!AL35/'Tariffs Jan2022'!AJ35&lt;='Tariffs Jan2022'!K35,($C$5*'Tariffs Jan2022'!AL35/'Tariffs Jan2022'!AJ35-'Tariffs Jan2022'!J35)*('Tariffs Jan2022'!V35/100)*'Tariffs Jan2022'!AJ35,('Tariffs Jan2022'!K35-'Tariffs Jan2022'!J35)*('Tariffs Jan2022'!V35/100)*'Tariffs Jan2022'!AJ35))</f>
        <v>76.126363636363621</v>
      </c>
      <c r="L41" s="59">
        <f>IF($C$5*'Tariffs Jan2022'!AL35/'Tariffs Jan2022'!AJ35&lt;'Tariffs Jan2022'!K35,0,IF($C$5*'Tariffs Jan2022'!AL35/'Tariffs Jan2022'!AJ35&lt;='Tariffs Jan2022'!L35,($C$5*'Tariffs Jan2022'!AL35/'Tariffs Jan2022'!AJ35-'Tariffs Jan2022'!K35)*('Tariffs Jan2022'!W35/100)*'Tariffs Jan2022'!AJ35,('Tariffs Jan2022'!L35-'Tariffs Jan2022'!K35)*('Tariffs Jan2022'!W35/100)*'Tariffs Jan2022'!AJ35))</f>
        <v>0</v>
      </c>
      <c r="M41" s="59">
        <f>IF($C$5*'Tariffs Jan2022'!AL35/'Tariffs Jan2022'!AJ35&lt;'Tariffs Jan2022'!L35,0,IF($C$5*'Tariffs Jan2022'!AL35/'Tariffs Jan2022'!AJ35&lt;='Tariffs Jan2022'!M35,($C$5*'Tariffs Jan2022'!AL35/'Tariffs Jan2022'!AJ35-'Tariffs Jan2022'!L35)*('Tariffs Jan2022'!X35/100)*'Tariffs Jan2022'!AJ35,('Tariffs Jan2022'!M35-'Tariffs Jan2022'!L35)*('Tariffs Jan2022'!X35/100)*'Tariffs Jan2022'!AJ35))</f>
        <v>0</v>
      </c>
      <c r="N41" s="59">
        <f>IF(($C$5*'Tariffs Jan2022'!AL35/'Tariffs Jan2022'!AJ35&gt;'Tariffs Jan2022'!M35),($C$5*'Tariffs Jan2022'!AL35/'Tariffs Jan2022'!AJ35-'Tariffs Jan2022'!M35)*'Tariffs Jan2022'!Y35/100*'Tariffs Jan2022'!AJ35,0)</f>
        <v>362.0454545454545</v>
      </c>
      <c r="O41" s="59">
        <f t="shared" si="1"/>
        <v>1061.181818181818</v>
      </c>
      <c r="P41" s="503">
        <f t="shared" si="2"/>
        <v>1167.3</v>
      </c>
      <c r="Q41" s="59">
        <f t="shared" si="3"/>
        <v>1237.0786363636362</v>
      </c>
      <c r="R41" s="272">
        <f t="shared" si="4"/>
        <v>1360.7864999999999</v>
      </c>
      <c r="S41" s="40">
        <f>'Tariffs Jan2022'!AN35</f>
        <v>0</v>
      </c>
      <c r="T41" s="40">
        <f>'Tariffs Jan2022'!AO35</f>
        <v>0</v>
      </c>
      <c r="U41" s="40">
        <f>'Tariffs Jan2022'!AP35</f>
        <v>0</v>
      </c>
      <c r="V41" s="40">
        <f>'Tariffs Jan2022'!AQ35</f>
        <v>0</v>
      </c>
      <c r="W41" s="537" t="str">
        <f t="shared" ref="W41:W54" si="52">IF(SUM(S41:V41)=0,"No discount",IF(S41&gt;0,"Guaranteed off bill",IF(T41&gt;0,"Guaranteed off usage",IF(U41&gt;0,"Pay-on-time off bill","Pay-on-time off usage"))))</f>
        <v>No discount</v>
      </c>
      <c r="X41" s="538" t="str">
        <f t="shared" ref="X41:X54" si="53">IF(OR(A41="Origin Energy",A41="Red Energy",A41="Powershop"),"Inclusive","Exclusive")</f>
        <v>Exclusive</v>
      </c>
      <c r="Y41" s="534">
        <f>IF(AND(W41="Guaranteed off bill",X41="Inclusive"),((Q41*1.1)-((Q41*1.1)*S41/100))/1.1,IF(AND(W41="Guaranteed off usage",X41="Inclusive"),((Q41*1.1)-((P41*1.1)*T41/100))/1.1,IF(AND(W41="Guaranteed off bill",X41="Exclusive"),Q41-(Q41*S41/100),IF(AND(W41="Guaranteed off usage",X41="Exclusive"),Q41-(P41*T41/100),IF(X41="Inclusive",((Q41*1.1))/1.1,Q41)))))</f>
        <v>1237.0786363636362</v>
      </c>
      <c r="Z41" s="535">
        <f>IF(AND(W41="Pay-on-time off bill",X41="Inclusive"),((Y41*1.1)-((Y41*1.1)*U41/100))/1.1,IF(AND(W41="Pay-on-time off usage",X41="Inclusive"),((Y41*1.1)-((P41*1.1)*V41/100))/1.1,IF(AND(W41="Pay-on-time off bill",X41="Exclusive"),Y41-(Y41*U41/100),IF(AND(W41="Pay-on-time off usage",X41="Exclusive"),Y41-(P41*V41/100),IF(X41="Inclusive",((Y41*1.1))/1.1,Y41)))))</f>
        <v>1237.0786363636362</v>
      </c>
      <c r="AA41" s="542">
        <f t="shared" si="51"/>
        <v>1360.7864999999999</v>
      </c>
      <c r="AB41" s="542">
        <f t="shared" si="51"/>
        <v>1360.7864999999999</v>
      </c>
      <c r="AC41" s="274">
        <f>'Tariffs Jan2022'!AZ35</f>
        <v>0</v>
      </c>
      <c r="AD41" s="274" t="str">
        <f>'Tariffs Jan2022'!BA35</f>
        <v>n</v>
      </c>
      <c r="AE41" s="275" t="str">
        <f>'Tariffs Jan2022'!BJ35</f>
        <v>N</v>
      </c>
      <c r="AF41" s="577"/>
      <c r="AG41" s="577"/>
      <c r="AH41" s="577"/>
      <c r="AI41" s="577"/>
      <c r="AJ41" s="577"/>
      <c r="AK41" s="577"/>
      <c r="AL41" s="577"/>
      <c r="AM41" s="577"/>
      <c r="AN41" s="577"/>
      <c r="AO41" s="577"/>
      <c r="AP41" s="577"/>
      <c r="AQ41" s="577"/>
      <c r="AR41" s="577"/>
      <c r="AS41" s="577"/>
      <c r="AT41" s="577"/>
      <c r="AU41" s="577"/>
      <c r="AV41" s="577"/>
      <c r="AW41" s="577"/>
    </row>
    <row r="42" spans="1:49" ht="14" x14ac:dyDescent="0.15">
      <c r="A42" s="270" t="str">
        <f>'Tariffs Jan2022'!F36</f>
        <v>Covau</v>
      </c>
      <c r="B42" s="40" t="str">
        <f>'Tariffs Jan2022'!D36</f>
        <v>AGN North</v>
      </c>
      <c r="C42" s="40" t="str">
        <f>'Tariffs Jan2022'!G36</f>
        <v>Super Saver Plus</v>
      </c>
      <c r="D42" s="59">
        <f>365*'Tariffs Jan2022'!H36/100</f>
        <v>273.75</v>
      </c>
      <c r="E42" s="59">
        <f>IF($C$5*'Tariffs Jan2022'!AK36/'Tariffs Jan2022'!AI36&gt;='Tariffs Jan2022'!J36,( 'Tariffs Jan2022'!J36*'Tariffs Jan2022'!O36/100)* 'Tariffs Jan2022'!AI36,($C$5*'Tariffs Jan2022'!AK36/'Tariffs Jan2022'!AI36*'Tariffs Jan2022'!O36/100)* 'Tariffs Jan2022'!AI36)</f>
        <v>129.20727272727271</v>
      </c>
      <c r="F42" s="59">
        <f>IF($C$5*'Tariffs Jan2022'!AK36/'Tariffs Jan2022'!AI36&lt;'Tariffs Jan2022'!J36,0,IF($C$5*'Tariffs Jan2022'!AK36/'Tariffs Jan2022'!AI36&lt;='Tariffs Jan2022'!K36,($C$5*'Tariffs Jan2022'!AK36/'Tariffs Jan2022'!AI36-'Tariffs Jan2022'!J36)*('Tariffs Jan2022'!P36/100)*'Tariffs Jan2022'!AI36,('Tariffs Jan2022'!K36-'Tariffs Jan2022'!J36)*('Tariffs Jan2022'!P36/100)*'Tariffs Jan2022'!AI36))</f>
        <v>96.081818181818164</v>
      </c>
      <c r="G42" s="59">
        <f>IF($C$5*'Tariffs Jan2022'!AK36/'Tariffs Jan2022'!AI36&lt;'Tariffs Jan2022'!K36,0,IF($C$5*'Tariffs Jan2022'!AK36/'Tariffs Jan2022'!AI36&lt;='Tariffs Jan2022'!L36,($C$5*'Tariffs Jan2022'!AK36/'Tariffs Jan2022'!AI36-'Tariffs Jan2022'!K36)*('Tariffs Jan2022'!Q36/100)*'Tariffs Jan2022'!AI36,('Tariffs Jan2022'!L36-'Tariffs Jan2022'!K36)*('Tariffs Jan2022'!Q36/100)*'Tariffs Jan2022'!AI36))</f>
        <v>0</v>
      </c>
      <c r="H42" s="59">
        <f>IF($C$5*'Tariffs Jan2022'!AK36/'Tariffs Jan2022'!AI36&lt;'Tariffs Jan2022'!L36,0,IF($C$5*'Tariffs Jan2022'!AK36/'Tariffs Jan2022'!AI36&lt;='Tariffs Jan2022'!M36,($C$5*'Tariffs Jan2022'!AK36/'Tariffs Jan2022'!AI36-'Tariffs Jan2022'!L36)*('Tariffs Jan2022'!R36/100)*'Tariffs Jan2022'!AI36,('Tariffs Jan2022'!M36-'Tariffs Jan2022'!L36)*('Tariffs Jan2022'!R36/100)*'Tariffs Jan2022'!AI36))</f>
        <v>0</v>
      </c>
      <c r="I42" s="59">
        <f>IF(($C$5*'Tariffs Jan2022'!AK36/'Tariffs Jan2022'!AI36&gt;'Tariffs Jan2022'!M36),($C$5*'Tariffs Jan2022'!AK36/'Tariffs Jan2022'!AI36-'Tariffs Jan2022'!M36)*'Tariffs Jan2022'!S36/100*'Tariffs Jan2022'!AI36,0)</f>
        <v>433.63636363636363</v>
      </c>
      <c r="J42" s="59">
        <f>IF($C$5*'Tariffs Jan2022'!AL36/'Tariffs Jan2022'!AJ36&gt;='Tariffs Jan2022'!J36,('Tariffs Jan2022'!J36*'Tariffs Jan2022'!U36/100)* 'Tariffs Jan2022'!AJ36,($C$5*'Tariffs Jan2022'!AL36/'Tariffs Jan2022'!AJ36*'Tariffs Jan2022'!U36/100)* 'Tariffs Jan2022'!AJ36)</f>
        <v>129.20727272727271</v>
      </c>
      <c r="K42" s="59">
        <f>IF($C$5*'Tariffs Jan2022'!AL36/'Tariffs Jan2022'!AJ36&lt;'Tariffs Jan2022'!J36,0,IF($C$5*'Tariffs Jan2022'!AL36/'Tariffs Jan2022'!AJ36&lt;='Tariffs Jan2022'!K36,($C$5*'Tariffs Jan2022'!AL36/'Tariffs Jan2022'!AJ36-'Tariffs Jan2022'!J36)*('Tariffs Jan2022'!V36/100)*'Tariffs Jan2022'!AJ36,('Tariffs Jan2022'!K36-'Tariffs Jan2022'!J36)*('Tariffs Jan2022'!V36/100)*'Tariffs Jan2022'!AJ36))</f>
        <v>96.081818181818164</v>
      </c>
      <c r="L42" s="59">
        <f>IF($C$5*'Tariffs Jan2022'!AL36/'Tariffs Jan2022'!AJ36&lt;'Tariffs Jan2022'!K36,0,IF($C$5*'Tariffs Jan2022'!AL36/'Tariffs Jan2022'!AJ36&lt;='Tariffs Jan2022'!L36,($C$5*'Tariffs Jan2022'!AL36/'Tariffs Jan2022'!AJ36-'Tariffs Jan2022'!K36)*('Tariffs Jan2022'!W36/100)*'Tariffs Jan2022'!AJ36,('Tariffs Jan2022'!L36-'Tariffs Jan2022'!K36)*('Tariffs Jan2022'!W36/100)*'Tariffs Jan2022'!AJ36))</f>
        <v>0</v>
      </c>
      <c r="M42" s="59">
        <f>IF($C$5*'Tariffs Jan2022'!AL36/'Tariffs Jan2022'!AJ36&lt;'Tariffs Jan2022'!L36,0,IF($C$5*'Tariffs Jan2022'!AL36/'Tariffs Jan2022'!AJ36&lt;='Tariffs Jan2022'!M36,($C$5*'Tariffs Jan2022'!AL36/'Tariffs Jan2022'!AJ36-'Tariffs Jan2022'!L36)*('Tariffs Jan2022'!X36/100)*'Tariffs Jan2022'!AJ36,('Tariffs Jan2022'!M36-'Tariffs Jan2022'!L36)*('Tariffs Jan2022'!X36/100)*'Tariffs Jan2022'!AJ36))</f>
        <v>0</v>
      </c>
      <c r="N42" s="59">
        <f>IF(($C$5*'Tariffs Jan2022'!AL36/'Tariffs Jan2022'!AJ36&gt;'Tariffs Jan2022'!M36),($C$5*'Tariffs Jan2022'!AL36/'Tariffs Jan2022'!AJ36-'Tariffs Jan2022'!M36)*'Tariffs Jan2022'!Y36/100*'Tariffs Jan2022'!AJ36,0)</f>
        <v>433.63636363636363</v>
      </c>
      <c r="O42" s="59">
        <f t="shared" si="1"/>
        <v>1317.8509090909088</v>
      </c>
      <c r="P42" s="503">
        <f t="shared" si="2"/>
        <v>1449.6359999999997</v>
      </c>
      <c r="Q42" s="59">
        <f t="shared" si="3"/>
        <v>1591.6009090909088</v>
      </c>
      <c r="R42" s="272">
        <f t="shared" si="4"/>
        <v>1750.7609999999997</v>
      </c>
      <c r="S42" s="40">
        <f>'Tariffs Jan2022'!AN36</f>
        <v>0</v>
      </c>
      <c r="T42" s="40">
        <f>'Tariffs Jan2022'!AO36</f>
        <v>20</v>
      </c>
      <c r="U42" s="40">
        <f>'Tariffs Jan2022'!AP36</f>
        <v>0</v>
      </c>
      <c r="V42" s="40">
        <f>'Tariffs Jan2022'!AQ36</f>
        <v>0</v>
      </c>
      <c r="W42" s="537" t="str">
        <f t="shared" si="52"/>
        <v>Guaranteed off usage</v>
      </c>
      <c r="X42" s="538" t="str">
        <f t="shared" si="53"/>
        <v>Exclusive</v>
      </c>
      <c r="Y42" s="534">
        <f t="shared" ref="Y42" si="54">IF(AND(W42="Guaranteed off bill",X42="Inclusive"),((Q42*1.1)-((Q42*1.1)*S42/100))/1.1,IF(AND(W42="Guaranteed off usage",X42="Inclusive"),((Q42*1.1)-((P42*1.1)*T42/100))/1.1,IF(AND(W42="Guaranteed off bill",X42="Exclusive"),Q42-(Q42*S42/100),IF(AND(W42="Guaranteed off usage",X42="Exclusive"),Q42-(P42*T42/100),IF(X42="Inclusive",((Q42*1.1))/1.1,Q42)))))</f>
        <v>1301.6737090909089</v>
      </c>
      <c r="Z42" s="535">
        <f t="shared" ref="Z42" si="55">IF(AND(W42="Pay-on-time off bill",X42="Inclusive"),((Y42*1.1)-((Y42*1.1)*U42/100))/1.1,IF(AND(W42="Pay-on-time off usage",X42="Inclusive"),((Y42*1.1)-((P42*1.1)*V42/100))/1.1,IF(AND(W42="Pay-on-time off bill",X42="Exclusive"),Y42-(Y42*U42/100),IF(AND(W42="Pay-on-time off usage",X42="Exclusive"),Y42-(P42*V42/100),IF(X42="Inclusive",((Y42*1.1))/1.1,Y42)))))</f>
        <v>1301.6737090909089</v>
      </c>
      <c r="AA42" s="542">
        <f t="shared" si="51"/>
        <v>1431.8410799999999</v>
      </c>
      <c r="AB42" s="542">
        <f t="shared" si="51"/>
        <v>1431.8410799999999</v>
      </c>
      <c r="AC42" s="274">
        <f>'Tariffs Jan2022'!AZ36</f>
        <v>0</v>
      </c>
      <c r="AD42" s="274" t="str">
        <f>'Tariffs Jan2022'!BA36</f>
        <v>n</v>
      </c>
      <c r="AE42" s="275" t="str">
        <f>'Tariffs Jan2022'!BJ36</f>
        <v>N</v>
      </c>
      <c r="AF42" s="577"/>
      <c r="AG42" s="577"/>
      <c r="AH42" s="577"/>
      <c r="AI42" s="577"/>
      <c r="AJ42" s="577"/>
      <c r="AK42" s="577"/>
      <c r="AL42" s="577"/>
      <c r="AM42" s="577"/>
      <c r="AN42" s="577"/>
      <c r="AO42" s="577"/>
      <c r="AP42" s="577"/>
      <c r="AQ42" s="577"/>
      <c r="AR42" s="577"/>
      <c r="AS42" s="577"/>
      <c r="AT42" s="577"/>
      <c r="AU42" s="577"/>
      <c r="AV42" s="577"/>
      <c r="AW42" s="577"/>
    </row>
    <row r="43" spans="1:49" ht="14" x14ac:dyDescent="0.15">
      <c r="A43" s="270" t="str">
        <f>'Tariffs Jan2022'!F37</f>
        <v>Dodo Power &amp; Gas</v>
      </c>
      <c r="B43" s="40" t="str">
        <f>'Tariffs Jan2022'!D37</f>
        <v>AGN North</v>
      </c>
      <c r="C43" s="40" t="str">
        <f>'Tariffs Jan2022'!G37</f>
        <v>Market offer</v>
      </c>
      <c r="D43" s="59">
        <f>365*'Tariffs Jan2022'!H37/100</f>
        <v>180.31</v>
      </c>
      <c r="E43" s="59">
        <f>IF($C$5*'Tariffs Jan2022'!AK37/'Tariffs Jan2022'!AI37&gt;='Tariffs Jan2022'!J37,( 'Tariffs Jan2022'!J37*'Tariffs Jan2022'!O37/100)* 'Tariffs Jan2022'!AI37,($C$5*'Tariffs Jan2022'!AK37/'Tariffs Jan2022'!AI37*'Tariffs Jan2022'!O37/100)* 'Tariffs Jan2022'!AI37)</f>
        <v>87.633636363636356</v>
      </c>
      <c r="F43" s="59">
        <f>IF($C$5*'Tariffs Jan2022'!AK37/'Tariffs Jan2022'!AI37&lt;'Tariffs Jan2022'!J37,0,IF($C$5*'Tariffs Jan2022'!AK37/'Tariffs Jan2022'!AI37&lt;='Tariffs Jan2022'!K37,($C$5*'Tariffs Jan2022'!AK37/'Tariffs Jan2022'!AI37-'Tariffs Jan2022'!J37)*('Tariffs Jan2022'!P37/100)*'Tariffs Jan2022'!AI37,('Tariffs Jan2022'!K37-'Tariffs Jan2022'!J37)*('Tariffs Jan2022'!P37/100)*'Tariffs Jan2022'!AI37))</f>
        <v>58.634545454545446</v>
      </c>
      <c r="G43" s="59">
        <f>IF($C$5*'Tariffs Jan2022'!AK37/'Tariffs Jan2022'!AI37&lt;'Tariffs Jan2022'!K37,0,IF($C$5*'Tariffs Jan2022'!AK37/'Tariffs Jan2022'!AI37&lt;='Tariffs Jan2022'!L37,($C$5*'Tariffs Jan2022'!AK37/'Tariffs Jan2022'!AI37-'Tariffs Jan2022'!K37)*('Tariffs Jan2022'!Q37/100)*'Tariffs Jan2022'!AI37,('Tariffs Jan2022'!L37-'Tariffs Jan2022'!K37)*('Tariffs Jan2022'!Q37/100)*'Tariffs Jan2022'!AI37))</f>
        <v>0</v>
      </c>
      <c r="H43" s="59">
        <f>IF($C$5*'Tariffs Jan2022'!AK37/'Tariffs Jan2022'!AI37&lt;'Tariffs Jan2022'!L37,0,IF($C$5*'Tariffs Jan2022'!AK37/'Tariffs Jan2022'!AI37&lt;='Tariffs Jan2022'!M37,($C$5*'Tariffs Jan2022'!AK37/'Tariffs Jan2022'!AI37-'Tariffs Jan2022'!L37)*('Tariffs Jan2022'!R37/100)*'Tariffs Jan2022'!AI37,('Tariffs Jan2022'!M37-'Tariffs Jan2022'!L37)*('Tariffs Jan2022'!R37/100)*'Tariffs Jan2022'!AI37))</f>
        <v>0</v>
      </c>
      <c r="I43" s="59">
        <f>IF(($C$5*'Tariffs Jan2022'!AK37/'Tariffs Jan2022'!AI37&gt;'Tariffs Jan2022'!M37),($C$5*'Tariffs Jan2022'!AK37/'Tariffs Jan2022'!AI37-'Tariffs Jan2022'!M37)*'Tariffs Jan2022'!S37/100*'Tariffs Jan2022'!AI37,0)</f>
        <v>265.87186363636357</v>
      </c>
      <c r="J43" s="59">
        <f>IF($C$5*'Tariffs Jan2022'!AL37/'Tariffs Jan2022'!AJ37&gt;='Tariffs Jan2022'!J37,('Tariffs Jan2022'!J37*'Tariffs Jan2022'!U37/100)* 'Tariffs Jan2022'!AJ37,($C$5*'Tariffs Jan2022'!AL37/'Tariffs Jan2022'!AJ37*'Tariffs Jan2022'!U37/100)* 'Tariffs Jan2022'!AJ37)</f>
        <v>175.26727272727271</v>
      </c>
      <c r="K43" s="59">
        <f>IF($C$5*'Tariffs Jan2022'!AL37/'Tariffs Jan2022'!AJ37&lt;'Tariffs Jan2022'!J37,0,IF($C$5*'Tariffs Jan2022'!AL37/'Tariffs Jan2022'!AJ37&lt;='Tariffs Jan2022'!K37,($C$5*'Tariffs Jan2022'!AL37/'Tariffs Jan2022'!AJ37-'Tariffs Jan2022'!J37)*('Tariffs Jan2022'!V37/100)*'Tariffs Jan2022'!AJ37,('Tariffs Jan2022'!K37-'Tariffs Jan2022'!J37)*('Tariffs Jan2022'!V37/100)*'Tariffs Jan2022'!AJ37))</f>
        <v>117.26909090909089</v>
      </c>
      <c r="L43" s="59">
        <f>IF($C$5*'Tariffs Jan2022'!AL37/'Tariffs Jan2022'!AJ37&lt;'Tariffs Jan2022'!K37,0,IF($C$5*'Tariffs Jan2022'!AL37/'Tariffs Jan2022'!AJ37&lt;='Tariffs Jan2022'!L37,($C$5*'Tariffs Jan2022'!AL37/'Tariffs Jan2022'!AJ37-'Tariffs Jan2022'!K37)*('Tariffs Jan2022'!W37/100)*'Tariffs Jan2022'!AJ37,('Tariffs Jan2022'!L37-'Tariffs Jan2022'!K37)*('Tariffs Jan2022'!W37/100)*'Tariffs Jan2022'!AJ37))</f>
        <v>0</v>
      </c>
      <c r="M43" s="59">
        <f>IF($C$5*'Tariffs Jan2022'!AL37/'Tariffs Jan2022'!AJ37&lt;'Tariffs Jan2022'!L37,0,IF($C$5*'Tariffs Jan2022'!AL37/'Tariffs Jan2022'!AJ37&lt;='Tariffs Jan2022'!M37,($C$5*'Tariffs Jan2022'!AL37/'Tariffs Jan2022'!AJ37-'Tariffs Jan2022'!L37)*('Tariffs Jan2022'!X37/100)*'Tariffs Jan2022'!AJ37,('Tariffs Jan2022'!M37-'Tariffs Jan2022'!L37)*('Tariffs Jan2022'!X37/100)*'Tariffs Jan2022'!AJ37))</f>
        <v>0</v>
      </c>
      <c r="N43" s="59">
        <f>IF(($C$5*'Tariffs Jan2022'!AL37/'Tariffs Jan2022'!AJ37&gt;'Tariffs Jan2022'!M37),($C$5*'Tariffs Jan2022'!AL37/'Tariffs Jan2022'!AJ37-'Tariffs Jan2022'!M37)*'Tariffs Jan2022'!Y37/100*'Tariffs Jan2022'!AJ37,0)</f>
        <v>531.74372727272714</v>
      </c>
      <c r="O43" s="59">
        <f t="shared" si="1"/>
        <v>1236.4201363636362</v>
      </c>
      <c r="P43" s="503">
        <f t="shared" si="2"/>
        <v>1360.06215</v>
      </c>
      <c r="Q43" s="59">
        <f t="shared" si="3"/>
        <v>1416.7301363636361</v>
      </c>
      <c r="R43" s="272">
        <f t="shared" si="4"/>
        <v>1558.4031499999999</v>
      </c>
      <c r="S43" s="40">
        <f>'Tariffs Jan2022'!AN37</f>
        <v>0</v>
      </c>
      <c r="T43" s="40">
        <f>'Tariffs Jan2022'!AO37</f>
        <v>0</v>
      </c>
      <c r="U43" s="40">
        <f>'Tariffs Jan2022'!AP37</f>
        <v>0</v>
      </c>
      <c r="V43" s="40">
        <f>'Tariffs Jan2022'!AQ37</f>
        <v>0</v>
      </c>
      <c r="W43" s="537" t="str">
        <f t="shared" si="52"/>
        <v>No discount</v>
      </c>
      <c r="X43" s="538" t="str">
        <f t="shared" si="53"/>
        <v>Exclusive</v>
      </c>
      <c r="Y43" s="534">
        <f>IF(AND(W43="Guaranteed off bill",X43="Inclusive"),((Q43*1.1)-((Q43*1.1)*S43/100))/1.1,IF(AND(W43="Guaranteed off usage",X43="Inclusive"),((Q43*1.1)-((P43*1.1)*T43/100))/1.1,IF(AND(W43="Guaranteed off bill",X43="Exclusive"),Q43-(Q43*S43/100),IF(AND(W43="Guaranteed off usage",X43="Exclusive"),Q43-(P43*T43/100),IF(X43="Inclusive",((Q43*1.1))/1.1,Q43)))))</f>
        <v>1416.7301363636361</v>
      </c>
      <c r="Z43" s="535">
        <f>IF(AND(W43="Pay-on-time off bill",X43="Inclusive"),((Y43*1.1)-((Y43*1.1)*U43/100))/1.1,IF(AND(W43="Pay-on-time off usage",X43="Inclusive"),((Y43*1.1)-((P43*1.1)*V43/100))/1.1,IF(AND(W43="Pay-on-time off bill",X43="Exclusive"),Y43-(Y43*U43/100),IF(AND(W43="Pay-on-time off usage",X43="Exclusive"),Y43-(P43*V43/100),IF(X43="Inclusive",((Y43*1.1))/1.1,Y43)))))</f>
        <v>1416.7301363636361</v>
      </c>
      <c r="AA43" s="542">
        <f t="shared" si="51"/>
        <v>1558.4031499999999</v>
      </c>
      <c r="AB43" s="542">
        <f t="shared" si="51"/>
        <v>1558.4031499999999</v>
      </c>
      <c r="AC43" s="274">
        <f>'Tariffs Jan2022'!AZ37</f>
        <v>0</v>
      </c>
      <c r="AD43" s="274" t="str">
        <f>'Tariffs Jan2022'!BA37</f>
        <v>n</v>
      </c>
      <c r="AE43" s="275" t="str">
        <f>'Tariffs Jan2022'!BJ37</f>
        <v>N</v>
      </c>
      <c r="AF43" s="577"/>
      <c r="AG43" s="577"/>
      <c r="AH43" s="577"/>
      <c r="AI43" s="577"/>
      <c r="AJ43" s="577"/>
      <c r="AK43" s="577"/>
      <c r="AL43" s="577"/>
      <c r="AM43" s="577"/>
      <c r="AN43" s="577"/>
      <c r="AO43" s="577"/>
      <c r="AP43" s="577"/>
      <c r="AQ43" s="577"/>
      <c r="AR43" s="577"/>
      <c r="AS43" s="577"/>
      <c r="AT43" s="577"/>
      <c r="AU43" s="577"/>
      <c r="AV43" s="577"/>
      <c r="AW43" s="577"/>
    </row>
    <row r="44" spans="1:49" ht="14" x14ac:dyDescent="0.15">
      <c r="A44" s="270" t="str">
        <f>'Tariffs Jan2022'!F38</f>
        <v>EnergyAustralia</v>
      </c>
      <c r="B44" s="40" t="str">
        <f>'Tariffs Jan2022'!D38</f>
        <v>AGN North</v>
      </c>
      <c r="C44" s="40" t="str">
        <f>'Tariffs Jan2022'!G38</f>
        <v>Total Plan</v>
      </c>
      <c r="D44" s="59">
        <f>365*'Tariffs Jan2022'!H38/100</f>
        <v>319.375</v>
      </c>
      <c r="E44" s="59">
        <f>IF($C$5*'Tariffs Jan2022'!AK38/'Tariffs Jan2022'!AI38&gt;='Tariffs Jan2022'!J38,( 'Tariffs Jan2022'!J38*'Tariffs Jan2022'!O38/100)* 'Tariffs Jan2022'!AI38,($C$5*'Tariffs Jan2022'!AK38/'Tariffs Jan2022'!AI38*'Tariffs Jan2022'!O38/100)* 'Tariffs Jan2022'!AI38)</f>
        <v>171.82772727272726</v>
      </c>
      <c r="F44" s="59">
        <f>IF($C$5*'Tariffs Jan2022'!AK38/'Tariffs Jan2022'!AI38&lt;'Tariffs Jan2022'!J38,0,IF($C$5*'Tariffs Jan2022'!AK38/'Tariffs Jan2022'!AI38&lt;='Tariffs Jan2022'!K38,($C$5*'Tariffs Jan2022'!AK38/'Tariffs Jan2022'!AI38-'Tariffs Jan2022'!J38)*('Tariffs Jan2022'!P38/100)*'Tariffs Jan2022'!AI38,('Tariffs Jan2022'!K38-'Tariffs Jan2022'!J38)*('Tariffs Jan2022'!P38/100)*'Tariffs Jan2022'!AI38))</f>
        <v>110.4940909090909</v>
      </c>
      <c r="G44" s="59">
        <f>IF($C$5*'Tariffs Jan2022'!AK38/'Tariffs Jan2022'!AI38&lt;'Tariffs Jan2022'!K38,0,IF($C$5*'Tariffs Jan2022'!AK38/'Tariffs Jan2022'!AI38&lt;='Tariffs Jan2022'!L38,($C$5*'Tariffs Jan2022'!AK38/'Tariffs Jan2022'!AI38-'Tariffs Jan2022'!K38)*('Tariffs Jan2022'!Q38/100)*'Tariffs Jan2022'!AI38,('Tariffs Jan2022'!L38-'Tariffs Jan2022'!K38)*('Tariffs Jan2022'!Q38/100)*'Tariffs Jan2022'!AI38))</f>
        <v>0</v>
      </c>
      <c r="H44" s="59">
        <f>IF($C$5*'Tariffs Jan2022'!AK38/'Tariffs Jan2022'!AI38&lt;'Tariffs Jan2022'!L38,0,IF($C$5*'Tariffs Jan2022'!AK38/'Tariffs Jan2022'!AI38&lt;='Tariffs Jan2022'!M38,($C$5*'Tariffs Jan2022'!AK38/'Tariffs Jan2022'!AI38-'Tariffs Jan2022'!L38)*('Tariffs Jan2022'!R38/100)*'Tariffs Jan2022'!AI38,('Tariffs Jan2022'!M38-'Tariffs Jan2022'!L38)*('Tariffs Jan2022'!R38/100)*'Tariffs Jan2022'!AI38))</f>
        <v>0</v>
      </c>
      <c r="I44" s="59">
        <f>IF(($C$5*'Tariffs Jan2022'!AK38/'Tariffs Jan2022'!AI38&gt;'Tariffs Jan2022'!M38),($C$5*'Tariffs Jan2022'!AK38/'Tariffs Jan2022'!AI38-'Tariffs Jan2022'!M38)*'Tariffs Jan2022'!S38/100*'Tariffs Jan2022'!AI38,0)</f>
        <v>492.95454545454544</v>
      </c>
      <c r="J44" s="59">
        <f>IF($C$5*'Tariffs Jan2022'!AL38/'Tariffs Jan2022'!AJ38&gt;='Tariffs Jan2022'!J38,('Tariffs Jan2022'!J38*'Tariffs Jan2022'!U38/100)* 'Tariffs Jan2022'!AJ38,($C$5*'Tariffs Jan2022'!AL38/'Tariffs Jan2022'!AJ38*'Tariffs Jan2022'!U38/100)* 'Tariffs Jan2022'!AJ38)</f>
        <v>171.82772727272726</v>
      </c>
      <c r="K44" s="59">
        <f>IF($C$5*'Tariffs Jan2022'!AL38/'Tariffs Jan2022'!AJ38&lt;'Tariffs Jan2022'!J38,0,IF($C$5*'Tariffs Jan2022'!AL38/'Tariffs Jan2022'!AJ38&lt;='Tariffs Jan2022'!K38,($C$5*'Tariffs Jan2022'!AL38/'Tariffs Jan2022'!AJ38-'Tariffs Jan2022'!J38)*('Tariffs Jan2022'!V38/100)*'Tariffs Jan2022'!AJ38,('Tariffs Jan2022'!K38-'Tariffs Jan2022'!J38)*('Tariffs Jan2022'!V38/100)*'Tariffs Jan2022'!AJ38))</f>
        <v>110.4940909090909</v>
      </c>
      <c r="L44" s="59">
        <f>IF($C$5*'Tariffs Jan2022'!AL38/'Tariffs Jan2022'!AJ38&lt;'Tariffs Jan2022'!K38,0,IF($C$5*'Tariffs Jan2022'!AL38/'Tariffs Jan2022'!AJ38&lt;='Tariffs Jan2022'!L38,($C$5*'Tariffs Jan2022'!AL38/'Tariffs Jan2022'!AJ38-'Tariffs Jan2022'!K38)*('Tariffs Jan2022'!W38/100)*'Tariffs Jan2022'!AJ38,('Tariffs Jan2022'!L38-'Tariffs Jan2022'!K38)*('Tariffs Jan2022'!W38/100)*'Tariffs Jan2022'!AJ38))</f>
        <v>0</v>
      </c>
      <c r="M44" s="59">
        <f>IF($C$5*'Tariffs Jan2022'!AL38/'Tariffs Jan2022'!AJ38&lt;'Tariffs Jan2022'!L38,0,IF($C$5*'Tariffs Jan2022'!AL38/'Tariffs Jan2022'!AJ38&lt;='Tariffs Jan2022'!M38,($C$5*'Tariffs Jan2022'!AL38/'Tariffs Jan2022'!AJ38-'Tariffs Jan2022'!L38)*('Tariffs Jan2022'!X38/100)*'Tariffs Jan2022'!AJ38,('Tariffs Jan2022'!M38-'Tariffs Jan2022'!L38)*('Tariffs Jan2022'!X38/100)*'Tariffs Jan2022'!AJ38))</f>
        <v>0</v>
      </c>
      <c r="N44" s="59">
        <f>IF(($C$5*'Tariffs Jan2022'!AL38/'Tariffs Jan2022'!AJ38&gt;'Tariffs Jan2022'!M38),($C$5*'Tariffs Jan2022'!AL38/'Tariffs Jan2022'!AJ38-'Tariffs Jan2022'!M38)*'Tariffs Jan2022'!Y38/100*'Tariffs Jan2022'!AJ38,0)</f>
        <v>492.95454545454544</v>
      </c>
      <c r="O44" s="59">
        <f t="shared" si="1"/>
        <v>1550.5527272727272</v>
      </c>
      <c r="P44" s="503">
        <f t="shared" si="2"/>
        <v>1705.6080000000002</v>
      </c>
      <c r="Q44" s="59">
        <f t="shared" si="3"/>
        <v>1869.9277272727272</v>
      </c>
      <c r="R44" s="272">
        <f t="shared" si="4"/>
        <v>2056.9205000000002</v>
      </c>
      <c r="S44" s="40">
        <f>'Tariffs Jan2022'!AN38</f>
        <v>24</v>
      </c>
      <c r="T44" s="40">
        <f>'Tariffs Jan2022'!AO38</f>
        <v>0</v>
      </c>
      <c r="U44" s="40">
        <f>'Tariffs Jan2022'!AP38</f>
        <v>0</v>
      </c>
      <c r="V44" s="40">
        <f>'Tariffs Jan2022'!AQ38</f>
        <v>0</v>
      </c>
      <c r="W44" s="537" t="str">
        <f t="shared" si="52"/>
        <v>Guaranteed off bill</v>
      </c>
      <c r="X44" s="538" t="str">
        <f t="shared" si="53"/>
        <v>Exclusive</v>
      </c>
      <c r="Y44" s="534">
        <f t="shared" ref="Y44" si="56">IF(AND(W44="Guaranteed off bill",X44="Inclusive"),((Q44*1.1)-((Q44*1.1)*S44/100))/1.1,IF(AND(W44="Guaranteed off usage",X44="Inclusive"),((Q44*1.1)-((P44*1.1)*T44/100))/1.1,IF(AND(W44="Guaranteed off bill",X44="Exclusive"),Q44-(Q44*S44/100),IF(AND(W44="Guaranteed off usage",X44="Exclusive"),Q44-(P44*T44/100),IF(X44="Inclusive",((Q44*1.1))/1.1,Q44)))))</f>
        <v>1421.1450727272727</v>
      </c>
      <c r="Z44" s="535">
        <f t="shared" ref="Z44" si="57">IF(AND(W44="Pay-on-time off bill",X44="Inclusive"),((Y44*1.1)-((Y44*1.1)*U44/100))/1.1,IF(AND(W44="Pay-on-time off usage",X44="Inclusive"),((Y44*1.1)-((P44*1.1)*V44/100))/1.1,IF(AND(W44="Pay-on-time off bill",X44="Exclusive"),Y44-(Y44*U44/100),IF(AND(W44="Pay-on-time off usage",X44="Exclusive"),Y44-(P44*V44/100),IF(X44="Inclusive",((Y44*1.1))/1.1,Y44)))))</f>
        <v>1421.1450727272727</v>
      </c>
      <c r="AA44" s="542">
        <f t="shared" si="51"/>
        <v>1563.2595800000001</v>
      </c>
      <c r="AB44" s="542">
        <f t="shared" si="51"/>
        <v>1563.2595800000001</v>
      </c>
      <c r="AC44" s="274">
        <f>'Tariffs Jan2022'!AZ38</f>
        <v>12</v>
      </c>
      <c r="AD44" s="274" t="str">
        <f>'Tariffs Jan2022'!BA38</f>
        <v>n</v>
      </c>
      <c r="AE44" s="275" t="str">
        <f>'Tariffs Jan2022'!BJ38</f>
        <v>N</v>
      </c>
      <c r="AF44" s="577"/>
      <c r="AG44" s="577"/>
      <c r="AH44" s="577"/>
      <c r="AI44" s="577"/>
      <c r="AJ44" s="577"/>
      <c r="AK44" s="577"/>
      <c r="AL44" s="577"/>
      <c r="AM44" s="577"/>
      <c r="AN44" s="577"/>
      <c r="AO44" s="577"/>
      <c r="AP44" s="577"/>
      <c r="AQ44" s="577"/>
      <c r="AR44" s="577"/>
      <c r="AS44" s="577"/>
      <c r="AT44" s="577"/>
      <c r="AU44" s="577"/>
      <c r="AV44" s="577"/>
      <c r="AW44" s="577"/>
    </row>
    <row r="45" spans="1:49" ht="14" x14ac:dyDescent="0.15">
      <c r="A45" s="270" t="str">
        <f>'Tariffs Jan2022'!F39</f>
        <v>Lumo Energy</v>
      </c>
      <c r="B45" s="40" t="str">
        <f>'Tariffs Jan2022'!D39</f>
        <v>AGN North</v>
      </c>
      <c r="C45" s="40" t="str">
        <f>'Tariffs Jan2022'!G39</f>
        <v>Value</v>
      </c>
      <c r="D45" s="59">
        <f>365*'Tariffs Jan2022'!H39/100</f>
        <v>249.82590909090911</v>
      </c>
      <c r="E45" s="59">
        <f>IF($C$5*'Tariffs Jan2022'!AK39/'Tariffs Jan2022'!AI39&gt;='Tariffs Jan2022'!J39,( 'Tariffs Jan2022'!J39*'Tariffs Jan2022'!O39/100)* 'Tariffs Jan2022'!AI39,($C$5*'Tariffs Jan2022'!AK39/'Tariffs Jan2022'!AI39*'Tariffs Jan2022'!O39/100)* 'Tariffs Jan2022'!AI39)</f>
        <v>102.73772727272726</v>
      </c>
      <c r="F45" s="59">
        <f>IF($C$5*'Tariffs Jan2022'!AK39/'Tariffs Jan2022'!AI39&lt;'Tariffs Jan2022'!J39,0,IF($C$5*'Tariffs Jan2022'!AK39/'Tariffs Jan2022'!AI39&lt;='Tariffs Jan2022'!K39,($C$5*'Tariffs Jan2022'!AK39/'Tariffs Jan2022'!AI39-'Tariffs Jan2022'!J39)*('Tariffs Jan2022'!P39/100)*'Tariffs Jan2022'!AI39,('Tariffs Jan2022'!K39-'Tariffs Jan2022'!J39)*('Tariffs Jan2022'!P39/100)*'Tariffs Jan2022'!AI39))</f>
        <v>80.560909090909092</v>
      </c>
      <c r="G45" s="59">
        <f>IF($C$5*'Tariffs Jan2022'!AK39/'Tariffs Jan2022'!AI39&lt;'Tariffs Jan2022'!K39,0,IF($C$5*'Tariffs Jan2022'!AK39/'Tariffs Jan2022'!AI39&lt;='Tariffs Jan2022'!L39,($C$5*'Tariffs Jan2022'!AK39/'Tariffs Jan2022'!AI39-'Tariffs Jan2022'!K39)*('Tariffs Jan2022'!Q39/100)*'Tariffs Jan2022'!AI39,('Tariffs Jan2022'!L39-'Tariffs Jan2022'!K39)*('Tariffs Jan2022'!Q39/100)*'Tariffs Jan2022'!AI39))</f>
        <v>0</v>
      </c>
      <c r="H45" s="59">
        <f>IF($C$5*'Tariffs Jan2022'!AK39/'Tariffs Jan2022'!AI39&lt;'Tariffs Jan2022'!L39,0,IF($C$5*'Tariffs Jan2022'!AK39/'Tariffs Jan2022'!AI39&lt;='Tariffs Jan2022'!M39,($C$5*'Tariffs Jan2022'!AK39/'Tariffs Jan2022'!AI39-'Tariffs Jan2022'!L39)*('Tariffs Jan2022'!R39/100)*'Tariffs Jan2022'!AI39,('Tariffs Jan2022'!M39-'Tariffs Jan2022'!L39)*('Tariffs Jan2022'!R39/100)*'Tariffs Jan2022'!AI39))</f>
        <v>0</v>
      </c>
      <c r="I45" s="59">
        <f>IF(($C$5*'Tariffs Jan2022'!AK39/'Tariffs Jan2022'!AI39&gt;'Tariffs Jan2022'!M39),($C$5*'Tariffs Jan2022'!AK39/'Tariffs Jan2022'!AI39-'Tariffs Jan2022'!M39)*'Tariffs Jan2022'!S39/100*'Tariffs Jan2022'!AI39,0)</f>
        <v>415.22727272727275</v>
      </c>
      <c r="J45" s="59">
        <f>IF($C$5*'Tariffs Jan2022'!AL39/'Tariffs Jan2022'!AJ39&gt;='Tariffs Jan2022'!J39,('Tariffs Jan2022'!J39*'Tariffs Jan2022'!U39/100)* 'Tariffs Jan2022'!AJ39,($C$5*'Tariffs Jan2022'!AL39/'Tariffs Jan2022'!AJ39*'Tariffs Jan2022'!U39/100)* 'Tariffs Jan2022'!AJ39)</f>
        <v>102.73772727272726</v>
      </c>
      <c r="K45" s="59">
        <f>IF($C$5*'Tariffs Jan2022'!AL39/'Tariffs Jan2022'!AJ39&lt;'Tariffs Jan2022'!J39,0,IF($C$5*'Tariffs Jan2022'!AL39/'Tariffs Jan2022'!AJ39&lt;='Tariffs Jan2022'!K39,($C$5*'Tariffs Jan2022'!AL39/'Tariffs Jan2022'!AJ39-'Tariffs Jan2022'!J39)*('Tariffs Jan2022'!V39/100)*'Tariffs Jan2022'!AJ39,('Tariffs Jan2022'!K39-'Tariffs Jan2022'!J39)*('Tariffs Jan2022'!V39/100)*'Tariffs Jan2022'!AJ39))</f>
        <v>80.560909090909092</v>
      </c>
      <c r="L45" s="59">
        <f>IF($C$5*'Tariffs Jan2022'!AL39/'Tariffs Jan2022'!AJ39&lt;'Tariffs Jan2022'!K39,0,IF($C$5*'Tariffs Jan2022'!AL39/'Tariffs Jan2022'!AJ39&lt;='Tariffs Jan2022'!L39,($C$5*'Tariffs Jan2022'!AL39/'Tariffs Jan2022'!AJ39-'Tariffs Jan2022'!K39)*('Tariffs Jan2022'!W39/100)*'Tariffs Jan2022'!AJ39,('Tariffs Jan2022'!L39-'Tariffs Jan2022'!K39)*('Tariffs Jan2022'!W39/100)*'Tariffs Jan2022'!AJ39))</f>
        <v>0</v>
      </c>
      <c r="M45" s="59">
        <f>IF($C$5*'Tariffs Jan2022'!AL39/'Tariffs Jan2022'!AJ39&lt;'Tariffs Jan2022'!L39,0,IF($C$5*'Tariffs Jan2022'!AL39/'Tariffs Jan2022'!AJ39&lt;='Tariffs Jan2022'!M39,($C$5*'Tariffs Jan2022'!AL39/'Tariffs Jan2022'!AJ39-'Tariffs Jan2022'!L39)*('Tariffs Jan2022'!X39/100)*'Tariffs Jan2022'!AJ39,('Tariffs Jan2022'!M39-'Tariffs Jan2022'!L39)*('Tariffs Jan2022'!X39/100)*'Tariffs Jan2022'!AJ39))</f>
        <v>0</v>
      </c>
      <c r="N45" s="59">
        <f>IF(($C$5*'Tariffs Jan2022'!AL39/'Tariffs Jan2022'!AJ39&gt;'Tariffs Jan2022'!M39),($C$5*'Tariffs Jan2022'!AL39/'Tariffs Jan2022'!AJ39-'Tariffs Jan2022'!M39)*'Tariffs Jan2022'!Y39/100*'Tariffs Jan2022'!AJ39,0)</f>
        <v>415.22727272727275</v>
      </c>
      <c r="O45" s="59">
        <f t="shared" si="1"/>
        <v>1197.0518181818181</v>
      </c>
      <c r="P45" s="503">
        <f t="shared" si="2"/>
        <v>1316.7570000000001</v>
      </c>
      <c r="Q45" s="59">
        <f t="shared" si="3"/>
        <v>1446.8777272727273</v>
      </c>
      <c r="R45" s="272">
        <f t="shared" si="4"/>
        <v>1591.5655000000002</v>
      </c>
      <c r="S45" s="40">
        <f>'Tariffs Jan2022'!AN39</f>
        <v>0</v>
      </c>
      <c r="T45" s="40">
        <f>'Tariffs Jan2022'!AO39</f>
        <v>0</v>
      </c>
      <c r="U45" s="40">
        <f>'Tariffs Jan2022'!AP39</f>
        <v>0</v>
      </c>
      <c r="V45" s="40">
        <f>'Tariffs Jan2022'!AQ39</f>
        <v>0</v>
      </c>
      <c r="W45" s="537" t="str">
        <f t="shared" si="52"/>
        <v>No discount</v>
      </c>
      <c r="X45" s="538" t="str">
        <f t="shared" si="53"/>
        <v>Exclusive</v>
      </c>
      <c r="Y45" s="534">
        <f>IF(AND(W45="Guaranteed off bill",X45="Inclusive"),((Q45*1.1)-((Q45*1.1)*S45/100))/1.1,IF(AND(W45="Guaranteed off usage",X45="Inclusive"),((Q45*1.1)-((P45*1.1)*T45/100))/1.1,IF(AND(W45="Guaranteed off bill",X45="Exclusive"),Q45-(Q45*S45/100),IF(AND(W45="Guaranteed off usage",X45="Exclusive"),Q45-(P45*T45/100),IF(X45="Inclusive",((Q45*1.1))/1.1,Q45)))))</f>
        <v>1446.8777272727273</v>
      </c>
      <c r="Z45" s="535">
        <f>IF(AND(W45="Pay-on-time off bill",X45="Inclusive"),((Y45*1.1)-((Y45*1.1)*U45/100))/1.1,IF(AND(W45="Pay-on-time off usage",X45="Inclusive"),((Y45*1.1)-((P45*1.1)*V45/100))/1.1,IF(AND(W45="Pay-on-time off bill",X45="Exclusive"),Y45-(Y45*U45/100),IF(AND(W45="Pay-on-time off usage",X45="Exclusive"),Y45-(P45*V45/100),IF(X45="Inclusive",((Y45*1.1))/1.1,Y45)))))</f>
        <v>1446.8777272727273</v>
      </c>
      <c r="AA45" s="542">
        <f t="shared" si="51"/>
        <v>1591.5655000000002</v>
      </c>
      <c r="AB45" s="542">
        <f t="shared" si="51"/>
        <v>1591.5655000000002</v>
      </c>
      <c r="AC45" s="274">
        <f>'Tariffs Jan2022'!AZ39</f>
        <v>0</v>
      </c>
      <c r="AD45" s="274" t="str">
        <f>'Tariffs Jan2022'!BA39</f>
        <v>n</v>
      </c>
      <c r="AE45" s="275" t="str">
        <f>'Tariffs Jan2022'!BJ39</f>
        <v>N</v>
      </c>
      <c r="AF45" s="577"/>
      <c r="AG45" s="577"/>
      <c r="AH45" s="577"/>
      <c r="AI45" s="577"/>
      <c r="AJ45" s="577"/>
      <c r="AK45" s="577"/>
      <c r="AL45" s="577"/>
      <c r="AM45" s="577"/>
      <c r="AN45" s="577"/>
      <c r="AO45" s="577"/>
      <c r="AP45" s="577"/>
      <c r="AQ45" s="577"/>
      <c r="AR45" s="577"/>
      <c r="AS45" s="577"/>
      <c r="AT45" s="577"/>
      <c r="AU45" s="577"/>
      <c r="AV45" s="577"/>
      <c r="AW45" s="577"/>
    </row>
    <row r="46" spans="1:49" ht="14" x14ac:dyDescent="0.15">
      <c r="A46" s="270" t="str">
        <f>'Tariffs Jan2022'!F40</f>
        <v>Momentum Energy</v>
      </c>
      <c r="B46" s="40" t="str">
        <f>'Tariffs Jan2022'!D40</f>
        <v>AGN North</v>
      </c>
      <c r="C46" s="40" t="str">
        <f>'Tariffs Jan2022'!G40</f>
        <v>Market offer</v>
      </c>
      <c r="D46" s="59">
        <f>365*'Tariffs Jan2022'!H40/100</f>
        <v>284.33499999999998</v>
      </c>
      <c r="E46" s="59">
        <f>IF($C$5*'Tariffs Jan2022'!AK40/'Tariffs Jan2022'!AI40&gt;='Tariffs Jan2022'!J40,( 'Tariffs Jan2022'!J40*'Tariffs Jan2022'!O40/100)* 'Tariffs Jan2022'!AI40,($C$5*'Tariffs Jan2022'!AK40/'Tariffs Jan2022'!AI40*'Tariffs Jan2022'!O40/100)* 'Tariffs Jan2022'!AI40)</f>
        <v>75.669999999999987</v>
      </c>
      <c r="F46" s="59">
        <f>IF($C$5*'Tariffs Jan2022'!AK40/'Tariffs Jan2022'!AI40&lt;'Tariffs Jan2022'!J40,0,IF($C$5*'Tariffs Jan2022'!AK40/'Tariffs Jan2022'!AI40&lt;='Tariffs Jan2022'!K40,($C$5*'Tariffs Jan2022'!AK40/'Tariffs Jan2022'!AI40-'Tariffs Jan2022'!J40)*('Tariffs Jan2022'!P40/100)*'Tariffs Jan2022'!AI40,('Tariffs Jan2022'!K40-'Tariffs Jan2022'!J40)*('Tariffs Jan2022'!P40/100)*'Tariffs Jan2022'!AI40))</f>
        <v>54.2</v>
      </c>
      <c r="G46" s="59">
        <f>IF($C$5*'Tariffs Jan2022'!AK40/'Tariffs Jan2022'!AI40&lt;'Tariffs Jan2022'!K40,0,IF($C$5*'Tariffs Jan2022'!AK40/'Tariffs Jan2022'!AI40&lt;='Tariffs Jan2022'!L40,($C$5*'Tariffs Jan2022'!AK40/'Tariffs Jan2022'!AI40-'Tariffs Jan2022'!K40)*('Tariffs Jan2022'!Q40/100)*'Tariffs Jan2022'!AI40,('Tariffs Jan2022'!L40-'Tariffs Jan2022'!K40)*('Tariffs Jan2022'!Q40/100)*'Tariffs Jan2022'!AI40))</f>
        <v>0</v>
      </c>
      <c r="H46" s="59">
        <f>IF($C$5*'Tariffs Jan2022'!AK40/'Tariffs Jan2022'!AI40&lt;'Tariffs Jan2022'!L40,0,IF($C$5*'Tariffs Jan2022'!AK40/'Tariffs Jan2022'!AI40&lt;='Tariffs Jan2022'!M40,($C$5*'Tariffs Jan2022'!AK40/'Tariffs Jan2022'!AI40-'Tariffs Jan2022'!L40)*('Tariffs Jan2022'!R40/100)*'Tariffs Jan2022'!AI40,('Tariffs Jan2022'!M40-'Tariffs Jan2022'!L40)*('Tariffs Jan2022'!R40/100)*'Tariffs Jan2022'!AI40))</f>
        <v>0</v>
      </c>
      <c r="I46" s="59">
        <f>IF(($C$5*'Tariffs Jan2022'!AK40/'Tariffs Jan2022'!AI40&gt;'Tariffs Jan2022'!M40),($C$5*'Tariffs Jan2022'!AK40/'Tariffs Jan2022'!AI40-'Tariffs Jan2022'!M40)*'Tariffs Jan2022'!S40/100*'Tariffs Jan2022'!AI40,0)</f>
        <v>254.96429999999998</v>
      </c>
      <c r="J46" s="59">
        <f>IF($C$5*'Tariffs Jan2022'!AL40/'Tariffs Jan2022'!AJ40&gt;='Tariffs Jan2022'!J40,('Tariffs Jan2022'!J40*'Tariffs Jan2022'!U40/100)* 'Tariffs Jan2022'!AJ40,($C$5*'Tariffs Jan2022'!AL40/'Tariffs Jan2022'!AJ40*'Tariffs Jan2022'!U40/100)* 'Tariffs Jan2022'!AJ40)</f>
        <v>164.5</v>
      </c>
      <c r="K46" s="59">
        <f>IF($C$5*'Tariffs Jan2022'!AL40/'Tariffs Jan2022'!AJ40&lt;'Tariffs Jan2022'!J40,0,IF($C$5*'Tariffs Jan2022'!AL40/'Tariffs Jan2022'!AJ40&lt;='Tariffs Jan2022'!K40,($C$5*'Tariffs Jan2022'!AL40/'Tariffs Jan2022'!AJ40-'Tariffs Jan2022'!J40)*('Tariffs Jan2022'!V40/100)*'Tariffs Jan2022'!AJ40,('Tariffs Jan2022'!K40-'Tariffs Jan2022'!J40)*('Tariffs Jan2022'!V40/100)*'Tariffs Jan2022'!AJ40))</f>
        <v>119.24</v>
      </c>
      <c r="L46" s="59">
        <f>IF($C$5*'Tariffs Jan2022'!AL40/'Tariffs Jan2022'!AJ40&lt;'Tariffs Jan2022'!K40,0,IF($C$5*'Tariffs Jan2022'!AL40/'Tariffs Jan2022'!AJ40&lt;='Tariffs Jan2022'!L40,($C$5*'Tariffs Jan2022'!AL40/'Tariffs Jan2022'!AJ40-'Tariffs Jan2022'!K40)*('Tariffs Jan2022'!W40/100)*'Tariffs Jan2022'!AJ40,('Tariffs Jan2022'!L40-'Tariffs Jan2022'!K40)*('Tariffs Jan2022'!W40/100)*'Tariffs Jan2022'!AJ40))</f>
        <v>0</v>
      </c>
      <c r="M46" s="59">
        <f>IF($C$5*'Tariffs Jan2022'!AL40/'Tariffs Jan2022'!AJ40&lt;'Tariffs Jan2022'!L40,0,IF($C$5*'Tariffs Jan2022'!AL40/'Tariffs Jan2022'!AJ40&lt;='Tariffs Jan2022'!M40,($C$5*'Tariffs Jan2022'!AL40/'Tariffs Jan2022'!AJ40-'Tariffs Jan2022'!L40)*('Tariffs Jan2022'!X40/100)*'Tariffs Jan2022'!AJ40,('Tariffs Jan2022'!M40-'Tariffs Jan2022'!L40)*('Tariffs Jan2022'!X40/100)*'Tariffs Jan2022'!AJ40))</f>
        <v>0</v>
      </c>
      <c r="N46" s="59">
        <f>IF(($C$5*'Tariffs Jan2022'!AL40/'Tariffs Jan2022'!AJ40&gt;'Tariffs Jan2022'!M40),($C$5*'Tariffs Jan2022'!AL40/'Tariffs Jan2022'!AJ40-'Tariffs Jan2022'!M40)*'Tariffs Jan2022'!Y40/100*'Tariffs Jan2022'!AJ40,0)</f>
        <v>599.91599999999994</v>
      </c>
      <c r="O46" s="59">
        <f t="shared" si="1"/>
        <v>1268.4902999999999</v>
      </c>
      <c r="P46" s="503">
        <f t="shared" si="2"/>
        <v>1395.33933</v>
      </c>
      <c r="Q46" s="59">
        <f t="shared" si="3"/>
        <v>1552.8253</v>
      </c>
      <c r="R46" s="272">
        <f t="shared" si="4"/>
        <v>1708.1078300000001</v>
      </c>
      <c r="S46" s="40">
        <f>'Tariffs Jan2022'!AN40</f>
        <v>0</v>
      </c>
      <c r="T46" s="40">
        <f>'Tariffs Jan2022'!AO40</f>
        <v>0</v>
      </c>
      <c r="U46" s="40">
        <f>'Tariffs Jan2022'!AP40</f>
        <v>0</v>
      </c>
      <c r="V46" s="40">
        <f>'Tariffs Jan2022'!AQ40</f>
        <v>0</v>
      </c>
      <c r="W46" s="537" t="str">
        <f t="shared" si="52"/>
        <v>No discount</v>
      </c>
      <c r="X46" s="538" t="str">
        <f t="shared" si="53"/>
        <v>Exclusive</v>
      </c>
      <c r="Y46" s="534">
        <f t="shared" ref="Y46" si="58">IF(AND(W46="Guaranteed off bill",X46="Inclusive"),((Q46*1.1)-((Q46*1.1)*S46/100))/1.1,IF(AND(W46="Guaranteed off usage",X46="Inclusive"),((Q46*1.1)-((P46*1.1)*T46/100))/1.1,IF(AND(W46="Guaranteed off bill",X46="Exclusive"),Q46-(Q46*S46/100),IF(AND(W46="Guaranteed off usage",X46="Exclusive"),Q46-(P46*T46/100),IF(X46="Inclusive",((Q46*1.1))/1.1,Q46)))))</f>
        <v>1552.8253</v>
      </c>
      <c r="Z46" s="535">
        <f t="shared" ref="Z46" si="59">IF(AND(W46="Pay-on-time off bill",X46="Inclusive"),((Y46*1.1)-((Y46*1.1)*U46/100))/1.1,IF(AND(W46="Pay-on-time off usage",X46="Inclusive"),((Y46*1.1)-((P46*1.1)*V46/100))/1.1,IF(AND(W46="Pay-on-time off bill",X46="Exclusive"),Y46-(Y46*U46/100),IF(AND(W46="Pay-on-time off usage",X46="Exclusive"),Y46-(P46*V46/100),IF(X46="Inclusive",((Y46*1.1))/1.1,Y46)))))</f>
        <v>1552.8253</v>
      </c>
      <c r="AA46" s="542">
        <f t="shared" si="51"/>
        <v>1708.1078300000001</v>
      </c>
      <c r="AB46" s="542">
        <f t="shared" si="51"/>
        <v>1708.1078300000001</v>
      </c>
      <c r="AC46" s="274">
        <f>'Tariffs Jan2022'!AZ40</f>
        <v>0</v>
      </c>
      <c r="AD46" s="274" t="str">
        <f>'Tariffs Jan2022'!BA40</f>
        <v>n</v>
      </c>
      <c r="AE46" s="275" t="str">
        <f>'Tariffs Jan2022'!BJ40</f>
        <v>N</v>
      </c>
      <c r="AF46" s="577"/>
      <c r="AG46" s="577"/>
      <c r="AH46" s="577"/>
      <c r="AI46" s="577"/>
      <c r="AJ46" s="577"/>
      <c r="AK46" s="577"/>
      <c r="AL46" s="577"/>
      <c r="AM46" s="577"/>
      <c r="AN46" s="577"/>
      <c r="AO46" s="577"/>
      <c r="AP46" s="577"/>
      <c r="AQ46" s="577"/>
      <c r="AR46" s="577"/>
      <c r="AS46" s="577"/>
      <c r="AT46" s="577"/>
      <c r="AU46" s="577"/>
      <c r="AV46" s="577"/>
      <c r="AW46" s="577"/>
    </row>
    <row r="47" spans="1:49" ht="14" x14ac:dyDescent="0.15">
      <c r="A47" s="270" t="str">
        <f>'Tariffs Jan2022'!F41</f>
        <v>Origin Energy</v>
      </c>
      <c r="B47" s="40" t="str">
        <f>'Tariffs Jan2022'!D41</f>
        <v>AGN North</v>
      </c>
      <c r="C47" s="40" t="str">
        <f>'Tariffs Jan2022'!G41</f>
        <v>Go</v>
      </c>
      <c r="D47" s="59">
        <f>365*'Tariffs Jan2022'!H41/100</f>
        <v>243.8863636363636</v>
      </c>
      <c r="E47" s="59">
        <f>IF($C$5*'Tariffs Jan2022'!AK41/'Tariffs Jan2022'!AI41&gt;='Tariffs Jan2022'!J41,( 'Tariffs Jan2022'!J41*'Tariffs Jan2022'!O41/100)* 'Tariffs Jan2022'!AI41,($C$5*'Tariffs Jan2022'!AK41/'Tariffs Jan2022'!AI41*'Tariffs Jan2022'!O41/100)* 'Tariffs Jan2022'!AI41)</f>
        <v>409.09090909090901</v>
      </c>
      <c r="F47" s="59">
        <f>IF($C$5*'Tariffs Jan2022'!AK41/'Tariffs Jan2022'!AI41&lt;'Tariffs Jan2022'!J41,0,IF($C$5*'Tariffs Jan2022'!AK41/'Tariffs Jan2022'!AI41&lt;='Tariffs Jan2022'!K41,($C$5*'Tariffs Jan2022'!AK41/'Tariffs Jan2022'!AI41-'Tariffs Jan2022'!J41)*('Tariffs Jan2022'!P41/100)*'Tariffs Jan2022'!AI41,('Tariffs Jan2022'!K41-'Tariffs Jan2022'!J41)*('Tariffs Jan2022'!P41/100)*'Tariffs Jan2022'!AI41))</f>
        <v>283.5</v>
      </c>
      <c r="G47" s="59">
        <f>IF($C$5*'Tariffs Jan2022'!AK41/'Tariffs Jan2022'!AI41&lt;'Tariffs Jan2022'!K41,0,IF($C$5*'Tariffs Jan2022'!AK41/'Tariffs Jan2022'!AI41&lt;='Tariffs Jan2022'!L41,($C$5*'Tariffs Jan2022'!AK41/'Tariffs Jan2022'!AI41-'Tariffs Jan2022'!K41)*('Tariffs Jan2022'!Q41/100)*'Tariffs Jan2022'!AI41,('Tariffs Jan2022'!L41-'Tariffs Jan2022'!K41)*('Tariffs Jan2022'!Q41/100)*'Tariffs Jan2022'!AI41))</f>
        <v>0</v>
      </c>
      <c r="H47" s="59">
        <f>IF($C$5*'Tariffs Jan2022'!AK41/'Tariffs Jan2022'!AI41&lt;'Tariffs Jan2022'!L41,0,IF($C$5*'Tariffs Jan2022'!AK41/'Tariffs Jan2022'!AI41&lt;='Tariffs Jan2022'!M41,($C$5*'Tariffs Jan2022'!AK41/'Tariffs Jan2022'!AI41-'Tariffs Jan2022'!L41)*('Tariffs Jan2022'!R41/100)*'Tariffs Jan2022'!AI41,('Tariffs Jan2022'!M41-'Tariffs Jan2022'!L41)*('Tariffs Jan2022'!R41/100)*'Tariffs Jan2022'!AI41))</f>
        <v>0</v>
      </c>
      <c r="I47" s="59">
        <f>IF(($C$5*'Tariffs Jan2022'!AK41/'Tariffs Jan2022'!AI41&gt;'Tariffs Jan2022'!M41),($C$5*'Tariffs Jan2022'!AK41/'Tariffs Jan2022'!AI41-'Tariffs Jan2022'!M41)*'Tariffs Jan2022'!S41/100*'Tariffs Jan2022'!AI41,0)</f>
        <v>0</v>
      </c>
      <c r="J47" s="59">
        <f>IF($C$5*'Tariffs Jan2022'!AL41/'Tariffs Jan2022'!AJ41&gt;='Tariffs Jan2022'!J41,('Tariffs Jan2022'!J41*'Tariffs Jan2022'!U41/100)* 'Tariffs Jan2022'!AJ41,($C$5*'Tariffs Jan2022'!AL41/'Tariffs Jan2022'!AJ41*'Tariffs Jan2022'!U41/100)* 'Tariffs Jan2022'!AJ41)</f>
        <v>409.09090909090901</v>
      </c>
      <c r="K47" s="59">
        <f>IF($C$5*'Tariffs Jan2022'!AL41/'Tariffs Jan2022'!AJ41&lt;'Tariffs Jan2022'!J41,0,IF($C$5*'Tariffs Jan2022'!AL41/'Tariffs Jan2022'!AJ41&lt;='Tariffs Jan2022'!K41,($C$5*'Tariffs Jan2022'!AL41/'Tariffs Jan2022'!AJ41-'Tariffs Jan2022'!J41)*('Tariffs Jan2022'!V41/100)*'Tariffs Jan2022'!AJ41,('Tariffs Jan2022'!K41-'Tariffs Jan2022'!J41)*('Tariffs Jan2022'!V41/100)*'Tariffs Jan2022'!AJ41))</f>
        <v>283.5</v>
      </c>
      <c r="L47" s="59">
        <f>IF($C$5*'Tariffs Jan2022'!AL41/'Tariffs Jan2022'!AJ41&lt;'Tariffs Jan2022'!K41,0,IF($C$5*'Tariffs Jan2022'!AL41/'Tariffs Jan2022'!AJ41&lt;='Tariffs Jan2022'!L41,($C$5*'Tariffs Jan2022'!AL41/'Tariffs Jan2022'!AJ41-'Tariffs Jan2022'!K41)*('Tariffs Jan2022'!W41/100)*'Tariffs Jan2022'!AJ41,('Tariffs Jan2022'!L41-'Tariffs Jan2022'!K41)*('Tariffs Jan2022'!W41/100)*'Tariffs Jan2022'!AJ41))</f>
        <v>0</v>
      </c>
      <c r="M47" s="59">
        <f>IF($C$5*'Tariffs Jan2022'!AL41/'Tariffs Jan2022'!AJ41&lt;'Tariffs Jan2022'!L41,0,IF($C$5*'Tariffs Jan2022'!AL41/'Tariffs Jan2022'!AJ41&lt;='Tariffs Jan2022'!M41,($C$5*'Tariffs Jan2022'!AL41/'Tariffs Jan2022'!AJ41-'Tariffs Jan2022'!L41)*('Tariffs Jan2022'!X41/100)*'Tariffs Jan2022'!AJ41,('Tariffs Jan2022'!M41-'Tariffs Jan2022'!L41)*('Tariffs Jan2022'!X41/100)*'Tariffs Jan2022'!AJ41))</f>
        <v>0</v>
      </c>
      <c r="N47" s="59">
        <f>IF(($C$5*'Tariffs Jan2022'!AL41/'Tariffs Jan2022'!AJ41&gt;'Tariffs Jan2022'!M41),($C$5*'Tariffs Jan2022'!AL41/'Tariffs Jan2022'!AJ41-'Tariffs Jan2022'!M41)*'Tariffs Jan2022'!Y41/100*'Tariffs Jan2022'!AJ41,0)</f>
        <v>0</v>
      </c>
      <c r="O47" s="59">
        <f t="shared" si="1"/>
        <v>1385.181818181818</v>
      </c>
      <c r="P47" s="503">
        <f t="shared" si="2"/>
        <v>1523.7</v>
      </c>
      <c r="Q47" s="59">
        <f t="shared" si="3"/>
        <v>1629.0681818181815</v>
      </c>
      <c r="R47" s="272">
        <f t="shared" si="4"/>
        <v>1791.9749999999999</v>
      </c>
      <c r="S47" s="40">
        <f>'Tariffs Jan2022'!AN41</f>
        <v>0</v>
      </c>
      <c r="T47" s="40">
        <f>'Tariffs Jan2022'!AO41</f>
        <v>0</v>
      </c>
      <c r="U47" s="40">
        <f>'Tariffs Jan2022'!AP41</f>
        <v>0</v>
      </c>
      <c r="V47" s="40">
        <f>'Tariffs Jan2022'!AQ41</f>
        <v>0</v>
      </c>
      <c r="W47" s="537" t="str">
        <f t="shared" si="52"/>
        <v>No discount</v>
      </c>
      <c r="X47" s="538" t="str">
        <f t="shared" si="53"/>
        <v>Inclusive</v>
      </c>
      <c r="Y47" s="534">
        <f>IF(AND(W47="Guaranteed off bill",X47="Inclusive"),((Q47*1.1)-((Q47*1.1)*S47/100))/1.1,IF(AND(W47="Guaranteed off usage",X47="Inclusive"),((Q47*1.1)-((P47*1.1)*T47/100))/1.1,IF(AND(W47="Guaranteed off bill",X47="Exclusive"),Q47-(Q47*S47/100),IF(AND(W47="Guaranteed off usage",X47="Exclusive"),Q47-(P47*T47/100),IF(X47="Inclusive",((Q47*1.1))/1.1,Q47)))))</f>
        <v>1629.0681818181815</v>
      </c>
      <c r="Z47" s="535">
        <f>IF(AND(W47="Pay-on-time off bill",X47="Inclusive"),((Y47*1.1)-((Y47*1.1)*U47/100))/1.1,IF(AND(W47="Pay-on-time off usage",X47="Inclusive"),((Y47*1.1)-((P47*1.1)*V47/100))/1.1,IF(AND(W47="Pay-on-time off bill",X47="Exclusive"),Y47-(Y47*U47/100),IF(AND(W47="Pay-on-time off usage",X47="Exclusive"),Y47-(P47*V47/100),IF(X47="Inclusive",((Y47*1.1))/1.1,Y47)))))</f>
        <v>1629.0681818181815</v>
      </c>
      <c r="AA47" s="542">
        <f t="shared" si="51"/>
        <v>1791.9749999999999</v>
      </c>
      <c r="AB47" s="542">
        <f t="shared" si="51"/>
        <v>1791.9749999999999</v>
      </c>
      <c r="AC47" s="274">
        <f>'Tariffs Jan2022'!AZ41</f>
        <v>0</v>
      </c>
      <c r="AD47" s="274" t="str">
        <f>'Tariffs Jan2022'!BA41</f>
        <v>n</v>
      </c>
      <c r="AE47" s="275" t="str">
        <f>'Tariffs Jan2022'!BJ41</f>
        <v>N</v>
      </c>
      <c r="AF47" s="577"/>
      <c r="AG47" s="577"/>
      <c r="AH47" s="577"/>
      <c r="AI47" s="577"/>
      <c r="AJ47" s="577"/>
      <c r="AK47" s="577"/>
      <c r="AL47" s="577"/>
      <c r="AM47" s="577"/>
      <c r="AN47" s="577"/>
      <c r="AO47" s="577"/>
      <c r="AP47" s="577"/>
      <c r="AQ47" s="577"/>
      <c r="AR47" s="577"/>
      <c r="AS47" s="577"/>
      <c r="AT47" s="577"/>
      <c r="AU47" s="577"/>
      <c r="AV47" s="577"/>
      <c r="AW47" s="577"/>
    </row>
    <row r="48" spans="1:49" ht="14" x14ac:dyDescent="0.15">
      <c r="A48" s="270" t="str">
        <f>'Tariffs Jan2022'!F42</f>
        <v>Red Energy</v>
      </c>
      <c r="B48" s="40" t="str">
        <f>'Tariffs Jan2022'!D42</f>
        <v>AGN North</v>
      </c>
      <c r="C48" s="40" t="str">
        <f>'Tariffs Jan2022'!G42</f>
        <v>Living Energy Saver</v>
      </c>
      <c r="D48" s="59">
        <f>365*'Tariffs Jan2022'!H42/100</f>
        <v>239.14136363636356</v>
      </c>
      <c r="E48" s="59">
        <f>IF($C$5*'Tariffs Jan2022'!AK42/'Tariffs Jan2022'!AI42&gt;='Tariffs Jan2022'!J42,( 'Tariffs Jan2022'!J42*'Tariffs Jan2022'!O42/100)* 'Tariffs Jan2022'!AI42,($C$5*'Tariffs Jan2022'!AK42/'Tariffs Jan2022'!AI42*'Tariffs Jan2022'!O42/100)* 'Tariffs Jan2022'!AI42)</f>
        <v>118.88863636363635</v>
      </c>
      <c r="F48" s="59">
        <f>IF($C$5*'Tariffs Jan2022'!AK42/'Tariffs Jan2022'!AI42&lt;'Tariffs Jan2022'!J42,0,IF($C$5*'Tariffs Jan2022'!AK42/'Tariffs Jan2022'!AI42&lt;='Tariffs Jan2022'!K42,($C$5*'Tariffs Jan2022'!AK42/'Tariffs Jan2022'!AI42-'Tariffs Jan2022'!J42)*('Tariffs Jan2022'!P42/100)*'Tariffs Jan2022'!AI42,('Tariffs Jan2022'!K42-'Tariffs Jan2022'!J42)*('Tariffs Jan2022'!P42/100)*'Tariffs Jan2022'!AI42))</f>
        <v>93.125454545454545</v>
      </c>
      <c r="G48" s="59">
        <f>IF($C$5*'Tariffs Jan2022'!AK42/'Tariffs Jan2022'!AI42&lt;'Tariffs Jan2022'!K42,0,IF($C$5*'Tariffs Jan2022'!AK42/'Tariffs Jan2022'!AI42&lt;='Tariffs Jan2022'!L42,($C$5*'Tariffs Jan2022'!AK42/'Tariffs Jan2022'!AI42-'Tariffs Jan2022'!K42)*('Tariffs Jan2022'!Q42/100)*'Tariffs Jan2022'!AI42,('Tariffs Jan2022'!L42-'Tariffs Jan2022'!K42)*('Tariffs Jan2022'!Q42/100)*'Tariffs Jan2022'!AI42))</f>
        <v>0</v>
      </c>
      <c r="H48" s="59">
        <f>IF($C$5*'Tariffs Jan2022'!AK42/'Tariffs Jan2022'!AI42&lt;'Tariffs Jan2022'!L42,0,IF($C$5*'Tariffs Jan2022'!AK42/'Tariffs Jan2022'!AI42&lt;='Tariffs Jan2022'!M42,($C$5*'Tariffs Jan2022'!AK42/'Tariffs Jan2022'!AI42-'Tariffs Jan2022'!L42)*('Tariffs Jan2022'!R42/100)*'Tariffs Jan2022'!AI42,('Tariffs Jan2022'!M42-'Tariffs Jan2022'!L42)*('Tariffs Jan2022'!R42/100)*'Tariffs Jan2022'!AI42))</f>
        <v>0</v>
      </c>
      <c r="I48" s="59">
        <f>IF(($C$5*'Tariffs Jan2022'!AK42/'Tariffs Jan2022'!AI42&gt;'Tariffs Jan2022'!M42),($C$5*'Tariffs Jan2022'!AK42/'Tariffs Jan2022'!AI42-'Tariffs Jan2022'!M42)*'Tariffs Jan2022'!S42/100*'Tariffs Jan2022'!AI42,0)</f>
        <v>384.5454545454545</v>
      </c>
      <c r="J48" s="59">
        <f>IF($C$5*'Tariffs Jan2022'!AL42/'Tariffs Jan2022'!AJ42&gt;='Tariffs Jan2022'!J42,('Tariffs Jan2022'!J42*'Tariffs Jan2022'!U42/100)* 'Tariffs Jan2022'!AJ42,($C$5*'Tariffs Jan2022'!AL42/'Tariffs Jan2022'!AJ42*'Tariffs Jan2022'!U42/100)* 'Tariffs Jan2022'!AJ42)</f>
        <v>118.88863636363635</v>
      </c>
      <c r="K48" s="59">
        <f>IF($C$5*'Tariffs Jan2022'!AL42/'Tariffs Jan2022'!AJ42&lt;'Tariffs Jan2022'!J42,0,IF($C$5*'Tariffs Jan2022'!AL42/'Tariffs Jan2022'!AJ42&lt;='Tariffs Jan2022'!K42,($C$5*'Tariffs Jan2022'!AL42/'Tariffs Jan2022'!AJ42-'Tariffs Jan2022'!J42)*('Tariffs Jan2022'!V42/100)*'Tariffs Jan2022'!AJ42,('Tariffs Jan2022'!K42-'Tariffs Jan2022'!J42)*('Tariffs Jan2022'!V42/100)*'Tariffs Jan2022'!AJ42))</f>
        <v>93.125454545454545</v>
      </c>
      <c r="L48" s="59">
        <f>IF($C$5*'Tariffs Jan2022'!AL42/'Tariffs Jan2022'!AJ42&lt;'Tariffs Jan2022'!K42,0,IF($C$5*'Tariffs Jan2022'!AL42/'Tariffs Jan2022'!AJ42&lt;='Tariffs Jan2022'!L42,($C$5*'Tariffs Jan2022'!AL42/'Tariffs Jan2022'!AJ42-'Tariffs Jan2022'!K42)*('Tariffs Jan2022'!W42/100)*'Tariffs Jan2022'!AJ42,('Tariffs Jan2022'!L42-'Tariffs Jan2022'!K42)*('Tariffs Jan2022'!W42/100)*'Tariffs Jan2022'!AJ42))</f>
        <v>0</v>
      </c>
      <c r="M48" s="59">
        <f>IF($C$5*'Tariffs Jan2022'!AL42/'Tariffs Jan2022'!AJ42&lt;'Tariffs Jan2022'!L42,0,IF($C$5*'Tariffs Jan2022'!AL42/'Tariffs Jan2022'!AJ42&lt;='Tariffs Jan2022'!M42,($C$5*'Tariffs Jan2022'!AL42/'Tariffs Jan2022'!AJ42-'Tariffs Jan2022'!L42)*('Tariffs Jan2022'!X42/100)*'Tariffs Jan2022'!AJ42,('Tariffs Jan2022'!M42-'Tariffs Jan2022'!L42)*('Tariffs Jan2022'!X42/100)*'Tariffs Jan2022'!AJ42))</f>
        <v>0</v>
      </c>
      <c r="N48" s="59">
        <f>IF(($C$5*'Tariffs Jan2022'!AL42/'Tariffs Jan2022'!AJ42&gt;'Tariffs Jan2022'!M42),($C$5*'Tariffs Jan2022'!AL42/'Tariffs Jan2022'!AJ42-'Tariffs Jan2022'!M42)*'Tariffs Jan2022'!Y42/100*'Tariffs Jan2022'!AJ42,0)</f>
        <v>384.5454545454545</v>
      </c>
      <c r="O48" s="59">
        <f t="shared" si="1"/>
        <v>1193.1190909090908</v>
      </c>
      <c r="P48" s="503">
        <f t="shared" si="2"/>
        <v>1312.431</v>
      </c>
      <c r="Q48" s="59">
        <f t="shared" si="3"/>
        <v>1432.2604545454544</v>
      </c>
      <c r="R48" s="272">
        <f t="shared" si="4"/>
        <v>1575.4865</v>
      </c>
      <c r="S48" s="40">
        <f>'Tariffs Jan2022'!AN42</f>
        <v>0</v>
      </c>
      <c r="T48" s="40">
        <f>'Tariffs Jan2022'!AO42</f>
        <v>0</v>
      </c>
      <c r="U48" s="40">
        <f>'Tariffs Jan2022'!AP42</f>
        <v>0</v>
      </c>
      <c r="V48" s="40">
        <f>'Tariffs Jan2022'!AQ42</f>
        <v>0</v>
      </c>
      <c r="W48" s="537" t="str">
        <f t="shared" si="52"/>
        <v>No discount</v>
      </c>
      <c r="X48" s="538" t="str">
        <f t="shared" si="53"/>
        <v>Inclusive</v>
      </c>
      <c r="Y48" s="534">
        <f t="shared" ref="Y48:Y50" si="60">IF(AND(W48="Guaranteed off bill",X48="Inclusive"),((Q48*1.1)-((Q48*1.1)*S48/100))/1.1,IF(AND(W48="Guaranteed off usage",X48="Inclusive"),((Q48*1.1)-((P48*1.1)*T48/100))/1.1,IF(AND(W48="Guaranteed off bill",X48="Exclusive"),Q48-(Q48*S48/100),IF(AND(W48="Guaranteed off usage",X48="Exclusive"),Q48-(P48*T48/100),IF(X48="Inclusive",((Q48*1.1))/1.1,Q48)))))</f>
        <v>1432.2604545454544</v>
      </c>
      <c r="Z48" s="535">
        <f t="shared" ref="Z48:Z50" si="61">IF(AND(W48="Pay-on-time off bill",X48="Inclusive"),((Y48*1.1)-((Y48*1.1)*U48/100))/1.1,IF(AND(W48="Pay-on-time off usage",X48="Inclusive"),((Y48*1.1)-((P48*1.1)*V48/100))/1.1,IF(AND(W48="Pay-on-time off bill",X48="Exclusive"),Y48-(Y48*U48/100),IF(AND(W48="Pay-on-time off usage",X48="Exclusive"),Y48-(P48*V48/100),IF(X48="Inclusive",((Y48*1.1))/1.1,Y48)))))</f>
        <v>1432.2604545454544</v>
      </c>
      <c r="AA48" s="542">
        <f t="shared" si="51"/>
        <v>1575.4865</v>
      </c>
      <c r="AB48" s="542">
        <f t="shared" si="51"/>
        <v>1575.4865</v>
      </c>
      <c r="AC48" s="274">
        <f>'Tariffs Jan2022'!AZ42</f>
        <v>0</v>
      </c>
      <c r="AD48" s="274" t="str">
        <f>'Tariffs Jan2022'!BA42</f>
        <v>n</v>
      </c>
      <c r="AE48" s="275" t="str">
        <f>'Tariffs Jan2022'!BJ42</f>
        <v>N</v>
      </c>
      <c r="AF48" s="577"/>
      <c r="AG48" s="577"/>
      <c r="AH48" s="577"/>
      <c r="AI48" s="577"/>
      <c r="AJ48" s="577"/>
      <c r="AK48" s="577"/>
      <c r="AL48" s="577"/>
      <c r="AM48" s="577"/>
      <c r="AN48" s="577"/>
      <c r="AO48" s="577"/>
      <c r="AP48" s="577"/>
      <c r="AQ48" s="577"/>
      <c r="AR48" s="577"/>
      <c r="AS48" s="577"/>
      <c r="AT48" s="577"/>
      <c r="AU48" s="577"/>
      <c r="AV48" s="577"/>
      <c r="AW48" s="577"/>
    </row>
    <row r="49" spans="1:49" ht="14" x14ac:dyDescent="0.15">
      <c r="A49" s="270" t="str">
        <f>'Tariffs Jan2022'!F43</f>
        <v>Simply Energy</v>
      </c>
      <c r="B49" s="40" t="str">
        <f>'Tariffs Jan2022'!D43</f>
        <v>AGN North</v>
      </c>
      <c r="C49" s="40" t="str">
        <f>'Tariffs Jan2022'!G43</f>
        <v>Blue perks</v>
      </c>
      <c r="D49" s="59">
        <f>365*'Tariffs Jan2022'!H43/100</f>
        <v>281.41499999999996</v>
      </c>
      <c r="E49" s="59">
        <f>IF($C$5*'Tariffs Jan2022'!AK43/'Tariffs Jan2022'!AI43&gt;='Tariffs Jan2022'!J43,( 'Tariffs Jan2022'!J43*'Tariffs Jan2022'!O43/100)* 'Tariffs Jan2022'!AI43,($C$5*'Tariffs Jan2022'!AK43/'Tariffs Jan2022'!AI43*'Tariffs Jan2022'!O43/100)* 'Tariffs Jan2022'!AI43)</f>
        <v>176.76272727272726</v>
      </c>
      <c r="F49" s="59">
        <f>IF($C$5*'Tariffs Jan2022'!AK43/'Tariffs Jan2022'!AI43&lt;'Tariffs Jan2022'!J43,0,IF($C$5*'Tariffs Jan2022'!AK43/'Tariffs Jan2022'!AI43&lt;='Tariffs Jan2022'!K43,($C$5*'Tariffs Jan2022'!AK43/'Tariffs Jan2022'!AI43-'Tariffs Jan2022'!J43)*('Tariffs Jan2022'!P43/100)*'Tariffs Jan2022'!AI43,('Tariffs Jan2022'!K43-'Tariffs Jan2022'!J43)*('Tariffs Jan2022'!P43/100)*'Tariffs Jan2022'!AI43))</f>
        <v>124.90636363636364</v>
      </c>
      <c r="G49" s="59">
        <f>IF($C$5*'Tariffs Jan2022'!AK43/'Tariffs Jan2022'!AI43&lt;'Tariffs Jan2022'!K43,0,IF($C$5*'Tariffs Jan2022'!AK43/'Tariffs Jan2022'!AI43&lt;='Tariffs Jan2022'!L43,($C$5*'Tariffs Jan2022'!AK43/'Tariffs Jan2022'!AI43-'Tariffs Jan2022'!K43)*('Tariffs Jan2022'!Q43/100)*'Tariffs Jan2022'!AI43,('Tariffs Jan2022'!L43-'Tariffs Jan2022'!K43)*('Tariffs Jan2022'!Q43/100)*'Tariffs Jan2022'!AI43))</f>
        <v>0</v>
      </c>
      <c r="H49" s="59">
        <f>IF($C$5*'Tariffs Jan2022'!AK43/'Tariffs Jan2022'!AI43&lt;'Tariffs Jan2022'!L43,0,IF($C$5*'Tariffs Jan2022'!AK43/'Tariffs Jan2022'!AI43&lt;='Tariffs Jan2022'!M43,($C$5*'Tariffs Jan2022'!AK43/'Tariffs Jan2022'!AI43-'Tariffs Jan2022'!L43)*('Tariffs Jan2022'!R43/100)*'Tariffs Jan2022'!AI43,('Tariffs Jan2022'!M43-'Tariffs Jan2022'!L43)*('Tariffs Jan2022'!R43/100)*'Tariffs Jan2022'!AI43))</f>
        <v>0</v>
      </c>
      <c r="I49" s="59">
        <f>IF(($C$5*'Tariffs Jan2022'!AK43/'Tariffs Jan2022'!AI43&gt;'Tariffs Jan2022'!M43),($C$5*'Tariffs Jan2022'!AK43/'Tariffs Jan2022'!AI43-'Tariffs Jan2022'!M43)*'Tariffs Jan2022'!S43/100*'Tariffs Jan2022'!AI43,0)</f>
        <v>589.09090909090901</v>
      </c>
      <c r="J49" s="59">
        <f>IF($C$5*'Tariffs Jan2022'!AL43/'Tariffs Jan2022'!AJ43&gt;='Tariffs Jan2022'!J43,('Tariffs Jan2022'!J43*'Tariffs Jan2022'!U43/100)* 'Tariffs Jan2022'!AJ43,($C$5*'Tariffs Jan2022'!AL43/'Tariffs Jan2022'!AJ43*'Tariffs Jan2022'!U43/100)* 'Tariffs Jan2022'!AJ43)</f>
        <v>176.76272727272726</v>
      </c>
      <c r="K49" s="59">
        <f>IF($C$5*'Tariffs Jan2022'!AL43/'Tariffs Jan2022'!AJ43&lt;'Tariffs Jan2022'!J43,0,IF($C$5*'Tariffs Jan2022'!AL43/'Tariffs Jan2022'!AJ43&lt;='Tariffs Jan2022'!K43,($C$5*'Tariffs Jan2022'!AL43/'Tariffs Jan2022'!AJ43-'Tariffs Jan2022'!J43)*('Tariffs Jan2022'!V43/100)*'Tariffs Jan2022'!AJ43,('Tariffs Jan2022'!K43-'Tariffs Jan2022'!J43)*('Tariffs Jan2022'!V43/100)*'Tariffs Jan2022'!AJ43))</f>
        <v>124.90636363636364</v>
      </c>
      <c r="L49" s="59">
        <f>IF($C$5*'Tariffs Jan2022'!AL43/'Tariffs Jan2022'!AJ43&lt;'Tariffs Jan2022'!K43,0,IF($C$5*'Tariffs Jan2022'!AL43/'Tariffs Jan2022'!AJ43&lt;='Tariffs Jan2022'!L43,($C$5*'Tariffs Jan2022'!AL43/'Tariffs Jan2022'!AJ43-'Tariffs Jan2022'!K43)*('Tariffs Jan2022'!W43/100)*'Tariffs Jan2022'!AJ43,('Tariffs Jan2022'!L43-'Tariffs Jan2022'!K43)*('Tariffs Jan2022'!W43/100)*'Tariffs Jan2022'!AJ43))</f>
        <v>0</v>
      </c>
      <c r="M49" s="59">
        <f>IF($C$5*'Tariffs Jan2022'!AL43/'Tariffs Jan2022'!AJ43&lt;'Tariffs Jan2022'!L43,0,IF($C$5*'Tariffs Jan2022'!AL43/'Tariffs Jan2022'!AJ43&lt;='Tariffs Jan2022'!M43,($C$5*'Tariffs Jan2022'!AL43/'Tariffs Jan2022'!AJ43-'Tariffs Jan2022'!L43)*('Tariffs Jan2022'!X43/100)*'Tariffs Jan2022'!AJ43,('Tariffs Jan2022'!M43-'Tariffs Jan2022'!L43)*('Tariffs Jan2022'!X43/100)*'Tariffs Jan2022'!AJ43))</f>
        <v>0</v>
      </c>
      <c r="N49" s="59">
        <f>IF(($C$5*'Tariffs Jan2022'!AL43/'Tariffs Jan2022'!AJ43&gt;'Tariffs Jan2022'!M43),($C$5*'Tariffs Jan2022'!AL43/'Tariffs Jan2022'!AJ43-'Tariffs Jan2022'!M43)*'Tariffs Jan2022'!Y43/100*'Tariffs Jan2022'!AJ43,0)</f>
        <v>589.09090909090901</v>
      </c>
      <c r="O49" s="59">
        <f t="shared" si="1"/>
        <v>1781.5199999999998</v>
      </c>
      <c r="P49" s="503">
        <f t="shared" si="2"/>
        <v>1959.6719999999998</v>
      </c>
      <c r="Q49" s="59">
        <f t="shared" si="3"/>
        <v>2062.9349999999995</v>
      </c>
      <c r="R49" s="272">
        <f t="shared" si="4"/>
        <v>2269.2284999999997</v>
      </c>
      <c r="S49" s="40">
        <f>'Tariffs Jan2022'!AN43</f>
        <v>32</v>
      </c>
      <c r="T49" s="40">
        <f>'Tariffs Jan2022'!AO43</f>
        <v>0</v>
      </c>
      <c r="U49" s="40">
        <f>'Tariffs Jan2022'!AP43</f>
        <v>0</v>
      </c>
      <c r="V49" s="40">
        <f>'Tariffs Jan2022'!AQ43</f>
        <v>0</v>
      </c>
      <c r="W49" s="537" t="str">
        <f t="shared" si="52"/>
        <v>Guaranteed off bill</v>
      </c>
      <c r="X49" s="538" t="str">
        <f t="shared" si="53"/>
        <v>Exclusive</v>
      </c>
      <c r="Y49" s="534">
        <f t="shared" si="60"/>
        <v>1402.7957999999996</v>
      </c>
      <c r="Z49" s="535">
        <f t="shared" si="61"/>
        <v>1402.7957999999996</v>
      </c>
      <c r="AA49" s="542">
        <f t="shared" si="51"/>
        <v>1543.0753799999998</v>
      </c>
      <c r="AB49" s="542">
        <f t="shared" si="51"/>
        <v>1543.0753799999998</v>
      </c>
      <c r="AC49" s="274">
        <f>'Tariffs Jan2022'!AZ43</f>
        <v>0</v>
      </c>
      <c r="AD49" s="274" t="str">
        <f>'Tariffs Jan2022'!BA43</f>
        <v>n</v>
      </c>
      <c r="AE49" s="275" t="str">
        <f>'Tariffs Jan2022'!BJ43</f>
        <v>N</v>
      </c>
      <c r="AF49" s="577"/>
      <c r="AG49" s="577"/>
      <c r="AH49" s="577"/>
      <c r="AI49" s="577"/>
      <c r="AJ49" s="577"/>
      <c r="AK49" s="577"/>
      <c r="AL49" s="577"/>
      <c r="AM49" s="577"/>
      <c r="AN49" s="577"/>
      <c r="AO49" s="577"/>
      <c r="AP49" s="577"/>
      <c r="AQ49" s="577"/>
      <c r="AR49" s="577"/>
      <c r="AS49" s="577"/>
      <c r="AT49" s="577"/>
      <c r="AU49" s="577"/>
      <c r="AV49" s="577"/>
      <c r="AW49" s="577"/>
    </row>
    <row r="50" spans="1:49" ht="14" x14ac:dyDescent="0.15">
      <c r="A50" s="270" t="str">
        <f>'Tariffs Jan2022'!F44</f>
        <v>GloBird Energy</v>
      </c>
      <c r="B50" s="40" t="str">
        <f>'Tariffs Jan2022'!D44</f>
        <v>AGN North</v>
      </c>
      <c r="C50" s="40" t="str">
        <f>'Tariffs Jan2022'!G44</f>
        <v>GloSave</v>
      </c>
      <c r="D50" s="59">
        <f>365*'Tariffs Jan2022'!H44/100</f>
        <v>218.99999999999997</v>
      </c>
      <c r="E50" s="59">
        <f>IF($C$5*'Tariffs Jan2022'!AK44/'Tariffs Jan2022'!AI44&gt;='Tariffs Jan2022'!J44,( 'Tariffs Jan2022'!J44*'Tariffs Jan2022'!O44/100)* 'Tariffs Jan2022'!AI44,($C$5*'Tariffs Jan2022'!AK44/'Tariffs Jan2022'!AI44*'Tariffs Jan2022'!O44/100)* 'Tariffs Jan2022'!AI44)</f>
        <v>202.90909090909088</v>
      </c>
      <c r="F50" s="59">
        <f>IF($C$5*'Tariffs Jan2022'!AK44/'Tariffs Jan2022'!AI44&lt;'Tariffs Jan2022'!J44,0,IF($C$5*'Tariffs Jan2022'!AK44/'Tariffs Jan2022'!AI44&lt;='Tariffs Jan2022'!K44,($C$5*'Tariffs Jan2022'!AK44/'Tariffs Jan2022'!AI44-'Tariffs Jan2022'!J44)*('Tariffs Jan2022'!P44/100)*'Tariffs Jan2022'!AI44,('Tariffs Jan2022'!K44-'Tariffs Jan2022'!J44)*('Tariffs Jan2022'!P44/100)*'Tariffs Jan2022'!AI44))</f>
        <v>0</v>
      </c>
      <c r="G50" s="59">
        <f>IF($C$5*'Tariffs Jan2022'!AK44/'Tariffs Jan2022'!AI44&lt;'Tariffs Jan2022'!K44,0,IF($C$5*'Tariffs Jan2022'!AK44/'Tariffs Jan2022'!AI44&lt;='Tariffs Jan2022'!L44,($C$5*'Tariffs Jan2022'!AK44/'Tariffs Jan2022'!AI44-'Tariffs Jan2022'!K44)*('Tariffs Jan2022'!Q44/100)*'Tariffs Jan2022'!AI44,('Tariffs Jan2022'!L44-'Tariffs Jan2022'!K44)*('Tariffs Jan2022'!Q44/100)*'Tariffs Jan2022'!AI44))</f>
        <v>0</v>
      </c>
      <c r="H50" s="59">
        <f>IF($C$5*'Tariffs Jan2022'!AK44/'Tariffs Jan2022'!AI44&lt;'Tariffs Jan2022'!L44,0,IF($C$5*'Tariffs Jan2022'!AK44/'Tariffs Jan2022'!AI44&lt;='Tariffs Jan2022'!M44,($C$5*'Tariffs Jan2022'!AK44/'Tariffs Jan2022'!AI44-'Tariffs Jan2022'!L44)*('Tariffs Jan2022'!R44/100)*'Tariffs Jan2022'!AI44,('Tariffs Jan2022'!M44-'Tariffs Jan2022'!L44)*('Tariffs Jan2022'!R44/100)*'Tariffs Jan2022'!AI44))</f>
        <v>0</v>
      </c>
      <c r="I50" s="59">
        <f>IF(($C$5*'Tariffs Jan2022'!AK44/'Tariffs Jan2022'!AI44&gt;'Tariffs Jan2022'!M44),($C$5*'Tariffs Jan2022'!AK44/'Tariffs Jan2022'!AI44-'Tariffs Jan2022'!M44)*'Tariffs Jan2022'!S44/100*'Tariffs Jan2022'!AI44,0)</f>
        <v>394.77272727272725</v>
      </c>
      <c r="J50" s="59">
        <f>IF($C$5*'Tariffs Jan2022'!AL44/'Tariffs Jan2022'!AJ44&gt;='Tariffs Jan2022'!J44,('Tariffs Jan2022'!J44*'Tariffs Jan2022'!U44/100)* 'Tariffs Jan2022'!AJ44,($C$5*'Tariffs Jan2022'!AL44/'Tariffs Jan2022'!AJ44*'Tariffs Jan2022'!U44/100)* 'Tariffs Jan2022'!AJ44)</f>
        <v>202.90909090909088</v>
      </c>
      <c r="K50" s="59">
        <f>IF($C$5*'Tariffs Jan2022'!AL44/'Tariffs Jan2022'!AJ44&lt;'Tariffs Jan2022'!J44,0,IF($C$5*'Tariffs Jan2022'!AL44/'Tariffs Jan2022'!AJ44&lt;='Tariffs Jan2022'!K44,($C$5*'Tariffs Jan2022'!AL44/'Tariffs Jan2022'!AJ44-'Tariffs Jan2022'!J44)*('Tariffs Jan2022'!V44/100)*'Tariffs Jan2022'!AJ44,('Tariffs Jan2022'!K44-'Tariffs Jan2022'!J44)*('Tariffs Jan2022'!V44/100)*'Tariffs Jan2022'!AJ44))</f>
        <v>0</v>
      </c>
      <c r="L50" s="59">
        <f>IF($C$5*'Tariffs Jan2022'!AL44/'Tariffs Jan2022'!AJ44&lt;'Tariffs Jan2022'!K44,0,IF($C$5*'Tariffs Jan2022'!AL44/'Tariffs Jan2022'!AJ44&lt;='Tariffs Jan2022'!L44,($C$5*'Tariffs Jan2022'!AL44/'Tariffs Jan2022'!AJ44-'Tariffs Jan2022'!K44)*('Tariffs Jan2022'!W44/100)*'Tariffs Jan2022'!AJ44,('Tariffs Jan2022'!L44-'Tariffs Jan2022'!K44)*('Tariffs Jan2022'!W44/100)*'Tariffs Jan2022'!AJ44))</f>
        <v>0</v>
      </c>
      <c r="M50" s="59">
        <f>IF($C$5*'Tariffs Jan2022'!AL44/'Tariffs Jan2022'!AJ44&lt;'Tariffs Jan2022'!L44,0,IF($C$5*'Tariffs Jan2022'!AL44/'Tariffs Jan2022'!AJ44&lt;='Tariffs Jan2022'!M44,($C$5*'Tariffs Jan2022'!AL44/'Tariffs Jan2022'!AJ44-'Tariffs Jan2022'!L44)*('Tariffs Jan2022'!X44/100)*'Tariffs Jan2022'!AJ44,('Tariffs Jan2022'!M44-'Tariffs Jan2022'!L44)*('Tariffs Jan2022'!X44/100)*'Tariffs Jan2022'!AJ44))</f>
        <v>0</v>
      </c>
      <c r="N50" s="59">
        <f>IF(($C$5*'Tariffs Jan2022'!AL44/'Tariffs Jan2022'!AJ44&gt;'Tariffs Jan2022'!M44),($C$5*'Tariffs Jan2022'!AL44/'Tariffs Jan2022'!AJ44-'Tariffs Jan2022'!M44)*'Tariffs Jan2022'!Y44/100*'Tariffs Jan2022'!AJ44,0)</f>
        <v>394.77272727272725</v>
      </c>
      <c r="O50" s="59">
        <f t="shared" si="1"/>
        <v>1195.3636363636363</v>
      </c>
      <c r="P50" s="503">
        <f t="shared" si="2"/>
        <v>1314.9</v>
      </c>
      <c r="Q50" s="59">
        <f t="shared" si="3"/>
        <v>1414.3636363636363</v>
      </c>
      <c r="R50" s="272">
        <f t="shared" si="4"/>
        <v>1555.8</v>
      </c>
      <c r="S50" s="40">
        <f>'Tariffs Jan2022'!AN44</f>
        <v>0</v>
      </c>
      <c r="T50" s="40">
        <f>'Tariffs Jan2022'!AO44</f>
        <v>0</v>
      </c>
      <c r="U50" s="40">
        <f>'Tariffs Jan2022'!AP44</f>
        <v>0</v>
      </c>
      <c r="V50" s="40">
        <f>'Tariffs Jan2022'!AQ44</f>
        <v>0</v>
      </c>
      <c r="W50" s="537" t="str">
        <f t="shared" si="52"/>
        <v>No discount</v>
      </c>
      <c r="X50" s="538" t="str">
        <f t="shared" si="53"/>
        <v>Exclusive</v>
      </c>
      <c r="Y50" s="534">
        <f t="shared" si="60"/>
        <v>1414.3636363636363</v>
      </c>
      <c r="Z50" s="535">
        <f t="shared" si="61"/>
        <v>1414.3636363636363</v>
      </c>
      <c r="AA50" s="542">
        <f t="shared" si="51"/>
        <v>1555.8</v>
      </c>
      <c r="AB50" s="542">
        <f t="shared" si="51"/>
        <v>1555.8</v>
      </c>
      <c r="AC50" s="274">
        <f>'Tariffs Jan2022'!AZ44</f>
        <v>0</v>
      </c>
      <c r="AD50" s="274" t="str">
        <f>'Tariffs Jan2022'!BA44</f>
        <v>n</v>
      </c>
      <c r="AE50" s="275" t="str">
        <f>'Tariffs Jan2022'!BJ44</f>
        <v>N</v>
      </c>
      <c r="AF50" s="577"/>
      <c r="AG50" s="577"/>
      <c r="AH50" s="577"/>
      <c r="AI50" s="577"/>
      <c r="AJ50" s="577"/>
      <c r="AK50" s="577"/>
      <c r="AL50" s="577"/>
      <c r="AM50" s="577"/>
      <c r="AN50" s="577"/>
      <c r="AO50" s="577"/>
      <c r="AP50" s="577"/>
      <c r="AQ50" s="577"/>
      <c r="AR50" s="577"/>
      <c r="AS50" s="577"/>
      <c r="AT50" s="577"/>
      <c r="AU50" s="577"/>
      <c r="AV50" s="577"/>
      <c r="AW50" s="577"/>
    </row>
    <row r="51" spans="1:49" ht="14" x14ac:dyDescent="0.15">
      <c r="A51" s="270" t="str">
        <f>'Tariffs Jan2022'!F45</f>
        <v>Powershop</v>
      </c>
      <c r="B51" s="40" t="str">
        <f>'Tariffs Jan2022'!D45</f>
        <v>AGN North</v>
      </c>
      <c r="C51" s="40" t="str">
        <f>'Tariffs Jan2022'!G45</f>
        <v>Market offer</v>
      </c>
      <c r="D51" s="59">
        <f>365*'Tariffs Jan2022'!H45/100</f>
        <v>247.8681818181818</v>
      </c>
      <c r="E51" s="59">
        <f>((C$5*'Tariffs Jan2022'!AK45/'Tariffs Jan2022'!AI45)*('Tariffs Jan2022'!O45/100))*'Tariffs Jan2022'!AI45</f>
        <v>552.68181818181813</v>
      </c>
      <c r="F51" s="59">
        <v>0</v>
      </c>
      <c r="G51" s="59">
        <v>0</v>
      </c>
      <c r="H51" s="59">
        <v>0</v>
      </c>
      <c r="I51" s="59">
        <v>0</v>
      </c>
      <c r="J51" s="59">
        <f>((C$5*'Tariffs Jan2022'!AL45/'Tariffs Jan2022'!AJ45)*('Tariffs Jan2022'!U45/100))*'Tariffs Jan2022'!AJ45</f>
        <v>552.68181818181813</v>
      </c>
      <c r="K51" s="59">
        <v>0</v>
      </c>
      <c r="L51" s="59">
        <v>0</v>
      </c>
      <c r="M51" s="59">
        <v>0</v>
      </c>
      <c r="N51" s="59">
        <v>0</v>
      </c>
      <c r="O51" s="59">
        <f t="shared" si="1"/>
        <v>1105.3636363636363</v>
      </c>
      <c r="P51" s="503">
        <f t="shared" si="2"/>
        <v>1215.9000000000001</v>
      </c>
      <c r="Q51" s="59">
        <f t="shared" si="3"/>
        <v>1353.231818181818</v>
      </c>
      <c r="R51" s="272">
        <f t="shared" si="4"/>
        <v>1488.5549999999998</v>
      </c>
      <c r="S51" s="40">
        <f>'Tariffs Jan2022'!AN45</f>
        <v>0</v>
      </c>
      <c r="T51" s="40">
        <f>'Tariffs Jan2022'!AO45</f>
        <v>0</v>
      </c>
      <c r="U51" s="40">
        <f>'Tariffs Jan2022'!AP45</f>
        <v>0</v>
      </c>
      <c r="V51" s="40">
        <f>'Tariffs Jan2022'!AQ45</f>
        <v>0</v>
      </c>
      <c r="W51" s="537" t="str">
        <f t="shared" si="52"/>
        <v>No discount</v>
      </c>
      <c r="X51" s="538" t="str">
        <f t="shared" si="53"/>
        <v>Inclusive</v>
      </c>
      <c r="Y51" s="534">
        <f>IF(AND(W51="Guaranteed off bill",X51="Inclusive"),((Q51*1.1)-((Q51*1.1)*S51/100))/1.1,IF(AND(W51="Guaranteed off usage",X51="Inclusive"),((Q51*1.1)-((P51*1.1)*T51/100))/1.1,IF(AND(W51="Guaranteed off bill",X51="Exclusive"),Q51-(Q51*S51/100),IF(AND(W51="Guaranteed off usage",X51="Exclusive"),Q51-(P51*T51/100),IF(X51="Inclusive",((Q51*1.1))/1.1,Q51)))))</f>
        <v>1353.231818181818</v>
      </c>
      <c r="Z51" s="535">
        <f>IF(AND(W51="Pay-on-time off bill",X51="Inclusive"),((Y51*1.1)-((Y51*1.1)*U51/100))/1.1,IF(AND(W51="Pay-on-time off usage",X51="Inclusive"),((Y51*1.1)-((P51*1.1)*V51/100))/1.1,IF(AND(W51="Pay-on-time off bill",X51="Exclusive"),Y51-(Y51*U51/100),IF(AND(W51="Pay-on-time off usage",X51="Exclusive"),Y51-(P51*V51/100),IF(X51="Inclusive",((Y51*1.1))/1.1,Y51)))))</f>
        <v>1353.231818181818</v>
      </c>
      <c r="AA51" s="542">
        <f t="shared" si="51"/>
        <v>1488.5549999999998</v>
      </c>
      <c r="AB51" s="542">
        <f t="shared" si="51"/>
        <v>1488.5549999999998</v>
      </c>
      <c r="AC51" s="274">
        <f>'Tariffs Jan2022'!AZ45</f>
        <v>0</v>
      </c>
      <c r="AD51" s="274" t="str">
        <f>'Tariffs Jan2022'!BA45</f>
        <v>n</v>
      </c>
      <c r="AE51" s="275" t="str">
        <f>'Tariffs Jan2022'!BJ45</f>
        <v>Y</v>
      </c>
      <c r="AF51" s="577"/>
      <c r="AG51" s="577"/>
      <c r="AH51" s="577"/>
      <c r="AI51" s="577"/>
      <c r="AJ51" s="577"/>
      <c r="AK51" s="577"/>
      <c r="AL51" s="577"/>
      <c r="AM51" s="577"/>
      <c r="AN51" s="577"/>
      <c r="AO51" s="577"/>
      <c r="AP51" s="577"/>
      <c r="AQ51" s="577"/>
      <c r="AR51" s="577"/>
      <c r="AS51" s="577"/>
      <c r="AT51" s="577"/>
      <c r="AU51" s="577"/>
      <c r="AV51" s="577"/>
      <c r="AW51" s="577"/>
    </row>
    <row r="52" spans="1:49" ht="14" x14ac:dyDescent="0.15">
      <c r="A52" s="270" t="str">
        <f>'Tariffs Jan2022'!F46</f>
        <v>1st Energy</v>
      </c>
      <c r="B52" s="40" t="str">
        <f>'Tariffs Jan2022'!D46</f>
        <v>AGN North</v>
      </c>
      <c r="C52" s="40" t="str">
        <f>'Tariffs Jan2022'!G46</f>
        <v>1st Saver Plus</v>
      </c>
      <c r="D52" s="59">
        <f>365*'Tariffs Jan2022'!H46/100</f>
        <v>266.45</v>
      </c>
      <c r="E52" s="59">
        <f>IF($C$5*'Tariffs Jan2022'!AK46/'Tariffs Jan2022'!AI46&gt;='Tariffs Jan2022'!J46,( 'Tariffs Jan2022'!J46*'Tariffs Jan2022'!O46/100)* 'Tariffs Jan2022'!AI46,($C$5*'Tariffs Jan2022'!AK46/'Tariffs Jan2022'!AI46*'Tariffs Jan2022'!O46/100)* 'Tariffs Jan2022'!AI46)</f>
        <v>144.46090909090907</v>
      </c>
      <c r="F52" s="59">
        <f>IF($C$5*'Tariffs Jan2022'!AK46/'Tariffs Jan2022'!AI46&lt;'Tariffs Jan2022'!J46,0,IF($C$5*'Tariffs Jan2022'!AK46/'Tariffs Jan2022'!AI46&lt;='Tariffs Jan2022'!K46,($C$5*'Tariffs Jan2022'!AK46/'Tariffs Jan2022'!AI46-'Tariffs Jan2022'!J46)*('Tariffs Jan2022'!P46/100)*'Tariffs Jan2022'!AI46,('Tariffs Jan2022'!K46-'Tariffs Jan2022'!J46)*('Tariffs Jan2022'!P46/100)*'Tariffs Jan2022'!AI46))</f>
        <v>103.47272727272725</v>
      </c>
      <c r="G52" s="59">
        <f>IF($C$5*'Tariffs Jan2022'!AK46/'Tariffs Jan2022'!AI46&lt;'Tariffs Jan2022'!K46,0,IF($C$5*'Tariffs Jan2022'!AK46/'Tariffs Jan2022'!AI46&lt;='Tariffs Jan2022'!L46,($C$5*'Tariffs Jan2022'!AK46/'Tariffs Jan2022'!AI46-'Tariffs Jan2022'!K46)*('Tariffs Jan2022'!Q46/100)*'Tariffs Jan2022'!AI46,('Tariffs Jan2022'!L46-'Tariffs Jan2022'!K46)*('Tariffs Jan2022'!Q46/100)*'Tariffs Jan2022'!AI46))</f>
        <v>0</v>
      </c>
      <c r="H52" s="59">
        <f>IF($C$5*'Tariffs Jan2022'!AK46/'Tariffs Jan2022'!AI46&lt;'Tariffs Jan2022'!L46,0,IF($C$5*'Tariffs Jan2022'!AK46/'Tariffs Jan2022'!AI46&lt;='Tariffs Jan2022'!M46,($C$5*'Tariffs Jan2022'!AK46/'Tariffs Jan2022'!AI46-'Tariffs Jan2022'!L46)*('Tariffs Jan2022'!R46/100)*'Tariffs Jan2022'!AI46,('Tariffs Jan2022'!M46-'Tariffs Jan2022'!L46)*('Tariffs Jan2022'!R46/100)*'Tariffs Jan2022'!AI46))</f>
        <v>0</v>
      </c>
      <c r="I52" s="59">
        <f>IF(($C$5*'Tariffs Jan2022'!AK46/'Tariffs Jan2022'!AI46&gt;'Tariffs Jan2022'!M46),($C$5*'Tariffs Jan2022'!AK46/'Tariffs Jan2022'!AI46-'Tariffs Jan2022'!M46)*'Tariffs Jan2022'!S46/100*'Tariffs Jan2022'!AI46,0)</f>
        <v>490.90909090909088</v>
      </c>
      <c r="J52" s="59">
        <f>IF($C$5*'Tariffs Jan2022'!AL46/'Tariffs Jan2022'!AJ46&gt;='Tariffs Jan2022'!J46,('Tariffs Jan2022'!J46*'Tariffs Jan2022'!U46/100)* 'Tariffs Jan2022'!AJ46,($C$5*'Tariffs Jan2022'!AL46/'Tariffs Jan2022'!AJ46*'Tariffs Jan2022'!U46/100)* 'Tariffs Jan2022'!AJ46)</f>
        <v>144.46090909090907</v>
      </c>
      <c r="K52" s="59">
        <f>IF($C$5*'Tariffs Jan2022'!AL46/'Tariffs Jan2022'!AJ46&lt;'Tariffs Jan2022'!J46,0,IF($C$5*'Tariffs Jan2022'!AL46/'Tariffs Jan2022'!AJ46&lt;='Tariffs Jan2022'!K46,($C$5*'Tariffs Jan2022'!AL46/'Tariffs Jan2022'!AJ46-'Tariffs Jan2022'!J46)*('Tariffs Jan2022'!V46/100)*'Tariffs Jan2022'!AJ46,('Tariffs Jan2022'!K46-'Tariffs Jan2022'!J46)*('Tariffs Jan2022'!V46/100)*'Tariffs Jan2022'!AJ46))</f>
        <v>103.47272727272725</v>
      </c>
      <c r="L52" s="59">
        <f>IF($C$5*'Tariffs Jan2022'!AL46/'Tariffs Jan2022'!AJ46&lt;'Tariffs Jan2022'!K46,0,IF($C$5*'Tariffs Jan2022'!AL46/'Tariffs Jan2022'!AJ46&lt;='Tariffs Jan2022'!L46,($C$5*'Tariffs Jan2022'!AL46/'Tariffs Jan2022'!AJ46-'Tariffs Jan2022'!K46)*('Tariffs Jan2022'!W46/100)*'Tariffs Jan2022'!AJ46,('Tariffs Jan2022'!L46-'Tariffs Jan2022'!K46)*('Tariffs Jan2022'!W46/100)*'Tariffs Jan2022'!AJ46))</f>
        <v>0</v>
      </c>
      <c r="M52" s="59">
        <f>IF($C$5*'Tariffs Jan2022'!AL46/'Tariffs Jan2022'!AJ46&lt;'Tariffs Jan2022'!L46,0,IF($C$5*'Tariffs Jan2022'!AL46/'Tariffs Jan2022'!AJ46&lt;='Tariffs Jan2022'!M46,($C$5*'Tariffs Jan2022'!AL46/'Tariffs Jan2022'!AJ46-'Tariffs Jan2022'!L46)*('Tariffs Jan2022'!X46/100)*'Tariffs Jan2022'!AJ46,('Tariffs Jan2022'!M46-'Tariffs Jan2022'!L46)*('Tariffs Jan2022'!X46/100)*'Tariffs Jan2022'!AJ46))</f>
        <v>0</v>
      </c>
      <c r="N52" s="59">
        <f>IF(($C$5*'Tariffs Jan2022'!AL46/'Tariffs Jan2022'!AJ46&gt;'Tariffs Jan2022'!M46),($C$5*'Tariffs Jan2022'!AL46/'Tariffs Jan2022'!AJ46-'Tariffs Jan2022'!M46)*'Tariffs Jan2022'!Y46/100*'Tariffs Jan2022'!AJ46,0)</f>
        <v>490.90909090909088</v>
      </c>
      <c r="O52" s="59">
        <f t="shared" si="1"/>
        <v>1477.6854545454544</v>
      </c>
      <c r="P52" s="503">
        <f t="shared" si="2"/>
        <v>1625.454</v>
      </c>
      <c r="Q52" s="59">
        <f t="shared" si="3"/>
        <v>1744.1354545454544</v>
      </c>
      <c r="R52" s="272">
        <f t="shared" si="4"/>
        <v>1918.549</v>
      </c>
      <c r="S52" s="40">
        <f>'Tariffs Jan2022'!AN46</f>
        <v>0</v>
      </c>
      <c r="T52" s="40">
        <f>'Tariffs Jan2022'!AO46</f>
        <v>12</v>
      </c>
      <c r="U52" s="40">
        <f>'Tariffs Jan2022'!AP46</f>
        <v>0</v>
      </c>
      <c r="V52" s="40">
        <f>'Tariffs Jan2022'!AQ46</f>
        <v>3</v>
      </c>
      <c r="W52" s="537" t="str">
        <f t="shared" si="52"/>
        <v>Guaranteed off usage</v>
      </c>
      <c r="X52" s="538" t="str">
        <f t="shared" si="53"/>
        <v>Exclusive</v>
      </c>
      <c r="Y52" s="534">
        <f>Q52-(P52*T52)/100</f>
        <v>1549.0809745454544</v>
      </c>
      <c r="Z52" s="535">
        <f>Y52-(P52*V52)/100</f>
        <v>1500.3173545454545</v>
      </c>
      <c r="AA52" s="542">
        <f t="shared" si="51"/>
        <v>1703.9890720000001</v>
      </c>
      <c r="AB52" s="542">
        <f t="shared" si="51"/>
        <v>1650.3490899999999</v>
      </c>
      <c r="AC52" s="274">
        <f>'Tariffs Jan2022'!AZ46</f>
        <v>0</v>
      </c>
      <c r="AD52" s="274" t="str">
        <f>'Tariffs Jan2022'!BA46</f>
        <v>n</v>
      </c>
      <c r="AE52" s="275" t="str">
        <f>'Tariffs Jan2022'!BJ46</f>
        <v>Y</v>
      </c>
      <c r="AF52" s="577"/>
      <c r="AG52" s="577"/>
      <c r="AH52" s="577"/>
      <c r="AI52" s="577"/>
      <c r="AJ52" s="577"/>
      <c r="AK52" s="577"/>
      <c r="AL52" s="577"/>
      <c r="AM52" s="577"/>
      <c r="AN52" s="577"/>
      <c r="AO52" s="577"/>
      <c r="AP52" s="577"/>
      <c r="AQ52" s="577"/>
      <c r="AR52" s="577"/>
      <c r="AS52" s="577"/>
      <c r="AT52" s="577"/>
      <c r="AU52" s="577"/>
      <c r="AV52" s="577"/>
      <c r="AW52" s="577"/>
    </row>
    <row r="53" spans="1:49" ht="14" x14ac:dyDescent="0.15">
      <c r="A53" s="270" t="str">
        <f>'Tariffs Jan2022'!F47</f>
        <v>Kogan Energy</v>
      </c>
      <c r="B53" s="40" t="str">
        <f>'Tariffs Jan2022'!D47</f>
        <v>AGN North</v>
      </c>
      <c r="C53" s="40" t="str">
        <f>'Tariffs Jan2022'!G47</f>
        <v>Kogan First</v>
      </c>
      <c r="D53" s="59">
        <f>365*'Tariffs Jan2022'!H47/100</f>
        <v>216.87636363636364</v>
      </c>
      <c r="E53" s="59">
        <f>((C$5*'Tariffs Jan2022'!AK47/'Tariffs Jan2022'!AI47)*('Tariffs Jan2022'!O47/100))*'Tariffs Jan2022'!AI47</f>
        <v>572.72727272727275</v>
      </c>
      <c r="F53" s="59">
        <v>0</v>
      </c>
      <c r="G53" s="59">
        <v>0</v>
      </c>
      <c r="H53" s="59">
        <v>0</v>
      </c>
      <c r="I53" s="59">
        <v>0</v>
      </c>
      <c r="J53" s="59">
        <f>((C$5*'Tariffs Jan2022'!AL47/'Tariffs Jan2022'!AJ47)*('Tariffs Jan2022'!U47/100))*'Tariffs Jan2022'!AJ47</f>
        <v>572.72727272727275</v>
      </c>
      <c r="K53" s="59">
        <v>0</v>
      </c>
      <c r="L53" s="59">
        <v>0</v>
      </c>
      <c r="M53" s="59">
        <v>0</v>
      </c>
      <c r="N53" s="59">
        <v>0</v>
      </c>
      <c r="O53" s="59">
        <f t="shared" si="1"/>
        <v>1145.4545454545455</v>
      </c>
      <c r="P53" s="503">
        <f t="shared" si="2"/>
        <v>1260.0000000000002</v>
      </c>
      <c r="Q53" s="59">
        <f t="shared" si="3"/>
        <v>1362.3309090909092</v>
      </c>
      <c r="R53" s="272">
        <f t="shared" si="4"/>
        <v>1498.5640000000003</v>
      </c>
      <c r="S53" s="40">
        <f>'Tariffs Jan2022'!AN47</f>
        <v>0</v>
      </c>
      <c r="T53" s="40">
        <f>'Tariffs Jan2022'!AO47</f>
        <v>0</v>
      </c>
      <c r="U53" s="40">
        <f>'Tariffs Jan2022'!AP47</f>
        <v>0</v>
      </c>
      <c r="V53" s="40">
        <f>'Tariffs Jan2022'!AQ47</f>
        <v>0</v>
      </c>
      <c r="W53" s="537" t="str">
        <f t="shared" si="52"/>
        <v>No discount</v>
      </c>
      <c r="X53" s="538" t="str">
        <f t="shared" si="53"/>
        <v>Exclusive</v>
      </c>
      <c r="Y53" s="534">
        <f t="shared" ref="Y53:Y54" si="62">IF(AND(W53="Guaranteed off bill",X53="Inclusive"),((Q53*1.1)-((Q53*1.1)*S53/100))/1.1,IF(AND(W53="Guaranteed off usage",X53="Inclusive"),((Q53*1.1)-((P53*1.1)*T53/100))/1.1,IF(AND(W53="Guaranteed off bill",X53="Exclusive"),Q53-(Q53*S53/100),IF(AND(W53="Guaranteed off usage",X53="Exclusive"),Q53-(P53*T53/100),IF(X53="Inclusive",((Q53*1.1))/1.1,Q53)))))</f>
        <v>1362.3309090909092</v>
      </c>
      <c r="Z53" s="535">
        <f t="shared" ref="Z53:Z54" si="63">IF(AND(W53="Pay-on-time off bill",X53="Inclusive"),((Y53*1.1)-((Y53*1.1)*U53/100))/1.1,IF(AND(W53="Pay-on-time off usage",X53="Inclusive"),((Y53*1.1)-((P53*1.1)*V53/100))/1.1,IF(AND(W53="Pay-on-time off bill",X53="Exclusive"),Y53-(Y53*U53/100),IF(AND(W53="Pay-on-time off usage",X53="Exclusive"),Y53-(P53*V53/100),IF(X53="Inclusive",((Y53*1.1))/1.1,Y53)))))</f>
        <v>1362.3309090909092</v>
      </c>
      <c r="AA53" s="542">
        <f t="shared" si="51"/>
        <v>1498.5640000000003</v>
      </c>
      <c r="AB53" s="542">
        <f t="shared" si="51"/>
        <v>1498.5640000000003</v>
      </c>
      <c r="AC53" s="274">
        <f>'Tariffs Jan2022'!AZ47</f>
        <v>0</v>
      </c>
      <c r="AD53" s="274" t="str">
        <f>'Tariffs Jan2022'!BA47</f>
        <v>n</v>
      </c>
      <c r="AE53" s="275" t="str">
        <f>'Tariffs Jan2022'!BJ47</f>
        <v>Y</v>
      </c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77"/>
      <c r="AR53" s="577"/>
      <c r="AS53" s="577"/>
      <c r="AT53" s="577"/>
      <c r="AU53" s="577"/>
      <c r="AV53" s="577"/>
      <c r="AW53" s="577"/>
    </row>
    <row r="54" spans="1:49" ht="14" x14ac:dyDescent="0.15">
      <c r="A54" s="270" t="str">
        <f>'Tariffs Jan2022'!F48</f>
        <v>Tango Energy</v>
      </c>
      <c r="B54" s="40" t="str">
        <f>'Tariffs Jan2022'!D48</f>
        <v>AGN North</v>
      </c>
      <c r="C54" s="40" t="str">
        <f>'Tariffs Jan2022'!G48</f>
        <v>Home Select</v>
      </c>
      <c r="D54" s="59">
        <f>365*'Tariffs Jan2022'!H48/100</f>
        <v>292</v>
      </c>
      <c r="E54" s="59">
        <f>IF($C$5*'Tariffs Jan2022'!AK48/'Tariffs Jan2022'!AI48&gt;='Tariffs Jan2022'!J48,( 'Tariffs Jan2022'!J48*'Tariffs Jan2022'!O48/100)* 'Tariffs Jan2022'!AI48,($C$5*'Tariffs Jan2022'!AK48/'Tariffs Jan2022'!AI48*'Tariffs Jan2022'!O48/100)* 'Tariffs Jan2022'!AI48)</f>
        <v>87.932727272727263</v>
      </c>
      <c r="F54" s="59">
        <f>IF($C$5*'Tariffs Jan2022'!AK48/'Tariffs Jan2022'!AI48&lt;'Tariffs Jan2022'!J48,0,IF($C$5*'Tariffs Jan2022'!AK48/'Tariffs Jan2022'!AI48&lt;='Tariffs Jan2022'!K48,($C$5*'Tariffs Jan2022'!AK48/'Tariffs Jan2022'!AI48-'Tariffs Jan2022'!J48)*('Tariffs Jan2022'!P48/100)*'Tariffs Jan2022'!AI48,('Tariffs Jan2022'!K48-'Tariffs Jan2022'!J48)*('Tariffs Jan2022'!P48/100)*'Tariffs Jan2022'!AI48))</f>
        <v>63.561818181818182</v>
      </c>
      <c r="G54" s="59">
        <f>IF($C$5*'Tariffs Jan2022'!AK48/'Tariffs Jan2022'!AI48&lt;'Tariffs Jan2022'!K48,0,IF($C$5*'Tariffs Jan2022'!AK48/'Tariffs Jan2022'!AI48&lt;='Tariffs Jan2022'!L48,($C$5*'Tariffs Jan2022'!AK48/'Tariffs Jan2022'!AI48-'Tariffs Jan2022'!K48)*('Tariffs Jan2022'!Q48/100)*'Tariffs Jan2022'!AI48,('Tariffs Jan2022'!L48-'Tariffs Jan2022'!K48)*('Tariffs Jan2022'!Q48/100)*'Tariffs Jan2022'!AI48))</f>
        <v>0</v>
      </c>
      <c r="H54" s="59">
        <f>IF($C$5*'Tariffs Jan2022'!AK48/'Tariffs Jan2022'!AI48&lt;'Tariffs Jan2022'!L48,0,IF($C$5*'Tariffs Jan2022'!AK48/'Tariffs Jan2022'!AI48&lt;='Tariffs Jan2022'!M48,($C$5*'Tariffs Jan2022'!AK48/'Tariffs Jan2022'!AI48-'Tariffs Jan2022'!L48)*('Tariffs Jan2022'!R48/100)*'Tariffs Jan2022'!AI48,('Tariffs Jan2022'!M48-'Tariffs Jan2022'!L48)*('Tariffs Jan2022'!R48/100)*'Tariffs Jan2022'!AI48))</f>
        <v>0</v>
      </c>
      <c r="I54" s="59">
        <f>IF(($C$5*'Tariffs Jan2022'!AK48/'Tariffs Jan2022'!AI48&gt;'Tariffs Jan2022'!M48),($C$5*'Tariffs Jan2022'!AK48/'Tariffs Jan2022'!AI48-'Tariffs Jan2022'!M48)*'Tariffs Jan2022'!S48/100*'Tariffs Jan2022'!AI48,0)</f>
        <v>306.81818181818181</v>
      </c>
      <c r="J54" s="59">
        <f>IF($C$5*'Tariffs Jan2022'!AL48/'Tariffs Jan2022'!AJ48&gt;='Tariffs Jan2022'!J48,('Tariffs Jan2022'!J48*'Tariffs Jan2022'!U48/100)* 'Tariffs Jan2022'!AJ48,($C$5*'Tariffs Jan2022'!AL48/'Tariffs Jan2022'!AJ48*'Tariffs Jan2022'!U48/100)* 'Tariffs Jan2022'!AJ48)</f>
        <v>87.932727272727263</v>
      </c>
      <c r="K54" s="59">
        <f>IF($C$5*'Tariffs Jan2022'!AL48/'Tariffs Jan2022'!AJ48&lt;'Tariffs Jan2022'!J48,0,IF($C$5*'Tariffs Jan2022'!AL48/'Tariffs Jan2022'!AJ48&lt;='Tariffs Jan2022'!K48,($C$5*'Tariffs Jan2022'!AL48/'Tariffs Jan2022'!AJ48-'Tariffs Jan2022'!J48)*('Tariffs Jan2022'!V48/100)*'Tariffs Jan2022'!AJ48,('Tariffs Jan2022'!K48-'Tariffs Jan2022'!J48)*('Tariffs Jan2022'!V48/100)*'Tariffs Jan2022'!AJ48))</f>
        <v>63.561818181818182</v>
      </c>
      <c r="L54" s="59">
        <f>IF($C$5*'Tariffs Jan2022'!AL48/'Tariffs Jan2022'!AJ48&lt;'Tariffs Jan2022'!K48,0,IF($C$5*'Tariffs Jan2022'!AL48/'Tariffs Jan2022'!AJ48&lt;='Tariffs Jan2022'!L48,($C$5*'Tariffs Jan2022'!AL48/'Tariffs Jan2022'!AJ48-'Tariffs Jan2022'!K48)*('Tariffs Jan2022'!W48/100)*'Tariffs Jan2022'!AJ48,('Tariffs Jan2022'!L48-'Tariffs Jan2022'!K48)*('Tariffs Jan2022'!W48/100)*'Tariffs Jan2022'!AJ48))</f>
        <v>0</v>
      </c>
      <c r="M54" s="59">
        <f>IF($C$5*'Tariffs Jan2022'!AL48/'Tariffs Jan2022'!AJ48&lt;'Tariffs Jan2022'!L48,0,IF($C$5*'Tariffs Jan2022'!AL48/'Tariffs Jan2022'!AJ48&lt;='Tariffs Jan2022'!M48,($C$5*'Tariffs Jan2022'!AL48/'Tariffs Jan2022'!AJ48-'Tariffs Jan2022'!L48)*('Tariffs Jan2022'!X48/100)*'Tariffs Jan2022'!AJ48,('Tariffs Jan2022'!M48-'Tariffs Jan2022'!L48)*('Tariffs Jan2022'!X48/100)*'Tariffs Jan2022'!AJ48))</f>
        <v>0</v>
      </c>
      <c r="N54" s="59">
        <f>IF(($C$5*'Tariffs Jan2022'!AL48/'Tariffs Jan2022'!AJ48&gt;'Tariffs Jan2022'!M48),($C$5*'Tariffs Jan2022'!AL48/'Tariffs Jan2022'!AJ48-'Tariffs Jan2022'!M48)*'Tariffs Jan2022'!Y48/100*'Tariffs Jan2022'!AJ48,0)</f>
        <v>306.81818181818181</v>
      </c>
      <c r="O54" s="59">
        <f>SUM(E54:N54)</f>
        <v>916.62545454545443</v>
      </c>
      <c r="P54" s="503">
        <f t="shared" si="2"/>
        <v>1008.288</v>
      </c>
      <c r="Q54" s="59">
        <f>D54+O54</f>
        <v>1208.6254545454544</v>
      </c>
      <c r="R54" s="272">
        <f>Q54*1.1</f>
        <v>1329.4880000000001</v>
      </c>
      <c r="S54" s="40">
        <f>'Tariffs Jan2022'!AN48</f>
        <v>0</v>
      </c>
      <c r="T54" s="40">
        <f>'Tariffs Jan2022'!AO48</f>
        <v>0</v>
      </c>
      <c r="U54" s="40">
        <f>'Tariffs Jan2022'!AP48</f>
        <v>0</v>
      </c>
      <c r="V54" s="40">
        <f>'Tariffs Jan2022'!AQ48</f>
        <v>0</v>
      </c>
      <c r="W54" s="537" t="str">
        <f t="shared" si="52"/>
        <v>No discount</v>
      </c>
      <c r="X54" s="538" t="str">
        <f t="shared" si="53"/>
        <v>Exclusive</v>
      </c>
      <c r="Y54" s="534">
        <f t="shared" si="62"/>
        <v>1208.6254545454544</v>
      </c>
      <c r="Z54" s="535">
        <f t="shared" si="63"/>
        <v>1208.6254545454544</v>
      </c>
      <c r="AA54" s="542">
        <f t="shared" si="51"/>
        <v>1329.4880000000001</v>
      </c>
      <c r="AB54" s="542">
        <f t="shared" si="51"/>
        <v>1329.4880000000001</v>
      </c>
      <c r="AC54" s="274">
        <f>'Tariffs Jan2022'!AZ48</f>
        <v>0</v>
      </c>
      <c r="AD54" s="274" t="str">
        <f>'Tariffs Jan2022'!BA48</f>
        <v>n</v>
      </c>
      <c r="AE54" s="275" t="str">
        <f>'Tariffs Jan2022'!BJ48</f>
        <v>N</v>
      </c>
      <c r="AF54" s="577"/>
      <c r="AG54" s="577"/>
      <c r="AH54" s="577"/>
      <c r="AI54" s="577"/>
      <c r="AJ54" s="577"/>
      <c r="AK54" s="577"/>
      <c r="AL54" s="577"/>
      <c r="AM54" s="577"/>
      <c r="AN54" s="577"/>
      <c r="AO54" s="577"/>
      <c r="AP54" s="577"/>
      <c r="AQ54" s="577"/>
      <c r="AR54" s="577"/>
      <c r="AS54" s="577"/>
      <c r="AT54" s="577"/>
      <c r="AU54" s="577"/>
      <c r="AV54" s="577"/>
      <c r="AW54" s="577"/>
    </row>
    <row r="55" spans="1:49" ht="15" thickBot="1" x14ac:dyDescent="0.2">
      <c r="A55" s="276" t="str">
        <f>'Tariffs Jan2022'!F49</f>
        <v>Discover Energy</v>
      </c>
      <c r="B55" s="277" t="str">
        <f>'Tariffs Jan2022'!D49</f>
        <v>AGN North</v>
      </c>
      <c r="C55" s="277" t="str">
        <f>'Tariffs Jan2022'!G49</f>
        <v>Budget Offer</v>
      </c>
      <c r="D55" s="278">
        <f>365*'Tariffs Jan2022'!H49/100</f>
        <v>218.66818181818181</v>
      </c>
      <c r="E55" s="278">
        <f>IF($C$5*'Tariffs Jan2022'!AK49/'Tariffs Jan2022'!AI49&gt;='Tariffs Jan2022'!J49,( 'Tariffs Jan2022'!J49*'Tariffs Jan2022'!O49/100)* 'Tariffs Jan2022'!AI49,($C$5*'Tariffs Jan2022'!AK49/'Tariffs Jan2022'!AI49*'Tariffs Jan2022'!O49/100)* 'Tariffs Jan2022'!AI49)</f>
        <v>125.16954545454544</v>
      </c>
      <c r="F55" s="278">
        <f>IF($C$5*'Tariffs Jan2022'!AK49/'Tariffs Jan2022'!AI49&lt;'Tariffs Jan2022'!J49,0,IF($C$5*'Tariffs Jan2022'!AK49/'Tariffs Jan2022'!AI49&lt;='Tariffs Jan2022'!K49,($C$5*'Tariffs Jan2022'!AK49/'Tariffs Jan2022'!AI49-'Tariffs Jan2022'!J49)*('Tariffs Jan2022'!P49/100)*'Tariffs Jan2022'!AI49,('Tariffs Jan2022'!K49-'Tariffs Jan2022'!J49)*('Tariffs Jan2022'!P49/100)*'Tariffs Jan2022'!AI49))</f>
        <v>90.169090909090897</v>
      </c>
      <c r="G55" s="278">
        <f>IF($C$5*'Tariffs Jan2022'!AK49/'Tariffs Jan2022'!AI49&lt;'Tariffs Jan2022'!K49,0,IF($C$5*'Tariffs Jan2022'!AK49/'Tariffs Jan2022'!AI49&lt;='Tariffs Jan2022'!L49,($C$5*'Tariffs Jan2022'!AK49/'Tariffs Jan2022'!AI49-'Tariffs Jan2022'!K49)*('Tariffs Jan2022'!Q49/100)*'Tariffs Jan2022'!AI49,('Tariffs Jan2022'!L49-'Tariffs Jan2022'!K49)*('Tariffs Jan2022'!Q49/100)*'Tariffs Jan2022'!AI49))</f>
        <v>0</v>
      </c>
      <c r="H55" s="278">
        <f>IF($C$5*'Tariffs Jan2022'!AK49/'Tariffs Jan2022'!AI49&lt;'Tariffs Jan2022'!L49,0,IF($C$5*'Tariffs Jan2022'!AK49/'Tariffs Jan2022'!AI49&lt;='Tariffs Jan2022'!M49,($C$5*'Tariffs Jan2022'!AK49/'Tariffs Jan2022'!AI49-'Tariffs Jan2022'!L49)*('Tariffs Jan2022'!R49/100)*'Tariffs Jan2022'!AI49,('Tariffs Jan2022'!M49-'Tariffs Jan2022'!L49)*('Tariffs Jan2022'!R49/100)*'Tariffs Jan2022'!AI49))</f>
        <v>0</v>
      </c>
      <c r="I55" s="278">
        <f>IF(($C$5*'Tariffs Jan2022'!AK49/'Tariffs Jan2022'!AI49&gt;'Tariffs Jan2022'!M49),($C$5*'Tariffs Jan2022'!AK49/'Tariffs Jan2022'!AI49-'Tariffs Jan2022'!M49)*'Tariffs Jan2022'!S49/100*'Tariffs Jan2022'!AI49,0)</f>
        <v>400.90909090909088</v>
      </c>
      <c r="J55" s="278">
        <f>IF($C$5*'Tariffs Jan2022'!AL49/'Tariffs Jan2022'!AJ49&gt;='Tariffs Jan2022'!J49,('Tariffs Jan2022'!J49*'Tariffs Jan2022'!U49/100)* 'Tariffs Jan2022'!AJ49,($C$5*'Tariffs Jan2022'!AL49/'Tariffs Jan2022'!AJ49*'Tariffs Jan2022'!U49/100)* 'Tariffs Jan2022'!AJ49)</f>
        <v>125.16954545454544</v>
      </c>
      <c r="K55" s="278">
        <f>IF($C$5*'Tariffs Jan2022'!AL49/'Tariffs Jan2022'!AJ49&lt;'Tariffs Jan2022'!J49,0,IF($C$5*'Tariffs Jan2022'!AL49/'Tariffs Jan2022'!AJ49&lt;='Tariffs Jan2022'!K49,($C$5*'Tariffs Jan2022'!AL49/'Tariffs Jan2022'!AJ49-'Tariffs Jan2022'!J49)*('Tariffs Jan2022'!V49/100)*'Tariffs Jan2022'!AJ49,('Tariffs Jan2022'!K49-'Tariffs Jan2022'!J49)*('Tariffs Jan2022'!V49/100)*'Tariffs Jan2022'!AJ49))</f>
        <v>90.169090909090897</v>
      </c>
      <c r="L55" s="278">
        <f>IF($C$5*'Tariffs Jan2022'!AL49/'Tariffs Jan2022'!AJ49&lt;'Tariffs Jan2022'!K49,0,IF($C$5*'Tariffs Jan2022'!AL49/'Tariffs Jan2022'!AJ49&lt;='Tariffs Jan2022'!L49,($C$5*'Tariffs Jan2022'!AL49/'Tariffs Jan2022'!AJ49-'Tariffs Jan2022'!K49)*('Tariffs Jan2022'!W49/100)*'Tariffs Jan2022'!AJ49,('Tariffs Jan2022'!L49-'Tariffs Jan2022'!K49)*('Tariffs Jan2022'!W49/100)*'Tariffs Jan2022'!AJ49))</f>
        <v>0</v>
      </c>
      <c r="M55" s="278">
        <f>IF($C$5*'Tariffs Jan2022'!AL49/'Tariffs Jan2022'!AJ49&lt;'Tariffs Jan2022'!L49,0,IF($C$5*'Tariffs Jan2022'!AL49/'Tariffs Jan2022'!AJ49&lt;='Tariffs Jan2022'!M49,($C$5*'Tariffs Jan2022'!AL49/'Tariffs Jan2022'!AJ49-'Tariffs Jan2022'!L49)*('Tariffs Jan2022'!X49/100)*'Tariffs Jan2022'!AJ49,('Tariffs Jan2022'!M49-'Tariffs Jan2022'!L49)*('Tariffs Jan2022'!X49/100)*'Tariffs Jan2022'!AJ49))</f>
        <v>0</v>
      </c>
      <c r="N55" s="278">
        <f>IF(($C$5*'Tariffs Jan2022'!AL49/'Tariffs Jan2022'!AJ49&gt;'Tariffs Jan2022'!M49),($C$5*'Tariffs Jan2022'!AL49/'Tariffs Jan2022'!AJ49-'Tariffs Jan2022'!M49)*'Tariffs Jan2022'!Y49/100*'Tariffs Jan2022'!AJ49,0)</f>
        <v>400.90909090909088</v>
      </c>
      <c r="O55" s="278">
        <f>SUM(E55:N55)</f>
        <v>1232.4954545454543</v>
      </c>
      <c r="P55" s="504">
        <f t="shared" ref="P55" si="64">O55*1.1</f>
        <v>1355.7449999999999</v>
      </c>
      <c r="Q55" s="278">
        <f>D55+O55</f>
        <v>1451.1636363636362</v>
      </c>
      <c r="R55" s="280">
        <f>Q55*1.1</f>
        <v>1596.28</v>
      </c>
      <c r="S55" s="277">
        <f>'Tariffs Jan2022'!AN49</f>
        <v>0</v>
      </c>
      <c r="T55" s="277">
        <f>'Tariffs Jan2022'!AO49</f>
        <v>22</v>
      </c>
      <c r="U55" s="277">
        <f>'Tariffs Jan2022'!AP49</f>
        <v>0</v>
      </c>
      <c r="V55" s="277">
        <f>'Tariffs Jan2022'!AQ49</f>
        <v>0</v>
      </c>
      <c r="W55" s="540" t="str">
        <f t="shared" ref="W55" si="65">IF(SUM(S55:V55)=0,"No discount",IF(S55&gt;0,"Guaranteed off bill",IF(T55&gt;0,"Guaranteed off usage",IF(U55&gt;0,"Pay-on-time off bill","Pay-on-time off usage"))))</f>
        <v>Guaranteed off usage</v>
      </c>
      <c r="X55" s="541" t="str">
        <f t="shared" ref="X55" si="66">IF(OR(A55="Origin Energy",A55="Red Energy",A55="Powershop"),"Inclusive","Exclusive")</f>
        <v>Exclusive</v>
      </c>
      <c r="Y55" s="543">
        <f t="shared" ref="Y55" si="67">IF(AND(W55="Guaranteed off bill",X55="Inclusive"),((Q55*1.1)-((Q55*1.1)*S55/100))/1.1,IF(AND(W55="Guaranteed off usage",X55="Inclusive"),((Q55*1.1)-((P55*1.1)*T55/100))/1.1,IF(AND(W55="Guaranteed off bill",X55="Exclusive"),Q55-(Q55*S55/100),IF(AND(W55="Guaranteed off usage",X55="Exclusive"),Q55-(P55*T55/100),IF(X55="Inclusive",((Q55*1.1))/1.1,Q55)))))</f>
        <v>1152.8997363636363</v>
      </c>
      <c r="Z55" s="544">
        <f t="shared" ref="Z55" si="68">IF(AND(W55="Pay-on-time off bill",X55="Inclusive"),((Y55*1.1)-((Y55*1.1)*U55/100))/1.1,IF(AND(W55="Pay-on-time off usage",X55="Inclusive"),((Y55*1.1)-((P55*1.1)*V55/100))/1.1,IF(AND(W55="Pay-on-time off bill",X55="Exclusive"),Y55-(Y55*U55/100),IF(AND(W55="Pay-on-time off usage",X55="Exclusive"),Y55-(P55*V55/100),IF(X55="Inclusive",((Y55*1.1))/1.1,Y55)))))</f>
        <v>1152.8997363636363</v>
      </c>
      <c r="AA55" s="545">
        <f t="shared" ref="AA55" si="69">Y55*1.1</f>
        <v>1268.1897100000001</v>
      </c>
      <c r="AB55" s="545">
        <f t="shared" ref="AB55" si="70">Z55*1.1</f>
        <v>1268.1897100000001</v>
      </c>
      <c r="AC55" s="282">
        <f>'Tariffs Jan2022'!AZ49</f>
        <v>0</v>
      </c>
      <c r="AD55" s="282" t="str">
        <f>'Tariffs Jan2022'!BA49</f>
        <v>n</v>
      </c>
      <c r="AE55" s="283" t="str">
        <f>'Tariffs Jan2022'!BJ49</f>
        <v>N</v>
      </c>
      <c r="AF55" s="577"/>
      <c r="AG55" s="577"/>
      <c r="AH55" s="577"/>
      <c r="AI55" s="577"/>
      <c r="AJ55" s="577"/>
      <c r="AK55" s="577"/>
      <c r="AL55" s="577"/>
      <c r="AM55" s="577"/>
      <c r="AN55" s="577"/>
      <c r="AO55" s="577"/>
      <c r="AP55" s="577"/>
      <c r="AQ55" s="577"/>
      <c r="AR55" s="577"/>
      <c r="AS55" s="577"/>
      <c r="AT55" s="577"/>
      <c r="AU55" s="577"/>
      <c r="AV55" s="577"/>
      <c r="AW55" s="577"/>
    </row>
    <row r="56" spans="1:49" ht="15" thickTop="1" x14ac:dyDescent="0.15">
      <c r="A56" s="270" t="str">
        <f>'Tariffs Jan2022'!F50</f>
        <v>AGL</v>
      </c>
      <c r="B56" s="40" t="str">
        <f>'Tariffs Jan2022'!D50</f>
        <v>AGN Central 2</v>
      </c>
      <c r="C56" s="40" t="str">
        <f>'Tariffs Jan2022'!G50</f>
        <v>Flexible Saver</v>
      </c>
      <c r="D56" s="59">
        <f>365*'Tariffs Jan2022'!H50/100</f>
        <v>296.37999999999994</v>
      </c>
      <c r="E56" s="59">
        <f>IF($C$5*'Tariffs Jan2022'!AK50/'Tariffs Jan2022'!AI50&gt;='Tariffs Jan2022'!J50,( 'Tariffs Jan2022'!J50*'Tariffs Jan2022'!O50/100)* 'Tariffs Jan2022'!AI50,($C$5*'Tariffs Jan2022'!AK50/'Tariffs Jan2022'!AI50*'Tariffs Jan2022'!O50/100)* 'Tariffs Jan2022'!AI50)</f>
        <v>126.51545454545455</v>
      </c>
      <c r="F56" s="59">
        <f>IF($C$5*'Tariffs Jan2022'!AK50/'Tariffs Jan2022'!AI50&lt;'Tariffs Jan2022'!J50,0,IF($C$5*'Tariffs Jan2022'!AK50/'Tariffs Jan2022'!AI50&lt;='Tariffs Jan2022'!K50,($C$5*'Tariffs Jan2022'!AK50/'Tariffs Jan2022'!AI50-'Tariffs Jan2022'!J50)*('Tariffs Jan2022'!P50/100)*'Tariffs Jan2022'!AI50,('Tariffs Jan2022'!K50-'Tariffs Jan2022'!J50)*('Tariffs Jan2022'!P50/100)*'Tariffs Jan2022'!AI50))</f>
        <v>94.9731818181818</v>
      </c>
      <c r="G56" s="59">
        <f>IF($C$5*'Tariffs Jan2022'!AK50/'Tariffs Jan2022'!AI50&lt;'Tariffs Jan2022'!K50,0,IF($C$5*'Tariffs Jan2022'!AK50/'Tariffs Jan2022'!AI50&lt;='Tariffs Jan2022'!L50,($C$5*'Tariffs Jan2022'!AK50/'Tariffs Jan2022'!AI50-'Tariffs Jan2022'!K50)*('Tariffs Jan2022'!Q50/100)*'Tariffs Jan2022'!AI50,('Tariffs Jan2022'!L50-'Tariffs Jan2022'!K50)*('Tariffs Jan2022'!Q50/100)*'Tariffs Jan2022'!AI50))</f>
        <v>0</v>
      </c>
      <c r="H56" s="59">
        <f>IF($C$5*'Tariffs Jan2022'!AK50/'Tariffs Jan2022'!AI50&lt;'Tariffs Jan2022'!L50,0,IF($C$5*'Tariffs Jan2022'!AK50/'Tariffs Jan2022'!AI50&lt;='Tariffs Jan2022'!M50,($C$5*'Tariffs Jan2022'!AK50/'Tariffs Jan2022'!AI50-'Tariffs Jan2022'!L50)*('Tariffs Jan2022'!R50/100)*'Tariffs Jan2022'!AI50,('Tariffs Jan2022'!M50-'Tariffs Jan2022'!L50)*('Tariffs Jan2022'!R50/100)*'Tariffs Jan2022'!AI50))</f>
        <v>0</v>
      </c>
      <c r="I56" s="59">
        <f>IF(($C$5*'Tariffs Jan2022'!AK50/'Tariffs Jan2022'!AI50&gt;'Tariffs Jan2022'!M50),($C$5*'Tariffs Jan2022'!AK50/'Tariffs Jan2022'!AI50-'Tariffs Jan2022'!M50)*'Tariffs Jan2022'!S50/100*'Tariffs Jan2022'!AI50,0)</f>
        <v>392.72727272727263</v>
      </c>
      <c r="J56" s="59">
        <f>IF($C$5*'Tariffs Jan2022'!AL50/'Tariffs Jan2022'!AJ50&gt;='Tariffs Jan2022'!J50,('Tariffs Jan2022'!J50*'Tariffs Jan2022'!U50/100)* 'Tariffs Jan2022'!AJ50,($C$5*'Tariffs Jan2022'!AL50/'Tariffs Jan2022'!AJ50*'Tariffs Jan2022'!U50/100)* 'Tariffs Jan2022'!AJ50)</f>
        <v>126.51545454545455</v>
      </c>
      <c r="K56" s="59">
        <f>IF($C$5*'Tariffs Jan2022'!AL50/'Tariffs Jan2022'!AJ50&lt;'Tariffs Jan2022'!J50,0,IF($C$5*'Tariffs Jan2022'!AL50/'Tariffs Jan2022'!AJ50&lt;='Tariffs Jan2022'!K50,($C$5*'Tariffs Jan2022'!AL50/'Tariffs Jan2022'!AJ50-'Tariffs Jan2022'!J50)*('Tariffs Jan2022'!V50/100)*'Tariffs Jan2022'!AJ50,('Tariffs Jan2022'!K50-'Tariffs Jan2022'!J50)*('Tariffs Jan2022'!V50/100)*'Tariffs Jan2022'!AJ50))</f>
        <v>94.9731818181818</v>
      </c>
      <c r="L56" s="59">
        <f>IF($C$5*'Tariffs Jan2022'!AL50/'Tariffs Jan2022'!AJ50&lt;'Tariffs Jan2022'!K50,0,IF($C$5*'Tariffs Jan2022'!AL50/'Tariffs Jan2022'!AJ50&lt;='Tariffs Jan2022'!L50,($C$5*'Tariffs Jan2022'!AL50/'Tariffs Jan2022'!AJ50-'Tariffs Jan2022'!K50)*('Tariffs Jan2022'!W50/100)*'Tariffs Jan2022'!AJ50,('Tariffs Jan2022'!L50-'Tariffs Jan2022'!K50)*('Tariffs Jan2022'!W50/100)*'Tariffs Jan2022'!AJ50))</f>
        <v>0</v>
      </c>
      <c r="M56" s="59">
        <f>IF($C$5*'Tariffs Jan2022'!AL50/'Tariffs Jan2022'!AJ50&lt;'Tariffs Jan2022'!L50,0,IF($C$5*'Tariffs Jan2022'!AL50/'Tariffs Jan2022'!AJ50&lt;='Tariffs Jan2022'!M50,($C$5*'Tariffs Jan2022'!AL50/'Tariffs Jan2022'!AJ50-'Tariffs Jan2022'!L50)*('Tariffs Jan2022'!X50/100)*'Tariffs Jan2022'!AJ50,('Tariffs Jan2022'!M50-'Tariffs Jan2022'!L50)*('Tariffs Jan2022'!X50/100)*'Tariffs Jan2022'!AJ50))</f>
        <v>0</v>
      </c>
      <c r="N56" s="59">
        <f>IF(($C$5*'Tariffs Jan2022'!AL50/'Tariffs Jan2022'!AJ50&gt;'Tariffs Jan2022'!M50),($C$5*'Tariffs Jan2022'!AL50/'Tariffs Jan2022'!AJ50-'Tariffs Jan2022'!M50)*'Tariffs Jan2022'!Y50/100*'Tariffs Jan2022'!AJ50,0)</f>
        <v>392.72727272727263</v>
      </c>
      <c r="O56" s="59">
        <f t="shared" si="1"/>
        <v>1228.431818181818</v>
      </c>
      <c r="P56" s="503">
        <f t="shared" si="2"/>
        <v>1351.2749999999999</v>
      </c>
      <c r="Q56" s="59">
        <f t="shared" si="3"/>
        <v>1524.8118181818179</v>
      </c>
      <c r="R56" s="272">
        <f t="shared" si="4"/>
        <v>1677.2929999999999</v>
      </c>
      <c r="S56" s="40">
        <f>'Tariffs Jan2022'!AN50</f>
        <v>0</v>
      </c>
      <c r="T56" s="40">
        <f>'Tariffs Jan2022'!AO50</f>
        <v>0</v>
      </c>
      <c r="U56" s="40">
        <f>'Tariffs Jan2022'!AP50</f>
        <v>0</v>
      </c>
      <c r="V56" s="40">
        <f>'Tariffs Jan2022'!AQ50</f>
        <v>0</v>
      </c>
      <c r="W56" s="537" t="str">
        <f>IF(SUM(S56:V56)=0,"No discount",IF(S56&gt;0,"Guaranteed off bill",IF(T56&gt;0,"Guaranteed off usage",IF(U56&gt;0,"Pay-on-time off bill","Pay-on-time off usage"))))</f>
        <v>No discount</v>
      </c>
      <c r="X56" s="538" t="str">
        <f>IF(OR(A56="Origin Energy",A56="Red Energy",A56="Powershop"),"Inclusive","Exclusive")</f>
        <v>Exclusive</v>
      </c>
      <c r="Y56" s="534">
        <f>IF(AND(W56="Guaranteed off bill",X56="Inclusive"),((Q56*1.1)-((Q56*1.1)*S56/100))/1.1,IF(AND(W56="Guaranteed off usage",X56="Inclusive"),((Q56*1.1)-((P56*1.1)*T56/100))/1.1,IF(AND(W56="Guaranteed off bill",X56="Exclusive"),Q56-(Q56*S56/100),IF(AND(W56="Guaranteed off usage",X56="Exclusive"),Q56-(P56*T56/100),IF(X56="Inclusive",((Q56*1.1))/1.1,Q56)))))</f>
        <v>1524.8118181818179</v>
      </c>
      <c r="Z56" s="535">
        <f>IF(AND(W56="Pay-on-time off bill",X56="Inclusive"),((Y56*1.1)-((Y56*1.1)*U56/100))/1.1,IF(AND(W56="Pay-on-time off usage",X56="Inclusive"),((Y56*1.1)-((P56*1.1)*V56/100))/1.1,IF(AND(W56="Pay-on-time off bill",X56="Exclusive"),Y56-(Y56*U56/100),IF(AND(W56="Pay-on-time off usage",X56="Exclusive"),Y56-(P56*V56/100),IF(X56="Inclusive",((Y56*1.1))/1.1,Y56)))))</f>
        <v>1524.8118181818179</v>
      </c>
      <c r="AA56" s="542">
        <f t="shared" ref="AA56:AB70" si="71">Y56*1.1</f>
        <v>1677.2929999999999</v>
      </c>
      <c r="AB56" s="542">
        <f t="shared" si="71"/>
        <v>1677.2929999999999</v>
      </c>
      <c r="AC56" s="274">
        <f>'Tariffs Jan2022'!AZ50</f>
        <v>0</v>
      </c>
      <c r="AD56" s="274" t="str">
        <f>'Tariffs Jan2022'!BA50</f>
        <v>n</v>
      </c>
      <c r="AE56" s="275" t="str">
        <f>'Tariffs Jan2022'!BJ50</f>
        <v>N</v>
      </c>
      <c r="AF56" s="577"/>
      <c r="AG56" s="577"/>
      <c r="AH56" s="577"/>
      <c r="AI56" s="577"/>
      <c r="AJ56" s="577"/>
      <c r="AK56" s="577"/>
      <c r="AL56" s="577"/>
      <c r="AM56" s="577"/>
      <c r="AN56" s="577"/>
      <c r="AO56" s="577"/>
      <c r="AP56" s="577"/>
      <c r="AQ56" s="577"/>
      <c r="AR56" s="577"/>
      <c r="AS56" s="577"/>
      <c r="AT56" s="577"/>
      <c r="AU56" s="577"/>
      <c r="AV56" s="577"/>
      <c r="AW56" s="577"/>
    </row>
    <row r="57" spans="1:49" ht="14" x14ac:dyDescent="0.15">
      <c r="A57" s="270" t="str">
        <f>'Tariffs Jan2022'!F51</f>
        <v>Alinta Energy</v>
      </c>
      <c r="B57" s="40" t="str">
        <f>'Tariffs Jan2022'!D51</f>
        <v>AGN Central 2</v>
      </c>
      <c r="C57" s="40" t="str">
        <f>'Tariffs Jan2022'!G51</f>
        <v>Home Deal</v>
      </c>
      <c r="D57" s="59">
        <f>365*'Tariffs Jan2022'!H51/100</f>
        <v>175.89681818181816</v>
      </c>
      <c r="E57" s="59">
        <f>IF($C$5*'Tariffs Jan2022'!AK51/'Tariffs Jan2022'!AI51&gt;='Tariffs Jan2022'!J51,( 'Tariffs Jan2022'!J51*'Tariffs Jan2022'!O51/100)* 'Tariffs Jan2022'!AI51,($C$5*'Tariffs Jan2022'!AK51/'Tariffs Jan2022'!AI51*'Tariffs Jan2022'!O51/100)* 'Tariffs Jan2022'!AI51)</f>
        <v>116.19681818181817</v>
      </c>
      <c r="F57" s="59">
        <f>IF($C$5*'Tariffs Jan2022'!AK51/'Tariffs Jan2022'!AI51&lt;'Tariffs Jan2022'!J51,0,IF($C$5*'Tariffs Jan2022'!AK51/'Tariffs Jan2022'!AI51&lt;='Tariffs Jan2022'!K51,($C$5*'Tariffs Jan2022'!AK51/'Tariffs Jan2022'!AI51-'Tariffs Jan2022'!J51)*('Tariffs Jan2022'!P51/100)*'Tariffs Jan2022'!AI51,('Tariffs Jan2022'!K51-'Tariffs Jan2022'!J51)*('Tariffs Jan2022'!P51/100)*'Tariffs Jan2022'!AI51))</f>
        <v>80.930454545454538</v>
      </c>
      <c r="G57" s="59">
        <f>IF($C$5*'Tariffs Jan2022'!AK51/'Tariffs Jan2022'!AI51&lt;'Tariffs Jan2022'!K51,0,IF($C$5*'Tariffs Jan2022'!AK51/'Tariffs Jan2022'!AI51&lt;='Tariffs Jan2022'!L51,($C$5*'Tariffs Jan2022'!AK51/'Tariffs Jan2022'!AI51-'Tariffs Jan2022'!K51)*('Tariffs Jan2022'!Q51/100)*'Tariffs Jan2022'!AI51,('Tariffs Jan2022'!L51-'Tariffs Jan2022'!K51)*('Tariffs Jan2022'!Q51/100)*'Tariffs Jan2022'!AI51))</f>
        <v>0</v>
      </c>
      <c r="H57" s="59">
        <f>IF($C$5*'Tariffs Jan2022'!AK51/'Tariffs Jan2022'!AI51&lt;'Tariffs Jan2022'!L51,0,IF($C$5*'Tariffs Jan2022'!AK51/'Tariffs Jan2022'!AI51&lt;='Tariffs Jan2022'!M51,($C$5*'Tariffs Jan2022'!AK51/'Tariffs Jan2022'!AI51-'Tariffs Jan2022'!L51)*('Tariffs Jan2022'!R51/100)*'Tariffs Jan2022'!AI51,('Tariffs Jan2022'!M51-'Tariffs Jan2022'!L51)*('Tariffs Jan2022'!R51/100)*'Tariffs Jan2022'!AI51))</f>
        <v>0</v>
      </c>
      <c r="I57" s="59">
        <f>IF(($C$5*'Tariffs Jan2022'!AK51/'Tariffs Jan2022'!AI51&gt;'Tariffs Jan2022'!M51),($C$5*'Tariffs Jan2022'!AK51/'Tariffs Jan2022'!AI51-'Tariffs Jan2022'!M51)*'Tariffs Jan2022'!S51/100*'Tariffs Jan2022'!AI51,0)</f>
        <v>343.63636363636363</v>
      </c>
      <c r="J57" s="59">
        <f>IF($C$5*'Tariffs Jan2022'!AL51/'Tariffs Jan2022'!AJ51&gt;='Tariffs Jan2022'!J51,('Tariffs Jan2022'!J51*'Tariffs Jan2022'!U51/100)* 'Tariffs Jan2022'!AJ51,($C$5*'Tariffs Jan2022'!AL51/'Tariffs Jan2022'!AJ51*'Tariffs Jan2022'!U51/100)* 'Tariffs Jan2022'!AJ51)</f>
        <v>116.19681818181817</v>
      </c>
      <c r="K57" s="59">
        <f>IF($C$5*'Tariffs Jan2022'!AL51/'Tariffs Jan2022'!AJ51&lt;'Tariffs Jan2022'!J51,0,IF($C$5*'Tariffs Jan2022'!AL51/'Tariffs Jan2022'!AJ51&lt;='Tariffs Jan2022'!K51,($C$5*'Tariffs Jan2022'!AL51/'Tariffs Jan2022'!AJ51-'Tariffs Jan2022'!J51)*('Tariffs Jan2022'!V51/100)*'Tariffs Jan2022'!AJ51,('Tariffs Jan2022'!K51-'Tariffs Jan2022'!J51)*('Tariffs Jan2022'!V51/100)*'Tariffs Jan2022'!AJ51))</f>
        <v>80.930454545454538</v>
      </c>
      <c r="L57" s="59">
        <f>IF($C$5*'Tariffs Jan2022'!AL51/'Tariffs Jan2022'!AJ51&lt;'Tariffs Jan2022'!K51,0,IF($C$5*'Tariffs Jan2022'!AL51/'Tariffs Jan2022'!AJ51&lt;='Tariffs Jan2022'!L51,($C$5*'Tariffs Jan2022'!AL51/'Tariffs Jan2022'!AJ51-'Tariffs Jan2022'!K51)*('Tariffs Jan2022'!W51/100)*'Tariffs Jan2022'!AJ51,('Tariffs Jan2022'!L51-'Tariffs Jan2022'!K51)*('Tariffs Jan2022'!W51/100)*'Tariffs Jan2022'!AJ51))</f>
        <v>0</v>
      </c>
      <c r="M57" s="59">
        <f>IF($C$5*'Tariffs Jan2022'!AL51/'Tariffs Jan2022'!AJ51&lt;'Tariffs Jan2022'!L51,0,IF($C$5*'Tariffs Jan2022'!AL51/'Tariffs Jan2022'!AJ51&lt;='Tariffs Jan2022'!M51,($C$5*'Tariffs Jan2022'!AL51/'Tariffs Jan2022'!AJ51-'Tariffs Jan2022'!L51)*('Tariffs Jan2022'!X51/100)*'Tariffs Jan2022'!AJ51,('Tariffs Jan2022'!M51-'Tariffs Jan2022'!L51)*('Tariffs Jan2022'!X51/100)*'Tariffs Jan2022'!AJ51))</f>
        <v>0</v>
      </c>
      <c r="N57" s="59">
        <f>IF(($C$5*'Tariffs Jan2022'!AL51/'Tariffs Jan2022'!AJ51&gt;'Tariffs Jan2022'!M51),($C$5*'Tariffs Jan2022'!AL51/'Tariffs Jan2022'!AJ51-'Tariffs Jan2022'!M51)*'Tariffs Jan2022'!Y51/100*'Tariffs Jan2022'!AJ51,0)</f>
        <v>343.63636363636363</v>
      </c>
      <c r="O57" s="59">
        <f t="shared" si="1"/>
        <v>1081.5272727272727</v>
      </c>
      <c r="P57" s="503">
        <f t="shared" si="2"/>
        <v>1189.68</v>
      </c>
      <c r="Q57" s="59">
        <f t="shared" si="3"/>
        <v>1257.4240909090909</v>
      </c>
      <c r="R57" s="272">
        <f t="shared" si="4"/>
        <v>1383.1665</v>
      </c>
      <c r="S57" s="40">
        <f>'Tariffs Jan2022'!AN51</f>
        <v>0</v>
      </c>
      <c r="T57" s="40">
        <f>'Tariffs Jan2022'!AO51</f>
        <v>0</v>
      </c>
      <c r="U57" s="40">
        <f>'Tariffs Jan2022'!AP51</f>
        <v>0</v>
      </c>
      <c r="V57" s="40">
        <f>'Tariffs Jan2022'!AQ51</f>
        <v>0</v>
      </c>
      <c r="W57" s="537" t="str">
        <f t="shared" ref="W57:W70" si="72">IF(SUM(S57:V57)=0,"No discount",IF(S57&gt;0,"Guaranteed off bill",IF(T57&gt;0,"Guaranteed off usage",IF(U57&gt;0,"Pay-on-time off bill","Pay-on-time off usage"))))</f>
        <v>No discount</v>
      </c>
      <c r="X57" s="538" t="str">
        <f t="shared" ref="X57:X70" si="73">IF(OR(A57="Origin Energy",A57="Red Energy",A57="Powershop"),"Inclusive","Exclusive")</f>
        <v>Exclusive</v>
      </c>
      <c r="Y57" s="534">
        <f>IF(AND(W57="Guaranteed off bill",X57="Inclusive"),((Q57*1.1)-((Q57*1.1)*S57/100))/1.1,IF(AND(W57="Guaranteed off usage",X57="Inclusive"),((Q57*1.1)-((P57*1.1)*T57/100))/1.1,IF(AND(W57="Guaranteed off bill",X57="Exclusive"),Q57-(Q57*S57/100),IF(AND(W57="Guaranteed off usage",X57="Exclusive"),Q57-(P57*T57/100),IF(X57="Inclusive",((Q57*1.1))/1.1,Q57)))))</f>
        <v>1257.4240909090909</v>
      </c>
      <c r="Z57" s="535">
        <f>IF(AND(W57="Pay-on-time off bill",X57="Inclusive"),((Y57*1.1)-((Y57*1.1)*U57/100))/1.1,IF(AND(W57="Pay-on-time off usage",X57="Inclusive"),((Y57*1.1)-((P57*1.1)*V57/100))/1.1,IF(AND(W57="Pay-on-time off bill",X57="Exclusive"),Y57-(Y57*U57/100),IF(AND(W57="Pay-on-time off usage",X57="Exclusive"),Y57-(P57*V57/100),IF(X57="Inclusive",((Y57*1.1))/1.1,Y57)))))</f>
        <v>1257.4240909090909</v>
      </c>
      <c r="AA57" s="542">
        <f t="shared" si="71"/>
        <v>1383.1665</v>
      </c>
      <c r="AB57" s="542">
        <f t="shared" si="71"/>
        <v>1383.1665</v>
      </c>
      <c r="AC57" s="274">
        <f>'Tariffs Jan2022'!AZ51</f>
        <v>0</v>
      </c>
      <c r="AD57" s="274" t="str">
        <f>'Tariffs Jan2022'!BA51</f>
        <v>n</v>
      </c>
      <c r="AE57" s="275" t="str">
        <f>'Tariffs Jan2022'!BJ51</f>
        <v>N</v>
      </c>
      <c r="AF57" s="577"/>
      <c r="AG57" s="577"/>
      <c r="AH57" s="577"/>
      <c r="AI57" s="577"/>
      <c r="AJ57" s="577"/>
      <c r="AK57" s="577"/>
      <c r="AL57" s="577"/>
      <c r="AM57" s="577"/>
      <c r="AN57" s="577"/>
      <c r="AO57" s="577"/>
      <c r="AP57" s="577"/>
      <c r="AQ57" s="577"/>
      <c r="AR57" s="577"/>
      <c r="AS57" s="577"/>
      <c r="AT57" s="577"/>
      <c r="AU57" s="577"/>
      <c r="AV57" s="577"/>
      <c r="AW57" s="577"/>
    </row>
    <row r="58" spans="1:49" ht="14" x14ac:dyDescent="0.15">
      <c r="A58" s="270" t="str">
        <f>'Tariffs Jan2022'!F52</f>
        <v>Covau</v>
      </c>
      <c r="B58" s="40" t="str">
        <f>'Tariffs Jan2022'!D52</f>
        <v>AGN Central 2</v>
      </c>
      <c r="C58" s="40" t="str">
        <f>'Tariffs Jan2022'!G52</f>
        <v>Super Saver Plus</v>
      </c>
      <c r="D58" s="59">
        <f>365*'Tariffs Jan2022'!H52/100</f>
        <v>273.75</v>
      </c>
      <c r="E58" s="59">
        <f>IF($C$5*'Tariffs Jan2022'!AK52/'Tariffs Jan2022'!AI52&gt;='Tariffs Jan2022'!J52,( 'Tariffs Jan2022'!J52*'Tariffs Jan2022'!O52/100)* 'Tariffs Jan2022'!AI52,($C$5*'Tariffs Jan2022'!AK52/'Tariffs Jan2022'!AI52*'Tariffs Jan2022'!O52/100)* 'Tariffs Jan2022'!AI52)</f>
        <v>139.07727272727271</v>
      </c>
      <c r="F58" s="59">
        <f>IF($C$5*'Tariffs Jan2022'!AK52/'Tariffs Jan2022'!AI52&lt;'Tariffs Jan2022'!J52,0,IF($C$5*'Tariffs Jan2022'!AK52/'Tariffs Jan2022'!AI52&lt;='Tariffs Jan2022'!K52,($C$5*'Tariffs Jan2022'!AK52/'Tariffs Jan2022'!AI52-'Tariffs Jan2022'!J52)*('Tariffs Jan2022'!P52/100)*'Tariffs Jan2022'!AI52,('Tariffs Jan2022'!K52-'Tariffs Jan2022'!J52)*('Tariffs Jan2022'!P52/100)*'Tariffs Jan2022'!AI52))</f>
        <v>100.51636363636362</v>
      </c>
      <c r="G58" s="59">
        <f>IF($C$5*'Tariffs Jan2022'!AK52/'Tariffs Jan2022'!AI52&lt;'Tariffs Jan2022'!K52,0,IF($C$5*'Tariffs Jan2022'!AK52/'Tariffs Jan2022'!AI52&lt;='Tariffs Jan2022'!L52,($C$5*'Tariffs Jan2022'!AK52/'Tariffs Jan2022'!AI52-'Tariffs Jan2022'!K52)*('Tariffs Jan2022'!Q52/100)*'Tariffs Jan2022'!AI52,('Tariffs Jan2022'!L52-'Tariffs Jan2022'!K52)*('Tariffs Jan2022'!Q52/100)*'Tariffs Jan2022'!AI52))</f>
        <v>0</v>
      </c>
      <c r="H58" s="59">
        <f>IF($C$5*'Tariffs Jan2022'!AK52/'Tariffs Jan2022'!AI52&lt;'Tariffs Jan2022'!L52,0,IF($C$5*'Tariffs Jan2022'!AK52/'Tariffs Jan2022'!AI52&lt;='Tariffs Jan2022'!M52,($C$5*'Tariffs Jan2022'!AK52/'Tariffs Jan2022'!AI52-'Tariffs Jan2022'!L52)*('Tariffs Jan2022'!R52/100)*'Tariffs Jan2022'!AI52,('Tariffs Jan2022'!M52-'Tariffs Jan2022'!L52)*('Tariffs Jan2022'!R52/100)*'Tariffs Jan2022'!AI52))</f>
        <v>0</v>
      </c>
      <c r="I58" s="59">
        <f>IF(($C$5*'Tariffs Jan2022'!AK52/'Tariffs Jan2022'!AI52&gt;'Tariffs Jan2022'!M52),($C$5*'Tariffs Jan2022'!AK52/'Tariffs Jan2022'!AI52-'Tariffs Jan2022'!M52)*'Tariffs Jan2022'!S52/100*'Tariffs Jan2022'!AI52,0)</f>
        <v>447.95454545454544</v>
      </c>
      <c r="J58" s="59">
        <f>IF($C$5*'Tariffs Jan2022'!AL52/'Tariffs Jan2022'!AJ52&gt;='Tariffs Jan2022'!J52,('Tariffs Jan2022'!J52*'Tariffs Jan2022'!U52/100)* 'Tariffs Jan2022'!AJ52,($C$5*'Tariffs Jan2022'!AL52/'Tariffs Jan2022'!AJ52*'Tariffs Jan2022'!U52/100)* 'Tariffs Jan2022'!AJ52)</f>
        <v>139.07727272727271</v>
      </c>
      <c r="K58" s="59">
        <f>IF($C$5*'Tariffs Jan2022'!AL52/'Tariffs Jan2022'!AJ52&lt;'Tariffs Jan2022'!J52,0,IF($C$5*'Tariffs Jan2022'!AL52/'Tariffs Jan2022'!AJ52&lt;='Tariffs Jan2022'!K52,($C$5*'Tariffs Jan2022'!AL52/'Tariffs Jan2022'!AJ52-'Tariffs Jan2022'!J52)*('Tariffs Jan2022'!V52/100)*'Tariffs Jan2022'!AJ52,('Tariffs Jan2022'!K52-'Tariffs Jan2022'!J52)*('Tariffs Jan2022'!V52/100)*'Tariffs Jan2022'!AJ52))</f>
        <v>100.51636363636362</v>
      </c>
      <c r="L58" s="59">
        <f>IF($C$5*'Tariffs Jan2022'!AL52/'Tariffs Jan2022'!AJ52&lt;'Tariffs Jan2022'!K52,0,IF($C$5*'Tariffs Jan2022'!AL52/'Tariffs Jan2022'!AJ52&lt;='Tariffs Jan2022'!L52,($C$5*'Tariffs Jan2022'!AL52/'Tariffs Jan2022'!AJ52-'Tariffs Jan2022'!K52)*('Tariffs Jan2022'!W52/100)*'Tariffs Jan2022'!AJ52,('Tariffs Jan2022'!L52-'Tariffs Jan2022'!K52)*('Tariffs Jan2022'!W52/100)*'Tariffs Jan2022'!AJ52))</f>
        <v>0</v>
      </c>
      <c r="M58" s="59">
        <f>IF($C$5*'Tariffs Jan2022'!AL52/'Tariffs Jan2022'!AJ52&lt;'Tariffs Jan2022'!L52,0,IF($C$5*'Tariffs Jan2022'!AL52/'Tariffs Jan2022'!AJ52&lt;='Tariffs Jan2022'!M52,($C$5*'Tariffs Jan2022'!AL52/'Tariffs Jan2022'!AJ52-'Tariffs Jan2022'!L52)*('Tariffs Jan2022'!X52/100)*'Tariffs Jan2022'!AJ52,('Tariffs Jan2022'!M52-'Tariffs Jan2022'!L52)*('Tariffs Jan2022'!X52/100)*'Tariffs Jan2022'!AJ52))</f>
        <v>0</v>
      </c>
      <c r="N58" s="59">
        <f>IF(($C$5*'Tariffs Jan2022'!AL52/'Tariffs Jan2022'!AJ52&gt;'Tariffs Jan2022'!M52),($C$5*'Tariffs Jan2022'!AL52/'Tariffs Jan2022'!AJ52-'Tariffs Jan2022'!M52)*'Tariffs Jan2022'!Y52/100*'Tariffs Jan2022'!AJ52,0)</f>
        <v>447.95454545454544</v>
      </c>
      <c r="O58" s="59">
        <f t="shared" si="1"/>
        <v>1375.0963636363635</v>
      </c>
      <c r="P58" s="503">
        <f t="shared" si="2"/>
        <v>1512.606</v>
      </c>
      <c r="Q58" s="59">
        <f t="shared" si="3"/>
        <v>1648.8463636363635</v>
      </c>
      <c r="R58" s="272">
        <f t="shared" si="4"/>
        <v>1813.731</v>
      </c>
      <c r="S58" s="40">
        <f>'Tariffs Jan2022'!AN52</f>
        <v>0</v>
      </c>
      <c r="T58" s="40">
        <f>'Tariffs Jan2022'!AO52</f>
        <v>20</v>
      </c>
      <c r="U58" s="40">
        <f>'Tariffs Jan2022'!AP52</f>
        <v>0</v>
      </c>
      <c r="V58" s="40">
        <f>'Tariffs Jan2022'!AQ52</f>
        <v>0</v>
      </c>
      <c r="W58" s="537" t="str">
        <f t="shared" si="72"/>
        <v>Guaranteed off usage</v>
      </c>
      <c r="X58" s="538" t="str">
        <f t="shared" si="73"/>
        <v>Exclusive</v>
      </c>
      <c r="Y58" s="534">
        <f t="shared" ref="Y58" si="74">IF(AND(W58="Guaranteed off bill",X58="Inclusive"),((Q58*1.1)-((Q58*1.1)*S58/100))/1.1,IF(AND(W58="Guaranteed off usage",X58="Inclusive"),((Q58*1.1)-((P58*1.1)*T58/100))/1.1,IF(AND(W58="Guaranteed off bill",X58="Exclusive"),Q58-(Q58*S58/100),IF(AND(W58="Guaranteed off usage",X58="Exclusive"),Q58-(P58*T58/100),IF(X58="Inclusive",((Q58*1.1))/1.1,Q58)))))</f>
        <v>1346.3251636363636</v>
      </c>
      <c r="Z58" s="535">
        <f t="shared" ref="Z58" si="75">IF(AND(W58="Pay-on-time off bill",X58="Inclusive"),((Y58*1.1)-((Y58*1.1)*U58/100))/1.1,IF(AND(W58="Pay-on-time off usage",X58="Inclusive"),((Y58*1.1)-((P58*1.1)*V58/100))/1.1,IF(AND(W58="Pay-on-time off bill",X58="Exclusive"),Y58-(Y58*U58/100),IF(AND(W58="Pay-on-time off usage",X58="Exclusive"),Y58-(P58*V58/100),IF(X58="Inclusive",((Y58*1.1))/1.1,Y58)))))</f>
        <v>1346.3251636363636</v>
      </c>
      <c r="AA58" s="542">
        <f t="shared" si="71"/>
        <v>1480.9576800000002</v>
      </c>
      <c r="AB58" s="542">
        <f t="shared" si="71"/>
        <v>1480.9576800000002</v>
      </c>
      <c r="AC58" s="274">
        <f>'Tariffs Jan2022'!AZ52</f>
        <v>0</v>
      </c>
      <c r="AD58" s="274" t="str">
        <f>'Tariffs Jan2022'!BA52</f>
        <v>n</v>
      </c>
      <c r="AE58" s="275" t="str">
        <f>'Tariffs Jan2022'!BJ52</f>
        <v>N</v>
      </c>
      <c r="AF58" s="577"/>
      <c r="AG58" s="577"/>
      <c r="AH58" s="577"/>
      <c r="AI58" s="577"/>
      <c r="AJ58" s="577"/>
      <c r="AK58" s="577"/>
      <c r="AL58" s="577"/>
      <c r="AM58" s="577"/>
      <c r="AN58" s="577"/>
      <c r="AO58" s="577"/>
      <c r="AP58" s="577"/>
      <c r="AQ58" s="577"/>
      <c r="AR58" s="577"/>
      <c r="AS58" s="577"/>
      <c r="AT58" s="577"/>
      <c r="AU58" s="577"/>
      <c r="AV58" s="577"/>
      <c r="AW58" s="577"/>
    </row>
    <row r="59" spans="1:49" ht="14" x14ac:dyDescent="0.15">
      <c r="A59" s="270" t="str">
        <f>'Tariffs Jan2022'!F53</f>
        <v>Dodo Power &amp; Gas</v>
      </c>
      <c r="B59" s="40" t="str">
        <f>'Tariffs Jan2022'!D53</f>
        <v>AGN Central 2</v>
      </c>
      <c r="C59" s="40" t="str">
        <f>'Tariffs Jan2022'!G53</f>
        <v>Market offer</v>
      </c>
      <c r="D59" s="59">
        <f>365*'Tariffs Jan2022'!H53/100</f>
        <v>180.31</v>
      </c>
      <c r="E59" s="59">
        <f>IF($C$5*'Tariffs Jan2022'!AK53/'Tariffs Jan2022'!AI53&gt;='Tariffs Jan2022'!J53,( 'Tariffs Jan2022'!J53*'Tariffs Jan2022'!O53/100)* 'Tariffs Jan2022'!AI53,($C$5*'Tariffs Jan2022'!AK53/'Tariffs Jan2022'!AI53*'Tariffs Jan2022'!O53/100)* 'Tariffs Jan2022'!AI53)</f>
        <v>93.017272727272697</v>
      </c>
      <c r="F59" s="59">
        <f>IF($C$5*'Tariffs Jan2022'!AK53/'Tariffs Jan2022'!AI53&lt;'Tariffs Jan2022'!J53,0,IF($C$5*'Tariffs Jan2022'!AK53/'Tariffs Jan2022'!AI53&lt;='Tariffs Jan2022'!K53,($C$5*'Tariffs Jan2022'!AK53/'Tariffs Jan2022'!AI53-'Tariffs Jan2022'!J53)*('Tariffs Jan2022'!P53/100)*'Tariffs Jan2022'!AI53,('Tariffs Jan2022'!K53-'Tariffs Jan2022'!J53)*('Tariffs Jan2022'!P53/100)*'Tariffs Jan2022'!AI53))</f>
        <v>60.851818181818189</v>
      </c>
      <c r="G59" s="59">
        <f>IF($C$5*'Tariffs Jan2022'!AK53/'Tariffs Jan2022'!AI53&lt;'Tariffs Jan2022'!K53,0,IF($C$5*'Tariffs Jan2022'!AK53/'Tariffs Jan2022'!AI53&lt;='Tariffs Jan2022'!L53,($C$5*'Tariffs Jan2022'!AK53/'Tariffs Jan2022'!AI53-'Tariffs Jan2022'!K53)*('Tariffs Jan2022'!Q53/100)*'Tariffs Jan2022'!AI53,('Tariffs Jan2022'!L53-'Tariffs Jan2022'!K53)*('Tariffs Jan2022'!Q53/100)*'Tariffs Jan2022'!AI53))</f>
        <v>0</v>
      </c>
      <c r="H59" s="59">
        <f>IF($C$5*'Tariffs Jan2022'!AK53/'Tariffs Jan2022'!AI53&lt;'Tariffs Jan2022'!L53,0,IF($C$5*'Tariffs Jan2022'!AK53/'Tariffs Jan2022'!AI53&lt;='Tariffs Jan2022'!M53,($C$5*'Tariffs Jan2022'!AK53/'Tariffs Jan2022'!AI53-'Tariffs Jan2022'!L53)*('Tariffs Jan2022'!R53/100)*'Tariffs Jan2022'!AI53,('Tariffs Jan2022'!M53-'Tariffs Jan2022'!L53)*('Tariffs Jan2022'!R53/100)*'Tariffs Jan2022'!AI53))</f>
        <v>0</v>
      </c>
      <c r="I59" s="59">
        <f>IF(($C$5*'Tariffs Jan2022'!AK53/'Tariffs Jan2022'!AI53&gt;'Tariffs Jan2022'!M53),($C$5*'Tariffs Jan2022'!AK53/'Tariffs Jan2022'!AI53-'Tariffs Jan2022'!M53)*'Tariffs Jan2022'!S53/100*'Tariffs Jan2022'!AI53,0)</f>
        <v>272.68909090909085</v>
      </c>
      <c r="J59" s="59">
        <f>IF($C$5*'Tariffs Jan2022'!AL53/'Tariffs Jan2022'!AJ53&gt;='Tariffs Jan2022'!J53,('Tariffs Jan2022'!J53*'Tariffs Jan2022'!U53/100)* 'Tariffs Jan2022'!AJ53,($C$5*'Tariffs Jan2022'!AL53/'Tariffs Jan2022'!AJ53*'Tariffs Jan2022'!U53/100)* 'Tariffs Jan2022'!AJ53)</f>
        <v>186.03454545454539</v>
      </c>
      <c r="K59" s="59">
        <f>IF($C$5*'Tariffs Jan2022'!AL53/'Tariffs Jan2022'!AJ53&lt;'Tariffs Jan2022'!J53,0,IF($C$5*'Tariffs Jan2022'!AL53/'Tariffs Jan2022'!AJ53&lt;='Tariffs Jan2022'!K53,($C$5*'Tariffs Jan2022'!AL53/'Tariffs Jan2022'!AJ53-'Tariffs Jan2022'!J53)*('Tariffs Jan2022'!V53/100)*'Tariffs Jan2022'!AJ53,('Tariffs Jan2022'!K53-'Tariffs Jan2022'!J53)*('Tariffs Jan2022'!V53/100)*'Tariffs Jan2022'!AJ53))</f>
        <v>121.70363636363638</v>
      </c>
      <c r="L59" s="59">
        <f>IF($C$5*'Tariffs Jan2022'!AL53/'Tariffs Jan2022'!AJ53&lt;'Tariffs Jan2022'!K53,0,IF($C$5*'Tariffs Jan2022'!AL53/'Tariffs Jan2022'!AJ53&lt;='Tariffs Jan2022'!L53,($C$5*'Tariffs Jan2022'!AL53/'Tariffs Jan2022'!AJ53-'Tariffs Jan2022'!K53)*('Tariffs Jan2022'!W53/100)*'Tariffs Jan2022'!AJ53,('Tariffs Jan2022'!L53-'Tariffs Jan2022'!K53)*('Tariffs Jan2022'!W53/100)*'Tariffs Jan2022'!AJ53))</f>
        <v>0</v>
      </c>
      <c r="M59" s="59">
        <f>IF($C$5*'Tariffs Jan2022'!AL53/'Tariffs Jan2022'!AJ53&lt;'Tariffs Jan2022'!L53,0,IF($C$5*'Tariffs Jan2022'!AL53/'Tariffs Jan2022'!AJ53&lt;='Tariffs Jan2022'!M53,($C$5*'Tariffs Jan2022'!AL53/'Tariffs Jan2022'!AJ53-'Tariffs Jan2022'!L53)*('Tariffs Jan2022'!X53/100)*'Tariffs Jan2022'!AJ53,('Tariffs Jan2022'!M53-'Tariffs Jan2022'!L53)*('Tariffs Jan2022'!X53/100)*'Tariffs Jan2022'!AJ53))</f>
        <v>0</v>
      </c>
      <c r="N59" s="59">
        <f>IF(($C$5*'Tariffs Jan2022'!AL53/'Tariffs Jan2022'!AJ53&gt;'Tariffs Jan2022'!M53),($C$5*'Tariffs Jan2022'!AL53/'Tariffs Jan2022'!AJ53-'Tariffs Jan2022'!M53)*'Tariffs Jan2022'!Y53/100*'Tariffs Jan2022'!AJ53,0)</f>
        <v>545.3781818181817</v>
      </c>
      <c r="O59" s="59">
        <f t="shared" si="1"/>
        <v>1279.6745454545453</v>
      </c>
      <c r="P59" s="503">
        <f t="shared" si="2"/>
        <v>1407.6419999999998</v>
      </c>
      <c r="Q59" s="59">
        <f t="shared" si="3"/>
        <v>1459.9845454545452</v>
      </c>
      <c r="R59" s="272">
        <f t="shared" si="4"/>
        <v>1605.9829999999999</v>
      </c>
      <c r="S59" s="40">
        <f>'Tariffs Jan2022'!AN53</f>
        <v>0</v>
      </c>
      <c r="T59" s="40">
        <f>'Tariffs Jan2022'!AO53</f>
        <v>0</v>
      </c>
      <c r="U59" s="40">
        <f>'Tariffs Jan2022'!AP53</f>
        <v>0</v>
      </c>
      <c r="V59" s="40">
        <f>'Tariffs Jan2022'!AQ53</f>
        <v>0</v>
      </c>
      <c r="W59" s="537" t="str">
        <f t="shared" si="72"/>
        <v>No discount</v>
      </c>
      <c r="X59" s="538" t="str">
        <f t="shared" si="73"/>
        <v>Exclusive</v>
      </c>
      <c r="Y59" s="534">
        <f>IF(AND(W59="Guaranteed off bill",X59="Inclusive"),((Q59*1.1)-((Q59*1.1)*S59/100))/1.1,IF(AND(W59="Guaranteed off usage",X59="Inclusive"),((Q59*1.1)-((P59*1.1)*T59/100))/1.1,IF(AND(W59="Guaranteed off bill",X59="Exclusive"),Q59-(Q59*S59/100),IF(AND(W59="Guaranteed off usage",X59="Exclusive"),Q59-(P59*T59/100),IF(X59="Inclusive",((Q59*1.1))/1.1,Q59)))))</f>
        <v>1459.9845454545452</v>
      </c>
      <c r="Z59" s="535">
        <f>IF(AND(W59="Pay-on-time off bill",X59="Inclusive"),((Y59*1.1)-((Y59*1.1)*U59/100))/1.1,IF(AND(W59="Pay-on-time off usage",X59="Inclusive"),((Y59*1.1)-((P59*1.1)*V59/100))/1.1,IF(AND(W59="Pay-on-time off bill",X59="Exclusive"),Y59-(Y59*U59/100),IF(AND(W59="Pay-on-time off usage",X59="Exclusive"),Y59-(P59*V59/100),IF(X59="Inclusive",((Y59*1.1))/1.1,Y59)))))</f>
        <v>1459.9845454545452</v>
      </c>
      <c r="AA59" s="542">
        <f t="shared" si="71"/>
        <v>1605.9829999999999</v>
      </c>
      <c r="AB59" s="542">
        <f t="shared" si="71"/>
        <v>1605.9829999999999</v>
      </c>
      <c r="AC59" s="274">
        <f>'Tariffs Jan2022'!AZ53</f>
        <v>0</v>
      </c>
      <c r="AD59" s="274" t="str">
        <f>'Tariffs Jan2022'!BA53</f>
        <v>n</v>
      </c>
      <c r="AE59" s="275" t="str">
        <f>'Tariffs Jan2022'!BJ53</f>
        <v>N</v>
      </c>
      <c r="AF59" s="577"/>
      <c r="AG59" s="577"/>
      <c r="AH59" s="577"/>
      <c r="AI59" s="577"/>
      <c r="AJ59" s="577"/>
      <c r="AK59" s="577"/>
      <c r="AL59" s="577"/>
      <c r="AM59" s="577"/>
      <c r="AN59" s="577"/>
      <c r="AO59" s="577"/>
      <c r="AP59" s="577"/>
      <c r="AQ59" s="577"/>
      <c r="AR59" s="577"/>
      <c r="AS59" s="577"/>
      <c r="AT59" s="577"/>
      <c r="AU59" s="577"/>
      <c r="AV59" s="577"/>
      <c r="AW59" s="577"/>
    </row>
    <row r="60" spans="1:49" ht="14" x14ac:dyDescent="0.15">
      <c r="A60" s="270" t="str">
        <f>'Tariffs Jan2022'!F54</f>
        <v>EnergyAustralia</v>
      </c>
      <c r="B60" s="40" t="str">
        <f>'Tariffs Jan2022'!D54</f>
        <v>AGN Central 2</v>
      </c>
      <c r="C60" s="40" t="str">
        <f>'Tariffs Jan2022'!G54</f>
        <v>Total Plan</v>
      </c>
      <c r="D60" s="59">
        <f>365*'Tariffs Jan2022'!H54/100</f>
        <v>317.91499999999996</v>
      </c>
      <c r="E60" s="59">
        <f>IF($C$5*'Tariffs Jan2022'!AK54/'Tariffs Jan2022'!AI54&gt;='Tariffs Jan2022'!J54,( 'Tariffs Jan2022'!J54*'Tariffs Jan2022'!O54/100)* 'Tariffs Jan2022'!AI54,($C$5*'Tariffs Jan2022'!AK54/'Tariffs Jan2022'!AI54*'Tariffs Jan2022'!O54/100)* 'Tariffs Jan2022'!AI54)</f>
        <v>173.62227272727273</v>
      </c>
      <c r="F60" s="59">
        <f>IF($C$5*'Tariffs Jan2022'!AK54/'Tariffs Jan2022'!AI54&lt;'Tariffs Jan2022'!J54,0,IF($C$5*'Tariffs Jan2022'!AK54/'Tariffs Jan2022'!AI54&lt;='Tariffs Jan2022'!K54,($C$5*'Tariffs Jan2022'!AK54/'Tariffs Jan2022'!AI54-'Tariffs Jan2022'!J54)*('Tariffs Jan2022'!P54/100)*'Tariffs Jan2022'!AI54,('Tariffs Jan2022'!K54-'Tariffs Jan2022'!J54)*('Tariffs Jan2022'!P54/100)*'Tariffs Jan2022'!AI54))</f>
        <v>108.64636363636362</v>
      </c>
      <c r="G60" s="59">
        <f>IF($C$5*'Tariffs Jan2022'!AK54/'Tariffs Jan2022'!AI54&lt;'Tariffs Jan2022'!K54,0,IF($C$5*'Tariffs Jan2022'!AK54/'Tariffs Jan2022'!AI54&lt;='Tariffs Jan2022'!L54,($C$5*'Tariffs Jan2022'!AK54/'Tariffs Jan2022'!AI54-'Tariffs Jan2022'!K54)*('Tariffs Jan2022'!Q54/100)*'Tariffs Jan2022'!AI54,('Tariffs Jan2022'!L54-'Tariffs Jan2022'!K54)*('Tariffs Jan2022'!Q54/100)*'Tariffs Jan2022'!AI54))</f>
        <v>0</v>
      </c>
      <c r="H60" s="59">
        <f>IF($C$5*'Tariffs Jan2022'!AK54/'Tariffs Jan2022'!AI54&lt;'Tariffs Jan2022'!L54,0,IF($C$5*'Tariffs Jan2022'!AK54/'Tariffs Jan2022'!AI54&lt;='Tariffs Jan2022'!M54,($C$5*'Tariffs Jan2022'!AK54/'Tariffs Jan2022'!AI54-'Tariffs Jan2022'!L54)*('Tariffs Jan2022'!R54/100)*'Tariffs Jan2022'!AI54,('Tariffs Jan2022'!M54-'Tariffs Jan2022'!L54)*('Tariffs Jan2022'!R54/100)*'Tariffs Jan2022'!AI54))</f>
        <v>0</v>
      </c>
      <c r="I60" s="59">
        <f>IF(($C$5*'Tariffs Jan2022'!AK54/'Tariffs Jan2022'!AI54&gt;'Tariffs Jan2022'!M54),($C$5*'Tariffs Jan2022'!AK54/'Tariffs Jan2022'!AI54-'Tariffs Jan2022'!M54)*'Tariffs Jan2022'!S54/100*'Tariffs Jan2022'!AI54,0)</f>
        <v>492.95454545454544</v>
      </c>
      <c r="J60" s="59">
        <f>IF($C$5*'Tariffs Jan2022'!AL54/'Tariffs Jan2022'!AJ54&gt;='Tariffs Jan2022'!J54,('Tariffs Jan2022'!J54*'Tariffs Jan2022'!U54/100)* 'Tariffs Jan2022'!AJ54,($C$5*'Tariffs Jan2022'!AL54/'Tariffs Jan2022'!AJ54*'Tariffs Jan2022'!U54/100)* 'Tariffs Jan2022'!AJ54)</f>
        <v>173.62227272727273</v>
      </c>
      <c r="K60" s="59">
        <f>IF($C$5*'Tariffs Jan2022'!AL54/'Tariffs Jan2022'!AJ54&lt;'Tariffs Jan2022'!J54,0,IF($C$5*'Tariffs Jan2022'!AL54/'Tariffs Jan2022'!AJ54&lt;='Tariffs Jan2022'!K54,($C$5*'Tariffs Jan2022'!AL54/'Tariffs Jan2022'!AJ54-'Tariffs Jan2022'!J54)*('Tariffs Jan2022'!V54/100)*'Tariffs Jan2022'!AJ54,('Tariffs Jan2022'!K54-'Tariffs Jan2022'!J54)*('Tariffs Jan2022'!V54/100)*'Tariffs Jan2022'!AJ54))</f>
        <v>108.64636363636362</v>
      </c>
      <c r="L60" s="59">
        <f>IF($C$5*'Tariffs Jan2022'!AL54/'Tariffs Jan2022'!AJ54&lt;'Tariffs Jan2022'!K54,0,IF($C$5*'Tariffs Jan2022'!AL54/'Tariffs Jan2022'!AJ54&lt;='Tariffs Jan2022'!L54,($C$5*'Tariffs Jan2022'!AL54/'Tariffs Jan2022'!AJ54-'Tariffs Jan2022'!K54)*('Tariffs Jan2022'!W54/100)*'Tariffs Jan2022'!AJ54,('Tariffs Jan2022'!L54-'Tariffs Jan2022'!K54)*('Tariffs Jan2022'!W54/100)*'Tariffs Jan2022'!AJ54))</f>
        <v>0</v>
      </c>
      <c r="M60" s="59">
        <f>IF($C$5*'Tariffs Jan2022'!AL54/'Tariffs Jan2022'!AJ54&lt;'Tariffs Jan2022'!L54,0,IF($C$5*'Tariffs Jan2022'!AL54/'Tariffs Jan2022'!AJ54&lt;='Tariffs Jan2022'!M54,($C$5*'Tariffs Jan2022'!AL54/'Tariffs Jan2022'!AJ54-'Tariffs Jan2022'!L54)*('Tariffs Jan2022'!X54/100)*'Tariffs Jan2022'!AJ54,('Tariffs Jan2022'!M54-'Tariffs Jan2022'!L54)*('Tariffs Jan2022'!X54/100)*'Tariffs Jan2022'!AJ54))</f>
        <v>0</v>
      </c>
      <c r="N60" s="59">
        <f>IF(($C$5*'Tariffs Jan2022'!AL54/'Tariffs Jan2022'!AJ54&gt;'Tariffs Jan2022'!M54),($C$5*'Tariffs Jan2022'!AL54/'Tariffs Jan2022'!AJ54-'Tariffs Jan2022'!M54)*'Tariffs Jan2022'!Y54/100*'Tariffs Jan2022'!AJ54,0)</f>
        <v>492.95454545454544</v>
      </c>
      <c r="O60" s="59">
        <f t="shared" si="1"/>
        <v>1550.4463636363635</v>
      </c>
      <c r="P60" s="503">
        <f t="shared" si="2"/>
        <v>1705.491</v>
      </c>
      <c r="Q60" s="59">
        <f t="shared" si="3"/>
        <v>1868.3613636363634</v>
      </c>
      <c r="R60" s="272">
        <f t="shared" si="4"/>
        <v>2055.1974999999998</v>
      </c>
      <c r="S60" s="40">
        <f>'Tariffs Jan2022'!AN54</f>
        <v>24</v>
      </c>
      <c r="T60" s="40">
        <f>'Tariffs Jan2022'!AO54</f>
        <v>0</v>
      </c>
      <c r="U60" s="40">
        <f>'Tariffs Jan2022'!AP54</f>
        <v>0</v>
      </c>
      <c r="V60" s="40">
        <f>'Tariffs Jan2022'!AQ54</f>
        <v>0</v>
      </c>
      <c r="W60" s="537" t="str">
        <f t="shared" si="72"/>
        <v>Guaranteed off bill</v>
      </c>
      <c r="X60" s="538" t="str">
        <f t="shared" si="73"/>
        <v>Exclusive</v>
      </c>
      <c r="Y60" s="534">
        <f t="shared" ref="Y60" si="76">IF(AND(W60="Guaranteed off bill",X60="Inclusive"),((Q60*1.1)-((Q60*1.1)*S60/100))/1.1,IF(AND(W60="Guaranteed off usage",X60="Inclusive"),((Q60*1.1)-((P60*1.1)*T60/100))/1.1,IF(AND(W60="Guaranteed off bill",X60="Exclusive"),Q60-(Q60*S60/100),IF(AND(W60="Guaranteed off usage",X60="Exclusive"),Q60-(P60*T60/100),IF(X60="Inclusive",((Q60*1.1))/1.1,Q60)))))</f>
        <v>1419.9546363636362</v>
      </c>
      <c r="Z60" s="535">
        <f t="shared" ref="Z60" si="77">IF(AND(W60="Pay-on-time off bill",X60="Inclusive"),((Y60*1.1)-((Y60*1.1)*U60/100))/1.1,IF(AND(W60="Pay-on-time off usage",X60="Inclusive"),((Y60*1.1)-((P60*1.1)*V60/100))/1.1,IF(AND(W60="Pay-on-time off bill",X60="Exclusive"),Y60-(Y60*U60/100),IF(AND(W60="Pay-on-time off usage",X60="Exclusive"),Y60-(P60*V60/100),IF(X60="Inclusive",((Y60*1.1))/1.1,Y60)))))</f>
        <v>1419.9546363636362</v>
      </c>
      <c r="AA60" s="542">
        <f t="shared" si="71"/>
        <v>1561.9500999999998</v>
      </c>
      <c r="AB60" s="542">
        <f t="shared" si="71"/>
        <v>1561.9500999999998</v>
      </c>
      <c r="AC60" s="274">
        <f>'Tariffs Jan2022'!AZ54</f>
        <v>12</v>
      </c>
      <c r="AD60" s="274" t="str">
        <f>'Tariffs Jan2022'!BA54</f>
        <v>n</v>
      </c>
      <c r="AE60" s="275" t="str">
        <f>'Tariffs Jan2022'!BJ54</f>
        <v>N</v>
      </c>
      <c r="AF60" s="577"/>
      <c r="AG60" s="577"/>
      <c r="AH60" s="577"/>
      <c r="AI60" s="577"/>
      <c r="AJ60" s="577"/>
      <c r="AK60" s="577"/>
      <c r="AL60" s="577"/>
      <c r="AM60" s="577"/>
      <c r="AN60" s="577"/>
      <c r="AO60" s="577"/>
      <c r="AP60" s="577"/>
      <c r="AQ60" s="577"/>
      <c r="AR60" s="577"/>
      <c r="AS60" s="577"/>
      <c r="AT60" s="577"/>
      <c r="AU60" s="577"/>
      <c r="AV60" s="577"/>
      <c r="AW60" s="577"/>
    </row>
    <row r="61" spans="1:49" ht="14" x14ac:dyDescent="0.15">
      <c r="A61" s="270" t="str">
        <f>'Tariffs Jan2022'!F55</f>
        <v>Lumo Energy</v>
      </c>
      <c r="B61" s="40" t="str">
        <f>'Tariffs Jan2022'!D55</f>
        <v>AGN Central 2</v>
      </c>
      <c r="C61" s="40" t="str">
        <f>'Tariffs Jan2022'!G55</f>
        <v>Value</v>
      </c>
      <c r="D61" s="59">
        <f>365*'Tariffs Jan2022'!H55/100</f>
        <v>251.48500000000004</v>
      </c>
      <c r="E61" s="59">
        <f>IF($C$5*'Tariffs Jan2022'!AK55/'Tariffs Jan2022'!AI55&gt;='Tariffs Jan2022'!J55,( 'Tariffs Jan2022'!J55*'Tariffs Jan2022'!O55/100)* 'Tariffs Jan2022'!AI55,($C$5*'Tariffs Jan2022'!AK55/'Tariffs Jan2022'!AI55*'Tariffs Jan2022'!O55/100)* 'Tariffs Jan2022'!AI55)</f>
        <v>102.73772727272726</v>
      </c>
      <c r="F61" s="59">
        <f>IF($C$5*'Tariffs Jan2022'!AK55/'Tariffs Jan2022'!AI55&lt;'Tariffs Jan2022'!J55,0,IF($C$5*'Tariffs Jan2022'!AK55/'Tariffs Jan2022'!AI55&lt;='Tariffs Jan2022'!K55,($C$5*'Tariffs Jan2022'!AK55/'Tariffs Jan2022'!AI55-'Tariffs Jan2022'!J55)*('Tariffs Jan2022'!P55/100)*'Tariffs Jan2022'!AI55,('Tariffs Jan2022'!K55-'Tariffs Jan2022'!J55)*('Tariffs Jan2022'!P55/100)*'Tariffs Jan2022'!AI55))</f>
        <v>80.560909090909092</v>
      </c>
      <c r="G61" s="59">
        <f>IF($C$5*'Tariffs Jan2022'!AK55/'Tariffs Jan2022'!AI55&lt;'Tariffs Jan2022'!K55,0,IF($C$5*'Tariffs Jan2022'!AK55/'Tariffs Jan2022'!AI55&lt;='Tariffs Jan2022'!L55,($C$5*'Tariffs Jan2022'!AK55/'Tariffs Jan2022'!AI55-'Tariffs Jan2022'!K55)*('Tariffs Jan2022'!Q55/100)*'Tariffs Jan2022'!AI55,('Tariffs Jan2022'!L55-'Tariffs Jan2022'!K55)*('Tariffs Jan2022'!Q55/100)*'Tariffs Jan2022'!AI55))</f>
        <v>0</v>
      </c>
      <c r="H61" s="59">
        <f>IF($C$5*'Tariffs Jan2022'!AK55/'Tariffs Jan2022'!AI55&lt;'Tariffs Jan2022'!L55,0,IF($C$5*'Tariffs Jan2022'!AK55/'Tariffs Jan2022'!AI55&lt;='Tariffs Jan2022'!M55,($C$5*'Tariffs Jan2022'!AK55/'Tariffs Jan2022'!AI55-'Tariffs Jan2022'!L55)*('Tariffs Jan2022'!R55/100)*'Tariffs Jan2022'!AI55,('Tariffs Jan2022'!M55-'Tariffs Jan2022'!L55)*('Tariffs Jan2022'!R55/100)*'Tariffs Jan2022'!AI55))</f>
        <v>0</v>
      </c>
      <c r="I61" s="59">
        <f>IF(($C$5*'Tariffs Jan2022'!AK55/'Tariffs Jan2022'!AI55&gt;'Tariffs Jan2022'!M55),($C$5*'Tariffs Jan2022'!AK55/'Tariffs Jan2022'!AI55-'Tariffs Jan2022'!M55)*'Tariffs Jan2022'!S55/100*'Tariffs Jan2022'!AI55,0)</f>
        <v>415.22727272727275</v>
      </c>
      <c r="J61" s="59">
        <f>IF($C$5*'Tariffs Jan2022'!AL55/'Tariffs Jan2022'!AJ55&gt;='Tariffs Jan2022'!J55,('Tariffs Jan2022'!J55*'Tariffs Jan2022'!U55/100)* 'Tariffs Jan2022'!AJ55,($C$5*'Tariffs Jan2022'!AL55/'Tariffs Jan2022'!AJ55*'Tariffs Jan2022'!U55/100)* 'Tariffs Jan2022'!AJ55)</f>
        <v>102.73772727272726</v>
      </c>
      <c r="K61" s="59">
        <f>IF($C$5*'Tariffs Jan2022'!AL55/'Tariffs Jan2022'!AJ55&lt;'Tariffs Jan2022'!J55,0,IF($C$5*'Tariffs Jan2022'!AL55/'Tariffs Jan2022'!AJ55&lt;='Tariffs Jan2022'!K55,($C$5*'Tariffs Jan2022'!AL55/'Tariffs Jan2022'!AJ55-'Tariffs Jan2022'!J55)*('Tariffs Jan2022'!V55/100)*'Tariffs Jan2022'!AJ55,('Tariffs Jan2022'!K55-'Tariffs Jan2022'!J55)*('Tariffs Jan2022'!V55/100)*'Tariffs Jan2022'!AJ55))</f>
        <v>80.560909090909092</v>
      </c>
      <c r="L61" s="59">
        <f>IF($C$5*'Tariffs Jan2022'!AL55/'Tariffs Jan2022'!AJ55&lt;'Tariffs Jan2022'!K55,0,IF($C$5*'Tariffs Jan2022'!AL55/'Tariffs Jan2022'!AJ55&lt;='Tariffs Jan2022'!L55,($C$5*'Tariffs Jan2022'!AL55/'Tariffs Jan2022'!AJ55-'Tariffs Jan2022'!K55)*('Tariffs Jan2022'!W55/100)*'Tariffs Jan2022'!AJ55,('Tariffs Jan2022'!L55-'Tariffs Jan2022'!K55)*('Tariffs Jan2022'!W55/100)*'Tariffs Jan2022'!AJ55))</f>
        <v>0</v>
      </c>
      <c r="M61" s="59">
        <f>IF($C$5*'Tariffs Jan2022'!AL55/'Tariffs Jan2022'!AJ55&lt;'Tariffs Jan2022'!L55,0,IF($C$5*'Tariffs Jan2022'!AL55/'Tariffs Jan2022'!AJ55&lt;='Tariffs Jan2022'!M55,($C$5*'Tariffs Jan2022'!AL55/'Tariffs Jan2022'!AJ55-'Tariffs Jan2022'!L55)*('Tariffs Jan2022'!X55/100)*'Tariffs Jan2022'!AJ55,('Tariffs Jan2022'!M55-'Tariffs Jan2022'!L55)*('Tariffs Jan2022'!X55/100)*'Tariffs Jan2022'!AJ55))</f>
        <v>0</v>
      </c>
      <c r="N61" s="59">
        <f>IF(($C$5*'Tariffs Jan2022'!AL55/'Tariffs Jan2022'!AJ55&gt;'Tariffs Jan2022'!M55),($C$5*'Tariffs Jan2022'!AL55/'Tariffs Jan2022'!AJ55-'Tariffs Jan2022'!M55)*'Tariffs Jan2022'!Y55/100*'Tariffs Jan2022'!AJ55,0)</f>
        <v>415.22727272727275</v>
      </c>
      <c r="O61" s="59">
        <f t="shared" si="1"/>
        <v>1197.0518181818181</v>
      </c>
      <c r="P61" s="503">
        <f t="shared" si="2"/>
        <v>1316.7570000000001</v>
      </c>
      <c r="Q61" s="59">
        <f t="shared" si="3"/>
        <v>1448.5368181818183</v>
      </c>
      <c r="R61" s="272">
        <f t="shared" si="4"/>
        <v>1593.3905000000002</v>
      </c>
      <c r="S61" s="40">
        <f>'Tariffs Jan2022'!AN55</f>
        <v>0</v>
      </c>
      <c r="T61" s="40">
        <f>'Tariffs Jan2022'!AO55</f>
        <v>0</v>
      </c>
      <c r="U61" s="40">
        <f>'Tariffs Jan2022'!AP55</f>
        <v>0</v>
      </c>
      <c r="V61" s="40">
        <f>'Tariffs Jan2022'!AQ55</f>
        <v>0</v>
      </c>
      <c r="W61" s="537" t="str">
        <f t="shared" si="72"/>
        <v>No discount</v>
      </c>
      <c r="X61" s="538" t="str">
        <f t="shared" si="73"/>
        <v>Exclusive</v>
      </c>
      <c r="Y61" s="534">
        <f>IF(AND(W61="Guaranteed off bill",X61="Inclusive"),((Q61*1.1)-((Q61*1.1)*S61/100))/1.1,IF(AND(W61="Guaranteed off usage",X61="Inclusive"),((Q61*1.1)-((P61*1.1)*T61/100))/1.1,IF(AND(W61="Guaranteed off bill",X61="Exclusive"),Q61-(Q61*S61/100),IF(AND(W61="Guaranteed off usage",X61="Exclusive"),Q61-(P61*T61/100),IF(X61="Inclusive",((Q61*1.1))/1.1,Q61)))))</f>
        <v>1448.5368181818183</v>
      </c>
      <c r="Z61" s="535">
        <f>IF(AND(W61="Pay-on-time off bill",X61="Inclusive"),((Y61*1.1)-((Y61*1.1)*U61/100))/1.1,IF(AND(W61="Pay-on-time off usage",X61="Inclusive"),((Y61*1.1)-((P61*1.1)*V61/100))/1.1,IF(AND(W61="Pay-on-time off bill",X61="Exclusive"),Y61-(Y61*U61/100),IF(AND(W61="Pay-on-time off usage",X61="Exclusive"),Y61-(P61*V61/100),IF(X61="Inclusive",((Y61*1.1))/1.1,Y61)))))</f>
        <v>1448.5368181818183</v>
      </c>
      <c r="AA61" s="542">
        <f t="shared" si="71"/>
        <v>1593.3905000000002</v>
      </c>
      <c r="AB61" s="542">
        <f t="shared" si="71"/>
        <v>1593.3905000000002</v>
      </c>
      <c r="AC61" s="274">
        <f>'Tariffs Jan2022'!AZ55</f>
        <v>0</v>
      </c>
      <c r="AD61" s="274" t="str">
        <f>'Tariffs Jan2022'!BA55</f>
        <v>n</v>
      </c>
      <c r="AE61" s="275" t="str">
        <f>'Tariffs Jan2022'!BJ55</f>
        <v>N</v>
      </c>
      <c r="AF61" s="577"/>
      <c r="AG61" s="577"/>
      <c r="AH61" s="577"/>
      <c r="AI61" s="577"/>
      <c r="AJ61" s="577"/>
      <c r="AK61" s="577"/>
      <c r="AL61" s="577"/>
      <c r="AM61" s="577"/>
      <c r="AN61" s="577"/>
      <c r="AO61" s="577"/>
      <c r="AP61" s="577"/>
      <c r="AQ61" s="577"/>
      <c r="AR61" s="577"/>
      <c r="AS61" s="577"/>
      <c r="AT61" s="577"/>
      <c r="AU61" s="577"/>
      <c r="AV61" s="577"/>
      <c r="AW61" s="577"/>
    </row>
    <row r="62" spans="1:49" ht="14" x14ac:dyDescent="0.15">
      <c r="A62" s="270" t="str">
        <f>'Tariffs Jan2022'!F56</f>
        <v>Momentum Energy</v>
      </c>
      <c r="B62" s="40" t="str">
        <f>'Tariffs Jan2022'!D56</f>
        <v>AGN Central 2</v>
      </c>
      <c r="C62" s="40" t="str">
        <f>'Tariffs Jan2022'!G56</f>
        <v>Market offer</v>
      </c>
      <c r="D62" s="59">
        <f>365*'Tariffs Jan2022'!H56/100</f>
        <v>289.08</v>
      </c>
      <c r="E62" s="59">
        <f>IF($C$5*'Tariffs Jan2022'!AK56/'Tariffs Jan2022'!AI56&gt;='Tariffs Jan2022'!J56,( 'Tariffs Jan2022'!J56*'Tariffs Jan2022'!O56/100)* 'Tariffs Jan2022'!AI56,($C$5*'Tariffs Jan2022'!AK56/'Tariffs Jan2022'!AI56*'Tariffs Jan2022'!O56/100)* 'Tariffs Jan2022'!AI56)</f>
        <v>85.539999999999978</v>
      </c>
      <c r="F62" s="59">
        <f>IF($C$5*'Tariffs Jan2022'!AK56/'Tariffs Jan2022'!AI56&lt;'Tariffs Jan2022'!J56,0,IF($C$5*'Tariffs Jan2022'!AK56/'Tariffs Jan2022'!AI56&lt;='Tariffs Jan2022'!K56,($C$5*'Tariffs Jan2022'!AK56/'Tariffs Jan2022'!AI56-'Tariffs Jan2022'!J56)*('Tariffs Jan2022'!P56/100)*'Tariffs Jan2022'!AI56,('Tariffs Jan2022'!K56-'Tariffs Jan2022'!J56)*('Tariffs Jan2022'!P56/100)*'Tariffs Jan2022'!AI56))</f>
        <v>59.62</v>
      </c>
      <c r="G62" s="59">
        <f>IF($C$5*'Tariffs Jan2022'!AK56/'Tariffs Jan2022'!AI56&lt;'Tariffs Jan2022'!K56,0,IF($C$5*'Tariffs Jan2022'!AK56/'Tariffs Jan2022'!AI56&lt;='Tariffs Jan2022'!L56,($C$5*'Tariffs Jan2022'!AK56/'Tariffs Jan2022'!AI56-'Tariffs Jan2022'!K56)*('Tariffs Jan2022'!Q56/100)*'Tariffs Jan2022'!AI56,('Tariffs Jan2022'!L56-'Tariffs Jan2022'!K56)*('Tariffs Jan2022'!Q56/100)*'Tariffs Jan2022'!AI56))</f>
        <v>0</v>
      </c>
      <c r="H62" s="59">
        <f>IF($C$5*'Tariffs Jan2022'!AK56/'Tariffs Jan2022'!AI56&lt;'Tariffs Jan2022'!L56,0,IF($C$5*'Tariffs Jan2022'!AK56/'Tariffs Jan2022'!AI56&lt;='Tariffs Jan2022'!M56,($C$5*'Tariffs Jan2022'!AK56/'Tariffs Jan2022'!AI56-'Tariffs Jan2022'!L56)*('Tariffs Jan2022'!R56/100)*'Tariffs Jan2022'!AI56,('Tariffs Jan2022'!M56-'Tariffs Jan2022'!L56)*('Tariffs Jan2022'!R56/100)*'Tariffs Jan2022'!AI56))</f>
        <v>0</v>
      </c>
      <c r="I62" s="59">
        <f>IF(($C$5*'Tariffs Jan2022'!AK56/'Tariffs Jan2022'!AI56&gt;'Tariffs Jan2022'!M56),($C$5*'Tariffs Jan2022'!AK56/'Tariffs Jan2022'!AI56-'Tariffs Jan2022'!M56)*'Tariffs Jan2022'!S56/100*'Tariffs Jan2022'!AI56,0)</f>
        <v>284.9600999999999</v>
      </c>
      <c r="J62" s="59">
        <f>IF($C$5*'Tariffs Jan2022'!AL56/'Tariffs Jan2022'!AJ56&gt;='Tariffs Jan2022'!J56,('Tariffs Jan2022'!J56*'Tariffs Jan2022'!U56/100)* 'Tariffs Jan2022'!AJ56,($C$5*'Tariffs Jan2022'!AL56/'Tariffs Jan2022'!AJ56*'Tariffs Jan2022'!U56/100)* 'Tariffs Jan2022'!AJ56)</f>
        <v>157.91999999999999</v>
      </c>
      <c r="K62" s="59">
        <f>IF($C$5*'Tariffs Jan2022'!AL56/'Tariffs Jan2022'!AJ56&lt;'Tariffs Jan2022'!J56,0,IF($C$5*'Tariffs Jan2022'!AL56/'Tariffs Jan2022'!AJ56&lt;='Tariffs Jan2022'!K56,($C$5*'Tariffs Jan2022'!AL56/'Tariffs Jan2022'!AJ56-'Tariffs Jan2022'!J56)*('Tariffs Jan2022'!V56/100)*'Tariffs Jan2022'!AJ56,('Tariffs Jan2022'!K56-'Tariffs Jan2022'!J56)*('Tariffs Jan2022'!V56/100)*'Tariffs Jan2022'!AJ56))</f>
        <v>108.4</v>
      </c>
      <c r="L62" s="59">
        <f>IF($C$5*'Tariffs Jan2022'!AL56/'Tariffs Jan2022'!AJ56&lt;'Tariffs Jan2022'!K56,0,IF($C$5*'Tariffs Jan2022'!AL56/'Tariffs Jan2022'!AJ56&lt;='Tariffs Jan2022'!L56,($C$5*'Tariffs Jan2022'!AL56/'Tariffs Jan2022'!AJ56-'Tariffs Jan2022'!K56)*('Tariffs Jan2022'!W56/100)*'Tariffs Jan2022'!AJ56,('Tariffs Jan2022'!L56-'Tariffs Jan2022'!K56)*('Tariffs Jan2022'!W56/100)*'Tariffs Jan2022'!AJ56))</f>
        <v>0</v>
      </c>
      <c r="M62" s="59">
        <f>IF($C$5*'Tariffs Jan2022'!AL56/'Tariffs Jan2022'!AJ56&lt;'Tariffs Jan2022'!L56,0,IF($C$5*'Tariffs Jan2022'!AL56/'Tariffs Jan2022'!AJ56&lt;='Tariffs Jan2022'!M56,($C$5*'Tariffs Jan2022'!AL56/'Tariffs Jan2022'!AJ56-'Tariffs Jan2022'!L56)*('Tariffs Jan2022'!X56/100)*'Tariffs Jan2022'!AJ56,('Tariffs Jan2022'!M56-'Tariffs Jan2022'!L56)*('Tariffs Jan2022'!X56/100)*'Tariffs Jan2022'!AJ56))</f>
        <v>0</v>
      </c>
      <c r="N62" s="59">
        <f>IF(($C$5*'Tariffs Jan2022'!AL56/'Tariffs Jan2022'!AJ56&gt;'Tariffs Jan2022'!M56),($C$5*'Tariffs Jan2022'!AL56/'Tariffs Jan2022'!AJ56-'Tariffs Jan2022'!M56)*'Tariffs Jan2022'!Y56/100*'Tariffs Jan2022'!AJ56,0)</f>
        <v>509.92859999999996</v>
      </c>
      <c r="O62" s="59">
        <f t="shared" si="1"/>
        <v>1206.3686999999998</v>
      </c>
      <c r="P62" s="503">
        <f t="shared" si="2"/>
        <v>1327.0055699999998</v>
      </c>
      <c r="Q62" s="59">
        <f t="shared" si="3"/>
        <v>1495.4486999999997</v>
      </c>
      <c r="R62" s="272">
        <f t="shared" si="4"/>
        <v>1644.9935699999999</v>
      </c>
      <c r="S62" s="40">
        <f>'Tariffs Jan2022'!AN56</f>
        <v>0</v>
      </c>
      <c r="T62" s="40">
        <f>'Tariffs Jan2022'!AO56</f>
        <v>0</v>
      </c>
      <c r="U62" s="40">
        <f>'Tariffs Jan2022'!AP56</f>
        <v>0</v>
      </c>
      <c r="V62" s="40">
        <f>'Tariffs Jan2022'!AQ56</f>
        <v>0</v>
      </c>
      <c r="W62" s="537" t="str">
        <f t="shared" si="72"/>
        <v>No discount</v>
      </c>
      <c r="X62" s="538" t="str">
        <f t="shared" si="73"/>
        <v>Exclusive</v>
      </c>
      <c r="Y62" s="534">
        <f t="shared" ref="Y62" si="78">IF(AND(W62="Guaranteed off bill",X62="Inclusive"),((Q62*1.1)-((Q62*1.1)*S62/100))/1.1,IF(AND(W62="Guaranteed off usage",X62="Inclusive"),((Q62*1.1)-((P62*1.1)*T62/100))/1.1,IF(AND(W62="Guaranteed off bill",X62="Exclusive"),Q62-(Q62*S62/100),IF(AND(W62="Guaranteed off usage",X62="Exclusive"),Q62-(P62*T62/100),IF(X62="Inclusive",((Q62*1.1))/1.1,Q62)))))</f>
        <v>1495.4486999999997</v>
      </c>
      <c r="Z62" s="535">
        <f t="shared" ref="Z62" si="79">IF(AND(W62="Pay-on-time off bill",X62="Inclusive"),((Y62*1.1)-((Y62*1.1)*U62/100))/1.1,IF(AND(W62="Pay-on-time off usage",X62="Inclusive"),((Y62*1.1)-((P62*1.1)*V62/100))/1.1,IF(AND(W62="Pay-on-time off bill",X62="Exclusive"),Y62-(Y62*U62/100),IF(AND(W62="Pay-on-time off usage",X62="Exclusive"),Y62-(P62*V62/100),IF(X62="Inclusive",((Y62*1.1))/1.1,Y62)))))</f>
        <v>1495.4486999999997</v>
      </c>
      <c r="AA62" s="542">
        <f t="shared" si="71"/>
        <v>1644.9935699999999</v>
      </c>
      <c r="AB62" s="542">
        <f t="shared" si="71"/>
        <v>1644.9935699999999</v>
      </c>
      <c r="AC62" s="274">
        <f>'Tariffs Jan2022'!AZ56</f>
        <v>0</v>
      </c>
      <c r="AD62" s="274" t="str">
        <f>'Tariffs Jan2022'!BA56</f>
        <v>n</v>
      </c>
      <c r="AE62" s="275" t="str">
        <f>'Tariffs Jan2022'!BJ56</f>
        <v>N</v>
      </c>
      <c r="AF62" s="577"/>
      <c r="AG62" s="577"/>
      <c r="AH62" s="577"/>
      <c r="AI62" s="577"/>
      <c r="AJ62" s="577"/>
      <c r="AK62" s="577"/>
      <c r="AL62" s="577"/>
      <c r="AM62" s="577"/>
      <c r="AN62" s="577"/>
      <c r="AO62" s="577"/>
      <c r="AP62" s="577"/>
      <c r="AQ62" s="577"/>
      <c r="AR62" s="577"/>
      <c r="AS62" s="577"/>
      <c r="AT62" s="577"/>
      <c r="AU62" s="577"/>
      <c r="AV62" s="577"/>
      <c r="AW62" s="577"/>
    </row>
    <row r="63" spans="1:49" ht="14" x14ac:dyDescent="0.15">
      <c r="A63" s="270" t="str">
        <f>'Tariffs Jan2022'!F57</f>
        <v>Origin Energy</v>
      </c>
      <c r="B63" s="40" t="str">
        <f>'Tariffs Jan2022'!D57</f>
        <v>AGN Central 2</v>
      </c>
      <c r="C63" s="40" t="str">
        <f>'Tariffs Jan2022'!G57</f>
        <v>Go</v>
      </c>
      <c r="D63" s="59">
        <f>365*'Tariffs Jan2022'!H57/100</f>
        <v>243.8863636363636</v>
      </c>
      <c r="E63" s="59">
        <f>IF($C$5*'Tariffs Jan2022'!AK57/'Tariffs Jan2022'!AI57&gt;='Tariffs Jan2022'!J57,( 'Tariffs Jan2022'!J57*'Tariffs Jan2022'!O57/100)* 'Tariffs Jan2022'!AI57,($C$5*'Tariffs Jan2022'!AK57/'Tariffs Jan2022'!AI57*'Tariffs Jan2022'!O57/100)* 'Tariffs Jan2022'!AI57)</f>
        <v>409.09090909090901</v>
      </c>
      <c r="F63" s="59">
        <f>IF($C$5*'Tariffs Jan2022'!AK57/'Tariffs Jan2022'!AI57&lt;'Tariffs Jan2022'!J57,0,IF($C$5*'Tariffs Jan2022'!AK57/'Tariffs Jan2022'!AI57&lt;='Tariffs Jan2022'!K57,($C$5*'Tariffs Jan2022'!AK57/'Tariffs Jan2022'!AI57-'Tariffs Jan2022'!J57)*('Tariffs Jan2022'!P57/100)*'Tariffs Jan2022'!AI57,('Tariffs Jan2022'!K57-'Tariffs Jan2022'!J57)*('Tariffs Jan2022'!P57/100)*'Tariffs Jan2022'!AI57))</f>
        <v>283.5</v>
      </c>
      <c r="G63" s="59">
        <f>IF($C$5*'Tariffs Jan2022'!AK57/'Tariffs Jan2022'!AI57&lt;'Tariffs Jan2022'!K57,0,IF($C$5*'Tariffs Jan2022'!AK57/'Tariffs Jan2022'!AI57&lt;='Tariffs Jan2022'!L57,($C$5*'Tariffs Jan2022'!AK57/'Tariffs Jan2022'!AI57-'Tariffs Jan2022'!K57)*('Tariffs Jan2022'!Q57/100)*'Tariffs Jan2022'!AI57,('Tariffs Jan2022'!L57-'Tariffs Jan2022'!K57)*('Tariffs Jan2022'!Q57/100)*'Tariffs Jan2022'!AI57))</f>
        <v>0</v>
      </c>
      <c r="H63" s="59">
        <f>IF($C$5*'Tariffs Jan2022'!AK57/'Tariffs Jan2022'!AI57&lt;'Tariffs Jan2022'!L57,0,IF($C$5*'Tariffs Jan2022'!AK57/'Tariffs Jan2022'!AI57&lt;='Tariffs Jan2022'!M57,($C$5*'Tariffs Jan2022'!AK57/'Tariffs Jan2022'!AI57-'Tariffs Jan2022'!L57)*('Tariffs Jan2022'!R57/100)*'Tariffs Jan2022'!AI57,('Tariffs Jan2022'!M57-'Tariffs Jan2022'!L57)*('Tariffs Jan2022'!R57/100)*'Tariffs Jan2022'!AI57))</f>
        <v>0</v>
      </c>
      <c r="I63" s="59">
        <f>IF(($C$5*'Tariffs Jan2022'!AK57/'Tariffs Jan2022'!AI57&gt;'Tariffs Jan2022'!M57),($C$5*'Tariffs Jan2022'!AK57/'Tariffs Jan2022'!AI57-'Tariffs Jan2022'!M57)*'Tariffs Jan2022'!S57/100*'Tariffs Jan2022'!AI57,0)</f>
        <v>0</v>
      </c>
      <c r="J63" s="59">
        <f>IF($C$5*'Tariffs Jan2022'!AL57/'Tariffs Jan2022'!AJ57&gt;='Tariffs Jan2022'!J57,('Tariffs Jan2022'!J57*'Tariffs Jan2022'!U57/100)* 'Tariffs Jan2022'!AJ57,($C$5*'Tariffs Jan2022'!AL57/'Tariffs Jan2022'!AJ57*'Tariffs Jan2022'!U57/100)* 'Tariffs Jan2022'!AJ57)</f>
        <v>409.09090909090901</v>
      </c>
      <c r="K63" s="59">
        <f>IF($C$5*'Tariffs Jan2022'!AL57/'Tariffs Jan2022'!AJ57&lt;'Tariffs Jan2022'!J57,0,IF($C$5*'Tariffs Jan2022'!AL57/'Tariffs Jan2022'!AJ57&lt;='Tariffs Jan2022'!K57,($C$5*'Tariffs Jan2022'!AL57/'Tariffs Jan2022'!AJ57-'Tariffs Jan2022'!J57)*('Tariffs Jan2022'!V57/100)*'Tariffs Jan2022'!AJ57,('Tariffs Jan2022'!K57-'Tariffs Jan2022'!J57)*('Tariffs Jan2022'!V57/100)*'Tariffs Jan2022'!AJ57))</f>
        <v>283.5</v>
      </c>
      <c r="L63" s="59">
        <f>IF($C$5*'Tariffs Jan2022'!AL57/'Tariffs Jan2022'!AJ57&lt;'Tariffs Jan2022'!K57,0,IF($C$5*'Tariffs Jan2022'!AL57/'Tariffs Jan2022'!AJ57&lt;='Tariffs Jan2022'!L57,($C$5*'Tariffs Jan2022'!AL57/'Tariffs Jan2022'!AJ57-'Tariffs Jan2022'!K57)*('Tariffs Jan2022'!W57/100)*'Tariffs Jan2022'!AJ57,('Tariffs Jan2022'!L57-'Tariffs Jan2022'!K57)*('Tariffs Jan2022'!W57/100)*'Tariffs Jan2022'!AJ57))</f>
        <v>0</v>
      </c>
      <c r="M63" s="59">
        <f>IF($C$5*'Tariffs Jan2022'!AL57/'Tariffs Jan2022'!AJ57&lt;'Tariffs Jan2022'!L57,0,IF($C$5*'Tariffs Jan2022'!AL57/'Tariffs Jan2022'!AJ57&lt;='Tariffs Jan2022'!M57,($C$5*'Tariffs Jan2022'!AL57/'Tariffs Jan2022'!AJ57-'Tariffs Jan2022'!L57)*('Tariffs Jan2022'!X57/100)*'Tariffs Jan2022'!AJ57,('Tariffs Jan2022'!M57-'Tariffs Jan2022'!L57)*('Tariffs Jan2022'!X57/100)*'Tariffs Jan2022'!AJ57))</f>
        <v>0</v>
      </c>
      <c r="N63" s="59">
        <f>IF(($C$5*'Tariffs Jan2022'!AL57/'Tariffs Jan2022'!AJ57&gt;'Tariffs Jan2022'!M57),($C$5*'Tariffs Jan2022'!AL57/'Tariffs Jan2022'!AJ57-'Tariffs Jan2022'!M57)*'Tariffs Jan2022'!Y57/100*'Tariffs Jan2022'!AJ57,0)</f>
        <v>0</v>
      </c>
      <c r="O63" s="59">
        <f t="shared" si="1"/>
        <v>1385.181818181818</v>
      </c>
      <c r="P63" s="503">
        <f t="shared" si="2"/>
        <v>1523.7</v>
      </c>
      <c r="Q63" s="59">
        <f t="shared" si="3"/>
        <v>1629.0681818181815</v>
      </c>
      <c r="R63" s="272">
        <f t="shared" si="4"/>
        <v>1791.9749999999999</v>
      </c>
      <c r="S63" s="40">
        <f>'Tariffs Jan2022'!AN57</f>
        <v>0</v>
      </c>
      <c r="T63" s="40">
        <f>'Tariffs Jan2022'!AO57</f>
        <v>0</v>
      </c>
      <c r="U63" s="40">
        <f>'Tariffs Jan2022'!AP57</f>
        <v>0</v>
      </c>
      <c r="V63" s="40">
        <f>'Tariffs Jan2022'!AQ57</f>
        <v>0</v>
      </c>
      <c r="W63" s="537" t="str">
        <f t="shared" si="72"/>
        <v>No discount</v>
      </c>
      <c r="X63" s="538" t="str">
        <f t="shared" si="73"/>
        <v>Inclusive</v>
      </c>
      <c r="Y63" s="534">
        <f>IF(AND(W63="Guaranteed off bill",X63="Inclusive"),((Q63*1.1)-((Q63*1.1)*S63/100))/1.1,IF(AND(W63="Guaranteed off usage",X63="Inclusive"),((Q63*1.1)-((P63*1.1)*T63/100))/1.1,IF(AND(W63="Guaranteed off bill",X63="Exclusive"),Q63-(Q63*S63/100),IF(AND(W63="Guaranteed off usage",X63="Exclusive"),Q63-(P63*T63/100),IF(X63="Inclusive",((Q63*1.1))/1.1,Q63)))))</f>
        <v>1629.0681818181815</v>
      </c>
      <c r="Z63" s="535">
        <f>IF(AND(W63="Pay-on-time off bill",X63="Inclusive"),((Y63*1.1)-((Y63*1.1)*U63/100))/1.1,IF(AND(W63="Pay-on-time off usage",X63="Inclusive"),((Y63*1.1)-((P63*1.1)*V63/100))/1.1,IF(AND(W63="Pay-on-time off bill",X63="Exclusive"),Y63-(Y63*U63/100),IF(AND(W63="Pay-on-time off usage",X63="Exclusive"),Y63-(P63*V63/100),IF(X63="Inclusive",((Y63*1.1))/1.1,Y63)))))</f>
        <v>1629.0681818181815</v>
      </c>
      <c r="AA63" s="542">
        <f t="shared" si="71"/>
        <v>1791.9749999999999</v>
      </c>
      <c r="AB63" s="542">
        <f t="shared" si="71"/>
        <v>1791.9749999999999</v>
      </c>
      <c r="AC63" s="274">
        <f>'Tariffs Jan2022'!AZ57</f>
        <v>0</v>
      </c>
      <c r="AD63" s="274" t="str">
        <f>'Tariffs Jan2022'!BA57</f>
        <v>n</v>
      </c>
      <c r="AE63" s="275" t="str">
        <f>'Tariffs Jan2022'!BJ57</f>
        <v>N</v>
      </c>
      <c r="AF63" s="577"/>
      <c r="AG63" s="577"/>
      <c r="AH63" s="577"/>
      <c r="AI63" s="577"/>
      <c r="AJ63" s="577"/>
      <c r="AK63" s="577"/>
      <c r="AL63" s="577"/>
      <c r="AM63" s="577"/>
      <c r="AN63" s="577"/>
      <c r="AO63" s="577"/>
      <c r="AP63" s="577"/>
      <c r="AQ63" s="577"/>
      <c r="AR63" s="577"/>
      <c r="AS63" s="577"/>
      <c r="AT63" s="577"/>
      <c r="AU63" s="577"/>
      <c r="AV63" s="577"/>
      <c r="AW63" s="577"/>
    </row>
    <row r="64" spans="1:49" ht="14" x14ac:dyDescent="0.15">
      <c r="A64" s="270" t="str">
        <f>'Tariffs Jan2022'!F58</f>
        <v>Red Energy</v>
      </c>
      <c r="B64" s="40" t="str">
        <f>'Tariffs Jan2022'!D58</f>
        <v>AGN Central 2</v>
      </c>
      <c r="C64" s="40" t="str">
        <f>'Tariffs Jan2022'!G58</f>
        <v>Living Energy Saver</v>
      </c>
      <c r="D64" s="59">
        <f>365*'Tariffs Jan2022'!H58/100</f>
        <v>239.14136363636356</v>
      </c>
      <c r="E64" s="59">
        <f>IF($C$5*'Tariffs Jan2022'!AK58/'Tariffs Jan2022'!AI58&gt;='Tariffs Jan2022'!J58,( 'Tariffs Jan2022'!J58*'Tariffs Jan2022'!O58/100)* 'Tariffs Jan2022'!AI58,($C$5*'Tariffs Jan2022'!AK58/'Tariffs Jan2022'!AI58*'Tariffs Jan2022'!O58/100)* 'Tariffs Jan2022'!AI58)</f>
        <v>118.88863636363635</v>
      </c>
      <c r="F64" s="59">
        <f>IF($C$5*'Tariffs Jan2022'!AK58/'Tariffs Jan2022'!AI58&lt;'Tariffs Jan2022'!J58,0,IF($C$5*'Tariffs Jan2022'!AK58/'Tariffs Jan2022'!AI58&lt;='Tariffs Jan2022'!K58,($C$5*'Tariffs Jan2022'!AK58/'Tariffs Jan2022'!AI58-'Tariffs Jan2022'!J58)*('Tariffs Jan2022'!P58/100)*'Tariffs Jan2022'!AI58,('Tariffs Jan2022'!K58-'Tariffs Jan2022'!J58)*('Tariffs Jan2022'!P58/100)*'Tariffs Jan2022'!AI58))</f>
        <v>93.125454545454545</v>
      </c>
      <c r="G64" s="59">
        <f>IF($C$5*'Tariffs Jan2022'!AK58/'Tariffs Jan2022'!AI58&lt;'Tariffs Jan2022'!K58,0,IF($C$5*'Tariffs Jan2022'!AK58/'Tariffs Jan2022'!AI58&lt;='Tariffs Jan2022'!L58,($C$5*'Tariffs Jan2022'!AK58/'Tariffs Jan2022'!AI58-'Tariffs Jan2022'!K58)*('Tariffs Jan2022'!Q58/100)*'Tariffs Jan2022'!AI58,('Tariffs Jan2022'!L58-'Tariffs Jan2022'!K58)*('Tariffs Jan2022'!Q58/100)*'Tariffs Jan2022'!AI58))</f>
        <v>0</v>
      </c>
      <c r="H64" s="59">
        <f>IF($C$5*'Tariffs Jan2022'!AK58/'Tariffs Jan2022'!AI58&lt;'Tariffs Jan2022'!L58,0,IF($C$5*'Tariffs Jan2022'!AK58/'Tariffs Jan2022'!AI58&lt;='Tariffs Jan2022'!M58,($C$5*'Tariffs Jan2022'!AK58/'Tariffs Jan2022'!AI58-'Tariffs Jan2022'!L58)*('Tariffs Jan2022'!R58/100)*'Tariffs Jan2022'!AI58,('Tariffs Jan2022'!M58-'Tariffs Jan2022'!L58)*('Tariffs Jan2022'!R58/100)*'Tariffs Jan2022'!AI58))</f>
        <v>0</v>
      </c>
      <c r="I64" s="59">
        <f>IF(($C$5*'Tariffs Jan2022'!AK58/'Tariffs Jan2022'!AI58&gt;'Tariffs Jan2022'!M58),($C$5*'Tariffs Jan2022'!AK58/'Tariffs Jan2022'!AI58-'Tariffs Jan2022'!M58)*'Tariffs Jan2022'!S58/100*'Tariffs Jan2022'!AI58,0)</f>
        <v>370.22727272727275</v>
      </c>
      <c r="J64" s="59">
        <f>IF($C$5*'Tariffs Jan2022'!AL58/'Tariffs Jan2022'!AJ58&gt;='Tariffs Jan2022'!J58,('Tariffs Jan2022'!J58*'Tariffs Jan2022'!U58/100)* 'Tariffs Jan2022'!AJ58,($C$5*'Tariffs Jan2022'!AL58/'Tariffs Jan2022'!AJ58*'Tariffs Jan2022'!U58/100)* 'Tariffs Jan2022'!AJ58)</f>
        <v>118.88863636363635</v>
      </c>
      <c r="K64" s="59">
        <f>IF($C$5*'Tariffs Jan2022'!AL58/'Tariffs Jan2022'!AJ58&lt;'Tariffs Jan2022'!J58,0,IF($C$5*'Tariffs Jan2022'!AL58/'Tariffs Jan2022'!AJ58&lt;='Tariffs Jan2022'!K58,($C$5*'Tariffs Jan2022'!AL58/'Tariffs Jan2022'!AJ58-'Tariffs Jan2022'!J58)*('Tariffs Jan2022'!V58/100)*'Tariffs Jan2022'!AJ58,('Tariffs Jan2022'!K58-'Tariffs Jan2022'!J58)*('Tariffs Jan2022'!V58/100)*'Tariffs Jan2022'!AJ58))</f>
        <v>93.125454545454545</v>
      </c>
      <c r="L64" s="59">
        <f>IF($C$5*'Tariffs Jan2022'!AL58/'Tariffs Jan2022'!AJ58&lt;'Tariffs Jan2022'!K58,0,IF($C$5*'Tariffs Jan2022'!AL58/'Tariffs Jan2022'!AJ58&lt;='Tariffs Jan2022'!L58,($C$5*'Tariffs Jan2022'!AL58/'Tariffs Jan2022'!AJ58-'Tariffs Jan2022'!K58)*('Tariffs Jan2022'!W58/100)*'Tariffs Jan2022'!AJ58,('Tariffs Jan2022'!L58-'Tariffs Jan2022'!K58)*('Tariffs Jan2022'!W58/100)*'Tariffs Jan2022'!AJ58))</f>
        <v>0</v>
      </c>
      <c r="M64" s="59">
        <f>IF($C$5*'Tariffs Jan2022'!AL58/'Tariffs Jan2022'!AJ58&lt;'Tariffs Jan2022'!L58,0,IF($C$5*'Tariffs Jan2022'!AL58/'Tariffs Jan2022'!AJ58&lt;='Tariffs Jan2022'!M58,($C$5*'Tariffs Jan2022'!AL58/'Tariffs Jan2022'!AJ58-'Tariffs Jan2022'!L58)*('Tariffs Jan2022'!X58/100)*'Tariffs Jan2022'!AJ58,('Tariffs Jan2022'!M58-'Tariffs Jan2022'!L58)*('Tariffs Jan2022'!X58/100)*'Tariffs Jan2022'!AJ58))</f>
        <v>0</v>
      </c>
      <c r="N64" s="59">
        <f>IF(($C$5*'Tariffs Jan2022'!AL58/'Tariffs Jan2022'!AJ58&gt;'Tariffs Jan2022'!M58),($C$5*'Tariffs Jan2022'!AL58/'Tariffs Jan2022'!AJ58-'Tariffs Jan2022'!M58)*'Tariffs Jan2022'!Y58/100*'Tariffs Jan2022'!AJ58,0)</f>
        <v>370.22727272727275</v>
      </c>
      <c r="O64" s="59">
        <f>SUM(E64:N64)</f>
        <v>1164.4827272727273</v>
      </c>
      <c r="P64" s="503">
        <f t="shared" si="2"/>
        <v>1280.931</v>
      </c>
      <c r="Q64" s="59">
        <f>D64+O64</f>
        <v>1403.6240909090909</v>
      </c>
      <c r="R64" s="272">
        <f>Q64*1.1</f>
        <v>1543.9865000000002</v>
      </c>
      <c r="S64" s="40">
        <f>'Tariffs Jan2022'!AN58</f>
        <v>0</v>
      </c>
      <c r="T64" s="40">
        <f>'Tariffs Jan2022'!AO58</f>
        <v>0</v>
      </c>
      <c r="U64" s="40">
        <f>'Tariffs Jan2022'!AP58</f>
        <v>0</v>
      </c>
      <c r="V64" s="40">
        <f>'Tariffs Jan2022'!AQ58</f>
        <v>0</v>
      </c>
      <c r="W64" s="537" t="str">
        <f t="shared" si="72"/>
        <v>No discount</v>
      </c>
      <c r="X64" s="538" t="str">
        <f t="shared" si="73"/>
        <v>Inclusive</v>
      </c>
      <c r="Y64" s="534">
        <f t="shared" ref="Y64:Y66" si="80">IF(AND(W64="Guaranteed off bill",X64="Inclusive"),((Q64*1.1)-((Q64*1.1)*S64/100))/1.1,IF(AND(W64="Guaranteed off usage",X64="Inclusive"),((Q64*1.1)-((P64*1.1)*T64/100))/1.1,IF(AND(W64="Guaranteed off bill",X64="Exclusive"),Q64-(Q64*S64/100),IF(AND(W64="Guaranteed off usage",X64="Exclusive"),Q64-(P64*T64/100),IF(X64="Inclusive",((Q64*1.1))/1.1,Q64)))))</f>
        <v>1403.6240909090909</v>
      </c>
      <c r="Z64" s="535">
        <f t="shared" ref="Z64:Z66" si="81">IF(AND(W64="Pay-on-time off bill",X64="Inclusive"),((Y64*1.1)-((Y64*1.1)*U64/100))/1.1,IF(AND(W64="Pay-on-time off usage",X64="Inclusive"),((Y64*1.1)-((P64*1.1)*V64/100))/1.1,IF(AND(W64="Pay-on-time off bill",X64="Exclusive"),Y64-(Y64*U64/100),IF(AND(W64="Pay-on-time off usage",X64="Exclusive"),Y64-(P64*V64/100),IF(X64="Inclusive",((Y64*1.1))/1.1,Y64)))))</f>
        <v>1403.6240909090909</v>
      </c>
      <c r="AA64" s="542">
        <f t="shared" si="71"/>
        <v>1543.9865000000002</v>
      </c>
      <c r="AB64" s="542">
        <f t="shared" si="71"/>
        <v>1543.9865000000002</v>
      </c>
      <c r="AC64" s="274">
        <f>'Tariffs Jan2022'!AZ58</f>
        <v>0</v>
      </c>
      <c r="AD64" s="274" t="str">
        <f>'Tariffs Jan2022'!BA58</f>
        <v>n</v>
      </c>
      <c r="AE64" s="275" t="str">
        <f>'Tariffs Jan2022'!BJ58</f>
        <v>N</v>
      </c>
      <c r="AF64" s="577"/>
      <c r="AG64" s="577"/>
      <c r="AH64" s="577"/>
      <c r="AI64" s="577"/>
      <c r="AJ64" s="577"/>
      <c r="AK64" s="577"/>
      <c r="AL64" s="577"/>
      <c r="AM64" s="577"/>
      <c r="AN64" s="577"/>
      <c r="AO64" s="577"/>
      <c r="AP64" s="577"/>
      <c r="AQ64" s="577"/>
      <c r="AR64" s="577"/>
      <c r="AS64" s="577"/>
      <c r="AT64" s="577"/>
      <c r="AU64" s="577"/>
      <c r="AV64" s="577"/>
      <c r="AW64" s="577"/>
    </row>
    <row r="65" spans="1:49" ht="14" x14ac:dyDescent="0.15">
      <c r="A65" s="270" t="str">
        <f>'Tariffs Jan2022'!F59</f>
        <v>Simply Energy</v>
      </c>
      <c r="B65" s="40" t="str">
        <f>'Tariffs Jan2022'!D59</f>
        <v>AGN Central 2</v>
      </c>
      <c r="C65" s="40" t="str">
        <f>'Tariffs Jan2022'!G59</f>
        <v>Blue perks</v>
      </c>
      <c r="D65" s="59">
        <f>365*'Tariffs Jan2022'!H59/100</f>
        <v>281.68045454545455</v>
      </c>
      <c r="E65" s="59">
        <f>IF($C$5*'Tariffs Jan2022'!AK59/'Tariffs Jan2022'!AI59&gt;='Tariffs Jan2022'!J59,( 'Tariffs Jan2022'!J59*'Tariffs Jan2022'!O59/100)* 'Tariffs Jan2022'!AI59,($C$5*'Tariffs Jan2022'!AK59/'Tariffs Jan2022'!AI59*'Tariffs Jan2022'!O59/100)* 'Tariffs Jan2022'!AI59)</f>
        <v>180.35181818181815</v>
      </c>
      <c r="F65" s="59">
        <f>IF($C$5*'Tariffs Jan2022'!AK59/'Tariffs Jan2022'!AI59&lt;'Tariffs Jan2022'!J59,0,IF($C$5*'Tariffs Jan2022'!AK59/'Tariffs Jan2022'!AI59&lt;='Tariffs Jan2022'!K59,($C$5*'Tariffs Jan2022'!AK59/'Tariffs Jan2022'!AI59-'Tariffs Jan2022'!J59)*('Tariffs Jan2022'!P59/100)*'Tariffs Jan2022'!AI59,('Tariffs Jan2022'!K59-'Tariffs Jan2022'!J59)*('Tariffs Jan2022'!P59/100)*'Tariffs Jan2022'!AI59))</f>
        <v>124.90636363636364</v>
      </c>
      <c r="G65" s="59">
        <f>IF($C$5*'Tariffs Jan2022'!AK59/'Tariffs Jan2022'!AI59&lt;'Tariffs Jan2022'!K59,0,IF($C$5*'Tariffs Jan2022'!AK59/'Tariffs Jan2022'!AI59&lt;='Tariffs Jan2022'!L59,($C$5*'Tariffs Jan2022'!AK59/'Tariffs Jan2022'!AI59-'Tariffs Jan2022'!K59)*('Tariffs Jan2022'!Q59/100)*'Tariffs Jan2022'!AI59,('Tariffs Jan2022'!L59-'Tariffs Jan2022'!K59)*('Tariffs Jan2022'!Q59/100)*'Tariffs Jan2022'!AI59))</f>
        <v>0</v>
      </c>
      <c r="H65" s="59">
        <f>IF($C$5*'Tariffs Jan2022'!AK59/'Tariffs Jan2022'!AI59&lt;'Tariffs Jan2022'!L59,0,IF($C$5*'Tariffs Jan2022'!AK59/'Tariffs Jan2022'!AI59&lt;='Tariffs Jan2022'!M59,($C$5*'Tariffs Jan2022'!AK59/'Tariffs Jan2022'!AI59-'Tariffs Jan2022'!L59)*('Tariffs Jan2022'!R59/100)*'Tariffs Jan2022'!AI59,('Tariffs Jan2022'!M59-'Tariffs Jan2022'!L59)*('Tariffs Jan2022'!R59/100)*'Tariffs Jan2022'!AI59))</f>
        <v>0</v>
      </c>
      <c r="I65" s="59">
        <f>IF(($C$5*'Tariffs Jan2022'!AK59/'Tariffs Jan2022'!AI59&gt;'Tariffs Jan2022'!M59),($C$5*'Tariffs Jan2022'!AK59/'Tariffs Jan2022'!AI59-'Tariffs Jan2022'!M59)*'Tariffs Jan2022'!S59/100*'Tariffs Jan2022'!AI59,0)</f>
        <v>578.86363636363626</v>
      </c>
      <c r="J65" s="59">
        <f>IF($C$5*'Tariffs Jan2022'!AL59/'Tariffs Jan2022'!AJ59&gt;='Tariffs Jan2022'!J59,('Tariffs Jan2022'!J59*'Tariffs Jan2022'!U59/100)* 'Tariffs Jan2022'!AJ59,($C$5*'Tariffs Jan2022'!AL59/'Tariffs Jan2022'!AJ59*'Tariffs Jan2022'!U59/100)* 'Tariffs Jan2022'!AJ59)</f>
        <v>180.35181818181815</v>
      </c>
      <c r="K65" s="59">
        <f>IF($C$5*'Tariffs Jan2022'!AL59/'Tariffs Jan2022'!AJ59&lt;'Tariffs Jan2022'!J59,0,IF($C$5*'Tariffs Jan2022'!AL59/'Tariffs Jan2022'!AJ59&lt;='Tariffs Jan2022'!K59,($C$5*'Tariffs Jan2022'!AL59/'Tariffs Jan2022'!AJ59-'Tariffs Jan2022'!J59)*('Tariffs Jan2022'!V59/100)*'Tariffs Jan2022'!AJ59,('Tariffs Jan2022'!K59-'Tariffs Jan2022'!J59)*('Tariffs Jan2022'!V59/100)*'Tariffs Jan2022'!AJ59))</f>
        <v>124.90636363636364</v>
      </c>
      <c r="L65" s="59">
        <f>IF($C$5*'Tariffs Jan2022'!AL59/'Tariffs Jan2022'!AJ59&lt;'Tariffs Jan2022'!K59,0,IF($C$5*'Tariffs Jan2022'!AL59/'Tariffs Jan2022'!AJ59&lt;='Tariffs Jan2022'!L59,($C$5*'Tariffs Jan2022'!AL59/'Tariffs Jan2022'!AJ59-'Tariffs Jan2022'!K59)*('Tariffs Jan2022'!W59/100)*'Tariffs Jan2022'!AJ59,('Tariffs Jan2022'!L59-'Tariffs Jan2022'!K59)*('Tariffs Jan2022'!W59/100)*'Tariffs Jan2022'!AJ59))</f>
        <v>0</v>
      </c>
      <c r="M65" s="59">
        <f>IF($C$5*'Tariffs Jan2022'!AL59/'Tariffs Jan2022'!AJ59&lt;'Tariffs Jan2022'!L59,0,IF($C$5*'Tariffs Jan2022'!AL59/'Tariffs Jan2022'!AJ59&lt;='Tariffs Jan2022'!M59,($C$5*'Tariffs Jan2022'!AL59/'Tariffs Jan2022'!AJ59-'Tariffs Jan2022'!L59)*('Tariffs Jan2022'!X59/100)*'Tariffs Jan2022'!AJ59,('Tariffs Jan2022'!M59-'Tariffs Jan2022'!L59)*('Tariffs Jan2022'!X59/100)*'Tariffs Jan2022'!AJ59))</f>
        <v>0</v>
      </c>
      <c r="N65" s="59">
        <f>IF(($C$5*'Tariffs Jan2022'!AL59/'Tariffs Jan2022'!AJ59&gt;'Tariffs Jan2022'!M59),($C$5*'Tariffs Jan2022'!AL59/'Tariffs Jan2022'!AJ59-'Tariffs Jan2022'!M59)*'Tariffs Jan2022'!Y59/100*'Tariffs Jan2022'!AJ59,0)</f>
        <v>578.86363636363626</v>
      </c>
      <c r="O65" s="59">
        <f t="shared" si="1"/>
        <v>1768.2436363636361</v>
      </c>
      <c r="P65" s="503">
        <f t="shared" si="2"/>
        <v>1945.068</v>
      </c>
      <c r="Q65" s="59">
        <f t="shared" si="3"/>
        <v>2049.9240909090909</v>
      </c>
      <c r="R65" s="272">
        <f t="shared" si="4"/>
        <v>2254.9165000000003</v>
      </c>
      <c r="S65" s="40">
        <f>'Tariffs Jan2022'!AN59</f>
        <v>32</v>
      </c>
      <c r="T65" s="40">
        <f>'Tariffs Jan2022'!AO59</f>
        <v>0</v>
      </c>
      <c r="U65" s="40">
        <f>'Tariffs Jan2022'!AP59</f>
        <v>0</v>
      </c>
      <c r="V65" s="40">
        <f>'Tariffs Jan2022'!AQ59</f>
        <v>0</v>
      </c>
      <c r="W65" s="537" t="str">
        <f t="shared" si="72"/>
        <v>Guaranteed off bill</v>
      </c>
      <c r="X65" s="538" t="str">
        <f t="shared" si="73"/>
        <v>Exclusive</v>
      </c>
      <c r="Y65" s="534">
        <f t="shared" si="80"/>
        <v>1393.9483818181818</v>
      </c>
      <c r="Z65" s="535">
        <f t="shared" si="81"/>
        <v>1393.9483818181818</v>
      </c>
      <c r="AA65" s="542">
        <f t="shared" si="71"/>
        <v>1533.3432200000002</v>
      </c>
      <c r="AB65" s="542">
        <f t="shared" si="71"/>
        <v>1533.3432200000002</v>
      </c>
      <c r="AC65" s="274">
        <f>'Tariffs Jan2022'!AZ59</f>
        <v>0</v>
      </c>
      <c r="AD65" s="274" t="str">
        <f>'Tariffs Jan2022'!BA59</f>
        <v>n</v>
      </c>
      <c r="AE65" s="275" t="str">
        <f>'Tariffs Jan2022'!BJ59</f>
        <v>N</v>
      </c>
      <c r="AF65" s="577"/>
      <c r="AG65" s="577"/>
      <c r="AH65" s="577"/>
      <c r="AI65" s="577"/>
      <c r="AJ65" s="577"/>
      <c r="AK65" s="577"/>
      <c r="AL65" s="577"/>
      <c r="AM65" s="577"/>
      <c r="AN65" s="577"/>
      <c r="AO65" s="577"/>
      <c r="AP65" s="577"/>
      <c r="AQ65" s="577"/>
      <c r="AR65" s="577"/>
      <c r="AS65" s="577"/>
      <c r="AT65" s="577"/>
      <c r="AU65" s="577"/>
      <c r="AV65" s="577"/>
      <c r="AW65" s="577"/>
    </row>
    <row r="66" spans="1:49" ht="14" x14ac:dyDescent="0.15">
      <c r="A66" s="270" t="str">
        <f>'Tariffs Jan2022'!F60</f>
        <v>GloBird Energy</v>
      </c>
      <c r="B66" s="40" t="str">
        <f>'Tariffs Jan2022'!D60</f>
        <v>AGN Central 2</v>
      </c>
      <c r="C66" s="40" t="str">
        <f>'Tariffs Jan2022'!G60</f>
        <v>GloSave</v>
      </c>
      <c r="D66" s="59">
        <f>365*'Tariffs Jan2022'!H60/100</f>
        <v>218.99999999999997</v>
      </c>
      <c r="E66" s="59">
        <f>IF($C$5*'Tariffs Jan2022'!AK60/'Tariffs Jan2022'!AI60&gt;='Tariffs Jan2022'!J60,( 'Tariffs Jan2022'!J60*'Tariffs Jan2022'!O60/100)* 'Tariffs Jan2022'!AI60,($C$5*'Tariffs Jan2022'!AK60/'Tariffs Jan2022'!AI60*'Tariffs Jan2022'!O60/100)* 'Tariffs Jan2022'!AI60)</f>
        <v>202.90909090909088</v>
      </c>
      <c r="F66" s="59">
        <f>IF($C$5*'Tariffs Jan2022'!AK60/'Tariffs Jan2022'!AI60&lt;'Tariffs Jan2022'!J60,0,IF($C$5*'Tariffs Jan2022'!AK60/'Tariffs Jan2022'!AI60&lt;='Tariffs Jan2022'!K60,($C$5*'Tariffs Jan2022'!AK60/'Tariffs Jan2022'!AI60-'Tariffs Jan2022'!J60)*('Tariffs Jan2022'!P60/100)*'Tariffs Jan2022'!AI60,('Tariffs Jan2022'!K60-'Tariffs Jan2022'!J60)*('Tariffs Jan2022'!P60/100)*'Tariffs Jan2022'!AI60))</f>
        <v>0</v>
      </c>
      <c r="G66" s="59">
        <f>IF($C$5*'Tariffs Jan2022'!AK60/'Tariffs Jan2022'!AI60&lt;'Tariffs Jan2022'!K60,0,IF($C$5*'Tariffs Jan2022'!AK60/'Tariffs Jan2022'!AI60&lt;='Tariffs Jan2022'!L60,($C$5*'Tariffs Jan2022'!AK60/'Tariffs Jan2022'!AI60-'Tariffs Jan2022'!K60)*('Tariffs Jan2022'!Q60/100)*'Tariffs Jan2022'!AI60,('Tariffs Jan2022'!L60-'Tariffs Jan2022'!K60)*('Tariffs Jan2022'!Q60/100)*'Tariffs Jan2022'!AI60))</f>
        <v>0</v>
      </c>
      <c r="H66" s="59">
        <f>IF($C$5*'Tariffs Jan2022'!AK60/'Tariffs Jan2022'!AI60&lt;'Tariffs Jan2022'!L60,0,IF($C$5*'Tariffs Jan2022'!AK60/'Tariffs Jan2022'!AI60&lt;='Tariffs Jan2022'!M60,($C$5*'Tariffs Jan2022'!AK60/'Tariffs Jan2022'!AI60-'Tariffs Jan2022'!L60)*('Tariffs Jan2022'!R60/100)*'Tariffs Jan2022'!AI60,('Tariffs Jan2022'!M60-'Tariffs Jan2022'!L60)*('Tariffs Jan2022'!R60/100)*'Tariffs Jan2022'!AI60))</f>
        <v>0</v>
      </c>
      <c r="I66" s="59">
        <f>IF(($C$5*'Tariffs Jan2022'!AK60/'Tariffs Jan2022'!AI60&gt;'Tariffs Jan2022'!M60),($C$5*'Tariffs Jan2022'!AK60/'Tariffs Jan2022'!AI60-'Tariffs Jan2022'!M60)*'Tariffs Jan2022'!S60/100*'Tariffs Jan2022'!AI60,0)</f>
        <v>394.77272727272725</v>
      </c>
      <c r="J66" s="59">
        <f>IF($C$5*'Tariffs Jan2022'!AL60/'Tariffs Jan2022'!AJ60&gt;='Tariffs Jan2022'!J60,('Tariffs Jan2022'!J60*'Tariffs Jan2022'!U60/100)* 'Tariffs Jan2022'!AJ60,($C$5*'Tariffs Jan2022'!AL60/'Tariffs Jan2022'!AJ60*'Tariffs Jan2022'!U60/100)* 'Tariffs Jan2022'!AJ60)</f>
        <v>202.90909090909088</v>
      </c>
      <c r="K66" s="59">
        <f>IF($C$5*'Tariffs Jan2022'!AL60/'Tariffs Jan2022'!AJ60&lt;'Tariffs Jan2022'!J60,0,IF($C$5*'Tariffs Jan2022'!AL60/'Tariffs Jan2022'!AJ60&lt;='Tariffs Jan2022'!K60,($C$5*'Tariffs Jan2022'!AL60/'Tariffs Jan2022'!AJ60-'Tariffs Jan2022'!J60)*('Tariffs Jan2022'!V60/100)*'Tariffs Jan2022'!AJ60,('Tariffs Jan2022'!K60-'Tariffs Jan2022'!J60)*('Tariffs Jan2022'!V60/100)*'Tariffs Jan2022'!AJ60))</f>
        <v>0</v>
      </c>
      <c r="L66" s="59">
        <f>IF($C$5*'Tariffs Jan2022'!AL60/'Tariffs Jan2022'!AJ60&lt;'Tariffs Jan2022'!K60,0,IF($C$5*'Tariffs Jan2022'!AL60/'Tariffs Jan2022'!AJ60&lt;='Tariffs Jan2022'!L60,($C$5*'Tariffs Jan2022'!AL60/'Tariffs Jan2022'!AJ60-'Tariffs Jan2022'!K60)*('Tariffs Jan2022'!W60/100)*'Tariffs Jan2022'!AJ60,('Tariffs Jan2022'!L60-'Tariffs Jan2022'!K60)*('Tariffs Jan2022'!W60/100)*'Tariffs Jan2022'!AJ60))</f>
        <v>0</v>
      </c>
      <c r="M66" s="59">
        <f>IF($C$5*'Tariffs Jan2022'!AL60/'Tariffs Jan2022'!AJ60&lt;'Tariffs Jan2022'!L60,0,IF($C$5*'Tariffs Jan2022'!AL60/'Tariffs Jan2022'!AJ60&lt;='Tariffs Jan2022'!M60,($C$5*'Tariffs Jan2022'!AL60/'Tariffs Jan2022'!AJ60-'Tariffs Jan2022'!L60)*('Tariffs Jan2022'!X60/100)*'Tariffs Jan2022'!AJ60,('Tariffs Jan2022'!M60-'Tariffs Jan2022'!L60)*('Tariffs Jan2022'!X60/100)*'Tariffs Jan2022'!AJ60))</f>
        <v>0</v>
      </c>
      <c r="N66" s="59">
        <f>IF(($C$5*'Tariffs Jan2022'!AL60/'Tariffs Jan2022'!AJ60&gt;'Tariffs Jan2022'!M60),($C$5*'Tariffs Jan2022'!AL60/'Tariffs Jan2022'!AJ60-'Tariffs Jan2022'!M60)*'Tariffs Jan2022'!Y60/100*'Tariffs Jan2022'!AJ60,0)</f>
        <v>394.77272727272725</v>
      </c>
      <c r="O66" s="59">
        <f t="shared" si="1"/>
        <v>1195.3636363636363</v>
      </c>
      <c r="P66" s="503">
        <f t="shared" si="2"/>
        <v>1314.9</v>
      </c>
      <c r="Q66" s="59">
        <f t="shared" si="3"/>
        <v>1414.3636363636363</v>
      </c>
      <c r="R66" s="272">
        <f t="shared" si="4"/>
        <v>1555.8</v>
      </c>
      <c r="S66" s="40">
        <f>'Tariffs Jan2022'!AN60</f>
        <v>0</v>
      </c>
      <c r="T66" s="40">
        <f>'Tariffs Jan2022'!AO60</f>
        <v>0</v>
      </c>
      <c r="U66" s="40">
        <f>'Tariffs Jan2022'!AP60</f>
        <v>0</v>
      </c>
      <c r="V66" s="40">
        <f>'Tariffs Jan2022'!AQ60</f>
        <v>0</v>
      </c>
      <c r="W66" s="537" t="str">
        <f t="shared" si="72"/>
        <v>No discount</v>
      </c>
      <c r="X66" s="538" t="str">
        <f t="shared" si="73"/>
        <v>Exclusive</v>
      </c>
      <c r="Y66" s="534">
        <f t="shared" si="80"/>
        <v>1414.3636363636363</v>
      </c>
      <c r="Z66" s="535">
        <f t="shared" si="81"/>
        <v>1414.3636363636363</v>
      </c>
      <c r="AA66" s="542">
        <f t="shared" si="71"/>
        <v>1555.8</v>
      </c>
      <c r="AB66" s="542">
        <f t="shared" si="71"/>
        <v>1555.8</v>
      </c>
      <c r="AC66" s="274">
        <f>'Tariffs Jan2022'!AZ60</f>
        <v>0</v>
      </c>
      <c r="AD66" s="274" t="str">
        <f>'Tariffs Jan2022'!BA60</f>
        <v>n</v>
      </c>
      <c r="AE66" s="275" t="str">
        <f>'Tariffs Jan2022'!BJ60</f>
        <v>N</v>
      </c>
      <c r="AF66" s="577"/>
      <c r="AG66" s="577"/>
      <c r="AH66" s="577"/>
      <c r="AI66" s="577"/>
      <c r="AJ66" s="577"/>
      <c r="AK66" s="577"/>
      <c r="AL66" s="577"/>
      <c r="AM66" s="577"/>
      <c r="AN66" s="577"/>
      <c r="AO66" s="577"/>
      <c r="AP66" s="577"/>
      <c r="AQ66" s="577"/>
      <c r="AR66" s="577"/>
      <c r="AS66" s="577"/>
      <c r="AT66" s="577"/>
      <c r="AU66" s="577"/>
      <c r="AV66" s="577"/>
      <c r="AW66" s="577"/>
    </row>
    <row r="67" spans="1:49" ht="14" x14ac:dyDescent="0.15">
      <c r="A67" s="270" t="str">
        <f>'Tariffs Jan2022'!F61</f>
        <v>Powershop</v>
      </c>
      <c r="B67" s="40" t="str">
        <f>'Tariffs Jan2022'!D61</f>
        <v>AGN Central 2</v>
      </c>
      <c r="C67" s="40" t="str">
        <f>'Tariffs Jan2022'!G61</f>
        <v>Market offer</v>
      </c>
      <c r="D67" s="59">
        <f>365*'Tariffs Jan2022'!H61/100</f>
        <v>247.8681818181818</v>
      </c>
      <c r="E67" s="59">
        <f>((C$5*'Tariffs Jan2022'!AK61/'Tariffs Jan2022'!AI61)*('Tariffs Jan2022'!O61/100))*'Tariffs Jan2022'!AI61</f>
        <v>566.99999999999989</v>
      </c>
      <c r="F67" s="59">
        <v>0</v>
      </c>
      <c r="G67" s="59">
        <v>0</v>
      </c>
      <c r="H67" s="59">
        <v>0</v>
      </c>
      <c r="I67" s="59">
        <v>0</v>
      </c>
      <c r="J67" s="59">
        <f>((C$5*'Tariffs Jan2022'!AL61/'Tariffs Jan2022'!AJ61)*('Tariffs Jan2022'!U61/100))*'Tariffs Jan2022'!AJ61</f>
        <v>566.99999999999989</v>
      </c>
      <c r="K67" s="59">
        <v>0</v>
      </c>
      <c r="L67" s="59">
        <v>0</v>
      </c>
      <c r="M67" s="59">
        <v>0</v>
      </c>
      <c r="N67" s="59">
        <v>0</v>
      </c>
      <c r="O67" s="59">
        <f t="shared" si="1"/>
        <v>1133.9999999999998</v>
      </c>
      <c r="P67" s="503">
        <f t="shared" si="2"/>
        <v>1247.3999999999999</v>
      </c>
      <c r="Q67" s="59">
        <f t="shared" si="3"/>
        <v>1381.8681818181815</v>
      </c>
      <c r="R67" s="272">
        <f t="shared" si="4"/>
        <v>1520.0549999999998</v>
      </c>
      <c r="S67" s="40">
        <f>'Tariffs Jan2022'!AN61</f>
        <v>0</v>
      </c>
      <c r="T67" s="40">
        <f>'Tariffs Jan2022'!AO61</f>
        <v>0</v>
      </c>
      <c r="U67" s="40">
        <f>'Tariffs Jan2022'!AP61</f>
        <v>0</v>
      </c>
      <c r="V67" s="40">
        <f>'Tariffs Jan2022'!AQ61</f>
        <v>0</v>
      </c>
      <c r="W67" s="537" t="str">
        <f t="shared" si="72"/>
        <v>No discount</v>
      </c>
      <c r="X67" s="538" t="str">
        <f t="shared" si="73"/>
        <v>Inclusive</v>
      </c>
      <c r="Y67" s="534">
        <f>IF(AND(W67="Guaranteed off bill",X67="Inclusive"),((Q67*1.1)-((Q67*1.1)*S67/100))/1.1,IF(AND(W67="Guaranteed off usage",X67="Inclusive"),((Q67*1.1)-((P67*1.1)*T67/100))/1.1,IF(AND(W67="Guaranteed off bill",X67="Exclusive"),Q67-(Q67*S67/100),IF(AND(W67="Guaranteed off usage",X67="Exclusive"),Q67-(P67*T67/100),IF(X67="Inclusive",((Q67*1.1))/1.1,Q67)))))</f>
        <v>1381.8681818181815</v>
      </c>
      <c r="Z67" s="535">
        <f>IF(AND(W67="Pay-on-time off bill",X67="Inclusive"),((Y67*1.1)-((Y67*1.1)*U67/100))/1.1,IF(AND(W67="Pay-on-time off usage",X67="Inclusive"),((Y67*1.1)-((P67*1.1)*V67/100))/1.1,IF(AND(W67="Pay-on-time off bill",X67="Exclusive"),Y67-(Y67*U67/100),IF(AND(W67="Pay-on-time off usage",X67="Exclusive"),Y67-(P67*V67/100),IF(X67="Inclusive",((Y67*1.1))/1.1,Y67)))))</f>
        <v>1381.8681818181815</v>
      </c>
      <c r="AA67" s="542">
        <f t="shared" si="71"/>
        <v>1520.0549999999998</v>
      </c>
      <c r="AB67" s="542">
        <f t="shared" si="71"/>
        <v>1520.0549999999998</v>
      </c>
      <c r="AC67" s="274">
        <f>'Tariffs Jan2022'!AZ61</f>
        <v>0</v>
      </c>
      <c r="AD67" s="274" t="str">
        <f>'Tariffs Jan2022'!BA61</f>
        <v>n</v>
      </c>
      <c r="AE67" s="275" t="str">
        <f>'Tariffs Jan2022'!BJ61</f>
        <v>Y</v>
      </c>
      <c r="AF67" s="577"/>
      <c r="AG67" s="577"/>
      <c r="AH67" s="577"/>
      <c r="AI67" s="577"/>
      <c r="AJ67" s="577"/>
      <c r="AK67" s="577"/>
      <c r="AL67" s="577"/>
      <c r="AM67" s="577"/>
      <c r="AN67" s="577"/>
      <c r="AO67" s="577"/>
      <c r="AP67" s="577"/>
      <c r="AQ67" s="577"/>
      <c r="AR67" s="577"/>
      <c r="AS67" s="577"/>
      <c r="AT67" s="577"/>
      <c r="AU67" s="577"/>
      <c r="AV67" s="577"/>
      <c r="AW67" s="577"/>
    </row>
    <row r="68" spans="1:49" ht="14" x14ac:dyDescent="0.15">
      <c r="A68" s="270" t="str">
        <f>'Tariffs Jan2022'!F62</f>
        <v>1st Energy</v>
      </c>
      <c r="B68" s="40" t="str">
        <f>'Tariffs Jan2022'!D62</f>
        <v>AGN Central 2</v>
      </c>
      <c r="C68" s="40" t="str">
        <f>'Tariffs Jan2022'!G62</f>
        <v>1st Saver Plus</v>
      </c>
      <c r="D68" s="59">
        <f>365*'Tariffs Jan2022'!H62/100</f>
        <v>266.45</v>
      </c>
      <c r="E68" s="59">
        <f>IF($C$5*'Tariffs Jan2022'!AK62/'Tariffs Jan2022'!AI62&gt;='Tariffs Jan2022'!J62,( 'Tariffs Jan2022'!J62*'Tariffs Jan2022'!O62/100)* 'Tariffs Jan2022'!AI62,($C$5*'Tariffs Jan2022'!AK62/'Tariffs Jan2022'!AI62*'Tariffs Jan2022'!O62/100)* 'Tariffs Jan2022'!AI62)</f>
        <v>144.46090909090907</v>
      </c>
      <c r="F68" s="59">
        <f>IF($C$5*'Tariffs Jan2022'!AK62/'Tariffs Jan2022'!AI62&lt;'Tariffs Jan2022'!J62,0,IF($C$5*'Tariffs Jan2022'!AK62/'Tariffs Jan2022'!AI62&lt;='Tariffs Jan2022'!K62,($C$5*'Tariffs Jan2022'!AK62/'Tariffs Jan2022'!AI62-'Tariffs Jan2022'!J62)*('Tariffs Jan2022'!P62/100)*'Tariffs Jan2022'!AI62,('Tariffs Jan2022'!K62-'Tariffs Jan2022'!J62)*('Tariffs Jan2022'!P62/100)*'Tariffs Jan2022'!AI62))</f>
        <v>103.47272727272725</v>
      </c>
      <c r="G68" s="59">
        <f>IF($C$5*'Tariffs Jan2022'!AK62/'Tariffs Jan2022'!AI62&lt;'Tariffs Jan2022'!K62,0,IF($C$5*'Tariffs Jan2022'!AK62/'Tariffs Jan2022'!AI62&lt;='Tariffs Jan2022'!L62,($C$5*'Tariffs Jan2022'!AK62/'Tariffs Jan2022'!AI62-'Tariffs Jan2022'!K62)*('Tariffs Jan2022'!Q62/100)*'Tariffs Jan2022'!AI62,('Tariffs Jan2022'!L62-'Tariffs Jan2022'!K62)*('Tariffs Jan2022'!Q62/100)*'Tariffs Jan2022'!AI62))</f>
        <v>0</v>
      </c>
      <c r="H68" s="59">
        <f>IF($C$5*'Tariffs Jan2022'!AK62/'Tariffs Jan2022'!AI62&lt;'Tariffs Jan2022'!L62,0,IF($C$5*'Tariffs Jan2022'!AK62/'Tariffs Jan2022'!AI62&lt;='Tariffs Jan2022'!M62,($C$5*'Tariffs Jan2022'!AK62/'Tariffs Jan2022'!AI62-'Tariffs Jan2022'!L62)*('Tariffs Jan2022'!R62/100)*'Tariffs Jan2022'!AI62,('Tariffs Jan2022'!M62-'Tariffs Jan2022'!L62)*('Tariffs Jan2022'!R62/100)*'Tariffs Jan2022'!AI62))</f>
        <v>0</v>
      </c>
      <c r="I68" s="59">
        <f>IF(($C$5*'Tariffs Jan2022'!AK62/'Tariffs Jan2022'!AI62&gt;'Tariffs Jan2022'!M62),($C$5*'Tariffs Jan2022'!AK62/'Tariffs Jan2022'!AI62-'Tariffs Jan2022'!M62)*'Tariffs Jan2022'!S62/100*'Tariffs Jan2022'!AI62,0)</f>
        <v>490.90909090909088</v>
      </c>
      <c r="J68" s="59">
        <f>IF($C$5*'Tariffs Jan2022'!AL62/'Tariffs Jan2022'!AJ62&gt;='Tariffs Jan2022'!J62,('Tariffs Jan2022'!J62*'Tariffs Jan2022'!U62/100)* 'Tariffs Jan2022'!AJ62,($C$5*'Tariffs Jan2022'!AL62/'Tariffs Jan2022'!AJ62*'Tariffs Jan2022'!U62/100)* 'Tariffs Jan2022'!AJ62)</f>
        <v>144.46090909090907</v>
      </c>
      <c r="K68" s="59">
        <f>IF($C$5*'Tariffs Jan2022'!AL62/'Tariffs Jan2022'!AJ62&lt;'Tariffs Jan2022'!J62,0,IF($C$5*'Tariffs Jan2022'!AL62/'Tariffs Jan2022'!AJ62&lt;='Tariffs Jan2022'!K62,($C$5*'Tariffs Jan2022'!AL62/'Tariffs Jan2022'!AJ62-'Tariffs Jan2022'!J62)*('Tariffs Jan2022'!V62/100)*'Tariffs Jan2022'!AJ62,('Tariffs Jan2022'!K62-'Tariffs Jan2022'!J62)*('Tariffs Jan2022'!V62/100)*'Tariffs Jan2022'!AJ62))</f>
        <v>103.47272727272725</v>
      </c>
      <c r="L68" s="59">
        <f>IF($C$5*'Tariffs Jan2022'!AL62/'Tariffs Jan2022'!AJ62&lt;'Tariffs Jan2022'!K62,0,IF($C$5*'Tariffs Jan2022'!AL62/'Tariffs Jan2022'!AJ62&lt;='Tariffs Jan2022'!L62,($C$5*'Tariffs Jan2022'!AL62/'Tariffs Jan2022'!AJ62-'Tariffs Jan2022'!K62)*('Tariffs Jan2022'!W62/100)*'Tariffs Jan2022'!AJ62,('Tariffs Jan2022'!L62-'Tariffs Jan2022'!K62)*('Tariffs Jan2022'!W62/100)*'Tariffs Jan2022'!AJ62))</f>
        <v>0</v>
      </c>
      <c r="M68" s="59">
        <f>IF($C$5*'Tariffs Jan2022'!AL62/'Tariffs Jan2022'!AJ62&lt;'Tariffs Jan2022'!L62,0,IF($C$5*'Tariffs Jan2022'!AL62/'Tariffs Jan2022'!AJ62&lt;='Tariffs Jan2022'!M62,($C$5*'Tariffs Jan2022'!AL62/'Tariffs Jan2022'!AJ62-'Tariffs Jan2022'!L62)*('Tariffs Jan2022'!X62/100)*'Tariffs Jan2022'!AJ62,('Tariffs Jan2022'!M62-'Tariffs Jan2022'!L62)*('Tariffs Jan2022'!X62/100)*'Tariffs Jan2022'!AJ62))</f>
        <v>0</v>
      </c>
      <c r="N68" s="59">
        <f>IF(($C$5*'Tariffs Jan2022'!AL62/'Tariffs Jan2022'!AJ62&gt;'Tariffs Jan2022'!M62),($C$5*'Tariffs Jan2022'!AL62/'Tariffs Jan2022'!AJ62-'Tariffs Jan2022'!M62)*'Tariffs Jan2022'!Y62/100*'Tariffs Jan2022'!AJ62,0)</f>
        <v>490.90909090909088</v>
      </c>
      <c r="O68" s="59">
        <f t="shared" si="1"/>
        <v>1477.6854545454544</v>
      </c>
      <c r="P68" s="503">
        <f t="shared" si="2"/>
        <v>1625.454</v>
      </c>
      <c r="Q68" s="59">
        <f t="shared" si="3"/>
        <v>1744.1354545454544</v>
      </c>
      <c r="R68" s="272">
        <f t="shared" si="4"/>
        <v>1918.549</v>
      </c>
      <c r="S68" s="40">
        <f>'Tariffs Jan2022'!AN62</f>
        <v>0</v>
      </c>
      <c r="T68" s="40">
        <f>'Tariffs Jan2022'!AO62</f>
        <v>12</v>
      </c>
      <c r="U68" s="40">
        <f>'Tariffs Jan2022'!AP62</f>
        <v>0</v>
      </c>
      <c r="V68" s="40">
        <f>'Tariffs Jan2022'!AQ62</f>
        <v>3</v>
      </c>
      <c r="W68" s="537" t="str">
        <f t="shared" si="72"/>
        <v>Guaranteed off usage</v>
      </c>
      <c r="X68" s="538" t="str">
        <f t="shared" si="73"/>
        <v>Exclusive</v>
      </c>
      <c r="Y68" s="534">
        <f>Q68-(P68*T68)/100</f>
        <v>1549.0809745454544</v>
      </c>
      <c r="Z68" s="535">
        <f>Y68-(P68*V68)/100</f>
        <v>1500.3173545454545</v>
      </c>
      <c r="AA68" s="542">
        <f t="shared" si="71"/>
        <v>1703.9890720000001</v>
      </c>
      <c r="AB68" s="542">
        <f t="shared" si="71"/>
        <v>1650.3490899999999</v>
      </c>
      <c r="AC68" s="274">
        <f>'Tariffs Jan2022'!AZ62</f>
        <v>0</v>
      </c>
      <c r="AD68" s="274" t="str">
        <f>'Tariffs Jan2022'!BA62</f>
        <v>n</v>
      </c>
      <c r="AE68" s="275" t="str">
        <f>'Tariffs Jan2022'!BJ62</f>
        <v>Y</v>
      </c>
      <c r="AF68" s="577"/>
      <c r="AG68" s="577"/>
      <c r="AH68" s="577"/>
      <c r="AI68" s="577"/>
      <c r="AJ68" s="577"/>
      <c r="AK68" s="577"/>
      <c r="AL68" s="577"/>
      <c r="AM68" s="577"/>
      <c r="AN68" s="577"/>
      <c r="AO68" s="577"/>
      <c r="AP68" s="577"/>
      <c r="AQ68" s="577"/>
      <c r="AR68" s="577"/>
      <c r="AS68" s="577"/>
      <c r="AT68" s="577"/>
      <c r="AU68" s="577"/>
      <c r="AV68" s="577"/>
      <c r="AW68" s="577"/>
    </row>
    <row r="69" spans="1:49" ht="14" x14ac:dyDescent="0.15">
      <c r="A69" s="270" t="str">
        <f>'Tariffs Jan2022'!F63</f>
        <v>Kogan Energy</v>
      </c>
      <c r="B69" s="40" t="str">
        <f>'Tariffs Jan2022'!D63</f>
        <v>AGN Central 2</v>
      </c>
      <c r="C69" s="40" t="str">
        <f>'Tariffs Jan2022'!G63</f>
        <v>Kogan First</v>
      </c>
      <c r="D69" s="59">
        <f>365*'Tariffs Jan2022'!H63/100</f>
        <v>216.87636363636364</v>
      </c>
      <c r="E69" s="59">
        <f>((C$5*'Tariffs Jan2022'!AK63/'Tariffs Jan2022'!AI63)*('Tariffs Jan2022'!O63/100))*'Tariffs Jan2022'!AI63</f>
        <v>615.68181818181802</v>
      </c>
      <c r="F69" s="59">
        <v>0</v>
      </c>
      <c r="G69" s="59">
        <v>0</v>
      </c>
      <c r="H69" s="59">
        <v>0</v>
      </c>
      <c r="I69" s="59">
        <v>0</v>
      </c>
      <c r="J69" s="59">
        <f>((C$5*'Tariffs Jan2022'!AL63/'Tariffs Jan2022'!AJ63)*('Tariffs Jan2022'!U63/100))*'Tariffs Jan2022'!AJ63</f>
        <v>615.68181818181802</v>
      </c>
      <c r="K69" s="59">
        <v>0</v>
      </c>
      <c r="L69" s="59">
        <v>0</v>
      </c>
      <c r="M69" s="59">
        <v>0</v>
      </c>
      <c r="N69" s="59">
        <v>0</v>
      </c>
      <c r="O69" s="59">
        <f t="shared" si="1"/>
        <v>1231.363636363636</v>
      </c>
      <c r="P69" s="503">
        <f t="shared" si="2"/>
        <v>1354.4999999999998</v>
      </c>
      <c r="Q69" s="59">
        <f t="shared" si="3"/>
        <v>1448.2399999999998</v>
      </c>
      <c r="R69" s="272">
        <f t="shared" si="4"/>
        <v>1593.0639999999999</v>
      </c>
      <c r="S69" s="40">
        <f>'Tariffs Jan2022'!AN63</f>
        <v>0</v>
      </c>
      <c r="T69" s="40">
        <f>'Tariffs Jan2022'!AO63</f>
        <v>0</v>
      </c>
      <c r="U69" s="40">
        <f>'Tariffs Jan2022'!AP63</f>
        <v>0</v>
      </c>
      <c r="V69" s="40">
        <f>'Tariffs Jan2022'!AQ63</f>
        <v>0</v>
      </c>
      <c r="W69" s="537" t="str">
        <f t="shared" si="72"/>
        <v>No discount</v>
      </c>
      <c r="X69" s="538" t="str">
        <f t="shared" si="73"/>
        <v>Exclusive</v>
      </c>
      <c r="Y69" s="534">
        <f t="shared" ref="Y69:Y70" si="82">IF(AND(W69="Guaranteed off bill",X69="Inclusive"),((Q69*1.1)-((Q69*1.1)*S69/100))/1.1,IF(AND(W69="Guaranteed off usage",X69="Inclusive"),((Q69*1.1)-((P69*1.1)*T69/100))/1.1,IF(AND(W69="Guaranteed off bill",X69="Exclusive"),Q69-(Q69*S69/100),IF(AND(W69="Guaranteed off usage",X69="Exclusive"),Q69-(P69*T69/100),IF(X69="Inclusive",((Q69*1.1))/1.1,Q69)))))</f>
        <v>1448.2399999999998</v>
      </c>
      <c r="Z69" s="535">
        <f t="shared" ref="Z69:Z70" si="83">IF(AND(W69="Pay-on-time off bill",X69="Inclusive"),((Y69*1.1)-((Y69*1.1)*U69/100))/1.1,IF(AND(W69="Pay-on-time off usage",X69="Inclusive"),((Y69*1.1)-((P69*1.1)*V69/100))/1.1,IF(AND(W69="Pay-on-time off bill",X69="Exclusive"),Y69-(Y69*U69/100),IF(AND(W69="Pay-on-time off usage",X69="Exclusive"),Y69-(P69*V69/100),IF(X69="Inclusive",((Y69*1.1))/1.1,Y69)))))</f>
        <v>1448.2399999999998</v>
      </c>
      <c r="AA69" s="542">
        <f t="shared" si="71"/>
        <v>1593.0639999999999</v>
      </c>
      <c r="AB69" s="542">
        <f t="shared" si="71"/>
        <v>1593.0639999999999</v>
      </c>
      <c r="AC69" s="274">
        <f>'Tariffs Jan2022'!AZ63</f>
        <v>0</v>
      </c>
      <c r="AD69" s="274" t="str">
        <f>'Tariffs Jan2022'!BA63</f>
        <v>n</v>
      </c>
      <c r="AE69" s="275" t="str">
        <f>'Tariffs Jan2022'!BJ63</f>
        <v>Y</v>
      </c>
      <c r="AF69" s="577"/>
      <c r="AG69" s="577"/>
      <c r="AH69" s="577"/>
      <c r="AI69" s="577"/>
      <c r="AJ69" s="577"/>
      <c r="AK69" s="577"/>
      <c r="AL69" s="577"/>
      <c r="AM69" s="577"/>
      <c r="AN69" s="577"/>
      <c r="AO69" s="577"/>
      <c r="AP69" s="577"/>
      <c r="AQ69" s="577"/>
      <c r="AR69" s="577"/>
      <c r="AS69" s="577"/>
      <c r="AT69" s="577"/>
      <c r="AU69" s="577"/>
      <c r="AV69" s="577"/>
      <c r="AW69" s="577"/>
    </row>
    <row r="70" spans="1:49" ht="14" x14ac:dyDescent="0.15">
      <c r="A70" s="270" t="str">
        <f>'Tariffs Jan2022'!F64</f>
        <v>Tango Energy</v>
      </c>
      <c r="B70" s="40" t="str">
        <f>'Tariffs Jan2022'!D64</f>
        <v>AGN Central 2</v>
      </c>
      <c r="C70" s="40" t="str">
        <f>'Tariffs Jan2022'!G64</f>
        <v>Home Select</v>
      </c>
      <c r="D70" s="59">
        <f>365*'Tariffs Jan2022'!H64/100</f>
        <v>273.75</v>
      </c>
      <c r="E70" s="59">
        <f>IF($C$5*'Tariffs Jan2022'!AK64/'Tariffs Jan2022'!AI64&gt;='Tariffs Jan2022'!J64,( 'Tariffs Jan2022'!J64*'Tariffs Jan2022'!O64/100)* 'Tariffs Jan2022'!AI64,($C$5*'Tariffs Jan2022'!AK64/'Tariffs Jan2022'!AI64*'Tariffs Jan2022'!O64/100)* 'Tariffs Jan2022'!AI64)</f>
        <v>82.997727272727275</v>
      </c>
      <c r="F70" s="59">
        <f>IF($C$5*'Tariffs Jan2022'!AK64/'Tariffs Jan2022'!AI64&lt;'Tariffs Jan2022'!J64,0,IF($C$5*'Tariffs Jan2022'!AK64/'Tariffs Jan2022'!AI64&lt;='Tariffs Jan2022'!K64,($C$5*'Tariffs Jan2022'!AK64/'Tariffs Jan2022'!AI64-'Tariffs Jan2022'!J64)*('Tariffs Jan2022'!P64/100)*'Tariffs Jan2022'!AI64,('Tariffs Jan2022'!K64-'Tariffs Jan2022'!J64)*('Tariffs Jan2022'!P64/100)*'Tariffs Jan2022'!AI64))</f>
        <v>60.974999999999987</v>
      </c>
      <c r="G70" s="59">
        <f>IF($C$5*'Tariffs Jan2022'!AK64/'Tariffs Jan2022'!AI64&lt;'Tariffs Jan2022'!K64,0,IF($C$5*'Tariffs Jan2022'!AK64/'Tariffs Jan2022'!AI64&lt;='Tariffs Jan2022'!L64,($C$5*'Tariffs Jan2022'!AK64/'Tariffs Jan2022'!AI64-'Tariffs Jan2022'!K64)*('Tariffs Jan2022'!Q64/100)*'Tariffs Jan2022'!AI64,('Tariffs Jan2022'!L64-'Tariffs Jan2022'!K64)*('Tariffs Jan2022'!Q64/100)*'Tariffs Jan2022'!AI64))</f>
        <v>0</v>
      </c>
      <c r="H70" s="59">
        <f>IF($C$5*'Tariffs Jan2022'!AK64/'Tariffs Jan2022'!AI64&lt;'Tariffs Jan2022'!L64,0,IF($C$5*'Tariffs Jan2022'!AK64/'Tariffs Jan2022'!AI64&lt;='Tariffs Jan2022'!M64,($C$5*'Tariffs Jan2022'!AK64/'Tariffs Jan2022'!AI64-'Tariffs Jan2022'!L64)*('Tariffs Jan2022'!R64/100)*'Tariffs Jan2022'!AI64,('Tariffs Jan2022'!M64-'Tariffs Jan2022'!L64)*('Tariffs Jan2022'!R64/100)*'Tariffs Jan2022'!AI64))</f>
        <v>0</v>
      </c>
      <c r="I70" s="59">
        <f>IF(($C$5*'Tariffs Jan2022'!AK64/'Tariffs Jan2022'!AI64&gt;'Tariffs Jan2022'!M64),($C$5*'Tariffs Jan2022'!AK64/'Tariffs Jan2022'!AI64-'Tariffs Jan2022'!M64)*'Tariffs Jan2022'!S64/100*'Tariffs Jan2022'!AI64,0)</f>
        <v>288.40909090909093</v>
      </c>
      <c r="J70" s="59">
        <f>IF($C$5*'Tariffs Jan2022'!AL64/'Tariffs Jan2022'!AJ64&gt;='Tariffs Jan2022'!J64,('Tariffs Jan2022'!J64*'Tariffs Jan2022'!U64/100)* 'Tariffs Jan2022'!AJ64,($C$5*'Tariffs Jan2022'!AL64/'Tariffs Jan2022'!AJ64*'Tariffs Jan2022'!U64/100)* 'Tariffs Jan2022'!AJ64)</f>
        <v>82.997727272727275</v>
      </c>
      <c r="K70" s="59">
        <f>IF($C$5*'Tariffs Jan2022'!AL64/'Tariffs Jan2022'!AJ64&lt;'Tariffs Jan2022'!J64,0,IF($C$5*'Tariffs Jan2022'!AL64/'Tariffs Jan2022'!AJ64&lt;='Tariffs Jan2022'!K64,($C$5*'Tariffs Jan2022'!AL64/'Tariffs Jan2022'!AJ64-'Tariffs Jan2022'!J64)*('Tariffs Jan2022'!V64/100)*'Tariffs Jan2022'!AJ64,('Tariffs Jan2022'!K64-'Tariffs Jan2022'!J64)*('Tariffs Jan2022'!V64/100)*'Tariffs Jan2022'!AJ64))</f>
        <v>60.974999999999987</v>
      </c>
      <c r="L70" s="59">
        <f>IF($C$5*'Tariffs Jan2022'!AL64/'Tariffs Jan2022'!AJ64&lt;'Tariffs Jan2022'!K64,0,IF($C$5*'Tariffs Jan2022'!AL64/'Tariffs Jan2022'!AJ64&lt;='Tariffs Jan2022'!L64,($C$5*'Tariffs Jan2022'!AL64/'Tariffs Jan2022'!AJ64-'Tariffs Jan2022'!K64)*('Tariffs Jan2022'!W64/100)*'Tariffs Jan2022'!AJ64,('Tariffs Jan2022'!L64-'Tariffs Jan2022'!K64)*('Tariffs Jan2022'!W64/100)*'Tariffs Jan2022'!AJ64))</f>
        <v>0</v>
      </c>
      <c r="M70" s="59">
        <f>IF($C$5*'Tariffs Jan2022'!AL64/'Tariffs Jan2022'!AJ64&lt;'Tariffs Jan2022'!L64,0,IF($C$5*'Tariffs Jan2022'!AL64/'Tariffs Jan2022'!AJ64&lt;='Tariffs Jan2022'!M64,($C$5*'Tariffs Jan2022'!AL64/'Tariffs Jan2022'!AJ64-'Tariffs Jan2022'!L64)*('Tariffs Jan2022'!X64/100)*'Tariffs Jan2022'!AJ64,('Tariffs Jan2022'!M64-'Tariffs Jan2022'!L64)*('Tariffs Jan2022'!X64/100)*'Tariffs Jan2022'!AJ64))</f>
        <v>0</v>
      </c>
      <c r="N70" s="59">
        <f>IF(($C$5*'Tariffs Jan2022'!AL64/'Tariffs Jan2022'!AJ64&gt;'Tariffs Jan2022'!M64),($C$5*'Tariffs Jan2022'!AL64/'Tariffs Jan2022'!AJ64-'Tariffs Jan2022'!M64)*'Tariffs Jan2022'!Y64/100*'Tariffs Jan2022'!AJ64,0)</f>
        <v>288.40909090909093</v>
      </c>
      <c r="O70" s="59">
        <f>SUM(E70:N70)</f>
        <v>864.76363636363635</v>
      </c>
      <c r="P70" s="503">
        <f t="shared" si="2"/>
        <v>951.24</v>
      </c>
      <c r="Q70" s="59">
        <f>D70+O70</f>
        <v>1138.5136363636364</v>
      </c>
      <c r="R70" s="272">
        <f>Q70*1.1</f>
        <v>1252.365</v>
      </c>
      <c r="S70" s="40">
        <f>'Tariffs Jan2022'!AN64</f>
        <v>0</v>
      </c>
      <c r="T70" s="40">
        <f>'Tariffs Jan2022'!AO64</f>
        <v>0</v>
      </c>
      <c r="U70" s="40">
        <f>'Tariffs Jan2022'!AP64</f>
        <v>0</v>
      </c>
      <c r="V70" s="40">
        <f>'Tariffs Jan2022'!AQ64</f>
        <v>0</v>
      </c>
      <c r="W70" s="537" t="str">
        <f t="shared" si="72"/>
        <v>No discount</v>
      </c>
      <c r="X70" s="538" t="str">
        <f t="shared" si="73"/>
        <v>Exclusive</v>
      </c>
      <c r="Y70" s="534">
        <f t="shared" si="82"/>
        <v>1138.5136363636364</v>
      </c>
      <c r="Z70" s="535">
        <f t="shared" si="83"/>
        <v>1138.5136363636364</v>
      </c>
      <c r="AA70" s="542">
        <f t="shared" si="71"/>
        <v>1252.365</v>
      </c>
      <c r="AB70" s="542">
        <f t="shared" si="71"/>
        <v>1252.365</v>
      </c>
      <c r="AC70" s="274">
        <f>'Tariffs Jan2022'!AZ64</f>
        <v>0</v>
      </c>
      <c r="AD70" s="274" t="str">
        <f>'Tariffs Jan2022'!BA64</f>
        <v>n</v>
      </c>
      <c r="AE70" s="275" t="str">
        <f>'Tariffs Jan2022'!BJ64</f>
        <v>N</v>
      </c>
      <c r="AF70" s="577"/>
      <c r="AG70" s="577"/>
      <c r="AH70" s="577"/>
      <c r="AI70" s="577"/>
      <c r="AJ70" s="577"/>
      <c r="AK70" s="577"/>
      <c r="AL70" s="577"/>
      <c r="AM70" s="577"/>
      <c r="AN70" s="577"/>
      <c r="AO70" s="577"/>
      <c r="AP70" s="577"/>
      <c r="AQ70" s="577"/>
      <c r="AR70" s="577"/>
      <c r="AS70" s="577"/>
      <c r="AT70" s="577"/>
      <c r="AU70" s="577"/>
      <c r="AV70" s="577"/>
      <c r="AW70" s="577"/>
    </row>
    <row r="71" spans="1:49" ht="15" thickBot="1" x14ac:dyDescent="0.2">
      <c r="A71" s="276" t="str">
        <f>'Tariffs Jan2022'!F65</f>
        <v>Discover Energy</v>
      </c>
      <c r="B71" s="277" t="str">
        <f>'Tariffs Jan2022'!D65</f>
        <v>AGN Central 2</v>
      </c>
      <c r="C71" s="277" t="str">
        <f>'Tariffs Jan2022'!G65</f>
        <v>Budget Offer</v>
      </c>
      <c r="D71" s="278">
        <f>365*'Tariffs Jan2022'!H65/100</f>
        <v>218.66818181818181</v>
      </c>
      <c r="E71" s="278">
        <f>IF($C$5*'Tariffs Jan2022'!AK65/'Tariffs Jan2022'!AI65&gt;='Tariffs Jan2022'!J65,( 'Tariffs Jan2022'!J65*'Tariffs Jan2022'!O65/100)* 'Tariffs Jan2022'!AI65,($C$5*'Tariffs Jan2022'!AK65/'Tariffs Jan2022'!AI65*'Tariffs Jan2022'!O65/100)* 'Tariffs Jan2022'!AI65)</f>
        <v>129.65590909090909</v>
      </c>
      <c r="F71" s="278">
        <f>IF($C$5*'Tariffs Jan2022'!AK65/'Tariffs Jan2022'!AI65&lt;'Tariffs Jan2022'!J65,0,IF($C$5*'Tariffs Jan2022'!AK65/'Tariffs Jan2022'!AI65&lt;='Tariffs Jan2022'!K65,($C$5*'Tariffs Jan2022'!AK65/'Tariffs Jan2022'!AI65-'Tariffs Jan2022'!J65)*('Tariffs Jan2022'!P65/100)*'Tariffs Jan2022'!AI65,('Tariffs Jan2022'!K65-'Tariffs Jan2022'!J65)*('Tariffs Jan2022'!P65/100)*'Tariffs Jan2022'!AI65))</f>
        <v>101.25545454545454</v>
      </c>
      <c r="G71" s="278">
        <f>IF($C$5*'Tariffs Jan2022'!AK65/'Tariffs Jan2022'!AI65&lt;'Tariffs Jan2022'!K65,0,IF($C$5*'Tariffs Jan2022'!AK65/'Tariffs Jan2022'!AI65&lt;='Tariffs Jan2022'!L65,($C$5*'Tariffs Jan2022'!AK65/'Tariffs Jan2022'!AI65-'Tariffs Jan2022'!K65)*('Tariffs Jan2022'!Q65/100)*'Tariffs Jan2022'!AI65,('Tariffs Jan2022'!L65-'Tariffs Jan2022'!K65)*('Tariffs Jan2022'!Q65/100)*'Tariffs Jan2022'!AI65))</f>
        <v>0</v>
      </c>
      <c r="H71" s="278">
        <f>IF($C$5*'Tariffs Jan2022'!AK65/'Tariffs Jan2022'!AI65&lt;'Tariffs Jan2022'!L65,0,IF($C$5*'Tariffs Jan2022'!AK65/'Tariffs Jan2022'!AI65&lt;='Tariffs Jan2022'!M65,($C$5*'Tariffs Jan2022'!AK65/'Tariffs Jan2022'!AI65-'Tariffs Jan2022'!L65)*('Tariffs Jan2022'!R65/100)*'Tariffs Jan2022'!AI65,('Tariffs Jan2022'!M65-'Tariffs Jan2022'!L65)*('Tariffs Jan2022'!R65/100)*'Tariffs Jan2022'!AI65))</f>
        <v>0</v>
      </c>
      <c r="I71" s="278">
        <f>IF(($C$5*'Tariffs Jan2022'!AK65/'Tariffs Jan2022'!AI65&gt;'Tariffs Jan2022'!M65),($C$5*'Tariffs Jan2022'!AK65/'Tariffs Jan2022'!AI65-'Tariffs Jan2022'!M65)*'Tariffs Jan2022'!S65/100*'Tariffs Jan2022'!AI65,0)</f>
        <v>429.54545454545456</v>
      </c>
      <c r="J71" s="278">
        <f>IF($C$5*'Tariffs Jan2022'!AL65/'Tariffs Jan2022'!AJ65&gt;='Tariffs Jan2022'!J65,('Tariffs Jan2022'!J65*'Tariffs Jan2022'!U65/100)* 'Tariffs Jan2022'!AJ65,($C$5*'Tariffs Jan2022'!AL65/'Tariffs Jan2022'!AJ65*'Tariffs Jan2022'!U65/100)* 'Tariffs Jan2022'!AJ65)</f>
        <v>129.65590909090909</v>
      </c>
      <c r="K71" s="278">
        <f>IF($C$5*'Tariffs Jan2022'!AL65/'Tariffs Jan2022'!AJ65&lt;'Tariffs Jan2022'!J65,0,IF($C$5*'Tariffs Jan2022'!AL65/'Tariffs Jan2022'!AJ65&lt;='Tariffs Jan2022'!K65,($C$5*'Tariffs Jan2022'!AL65/'Tariffs Jan2022'!AJ65-'Tariffs Jan2022'!J65)*('Tariffs Jan2022'!V65/100)*'Tariffs Jan2022'!AJ65,('Tariffs Jan2022'!K65-'Tariffs Jan2022'!J65)*('Tariffs Jan2022'!V65/100)*'Tariffs Jan2022'!AJ65))</f>
        <v>101.25545454545454</v>
      </c>
      <c r="L71" s="278">
        <f>IF($C$5*'Tariffs Jan2022'!AL65/'Tariffs Jan2022'!AJ65&lt;'Tariffs Jan2022'!K65,0,IF($C$5*'Tariffs Jan2022'!AL65/'Tariffs Jan2022'!AJ65&lt;='Tariffs Jan2022'!L65,($C$5*'Tariffs Jan2022'!AL65/'Tariffs Jan2022'!AJ65-'Tariffs Jan2022'!K65)*('Tariffs Jan2022'!W65/100)*'Tariffs Jan2022'!AJ65,('Tariffs Jan2022'!L65-'Tariffs Jan2022'!K65)*('Tariffs Jan2022'!W65/100)*'Tariffs Jan2022'!AJ65))</f>
        <v>0</v>
      </c>
      <c r="M71" s="278">
        <f>IF($C$5*'Tariffs Jan2022'!AL65/'Tariffs Jan2022'!AJ65&lt;'Tariffs Jan2022'!L65,0,IF($C$5*'Tariffs Jan2022'!AL65/'Tariffs Jan2022'!AJ65&lt;='Tariffs Jan2022'!M65,($C$5*'Tariffs Jan2022'!AL65/'Tariffs Jan2022'!AJ65-'Tariffs Jan2022'!L65)*('Tariffs Jan2022'!X65/100)*'Tariffs Jan2022'!AJ65,('Tariffs Jan2022'!M65-'Tariffs Jan2022'!L65)*('Tariffs Jan2022'!X65/100)*'Tariffs Jan2022'!AJ65))</f>
        <v>0</v>
      </c>
      <c r="N71" s="278">
        <f>IF(($C$5*'Tariffs Jan2022'!AL65/'Tariffs Jan2022'!AJ65&gt;'Tariffs Jan2022'!M65),($C$5*'Tariffs Jan2022'!AL65/'Tariffs Jan2022'!AJ65-'Tariffs Jan2022'!M65)*'Tariffs Jan2022'!Y65/100*'Tariffs Jan2022'!AJ65,0)</f>
        <v>429.54545454545456</v>
      </c>
      <c r="O71" s="278">
        <f>SUM(E71:N71)</f>
        <v>1320.9136363636364</v>
      </c>
      <c r="P71" s="504">
        <f t="shared" ref="P71" si="84">O71*1.1</f>
        <v>1453.0050000000001</v>
      </c>
      <c r="Q71" s="278">
        <f>D71+O71</f>
        <v>1539.5818181818183</v>
      </c>
      <c r="R71" s="280">
        <f>Q71*1.1</f>
        <v>1693.5400000000004</v>
      </c>
      <c r="S71" s="277">
        <f>'Tariffs Jan2022'!AN65</f>
        <v>0</v>
      </c>
      <c r="T71" s="277">
        <f>'Tariffs Jan2022'!AO65</f>
        <v>22</v>
      </c>
      <c r="U71" s="277">
        <f>'Tariffs Jan2022'!AP65</f>
        <v>0</v>
      </c>
      <c r="V71" s="277">
        <f>'Tariffs Jan2022'!AQ65</f>
        <v>0</v>
      </c>
      <c r="W71" s="540" t="str">
        <f t="shared" ref="W71" si="85">IF(SUM(S71:V71)=0,"No discount",IF(S71&gt;0,"Guaranteed off bill",IF(T71&gt;0,"Guaranteed off usage",IF(U71&gt;0,"Pay-on-time off bill","Pay-on-time off usage"))))</f>
        <v>Guaranteed off usage</v>
      </c>
      <c r="X71" s="541" t="str">
        <f t="shared" ref="X71" si="86">IF(OR(A71="Origin Energy",A71="Red Energy",A71="Powershop"),"Inclusive","Exclusive")</f>
        <v>Exclusive</v>
      </c>
      <c r="Y71" s="543">
        <f t="shared" ref="Y71" si="87">IF(AND(W71="Guaranteed off bill",X71="Inclusive"),((Q71*1.1)-((Q71*1.1)*S71/100))/1.1,IF(AND(W71="Guaranteed off usage",X71="Inclusive"),((Q71*1.1)-((P71*1.1)*T71/100))/1.1,IF(AND(W71="Guaranteed off bill",X71="Exclusive"),Q71-(Q71*S71/100),IF(AND(W71="Guaranteed off usage",X71="Exclusive"),Q71-(P71*T71/100),IF(X71="Inclusive",((Q71*1.1))/1.1,Q71)))))</f>
        <v>1219.9207181818183</v>
      </c>
      <c r="Z71" s="544">
        <f t="shared" ref="Z71" si="88">IF(AND(W71="Pay-on-time off bill",X71="Inclusive"),((Y71*1.1)-((Y71*1.1)*U71/100))/1.1,IF(AND(W71="Pay-on-time off usage",X71="Inclusive"),((Y71*1.1)-((P71*1.1)*V71/100))/1.1,IF(AND(W71="Pay-on-time off bill",X71="Exclusive"),Y71-(Y71*U71/100),IF(AND(W71="Pay-on-time off usage",X71="Exclusive"),Y71-(P71*V71/100),IF(X71="Inclusive",((Y71*1.1))/1.1,Y71)))))</f>
        <v>1219.9207181818183</v>
      </c>
      <c r="AA71" s="545">
        <f t="shared" ref="AA71" si="89">Y71*1.1</f>
        <v>1341.9127900000003</v>
      </c>
      <c r="AB71" s="545">
        <f t="shared" ref="AB71" si="90">Z71*1.1</f>
        <v>1341.9127900000003</v>
      </c>
      <c r="AC71" s="282">
        <f>'Tariffs Jan2022'!AZ65</f>
        <v>0</v>
      </c>
      <c r="AD71" s="282" t="str">
        <f>'Tariffs Jan2022'!BA65</f>
        <v>n</v>
      </c>
      <c r="AE71" s="283" t="str">
        <f>'Tariffs Jan2022'!BJ65</f>
        <v>N</v>
      </c>
      <c r="AF71" s="577"/>
      <c r="AG71" s="577"/>
      <c r="AH71" s="577"/>
      <c r="AI71" s="577"/>
      <c r="AJ71" s="577"/>
      <c r="AK71" s="577"/>
      <c r="AL71" s="577"/>
      <c r="AM71" s="577"/>
      <c r="AN71" s="577"/>
      <c r="AO71" s="577"/>
      <c r="AP71" s="577"/>
      <c r="AQ71" s="577"/>
      <c r="AR71" s="577"/>
      <c r="AS71" s="577"/>
      <c r="AT71" s="577"/>
      <c r="AU71" s="577"/>
      <c r="AV71" s="577"/>
      <c r="AW71" s="577"/>
    </row>
    <row r="72" spans="1:49" ht="15" thickTop="1" x14ac:dyDescent="0.15">
      <c r="A72" s="270" t="str">
        <f>'Tariffs Jan2022'!F66</f>
        <v>AGL</v>
      </c>
      <c r="B72" s="40" t="str">
        <f>'Tariffs Jan2022'!D66</f>
        <v>AGN Central 1</v>
      </c>
      <c r="C72" s="40" t="str">
        <f>'Tariffs Jan2022'!G66</f>
        <v>Flexible Saver</v>
      </c>
      <c r="D72" s="59">
        <f>365*'Tariffs Jan2022'!H66/100</f>
        <v>296.37999999999994</v>
      </c>
      <c r="E72" s="59">
        <f>IF($C$5*'Tariffs Jan2022'!AK66/'Tariffs Jan2022'!AI66&gt;='Tariffs Jan2022'!J66,( 'Tariffs Jan2022'!J66*'Tariffs Jan2022'!O66/100)* 'Tariffs Jan2022'!AI66,($C$5*'Tariffs Jan2022'!AK66/'Tariffs Jan2022'!AI66*'Tariffs Jan2022'!O66/100)* 'Tariffs Jan2022'!AI66)</f>
        <v>126.51545454545455</v>
      </c>
      <c r="F72" s="59">
        <f>IF($C$5*'Tariffs Jan2022'!AK66/'Tariffs Jan2022'!AI66&lt;'Tariffs Jan2022'!J66,0,IF($C$5*'Tariffs Jan2022'!AK66/'Tariffs Jan2022'!AI66&lt;='Tariffs Jan2022'!K66,($C$5*'Tariffs Jan2022'!AK66/'Tariffs Jan2022'!AI66-'Tariffs Jan2022'!J66)*('Tariffs Jan2022'!P66/100)*'Tariffs Jan2022'!AI66,('Tariffs Jan2022'!K66-'Tariffs Jan2022'!J66)*('Tariffs Jan2022'!P66/100)*'Tariffs Jan2022'!AI66))</f>
        <v>94.9731818181818</v>
      </c>
      <c r="G72" s="59">
        <f>IF($C$5*'Tariffs Jan2022'!AK66/'Tariffs Jan2022'!AI66&lt;'Tariffs Jan2022'!K66,0,IF($C$5*'Tariffs Jan2022'!AK66/'Tariffs Jan2022'!AI66&lt;='Tariffs Jan2022'!L66,($C$5*'Tariffs Jan2022'!AK66/'Tariffs Jan2022'!AI66-'Tariffs Jan2022'!K66)*('Tariffs Jan2022'!Q66/100)*'Tariffs Jan2022'!AI66,('Tariffs Jan2022'!L66-'Tariffs Jan2022'!K66)*('Tariffs Jan2022'!Q66/100)*'Tariffs Jan2022'!AI66))</f>
        <v>0</v>
      </c>
      <c r="H72" s="59">
        <f>IF($C$5*'Tariffs Jan2022'!AK66/'Tariffs Jan2022'!AI66&lt;'Tariffs Jan2022'!L66,0,IF($C$5*'Tariffs Jan2022'!AK66/'Tariffs Jan2022'!AI66&lt;='Tariffs Jan2022'!M66,($C$5*'Tariffs Jan2022'!AK66/'Tariffs Jan2022'!AI66-'Tariffs Jan2022'!L66)*('Tariffs Jan2022'!R66/100)*'Tariffs Jan2022'!AI66,('Tariffs Jan2022'!M66-'Tariffs Jan2022'!L66)*('Tariffs Jan2022'!R66/100)*'Tariffs Jan2022'!AI66))</f>
        <v>0</v>
      </c>
      <c r="I72" s="59">
        <f>IF(($C$5*'Tariffs Jan2022'!AK66/'Tariffs Jan2022'!AI66&gt;'Tariffs Jan2022'!M66),($C$5*'Tariffs Jan2022'!AK66/'Tariffs Jan2022'!AI66-'Tariffs Jan2022'!M66)*'Tariffs Jan2022'!S66/100*'Tariffs Jan2022'!AI66,0)</f>
        <v>392.72727272727263</v>
      </c>
      <c r="J72" s="59">
        <f>IF($C$5*'Tariffs Jan2022'!AL66/'Tariffs Jan2022'!AJ66&gt;='Tariffs Jan2022'!J66,('Tariffs Jan2022'!J66*'Tariffs Jan2022'!U66/100)* 'Tariffs Jan2022'!AJ66,($C$5*'Tariffs Jan2022'!AL66/'Tariffs Jan2022'!AJ66*'Tariffs Jan2022'!U66/100)* 'Tariffs Jan2022'!AJ66)</f>
        <v>126.51545454545455</v>
      </c>
      <c r="K72" s="59">
        <f>IF($C$5*'Tariffs Jan2022'!AL66/'Tariffs Jan2022'!AJ66&lt;'Tariffs Jan2022'!J66,0,IF($C$5*'Tariffs Jan2022'!AL66/'Tariffs Jan2022'!AJ66&lt;='Tariffs Jan2022'!K66,($C$5*'Tariffs Jan2022'!AL66/'Tariffs Jan2022'!AJ66-'Tariffs Jan2022'!J66)*('Tariffs Jan2022'!V66/100)*'Tariffs Jan2022'!AJ66,('Tariffs Jan2022'!K66-'Tariffs Jan2022'!J66)*('Tariffs Jan2022'!V66/100)*'Tariffs Jan2022'!AJ66))</f>
        <v>94.9731818181818</v>
      </c>
      <c r="L72" s="59">
        <f>IF($C$5*'Tariffs Jan2022'!AL66/'Tariffs Jan2022'!AJ66&lt;'Tariffs Jan2022'!K66,0,IF($C$5*'Tariffs Jan2022'!AL66/'Tariffs Jan2022'!AJ66&lt;='Tariffs Jan2022'!L66,($C$5*'Tariffs Jan2022'!AL66/'Tariffs Jan2022'!AJ66-'Tariffs Jan2022'!K66)*('Tariffs Jan2022'!W66/100)*'Tariffs Jan2022'!AJ66,('Tariffs Jan2022'!L66-'Tariffs Jan2022'!K66)*('Tariffs Jan2022'!W66/100)*'Tariffs Jan2022'!AJ66))</f>
        <v>0</v>
      </c>
      <c r="M72" s="59">
        <f>IF($C$5*'Tariffs Jan2022'!AL66/'Tariffs Jan2022'!AJ66&lt;'Tariffs Jan2022'!L66,0,IF($C$5*'Tariffs Jan2022'!AL66/'Tariffs Jan2022'!AJ66&lt;='Tariffs Jan2022'!M66,($C$5*'Tariffs Jan2022'!AL66/'Tariffs Jan2022'!AJ66-'Tariffs Jan2022'!L66)*('Tariffs Jan2022'!X66/100)*'Tariffs Jan2022'!AJ66,('Tariffs Jan2022'!M66-'Tariffs Jan2022'!L66)*('Tariffs Jan2022'!X66/100)*'Tariffs Jan2022'!AJ66))</f>
        <v>0</v>
      </c>
      <c r="N72" s="59">
        <f>IF(($C$5*'Tariffs Jan2022'!AL66/'Tariffs Jan2022'!AJ66&gt;'Tariffs Jan2022'!M66),($C$5*'Tariffs Jan2022'!AL66/'Tariffs Jan2022'!AJ66-'Tariffs Jan2022'!M66)*'Tariffs Jan2022'!Y66/100*'Tariffs Jan2022'!AJ66,0)</f>
        <v>392.72727272727263</v>
      </c>
      <c r="O72" s="59">
        <f t="shared" si="1"/>
        <v>1228.431818181818</v>
      </c>
      <c r="P72" s="503">
        <f t="shared" si="2"/>
        <v>1351.2749999999999</v>
      </c>
      <c r="Q72" s="59">
        <f t="shared" si="3"/>
        <v>1524.8118181818179</v>
      </c>
      <c r="R72" s="272">
        <f t="shared" si="4"/>
        <v>1677.2929999999999</v>
      </c>
      <c r="S72" s="40">
        <f>'Tariffs Jan2022'!AN66</f>
        <v>0</v>
      </c>
      <c r="T72" s="40">
        <f>'Tariffs Jan2022'!AO66</f>
        <v>0</v>
      </c>
      <c r="U72" s="40">
        <f>'Tariffs Jan2022'!AP66</f>
        <v>0</v>
      </c>
      <c r="V72" s="40">
        <f>'Tariffs Jan2022'!AQ66</f>
        <v>0</v>
      </c>
      <c r="W72" s="537" t="str">
        <f>IF(SUM(S72:V72)=0,"No discount",IF(S72&gt;0,"Guaranteed off bill",IF(T72&gt;0,"Guaranteed off usage",IF(U72&gt;0,"Pay-on-time off bill","Pay-on-time off usage"))))</f>
        <v>No discount</v>
      </c>
      <c r="X72" s="538" t="str">
        <f>IF(OR(A72="Origin Energy",A72="Red Energy",A72="Powershop"),"Inclusive","Exclusive")</f>
        <v>Exclusive</v>
      </c>
      <c r="Y72" s="534">
        <f>IF(AND(W72="Guaranteed off bill",X72="Inclusive"),((Q72*1.1)-((Q72*1.1)*S72/100))/1.1,IF(AND(W72="Guaranteed off usage",X72="Inclusive"),((Q72*1.1)-((P72*1.1)*T72/100))/1.1,IF(AND(W72="Guaranteed off bill",X72="Exclusive"),Q72-(Q72*S72/100),IF(AND(W72="Guaranteed off usage",X72="Exclusive"),Q72-(P72*T72/100),IF(X72="Inclusive",((Q72*1.1))/1.1,Q72)))))</f>
        <v>1524.8118181818179</v>
      </c>
      <c r="Z72" s="535">
        <f>IF(AND(W72="Pay-on-time off bill",X72="Inclusive"),((Y72*1.1)-((Y72*1.1)*U72/100))/1.1,IF(AND(W72="Pay-on-time off usage",X72="Inclusive"),((Y72*1.1)-((P72*1.1)*V72/100))/1.1,IF(AND(W72="Pay-on-time off bill",X72="Exclusive"),Y72-(Y72*U72/100),IF(AND(W72="Pay-on-time off usage",X72="Exclusive"),Y72-(P72*V72/100),IF(X72="Inclusive",((Y72*1.1))/1.1,Y72)))))</f>
        <v>1524.8118181818179</v>
      </c>
      <c r="AA72" s="542">
        <f t="shared" ref="AA72:AB86" si="91">Y72*1.1</f>
        <v>1677.2929999999999</v>
      </c>
      <c r="AB72" s="542">
        <f t="shared" si="91"/>
        <v>1677.2929999999999</v>
      </c>
      <c r="AC72" s="274">
        <f>'Tariffs Jan2022'!AZ66</f>
        <v>0</v>
      </c>
      <c r="AD72" s="274" t="str">
        <f>'Tariffs Jan2022'!BA66</f>
        <v>n</v>
      </c>
      <c r="AE72" s="275" t="str">
        <f>'Tariffs Jan2022'!BJ66</f>
        <v>N</v>
      </c>
      <c r="AF72" s="577"/>
      <c r="AG72" s="577"/>
      <c r="AH72" s="577"/>
      <c r="AI72" s="577"/>
      <c r="AJ72" s="577"/>
      <c r="AK72" s="577"/>
      <c r="AL72" s="577"/>
      <c r="AM72" s="577"/>
      <c r="AN72" s="577"/>
      <c r="AO72" s="577"/>
      <c r="AP72" s="577"/>
      <c r="AQ72" s="577"/>
      <c r="AR72" s="577"/>
      <c r="AS72" s="577"/>
      <c r="AT72" s="577"/>
      <c r="AU72" s="577"/>
      <c r="AV72" s="577"/>
      <c r="AW72" s="577"/>
    </row>
    <row r="73" spans="1:49" ht="14" x14ac:dyDescent="0.15">
      <c r="A73" s="270" t="str">
        <f>'Tariffs Jan2022'!F67</f>
        <v>Alinta Energy</v>
      </c>
      <c r="B73" s="40" t="str">
        <f>'Tariffs Jan2022'!D67</f>
        <v>AGN Central 1</v>
      </c>
      <c r="C73" s="40" t="str">
        <f>'Tariffs Jan2022'!G67</f>
        <v>Home Deal</v>
      </c>
      <c r="D73" s="59">
        <f>365*'Tariffs Jan2022'!H67/100</f>
        <v>175.89681818181816</v>
      </c>
      <c r="E73" s="59">
        <f>IF($C$5*'Tariffs Jan2022'!AK67/'Tariffs Jan2022'!AI67&gt;='Tariffs Jan2022'!J67,( 'Tariffs Jan2022'!J67*'Tariffs Jan2022'!O67/100)* 'Tariffs Jan2022'!AI67,($C$5*'Tariffs Jan2022'!AK67/'Tariffs Jan2022'!AI67*'Tariffs Jan2022'!O67/100)* 'Tariffs Jan2022'!AI67)</f>
        <v>116.19681818181817</v>
      </c>
      <c r="F73" s="59">
        <f>IF($C$5*'Tariffs Jan2022'!AK67/'Tariffs Jan2022'!AI67&lt;'Tariffs Jan2022'!J67,0,IF($C$5*'Tariffs Jan2022'!AK67/'Tariffs Jan2022'!AI67&lt;='Tariffs Jan2022'!K67,($C$5*'Tariffs Jan2022'!AK67/'Tariffs Jan2022'!AI67-'Tariffs Jan2022'!J67)*('Tariffs Jan2022'!P67/100)*'Tariffs Jan2022'!AI67,('Tariffs Jan2022'!K67-'Tariffs Jan2022'!J67)*('Tariffs Jan2022'!P67/100)*'Tariffs Jan2022'!AI67))</f>
        <v>80.930454545454538</v>
      </c>
      <c r="G73" s="59">
        <f>IF($C$5*'Tariffs Jan2022'!AK67/'Tariffs Jan2022'!AI67&lt;'Tariffs Jan2022'!K67,0,IF($C$5*'Tariffs Jan2022'!AK67/'Tariffs Jan2022'!AI67&lt;='Tariffs Jan2022'!L67,($C$5*'Tariffs Jan2022'!AK67/'Tariffs Jan2022'!AI67-'Tariffs Jan2022'!K67)*('Tariffs Jan2022'!Q67/100)*'Tariffs Jan2022'!AI67,('Tariffs Jan2022'!L67-'Tariffs Jan2022'!K67)*('Tariffs Jan2022'!Q67/100)*'Tariffs Jan2022'!AI67))</f>
        <v>0</v>
      </c>
      <c r="H73" s="59">
        <f>IF($C$5*'Tariffs Jan2022'!AK67/'Tariffs Jan2022'!AI67&lt;'Tariffs Jan2022'!L67,0,IF($C$5*'Tariffs Jan2022'!AK67/'Tariffs Jan2022'!AI67&lt;='Tariffs Jan2022'!M67,($C$5*'Tariffs Jan2022'!AK67/'Tariffs Jan2022'!AI67-'Tariffs Jan2022'!L67)*('Tariffs Jan2022'!R67/100)*'Tariffs Jan2022'!AI67,('Tariffs Jan2022'!M67-'Tariffs Jan2022'!L67)*('Tariffs Jan2022'!R67/100)*'Tariffs Jan2022'!AI67))</f>
        <v>0</v>
      </c>
      <c r="I73" s="59">
        <f>IF(($C$5*'Tariffs Jan2022'!AK67/'Tariffs Jan2022'!AI67&gt;'Tariffs Jan2022'!M67),($C$5*'Tariffs Jan2022'!AK67/'Tariffs Jan2022'!AI67-'Tariffs Jan2022'!M67)*'Tariffs Jan2022'!S67/100*'Tariffs Jan2022'!AI67,0)</f>
        <v>343.63636363636363</v>
      </c>
      <c r="J73" s="59">
        <f>IF($C$5*'Tariffs Jan2022'!AL67/'Tariffs Jan2022'!AJ67&gt;='Tariffs Jan2022'!J67,('Tariffs Jan2022'!J67*'Tariffs Jan2022'!U67/100)* 'Tariffs Jan2022'!AJ67,($C$5*'Tariffs Jan2022'!AL67/'Tariffs Jan2022'!AJ67*'Tariffs Jan2022'!U67/100)* 'Tariffs Jan2022'!AJ67)</f>
        <v>116.19681818181817</v>
      </c>
      <c r="K73" s="59">
        <f>IF($C$5*'Tariffs Jan2022'!AL67/'Tariffs Jan2022'!AJ67&lt;'Tariffs Jan2022'!J67,0,IF($C$5*'Tariffs Jan2022'!AL67/'Tariffs Jan2022'!AJ67&lt;='Tariffs Jan2022'!K67,($C$5*'Tariffs Jan2022'!AL67/'Tariffs Jan2022'!AJ67-'Tariffs Jan2022'!J67)*('Tariffs Jan2022'!V67/100)*'Tariffs Jan2022'!AJ67,('Tariffs Jan2022'!K67-'Tariffs Jan2022'!J67)*('Tariffs Jan2022'!V67/100)*'Tariffs Jan2022'!AJ67))</f>
        <v>80.930454545454538</v>
      </c>
      <c r="L73" s="59">
        <f>IF($C$5*'Tariffs Jan2022'!AL67/'Tariffs Jan2022'!AJ67&lt;'Tariffs Jan2022'!K67,0,IF($C$5*'Tariffs Jan2022'!AL67/'Tariffs Jan2022'!AJ67&lt;='Tariffs Jan2022'!L67,($C$5*'Tariffs Jan2022'!AL67/'Tariffs Jan2022'!AJ67-'Tariffs Jan2022'!K67)*('Tariffs Jan2022'!W67/100)*'Tariffs Jan2022'!AJ67,('Tariffs Jan2022'!L67-'Tariffs Jan2022'!K67)*('Tariffs Jan2022'!W67/100)*'Tariffs Jan2022'!AJ67))</f>
        <v>0</v>
      </c>
      <c r="M73" s="59">
        <f>IF($C$5*'Tariffs Jan2022'!AL67/'Tariffs Jan2022'!AJ67&lt;'Tariffs Jan2022'!L67,0,IF($C$5*'Tariffs Jan2022'!AL67/'Tariffs Jan2022'!AJ67&lt;='Tariffs Jan2022'!M67,($C$5*'Tariffs Jan2022'!AL67/'Tariffs Jan2022'!AJ67-'Tariffs Jan2022'!L67)*('Tariffs Jan2022'!X67/100)*'Tariffs Jan2022'!AJ67,('Tariffs Jan2022'!M67-'Tariffs Jan2022'!L67)*('Tariffs Jan2022'!X67/100)*'Tariffs Jan2022'!AJ67))</f>
        <v>0</v>
      </c>
      <c r="N73" s="59">
        <f>IF(($C$5*'Tariffs Jan2022'!AL67/'Tariffs Jan2022'!AJ67&gt;'Tariffs Jan2022'!M67),($C$5*'Tariffs Jan2022'!AL67/'Tariffs Jan2022'!AJ67-'Tariffs Jan2022'!M67)*'Tariffs Jan2022'!Y67/100*'Tariffs Jan2022'!AJ67,0)</f>
        <v>343.63636363636363</v>
      </c>
      <c r="O73" s="59">
        <f t="shared" si="1"/>
        <v>1081.5272727272727</v>
      </c>
      <c r="P73" s="503">
        <f t="shared" ref="P73:P132" si="92">O73*1.1</f>
        <v>1189.68</v>
      </c>
      <c r="Q73" s="59">
        <f t="shared" si="3"/>
        <v>1257.4240909090909</v>
      </c>
      <c r="R73" s="272">
        <f t="shared" si="4"/>
        <v>1383.1665</v>
      </c>
      <c r="S73" s="40">
        <f>'Tariffs Jan2022'!AN67</f>
        <v>0</v>
      </c>
      <c r="T73" s="40">
        <f>'Tariffs Jan2022'!AO67</f>
        <v>0</v>
      </c>
      <c r="U73" s="40">
        <f>'Tariffs Jan2022'!AP67</f>
        <v>0</v>
      </c>
      <c r="V73" s="40">
        <f>'Tariffs Jan2022'!AQ67</f>
        <v>0</v>
      </c>
      <c r="W73" s="537" t="str">
        <f t="shared" ref="W73:W101" si="93">IF(SUM(S73:V73)=0,"No discount",IF(S73&gt;0,"Guaranteed off bill",IF(T73&gt;0,"Guaranteed off usage",IF(U73&gt;0,"Pay-on-time off bill","Pay-on-time off usage"))))</f>
        <v>No discount</v>
      </c>
      <c r="X73" s="538" t="str">
        <f t="shared" ref="X73:X101" si="94">IF(OR(A73="Origin Energy",A73="Red Energy",A73="Powershop"),"Inclusive","Exclusive")</f>
        <v>Exclusive</v>
      </c>
      <c r="Y73" s="534">
        <f>IF(AND(W73="Guaranteed off bill",X73="Inclusive"),((Q73*1.1)-((Q73*1.1)*S73/100))/1.1,IF(AND(W73="Guaranteed off usage",X73="Inclusive"),((Q73*1.1)-((P73*1.1)*T73/100))/1.1,IF(AND(W73="Guaranteed off bill",X73="Exclusive"),Q73-(Q73*S73/100),IF(AND(W73="Guaranteed off usage",X73="Exclusive"),Q73-(P73*T73/100),IF(X73="Inclusive",((Q73*1.1))/1.1,Q73)))))</f>
        <v>1257.4240909090909</v>
      </c>
      <c r="Z73" s="535">
        <f>IF(AND(W73="Pay-on-time off bill",X73="Inclusive"),((Y73*1.1)-((Y73*1.1)*U73/100))/1.1,IF(AND(W73="Pay-on-time off usage",X73="Inclusive"),((Y73*1.1)-((P73*1.1)*V73/100))/1.1,IF(AND(W73="Pay-on-time off bill",X73="Exclusive"),Y73-(Y73*U73/100),IF(AND(W73="Pay-on-time off usage",X73="Exclusive"),Y73-(P73*V73/100),IF(X73="Inclusive",((Y73*1.1))/1.1,Y73)))))</f>
        <v>1257.4240909090909</v>
      </c>
      <c r="AA73" s="542">
        <f t="shared" si="91"/>
        <v>1383.1665</v>
      </c>
      <c r="AB73" s="542">
        <f t="shared" si="91"/>
        <v>1383.1665</v>
      </c>
      <c r="AC73" s="274">
        <f>'Tariffs Jan2022'!AZ67</f>
        <v>0</v>
      </c>
      <c r="AD73" s="274" t="str">
        <f>'Tariffs Jan2022'!BA67</f>
        <v>n</v>
      </c>
      <c r="AE73" s="275" t="str">
        <f>'Tariffs Jan2022'!BJ67</f>
        <v>N</v>
      </c>
      <c r="AF73" s="577"/>
      <c r="AG73" s="577"/>
      <c r="AH73" s="577"/>
      <c r="AI73" s="577"/>
      <c r="AJ73" s="577"/>
      <c r="AK73" s="577"/>
      <c r="AL73" s="577"/>
      <c r="AM73" s="577"/>
      <c r="AN73" s="577"/>
      <c r="AO73" s="577"/>
      <c r="AP73" s="577"/>
      <c r="AQ73" s="577"/>
      <c r="AR73" s="577"/>
      <c r="AS73" s="577"/>
      <c r="AT73" s="577"/>
      <c r="AU73" s="577"/>
      <c r="AV73" s="577"/>
      <c r="AW73" s="577"/>
    </row>
    <row r="74" spans="1:49" ht="14" x14ac:dyDescent="0.15">
      <c r="A74" s="270" t="str">
        <f>'Tariffs Jan2022'!F68</f>
        <v>Covau</v>
      </c>
      <c r="B74" s="40" t="str">
        <f>'Tariffs Jan2022'!D68</f>
        <v>AGN Central 1</v>
      </c>
      <c r="C74" s="40" t="str">
        <f>'Tariffs Jan2022'!G68</f>
        <v>Super Saver Plus</v>
      </c>
      <c r="D74" s="59">
        <f>365*'Tariffs Jan2022'!H68/100</f>
        <v>273.75</v>
      </c>
      <c r="E74" s="59">
        <f>IF($C$5*'Tariffs Jan2022'!AK68/'Tariffs Jan2022'!AI68&gt;='Tariffs Jan2022'!J68,( 'Tariffs Jan2022'!J68*'Tariffs Jan2022'!O68/100)* 'Tariffs Jan2022'!AI68,($C$5*'Tariffs Jan2022'!AK68/'Tariffs Jan2022'!AI68*'Tariffs Jan2022'!O68/100)* 'Tariffs Jan2022'!AI68)</f>
        <v>139.07727272727271</v>
      </c>
      <c r="F74" s="59">
        <f>IF($C$5*'Tariffs Jan2022'!AK68/'Tariffs Jan2022'!AI68&lt;'Tariffs Jan2022'!J68,0,IF($C$5*'Tariffs Jan2022'!AK68/'Tariffs Jan2022'!AI68&lt;='Tariffs Jan2022'!K68,($C$5*'Tariffs Jan2022'!AK68/'Tariffs Jan2022'!AI68-'Tariffs Jan2022'!J68)*('Tariffs Jan2022'!P68/100)*'Tariffs Jan2022'!AI68,('Tariffs Jan2022'!K68-'Tariffs Jan2022'!J68)*('Tariffs Jan2022'!P68/100)*'Tariffs Jan2022'!AI68))</f>
        <v>100.51636363636362</v>
      </c>
      <c r="G74" s="59">
        <f>IF($C$5*'Tariffs Jan2022'!AK68/'Tariffs Jan2022'!AI68&lt;'Tariffs Jan2022'!K68,0,IF($C$5*'Tariffs Jan2022'!AK68/'Tariffs Jan2022'!AI68&lt;='Tariffs Jan2022'!L68,($C$5*'Tariffs Jan2022'!AK68/'Tariffs Jan2022'!AI68-'Tariffs Jan2022'!K68)*('Tariffs Jan2022'!Q68/100)*'Tariffs Jan2022'!AI68,('Tariffs Jan2022'!L68-'Tariffs Jan2022'!K68)*('Tariffs Jan2022'!Q68/100)*'Tariffs Jan2022'!AI68))</f>
        <v>0</v>
      </c>
      <c r="H74" s="59">
        <f>IF($C$5*'Tariffs Jan2022'!AK68/'Tariffs Jan2022'!AI68&lt;'Tariffs Jan2022'!L68,0,IF($C$5*'Tariffs Jan2022'!AK68/'Tariffs Jan2022'!AI68&lt;='Tariffs Jan2022'!M68,($C$5*'Tariffs Jan2022'!AK68/'Tariffs Jan2022'!AI68-'Tariffs Jan2022'!L68)*('Tariffs Jan2022'!R68/100)*'Tariffs Jan2022'!AI68,('Tariffs Jan2022'!M68-'Tariffs Jan2022'!L68)*('Tariffs Jan2022'!R68/100)*'Tariffs Jan2022'!AI68))</f>
        <v>0</v>
      </c>
      <c r="I74" s="59">
        <f>IF(($C$5*'Tariffs Jan2022'!AK68/'Tariffs Jan2022'!AI68&gt;'Tariffs Jan2022'!M68),($C$5*'Tariffs Jan2022'!AK68/'Tariffs Jan2022'!AI68-'Tariffs Jan2022'!M68)*'Tariffs Jan2022'!S68/100*'Tariffs Jan2022'!AI68,0)</f>
        <v>447.95454545454544</v>
      </c>
      <c r="J74" s="59">
        <f>IF($C$5*'Tariffs Jan2022'!AL68/'Tariffs Jan2022'!AJ68&gt;='Tariffs Jan2022'!J68,('Tariffs Jan2022'!J68*'Tariffs Jan2022'!U68/100)* 'Tariffs Jan2022'!AJ68,($C$5*'Tariffs Jan2022'!AL68/'Tariffs Jan2022'!AJ68*'Tariffs Jan2022'!U68/100)* 'Tariffs Jan2022'!AJ68)</f>
        <v>139.07727272727271</v>
      </c>
      <c r="K74" s="59">
        <f>IF($C$5*'Tariffs Jan2022'!AL68/'Tariffs Jan2022'!AJ68&lt;'Tariffs Jan2022'!J68,0,IF($C$5*'Tariffs Jan2022'!AL68/'Tariffs Jan2022'!AJ68&lt;='Tariffs Jan2022'!K68,($C$5*'Tariffs Jan2022'!AL68/'Tariffs Jan2022'!AJ68-'Tariffs Jan2022'!J68)*('Tariffs Jan2022'!V68/100)*'Tariffs Jan2022'!AJ68,('Tariffs Jan2022'!K68-'Tariffs Jan2022'!J68)*('Tariffs Jan2022'!V68/100)*'Tariffs Jan2022'!AJ68))</f>
        <v>100.51636363636362</v>
      </c>
      <c r="L74" s="59">
        <f>IF($C$5*'Tariffs Jan2022'!AL68/'Tariffs Jan2022'!AJ68&lt;'Tariffs Jan2022'!K68,0,IF($C$5*'Tariffs Jan2022'!AL68/'Tariffs Jan2022'!AJ68&lt;='Tariffs Jan2022'!L68,($C$5*'Tariffs Jan2022'!AL68/'Tariffs Jan2022'!AJ68-'Tariffs Jan2022'!K68)*('Tariffs Jan2022'!W68/100)*'Tariffs Jan2022'!AJ68,('Tariffs Jan2022'!L68-'Tariffs Jan2022'!K68)*('Tariffs Jan2022'!W68/100)*'Tariffs Jan2022'!AJ68))</f>
        <v>0</v>
      </c>
      <c r="M74" s="59">
        <f>IF($C$5*'Tariffs Jan2022'!AL68/'Tariffs Jan2022'!AJ68&lt;'Tariffs Jan2022'!L68,0,IF($C$5*'Tariffs Jan2022'!AL68/'Tariffs Jan2022'!AJ68&lt;='Tariffs Jan2022'!M68,($C$5*'Tariffs Jan2022'!AL68/'Tariffs Jan2022'!AJ68-'Tariffs Jan2022'!L68)*('Tariffs Jan2022'!X68/100)*'Tariffs Jan2022'!AJ68,('Tariffs Jan2022'!M68-'Tariffs Jan2022'!L68)*('Tariffs Jan2022'!X68/100)*'Tariffs Jan2022'!AJ68))</f>
        <v>0</v>
      </c>
      <c r="N74" s="59">
        <f>IF(($C$5*'Tariffs Jan2022'!AL68/'Tariffs Jan2022'!AJ68&gt;'Tariffs Jan2022'!M68),($C$5*'Tariffs Jan2022'!AL68/'Tariffs Jan2022'!AJ68-'Tariffs Jan2022'!M68)*'Tariffs Jan2022'!Y68/100*'Tariffs Jan2022'!AJ68,0)</f>
        <v>447.95454545454544</v>
      </c>
      <c r="O74" s="59">
        <f t="shared" si="1"/>
        <v>1375.0963636363635</v>
      </c>
      <c r="P74" s="503">
        <f t="shared" si="92"/>
        <v>1512.606</v>
      </c>
      <c r="Q74" s="59">
        <f t="shared" si="3"/>
        <v>1648.8463636363635</v>
      </c>
      <c r="R74" s="272">
        <f t="shared" si="4"/>
        <v>1813.731</v>
      </c>
      <c r="S74" s="40">
        <f>'Tariffs Jan2022'!AN68</f>
        <v>0</v>
      </c>
      <c r="T74" s="40">
        <f>'Tariffs Jan2022'!AO68</f>
        <v>20</v>
      </c>
      <c r="U74" s="40">
        <f>'Tariffs Jan2022'!AP68</f>
        <v>0</v>
      </c>
      <c r="V74" s="40">
        <f>'Tariffs Jan2022'!AQ68</f>
        <v>0</v>
      </c>
      <c r="W74" s="537" t="str">
        <f t="shared" si="93"/>
        <v>Guaranteed off usage</v>
      </c>
      <c r="X74" s="538" t="str">
        <f t="shared" si="94"/>
        <v>Exclusive</v>
      </c>
      <c r="Y74" s="534">
        <f t="shared" ref="Y74" si="95">IF(AND(W74="Guaranteed off bill",X74="Inclusive"),((Q74*1.1)-((Q74*1.1)*S74/100))/1.1,IF(AND(W74="Guaranteed off usage",X74="Inclusive"),((Q74*1.1)-((P74*1.1)*T74/100))/1.1,IF(AND(W74="Guaranteed off bill",X74="Exclusive"),Q74-(Q74*S74/100),IF(AND(W74="Guaranteed off usage",X74="Exclusive"),Q74-(P74*T74/100),IF(X74="Inclusive",((Q74*1.1))/1.1,Q74)))))</f>
        <v>1346.3251636363636</v>
      </c>
      <c r="Z74" s="535">
        <f t="shared" ref="Z74" si="96">IF(AND(W74="Pay-on-time off bill",X74="Inclusive"),((Y74*1.1)-((Y74*1.1)*U74/100))/1.1,IF(AND(W74="Pay-on-time off usage",X74="Inclusive"),((Y74*1.1)-((P74*1.1)*V74/100))/1.1,IF(AND(W74="Pay-on-time off bill",X74="Exclusive"),Y74-(Y74*U74/100),IF(AND(W74="Pay-on-time off usage",X74="Exclusive"),Y74-(P74*V74/100),IF(X74="Inclusive",((Y74*1.1))/1.1,Y74)))))</f>
        <v>1346.3251636363636</v>
      </c>
      <c r="AA74" s="542">
        <f t="shared" si="91"/>
        <v>1480.9576800000002</v>
      </c>
      <c r="AB74" s="542">
        <f t="shared" si="91"/>
        <v>1480.9576800000002</v>
      </c>
      <c r="AC74" s="274">
        <f>'Tariffs Jan2022'!AZ68</f>
        <v>0</v>
      </c>
      <c r="AD74" s="274" t="str">
        <f>'Tariffs Jan2022'!BA68</f>
        <v>n</v>
      </c>
      <c r="AE74" s="275" t="str">
        <f>'Tariffs Jan2022'!BJ68</f>
        <v>N</v>
      </c>
      <c r="AF74" s="577"/>
      <c r="AG74" s="577"/>
      <c r="AH74" s="577"/>
      <c r="AI74" s="577"/>
      <c r="AJ74" s="577"/>
      <c r="AK74" s="577"/>
      <c r="AL74" s="577"/>
      <c r="AM74" s="577"/>
      <c r="AN74" s="577"/>
      <c r="AO74" s="577"/>
      <c r="AP74" s="577"/>
      <c r="AQ74" s="577"/>
      <c r="AR74" s="577"/>
      <c r="AS74" s="577"/>
      <c r="AT74" s="577"/>
      <c r="AU74" s="577"/>
      <c r="AV74" s="577"/>
      <c r="AW74" s="577"/>
    </row>
    <row r="75" spans="1:49" ht="14" x14ac:dyDescent="0.15">
      <c r="A75" s="270" t="str">
        <f>'Tariffs Jan2022'!F69</f>
        <v>Dodo Power &amp; Gas</v>
      </c>
      <c r="B75" s="40" t="str">
        <f>'Tariffs Jan2022'!D69</f>
        <v>AGN Central 1</v>
      </c>
      <c r="C75" s="40" t="str">
        <f>'Tariffs Jan2022'!G69</f>
        <v>Market offer</v>
      </c>
      <c r="D75" s="59">
        <f>365*'Tariffs Jan2022'!H69/100</f>
        <v>180.31</v>
      </c>
      <c r="E75" s="59">
        <f>IF($C$5*'Tariffs Jan2022'!AK69/'Tariffs Jan2022'!AI69&gt;='Tariffs Jan2022'!J69,( 'Tariffs Jan2022'!J69*'Tariffs Jan2022'!O69/100)* 'Tariffs Jan2022'!AI69,($C$5*'Tariffs Jan2022'!AK69/'Tariffs Jan2022'!AI69*'Tariffs Jan2022'!O69/100)* 'Tariffs Jan2022'!AI69)</f>
        <v>93.017272727272697</v>
      </c>
      <c r="F75" s="59">
        <f>IF($C$5*'Tariffs Jan2022'!AK69/'Tariffs Jan2022'!AI69&lt;'Tariffs Jan2022'!J69,0,IF($C$5*'Tariffs Jan2022'!AK69/'Tariffs Jan2022'!AI69&lt;='Tariffs Jan2022'!K69,($C$5*'Tariffs Jan2022'!AK69/'Tariffs Jan2022'!AI69-'Tariffs Jan2022'!J69)*('Tariffs Jan2022'!P69/100)*'Tariffs Jan2022'!AI69,('Tariffs Jan2022'!K69-'Tariffs Jan2022'!J69)*('Tariffs Jan2022'!P69/100)*'Tariffs Jan2022'!AI69))</f>
        <v>60.851818181818189</v>
      </c>
      <c r="G75" s="59">
        <f>IF($C$5*'Tariffs Jan2022'!AK69/'Tariffs Jan2022'!AI69&lt;'Tariffs Jan2022'!K69,0,IF($C$5*'Tariffs Jan2022'!AK69/'Tariffs Jan2022'!AI69&lt;='Tariffs Jan2022'!L69,($C$5*'Tariffs Jan2022'!AK69/'Tariffs Jan2022'!AI69-'Tariffs Jan2022'!K69)*('Tariffs Jan2022'!Q69/100)*'Tariffs Jan2022'!AI69,('Tariffs Jan2022'!L69-'Tariffs Jan2022'!K69)*('Tariffs Jan2022'!Q69/100)*'Tariffs Jan2022'!AI69))</f>
        <v>0</v>
      </c>
      <c r="H75" s="59">
        <f>IF($C$5*'Tariffs Jan2022'!AK69/'Tariffs Jan2022'!AI69&lt;'Tariffs Jan2022'!L69,0,IF($C$5*'Tariffs Jan2022'!AK69/'Tariffs Jan2022'!AI69&lt;='Tariffs Jan2022'!M69,($C$5*'Tariffs Jan2022'!AK69/'Tariffs Jan2022'!AI69-'Tariffs Jan2022'!L69)*('Tariffs Jan2022'!R69/100)*'Tariffs Jan2022'!AI69,('Tariffs Jan2022'!M69-'Tariffs Jan2022'!L69)*('Tariffs Jan2022'!R69/100)*'Tariffs Jan2022'!AI69))</f>
        <v>0</v>
      </c>
      <c r="I75" s="59">
        <f>IF(($C$5*'Tariffs Jan2022'!AK69/'Tariffs Jan2022'!AI69&gt;'Tariffs Jan2022'!M69),($C$5*'Tariffs Jan2022'!AK69/'Tariffs Jan2022'!AI69-'Tariffs Jan2022'!M69)*'Tariffs Jan2022'!S69/100*'Tariffs Jan2022'!AI69,0)</f>
        <v>272.68909090909085</v>
      </c>
      <c r="J75" s="59">
        <f>IF($C$5*'Tariffs Jan2022'!AL69/'Tariffs Jan2022'!AJ69&gt;='Tariffs Jan2022'!J69,('Tariffs Jan2022'!J69*'Tariffs Jan2022'!U69/100)* 'Tariffs Jan2022'!AJ69,($C$5*'Tariffs Jan2022'!AL69/'Tariffs Jan2022'!AJ69*'Tariffs Jan2022'!U69/100)* 'Tariffs Jan2022'!AJ69)</f>
        <v>186.03454545454539</v>
      </c>
      <c r="K75" s="59">
        <f>IF($C$5*'Tariffs Jan2022'!AL69/'Tariffs Jan2022'!AJ69&lt;'Tariffs Jan2022'!J69,0,IF($C$5*'Tariffs Jan2022'!AL69/'Tariffs Jan2022'!AJ69&lt;='Tariffs Jan2022'!K69,($C$5*'Tariffs Jan2022'!AL69/'Tariffs Jan2022'!AJ69-'Tariffs Jan2022'!J69)*('Tariffs Jan2022'!V69/100)*'Tariffs Jan2022'!AJ69,('Tariffs Jan2022'!K69-'Tariffs Jan2022'!J69)*('Tariffs Jan2022'!V69/100)*'Tariffs Jan2022'!AJ69))</f>
        <v>121.70363636363638</v>
      </c>
      <c r="L75" s="59">
        <f>IF($C$5*'Tariffs Jan2022'!AL69/'Tariffs Jan2022'!AJ69&lt;'Tariffs Jan2022'!K69,0,IF($C$5*'Tariffs Jan2022'!AL69/'Tariffs Jan2022'!AJ69&lt;='Tariffs Jan2022'!L69,($C$5*'Tariffs Jan2022'!AL69/'Tariffs Jan2022'!AJ69-'Tariffs Jan2022'!K69)*('Tariffs Jan2022'!W69/100)*'Tariffs Jan2022'!AJ69,('Tariffs Jan2022'!L69-'Tariffs Jan2022'!K69)*('Tariffs Jan2022'!W69/100)*'Tariffs Jan2022'!AJ69))</f>
        <v>0</v>
      </c>
      <c r="M75" s="59">
        <f>IF($C$5*'Tariffs Jan2022'!AL69/'Tariffs Jan2022'!AJ69&lt;'Tariffs Jan2022'!L69,0,IF($C$5*'Tariffs Jan2022'!AL69/'Tariffs Jan2022'!AJ69&lt;='Tariffs Jan2022'!M69,($C$5*'Tariffs Jan2022'!AL69/'Tariffs Jan2022'!AJ69-'Tariffs Jan2022'!L69)*('Tariffs Jan2022'!X69/100)*'Tariffs Jan2022'!AJ69,('Tariffs Jan2022'!M69-'Tariffs Jan2022'!L69)*('Tariffs Jan2022'!X69/100)*'Tariffs Jan2022'!AJ69))</f>
        <v>0</v>
      </c>
      <c r="N75" s="59">
        <f>IF(($C$5*'Tariffs Jan2022'!AL69/'Tariffs Jan2022'!AJ69&gt;'Tariffs Jan2022'!M69),($C$5*'Tariffs Jan2022'!AL69/'Tariffs Jan2022'!AJ69-'Tariffs Jan2022'!M69)*'Tariffs Jan2022'!Y69/100*'Tariffs Jan2022'!AJ69,0)</f>
        <v>545.3781818181817</v>
      </c>
      <c r="O75" s="59">
        <f t="shared" si="1"/>
        <v>1279.6745454545453</v>
      </c>
      <c r="P75" s="503">
        <f t="shared" si="92"/>
        <v>1407.6419999999998</v>
      </c>
      <c r="Q75" s="59">
        <f t="shared" si="3"/>
        <v>1459.9845454545452</v>
      </c>
      <c r="R75" s="272">
        <f t="shared" si="4"/>
        <v>1605.9829999999999</v>
      </c>
      <c r="S75" s="40">
        <f>'Tariffs Jan2022'!AN69</f>
        <v>0</v>
      </c>
      <c r="T75" s="40">
        <f>'Tariffs Jan2022'!AO69</f>
        <v>0</v>
      </c>
      <c r="U75" s="40">
        <f>'Tariffs Jan2022'!AP69</f>
        <v>0</v>
      </c>
      <c r="V75" s="40">
        <f>'Tariffs Jan2022'!AQ69</f>
        <v>0</v>
      </c>
      <c r="W75" s="537" t="str">
        <f t="shared" si="93"/>
        <v>No discount</v>
      </c>
      <c r="X75" s="538" t="str">
        <f t="shared" si="94"/>
        <v>Exclusive</v>
      </c>
      <c r="Y75" s="534">
        <f>IF(AND(W75="Guaranteed off bill",X75="Inclusive"),((Q75*1.1)-((Q75*1.1)*S75/100))/1.1,IF(AND(W75="Guaranteed off usage",X75="Inclusive"),((Q75*1.1)-((P75*1.1)*T75/100))/1.1,IF(AND(W75="Guaranteed off bill",X75="Exclusive"),Q75-(Q75*S75/100),IF(AND(W75="Guaranteed off usage",X75="Exclusive"),Q75-(P75*T75/100),IF(X75="Inclusive",((Q75*1.1))/1.1,Q75)))))</f>
        <v>1459.9845454545452</v>
      </c>
      <c r="Z75" s="535">
        <f>IF(AND(W75="Pay-on-time off bill",X75="Inclusive"),((Y75*1.1)-((Y75*1.1)*U75/100))/1.1,IF(AND(W75="Pay-on-time off usage",X75="Inclusive"),((Y75*1.1)-((P75*1.1)*V75/100))/1.1,IF(AND(W75="Pay-on-time off bill",X75="Exclusive"),Y75-(Y75*U75/100),IF(AND(W75="Pay-on-time off usage",X75="Exclusive"),Y75-(P75*V75/100),IF(X75="Inclusive",((Y75*1.1))/1.1,Y75)))))</f>
        <v>1459.9845454545452</v>
      </c>
      <c r="AA75" s="542">
        <f t="shared" si="91"/>
        <v>1605.9829999999999</v>
      </c>
      <c r="AB75" s="542">
        <f t="shared" si="91"/>
        <v>1605.9829999999999</v>
      </c>
      <c r="AC75" s="274">
        <f>'Tariffs Jan2022'!AZ69</f>
        <v>0</v>
      </c>
      <c r="AD75" s="274" t="str">
        <f>'Tariffs Jan2022'!BA69</f>
        <v>n</v>
      </c>
      <c r="AE75" s="275" t="str">
        <f>'Tariffs Jan2022'!BJ69</f>
        <v>N</v>
      </c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77"/>
      <c r="AR75" s="577"/>
      <c r="AS75" s="577"/>
      <c r="AT75" s="577"/>
      <c r="AU75" s="577"/>
      <c r="AV75" s="577"/>
      <c r="AW75" s="577"/>
    </row>
    <row r="76" spans="1:49" ht="14" x14ac:dyDescent="0.15">
      <c r="A76" s="270" t="str">
        <f>'Tariffs Jan2022'!F70</f>
        <v>EnergyAustralia</v>
      </c>
      <c r="B76" s="40" t="str">
        <f>'Tariffs Jan2022'!D70</f>
        <v>AGN Central 1</v>
      </c>
      <c r="C76" s="40" t="str">
        <f>'Tariffs Jan2022'!G70</f>
        <v>Total Plan</v>
      </c>
      <c r="D76" s="59">
        <f>365*'Tariffs Jan2022'!H70/100</f>
        <v>318.27999999999997</v>
      </c>
      <c r="E76" s="59">
        <f>IF($C$5*'Tariffs Jan2022'!AK70/'Tariffs Jan2022'!AI70&gt;='Tariffs Jan2022'!J70,( 'Tariffs Jan2022'!J70*'Tariffs Jan2022'!O70/100)* 'Tariffs Jan2022'!AI70,($C$5*'Tariffs Jan2022'!AK70/'Tariffs Jan2022'!AI70*'Tariffs Jan2022'!O70/100)* 'Tariffs Jan2022'!AI70)</f>
        <v>171.82772727272726</v>
      </c>
      <c r="F76" s="59">
        <f>IF($C$5*'Tariffs Jan2022'!AK70/'Tariffs Jan2022'!AI70&lt;'Tariffs Jan2022'!J70,0,IF($C$5*'Tariffs Jan2022'!AK70/'Tariffs Jan2022'!AI70&lt;='Tariffs Jan2022'!K70,($C$5*'Tariffs Jan2022'!AK70/'Tariffs Jan2022'!AI70-'Tariffs Jan2022'!J70)*('Tariffs Jan2022'!P70/100)*'Tariffs Jan2022'!AI70,('Tariffs Jan2022'!K70-'Tariffs Jan2022'!J70)*('Tariffs Jan2022'!P70/100)*'Tariffs Jan2022'!AI70))</f>
        <v>107.16818181818181</v>
      </c>
      <c r="G76" s="59">
        <f>IF($C$5*'Tariffs Jan2022'!AK70/'Tariffs Jan2022'!AI70&lt;'Tariffs Jan2022'!K70,0,IF($C$5*'Tariffs Jan2022'!AK70/'Tariffs Jan2022'!AI70&lt;='Tariffs Jan2022'!L70,($C$5*'Tariffs Jan2022'!AK70/'Tariffs Jan2022'!AI70-'Tariffs Jan2022'!K70)*('Tariffs Jan2022'!Q70/100)*'Tariffs Jan2022'!AI70,('Tariffs Jan2022'!L70-'Tariffs Jan2022'!K70)*('Tariffs Jan2022'!Q70/100)*'Tariffs Jan2022'!AI70))</f>
        <v>0</v>
      </c>
      <c r="H76" s="59">
        <f>IF($C$5*'Tariffs Jan2022'!AK70/'Tariffs Jan2022'!AI70&lt;'Tariffs Jan2022'!L70,0,IF($C$5*'Tariffs Jan2022'!AK70/'Tariffs Jan2022'!AI70&lt;='Tariffs Jan2022'!M70,($C$5*'Tariffs Jan2022'!AK70/'Tariffs Jan2022'!AI70-'Tariffs Jan2022'!L70)*('Tariffs Jan2022'!R70/100)*'Tariffs Jan2022'!AI70,('Tariffs Jan2022'!M70-'Tariffs Jan2022'!L70)*('Tariffs Jan2022'!R70/100)*'Tariffs Jan2022'!AI70))</f>
        <v>0</v>
      </c>
      <c r="I76" s="59">
        <f>IF(($C$5*'Tariffs Jan2022'!AK70/'Tariffs Jan2022'!AI70&gt;'Tariffs Jan2022'!M70),($C$5*'Tariffs Jan2022'!AK70/'Tariffs Jan2022'!AI70-'Tariffs Jan2022'!M70)*'Tariffs Jan2022'!S70/100*'Tariffs Jan2022'!AI70,0)</f>
        <v>494.99999999999989</v>
      </c>
      <c r="J76" s="59">
        <f>IF($C$5*'Tariffs Jan2022'!AL70/'Tariffs Jan2022'!AJ70&gt;='Tariffs Jan2022'!J70,('Tariffs Jan2022'!J70*'Tariffs Jan2022'!U70/100)* 'Tariffs Jan2022'!AJ70,($C$5*'Tariffs Jan2022'!AL70/'Tariffs Jan2022'!AJ70*'Tariffs Jan2022'!U70/100)* 'Tariffs Jan2022'!AJ70)</f>
        <v>171.82772727272726</v>
      </c>
      <c r="K76" s="59">
        <f>IF($C$5*'Tariffs Jan2022'!AL70/'Tariffs Jan2022'!AJ70&lt;'Tariffs Jan2022'!J70,0,IF($C$5*'Tariffs Jan2022'!AL70/'Tariffs Jan2022'!AJ70&lt;='Tariffs Jan2022'!K70,($C$5*'Tariffs Jan2022'!AL70/'Tariffs Jan2022'!AJ70-'Tariffs Jan2022'!J70)*('Tariffs Jan2022'!V70/100)*'Tariffs Jan2022'!AJ70,('Tariffs Jan2022'!K70-'Tariffs Jan2022'!J70)*('Tariffs Jan2022'!V70/100)*'Tariffs Jan2022'!AJ70))</f>
        <v>107.16818181818181</v>
      </c>
      <c r="L76" s="59">
        <f>IF($C$5*'Tariffs Jan2022'!AL70/'Tariffs Jan2022'!AJ70&lt;'Tariffs Jan2022'!K70,0,IF($C$5*'Tariffs Jan2022'!AL70/'Tariffs Jan2022'!AJ70&lt;='Tariffs Jan2022'!L70,($C$5*'Tariffs Jan2022'!AL70/'Tariffs Jan2022'!AJ70-'Tariffs Jan2022'!K70)*('Tariffs Jan2022'!W70/100)*'Tariffs Jan2022'!AJ70,('Tariffs Jan2022'!L70-'Tariffs Jan2022'!K70)*('Tariffs Jan2022'!W70/100)*'Tariffs Jan2022'!AJ70))</f>
        <v>0</v>
      </c>
      <c r="M76" s="59">
        <f>IF($C$5*'Tariffs Jan2022'!AL70/'Tariffs Jan2022'!AJ70&lt;'Tariffs Jan2022'!L70,0,IF($C$5*'Tariffs Jan2022'!AL70/'Tariffs Jan2022'!AJ70&lt;='Tariffs Jan2022'!M70,($C$5*'Tariffs Jan2022'!AL70/'Tariffs Jan2022'!AJ70-'Tariffs Jan2022'!L70)*('Tariffs Jan2022'!X70/100)*'Tariffs Jan2022'!AJ70,('Tariffs Jan2022'!M70-'Tariffs Jan2022'!L70)*('Tariffs Jan2022'!X70/100)*'Tariffs Jan2022'!AJ70))</f>
        <v>0</v>
      </c>
      <c r="N76" s="59">
        <f>IF(($C$5*'Tariffs Jan2022'!AL70/'Tariffs Jan2022'!AJ70&gt;'Tariffs Jan2022'!M70),($C$5*'Tariffs Jan2022'!AL70/'Tariffs Jan2022'!AJ70-'Tariffs Jan2022'!M70)*'Tariffs Jan2022'!Y70/100*'Tariffs Jan2022'!AJ70,0)</f>
        <v>494.99999999999989</v>
      </c>
      <c r="O76" s="59">
        <f t="shared" si="1"/>
        <v>1547.991818181818</v>
      </c>
      <c r="P76" s="503">
        <f t="shared" si="92"/>
        <v>1702.7909999999999</v>
      </c>
      <c r="Q76" s="59">
        <f t="shared" si="3"/>
        <v>1866.2718181818179</v>
      </c>
      <c r="R76" s="272">
        <f t="shared" si="4"/>
        <v>2052.8989999999999</v>
      </c>
      <c r="S76" s="40">
        <f>'Tariffs Jan2022'!AN70</f>
        <v>24</v>
      </c>
      <c r="T76" s="40">
        <f>'Tariffs Jan2022'!AO70</f>
        <v>0</v>
      </c>
      <c r="U76" s="40">
        <f>'Tariffs Jan2022'!AP70</f>
        <v>0</v>
      </c>
      <c r="V76" s="40">
        <f>'Tariffs Jan2022'!AQ70</f>
        <v>0</v>
      </c>
      <c r="W76" s="537" t="str">
        <f t="shared" si="93"/>
        <v>Guaranteed off bill</v>
      </c>
      <c r="X76" s="538" t="str">
        <f t="shared" si="94"/>
        <v>Exclusive</v>
      </c>
      <c r="Y76" s="534">
        <f t="shared" ref="Y76" si="97">IF(AND(W76="Guaranteed off bill",X76="Inclusive"),((Q76*1.1)-((Q76*1.1)*S76/100))/1.1,IF(AND(W76="Guaranteed off usage",X76="Inclusive"),((Q76*1.1)-((P76*1.1)*T76/100))/1.1,IF(AND(W76="Guaranteed off bill",X76="Exclusive"),Q76-(Q76*S76/100),IF(AND(W76="Guaranteed off usage",X76="Exclusive"),Q76-(P76*T76/100),IF(X76="Inclusive",((Q76*1.1))/1.1,Q76)))))</f>
        <v>1418.3665818181817</v>
      </c>
      <c r="Z76" s="535">
        <f t="shared" ref="Z76" si="98">IF(AND(W76="Pay-on-time off bill",X76="Inclusive"),((Y76*1.1)-((Y76*1.1)*U76/100))/1.1,IF(AND(W76="Pay-on-time off usage",X76="Inclusive"),((Y76*1.1)-((P76*1.1)*V76/100))/1.1,IF(AND(W76="Pay-on-time off bill",X76="Exclusive"),Y76-(Y76*U76/100),IF(AND(W76="Pay-on-time off usage",X76="Exclusive"),Y76-(P76*V76/100),IF(X76="Inclusive",((Y76*1.1))/1.1,Y76)))))</f>
        <v>1418.3665818181817</v>
      </c>
      <c r="AA76" s="542">
        <f t="shared" si="91"/>
        <v>1560.2032400000001</v>
      </c>
      <c r="AB76" s="542">
        <f t="shared" si="91"/>
        <v>1560.2032400000001</v>
      </c>
      <c r="AC76" s="274">
        <f>'Tariffs Jan2022'!AZ70</f>
        <v>12</v>
      </c>
      <c r="AD76" s="274" t="str">
        <f>'Tariffs Jan2022'!BA70</f>
        <v>n</v>
      </c>
      <c r="AE76" s="275" t="str">
        <f>'Tariffs Jan2022'!BJ70</f>
        <v>N</v>
      </c>
      <c r="AF76" s="577"/>
      <c r="AG76" s="577"/>
      <c r="AH76" s="577"/>
      <c r="AI76" s="577"/>
      <c r="AJ76" s="577"/>
      <c r="AK76" s="577"/>
      <c r="AL76" s="577"/>
      <c r="AM76" s="577"/>
      <c r="AN76" s="577"/>
      <c r="AO76" s="577"/>
      <c r="AP76" s="577"/>
      <c r="AQ76" s="577"/>
      <c r="AR76" s="577"/>
      <c r="AS76" s="577"/>
      <c r="AT76" s="577"/>
      <c r="AU76" s="577"/>
      <c r="AV76" s="577"/>
      <c r="AW76" s="577"/>
    </row>
    <row r="77" spans="1:49" ht="14" x14ac:dyDescent="0.15">
      <c r="A77" s="270" t="str">
        <f>'Tariffs Jan2022'!F71</f>
        <v>Lumo Energy</v>
      </c>
      <c r="B77" s="40" t="str">
        <f>'Tariffs Jan2022'!D71</f>
        <v>AGN Central 1</v>
      </c>
      <c r="C77" s="40" t="str">
        <f>'Tariffs Jan2022'!G71</f>
        <v>Value</v>
      </c>
      <c r="D77" s="59">
        <f>365*'Tariffs Jan2022'!H71/100</f>
        <v>251.48500000000004</v>
      </c>
      <c r="E77" s="59">
        <f>IF($C$5*'Tariffs Jan2022'!AK71/'Tariffs Jan2022'!AI71&gt;='Tariffs Jan2022'!J71,( 'Tariffs Jan2022'!J71*'Tariffs Jan2022'!O71/100)* 'Tariffs Jan2022'!AI71,($C$5*'Tariffs Jan2022'!AK71/'Tariffs Jan2022'!AI71*'Tariffs Jan2022'!O71/100)* 'Tariffs Jan2022'!AI71)</f>
        <v>102.73772727272726</v>
      </c>
      <c r="F77" s="59">
        <f>IF($C$5*'Tariffs Jan2022'!AK71/'Tariffs Jan2022'!AI71&lt;'Tariffs Jan2022'!J71,0,IF($C$5*'Tariffs Jan2022'!AK71/'Tariffs Jan2022'!AI71&lt;='Tariffs Jan2022'!K71,($C$5*'Tariffs Jan2022'!AK71/'Tariffs Jan2022'!AI71-'Tariffs Jan2022'!J71)*('Tariffs Jan2022'!P71/100)*'Tariffs Jan2022'!AI71,('Tariffs Jan2022'!K71-'Tariffs Jan2022'!J71)*('Tariffs Jan2022'!P71/100)*'Tariffs Jan2022'!AI71))</f>
        <v>80.560909090909092</v>
      </c>
      <c r="G77" s="59">
        <f>IF($C$5*'Tariffs Jan2022'!AK71/'Tariffs Jan2022'!AI71&lt;'Tariffs Jan2022'!K71,0,IF($C$5*'Tariffs Jan2022'!AK71/'Tariffs Jan2022'!AI71&lt;='Tariffs Jan2022'!L71,($C$5*'Tariffs Jan2022'!AK71/'Tariffs Jan2022'!AI71-'Tariffs Jan2022'!K71)*('Tariffs Jan2022'!Q71/100)*'Tariffs Jan2022'!AI71,('Tariffs Jan2022'!L71-'Tariffs Jan2022'!K71)*('Tariffs Jan2022'!Q71/100)*'Tariffs Jan2022'!AI71))</f>
        <v>0</v>
      </c>
      <c r="H77" s="59">
        <f>IF($C$5*'Tariffs Jan2022'!AK71/'Tariffs Jan2022'!AI71&lt;'Tariffs Jan2022'!L71,0,IF($C$5*'Tariffs Jan2022'!AK71/'Tariffs Jan2022'!AI71&lt;='Tariffs Jan2022'!M71,($C$5*'Tariffs Jan2022'!AK71/'Tariffs Jan2022'!AI71-'Tariffs Jan2022'!L71)*('Tariffs Jan2022'!R71/100)*'Tariffs Jan2022'!AI71,('Tariffs Jan2022'!M71-'Tariffs Jan2022'!L71)*('Tariffs Jan2022'!R71/100)*'Tariffs Jan2022'!AI71))</f>
        <v>0</v>
      </c>
      <c r="I77" s="59">
        <f>IF(($C$5*'Tariffs Jan2022'!AK71/'Tariffs Jan2022'!AI71&gt;'Tariffs Jan2022'!M71),($C$5*'Tariffs Jan2022'!AK71/'Tariffs Jan2022'!AI71-'Tariffs Jan2022'!M71)*'Tariffs Jan2022'!S71/100*'Tariffs Jan2022'!AI71,0)</f>
        <v>415.22727272727275</v>
      </c>
      <c r="J77" s="59">
        <f>IF($C$5*'Tariffs Jan2022'!AL71/'Tariffs Jan2022'!AJ71&gt;='Tariffs Jan2022'!J71,('Tariffs Jan2022'!J71*'Tariffs Jan2022'!U71/100)* 'Tariffs Jan2022'!AJ71,($C$5*'Tariffs Jan2022'!AL71/'Tariffs Jan2022'!AJ71*'Tariffs Jan2022'!U71/100)* 'Tariffs Jan2022'!AJ71)</f>
        <v>102.73772727272726</v>
      </c>
      <c r="K77" s="59">
        <f>IF($C$5*'Tariffs Jan2022'!AL71/'Tariffs Jan2022'!AJ71&lt;'Tariffs Jan2022'!J71,0,IF($C$5*'Tariffs Jan2022'!AL71/'Tariffs Jan2022'!AJ71&lt;='Tariffs Jan2022'!K71,($C$5*'Tariffs Jan2022'!AL71/'Tariffs Jan2022'!AJ71-'Tariffs Jan2022'!J71)*('Tariffs Jan2022'!V71/100)*'Tariffs Jan2022'!AJ71,('Tariffs Jan2022'!K71-'Tariffs Jan2022'!J71)*('Tariffs Jan2022'!V71/100)*'Tariffs Jan2022'!AJ71))</f>
        <v>80.560909090909092</v>
      </c>
      <c r="L77" s="59">
        <f>IF($C$5*'Tariffs Jan2022'!AL71/'Tariffs Jan2022'!AJ71&lt;'Tariffs Jan2022'!K71,0,IF($C$5*'Tariffs Jan2022'!AL71/'Tariffs Jan2022'!AJ71&lt;='Tariffs Jan2022'!L71,($C$5*'Tariffs Jan2022'!AL71/'Tariffs Jan2022'!AJ71-'Tariffs Jan2022'!K71)*('Tariffs Jan2022'!W71/100)*'Tariffs Jan2022'!AJ71,('Tariffs Jan2022'!L71-'Tariffs Jan2022'!K71)*('Tariffs Jan2022'!W71/100)*'Tariffs Jan2022'!AJ71))</f>
        <v>0</v>
      </c>
      <c r="M77" s="59">
        <f>IF($C$5*'Tariffs Jan2022'!AL71/'Tariffs Jan2022'!AJ71&lt;'Tariffs Jan2022'!L71,0,IF($C$5*'Tariffs Jan2022'!AL71/'Tariffs Jan2022'!AJ71&lt;='Tariffs Jan2022'!M71,($C$5*'Tariffs Jan2022'!AL71/'Tariffs Jan2022'!AJ71-'Tariffs Jan2022'!L71)*('Tariffs Jan2022'!X71/100)*'Tariffs Jan2022'!AJ71,('Tariffs Jan2022'!M71-'Tariffs Jan2022'!L71)*('Tariffs Jan2022'!X71/100)*'Tariffs Jan2022'!AJ71))</f>
        <v>0</v>
      </c>
      <c r="N77" s="59">
        <f>IF(($C$5*'Tariffs Jan2022'!AL71/'Tariffs Jan2022'!AJ71&gt;'Tariffs Jan2022'!M71),($C$5*'Tariffs Jan2022'!AL71/'Tariffs Jan2022'!AJ71-'Tariffs Jan2022'!M71)*'Tariffs Jan2022'!Y71/100*'Tariffs Jan2022'!AJ71,0)</f>
        <v>415.22727272727275</v>
      </c>
      <c r="O77" s="59">
        <f t="shared" si="1"/>
        <v>1197.0518181818181</v>
      </c>
      <c r="P77" s="503">
        <f t="shared" si="92"/>
        <v>1316.7570000000001</v>
      </c>
      <c r="Q77" s="59">
        <f t="shared" si="3"/>
        <v>1448.5368181818183</v>
      </c>
      <c r="R77" s="272">
        <f t="shared" si="4"/>
        <v>1593.3905000000002</v>
      </c>
      <c r="S77" s="40">
        <f>'Tariffs Jan2022'!AN71</f>
        <v>0</v>
      </c>
      <c r="T77" s="40">
        <f>'Tariffs Jan2022'!AO71</f>
        <v>0</v>
      </c>
      <c r="U77" s="40">
        <f>'Tariffs Jan2022'!AP71</f>
        <v>0</v>
      </c>
      <c r="V77" s="40">
        <f>'Tariffs Jan2022'!AQ71</f>
        <v>0</v>
      </c>
      <c r="W77" s="537" t="str">
        <f t="shared" si="93"/>
        <v>No discount</v>
      </c>
      <c r="X77" s="538" t="str">
        <f t="shared" si="94"/>
        <v>Exclusive</v>
      </c>
      <c r="Y77" s="534">
        <f>IF(AND(W77="Guaranteed off bill",X77="Inclusive"),((Q77*1.1)-((Q77*1.1)*S77/100))/1.1,IF(AND(W77="Guaranteed off usage",X77="Inclusive"),((Q77*1.1)-((P77*1.1)*T77/100))/1.1,IF(AND(W77="Guaranteed off bill",X77="Exclusive"),Q77-(Q77*S77/100),IF(AND(W77="Guaranteed off usage",X77="Exclusive"),Q77-(P77*T77/100),IF(X77="Inclusive",((Q77*1.1))/1.1,Q77)))))</f>
        <v>1448.5368181818183</v>
      </c>
      <c r="Z77" s="535">
        <f>IF(AND(W77="Pay-on-time off bill",X77="Inclusive"),((Y77*1.1)-((Y77*1.1)*U77/100))/1.1,IF(AND(W77="Pay-on-time off usage",X77="Inclusive"),((Y77*1.1)-((P77*1.1)*V77/100))/1.1,IF(AND(W77="Pay-on-time off bill",X77="Exclusive"),Y77-(Y77*U77/100),IF(AND(W77="Pay-on-time off usage",X77="Exclusive"),Y77-(P77*V77/100),IF(X77="Inclusive",((Y77*1.1))/1.1,Y77)))))</f>
        <v>1448.5368181818183</v>
      </c>
      <c r="AA77" s="542">
        <f t="shared" si="91"/>
        <v>1593.3905000000002</v>
      </c>
      <c r="AB77" s="542">
        <f t="shared" si="91"/>
        <v>1593.3905000000002</v>
      </c>
      <c r="AC77" s="274">
        <f>'Tariffs Jan2022'!AZ71</f>
        <v>0</v>
      </c>
      <c r="AD77" s="274" t="str">
        <f>'Tariffs Jan2022'!BA71</f>
        <v>n</v>
      </c>
      <c r="AE77" s="275" t="str">
        <f>'Tariffs Jan2022'!BJ71</f>
        <v>N</v>
      </c>
      <c r="AF77" s="577"/>
      <c r="AG77" s="577"/>
      <c r="AH77" s="577"/>
      <c r="AI77" s="577"/>
      <c r="AJ77" s="577"/>
      <c r="AK77" s="577"/>
      <c r="AL77" s="577"/>
      <c r="AM77" s="577"/>
      <c r="AN77" s="577"/>
      <c r="AO77" s="577"/>
      <c r="AP77" s="577"/>
      <c r="AQ77" s="577"/>
      <c r="AR77" s="577"/>
      <c r="AS77" s="577"/>
      <c r="AT77" s="577"/>
      <c r="AU77" s="577"/>
      <c r="AV77" s="577"/>
      <c r="AW77" s="577"/>
    </row>
    <row r="78" spans="1:49" ht="14" x14ac:dyDescent="0.15">
      <c r="A78" s="270" t="str">
        <f>'Tariffs Jan2022'!F72</f>
        <v>Momentum Energy</v>
      </c>
      <c r="B78" s="40" t="str">
        <f>'Tariffs Jan2022'!D72</f>
        <v>AGN Central 1</v>
      </c>
      <c r="C78" s="40" t="str">
        <f>'Tariffs Jan2022'!G72</f>
        <v>Market offer</v>
      </c>
      <c r="D78" s="59">
        <f>365*'Tariffs Jan2022'!H72/100</f>
        <v>289.08</v>
      </c>
      <c r="E78" s="59">
        <f>IF($C$5*'Tariffs Jan2022'!AK72/'Tariffs Jan2022'!AI72&gt;='Tariffs Jan2022'!J72,( 'Tariffs Jan2022'!J72*'Tariffs Jan2022'!O72/100)* 'Tariffs Jan2022'!AI72,($C$5*'Tariffs Jan2022'!AK72/'Tariffs Jan2022'!AI72*'Tariffs Jan2022'!O72/100)* 'Tariffs Jan2022'!AI72)</f>
        <v>85.539999999999978</v>
      </c>
      <c r="F78" s="59">
        <f>IF($C$5*'Tariffs Jan2022'!AK72/'Tariffs Jan2022'!AI72&lt;'Tariffs Jan2022'!J72,0,IF($C$5*'Tariffs Jan2022'!AK72/'Tariffs Jan2022'!AI72&lt;='Tariffs Jan2022'!K72,($C$5*'Tariffs Jan2022'!AK72/'Tariffs Jan2022'!AI72-'Tariffs Jan2022'!J72)*('Tariffs Jan2022'!P72/100)*'Tariffs Jan2022'!AI72,('Tariffs Jan2022'!K72-'Tariffs Jan2022'!J72)*('Tariffs Jan2022'!P72/100)*'Tariffs Jan2022'!AI72))</f>
        <v>59.62</v>
      </c>
      <c r="G78" s="59">
        <f>IF($C$5*'Tariffs Jan2022'!AK72/'Tariffs Jan2022'!AI72&lt;'Tariffs Jan2022'!K72,0,IF($C$5*'Tariffs Jan2022'!AK72/'Tariffs Jan2022'!AI72&lt;='Tariffs Jan2022'!L72,($C$5*'Tariffs Jan2022'!AK72/'Tariffs Jan2022'!AI72-'Tariffs Jan2022'!K72)*('Tariffs Jan2022'!Q72/100)*'Tariffs Jan2022'!AI72,('Tariffs Jan2022'!L72-'Tariffs Jan2022'!K72)*('Tariffs Jan2022'!Q72/100)*'Tariffs Jan2022'!AI72))</f>
        <v>0</v>
      </c>
      <c r="H78" s="59">
        <f>IF($C$5*'Tariffs Jan2022'!AK72/'Tariffs Jan2022'!AI72&lt;'Tariffs Jan2022'!L72,0,IF($C$5*'Tariffs Jan2022'!AK72/'Tariffs Jan2022'!AI72&lt;='Tariffs Jan2022'!M72,($C$5*'Tariffs Jan2022'!AK72/'Tariffs Jan2022'!AI72-'Tariffs Jan2022'!L72)*('Tariffs Jan2022'!R72/100)*'Tariffs Jan2022'!AI72,('Tariffs Jan2022'!M72-'Tariffs Jan2022'!L72)*('Tariffs Jan2022'!R72/100)*'Tariffs Jan2022'!AI72))</f>
        <v>0</v>
      </c>
      <c r="I78" s="59">
        <f>IF(($C$5*'Tariffs Jan2022'!AK72/'Tariffs Jan2022'!AI72&gt;'Tariffs Jan2022'!M72),($C$5*'Tariffs Jan2022'!AK72/'Tariffs Jan2022'!AI72-'Tariffs Jan2022'!M72)*'Tariffs Jan2022'!S72/100*'Tariffs Jan2022'!AI72,0)</f>
        <v>284.9600999999999</v>
      </c>
      <c r="J78" s="59">
        <f>IF($C$5*'Tariffs Jan2022'!AL72/'Tariffs Jan2022'!AJ72&gt;='Tariffs Jan2022'!J72,('Tariffs Jan2022'!J72*'Tariffs Jan2022'!U72/100)* 'Tariffs Jan2022'!AJ72,($C$5*'Tariffs Jan2022'!AL72/'Tariffs Jan2022'!AJ72*'Tariffs Jan2022'!U72/100)* 'Tariffs Jan2022'!AJ72)</f>
        <v>157.91999999999999</v>
      </c>
      <c r="K78" s="59">
        <f>IF($C$5*'Tariffs Jan2022'!AL72/'Tariffs Jan2022'!AJ72&lt;'Tariffs Jan2022'!J72,0,IF($C$5*'Tariffs Jan2022'!AL72/'Tariffs Jan2022'!AJ72&lt;='Tariffs Jan2022'!K72,($C$5*'Tariffs Jan2022'!AL72/'Tariffs Jan2022'!AJ72-'Tariffs Jan2022'!J72)*('Tariffs Jan2022'!V72/100)*'Tariffs Jan2022'!AJ72,('Tariffs Jan2022'!K72-'Tariffs Jan2022'!J72)*('Tariffs Jan2022'!V72/100)*'Tariffs Jan2022'!AJ72))</f>
        <v>108.4</v>
      </c>
      <c r="L78" s="59">
        <f>IF($C$5*'Tariffs Jan2022'!AL72/'Tariffs Jan2022'!AJ72&lt;'Tariffs Jan2022'!K72,0,IF($C$5*'Tariffs Jan2022'!AL72/'Tariffs Jan2022'!AJ72&lt;='Tariffs Jan2022'!L72,($C$5*'Tariffs Jan2022'!AL72/'Tariffs Jan2022'!AJ72-'Tariffs Jan2022'!K72)*('Tariffs Jan2022'!W72/100)*'Tariffs Jan2022'!AJ72,('Tariffs Jan2022'!L72-'Tariffs Jan2022'!K72)*('Tariffs Jan2022'!W72/100)*'Tariffs Jan2022'!AJ72))</f>
        <v>0</v>
      </c>
      <c r="M78" s="59">
        <f>IF($C$5*'Tariffs Jan2022'!AL72/'Tariffs Jan2022'!AJ72&lt;'Tariffs Jan2022'!L72,0,IF($C$5*'Tariffs Jan2022'!AL72/'Tariffs Jan2022'!AJ72&lt;='Tariffs Jan2022'!M72,($C$5*'Tariffs Jan2022'!AL72/'Tariffs Jan2022'!AJ72-'Tariffs Jan2022'!L72)*('Tariffs Jan2022'!X72/100)*'Tariffs Jan2022'!AJ72,('Tariffs Jan2022'!M72-'Tariffs Jan2022'!L72)*('Tariffs Jan2022'!X72/100)*'Tariffs Jan2022'!AJ72))</f>
        <v>0</v>
      </c>
      <c r="N78" s="59">
        <f>IF(($C$5*'Tariffs Jan2022'!AL72/'Tariffs Jan2022'!AJ72&gt;'Tariffs Jan2022'!M72),($C$5*'Tariffs Jan2022'!AL72/'Tariffs Jan2022'!AJ72-'Tariffs Jan2022'!M72)*'Tariffs Jan2022'!Y72/100*'Tariffs Jan2022'!AJ72,0)</f>
        <v>509.92859999999996</v>
      </c>
      <c r="O78" s="59">
        <f>SUM(E78:N78)</f>
        <v>1206.3686999999998</v>
      </c>
      <c r="P78" s="503">
        <f t="shared" si="92"/>
        <v>1327.0055699999998</v>
      </c>
      <c r="Q78" s="59">
        <f>D78+O78</f>
        <v>1495.4486999999997</v>
      </c>
      <c r="R78" s="272">
        <f>Q78*1.1</f>
        <v>1644.9935699999999</v>
      </c>
      <c r="S78" s="40">
        <f>'Tariffs Jan2022'!AN72</f>
        <v>0</v>
      </c>
      <c r="T78" s="40">
        <f>'Tariffs Jan2022'!AO72</f>
        <v>0</v>
      </c>
      <c r="U78" s="40">
        <f>'Tariffs Jan2022'!AP72</f>
        <v>0</v>
      </c>
      <c r="V78" s="40">
        <f>'Tariffs Jan2022'!AQ72</f>
        <v>0</v>
      </c>
      <c r="W78" s="537" t="str">
        <f t="shared" si="93"/>
        <v>No discount</v>
      </c>
      <c r="X78" s="538" t="str">
        <f t="shared" si="94"/>
        <v>Exclusive</v>
      </c>
      <c r="Y78" s="534">
        <f t="shared" ref="Y78" si="99">IF(AND(W78="Guaranteed off bill",X78="Inclusive"),((Q78*1.1)-((Q78*1.1)*S78/100))/1.1,IF(AND(W78="Guaranteed off usage",X78="Inclusive"),((Q78*1.1)-((P78*1.1)*T78/100))/1.1,IF(AND(W78="Guaranteed off bill",X78="Exclusive"),Q78-(Q78*S78/100),IF(AND(W78="Guaranteed off usage",X78="Exclusive"),Q78-(P78*T78/100),IF(X78="Inclusive",((Q78*1.1))/1.1,Q78)))))</f>
        <v>1495.4486999999997</v>
      </c>
      <c r="Z78" s="535">
        <f t="shared" ref="Z78" si="100">IF(AND(W78="Pay-on-time off bill",X78="Inclusive"),((Y78*1.1)-((Y78*1.1)*U78/100))/1.1,IF(AND(W78="Pay-on-time off usage",X78="Inclusive"),((Y78*1.1)-((P78*1.1)*V78/100))/1.1,IF(AND(W78="Pay-on-time off bill",X78="Exclusive"),Y78-(Y78*U78/100),IF(AND(W78="Pay-on-time off usage",X78="Exclusive"),Y78-(P78*V78/100),IF(X78="Inclusive",((Y78*1.1))/1.1,Y78)))))</f>
        <v>1495.4486999999997</v>
      </c>
      <c r="AA78" s="542">
        <f t="shared" si="91"/>
        <v>1644.9935699999999</v>
      </c>
      <c r="AB78" s="542">
        <f t="shared" si="91"/>
        <v>1644.9935699999999</v>
      </c>
      <c r="AC78" s="274">
        <f>'Tariffs Jan2022'!AZ72</f>
        <v>0</v>
      </c>
      <c r="AD78" s="274" t="str">
        <f>'Tariffs Jan2022'!BA72</f>
        <v>n</v>
      </c>
      <c r="AE78" s="275" t="str">
        <f>'Tariffs Jan2022'!BJ72</f>
        <v>N</v>
      </c>
      <c r="AF78" s="577"/>
      <c r="AG78" s="577"/>
      <c r="AH78" s="577"/>
      <c r="AI78" s="577"/>
      <c r="AJ78" s="577"/>
      <c r="AK78" s="577"/>
      <c r="AL78" s="577"/>
      <c r="AM78" s="577"/>
      <c r="AN78" s="577"/>
      <c r="AO78" s="577"/>
      <c r="AP78" s="577"/>
      <c r="AQ78" s="577"/>
      <c r="AR78" s="577"/>
      <c r="AS78" s="577"/>
      <c r="AT78" s="577"/>
      <c r="AU78" s="577"/>
      <c r="AV78" s="577"/>
      <c r="AW78" s="577"/>
    </row>
    <row r="79" spans="1:49" ht="14" x14ac:dyDescent="0.15">
      <c r="A79" s="270" t="str">
        <f>'Tariffs Jan2022'!F73</f>
        <v>Origin Energy</v>
      </c>
      <c r="B79" s="40" t="str">
        <f>'Tariffs Jan2022'!D73</f>
        <v>AGN Central 1</v>
      </c>
      <c r="C79" s="40" t="str">
        <f>'Tariffs Jan2022'!G73</f>
        <v>Go</v>
      </c>
      <c r="D79" s="59">
        <f>365*'Tariffs Jan2022'!H73/100</f>
        <v>243.8863636363636</v>
      </c>
      <c r="E79" s="59">
        <f>IF($C$5*'Tariffs Jan2022'!AK73/'Tariffs Jan2022'!AI73&gt;='Tariffs Jan2022'!J73,( 'Tariffs Jan2022'!J73*'Tariffs Jan2022'!O73/100)* 'Tariffs Jan2022'!AI73,($C$5*'Tariffs Jan2022'!AK73/'Tariffs Jan2022'!AI73*'Tariffs Jan2022'!O73/100)* 'Tariffs Jan2022'!AI73)</f>
        <v>409.09090909090901</v>
      </c>
      <c r="F79" s="59">
        <f>IF($C$5*'Tariffs Jan2022'!AK73/'Tariffs Jan2022'!AI73&lt;'Tariffs Jan2022'!J73,0,IF($C$5*'Tariffs Jan2022'!AK73/'Tariffs Jan2022'!AI73&lt;='Tariffs Jan2022'!K73,($C$5*'Tariffs Jan2022'!AK73/'Tariffs Jan2022'!AI73-'Tariffs Jan2022'!J73)*('Tariffs Jan2022'!P73/100)*'Tariffs Jan2022'!AI73,('Tariffs Jan2022'!K73-'Tariffs Jan2022'!J73)*('Tariffs Jan2022'!P73/100)*'Tariffs Jan2022'!AI73))</f>
        <v>283.5</v>
      </c>
      <c r="G79" s="59">
        <f>IF($C$5*'Tariffs Jan2022'!AK73/'Tariffs Jan2022'!AI73&lt;'Tariffs Jan2022'!K73,0,IF($C$5*'Tariffs Jan2022'!AK73/'Tariffs Jan2022'!AI73&lt;='Tariffs Jan2022'!L73,($C$5*'Tariffs Jan2022'!AK73/'Tariffs Jan2022'!AI73-'Tariffs Jan2022'!K73)*('Tariffs Jan2022'!Q73/100)*'Tariffs Jan2022'!AI73,('Tariffs Jan2022'!L73-'Tariffs Jan2022'!K73)*('Tariffs Jan2022'!Q73/100)*'Tariffs Jan2022'!AI73))</f>
        <v>0</v>
      </c>
      <c r="H79" s="59">
        <f>IF($C$5*'Tariffs Jan2022'!AK73/'Tariffs Jan2022'!AI73&lt;'Tariffs Jan2022'!L73,0,IF($C$5*'Tariffs Jan2022'!AK73/'Tariffs Jan2022'!AI73&lt;='Tariffs Jan2022'!M73,($C$5*'Tariffs Jan2022'!AK73/'Tariffs Jan2022'!AI73-'Tariffs Jan2022'!L73)*('Tariffs Jan2022'!R73/100)*'Tariffs Jan2022'!AI73,('Tariffs Jan2022'!M73-'Tariffs Jan2022'!L73)*('Tariffs Jan2022'!R73/100)*'Tariffs Jan2022'!AI73))</f>
        <v>0</v>
      </c>
      <c r="I79" s="59">
        <f>IF(($C$5*'Tariffs Jan2022'!AK73/'Tariffs Jan2022'!AI73&gt;'Tariffs Jan2022'!M73),($C$5*'Tariffs Jan2022'!AK73/'Tariffs Jan2022'!AI73-'Tariffs Jan2022'!M73)*'Tariffs Jan2022'!S73/100*'Tariffs Jan2022'!AI73,0)</f>
        <v>0</v>
      </c>
      <c r="J79" s="59">
        <f>IF($C$5*'Tariffs Jan2022'!AL73/'Tariffs Jan2022'!AJ73&gt;='Tariffs Jan2022'!J73,('Tariffs Jan2022'!J73*'Tariffs Jan2022'!U73/100)* 'Tariffs Jan2022'!AJ73,($C$5*'Tariffs Jan2022'!AL73/'Tariffs Jan2022'!AJ73*'Tariffs Jan2022'!U73/100)* 'Tariffs Jan2022'!AJ73)</f>
        <v>409.09090909090901</v>
      </c>
      <c r="K79" s="59">
        <f>IF($C$5*'Tariffs Jan2022'!AL73/'Tariffs Jan2022'!AJ73&lt;'Tariffs Jan2022'!J73,0,IF($C$5*'Tariffs Jan2022'!AL73/'Tariffs Jan2022'!AJ73&lt;='Tariffs Jan2022'!K73,($C$5*'Tariffs Jan2022'!AL73/'Tariffs Jan2022'!AJ73-'Tariffs Jan2022'!J73)*('Tariffs Jan2022'!V73/100)*'Tariffs Jan2022'!AJ73,('Tariffs Jan2022'!K73-'Tariffs Jan2022'!J73)*('Tariffs Jan2022'!V73/100)*'Tariffs Jan2022'!AJ73))</f>
        <v>283.5</v>
      </c>
      <c r="L79" s="59">
        <f>IF($C$5*'Tariffs Jan2022'!AL73/'Tariffs Jan2022'!AJ73&lt;'Tariffs Jan2022'!K73,0,IF($C$5*'Tariffs Jan2022'!AL73/'Tariffs Jan2022'!AJ73&lt;='Tariffs Jan2022'!L73,($C$5*'Tariffs Jan2022'!AL73/'Tariffs Jan2022'!AJ73-'Tariffs Jan2022'!K73)*('Tariffs Jan2022'!W73/100)*'Tariffs Jan2022'!AJ73,('Tariffs Jan2022'!L73-'Tariffs Jan2022'!K73)*('Tariffs Jan2022'!W73/100)*'Tariffs Jan2022'!AJ73))</f>
        <v>0</v>
      </c>
      <c r="M79" s="59">
        <f>IF($C$5*'Tariffs Jan2022'!AL73/'Tariffs Jan2022'!AJ73&lt;'Tariffs Jan2022'!L73,0,IF($C$5*'Tariffs Jan2022'!AL73/'Tariffs Jan2022'!AJ73&lt;='Tariffs Jan2022'!M73,($C$5*'Tariffs Jan2022'!AL73/'Tariffs Jan2022'!AJ73-'Tariffs Jan2022'!L73)*('Tariffs Jan2022'!X73/100)*'Tariffs Jan2022'!AJ73,('Tariffs Jan2022'!M73-'Tariffs Jan2022'!L73)*('Tariffs Jan2022'!X73/100)*'Tariffs Jan2022'!AJ73))</f>
        <v>0</v>
      </c>
      <c r="N79" s="59">
        <f>IF(($C$5*'Tariffs Jan2022'!AL73/'Tariffs Jan2022'!AJ73&gt;'Tariffs Jan2022'!M73),($C$5*'Tariffs Jan2022'!AL73/'Tariffs Jan2022'!AJ73-'Tariffs Jan2022'!M73)*'Tariffs Jan2022'!Y73/100*'Tariffs Jan2022'!AJ73,0)</f>
        <v>0</v>
      </c>
      <c r="O79" s="59">
        <f t="shared" si="1"/>
        <v>1385.181818181818</v>
      </c>
      <c r="P79" s="503">
        <f t="shared" si="92"/>
        <v>1523.7</v>
      </c>
      <c r="Q79" s="59">
        <f t="shared" si="3"/>
        <v>1629.0681818181815</v>
      </c>
      <c r="R79" s="272">
        <f t="shared" si="4"/>
        <v>1791.9749999999999</v>
      </c>
      <c r="S79" s="40">
        <f>'Tariffs Jan2022'!AN73</f>
        <v>0</v>
      </c>
      <c r="T79" s="40">
        <f>'Tariffs Jan2022'!AO73</f>
        <v>0</v>
      </c>
      <c r="U79" s="40">
        <f>'Tariffs Jan2022'!AP73</f>
        <v>0</v>
      </c>
      <c r="V79" s="40">
        <f>'Tariffs Jan2022'!AQ73</f>
        <v>0</v>
      </c>
      <c r="W79" s="537" t="str">
        <f t="shared" si="93"/>
        <v>No discount</v>
      </c>
      <c r="X79" s="538" t="str">
        <f t="shared" si="94"/>
        <v>Inclusive</v>
      </c>
      <c r="Y79" s="534">
        <f>IF(AND(W79="Guaranteed off bill",X79="Inclusive"),((Q79*1.1)-((Q79*1.1)*S79/100))/1.1,IF(AND(W79="Guaranteed off usage",X79="Inclusive"),((Q79*1.1)-((P79*1.1)*T79/100))/1.1,IF(AND(W79="Guaranteed off bill",X79="Exclusive"),Q79-(Q79*S79/100),IF(AND(W79="Guaranteed off usage",X79="Exclusive"),Q79-(P79*T79/100),IF(X79="Inclusive",((Q79*1.1))/1.1,Q79)))))</f>
        <v>1629.0681818181815</v>
      </c>
      <c r="Z79" s="535">
        <f>IF(AND(W79="Pay-on-time off bill",X79="Inclusive"),((Y79*1.1)-((Y79*1.1)*U79/100))/1.1,IF(AND(W79="Pay-on-time off usage",X79="Inclusive"),((Y79*1.1)-((P79*1.1)*V79/100))/1.1,IF(AND(W79="Pay-on-time off bill",X79="Exclusive"),Y79-(Y79*U79/100),IF(AND(W79="Pay-on-time off usage",X79="Exclusive"),Y79-(P79*V79/100),IF(X79="Inclusive",((Y79*1.1))/1.1,Y79)))))</f>
        <v>1629.0681818181815</v>
      </c>
      <c r="AA79" s="542">
        <f t="shared" si="91"/>
        <v>1791.9749999999999</v>
      </c>
      <c r="AB79" s="542">
        <f t="shared" si="91"/>
        <v>1791.9749999999999</v>
      </c>
      <c r="AC79" s="274">
        <f>'Tariffs Jan2022'!AZ73</f>
        <v>0</v>
      </c>
      <c r="AD79" s="274" t="str">
        <f>'Tariffs Jan2022'!BA73</f>
        <v>n</v>
      </c>
      <c r="AE79" s="275" t="str">
        <f>'Tariffs Jan2022'!BJ73</f>
        <v>N</v>
      </c>
      <c r="AF79" s="577"/>
      <c r="AG79" s="577"/>
      <c r="AH79" s="577"/>
      <c r="AI79" s="577"/>
      <c r="AJ79" s="577"/>
      <c r="AK79" s="577"/>
      <c r="AL79" s="577"/>
      <c r="AM79" s="577"/>
      <c r="AN79" s="577"/>
      <c r="AO79" s="577"/>
      <c r="AP79" s="577"/>
      <c r="AQ79" s="577"/>
      <c r="AR79" s="577"/>
      <c r="AS79" s="577"/>
      <c r="AT79" s="577"/>
      <c r="AU79" s="577"/>
      <c r="AV79" s="577"/>
      <c r="AW79" s="577"/>
    </row>
    <row r="80" spans="1:49" ht="14" x14ac:dyDescent="0.15">
      <c r="A80" s="270" t="str">
        <f>'Tariffs Jan2022'!F74</f>
        <v>Red Energy</v>
      </c>
      <c r="B80" s="40" t="str">
        <f>'Tariffs Jan2022'!D74</f>
        <v>AGN Central 1</v>
      </c>
      <c r="C80" s="40" t="str">
        <f>'Tariffs Jan2022'!G74</f>
        <v>Living Energy Saver</v>
      </c>
      <c r="D80" s="59">
        <f>365*'Tariffs Jan2022'!H74/100</f>
        <v>239.14136363636356</v>
      </c>
      <c r="E80" s="59">
        <f>IF($C$5*'Tariffs Jan2022'!AK74/'Tariffs Jan2022'!AI74&gt;='Tariffs Jan2022'!J74,( 'Tariffs Jan2022'!J74*'Tariffs Jan2022'!O74/100)* 'Tariffs Jan2022'!AI74,($C$5*'Tariffs Jan2022'!AK74/'Tariffs Jan2022'!AI74*'Tariffs Jan2022'!O74/100)* 'Tariffs Jan2022'!AI74)</f>
        <v>118.88863636363635</v>
      </c>
      <c r="F80" s="59">
        <f>IF($C$5*'Tariffs Jan2022'!AK74/'Tariffs Jan2022'!AI74&lt;'Tariffs Jan2022'!J74,0,IF($C$5*'Tariffs Jan2022'!AK74/'Tariffs Jan2022'!AI74&lt;='Tariffs Jan2022'!K74,($C$5*'Tariffs Jan2022'!AK74/'Tariffs Jan2022'!AI74-'Tariffs Jan2022'!J74)*('Tariffs Jan2022'!P74/100)*'Tariffs Jan2022'!AI74,('Tariffs Jan2022'!K74-'Tariffs Jan2022'!J74)*('Tariffs Jan2022'!P74/100)*'Tariffs Jan2022'!AI74))</f>
        <v>93.125454545454545</v>
      </c>
      <c r="G80" s="59">
        <f>IF($C$5*'Tariffs Jan2022'!AK74/'Tariffs Jan2022'!AI74&lt;'Tariffs Jan2022'!K74,0,IF($C$5*'Tariffs Jan2022'!AK74/'Tariffs Jan2022'!AI74&lt;='Tariffs Jan2022'!L74,($C$5*'Tariffs Jan2022'!AK74/'Tariffs Jan2022'!AI74-'Tariffs Jan2022'!K74)*('Tariffs Jan2022'!Q74/100)*'Tariffs Jan2022'!AI74,('Tariffs Jan2022'!L74-'Tariffs Jan2022'!K74)*('Tariffs Jan2022'!Q74/100)*'Tariffs Jan2022'!AI74))</f>
        <v>0</v>
      </c>
      <c r="H80" s="59">
        <f>IF($C$5*'Tariffs Jan2022'!AK74/'Tariffs Jan2022'!AI74&lt;'Tariffs Jan2022'!L74,0,IF($C$5*'Tariffs Jan2022'!AK74/'Tariffs Jan2022'!AI74&lt;='Tariffs Jan2022'!M74,($C$5*'Tariffs Jan2022'!AK74/'Tariffs Jan2022'!AI74-'Tariffs Jan2022'!L74)*('Tariffs Jan2022'!R74/100)*'Tariffs Jan2022'!AI74,('Tariffs Jan2022'!M74-'Tariffs Jan2022'!L74)*('Tariffs Jan2022'!R74/100)*'Tariffs Jan2022'!AI74))</f>
        <v>0</v>
      </c>
      <c r="I80" s="59">
        <f>IF(($C$5*'Tariffs Jan2022'!AK74/'Tariffs Jan2022'!AI74&gt;'Tariffs Jan2022'!M74),($C$5*'Tariffs Jan2022'!AK74/'Tariffs Jan2022'!AI74-'Tariffs Jan2022'!M74)*'Tariffs Jan2022'!S74/100*'Tariffs Jan2022'!AI74,0)</f>
        <v>370.22727272727275</v>
      </c>
      <c r="J80" s="59">
        <f>IF($C$5*'Tariffs Jan2022'!AL74/'Tariffs Jan2022'!AJ74&gt;='Tariffs Jan2022'!J74,('Tariffs Jan2022'!J74*'Tariffs Jan2022'!U74/100)* 'Tariffs Jan2022'!AJ74,($C$5*'Tariffs Jan2022'!AL74/'Tariffs Jan2022'!AJ74*'Tariffs Jan2022'!U74/100)* 'Tariffs Jan2022'!AJ74)</f>
        <v>118.88863636363635</v>
      </c>
      <c r="K80" s="59">
        <f>IF($C$5*'Tariffs Jan2022'!AL74/'Tariffs Jan2022'!AJ74&lt;'Tariffs Jan2022'!J74,0,IF($C$5*'Tariffs Jan2022'!AL74/'Tariffs Jan2022'!AJ74&lt;='Tariffs Jan2022'!K74,($C$5*'Tariffs Jan2022'!AL74/'Tariffs Jan2022'!AJ74-'Tariffs Jan2022'!J74)*('Tariffs Jan2022'!V74/100)*'Tariffs Jan2022'!AJ74,('Tariffs Jan2022'!K74-'Tariffs Jan2022'!J74)*('Tariffs Jan2022'!V74/100)*'Tariffs Jan2022'!AJ74))</f>
        <v>93.125454545454545</v>
      </c>
      <c r="L80" s="59">
        <f>IF($C$5*'Tariffs Jan2022'!AL74/'Tariffs Jan2022'!AJ74&lt;'Tariffs Jan2022'!K74,0,IF($C$5*'Tariffs Jan2022'!AL74/'Tariffs Jan2022'!AJ74&lt;='Tariffs Jan2022'!L74,($C$5*'Tariffs Jan2022'!AL74/'Tariffs Jan2022'!AJ74-'Tariffs Jan2022'!K74)*('Tariffs Jan2022'!W74/100)*'Tariffs Jan2022'!AJ74,('Tariffs Jan2022'!L74-'Tariffs Jan2022'!K74)*('Tariffs Jan2022'!W74/100)*'Tariffs Jan2022'!AJ74))</f>
        <v>0</v>
      </c>
      <c r="M80" s="59">
        <f>IF($C$5*'Tariffs Jan2022'!AL74/'Tariffs Jan2022'!AJ74&lt;'Tariffs Jan2022'!L74,0,IF($C$5*'Tariffs Jan2022'!AL74/'Tariffs Jan2022'!AJ74&lt;='Tariffs Jan2022'!M74,($C$5*'Tariffs Jan2022'!AL74/'Tariffs Jan2022'!AJ74-'Tariffs Jan2022'!L74)*('Tariffs Jan2022'!X74/100)*'Tariffs Jan2022'!AJ74,('Tariffs Jan2022'!M74-'Tariffs Jan2022'!L74)*('Tariffs Jan2022'!X74/100)*'Tariffs Jan2022'!AJ74))</f>
        <v>0</v>
      </c>
      <c r="N80" s="59">
        <f>IF(($C$5*'Tariffs Jan2022'!AL74/'Tariffs Jan2022'!AJ74&gt;'Tariffs Jan2022'!M74),($C$5*'Tariffs Jan2022'!AL74/'Tariffs Jan2022'!AJ74-'Tariffs Jan2022'!M74)*'Tariffs Jan2022'!Y74/100*'Tariffs Jan2022'!AJ74,0)</f>
        <v>370.22727272727275</v>
      </c>
      <c r="O80" s="59">
        <f t="shared" si="1"/>
        <v>1164.4827272727273</v>
      </c>
      <c r="P80" s="503">
        <f t="shared" si="92"/>
        <v>1280.931</v>
      </c>
      <c r="Q80" s="59">
        <f t="shared" si="3"/>
        <v>1403.6240909090909</v>
      </c>
      <c r="R80" s="272">
        <f t="shared" si="4"/>
        <v>1543.9865000000002</v>
      </c>
      <c r="S80" s="40">
        <f>'Tariffs Jan2022'!AN74</f>
        <v>0</v>
      </c>
      <c r="T80" s="40">
        <f>'Tariffs Jan2022'!AO74</f>
        <v>0</v>
      </c>
      <c r="U80" s="40">
        <f>'Tariffs Jan2022'!AP74</f>
        <v>0</v>
      </c>
      <c r="V80" s="40">
        <f>'Tariffs Jan2022'!AQ74</f>
        <v>0</v>
      </c>
      <c r="W80" s="537" t="str">
        <f t="shared" si="93"/>
        <v>No discount</v>
      </c>
      <c r="X80" s="538" t="str">
        <f t="shared" si="94"/>
        <v>Inclusive</v>
      </c>
      <c r="Y80" s="534">
        <f t="shared" ref="Y80:Y82" si="101">IF(AND(W80="Guaranteed off bill",X80="Inclusive"),((Q80*1.1)-((Q80*1.1)*S80/100))/1.1,IF(AND(W80="Guaranteed off usage",X80="Inclusive"),((Q80*1.1)-((P80*1.1)*T80/100))/1.1,IF(AND(W80="Guaranteed off bill",X80="Exclusive"),Q80-(Q80*S80/100),IF(AND(W80="Guaranteed off usage",X80="Exclusive"),Q80-(P80*T80/100),IF(X80="Inclusive",((Q80*1.1))/1.1,Q80)))))</f>
        <v>1403.6240909090909</v>
      </c>
      <c r="Z80" s="535">
        <f t="shared" ref="Z80:Z82" si="102">IF(AND(W80="Pay-on-time off bill",X80="Inclusive"),((Y80*1.1)-((Y80*1.1)*U80/100))/1.1,IF(AND(W80="Pay-on-time off usage",X80="Inclusive"),((Y80*1.1)-((P80*1.1)*V80/100))/1.1,IF(AND(W80="Pay-on-time off bill",X80="Exclusive"),Y80-(Y80*U80/100),IF(AND(W80="Pay-on-time off usage",X80="Exclusive"),Y80-(P80*V80/100),IF(X80="Inclusive",((Y80*1.1))/1.1,Y80)))))</f>
        <v>1403.6240909090909</v>
      </c>
      <c r="AA80" s="542">
        <f t="shared" si="91"/>
        <v>1543.9865000000002</v>
      </c>
      <c r="AB80" s="542">
        <f t="shared" si="91"/>
        <v>1543.9865000000002</v>
      </c>
      <c r="AC80" s="274">
        <f>'Tariffs Jan2022'!AZ74</f>
        <v>0</v>
      </c>
      <c r="AD80" s="274" t="str">
        <f>'Tariffs Jan2022'!BA74</f>
        <v>n</v>
      </c>
      <c r="AE80" s="275" t="str">
        <f>'Tariffs Jan2022'!BJ74</f>
        <v>N</v>
      </c>
      <c r="AF80" s="577"/>
      <c r="AG80" s="577"/>
      <c r="AH80" s="577"/>
      <c r="AI80" s="577"/>
      <c r="AJ80" s="577"/>
      <c r="AK80" s="577"/>
      <c r="AL80" s="577"/>
      <c r="AM80" s="577"/>
      <c r="AN80" s="577"/>
      <c r="AO80" s="577"/>
      <c r="AP80" s="577"/>
      <c r="AQ80" s="577"/>
      <c r="AR80" s="577"/>
      <c r="AS80" s="577"/>
      <c r="AT80" s="577"/>
      <c r="AU80" s="577"/>
      <c r="AV80" s="577"/>
      <c r="AW80" s="577"/>
    </row>
    <row r="81" spans="1:49" ht="14" x14ac:dyDescent="0.15">
      <c r="A81" s="270" t="str">
        <f>'Tariffs Jan2022'!F75</f>
        <v>Simply Energy</v>
      </c>
      <c r="B81" s="40" t="str">
        <f>'Tariffs Jan2022'!D75</f>
        <v>AGN Central 1</v>
      </c>
      <c r="C81" s="40" t="str">
        <f>'Tariffs Jan2022'!G75</f>
        <v>Blue perks</v>
      </c>
      <c r="D81" s="59">
        <f>365*'Tariffs Jan2022'!H75/100</f>
        <v>281.68045454545455</v>
      </c>
      <c r="E81" s="59">
        <f>IF($C$5*'Tariffs Jan2022'!AK75/'Tariffs Jan2022'!AI75&gt;='Tariffs Jan2022'!J75,( 'Tariffs Jan2022'!J75*'Tariffs Jan2022'!O75/100)* 'Tariffs Jan2022'!AI75,($C$5*'Tariffs Jan2022'!AK75/'Tariffs Jan2022'!AI75*'Tariffs Jan2022'!O75/100)* 'Tariffs Jan2022'!AI75)</f>
        <v>180.35181818181815</v>
      </c>
      <c r="F81" s="59">
        <f>IF($C$5*'Tariffs Jan2022'!AK75/'Tariffs Jan2022'!AI75&lt;'Tariffs Jan2022'!J75,0,IF($C$5*'Tariffs Jan2022'!AK75/'Tariffs Jan2022'!AI75&lt;='Tariffs Jan2022'!K75,($C$5*'Tariffs Jan2022'!AK75/'Tariffs Jan2022'!AI75-'Tariffs Jan2022'!J75)*('Tariffs Jan2022'!P75/100)*'Tariffs Jan2022'!AI75,('Tariffs Jan2022'!K75-'Tariffs Jan2022'!J75)*('Tariffs Jan2022'!P75/100)*'Tariffs Jan2022'!AI75))</f>
        <v>124.90636363636364</v>
      </c>
      <c r="G81" s="59">
        <f>IF($C$5*'Tariffs Jan2022'!AK75/'Tariffs Jan2022'!AI75&lt;'Tariffs Jan2022'!K75,0,IF($C$5*'Tariffs Jan2022'!AK75/'Tariffs Jan2022'!AI75&lt;='Tariffs Jan2022'!L75,($C$5*'Tariffs Jan2022'!AK75/'Tariffs Jan2022'!AI75-'Tariffs Jan2022'!K75)*('Tariffs Jan2022'!Q75/100)*'Tariffs Jan2022'!AI75,('Tariffs Jan2022'!L75-'Tariffs Jan2022'!K75)*('Tariffs Jan2022'!Q75/100)*'Tariffs Jan2022'!AI75))</f>
        <v>0</v>
      </c>
      <c r="H81" s="59">
        <f>IF($C$5*'Tariffs Jan2022'!AK75/'Tariffs Jan2022'!AI75&lt;'Tariffs Jan2022'!L75,0,IF($C$5*'Tariffs Jan2022'!AK75/'Tariffs Jan2022'!AI75&lt;='Tariffs Jan2022'!M75,($C$5*'Tariffs Jan2022'!AK75/'Tariffs Jan2022'!AI75-'Tariffs Jan2022'!L75)*('Tariffs Jan2022'!R75/100)*'Tariffs Jan2022'!AI75,('Tariffs Jan2022'!M75-'Tariffs Jan2022'!L75)*('Tariffs Jan2022'!R75/100)*'Tariffs Jan2022'!AI75))</f>
        <v>0</v>
      </c>
      <c r="I81" s="59">
        <f>IF(($C$5*'Tariffs Jan2022'!AK75/'Tariffs Jan2022'!AI75&gt;'Tariffs Jan2022'!M75),($C$5*'Tariffs Jan2022'!AK75/'Tariffs Jan2022'!AI75-'Tariffs Jan2022'!M75)*'Tariffs Jan2022'!S75/100*'Tariffs Jan2022'!AI75,0)</f>
        <v>578.86363636363626</v>
      </c>
      <c r="J81" s="59">
        <f>IF($C$5*'Tariffs Jan2022'!AL75/'Tariffs Jan2022'!AJ75&gt;='Tariffs Jan2022'!J75,('Tariffs Jan2022'!J75*'Tariffs Jan2022'!U75/100)* 'Tariffs Jan2022'!AJ75,($C$5*'Tariffs Jan2022'!AL75/'Tariffs Jan2022'!AJ75*'Tariffs Jan2022'!U75/100)* 'Tariffs Jan2022'!AJ75)</f>
        <v>180.35181818181815</v>
      </c>
      <c r="K81" s="59">
        <f>IF($C$5*'Tariffs Jan2022'!AL75/'Tariffs Jan2022'!AJ75&lt;'Tariffs Jan2022'!J75,0,IF($C$5*'Tariffs Jan2022'!AL75/'Tariffs Jan2022'!AJ75&lt;='Tariffs Jan2022'!K75,($C$5*'Tariffs Jan2022'!AL75/'Tariffs Jan2022'!AJ75-'Tariffs Jan2022'!J75)*('Tariffs Jan2022'!V75/100)*'Tariffs Jan2022'!AJ75,('Tariffs Jan2022'!K75-'Tariffs Jan2022'!J75)*('Tariffs Jan2022'!V75/100)*'Tariffs Jan2022'!AJ75))</f>
        <v>124.90636363636364</v>
      </c>
      <c r="L81" s="59">
        <f>IF($C$5*'Tariffs Jan2022'!AL75/'Tariffs Jan2022'!AJ75&lt;'Tariffs Jan2022'!K75,0,IF($C$5*'Tariffs Jan2022'!AL75/'Tariffs Jan2022'!AJ75&lt;='Tariffs Jan2022'!L75,($C$5*'Tariffs Jan2022'!AL75/'Tariffs Jan2022'!AJ75-'Tariffs Jan2022'!K75)*('Tariffs Jan2022'!W75/100)*'Tariffs Jan2022'!AJ75,('Tariffs Jan2022'!L75-'Tariffs Jan2022'!K75)*('Tariffs Jan2022'!W75/100)*'Tariffs Jan2022'!AJ75))</f>
        <v>0</v>
      </c>
      <c r="M81" s="59">
        <f>IF($C$5*'Tariffs Jan2022'!AL75/'Tariffs Jan2022'!AJ75&lt;'Tariffs Jan2022'!L75,0,IF($C$5*'Tariffs Jan2022'!AL75/'Tariffs Jan2022'!AJ75&lt;='Tariffs Jan2022'!M75,($C$5*'Tariffs Jan2022'!AL75/'Tariffs Jan2022'!AJ75-'Tariffs Jan2022'!L75)*('Tariffs Jan2022'!X75/100)*'Tariffs Jan2022'!AJ75,('Tariffs Jan2022'!M75-'Tariffs Jan2022'!L75)*('Tariffs Jan2022'!X75/100)*'Tariffs Jan2022'!AJ75))</f>
        <v>0</v>
      </c>
      <c r="N81" s="59">
        <f>IF(($C$5*'Tariffs Jan2022'!AL75/'Tariffs Jan2022'!AJ75&gt;'Tariffs Jan2022'!M75),($C$5*'Tariffs Jan2022'!AL75/'Tariffs Jan2022'!AJ75-'Tariffs Jan2022'!M75)*'Tariffs Jan2022'!Y75/100*'Tariffs Jan2022'!AJ75,0)</f>
        <v>578.86363636363626</v>
      </c>
      <c r="O81" s="59">
        <f t="shared" si="1"/>
        <v>1768.2436363636361</v>
      </c>
      <c r="P81" s="503">
        <f t="shared" si="92"/>
        <v>1945.068</v>
      </c>
      <c r="Q81" s="59">
        <f t="shared" si="3"/>
        <v>2049.9240909090909</v>
      </c>
      <c r="R81" s="272">
        <f t="shared" si="4"/>
        <v>2254.9165000000003</v>
      </c>
      <c r="S81" s="40">
        <f>'Tariffs Jan2022'!AN75</f>
        <v>32</v>
      </c>
      <c r="T81" s="40">
        <f>'Tariffs Jan2022'!AO75</f>
        <v>0</v>
      </c>
      <c r="U81" s="40">
        <f>'Tariffs Jan2022'!AP75</f>
        <v>0</v>
      </c>
      <c r="V81" s="40">
        <f>'Tariffs Jan2022'!AQ75</f>
        <v>0</v>
      </c>
      <c r="W81" s="537" t="str">
        <f t="shared" si="93"/>
        <v>Guaranteed off bill</v>
      </c>
      <c r="X81" s="538" t="str">
        <f t="shared" si="94"/>
        <v>Exclusive</v>
      </c>
      <c r="Y81" s="534">
        <f t="shared" si="101"/>
        <v>1393.9483818181818</v>
      </c>
      <c r="Z81" s="535">
        <f t="shared" si="102"/>
        <v>1393.9483818181818</v>
      </c>
      <c r="AA81" s="542">
        <f t="shared" si="91"/>
        <v>1533.3432200000002</v>
      </c>
      <c r="AB81" s="542">
        <f t="shared" si="91"/>
        <v>1533.3432200000002</v>
      </c>
      <c r="AC81" s="274">
        <f>'Tariffs Jan2022'!AZ75</f>
        <v>0</v>
      </c>
      <c r="AD81" s="274" t="str">
        <f>'Tariffs Jan2022'!BA75</f>
        <v>n</v>
      </c>
      <c r="AE81" s="275" t="str">
        <f>'Tariffs Jan2022'!BJ75</f>
        <v>N</v>
      </c>
      <c r="AF81" s="577"/>
      <c r="AG81" s="577"/>
      <c r="AH81" s="577"/>
      <c r="AI81" s="577"/>
      <c r="AJ81" s="577"/>
      <c r="AK81" s="577"/>
      <c r="AL81" s="577"/>
      <c r="AM81" s="577"/>
      <c r="AN81" s="577"/>
      <c r="AO81" s="577"/>
      <c r="AP81" s="577"/>
      <c r="AQ81" s="577"/>
      <c r="AR81" s="577"/>
      <c r="AS81" s="577"/>
      <c r="AT81" s="577"/>
      <c r="AU81" s="577"/>
      <c r="AV81" s="577"/>
      <c r="AW81" s="577"/>
    </row>
    <row r="82" spans="1:49" ht="14" x14ac:dyDescent="0.15">
      <c r="A82" s="270" t="str">
        <f>'Tariffs Jan2022'!F76</f>
        <v>GloBird Energy</v>
      </c>
      <c r="B82" s="40" t="str">
        <f>'Tariffs Jan2022'!D76</f>
        <v>AGN Central 1</v>
      </c>
      <c r="C82" s="40" t="str">
        <f>'Tariffs Jan2022'!G76</f>
        <v>GloSave</v>
      </c>
      <c r="D82" s="59">
        <f>365*'Tariffs Jan2022'!H76/100</f>
        <v>218.99999999999997</v>
      </c>
      <c r="E82" s="59">
        <f>IF($C$5*'Tariffs Jan2022'!AK76/'Tariffs Jan2022'!AI76&gt;='Tariffs Jan2022'!J76,( 'Tariffs Jan2022'!J76*'Tariffs Jan2022'!O76/100)* 'Tariffs Jan2022'!AI76,($C$5*'Tariffs Jan2022'!AK76/'Tariffs Jan2022'!AI76*'Tariffs Jan2022'!O76/100)* 'Tariffs Jan2022'!AI76)</f>
        <v>202.90909090909088</v>
      </c>
      <c r="F82" s="59">
        <f>IF($C$5*'Tariffs Jan2022'!AK76/'Tariffs Jan2022'!AI76&lt;'Tariffs Jan2022'!J76,0,IF($C$5*'Tariffs Jan2022'!AK76/'Tariffs Jan2022'!AI76&lt;='Tariffs Jan2022'!K76,($C$5*'Tariffs Jan2022'!AK76/'Tariffs Jan2022'!AI76-'Tariffs Jan2022'!J76)*('Tariffs Jan2022'!P76/100)*'Tariffs Jan2022'!AI76,('Tariffs Jan2022'!K76-'Tariffs Jan2022'!J76)*('Tariffs Jan2022'!P76/100)*'Tariffs Jan2022'!AI76))</f>
        <v>0</v>
      </c>
      <c r="G82" s="59">
        <f>IF($C$5*'Tariffs Jan2022'!AK76/'Tariffs Jan2022'!AI76&lt;'Tariffs Jan2022'!K76,0,IF($C$5*'Tariffs Jan2022'!AK76/'Tariffs Jan2022'!AI76&lt;='Tariffs Jan2022'!L76,($C$5*'Tariffs Jan2022'!AK76/'Tariffs Jan2022'!AI76-'Tariffs Jan2022'!K76)*('Tariffs Jan2022'!Q76/100)*'Tariffs Jan2022'!AI76,('Tariffs Jan2022'!L76-'Tariffs Jan2022'!K76)*('Tariffs Jan2022'!Q76/100)*'Tariffs Jan2022'!AI76))</f>
        <v>0</v>
      </c>
      <c r="H82" s="59">
        <f>IF($C$5*'Tariffs Jan2022'!AK76/'Tariffs Jan2022'!AI76&lt;'Tariffs Jan2022'!L76,0,IF($C$5*'Tariffs Jan2022'!AK76/'Tariffs Jan2022'!AI76&lt;='Tariffs Jan2022'!M76,($C$5*'Tariffs Jan2022'!AK76/'Tariffs Jan2022'!AI76-'Tariffs Jan2022'!L76)*('Tariffs Jan2022'!R76/100)*'Tariffs Jan2022'!AI76,('Tariffs Jan2022'!M76-'Tariffs Jan2022'!L76)*('Tariffs Jan2022'!R76/100)*'Tariffs Jan2022'!AI76))</f>
        <v>0</v>
      </c>
      <c r="I82" s="59">
        <f>IF(($C$5*'Tariffs Jan2022'!AK76/'Tariffs Jan2022'!AI76&gt;'Tariffs Jan2022'!M76),($C$5*'Tariffs Jan2022'!AK76/'Tariffs Jan2022'!AI76-'Tariffs Jan2022'!M76)*'Tariffs Jan2022'!S76/100*'Tariffs Jan2022'!AI76,0)</f>
        <v>394.77272727272725</v>
      </c>
      <c r="J82" s="59">
        <f>IF($C$5*'Tariffs Jan2022'!AL76/'Tariffs Jan2022'!AJ76&gt;='Tariffs Jan2022'!J76,('Tariffs Jan2022'!J76*'Tariffs Jan2022'!U76/100)* 'Tariffs Jan2022'!AJ76,($C$5*'Tariffs Jan2022'!AL76/'Tariffs Jan2022'!AJ76*'Tariffs Jan2022'!U76/100)* 'Tariffs Jan2022'!AJ76)</f>
        <v>202.90909090909088</v>
      </c>
      <c r="K82" s="59">
        <f>IF($C$5*'Tariffs Jan2022'!AL76/'Tariffs Jan2022'!AJ76&lt;'Tariffs Jan2022'!J76,0,IF($C$5*'Tariffs Jan2022'!AL76/'Tariffs Jan2022'!AJ76&lt;='Tariffs Jan2022'!K76,($C$5*'Tariffs Jan2022'!AL76/'Tariffs Jan2022'!AJ76-'Tariffs Jan2022'!J76)*('Tariffs Jan2022'!V76/100)*'Tariffs Jan2022'!AJ76,('Tariffs Jan2022'!K76-'Tariffs Jan2022'!J76)*('Tariffs Jan2022'!V76/100)*'Tariffs Jan2022'!AJ76))</f>
        <v>0</v>
      </c>
      <c r="L82" s="59">
        <f>IF($C$5*'Tariffs Jan2022'!AL76/'Tariffs Jan2022'!AJ76&lt;'Tariffs Jan2022'!K76,0,IF($C$5*'Tariffs Jan2022'!AL76/'Tariffs Jan2022'!AJ76&lt;='Tariffs Jan2022'!L76,($C$5*'Tariffs Jan2022'!AL76/'Tariffs Jan2022'!AJ76-'Tariffs Jan2022'!K76)*('Tariffs Jan2022'!W76/100)*'Tariffs Jan2022'!AJ76,('Tariffs Jan2022'!L76-'Tariffs Jan2022'!K76)*('Tariffs Jan2022'!W76/100)*'Tariffs Jan2022'!AJ76))</f>
        <v>0</v>
      </c>
      <c r="M82" s="59">
        <f>IF($C$5*'Tariffs Jan2022'!AL76/'Tariffs Jan2022'!AJ76&lt;'Tariffs Jan2022'!L76,0,IF($C$5*'Tariffs Jan2022'!AL76/'Tariffs Jan2022'!AJ76&lt;='Tariffs Jan2022'!M76,($C$5*'Tariffs Jan2022'!AL76/'Tariffs Jan2022'!AJ76-'Tariffs Jan2022'!L76)*('Tariffs Jan2022'!X76/100)*'Tariffs Jan2022'!AJ76,('Tariffs Jan2022'!M76-'Tariffs Jan2022'!L76)*('Tariffs Jan2022'!X76/100)*'Tariffs Jan2022'!AJ76))</f>
        <v>0</v>
      </c>
      <c r="N82" s="59">
        <f>IF(($C$5*'Tariffs Jan2022'!AL76/'Tariffs Jan2022'!AJ76&gt;'Tariffs Jan2022'!M76),($C$5*'Tariffs Jan2022'!AL76/'Tariffs Jan2022'!AJ76-'Tariffs Jan2022'!M76)*'Tariffs Jan2022'!Y76/100*'Tariffs Jan2022'!AJ76,0)</f>
        <v>394.77272727272725</v>
      </c>
      <c r="O82" s="59">
        <f t="shared" si="1"/>
        <v>1195.3636363636363</v>
      </c>
      <c r="P82" s="503">
        <f t="shared" si="92"/>
        <v>1314.9</v>
      </c>
      <c r="Q82" s="59">
        <f t="shared" si="3"/>
        <v>1414.3636363636363</v>
      </c>
      <c r="R82" s="272">
        <f t="shared" si="4"/>
        <v>1555.8</v>
      </c>
      <c r="S82" s="40">
        <f>'Tariffs Jan2022'!AN76</f>
        <v>0</v>
      </c>
      <c r="T82" s="40">
        <f>'Tariffs Jan2022'!AO76</f>
        <v>0</v>
      </c>
      <c r="U82" s="40">
        <f>'Tariffs Jan2022'!AP76</f>
        <v>0</v>
      </c>
      <c r="V82" s="40">
        <f>'Tariffs Jan2022'!AQ76</f>
        <v>0</v>
      </c>
      <c r="W82" s="537" t="str">
        <f t="shared" si="93"/>
        <v>No discount</v>
      </c>
      <c r="X82" s="538" t="str">
        <f t="shared" si="94"/>
        <v>Exclusive</v>
      </c>
      <c r="Y82" s="534">
        <f t="shared" si="101"/>
        <v>1414.3636363636363</v>
      </c>
      <c r="Z82" s="535">
        <f t="shared" si="102"/>
        <v>1414.3636363636363</v>
      </c>
      <c r="AA82" s="542">
        <f t="shared" si="91"/>
        <v>1555.8</v>
      </c>
      <c r="AB82" s="542">
        <f t="shared" si="91"/>
        <v>1555.8</v>
      </c>
      <c r="AC82" s="274">
        <f>'Tariffs Jan2022'!AZ76</f>
        <v>0</v>
      </c>
      <c r="AD82" s="274" t="str">
        <f>'Tariffs Jan2022'!BA76</f>
        <v>n</v>
      </c>
      <c r="AE82" s="275" t="str">
        <f>'Tariffs Jan2022'!BJ76</f>
        <v>N</v>
      </c>
      <c r="AF82" s="577"/>
      <c r="AG82" s="577"/>
      <c r="AH82" s="577"/>
      <c r="AI82" s="577"/>
      <c r="AJ82" s="577"/>
      <c r="AK82" s="577"/>
      <c r="AL82" s="577"/>
      <c r="AM82" s="577"/>
      <c r="AN82" s="577"/>
      <c r="AO82" s="577"/>
      <c r="AP82" s="577"/>
      <c r="AQ82" s="577"/>
      <c r="AR82" s="577"/>
      <c r="AS82" s="577"/>
      <c r="AT82" s="577"/>
      <c r="AU82" s="577"/>
      <c r="AV82" s="577"/>
      <c r="AW82" s="577"/>
    </row>
    <row r="83" spans="1:49" ht="14" x14ac:dyDescent="0.15">
      <c r="A83" s="270" t="str">
        <f>'Tariffs Jan2022'!F77</f>
        <v>Powershop</v>
      </c>
      <c r="B83" s="40" t="str">
        <f>'Tariffs Jan2022'!D77</f>
        <v>AGN Central 1</v>
      </c>
      <c r="C83" s="40" t="str">
        <f>'Tariffs Jan2022'!G77</f>
        <v>Market offer</v>
      </c>
      <c r="D83" s="59">
        <f>365*'Tariffs Jan2022'!H77/100</f>
        <v>247.8681818181818</v>
      </c>
      <c r="E83" s="59">
        <f>((C$5*'Tariffs Jan2022'!AK77/'Tariffs Jan2022'!AI77)*('Tariffs Jan2022'!O77/100))*'Tariffs Jan2022'!AI77</f>
        <v>566.99999999999989</v>
      </c>
      <c r="F83" s="59">
        <v>0</v>
      </c>
      <c r="G83" s="59">
        <v>0</v>
      </c>
      <c r="H83" s="59">
        <v>0</v>
      </c>
      <c r="I83" s="59">
        <v>0</v>
      </c>
      <c r="J83" s="59">
        <f>((C$5*'Tariffs Jan2022'!AL77/'Tariffs Jan2022'!AJ77)*('Tariffs Jan2022'!U77/100))*'Tariffs Jan2022'!AJ77</f>
        <v>566.99999999999989</v>
      </c>
      <c r="K83" s="59">
        <v>0</v>
      </c>
      <c r="L83" s="59">
        <v>0</v>
      </c>
      <c r="M83" s="59">
        <v>0</v>
      </c>
      <c r="N83" s="59">
        <v>0</v>
      </c>
      <c r="O83" s="59">
        <f t="shared" si="1"/>
        <v>1133.9999999999998</v>
      </c>
      <c r="P83" s="503">
        <f t="shared" si="92"/>
        <v>1247.3999999999999</v>
      </c>
      <c r="Q83" s="59">
        <f t="shared" si="3"/>
        <v>1381.8681818181815</v>
      </c>
      <c r="R83" s="272">
        <f t="shared" si="4"/>
        <v>1520.0549999999998</v>
      </c>
      <c r="S83" s="40">
        <f>'Tariffs Jan2022'!AN77</f>
        <v>0</v>
      </c>
      <c r="T83" s="40">
        <f>'Tariffs Jan2022'!AO77</f>
        <v>0</v>
      </c>
      <c r="U83" s="40">
        <f>'Tariffs Jan2022'!AP77</f>
        <v>0</v>
      </c>
      <c r="V83" s="40">
        <f>'Tariffs Jan2022'!AQ77</f>
        <v>0</v>
      </c>
      <c r="W83" s="537" t="str">
        <f t="shared" si="93"/>
        <v>No discount</v>
      </c>
      <c r="X83" s="538" t="str">
        <f t="shared" si="94"/>
        <v>Inclusive</v>
      </c>
      <c r="Y83" s="534">
        <f>IF(AND(W83="Guaranteed off bill",X83="Inclusive"),((Q83*1.1)-((Q83*1.1)*S83/100))/1.1,IF(AND(W83="Guaranteed off usage",X83="Inclusive"),((Q83*1.1)-((P83*1.1)*T83/100))/1.1,IF(AND(W83="Guaranteed off bill",X83="Exclusive"),Q83-(Q83*S83/100),IF(AND(W83="Guaranteed off usage",X83="Exclusive"),Q83-(P83*T83/100),IF(X83="Inclusive",((Q83*1.1))/1.1,Q83)))))</f>
        <v>1381.8681818181815</v>
      </c>
      <c r="Z83" s="535">
        <f>IF(AND(W83="Pay-on-time off bill",X83="Inclusive"),((Y83*1.1)-((Y83*1.1)*U83/100))/1.1,IF(AND(W83="Pay-on-time off usage",X83="Inclusive"),((Y83*1.1)-((P83*1.1)*V83/100))/1.1,IF(AND(W83="Pay-on-time off bill",X83="Exclusive"),Y83-(Y83*U83/100),IF(AND(W83="Pay-on-time off usage",X83="Exclusive"),Y83-(P83*V83/100),IF(X83="Inclusive",((Y83*1.1))/1.1,Y83)))))</f>
        <v>1381.8681818181815</v>
      </c>
      <c r="AA83" s="542">
        <f t="shared" si="91"/>
        <v>1520.0549999999998</v>
      </c>
      <c r="AB83" s="542">
        <f t="shared" si="91"/>
        <v>1520.0549999999998</v>
      </c>
      <c r="AC83" s="274">
        <f>'Tariffs Jan2022'!AZ77</f>
        <v>0</v>
      </c>
      <c r="AD83" s="274" t="str">
        <f>'Tariffs Jan2022'!BA77</f>
        <v>n</v>
      </c>
      <c r="AE83" s="275" t="str">
        <f>'Tariffs Jan2022'!BJ77</f>
        <v>Y</v>
      </c>
      <c r="AF83" s="577"/>
      <c r="AG83" s="577"/>
      <c r="AH83" s="577"/>
      <c r="AI83" s="577"/>
      <c r="AJ83" s="577"/>
      <c r="AK83" s="577"/>
      <c r="AL83" s="577"/>
      <c r="AM83" s="577"/>
      <c r="AN83" s="577"/>
      <c r="AO83" s="577"/>
      <c r="AP83" s="577"/>
      <c r="AQ83" s="577"/>
      <c r="AR83" s="577"/>
      <c r="AS83" s="577"/>
      <c r="AT83" s="577"/>
      <c r="AU83" s="577"/>
      <c r="AV83" s="577"/>
      <c r="AW83" s="577"/>
    </row>
    <row r="84" spans="1:49" ht="14" x14ac:dyDescent="0.15">
      <c r="A84" s="270" t="str">
        <f>'Tariffs Jan2022'!F78</f>
        <v>1st Energy</v>
      </c>
      <c r="B84" s="40" t="str">
        <f>'Tariffs Jan2022'!D78</f>
        <v>AGN Central 1</v>
      </c>
      <c r="C84" s="40" t="str">
        <f>'Tariffs Jan2022'!G78</f>
        <v>1st Saver Plus</v>
      </c>
      <c r="D84" s="59">
        <f>365*'Tariffs Jan2022'!H78/100</f>
        <v>266.45</v>
      </c>
      <c r="E84" s="59">
        <f>IF($C$5*'Tariffs Jan2022'!AK78/'Tariffs Jan2022'!AI78&gt;='Tariffs Jan2022'!J78,( 'Tariffs Jan2022'!J78*'Tariffs Jan2022'!O78/100)* 'Tariffs Jan2022'!AI78,($C$5*'Tariffs Jan2022'!AK78/'Tariffs Jan2022'!AI78*'Tariffs Jan2022'!O78/100)* 'Tariffs Jan2022'!AI78)</f>
        <v>144.46090909090907</v>
      </c>
      <c r="F84" s="59">
        <f>IF($C$5*'Tariffs Jan2022'!AK78/'Tariffs Jan2022'!AI78&lt;'Tariffs Jan2022'!J78,0,IF($C$5*'Tariffs Jan2022'!AK78/'Tariffs Jan2022'!AI78&lt;='Tariffs Jan2022'!K78,($C$5*'Tariffs Jan2022'!AK78/'Tariffs Jan2022'!AI78-'Tariffs Jan2022'!J78)*('Tariffs Jan2022'!P78/100)*'Tariffs Jan2022'!AI78,('Tariffs Jan2022'!K78-'Tariffs Jan2022'!J78)*('Tariffs Jan2022'!P78/100)*'Tariffs Jan2022'!AI78))</f>
        <v>103.47272727272725</v>
      </c>
      <c r="G84" s="59">
        <f>IF($C$5*'Tariffs Jan2022'!AK78/'Tariffs Jan2022'!AI78&lt;'Tariffs Jan2022'!K78,0,IF($C$5*'Tariffs Jan2022'!AK78/'Tariffs Jan2022'!AI78&lt;='Tariffs Jan2022'!L78,($C$5*'Tariffs Jan2022'!AK78/'Tariffs Jan2022'!AI78-'Tariffs Jan2022'!K78)*('Tariffs Jan2022'!Q78/100)*'Tariffs Jan2022'!AI78,('Tariffs Jan2022'!L78-'Tariffs Jan2022'!K78)*('Tariffs Jan2022'!Q78/100)*'Tariffs Jan2022'!AI78))</f>
        <v>0</v>
      </c>
      <c r="H84" s="59">
        <f>IF($C$5*'Tariffs Jan2022'!AK78/'Tariffs Jan2022'!AI78&lt;'Tariffs Jan2022'!L78,0,IF($C$5*'Tariffs Jan2022'!AK78/'Tariffs Jan2022'!AI78&lt;='Tariffs Jan2022'!M78,($C$5*'Tariffs Jan2022'!AK78/'Tariffs Jan2022'!AI78-'Tariffs Jan2022'!L78)*('Tariffs Jan2022'!R78/100)*'Tariffs Jan2022'!AI78,('Tariffs Jan2022'!M78-'Tariffs Jan2022'!L78)*('Tariffs Jan2022'!R78/100)*'Tariffs Jan2022'!AI78))</f>
        <v>0</v>
      </c>
      <c r="I84" s="69">
        <f>IF(($C$5*'Tariffs Jan2022'!AK78/'Tariffs Jan2022'!AI78&gt;'Tariffs Jan2022'!M78),($C$5*'Tariffs Jan2022'!AK78/'Tariffs Jan2022'!AI78-'Tariffs Jan2022'!M78)*'Tariffs Jan2022'!S78/100*'Tariffs Jan2022'!AI78,0)</f>
        <v>490.90909090909088</v>
      </c>
      <c r="J84" s="69">
        <f>IF($C$5*'Tariffs Jan2022'!AL78/'Tariffs Jan2022'!AJ78&gt;='Tariffs Jan2022'!J78,('Tariffs Jan2022'!J78*'Tariffs Jan2022'!U78/100)* 'Tariffs Jan2022'!AJ78,($C$5*'Tariffs Jan2022'!AL78/'Tariffs Jan2022'!AJ78*'Tariffs Jan2022'!U78/100)* 'Tariffs Jan2022'!AJ78)</f>
        <v>144.46090909090907</v>
      </c>
      <c r="K84" s="69">
        <f>IF($C$5*'Tariffs Jan2022'!AL78/'Tariffs Jan2022'!AJ78&lt;'Tariffs Jan2022'!J78,0,IF($C$5*'Tariffs Jan2022'!AL78/'Tariffs Jan2022'!AJ78&lt;='Tariffs Jan2022'!K78,($C$5*'Tariffs Jan2022'!AL78/'Tariffs Jan2022'!AJ78-'Tariffs Jan2022'!J78)*('Tariffs Jan2022'!V78/100)*'Tariffs Jan2022'!AJ78,('Tariffs Jan2022'!K78-'Tariffs Jan2022'!J78)*('Tariffs Jan2022'!V78/100)*'Tariffs Jan2022'!AJ78))</f>
        <v>103.47272727272725</v>
      </c>
      <c r="L84" s="69">
        <f>IF($C$5*'Tariffs Jan2022'!AL78/'Tariffs Jan2022'!AJ78&lt;'Tariffs Jan2022'!K78,0,IF($C$5*'Tariffs Jan2022'!AL78/'Tariffs Jan2022'!AJ78&lt;='Tariffs Jan2022'!L78,($C$5*'Tariffs Jan2022'!AL78/'Tariffs Jan2022'!AJ78-'Tariffs Jan2022'!K78)*('Tariffs Jan2022'!W78/100)*'Tariffs Jan2022'!AJ78,('Tariffs Jan2022'!L78-'Tariffs Jan2022'!K78)*('Tariffs Jan2022'!W78/100)*'Tariffs Jan2022'!AJ78))</f>
        <v>0</v>
      </c>
      <c r="M84" s="69">
        <f>IF($C$5*'Tariffs Jan2022'!AL78/'Tariffs Jan2022'!AJ78&lt;'Tariffs Jan2022'!L78,0,IF($C$5*'Tariffs Jan2022'!AL78/'Tariffs Jan2022'!AJ78&lt;='Tariffs Jan2022'!M78,($C$5*'Tariffs Jan2022'!AL78/'Tariffs Jan2022'!AJ78-'Tariffs Jan2022'!L78)*('Tariffs Jan2022'!X78/100)*'Tariffs Jan2022'!AJ78,('Tariffs Jan2022'!M78-'Tariffs Jan2022'!L78)*('Tariffs Jan2022'!X78/100)*'Tariffs Jan2022'!AJ78))</f>
        <v>0</v>
      </c>
      <c r="N84" s="69">
        <f>IF(($C$5*'Tariffs Jan2022'!AL78/'Tariffs Jan2022'!AJ78&gt;'Tariffs Jan2022'!M78),($C$5*'Tariffs Jan2022'!AL78/'Tariffs Jan2022'!AJ78-'Tariffs Jan2022'!M78)*'Tariffs Jan2022'!Y78/100*'Tariffs Jan2022'!AJ78,0)</f>
        <v>490.90909090909088</v>
      </c>
      <c r="O84" s="59">
        <f t="shared" si="1"/>
        <v>1477.6854545454544</v>
      </c>
      <c r="P84" s="503">
        <f t="shared" si="92"/>
        <v>1625.454</v>
      </c>
      <c r="Q84" s="59">
        <f t="shared" si="3"/>
        <v>1744.1354545454544</v>
      </c>
      <c r="R84" s="272">
        <f t="shared" si="4"/>
        <v>1918.549</v>
      </c>
      <c r="S84" s="40">
        <f>'Tariffs Jan2022'!AN78</f>
        <v>0</v>
      </c>
      <c r="T84" s="40">
        <f>'Tariffs Jan2022'!AO78</f>
        <v>12</v>
      </c>
      <c r="U84" s="40">
        <f>'Tariffs Jan2022'!AP78</f>
        <v>0</v>
      </c>
      <c r="V84" s="40">
        <f>'Tariffs Jan2022'!AQ78</f>
        <v>3</v>
      </c>
      <c r="W84" s="537" t="str">
        <f t="shared" si="93"/>
        <v>Guaranteed off usage</v>
      </c>
      <c r="X84" s="538" t="str">
        <f t="shared" si="94"/>
        <v>Exclusive</v>
      </c>
      <c r="Y84" s="534">
        <f>Q84-(P84*T84)/100</f>
        <v>1549.0809745454544</v>
      </c>
      <c r="Z84" s="535">
        <f>Y84-(P84*V84)/100</f>
        <v>1500.3173545454545</v>
      </c>
      <c r="AA84" s="542">
        <f t="shared" si="91"/>
        <v>1703.9890720000001</v>
      </c>
      <c r="AB84" s="542">
        <f t="shared" si="91"/>
        <v>1650.3490899999999</v>
      </c>
      <c r="AC84" s="274">
        <f>'Tariffs Jan2022'!AZ78</f>
        <v>0</v>
      </c>
      <c r="AD84" s="274" t="str">
        <f>'Tariffs Jan2022'!BA78</f>
        <v>n</v>
      </c>
      <c r="AE84" s="275" t="str">
        <f>'Tariffs Jan2022'!BJ78</f>
        <v>Y</v>
      </c>
      <c r="AF84" s="577"/>
      <c r="AG84" s="577"/>
      <c r="AH84" s="577"/>
      <c r="AI84" s="577"/>
      <c r="AJ84" s="577"/>
      <c r="AK84" s="577"/>
      <c r="AL84" s="577"/>
      <c r="AM84" s="577"/>
      <c r="AN84" s="577"/>
      <c r="AO84" s="577"/>
      <c r="AP84" s="577"/>
      <c r="AQ84" s="577"/>
      <c r="AR84" s="577"/>
      <c r="AS84" s="577"/>
      <c r="AT84" s="577"/>
      <c r="AU84" s="577"/>
      <c r="AV84" s="577"/>
      <c r="AW84" s="577"/>
    </row>
    <row r="85" spans="1:49" ht="14" x14ac:dyDescent="0.15">
      <c r="A85" s="270" t="str">
        <f>'Tariffs Jan2022'!F79</f>
        <v>Kogan Energy</v>
      </c>
      <c r="B85" s="40" t="str">
        <f>'Tariffs Jan2022'!D79</f>
        <v>AGN Central 1</v>
      </c>
      <c r="C85" s="40" t="str">
        <f>'Tariffs Jan2022'!G79</f>
        <v>Kogan First</v>
      </c>
      <c r="D85" s="59">
        <f>365*'Tariffs Jan2022'!H79/100</f>
        <v>216.87636363636364</v>
      </c>
      <c r="E85" s="59">
        <f>((C$5*'Tariffs Jan2022'!AK79/'Tariffs Jan2022'!AI79)*('Tariffs Jan2022'!O79/100))*'Tariffs Jan2022'!AI79</f>
        <v>615.68181818181802</v>
      </c>
      <c r="F85" s="59">
        <v>0</v>
      </c>
      <c r="G85" s="59">
        <v>0</v>
      </c>
      <c r="H85" s="59">
        <v>0</v>
      </c>
      <c r="I85" s="69">
        <v>0</v>
      </c>
      <c r="J85" s="69">
        <f>((C$5*'Tariffs Jan2022'!AL79/'Tariffs Jan2022'!AJ79)*('Tariffs Jan2022'!U79/100))*'Tariffs Jan2022'!AJ79</f>
        <v>615.68181818181802</v>
      </c>
      <c r="K85" s="69">
        <v>0</v>
      </c>
      <c r="L85" s="69">
        <v>0</v>
      </c>
      <c r="M85" s="69">
        <v>0</v>
      </c>
      <c r="N85" s="69">
        <v>0</v>
      </c>
      <c r="O85" s="59">
        <f t="shared" si="1"/>
        <v>1231.363636363636</v>
      </c>
      <c r="P85" s="503">
        <f t="shared" si="92"/>
        <v>1354.4999999999998</v>
      </c>
      <c r="Q85" s="59">
        <f t="shared" si="3"/>
        <v>1448.2399999999998</v>
      </c>
      <c r="R85" s="272">
        <f t="shared" si="4"/>
        <v>1593.0639999999999</v>
      </c>
      <c r="S85" s="40">
        <f>'Tariffs Jan2022'!AN79</f>
        <v>0</v>
      </c>
      <c r="T85" s="40">
        <f>'Tariffs Jan2022'!AO79</f>
        <v>0</v>
      </c>
      <c r="U85" s="40">
        <f>'Tariffs Jan2022'!AP79</f>
        <v>0</v>
      </c>
      <c r="V85" s="40">
        <f>'Tariffs Jan2022'!AQ79</f>
        <v>0</v>
      </c>
      <c r="W85" s="537" t="str">
        <f t="shared" si="93"/>
        <v>No discount</v>
      </c>
      <c r="X85" s="538" t="str">
        <f t="shared" si="94"/>
        <v>Exclusive</v>
      </c>
      <c r="Y85" s="534">
        <f t="shared" ref="Y85:Y98" si="103">IF(AND(W85="Guaranteed off bill",X85="Inclusive"),((Q85*1.1)-((Q85*1.1)*S85/100))/1.1,IF(AND(W85="Guaranteed off usage",X85="Inclusive"),((Q85*1.1)-((P85*1.1)*T85/100))/1.1,IF(AND(W85="Guaranteed off bill",X85="Exclusive"),Q85-(Q85*S85/100),IF(AND(W85="Guaranteed off usage",X85="Exclusive"),Q85-(P85*T85/100),IF(X85="Inclusive",((Q85*1.1))/1.1,Q85)))))</f>
        <v>1448.2399999999998</v>
      </c>
      <c r="Z85" s="535">
        <f t="shared" ref="Z85:Z98" si="104">IF(AND(W85="Pay-on-time off bill",X85="Inclusive"),((Y85*1.1)-((Y85*1.1)*U85/100))/1.1,IF(AND(W85="Pay-on-time off usage",X85="Inclusive"),((Y85*1.1)-((P85*1.1)*V85/100))/1.1,IF(AND(W85="Pay-on-time off bill",X85="Exclusive"),Y85-(Y85*U85/100),IF(AND(W85="Pay-on-time off usage",X85="Exclusive"),Y85-(P85*V85/100),IF(X85="Inclusive",((Y85*1.1))/1.1,Y85)))))</f>
        <v>1448.2399999999998</v>
      </c>
      <c r="AA85" s="542">
        <f t="shared" si="91"/>
        <v>1593.0639999999999</v>
      </c>
      <c r="AB85" s="542">
        <f t="shared" si="91"/>
        <v>1593.0639999999999</v>
      </c>
      <c r="AC85" s="274">
        <f>'Tariffs Jan2022'!AZ79</f>
        <v>0</v>
      </c>
      <c r="AD85" s="274" t="str">
        <f>'Tariffs Jan2022'!BA79</f>
        <v>n</v>
      </c>
      <c r="AE85" s="275" t="str">
        <f>'Tariffs Jan2022'!BJ79</f>
        <v>Y</v>
      </c>
      <c r="AF85" s="577"/>
      <c r="AG85" s="577"/>
      <c r="AH85" s="577"/>
      <c r="AI85" s="577"/>
      <c r="AJ85" s="577"/>
      <c r="AK85" s="577"/>
      <c r="AL85" s="577"/>
      <c r="AM85" s="577"/>
      <c r="AN85" s="577"/>
      <c r="AO85" s="577"/>
      <c r="AP85" s="577"/>
      <c r="AQ85" s="577"/>
      <c r="AR85" s="577"/>
      <c r="AS85" s="577"/>
      <c r="AT85" s="577"/>
      <c r="AU85" s="577"/>
      <c r="AV85" s="577"/>
      <c r="AW85" s="577"/>
    </row>
    <row r="86" spans="1:49" ht="14" x14ac:dyDescent="0.15">
      <c r="A86" s="270" t="str">
        <f>'Tariffs Jan2022'!F80</f>
        <v>Tango Energy</v>
      </c>
      <c r="B86" s="40" t="str">
        <f>'Tariffs Jan2022'!D80</f>
        <v>AGN Central 1</v>
      </c>
      <c r="C86" s="40" t="str">
        <f>'Tariffs Jan2022'!G80</f>
        <v>Home Select</v>
      </c>
      <c r="D86" s="59">
        <f>365*'Tariffs Jan2022'!H80/100</f>
        <v>273.75</v>
      </c>
      <c r="E86" s="59">
        <f>IF($C$5*'Tariffs Jan2022'!AK80/'Tariffs Jan2022'!AI80&gt;='Tariffs Jan2022'!J80,( 'Tariffs Jan2022'!J80*'Tariffs Jan2022'!O80/100)* 'Tariffs Jan2022'!AI80,($C$5*'Tariffs Jan2022'!AK80/'Tariffs Jan2022'!AI80*'Tariffs Jan2022'!O80/100)* 'Tariffs Jan2022'!AI80)</f>
        <v>82.997727272727275</v>
      </c>
      <c r="F86" s="59">
        <f>IF($C$5*'Tariffs Jan2022'!AK80/'Tariffs Jan2022'!AI80&lt;'Tariffs Jan2022'!J80,0,IF($C$5*'Tariffs Jan2022'!AK80/'Tariffs Jan2022'!AI80&lt;='Tariffs Jan2022'!K80,($C$5*'Tariffs Jan2022'!AK80/'Tariffs Jan2022'!AI80-'Tariffs Jan2022'!J80)*('Tariffs Jan2022'!P80/100)*'Tariffs Jan2022'!AI80,('Tariffs Jan2022'!K80-'Tariffs Jan2022'!J80)*('Tariffs Jan2022'!P80/100)*'Tariffs Jan2022'!AI80))</f>
        <v>60.974999999999987</v>
      </c>
      <c r="G86" s="59">
        <f>IF($C$5*'Tariffs Jan2022'!AK80/'Tariffs Jan2022'!AI80&lt;'Tariffs Jan2022'!K80,0,IF($C$5*'Tariffs Jan2022'!AK80/'Tariffs Jan2022'!AI80&lt;='Tariffs Jan2022'!L80,($C$5*'Tariffs Jan2022'!AK80/'Tariffs Jan2022'!AI80-'Tariffs Jan2022'!K80)*('Tariffs Jan2022'!Q80/100)*'Tariffs Jan2022'!AI80,('Tariffs Jan2022'!L80-'Tariffs Jan2022'!K80)*('Tariffs Jan2022'!Q80/100)*'Tariffs Jan2022'!AI80))</f>
        <v>0</v>
      </c>
      <c r="H86" s="59">
        <f>IF($C$5*'Tariffs Jan2022'!AK80/'Tariffs Jan2022'!AI80&lt;'Tariffs Jan2022'!L80,0,IF($C$5*'Tariffs Jan2022'!AK80/'Tariffs Jan2022'!AI80&lt;='Tariffs Jan2022'!M80,($C$5*'Tariffs Jan2022'!AK80/'Tariffs Jan2022'!AI80-'Tariffs Jan2022'!L80)*('Tariffs Jan2022'!R80/100)*'Tariffs Jan2022'!AI80,('Tariffs Jan2022'!M80-'Tariffs Jan2022'!L80)*('Tariffs Jan2022'!R80/100)*'Tariffs Jan2022'!AI80))</f>
        <v>0</v>
      </c>
      <c r="I86" s="69">
        <f>IF(($C$5*'Tariffs Jan2022'!AK80/'Tariffs Jan2022'!AI80&gt;'Tariffs Jan2022'!M80),($C$5*'Tariffs Jan2022'!AK80/'Tariffs Jan2022'!AI80-'Tariffs Jan2022'!M80)*'Tariffs Jan2022'!S80/100*'Tariffs Jan2022'!AI80,0)</f>
        <v>288.40909090909093</v>
      </c>
      <c r="J86" s="69">
        <f>IF($C$5*'Tariffs Jan2022'!AL80/'Tariffs Jan2022'!AJ80&gt;='Tariffs Jan2022'!J80,('Tariffs Jan2022'!J80*'Tariffs Jan2022'!U80/100)* 'Tariffs Jan2022'!AJ80,($C$5*'Tariffs Jan2022'!AL80/'Tariffs Jan2022'!AJ80*'Tariffs Jan2022'!U80/100)* 'Tariffs Jan2022'!AJ80)</f>
        <v>82.997727272727275</v>
      </c>
      <c r="K86" s="69">
        <f>IF($C$5*'Tariffs Jan2022'!AL80/'Tariffs Jan2022'!AJ80&lt;'Tariffs Jan2022'!J80,0,IF($C$5*'Tariffs Jan2022'!AL80/'Tariffs Jan2022'!AJ80&lt;='Tariffs Jan2022'!K80,($C$5*'Tariffs Jan2022'!AL80/'Tariffs Jan2022'!AJ80-'Tariffs Jan2022'!J80)*('Tariffs Jan2022'!V80/100)*'Tariffs Jan2022'!AJ80,('Tariffs Jan2022'!K80-'Tariffs Jan2022'!J80)*('Tariffs Jan2022'!V80/100)*'Tariffs Jan2022'!AJ80))</f>
        <v>60.974999999999987</v>
      </c>
      <c r="L86" s="69">
        <v>0</v>
      </c>
      <c r="M86" s="69">
        <v>0</v>
      </c>
      <c r="N86" s="69">
        <f>IF(($C$5*'Tariffs Jan2022'!AL80/'Tariffs Jan2022'!AJ80&gt;'Tariffs Jan2022'!M80),($C$5*'Tariffs Jan2022'!AL80/'Tariffs Jan2022'!AJ80-'Tariffs Jan2022'!M80)*'Tariffs Jan2022'!Y80/100*'Tariffs Jan2022'!AJ80,0)</f>
        <v>288.40909090909093</v>
      </c>
      <c r="O86" s="59">
        <f t="shared" ref="O86:O118" si="105">SUM(E86:N86)</f>
        <v>864.76363636363635</v>
      </c>
      <c r="P86" s="503">
        <f t="shared" si="92"/>
        <v>951.24</v>
      </c>
      <c r="Q86" s="59">
        <f t="shared" ref="Q86:Q118" si="106">D86+O86</f>
        <v>1138.5136363636364</v>
      </c>
      <c r="R86" s="272">
        <f t="shared" ref="R86:R118" si="107">Q86*1.1</f>
        <v>1252.365</v>
      </c>
      <c r="S86" s="40">
        <f>'Tariffs Jan2022'!AN80</f>
        <v>0</v>
      </c>
      <c r="T86" s="40">
        <f>'Tariffs Jan2022'!AO80</f>
        <v>0</v>
      </c>
      <c r="U86" s="40">
        <f>'Tariffs Jan2022'!AP80</f>
        <v>0</v>
      </c>
      <c r="V86" s="40">
        <f>'Tariffs Jan2022'!AQ80</f>
        <v>0</v>
      </c>
      <c r="W86" s="537" t="str">
        <f t="shared" si="93"/>
        <v>No discount</v>
      </c>
      <c r="X86" s="538" t="str">
        <f t="shared" si="94"/>
        <v>Exclusive</v>
      </c>
      <c r="Y86" s="534">
        <f t="shared" si="103"/>
        <v>1138.5136363636364</v>
      </c>
      <c r="Z86" s="535">
        <f t="shared" si="104"/>
        <v>1138.5136363636364</v>
      </c>
      <c r="AA86" s="542">
        <f t="shared" si="91"/>
        <v>1252.365</v>
      </c>
      <c r="AB86" s="542">
        <f t="shared" si="91"/>
        <v>1252.365</v>
      </c>
      <c r="AC86" s="274">
        <f>'Tariffs Jan2022'!AZ80</f>
        <v>0</v>
      </c>
      <c r="AD86" s="274" t="str">
        <f>'Tariffs Jan2022'!BA80</f>
        <v>n</v>
      </c>
      <c r="AE86" s="275" t="str">
        <f>'Tariffs Jan2022'!BJ80</f>
        <v>N</v>
      </c>
      <c r="AF86" s="577"/>
      <c r="AG86" s="577"/>
      <c r="AH86" s="577"/>
      <c r="AI86" s="577"/>
      <c r="AJ86" s="577"/>
      <c r="AK86" s="577"/>
      <c r="AL86" s="577"/>
      <c r="AM86" s="577"/>
      <c r="AN86" s="577"/>
      <c r="AO86" s="577"/>
      <c r="AP86" s="577"/>
      <c r="AQ86" s="577"/>
      <c r="AR86" s="577"/>
      <c r="AS86" s="577"/>
      <c r="AT86" s="577"/>
      <c r="AU86" s="577"/>
      <c r="AV86" s="577"/>
      <c r="AW86" s="577"/>
    </row>
    <row r="87" spans="1:49" ht="15" thickBot="1" x14ac:dyDescent="0.2">
      <c r="A87" s="276" t="str">
        <f>'Tariffs Jan2022'!F81</f>
        <v>Discover Energy</v>
      </c>
      <c r="B87" s="277" t="str">
        <f>'Tariffs Jan2022'!D81</f>
        <v>AGN Central 1</v>
      </c>
      <c r="C87" s="277" t="str">
        <f>'Tariffs Jan2022'!G81</f>
        <v>Budget Offer</v>
      </c>
      <c r="D87" s="278">
        <f>365*'Tariffs Jan2022'!H81/100</f>
        <v>218.66818181818181</v>
      </c>
      <c r="E87" s="278">
        <f>IF($C$5*'Tariffs Jan2022'!AK81/'Tariffs Jan2022'!AI81&gt;='Tariffs Jan2022'!J81,( 'Tariffs Jan2022'!J81*'Tariffs Jan2022'!O81/100)* 'Tariffs Jan2022'!AI81,($C$5*'Tariffs Jan2022'!AK81/'Tariffs Jan2022'!AI81*'Tariffs Jan2022'!O81/100)* 'Tariffs Jan2022'!AI81)</f>
        <v>129.65590909090909</v>
      </c>
      <c r="F87" s="278">
        <f>IF($C$5*'Tariffs Jan2022'!AK81/'Tariffs Jan2022'!AI81&lt;'Tariffs Jan2022'!J81,0,IF($C$5*'Tariffs Jan2022'!AK81/'Tariffs Jan2022'!AI81&lt;='Tariffs Jan2022'!K81,($C$5*'Tariffs Jan2022'!AK81/'Tariffs Jan2022'!AI81-'Tariffs Jan2022'!J81)*('Tariffs Jan2022'!P81/100)*'Tariffs Jan2022'!AI81,('Tariffs Jan2022'!K81-'Tariffs Jan2022'!J81)*('Tariffs Jan2022'!P81/100)*'Tariffs Jan2022'!AI81))</f>
        <v>101.25545454545454</v>
      </c>
      <c r="G87" s="278">
        <f>IF($C$5*'Tariffs Jan2022'!AK81/'Tariffs Jan2022'!AI81&lt;'Tariffs Jan2022'!K81,0,IF($C$5*'Tariffs Jan2022'!AK81/'Tariffs Jan2022'!AI81&lt;='Tariffs Jan2022'!L81,($C$5*'Tariffs Jan2022'!AK81/'Tariffs Jan2022'!AI81-'Tariffs Jan2022'!K81)*('Tariffs Jan2022'!Q81/100)*'Tariffs Jan2022'!AI81,('Tariffs Jan2022'!L81-'Tariffs Jan2022'!K81)*('Tariffs Jan2022'!Q81/100)*'Tariffs Jan2022'!AI81))</f>
        <v>0</v>
      </c>
      <c r="H87" s="278">
        <f>IF($C$5*'Tariffs Jan2022'!AK81/'Tariffs Jan2022'!AI81&lt;'Tariffs Jan2022'!L81,0,IF($C$5*'Tariffs Jan2022'!AK81/'Tariffs Jan2022'!AI81&lt;='Tariffs Jan2022'!M81,($C$5*'Tariffs Jan2022'!AK81/'Tariffs Jan2022'!AI81-'Tariffs Jan2022'!L81)*('Tariffs Jan2022'!R81/100)*'Tariffs Jan2022'!AI81,('Tariffs Jan2022'!M81-'Tariffs Jan2022'!L81)*('Tariffs Jan2022'!R81/100)*'Tariffs Jan2022'!AI81))</f>
        <v>0</v>
      </c>
      <c r="I87" s="547">
        <f>IF(($C$5*'Tariffs Jan2022'!AK81/'Tariffs Jan2022'!AI81&gt;'Tariffs Jan2022'!M81),($C$5*'Tariffs Jan2022'!AK81/'Tariffs Jan2022'!AI81-'Tariffs Jan2022'!M81)*'Tariffs Jan2022'!S81/100*'Tariffs Jan2022'!AI81,0)</f>
        <v>429.54545454545456</v>
      </c>
      <c r="J87" s="547">
        <f>IF($C$5*'Tariffs Jan2022'!AL81/'Tariffs Jan2022'!AJ81&gt;='Tariffs Jan2022'!J81,('Tariffs Jan2022'!J81*'Tariffs Jan2022'!U81/100)* 'Tariffs Jan2022'!AJ81,($C$5*'Tariffs Jan2022'!AL81/'Tariffs Jan2022'!AJ81*'Tariffs Jan2022'!U81/100)* 'Tariffs Jan2022'!AJ81)</f>
        <v>129.65590909090909</v>
      </c>
      <c r="K87" s="547">
        <f>IF($C$5*'Tariffs Jan2022'!AL81/'Tariffs Jan2022'!AJ81&lt;'Tariffs Jan2022'!J81,0,IF($C$5*'Tariffs Jan2022'!AL81/'Tariffs Jan2022'!AJ81&lt;='Tariffs Jan2022'!K81,($C$5*'Tariffs Jan2022'!AL81/'Tariffs Jan2022'!AJ81-'Tariffs Jan2022'!J81)*('Tariffs Jan2022'!V81/100)*'Tariffs Jan2022'!AJ81,('Tariffs Jan2022'!K81-'Tariffs Jan2022'!J81)*('Tariffs Jan2022'!V81/100)*'Tariffs Jan2022'!AJ81))</f>
        <v>101.25545454545454</v>
      </c>
      <c r="L87" s="547">
        <v>0</v>
      </c>
      <c r="M87" s="547">
        <v>0</v>
      </c>
      <c r="N87" s="547">
        <f>IF(($C$5*'Tariffs Jan2022'!AL81/'Tariffs Jan2022'!AJ81&gt;'Tariffs Jan2022'!M81),($C$5*'Tariffs Jan2022'!AL81/'Tariffs Jan2022'!AJ81-'Tariffs Jan2022'!M81)*'Tariffs Jan2022'!Y81/100*'Tariffs Jan2022'!AJ81,0)</f>
        <v>429.54545454545456</v>
      </c>
      <c r="O87" s="278">
        <f t="shared" ref="O87" si="108">SUM(E87:N87)</f>
        <v>1320.9136363636364</v>
      </c>
      <c r="P87" s="504">
        <f t="shared" ref="P87" si="109">O87*1.1</f>
        <v>1453.0050000000001</v>
      </c>
      <c r="Q87" s="278">
        <f t="shared" ref="Q87" si="110">D87+O87</f>
        <v>1539.5818181818183</v>
      </c>
      <c r="R87" s="280">
        <f t="shared" ref="R87" si="111">Q87*1.1</f>
        <v>1693.5400000000004</v>
      </c>
      <c r="S87" s="277">
        <f>'Tariffs Jan2022'!AN81</f>
        <v>0</v>
      </c>
      <c r="T87" s="277">
        <f>'Tariffs Jan2022'!AO81</f>
        <v>22</v>
      </c>
      <c r="U87" s="277">
        <f>'Tariffs Jan2022'!AP81</f>
        <v>0</v>
      </c>
      <c r="V87" s="277">
        <f>'Tariffs Jan2022'!AQ81</f>
        <v>0</v>
      </c>
      <c r="W87" s="540" t="str">
        <f t="shared" ref="W87" si="112">IF(SUM(S87:V87)=0,"No discount",IF(S87&gt;0,"Guaranteed off bill",IF(T87&gt;0,"Guaranteed off usage",IF(U87&gt;0,"Pay-on-time off bill","Pay-on-time off usage"))))</f>
        <v>Guaranteed off usage</v>
      </c>
      <c r="X87" s="541" t="str">
        <f t="shared" ref="X87" si="113">IF(OR(A87="Origin Energy",A87="Red Energy",A87="Powershop"),"Inclusive","Exclusive")</f>
        <v>Exclusive</v>
      </c>
      <c r="Y87" s="543">
        <f t="shared" ref="Y87" si="114">IF(AND(W87="Guaranteed off bill",X87="Inclusive"),((Q87*1.1)-((Q87*1.1)*S87/100))/1.1,IF(AND(W87="Guaranteed off usage",X87="Inclusive"),((Q87*1.1)-((P87*1.1)*T87/100))/1.1,IF(AND(W87="Guaranteed off bill",X87="Exclusive"),Q87-(Q87*S87/100),IF(AND(W87="Guaranteed off usage",X87="Exclusive"),Q87-(P87*T87/100),IF(X87="Inclusive",((Q87*1.1))/1.1,Q87)))))</f>
        <v>1219.9207181818183</v>
      </c>
      <c r="Z87" s="544">
        <f t="shared" ref="Z87" si="115">IF(AND(W87="Pay-on-time off bill",X87="Inclusive"),((Y87*1.1)-((Y87*1.1)*U87/100))/1.1,IF(AND(W87="Pay-on-time off usage",X87="Inclusive"),((Y87*1.1)-((P87*1.1)*V87/100))/1.1,IF(AND(W87="Pay-on-time off bill",X87="Exclusive"),Y87-(Y87*U87/100),IF(AND(W87="Pay-on-time off usage",X87="Exclusive"),Y87-(P87*V87/100),IF(X87="Inclusive",((Y87*1.1))/1.1,Y87)))))</f>
        <v>1219.9207181818183</v>
      </c>
      <c r="AA87" s="545">
        <f t="shared" ref="AA87" si="116">Y87*1.1</f>
        <v>1341.9127900000003</v>
      </c>
      <c r="AB87" s="545">
        <f t="shared" ref="AB87" si="117">Z87*1.1</f>
        <v>1341.9127900000003</v>
      </c>
      <c r="AC87" s="282">
        <f>'Tariffs Jan2022'!AZ81</f>
        <v>0</v>
      </c>
      <c r="AD87" s="282" t="str">
        <f>'Tariffs Jan2022'!BA81</f>
        <v>n</v>
      </c>
      <c r="AE87" s="283" t="str">
        <f>'Tariffs Jan2022'!BJ81</f>
        <v>N</v>
      </c>
      <c r="AF87" s="577"/>
      <c r="AG87" s="577"/>
      <c r="AH87" s="577"/>
      <c r="AI87" s="577"/>
      <c r="AJ87" s="577"/>
      <c r="AK87" s="577"/>
      <c r="AL87" s="577"/>
      <c r="AM87" s="577"/>
      <c r="AN87" s="577"/>
      <c r="AO87" s="577"/>
      <c r="AP87" s="577"/>
      <c r="AQ87" s="577"/>
      <c r="AR87" s="577"/>
      <c r="AS87" s="577"/>
      <c r="AT87" s="577"/>
      <c r="AU87" s="577"/>
      <c r="AV87" s="577"/>
      <c r="AW87" s="577"/>
    </row>
    <row r="88" spans="1:49" ht="15" thickTop="1" x14ac:dyDescent="0.15">
      <c r="A88" s="270" t="str">
        <f>'Tariffs Jan2022'!F82</f>
        <v>AGL</v>
      </c>
      <c r="B88" s="40" t="str">
        <f>'Tariffs Jan2022'!D82</f>
        <v>AusNet Services West</v>
      </c>
      <c r="C88" s="40" t="str">
        <f>'Tariffs Jan2022'!G82</f>
        <v>Flexible Saver</v>
      </c>
      <c r="D88" s="59">
        <f>365*'Tariffs Jan2022'!H82/100</f>
        <v>339.88136363636363</v>
      </c>
      <c r="E88" s="59">
        <f>IF($C$5*'Tariffs Jan2022'!AK82/'Tariffs Jan2022'!AI82&gt;='Tariffs Jan2022'!J82,( 'Tariffs Jan2022'!J82*'Tariffs Jan2022'!O82/100)* 'Tariffs Jan2022'!AI82,($C$5*'Tariffs Jan2022'!AK82/'Tariffs Jan2022'!AI82*'Tariffs Jan2022'!O82/100)* 'Tariffs Jan2022'!AI82)</f>
        <v>237.81818181818181</v>
      </c>
      <c r="F88" s="59">
        <f>IF($C$5*'Tariffs Jan2022'!AK82/'Tariffs Jan2022'!AI82&lt;'Tariffs Jan2022'!J82,0,IF($C$5*'Tariffs Jan2022'!AK82/'Tariffs Jan2022'!AI82&lt;='Tariffs Jan2022'!K82,($C$5*'Tariffs Jan2022'!AK82/'Tariffs Jan2022'!AI82-'Tariffs Jan2022'!J82)*('Tariffs Jan2022'!P82/100)*'Tariffs Jan2022'!AI82,('Tariffs Jan2022'!K82-'Tariffs Jan2022'!J82)*('Tariffs Jan2022'!P82/100)*'Tariffs Jan2022'!AI82))</f>
        <v>175.86804545454538</v>
      </c>
      <c r="G88" s="59">
        <f>IF($C$5*'Tariffs Jan2022'!AK82/'Tariffs Jan2022'!AI82&lt;'Tariffs Jan2022'!K82,0,IF($C$5*'Tariffs Jan2022'!AK82/'Tariffs Jan2022'!AI82&lt;='Tariffs Jan2022'!L82,($C$5*'Tariffs Jan2022'!AK82/'Tariffs Jan2022'!AI82-'Tariffs Jan2022'!K82)*('Tariffs Jan2022'!Q82/100)*'Tariffs Jan2022'!AI82,('Tariffs Jan2022'!L82-'Tariffs Jan2022'!K82)*('Tariffs Jan2022'!Q82/100)*'Tariffs Jan2022'!AI82))</f>
        <v>0</v>
      </c>
      <c r="H88" s="59">
        <f>IF($C$5*'Tariffs Jan2022'!AK82/'Tariffs Jan2022'!AI82&lt;'Tariffs Jan2022'!L82,0,IF($C$5*'Tariffs Jan2022'!AK82/'Tariffs Jan2022'!AI82&lt;='Tariffs Jan2022'!M82,($C$5*'Tariffs Jan2022'!AK82/'Tariffs Jan2022'!AI82-'Tariffs Jan2022'!L82)*('Tariffs Jan2022'!R82/100)*'Tariffs Jan2022'!AI82,('Tariffs Jan2022'!M82-'Tariffs Jan2022'!L82)*('Tariffs Jan2022'!R82/100)*'Tariffs Jan2022'!AI82))</f>
        <v>0</v>
      </c>
      <c r="I88" s="69">
        <f>IF(($C$5*'Tariffs Jan2022'!AK82/'Tariffs Jan2022'!AI82&gt;'Tariffs Jan2022'!M82),($C$5*'Tariffs Jan2022'!AK82/'Tariffs Jan2022'!AI82-'Tariffs Jan2022'!M82)*'Tariffs Jan2022'!S82/100*'Tariffs Jan2022'!AI82,0)</f>
        <v>0</v>
      </c>
      <c r="J88" s="69">
        <f>IF($C$5*'Tariffs Jan2022'!AL82/'Tariffs Jan2022'!AJ82&gt;='Tariffs Jan2022'!J82,('Tariffs Jan2022'!J82*'Tariffs Jan2022'!U82/100)* 'Tariffs Jan2022'!AJ82,($C$5*'Tariffs Jan2022'!AL82/'Tariffs Jan2022'!AJ82*'Tariffs Jan2022'!U82/100)* 'Tariffs Jan2022'!AJ82)</f>
        <v>436.36363636363632</v>
      </c>
      <c r="K88" s="69">
        <f>IF($C$5*'Tariffs Jan2022'!AL82/'Tariffs Jan2022'!AJ82&lt;'Tariffs Jan2022'!J82,0,IF($C$5*'Tariffs Jan2022'!AL82/'Tariffs Jan2022'!AJ82&lt;='Tariffs Jan2022'!K82,($C$5*'Tariffs Jan2022'!AL82/'Tariffs Jan2022'!AJ82-'Tariffs Jan2022'!J82)*('Tariffs Jan2022'!V82/100)*'Tariffs Jan2022'!AJ82,('Tariffs Jan2022'!K82-'Tariffs Jan2022'!J82)*('Tariffs Jan2022'!V82/100)*'Tariffs Jan2022'!AJ82))</f>
        <v>271.57298181818169</v>
      </c>
      <c r="L88" s="69">
        <f>IF($C$5*'Tariffs Jan2022'!AL82/'Tariffs Jan2022'!AJ82&lt;'Tariffs Jan2022'!K82,0,IF($C$5*'Tariffs Jan2022'!AL82/'Tariffs Jan2022'!AJ82&lt;='Tariffs Jan2022'!L82,($C$5*'Tariffs Jan2022'!AL82/'Tariffs Jan2022'!AJ82-'Tariffs Jan2022'!K82)*('Tariffs Jan2022'!W82/100)*'Tariffs Jan2022'!AJ82,('Tariffs Jan2022'!L82-'Tariffs Jan2022'!K82)*('Tariffs Jan2022'!W82/100)*'Tariffs Jan2022'!AJ82))</f>
        <v>0</v>
      </c>
      <c r="M88" s="69">
        <f>IF($C$5*'Tariffs Jan2022'!AL82/'Tariffs Jan2022'!AJ82&lt;'Tariffs Jan2022'!L82,0,IF($C$5*'Tariffs Jan2022'!AL82/'Tariffs Jan2022'!AJ82&lt;='Tariffs Jan2022'!M82,($C$5*'Tariffs Jan2022'!AL82/'Tariffs Jan2022'!AJ82-'Tariffs Jan2022'!L82)*('Tariffs Jan2022'!X82/100)*'Tariffs Jan2022'!AJ82,('Tariffs Jan2022'!M82-'Tariffs Jan2022'!L82)*('Tariffs Jan2022'!X82/100)*'Tariffs Jan2022'!AJ82))</f>
        <v>0</v>
      </c>
      <c r="N88" s="69">
        <f>IF(($C$5*'Tariffs Jan2022'!AL82/'Tariffs Jan2022'!AJ82&gt;'Tariffs Jan2022'!M82),($C$5*'Tariffs Jan2022'!AL82/'Tariffs Jan2022'!AJ82-'Tariffs Jan2022'!M82)*'Tariffs Jan2022'!Y82/100*'Tariffs Jan2022'!AJ82,0)</f>
        <v>0</v>
      </c>
      <c r="O88" s="59">
        <f t="shared" si="105"/>
        <v>1121.6228454545453</v>
      </c>
      <c r="P88" s="503">
        <f t="shared" si="92"/>
        <v>1233.78513</v>
      </c>
      <c r="Q88" s="59">
        <f t="shared" si="106"/>
        <v>1461.5042090909089</v>
      </c>
      <c r="R88" s="272">
        <f t="shared" si="107"/>
        <v>1607.65463</v>
      </c>
      <c r="S88" s="40">
        <f>'Tariffs Jan2022'!AN82</f>
        <v>0</v>
      </c>
      <c r="T88" s="40">
        <f>'Tariffs Jan2022'!AO82</f>
        <v>0</v>
      </c>
      <c r="U88" s="40">
        <f>'Tariffs Jan2022'!AP82</f>
        <v>0</v>
      </c>
      <c r="V88" s="40">
        <f>'Tariffs Jan2022'!AQ82</f>
        <v>0</v>
      </c>
      <c r="W88" s="537" t="str">
        <f t="shared" si="93"/>
        <v>No discount</v>
      </c>
      <c r="X88" s="538" t="str">
        <f t="shared" si="94"/>
        <v>Exclusive</v>
      </c>
      <c r="Y88" s="534">
        <f t="shared" si="103"/>
        <v>1461.5042090909089</v>
      </c>
      <c r="Z88" s="535">
        <f t="shared" si="104"/>
        <v>1461.5042090909089</v>
      </c>
      <c r="AA88" s="542">
        <f t="shared" ref="AA88:AB102" si="118">Y88*1.1</f>
        <v>1607.65463</v>
      </c>
      <c r="AB88" s="542">
        <f t="shared" si="118"/>
        <v>1607.65463</v>
      </c>
      <c r="AC88" s="274">
        <f>'Tariffs Jan2022'!AZ82</f>
        <v>0</v>
      </c>
      <c r="AD88" s="274" t="str">
        <f>'Tariffs Jan2022'!BA82</f>
        <v>n</v>
      </c>
      <c r="AE88" s="275" t="str">
        <f>'Tariffs Jan2022'!BJ82</f>
        <v>N</v>
      </c>
      <c r="AF88" s="577"/>
      <c r="AG88" s="577"/>
      <c r="AH88" s="577"/>
      <c r="AI88" s="577"/>
      <c r="AJ88" s="577"/>
      <c r="AK88" s="577"/>
      <c r="AL88" s="577"/>
      <c r="AM88" s="577"/>
      <c r="AN88" s="577"/>
      <c r="AO88" s="577"/>
      <c r="AP88" s="577"/>
      <c r="AQ88" s="577"/>
      <c r="AR88" s="577"/>
      <c r="AS88" s="577"/>
      <c r="AT88" s="577"/>
      <c r="AU88" s="577"/>
      <c r="AV88" s="577"/>
      <c r="AW88" s="577"/>
    </row>
    <row r="89" spans="1:49" ht="14" x14ac:dyDescent="0.15">
      <c r="A89" s="270" t="str">
        <f>'Tariffs Jan2022'!F83</f>
        <v>Alinta Energy</v>
      </c>
      <c r="B89" s="40" t="str">
        <f>'Tariffs Jan2022'!D83</f>
        <v>AusNet Services West</v>
      </c>
      <c r="C89" s="40" t="str">
        <f>'Tariffs Jan2022'!G83</f>
        <v>Home Deal</v>
      </c>
      <c r="D89" s="59">
        <f>365*'Tariffs Jan2022'!H83/100</f>
        <v>264.1936363636363</v>
      </c>
      <c r="E89" s="59">
        <f>IF($C$5*'Tariffs Jan2022'!AK83/'Tariffs Jan2022'!AI83&gt;='Tariffs Jan2022'!J83,( 'Tariffs Jan2022'!J83*'Tariffs Jan2022'!O83/100)* 'Tariffs Jan2022'!AI83,($C$5*'Tariffs Jan2022'!AK83/'Tariffs Jan2022'!AI83*'Tariffs Jan2022'!O83/100)* 'Tariffs Jan2022'!AI83)</f>
        <v>201.81818181818181</v>
      </c>
      <c r="F89" s="59">
        <f>IF($C$5*'Tariffs Jan2022'!AK83/'Tariffs Jan2022'!AI83&lt;'Tariffs Jan2022'!J83,0,IF($C$5*'Tariffs Jan2022'!AK83/'Tariffs Jan2022'!AI83&lt;='Tariffs Jan2022'!K83,($C$5*'Tariffs Jan2022'!AK83/'Tariffs Jan2022'!AI83-'Tariffs Jan2022'!J83)*('Tariffs Jan2022'!P83/100)*'Tariffs Jan2022'!AI83,('Tariffs Jan2022'!K83-'Tariffs Jan2022'!J83)*('Tariffs Jan2022'!P83/100)*'Tariffs Jan2022'!AI83))</f>
        <v>0</v>
      </c>
      <c r="G89" s="59">
        <f>IF($C$5*'Tariffs Jan2022'!AK83/'Tariffs Jan2022'!AI83&lt;'Tariffs Jan2022'!K83,0,IF($C$5*'Tariffs Jan2022'!AK83/'Tariffs Jan2022'!AI83&lt;='Tariffs Jan2022'!L83,($C$5*'Tariffs Jan2022'!AK83/'Tariffs Jan2022'!AI83-'Tariffs Jan2022'!K83)*('Tariffs Jan2022'!Q83/100)*'Tariffs Jan2022'!AI83,('Tariffs Jan2022'!L83-'Tariffs Jan2022'!K83)*('Tariffs Jan2022'!Q83/100)*'Tariffs Jan2022'!AI83))</f>
        <v>0</v>
      </c>
      <c r="H89" s="59">
        <f>IF($C$5*'Tariffs Jan2022'!AK83/'Tariffs Jan2022'!AI83&lt;'Tariffs Jan2022'!L83,0,IF($C$5*'Tariffs Jan2022'!AK83/'Tariffs Jan2022'!AI83&lt;='Tariffs Jan2022'!M83,($C$5*'Tariffs Jan2022'!AK83/'Tariffs Jan2022'!AI83-'Tariffs Jan2022'!L83)*('Tariffs Jan2022'!R83/100)*'Tariffs Jan2022'!AI83,('Tariffs Jan2022'!M83-'Tariffs Jan2022'!L83)*('Tariffs Jan2022'!R83/100)*'Tariffs Jan2022'!AI83))</f>
        <v>0</v>
      </c>
      <c r="I89" s="69">
        <f>IF(($C$5*'Tariffs Jan2022'!AK83/'Tariffs Jan2022'!AI83&gt;'Tariffs Jan2022'!M83),($C$5*'Tariffs Jan2022'!AK83/'Tariffs Jan2022'!AI83-'Tariffs Jan2022'!M83)*'Tariffs Jan2022'!S83/100*'Tariffs Jan2022'!AI83,0)</f>
        <v>135.78649090909084</v>
      </c>
      <c r="J89" s="69">
        <f>IF($C$5*'Tariffs Jan2022'!AL83/'Tariffs Jan2022'!AJ83&gt;='Tariffs Jan2022'!J83,('Tariffs Jan2022'!J83*'Tariffs Jan2022'!U83/100)* 'Tariffs Jan2022'!AJ83,($C$5*'Tariffs Jan2022'!AL83/'Tariffs Jan2022'!AJ83*'Tariffs Jan2022'!U83/100)* 'Tariffs Jan2022'!AJ83)</f>
        <v>342.54545454545456</v>
      </c>
      <c r="K89" s="69">
        <f>IF($C$5*'Tariffs Jan2022'!AL83/'Tariffs Jan2022'!AJ83&lt;'Tariffs Jan2022'!J83,0,IF($C$5*'Tariffs Jan2022'!AL83/'Tariffs Jan2022'!AJ83&lt;='Tariffs Jan2022'!K83,($C$5*'Tariffs Jan2022'!AL83/'Tariffs Jan2022'!AJ83-'Tariffs Jan2022'!J83)*('Tariffs Jan2022'!V83/100)*'Tariffs Jan2022'!AJ83,('Tariffs Jan2022'!K83-'Tariffs Jan2022'!J83)*('Tariffs Jan2022'!V83/100)*'Tariffs Jan2022'!AJ83))</f>
        <v>0</v>
      </c>
      <c r="L89" s="69">
        <f>IF($C$5*'Tariffs Jan2022'!AL83/'Tariffs Jan2022'!AJ83&lt;'Tariffs Jan2022'!K83,0,IF($C$5*'Tariffs Jan2022'!AL83/'Tariffs Jan2022'!AJ83&lt;='Tariffs Jan2022'!L83,($C$5*'Tariffs Jan2022'!AL83/'Tariffs Jan2022'!AJ83-'Tariffs Jan2022'!K83)*('Tariffs Jan2022'!W83/100)*'Tariffs Jan2022'!AJ83,('Tariffs Jan2022'!L83-'Tariffs Jan2022'!K83)*('Tariffs Jan2022'!W83/100)*'Tariffs Jan2022'!AJ83))</f>
        <v>0</v>
      </c>
      <c r="M89" s="69">
        <f>IF($C$5*'Tariffs Jan2022'!AL83/'Tariffs Jan2022'!AJ83&lt;'Tariffs Jan2022'!L83,0,IF($C$5*'Tariffs Jan2022'!AL83/'Tariffs Jan2022'!AJ83&lt;='Tariffs Jan2022'!M83,($C$5*'Tariffs Jan2022'!AL83/'Tariffs Jan2022'!AJ83-'Tariffs Jan2022'!L83)*('Tariffs Jan2022'!X83/100)*'Tariffs Jan2022'!AJ83,('Tariffs Jan2022'!M83-'Tariffs Jan2022'!L83)*('Tariffs Jan2022'!X83/100)*'Tariffs Jan2022'!AJ83))</f>
        <v>0</v>
      </c>
      <c r="N89" s="69">
        <f>IF(($C$5*'Tariffs Jan2022'!AL83/'Tariffs Jan2022'!AJ83&gt;'Tariffs Jan2022'!M83),($C$5*'Tariffs Jan2022'!AL83/'Tariffs Jan2022'!AJ83-'Tariffs Jan2022'!M83)*'Tariffs Jan2022'!Y83/100*'Tariffs Jan2022'!AJ83,0)</f>
        <v>225.76549090909083</v>
      </c>
      <c r="O89" s="59">
        <f t="shared" si="105"/>
        <v>905.91561818181799</v>
      </c>
      <c r="P89" s="503">
        <f t="shared" si="92"/>
        <v>996.50717999999983</v>
      </c>
      <c r="Q89" s="59">
        <f t="shared" si="106"/>
        <v>1170.1092545454544</v>
      </c>
      <c r="R89" s="272">
        <f t="shared" si="107"/>
        <v>1287.1201799999999</v>
      </c>
      <c r="S89" s="40">
        <f>'Tariffs Jan2022'!AN83</f>
        <v>0</v>
      </c>
      <c r="T89" s="40">
        <f>'Tariffs Jan2022'!AO83</f>
        <v>0</v>
      </c>
      <c r="U89" s="40">
        <f>'Tariffs Jan2022'!AP83</f>
        <v>0</v>
      </c>
      <c r="V89" s="40">
        <f>'Tariffs Jan2022'!AQ83</f>
        <v>0</v>
      </c>
      <c r="W89" s="537" t="str">
        <f t="shared" si="93"/>
        <v>No discount</v>
      </c>
      <c r="X89" s="538" t="str">
        <f t="shared" si="94"/>
        <v>Exclusive</v>
      </c>
      <c r="Y89" s="534">
        <f t="shared" si="103"/>
        <v>1170.1092545454544</v>
      </c>
      <c r="Z89" s="535">
        <f t="shared" si="104"/>
        <v>1170.1092545454544</v>
      </c>
      <c r="AA89" s="542">
        <f t="shared" si="118"/>
        <v>1287.1201799999999</v>
      </c>
      <c r="AB89" s="542">
        <f t="shared" si="118"/>
        <v>1287.1201799999999</v>
      </c>
      <c r="AC89" s="274">
        <f>'Tariffs Jan2022'!AZ83</f>
        <v>0</v>
      </c>
      <c r="AD89" s="274" t="str">
        <f>'Tariffs Jan2022'!BA83</f>
        <v>n</v>
      </c>
      <c r="AE89" s="275" t="str">
        <f>'Tariffs Jan2022'!BJ83</f>
        <v>N</v>
      </c>
      <c r="AF89" s="577"/>
      <c r="AG89" s="577"/>
      <c r="AH89" s="577"/>
      <c r="AI89" s="577"/>
      <c r="AJ89" s="577"/>
      <c r="AK89" s="577"/>
      <c r="AL89" s="577"/>
      <c r="AM89" s="577"/>
      <c r="AN89" s="577"/>
      <c r="AO89" s="577"/>
      <c r="AP89" s="577"/>
      <c r="AQ89" s="577"/>
      <c r="AR89" s="577"/>
      <c r="AS89" s="577"/>
      <c r="AT89" s="577"/>
      <c r="AU89" s="577"/>
      <c r="AV89" s="577"/>
      <c r="AW89" s="577"/>
    </row>
    <row r="90" spans="1:49" ht="14" x14ac:dyDescent="0.15">
      <c r="A90" s="270" t="str">
        <f>'Tariffs Jan2022'!F84</f>
        <v>Covau</v>
      </c>
      <c r="B90" s="40" t="str">
        <f>'Tariffs Jan2022'!D84</f>
        <v>AusNet Services West</v>
      </c>
      <c r="C90" s="40" t="str">
        <f>'Tariffs Jan2022'!G84</f>
        <v>Super Saver Plus</v>
      </c>
      <c r="D90" s="59">
        <f>365*'Tariffs Jan2022'!H84/100</f>
        <v>310.25</v>
      </c>
      <c r="E90" s="59">
        <f>IF($C$5*'Tariffs Jan2022'!AK84/'Tariffs Jan2022'!AI84&gt;='Tariffs Jan2022'!J84,( 'Tariffs Jan2022'!J84*'Tariffs Jan2022'!O84/100)* 'Tariffs Jan2022'!AI84,($C$5*'Tariffs Jan2022'!AK84/'Tariffs Jan2022'!AI84*'Tariffs Jan2022'!O84/100)* 'Tariffs Jan2022'!AI84)</f>
        <v>243.27272727272725</v>
      </c>
      <c r="F90" s="59">
        <f>IF($C$5*'Tariffs Jan2022'!AK84/'Tariffs Jan2022'!AI84&lt;'Tariffs Jan2022'!J84,0,IF($C$5*'Tariffs Jan2022'!AK84/'Tariffs Jan2022'!AI84&lt;='Tariffs Jan2022'!K84,($C$5*'Tariffs Jan2022'!AK84/'Tariffs Jan2022'!AI84-'Tariffs Jan2022'!J84)*('Tariffs Jan2022'!P84/100)*'Tariffs Jan2022'!AI84,('Tariffs Jan2022'!K84-'Tariffs Jan2022'!J84)*('Tariffs Jan2022'!P84/100)*'Tariffs Jan2022'!AI84))</f>
        <v>167.68813636363629</v>
      </c>
      <c r="G90" s="59">
        <f>IF($C$5*'Tariffs Jan2022'!AK84/'Tariffs Jan2022'!AI84&lt;'Tariffs Jan2022'!K84,0,IF($C$5*'Tariffs Jan2022'!AK84/'Tariffs Jan2022'!AI84&lt;='Tariffs Jan2022'!L84,($C$5*'Tariffs Jan2022'!AK84/'Tariffs Jan2022'!AI84-'Tariffs Jan2022'!K84)*('Tariffs Jan2022'!Q84/100)*'Tariffs Jan2022'!AI84,('Tariffs Jan2022'!L84-'Tariffs Jan2022'!K84)*('Tariffs Jan2022'!Q84/100)*'Tariffs Jan2022'!AI84))</f>
        <v>0</v>
      </c>
      <c r="H90" s="59">
        <f>IF($C$5*'Tariffs Jan2022'!AK84/'Tariffs Jan2022'!AI84&lt;'Tariffs Jan2022'!L84,0,IF($C$5*'Tariffs Jan2022'!AK84/'Tariffs Jan2022'!AI84&lt;='Tariffs Jan2022'!M84,($C$5*'Tariffs Jan2022'!AK84/'Tariffs Jan2022'!AI84-'Tariffs Jan2022'!L84)*('Tariffs Jan2022'!R84/100)*'Tariffs Jan2022'!AI84,('Tariffs Jan2022'!M84-'Tariffs Jan2022'!L84)*('Tariffs Jan2022'!R84/100)*'Tariffs Jan2022'!AI84))</f>
        <v>0</v>
      </c>
      <c r="I90" s="69">
        <f>IF(($C$5*'Tariffs Jan2022'!AK84/'Tariffs Jan2022'!AI84&gt;'Tariffs Jan2022'!M84),($C$5*'Tariffs Jan2022'!AK84/'Tariffs Jan2022'!AI84-'Tariffs Jan2022'!M84)*'Tariffs Jan2022'!S84/100*'Tariffs Jan2022'!AI84,0)</f>
        <v>0</v>
      </c>
      <c r="J90" s="69">
        <f>IF($C$5*'Tariffs Jan2022'!AL84/'Tariffs Jan2022'!AJ84&gt;='Tariffs Jan2022'!J84,('Tariffs Jan2022'!J84*'Tariffs Jan2022'!U84/100)* 'Tariffs Jan2022'!AJ84,($C$5*'Tariffs Jan2022'!AL84/'Tariffs Jan2022'!AJ84*'Tariffs Jan2022'!U84/100)* 'Tariffs Jan2022'!AJ84)</f>
        <v>373.09090909090907</v>
      </c>
      <c r="K90" s="69">
        <f>IF($C$5*'Tariffs Jan2022'!AL84/'Tariffs Jan2022'!AJ84&lt;'Tariffs Jan2022'!J84,0,IF($C$5*'Tariffs Jan2022'!AL84/'Tariffs Jan2022'!AJ84&lt;='Tariffs Jan2022'!K84,($C$5*'Tariffs Jan2022'!AL84/'Tariffs Jan2022'!AJ84-'Tariffs Jan2022'!J84)*('Tariffs Jan2022'!V84/100)*'Tariffs Jan2022'!AJ84,('Tariffs Jan2022'!K84-'Tariffs Jan2022'!J84)*('Tariffs Jan2022'!V84/100)*'Tariffs Jan2022'!AJ84))</f>
        <v>276.48092727272717</v>
      </c>
      <c r="L90" s="69">
        <f>IF($C$5*'Tariffs Jan2022'!AL84/'Tariffs Jan2022'!AJ84&lt;'Tariffs Jan2022'!K84,0,IF($C$5*'Tariffs Jan2022'!AL84/'Tariffs Jan2022'!AJ84&lt;='Tariffs Jan2022'!L84,($C$5*'Tariffs Jan2022'!AL84/'Tariffs Jan2022'!AJ84-'Tariffs Jan2022'!K84)*('Tariffs Jan2022'!W84/100)*'Tariffs Jan2022'!AJ84,('Tariffs Jan2022'!L84-'Tariffs Jan2022'!K84)*('Tariffs Jan2022'!W84/100)*'Tariffs Jan2022'!AJ84))</f>
        <v>0</v>
      </c>
      <c r="M90" s="69">
        <f>IF($C$5*'Tariffs Jan2022'!AL84/'Tariffs Jan2022'!AJ84&lt;'Tariffs Jan2022'!L84,0,IF($C$5*'Tariffs Jan2022'!AL84/'Tariffs Jan2022'!AJ84&lt;='Tariffs Jan2022'!M84,($C$5*'Tariffs Jan2022'!AL84/'Tariffs Jan2022'!AJ84-'Tariffs Jan2022'!L84)*('Tariffs Jan2022'!X84/100)*'Tariffs Jan2022'!AJ84,('Tariffs Jan2022'!M84-'Tariffs Jan2022'!L84)*('Tariffs Jan2022'!X84/100)*'Tariffs Jan2022'!AJ84))</f>
        <v>0</v>
      </c>
      <c r="N90" s="69">
        <f>IF(($C$5*'Tariffs Jan2022'!AL84/'Tariffs Jan2022'!AJ84&gt;'Tariffs Jan2022'!M84),($C$5*'Tariffs Jan2022'!AL84/'Tariffs Jan2022'!AJ84-'Tariffs Jan2022'!M84)*'Tariffs Jan2022'!Y84/100*'Tariffs Jan2022'!AJ84,0)</f>
        <v>0</v>
      </c>
      <c r="O90" s="59">
        <f t="shared" si="105"/>
        <v>1060.5326999999997</v>
      </c>
      <c r="P90" s="503">
        <f t="shared" si="92"/>
        <v>1166.5859699999999</v>
      </c>
      <c r="Q90" s="59">
        <f t="shared" si="106"/>
        <v>1370.7826999999997</v>
      </c>
      <c r="R90" s="272">
        <f t="shared" si="107"/>
        <v>1507.86097</v>
      </c>
      <c r="S90" s="40">
        <f>'Tariffs Jan2022'!AN84</f>
        <v>0</v>
      </c>
      <c r="T90" s="40">
        <f>'Tariffs Jan2022'!AO84</f>
        <v>20</v>
      </c>
      <c r="U90" s="40">
        <f>'Tariffs Jan2022'!AP84</f>
        <v>0</v>
      </c>
      <c r="V90" s="40">
        <f>'Tariffs Jan2022'!AQ84</f>
        <v>0</v>
      </c>
      <c r="W90" s="537" t="str">
        <f t="shared" si="93"/>
        <v>Guaranteed off usage</v>
      </c>
      <c r="X90" s="538" t="str">
        <f t="shared" si="94"/>
        <v>Exclusive</v>
      </c>
      <c r="Y90" s="534">
        <f t="shared" si="103"/>
        <v>1137.4655059999998</v>
      </c>
      <c r="Z90" s="535">
        <f t="shared" si="104"/>
        <v>1137.4655059999998</v>
      </c>
      <c r="AA90" s="542">
        <f t="shared" si="118"/>
        <v>1251.2120565999999</v>
      </c>
      <c r="AB90" s="542">
        <f t="shared" si="118"/>
        <v>1251.2120565999999</v>
      </c>
      <c r="AC90" s="274">
        <f>'Tariffs Jan2022'!AZ84</f>
        <v>0</v>
      </c>
      <c r="AD90" s="274" t="str">
        <f>'Tariffs Jan2022'!BA84</f>
        <v>n</v>
      </c>
      <c r="AE90" s="275" t="str">
        <f>'Tariffs Jan2022'!BJ84</f>
        <v>N</v>
      </c>
      <c r="AF90" s="577"/>
      <c r="AG90" s="577"/>
      <c r="AH90" s="577"/>
      <c r="AI90" s="577"/>
      <c r="AJ90" s="577"/>
      <c r="AK90" s="577"/>
      <c r="AL90" s="577"/>
      <c r="AM90" s="577"/>
      <c r="AN90" s="577"/>
      <c r="AO90" s="577"/>
      <c r="AP90" s="577"/>
      <c r="AQ90" s="577"/>
      <c r="AR90" s="577"/>
      <c r="AS90" s="577"/>
      <c r="AT90" s="577"/>
      <c r="AU90" s="577"/>
      <c r="AV90" s="577"/>
      <c r="AW90" s="577"/>
    </row>
    <row r="91" spans="1:49" ht="14" x14ac:dyDescent="0.15">
      <c r="A91" s="270" t="str">
        <f>'Tariffs Jan2022'!F85</f>
        <v>EnergyAustralia</v>
      </c>
      <c r="B91" s="40" t="str">
        <f>'Tariffs Jan2022'!D85</f>
        <v>AusNet Services West</v>
      </c>
      <c r="C91" s="40" t="str">
        <f>'Tariffs Jan2022'!G85</f>
        <v>Total Plan</v>
      </c>
      <c r="D91" s="59">
        <f>365*'Tariffs Jan2022'!H85/100</f>
        <v>378.50499999999994</v>
      </c>
      <c r="E91" s="59">
        <f>IF($C$5*'Tariffs Jan2022'!AK85/'Tariffs Jan2022'!AI85&gt;='Tariffs Jan2022'!J85,( 'Tariffs Jan2022'!J85*'Tariffs Jan2022'!O85/100)* 'Tariffs Jan2022'!AI85,($C$5*'Tariffs Jan2022'!AK85/'Tariffs Jan2022'!AI85*'Tariffs Jan2022'!O85/100)* 'Tariffs Jan2022'!AI85)</f>
        <v>309.81818181818181</v>
      </c>
      <c r="F91" s="59">
        <f>IF($C$5*'Tariffs Jan2022'!AK85/'Tariffs Jan2022'!AI85&lt;'Tariffs Jan2022'!J85,0,IF($C$5*'Tariffs Jan2022'!AK85/'Tariffs Jan2022'!AI85&lt;='Tariffs Jan2022'!K85,($C$5*'Tariffs Jan2022'!AK85/'Tariffs Jan2022'!AI85-'Tariffs Jan2022'!J85)*('Tariffs Jan2022'!P85/100)*'Tariffs Jan2022'!AI85,('Tariffs Jan2022'!K85-'Tariffs Jan2022'!J85)*('Tariffs Jan2022'!P85/100)*'Tariffs Jan2022'!AI85))</f>
        <v>213.49562727272721</v>
      </c>
      <c r="G91" s="59">
        <f>IF($C$5*'Tariffs Jan2022'!AK85/'Tariffs Jan2022'!AI85&lt;'Tariffs Jan2022'!K85,0,IF($C$5*'Tariffs Jan2022'!AK85/'Tariffs Jan2022'!AI85&lt;='Tariffs Jan2022'!L85,($C$5*'Tariffs Jan2022'!AK85/'Tariffs Jan2022'!AI85-'Tariffs Jan2022'!K85)*('Tariffs Jan2022'!Q85/100)*'Tariffs Jan2022'!AI85,('Tariffs Jan2022'!L85-'Tariffs Jan2022'!K85)*('Tariffs Jan2022'!Q85/100)*'Tariffs Jan2022'!AI85))</f>
        <v>0</v>
      </c>
      <c r="H91" s="59">
        <f>IF($C$5*'Tariffs Jan2022'!AK85/'Tariffs Jan2022'!AI85&lt;'Tariffs Jan2022'!L85,0,IF($C$5*'Tariffs Jan2022'!AK85/'Tariffs Jan2022'!AI85&lt;='Tariffs Jan2022'!M85,($C$5*'Tariffs Jan2022'!AK85/'Tariffs Jan2022'!AI85-'Tariffs Jan2022'!L85)*('Tariffs Jan2022'!R85/100)*'Tariffs Jan2022'!AI85,('Tariffs Jan2022'!M85-'Tariffs Jan2022'!L85)*('Tariffs Jan2022'!R85/100)*'Tariffs Jan2022'!AI85))</f>
        <v>0</v>
      </c>
      <c r="I91" s="69">
        <f>IF(($C$5*'Tariffs Jan2022'!AK85/'Tariffs Jan2022'!AI85&gt;'Tariffs Jan2022'!M85),($C$5*'Tariffs Jan2022'!AK85/'Tariffs Jan2022'!AI85-'Tariffs Jan2022'!M85)*'Tariffs Jan2022'!S85/100*'Tariffs Jan2022'!AI85,0)</f>
        <v>0</v>
      </c>
      <c r="J91" s="69">
        <f>IF($C$5*'Tariffs Jan2022'!AL85/'Tariffs Jan2022'!AJ85&gt;='Tariffs Jan2022'!J85,('Tariffs Jan2022'!J85*'Tariffs Jan2022'!U85/100)* 'Tariffs Jan2022'!AJ85,($C$5*'Tariffs Jan2022'!AL85/'Tariffs Jan2022'!AJ85*'Tariffs Jan2022'!U85/100)* 'Tariffs Jan2022'!AJ85)</f>
        <v>510.5454545454545</v>
      </c>
      <c r="K91" s="69">
        <f>IF($C$5*'Tariffs Jan2022'!AL85/'Tariffs Jan2022'!AJ85&lt;'Tariffs Jan2022'!J85,0,IF($C$5*'Tariffs Jan2022'!AL85/'Tariffs Jan2022'!AJ85&lt;='Tariffs Jan2022'!K85,($C$5*'Tariffs Jan2022'!AL85/'Tariffs Jan2022'!AJ85-'Tariffs Jan2022'!J85)*('Tariffs Jan2022'!V85/100)*'Tariffs Jan2022'!AJ85,('Tariffs Jan2022'!K85-'Tariffs Jan2022'!J85)*('Tariffs Jan2022'!V85/100)*'Tariffs Jan2022'!AJ85))</f>
        <v>379.5477818181817</v>
      </c>
      <c r="L91" s="69">
        <f>IF($C$5*'Tariffs Jan2022'!AL85/'Tariffs Jan2022'!AJ85&lt;'Tariffs Jan2022'!K85,0,IF($C$5*'Tariffs Jan2022'!AL85/'Tariffs Jan2022'!AJ85&lt;='Tariffs Jan2022'!L85,($C$5*'Tariffs Jan2022'!AL85/'Tariffs Jan2022'!AJ85-'Tariffs Jan2022'!K85)*('Tariffs Jan2022'!W85/100)*'Tariffs Jan2022'!AJ85,('Tariffs Jan2022'!L85-'Tariffs Jan2022'!K85)*('Tariffs Jan2022'!W85/100)*'Tariffs Jan2022'!AJ85))</f>
        <v>0</v>
      </c>
      <c r="M91" s="69">
        <f>IF($C$5*'Tariffs Jan2022'!AL85/'Tariffs Jan2022'!AJ85&lt;'Tariffs Jan2022'!L85,0,IF($C$5*'Tariffs Jan2022'!AL85/'Tariffs Jan2022'!AJ85&lt;='Tariffs Jan2022'!M85,($C$5*'Tariffs Jan2022'!AL85/'Tariffs Jan2022'!AJ85-'Tariffs Jan2022'!L85)*('Tariffs Jan2022'!X85/100)*'Tariffs Jan2022'!AJ85,('Tariffs Jan2022'!M85-'Tariffs Jan2022'!L85)*('Tariffs Jan2022'!X85/100)*'Tariffs Jan2022'!AJ85))</f>
        <v>0</v>
      </c>
      <c r="N91" s="69">
        <f>IF(($C$5*'Tariffs Jan2022'!AL85/'Tariffs Jan2022'!AJ85&gt;'Tariffs Jan2022'!M85),($C$5*'Tariffs Jan2022'!AL85/'Tariffs Jan2022'!AJ85-'Tariffs Jan2022'!M85)*'Tariffs Jan2022'!Y85/100*'Tariffs Jan2022'!AJ85,0)</f>
        <v>0</v>
      </c>
      <c r="O91" s="59">
        <f>SUM(E91:N91)</f>
        <v>1413.4070454545451</v>
      </c>
      <c r="P91" s="503">
        <f t="shared" si="92"/>
        <v>1554.7477499999998</v>
      </c>
      <c r="Q91" s="59">
        <f>D91+O91</f>
        <v>1791.912045454545</v>
      </c>
      <c r="R91" s="272">
        <f>Q91*1.1</f>
        <v>1971.1032499999997</v>
      </c>
      <c r="S91" s="40">
        <f>'Tariffs Jan2022'!AN85</f>
        <v>24</v>
      </c>
      <c r="T91" s="40">
        <f>'Tariffs Jan2022'!AO85</f>
        <v>0</v>
      </c>
      <c r="U91" s="40">
        <f>'Tariffs Jan2022'!AP85</f>
        <v>0</v>
      </c>
      <c r="V91" s="40">
        <f>'Tariffs Jan2022'!AQ85</f>
        <v>0</v>
      </c>
      <c r="W91" s="537" t="str">
        <f t="shared" si="93"/>
        <v>Guaranteed off bill</v>
      </c>
      <c r="X91" s="538" t="str">
        <f t="shared" si="94"/>
        <v>Exclusive</v>
      </c>
      <c r="Y91" s="534">
        <f t="shared" si="103"/>
        <v>1361.8531545454541</v>
      </c>
      <c r="Z91" s="535">
        <f t="shared" si="104"/>
        <v>1361.8531545454541</v>
      </c>
      <c r="AA91" s="542">
        <f t="shared" si="118"/>
        <v>1498.0384699999997</v>
      </c>
      <c r="AB91" s="542">
        <f t="shared" si="118"/>
        <v>1498.0384699999997</v>
      </c>
      <c r="AC91" s="274">
        <f>'Tariffs Jan2022'!AZ85</f>
        <v>12</v>
      </c>
      <c r="AD91" s="274" t="str">
        <f>'Tariffs Jan2022'!BA85</f>
        <v>n</v>
      </c>
      <c r="AE91" s="275" t="str">
        <f>'Tariffs Jan2022'!BJ85</f>
        <v>N</v>
      </c>
      <c r="AF91" s="577"/>
      <c r="AG91" s="577"/>
      <c r="AH91" s="577"/>
      <c r="AI91" s="577"/>
      <c r="AJ91" s="577"/>
      <c r="AK91" s="577"/>
      <c r="AL91" s="577"/>
      <c r="AM91" s="577"/>
      <c r="AN91" s="577"/>
      <c r="AO91" s="577"/>
      <c r="AP91" s="577"/>
      <c r="AQ91" s="577"/>
      <c r="AR91" s="577"/>
      <c r="AS91" s="577"/>
      <c r="AT91" s="577"/>
      <c r="AU91" s="577"/>
      <c r="AV91" s="577"/>
      <c r="AW91" s="577"/>
    </row>
    <row r="92" spans="1:49" ht="14" x14ac:dyDescent="0.15">
      <c r="A92" s="270" t="str">
        <f>'Tariffs Jan2022'!F86</f>
        <v>Lumo Energy</v>
      </c>
      <c r="B92" s="40" t="str">
        <f>'Tariffs Jan2022'!D86</f>
        <v>AusNet Services West</v>
      </c>
      <c r="C92" s="40" t="str">
        <f>'Tariffs Jan2022'!G86</f>
        <v>Value</v>
      </c>
      <c r="D92" s="59">
        <f>365*'Tariffs Jan2022'!H86/100</f>
        <v>286.89</v>
      </c>
      <c r="E92" s="59">
        <f>IF($C$5*'Tariffs Jan2022'!AK86/'Tariffs Jan2022'!AI86&gt;='Tariffs Jan2022'!J86,( 'Tariffs Jan2022'!J86*'Tariffs Jan2022'!O86/100)* 'Tariffs Jan2022'!AI86,($C$5*'Tariffs Jan2022'!AK86/'Tariffs Jan2022'!AI86*'Tariffs Jan2022'!O86/100)* 'Tariffs Jan2022'!AI86)</f>
        <v>220.36363636363637</v>
      </c>
      <c r="F92" s="59">
        <f>IF($C$5*'Tariffs Jan2022'!AK86/'Tariffs Jan2022'!AI86&lt;'Tariffs Jan2022'!J86,0,IF($C$5*'Tariffs Jan2022'!AK86/'Tariffs Jan2022'!AI86&lt;='Tariffs Jan2022'!K86,($C$5*'Tariffs Jan2022'!AK86/'Tariffs Jan2022'!AI86-'Tariffs Jan2022'!J86)*('Tariffs Jan2022'!P86/100)*'Tariffs Jan2022'!AI86,('Tariffs Jan2022'!K86-'Tariffs Jan2022'!J86)*('Tariffs Jan2022'!P86/100)*'Tariffs Jan2022'!AI86))</f>
        <v>163.59818181818176</v>
      </c>
      <c r="G92" s="59">
        <f>IF($C$5*'Tariffs Jan2022'!AK86/'Tariffs Jan2022'!AI86&lt;'Tariffs Jan2022'!K86,0,IF($C$5*'Tariffs Jan2022'!AK86/'Tariffs Jan2022'!AI86&lt;='Tariffs Jan2022'!L86,($C$5*'Tariffs Jan2022'!AK86/'Tariffs Jan2022'!AI86-'Tariffs Jan2022'!K86)*('Tariffs Jan2022'!Q86/100)*'Tariffs Jan2022'!AI86,('Tariffs Jan2022'!L86-'Tariffs Jan2022'!K86)*('Tariffs Jan2022'!Q86/100)*'Tariffs Jan2022'!AI86))</f>
        <v>0</v>
      </c>
      <c r="H92" s="59">
        <f>IF($C$5*'Tariffs Jan2022'!AK86/'Tariffs Jan2022'!AI86&lt;'Tariffs Jan2022'!L86,0,IF($C$5*'Tariffs Jan2022'!AK86/'Tariffs Jan2022'!AI86&lt;='Tariffs Jan2022'!M86,($C$5*'Tariffs Jan2022'!AK86/'Tariffs Jan2022'!AI86-'Tariffs Jan2022'!L86)*('Tariffs Jan2022'!R86/100)*'Tariffs Jan2022'!AI86,('Tariffs Jan2022'!M86-'Tariffs Jan2022'!L86)*('Tariffs Jan2022'!R86/100)*'Tariffs Jan2022'!AI86))</f>
        <v>0</v>
      </c>
      <c r="I92" s="69">
        <f>IF(($C$5*'Tariffs Jan2022'!AK86/'Tariffs Jan2022'!AI86&gt;'Tariffs Jan2022'!M86),($C$5*'Tariffs Jan2022'!AK86/'Tariffs Jan2022'!AI86-'Tariffs Jan2022'!M86)*'Tariffs Jan2022'!S86/100*'Tariffs Jan2022'!AI86,0)</f>
        <v>0</v>
      </c>
      <c r="J92" s="69">
        <f>IF($C$5*'Tariffs Jan2022'!AL86/'Tariffs Jan2022'!AJ86&gt;='Tariffs Jan2022'!J86,('Tariffs Jan2022'!J86*'Tariffs Jan2022'!U86/100)* 'Tariffs Jan2022'!AJ86,($C$5*'Tariffs Jan2022'!AL86/'Tariffs Jan2022'!AJ86*'Tariffs Jan2022'!U86/100)* 'Tariffs Jan2022'!AJ86)</f>
        <v>403.63636363636363</v>
      </c>
      <c r="K92" s="69">
        <f>IF($C$5*'Tariffs Jan2022'!AL86/'Tariffs Jan2022'!AJ86&lt;'Tariffs Jan2022'!J86,0,IF($C$5*'Tariffs Jan2022'!AL86/'Tariffs Jan2022'!AJ86&lt;='Tariffs Jan2022'!K86,($C$5*'Tariffs Jan2022'!AL86/'Tariffs Jan2022'!AJ86-'Tariffs Jan2022'!J86)*('Tariffs Jan2022'!V86/100)*'Tariffs Jan2022'!AJ86,('Tariffs Jan2022'!K86-'Tariffs Jan2022'!J86)*('Tariffs Jan2022'!V86/100)*'Tariffs Jan2022'!AJ86))</f>
        <v>297.74869090909078</v>
      </c>
      <c r="L92" s="69">
        <f>IF($C$5*'Tariffs Jan2022'!AL86/'Tariffs Jan2022'!AJ86&lt;'Tariffs Jan2022'!K86,0,IF($C$5*'Tariffs Jan2022'!AL86/'Tariffs Jan2022'!AJ86&lt;='Tariffs Jan2022'!L86,($C$5*'Tariffs Jan2022'!AL86/'Tariffs Jan2022'!AJ86-'Tariffs Jan2022'!K86)*('Tariffs Jan2022'!W86/100)*'Tariffs Jan2022'!AJ86,('Tariffs Jan2022'!L86-'Tariffs Jan2022'!K86)*('Tariffs Jan2022'!W86/100)*'Tariffs Jan2022'!AJ86))</f>
        <v>0</v>
      </c>
      <c r="M92" s="69">
        <f>IF($C$5*'Tariffs Jan2022'!AL86/'Tariffs Jan2022'!AJ86&lt;'Tariffs Jan2022'!L86,0,IF($C$5*'Tariffs Jan2022'!AL86/'Tariffs Jan2022'!AJ86&lt;='Tariffs Jan2022'!M86,($C$5*'Tariffs Jan2022'!AL86/'Tariffs Jan2022'!AJ86-'Tariffs Jan2022'!L86)*('Tariffs Jan2022'!X86/100)*'Tariffs Jan2022'!AJ86,('Tariffs Jan2022'!M86-'Tariffs Jan2022'!L86)*('Tariffs Jan2022'!X86/100)*'Tariffs Jan2022'!AJ86))</f>
        <v>0</v>
      </c>
      <c r="N92" s="69">
        <f>IF(($C$5*'Tariffs Jan2022'!AL86/'Tariffs Jan2022'!AJ86&gt;'Tariffs Jan2022'!M86),($C$5*'Tariffs Jan2022'!AL86/'Tariffs Jan2022'!AJ86-'Tariffs Jan2022'!M86)*'Tariffs Jan2022'!Y86/100*'Tariffs Jan2022'!AJ86,0)</f>
        <v>0</v>
      </c>
      <c r="O92" s="59">
        <f t="shared" si="105"/>
        <v>1085.3468727272725</v>
      </c>
      <c r="P92" s="503">
        <f t="shared" si="92"/>
        <v>1193.8815599999998</v>
      </c>
      <c r="Q92" s="59">
        <f t="shared" si="106"/>
        <v>1372.2368727272724</v>
      </c>
      <c r="R92" s="272">
        <f t="shared" si="107"/>
        <v>1509.4605599999998</v>
      </c>
      <c r="S92" s="40">
        <f>'Tariffs Jan2022'!AN86</f>
        <v>0</v>
      </c>
      <c r="T92" s="40">
        <f>'Tariffs Jan2022'!AO86</f>
        <v>0</v>
      </c>
      <c r="U92" s="40">
        <f>'Tariffs Jan2022'!AP86</f>
        <v>0</v>
      </c>
      <c r="V92" s="40">
        <f>'Tariffs Jan2022'!AQ86</f>
        <v>0</v>
      </c>
      <c r="W92" s="537" t="str">
        <f t="shared" si="93"/>
        <v>No discount</v>
      </c>
      <c r="X92" s="538" t="str">
        <f t="shared" si="94"/>
        <v>Exclusive</v>
      </c>
      <c r="Y92" s="534">
        <f t="shared" si="103"/>
        <v>1372.2368727272724</v>
      </c>
      <c r="Z92" s="535">
        <f t="shared" si="104"/>
        <v>1372.2368727272724</v>
      </c>
      <c r="AA92" s="542">
        <f t="shared" si="118"/>
        <v>1509.4605599999998</v>
      </c>
      <c r="AB92" s="542">
        <f t="shared" si="118"/>
        <v>1509.4605599999998</v>
      </c>
      <c r="AC92" s="274">
        <f>'Tariffs Jan2022'!AZ86</f>
        <v>0</v>
      </c>
      <c r="AD92" s="274" t="str">
        <f>'Tariffs Jan2022'!BA86</f>
        <v>n</v>
      </c>
      <c r="AE92" s="275" t="str">
        <f>'Tariffs Jan2022'!BJ86</f>
        <v>N</v>
      </c>
      <c r="AF92" s="577"/>
      <c r="AG92" s="577"/>
      <c r="AH92" s="577"/>
      <c r="AI92" s="577"/>
      <c r="AJ92" s="577"/>
      <c r="AK92" s="577"/>
      <c r="AL92" s="577"/>
      <c r="AM92" s="577"/>
      <c r="AN92" s="577"/>
      <c r="AO92" s="577"/>
      <c r="AP92" s="577"/>
      <c r="AQ92" s="577"/>
      <c r="AR92" s="577"/>
      <c r="AS92" s="577"/>
      <c r="AT92" s="577"/>
      <c r="AU92" s="577"/>
      <c r="AV92" s="577"/>
      <c r="AW92" s="577"/>
    </row>
    <row r="93" spans="1:49" ht="14" x14ac:dyDescent="0.15">
      <c r="A93" s="270" t="str">
        <f>'Tariffs Jan2022'!F87</f>
        <v>Momentum Energy</v>
      </c>
      <c r="B93" s="40" t="str">
        <f>'Tariffs Jan2022'!D87</f>
        <v>AusNet Services West</v>
      </c>
      <c r="C93" s="40" t="str">
        <f>'Tariffs Jan2022'!G87</f>
        <v>Market offer</v>
      </c>
      <c r="D93" s="59">
        <f>365*'Tariffs Jan2022'!H87/100</f>
        <v>357.33499999999998</v>
      </c>
      <c r="E93" s="59">
        <f>IF($C$5*'Tariffs Jan2022'!AK87/'Tariffs Jan2022'!AI87&gt;='Tariffs Jan2022'!J87,( 'Tariffs Jan2022'!J87*'Tariffs Jan2022'!O87/100)* 'Tariffs Jan2022'!AI87,($C$5*'Tariffs Jan2022'!AK87/'Tariffs Jan2022'!AI87*'Tariffs Jan2022'!O87/100)* 'Tariffs Jan2022'!AI87)</f>
        <v>240</v>
      </c>
      <c r="F93" s="59">
        <f>IF($C$5*'Tariffs Jan2022'!AK87/'Tariffs Jan2022'!AI87&lt;'Tariffs Jan2022'!J87,0,IF($C$5*'Tariffs Jan2022'!AK87/'Tariffs Jan2022'!AI87&lt;='Tariffs Jan2022'!K87,($C$5*'Tariffs Jan2022'!AK87/'Tariffs Jan2022'!AI87-'Tariffs Jan2022'!J87)*('Tariffs Jan2022'!P87/100)*'Tariffs Jan2022'!AI87,('Tariffs Jan2022'!K87-'Tariffs Jan2022'!J87)*('Tariffs Jan2022'!P87/100)*'Tariffs Jan2022'!AI87))</f>
        <v>161.96219999999994</v>
      </c>
      <c r="G93" s="59">
        <f>IF($C$5*'Tariffs Jan2022'!AK87/'Tariffs Jan2022'!AI87&lt;'Tariffs Jan2022'!K87,0,IF($C$5*'Tariffs Jan2022'!AK87/'Tariffs Jan2022'!AI87&lt;='Tariffs Jan2022'!L87,($C$5*'Tariffs Jan2022'!AK87/'Tariffs Jan2022'!AI87-'Tariffs Jan2022'!K87)*('Tariffs Jan2022'!Q87/100)*'Tariffs Jan2022'!AI87,('Tariffs Jan2022'!L87-'Tariffs Jan2022'!K87)*('Tariffs Jan2022'!Q87/100)*'Tariffs Jan2022'!AI87))</f>
        <v>0</v>
      </c>
      <c r="H93" s="59">
        <f>IF($C$5*'Tariffs Jan2022'!AK87/'Tariffs Jan2022'!AI87&lt;'Tariffs Jan2022'!L87,0,IF($C$5*'Tariffs Jan2022'!AK87/'Tariffs Jan2022'!AI87&lt;='Tariffs Jan2022'!M87,($C$5*'Tariffs Jan2022'!AK87/'Tariffs Jan2022'!AI87-'Tariffs Jan2022'!L87)*('Tariffs Jan2022'!R87/100)*'Tariffs Jan2022'!AI87,('Tariffs Jan2022'!M87-'Tariffs Jan2022'!L87)*('Tariffs Jan2022'!R87/100)*'Tariffs Jan2022'!AI87))</f>
        <v>0</v>
      </c>
      <c r="I93" s="69">
        <f>IF(($C$5*'Tariffs Jan2022'!AK87/'Tariffs Jan2022'!AI87&gt;'Tariffs Jan2022'!M87),($C$5*'Tariffs Jan2022'!AK87/'Tariffs Jan2022'!AI87-'Tariffs Jan2022'!M87)*'Tariffs Jan2022'!S87/100*'Tariffs Jan2022'!AI87,0)</f>
        <v>0</v>
      </c>
      <c r="J93" s="69">
        <f>IF($C$5*'Tariffs Jan2022'!AL87/'Tariffs Jan2022'!AJ87&gt;='Tariffs Jan2022'!J87,('Tariffs Jan2022'!J87*'Tariffs Jan2022'!U87/100)* 'Tariffs Jan2022'!AJ87,($C$5*'Tariffs Jan2022'!AL87/'Tariffs Jan2022'!AJ87*'Tariffs Jan2022'!U87/100)* 'Tariffs Jan2022'!AJ87)</f>
        <v>359.99999999999994</v>
      </c>
      <c r="K93" s="69">
        <f>IF($C$5*'Tariffs Jan2022'!AL87/'Tariffs Jan2022'!AJ87&lt;'Tariffs Jan2022'!J87,0,IF($C$5*'Tariffs Jan2022'!AL87/'Tariffs Jan2022'!AJ87&lt;='Tariffs Jan2022'!K87,($C$5*'Tariffs Jan2022'!AL87/'Tariffs Jan2022'!AJ87-'Tariffs Jan2022'!J87)*('Tariffs Jan2022'!V87/100)*'Tariffs Jan2022'!AJ87,('Tariffs Jan2022'!K87-'Tariffs Jan2022'!J87)*('Tariffs Jan2022'!V87/100)*'Tariffs Jan2022'!AJ87))</f>
        <v>269.9369999999999</v>
      </c>
      <c r="L93" s="69">
        <f>IF($C$5*'Tariffs Jan2022'!AL87/'Tariffs Jan2022'!AJ87&lt;'Tariffs Jan2022'!K87,0,IF($C$5*'Tariffs Jan2022'!AL87/'Tariffs Jan2022'!AJ87&lt;='Tariffs Jan2022'!L87,($C$5*'Tariffs Jan2022'!AL87/'Tariffs Jan2022'!AJ87-'Tariffs Jan2022'!K87)*('Tariffs Jan2022'!W87/100)*'Tariffs Jan2022'!AJ87,('Tariffs Jan2022'!L87-'Tariffs Jan2022'!K87)*('Tariffs Jan2022'!W87/100)*'Tariffs Jan2022'!AJ87))</f>
        <v>0</v>
      </c>
      <c r="M93" s="69">
        <f>IF($C$5*'Tariffs Jan2022'!AL87/'Tariffs Jan2022'!AJ87&lt;'Tariffs Jan2022'!L87,0,IF($C$5*'Tariffs Jan2022'!AL87/'Tariffs Jan2022'!AJ87&lt;='Tariffs Jan2022'!M87,($C$5*'Tariffs Jan2022'!AL87/'Tariffs Jan2022'!AJ87-'Tariffs Jan2022'!L87)*('Tariffs Jan2022'!X87/100)*'Tariffs Jan2022'!AJ87,('Tariffs Jan2022'!M87-'Tariffs Jan2022'!L87)*('Tariffs Jan2022'!X87/100)*'Tariffs Jan2022'!AJ87))</f>
        <v>0</v>
      </c>
      <c r="N93" s="69">
        <f>IF(($C$5*'Tariffs Jan2022'!AL87/'Tariffs Jan2022'!AJ87&gt;'Tariffs Jan2022'!M87),($C$5*'Tariffs Jan2022'!AL87/'Tariffs Jan2022'!AJ87-'Tariffs Jan2022'!M87)*'Tariffs Jan2022'!Y87/100*'Tariffs Jan2022'!AJ87,0)</f>
        <v>0</v>
      </c>
      <c r="O93" s="59">
        <f t="shared" si="105"/>
        <v>1031.8991999999998</v>
      </c>
      <c r="P93" s="503">
        <f t="shared" si="92"/>
        <v>1135.0891199999999</v>
      </c>
      <c r="Q93" s="59">
        <f t="shared" si="106"/>
        <v>1389.2341999999999</v>
      </c>
      <c r="R93" s="272">
        <f t="shared" si="107"/>
        <v>1528.15762</v>
      </c>
      <c r="S93" s="40">
        <f>'Tariffs Jan2022'!AN87</f>
        <v>0</v>
      </c>
      <c r="T93" s="40">
        <f>'Tariffs Jan2022'!AO87</f>
        <v>0</v>
      </c>
      <c r="U93" s="40">
        <f>'Tariffs Jan2022'!AP87</f>
        <v>0</v>
      </c>
      <c r="V93" s="40">
        <f>'Tariffs Jan2022'!AQ87</f>
        <v>0</v>
      </c>
      <c r="W93" s="537" t="str">
        <f t="shared" si="93"/>
        <v>No discount</v>
      </c>
      <c r="X93" s="538" t="str">
        <f t="shared" si="94"/>
        <v>Exclusive</v>
      </c>
      <c r="Y93" s="534">
        <f t="shared" si="103"/>
        <v>1389.2341999999999</v>
      </c>
      <c r="Z93" s="535">
        <f t="shared" si="104"/>
        <v>1389.2341999999999</v>
      </c>
      <c r="AA93" s="542">
        <f t="shared" si="118"/>
        <v>1528.15762</v>
      </c>
      <c r="AB93" s="542">
        <f t="shared" si="118"/>
        <v>1528.15762</v>
      </c>
      <c r="AC93" s="274">
        <f>'Tariffs Jan2022'!AZ87</f>
        <v>0</v>
      </c>
      <c r="AD93" s="274" t="str">
        <f>'Tariffs Jan2022'!BA87</f>
        <v>n</v>
      </c>
      <c r="AE93" s="275" t="str">
        <f>'Tariffs Jan2022'!BJ87</f>
        <v>N</v>
      </c>
      <c r="AF93" s="577"/>
      <c r="AG93" s="577"/>
      <c r="AH93" s="577"/>
      <c r="AI93" s="577"/>
      <c r="AJ93" s="577"/>
      <c r="AK93" s="577"/>
      <c r="AL93" s="577"/>
      <c r="AM93" s="577"/>
      <c r="AN93" s="577"/>
      <c r="AO93" s="577"/>
      <c r="AP93" s="577"/>
      <c r="AQ93" s="577"/>
      <c r="AR93" s="577"/>
      <c r="AS93" s="577"/>
      <c r="AT93" s="577"/>
      <c r="AU93" s="577"/>
      <c r="AV93" s="577"/>
      <c r="AW93" s="577"/>
    </row>
    <row r="94" spans="1:49" ht="14" x14ac:dyDescent="0.15">
      <c r="A94" s="270" t="str">
        <f>'Tariffs Jan2022'!F88</f>
        <v>Origin Energy</v>
      </c>
      <c r="B94" s="40" t="str">
        <f>'Tariffs Jan2022'!D88</f>
        <v>AusNet Services West</v>
      </c>
      <c r="C94" s="40" t="str">
        <f>'Tariffs Jan2022'!G88</f>
        <v>Go</v>
      </c>
      <c r="D94" s="59">
        <f>365*'Tariffs Jan2022'!H88/100</f>
        <v>287.02272727272725</v>
      </c>
      <c r="E94" s="59">
        <f>((C$5*'Tariffs Jan2022'!AK88/'Tariffs Jan2022'!AI88)*('Tariffs Jan2022'!O88/100))*'Tariffs Jan2022'!AI88</f>
        <v>609.95454545454538</v>
      </c>
      <c r="F94" s="59">
        <v>0</v>
      </c>
      <c r="G94" s="59">
        <v>0</v>
      </c>
      <c r="H94" s="59">
        <v>0</v>
      </c>
      <c r="I94" s="69">
        <v>0</v>
      </c>
      <c r="J94" s="69">
        <f>((C$5*'Tariffs Jan2022'!AL88/'Tariffs Jan2022'!AJ88)*('Tariffs Jan2022'!U88/100))*'Tariffs Jan2022'!AJ88</f>
        <v>609.95454545454538</v>
      </c>
      <c r="K94" s="69">
        <v>0</v>
      </c>
      <c r="L94" s="69">
        <v>0</v>
      </c>
      <c r="M94" s="69">
        <v>0</v>
      </c>
      <c r="N94" s="69">
        <v>0</v>
      </c>
      <c r="O94" s="59">
        <f t="shared" si="105"/>
        <v>1219.9090909090908</v>
      </c>
      <c r="P94" s="503">
        <f t="shared" si="92"/>
        <v>1341.8999999999999</v>
      </c>
      <c r="Q94" s="59">
        <f t="shared" si="106"/>
        <v>1506.931818181818</v>
      </c>
      <c r="R94" s="272">
        <f t="shared" si="107"/>
        <v>1657.625</v>
      </c>
      <c r="S94" s="40">
        <f>'Tariffs Jan2022'!AN88</f>
        <v>0</v>
      </c>
      <c r="T94" s="40">
        <f>'Tariffs Jan2022'!AO88</f>
        <v>0</v>
      </c>
      <c r="U94" s="40">
        <f>'Tariffs Jan2022'!AP88</f>
        <v>0</v>
      </c>
      <c r="V94" s="40">
        <f>'Tariffs Jan2022'!AQ88</f>
        <v>0</v>
      </c>
      <c r="W94" s="537" t="str">
        <f t="shared" si="93"/>
        <v>No discount</v>
      </c>
      <c r="X94" s="538" t="str">
        <f t="shared" si="94"/>
        <v>Inclusive</v>
      </c>
      <c r="Y94" s="534">
        <f t="shared" si="103"/>
        <v>1506.931818181818</v>
      </c>
      <c r="Z94" s="535">
        <f t="shared" si="104"/>
        <v>1506.931818181818</v>
      </c>
      <c r="AA94" s="542">
        <f t="shared" si="118"/>
        <v>1657.625</v>
      </c>
      <c r="AB94" s="542">
        <f t="shared" si="118"/>
        <v>1657.625</v>
      </c>
      <c r="AC94" s="274">
        <f>'Tariffs Jan2022'!AZ88</f>
        <v>0</v>
      </c>
      <c r="AD94" s="274" t="str">
        <f>'Tariffs Jan2022'!BA88</f>
        <v>n</v>
      </c>
      <c r="AE94" s="275" t="str">
        <f>'Tariffs Jan2022'!BJ88</f>
        <v>N</v>
      </c>
      <c r="AF94" s="577"/>
      <c r="AG94" s="577"/>
      <c r="AH94" s="577"/>
      <c r="AI94" s="577"/>
      <c r="AJ94" s="577"/>
      <c r="AK94" s="577"/>
      <c r="AL94" s="577"/>
      <c r="AM94" s="577"/>
      <c r="AN94" s="577"/>
      <c r="AO94" s="577"/>
      <c r="AP94" s="577"/>
      <c r="AQ94" s="577"/>
      <c r="AR94" s="577"/>
      <c r="AS94" s="577"/>
      <c r="AT94" s="577"/>
      <c r="AU94" s="577"/>
      <c r="AV94" s="577"/>
      <c r="AW94" s="577"/>
    </row>
    <row r="95" spans="1:49" ht="14" x14ac:dyDescent="0.15">
      <c r="A95" s="270" t="str">
        <f>'Tariffs Jan2022'!F89</f>
        <v>Red Energy</v>
      </c>
      <c r="B95" s="40" t="str">
        <f>'Tariffs Jan2022'!D89</f>
        <v>AusNet Services West</v>
      </c>
      <c r="C95" s="40" t="str">
        <f>'Tariffs Jan2022'!G89</f>
        <v>Living Energy Saver</v>
      </c>
      <c r="D95" s="59">
        <f>365*'Tariffs Jan2022'!H89/100</f>
        <v>271.02909090909088</v>
      </c>
      <c r="E95" s="59">
        <f>IF($C$5*'Tariffs Jan2022'!AK89/'Tariffs Jan2022'!AI89&gt;='Tariffs Jan2022'!J89,( 'Tariffs Jan2022'!J89*'Tariffs Jan2022'!O89/100)* 'Tariffs Jan2022'!AI89,($C$5*'Tariffs Jan2022'!AK89/'Tariffs Jan2022'!AI89*'Tariffs Jan2022'!O89/100)* 'Tariffs Jan2022'!AI89)</f>
        <v>232.36363636363632</v>
      </c>
      <c r="F95" s="59">
        <f>IF($C$5*'Tariffs Jan2022'!AK89/'Tariffs Jan2022'!AI89&lt;'Tariffs Jan2022'!J89,0,IF($C$5*'Tariffs Jan2022'!AK89/'Tariffs Jan2022'!AI89&lt;='Tariffs Jan2022'!K89,($C$5*'Tariffs Jan2022'!AK89/'Tariffs Jan2022'!AI89-'Tariffs Jan2022'!J89)*('Tariffs Jan2022'!P89/100)*'Tariffs Jan2022'!AI89,('Tariffs Jan2022'!K89-'Tariffs Jan2022'!J89)*('Tariffs Jan2022'!P89/100)*'Tariffs Jan2022'!AI89))</f>
        <v>161.96219999999994</v>
      </c>
      <c r="G95" s="59">
        <f>IF($C$5*'Tariffs Jan2022'!AK89/'Tariffs Jan2022'!AI89&lt;'Tariffs Jan2022'!K89,0,IF($C$5*'Tariffs Jan2022'!AK89/'Tariffs Jan2022'!AI89&lt;='Tariffs Jan2022'!L89,($C$5*'Tariffs Jan2022'!AK89/'Tariffs Jan2022'!AI89-'Tariffs Jan2022'!K89)*('Tariffs Jan2022'!Q89/100)*'Tariffs Jan2022'!AI89,('Tariffs Jan2022'!L89-'Tariffs Jan2022'!K89)*('Tariffs Jan2022'!Q89/100)*'Tariffs Jan2022'!AI89))</f>
        <v>0</v>
      </c>
      <c r="H95" s="59">
        <f>IF($C$5*'Tariffs Jan2022'!AK89/'Tariffs Jan2022'!AI89&lt;'Tariffs Jan2022'!L89,0,IF($C$5*'Tariffs Jan2022'!AK89/'Tariffs Jan2022'!AI89&lt;='Tariffs Jan2022'!M89,($C$5*'Tariffs Jan2022'!AK89/'Tariffs Jan2022'!AI89-'Tariffs Jan2022'!L89)*('Tariffs Jan2022'!R89/100)*'Tariffs Jan2022'!AI89,('Tariffs Jan2022'!M89-'Tariffs Jan2022'!L89)*('Tariffs Jan2022'!R89/100)*'Tariffs Jan2022'!AI89))</f>
        <v>0</v>
      </c>
      <c r="I95" s="69">
        <f>IF(($C$5*'Tariffs Jan2022'!AK89/'Tariffs Jan2022'!AI89&gt;'Tariffs Jan2022'!M89),($C$5*'Tariffs Jan2022'!AK89/'Tariffs Jan2022'!AI89-'Tariffs Jan2022'!M89)*'Tariffs Jan2022'!S89/100*'Tariffs Jan2022'!AI89,0)</f>
        <v>0</v>
      </c>
      <c r="J95" s="69">
        <f>IF($C$5*'Tariffs Jan2022'!AL89/'Tariffs Jan2022'!AJ89&gt;='Tariffs Jan2022'!J89,('Tariffs Jan2022'!J89*'Tariffs Jan2022'!U89/100)* 'Tariffs Jan2022'!AJ89,($C$5*'Tariffs Jan2022'!AL89/'Tariffs Jan2022'!AJ89*'Tariffs Jan2022'!U89/100)* 'Tariffs Jan2022'!AJ89)</f>
        <v>431.99999999999994</v>
      </c>
      <c r="K95" s="69">
        <f>IF($C$5*'Tariffs Jan2022'!AL89/'Tariffs Jan2022'!AJ89&lt;'Tariffs Jan2022'!J89,0,IF($C$5*'Tariffs Jan2022'!AL89/'Tariffs Jan2022'!AJ89&lt;='Tariffs Jan2022'!K89,($C$5*'Tariffs Jan2022'!AL89/'Tariffs Jan2022'!AJ89-'Tariffs Jan2022'!J89)*('Tariffs Jan2022'!V89/100)*'Tariffs Jan2022'!AJ89,('Tariffs Jan2022'!K89-'Tariffs Jan2022'!J89)*('Tariffs Jan2022'!V89/100)*'Tariffs Jan2022'!AJ89))</f>
        <v>315.74449090909081</v>
      </c>
      <c r="L95" s="69">
        <f>IF($C$5*'Tariffs Jan2022'!AL89/'Tariffs Jan2022'!AJ89&lt;'Tariffs Jan2022'!K89,0,IF($C$5*'Tariffs Jan2022'!AL89/'Tariffs Jan2022'!AJ89&lt;='Tariffs Jan2022'!L89,($C$5*'Tariffs Jan2022'!AL89/'Tariffs Jan2022'!AJ89-'Tariffs Jan2022'!K89)*('Tariffs Jan2022'!W89/100)*'Tariffs Jan2022'!AJ89,('Tariffs Jan2022'!L89-'Tariffs Jan2022'!K89)*('Tariffs Jan2022'!W89/100)*'Tariffs Jan2022'!AJ89))</f>
        <v>0</v>
      </c>
      <c r="M95" s="69">
        <f>IF($C$5*'Tariffs Jan2022'!AL89/'Tariffs Jan2022'!AJ89&lt;'Tariffs Jan2022'!L89,0,IF($C$5*'Tariffs Jan2022'!AL89/'Tariffs Jan2022'!AJ89&lt;='Tariffs Jan2022'!M89,($C$5*'Tariffs Jan2022'!AL89/'Tariffs Jan2022'!AJ89-'Tariffs Jan2022'!L89)*('Tariffs Jan2022'!X89/100)*'Tariffs Jan2022'!AJ89,('Tariffs Jan2022'!M89-'Tariffs Jan2022'!L89)*('Tariffs Jan2022'!X89/100)*'Tariffs Jan2022'!AJ89))</f>
        <v>0</v>
      </c>
      <c r="N95" s="69">
        <f>IF(($C$5*'Tariffs Jan2022'!AL89/'Tariffs Jan2022'!AJ89&gt;'Tariffs Jan2022'!M89),($C$5*'Tariffs Jan2022'!AL89/'Tariffs Jan2022'!AJ89-'Tariffs Jan2022'!M89)*'Tariffs Jan2022'!Y89/100*'Tariffs Jan2022'!AJ89,0)</f>
        <v>0</v>
      </c>
      <c r="O95" s="59">
        <f t="shared" si="105"/>
        <v>1142.0703272727269</v>
      </c>
      <c r="P95" s="503">
        <f t="shared" si="92"/>
        <v>1256.2773599999996</v>
      </c>
      <c r="Q95" s="59">
        <f t="shared" si="106"/>
        <v>1413.0994181818178</v>
      </c>
      <c r="R95" s="272">
        <f t="shared" si="107"/>
        <v>1554.4093599999997</v>
      </c>
      <c r="S95" s="40">
        <f>'Tariffs Jan2022'!AN89</f>
        <v>0</v>
      </c>
      <c r="T95" s="40">
        <f>'Tariffs Jan2022'!AO89</f>
        <v>0</v>
      </c>
      <c r="U95" s="40">
        <f>'Tariffs Jan2022'!AP89</f>
        <v>0</v>
      </c>
      <c r="V95" s="40">
        <f>'Tariffs Jan2022'!AQ89</f>
        <v>0</v>
      </c>
      <c r="W95" s="537" t="str">
        <f t="shared" si="93"/>
        <v>No discount</v>
      </c>
      <c r="X95" s="538" t="str">
        <f t="shared" si="94"/>
        <v>Inclusive</v>
      </c>
      <c r="Y95" s="534">
        <f t="shared" si="103"/>
        <v>1413.0994181818178</v>
      </c>
      <c r="Z95" s="535">
        <f t="shared" si="104"/>
        <v>1413.0994181818178</v>
      </c>
      <c r="AA95" s="542">
        <f t="shared" si="118"/>
        <v>1554.4093599999997</v>
      </c>
      <c r="AB95" s="542">
        <f t="shared" si="118"/>
        <v>1554.4093599999997</v>
      </c>
      <c r="AC95" s="274">
        <f>'Tariffs Jan2022'!AZ89</f>
        <v>0</v>
      </c>
      <c r="AD95" s="274" t="str">
        <f>'Tariffs Jan2022'!BA89</f>
        <v>n</v>
      </c>
      <c r="AE95" s="275" t="str">
        <f>'Tariffs Jan2022'!BJ89</f>
        <v>N</v>
      </c>
      <c r="AF95" s="577"/>
      <c r="AG95" s="577"/>
      <c r="AH95" s="577"/>
      <c r="AI95" s="577"/>
      <c r="AJ95" s="577"/>
      <c r="AK95" s="577"/>
      <c r="AL95" s="577"/>
      <c r="AM95" s="577"/>
      <c r="AN95" s="577"/>
      <c r="AO95" s="577"/>
      <c r="AP95" s="577"/>
      <c r="AQ95" s="577"/>
      <c r="AR95" s="577"/>
      <c r="AS95" s="577"/>
      <c r="AT95" s="577"/>
      <c r="AU95" s="577"/>
      <c r="AV95" s="577"/>
      <c r="AW95" s="577"/>
    </row>
    <row r="96" spans="1:49" ht="14" x14ac:dyDescent="0.15">
      <c r="A96" s="270" t="str">
        <f>'Tariffs Jan2022'!F90</f>
        <v>Simply Energy</v>
      </c>
      <c r="B96" s="40" t="str">
        <f>'Tariffs Jan2022'!D90</f>
        <v>AusNet Services West</v>
      </c>
      <c r="C96" s="40" t="str">
        <f>'Tariffs Jan2022'!G90</f>
        <v>Blue perks</v>
      </c>
      <c r="D96" s="59">
        <f>365*'Tariffs Jan2022'!H90/100</f>
        <v>319.93909090909091</v>
      </c>
      <c r="E96" s="59">
        <f>IF($C$5*'Tariffs Jan2022'!AK90/'Tariffs Jan2022'!AI90&gt;='Tariffs Jan2022'!J90,( 'Tariffs Jan2022'!J90*'Tariffs Jan2022'!O90/100)* 'Tariffs Jan2022'!AI90,($C$5*'Tariffs Jan2022'!AK90/'Tariffs Jan2022'!AI90*'Tariffs Jan2022'!O90/100)* 'Tariffs Jan2022'!AI90)</f>
        <v>352.36363636363632</v>
      </c>
      <c r="F96" s="59">
        <f>IF($C$5*'Tariffs Jan2022'!AK90/'Tariffs Jan2022'!AI90&lt;'Tariffs Jan2022'!J90,0,IF($C$5*'Tariffs Jan2022'!AK90/'Tariffs Jan2022'!AI90&lt;='Tariffs Jan2022'!K90,($C$5*'Tariffs Jan2022'!AK90/'Tariffs Jan2022'!AI90-'Tariffs Jan2022'!J90)*('Tariffs Jan2022'!P90/100)*'Tariffs Jan2022'!AI90,('Tariffs Jan2022'!K90-'Tariffs Jan2022'!J90)*('Tariffs Jan2022'!P90/100)*'Tariffs Jan2022'!AI90))</f>
        <v>260.93909999999994</v>
      </c>
      <c r="G96" s="59">
        <f>IF($C$5*'Tariffs Jan2022'!AK90/'Tariffs Jan2022'!AI90&lt;'Tariffs Jan2022'!K90,0,IF($C$5*'Tariffs Jan2022'!AK90/'Tariffs Jan2022'!AI90&lt;='Tariffs Jan2022'!L90,($C$5*'Tariffs Jan2022'!AK90/'Tariffs Jan2022'!AI90-'Tariffs Jan2022'!K90)*('Tariffs Jan2022'!Q90/100)*'Tariffs Jan2022'!AI90,('Tariffs Jan2022'!L90-'Tariffs Jan2022'!K90)*('Tariffs Jan2022'!Q90/100)*'Tariffs Jan2022'!AI90))</f>
        <v>0</v>
      </c>
      <c r="H96" s="59">
        <f>IF($C$5*'Tariffs Jan2022'!AK90/'Tariffs Jan2022'!AI90&lt;'Tariffs Jan2022'!L90,0,IF($C$5*'Tariffs Jan2022'!AK90/'Tariffs Jan2022'!AI90&lt;='Tariffs Jan2022'!M90,($C$5*'Tariffs Jan2022'!AK90/'Tariffs Jan2022'!AI90-'Tariffs Jan2022'!L90)*('Tariffs Jan2022'!R90/100)*'Tariffs Jan2022'!AI90,('Tariffs Jan2022'!M90-'Tariffs Jan2022'!L90)*('Tariffs Jan2022'!R90/100)*'Tariffs Jan2022'!AI90))</f>
        <v>0</v>
      </c>
      <c r="I96" s="69">
        <f>IF(($C$5*'Tariffs Jan2022'!AK90/'Tariffs Jan2022'!AI90&gt;'Tariffs Jan2022'!M90),($C$5*'Tariffs Jan2022'!AK90/'Tariffs Jan2022'!AI90-'Tariffs Jan2022'!M90)*'Tariffs Jan2022'!S90/100*'Tariffs Jan2022'!AI90,0)</f>
        <v>0</v>
      </c>
      <c r="J96" s="69">
        <f>IF($C$5*'Tariffs Jan2022'!AL90/'Tariffs Jan2022'!AJ90&gt;='Tariffs Jan2022'!J90,('Tariffs Jan2022'!J90*'Tariffs Jan2022'!U90/100)* 'Tariffs Jan2022'!AJ90,($C$5*'Tariffs Jan2022'!AL90/'Tariffs Jan2022'!AJ90*'Tariffs Jan2022'!U90/100)* 'Tariffs Jan2022'!AJ90)</f>
        <v>576</v>
      </c>
      <c r="K96" s="69">
        <f>IF($C$5*'Tariffs Jan2022'!AL90/'Tariffs Jan2022'!AJ90&lt;'Tariffs Jan2022'!J90,0,IF($C$5*'Tariffs Jan2022'!AL90/'Tariffs Jan2022'!AJ90&lt;='Tariffs Jan2022'!K90,($C$5*'Tariffs Jan2022'!AL90/'Tariffs Jan2022'!AJ90-'Tariffs Jan2022'!J90)*('Tariffs Jan2022'!V90/100)*'Tariffs Jan2022'!AJ90,('Tariffs Jan2022'!K90-'Tariffs Jan2022'!J90)*('Tariffs Jan2022'!V90/100)*'Tariffs Jan2022'!AJ90))</f>
        <v>423.71929090909072</v>
      </c>
      <c r="L96" s="69">
        <f>IF($C$5*'Tariffs Jan2022'!AL90/'Tariffs Jan2022'!AJ90&lt;'Tariffs Jan2022'!K90,0,IF($C$5*'Tariffs Jan2022'!AL90/'Tariffs Jan2022'!AJ90&lt;='Tariffs Jan2022'!L90,($C$5*'Tariffs Jan2022'!AL90/'Tariffs Jan2022'!AJ90-'Tariffs Jan2022'!K90)*('Tariffs Jan2022'!W90/100)*'Tariffs Jan2022'!AJ90,('Tariffs Jan2022'!L90-'Tariffs Jan2022'!K90)*('Tariffs Jan2022'!W90/100)*'Tariffs Jan2022'!AJ90))</f>
        <v>0</v>
      </c>
      <c r="M96" s="69">
        <f>IF($C$5*'Tariffs Jan2022'!AL90/'Tariffs Jan2022'!AJ90&lt;'Tariffs Jan2022'!L90,0,IF($C$5*'Tariffs Jan2022'!AL90/'Tariffs Jan2022'!AJ90&lt;='Tariffs Jan2022'!M90,($C$5*'Tariffs Jan2022'!AL90/'Tariffs Jan2022'!AJ90-'Tariffs Jan2022'!L90)*('Tariffs Jan2022'!X90/100)*'Tariffs Jan2022'!AJ90,('Tariffs Jan2022'!M90-'Tariffs Jan2022'!L90)*('Tariffs Jan2022'!X90/100)*'Tariffs Jan2022'!AJ90))</f>
        <v>0</v>
      </c>
      <c r="N96" s="69">
        <f>IF(($C$5*'Tariffs Jan2022'!AL90/'Tariffs Jan2022'!AJ90&gt;'Tariffs Jan2022'!M90),($C$5*'Tariffs Jan2022'!AL90/'Tariffs Jan2022'!AJ90-'Tariffs Jan2022'!M90)*'Tariffs Jan2022'!Y90/100*'Tariffs Jan2022'!AJ90,0)</f>
        <v>0</v>
      </c>
      <c r="O96" s="59">
        <f t="shared" si="105"/>
        <v>1613.022027272727</v>
      </c>
      <c r="P96" s="503">
        <f t="shared" si="92"/>
        <v>1774.3242299999997</v>
      </c>
      <c r="Q96" s="59">
        <f t="shared" si="106"/>
        <v>1932.9611181818179</v>
      </c>
      <c r="R96" s="272">
        <f t="shared" si="107"/>
        <v>2126.2572299999997</v>
      </c>
      <c r="S96" s="40">
        <f>'Tariffs Jan2022'!AN90</f>
        <v>32</v>
      </c>
      <c r="T96" s="40">
        <f>'Tariffs Jan2022'!AO90</f>
        <v>0</v>
      </c>
      <c r="U96" s="40">
        <f>'Tariffs Jan2022'!AP90</f>
        <v>0</v>
      </c>
      <c r="V96" s="40">
        <f>'Tariffs Jan2022'!AQ90</f>
        <v>0</v>
      </c>
      <c r="W96" s="537" t="str">
        <f t="shared" si="93"/>
        <v>Guaranteed off bill</v>
      </c>
      <c r="X96" s="538" t="str">
        <f t="shared" si="94"/>
        <v>Exclusive</v>
      </c>
      <c r="Y96" s="534">
        <f t="shared" si="103"/>
        <v>1314.4135603636362</v>
      </c>
      <c r="Z96" s="535">
        <f t="shared" si="104"/>
        <v>1314.4135603636362</v>
      </c>
      <c r="AA96" s="542">
        <f t="shared" si="118"/>
        <v>1445.8549163999999</v>
      </c>
      <c r="AB96" s="542">
        <f t="shared" si="118"/>
        <v>1445.8549163999999</v>
      </c>
      <c r="AC96" s="274">
        <f>'Tariffs Jan2022'!AZ90</f>
        <v>0</v>
      </c>
      <c r="AD96" s="274" t="str">
        <f>'Tariffs Jan2022'!BA90</f>
        <v>n</v>
      </c>
      <c r="AE96" s="275" t="str">
        <f>'Tariffs Jan2022'!BJ90</f>
        <v>N</v>
      </c>
      <c r="AF96" s="577"/>
      <c r="AG96" s="577"/>
      <c r="AH96" s="577"/>
      <c r="AI96" s="577"/>
      <c r="AJ96" s="577"/>
      <c r="AK96" s="577"/>
      <c r="AL96" s="577"/>
      <c r="AM96" s="577"/>
      <c r="AN96" s="577"/>
      <c r="AO96" s="577"/>
      <c r="AP96" s="577"/>
      <c r="AQ96" s="577"/>
      <c r="AR96" s="577"/>
      <c r="AS96" s="577"/>
      <c r="AT96" s="577"/>
      <c r="AU96" s="577"/>
      <c r="AV96" s="577"/>
      <c r="AW96" s="577"/>
    </row>
    <row r="97" spans="1:49" ht="14" x14ac:dyDescent="0.15">
      <c r="A97" s="270" t="str">
        <f>'Tariffs Jan2022'!F91</f>
        <v>GloBird Energy</v>
      </c>
      <c r="B97" s="40" t="str">
        <f>'Tariffs Jan2022'!D91</f>
        <v>AusNet Services West</v>
      </c>
      <c r="C97" s="40" t="str">
        <f>'Tariffs Jan2022'!G91</f>
        <v>GloSave</v>
      </c>
      <c r="D97" s="59">
        <f>365*'Tariffs Jan2022'!H91/100</f>
        <v>284.7</v>
      </c>
      <c r="E97" s="59">
        <f>IF($C$5*'Tariffs Jan2022'!AK91/'Tariffs Jan2022'!AI91&gt;='Tariffs Jan2022'!J91,( 'Tariffs Jan2022'!J91*'Tariffs Jan2022'!O91/100)* 'Tariffs Jan2022'!AI91,($C$5*'Tariffs Jan2022'!AK91/'Tariffs Jan2022'!AI91*'Tariffs Jan2022'!O91/100)* 'Tariffs Jan2022'!AI91)</f>
        <v>288</v>
      </c>
      <c r="F97" s="59">
        <f>IF($C$5*'Tariffs Jan2022'!AK91/'Tariffs Jan2022'!AI91&lt;'Tariffs Jan2022'!J91,0,IF($C$5*'Tariffs Jan2022'!AK91/'Tariffs Jan2022'!AI91&lt;='Tariffs Jan2022'!K91,($C$5*'Tariffs Jan2022'!AK91/'Tariffs Jan2022'!AI91-'Tariffs Jan2022'!J91)*('Tariffs Jan2022'!P91/100)*'Tariffs Jan2022'!AI91,('Tariffs Jan2022'!K91-'Tariffs Jan2022'!J91)*('Tariffs Jan2022'!P91/100)*'Tariffs Jan2022'!AI91))</f>
        <v>0</v>
      </c>
      <c r="G97" s="59">
        <f>IF($C$5*'Tariffs Jan2022'!AK91/'Tariffs Jan2022'!AI91&lt;'Tariffs Jan2022'!K91,0,IF($C$5*'Tariffs Jan2022'!AK91/'Tariffs Jan2022'!AI91&lt;='Tariffs Jan2022'!L91,($C$5*'Tariffs Jan2022'!AK91/'Tariffs Jan2022'!AI91-'Tariffs Jan2022'!K91)*('Tariffs Jan2022'!Q91/100)*'Tariffs Jan2022'!AI91,('Tariffs Jan2022'!L91-'Tariffs Jan2022'!K91)*('Tariffs Jan2022'!Q91/100)*'Tariffs Jan2022'!AI91))</f>
        <v>0</v>
      </c>
      <c r="H97" s="59">
        <f>IF($C$5*'Tariffs Jan2022'!AK91/'Tariffs Jan2022'!AI91&lt;'Tariffs Jan2022'!L91,0,IF($C$5*'Tariffs Jan2022'!AK91/'Tariffs Jan2022'!AI91&lt;='Tariffs Jan2022'!M91,($C$5*'Tariffs Jan2022'!AK91/'Tariffs Jan2022'!AI91-'Tariffs Jan2022'!L91)*('Tariffs Jan2022'!R91/100)*'Tariffs Jan2022'!AI91,('Tariffs Jan2022'!M91-'Tariffs Jan2022'!L91)*('Tariffs Jan2022'!R91/100)*'Tariffs Jan2022'!AI91))</f>
        <v>0</v>
      </c>
      <c r="I97" s="69">
        <f>IF(($C$5*'Tariffs Jan2022'!AK91/'Tariffs Jan2022'!AI91&gt;'Tariffs Jan2022'!M91),($C$5*'Tariffs Jan2022'!AK91/'Tariffs Jan2022'!AI91-'Tariffs Jan2022'!M91)*'Tariffs Jan2022'!S91/100*'Tariffs Jan2022'!AI91,0)</f>
        <v>215.99999999999994</v>
      </c>
      <c r="J97" s="69">
        <f>IF($C$5*'Tariffs Jan2022'!AL91/'Tariffs Jan2022'!AJ91&gt;='Tariffs Jan2022'!J91,('Tariffs Jan2022'!J91*'Tariffs Jan2022'!U91/100)* 'Tariffs Jan2022'!AJ91,($C$5*'Tariffs Jan2022'!AL91/'Tariffs Jan2022'!AJ91*'Tariffs Jan2022'!U91/100)* 'Tariffs Jan2022'!AJ91)</f>
        <v>288</v>
      </c>
      <c r="K97" s="69">
        <f>IF($C$5*'Tariffs Jan2022'!AL91/'Tariffs Jan2022'!AJ91&lt;'Tariffs Jan2022'!J91,0,IF($C$5*'Tariffs Jan2022'!AL91/'Tariffs Jan2022'!AJ91&lt;='Tariffs Jan2022'!K91,($C$5*'Tariffs Jan2022'!AL91/'Tariffs Jan2022'!AJ91-'Tariffs Jan2022'!J91)*('Tariffs Jan2022'!V91/100)*'Tariffs Jan2022'!AJ91,('Tariffs Jan2022'!K91-'Tariffs Jan2022'!J91)*('Tariffs Jan2022'!V91/100)*'Tariffs Jan2022'!AJ91))</f>
        <v>0</v>
      </c>
      <c r="L97" s="69">
        <f>IF($C$5*'Tariffs Jan2022'!AL91/'Tariffs Jan2022'!AJ91&lt;'Tariffs Jan2022'!K91,0,IF($C$5*'Tariffs Jan2022'!AL91/'Tariffs Jan2022'!AJ91&lt;='Tariffs Jan2022'!L91,($C$5*'Tariffs Jan2022'!AL91/'Tariffs Jan2022'!AJ91-'Tariffs Jan2022'!K91)*('Tariffs Jan2022'!W91/100)*'Tariffs Jan2022'!AJ91,('Tariffs Jan2022'!L91-'Tariffs Jan2022'!K91)*('Tariffs Jan2022'!W91/100)*'Tariffs Jan2022'!AJ91))</f>
        <v>0</v>
      </c>
      <c r="M97" s="69">
        <f>IF($C$5*'Tariffs Jan2022'!AL91/'Tariffs Jan2022'!AJ91&lt;'Tariffs Jan2022'!L91,0,IF($C$5*'Tariffs Jan2022'!AL91/'Tariffs Jan2022'!AJ91&lt;='Tariffs Jan2022'!M91,($C$5*'Tariffs Jan2022'!AL91/'Tariffs Jan2022'!AJ91-'Tariffs Jan2022'!L91)*('Tariffs Jan2022'!X91/100)*'Tariffs Jan2022'!AJ91,('Tariffs Jan2022'!M91-'Tariffs Jan2022'!L91)*('Tariffs Jan2022'!X91/100)*'Tariffs Jan2022'!AJ91))</f>
        <v>0</v>
      </c>
      <c r="N97" s="69">
        <f>IF(($C$5*'Tariffs Jan2022'!AL91/'Tariffs Jan2022'!AJ91&gt;'Tariffs Jan2022'!M91),($C$5*'Tariffs Jan2022'!AL91/'Tariffs Jan2022'!AJ91-'Tariffs Jan2022'!M91)*'Tariffs Jan2022'!Y91/100*'Tariffs Jan2022'!AJ91,0)</f>
        <v>215.99999999999994</v>
      </c>
      <c r="O97" s="59">
        <f t="shared" si="105"/>
        <v>1008</v>
      </c>
      <c r="P97" s="503">
        <f t="shared" si="92"/>
        <v>1108.8000000000002</v>
      </c>
      <c r="Q97" s="59">
        <f t="shared" si="106"/>
        <v>1292.7</v>
      </c>
      <c r="R97" s="272">
        <f t="shared" si="107"/>
        <v>1421.9700000000003</v>
      </c>
      <c r="S97" s="40">
        <f>'Tariffs Jan2022'!AN91</f>
        <v>0</v>
      </c>
      <c r="T97" s="40">
        <f>'Tariffs Jan2022'!AO91</f>
        <v>0</v>
      </c>
      <c r="U97" s="40">
        <f>'Tariffs Jan2022'!AP91</f>
        <v>0</v>
      </c>
      <c r="V97" s="40">
        <f>'Tariffs Jan2022'!AQ91</f>
        <v>0</v>
      </c>
      <c r="W97" s="537" t="str">
        <f t="shared" si="93"/>
        <v>No discount</v>
      </c>
      <c r="X97" s="538" t="str">
        <f t="shared" si="94"/>
        <v>Exclusive</v>
      </c>
      <c r="Y97" s="534">
        <f t="shared" si="103"/>
        <v>1292.7</v>
      </c>
      <c r="Z97" s="535">
        <f t="shared" si="104"/>
        <v>1292.7</v>
      </c>
      <c r="AA97" s="542">
        <f t="shared" si="118"/>
        <v>1421.9700000000003</v>
      </c>
      <c r="AB97" s="542">
        <f t="shared" si="118"/>
        <v>1421.9700000000003</v>
      </c>
      <c r="AC97" s="274">
        <f>'Tariffs Jan2022'!AZ91</f>
        <v>0</v>
      </c>
      <c r="AD97" s="274" t="str">
        <f>'Tariffs Jan2022'!BA91</f>
        <v>n</v>
      </c>
      <c r="AE97" s="275" t="str">
        <f>'Tariffs Jan2022'!BJ91</f>
        <v>N</v>
      </c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77"/>
      <c r="AR97" s="577"/>
      <c r="AS97" s="577"/>
      <c r="AT97" s="577"/>
      <c r="AU97" s="577"/>
      <c r="AV97" s="577"/>
      <c r="AW97" s="577"/>
    </row>
    <row r="98" spans="1:49" ht="14" x14ac:dyDescent="0.15">
      <c r="A98" s="270" t="str">
        <f>'Tariffs Jan2022'!F92</f>
        <v>Powershop</v>
      </c>
      <c r="B98" s="40" t="str">
        <f>'Tariffs Jan2022'!D92</f>
        <v>AusNet Services West</v>
      </c>
      <c r="C98" s="40" t="str">
        <f>'Tariffs Jan2022'!G92</f>
        <v>Market offer</v>
      </c>
      <c r="D98" s="59">
        <f>365*'Tariffs Jan2022'!H92/100</f>
        <v>275.57499999999999</v>
      </c>
      <c r="E98" s="59">
        <f>((C$5*'Tariffs Jan2022'!AK92/'Tariffs Jan2022'!AI92)*('Tariffs Jan2022'!O92/100))*'Tariffs Jan2022'!AI92</f>
        <v>341.69309999999996</v>
      </c>
      <c r="F98" s="59">
        <v>0</v>
      </c>
      <c r="G98" s="59">
        <v>0</v>
      </c>
      <c r="H98" s="59">
        <v>0</v>
      </c>
      <c r="I98" s="69">
        <v>0</v>
      </c>
      <c r="J98" s="69">
        <f>((C$5*'Tariffs Jan2022'!AL92/'Tariffs Jan2022'!AJ92)*('Tariffs Jan2022'!U92/100))*'Tariffs Jan2022'!AJ92</f>
        <v>614.66579999999999</v>
      </c>
      <c r="K98" s="69">
        <v>0</v>
      </c>
      <c r="L98" s="69">
        <v>0</v>
      </c>
      <c r="M98" s="69">
        <v>0</v>
      </c>
      <c r="N98" s="69">
        <v>0</v>
      </c>
      <c r="O98" s="59">
        <f t="shared" si="105"/>
        <v>956.35889999999995</v>
      </c>
      <c r="P98" s="503">
        <f t="shared" si="92"/>
        <v>1051.99479</v>
      </c>
      <c r="Q98" s="59">
        <f t="shared" si="106"/>
        <v>1231.9339</v>
      </c>
      <c r="R98" s="272">
        <f t="shared" si="107"/>
        <v>1355.1272900000001</v>
      </c>
      <c r="S98" s="40">
        <f>'Tariffs Jan2022'!AN92</f>
        <v>0</v>
      </c>
      <c r="T98" s="40">
        <f>'Tariffs Jan2022'!AO92</f>
        <v>0</v>
      </c>
      <c r="U98" s="40">
        <f>'Tariffs Jan2022'!AP92</f>
        <v>0</v>
      </c>
      <c r="V98" s="40">
        <f>'Tariffs Jan2022'!AQ92</f>
        <v>0</v>
      </c>
      <c r="W98" s="537" t="str">
        <f t="shared" si="93"/>
        <v>No discount</v>
      </c>
      <c r="X98" s="538" t="str">
        <f t="shared" si="94"/>
        <v>Inclusive</v>
      </c>
      <c r="Y98" s="534">
        <f t="shared" si="103"/>
        <v>1231.9339</v>
      </c>
      <c r="Z98" s="535">
        <f t="shared" si="104"/>
        <v>1231.9339</v>
      </c>
      <c r="AA98" s="542">
        <f t="shared" si="118"/>
        <v>1355.1272900000001</v>
      </c>
      <c r="AB98" s="542">
        <f t="shared" si="118"/>
        <v>1355.1272900000001</v>
      </c>
      <c r="AC98" s="274">
        <f>'Tariffs Jan2022'!AZ92</f>
        <v>0</v>
      </c>
      <c r="AD98" s="274" t="str">
        <f>'Tariffs Jan2022'!BA92</f>
        <v>n</v>
      </c>
      <c r="AE98" s="275" t="str">
        <f>'Tariffs Jan2022'!BJ92</f>
        <v>Y</v>
      </c>
      <c r="AF98" s="577"/>
      <c r="AG98" s="577"/>
      <c r="AH98" s="577"/>
      <c r="AI98" s="577"/>
      <c r="AJ98" s="577"/>
      <c r="AK98" s="577"/>
      <c r="AL98" s="577"/>
      <c r="AM98" s="577"/>
      <c r="AN98" s="577"/>
      <c r="AO98" s="577"/>
      <c r="AP98" s="577"/>
      <c r="AQ98" s="577"/>
      <c r="AR98" s="577"/>
      <c r="AS98" s="577"/>
      <c r="AT98" s="577"/>
      <c r="AU98" s="577"/>
      <c r="AV98" s="577"/>
      <c r="AW98" s="577"/>
    </row>
    <row r="99" spans="1:49" ht="14" x14ac:dyDescent="0.15">
      <c r="A99" s="270" t="str">
        <f>'Tariffs Jan2022'!F93</f>
        <v>1st Energy</v>
      </c>
      <c r="B99" s="40" t="str">
        <f>'Tariffs Jan2022'!D93</f>
        <v>AusNet Services West</v>
      </c>
      <c r="C99" s="40" t="str">
        <f>'Tariffs Jan2022'!G93</f>
        <v>1st Saver Plus</v>
      </c>
      <c r="D99" s="59">
        <f>365*'Tariffs Jan2022'!H93/100</f>
        <v>313.89999999999998</v>
      </c>
      <c r="E99" s="59">
        <f>IF($C$5*'Tariffs Jan2022'!AK93/'Tariffs Jan2022'!AI93&gt;='Tariffs Jan2022'!J93,( 'Tariffs Jan2022'!J93*'Tariffs Jan2022'!O93/100)* 'Tariffs Jan2022'!AI93,($C$5*'Tariffs Jan2022'!AK93/'Tariffs Jan2022'!AI93*'Tariffs Jan2022'!O93/100)* 'Tariffs Jan2022'!AI93)</f>
        <v>386.18181818181807</v>
      </c>
      <c r="F99" s="59">
        <f>IF($C$5*'Tariffs Jan2022'!AK93/'Tariffs Jan2022'!AI93&lt;'Tariffs Jan2022'!J93,0,IF($C$5*'Tariffs Jan2022'!AK93/'Tariffs Jan2022'!AI93&lt;='Tariffs Jan2022'!K93,($C$5*'Tariffs Jan2022'!AK93/'Tariffs Jan2022'!AI93-'Tariffs Jan2022'!J93)*('Tariffs Jan2022'!P93/100)*'Tariffs Jan2022'!AI93,('Tariffs Jan2022'!K93-'Tariffs Jan2022'!J93)*('Tariffs Jan2022'!P93/100)*'Tariffs Jan2022'!AI93))</f>
        <v>279.81818181818176</v>
      </c>
      <c r="G99" s="59">
        <f>IF($C$5*'Tariffs Jan2022'!AK93/'Tariffs Jan2022'!AI93&lt;'Tariffs Jan2022'!K93,0,IF($C$5*'Tariffs Jan2022'!AK93/'Tariffs Jan2022'!AI93&lt;='Tariffs Jan2022'!L93,($C$5*'Tariffs Jan2022'!AK93/'Tariffs Jan2022'!AI93-'Tariffs Jan2022'!K93)*('Tariffs Jan2022'!Q93/100)*'Tariffs Jan2022'!AI93,('Tariffs Jan2022'!L93-'Tariffs Jan2022'!K93)*('Tariffs Jan2022'!Q93/100)*'Tariffs Jan2022'!AI93))</f>
        <v>0</v>
      </c>
      <c r="H99" s="59">
        <f>IF($C$5*'Tariffs Jan2022'!AK93/'Tariffs Jan2022'!AI93&lt;'Tariffs Jan2022'!L93,0,IF($C$5*'Tariffs Jan2022'!AK93/'Tariffs Jan2022'!AI93&lt;='Tariffs Jan2022'!M93,($C$5*'Tariffs Jan2022'!AK93/'Tariffs Jan2022'!AI93-'Tariffs Jan2022'!L93)*('Tariffs Jan2022'!R93/100)*'Tariffs Jan2022'!AI93,('Tariffs Jan2022'!M93-'Tariffs Jan2022'!L93)*('Tariffs Jan2022'!R93/100)*'Tariffs Jan2022'!AI93))</f>
        <v>0</v>
      </c>
      <c r="I99" s="69">
        <f>IF(($C$5*'Tariffs Jan2022'!AK93/'Tariffs Jan2022'!AI93&gt;'Tariffs Jan2022'!M93),($C$5*'Tariffs Jan2022'!AK93/'Tariffs Jan2022'!AI93-'Tariffs Jan2022'!M93)*'Tariffs Jan2022'!S93/100*'Tariffs Jan2022'!AI93,0)</f>
        <v>0</v>
      </c>
      <c r="J99" s="69">
        <f>IF($C$5*'Tariffs Jan2022'!AL93/'Tariffs Jan2022'!AJ93&gt;='Tariffs Jan2022'!J93,('Tariffs Jan2022'!J93*'Tariffs Jan2022'!U93/100)* 'Tariffs Jan2022'!AJ93,($C$5*'Tariffs Jan2022'!AL93/'Tariffs Jan2022'!AJ93*'Tariffs Jan2022'!U93/100)* 'Tariffs Jan2022'!AJ93)</f>
        <v>386.18181818181807</v>
      </c>
      <c r="K99" s="69">
        <f>IF($C$5*'Tariffs Jan2022'!AL93/'Tariffs Jan2022'!AJ93&lt;'Tariffs Jan2022'!J93,0,IF($C$5*'Tariffs Jan2022'!AL93/'Tariffs Jan2022'!AJ93&lt;='Tariffs Jan2022'!K93,($C$5*'Tariffs Jan2022'!AL93/'Tariffs Jan2022'!AJ93-'Tariffs Jan2022'!J93)*('Tariffs Jan2022'!V93/100)*'Tariffs Jan2022'!AJ93,('Tariffs Jan2022'!K93-'Tariffs Jan2022'!J93)*('Tariffs Jan2022'!V93/100)*'Tariffs Jan2022'!AJ93))</f>
        <v>279.81818181818176</v>
      </c>
      <c r="L99" s="69">
        <f>IF($C$5*'Tariffs Jan2022'!AL93/'Tariffs Jan2022'!AJ93&lt;'Tariffs Jan2022'!K93,0,IF($C$5*'Tariffs Jan2022'!AL93/'Tariffs Jan2022'!AJ93&lt;='Tariffs Jan2022'!L93,($C$5*'Tariffs Jan2022'!AL93/'Tariffs Jan2022'!AJ93-'Tariffs Jan2022'!K93)*('Tariffs Jan2022'!W93/100)*'Tariffs Jan2022'!AJ93,('Tariffs Jan2022'!L93-'Tariffs Jan2022'!K93)*('Tariffs Jan2022'!W93/100)*'Tariffs Jan2022'!AJ93))</f>
        <v>0</v>
      </c>
      <c r="M99" s="69">
        <f>IF($C$5*'Tariffs Jan2022'!AL93/'Tariffs Jan2022'!AJ93&lt;'Tariffs Jan2022'!L93,0,IF($C$5*'Tariffs Jan2022'!AL93/'Tariffs Jan2022'!AJ93&lt;='Tariffs Jan2022'!M93,($C$5*'Tariffs Jan2022'!AL93/'Tariffs Jan2022'!AJ93-'Tariffs Jan2022'!L93)*('Tariffs Jan2022'!X93/100)*'Tariffs Jan2022'!AJ93,('Tariffs Jan2022'!M93-'Tariffs Jan2022'!L93)*('Tariffs Jan2022'!X93/100)*'Tariffs Jan2022'!AJ93))</f>
        <v>0</v>
      </c>
      <c r="N99" s="69">
        <f>IF(($C$5*'Tariffs Jan2022'!AL93/'Tariffs Jan2022'!AJ93&gt;'Tariffs Jan2022'!M93),($C$5*'Tariffs Jan2022'!AL93/'Tariffs Jan2022'!AJ93-'Tariffs Jan2022'!M93)*'Tariffs Jan2022'!Y93/100*'Tariffs Jan2022'!AJ93,0)</f>
        <v>0</v>
      </c>
      <c r="O99" s="59">
        <f t="shared" si="105"/>
        <v>1331.9999999999995</v>
      </c>
      <c r="P99" s="503">
        <f t="shared" si="92"/>
        <v>1465.1999999999996</v>
      </c>
      <c r="Q99" s="59">
        <f t="shared" si="106"/>
        <v>1645.8999999999996</v>
      </c>
      <c r="R99" s="272">
        <f t="shared" si="107"/>
        <v>1810.4899999999998</v>
      </c>
      <c r="S99" s="40">
        <f>'Tariffs Jan2022'!AN93</f>
        <v>0</v>
      </c>
      <c r="T99" s="40">
        <f>'Tariffs Jan2022'!AO93</f>
        <v>12</v>
      </c>
      <c r="U99" s="40">
        <f>'Tariffs Jan2022'!AP93</f>
        <v>0</v>
      </c>
      <c r="V99" s="40">
        <f>'Tariffs Jan2022'!AQ93</f>
        <v>3</v>
      </c>
      <c r="W99" s="537" t="str">
        <f t="shared" si="93"/>
        <v>Guaranteed off usage</v>
      </c>
      <c r="X99" s="538" t="str">
        <f t="shared" si="94"/>
        <v>Exclusive</v>
      </c>
      <c r="Y99" s="534">
        <f>Q99-(P99*T99)/100</f>
        <v>1470.0759999999996</v>
      </c>
      <c r="Z99" s="535">
        <f>Y99-(P99*V99)/100</f>
        <v>1426.1199999999997</v>
      </c>
      <c r="AA99" s="542">
        <f t="shared" si="118"/>
        <v>1617.0835999999997</v>
      </c>
      <c r="AB99" s="542">
        <f t="shared" si="118"/>
        <v>1568.7319999999997</v>
      </c>
      <c r="AC99" s="274">
        <f>'Tariffs Jan2022'!AZ93</f>
        <v>0</v>
      </c>
      <c r="AD99" s="274" t="str">
        <f>'Tariffs Jan2022'!BA93</f>
        <v>n</v>
      </c>
      <c r="AE99" s="275" t="str">
        <f>'Tariffs Jan2022'!BJ93</f>
        <v>Y</v>
      </c>
      <c r="AF99" s="577"/>
      <c r="AG99" s="577"/>
      <c r="AH99" s="577"/>
      <c r="AI99" s="577"/>
      <c r="AJ99" s="577"/>
      <c r="AK99" s="577"/>
      <c r="AL99" s="577"/>
      <c r="AM99" s="577"/>
      <c r="AN99" s="577"/>
      <c r="AO99" s="577"/>
      <c r="AP99" s="577"/>
      <c r="AQ99" s="577"/>
      <c r="AR99" s="577"/>
      <c r="AS99" s="577"/>
      <c r="AT99" s="577"/>
      <c r="AU99" s="577"/>
      <c r="AV99" s="577"/>
      <c r="AW99" s="577"/>
    </row>
    <row r="100" spans="1:49" ht="14" x14ac:dyDescent="0.15">
      <c r="A100" s="270" t="str">
        <f>'Tariffs Jan2022'!F94</f>
        <v>Kogan Energy</v>
      </c>
      <c r="B100" s="40" t="str">
        <f>'Tariffs Jan2022'!D94</f>
        <v>AusNet Services West</v>
      </c>
      <c r="C100" s="40" t="str">
        <f>'Tariffs Jan2022'!G94</f>
        <v>Kogan First</v>
      </c>
      <c r="D100" s="59">
        <f>365*'Tariffs Jan2022'!H94/100</f>
        <v>293.22772727272724</v>
      </c>
      <c r="E100" s="59">
        <f>((C$5*'Tariffs Jan2022'!AK94/'Tariffs Jan2022'!AI94)*('Tariffs Jan2022'!O94/100))*'Tariffs Jan2022'!AI94</f>
        <v>334.05749999999995</v>
      </c>
      <c r="F100" s="59">
        <v>0</v>
      </c>
      <c r="G100" s="59">
        <v>0</v>
      </c>
      <c r="H100" s="59">
        <v>0</v>
      </c>
      <c r="I100" s="69">
        <v>0</v>
      </c>
      <c r="J100" s="69">
        <f>((C$5*'Tariffs Jan2022'!AL94/'Tariffs Jan2022'!AJ94)*('Tariffs Jan2022'!U94/100))*'Tariffs Jan2022'!AJ94</f>
        <v>603.21239999999989</v>
      </c>
      <c r="K100" s="69">
        <v>0</v>
      </c>
      <c r="L100" s="69">
        <v>0</v>
      </c>
      <c r="M100" s="69">
        <v>0</v>
      </c>
      <c r="N100" s="69">
        <v>0</v>
      </c>
      <c r="O100" s="59">
        <f t="shared" si="105"/>
        <v>937.26989999999978</v>
      </c>
      <c r="P100" s="503">
        <f t="shared" si="92"/>
        <v>1030.9968899999999</v>
      </c>
      <c r="Q100" s="59">
        <f t="shared" si="106"/>
        <v>1230.497627272727</v>
      </c>
      <c r="R100" s="272">
        <f t="shared" si="107"/>
        <v>1353.5473899999997</v>
      </c>
      <c r="S100" s="40">
        <f>'Tariffs Jan2022'!AN94</f>
        <v>0</v>
      </c>
      <c r="T100" s="40">
        <f>'Tariffs Jan2022'!AO94</f>
        <v>0</v>
      </c>
      <c r="U100" s="40">
        <f>'Tariffs Jan2022'!AP94</f>
        <v>0</v>
      </c>
      <c r="V100" s="40">
        <f>'Tariffs Jan2022'!AQ94</f>
        <v>0</v>
      </c>
      <c r="W100" s="537" t="str">
        <f t="shared" si="93"/>
        <v>No discount</v>
      </c>
      <c r="X100" s="538" t="str">
        <f t="shared" si="94"/>
        <v>Exclusive</v>
      </c>
      <c r="Y100" s="534">
        <f t="shared" ref="Y100:Y101" si="119">IF(AND(W100="Guaranteed off bill",X100="Inclusive"),((Q100*1.1)-((Q100*1.1)*S100/100))/1.1,IF(AND(W100="Guaranteed off usage",X100="Inclusive"),((Q100*1.1)-((P100*1.1)*T100/100))/1.1,IF(AND(W100="Guaranteed off bill",X100="Exclusive"),Q100-(Q100*S100/100),IF(AND(W100="Guaranteed off usage",X100="Exclusive"),Q100-(P100*T100/100),IF(X100="Inclusive",((Q100*1.1))/1.1,Q100)))))</f>
        <v>1230.497627272727</v>
      </c>
      <c r="Z100" s="535">
        <f t="shared" ref="Z100:Z101" si="120">IF(AND(W100="Pay-on-time off bill",X100="Inclusive"),((Y100*1.1)-((Y100*1.1)*U100/100))/1.1,IF(AND(W100="Pay-on-time off usage",X100="Inclusive"),((Y100*1.1)-((P100*1.1)*V100/100))/1.1,IF(AND(W100="Pay-on-time off bill",X100="Exclusive"),Y100-(Y100*U100/100),IF(AND(W100="Pay-on-time off usage",X100="Exclusive"),Y100-(P100*V100/100),IF(X100="Inclusive",((Y100*1.1))/1.1,Y100)))))</f>
        <v>1230.497627272727</v>
      </c>
      <c r="AA100" s="542">
        <f t="shared" si="118"/>
        <v>1353.5473899999997</v>
      </c>
      <c r="AB100" s="542">
        <f t="shared" si="118"/>
        <v>1353.5473899999997</v>
      </c>
      <c r="AC100" s="274">
        <f>'Tariffs Jan2022'!AZ94</f>
        <v>0</v>
      </c>
      <c r="AD100" s="274" t="str">
        <f>'Tariffs Jan2022'!BA94</f>
        <v>n</v>
      </c>
      <c r="AE100" s="275" t="str">
        <f>'Tariffs Jan2022'!BJ94</f>
        <v>Y</v>
      </c>
      <c r="AF100" s="577"/>
      <c r="AG100" s="577"/>
      <c r="AH100" s="577"/>
      <c r="AI100" s="577"/>
      <c r="AJ100" s="577"/>
      <c r="AK100" s="577"/>
      <c r="AL100" s="577"/>
      <c r="AM100" s="577"/>
      <c r="AN100" s="577"/>
      <c r="AO100" s="577"/>
      <c r="AP100" s="577"/>
      <c r="AQ100" s="577"/>
      <c r="AR100" s="577"/>
      <c r="AS100" s="577"/>
      <c r="AT100" s="577"/>
      <c r="AU100" s="577"/>
      <c r="AV100" s="577"/>
      <c r="AW100" s="577"/>
    </row>
    <row r="101" spans="1:49" ht="15" thickBot="1" x14ac:dyDescent="0.2">
      <c r="A101" s="276" t="str">
        <f>'Tariffs Jan2022'!F95</f>
        <v>Tango Energy</v>
      </c>
      <c r="B101" s="277" t="str">
        <f>'Tariffs Jan2022'!D95</f>
        <v>AusNet Services West</v>
      </c>
      <c r="C101" s="277" t="str">
        <f>'Tariffs Jan2022'!G95</f>
        <v>Home Select</v>
      </c>
      <c r="D101" s="278">
        <f>365*'Tariffs Jan2022'!H95/100</f>
        <v>343.1</v>
      </c>
      <c r="E101" s="278">
        <f>IF($C$5*'Tariffs Jan2022'!AK95/'Tariffs Jan2022'!AI95&gt;='Tariffs Jan2022'!J95,( 'Tariffs Jan2022'!J95*'Tariffs Jan2022'!O95/100)* 'Tariffs Jan2022'!AI95,($C$5*'Tariffs Jan2022'!AK95/'Tariffs Jan2022'!AI95*'Tariffs Jan2022'!O95/100)* 'Tariffs Jan2022'!AI95)</f>
        <v>170.18181818181819</v>
      </c>
      <c r="F101" s="278">
        <f>IF($C$5*'Tariffs Jan2022'!AK95/'Tariffs Jan2022'!AI95&lt;'Tariffs Jan2022'!J95,0,IF($C$5*'Tariffs Jan2022'!AK95/'Tariffs Jan2022'!AI95&lt;='Tariffs Jan2022'!K95,($C$5*'Tariffs Jan2022'!AK95/'Tariffs Jan2022'!AI95-'Tariffs Jan2022'!J95)*('Tariffs Jan2022'!P95/100)*'Tariffs Jan2022'!AI95,('Tariffs Jan2022'!K95-'Tariffs Jan2022'!J95)*('Tariffs Jan2022'!P95/100)*'Tariffs Jan2022'!AI95))</f>
        <v>117.79069090909086</v>
      </c>
      <c r="G101" s="278">
        <f>IF($C$5*'Tariffs Jan2022'!AK95/'Tariffs Jan2022'!AI95&lt;'Tariffs Jan2022'!K95,0,IF($C$5*'Tariffs Jan2022'!AK95/'Tariffs Jan2022'!AI95&lt;='Tariffs Jan2022'!L95,($C$5*'Tariffs Jan2022'!AK95/'Tariffs Jan2022'!AI95-'Tariffs Jan2022'!K95)*('Tariffs Jan2022'!Q95/100)*'Tariffs Jan2022'!AI95,('Tariffs Jan2022'!L95-'Tariffs Jan2022'!K95)*('Tariffs Jan2022'!Q95/100)*'Tariffs Jan2022'!AI95))</f>
        <v>0</v>
      </c>
      <c r="H101" s="278">
        <f>IF($C$5*'Tariffs Jan2022'!AK95/'Tariffs Jan2022'!AI95&lt;'Tariffs Jan2022'!L95,0,IF($C$5*'Tariffs Jan2022'!AK95/'Tariffs Jan2022'!AI95&lt;='Tariffs Jan2022'!M95,($C$5*'Tariffs Jan2022'!AK95/'Tariffs Jan2022'!AI95-'Tariffs Jan2022'!L95)*('Tariffs Jan2022'!R95/100)*'Tariffs Jan2022'!AI95,('Tariffs Jan2022'!M95-'Tariffs Jan2022'!L95)*('Tariffs Jan2022'!R95/100)*'Tariffs Jan2022'!AI95))</f>
        <v>0</v>
      </c>
      <c r="I101" s="547">
        <f>IF(($C$5*'Tariffs Jan2022'!AK95/'Tariffs Jan2022'!AI95&gt;'Tariffs Jan2022'!M95),($C$5*'Tariffs Jan2022'!AK95/'Tariffs Jan2022'!AI95-'Tariffs Jan2022'!M95)*'Tariffs Jan2022'!S95/100*'Tariffs Jan2022'!AI95,0)</f>
        <v>0</v>
      </c>
      <c r="J101" s="547">
        <f>IF($C$5*'Tariffs Jan2022'!AL95/'Tariffs Jan2022'!AJ95&gt;='Tariffs Jan2022'!J95,('Tariffs Jan2022'!J95*'Tariffs Jan2022'!U95/100)* 'Tariffs Jan2022'!AJ95,($C$5*'Tariffs Jan2022'!AL95/'Tariffs Jan2022'!AJ95*'Tariffs Jan2022'!U95/100)* 'Tariffs Jan2022'!AJ95)</f>
        <v>277.09090909090907</v>
      </c>
      <c r="K101" s="547">
        <f>IF($C$5*'Tariffs Jan2022'!AL95/'Tariffs Jan2022'!AJ95&lt;'Tariffs Jan2022'!J95,0,IF($C$5*'Tariffs Jan2022'!AL95/'Tariffs Jan2022'!AJ95&lt;='Tariffs Jan2022'!K95,($C$5*'Tariffs Jan2022'!AL95/'Tariffs Jan2022'!AJ95-'Tariffs Jan2022'!J95)*('Tariffs Jan2022'!V95/100)*'Tariffs Jan2022'!AJ95,('Tariffs Jan2022'!K95-'Tariffs Jan2022'!J95)*('Tariffs Jan2022'!V95/100)*'Tariffs Jan2022'!AJ95))</f>
        <v>189.77389090909085</v>
      </c>
      <c r="L101" s="547">
        <f>IF($C$5*'Tariffs Jan2022'!AL95/'Tariffs Jan2022'!AJ95&lt;'Tariffs Jan2022'!K95,0,IF($C$5*'Tariffs Jan2022'!AL95/'Tariffs Jan2022'!AJ95&lt;='Tariffs Jan2022'!L95,($C$5*'Tariffs Jan2022'!AL95/'Tariffs Jan2022'!AJ95-'Tariffs Jan2022'!K95)*('Tariffs Jan2022'!W95/100)*'Tariffs Jan2022'!AJ95,('Tariffs Jan2022'!L95-'Tariffs Jan2022'!K95)*('Tariffs Jan2022'!W95/100)*'Tariffs Jan2022'!AJ95))</f>
        <v>0</v>
      </c>
      <c r="M101" s="547">
        <f>IF($C$5*'Tariffs Jan2022'!AL95/'Tariffs Jan2022'!AJ95&lt;'Tariffs Jan2022'!L95,0,IF($C$5*'Tariffs Jan2022'!AL95/'Tariffs Jan2022'!AJ95&lt;='Tariffs Jan2022'!M95,($C$5*'Tariffs Jan2022'!AL95/'Tariffs Jan2022'!AJ95-'Tariffs Jan2022'!L95)*('Tariffs Jan2022'!X95/100)*'Tariffs Jan2022'!AJ95,('Tariffs Jan2022'!M95-'Tariffs Jan2022'!L95)*('Tariffs Jan2022'!X95/100)*'Tariffs Jan2022'!AJ95))</f>
        <v>0</v>
      </c>
      <c r="N101" s="547">
        <f>IF(($C$5*'Tariffs Jan2022'!AL95/'Tariffs Jan2022'!AJ95&gt;'Tariffs Jan2022'!M95),($C$5*'Tariffs Jan2022'!AL95/'Tariffs Jan2022'!AJ95-'Tariffs Jan2022'!M95)*'Tariffs Jan2022'!Y95/100*'Tariffs Jan2022'!AJ95,0)</f>
        <v>0</v>
      </c>
      <c r="O101" s="278">
        <f t="shared" si="105"/>
        <v>754.837309090909</v>
      </c>
      <c r="P101" s="504">
        <f t="shared" si="92"/>
        <v>830.32103999999993</v>
      </c>
      <c r="Q101" s="278">
        <f t="shared" si="106"/>
        <v>1097.9373090909089</v>
      </c>
      <c r="R101" s="280">
        <f t="shared" si="107"/>
        <v>1207.7310399999999</v>
      </c>
      <c r="S101" s="277">
        <f>'Tariffs Jan2022'!AN95</f>
        <v>0</v>
      </c>
      <c r="T101" s="277">
        <f>'Tariffs Jan2022'!AO95</f>
        <v>0</v>
      </c>
      <c r="U101" s="277">
        <f>'Tariffs Jan2022'!AP95</f>
        <v>0</v>
      </c>
      <c r="V101" s="277">
        <f>'Tariffs Jan2022'!AQ95</f>
        <v>0</v>
      </c>
      <c r="W101" s="540" t="str">
        <f t="shared" si="93"/>
        <v>No discount</v>
      </c>
      <c r="X101" s="541" t="str">
        <f t="shared" si="94"/>
        <v>Exclusive</v>
      </c>
      <c r="Y101" s="543">
        <f t="shared" si="119"/>
        <v>1097.9373090909089</v>
      </c>
      <c r="Z101" s="544">
        <f t="shared" si="120"/>
        <v>1097.9373090909089</v>
      </c>
      <c r="AA101" s="545">
        <f t="shared" si="118"/>
        <v>1207.7310399999999</v>
      </c>
      <c r="AB101" s="545">
        <f t="shared" si="118"/>
        <v>1207.7310399999999</v>
      </c>
      <c r="AC101" s="282">
        <f>'Tariffs Jan2022'!AZ95</f>
        <v>0</v>
      </c>
      <c r="AD101" s="282" t="str">
        <f>'Tariffs Jan2022'!BA95</f>
        <v>n</v>
      </c>
      <c r="AE101" s="283" t="str">
        <f>'Tariffs Jan2022'!BJ95</f>
        <v>N</v>
      </c>
      <c r="AF101" s="577"/>
      <c r="AG101" s="577"/>
      <c r="AH101" s="577"/>
      <c r="AI101" s="577"/>
      <c r="AJ101" s="577"/>
      <c r="AK101" s="577"/>
      <c r="AL101" s="577"/>
      <c r="AM101" s="577"/>
      <c r="AN101" s="577"/>
      <c r="AO101" s="577"/>
      <c r="AP101" s="577"/>
      <c r="AQ101" s="577"/>
      <c r="AR101" s="577"/>
      <c r="AS101" s="577"/>
      <c r="AT101" s="577"/>
      <c r="AU101" s="577"/>
      <c r="AV101" s="577"/>
      <c r="AW101" s="577"/>
    </row>
    <row r="102" spans="1:49" ht="15" thickTop="1" x14ac:dyDescent="0.15">
      <c r="A102" s="270" t="str">
        <f>'Tariffs Jan2022'!F96</f>
        <v>AGL</v>
      </c>
      <c r="B102" s="40" t="str">
        <f>'Tariffs Jan2022'!D96</f>
        <v>AusNet Services Central 2</v>
      </c>
      <c r="C102" s="40" t="str">
        <f>'Tariffs Jan2022'!G96</f>
        <v>Flexible Saver</v>
      </c>
      <c r="D102" s="59">
        <f>365*'Tariffs Jan2022'!H96/100</f>
        <v>339.44999999999993</v>
      </c>
      <c r="E102" s="59">
        <f>IF($C$5*'Tariffs Jan2022'!AK96/'Tariffs Jan2022'!AI96&gt;='Tariffs Jan2022'!J96,( 'Tariffs Jan2022'!J96*'Tariffs Jan2022'!O96/100)* 'Tariffs Jan2022'!AI96,($C$5*'Tariffs Jan2022'!AK96/'Tariffs Jan2022'!AI96*'Tariffs Jan2022'!O96/100)* 'Tariffs Jan2022'!AI96)</f>
        <v>271.63636363636363</v>
      </c>
      <c r="F102" s="59">
        <f>IF($C$5*'Tariffs Jan2022'!AK96/'Tariffs Jan2022'!AI96&lt;'Tariffs Jan2022'!J96,0,IF($C$5*'Tariffs Jan2022'!AK96/'Tariffs Jan2022'!AI96&lt;='Tariffs Jan2022'!K96,($C$5*'Tariffs Jan2022'!AK96/'Tariffs Jan2022'!AI96-'Tariffs Jan2022'!J96)*('Tariffs Jan2022'!P96/100)*'Tariffs Jan2022'!AI96,('Tariffs Jan2022'!K96-'Tariffs Jan2022'!J96)*('Tariffs Jan2022'!P96/100)*'Tariffs Jan2022'!AI96))</f>
        <v>196.31781818181813</v>
      </c>
      <c r="G102" s="59">
        <f>IF($C$5*'Tariffs Jan2022'!AK96/'Tariffs Jan2022'!AI96&lt;'Tariffs Jan2022'!K96,0,IF($C$5*'Tariffs Jan2022'!AK96/'Tariffs Jan2022'!AI96&lt;='Tariffs Jan2022'!L96,($C$5*'Tariffs Jan2022'!AK96/'Tariffs Jan2022'!AI96-'Tariffs Jan2022'!K96)*('Tariffs Jan2022'!Q96/100)*'Tariffs Jan2022'!AI96,('Tariffs Jan2022'!L96-'Tariffs Jan2022'!K96)*('Tariffs Jan2022'!Q96/100)*'Tariffs Jan2022'!AI96))</f>
        <v>0</v>
      </c>
      <c r="H102" s="59">
        <f>IF($C$5*'Tariffs Jan2022'!AK96/'Tariffs Jan2022'!AI96&lt;'Tariffs Jan2022'!L96,0,IF($C$5*'Tariffs Jan2022'!AK96/'Tariffs Jan2022'!AI96&lt;='Tariffs Jan2022'!M96,($C$5*'Tariffs Jan2022'!AK96/'Tariffs Jan2022'!AI96-'Tariffs Jan2022'!L96)*('Tariffs Jan2022'!R96/100)*'Tariffs Jan2022'!AI96,('Tariffs Jan2022'!M96-'Tariffs Jan2022'!L96)*('Tariffs Jan2022'!R96/100)*'Tariffs Jan2022'!AI96))</f>
        <v>0</v>
      </c>
      <c r="I102" s="69">
        <f>IF(($C$5*'Tariffs Jan2022'!AK96/'Tariffs Jan2022'!AI96&gt;'Tariffs Jan2022'!M96),($C$5*'Tariffs Jan2022'!AK96/'Tariffs Jan2022'!AI96-'Tariffs Jan2022'!M96)*'Tariffs Jan2022'!S96/100*'Tariffs Jan2022'!AI96,0)</f>
        <v>0</v>
      </c>
      <c r="J102" s="69">
        <f>IF($C$5*'Tariffs Jan2022'!AL96/'Tariffs Jan2022'!AJ96&gt;='Tariffs Jan2022'!J96,('Tariffs Jan2022'!J96*'Tariffs Jan2022'!U96/100)* 'Tariffs Jan2022'!AJ96,($C$5*'Tariffs Jan2022'!AL96/'Tariffs Jan2022'!AJ96*'Tariffs Jan2022'!U96/100)* 'Tariffs Jan2022'!AJ96)</f>
        <v>464.72727272727263</v>
      </c>
      <c r="K102" s="69">
        <f>IF($C$5*'Tariffs Jan2022'!AL96/'Tariffs Jan2022'!AJ96&lt;'Tariffs Jan2022'!J96,0,IF($C$5*'Tariffs Jan2022'!AL96/'Tariffs Jan2022'!AJ96&lt;='Tariffs Jan2022'!K96,($C$5*'Tariffs Jan2022'!AL96/'Tariffs Jan2022'!AJ96-'Tariffs Jan2022'!J96)*('Tariffs Jan2022'!V96/100)*'Tariffs Jan2022'!AJ96,('Tariffs Jan2022'!K96-'Tariffs Jan2022'!J96)*('Tariffs Jan2022'!V96/100)*'Tariffs Jan2022'!AJ96))</f>
        <v>301.02065454545448</v>
      </c>
      <c r="L102" s="69">
        <f>IF($C$5*'Tariffs Jan2022'!AL96/'Tariffs Jan2022'!AJ96&lt;'Tariffs Jan2022'!K96,0,IF($C$5*'Tariffs Jan2022'!AL96/'Tariffs Jan2022'!AJ96&lt;='Tariffs Jan2022'!L96,($C$5*'Tariffs Jan2022'!AL96/'Tariffs Jan2022'!AJ96-'Tariffs Jan2022'!K96)*('Tariffs Jan2022'!W96/100)*'Tariffs Jan2022'!AJ96,('Tariffs Jan2022'!L96-'Tariffs Jan2022'!K96)*('Tariffs Jan2022'!W96/100)*'Tariffs Jan2022'!AJ96))</f>
        <v>0</v>
      </c>
      <c r="M102" s="69">
        <f>IF($C$5*'Tariffs Jan2022'!AL96/'Tariffs Jan2022'!AJ96&lt;'Tariffs Jan2022'!L96,0,IF($C$5*'Tariffs Jan2022'!AL96/'Tariffs Jan2022'!AJ96&lt;='Tariffs Jan2022'!M96,($C$5*'Tariffs Jan2022'!AL96/'Tariffs Jan2022'!AJ96-'Tariffs Jan2022'!L96)*('Tariffs Jan2022'!X96/100)*'Tariffs Jan2022'!AJ96,('Tariffs Jan2022'!M96-'Tariffs Jan2022'!L96)*('Tariffs Jan2022'!X96/100)*'Tariffs Jan2022'!AJ96))</f>
        <v>0</v>
      </c>
      <c r="N102" s="69">
        <f>IF(($C$5*'Tariffs Jan2022'!AL96/'Tariffs Jan2022'!AJ96&gt;'Tariffs Jan2022'!M96),($C$5*'Tariffs Jan2022'!AL96/'Tariffs Jan2022'!AJ96-'Tariffs Jan2022'!M96)*'Tariffs Jan2022'!Y96/100*'Tariffs Jan2022'!AJ96,0)</f>
        <v>0</v>
      </c>
      <c r="O102" s="59">
        <f t="shared" si="105"/>
        <v>1233.7021090909088</v>
      </c>
      <c r="P102" s="503">
        <f t="shared" si="92"/>
        <v>1357.0723199999998</v>
      </c>
      <c r="Q102" s="59">
        <f t="shared" si="106"/>
        <v>1573.1521090909087</v>
      </c>
      <c r="R102" s="272">
        <f t="shared" si="107"/>
        <v>1730.4673199999997</v>
      </c>
      <c r="S102" s="40">
        <f>'Tariffs Jan2022'!AN96</f>
        <v>0</v>
      </c>
      <c r="T102" s="40">
        <f>'Tariffs Jan2022'!AO96</f>
        <v>0</v>
      </c>
      <c r="U102" s="40">
        <f>'Tariffs Jan2022'!AP96</f>
        <v>0</v>
      </c>
      <c r="V102" s="40">
        <f>'Tariffs Jan2022'!AQ96</f>
        <v>0</v>
      </c>
      <c r="W102" s="537" t="str">
        <f>IF(SUM(S102:V102)=0,"No discount",IF(S102&gt;0,"Guaranteed off bill",IF(T102&gt;0,"Guaranteed off usage",IF(U102&gt;0,"Pay-on-time off bill","Pay-on-time off usage"))))</f>
        <v>No discount</v>
      </c>
      <c r="X102" s="538" t="str">
        <f>IF(OR(A102="Origin Energy",A102="Red Energy",A102="Powershop"),"Inclusive","Exclusive")</f>
        <v>Exclusive</v>
      </c>
      <c r="Y102" s="534">
        <f>IF(AND(W102="Guaranteed off bill",X102="Inclusive"),((Q102*1.1)-((Q102*1.1)*S102/100))/1.1,IF(AND(W102="Guaranteed off usage",X102="Inclusive"),((Q102*1.1)-((P102*1.1)*T102/100))/1.1,IF(AND(W102="Guaranteed off bill",X102="Exclusive"),Q102-(Q102*S102/100),IF(AND(W102="Guaranteed off usage",X102="Exclusive"),Q102-(P102*T102/100),IF(X102="Inclusive",((Q102*1.1))/1.1,Q102)))))</f>
        <v>1573.1521090909087</v>
      </c>
      <c r="Z102" s="535">
        <f>IF(AND(W102="Pay-on-time off bill",X102="Inclusive"),((Y102*1.1)-((Y102*1.1)*U102/100))/1.1,IF(AND(W102="Pay-on-time off usage",X102="Inclusive"),((Y102*1.1)-((P102*1.1)*V102/100))/1.1,IF(AND(W102="Pay-on-time off bill",X102="Exclusive"),Y102-(Y102*U102/100),IF(AND(W102="Pay-on-time off usage",X102="Exclusive"),Y102-(P102*V102/100),IF(X102="Inclusive",((Y102*1.1))/1.1,Y102)))))</f>
        <v>1573.1521090909087</v>
      </c>
      <c r="AA102" s="542">
        <f t="shared" si="118"/>
        <v>1730.4673199999997</v>
      </c>
      <c r="AB102" s="542">
        <f t="shared" si="118"/>
        <v>1730.4673199999997</v>
      </c>
      <c r="AC102" s="274">
        <f>'Tariffs Jan2022'!AZ96</f>
        <v>0</v>
      </c>
      <c r="AD102" s="274" t="str">
        <f>'Tariffs Jan2022'!BA96</f>
        <v>n</v>
      </c>
      <c r="AE102" s="275" t="str">
        <f>'Tariffs Jan2022'!BJ96</f>
        <v>N</v>
      </c>
      <c r="AF102" s="577"/>
      <c r="AG102" s="577"/>
      <c r="AH102" s="577"/>
      <c r="AI102" s="577"/>
      <c r="AJ102" s="577"/>
      <c r="AK102" s="577"/>
      <c r="AL102" s="577"/>
      <c r="AM102" s="577"/>
      <c r="AN102" s="577"/>
      <c r="AO102" s="577"/>
      <c r="AP102" s="577"/>
      <c r="AQ102" s="577"/>
      <c r="AR102" s="577"/>
      <c r="AS102" s="577"/>
      <c r="AT102" s="577"/>
      <c r="AU102" s="577"/>
      <c r="AV102" s="577"/>
      <c r="AW102" s="577"/>
    </row>
    <row r="103" spans="1:49" ht="14" x14ac:dyDescent="0.15">
      <c r="A103" s="270" t="str">
        <f>'Tariffs Jan2022'!F97</f>
        <v>Alinta Energy</v>
      </c>
      <c r="B103" s="40" t="str">
        <f>'Tariffs Jan2022'!D97</f>
        <v>AusNet Services Central 2</v>
      </c>
      <c r="C103" s="40" t="str">
        <f>'Tariffs Jan2022'!G97</f>
        <v>Home Deal</v>
      </c>
      <c r="D103" s="59">
        <f>365*'Tariffs Jan2022'!H97/100</f>
        <v>247.56954545454545</v>
      </c>
      <c r="E103" s="59">
        <f>IF($C$5*'Tariffs Jan2022'!AK97/'Tariffs Jan2022'!AI97&gt;='Tariffs Jan2022'!J97,( 'Tariffs Jan2022'!J97*'Tariffs Jan2022'!O97/100)* 'Tariffs Jan2022'!AI97,($C$5*'Tariffs Jan2022'!AK97/'Tariffs Jan2022'!AI97*'Tariffs Jan2022'!O97/100)* 'Tariffs Jan2022'!AI97)</f>
        <v>231.27272727272728</v>
      </c>
      <c r="F103" s="59">
        <f>IF($C$5*'Tariffs Jan2022'!AK97/'Tariffs Jan2022'!AI97&lt;'Tariffs Jan2022'!J97,0,IF($C$5*'Tariffs Jan2022'!AK97/'Tariffs Jan2022'!AI97&lt;='Tariffs Jan2022'!K97,($C$5*'Tariffs Jan2022'!AK97/'Tariffs Jan2022'!AI97-'Tariffs Jan2022'!J97)*('Tariffs Jan2022'!P97/100)*'Tariffs Jan2022'!AI97,('Tariffs Jan2022'!K97-'Tariffs Jan2022'!J97)*('Tariffs Jan2022'!P97/100)*'Tariffs Jan2022'!AI97))</f>
        <v>0</v>
      </c>
      <c r="G103" s="59">
        <f>IF($C$5*'Tariffs Jan2022'!AK97/'Tariffs Jan2022'!AI97&lt;'Tariffs Jan2022'!K97,0,IF($C$5*'Tariffs Jan2022'!AK97/'Tariffs Jan2022'!AI97&lt;='Tariffs Jan2022'!L97,($C$5*'Tariffs Jan2022'!AK97/'Tariffs Jan2022'!AI97-'Tariffs Jan2022'!K97)*('Tariffs Jan2022'!Q97/100)*'Tariffs Jan2022'!AI97,('Tariffs Jan2022'!L97-'Tariffs Jan2022'!K97)*('Tariffs Jan2022'!Q97/100)*'Tariffs Jan2022'!AI97))</f>
        <v>0</v>
      </c>
      <c r="H103" s="59">
        <f>IF($C$5*'Tariffs Jan2022'!AK97/'Tariffs Jan2022'!AI97&lt;'Tariffs Jan2022'!L97,0,IF($C$5*'Tariffs Jan2022'!AK97/'Tariffs Jan2022'!AI97&lt;='Tariffs Jan2022'!M97,($C$5*'Tariffs Jan2022'!AK97/'Tariffs Jan2022'!AI97-'Tariffs Jan2022'!L97)*('Tariffs Jan2022'!R97/100)*'Tariffs Jan2022'!AI97,('Tariffs Jan2022'!M97-'Tariffs Jan2022'!L97)*('Tariffs Jan2022'!R97/100)*'Tariffs Jan2022'!AI97))</f>
        <v>0</v>
      </c>
      <c r="I103" s="69">
        <f>IF(($C$5*'Tariffs Jan2022'!AK97/'Tariffs Jan2022'!AI97&gt;'Tariffs Jan2022'!M97),($C$5*'Tariffs Jan2022'!AK97/'Tariffs Jan2022'!AI97-'Tariffs Jan2022'!M97)*'Tariffs Jan2022'!S97/100*'Tariffs Jan2022'!AI97,0)</f>
        <v>127.60658181818178</v>
      </c>
      <c r="J103" s="69">
        <f>IF($C$5*'Tariffs Jan2022'!AL97/'Tariffs Jan2022'!AJ97&gt;='Tariffs Jan2022'!J97,('Tariffs Jan2022'!J97*'Tariffs Jan2022'!U97/100)* 'Tariffs Jan2022'!AJ97,($C$5*'Tariffs Jan2022'!AL97/'Tariffs Jan2022'!AJ97*'Tariffs Jan2022'!U97/100)* 'Tariffs Jan2022'!AJ97)</f>
        <v>421.09090909090907</v>
      </c>
      <c r="K103" s="69">
        <f>IF($C$5*'Tariffs Jan2022'!AL97/'Tariffs Jan2022'!AJ97&lt;'Tariffs Jan2022'!J97,0,IF($C$5*'Tariffs Jan2022'!AL97/'Tariffs Jan2022'!AJ97&lt;='Tariffs Jan2022'!K97,($C$5*'Tariffs Jan2022'!AL97/'Tariffs Jan2022'!AJ97-'Tariffs Jan2022'!J97)*('Tariffs Jan2022'!V97/100)*'Tariffs Jan2022'!AJ97,('Tariffs Jan2022'!K97-'Tariffs Jan2022'!J97)*('Tariffs Jan2022'!V97/100)*'Tariffs Jan2022'!AJ97))</f>
        <v>0</v>
      </c>
      <c r="L103" s="69">
        <f>IF($C$5*'Tariffs Jan2022'!AL97/'Tariffs Jan2022'!AJ97&lt;'Tariffs Jan2022'!K97,0,IF($C$5*'Tariffs Jan2022'!AL97/'Tariffs Jan2022'!AJ97&lt;='Tariffs Jan2022'!L97,($C$5*'Tariffs Jan2022'!AL97/'Tariffs Jan2022'!AJ97-'Tariffs Jan2022'!K97)*('Tariffs Jan2022'!W97/100)*'Tariffs Jan2022'!AJ97,('Tariffs Jan2022'!L97-'Tariffs Jan2022'!K97)*('Tariffs Jan2022'!W97/100)*'Tariffs Jan2022'!AJ97))</f>
        <v>0</v>
      </c>
      <c r="M103" s="69">
        <f>IF($C$5*'Tariffs Jan2022'!AL97/'Tariffs Jan2022'!AJ97&lt;'Tariffs Jan2022'!L97,0,IF($C$5*'Tariffs Jan2022'!AL97/'Tariffs Jan2022'!AJ97&lt;='Tariffs Jan2022'!M97,($C$5*'Tariffs Jan2022'!AL97/'Tariffs Jan2022'!AJ97-'Tariffs Jan2022'!L97)*('Tariffs Jan2022'!X97/100)*'Tariffs Jan2022'!AJ97,('Tariffs Jan2022'!M97-'Tariffs Jan2022'!L97)*('Tariffs Jan2022'!X97/100)*'Tariffs Jan2022'!AJ97))</f>
        <v>0</v>
      </c>
      <c r="N103" s="69">
        <f>IF(($C$5*'Tariffs Jan2022'!AL97/'Tariffs Jan2022'!AJ97&gt;'Tariffs Jan2022'!M97),($C$5*'Tariffs Jan2022'!AL97/'Tariffs Jan2022'!AJ97-'Tariffs Jan2022'!M97)*'Tariffs Jan2022'!Y97/100*'Tariffs Jan2022'!AJ97,0)</f>
        <v>255.21316363636356</v>
      </c>
      <c r="O103" s="59">
        <f t="shared" si="105"/>
        <v>1035.1833818181817</v>
      </c>
      <c r="P103" s="503">
        <f t="shared" si="92"/>
        <v>1138.70172</v>
      </c>
      <c r="Q103" s="59">
        <f t="shared" si="106"/>
        <v>1282.7529272727272</v>
      </c>
      <c r="R103" s="272">
        <f t="shared" si="107"/>
        <v>1411.0282200000001</v>
      </c>
      <c r="S103" s="40">
        <f>'Tariffs Jan2022'!AN97</f>
        <v>0</v>
      </c>
      <c r="T103" s="40">
        <f>'Tariffs Jan2022'!AO97</f>
        <v>0</v>
      </c>
      <c r="U103" s="40">
        <f>'Tariffs Jan2022'!AP97</f>
        <v>0</v>
      </c>
      <c r="V103" s="40">
        <f>'Tariffs Jan2022'!AQ97</f>
        <v>0</v>
      </c>
      <c r="W103" s="537" t="str">
        <f t="shared" ref="W103:W116" si="121">IF(SUM(S103:V103)=0,"No discount",IF(S103&gt;0,"Guaranteed off bill",IF(T103&gt;0,"Guaranteed off usage",IF(U103&gt;0,"Pay-on-time off bill","Pay-on-time off usage"))))</f>
        <v>No discount</v>
      </c>
      <c r="X103" s="538" t="str">
        <f t="shared" ref="X103:X116" si="122">IF(OR(A103="Origin Energy",A103="Red Energy",A103="Powershop"),"Inclusive","Exclusive")</f>
        <v>Exclusive</v>
      </c>
      <c r="Y103" s="534">
        <f>IF(AND(W103="Guaranteed off bill",X103="Inclusive"),((Q103*1.1)-((Q103*1.1)*S103/100))/1.1,IF(AND(W103="Guaranteed off usage",X103="Inclusive"),((Q103*1.1)-((P103*1.1)*T103/100))/1.1,IF(AND(W103="Guaranteed off bill",X103="Exclusive"),Q103-(Q103*S103/100),IF(AND(W103="Guaranteed off usage",X103="Exclusive"),Q103-(P103*T103/100),IF(X103="Inclusive",((Q103*1.1))/1.1,Q103)))))</f>
        <v>1282.7529272727272</v>
      </c>
      <c r="Z103" s="535">
        <f>IF(AND(W103="Pay-on-time off bill",X103="Inclusive"),((Y103*1.1)-((Y103*1.1)*U103/100))/1.1,IF(AND(W103="Pay-on-time off usage",X103="Inclusive"),((Y103*1.1)-((P103*1.1)*V103/100))/1.1,IF(AND(W103="Pay-on-time off bill",X103="Exclusive"),Y103-(Y103*U103/100),IF(AND(W103="Pay-on-time off usage",X103="Exclusive"),Y103-(P103*V103/100),IF(X103="Inclusive",((Y103*1.1))/1.1,Y103)))))</f>
        <v>1282.7529272727272</v>
      </c>
      <c r="AA103" s="542">
        <f t="shared" ref="AA103:AB132" si="123">Y103*1.1</f>
        <v>1411.0282200000001</v>
      </c>
      <c r="AB103" s="542">
        <f t="shared" si="123"/>
        <v>1411.0282200000001</v>
      </c>
      <c r="AC103" s="274">
        <f>'Tariffs Jan2022'!AZ97</f>
        <v>0</v>
      </c>
      <c r="AD103" s="274" t="str">
        <f>'Tariffs Jan2022'!BA97</f>
        <v>n</v>
      </c>
      <c r="AE103" s="275" t="str">
        <f>'Tariffs Jan2022'!BJ97</f>
        <v>N</v>
      </c>
      <c r="AF103" s="577"/>
      <c r="AG103" s="577"/>
      <c r="AH103" s="577"/>
      <c r="AI103" s="577"/>
      <c r="AJ103" s="577"/>
      <c r="AK103" s="577"/>
      <c r="AL103" s="577"/>
      <c r="AM103" s="577"/>
      <c r="AN103" s="577"/>
      <c r="AO103" s="577"/>
      <c r="AP103" s="577"/>
      <c r="AQ103" s="577"/>
      <c r="AR103" s="577"/>
      <c r="AS103" s="577"/>
      <c r="AT103" s="577"/>
      <c r="AU103" s="577"/>
      <c r="AV103" s="577"/>
      <c r="AW103" s="577"/>
    </row>
    <row r="104" spans="1:49" ht="14" x14ac:dyDescent="0.15">
      <c r="A104" s="270" t="str">
        <f>'Tariffs Jan2022'!F98</f>
        <v>Covau</v>
      </c>
      <c r="B104" s="40" t="str">
        <f>'Tariffs Jan2022'!D98</f>
        <v>AusNet Services Central 2</v>
      </c>
      <c r="C104" s="40" t="str">
        <f>'Tariffs Jan2022'!G98</f>
        <v>Super Saver Plus</v>
      </c>
      <c r="D104" s="59">
        <f>365*'Tariffs Jan2022'!H98/100</f>
        <v>310.25</v>
      </c>
      <c r="E104" s="59">
        <f>IF($C$5*'Tariffs Jan2022'!AK98/'Tariffs Jan2022'!AI98&gt;='Tariffs Jan2022'!J98,( 'Tariffs Jan2022'!J98*'Tariffs Jan2022'!O98/100)* 'Tariffs Jan2022'!AI98,($C$5*'Tariffs Jan2022'!AK98/'Tariffs Jan2022'!AI98*'Tariffs Jan2022'!O98/100)* 'Tariffs Jan2022'!AI98)</f>
        <v>296.72727272727275</v>
      </c>
      <c r="F104" s="59">
        <f>IF($C$5*'Tariffs Jan2022'!AK98/'Tariffs Jan2022'!AI98&lt;'Tariffs Jan2022'!J98,0,IF($C$5*'Tariffs Jan2022'!AK98/'Tariffs Jan2022'!AI98&lt;='Tariffs Jan2022'!K98,($C$5*'Tariffs Jan2022'!AK98/'Tariffs Jan2022'!AI98-'Tariffs Jan2022'!J98)*('Tariffs Jan2022'!P98/100)*'Tariffs Jan2022'!AI98,('Tariffs Jan2022'!K98-'Tariffs Jan2022'!J98)*('Tariffs Jan2022'!P98/100)*'Tariffs Jan2022'!AI98))</f>
        <v>185.68393636363629</v>
      </c>
      <c r="G104" s="59">
        <f>IF($C$5*'Tariffs Jan2022'!AK98/'Tariffs Jan2022'!AI98&lt;'Tariffs Jan2022'!K98,0,IF($C$5*'Tariffs Jan2022'!AK98/'Tariffs Jan2022'!AI98&lt;='Tariffs Jan2022'!L98,($C$5*'Tariffs Jan2022'!AK98/'Tariffs Jan2022'!AI98-'Tariffs Jan2022'!K98)*('Tariffs Jan2022'!Q98/100)*'Tariffs Jan2022'!AI98,('Tariffs Jan2022'!L98-'Tariffs Jan2022'!K98)*('Tariffs Jan2022'!Q98/100)*'Tariffs Jan2022'!AI98))</f>
        <v>0</v>
      </c>
      <c r="H104" s="59">
        <f>IF($C$5*'Tariffs Jan2022'!AK98/'Tariffs Jan2022'!AI98&lt;'Tariffs Jan2022'!L98,0,IF($C$5*'Tariffs Jan2022'!AK98/'Tariffs Jan2022'!AI98&lt;='Tariffs Jan2022'!M98,($C$5*'Tariffs Jan2022'!AK98/'Tariffs Jan2022'!AI98-'Tariffs Jan2022'!L98)*('Tariffs Jan2022'!R98/100)*'Tariffs Jan2022'!AI98,('Tariffs Jan2022'!M98-'Tariffs Jan2022'!L98)*('Tariffs Jan2022'!R98/100)*'Tariffs Jan2022'!AI98))</f>
        <v>0</v>
      </c>
      <c r="I104" s="69">
        <f>IF(($C$5*'Tariffs Jan2022'!AK98/'Tariffs Jan2022'!AI98&gt;'Tariffs Jan2022'!M98),($C$5*'Tariffs Jan2022'!AK98/'Tariffs Jan2022'!AI98-'Tariffs Jan2022'!M98)*'Tariffs Jan2022'!S98/100*'Tariffs Jan2022'!AI98,0)</f>
        <v>0</v>
      </c>
      <c r="J104" s="69">
        <f>IF($C$5*'Tariffs Jan2022'!AL98/'Tariffs Jan2022'!AJ98&gt;='Tariffs Jan2022'!J98,('Tariffs Jan2022'!J98*'Tariffs Jan2022'!U98/100)* 'Tariffs Jan2022'!AJ98,($C$5*'Tariffs Jan2022'!AL98/'Tariffs Jan2022'!AJ98*'Tariffs Jan2022'!U98/100)* 'Tariffs Jan2022'!AJ98)</f>
        <v>412.36363636363632</v>
      </c>
      <c r="K104" s="69">
        <f>IF($C$5*'Tariffs Jan2022'!AL98/'Tariffs Jan2022'!AJ98&lt;'Tariffs Jan2022'!J98,0,IF($C$5*'Tariffs Jan2022'!AL98/'Tariffs Jan2022'!AJ98&lt;='Tariffs Jan2022'!K98,($C$5*'Tariffs Jan2022'!AL98/'Tariffs Jan2022'!AJ98-'Tariffs Jan2022'!J98)*('Tariffs Jan2022'!V98/100)*'Tariffs Jan2022'!AJ98,('Tariffs Jan2022'!K98-'Tariffs Jan2022'!J98)*('Tariffs Jan2022'!V98/100)*'Tariffs Jan2022'!AJ98))</f>
        <v>297.74869090909078</v>
      </c>
      <c r="L104" s="69">
        <f>IF($C$5*'Tariffs Jan2022'!AL98/'Tariffs Jan2022'!AJ98&lt;'Tariffs Jan2022'!K98,0,IF($C$5*'Tariffs Jan2022'!AL98/'Tariffs Jan2022'!AJ98&lt;='Tariffs Jan2022'!L98,($C$5*'Tariffs Jan2022'!AL98/'Tariffs Jan2022'!AJ98-'Tariffs Jan2022'!K98)*('Tariffs Jan2022'!W98/100)*'Tariffs Jan2022'!AJ98,('Tariffs Jan2022'!L98-'Tariffs Jan2022'!K98)*('Tariffs Jan2022'!W98/100)*'Tariffs Jan2022'!AJ98))</f>
        <v>0</v>
      </c>
      <c r="M104" s="69">
        <f>IF($C$5*'Tariffs Jan2022'!AL98/'Tariffs Jan2022'!AJ98&lt;'Tariffs Jan2022'!L98,0,IF($C$5*'Tariffs Jan2022'!AL98/'Tariffs Jan2022'!AJ98&lt;='Tariffs Jan2022'!M98,($C$5*'Tariffs Jan2022'!AL98/'Tariffs Jan2022'!AJ98-'Tariffs Jan2022'!L98)*('Tariffs Jan2022'!X98/100)*'Tariffs Jan2022'!AJ98,('Tariffs Jan2022'!M98-'Tariffs Jan2022'!L98)*('Tariffs Jan2022'!X98/100)*'Tariffs Jan2022'!AJ98))</f>
        <v>0</v>
      </c>
      <c r="N104" s="69">
        <f>IF(($C$5*'Tariffs Jan2022'!AL98/'Tariffs Jan2022'!AJ98&gt;'Tariffs Jan2022'!M98),($C$5*'Tariffs Jan2022'!AL98/'Tariffs Jan2022'!AJ98-'Tariffs Jan2022'!M98)*'Tariffs Jan2022'!Y98/100*'Tariffs Jan2022'!AJ98,0)</f>
        <v>0</v>
      </c>
      <c r="O104" s="59">
        <f>SUM(E104:N104)</f>
        <v>1192.5235363636361</v>
      </c>
      <c r="P104" s="503">
        <f t="shared" si="92"/>
        <v>1311.7758899999999</v>
      </c>
      <c r="Q104" s="59">
        <f>D104+O104</f>
        <v>1502.7735363636361</v>
      </c>
      <c r="R104" s="272">
        <f>Q104*1.1</f>
        <v>1653.05089</v>
      </c>
      <c r="S104" s="40">
        <f>'Tariffs Jan2022'!AN98</f>
        <v>0</v>
      </c>
      <c r="T104" s="40">
        <f>'Tariffs Jan2022'!AO98</f>
        <v>20</v>
      </c>
      <c r="U104" s="40">
        <f>'Tariffs Jan2022'!AP98</f>
        <v>0</v>
      </c>
      <c r="V104" s="40">
        <f>'Tariffs Jan2022'!AQ98</f>
        <v>0</v>
      </c>
      <c r="W104" s="537" t="str">
        <f t="shared" si="121"/>
        <v>Guaranteed off usage</v>
      </c>
      <c r="X104" s="538" t="str">
        <f t="shared" si="122"/>
        <v>Exclusive</v>
      </c>
      <c r="Y104" s="534">
        <f t="shared" ref="Y104" si="124">IF(AND(W104="Guaranteed off bill",X104="Inclusive"),((Q104*1.1)-((Q104*1.1)*S104/100))/1.1,IF(AND(W104="Guaranteed off usage",X104="Inclusive"),((Q104*1.1)-((P104*1.1)*T104/100))/1.1,IF(AND(W104="Guaranteed off bill",X104="Exclusive"),Q104-(Q104*S104/100),IF(AND(W104="Guaranteed off usage",X104="Exclusive"),Q104-(P104*T104/100),IF(X104="Inclusive",((Q104*1.1))/1.1,Q104)))))</f>
        <v>1240.4183583636361</v>
      </c>
      <c r="Z104" s="535">
        <f t="shared" ref="Z104" si="125">IF(AND(W104="Pay-on-time off bill",X104="Inclusive"),((Y104*1.1)-((Y104*1.1)*U104/100))/1.1,IF(AND(W104="Pay-on-time off usage",X104="Inclusive"),((Y104*1.1)-((P104*1.1)*V104/100))/1.1,IF(AND(W104="Pay-on-time off bill",X104="Exclusive"),Y104-(Y104*U104/100),IF(AND(W104="Pay-on-time off usage",X104="Exclusive"),Y104-(P104*V104/100),IF(X104="Inclusive",((Y104*1.1))/1.1,Y104)))))</f>
        <v>1240.4183583636361</v>
      </c>
      <c r="AA104" s="542">
        <f t="shared" si="123"/>
        <v>1364.4601941999999</v>
      </c>
      <c r="AB104" s="542">
        <f t="shared" si="123"/>
        <v>1364.4601941999999</v>
      </c>
      <c r="AC104" s="274">
        <f>'Tariffs Jan2022'!AZ98</f>
        <v>0</v>
      </c>
      <c r="AD104" s="274" t="str">
        <f>'Tariffs Jan2022'!BA98</f>
        <v>n</v>
      </c>
      <c r="AE104" s="275" t="str">
        <f>'Tariffs Jan2022'!BJ98</f>
        <v>N</v>
      </c>
      <c r="AF104" s="577"/>
      <c r="AG104" s="577"/>
      <c r="AH104" s="577"/>
      <c r="AI104" s="577"/>
      <c r="AJ104" s="577"/>
      <c r="AK104" s="577"/>
      <c r="AL104" s="577"/>
      <c r="AM104" s="577"/>
      <c r="AN104" s="577"/>
      <c r="AO104" s="577"/>
      <c r="AP104" s="577"/>
      <c r="AQ104" s="577"/>
      <c r="AR104" s="577"/>
      <c r="AS104" s="577"/>
      <c r="AT104" s="577"/>
      <c r="AU104" s="577"/>
      <c r="AV104" s="577"/>
      <c r="AW104" s="577"/>
    </row>
    <row r="105" spans="1:49" ht="14" x14ac:dyDescent="0.15">
      <c r="A105" s="270" t="str">
        <f>'Tariffs Jan2022'!F99</f>
        <v>Dodo Power &amp; Gas</v>
      </c>
      <c r="B105" s="40" t="str">
        <f>'Tariffs Jan2022'!D99</f>
        <v>AusNet Services Central 2</v>
      </c>
      <c r="C105" s="40" t="str">
        <f>'Tariffs Jan2022'!G99</f>
        <v>Market offer</v>
      </c>
      <c r="D105" s="59">
        <f>365*'Tariffs Jan2022'!H99/100</f>
        <v>288.54909090909086</v>
      </c>
      <c r="E105" s="59">
        <f>IF($C$5*'Tariffs Jan2022'!AK99/'Tariffs Jan2022'!AI99&gt;='Tariffs Jan2022'!J99,( 'Tariffs Jan2022'!J99*'Tariffs Jan2022'!O99/100)* 'Tariffs Jan2022'!AI99,($C$5*'Tariffs Jan2022'!AK99/'Tariffs Jan2022'!AI99*'Tariffs Jan2022'!O99/100)* 'Tariffs Jan2022'!AI99)</f>
        <v>254.18181818181816</v>
      </c>
      <c r="F105" s="59">
        <f>IF($C$5*'Tariffs Jan2022'!AK99/'Tariffs Jan2022'!AI99&lt;'Tariffs Jan2022'!J99,0,IF($C$5*'Tariffs Jan2022'!AK99/'Tariffs Jan2022'!AI99&lt;='Tariffs Jan2022'!K99,($C$5*'Tariffs Jan2022'!AK99/'Tariffs Jan2022'!AI99-'Tariffs Jan2022'!J99)*('Tariffs Jan2022'!P99/100)*'Tariffs Jan2022'!AI99,('Tariffs Jan2022'!K99-'Tariffs Jan2022'!J99)*('Tariffs Jan2022'!P99/100)*'Tariffs Jan2022'!AI99))</f>
        <v>168.50612727272721</v>
      </c>
      <c r="G105" s="59">
        <f>IF($C$5*'Tariffs Jan2022'!AK99/'Tariffs Jan2022'!AI99&lt;'Tariffs Jan2022'!K99,0,IF($C$5*'Tariffs Jan2022'!AK99/'Tariffs Jan2022'!AI99&lt;='Tariffs Jan2022'!L99,($C$5*'Tariffs Jan2022'!AK99/'Tariffs Jan2022'!AI99-'Tariffs Jan2022'!K99)*('Tariffs Jan2022'!Q99/100)*'Tariffs Jan2022'!AI99,('Tariffs Jan2022'!L99-'Tariffs Jan2022'!K99)*('Tariffs Jan2022'!Q99/100)*'Tariffs Jan2022'!AI99))</f>
        <v>0</v>
      </c>
      <c r="H105" s="59">
        <f>IF($C$5*'Tariffs Jan2022'!AK99/'Tariffs Jan2022'!AI99&lt;'Tariffs Jan2022'!L99,0,IF($C$5*'Tariffs Jan2022'!AK99/'Tariffs Jan2022'!AI99&lt;='Tariffs Jan2022'!M99,($C$5*'Tariffs Jan2022'!AK99/'Tariffs Jan2022'!AI99-'Tariffs Jan2022'!L99)*('Tariffs Jan2022'!R99/100)*'Tariffs Jan2022'!AI99,('Tariffs Jan2022'!M99-'Tariffs Jan2022'!L99)*('Tariffs Jan2022'!R99/100)*'Tariffs Jan2022'!AI99))</f>
        <v>0</v>
      </c>
      <c r="I105" s="69">
        <f>IF(($C$5*'Tariffs Jan2022'!AK99/'Tariffs Jan2022'!AI99&gt;'Tariffs Jan2022'!M99),($C$5*'Tariffs Jan2022'!AK99/'Tariffs Jan2022'!AI99-'Tariffs Jan2022'!M99)*'Tariffs Jan2022'!S99/100*'Tariffs Jan2022'!AI99,0)</f>
        <v>0</v>
      </c>
      <c r="J105" s="69">
        <f>IF($C$5*'Tariffs Jan2022'!AL99/'Tariffs Jan2022'!AJ99&gt;='Tariffs Jan2022'!J99,('Tariffs Jan2022'!J99*'Tariffs Jan2022'!U99/100)* 'Tariffs Jan2022'!AJ99,($C$5*'Tariffs Jan2022'!AL99/'Tariffs Jan2022'!AJ99*'Tariffs Jan2022'!U99/100)* 'Tariffs Jan2022'!AJ99)</f>
        <v>408</v>
      </c>
      <c r="K105" s="69">
        <f>IF($C$5*'Tariffs Jan2022'!AL99/'Tariffs Jan2022'!AJ99&lt;'Tariffs Jan2022'!J99,0,IF($C$5*'Tariffs Jan2022'!AL99/'Tariffs Jan2022'!AJ99&lt;='Tariffs Jan2022'!K99,($C$5*'Tariffs Jan2022'!AL99/'Tariffs Jan2022'!AJ99-'Tariffs Jan2022'!J99)*('Tariffs Jan2022'!V99/100)*'Tariffs Jan2022'!AJ99,('Tariffs Jan2022'!K99-'Tariffs Jan2022'!J99)*('Tariffs Jan2022'!V99/100)*'Tariffs Jan2022'!AJ99))</f>
        <v>297.74869090909078</v>
      </c>
      <c r="L105" s="69">
        <f>IF($C$5*'Tariffs Jan2022'!AL99/'Tariffs Jan2022'!AJ99&lt;'Tariffs Jan2022'!K99,0,IF($C$5*'Tariffs Jan2022'!AL99/'Tariffs Jan2022'!AJ99&lt;='Tariffs Jan2022'!L99,($C$5*'Tariffs Jan2022'!AL99/'Tariffs Jan2022'!AJ99-'Tariffs Jan2022'!K99)*('Tariffs Jan2022'!W99/100)*'Tariffs Jan2022'!AJ99,('Tariffs Jan2022'!L99-'Tariffs Jan2022'!K99)*('Tariffs Jan2022'!W99/100)*'Tariffs Jan2022'!AJ99))</f>
        <v>0</v>
      </c>
      <c r="M105" s="69">
        <f>IF($C$5*'Tariffs Jan2022'!AL99/'Tariffs Jan2022'!AJ99&lt;'Tariffs Jan2022'!L99,0,IF($C$5*'Tariffs Jan2022'!AL99/'Tariffs Jan2022'!AJ99&lt;='Tariffs Jan2022'!M99,($C$5*'Tariffs Jan2022'!AL99/'Tariffs Jan2022'!AJ99-'Tariffs Jan2022'!L99)*('Tariffs Jan2022'!X99/100)*'Tariffs Jan2022'!AJ99,('Tariffs Jan2022'!M99-'Tariffs Jan2022'!L99)*('Tariffs Jan2022'!X99/100)*'Tariffs Jan2022'!AJ99))</f>
        <v>0</v>
      </c>
      <c r="N105" s="69">
        <f>IF(($C$5*'Tariffs Jan2022'!AL99/'Tariffs Jan2022'!AJ99&gt;'Tariffs Jan2022'!M99),($C$5*'Tariffs Jan2022'!AL99/'Tariffs Jan2022'!AJ99-'Tariffs Jan2022'!M99)*'Tariffs Jan2022'!Y99/100*'Tariffs Jan2022'!AJ99,0)</f>
        <v>0</v>
      </c>
      <c r="O105" s="59">
        <f t="shared" si="105"/>
        <v>1128.4366363636361</v>
      </c>
      <c r="P105" s="503">
        <f t="shared" si="92"/>
        <v>1241.2802999999999</v>
      </c>
      <c r="Q105" s="59">
        <f t="shared" si="106"/>
        <v>1416.985727272727</v>
      </c>
      <c r="R105" s="272">
        <f t="shared" si="107"/>
        <v>1558.6842999999999</v>
      </c>
      <c r="S105" s="40">
        <f>'Tariffs Jan2022'!AN99</f>
        <v>0</v>
      </c>
      <c r="T105" s="40">
        <f>'Tariffs Jan2022'!AO99</f>
        <v>0</v>
      </c>
      <c r="U105" s="40">
        <f>'Tariffs Jan2022'!AP99</f>
        <v>0</v>
      </c>
      <c r="V105" s="40">
        <f>'Tariffs Jan2022'!AQ99</f>
        <v>0</v>
      </c>
      <c r="W105" s="537" t="str">
        <f t="shared" si="121"/>
        <v>No discount</v>
      </c>
      <c r="X105" s="538" t="str">
        <f t="shared" si="122"/>
        <v>Exclusive</v>
      </c>
      <c r="Y105" s="534">
        <f>IF(AND(W105="Guaranteed off bill",X105="Inclusive"),((Q105*1.1)-((Q105*1.1)*S105/100))/1.1,IF(AND(W105="Guaranteed off usage",X105="Inclusive"),((Q105*1.1)-((P105*1.1)*T105/100))/1.1,IF(AND(W105="Guaranteed off bill",X105="Exclusive"),Q105-(Q105*S105/100),IF(AND(W105="Guaranteed off usage",X105="Exclusive"),Q105-(P105*T105/100),IF(X105="Inclusive",((Q105*1.1))/1.1,Q105)))))</f>
        <v>1416.985727272727</v>
      </c>
      <c r="Z105" s="535">
        <f>IF(AND(W105="Pay-on-time off bill",X105="Inclusive"),((Y105*1.1)-((Y105*1.1)*U105/100))/1.1,IF(AND(W105="Pay-on-time off usage",X105="Inclusive"),((Y105*1.1)-((P105*1.1)*V105/100))/1.1,IF(AND(W105="Pay-on-time off bill",X105="Exclusive"),Y105-(Y105*U105/100),IF(AND(W105="Pay-on-time off usage",X105="Exclusive"),Y105-(P105*V105/100),IF(X105="Inclusive",((Y105*1.1))/1.1,Y105)))))</f>
        <v>1416.985727272727</v>
      </c>
      <c r="AA105" s="542">
        <f t="shared" si="123"/>
        <v>1558.6842999999999</v>
      </c>
      <c r="AB105" s="542">
        <f t="shared" si="123"/>
        <v>1558.6842999999999</v>
      </c>
      <c r="AC105" s="274">
        <f>'Tariffs Jan2022'!AZ99</f>
        <v>0</v>
      </c>
      <c r="AD105" s="274" t="str">
        <f>'Tariffs Jan2022'!BA99</f>
        <v>n</v>
      </c>
      <c r="AE105" s="275" t="str">
        <f>'Tariffs Jan2022'!BJ99</f>
        <v>N</v>
      </c>
      <c r="AF105" s="577"/>
      <c r="AG105" s="577"/>
      <c r="AH105" s="577"/>
      <c r="AI105" s="577"/>
      <c r="AJ105" s="577"/>
      <c r="AK105" s="577"/>
      <c r="AL105" s="577"/>
      <c r="AM105" s="577"/>
      <c r="AN105" s="577"/>
      <c r="AO105" s="577"/>
      <c r="AP105" s="577"/>
      <c r="AQ105" s="577"/>
      <c r="AR105" s="577"/>
      <c r="AS105" s="577"/>
      <c r="AT105" s="577"/>
      <c r="AU105" s="577"/>
      <c r="AV105" s="577"/>
      <c r="AW105" s="577"/>
    </row>
    <row r="106" spans="1:49" ht="14" x14ac:dyDescent="0.15">
      <c r="A106" s="270" t="str">
        <f>'Tariffs Jan2022'!F100</f>
        <v>EnergyAustralia</v>
      </c>
      <c r="B106" s="40" t="str">
        <f>'Tariffs Jan2022'!D100</f>
        <v>AusNet Services Central 2</v>
      </c>
      <c r="C106" s="40" t="str">
        <f>'Tariffs Jan2022'!G100</f>
        <v>Total Plan</v>
      </c>
      <c r="D106" s="59">
        <f>365*'Tariffs Jan2022'!H100/100</f>
        <v>378.50499999999994</v>
      </c>
      <c r="E106" s="59">
        <f>IF($C$5*'Tariffs Jan2022'!AK100/'Tariffs Jan2022'!AI100&gt;='Tariffs Jan2022'!J100,( 'Tariffs Jan2022'!J100*'Tariffs Jan2022'!O100/100)* 'Tariffs Jan2022'!AI100,($C$5*'Tariffs Jan2022'!AK100/'Tariffs Jan2022'!AI100*'Tariffs Jan2022'!O100/100)* 'Tariffs Jan2022'!AI100)</f>
        <v>355.63636363636363</v>
      </c>
      <c r="F106" s="59">
        <f>IF($C$5*'Tariffs Jan2022'!AK100/'Tariffs Jan2022'!AI100&lt;'Tariffs Jan2022'!J100,0,IF($C$5*'Tariffs Jan2022'!AK100/'Tariffs Jan2022'!AI100&lt;='Tariffs Jan2022'!K100,($C$5*'Tariffs Jan2022'!AK100/'Tariffs Jan2022'!AI100-'Tariffs Jan2022'!J100)*('Tariffs Jan2022'!P100/100)*'Tariffs Jan2022'!AI100,('Tariffs Jan2022'!K100-'Tariffs Jan2022'!J100)*('Tariffs Jan2022'!P100/100)*'Tariffs Jan2022'!AI100))</f>
        <v>224.94749999999996</v>
      </c>
      <c r="G106" s="59">
        <f>IF($C$5*'Tariffs Jan2022'!AK100/'Tariffs Jan2022'!AI100&lt;'Tariffs Jan2022'!K100,0,IF($C$5*'Tariffs Jan2022'!AK100/'Tariffs Jan2022'!AI100&lt;='Tariffs Jan2022'!L100,($C$5*'Tariffs Jan2022'!AK100/'Tariffs Jan2022'!AI100-'Tariffs Jan2022'!K100)*('Tariffs Jan2022'!Q100/100)*'Tariffs Jan2022'!AI100,('Tariffs Jan2022'!L100-'Tariffs Jan2022'!K100)*('Tariffs Jan2022'!Q100/100)*'Tariffs Jan2022'!AI100))</f>
        <v>0</v>
      </c>
      <c r="H106" s="59">
        <f>IF($C$5*'Tariffs Jan2022'!AK100/'Tariffs Jan2022'!AI100&lt;'Tariffs Jan2022'!L100,0,IF($C$5*'Tariffs Jan2022'!AK100/'Tariffs Jan2022'!AI100&lt;='Tariffs Jan2022'!M100,($C$5*'Tariffs Jan2022'!AK100/'Tariffs Jan2022'!AI100-'Tariffs Jan2022'!L100)*('Tariffs Jan2022'!R100/100)*'Tariffs Jan2022'!AI100,('Tariffs Jan2022'!M100-'Tariffs Jan2022'!L100)*('Tariffs Jan2022'!R100/100)*'Tariffs Jan2022'!AI100))</f>
        <v>0</v>
      </c>
      <c r="I106" s="69">
        <f>IF(($C$5*'Tariffs Jan2022'!AK100/'Tariffs Jan2022'!AI100&gt;'Tariffs Jan2022'!M100),($C$5*'Tariffs Jan2022'!AK100/'Tariffs Jan2022'!AI100-'Tariffs Jan2022'!M100)*'Tariffs Jan2022'!S100/100*'Tariffs Jan2022'!AI100,0)</f>
        <v>0</v>
      </c>
      <c r="J106" s="69">
        <f>IF($C$5*'Tariffs Jan2022'!AL100/'Tariffs Jan2022'!AJ100&gt;='Tariffs Jan2022'!J100,('Tariffs Jan2022'!J100*'Tariffs Jan2022'!U100/100)* 'Tariffs Jan2022'!AJ100,($C$5*'Tariffs Jan2022'!AL100/'Tariffs Jan2022'!AJ100*'Tariffs Jan2022'!U100/100)* 'Tariffs Jan2022'!AJ100)</f>
        <v>551.99999999999989</v>
      </c>
      <c r="K106" s="69">
        <f>IF($C$5*'Tariffs Jan2022'!AL100/'Tariffs Jan2022'!AJ100&lt;'Tariffs Jan2022'!J100,0,IF($C$5*'Tariffs Jan2022'!AL100/'Tariffs Jan2022'!AJ100&lt;='Tariffs Jan2022'!K100,($C$5*'Tariffs Jan2022'!AL100/'Tariffs Jan2022'!AJ100-'Tariffs Jan2022'!J100)*('Tariffs Jan2022'!V100/100)*'Tariffs Jan2022'!AJ100,('Tariffs Jan2022'!K100-'Tariffs Jan2022'!J100)*('Tariffs Jan2022'!V100/100)*'Tariffs Jan2022'!AJ100))</f>
        <v>392.63563636363625</v>
      </c>
      <c r="L106" s="69">
        <f>IF($C$5*'Tariffs Jan2022'!AL100/'Tariffs Jan2022'!AJ100&lt;'Tariffs Jan2022'!K100,0,IF($C$5*'Tariffs Jan2022'!AL100/'Tariffs Jan2022'!AJ100&lt;='Tariffs Jan2022'!L100,($C$5*'Tariffs Jan2022'!AL100/'Tariffs Jan2022'!AJ100-'Tariffs Jan2022'!K100)*('Tariffs Jan2022'!W100/100)*'Tariffs Jan2022'!AJ100,('Tariffs Jan2022'!L100-'Tariffs Jan2022'!K100)*('Tariffs Jan2022'!W100/100)*'Tariffs Jan2022'!AJ100))</f>
        <v>0</v>
      </c>
      <c r="M106" s="69">
        <f>IF($C$5*'Tariffs Jan2022'!AL100/'Tariffs Jan2022'!AJ100&lt;'Tariffs Jan2022'!L100,0,IF($C$5*'Tariffs Jan2022'!AL100/'Tariffs Jan2022'!AJ100&lt;='Tariffs Jan2022'!M100,($C$5*'Tariffs Jan2022'!AL100/'Tariffs Jan2022'!AJ100-'Tariffs Jan2022'!L100)*('Tariffs Jan2022'!X100/100)*'Tariffs Jan2022'!AJ100,('Tariffs Jan2022'!M100-'Tariffs Jan2022'!L100)*('Tariffs Jan2022'!X100/100)*'Tariffs Jan2022'!AJ100))</f>
        <v>0</v>
      </c>
      <c r="N106" s="69">
        <f>IF(($C$5*'Tariffs Jan2022'!AL100/'Tariffs Jan2022'!AJ100&gt;'Tariffs Jan2022'!M100),($C$5*'Tariffs Jan2022'!AL100/'Tariffs Jan2022'!AJ100-'Tariffs Jan2022'!M100)*'Tariffs Jan2022'!Y100/100*'Tariffs Jan2022'!AJ100,0)</f>
        <v>0</v>
      </c>
      <c r="O106" s="59">
        <f t="shared" si="105"/>
        <v>1525.2194999999997</v>
      </c>
      <c r="P106" s="503">
        <f t="shared" si="92"/>
        <v>1677.7414499999998</v>
      </c>
      <c r="Q106" s="59">
        <f t="shared" si="106"/>
        <v>1903.7244999999996</v>
      </c>
      <c r="R106" s="272">
        <f t="shared" si="107"/>
        <v>2094.0969499999997</v>
      </c>
      <c r="S106" s="40">
        <f>'Tariffs Jan2022'!AN100</f>
        <v>24</v>
      </c>
      <c r="T106" s="40">
        <f>'Tariffs Jan2022'!AO100</f>
        <v>0</v>
      </c>
      <c r="U106" s="40">
        <f>'Tariffs Jan2022'!AP100</f>
        <v>0</v>
      </c>
      <c r="V106" s="40">
        <f>'Tariffs Jan2022'!AQ100</f>
        <v>0</v>
      </c>
      <c r="W106" s="537" t="str">
        <f t="shared" si="121"/>
        <v>Guaranteed off bill</v>
      </c>
      <c r="X106" s="538" t="str">
        <f t="shared" si="122"/>
        <v>Exclusive</v>
      </c>
      <c r="Y106" s="534">
        <f t="shared" ref="Y106" si="126">IF(AND(W106="Guaranteed off bill",X106="Inclusive"),((Q106*1.1)-((Q106*1.1)*S106/100))/1.1,IF(AND(W106="Guaranteed off usage",X106="Inclusive"),((Q106*1.1)-((P106*1.1)*T106/100))/1.1,IF(AND(W106="Guaranteed off bill",X106="Exclusive"),Q106-(Q106*S106/100),IF(AND(W106="Guaranteed off usage",X106="Exclusive"),Q106-(P106*T106/100),IF(X106="Inclusive",((Q106*1.1))/1.1,Q106)))))</f>
        <v>1446.8306199999997</v>
      </c>
      <c r="Z106" s="535">
        <f t="shared" ref="Z106" si="127">IF(AND(W106="Pay-on-time off bill",X106="Inclusive"),((Y106*1.1)-((Y106*1.1)*U106/100))/1.1,IF(AND(W106="Pay-on-time off usage",X106="Inclusive"),((Y106*1.1)-((P106*1.1)*V106/100))/1.1,IF(AND(W106="Pay-on-time off bill",X106="Exclusive"),Y106-(Y106*U106/100),IF(AND(W106="Pay-on-time off usage",X106="Exclusive"),Y106-(P106*V106/100),IF(X106="Inclusive",((Y106*1.1))/1.1,Y106)))))</f>
        <v>1446.8306199999997</v>
      </c>
      <c r="AA106" s="542">
        <f t="shared" si="123"/>
        <v>1591.5136819999998</v>
      </c>
      <c r="AB106" s="542">
        <f t="shared" si="123"/>
        <v>1591.5136819999998</v>
      </c>
      <c r="AC106" s="274">
        <f>'Tariffs Jan2022'!AZ100</f>
        <v>12</v>
      </c>
      <c r="AD106" s="274" t="str">
        <f>'Tariffs Jan2022'!BA100</f>
        <v>n</v>
      </c>
      <c r="AE106" s="275" t="str">
        <f>'Tariffs Jan2022'!BJ100</f>
        <v>N</v>
      </c>
      <c r="AF106" s="577"/>
      <c r="AG106" s="577"/>
      <c r="AH106" s="577"/>
      <c r="AI106" s="577"/>
      <c r="AJ106" s="577"/>
      <c r="AK106" s="577"/>
      <c r="AL106" s="577"/>
      <c r="AM106" s="577"/>
      <c r="AN106" s="577"/>
      <c r="AO106" s="577"/>
      <c r="AP106" s="577"/>
      <c r="AQ106" s="577"/>
      <c r="AR106" s="577"/>
      <c r="AS106" s="577"/>
      <c r="AT106" s="577"/>
      <c r="AU106" s="577"/>
      <c r="AV106" s="577"/>
      <c r="AW106" s="577"/>
    </row>
    <row r="107" spans="1:49" ht="14" x14ac:dyDescent="0.15">
      <c r="A107" s="270" t="str">
        <f>'Tariffs Jan2022'!F101</f>
        <v>Lumo Energy</v>
      </c>
      <c r="B107" s="40" t="str">
        <f>'Tariffs Jan2022'!D101</f>
        <v>AusNet Services Central 2</v>
      </c>
      <c r="C107" s="40" t="str">
        <f>'Tariffs Jan2022'!G101</f>
        <v>Value</v>
      </c>
      <c r="D107" s="59">
        <f>365*'Tariffs Jan2022'!H101/100</f>
        <v>286.89</v>
      </c>
      <c r="E107" s="59">
        <f>IF($C$5*'Tariffs Jan2022'!AK101/'Tariffs Jan2022'!AI101&gt;='Tariffs Jan2022'!J101,( 'Tariffs Jan2022'!J101*'Tariffs Jan2022'!O101/100)* 'Tariffs Jan2022'!AI101,($C$5*'Tariffs Jan2022'!AK101/'Tariffs Jan2022'!AI101*'Tariffs Jan2022'!O101/100)* 'Tariffs Jan2022'!AI101)</f>
        <v>236.72727272727269</v>
      </c>
      <c r="F107" s="59">
        <f>IF($C$5*'Tariffs Jan2022'!AK101/'Tariffs Jan2022'!AI101&lt;'Tariffs Jan2022'!J101,0,IF($C$5*'Tariffs Jan2022'!AK101/'Tariffs Jan2022'!AI101&lt;='Tariffs Jan2022'!K101,($C$5*'Tariffs Jan2022'!AK101/'Tariffs Jan2022'!AI101-'Tariffs Jan2022'!J101)*('Tariffs Jan2022'!P101/100)*'Tariffs Jan2022'!AI101,('Tariffs Jan2022'!K101-'Tariffs Jan2022'!J101)*('Tariffs Jan2022'!P101/100)*'Tariffs Jan2022'!AI101))</f>
        <v>172.59608181818174</v>
      </c>
      <c r="G107" s="59">
        <f>IF($C$5*'Tariffs Jan2022'!AK101/'Tariffs Jan2022'!AI101&lt;'Tariffs Jan2022'!K101,0,IF($C$5*'Tariffs Jan2022'!AK101/'Tariffs Jan2022'!AI101&lt;='Tariffs Jan2022'!L101,($C$5*'Tariffs Jan2022'!AK101/'Tariffs Jan2022'!AI101-'Tariffs Jan2022'!K101)*('Tariffs Jan2022'!Q101/100)*'Tariffs Jan2022'!AI101,('Tariffs Jan2022'!L101-'Tariffs Jan2022'!K101)*('Tariffs Jan2022'!Q101/100)*'Tariffs Jan2022'!AI101))</f>
        <v>0</v>
      </c>
      <c r="H107" s="59">
        <f>IF($C$5*'Tariffs Jan2022'!AK101/'Tariffs Jan2022'!AI101&lt;'Tariffs Jan2022'!L101,0,IF($C$5*'Tariffs Jan2022'!AK101/'Tariffs Jan2022'!AI101&lt;='Tariffs Jan2022'!M101,($C$5*'Tariffs Jan2022'!AK101/'Tariffs Jan2022'!AI101-'Tariffs Jan2022'!L101)*('Tariffs Jan2022'!R101/100)*'Tariffs Jan2022'!AI101,('Tariffs Jan2022'!M101-'Tariffs Jan2022'!L101)*('Tariffs Jan2022'!R101/100)*'Tariffs Jan2022'!AI101))</f>
        <v>0</v>
      </c>
      <c r="I107" s="69">
        <f>IF(($C$5*'Tariffs Jan2022'!AK101/'Tariffs Jan2022'!AI101&gt;'Tariffs Jan2022'!M101),($C$5*'Tariffs Jan2022'!AK101/'Tariffs Jan2022'!AI101-'Tariffs Jan2022'!M101)*'Tariffs Jan2022'!S101/100*'Tariffs Jan2022'!AI101,0)</f>
        <v>0</v>
      </c>
      <c r="J107" s="69">
        <f>IF($C$5*'Tariffs Jan2022'!AL101/'Tariffs Jan2022'!AJ101&gt;='Tariffs Jan2022'!J101,('Tariffs Jan2022'!J101*'Tariffs Jan2022'!U101/100)* 'Tariffs Jan2022'!AJ101,($C$5*'Tariffs Jan2022'!AL101/'Tariffs Jan2022'!AJ101*'Tariffs Jan2022'!U101/100)* 'Tariffs Jan2022'!AJ101)</f>
        <v>403.63636363636363</v>
      </c>
      <c r="K107" s="69">
        <f>IF($C$5*'Tariffs Jan2022'!AL101/'Tariffs Jan2022'!AJ101&lt;'Tariffs Jan2022'!J101,0,IF($C$5*'Tariffs Jan2022'!AL101/'Tariffs Jan2022'!AJ101&lt;='Tariffs Jan2022'!K101,($C$5*'Tariffs Jan2022'!AL101/'Tariffs Jan2022'!AJ101-'Tariffs Jan2022'!J101)*('Tariffs Jan2022'!V101/100)*'Tariffs Jan2022'!AJ101,('Tariffs Jan2022'!K101-'Tariffs Jan2022'!J101)*('Tariffs Jan2022'!V101/100)*'Tariffs Jan2022'!AJ101))</f>
        <v>299.38467272727269</v>
      </c>
      <c r="L107" s="69">
        <f>IF($C$5*'Tariffs Jan2022'!AL101/'Tariffs Jan2022'!AJ101&lt;'Tariffs Jan2022'!K101,0,IF($C$5*'Tariffs Jan2022'!AL101/'Tariffs Jan2022'!AJ101&lt;='Tariffs Jan2022'!L101,($C$5*'Tariffs Jan2022'!AL101/'Tariffs Jan2022'!AJ101-'Tariffs Jan2022'!K101)*('Tariffs Jan2022'!W101/100)*'Tariffs Jan2022'!AJ101,('Tariffs Jan2022'!L101-'Tariffs Jan2022'!K101)*('Tariffs Jan2022'!W101/100)*'Tariffs Jan2022'!AJ101))</f>
        <v>0</v>
      </c>
      <c r="M107" s="69">
        <f>IF($C$5*'Tariffs Jan2022'!AL101/'Tariffs Jan2022'!AJ101&lt;'Tariffs Jan2022'!L101,0,IF($C$5*'Tariffs Jan2022'!AL101/'Tariffs Jan2022'!AJ101&lt;='Tariffs Jan2022'!M101,($C$5*'Tariffs Jan2022'!AL101/'Tariffs Jan2022'!AJ101-'Tariffs Jan2022'!L101)*('Tariffs Jan2022'!X101/100)*'Tariffs Jan2022'!AJ101,('Tariffs Jan2022'!M101-'Tariffs Jan2022'!L101)*('Tariffs Jan2022'!X101/100)*'Tariffs Jan2022'!AJ101))</f>
        <v>0</v>
      </c>
      <c r="N107" s="69">
        <f>IF(($C$5*'Tariffs Jan2022'!AL101/'Tariffs Jan2022'!AJ101&gt;'Tariffs Jan2022'!M101),($C$5*'Tariffs Jan2022'!AL101/'Tariffs Jan2022'!AJ101-'Tariffs Jan2022'!M101)*'Tariffs Jan2022'!Y101/100*'Tariffs Jan2022'!AJ101,0)</f>
        <v>0</v>
      </c>
      <c r="O107" s="59">
        <f t="shared" si="105"/>
        <v>1112.3443909090906</v>
      </c>
      <c r="P107" s="503">
        <f t="shared" si="92"/>
        <v>1223.5788299999997</v>
      </c>
      <c r="Q107" s="59">
        <f t="shared" si="106"/>
        <v>1399.2343909090905</v>
      </c>
      <c r="R107" s="272">
        <f t="shared" si="107"/>
        <v>1539.1578299999996</v>
      </c>
      <c r="S107" s="40">
        <f>'Tariffs Jan2022'!AN101</f>
        <v>0</v>
      </c>
      <c r="T107" s="40">
        <f>'Tariffs Jan2022'!AO101</f>
        <v>0</v>
      </c>
      <c r="U107" s="40">
        <f>'Tariffs Jan2022'!AP101</f>
        <v>0</v>
      </c>
      <c r="V107" s="40">
        <f>'Tariffs Jan2022'!AQ101</f>
        <v>0</v>
      </c>
      <c r="W107" s="537" t="str">
        <f t="shared" si="121"/>
        <v>No discount</v>
      </c>
      <c r="X107" s="538" t="str">
        <f t="shared" si="122"/>
        <v>Exclusive</v>
      </c>
      <c r="Y107" s="534">
        <f>IF(AND(W107="Guaranteed off bill",X107="Inclusive"),((Q107*1.1)-((Q107*1.1)*S107/100))/1.1,IF(AND(W107="Guaranteed off usage",X107="Inclusive"),((Q107*1.1)-((P107*1.1)*T107/100))/1.1,IF(AND(W107="Guaranteed off bill",X107="Exclusive"),Q107-(Q107*S107/100),IF(AND(W107="Guaranteed off usage",X107="Exclusive"),Q107-(P107*T107/100),IF(X107="Inclusive",((Q107*1.1))/1.1,Q107)))))</f>
        <v>1399.2343909090905</v>
      </c>
      <c r="Z107" s="535">
        <f>IF(AND(W107="Pay-on-time off bill",X107="Inclusive"),((Y107*1.1)-((Y107*1.1)*U107/100))/1.1,IF(AND(W107="Pay-on-time off usage",X107="Inclusive"),((Y107*1.1)-((P107*1.1)*V107/100))/1.1,IF(AND(W107="Pay-on-time off bill",X107="Exclusive"),Y107-(Y107*U107/100),IF(AND(W107="Pay-on-time off usage",X107="Exclusive"),Y107-(P107*V107/100),IF(X107="Inclusive",((Y107*1.1))/1.1,Y107)))))</f>
        <v>1399.2343909090905</v>
      </c>
      <c r="AA107" s="542">
        <f t="shared" si="123"/>
        <v>1539.1578299999996</v>
      </c>
      <c r="AB107" s="542">
        <f t="shared" si="123"/>
        <v>1539.1578299999996</v>
      </c>
      <c r="AC107" s="274">
        <f>'Tariffs Jan2022'!AZ101</f>
        <v>0</v>
      </c>
      <c r="AD107" s="274" t="str">
        <f>'Tariffs Jan2022'!BA101</f>
        <v>n</v>
      </c>
      <c r="AE107" s="275" t="str">
        <f>'Tariffs Jan2022'!BJ101</f>
        <v>N</v>
      </c>
      <c r="AF107" s="577"/>
      <c r="AG107" s="577"/>
      <c r="AH107" s="577"/>
      <c r="AI107" s="577"/>
      <c r="AJ107" s="577"/>
      <c r="AK107" s="577"/>
      <c r="AL107" s="577"/>
      <c r="AM107" s="577"/>
      <c r="AN107" s="577"/>
      <c r="AO107" s="577"/>
      <c r="AP107" s="577"/>
      <c r="AQ107" s="577"/>
      <c r="AR107" s="577"/>
      <c r="AS107" s="577"/>
      <c r="AT107" s="577"/>
      <c r="AU107" s="577"/>
      <c r="AV107" s="577"/>
      <c r="AW107" s="577"/>
    </row>
    <row r="108" spans="1:49" ht="14" x14ac:dyDescent="0.15">
      <c r="A108" s="270" t="str">
        <f>'Tariffs Jan2022'!F102</f>
        <v>Momentum Energy</v>
      </c>
      <c r="B108" s="40" t="str">
        <f>'Tariffs Jan2022'!D102</f>
        <v>AusNet Services Central 2</v>
      </c>
      <c r="C108" s="40" t="str">
        <f>'Tariffs Jan2022'!G102</f>
        <v>Market offer</v>
      </c>
      <c r="D108" s="59">
        <f>365*'Tariffs Jan2022'!H102/100</f>
        <v>362.44499999999999</v>
      </c>
      <c r="E108" s="59">
        <f>IF($C$5*'Tariffs Jan2022'!AK102/'Tariffs Jan2022'!AI102&gt;='Tariffs Jan2022'!J102,( 'Tariffs Jan2022'!J102*'Tariffs Jan2022'!O102/100)* 'Tariffs Jan2022'!AI102,($C$5*'Tariffs Jan2022'!AK102/'Tariffs Jan2022'!AI102*'Tariffs Jan2022'!O102/100)* 'Tariffs Jan2022'!AI102)</f>
        <v>263.99999999999994</v>
      </c>
      <c r="F108" s="59">
        <f>IF($C$5*'Tariffs Jan2022'!AK102/'Tariffs Jan2022'!AI102&lt;'Tariffs Jan2022'!J102,0,IF($C$5*'Tariffs Jan2022'!AK102/'Tariffs Jan2022'!AI102&lt;='Tariffs Jan2022'!K102,($C$5*'Tariffs Jan2022'!AK102/'Tariffs Jan2022'!AI102-'Tariffs Jan2022'!J102)*('Tariffs Jan2022'!P102/100)*'Tariffs Jan2022'!AI102,('Tariffs Jan2022'!K102-'Tariffs Jan2022'!J102)*('Tariffs Jan2022'!P102/100)*'Tariffs Jan2022'!AI102))</f>
        <v>170.96009999999993</v>
      </c>
      <c r="G108" s="59">
        <f>IF($C$5*'Tariffs Jan2022'!AK102/'Tariffs Jan2022'!AI102&lt;'Tariffs Jan2022'!K102,0,IF($C$5*'Tariffs Jan2022'!AK102/'Tariffs Jan2022'!AI102&lt;='Tariffs Jan2022'!L102,($C$5*'Tariffs Jan2022'!AK102/'Tariffs Jan2022'!AI102-'Tariffs Jan2022'!K102)*('Tariffs Jan2022'!Q102/100)*'Tariffs Jan2022'!AI102,('Tariffs Jan2022'!L102-'Tariffs Jan2022'!K102)*('Tariffs Jan2022'!Q102/100)*'Tariffs Jan2022'!AI102))</f>
        <v>0</v>
      </c>
      <c r="H108" s="59">
        <f>IF($C$5*'Tariffs Jan2022'!AK102/'Tariffs Jan2022'!AI102&lt;'Tariffs Jan2022'!L102,0,IF($C$5*'Tariffs Jan2022'!AK102/'Tariffs Jan2022'!AI102&lt;='Tariffs Jan2022'!M102,($C$5*'Tariffs Jan2022'!AK102/'Tariffs Jan2022'!AI102-'Tariffs Jan2022'!L102)*('Tariffs Jan2022'!R102/100)*'Tariffs Jan2022'!AI102,('Tariffs Jan2022'!M102-'Tariffs Jan2022'!L102)*('Tariffs Jan2022'!R102/100)*'Tariffs Jan2022'!AI102))</f>
        <v>0</v>
      </c>
      <c r="I108" s="69">
        <f>IF(($C$5*'Tariffs Jan2022'!AK102/'Tariffs Jan2022'!AI102&gt;'Tariffs Jan2022'!M102),($C$5*'Tariffs Jan2022'!AK102/'Tariffs Jan2022'!AI102-'Tariffs Jan2022'!M102)*'Tariffs Jan2022'!S102/100*'Tariffs Jan2022'!AI102,0)</f>
        <v>0</v>
      </c>
      <c r="J108" s="69">
        <f>IF($C$5*'Tariffs Jan2022'!AL102/'Tariffs Jan2022'!AJ102&gt;='Tariffs Jan2022'!J102,('Tariffs Jan2022'!J102*'Tariffs Jan2022'!U102/100)* 'Tariffs Jan2022'!AJ102,($C$5*'Tariffs Jan2022'!AL102/'Tariffs Jan2022'!AJ102*'Tariffs Jan2022'!U102/100)* 'Tariffs Jan2022'!AJ102)</f>
        <v>384</v>
      </c>
      <c r="K108" s="69">
        <f>IF($C$5*'Tariffs Jan2022'!AL102/'Tariffs Jan2022'!AJ102&lt;'Tariffs Jan2022'!J102,0,IF($C$5*'Tariffs Jan2022'!AL102/'Tariffs Jan2022'!AJ102&lt;='Tariffs Jan2022'!K102,($C$5*'Tariffs Jan2022'!AL102/'Tariffs Jan2022'!AJ102-'Tariffs Jan2022'!J102)*('Tariffs Jan2022'!V102/100)*'Tariffs Jan2022'!AJ102,('Tariffs Jan2022'!K102-'Tariffs Jan2022'!J102)*('Tariffs Jan2022'!V102/100)*'Tariffs Jan2022'!AJ102))</f>
        <v>287.93279999999993</v>
      </c>
      <c r="L108" s="69">
        <f>IF($C$5*'Tariffs Jan2022'!AL102/'Tariffs Jan2022'!AJ102&lt;'Tariffs Jan2022'!K102,0,IF($C$5*'Tariffs Jan2022'!AL102/'Tariffs Jan2022'!AJ102&lt;='Tariffs Jan2022'!L102,($C$5*'Tariffs Jan2022'!AL102/'Tariffs Jan2022'!AJ102-'Tariffs Jan2022'!K102)*('Tariffs Jan2022'!W102/100)*'Tariffs Jan2022'!AJ102,('Tariffs Jan2022'!L102-'Tariffs Jan2022'!K102)*('Tariffs Jan2022'!W102/100)*'Tariffs Jan2022'!AJ102))</f>
        <v>0</v>
      </c>
      <c r="M108" s="69">
        <f>IF($C$5*'Tariffs Jan2022'!AL102/'Tariffs Jan2022'!AJ102&lt;'Tariffs Jan2022'!L102,0,IF($C$5*'Tariffs Jan2022'!AL102/'Tariffs Jan2022'!AJ102&lt;='Tariffs Jan2022'!M102,($C$5*'Tariffs Jan2022'!AL102/'Tariffs Jan2022'!AJ102-'Tariffs Jan2022'!L102)*('Tariffs Jan2022'!X102/100)*'Tariffs Jan2022'!AJ102,('Tariffs Jan2022'!M102-'Tariffs Jan2022'!L102)*('Tariffs Jan2022'!X102/100)*'Tariffs Jan2022'!AJ102))</f>
        <v>0</v>
      </c>
      <c r="N108" s="69">
        <f>IF(($C$5*'Tariffs Jan2022'!AL102/'Tariffs Jan2022'!AJ102&gt;'Tariffs Jan2022'!M102),($C$5*'Tariffs Jan2022'!AL102/'Tariffs Jan2022'!AJ102-'Tariffs Jan2022'!M102)*'Tariffs Jan2022'!Y102/100*'Tariffs Jan2022'!AJ102,0)</f>
        <v>0</v>
      </c>
      <c r="O108" s="59">
        <f t="shared" si="105"/>
        <v>1106.8928999999998</v>
      </c>
      <c r="P108" s="503">
        <f t="shared" si="92"/>
        <v>1217.5821899999999</v>
      </c>
      <c r="Q108" s="59">
        <f t="shared" si="106"/>
        <v>1469.3378999999998</v>
      </c>
      <c r="R108" s="272">
        <f t="shared" si="107"/>
        <v>1616.2716899999998</v>
      </c>
      <c r="S108" s="40">
        <f>'Tariffs Jan2022'!AN102</f>
        <v>0</v>
      </c>
      <c r="T108" s="40">
        <f>'Tariffs Jan2022'!AO102</f>
        <v>0</v>
      </c>
      <c r="U108" s="40">
        <f>'Tariffs Jan2022'!AP102</f>
        <v>0</v>
      </c>
      <c r="V108" s="40">
        <f>'Tariffs Jan2022'!AQ102</f>
        <v>0</v>
      </c>
      <c r="W108" s="537" t="str">
        <f t="shared" si="121"/>
        <v>No discount</v>
      </c>
      <c r="X108" s="538" t="str">
        <f t="shared" si="122"/>
        <v>Exclusive</v>
      </c>
      <c r="Y108" s="534">
        <f t="shared" ref="Y108" si="128">IF(AND(W108="Guaranteed off bill",X108="Inclusive"),((Q108*1.1)-((Q108*1.1)*S108/100))/1.1,IF(AND(W108="Guaranteed off usage",X108="Inclusive"),((Q108*1.1)-((P108*1.1)*T108/100))/1.1,IF(AND(W108="Guaranteed off bill",X108="Exclusive"),Q108-(Q108*S108/100),IF(AND(W108="Guaranteed off usage",X108="Exclusive"),Q108-(P108*T108/100),IF(X108="Inclusive",((Q108*1.1))/1.1,Q108)))))</f>
        <v>1469.3378999999998</v>
      </c>
      <c r="Z108" s="535">
        <f t="shared" ref="Z108" si="129">IF(AND(W108="Pay-on-time off bill",X108="Inclusive"),((Y108*1.1)-((Y108*1.1)*U108/100))/1.1,IF(AND(W108="Pay-on-time off usage",X108="Inclusive"),((Y108*1.1)-((P108*1.1)*V108/100))/1.1,IF(AND(W108="Pay-on-time off bill",X108="Exclusive"),Y108-(Y108*U108/100),IF(AND(W108="Pay-on-time off usage",X108="Exclusive"),Y108-(P108*V108/100),IF(X108="Inclusive",((Y108*1.1))/1.1,Y108)))))</f>
        <v>1469.3378999999998</v>
      </c>
      <c r="AA108" s="542">
        <f t="shared" si="123"/>
        <v>1616.2716899999998</v>
      </c>
      <c r="AB108" s="542">
        <f t="shared" si="123"/>
        <v>1616.2716899999998</v>
      </c>
      <c r="AC108" s="274">
        <f>'Tariffs Jan2022'!AZ102</f>
        <v>0</v>
      </c>
      <c r="AD108" s="274" t="str">
        <f>'Tariffs Jan2022'!BA102</f>
        <v>n</v>
      </c>
      <c r="AE108" s="275" t="str">
        <f>'Tariffs Jan2022'!BJ102</f>
        <v>N</v>
      </c>
      <c r="AF108" s="577"/>
      <c r="AG108" s="577"/>
      <c r="AH108" s="577"/>
      <c r="AI108" s="577"/>
      <c r="AJ108" s="577"/>
      <c r="AK108" s="577"/>
      <c r="AL108" s="577"/>
      <c r="AM108" s="577"/>
      <c r="AN108" s="577"/>
      <c r="AO108" s="577"/>
      <c r="AP108" s="577"/>
      <c r="AQ108" s="577"/>
      <c r="AR108" s="577"/>
      <c r="AS108" s="577"/>
      <c r="AT108" s="577"/>
      <c r="AU108" s="577"/>
      <c r="AV108" s="577"/>
      <c r="AW108" s="577"/>
    </row>
    <row r="109" spans="1:49" ht="14" x14ac:dyDescent="0.15">
      <c r="A109" s="270" t="str">
        <f>'Tariffs Jan2022'!F103</f>
        <v>Origin Energy</v>
      </c>
      <c r="B109" s="40" t="str">
        <f>'Tariffs Jan2022'!D103</f>
        <v>AusNet Services Central 2</v>
      </c>
      <c r="C109" s="40" t="str">
        <f>'Tariffs Jan2022'!G103</f>
        <v>Go</v>
      </c>
      <c r="D109" s="59">
        <f>365*'Tariffs Jan2022'!H103/100</f>
        <v>283.60499999999996</v>
      </c>
      <c r="E109" s="59">
        <f>((C$5*'Tariffs Jan2022'!AK103/'Tariffs Jan2022'!AI103)*('Tariffs Jan2022'!O103/100))*'Tariffs Jan2022'!AI103</f>
        <v>655.77272727272725</v>
      </c>
      <c r="F109" s="59">
        <v>0</v>
      </c>
      <c r="G109" s="59">
        <v>0</v>
      </c>
      <c r="H109" s="59">
        <v>0</v>
      </c>
      <c r="I109" s="69">
        <v>0</v>
      </c>
      <c r="J109" s="69">
        <f>((C$5*'Tariffs Jan2022'!AL103/'Tariffs Jan2022'!AJ103)*('Tariffs Jan2022'!U103/100))*'Tariffs Jan2022'!AJ103</f>
        <v>655.77272727272725</v>
      </c>
      <c r="K109" s="69">
        <v>0</v>
      </c>
      <c r="L109" s="69">
        <v>0</v>
      </c>
      <c r="M109" s="69">
        <v>0</v>
      </c>
      <c r="N109" s="69">
        <v>0</v>
      </c>
      <c r="O109" s="59">
        <f t="shared" si="105"/>
        <v>1311.5454545454545</v>
      </c>
      <c r="P109" s="503">
        <f t="shared" si="92"/>
        <v>1442.7</v>
      </c>
      <c r="Q109" s="59">
        <f t="shared" si="106"/>
        <v>1595.1504545454545</v>
      </c>
      <c r="R109" s="272">
        <f t="shared" si="107"/>
        <v>1754.6655000000001</v>
      </c>
      <c r="S109" s="40">
        <f>'Tariffs Jan2022'!AN103</f>
        <v>0</v>
      </c>
      <c r="T109" s="40">
        <f>'Tariffs Jan2022'!AO103</f>
        <v>0</v>
      </c>
      <c r="U109" s="40">
        <f>'Tariffs Jan2022'!AP103</f>
        <v>0</v>
      </c>
      <c r="V109" s="40">
        <f>'Tariffs Jan2022'!AQ103</f>
        <v>0</v>
      </c>
      <c r="W109" s="537" t="str">
        <f t="shared" si="121"/>
        <v>No discount</v>
      </c>
      <c r="X109" s="538" t="str">
        <f t="shared" si="122"/>
        <v>Inclusive</v>
      </c>
      <c r="Y109" s="534">
        <f>IF(AND(W109="Guaranteed off bill",X109="Inclusive"),((Q109*1.1)-((Q109*1.1)*S109/100))/1.1,IF(AND(W109="Guaranteed off usage",X109="Inclusive"),((Q109*1.1)-((P109*1.1)*T109/100))/1.1,IF(AND(W109="Guaranteed off bill",X109="Exclusive"),Q109-(Q109*S109/100),IF(AND(W109="Guaranteed off usage",X109="Exclusive"),Q109-(P109*T109/100),IF(X109="Inclusive",((Q109*1.1))/1.1,Q109)))))</f>
        <v>1595.1504545454545</v>
      </c>
      <c r="Z109" s="535">
        <f>IF(AND(W109="Pay-on-time off bill",X109="Inclusive"),((Y109*1.1)-((Y109*1.1)*U109/100))/1.1,IF(AND(W109="Pay-on-time off usage",X109="Inclusive"),((Y109*1.1)-((P109*1.1)*V109/100))/1.1,IF(AND(W109="Pay-on-time off bill",X109="Exclusive"),Y109-(Y109*U109/100),IF(AND(W109="Pay-on-time off usage",X109="Exclusive"),Y109-(P109*V109/100),IF(X109="Inclusive",((Y109*1.1))/1.1,Y109)))))</f>
        <v>1595.1504545454545</v>
      </c>
      <c r="AA109" s="542">
        <f t="shared" si="123"/>
        <v>1754.6655000000001</v>
      </c>
      <c r="AB109" s="542">
        <f t="shared" si="123"/>
        <v>1754.6655000000001</v>
      </c>
      <c r="AC109" s="274">
        <f>'Tariffs Jan2022'!AZ103</f>
        <v>0</v>
      </c>
      <c r="AD109" s="274" t="str">
        <f>'Tariffs Jan2022'!BA103</f>
        <v>n</v>
      </c>
      <c r="AE109" s="275" t="str">
        <f>'Tariffs Jan2022'!BJ103</f>
        <v>N</v>
      </c>
      <c r="AF109" s="577"/>
      <c r="AG109" s="577"/>
      <c r="AH109" s="577"/>
      <c r="AI109" s="577"/>
      <c r="AJ109" s="577"/>
      <c r="AK109" s="577"/>
      <c r="AL109" s="577"/>
      <c r="AM109" s="577"/>
      <c r="AN109" s="577"/>
      <c r="AO109" s="577"/>
      <c r="AP109" s="577"/>
      <c r="AQ109" s="577"/>
      <c r="AR109" s="577"/>
      <c r="AS109" s="577"/>
      <c r="AT109" s="577"/>
      <c r="AU109" s="577"/>
      <c r="AV109" s="577"/>
      <c r="AW109" s="577"/>
    </row>
    <row r="110" spans="1:49" ht="14" x14ac:dyDescent="0.15">
      <c r="A110" s="270" t="str">
        <f>'Tariffs Jan2022'!F104</f>
        <v>Red Energy</v>
      </c>
      <c r="B110" s="40" t="str">
        <f>'Tariffs Jan2022'!D104</f>
        <v>AusNet Services Central 2</v>
      </c>
      <c r="C110" s="40" t="str">
        <f>'Tariffs Jan2022'!G104</f>
        <v>Living Energy Saver</v>
      </c>
      <c r="D110" s="59">
        <f>365*'Tariffs Jan2022'!H104/100</f>
        <v>271.02909090909088</v>
      </c>
      <c r="E110" s="59">
        <f>IF($C$5*'Tariffs Jan2022'!AK104/'Tariffs Jan2022'!AI104&gt;='Tariffs Jan2022'!J104,( 'Tariffs Jan2022'!J104*'Tariffs Jan2022'!O104/100)* 'Tariffs Jan2022'!AI104,($C$5*'Tariffs Jan2022'!AK104/'Tariffs Jan2022'!AI104*'Tariffs Jan2022'!O104/100)* 'Tariffs Jan2022'!AI104)</f>
        <v>259.63636363636363</v>
      </c>
      <c r="F110" s="59">
        <f>IF($C$5*'Tariffs Jan2022'!AK104/'Tariffs Jan2022'!AI104&lt;'Tariffs Jan2022'!J104,0,IF($C$5*'Tariffs Jan2022'!AK104/'Tariffs Jan2022'!AI104&lt;='Tariffs Jan2022'!K104,($C$5*'Tariffs Jan2022'!AK104/'Tariffs Jan2022'!AI104-'Tariffs Jan2022'!J104)*('Tariffs Jan2022'!P104/100)*'Tariffs Jan2022'!AI104,('Tariffs Jan2022'!K104-'Tariffs Jan2022'!J104)*('Tariffs Jan2022'!P104/100)*'Tariffs Jan2022'!AI104))</f>
        <v>174.23206363636356</v>
      </c>
      <c r="G110" s="59">
        <f>IF($C$5*'Tariffs Jan2022'!AK104/'Tariffs Jan2022'!AI104&lt;'Tariffs Jan2022'!K104,0,IF($C$5*'Tariffs Jan2022'!AK104/'Tariffs Jan2022'!AI104&lt;='Tariffs Jan2022'!L104,($C$5*'Tariffs Jan2022'!AK104/'Tariffs Jan2022'!AI104-'Tariffs Jan2022'!K104)*('Tariffs Jan2022'!Q104/100)*'Tariffs Jan2022'!AI104,('Tariffs Jan2022'!L104-'Tariffs Jan2022'!K104)*('Tariffs Jan2022'!Q104/100)*'Tariffs Jan2022'!AI104))</f>
        <v>0</v>
      </c>
      <c r="H110" s="59">
        <f>IF($C$5*'Tariffs Jan2022'!AK104/'Tariffs Jan2022'!AI104&lt;'Tariffs Jan2022'!L104,0,IF($C$5*'Tariffs Jan2022'!AK104/'Tariffs Jan2022'!AI104&lt;='Tariffs Jan2022'!M104,($C$5*'Tariffs Jan2022'!AK104/'Tariffs Jan2022'!AI104-'Tariffs Jan2022'!L104)*('Tariffs Jan2022'!R104/100)*'Tariffs Jan2022'!AI104,('Tariffs Jan2022'!M104-'Tariffs Jan2022'!L104)*('Tariffs Jan2022'!R104/100)*'Tariffs Jan2022'!AI104))</f>
        <v>0</v>
      </c>
      <c r="I110" s="69">
        <f>IF(($C$5*'Tariffs Jan2022'!AK104/'Tariffs Jan2022'!AI104&gt;'Tariffs Jan2022'!M104),($C$5*'Tariffs Jan2022'!AK104/'Tariffs Jan2022'!AI104-'Tariffs Jan2022'!M104)*'Tariffs Jan2022'!S104/100*'Tariffs Jan2022'!AI104,0)</f>
        <v>0</v>
      </c>
      <c r="J110" s="69">
        <f>IF($C$5*'Tariffs Jan2022'!AL104/'Tariffs Jan2022'!AJ104&gt;='Tariffs Jan2022'!J104,('Tariffs Jan2022'!J104*'Tariffs Jan2022'!U104/100)* 'Tariffs Jan2022'!AJ104,($C$5*'Tariffs Jan2022'!AL104/'Tariffs Jan2022'!AJ104*'Tariffs Jan2022'!U104/100)* 'Tariffs Jan2022'!AJ104)</f>
        <v>421.09090909090907</v>
      </c>
      <c r="K110" s="69">
        <f>IF($C$5*'Tariffs Jan2022'!AL104/'Tariffs Jan2022'!AJ104&lt;'Tariffs Jan2022'!J104,0,IF($C$5*'Tariffs Jan2022'!AL104/'Tariffs Jan2022'!AJ104&lt;='Tariffs Jan2022'!K104,($C$5*'Tariffs Jan2022'!AL104/'Tariffs Jan2022'!AJ104-'Tariffs Jan2022'!J104)*('Tariffs Jan2022'!V104/100)*'Tariffs Jan2022'!AJ104,('Tariffs Jan2022'!K104-'Tariffs Jan2022'!J104)*('Tariffs Jan2022'!V104/100)*'Tariffs Jan2022'!AJ104))</f>
        <v>307.56458181818169</v>
      </c>
      <c r="L110" s="69">
        <f>IF($C$5*'Tariffs Jan2022'!AL104/'Tariffs Jan2022'!AJ104&lt;'Tariffs Jan2022'!K104,0,IF($C$5*'Tariffs Jan2022'!AL104/'Tariffs Jan2022'!AJ104&lt;='Tariffs Jan2022'!L104,($C$5*'Tariffs Jan2022'!AL104/'Tariffs Jan2022'!AJ104-'Tariffs Jan2022'!K104)*('Tariffs Jan2022'!W104/100)*'Tariffs Jan2022'!AJ104,('Tariffs Jan2022'!L104-'Tariffs Jan2022'!K104)*('Tariffs Jan2022'!W104/100)*'Tariffs Jan2022'!AJ104))</f>
        <v>0</v>
      </c>
      <c r="M110" s="69">
        <f>IF($C$5*'Tariffs Jan2022'!AL104/'Tariffs Jan2022'!AJ104&lt;'Tariffs Jan2022'!L104,0,IF($C$5*'Tariffs Jan2022'!AL104/'Tariffs Jan2022'!AJ104&lt;='Tariffs Jan2022'!M104,($C$5*'Tariffs Jan2022'!AL104/'Tariffs Jan2022'!AJ104-'Tariffs Jan2022'!L104)*('Tariffs Jan2022'!X104/100)*'Tariffs Jan2022'!AJ104,('Tariffs Jan2022'!M104-'Tariffs Jan2022'!L104)*('Tariffs Jan2022'!X104/100)*'Tariffs Jan2022'!AJ104))</f>
        <v>0</v>
      </c>
      <c r="N110" s="69">
        <f>IF(($C$5*'Tariffs Jan2022'!AL104/'Tariffs Jan2022'!AJ104&gt;'Tariffs Jan2022'!M104),($C$5*'Tariffs Jan2022'!AL104/'Tariffs Jan2022'!AJ104-'Tariffs Jan2022'!M104)*'Tariffs Jan2022'!Y104/100*'Tariffs Jan2022'!AJ104,0)</f>
        <v>0</v>
      </c>
      <c r="O110" s="59">
        <f t="shared" si="105"/>
        <v>1162.5239181818181</v>
      </c>
      <c r="P110" s="503">
        <f t="shared" si="92"/>
        <v>1278.77631</v>
      </c>
      <c r="Q110" s="59">
        <f t="shared" si="106"/>
        <v>1433.553009090909</v>
      </c>
      <c r="R110" s="272">
        <f t="shared" si="107"/>
        <v>1576.90831</v>
      </c>
      <c r="S110" s="40">
        <f>'Tariffs Jan2022'!AN104</f>
        <v>0</v>
      </c>
      <c r="T110" s="40">
        <f>'Tariffs Jan2022'!AO104</f>
        <v>0</v>
      </c>
      <c r="U110" s="40">
        <f>'Tariffs Jan2022'!AP104</f>
        <v>0</v>
      </c>
      <c r="V110" s="40">
        <f>'Tariffs Jan2022'!AQ104</f>
        <v>0</v>
      </c>
      <c r="W110" s="537" t="str">
        <f t="shared" si="121"/>
        <v>No discount</v>
      </c>
      <c r="X110" s="538" t="str">
        <f t="shared" si="122"/>
        <v>Inclusive</v>
      </c>
      <c r="Y110" s="534">
        <f t="shared" ref="Y110:Y112" si="130">IF(AND(W110="Guaranteed off bill",X110="Inclusive"),((Q110*1.1)-((Q110*1.1)*S110/100))/1.1,IF(AND(W110="Guaranteed off usage",X110="Inclusive"),((Q110*1.1)-((P110*1.1)*T110/100))/1.1,IF(AND(W110="Guaranteed off bill",X110="Exclusive"),Q110-(Q110*S110/100),IF(AND(W110="Guaranteed off usage",X110="Exclusive"),Q110-(P110*T110/100),IF(X110="Inclusive",((Q110*1.1))/1.1,Q110)))))</f>
        <v>1433.553009090909</v>
      </c>
      <c r="Z110" s="535">
        <f t="shared" ref="Z110:Z112" si="131">IF(AND(W110="Pay-on-time off bill",X110="Inclusive"),((Y110*1.1)-((Y110*1.1)*U110/100))/1.1,IF(AND(W110="Pay-on-time off usage",X110="Inclusive"),((Y110*1.1)-((P110*1.1)*V110/100))/1.1,IF(AND(W110="Pay-on-time off bill",X110="Exclusive"),Y110-(Y110*U110/100),IF(AND(W110="Pay-on-time off usage",X110="Exclusive"),Y110-(P110*V110/100),IF(X110="Inclusive",((Y110*1.1))/1.1,Y110)))))</f>
        <v>1433.553009090909</v>
      </c>
      <c r="AA110" s="542">
        <f t="shared" si="123"/>
        <v>1576.90831</v>
      </c>
      <c r="AB110" s="542">
        <f t="shared" si="123"/>
        <v>1576.90831</v>
      </c>
      <c r="AC110" s="274">
        <f>'Tariffs Jan2022'!AZ104</f>
        <v>0</v>
      </c>
      <c r="AD110" s="274" t="str">
        <f>'Tariffs Jan2022'!BA104</f>
        <v>n</v>
      </c>
      <c r="AE110" s="275" t="str">
        <f>'Tariffs Jan2022'!BJ104</f>
        <v>N</v>
      </c>
      <c r="AF110" s="577"/>
      <c r="AG110" s="577"/>
      <c r="AH110" s="577"/>
      <c r="AI110" s="577"/>
      <c r="AJ110" s="577"/>
      <c r="AK110" s="577"/>
      <c r="AL110" s="577"/>
      <c r="AM110" s="577"/>
      <c r="AN110" s="577"/>
      <c r="AO110" s="577"/>
      <c r="AP110" s="577"/>
      <c r="AQ110" s="577"/>
      <c r="AR110" s="577"/>
      <c r="AS110" s="577"/>
      <c r="AT110" s="577"/>
      <c r="AU110" s="577"/>
      <c r="AV110" s="577"/>
      <c r="AW110" s="577"/>
    </row>
    <row r="111" spans="1:49" ht="14" x14ac:dyDescent="0.15">
      <c r="A111" s="270" t="str">
        <f>'Tariffs Jan2022'!F105</f>
        <v>Simply Energy</v>
      </c>
      <c r="B111" s="40" t="str">
        <f>'Tariffs Jan2022'!D105</f>
        <v>AusNet Services Central 2</v>
      </c>
      <c r="C111" s="40" t="str">
        <f>'Tariffs Jan2022'!G105</f>
        <v>Blue perks</v>
      </c>
      <c r="D111" s="59">
        <f>365*'Tariffs Jan2022'!H105/100</f>
        <v>319.9722727272727</v>
      </c>
      <c r="E111" s="59">
        <f>IF($C$5*'Tariffs Jan2022'!AK105/'Tariffs Jan2022'!AI105&gt;='Tariffs Jan2022'!J105,( 'Tariffs Jan2022'!J105*'Tariffs Jan2022'!O105/100)* 'Tariffs Jan2022'!AI105,($C$5*'Tariffs Jan2022'!AK105/'Tariffs Jan2022'!AI105*'Tariffs Jan2022'!O105/100)* 'Tariffs Jan2022'!AI105)</f>
        <v>391.63636363636363</v>
      </c>
      <c r="F111" s="59">
        <f>IF($C$5*'Tariffs Jan2022'!AK105/'Tariffs Jan2022'!AI105&lt;'Tariffs Jan2022'!J105,0,IF($C$5*'Tariffs Jan2022'!AK105/'Tariffs Jan2022'!AI105&lt;='Tariffs Jan2022'!K105,($C$5*'Tariffs Jan2022'!AK105/'Tariffs Jan2022'!AI105-'Tariffs Jan2022'!J105)*('Tariffs Jan2022'!P105/100)*'Tariffs Jan2022'!AI105,('Tariffs Jan2022'!K105-'Tariffs Jan2022'!J105)*('Tariffs Jan2022'!P105/100)*'Tariffs Jan2022'!AI105))</f>
        <v>287.93279999999993</v>
      </c>
      <c r="G111" s="59">
        <f>IF($C$5*'Tariffs Jan2022'!AK105/'Tariffs Jan2022'!AI105&lt;'Tariffs Jan2022'!K105,0,IF($C$5*'Tariffs Jan2022'!AK105/'Tariffs Jan2022'!AI105&lt;='Tariffs Jan2022'!L105,($C$5*'Tariffs Jan2022'!AK105/'Tariffs Jan2022'!AI105-'Tariffs Jan2022'!K105)*('Tariffs Jan2022'!Q105/100)*'Tariffs Jan2022'!AI105,('Tariffs Jan2022'!L105-'Tariffs Jan2022'!K105)*('Tariffs Jan2022'!Q105/100)*'Tariffs Jan2022'!AI105))</f>
        <v>0</v>
      </c>
      <c r="H111" s="59">
        <f>IF($C$5*'Tariffs Jan2022'!AK105/'Tariffs Jan2022'!AI105&lt;'Tariffs Jan2022'!L105,0,IF($C$5*'Tariffs Jan2022'!AK105/'Tariffs Jan2022'!AI105&lt;='Tariffs Jan2022'!M105,($C$5*'Tariffs Jan2022'!AK105/'Tariffs Jan2022'!AI105-'Tariffs Jan2022'!L105)*('Tariffs Jan2022'!R105/100)*'Tariffs Jan2022'!AI105,('Tariffs Jan2022'!M105-'Tariffs Jan2022'!L105)*('Tariffs Jan2022'!R105/100)*'Tariffs Jan2022'!AI105))</f>
        <v>0</v>
      </c>
      <c r="I111" s="69">
        <f>IF(($C$5*'Tariffs Jan2022'!AK105/'Tariffs Jan2022'!AI105&gt;'Tariffs Jan2022'!M105),($C$5*'Tariffs Jan2022'!AK105/'Tariffs Jan2022'!AI105-'Tariffs Jan2022'!M105)*'Tariffs Jan2022'!S105/100*'Tariffs Jan2022'!AI105,0)</f>
        <v>0</v>
      </c>
      <c r="J111" s="69">
        <f>IF($C$5*'Tariffs Jan2022'!AL105/'Tariffs Jan2022'!AJ105&gt;='Tariffs Jan2022'!J105,('Tariffs Jan2022'!J105*'Tariffs Jan2022'!U105/100)* 'Tariffs Jan2022'!AJ105,($C$5*'Tariffs Jan2022'!AL105/'Tariffs Jan2022'!AJ105*'Tariffs Jan2022'!U105/100)* 'Tariffs Jan2022'!AJ105)</f>
        <v>597.81818181818176</v>
      </c>
      <c r="K111" s="69">
        <f>IF($C$5*'Tariffs Jan2022'!AL105/'Tariffs Jan2022'!AJ105&lt;'Tariffs Jan2022'!J105,0,IF($C$5*'Tariffs Jan2022'!AL105/'Tariffs Jan2022'!AJ105&lt;='Tariffs Jan2022'!K105,($C$5*'Tariffs Jan2022'!AL105/'Tariffs Jan2022'!AJ105-'Tariffs Jan2022'!J105)*('Tariffs Jan2022'!V105/100)*'Tariffs Jan2022'!AJ105,('Tariffs Jan2022'!K105-'Tariffs Jan2022'!J105)*('Tariffs Jan2022'!V105/100)*'Tariffs Jan2022'!AJ105))</f>
        <v>431.89919999999989</v>
      </c>
      <c r="L111" s="69">
        <f>IF($C$5*'Tariffs Jan2022'!AL105/'Tariffs Jan2022'!AJ105&lt;'Tariffs Jan2022'!K105,0,IF($C$5*'Tariffs Jan2022'!AL105/'Tariffs Jan2022'!AJ105&lt;='Tariffs Jan2022'!L105,($C$5*'Tariffs Jan2022'!AL105/'Tariffs Jan2022'!AJ105-'Tariffs Jan2022'!K105)*('Tariffs Jan2022'!W105/100)*'Tariffs Jan2022'!AJ105,('Tariffs Jan2022'!L105-'Tariffs Jan2022'!K105)*('Tariffs Jan2022'!W105/100)*'Tariffs Jan2022'!AJ105))</f>
        <v>0</v>
      </c>
      <c r="M111" s="69">
        <f>IF($C$5*'Tariffs Jan2022'!AL105/'Tariffs Jan2022'!AJ105&lt;'Tariffs Jan2022'!L105,0,IF($C$5*'Tariffs Jan2022'!AL105/'Tariffs Jan2022'!AJ105&lt;='Tariffs Jan2022'!M105,($C$5*'Tariffs Jan2022'!AL105/'Tariffs Jan2022'!AJ105-'Tariffs Jan2022'!L105)*('Tariffs Jan2022'!X105/100)*'Tariffs Jan2022'!AJ105,('Tariffs Jan2022'!M105-'Tariffs Jan2022'!L105)*('Tariffs Jan2022'!X105/100)*'Tariffs Jan2022'!AJ105))</f>
        <v>0</v>
      </c>
      <c r="N111" s="69">
        <f>IF(($C$5*'Tariffs Jan2022'!AL105/'Tariffs Jan2022'!AJ105&gt;'Tariffs Jan2022'!M105),($C$5*'Tariffs Jan2022'!AL105/'Tariffs Jan2022'!AJ105-'Tariffs Jan2022'!M105)*'Tariffs Jan2022'!Y105/100*'Tariffs Jan2022'!AJ105,0)</f>
        <v>0</v>
      </c>
      <c r="O111" s="59">
        <f t="shared" si="105"/>
        <v>1709.2865454545451</v>
      </c>
      <c r="P111" s="503">
        <f t="shared" si="92"/>
        <v>1880.2151999999999</v>
      </c>
      <c r="Q111" s="59">
        <f t="shared" si="106"/>
        <v>2029.2588181818178</v>
      </c>
      <c r="R111" s="272">
        <f t="shared" si="107"/>
        <v>2232.1846999999998</v>
      </c>
      <c r="S111" s="40">
        <f>'Tariffs Jan2022'!AN105</f>
        <v>32</v>
      </c>
      <c r="T111" s="40">
        <f>'Tariffs Jan2022'!AO105</f>
        <v>0</v>
      </c>
      <c r="U111" s="40">
        <f>'Tariffs Jan2022'!AP105</f>
        <v>0</v>
      </c>
      <c r="V111" s="40">
        <f>'Tariffs Jan2022'!AQ105</f>
        <v>0</v>
      </c>
      <c r="W111" s="537" t="str">
        <f t="shared" si="121"/>
        <v>Guaranteed off bill</v>
      </c>
      <c r="X111" s="538" t="str">
        <f t="shared" si="122"/>
        <v>Exclusive</v>
      </c>
      <c r="Y111" s="534">
        <f t="shared" si="130"/>
        <v>1379.8959963636362</v>
      </c>
      <c r="Z111" s="535">
        <f t="shared" si="131"/>
        <v>1379.8959963636362</v>
      </c>
      <c r="AA111" s="542">
        <f t="shared" si="123"/>
        <v>1517.8855959999999</v>
      </c>
      <c r="AB111" s="542">
        <f t="shared" si="123"/>
        <v>1517.8855959999999</v>
      </c>
      <c r="AC111" s="274">
        <f>'Tariffs Jan2022'!AZ105</f>
        <v>0</v>
      </c>
      <c r="AD111" s="274" t="str">
        <f>'Tariffs Jan2022'!BA105</f>
        <v>n</v>
      </c>
      <c r="AE111" s="275" t="str">
        <f>'Tariffs Jan2022'!BJ105</f>
        <v>N</v>
      </c>
      <c r="AF111" s="577"/>
      <c r="AG111" s="577"/>
      <c r="AH111" s="577"/>
      <c r="AI111" s="577"/>
      <c r="AJ111" s="577"/>
      <c r="AK111" s="577"/>
      <c r="AL111" s="577"/>
      <c r="AM111" s="577"/>
      <c r="AN111" s="577"/>
      <c r="AO111" s="577"/>
      <c r="AP111" s="577"/>
      <c r="AQ111" s="577"/>
      <c r="AR111" s="577"/>
      <c r="AS111" s="577"/>
      <c r="AT111" s="577"/>
      <c r="AU111" s="577"/>
      <c r="AV111" s="577"/>
      <c r="AW111" s="577"/>
    </row>
    <row r="112" spans="1:49" ht="14" x14ac:dyDescent="0.15">
      <c r="A112" s="270" t="str">
        <f>'Tariffs Jan2022'!F106</f>
        <v>GloBird Energy</v>
      </c>
      <c r="B112" s="40" t="str">
        <f>'Tariffs Jan2022'!D106</f>
        <v>AusNet Services Central 2</v>
      </c>
      <c r="C112" s="40" t="str">
        <f>'Tariffs Jan2022'!G106</f>
        <v>GloSave</v>
      </c>
      <c r="D112" s="59">
        <f>365*'Tariffs Jan2022'!H106/100</f>
        <v>284.7</v>
      </c>
      <c r="E112" s="59">
        <f>IF($C$5*'Tariffs Jan2022'!AK106/'Tariffs Jan2022'!AI106&gt;='Tariffs Jan2022'!J106,( 'Tariffs Jan2022'!J106*'Tariffs Jan2022'!O106/100)* 'Tariffs Jan2022'!AI106,($C$5*'Tariffs Jan2022'!AK106/'Tariffs Jan2022'!AI106*'Tariffs Jan2022'!O106/100)* 'Tariffs Jan2022'!AI106)</f>
        <v>227.99999999999997</v>
      </c>
      <c r="F112" s="59">
        <f>IF($C$5*'Tariffs Jan2022'!AK106/'Tariffs Jan2022'!AI106&lt;'Tariffs Jan2022'!J106,0,IF($C$5*'Tariffs Jan2022'!AK106/'Tariffs Jan2022'!AI106&lt;='Tariffs Jan2022'!K106,($C$5*'Tariffs Jan2022'!AK106/'Tariffs Jan2022'!AI106-'Tariffs Jan2022'!J106)*('Tariffs Jan2022'!P106/100)*'Tariffs Jan2022'!AI106,('Tariffs Jan2022'!K106-'Tariffs Jan2022'!J106)*('Tariffs Jan2022'!P106/100)*'Tariffs Jan2022'!AI106))</f>
        <v>0</v>
      </c>
      <c r="G112" s="59">
        <f>IF($C$5*'Tariffs Jan2022'!AK106/'Tariffs Jan2022'!AI106&lt;'Tariffs Jan2022'!K106,0,IF($C$5*'Tariffs Jan2022'!AK106/'Tariffs Jan2022'!AI106&lt;='Tariffs Jan2022'!L106,($C$5*'Tariffs Jan2022'!AK106/'Tariffs Jan2022'!AI106-'Tariffs Jan2022'!K106)*('Tariffs Jan2022'!Q106/100)*'Tariffs Jan2022'!AI106,('Tariffs Jan2022'!L106-'Tariffs Jan2022'!K106)*('Tariffs Jan2022'!Q106/100)*'Tariffs Jan2022'!AI106))</f>
        <v>0</v>
      </c>
      <c r="H112" s="59">
        <f>IF($C$5*'Tariffs Jan2022'!AK106/'Tariffs Jan2022'!AI106&lt;'Tariffs Jan2022'!L106,0,IF($C$5*'Tariffs Jan2022'!AK106/'Tariffs Jan2022'!AI106&lt;='Tariffs Jan2022'!M106,($C$5*'Tariffs Jan2022'!AK106/'Tariffs Jan2022'!AI106-'Tariffs Jan2022'!L106)*('Tariffs Jan2022'!R106/100)*'Tariffs Jan2022'!AI106,('Tariffs Jan2022'!M106-'Tariffs Jan2022'!L106)*('Tariffs Jan2022'!R106/100)*'Tariffs Jan2022'!AI106))</f>
        <v>0</v>
      </c>
      <c r="I112" s="69">
        <f>IF(($C$5*'Tariffs Jan2022'!AK106/'Tariffs Jan2022'!AI106&gt;'Tariffs Jan2022'!M106),($C$5*'Tariffs Jan2022'!AK106/'Tariffs Jan2022'!AI106-'Tariffs Jan2022'!M106)*'Tariffs Jan2022'!S106/100*'Tariffs Jan2022'!AI106,0)</f>
        <v>157.87224545454541</v>
      </c>
      <c r="J112" s="69">
        <f>IF($C$5*'Tariffs Jan2022'!AL106/'Tariffs Jan2022'!AJ106&gt;='Tariffs Jan2022'!J106,('Tariffs Jan2022'!J106*'Tariffs Jan2022'!U106/100)* 'Tariffs Jan2022'!AJ106,($C$5*'Tariffs Jan2022'!AL106/'Tariffs Jan2022'!AJ106*'Tariffs Jan2022'!U106/100)* 'Tariffs Jan2022'!AJ106)</f>
        <v>384</v>
      </c>
      <c r="K112" s="69">
        <f>IF($C$5*'Tariffs Jan2022'!AL106/'Tariffs Jan2022'!AJ106&lt;'Tariffs Jan2022'!J106,0,IF($C$5*'Tariffs Jan2022'!AL106/'Tariffs Jan2022'!AJ106&lt;='Tariffs Jan2022'!K106,($C$5*'Tariffs Jan2022'!AL106/'Tariffs Jan2022'!AJ106-'Tariffs Jan2022'!J106)*('Tariffs Jan2022'!V106/100)*'Tariffs Jan2022'!AJ106,('Tariffs Jan2022'!K106-'Tariffs Jan2022'!J106)*('Tariffs Jan2022'!V106/100)*'Tariffs Jan2022'!AJ106))</f>
        <v>0</v>
      </c>
      <c r="L112" s="69">
        <f>IF($C$5*'Tariffs Jan2022'!AL106/'Tariffs Jan2022'!AJ106&lt;'Tariffs Jan2022'!K106,0,IF($C$5*'Tariffs Jan2022'!AL106/'Tariffs Jan2022'!AJ106&lt;='Tariffs Jan2022'!L106,($C$5*'Tariffs Jan2022'!AL106/'Tariffs Jan2022'!AJ106-'Tariffs Jan2022'!K106)*('Tariffs Jan2022'!W106/100)*'Tariffs Jan2022'!AJ106,('Tariffs Jan2022'!L106-'Tariffs Jan2022'!K106)*('Tariffs Jan2022'!W106/100)*'Tariffs Jan2022'!AJ106))</f>
        <v>0</v>
      </c>
      <c r="M112" s="69">
        <f>IF($C$5*'Tariffs Jan2022'!AL106/'Tariffs Jan2022'!AJ106&lt;'Tariffs Jan2022'!L106,0,IF($C$5*'Tariffs Jan2022'!AL106/'Tariffs Jan2022'!AJ106&lt;='Tariffs Jan2022'!M106,($C$5*'Tariffs Jan2022'!AL106/'Tariffs Jan2022'!AJ106-'Tariffs Jan2022'!L106)*('Tariffs Jan2022'!X106/100)*'Tariffs Jan2022'!AJ106,('Tariffs Jan2022'!M106-'Tariffs Jan2022'!L106)*('Tariffs Jan2022'!X106/100)*'Tariffs Jan2022'!AJ106))</f>
        <v>0</v>
      </c>
      <c r="N112" s="69">
        <f>IF(($C$5*'Tariffs Jan2022'!AL106/'Tariffs Jan2022'!AJ106&gt;'Tariffs Jan2022'!M106),($C$5*'Tariffs Jan2022'!AL106/'Tariffs Jan2022'!AJ106-'Tariffs Jan2022'!M106)*'Tariffs Jan2022'!Y106/100*'Tariffs Jan2022'!AJ106,0)</f>
        <v>269.9369999999999</v>
      </c>
      <c r="O112" s="59">
        <f t="shared" si="105"/>
        <v>1039.8092454545454</v>
      </c>
      <c r="P112" s="503">
        <f t="shared" si="92"/>
        <v>1143.79017</v>
      </c>
      <c r="Q112" s="59">
        <f t="shared" si="106"/>
        <v>1324.5092454545454</v>
      </c>
      <c r="R112" s="272">
        <f t="shared" si="107"/>
        <v>1456.9601700000001</v>
      </c>
      <c r="S112" s="40">
        <f>'Tariffs Jan2022'!AN106</f>
        <v>0</v>
      </c>
      <c r="T112" s="40">
        <f>'Tariffs Jan2022'!AO106</f>
        <v>0</v>
      </c>
      <c r="U112" s="40">
        <f>'Tariffs Jan2022'!AP106</f>
        <v>0</v>
      </c>
      <c r="V112" s="40">
        <f>'Tariffs Jan2022'!AQ106</f>
        <v>0</v>
      </c>
      <c r="W112" s="537" t="str">
        <f t="shared" si="121"/>
        <v>No discount</v>
      </c>
      <c r="X112" s="538" t="str">
        <f t="shared" si="122"/>
        <v>Exclusive</v>
      </c>
      <c r="Y112" s="534">
        <f t="shared" si="130"/>
        <v>1324.5092454545454</v>
      </c>
      <c r="Z112" s="535">
        <f t="shared" si="131"/>
        <v>1324.5092454545454</v>
      </c>
      <c r="AA112" s="542">
        <f t="shared" si="123"/>
        <v>1456.9601700000001</v>
      </c>
      <c r="AB112" s="542">
        <f t="shared" si="123"/>
        <v>1456.9601700000001</v>
      </c>
      <c r="AC112" s="274">
        <f>'Tariffs Jan2022'!AZ106</f>
        <v>0</v>
      </c>
      <c r="AD112" s="274" t="str">
        <f>'Tariffs Jan2022'!BA106</f>
        <v>n</v>
      </c>
      <c r="AE112" s="275" t="str">
        <f>'Tariffs Jan2022'!BJ106</f>
        <v>N</v>
      </c>
      <c r="AF112" s="577"/>
      <c r="AG112" s="577"/>
      <c r="AH112" s="577"/>
      <c r="AI112" s="577"/>
      <c r="AJ112" s="577"/>
      <c r="AK112" s="577"/>
      <c r="AL112" s="577"/>
      <c r="AM112" s="577"/>
      <c r="AN112" s="577"/>
      <c r="AO112" s="577"/>
      <c r="AP112" s="577"/>
      <c r="AQ112" s="577"/>
      <c r="AR112" s="577"/>
      <c r="AS112" s="577"/>
      <c r="AT112" s="577"/>
      <c r="AU112" s="577"/>
      <c r="AV112" s="577"/>
      <c r="AW112" s="577"/>
    </row>
    <row r="113" spans="1:49" ht="14" x14ac:dyDescent="0.15">
      <c r="A113" s="270" t="str">
        <f>'Tariffs Jan2022'!F107</f>
        <v>Powershop</v>
      </c>
      <c r="B113" s="40" t="str">
        <f>'Tariffs Jan2022'!D107</f>
        <v>AusNet Services Central 2</v>
      </c>
      <c r="C113" s="40" t="str">
        <f>'Tariffs Jan2022'!G107</f>
        <v>Market offer</v>
      </c>
      <c r="D113" s="59">
        <f>365*'Tariffs Jan2022'!H107/100</f>
        <v>275.57499999999999</v>
      </c>
      <c r="E113" s="59">
        <f>((C$5*'Tariffs Jan2022'!AK107/'Tariffs Jan2022'!AI107)*('Tariffs Jan2022'!O107/100))*'Tariffs Jan2022'!AI107</f>
        <v>379.8710999999999</v>
      </c>
      <c r="F113" s="59">
        <v>0</v>
      </c>
      <c r="G113" s="59">
        <v>0</v>
      </c>
      <c r="H113" s="59">
        <v>0</v>
      </c>
      <c r="I113" s="69">
        <v>0</v>
      </c>
      <c r="J113" s="69">
        <f>((C$5*'Tariffs Jan2022'!AL107/'Tariffs Jan2022'!AJ107)*('Tariffs Jan2022'!U107/100))*'Tariffs Jan2022'!AJ107</f>
        <v>637.57259999999985</v>
      </c>
      <c r="K113" s="69">
        <v>0</v>
      </c>
      <c r="L113" s="69">
        <v>0</v>
      </c>
      <c r="M113" s="69">
        <v>0</v>
      </c>
      <c r="N113" s="69">
        <v>0</v>
      </c>
      <c r="O113" s="59">
        <f t="shared" si="105"/>
        <v>1017.4436999999998</v>
      </c>
      <c r="P113" s="503">
        <f t="shared" si="92"/>
        <v>1119.1880699999999</v>
      </c>
      <c r="Q113" s="59">
        <f t="shared" si="106"/>
        <v>1293.0186999999999</v>
      </c>
      <c r="R113" s="272">
        <f t="shared" si="107"/>
        <v>1422.3205699999999</v>
      </c>
      <c r="S113" s="40">
        <f>'Tariffs Jan2022'!AN107</f>
        <v>0</v>
      </c>
      <c r="T113" s="40">
        <f>'Tariffs Jan2022'!AO107</f>
        <v>0</v>
      </c>
      <c r="U113" s="40">
        <f>'Tariffs Jan2022'!AP107</f>
        <v>0</v>
      </c>
      <c r="V113" s="40">
        <f>'Tariffs Jan2022'!AQ107</f>
        <v>0</v>
      </c>
      <c r="W113" s="537" t="str">
        <f t="shared" si="121"/>
        <v>No discount</v>
      </c>
      <c r="X113" s="538" t="str">
        <f t="shared" si="122"/>
        <v>Inclusive</v>
      </c>
      <c r="Y113" s="534">
        <f>IF(AND(W113="Guaranteed off bill",X113="Inclusive"),((Q113*1.1)-((Q113*1.1)*S113/100))/1.1,IF(AND(W113="Guaranteed off usage",X113="Inclusive"),((Q113*1.1)-((P113*1.1)*T113/100))/1.1,IF(AND(W113="Guaranteed off bill",X113="Exclusive"),Q113-(Q113*S113/100),IF(AND(W113="Guaranteed off usage",X113="Exclusive"),Q113-(P113*T113/100),IF(X113="Inclusive",((Q113*1.1))/1.1,Q113)))))</f>
        <v>1293.0186999999999</v>
      </c>
      <c r="Z113" s="535">
        <f>IF(AND(W113="Pay-on-time off bill",X113="Inclusive"),((Y113*1.1)-((Y113*1.1)*U113/100))/1.1,IF(AND(W113="Pay-on-time off usage",X113="Inclusive"),((Y113*1.1)-((P113*1.1)*V113/100))/1.1,IF(AND(W113="Pay-on-time off bill",X113="Exclusive"),Y113-(Y113*U113/100),IF(AND(W113="Pay-on-time off usage",X113="Exclusive"),Y113-(P113*V113/100),IF(X113="Inclusive",((Y113*1.1))/1.1,Y113)))))</f>
        <v>1293.0186999999999</v>
      </c>
      <c r="AA113" s="542">
        <f t="shared" si="123"/>
        <v>1422.3205699999999</v>
      </c>
      <c r="AB113" s="542">
        <f t="shared" si="123"/>
        <v>1422.3205699999999</v>
      </c>
      <c r="AC113" s="274">
        <f>'Tariffs Jan2022'!AZ107</f>
        <v>0</v>
      </c>
      <c r="AD113" s="274" t="str">
        <f>'Tariffs Jan2022'!BA107</f>
        <v>n</v>
      </c>
      <c r="AE113" s="275" t="str">
        <f>'Tariffs Jan2022'!BJ107</f>
        <v>Y</v>
      </c>
      <c r="AF113" s="577"/>
      <c r="AG113" s="577"/>
      <c r="AH113" s="577"/>
      <c r="AI113" s="577"/>
      <c r="AJ113" s="577"/>
      <c r="AK113" s="577"/>
      <c r="AL113" s="577"/>
      <c r="AM113" s="577"/>
      <c r="AN113" s="577"/>
      <c r="AO113" s="577"/>
      <c r="AP113" s="577"/>
      <c r="AQ113" s="577"/>
      <c r="AR113" s="577"/>
      <c r="AS113" s="577"/>
      <c r="AT113" s="577"/>
      <c r="AU113" s="577"/>
      <c r="AV113" s="577"/>
      <c r="AW113" s="577"/>
    </row>
    <row r="114" spans="1:49" ht="14" x14ac:dyDescent="0.15">
      <c r="A114" s="270" t="str">
        <f>'Tariffs Jan2022'!F108</f>
        <v>1st Energy</v>
      </c>
      <c r="B114" s="40" t="str">
        <f>'Tariffs Jan2022'!D108</f>
        <v>AusNet Services Central 2</v>
      </c>
      <c r="C114" s="40" t="str">
        <f>'Tariffs Jan2022'!G108</f>
        <v>1st Saver Plus</v>
      </c>
      <c r="D114" s="59">
        <f>365*'Tariffs Jan2022'!H108/100</f>
        <v>313.89999999999998</v>
      </c>
      <c r="E114" s="59">
        <f>IF($C$5*'Tariffs Jan2022'!AK108/'Tariffs Jan2022'!AI108&gt;='Tariffs Jan2022'!J108,( 'Tariffs Jan2022'!J108*'Tariffs Jan2022'!O108/100)* 'Tariffs Jan2022'!AI108,($C$5*'Tariffs Jan2022'!AK108/'Tariffs Jan2022'!AI108*'Tariffs Jan2022'!O108/100)* 'Tariffs Jan2022'!AI108)</f>
        <v>413.99999999999989</v>
      </c>
      <c r="F114" s="59">
        <f>IF($C$5*'Tariffs Jan2022'!AK108/'Tariffs Jan2022'!AI108&lt;'Tariffs Jan2022'!J108,0,IF($C$5*'Tariffs Jan2022'!AK108/'Tariffs Jan2022'!AI108&lt;='Tariffs Jan2022'!K108,($C$5*'Tariffs Jan2022'!AK108/'Tariffs Jan2022'!AI108-'Tariffs Jan2022'!J108)*('Tariffs Jan2022'!P108/100)*'Tariffs Jan2022'!AI108,('Tariffs Jan2022'!K108-'Tariffs Jan2022'!J108)*('Tariffs Jan2022'!P108/100)*'Tariffs Jan2022'!AI108))</f>
        <v>274.90909090909093</v>
      </c>
      <c r="G114" s="59">
        <f>IF($C$5*'Tariffs Jan2022'!AK108/'Tariffs Jan2022'!AI108&lt;'Tariffs Jan2022'!K108,0,IF($C$5*'Tariffs Jan2022'!AK108/'Tariffs Jan2022'!AI108&lt;='Tariffs Jan2022'!L108,($C$5*'Tariffs Jan2022'!AK108/'Tariffs Jan2022'!AI108-'Tariffs Jan2022'!K108)*('Tariffs Jan2022'!Q108/100)*'Tariffs Jan2022'!AI108,('Tariffs Jan2022'!L108-'Tariffs Jan2022'!K108)*('Tariffs Jan2022'!Q108/100)*'Tariffs Jan2022'!AI108))</f>
        <v>0</v>
      </c>
      <c r="H114" s="59">
        <f>IF($C$5*'Tariffs Jan2022'!AK108/'Tariffs Jan2022'!AI108&lt;'Tariffs Jan2022'!L108,0,IF($C$5*'Tariffs Jan2022'!AK108/'Tariffs Jan2022'!AI108&lt;='Tariffs Jan2022'!M108,($C$5*'Tariffs Jan2022'!AK108/'Tariffs Jan2022'!AI108-'Tariffs Jan2022'!L108)*('Tariffs Jan2022'!R108/100)*'Tariffs Jan2022'!AI108,('Tariffs Jan2022'!M108-'Tariffs Jan2022'!L108)*('Tariffs Jan2022'!R108/100)*'Tariffs Jan2022'!AI108))</f>
        <v>0</v>
      </c>
      <c r="I114" s="69">
        <f>IF(($C$5*'Tariffs Jan2022'!AK108/'Tariffs Jan2022'!AI108&gt;'Tariffs Jan2022'!M108),($C$5*'Tariffs Jan2022'!AK108/'Tariffs Jan2022'!AI108-'Tariffs Jan2022'!M108)*'Tariffs Jan2022'!S108/100*'Tariffs Jan2022'!AI108,0)</f>
        <v>0</v>
      </c>
      <c r="J114" s="69">
        <f>IF($C$5*'Tariffs Jan2022'!AL108/'Tariffs Jan2022'!AJ108&gt;='Tariffs Jan2022'!J108,('Tariffs Jan2022'!J108*'Tariffs Jan2022'!U108/100)* 'Tariffs Jan2022'!AJ108,($C$5*'Tariffs Jan2022'!AL108/'Tariffs Jan2022'!AJ108*'Tariffs Jan2022'!U108/100)* 'Tariffs Jan2022'!AJ108)</f>
        <v>413.99999999999989</v>
      </c>
      <c r="K114" s="69">
        <f>IF($C$5*'Tariffs Jan2022'!AL108/'Tariffs Jan2022'!AJ108&lt;'Tariffs Jan2022'!J108,0,IF($C$5*'Tariffs Jan2022'!AL108/'Tariffs Jan2022'!AJ108&lt;='Tariffs Jan2022'!K108,($C$5*'Tariffs Jan2022'!AL108/'Tariffs Jan2022'!AJ108-'Tariffs Jan2022'!J108)*('Tariffs Jan2022'!V108/100)*'Tariffs Jan2022'!AJ108,('Tariffs Jan2022'!K108-'Tariffs Jan2022'!J108)*('Tariffs Jan2022'!V108/100)*'Tariffs Jan2022'!AJ108))</f>
        <v>274.90909090909093</v>
      </c>
      <c r="L114" s="69">
        <f>IF($C$5*'Tariffs Jan2022'!AL108/'Tariffs Jan2022'!AJ108&lt;'Tariffs Jan2022'!K108,0,IF($C$5*'Tariffs Jan2022'!AL108/'Tariffs Jan2022'!AJ108&lt;='Tariffs Jan2022'!L108,($C$5*'Tariffs Jan2022'!AL108/'Tariffs Jan2022'!AJ108-'Tariffs Jan2022'!K108)*('Tariffs Jan2022'!W108/100)*'Tariffs Jan2022'!AJ108,('Tariffs Jan2022'!L108-'Tariffs Jan2022'!K108)*('Tariffs Jan2022'!W108/100)*'Tariffs Jan2022'!AJ108))</f>
        <v>0</v>
      </c>
      <c r="M114" s="69">
        <f>IF($C$5*'Tariffs Jan2022'!AL108/'Tariffs Jan2022'!AJ108&lt;'Tariffs Jan2022'!L108,0,IF($C$5*'Tariffs Jan2022'!AL108/'Tariffs Jan2022'!AJ108&lt;='Tariffs Jan2022'!M108,($C$5*'Tariffs Jan2022'!AL108/'Tariffs Jan2022'!AJ108-'Tariffs Jan2022'!L108)*('Tariffs Jan2022'!X108/100)*'Tariffs Jan2022'!AJ108,('Tariffs Jan2022'!M108-'Tariffs Jan2022'!L108)*('Tariffs Jan2022'!X108/100)*'Tariffs Jan2022'!AJ108))</f>
        <v>0</v>
      </c>
      <c r="N114" s="69">
        <f>IF(($C$5*'Tariffs Jan2022'!AL108/'Tariffs Jan2022'!AJ108&gt;'Tariffs Jan2022'!M108),($C$5*'Tariffs Jan2022'!AL108/'Tariffs Jan2022'!AJ108-'Tariffs Jan2022'!M108)*'Tariffs Jan2022'!Y108/100*'Tariffs Jan2022'!AJ108,0)</f>
        <v>0</v>
      </c>
      <c r="O114" s="59">
        <f t="shared" si="105"/>
        <v>1377.8181818181815</v>
      </c>
      <c r="P114" s="503">
        <f t="shared" si="92"/>
        <v>1515.6</v>
      </c>
      <c r="Q114" s="59">
        <f t="shared" si="106"/>
        <v>1691.7181818181816</v>
      </c>
      <c r="R114" s="272">
        <f t="shared" si="107"/>
        <v>1860.8899999999999</v>
      </c>
      <c r="S114" s="40">
        <f>'Tariffs Jan2022'!AN108</f>
        <v>0</v>
      </c>
      <c r="T114" s="40">
        <f>'Tariffs Jan2022'!AO108</f>
        <v>12</v>
      </c>
      <c r="U114" s="40">
        <f>'Tariffs Jan2022'!AP108</f>
        <v>0</v>
      </c>
      <c r="V114" s="40">
        <f>'Tariffs Jan2022'!AQ108</f>
        <v>3</v>
      </c>
      <c r="W114" s="537" t="str">
        <f t="shared" si="121"/>
        <v>Guaranteed off usage</v>
      </c>
      <c r="X114" s="538" t="str">
        <f t="shared" si="122"/>
        <v>Exclusive</v>
      </c>
      <c r="Y114" s="534">
        <f>Q114-(P114*T114)/100</f>
        <v>1509.8461818181818</v>
      </c>
      <c r="Z114" s="535">
        <f>Y114-(P114*V114)/100</f>
        <v>1464.3781818181817</v>
      </c>
      <c r="AA114" s="542">
        <f t="shared" si="123"/>
        <v>1660.8308000000002</v>
      </c>
      <c r="AB114" s="542">
        <f t="shared" si="123"/>
        <v>1610.816</v>
      </c>
      <c r="AC114" s="274">
        <f>'Tariffs Jan2022'!AZ108</f>
        <v>0</v>
      </c>
      <c r="AD114" s="274" t="str">
        <f>'Tariffs Jan2022'!BA108</f>
        <v>n</v>
      </c>
      <c r="AE114" s="275" t="str">
        <f>'Tariffs Jan2022'!BJ108</f>
        <v>Y</v>
      </c>
      <c r="AF114" s="577"/>
      <c r="AG114" s="577"/>
      <c r="AH114" s="577"/>
      <c r="AI114" s="577"/>
      <c r="AJ114" s="577"/>
      <c r="AK114" s="577"/>
      <c r="AL114" s="577"/>
      <c r="AM114" s="577"/>
      <c r="AN114" s="577"/>
      <c r="AO114" s="577"/>
      <c r="AP114" s="577"/>
      <c r="AQ114" s="577"/>
      <c r="AR114" s="577"/>
      <c r="AS114" s="577"/>
      <c r="AT114" s="577"/>
      <c r="AU114" s="577"/>
      <c r="AV114" s="577"/>
      <c r="AW114" s="577"/>
    </row>
    <row r="115" spans="1:49" ht="14" x14ac:dyDescent="0.15">
      <c r="A115" s="270" t="str">
        <f>'Tariffs Jan2022'!F109</f>
        <v>Kogan Energy</v>
      </c>
      <c r="B115" s="40" t="str">
        <f>'Tariffs Jan2022'!D109</f>
        <v>AusNet Services Central 2</v>
      </c>
      <c r="C115" s="40" t="str">
        <f>'Tariffs Jan2022'!G109</f>
        <v>Kogan First</v>
      </c>
      <c r="D115" s="59">
        <f>365*'Tariffs Jan2022'!H109/100</f>
        <v>293.22772727272724</v>
      </c>
      <c r="E115" s="59">
        <f>((C$5*'Tariffs Jan2022'!AK109/'Tariffs Jan2022'!AI109)*('Tariffs Jan2022'!O109/100))*'Tariffs Jan2022'!AI109</f>
        <v>379.8710999999999</v>
      </c>
      <c r="F115" s="59">
        <v>0</v>
      </c>
      <c r="G115" s="59">
        <v>0</v>
      </c>
      <c r="H115" s="59">
        <v>0</v>
      </c>
      <c r="I115" s="69">
        <v>0</v>
      </c>
      <c r="J115" s="69">
        <f>((C$5*'Tariffs Jan2022'!AL109/'Tariffs Jan2022'!AJ109)*('Tariffs Jan2022'!U109/100))*'Tariffs Jan2022'!AJ109</f>
        <v>626.11919999999986</v>
      </c>
      <c r="K115" s="69">
        <v>0</v>
      </c>
      <c r="L115" s="69">
        <v>0</v>
      </c>
      <c r="M115" s="69">
        <v>0</v>
      </c>
      <c r="N115" s="69">
        <v>0</v>
      </c>
      <c r="O115" s="59">
        <f t="shared" si="105"/>
        <v>1005.9902999999997</v>
      </c>
      <c r="P115" s="503">
        <f t="shared" si="92"/>
        <v>1106.5893299999998</v>
      </c>
      <c r="Q115" s="59">
        <f t="shared" si="106"/>
        <v>1299.2180272727269</v>
      </c>
      <c r="R115" s="272">
        <f t="shared" si="107"/>
        <v>1429.1398299999996</v>
      </c>
      <c r="S115" s="40">
        <f>'Tariffs Jan2022'!AN109</f>
        <v>0</v>
      </c>
      <c r="T115" s="40">
        <f>'Tariffs Jan2022'!AO109</f>
        <v>0</v>
      </c>
      <c r="U115" s="40">
        <f>'Tariffs Jan2022'!AP109</f>
        <v>0</v>
      </c>
      <c r="V115" s="40">
        <f>'Tariffs Jan2022'!AQ109</f>
        <v>0</v>
      </c>
      <c r="W115" s="537" t="str">
        <f t="shared" si="121"/>
        <v>No discount</v>
      </c>
      <c r="X115" s="538" t="str">
        <f t="shared" si="122"/>
        <v>Exclusive</v>
      </c>
      <c r="Y115" s="534">
        <f t="shared" ref="Y115:Y116" si="132">IF(AND(W115="Guaranteed off bill",X115="Inclusive"),((Q115*1.1)-((Q115*1.1)*S115/100))/1.1,IF(AND(W115="Guaranteed off usage",X115="Inclusive"),((Q115*1.1)-((P115*1.1)*T115/100))/1.1,IF(AND(W115="Guaranteed off bill",X115="Exclusive"),Q115-(Q115*S115/100),IF(AND(W115="Guaranteed off usage",X115="Exclusive"),Q115-(P115*T115/100),IF(X115="Inclusive",((Q115*1.1))/1.1,Q115)))))</f>
        <v>1299.2180272727269</v>
      </c>
      <c r="Z115" s="535">
        <f t="shared" ref="Z115:Z116" si="133">IF(AND(W115="Pay-on-time off bill",X115="Inclusive"),((Y115*1.1)-((Y115*1.1)*U115/100))/1.1,IF(AND(W115="Pay-on-time off usage",X115="Inclusive"),((Y115*1.1)-((P115*1.1)*V115/100))/1.1,IF(AND(W115="Pay-on-time off bill",X115="Exclusive"),Y115-(Y115*U115/100),IF(AND(W115="Pay-on-time off usage",X115="Exclusive"),Y115-(P115*V115/100),IF(X115="Inclusive",((Y115*1.1))/1.1,Y115)))))</f>
        <v>1299.2180272727269</v>
      </c>
      <c r="AA115" s="542">
        <f t="shared" si="123"/>
        <v>1429.1398299999996</v>
      </c>
      <c r="AB115" s="542">
        <f t="shared" si="123"/>
        <v>1429.1398299999996</v>
      </c>
      <c r="AC115" s="274">
        <f>'Tariffs Jan2022'!AZ109</f>
        <v>0</v>
      </c>
      <c r="AD115" s="274" t="str">
        <f>'Tariffs Jan2022'!BA109</f>
        <v>n</v>
      </c>
      <c r="AE115" s="275" t="str">
        <f>'Tariffs Jan2022'!BJ109</f>
        <v>Y</v>
      </c>
      <c r="AF115" s="577"/>
      <c r="AG115" s="577"/>
      <c r="AH115" s="577"/>
      <c r="AI115" s="577"/>
      <c r="AJ115" s="577"/>
      <c r="AK115" s="577"/>
      <c r="AL115" s="577"/>
      <c r="AM115" s="577"/>
      <c r="AN115" s="577"/>
      <c r="AO115" s="577"/>
      <c r="AP115" s="577"/>
      <c r="AQ115" s="577"/>
      <c r="AR115" s="577"/>
      <c r="AS115" s="577"/>
      <c r="AT115" s="577"/>
      <c r="AU115" s="577"/>
      <c r="AV115" s="577"/>
      <c r="AW115" s="577"/>
    </row>
    <row r="116" spans="1:49" ht="14" x14ac:dyDescent="0.15">
      <c r="A116" s="270" t="str">
        <f>'Tariffs Jan2022'!F110</f>
        <v>Tango Energy</v>
      </c>
      <c r="B116" s="40" t="str">
        <f>'Tariffs Jan2022'!D110</f>
        <v>AusNet Services Central 2</v>
      </c>
      <c r="C116" s="40" t="str">
        <f>'Tariffs Jan2022'!G110</f>
        <v>Home Select</v>
      </c>
      <c r="D116" s="59">
        <f>365*'Tariffs Jan2022'!H110/100</f>
        <v>364.99999999999994</v>
      </c>
      <c r="E116" s="59">
        <f>IF($C$5*'Tariffs Jan2022'!AK110/'Tariffs Jan2022'!AI110&gt;='Tariffs Jan2022'!J110,( 'Tariffs Jan2022'!J110*'Tariffs Jan2022'!O110/100)* 'Tariffs Jan2022'!AI110,($C$5*'Tariffs Jan2022'!AK110/'Tariffs Jan2022'!AI110*'Tariffs Jan2022'!O110/100)* 'Tariffs Jan2022'!AI110)</f>
        <v>171.27272727272728</v>
      </c>
      <c r="F116" s="59">
        <f>IF($C$5*'Tariffs Jan2022'!AK110/'Tariffs Jan2022'!AI110&lt;'Tariffs Jan2022'!J110,0,IF($C$5*'Tariffs Jan2022'!AK110/'Tariffs Jan2022'!AI110&lt;='Tariffs Jan2022'!K110,($C$5*'Tariffs Jan2022'!AK110/'Tariffs Jan2022'!AI110-'Tariffs Jan2022'!J110)*('Tariffs Jan2022'!P110/100)*'Tariffs Jan2022'!AI110,('Tariffs Jan2022'!K110-'Tariffs Jan2022'!J110)*('Tariffs Jan2022'!P110/100)*'Tariffs Jan2022'!AI110))</f>
        <v>97.340918181818154</v>
      </c>
      <c r="G116" s="59">
        <f>IF($C$5*'Tariffs Jan2022'!AK110/'Tariffs Jan2022'!AI110&lt;'Tariffs Jan2022'!K110,0,IF($C$5*'Tariffs Jan2022'!AK110/'Tariffs Jan2022'!AI110&lt;='Tariffs Jan2022'!L110,($C$5*'Tariffs Jan2022'!AK110/'Tariffs Jan2022'!AI110-'Tariffs Jan2022'!K110)*('Tariffs Jan2022'!Q110/100)*'Tariffs Jan2022'!AI110,('Tariffs Jan2022'!L110-'Tariffs Jan2022'!K110)*('Tariffs Jan2022'!Q110/100)*'Tariffs Jan2022'!AI110))</f>
        <v>0</v>
      </c>
      <c r="H116" s="59">
        <f>IF($C$5*'Tariffs Jan2022'!AK110/'Tariffs Jan2022'!AI110&lt;'Tariffs Jan2022'!L110,0,IF($C$5*'Tariffs Jan2022'!AK110/'Tariffs Jan2022'!AI110&lt;='Tariffs Jan2022'!M110,($C$5*'Tariffs Jan2022'!AK110/'Tariffs Jan2022'!AI110-'Tariffs Jan2022'!L110)*('Tariffs Jan2022'!R110/100)*'Tariffs Jan2022'!AI110,('Tariffs Jan2022'!M110-'Tariffs Jan2022'!L110)*('Tariffs Jan2022'!R110/100)*'Tariffs Jan2022'!AI110))</f>
        <v>0</v>
      </c>
      <c r="I116" s="69">
        <f>IF(($C$5*'Tariffs Jan2022'!AK110/'Tariffs Jan2022'!AI110&gt;'Tariffs Jan2022'!M110),($C$5*'Tariffs Jan2022'!AK110/'Tariffs Jan2022'!AI110-'Tariffs Jan2022'!M110)*'Tariffs Jan2022'!S110/100*'Tariffs Jan2022'!AI110,0)</f>
        <v>0</v>
      </c>
      <c r="J116" s="69">
        <f>IF($C$5*'Tariffs Jan2022'!AL110/'Tariffs Jan2022'!AJ110&gt;='Tariffs Jan2022'!J110,('Tariffs Jan2022'!J110*'Tariffs Jan2022'!U110/100)* 'Tariffs Jan2022'!AJ110,($C$5*'Tariffs Jan2022'!AL110/'Tariffs Jan2022'!AJ110*'Tariffs Jan2022'!U110/100)* 'Tariffs Jan2022'!AJ110)</f>
        <v>277.09090909090907</v>
      </c>
      <c r="K116" s="69">
        <f>IF($C$5*'Tariffs Jan2022'!AL110/'Tariffs Jan2022'!AJ110&lt;'Tariffs Jan2022'!J110,0,IF($C$5*'Tariffs Jan2022'!AL110/'Tariffs Jan2022'!AJ110&lt;='Tariffs Jan2022'!K110,($C$5*'Tariffs Jan2022'!AL110/'Tariffs Jan2022'!AJ110-'Tariffs Jan2022'!J110)*('Tariffs Jan2022'!V110/100)*'Tariffs Jan2022'!AJ110,('Tariffs Jan2022'!K110-'Tariffs Jan2022'!J110)*('Tariffs Jan2022'!V110/100)*'Tariffs Jan2022'!AJ110))</f>
        <v>194.68183636363631</v>
      </c>
      <c r="L116" s="69">
        <f>IF($C$5*'Tariffs Jan2022'!AL110/'Tariffs Jan2022'!AJ110&lt;'Tariffs Jan2022'!K110,0,IF($C$5*'Tariffs Jan2022'!AL110/'Tariffs Jan2022'!AJ110&lt;='Tariffs Jan2022'!L110,($C$5*'Tariffs Jan2022'!AL110/'Tariffs Jan2022'!AJ110-'Tariffs Jan2022'!K110)*('Tariffs Jan2022'!W110/100)*'Tariffs Jan2022'!AJ110,('Tariffs Jan2022'!L110-'Tariffs Jan2022'!K110)*('Tariffs Jan2022'!W110/100)*'Tariffs Jan2022'!AJ110))</f>
        <v>0</v>
      </c>
      <c r="M116" s="69">
        <f>IF($C$5*'Tariffs Jan2022'!AL110/'Tariffs Jan2022'!AJ110&lt;'Tariffs Jan2022'!L110,0,IF($C$5*'Tariffs Jan2022'!AL110/'Tariffs Jan2022'!AJ110&lt;='Tariffs Jan2022'!M110,($C$5*'Tariffs Jan2022'!AL110/'Tariffs Jan2022'!AJ110-'Tariffs Jan2022'!L110)*('Tariffs Jan2022'!X110/100)*'Tariffs Jan2022'!AJ110,('Tariffs Jan2022'!M110-'Tariffs Jan2022'!L110)*('Tariffs Jan2022'!X110/100)*'Tariffs Jan2022'!AJ110))</f>
        <v>0</v>
      </c>
      <c r="N116" s="69">
        <f>IF(($C$5*'Tariffs Jan2022'!AL110/'Tariffs Jan2022'!AJ110&gt;'Tariffs Jan2022'!M110),($C$5*'Tariffs Jan2022'!AL110/'Tariffs Jan2022'!AJ110-'Tariffs Jan2022'!M110)*'Tariffs Jan2022'!Y110/100*'Tariffs Jan2022'!AJ110,0)</f>
        <v>0</v>
      </c>
      <c r="O116" s="59">
        <f t="shared" si="105"/>
        <v>740.38639090909089</v>
      </c>
      <c r="P116" s="503">
        <f t="shared" si="92"/>
        <v>814.42502999999999</v>
      </c>
      <c r="Q116" s="59">
        <f t="shared" si="106"/>
        <v>1105.3863909090908</v>
      </c>
      <c r="R116" s="272">
        <f t="shared" si="107"/>
        <v>1215.9250299999999</v>
      </c>
      <c r="S116" s="40">
        <f>'Tariffs Jan2022'!AN110</f>
        <v>0</v>
      </c>
      <c r="T116" s="40">
        <f>'Tariffs Jan2022'!AO110</f>
        <v>0</v>
      </c>
      <c r="U116" s="40">
        <f>'Tariffs Jan2022'!AP110</f>
        <v>0</v>
      </c>
      <c r="V116" s="40">
        <f>'Tariffs Jan2022'!AQ110</f>
        <v>0</v>
      </c>
      <c r="W116" s="537" t="str">
        <f t="shared" si="121"/>
        <v>No discount</v>
      </c>
      <c r="X116" s="538" t="str">
        <f t="shared" si="122"/>
        <v>Exclusive</v>
      </c>
      <c r="Y116" s="534">
        <f t="shared" si="132"/>
        <v>1105.3863909090908</v>
      </c>
      <c r="Z116" s="535">
        <f t="shared" si="133"/>
        <v>1105.3863909090908</v>
      </c>
      <c r="AA116" s="542">
        <f t="shared" si="123"/>
        <v>1215.9250299999999</v>
      </c>
      <c r="AB116" s="542">
        <f t="shared" si="123"/>
        <v>1215.9250299999999</v>
      </c>
      <c r="AC116" s="274">
        <f>'Tariffs Jan2022'!AZ110</f>
        <v>0</v>
      </c>
      <c r="AD116" s="274" t="str">
        <f>'Tariffs Jan2022'!BA110</f>
        <v>n</v>
      </c>
      <c r="AE116" s="275" t="str">
        <f>'Tariffs Jan2022'!BJ110</f>
        <v>N</v>
      </c>
      <c r="AF116" s="577"/>
      <c r="AG116" s="577"/>
      <c r="AH116" s="577"/>
      <c r="AI116" s="577"/>
      <c r="AJ116" s="577"/>
      <c r="AK116" s="577"/>
      <c r="AL116" s="577"/>
      <c r="AM116" s="577"/>
      <c r="AN116" s="577"/>
      <c r="AO116" s="577"/>
      <c r="AP116" s="577"/>
      <c r="AQ116" s="577"/>
      <c r="AR116" s="577"/>
      <c r="AS116" s="577"/>
      <c r="AT116" s="577"/>
      <c r="AU116" s="577"/>
      <c r="AV116" s="577"/>
      <c r="AW116" s="577"/>
    </row>
    <row r="117" spans="1:49" ht="15" thickBot="1" x14ac:dyDescent="0.2">
      <c r="A117" s="276" t="str">
        <f>'Tariffs Jan2022'!F111</f>
        <v>Discover Energy</v>
      </c>
      <c r="B117" s="277" t="str">
        <f>'Tariffs Jan2022'!D111</f>
        <v>AusNet Services Central 2</v>
      </c>
      <c r="C117" s="277" t="str">
        <f>'Tariffs Jan2022'!G111</f>
        <v>Budget Offer</v>
      </c>
      <c r="D117" s="278">
        <f>365*'Tariffs Jan2022'!H111/100</f>
        <v>255.46681818181816</v>
      </c>
      <c r="E117" s="278">
        <f>IF($C$5*'Tariffs Jan2022'!AK111/'Tariffs Jan2022'!AI111&gt;='Tariffs Jan2022'!J111,( 'Tariffs Jan2022'!J111*'Tariffs Jan2022'!O111/100)* 'Tariffs Jan2022'!AI111,($C$5*'Tariffs Jan2022'!AK111/'Tariffs Jan2022'!AI111*'Tariffs Jan2022'!O111/100)* 'Tariffs Jan2022'!AI111)</f>
        <v>304.36363636363632</v>
      </c>
      <c r="F117" s="278">
        <f>IF($C$5*'Tariffs Jan2022'!AK111/'Tariffs Jan2022'!AI111&lt;'Tariffs Jan2022'!J111,0,IF($C$5*'Tariffs Jan2022'!AK111/'Tariffs Jan2022'!AI111&lt;='Tariffs Jan2022'!K111,($C$5*'Tariffs Jan2022'!AK111/'Tariffs Jan2022'!AI111-'Tariffs Jan2022'!J111)*('Tariffs Jan2022'!P111/100)*'Tariffs Jan2022'!AI111,('Tariffs Jan2022'!K111-'Tariffs Jan2022'!J111)*('Tariffs Jan2022'!P111/100)*'Tariffs Jan2022'!AI111))</f>
        <v>168.50612727272721</v>
      </c>
      <c r="G117" s="278">
        <f>IF($C$5*'Tariffs Jan2022'!AK111/'Tariffs Jan2022'!AI111&lt;'Tariffs Jan2022'!K111,0,IF($C$5*'Tariffs Jan2022'!AK111/'Tariffs Jan2022'!AI111&lt;='Tariffs Jan2022'!L111,($C$5*'Tariffs Jan2022'!AK111/'Tariffs Jan2022'!AI111-'Tariffs Jan2022'!K111)*('Tariffs Jan2022'!Q111/100)*'Tariffs Jan2022'!AI111,('Tariffs Jan2022'!L111-'Tariffs Jan2022'!K111)*('Tariffs Jan2022'!Q111/100)*'Tariffs Jan2022'!AI111))</f>
        <v>0</v>
      </c>
      <c r="H117" s="278">
        <f>IF($C$5*'Tariffs Jan2022'!AK111/'Tariffs Jan2022'!AI111&lt;'Tariffs Jan2022'!L111,0,IF($C$5*'Tariffs Jan2022'!AK111/'Tariffs Jan2022'!AI111&lt;='Tariffs Jan2022'!M111,($C$5*'Tariffs Jan2022'!AK111/'Tariffs Jan2022'!AI111-'Tariffs Jan2022'!L111)*('Tariffs Jan2022'!R111/100)*'Tariffs Jan2022'!AI111,('Tariffs Jan2022'!M111-'Tariffs Jan2022'!L111)*('Tariffs Jan2022'!R111/100)*'Tariffs Jan2022'!AI111))</f>
        <v>0</v>
      </c>
      <c r="I117" s="547">
        <f>IF(($C$5*'Tariffs Jan2022'!AK111/'Tariffs Jan2022'!AI111&gt;'Tariffs Jan2022'!M111),($C$5*'Tariffs Jan2022'!AK111/'Tariffs Jan2022'!AI111-'Tariffs Jan2022'!M111)*'Tariffs Jan2022'!S111/100*'Tariffs Jan2022'!AI111,0)</f>
        <v>0</v>
      </c>
      <c r="J117" s="547">
        <f>IF($C$5*'Tariffs Jan2022'!AL111/'Tariffs Jan2022'!AJ111&gt;='Tariffs Jan2022'!J111,('Tariffs Jan2022'!J111*'Tariffs Jan2022'!U111/100)* 'Tariffs Jan2022'!AJ111,($C$5*'Tariffs Jan2022'!AL111/'Tariffs Jan2022'!AJ111*'Tariffs Jan2022'!U111/100)* 'Tariffs Jan2022'!AJ111)</f>
        <v>445.09090909090907</v>
      </c>
      <c r="K117" s="547">
        <f>IF($C$5*'Tariffs Jan2022'!AL111/'Tariffs Jan2022'!AJ111&lt;'Tariffs Jan2022'!J111,0,IF($C$5*'Tariffs Jan2022'!AL111/'Tariffs Jan2022'!AJ111&lt;='Tariffs Jan2022'!K111,($C$5*'Tariffs Jan2022'!AL111/'Tariffs Jan2022'!AJ111-'Tariffs Jan2022'!J111)*('Tariffs Jan2022'!V111/100)*'Tariffs Jan2022'!AJ111,('Tariffs Jan2022'!K111-'Tariffs Jan2022'!J111)*('Tariffs Jan2022'!V111/100)*'Tariffs Jan2022'!AJ111))</f>
        <v>289.56878181818172</v>
      </c>
      <c r="L117" s="547">
        <f>IF($C$5*'Tariffs Jan2022'!AL111/'Tariffs Jan2022'!AJ111&lt;'Tariffs Jan2022'!K111,0,IF($C$5*'Tariffs Jan2022'!AL111/'Tariffs Jan2022'!AJ111&lt;='Tariffs Jan2022'!L111,($C$5*'Tariffs Jan2022'!AL111/'Tariffs Jan2022'!AJ111-'Tariffs Jan2022'!K111)*('Tariffs Jan2022'!W111/100)*'Tariffs Jan2022'!AJ111,('Tariffs Jan2022'!L111-'Tariffs Jan2022'!K111)*('Tariffs Jan2022'!W111/100)*'Tariffs Jan2022'!AJ111))</f>
        <v>0</v>
      </c>
      <c r="M117" s="547">
        <f>IF($C$5*'Tariffs Jan2022'!AL111/'Tariffs Jan2022'!AJ111&lt;'Tariffs Jan2022'!L111,0,IF($C$5*'Tariffs Jan2022'!AL111/'Tariffs Jan2022'!AJ111&lt;='Tariffs Jan2022'!M111,($C$5*'Tariffs Jan2022'!AL111/'Tariffs Jan2022'!AJ111-'Tariffs Jan2022'!L111)*('Tariffs Jan2022'!X111/100)*'Tariffs Jan2022'!AJ111,('Tariffs Jan2022'!M111-'Tariffs Jan2022'!L111)*('Tariffs Jan2022'!X111/100)*'Tariffs Jan2022'!AJ111))</f>
        <v>0</v>
      </c>
      <c r="N117" s="547">
        <f>IF(($C$5*'Tariffs Jan2022'!AL111/'Tariffs Jan2022'!AJ111&gt;'Tariffs Jan2022'!M111),($C$5*'Tariffs Jan2022'!AL111/'Tariffs Jan2022'!AJ111-'Tariffs Jan2022'!M111)*'Tariffs Jan2022'!Y111/100*'Tariffs Jan2022'!AJ111,0)</f>
        <v>0</v>
      </c>
      <c r="O117" s="278">
        <f t="shared" ref="O117" si="134">SUM(E117:N117)</f>
        <v>1207.5294545454544</v>
      </c>
      <c r="P117" s="504">
        <f t="shared" ref="P117" si="135">O117*1.1</f>
        <v>1328.2824000000001</v>
      </c>
      <c r="Q117" s="278">
        <f t="shared" ref="Q117" si="136">D117+O117</f>
        <v>1462.9962727272725</v>
      </c>
      <c r="R117" s="280">
        <f t="shared" ref="R117" si="137">Q117*1.1</f>
        <v>1609.2958999999998</v>
      </c>
      <c r="S117" s="277">
        <f>'Tariffs Jan2022'!AN111</f>
        <v>0</v>
      </c>
      <c r="T117" s="277">
        <f>'Tariffs Jan2022'!AO111</f>
        <v>22</v>
      </c>
      <c r="U117" s="277">
        <f>'Tariffs Jan2022'!AP111</f>
        <v>0</v>
      </c>
      <c r="V117" s="277">
        <f>'Tariffs Jan2022'!AQ111</f>
        <v>0</v>
      </c>
      <c r="W117" s="540" t="str">
        <f t="shared" ref="W117" si="138">IF(SUM(S117:V117)=0,"No discount",IF(S117&gt;0,"Guaranteed off bill",IF(T117&gt;0,"Guaranteed off usage",IF(U117&gt;0,"Pay-on-time off bill","Pay-on-time off usage"))))</f>
        <v>Guaranteed off usage</v>
      </c>
      <c r="X117" s="541" t="str">
        <f t="shared" ref="X117" si="139">IF(OR(A117="Origin Energy",A117="Red Energy",A117="Powershop"),"Inclusive","Exclusive")</f>
        <v>Exclusive</v>
      </c>
      <c r="Y117" s="543">
        <f t="shared" ref="Y117" si="140">IF(AND(W117="Guaranteed off bill",X117="Inclusive"),((Q117*1.1)-((Q117*1.1)*S117/100))/1.1,IF(AND(W117="Guaranteed off usage",X117="Inclusive"),((Q117*1.1)-((P117*1.1)*T117/100))/1.1,IF(AND(W117="Guaranteed off bill",X117="Exclusive"),Q117-(Q117*S117/100),IF(AND(W117="Guaranteed off usage",X117="Exclusive"),Q117-(P117*T117/100),IF(X117="Inclusive",((Q117*1.1))/1.1,Q117)))))</f>
        <v>1170.7741447272724</v>
      </c>
      <c r="Z117" s="544">
        <f t="shared" ref="Z117" si="141">IF(AND(W117="Pay-on-time off bill",X117="Inclusive"),((Y117*1.1)-((Y117*1.1)*U117/100))/1.1,IF(AND(W117="Pay-on-time off usage",X117="Inclusive"),((Y117*1.1)-((P117*1.1)*V117/100))/1.1,IF(AND(W117="Pay-on-time off bill",X117="Exclusive"),Y117-(Y117*U117/100),IF(AND(W117="Pay-on-time off usage",X117="Exclusive"),Y117-(P117*V117/100),IF(X117="Inclusive",((Y117*1.1))/1.1,Y117)))))</f>
        <v>1170.7741447272724</v>
      </c>
      <c r="AA117" s="545">
        <f t="shared" ref="AA117" si="142">Y117*1.1</f>
        <v>1287.8515591999997</v>
      </c>
      <c r="AB117" s="545">
        <f t="shared" ref="AB117" si="143">Z117*1.1</f>
        <v>1287.8515591999997</v>
      </c>
      <c r="AC117" s="282">
        <f>'Tariffs Jan2022'!AZ111</f>
        <v>0</v>
      </c>
      <c r="AD117" s="282" t="str">
        <f>'Tariffs Jan2022'!BA111</f>
        <v>n</v>
      </c>
      <c r="AE117" s="283" t="str">
        <f>'Tariffs Jan2022'!BJ111</f>
        <v>N</v>
      </c>
      <c r="AF117" s="577"/>
      <c r="AG117" s="577"/>
      <c r="AH117" s="577"/>
      <c r="AI117" s="577"/>
      <c r="AJ117" s="577"/>
      <c r="AK117" s="577"/>
      <c r="AL117" s="577"/>
      <c r="AM117" s="577"/>
      <c r="AN117" s="577"/>
      <c r="AO117" s="577"/>
      <c r="AP117" s="577"/>
      <c r="AQ117" s="577"/>
      <c r="AR117" s="577"/>
      <c r="AS117" s="577"/>
      <c r="AT117" s="577"/>
      <c r="AU117" s="577"/>
      <c r="AV117" s="577"/>
      <c r="AW117" s="577"/>
    </row>
    <row r="118" spans="1:49" ht="15" thickTop="1" x14ac:dyDescent="0.15">
      <c r="A118" s="270" t="str">
        <f>'Tariffs Jan2022'!F112</f>
        <v>AGL</v>
      </c>
      <c r="B118" s="40" t="str">
        <f>'Tariffs Jan2022'!D112</f>
        <v>AusNet Services Central 1</v>
      </c>
      <c r="C118" s="40" t="str">
        <f>'Tariffs Jan2022'!G112</f>
        <v>Flexible Saver</v>
      </c>
      <c r="D118" s="59">
        <f>365*'Tariffs Jan2022'!H112/100</f>
        <v>339.44999999999993</v>
      </c>
      <c r="E118" s="59">
        <f>IF($C$5*'Tariffs Jan2022'!AK112/'Tariffs Jan2022'!AI112&gt;='Tariffs Jan2022'!J112,( 'Tariffs Jan2022'!J112*'Tariffs Jan2022'!O112/100)* 'Tariffs Jan2022'!AI112,($C$5*'Tariffs Jan2022'!AK112/'Tariffs Jan2022'!AI112*'Tariffs Jan2022'!O112/100)* 'Tariffs Jan2022'!AI112)</f>
        <v>271.63636363636363</v>
      </c>
      <c r="F118" s="59">
        <f>IF($C$5*'Tariffs Jan2022'!AK112/'Tariffs Jan2022'!AI112&lt;'Tariffs Jan2022'!J112,0,IF($C$5*'Tariffs Jan2022'!AK112/'Tariffs Jan2022'!AI112&lt;='Tariffs Jan2022'!K112,($C$5*'Tariffs Jan2022'!AK112/'Tariffs Jan2022'!AI112-'Tariffs Jan2022'!J112)*('Tariffs Jan2022'!P112/100)*'Tariffs Jan2022'!AI112,('Tariffs Jan2022'!K112-'Tariffs Jan2022'!J112)*('Tariffs Jan2022'!P112/100)*'Tariffs Jan2022'!AI112))</f>
        <v>196.31781818181813</v>
      </c>
      <c r="G118" s="59">
        <f>IF($C$5*'Tariffs Jan2022'!AK112/'Tariffs Jan2022'!AI112&lt;'Tariffs Jan2022'!K112,0,IF($C$5*'Tariffs Jan2022'!AK112/'Tariffs Jan2022'!AI112&lt;='Tariffs Jan2022'!L112,($C$5*'Tariffs Jan2022'!AK112/'Tariffs Jan2022'!AI112-'Tariffs Jan2022'!K112)*('Tariffs Jan2022'!Q112/100)*'Tariffs Jan2022'!AI112,('Tariffs Jan2022'!L112-'Tariffs Jan2022'!K112)*('Tariffs Jan2022'!Q112/100)*'Tariffs Jan2022'!AI112))</f>
        <v>0</v>
      </c>
      <c r="H118" s="59">
        <f>IF($C$5*'Tariffs Jan2022'!AK112/'Tariffs Jan2022'!AI112&lt;'Tariffs Jan2022'!L112,0,IF($C$5*'Tariffs Jan2022'!AK112/'Tariffs Jan2022'!AI112&lt;='Tariffs Jan2022'!M112,($C$5*'Tariffs Jan2022'!AK112/'Tariffs Jan2022'!AI112-'Tariffs Jan2022'!L112)*('Tariffs Jan2022'!R112/100)*'Tariffs Jan2022'!AI112,('Tariffs Jan2022'!M112-'Tariffs Jan2022'!L112)*('Tariffs Jan2022'!R112/100)*'Tariffs Jan2022'!AI112))</f>
        <v>0</v>
      </c>
      <c r="I118" s="69">
        <f>IF(($C$5*'Tariffs Jan2022'!AK112/'Tariffs Jan2022'!AI112&gt;'Tariffs Jan2022'!M112),($C$5*'Tariffs Jan2022'!AK112/'Tariffs Jan2022'!AI112-'Tariffs Jan2022'!M112)*'Tariffs Jan2022'!S112/100*'Tariffs Jan2022'!AI112,0)</f>
        <v>0</v>
      </c>
      <c r="J118" s="69">
        <f>IF($C$5*'Tariffs Jan2022'!AL112/'Tariffs Jan2022'!AJ112&gt;='Tariffs Jan2022'!J112,('Tariffs Jan2022'!J112*'Tariffs Jan2022'!U112/100)* 'Tariffs Jan2022'!AJ112,($C$5*'Tariffs Jan2022'!AL112/'Tariffs Jan2022'!AJ112*'Tariffs Jan2022'!U112/100)* 'Tariffs Jan2022'!AJ112)</f>
        <v>464.72727272727263</v>
      </c>
      <c r="K118" s="69">
        <f>IF($C$5*'Tariffs Jan2022'!AL112/'Tariffs Jan2022'!AJ112&lt;'Tariffs Jan2022'!J112,0,IF($C$5*'Tariffs Jan2022'!AL112/'Tariffs Jan2022'!AJ112&lt;='Tariffs Jan2022'!K112,($C$5*'Tariffs Jan2022'!AL112/'Tariffs Jan2022'!AJ112-'Tariffs Jan2022'!J112)*('Tariffs Jan2022'!V112/100)*'Tariffs Jan2022'!AJ112,('Tariffs Jan2022'!K112-'Tariffs Jan2022'!J112)*('Tariffs Jan2022'!V112/100)*'Tariffs Jan2022'!AJ112))</f>
        <v>301.02065454545448</v>
      </c>
      <c r="L118" s="69">
        <f>IF($C$5*'Tariffs Jan2022'!AL112/'Tariffs Jan2022'!AJ112&lt;'Tariffs Jan2022'!K112,0,IF($C$5*'Tariffs Jan2022'!AL112/'Tariffs Jan2022'!AJ112&lt;='Tariffs Jan2022'!L112,($C$5*'Tariffs Jan2022'!AL112/'Tariffs Jan2022'!AJ112-'Tariffs Jan2022'!K112)*('Tariffs Jan2022'!W112/100)*'Tariffs Jan2022'!AJ112,('Tariffs Jan2022'!L112-'Tariffs Jan2022'!K112)*('Tariffs Jan2022'!W112/100)*'Tariffs Jan2022'!AJ112))</f>
        <v>0</v>
      </c>
      <c r="M118" s="69">
        <f>IF($C$5*'Tariffs Jan2022'!AL112/'Tariffs Jan2022'!AJ112&lt;'Tariffs Jan2022'!L112,0,IF($C$5*'Tariffs Jan2022'!AL112/'Tariffs Jan2022'!AJ112&lt;='Tariffs Jan2022'!M112,($C$5*'Tariffs Jan2022'!AL112/'Tariffs Jan2022'!AJ112-'Tariffs Jan2022'!L112)*('Tariffs Jan2022'!X112/100)*'Tariffs Jan2022'!AJ112,('Tariffs Jan2022'!M112-'Tariffs Jan2022'!L112)*('Tariffs Jan2022'!X112/100)*'Tariffs Jan2022'!AJ112))</f>
        <v>0</v>
      </c>
      <c r="N118" s="69">
        <f>IF(($C$5*'Tariffs Jan2022'!AL112/'Tariffs Jan2022'!AJ112&gt;'Tariffs Jan2022'!M112),($C$5*'Tariffs Jan2022'!AL112/'Tariffs Jan2022'!AJ112-'Tariffs Jan2022'!M112)*'Tariffs Jan2022'!Y112/100*'Tariffs Jan2022'!AJ112,0)</f>
        <v>0</v>
      </c>
      <c r="O118" s="59">
        <f t="shared" si="105"/>
        <v>1233.7021090909088</v>
      </c>
      <c r="P118" s="503">
        <f t="shared" si="92"/>
        <v>1357.0723199999998</v>
      </c>
      <c r="Q118" s="59">
        <f t="shared" si="106"/>
        <v>1573.1521090909087</v>
      </c>
      <c r="R118" s="272">
        <f t="shared" si="107"/>
        <v>1730.4673199999997</v>
      </c>
      <c r="S118" s="40">
        <f>'Tariffs Jan2022'!AN112</f>
        <v>0</v>
      </c>
      <c r="T118" s="40">
        <f>'Tariffs Jan2022'!AO112</f>
        <v>0</v>
      </c>
      <c r="U118" s="40">
        <f>'Tariffs Jan2022'!AP112</f>
        <v>0</v>
      </c>
      <c r="V118" s="40">
        <f>'Tariffs Jan2022'!AQ112</f>
        <v>0</v>
      </c>
      <c r="W118" s="537" t="str">
        <f>IF(SUM(S118:V118)=0,"No discount",IF(S118&gt;0,"Guaranteed off bill",IF(T118&gt;0,"Guaranteed off usage",IF(U118&gt;0,"Pay-on-time off bill","Pay-on-time off usage"))))</f>
        <v>No discount</v>
      </c>
      <c r="X118" s="538" t="str">
        <f>IF(OR(A118="Origin Energy",A118="Red Energy",A118="Powershop"),"Inclusive","Exclusive")</f>
        <v>Exclusive</v>
      </c>
      <c r="Y118" s="534">
        <f>IF(AND(W118="Guaranteed off bill",X118="Inclusive"),((Q118*1.1)-((Q118*1.1)*S118/100))/1.1,IF(AND(W118="Guaranteed off usage",X118="Inclusive"),((Q118*1.1)-((P118*1.1)*T118/100))/1.1,IF(AND(W118="Guaranteed off bill",X118="Exclusive"),Q118-(Q118*S118/100),IF(AND(W118="Guaranteed off usage",X118="Exclusive"),Q118-(P118*T118/100),IF(X118="Inclusive",((Q118*1.1))/1.1,Q118)))))</f>
        <v>1573.1521090909087</v>
      </c>
      <c r="Z118" s="535">
        <f>IF(AND(W118="Pay-on-time off bill",X118="Inclusive"),((Y118*1.1)-((Y118*1.1)*U118/100))/1.1,IF(AND(W118="Pay-on-time off usage",X118="Inclusive"),((Y118*1.1)-((P118*1.1)*V118/100))/1.1,IF(AND(W118="Pay-on-time off bill",X118="Exclusive"),Y118-(Y118*U118/100),IF(AND(W118="Pay-on-time off usage",X118="Exclusive"),Y118-(P118*V118/100),IF(X118="Inclusive",((Y118*1.1))/1.1,Y118)))))</f>
        <v>1573.1521090909087</v>
      </c>
      <c r="AA118" s="542">
        <f t="shared" si="123"/>
        <v>1730.4673199999997</v>
      </c>
      <c r="AB118" s="542">
        <f t="shared" si="123"/>
        <v>1730.4673199999997</v>
      </c>
      <c r="AC118" s="274">
        <f>'Tariffs Jan2022'!AZ112</f>
        <v>0</v>
      </c>
      <c r="AD118" s="274" t="str">
        <f>'Tariffs Jan2022'!BA112</f>
        <v>n</v>
      </c>
      <c r="AE118" s="275" t="str">
        <f>'Tariffs Jan2022'!BJ112</f>
        <v>N</v>
      </c>
      <c r="AF118" s="577"/>
      <c r="AG118" s="577"/>
      <c r="AH118" s="577"/>
      <c r="AI118" s="577"/>
      <c r="AJ118" s="577"/>
      <c r="AK118" s="577"/>
      <c r="AL118" s="577"/>
      <c r="AM118" s="577"/>
      <c r="AN118" s="577"/>
      <c r="AO118" s="577"/>
      <c r="AP118" s="577"/>
      <c r="AQ118" s="577"/>
      <c r="AR118" s="577"/>
      <c r="AS118" s="577"/>
      <c r="AT118" s="577"/>
      <c r="AU118" s="577"/>
      <c r="AV118" s="577"/>
      <c r="AW118" s="577"/>
    </row>
    <row r="119" spans="1:49" ht="14" x14ac:dyDescent="0.15">
      <c r="A119" s="270" t="str">
        <f>'Tariffs Jan2022'!F113</f>
        <v>Alinta Energy</v>
      </c>
      <c r="B119" s="40" t="str">
        <f>'Tariffs Jan2022'!D113</f>
        <v>AusNet Services Central 1</v>
      </c>
      <c r="C119" s="40" t="str">
        <f>'Tariffs Jan2022'!G113</f>
        <v>Home Deal</v>
      </c>
      <c r="D119" s="59">
        <f>365*'Tariffs Jan2022'!H113/100</f>
        <v>247.56954545454545</v>
      </c>
      <c r="E119" s="59">
        <f>IF($C$5*'Tariffs Jan2022'!AK113/'Tariffs Jan2022'!AI113&gt;='Tariffs Jan2022'!J113,( 'Tariffs Jan2022'!J113*'Tariffs Jan2022'!O113/100)* 'Tariffs Jan2022'!AI113,($C$5*'Tariffs Jan2022'!AK113/'Tariffs Jan2022'!AI113*'Tariffs Jan2022'!O113/100)* 'Tariffs Jan2022'!AI113)</f>
        <v>231.27272727272728</v>
      </c>
      <c r="F119" s="59">
        <f>IF($C$5*'Tariffs Jan2022'!AK113/'Tariffs Jan2022'!AI113&lt;'Tariffs Jan2022'!J113,0,IF($C$5*'Tariffs Jan2022'!AK113/'Tariffs Jan2022'!AI113&lt;='Tariffs Jan2022'!K113,($C$5*'Tariffs Jan2022'!AK113/'Tariffs Jan2022'!AI113-'Tariffs Jan2022'!J113)*('Tariffs Jan2022'!P113/100)*'Tariffs Jan2022'!AI113,('Tariffs Jan2022'!K113-'Tariffs Jan2022'!J113)*('Tariffs Jan2022'!P113/100)*'Tariffs Jan2022'!AI113))</f>
        <v>0</v>
      </c>
      <c r="G119" s="59">
        <f>IF($C$5*'Tariffs Jan2022'!AK113/'Tariffs Jan2022'!AI113&lt;'Tariffs Jan2022'!K113,0,IF($C$5*'Tariffs Jan2022'!AK113/'Tariffs Jan2022'!AI113&lt;='Tariffs Jan2022'!L113,($C$5*'Tariffs Jan2022'!AK113/'Tariffs Jan2022'!AI113-'Tariffs Jan2022'!K113)*('Tariffs Jan2022'!Q113/100)*'Tariffs Jan2022'!AI113,('Tariffs Jan2022'!L113-'Tariffs Jan2022'!K113)*('Tariffs Jan2022'!Q113/100)*'Tariffs Jan2022'!AI113))</f>
        <v>0</v>
      </c>
      <c r="H119" s="59">
        <f>IF($C$5*'Tariffs Jan2022'!AK113/'Tariffs Jan2022'!AI113&lt;'Tariffs Jan2022'!L113,0,IF($C$5*'Tariffs Jan2022'!AK113/'Tariffs Jan2022'!AI113&lt;='Tariffs Jan2022'!M113,($C$5*'Tariffs Jan2022'!AK113/'Tariffs Jan2022'!AI113-'Tariffs Jan2022'!L113)*('Tariffs Jan2022'!R113/100)*'Tariffs Jan2022'!AI113,('Tariffs Jan2022'!M113-'Tariffs Jan2022'!L113)*('Tariffs Jan2022'!R113/100)*'Tariffs Jan2022'!AI113))</f>
        <v>0</v>
      </c>
      <c r="I119" s="69">
        <f>IF(($C$5*'Tariffs Jan2022'!AK113/'Tariffs Jan2022'!AI113&gt;'Tariffs Jan2022'!M113),($C$5*'Tariffs Jan2022'!AK113/'Tariffs Jan2022'!AI113-'Tariffs Jan2022'!M113)*'Tariffs Jan2022'!S113/100*'Tariffs Jan2022'!AI113,0)</f>
        <v>127.60658181818178</v>
      </c>
      <c r="J119" s="69">
        <f>IF($C$5*'Tariffs Jan2022'!AL113/'Tariffs Jan2022'!AJ113&gt;='Tariffs Jan2022'!J113,('Tariffs Jan2022'!J113*'Tariffs Jan2022'!U113/100)* 'Tariffs Jan2022'!AJ113,($C$5*'Tariffs Jan2022'!AL113/'Tariffs Jan2022'!AJ113*'Tariffs Jan2022'!U113/100)* 'Tariffs Jan2022'!AJ113)</f>
        <v>421.09090909090907</v>
      </c>
      <c r="K119" s="69">
        <f>IF($C$5*'Tariffs Jan2022'!AL113/'Tariffs Jan2022'!AJ113&lt;'Tariffs Jan2022'!J113,0,IF($C$5*'Tariffs Jan2022'!AL113/'Tariffs Jan2022'!AJ113&lt;='Tariffs Jan2022'!K113,($C$5*'Tariffs Jan2022'!AL113/'Tariffs Jan2022'!AJ113-'Tariffs Jan2022'!J113)*('Tariffs Jan2022'!V113/100)*'Tariffs Jan2022'!AJ113,('Tariffs Jan2022'!K113-'Tariffs Jan2022'!J113)*('Tariffs Jan2022'!V113/100)*'Tariffs Jan2022'!AJ113))</f>
        <v>0</v>
      </c>
      <c r="L119" s="69">
        <f>IF($C$5*'Tariffs Jan2022'!AL113/'Tariffs Jan2022'!AJ113&lt;'Tariffs Jan2022'!K113,0,IF($C$5*'Tariffs Jan2022'!AL113/'Tariffs Jan2022'!AJ113&lt;='Tariffs Jan2022'!L113,($C$5*'Tariffs Jan2022'!AL113/'Tariffs Jan2022'!AJ113-'Tariffs Jan2022'!K113)*('Tariffs Jan2022'!W113/100)*'Tariffs Jan2022'!AJ113,('Tariffs Jan2022'!L113-'Tariffs Jan2022'!K113)*('Tariffs Jan2022'!W113/100)*'Tariffs Jan2022'!AJ113))</f>
        <v>0</v>
      </c>
      <c r="M119" s="69">
        <f>IF($C$5*'Tariffs Jan2022'!AL113/'Tariffs Jan2022'!AJ113&lt;'Tariffs Jan2022'!L113,0,IF($C$5*'Tariffs Jan2022'!AL113/'Tariffs Jan2022'!AJ113&lt;='Tariffs Jan2022'!M113,($C$5*'Tariffs Jan2022'!AL113/'Tariffs Jan2022'!AJ113-'Tariffs Jan2022'!L113)*('Tariffs Jan2022'!X113/100)*'Tariffs Jan2022'!AJ113,('Tariffs Jan2022'!M113-'Tariffs Jan2022'!L113)*('Tariffs Jan2022'!X113/100)*'Tariffs Jan2022'!AJ113))</f>
        <v>0</v>
      </c>
      <c r="N119" s="69">
        <f>IF(($C$5*'Tariffs Jan2022'!AL113/'Tariffs Jan2022'!AJ113&gt;'Tariffs Jan2022'!M113),($C$5*'Tariffs Jan2022'!AL113/'Tariffs Jan2022'!AJ113-'Tariffs Jan2022'!M113)*'Tariffs Jan2022'!Y113/100*'Tariffs Jan2022'!AJ113,0)</f>
        <v>255.21316363636356</v>
      </c>
      <c r="O119" s="59">
        <f>SUM(E119:N119)</f>
        <v>1035.1833818181817</v>
      </c>
      <c r="P119" s="503">
        <f t="shared" si="92"/>
        <v>1138.70172</v>
      </c>
      <c r="Q119" s="59">
        <f>D119+O119</f>
        <v>1282.7529272727272</v>
      </c>
      <c r="R119" s="272">
        <f>Q119*1.1</f>
        <v>1411.0282200000001</v>
      </c>
      <c r="S119" s="40">
        <f>'Tariffs Jan2022'!AN113</f>
        <v>0</v>
      </c>
      <c r="T119" s="40">
        <f>'Tariffs Jan2022'!AO113</f>
        <v>0</v>
      </c>
      <c r="U119" s="40">
        <f>'Tariffs Jan2022'!AP113</f>
        <v>0</v>
      </c>
      <c r="V119" s="40">
        <f>'Tariffs Jan2022'!AQ113</f>
        <v>0</v>
      </c>
      <c r="W119" s="537" t="str">
        <f t="shared" ref="W119:W132" si="144">IF(SUM(S119:V119)=0,"No discount",IF(S119&gt;0,"Guaranteed off bill",IF(T119&gt;0,"Guaranteed off usage",IF(U119&gt;0,"Pay-on-time off bill","Pay-on-time off usage"))))</f>
        <v>No discount</v>
      </c>
      <c r="X119" s="538" t="str">
        <f t="shared" ref="X119:X132" si="145">IF(OR(A119="Origin Energy",A119="Red Energy",A119="Powershop"),"Inclusive","Exclusive")</f>
        <v>Exclusive</v>
      </c>
      <c r="Y119" s="534">
        <f>IF(AND(W119="Guaranteed off bill",X119="Inclusive"),((Q119*1.1)-((Q119*1.1)*S119/100))/1.1,IF(AND(W119="Guaranteed off usage",X119="Inclusive"),((Q119*1.1)-((P119*1.1)*T119/100))/1.1,IF(AND(W119="Guaranteed off bill",X119="Exclusive"),Q119-(Q119*S119/100),IF(AND(W119="Guaranteed off usage",X119="Exclusive"),Q119-(P119*T119/100),IF(X119="Inclusive",((Q119*1.1))/1.1,Q119)))))</f>
        <v>1282.7529272727272</v>
      </c>
      <c r="Z119" s="535">
        <f>IF(AND(W119="Pay-on-time off bill",X119="Inclusive"),((Y119*1.1)-((Y119*1.1)*U119/100))/1.1,IF(AND(W119="Pay-on-time off usage",X119="Inclusive"),((Y119*1.1)-((P119*1.1)*V119/100))/1.1,IF(AND(W119="Pay-on-time off bill",X119="Exclusive"),Y119-(Y119*U119/100),IF(AND(W119="Pay-on-time off usage",X119="Exclusive"),Y119-(P119*V119/100),IF(X119="Inclusive",((Y119*1.1))/1.1,Y119)))))</f>
        <v>1282.7529272727272</v>
      </c>
      <c r="AA119" s="542">
        <f t="shared" si="123"/>
        <v>1411.0282200000001</v>
      </c>
      <c r="AB119" s="542">
        <f t="shared" si="123"/>
        <v>1411.0282200000001</v>
      </c>
      <c r="AC119" s="274">
        <f>'Tariffs Jan2022'!AZ113</f>
        <v>0</v>
      </c>
      <c r="AD119" s="274" t="str">
        <f>'Tariffs Jan2022'!BA113</f>
        <v>n</v>
      </c>
      <c r="AE119" s="275" t="str">
        <f>'Tariffs Jan2022'!BJ113</f>
        <v>N</v>
      </c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77"/>
      <c r="AR119" s="577"/>
      <c r="AS119" s="577"/>
      <c r="AT119" s="577"/>
      <c r="AU119" s="577"/>
      <c r="AV119" s="577"/>
      <c r="AW119" s="577"/>
    </row>
    <row r="120" spans="1:49" ht="14" x14ac:dyDescent="0.15">
      <c r="A120" s="270" t="str">
        <f>'Tariffs Jan2022'!F114</f>
        <v>Covau</v>
      </c>
      <c r="B120" s="40" t="str">
        <f>'Tariffs Jan2022'!D114</f>
        <v>AusNet Services Central 1</v>
      </c>
      <c r="C120" s="40" t="str">
        <f>'Tariffs Jan2022'!G114</f>
        <v>Super Saver Plus</v>
      </c>
      <c r="D120" s="59">
        <f>365*'Tariffs Jan2022'!H114/100</f>
        <v>310.25</v>
      </c>
      <c r="E120" s="59">
        <f>IF($C$5*'Tariffs Jan2022'!AK114/'Tariffs Jan2022'!AI114&gt;='Tariffs Jan2022'!J114,( 'Tariffs Jan2022'!J114*'Tariffs Jan2022'!O114/100)* 'Tariffs Jan2022'!AI114,($C$5*'Tariffs Jan2022'!AK114/'Tariffs Jan2022'!AI114*'Tariffs Jan2022'!O114/100)* 'Tariffs Jan2022'!AI114)</f>
        <v>296.72727272727275</v>
      </c>
      <c r="F120" s="59">
        <f>IF($C$5*'Tariffs Jan2022'!AK114/'Tariffs Jan2022'!AI114&lt;'Tariffs Jan2022'!J114,0,IF($C$5*'Tariffs Jan2022'!AK114/'Tariffs Jan2022'!AI114&lt;='Tariffs Jan2022'!K114,($C$5*'Tariffs Jan2022'!AK114/'Tariffs Jan2022'!AI114-'Tariffs Jan2022'!J114)*('Tariffs Jan2022'!P114/100)*'Tariffs Jan2022'!AI114,('Tariffs Jan2022'!K114-'Tariffs Jan2022'!J114)*('Tariffs Jan2022'!P114/100)*'Tariffs Jan2022'!AI114))</f>
        <v>185.68393636363629</v>
      </c>
      <c r="G120" s="59">
        <f>IF($C$5*'Tariffs Jan2022'!AK114/'Tariffs Jan2022'!AI114&lt;'Tariffs Jan2022'!K114,0,IF($C$5*'Tariffs Jan2022'!AK114/'Tariffs Jan2022'!AI114&lt;='Tariffs Jan2022'!L114,($C$5*'Tariffs Jan2022'!AK114/'Tariffs Jan2022'!AI114-'Tariffs Jan2022'!K114)*('Tariffs Jan2022'!Q114/100)*'Tariffs Jan2022'!AI114,('Tariffs Jan2022'!L114-'Tariffs Jan2022'!K114)*('Tariffs Jan2022'!Q114/100)*'Tariffs Jan2022'!AI114))</f>
        <v>0</v>
      </c>
      <c r="H120" s="59">
        <f>IF($C$5*'Tariffs Jan2022'!AK114/'Tariffs Jan2022'!AI114&lt;'Tariffs Jan2022'!L114,0,IF($C$5*'Tariffs Jan2022'!AK114/'Tariffs Jan2022'!AI114&lt;='Tariffs Jan2022'!M114,($C$5*'Tariffs Jan2022'!AK114/'Tariffs Jan2022'!AI114-'Tariffs Jan2022'!L114)*('Tariffs Jan2022'!R114/100)*'Tariffs Jan2022'!AI114,('Tariffs Jan2022'!M114-'Tariffs Jan2022'!L114)*('Tariffs Jan2022'!R114/100)*'Tariffs Jan2022'!AI114))</f>
        <v>0</v>
      </c>
      <c r="I120" s="69">
        <f>IF(($C$5*'Tariffs Jan2022'!AK114/'Tariffs Jan2022'!AI114&gt;'Tariffs Jan2022'!M114),($C$5*'Tariffs Jan2022'!AK114/'Tariffs Jan2022'!AI114-'Tariffs Jan2022'!M114)*'Tariffs Jan2022'!S114/100*'Tariffs Jan2022'!AI114,0)</f>
        <v>0</v>
      </c>
      <c r="J120" s="69">
        <f>IF($C$5*'Tariffs Jan2022'!AL114/'Tariffs Jan2022'!AJ114&gt;='Tariffs Jan2022'!J114,('Tariffs Jan2022'!J114*'Tariffs Jan2022'!U114/100)* 'Tariffs Jan2022'!AJ114,($C$5*'Tariffs Jan2022'!AL114/'Tariffs Jan2022'!AJ114*'Tariffs Jan2022'!U114/100)* 'Tariffs Jan2022'!AJ114)</f>
        <v>412.36363636363632</v>
      </c>
      <c r="K120" s="69">
        <f>IF($C$5*'Tariffs Jan2022'!AL114/'Tariffs Jan2022'!AJ114&lt;'Tariffs Jan2022'!J114,0,IF($C$5*'Tariffs Jan2022'!AL114/'Tariffs Jan2022'!AJ114&lt;='Tariffs Jan2022'!K114,($C$5*'Tariffs Jan2022'!AL114/'Tariffs Jan2022'!AJ114-'Tariffs Jan2022'!J114)*('Tariffs Jan2022'!V114/100)*'Tariffs Jan2022'!AJ114,('Tariffs Jan2022'!K114-'Tariffs Jan2022'!J114)*('Tariffs Jan2022'!V114/100)*'Tariffs Jan2022'!AJ114))</f>
        <v>297.74869090909078</v>
      </c>
      <c r="L120" s="69">
        <f>IF($C$5*'Tariffs Jan2022'!AL114/'Tariffs Jan2022'!AJ114&lt;'Tariffs Jan2022'!K114,0,IF($C$5*'Tariffs Jan2022'!AL114/'Tariffs Jan2022'!AJ114&lt;='Tariffs Jan2022'!L114,($C$5*'Tariffs Jan2022'!AL114/'Tariffs Jan2022'!AJ114-'Tariffs Jan2022'!K114)*('Tariffs Jan2022'!W114/100)*'Tariffs Jan2022'!AJ114,('Tariffs Jan2022'!L114-'Tariffs Jan2022'!K114)*('Tariffs Jan2022'!W114/100)*'Tariffs Jan2022'!AJ114))</f>
        <v>0</v>
      </c>
      <c r="M120" s="69">
        <f>IF($C$5*'Tariffs Jan2022'!AL114/'Tariffs Jan2022'!AJ114&lt;'Tariffs Jan2022'!L114,0,IF($C$5*'Tariffs Jan2022'!AL114/'Tariffs Jan2022'!AJ114&lt;='Tariffs Jan2022'!M114,($C$5*'Tariffs Jan2022'!AL114/'Tariffs Jan2022'!AJ114-'Tariffs Jan2022'!L114)*('Tariffs Jan2022'!X114/100)*'Tariffs Jan2022'!AJ114,('Tariffs Jan2022'!M114-'Tariffs Jan2022'!L114)*('Tariffs Jan2022'!X114/100)*'Tariffs Jan2022'!AJ114))</f>
        <v>0</v>
      </c>
      <c r="N120" s="69">
        <f>IF(($C$5*'Tariffs Jan2022'!AL114/'Tariffs Jan2022'!AJ114&gt;'Tariffs Jan2022'!M114),($C$5*'Tariffs Jan2022'!AL114/'Tariffs Jan2022'!AJ114-'Tariffs Jan2022'!M114)*'Tariffs Jan2022'!Y114/100*'Tariffs Jan2022'!AJ114,0)</f>
        <v>0</v>
      </c>
      <c r="O120" s="59">
        <f t="shared" ref="O120:O132" si="146">SUM(E120:N120)</f>
        <v>1192.5235363636361</v>
      </c>
      <c r="P120" s="503">
        <f t="shared" si="92"/>
        <v>1311.7758899999999</v>
      </c>
      <c r="Q120" s="59">
        <f t="shared" ref="Q120:Q132" si="147">D120+O120</f>
        <v>1502.7735363636361</v>
      </c>
      <c r="R120" s="272">
        <f t="shared" ref="R120:R132" si="148">Q120*1.1</f>
        <v>1653.05089</v>
      </c>
      <c r="S120" s="40">
        <f>'Tariffs Jan2022'!AN114</f>
        <v>0</v>
      </c>
      <c r="T120" s="40">
        <f>'Tariffs Jan2022'!AO114</f>
        <v>20</v>
      </c>
      <c r="U120" s="40">
        <f>'Tariffs Jan2022'!AP114</f>
        <v>0</v>
      </c>
      <c r="V120" s="40">
        <f>'Tariffs Jan2022'!AQ114</f>
        <v>0</v>
      </c>
      <c r="W120" s="537" t="str">
        <f t="shared" si="144"/>
        <v>Guaranteed off usage</v>
      </c>
      <c r="X120" s="538" t="str">
        <f t="shared" si="145"/>
        <v>Exclusive</v>
      </c>
      <c r="Y120" s="534">
        <f t="shared" ref="Y120" si="149">IF(AND(W120="Guaranteed off bill",X120="Inclusive"),((Q120*1.1)-((Q120*1.1)*S120/100))/1.1,IF(AND(W120="Guaranteed off usage",X120="Inclusive"),((Q120*1.1)-((P120*1.1)*T120/100))/1.1,IF(AND(W120="Guaranteed off bill",X120="Exclusive"),Q120-(Q120*S120/100),IF(AND(W120="Guaranteed off usage",X120="Exclusive"),Q120-(P120*T120/100),IF(X120="Inclusive",((Q120*1.1))/1.1,Q120)))))</f>
        <v>1240.4183583636361</v>
      </c>
      <c r="Z120" s="535">
        <f t="shared" ref="Z120" si="150">IF(AND(W120="Pay-on-time off bill",X120="Inclusive"),((Y120*1.1)-((Y120*1.1)*U120/100))/1.1,IF(AND(W120="Pay-on-time off usage",X120="Inclusive"),((Y120*1.1)-((P120*1.1)*V120/100))/1.1,IF(AND(W120="Pay-on-time off bill",X120="Exclusive"),Y120-(Y120*U120/100),IF(AND(W120="Pay-on-time off usage",X120="Exclusive"),Y120-(P120*V120/100),IF(X120="Inclusive",((Y120*1.1))/1.1,Y120)))))</f>
        <v>1240.4183583636361</v>
      </c>
      <c r="AA120" s="542">
        <f t="shared" si="123"/>
        <v>1364.4601941999999</v>
      </c>
      <c r="AB120" s="542">
        <f t="shared" si="123"/>
        <v>1364.4601941999999</v>
      </c>
      <c r="AC120" s="274">
        <f>'Tariffs Jan2022'!AZ114</f>
        <v>0</v>
      </c>
      <c r="AD120" s="274" t="str">
        <f>'Tariffs Jan2022'!BA114</f>
        <v>n</v>
      </c>
      <c r="AE120" s="275" t="str">
        <f>'Tariffs Jan2022'!BJ114</f>
        <v>N</v>
      </c>
      <c r="AF120" s="577"/>
      <c r="AG120" s="577"/>
      <c r="AH120" s="577"/>
      <c r="AI120" s="577"/>
      <c r="AJ120" s="577"/>
      <c r="AK120" s="577"/>
      <c r="AL120" s="577"/>
      <c r="AM120" s="577"/>
      <c r="AN120" s="577"/>
      <c r="AO120" s="577"/>
      <c r="AP120" s="577"/>
      <c r="AQ120" s="577"/>
      <c r="AR120" s="577"/>
      <c r="AS120" s="577"/>
      <c r="AT120" s="577"/>
      <c r="AU120" s="577"/>
      <c r="AV120" s="577"/>
      <c r="AW120" s="577"/>
    </row>
    <row r="121" spans="1:49" ht="14" x14ac:dyDescent="0.15">
      <c r="A121" s="270" t="str">
        <f>'Tariffs Jan2022'!F115</f>
        <v>Dodo Power &amp; Gas</v>
      </c>
      <c r="B121" s="40" t="str">
        <f>'Tariffs Jan2022'!D115</f>
        <v>AusNet Services Central 1</v>
      </c>
      <c r="C121" s="40" t="str">
        <f>'Tariffs Jan2022'!G115</f>
        <v>Market offer</v>
      </c>
      <c r="D121" s="59">
        <f>365*'Tariffs Jan2022'!H115/100</f>
        <v>288.54909090909086</v>
      </c>
      <c r="E121" s="59">
        <f>IF($C$5*'Tariffs Jan2022'!AK115/'Tariffs Jan2022'!AI115&gt;='Tariffs Jan2022'!J115,( 'Tariffs Jan2022'!J115*'Tariffs Jan2022'!O115/100)* 'Tariffs Jan2022'!AI115,($C$5*'Tariffs Jan2022'!AK115/'Tariffs Jan2022'!AI115*'Tariffs Jan2022'!O115/100)* 'Tariffs Jan2022'!AI115)</f>
        <v>254.18181818181816</v>
      </c>
      <c r="F121" s="59">
        <f>IF($C$5*'Tariffs Jan2022'!AK115/'Tariffs Jan2022'!AI115&lt;'Tariffs Jan2022'!J115,0,IF($C$5*'Tariffs Jan2022'!AK115/'Tariffs Jan2022'!AI115&lt;='Tariffs Jan2022'!K115,($C$5*'Tariffs Jan2022'!AK115/'Tariffs Jan2022'!AI115-'Tariffs Jan2022'!J115)*('Tariffs Jan2022'!P115/100)*'Tariffs Jan2022'!AI115,('Tariffs Jan2022'!K115-'Tariffs Jan2022'!J115)*('Tariffs Jan2022'!P115/100)*'Tariffs Jan2022'!AI115))</f>
        <v>168.50612727272721</v>
      </c>
      <c r="G121" s="59">
        <f>IF($C$5*'Tariffs Jan2022'!AK115/'Tariffs Jan2022'!AI115&lt;'Tariffs Jan2022'!K115,0,IF($C$5*'Tariffs Jan2022'!AK115/'Tariffs Jan2022'!AI115&lt;='Tariffs Jan2022'!L115,($C$5*'Tariffs Jan2022'!AK115/'Tariffs Jan2022'!AI115-'Tariffs Jan2022'!K115)*('Tariffs Jan2022'!Q115/100)*'Tariffs Jan2022'!AI115,('Tariffs Jan2022'!L115-'Tariffs Jan2022'!K115)*('Tariffs Jan2022'!Q115/100)*'Tariffs Jan2022'!AI115))</f>
        <v>0</v>
      </c>
      <c r="H121" s="59">
        <f>IF($C$5*'Tariffs Jan2022'!AK115/'Tariffs Jan2022'!AI115&lt;'Tariffs Jan2022'!L115,0,IF($C$5*'Tariffs Jan2022'!AK115/'Tariffs Jan2022'!AI115&lt;='Tariffs Jan2022'!M115,($C$5*'Tariffs Jan2022'!AK115/'Tariffs Jan2022'!AI115-'Tariffs Jan2022'!L115)*('Tariffs Jan2022'!R115/100)*'Tariffs Jan2022'!AI115,('Tariffs Jan2022'!M115-'Tariffs Jan2022'!L115)*('Tariffs Jan2022'!R115/100)*'Tariffs Jan2022'!AI115))</f>
        <v>0</v>
      </c>
      <c r="I121" s="69">
        <f>IF(($C$5*'Tariffs Jan2022'!AK115/'Tariffs Jan2022'!AI115&gt;'Tariffs Jan2022'!M115),($C$5*'Tariffs Jan2022'!AK115/'Tariffs Jan2022'!AI115-'Tariffs Jan2022'!M115)*'Tariffs Jan2022'!S115/100*'Tariffs Jan2022'!AI115,0)</f>
        <v>0</v>
      </c>
      <c r="J121" s="69">
        <f>IF($C$5*'Tariffs Jan2022'!AL115/'Tariffs Jan2022'!AJ115&gt;='Tariffs Jan2022'!J115,('Tariffs Jan2022'!J115*'Tariffs Jan2022'!U115/100)* 'Tariffs Jan2022'!AJ115,($C$5*'Tariffs Jan2022'!AL115/'Tariffs Jan2022'!AJ115*'Tariffs Jan2022'!U115/100)* 'Tariffs Jan2022'!AJ115)</f>
        <v>408</v>
      </c>
      <c r="K121" s="69">
        <f>IF($C$5*'Tariffs Jan2022'!AL115/'Tariffs Jan2022'!AJ115&lt;'Tariffs Jan2022'!J115,0,IF($C$5*'Tariffs Jan2022'!AL115/'Tariffs Jan2022'!AJ115&lt;='Tariffs Jan2022'!K115,($C$5*'Tariffs Jan2022'!AL115/'Tariffs Jan2022'!AJ115-'Tariffs Jan2022'!J115)*('Tariffs Jan2022'!V115/100)*'Tariffs Jan2022'!AJ115,('Tariffs Jan2022'!K115-'Tariffs Jan2022'!J115)*('Tariffs Jan2022'!V115/100)*'Tariffs Jan2022'!AJ115))</f>
        <v>297.74869090909078</v>
      </c>
      <c r="L121" s="69">
        <f>IF($C$5*'Tariffs Jan2022'!AL115/'Tariffs Jan2022'!AJ115&lt;'Tariffs Jan2022'!K115,0,IF($C$5*'Tariffs Jan2022'!AL115/'Tariffs Jan2022'!AJ115&lt;='Tariffs Jan2022'!L115,($C$5*'Tariffs Jan2022'!AL115/'Tariffs Jan2022'!AJ115-'Tariffs Jan2022'!K115)*('Tariffs Jan2022'!W115/100)*'Tariffs Jan2022'!AJ115,('Tariffs Jan2022'!L115-'Tariffs Jan2022'!K115)*('Tariffs Jan2022'!W115/100)*'Tariffs Jan2022'!AJ115))</f>
        <v>0</v>
      </c>
      <c r="M121" s="69">
        <f>IF($C$5*'Tariffs Jan2022'!AL115/'Tariffs Jan2022'!AJ115&lt;'Tariffs Jan2022'!L115,0,IF($C$5*'Tariffs Jan2022'!AL115/'Tariffs Jan2022'!AJ115&lt;='Tariffs Jan2022'!M115,($C$5*'Tariffs Jan2022'!AL115/'Tariffs Jan2022'!AJ115-'Tariffs Jan2022'!L115)*('Tariffs Jan2022'!X115/100)*'Tariffs Jan2022'!AJ115,('Tariffs Jan2022'!M115-'Tariffs Jan2022'!L115)*('Tariffs Jan2022'!X115/100)*'Tariffs Jan2022'!AJ115))</f>
        <v>0</v>
      </c>
      <c r="N121" s="69">
        <f>IF(($C$5*'Tariffs Jan2022'!AL115/'Tariffs Jan2022'!AJ115&gt;'Tariffs Jan2022'!M115),($C$5*'Tariffs Jan2022'!AL115/'Tariffs Jan2022'!AJ115-'Tariffs Jan2022'!M115)*'Tariffs Jan2022'!Y115/100*'Tariffs Jan2022'!AJ115,0)</f>
        <v>0</v>
      </c>
      <c r="O121" s="59">
        <f t="shared" si="146"/>
        <v>1128.4366363636361</v>
      </c>
      <c r="P121" s="503">
        <f t="shared" si="92"/>
        <v>1241.2802999999999</v>
      </c>
      <c r="Q121" s="59">
        <f t="shared" si="147"/>
        <v>1416.985727272727</v>
      </c>
      <c r="R121" s="272">
        <f t="shared" si="148"/>
        <v>1558.6842999999999</v>
      </c>
      <c r="S121" s="40">
        <f>'Tariffs Jan2022'!AN115</f>
        <v>0</v>
      </c>
      <c r="T121" s="40">
        <f>'Tariffs Jan2022'!AO115</f>
        <v>0</v>
      </c>
      <c r="U121" s="40">
        <f>'Tariffs Jan2022'!AP115</f>
        <v>0</v>
      </c>
      <c r="V121" s="40">
        <f>'Tariffs Jan2022'!AQ115</f>
        <v>0</v>
      </c>
      <c r="W121" s="537" t="str">
        <f t="shared" si="144"/>
        <v>No discount</v>
      </c>
      <c r="X121" s="538" t="str">
        <f t="shared" si="145"/>
        <v>Exclusive</v>
      </c>
      <c r="Y121" s="534">
        <f>IF(AND(W121="Guaranteed off bill",X121="Inclusive"),((Q121*1.1)-((Q121*1.1)*S121/100))/1.1,IF(AND(W121="Guaranteed off usage",X121="Inclusive"),((Q121*1.1)-((P121*1.1)*T121/100))/1.1,IF(AND(W121="Guaranteed off bill",X121="Exclusive"),Q121-(Q121*S121/100),IF(AND(W121="Guaranteed off usage",X121="Exclusive"),Q121-(P121*T121/100),IF(X121="Inclusive",((Q121*1.1))/1.1,Q121)))))</f>
        <v>1416.985727272727</v>
      </c>
      <c r="Z121" s="535">
        <f>IF(AND(W121="Pay-on-time off bill",X121="Inclusive"),((Y121*1.1)-((Y121*1.1)*U121/100))/1.1,IF(AND(W121="Pay-on-time off usage",X121="Inclusive"),((Y121*1.1)-((P121*1.1)*V121/100))/1.1,IF(AND(W121="Pay-on-time off bill",X121="Exclusive"),Y121-(Y121*U121/100),IF(AND(W121="Pay-on-time off usage",X121="Exclusive"),Y121-(P121*V121/100),IF(X121="Inclusive",((Y121*1.1))/1.1,Y121)))))</f>
        <v>1416.985727272727</v>
      </c>
      <c r="AA121" s="542">
        <f t="shared" si="123"/>
        <v>1558.6842999999999</v>
      </c>
      <c r="AB121" s="542">
        <f t="shared" si="123"/>
        <v>1558.6842999999999</v>
      </c>
      <c r="AC121" s="274">
        <f>'Tariffs Jan2022'!AZ115</f>
        <v>0</v>
      </c>
      <c r="AD121" s="274" t="str">
        <f>'Tariffs Jan2022'!BA115</f>
        <v>n</v>
      </c>
      <c r="AE121" s="275" t="str">
        <f>'Tariffs Jan2022'!BJ115</f>
        <v>N</v>
      </c>
      <c r="AF121" s="577"/>
      <c r="AG121" s="577"/>
      <c r="AH121" s="577"/>
      <c r="AI121" s="577"/>
      <c r="AJ121" s="577"/>
      <c r="AK121" s="577"/>
      <c r="AL121" s="577"/>
      <c r="AM121" s="577"/>
      <c r="AN121" s="577"/>
      <c r="AO121" s="577"/>
      <c r="AP121" s="577"/>
      <c r="AQ121" s="577"/>
      <c r="AR121" s="577"/>
      <c r="AS121" s="577"/>
      <c r="AT121" s="577"/>
      <c r="AU121" s="577"/>
      <c r="AV121" s="577"/>
      <c r="AW121" s="577"/>
    </row>
    <row r="122" spans="1:49" ht="14" x14ac:dyDescent="0.15">
      <c r="A122" s="270" t="str">
        <f>'Tariffs Jan2022'!F116</f>
        <v>EnergyAustralia</v>
      </c>
      <c r="B122" s="40" t="str">
        <f>'Tariffs Jan2022'!D116</f>
        <v>AusNet Services Central 1</v>
      </c>
      <c r="C122" s="40" t="str">
        <f>'Tariffs Jan2022'!G116</f>
        <v>Total Plan</v>
      </c>
      <c r="D122" s="59">
        <f>365*'Tariffs Jan2022'!H116/100</f>
        <v>378.50499999999994</v>
      </c>
      <c r="E122" s="59">
        <f>IF($C$5*'Tariffs Jan2022'!AK116/'Tariffs Jan2022'!AI116&gt;='Tariffs Jan2022'!J116,( 'Tariffs Jan2022'!J116*'Tariffs Jan2022'!O116/100)* 'Tariffs Jan2022'!AI116,($C$5*'Tariffs Jan2022'!AK116/'Tariffs Jan2022'!AI116*'Tariffs Jan2022'!O116/100)* 'Tariffs Jan2022'!AI116)</f>
        <v>366.5454545454545</v>
      </c>
      <c r="F122" s="59">
        <f>IF($C$5*'Tariffs Jan2022'!AK116/'Tariffs Jan2022'!AI116&lt;'Tariffs Jan2022'!J116,0,IF($C$5*'Tariffs Jan2022'!AK116/'Tariffs Jan2022'!AI116&lt;='Tariffs Jan2022'!K116,($C$5*'Tariffs Jan2022'!AK116/'Tariffs Jan2022'!AI116-'Tariffs Jan2022'!J116)*('Tariffs Jan2022'!P116/100)*'Tariffs Jan2022'!AI116,('Tariffs Jan2022'!K116-'Tariffs Jan2022'!J116)*('Tariffs Jan2022'!P116/100)*'Tariffs Jan2022'!AI116))</f>
        <v>220.85754545454543</v>
      </c>
      <c r="G122" s="59">
        <f>IF($C$5*'Tariffs Jan2022'!AK116/'Tariffs Jan2022'!AI116&lt;'Tariffs Jan2022'!K116,0,IF($C$5*'Tariffs Jan2022'!AK116/'Tariffs Jan2022'!AI116&lt;='Tariffs Jan2022'!L116,($C$5*'Tariffs Jan2022'!AK116/'Tariffs Jan2022'!AI116-'Tariffs Jan2022'!K116)*('Tariffs Jan2022'!Q116/100)*'Tariffs Jan2022'!AI116,('Tariffs Jan2022'!L116-'Tariffs Jan2022'!K116)*('Tariffs Jan2022'!Q116/100)*'Tariffs Jan2022'!AI116))</f>
        <v>0</v>
      </c>
      <c r="H122" s="59">
        <f>IF($C$5*'Tariffs Jan2022'!AK116/'Tariffs Jan2022'!AI116&lt;'Tariffs Jan2022'!L116,0,IF($C$5*'Tariffs Jan2022'!AK116/'Tariffs Jan2022'!AI116&lt;='Tariffs Jan2022'!M116,($C$5*'Tariffs Jan2022'!AK116/'Tariffs Jan2022'!AI116-'Tariffs Jan2022'!L116)*('Tariffs Jan2022'!R116/100)*'Tariffs Jan2022'!AI116,('Tariffs Jan2022'!M116-'Tariffs Jan2022'!L116)*('Tariffs Jan2022'!R116/100)*'Tariffs Jan2022'!AI116))</f>
        <v>0</v>
      </c>
      <c r="I122" s="69">
        <f>IF(($C$5*'Tariffs Jan2022'!AK116/'Tariffs Jan2022'!AI116&gt;'Tariffs Jan2022'!M116),($C$5*'Tariffs Jan2022'!AK116/'Tariffs Jan2022'!AI116-'Tariffs Jan2022'!M116)*'Tariffs Jan2022'!S116/100*'Tariffs Jan2022'!AI116,0)</f>
        <v>0</v>
      </c>
      <c r="J122" s="69">
        <f>IF($C$5*'Tariffs Jan2022'!AL116/'Tariffs Jan2022'!AJ116&gt;='Tariffs Jan2022'!J116,('Tariffs Jan2022'!J116*'Tariffs Jan2022'!U116/100)* 'Tariffs Jan2022'!AJ116,($C$5*'Tariffs Jan2022'!AL116/'Tariffs Jan2022'!AJ116*'Tariffs Jan2022'!U116/100)* 'Tariffs Jan2022'!AJ116)</f>
        <v>560.72727272727263</v>
      </c>
      <c r="K122" s="69">
        <f>IF($C$5*'Tariffs Jan2022'!AL116/'Tariffs Jan2022'!AJ116&lt;'Tariffs Jan2022'!J116,0,IF($C$5*'Tariffs Jan2022'!AL116/'Tariffs Jan2022'!AJ116&lt;='Tariffs Jan2022'!K116,($C$5*'Tariffs Jan2022'!AL116/'Tariffs Jan2022'!AJ116-'Tariffs Jan2022'!J116)*('Tariffs Jan2022'!V116/100)*'Tariffs Jan2022'!AJ116,('Tariffs Jan2022'!K116-'Tariffs Jan2022'!J116)*('Tariffs Jan2022'!V116/100)*'Tariffs Jan2022'!AJ116))</f>
        <v>381.18376363636349</v>
      </c>
      <c r="L122" s="69">
        <f>IF($C$5*'Tariffs Jan2022'!AL116/'Tariffs Jan2022'!AJ116&lt;'Tariffs Jan2022'!K116,0,IF($C$5*'Tariffs Jan2022'!AL116/'Tariffs Jan2022'!AJ116&lt;='Tariffs Jan2022'!L116,($C$5*'Tariffs Jan2022'!AL116/'Tariffs Jan2022'!AJ116-'Tariffs Jan2022'!K116)*('Tariffs Jan2022'!W116/100)*'Tariffs Jan2022'!AJ116,('Tariffs Jan2022'!L116-'Tariffs Jan2022'!K116)*('Tariffs Jan2022'!W116/100)*'Tariffs Jan2022'!AJ116))</f>
        <v>0</v>
      </c>
      <c r="M122" s="69">
        <f>IF($C$5*'Tariffs Jan2022'!AL116/'Tariffs Jan2022'!AJ116&lt;'Tariffs Jan2022'!L116,0,IF($C$5*'Tariffs Jan2022'!AL116/'Tariffs Jan2022'!AJ116&lt;='Tariffs Jan2022'!M116,($C$5*'Tariffs Jan2022'!AL116/'Tariffs Jan2022'!AJ116-'Tariffs Jan2022'!L116)*('Tariffs Jan2022'!X116/100)*'Tariffs Jan2022'!AJ116,('Tariffs Jan2022'!M116-'Tariffs Jan2022'!L116)*('Tariffs Jan2022'!X116/100)*'Tariffs Jan2022'!AJ116))</f>
        <v>0</v>
      </c>
      <c r="N122" s="69">
        <f>IF(($C$5*'Tariffs Jan2022'!AL116/'Tariffs Jan2022'!AJ116&gt;'Tariffs Jan2022'!M116),($C$5*'Tariffs Jan2022'!AL116/'Tariffs Jan2022'!AJ116-'Tariffs Jan2022'!M116)*'Tariffs Jan2022'!Y116/100*'Tariffs Jan2022'!AJ116,0)</f>
        <v>0</v>
      </c>
      <c r="O122" s="59">
        <f t="shared" si="146"/>
        <v>1529.314036363636</v>
      </c>
      <c r="P122" s="503">
        <f t="shared" si="92"/>
        <v>1682.2454399999997</v>
      </c>
      <c r="Q122" s="59">
        <f t="shared" si="147"/>
        <v>1907.8190363636359</v>
      </c>
      <c r="R122" s="272">
        <f t="shared" si="148"/>
        <v>2098.6009399999998</v>
      </c>
      <c r="S122" s="40">
        <f>'Tariffs Jan2022'!AN116</f>
        <v>24</v>
      </c>
      <c r="T122" s="40">
        <f>'Tariffs Jan2022'!AO116</f>
        <v>0</v>
      </c>
      <c r="U122" s="40">
        <f>'Tariffs Jan2022'!AP116</f>
        <v>0</v>
      </c>
      <c r="V122" s="40">
        <f>'Tariffs Jan2022'!AQ116</f>
        <v>0</v>
      </c>
      <c r="W122" s="537" t="str">
        <f t="shared" si="144"/>
        <v>Guaranteed off bill</v>
      </c>
      <c r="X122" s="538" t="str">
        <f t="shared" si="145"/>
        <v>Exclusive</v>
      </c>
      <c r="Y122" s="534">
        <f t="shared" ref="Y122" si="151">IF(AND(W122="Guaranteed off bill",X122="Inclusive"),((Q122*1.1)-((Q122*1.1)*S122/100))/1.1,IF(AND(W122="Guaranteed off usage",X122="Inclusive"),((Q122*1.1)-((P122*1.1)*T122/100))/1.1,IF(AND(W122="Guaranteed off bill",X122="Exclusive"),Q122-(Q122*S122/100),IF(AND(W122="Guaranteed off usage",X122="Exclusive"),Q122-(P122*T122/100),IF(X122="Inclusive",((Q122*1.1))/1.1,Q122)))))</f>
        <v>1449.9424676363633</v>
      </c>
      <c r="Z122" s="535">
        <f t="shared" ref="Z122" si="152">IF(AND(W122="Pay-on-time off bill",X122="Inclusive"),((Y122*1.1)-((Y122*1.1)*U122/100))/1.1,IF(AND(W122="Pay-on-time off usage",X122="Inclusive"),((Y122*1.1)-((P122*1.1)*V122/100))/1.1,IF(AND(W122="Pay-on-time off bill",X122="Exclusive"),Y122-(Y122*U122/100),IF(AND(W122="Pay-on-time off usage",X122="Exclusive"),Y122-(P122*V122/100),IF(X122="Inclusive",((Y122*1.1))/1.1,Y122)))))</f>
        <v>1449.9424676363633</v>
      </c>
      <c r="AA122" s="542">
        <f t="shared" si="123"/>
        <v>1594.9367143999998</v>
      </c>
      <c r="AB122" s="542">
        <f t="shared" si="123"/>
        <v>1594.9367143999998</v>
      </c>
      <c r="AC122" s="274">
        <f>'Tariffs Jan2022'!AZ116</f>
        <v>12</v>
      </c>
      <c r="AD122" s="274" t="str">
        <f>'Tariffs Jan2022'!BA116</f>
        <v>n</v>
      </c>
      <c r="AE122" s="275" t="str">
        <f>'Tariffs Jan2022'!BJ116</f>
        <v>N</v>
      </c>
      <c r="AF122" s="577"/>
      <c r="AG122" s="577"/>
      <c r="AH122" s="577"/>
      <c r="AI122" s="577"/>
      <c r="AJ122" s="577"/>
      <c r="AK122" s="577"/>
      <c r="AL122" s="577"/>
      <c r="AM122" s="577"/>
      <c r="AN122" s="577"/>
      <c r="AO122" s="577"/>
      <c r="AP122" s="577"/>
      <c r="AQ122" s="577"/>
      <c r="AR122" s="577"/>
      <c r="AS122" s="577"/>
      <c r="AT122" s="577"/>
      <c r="AU122" s="577"/>
      <c r="AV122" s="577"/>
      <c r="AW122" s="577"/>
    </row>
    <row r="123" spans="1:49" ht="14" x14ac:dyDescent="0.15">
      <c r="A123" s="270" t="str">
        <f>'Tariffs Jan2022'!F117</f>
        <v>Lumo Energy</v>
      </c>
      <c r="B123" s="40" t="str">
        <f>'Tariffs Jan2022'!D117</f>
        <v>AusNet Services Central 1</v>
      </c>
      <c r="C123" s="40" t="str">
        <f>'Tariffs Jan2022'!G117</f>
        <v>Value</v>
      </c>
      <c r="D123" s="59">
        <f>365*'Tariffs Jan2022'!H117/100</f>
        <v>286.89</v>
      </c>
      <c r="E123" s="59">
        <f>IF($C$5*'Tariffs Jan2022'!AK117/'Tariffs Jan2022'!AI117&gt;='Tariffs Jan2022'!J117,( 'Tariffs Jan2022'!J117*'Tariffs Jan2022'!O117/100)* 'Tariffs Jan2022'!AI117,($C$5*'Tariffs Jan2022'!AK117/'Tariffs Jan2022'!AI117*'Tariffs Jan2022'!O117/100)* 'Tariffs Jan2022'!AI117)</f>
        <v>236.72727272727269</v>
      </c>
      <c r="F123" s="59">
        <f>IF($C$5*'Tariffs Jan2022'!AK117/'Tariffs Jan2022'!AI117&lt;'Tariffs Jan2022'!J117,0,IF($C$5*'Tariffs Jan2022'!AK117/'Tariffs Jan2022'!AI117&lt;='Tariffs Jan2022'!K117,($C$5*'Tariffs Jan2022'!AK117/'Tariffs Jan2022'!AI117-'Tariffs Jan2022'!J117)*('Tariffs Jan2022'!P117/100)*'Tariffs Jan2022'!AI117,('Tariffs Jan2022'!K117-'Tariffs Jan2022'!J117)*('Tariffs Jan2022'!P117/100)*'Tariffs Jan2022'!AI117))</f>
        <v>172.59608181818174</v>
      </c>
      <c r="G123" s="59">
        <f>IF($C$5*'Tariffs Jan2022'!AK117/'Tariffs Jan2022'!AI117&lt;'Tariffs Jan2022'!K117,0,IF($C$5*'Tariffs Jan2022'!AK117/'Tariffs Jan2022'!AI117&lt;='Tariffs Jan2022'!L117,($C$5*'Tariffs Jan2022'!AK117/'Tariffs Jan2022'!AI117-'Tariffs Jan2022'!K117)*('Tariffs Jan2022'!Q117/100)*'Tariffs Jan2022'!AI117,('Tariffs Jan2022'!L117-'Tariffs Jan2022'!K117)*('Tariffs Jan2022'!Q117/100)*'Tariffs Jan2022'!AI117))</f>
        <v>0</v>
      </c>
      <c r="H123" s="59">
        <f>IF($C$5*'Tariffs Jan2022'!AK117/'Tariffs Jan2022'!AI117&lt;'Tariffs Jan2022'!L117,0,IF($C$5*'Tariffs Jan2022'!AK117/'Tariffs Jan2022'!AI117&lt;='Tariffs Jan2022'!M117,($C$5*'Tariffs Jan2022'!AK117/'Tariffs Jan2022'!AI117-'Tariffs Jan2022'!L117)*('Tariffs Jan2022'!R117/100)*'Tariffs Jan2022'!AI117,('Tariffs Jan2022'!M117-'Tariffs Jan2022'!L117)*('Tariffs Jan2022'!R117/100)*'Tariffs Jan2022'!AI117))</f>
        <v>0</v>
      </c>
      <c r="I123" s="69">
        <f>IF(($C$5*'Tariffs Jan2022'!AK117/'Tariffs Jan2022'!AI117&gt;'Tariffs Jan2022'!M117),($C$5*'Tariffs Jan2022'!AK117/'Tariffs Jan2022'!AI117-'Tariffs Jan2022'!M117)*'Tariffs Jan2022'!S117/100*'Tariffs Jan2022'!AI117,0)</f>
        <v>0</v>
      </c>
      <c r="J123" s="69">
        <f>IF($C$5*'Tariffs Jan2022'!AL117/'Tariffs Jan2022'!AJ117&gt;='Tariffs Jan2022'!J117,('Tariffs Jan2022'!J117*'Tariffs Jan2022'!U117/100)* 'Tariffs Jan2022'!AJ117,($C$5*'Tariffs Jan2022'!AL117/'Tariffs Jan2022'!AJ117*'Tariffs Jan2022'!U117/100)* 'Tariffs Jan2022'!AJ117)</f>
        <v>403.63636363636363</v>
      </c>
      <c r="K123" s="69">
        <f>IF($C$5*'Tariffs Jan2022'!AL117/'Tariffs Jan2022'!AJ117&lt;'Tariffs Jan2022'!J117,0,IF($C$5*'Tariffs Jan2022'!AL117/'Tariffs Jan2022'!AJ117&lt;='Tariffs Jan2022'!K117,($C$5*'Tariffs Jan2022'!AL117/'Tariffs Jan2022'!AJ117-'Tariffs Jan2022'!J117)*('Tariffs Jan2022'!V117/100)*'Tariffs Jan2022'!AJ117,('Tariffs Jan2022'!K117-'Tariffs Jan2022'!J117)*('Tariffs Jan2022'!V117/100)*'Tariffs Jan2022'!AJ117))</f>
        <v>299.38467272727269</v>
      </c>
      <c r="L123" s="69">
        <f>IF($C$5*'Tariffs Jan2022'!AL117/'Tariffs Jan2022'!AJ117&lt;'Tariffs Jan2022'!K117,0,IF($C$5*'Tariffs Jan2022'!AL117/'Tariffs Jan2022'!AJ117&lt;='Tariffs Jan2022'!L117,($C$5*'Tariffs Jan2022'!AL117/'Tariffs Jan2022'!AJ117-'Tariffs Jan2022'!K117)*('Tariffs Jan2022'!W117/100)*'Tariffs Jan2022'!AJ117,('Tariffs Jan2022'!L117-'Tariffs Jan2022'!K117)*('Tariffs Jan2022'!W117/100)*'Tariffs Jan2022'!AJ117))</f>
        <v>0</v>
      </c>
      <c r="M123" s="69">
        <f>IF($C$5*'Tariffs Jan2022'!AL117/'Tariffs Jan2022'!AJ117&lt;'Tariffs Jan2022'!L117,0,IF($C$5*'Tariffs Jan2022'!AL117/'Tariffs Jan2022'!AJ117&lt;='Tariffs Jan2022'!M117,($C$5*'Tariffs Jan2022'!AL117/'Tariffs Jan2022'!AJ117-'Tariffs Jan2022'!L117)*('Tariffs Jan2022'!X117/100)*'Tariffs Jan2022'!AJ117,('Tariffs Jan2022'!M117-'Tariffs Jan2022'!L117)*('Tariffs Jan2022'!X117/100)*'Tariffs Jan2022'!AJ117))</f>
        <v>0</v>
      </c>
      <c r="N123" s="69">
        <f>IF(($C$5*'Tariffs Jan2022'!AL117/'Tariffs Jan2022'!AJ117&gt;'Tariffs Jan2022'!M117),($C$5*'Tariffs Jan2022'!AL117/'Tariffs Jan2022'!AJ117-'Tariffs Jan2022'!M117)*'Tariffs Jan2022'!Y117/100*'Tariffs Jan2022'!AJ117,0)</f>
        <v>0</v>
      </c>
      <c r="O123" s="59">
        <f t="shared" si="146"/>
        <v>1112.3443909090906</v>
      </c>
      <c r="P123" s="503">
        <f t="shared" si="92"/>
        <v>1223.5788299999997</v>
      </c>
      <c r="Q123" s="59">
        <f t="shared" si="147"/>
        <v>1399.2343909090905</v>
      </c>
      <c r="R123" s="272">
        <f t="shared" si="148"/>
        <v>1539.1578299999996</v>
      </c>
      <c r="S123" s="40">
        <f>'Tariffs Jan2022'!AN117</f>
        <v>0</v>
      </c>
      <c r="T123" s="40">
        <f>'Tariffs Jan2022'!AO117</f>
        <v>0</v>
      </c>
      <c r="U123" s="40">
        <f>'Tariffs Jan2022'!AP117</f>
        <v>0</v>
      </c>
      <c r="V123" s="40">
        <f>'Tariffs Jan2022'!AQ117</f>
        <v>0</v>
      </c>
      <c r="W123" s="537" t="str">
        <f t="shared" si="144"/>
        <v>No discount</v>
      </c>
      <c r="X123" s="538" t="str">
        <f t="shared" si="145"/>
        <v>Exclusive</v>
      </c>
      <c r="Y123" s="534">
        <f>IF(AND(W123="Guaranteed off bill",X123="Inclusive"),((Q123*1.1)-((Q123*1.1)*S123/100))/1.1,IF(AND(W123="Guaranteed off usage",X123="Inclusive"),((Q123*1.1)-((P123*1.1)*T123/100))/1.1,IF(AND(W123="Guaranteed off bill",X123="Exclusive"),Q123-(Q123*S123/100),IF(AND(W123="Guaranteed off usage",X123="Exclusive"),Q123-(P123*T123/100),IF(X123="Inclusive",((Q123*1.1))/1.1,Q123)))))</f>
        <v>1399.2343909090905</v>
      </c>
      <c r="Z123" s="535">
        <f>IF(AND(W123="Pay-on-time off bill",X123="Inclusive"),((Y123*1.1)-((Y123*1.1)*U123/100))/1.1,IF(AND(W123="Pay-on-time off usage",X123="Inclusive"),((Y123*1.1)-((P123*1.1)*V123/100))/1.1,IF(AND(W123="Pay-on-time off bill",X123="Exclusive"),Y123-(Y123*U123/100),IF(AND(W123="Pay-on-time off usage",X123="Exclusive"),Y123-(P123*V123/100),IF(X123="Inclusive",((Y123*1.1))/1.1,Y123)))))</f>
        <v>1399.2343909090905</v>
      </c>
      <c r="AA123" s="542">
        <f t="shared" si="123"/>
        <v>1539.1578299999996</v>
      </c>
      <c r="AB123" s="542">
        <f t="shared" si="123"/>
        <v>1539.1578299999996</v>
      </c>
      <c r="AC123" s="274">
        <f>'Tariffs Jan2022'!AZ117</f>
        <v>0</v>
      </c>
      <c r="AD123" s="274" t="str">
        <f>'Tariffs Jan2022'!BA117</f>
        <v>n</v>
      </c>
      <c r="AE123" s="275" t="str">
        <f>'Tariffs Jan2022'!BJ117</f>
        <v>N</v>
      </c>
      <c r="AF123" s="577"/>
      <c r="AG123" s="577"/>
      <c r="AH123" s="577"/>
      <c r="AI123" s="577"/>
      <c r="AJ123" s="577"/>
      <c r="AK123" s="577"/>
      <c r="AL123" s="577"/>
      <c r="AM123" s="577"/>
      <c r="AN123" s="577"/>
      <c r="AO123" s="577"/>
      <c r="AP123" s="577"/>
      <c r="AQ123" s="577"/>
      <c r="AR123" s="577"/>
      <c r="AS123" s="577"/>
      <c r="AT123" s="577"/>
      <c r="AU123" s="577"/>
      <c r="AV123" s="577"/>
      <c r="AW123" s="577"/>
    </row>
    <row r="124" spans="1:49" ht="14" x14ac:dyDescent="0.15">
      <c r="A124" s="270" t="str">
        <f>'Tariffs Jan2022'!F118</f>
        <v>Momentum Energy</v>
      </c>
      <c r="B124" s="40" t="str">
        <f>'Tariffs Jan2022'!D118</f>
        <v>AusNet Services Central 1</v>
      </c>
      <c r="C124" s="40" t="str">
        <f>'Tariffs Jan2022'!G118</f>
        <v>Market offer</v>
      </c>
      <c r="D124" s="59">
        <f>365*'Tariffs Jan2022'!H118/100</f>
        <v>362.44499999999999</v>
      </c>
      <c r="E124" s="59">
        <f>IF($C$5*'Tariffs Jan2022'!AK118/'Tariffs Jan2022'!AI118&gt;='Tariffs Jan2022'!J118,( 'Tariffs Jan2022'!J118*'Tariffs Jan2022'!O118/100)* 'Tariffs Jan2022'!AI118,($C$5*'Tariffs Jan2022'!AK118/'Tariffs Jan2022'!AI118*'Tariffs Jan2022'!O118/100)* 'Tariffs Jan2022'!AI118)</f>
        <v>263.99999999999994</v>
      </c>
      <c r="F124" s="59">
        <f>IF($C$5*'Tariffs Jan2022'!AK118/'Tariffs Jan2022'!AI118&lt;'Tariffs Jan2022'!J118,0,IF($C$5*'Tariffs Jan2022'!AK118/'Tariffs Jan2022'!AI118&lt;='Tariffs Jan2022'!K118,($C$5*'Tariffs Jan2022'!AK118/'Tariffs Jan2022'!AI118-'Tariffs Jan2022'!J118)*('Tariffs Jan2022'!P118/100)*'Tariffs Jan2022'!AI118,('Tariffs Jan2022'!K118-'Tariffs Jan2022'!J118)*('Tariffs Jan2022'!P118/100)*'Tariffs Jan2022'!AI118))</f>
        <v>170.96009999999993</v>
      </c>
      <c r="G124" s="59">
        <f>IF($C$5*'Tariffs Jan2022'!AK118/'Tariffs Jan2022'!AI118&lt;'Tariffs Jan2022'!K118,0,IF($C$5*'Tariffs Jan2022'!AK118/'Tariffs Jan2022'!AI118&lt;='Tariffs Jan2022'!L118,($C$5*'Tariffs Jan2022'!AK118/'Tariffs Jan2022'!AI118-'Tariffs Jan2022'!K118)*('Tariffs Jan2022'!Q118/100)*'Tariffs Jan2022'!AI118,('Tariffs Jan2022'!L118-'Tariffs Jan2022'!K118)*('Tariffs Jan2022'!Q118/100)*'Tariffs Jan2022'!AI118))</f>
        <v>0</v>
      </c>
      <c r="H124" s="59">
        <f>IF($C$5*'Tariffs Jan2022'!AK118/'Tariffs Jan2022'!AI118&lt;'Tariffs Jan2022'!L118,0,IF($C$5*'Tariffs Jan2022'!AK118/'Tariffs Jan2022'!AI118&lt;='Tariffs Jan2022'!M118,($C$5*'Tariffs Jan2022'!AK118/'Tariffs Jan2022'!AI118-'Tariffs Jan2022'!L118)*('Tariffs Jan2022'!R118/100)*'Tariffs Jan2022'!AI118,('Tariffs Jan2022'!M118-'Tariffs Jan2022'!L118)*('Tariffs Jan2022'!R118/100)*'Tariffs Jan2022'!AI118))</f>
        <v>0</v>
      </c>
      <c r="I124" s="69">
        <f>IF(($C$5*'Tariffs Jan2022'!AK118/'Tariffs Jan2022'!AI118&gt;'Tariffs Jan2022'!M118),($C$5*'Tariffs Jan2022'!AK118/'Tariffs Jan2022'!AI118-'Tariffs Jan2022'!M118)*'Tariffs Jan2022'!S118/100*'Tariffs Jan2022'!AI118,0)</f>
        <v>0</v>
      </c>
      <c r="J124" s="69">
        <f>IF($C$5*'Tariffs Jan2022'!AL118/'Tariffs Jan2022'!AJ118&gt;='Tariffs Jan2022'!J118,('Tariffs Jan2022'!J118*'Tariffs Jan2022'!U118/100)* 'Tariffs Jan2022'!AJ118,($C$5*'Tariffs Jan2022'!AL118/'Tariffs Jan2022'!AJ118*'Tariffs Jan2022'!U118/100)* 'Tariffs Jan2022'!AJ118)</f>
        <v>384</v>
      </c>
      <c r="K124" s="69">
        <f>IF($C$5*'Tariffs Jan2022'!AL118/'Tariffs Jan2022'!AJ118&lt;'Tariffs Jan2022'!J118,0,IF($C$5*'Tariffs Jan2022'!AL118/'Tariffs Jan2022'!AJ118&lt;='Tariffs Jan2022'!K118,($C$5*'Tariffs Jan2022'!AL118/'Tariffs Jan2022'!AJ118-'Tariffs Jan2022'!J118)*('Tariffs Jan2022'!V118/100)*'Tariffs Jan2022'!AJ118,('Tariffs Jan2022'!K118-'Tariffs Jan2022'!J118)*('Tariffs Jan2022'!V118/100)*'Tariffs Jan2022'!AJ118))</f>
        <v>287.93279999999993</v>
      </c>
      <c r="L124" s="69">
        <f>IF($C$5*'Tariffs Jan2022'!AL118/'Tariffs Jan2022'!AJ118&lt;'Tariffs Jan2022'!K118,0,IF($C$5*'Tariffs Jan2022'!AL118/'Tariffs Jan2022'!AJ118&lt;='Tariffs Jan2022'!L118,($C$5*'Tariffs Jan2022'!AL118/'Tariffs Jan2022'!AJ118-'Tariffs Jan2022'!K118)*('Tariffs Jan2022'!W118/100)*'Tariffs Jan2022'!AJ118,('Tariffs Jan2022'!L118-'Tariffs Jan2022'!K118)*('Tariffs Jan2022'!W118/100)*'Tariffs Jan2022'!AJ118))</f>
        <v>0</v>
      </c>
      <c r="M124" s="69">
        <f>IF($C$5*'Tariffs Jan2022'!AL118/'Tariffs Jan2022'!AJ118&lt;'Tariffs Jan2022'!L118,0,IF($C$5*'Tariffs Jan2022'!AL118/'Tariffs Jan2022'!AJ118&lt;='Tariffs Jan2022'!M118,($C$5*'Tariffs Jan2022'!AL118/'Tariffs Jan2022'!AJ118-'Tariffs Jan2022'!L118)*('Tariffs Jan2022'!X118/100)*'Tariffs Jan2022'!AJ118,('Tariffs Jan2022'!M118-'Tariffs Jan2022'!L118)*('Tariffs Jan2022'!X118/100)*'Tariffs Jan2022'!AJ118))</f>
        <v>0</v>
      </c>
      <c r="N124" s="69">
        <f>IF(($C$5*'Tariffs Jan2022'!AL118/'Tariffs Jan2022'!AJ118&gt;'Tariffs Jan2022'!M118),($C$5*'Tariffs Jan2022'!AL118/'Tariffs Jan2022'!AJ118-'Tariffs Jan2022'!M118)*'Tariffs Jan2022'!Y118/100*'Tariffs Jan2022'!AJ118,0)</f>
        <v>0</v>
      </c>
      <c r="O124" s="59">
        <f t="shared" si="146"/>
        <v>1106.8928999999998</v>
      </c>
      <c r="P124" s="503">
        <f t="shared" si="92"/>
        <v>1217.5821899999999</v>
      </c>
      <c r="Q124" s="59">
        <f t="shared" si="147"/>
        <v>1469.3378999999998</v>
      </c>
      <c r="R124" s="272">
        <f t="shared" si="148"/>
        <v>1616.2716899999998</v>
      </c>
      <c r="S124" s="40">
        <f>'Tariffs Jan2022'!AN118</f>
        <v>0</v>
      </c>
      <c r="T124" s="40">
        <f>'Tariffs Jan2022'!AO118</f>
        <v>0</v>
      </c>
      <c r="U124" s="40">
        <f>'Tariffs Jan2022'!AP118</f>
        <v>0</v>
      </c>
      <c r="V124" s="40">
        <f>'Tariffs Jan2022'!AQ118</f>
        <v>0</v>
      </c>
      <c r="W124" s="537" t="str">
        <f t="shared" si="144"/>
        <v>No discount</v>
      </c>
      <c r="X124" s="538" t="str">
        <f t="shared" si="145"/>
        <v>Exclusive</v>
      </c>
      <c r="Y124" s="534">
        <f t="shared" ref="Y124" si="153">IF(AND(W124="Guaranteed off bill",X124="Inclusive"),((Q124*1.1)-((Q124*1.1)*S124/100))/1.1,IF(AND(W124="Guaranteed off usage",X124="Inclusive"),((Q124*1.1)-((P124*1.1)*T124/100))/1.1,IF(AND(W124="Guaranteed off bill",X124="Exclusive"),Q124-(Q124*S124/100),IF(AND(W124="Guaranteed off usage",X124="Exclusive"),Q124-(P124*T124/100),IF(X124="Inclusive",((Q124*1.1))/1.1,Q124)))))</f>
        <v>1469.3378999999998</v>
      </c>
      <c r="Z124" s="535">
        <f t="shared" ref="Z124" si="154">IF(AND(W124="Pay-on-time off bill",X124="Inclusive"),((Y124*1.1)-((Y124*1.1)*U124/100))/1.1,IF(AND(W124="Pay-on-time off usage",X124="Inclusive"),((Y124*1.1)-((P124*1.1)*V124/100))/1.1,IF(AND(W124="Pay-on-time off bill",X124="Exclusive"),Y124-(Y124*U124/100),IF(AND(W124="Pay-on-time off usage",X124="Exclusive"),Y124-(P124*V124/100),IF(X124="Inclusive",((Y124*1.1))/1.1,Y124)))))</f>
        <v>1469.3378999999998</v>
      </c>
      <c r="AA124" s="542">
        <f t="shared" si="123"/>
        <v>1616.2716899999998</v>
      </c>
      <c r="AB124" s="542">
        <f t="shared" si="123"/>
        <v>1616.2716899999998</v>
      </c>
      <c r="AC124" s="274">
        <f>'Tariffs Jan2022'!AZ118</f>
        <v>0</v>
      </c>
      <c r="AD124" s="274" t="str">
        <f>'Tariffs Jan2022'!BA118</f>
        <v>n</v>
      </c>
      <c r="AE124" s="275" t="str">
        <f>'Tariffs Jan2022'!BJ118</f>
        <v>N</v>
      </c>
      <c r="AF124" s="577"/>
      <c r="AG124" s="577"/>
      <c r="AH124" s="577"/>
      <c r="AI124" s="577"/>
      <c r="AJ124" s="577"/>
      <c r="AK124" s="577"/>
      <c r="AL124" s="577"/>
      <c r="AM124" s="577"/>
      <c r="AN124" s="577"/>
      <c r="AO124" s="577"/>
      <c r="AP124" s="577"/>
      <c r="AQ124" s="577"/>
      <c r="AR124" s="577"/>
      <c r="AS124" s="577"/>
      <c r="AT124" s="577"/>
      <c r="AU124" s="577"/>
      <c r="AV124" s="577"/>
      <c r="AW124" s="577"/>
    </row>
    <row r="125" spans="1:49" ht="14" x14ac:dyDescent="0.15">
      <c r="A125" s="270" t="str">
        <f>'Tariffs Jan2022'!F119</f>
        <v>Origin Energy</v>
      </c>
      <c r="B125" s="40" t="str">
        <f>'Tariffs Jan2022'!D119</f>
        <v>AusNet Services Central 1</v>
      </c>
      <c r="C125" s="40" t="str">
        <f>'Tariffs Jan2022'!G119</f>
        <v>Go</v>
      </c>
      <c r="D125" s="59">
        <f>365*'Tariffs Jan2022'!H119/100</f>
        <v>283.60499999999996</v>
      </c>
      <c r="E125" s="59">
        <f>((C$5*'Tariffs Jan2022'!AK119/'Tariffs Jan2022'!AI119)*('Tariffs Jan2022'!O119/100))*'Tariffs Jan2022'!AI119</f>
        <v>655.77272727272725</v>
      </c>
      <c r="F125" s="59">
        <v>0</v>
      </c>
      <c r="G125" s="59">
        <v>0</v>
      </c>
      <c r="H125" s="59">
        <v>0</v>
      </c>
      <c r="I125" s="69">
        <v>0</v>
      </c>
      <c r="J125" s="69">
        <f>((C$5*'Tariffs Jan2022'!AL119/'Tariffs Jan2022'!AJ119)*('Tariffs Jan2022'!U119/100))*'Tariffs Jan2022'!AJ119</f>
        <v>655.77272727272725</v>
      </c>
      <c r="K125" s="69">
        <v>0</v>
      </c>
      <c r="L125" s="69">
        <v>0</v>
      </c>
      <c r="M125" s="69">
        <v>0</v>
      </c>
      <c r="N125" s="69">
        <v>0</v>
      </c>
      <c r="O125" s="59">
        <f t="shared" si="146"/>
        <v>1311.5454545454545</v>
      </c>
      <c r="P125" s="503">
        <f t="shared" si="92"/>
        <v>1442.7</v>
      </c>
      <c r="Q125" s="59">
        <f t="shared" si="147"/>
        <v>1595.1504545454545</v>
      </c>
      <c r="R125" s="272">
        <f t="shared" si="148"/>
        <v>1754.6655000000001</v>
      </c>
      <c r="S125" s="40">
        <f>'Tariffs Jan2022'!AN119</f>
        <v>0</v>
      </c>
      <c r="T125" s="40">
        <f>'Tariffs Jan2022'!AO119</f>
        <v>0</v>
      </c>
      <c r="U125" s="40">
        <f>'Tariffs Jan2022'!AP119</f>
        <v>0</v>
      </c>
      <c r="V125" s="40">
        <f>'Tariffs Jan2022'!AQ119</f>
        <v>0</v>
      </c>
      <c r="W125" s="537" t="str">
        <f t="shared" si="144"/>
        <v>No discount</v>
      </c>
      <c r="X125" s="538" t="str">
        <f t="shared" si="145"/>
        <v>Inclusive</v>
      </c>
      <c r="Y125" s="534">
        <f>IF(AND(W125="Guaranteed off bill",X125="Inclusive"),((Q125*1.1)-((Q125*1.1)*S125/100))/1.1,IF(AND(W125="Guaranteed off usage",X125="Inclusive"),((Q125*1.1)-((P125*1.1)*T125/100))/1.1,IF(AND(W125="Guaranteed off bill",X125="Exclusive"),Q125-(Q125*S125/100),IF(AND(W125="Guaranteed off usage",X125="Exclusive"),Q125-(P125*T125/100),IF(X125="Inclusive",((Q125*1.1))/1.1,Q125)))))</f>
        <v>1595.1504545454545</v>
      </c>
      <c r="Z125" s="535">
        <f>IF(AND(W125="Pay-on-time off bill",X125="Inclusive"),((Y125*1.1)-((Y125*1.1)*U125/100))/1.1,IF(AND(W125="Pay-on-time off usage",X125="Inclusive"),((Y125*1.1)-((P125*1.1)*V125/100))/1.1,IF(AND(W125="Pay-on-time off bill",X125="Exclusive"),Y125-(Y125*U125/100),IF(AND(W125="Pay-on-time off usage",X125="Exclusive"),Y125-(P125*V125/100),IF(X125="Inclusive",((Y125*1.1))/1.1,Y125)))))</f>
        <v>1595.1504545454545</v>
      </c>
      <c r="AA125" s="542">
        <f t="shared" si="123"/>
        <v>1754.6655000000001</v>
      </c>
      <c r="AB125" s="542">
        <f t="shared" si="123"/>
        <v>1754.6655000000001</v>
      </c>
      <c r="AC125" s="274">
        <f>'Tariffs Jan2022'!AZ119</f>
        <v>0</v>
      </c>
      <c r="AD125" s="274" t="str">
        <f>'Tariffs Jan2022'!BA119</f>
        <v>n</v>
      </c>
      <c r="AE125" s="275" t="str">
        <f>'Tariffs Jan2022'!BJ119</f>
        <v>N</v>
      </c>
      <c r="AF125" s="577"/>
      <c r="AG125" s="577"/>
      <c r="AH125" s="577"/>
      <c r="AI125" s="577"/>
      <c r="AJ125" s="577"/>
      <c r="AK125" s="577"/>
      <c r="AL125" s="577"/>
      <c r="AM125" s="577"/>
      <c r="AN125" s="577"/>
      <c r="AO125" s="577"/>
      <c r="AP125" s="577"/>
      <c r="AQ125" s="577"/>
      <c r="AR125" s="577"/>
      <c r="AS125" s="577"/>
      <c r="AT125" s="577"/>
      <c r="AU125" s="577"/>
      <c r="AV125" s="577"/>
      <c r="AW125" s="577"/>
    </row>
    <row r="126" spans="1:49" ht="14" x14ac:dyDescent="0.15">
      <c r="A126" s="270" t="str">
        <f>'Tariffs Jan2022'!F120</f>
        <v>Red Energy</v>
      </c>
      <c r="B126" s="40" t="str">
        <f>'Tariffs Jan2022'!D120</f>
        <v>AusNet Services Central 1</v>
      </c>
      <c r="C126" s="40" t="str">
        <f>'Tariffs Jan2022'!G120</f>
        <v>Living Energy Saver</v>
      </c>
      <c r="D126" s="59">
        <f>365*'Tariffs Jan2022'!H120/100</f>
        <v>271.02909090909088</v>
      </c>
      <c r="E126" s="59">
        <f>IF($C$5*'Tariffs Jan2022'!AK120/'Tariffs Jan2022'!AI120&gt;='Tariffs Jan2022'!J120,( 'Tariffs Jan2022'!J120*'Tariffs Jan2022'!O120/100)* 'Tariffs Jan2022'!AI120,($C$5*'Tariffs Jan2022'!AK120/'Tariffs Jan2022'!AI120*'Tariffs Jan2022'!O120/100)* 'Tariffs Jan2022'!AI120)</f>
        <v>259.63636363636363</v>
      </c>
      <c r="F126" s="59">
        <f>IF($C$5*'Tariffs Jan2022'!AK120/'Tariffs Jan2022'!AI120&lt;'Tariffs Jan2022'!J120,0,IF($C$5*'Tariffs Jan2022'!AK120/'Tariffs Jan2022'!AI120&lt;='Tariffs Jan2022'!K120,($C$5*'Tariffs Jan2022'!AK120/'Tariffs Jan2022'!AI120-'Tariffs Jan2022'!J120)*('Tariffs Jan2022'!P120/100)*'Tariffs Jan2022'!AI120,('Tariffs Jan2022'!K120-'Tariffs Jan2022'!J120)*('Tariffs Jan2022'!P120/100)*'Tariffs Jan2022'!AI120))</f>
        <v>174.23206363636356</v>
      </c>
      <c r="G126" s="59">
        <f>IF($C$5*'Tariffs Jan2022'!AK120/'Tariffs Jan2022'!AI120&lt;'Tariffs Jan2022'!K120,0,IF($C$5*'Tariffs Jan2022'!AK120/'Tariffs Jan2022'!AI120&lt;='Tariffs Jan2022'!L120,($C$5*'Tariffs Jan2022'!AK120/'Tariffs Jan2022'!AI120-'Tariffs Jan2022'!K120)*('Tariffs Jan2022'!Q120/100)*'Tariffs Jan2022'!AI120,('Tariffs Jan2022'!L120-'Tariffs Jan2022'!K120)*('Tariffs Jan2022'!Q120/100)*'Tariffs Jan2022'!AI120))</f>
        <v>0</v>
      </c>
      <c r="H126" s="59">
        <f>IF($C$5*'Tariffs Jan2022'!AK120/'Tariffs Jan2022'!AI120&lt;'Tariffs Jan2022'!L120,0,IF($C$5*'Tariffs Jan2022'!AK120/'Tariffs Jan2022'!AI120&lt;='Tariffs Jan2022'!M120,($C$5*'Tariffs Jan2022'!AK120/'Tariffs Jan2022'!AI120-'Tariffs Jan2022'!L120)*('Tariffs Jan2022'!R120/100)*'Tariffs Jan2022'!AI120,('Tariffs Jan2022'!M120-'Tariffs Jan2022'!L120)*('Tariffs Jan2022'!R120/100)*'Tariffs Jan2022'!AI120))</f>
        <v>0</v>
      </c>
      <c r="I126" s="69">
        <f>IF(($C$5*'Tariffs Jan2022'!AK120/'Tariffs Jan2022'!AI120&gt;'Tariffs Jan2022'!M120),($C$5*'Tariffs Jan2022'!AK120/'Tariffs Jan2022'!AI120-'Tariffs Jan2022'!M120)*'Tariffs Jan2022'!S120/100*'Tariffs Jan2022'!AI120,0)</f>
        <v>0</v>
      </c>
      <c r="J126" s="69">
        <f>IF($C$5*'Tariffs Jan2022'!AL120/'Tariffs Jan2022'!AJ120&gt;='Tariffs Jan2022'!J120,('Tariffs Jan2022'!J120*'Tariffs Jan2022'!U120/100)* 'Tariffs Jan2022'!AJ120,($C$5*'Tariffs Jan2022'!AL120/'Tariffs Jan2022'!AJ120*'Tariffs Jan2022'!U120/100)* 'Tariffs Jan2022'!AJ120)</f>
        <v>421.09090909090907</v>
      </c>
      <c r="K126" s="69">
        <f>IF($C$5*'Tariffs Jan2022'!AL120/'Tariffs Jan2022'!AJ120&lt;'Tariffs Jan2022'!J120,0,IF($C$5*'Tariffs Jan2022'!AL120/'Tariffs Jan2022'!AJ120&lt;='Tariffs Jan2022'!K120,($C$5*'Tariffs Jan2022'!AL120/'Tariffs Jan2022'!AJ120-'Tariffs Jan2022'!J120)*('Tariffs Jan2022'!V120/100)*'Tariffs Jan2022'!AJ120,('Tariffs Jan2022'!K120-'Tariffs Jan2022'!J120)*('Tariffs Jan2022'!V120/100)*'Tariffs Jan2022'!AJ120))</f>
        <v>307.56458181818169</v>
      </c>
      <c r="L126" s="69">
        <f>IF($C$5*'Tariffs Jan2022'!AL120/'Tariffs Jan2022'!AJ120&lt;'Tariffs Jan2022'!K120,0,IF($C$5*'Tariffs Jan2022'!AL120/'Tariffs Jan2022'!AJ120&lt;='Tariffs Jan2022'!L120,($C$5*'Tariffs Jan2022'!AL120/'Tariffs Jan2022'!AJ120-'Tariffs Jan2022'!K120)*('Tariffs Jan2022'!W120/100)*'Tariffs Jan2022'!AJ120,('Tariffs Jan2022'!L120-'Tariffs Jan2022'!K120)*('Tariffs Jan2022'!W120/100)*'Tariffs Jan2022'!AJ120))</f>
        <v>0</v>
      </c>
      <c r="M126" s="69">
        <f>IF($C$5*'Tariffs Jan2022'!AL120/'Tariffs Jan2022'!AJ120&lt;'Tariffs Jan2022'!L120,0,IF($C$5*'Tariffs Jan2022'!AL120/'Tariffs Jan2022'!AJ120&lt;='Tariffs Jan2022'!M120,($C$5*'Tariffs Jan2022'!AL120/'Tariffs Jan2022'!AJ120-'Tariffs Jan2022'!L120)*('Tariffs Jan2022'!X120/100)*'Tariffs Jan2022'!AJ120,('Tariffs Jan2022'!M120-'Tariffs Jan2022'!L120)*('Tariffs Jan2022'!X120/100)*'Tariffs Jan2022'!AJ120))</f>
        <v>0</v>
      </c>
      <c r="N126" s="69">
        <f>IF(($C$5*'Tariffs Jan2022'!AL120/'Tariffs Jan2022'!AJ120&gt;'Tariffs Jan2022'!M120),($C$5*'Tariffs Jan2022'!AL120/'Tariffs Jan2022'!AJ120-'Tariffs Jan2022'!M120)*'Tariffs Jan2022'!Y120/100*'Tariffs Jan2022'!AJ120,0)</f>
        <v>0</v>
      </c>
      <c r="O126" s="59">
        <f t="shared" si="146"/>
        <v>1162.5239181818181</v>
      </c>
      <c r="P126" s="503">
        <f t="shared" si="92"/>
        <v>1278.77631</v>
      </c>
      <c r="Q126" s="59">
        <f t="shared" si="147"/>
        <v>1433.553009090909</v>
      </c>
      <c r="R126" s="272">
        <f t="shared" si="148"/>
        <v>1576.90831</v>
      </c>
      <c r="S126" s="40">
        <f>'Tariffs Jan2022'!AN120</f>
        <v>0</v>
      </c>
      <c r="T126" s="40">
        <f>'Tariffs Jan2022'!AO120</f>
        <v>0</v>
      </c>
      <c r="U126" s="40">
        <f>'Tariffs Jan2022'!AP120</f>
        <v>0</v>
      </c>
      <c r="V126" s="40">
        <f>'Tariffs Jan2022'!AQ120</f>
        <v>0</v>
      </c>
      <c r="W126" s="537" t="str">
        <f t="shared" si="144"/>
        <v>No discount</v>
      </c>
      <c r="X126" s="538" t="str">
        <f t="shared" si="145"/>
        <v>Inclusive</v>
      </c>
      <c r="Y126" s="534">
        <f t="shared" ref="Y126:Y128" si="155">IF(AND(W126="Guaranteed off bill",X126="Inclusive"),((Q126*1.1)-((Q126*1.1)*S126/100))/1.1,IF(AND(W126="Guaranteed off usage",X126="Inclusive"),((Q126*1.1)-((P126*1.1)*T126/100))/1.1,IF(AND(W126="Guaranteed off bill",X126="Exclusive"),Q126-(Q126*S126/100),IF(AND(W126="Guaranteed off usage",X126="Exclusive"),Q126-(P126*T126/100),IF(X126="Inclusive",((Q126*1.1))/1.1,Q126)))))</f>
        <v>1433.553009090909</v>
      </c>
      <c r="Z126" s="535">
        <f t="shared" ref="Z126:Z128" si="156">IF(AND(W126="Pay-on-time off bill",X126="Inclusive"),((Y126*1.1)-((Y126*1.1)*U126/100))/1.1,IF(AND(W126="Pay-on-time off usage",X126="Inclusive"),((Y126*1.1)-((P126*1.1)*V126/100))/1.1,IF(AND(W126="Pay-on-time off bill",X126="Exclusive"),Y126-(Y126*U126/100),IF(AND(W126="Pay-on-time off usage",X126="Exclusive"),Y126-(P126*V126/100),IF(X126="Inclusive",((Y126*1.1))/1.1,Y126)))))</f>
        <v>1433.553009090909</v>
      </c>
      <c r="AA126" s="542">
        <f t="shared" si="123"/>
        <v>1576.90831</v>
      </c>
      <c r="AB126" s="542">
        <f t="shared" si="123"/>
        <v>1576.90831</v>
      </c>
      <c r="AC126" s="274">
        <f>'Tariffs Jan2022'!AZ120</f>
        <v>0</v>
      </c>
      <c r="AD126" s="274" t="str">
        <f>'Tariffs Jan2022'!BA120</f>
        <v>n</v>
      </c>
      <c r="AE126" s="275" t="str">
        <f>'Tariffs Jan2022'!BJ120</f>
        <v>N</v>
      </c>
      <c r="AF126" s="577"/>
      <c r="AG126" s="577"/>
      <c r="AH126" s="577"/>
      <c r="AI126" s="577"/>
      <c r="AJ126" s="577"/>
      <c r="AK126" s="577"/>
      <c r="AL126" s="577"/>
      <c r="AM126" s="577"/>
      <c r="AN126" s="577"/>
      <c r="AO126" s="577"/>
      <c r="AP126" s="577"/>
      <c r="AQ126" s="577"/>
      <c r="AR126" s="577"/>
      <c r="AS126" s="577"/>
      <c r="AT126" s="577"/>
      <c r="AU126" s="577"/>
      <c r="AV126" s="577"/>
      <c r="AW126" s="577"/>
    </row>
    <row r="127" spans="1:49" ht="14" x14ac:dyDescent="0.15">
      <c r="A127" s="270" t="str">
        <f>'Tariffs Jan2022'!F121</f>
        <v>Simply Energy</v>
      </c>
      <c r="B127" s="40" t="str">
        <f>'Tariffs Jan2022'!D121</f>
        <v>AusNet Services Central 1</v>
      </c>
      <c r="C127" s="40" t="str">
        <f>'Tariffs Jan2022'!G121</f>
        <v>Blue perks</v>
      </c>
      <c r="D127" s="59">
        <f>365*'Tariffs Jan2022'!H121/100</f>
        <v>319.9722727272727</v>
      </c>
      <c r="E127" s="59">
        <f>IF($C$5*'Tariffs Jan2022'!AK121/'Tariffs Jan2022'!AI121&gt;='Tariffs Jan2022'!J121,( 'Tariffs Jan2022'!J121*'Tariffs Jan2022'!O121/100)* 'Tariffs Jan2022'!AI121,($C$5*'Tariffs Jan2022'!AK121/'Tariffs Jan2022'!AI121*'Tariffs Jan2022'!O121/100)* 'Tariffs Jan2022'!AI121)</f>
        <v>391.63636363636363</v>
      </c>
      <c r="F127" s="59">
        <f>IF($C$5*'Tariffs Jan2022'!AK121/'Tariffs Jan2022'!AI121&lt;'Tariffs Jan2022'!J121,0,IF($C$5*'Tariffs Jan2022'!AK121/'Tariffs Jan2022'!AI121&lt;='Tariffs Jan2022'!K121,($C$5*'Tariffs Jan2022'!AK121/'Tariffs Jan2022'!AI121-'Tariffs Jan2022'!J121)*('Tariffs Jan2022'!P121/100)*'Tariffs Jan2022'!AI121,('Tariffs Jan2022'!K121-'Tariffs Jan2022'!J121)*('Tariffs Jan2022'!P121/100)*'Tariffs Jan2022'!AI121))</f>
        <v>287.93279999999993</v>
      </c>
      <c r="G127" s="59">
        <f>IF($C$5*'Tariffs Jan2022'!AK121/'Tariffs Jan2022'!AI121&lt;'Tariffs Jan2022'!K121,0,IF($C$5*'Tariffs Jan2022'!AK121/'Tariffs Jan2022'!AI121&lt;='Tariffs Jan2022'!L121,($C$5*'Tariffs Jan2022'!AK121/'Tariffs Jan2022'!AI121-'Tariffs Jan2022'!K121)*('Tariffs Jan2022'!Q121/100)*'Tariffs Jan2022'!AI121,('Tariffs Jan2022'!L121-'Tariffs Jan2022'!K121)*('Tariffs Jan2022'!Q121/100)*'Tariffs Jan2022'!AI121))</f>
        <v>0</v>
      </c>
      <c r="H127" s="59">
        <f>IF($C$5*'Tariffs Jan2022'!AK121/'Tariffs Jan2022'!AI121&lt;'Tariffs Jan2022'!L121,0,IF($C$5*'Tariffs Jan2022'!AK121/'Tariffs Jan2022'!AI121&lt;='Tariffs Jan2022'!M121,($C$5*'Tariffs Jan2022'!AK121/'Tariffs Jan2022'!AI121-'Tariffs Jan2022'!L121)*('Tariffs Jan2022'!R121/100)*'Tariffs Jan2022'!AI121,('Tariffs Jan2022'!M121-'Tariffs Jan2022'!L121)*('Tariffs Jan2022'!R121/100)*'Tariffs Jan2022'!AI121))</f>
        <v>0</v>
      </c>
      <c r="I127" s="69">
        <f>IF(($C$5*'Tariffs Jan2022'!AK121/'Tariffs Jan2022'!AI121&gt;'Tariffs Jan2022'!M121),($C$5*'Tariffs Jan2022'!AK121/'Tariffs Jan2022'!AI121-'Tariffs Jan2022'!M121)*'Tariffs Jan2022'!S121/100*'Tariffs Jan2022'!AI121,0)</f>
        <v>0</v>
      </c>
      <c r="J127" s="69">
        <f>IF($C$5*'Tariffs Jan2022'!AL121/'Tariffs Jan2022'!AJ121&gt;='Tariffs Jan2022'!J121,('Tariffs Jan2022'!J121*'Tariffs Jan2022'!U121/100)* 'Tariffs Jan2022'!AJ121,($C$5*'Tariffs Jan2022'!AL121/'Tariffs Jan2022'!AJ121*'Tariffs Jan2022'!U121/100)* 'Tariffs Jan2022'!AJ121)</f>
        <v>597.81818181818176</v>
      </c>
      <c r="K127" s="69">
        <f>IF($C$5*'Tariffs Jan2022'!AL121/'Tariffs Jan2022'!AJ121&lt;'Tariffs Jan2022'!J121,0,IF($C$5*'Tariffs Jan2022'!AL121/'Tariffs Jan2022'!AJ121&lt;='Tariffs Jan2022'!K121,($C$5*'Tariffs Jan2022'!AL121/'Tariffs Jan2022'!AJ121-'Tariffs Jan2022'!J121)*('Tariffs Jan2022'!V121/100)*'Tariffs Jan2022'!AJ121,('Tariffs Jan2022'!K121-'Tariffs Jan2022'!J121)*('Tariffs Jan2022'!V121/100)*'Tariffs Jan2022'!AJ121))</f>
        <v>431.89919999999989</v>
      </c>
      <c r="L127" s="69">
        <f>IF($C$5*'Tariffs Jan2022'!AL121/'Tariffs Jan2022'!AJ121&lt;'Tariffs Jan2022'!K121,0,IF($C$5*'Tariffs Jan2022'!AL121/'Tariffs Jan2022'!AJ121&lt;='Tariffs Jan2022'!L121,($C$5*'Tariffs Jan2022'!AL121/'Tariffs Jan2022'!AJ121-'Tariffs Jan2022'!K121)*('Tariffs Jan2022'!W121/100)*'Tariffs Jan2022'!AJ121,('Tariffs Jan2022'!L121-'Tariffs Jan2022'!K121)*('Tariffs Jan2022'!W121/100)*'Tariffs Jan2022'!AJ121))</f>
        <v>0</v>
      </c>
      <c r="M127" s="69">
        <f>IF($C$5*'Tariffs Jan2022'!AL121/'Tariffs Jan2022'!AJ121&lt;'Tariffs Jan2022'!L121,0,IF($C$5*'Tariffs Jan2022'!AL121/'Tariffs Jan2022'!AJ121&lt;='Tariffs Jan2022'!M121,($C$5*'Tariffs Jan2022'!AL121/'Tariffs Jan2022'!AJ121-'Tariffs Jan2022'!L121)*('Tariffs Jan2022'!X121/100)*'Tariffs Jan2022'!AJ121,('Tariffs Jan2022'!M121-'Tariffs Jan2022'!L121)*('Tariffs Jan2022'!X121/100)*'Tariffs Jan2022'!AJ121))</f>
        <v>0</v>
      </c>
      <c r="N127" s="69">
        <f>IF(($C$5*'Tariffs Jan2022'!AL121/'Tariffs Jan2022'!AJ121&gt;'Tariffs Jan2022'!M121),($C$5*'Tariffs Jan2022'!AL121/'Tariffs Jan2022'!AJ121-'Tariffs Jan2022'!M121)*'Tariffs Jan2022'!Y121/100*'Tariffs Jan2022'!AJ121,0)</f>
        <v>0</v>
      </c>
      <c r="O127" s="59">
        <f t="shared" si="146"/>
        <v>1709.2865454545451</v>
      </c>
      <c r="P127" s="503">
        <f t="shared" si="92"/>
        <v>1880.2151999999999</v>
      </c>
      <c r="Q127" s="59">
        <f t="shared" si="147"/>
        <v>2029.2588181818178</v>
      </c>
      <c r="R127" s="272">
        <f t="shared" si="148"/>
        <v>2232.1846999999998</v>
      </c>
      <c r="S127" s="40">
        <f>'Tariffs Jan2022'!AN121</f>
        <v>32</v>
      </c>
      <c r="T127" s="40">
        <f>'Tariffs Jan2022'!AO121</f>
        <v>0</v>
      </c>
      <c r="U127" s="40">
        <f>'Tariffs Jan2022'!AP121</f>
        <v>0</v>
      </c>
      <c r="V127" s="40">
        <f>'Tariffs Jan2022'!AQ121</f>
        <v>0</v>
      </c>
      <c r="W127" s="537" t="str">
        <f t="shared" si="144"/>
        <v>Guaranteed off bill</v>
      </c>
      <c r="X127" s="538" t="str">
        <f t="shared" si="145"/>
        <v>Exclusive</v>
      </c>
      <c r="Y127" s="534">
        <f t="shared" si="155"/>
        <v>1379.8959963636362</v>
      </c>
      <c r="Z127" s="535">
        <f t="shared" si="156"/>
        <v>1379.8959963636362</v>
      </c>
      <c r="AA127" s="542">
        <f t="shared" si="123"/>
        <v>1517.8855959999999</v>
      </c>
      <c r="AB127" s="542">
        <f t="shared" si="123"/>
        <v>1517.8855959999999</v>
      </c>
      <c r="AC127" s="274">
        <f>'Tariffs Jan2022'!AZ121</f>
        <v>0</v>
      </c>
      <c r="AD127" s="274" t="str">
        <f>'Tariffs Jan2022'!BA121</f>
        <v>n</v>
      </c>
      <c r="AE127" s="275" t="str">
        <f>'Tariffs Jan2022'!BJ121</f>
        <v>N</v>
      </c>
      <c r="AF127" s="577"/>
      <c r="AG127" s="577"/>
      <c r="AH127" s="577"/>
      <c r="AI127" s="577"/>
      <c r="AJ127" s="577"/>
      <c r="AK127" s="577"/>
      <c r="AL127" s="577"/>
      <c r="AM127" s="577"/>
      <c r="AN127" s="577"/>
      <c r="AO127" s="577"/>
      <c r="AP127" s="577"/>
      <c r="AQ127" s="577"/>
      <c r="AR127" s="577"/>
      <c r="AS127" s="577"/>
      <c r="AT127" s="577"/>
      <c r="AU127" s="577"/>
      <c r="AV127" s="577"/>
      <c r="AW127" s="577"/>
    </row>
    <row r="128" spans="1:49" ht="14" x14ac:dyDescent="0.15">
      <c r="A128" s="270" t="str">
        <f>'Tariffs Jan2022'!F122</f>
        <v>GloBird Energy</v>
      </c>
      <c r="B128" s="40" t="str">
        <f>'Tariffs Jan2022'!D122</f>
        <v>AusNet Services Central 1</v>
      </c>
      <c r="C128" s="40" t="str">
        <f>'Tariffs Jan2022'!G122</f>
        <v>GloSave</v>
      </c>
      <c r="D128" s="59">
        <f>365*'Tariffs Jan2022'!H122/100</f>
        <v>284.7</v>
      </c>
      <c r="E128" s="59">
        <f>IF($C$5*'Tariffs Jan2022'!AK122/'Tariffs Jan2022'!AI122&gt;='Tariffs Jan2022'!J122,( 'Tariffs Jan2022'!J122*'Tariffs Jan2022'!O122/100)* 'Tariffs Jan2022'!AI122,($C$5*'Tariffs Jan2022'!AK122/'Tariffs Jan2022'!AI122*'Tariffs Jan2022'!O122/100)* 'Tariffs Jan2022'!AI122)</f>
        <v>227.99999999999997</v>
      </c>
      <c r="F128" s="59">
        <f>IF($C$5*'Tariffs Jan2022'!AK122/'Tariffs Jan2022'!AI122&lt;'Tariffs Jan2022'!J122,0,IF($C$5*'Tariffs Jan2022'!AK122/'Tariffs Jan2022'!AI122&lt;='Tariffs Jan2022'!K122,($C$5*'Tariffs Jan2022'!AK122/'Tariffs Jan2022'!AI122-'Tariffs Jan2022'!J122)*('Tariffs Jan2022'!P122/100)*'Tariffs Jan2022'!AI122,('Tariffs Jan2022'!K122-'Tariffs Jan2022'!J122)*('Tariffs Jan2022'!P122/100)*'Tariffs Jan2022'!AI122))</f>
        <v>0</v>
      </c>
      <c r="G128" s="59">
        <f>IF($C$5*'Tariffs Jan2022'!AK122/'Tariffs Jan2022'!AI122&lt;'Tariffs Jan2022'!K122,0,IF($C$5*'Tariffs Jan2022'!AK122/'Tariffs Jan2022'!AI122&lt;='Tariffs Jan2022'!L122,($C$5*'Tariffs Jan2022'!AK122/'Tariffs Jan2022'!AI122-'Tariffs Jan2022'!K122)*('Tariffs Jan2022'!Q122/100)*'Tariffs Jan2022'!AI122,('Tariffs Jan2022'!L122-'Tariffs Jan2022'!K122)*('Tariffs Jan2022'!Q122/100)*'Tariffs Jan2022'!AI122))</f>
        <v>0</v>
      </c>
      <c r="H128" s="59">
        <f>IF($C$5*'Tariffs Jan2022'!AK122/'Tariffs Jan2022'!AI122&lt;'Tariffs Jan2022'!L122,0,IF($C$5*'Tariffs Jan2022'!AK122/'Tariffs Jan2022'!AI122&lt;='Tariffs Jan2022'!M122,($C$5*'Tariffs Jan2022'!AK122/'Tariffs Jan2022'!AI122-'Tariffs Jan2022'!L122)*('Tariffs Jan2022'!R122/100)*'Tariffs Jan2022'!AI122,('Tariffs Jan2022'!M122-'Tariffs Jan2022'!L122)*('Tariffs Jan2022'!R122/100)*'Tariffs Jan2022'!AI122))</f>
        <v>0</v>
      </c>
      <c r="I128" s="69">
        <f>IF(($C$5*'Tariffs Jan2022'!AK122/'Tariffs Jan2022'!AI122&gt;'Tariffs Jan2022'!M122),($C$5*'Tariffs Jan2022'!AK122/'Tariffs Jan2022'!AI122-'Tariffs Jan2022'!M122)*'Tariffs Jan2022'!S122/100*'Tariffs Jan2022'!AI122,0)</f>
        <v>157.87224545454541</v>
      </c>
      <c r="J128" s="69">
        <f>IF($C$5*'Tariffs Jan2022'!AL122/'Tariffs Jan2022'!AJ122&gt;='Tariffs Jan2022'!J122,('Tariffs Jan2022'!J122*'Tariffs Jan2022'!U122/100)* 'Tariffs Jan2022'!AJ122,($C$5*'Tariffs Jan2022'!AL122/'Tariffs Jan2022'!AJ122*'Tariffs Jan2022'!U122/100)* 'Tariffs Jan2022'!AJ122)</f>
        <v>384</v>
      </c>
      <c r="K128" s="69">
        <f>IF($C$5*'Tariffs Jan2022'!AL122/'Tariffs Jan2022'!AJ122&lt;'Tariffs Jan2022'!J122,0,IF($C$5*'Tariffs Jan2022'!AL122/'Tariffs Jan2022'!AJ122&lt;='Tariffs Jan2022'!K122,($C$5*'Tariffs Jan2022'!AL122/'Tariffs Jan2022'!AJ122-'Tariffs Jan2022'!J122)*('Tariffs Jan2022'!V122/100)*'Tariffs Jan2022'!AJ122,('Tariffs Jan2022'!K122-'Tariffs Jan2022'!J122)*('Tariffs Jan2022'!V122/100)*'Tariffs Jan2022'!AJ122))</f>
        <v>0</v>
      </c>
      <c r="L128" s="69">
        <f>IF($C$5*'Tariffs Jan2022'!AL122/'Tariffs Jan2022'!AJ122&lt;'Tariffs Jan2022'!K122,0,IF($C$5*'Tariffs Jan2022'!AL122/'Tariffs Jan2022'!AJ122&lt;='Tariffs Jan2022'!L122,($C$5*'Tariffs Jan2022'!AL122/'Tariffs Jan2022'!AJ122-'Tariffs Jan2022'!K122)*('Tariffs Jan2022'!W122/100)*'Tariffs Jan2022'!AJ122,('Tariffs Jan2022'!L122-'Tariffs Jan2022'!K122)*('Tariffs Jan2022'!W122/100)*'Tariffs Jan2022'!AJ122))</f>
        <v>0</v>
      </c>
      <c r="M128" s="69">
        <f>IF($C$5*'Tariffs Jan2022'!AL122/'Tariffs Jan2022'!AJ122&lt;'Tariffs Jan2022'!L122,0,IF($C$5*'Tariffs Jan2022'!AL122/'Tariffs Jan2022'!AJ122&lt;='Tariffs Jan2022'!M122,($C$5*'Tariffs Jan2022'!AL122/'Tariffs Jan2022'!AJ122-'Tariffs Jan2022'!L122)*('Tariffs Jan2022'!X122/100)*'Tariffs Jan2022'!AJ122,('Tariffs Jan2022'!M122-'Tariffs Jan2022'!L122)*('Tariffs Jan2022'!X122/100)*'Tariffs Jan2022'!AJ122))</f>
        <v>0</v>
      </c>
      <c r="N128" s="69">
        <f>IF(($C$5*'Tariffs Jan2022'!AL122/'Tariffs Jan2022'!AJ122&gt;'Tariffs Jan2022'!M122),($C$5*'Tariffs Jan2022'!AL122/'Tariffs Jan2022'!AJ122-'Tariffs Jan2022'!M122)*'Tariffs Jan2022'!Y122/100*'Tariffs Jan2022'!AJ122,0)</f>
        <v>269.9369999999999</v>
      </c>
      <c r="O128" s="59">
        <f t="shared" si="146"/>
        <v>1039.8092454545454</v>
      </c>
      <c r="P128" s="503">
        <f t="shared" si="92"/>
        <v>1143.79017</v>
      </c>
      <c r="Q128" s="59">
        <f t="shared" si="147"/>
        <v>1324.5092454545454</v>
      </c>
      <c r="R128" s="272">
        <f t="shared" si="148"/>
        <v>1456.9601700000001</v>
      </c>
      <c r="S128" s="40">
        <f>'Tariffs Jan2022'!AN122</f>
        <v>0</v>
      </c>
      <c r="T128" s="40">
        <f>'Tariffs Jan2022'!AO122</f>
        <v>0</v>
      </c>
      <c r="U128" s="40">
        <f>'Tariffs Jan2022'!AP122</f>
        <v>0</v>
      </c>
      <c r="V128" s="40">
        <f>'Tariffs Jan2022'!AQ122</f>
        <v>0</v>
      </c>
      <c r="W128" s="537" t="str">
        <f t="shared" si="144"/>
        <v>No discount</v>
      </c>
      <c r="X128" s="538" t="str">
        <f t="shared" si="145"/>
        <v>Exclusive</v>
      </c>
      <c r="Y128" s="534">
        <f t="shared" si="155"/>
        <v>1324.5092454545454</v>
      </c>
      <c r="Z128" s="535">
        <f t="shared" si="156"/>
        <v>1324.5092454545454</v>
      </c>
      <c r="AA128" s="542">
        <f t="shared" si="123"/>
        <v>1456.9601700000001</v>
      </c>
      <c r="AB128" s="542">
        <f t="shared" si="123"/>
        <v>1456.9601700000001</v>
      </c>
      <c r="AC128" s="274">
        <f>'Tariffs Jan2022'!AZ122</f>
        <v>0</v>
      </c>
      <c r="AD128" s="274" t="str">
        <f>'Tariffs Jan2022'!BA122</f>
        <v>n</v>
      </c>
      <c r="AE128" s="275" t="str">
        <f>'Tariffs Jan2022'!BJ122</f>
        <v>N</v>
      </c>
      <c r="AF128" s="577"/>
      <c r="AG128" s="577"/>
      <c r="AH128" s="577"/>
      <c r="AI128" s="577"/>
      <c r="AJ128" s="577"/>
      <c r="AK128" s="577"/>
      <c r="AL128" s="577"/>
      <c r="AM128" s="577"/>
      <c r="AN128" s="577"/>
      <c r="AO128" s="577"/>
      <c r="AP128" s="577"/>
      <c r="AQ128" s="577"/>
      <c r="AR128" s="577"/>
      <c r="AS128" s="577"/>
      <c r="AT128" s="577"/>
      <c r="AU128" s="577"/>
      <c r="AV128" s="577"/>
      <c r="AW128" s="577"/>
    </row>
    <row r="129" spans="1:49" ht="14" x14ac:dyDescent="0.15">
      <c r="A129" s="270" t="str">
        <f>'Tariffs Jan2022'!F123</f>
        <v>Powershop</v>
      </c>
      <c r="B129" s="40" t="str">
        <f>'Tariffs Jan2022'!D123</f>
        <v>AusNet Services Central 1</v>
      </c>
      <c r="C129" s="40" t="str">
        <f>'Tariffs Jan2022'!G123</f>
        <v>Market offer</v>
      </c>
      <c r="D129" s="59">
        <f>365*'Tariffs Jan2022'!H123/100</f>
        <v>275.57499999999999</v>
      </c>
      <c r="E129" s="59">
        <f>((C$5*'Tariffs Jan2022'!AK123/'Tariffs Jan2022'!AI123)*('Tariffs Jan2022'!O123/100))*'Tariffs Jan2022'!AI123</f>
        <v>379.8710999999999</v>
      </c>
      <c r="F129" s="59">
        <v>0</v>
      </c>
      <c r="G129" s="59">
        <v>0</v>
      </c>
      <c r="H129" s="59">
        <v>0</v>
      </c>
      <c r="I129" s="69">
        <v>0</v>
      </c>
      <c r="J129" s="69">
        <f>((C$5*'Tariffs Jan2022'!AL123/'Tariffs Jan2022'!AJ123)*('Tariffs Jan2022'!U123/100))*'Tariffs Jan2022'!AJ123</f>
        <v>637.57259999999985</v>
      </c>
      <c r="K129" s="69">
        <v>0</v>
      </c>
      <c r="L129" s="69">
        <v>0</v>
      </c>
      <c r="M129" s="69">
        <v>0</v>
      </c>
      <c r="N129" s="69">
        <v>0</v>
      </c>
      <c r="O129" s="59">
        <f t="shared" si="146"/>
        <v>1017.4436999999998</v>
      </c>
      <c r="P129" s="503">
        <f t="shared" si="92"/>
        <v>1119.1880699999999</v>
      </c>
      <c r="Q129" s="59">
        <f t="shared" si="147"/>
        <v>1293.0186999999999</v>
      </c>
      <c r="R129" s="272">
        <f t="shared" si="148"/>
        <v>1422.3205699999999</v>
      </c>
      <c r="S129" s="40">
        <f>'Tariffs Jan2022'!AN123</f>
        <v>0</v>
      </c>
      <c r="T129" s="40">
        <f>'Tariffs Jan2022'!AO123</f>
        <v>0</v>
      </c>
      <c r="U129" s="40">
        <f>'Tariffs Jan2022'!AP123</f>
        <v>0</v>
      </c>
      <c r="V129" s="40">
        <f>'Tariffs Jan2022'!AQ123</f>
        <v>0</v>
      </c>
      <c r="W129" s="537" t="str">
        <f t="shared" si="144"/>
        <v>No discount</v>
      </c>
      <c r="X129" s="538" t="str">
        <f t="shared" si="145"/>
        <v>Inclusive</v>
      </c>
      <c r="Y129" s="534">
        <f>IF(AND(W129="Guaranteed off bill",X129="Inclusive"),((Q129*1.1)-((Q129*1.1)*S129/100))/1.1,IF(AND(W129="Guaranteed off usage",X129="Inclusive"),((Q129*1.1)-((P129*1.1)*T129/100))/1.1,IF(AND(W129="Guaranteed off bill",X129="Exclusive"),Q129-(Q129*S129/100),IF(AND(W129="Guaranteed off usage",X129="Exclusive"),Q129-(P129*T129/100),IF(X129="Inclusive",((Q129*1.1))/1.1,Q129)))))</f>
        <v>1293.0186999999999</v>
      </c>
      <c r="Z129" s="535">
        <f>IF(AND(W129="Pay-on-time off bill",X129="Inclusive"),((Y129*1.1)-((Y129*1.1)*U129/100))/1.1,IF(AND(W129="Pay-on-time off usage",X129="Inclusive"),((Y129*1.1)-((P129*1.1)*V129/100))/1.1,IF(AND(W129="Pay-on-time off bill",X129="Exclusive"),Y129-(Y129*U129/100),IF(AND(W129="Pay-on-time off usage",X129="Exclusive"),Y129-(P129*V129/100),IF(X129="Inclusive",((Y129*1.1))/1.1,Y129)))))</f>
        <v>1293.0186999999999</v>
      </c>
      <c r="AA129" s="542">
        <f t="shared" si="123"/>
        <v>1422.3205699999999</v>
      </c>
      <c r="AB129" s="542">
        <f t="shared" si="123"/>
        <v>1422.3205699999999</v>
      </c>
      <c r="AC129" s="274">
        <f>'Tariffs Jan2022'!AZ123</f>
        <v>0</v>
      </c>
      <c r="AD129" s="274" t="str">
        <f>'Tariffs Jan2022'!BA123</f>
        <v>n</v>
      </c>
      <c r="AE129" s="275" t="str">
        <f>'Tariffs Jan2022'!BJ123</f>
        <v>Y</v>
      </c>
      <c r="AF129" s="577"/>
      <c r="AG129" s="577"/>
      <c r="AH129" s="577"/>
      <c r="AI129" s="577"/>
      <c r="AJ129" s="577"/>
      <c r="AK129" s="577"/>
      <c r="AL129" s="577"/>
      <c r="AM129" s="577"/>
      <c r="AN129" s="577"/>
      <c r="AO129" s="577"/>
      <c r="AP129" s="577"/>
      <c r="AQ129" s="577"/>
      <c r="AR129" s="577"/>
      <c r="AS129" s="577"/>
      <c r="AT129" s="577"/>
      <c r="AU129" s="577"/>
      <c r="AV129" s="577"/>
      <c r="AW129" s="577"/>
    </row>
    <row r="130" spans="1:49" ht="14" x14ac:dyDescent="0.15">
      <c r="A130" s="270" t="str">
        <f>'Tariffs Jan2022'!F124</f>
        <v>1st Energy</v>
      </c>
      <c r="B130" s="40" t="str">
        <f>'Tariffs Jan2022'!D124</f>
        <v>AusNet Services Central 1</v>
      </c>
      <c r="C130" s="40" t="str">
        <f>'Tariffs Jan2022'!G124</f>
        <v>1st Saver Plus</v>
      </c>
      <c r="D130" s="59">
        <f>365*'Tariffs Jan2022'!H124/100</f>
        <v>313.89999999999998</v>
      </c>
      <c r="E130" s="59">
        <f>IF($C$5*'Tariffs Jan2022'!AK124/'Tariffs Jan2022'!AI124&gt;='Tariffs Jan2022'!J124,( 'Tariffs Jan2022'!J124*'Tariffs Jan2022'!O124/100)* 'Tariffs Jan2022'!AI124,($C$5*'Tariffs Jan2022'!AK124/'Tariffs Jan2022'!AI124*'Tariffs Jan2022'!O124/100)* 'Tariffs Jan2022'!AI124)</f>
        <v>413.99999999999989</v>
      </c>
      <c r="F130" s="59">
        <f>IF($C$5*'Tariffs Jan2022'!AK124/'Tariffs Jan2022'!AI124&lt;'Tariffs Jan2022'!J124,0,IF($C$5*'Tariffs Jan2022'!AK124/'Tariffs Jan2022'!AI124&lt;='Tariffs Jan2022'!K124,($C$5*'Tariffs Jan2022'!AK124/'Tariffs Jan2022'!AI124-'Tariffs Jan2022'!J124)*('Tariffs Jan2022'!P124/100)*'Tariffs Jan2022'!AI124,('Tariffs Jan2022'!K124-'Tariffs Jan2022'!J124)*('Tariffs Jan2022'!P124/100)*'Tariffs Jan2022'!AI124))</f>
        <v>274.90909090909093</v>
      </c>
      <c r="G130" s="59">
        <f>IF($C$5*'Tariffs Jan2022'!AK124/'Tariffs Jan2022'!AI124&lt;'Tariffs Jan2022'!K124,0,IF($C$5*'Tariffs Jan2022'!AK124/'Tariffs Jan2022'!AI124&lt;='Tariffs Jan2022'!L124,($C$5*'Tariffs Jan2022'!AK124/'Tariffs Jan2022'!AI124-'Tariffs Jan2022'!K124)*('Tariffs Jan2022'!Q124/100)*'Tariffs Jan2022'!AI124,('Tariffs Jan2022'!L124-'Tariffs Jan2022'!K124)*('Tariffs Jan2022'!Q124/100)*'Tariffs Jan2022'!AI124))</f>
        <v>0</v>
      </c>
      <c r="H130" s="59">
        <f>IF($C$5*'Tariffs Jan2022'!AK124/'Tariffs Jan2022'!AI124&lt;'Tariffs Jan2022'!L124,0,IF($C$5*'Tariffs Jan2022'!AK124/'Tariffs Jan2022'!AI124&lt;='Tariffs Jan2022'!M124,($C$5*'Tariffs Jan2022'!AK124/'Tariffs Jan2022'!AI124-'Tariffs Jan2022'!L124)*('Tariffs Jan2022'!R124/100)*'Tariffs Jan2022'!AI124,('Tariffs Jan2022'!M124-'Tariffs Jan2022'!L124)*('Tariffs Jan2022'!R124/100)*'Tariffs Jan2022'!AI124))</f>
        <v>0</v>
      </c>
      <c r="I130" s="69">
        <f>IF(($C$5*'Tariffs Jan2022'!AK124/'Tariffs Jan2022'!AI124&gt;'Tariffs Jan2022'!M124),($C$5*'Tariffs Jan2022'!AK124/'Tariffs Jan2022'!AI124-'Tariffs Jan2022'!M124)*'Tariffs Jan2022'!S124/100*'Tariffs Jan2022'!AI124,0)</f>
        <v>0</v>
      </c>
      <c r="J130" s="69">
        <f>IF($C$5*'Tariffs Jan2022'!AL124/'Tariffs Jan2022'!AJ124&gt;='Tariffs Jan2022'!J124,('Tariffs Jan2022'!J124*'Tariffs Jan2022'!U124/100)* 'Tariffs Jan2022'!AJ124,($C$5*'Tariffs Jan2022'!AL124/'Tariffs Jan2022'!AJ124*'Tariffs Jan2022'!U124/100)* 'Tariffs Jan2022'!AJ124)</f>
        <v>413.99999999999989</v>
      </c>
      <c r="K130" s="69">
        <f>IF($C$5*'Tariffs Jan2022'!AL124/'Tariffs Jan2022'!AJ124&lt;'Tariffs Jan2022'!J124,0,IF($C$5*'Tariffs Jan2022'!AL124/'Tariffs Jan2022'!AJ124&lt;='Tariffs Jan2022'!K124,($C$5*'Tariffs Jan2022'!AL124/'Tariffs Jan2022'!AJ124-'Tariffs Jan2022'!J124)*('Tariffs Jan2022'!V124/100)*'Tariffs Jan2022'!AJ124,('Tariffs Jan2022'!K124-'Tariffs Jan2022'!J124)*('Tariffs Jan2022'!V124/100)*'Tariffs Jan2022'!AJ124))</f>
        <v>274.90909090909093</v>
      </c>
      <c r="L130" s="69">
        <f>IF($C$5*'Tariffs Jan2022'!AL124/'Tariffs Jan2022'!AJ124&lt;'Tariffs Jan2022'!K124,0,IF($C$5*'Tariffs Jan2022'!AL124/'Tariffs Jan2022'!AJ124&lt;='Tariffs Jan2022'!L124,($C$5*'Tariffs Jan2022'!AL124/'Tariffs Jan2022'!AJ124-'Tariffs Jan2022'!K124)*('Tariffs Jan2022'!W124/100)*'Tariffs Jan2022'!AJ124,('Tariffs Jan2022'!L124-'Tariffs Jan2022'!K124)*('Tariffs Jan2022'!W124/100)*'Tariffs Jan2022'!AJ124))</f>
        <v>0</v>
      </c>
      <c r="M130" s="69">
        <f>IF($C$5*'Tariffs Jan2022'!AL124/'Tariffs Jan2022'!AJ124&lt;'Tariffs Jan2022'!L124,0,IF($C$5*'Tariffs Jan2022'!AL124/'Tariffs Jan2022'!AJ124&lt;='Tariffs Jan2022'!M124,($C$5*'Tariffs Jan2022'!AL124/'Tariffs Jan2022'!AJ124-'Tariffs Jan2022'!L124)*('Tariffs Jan2022'!X124/100)*'Tariffs Jan2022'!AJ124,('Tariffs Jan2022'!M124-'Tariffs Jan2022'!L124)*('Tariffs Jan2022'!X124/100)*'Tariffs Jan2022'!AJ124))</f>
        <v>0</v>
      </c>
      <c r="N130" s="69">
        <f>IF(($C$5*'Tariffs Jan2022'!AL124/'Tariffs Jan2022'!AJ124&gt;'Tariffs Jan2022'!M124),($C$5*'Tariffs Jan2022'!AL124/'Tariffs Jan2022'!AJ124-'Tariffs Jan2022'!M124)*'Tariffs Jan2022'!Y124/100*'Tariffs Jan2022'!AJ124,0)</f>
        <v>0</v>
      </c>
      <c r="O130" s="59">
        <f t="shared" si="146"/>
        <v>1377.8181818181815</v>
      </c>
      <c r="P130" s="503">
        <f t="shared" si="92"/>
        <v>1515.6</v>
      </c>
      <c r="Q130" s="59">
        <f t="shared" si="147"/>
        <v>1691.7181818181816</v>
      </c>
      <c r="R130" s="272">
        <f t="shared" si="148"/>
        <v>1860.8899999999999</v>
      </c>
      <c r="S130" s="40">
        <f>'Tariffs Jan2022'!AN124</f>
        <v>0</v>
      </c>
      <c r="T130" s="40">
        <f>'Tariffs Jan2022'!AO124</f>
        <v>12</v>
      </c>
      <c r="U130" s="40">
        <f>'Tariffs Jan2022'!AP124</f>
        <v>0</v>
      </c>
      <c r="V130" s="40">
        <f>'Tariffs Jan2022'!AQ124</f>
        <v>3</v>
      </c>
      <c r="W130" s="537" t="str">
        <f t="shared" si="144"/>
        <v>Guaranteed off usage</v>
      </c>
      <c r="X130" s="538" t="str">
        <f t="shared" si="145"/>
        <v>Exclusive</v>
      </c>
      <c r="Y130" s="534">
        <f>Q130-(P130*T130)/100</f>
        <v>1509.8461818181818</v>
      </c>
      <c r="Z130" s="535">
        <f>Y130-(P130*V130)/100</f>
        <v>1464.3781818181817</v>
      </c>
      <c r="AA130" s="542">
        <f t="shared" si="123"/>
        <v>1660.8308000000002</v>
      </c>
      <c r="AB130" s="542">
        <f t="shared" si="123"/>
        <v>1610.816</v>
      </c>
      <c r="AC130" s="274">
        <f>'Tariffs Jan2022'!AZ124</f>
        <v>0</v>
      </c>
      <c r="AD130" s="274" t="str">
        <f>'Tariffs Jan2022'!BA124</f>
        <v>n</v>
      </c>
      <c r="AE130" s="275" t="str">
        <f>'Tariffs Jan2022'!BJ124</f>
        <v>Y</v>
      </c>
      <c r="AF130" s="577"/>
      <c r="AG130" s="577"/>
      <c r="AH130" s="577"/>
      <c r="AI130" s="577"/>
      <c r="AJ130" s="577"/>
      <c r="AK130" s="577"/>
      <c r="AL130" s="577"/>
      <c r="AM130" s="577"/>
      <c r="AN130" s="577"/>
      <c r="AO130" s="577"/>
      <c r="AP130" s="577"/>
      <c r="AQ130" s="577"/>
      <c r="AR130" s="577"/>
      <c r="AS130" s="577"/>
      <c r="AT130" s="577"/>
      <c r="AU130" s="577"/>
      <c r="AV130" s="577"/>
      <c r="AW130" s="577"/>
    </row>
    <row r="131" spans="1:49" ht="14" x14ac:dyDescent="0.15">
      <c r="A131" s="270" t="str">
        <f>'Tariffs Jan2022'!F125</f>
        <v>Kogan Energy</v>
      </c>
      <c r="B131" s="40" t="str">
        <f>'Tariffs Jan2022'!D125</f>
        <v>AusNet Services Central 1</v>
      </c>
      <c r="C131" s="40" t="str">
        <f>'Tariffs Jan2022'!G125</f>
        <v>Kogan First</v>
      </c>
      <c r="D131" s="59">
        <f>365*'Tariffs Jan2022'!H125/100</f>
        <v>293.22772727272724</v>
      </c>
      <c r="E131" s="59">
        <f>((C$5*'Tariffs Jan2022'!AK125/'Tariffs Jan2022'!AI125)*('Tariffs Jan2022'!O125/100))*'Tariffs Jan2022'!AI125</f>
        <v>379.8710999999999</v>
      </c>
      <c r="F131" s="59">
        <v>0</v>
      </c>
      <c r="G131" s="59">
        <v>0</v>
      </c>
      <c r="H131" s="59">
        <v>0</v>
      </c>
      <c r="I131" s="69">
        <v>0</v>
      </c>
      <c r="J131" s="69">
        <f>((C$5*'Tariffs Jan2022'!AL125/'Tariffs Jan2022'!AJ125)*('Tariffs Jan2022'!U125/100))*'Tariffs Jan2022'!AJ125</f>
        <v>626.11919999999986</v>
      </c>
      <c r="K131" s="69">
        <v>0</v>
      </c>
      <c r="L131" s="69">
        <v>0</v>
      </c>
      <c r="M131" s="69">
        <v>0</v>
      </c>
      <c r="N131" s="69">
        <v>0</v>
      </c>
      <c r="O131" s="59">
        <f t="shared" si="146"/>
        <v>1005.9902999999997</v>
      </c>
      <c r="P131" s="503">
        <f t="shared" si="92"/>
        <v>1106.5893299999998</v>
      </c>
      <c r="Q131" s="59">
        <f t="shared" si="147"/>
        <v>1299.2180272727269</v>
      </c>
      <c r="R131" s="272">
        <f t="shared" si="148"/>
        <v>1429.1398299999996</v>
      </c>
      <c r="S131" s="40">
        <f>'Tariffs Jan2022'!AN125</f>
        <v>0</v>
      </c>
      <c r="T131" s="40">
        <f>'Tariffs Jan2022'!AO125</f>
        <v>0</v>
      </c>
      <c r="U131" s="40">
        <f>'Tariffs Jan2022'!AP125</f>
        <v>0</v>
      </c>
      <c r="V131" s="40">
        <f>'Tariffs Jan2022'!AQ125</f>
        <v>0</v>
      </c>
      <c r="W131" s="537" t="str">
        <f t="shared" si="144"/>
        <v>No discount</v>
      </c>
      <c r="X131" s="538" t="str">
        <f t="shared" si="145"/>
        <v>Exclusive</v>
      </c>
      <c r="Y131" s="534">
        <f t="shared" ref="Y131:Y132" si="157">IF(AND(W131="Guaranteed off bill",X131="Inclusive"),((Q131*1.1)-((Q131*1.1)*S131/100))/1.1,IF(AND(W131="Guaranteed off usage",X131="Inclusive"),((Q131*1.1)-((P131*1.1)*T131/100))/1.1,IF(AND(W131="Guaranteed off bill",X131="Exclusive"),Q131-(Q131*S131/100),IF(AND(W131="Guaranteed off usage",X131="Exclusive"),Q131-(P131*T131/100),IF(X131="Inclusive",((Q131*1.1))/1.1,Q131)))))</f>
        <v>1299.2180272727269</v>
      </c>
      <c r="Z131" s="535">
        <f t="shared" ref="Z131:Z132" si="158">IF(AND(W131="Pay-on-time off bill",X131="Inclusive"),((Y131*1.1)-((Y131*1.1)*U131/100))/1.1,IF(AND(W131="Pay-on-time off usage",X131="Inclusive"),((Y131*1.1)-((P131*1.1)*V131/100))/1.1,IF(AND(W131="Pay-on-time off bill",X131="Exclusive"),Y131-(Y131*U131/100),IF(AND(W131="Pay-on-time off usage",X131="Exclusive"),Y131-(P131*V131/100),IF(X131="Inclusive",((Y131*1.1))/1.1,Y131)))))</f>
        <v>1299.2180272727269</v>
      </c>
      <c r="AA131" s="542">
        <f t="shared" si="123"/>
        <v>1429.1398299999996</v>
      </c>
      <c r="AB131" s="542">
        <f t="shared" si="123"/>
        <v>1429.1398299999996</v>
      </c>
      <c r="AC131" s="274">
        <f>'Tariffs Jan2022'!AZ125</f>
        <v>0</v>
      </c>
      <c r="AD131" s="274" t="str">
        <f>'Tariffs Jan2022'!BA125</f>
        <v>n</v>
      </c>
      <c r="AE131" s="275" t="str">
        <f>'Tariffs Jan2022'!BJ125</f>
        <v>Y</v>
      </c>
      <c r="AF131" s="577"/>
      <c r="AG131" s="577"/>
      <c r="AH131" s="577"/>
      <c r="AI131" s="577"/>
      <c r="AJ131" s="577"/>
      <c r="AK131" s="577"/>
      <c r="AL131" s="577"/>
      <c r="AM131" s="577"/>
      <c r="AN131" s="577"/>
      <c r="AO131" s="577"/>
      <c r="AP131" s="577"/>
      <c r="AQ131" s="577"/>
      <c r="AR131" s="577"/>
      <c r="AS131" s="577"/>
      <c r="AT131" s="577"/>
      <c r="AU131" s="577"/>
      <c r="AV131" s="577"/>
      <c r="AW131" s="577"/>
    </row>
    <row r="132" spans="1:49" ht="14" x14ac:dyDescent="0.15">
      <c r="A132" s="270" t="str">
        <f>'Tariffs Jan2022'!F126</f>
        <v>Tango Energy</v>
      </c>
      <c r="B132" s="40" t="str">
        <f>'Tariffs Jan2022'!D126</f>
        <v>AusNet Services Central 1</v>
      </c>
      <c r="C132" s="40" t="str">
        <f>'Tariffs Jan2022'!G126</f>
        <v>Home Select</v>
      </c>
      <c r="D132" s="59">
        <f>365*'Tariffs Jan2022'!H126/100</f>
        <v>364.99999999999994</v>
      </c>
      <c r="E132" s="59">
        <f>IF($C$5*'Tariffs Jan2022'!AK126/'Tariffs Jan2022'!AI126&gt;='Tariffs Jan2022'!J126,( 'Tariffs Jan2022'!J126*'Tariffs Jan2022'!O126/100)* 'Tariffs Jan2022'!AI126,($C$5*'Tariffs Jan2022'!AK126/'Tariffs Jan2022'!AI126*'Tariffs Jan2022'!O126/100)* 'Tariffs Jan2022'!AI126)</f>
        <v>171.27272727272728</v>
      </c>
      <c r="F132" s="59">
        <f>IF($C$5*'Tariffs Jan2022'!AK126/'Tariffs Jan2022'!AI126&lt;'Tariffs Jan2022'!J126,0,IF($C$5*'Tariffs Jan2022'!AK126/'Tariffs Jan2022'!AI126&lt;='Tariffs Jan2022'!K126,($C$5*'Tariffs Jan2022'!AK126/'Tariffs Jan2022'!AI126-'Tariffs Jan2022'!J126)*('Tariffs Jan2022'!P126/100)*'Tariffs Jan2022'!AI126,('Tariffs Jan2022'!K126-'Tariffs Jan2022'!J126)*('Tariffs Jan2022'!P126/100)*'Tariffs Jan2022'!AI126))</f>
        <v>97.340918181818154</v>
      </c>
      <c r="G132" s="59">
        <f>IF($C$5*'Tariffs Jan2022'!AK126/'Tariffs Jan2022'!AI126&lt;'Tariffs Jan2022'!K126,0,IF($C$5*'Tariffs Jan2022'!AK126/'Tariffs Jan2022'!AI126&lt;='Tariffs Jan2022'!L126,($C$5*'Tariffs Jan2022'!AK126/'Tariffs Jan2022'!AI126-'Tariffs Jan2022'!K126)*('Tariffs Jan2022'!Q126/100)*'Tariffs Jan2022'!AI126,('Tariffs Jan2022'!L126-'Tariffs Jan2022'!K126)*('Tariffs Jan2022'!Q126/100)*'Tariffs Jan2022'!AI126))</f>
        <v>0</v>
      </c>
      <c r="H132" s="59">
        <f>IF($C$5*'Tariffs Jan2022'!AK126/'Tariffs Jan2022'!AI126&lt;'Tariffs Jan2022'!L126,0,IF($C$5*'Tariffs Jan2022'!AK126/'Tariffs Jan2022'!AI126&lt;='Tariffs Jan2022'!M126,($C$5*'Tariffs Jan2022'!AK126/'Tariffs Jan2022'!AI126-'Tariffs Jan2022'!L126)*('Tariffs Jan2022'!R126/100)*'Tariffs Jan2022'!AI126,('Tariffs Jan2022'!M126-'Tariffs Jan2022'!L126)*('Tariffs Jan2022'!R126/100)*'Tariffs Jan2022'!AI126))</f>
        <v>0</v>
      </c>
      <c r="I132" s="69">
        <f>IF(($C$5*'Tariffs Jan2022'!AK126/'Tariffs Jan2022'!AI126&gt;'Tariffs Jan2022'!M126),($C$5*'Tariffs Jan2022'!AK126/'Tariffs Jan2022'!AI126-'Tariffs Jan2022'!M126)*'Tariffs Jan2022'!S126/100*'Tariffs Jan2022'!AI126,0)</f>
        <v>0</v>
      </c>
      <c r="J132" s="69">
        <f>IF($C$5*'Tariffs Jan2022'!AL126/'Tariffs Jan2022'!AJ126&gt;='Tariffs Jan2022'!J126,('Tariffs Jan2022'!J126*'Tariffs Jan2022'!U126/100)* 'Tariffs Jan2022'!AJ126,($C$5*'Tariffs Jan2022'!AL126/'Tariffs Jan2022'!AJ126*'Tariffs Jan2022'!U126/100)* 'Tariffs Jan2022'!AJ126)</f>
        <v>277.09090909090907</v>
      </c>
      <c r="K132" s="69">
        <f>IF($C$5*'Tariffs Jan2022'!AL126/'Tariffs Jan2022'!AJ126&lt;'Tariffs Jan2022'!J126,0,IF($C$5*'Tariffs Jan2022'!AL126/'Tariffs Jan2022'!AJ126&lt;='Tariffs Jan2022'!K126,($C$5*'Tariffs Jan2022'!AL126/'Tariffs Jan2022'!AJ126-'Tariffs Jan2022'!J126)*('Tariffs Jan2022'!V126/100)*'Tariffs Jan2022'!AJ126,('Tariffs Jan2022'!K126-'Tariffs Jan2022'!J126)*('Tariffs Jan2022'!V126/100)*'Tariffs Jan2022'!AJ126))</f>
        <v>194.68183636363631</v>
      </c>
      <c r="L132" s="69">
        <f>IF($C$5*'Tariffs Jan2022'!AL126/'Tariffs Jan2022'!AJ126&lt;'Tariffs Jan2022'!K126,0,IF($C$5*'Tariffs Jan2022'!AL126/'Tariffs Jan2022'!AJ126&lt;='Tariffs Jan2022'!L126,($C$5*'Tariffs Jan2022'!AL126/'Tariffs Jan2022'!AJ126-'Tariffs Jan2022'!K126)*('Tariffs Jan2022'!W126/100)*'Tariffs Jan2022'!AJ126,('Tariffs Jan2022'!L126-'Tariffs Jan2022'!K126)*('Tariffs Jan2022'!W126/100)*'Tariffs Jan2022'!AJ126))</f>
        <v>0</v>
      </c>
      <c r="M132" s="69">
        <f>IF($C$5*'Tariffs Jan2022'!AL126/'Tariffs Jan2022'!AJ126&lt;'Tariffs Jan2022'!L126,0,IF($C$5*'Tariffs Jan2022'!AL126/'Tariffs Jan2022'!AJ126&lt;='Tariffs Jan2022'!M126,($C$5*'Tariffs Jan2022'!AL126/'Tariffs Jan2022'!AJ126-'Tariffs Jan2022'!L126)*('Tariffs Jan2022'!X126/100)*'Tariffs Jan2022'!AJ126,('Tariffs Jan2022'!M126-'Tariffs Jan2022'!L126)*('Tariffs Jan2022'!X126/100)*'Tariffs Jan2022'!AJ126))</f>
        <v>0</v>
      </c>
      <c r="N132" s="69">
        <f>IF(($C$5*'Tariffs Jan2022'!AL126/'Tariffs Jan2022'!AJ126&gt;'Tariffs Jan2022'!M126),($C$5*'Tariffs Jan2022'!AL126/'Tariffs Jan2022'!AJ126-'Tariffs Jan2022'!M126)*'Tariffs Jan2022'!Y126/100*'Tariffs Jan2022'!AJ126,0)</f>
        <v>0</v>
      </c>
      <c r="O132" s="59">
        <f t="shared" si="146"/>
        <v>740.38639090909089</v>
      </c>
      <c r="P132" s="503">
        <f t="shared" si="92"/>
        <v>814.42502999999999</v>
      </c>
      <c r="Q132" s="59">
        <f t="shared" si="147"/>
        <v>1105.3863909090908</v>
      </c>
      <c r="R132" s="272">
        <f t="shared" si="148"/>
        <v>1215.9250299999999</v>
      </c>
      <c r="S132" s="40">
        <f>'Tariffs Jan2022'!AN126</f>
        <v>0</v>
      </c>
      <c r="T132" s="40">
        <f>'Tariffs Jan2022'!AO126</f>
        <v>0</v>
      </c>
      <c r="U132" s="40">
        <f>'Tariffs Jan2022'!AP126</f>
        <v>0</v>
      </c>
      <c r="V132" s="40">
        <f>'Tariffs Jan2022'!AQ126</f>
        <v>0</v>
      </c>
      <c r="W132" s="537" t="str">
        <f t="shared" si="144"/>
        <v>No discount</v>
      </c>
      <c r="X132" s="538" t="str">
        <f t="shared" si="145"/>
        <v>Exclusive</v>
      </c>
      <c r="Y132" s="534">
        <f t="shared" si="157"/>
        <v>1105.3863909090908</v>
      </c>
      <c r="Z132" s="535">
        <f t="shared" si="158"/>
        <v>1105.3863909090908</v>
      </c>
      <c r="AA132" s="542">
        <f t="shared" si="123"/>
        <v>1215.9250299999999</v>
      </c>
      <c r="AB132" s="542">
        <f t="shared" si="123"/>
        <v>1215.9250299999999</v>
      </c>
      <c r="AC132" s="274">
        <f>'Tariffs Jan2022'!AZ126</f>
        <v>0</v>
      </c>
      <c r="AD132" s="274" t="str">
        <f>'Tariffs Jan2022'!BA126</f>
        <v>n</v>
      </c>
      <c r="AE132" s="275" t="str">
        <f>'Tariffs Jan2022'!BJ126</f>
        <v>N</v>
      </c>
      <c r="AF132" s="577"/>
      <c r="AG132" s="577"/>
      <c r="AH132" s="577"/>
      <c r="AI132" s="577"/>
      <c r="AJ132" s="577"/>
      <c r="AK132" s="577"/>
      <c r="AL132" s="577"/>
      <c r="AM132" s="577"/>
      <c r="AN132" s="577"/>
      <c r="AO132" s="577"/>
      <c r="AP132" s="577"/>
      <c r="AQ132" s="577"/>
      <c r="AR132" s="577"/>
      <c r="AS132" s="577"/>
      <c r="AT132" s="577"/>
      <c r="AU132" s="577"/>
      <c r="AV132" s="577"/>
      <c r="AW132" s="577"/>
    </row>
    <row r="133" spans="1:49" ht="15" thickBot="1" x14ac:dyDescent="0.2">
      <c r="A133" s="286" t="str">
        <f>'Tariffs Jan2022'!F127</f>
        <v>Discover Energy</v>
      </c>
      <c r="B133" s="287" t="str">
        <f>'Tariffs Jan2022'!D127</f>
        <v>AusNet Services Central 1</v>
      </c>
      <c r="C133" s="287" t="str">
        <f>'Tariffs Jan2022'!G127</f>
        <v>Budget Offer</v>
      </c>
      <c r="D133" s="288">
        <f>365*'Tariffs Jan2022'!H127/100</f>
        <v>255.46681818181816</v>
      </c>
      <c r="E133" s="288">
        <f>IF($C$5*'Tariffs Jan2022'!AK127/'Tariffs Jan2022'!AI127&gt;='Tariffs Jan2022'!J127,( 'Tariffs Jan2022'!J127*'Tariffs Jan2022'!O127/100)* 'Tariffs Jan2022'!AI127,($C$5*'Tariffs Jan2022'!AK127/'Tariffs Jan2022'!AI127*'Tariffs Jan2022'!O127/100)* 'Tariffs Jan2022'!AI127)</f>
        <v>304.36363636363632</v>
      </c>
      <c r="F133" s="288">
        <f>IF($C$5*'Tariffs Jan2022'!AK127/'Tariffs Jan2022'!AI127&lt;'Tariffs Jan2022'!J127,0,IF($C$5*'Tariffs Jan2022'!AK127/'Tariffs Jan2022'!AI127&lt;='Tariffs Jan2022'!K127,($C$5*'Tariffs Jan2022'!AK127/'Tariffs Jan2022'!AI127-'Tariffs Jan2022'!J127)*('Tariffs Jan2022'!P127/100)*'Tariffs Jan2022'!AI127,('Tariffs Jan2022'!K127-'Tariffs Jan2022'!J127)*('Tariffs Jan2022'!P127/100)*'Tariffs Jan2022'!AI127))</f>
        <v>168.50612727272721</v>
      </c>
      <c r="G133" s="288">
        <f>IF($C$5*'Tariffs Jan2022'!AK127/'Tariffs Jan2022'!AI127&lt;'Tariffs Jan2022'!K127,0,IF($C$5*'Tariffs Jan2022'!AK127/'Tariffs Jan2022'!AI127&lt;='Tariffs Jan2022'!L127,($C$5*'Tariffs Jan2022'!AK127/'Tariffs Jan2022'!AI127-'Tariffs Jan2022'!K127)*('Tariffs Jan2022'!Q127/100)*'Tariffs Jan2022'!AI127,('Tariffs Jan2022'!L127-'Tariffs Jan2022'!K127)*('Tariffs Jan2022'!Q127/100)*'Tariffs Jan2022'!AI127))</f>
        <v>0</v>
      </c>
      <c r="H133" s="288">
        <f>IF($C$5*'Tariffs Jan2022'!AK127/'Tariffs Jan2022'!AI127&lt;'Tariffs Jan2022'!L127,0,IF($C$5*'Tariffs Jan2022'!AK127/'Tariffs Jan2022'!AI127&lt;='Tariffs Jan2022'!M127,($C$5*'Tariffs Jan2022'!AK127/'Tariffs Jan2022'!AI127-'Tariffs Jan2022'!L127)*('Tariffs Jan2022'!R127/100)*'Tariffs Jan2022'!AI127,('Tariffs Jan2022'!M127-'Tariffs Jan2022'!L127)*('Tariffs Jan2022'!R127/100)*'Tariffs Jan2022'!AI127))</f>
        <v>0</v>
      </c>
      <c r="I133" s="548">
        <f>IF(($C$5*'Tariffs Jan2022'!AK127/'Tariffs Jan2022'!AI127&gt;'Tariffs Jan2022'!M127),($C$5*'Tariffs Jan2022'!AK127/'Tariffs Jan2022'!AI127-'Tariffs Jan2022'!M127)*'Tariffs Jan2022'!S127/100*'Tariffs Jan2022'!AI127,0)</f>
        <v>0</v>
      </c>
      <c r="J133" s="548">
        <f>IF($C$5*'Tariffs Jan2022'!AL127/'Tariffs Jan2022'!AJ127&gt;='Tariffs Jan2022'!J127,('Tariffs Jan2022'!J127*'Tariffs Jan2022'!U127/100)* 'Tariffs Jan2022'!AJ127,($C$5*'Tariffs Jan2022'!AL127/'Tariffs Jan2022'!AJ127*'Tariffs Jan2022'!U127/100)* 'Tariffs Jan2022'!AJ127)</f>
        <v>445.09090909090907</v>
      </c>
      <c r="K133" s="548">
        <f>IF($C$5*'Tariffs Jan2022'!AL127/'Tariffs Jan2022'!AJ127&lt;'Tariffs Jan2022'!J127,0,IF($C$5*'Tariffs Jan2022'!AL127/'Tariffs Jan2022'!AJ127&lt;='Tariffs Jan2022'!K127,($C$5*'Tariffs Jan2022'!AL127/'Tariffs Jan2022'!AJ127-'Tariffs Jan2022'!J127)*('Tariffs Jan2022'!V127/100)*'Tariffs Jan2022'!AJ127,('Tariffs Jan2022'!K127-'Tariffs Jan2022'!J127)*('Tariffs Jan2022'!V127/100)*'Tariffs Jan2022'!AJ127))</f>
        <v>289.56878181818172</v>
      </c>
      <c r="L133" s="548">
        <f>IF($C$5*'Tariffs Jan2022'!AL127/'Tariffs Jan2022'!AJ127&lt;'Tariffs Jan2022'!K127,0,IF($C$5*'Tariffs Jan2022'!AL127/'Tariffs Jan2022'!AJ127&lt;='Tariffs Jan2022'!L127,($C$5*'Tariffs Jan2022'!AL127/'Tariffs Jan2022'!AJ127-'Tariffs Jan2022'!K127)*('Tariffs Jan2022'!W127/100)*'Tariffs Jan2022'!AJ127,('Tariffs Jan2022'!L127-'Tariffs Jan2022'!K127)*('Tariffs Jan2022'!W127/100)*'Tariffs Jan2022'!AJ127))</f>
        <v>0</v>
      </c>
      <c r="M133" s="548">
        <f>IF($C$5*'Tariffs Jan2022'!AL127/'Tariffs Jan2022'!AJ127&lt;'Tariffs Jan2022'!L127,0,IF($C$5*'Tariffs Jan2022'!AL127/'Tariffs Jan2022'!AJ127&lt;='Tariffs Jan2022'!M127,($C$5*'Tariffs Jan2022'!AL127/'Tariffs Jan2022'!AJ127-'Tariffs Jan2022'!L127)*('Tariffs Jan2022'!X127/100)*'Tariffs Jan2022'!AJ127,('Tariffs Jan2022'!M127-'Tariffs Jan2022'!L127)*('Tariffs Jan2022'!X127/100)*'Tariffs Jan2022'!AJ127))</f>
        <v>0</v>
      </c>
      <c r="N133" s="548">
        <f>IF(($C$5*'Tariffs Jan2022'!AL127/'Tariffs Jan2022'!AJ127&gt;'Tariffs Jan2022'!M127),($C$5*'Tariffs Jan2022'!AL127/'Tariffs Jan2022'!AJ127-'Tariffs Jan2022'!M127)*'Tariffs Jan2022'!Y127/100*'Tariffs Jan2022'!AJ127,0)</f>
        <v>0</v>
      </c>
      <c r="O133" s="288">
        <f t="shared" ref="O133" si="159">SUM(E133:N133)</f>
        <v>1207.5294545454544</v>
      </c>
      <c r="P133" s="505">
        <f t="shared" ref="P133" si="160">O133*1.1</f>
        <v>1328.2824000000001</v>
      </c>
      <c r="Q133" s="288">
        <f t="shared" ref="Q133" si="161">D133+O133</f>
        <v>1462.9962727272725</v>
      </c>
      <c r="R133" s="290">
        <f t="shared" ref="R133" si="162">Q133*1.1</f>
        <v>1609.2958999999998</v>
      </c>
      <c r="S133" s="287">
        <f>'Tariffs Jan2022'!AN127</f>
        <v>0</v>
      </c>
      <c r="T133" s="287">
        <f>'Tariffs Jan2022'!AO127</f>
        <v>22</v>
      </c>
      <c r="U133" s="287">
        <f>'Tariffs Jan2022'!AP127</f>
        <v>0</v>
      </c>
      <c r="V133" s="287">
        <f>'Tariffs Jan2022'!AQ127</f>
        <v>0</v>
      </c>
      <c r="W133" s="586" t="str">
        <f t="shared" ref="W133" si="163">IF(SUM(S133:V133)=0,"No discount",IF(S133&gt;0,"Guaranteed off bill",IF(T133&gt;0,"Guaranteed off usage",IF(U133&gt;0,"Pay-on-time off bill","Pay-on-time off usage"))))</f>
        <v>Guaranteed off usage</v>
      </c>
      <c r="X133" s="587" t="str">
        <f t="shared" ref="X133" si="164">IF(OR(A133="Origin Energy",A133="Red Energy",A133="Powershop"),"Inclusive","Exclusive")</f>
        <v>Exclusive</v>
      </c>
      <c r="Y133" s="588">
        <f t="shared" ref="Y133" si="165">IF(AND(W133="Guaranteed off bill",X133="Inclusive"),((Q133*1.1)-((Q133*1.1)*S133/100))/1.1,IF(AND(W133="Guaranteed off usage",X133="Inclusive"),((Q133*1.1)-((P133*1.1)*T133/100))/1.1,IF(AND(W133="Guaranteed off bill",X133="Exclusive"),Q133-(Q133*S133/100),IF(AND(W133="Guaranteed off usage",X133="Exclusive"),Q133-(P133*T133/100),IF(X133="Inclusive",((Q133*1.1))/1.1,Q133)))))</f>
        <v>1170.7741447272724</v>
      </c>
      <c r="Z133" s="589">
        <f t="shared" ref="Z133" si="166">IF(AND(W133="Pay-on-time off bill",X133="Inclusive"),((Y133*1.1)-((Y133*1.1)*U133/100))/1.1,IF(AND(W133="Pay-on-time off usage",X133="Inclusive"),((Y133*1.1)-((P133*1.1)*V133/100))/1.1,IF(AND(W133="Pay-on-time off bill",X133="Exclusive"),Y133-(Y133*U133/100),IF(AND(W133="Pay-on-time off usage",X133="Exclusive"),Y133-(P133*V133/100),IF(X133="Inclusive",((Y133*1.1))/1.1,Y133)))))</f>
        <v>1170.7741447272724</v>
      </c>
      <c r="AA133" s="590">
        <f t="shared" ref="AA133" si="167">Y133*1.1</f>
        <v>1287.8515591999997</v>
      </c>
      <c r="AB133" s="590">
        <f t="shared" ref="AB133" si="168">Z133*1.1</f>
        <v>1287.8515591999997</v>
      </c>
      <c r="AC133" s="292">
        <f>'Tariffs Jan2022'!AZ127</f>
        <v>0</v>
      </c>
      <c r="AD133" s="292" t="str">
        <f>'Tariffs Jan2022'!BA127</f>
        <v>n</v>
      </c>
      <c r="AE133" s="293" t="str">
        <f>'Tariffs Jan2022'!BJ127</f>
        <v>N</v>
      </c>
      <c r="AF133" s="577"/>
      <c r="AG133" s="577"/>
      <c r="AH133" s="577"/>
      <c r="AI133" s="577"/>
      <c r="AJ133" s="577"/>
      <c r="AK133" s="577"/>
      <c r="AL133" s="577"/>
      <c r="AM133" s="577"/>
      <c r="AN133" s="577"/>
      <c r="AO133" s="577"/>
      <c r="AP133" s="577"/>
      <c r="AQ133" s="577"/>
      <c r="AR133" s="577"/>
      <c r="AS133" s="577"/>
      <c r="AT133" s="577"/>
      <c r="AU133" s="577"/>
      <c r="AV133" s="577"/>
      <c r="AW133" s="577"/>
    </row>
    <row r="134" spans="1:49" x14ac:dyDescent="0.15">
      <c r="A134" s="577"/>
      <c r="B134" s="577"/>
      <c r="C134" s="577"/>
      <c r="D134" s="577"/>
      <c r="E134" s="577"/>
      <c r="F134" s="577"/>
      <c r="G134" s="577"/>
      <c r="H134" s="577"/>
      <c r="I134" s="577"/>
      <c r="J134" s="577"/>
      <c r="K134" s="577"/>
      <c r="L134" s="577"/>
      <c r="M134" s="577"/>
      <c r="N134" s="577"/>
      <c r="O134" s="577"/>
      <c r="P134" s="577"/>
      <c r="Q134" s="577"/>
      <c r="R134" s="577"/>
      <c r="S134" s="577"/>
      <c r="T134" s="577"/>
      <c r="U134" s="577"/>
      <c r="V134" s="577"/>
      <c r="W134" s="577"/>
      <c r="X134" s="577"/>
      <c r="Y134" s="577"/>
      <c r="Z134" s="577"/>
      <c r="AA134" s="577"/>
      <c r="AB134" s="577"/>
      <c r="AC134" s="577"/>
      <c r="AD134" s="577"/>
      <c r="AE134" s="577"/>
      <c r="AF134" s="577"/>
      <c r="AG134" s="577"/>
      <c r="AH134" s="577"/>
      <c r="AI134" s="577"/>
      <c r="AJ134" s="577"/>
      <c r="AK134" s="577"/>
      <c r="AL134" s="577"/>
      <c r="AM134" s="577"/>
      <c r="AN134" s="577"/>
      <c r="AO134" s="577"/>
      <c r="AP134" s="577"/>
      <c r="AQ134" s="577"/>
      <c r="AR134" s="577"/>
      <c r="AS134" s="577"/>
      <c r="AT134" s="577"/>
      <c r="AU134" s="577"/>
      <c r="AV134" s="577"/>
      <c r="AW134" s="577"/>
    </row>
    <row r="135" spans="1:49" x14ac:dyDescent="0.15">
      <c r="A135" s="577"/>
      <c r="B135" s="577"/>
      <c r="C135" s="577"/>
      <c r="D135" s="577"/>
      <c r="E135" s="577"/>
      <c r="F135" s="577"/>
      <c r="G135" s="577"/>
      <c r="H135" s="577"/>
      <c r="I135" s="577"/>
      <c r="J135" s="577"/>
      <c r="K135" s="577"/>
      <c r="L135" s="577"/>
      <c r="M135" s="577"/>
      <c r="N135" s="577"/>
      <c r="O135" s="577"/>
      <c r="P135" s="577"/>
      <c r="Q135" s="577"/>
      <c r="R135" s="577"/>
      <c r="S135" s="577"/>
      <c r="T135" s="577"/>
      <c r="U135" s="577"/>
      <c r="V135" s="577"/>
      <c r="W135" s="577"/>
      <c r="X135" s="577"/>
      <c r="Y135" s="577"/>
      <c r="Z135" s="577"/>
      <c r="AA135" s="577"/>
      <c r="AB135" s="577"/>
      <c r="AC135" s="577"/>
      <c r="AD135" s="577"/>
      <c r="AE135" s="577"/>
      <c r="AF135" s="577"/>
      <c r="AG135" s="577"/>
      <c r="AH135" s="577"/>
      <c r="AI135" s="577"/>
      <c r="AJ135" s="577"/>
      <c r="AK135" s="577"/>
      <c r="AL135" s="577"/>
      <c r="AM135" s="577"/>
      <c r="AN135" s="577"/>
      <c r="AO135" s="577"/>
      <c r="AP135" s="577"/>
      <c r="AQ135" s="577"/>
      <c r="AR135" s="577"/>
      <c r="AS135" s="577"/>
      <c r="AT135" s="577"/>
      <c r="AU135" s="577"/>
      <c r="AV135" s="577"/>
      <c r="AW135" s="577"/>
    </row>
    <row r="136" spans="1:49" x14ac:dyDescent="0.15">
      <c r="A136" s="577"/>
      <c r="B136" s="577"/>
      <c r="C136" s="577"/>
      <c r="D136" s="577"/>
      <c r="E136" s="577"/>
      <c r="F136" s="577"/>
      <c r="G136" s="577"/>
      <c r="H136" s="577"/>
      <c r="I136" s="577"/>
      <c r="J136" s="577"/>
      <c r="K136" s="577"/>
      <c r="L136" s="577"/>
      <c r="M136" s="577"/>
      <c r="N136" s="577"/>
      <c r="O136" s="577"/>
      <c r="P136" s="577"/>
      <c r="Q136" s="577"/>
      <c r="R136" s="577"/>
      <c r="S136" s="577"/>
      <c r="T136" s="577"/>
      <c r="U136" s="577"/>
      <c r="V136" s="577"/>
      <c r="W136" s="577"/>
      <c r="X136" s="577"/>
      <c r="Y136" s="577"/>
      <c r="Z136" s="577"/>
      <c r="AA136" s="577"/>
      <c r="AB136" s="577"/>
      <c r="AC136" s="577"/>
      <c r="AD136" s="577"/>
      <c r="AE136" s="577"/>
      <c r="AF136" s="577"/>
      <c r="AG136" s="577"/>
      <c r="AH136" s="577"/>
      <c r="AI136" s="577"/>
      <c r="AJ136" s="577"/>
      <c r="AK136" s="577"/>
      <c r="AL136" s="577"/>
      <c r="AM136" s="577"/>
      <c r="AN136" s="577"/>
      <c r="AO136" s="577"/>
      <c r="AP136" s="577"/>
      <c r="AQ136" s="577"/>
      <c r="AR136" s="577"/>
      <c r="AS136" s="577"/>
      <c r="AT136" s="577"/>
      <c r="AU136" s="577"/>
      <c r="AV136" s="577"/>
      <c r="AW136" s="577"/>
    </row>
    <row r="137" spans="1:49" x14ac:dyDescent="0.15">
      <c r="A137" s="577"/>
      <c r="B137" s="577"/>
      <c r="C137" s="577"/>
      <c r="D137" s="577"/>
      <c r="E137" s="577"/>
      <c r="F137" s="577"/>
      <c r="G137" s="577"/>
      <c r="H137" s="577"/>
      <c r="I137" s="577"/>
      <c r="J137" s="577"/>
      <c r="K137" s="577"/>
      <c r="L137" s="577"/>
      <c r="M137" s="577"/>
      <c r="N137" s="577"/>
      <c r="O137" s="577"/>
      <c r="P137" s="577"/>
      <c r="Q137" s="577"/>
      <c r="R137" s="577"/>
      <c r="S137" s="577"/>
      <c r="T137" s="577"/>
      <c r="U137" s="577"/>
      <c r="V137" s="577"/>
      <c r="W137" s="577"/>
      <c r="X137" s="577"/>
      <c r="Y137" s="577"/>
      <c r="Z137" s="577"/>
      <c r="AA137" s="577"/>
      <c r="AB137" s="577"/>
      <c r="AC137" s="577"/>
      <c r="AD137" s="577"/>
      <c r="AE137" s="577"/>
      <c r="AF137" s="577"/>
      <c r="AG137" s="577"/>
      <c r="AH137" s="577"/>
      <c r="AI137" s="577"/>
      <c r="AJ137" s="577"/>
      <c r="AK137" s="577"/>
      <c r="AL137" s="577"/>
      <c r="AM137" s="577"/>
      <c r="AN137" s="577"/>
      <c r="AO137" s="577"/>
      <c r="AP137" s="577"/>
      <c r="AQ137" s="577"/>
      <c r="AR137" s="577"/>
      <c r="AS137" s="577"/>
      <c r="AT137" s="577"/>
      <c r="AU137" s="577"/>
      <c r="AV137" s="577"/>
      <c r="AW137" s="577"/>
    </row>
    <row r="138" spans="1:49" x14ac:dyDescent="0.15">
      <c r="A138" s="577"/>
      <c r="B138" s="577"/>
      <c r="C138" s="577"/>
      <c r="D138" s="577"/>
      <c r="E138" s="577"/>
      <c r="F138" s="577"/>
      <c r="G138" s="577"/>
      <c r="H138" s="577"/>
      <c r="I138" s="577"/>
      <c r="J138" s="577"/>
      <c r="K138" s="577"/>
      <c r="L138" s="577"/>
      <c r="M138" s="577"/>
      <c r="N138" s="577"/>
      <c r="O138" s="577"/>
      <c r="P138" s="577"/>
      <c r="Q138" s="577"/>
      <c r="R138" s="577"/>
      <c r="S138" s="577"/>
      <c r="T138" s="577"/>
      <c r="U138" s="577"/>
      <c r="V138" s="577"/>
      <c r="W138" s="577"/>
      <c r="X138" s="577"/>
      <c r="Y138" s="577"/>
      <c r="Z138" s="577"/>
      <c r="AA138" s="577"/>
      <c r="AB138" s="577"/>
      <c r="AC138" s="577"/>
      <c r="AD138" s="577"/>
      <c r="AE138" s="577"/>
      <c r="AF138" s="577"/>
      <c r="AG138" s="577"/>
      <c r="AH138" s="577"/>
      <c r="AI138" s="577"/>
      <c r="AJ138" s="577"/>
      <c r="AK138" s="577"/>
      <c r="AL138" s="577"/>
      <c r="AM138" s="577"/>
      <c r="AN138" s="577"/>
      <c r="AO138" s="577"/>
      <c r="AP138" s="577"/>
      <c r="AQ138" s="577"/>
      <c r="AR138" s="577"/>
      <c r="AS138" s="577"/>
      <c r="AT138" s="577"/>
      <c r="AU138" s="577"/>
      <c r="AV138" s="577"/>
      <c r="AW138" s="577"/>
    </row>
    <row r="139" spans="1:49" x14ac:dyDescent="0.15">
      <c r="A139" s="577"/>
      <c r="B139" s="577"/>
      <c r="C139" s="577"/>
      <c r="D139" s="577"/>
      <c r="E139" s="577"/>
      <c r="F139" s="577"/>
      <c r="G139" s="577"/>
      <c r="H139" s="577"/>
      <c r="I139" s="577"/>
      <c r="J139" s="577"/>
      <c r="K139" s="577"/>
      <c r="L139" s="577"/>
      <c r="M139" s="577"/>
      <c r="N139" s="577"/>
      <c r="O139" s="577"/>
      <c r="P139" s="577"/>
      <c r="Q139" s="577"/>
      <c r="R139" s="577"/>
      <c r="S139" s="577"/>
      <c r="T139" s="577"/>
      <c r="U139" s="577"/>
      <c r="V139" s="577"/>
      <c r="W139" s="577"/>
      <c r="X139" s="577"/>
      <c r="Y139" s="577"/>
      <c r="Z139" s="577"/>
      <c r="AA139" s="577"/>
      <c r="AB139" s="577"/>
      <c r="AC139" s="577"/>
      <c r="AD139" s="577"/>
      <c r="AE139" s="577"/>
      <c r="AF139" s="577"/>
      <c r="AG139" s="577"/>
      <c r="AH139" s="577"/>
      <c r="AI139" s="577"/>
      <c r="AJ139" s="577"/>
      <c r="AK139" s="577"/>
      <c r="AL139" s="577"/>
      <c r="AM139" s="577"/>
      <c r="AN139" s="577"/>
      <c r="AO139" s="577"/>
      <c r="AP139" s="577"/>
      <c r="AQ139" s="577"/>
      <c r="AR139" s="577"/>
      <c r="AS139" s="577"/>
      <c r="AT139" s="577"/>
      <c r="AU139" s="577"/>
      <c r="AV139" s="577"/>
      <c r="AW139" s="577"/>
    </row>
    <row r="140" spans="1:49" x14ac:dyDescent="0.15">
      <c r="A140" s="577"/>
      <c r="B140" s="577"/>
      <c r="C140" s="577"/>
      <c r="D140" s="577"/>
      <c r="E140" s="577"/>
      <c r="F140" s="577"/>
      <c r="G140" s="577"/>
      <c r="H140" s="577"/>
      <c r="I140" s="577"/>
      <c r="J140" s="577"/>
      <c r="K140" s="577"/>
      <c r="L140" s="577"/>
      <c r="M140" s="577"/>
      <c r="N140" s="577"/>
      <c r="O140" s="577"/>
      <c r="P140" s="577"/>
      <c r="Q140" s="577"/>
      <c r="R140" s="577"/>
      <c r="S140" s="577"/>
      <c r="T140" s="577"/>
      <c r="U140" s="577"/>
      <c r="V140" s="577"/>
      <c r="W140" s="577"/>
      <c r="X140" s="577"/>
      <c r="Y140" s="577"/>
      <c r="Z140" s="577"/>
      <c r="AA140" s="577"/>
      <c r="AB140" s="577"/>
      <c r="AC140" s="577"/>
      <c r="AD140" s="577"/>
      <c r="AE140" s="577"/>
      <c r="AF140" s="577"/>
      <c r="AG140" s="577"/>
      <c r="AH140" s="577"/>
      <c r="AI140" s="577"/>
      <c r="AJ140" s="577"/>
      <c r="AK140" s="577"/>
      <c r="AL140" s="577"/>
      <c r="AM140" s="577"/>
      <c r="AN140" s="577"/>
      <c r="AO140" s="577"/>
      <c r="AP140" s="577"/>
      <c r="AQ140" s="577"/>
      <c r="AR140" s="577"/>
      <c r="AS140" s="577"/>
      <c r="AT140" s="577"/>
      <c r="AU140" s="577"/>
      <c r="AV140" s="577"/>
      <c r="AW140" s="577"/>
    </row>
    <row r="141" spans="1:49" x14ac:dyDescent="0.15">
      <c r="A141" s="577"/>
      <c r="B141" s="577"/>
      <c r="C141" s="577"/>
      <c r="D141" s="577"/>
      <c r="E141" s="577"/>
      <c r="F141" s="577"/>
      <c r="G141" s="577"/>
      <c r="H141" s="577"/>
      <c r="I141" s="577"/>
      <c r="J141" s="577"/>
      <c r="K141" s="577"/>
      <c r="L141" s="577"/>
      <c r="M141" s="577"/>
      <c r="N141" s="577"/>
      <c r="O141" s="577"/>
      <c r="P141" s="577"/>
      <c r="Q141" s="577"/>
      <c r="R141" s="577"/>
      <c r="S141" s="577"/>
      <c r="T141" s="577"/>
      <c r="U141" s="577"/>
      <c r="V141" s="577"/>
      <c r="W141" s="577"/>
      <c r="X141" s="577"/>
      <c r="Y141" s="577"/>
      <c r="Z141" s="577"/>
      <c r="AA141" s="577"/>
      <c r="AB141" s="577"/>
      <c r="AC141" s="577"/>
      <c r="AD141" s="577"/>
      <c r="AE141" s="577"/>
      <c r="AF141" s="577"/>
      <c r="AG141" s="577"/>
      <c r="AH141" s="577"/>
      <c r="AI141" s="577"/>
      <c r="AJ141" s="577"/>
      <c r="AK141" s="577"/>
      <c r="AL141" s="577"/>
      <c r="AM141" s="577"/>
      <c r="AN141" s="577"/>
      <c r="AO141" s="577"/>
      <c r="AP141" s="577"/>
      <c r="AQ141" s="577"/>
      <c r="AR141" s="577"/>
      <c r="AS141" s="577"/>
      <c r="AT141" s="577"/>
      <c r="AU141" s="577"/>
      <c r="AV141" s="577"/>
      <c r="AW141" s="577"/>
    </row>
    <row r="142" spans="1:49" x14ac:dyDescent="0.15">
      <c r="A142" s="577"/>
      <c r="B142" s="577"/>
      <c r="C142" s="577"/>
      <c r="D142" s="577"/>
      <c r="E142" s="577"/>
      <c r="F142" s="577"/>
      <c r="G142" s="577"/>
      <c r="H142" s="577"/>
      <c r="I142" s="577"/>
      <c r="J142" s="577"/>
      <c r="K142" s="577"/>
      <c r="L142" s="577"/>
      <c r="M142" s="577"/>
      <c r="N142" s="577"/>
      <c r="O142" s="577"/>
      <c r="P142" s="577"/>
      <c r="Q142" s="577"/>
      <c r="R142" s="577"/>
      <c r="S142" s="577"/>
      <c r="T142" s="577"/>
      <c r="U142" s="577"/>
      <c r="V142" s="577"/>
      <c r="W142" s="577"/>
      <c r="X142" s="577"/>
      <c r="Y142" s="577"/>
      <c r="Z142" s="577"/>
      <c r="AA142" s="577"/>
      <c r="AB142" s="577"/>
      <c r="AC142" s="577"/>
      <c r="AD142" s="577"/>
      <c r="AE142" s="577"/>
      <c r="AF142" s="577"/>
      <c r="AG142" s="577"/>
      <c r="AH142" s="577"/>
      <c r="AI142" s="577"/>
      <c r="AJ142" s="577"/>
      <c r="AK142" s="577"/>
      <c r="AL142" s="577"/>
      <c r="AM142" s="577"/>
      <c r="AN142" s="577"/>
      <c r="AO142" s="577"/>
      <c r="AP142" s="577"/>
      <c r="AQ142" s="577"/>
      <c r="AR142" s="577"/>
      <c r="AS142" s="577"/>
      <c r="AT142" s="577"/>
      <c r="AU142" s="577"/>
      <c r="AV142" s="577"/>
      <c r="AW142" s="577"/>
    </row>
    <row r="143" spans="1:49" x14ac:dyDescent="0.15">
      <c r="A143" s="577"/>
      <c r="B143" s="577"/>
      <c r="C143" s="577"/>
      <c r="D143" s="577"/>
      <c r="E143" s="577"/>
      <c r="F143" s="577"/>
      <c r="G143" s="577"/>
      <c r="H143" s="577"/>
      <c r="I143" s="577"/>
      <c r="J143" s="577"/>
      <c r="K143" s="577"/>
      <c r="L143" s="577"/>
      <c r="M143" s="577"/>
      <c r="N143" s="577"/>
      <c r="O143" s="577"/>
      <c r="P143" s="577"/>
      <c r="Q143" s="577"/>
      <c r="R143" s="577"/>
      <c r="S143" s="577"/>
      <c r="T143" s="577"/>
      <c r="U143" s="577"/>
      <c r="V143" s="577"/>
      <c r="W143" s="577"/>
      <c r="X143" s="577"/>
      <c r="Y143" s="577"/>
      <c r="Z143" s="577"/>
      <c r="AA143" s="577"/>
      <c r="AB143" s="577"/>
      <c r="AC143" s="577"/>
      <c r="AD143" s="577"/>
      <c r="AE143" s="577"/>
      <c r="AF143" s="577"/>
      <c r="AG143" s="577"/>
      <c r="AH143" s="577"/>
      <c r="AI143" s="577"/>
      <c r="AJ143" s="577"/>
      <c r="AK143" s="577"/>
      <c r="AL143" s="577"/>
      <c r="AM143" s="577"/>
      <c r="AN143" s="577"/>
      <c r="AO143" s="577"/>
      <c r="AP143" s="577"/>
      <c r="AQ143" s="577"/>
      <c r="AR143" s="577"/>
      <c r="AS143" s="577"/>
      <c r="AT143" s="577"/>
      <c r="AU143" s="577"/>
      <c r="AV143" s="577"/>
      <c r="AW143" s="577"/>
    </row>
    <row r="144" spans="1:49" x14ac:dyDescent="0.15">
      <c r="A144" s="577"/>
      <c r="B144" s="577"/>
      <c r="C144" s="577"/>
      <c r="D144" s="577"/>
      <c r="E144" s="577"/>
      <c r="F144" s="577"/>
      <c r="G144" s="577"/>
      <c r="H144" s="577"/>
      <c r="I144" s="577"/>
      <c r="J144" s="577"/>
      <c r="K144" s="577"/>
      <c r="L144" s="577"/>
      <c r="M144" s="577"/>
      <c r="N144" s="577"/>
      <c r="O144" s="577"/>
      <c r="P144" s="577"/>
      <c r="Q144" s="577"/>
      <c r="R144" s="577"/>
      <c r="S144" s="577"/>
      <c r="T144" s="577"/>
      <c r="U144" s="577"/>
      <c r="V144" s="577"/>
      <c r="W144" s="577"/>
      <c r="X144" s="577"/>
      <c r="Y144" s="577"/>
      <c r="Z144" s="577"/>
      <c r="AA144" s="577"/>
      <c r="AB144" s="577"/>
      <c r="AC144" s="577"/>
      <c r="AD144" s="577"/>
      <c r="AE144" s="577"/>
      <c r="AF144" s="577"/>
      <c r="AG144" s="577"/>
      <c r="AH144" s="577"/>
      <c r="AI144" s="577"/>
      <c r="AJ144" s="577"/>
      <c r="AK144" s="577"/>
      <c r="AL144" s="577"/>
      <c r="AM144" s="577"/>
      <c r="AN144" s="577"/>
      <c r="AO144" s="577"/>
      <c r="AP144" s="577"/>
      <c r="AQ144" s="577"/>
      <c r="AR144" s="577"/>
      <c r="AS144" s="577"/>
      <c r="AT144" s="577"/>
      <c r="AU144" s="577"/>
      <c r="AV144" s="577"/>
      <c r="AW144" s="577"/>
    </row>
    <row r="145" spans="1:49" x14ac:dyDescent="0.15">
      <c r="A145" s="577"/>
      <c r="B145" s="577"/>
      <c r="C145" s="577"/>
      <c r="D145" s="577"/>
      <c r="E145" s="577"/>
      <c r="F145" s="577"/>
      <c r="G145" s="577"/>
      <c r="H145" s="577"/>
      <c r="I145" s="577"/>
      <c r="J145" s="577"/>
      <c r="K145" s="577"/>
      <c r="L145" s="577"/>
      <c r="M145" s="577"/>
      <c r="N145" s="577"/>
      <c r="O145" s="577"/>
      <c r="P145" s="577"/>
      <c r="Q145" s="577"/>
      <c r="R145" s="577"/>
      <c r="S145" s="577"/>
      <c r="T145" s="577"/>
      <c r="U145" s="577"/>
      <c r="V145" s="577"/>
      <c r="W145" s="577"/>
      <c r="X145" s="577"/>
      <c r="Y145" s="577"/>
      <c r="Z145" s="577"/>
      <c r="AA145" s="577"/>
      <c r="AB145" s="577"/>
      <c r="AC145" s="577"/>
      <c r="AD145" s="577"/>
      <c r="AE145" s="577"/>
      <c r="AF145" s="577"/>
      <c r="AG145" s="577"/>
      <c r="AH145" s="577"/>
      <c r="AI145" s="577"/>
      <c r="AJ145" s="577"/>
      <c r="AK145" s="577"/>
      <c r="AL145" s="577"/>
      <c r="AM145" s="577"/>
      <c r="AN145" s="577"/>
      <c r="AO145" s="577"/>
      <c r="AP145" s="577"/>
      <c r="AQ145" s="577"/>
      <c r="AR145" s="577"/>
      <c r="AS145" s="577"/>
      <c r="AT145" s="577"/>
      <c r="AU145" s="577"/>
      <c r="AV145" s="577"/>
      <c r="AW145" s="577"/>
    </row>
    <row r="146" spans="1:49" x14ac:dyDescent="0.15">
      <c r="A146" s="577"/>
      <c r="B146" s="577"/>
      <c r="C146" s="577"/>
      <c r="D146" s="577"/>
      <c r="E146" s="577"/>
      <c r="F146" s="577"/>
      <c r="G146" s="577"/>
      <c r="H146" s="577"/>
      <c r="I146" s="577"/>
      <c r="J146" s="577"/>
      <c r="K146" s="577"/>
      <c r="L146" s="577"/>
      <c r="M146" s="577"/>
      <c r="N146" s="577"/>
      <c r="O146" s="577"/>
      <c r="P146" s="577"/>
      <c r="Q146" s="577"/>
      <c r="R146" s="577"/>
      <c r="S146" s="577"/>
      <c r="T146" s="577"/>
      <c r="U146" s="577"/>
      <c r="V146" s="577"/>
      <c r="W146" s="577"/>
      <c r="X146" s="577"/>
      <c r="Y146" s="577"/>
      <c r="Z146" s="577"/>
      <c r="AA146" s="577"/>
      <c r="AB146" s="577"/>
      <c r="AC146" s="577"/>
      <c r="AD146" s="577"/>
      <c r="AE146" s="577"/>
      <c r="AF146" s="577"/>
      <c r="AG146" s="577"/>
      <c r="AH146" s="577"/>
      <c r="AI146" s="577"/>
      <c r="AJ146" s="577"/>
      <c r="AK146" s="577"/>
      <c r="AL146" s="577"/>
      <c r="AM146" s="577"/>
      <c r="AN146" s="577"/>
      <c r="AO146" s="577"/>
      <c r="AP146" s="577"/>
      <c r="AQ146" s="577"/>
      <c r="AR146" s="577"/>
      <c r="AS146" s="577"/>
      <c r="AT146" s="577"/>
      <c r="AU146" s="577"/>
      <c r="AV146" s="577"/>
      <c r="AW146" s="577"/>
    </row>
    <row r="147" spans="1:49" x14ac:dyDescent="0.15">
      <c r="A147" s="577"/>
      <c r="B147" s="577"/>
      <c r="C147" s="577"/>
      <c r="D147" s="577"/>
      <c r="E147" s="577"/>
      <c r="F147" s="577"/>
      <c r="G147" s="577"/>
      <c r="H147" s="577"/>
      <c r="I147" s="577"/>
      <c r="J147" s="577"/>
      <c r="K147" s="577"/>
      <c r="L147" s="577"/>
      <c r="M147" s="577"/>
      <c r="N147" s="577"/>
      <c r="O147" s="577"/>
      <c r="P147" s="577"/>
      <c r="Q147" s="577"/>
      <c r="R147" s="577"/>
      <c r="S147" s="577"/>
      <c r="T147" s="577"/>
      <c r="U147" s="577"/>
      <c r="V147" s="577"/>
      <c r="W147" s="577"/>
      <c r="X147" s="577"/>
      <c r="Y147" s="577"/>
      <c r="Z147" s="577"/>
      <c r="AA147" s="577"/>
      <c r="AB147" s="577"/>
      <c r="AC147" s="577"/>
      <c r="AD147" s="577"/>
      <c r="AE147" s="577"/>
      <c r="AF147" s="577"/>
      <c r="AG147" s="577"/>
      <c r="AH147" s="577"/>
      <c r="AI147" s="577"/>
      <c r="AJ147" s="577"/>
      <c r="AK147" s="577"/>
      <c r="AL147" s="577"/>
      <c r="AM147" s="577"/>
      <c r="AN147" s="577"/>
      <c r="AO147" s="577"/>
      <c r="AP147" s="577"/>
      <c r="AQ147" s="577"/>
      <c r="AR147" s="577"/>
      <c r="AS147" s="577"/>
      <c r="AT147" s="577"/>
      <c r="AU147" s="577"/>
      <c r="AV147" s="577"/>
      <c r="AW147" s="577"/>
    </row>
    <row r="148" spans="1:49" x14ac:dyDescent="0.15">
      <c r="A148" s="577"/>
      <c r="B148" s="577"/>
      <c r="C148" s="577"/>
      <c r="D148" s="577"/>
      <c r="E148" s="577"/>
      <c r="F148" s="577"/>
      <c r="G148" s="577"/>
      <c r="H148" s="577"/>
      <c r="I148" s="577"/>
      <c r="J148" s="577"/>
      <c r="K148" s="577"/>
      <c r="L148" s="577"/>
      <c r="M148" s="577"/>
      <c r="N148" s="577"/>
      <c r="O148" s="577"/>
      <c r="P148" s="577"/>
      <c r="Q148" s="577"/>
      <c r="R148" s="577"/>
      <c r="S148" s="577"/>
      <c r="T148" s="577"/>
      <c r="U148" s="577"/>
      <c r="V148" s="577"/>
      <c r="W148" s="577"/>
      <c r="X148" s="577"/>
      <c r="Y148" s="577"/>
      <c r="Z148" s="577"/>
      <c r="AA148" s="577"/>
      <c r="AB148" s="577"/>
      <c r="AC148" s="577"/>
      <c r="AD148" s="577"/>
      <c r="AE148" s="577"/>
      <c r="AF148" s="577"/>
      <c r="AG148" s="577"/>
      <c r="AH148" s="577"/>
      <c r="AI148" s="577"/>
      <c r="AJ148" s="577"/>
      <c r="AK148" s="577"/>
      <c r="AL148" s="577"/>
      <c r="AM148" s="577"/>
      <c r="AN148" s="577"/>
      <c r="AO148" s="577"/>
      <c r="AP148" s="577"/>
      <c r="AQ148" s="577"/>
      <c r="AR148" s="577"/>
      <c r="AS148" s="577"/>
      <c r="AT148" s="577"/>
      <c r="AU148" s="577"/>
      <c r="AV148" s="577"/>
      <c r="AW148" s="577"/>
    </row>
    <row r="149" spans="1:49" x14ac:dyDescent="0.15">
      <c r="A149" s="577"/>
      <c r="B149" s="577"/>
      <c r="C149" s="577"/>
      <c r="D149" s="577"/>
      <c r="E149" s="577"/>
      <c r="F149" s="577"/>
      <c r="G149" s="577"/>
      <c r="H149" s="577"/>
      <c r="I149" s="577"/>
      <c r="J149" s="577"/>
      <c r="K149" s="577"/>
      <c r="L149" s="577"/>
      <c r="M149" s="577"/>
      <c r="N149" s="577"/>
      <c r="O149" s="577"/>
      <c r="P149" s="577"/>
      <c r="Q149" s="577"/>
      <c r="R149" s="577"/>
      <c r="S149" s="577"/>
      <c r="T149" s="577"/>
      <c r="U149" s="577"/>
      <c r="V149" s="577"/>
      <c r="W149" s="577"/>
      <c r="X149" s="577"/>
      <c r="Y149" s="577"/>
      <c r="Z149" s="577"/>
      <c r="AA149" s="577"/>
      <c r="AB149" s="577"/>
      <c r="AC149" s="577"/>
      <c r="AD149" s="577"/>
      <c r="AE149" s="577"/>
      <c r="AF149" s="577"/>
      <c r="AG149" s="577"/>
      <c r="AH149" s="577"/>
      <c r="AI149" s="577"/>
      <c r="AJ149" s="577"/>
      <c r="AK149" s="577"/>
      <c r="AL149" s="577"/>
      <c r="AM149" s="577"/>
      <c r="AN149" s="577"/>
      <c r="AO149" s="577"/>
      <c r="AP149" s="577"/>
      <c r="AQ149" s="577"/>
      <c r="AR149" s="577"/>
      <c r="AS149" s="577"/>
      <c r="AT149" s="577"/>
      <c r="AU149" s="577"/>
      <c r="AV149" s="577"/>
      <c r="AW149" s="577"/>
    </row>
    <row r="150" spans="1:49" x14ac:dyDescent="0.15">
      <c r="A150" s="577"/>
      <c r="B150" s="577"/>
      <c r="C150" s="577"/>
      <c r="D150" s="577"/>
      <c r="E150" s="577"/>
      <c r="F150" s="577"/>
      <c r="G150" s="577"/>
      <c r="H150" s="577"/>
      <c r="I150" s="577"/>
      <c r="J150" s="577"/>
      <c r="K150" s="577"/>
      <c r="L150" s="577"/>
      <c r="M150" s="577"/>
      <c r="N150" s="577"/>
      <c r="O150" s="577"/>
      <c r="P150" s="577"/>
      <c r="Q150" s="577"/>
      <c r="R150" s="577"/>
      <c r="S150" s="577"/>
      <c r="T150" s="577"/>
      <c r="U150" s="577"/>
      <c r="V150" s="577"/>
      <c r="W150" s="577"/>
      <c r="X150" s="577"/>
      <c r="Y150" s="577"/>
      <c r="Z150" s="577"/>
      <c r="AA150" s="577"/>
      <c r="AB150" s="577"/>
      <c r="AC150" s="577"/>
      <c r="AD150" s="577"/>
      <c r="AE150" s="577"/>
      <c r="AF150" s="577"/>
      <c r="AG150" s="577"/>
      <c r="AH150" s="577"/>
      <c r="AI150" s="577"/>
      <c r="AJ150" s="577"/>
      <c r="AK150" s="577"/>
      <c r="AL150" s="577"/>
      <c r="AM150" s="577"/>
      <c r="AN150" s="577"/>
      <c r="AO150" s="577"/>
      <c r="AP150" s="577"/>
      <c r="AQ150" s="577"/>
      <c r="AR150" s="577"/>
      <c r="AS150" s="577"/>
      <c r="AT150" s="577"/>
      <c r="AU150" s="577"/>
      <c r="AV150" s="577"/>
      <c r="AW150" s="577"/>
    </row>
    <row r="151" spans="1:49" x14ac:dyDescent="0.15">
      <c r="A151" s="577"/>
      <c r="B151" s="577"/>
      <c r="C151" s="577"/>
      <c r="D151" s="577"/>
      <c r="E151" s="577"/>
      <c r="F151" s="577"/>
      <c r="G151" s="577"/>
      <c r="H151" s="577"/>
      <c r="I151" s="577"/>
      <c r="J151" s="577"/>
      <c r="K151" s="577"/>
      <c r="L151" s="577"/>
      <c r="M151" s="577"/>
      <c r="N151" s="577"/>
      <c r="O151" s="577"/>
      <c r="P151" s="577"/>
      <c r="Q151" s="577"/>
      <c r="R151" s="577"/>
      <c r="S151" s="577"/>
      <c r="T151" s="577"/>
      <c r="U151" s="577"/>
      <c r="V151" s="577"/>
      <c r="W151" s="577"/>
      <c r="X151" s="577"/>
      <c r="Y151" s="577"/>
      <c r="Z151" s="577"/>
      <c r="AA151" s="577"/>
      <c r="AB151" s="577"/>
      <c r="AC151" s="577"/>
      <c r="AD151" s="577"/>
      <c r="AE151" s="577"/>
      <c r="AF151" s="577"/>
      <c r="AG151" s="577"/>
      <c r="AH151" s="577"/>
      <c r="AI151" s="577"/>
      <c r="AJ151" s="577"/>
      <c r="AK151" s="577"/>
      <c r="AL151" s="577"/>
      <c r="AM151" s="577"/>
      <c r="AN151" s="577"/>
      <c r="AO151" s="577"/>
      <c r="AP151" s="577"/>
      <c r="AQ151" s="577"/>
      <c r="AR151" s="577"/>
      <c r="AS151" s="577"/>
      <c r="AT151" s="577"/>
      <c r="AU151" s="577"/>
      <c r="AV151" s="577"/>
      <c r="AW151" s="577"/>
    </row>
    <row r="152" spans="1:49" x14ac:dyDescent="0.15">
      <c r="A152" s="577"/>
      <c r="B152" s="577"/>
      <c r="C152" s="577"/>
      <c r="D152" s="577"/>
      <c r="E152" s="577"/>
      <c r="F152" s="577"/>
      <c r="G152" s="577"/>
      <c r="H152" s="577"/>
      <c r="I152" s="577"/>
      <c r="J152" s="577"/>
      <c r="K152" s="577"/>
      <c r="L152" s="577"/>
      <c r="M152" s="577"/>
      <c r="N152" s="577"/>
      <c r="O152" s="577"/>
      <c r="P152" s="577"/>
      <c r="Q152" s="577"/>
      <c r="R152" s="577"/>
      <c r="S152" s="577"/>
      <c r="T152" s="577"/>
      <c r="U152" s="577"/>
      <c r="V152" s="577"/>
      <c r="W152" s="577"/>
      <c r="X152" s="577"/>
      <c r="Y152" s="577"/>
      <c r="Z152" s="577"/>
      <c r="AA152" s="577"/>
      <c r="AB152" s="577"/>
      <c r="AC152" s="577"/>
      <c r="AD152" s="577"/>
      <c r="AE152" s="577"/>
      <c r="AF152" s="577"/>
      <c r="AG152" s="577"/>
      <c r="AH152" s="577"/>
      <c r="AI152" s="577"/>
      <c r="AJ152" s="577"/>
      <c r="AK152" s="577"/>
      <c r="AL152" s="577"/>
      <c r="AM152" s="577"/>
      <c r="AN152" s="577"/>
      <c r="AO152" s="577"/>
      <c r="AP152" s="577"/>
      <c r="AQ152" s="577"/>
      <c r="AR152" s="577"/>
      <c r="AS152" s="577"/>
      <c r="AT152" s="577"/>
      <c r="AU152" s="577"/>
      <c r="AV152" s="577"/>
      <c r="AW152" s="577"/>
    </row>
    <row r="153" spans="1:49" x14ac:dyDescent="0.15">
      <c r="A153" s="577"/>
      <c r="B153" s="577"/>
      <c r="C153" s="577"/>
      <c r="D153" s="577"/>
      <c r="E153" s="577"/>
      <c r="F153" s="577"/>
      <c r="G153" s="577"/>
      <c r="H153" s="577"/>
      <c r="I153" s="577"/>
      <c r="J153" s="577"/>
      <c r="K153" s="577"/>
      <c r="L153" s="577"/>
      <c r="M153" s="577"/>
      <c r="N153" s="577"/>
      <c r="O153" s="577"/>
      <c r="P153" s="577"/>
      <c r="Q153" s="577"/>
      <c r="R153" s="577"/>
      <c r="S153" s="577"/>
      <c r="T153" s="577"/>
      <c r="U153" s="577"/>
      <c r="V153" s="577"/>
      <c r="W153" s="577"/>
      <c r="X153" s="577"/>
      <c r="Y153" s="577"/>
      <c r="Z153" s="577"/>
      <c r="AA153" s="577"/>
      <c r="AB153" s="577"/>
      <c r="AC153" s="577"/>
      <c r="AD153" s="577"/>
      <c r="AE153" s="577"/>
      <c r="AF153" s="577"/>
      <c r="AG153" s="577"/>
      <c r="AH153" s="577"/>
      <c r="AI153" s="577"/>
      <c r="AJ153" s="577"/>
      <c r="AK153" s="577"/>
      <c r="AL153" s="577"/>
      <c r="AM153" s="577"/>
      <c r="AN153" s="577"/>
      <c r="AO153" s="577"/>
      <c r="AP153" s="577"/>
      <c r="AQ153" s="577"/>
      <c r="AR153" s="577"/>
      <c r="AS153" s="577"/>
      <c r="AT153" s="577"/>
      <c r="AU153" s="577"/>
      <c r="AV153" s="577"/>
      <c r="AW153" s="577"/>
    </row>
    <row r="154" spans="1:49" x14ac:dyDescent="0.15">
      <c r="A154" s="577"/>
      <c r="B154" s="577"/>
      <c r="C154" s="577"/>
      <c r="D154" s="577"/>
      <c r="E154" s="577"/>
      <c r="F154" s="577"/>
      <c r="G154" s="577"/>
      <c r="H154" s="577"/>
      <c r="I154" s="577"/>
      <c r="J154" s="577"/>
      <c r="K154" s="577"/>
      <c r="L154" s="577"/>
      <c r="M154" s="577"/>
      <c r="N154" s="577"/>
      <c r="O154" s="577"/>
      <c r="P154" s="577"/>
      <c r="Q154" s="577"/>
      <c r="R154" s="577"/>
      <c r="S154" s="577"/>
      <c r="T154" s="577"/>
      <c r="U154" s="577"/>
      <c r="V154" s="577"/>
      <c r="W154" s="577"/>
      <c r="X154" s="577"/>
      <c r="Y154" s="577"/>
      <c r="Z154" s="577"/>
      <c r="AA154" s="577"/>
      <c r="AB154" s="577"/>
      <c r="AC154" s="577"/>
      <c r="AD154" s="577"/>
      <c r="AE154" s="577"/>
      <c r="AF154" s="577"/>
      <c r="AG154" s="577"/>
      <c r="AH154" s="577"/>
      <c r="AI154" s="577"/>
      <c r="AJ154" s="577"/>
      <c r="AK154" s="577"/>
      <c r="AL154" s="577"/>
      <c r="AM154" s="577"/>
      <c r="AN154" s="577"/>
      <c r="AO154" s="577"/>
      <c r="AP154" s="577"/>
      <c r="AQ154" s="577"/>
      <c r="AR154" s="577"/>
      <c r="AS154" s="577"/>
      <c r="AT154" s="577"/>
      <c r="AU154" s="577"/>
      <c r="AV154" s="577"/>
      <c r="AW154" s="577"/>
    </row>
    <row r="155" spans="1:49" x14ac:dyDescent="0.15">
      <c r="A155" s="577"/>
      <c r="B155" s="577"/>
      <c r="C155" s="577"/>
      <c r="D155" s="577"/>
      <c r="E155" s="577"/>
      <c r="F155" s="577"/>
      <c r="G155" s="577"/>
      <c r="H155" s="577"/>
      <c r="I155" s="577"/>
      <c r="J155" s="577"/>
      <c r="K155" s="577"/>
      <c r="L155" s="577"/>
      <c r="M155" s="577"/>
      <c r="N155" s="577"/>
      <c r="O155" s="577"/>
      <c r="P155" s="577"/>
      <c r="Q155" s="577"/>
      <c r="R155" s="577"/>
      <c r="S155" s="577"/>
      <c r="T155" s="577"/>
      <c r="U155" s="577"/>
      <c r="V155" s="577"/>
      <c r="W155" s="577"/>
      <c r="X155" s="577"/>
      <c r="Y155" s="577"/>
      <c r="Z155" s="577"/>
      <c r="AA155" s="577"/>
      <c r="AB155" s="577"/>
      <c r="AC155" s="577"/>
      <c r="AD155" s="577"/>
      <c r="AE155" s="577"/>
      <c r="AF155" s="577"/>
      <c r="AG155" s="577"/>
      <c r="AH155" s="577"/>
      <c r="AI155" s="577"/>
      <c r="AJ155" s="577"/>
      <c r="AK155" s="577"/>
      <c r="AL155" s="577"/>
      <c r="AM155" s="577"/>
      <c r="AN155" s="577"/>
      <c r="AO155" s="577"/>
      <c r="AP155" s="577"/>
      <c r="AQ155" s="577"/>
      <c r="AR155" s="577"/>
      <c r="AS155" s="577"/>
      <c r="AT155" s="577"/>
      <c r="AU155" s="577"/>
      <c r="AV155" s="577"/>
      <c r="AW155" s="577"/>
    </row>
    <row r="156" spans="1:49" x14ac:dyDescent="0.15">
      <c r="A156" s="577"/>
      <c r="B156" s="577"/>
      <c r="C156" s="577"/>
      <c r="D156" s="577"/>
      <c r="E156" s="577"/>
      <c r="F156" s="577"/>
      <c r="G156" s="577"/>
      <c r="H156" s="577"/>
      <c r="I156" s="577"/>
      <c r="J156" s="577"/>
      <c r="K156" s="577"/>
      <c r="L156" s="577"/>
      <c r="M156" s="577"/>
      <c r="N156" s="577"/>
      <c r="O156" s="577"/>
      <c r="P156" s="577"/>
      <c r="Q156" s="577"/>
      <c r="R156" s="577"/>
      <c r="S156" s="577"/>
      <c r="T156" s="577"/>
      <c r="U156" s="577"/>
      <c r="V156" s="577"/>
      <c r="W156" s="577"/>
      <c r="X156" s="577"/>
      <c r="Y156" s="577"/>
      <c r="Z156" s="577"/>
      <c r="AA156" s="577"/>
      <c r="AB156" s="577"/>
      <c r="AC156" s="577"/>
      <c r="AD156" s="577"/>
      <c r="AE156" s="577"/>
      <c r="AF156" s="577"/>
      <c r="AG156" s="577"/>
      <c r="AH156" s="577"/>
      <c r="AI156" s="577"/>
      <c r="AJ156" s="577"/>
      <c r="AK156" s="577"/>
      <c r="AL156" s="577"/>
      <c r="AM156" s="577"/>
      <c r="AN156" s="577"/>
      <c r="AO156" s="577"/>
      <c r="AP156" s="577"/>
      <c r="AQ156" s="577"/>
      <c r="AR156" s="577"/>
      <c r="AS156" s="577"/>
      <c r="AT156" s="577"/>
      <c r="AU156" s="577"/>
      <c r="AV156" s="577"/>
      <c r="AW156" s="577"/>
    </row>
    <row r="157" spans="1:49" x14ac:dyDescent="0.15">
      <c r="A157" s="577"/>
      <c r="B157" s="577"/>
      <c r="C157" s="577"/>
      <c r="D157" s="577"/>
      <c r="E157" s="577"/>
      <c r="F157" s="577"/>
      <c r="G157" s="577"/>
      <c r="H157" s="577"/>
      <c r="I157" s="577"/>
      <c r="J157" s="577"/>
      <c r="K157" s="577"/>
      <c r="L157" s="577"/>
      <c r="M157" s="577"/>
      <c r="N157" s="577"/>
      <c r="O157" s="577"/>
      <c r="P157" s="577"/>
      <c r="Q157" s="577"/>
      <c r="R157" s="577"/>
      <c r="S157" s="577"/>
      <c r="T157" s="577"/>
      <c r="U157" s="577"/>
      <c r="V157" s="577"/>
      <c r="W157" s="577"/>
      <c r="X157" s="577"/>
      <c r="Y157" s="577"/>
      <c r="Z157" s="577"/>
      <c r="AA157" s="577"/>
      <c r="AB157" s="577"/>
      <c r="AC157" s="577"/>
      <c r="AD157" s="577"/>
      <c r="AE157" s="577"/>
      <c r="AF157" s="577"/>
      <c r="AG157" s="577"/>
      <c r="AH157" s="577"/>
      <c r="AI157" s="577"/>
      <c r="AJ157" s="577"/>
      <c r="AK157" s="577"/>
      <c r="AL157" s="577"/>
      <c r="AM157" s="577"/>
      <c r="AN157" s="577"/>
      <c r="AO157" s="577"/>
      <c r="AP157" s="577"/>
      <c r="AQ157" s="577"/>
      <c r="AR157" s="577"/>
      <c r="AS157" s="577"/>
      <c r="AT157" s="577"/>
      <c r="AU157" s="577"/>
      <c r="AV157" s="577"/>
      <c r="AW157" s="577"/>
    </row>
    <row r="158" spans="1:49" x14ac:dyDescent="0.15">
      <c r="A158" s="577"/>
      <c r="B158" s="577"/>
      <c r="C158" s="577"/>
      <c r="D158" s="577"/>
      <c r="E158" s="577"/>
      <c r="F158" s="577"/>
      <c r="G158" s="577"/>
      <c r="H158" s="577"/>
      <c r="I158" s="577"/>
      <c r="J158" s="577"/>
      <c r="K158" s="577"/>
      <c r="L158" s="577"/>
      <c r="M158" s="577"/>
      <c r="N158" s="577"/>
      <c r="O158" s="577"/>
      <c r="P158" s="577"/>
      <c r="Q158" s="577"/>
      <c r="R158" s="577"/>
      <c r="S158" s="577"/>
      <c r="T158" s="577"/>
      <c r="U158" s="577"/>
      <c r="V158" s="577"/>
      <c r="W158" s="577"/>
      <c r="X158" s="577"/>
      <c r="Y158" s="577"/>
      <c r="Z158" s="577"/>
      <c r="AA158" s="577"/>
      <c r="AB158" s="577"/>
      <c r="AC158" s="577"/>
      <c r="AD158" s="577"/>
      <c r="AE158" s="577"/>
      <c r="AF158" s="577"/>
      <c r="AG158" s="577"/>
      <c r="AH158" s="577"/>
      <c r="AI158" s="577"/>
      <c r="AJ158" s="577"/>
      <c r="AK158" s="577"/>
      <c r="AL158" s="577"/>
      <c r="AM158" s="577"/>
      <c r="AN158" s="577"/>
      <c r="AO158" s="577"/>
      <c r="AP158" s="577"/>
      <c r="AQ158" s="577"/>
      <c r="AR158" s="577"/>
      <c r="AS158" s="577"/>
      <c r="AT158" s="577"/>
      <c r="AU158" s="577"/>
      <c r="AV158" s="577"/>
      <c r="AW158" s="577"/>
    </row>
    <row r="159" spans="1:49" x14ac:dyDescent="0.15">
      <c r="A159" s="577"/>
      <c r="B159" s="577"/>
      <c r="C159" s="577"/>
      <c r="D159" s="577"/>
      <c r="E159" s="577"/>
      <c r="F159" s="577"/>
      <c r="G159" s="577"/>
      <c r="H159" s="577"/>
      <c r="I159" s="577"/>
      <c r="J159" s="577"/>
      <c r="K159" s="577"/>
      <c r="L159" s="577"/>
      <c r="M159" s="577"/>
      <c r="N159" s="577"/>
      <c r="O159" s="577"/>
      <c r="P159" s="577"/>
      <c r="Q159" s="577"/>
      <c r="R159" s="577"/>
      <c r="S159" s="577"/>
      <c r="T159" s="577"/>
      <c r="U159" s="577"/>
      <c r="V159" s="577"/>
      <c r="W159" s="577"/>
      <c r="X159" s="577"/>
      <c r="Y159" s="577"/>
      <c r="Z159" s="577"/>
      <c r="AA159" s="577"/>
      <c r="AB159" s="577"/>
      <c r="AC159" s="577"/>
      <c r="AD159" s="577"/>
      <c r="AE159" s="577"/>
      <c r="AF159" s="577"/>
      <c r="AG159" s="577"/>
      <c r="AH159" s="577"/>
      <c r="AI159" s="577"/>
      <c r="AJ159" s="577"/>
      <c r="AK159" s="577"/>
      <c r="AL159" s="577"/>
      <c r="AM159" s="577"/>
      <c r="AN159" s="577"/>
      <c r="AO159" s="577"/>
      <c r="AP159" s="577"/>
      <c r="AQ159" s="577"/>
      <c r="AR159" s="577"/>
      <c r="AS159" s="577"/>
      <c r="AT159" s="577"/>
      <c r="AU159" s="577"/>
      <c r="AV159" s="577"/>
      <c r="AW159" s="577"/>
    </row>
    <row r="160" spans="1:49" x14ac:dyDescent="0.15">
      <c r="A160" s="577"/>
      <c r="B160" s="577"/>
      <c r="C160" s="577"/>
      <c r="D160" s="577"/>
      <c r="E160" s="577"/>
      <c r="F160" s="577"/>
      <c r="G160" s="577"/>
      <c r="H160" s="577"/>
      <c r="I160" s="577"/>
      <c r="J160" s="577"/>
      <c r="K160" s="577"/>
      <c r="L160" s="577"/>
      <c r="M160" s="577"/>
      <c r="N160" s="577"/>
      <c r="O160" s="577"/>
      <c r="P160" s="577"/>
      <c r="Q160" s="577"/>
      <c r="R160" s="577"/>
      <c r="S160" s="577"/>
      <c r="T160" s="577"/>
      <c r="U160" s="577"/>
      <c r="V160" s="577"/>
      <c r="W160" s="577"/>
      <c r="X160" s="577"/>
      <c r="Y160" s="577"/>
      <c r="Z160" s="577"/>
      <c r="AA160" s="577"/>
      <c r="AB160" s="577"/>
      <c r="AC160" s="577"/>
      <c r="AD160" s="577"/>
      <c r="AE160" s="577"/>
      <c r="AF160" s="577"/>
      <c r="AG160" s="577"/>
      <c r="AH160" s="577"/>
      <c r="AI160" s="577"/>
      <c r="AJ160" s="577"/>
      <c r="AK160" s="577"/>
      <c r="AL160" s="577"/>
      <c r="AM160" s="577"/>
      <c r="AN160" s="577"/>
      <c r="AO160" s="577"/>
      <c r="AP160" s="577"/>
      <c r="AQ160" s="577"/>
      <c r="AR160" s="577"/>
      <c r="AS160" s="577"/>
      <c r="AT160" s="577"/>
      <c r="AU160" s="577"/>
      <c r="AV160" s="577"/>
      <c r="AW160" s="577"/>
    </row>
    <row r="161" spans="1:49" x14ac:dyDescent="0.15">
      <c r="A161" s="577"/>
      <c r="B161" s="577"/>
      <c r="C161" s="577"/>
      <c r="D161" s="577"/>
      <c r="E161" s="577"/>
      <c r="F161" s="577"/>
      <c r="G161" s="577"/>
      <c r="H161" s="577"/>
      <c r="I161" s="577"/>
      <c r="J161" s="577"/>
      <c r="K161" s="577"/>
      <c r="L161" s="577"/>
      <c r="M161" s="577"/>
      <c r="N161" s="577"/>
      <c r="O161" s="577"/>
      <c r="P161" s="577"/>
      <c r="Q161" s="577"/>
      <c r="R161" s="577"/>
      <c r="S161" s="577"/>
      <c r="T161" s="577"/>
      <c r="U161" s="577"/>
      <c r="V161" s="577"/>
      <c r="W161" s="577"/>
      <c r="X161" s="577"/>
      <c r="Y161" s="577"/>
      <c r="Z161" s="577"/>
      <c r="AA161" s="577"/>
      <c r="AB161" s="577"/>
      <c r="AC161" s="577"/>
      <c r="AD161" s="577"/>
      <c r="AE161" s="577"/>
      <c r="AF161" s="577"/>
      <c r="AG161" s="577"/>
      <c r="AH161" s="577"/>
      <c r="AI161" s="577"/>
      <c r="AJ161" s="577"/>
      <c r="AK161" s="577"/>
      <c r="AL161" s="577"/>
      <c r="AM161" s="577"/>
      <c r="AN161" s="577"/>
      <c r="AO161" s="577"/>
      <c r="AP161" s="577"/>
      <c r="AQ161" s="577"/>
      <c r="AR161" s="577"/>
      <c r="AS161" s="577"/>
      <c r="AT161" s="577"/>
      <c r="AU161" s="577"/>
      <c r="AV161" s="577"/>
      <c r="AW161" s="577"/>
    </row>
    <row r="162" spans="1:49" x14ac:dyDescent="0.15">
      <c r="A162" s="577"/>
      <c r="B162" s="577"/>
      <c r="C162" s="577"/>
      <c r="D162" s="577"/>
      <c r="E162" s="577"/>
      <c r="F162" s="577"/>
      <c r="G162" s="577"/>
      <c r="H162" s="577"/>
      <c r="I162" s="577"/>
      <c r="J162" s="577"/>
      <c r="K162" s="577"/>
      <c r="L162" s="577"/>
      <c r="M162" s="577"/>
      <c r="N162" s="577"/>
      <c r="O162" s="577"/>
      <c r="P162" s="577"/>
      <c r="Q162" s="577"/>
      <c r="R162" s="577"/>
      <c r="S162" s="577"/>
      <c r="T162" s="577"/>
      <c r="U162" s="577"/>
      <c r="V162" s="577"/>
      <c r="W162" s="577"/>
      <c r="X162" s="577"/>
      <c r="Y162" s="577"/>
      <c r="Z162" s="577"/>
      <c r="AA162" s="577"/>
      <c r="AB162" s="577"/>
      <c r="AC162" s="577"/>
      <c r="AD162" s="577"/>
      <c r="AE162" s="577"/>
      <c r="AF162" s="577"/>
      <c r="AG162" s="577"/>
      <c r="AH162" s="577"/>
      <c r="AI162" s="577"/>
      <c r="AJ162" s="577"/>
      <c r="AK162" s="577"/>
      <c r="AL162" s="577"/>
      <c r="AM162" s="577"/>
      <c r="AN162" s="577"/>
      <c r="AO162" s="577"/>
      <c r="AP162" s="577"/>
      <c r="AQ162" s="577"/>
      <c r="AR162" s="577"/>
      <c r="AS162" s="577"/>
      <c r="AT162" s="577"/>
      <c r="AU162" s="577"/>
      <c r="AV162" s="577"/>
      <c r="AW162" s="577"/>
    </row>
    <row r="163" spans="1:49" x14ac:dyDescent="0.15">
      <c r="A163" s="577"/>
      <c r="B163" s="577"/>
      <c r="C163" s="577"/>
      <c r="D163" s="577"/>
      <c r="E163" s="577"/>
      <c r="F163" s="577"/>
      <c r="G163" s="577"/>
      <c r="H163" s="577"/>
      <c r="I163" s="577"/>
      <c r="J163" s="577"/>
      <c r="K163" s="577"/>
      <c r="L163" s="577"/>
      <c r="M163" s="577"/>
      <c r="N163" s="577"/>
      <c r="O163" s="577"/>
      <c r="P163" s="577"/>
      <c r="Q163" s="577"/>
      <c r="R163" s="577"/>
      <c r="S163" s="577"/>
      <c r="T163" s="577"/>
      <c r="U163" s="577"/>
      <c r="V163" s="577"/>
      <c r="W163" s="577"/>
      <c r="X163" s="577"/>
      <c r="Y163" s="577"/>
      <c r="Z163" s="577"/>
      <c r="AA163" s="577"/>
      <c r="AB163" s="577"/>
      <c r="AC163" s="577"/>
      <c r="AD163" s="577"/>
      <c r="AE163" s="577"/>
      <c r="AF163" s="577"/>
      <c r="AG163" s="577"/>
      <c r="AH163" s="577"/>
      <c r="AI163" s="577"/>
      <c r="AJ163" s="577"/>
      <c r="AK163" s="577"/>
      <c r="AL163" s="577"/>
      <c r="AM163" s="577"/>
      <c r="AN163" s="577"/>
      <c r="AO163" s="577"/>
      <c r="AP163" s="577"/>
      <c r="AQ163" s="577"/>
      <c r="AR163" s="577"/>
      <c r="AS163" s="577"/>
      <c r="AT163" s="577"/>
      <c r="AU163" s="577"/>
      <c r="AV163" s="577"/>
      <c r="AW163" s="577"/>
    </row>
    <row r="164" spans="1:49" x14ac:dyDescent="0.15">
      <c r="A164" s="577"/>
      <c r="B164" s="577"/>
      <c r="C164" s="577"/>
      <c r="D164" s="577"/>
      <c r="E164" s="577"/>
      <c r="F164" s="577"/>
      <c r="G164" s="577"/>
      <c r="H164" s="577"/>
      <c r="I164" s="577"/>
      <c r="J164" s="577"/>
      <c r="K164" s="577"/>
      <c r="L164" s="577"/>
      <c r="M164" s="577"/>
      <c r="N164" s="577"/>
      <c r="O164" s="577"/>
      <c r="P164" s="577"/>
      <c r="Q164" s="577"/>
      <c r="R164" s="577"/>
      <c r="S164" s="577"/>
      <c r="T164" s="577"/>
      <c r="U164" s="577"/>
      <c r="V164" s="577"/>
      <c r="W164" s="577"/>
      <c r="X164" s="577"/>
      <c r="Y164" s="577"/>
      <c r="Z164" s="577"/>
      <c r="AA164" s="577"/>
      <c r="AB164" s="577"/>
      <c r="AC164" s="577"/>
      <c r="AD164" s="577"/>
      <c r="AE164" s="577"/>
      <c r="AF164" s="577"/>
      <c r="AG164" s="577"/>
      <c r="AH164" s="577"/>
      <c r="AI164" s="577"/>
      <c r="AJ164" s="577"/>
      <c r="AK164" s="577"/>
      <c r="AL164" s="577"/>
      <c r="AM164" s="577"/>
      <c r="AN164" s="577"/>
      <c r="AO164" s="577"/>
      <c r="AP164" s="577"/>
      <c r="AQ164" s="577"/>
      <c r="AR164" s="577"/>
      <c r="AS164" s="577"/>
      <c r="AT164" s="577"/>
      <c r="AU164" s="577"/>
      <c r="AV164" s="577"/>
      <c r="AW164" s="577"/>
    </row>
    <row r="165" spans="1:49" x14ac:dyDescent="0.15">
      <c r="A165" s="577"/>
      <c r="B165" s="577"/>
      <c r="C165" s="577"/>
      <c r="D165" s="577"/>
      <c r="E165" s="577"/>
      <c r="F165" s="577"/>
      <c r="G165" s="577"/>
      <c r="H165" s="577"/>
      <c r="I165" s="577"/>
      <c r="J165" s="577"/>
      <c r="K165" s="577"/>
      <c r="L165" s="577"/>
      <c r="M165" s="577"/>
      <c r="N165" s="577"/>
      <c r="O165" s="577"/>
      <c r="P165" s="577"/>
      <c r="Q165" s="577"/>
      <c r="R165" s="577"/>
      <c r="S165" s="577"/>
      <c r="T165" s="577"/>
      <c r="U165" s="577"/>
      <c r="V165" s="577"/>
      <c r="W165" s="577"/>
      <c r="X165" s="577"/>
      <c r="Y165" s="577"/>
      <c r="Z165" s="577"/>
      <c r="AA165" s="577"/>
      <c r="AB165" s="577"/>
      <c r="AC165" s="577"/>
      <c r="AD165" s="577"/>
      <c r="AE165" s="577"/>
      <c r="AF165" s="577"/>
      <c r="AG165" s="577"/>
      <c r="AH165" s="577"/>
      <c r="AI165" s="577"/>
      <c r="AJ165" s="577"/>
      <c r="AK165" s="577"/>
      <c r="AL165" s="577"/>
      <c r="AM165" s="577"/>
      <c r="AN165" s="577"/>
      <c r="AO165" s="577"/>
      <c r="AP165" s="577"/>
      <c r="AQ165" s="577"/>
      <c r="AR165" s="577"/>
      <c r="AS165" s="577"/>
      <c r="AT165" s="577"/>
      <c r="AU165" s="577"/>
      <c r="AV165" s="577"/>
      <c r="AW165" s="577"/>
    </row>
    <row r="166" spans="1:49" x14ac:dyDescent="0.15">
      <c r="A166" s="577"/>
      <c r="B166" s="577"/>
      <c r="C166" s="577"/>
      <c r="D166" s="577"/>
      <c r="E166" s="577"/>
      <c r="F166" s="577"/>
      <c r="G166" s="577"/>
      <c r="H166" s="577"/>
      <c r="I166" s="577"/>
      <c r="J166" s="577"/>
      <c r="K166" s="577"/>
      <c r="L166" s="577"/>
      <c r="M166" s="577"/>
      <c r="N166" s="577"/>
      <c r="O166" s="577"/>
      <c r="P166" s="577"/>
      <c r="Q166" s="577"/>
      <c r="R166" s="577"/>
      <c r="S166" s="577"/>
      <c r="T166" s="577"/>
      <c r="U166" s="577"/>
      <c r="V166" s="577"/>
      <c r="W166" s="577"/>
      <c r="X166" s="577"/>
      <c r="Y166" s="577"/>
      <c r="Z166" s="577"/>
      <c r="AA166" s="577"/>
      <c r="AB166" s="577"/>
      <c r="AC166" s="577"/>
      <c r="AD166" s="577"/>
      <c r="AE166" s="577"/>
      <c r="AF166" s="577"/>
      <c r="AG166" s="577"/>
      <c r="AH166" s="577"/>
      <c r="AI166" s="577"/>
      <c r="AJ166" s="577"/>
      <c r="AK166" s="577"/>
      <c r="AL166" s="577"/>
      <c r="AM166" s="577"/>
      <c r="AN166" s="577"/>
      <c r="AO166" s="577"/>
      <c r="AP166" s="577"/>
      <c r="AQ166" s="577"/>
      <c r="AR166" s="577"/>
      <c r="AS166" s="577"/>
      <c r="AT166" s="577"/>
      <c r="AU166" s="577"/>
      <c r="AV166" s="577"/>
      <c r="AW166" s="577"/>
    </row>
    <row r="167" spans="1:49" x14ac:dyDescent="0.15">
      <c r="A167" s="577"/>
      <c r="B167" s="577"/>
      <c r="C167" s="577"/>
      <c r="D167" s="577"/>
      <c r="E167" s="577"/>
      <c r="F167" s="577"/>
      <c r="G167" s="577"/>
      <c r="H167" s="577"/>
      <c r="I167" s="577"/>
      <c r="J167" s="577"/>
      <c r="K167" s="577"/>
      <c r="L167" s="577"/>
      <c r="M167" s="577"/>
      <c r="N167" s="577"/>
      <c r="O167" s="577"/>
      <c r="P167" s="577"/>
      <c r="Q167" s="577"/>
      <c r="R167" s="577"/>
      <c r="S167" s="577"/>
      <c r="T167" s="577"/>
      <c r="U167" s="577"/>
      <c r="V167" s="577"/>
      <c r="W167" s="577"/>
      <c r="X167" s="577"/>
      <c r="Y167" s="577"/>
      <c r="Z167" s="577"/>
      <c r="AA167" s="577"/>
      <c r="AB167" s="577"/>
      <c r="AC167" s="577"/>
      <c r="AD167" s="577"/>
      <c r="AE167" s="577"/>
      <c r="AF167" s="577"/>
      <c r="AG167" s="577"/>
      <c r="AH167" s="577"/>
      <c r="AI167" s="577"/>
      <c r="AJ167" s="577"/>
      <c r="AK167" s="577"/>
      <c r="AL167" s="577"/>
      <c r="AM167" s="577"/>
      <c r="AN167" s="577"/>
      <c r="AO167" s="577"/>
      <c r="AP167" s="577"/>
      <c r="AQ167" s="577"/>
      <c r="AR167" s="577"/>
      <c r="AS167" s="577"/>
      <c r="AT167" s="577"/>
      <c r="AU167" s="577"/>
      <c r="AV167" s="577"/>
      <c r="AW167" s="577"/>
    </row>
    <row r="168" spans="1:49" x14ac:dyDescent="0.15">
      <c r="A168" s="577"/>
      <c r="B168" s="577"/>
      <c r="C168" s="577"/>
      <c r="D168" s="577"/>
      <c r="E168" s="577"/>
      <c r="F168" s="577"/>
      <c r="G168" s="577"/>
      <c r="H168" s="577"/>
      <c r="I168" s="577"/>
      <c r="J168" s="577"/>
      <c r="K168" s="577"/>
      <c r="L168" s="577"/>
      <c r="M168" s="577"/>
      <c r="N168" s="577"/>
      <c r="O168" s="577"/>
      <c r="P168" s="577"/>
      <c r="Q168" s="577"/>
      <c r="R168" s="577"/>
      <c r="S168" s="577"/>
      <c r="T168" s="577"/>
      <c r="U168" s="577"/>
      <c r="V168" s="577"/>
      <c r="W168" s="577"/>
      <c r="X168" s="577"/>
      <c r="Y168" s="577"/>
      <c r="Z168" s="577"/>
      <c r="AA168" s="577"/>
      <c r="AB168" s="577"/>
      <c r="AC168" s="577"/>
      <c r="AD168" s="577"/>
      <c r="AE168" s="577"/>
      <c r="AF168" s="577"/>
      <c r="AG168" s="577"/>
      <c r="AH168" s="577"/>
      <c r="AI168" s="577"/>
      <c r="AJ168" s="577"/>
      <c r="AK168" s="577"/>
      <c r="AL168" s="577"/>
      <c r="AM168" s="577"/>
      <c r="AN168" s="577"/>
      <c r="AO168" s="577"/>
      <c r="AP168" s="577"/>
      <c r="AQ168" s="577"/>
      <c r="AR168" s="577"/>
      <c r="AS168" s="577"/>
      <c r="AT168" s="577"/>
      <c r="AU168" s="577"/>
      <c r="AV168" s="577"/>
      <c r="AW168" s="577"/>
    </row>
    <row r="169" spans="1:49" x14ac:dyDescent="0.15">
      <c r="A169" s="577"/>
      <c r="B169" s="577"/>
      <c r="C169" s="577"/>
      <c r="D169" s="577"/>
      <c r="E169" s="577"/>
      <c r="F169" s="577"/>
      <c r="G169" s="577"/>
      <c r="H169" s="577"/>
      <c r="I169" s="577"/>
      <c r="J169" s="577"/>
      <c r="K169" s="577"/>
      <c r="L169" s="577"/>
      <c r="M169" s="577"/>
      <c r="N169" s="577"/>
      <c r="O169" s="577"/>
      <c r="P169" s="577"/>
      <c r="Q169" s="577"/>
      <c r="R169" s="577"/>
      <c r="S169" s="577"/>
      <c r="T169" s="577"/>
      <c r="U169" s="577"/>
      <c r="V169" s="577"/>
      <c r="W169" s="577"/>
      <c r="X169" s="577"/>
      <c r="Y169" s="577"/>
      <c r="Z169" s="577"/>
      <c r="AA169" s="577"/>
      <c r="AB169" s="577"/>
      <c r="AC169" s="577"/>
      <c r="AD169" s="577"/>
      <c r="AE169" s="577"/>
      <c r="AF169" s="577"/>
      <c r="AG169" s="577"/>
      <c r="AH169" s="577"/>
      <c r="AI169" s="577"/>
      <c r="AJ169" s="577"/>
      <c r="AK169" s="577"/>
      <c r="AL169" s="577"/>
      <c r="AM169" s="577"/>
      <c r="AN169" s="577"/>
      <c r="AO169" s="577"/>
      <c r="AP169" s="577"/>
      <c r="AQ169" s="577"/>
      <c r="AR169" s="577"/>
      <c r="AS169" s="577"/>
      <c r="AT169" s="577"/>
      <c r="AU169" s="577"/>
      <c r="AV169" s="577"/>
      <c r="AW169" s="577"/>
    </row>
    <row r="170" spans="1:49" x14ac:dyDescent="0.15">
      <c r="A170" s="577"/>
      <c r="B170" s="577"/>
      <c r="C170" s="577"/>
      <c r="D170" s="577"/>
      <c r="E170" s="577"/>
      <c r="F170" s="577"/>
      <c r="G170" s="577"/>
      <c r="H170" s="577"/>
      <c r="I170" s="577"/>
      <c r="J170" s="577"/>
      <c r="K170" s="577"/>
      <c r="L170" s="577"/>
      <c r="M170" s="577"/>
      <c r="N170" s="577"/>
      <c r="O170" s="577"/>
      <c r="P170" s="577"/>
      <c r="Q170" s="577"/>
      <c r="R170" s="577"/>
      <c r="S170" s="577"/>
      <c r="T170" s="577"/>
      <c r="U170" s="577"/>
      <c r="V170" s="577"/>
      <c r="W170" s="577"/>
      <c r="X170" s="577"/>
      <c r="Y170" s="577"/>
      <c r="Z170" s="577"/>
      <c r="AA170" s="577"/>
      <c r="AB170" s="577"/>
      <c r="AC170" s="577"/>
      <c r="AD170" s="577"/>
      <c r="AE170" s="577"/>
      <c r="AF170" s="577"/>
      <c r="AG170" s="577"/>
      <c r="AH170" s="577"/>
      <c r="AI170" s="577"/>
      <c r="AJ170" s="577"/>
      <c r="AK170" s="577"/>
      <c r="AL170" s="577"/>
      <c r="AM170" s="577"/>
      <c r="AN170" s="577"/>
      <c r="AO170" s="577"/>
      <c r="AP170" s="577"/>
      <c r="AQ170" s="577"/>
      <c r="AR170" s="577"/>
      <c r="AS170" s="577"/>
      <c r="AT170" s="577"/>
      <c r="AU170" s="577"/>
      <c r="AV170" s="577"/>
      <c r="AW170" s="577"/>
    </row>
    <row r="171" spans="1:49" x14ac:dyDescent="0.15">
      <c r="A171" s="577"/>
      <c r="B171" s="577"/>
      <c r="C171" s="577"/>
      <c r="D171" s="577"/>
      <c r="E171" s="577"/>
      <c r="F171" s="577"/>
      <c r="G171" s="577"/>
      <c r="H171" s="577"/>
      <c r="I171" s="577"/>
      <c r="J171" s="577"/>
      <c r="K171" s="577"/>
      <c r="L171" s="577"/>
      <c r="M171" s="577"/>
      <c r="N171" s="577"/>
      <c r="O171" s="577"/>
      <c r="P171" s="577"/>
      <c r="Q171" s="577"/>
      <c r="R171" s="577"/>
      <c r="S171" s="577"/>
      <c r="T171" s="577"/>
      <c r="U171" s="577"/>
      <c r="V171" s="577"/>
      <c r="W171" s="577"/>
      <c r="X171" s="577"/>
      <c r="Y171" s="577"/>
      <c r="Z171" s="577"/>
      <c r="AA171" s="577"/>
      <c r="AB171" s="577"/>
      <c r="AC171" s="577"/>
      <c r="AD171" s="577"/>
      <c r="AE171" s="577"/>
      <c r="AF171" s="577"/>
      <c r="AG171" s="577"/>
      <c r="AH171" s="577"/>
      <c r="AI171" s="577"/>
      <c r="AJ171" s="577"/>
      <c r="AK171" s="577"/>
      <c r="AL171" s="577"/>
      <c r="AM171" s="577"/>
      <c r="AN171" s="577"/>
      <c r="AO171" s="577"/>
      <c r="AP171" s="577"/>
      <c r="AQ171" s="577"/>
      <c r="AR171" s="577"/>
      <c r="AS171" s="577"/>
      <c r="AT171" s="577"/>
      <c r="AU171" s="577"/>
      <c r="AV171" s="577"/>
      <c r="AW171" s="577"/>
    </row>
    <row r="172" spans="1:49" x14ac:dyDescent="0.15">
      <c r="A172" s="577"/>
      <c r="B172" s="577"/>
      <c r="C172" s="577"/>
      <c r="D172" s="577"/>
      <c r="E172" s="577"/>
      <c r="F172" s="577"/>
      <c r="G172" s="577"/>
      <c r="H172" s="577"/>
      <c r="I172" s="577"/>
      <c r="J172" s="577"/>
      <c r="K172" s="577"/>
      <c r="L172" s="577"/>
      <c r="M172" s="577"/>
      <c r="N172" s="577"/>
      <c r="O172" s="577"/>
      <c r="P172" s="577"/>
      <c r="Q172" s="577"/>
      <c r="R172" s="577"/>
      <c r="S172" s="577"/>
      <c r="T172" s="577"/>
      <c r="U172" s="577"/>
      <c r="V172" s="577"/>
      <c r="W172" s="577"/>
      <c r="X172" s="577"/>
      <c r="Y172" s="577"/>
      <c r="Z172" s="577"/>
      <c r="AA172" s="577"/>
      <c r="AB172" s="577"/>
      <c r="AC172" s="577"/>
      <c r="AD172" s="577"/>
      <c r="AE172" s="577"/>
      <c r="AF172" s="577"/>
      <c r="AG172" s="577"/>
      <c r="AH172" s="577"/>
      <c r="AI172" s="577"/>
      <c r="AJ172" s="577"/>
      <c r="AK172" s="577"/>
      <c r="AL172" s="577"/>
      <c r="AM172" s="577"/>
      <c r="AN172" s="577"/>
      <c r="AO172" s="577"/>
      <c r="AP172" s="577"/>
      <c r="AQ172" s="577"/>
      <c r="AR172" s="577"/>
      <c r="AS172" s="577"/>
      <c r="AT172" s="577"/>
      <c r="AU172" s="577"/>
      <c r="AV172" s="577"/>
      <c r="AW172" s="577"/>
    </row>
    <row r="173" spans="1:49" x14ac:dyDescent="0.15">
      <c r="A173" s="577"/>
      <c r="B173" s="577"/>
      <c r="C173" s="577"/>
      <c r="D173" s="577"/>
      <c r="E173" s="577"/>
      <c r="F173" s="577"/>
      <c r="G173" s="577"/>
      <c r="H173" s="577"/>
      <c r="I173" s="577"/>
      <c r="J173" s="577"/>
      <c r="K173" s="577"/>
      <c r="L173" s="577"/>
      <c r="M173" s="577"/>
      <c r="N173" s="577"/>
      <c r="O173" s="577"/>
      <c r="P173" s="577"/>
      <c r="Q173" s="577"/>
      <c r="R173" s="577"/>
      <c r="S173" s="577"/>
      <c r="T173" s="577"/>
      <c r="U173" s="577"/>
      <c r="V173" s="577"/>
      <c r="W173" s="577"/>
      <c r="X173" s="577"/>
      <c r="Y173" s="577"/>
      <c r="Z173" s="577"/>
      <c r="AA173" s="577"/>
      <c r="AB173" s="577"/>
      <c r="AC173" s="577"/>
      <c r="AD173" s="577"/>
      <c r="AE173" s="577"/>
      <c r="AF173" s="577"/>
      <c r="AG173" s="577"/>
      <c r="AH173" s="577"/>
      <c r="AI173" s="577"/>
      <c r="AJ173" s="577"/>
      <c r="AK173" s="577"/>
      <c r="AL173" s="577"/>
      <c r="AM173" s="577"/>
      <c r="AN173" s="577"/>
      <c r="AO173" s="577"/>
      <c r="AP173" s="577"/>
      <c r="AQ173" s="577"/>
      <c r="AR173" s="577"/>
      <c r="AS173" s="577"/>
      <c r="AT173" s="577"/>
      <c r="AU173" s="577"/>
      <c r="AV173" s="577"/>
      <c r="AW173" s="577"/>
    </row>
    <row r="174" spans="1:49" x14ac:dyDescent="0.15">
      <c r="A174" s="577"/>
      <c r="B174" s="577"/>
      <c r="C174" s="577"/>
      <c r="D174" s="577"/>
      <c r="E174" s="577"/>
      <c r="F174" s="577"/>
      <c r="G174" s="577"/>
      <c r="H174" s="577"/>
      <c r="I174" s="577"/>
      <c r="J174" s="577"/>
      <c r="K174" s="577"/>
      <c r="L174" s="577"/>
      <c r="M174" s="577"/>
      <c r="N174" s="577"/>
      <c r="O174" s="577"/>
      <c r="P174" s="577"/>
      <c r="Q174" s="577"/>
      <c r="R174" s="577"/>
      <c r="S174" s="577"/>
      <c r="T174" s="577"/>
      <c r="U174" s="577"/>
      <c r="V174" s="577"/>
      <c r="W174" s="577"/>
      <c r="X174" s="577"/>
      <c r="Y174" s="577"/>
      <c r="Z174" s="577"/>
      <c r="AA174" s="577"/>
      <c r="AB174" s="577"/>
      <c r="AC174" s="577"/>
      <c r="AD174" s="577"/>
      <c r="AE174" s="577"/>
      <c r="AF174" s="577"/>
      <c r="AG174" s="577"/>
      <c r="AH174" s="577"/>
      <c r="AI174" s="577"/>
      <c r="AJ174" s="577"/>
      <c r="AK174" s="577"/>
      <c r="AL174" s="577"/>
      <c r="AM174" s="577"/>
      <c r="AN174" s="577"/>
      <c r="AO174" s="577"/>
      <c r="AP174" s="577"/>
      <c r="AQ174" s="577"/>
      <c r="AR174" s="577"/>
      <c r="AS174" s="577"/>
      <c r="AT174" s="577"/>
      <c r="AU174" s="577"/>
      <c r="AV174" s="577"/>
      <c r="AW174" s="577"/>
    </row>
    <row r="175" spans="1:49" x14ac:dyDescent="0.15">
      <c r="A175" s="577"/>
      <c r="B175" s="577"/>
      <c r="C175" s="577"/>
      <c r="D175" s="577"/>
      <c r="E175" s="577"/>
      <c r="F175" s="577"/>
      <c r="G175" s="577"/>
      <c r="H175" s="577"/>
      <c r="I175" s="577"/>
      <c r="J175" s="577"/>
      <c r="K175" s="577"/>
      <c r="L175" s="577"/>
      <c r="M175" s="577"/>
      <c r="N175" s="577"/>
      <c r="O175" s="577"/>
      <c r="P175" s="577"/>
      <c r="Q175" s="577"/>
      <c r="R175" s="577"/>
      <c r="S175" s="577"/>
      <c r="T175" s="577"/>
      <c r="U175" s="577"/>
      <c r="V175" s="577"/>
      <c r="W175" s="577"/>
      <c r="X175" s="577"/>
      <c r="Y175" s="577"/>
      <c r="Z175" s="577"/>
      <c r="AA175" s="577"/>
      <c r="AB175" s="577"/>
      <c r="AC175" s="577"/>
      <c r="AD175" s="577"/>
      <c r="AE175" s="577"/>
      <c r="AF175" s="577"/>
      <c r="AG175" s="577"/>
      <c r="AH175" s="577"/>
      <c r="AI175" s="577"/>
      <c r="AJ175" s="577"/>
      <c r="AK175" s="577"/>
      <c r="AL175" s="577"/>
      <c r="AM175" s="577"/>
      <c r="AN175" s="577"/>
      <c r="AO175" s="577"/>
      <c r="AP175" s="577"/>
      <c r="AQ175" s="577"/>
      <c r="AR175" s="577"/>
      <c r="AS175" s="577"/>
      <c r="AT175" s="577"/>
      <c r="AU175" s="577"/>
      <c r="AV175" s="577"/>
      <c r="AW175" s="577"/>
    </row>
    <row r="176" spans="1:49" x14ac:dyDescent="0.15">
      <c r="A176" s="577"/>
      <c r="B176" s="577"/>
      <c r="C176" s="577"/>
      <c r="D176" s="577"/>
      <c r="E176" s="577"/>
      <c r="F176" s="577"/>
      <c r="G176" s="577"/>
      <c r="H176" s="577"/>
      <c r="I176" s="577"/>
      <c r="J176" s="577"/>
      <c r="K176" s="577"/>
      <c r="L176" s="577"/>
      <c r="M176" s="577"/>
      <c r="N176" s="577"/>
      <c r="O176" s="577"/>
      <c r="P176" s="577"/>
      <c r="Q176" s="577"/>
      <c r="R176" s="577"/>
      <c r="S176" s="577"/>
      <c r="T176" s="577"/>
      <c r="U176" s="577"/>
      <c r="V176" s="577"/>
      <c r="W176" s="577"/>
      <c r="X176" s="577"/>
      <c r="Y176" s="577"/>
      <c r="Z176" s="577"/>
      <c r="AA176" s="577"/>
      <c r="AB176" s="577"/>
      <c r="AC176" s="577"/>
      <c r="AD176" s="577"/>
      <c r="AE176" s="577"/>
      <c r="AF176" s="577"/>
      <c r="AG176" s="577"/>
      <c r="AH176" s="577"/>
      <c r="AI176" s="577"/>
      <c r="AJ176" s="577"/>
      <c r="AK176" s="577"/>
      <c r="AL176" s="577"/>
      <c r="AM176" s="577"/>
      <c r="AN176" s="577"/>
      <c r="AO176" s="577"/>
      <c r="AP176" s="577"/>
      <c r="AQ176" s="577"/>
      <c r="AR176" s="577"/>
      <c r="AS176" s="577"/>
      <c r="AT176" s="577"/>
      <c r="AU176" s="577"/>
      <c r="AV176" s="577"/>
      <c r="AW176" s="577"/>
    </row>
    <row r="177" spans="1:49" x14ac:dyDescent="0.15">
      <c r="A177" s="577"/>
      <c r="B177" s="577"/>
      <c r="C177" s="577"/>
      <c r="D177" s="577"/>
      <c r="E177" s="577"/>
      <c r="F177" s="577"/>
      <c r="G177" s="577"/>
      <c r="H177" s="577"/>
      <c r="I177" s="577"/>
      <c r="J177" s="577"/>
      <c r="K177" s="577"/>
      <c r="L177" s="577"/>
      <c r="M177" s="577"/>
      <c r="N177" s="577"/>
      <c r="O177" s="577"/>
      <c r="P177" s="577"/>
      <c r="Q177" s="577"/>
      <c r="R177" s="577"/>
      <c r="S177" s="577"/>
      <c r="T177" s="577"/>
      <c r="U177" s="577"/>
      <c r="V177" s="577"/>
      <c r="W177" s="577"/>
      <c r="X177" s="577"/>
      <c r="Y177" s="577"/>
      <c r="Z177" s="577"/>
      <c r="AA177" s="577"/>
      <c r="AB177" s="577"/>
      <c r="AC177" s="577"/>
      <c r="AD177" s="577"/>
      <c r="AE177" s="577"/>
      <c r="AF177" s="577"/>
      <c r="AG177" s="577"/>
      <c r="AH177" s="577"/>
      <c r="AI177" s="577"/>
      <c r="AJ177" s="577"/>
      <c r="AK177" s="577"/>
      <c r="AL177" s="577"/>
      <c r="AM177" s="577"/>
      <c r="AN177" s="577"/>
      <c r="AO177" s="577"/>
      <c r="AP177" s="577"/>
      <c r="AQ177" s="577"/>
      <c r="AR177" s="577"/>
      <c r="AS177" s="577"/>
      <c r="AT177" s="577"/>
      <c r="AU177" s="577"/>
      <c r="AV177" s="577"/>
      <c r="AW177" s="577"/>
    </row>
    <row r="178" spans="1:49" x14ac:dyDescent="0.15">
      <c r="A178" s="577"/>
      <c r="B178" s="577"/>
      <c r="C178" s="577"/>
      <c r="D178" s="577"/>
      <c r="E178" s="577"/>
      <c r="F178" s="577"/>
      <c r="G178" s="577"/>
      <c r="H178" s="577"/>
      <c r="I178" s="577"/>
      <c r="J178" s="577"/>
      <c r="K178" s="577"/>
      <c r="L178" s="577"/>
      <c r="M178" s="577"/>
      <c r="N178" s="577"/>
      <c r="O178" s="577"/>
      <c r="P178" s="577"/>
      <c r="Q178" s="577"/>
      <c r="R178" s="577"/>
      <c r="S178" s="577"/>
      <c r="T178" s="577"/>
      <c r="U178" s="577"/>
      <c r="V178" s="577"/>
      <c r="W178" s="577"/>
      <c r="X178" s="577"/>
      <c r="Y178" s="577"/>
      <c r="Z178" s="577"/>
      <c r="AA178" s="577"/>
      <c r="AB178" s="577"/>
      <c r="AC178" s="577"/>
      <c r="AD178" s="577"/>
      <c r="AE178" s="577"/>
      <c r="AF178" s="577"/>
      <c r="AG178" s="577"/>
      <c r="AH178" s="577"/>
      <c r="AI178" s="577"/>
      <c r="AJ178" s="577"/>
      <c r="AK178" s="577"/>
      <c r="AL178" s="577"/>
      <c r="AM178" s="577"/>
      <c r="AN178" s="577"/>
      <c r="AO178" s="577"/>
      <c r="AP178" s="577"/>
      <c r="AQ178" s="577"/>
      <c r="AR178" s="577"/>
      <c r="AS178" s="577"/>
      <c r="AT178" s="577"/>
      <c r="AU178" s="577"/>
      <c r="AV178" s="577"/>
      <c r="AW178" s="577"/>
    </row>
    <row r="179" spans="1:49" x14ac:dyDescent="0.15">
      <c r="A179" s="577"/>
      <c r="B179" s="577"/>
      <c r="C179" s="577"/>
      <c r="D179" s="577"/>
      <c r="E179" s="577"/>
      <c r="F179" s="577"/>
      <c r="G179" s="577"/>
      <c r="H179" s="577"/>
      <c r="I179" s="577"/>
      <c r="J179" s="577"/>
      <c r="K179" s="577"/>
      <c r="L179" s="577"/>
      <c r="M179" s="577"/>
      <c r="N179" s="577"/>
      <c r="O179" s="577"/>
      <c r="P179" s="577"/>
      <c r="Q179" s="577"/>
      <c r="R179" s="577"/>
      <c r="S179" s="577"/>
      <c r="T179" s="577"/>
      <c r="U179" s="577"/>
      <c r="V179" s="577"/>
      <c r="W179" s="577"/>
      <c r="X179" s="577"/>
      <c r="Y179" s="577"/>
      <c r="Z179" s="577"/>
      <c r="AA179" s="577"/>
      <c r="AB179" s="577"/>
      <c r="AC179" s="577"/>
      <c r="AD179" s="577"/>
      <c r="AE179" s="577"/>
      <c r="AF179" s="577"/>
      <c r="AG179" s="577"/>
      <c r="AH179" s="577"/>
      <c r="AI179" s="577"/>
      <c r="AJ179" s="577"/>
      <c r="AK179" s="577"/>
      <c r="AL179" s="577"/>
      <c r="AM179" s="577"/>
      <c r="AN179" s="577"/>
      <c r="AO179" s="577"/>
      <c r="AP179" s="577"/>
      <c r="AQ179" s="577"/>
      <c r="AR179" s="577"/>
      <c r="AS179" s="577"/>
      <c r="AT179" s="577"/>
      <c r="AU179" s="577"/>
      <c r="AV179" s="577"/>
      <c r="AW179" s="577"/>
    </row>
    <row r="180" spans="1:49" x14ac:dyDescent="0.15">
      <c r="A180" s="577"/>
      <c r="B180" s="577"/>
      <c r="C180" s="577"/>
      <c r="D180" s="577"/>
      <c r="E180" s="577"/>
      <c r="F180" s="577"/>
      <c r="G180" s="577"/>
      <c r="H180" s="577"/>
      <c r="I180" s="577"/>
      <c r="J180" s="577"/>
      <c r="K180" s="577"/>
      <c r="L180" s="577"/>
      <c r="M180" s="577"/>
      <c r="N180" s="577"/>
      <c r="O180" s="577"/>
      <c r="P180" s="577"/>
      <c r="Q180" s="577"/>
      <c r="R180" s="577"/>
      <c r="S180" s="577"/>
      <c r="T180" s="577"/>
      <c r="U180" s="577"/>
      <c r="V180" s="577"/>
      <c r="W180" s="577"/>
      <c r="X180" s="577"/>
      <c r="Y180" s="577"/>
      <c r="Z180" s="577"/>
      <c r="AA180" s="577"/>
      <c r="AB180" s="577"/>
      <c r="AC180" s="577"/>
      <c r="AD180" s="577"/>
      <c r="AE180" s="577"/>
      <c r="AF180" s="577"/>
      <c r="AG180" s="577"/>
      <c r="AH180" s="577"/>
      <c r="AI180" s="577"/>
      <c r="AJ180" s="577"/>
      <c r="AK180" s="577"/>
      <c r="AL180" s="577"/>
      <c r="AM180" s="577"/>
      <c r="AN180" s="577"/>
      <c r="AO180" s="577"/>
      <c r="AP180" s="577"/>
      <c r="AQ180" s="577"/>
      <c r="AR180" s="577"/>
      <c r="AS180" s="577"/>
      <c r="AT180" s="577"/>
      <c r="AU180" s="577"/>
      <c r="AV180" s="577"/>
      <c r="AW180" s="577"/>
    </row>
    <row r="181" spans="1:49" x14ac:dyDescent="0.15">
      <c r="A181" s="577"/>
      <c r="B181" s="577"/>
      <c r="C181" s="577"/>
      <c r="D181" s="577"/>
      <c r="E181" s="577"/>
      <c r="F181" s="577"/>
      <c r="G181" s="577"/>
      <c r="H181" s="577"/>
      <c r="I181" s="577"/>
      <c r="J181" s="577"/>
      <c r="K181" s="577"/>
      <c r="L181" s="577"/>
      <c r="M181" s="577"/>
      <c r="N181" s="577"/>
      <c r="O181" s="577"/>
      <c r="P181" s="577"/>
      <c r="Q181" s="577"/>
      <c r="R181" s="577"/>
      <c r="S181" s="577"/>
      <c r="T181" s="577"/>
      <c r="U181" s="577"/>
      <c r="V181" s="577"/>
      <c r="W181" s="577"/>
      <c r="X181" s="577"/>
      <c r="Y181" s="577"/>
      <c r="Z181" s="577"/>
      <c r="AA181" s="577"/>
      <c r="AB181" s="577"/>
      <c r="AC181" s="577"/>
      <c r="AD181" s="577"/>
      <c r="AE181" s="577"/>
      <c r="AF181" s="577"/>
      <c r="AG181" s="577"/>
      <c r="AH181" s="577"/>
      <c r="AI181" s="577"/>
      <c r="AJ181" s="577"/>
      <c r="AK181" s="577"/>
      <c r="AL181" s="577"/>
      <c r="AM181" s="577"/>
      <c r="AN181" s="577"/>
      <c r="AO181" s="577"/>
      <c r="AP181" s="577"/>
      <c r="AQ181" s="577"/>
      <c r="AR181" s="577"/>
      <c r="AS181" s="577"/>
      <c r="AT181" s="577"/>
      <c r="AU181" s="577"/>
      <c r="AV181" s="577"/>
      <c r="AW181" s="577"/>
    </row>
    <row r="182" spans="1:49" x14ac:dyDescent="0.15">
      <c r="A182" s="577"/>
      <c r="B182" s="577"/>
      <c r="C182" s="577"/>
      <c r="D182" s="577"/>
      <c r="E182" s="577"/>
      <c r="F182" s="577"/>
      <c r="G182" s="577"/>
      <c r="H182" s="577"/>
      <c r="I182" s="577"/>
      <c r="J182" s="577"/>
      <c r="K182" s="577"/>
      <c r="L182" s="577"/>
      <c r="M182" s="577"/>
      <c r="N182" s="577"/>
      <c r="O182" s="577"/>
      <c r="P182" s="577"/>
      <c r="Q182" s="577"/>
      <c r="R182" s="577"/>
      <c r="S182" s="577"/>
      <c r="T182" s="577"/>
      <c r="U182" s="577"/>
      <c r="V182" s="577"/>
      <c r="W182" s="577"/>
      <c r="X182" s="577"/>
      <c r="Y182" s="577"/>
      <c r="Z182" s="577"/>
      <c r="AA182" s="577"/>
      <c r="AB182" s="577"/>
      <c r="AC182" s="577"/>
      <c r="AD182" s="577"/>
      <c r="AE182" s="577"/>
      <c r="AF182" s="577"/>
      <c r="AG182" s="577"/>
      <c r="AH182" s="577"/>
      <c r="AI182" s="577"/>
      <c r="AJ182" s="577"/>
      <c r="AK182" s="577"/>
      <c r="AL182" s="577"/>
      <c r="AM182" s="577"/>
      <c r="AN182" s="577"/>
      <c r="AO182" s="577"/>
      <c r="AP182" s="577"/>
      <c r="AQ182" s="577"/>
      <c r="AR182" s="577"/>
      <c r="AS182" s="577"/>
      <c r="AT182" s="577"/>
      <c r="AU182" s="577"/>
      <c r="AV182" s="577"/>
      <c r="AW182" s="577"/>
    </row>
    <row r="183" spans="1:49" x14ac:dyDescent="0.15">
      <c r="A183" s="577"/>
      <c r="B183" s="577"/>
      <c r="C183" s="577"/>
      <c r="D183" s="577"/>
      <c r="E183" s="577"/>
      <c r="F183" s="577"/>
      <c r="G183" s="577"/>
      <c r="H183" s="577"/>
      <c r="I183" s="577"/>
      <c r="J183" s="577"/>
      <c r="K183" s="577"/>
      <c r="L183" s="577"/>
      <c r="M183" s="577"/>
      <c r="N183" s="577"/>
      <c r="O183" s="577"/>
      <c r="P183" s="577"/>
      <c r="Q183" s="577"/>
      <c r="R183" s="577"/>
      <c r="S183" s="577"/>
      <c r="T183" s="577"/>
      <c r="U183" s="577"/>
      <c r="V183" s="577"/>
      <c r="W183" s="577"/>
      <c r="X183" s="577"/>
      <c r="Y183" s="577"/>
      <c r="Z183" s="577"/>
      <c r="AA183" s="577"/>
      <c r="AB183" s="577"/>
      <c r="AC183" s="577"/>
      <c r="AD183" s="577"/>
      <c r="AE183" s="577"/>
      <c r="AF183" s="577"/>
      <c r="AG183" s="577"/>
      <c r="AH183" s="577"/>
      <c r="AI183" s="577"/>
      <c r="AJ183" s="577"/>
      <c r="AK183" s="577"/>
      <c r="AL183" s="577"/>
      <c r="AM183" s="577"/>
      <c r="AN183" s="577"/>
      <c r="AO183" s="577"/>
      <c r="AP183" s="577"/>
      <c r="AQ183" s="577"/>
      <c r="AR183" s="577"/>
      <c r="AS183" s="577"/>
      <c r="AT183" s="577"/>
      <c r="AU183" s="577"/>
      <c r="AV183" s="577"/>
      <c r="AW183" s="577"/>
    </row>
    <row r="184" spans="1:49" x14ac:dyDescent="0.15">
      <c r="A184" s="577"/>
      <c r="B184" s="577"/>
      <c r="C184" s="577"/>
      <c r="D184" s="577"/>
      <c r="E184" s="577"/>
      <c r="F184" s="577"/>
      <c r="G184" s="577"/>
      <c r="H184" s="577"/>
      <c r="I184" s="577"/>
      <c r="J184" s="577"/>
      <c r="K184" s="577"/>
      <c r="L184" s="577"/>
      <c r="M184" s="577"/>
      <c r="N184" s="577"/>
      <c r="O184" s="577"/>
      <c r="P184" s="577"/>
      <c r="Q184" s="577"/>
      <c r="R184" s="577"/>
      <c r="S184" s="577"/>
      <c r="T184" s="577"/>
      <c r="U184" s="577"/>
      <c r="V184" s="577"/>
      <c r="W184" s="577"/>
      <c r="X184" s="577"/>
      <c r="Y184" s="577"/>
      <c r="Z184" s="577"/>
      <c r="AA184" s="577"/>
      <c r="AB184" s="577"/>
      <c r="AC184" s="577"/>
      <c r="AD184" s="577"/>
      <c r="AE184" s="577"/>
      <c r="AF184" s="577"/>
      <c r="AG184" s="577"/>
      <c r="AH184" s="577"/>
      <c r="AI184" s="577"/>
      <c r="AJ184" s="577"/>
      <c r="AK184" s="577"/>
      <c r="AL184" s="577"/>
      <c r="AM184" s="577"/>
      <c r="AN184" s="577"/>
      <c r="AO184" s="577"/>
      <c r="AP184" s="577"/>
      <c r="AQ184" s="577"/>
      <c r="AR184" s="577"/>
      <c r="AS184" s="577"/>
      <c r="AT184" s="577"/>
      <c r="AU184" s="577"/>
      <c r="AV184" s="577"/>
      <c r="AW184" s="577"/>
    </row>
    <row r="185" spans="1:49" x14ac:dyDescent="0.15">
      <c r="A185" s="577"/>
      <c r="B185" s="577"/>
      <c r="C185" s="577"/>
      <c r="D185" s="577"/>
      <c r="E185" s="577"/>
      <c r="F185" s="577"/>
      <c r="G185" s="577"/>
      <c r="H185" s="577"/>
      <c r="I185" s="577"/>
      <c r="J185" s="577"/>
      <c r="K185" s="577"/>
      <c r="L185" s="577"/>
      <c r="M185" s="577"/>
      <c r="N185" s="577"/>
      <c r="O185" s="577"/>
      <c r="P185" s="577"/>
      <c r="Q185" s="577"/>
      <c r="R185" s="577"/>
      <c r="S185" s="577"/>
      <c r="T185" s="577"/>
      <c r="U185" s="577"/>
      <c r="V185" s="577"/>
      <c r="W185" s="577"/>
      <c r="X185" s="577"/>
      <c r="Y185" s="577"/>
      <c r="Z185" s="577"/>
      <c r="AA185" s="577"/>
      <c r="AB185" s="577"/>
      <c r="AC185" s="577"/>
      <c r="AD185" s="577"/>
      <c r="AE185" s="577"/>
      <c r="AF185" s="577"/>
      <c r="AG185" s="577"/>
      <c r="AH185" s="577"/>
      <c r="AI185" s="577"/>
      <c r="AJ185" s="577"/>
      <c r="AK185" s="577"/>
      <c r="AL185" s="577"/>
      <c r="AM185" s="577"/>
      <c r="AN185" s="577"/>
      <c r="AO185" s="577"/>
      <c r="AP185" s="577"/>
      <c r="AQ185" s="577"/>
      <c r="AR185" s="577"/>
      <c r="AS185" s="577"/>
      <c r="AT185" s="577"/>
      <c r="AU185" s="577"/>
      <c r="AV185" s="577"/>
      <c r="AW185" s="577"/>
    </row>
  </sheetData>
  <sheetProtection algorithmName="SHA-512" hashValue="ZTkVN6Wpa8WBxvRLUYPFJrlQCWsY75EgZ65vLs2lYkXu6eCITMc6QUXnh0HKKKY09P3gJDcHqbxRqsuHSOb2CQ==" saltValue="WM2T++c5HljhG9+NRrUrhA==" spinCount="100000" sheet="1" objects="1" scenarios="1"/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/>
  <dimension ref="A1:K55"/>
  <sheetViews>
    <sheetView workbookViewId="0">
      <selection activeCell="F22" sqref="F22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9" width="11.6640625" customWidth="1"/>
  </cols>
  <sheetData>
    <row r="1" spans="1:11" x14ac:dyDescent="0.15">
      <c r="A1" t="s">
        <v>722</v>
      </c>
    </row>
    <row r="2" spans="1:11" x14ac:dyDescent="0.15">
      <c r="A2" s="96"/>
      <c r="B2" s="97"/>
      <c r="C2" s="97"/>
      <c r="D2" s="97"/>
      <c r="E2" s="97"/>
      <c r="F2" s="97"/>
      <c r="G2" s="97"/>
      <c r="H2" s="97"/>
      <c r="I2" s="97"/>
      <c r="J2" s="98"/>
      <c r="K2" s="98"/>
    </row>
    <row r="3" spans="1:11" x14ac:dyDescent="0.15">
      <c r="A3" s="4" t="s">
        <v>61</v>
      </c>
      <c r="B3" s="5"/>
      <c r="C3" s="5"/>
      <c r="D3" s="6"/>
      <c r="E3" s="5"/>
      <c r="F3" s="5"/>
      <c r="G3" s="5"/>
      <c r="H3" s="5"/>
      <c r="I3" s="5"/>
    </row>
    <row r="4" spans="1:11" x14ac:dyDescent="0.15">
      <c r="D4" s="7"/>
      <c r="E4" s="8" t="s">
        <v>92</v>
      </c>
    </row>
    <row r="5" spans="1:11" x14ac:dyDescent="0.15">
      <c r="D5" s="7"/>
    </row>
    <row r="6" spans="1:11" x14ac:dyDescent="0.15">
      <c r="A6" s="9" t="s">
        <v>1074</v>
      </c>
      <c r="D6" s="7"/>
      <c r="E6" s="10" t="s">
        <v>1044</v>
      </c>
      <c r="F6" s="23" t="s">
        <v>591</v>
      </c>
      <c r="G6" s="23" t="s">
        <v>592</v>
      </c>
      <c r="H6" s="23" t="s">
        <v>595</v>
      </c>
      <c r="I6" s="23" t="s">
        <v>596</v>
      </c>
      <c r="J6" s="10" t="s">
        <v>486</v>
      </c>
      <c r="K6" s="23" t="s">
        <v>487</v>
      </c>
    </row>
    <row r="7" spans="1:11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  <c r="K7" s="13">
        <v>0.5</v>
      </c>
    </row>
    <row r="8" spans="1:11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  <c r="K8" s="15">
        <v>3</v>
      </c>
    </row>
    <row r="9" spans="1:11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  <c r="K9" s="13">
        <v>0.5</v>
      </c>
    </row>
    <row r="10" spans="1:11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  <c r="K10" s="15">
        <v>3</v>
      </c>
    </row>
    <row r="11" spans="1:11" x14ac:dyDescent="0.15">
      <c r="A11" t="s">
        <v>67</v>
      </c>
      <c r="D11" s="7"/>
      <c r="E11" s="15">
        <v>3000</v>
      </c>
      <c r="F11">
        <v>6000</v>
      </c>
      <c r="G11" s="15">
        <v>3000</v>
      </c>
      <c r="H11" s="15">
        <v>6000</v>
      </c>
      <c r="I11" s="15">
        <v>6000</v>
      </c>
      <c r="J11" s="15">
        <v>3000</v>
      </c>
      <c r="K11" s="15">
        <v>6000</v>
      </c>
    </row>
    <row r="12" spans="1:11" x14ac:dyDescent="0.15">
      <c r="A12" t="s">
        <v>68</v>
      </c>
      <c r="D12" s="7"/>
      <c r="E12">
        <v>6000</v>
      </c>
      <c r="F12">
        <v>9000</v>
      </c>
      <c r="G12" s="15">
        <v>6000</v>
      </c>
      <c r="H12">
        <v>9000</v>
      </c>
      <c r="I12">
        <v>9000</v>
      </c>
      <c r="J12">
        <v>6000</v>
      </c>
      <c r="K12">
        <v>9000</v>
      </c>
    </row>
    <row r="13" spans="1:11" x14ac:dyDescent="0.15">
      <c r="A13" t="s">
        <v>69</v>
      </c>
      <c r="D13" s="7"/>
      <c r="E13">
        <v>9000</v>
      </c>
      <c r="F13" s="15">
        <v>9000</v>
      </c>
      <c r="G13" s="15">
        <v>9000</v>
      </c>
      <c r="H13" s="15">
        <v>9000</v>
      </c>
      <c r="I13" s="15">
        <v>9000</v>
      </c>
      <c r="J13" s="15">
        <v>6000</v>
      </c>
      <c r="K13" s="15">
        <v>9000</v>
      </c>
    </row>
    <row r="14" spans="1:11" x14ac:dyDescent="0.15">
      <c r="A14" s="11" t="s">
        <v>70</v>
      </c>
      <c r="B14" s="11"/>
      <c r="C14" s="11"/>
      <c r="D14" s="12"/>
      <c r="E14" s="11">
        <v>15000</v>
      </c>
      <c r="F14" s="11">
        <v>9000</v>
      </c>
      <c r="G14" s="11">
        <v>15000</v>
      </c>
      <c r="H14" s="11">
        <v>9000</v>
      </c>
      <c r="I14" s="11">
        <v>9000</v>
      </c>
      <c r="J14" s="11">
        <v>6000</v>
      </c>
      <c r="K14" s="11">
        <v>9000</v>
      </c>
    </row>
    <row r="15" spans="1:11" x14ac:dyDescent="0.15">
      <c r="A15" t="s">
        <v>71</v>
      </c>
      <c r="D15" s="7"/>
      <c r="E15">
        <v>2.1835</v>
      </c>
      <c r="F15">
        <v>2.1131000000000002</v>
      </c>
      <c r="G15">
        <v>2.1669999999999998</v>
      </c>
      <c r="H15">
        <v>1.9722999999999999</v>
      </c>
      <c r="I15" s="22">
        <v>2.0350000000000001</v>
      </c>
      <c r="J15">
        <v>2.1230000000000002</v>
      </c>
      <c r="K15">
        <v>1.98</v>
      </c>
    </row>
    <row r="16" spans="1:11" x14ac:dyDescent="0.15">
      <c r="A16" t="s">
        <v>72</v>
      </c>
      <c r="D16" s="7"/>
      <c r="E16">
        <v>1.8875999999999999</v>
      </c>
      <c r="F16">
        <v>1.6709000000000001</v>
      </c>
      <c r="G16">
        <v>1.925</v>
      </c>
      <c r="H16">
        <v>1.5419</v>
      </c>
      <c r="I16" s="22">
        <v>1.694</v>
      </c>
      <c r="J16">
        <v>1.837</v>
      </c>
      <c r="K16">
        <v>1.452</v>
      </c>
    </row>
    <row r="17" spans="1:11" x14ac:dyDescent="0.15">
      <c r="A17" t="s">
        <v>73</v>
      </c>
      <c r="D17" s="7"/>
      <c r="E17">
        <v>1.4861</v>
      </c>
      <c r="F17">
        <v>0</v>
      </c>
      <c r="G17">
        <v>1.3585</v>
      </c>
      <c r="H17">
        <v>0</v>
      </c>
      <c r="I17" s="22">
        <v>0</v>
      </c>
      <c r="J17">
        <v>0</v>
      </c>
      <c r="K17">
        <v>0</v>
      </c>
    </row>
    <row r="18" spans="1:11" x14ac:dyDescent="0.15">
      <c r="A18" t="s">
        <v>74</v>
      </c>
      <c r="D18" s="7"/>
      <c r="E18">
        <v>1.2748999999999999</v>
      </c>
      <c r="F18">
        <v>0</v>
      </c>
      <c r="G18">
        <v>1.3554200000000001</v>
      </c>
      <c r="H18">
        <v>0</v>
      </c>
      <c r="I18" s="22">
        <v>0</v>
      </c>
      <c r="J18">
        <v>0</v>
      </c>
      <c r="K18">
        <v>0</v>
      </c>
    </row>
    <row r="19" spans="1:11" x14ac:dyDescent="0.15">
      <c r="A19" t="s">
        <v>75</v>
      </c>
      <c r="D19" s="7"/>
      <c r="E19">
        <v>1.1814</v>
      </c>
      <c r="F19">
        <v>1.1274999999999999</v>
      </c>
      <c r="G19">
        <v>1.17865</v>
      </c>
      <c r="H19">
        <v>1.3536999999999999</v>
      </c>
      <c r="I19" s="22">
        <v>1.2430000000000001</v>
      </c>
      <c r="J19">
        <v>1.4850000000000001</v>
      </c>
      <c r="K19">
        <v>1.133</v>
      </c>
    </row>
    <row r="20" spans="1:11" x14ac:dyDescent="0.15">
      <c r="A20" t="s">
        <v>76</v>
      </c>
      <c r="D20" s="7"/>
      <c r="E20">
        <v>2.0669</v>
      </c>
      <c r="F20">
        <v>1.8942000000000001</v>
      </c>
      <c r="G20">
        <v>2.0459999999999998</v>
      </c>
      <c r="H20">
        <v>1.8574999999999999</v>
      </c>
      <c r="I20" s="22">
        <v>1.903</v>
      </c>
      <c r="J20">
        <v>2.0569999999999999</v>
      </c>
      <c r="K20">
        <v>1.925</v>
      </c>
    </row>
    <row r="21" spans="1:11" x14ac:dyDescent="0.15">
      <c r="A21" t="s">
        <v>77</v>
      </c>
      <c r="D21" s="7"/>
      <c r="E21">
        <v>1.7721</v>
      </c>
      <c r="F21">
        <v>1.4343999999999999</v>
      </c>
      <c r="G21">
        <v>1.87</v>
      </c>
      <c r="H21">
        <v>1.4477</v>
      </c>
      <c r="I21" s="22">
        <v>1.331</v>
      </c>
      <c r="J21">
        <v>1.7929999999999999</v>
      </c>
      <c r="K21">
        <v>1.3859999999999999</v>
      </c>
    </row>
    <row r="22" spans="1:11" x14ac:dyDescent="0.15">
      <c r="A22" t="s">
        <v>78</v>
      </c>
      <c r="D22" s="7"/>
      <c r="E22">
        <v>1.4388000000000001</v>
      </c>
      <c r="F22">
        <v>0</v>
      </c>
      <c r="G22">
        <v>1.3089999999999999</v>
      </c>
      <c r="H22">
        <v>0</v>
      </c>
      <c r="I22" s="22">
        <v>0</v>
      </c>
      <c r="J22">
        <v>0</v>
      </c>
      <c r="K22">
        <v>0</v>
      </c>
    </row>
    <row r="23" spans="1:11" x14ac:dyDescent="0.15">
      <c r="A23" t="s">
        <v>79</v>
      </c>
      <c r="D23" s="7"/>
      <c r="E23">
        <v>1.2562</v>
      </c>
      <c r="F23">
        <v>0</v>
      </c>
      <c r="G23">
        <v>1.26115</v>
      </c>
      <c r="H23">
        <v>0</v>
      </c>
      <c r="I23" s="22">
        <v>0</v>
      </c>
      <c r="J23">
        <v>0</v>
      </c>
      <c r="K23">
        <v>0</v>
      </c>
    </row>
    <row r="24" spans="1:11" x14ac:dyDescent="0.15">
      <c r="A24" t="s">
        <v>80</v>
      </c>
      <c r="D24" s="7"/>
      <c r="E24">
        <v>1.1484000000000001</v>
      </c>
      <c r="F24">
        <v>1.0471999999999999</v>
      </c>
      <c r="G24">
        <v>1.1196900000000001</v>
      </c>
      <c r="H24">
        <v>1.2845</v>
      </c>
      <c r="I24" s="22">
        <v>1.177</v>
      </c>
      <c r="J24">
        <v>1.474</v>
      </c>
      <c r="K24">
        <v>1.056</v>
      </c>
    </row>
    <row r="25" spans="1:11" x14ac:dyDescent="0.15">
      <c r="A25" t="s">
        <v>81</v>
      </c>
      <c r="D25" s="7"/>
      <c r="E25">
        <v>72.072000000000003</v>
      </c>
      <c r="F25">
        <v>73.7</v>
      </c>
      <c r="G25">
        <v>76.614999999999995</v>
      </c>
      <c r="H25">
        <v>69.42</v>
      </c>
      <c r="I25" s="22">
        <v>68.2</v>
      </c>
      <c r="J25">
        <v>71.313000000000002</v>
      </c>
      <c r="K25">
        <v>58.289000000000001</v>
      </c>
    </row>
    <row r="26" spans="1:11" x14ac:dyDescent="0.15">
      <c r="D26" s="7"/>
    </row>
    <row r="27" spans="1:11" x14ac:dyDescent="0.15">
      <c r="D27" s="7"/>
    </row>
    <row r="28" spans="1:11" x14ac:dyDescent="0.15">
      <c r="A28" s="9" t="s">
        <v>1076</v>
      </c>
      <c r="D28" s="7"/>
      <c r="E28" s="10" t="s">
        <v>1044</v>
      </c>
      <c r="F28" s="23" t="s">
        <v>591</v>
      </c>
      <c r="G28" s="23" t="s">
        <v>592</v>
      </c>
      <c r="H28" s="23" t="s">
        <v>546</v>
      </c>
      <c r="I28" s="10" t="s">
        <v>545</v>
      </c>
      <c r="J28" s="10" t="s">
        <v>486</v>
      </c>
      <c r="K28" s="10" t="s">
        <v>487</v>
      </c>
    </row>
    <row r="29" spans="1:11" x14ac:dyDescent="0.15">
      <c r="A29" s="1" t="s">
        <v>63</v>
      </c>
      <c r="D29" s="7"/>
      <c r="E29" s="13">
        <v>0.5</v>
      </c>
      <c r="F29" s="13">
        <v>0.5</v>
      </c>
      <c r="G29" s="13">
        <v>0.5</v>
      </c>
      <c r="H29" s="13">
        <v>0.5</v>
      </c>
      <c r="I29" s="13">
        <v>0.5</v>
      </c>
      <c r="J29" s="13">
        <v>0.5</v>
      </c>
      <c r="K29" s="13">
        <v>0.5</v>
      </c>
    </row>
    <row r="30" spans="1:11" x14ac:dyDescent="0.15">
      <c r="A30" s="1" t="s">
        <v>64</v>
      </c>
      <c r="D30" s="7"/>
      <c r="E30" s="15">
        <v>3</v>
      </c>
      <c r="F30" s="15">
        <v>3</v>
      </c>
      <c r="G30" s="15">
        <v>3</v>
      </c>
      <c r="H30" s="15">
        <v>3</v>
      </c>
      <c r="I30" s="15">
        <v>3</v>
      </c>
      <c r="J30" s="15">
        <v>3</v>
      </c>
      <c r="K30" s="15">
        <v>3</v>
      </c>
    </row>
    <row r="31" spans="1:11" x14ac:dyDescent="0.15">
      <c r="A31" s="1" t="s">
        <v>65</v>
      </c>
      <c r="D31" s="7"/>
      <c r="E31" s="13">
        <v>0.5</v>
      </c>
      <c r="F31" s="13">
        <v>0.5</v>
      </c>
      <c r="G31" s="13">
        <v>0.5</v>
      </c>
      <c r="H31" s="13">
        <v>0.5</v>
      </c>
      <c r="I31" s="13">
        <v>0.5</v>
      </c>
      <c r="J31" s="13">
        <v>0.5</v>
      </c>
      <c r="K31" s="13">
        <v>0.5</v>
      </c>
    </row>
    <row r="32" spans="1:11" x14ac:dyDescent="0.15">
      <c r="A32" s="1" t="s">
        <v>66</v>
      </c>
      <c r="D32" s="7"/>
      <c r="E32" s="15">
        <v>3</v>
      </c>
      <c r="F32" s="15">
        <v>3</v>
      </c>
      <c r="G32" s="15">
        <v>3</v>
      </c>
      <c r="H32" s="15">
        <v>3</v>
      </c>
      <c r="I32" s="15">
        <v>3</v>
      </c>
      <c r="J32" s="15">
        <v>3</v>
      </c>
      <c r="K32" s="15">
        <v>3</v>
      </c>
    </row>
    <row r="33" spans="1:11" x14ac:dyDescent="0.15">
      <c r="A33" t="s">
        <v>67</v>
      </c>
      <c r="D33" s="7"/>
      <c r="E33" s="15">
        <v>3000</v>
      </c>
      <c r="F33" s="15">
        <v>3500</v>
      </c>
      <c r="G33" s="15">
        <v>3000</v>
      </c>
      <c r="H33" s="15">
        <v>3500</v>
      </c>
      <c r="I33" s="15">
        <v>3500</v>
      </c>
      <c r="J33" s="15">
        <v>3000</v>
      </c>
      <c r="K33" s="15">
        <v>3500</v>
      </c>
    </row>
    <row r="34" spans="1:11" x14ac:dyDescent="0.15">
      <c r="A34" t="s">
        <v>68</v>
      </c>
      <c r="D34" s="7"/>
      <c r="E34" s="15">
        <v>6000</v>
      </c>
      <c r="F34" s="15">
        <v>3500</v>
      </c>
      <c r="G34" s="15">
        <v>6000</v>
      </c>
      <c r="H34" s="15">
        <v>3500</v>
      </c>
      <c r="I34" s="15">
        <v>3500</v>
      </c>
      <c r="J34">
        <v>3000</v>
      </c>
      <c r="K34" s="15">
        <v>3500</v>
      </c>
    </row>
    <row r="35" spans="1:11" x14ac:dyDescent="0.15">
      <c r="A35" t="s">
        <v>69</v>
      </c>
      <c r="D35" s="7"/>
      <c r="E35" s="15">
        <v>9000</v>
      </c>
      <c r="F35" s="15">
        <v>3500</v>
      </c>
      <c r="G35" s="15">
        <v>9000</v>
      </c>
      <c r="H35" s="15">
        <v>3500</v>
      </c>
      <c r="I35" s="15">
        <v>3500</v>
      </c>
      <c r="J35" s="15">
        <v>3000</v>
      </c>
      <c r="K35" s="15">
        <v>3500</v>
      </c>
    </row>
    <row r="36" spans="1:11" x14ac:dyDescent="0.15">
      <c r="A36" s="11" t="s">
        <v>70</v>
      </c>
      <c r="B36" s="11"/>
      <c r="C36" s="11"/>
      <c r="D36" s="12"/>
      <c r="E36" s="11">
        <v>15000</v>
      </c>
      <c r="F36" s="11">
        <v>3500</v>
      </c>
      <c r="G36" s="11">
        <v>15000</v>
      </c>
      <c r="H36" s="11">
        <v>3500</v>
      </c>
      <c r="I36" s="11">
        <v>3500</v>
      </c>
      <c r="J36" s="11">
        <v>3000</v>
      </c>
      <c r="K36" s="11">
        <v>3500</v>
      </c>
    </row>
    <row r="37" spans="1:11" x14ac:dyDescent="0.15">
      <c r="A37" t="s">
        <v>71</v>
      </c>
      <c r="D37" s="7"/>
      <c r="E37">
        <v>2.2164999999999999</v>
      </c>
      <c r="F37">
        <v>2.1318000000000001</v>
      </c>
      <c r="G37">
        <v>2.1161799999999999</v>
      </c>
      <c r="H37">
        <v>1.9733000000000001</v>
      </c>
      <c r="I37" s="22">
        <v>1.9349000000000001</v>
      </c>
      <c r="J37">
        <v>2.2109999999999999</v>
      </c>
      <c r="K37">
        <v>1.881</v>
      </c>
    </row>
    <row r="38" spans="1:11" x14ac:dyDescent="0.15">
      <c r="A38" t="s">
        <v>72</v>
      </c>
      <c r="D38" s="7"/>
      <c r="E38">
        <v>1.9305000000000001</v>
      </c>
      <c r="F38">
        <v>0</v>
      </c>
      <c r="G38">
        <v>1.92808</v>
      </c>
      <c r="H38" s="15">
        <v>0</v>
      </c>
      <c r="I38" s="36">
        <v>0</v>
      </c>
      <c r="J38">
        <v>0</v>
      </c>
      <c r="K38">
        <v>0</v>
      </c>
    </row>
    <row r="39" spans="1:11" x14ac:dyDescent="0.15">
      <c r="A39" t="s">
        <v>73</v>
      </c>
      <c r="D39" s="7"/>
      <c r="E39">
        <v>1.5851</v>
      </c>
      <c r="F39">
        <v>0</v>
      </c>
      <c r="G39">
        <v>1.6410899999999999</v>
      </c>
      <c r="H39" s="15">
        <v>0</v>
      </c>
      <c r="I39" s="36">
        <v>0</v>
      </c>
      <c r="J39">
        <v>0</v>
      </c>
      <c r="K39">
        <v>0</v>
      </c>
    </row>
    <row r="40" spans="1:11" x14ac:dyDescent="0.15">
      <c r="A40" t="s">
        <v>74</v>
      </c>
      <c r="D40" s="7"/>
      <c r="E40">
        <v>1.4476</v>
      </c>
      <c r="F40">
        <v>0</v>
      </c>
      <c r="G40">
        <v>1.48126</v>
      </c>
      <c r="H40" s="15">
        <v>0</v>
      </c>
      <c r="I40" s="36">
        <v>0</v>
      </c>
      <c r="J40">
        <v>0</v>
      </c>
      <c r="K40">
        <v>0</v>
      </c>
    </row>
    <row r="41" spans="1:11" x14ac:dyDescent="0.15">
      <c r="A41" t="s">
        <v>75</v>
      </c>
      <c r="D41" s="7"/>
      <c r="E41">
        <v>1.4234</v>
      </c>
      <c r="F41">
        <v>1.6257999999999999</v>
      </c>
      <c r="G41">
        <v>1.4401200000000001</v>
      </c>
      <c r="H41">
        <v>1.6669</v>
      </c>
      <c r="I41" s="22">
        <v>1.6049</v>
      </c>
      <c r="J41">
        <v>1.661</v>
      </c>
      <c r="K41">
        <v>1.54</v>
      </c>
    </row>
    <row r="42" spans="1:11" x14ac:dyDescent="0.15">
      <c r="A42" t="s">
        <v>76</v>
      </c>
      <c r="D42" s="7"/>
      <c r="E42">
        <v>2.0746000000000002</v>
      </c>
      <c r="F42">
        <v>1.9260999999999999</v>
      </c>
      <c r="G42">
        <v>1.83403</v>
      </c>
      <c r="H42">
        <v>1.8344</v>
      </c>
      <c r="I42" s="22">
        <v>1.8249</v>
      </c>
      <c r="J42">
        <v>2.1669999999999998</v>
      </c>
      <c r="K42">
        <v>1.804</v>
      </c>
    </row>
    <row r="43" spans="1:11" x14ac:dyDescent="0.15">
      <c r="A43" t="s">
        <v>77</v>
      </c>
      <c r="D43" s="7"/>
      <c r="E43">
        <v>1.8391999999999999</v>
      </c>
      <c r="F43">
        <v>0</v>
      </c>
      <c r="G43">
        <v>1.61425</v>
      </c>
      <c r="H43" s="15">
        <v>0</v>
      </c>
      <c r="I43" s="36">
        <v>0</v>
      </c>
      <c r="J43">
        <v>0</v>
      </c>
      <c r="K43">
        <v>0</v>
      </c>
    </row>
    <row r="44" spans="1:11" x14ac:dyDescent="0.15">
      <c r="A44" t="s">
        <v>78</v>
      </c>
      <c r="D44" s="7"/>
      <c r="E44">
        <v>1.5345</v>
      </c>
      <c r="F44">
        <v>0</v>
      </c>
      <c r="G44">
        <v>1.41537</v>
      </c>
      <c r="H44" s="15">
        <v>0</v>
      </c>
      <c r="I44" s="36">
        <v>0</v>
      </c>
      <c r="J44">
        <v>0</v>
      </c>
      <c r="K44">
        <v>0</v>
      </c>
    </row>
    <row r="45" spans="1:11" x14ac:dyDescent="0.15">
      <c r="A45" t="s">
        <v>79</v>
      </c>
      <c r="D45" s="7"/>
      <c r="E45">
        <v>1.4079999999999999</v>
      </c>
      <c r="F45">
        <v>0</v>
      </c>
      <c r="G45">
        <v>1.40954</v>
      </c>
      <c r="H45" s="15">
        <v>0</v>
      </c>
      <c r="I45" s="36">
        <v>0</v>
      </c>
      <c r="J45">
        <v>0</v>
      </c>
      <c r="K45">
        <v>0</v>
      </c>
    </row>
    <row r="46" spans="1:11" x14ac:dyDescent="0.15">
      <c r="A46" t="s">
        <v>80</v>
      </c>
      <c r="D46" s="7"/>
      <c r="E46">
        <v>1.3694999999999999</v>
      </c>
      <c r="F46">
        <v>1.3640000000000001</v>
      </c>
      <c r="G46">
        <v>1.2801800000000001</v>
      </c>
      <c r="H46">
        <v>1.5253000000000001</v>
      </c>
      <c r="I46" s="22">
        <v>1.5279</v>
      </c>
      <c r="J46">
        <v>1.573</v>
      </c>
      <c r="K46">
        <v>1.375</v>
      </c>
    </row>
    <row r="47" spans="1:11" x14ac:dyDescent="0.15">
      <c r="A47" t="s">
        <v>81</v>
      </c>
      <c r="D47" s="7"/>
      <c r="E47">
        <v>59.234999999999999</v>
      </c>
      <c r="F47">
        <v>68.2</v>
      </c>
      <c r="G47">
        <v>74.073999999999998</v>
      </c>
      <c r="H47">
        <v>63.66</v>
      </c>
      <c r="I47" s="22">
        <v>68.2</v>
      </c>
      <c r="J47">
        <v>69.575000000000003</v>
      </c>
      <c r="K47">
        <v>57.189</v>
      </c>
    </row>
    <row r="48" spans="1:1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15">
      <c r="A49" s="9" t="s">
        <v>490</v>
      </c>
      <c r="D49" s="7"/>
      <c r="E49" s="10" t="s">
        <v>1044</v>
      </c>
      <c r="F49" s="23" t="s">
        <v>591</v>
      </c>
      <c r="G49" s="23" t="s">
        <v>592</v>
      </c>
      <c r="H49" s="23" t="s">
        <v>595</v>
      </c>
      <c r="I49" s="23" t="s">
        <v>596</v>
      </c>
      <c r="J49" s="10" t="s">
        <v>486</v>
      </c>
      <c r="K49" s="23" t="s">
        <v>487</v>
      </c>
    </row>
    <row r="50" spans="1:11" x14ac:dyDescent="0.15">
      <c r="A50" t="s">
        <v>491</v>
      </c>
      <c r="D50" s="7"/>
      <c r="E50" s="24" t="s">
        <v>492</v>
      </c>
      <c r="F50" s="25" t="s">
        <v>493</v>
      </c>
      <c r="G50" s="25" t="s">
        <v>525</v>
      </c>
      <c r="H50" s="25" t="s">
        <v>494</v>
      </c>
      <c r="I50" s="25" t="s">
        <v>493</v>
      </c>
      <c r="J50" s="25" t="s">
        <v>493</v>
      </c>
      <c r="K50" s="25" t="s">
        <v>493</v>
      </c>
    </row>
    <row r="51" spans="1:11" x14ac:dyDescent="0.15">
      <c r="A51" t="s">
        <v>496</v>
      </c>
      <c r="D51" s="7"/>
      <c r="E51" s="25" t="s">
        <v>498</v>
      </c>
      <c r="F51" s="25" t="s">
        <v>497</v>
      </c>
      <c r="G51" s="25" t="s">
        <v>526</v>
      </c>
      <c r="H51" s="25" t="s">
        <v>498</v>
      </c>
      <c r="I51" s="25" t="s">
        <v>527</v>
      </c>
      <c r="J51" s="25" t="s">
        <v>493</v>
      </c>
      <c r="K51" s="25" t="s">
        <v>493</v>
      </c>
    </row>
    <row r="52" spans="1:11" x14ac:dyDescent="0.15">
      <c r="A52" t="s">
        <v>499</v>
      </c>
      <c r="D52" s="7"/>
      <c r="E52" s="25" t="s">
        <v>528</v>
      </c>
      <c r="F52" s="37" t="s">
        <v>493</v>
      </c>
      <c r="G52" s="37">
        <v>22</v>
      </c>
      <c r="H52" s="37">
        <v>80</v>
      </c>
      <c r="I52" s="37">
        <v>20</v>
      </c>
      <c r="J52" t="s">
        <v>493</v>
      </c>
      <c r="K52" t="s">
        <v>493</v>
      </c>
    </row>
    <row r="53" spans="1:11" x14ac:dyDescent="0.15">
      <c r="A53" t="s">
        <v>501</v>
      </c>
      <c r="D53" s="7"/>
      <c r="E53" s="25" t="s">
        <v>529</v>
      </c>
      <c r="F53" s="24" t="s">
        <v>529</v>
      </c>
      <c r="G53" s="24" t="s">
        <v>510</v>
      </c>
      <c r="H53" s="24" t="s">
        <v>530</v>
      </c>
      <c r="I53" s="24" t="s">
        <v>506</v>
      </c>
      <c r="J53" s="24" t="s">
        <v>531</v>
      </c>
      <c r="K53" s="24" t="s">
        <v>532</v>
      </c>
    </row>
    <row r="54" spans="1:11" x14ac:dyDescent="0.15">
      <c r="A54" t="s">
        <v>442</v>
      </c>
      <c r="D54" s="7"/>
      <c r="E54" s="25" t="s">
        <v>512</v>
      </c>
      <c r="F54" s="25" t="s">
        <v>500</v>
      </c>
      <c r="G54" s="25" t="s">
        <v>494</v>
      </c>
      <c r="H54" s="25" t="s">
        <v>494</v>
      </c>
      <c r="I54" s="25" t="s">
        <v>500</v>
      </c>
      <c r="J54" s="25" t="s">
        <v>493</v>
      </c>
      <c r="K54" s="25" t="s">
        <v>493</v>
      </c>
    </row>
    <row r="55" spans="1:11" x14ac:dyDescent="0.15">
      <c r="A55" s="96"/>
      <c r="B55" s="97"/>
      <c r="C55" s="97"/>
      <c r="D55" s="97"/>
      <c r="E55" s="97"/>
      <c r="F55" s="97"/>
      <c r="G55" s="97"/>
      <c r="H55" s="97"/>
      <c r="I55" s="97"/>
      <c r="J55" s="97"/>
      <c r="K55" s="97"/>
    </row>
  </sheetData>
  <sheetProtection algorithmName="SHA-512" hashValue="UkmEhGsZ2T+9e4qfHO0pwfD4t/yemg17JE0wLy4ICYcPbezIYL9Mn6yTbji1FISi+P8gxcMyJ5ZpdSbfKB9Sfg==" saltValue="zTt17EtsSJPwfhrAzROnxQ==" spinCount="100000" sheet="1" objects="1" scenarios="1"/>
  <phoneticPr fontId="20" type="noConversion"/>
  <pageMargins left="0.75" right="0.75" top="1" bottom="1" header="0.5" footer="0.5"/>
  <legacy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/>
  <dimension ref="A1:K59"/>
  <sheetViews>
    <sheetView workbookViewId="0">
      <selection sqref="A1:K5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9" width="11.6640625" customWidth="1"/>
  </cols>
  <sheetData>
    <row r="1" spans="1:11" x14ac:dyDescent="0.15">
      <c r="A1" t="s">
        <v>722</v>
      </c>
    </row>
    <row r="2" spans="1:11" x14ac:dyDescent="0.15">
      <c r="A2" s="99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1" x14ac:dyDescent="0.15">
      <c r="A3" s="8" t="s">
        <v>82</v>
      </c>
      <c r="D3" s="7"/>
    </row>
    <row r="4" spans="1:11" x14ac:dyDescent="0.15">
      <c r="D4" s="7"/>
      <c r="E4" s="8" t="s">
        <v>92</v>
      </c>
    </row>
    <row r="5" spans="1:11" x14ac:dyDescent="0.15">
      <c r="A5" s="9" t="s">
        <v>83</v>
      </c>
      <c r="D5" s="7"/>
    </row>
    <row r="6" spans="1:11" x14ac:dyDescent="0.15">
      <c r="A6" s="9" t="s">
        <v>1024</v>
      </c>
      <c r="D6" s="7"/>
      <c r="E6" s="10" t="s">
        <v>1044</v>
      </c>
      <c r="F6" s="23" t="s">
        <v>591</v>
      </c>
      <c r="G6" s="23" t="s">
        <v>592</v>
      </c>
      <c r="H6" s="23" t="s">
        <v>595</v>
      </c>
      <c r="I6" s="23" t="s">
        <v>596</v>
      </c>
      <c r="J6" s="10" t="s">
        <v>486</v>
      </c>
      <c r="K6" s="23" t="s">
        <v>487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t="s">
        <v>67</v>
      </c>
      <c r="D11" s="7"/>
      <c r="E11" s="15">
        <v>1644</v>
      </c>
      <c r="F11">
        <v>4000</v>
      </c>
      <c r="G11" s="15">
        <v>6000</v>
      </c>
      <c r="H11">
        <v>4000</v>
      </c>
      <c r="I11">
        <v>3000</v>
      </c>
      <c r="J11" s="15">
        <v>1644</v>
      </c>
      <c r="K11">
        <v>4000</v>
      </c>
    </row>
    <row r="12" spans="1:11" x14ac:dyDescent="0.15">
      <c r="A12" s="11" t="s">
        <v>84</v>
      </c>
      <c r="B12" s="11"/>
      <c r="C12" s="11"/>
      <c r="D12" s="12"/>
      <c r="E12" s="11">
        <v>2958</v>
      </c>
      <c r="F12" s="11">
        <v>12000</v>
      </c>
      <c r="G12" s="11">
        <v>12000</v>
      </c>
      <c r="H12" s="11">
        <v>12000</v>
      </c>
      <c r="I12" s="11">
        <v>3000</v>
      </c>
      <c r="J12" s="11">
        <v>2958</v>
      </c>
      <c r="K12" s="11">
        <v>12000</v>
      </c>
    </row>
    <row r="13" spans="1:11" x14ac:dyDescent="0.15">
      <c r="A13" t="s">
        <v>71</v>
      </c>
      <c r="D13" s="7"/>
      <c r="E13">
        <v>2.1978</v>
      </c>
      <c r="F13">
        <v>1.9601999999999999</v>
      </c>
      <c r="G13">
        <v>2.06569</v>
      </c>
      <c r="H13">
        <v>1.9404999999999999</v>
      </c>
      <c r="I13">
        <v>2.2000000000000002</v>
      </c>
      <c r="J13">
        <v>2.0350000000000001</v>
      </c>
      <c r="K13">
        <v>1.958</v>
      </c>
    </row>
    <row r="14" spans="1:11" x14ac:dyDescent="0.15">
      <c r="A14" t="s">
        <v>72</v>
      </c>
      <c r="D14" s="7"/>
      <c r="E14">
        <v>1.9899</v>
      </c>
      <c r="F14">
        <v>1.8798999999999999</v>
      </c>
      <c r="G14">
        <v>1.8287500000000001</v>
      </c>
      <c r="H14">
        <v>1.7252000000000001</v>
      </c>
      <c r="I14">
        <v>0</v>
      </c>
      <c r="J14">
        <v>2.0350000000000001</v>
      </c>
      <c r="K14">
        <v>1.7929999999999999</v>
      </c>
    </row>
    <row r="15" spans="1:11" x14ac:dyDescent="0.15">
      <c r="A15" t="s">
        <v>75</v>
      </c>
      <c r="D15" s="7"/>
      <c r="E15">
        <v>1.6467000000000001</v>
      </c>
      <c r="F15">
        <v>1.4817</v>
      </c>
      <c r="G15">
        <v>1.5208600000000001</v>
      </c>
      <c r="H15">
        <v>1.5795999999999999</v>
      </c>
      <c r="I15">
        <v>1.54</v>
      </c>
      <c r="J15">
        <v>1.804</v>
      </c>
      <c r="K15">
        <v>1.4630000000000001</v>
      </c>
    </row>
    <row r="16" spans="1:11" x14ac:dyDescent="0.15">
      <c r="A16" t="s">
        <v>76</v>
      </c>
      <c r="D16" s="7"/>
      <c r="E16">
        <v>2.1978</v>
      </c>
      <c r="F16">
        <v>1.9601999999999999</v>
      </c>
      <c r="G16">
        <v>1.94722</v>
      </c>
      <c r="H16">
        <v>1.8657999999999999</v>
      </c>
      <c r="I16">
        <v>2.2000000000000002</v>
      </c>
      <c r="J16">
        <v>2.0350000000000001</v>
      </c>
      <c r="K16">
        <v>1.87</v>
      </c>
    </row>
    <row r="17" spans="1:11" x14ac:dyDescent="0.15">
      <c r="A17" t="s">
        <v>77</v>
      </c>
      <c r="D17" s="7"/>
      <c r="E17">
        <v>1.9899</v>
      </c>
      <c r="F17">
        <v>1.8798999999999999</v>
      </c>
      <c r="G17">
        <v>1.75769</v>
      </c>
      <c r="H17">
        <v>1.6872</v>
      </c>
      <c r="I17">
        <v>0</v>
      </c>
      <c r="J17">
        <v>2.0350000000000001</v>
      </c>
      <c r="K17">
        <v>1.7709999999999999</v>
      </c>
    </row>
    <row r="18" spans="1:11" x14ac:dyDescent="0.15">
      <c r="A18" t="s">
        <v>80</v>
      </c>
      <c r="D18" s="7"/>
      <c r="E18">
        <v>1.6467000000000001</v>
      </c>
      <c r="F18">
        <v>1.4817</v>
      </c>
      <c r="G18">
        <v>1.4734499999999999</v>
      </c>
      <c r="H18">
        <v>1.5379</v>
      </c>
      <c r="I18">
        <v>1.54</v>
      </c>
      <c r="J18">
        <v>1.804</v>
      </c>
      <c r="K18">
        <v>1.43</v>
      </c>
    </row>
    <row r="19" spans="1:11" x14ac:dyDescent="0.15">
      <c r="A19" t="s">
        <v>81</v>
      </c>
      <c r="D19" s="7"/>
      <c r="E19">
        <v>69.838999999999999</v>
      </c>
      <c r="F19">
        <v>68.2</v>
      </c>
      <c r="G19">
        <v>71.236000000000004</v>
      </c>
      <c r="H19">
        <v>68.41</v>
      </c>
      <c r="I19">
        <v>68.2</v>
      </c>
      <c r="J19">
        <v>71.027000000000001</v>
      </c>
      <c r="K19">
        <v>62.645000000000003</v>
      </c>
    </row>
    <row r="20" spans="1:11" x14ac:dyDescent="0.15">
      <c r="D20" s="7"/>
    </row>
    <row r="21" spans="1:11" x14ac:dyDescent="0.15">
      <c r="A21" s="9" t="s">
        <v>85</v>
      </c>
      <c r="D21" s="7"/>
    </row>
    <row r="22" spans="1:11" x14ac:dyDescent="0.15">
      <c r="A22" s="9" t="s">
        <v>488</v>
      </c>
      <c r="D22" s="7"/>
      <c r="E22" s="10" t="s">
        <v>1044</v>
      </c>
      <c r="F22" s="23" t="s">
        <v>591</v>
      </c>
      <c r="G22" s="23" t="s">
        <v>592</v>
      </c>
      <c r="H22" s="23" t="s">
        <v>546</v>
      </c>
      <c r="I22" s="10" t="s">
        <v>545</v>
      </c>
      <c r="J22" s="10" t="s">
        <v>486</v>
      </c>
      <c r="K22" s="10" t="s">
        <v>487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</row>
    <row r="27" spans="1:11" x14ac:dyDescent="0.15">
      <c r="A27" t="s">
        <v>67</v>
      </c>
      <c r="D27" s="7"/>
      <c r="E27" s="15">
        <v>1644</v>
      </c>
      <c r="F27" s="15">
        <v>3200</v>
      </c>
      <c r="G27" s="15">
        <v>6000</v>
      </c>
      <c r="H27" s="15">
        <v>3200</v>
      </c>
      <c r="I27">
        <v>3000</v>
      </c>
      <c r="J27" s="15">
        <v>1644</v>
      </c>
      <c r="K27" s="15">
        <v>3200</v>
      </c>
    </row>
    <row r="28" spans="1:11" x14ac:dyDescent="0.15">
      <c r="A28" s="11" t="s">
        <v>68</v>
      </c>
      <c r="B28" s="11"/>
      <c r="C28" s="11"/>
      <c r="D28" s="12"/>
      <c r="E28" s="11">
        <v>2958</v>
      </c>
      <c r="F28" s="11">
        <v>3200</v>
      </c>
      <c r="G28" s="11">
        <v>12000</v>
      </c>
      <c r="H28" s="11">
        <v>3200</v>
      </c>
      <c r="I28" s="11">
        <v>3000</v>
      </c>
      <c r="J28" s="11">
        <v>1644</v>
      </c>
      <c r="K28" s="11">
        <v>3200</v>
      </c>
    </row>
    <row r="29" spans="1:11" x14ac:dyDescent="0.15">
      <c r="A29" t="s">
        <v>71</v>
      </c>
      <c r="D29" s="7"/>
      <c r="E29">
        <v>2.2759</v>
      </c>
      <c r="F29">
        <v>2.0261999999999998</v>
      </c>
      <c r="G29" s="47">
        <v>1.96515</v>
      </c>
      <c r="H29">
        <v>2.0882000000000001</v>
      </c>
      <c r="I29">
        <v>1.98</v>
      </c>
      <c r="J29">
        <v>2.1230000000000002</v>
      </c>
      <c r="K29">
        <v>1.9359999999999999</v>
      </c>
    </row>
    <row r="30" spans="1:11" x14ac:dyDescent="0.15">
      <c r="A30" t="s">
        <v>72</v>
      </c>
      <c r="D30" s="7"/>
      <c r="E30">
        <v>2.1703000000000001</v>
      </c>
      <c r="F30">
        <v>0</v>
      </c>
      <c r="G30" s="47">
        <v>1.9466699999999999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75</v>
      </c>
      <c r="D31" s="7"/>
      <c r="E31">
        <v>1.4410000000000001</v>
      </c>
      <c r="F31">
        <v>1.6896</v>
      </c>
      <c r="G31" s="47">
        <v>1.7117100000000001</v>
      </c>
      <c r="H31">
        <v>1.7886</v>
      </c>
      <c r="I31">
        <v>1.7050000000000001</v>
      </c>
      <c r="J31">
        <v>1.6719999999999999</v>
      </c>
      <c r="K31">
        <v>1.639</v>
      </c>
    </row>
    <row r="32" spans="1:11" x14ac:dyDescent="0.15">
      <c r="A32" t="s">
        <v>76</v>
      </c>
      <c r="D32" s="7"/>
      <c r="E32">
        <v>2.2759</v>
      </c>
      <c r="F32">
        <v>2.0261999999999998</v>
      </c>
      <c r="G32" s="47">
        <v>1.8739600000000001</v>
      </c>
      <c r="H32">
        <v>2.0247000000000002</v>
      </c>
      <c r="I32">
        <v>1.98</v>
      </c>
      <c r="J32">
        <v>2.1230000000000002</v>
      </c>
      <c r="K32">
        <v>1.7929999999999999</v>
      </c>
    </row>
    <row r="33" spans="1:11" x14ac:dyDescent="0.15">
      <c r="A33" t="s">
        <v>86</v>
      </c>
      <c r="D33" s="7"/>
      <c r="E33">
        <v>2.1703000000000001</v>
      </c>
      <c r="F33">
        <v>0</v>
      </c>
      <c r="G33" s="47">
        <v>1.82138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80</v>
      </c>
      <c r="D34" s="7"/>
      <c r="E34">
        <v>1.4410000000000001</v>
      </c>
      <c r="F34">
        <v>1.6896</v>
      </c>
      <c r="G34" s="47">
        <v>1.5756399999999999</v>
      </c>
      <c r="H34">
        <v>1.7197</v>
      </c>
      <c r="I34">
        <v>1.7050000000000001</v>
      </c>
      <c r="J34">
        <v>1.6719999999999999</v>
      </c>
      <c r="K34">
        <v>1.5509999999999999</v>
      </c>
    </row>
    <row r="35" spans="1:11" x14ac:dyDescent="0.15">
      <c r="A35" t="s">
        <v>81</v>
      </c>
      <c r="D35" s="7"/>
      <c r="E35">
        <v>69.718000000000004</v>
      </c>
      <c r="F35">
        <v>66</v>
      </c>
      <c r="G35" s="47">
        <v>71.412000000000006</v>
      </c>
      <c r="H35">
        <v>67.540000000000006</v>
      </c>
      <c r="I35">
        <v>68.2</v>
      </c>
      <c r="J35">
        <v>70.191000000000003</v>
      </c>
      <c r="K35">
        <v>62.645000000000003</v>
      </c>
    </row>
    <row r="36" spans="1:11" x14ac:dyDescent="0.15">
      <c r="D36" s="7"/>
    </row>
    <row r="37" spans="1:11" x14ac:dyDescent="0.15">
      <c r="A37" s="9" t="s">
        <v>85</v>
      </c>
      <c r="D37" s="7"/>
    </row>
    <row r="38" spans="1:11" x14ac:dyDescent="0.15">
      <c r="A38" s="9" t="s">
        <v>1028</v>
      </c>
      <c r="D38" s="7"/>
      <c r="E38" s="10" t="s">
        <v>1044</v>
      </c>
      <c r="F38" s="23" t="s">
        <v>591</v>
      </c>
      <c r="G38" s="23" t="s">
        <v>592</v>
      </c>
      <c r="H38" s="23" t="s">
        <v>546</v>
      </c>
      <c r="I38" s="10" t="s">
        <v>545</v>
      </c>
      <c r="J38" s="10" t="s">
        <v>486</v>
      </c>
      <c r="K38" s="10" t="s">
        <v>487</v>
      </c>
    </row>
    <row r="39" spans="1:11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</row>
    <row r="40" spans="1:11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</row>
    <row r="41" spans="1:11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</row>
    <row r="42" spans="1:11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</row>
    <row r="43" spans="1:11" x14ac:dyDescent="0.15">
      <c r="A43" t="s">
        <v>67</v>
      </c>
      <c r="D43" s="7"/>
      <c r="E43" s="15">
        <v>1644</v>
      </c>
      <c r="F43">
        <v>4000</v>
      </c>
      <c r="G43" s="15">
        <v>6000</v>
      </c>
      <c r="H43">
        <v>4000</v>
      </c>
      <c r="I43">
        <v>3000</v>
      </c>
      <c r="J43" s="15">
        <v>1644</v>
      </c>
      <c r="K43">
        <v>4000</v>
      </c>
    </row>
    <row r="44" spans="1:11" x14ac:dyDescent="0.15">
      <c r="A44" s="11" t="s">
        <v>84</v>
      </c>
      <c r="B44" s="11"/>
      <c r="C44" s="11"/>
      <c r="D44" s="12"/>
      <c r="E44" s="11">
        <v>2958</v>
      </c>
      <c r="F44" s="11">
        <v>12000</v>
      </c>
      <c r="G44" s="11">
        <v>12000</v>
      </c>
      <c r="H44" s="11">
        <v>12000</v>
      </c>
      <c r="I44" s="11">
        <v>3000</v>
      </c>
      <c r="J44" s="11">
        <v>2958</v>
      </c>
      <c r="K44" s="11">
        <v>12000</v>
      </c>
    </row>
    <row r="45" spans="1:11" x14ac:dyDescent="0.15">
      <c r="A45" t="s">
        <v>71</v>
      </c>
      <c r="D45" s="7"/>
      <c r="E45">
        <v>2.3077999999999999</v>
      </c>
      <c r="F45">
        <v>2.0514999999999999</v>
      </c>
      <c r="G45">
        <v>2.05348</v>
      </c>
      <c r="H45">
        <v>2.0954999999999999</v>
      </c>
      <c r="I45">
        <v>2.09</v>
      </c>
      <c r="J45">
        <v>2.5190000000000001</v>
      </c>
      <c r="K45">
        <v>1.98</v>
      </c>
    </row>
    <row r="46" spans="1:11" x14ac:dyDescent="0.15">
      <c r="A46" t="s">
        <v>72</v>
      </c>
      <c r="D46" s="7"/>
      <c r="E46">
        <v>1.9635</v>
      </c>
      <c r="F46">
        <v>1.8193999999999999</v>
      </c>
      <c r="G46">
        <v>1.76946</v>
      </c>
      <c r="H46">
        <v>1.7544999999999999</v>
      </c>
      <c r="I46">
        <v>0</v>
      </c>
      <c r="J46">
        <v>2.1560000000000001</v>
      </c>
      <c r="K46">
        <v>1.7270000000000001</v>
      </c>
    </row>
    <row r="47" spans="1:11" x14ac:dyDescent="0.15">
      <c r="A47" t="s">
        <v>75</v>
      </c>
      <c r="D47" s="7"/>
      <c r="E47">
        <v>1.5455000000000001</v>
      </c>
      <c r="F47">
        <v>1.5531999999999999</v>
      </c>
      <c r="G47">
        <v>1.60897</v>
      </c>
      <c r="H47">
        <v>1.6685000000000001</v>
      </c>
      <c r="I47">
        <v>1.68</v>
      </c>
      <c r="J47">
        <v>1.694</v>
      </c>
      <c r="K47">
        <v>1.397</v>
      </c>
    </row>
    <row r="48" spans="1:11" x14ac:dyDescent="0.15">
      <c r="A48" t="s">
        <v>76</v>
      </c>
      <c r="D48" s="7"/>
      <c r="E48">
        <v>2.3077999999999999</v>
      </c>
      <c r="F48">
        <v>2.0514999999999999</v>
      </c>
      <c r="G48">
        <v>1.9798899999999999</v>
      </c>
      <c r="H48">
        <v>2.0436000000000001</v>
      </c>
      <c r="I48">
        <v>2.09</v>
      </c>
      <c r="J48">
        <v>2.5190000000000001</v>
      </c>
      <c r="K48">
        <v>1.9139999999999999</v>
      </c>
    </row>
    <row r="49" spans="1:11" x14ac:dyDescent="0.15">
      <c r="A49" t="s">
        <v>77</v>
      </c>
      <c r="D49" s="7"/>
      <c r="E49">
        <v>1.9635</v>
      </c>
      <c r="F49">
        <v>1.8193999999999999</v>
      </c>
      <c r="G49">
        <v>1.7225999999999999</v>
      </c>
      <c r="H49">
        <v>1.7090000000000001</v>
      </c>
      <c r="I49">
        <v>0</v>
      </c>
      <c r="J49">
        <v>2.1560000000000001</v>
      </c>
      <c r="K49">
        <v>1.65</v>
      </c>
    </row>
    <row r="50" spans="1:11" x14ac:dyDescent="0.15">
      <c r="A50" t="s">
        <v>80</v>
      </c>
      <c r="D50" s="7"/>
      <c r="E50">
        <v>1.5455000000000001</v>
      </c>
      <c r="F50">
        <v>1.5531999999999999</v>
      </c>
      <c r="G50">
        <v>1.5051300000000001</v>
      </c>
      <c r="H50">
        <v>1.6316999999999999</v>
      </c>
      <c r="I50">
        <v>1.65</v>
      </c>
      <c r="J50">
        <v>1.694</v>
      </c>
      <c r="K50">
        <v>1.3859999999999999</v>
      </c>
    </row>
    <row r="51" spans="1:11" x14ac:dyDescent="0.15">
      <c r="A51" t="s">
        <v>81</v>
      </c>
      <c r="D51" s="7"/>
      <c r="E51">
        <v>71.665000000000006</v>
      </c>
      <c r="F51">
        <v>66</v>
      </c>
      <c r="G51">
        <v>74.876999999999995</v>
      </c>
      <c r="H51">
        <v>67.540000000000006</v>
      </c>
      <c r="I51">
        <v>68.2</v>
      </c>
      <c r="J51">
        <v>71.027000000000001</v>
      </c>
      <c r="K51">
        <v>62.645000000000003</v>
      </c>
    </row>
    <row r="52" spans="1:11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595</v>
      </c>
      <c r="I53" s="23" t="s">
        <v>596</v>
      </c>
      <c r="J53" s="10" t="s">
        <v>486</v>
      </c>
      <c r="K53" s="23" t="s">
        <v>487</v>
      </c>
    </row>
    <row r="54" spans="1:11" x14ac:dyDescent="0.15">
      <c r="A54" t="s">
        <v>491</v>
      </c>
      <c r="D54" s="7"/>
      <c r="E54" s="24" t="s">
        <v>492</v>
      </c>
      <c r="F54" s="25" t="s">
        <v>493</v>
      </c>
      <c r="G54" s="25" t="s">
        <v>525</v>
      </c>
      <c r="H54" s="25" t="s">
        <v>494</v>
      </c>
      <c r="I54" s="25" t="s">
        <v>493</v>
      </c>
      <c r="J54" s="25" t="s">
        <v>493</v>
      </c>
      <c r="K54" s="25" t="s">
        <v>493</v>
      </c>
    </row>
    <row r="55" spans="1:11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498</v>
      </c>
      <c r="I55" s="25" t="s">
        <v>527</v>
      </c>
      <c r="J55" s="25" t="s">
        <v>493</v>
      </c>
      <c r="K55" s="25" t="s">
        <v>493</v>
      </c>
    </row>
    <row r="56" spans="1:11" x14ac:dyDescent="0.15">
      <c r="A56" t="s">
        <v>499</v>
      </c>
      <c r="D56" s="7"/>
      <c r="E56" s="25" t="s">
        <v>528</v>
      </c>
      <c r="F56" s="37" t="s">
        <v>493</v>
      </c>
      <c r="G56" s="37">
        <v>22</v>
      </c>
      <c r="H56" s="37">
        <v>80</v>
      </c>
      <c r="I56" s="37">
        <v>20</v>
      </c>
      <c r="J56" t="s">
        <v>493</v>
      </c>
      <c r="K56" t="s">
        <v>493</v>
      </c>
    </row>
    <row r="57" spans="1:11" x14ac:dyDescent="0.15">
      <c r="A57" t="s">
        <v>501</v>
      </c>
      <c r="D57" s="7"/>
      <c r="E57" s="25" t="s">
        <v>529</v>
      </c>
      <c r="F57" s="24" t="s">
        <v>529</v>
      </c>
      <c r="G57" s="24" t="s">
        <v>510</v>
      </c>
      <c r="H57" s="24" t="s">
        <v>530</v>
      </c>
      <c r="I57" s="24" t="s">
        <v>506</v>
      </c>
      <c r="J57" s="24" t="s">
        <v>531</v>
      </c>
      <c r="K57" s="24" t="s">
        <v>532</v>
      </c>
    </row>
    <row r="58" spans="1:11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494</v>
      </c>
      <c r="I58" s="25" t="s">
        <v>500</v>
      </c>
      <c r="J58" s="25" t="s">
        <v>493</v>
      </c>
      <c r="K58" s="25" t="s">
        <v>493</v>
      </c>
    </row>
    <row r="59" spans="1:11" x14ac:dyDescent="0.15">
      <c r="A59" s="96"/>
      <c r="B59" s="97"/>
      <c r="C59" s="97"/>
      <c r="D59" s="97"/>
      <c r="E59" s="97"/>
      <c r="F59" s="97"/>
      <c r="G59" s="97"/>
      <c r="H59" s="97"/>
      <c r="I59" s="97"/>
      <c r="J59" s="97"/>
      <c r="K59" s="97"/>
    </row>
  </sheetData>
  <sheetProtection algorithmName="SHA-512" hashValue="LvyvhBeHSgfhisDY8Q9UTGniQgJ/LsDKkVJQ0K+D/kobx2vdEGq6w08IEfjUeThLvNwKHsy0VfqsBsEkfjDfPQ==" saltValue="a9pDwbOjerYaPUerxPsrxQ==" spinCount="100000" sheet="1" objects="1" scenarios="1"/>
  <phoneticPr fontId="20" type="noConversion"/>
  <pageMargins left="0.75" right="0.75" top="1" bottom="1" header="0.5" footer="0.5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/>
  <dimension ref="A1:K59"/>
  <sheetViews>
    <sheetView workbookViewId="0">
      <selection activeCell="M39" sqref="M3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9" width="11.6640625" customWidth="1"/>
    <col min="11" max="11" width="11.33203125" customWidth="1"/>
  </cols>
  <sheetData>
    <row r="1" spans="1:11" x14ac:dyDescent="0.15">
      <c r="A1" t="s">
        <v>722</v>
      </c>
    </row>
    <row r="2" spans="1:11" x14ac:dyDescent="0.15">
      <c r="A2" s="99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1" x14ac:dyDescent="0.15">
      <c r="A3" s="8" t="s">
        <v>87</v>
      </c>
      <c r="D3" s="7"/>
    </row>
    <row r="4" spans="1:11" x14ac:dyDescent="0.15">
      <c r="D4" s="7"/>
      <c r="E4" s="8" t="s">
        <v>92</v>
      </c>
    </row>
    <row r="5" spans="1:11" x14ac:dyDescent="0.15">
      <c r="A5" s="9" t="s">
        <v>88</v>
      </c>
      <c r="D5" s="7"/>
    </row>
    <row r="6" spans="1:11" x14ac:dyDescent="0.15">
      <c r="A6" s="9" t="s">
        <v>1030</v>
      </c>
      <c r="D6" s="7"/>
      <c r="E6" s="10" t="s">
        <v>1044</v>
      </c>
      <c r="F6" s="23" t="s">
        <v>591</v>
      </c>
      <c r="G6" s="23" t="s">
        <v>592</v>
      </c>
      <c r="H6" s="23" t="s">
        <v>595</v>
      </c>
      <c r="I6" s="23" t="s">
        <v>596</v>
      </c>
      <c r="J6" s="10" t="s">
        <v>486</v>
      </c>
      <c r="K6" s="23" t="s">
        <v>487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t="s">
        <v>67</v>
      </c>
      <c r="D11" s="7"/>
      <c r="E11" s="15">
        <v>6000</v>
      </c>
      <c r="F11" s="15">
        <v>3200</v>
      </c>
      <c r="G11" s="15">
        <v>6000</v>
      </c>
      <c r="H11" s="15">
        <v>3200</v>
      </c>
      <c r="I11" s="15">
        <v>3200</v>
      </c>
      <c r="J11" s="15">
        <v>6000</v>
      </c>
      <c r="K11" s="15">
        <v>3200</v>
      </c>
    </row>
    <row r="12" spans="1:11" x14ac:dyDescent="0.15">
      <c r="A12" s="11" t="s">
        <v>68</v>
      </c>
      <c r="B12" s="11"/>
      <c r="C12" s="11"/>
      <c r="D12" s="12"/>
      <c r="E12" s="11">
        <v>12000</v>
      </c>
      <c r="F12" s="11">
        <v>3200</v>
      </c>
      <c r="G12" s="11">
        <v>12000</v>
      </c>
      <c r="H12" s="11">
        <v>3200</v>
      </c>
      <c r="I12" s="11">
        <v>3200</v>
      </c>
      <c r="J12" s="11">
        <v>6000</v>
      </c>
      <c r="K12" s="11">
        <v>3200</v>
      </c>
    </row>
    <row r="13" spans="1:11" x14ac:dyDescent="0.15">
      <c r="A13" t="s">
        <v>71</v>
      </c>
      <c r="D13" s="7"/>
      <c r="E13">
        <v>1.9096</v>
      </c>
      <c r="F13">
        <v>2.1417000000000002</v>
      </c>
      <c r="G13" s="47">
        <v>2.1779999999999999</v>
      </c>
      <c r="H13">
        <v>1.7636000000000001</v>
      </c>
      <c r="I13">
        <v>2.1758000000000002</v>
      </c>
      <c r="J13">
        <v>2.1230000000000002</v>
      </c>
      <c r="K13">
        <v>2.0019999999999998</v>
      </c>
    </row>
    <row r="14" spans="1:11" x14ac:dyDescent="0.15">
      <c r="A14" t="s">
        <v>72</v>
      </c>
      <c r="D14" s="7"/>
      <c r="E14">
        <v>1.782</v>
      </c>
      <c r="F14">
        <v>0</v>
      </c>
      <c r="G14" s="47">
        <v>1.9569000000000001</v>
      </c>
      <c r="H14">
        <v>0</v>
      </c>
      <c r="I14">
        <v>0</v>
      </c>
      <c r="J14">
        <v>0</v>
      </c>
      <c r="K14">
        <v>0</v>
      </c>
    </row>
    <row r="15" spans="1:11" x14ac:dyDescent="0.15">
      <c r="A15" t="s">
        <v>75</v>
      </c>
      <c r="D15" s="7"/>
      <c r="E15">
        <v>1.4178999999999999</v>
      </c>
      <c r="F15">
        <v>1.8391999999999999</v>
      </c>
      <c r="G15" s="47">
        <v>1.7457</v>
      </c>
      <c r="H15">
        <v>1.7342</v>
      </c>
      <c r="I15">
        <v>1.7633000000000001</v>
      </c>
      <c r="J15">
        <v>1.903</v>
      </c>
      <c r="K15">
        <v>1.7929999999999999</v>
      </c>
    </row>
    <row r="16" spans="1:11" x14ac:dyDescent="0.15">
      <c r="A16" t="s">
        <v>76</v>
      </c>
      <c r="D16" s="7"/>
      <c r="E16">
        <v>1.7985</v>
      </c>
      <c r="F16">
        <v>1.6642999999999999</v>
      </c>
      <c r="G16" s="47">
        <v>1.804</v>
      </c>
      <c r="H16">
        <v>1.5225</v>
      </c>
      <c r="I16">
        <v>1.9282999999999999</v>
      </c>
      <c r="J16">
        <v>1.881</v>
      </c>
      <c r="K16">
        <v>1.7709999999999999</v>
      </c>
    </row>
    <row r="17" spans="1:11" x14ac:dyDescent="0.15">
      <c r="A17" t="s">
        <v>86</v>
      </c>
      <c r="D17" s="7"/>
      <c r="E17">
        <v>1.4509000000000001</v>
      </c>
      <c r="F17">
        <v>0</v>
      </c>
      <c r="G17" s="47">
        <v>1.6060000000000001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80</v>
      </c>
      <c r="D18" s="7"/>
      <c r="E18">
        <v>1.3474999999999999</v>
      </c>
      <c r="F18">
        <v>1.4509000000000001</v>
      </c>
      <c r="G18" s="47">
        <v>1.49061</v>
      </c>
      <c r="H18">
        <v>1.4307000000000001</v>
      </c>
      <c r="I18">
        <v>1.6553</v>
      </c>
      <c r="J18">
        <v>1.573</v>
      </c>
      <c r="K18">
        <v>1.496</v>
      </c>
    </row>
    <row r="19" spans="1:11" x14ac:dyDescent="0.15">
      <c r="A19" t="s">
        <v>81</v>
      </c>
      <c r="D19" s="7"/>
      <c r="E19">
        <v>67.144000000000005</v>
      </c>
      <c r="F19">
        <v>73.072999999999993</v>
      </c>
      <c r="G19" s="47">
        <v>70.180000000000007</v>
      </c>
      <c r="H19">
        <v>69.78</v>
      </c>
      <c r="I19">
        <v>68.2</v>
      </c>
      <c r="J19">
        <v>67.528999999999996</v>
      </c>
      <c r="K19">
        <v>59.383000000000003</v>
      </c>
    </row>
    <row r="20" spans="1:11" x14ac:dyDescent="0.15">
      <c r="D20" s="7"/>
    </row>
    <row r="21" spans="1:11" x14ac:dyDescent="0.15">
      <c r="A21" s="9" t="s">
        <v>89</v>
      </c>
      <c r="D21" s="7"/>
    </row>
    <row r="22" spans="1:11" x14ac:dyDescent="0.15">
      <c r="A22" s="9" t="s">
        <v>1032</v>
      </c>
      <c r="D22" s="7"/>
      <c r="E22" s="10" t="s">
        <v>1044</v>
      </c>
      <c r="F22" s="23" t="s">
        <v>591</v>
      </c>
      <c r="G22" s="23" t="s">
        <v>592</v>
      </c>
      <c r="H22" s="23" t="s">
        <v>546</v>
      </c>
      <c r="I22" s="10" t="s">
        <v>545</v>
      </c>
      <c r="J22" s="10" t="s">
        <v>486</v>
      </c>
      <c r="K22" s="10" t="s">
        <v>487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</row>
    <row r="27" spans="1:11" x14ac:dyDescent="0.15">
      <c r="A27" t="s">
        <v>67</v>
      </c>
      <c r="D27" s="7"/>
      <c r="E27" s="15">
        <v>6000</v>
      </c>
      <c r="F27" s="15">
        <v>3200</v>
      </c>
      <c r="G27" s="15">
        <v>6000</v>
      </c>
      <c r="H27" s="15">
        <v>3500</v>
      </c>
      <c r="I27" s="15">
        <v>3500</v>
      </c>
      <c r="J27" s="15">
        <v>6000</v>
      </c>
      <c r="K27" s="15">
        <v>3500</v>
      </c>
    </row>
    <row r="28" spans="1:11" x14ac:dyDescent="0.15">
      <c r="A28" s="11" t="s">
        <v>68</v>
      </c>
      <c r="B28" s="11"/>
      <c r="C28" s="11"/>
      <c r="D28" s="12"/>
      <c r="E28" s="11">
        <v>12000</v>
      </c>
      <c r="F28" s="11">
        <v>3200</v>
      </c>
      <c r="G28" s="11">
        <v>12000</v>
      </c>
      <c r="H28" s="11">
        <v>3500</v>
      </c>
      <c r="I28" s="11">
        <v>3500</v>
      </c>
      <c r="J28" s="11">
        <v>6000</v>
      </c>
      <c r="K28" s="11">
        <v>3500</v>
      </c>
    </row>
    <row r="29" spans="1:11" x14ac:dyDescent="0.15">
      <c r="A29" t="s">
        <v>71</v>
      </c>
      <c r="D29" s="7"/>
      <c r="E29">
        <v>2.1274000000000002</v>
      </c>
      <c r="F29">
        <v>2.4573999999999998</v>
      </c>
      <c r="G29">
        <v>2.0680000000000001</v>
      </c>
      <c r="H29">
        <v>1.9796</v>
      </c>
      <c r="I29">
        <v>2.0998999999999999</v>
      </c>
      <c r="J29">
        <v>2.3319999999999999</v>
      </c>
      <c r="K29">
        <v>2.09</v>
      </c>
    </row>
    <row r="30" spans="1:11" x14ac:dyDescent="0.15">
      <c r="A30" t="s">
        <v>72</v>
      </c>
      <c r="D30" s="7"/>
      <c r="E30">
        <v>1.7556</v>
      </c>
      <c r="F30">
        <v>0</v>
      </c>
      <c r="G30">
        <v>2.0019999999999998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75</v>
      </c>
      <c r="D31" s="7"/>
      <c r="E31">
        <v>1.5939000000000001</v>
      </c>
      <c r="F31">
        <v>1.8677999999999999</v>
      </c>
      <c r="G31">
        <v>1.8975</v>
      </c>
      <c r="H31">
        <v>1.946</v>
      </c>
      <c r="I31">
        <v>1.7556</v>
      </c>
      <c r="J31">
        <v>1.8260000000000001</v>
      </c>
      <c r="K31">
        <v>1.7929999999999999</v>
      </c>
    </row>
    <row r="32" spans="1:11" x14ac:dyDescent="0.15">
      <c r="A32" t="s">
        <v>76</v>
      </c>
      <c r="D32" s="7"/>
      <c r="E32">
        <v>1.8875999999999999</v>
      </c>
      <c r="F32">
        <v>1.9778</v>
      </c>
      <c r="G32">
        <v>1.8480000000000001</v>
      </c>
      <c r="H32">
        <v>1.7056</v>
      </c>
      <c r="I32">
        <v>1.9964999999999999</v>
      </c>
      <c r="J32">
        <v>2.222</v>
      </c>
      <c r="K32">
        <v>1.7929999999999999</v>
      </c>
    </row>
    <row r="33" spans="1:11" x14ac:dyDescent="0.15">
      <c r="A33" t="s">
        <v>86</v>
      </c>
      <c r="D33" s="7"/>
      <c r="E33">
        <v>1.5894999999999999</v>
      </c>
      <c r="F33">
        <v>0</v>
      </c>
      <c r="G33">
        <v>1.7050000000000001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80</v>
      </c>
      <c r="D34" s="7"/>
      <c r="E34">
        <v>1.5069999999999999</v>
      </c>
      <c r="F34">
        <v>1.5686</v>
      </c>
      <c r="G34">
        <v>1.5164599999999999</v>
      </c>
      <c r="H34">
        <v>1.5246999999999999</v>
      </c>
      <c r="I34">
        <v>1.5289999999999999</v>
      </c>
      <c r="J34">
        <v>1.7050000000000001</v>
      </c>
      <c r="K34">
        <v>1.6279999999999999</v>
      </c>
    </row>
    <row r="35" spans="1:11" x14ac:dyDescent="0.15">
      <c r="A35" t="s">
        <v>81</v>
      </c>
      <c r="D35" s="7"/>
      <c r="E35">
        <v>66.835999999999999</v>
      </c>
      <c r="F35">
        <v>71.5</v>
      </c>
      <c r="G35">
        <v>70.234999999999999</v>
      </c>
      <c r="H35">
        <v>67.88</v>
      </c>
      <c r="I35">
        <v>68.2</v>
      </c>
      <c r="J35">
        <v>68.870999999999995</v>
      </c>
      <c r="K35">
        <v>57.189</v>
      </c>
    </row>
    <row r="36" spans="1:11" x14ac:dyDescent="0.15">
      <c r="D36" s="7"/>
    </row>
    <row r="37" spans="1:11" x14ac:dyDescent="0.15">
      <c r="A37" s="9" t="s">
        <v>89</v>
      </c>
      <c r="D37" s="7"/>
    </row>
    <row r="38" spans="1:11" x14ac:dyDescent="0.15">
      <c r="A38" s="9" t="s">
        <v>1034</v>
      </c>
      <c r="D38" s="7"/>
      <c r="E38" s="10" t="s">
        <v>1044</v>
      </c>
      <c r="F38" s="23" t="s">
        <v>591</v>
      </c>
      <c r="G38" s="23" t="s">
        <v>592</v>
      </c>
      <c r="H38" s="23" t="s">
        <v>546</v>
      </c>
      <c r="I38" s="10" t="s">
        <v>545</v>
      </c>
      <c r="J38" s="10" t="s">
        <v>486</v>
      </c>
      <c r="K38" s="10" t="s">
        <v>487</v>
      </c>
    </row>
    <row r="39" spans="1:11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</row>
    <row r="40" spans="1:11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</row>
    <row r="41" spans="1:11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</row>
    <row r="42" spans="1:11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</row>
    <row r="43" spans="1:11" x14ac:dyDescent="0.15">
      <c r="A43" t="s">
        <v>67</v>
      </c>
      <c r="D43" s="7"/>
      <c r="E43" s="15">
        <v>6000</v>
      </c>
      <c r="F43" s="15">
        <v>3200</v>
      </c>
      <c r="G43" s="15">
        <v>6000</v>
      </c>
      <c r="H43" s="15">
        <v>3200</v>
      </c>
      <c r="I43" s="15">
        <v>3200</v>
      </c>
      <c r="J43" s="15">
        <v>6000</v>
      </c>
      <c r="K43" s="15">
        <v>3200</v>
      </c>
    </row>
    <row r="44" spans="1:11" x14ac:dyDescent="0.15">
      <c r="A44" s="11" t="s">
        <v>68</v>
      </c>
      <c r="B44" s="11"/>
      <c r="C44" s="11"/>
      <c r="D44" s="12"/>
      <c r="E44" s="11">
        <v>12000</v>
      </c>
      <c r="F44" s="11">
        <v>3200</v>
      </c>
      <c r="G44" s="11">
        <v>12000</v>
      </c>
      <c r="H44" s="11">
        <v>3200</v>
      </c>
      <c r="I44" s="11">
        <v>3200</v>
      </c>
      <c r="J44" s="11">
        <v>6000</v>
      </c>
      <c r="K44" s="11">
        <v>3200</v>
      </c>
    </row>
    <row r="45" spans="1:11" x14ac:dyDescent="0.15">
      <c r="A45" t="s">
        <v>71</v>
      </c>
      <c r="D45" s="7"/>
      <c r="E45">
        <v>2.1867999999999999</v>
      </c>
      <c r="F45">
        <v>2.4573999999999998</v>
      </c>
      <c r="G45" s="47">
        <v>2.431</v>
      </c>
      <c r="H45">
        <v>2.0110999999999999</v>
      </c>
      <c r="I45">
        <v>2.1593</v>
      </c>
      <c r="J45">
        <v>2.3220000000000001</v>
      </c>
      <c r="K45">
        <v>2.2000000000000002</v>
      </c>
    </row>
    <row r="46" spans="1:11" x14ac:dyDescent="0.15">
      <c r="A46" t="s">
        <v>72</v>
      </c>
      <c r="D46" s="7"/>
      <c r="E46">
        <v>1.6291</v>
      </c>
      <c r="F46">
        <v>0</v>
      </c>
      <c r="G46" s="47">
        <v>2.1065</v>
      </c>
      <c r="H46">
        <v>0</v>
      </c>
      <c r="I46">
        <v>0</v>
      </c>
      <c r="J46">
        <v>0</v>
      </c>
      <c r="K46">
        <v>0</v>
      </c>
    </row>
    <row r="47" spans="1:11" x14ac:dyDescent="0.15">
      <c r="A47" t="s">
        <v>75</v>
      </c>
      <c r="D47" s="7"/>
      <c r="E47">
        <v>1.3375999999999999</v>
      </c>
      <c r="F47">
        <v>1.8677999999999999</v>
      </c>
      <c r="G47" s="47">
        <v>1.62327</v>
      </c>
      <c r="H47">
        <v>1.8725000000000001</v>
      </c>
      <c r="I47">
        <v>1.8238000000000001</v>
      </c>
      <c r="J47">
        <v>1.859</v>
      </c>
      <c r="K47">
        <v>1.782</v>
      </c>
    </row>
    <row r="48" spans="1:11" x14ac:dyDescent="0.15">
      <c r="A48" t="s">
        <v>76</v>
      </c>
      <c r="D48" s="7"/>
      <c r="E48">
        <v>2.0207000000000002</v>
      </c>
      <c r="F48">
        <v>1.9778</v>
      </c>
      <c r="G48" s="47">
        <v>1.958</v>
      </c>
      <c r="H48">
        <v>1.7718</v>
      </c>
      <c r="I48">
        <v>2.0053000000000001</v>
      </c>
      <c r="J48">
        <v>2.1120000000000001</v>
      </c>
      <c r="K48">
        <v>1.9359999999999999</v>
      </c>
    </row>
    <row r="49" spans="1:11" x14ac:dyDescent="0.15">
      <c r="A49" t="s">
        <v>86</v>
      </c>
      <c r="D49" s="7"/>
      <c r="E49">
        <v>1.4442999999999999</v>
      </c>
      <c r="F49">
        <v>0</v>
      </c>
      <c r="G49" s="47">
        <v>1.9139999999999999</v>
      </c>
      <c r="H49">
        <v>0</v>
      </c>
      <c r="I49">
        <v>0</v>
      </c>
      <c r="J49">
        <v>0</v>
      </c>
      <c r="K49">
        <v>0</v>
      </c>
    </row>
    <row r="50" spans="1:11" x14ac:dyDescent="0.15">
      <c r="A50" t="s">
        <v>80</v>
      </c>
      <c r="D50" s="7"/>
      <c r="E50">
        <v>1.2947</v>
      </c>
      <c r="F50">
        <v>1.5686</v>
      </c>
      <c r="G50" s="47">
        <v>1.4943500000000001</v>
      </c>
      <c r="H50">
        <v>1.4984</v>
      </c>
      <c r="I50">
        <v>1.5818000000000001</v>
      </c>
      <c r="J50">
        <v>1.7050000000000001</v>
      </c>
      <c r="K50">
        <v>1.661</v>
      </c>
    </row>
    <row r="51" spans="1:11" x14ac:dyDescent="0.15">
      <c r="A51" t="s">
        <v>81</v>
      </c>
      <c r="D51" s="7"/>
      <c r="E51">
        <v>69.08</v>
      </c>
      <c r="F51">
        <v>71.5</v>
      </c>
      <c r="G51" s="47">
        <v>72.599999999999994</v>
      </c>
      <c r="H51">
        <v>70.61</v>
      </c>
      <c r="I51">
        <v>68.2</v>
      </c>
      <c r="J51">
        <v>68.123000000000005</v>
      </c>
      <c r="K51">
        <v>58.289000000000001</v>
      </c>
    </row>
    <row r="52" spans="1:11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595</v>
      </c>
      <c r="I53" s="23" t="s">
        <v>596</v>
      </c>
      <c r="J53" s="10" t="s">
        <v>486</v>
      </c>
      <c r="K53" s="23" t="s">
        <v>487</v>
      </c>
    </row>
    <row r="54" spans="1:11" x14ac:dyDescent="0.15">
      <c r="A54" t="s">
        <v>491</v>
      </c>
      <c r="D54" s="7"/>
      <c r="E54" s="24" t="s">
        <v>492</v>
      </c>
      <c r="F54" s="25" t="s">
        <v>493</v>
      </c>
      <c r="G54" s="25" t="s">
        <v>525</v>
      </c>
      <c r="H54" s="25" t="s">
        <v>494</v>
      </c>
      <c r="I54" s="25" t="s">
        <v>493</v>
      </c>
      <c r="J54" s="25" t="s">
        <v>493</v>
      </c>
      <c r="K54" s="25" t="s">
        <v>493</v>
      </c>
    </row>
    <row r="55" spans="1:11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498</v>
      </c>
      <c r="I55" s="25" t="s">
        <v>527</v>
      </c>
      <c r="J55" s="25" t="s">
        <v>493</v>
      </c>
      <c r="K55" s="25" t="s">
        <v>493</v>
      </c>
    </row>
    <row r="56" spans="1:11" x14ac:dyDescent="0.15">
      <c r="A56" t="s">
        <v>499</v>
      </c>
      <c r="D56" s="7"/>
      <c r="E56" s="25" t="s">
        <v>528</v>
      </c>
      <c r="F56" s="37" t="s">
        <v>493</v>
      </c>
      <c r="G56" s="37">
        <v>22</v>
      </c>
      <c r="H56" s="37">
        <v>80</v>
      </c>
      <c r="I56" s="37">
        <v>20</v>
      </c>
      <c r="J56" t="s">
        <v>493</v>
      </c>
      <c r="K56" t="s">
        <v>493</v>
      </c>
    </row>
    <row r="57" spans="1:11" x14ac:dyDescent="0.15">
      <c r="A57" t="s">
        <v>501</v>
      </c>
      <c r="D57" s="7"/>
      <c r="E57" s="25" t="s">
        <v>529</v>
      </c>
      <c r="F57" s="24" t="s">
        <v>529</v>
      </c>
      <c r="G57" s="24" t="s">
        <v>510</v>
      </c>
      <c r="H57" s="24" t="s">
        <v>530</v>
      </c>
      <c r="I57" s="24" t="s">
        <v>506</v>
      </c>
      <c r="J57" s="24" t="s">
        <v>531</v>
      </c>
      <c r="K57" s="24" t="s">
        <v>532</v>
      </c>
    </row>
    <row r="58" spans="1:11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494</v>
      </c>
      <c r="I58" s="25" t="s">
        <v>500</v>
      </c>
      <c r="J58" s="25" t="s">
        <v>493</v>
      </c>
      <c r="K58" s="25" t="s">
        <v>493</v>
      </c>
    </row>
    <row r="59" spans="1:11" x14ac:dyDescent="0.15">
      <c r="A59" s="96"/>
      <c r="B59" s="97"/>
      <c r="C59" s="97"/>
      <c r="D59" s="97"/>
      <c r="E59" s="97"/>
      <c r="F59" s="97"/>
      <c r="G59" s="97"/>
      <c r="H59" s="97"/>
      <c r="I59" s="97"/>
      <c r="J59" s="97"/>
      <c r="K59" s="97"/>
    </row>
  </sheetData>
  <sheetProtection algorithmName="SHA-512" hashValue="2np9xOQI6K0ivNwBGKfWPidXwMACd4qsfu2vprs68qvbatGFhGGPc220NN0uBCz4wawVCand1yq5ETfMbQ60GQ==" saltValue="+BgRaRDGB+naDSNkQQfFh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L55"/>
  <sheetViews>
    <sheetView topLeftCell="A4" workbookViewId="0">
      <selection activeCell="M36" sqref="M36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2" x14ac:dyDescent="0.15">
      <c r="A1" t="s">
        <v>722</v>
      </c>
    </row>
    <row r="2" spans="1:12" x14ac:dyDescent="0.15">
      <c r="A2" s="92"/>
      <c r="B2" s="93"/>
      <c r="C2" s="93"/>
      <c r="D2" s="93"/>
      <c r="E2" s="93"/>
      <c r="F2" s="93"/>
      <c r="G2" s="93"/>
      <c r="H2" s="93"/>
      <c r="I2" s="93"/>
      <c r="J2" s="93"/>
      <c r="K2" s="94"/>
      <c r="L2" s="94"/>
    </row>
    <row r="3" spans="1:12" x14ac:dyDescent="0.15">
      <c r="A3" s="4" t="s">
        <v>61</v>
      </c>
      <c r="B3" s="5"/>
      <c r="C3" s="5"/>
      <c r="D3" s="6"/>
      <c r="E3" s="5"/>
      <c r="F3" s="5"/>
      <c r="G3" s="5"/>
      <c r="H3" s="5"/>
      <c r="I3" s="5"/>
      <c r="J3" s="5"/>
    </row>
    <row r="4" spans="1:12" x14ac:dyDescent="0.15">
      <c r="D4" s="7"/>
      <c r="E4" s="8" t="s">
        <v>93</v>
      </c>
    </row>
    <row r="5" spans="1:12" x14ac:dyDescent="0.15">
      <c r="D5" s="7"/>
    </row>
    <row r="6" spans="1:12" x14ac:dyDescent="0.15">
      <c r="A6" s="9" t="s">
        <v>1074</v>
      </c>
      <c r="D6" s="7"/>
      <c r="E6" s="10" t="s">
        <v>1044</v>
      </c>
      <c r="F6" s="23" t="s">
        <v>591</v>
      </c>
      <c r="G6" s="23" t="s">
        <v>592</v>
      </c>
      <c r="H6" s="23" t="s">
        <v>615</v>
      </c>
      <c r="I6" s="23" t="s">
        <v>595</v>
      </c>
      <c r="J6" s="23" t="s">
        <v>596</v>
      </c>
      <c r="K6" s="10" t="s">
        <v>486</v>
      </c>
      <c r="L6" s="23" t="s">
        <v>487</v>
      </c>
    </row>
    <row r="7" spans="1:12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  <c r="K7" s="13">
        <v>0.5</v>
      </c>
      <c r="L7" s="13">
        <v>0.5</v>
      </c>
    </row>
    <row r="8" spans="1:12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  <c r="K8" s="15">
        <v>3</v>
      </c>
      <c r="L8" s="15">
        <v>3</v>
      </c>
    </row>
    <row r="9" spans="1:12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  <c r="K9" s="13">
        <v>0.5</v>
      </c>
      <c r="L9" s="13">
        <v>0.5</v>
      </c>
    </row>
    <row r="10" spans="1:12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  <c r="K10" s="15">
        <v>3</v>
      </c>
      <c r="L10" s="15">
        <v>3</v>
      </c>
    </row>
    <row r="11" spans="1:12" x14ac:dyDescent="0.15">
      <c r="A11" t="s">
        <v>67</v>
      </c>
      <c r="D11" s="7"/>
      <c r="E11" s="15">
        <v>3000</v>
      </c>
      <c r="F11">
        <v>6000</v>
      </c>
      <c r="G11" s="15">
        <v>3000</v>
      </c>
      <c r="H11" s="15">
        <v>6000</v>
      </c>
      <c r="I11" s="15">
        <v>6000</v>
      </c>
      <c r="J11" s="15">
        <v>6000</v>
      </c>
      <c r="K11" s="15">
        <v>3000</v>
      </c>
      <c r="L11" s="15">
        <v>6000</v>
      </c>
    </row>
    <row r="12" spans="1:12" x14ac:dyDescent="0.15">
      <c r="A12" t="s">
        <v>68</v>
      </c>
      <c r="D12" s="7"/>
      <c r="E12">
        <v>6000</v>
      </c>
      <c r="F12">
        <v>9000</v>
      </c>
      <c r="G12" s="15">
        <v>6000</v>
      </c>
      <c r="H12">
        <v>9000</v>
      </c>
      <c r="I12">
        <v>9000</v>
      </c>
      <c r="J12">
        <v>9000</v>
      </c>
      <c r="K12">
        <v>6000</v>
      </c>
      <c r="L12">
        <v>9000</v>
      </c>
    </row>
    <row r="13" spans="1:12" x14ac:dyDescent="0.15">
      <c r="A13" t="s">
        <v>69</v>
      </c>
      <c r="D13" s="7"/>
      <c r="E13">
        <v>9000</v>
      </c>
      <c r="F13" s="15">
        <v>9000</v>
      </c>
      <c r="G13" s="15">
        <v>9000</v>
      </c>
      <c r="H13" s="15">
        <v>9000</v>
      </c>
      <c r="I13" s="15">
        <v>9000</v>
      </c>
      <c r="J13" s="15">
        <v>9000</v>
      </c>
      <c r="K13" s="15">
        <v>6000</v>
      </c>
      <c r="L13" s="15">
        <v>9000</v>
      </c>
    </row>
    <row r="14" spans="1:12" x14ac:dyDescent="0.15">
      <c r="A14" s="11" t="s">
        <v>70</v>
      </c>
      <c r="B14" s="11"/>
      <c r="C14" s="11"/>
      <c r="D14" s="12"/>
      <c r="E14" s="11">
        <v>15000</v>
      </c>
      <c r="F14" s="11">
        <v>9000</v>
      </c>
      <c r="G14" s="11">
        <v>15000</v>
      </c>
      <c r="H14" s="11">
        <v>9000</v>
      </c>
      <c r="I14" s="11">
        <v>9000</v>
      </c>
      <c r="J14" s="11">
        <v>9000</v>
      </c>
      <c r="K14" s="11">
        <v>6000</v>
      </c>
      <c r="L14" s="11">
        <v>9000</v>
      </c>
    </row>
    <row r="15" spans="1:12" x14ac:dyDescent="0.15">
      <c r="A15" t="s">
        <v>71</v>
      </c>
      <c r="D15" s="7"/>
      <c r="E15">
        <v>2.1791</v>
      </c>
      <c r="F15">
        <v>2.2080000000000002</v>
      </c>
      <c r="G15">
        <v>2.17998</v>
      </c>
      <c r="H15">
        <v>2.343</v>
      </c>
      <c r="I15">
        <v>2.0901000000000001</v>
      </c>
      <c r="J15" s="22">
        <v>2.1120000000000001</v>
      </c>
      <c r="K15">
        <v>2.101</v>
      </c>
      <c r="L15">
        <v>2.1230000000000002</v>
      </c>
    </row>
    <row r="16" spans="1:12" x14ac:dyDescent="0.15">
      <c r="A16" t="s">
        <v>72</v>
      </c>
      <c r="D16" s="7"/>
      <c r="E16">
        <v>1.8996999999999999</v>
      </c>
      <c r="F16">
        <v>1.7556</v>
      </c>
      <c r="G16">
        <v>1.96977</v>
      </c>
      <c r="H16">
        <v>1.7050000000000001</v>
      </c>
      <c r="I16">
        <v>1.6785000000000001</v>
      </c>
      <c r="J16" s="22">
        <v>1.782</v>
      </c>
      <c r="K16">
        <v>1.837</v>
      </c>
      <c r="L16">
        <v>1.595</v>
      </c>
    </row>
    <row r="17" spans="1:12" x14ac:dyDescent="0.15">
      <c r="A17" t="s">
        <v>73</v>
      </c>
      <c r="D17" s="7"/>
      <c r="E17">
        <v>1.5213000000000001</v>
      </c>
      <c r="F17">
        <v>0</v>
      </c>
      <c r="G17">
        <v>1.5603499999999999</v>
      </c>
      <c r="H17">
        <v>0</v>
      </c>
      <c r="I17">
        <v>0</v>
      </c>
      <c r="J17" s="22">
        <v>0</v>
      </c>
      <c r="K17">
        <v>0</v>
      </c>
      <c r="L17">
        <v>0</v>
      </c>
    </row>
    <row r="18" spans="1:12" x14ac:dyDescent="0.15">
      <c r="A18" t="s">
        <v>74</v>
      </c>
      <c r="D18" s="7"/>
      <c r="E18">
        <v>1.3222</v>
      </c>
      <c r="F18">
        <v>0</v>
      </c>
      <c r="G18">
        <v>1.43858</v>
      </c>
      <c r="H18">
        <v>0</v>
      </c>
      <c r="I18">
        <v>0</v>
      </c>
      <c r="J18" s="22">
        <v>0</v>
      </c>
      <c r="K18">
        <v>0</v>
      </c>
      <c r="L18">
        <v>0</v>
      </c>
    </row>
    <row r="19" spans="1:12" x14ac:dyDescent="0.15">
      <c r="A19" t="s">
        <v>75</v>
      </c>
      <c r="D19" s="7"/>
      <c r="E19">
        <v>1.2342</v>
      </c>
      <c r="F19">
        <v>1.2000999999999999</v>
      </c>
      <c r="G19">
        <v>1.2725900000000001</v>
      </c>
      <c r="H19">
        <v>1.1659999999999999</v>
      </c>
      <c r="I19">
        <v>1.4957</v>
      </c>
      <c r="J19" s="22">
        <v>1.232</v>
      </c>
      <c r="K19">
        <v>1.518</v>
      </c>
      <c r="L19">
        <v>1.276</v>
      </c>
    </row>
    <row r="20" spans="1:12" x14ac:dyDescent="0.15">
      <c r="A20" t="s">
        <v>76</v>
      </c>
      <c r="D20" s="7"/>
      <c r="E20">
        <v>2.0691000000000002</v>
      </c>
      <c r="F20">
        <v>1.9843999999999999</v>
      </c>
      <c r="G20">
        <v>2.0914299999999999</v>
      </c>
      <c r="H20">
        <v>2.1779999999999999</v>
      </c>
      <c r="I20">
        <v>1.9838</v>
      </c>
      <c r="J20" s="22">
        <v>1.958</v>
      </c>
      <c r="K20">
        <v>2.0350000000000001</v>
      </c>
      <c r="L20">
        <v>2.0680000000000001</v>
      </c>
    </row>
    <row r="21" spans="1:12" x14ac:dyDescent="0.15">
      <c r="A21" t="s">
        <v>77</v>
      </c>
      <c r="D21" s="7"/>
      <c r="E21">
        <v>1.7907999999999999</v>
      </c>
      <c r="F21">
        <v>1.5136000000000001</v>
      </c>
      <c r="G21">
        <v>1.90333</v>
      </c>
      <c r="H21">
        <v>1.4850000000000001</v>
      </c>
      <c r="I21">
        <v>1.5914999999999999</v>
      </c>
      <c r="J21" s="22">
        <v>1.375</v>
      </c>
      <c r="K21">
        <v>1.7929999999999999</v>
      </c>
      <c r="L21">
        <v>1.5289999999999999</v>
      </c>
    </row>
    <row r="22" spans="1:12" x14ac:dyDescent="0.15">
      <c r="A22" t="s">
        <v>78</v>
      </c>
      <c r="D22" s="7"/>
      <c r="E22">
        <v>1.4773000000000001</v>
      </c>
      <c r="F22">
        <v>0</v>
      </c>
      <c r="G22">
        <v>1.5271300000000001</v>
      </c>
      <c r="H22">
        <v>0</v>
      </c>
      <c r="I22">
        <v>0</v>
      </c>
      <c r="J22" s="22">
        <v>0</v>
      </c>
      <c r="K22">
        <v>0</v>
      </c>
      <c r="L22">
        <v>0</v>
      </c>
    </row>
    <row r="23" spans="1:12" x14ac:dyDescent="0.15">
      <c r="A23" t="s">
        <v>79</v>
      </c>
      <c r="D23" s="7"/>
      <c r="E23">
        <v>1.3046</v>
      </c>
      <c r="F23">
        <v>0</v>
      </c>
      <c r="G23">
        <v>1.3500300000000001</v>
      </c>
      <c r="H23">
        <v>0</v>
      </c>
      <c r="I23">
        <v>0</v>
      </c>
      <c r="J23" s="22">
        <v>0</v>
      </c>
      <c r="K23">
        <v>0</v>
      </c>
      <c r="L23">
        <v>0</v>
      </c>
    </row>
    <row r="24" spans="1:12" x14ac:dyDescent="0.15">
      <c r="A24" t="s">
        <v>80</v>
      </c>
      <c r="D24" s="7"/>
      <c r="E24">
        <v>1.2034</v>
      </c>
      <c r="F24">
        <v>1.1175999999999999</v>
      </c>
      <c r="G24">
        <v>1.21726</v>
      </c>
      <c r="H24">
        <v>1.111</v>
      </c>
      <c r="I24">
        <v>1.4329000000000001</v>
      </c>
      <c r="J24" s="22">
        <v>1.1990000000000001</v>
      </c>
      <c r="K24">
        <v>1.5069999999999999</v>
      </c>
      <c r="L24">
        <v>1.1990000000000001</v>
      </c>
    </row>
    <row r="25" spans="1:12" x14ac:dyDescent="0.15">
      <c r="A25" t="s">
        <v>81</v>
      </c>
      <c r="D25" s="7"/>
      <c r="E25">
        <v>67.122</v>
      </c>
      <c r="F25">
        <v>66.715000000000003</v>
      </c>
      <c r="G25">
        <v>71.929000000000002</v>
      </c>
      <c r="H25">
        <v>71.734999999999999</v>
      </c>
      <c r="I25">
        <v>68.75</v>
      </c>
      <c r="J25" s="22">
        <v>57.75</v>
      </c>
      <c r="K25">
        <v>64.888999999999996</v>
      </c>
      <c r="L25">
        <v>58.289000000000001</v>
      </c>
    </row>
    <row r="26" spans="1:12" x14ac:dyDescent="0.15">
      <c r="D26" s="7"/>
    </row>
    <row r="27" spans="1:12" x14ac:dyDescent="0.15">
      <c r="D27" s="7"/>
    </row>
    <row r="28" spans="1:12" x14ac:dyDescent="0.15">
      <c r="A28" s="9" t="s">
        <v>1076</v>
      </c>
      <c r="D28" s="7"/>
      <c r="E28" s="10" t="s">
        <v>1044</v>
      </c>
      <c r="F28" s="23" t="s">
        <v>591</v>
      </c>
      <c r="G28" s="23" t="s">
        <v>592</v>
      </c>
      <c r="H28" s="10" t="s">
        <v>615</v>
      </c>
      <c r="I28" s="23" t="s">
        <v>546</v>
      </c>
      <c r="J28" s="10" t="s">
        <v>545</v>
      </c>
      <c r="K28" s="10" t="s">
        <v>486</v>
      </c>
      <c r="L28" s="10" t="s">
        <v>487</v>
      </c>
    </row>
    <row r="29" spans="1:12" x14ac:dyDescent="0.15">
      <c r="A29" s="1" t="s">
        <v>63</v>
      </c>
      <c r="D29" s="7"/>
      <c r="E29" s="13">
        <v>0.5</v>
      </c>
      <c r="F29" s="13">
        <v>0.5</v>
      </c>
      <c r="G29" s="13">
        <v>0.5</v>
      </c>
      <c r="H29" s="14">
        <v>0.33329999999999999</v>
      </c>
      <c r="I29" s="13">
        <v>0.5</v>
      </c>
      <c r="J29" s="13">
        <v>0.5</v>
      </c>
      <c r="K29" s="13">
        <v>0.5</v>
      </c>
      <c r="L29" s="13">
        <v>0.5</v>
      </c>
    </row>
    <row r="30" spans="1:12" x14ac:dyDescent="0.15">
      <c r="A30" s="1" t="s">
        <v>64</v>
      </c>
      <c r="D30" s="7"/>
      <c r="E30" s="15">
        <v>3</v>
      </c>
      <c r="F30" s="15">
        <v>3</v>
      </c>
      <c r="G30" s="15">
        <v>3</v>
      </c>
      <c r="H30" s="15">
        <v>2</v>
      </c>
      <c r="I30" s="15">
        <v>3</v>
      </c>
      <c r="J30" s="15">
        <v>3</v>
      </c>
      <c r="K30" s="15">
        <v>3</v>
      </c>
      <c r="L30" s="15">
        <v>3</v>
      </c>
    </row>
    <row r="31" spans="1:12" x14ac:dyDescent="0.15">
      <c r="A31" s="1" t="s">
        <v>65</v>
      </c>
      <c r="D31" s="7"/>
      <c r="E31" s="13">
        <v>0.5</v>
      </c>
      <c r="F31" s="13">
        <v>0.5</v>
      </c>
      <c r="G31" s="13">
        <v>0.5</v>
      </c>
      <c r="H31" s="14">
        <v>0.66659999999999997</v>
      </c>
      <c r="I31" s="13">
        <v>0.5</v>
      </c>
      <c r="J31" s="13">
        <v>0.5</v>
      </c>
      <c r="K31" s="13">
        <v>0.5</v>
      </c>
      <c r="L31" s="13">
        <v>0.5</v>
      </c>
    </row>
    <row r="32" spans="1:12" x14ac:dyDescent="0.15">
      <c r="A32" s="1" t="s">
        <v>66</v>
      </c>
      <c r="D32" s="7"/>
      <c r="E32" s="15">
        <v>3</v>
      </c>
      <c r="F32" s="15">
        <v>3</v>
      </c>
      <c r="G32" s="15">
        <v>3</v>
      </c>
      <c r="H32" s="15">
        <v>4</v>
      </c>
      <c r="I32" s="15">
        <v>3</v>
      </c>
      <c r="J32" s="15">
        <v>3</v>
      </c>
      <c r="K32" s="15">
        <v>3</v>
      </c>
      <c r="L32" s="15">
        <v>3</v>
      </c>
    </row>
    <row r="33" spans="1:12" x14ac:dyDescent="0.15">
      <c r="A33" t="s">
        <v>67</v>
      </c>
      <c r="D33" s="7"/>
      <c r="E33" s="15">
        <v>3000</v>
      </c>
      <c r="F33" s="15">
        <v>3500</v>
      </c>
      <c r="G33" s="15">
        <v>3000</v>
      </c>
      <c r="H33" s="15">
        <v>3500</v>
      </c>
      <c r="I33" s="15">
        <v>3500</v>
      </c>
      <c r="J33" s="15">
        <v>3500</v>
      </c>
      <c r="K33" s="15">
        <v>3000</v>
      </c>
      <c r="L33" s="15">
        <v>3500</v>
      </c>
    </row>
    <row r="34" spans="1:12" x14ac:dyDescent="0.15">
      <c r="A34" t="s">
        <v>68</v>
      </c>
      <c r="D34" s="7"/>
      <c r="E34" s="15">
        <v>6000</v>
      </c>
      <c r="F34" s="15">
        <v>3500</v>
      </c>
      <c r="G34" s="15">
        <v>6000</v>
      </c>
      <c r="H34" s="15">
        <v>3500</v>
      </c>
      <c r="I34" s="15">
        <v>3500</v>
      </c>
      <c r="J34" s="15">
        <v>3500</v>
      </c>
      <c r="K34">
        <v>3000</v>
      </c>
      <c r="L34" s="15">
        <v>3500</v>
      </c>
    </row>
    <row r="35" spans="1:12" x14ac:dyDescent="0.15">
      <c r="A35" t="s">
        <v>69</v>
      </c>
      <c r="D35" s="7"/>
      <c r="E35" s="15">
        <v>9000</v>
      </c>
      <c r="F35" s="15">
        <v>3500</v>
      </c>
      <c r="G35" s="15">
        <v>9000</v>
      </c>
      <c r="H35" s="15">
        <v>3500</v>
      </c>
      <c r="I35" s="15">
        <v>3500</v>
      </c>
      <c r="J35" s="15">
        <v>3500</v>
      </c>
      <c r="K35" s="15">
        <v>3000</v>
      </c>
      <c r="L35" s="15">
        <v>3500</v>
      </c>
    </row>
    <row r="36" spans="1:12" x14ac:dyDescent="0.15">
      <c r="A36" s="11" t="s">
        <v>70</v>
      </c>
      <c r="B36" s="11"/>
      <c r="C36" s="11"/>
      <c r="D36" s="12"/>
      <c r="E36" s="11">
        <v>15000</v>
      </c>
      <c r="F36" s="11">
        <v>3500</v>
      </c>
      <c r="G36" s="11">
        <v>15000</v>
      </c>
      <c r="H36" s="11">
        <v>3500</v>
      </c>
      <c r="I36" s="11">
        <v>3500</v>
      </c>
      <c r="J36" s="11">
        <v>3500</v>
      </c>
      <c r="K36" s="11">
        <v>3000</v>
      </c>
      <c r="L36" s="11">
        <v>3500</v>
      </c>
    </row>
    <row r="37" spans="1:12" x14ac:dyDescent="0.15">
      <c r="A37" t="s">
        <v>71</v>
      </c>
      <c r="D37" s="7"/>
      <c r="E37">
        <v>2.2164999999999999</v>
      </c>
      <c r="F37">
        <v>2.1758000000000002</v>
      </c>
      <c r="G37">
        <v>2.15787</v>
      </c>
      <c r="H37">
        <v>2.101</v>
      </c>
      <c r="I37">
        <v>2.09</v>
      </c>
      <c r="J37" s="22">
        <v>1.9910000000000001</v>
      </c>
      <c r="K37">
        <v>2.1779999999999999</v>
      </c>
      <c r="L37">
        <v>2.024</v>
      </c>
    </row>
    <row r="38" spans="1:12" x14ac:dyDescent="0.15">
      <c r="A38" t="s">
        <v>72</v>
      </c>
      <c r="D38" s="7"/>
      <c r="E38">
        <v>1.9305000000000001</v>
      </c>
      <c r="F38">
        <v>0</v>
      </c>
      <c r="G38">
        <v>1.9807699999999999</v>
      </c>
      <c r="H38">
        <v>0</v>
      </c>
      <c r="I38" s="15">
        <v>0</v>
      </c>
      <c r="J38" s="36">
        <v>0</v>
      </c>
      <c r="K38">
        <v>0</v>
      </c>
      <c r="L38">
        <v>0</v>
      </c>
    </row>
    <row r="39" spans="1:12" x14ac:dyDescent="0.15">
      <c r="A39" t="s">
        <v>73</v>
      </c>
      <c r="D39" s="7"/>
      <c r="E39">
        <v>1.5851</v>
      </c>
      <c r="F39">
        <v>0</v>
      </c>
      <c r="G39">
        <v>1.72634</v>
      </c>
      <c r="H39">
        <v>0</v>
      </c>
      <c r="I39" s="15">
        <v>0</v>
      </c>
      <c r="J39" s="36">
        <v>0</v>
      </c>
      <c r="K39">
        <v>0</v>
      </c>
      <c r="L39">
        <v>0</v>
      </c>
    </row>
    <row r="40" spans="1:12" x14ac:dyDescent="0.15">
      <c r="A40" t="s">
        <v>74</v>
      </c>
      <c r="D40" s="7"/>
      <c r="E40">
        <v>1.4476</v>
      </c>
      <c r="F40">
        <v>0</v>
      </c>
      <c r="G40">
        <v>1.5603499999999999</v>
      </c>
      <c r="H40">
        <v>0</v>
      </c>
      <c r="I40" s="15">
        <v>0</v>
      </c>
      <c r="J40" s="36">
        <v>0</v>
      </c>
      <c r="K40">
        <v>0</v>
      </c>
      <c r="L40">
        <v>0</v>
      </c>
    </row>
    <row r="41" spans="1:12" x14ac:dyDescent="0.15">
      <c r="A41" t="s">
        <v>75</v>
      </c>
      <c r="D41" s="7"/>
      <c r="E41">
        <v>1.4234</v>
      </c>
      <c r="F41">
        <v>1.7435</v>
      </c>
      <c r="G41">
        <v>1.54924</v>
      </c>
      <c r="H41">
        <v>1.8149999999999999</v>
      </c>
      <c r="I41">
        <v>1.7931999999999999</v>
      </c>
      <c r="J41" s="22">
        <v>1.738</v>
      </c>
      <c r="K41">
        <v>1.6719999999999999</v>
      </c>
      <c r="L41">
        <v>1.6830000000000001</v>
      </c>
    </row>
    <row r="42" spans="1:12" x14ac:dyDescent="0.15">
      <c r="A42" t="s">
        <v>76</v>
      </c>
      <c r="D42" s="7"/>
      <c r="E42">
        <v>2.0746000000000002</v>
      </c>
      <c r="F42">
        <v>1.9701</v>
      </c>
      <c r="G42">
        <v>1.8923300000000001</v>
      </c>
      <c r="H42">
        <v>2.0019999999999998</v>
      </c>
      <c r="I42">
        <v>1.9621999999999999</v>
      </c>
      <c r="J42" s="22">
        <v>1.881</v>
      </c>
      <c r="K42">
        <v>2.1339999999999999</v>
      </c>
      <c r="L42">
        <v>1.9470000000000001</v>
      </c>
    </row>
    <row r="43" spans="1:12" x14ac:dyDescent="0.15">
      <c r="A43" t="s">
        <v>77</v>
      </c>
      <c r="D43" s="7"/>
      <c r="E43">
        <v>1.8391999999999999</v>
      </c>
      <c r="F43">
        <v>0</v>
      </c>
      <c r="G43">
        <v>1.69312</v>
      </c>
      <c r="H43">
        <v>0</v>
      </c>
      <c r="I43" s="15">
        <v>0</v>
      </c>
      <c r="J43" s="36">
        <v>0</v>
      </c>
      <c r="K43">
        <v>0</v>
      </c>
      <c r="L43">
        <v>0</v>
      </c>
    </row>
    <row r="44" spans="1:12" x14ac:dyDescent="0.15">
      <c r="A44" t="s">
        <v>78</v>
      </c>
      <c r="D44" s="7"/>
      <c r="E44">
        <v>1.5345</v>
      </c>
      <c r="F44">
        <v>0</v>
      </c>
      <c r="G44">
        <v>1.50502</v>
      </c>
      <c r="H44">
        <v>0</v>
      </c>
      <c r="I44" s="15">
        <v>0</v>
      </c>
      <c r="J44" s="36">
        <v>0</v>
      </c>
      <c r="K44">
        <v>0</v>
      </c>
      <c r="L44">
        <v>0</v>
      </c>
    </row>
    <row r="45" spans="1:12" x14ac:dyDescent="0.15">
      <c r="A45" t="s">
        <v>79</v>
      </c>
      <c r="D45" s="7"/>
      <c r="E45">
        <v>1.4079999999999999</v>
      </c>
      <c r="F45">
        <v>0</v>
      </c>
      <c r="G45">
        <v>1.3721399999999999</v>
      </c>
      <c r="H45">
        <v>0</v>
      </c>
      <c r="I45" s="15">
        <v>0</v>
      </c>
      <c r="J45" s="36">
        <v>0</v>
      </c>
      <c r="K45">
        <v>0</v>
      </c>
      <c r="L45">
        <v>0</v>
      </c>
    </row>
    <row r="46" spans="1:12" x14ac:dyDescent="0.15">
      <c r="A46" t="s">
        <v>80</v>
      </c>
      <c r="D46" s="7"/>
      <c r="E46">
        <v>1.3694999999999999</v>
      </c>
      <c r="F46">
        <v>1.4706999999999999</v>
      </c>
      <c r="G46">
        <v>1.2614799999999999</v>
      </c>
      <c r="H46">
        <v>1.5620000000000001</v>
      </c>
      <c r="I46">
        <v>1.6601999999999999</v>
      </c>
      <c r="J46" s="22">
        <v>1.5069999999999999</v>
      </c>
      <c r="K46">
        <v>1.595</v>
      </c>
      <c r="L46">
        <v>1.518</v>
      </c>
    </row>
    <row r="47" spans="1:12" x14ac:dyDescent="0.15">
      <c r="A47" t="s">
        <v>81</v>
      </c>
      <c r="D47" s="7"/>
      <c r="E47">
        <v>59.234999999999999</v>
      </c>
      <c r="F47">
        <v>60.774999999999999</v>
      </c>
      <c r="G47">
        <v>69.715800000000002</v>
      </c>
      <c r="H47">
        <v>65.263000000000005</v>
      </c>
      <c r="I47">
        <v>62.99</v>
      </c>
      <c r="J47" s="22">
        <v>55</v>
      </c>
      <c r="K47">
        <v>63.305</v>
      </c>
      <c r="L47">
        <v>57.189</v>
      </c>
    </row>
    <row r="48" spans="1:12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</row>
    <row r="49" spans="1:12" x14ac:dyDescent="0.15">
      <c r="A49" s="9" t="s">
        <v>490</v>
      </c>
      <c r="D49" s="7"/>
      <c r="E49" s="10" t="s">
        <v>1044</v>
      </c>
      <c r="F49" s="23" t="s">
        <v>591</v>
      </c>
      <c r="G49" s="23" t="s">
        <v>592</v>
      </c>
      <c r="H49" s="23" t="s">
        <v>615</v>
      </c>
      <c r="I49" s="23" t="s">
        <v>595</v>
      </c>
      <c r="J49" s="23" t="s">
        <v>596</v>
      </c>
      <c r="K49" s="10" t="s">
        <v>486</v>
      </c>
      <c r="L49" s="23" t="s">
        <v>487</v>
      </c>
    </row>
    <row r="50" spans="1:12" x14ac:dyDescent="0.15">
      <c r="A50" t="s">
        <v>491</v>
      </c>
      <c r="D50" s="7"/>
      <c r="E50" s="24" t="s">
        <v>534</v>
      </c>
      <c r="F50" s="25" t="s">
        <v>493</v>
      </c>
      <c r="G50" s="25" t="s">
        <v>525</v>
      </c>
      <c r="H50" s="25" t="s">
        <v>494</v>
      </c>
      <c r="I50" s="25" t="s">
        <v>494</v>
      </c>
      <c r="J50" s="25" t="s">
        <v>493</v>
      </c>
      <c r="K50" s="25" t="s">
        <v>493</v>
      </c>
      <c r="L50" s="25" t="s">
        <v>493</v>
      </c>
    </row>
    <row r="51" spans="1:12" x14ac:dyDescent="0.15">
      <c r="A51" t="s">
        <v>496</v>
      </c>
      <c r="D51" s="7"/>
      <c r="E51" s="25" t="s">
        <v>498</v>
      </c>
      <c r="F51" s="25" t="s">
        <v>497</v>
      </c>
      <c r="G51" s="25" t="s">
        <v>526</v>
      </c>
      <c r="H51" s="25" t="s">
        <v>498</v>
      </c>
      <c r="I51" s="25" t="s">
        <v>498</v>
      </c>
      <c r="J51" s="25" t="s">
        <v>527</v>
      </c>
      <c r="K51" s="25" t="s">
        <v>493</v>
      </c>
      <c r="L51" s="25" t="s">
        <v>493</v>
      </c>
    </row>
    <row r="52" spans="1:12" x14ac:dyDescent="0.15">
      <c r="A52" t="s">
        <v>499</v>
      </c>
      <c r="D52" s="7"/>
      <c r="E52" s="25" t="s">
        <v>528</v>
      </c>
      <c r="F52" s="37" t="s">
        <v>493</v>
      </c>
      <c r="G52" s="37">
        <v>22</v>
      </c>
      <c r="H52" s="37">
        <v>20</v>
      </c>
      <c r="I52" s="37">
        <v>80</v>
      </c>
      <c r="J52" s="37">
        <v>20</v>
      </c>
      <c r="K52" t="s">
        <v>493</v>
      </c>
      <c r="L52" t="s">
        <v>493</v>
      </c>
    </row>
    <row r="53" spans="1:12" x14ac:dyDescent="0.15">
      <c r="A53" t="s">
        <v>501</v>
      </c>
      <c r="D53" s="7"/>
      <c r="E53" s="25" t="s">
        <v>535</v>
      </c>
      <c r="F53" s="24" t="s">
        <v>536</v>
      </c>
      <c r="G53" s="24" t="s">
        <v>510</v>
      </c>
      <c r="H53" s="24" t="s">
        <v>537</v>
      </c>
      <c r="I53" s="24" t="s">
        <v>505</v>
      </c>
      <c r="J53" s="24" t="s">
        <v>506</v>
      </c>
      <c r="K53" s="24" t="s">
        <v>531</v>
      </c>
      <c r="L53" s="24" t="s">
        <v>532</v>
      </c>
    </row>
    <row r="54" spans="1:12" x14ac:dyDescent="0.15">
      <c r="A54" t="s">
        <v>442</v>
      </c>
      <c r="D54" s="7"/>
      <c r="E54" s="25" t="s">
        <v>512</v>
      </c>
      <c r="F54" s="25" t="s">
        <v>500</v>
      </c>
      <c r="G54" s="25" t="s">
        <v>494</v>
      </c>
      <c r="H54" s="25" t="s">
        <v>493</v>
      </c>
      <c r="I54" s="25" t="s">
        <v>494</v>
      </c>
      <c r="J54" s="25" t="s">
        <v>500</v>
      </c>
      <c r="K54" s="25" t="s">
        <v>493</v>
      </c>
      <c r="L54" s="25" t="s">
        <v>493</v>
      </c>
    </row>
    <row r="55" spans="1:12" x14ac:dyDescent="0.15">
      <c r="A55" s="92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</row>
  </sheetData>
  <sheetProtection algorithmName="SHA-512" hashValue="Mq3IF4eGzFQno8vYoF3/w4XwnXCL99+G4WvRIBNdfo18x7OayMLpMaG+7L48exJPaDL+1/VUj/J0DDEkhxEkTQ==" saltValue="jgmsp6UGoeWr8rwFS8z4l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/>
  <dimension ref="A1:L59"/>
  <sheetViews>
    <sheetView workbookViewId="0">
      <selection sqref="A1:L5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2" x14ac:dyDescent="0.15">
      <c r="A1" t="s">
        <v>722</v>
      </c>
    </row>
    <row r="2" spans="1:12" x14ac:dyDescent="0.15">
      <c r="A2" s="95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</row>
    <row r="3" spans="1:12" x14ac:dyDescent="0.15">
      <c r="A3" s="8" t="s">
        <v>82</v>
      </c>
      <c r="D3" s="7"/>
    </row>
    <row r="4" spans="1:12" x14ac:dyDescent="0.15">
      <c r="D4" s="7"/>
      <c r="E4" s="8" t="s">
        <v>93</v>
      </c>
    </row>
    <row r="5" spans="1:12" x14ac:dyDescent="0.15">
      <c r="A5" s="9" t="s">
        <v>83</v>
      </c>
      <c r="D5" s="7"/>
    </row>
    <row r="6" spans="1:12" x14ac:dyDescent="0.15">
      <c r="A6" s="9" t="s">
        <v>1024</v>
      </c>
      <c r="D6" s="7"/>
      <c r="E6" s="10" t="s">
        <v>1044</v>
      </c>
      <c r="F6" s="23" t="s">
        <v>591</v>
      </c>
      <c r="G6" s="23" t="s">
        <v>592</v>
      </c>
      <c r="H6" s="23" t="s">
        <v>615</v>
      </c>
      <c r="I6" s="23" t="s">
        <v>595</v>
      </c>
      <c r="J6" s="23" t="s">
        <v>596</v>
      </c>
      <c r="K6" s="10" t="s">
        <v>486</v>
      </c>
      <c r="L6" s="23" t="s">
        <v>487</v>
      </c>
    </row>
    <row r="7" spans="1:12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  <c r="L7" s="14">
        <v>0.33329999999999999</v>
      </c>
    </row>
    <row r="8" spans="1:12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  <c r="L8" s="15">
        <v>2</v>
      </c>
    </row>
    <row r="9" spans="1:12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  <c r="L9" s="14">
        <v>0.66659999999999997</v>
      </c>
    </row>
    <row r="10" spans="1:12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  <c r="L10" s="15">
        <v>4</v>
      </c>
    </row>
    <row r="11" spans="1:12" x14ac:dyDescent="0.15">
      <c r="A11" t="s">
        <v>67</v>
      </c>
      <c r="D11" s="7"/>
      <c r="E11" s="15">
        <v>1644</v>
      </c>
      <c r="F11">
        <v>4000</v>
      </c>
      <c r="G11" s="15">
        <v>6000</v>
      </c>
      <c r="H11">
        <v>4000</v>
      </c>
      <c r="I11">
        <v>4000</v>
      </c>
      <c r="J11">
        <v>3000</v>
      </c>
      <c r="K11" s="15">
        <v>1644</v>
      </c>
      <c r="L11">
        <v>4000</v>
      </c>
    </row>
    <row r="12" spans="1:12" x14ac:dyDescent="0.15">
      <c r="A12" s="11" t="s">
        <v>84</v>
      </c>
      <c r="B12" s="11"/>
      <c r="C12" s="11"/>
      <c r="D12" s="12"/>
      <c r="E12" s="11">
        <v>2958</v>
      </c>
      <c r="F12" s="11">
        <v>12000</v>
      </c>
      <c r="G12" s="11">
        <v>12000</v>
      </c>
      <c r="H12" s="11">
        <v>12000</v>
      </c>
      <c r="I12" s="11">
        <v>12000</v>
      </c>
      <c r="J12" s="11">
        <v>3000</v>
      </c>
      <c r="K12" s="11">
        <v>2958</v>
      </c>
      <c r="L12" s="11">
        <v>12000</v>
      </c>
    </row>
    <row r="13" spans="1:12" x14ac:dyDescent="0.15">
      <c r="A13" t="s">
        <v>71</v>
      </c>
      <c r="D13" s="7"/>
      <c r="E13">
        <v>2.2319</v>
      </c>
      <c r="F13">
        <v>2.0581</v>
      </c>
      <c r="G13">
        <v>2.0804299999999998</v>
      </c>
      <c r="H13">
        <v>2.1339999999999999</v>
      </c>
      <c r="I13">
        <v>2.0855999999999999</v>
      </c>
      <c r="J13">
        <v>2.2549999999999999</v>
      </c>
      <c r="K13">
        <v>2.0019999999999998</v>
      </c>
      <c r="L13">
        <v>2.101</v>
      </c>
    </row>
    <row r="14" spans="1:12" x14ac:dyDescent="0.15">
      <c r="A14" t="s">
        <v>72</v>
      </c>
      <c r="D14" s="7"/>
      <c r="E14">
        <v>2.0306000000000002</v>
      </c>
      <c r="F14">
        <v>1.9744999999999999</v>
      </c>
      <c r="G14">
        <v>1.85911</v>
      </c>
      <c r="H14">
        <v>2.024</v>
      </c>
      <c r="I14">
        <v>1.9327000000000001</v>
      </c>
      <c r="J14">
        <v>0</v>
      </c>
      <c r="K14">
        <v>2.0019999999999998</v>
      </c>
      <c r="L14">
        <v>1.9359999999999999</v>
      </c>
    </row>
    <row r="15" spans="1:12" x14ac:dyDescent="0.15">
      <c r="A15" t="s">
        <v>75</v>
      </c>
      <c r="D15" s="7"/>
      <c r="E15">
        <v>1.6983999999999999</v>
      </c>
      <c r="F15">
        <v>1.5576000000000001</v>
      </c>
      <c r="G15">
        <v>1.57135</v>
      </c>
      <c r="H15">
        <v>1.573</v>
      </c>
      <c r="I15">
        <v>1.7870999999999999</v>
      </c>
      <c r="J15">
        <v>1.595</v>
      </c>
      <c r="K15">
        <v>1.7929999999999999</v>
      </c>
      <c r="L15">
        <v>1.6060000000000001</v>
      </c>
    </row>
    <row r="16" spans="1:12" x14ac:dyDescent="0.15">
      <c r="A16" t="s">
        <v>76</v>
      </c>
      <c r="D16" s="7"/>
      <c r="E16">
        <v>2.2319</v>
      </c>
      <c r="F16">
        <v>1.9558</v>
      </c>
      <c r="G16">
        <v>1.96977</v>
      </c>
      <c r="H16">
        <v>2.0459999999999998</v>
      </c>
      <c r="I16">
        <v>2.0108999999999999</v>
      </c>
      <c r="J16">
        <v>2.2549999999999999</v>
      </c>
      <c r="K16">
        <v>2.0019999999999998</v>
      </c>
      <c r="L16">
        <v>2.0129999999999999</v>
      </c>
    </row>
    <row r="17" spans="1:12" x14ac:dyDescent="0.15">
      <c r="A17" t="s">
        <v>77</v>
      </c>
      <c r="D17" s="7"/>
      <c r="E17">
        <v>2.0306000000000002</v>
      </c>
      <c r="F17">
        <v>1.9260999999999999</v>
      </c>
      <c r="G17">
        <v>1.79267</v>
      </c>
      <c r="H17">
        <v>1.9690000000000001</v>
      </c>
      <c r="I17">
        <v>1.8946000000000001</v>
      </c>
      <c r="J17">
        <v>0</v>
      </c>
      <c r="K17">
        <v>2.0019999999999998</v>
      </c>
      <c r="L17">
        <v>1.9139999999999999</v>
      </c>
    </row>
    <row r="18" spans="1:12" x14ac:dyDescent="0.15">
      <c r="A18" t="s">
        <v>80</v>
      </c>
      <c r="D18" s="7"/>
      <c r="E18">
        <v>1.6983999999999999</v>
      </c>
      <c r="F18">
        <v>1.5059</v>
      </c>
      <c r="G18">
        <v>1.5271300000000001</v>
      </c>
      <c r="H18">
        <v>1.518</v>
      </c>
      <c r="I18">
        <v>1.7454000000000001</v>
      </c>
      <c r="J18">
        <v>1.595</v>
      </c>
      <c r="K18">
        <v>1.7929999999999999</v>
      </c>
      <c r="L18">
        <v>1.573</v>
      </c>
    </row>
    <row r="19" spans="1:12" x14ac:dyDescent="0.15">
      <c r="A19" t="s">
        <v>81</v>
      </c>
      <c r="D19" s="7"/>
      <c r="E19">
        <v>68.826999999999998</v>
      </c>
      <c r="F19">
        <v>62.402999999999999</v>
      </c>
      <c r="G19">
        <v>68.609200000000001</v>
      </c>
      <c r="H19">
        <v>59.46</v>
      </c>
      <c r="I19">
        <v>68.78</v>
      </c>
      <c r="J19">
        <v>57.2</v>
      </c>
      <c r="K19">
        <v>66.671000000000006</v>
      </c>
      <c r="L19">
        <v>62.645000000000003</v>
      </c>
    </row>
    <row r="20" spans="1:12" x14ac:dyDescent="0.15">
      <c r="D20" s="7"/>
    </row>
    <row r="21" spans="1:12" x14ac:dyDescent="0.15">
      <c r="A21" s="9" t="s">
        <v>85</v>
      </c>
      <c r="D21" s="7"/>
    </row>
    <row r="22" spans="1:12" x14ac:dyDescent="0.15">
      <c r="A22" s="9" t="s">
        <v>488</v>
      </c>
      <c r="D22" s="7"/>
      <c r="E22" s="10" t="s">
        <v>1044</v>
      </c>
      <c r="F22" s="23" t="s">
        <v>591</v>
      </c>
      <c r="G22" s="23" t="s">
        <v>592</v>
      </c>
      <c r="H22" s="10" t="s">
        <v>615</v>
      </c>
      <c r="I22" s="23" t="s">
        <v>546</v>
      </c>
      <c r="J22" s="10" t="s">
        <v>545</v>
      </c>
      <c r="K22" s="10" t="s">
        <v>486</v>
      </c>
      <c r="L22" s="10" t="s">
        <v>487</v>
      </c>
    </row>
    <row r="23" spans="1:12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  <c r="L23" s="14">
        <v>0.33329999999999999</v>
      </c>
    </row>
    <row r="24" spans="1:12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  <c r="L24" s="15">
        <v>2</v>
      </c>
    </row>
    <row r="25" spans="1:12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  <c r="L25" s="14">
        <v>0.66659999999999997</v>
      </c>
    </row>
    <row r="26" spans="1:12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  <c r="L26" s="15">
        <v>4</v>
      </c>
    </row>
    <row r="27" spans="1:12" x14ac:dyDescent="0.15">
      <c r="A27" t="s">
        <v>67</v>
      </c>
      <c r="D27" s="7"/>
      <c r="E27" s="15">
        <v>1644</v>
      </c>
      <c r="F27" s="15">
        <v>3200</v>
      </c>
      <c r="G27" s="15">
        <v>6000</v>
      </c>
      <c r="H27" s="15">
        <v>3200</v>
      </c>
      <c r="I27" s="15">
        <v>3200</v>
      </c>
      <c r="J27">
        <v>3000</v>
      </c>
      <c r="K27" s="15">
        <v>1644</v>
      </c>
      <c r="L27" s="15">
        <v>3200</v>
      </c>
    </row>
    <row r="28" spans="1:12" x14ac:dyDescent="0.15">
      <c r="A28" s="11" t="s">
        <v>68</v>
      </c>
      <c r="B28" s="11"/>
      <c r="C28" s="11"/>
      <c r="D28" s="12"/>
      <c r="E28" s="11">
        <v>2958</v>
      </c>
      <c r="F28" s="11">
        <v>3200</v>
      </c>
      <c r="G28" s="11">
        <v>12000</v>
      </c>
      <c r="H28" s="11">
        <v>3200</v>
      </c>
      <c r="I28" s="11">
        <v>3200</v>
      </c>
      <c r="J28" s="11">
        <v>3000</v>
      </c>
      <c r="K28" s="11">
        <v>1644</v>
      </c>
      <c r="L28" s="11">
        <v>3200</v>
      </c>
    </row>
    <row r="29" spans="1:12" x14ac:dyDescent="0.15">
      <c r="A29" t="s">
        <v>71</v>
      </c>
      <c r="D29" s="7"/>
      <c r="E29">
        <v>2.2505999999999999</v>
      </c>
      <c r="F29">
        <v>2.1240999999999999</v>
      </c>
      <c r="G29" s="47">
        <v>2.0583200000000001</v>
      </c>
      <c r="H29">
        <v>2.1339999999999999</v>
      </c>
      <c r="I29">
        <v>2.1558000000000002</v>
      </c>
      <c r="J29">
        <v>2.1230000000000002</v>
      </c>
      <c r="K29">
        <v>2.09</v>
      </c>
      <c r="L29">
        <v>2.0790000000000002</v>
      </c>
    </row>
    <row r="30" spans="1:12" x14ac:dyDescent="0.15">
      <c r="A30" t="s">
        <v>72</v>
      </c>
      <c r="D30" s="7"/>
      <c r="E30">
        <v>2.1505000000000001</v>
      </c>
      <c r="F30">
        <v>0</v>
      </c>
      <c r="G30" s="47">
        <v>1.8701099999999999</v>
      </c>
      <c r="H30">
        <v>0</v>
      </c>
      <c r="I30">
        <v>0</v>
      </c>
      <c r="J30">
        <v>0</v>
      </c>
      <c r="K30">
        <v>0</v>
      </c>
      <c r="L30">
        <v>0</v>
      </c>
    </row>
    <row r="31" spans="1:12" x14ac:dyDescent="0.15">
      <c r="A31" t="s">
        <v>75</v>
      </c>
      <c r="D31" s="7"/>
      <c r="E31">
        <v>1.4630000000000001</v>
      </c>
      <c r="F31">
        <v>1.7721</v>
      </c>
      <c r="G31" s="47">
        <v>1.68201</v>
      </c>
      <c r="H31">
        <v>1.881</v>
      </c>
      <c r="I31">
        <v>1.891</v>
      </c>
      <c r="J31">
        <v>1.639</v>
      </c>
      <c r="K31">
        <v>1.6719999999999999</v>
      </c>
      <c r="L31">
        <v>1.782</v>
      </c>
    </row>
    <row r="32" spans="1:12" x14ac:dyDescent="0.15">
      <c r="A32" t="s">
        <v>76</v>
      </c>
      <c r="D32" s="7"/>
      <c r="E32">
        <v>2.2505999999999999</v>
      </c>
      <c r="F32">
        <v>2.0228999999999999</v>
      </c>
      <c r="G32" s="47">
        <v>1.96977</v>
      </c>
      <c r="H32">
        <v>1.9910000000000001</v>
      </c>
      <c r="I32">
        <v>2.0811999999999999</v>
      </c>
      <c r="J32">
        <v>2.1230000000000002</v>
      </c>
      <c r="K32">
        <v>2.09</v>
      </c>
      <c r="L32">
        <v>1.9359999999999999</v>
      </c>
    </row>
    <row r="33" spans="1:12" x14ac:dyDescent="0.15">
      <c r="A33" t="s">
        <v>86</v>
      </c>
      <c r="D33" s="7"/>
      <c r="E33">
        <v>2.1505000000000001</v>
      </c>
      <c r="F33">
        <v>0</v>
      </c>
      <c r="G33" s="47">
        <v>1.75945</v>
      </c>
      <c r="H33">
        <v>0</v>
      </c>
      <c r="I33">
        <v>0</v>
      </c>
      <c r="J33">
        <v>0</v>
      </c>
      <c r="K33">
        <v>0</v>
      </c>
      <c r="L33">
        <v>0</v>
      </c>
    </row>
    <row r="34" spans="1:12" x14ac:dyDescent="0.15">
      <c r="A34" t="s">
        <v>80</v>
      </c>
      <c r="D34" s="7"/>
      <c r="E34">
        <v>1.4630000000000001</v>
      </c>
      <c r="F34">
        <v>1.7203999999999999</v>
      </c>
      <c r="G34" s="47">
        <v>1.5603499999999999</v>
      </c>
      <c r="H34">
        <v>1.782</v>
      </c>
      <c r="I34">
        <v>1.8460000000000001</v>
      </c>
      <c r="J34">
        <v>1.639</v>
      </c>
      <c r="K34">
        <v>1.6719999999999999</v>
      </c>
      <c r="L34">
        <v>1.694</v>
      </c>
    </row>
    <row r="35" spans="1:12" x14ac:dyDescent="0.15">
      <c r="A35" t="s">
        <v>81</v>
      </c>
      <c r="D35" s="7"/>
      <c r="E35">
        <v>66.945999999999998</v>
      </c>
      <c r="F35">
        <v>60.698</v>
      </c>
      <c r="G35" s="47">
        <v>68.609200000000001</v>
      </c>
      <c r="H35">
        <v>63.756</v>
      </c>
      <c r="I35">
        <v>67.91</v>
      </c>
      <c r="J35">
        <v>57.2</v>
      </c>
      <c r="K35">
        <v>65.912000000000006</v>
      </c>
      <c r="L35">
        <v>62.645000000000003</v>
      </c>
    </row>
    <row r="36" spans="1:12" x14ac:dyDescent="0.15">
      <c r="D36" s="7"/>
    </row>
    <row r="37" spans="1:12" x14ac:dyDescent="0.15">
      <c r="A37" s="9" t="s">
        <v>85</v>
      </c>
      <c r="D37" s="7"/>
    </row>
    <row r="38" spans="1:12" x14ac:dyDescent="0.15">
      <c r="A38" s="9" t="s">
        <v>1028</v>
      </c>
      <c r="D38" s="7"/>
      <c r="E38" s="10" t="s">
        <v>1044</v>
      </c>
      <c r="F38" s="23" t="s">
        <v>591</v>
      </c>
      <c r="G38" s="23" t="s">
        <v>592</v>
      </c>
      <c r="H38" s="10" t="s">
        <v>615</v>
      </c>
      <c r="I38" s="23" t="s">
        <v>546</v>
      </c>
      <c r="J38" s="10" t="s">
        <v>545</v>
      </c>
      <c r="K38" s="10" t="s">
        <v>486</v>
      </c>
      <c r="L38" s="10" t="s">
        <v>487</v>
      </c>
    </row>
    <row r="39" spans="1:12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  <c r="L39" s="14">
        <v>0.33329999999999999</v>
      </c>
    </row>
    <row r="40" spans="1:12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  <c r="L40" s="15">
        <v>2</v>
      </c>
    </row>
    <row r="41" spans="1:12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  <c r="L41" s="14">
        <v>0.66659999999999997</v>
      </c>
    </row>
    <row r="42" spans="1:12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  <c r="L42" s="15">
        <v>4</v>
      </c>
    </row>
    <row r="43" spans="1:12" x14ac:dyDescent="0.15">
      <c r="A43" t="s">
        <v>67</v>
      </c>
      <c r="D43" s="7"/>
      <c r="E43" s="15">
        <v>1644</v>
      </c>
      <c r="F43">
        <v>4000</v>
      </c>
      <c r="G43" s="15">
        <v>6000</v>
      </c>
      <c r="H43">
        <v>4000</v>
      </c>
      <c r="I43">
        <v>4000</v>
      </c>
      <c r="J43">
        <v>3000</v>
      </c>
      <c r="K43" s="15">
        <v>1644</v>
      </c>
      <c r="L43">
        <v>4000</v>
      </c>
    </row>
    <row r="44" spans="1:12" x14ac:dyDescent="0.15">
      <c r="A44" s="11" t="s">
        <v>84</v>
      </c>
      <c r="B44" s="11"/>
      <c r="C44" s="11"/>
      <c r="D44" s="12"/>
      <c r="E44" s="11">
        <v>2958</v>
      </c>
      <c r="F44" s="11">
        <v>12000</v>
      </c>
      <c r="G44" s="11">
        <v>12000</v>
      </c>
      <c r="H44" s="11">
        <v>12000</v>
      </c>
      <c r="I44" s="11">
        <v>12000</v>
      </c>
      <c r="J44" s="11">
        <v>3000</v>
      </c>
      <c r="K44" s="11">
        <v>2958</v>
      </c>
      <c r="L44" s="11">
        <v>12000</v>
      </c>
    </row>
    <row r="45" spans="1:12" x14ac:dyDescent="0.15">
      <c r="A45" t="s">
        <v>71</v>
      </c>
      <c r="D45" s="7"/>
      <c r="E45">
        <v>2.2780999999999998</v>
      </c>
      <c r="F45">
        <v>2.1230000000000002</v>
      </c>
      <c r="G45">
        <v>2.1136499999999998</v>
      </c>
      <c r="H45">
        <v>2.1779999999999999</v>
      </c>
      <c r="I45">
        <v>2.1486999999999998</v>
      </c>
      <c r="J45">
        <v>2.0790000000000002</v>
      </c>
      <c r="K45">
        <v>2.4420000000000002</v>
      </c>
      <c r="L45">
        <v>2.1230000000000002</v>
      </c>
    </row>
    <row r="46" spans="1:12" x14ac:dyDescent="0.15">
      <c r="A46" t="s">
        <v>72</v>
      </c>
      <c r="D46" s="7"/>
      <c r="E46">
        <v>1.9547000000000001</v>
      </c>
      <c r="F46">
        <v>1.8832</v>
      </c>
      <c r="G46">
        <v>1.79267</v>
      </c>
      <c r="H46">
        <v>1.925</v>
      </c>
      <c r="I46">
        <v>1.8731</v>
      </c>
      <c r="J46">
        <v>0</v>
      </c>
      <c r="K46">
        <v>2.1120000000000001</v>
      </c>
      <c r="L46">
        <v>1.87</v>
      </c>
    </row>
    <row r="47" spans="1:12" x14ac:dyDescent="0.15">
      <c r="A47" t="s">
        <v>75</v>
      </c>
      <c r="D47" s="7"/>
      <c r="E47">
        <v>1.5609</v>
      </c>
      <c r="F47">
        <v>1.6071</v>
      </c>
      <c r="G47">
        <v>1.5603499999999999</v>
      </c>
      <c r="H47">
        <v>1.639</v>
      </c>
      <c r="I47">
        <v>1.7892999999999999</v>
      </c>
      <c r="J47">
        <v>1.694</v>
      </c>
      <c r="K47">
        <v>1.694</v>
      </c>
      <c r="L47">
        <v>1.54</v>
      </c>
    </row>
    <row r="48" spans="1:12" x14ac:dyDescent="0.15">
      <c r="A48" t="s">
        <v>76</v>
      </c>
      <c r="D48" s="7"/>
      <c r="E48">
        <v>2.2780999999999998</v>
      </c>
      <c r="F48">
        <v>2.0724</v>
      </c>
      <c r="G48">
        <v>2.0360999999999998</v>
      </c>
      <c r="H48">
        <v>2.145</v>
      </c>
      <c r="I48">
        <v>2.0968</v>
      </c>
      <c r="J48">
        <v>2.0790000000000002</v>
      </c>
      <c r="K48">
        <v>2.4420000000000002</v>
      </c>
      <c r="L48">
        <v>2.0569999999999999</v>
      </c>
    </row>
    <row r="49" spans="1:12" x14ac:dyDescent="0.15">
      <c r="A49" t="s">
        <v>77</v>
      </c>
      <c r="D49" s="7"/>
      <c r="E49">
        <v>1.9547000000000001</v>
      </c>
      <c r="F49">
        <v>1.8227</v>
      </c>
      <c r="G49">
        <v>1.7484500000000001</v>
      </c>
      <c r="H49">
        <v>1.903</v>
      </c>
      <c r="I49">
        <v>1.8274999999999999</v>
      </c>
      <c r="J49">
        <v>0</v>
      </c>
      <c r="K49">
        <v>2.1120000000000001</v>
      </c>
      <c r="L49">
        <v>1.7929999999999999</v>
      </c>
    </row>
    <row r="50" spans="1:12" x14ac:dyDescent="0.15">
      <c r="A50" t="s">
        <v>80</v>
      </c>
      <c r="D50" s="7"/>
      <c r="E50">
        <v>1.5609</v>
      </c>
      <c r="F50">
        <v>1.5432999999999999</v>
      </c>
      <c r="G50">
        <v>1.46069</v>
      </c>
      <c r="H50">
        <v>1.5509999999999999</v>
      </c>
      <c r="I50">
        <v>1.7503</v>
      </c>
      <c r="J50">
        <v>1.694</v>
      </c>
      <c r="K50">
        <v>1.694</v>
      </c>
      <c r="L50">
        <v>1.5289999999999999</v>
      </c>
    </row>
    <row r="51" spans="1:12" x14ac:dyDescent="0.15">
      <c r="A51" t="s">
        <v>81</v>
      </c>
      <c r="D51" s="7"/>
      <c r="E51">
        <v>68.716999999999999</v>
      </c>
      <c r="F51">
        <v>61.215000000000003</v>
      </c>
      <c r="G51">
        <v>71.929000000000002</v>
      </c>
      <c r="H51">
        <v>65.406000000000006</v>
      </c>
      <c r="I51">
        <v>67.91</v>
      </c>
      <c r="J51">
        <v>57.2</v>
      </c>
      <c r="K51">
        <v>66.671000000000006</v>
      </c>
      <c r="L51">
        <v>62.645000000000003</v>
      </c>
    </row>
    <row r="52" spans="1:12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</row>
    <row r="53" spans="1:12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615</v>
      </c>
      <c r="I53" s="23" t="s">
        <v>595</v>
      </c>
      <c r="J53" s="23" t="s">
        <v>596</v>
      </c>
      <c r="K53" s="10" t="s">
        <v>486</v>
      </c>
      <c r="L53" s="23" t="s">
        <v>487</v>
      </c>
    </row>
    <row r="54" spans="1:12" x14ac:dyDescent="0.15">
      <c r="A54" t="s">
        <v>491</v>
      </c>
      <c r="D54" s="7"/>
      <c r="E54" s="24" t="s">
        <v>534</v>
      </c>
      <c r="F54" s="25" t="s">
        <v>493</v>
      </c>
      <c r="G54" s="25" t="s">
        <v>525</v>
      </c>
      <c r="H54" s="25" t="s">
        <v>494</v>
      </c>
      <c r="I54" s="25" t="s">
        <v>494</v>
      </c>
      <c r="J54" s="25" t="s">
        <v>493</v>
      </c>
      <c r="K54" s="25" t="s">
        <v>493</v>
      </c>
      <c r="L54" s="25" t="s">
        <v>493</v>
      </c>
    </row>
    <row r="55" spans="1:12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498</v>
      </c>
      <c r="I55" s="25" t="s">
        <v>498</v>
      </c>
      <c r="J55" s="25" t="s">
        <v>527</v>
      </c>
      <c r="K55" s="25" t="s">
        <v>493</v>
      </c>
      <c r="L55" s="25" t="s">
        <v>493</v>
      </c>
    </row>
    <row r="56" spans="1:12" x14ac:dyDescent="0.15">
      <c r="A56" t="s">
        <v>499</v>
      </c>
      <c r="D56" s="7"/>
      <c r="E56" s="25" t="s">
        <v>528</v>
      </c>
      <c r="F56" s="37" t="s">
        <v>493</v>
      </c>
      <c r="G56" s="37">
        <v>22</v>
      </c>
      <c r="H56" s="37">
        <v>20</v>
      </c>
      <c r="I56" s="37">
        <v>80</v>
      </c>
      <c r="J56" s="37">
        <v>20</v>
      </c>
      <c r="K56" t="s">
        <v>493</v>
      </c>
      <c r="L56" t="s">
        <v>493</v>
      </c>
    </row>
    <row r="57" spans="1:12" x14ac:dyDescent="0.15">
      <c r="A57" t="s">
        <v>501</v>
      </c>
      <c r="D57" s="7"/>
      <c r="E57" s="25" t="s">
        <v>535</v>
      </c>
      <c r="F57" s="24" t="s">
        <v>536</v>
      </c>
      <c r="G57" s="24" t="s">
        <v>510</v>
      </c>
      <c r="H57" s="24" t="s">
        <v>537</v>
      </c>
      <c r="I57" s="24" t="s">
        <v>505</v>
      </c>
      <c r="J57" s="24" t="s">
        <v>506</v>
      </c>
      <c r="K57" s="24" t="s">
        <v>531</v>
      </c>
      <c r="L57" s="24" t="s">
        <v>532</v>
      </c>
    </row>
    <row r="58" spans="1:12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493</v>
      </c>
      <c r="I58" s="25" t="s">
        <v>494</v>
      </c>
      <c r="J58" s="25" t="s">
        <v>500</v>
      </c>
      <c r="K58" s="25" t="s">
        <v>493</v>
      </c>
      <c r="L58" s="25" t="s">
        <v>493</v>
      </c>
    </row>
    <row r="59" spans="1:12" x14ac:dyDescent="0.15">
      <c r="A59" s="92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</row>
  </sheetData>
  <sheetProtection algorithmName="SHA-512" hashValue="OHt9UnVRG0v5oQ244EvNEORi1eDYySbPRd6mwzxHKfwtzNqjKfdO0MjMKWwDHfjY2BZuoWqD1i6tT+vaFWMwHw==" saltValue="qbeX78iGlUZBKmMu9GLtK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/>
  <dimension ref="A1:L59"/>
  <sheetViews>
    <sheetView workbookViewId="0">
      <selection activeCell="H17" sqref="H17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  <col min="12" max="12" width="11.33203125" customWidth="1"/>
  </cols>
  <sheetData>
    <row r="1" spans="1:12" x14ac:dyDescent="0.15">
      <c r="A1" t="s">
        <v>722</v>
      </c>
    </row>
    <row r="2" spans="1:12" x14ac:dyDescent="0.15">
      <c r="A2" s="95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</row>
    <row r="3" spans="1:12" x14ac:dyDescent="0.15">
      <c r="A3" s="8" t="s">
        <v>87</v>
      </c>
      <c r="D3" s="7"/>
    </row>
    <row r="4" spans="1:12" x14ac:dyDescent="0.15">
      <c r="D4" s="7"/>
      <c r="E4" s="8" t="s">
        <v>93</v>
      </c>
    </row>
    <row r="5" spans="1:12" x14ac:dyDescent="0.15">
      <c r="A5" s="9" t="s">
        <v>88</v>
      </c>
      <c r="D5" s="7"/>
    </row>
    <row r="6" spans="1:12" x14ac:dyDescent="0.15">
      <c r="A6" s="9" t="s">
        <v>1030</v>
      </c>
      <c r="D6" s="7"/>
      <c r="E6" s="10" t="s">
        <v>1044</v>
      </c>
      <c r="F6" s="23" t="s">
        <v>591</v>
      </c>
      <c r="G6" s="23" t="s">
        <v>592</v>
      </c>
      <c r="H6" s="23" t="s">
        <v>615</v>
      </c>
      <c r="I6" s="23" t="s">
        <v>595</v>
      </c>
      <c r="J6" s="23" t="s">
        <v>596</v>
      </c>
      <c r="K6" s="10" t="s">
        <v>486</v>
      </c>
      <c r="L6" s="23" t="s">
        <v>487</v>
      </c>
    </row>
    <row r="7" spans="1:12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  <c r="L7" s="14">
        <v>0.33329999999999999</v>
      </c>
    </row>
    <row r="8" spans="1:12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  <c r="L8" s="15">
        <v>2</v>
      </c>
    </row>
    <row r="9" spans="1:12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  <c r="L9" s="14">
        <v>0.66659999999999997</v>
      </c>
    </row>
    <row r="10" spans="1:12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  <c r="L10" s="15">
        <v>4</v>
      </c>
    </row>
    <row r="11" spans="1:12" x14ac:dyDescent="0.15">
      <c r="A11" t="s">
        <v>67</v>
      </c>
      <c r="D11" s="7"/>
      <c r="E11" s="15">
        <v>6000</v>
      </c>
      <c r="F11" s="15">
        <v>3200</v>
      </c>
      <c r="G11" s="15">
        <v>6000</v>
      </c>
      <c r="H11" s="15">
        <v>3200</v>
      </c>
      <c r="I11" s="15">
        <v>3200</v>
      </c>
      <c r="J11" s="15">
        <v>3200</v>
      </c>
      <c r="K11" s="15">
        <v>6000</v>
      </c>
      <c r="L11" s="15">
        <v>3200</v>
      </c>
    </row>
    <row r="12" spans="1:12" x14ac:dyDescent="0.15">
      <c r="A12" s="11" t="s">
        <v>68</v>
      </c>
      <c r="B12" s="11"/>
      <c r="C12" s="11"/>
      <c r="D12" s="12"/>
      <c r="E12" s="11">
        <v>12000</v>
      </c>
      <c r="F12" s="11">
        <v>3200</v>
      </c>
      <c r="G12" s="11">
        <v>12000</v>
      </c>
      <c r="H12" s="11">
        <v>3200</v>
      </c>
      <c r="I12" s="11">
        <v>3200</v>
      </c>
      <c r="J12" s="11">
        <v>3200</v>
      </c>
      <c r="K12" s="11">
        <v>6000</v>
      </c>
      <c r="L12" s="11">
        <v>3200</v>
      </c>
    </row>
    <row r="13" spans="1:12" x14ac:dyDescent="0.15">
      <c r="A13" t="s">
        <v>71</v>
      </c>
      <c r="D13" s="7"/>
      <c r="E13">
        <v>1.9690000000000001</v>
      </c>
      <c r="F13">
        <v>2.2286000000000001</v>
      </c>
      <c r="G13" s="47">
        <v>2.3017500000000002</v>
      </c>
      <c r="H13">
        <v>2.3210000000000002</v>
      </c>
      <c r="I13">
        <v>2.0792000000000002</v>
      </c>
      <c r="J13">
        <v>2.1120000000000001</v>
      </c>
      <c r="K13">
        <v>2.101</v>
      </c>
      <c r="L13">
        <v>2.145</v>
      </c>
    </row>
    <row r="14" spans="1:12" x14ac:dyDescent="0.15">
      <c r="A14" t="s">
        <v>72</v>
      </c>
      <c r="D14" s="7"/>
      <c r="E14">
        <v>1.8447</v>
      </c>
      <c r="F14">
        <v>0</v>
      </c>
      <c r="G14" s="47">
        <v>2.0693199999999998</v>
      </c>
      <c r="H14">
        <v>0</v>
      </c>
      <c r="I14">
        <v>0</v>
      </c>
      <c r="J14">
        <v>0</v>
      </c>
      <c r="K14">
        <v>0</v>
      </c>
      <c r="L14">
        <v>0</v>
      </c>
    </row>
    <row r="15" spans="1:12" x14ac:dyDescent="0.15">
      <c r="A15" t="s">
        <v>75</v>
      </c>
      <c r="D15" s="7"/>
      <c r="E15">
        <v>1.65</v>
      </c>
      <c r="F15">
        <v>1.9260999999999999</v>
      </c>
      <c r="G15" s="47">
        <v>1.837</v>
      </c>
      <c r="H15">
        <v>2.0459999999999998</v>
      </c>
      <c r="I15">
        <v>1.9246000000000001</v>
      </c>
      <c r="J15">
        <v>1.76</v>
      </c>
      <c r="K15">
        <v>1.8919999999999999</v>
      </c>
      <c r="L15">
        <v>1.9359999999999999</v>
      </c>
    </row>
    <row r="16" spans="1:12" x14ac:dyDescent="0.15">
      <c r="A16" t="s">
        <v>76</v>
      </c>
      <c r="D16" s="7"/>
      <c r="E16">
        <v>1.8612</v>
      </c>
      <c r="F16">
        <v>1.8348</v>
      </c>
      <c r="G16" s="47">
        <v>1.9918800000000001</v>
      </c>
      <c r="H16">
        <v>1.98</v>
      </c>
      <c r="I16">
        <v>1.8311999999999999</v>
      </c>
      <c r="J16">
        <v>2.0129999999999999</v>
      </c>
      <c r="K16">
        <v>1.881</v>
      </c>
      <c r="L16">
        <v>1.9139999999999999</v>
      </c>
    </row>
    <row r="17" spans="1:12" x14ac:dyDescent="0.15">
      <c r="A17" t="s">
        <v>86</v>
      </c>
      <c r="D17" s="7"/>
      <c r="E17">
        <v>1.5224</v>
      </c>
      <c r="F17">
        <v>0</v>
      </c>
      <c r="G17" s="47">
        <v>1.7041200000000001</v>
      </c>
      <c r="H17">
        <v>0</v>
      </c>
      <c r="I17">
        <v>0</v>
      </c>
      <c r="J17">
        <v>0</v>
      </c>
      <c r="K17">
        <v>0</v>
      </c>
      <c r="L17">
        <v>0</v>
      </c>
    </row>
    <row r="18" spans="1:12" x14ac:dyDescent="0.15">
      <c r="A18" t="s">
        <v>80</v>
      </c>
      <c r="D18" s="7"/>
      <c r="E18">
        <v>1.4222999999999999</v>
      </c>
      <c r="F18">
        <v>1.6214</v>
      </c>
      <c r="G18" s="47">
        <v>1.6710100000000001</v>
      </c>
      <c r="H18">
        <v>1.738</v>
      </c>
      <c r="I18">
        <v>1.6431</v>
      </c>
      <c r="J18">
        <v>1.6279999999999999</v>
      </c>
      <c r="K18">
        <v>1.595</v>
      </c>
      <c r="L18">
        <v>1.639</v>
      </c>
    </row>
    <row r="19" spans="1:12" x14ac:dyDescent="0.15">
      <c r="A19" t="s">
        <v>81</v>
      </c>
      <c r="D19" s="7"/>
      <c r="E19">
        <v>64.415999999999997</v>
      </c>
      <c r="F19">
        <v>63.866</v>
      </c>
      <c r="G19" s="47">
        <v>60.863</v>
      </c>
      <c r="H19">
        <v>65.813000000000002</v>
      </c>
      <c r="I19">
        <v>60.46</v>
      </c>
      <c r="J19">
        <v>55</v>
      </c>
      <c r="K19">
        <v>61.445999999999998</v>
      </c>
      <c r="L19">
        <v>59.383000000000003</v>
      </c>
    </row>
    <row r="20" spans="1:12" x14ac:dyDescent="0.15">
      <c r="D20" s="7"/>
    </row>
    <row r="21" spans="1:12" x14ac:dyDescent="0.15">
      <c r="A21" s="9" t="s">
        <v>89</v>
      </c>
      <c r="D21" s="7"/>
    </row>
    <row r="22" spans="1:12" x14ac:dyDescent="0.15">
      <c r="A22" s="9" t="s">
        <v>1032</v>
      </c>
      <c r="D22" s="7"/>
      <c r="E22" s="10" t="s">
        <v>1044</v>
      </c>
      <c r="F22" s="23" t="s">
        <v>591</v>
      </c>
      <c r="G22" s="23" t="s">
        <v>592</v>
      </c>
      <c r="H22" s="10" t="s">
        <v>615</v>
      </c>
      <c r="I22" s="23" t="s">
        <v>546</v>
      </c>
      <c r="J22" s="10" t="s">
        <v>545</v>
      </c>
      <c r="K22" s="10" t="s">
        <v>486</v>
      </c>
      <c r="L22" s="23" t="s">
        <v>487</v>
      </c>
    </row>
    <row r="23" spans="1:12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  <c r="L23" s="14">
        <v>0.33329999999999999</v>
      </c>
    </row>
    <row r="24" spans="1:12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  <c r="L24" s="15">
        <v>2</v>
      </c>
    </row>
    <row r="25" spans="1:12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  <c r="L25" s="14">
        <v>0.66659999999999997</v>
      </c>
    </row>
    <row r="26" spans="1:12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  <c r="L26" s="15">
        <v>4</v>
      </c>
    </row>
    <row r="27" spans="1:12" x14ac:dyDescent="0.15">
      <c r="A27" t="s">
        <v>67</v>
      </c>
      <c r="D27" s="7"/>
      <c r="E27" s="15">
        <v>6000</v>
      </c>
      <c r="F27" s="15">
        <v>3500</v>
      </c>
      <c r="G27" s="15">
        <v>6000</v>
      </c>
      <c r="H27" s="15">
        <v>3500</v>
      </c>
      <c r="I27" s="15">
        <v>3500</v>
      </c>
      <c r="J27" s="15">
        <v>3500</v>
      </c>
      <c r="K27" s="15">
        <v>6000</v>
      </c>
      <c r="L27" s="15">
        <v>3500</v>
      </c>
    </row>
    <row r="28" spans="1:12" x14ac:dyDescent="0.15">
      <c r="A28" s="11" t="s">
        <v>68</v>
      </c>
      <c r="B28" s="11"/>
      <c r="C28" s="11"/>
      <c r="D28" s="12"/>
      <c r="E28" s="11">
        <v>12000</v>
      </c>
      <c r="F28" s="11">
        <v>3500</v>
      </c>
      <c r="G28" s="11">
        <v>12000</v>
      </c>
      <c r="H28" s="11">
        <v>3500</v>
      </c>
      <c r="I28" s="11">
        <v>3500</v>
      </c>
      <c r="J28" s="11">
        <v>3500</v>
      </c>
      <c r="K28" s="11">
        <v>6000</v>
      </c>
      <c r="L28" s="11">
        <v>3500</v>
      </c>
    </row>
    <row r="29" spans="1:12" x14ac:dyDescent="0.15">
      <c r="A29" t="s">
        <v>71</v>
      </c>
      <c r="D29" s="7"/>
      <c r="E29">
        <v>2.1175000000000002</v>
      </c>
      <c r="F29">
        <v>2.4430999999999998</v>
      </c>
      <c r="G29">
        <v>2.2796400000000001</v>
      </c>
      <c r="H29">
        <v>2.3980000000000001</v>
      </c>
      <c r="I29">
        <v>2.2553000000000001</v>
      </c>
      <c r="J29">
        <v>2.2109999999999999</v>
      </c>
      <c r="K29">
        <v>2.2879999999999998</v>
      </c>
      <c r="L29">
        <v>2.2330000000000001</v>
      </c>
    </row>
    <row r="30" spans="1:12" x14ac:dyDescent="0.15">
      <c r="A30" t="s">
        <v>72</v>
      </c>
      <c r="D30" s="7"/>
      <c r="E30">
        <v>1.7677</v>
      </c>
      <c r="F30">
        <v>0</v>
      </c>
      <c r="G30">
        <v>2.0693199999999998</v>
      </c>
      <c r="H30">
        <v>0</v>
      </c>
      <c r="I30">
        <v>0</v>
      </c>
      <c r="J30">
        <v>0</v>
      </c>
      <c r="K30">
        <v>0</v>
      </c>
      <c r="L30">
        <v>0</v>
      </c>
    </row>
    <row r="31" spans="1:12" x14ac:dyDescent="0.15">
      <c r="A31" t="s">
        <v>75</v>
      </c>
      <c r="D31" s="7"/>
      <c r="E31">
        <v>1.6148</v>
      </c>
      <c r="F31">
        <v>1.9613</v>
      </c>
      <c r="G31">
        <v>1.7484500000000001</v>
      </c>
      <c r="H31">
        <v>2.1339999999999999</v>
      </c>
      <c r="I31">
        <v>2.0007999999999999</v>
      </c>
      <c r="J31">
        <v>1.76</v>
      </c>
      <c r="K31">
        <v>1.8260000000000001</v>
      </c>
      <c r="L31">
        <v>1.9359999999999999</v>
      </c>
    </row>
    <row r="32" spans="1:12" x14ac:dyDescent="0.15">
      <c r="A32" t="s">
        <v>76</v>
      </c>
      <c r="D32" s="7"/>
      <c r="E32">
        <v>1.8919999999999999</v>
      </c>
      <c r="F32">
        <v>1.9371</v>
      </c>
      <c r="G32">
        <v>2.0139900000000002</v>
      </c>
      <c r="H32">
        <v>1.9690000000000001</v>
      </c>
      <c r="I32">
        <v>1.9875</v>
      </c>
      <c r="J32">
        <v>2.101</v>
      </c>
      <c r="K32">
        <v>2.1890000000000001</v>
      </c>
      <c r="L32">
        <v>1.9359999999999999</v>
      </c>
    </row>
    <row r="33" spans="1:12" x14ac:dyDescent="0.15">
      <c r="A33" t="s">
        <v>86</v>
      </c>
      <c r="D33" s="7"/>
      <c r="E33">
        <v>1.6114999999999999</v>
      </c>
      <c r="F33">
        <v>0</v>
      </c>
      <c r="G33">
        <v>1.7705599999999999</v>
      </c>
      <c r="H33">
        <v>0</v>
      </c>
      <c r="I33">
        <v>0</v>
      </c>
      <c r="J33">
        <v>0</v>
      </c>
      <c r="K33">
        <v>0</v>
      </c>
      <c r="L33">
        <v>0</v>
      </c>
    </row>
    <row r="34" spans="1:12" x14ac:dyDescent="0.15">
      <c r="A34" t="s">
        <v>80</v>
      </c>
      <c r="D34" s="7"/>
      <c r="E34">
        <v>1.5334000000000001</v>
      </c>
      <c r="F34">
        <v>1.6775</v>
      </c>
      <c r="G34">
        <v>1.46069</v>
      </c>
      <c r="H34">
        <v>1.8919999999999999</v>
      </c>
      <c r="I34">
        <v>1.7438</v>
      </c>
      <c r="J34">
        <v>1.661</v>
      </c>
      <c r="K34">
        <v>1.716</v>
      </c>
      <c r="L34">
        <v>1.7709999999999999</v>
      </c>
    </row>
    <row r="35" spans="1:12" x14ac:dyDescent="0.15">
      <c r="A35" t="s">
        <v>81</v>
      </c>
      <c r="D35" s="7"/>
      <c r="E35">
        <v>62.128</v>
      </c>
      <c r="F35">
        <v>63.052</v>
      </c>
      <c r="G35">
        <v>63.096200000000003</v>
      </c>
      <c r="H35">
        <v>66.472999999999999</v>
      </c>
      <c r="I35">
        <v>58.55</v>
      </c>
      <c r="J35">
        <v>55</v>
      </c>
      <c r="K35">
        <v>62.667000000000002</v>
      </c>
      <c r="L35">
        <v>57.189</v>
      </c>
    </row>
    <row r="36" spans="1:12" x14ac:dyDescent="0.15">
      <c r="D36" s="7"/>
    </row>
    <row r="37" spans="1:12" x14ac:dyDescent="0.15">
      <c r="A37" s="9" t="s">
        <v>89</v>
      </c>
      <c r="D37" s="7"/>
    </row>
    <row r="38" spans="1:12" x14ac:dyDescent="0.15">
      <c r="A38" s="9" t="s">
        <v>1034</v>
      </c>
      <c r="D38" s="7"/>
      <c r="E38" s="10" t="s">
        <v>1044</v>
      </c>
      <c r="F38" s="23" t="s">
        <v>591</v>
      </c>
      <c r="G38" s="23" t="s">
        <v>592</v>
      </c>
      <c r="H38" s="10" t="s">
        <v>615</v>
      </c>
      <c r="I38" s="23" t="s">
        <v>546</v>
      </c>
      <c r="J38" s="10" t="s">
        <v>545</v>
      </c>
      <c r="K38" s="10" t="s">
        <v>486</v>
      </c>
      <c r="L38" s="23" t="s">
        <v>487</v>
      </c>
    </row>
    <row r="39" spans="1:12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  <c r="L39" s="14">
        <v>0.33329999999999999</v>
      </c>
    </row>
    <row r="40" spans="1:12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  <c r="L40" s="15">
        <v>2</v>
      </c>
    </row>
    <row r="41" spans="1:12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  <c r="L41" s="14">
        <v>0.66659999999999997</v>
      </c>
    </row>
    <row r="42" spans="1:12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  <c r="L42" s="15">
        <v>4</v>
      </c>
    </row>
    <row r="43" spans="1:12" x14ac:dyDescent="0.15">
      <c r="A43" t="s">
        <v>67</v>
      </c>
      <c r="D43" s="7"/>
      <c r="E43" s="15">
        <v>6000</v>
      </c>
      <c r="F43" s="15">
        <v>3200</v>
      </c>
      <c r="G43" s="15">
        <v>6000</v>
      </c>
      <c r="H43" s="15">
        <v>3200</v>
      </c>
      <c r="I43" s="15">
        <v>3200</v>
      </c>
      <c r="J43" s="15">
        <v>3200</v>
      </c>
      <c r="K43" s="15">
        <v>6000</v>
      </c>
      <c r="L43" s="15">
        <v>3200</v>
      </c>
    </row>
    <row r="44" spans="1:12" x14ac:dyDescent="0.15">
      <c r="A44" s="11" t="s">
        <v>68</v>
      </c>
      <c r="B44" s="11"/>
      <c r="C44" s="11"/>
      <c r="D44" s="12"/>
      <c r="E44" s="11">
        <v>12000</v>
      </c>
      <c r="F44" s="11">
        <v>3200</v>
      </c>
      <c r="G44" s="11">
        <v>12000</v>
      </c>
      <c r="H44" s="11">
        <v>3200</v>
      </c>
      <c r="I44" s="11">
        <v>3200</v>
      </c>
      <c r="J44" s="11">
        <v>3200</v>
      </c>
      <c r="K44" s="11">
        <v>6000</v>
      </c>
      <c r="L44" s="11">
        <v>3200</v>
      </c>
    </row>
    <row r="45" spans="1:12" x14ac:dyDescent="0.15">
      <c r="A45" t="s">
        <v>71</v>
      </c>
      <c r="D45" s="7"/>
      <c r="E45">
        <v>2.1714000000000002</v>
      </c>
      <c r="F45">
        <v>2.4607000000000001</v>
      </c>
      <c r="G45" s="47">
        <v>2.46774</v>
      </c>
      <c r="H45">
        <v>2.5190000000000001</v>
      </c>
      <c r="I45">
        <v>2.3144</v>
      </c>
      <c r="J45">
        <v>2.2770000000000001</v>
      </c>
      <c r="K45">
        <v>2.2879999999999998</v>
      </c>
      <c r="L45">
        <v>2.343</v>
      </c>
    </row>
    <row r="46" spans="1:12" x14ac:dyDescent="0.15">
      <c r="A46" t="s">
        <v>72</v>
      </c>
      <c r="D46" s="7"/>
      <c r="E46">
        <v>1.6467000000000001</v>
      </c>
      <c r="F46">
        <v>0</v>
      </c>
      <c r="G46" s="47">
        <v>2.0914299999999999</v>
      </c>
      <c r="H46">
        <v>0</v>
      </c>
      <c r="I46">
        <v>0</v>
      </c>
      <c r="J46">
        <v>0</v>
      </c>
      <c r="K46">
        <v>0</v>
      </c>
      <c r="L46">
        <v>0</v>
      </c>
    </row>
    <row r="47" spans="1:12" x14ac:dyDescent="0.15">
      <c r="A47" t="s">
        <v>75</v>
      </c>
      <c r="D47" s="7"/>
      <c r="E47">
        <v>1.3728</v>
      </c>
      <c r="F47">
        <v>1.8798999999999999</v>
      </c>
      <c r="G47" s="47">
        <v>1.69312</v>
      </c>
      <c r="H47">
        <v>2.0129999999999999</v>
      </c>
      <c r="I47">
        <v>1.9162999999999999</v>
      </c>
      <c r="J47">
        <v>1.8480000000000001</v>
      </c>
      <c r="K47">
        <v>1.859</v>
      </c>
      <c r="L47">
        <v>1.925</v>
      </c>
    </row>
    <row r="48" spans="1:12" x14ac:dyDescent="0.15">
      <c r="A48" t="s">
        <v>76</v>
      </c>
      <c r="D48" s="7"/>
      <c r="E48">
        <v>2.0152000000000001</v>
      </c>
      <c r="F48">
        <v>2.1076000000000001</v>
      </c>
      <c r="G48" s="47">
        <v>2.0914299999999999</v>
      </c>
      <c r="H48">
        <v>2.145</v>
      </c>
      <c r="I48">
        <v>2.0756999999999999</v>
      </c>
      <c r="J48">
        <v>2.1230000000000002</v>
      </c>
      <c r="K48">
        <v>2.09</v>
      </c>
      <c r="L48">
        <v>2.0790000000000002</v>
      </c>
    </row>
    <row r="49" spans="1:12" x14ac:dyDescent="0.15">
      <c r="A49" t="s">
        <v>86</v>
      </c>
      <c r="D49" s="7"/>
      <c r="E49">
        <v>1.4729000000000001</v>
      </c>
      <c r="F49">
        <v>0</v>
      </c>
      <c r="G49" s="47">
        <v>1.9144399999999999</v>
      </c>
      <c r="H49">
        <v>0</v>
      </c>
      <c r="I49">
        <v>0</v>
      </c>
      <c r="J49">
        <v>0</v>
      </c>
      <c r="K49">
        <v>0</v>
      </c>
      <c r="L49">
        <v>0</v>
      </c>
    </row>
    <row r="50" spans="1:12" x14ac:dyDescent="0.15">
      <c r="A50" t="s">
        <v>80</v>
      </c>
      <c r="D50" s="7"/>
      <c r="E50">
        <v>1.3321000000000001</v>
      </c>
      <c r="F50">
        <v>1.7050000000000001</v>
      </c>
      <c r="G50" s="47">
        <v>1.57135</v>
      </c>
      <c r="H50">
        <v>1.881</v>
      </c>
      <c r="I50">
        <v>1.7615000000000001</v>
      </c>
      <c r="J50">
        <v>1.6830000000000001</v>
      </c>
      <c r="K50">
        <v>1.716</v>
      </c>
      <c r="L50">
        <v>1.804</v>
      </c>
    </row>
    <row r="51" spans="1:12" x14ac:dyDescent="0.15">
      <c r="A51" t="s">
        <v>81</v>
      </c>
      <c r="D51" s="7"/>
      <c r="E51">
        <v>64.185000000000002</v>
      </c>
      <c r="F51">
        <v>65.427999999999997</v>
      </c>
      <c r="G51" s="47">
        <v>65.289400000000001</v>
      </c>
      <c r="H51">
        <v>67.352999999999994</v>
      </c>
      <c r="I51">
        <v>61.28</v>
      </c>
      <c r="J51">
        <v>55</v>
      </c>
      <c r="K51">
        <v>61.984999999999999</v>
      </c>
      <c r="L51">
        <v>58.289000000000001</v>
      </c>
    </row>
    <row r="52" spans="1:12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</row>
    <row r="53" spans="1:12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615</v>
      </c>
      <c r="I53" s="23" t="s">
        <v>595</v>
      </c>
      <c r="J53" s="23" t="s">
        <v>596</v>
      </c>
      <c r="K53" s="10" t="s">
        <v>486</v>
      </c>
      <c r="L53" s="23" t="s">
        <v>487</v>
      </c>
    </row>
    <row r="54" spans="1:12" x14ac:dyDescent="0.15">
      <c r="A54" t="s">
        <v>491</v>
      </c>
      <c r="D54" s="7"/>
      <c r="E54" s="24" t="s">
        <v>534</v>
      </c>
      <c r="F54" s="25" t="s">
        <v>493</v>
      </c>
      <c r="G54" s="25" t="s">
        <v>525</v>
      </c>
      <c r="H54" s="25" t="s">
        <v>494</v>
      </c>
      <c r="I54" s="25" t="s">
        <v>494</v>
      </c>
      <c r="J54" s="25" t="s">
        <v>493</v>
      </c>
      <c r="K54" s="25" t="s">
        <v>493</v>
      </c>
      <c r="L54" s="25" t="s">
        <v>493</v>
      </c>
    </row>
    <row r="55" spans="1:12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498</v>
      </c>
      <c r="I55" s="25" t="s">
        <v>498</v>
      </c>
      <c r="J55" s="25" t="s">
        <v>527</v>
      </c>
      <c r="K55" s="25" t="s">
        <v>493</v>
      </c>
      <c r="L55" s="25" t="s">
        <v>493</v>
      </c>
    </row>
    <row r="56" spans="1:12" x14ac:dyDescent="0.15">
      <c r="A56" t="s">
        <v>499</v>
      </c>
      <c r="D56" s="7"/>
      <c r="E56" s="25" t="s">
        <v>528</v>
      </c>
      <c r="F56" s="37" t="s">
        <v>493</v>
      </c>
      <c r="G56" s="37">
        <v>22</v>
      </c>
      <c r="H56" s="37">
        <v>20</v>
      </c>
      <c r="I56" s="37">
        <v>80</v>
      </c>
      <c r="J56" s="37">
        <v>20</v>
      </c>
      <c r="K56" t="s">
        <v>493</v>
      </c>
      <c r="L56" t="s">
        <v>493</v>
      </c>
    </row>
    <row r="57" spans="1:12" x14ac:dyDescent="0.15">
      <c r="A57" t="s">
        <v>501</v>
      </c>
      <c r="D57" s="7"/>
      <c r="E57" s="25" t="s">
        <v>535</v>
      </c>
      <c r="F57" s="24" t="s">
        <v>536</v>
      </c>
      <c r="G57" s="24" t="s">
        <v>510</v>
      </c>
      <c r="H57" s="24" t="s">
        <v>537</v>
      </c>
      <c r="I57" s="24" t="s">
        <v>505</v>
      </c>
      <c r="J57" s="24" t="s">
        <v>506</v>
      </c>
      <c r="K57" s="24" t="s">
        <v>531</v>
      </c>
      <c r="L57" s="24" t="s">
        <v>532</v>
      </c>
    </row>
    <row r="58" spans="1:12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493</v>
      </c>
      <c r="I58" s="25" t="s">
        <v>494</v>
      </c>
      <c r="J58" s="25" t="s">
        <v>500</v>
      </c>
      <c r="K58" s="25" t="s">
        <v>493</v>
      </c>
      <c r="L58" s="25" t="s">
        <v>493</v>
      </c>
    </row>
    <row r="59" spans="1:12" x14ac:dyDescent="0.15">
      <c r="A59" s="92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</row>
  </sheetData>
  <sheetProtection algorithmName="SHA-512" hashValue="CzGHwtzVFBe0+XadP1pzj+1sTzGenNdY43phxxwgOAx0sG/Nmlv4+1Tcsg5aa0L9jZuRjuwxv32gyzJi+OLyQw==" saltValue="182u5HN73HGIFxVtuweXsA==" spinCount="100000" sheet="1" objects="1" scenarios="1"/>
  <phoneticPr fontId="20" type="noConversion"/>
  <pageMargins left="0.75" right="0.75" top="1" bottom="1" header="0.5" footer="0.5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/>
  <dimension ref="A1:L55"/>
  <sheetViews>
    <sheetView workbookViewId="0">
      <selection activeCell="O26" sqref="O26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2" x14ac:dyDescent="0.15">
      <c r="A1" t="s">
        <v>722</v>
      </c>
    </row>
    <row r="2" spans="1:12" x14ac:dyDescent="0.15">
      <c r="A2" s="86"/>
      <c r="B2" s="87"/>
      <c r="C2" s="87"/>
      <c r="D2" s="87"/>
      <c r="E2" s="87"/>
      <c r="F2" s="87"/>
      <c r="G2" s="87"/>
      <c r="H2" s="87"/>
      <c r="I2" s="87"/>
      <c r="J2" s="87"/>
      <c r="K2" s="88"/>
      <c r="L2" s="88"/>
    </row>
    <row r="3" spans="1:12" x14ac:dyDescent="0.15">
      <c r="A3" s="4" t="s">
        <v>61</v>
      </c>
      <c r="B3" s="5"/>
      <c r="C3" s="5"/>
      <c r="D3" s="6"/>
      <c r="E3" s="5"/>
      <c r="F3" s="5"/>
      <c r="G3" s="5"/>
      <c r="H3" s="5"/>
      <c r="I3" s="5"/>
      <c r="J3" s="5"/>
    </row>
    <row r="4" spans="1:12" x14ac:dyDescent="0.15">
      <c r="D4" s="7"/>
      <c r="E4" s="8" t="s">
        <v>94</v>
      </c>
    </row>
    <row r="5" spans="1:12" x14ac:dyDescent="0.15">
      <c r="D5" s="7"/>
    </row>
    <row r="6" spans="1:12" x14ac:dyDescent="0.15">
      <c r="A6" s="9" t="s">
        <v>1074</v>
      </c>
      <c r="D6" s="7"/>
      <c r="E6" s="10" t="s">
        <v>1044</v>
      </c>
      <c r="F6" s="23" t="s">
        <v>591</v>
      </c>
      <c r="G6" s="23" t="s">
        <v>592</v>
      </c>
      <c r="H6" s="23" t="s">
        <v>615</v>
      </c>
      <c r="I6" s="23" t="s">
        <v>595</v>
      </c>
      <c r="J6" s="23" t="s">
        <v>596</v>
      </c>
      <c r="K6" s="10" t="s">
        <v>486</v>
      </c>
      <c r="L6" s="23" t="s">
        <v>487</v>
      </c>
    </row>
    <row r="7" spans="1:12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  <c r="K7" s="13">
        <v>0.5</v>
      </c>
      <c r="L7" s="13">
        <v>0.5</v>
      </c>
    </row>
    <row r="8" spans="1:12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  <c r="K8" s="15">
        <v>3</v>
      </c>
      <c r="L8" s="15">
        <v>3</v>
      </c>
    </row>
    <row r="9" spans="1:12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  <c r="K9" s="13">
        <v>0.5</v>
      </c>
      <c r="L9" s="13">
        <v>0.5</v>
      </c>
    </row>
    <row r="10" spans="1:12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  <c r="K10" s="15">
        <v>3</v>
      </c>
      <c r="L10" s="15">
        <v>3</v>
      </c>
    </row>
    <row r="11" spans="1:12" x14ac:dyDescent="0.15">
      <c r="A11" t="s">
        <v>67</v>
      </c>
      <c r="D11" s="7"/>
      <c r="E11" s="15">
        <v>3000</v>
      </c>
      <c r="F11">
        <v>6000</v>
      </c>
      <c r="G11" s="15">
        <v>3000</v>
      </c>
      <c r="H11" s="15">
        <v>6000</v>
      </c>
      <c r="I11" s="15">
        <v>6000</v>
      </c>
      <c r="J11" s="15">
        <v>6000</v>
      </c>
      <c r="K11" s="15">
        <v>3000</v>
      </c>
      <c r="L11" s="15">
        <v>6000</v>
      </c>
    </row>
    <row r="12" spans="1:12" x14ac:dyDescent="0.15">
      <c r="A12" t="s">
        <v>68</v>
      </c>
      <c r="D12" s="7"/>
      <c r="E12">
        <v>6000</v>
      </c>
      <c r="F12">
        <v>9000</v>
      </c>
      <c r="G12" s="15">
        <v>6000</v>
      </c>
      <c r="H12">
        <v>9000</v>
      </c>
      <c r="I12">
        <v>9000</v>
      </c>
      <c r="J12">
        <v>9000</v>
      </c>
      <c r="K12">
        <v>6000</v>
      </c>
      <c r="L12">
        <v>9000</v>
      </c>
    </row>
    <row r="13" spans="1:12" x14ac:dyDescent="0.15">
      <c r="A13" t="s">
        <v>69</v>
      </c>
      <c r="D13" s="7"/>
      <c r="E13">
        <v>9000</v>
      </c>
      <c r="F13" s="15">
        <v>9000</v>
      </c>
      <c r="G13" s="15">
        <v>9000</v>
      </c>
      <c r="H13" s="15">
        <v>9000</v>
      </c>
      <c r="I13" s="15">
        <v>9000</v>
      </c>
      <c r="J13" s="15">
        <v>9000</v>
      </c>
      <c r="K13" s="15">
        <v>6000</v>
      </c>
      <c r="L13" s="15">
        <v>9000</v>
      </c>
    </row>
    <row r="14" spans="1:12" x14ac:dyDescent="0.15">
      <c r="A14" s="11" t="s">
        <v>70</v>
      </c>
      <c r="B14" s="11"/>
      <c r="C14" s="11"/>
      <c r="D14" s="12"/>
      <c r="E14" s="11">
        <v>15000</v>
      </c>
      <c r="F14" s="11">
        <v>9000</v>
      </c>
      <c r="G14" s="11">
        <v>15000</v>
      </c>
      <c r="H14" s="11">
        <v>9000</v>
      </c>
      <c r="I14" s="11">
        <v>9000</v>
      </c>
      <c r="J14" s="11">
        <v>9000</v>
      </c>
      <c r="K14" s="11">
        <v>6000</v>
      </c>
      <c r="L14" s="11">
        <v>9000</v>
      </c>
    </row>
    <row r="15" spans="1:12" x14ac:dyDescent="0.15">
      <c r="A15" t="s">
        <v>71</v>
      </c>
      <c r="D15" s="7"/>
      <c r="E15">
        <v>2.1791</v>
      </c>
      <c r="F15">
        <v>2.2080000000000002</v>
      </c>
      <c r="G15">
        <v>2.1669999999999998</v>
      </c>
      <c r="H15">
        <v>2.415</v>
      </c>
      <c r="I15">
        <v>2.0901000000000001</v>
      </c>
      <c r="J15" s="22">
        <v>2.1120000000000001</v>
      </c>
      <c r="K15">
        <v>2.101</v>
      </c>
      <c r="L15">
        <v>2.1230000000000002</v>
      </c>
    </row>
    <row r="16" spans="1:12" x14ac:dyDescent="0.15">
      <c r="A16" t="s">
        <v>72</v>
      </c>
      <c r="D16" s="7"/>
      <c r="E16">
        <v>1.8996999999999999</v>
      </c>
      <c r="F16">
        <v>1.7556</v>
      </c>
      <c r="G16">
        <v>1.958</v>
      </c>
      <c r="H16">
        <v>1.762</v>
      </c>
      <c r="I16">
        <v>1.6785000000000001</v>
      </c>
      <c r="J16" s="22">
        <v>1.782</v>
      </c>
      <c r="K16">
        <v>1.837</v>
      </c>
      <c r="L16">
        <v>1.595</v>
      </c>
    </row>
    <row r="17" spans="1:12" x14ac:dyDescent="0.15">
      <c r="A17" t="s">
        <v>73</v>
      </c>
      <c r="D17" s="7"/>
      <c r="E17">
        <v>1.5213000000000001</v>
      </c>
      <c r="F17">
        <v>0</v>
      </c>
      <c r="G17">
        <v>1.5509999999999999</v>
      </c>
      <c r="H17">
        <v>0</v>
      </c>
      <c r="I17">
        <v>0</v>
      </c>
      <c r="J17" s="22">
        <v>0</v>
      </c>
      <c r="K17">
        <v>0</v>
      </c>
      <c r="L17">
        <v>0</v>
      </c>
    </row>
    <row r="18" spans="1:12" x14ac:dyDescent="0.15">
      <c r="A18" t="s">
        <v>74</v>
      </c>
      <c r="D18" s="7"/>
      <c r="E18">
        <v>1.3222</v>
      </c>
      <c r="F18">
        <v>0</v>
      </c>
      <c r="G18">
        <v>1.43</v>
      </c>
      <c r="H18">
        <v>0</v>
      </c>
      <c r="I18">
        <v>0</v>
      </c>
      <c r="J18" s="22">
        <v>0</v>
      </c>
      <c r="K18">
        <v>0</v>
      </c>
      <c r="L18">
        <v>0</v>
      </c>
    </row>
    <row r="19" spans="1:12" x14ac:dyDescent="0.15">
      <c r="A19" t="s">
        <v>75</v>
      </c>
      <c r="D19" s="7"/>
      <c r="E19">
        <v>1.2342</v>
      </c>
      <c r="F19">
        <v>1.2000999999999999</v>
      </c>
      <c r="G19">
        <v>1.2649999999999999</v>
      </c>
      <c r="H19">
        <v>1.2090000000000001</v>
      </c>
      <c r="I19">
        <v>1.4957</v>
      </c>
      <c r="J19" s="22">
        <v>1.232</v>
      </c>
      <c r="K19">
        <v>1.518</v>
      </c>
      <c r="L19">
        <v>1.276</v>
      </c>
    </row>
    <row r="20" spans="1:12" x14ac:dyDescent="0.15">
      <c r="A20" t="s">
        <v>76</v>
      </c>
      <c r="D20" s="7"/>
      <c r="E20">
        <v>2.0691000000000002</v>
      </c>
      <c r="F20">
        <v>1.9843999999999999</v>
      </c>
      <c r="G20">
        <v>2.0790000000000002</v>
      </c>
      <c r="H20">
        <v>2.2450000000000001</v>
      </c>
      <c r="I20">
        <v>1.9838</v>
      </c>
      <c r="J20" s="22">
        <v>1.958</v>
      </c>
      <c r="K20">
        <v>2.0350000000000001</v>
      </c>
      <c r="L20">
        <v>2.0680000000000001</v>
      </c>
    </row>
    <row r="21" spans="1:12" x14ac:dyDescent="0.15">
      <c r="A21" t="s">
        <v>77</v>
      </c>
      <c r="D21" s="7"/>
      <c r="E21">
        <v>1.7907999999999999</v>
      </c>
      <c r="F21">
        <v>1.5136000000000001</v>
      </c>
      <c r="G21">
        <v>1.8919999999999999</v>
      </c>
      <c r="H21">
        <v>1.53</v>
      </c>
      <c r="I21">
        <v>1.5914999999999999</v>
      </c>
      <c r="J21" s="22">
        <v>1.375</v>
      </c>
      <c r="K21">
        <v>1.7929999999999999</v>
      </c>
      <c r="L21">
        <v>1.5289999999999999</v>
      </c>
    </row>
    <row r="22" spans="1:12" x14ac:dyDescent="0.15">
      <c r="A22" t="s">
        <v>78</v>
      </c>
      <c r="D22" s="7"/>
      <c r="E22">
        <v>1.4773000000000001</v>
      </c>
      <c r="F22">
        <v>0</v>
      </c>
      <c r="G22">
        <v>1.518</v>
      </c>
      <c r="H22">
        <v>0</v>
      </c>
      <c r="I22">
        <v>0</v>
      </c>
      <c r="J22" s="22">
        <v>0</v>
      </c>
      <c r="K22">
        <v>0</v>
      </c>
      <c r="L22">
        <v>0</v>
      </c>
    </row>
    <row r="23" spans="1:12" x14ac:dyDescent="0.15">
      <c r="A23" t="s">
        <v>79</v>
      </c>
      <c r="D23" s="7"/>
      <c r="E23">
        <v>1.3046</v>
      </c>
      <c r="F23">
        <v>0</v>
      </c>
      <c r="G23">
        <v>1.3420000000000001</v>
      </c>
      <c r="H23">
        <v>0</v>
      </c>
      <c r="I23">
        <v>0</v>
      </c>
      <c r="J23" s="22">
        <v>0</v>
      </c>
      <c r="K23">
        <v>0</v>
      </c>
      <c r="L23">
        <v>0</v>
      </c>
    </row>
    <row r="24" spans="1:12" x14ac:dyDescent="0.15">
      <c r="A24" t="s">
        <v>80</v>
      </c>
      <c r="D24" s="7"/>
      <c r="E24">
        <v>1.2034</v>
      </c>
      <c r="F24">
        <v>1.1175999999999999</v>
      </c>
      <c r="G24">
        <v>1.21</v>
      </c>
      <c r="H24">
        <v>1.1419999999999999</v>
      </c>
      <c r="I24">
        <v>1.4329000000000001</v>
      </c>
      <c r="J24" s="22">
        <v>1.1990000000000001</v>
      </c>
      <c r="K24">
        <v>1.5069999999999999</v>
      </c>
      <c r="L24">
        <v>1.1990000000000001</v>
      </c>
    </row>
    <row r="25" spans="1:12" x14ac:dyDescent="0.15">
      <c r="A25" t="s">
        <v>81</v>
      </c>
      <c r="D25" s="7"/>
      <c r="E25">
        <v>67.122</v>
      </c>
      <c r="F25">
        <v>66.715000000000003</v>
      </c>
      <c r="G25">
        <v>71.5</v>
      </c>
      <c r="H25">
        <v>75.343999999999994</v>
      </c>
      <c r="I25">
        <v>68.75</v>
      </c>
      <c r="J25" s="22">
        <v>57.75</v>
      </c>
      <c r="K25">
        <v>64.888999999999996</v>
      </c>
      <c r="L25">
        <v>58.289000000000001</v>
      </c>
    </row>
    <row r="26" spans="1:12" x14ac:dyDescent="0.15">
      <c r="D26" s="7"/>
    </row>
    <row r="27" spans="1:12" x14ac:dyDescent="0.15">
      <c r="D27" s="7"/>
    </row>
    <row r="28" spans="1:12" x14ac:dyDescent="0.15">
      <c r="A28" s="9" t="s">
        <v>1076</v>
      </c>
      <c r="D28" s="7"/>
      <c r="E28" s="10" t="s">
        <v>1044</v>
      </c>
      <c r="F28" s="23" t="s">
        <v>591</v>
      </c>
      <c r="G28" s="23" t="s">
        <v>592</v>
      </c>
      <c r="H28" s="10" t="s">
        <v>615</v>
      </c>
      <c r="I28" s="23" t="s">
        <v>546</v>
      </c>
      <c r="J28" s="10" t="s">
        <v>545</v>
      </c>
      <c r="K28" s="10" t="s">
        <v>486</v>
      </c>
      <c r="L28" s="10" t="s">
        <v>487</v>
      </c>
    </row>
    <row r="29" spans="1:12" x14ac:dyDescent="0.15">
      <c r="A29" s="1" t="s">
        <v>63</v>
      </c>
      <c r="D29" s="7"/>
      <c r="E29" s="13">
        <v>0.5</v>
      </c>
      <c r="F29" s="13">
        <v>0.5</v>
      </c>
      <c r="G29" s="13">
        <v>0.5</v>
      </c>
      <c r="H29" s="14">
        <v>0.33329999999999999</v>
      </c>
      <c r="I29" s="13">
        <v>0.5</v>
      </c>
      <c r="J29" s="13">
        <v>0.5</v>
      </c>
      <c r="K29" s="13">
        <v>0.5</v>
      </c>
      <c r="L29" s="13">
        <v>0.5</v>
      </c>
    </row>
    <row r="30" spans="1:12" x14ac:dyDescent="0.15">
      <c r="A30" s="1" t="s">
        <v>64</v>
      </c>
      <c r="D30" s="7"/>
      <c r="E30" s="15">
        <v>3</v>
      </c>
      <c r="F30" s="15">
        <v>3</v>
      </c>
      <c r="G30" s="15">
        <v>3</v>
      </c>
      <c r="H30" s="15">
        <v>2</v>
      </c>
      <c r="I30" s="15">
        <v>3</v>
      </c>
      <c r="J30" s="15">
        <v>3</v>
      </c>
      <c r="K30" s="15">
        <v>3</v>
      </c>
      <c r="L30" s="15">
        <v>3</v>
      </c>
    </row>
    <row r="31" spans="1:12" x14ac:dyDescent="0.15">
      <c r="A31" s="1" t="s">
        <v>65</v>
      </c>
      <c r="D31" s="7"/>
      <c r="E31" s="13">
        <v>0.5</v>
      </c>
      <c r="F31" s="13">
        <v>0.5</v>
      </c>
      <c r="G31" s="13">
        <v>0.5</v>
      </c>
      <c r="H31" s="14">
        <v>0.66659999999999997</v>
      </c>
      <c r="I31" s="13">
        <v>0.5</v>
      </c>
      <c r="J31" s="13">
        <v>0.5</v>
      </c>
      <c r="K31" s="13">
        <v>0.5</v>
      </c>
      <c r="L31" s="13">
        <v>0.5</v>
      </c>
    </row>
    <row r="32" spans="1:12" x14ac:dyDescent="0.15">
      <c r="A32" s="1" t="s">
        <v>66</v>
      </c>
      <c r="D32" s="7"/>
      <c r="E32" s="15">
        <v>3</v>
      </c>
      <c r="F32" s="15">
        <v>3</v>
      </c>
      <c r="G32" s="15">
        <v>3</v>
      </c>
      <c r="H32" s="15">
        <v>4</v>
      </c>
      <c r="I32" s="15">
        <v>3</v>
      </c>
      <c r="J32" s="15">
        <v>3</v>
      </c>
      <c r="K32" s="15">
        <v>3</v>
      </c>
      <c r="L32" s="15">
        <v>3</v>
      </c>
    </row>
    <row r="33" spans="1:12" x14ac:dyDescent="0.15">
      <c r="A33" t="s">
        <v>67</v>
      </c>
      <c r="D33" s="7"/>
      <c r="E33" s="15">
        <v>3000</v>
      </c>
      <c r="F33" s="15">
        <v>3500</v>
      </c>
      <c r="G33" s="15">
        <v>3000</v>
      </c>
      <c r="H33" s="15">
        <v>3500</v>
      </c>
      <c r="I33" s="15">
        <v>3500</v>
      </c>
      <c r="J33" s="15">
        <v>3500</v>
      </c>
      <c r="K33" s="15">
        <v>3000</v>
      </c>
      <c r="L33" s="15">
        <v>3500</v>
      </c>
    </row>
    <row r="34" spans="1:12" x14ac:dyDescent="0.15">
      <c r="A34" t="s">
        <v>68</v>
      </c>
      <c r="D34" s="7"/>
      <c r="E34" s="15">
        <v>6000</v>
      </c>
      <c r="F34" s="15">
        <v>3500</v>
      </c>
      <c r="G34" s="15">
        <v>6000</v>
      </c>
      <c r="H34" s="15">
        <v>3500</v>
      </c>
      <c r="I34" s="15">
        <v>3500</v>
      </c>
      <c r="J34" s="15">
        <v>3500</v>
      </c>
      <c r="K34">
        <v>3000</v>
      </c>
      <c r="L34" s="15">
        <v>3500</v>
      </c>
    </row>
    <row r="35" spans="1:12" x14ac:dyDescent="0.15">
      <c r="A35" t="s">
        <v>69</v>
      </c>
      <c r="D35" s="7"/>
      <c r="E35" s="15">
        <v>9000</v>
      </c>
      <c r="F35" s="15">
        <v>3500</v>
      </c>
      <c r="G35" s="15">
        <v>9000</v>
      </c>
      <c r="H35" s="15">
        <v>3500</v>
      </c>
      <c r="I35" s="15">
        <v>3500</v>
      </c>
      <c r="J35" s="15">
        <v>3500</v>
      </c>
      <c r="K35" s="15">
        <v>3000</v>
      </c>
      <c r="L35" s="15">
        <v>3500</v>
      </c>
    </row>
    <row r="36" spans="1:12" x14ac:dyDescent="0.15">
      <c r="A36" s="11" t="s">
        <v>70</v>
      </c>
      <c r="B36" s="11"/>
      <c r="C36" s="11"/>
      <c r="D36" s="12"/>
      <c r="E36" s="11">
        <v>15000</v>
      </c>
      <c r="F36" s="11">
        <v>3500</v>
      </c>
      <c r="G36" s="11">
        <v>15000</v>
      </c>
      <c r="H36" s="11">
        <v>3500</v>
      </c>
      <c r="I36" s="11">
        <v>3500</v>
      </c>
      <c r="J36" s="11">
        <v>3500</v>
      </c>
      <c r="K36" s="11">
        <v>3000</v>
      </c>
      <c r="L36" s="11">
        <v>3500</v>
      </c>
    </row>
    <row r="37" spans="1:12" x14ac:dyDescent="0.15">
      <c r="A37" t="s">
        <v>71</v>
      </c>
      <c r="D37" s="7"/>
      <c r="E37">
        <v>2.2164999999999999</v>
      </c>
      <c r="F37">
        <v>2.1758000000000002</v>
      </c>
      <c r="G37">
        <v>2.145</v>
      </c>
      <c r="H37">
        <v>2.17</v>
      </c>
      <c r="I37">
        <v>2.09</v>
      </c>
      <c r="J37" s="22">
        <v>1.9910000000000001</v>
      </c>
      <c r="K37">
        <v>2.1779999999999999</v>
      </c>
      <c r="L37">
        <v>2.024</v>
      </c>
    </row>
    <row r="38" spans="1:12" x14ac:dyDescent="0.15">
      <c r="A38" t="s">
        <v>72</v>
      </c>
      <c r="D38" s="7"/>
      <c r="E38">
        <v>1.9305000000000001</v>
      </c>
      <c r="F38">
        <v>0</v>
      </c>
      <c r="G38">
        <v>1.9690000000000001</v>
      </c>
      <c r="H38">
        <v>0</v>
      </c>
      <c r="I38" s="15">
        <v>0</v>
      </c>
      <c r="J38" s="36">
        <v>0</v>
      </c>
      <c r="K38">
        <v>0</v>
      </c>
      <c r="L38">
        <v>0</v>
      </c>
    </row>
    <row r="39" spans="1:12" x14ac:dyDescent="0.15">
      <c r="A39" t="s">
        <v>73</v>
      </c>
      <c r="D39" s="7"/>
      <c r="E39">
        <v>1.5851</v>
      </c>
      <c r="F39">
        <v>0</v>
      </c>
      <c r="G39">
        <v>1.716</v>
      </c>
      <c r="H39">
        <v>0</v>
      </c>
      <c r="I39" s="15">
        <v>0</v>
      </c>
      <c r="J39" s="36">
        <v>0</v>
      </c>
      <c r="K39">
        <v>0</v>
      </c>
      <c r="L39">
        <v>0</v>
      </c>
    </row>
    <row r="40" spans="1:12" x14ac:dyDescent="0.15">
      <c r="A40" t="s">
        <v>74</v>
      </c>
      <c r="D40" s="7"/>
      <c r="E40">
        <v>1.4476</v>
      </c>
      <c r="F40">
        <v>0</v>
      </c>
      <c r="G40">
        <v>1.5509999999999999</v>
      </c>
      <c r="H40">
        <v>0</v>
      </c>
      <c r="I40" s="15">
        <v>0</v>
      </c>
      <c r="J40" s="36">
        <v>0</v>
      </c>
      <c r="K40">
        <v>0</v>
      </c>
      <c r="L40">
        <v>0</v>
      </c>
    </row>
    <row r="41" spans="1:12" x14ac:dyDescent="0.15">
      <c r="A41" t="s">
        <v>75</v>
      </c>
      <c r="D41" s="7"/>
      <c r="E41">
        <v>1.4234</v>
      </c>
      <c r="F41">
        <v>1.7435</v>
      </c>
      <c r="G41">
        <v>1.54</v>
      </c>
      <c r="H41">
        <v>1.8740000000000001</v>
      </c>
      <c r="I41">
        <v>1.7931999999999999</v>
      </c>
      <c r="J41" s="22">
        <v>1.738</v>
      </c>
      <c r="K41">
        <v>1.6719999999999999</v>
      </c>
      <c r="L41">
        <v>1.6830000000000001</v>
      </c>
    </row>
    <row r="42" spans="1:12" x14ac:dyDescent="0.15">
      <c r="A42" t="s">
        <v>76</v>
      </c>
      <c r="D42" s="7"/>
      <c r="E42">
        <v>2.0746000000000002</v>
      </c>
      <c r="F42">
        <v>1.9701</v>
      </c>
      <c r="G42">
        <v>1.881</v>
      </c>
      <c r="H42">
        <v>2.093</v>
      </c>
      <c r="I42">
        <v>1.9621999999999999</v>
      </c>
      <c r="J42" s="22">
        <v>1.881</v>
      </c>
      <c r="K42">
        <v>2.1339999999999999</v>
      </c>
      <c r="L42">
        <v>1.9470000000000001</v>
      </c>
    </row>
    <row r="43" spans="1:12" x14ac:dyDescent="0.15">
      <c r="A43" t="s">
        <v>77</v>
      </c>
      <c r="D43" s="7"/>
      <c r="E43">
        <v>1.8391999999999999</v>
      </c>
      <c r="F43">
        <v>0</v>
      </c>
      <c r="G43">
        <v>1.6830000000000001</v>
      </c>
      <c r="H43">
        <v>0</v>
      </c>
      <c r="I43" s="15">
        <v>0</v>
      </c>
      <c r="J43" s="36">
        <v>0</v>
      </c>
      <c r="K43">
        <v>0</v>
      </c>
      <c r="L43">
        <v>0</v>
      </c>
    </row>
    <row r="44" spans="1:12" x14ac:dyDescent="0.15">
      <c r="A44" t="s">
        <v>78</v>
      </c>
      <c r="D44" s="7"/>
      <c r="E44">
        <v>1.5345</v>
      </c>
      <c r="F44">
        <v>0</v>
      </c>
      <c r="G44">
        <v>1.496</v>
      </c>
      <c r="H44">
        <v>0</v>
      </c>
      <c r="I44" s="15">
        <v>0</v>
      </c>
      <c r="J44" s="36">
        <v>0</v>
      </c>
      <c r="K44">
        <v>0</v>
      </c>
      <c r="L44">
        <v>0</v>
      </c>
    </row>
    <row r="45" spans="1:12" x14ac:dyDescent="0.15">
      <c r="A45" t="s">
        <v>79</v>
      </c>
      <c r="D45" s="7"/>
      <c r="E45">
        <v>1.4079999999999999</v>
      </c>
      <c r="F45">
        <v>0</v>
      </c>
      <c r="G45">
        <v>1.3640000000000001</v>
      </c>
      <c r="H45">
        <v>0</v>
      </c>
      <c r="I45" s="15">
        <v>0</v>
      </c>
      <c r="J45" s="36">
        <v>0</v>
      </c>
      <c r="K45">
        <v>0</v>
      </c>
      <c r="L45">
        <v>0</v>
      </c>
    </row>
    <row r="46" spans="1:12" x14ac:dyDescent="0.15">
      <c r="A46" t="s">
        <v>80</v>
      </c>
      <c r="D46" s="7"/>
      <c r="E46">
        <v>1.3694999999999999</v>
      </c>
      <c r="F46">
        <v>1.4706999999999999</v>
      </c>
      <c r="G46">
        <v>1.254</v>
      </c>
      <c r="H46">
        <v>1.621</v>
      </c>
      <c r="I46">
        <v>1.6601999999999999</v>
      </c>
      <c r="J46" s="22">
        <v>1.5069999999999999</v>
      </c>
      <c r="K46">
        <v>1.595</v>
      </c>
      <c r="L46">
        <v>1.518</v>
      </c>
    </row>
    <row r="47" spans="1:12" x14ac:dyDescent="0.15">
      <c r="A47" t="s">
        <v>81</v>
      </c>
      <c r="D47" s="7"/>
      <c r="E47">
        <v>59.234999999999999</v>
      </c>
      <c r="F47">
        <v>60.774999999999999</v>
      </c>
      <c r="G47">
        <v>69.3</v>
      </c>
      <c r="H47">
        <v>68.522000000000006</v>
      </c>
      <c r="I47">
        <v>62.99</v>
      </c>
      <c r="J47" s="22">
        <v>55</v>
      </c>
      <c r="K47">
        <v>63.305</v>
      </c>
      <c r="L47">
        <v>57.189</v>
      </c>
    </row>
    <row r="48" spans="1:12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</row>
    <row r="49" spans="1:12" x14ac:dyDescent="0.15">
      <c r="A49" s="9" t="s">
        <v>490</v>
      </c>
      <c r="D49" s="7"/>
      <c r="E49" s="10" t="s">
        <v>1044</v>
      </c>
      <c r="F49" s="23" t="s">
        <v>591</v>
      </c>
      <c r="G49" s="23" t="s">
        <v>592</v>
      </c>
      <c r="H49" s="23" t="s">
        <v>615</v>
      </c>
      <c r="I49" s="23" t="s">
        <v>595</v>
      </c>
      <c r="J49" s="23" t="s">
        <v>596</v>
      </c>
      <c r="K49" s="10" t="s">
        <v>486</v>
      </c>
      <c r="L49" s="23" t="s">
        <v>487</v>
      </c>
    </row>
    <row r="50" spans="1:12" x14ac:dyDescent="0.15">
      <c r="A50" t="s">
        <v>491</v>
      </c>
      <c r="D50" s="7"/>
      <c r="E50" s="24" t="s">
        <v>539</v>
      </c>
      <c r="F50" s="25" t="s">
        <v>493</v>
      </c>
      <c r="G50" s="25" t="s">
        <v>540</v>
      </c>
      <c r="H50" s="25" t="s">
        <v>494</v>
      </c>
      <c r="I50" s="25" t="s">
        <v>494</v>
      </c>
      <c r="J50" s="25" t="s">
        <v>493</v>
      </c>
      <c r="K50" s="25" t="s">
        <v>493</v>
      </c>
      <c r="L50" s="25" t="s">
        <v>493</v>
      </c>
    </row>
    <row r="51" spans="1:12" x14ac:dyDescent="0.15">
      <c r="A51" t="s">
        <v>496</v>
      </c>
      <c r="D51" s="7"/>
      <c r="E51" s="25" t="s">
        <v>498</v>
      </c>
      <c r="F51" s="25" t="s">
        <v>497</v>
      </c>
      <c r="G51" s="25" t="s">
        <v>526</v>
      </c>
      <c r="H51" s="25" t="s">
        <v>498</v>
      </c>
      <c r="I51" s="25" t="s">
        <v>498</v>
      </c>
      <c r="J51" s="25" t="s">
        <v>527</v>
      </c>
      <c r="K51" s="25" t="s">
        <v>493</v>
      </c>
      <c r="L51" s="25" t="s">
        <v>493</v>
      </c>
    </row>
    <row r="52" spans="1:12" x14ac:dyDescent="0.15">
      <c r="A52" t="s">
        <v>499</v>
      </c>
      <c r="D52" s="7"/>
      <c r="E52" s="25" t="s">
        <v>528</v>
      </c>
      <c r="F52" s="37">
        <v>22</v>
      </c>
      <c r="G52" s="37">
        <v>22</v>
      </c>
      <c r="H52" s="37">
        <v>20</v>
      </c>
      <c r="I52" s="37">
        <v>80</v>
      </c>
      <c r="J52" s="37">
        <v>20</v>
      </c>
      <c r="K52" t="s">
        <v>493</v>
      </c>
      <c r="L52" t="s">
        <v>493</v>
      </c>
    </row>
    <row r="53" spans="1:12" x14ac:dyDescent="0.15">
      <c r="A53" t="s">
        <v>501</v>
      </c>
      <c r="D53" s="7"/>
      <c r="E53" s="25" t="s">
        <v>541</v>
      </c>
      <c r="F53" s="24" t="s">
        <v>536</v>
      </c>
      <c r="G53" s="24" t="s">
        <v>542</v>
      </c>
      <c r="H53" s="24" t="s">
        <v>537</v>
      </c>
      <c r="I53" s="24" t="s">
        <v>505</v>
      </c>
      <c r="J53" s="24" t="s">
        <v>506</v>
      </c>
      <c r="K53" s="24" t="s">
        <v>531</v>
      </c>
      <c r="L53" s="24" t="s">
        <v>532</v>
      </c>
    </row>
    <row r="54" spans="1:12" x14ac:dyDescent="0.15">
      <c r="A54" t="s">
        <v>442</v>
      </c>
      <c r="D54" s="7"/>
      <c r="E54" s="25" t="s">
        <v>512</v>
      </c>
      <c r="F54" s="25" t="s">
        <v>500</v>
      </c>
      <c r="G54" s="25" t="s">
        <v>494</v>
      </c>
      <c r="H54" s="25" t="s">
        <v>493</v>
      </c>
      <c r="I54" s="25" t="s">
        <v>494</v>
      </c>
      <c r="J54" s="25" t="s">
        <v>500</v>
      </c>
      <c r="K54" s="25" t="s">
        <v>493</v>
      </c>
      <c r="L54" s="25" t="s">
        <v>493</v>
      </c>
    </row>
    <row r="55" spans="1:12" x14ac:dyDescent="0.15">
      <c r="A55" s="86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</row>
  </sheetData>
  <sheetProtection algorithmName="SHA-512" hashValue="Fsox/rOfI/jbIUvv6G+HGnJPzIgOjfuryvrFtZMuiJDYwHE1yN746keDr9Ami8MREjg/7wB1c38v0pw0tRxkYw==" saltValue="+P9QC2Y2CWLBcFgFjRLWLQ==" spinCount="100000" sheet="1" objects="1" scenarios="1"/>
  <phoneticPr fontId="20" type="noConversion"/>
  <pageMargins left="0.75" right="0.75" top="1" bottom="1" header="0.5" footer="0.5"/>
  <drawing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/>
  <dimension ref="A1:L59"/>
  <sheetViews>
    <sheetView workbookViewId="0">
      <selection sqref="A1:L5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2" x14ac:dyDescent="0.15">
      <c r="A1" t="s">
        <v>722</v>
      </c>
    </row>
    <row r="2" spans="1:12" x14ac:dyDescent="0.1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</row>
    <row r="3" spans="1:12" x14ac:dyDescent="0.15">
      <c r="A3" s="8" t="s">
        <v>82</v>
      </c>
      <c r="D3" s="7"/>
    </row>
    <row r="4" spans="1:12" x14ac:dyDescent="0.15">
      <c r="D4" s="7"/>
      <c r="E4" s="8" t="s">
        <v>94</v>
      </c>
    </row>
    <row r="5" spans="1:12" x14ac:dyDescent="0.15">
      <c r="A5" s="9" t="s">
        <v>83</v>
      </c>
      <c r="D5" s="7"/>
    </row>
    <row r="6" spans="1:12" x14ac:dyDescent="0.15">
      <c r="A6" s="9" t="s">
        <v>1024</v>
      </c>
      <c r="D6" s="7"/>
      <c r="E6" s="10" t="s">
        <v>1044</v>
      </c>
      <c r="F6" s="23" t="s">
        <v>591</v>
      </c>
      <c r="G6" s="23" t="s">
        <v>592</v>
      </c>
      <c r="H6" s="23" t="s">
        <v>615</v>
      </c>
      <c r="I6" s="23" t="s">
        <v>595</v>
      </c>
      <c r="J6" s="23" t="s">
        <v>596</v>
      </c>
      <c r="K6" s="10" t="s">
        <v>486</v>
      </c>
      <c r="L6" s="23" t="s">
        <v>487</v>
      </c>
    </row>
    <row r="7" spans="1:12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  <c r="L7" s="14">
        <v>0.33329999999999999</v>
      </c>
    </row>
    <row r="8" spans="1:12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  <c r="L8" s="15">
        <v>2</v>
      </c>
    </row>
    <row r="9" spans="1:12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  <c r="L9" s="14">
        <v>0.66659999999999997</v>
      </c>
    </row>
    <row r="10" spans="1:12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  <c r="L10" s="15">
        <v>4</v>
      </c>
    </row>
    <row r="11" spans="1:12" x14ac:dyDescent="0.15">
      <c r="A11" t="s">
        <v>67</v>
      </c>
      <c r="D11" s="7"/>
      <c r="E11" s="15">
        <v>1644</v>
      </c>
      <c r="F11">
        <v>4000</v>
      </c>
      <c r="G11" s="15">
        <v>6000</v>
      </c>
      <c r="H11">
        <v>4000</v>
      </c>
      <c r="I11">
        <v>4000</v>
      </c>
      <c r="J11">
        <v>3000</v>
      </c>
      <c r="K11" s="15">
        <v>1644</v>
      </c>
      <c r="L11">
        <v>4000</v>
      </c>
    </row>
    <row r="12" spans="1:12" x14ac:dyDescent="0.15">
      <c r="A12" s="11" t="s">
        <v>84</v>
      </c>
      <c r="B12" s="11"/>
      <c r="C12" s="11"/>
      <c r="D12" s="12"/>
      <c r="E12" s="11">
        <v>2958</v>
      </c>
      <c r="F12" s="11">
        <v>12000</v>
      </c>
      <c r="G12" s="11">
        <v>12000</v>
      </c>
      <c r="H12" s="11">
        <v>12000</v>
      </c>
      <c r="I12" s="11">
        <v>12000</v>
      </c>
      <c r="J12" s="11">
        <v>3000</v>
      </c>
      <c r="K12" s="11">
        <v>2958</v>
      </c>
      <c r="L12" s="11">
        <v>12000</v>
      </c>
    </row>
    <row r="13" spans="1:12" x14ac:dyDescent="0.15">
      <c r="A13" t="s">
        <v>71</v>
      </c>
      <c r="D13" s="7"/>
      <c r="E13">
        <v>2.2319</v>
      </c>
      <c r="F13">
        <v>2.0581</v>
      </c>
      <c r="G13">
        <v>2.0680000000000001</v>
      </c>
      <c r="H13">
        <v>2.2149999999999999</v>
      </c>
      <c r="I13">
        <v>2.0855999999999999</v>
      </c>
      <c r="J13">
        <v>2.2549999999999999</v>
      </c>
      <c r="K13">
        <v>2.0019999999999998</v>
      </c>
      <c r="L13">
        <v>2.101</v>
      </c>
    </row>
    <row r="14" spans="1:12" x14ac:dyDescent="0.15">
      <c r="A14" t="s">
        <v>72</v>
      </c>
      <c r="D14" s="7"/>
      <c r="E14">
        <v>2.0306000000000002</v>
      </c>
      <c r="F14">
        <v>1.9744999999999999</v>
      </c>
      <c r="G14">
        <v>1.8480000000000001</v>
      </c>
      <c r="H14">
        <v>2.1</v>
      </c>
      <c r="I14">
        <v>1.9327000000000001</v>
      </c>
      <c r="J14">
        <v>0</v>
      </c>
      <c r="K14">
        <v>2.0019999999999998</v>
      </c>
      <c r="L14">
        <v>1.9359999999999999</v>
      </c>
    </row>
    <row r="15" spans="1:12" x14ac:dyDescent="0.15">
      <c r="A15" t="s">
        <v>75</v>
      </c>
      <c r="D15" s="7"/>
      <c r="E15">
        <v>1.6983999999999999</v>
      </c>
      <c r="F15">
        <v>1.5576000000000001</v>
      </c>
      <c r="G15">
        <v>1.5620000000000001</v>
      </c>
      <c r="H15">
        <v>1.6259999999999999</v>
      </c>
      <c r="I15">
        <v>1.7870999999999999</v>
      </c>
      <c r="J15">
        <v>1.595</v>
      </c>
      <c r="K15">
        <v>1.7929999999999999</v>
      </c>
      <c r="L15">
        <v>1.6060000000000001</v>
      </c>
    </row>
    <row r="16" spans="1:12" x14ac:dyDescent="0.15">
      <c r="A16" t="s">
        <v>76</v>
      </c>
      <c r="D16" s="7"/>
      <c r="E16">
        <v>2.2319</v>
      </c>
      <c r="F16">
        <v>1.9558</v>
      </c>
      <c r="G16">
        <v>1.958</v>
      </c>
      <c r="H16">
        <v>2.1179999999999999</v>
      </c>
      <c r="I16">
        <v>2.0108999999999999</v>
      </c>
      <c r="J16">
        <v>2.2549999999999999</v>
      </c>
      <c r="K16">
        <v>2.0019999999999998</v>
      </c>
      <c r="L16">
        <v>2.0129999999999999</v>
      </c>
    </row>
    <row r="17" spans="1:12" x14ac:dyDescent="0.15">
      <c r="A17" t="s">
        <v>77</v>
      </c>
      <c r="D17" s="7"/>
      <c r="E17">
        <v>2.0306000000000002</v>
      </c>
      <c r="F17">
        <v>1.9260999999999999</v>
      </c>
      <c r="G17">
        <v>1.782</v>
      </c>
      <c r="H17">
        <v>2.0369999999999999</v>
      </c>
      <c r="I17">
        <v>1.8946000000000001</v>
      </c>
      <c r="J17">
        <v>0</v>
      </c>
      <c r="K17">
        <v>2.0019999999999998</v>
      </c>
      <c r="L17">
        <v>1.9139999999999999</v>
      </c>
    </row>
    <row r="18" spans="1:12" x14ac:dyDescent="0.15">
      <c r="A18" t="s">
        <v>80</v>
      </c>
      <c r="D18" s="7"/>
      <c r="E18">
        <v>1.6983999999999999</v>
      </c>
      <c r="F18">
        <v>1.5059</v>
      </c>
      <c r="G18">
        <v>1.518</v>
      </c>
      <c r="H18">
        <v>1.5760000000000001</v>
      </c>
      <c r="I18">
        <v>1.7454000000000001</v>
      </c>
      <c r="J18">
        <v>1.595</v>
      </c>
      <c r="K18">
        <v>1.7929999999999999</v>
      </c>
      <c r="L18">
        <v>1.573</v>
      </c>
    </row>
    <row r="19" spans="1:12" x14ac:dyDescent="0.15">
      <c r="A19" t="s">
        <v>81</v>
      </c>
      <c r="D19" s="7"/>
      <c r="E19">
        <v>68.826999999999998</v>
      </c>
      <c r="F19">
        <v>62.402999999999999</v>
      </c>
      <c r="G19">
        <v>68.2</v>
      </c>
      <c r="H19">
        <v>68.742000000000004</v>
      </c>
      <c r="I19">
        <v>68.78</v>
      </c>
      <c r="J19">
        <v>57.2</v>
      </c>
      <c r="K19">
        <v>66.671000000000006</v>
      </c>
      <c r="L19">
        <v>62.645000000000003</v>
      </c>
    </row>
    <row r="20" spans="1:12" x14ac:dyDescent="0.15">
      <c r="D20" s="7"/>
    </row>
    <row r="21" spans="1:12" x14ac:dyDescent="0.15">
      <c r="A21" s="9" t="s">
        <v>85</v>
      </c>
      <c r="D21" s="7"/>
    </row>
    <row r="22" spans="1:12" x14ac:dyDescent="0.15">
      <c r="A22" s="9" t="s">
        <v>488</v>
      </c>
      <c r="D22" s="7"/>
      <c r="E22" s="10" t="s">
        <v>1044</v>
      </c>
      <c r="F22" s="23" t="s">
        <v>591</v>
      </c>
      <c r="G22" s="23" t="s">
        <v>592</v>
      </c>
      <c r="H22" s="10" t="s">
        <v>615</v>
      </c>
      <c r="I22" s="23" t="s">
        <v>546</v>
      </c>
      <c r="J22" s="10" t="s">
        <v>545</v>
      </c>
      <c r="K22" s="10" t="s">
        <v>486</v>
      </c>
      <c r="L22" s="10" t="s">
        <v>487</v>
      </c>
    </row>
    <row r="23" spans="1:12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  <c r="L23" s="14">
        <v>0.33329999999999999</v>
      </c>
    </row>
    <row r="24" spans="1:12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  <c r="L24" s="15">
        <v>2</v>
      </c>
    </row>
    <row r="25" spans="1:12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  <c r="L25" s="14">
        <v>0.66659999999999997</v>
      </c>
    </row>
    <row r="26" spans="1:12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  <c r="L26" s="15">
        <v>4</v>
      </c>
    </row>
    <row r="27" spans="1:12" x14ac:dyDescent="0.15">
      <c r="A27" t="s">
        <v>67</v>
      </c>
      <c r="D27" s="7"/>
      <c r="E27" s="15">
        <v>1644</v>
      </c>
      <c r="F27" s="15">
        <v>3200</v>
      </c>
      <c r="G27" s="15">
        <v>6000</v>
      </c>
      <c r="H27" s="15">
        <v>3200</v>
      </c>
      <c r="I27" s="15">
        <v>3200</v>
      </c>
      <c r="J27">
        <v>3000</v>
      </c>
      <c r="K27" s="15">
        <v>1644</v>
      </c>
      <c r="L27" s="15">
        <v>3200</v>
      </c>
    </row>
    <row r="28" spans="1:12" x14ac:dyDescent="0.15">
      <c r="A28" s="11" t="s">
        <v>68</v>
      </c>
      <c r="B28" s="11"/>
      <c r="C28" s="11"/>
      <c r="D28" s="12"/>
      <c r="E28" s="11">
        <v>2958</v>
      </c>
      <c r="F28" s="11">
        <v>3200</v>
      </c>
      <c r="G28" s="11">
        <v>12000</v>
      </c>
      <c r="H28" s="11">
        <v>3200</v>
      </c>
      <c r="I28" s="11">
        <v>3200</v>
      </c>
      <c r="J28" s="11">
        <v>3000</v>
      </c>
      <c r="K28" s="11">
        <v>1644</v>
      </c>
      <c r="L28" s="11">
        <v>3200</v>
      </c>
    </row>
    <row r="29" spans="1:12" x14ac:dyDescent="0.15">
      <c r="A29" t="s">
        <v>71</v>
      </c>
      <c r="D29" s="7"/>
      <c r="E29">
        <v>2.2505999999999999</v>
      </c>
      <c r="F29">
        <v>2.1240999999999999</v>
      </c>
      <c r="G29" s="47">
        <v>2.0459999999999998</v>
      </c>
      <c r="H29">
        <v>2.202</v>
      </c>
      <c r="I29">
        <v>2.1558000000000002</v>
      </c>
      <c r="J29">
        <v>2.1230000000000002</v>
      </c>
      <c r="K29">
        <v>2.09</v>
      </c>
      <c r="L29">
        <v>2.0790000000000002</v>
      </c>
    </row>
    <row r="30" spans="1:12" x14ac:dyDescent="0.15">
      <c r="A30" t="s">
        <v>72</v>
      </c>
      <c r="D30" s="7"/>
      <c r="E30">
        <v>2.1505000000000001</v>
      </c>
      <c r="F30">
        <v>0</v>
      </c>
      <c r="G30" s="47">
        <v>1.859</v>
      </c>
      <c r="H30">
        <v>0</v>
      </c>
      <c r="I30">
        <v>0</v>
      </c>
      <c r="J30">
        <v>0</v>
      </c>
      <c r="K30">
        <v>0</v>
      </c>
      <c r="L30">
        <v>0</v>
      </c>
    </row>
    <row r="31" spans="1:12" x14ac:dyDescent="0.15">
      <c r="A31" t="s">
        <v>75</v>
      </c>
      <c r="D31" s="7"/>
      <c r="E31">
        <v>1.4630000000000001</v>
      </c>
      <c r="F31">
        <v>1.7721</v>
      </c>
      <c r="G31" s="47">
        <v>1.6719999999999999</v>
      </c>
      <c r="H31">
        <v>1.944</v>
      </c>
      <c r="I31">
        <v>1.891</v>
      </c>
      <c r="J31">
        <v>1.639</v>
      </c>
      <c r="K31">
        <v>1.6719999999999999</v>
      </c>
      <c r="L31">
        <v>1.782</v>
      </c>
    </row>
    <row r="32" spans="1:12" x14ac:dyDescent="0.15">
      <c r="A32" t="s">
        <v>76</v>
      </c>
      <c r="D32" s="7"/>
      <c r="E32">
        <v>2.2505999999999999</v>
      </c>
      <c r="F32">
        <v>2.0228999999999999</v>
      </c>
      <c r="G32" s="47">
        <v>1.958</v>
      </c>
      <c r="H32">
        <v>2.0649999999999999</v>
      </c>
      <c r="I32">
        <v>2.0811999999999999</v>
      </c>
      <c r="J32">
        <v>2.1230000000000002</v>
      </c>
      <c r="K32">
        <v>2.09</v>
      </c>
      <c r="L32">
        <v>1.9359999999999999</v>
      </c>
    </row>
    <row r="33" spans="1:12" x14ac:dyDescent="0.15">
      <c r="A33" t="s">
        <v>86</v>
      </c>
      <c r="D33" s="7"/>
      <c r="E33">
        <v>2.1505000000000001</v>
      </c>
      <c r="F33">
        <v>0</v>
      </c>
      <c r="G33" s="47">
        <v>1.7490000000000001</v>
      </c>
      <c r="H33">
        <v>0</v>
      </c>
      <c r="I33">
        <v>0</v>
      </c>
      <c r="J33">
        <v>0</v>
      </c>
      <c r="K33">
        <v>0</v>
      </c>
      <c r="L33">
        <v>0</v>
      </c>
    </row>
    <row r="34" spans="1:12" x14ac:dyDescent="0.15">
      <c r="A34" t="s">
        <v>80</v>
      </c>
      <c r="D34" s="7"/>
      <c r="E34">
        <v>1.4630000000000001</v>
      </c>
      <c r="F34">
        <v>1.7203999999999999</v>
      </c>
      <c r="G34" s="47">
        <v>1.5509999999999999</v>
      </c>
      <c r="H34">
        <v>1.843</v>
      </c>
      <c r="I34">
        <v>1.8460000000000001</v>
      </c>
      <c r="J34">
        <v>1.639</v>
      </c>
      <c r="K34">
        <v>1.6719999999999999</v>
      </c>
      <c r="L34">
        <v>1.694</v>
      </c>
    </row>
    <row r="35" spans="1:12" x14ac:dyDescent="0.15">
      <c r="A35" t="s">
        <v>81</v>
      </c>
      <c r="D35" s="7"/>
      <c r="E35">
        <v>66.945999999999998</v>
      </c>
      <c r="F35">
        <v>60.698</v>
      </c>
      <c r="G35" s="47">
        <v>68.2</v>
      </c>
      <c r="H35">
        <v>66.878</v>
      </c>
      <c r="I35">
        <v>67.91</v>
      </c>
      <c r="J35">
        <v>57.2</v>
      </c>
      <c r="K35">
        <v>65.912000000000006</v>
      </c>
      <c r="L35">
        <v>62.645000000000003</v>
      </c>
    </row>
    <row r="36" spans="1:12" x14ac:dyDescent="0.15">
      <c r="D36" s="7"/>
    </row>
    <row r="37" spans="1:12" x14ac:dyDescent="0.15">
      <c r="A37" s="9" t="s">
        <v>85</v>
      </c>
      <c r="D37" s="7"/>
    </row>
    <row r="38" spans="1:12" x14ac:dyDescent="0.15">
      <c r="A38" s="9" t="s">
        <v>1028</v>
      </c>
      <c r="D38" s="7"/>
      <c r="E38" s="10" t="s">
        <v>1044</v>
      </c>
      <c r="F38" s="23" t="s">
        <v>591</v>
      </c>
      <c r="G38" s="23" t="s">
        <v>592</v>
      </c>
      <c r="H38" s="10" t="s">
        <v>615</v>
      </c>
      <c r="I38" s="23" t="s">
        <v>546</v>
      </c>
      <c r="J38" s="10" t="s">
        <v>545</v>
      </c>
      <c r="K38" s="10" t="s">
        <v>486</v>
      </c>
      <c r="L38" s="10" t="s">
        <v>487</v>
      </c>
    </row>
    <row r="39" spans="1:12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  <c r="L39" s="14">
        <v>0.33329999999999999</v>
      </c>
    </row>
    <row r="40" spans="1:12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  <c r="L40" s="15">
        <v>2</v>
      </c>
    </row>
    <row r="41" spans="1:12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  <c r="L41" s="14">
        <v>0.66659999999999997</v>
      </c>
    </row>
    <row r="42" spans="1:12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  <c r="L42" s="15">
        <v>4</v>
      </c>
    </row>
    <row r="43" spans="1:12" x14ac:dyDescent="0.15">
      <c r="A43" t="s">
        <v>67</v>
      </c>
      <c r="D43" s="7"/>
      <c r="E43" s="15">
        <v>1644</v>
      </c>
      <c r="F43">
        <v>4000</v>
      </c>
      <c r="G43" s="15">
        <v>6000</v>
      </c>
      <c r="H43">
        <v>4000</v>
      </c>
      <c r="I43">
        <v>4000</v>
      </c>
      <c r="J43">
        <v>3000</v>
      </c>
      <c r="K43" s="15">
        <v>1644</v>
      </c>
      <c r="L43">
        <v>4000</v>
      </c>
    </row>
    <row r="44" spans="1:12" x14ac:dyDescent="0.15">
      <c r="A44" s="11" t="s">
        <v>84</v>
      </c>
      <c r="B44" s="11"/>
      <c r="C44" s="11"/>
      <c r="D44" s="12"/>
      <c r="E44" s="11">
        <v>2958</v>
      </c>
      <c r="F44" s="11">
        <v>12000</v>
      </c>
      <c r="G44" s="11">
        <v>12000</v>
      </c>
      <c r="H44" s="11">
        <v>12000</v>
      </c>
      <c r="I44" s="11">
        <v>12000</v>
      </c>
      <c r="J44" s="11">
        <v>3000</v>
      </c>
      <c r="K44" s="11">
        <v>2958</v>
      </c>
      <c r="L44" s="11">
        <v>12000</v>
      </c>
    </row>
    <row r="45" spans="1:12" x14ac:dyDescent="0.15">
      <c r="A45" t="s">
        <v>71</v>
      </c>
      <c r="D45" s="7"/>
      <c r="E45">
        <v>2.2780999999999998</v>
      </c>
      <c r="F45">
        <v>2.1230000000000002</v>
      </c>
      <c r="G45">
        <v>2.101</v>
      </c>
      <c r="H45">
        <v>2.2549999999999999</v>
      </c>
      <c r="I45">
        <v>2.1486999999999998</v>
      </c>
      <c r="J45">
        <v>2.0790000000000002</v>
      </c>
      <c r="K45">
        <v>2.4420000000000002</v>
      </c>
      <c r="L45">
        <v>2.1230000000000002</v>
      </c>
    </row>
    <row r="46" spans="1:12" x14ac:dyDescent="0.15">
      <c r="A46" t="s">
        <v>72</v>
      </c>
      <c r="D46" s="7"/>
      <c r="E46">
        <v>1.9547000000000001</v>
      </c>
      <c r="F46">
        <v>1.8832</v>
      </c>
      <c r="G46">
        <v>1.782</v>
      </c>
      <c r="H46">
        <v>1.9970000000000001</v>
      </c>
      <c r="I46">
        <v>1.8731</v>
      </c>
      <c r="J46">
        <v>0</v>
      </c>
      <c r="K46">
        <v>2.1120000000000001</v>
      </c>
      <c r="L46">
        <v>1.87</v>
      </c>
    </row>
    <row r="47" spans="1:12" x14ac:dyDescent="0.15">
      <c r="A47" t="s">
        <v>75</v>
      </c>
      <c r="D47" s="7"/>
      <c r="E47">
        <v>1.5609</v>
      </c>
      <c r="F47">
        <v>1.6071</v>
      </c>
      <c r="G47">
        <v>1.5509999999999999</v>
      </c>
      <c r="H47">
        <v>1.6919999999999999</v>
      </c>
      <c r="I47">
        <v>1.7892999999999999</v>
      </c>
      <c r="J47">
        <v>1.694</v>
      </c>
      <c r="K47">
        <v>1.694</v>
      </c>
      <c r="L47">
        <v>1.54</v>
      </c>
    </row>
    <row r="48" spans="1:12" x14ac:dyDescent="0.15">
      <c r="A48" t="s">
        <v>76</v>
      </c>
      <c r="D48" s="7"/>
      <c r="E48">
        <v>2.2780999999999998</v>
      </c>
      <c r="F48">
        <v>2.0724</v>
      </c>
      <c r="G48">
        <v>2.024</v>
      </c>
      <c r="H48">
        <v>2.218</v>
      </c>
      <c r="I48">
        <v>2.0968</v>
      </c>
      <c r="J48">
        <v>2.0790000000000002</v>
      </c>
      <c r="K48">
        <v>2.4420000000000002</v>
      </c>
      <c r="L48">
        <v>2.0569999999999999</v>
      </c>
    </row>
    <row r="49" spans="1:12" x14ac:dyDescent="0.15">
      <c r="A49" t="s">
        <v>77</v>
      </c>
      <c r="D49" s="7"/>
      <c r="E49">
        <v>1.9547000000000001</v>
      </c>
      <c r="F49">
        <v>1.8227</v>
      </c>
      <c r="G49">
        <v>1.738</v>
      </c>
      <c r="H49">
        <v>1.974</v>
      </c>
      <c r="I49">
        <v>1.8274999999999999</v>
      </c>
      <c r="J49">
        <v>0</v>
      </c>
      <c r="K49">
        <v>2.1120000000000001</v>
      </c>
      <c r="L49">
        <v>1.7929999999999999</v>
      </c>
    </row>
    <row r="50" spans="1:12" x14ac:dyDescent="0.15">
      <c r="A50" t="s">
        <v>80</v>
      </c>
      <c r="D50" s="7"/>
      <c r="E50">
        <v>1.5609</v>
      </c>
      <c r="F50">
        <v>1.5432999999999999</v>
      </c>
      <c r="G50">
        <v>1.452</v>
      </c>
      <c r="H50">
        <v>1.603</v>
      </c>
      <c r="I50">
        <v>1.7503</v>
      </c>
      <c r="J50">
        <v>1.694</v>
      </c>
      <c r="K50">
        <v>1.694</v>
      </c>
      <c r="L50">
        <v>1.5289999999999999</v>
      </c>
    </row>
    <row r="51" spans="1:12" x14ac:dyDescent="0.15">
      <c r="A51" t="s">
        <v>81</v>
      </c>
      <c r="D51" s="7"/>
      <c r="E51">
        <v>68.716999999999999</v>
      </c>
      <c r="F51">
        <v>61.215000000000003</v>
      </c>
      <c r="G51">
        <v>71.5</v>
      </c>
      <c r="H51">
        <v>68.75</v>
      </c>
      <c r="I51">
        <v>67.91</v>
      </c>
      <c r="J51">
        <v>57.2</v>
      </c>
      <c r="K51">
        <v>66.671000000000006</v>
      </c>
      <c r="L51">
        <v>62.645000000000003</v>
      </c>
    </row>
    <row r="52" spans="1:12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</row>
    <row r="53" spans="1:12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615</v>
      </c>
      <c r="I53" s="23" t="s">
        <v>595</v>
      </c>
      <c r="J53" s="23" t="s">
        <v>596</v>
      </c>
      <c r="K53" s="10" t="s">
        <v>486</v>
      </c>
      <c r="L53" s="23" t="s">
        <v>487</v>
      </c>
    </row>
    <row r="54" spans="1:12" x14ac:dyDescent="0.15">
      <c r="A54" t="s">
        <v>491</v>
      </c>
      <c r="D54" s="7"/>
      <c r="E54" s="24" t="s">
        <v>539</v>
      </c>
      <c r="F54" s="25" t="s">
        <v>493</v>
      </c>
      <c r="G54" s="25" t="s">
        <v>540</v>
      </c>
      <c r="H54" s="25" t="s">
        <v>494</v>
      </c>
      <c r="I54" s="25" t="s">
        <v>494</v>
      </c>
      <c r="J54" s="25" t="s">
        <v>493</v>
      </c>
      <c r="K54" s="25" t="s">
        <v>493</v>
      </c>
      <c r="L54" s="25" t="s">
        <v>493</v>
      </c>
    </row>
    <row r="55" spans="1:12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498</v>
      </c>
      <c r="I55" s="25" t="s">
        <v>498</v>
      </c>
      <c r="J55" s="25" t="s">
        <v>527</v>
      </c>
      <c r="K55" s="25" t="s">
        <v>493</v>
      </c>
      <c r="L55" s="25" t="s">
        <v>493</v>
      </c>
    </row>
    <row r="56" spans="1:12" x14ac:dyDescent="0.15">
      <c r="A56" t="s">
        <v>499</v>
      </c>
      <c r="D56" s="7"/>
      <c r="E56" s="25" t="s">
        <v>528</v>
      </c>
      <c r="F56" s="37">
        <v>22</v>
      </c>
      <c r="G56" s="37">
        <v>22</v>
      </c>
      <c r="H56" s="37">
        <v>20</v>
      </c>
      <c r="I56" s="37">
        <v>80</v>
      </c>
      <c r="J56" s="37">
        <v>20</v>
      </c>
      <c r="K56" t="s">
        <v>493</v>
      </c>
      <c r="L56" t="s">
        <v>493</v>
      </c>
    </row>
    <row r="57" spans="1:12" x14ac:dyDescent="0.15">
      <c r="A57" t="s">
        <v>501</v>
      </c>
      <c r="D57" s="7"/>
      <c r="E57" s="25" t="s">
        <v>541</v>
      </c>
      <c r="F57" s="24" t="s">
        <v>536</v>
      </c>
      <c r="G57" s="24" t="s">
        <v>542</v>
      </c>
      <c r="H57" s="24" t="s">
        <v>537</v>
      </c>
      <c r="I57" s="24" t="s">
        <v>505</v>
      </c>
      <c r="J57" s="24" t="s">
        <v>506</v>
      </c>
      <c r="K57" s="24" t="s">
        <v>531</v>
      </c>
      <c r="L57" s="24" t="s">
        <v>532</v>
      </c>
    </row>
    <row r="58" spans="1:12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493</v>
      </c>
      <c r="I58" s="25" t="s">
        <v>494</v>
      </c>
      <c r="J58" s="25" t="s">
        <v>500</v>
      </c>
      <c r="K58" s="25" t="s">
        <v>493</v>
      </c>
      <c r="L58" s="25" t="s">
        <v>493</v>
      </c>
    </row>
    <row r="59" spans="1:12" x14ac:dyDescent="0.15">
      <c r="A59" s="86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</row>
  </sheetData>
  <sheetProtection algorithmName="SHA-512" hashValue="0GMtNSJBUAwQtJ5o9DkBHQv/TpGC9ZZ4AITyjK1/oyQAd5iOQIxIiPYBlr+9K5p8Ov07GEzPDyhKxfp99iAOzg==" saltValue="GHshRq6/ua87/oAP8l+sew==" spinCount="100000" sheet="1" objects="1" scenarios="1"/>
  <phoneticPr fontId="20" type="noConversion"/>
  <pageMargins left="0.75" right="0.75" top="1" bottom="1" header="0.5" footer="0.5"/>
  <drawing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/>
  <dimension ref="A1:L59"/>
  <sheetViews>
    <sheetView workbookViewId="0">
      <selection sqref="A1:L5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  <col min="12" max="12" width="11.33203125" customWidth="1"/>
  </cols>
  <sheetData>
    <row r="1" spans="1:12" x14ac:dyDescent="0.15">
      <c r="A1" t="s">
        <v>722</v>
      </c>
    </row>
    <row r="2" spans="1:12" x14ac:dyDescent="0.1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</row>
    <row r="3" spans="1:12" x14ac:dyDescent="0.15">
      <c r="A3" s="8" t="s">
        <v>87</v>
      </c>
      <c r="D3" s="7"/>
    </row>
    <row r="4" spans="1:12" x14ac:dyDescent="0.15">
      <c r="D4" s="7"/>
      <c r="E4" s="8" t="s">
        <v>94</v>
      </c>
    </row>
    <row r="5" spans="1:12" x14ac:dyDescent="0.15">
      <c r="A5" s="9" t="s">
        <v>88</v>
      </c>
      <c r="D5" s="7"/>
    </row>
    <row r="6" spans="1:12" x14ac:dyDescent="0.15">
      <c r="A6" s="9" t="s">
        <v>1030</v>
      </c>
      <c r="D6" s="7"/>
      <c r="E6" s="10" t="s">
        <v>1044</v>
      </c>
      <c r="F6" s="23" t="s">
        <v>591</v>
      </c>
      <c r="G6" s="23" t="s">
        <v>592</v>
      </c>
      <c r="H6" s="23" t="s">
        <v>615</v>
      </c>
      <c r="I6" s="23" t="s">
        <v>595</v>
      </c>
      <c r="J6" s="23" t="s">
        <v>596</v>
      </c>
      <c r="K6" s="10" t="s">
        <v>486</v>
      </c>
      <c r="L6" s="23" t="s">
        <v>487</v>
      </c>
    </row>
    <row r="7" spans="1:12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  <c r="L7" s="14">
        <v>0.33329999999999999</v>
      </c>
    </row>
    <row r="8" spans="1:12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  <c r="L8" s="15">
        <v>2</v>
      </c>
    </row>
    <row r="9" spans="1:12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  <c r="L9" s="14">
        <v>0.66659999999999997</v>
      </c>
    </row>
    <row r="10" spans="1:12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  <c r="L10" s="15">
        <v>4</v>
      </c>
    </row>
    <row r="11" spans="1:12" x14ac:dyDescent="0.15">
      <c r="A11" t="s">
        <v>67</v>
      </c>
      <c r="D11" s="7"/>
      <c r="E11" s="15">
        <v>6000</v>
      </c>
      <c r="F11" s="15">
        <v>3200</v>
      </c>
      <c r="G11" s="15">
        <v>6000</v>
      </c>
      <c r="H11" s="15">
        <v>3200</v>
      </c>
      <c r="I11" s="15">
        <v>3200</v>
      </c>
      <c r="J11" s="15">
        <v>3200</v>
      </c>
      <c r="K11" s="15">
        <v>6000</v>
      </c>
      <c r="L11" s="15">
        <v>3200</v>
      </c>
    </row>
    <row r="12" spans="1:12" x14ac:dyDescent="0.15">
      <c r="A12" s="11" t="s">
        <v>68</v>
      </c>
      <c r="B12" s="11"/>
      <c r="C12" s="11"/>
      <c r="D12" s="12"/>
      <c r="E12" s="11">
        <v>12000</v>
      </c>
      <c r="F12" s="11">
        <v>3200</v>
      </c>
      <c r="G12" s="11">
        <v>12000</v>
      </c>
      <c r="H12" s="11">
        <v>3200</v>
      </c>
      <c r="I12" s="11">
        <v>3200</v>
      </c>
      <c r="J12" s="11">
        <v>3200</v>
      </c>
      <c r="K12" s="11">
        <v>6000</v>
      </c>
      <c r="L12" s="11">
        <v>3200</v>
      </c>
    </row>
    <row r="13" spans="1:12" x14ac:dyDescent="0.15">
      <c r="A13" t="s">
        <v>71</v>
      </c>
      <c r="D13" s="7"/>
      <c r="E13">
        <v>1.9690000000000001</v>
      </c>
      <c r="F13">
        <v>2.2286000000000001</v>
      </c>
      <c r="G13" s="47">
        <v>2.1779999999999999</v>
      </c>
      <c r="H13">
        <v>2.407</v>
      </c>
      <c r="I13">
        <v>2.0792000000000002</v>
      </c>
      <c r="J13">
        <v>2.1120000000000001</v>
      </c>
      <c r="K13">
        <v>2.101</v>
      </c>
      <c r="L13">
        <v>2.145</v>
      </c>
    </row>
    <row r="14" spans="1:12" x14ac:dyDescent="0.15">
      <c r="A14" t="s">
        <v>72</v>
      </c>
      <c r="D14" s="7"/>
      <c r="E14">
        <v>1.8447</v>
      </c>
      <c r="F14">
        <v>0</v>
      </c>
      <c r="G14" s="47">
        <v>2.024</v>
      </c>
      <c r="H14">
        <v>0</v>
      </c>
      <c r="I14">
        <v>0</v>
      </c>
      <c r="J14">
        <v>0</v>
      </c>
      <c r="K14">
        <v>0</v>
      </c>
      <c r="L14">
        <v>0</v>
      </c>
    </row>
    <row r="15" spans="1:12" x14ac:dyDescent="0.15">
      <c r="A15" t="s">
        <v>75</v>
      </c>
      <c r="D15" s="7"/>
      <c r="E15">
        <v>1.65</v>
      </c>
      <c r="F15">
        <v>1.9260999999999999</v>
      </c>
      <c r="G15" s="47">
        <v>1.8149999999999999</v>
      </c>
      <c r="H15">
        <v>2.1240000000000001</v>
      </c>
      <c r="I15">
        <v>1.9246000000000001</v>
      </c>
      <c r="J15">
        <v>1.76</v>
      </c>
      <c r="K15">
        <v>1.8919999999999999</v>
      </c>
      <c r="L15">
        <v>1.9359999999999999</v>
      </c>
    </row>
    <row r="16" spans="1:12" x14ac:dyDescent="0.15">
      <c r="A16" t="s">
        <v>76</v>
      </c>
      <c r="D16" s="7"/>
      <c r="E16">
        <v>1.8612</v>
      </c>
      <c r="F16">
        <v>1.8348</v>
      </c>
      <c r="G16" s="47">
        <v>1.903</v>
      </c>
      <c r="H16">
        <v>2.0470000000000002</v>
      </c>
      <c r="I16">
        <v>1.8311999999999999</v>
      </c>
      <c r="J16">
        <v>2.0129999999999999</v>
      </c>
      <c r="K16">
        <v>1.881</v>
      </c>
      <c r="L16">
        <v>1.9139999999999999</v>
      </c>
    </row>
    <row r="17" spans="1:12" x14ac:dyDescent="0.15">
      <c r="A17" t="s">
        <v>86</v>
      </c>
      <c r="D17" s="7"/>
      <c r="E17">
        <v>1.5224</v>
      </c>
      <c r="F17">
        <v>0</v>
      </c>
      <c r="G17" s="47">
        <v>1.6719999999999999</v>
      </c>
      <c r="H17">
        <v>0</v>
      </c>
      <c r="I17">
        <v>0</v>
      </c>
      <c r="J17">
        <v>0</v>
      </c>
      <c r="K17">
        <v>0</v>
      </c>
      <c r="L17">
        <v>0</v>
      </c>
    </row>
    <row r="18" spans="1:12" x14ac:dyDescent="0.15">
      <c r="A18" t="s">
        <v>80</v>
      </c>
      <c r="D18" s="7"/>
      <c r="E18">
        <v>1.4222999999999999</v>
      </c>
      <c r="F18">
        <v>1.6214</v>
      </c>
      <c r="G18" s="47">
        <v>1.573</v>
      </c>
      <c r="H18">
        <v>1.804</v>
      </c>
      <c r="I18">
        <v>1.6431</v>
      </c>
      <c r="J18">
        <v>1.6279999999999999</v>
      </c>
      <c r="K18">
        <v>1.595</v>
      </c>
      <c r="L18">
        <v>1.639</v>
      </c>
    </row>
    <row r="19" spans="1:12" x14ac:dyDescent="0.15">
      <c r="A19" t="s">
        <v>81</v>
      </c>
      <c r="D19" s="7"/>
      <c r="E19">
        <v>64.415999999999997</v>
      </c>
      <c r="F19">
        <v>63.866</v>
      </c>
      <c r="G19" s="47">
        <v>62.7</v>
      </c>
      <c r="H19">
        <v>68.608999999999995</v>
      </c>
      <c r="I19">
        <v>60.46</v>
      </c>
      <c r="J19">
        <v>55</v>
      </c>
      <c r="K19">
        <v>61.445999999999998</v>
      </c>
      <c r="L19">
        <v>59.383000000000003</v>
      </c>
    </row>
    <row r="20" spans="1:12" x14ac:dyDescent="0.15">
      <c r="D20" s="7"/>
    </row>
    <row r="21" spans="1:12" x14ac:dyDescent="0.15">
      <c r="A21" s="9" t="s">
        <v>89</v>
      </c>
      <c r="D21" s="7"/>
    </row>
    <row r="22" spans="1:12" x14ac:dyDescent="0.15">
      <c r="A22" s="9" t="s">
        <v>1032</v>
      </c>
      <c r="D22" s="7"/>
      <c r="E22" s="10" t="s">
        <v>1044</v>
      </c>
      <c r="F22" s="23" t="s">
        <v>591</v>
      </c>
      <c r="G22" s="23" t="s">
        <v>592</v>
      </c>
      <c r="H22" s="10" t="s">
        <v>615</v>
      </c>
      <c r="I22" s="23" t="s">
        <v>546</v>
      </c>
      <c r="J22" s="10" t="s">
        <v>545</v>
      </c>
      <c r="K22" s="10" t="s">
        <v>486</v>
      </c>
      <c r="L22" s="23" t="s">
        <v>487</v>
      </c>
    </row>
    <row r="23" spans="1:12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  <c r="L23" s="14">
        <v>0.33329999999999999</v>
      </c>
    </row>
    <row r="24" spans="1:12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  <c r="L24" s="15">
        <v>2</v>
      </c>
    </row>
    <row r="25" spans="1:12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  <c r="L25" s="14">
        <v>0.66659999999999997</v>
      </c>
    </row>
    <row r="26" spans="1:12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  <c r="L26" s="15">
        <v>4</v>
      </c>
    </row>
    <row r="27" spans="1:12" x14ac:dyDescent="0.15">
      <c r="A27" t="s">
        <v>67</v>
      </c>
      <c r="D27" s="7"/>
      <c r="E27" s="15">
        <v>6000</v>
      </c>
      <c r="F27" s="15">
        <v>3500</v>
      </c>
      <c r="G27" s="15">
        <v>6000</v>
      </c>
      <c r="H27" s="15">
        <v>3500</v>
      </c>
      <c r="I27" s="15">
        <v>3500</v>
      </c>
      <c r="J27" s="15">
        <v>3500</v>
      </c>
      <c r="K27" s="15">
        <v>6000</v>
      </c>
      <c r="L27" s="15">
        <v>3500</v>
      </c>
    </row>
    <row r="28" spans="1:12" x14ac:dyDescent="0.15">
      <c r="A28" s="11" t="s">
        <v>68</v>
      </c>
      <c r="B28" s="11"/>
      <c r="C28" s="11"/>
      <c r="D28" s="12"/>
      <c r="E28" s="11">
        <v>12000</v>
      </c>
      <c r="F28" s="11">
        <v>3500</v>
      </c>
      <c r="G28" s="11">
        <v>12000</v>
      </c>
      <c r="H28" s="11">
        <v>3500</v>
      </c>
      <c r="I28" s="11">
        <v>3500</v>
      </c>
      <c r="J28" s="11">
        <v>3500</v>
      </c>
      <c r="K28" s="11">
        <v>6000</v>
      </c>
      <c r="L28" s="11">
        <v>3500</v>
      </c>
    </row>
    <row r="29" spans="1:12" x14ac:dyDescent="0.15">
      <c r="A29" t="s">
        <v>71</v>
      </c>
      <c r="D29" s="7"/>
      <c r="E29">
        <v>2.1175000000000002</v>
      </c>
      <c r="F29">
        <v>2.4430999999999998</v>
      </c>
      <c r="G29">
        <v>2.266</v>
      </c>
      <c r="H29">
        <v>2.4830000000000001</v>
      </c>
      <c r="I29">
        <v>4.2553000000000001</v>
      </c>
      <c r="J29">
        <v>2.2109999999999999</v>
      </c>
      <c r="K29">
        <v>2.2879999999999998</v>
      </c>
      <c r="L29">
        <v>2.2330000000000001</v>
      </c>
    </row>
    <row r="30" spans="1:12" x14ac:dyDescent="0.15">
      <c r="A30" t="s">
        <v>72</v>
      </c>
      <c r="D30" s="7"/>
      <c r="E30">
        <v>1.7677</v>
      </c>
      <c r="F30">
        <v>0</v>
      </c>
      <c r="G30">
        <v>2.0569999999999999</v>
      </c>
      <c r="H30">
        <v>0</v>
      </c>
      <c r="I30">
        <v>0</v>
      </c>
      <c r="J30">
        <v>0</v>
      </c>
      <c r="K30">
        <v>0</v>
      </c>
      <c r="L30">
        <v>0</v>
      </c>
    </row>
    <row r="31" spans="1:12" x14ac:dyDescent="0.15">
      <c r="A31" t="s">
        <v>75</v>
      </c>
      <c r="D31" s="7"/>
      <c r="E31">
        <v>1.6148</v>
      </c>
      <c r="F31">
        <v>1.9613</v>
      </c>
      <c r="G31">
        <v>1.738</v>
      </c>
      <c r="H31">
        <v>2.2120000000000002</v>
      </c>
      <c r="I31">
        <v>2.0007999999999999</v>
      </c>
      <c r="J31">
        <v>1.76</v>
      </c>
      <c r="K31">
        <v>1.8260000000000001</v>
      </c>
      <c r="L31">
        <v>1.9359999999999999</v>
      </c>
    </row>
    <row r="32" spans="1:12" x14ac:dyDescent="0.15">
      <c r="A32" t="s">
        <v>76</v>
      </c>
      <c r="D32" s="7"/>
      <c r="E32">
        <v>1.8919999999999999</v>
      </c>
      <c r="F32">
        <v>1.9371</v>
      </c>
      <c r="G32">
        <v>2.0019999999999998</v>
      </c>
      <c r="H32">
        <v>2.0379999999999998</v>
      </c>
      <c r="I32">
        <v>1.9875</v>
      </c>
      <c r="J32">
        <v>2.101</v>
      </c>
      <c r="K32">
        <v>2.1890000000000001</v>
      </c>
      <c r="L32">
        <v>1.9359999999999999</v>
      </c>
    </row>
    <row r="33" spans="1:12" x14ac:dyDescent="0.15">
      <c r="A33" t="s">
        <v>86</v>
      </c>
      <c r="D33" s="7"/>
      <c r="E33">
        <v>1.6114999999999999</v>
      </c>
      <c r="F33">
        <v>0</v>
      </c>
      <c r="G33">
        <v>1.76</v>
      </c>
      <c r="H33">
        <v>0</v>
      </c>
      <c r="I33">
        <v>0</v>
      </c>
      <c r="J33">
        <v>0</v>
      </c>
      <c r="K33">
        <v>0</v>
      </c>
      <c r="L33">
        <v>0</v>
      </c>
    </row>
    <row r="34" spans="1:12" x14ac:dyDescent="0.15">
      <c r="A34" t="s">
        <v>80</v>
      </c>
      <c r="D34" s="7"/>
      <c r="E34">
        <v>1.5334000000000001</v>
      </c>
      <c r="F34">
        <v>1.6775</v>
      </c>
      <c r="G34">
        <v>1.452</v>
      </c>
      <c r="H34">
        <v>1.9610000000000001</v>
      </c>
      <c r="I34">
        <v>1.7438</v>
      </c>
      <c r="J34">
        <v>1.661</v>
      </c>
      <c r="K34">
        <v>1.716</v>
      </c>
      <c r="L34">
        <v>1.7709999999999999</v>
      </c>
    </row>
    <row r="35" spans="1:12" x14ac:dyDescent="0.15">
      <c r="A35" t="s">
        <v>81</v>
      </c>
      <c r="D35" s="7"/>
      <c r="E35">
        <v>62.128</v>
      </c>
      <c r="F35">
        <v>63.052</v>
      </c>
      <c r="G35">
        <v>62.7</v>
      </c>
      <c r="H35">
        <v>69.186999999999998</v>
      </c>
      <c r="I35">
        <v>58.55</v>
      </c>
      <c r="J35">
        <v>55</v>
      </c>
      <c r="K35">
        <v>62.667000000000002</v>
      </c>
      <c r="L35">
        <v>57.189</v>
      </c>
    </row>
    <row r="36" spans="1:12" x14ac:dyDescent="0.15">
      <c r="D36" s="7"/>
    </row>
    <row r="37" spans="1:12" x14ac:dyDescent="0.15">
      <c r="A37" s="9" t="s">
        <v>89</v>
      </c>
      <c r="D37" s="7"/>
    </row>
    <row r="38" spans="1:12" x14ac:dyDescent="0.15">
      <c r="A38" s="9" t="s">
        <v>1034</v>
      </c>
      <c r="D38" s="7"/>
      <c r="E38" s="10" t="s">
        <v>1044</v>
      </c>
      <c r="F38" s="23" t="s">
        <v>591</v>
      </c>
      <c r="G38" s="23" t="s">
        <v>592</v>
      </c>
      <c r="H38" s="10" t="s">
        <v>615</v>
      </c>
      <c r="I38" s="23" t="s">
        <v>546</v>
      </c>
      <c r="J38" s="10" t="s">
        <v>545</v>
      </c>
      <c r="K38" s="10" t="s">
        <v>486</v>
      </c>
      <c r="L38" s="23" t="s">
        <v>487</v>
      </c>
    </row>
    <row r="39" spans="1:12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  <c r="L39" s="14">
        <v>0.33329999999999999</v>
      </c>
    </row>
    <row r="40" spans="1:12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  <c r="L40" s="15">
        <v>2</v>
      </c>
    </row>
    <row r="41" spans="1:12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  <c r="L41" s="14">
        <v>0.66659999999999997</v>
      </c>
    </row>
    <row r="42" spans="1:12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  <c r="L42" s="15">
        <v>4</v>
      </c>
    </row>
    <row r="43" spans="1:12" x14ac:dyDescent="0.15">
      <c r="A43" t="s">
        <v>67</v>
      </c>
      <c r="D43" s="7"/>
      <c r="E43" s="15">
        <v>6000</v>
      </c>
      <c r="F43" s="15">
        <v>3200</v>
      </c>
      <c r="G43" s="15">
        <v>6000</v>
      </c>
      <c r="H43" s="15">
        <v>3200</v>
      </c>
      <c r="I43" s="15">
        <v>3200</v>
      </c>
      <c r="J43" s="15">
        <v>3200</v>
      </c>
      <c r="K43" s="15">
        <v>6000</v>
      </c>
      <c r="L43" s="15">
        <v>3200</v>
      </c>
    </row>
    <row r="44" spans="1:12" x14ac:dyDescent="0.15">
      <c r="A44" s="11" t="s">
        <v>68</v>
      </c>
      <c r="B44" s="11"/>
      <c r="C44" s="11"/>
      <c r="D44" s="12"/>
      <c r="E44" s="11">
        <v>12000</v>
      </c>
      <c r="F44" s="11">
        <v>3200</v>
      </c>
      <c r="G44" s="11">
        <v>12000</v>
      </c>
      <c r="H44" s="11">
        <v>3200</v>
      </c>
      <c r="I44" s="11">
        <v>3200</v>
      </c>
      <c r="J44" s="11">
        <v>3200</v>
      </c>
      <c r="K44" s="11">
        <v>6000</v>
      </c>
      <c r="L44" s="11">
        <v>3200</v>
      </c>
    </row>
    <row r="45" spans="1:12" x14ac:dyDescent="0.15">
      <c r="A45" t="s">
        <v>71</v>
      </c>
      <c r="D45" s="7"/>
      <c r="E45">
        <v>2.1714000000000002</v>
      </c>
      <c r="F45">
        <v>2.4607000000000001</v>
      </c>
      <c r="G45" s="47">
        <v>2.4529999999999998</v>
      </c>
      <c r="H45">
        <v>2.6120000000000001</v>
      </c>
      <c r="I45">
        <v>2.3144</v>
      </c>
      <c r="J45">
        <v>2.2770000000000001</v>
      </c>
      <c r="K45">
        <v>2.2879999999999998</v>
      </c>
      <c r="L45">
        <v>2.343</v>
      </c>
    </row>
    <row r="46" spans="1:12" x14ac:dyDescent="0.15">
      <c r="A46" t="s">
        <v>72</v>
      </c>
      <c r="D46" s="7"/>
      <c r="E46">
        <v>1.6467000000000001</v>
      </c>
      <c r="F46">
        <v>0</v>
      </c>
      <c r="G46" s="47">
        <v>2.0790000000000002</v>
      </c>
      <c r="H46">
        <v>0</v>
      </c>
      <c r="I46">
        <v>0</v>
      </c>
      <c r="J46">
        <v>0</v>
      </c>
      <c r="K46">
        <v>0</v>
      </c>
      <c r="L46">
        <v>0</v>
      </c>
    </row>
    <row r="47" spans="1:12" x14ac:dyDescent="0.15">
      <c r="A47" t="s">
        <v>75</v>
      </c>
      <c r="D47" s="7"/>
      <c r="E47">
        <v>1.3728</v>
      </c>
      <c r="F47">
        <v>1.8798999999999999</v>
      </c>
      <c r="G47" s="47">
        <v>1.6830000000000001</v>
      </c>
      <c r="H47">
        <v>2.0840000000000001</v>
      </c>
      <c r="I47">
        <v>1.9162999999999999</v>
      </c>
      <c r="J47">
        <v>1.8480000000000001</v>
      </c>
      <c r="K47">
        <v>1.859</v>
      </c>
      <c r="L47">
        <v>1.925</v>
      </c>
    </row>
    <row r="48" spans="1:12" x14ac:dyDescent="0.15">
      <c r="A48" t="s">
        <v>76</v>
      </c>
      <c r="D48" s="7"/>
      <c r="E48">
        <v>2.0152000000000001</v>
      </c>
      <c r="F48">
        <v>2.1076000000000001</v>
      </c>
      <c r="G48" s="47">
        <v>2.0790000000000002</v>
      </c>
      <c r="H48">
        <v>2.2280000000000002</v>
      </c>
      <c r="I48">
        <v>2.0756999999999999</v>
      </c>
      <c r="J48">
        <v>2.1230000000000002</v>
      </c>
      <c r="K48">
        <v>2.09</v>
      </c>
      <c r="L48">
        <v>2.0790000000000002</v>
      </c>
    </row>
    <row r="49" spans="1:12" x14ac:dyDescent="0.15">
      <c r="A49" t="s">
        <v>86</v>
      </c>
      <c r="D49" s="7"/>
      <c r="E49">
        <v>1.4729000000000001</v>
      </c>
      <c r="F49">
        <v>0</v>
      </c>
      <c r="G49" s="47">
        <v>1.903</v>
      </c>
      <c r="H49">
        <v>0</v>
      </c>
      <c r="I49">
        <v>0</v>
      </c>
      <c r="J49">
        <v>0</v>
      </c>
      <c r="K49">
        <v>0</v>
      </c>
      <c r="L49">
        <v>0</v>
      </c>
    </row>
    <row r="50" spans="1:12" x14ac:dyDescent="0.15">
      <c r="A50" t="s">
        <v>80</v>
      </c>
      <c r="D50" s="7"/>
      <c r="E50">
        <v>1.3321000000000001</v>
      </c>
      <c r="F50">
        <v>1.7050000000000001</v>
      </c>
      <c r="G50" s="47">
        <v>1.5620000000000001</v>
      </c>
      <c r="H50">
        <v>1.954</v>
      </c>
      <c r="I50">
        <v>1.7615000000000001</v>
      </c>
      <c r="J50">
        <v>1.6830000000000001</v>
      </c>
      <c r="K50">
        <v>1.716</v>
      </c>
      <c r="L50">
        <v>1.804</v>
      </c>
    </row>
    <row r="51" spans="1:12" x14ac:dyDescent="0.15">
      <c r="A51" t="s">
        <v>81</v>
      </c>
      <c r="D51" s="7"/>
      <c r="E51">
        <v>64.185000000000002</v>
      </c>
      <c r="F51">
        <v>65.427999999999997</v>
      </c>
      <c r="G51" s="47">
        <v>64.900000000000006</v>
      </c>
      <c r="H51">
        <v>70.162000000000006</v>
      </c>
      <c r="I51">
        <v>61.28</v>
      </c>
      <c r="J51">
        <v>55</v>
      </c>
      <c r="K51">
        <v>61.984999999999999</v>
      </c>
      <c r="L51">
        <v>58.289000000000001</v>
      </c>
    </row>
    <row r="52" spans="1:12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</row>
    <row r="53" spans="1:12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615</v>
      </c>
      <c r="I53" s="23" t="s">
        <v>595</v>
      </c>
      <c r="J53" s="23" t="s">
        <v>596</v>
      </c>
      <c r="K53" s="10" t="s">
        <v>486</v>
      </c>
      <c r="L53" s="23" t="s">
        <v>487</v>
      </c>
    </row>
    <row r="54" spans="1:12" x14ac:dyDescent="0.15">
      <c r="A54" t="s">
        <v>491</v>
      </c>
      <c r="D54" s="7"/>
      <c r="E54" s="24" t="s">
        <v>539</v>
      </c>
      <c r="F54" s="25" t="s">
        <v>493</v>
      </c>
      <c r="G54" s="25" t="s">
        <v>540</v>
      </c>
      <c r="H54" s="25" t="s">
        <v>494</v>
      </c>
      <c r="I54" s="25" t="s">
        <v>494</v>
      </c>
      <c r="J54" s="25" t="s">
        <v>493</v>
      </c>
      <c r="K54" s="25" t="s">
        <v>493</v>
      </c>
      <c r="L54" s="25" t="s">
        <v>493</v>
      </c>
    </row>
    <row r="55" spans="1:12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498</v>
      </c>
      <c r="I55" s="25" t="s">
        <v>498</v>
      </c>
      <c r="J55" s="25" t="s">
        <v>527</v>
      </c>
      <c r="K55" s="25" t="s">
        <v>493</v>
      </c>
      <c r="L55" s="25" t="s">
        <v>493</v>
      </c>
    </row>
    <row r="56" spans="1:12" x14ac:dyDescent="0.15">
      <c r="A56" t="s">
        <v>499</v>
      </c>
      <c r="D56" s="7"/>
      <c r="E56" s="25" t="s">
        <v>528</v>
      </c>
      <c r="F56" s="37">
        <v>22</v>
      </c>
      <c r="G56" s="37">
        <v>22</v>
      </c>
      <c r="H56" s="37">
        <v>20</v>
      </c>
      <c r="I56" s="37">
        <v>80</v>
      </c>
      <c r="J56" s="37">
        <v>20</v>
      </c>
      <c r="K56" t="s">
        <v>493</v>
      </c>
      <c r="L56" t="s">
        <v>493</v>
      </c>
    </row>
    <row r="57" spans="1:12" x14ac:dyDescent="0.15">
      <c r="A57" t="s">
        <v>501</v>
      </c>
      <c r="D57" s="7"/>
      <c r="E57" s="25" t="s">
        <v>541</v>
      </c>
      <c r="F57" s="24" t="s">
        <v>536</v>
      </c>
      <c r="G57" s="24" t="s">
        <v>542</v>
      </c>
      <c r="H57" s="24" t="s">
        <v>537</v>
      </c>
      <c r="I57" s="24" t="s">
        <v>505</v>
      </c>
      <c r="J57" s="24" t="s">
        <v>506</v>
      </c>
      <c r="K57" s="24" t="s">
        <v>531</v>
      </c>
      <c r="L57" s="24" t="s">
        <v>532</v>
      </c>
    </row>
    <row r="58" spans="1:12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493</v>
      </c>
      <c r="I58" s="25" t="s">
        <v>494</v>
      </c>
      <c r="J58" s="25" t="s">
        <v>500</v>
      </c>
      <c r="K58" s="25" t="s">
        <v>493</v>
      </c>
      <c r="L58" s="25" t="s">
        <v>493</v>
      </c>
    </row>
    <row r="59" spans="1:12" x14ac:dyDescent="0.15">
      <c r="A59" s="86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</row>
  </sheetData>
  <sheetProtection algorithmName="SHA-512" hashValue="v9VnwBBP6PilMr5FG9FzUQ1ivB9Afm5QFxdzMJI1ZuKaJzNiMC4MCUmeiA4IZ3CiZ1oqdPT0p7Y4ehYR0brLZA==" saltValue="aE/92CgfBr9KbNUA6m2jjw==" spinCount="100000" sheet="1" objects="1" scenarios="1"/>
  <phoneticPr fontId="20" type="noConversion"/>
  <pageMargins left="0.75" right="0.75" top="1" bottom="1" header="0.5" footer="0.5"/>
  <drawing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/>
  <dimension ref="A1:M55"/>
  <sheetViews>
    <sheetView workbookViewId="0">
      <selection activeCell="O46" sqref="O46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3" x14ac:dyDescent="0.15">
      <c r="A1" t="s">
        <v>722</v>
      </c>
    </row>
    <row r="2" spans="1:13" x14ac:dyDescent="0.15">
      <c r="A2" s="80"/>
      <c r="B2" s="81"/>
      <c r="C2" s="81"/>
      <c r="D2" s="81"/>
      <c r="E2" s="81"/>
      <c r="F2" s="81"/>
      <c r="G2" s="81"/>
      <c r="H2" s="81"/>
      <c r="I2" s="81"/>
      <c r="J2" s="81"/>
      <c r="K2" s="82"/>
      <c r="L2" s="82"/>
      <c r="M2" s="82"/>
    </row>
    <row r="3" spans="1:13" x14ac:dyDescent="0.15">
      <c r="A3" s="4" t="s">
        <v>61</v>
      </c>
      <c r="B3" s="5"/>
      <c r="C3" s="5"/>
      <c r="D3" s="6"/>
      <c r="E3" s="5"/>
      <c r="F3" s="5"/>
      <c r="G3" s="5"/>
      <c r="H3" s="5"/>
      <c r="I3" s="5"/>
      <c r="J3" s="5"/>
    </row>
    <row r="4" spans="1:13" x14ac:dyDescent="0.15">
      <c r="D4" s="7"/>
      <c r="E4" s="8" t="s">
        <v>95</v>
      </c>
    </row>
    <row r="5" spans="1:13" x14ac:dyDescent="0.15">
      <c r="D5" s="7"/>
    </row>
    <row r="6" spans="1:13" x14ac:dyDescent="0.15">
      <c r="A6" s="9" t="s">
        <v>1074</v>
      </c>
      <c r="D6" s="7"/>
      <c r="E6" s="10" t="s">
        <v>1044</v>
      </c>
      <c r="F6" s="23" t="s">
        <v>591</v>
      </c>
      <c r="G6" s="23" t="s">
        <v>592</v>
      </c>
      <c r="H6" s="23" t="s">
        <v>544</v>
      </c>
      <c r="I6" s="23" t="s">
        <v>615</v>
      </c>
      <c r="J6" s="23" t="s">
        <v>595</v>
      </c>
      <c r="K6" s="23" t="s">
        <v>596</v>
      </c>
      <c r="L6" s="10" t="s">
        <v>486</v>
      </c>
      <c r="M6" s="23" t="s">
        <v>487</v>
      </c>
    </row>
    <row r="7" spans="1:13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  <c r="K7" s="13">
        <v>0.5</v>
      </c>
      <c r="L7" s="13">
        <v>0.5</v>
      </c>
      <c r="M7" s="13">
        <v>0.5</v>
      </c>
    </row>
    <row r="8" spans="1:13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  <c r="K8" s="15">
        <v>3</v>
      </c>
      <c r="L8" s="15">
        <v>3</v>
      </c>
      <c r="M8" s="15">
        <v>3</v>
      </c>
    </row>
    <row r="9" spans="1:13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  <c r="K9" s="13">
        <v>0.5</v>
      </c>
      <c r="L9" s="13">
        <v>0.5</v>
      </c>
      <c r="M9" s="13">
        <v>0.5</v>
      </c>
    </row>
    <row r="10" spans="1:13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  <c r="K10" s="15">
        <v>3</v>
      </c>
      <c r="L10" s="15">
        <v>3</v>
      </c>
      <c r="M10" s="15">
        <v>3</v>
      </c>
    </row>
    <row r="11" spans="1:13" x14ac:dyDescent="0.15">
      <c r="A11" t="s">
        <v>67</v>
      </c>
      <c r="D11" s="7"/>
      <c r="E11" s="15">
        <v>3000</v>
      </c>
      <c r="F11">
        <v>6000</v>
      </c>
      <c r="G11" s="15">
        <v>3000</v>
      </c>
      <c r="H11">
        <v>6000</v>
      </c>
      <c r="I11" s="15">
        <v>6000</v>
      </c>
      <c r="J11" s="15">
        <v>6000</v>
      </c>
      <c r="K11" s="15">
        <v>6000</v>
      </c>
      <c r="L11" s="15">
        <v>6000</v>
      </c>
      <c r="M11" s="15">
        <v>6000</v>
      </c>
    </row>
    <row r="12" spans="1:13" x14ac:dyDescent="0.15">
      <c r="A12" t="s">
        <v>68</v>
      </c>
      <c r="D12" s="7"/>
      <c r="E12">
        <v>6000</v>
      </c>
      <c r="F12">
        <v>9000</v>
      </c>
      <c r="G12" s="15">
        <v>6000</v>
      </c>
      <c r="H12">
        <v>6000</v>
      </c>
      <c r="I12">
        <v>9000</v>
      </c>
      <c r="J12">
        <v>9000</v>
      </c>
      <c r="K12">
        <v>9000</v>
      </c>
      <c r="L12">
        <v>9000</v>
      </c>
      <c r="M12">
        <v>9000</v>
      </c>
    </row>
    <row r="13" spans="1:13" x14ac:dyDescent="0.15">
      <c r="A13" t="s">
        <v>69</v>
      </c>
      <c r="D13" s="7"/>
      <c r="E13">
        <v>9000</v>
      </c>
      <c r="F13" s="15">
        <v>9000</v>
      </c>
      <c r="G13" s="15">
        <v>9000</v>
      </c>
      <c r="H13">
        <v>6000</v>
      </c>
      <c r="I13" s="15">
        <v>9000</v>
      </c>
      <c r="J13" s="15">
        <v>9000</v>
      </c>
      <c r="K13" s="15">
        <v>9000</v>
      </c>
      <c r="L13" s="15">
        <v>9000</v>
      </c>
      <c r="M13" s="15">
        <v>9000</v>
      </c>
    </row>
    <row r="14" spans="1:13" x14ac:dyDescent="0.15">
      <c r="A14" s="11" t="s">
        <v>70</v>
      </c>
      <c r="B14" s="11"/>
      <c r="C14" s="11"/>
      <c r="D14" s="12"/>
      <c r="E14" s="11">
        <v>15000</v>
      </c>
      <c r="F14" s="11">
        <v>9000</v>
      </c>
      <c r="G14" s="11">
        <v>15000</v>
      </c>
      <c r="H14" s="11">
        <v>6000</v>
      </c>
      <c r="I14" s="11">
        <v>9000</v>
      </c>
      <c r="J14" s="11">
        <v>9000</v>
      </c>
      <c r="K14" s="11">
        <v>9000</v>
      </c>
      <c r="L14" s="11">
        <v>9000</v>
      </c>
      <c r="M14" s="11">
        <v>9000</v>
      </c>
    </row>
    <row r="15" spans="1:13" x14ac:dyDescent="0.15">
      <c r="A15" t="s">
        <v>71</v>
      </c>
      <c r="D15" s="7"/>
      <c r="E15">
        <v>2.0339</v>
      </c>
      <c r="F15">
        <v>2.1219000000000001</v>
      </c>
      <c r="G15">
        <v>2.1230000000000002</v>
      </c>
      <c r="H15">
        <v>2.15</v>
      </c>
      <c r="I15">
        <v>2.2605</v>
      </c>
      <c r="J15">
        <v>2.0135999999999998</v>
      </c>
      <c r="K15" s="22">
        <v>2.0680000000000001</v>
      </c>
      <c r="L15">
        <v>1.98</v>
      </c>
      <c r="M15">
        <v>2.1230000000000002</v>
      </c>
    </row>
    <row r="16" spans="1:13" x14ac:dyDescent="0.15">
      <c r="A16" t="s">
        <v>72</v>
      </c>
      <c r="D16" s="7"/>
      <c r="E16">
        <v>1.7611000000000001</v>
      </c>
      <c r="F16">
        <v>1.6687000000000001</v>
      </c>
      <c r="G16">
        <v>1.8919999999999999</v>
      </c>
      <c r="H16">
        <v>0</v>
      </c>
      <c r="I16">
        <v>1.6489</v>
      </c>
      <c r="J16">
        <v>1.6171</v>
      </c>
      <c r="K16" s="22">
        <v>1.6060000000000001</v>
      </c>
      <c r="L16">
        <v>1.4850000000000001</v>
      </c>
      <c r="M16">
        <v>1.5289999999999999</v>
      </c>
    </row>
    <row r="17" spans="1:13" x14ac:dyDescent="0.15">
      <c r="A17" t="s">
        <v>73</v>
      </c>
      <c r="D17" s="7"/>
      <c r="E17">
        <v>1.4079999999999999</v>
      </c>
      <c r="F17">
        <v>0</v>
      </c>
      <c r="G17">
        <v>1.4850000000000001</v>
      </c>
      <c r="H17">
        <v>0</v>
      </c>
      <c r="I17">
        <v>0</v>
      </c>
      <c r="J17">
        <v>0</v>
      </c>
      <c r="K17" s="22">
        <v>0</v>
      </c>
      <c r="L17">
        <v>0</v>
      </c>
      <c r="M17">
        <v>0</v>
      </c>
    </row>
    <row r="18" spans="1:13" x14ac:dyDescent="0.15">
      <c r="A18" t="s">
        <v>74</v>
      </c>
      <c r="D18" s="7"/>
      <c r="E18">
        <v>1.2210000000000001</v>
      </c>
      <c r="F18">
        <v>0</v>
      </c>
      <c r="G18">
        <v>1.3640000000000001</v>
      </c>
      <c r="H18">
        <v>0</v>
      </c>
      <c r="I18">
        <v>0</v>
      </c>
      <c r="J18">
        <v>0</v>
      </c>
      <c r="K18" s="22">
        <v>0</v>
      </c>
      <c r="L18">
        <v>0</v>
      </c>
      <c r="M18">
        <v>0</v>
      </c>
    </row>
    <row r="19" spans="1:13" x14ac:dyDescent="0.15">
      <c r="A19" t="s">
        <v>75</v>
      </c>
      <c r="D19" s="7"/>
      <c r="E19">
        <v>1.1076999999999999</v>
      </c>
      <c r="F19">
        <v>1.1132</v>
      </c>
      <c r="G19">
        <v>1.155</v>
      </c>
      <c r="H19">
        <v>1.61</v>
      </c>
      <c r="I19">
        <v>1.1318999999999999</v>
      </c>
      <c r="J19">
        <v>1.4410000000000001</v>
      </c>
      <c r="K19" s="22">
        <v>1.1879999999999999</v>
      </c>
      <c r="L19">
        <v>1.2869999999999999</v>
      </c>
      <c r="M19">
        <v>1.133</v>
      </c>
    </row>
    <row r="20" spans="1:13" x14ac:dyDescent="0.15">
      <c r="A20" t="s">
        <v>76</v>
      </c>
      <c r="D20" s="7"/>
      <c r="E20">
        <v>1.8996999999999999</v>
      </c>
      <c r="F20">
        <v>1.8975</v>
      </c>
      <c r="G20">
        <v>2.0350000000000001</v>
      </c>
      <c r="H20">
        <v>2.0699999999999998</v>
      </c>
      <c r="I20">
        <v>2.101</v>
      </c>
      <c r="J20">
        <v>1.9126000000000001</v>
      </c>
      <c r="K20" s="22">
        <v>1.8480000000000001</v>
      </c>
      <c r="L20">
        <v>1.903</v>
      </c>
      <c r="M20">
        <v>2.0569999999999999</v>
      </c>
    </row>
    <row r="21" spans="1:13" x14ac:dyDescent="0.15">
      <c r="A21" t="s">
        <v>77</v>
      </c>
      <c r="D21" s="7"/>
      <c r="E21">
        <v>1.6598999999999999</v>
      </c>
      <c r="F21">
        <v>1.4267000000000001</v>
      </c>
      <c r="G21">
        <v>1.881</v>
      </c>
      <c r="H21">
        <v>0</v>
      </c>
      <c r="I21">
        <v>1.4321999999999999</v>
      </c>
      <c r="J21">
        <v>1.5331999999999999</v>
      </c>
      <c r="K21" s="22">
        <v>1.43</v>
      </c>
      <c r="L21">
        <v>1.474</v>
      </c>
      <c r="M21">
        <v>1.496</v>
      </c>
    </row>
    <row r="22" spans="1:13" x14ac:dyDescent="0.15">
      <c r="A22" t="s">
        <v>78</v>
      </c>
      <c r="D22" s="7"/>
      <c r="E22">
        <v>1.3541000000000001</v>
      </c>
      <c r="F22">
        <v>0</v>
      </c>
      <c r="G22">
        <v>1.474</v>
      </c>
      <c r="H22">
        <v>0</v>
      </c>
      <c r="I22">
        <v>0</v>
      </c>
      <c r="J22">
        <v>0</v>
      </c>
      <c r="K22" s="22">
        <v>0</v>
      </c>
      <c r="L22">
        <v>0</v>
      </c>
      <c r="M22">
        <v>0</v>
      </c>
    </row>
    <row r="23" spans="1:13" x14ac:dyDescent="0.15">
      <c r="A23" t="s">
        <v>79</v>
      </c>
      <c r="D23" s="7"/>
      <c r="E23">
        <v>1.1935</v>
      </c>
      <c r="F23">
        <v>0</v>
      </c>
      <c r="G23">
        <v>1.3420000000000001</v>
      </c>
      <c r="H23">
        <v>0</v>
      </c>
      <c r="I23">
        <v>0</v>
      </c>
      <c r="J23">
        <v>0</v>
      </c>
      <c r="K23" s="22">
        <v>0</v>
      </c>
      <c r="L23">
        <v>0</v>
      </c>
      <c r="M23">
        <v>0</v>
      </c>
    </row>
    <row r="24" spans="1:13" x14ac:dyDescent="0.15">
      <c r="A24" t="s">
        <v>80</v>
      </c>
      <c r="D24" s="7"/>
      <c r="E24">
        <v>1.0901000000000001</v>
      </c>
      <c r="F24">
        <v>1.0306999999999999</v>
      </c>
      <c r="G24">
        <v>1.133</v>
      </c>
      <c r="H24">
        <v>1.55</v>
      </c>
      <c r="I24">
        <v>1.0691999999999999</v>
      </c>
      <c r="J24">
        <v>1.3804000000000001</v>
      </c>
      <c r="K24" s="22">
        <v>1.155</v>
      </c>
      <c r="L24">
        <v>1.298</v>
      </c>
      <c r="M24">
        <v>1.0669999999999999</v>
      </c>
    </row>
    <row r="25" spans="1:13" x14ac:dyDescent="0.15">
      <c r="A25" t="s">
        <v>81</v>
      </c>
      <c r="D25" s="7"/>
      <c r="E25">
        <v>63.238999999999997</v>
      </c>
      <c r="F25">
        <v>64.063999999999993</v>
      </c>
      <c r="G25">
        <v>66</v>
      </c>
      <c r="H25">
        <v>64.28</v>
      </c>
      <c r="I25">
        <v>74.69</v>
      </c>
      <c r="J25">
        <v>65.790000000000006</v>
      </c>
      <c r="K25" s="35">
        <v>57.75</v>
      </c>
      <c r="L25">
        <v>62.314999999999998</v>
      </c>
      <c r="M25">
        <v>57.09</v>
      </c>
    </row>
    <row r="26" spans="1:13" x14ac:dyDescent="0.15">
      <c r="D26" s="7"/>
    </row>
    <row r="27" spans="1:13" x14ac:dyDescent="0.15">
      <c r="D27" s="7"/>
    </row>
    <row r="28" spans="1:13" x14ac:dyDescent="0.15">
      <c r="A28" s="9" t="s">
        <v>1076</v>
      </c>
      <c r="D28" s="7"/>
      <c r="E28" s="10" t="s">
        <v>1044</v>
      </c>
      <c r="F28" s="23" t="s">
        <v>591</v>
      </c>
      <c r="G28" s="23" t="s">
        <v>592</v>
      </c>
      <c r="H28" s="10" t="s">
        <v>544</v>
      </c>
      <c r="I28" s="10" t="s">
        <v>615</v>
      </c>
      <c r="J28" s="23" t="s">
        <v>546</v>
      </c>
      <c r="K28" s="10" t="s">
        <v>545</v>
      </c>
      <c r="L28" s="10" t="s">
        <v>486</v>
      </c>
      <c r="M28" s="10" t="s">
        <v>487</v>
      </c>
    </row>
    <row r="29" spans="1:13" x14ac:dyDescent="0.15">
      <c r="A29" s="1" t="s">
        <v>63</v>
      </c>
      <c r="D29" s="7"/>
      <c r="E29" s="13">
        <v>0.5</v>
      </c>
      <c r="F29" s="13">
        <v>0.5</v>
      </c>
      <c r="G29" s="13">
        <v>0.5</v>
      </c>
      <c r="H29" s="14">
        <v>0.33329999999999999</v>
      </c>
      <c r="I29" s="14">
        <v>0.33329999999999999</v>
      </c>
      <c r="J29" s="13">
        <v>0.5</v>
      </c>
      <c r="K29" s="13">
        <v>0.5</v>
      </c>
      <c r="L29" s="13">
        <v>0.5</v>
      </c>
      <c r="M29" s="13">
        <v>0.5</v>
      </c>
    </row>
    <row r="30" spans="1:13" x14ac:dyDescent="0.15">
      <c r="A30" s="1" t="s">
        <v>64</v>
      </c>
      <c r="D30" s="7"/>
      <c r="E30" s="15">
        <v>3</v>
      </c>
      <c r="F30" s="15">
        <v>3</v>
      </c>
      <c r="G30" s="15">
        <v>3</v>
      </c>
      <c r="H30" s="15">
        <v>2</v>
      </c>
      <c r="I30" s="15">
        <v>2</v>
      </c>
      <c r="J30" s="15">
        <v>3</v>
      </c>
      <c r="K30" s="15">
        <v>3</v>
      </c>
      <c r="L30" s="15">
        <v>3</v>
      </c>
      <c r="M30" s="15">
        <v>3</v>
      </c>
    </row>
    <row r="31" spans="1:13" x14ac:dyDescent="0.15">
      <c r="A31" s="1" t="s">
        <v>65</v>
      </c>
      <c r="D31" s="7"/>
      <c r="E31" s="13">
        <v>0.5</v>
      </c>
      <c r="F31" s="13">
        <v>0.5</v>
      </c>
      <c r="G31" s="13">
        <v>0.5</v>
      </c>
      <c r="H31" s="14">
        <v>0.66659999999999997</v>
      </c>
      <c r="I31" s="14">
        <v>0.66659999999999997</v>
      </c>
      <c r="J31" s="13">
        <v>0.5</v>
      </c>
      <c r="K31" s="13">
        <v>0.5</v>
      </c>
      <c r="L31" s="13">
        <v>0.5</v>
      </c>
      <c r="M31" s="13">
        <v>0.5</v>
      </c>
    </row>
    <row r="32" spans="1:13" x14ac:dyDescent="0.15">
      <c r="A32" s="1" t="s">
        <v>66</v>
      </c>
      <c r="D32" s="7"/>
      <c r="E32" s="15">
        <v>3</v>
      </c>
      <c r="F32" s="15">
        <v>3</v>
      </c>
      <c r="G32" s="15">
        <v>3</v>
      </c>
      <c r="H32" s="15">
        <v>4</v>
      </c>
      <c r="I32" s="15">
        <v>4</v>
      </c>
      <c r="J32" s="15">
        <v>3</v>
      </c>
      <c r="K32" s="15">
        <v>3</v>
      </c>
      <c r="L32" s="15">
        <v>3</v>
      </c>
      <c r="M32" s="15">
        <v>3</v>
      </c>
    </row>
    <row r="33" spans="1:13" x14ac:dyDescent="0.15">
      <c r="A33" t="s">
        <v>67</v>
      </c>
      <c r="D33" s="7"/>
      <c r="E33" s="15">
        <v>3000</v>
      </c>
      <c r="F33" s="15">
        <v>3500</v>
      </c>
      <c r="G33" s="15">
        <v>3000</v>
      </c>
      <c r="H33" s="15">
        <v>3500</v>
      </c>
      <c r="I33" s="15">
        <v>3500</v>
      </c>
      <c r="J33" s="15">
        <v>3500</v>
      </c>
      <c r="K33" s="15">
        <v>3500</v>
      </c>
      <c r="L33" s="15">
        <v>3500</v>
      </c>
      <c r="M33" s="15">
        <v>3500</v>
      </c>
    </row>
    <row r="34" spans="1:13" x14ac:dyDescent="0.15">
      <c r="A34" t="s">
        <v>68</v>
      </c>
      <c r="D34" s="7"/>
      <c r="E34" s="15">
        <v>6000</v>
      </c>
      <c r="F34" s="15">
        <v>3500</v>
      </c>
      <c r="G34" s="15">
        <v>6000</v>
      </c>
      <c r="H34" s="15">
        <v>3500</v>
      </c>
      <c r="I34" s="15">
        <v>3500</v>
      </c>
      <c r="J34" s="15">
        <v>3500</v>
      </c>
      <c r="K34" s="15">
        <v>3500</v>
      </c>
      <c r="L34" s="15">
        <v>3500</v>
      </c>
      <c r="M34" s="15">
        <v>3500</v>
      </c>
    </row>
    <row r="35" spans="1:13" x14ac:dyDescent="0.15">
      <c r="A35" t="s">
        <v>69</v>
      </c>
      <c r="D35" s="7"/>
      <c r="E35" s="15">
        <v>9000</v>
      </c>
      <c r="F35" s="15">
        <v>3500</v>
      </c>
      <c r="G35" s="15">
        <v>9000</v>
      </c>
      <c r="H35" s="15">
        <v>3500</v>
      </c>
      <c r="I35" s="15">
        <v>3500</v>
      </c>
      <c r="J35" s="15">
        <v>3500</v>
      </c>
      <c r="K35" s="15">
        <v>3500</v>
      </c>
      <c r="L35" s="15">
        <v>3500</v>
      </c>
      <c r="M35" s="15">
        <v>3500</v>
      </c>
    </row>
    <row r="36" spans="1:13" x14ac:dyDescent="0.15">
      <c r="A36" s="11" t="s">
        <v>70</v>
      </c>
      <c r="B36" s="11"/>
      <c r="C36" s="11"/>
      <c r="D36" s="12"/>
      <c r="E36" s="11">
        <v>15000</v>
      </c>
      <c r="F36" s="11">
        <v>3500</v>
      </c>
      <c r="G36" s="11">
        <v>15000</v>
      </c>
      <c r="H36" s="11">
        <v>3500</v>
      </c>
      <c r="I36" s="11">
        <v>3500</v>
      </c>
      <c r="J36" s="11">
        <v>3500</v>
      </c>
      <c r="K36" s="11">
        <v>3500</v>
      </c>
      <c r="L36" s="11">
        <v>3500</v>
      </c>
      <c r="M36" s="11">
        <v>3500</v>
      </c>
    </row>
    <row r="37" spans="1:13" x14ac:dyDescent="0.15">
      <c r="A37" t="s">
        <v>71</v>
      </c>
      <c r="D37" s="7"/>
      <c r="E37">
        <v>1.9657</v>
      </c>
      <c r="F37">
        <v>2.0878000000000001</v>
      </c>
      <c r="G37">
        <v>2.0790000000000002</v>
      </c>
      <c r="H37">
        <v>2.0499999999999998</v>
      </c>
      <c r="I37">
        <v>2.0284</v>
      </c>
      <c r="J37">
        <v>2.0154999999999998</v>
      </c>
      <c r="K37" s="22">
        <v>1.9690000000000001</v>
      </c>
      <c r="L37">
        <v>2.0569999999999999</v>
      </c>
      <c r="M37">
        <v>1.958</v>
      </c>
    </row>
    <row r="38" spans="1:13" x14ac:dyDescent="0.15">
      <c r="A38" t="s">
        <v>72</v>
      </c>
      <c r="D38" s="7"/>
      <c r="E38">
        <v>1.7413000000000001</v>
      </c>
      <c r="F38">
        <v>0</v>
      </c>
      <c r="G38">
        <v>1.903</v>
      </c>
      <c r="H38">
        <v>0</v>
      </c>
      <c r="I38">
        <v>0</v>
      </c>
      <c r="J38" s="15">
        <v>0</v>
      </c>
      <c r="K38" s="36">
        <v>0</v>
      </c>
      <c r="L38">
        <v>0</v>
      </c>
      <c r="M38">
        <v>0</v>
      </c>
    </row>
    <row r="39" spans="1:13" x14ac:dyDescent="0.15">
      <c r="A39" t="s">
        <v>73</v>
      </c>
      <c r="D39" s="7"/>
      <c r="E39">
        <v>1.5246</v>
      </c>
      <c r="F39">
        <v>0</v>
      </c>
      <c r="G39">
        <v>1.65</v>
      </c>
      <c r="H39">
        <v>0</v>
      </c>
      <c r="I39">
        <v>0</v>
      </c>
      <c r="J39" s="15">
        <v>0</v>
      </c>
      <c r="K39" s="36">
        <v>0</v>
      </c>
      <c r="L39">
        <v>0</v>
      </c>
      <c r="M39">
        <v>0</v>
      </c>
    </row>
    <row r="40" spans="1:13" x14ac:dyDescent="0.15">
      <c r="A40" t="s">
        <v>74</v>
      </c>
      <c r="D40" s="7"/>
      <c r="E40">
        <v>1.4696</v>
      </c>
      <c r="F40">
        <v>0</v>
      </c>
      <c r="G40">
        <v>1.5620000000000001</v>
      </c>
      <c r="H40">
        <v>0</v>
      </c>
      <c r="I40">
        <v>0</v>
      </c>
      <c r="J40" s="15">
        <v>0</v>
      </c>
      <c r="K40" s="36">
        <v>0</v>
      </c>
      <c r="L40">
        <v>0</v>
      </c>
      <c r="M40">
        <v>0</v>
      </c>
    </row>
    <row r="41" spans="1:13" x14ac:dyDescent="0.15">
      <c r="A41" t="s">
        <v>75</v>
      </c>
      <c r="D41" s="7"/>
      <c r="E41">
        <v>1.4014</v>
      </c>
      <c r="F41">
        <v>1.6555</v>
      </c>
      <c r="G41">
        <v>1.4850000000000001</v>
      </c>
      <c r="H41">
        <v>1.71</v>
      </c>
      <c r="I41">
        <v>1.7512000000000001</v>
      </c>
      <c r="J41">
        <v>1.7292000000000001</v>
      </c>
      <c r="K41" s="22">
        <v>1.694</v>
      </c>
      <c r="L41">
        <v>1.573</v>
      </c>
      <c r="M41">
        <v>1.65</v>
      </c>
    </row>
    <row r="42" spans="1:13" x14ac:dyDescent="0.15">
      <c r="A42" t="s">
        <v>76</v>
      </c>
      <c r="D42" s="7"/>
      <c r="E42">
        <v>1.8227</v>
      </c>
      <c r="F42">
        <v>1.8821000000000001</v>
      </c>
      <c r="G42">
        <v>1.8149999999999999</v>
      </c>
      <c r="H42">
        <v>1.94</v>
      </c>
      <c r="I42">
        <v>1.9371</v>
      </c>
      <c r="J42">
        <v>1.8922000000000001</v>
      </c>
      <c r="K42" s="22">
        <v>1.782</v>
      </c>
      <c r="L42">
        <v>1.9470000000000001</v>
      </c>
      <c r="M42">
        <v>1.903</v>
      </c>
    </row>
    <row r="43" spans="1:13" x14ac:dyDescent="0.15">
      <c r="A43" t="s">
        <v>77</v>
      </c>
      <c r="D43" s="7"/>
      <c r="E43">
        <v>1.6434</v>
      </c>
      <c r="F43">
        <v>0</v>
      </c>
      <c r="G43">
        <v>1.6279999999999999</v>
      </c>
      <c r="H43">
        <v>0</v>
      </c>
      <c r="I43">
        <v>0</v>
      </c>
      <c r="J43" s="15">
        <v>0</v>
      </c>
      <c r="K43" s="36">
        <v>0</v>
      </c>
      <c r="L43">
        <v>0</v>
      </c>
      <c r="M43">
        <v>0</v>
      </c>
    </row>
    <row r="44" spans="1:13" x14ac:dyDescent="0.15">
      <c r="A44" t="s">
        <v>78</v>
      </c>
      <c r="D44" s="7"/>
      <c r="E44">
        <v>1.4608000000000001</v>
      </c>
      <c r="F44">
        <v>0</v>
      </c>
      <c r="G44">
        <v>1.4410000000000001</v>
      </c>
      <c r="H44">
        <v>0</v>
      </c>
      <c r="I44">
        <v>0</v>
      </c>
      <c r="J44" s="15">
        <v>0</v>
      </c>
      <c r="K44" s="36">
        <v>0</v>
      </c>
      <c r="L44">
        <v>0</v>
      </c>
      <c r="M44">
        <v>0</v>
      </c>
    </row>
    <row r="45" spans="1:13" x14ac:dyDescent="0.15">
      <c r="A45" t="s">
        <v>79</v>
      </c>
      <c r="D45" s="7"/>
      <c r="E45">
        <v>1.4355</v>
      </c>
      <c r="F45">
        <v>0</v>
      </c>
      <c r="G45">
        <v>1.32</v>
      </c>
      <c r="H45">
        <v>0</v>
      </c>
      <c r="I45">
        <v>0</v>
      </c>
      <c r="J45" s="15">
        <v>0</v>
      </c>
      <c r="K45" s="36">
        <v>0</v>
      </c>
      <c r="L45">
        <v>0</v>
      </c>
      <c r="M45">
        <v>0</v>
      </c>
    </row>
    <row r="46" spans="1:13" x14ac:dyDescent="0.15">
      <c r="A46" t="s">
        <v>80</v>
      </c>
      <c r="D46" s="7"/>
      <c r="E46">
        <v>1.3684000000000001</v>
      </c>
      <c r="F46">
        <v>1.3827</v>
      </c>
      <c r="G46">
        <v>1.21</v>
      </c>
      <c r="H46">
        <v>1.55</v>
      </c>
      <c r="I46">
        <v>1.5146999999999999</v>
      </c>
      <c r="J46">
        <v>1.6009</v>
      </c>
      <c r="K46" s="22">
        <v>1.43</v>
      </c>
      <c r="L46">
        <v>1.573</v>
      </c>
      <c r="M46">
        <v>1.496</v>
      </c>
    </row>
    <row r="47" spans="1:13" x14ac:dyDescent="0.15">
      <c r="A47" t="s">
        <v>81</v>
      </c>
      <c r="D47" s="7"/>
      <c r="E47">
        <v>54.174999999999997</v>
      </c>
      <c r="F47">
        <v>58.3</v>
      </c>
      <c r="G47">
        <v>63.8</v>
      </c>
      <c r="H47">
        <v>59.33</v>
      </c>
      <c r="I47">
        <v>67.87</v>
      </c>
      <c r="J47">
        <v>60.27</v>
      </c>
      <c r="K47" s="22">
        <v>50.6</v>
      </c>
      <c r="L47">
        <v>57.706000000000003</v>
      </c>
      <c r="M47">
        <v>54.89</v>
      </c>
    </row>
    <row r="48" spans="1:13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  <row r="49" spans="1:13" x14ac:dyDescent="0.15">
      <c r="A49" s="9" t="s">
        <v>490</v>
      </c>
      <c r="D49" s="7"/>
      <c r="E49" s="10" t="s">
        <v>1044</v>
      </c>
      <c r="F49" s="23" t="s">
        <v>591</v>
      </c>
      <c r="G49" s="23" t="s">
        <v>592</v>
      </c>
      <c r="H49" s="23" t="s">
        <v>544</v>
      </c>
      <c r="I49" s="23" t="s">
        <v>615</v>
      </c>
      <c r="J49" s="23" t="s">
        <v>595</v>
      </c>
      <c r="K49" s="23" t="s">
        <v>596</v>
      </c>
      <c r="L49" s="10" t="s">
        <v>486</v>
      </c>
      <c r="M49" s="23" t="s">
        <v>487</v>
      </c>
    </row>
    <row r="50" spans="1:13" x14ac:dyDescent="0.15">
      <c r="A50" t="s">
        <v>491</v>
      </c>
      <c r="D50" s="7"/>
      <c r="E50" s="24" t="s">
        <v>547</v>
      </c>
      <c r="F50" s="25" t="s">
        <v>493</v>
      </c>
      <c r="G50" s="25" t="s">
        <v>540</v>
      </c>
      <c r="H50" s="25" t="s">
        <v>494</v>
      </c>
      <c r="I50" s="25" t="s">
        <v>494</v>
      </c>
      <c r="J50" s="25" t="s">
        <v>494</v>
      </c>
      <c r="K50" s="25" t="s">
        <v>493</v>
      </c>
      <c r="L50" s="25" t="s">
        <v>493</v>
      </c>
      <c r="M50" s="25" t="s">
        <v>493</v>
      </c>
    </row>
    <row r="51" spans="1:13" x14ac:dyDescent="0.15">
      <c r="A51" t="s">
        <v>496</v>
      </c>
      <c r="D51" s="7"/>
      <c r="E51" s="25" t="s">
        <v>498</v>
      </c>
      <c r="F51" s="25" t="s">
        <v>497</v>
      </c>
      <c r="G51" s="25" t="s">
        <v>526</v>
      </c>
      <c r="H51" s="25" t="s">
        <v>548</v>
      </c>
      <c r="I51" s="25" t="s">
        <v>498</v>
      </c>
      <c r="J51" s="25" t="s">
        <v>498</v>
      </c>
      <c r="K51" s="25" t="s">
        <v>527</v>
      </c>
      <c r="L51" s="25" t="s">
        <v>493</v>
      </c>
      <c r="M51" s="25" t="s">
        <v>493</v>
      </c>
    </row>
    <row r="52" spans="1:13" x14ac:dyDescent="0.15">
      <c r="A52" t="s">
        <v>499</v>
      </c>
      <c r="D52" s="7"/>
      <c r="E52" s="25" t="s">
        <v>528</v>
      </c>
      <c r="F52" s="37">
        <v>22</v>
      </c>
      <c r="G52" s="37">
        <v>22</v>
      </c>
      <c r="H52" s="37">
        <v>22</v>
      </c>
      <c r="I52" s="37">
        <v>20</v>
      </c>
      <c r="J52" s="37">
        <v>80</v>
      </c>
      <c r="K52" s="37">
        <v>20</v>
      </c>
      <c r="L52" t="s">
        <v>493</v>
      </c>
      <c r="M52" t="s">
        <v>493</v>
      </c>
    </row>
    <row r="53" spans="1:13" x14ac:dyDescent="0.15">
      <c r="A53" t="s">
        <v>501</v>
      </c>
      <c r="D53" s="7"/>
      <c r="E53" s="25" t="s">
        <v>549</v>
      </c>
      <c r="F53" s="24" t="s">
        <v>536</v>
      </c>
      <c r="G53" s="24" t="s">
        <v>542</v>
      </c>
      <c r="H53" s="24" t="s">
        <v>550</v>
      </c>
      <c r="I53" s="24" t="s">
        <v>507</v>
      </c>
      <c r="J53" s="24" t="s">
        <v>505</v>
      </c>
      <c r="K53" s="24" t="s">
        <v>506</v>
      </c>
      <c r="L53" s="24" t="s">
        <v>531</v>
      </c>
      <c r="M53" s="24" t="s">
        <v>532</v>
      </c>
    </row>
    <row r="54" spans="1:13" x14ac:dyDescent="0.15">
      <c r="A54" t="s">
        <v>442</v>
      </c>
      <c r="D54" s="7"/>
      <c r="E54" s="25" t="s">
        <v>512</v>
      </c>
      <c r="F54" s="25" t="s">
        <v>500</v>
      </c>
      <c r="G54" s="25" t="s">
        <v>494</v>
      </c>
      <c r="H54" s="25" t="s">
        <v>493</v>
      </c>
      <c r="I54" s="25" t="s">
        <v>494</v>
      </c>
      <c r="J54" s="25" t="s">
        <v>494</v>
      </c>
      <c r="K54" s="25" t="s">
        <v>500</v>
      </c>
      <c r="L54" s="25" t="s">
        <v>493</v>
      </c>
      <c r="M54" s="25" t="s">
        <v>493</v>
      </c>
    </row>
    <row r="55" spans="1:13" x14ac:dyDescent="0.15">
      <c r="A55" s="80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</row>
  </sheetData>
  <sheetProtection algorithmName="SHA-512" hashValue="FeBGByJywJF4wA6/mIPAz/nXItkuTsVA6UKd6luGH4qSK8tlp8qxF2Py1vJx7omcmRduxT5TI9WDEi4Xxu7UWw==" saltValue="RUGWQXzLsh/ZC2070ko9Eg==" spinCount="100000" sheet="1" objects="1" scenarios="1"/>
  <phoneticPr fontId="20" type="noConversion"/>
  <pageMargins left="0.75" right="0.75" top="1" bottom="1" header="0.5" footer="0.5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A672C-36AA-FA46-AC55-191E3DB87852}">
  <sheetPr codeName="Sheet2"/>
  <dimension ref="A1:AX18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Q1" sqref="Q1:Q1048576"/>
    </sheetView>
  </sheetViews>
  <sheetFormatPr baseColWidth="10" defaultRowHeight="13" x14ac:dyDescent="0.15"/>
  <cols>
    <col min="1" max="1" width="20.83203125" customWidth="1"/>
    <col min="2" max="2" width="21.6640625" bestFit="1" customWidth="1"/>
    <col min="3" max="3" width="16.83203125" bestFit="1" customWidth="1"/>
    <col min="4" max="4" width="7.5" bestFit="1" customWidth="1"/>
    <col min="5" max="9" width="10" bestFit="1" customWidth="1"/>
    <col min="10" max="14" width="8.5" bestFit="1" customWidth="1"/>
    <col min="15" max="16" width="10.6640625" hidden="1" customWidth="1"/>
    <col min="17" max="17" width="10.1640625" hidden="1" customWidth="1"/>
    <col min="18" max="18" width="10.6640625" bestFit="1" customWidth="1"/>
    <col min="21" max="21" width="10.5" bestFit="1" customWidth="1"/>
    <col min="22" max="22" width="10.5" customWidth="1"/>
    <col min="23" max="23" width="19" hidden="1" customWidth="1"/>
    <col min="24" max="24" width="10.83203125" hidden="1" customWidth="1"/>
    <col min="25" max="26" width="10.6640625" hidden="1" customWidth="1"/>
    <col min="27" max="27" width="14.1640625" customWidth="1"/>
    <col min="28" max="28" width="14" customWidth="1"/>
  </cols>
  <sheetData>
    <row r="1" spans="1:50" x14ac:dyDescent="0.15">
      <c r="A1" s="574" t="s">
        <v>722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574"/>
      <c r="AJ1" s="574"/>
      <c r="AK1" s="574"/>
      <c r="AL1" s="574"/>
      <c r="AM1" s="574"/>
      <c r="AN1" s="574"/>
      <c r="AO1" s="574"/>
      <c r="AP1" s="574"/>
      <c r="AQ1" s="574"/>
      <c r="AR1" s="574"/>
      <c r="AS1" s="574"/>
      <c r="AT1" s="574"/>
      <c r="AU1" s="574"/>
      <c r="AV1" s="574"/>
      <c r="AW1" s="574"/>
      <c r="AX1" s="574"/>
    </row>
    <row r="2" spans="1:50" x14ac:dyDescent="0.15">
      <c r="A2" s="574" t="s">
        <v>723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574"/>
      <c r="AJ2" s="574"/>
      <c r="AK2" s="574"/>
      <c r="AL2" s="574"/>
      <c r="AM2" s="574"/>
      <c r="AN2" s="574"/>
      <c r="AO2" s="574"/>
      <c r="AP2" s="574"/>
      <c r="AQ2" s="574"/>
      <c r="AR2" s="574"/>
      <c r="AS2" s="574"/>
      <c r="AT2" s="574"/>
      <c r="AU2" s="574"/>
      <c r="AV2" s="574"/>
      <c r="AW2" s="574"/>
      <c r="AX2" s="574"/>
    </row>
    <row r="3" spans="1:50" ht="14" thickBot="1" x14ac:dyDescent="0.2">
      <c r="A3" s="574"/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574"/>
      <c r="AJ3" s="574"/>
      <c r="AK3" s="574"/>
      <c r="AL3" s="574"/>
      <c r="AM3" s="574"/>
      <c r="AN3" s="574"/>
      <c r="AO3" s="574"/>
      <c r="AP3" s="574"/>
      <c r="AQ3" s="574"/>
      <c r="AR3" s="574"/>
      <c r="AS3" s="574"/>
      <c r="AT3" s="574"/>
      <c r="AU3" s="574"/>
      <c r="AV3" s="574"/>
      <c r="AW3" s="574"/>
      <c r="AX3" s="574"/>
    </row>
    <row r="4" spans="1:50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410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6"/>
      <c r="AF4" s="574"/>
      <c r="AG4" s="574"/>
      <c r="AH4" s="574"/>
      <c r="AI4" s="574"/>
      <c r="AJ4" s="574"/>
      <c r="AK4" s="574"/>
      <c r="AL4" s="574"/>
      <c r="AM4" s="574"/>
      <c r="AN4" s="574"/>
      <c r="AO4" s="574"/>
      <c r="AP4" s="574"/>
      <c r="AQ4" s="574"/>
      <c r="AR4" s="574"/>
      <c r="AS4" s="574"/>
      <c r="AT4" s="574"/>
      <c r="AU4" s="574"/>
      <c r="AV4" s="574"/>
      <c r="AW4" s="574"/>
      <c r="AX4" s="574"/>
    </row>
    <row r="5" spans="1:50" ht="14" x14ac:dyDescent="0.15">
      <c r="A5" s="267" t="s">
        <v>1394</v>
      </c>
      <c r="B5" s="268"/>
      <c r="C5" s="66">
        <v>30000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411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9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574"/>
      <c r="AS5" s="574"/>
      <c r="AT5" s="574"/>
      <c r="AU5" s="574"/>
      <c r="AV5" s="574"/>
      <c r="AW5" s="574"/>
      <c r="AX5" s="574"/>
    </row>
    <row r="6" spans="1:50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411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9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4"/>
      <c r="AX6" s="574"/>
    </row>
    <row r="7" spans="1:50" ht="65" customHeight="1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501" t="s">
        <v>572</v>
      </c>
      <c r="P7" s="501" t="s">
        <v>1243</v>
      </c>
      <c r="Q7" s="494" t="s">
        <v>573</v>
      </c>
      <c r="R7" s="493" t="s">
        <v>574</v>
      </c>
      <c r="S7" s="495" t="s">
        <v>575</v>
      </c>
      <c r="T7" s="496" t="s">
        <v>576</v>
      </c>
      <c r="U7" s="496" t="s">
        <v>577</v>
      </c>
      <c r="V7" s="496" t="s">
        <v>578</v>
      </c>
      <c r="W7" s="536" t="s">
        <v>1548</v>
      </c>
      <c r="X7" s="536" t="s">
        <v>1549</v>
      </c>
      <c r="Y7" s="502" t="s">
        <v>579</v>
      </c>
      <c r="Z7" s="502" t="s">
        <v>580</v>
      </c>
      <c r="AA7" s="497" t="s">
        <v>581</v>
      </c>
      <c r="AB7" s="497" t="s">
        <v>582</v>
      </c>
      <c r="AC7" s="498" t="s">
        <v>583</v>
      </c>
      <c r="AD7" s="499" t="s">
        <v>584</v>
      </c>
      <c r="AE7" s="500" t="s">
        <v>585</v>
      </c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4"/>
      <c r="AX7" s="574"/>
    </row>
    <row r="8" spans="1:50" ht="14" x14ac:dyDescent="0.15">
      <c r="A8" s="270" t="str">
        <f>'Tariffs Jul2021'!F2</f>
        <v>AGL</v>
      </c>
      <c r="B8" s="40" t="str">
        <f>'Tariffs Jul2021'!D2</f>
        <v>Multinet Metro 1</v>
      </c>
      <c r="C8" s="40" t="str">
        <f>'Tariffs Jul2021'!G2</f>
        <v>Flexible Saver</v>
      </c>
      <c r="D8" s="59">
        <f>365*'Tariffs Jul2021'!H2/100</f>
        <v>266.74863636363636</v>
      </c>
      <c r="E8" s="59">
        <f>IF($C$5*'Tariffs Jul2021'!AK2/'Tariffs Jul2021'!AI2&gt;='Tariffs Jul2021'!J2,( 'Tariffs Jul2021'!J2*'Tariffs Jul2021'!O2/100)* 'Tariffs Jul2021'!AI2,($C$5*'Tariffs Jul2021'!AK2/'Tariffs Jul2021'!AI2*'Tariffs Jul2021'!O2/100)* 'Tariffs Jul2021'!AI2)</f>
        <v>216.81818181818181</v>
      </c>
      <c r="F8" s="59">
        <f>IF($C$5*'Tariffs Jul2021'!AK2/'Tariffs Jul2021'!AI2&lt;'Tariffs Jul2021'!J2,0,IF($C$5*'Tariffs Jul2021'!AK2/'Tariffs Jul2021'!AI2&lt;='Tariffs Jul2021'!K2,($C$5*'Tariffs Jul2021'!AK2/'Tariffs Jul2021'!AI2-'Tariffs Jul2021'!J2)*('Tariffs Jul2021'!P2/100)*'Tariffs Jul2021'!AI2,('Tariffs Jul2021'!K2-'Tariffs Jul2021'!J2)*('Tariffs Jul2021'!P2/100)*'Tariffs Jul2021'!AI2))</f>
        <v>128.18181818181819</v>
      </c>
      <c r="G8" s="59">
        <f>IF($C$5*'Tariffs Jul2021'!AK2/'Tariffs Jul2021'!AI2&lt;'Tariffs Jul2021'!K2,0,IF($C$5*'Tariffs Jul2021'!AK2/'Tariffs Jul2021'!AI2&lt;='Tariffs Jul2021'!L2,($C$5*'Tariffs Jul2021'!AK2/'Tariffs Jul2021'!AI2-'Tariffs Jul2021'!K2)*('Tariffs Jul2021'!Q2/100)*'Tariffs Jul2021'!AI2,('Tariffs Jul2021'!L2-'Tariffs Jul2021'!K2)*('Tariffs Jul2021'!Q2/100)*'Tariffs Jul2021'!AI2))</f>
        <v>0</v>
      </c>
      <c r="H8" s="59">
        <f>IF($C$5*'Tariffs Jul2021'!AK2/'Tariffs Jul2021'!AI2&lt;'Tariffs Jul2021'!L2,0,IF($C$5*'Tariffs Jul2021'!AK2/'Tariffs Jul2021'!AI2&lt;='Tariffs Jul2021'!M2,($C$5*'Tariffs Jul2021'!AK2/'Tariffs Jul2021'!AI2-'Tariffs Jul2021'!L2)*('Tariffs Jul2021'!R2/100)*'Tariffs Jul2021'!AI2,('Tariffs Jul2021'!M2-'Tariffs Jul2021'!L2)*('Tariffs Jul2021'!R2/100)*'Tariffs Jul2021'!AI2))</f>
        <v>0</v>
      </c>
      <c r="I8" s="59">
        <f>IF(($C$5*'Tariffs Jul2021'!AK2/'Tariffs Jul2021'!AI2&gt;'Tariffs Jul2021'!M2),($C$5*'Tariffs Jul2021'!AK2/'Tariffs Jul2021'!AI2-'Tariffs Jul2021'!M2)*'Tariffs Jul2021'!S2/100*'Tariffs Jul2021'!AI2,0)</f>
        <v>0</v>
      </c>
      <c r="J8" s="59">
        <f>IF($C$5*'Tariffs Jul2021'!AL2/'Tariffs Jul2021'!AJ2&gt;='Tariffs Jul2021'!J2,('Tariffs Jul2021'!J2*'Tariffs Jul2021'!U2/100)* 'Tariffs Jul2021'!AJ2,($C$5*'Tariffs Jul2021'!AL2/'Tariffs Jul2021'!AJ2*'Tariffs Jul2021'!U2/100)* 'Tariffs Jul2021'!AJ2)</f>
        <v>207.81818181818181</v>
      </c>
      <c r="K8" s="59">
        <f>IF($C$5*'Tariffs Jul2021'!AL2/'Tariffs Jul2021'!AJ2&lt;'Tariffs Jul2021'!J2,0,IF($C$5*'Tariffs Jul2021'!AL2/'Tariffs Jul2021'!AJ2&lt;='Tariffs Jul2021'!K2,($C$5*'Tariffs Jul2021'!AL2/'Tariffs Jul2021'!AJ2-'Tariffs Jul2021'!J2)*('Tariffs Jul2021'!V2/100)*'Tariffs Jul2021'!AJ2,('Tariffs Jul2021'!K2-'Tariffs Jul2021'!J2)*('Tariffs Jul2021'!V2/100)*'Tariffs Jul2021'!AJ2))</f>
        <v>122.18181818181819</v>
      </c>
      <c r="L8" s="59">
        <f>IF($C$5*'Tariffs Jul2021'!AL2/'Tariffs Jul2021'!AJ2&lt;'Tariffs Jul2021'!K2,0,IF($C$5*'Tariffs Jul2021'!AL2/'Tariffs Jul2021'!AJ2&lt;='Tariffs Jul2021'!L2,($C$5*'Tariffs Jul2021'!AL2/'Tariffs Jul2021'!AJ2-'Tariffs Jul2021'!K2)*('Tariffs Jul2021'!W2/100)*'Tariffs Jul2021'!AJ2,('Tariffs Jul2021'!L2-'Tariffs Jul2021'!K2)*('Tariffs Jul2021'!W2/100)*'Tariffs Jul2021'!AJ2))</f>
        <v>0</v>
      </c>
      <c r="M8" s="59">
        <f>IF($C$5*'Tariffs Jul2021'!AL2/'Tariffs Jul2021'!AJ2&lt;'Tariffs Jul2021'!L2,0,IF($C$5*'Tariffs Jul2021'!AL2/'Tariffs Jul2021'!AJ2&lt;='Tariffs Jul2021'!M2,($C$5*'Tariffs Jul2021'!AL2/'Tariffs Jul2021'!AJ2-'Tariffs Jul2021'!L2)*('Tariffs Jul2021'!X2/100)*'Tariffs Jul2021'!AJ2,('Tariffs Jul2021'!M2-'Tariffs Jul2021'!L2)*('Tariffs Jul2021'!X2/100)*'Tariffs Jul2021'!AJ2))</f>
        <v>0</v>
      </c>
      <c r="N8" s="59">
        <f>IF(($C$5*'Tariffs Jul2021'!AL2/'Tariffs Jul2021'!AJ2&gt;'Tariffs Jul2021'!M2),($C$5*'Tariffs Jul2021'!AL2/'Tariffs Jul2021'!AJ2-'Tariffs Jul2021'!M2)*'Tariffs Jul2021'!Y2/100*'Tariffs Jul2021'!AJ2,0)</f>
        <v>0</v>
      </c>
      <c r="O8" s="59">
        <f>SUM(E8:N8)</f>
        <v>675</v>
      </c>
      <c r="P8" s="503">
        <f>O8*1.1</f>
        <v>742.50000000000011</v>
      </c>
      <c r="Q8" s="59">
        <f>D8+O8</f>
        <v>941.74863636363636</v>
      </c>
      <c r="R8" s="272">
        <f>Q8*1.1</f>
        <v>1035.9235000000001</v>
      </c>
      <c r="S8" s="40">
        <f>'Tariffs Jul2021'!AN2</f>
        <v>0</v>
      </c>
      <c r="T8" s="40">
        <f>'Tariffs Jul2021'!AO2</f>
        <v>0</v>
      </c>
      <c r="U8" s="40">
        <f>'Tariffs Jul2021'!AP2</f>
        <v>0</v>
      </c>
      <c r="V8" s="40">
        <f>'Tariffs Jul2021'!AQ2</f>
        <v>0</v>
      </c>
      <c r="W8" s="539" t="str">
        <f>IF(SUM(S8:V8)=0,"No discount",IF(S8&gt;0,"Guaranteed off bill",IF(T8&gt;0,"Guaranteed off usage",IF(U8&gt;0,"Pay-on-time off bill","Pay-on-time off usage"))))</f>
        <v>No discount</v>
      </c>
      <c r="X8" s="538" t="str">
        <f>IF(OR(A8="Origin Energy",A8="Red Energy",A8="Powershop"),"Inclusive","Exclusive")</f>
        <v>Exclusive</v>
      </c>
      <c r="Y8" s="534">
        <f>IF(AND(W8="Guaranteed off bill",X8="Inclusive"),((Q8*1.1)-((Q8*1.1)*S8/100))/1.1,IF(AND(W8="Guaranteed off usage",X8="Inclusive"),((Q8*1.1)-((P8*1.1)*T8/100))/1.1,IF(AND(W8="Guaranteed off bill",X8="Exclusive"),Q8-(Q8*S8/100),IF(AND(W8="Guaranteed off usage",X8="Exclusive"),Q8-(P8*T8/100),IF(X8="Inclusive",((Q8*1.1))/1.1,Q8)))))</f>
        <v>941.74863636363636</v>
      </c>
      <c r="Z8" s="535">
        <f>IF(AND(W8="Pay-on-time off bill",X8="Inclusive"),((Y8*1.1)-((Y8*1.1)*U8/100))/1.1,IF(AND(W8="Pay-on-time off usage",X8="Inclusive"),((Y8*1.1)-((P8*1.1)*V8/100))/1.1,IF(AND(W8="Pay-on-time off bill",X8="Exclusive"),Y8-(Y8*U8/100),IF(AND(W8="Pay-on-time off usage",X8="Exclusive"),Y8-(P8*V8/100),IF(X8="Inclusive",((Y8*1.1))/1.1,Y8)))))</f>
        <v>941.74863636363636</v>
      </c>
      <c r="AA8" s="542">
        <f t="shared" ref="AA8:AB22" si="0">Y8*1.1</f>
        <v>1035.9235000000001</v>
      </c>
      <c r="AB8" s="542">
        <f t="shared" si="0"/>
        <v>1035.9235000000001</v>
      </c>
      <c r="AC8" s="274">
        <f>'Tariffs Jul2021'!AZ2</f>
        <v>0</v>
      </c>
      <c r="AD8" s="274" t="str">
        <f>'Tariffs Jul2021'!BA2</f>
        <v>n</v>
      </c>
      <c r="AE8" s="275" t="str">
        <f>'Tariffs Jul2021'!BJ2</f>
        <v>N</v>
      </c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</row>
    <row r="9" spans="1:50" ht="14" x14ac:dyDescent="0.15">
      <c r="A9" s="270" t="str">
        <f>'Tariffs Jul2021'!F3</f>
        <v>Alinta Energy</v>
      </c>
      <c r="B9" s="40" t="str">
        <f>'Tariffs Jul2021'!D3</f>
        <v>Multinet Metro 1</v>
      </c>
      <c r="C9" s="40" t="str">
        <f>'Tariffs Jul2021'!G3</f>
        <v>Home Deal</v>
      </c>
      <c r="D9" s="59">
        <f>365*'Tariffs Jul2021'!H3/100</f>
        <v>171.48363636363635</v>
      </c>
      <c r="E9" s="59">
        <f>IF($C$5*'Tariffs Jul2021'!AK3/'Tariffs Jul2021'!AI3&gt;='Tariffs Jul2021'!J3,( 'Tariffs Jul2021'!J3*'Tariffs Jul2021'!O3/100)* 'Tariffs Jul2021'!AI3,($C$5*'Tariffs Jul2021'!AK3/'Tariffs Jul2021'!AI3*'Tariffs Jul2021'!O3/100)* 'Tariffs Jul2021'!AI3)</f>
        <v>181.63636363636363</v>
      </c>
      <c r="F9" s="59">
        <f>IF($C$5*'Tariffs Jul2021'!AK3/'Tariffs Jul2021'!AI3&lt;'Tariffs Jul2021'!J3,0,IF($C$5*'Tariffs Jul2021'!AK3/'Tariffs Jul2021'!AI3&lt;='Tariffs Jul2021'!K3,($C$5*'Tariffs Jul2021'!AK3/'Tariffs Jul2021'!AI3-'Tariffs Jul2021'!J3)*('Tariffs Jul2021'!P3/100)*'Tariffs Jul2021'!AI3,('Tariffs Jul2021'!K3-'Tariffs Jul2021'!J3)*('Tariffs Jul2021'!P3/100)*'Tariffs Jul2021'!AI3))</f>
        <v>109.63636363636363</v>
      </c>
      <c r="G9" s="59">
        <f>IF($C$5*'Tariffs Jul2021'!AK3/'Tariffs Jul2021'!AI3&lt;'Tariffs Jul2021'!K3,0,IF($C$5*'Tariffs Jul2021'!AK3/'Tariffs Jul2021'!AI3&lt;='Tariffs Jul2021'!L3,($C$5*'Tariffs Jul2021'!AK3/'Tariffs Jul2021'!AI3-'Tariffs Jul2021'!K3)*('Tariffs Jul2021'!Q3/100)*'Tariffs Jul2021'!AI3,('Tariffs Jul2021'!L3-'Tariffs Jul2021'!K3)*('Tariffs Jul2021'!Q3/100)*'Tariffs Jul2021'!AI3))</f>
        <v>0</v>
      </c>
      <c r="H9" s="59">
        <f>IF($C$5*'Tariffs Jul2021'!AK3/'Tariffs Jul2021'!AI3&lt;'Tariffs Jul2021'!L3,0,IF($C$5*'Tariffs Jul2021'!AK3/'Tariffs Jul2021'!AI3&lt;='Tariffs Jul2021'!M3,($C$5*'Tariffs Jul2021'!AK3/'Tariffs Jul2021'!AI3-'Tariffs Jul2021'!L3)*('Tariffs Jul2021'!R3/100)*'Tariffs Jul2021'!AI3,('Tariffs Jul2021'!M3-'Tariffs Jul2021'!L3)*('Tariffs Jul2021'!R3/100)*'Tariffs Jul2021'!AI3))</f>
        <v>0</v>
      </c>
      <c r="I9" s="59">
        <f>IF(($C$5*'Tariffs Jul2021'!AK3/'Tariffs Jul2021'!AI3&gt;'Tariffs Jul2021'!M3),($C$5*'Tariffs Jul2021'!AK3/'Tariffs Jul2021'!AI3-'Tariffs Jul2021'!M3)*'Tariffs Jul2021'!S3/100*'Tariffs Jul2021'!AI3,0)</f>
        <v>0</v>
      </c>
      <c r="J9" s="59">
        <f>IF($C$5*'Tariffs Jul2021'!AL3/'Tariffs Jul2021'!AJ3&gt;='Tariffs Jul2021'!J3,('Tariffs Jul2021'!J3*'Tariffs Jul2021'!U3/100)* 'Tariffs Jul2021'!AJ3,($C$5*'Tariffs Jul2021'!AL3/'Tariffs Jul2021'!AJ3*'Tariffs Jul2021'!U3/100)* 'Tariffs Jul2021'!AJ3)</f>
        <v>181.63636363636363</v>
      </c>
      <c r="K9" s="59">
        <f>IF($C$5*'Tariffs Jul2021'!AL3/'Tariffs Jul2021'!AJ3&lt;'Tariffs Jul2021'!J3,0,IF($C$5*'Tariffs Jul2021'!AL3/'Tariffs Jul2021'!AJ3&lt;='Tariffs Jul2021'!K3,($C$5*'Tariffs Jul2021'!AL3/'Tariffs Jul2021'!AJ3-'Tariffs Jul2021'!J3)*('Tariffs Jul2021'!V3/100)*'Tariffs Jul2021'!AJ3,('Tariffs Jul2021'!K3-'Tariffs Jul2021'!J3)*('Tariffs Jul2021'!V3/100)*'Tariffs Jul2021'!AJ3))</f>
        <v>103.63636363636363</v>
      </c>
      <c r="L9" s="59">
        <f>IF($C$5*'Tariffs Jul2021'!AL3/'Tariffs Jul2021'!AJ3&lt;'Tariffs Jul2021'!K3,0,IF($C$5*'Tariffs Jul2021'!AL3/'Tariffs Jul2021'!AJ3&lt;='Tariffs Jul2021'!L3,($C$5*'Tariffs Jul2021'!AL3/'Tariffs Jul2021'!AJ3-'Tariffs Jul2021'!K3)*('Tariffs Jul2021'!W3/100)*'Tariffs Jul2021'!AJ3,('Tariffs Jul2021'!L3-'Tariffs Jul2021'!K3)*('Tariffs Jul2021'!W3/100)*'Tariffs Jul2021'!AJ3))</f>
        <v>0</v>
      </c>
      <c r="M9" s="59">
        <f>IF($C$5*'Tariffs Jul2021'!AL3/'Tariffs Jul2021'!AJ3&lt;'Tariffs Jul2021'!L3,0,IF($C$5*'Tariffs Jul2021'!AL3/'Tariffs Jul2021'!AJ3&lt;='Tariffs Jul2021'!M3,($C$5*'Tariffs Jul2021'!AL3/'Tariffs Jul2021'!AJ3-'Tariffs Jul2021'!L3)*('Tariffs Jul2021'!X3/100)*'Tariffs Jul2021'!AJ3,('Tariffs Jul2021'!M3-'Tariffs Jul2021'!L3)*('Tariffs Jul2021'!X3/100)*'Tariffs Jul2021'!AJ3))</f>
        <v>0</v>
      </c>
      <c r="N9" s="59">
        <f>IF(($C$5*'Tariffs Jul2021'!AL3/'Tariffs Jul2021'!AJ3&gt;'Tariffs Jul2021'!M3),($C$5*'Tariffs Jul2021'!AL3/'Tariffs Jul2021'!AJ3-'Tariffs Jul2021'!M3)*'Tariffs Jul2021'!Y3/100*'Tariffs Jul2021'!AJ3,0)</f>
        <v>0</v>
      </c>
      <c r="O9" s="59">
        <f t="shared" ref="O9:O86" si="1">SUM(E9:N9)</f>
        <v>576.5454545454545</v>
      </c>
      <c r="P9" s="503">
        <f t="shared" ref="P9:P68" si="2">O9*1.1</f>
        <v>634.20000000000005</v>
      </c>
      <c r="Q9" s="59">
        <f t="shared" ref="Q9:Q86" si="3">D9+O9</f>
        <v>748.02909090909088</v>
      </c>
      <c r="R9" s="272">
        <f t="shared" ref="R9:R86" si="4">Q9*1.1</f>
        <v>822.83199999999999</v>
      </c>
      <c r="S9" s="40">
        <f>'Tariffs Jul2021'!AN3</f>
        <v>0</v>
      </c>
      <c r="T9" s="40">
        <f>'Tariffs Jul2021'!AO3</f>
        <v>0</v>
      </c>
      <c r="U9" s="40">
        <f>'Tariffs Jul2021'!AP3</f>
        <v>0</v>
      </c>
      <c r="V9" s="40">
        <f>'Tariffs Jul2021'!AQ3</f>
        <v>0</v>
      </c>
      <c r="W9" s="537" t="str">
        <f t="shared" ref="W9:W23" si="5">IF(SUM(S9:V9)=0,"No discount",IF(S9&gt;0,"Guaranteed off bill",IF(T9&gt;0,"Guaranteed off usage",IF(U9&gt;0,"Pay-on-time off bill","Pay-on-time off usage"))))</f>
        <v>No discount</v>
      </c>
      <c r="X9" s="538" t="str">
        <f t="shared" ref="X9:X23" si="6">IF(OR(A9="Origin Energy",A9="Red Energy",A9="Powershop"),"Inclusive","Exclusive")</f>
        <v>Exclusive</v>
      </c>
      <c r="Y9" s="534">
        <f>IF(AND(W9="Guaranteed off bill",X9="Inclusive"),((Q9*1.1)-((Q9*1.1)*S9/100))/1.1,IF(AND(W9="Guaranteed off usage",X9="Inclusive"),((Q9*1.1)-((P9*1.1)*T9/100))/1.1,IF(AND(W9="Guaranteed off bill",X9="Exclusive"),Q9-(Q9*S9/100),IF(AND(W9="Guaranteed off usage",X9="Exclusive"),Q9-(P9*T9/100),IF(X9="Inclusive",((Q9*1.1))/1.1,Q9)))))</f>
        <v>748.02909090909088</v>
      </c>
      <c r="Z9" s="535">
        <f>IF(AND(W9="Pay-on-time off bill",X9="Inclusive"),((Y9*1.1)-((Y9*1.1)*U9/100))/1.1,IF(AND(W9="Pay-on-time off usage",X9="Inclusive"),((Y9*1.1)-((P9*1.1)*V9/100))/1.1,IF(AND(W9="Pay-on-time off bill",X9="Exclusive"),Y9-(Y9*U9/100),IF(AND(W9="Pay-on-time off usage",X9="Exclusive"),Y9-(P9*V9/100),IF(X9="Inclusive",((Y9*1.1))/1.1,Y9)))))</f>
        <v>748.02909090909088</v>
      </c>
      <c r="AA9" s="542">
        <f t="shared" si="0"/>
        <v>822.83199999999999</v>
      </c>
      <c r="AB9" s="542">
        <f t="shared" si="0"/>
        <v>822.83199999999999</v>
      </c>
      <c r="AC9" s="274">
        <f>'Tariffs Jul2021'!AZ3</f>
        <v>0</v>
      </c>
      <c r="AD9" s="274" t="str">
        <f>'Tariffs Jul2021'!BA3</f>
        <v>n</v>
      </c>
      <c r="AE9" s="275" t="str">
        <f>'Tariffs Jul2021'!BJ3</f>
        <v>N</v>
      </c>
      <c r="AF9" s="574"/>
      <c r="AG9" s="574"/>
      <c r="AH9" s="574"/>
      <c r="AI9" s="574"/>
      <c r="AJ9" s="574"/>
      <c r="AK9" s="574"/>
      <c r="AL9" s="574"/>
      <c r="AM9" s="574"/>
      <c r="AN9" s="574"/>
      <c r="AO9" s="574"/>
      <c r="AP9" s="574"/>
      <c r="AQ9" s="574"/>
      <c r="AR9" s="574"/>
      <c r="AS9" s="574"/>
      <c r="AT9" s="574"/>
      <c r="AU9" s="574"/>
      <c r="AV9" s="574"/>
      <c r="AW9" s="574"/>
      <c r="AX9" s="574"/>
    </row>
    <row r="10" spans="1:50" ht="14" x14ac:dyDescent="0.15">
      <c r="A10" s="270" t="str">
        <f>'Tariffs Jul2021'!F4</f>
        <v>Covau</v>
      </c>
      <c r="B10" s="40" t="str">
        <f>'Tariffs Jul2021'!D4</f>
        <v>Multinet Metro 1</v>
      </c>
      <c r="C10" s="40" t="str">
        <f>'Tariffs Jul2021'!G4</f>
        <v>Super Saver Plus</v>
      </c>
      <c r="D10" s="59">
        <f>365*'Tariffs Jul2021'!H4/100</f>
        <v>284.7</v>
      </c>
      <c r="E10" s="59">
        <f>IF($C$5*'Tariffs Jul2021'!AK4/'Tariffs Jul2021'!AI4&gt;='Tariffs Jul2021'!J4,( 'Tariffs Jul2021'!J4*'Tariffs Jul2021'!O4/100)* 'Tariffs Jul2021'!AI4,($C$5*'Tariffs Jul2021'!AK4/'Tariffs Jul2021'!AI4*'Tariffs Jul2021'!O4/100)* 'Tariffs Jul2021'!AI4)</f>
        <v>241.36363636363637</v>
      </c>
      <c r="F10" s="59">
        <f>IF($C$5*'Tariffs Jul2021'!AK4/'Tariffs Jul2021'!AI4&lt;'Tariffs Jul2021'!J4,0,IF($C$5*'Tariffs Jul2021'!AK4/'Tariffs Jul2021'!AI4&lt;='Tariffs Jul2021'!K4,($C$5*'Tariffs Jul2021'!AK4/'Tariffs Jul2021'!AI4-'Tariffs Jul2021'!J4)*('Tariffs Jul2021'!P4/100)*'Tariffs Jul2021'!AI4,('Tariffs Jul2021'!K4-'Tariffs Jul2021'!J4)*('Tariffs Jul2021'!P4/100)*'Tariffs Jul2021'!AI4))</f>
        <v>142.36363636363637</v>
      </c>
      <c r="G10" s="59">
        <f>IF($C$5*'Tariffs Jul2021'!AK4/'Tariffs Jul2021'!AI4&lt;'Tariffs Jul2021'!K4,0,IF($C$5*'Tariffs Jul2021'!AK4/'Tariffs Jul2021'!AI4&lt;='Tariffs Jul2021'!L4,($C$5*'Tariffs Jul2021'!AK4/'Tariffs Jul2021'!AI4-'Tariffs Jul2021'!K4)*('Tariffs Jul2021'!Q4/100)*'Tariffs Jul2021'!AI4,('Tariffs Jul2021'!L4-'Tariffs Jul2021'!K4)*('Tariffs Jul2021'!Q4/100)*'Tariffs Jul2021'!AI4))</f>
        <v>0</v>
      </c>
      <c r="H10" s="59">
        <f>IF($C$5*'Tariffs Jul2021'!AK4/'Tariffs Jul2021'!AI4&lt;'Tariffs Jul2021'!L4,0,IF($C$5*'Tariffs Jul2021'!AK4/'Tariffs Jul2021'!AI4&lt;='Tariffs Jul2021'!M4,($C$5*'Tariffs Jul2021'!AK4/'Tariffs Jul2021'!AI4-'Tariffs Jul2021'!L4)*('Tariffs Jul2021'!R4/100)*'Tariffs Jul2021'!AI4,('Tariffs Jul2021'!M4-'Tariffs Jul2021'!L4)*('Tariffs Jul2021'!R4/100)*'Tariffs Jul2021'!AI4))</f>
        <v>0</v>
      </c>
      <c r="I10" s="59">
        <f>IF(($C$5*'Tariffs Jul2021'!AK4/'Tariffs Jul2021'!AI4&gt;'Tariffs Jul2021'!M4),($C$5*'Tariffs Jul2021'!AK4/'Tariffs Jul2021'!AI4-'Tariffs Jul2021'!M4)*'Tariffs Jul2021'!S4/100*'Tariffs Jul2021'!AI4,0)</f>
        <v>0</v>
      </c>
      <c r="J10" s="59">
        <f>IF($C$5*'Tariffs Jul2021'!AL4/'Tariffs Jul2021'!AJ4&gt;='Tariffs Jul2021'!J4,('Tariffs Jul2021'!J4*'Tariffs Jul2021'!U4/100)* 'Tariffs Jul2021'!AJ4,($C$5*'Tariffs Jul2021'!AL4/'Tariffs Jul2021'!AJ4*'Tariffs Jul2021'!U4/100)* 'Tariffs Jul2021'!AJ4)</f>
        <v>230.72727272727272</v>
      </c>
      <c r="K10" s="59">
        <f>IF($C$5*'Tariffs Jul2021'!AL4/'Tariffs Jul2021'!AJ4&lt;'Tariffs Jul2021'!J4,0,IF($C$5*'Tariffs Jul2021'!AL4/'Tariffs Jul2021'!AJ4&lt;='Tariffs Jul2021'!K4,($C$5*'Tariffs Jul2021'!AL4/'Tariffs Jul2021'!AJ4-'Tariffs Jul2021'!J4)*('Tariffs Jul2021'!V4/100)*'Tariffs Jul2021'!AJ4,('Tariffs Jul2021'!K4-'Tariffs Jul2021'!J4)*('Tariffs Jul2021'!V4/100)*'Tariffs Jul2021'!AJ4))</f>
        <v>129.27272727272725</v>
      </c>
      <c r="L10" s="59">
        <f>IF($C$5*'Tariffs Jul2021'!AL4/'Tariffs Jul2021'!AJ4&lt;'Tariffs Jul2021'!K4,0,IF($C$5*'Tariffs Jul2021'!AL4/'Tariffs Jul2021'!AJ4&lt;='Tariffs Jul2021'!L4,($C$5*'Tariffs Jul2021'!AL4/'Tariffs Jul2021'!AJ4-'Tariffs Jul2021'!K4)*('Tariffs Jul2021'!W4/100)*'Tariffs Jul2021'!AJ4,('Tariffs Jul2021'!L4-'Tariffs Jul2021'!K4)*('Tariffs Jul2021'!W4/100)*'Tariffs Jul2021'!AJ4))</f>
        <v>0</v>
      </c>
      <c r="M10" s="59">
        <f>IF($C$5*'Tariffs Jul2021'!AL4/'Tariffs Jul2021'!AJ4&lt;'Tariffs Jul2021'!L4,0,IF($C$5*'Tariffs Jul2021'!AL4/'Tariffs Jul2021'!AJ4&lt;='Tariffs Jul2021'!M4,($C$5*'Tariffs Jul2021'!AL4/'Tariffs Jul2021'!AJ4-'Tariffs Jul2021'!L4)*('Tariffs Jul2021'!X4/100)*'Tariffs Jul2021'!AJ4,('Tariffs Jul2021'!M4-'Tariffs Jul2021'!L4)*('Tariffs Jul2021'!X4/100)*'Tariffs Jul2021'!AJ4))</f>
        <v>0</v>
      </c>
      <c r="N10" s="59">
        <f>IF(($C$5*'Tariffs Jul2021'!AL4/'Tariffs Jul2021'!AJ4&gt;'Tariffs Jul2021'!M4),($C$5*'Tariffs Jul2021'!AL4/'Tariffs Jul2021'!AJ4-'Tariffs Jul2021'!M4)*'Tariffs Jul2021'!Y4/100*'Tariffs Jul2021'!AJ4,0)</f>
        <v>0</v>
      </c>
      <c r="O10" s="59">
        <f t="shared" si="1"/>
        <v>743.72727272727275</v>
      </c>
      <c r="P10" s="503">
        <f t="shared" si="2"/>
        <v>818.10000000000014</v>
      </c>
      <c r="Q10" s="59">
        <f t="shared" si="3"/>
        <v>1028.4272727272728</v>
      </c>
      <c r="R10" s="272">
        <f t="shared" si="4"/>
        <v>1131.2700000000002</v>
      </c>
      <c r="S10" s="40">
        <f>'Tariffs Jul2021'!AN4</f>
        <v>0</v>
      </c>
      <c r="T10" s="40">
        <f>'Tariffs Jul2021'!AO4</f>
        <v>20</v>
      </c>
      <c r="U10" s="40">
        <f>'Tariffs Jul2021'!AP4</f>
        <v>0</v>
      </c>
      <c r="V10" s="40">
        <f>'Tariffs Jul2021'!AQ4</f>
        <v>0</v>
      </c>
      <c r="W10" s="537" t="str">
        <f t="shared" si="5"/>
        <v>Guaranteed off usage</v>
      </c>
      <c r="X10" s="538" t="str">
        <f t="shared" si="6"/>
        <v>Exclusive</v>
      </c>
      <c r="Y10" s="534">
        <f t="shared" ref="Y10" si="7">IF(AND(W10="Guaranteed off bill",X10="Inclusive"),((Q10*1.1)-((Q10*1.1)*S10/100))/1.1,IF(AND(W10="Guaranteed off usage",X10="Inclusive"),((Q10*1.1)-((P10*1.1)*T10/100))/1.1,IF(AND(W10="Guaranteed off bill",X10="Exclusive"),Q10-(Q10*S10/100),IF(AND(W10="Guaranteed off usage",X10="Exclusive"),Q10-(P10*T10/100),IF(X10="Inclusive",((Q10*1.1))/1.1,Q10)))))</f>
        <v>864.80727272727279</v>
      </c>
      <c r="Z10" s="535">
        <f t="shared" ref="Z10" si="8">IF(AND(W10="Pay-on-time off bill",X10="Inclusive"),((Y10*1.1)-((Y10*1.1)*U10/100))/1.1,IF(AND(W10="Pay-on-time off usage",X10="Inclusive"),((Y10*1.1)-((P10*1.1)*V10/100))/1.1,IF(AND(W10="Pay-on-time off bill",X10="Exclusive"),Y10-(Y10*U10/100),IF(AND(W10="Pay-on-time off usage",X10="Exclusive"),Y10-(P10*V10/100),IF(X10="Inclusive",((Y10*1.1))/1.1,Y10)))))</f>
        <v>864.80727272727279</v>
      </c>
      <c r="AA10" s="542">
        <f t="shared" si="0"/>
        <v>951.28800000000012</v>
      </c>
      <c r="AB10" s="542">
        <f t="shared" si="0"/>
        <v>951.28800000000012</v>
      </c>
      <c r="AC10" s="274">
        <f>'Tariffs Jul2021'!AZ4</f>
        <v>0</v>
      </c>
      <c r="AD10" s="274" t="str">
        <f>'Tariffs Jul2021'!BA4</f>
        <v>n</v>
      </c>
      <c r="AE10" s="275" t="str">
        <f>'Tariffs Jul2021'!BJ4</f>
        <v>N</v>
      </c>
      <c r="AF10" s="574"/>
      <c r="AG10" s="574"/>
      <c r="AH10" s="574"/>
      <c r="AI10" s="574"/>
      <c r="AJ10" s="574"/>
      <c r="AK10" s="574"/>
      <c r="AL10" s="574"/>
      <c r="AM10" s="574"/>
      <c r="AN10" s="574"/>
      <c r="AO10" s="574"/>
      <c r="AP10" s="574"/>
      <c r="AQ10" s="574"/>
      <c r="AR10" s="574"/>
      <c r="AS10" s="574"/>
      <c r="AT10" s="574"/>
      <c r="AU10" s="574"/>
      <c r="AV10" s="574"/>
      <c r="AW10" s="574"/>
      <c r="AX10" s="574"/>
    </row>
    <row r="11" spans="1:50" ht="14" x14ac:dyDescent="0.15">
      <c r="A11" s="270" t="str">
        <f>'Tariffs Jul2021'!F5</f>
        <v>Dodo Power &amp; Gas</v>
      </c>
      <c r="B11" s="40" t="str">
        <f>'Tariffs Jul2021'!D5</f>
        <v>Multinet Metro 1</v>
      </c>
      <c r="C11" s="40" t="str">
        <f>'Tariffs Jul2021'!G5</f>
        <v>Market offer</v>
      </c>
      <c r="D11" s="59">
        <f>365*'Tariffs Jul2021'!H5/100</f>
        <v>171.185</v>
      </c>
      <c r="E11" s="59">
        <f>IF($C$5*'Tariffs Jul2021'!AK5/'Tariffs Jul2021'!AI5&gt;='Tariffs Jul2021'!J5,( 'Tariffs Jul2021'!J5*'Tariffs Jul2021'!O5/100)* 'Tariffs Jul2021'!AI5,($C$5*'Tariffs Jul2021'!AK5/'Tariffs Jul2021'!AI5*'Tariffs Jul2021'!O5/100)* 'Tariffs Jul2021'!AI5)</f>
        <v>202.90909090909088</v>
      </c>
      <c r="F11" s="59">
        <f>IF($C$5*'Tariffs Jul2021'!AK5/'Tariffs Jul2021'!AI5&lt;'Tariffs Jul2021'!J5,0,IF($C$5*'Tariffs Jul2021'!AK5/'Tariffs Jul2021'!AI5&lt;='Tariffs Jul2021'!K5,($C$5*'Tariffs Jul2021'!AK5/'Tariffs Jul2021'!AI5-'Tariffs Jul2021'!J5)*('Tariffs Jul2021'!P5/100)*'Tariffs Jul2021'!AI5,('Tariffs Jul2021'!K5-'Tariffs Jul2021'!J5)*('Tariffs Jul2021'!P5/100)*'Tariffs Jul2021'!AI5))</f>
        <v>115.09090909090908</v>
      </c>
      <c r="G11" s="59">
        <f>IF($C$5*'Tariffs Jul2021'!AK5/'Tariffs Jul2021'!AI5&lt;'Tariffs Jul2021'!K5,0,IF($C$5*'Tariffs Jul2021'!AK5/'Tariffs Jul2021'!AI5&lt;='Tariffs Jul2021'!L5,($C$5*'Tariffs Jul2021'!AK5/'Tariffs Jul2021'!AI5-'Tariffs Jul2021'!K5)*('Tariffs Jul2021'!Q5/100)*'Tariffs Jul2021'!AI5,('Tariffs Jul2021'!L5-'Tariffs Jul2021'!K5)*('Tariffs Jul2021'!Q5/100)*'Tariffs Jul2021'!AI5))</f>
        <v>0</v>
      </c>
      <c r="H11" s="59">
        <f>IF($C$5*'Tariffs Jul2021'!AK5/'Tariffs Jul2021'!AI5&lt;'Tariffs Jul2021'!L5,0,IF($C$5*'Tariffs Jul2021'!AK5/'Tariffs Jul2021'!AI5&lt;='Tariffs Jul2021'!M5,($C$5*'Tariffs Jul2021'!AK5/'Tariffs Jul2021'!AI5-'Tariffs Jul2021'!L5)*('Tariffs Jul2021'!R5/100)*'Tariffs Jul2021'!AI5,('Tariffs Jul2021'!M5-'Tariffs Jul2021'!L5)*('Tariffs Jul2021'!R5/100)*'Tariffs Jul2021'!AI5))</f>
        <v>0</v>
      </c>
      <c r="I11" s="59">
        <f>IF(($C$5*'Tariffs Jul2021'!AK5/'Tariffs Jul2021'!AI5&gt;'Tariffs Jul2021'!M5),($C$5*'Tariffs Jul2021'!AK5/'Tariffs Jul2021'!AI5-'Tariffs Jul2021'!M5)*'Tariffs Jul2021'!S5/100*'Tariffs Jul2021'!AI5,0)</f>
        <v>0</v>
      </c>
      <c r="J11" s="59">
        <f>IF($C$5*'Tariffs Jul2021'!AL5/'Tariffs Jul2021'!AJ5&gt;='Tariffs Jul2021'!J5,('Tariffs Jul2021'!J5*'Tariffs Jul2021'!U5/100)* 'Tariffs Jul2021'!AJ5,($C$5*'Tariffs Jul2021'!AL5/'Tariffs Jul2021'!AJ5*'Tariffs Jul2021'!U5/100)* 'Tariffs Jul2021'!AJ5)</f>
        <v>190.63636363636363</v>
      </c>
      <c r="K11" s="59">
        <f>IF($C$5*'Tariffs Jul2021'!AL5/'Tariffs Jul2021'!AJ5&lt;'Tariffs Jul2021'!J5,0,IF($C$5*'Tariffs Jul2021'!AL5/'Tariffs Jul2021'!AJ5&lt;='Tariffs Jul2021'!K5,($C$5*'Tariffs Jul2021'!AL5/'Tariffs Jul2021'!AJ5-'Tariffs Jul2021'!J5)*('Tariffs Jul2021'!V5/100)*'Tariffs Jul2021'!AJ5,('Tariffs Jul2021'!K5-'Tariffs Jul2021'!J5)*('Tariffs Jul2021'!V5/100)*'Tariffs Jul2021'!AJ5))</f>
        <v>109.63636363636363</v>
      </c>
      <c r="L11" s="59">
        <f>IF($C$5*'Tariffs Jul2021'!AL5/'Tariffs Jul2021'!AJ5&lt;'Tariffs Jul2021'!K5,0,IF($C$5*'Tariffs Jul2021'!AL5/'Tariffs Jul2021'!AJ5&lt;='Tariffs Jul2021'!L5,($C$5*'Tariffs Jul2021'!AL5/'Tariffs Jul2021'!AJ5-'Tariffs Jul2021'!K5)*('Tariffs Jul2021'!W5/100)*'Tariffs Jul2021'!AJ5,('Tariffs Jul2021'!L5-'Tariffs Jul2021'!K5)*('Tariffs Jul2021'!W5/100)*'Tariffs Jul2021'!AJ5))</f>
        <v>0</v>
      </c>
      <c r="M11" s="59">
        <f>IF($C$5*'Tariffs Jul2021'!AL5/'Tariffs Jul2021'!AJ5&lt;'Tariffs Jul2021'!L5,0,IF($C$5*'Tariffs Jul2021'!AL5/'Tariffs Jul2021'!AJ5&lt;='Tariffs Jul2021'!M5,($C$5*'Tariffs Jul2021'!AL5/'Tariffs Jul2021'!AJ5-'Tariffs Jul2021'!L5)*('Tariffs Jul2021'!X5/100)*'Tariffs Jul2021'!AJ5,('Tariffs Jul2021'!M5-'Tariffs Jul2021'!L5)*('Tariffs Jul2021'!X5/100)*'Tariffs Jul2021'!AJ5))</f>
        <v>0</v>
      </c>
      <c r="N11" s="59">
        <f>IF(($C$5*'Tariffs Jul2021'!AL5/'Tariffs Jul2021'!AJ5&gt;'Tariffs Jul2021'!M5),($C$5*'Tariffs Jul2021'!AL5/'Tariffs Jul2021'!AJ5-'Tariffs Jul2021'!M5)*'Tariffs Jul2021'!Y5/100*'Tariffs Jul2021'!AJ5,0)</f>
        <v>0</v>
      </c>
      <c r="O11" s="59">
        <f t="shared" si="1"/>
        <v>618.27272727272725</v>
      </c>
      <c r="P11" s="503">
        <f t="shared" si="2"/>
        <v>680.1</v>
      </c>
      <c r="Q11" s="59">
        <f t="shared" si="3"/>
        <v>789.4577272727272</v>
      </c>
      <c r="R11" s="272">
        <f t="shared" si="4"/>
        <v>868.40350000000001</v>
      </c>
      <c r="S11" s="40">
        <f>'Tariffs Jul2021'!AN5</f>
        <v>0</v>
      </c>
      <c r="T11" s="40">
        <f>'Tariffs Jul2021'!AO5</f>
        <v>0</v>
      </c>
      <c r="U11" s="40">
        <f>'Tariffs Jul2021'!AP5</f>
        <v>0</v>
      </c>
      <c r="V11" s="40">
        <f>'Tariffs Jul2021'!AQ5</f>
        <v>0</v>
      </c>
      <c r="W11" s="537" t="str">
        <f t="shared" si="5"/>
        <v>No discount</v>
      </c>
      <c r="X11" s="538" t="str">
        <f t="shared" si="6"/>
        <v>Exclusive</v>
      </c>
      <c r="Y11" s="534">
        <f>IF(AND(W11="Guaranteed off bill",X11="Inclusive"),((Q11*1.1)-((Q11*1.1)*S11/100))/1.1,IF(AND(W11="Guaranteed off usage",X11="Inclusive"),((Q11*1.1)-((P11*1.1)*T11/100))/1.1,IF(AND(W11="Guaranteed off bill",X11="Exclusive"),Q11-(Q11*S11/100),IF(AND(W11="Guaranteed off usage",X11="Exclusive"),Q11-(P11*T11/100),IF(X11="Inclusive",((Q11*1.1))/1.1,Q11)))))</f>
        <v>789.4577272727272</v>
      </c>
      <c r="Z11" s="535">
        <f>IF(AND(W11="Pay-on-time off bill",X11="Inclusive"),((Y11*1.1)-((Y11*1.1)*U11/100))/1.1,IF(AND(W11="Pay-on-time off usage",X11="Inclusive"),((Y11*1.1)-((P11*1.1)*V11/100))/1.1,IF(AND(W11="Pay-on-time off bill",X11="Exclusive"),Y11-(Y11*U11/100),IF(AND(W11="Pay-on-time off usage",X11="Exclusive"),Y11-(P11*V11/100),IF(X11="Inclusive",((Y11*1.1))/1.1,Y11)))))</f>
        <v>789.4577272727272</v>
      </c>
      <c r="AA11" s="542">
        <f t="shared" si="0"/>
        <v>868.40350000000001</v>
      </c>
      <c r="AB11" s="542">
        <f t="shared" si="0"/>
        <v>868.40350000000001</v>
      </c>
      <c r="AC11" s="274">
        <f>'Tariffs Jul2021'!AZ5</f>
        <v>0</v>
      </c>
      <c r="AD11" s="274" t="str">
        <f>'Tariffs Jul2021'!BA5</f>
        <v>n</v>
      </c>
      <c r="AE11" s="275" t="str">
        <f>'Tariffs Jul2021'!BJ5</f>
        <v>N</v>
      </c>
      <c r="AF11" s="574"/>
      <c r="AG11" s="574"/>
      <c r="AH11" s="574"/>
      <c r="AI11" s="574"/>
      <c r="AJ11" s="574"/>
      <c r="AK11" s="574"/>
      <c r="AL11" s="574"/>
      <c r="AM11" s="574"/>
      <c r="AN11" s="574"/>
      <c r="AO11" s="574"/>
      <c r="AP11" s="574"/>
      <c r="AQ11" s="574"/>
      <c r="AR11" s="574"/>
      <c r="AS11" s="574"/>
      <c r="AT11" s="574"/>
      <c r="AU11" s="574"/>
      <c r="AV11" s="574"/>
      <c r="AW11" s="574"/>
      <c r="AX11" s="574"/>
    </row>
    <row r="12" spans="1:50" ht="14" x14ac:dyDescent="0.15">
      <c r="A12" s="270" t="str">
        <f>'Tariffs Jul2021'!F6</f>
        <v>EnergyAustralia</v>
      </c>
      <c r="B12" s="40" t="str">
        <f>'Tariffs Jul2021'!D6</f>
        <v>Multinet Metro 1</v>
      </c>
      <c r="C12" s="40" t="str">
        <f>'Tariffs Jul2021'!G6</f>
        <v>Total Plan</v>
      </c>
      <c r="D12" s="59">
        <f>365*'Tariffs Jul2021'!H6/100</f>
        <v>299.3</v>
      </c>
      <c r="E12" s="59">
        <f>IF($C$5*'Tariffs Jul2021'!AK6/'Tariffs Jul2021'!AI6&gt;='Tariffs Jul2021'!J6,( 'Tariffs Jul2021'!J6*'Tariffs Jul2021'!O6/100)* 'Tariffs Jul2021'!AI6,($C$5*'Tariffs Jul2021'!AK6/'Tariffs Jul2021'!AI6*'Tariffs Jul2021'!O6/100)* 'Tariffs Jul2021'!AI6)</f>
        <v>183.81818181818181</v>
      </c>
      <c r="F12" s="59">
        <f>IF($C$5*'Tariffs Jul2021'!AK6/'Tariffs Jul2021'!AI6&lt;'Tariffs Jul2021'!J6,0,IF($C$5*'Tariffs Jul2021'!AK6/'Tariffs Jul2021'!AI6&lt;='Tariffs Jul2021'!K6,($C$5*'Tariffs Jul2021'!AK6/'Tariffs Jul2021'!AI6-'Tariffs Jul2021'!J6)*('Tariffs Jul2021'!P6/100)*'Tariffs Jul2021'!AI6,('Tariffs Jul2021'!K6-'Tariffs Jul2021'!J6)*('Tariffs Jul2021'!P6/100)*'Tariffs Jul2021'!AI6))</f>
        <v>105.06463636363635</v>
      </c>
      <c r="G12" s="59">
        <f>IF($C$5*'Tariffs Jul2021'!AK6/'Tariffs Jul2021'!AI6&lt;'Tariffs Jul2021'!K6,0,IF($C$5*'Tariffs Jul2021'!AK6/'Tariffs Jul2021'!AI6&lt;='Tariffs Jul2021'!L6,($C$5*'Tariffs Jul2021'!AK6/'Tariffs Jul2021'!AI6-'Tariffs Jul2021'!K6)*('Tariffs Jul2021'!Q6/100)*'Tariffs Jul2021'!AI6,('Tariffs Jul2021'!L6-'Tariffs Jul2021'!K6)*('Tariffs Jul2021'!Q6/100)*'Tariffs Jul2021'!AI6))</f>
        <v>0</v>
      </c>
      <c r="H12" s="59">
        <f>IF($C$5*'Tariffs Jul2021'!AK6/'Tariffs Jul2021'!AI6&lt;'Tariffs Jul2021'!L6,0,IF($C$5*'Tariffs Jul2021'!AK6/'Tariffs Jul2021'!AI6&lt;='Tariffs Jul2021'!M6,($C$5*'Tariffs Jul2021'!AK6/'Tariffs Jul2021'!AI6-'Tariffs Jul2021'!L6)*('Tariffs Jul2021'!R6/100)*'Tariffs Jul2021'!AI6,('Tariffs Jul2021'!M6-'Tariffs Jul2021'!L6)*('Tariffs Jul2021'!R6/100)*'Tariffs Jul2021'!AI6))</f>
        <v>0</v>
      </c>
      <c r="I12" s="59">
        <f>IF(($C$5*'Tariffs Jul2021'!AK6/'Tariffs Jul2021'!AI6&gt;'Tariffs Jul2021'!M6),($C$5*'Tariffs Jul2021'!AK6/'Tariffs Jul2021'!AI6-'Tariffs Jul2021'!M6)*'Tariffs Jul2021'!S6/100*'Tariffs Jul2021'!AI6,0)</f>
        <v>0</v>
      </c>
      <c r="J12" s="59">
        <f>IF($C$5*'Tariffs Jul2021'!AL6/'Tariffs Jul2021'!AJ6&gt;='Tariffs Jul2021'!J6,('Tariffs Jul2021'!J6*'Tariffs Jul2021'!U6/100)* 'Tariffs Jul2021'!AJ6,($C$5*'Tariffs Jul2021'!AL6/'Tariffs Jul2021'!AJ6*'Tariffs Jul2021'!U6/100)* 'Tariffs Jul2021'!AJ6)</f>
        <v>355.63636363636363</v>
      </c>
      <c r="K12" s="59">
        <f>IF($C$5*'Tariffs Jul2021'!AL6/'Tariffs Jul2021'!AJ6&lt;'Tariffs Jul2021'!J6,0,IF($C$5*'Tariffs Jul2021'!AL6/'Tariffs Jul2021'!AJ6&lt;='Tariffs Jul2021'!K6,($C$5*'Tariffs Jul2021'!AL6/'Tariffs Jul2021'!AJ6-'Tariffs Jul2021'!J6)*('Tariffs Jul2021'!V6/100)*'Tariffs Jul2021'!AJ6,('Tariffs Jul2021'!K6-'Tariffs Jul2021'!J6)*('Tariffs Jul2021'!V6/100)*'Tariffs Jul2021'!AJ6))</f>
        <v>201.4041818181818</v>
      </c>
      <c r="L12" s="59">
        <f>IF($C$5*'Tariffs Jul2021'!AL6/'Tariffs Jul2021'!AJ6&lt;'Tariffs Jul2021'!K6,0,IF($C$5*'Tariffs Jul2021'!AL6/'Tariffs Jul2021'!AJ6&lt;='Tariffs Jul2021'!L6,($C$5*'Tariffs Jul2021'!AL6/'Tariffs Jul2021'!AJ6-'Tariffs Jul2021'!K6)*('Tariffs Jul2021'!W6/100)*'Tariffs Jul2021'!AJ6,('Tariffs Jul2021'!L6-'Tariffs Jul2021'!K6)*('Tariffs Jul2021'!W6/100)*'Tariffs Jul2021'!AJ6))</f>
        <v>0</v>
      </c>
      <c r="M12" s="59">
        <f>IF($C$5*'Tariffs Jul2021'!AL6/'Tariffs Jul2021'!AJ6&lt;'Tariffs Jul2021'!L6,0,IF($C$5*'Tariffs Jul2021'!AL6/'Tariffs Jul2021'!AJ6&lt;='Tariffs Jul2021'!M6,($C$5*'Tariffs Jul2021'!AL6/'Tariffs Jul2021'!AJ6-'Tariffs Jul2021'!L6)*('Tariffs Jul2021'!X6/100)*'Tariffs Jul2021'!AJ6,('Tariffs Jul2021'!M6-'Tariffs Jul2021'!L6)*('Tariffs Jul2021'!X6/100)*'Tariffs Jul2021'!AJ6))</f>
        <v>0</v>
      </c>
      <c r="N12" s="59">
        <f>IF(($C$5*'Tariffs Jul2021'!AL6/'Tariffs Jul2021'!AJ6&gt;'Tariffs Jul2021'!M6),($C$5*'Tariffs Jul2021'!AL6/'Tariffs Jul2021'!AJ6-'Tariffs Jul2021'!M6)*'Tariffs Jul2021'!Y6/100*'Tariffs Jul2021'!AJ6,0)</f>
        <v>0</v>
      </c>
      <c r="O12" s="59">
        <f>SUM(E12:N12)</f>
        <v>845.92336363636355</v>
      </c>
      <c r="P12" s="503">
        <f t="shared" si="2"/>
        <v>930.51569999999992</v>
      </c>
      <c r="Q12" s="59">
        <f>D12+O12</f>
        <v>1145.2233636363635</v>
      </c>
      <c r="R12" s="272">
        <f t="shared" si="4"/>
        <v>1259.7456999999999</v>
      </c>
      <c r="S12" s="40">
        <f>'Tariffs Jul2021'!AN6</f>
        <v>26</v>
      </c>
      <c r="T12" s="40">
        <f>'Tariffs Jul2021'!AO6</f>
        <v>0</v>
      </c>
      <c r="U12" s="40">
        <f>'Tariffs Jul2021'!AP6</f>
        <v>0</v>
      </c>
      <c r="V12" s="40">
        <f>'Tariffs Jul2021'!AQ6</f>
        <v>0</v>
      </c>
      <c r="W12" s="537" t="str">
        <f t="shared" si="5"/>
        <v>Guaranteed off bill</v>
      </c>
      <c r="X12" s="538" t="str">
        <f t="shared" si="6"/>
        <v>Exclusive</v>
      </c>
      <c r="Y12" s="534">
        <f t="shared" ref="Y12" si="9">IF(AND(W12="Guaranteed off bill",X12="Inclusive"),((Q12*1.1)-((Q12*1.1)*S12/100))/1.1,IF(AND(W12="Guaranteed off usage",X12="Inclusive"),((Q12*1.1)-((P12*1.1)*T12/100))/1.1,IF(AND(W12="Guaranteed off bill",X12="Exclusive"),Q12-(Q12*S12/100),IF(AND(W12="Guaranteed off usage",X12="Exclusive"),Q12-(P12*T12/100),IF(X12="Inclusive",((Q12*1.1))/1.1,Q12)))))</f>
        <v>847.46528909090898</v>
      </c>
      <c r="Z12" s="535">
        <f t="shared" ref="Z12" si="10">IF(AND(W12="Pay-on-time off bill",X12="Inclusive"),((Y12*1.1)-((Y12*1.1)*U12/100))/1.1,IF(AND(W12="Pay-on-time off usage",X12="Inclusive"),((Y12*1.1)-((P12*1.1)*V12/100))/1.1,IF(AND(W12="Pay-on-time off bill",X12="Exclusive"),Y12-(Y12*U12/100),IF(AND(W12="Pay-on-time off usage",X12="Exclusive"),Y12-(P12*V12/100),IF(X12="Inclusive",((Y12*1.1))/1.1,Y12)))))</f>
        <v>847.46528909090898</v>
      </c>
      <c r="AA12" s="542">
        <f t="shared" si="0"/>
        <v>932.21181799999999</v>
      </c>
      <c r="AB12" s="542">
        <f t="shared" si="0"/>
        <v>932.21181799999999</v>
      </c>
      <c r="AC12" s="274">
        <f>'Tariffs Jul2021'!AZ6</f>
        <v>12</v>
      </c>
      <c r="AD12" s="274" t="str">
        <f>'Tariffs Jul2021'!BA6</f>
        <v>n</v>
      </c>
      <c r="AE12" s="275" t="str">
        <f>'Tariffs Jul2021'!BJ6</f>
        <v>N</v>
      </c>
      <c r="AF12" s="574"/>
      <c r="AG12" s="574"/>
      <c r="AH12" s="574"/>
      <c r="AI12" s="574"/>
      <c r="AJ12" s="574"/>
      <c r="AK12" s="574"/>
      <c r="AL12" s="574"/>
      <c r="AM12" s="574"/>
      <c r="AN12" s="574"/>
      <c r="AO12" s="574"/>
      <c r="AP12" s="574"/>
      <c r="AQ12" s="574"/>
      <c r="AR12" s="574"/>
      <c r="AS12" s="574"/>
      <c r="AT12" s="574"/>
      <c r="AU12" s="574"/>
      <c r="AV12" s="574"/>
      <c r="AW12" s="574"/>
      <c r="AX12" s="574"/>
    </row>
    <row r="13" spans="1:50" ht="14" x14ac:dyDescent="0.15">
      <c r="A13" s="270" t="str">
        <f>'Tariffs Jul2021'!F7</f>
        <v>Lumo Energy</v>
      </c>
      <c r="B13" s="40" t="str">
        <f>'Tariffs Jul2021'!D7</f>
        <v>Multinet Metro 1</v>
      </c>
      <c r="C13" s="40" t="str">
        <f>'Tariffs Jul2021'!G7</f>
        <v>Value</v>
      </c>
      <c r="D13" s="59">
        <f>365*'Tariffs Jul2021'!H7/100</f>
        <v>233.79909090909089</v>
      </c>
      <c r="E13" s="59">
        <f>IF($C$5*'Tariffs Jul2021'!AK7/'Tariffs Jul2021'!AI7&gt;='Tariffs Jul2021'!J7,( 'Tariffs Jul2021'!J7*'Tariffs Jul2021'!O7/100)* 'Tariffs Jul2021'!AI7,($C$5*'Tariffs Jul2021'!AK7/'Tariffs Jul2021'!AI7*'Tariffs Jul2021'!O7/100)* 'Tariffs Jul2021'!AI7)</f>
        <v>170.99999999999997</v>
      </c>
      <c r="F13" s="59">
        <f>IF($C$5*'Tariffs Jul2021'!AK7/'Tariffs Jul2021'!AI7&lt;'Tariffs Jul2021'!J7,0,IF($C$5*'Tariffs Jul2021'!AK7/'Tariffs Jul2021'!AI7&lt;='Tariffs Jul2021'!K7,($C$5*'Tariffs Jul2021'!AK7/'Tariffs Jul2021'!AI7-'Tariffs Jul2021'!J7)*('Tariffs Jul2021'!P7/100)*'Tariffs Jul2021'!AI7,('Tariffs Jul2021'!K7-'Tariffs Jul2021'!J7)*('Tariffs Jul2021'!P7/100)*'Tariffs Jul2021'!AI7))</f>
        <v>112.90909090909091</v>
      </c>
      <c r="G13" s="59">
        <f>IF($C$5*'Tariffs Jul2021'!AK7/'Tariffs Jul2021'!AI7&lt;'Tariffs Jul2021'!K7,0,IF($C$5*'Tariffs Jul2021'!AK7/'Tariffs Jul2021'!AI7&lt;='Tariffs Jul2021'!L7,($C$5*'Tariffs Jul2021'!AK7/'Tariffs Jul2021'!AI7-'Tariffs Jul2021'!K7)*('Tariffs Jul2021'!Q7/100)*'Tariffs Jul2021'!AI7,('Tariffs Jul2021'!L7-'Tariffs Jul2021'!K7)*('Tariffs Jul2021'!Q7/100)*'Tariffs Jul2021'!AI7))</f>
        <v>0</v>
      </c>
      <c r="H13" s="59">
        <f>IF($C$5*'Tariffs Jul2021'!AK7/'Tariffs Jul2021'!AI7&lt;'Tariffs Jul2021'!L7,0,IF($C$5*'Tariffs Jul2021'!AK7/'Tariffs Jul2021'!AI7&lt;='Tariffs Jul2021'!M7,($C$5*'Tariffs Jul2021'!AK7/'Tariffs Jul2021'!AI7-'Tariffs Jul2021'!L7)*('Tariffs Jul2021'!R7/100)*'Tariffs Jul2021'!AI7,('Tariffs Jul2021'!M7-'Tariffs Jul2021'!L7)*('Tariffs Jul2021'!R7/100)*'Tariffs Jul2021'!AI7))</f>
        <v>0</v>
      </c>
      <c r="I13" s="59">
        <f>IF(($C$5*'Tariffs Jul2021'!AK7/'Tariffs Jul2021'!AI7&gt;'Tariffs Jul2021'!M7),($C$5*'Tariffs Jul2021'!AK7/'Tariffs Jul2021'!AI7-'Tariffs Jul2021'!M7)*'Tariffs Jul2021'!S7/100*'Tariffs Jul2021'!AI7,0)</f>
        <v>0</v>
      </c>
      <c r="J13" s="59">
        <f>IF($C$5*'Tariffs Jul2021'!AL7/'Tariffs Jul2021'!AJ7&gt;='Tariffs Jul2021'!J7,('Tariffs Jul2021'!J7*'Tariffs Jul2021'!U7/100)* 'Tariffs Jul2021'!AJ7,($C$5*'Tariffs Jul2021'!AL7/'Tariffs Jul2021'!AJ7*'Tariffs Jul2021'!U7/100)* 'Tariffs Jul2021'!AJ7)</f>
        <v>169.36363636363637</v>
      </c>
      <c r="K13" s="59">
        <f>IF($C$5*'Tariffs Jul2021'!AL7/'Tariffs Jul2021'!AJ7&lt;'Tariffs Jul2021'!J7,0,IF($C$5*'Tariffs Jul2021'!AL7/'Tariffs Jul2021'!AJ7&lt;='Tariffs Jul2021'!K7,($C$5*'Tariffs Jul2021'!AL7/'Tariffs Jul2021'!AJ7-'Tariffs Jul2021'!J7)*('Tariffs Jul2021'!V7/100)*'Tariffs Jul2021'!AJ7,('Tariffs Jul2021'!K7-'Tariffs Jul2021'!J7)*('Tariffs Jul2021'!V7/100)*'Tariffs Jul2021'!AJ7))</f>
        <v>112.36363636363635</v>
      </c>
      <c r="L13" s="59">
        <f>IF($C$5*'Tariffs Jul2021'!AL7/'Tariffs Jul2021'!AJ7&lt;'Tariffs Jul2021'!K7,0,IF($C$5*'Tariffs Jul2021'!AL7/'Tariffs Jul2021'!AJ7&lt;='Tariffs Jul2021'!L7,($C$5*'Tariffs Jul2021'!AL7/'Tariffs Jul2021'!AJ7-'Tariffs Jul2021'!K7)*('Tariffs Jul2021'!W7/100)*'Tariffs Jul2021'!AJ7,('Tariffs Jul2021'!L7-'Tariffs Jul2021'!K7)*('Tariffs Jul2021'!W7/100)*'Tariffs Jul2021'!AJ7))</f>
        <v>0</v>
      </c>
      <c r="M13" s="59">
        <f>IF($C$5*'Tariffs Jul2021'!AL7/'Tariffs Jul2021'!AJ7&lt;'Tariffs Jul2021'!L7,0,IF($C$5*'Tariffs Jul2021'!AL7/'Tariffs Jul2021'!AJ7&lt;='Tariffs Jul2021'!M7,($C$5*'Tariffs Jul2021'!AL7/'Tariffs Jul2021'!AJ7-'Tariffs Jul2021'!L7)*('Tariffs Jul2021'!X7/100)*'Tariffs Jul2021'!AJ7,('Tariffs Jul2021'!M7-'Tariffs Jul2021'!L7)*('Tariffs Jul2021'!X7/100)*'Tariffs Jul2021'!AJ7))</f>
        <v>0</v>
      </c>
      <c r="N13" s="59">
        <f>IF(($C$5*'Tariffs Jul2021'!AL7/'Tariffs Jul2021'!AJ7&gt;'Tariffs Jul2021'!M7),($C$5*'Tariffs Jul2021'!AL7/'Tariffs Jul2021'!AJ7-'Tariffs Jul2021'!M7)*'Tariffs Jul2021'!Y7/100*'Tariffs Jul2021'!AJ7,0)</f>
        <v>0</v>
      </c>
      <c r="O13" s="59">
        <f t="shared" si="1"/>
        <v>565.63636363636363</v>
      </c>
      <c r="P13" s="503">
        <f t="shared" si="2"/>
        <v>622.20000000000005</v>
      </c>
      <c r="Q13" s="59">
        <f t="shared" si="3"/>
        <v>799.43545454545449</v>
      </c>
      <c r="R13" s="272">
        <f t="shared" si="4"/>
        <v>879.37900000000002</v>
      </c>
      <c r="S13" s="40">
        <f>'Tariffs Jul2021'!AN7</f>
        <v>0</v>
      </c>
      <c r="T13" s="40">
        <f>'Tariffs Jul2021'!AO7</f>
        <v>0</v>
      </c>
      <c r="U13" s="40">
        <f>'Tariffs Jul2021'!AP7</f>
        <v>0</v>
      </c>
      <c r="V13" s="40">
        <f>'Tariffs Jul2021'!AQ7</f>
        <v>0</v>
      </c>
      <c r="W13" s="537" t="str">
        <f t="shared" si="5"/>
        <v>No discount</v>
      </c>
      <c r="X13" s="538" t="str">
        <f t="shared" si="6"/>
        <v>Exclusive</v>
      </c>
      <c r="Y13" s="534">
        <f>IF(AND(W13="Guaranteed off bill",X13="Inclusive"),((Q13*1.1)-((Q13*1.1)*S13/100))/1.1,IF(AND(W13="Guaranteed off usage",X13="Inclusive"),((Q13*1.1)-((P13*1.1)*T13/100))/1.1,IF(AND(W13="Guaranteed off bill",X13="Exclusive"),Q13-(Q13*S13/100),IF(AND(W13="Guaranteed off usage",X13="Exclusive"),Q13-(P13*T13/100),IF(X13="Inclusive",((Q13*1.1))/1.1,Q13)))))</f>
        <v>799.43545454545449</v>
      </c>
      <c r="Z13" s="535">
        <f>IF(AND(W13="Pay-on-time off bill",X13="Inclusive"),((Y13*1.1)-((Y13*1.1)*U13/100))/1.1,IF(AND(W13="Pay-on-time off usage",X13="Inclusive"),((Y13*1.1)-((P13*1.1)*V13/100))/1.1,IF(AND(W13="Pay-on-time off bill",X13="Exclusive"),Y13-(Y13*U13/100),IF(AND(W13="Pay-on-time off usage",X13="Exclusive"),Y13-(P13*V13/100),IF(X13="Inclusive",((Y13*1.1))/1.1,Y13)))))</f>
        <v>799.43545454545449</v>
      </c>
      <c r="AA13" s="542">
        <f t="shared" si="0"/>
        <v>879.37900000000002</v>
      </c>
      <c r="AB13" s="542">
        <f t="shared" si="0"/>
        <v>879.37900000000002</v>
      </c>
      <c r="AC13" s="274">
        <f>'Tariffs Jul2021'!AZ7</f>
        <v>0</v>
      </c>
      <c r="AD13" s="274" t="str">
        <f>'Tariffs Jul2021'!BA7</f>
        <v>n</v>
      </c>
      <c r="AE13" s="275" t="str">
        <f>'Tariffs Jul2021'!BJ7</f>
        <v>N</v>
      </c>
      <c r="AF13" s="574"/>
      <c r="AG13" s="574"/>
      <c r="AH13" s="574"/>
      <c r="AI13" s="574"/>
      <c r="AJ13" s="574"/>
      <c r="AK13" s="574"/>
      <c r="AL13" s="574"/>
      <c r="AM13" s="574"/>
      <c r="AN13" s="574"/>
      <c r="AO13" s="574"/>
      <c r="AP13" s="574"/>
      <c r="AQ13" s="574"/>
      <c r="AR13" s="574"/>
      <c r="AS13" s="574"/>
      <c r="AT13" s="574"/>
      <c r="AU13" s="574"/>
      <c r="AV13" s="574"/>
      <c r="AW13" s="574"/>
      <c r="AX13" s="574"/>
    </row>
    <row r="14" spans="1:50" ht="14" x14ac:dyDescent="0.15">
      <c r="A14" s="270" t="str">
        <f>'Tariffs Jul2021'!F8</f>
        <v>Momentum Energy</v>
      </c>
      <c r="B14" s="40" t="str">
        <f>'Tariffs Jul2021'!D8</f>
        <v>Multinet Metro 1</v>
      </c>
      <c r="C14" s="40" t="str">
        <f>'Tariffs Jul2021'!G8</f>
        <v>Market offer</v>
      </c>
      <c r="D14" s="59">
        <f>365*'Tariffs Jul2021'!H8/100</f>
        <v>296.37999999999994</v>
      </c>
      <c r="E14" s="59">
        <f>IF($C$5*'Tariffs Jul2021'!AK8/'Tariffs Jul2021'!AI8&gt;='Tariffs Jul2021'!J8,( 'Tariffs Jul2021'!J8*'Tariffs Jul2021'!O8/100)* 'Tariffs Jul2021'!AI8,($C$5*'Tariffs Jul2021'!AK8/'Tariffs Jul2021'!AI8*'Tariffs Jul2021'!O8/100)* 'Tariffs Jul2021'!AI8)</f>
        <v>197.99999999999994</v>
      </c>
      <c r="F14" s="59">
        <f>IF($C$5*'Tariffs Jul2021'!AK8/'Tariffs Jul2021'!AI8&lt;'Tariffs Jul2021'!J8,0,IF($C$5*'Tariffs Jul2021'!AK8/'Tariffs Jul2021'!AI8&lt;='Tariffs Jul2021'!K8,($C$5*'Tariffs Jul2021'!AK8/'Tariffs Jul2021'!AI8-'Tariffs Jul2021'!J8)*('Tariffs Jul2021'!P8/100)*'Tariffs Jul2021'!AI8,('Tariffs Jul2021'!K8-'Tariffs Jul2021'!J8)*('Tariffs Jul2021'!P8/100)*'Tariffs Jul2021'!AI8))</f>
        <v>120</v>
      </c>
      <c r="G14" s="59">
        <f>IF($C$5*'Tariffs Jul2021'!AK8/'Tariffs Jul2021'!AI8&lt;'Tariffs Jul2021'!K8,0,IF($C$5*'Tariffs Jul2021'!AK8/'Tariffs Jul2021'!AI8&lt;='Tariffs Jul2021'!L8,($C$5*'Tariffs Jul2021'!AK8/'Tariffs Jul2021'!AI8-'Tariffs Jul2021'!K8)*('Tariffs Jul2021'!Q8/100)*'Tariffs Jul2021'!AI8,('Tariffs Jul2021'!L8-'Tariffs Jul2021'!K8)*('Tariffs Jul2021'!Q8/100)*'Tariffs Jul2021'!AI8))</f>
        <v>0</v>
      </c>
      <c r="H14" s="59">
        <f>IF($C$5*'Tariffs Jul2021'!AK8/'Tariffs Jul2021'!AI8&lt;'Tariffs Jul2021'!L8,0,IF($C$5*'Tariffs Jul2021'!AK8/'Tariffs Jul2021'!AI8&lt;='Tariffs Jul2021'!M8,($C$5*'Tariffs Jul2021'!AK8/'Tariffs Jul2021'!AI8-'Tariffs Jul2021'!L8)*('Tariffs Jul2021'!R8/100)*'Tariffs Jul2021'!AI8,('Tariffs Jul2021'!M8-'Tariffs Jul2021'!L8)*('Tariffs Jul2021'!R8/100)*'Tariffs Jul2021'!AI8))</f>
        <v>0</v>
      </c>
      <c r="I14" s="59">
        <f>IF(($C$5*'Tariffs Jul2021'!AK8/'Tariffs Jul2021'!AI8&gt;'Tariffs Jul2021'!M8),($C$5*'Tariffs Jul2021'!AK8/'Tariffs Jul2021'!AI8-'Tariffs Jul2021'!M8)*'Tariffs Jul2021'!S8/100*'Tariffs Jul2021'!AI8,0)</f>
        <v>0</v>
      </c>
      <c r="J14" s="59">
        <f>IF($C$5*'Tariffs Jul2021'!AL8/'Tariffs Jul2021'!AJ8&gt;='Tariffs Jul2021'!J8,('Tariffs Jul2021'!J8*'Tariffs Jul2021'!U8/100)* 'Tariffs Jul2021'!AJ8,($C$5*'Tariffs Jul2021'!AL8/'Tariffs Jul2021'!AJ8*'Tariffs Jul2021'!U8/100)* 'Tariffs Jul2021'!AJ8)</f>
        <v>180</v>
      </c>
      <c r="K14" s="59">
        <f>IF($C$5*'Tariffs Jul2021'!AL8/'Tariffs Jul2021'!AJ8&lt;'Tariffs Jul2021'!J8,0,IF($C$5*'Tariffs Jul2021'!AL8/'Tariffs Jul2021'!AJ8&lt;='Tariffs Jul2021'!K8,($C$5*'Tariffs Jul2021'!AL8/'Tariffs Jul2021'!AJ8-'Tariffs Jul2021'!J8)*('Tariffs Jul2021'!V8/100)*'Tariffs Jul2021'!AJ8,('Tariffs Jul2021'!K8-'Tariffs Jul2021'!J8)*('Tariffs Jul2021'!V8/100)*'Tariffs Jul2021'!AJ8))</f>
        <v>113.99999999999997</v>
      </c>
      <c r="L14" s="59">
        <f>IF($C$5*'Tariffs Jul2021'!AL8/'Tariffs Jul2021'!AJ8&lt;'Tariffs Jul2021'!K8,0,IF($C$5*'Tariffs Jul2021'!AL8/'Tariffs Jul2021'!AJ8&lt;='Tariffs Jul2021'!L8,($C$5*'Tariffs Jul2021'!AL8/'Tariffs Jul2021'!AJ8-'Tariffs Jul2021'!K8)*('Tariffs Jul2021'!W8/100)*'Tariffs Jul2021'!AJ8,('Tariffs Jul2021'!L8-'Tariffs Jul2021'!K8)*('Tariffs Jul2021'!W8/100)*'Tariffs Jul2021'!AJ8))</f>
        <v>0</v>
      </c>
      <c r="M14" s="59">
        <f>IF($C$5*'Tariffs Jul2021'!AL8/'Tariffs Jul2021'!AJ8&lt;'Tariffs Jul2021'!L8,0,IF($C$5*'Tariffs Jul2021'!AL8/'Tariffs Jul2021'!AJ8&lt;='Tariffs Jul2021'!M8,($C$5*'Tariffs Jul2021'!AL8/'Tariffs Jul2021'!AJ8-'Tariffs Jul2021'!L8)*('Tariffs Jul2021'!X8/100)*'Tariffs Jul2021'!AJ8,('Tariffs Jul2021'!M8-'Tariffs Jul2021'!L8)*('Tariffs Jul2021'!X8/100)*'Tariffs Jul2021'!AJ8))</f>
        <v>0</v>
      </c>
      <c r="N14" s="59">
        <f>IF(($C$5*'Tariffs Jul2021'!AL8/'Tariffs Jul2021'!AJ8&gt;'Tariffs Jul2021'!M8),($C$5*'Tariffs Jul2021'!AL8/'Tariffs Jul2021'!AJ8-'Tariffs Jul2021'!M8)*'Tariffs Jul2021'!Y8/100*'Tariffs Jul2021'!AJ8,0)</f>
        <v>0</v>
      </c>
      <c r="O14" s="59">
        <f t="shared" si="1"/>
        <v>611.99999999999989</v>
      </c>
      <c r="P14" s="503">
        <f t="shared" si="2"/>
        <v>673.19999999999993</v>
      </c>
      <c r="Q14" s="59">
        <f t="shared" si="3"/>
        <v>908.37999999999988</v>
      </c>
      <c r="R14" s="272">
        <f t="shared" si="4"/>
        <v>999.21799999999996</v>
      </c>
      <c r="S14" s="40">
        <f>'Tariffs Jul2021'!AN8</f>
        <v>0</v>
      </c>
      <c r="T14" s="40">
        <f>'Tariffs Jul2021'!AO8</f>
        <v>0</v>
      </c>
      <c r="U14" s="40">
        <f>'Tariffs Jul2021'!AP8</f>
        <v>0</v>
      </c>
      <c r="V14" s="40">
        <f>'Tariffs Jul2021'!AQ8</f>
        <v>0</v>
      </c>
      <c r="W14" s="537" t="str">
        <f t="shared" si="5"/>
        <v>No discount</v>
      </c>
      <c r="X14" s="538" t="str">
        <f t="shared" si="6"/>
        <v>Exclusive</v>
      </c>
      <c r="Y14" s="534">
        <f t="shared" ref="Y14" si="11">IF(AND(W14="Guaranteed off bill",X14="Inclusive"),((Q14*1.1)-((Q14*1.1)*S14/100))/1.1,IF(AND(W14="Guaranteed off usage",X14="Inclusive"),((Q14*1.1)-((P14*1.1)*T14/100))/1.1,IF(AND(W14="Guaranteed off bill",X14="Exclusive"),Q14-(Q14*S14/100),IF(AND(W14="Guaranteed off usage",X14="Exclusive"),Q14-(P14*T14/100),IF(X14="Inclusive",((Q14*1.1))/1.1,Q14)))))</f>
        <v>908.37999999999988</v>
      </c>
      <c r="Z14" s="535">
        <f t="shared" ref="Z14" si="12">IF(AND(W14="Pay-on-time off bill",X14="Inclusive"),((Y14*1.1)-((Y14*1.1)*U14/100))/1.1,IF(AND(W14="Pay-on-time off usage",X14="Inclusive"),((Y14*1.1)-((P14*1.1)*V14/100))/1.1,IF(AND(W14="Pay-on-time off bill",X14="Exclusive"),Y14-(Y14*U14/100),IF(AND(W14="Pay-on-time off usage",X14="Exclusive"),Y14-(P14*V14/100),IF(X14="Inclusive",((Y14*1.1))/1.1,Y14)))))</f>
        <v>908.37999999999988</v>
      </c>
      <c r="AA14" s="542">
        <f t="shared" si="0"/>
        <v>999.21799999999996</v>
      </c>
      <c r="AB14" s="542">
        <f t="shared" si="0"/>
        <v>999.21799999999996</v>
      </c>
      <c r="AC14" s="274">
        <f>'Tariffs Jul2021'!AZ8</f>
        <v>0</v>
      </c>
      <c r="AD14" s="274" t="str">
        <f>'Tariffs Jul2021'!BA8</f>
        <v>n</v>
      </c>
      <c r="AE14" s="275" t="str">
        <f>'Tariffs Jul2021'!BJ8</f>
        <v>N</v>
      </c>
      <c r="AF14" s="574"/>
      <c r="AG14" s="574"/>
      <c r="AH14" s="574"/>
      <c r="AI14" s="574"/>
      <c r="AJ14" s="574"/>
      <c r="AK14" s="574"/>
      <c r="AL14" s="574"/>
      <c r="AM14" s="574"/>
      <c r="AN14" s="574"/>
      <c r="AO14" s="574"/>
      <c r="AP14" s="574"/>
      <c r="AQ14" s="574"/>
      <c r="AR14" s="574"/>
      <c r="AS14" s="574"/>
      <c r="AT14" s="574"/>
      <c r="AU14" s="574"/>
      <c r="AV14" s="574"/>
      <c r="AW14" s="574"/>
      <c r="AX14" s="574"/>
    </row>
    <row r="15" spans="1:50" ht="14" x14ac:dyDescent="0.15">
      <c r="A15" s="270" t="str">
        <f>'Tariffs Jul2021'!F9</f>
        <v>Origin Energy</v>
      </c>
      <c r="B15" s="40" t="str">
        <f>'Tariffs Jul2021'!D9</f>
        <v>Multinet Metro 1</v>
      </c>
      <c r="C15" s="40" t="str">
        <f>'Tariffs Jul2021'!G9</f>
        <v>Go</v>
      </c>
      <c r="D15" s="59">
        <f>365*'Tariffs Jul2021'!H9/100</f>
        <v>226.96363636363637</v>
      </c>
      <c r="E15" s="59">
        <f>IF($C$5*'Tariffs Jul2021'!AK9/'Tariffs Jul2021'!AI9&gt;='Tariffs Jul2021'!J9,( 'Tariffs Jul2021'!J9*'Tariffs Jul2021'!O9/100)* 'Tariffs Jul2021'!AI9,($C$5*'Tariffs Jul2021'!AK9/'Tariffs Jul2021'!AI9*'Tariffs Jul2021'!O9/100)* 'Tariffs Jul2021'!AI9)</f>
        <v>321.81818181818181</v>
      </c>
      <c r="F15" s="59">
        <f>IF($C$5*'Tariffs Jul2021'!AK9/'Tariffs Jul2021'!AI9&lt;'Tariffs Jul2021'!J9,0,IF($C$5*'Tariffs Jul2021'!AK9/'Tariffs Jul2021'!AI9&lt;='Tariffs Jul2021'!K9,($C$5*'Tariffs Jul2021'!AK9/'Tariffs Jul2021'!AI9-'Tariffs Jul2021'!J9)*('Tariffs Jul2021'!P9/100)*'Tariffs Jul2021'!AI9,('Tariffs Jul2021'!K9-'Tariffs Jul2021'!J9)*('Tariffs Jul2021'!P9/100)*'Tariffs Jul2021'!AI9))</f>
        <v>0</v>
      </c>
      <c r="G15" s="59">
        <f>IF($C$5*'Tariffs Jul2021'!AK9/'Tariffs Jul2021'!AI9&lt;'Tariffs Jul2021'!K9,0,IF($C$5*'Tariffs Jul2021'!AK9/'Tariffs Jul2021'!AI9&lt;='Tariffs Jul2021'!L9,($C$5*'Tariffs Jul2021'!AK9/'Tariffs Jul2021'!AI9-'Tariffs Jul2021'!K9)*('Tariffs Jul2021'!Q9/100)*'Tariffs Jul2021'!AI9,('Tariffs Jul2021'!L9-'Tariffs Jul2021'!K9)*('Tariffs Jul2021'!Q9/100)*'Tariffs Jul2021'!AI9))</f>
        <v>0</v>
      </c>
      <c r="H15" s="59">
        <f>IF($C$5*'Tariffs Jul2021'!AK9/'Tariffs Jul2021'!AI9&lt;'Tariffs Jul2021'!L9,0,IF($C$5*'Tariffs Jul2021'!AK9/'Tariffs Jul2021'!AI9&lt;='Tariffs Jul2021'!M9,($C$5*'Tariffs Jul2021'!AK9/'Tariffs Jul2021'!AI9-'Tariffs Jul2021'!L9)*('Tariffs Jul2021'!R9/100)*'Tariffs Jul2021'!AI9,('Tariffs Jul2021'!M9-'Tariffs Jul2021'!L9)*('Tariffs Jul2021'!R9/100)*'Tariffs Jul2021'!AI9))</f>
        <v>0</v>
      </c>
      <c r="I15" s="59">
        <f>IF(($C$5*'Tariffs Jul2021'!AK9/'Tariffs Jul2021'!AI9&gt;'Tariffs Jul2021'!M9),($C$5*'Tariffs Jul2021'!AK9/'Tariffs Jul2021'!AI9-'Tariffs Jul2021'!M9)*'Tariffs Jul2021'!S9/100*'Tariffs Jul2021'!AI9,0)</f>
        <v>0</v>
      </c>
      <c r="J15" s="59">
        <f>IF($C$5*'Tariffs Jul2021'!AL9/'Tariffs Jul2021'!AJ9&gt;='Tariffs Jul2021'!J9,('Tariffs Jul2021'!J9*'Tariffs Jul2021'!U9/100)* 'Tariffs Jul2021'!AJ9,($C$5*'Tariffs Jul2021'!AL9/'Tariffs Jul2021'!AJ9*'Tariffs Jul2021'!U9/100)* 'Tariffs Jul2021'!AJ9)</f>
        <v>321.81818181818181</v>
      </c>
      <c r="K15" s="59">
        <f>IF($C$5*'Tariffs Jul2021'!AL9/'Tariffs Jul2021'!AJ9&lt;'Tariffs Jul2021'!J9,0,IF($C$5*'Tariffs Jul2021'!AL9/'Tariffs Jul2021'!AJ9&lt;='Tariffs Jul2021'!K9,($C$5*'Tariffs Jul2021'!AL9/'Tariffs Jul2021'!AJ9-'Tariffs Jul2021'!J9)*('Tariffs Jul2021'!V9/100)*'Tariffs Jul2021'!AJ9,('Tariffs Jul2021'!K9-'Tariffs Jul2021'!J9)*('Tariffs Jul2021'!V9/100)*'Tariffs Jul2021'!AJ9))</f>
        <v>0</v>
      </c>
      <c r="L15" s="59">
        <f>IF($C$5*'Tariffs Jul2021'!AL9/'Tariffs Jul2021'!AJ9&lt;'Tariffs Jul2021'!K9,0,IF($C$5*'Tariffs Jul2021'!AL9/'Tariffs Jul2021'!AJ9&lt;='Tariffs Jul2021'!L9,($C$5*'Tariffs Jul2021'!AL9/'Tariffs Jul2021'!AJ9-'Tariffs Jul2021'!K9)*('Tariffs Jul2021'!W9/100)*'Tariffs Jul2021'!AJ9,('Tariffs Jul2021'!L9-'Tariffs Jul2021'!K9)*('Tariffs Jul2021'!W9/100)*'Tariffs Jul2021'!AJ9))</f>
        <v>0</v>
      </c>
      <c r="M15" s="59">
        <f>IF($C$5*'Tariffs Jul2021'!AL9/'Tariffs Jul2021'!AJ9&lt;'Tariffs Jul2021'!L9,0,IF($C$5*'Tariffs Jul2021'!AL9/'Tariffs Jul2021'!AJ9&lt;='Tariffs Jul2021'!M9,($C$5*'Tariffs Jul2021'!AL9/'Tariffs Jul2021'!AJ9-'Tariffs Jul2021'!L9)*('Tariffs Jul2021'!X9/100)*'Tariffs Jul2021'!AJ9,('Tariffs Jul2021'!M9-'Tariffs Jul2021'!L9)*('Tariffs Jul2021'!X9/100)*'Tariffs Jul2021'!AJ9))</f>
        <v>0</v>
      </c>
      <c r="N15" s="59">
        <f>IF(($C$5*'Tariffs Jul2021'!AL9/'Tariffs Jul2021'!AJ9&gt;'Tariffs Jul2021'!M9),($C$5*'Tariffs Jul2021'!AL9/'Tariffs Jul2021'!AJ9-'Tariffs Jul2021'!M9)*'Tariffs Jul2021'!Y9/100*'Tariffs Jul2021'!AJ9,0)</f>
        <v>0</v>
      </c>
      <c r="O15" s="59">
        <f t="shared" si="1"/>
        <v>643.63636363636363</v>
      </c>
      <c r="P15" s="503">
        <f t="shared" si="2"/>
        <v>708</v>
      </c>
      <c r="Q15" s="59">
        <f t="shared" si="3"/>
        <v>870.6</v>
      </c>
      <c r="R15" s="272">
        <f t="shared" si="4"/>
        <v>957.66000000000008</v>
      </c>
      <c r="S15" s="40">
        <f>'Tariffs Jul2021'!AN9</f>
        <v>0</v>
      </c>
      <c r="T15" s="40">
        <f>'Tariffs Jul2021'!AO9</f>
        <v>0</v>
      </c>
      <c r="U15" s="40">
        <f>'Tariffs Jul2021'!AP9</f>
        <v>0</v>
      </c>
      <c r="V15" s="40">
        <f>'Tariffs Jul2021'!AQ9</f>
        <v>0</v>
      </c>
      <c r="W15" s="537" t="str">
        <f t="shared" si="5"/>
        <v>No discount</v>
      </c>
      <c r="X15" s="538" t="str">
        <f t="shared" si="6"/>
        <v>Inclusive</v>
      </c>
      <c r="Y15" s="534">
        <f>IF(AND(W15="Guaranteed off bill",X15="Inclusive"),((Q15*1.1)-((Q15*1.1)*S15/100))/1.1,IF(AND(W15="Guaranteed off usage",X15="Inclusive"),((Q15*1.1)-((P15*1.1)*T15/100))/1.1,IF(AND(W15="Guaranteed off bill",X15="Exclusive"),Q15-(Q15*S15/100),IF(AND(W15="Guaranteed off usage",X15="Exclusive"),Q15-(P15*T15/100),IF(X15="Inclusive",((Q15*1.1))/1.1,Q15)))))</f>
        <v>870.6</v>
      </c>
      <c r="Z15" s="535">
        <f>IF(AND(W15="Pay-on-time off bill",X15="Inclusive"),((Y15*1.1)-((Y15*1.1)*U15/100))/1.1,IF(AND(W15="Pay-on-time off usage",X15="Inclusive"),((Y15*1.1)-((P15*1.1)*V15/100))/1.1,IF(AND(W15="Pay-on-time off bill",X15="Exclusive"),Y15-(Y15*U15/100),IF(AND(W15="Pay-on-time off usage",X15="Exclusive"),Y15-(P15*V15/100),IF(X15="Inclusive",((Y15*1.1))/1.1,Y15)))))</f>
        <v>870.6</v>
      </c>
      <c r="AA15" s="542">
        <f t="shared" si="0"/>
        <v>957.66000000000008</v>
      </c>
      <c r="AB15" s="542">
        <f t="shared" si="0"/>
        <v>957.66000000000008</v>
      </c>
      <c r="AC15" s="274">
        <f>'Tariffs Jul2021'!AZ9</f>
        <v>0</v>
      </c>
      <c r="AD15" s="274" t="str">
        <f>'Tariffs Jul2021'!BA9</f>
        <v>n</v>
      </c>
      <c r="AE15" s="275" t="str">
        <f>'Tariffs Jul2021'!BJ9</f>
        <v>N</v>
      </c>
      <c r="AF15" s="574"/>
      <c r="AG15" s="574"/>
      <c r="AH15" s="574"/>
      <c r="AI15" s="574"/>
      <c r="AJ15" s="574"/>
      <c r="AK15" s="574"/>
      <c r="AL15" s="574"/>
      <c r="AM15" s="574"/>
      <c r="AN15" s="574"/>
      <c r="AO15" s="574"/>
      <c r="AP15" s="574"/>
      <c r="AQ15" s="574"/>
      <c r="AR15" s="574"/>
      <c r="AS15" s="574"/>
      <c r="AT15" s="574"/>
      <c r="AU15" s="574"/>
      <c r="AV15" s="574"/>
      <c r="AW15" s="574"/>
      <c r="AX15" s="574"/>
    </row>
    <row r="16" spans="1:50" ht="14" x14ac:dyDescent="0.15">
      <c r="A16" s="270" t="str">
        <f>'Tariffs Jul2021'!F10</f>
        <v>Red Energy</v>
      </c>
      <c r="B16" s="40" t="str">
        <f>'Tariffs Jul2021'!D10</f>
        <v>Multinet Metro 1</v>
      </c>
      <c r="C16" s="40" t="str">
        <f>'Tariffs Jul2021'!G10</f>
        <v>Living Energy Saver</v>
      </c>
      <c r="D16" s="59">
        <f>365*'Tariffs Jul2021'!H10/100</f>
        <v>239.14136363636356</v>
      </c>
      <c r="E16" s="59">
        <f>IF($C$5*'Tariffs Jul2021'!AK10/'Tariffs Jul2021'!AI10&gt;='Tariffs Jul2021'!J10,( 'Tariffs Jul2021'!J10*'Tariffs Jul2021'!O10/100)* 'Tariffs Jul2021'!AI10,($C$5*'Tariffs Jul2021'!AK10/'Tariffs Jul2021'!AI10*'Tariffs Jul2021'!O10/100)* 'Tariffs Jul2021'!AI10)</f>
        <v>185.72727272727269</v>
      </c>
      <c r="F16" s="59">
        <f>IF($C$5*'Tariffs Jul2021'!AK10/'Tariffs Jul2021'!AI10&lt;'Tariffs Jul2021'!J10,0,IF($C$5*'Tariffs Jul2021'!AK10/'Tariffs Jul2021'!AI10&lt;='Tariffs Jul2021'!K10,($C$5*'Tariffs Jul2021'!AK10/'Tariffs Jul2021'!AI10-'Tariffs Jul2021'!J10)*('Tariffs Jul2021'!P10/100)*'Tariffs Jul2021'!AI10,('Tariffs Jul2021'!K10-'Tariffs Jul2021'!J10)*('Tariffs Jul2021'!P10/100)*'Tariffs Jul2021'!AI10))</f>
        <v>116.18181818181816</v>
      </c>
      <c r="G16" s="59">
        <f>IF($C$5*'Tariffs Jul2021'!AK10/'Tariffs Jul2021'!AI10&lt;'Tariffs Jul2021'!K10,0,IF($C$5*'Tariffs Jul2021'!AK10/'Tariffs Jul2021'!AI10&lt;='Tariffs Jul2021'!L10,($C$5*'Tariffs Jul2021'!AK10/'Tariffs Jul2021'!AI10-'Tariffs Jul2021'!K10)*('Tariffs Jul2021'!Q10/100)*'Tariffs Jul2021'!AI10,('Tariffs Jul2021'!L10-'Tariffs Jul2021'!K10)*('Tariffs Jul2021'!Q10/100)*'Tariffs Jul2021'!AI10))</f>
        <v>0</v>
      </c>
      <c r="H16" s="59">
        <f>IF($C$5*'Tariffs Jul2021'!AK10/'Tariffs Jul2021'!AI10&lt;'Tariffs Jul2021'!L10,0,IF($C$5*'Tariffs Jul2021'!AK10/'Tariffs Jul2021'!AI10&lt;='Tariffs Jul2021'!M10,($C$5*'Tariffs Jul2021'!AK10/'Tariffs Jul2021'!AI10-'Tariffs Jul2021'!L10)*('Tariffs Jul2021'!R10/100)*'Tariffs Jul2021'!AI10,('Tariffs Jul2021'!M10-'Tariffs Jul2021'!L10)*('Tariffs Jul2021'!R10/100)*'Tariffs Jul2021'!AI10))</f>
        <v>0</v>
      </c>
      <c r="I16" s="59">
        <f>IF(($C$5*'Tariffs Jul2021'!AK10/'Tariffs Jul2021'!AI10&gt;'Tariffs Jul2021'!M10),($C$5*'Tariffs Jul2021'!AK10/'Tariffs Jul2021'!AI10-'Tariffs Jul2021'!M10)*'Tariffs Jul2021'!S10/100*'Tariffs Jul2021'!AI10,0)</f>
        <v>0</v>
      </c>
      <c r="J16" s="59">
        <f>IF($C$5*'Tariffs Jul2021'!AL10/'Tariffs Jul2021'!AJ10&gt;='Tariffs Jul2021'!J10,('Tariffs Jul2021'!J10*'Tariffs Jul2021'!U10/100)* 'Tariffs Jul2021'!AJ10,($C$5*'Tariffs Jul2021'!AL10/'Tariffs Jul2021'!AJ10*'Tariffs Jul2021'!U10/100)* 'Tariffs Jul2021'!AJ10)</f>
        <v>176.72727272727272</v>
      </c>
      <c r="K16" s="59">
        <f>IF($C$5*'Tariffs Jul2021'!AL10/'Tariffs Jul2021'!AJ10&lt;'Tariffs Jul2021'!J10,0,IF($C$5*'Tariffs Jul2021'!AL10/'Tariffs Jul2021'!AJ10&lt;='Tariffs Jul2021'!K10,($C$5*'Tariffs Jul2021'!AL10/'Tariffs Jul2021'!AJ10-'Tariffs Jul2021'!J10)*('Tariffs Jul2021'!V10/100)*'Tariffs Jul2021'!AJ10,('Tariffs Jul2021'!K10-'Tariffs Jul2021'!J10)*('Tariffs Jul2021'!V10/100)*'Tariffs Jul2021'!AJ10))</f>
        <v>108</v>
      </c>
      <c r="L16" s="59">
        <f>IF($C$5*'Tariffs Jul2021'!AL10/'Tariffs Jul2021'!AJ10&lt;'Tariffs Jul2021'!K10,0,IF($C$5*'Tariffs Jul2021'!AL10/'Tariffs Jul2021'!AJ10&lt;='Tariffs Jul2021'!L10,($C$5*'Tariffs Jul2021'!AL10/'Tariffs Jul2021'!AJ10-'Tariffs Jul2021'!K10)*('Tariffs Jul2021'!W10/100)*'Tariffs Jul2021'!AJ10,('Tariffs Jul2021'!L10-'Tariffs Jul2021'!K10)*('Tariffs Jul2021'!W10/100)*'Tariffs Jul2021'!AJ10))</f>
        <v>0</v>
      </c>
      <c r="M16" s="59">
        <f>IF($C$5*'Tariffs Jul2021'!AL10/'Tariffs Jul2021'!AJ10&lt;'Tariffs Jul2021'!L10,0,IF($C$5*'Tariffs Jul2021'!AL10/'Tariffs Jul2021'!AJ10&lt;='Tariffs Jul2021'!M10,($C$5*'Tariffs Jul2021'!AL10/'Tariffs Jul2021'!AJ10-'Tariffs Jul2021'!L10)*('Tariffs Jul2021'!X10/100)*'Tariffs Jul2021'!AJ10,('Tariffs Jul2021'!M10-'Tariffs Jul2021'!L10)*('Tariffs Jul2021'!X10/100)*'Tariffs Jul2021'!AJ10))</f>
        <v>0</v>
      </c>
      <c r="N16" s="59">
        <f>IF(($C$5*'Tariffs Jul2021'!AL10/'Tariffs Jul2021'!AJ10&gt;'Tariffs Jul2021'!M10),($C$5*'Tariffs Jul2021'!AL10/'Tariffs Jul2021'!AJ10-'Tariffs Jul2021'!M10)*'Tariffs Jul2021'!Y10/100*'Tariffs Jul2021'!AJ10,0)</f>
        <v>0</v>
      </c>
      <c r="O16" s="59">
        <f t="shared" si="1"/>
        <v>586.63636363636363</v>
      </c>
      <c r="P16" s="503">
        <f t="shared" si="2"/>
        <v>645.30000000000007</v>
      </c>
      <c r="Q16" s="59">
        <f t="shared" si="3"/>
        <v>825.77772727272713</v>
      </c>
      <c r="R16" s="272">
        <f t="shared" si="4"/>
        <v>908.35549999999989</v>
      </c>
      <c r="S16" s="40">
        <f>'Tariffs Jul2021'!AN10</f>
        <v>0</v>
      </c>
      <c r="T16" s="40">
        <f>'Tariffs Jul2021'!AO10</f>
        <v>0</v>
      </c>
      <c r="U16" s="40">
        <f>'Tariffs Jul2021'!AP10</f>
        <v>0</v>
      </c>
      <c r="V16" s="40">
        <f>'Tariffs Jul2021'!AQ10</f>
        <v>0</v>
      </c>
      <c r="W16" s="537" t="str">
        <f t="shared" si="5"/>
        <v>No discount</v>
      </c>
      <c r="X16" s="538" t="str">
        <f t="shared" si="6"/>
        <v>Inclusive</v>
      </c>
      <c r="Y16" s="534">
        <f t="shared" ref="Y16:Y19" si="13">IF(AND(W16="Guaranteed off bill",X16="Inclusive"),((Q16*1.1)-((Q16*1.1)*S16/100))/1.1,IF(AND(W16="Guaranteed off usage",X16="Inclusive"),((Q16*1.1)-((P16*1.1)*T16/100))/1.1,IF(AND(W16="Guaranteed off bill",X16="Exclusive"),Q16-(Q16*S16/100),IF(AND(W16="Guaranteed off usage",X16="Exclusive"),Q16-(P16*T16/100),IF(X16="Inclusive",((Q16*1.1))/1.1,Q16)))))</f>
        <v>825.77772727272713</v>
      </c>
      <c r="Z16" s="535">
        <f t="shared" ref="Z16:Z19" si="14">IF(AND(W16="Pay-on-time off bill",X16="Inclusive"),((Y16*1.1)-((Y16*1.1)*U16/100))/1.1,IF(AND(W16="Pay-on-time off usage",X16="Inclusive"),((Y16*1.1)-((P16*1.1)*V16/100))/1.1,IF(AND(W16="Pay-on-time off bill",X16="Exclusive"),Y16-(Y16*U16/100),IF(AND(W16="Pay-on-time off usage",X16="Exclusive"),Y16-(P16*V16/100),IF(X16="Inclusive",((Y16*1.1))/1.1,Y16)))))</f>
        <v>825.77772727272713</v>
      </c>
      <c r="AA16" s="542">
        <f t="shared" si="0"/>
        <v>908.35549999999989</v>
      </c>
      <c r="AB16" s="542">
        <f t="shared" si="0"/>
        <v>908.35549999999989</v>
      </c>
      <c r="AC16" s="274">
        <f>'Tariffs Jul2021'!AZ10</f>
        <v>0</v>
      </c>
      <c r="AD16" s="274" t="str">
        <f>'Tariffs Jul2021'!BA10</f>
        <v>n</v>
      </c>
      <c r="AE16" s="275" t="str">
        <f>'Tariffs Jul2021'!BJ10</f>
        <v>N</v>
      </c>
      <c r="AF16" s="574"/>
      <c r="AG16" s="574"/>
      <c r="AH16" s="574"/>
      <c r="AI16" s="574"/>
      <c r="AJ16" s="574"/>
      <c r="AK16" s="574"/>
      <c r="AL16" s="574"/>
      <c r="AM16" s="574"/>
      <c r="AN16" s="574"/>
      <c r="AO16" s="574"/>
      <c r="AP16" s="574"/>
      <c r="AQ16" s="574"/>
      <c r="AR16" s="574"/>
      <c r="AS16" s="574"/>
      <c r="AT16" s="574"/>
      <c r="AU16" s="574"/>
      <c r="AV16" s="574"/>
      <c r="AW16" s="574"/>
      <c r="AX16" s="574"/>
    </row>
    <row r="17" spans="1:50" ht="14" x14ac:dyDescent="0.15">
      <c r="A17" s="270" t="str">
        <f>'Tariffs Jul2021'!F11</f>
        <v>Simply Energy</v>
      </c>
      <c r="B17" s="40" t="str">
        <f>'Tariffs Jul2021'!D11</f>
        <v>Multinet Metro 1</v>
      </c>
      <c r="C17" s="40" t="str">
        <f>'Tariffs Jul2021'!G11</f>
        <v>Saver</v>
      </c>
      <c r="D17" s="59">
        <f>365*'Tariffs Jul2021'!H11/100</f>
        <v>305.40545454545457</v>
      </c>
      <c r="E17" s="59">
        <f>IF($C$5*'Tariffs Jul2021'!AK11/'Tariffs Jul2021'!AI11&gt;='Tariffs Jul2021'!J11,( 'Tariffs Jul2021'!J11*'Tariffs Jul2021'!O11/100)* 'Tariffs Jul2021'!AI11,($C$5*'Tariffs Jul2021'!AK11/'Tariffs Jul2021'!AI11*'Tariffs Jul2021'!O11/100)* 'Tariffs Jul2021'!AI11)</f>
        <v>222.54545454545456</v>
      </c>
      <c r="F17" s="59">
        <f>IF($C$5*'Tariffs Jul2021'!AK11/'Tariffs Jul2021'!AI11&lt;'Tariffs Jul2021'!J11,0,IF($C$5*'Tariffs Jul2021'!AK11/'Tariffs Jul2021'!AI11&lt;='Tariffs Jul2021'!K11,($C$5*'Tariffs Jul2021'!AK11/'Tariffs Jul2021'!AI11-'Tariffs Jul2021'!J11)*('Tariffs Jul2021'!P11/100)*'Tariffs Jul2021'!AI11,('Tariffs Jul2021'!K11-'Tariffs Jul2021'!J11)*('Tariffs Jul2021'!P11/100)*'Tariffs Jul2021'!AI11))</f>
        <v>128.36363636363635</v>
      </c>
      <c r="G17" s="59">
        <f>IF($C$5*'Tariffs Jul2021'!AK11/'Tariffs Jul2021'!AI11&lt;'Tariffs Jul2021'!K11,0,IF($C$5*'Tariffs Jul2021'!AK11/'Tariffs Jul2021'!AI11&lt;='Tariffs Jul2021'!L11,($C$5*'Tariffs Jul2021'!AK11/'Tariffs Jul2021'!AI11-'Tariffs Jul2021'!K11)*('Tariffs Jul2021'!Q11/100)*'Tariffs Jul2021'!AI11,('Tariffs Jul2021'!L11-'Tariffs Jul2021'!K11)*('Tariffs Jul2021'!Q11/100)*'Tariffs Jul2021'!AI11))</f>
        <v>0</v>
      </c>
      <c r="H17" s="59">
        <f>IF($C$5*'Tariffs Jul2021'!AK11/'Tariffs Jul2021'!AI11&lt;'Tariffs Jul2021'!L11,0,IF($C$5*'Tariffs Jul2021'!AK11/'Tariffs Jul2021'!AI11&lt;='Tariffs Jul2021'!M11,($C$5*'Tariffs Jul2021'!AK11/'Tariffs Jul2021'!AI11-'Tariffs Jul2021'!L11)*('Tariffs Jul2021'!R11/100)*'Tariffs Jul2021'!AI11,('Tariffs Jul2021'!M11-'Tariffs Jul2021'!L11)*('Tariffs Jul2021'!R11/100)*'Tariffs Jul2021'!AI11))</f>
        <v>0</v>
      </c>
      <c r="I17" s="59">
        <f>IF(($C$5*'Tariffs Jul2021'!AK11/'Tariffs Jul2021'!AI11&gt;'Tariffs Jul2021'!M11),($C$5*'Tariffs Jul2021'!AK11/'Tariffs Jul2021'!AI11-'Tariffs Jul2021'!M11)*'Tariffs Jul2021'!S11/100*'Tariffs Jul2021'!AI11,0)</f>
        <v>0</v>
      </c>
      <c r="J17" s="59">
        <f>IF($C$5*'Tariffs Jul2021'!AL11/'Tariffs Jul2021'!AJ11&gt;='Tariffs Jul2021'!J11,('Tariffs Jul2021'!J11*'Tariffs Jul2021'!U11/100)* 'Tariffs Jul2021'!AJ11,($C$5*'Tariffs Jul2021'!AL11/'Tariffs Jul2021'!AJ11*'Tariffs Jul2021'!U11/100)* 'Tariffs Jul2021'!AJ11)</f>
        <v>210.27272727272725</v>
      </c>
      <c r="K17" s="59">
        <f>IF($C$5*'Tariffs Jul2021'!AL11/'Tariffs Jul2021'!AJ11&lt;'Tariffs Jul2021'!J11,0,IF($C$5*'Tariffs Jul2021'!AL11/'Tariffs Jul2021'!AJ11&lt;='Tariffs Jul2021'!K11,($C$5*'Tariffs Jul2021'!AL11/'Tariffs Jul2021'!AJ11-'Tariffs Jul2021'!J11)*('Tariffs Jul2021'!V11/100)*'Tariffs Jul2021'!AJ11,('Tariffs Jul2021'!K11-'Tariffs Jul2021'!J11)*('Tariffs Jul2021'!V11/100)*'Tariffs Jul2021'!AJ11))</f>
        <v>122.18181818181819</v>
      </c>
      <c r="L17" s="59">
        <f>IF($C$5*'Tariffs Jul2021'!AL11/'Tariffs Jul2021'!AJ11&lt;'Tariffs Jul2021'!K11,0,IF($C$5*'Tariffs Jul2021'!AL11/'Tariffs Jul2021'!AJ11&lt;='Tariffs Jul2021'!L11,($C$5*'Tariffs Jul2021'!AL11/'Tariffs Jul2021'!AJ11-'Tariffs Jul2021'!K11)*('Tariffs Jul2021'!W11/100)*'Tariffs Jul2021'!AJ11,('Tariffs Jul2021'!L11-'Tariffs Jul2021'!K11)*('Tariffs Jul2021'!W11/100)*'Tariffs Jul2021'!AJ11))</f>
        <v>0</v>
      </c>
      <c r="M17" s="59">
        <f>IF($C$5*'Tariffs Jul2021'!AL11/'Tariffs Jul2021'!AJ11&lt;'Tariffs Jul2021'!L11,0,IF($C$5*'Tariffs Jul2021'!AL11/'Tariffs Jul2021'!AJ11&lt;='Tariffs Jul2021'!M11,($C$5*'Tariffs Jul2021'!AL11/'Tariffs Jul2021'!AJ11-'Tariffs Jul2021'!L11)*('Tariffs Jul2021'!X11/100)*'Tariffs Jul2021'!AJ11,('Tariffs Jul2021'!M11-'Tariffs Jul2021'!L11)*('Tariffs Jul2021'!X11/100)*'Tariffs Jul2021'!AJ11))</f>
        <v>0</v>
      </c>
      <c r="N17" s="59">
        <f>IF(($C$5*'Tariffs Jul2021'!AL11/'Tariffs Jul2021'!AJ11&gt;'Tariffs Jul2021'!M11),($C$5*'Tariffs Jul2021'!AL11/'Tariffs Jul2021'!AJ11-'Tariffs Jul2021'!M11)*'Tariffs Jul2021'!Y11/100*'Tariffs Jul2021'!AJ11,0)</f>
        <v>0</v>
      </c>
      <c r="O17" s="59">
        <f t="shared" si="1"/>
        <v>683.36363636363626</v>
      </c>
      <c r="P17" s="503">
        <f t="shared" si="2"/>
        <v>751.69999999999993</v>
      </c>
      <c r="Q17" s="59">
        <f t="shared" si="3"/>
        <v>988.76909090909089</v>
      </c>
      <c r="R17" s="272">
        <f t="shared" si="4"/>
        <v>1087.646</v>
      </c>
      <c r="S17" s="40">
        <f>'Tariffs Jul2021'!AN11</f>
        <v>16</v>
      </c>
      <c r="T17" s="40">
        <f>'Tariffs Jul2021'!AO11</f>
        <v>0</v>
      </c>
      <c r="U17" s="40">
        <f>'Tariffs Jul2021'!AP11</f>
        <v>0</v>
      </c>
      <c r="V17" s="40">
        <f>'Tariffs Jul2021'!AQ11</f>
        <v>0</v>
      </c>
      <c r="W17" s="537" t="str">
        <f t="shared" si="5"/>
        <v>Guaranteed off bill</v>
      </c>
      <c r="X17" s="538" t="str">
        <f t="shared" si="6"/>
        <v>Exclusive</v>
      </c>
      <c r="Y17" s="534">
        <f t="shared" si="13"/>
        <v>830.56603636363639</v>
      </c>
      <c r="Z17" s="535">
        <f t="shared" si="14"/>
        <v>830.56603636363639</v>
      </c>
      <c r="AA17" s="542">
        <f t="shared" si="0"/>
        <v>913.62264000000005</v>
      </c>
      <c r="AB17" s="542">
        <f t="shared" si="0"/>
        <v>913.62264000000005</v>
      </c>
      <c r="AC17" s="274">
        <f>'Tariffs Jul2021'!AZ11</f>
        <v>0</v>
      </c>
      <c r="AD17" s="274" t="str">
        <f>'Tariffs Jul2021'!BA11</f>
        <v>n</v>
      </c>
      <c r="AE17" s="275" t="str">
        <f>'Tariffs Jul2021'!BJ11</f>
        <v>N</v>
      </c>
      <c r="AF17" s="574"/>
      <c r="AG17" s="574"/>
      <c r="AH17" s="574"/>
      <c r="AI17" s="574"/>
      <c r="AJ17" s="574"/>
      <c r="AK17" s="574"/>
      <c r="AL17" s="574"/>
      <c r="AM17" s="574"/>
      <c r="AN17" s="574"/>
      <c r="AO17" s="574"/>
      <c r="AP17" s="574"/>
      <c r="AQ17" s="574"/>
      <c r="AR17" s="574"/>
      <c r="AS17" s="574"/>
      <c r="AT17" s="574"/>
      <c r="AU17" s="574"/>
      <c r="AV17" s="574"/>
      <c r="AW17" s="574"/>
      <c r="AX17" s="574"/>
    </row>
    <row r="18" spans="1:50" ht="14" x14ac:dyDescent="0.15">
      <c r="A18" s="270" t="str">
        <f>'Tariffs Jul2021'!F12</f>
        <v>Sumo Power</v>
      </c>
      <c r="B18" s="40" t="str">
        <f>'Tariffs Jul2021'!D12</f>
        <v>Multinet Metro 1</v>
      </c>
      <c r="C18" s="40" t="str">
        <f>'Tariffs Jul2021'!G12</f>
        <v>Assure</v>
      </c>
      <c r="D18" s="59">
        <f>365*'Tariffs Jul2021'!H12/100</f>
        <v>226.3</v>
      </c>
      <c r="E18" s="59">
        <f>IF($C$5*'Tariffs Jul2021'!AK12/'Tariffs Jul2021'!AI12&gt;='Tariffs Jul2021'!J12,( 'Tariffs Jul2021'!J12*'Tariffs Jul2021'!O12/100)* 'Tariffs Jul2021'!AI12,($C$5*'Tariffs Jul2021'!AK12/'Tariffs Jul2021'!AI12*'Tariffs Jul2021'!O12/100)* 'Tariffs Jul2021'!AI12)</f>
        <v>166.90909090909091</v>
      </c>
      <c r="F18" s="59">
        <f>IF($C$5*'Tariffs Jul2021'!AK12/'Tariffs Jul2021'!AI12&lt;'Tariffs Jul2021'!J12,0,IF($C$5*'Tariffs Jul2021'!AK12/'Tariffs Jul2021'!AI12&lt;='Tariffs Jul2021'!K12,($C$5*'Tariffs Jul2021'!AK12/'Tariffs Jul2021'!AI12-'Tariffs Jul2021'!J12)*('Tariffs Jul2021'!P12/100)*'Tariffs Jul2021'!AI12,('Tariffs Jul2021'!K12-'Tariffs Jul2021'!J12)*('Tariffs Jul2021'!P12/100)*'Tariffs Jul2021'!AI12))</f>
        <v>102</v>
      </c>
      <c r="G18" s="59">
        <f>IF($C$5*'Tariffs Jul2021'!AK12/'Tariffs Jul2021'!AI12&lt;'Tariffs Jul2021'!K12,0,IF($C$5*'Tariffs Jul2021'!AK12/'Tariffs Jul2021'!AI12&lt;='Tariffs Jul2021'!L12,($C$5*'Tariffs Jul2021'!AK12/'Tariffs Jul2021'!AI12-'Tariffs Jul2021'!K12)*('Tariffs Jul2021'!Q12/100)*'Tariffs Jul2021'!AI12,('Tariffs Jul2021'!L12-'Tariffs Jul2021'!K12)*('Tariffs Jul2021'!Q12/100)*'Tariffs Jul2021'!AI12))</f>
        <v>0</v>
      </c>
      <c r="H18" s="59">
        <f>IF($C$5*'Tariffs Jul2021'!AK12/'Tariffs Jul2021'!AI12&lt;'Tariffs Jul2021'!L12,0,IF($C$5*'Tariffs Jul2021'!AK12/'Tariffs Jul2021'!AI12&lt;='Tariffs Jul2021'!M12,($C$5*'Tariffs Jul2021'!AK12/'Tariffs Jul2021'!AI12-'Tariffs Jul2021'!L12)*('Tariffs Jul2021'!R12/100)*'Tariffs Jul2021'!AI12,('Tariffs Jul2021'!M12-'Tariffs Jul2021'!L12)*('Tariffs Jul2021'!R12/100)*'Tariffs Jul2021'!AI12))</f>
        <v>0</v>
      </c>
      <c r="I18" s="59">
        <f>IF(($C$5*'Tariffs Jul2021'!AK12/'Tariffs Jul2021'!AI12&gt;'Tariffs Jul2021'!M12),($C$5*'Tariffs Jul2021'!AK12/'Tariffs Jul2021'!AI12-'Tariffs Jul2021'!M12)*'Tariffs Jul2021'!S12/100*'Tariffs Jul2021'!AI12,0)</f>
        <v>0</v>
      </c>
      <c r="J18" s="59">
        <f>IF($C$5*'Tariffs Jul2021'!AL12/'Tariffs Jul2021'!AJ12&gt;='Tariffs Jul2021'!J12,('Tariffs Jul2021'!J12*'Tariffs Jul2021'!U12/100)* 'Tariffs Jul2021'!AJ12,($C$5*'Tariffs Jul2021'!AL12/'Tariffs Jul2021'!AJ12*'Tariffs Jul2021'!U12/100)* 'Tariffs Jul2021'!AJ12)</f>
        <v>161.99999999999997</v>
      </c>
      <c r="K18" s="59">
        <f>IF($C$5*'Tariffs Jul2021'!AL12/'Tariffs Jul2021'!AJ12&lt;'Tariffs Jul2021'!J12,0,IF($C$5*'Tariffs Jul2021'!AL12/'Tariffs Jul2021'!AJ12&lt;='Tariffs Jul2021'!K12,($C$5*'Tariffs Jul2021'!AL12/'Tariffs Jul2021'!AJ12-'Tariffs Jul2021'!J12)*('Tariffs Jul2021'!V12/100)*'Tariffs Jul2021'!AJ12,('Tariffs Jul2021'!K12-'Tariffs Jul2021'!J12)*('Tariffs Jul2021'!V12/100)*'Tariffs Jul2021'!AJ12))</f>
        <v>93.272727272727266</v>
      </c>
      <c r="L18" s="59">
        <f>IF($C$5*'Tariffs Jul2021'!AL12/'Tariffs Jul2021'!AJ12&lt;'Tariffs Jul2021'!K12,0,IF($C$5*'Tariffs Jul2021'!AL12/'Tariffs Jul2021'!AJ12&lt;='Tariffs Jul2021'!L12,($C$5*'Tariffs Jul2021'!AL12/'Tariffs Jul2021'!AJ12-'Tariffs Jul2021'!K12)*('Tariffs Jul2021'!W12/100)*'Tariffs Jul2021'!AJ12,('Tariffs Jul2021'!L12-'Tariffs Jul2021'!K12)*('Tariffs Jul2021'!W12/100)*'Tariffs Jul2021'!AJ12))</f>
        <v>0</v>
      </c>
      <c r="M18" s="59">
        <f>IF($C$5*'Tariffs Jul2021'!AL12/'Tariffs Jul2021'!AJ12&lt;'Tariffs Jul2021'!L12,0,IF($C$5*'Tariffs Jul2021'!AL12/'Tariffs Jul2021'!AJ12&lt;='Tariffs Jul2021'!M12,($C$5*'Tariffs Jul2021'!AL12/'Tariffs Jul2021'!AJ12-'Tariffs Jul2021'!L12)*('Tariffs Jul2021'!X12/100)*'Tariffs Jul2021'!AJ12,('Tariffs Jul2021'!M12-'Tariffs Jul2021'!L12)*('Tariffs Jul2021'!X12/100)*'Tariffs Jul2021'!AJ12))</f>
        <v>0</v>
      </c>
      <c r="N18" s="59">
        <f>IF(($C$5*'Tariffs Jul2021'!AL12/'Tariffs Jul2021'!AJ12&gt;'Tariffs Jul2021'!M12),($C$5*'Tariffs Jul2021'!AL12/'Tariffs Jul2021'!AJ12-'Tariffs Jul2021'!M12)*'Tariffs Jul2021'!Y12/100*'Tariffs Jul2021'!AJ12,0)</f>
        <v>0</v>
      </c>
      <c r="O18" s="59">
        <f t="shared" si="1"/>
        <v>524.18181818181813</v>
      </c>
      <c r="P18" s="503">
        <f t="shared" si="2"/>
        <v>576.6</v>
      </c>
      <c r="Q18" s="59">
        <f t="shared" si="3"/>
        <v>750.4818181818182</v>
      </c>
      <c r="R18" s="272">
        <f t="shared" si="4"/>
        <v>825.53000000000009</v>
      </c>
      <c r="S18" s="40">
        <f>'Tariffs Jul2021'!AN12</f>
        <v>0</v>
      </c>
      <c r="T18" s="40">
        <f>'Tariffs Jul2021'!AO12</f>
        <v>0</v>
      </c>
      <c r="U18" s="40">
        <f>'Tariffs Jul2021'!AP12</f>
        <v>0</v>
      </c>
      <c r="V18" s="40">
        <f>'Tariffs Jul2021'!AQ12</f>
        <v>0</v>
      </c>
      <c r="W18" s="537" t="str">
        <f t="shared" si="5"/>
        <v>No discount</v>
      </c>
      <c r="X18" s="538" t="str">
        <f t="shared" si="6"/>
        <v>Exclusive</v>
      </c>
      <c r="Y18" s="534">
        <f t="shared" si="13"/>
        <v>750.4818181818182</v>
      </c>
      <c r="Z18" s="535">
        <f t="shared" si="14"/>
        <v>750.4818181818182</v>
      </c>
      <c r="AA18" s="542">
        <f t="shared" si="0"/>
        <v>825.53000000000009</v>
      </c>
      <c r="AB18" s="542">
        <f t="shared" si="0"/>
        <v>825.53000000000009</v>
      </c>
      <c r="AC18" s="274">
        <f>'Tariffs Jul2021'!AZ12</f>
        <v>0</v>
      </c>
      <c r="AD18" s="274" t="str">
        <f>'Tariffs Jul2021'!BA12</f>
        <v>n</v>
      </c>
      <c r="AE18" s="275" t="str">
        <f>'Tariffs Jul2021'!BJ12</f>
        <v>Y</v>
      </c>
      <c r="AF18" s="574"/>
      <c r="AG18" s="574"/>
      <c r="AH18" s="574"/>
      <c r="AI18" s="574"/>
      <c r="AJ18" s="574"/>
      <c r="AK18" s="574"/>
      <c r="AL18" s="574"/>
      <c r="AM18" s="574"/>
      <c r="AN18" s="574"/>
      <c r="AO18" s="574"/>
      <c r="AP18" s="574"/>
      <c r="AQ18" s="574"/>
      <c r="AR18" s="574"/>
      <c r="AS18" s="574"/>
      <c r="AT18" s="574"/>
      <c r="AU18" s="574"/>
      <c r="AV18" s="574"/>
      <c r="AW18" s="574"/>
      <c r="AX18" s="574"/>
    </row>
    <row r="19" spans="1:50" ht="14" x14ac:dyDescent="0.15">
      <c r="A19" s="270" t="str">
        <f>'Tariffs Jul2021'!F13</f>
        <v>GloBird Energy</v>
      </c>
      <c r="B19" s="40" t="str">
        <f>'Tariffs Jul2021'!D13</f>
        <v>Multinet Metro 1</v>
      </c>
      <c r="C19" s="40" t="str">
        <f>'Tariffs Jul2021'!G13</f>
        <v>GloSave</v>
      </c>
      <c r="D19" s="59">
        <f>365*'Tariffs Jul2021'!H13/100</f>
        <v>189.8</v>
      </c>
      <c r="E19" s="59">
        <f>IF($C$5*'Tariffs Jul2021'!AK13/'Tariffs Jul2021'!AI13&gt;='Tariffs Jul2021'!J13,( 'Tariffs Jul2021'!J13*'Tariffs Jul2021'!O13/100)* 'Tariffs Jul2021'!AI13,($C$5*'Tariffs Jul2021'!AK13/'Tariffs Jul2021'!AI13*'Tariffs Jul2021'!O13/100)* 'Tariffs Jul2021'!AI13)</f>
        <v>259.09090909090907</v>
      </c>
      <c r="F19" s="59">
        <f>IF($C$5*'Tariffs Jul2021'!AK13/'Tariffs Jul2021'!AI13&lt;'Tariffs Jul2021'!J13,0,IF($C$5*'Tariffs Jul2021'!AK13/'Tariffs Jul2021'!AI13&lt;='Tariffs Jul2021'!K13,($C$5*'Tariffs Jul2021'!AK13/'Tariffs Jul2021'!AI13-'Tariffs Jul2021'!J13)*('Tariffs Jul2021'!P13/100)*'Tariffs Jul2021'!AI13,('Tariffs Jul2021'!K13-'Tariffs Jul2021'!J13)*('Tariffs Jul2021'!P13/100)*'Tariffs Jul2021'!AI13))</f>
        <v>0</v>
      </c>
      <c r="G19" s="59">
        <f>IF($C$5*'Tariffs Jul2021'!AK13/'Tariffs Jul2021'!AI13&lt;'Tariffs Jul2021'!K13,0,IF($C$5*'Tariffs Jul2021'!AK13/'Tariffs Jul2021'!AI13&lt;='Tariffs Jul2021'!L13,($C$5*'Tariffs Jul2021'!AK13/'Tariffs Jul2021'!AI13-'Tariffs Jul2021'!K13)*('Tariffs Jul2021'!Q13/100)*'Tariffs Jul2021'!AI13,('Tariffs Jul2021'!L13-'Tariffs Jul2021'!K13)*('Tariffs Jul2021'!Q13/100)*'Tariffs Jul2021'!AI13))</f>
        <v>0</v>
      </c>
      <c r="H19" s="59">
        <f>IF($C$5*'Tariffs Jul2021'!AK13/'Tariffs Jul2021'!AI13&lt;'Tariffs Jul2021'!L13,0,IF($C$5*'Tariffs Jul2021'!AK13/'Tariffs Jul2021'!AI13&lt;='Tariffs Jul2021'!M13,($C$5*'Tariffs Jul2021'!AK13/'Tariffs Jul2021'!AI13-'Tariffs Jul2021'!L13)*('Tariffs Jul2021'!R13/100)*'Tariffs Jul2021'!AI13,('Tariffs Jul2021'!M13-'Tariffs Jul2021'!L13)*('Tariffs Jul2021'!R13/100)*'Tariffs Jul2021'!AI13))</f>
        <v>0</v>
      </c>
      <c r="I19" s="59">
        <f>IF(($C$5*'Tariffs Jul2021'!AK13/'Tariffs Jul2021'!AI13&gt;'Tariffs Jul2021'!M13),($C$5*'Tariffs Jul2021'!AK13/'Tariffs Jul2021'!AI13-'Tariffs Jul2021'!M13)*'Tariffs Jul2021'!S13/100*'Tariffs Jul2021'!AI13,0)</f>
        <v>0</v>
      </c>
      <c r="J19" s="59">
        <f>IF($C$5*'Tariffs Jul2021'!AL13/'Tariffs Jul2021'!AJ13&gt;='Tariffs Jul2021'!J13,('Tariffs Jul2021'!J13*'Tariffs Jul2021'!U13/100)* 'Tariffs Jul2021'!AJ13,($C$5*'Tariffs Jul2021'!AL13/'Tariffs Jul2021'!AJ13*'Tariffs Jul2021'!U13/100)* 'Tariffs Jul2021'!AJ13)</f>
        <v>259.09090909090907</v>
      </c>
      <c r="K19" s="59">
        <f>IF($C$5*'Tariffs Jul2021'!AL13/'Tariffs Jul2021'!AJ13&lt;'Tariffs Jul2021'!J13,0,IF($C$5*'Tariffs Jul2021'!AL13/'Tariffs Jul2021'!AJ13&lt;='Tariffs Jul2021'!K13,($C$5*'Tariffs Jul2021'!AL13/'Tariffs Jul2021'!AJ13-'Tariffs Jul2021'!J13)*('Tariffs Jul2021'!V13/100)*'Tariffs Jul2021'!AJ13,('Tariffs Jul2021'!K13-'Tariffs Jul2021'!J13)*('Tariffs Jul2021'!V13/100)*'Tariffs Jul2021'!AJ13))</f>
        <v>0</v>
      </c>
      <c r="L19" s="59">
        <f>IF($C$5*'Tariffs Jul2021'!AL13/'Tariffs Jul2021'!AJ13&lt;'Tariffs Jul2021'!K13,0,IF($C$5*'Tariffs Jul2021'!AL13/'Tariffs Jul2021'!AJ13&lt;='Tariffs Jul2021'!L13,($C$5*'Tariffs Jul2021'!AL13/'Tariffs Jul2021'!AJ13-'Tariffs Jul2021'!K13)*('Tariffs Jul2021'!W13/100)*'Tariffs Jul2021'!AJ13,('Tariffs Jul2021'!L13-'Tariffs Jul2021'!K13)*('Tariffs Jul2021'!W13/100)*'Tariffs Jul2021'!AJ13))</f>
        <v>0</v>
      </c>
      <c r="M19" s="59">
        <f>IF($C$5*'Tariffs Jul2021'!AL13/'Tariffs Jul2021'!AJ13&lt;'Tariffs Jul2021'!L13,0,IF($C$5*'Tariffs Jul2021'!AL13/'Tariffs Jul2021'!AJ13&lt;='Tariffs Jul2021'!M13,($C$5*'Tariffs Jul2021'!AL13/'Tariffs Jul2021'!AJ13-'Tariffs Jul2021'!L13)*('Tariffs Jul2021'!X13/100)*'Tariffs Jul2021'!AJ13,('Tariffs Jul2021'!M13-'Tariffs Jul2021'!L13)*('Tariffs Jul2021'!X13/100)*'Tariffs Jul2021'!AJ13))</f>
        <v>0</v>
      </c>
      <c r="N19" s="59">
        <f>IF(($C$5*'Tariffs Jul2021'!AL13/'Tariffs Jul2021'!AJ13&gt;'Tariffs Jul2021'!M13),($C$5*'Tariffs Jul2021'!AL13/'Tariffs Jul2021'!AJ13-'Tariffs Jul2021'!M13)*'Tariffs Jul2021'!Y13/100*'Tariffs Jul2021'!AJ13,0)</f>
        <v>0</v>
      </c>
      <c r="O19" s="59">
        <f>SUM(E19:N19)</f>
        <v>518.18181818181813</v>
      </c>
      <c r="P19" s="503">
        <f t="shared" si="2"/>
        <v>570</v>
      </c>
      <c r="Q19" s="59">
        <f>D19+O19</f>
        <v>707.9818181818182</v>
      </c>
      <c r="R19" s="272">
        <f t="shared" si="4"/>
        <v>778.78000000000009</v>
      </c>
      <c r="S19" s="40">
        <f>'Tariffs Jul2021'!AN13</f>
        <v>0</v>
      </c>
      <c r="T19" s="40">
        <f>'Tariffs Jul2021'!AO13</f>
        <v>0</v>
      </c>
      <c r="U19" s="40">
        <f>'Tariffs Jul2021'!AP13</f>
        <v>0</v>
      </c>
      <c r="V19" s="40">
        <f>'Tariffs Jul2021'!AQ13</f>
        <v>0</v>
      </c>
      <c r="W19" s="537" t="str">
        <f t="shared" si="5"/>
        <v>No discount</v>
      </c>
      <c r="X19" s="538" t="str">
        <f t="shared" si="6"/>
        <v>Exclusive</v>
      </c>
      <c r="Y19" s="534">
        <f t="shared" si="13"/>
        <v>707.9818181818182</v>
      </c>
      <c r="Z19" s="535">
        <f t="shared" si="14"/>
        <v>707.9818181818182</v>
      </c>
      <c r="AA19" s="542">
        <f t="shared" si="0"/>
        <v>778.78000000000009</v>
      </c>
      <c r="AB19" s="542">
        <f t="shared" si="0"/>
        <v>778.78000000000009</v>
      </c>
      <c r="AC19" s="274">
        <f>'Tariffs Jul2021'!AZ13</f>
        <v>0</v>
      </c>
      <c r="AD19" s="274" t="str">
        <f>'Tariffs Jul2021'!BA13</f>
        <v>n</v>
      </c>
      <c r="AE19" s="275" t="str">
        <f>'Tariffs Jul2021'!BJ13</f>
        <v>N</v>
      </c>
      <c r="AF19" s="574"/>
      <c r="AG19" s="574"/>
      <c r="AH19" s="574"/>
      <c r="AI19" s="574"/>
      <c r="AJ19" s="574"/>
      <c r="AK19" s="574"/>
      <c r="AL19" s="574"/>
      <c r="AM19" s="574"/>
      <c r="AN19" s="574"/>
      <c r="AO19" s="574"/>
      <c r="AP19" s="574"/>
      <c r="AQ19" s="574"/>
      <c r="AR19" s="574"/>
      <c r="AS19" s="574"/>
      <c r="AT19" s="574"/>
      <c r="AU19" s="574"/>
      <c r="AV19" s="574"/>
      <c r="AW19" s="574"/>
      <c r="AX19" s="574"/>
    </row>
    <row r="20" spans="1:50" ht="14" x14ac:dyDescent="0.15">
      <c r="A20" s="270" t="str">
        <f>'Tariffs Jul2021'!F14</f>
        <v>Powershop</v>
      </c>
      <c r="B20" s="40" t="str">
        <f>'Tariffs Jul2021'!D14</f>
        <v>Multinet Metro 1</v>
      </c>
      <c r="C20" s="40" t="str">
        <f>'Tariffs Jul2021'!G14</f>
        <v>Market offer</v>
      </c>
      <c r="D20" s="59">
        <f>365*'Tariffs Jul2021'!H14/100</f>
        <v>241.09909090909088</v>
      </c>
      <c r="E20" s="59">
        <f>((C$5*'Tariffs Jul2021'!AK14/'Tariffs Jul2021'!AI14)*('Tariffs Jul2021'!O14/100))*'Tariffs Jul2021'!AI14</f>
        <v>260.45454545454544</v>
      </c>
      <c r="F20" s="59">
        <v>0</v>
      </c>
      <c r="G20" s="59">
        <v>0</v>
      </c>
      <c r="H20" s="59">
        <v>0</v>
      </c>
      <c r="I20" s="59">
        <v>0</v>
      </c>
      <c r="J20" s="59">
        <f>((C$5*'Tariffs Jul2021'!AL14/'Tariffs Jul2021'!AJ14)*('Tariffs Jul2021'!U14/100))*'Tariffs Jul2021'!AJ14</f>
        <v>234.5454545454545</v>
      </c>
      <c r="K20" s="59">
        <v>0</v>
      </c>
      <c r="L20" s="59">
        <v>0</v>
      </c>
      <c r="M20" s="59">
        <v>0</v>
      </c>
      <c r="N20" s="59">
        <v>0</v>
      </c>
      <c r="O20" s="59">
        <f>SUM(E20:N20)</f>
        <v>494.99999999999994</v>
      </c>
      <c r="P20" s="503">
        <f t="shared" si="2"/>
        <v>544.5</v>
      </c>
      <c r="Q20" s="59">
        <f>D20+O20</f>
        <v>736.09909090909082</v>
      </c>
      <c r="R20" s="272">
        <f t="shared" si="4"/>
        <v>809.70899999999995</v>
      </c>
      <c r="S20" s="40">
        <f>'Tariffs Jul2021'!AN14</f>
        <v>0</v>
      </c>
      <c r="T20" s="40">
        <f>'Tariffs Jul2021'!AO14</f>
        <v>0</v>
      </c>
      <c r="U20" s="40">
        <f>'Tariffs Jul2021'!AP14</f>
        <v>0</v>
      </c>
      <c r="V20" s="40">
        <f>'Tariffs Jul2021'!AQ14</f>
        <v>0</v>
      </c>
      <c r="W20" s="537" t="str">
        <f t="shared" si="5"/>
        <v>No discount</v>
      </c>
      <c r="X20" s="538" t="str">
        <f t="shared" si="6"/>
        <v>Inclusive</v>
      </c>
      <c r="Y20" s="534">
        <f>IF(AND(W20="Guaranteed off bill",X20="Inclusive"),((Q20*1.1)-((Q20*1.1)*S20/100))/1.1,IF(AND(W20="Guaranteed off usage",X20="Inclusive"),((Q20*1.1)-((P20*1.1)*T20/100))/1.1,IF(AND(W20="Guaranteed off bill",X20="Exclusive"),Q20-(Q20*S20/100),IF(AND(W20="Guaranteed off usage",X20="Exclusive"),Q20-(P20*T20/100),IF(X20="Inclusive",((Q20*1.1))/1.1,Q20)))))</f>
        <v>736.09909090909082</v>
      </c>
      <c r="Z20" s="535">
        <f>IF(AND(W20="Pay-on-time off bill",X20="Inclusive"),((Y20*1.1)-((Y20*1.1)*U20/100))/1.1,IF(AND(W20="Pay-on-time off usage",X20="Inclusive"),((Y20*1.1)-((P20*1.1)*V20/100))/1.1,IF(AND(W20="Pay-on-time off bill",X20="Exclusive"),Y20-(Y20*U20/100),IF(AND(W20="Pay-on-time off usage",X20="Exclusive"),Y20-(P20*V20/100),IF(X20="Inclusive",((Y20*1.1))/1.1,Y20)))))</f>
        <v>736.09909090909082</v>
      </c>
      <c r="AA20" s="542">
        <f t="shared" si="0"/>
        <v>809.70899999999995</v>
      </c>
      <c r="AB20" s="542">
        <f t="shared" si="0"/>
        <v>809.70899999999995</v>
      </c>
      <c r="AC20" s="274">
        <f>'Tariffs Jul2021'!AZ14</f>
        <v>0</v>
      </c>
      <c r="AD20" s="274" t="str">
        <f>'Tariffs Jul2021'!BA14</f>
        <v>n</v>
      </c>
      <c r="AE20" s="275" t="str">
        <f>'Tariffs Jul2021'!BJ14</f>
        <v>Y</v>
      </c>
      <c r="AF20" s="574"/>
      <c r="AG20" s="574"/>
      <c r="AH20" s="574"/>
      <c r="AI20" s="574"/>
      <c r="AJ20" s="574"/>
      <c r="AK20" s="574"/>
      <c r="AL20" s="574"/>
      <c r="AM20" s="574"/>
      <c r="AN20" s="574"/>
      <c r="AO20" s="574"/>
      <c r="AP20" s="574"/>
      <c r="AQ20" s="574"/>
      <c r="AR20" s="574"/>
      <c r="AS20" s="574"/>
      <c r="AT20" s="574"/>
      <c r="AU20" s="574"/>
      <c r="AV20" s="574"/>
      <c r="AW20" s="574"/>
      <c r="AX20" s="574"/>
    </row>
    <row r="21" spans="1:50" ht="14" x14ac:dyDescent="0.15">
      <c r="A21" s="270" t="str">
        <f>'Tariffs Jul2021'!F15</f>
        <v>1st Energy</v>
      </c>
      <c r="B21" s="40" t="str">
        <f>'Tariffs Jul2021'!D15</f>
        <v>Multinet Metro 1</v>
      </c>
      <c r="C21" s="40" t="str">
        <f>'Tariffs Jul2021'!G15</f>
        <v>1st Saver Plus</v>
      </c>
      <c r="D21" s="59">
        <f>365*'Tariffs Jul2021'!H15/100</f>
        <v>259.14999999999998</v>
      </c>
      <c r="E21" s="59">
        <f>IF($C$5*'Tariffs Jul2021'!AK15/'Tariffs Jul2021'!AI15&gt;='Tariffs Jul2021'!J15,( 'Tariffs Jul2021'!J15*'Tariffs Jul2021'!O15/100)* 'Tariffs Jul2021'!AI15,($C$5*'Tariffs Jul2021'!AK15/'Tariffs Jul2021'!AI15*'Tariffs Jul2021'!O15/100)* 'Tariffs Jul2021'!AI15)</f>
        <v>221.72727272727272</v>
      </c>
      <c r="F21" s="59">
        <f>IF($C$5*'Tariffs Jul2021'!AK15/'Tariffs Jul2021'!AI15&lt;'Tariffs Jul2021'!J15,0,IF($C$5*'Tariffs Jul2021'!AK15/'Tariffs Jul2021'!AI15&lt;='Tariffs Jul2021'!K15,($C$5*'Tariffs Jul2021'!AK15/'Tariffs Jul2021'!AI15-'Tariffs Jul2021'!J15)*('Tariffs Jul2021'!P15/100)*'Tariffs Jul2021'!AI15,('Tariffs Jul2021'!K15-'Tariffs Jul2021'!J15)*('Tariffs Jul2021'!P15/100)*'Tariffs Jul2021'!AI15))</f>
        <v>129.81818181818181</v>
      </c>
      <c r="G21" s="59">
        <f>IF($C$5*'Tariffs Jul2021'!AK15/'Tariffs Jul2021'!AI15&lt;'Tariffs Jul2021'!K15,0,IF($C$5*'Tariffs Jul2021'!AK15/'Tariffs Jul2021'!AI15&lt;='Tariffs Jul2021'!L15,($C$5*'Tariffs Jul2021'!AK15/'Tariffs Jul2021'!AI15-'Tariffs Jul2021'!K15)*('Tariffs Jul2021'!Q15/100)*'Tariffs Jul2021'!AI15,('Tariffs Jul2021'!L15-'Tariffs Jul2021'!K15)*('Tariffs Jul2021'!Q15/100)*'Tariffs Jul2021'!AI15))</f>
        <v>0</v>
      </c>
      <c r="H21" s="59">
        <f>IF($C$5*'Tariffs Jul2021'!AK15/'Tariffs Jul2021'!AI15&lt;'Tariffs Jul2021'!L15,0,IF($C$5*'Tariffs Jul2021'!AK15/'Tariffs Jul2021'!AI15&lt;='Tariffs Jul2021'!M15,($C$5*'Tariffs Jul2021'!AK15/'Tariffs Jul2021'!AI15-'Tariffs Jul2021'!L15)*('Tariffs Jul2021'!R15/100)*'Tariffs Jul2021'!AI15,('Tariffs Jul2021'!M15-'Tariffs Jul2021'!L15)*('Tariffs Jul2021'!R15/100)*'Tariffs Jul2021'!AI15))</f>
        <v>0</v>
      </c>
      <c r="I21" s="59">
        <f>IF(($C$5*'Tariffs Jul2021'!AK15/'Tariffs Jul2021'!AI15&gt;'Tariffs Jul2021'!M15),($C$5*'Tariffs Jul2021'!AK15/'Tariffs Jul2021'!AI15-'Tariffs Jul2021'!M15)*'Tariffs Jul2021'!S15/100*'Tariffs Jul2021'!AI15,0)</f>
        <v>0</v>
      </c>
      <c r="J21" s="59">
        <f>IF($C$5*'Tariffs Jul2021'!AL15/'Tariffs Jul2021'!AJ15&gt;='Tariffs Jul2021'!J15,('Tariffs Jul2021'!J15*'Tariffs Jul2021'!U15/100)* 'Tariffs Jul2021'!AJ15,($C$5*'Tariffs Jul2021'!AL15/'Tariffs Jul2021'!AJ15*'Tariffs Jul2021'!U15/100)* 'Tariffs Jul2021'!AJ15)</f>
        <v>221.72727272727272</v>
      </c>
      <c r="K21" s="59">
        <f>IF($C$5*'Tariffs Jul2021'!AL15/'Tariffs Jul2021'!AJ15&lt;'Tariffs Jul2021'!J15,0,IF($C$5*'Tariffs Jul2021'!AL15/'Tariffs Jul2021'!AJ15&lt;='Tariffs Jul2021'!K15,($C$5*'Tariffs Jul2021'!AL15/'Tariffs Jul2021'!AJ15-'Tariffs Jul2021'!J15)*('Tariffs Jul2021'!V15/100)*'Tariffs Jul2021'!AJ15,('Tariffs Jul2021'!K15-'Tariffs Jul2021'!J15)*('Tariffs Jul2021'!V15/100)*'Tariffs Jul2021'!AJ15))</f>
        <v>129.81818181818181</v>
      </c>
      <c r="L21" s="59">
        <f>IF($C$5*'Tariffs Jul2021'!AL15/'Tariffs Jul2021'!AJ15&lt;'Tariffs Jul2021'!K15,0,IF($C$5*'Tariffs Jul2021'!AL15/'Tariffs Jul2021'!AJ15&lt;='Tariffs Jul2021'!L15,($C$5*'Tariffs Jul2021'!AL15/'Tariffs Jul2021'!AJ15-'Tariffs Jul2021'!K15)*('Tariffs Jul2021'!W15/100)*'Tariffs Jul2021'!AJ15,('Tariffs Jul2021'!L15-'Tariffs Jul2021'!K15)*('Tariffs Jul2021'!W15/100)*'Tariffs Jul2021'!AJ15))</f>
        <v>0</v>
      </c>
      <c r="M21" s="59">
        <f>IF($C$5*'Tariffs Jul2021'!AL15/'Tariffs Jul2021'!AJ15&lt;'Tariffs Jul2021'!L15,0,IF($C$5*'Tariffs Jul2021'!AL15/'Tariffs Jul2021'!AJ15&lt;='Tariffs Jul2021'!M15,($C$5*'Tariffs Jul2021'!AL15/'Tariffs Jul2021'!AJ15-'Tariffs Jul2021'!L15)*('Tariffs Jul2021'!X15/100)*'Tariffs Jul2021'!AJ15,('Tariffs Jul2021'!M15-'Tariffs Jul2021'!L15)*('Tariffs Jul2021'!X15/100)*'Tariffs Jul2021'!AJ15))</f>
        <v>0</v>
      </c>
      <c r="N21" s="59">
        <f>IF(($C$5*'Tariffs Jul2021'!AL15/'Tariffs Jul2021'!AJ15&gt;'Tariffs Jul2021'!M15),($C$5*'Tariffs Jul2021'!AL15/'Tariffs Jul2021'!AJ15-'Tariffs Jul2021'!M15)*'Tariffs Jul2021'!Y15/100*'Tariffs Jul2021'!AJ15,0)</f>
        <v>0</v>
      </c>
      <c r="O21" s="59">
        <f t="shared" si="1"/>
        <v>703.09090909090901</v>
      </c>
      <c r="P21" s="503">
        <f t="shared" si="2"/>
        <v>773.4</v>
      </c>
      <c r="Q21" s="59">
        <f t="shared" si="3"/>
        <v>962.24090909090899</v>
      </c>
      <c r="R21" s="272">
        <f t="shared" si="4"/>
        <v>1058.4649999999999</v>
      </c>
      <c r="S21" s="40">
        <f>'Tariffs Jul2021'!AN15</f>
        <v>0</v>
      </c>
      <c r="T21" s="40">
        <f>'Tariffs Jul2021'!AO15</f>
        <v>12</v>
      </c>
      <c r="U21" s="40">
        <f>'Tariffs Jul2021'!AP15</f>
        <v>0</v>
      </c>
      <c r="V21" s="40">
        <f>'Tariffs Jul2021'!AQ15</f>
        <v>3</v>
      </c>
      <c r="W21" s="537" t="str">
        <f t="shared" si="5"/>
        <v>Guaranteed off usage</v>
      </c>
      <c r="X21" s="538" t="str">
        <f t="shared" si="6"/>
        <v>Exclusive</v>
      </c>
      <c r="Y21" s="534">
        <f>Q21-(P21*T21)/100</f>
        <v>869.43290909090899</v>
      </c>
      <c r="Z21" s="535">
        <f>Y21-(P21*V21)/100</f>
        <v>846.23090909090899</v>
      </c>
      <c r="AA21" s="542">
        <f t="shared" si="0"/>
        <v>956.37619999999993</v>
      </c>
      <c r="AB21" s="542">
        <f t="shared" si="0"/>
        <v>930.85399999999993</v>
      </c>
      <c r="AC21" s="274">
        <f>'Tariffs Jul2021'!AZ15</f>
        <v>0</v>
      </c>
      <c r="AD21" s="274" t="str">
        <f>'Tariffs Jul2021'!BA15</f>
        <v>n</v>
      </c>
      <c r="AE21" s="275" t="str">
        <f>'Tariffs Jul2021'!BJ15</f>
        <v>Y</v>
      </c>
      <c r="AF21" s="574"/>
      <c r="AG21" s="574"/>
      <c r="AH21" s="574"/>
      <c r="AI21" s="574"/>
      <c r="AJ21" s="574"/>
      <c r="AK21" s="574"/>
      <c r="AL21" s="574"/>
      <c r="AM21" s="574"/>
      <c r="AN21" s="574"/>
      <c r="AO21" s="574"/>
      <c r="AP21" s="574"/>
      <c r="AQ21" s="574"/>
      <c r="AR21" s="574"/>
      <c r="AS21" s="574"/>
      <c r="AT21" s="574"/>
      <c r="AU21" s="574"/>
      <c r="AV21" s="574"/>
      <c r="AW21" s="574"/>
      <c r="AX21" s="574"/>
    </row>
    <row r="22" spans="1:50" ht="14" x14ac:dyDescent="0.15">
      <c r="A22" s="270" t="str">
        <f>'Tariffs Jul2021'!F16</f>
        <v>Kogan Energy</v>
      </c>
      <c r="B22" s="40" t="str">
        <f>'Tariffs Jul2021'!D16</f>
        <v>Multinet Metro 1</v>
      </c>
      <c r="C22" s="40" t="str">
        <f>'Tariffs Jul2021'!G16</f>
        <v>Market offer</v>
      </c>
      <c r="D22" s="59">
        <f>365*'Tariffs Jul2021'!H16/100</f>
        <v>214.22181818181815</v>
      </c>
      <c r="E22" s="59">
        <f>((C$5*'Tariffs Jul2021'!AK16/'Tariffs Jul2021'!AI16)*('Tariffs Jul2021'!O16/100))*'Tariffs Jul2021'!AI16</f>
        <v>302.72727272727269</v>
      </c>
      <c r="F22" s="59">
        <v>0</v>
      </c>
      <c r="G22" s="59">
        <v>0</v>
      </c>
      <c r="H22" s="59">
        <v>0</v>
      </c>
      <c r="I22" s="59">
        <v>0</v>
      </c>
      <c r="J22" s="59">
        <f>((C$5*'Tariffs Jul2021'!AL16/'Tariffs Jul2021'!AJ16)*('Tariffs Jul2021'!U16/100))*'Tariffs Jul2021'!AJ16</f>
        <v>280.90909090909088</v>
      </c>
      <c r="K22" s="59">
        <v>0</v>
      </c>
      <c r="L22" s="59">
        <v>0</v>
      </c>
      <c r="M22" s="59">
        <v>0</v>
      </c>
      <c r="N22" s="59">
        <v>0</v>
      </c>
      <c r="O22" s="59">
        <f>SUM(E22:N22)</f>
        <v>583.63636363636351</v>
      </c>
      <c r="P22" s="503">
        <f t="shared" si="2"/>
        <v>641.99999999999989</v>
      </c>
      <c r="Q22" s="59">
        <f>D22+O22</f>
        <v>797.85818181818172</v>
      </c>
      <c r="R22" s="272">
        <f t="shared" si="4"/>
        <v>877.64400000000001</v>
      </c>
      <c r="S22" s="40">
        <f>'Tariffs Jul2021'!AN16</f>
        <v>0</v>
      </c>
      <c r="T22" s="40">
        <f>'Tariffs Jul2021'!AO16</f>
        <v>0</v>
      </c>
      <c r="U22" s="40">
        <f>'Tariffs Jul2021'!AP16</f>
        <v>0</v>
      </c>
      <c r="V22" s="40">
        <f>'Tariffs Jul2021'!AQ16</f>
        <v>0</v>
      </c>
      <c r="W22" s="537" t="str">
        <f t="shared" si="5"/>
        <v>No discount</v>
      </c>
      <c r="X22" s="538" t="str">
        <f t="shared" si="6"/>
        <v>Exclusive</v>
      </c>
      <c r="Y22" s="534">
        <f t="shared" ref="Y22:Y23" si="15">IF(AND(W22="Guaranteed off bill",X22="Inclusive"),((Q22*1.1)-((Q22*1.1)*S22/100))/1.1,IF(AND(W22="Guaranteed off usage",X22="Inclusive"),((Q22*1.1)-((P22*1.1)*T22/100))/1.1,IF(AND(W22="Guaranteed off bill",X22="Exclusive"),Q22-(Q22*S22/100),IF(AND(W22="Guaranteed off usage",X22="Exclusive"),Q22-(P22*T22/100),IF(X22="Inclusive",((Q22*1.1))/1.1,Q22)))))</f>
        <v>797.85818181818172</v>
      </c>
      <c r="Z22" s="535">
        <f t="shared" ref="Z22:Z23" si="16">IF(AND(W22="Pay-on-time off bill",X22="Inclusive"),((Y22*1.1)-((Y22*1.1)*U22/100))/1.1,IF(AND(W22="Pay-on-time off usage",X22="Inclusive"),((Y22*1.1)-((P22*1.1)*V22/100))/1.1,IF(AND(W22="Pay-on-time off bill",X22="Exclusive"),Y22-(Y22*U22/100),IF(AND(W22="Pay-on-time off usage",X22="Exclusive"),Y22-(P22*V22/100),IF(X22="Inclusive",((Y22*1.1))/1.1,Y22)))))</f>
        <v>797.85818181818172</v>
      </c>
      <c r="AA22" s="542">
        <f t="shared" si="0"/>
        <v>877.64400000000001</v>
      </c>
      <c r="AB22" s="542">
        <f t="shared" si="0"/>
        <v>877.64400000000001</v>
      </c>
      <c r="AC22" s="274">
        <f>'Tariffs Jul2021'!AZ16</f>
        <v>0</v>
      </c>
      <c r="AD22" s="274" t="str">
        <f>'Tariffs Jul2021'!BA16</f>
        <v>n</v>
      </c>
      <c r="AE22" s="275" t="str">
        <f>'Tariffs Jul2021'!BJ16</f>
        <v>N</v>
      </c>
      <c r="AF22" s="574"/>
      <c r="AG22" s="574"/>
      <c r="AH22" s="574"/>
      <c r="AI22" s="574"/>
      <c r="AJ22" s="574"/>
      <c r="AK22" s="574"/>
      <c r="AL22" s="574"/>
      <c r="AM22" s="574"/>
      <c r="AN22" s="574"/>
      <c r="AO22" s="574"/>
      <c r="AP22" s="574"/>
      <c r="AQ22" s="574"/>
      <c r="AR22" s="574"/>
      <c r="AS22" s="574"/>
      <c r="AT22" s="574"/>
      <c r="AU22" s="574"/>
      <c r="AV22" s="574"/>
      <c r="AW22" s="574"/>
      <c r="AX22" s="574"/>
    </row>
    <row r="23" spans="1:50" ht="15" thickBot="1" x14ac:dyDescent="0.2">
      <c r="A23" s="276" t="str">
        <f>'Tariffs Jul2021'!F17</f>
        <v>Tango Energy</v>
      </c>
      <c r="B23" s="277" t="str">
        <f>'Tariffs Jul2021'!D17</f>
        <v>Multinet Metro 1</v>
      </c>
      <c r="C23" s="277" t="str">
        <f>'Tariffs Jul2021'!G17</f>
        <v>Home Select</v>
      </c>
      <c r="D23" s="278">
        <f>365*'Tariffs Jul2021'!H17/100</f>
        <v>237.25</v>
      </c>
      <c r="E23" s="278">
        <f>IF($C$5*'Tariffs Jul2021'!AK17/'Tariffs Jul2021'!AI17&gt;='Tariffs Jul2021'!J17,( 'Tariffs Jul2021'!J17*'Tariffs Jul2021'!O17/100)* 'Tariffs Jul2021'!AI17,($C$5*'Tariffs Jul2021'!AK17/'Tariffs Jul2021'!AI17*'Tariffs Jul2021'!O17/100)* 'Tariffs Jul2021'!AI17)</f>
        <v>151.36363636363637</v>
      </c>
      <c r="F23" s="278">
        <f>IF($C$5*'Tariffs Jul2021'!AK17/'Tariffs Jul2021'!AI17&lt;'Tariffs Jul2021'!J17,0,IF($C$5*'Tariffs Jul2021'!AK17/'Tariffs Jul2021'!AI17&lt;='Tariffs Jul2021'!K17,($C$5*'Tariffs Jul2021'!AK17/'Tariffs Jul2021'!AI17-'Tariffs Jul2021'!J17)*('Tariffs Jul2021'!P17/100)*'Tariffs Jul2021'!AI17,('Tariffs Jul2021'!K17-'Tariffs Jul2021'!J17)*('Tariffs Jul2021'!P17/100)*'Tariffs Jul2021'!AI17))</f>
        <v>88.909090909090907</v>
      </c>
      <c r="G23" s="278">
        <f>IF($C$5*'Tariffs Jul2021'!AK17/'Tariffs Jul2021'!AI17&lt;'Tariffs Jul2021'!K17,0,IF($C$5*'Tariffs Jul2021'!AK17/'Tariffs Jul2021'!AI17&lt;='Tariffs Jul2021'!L17,($C$5*'Tariffs Jul2021'!AK17/'Tariffs Jul2021'!AI17-'Tariffs Jul2021'!K17)*('Tariffs Jul2021'!Q17/100)*'Tariffs Jul2021'!AI17,('Tariffs Jul2021'!L17-'Tariffs Jul2021'!K17)*('Tariffs Jul2021'!Q17/100)*'Tariffs Jul2021'!AI17))</f>
        <v>0</v>
      </c>
      <c r="H23" s="278">
        <f>IF($C$5*'Tariffs Jul2021'!AK17/'Tariffs Jul2021'!AI17&lt;'Tariffs Jul2021'!L17,0,IF($C$5*'Tariffs Jul2021'!AK17/'Tariffs Jul2021'!AI17&lt;='Tariffs Jul2021'!M17,($C$5*'Tariffs Jul2021'!AK17/'Tariffs Jul2021'!AI17-'Tariffs Jul2021'!L17)*('Tariffs Jul2021'!R17/100)*'Tariffs Jul2021'!AI17,('Tariffs Jul2021'!M17-'Tariffs Jul2021'!L17)*('Tariffs Jul2021'!R17/100)*'Tariffs Jul2021'!AI17))</f>
        <v>0</v>
      </c>
      <c r="I23" s="278">
        <f>IF(($C$5*'Tariffs Jul2021'!AK17/'Tariffs Jul2021'!AI17&gt;'Tariffs Jul2021'!M17),($C$5*'Tariffs Jul2021'!AK17/'Tariffs Jul2021'!AI17-'Tariffs Jul2021'!M17)*'Tariffs Jul2021'!S17/100*'Tariffs Jul2021'!AI17,0)</f>
        <v>0</v>
      </c>
      <c r="J23" s="278">
        <f>IF($C$5*'Tariffs Jul2021'!AL17/'Tariffs Jul2021'!AJ17&gt;='Tariffs Jul2021'!J17,('Tariffs Jul2021'!J17*'Tariffs Jul2021'!U17/100)* 'Tariffs Jul2021'!AJ17,($C$5*'Tariffs Jul2021'!AL17/'Tariffs Jul2021'!AJ17*'Tariffs Jul2021'!U17/100)* 'Tariffs Jul2021'!AJ17)</f>
        <v>134.99999999999997</v>
      </c>
      <c r="K23" s="278">
        <f>IF($C$5*'Tariffs Jul2021'!AL17/'Tariffs Jul2021'!AJ17&lt;'Tariffs Jul2021'!J17,0,IF($C$5*'Tariffs Jul2021'!AL17/'Tariffs Jul2021'!AJ17&lt;='Tariffs Jul2021'!K17,($C$5*'Tariffs Jul2021'!AL17/'Tariffs Jul2021'!AJ17-'Tariffs Jul2021'!J17)*('Tariffs Jul2021'!V17/100)*'Tariffs Jul2021'!AJ17,('Tariffs Jul2021'!K17-'Tariffs Jul2021'!J17)*('Tariffs Jul2021'!V17/100)*'Tariffs Jul2021'!AJ17))</f>
        <v>83.999999999999986</v>
      </c>
      <c r="L23" s="278">
        <f>IF($C$5*'Tariffs Jul2021'!AL17/'Tariffs Jul2021'!AJ17&lt;'Tariffs Jul2021'!K17,0,IF($C$5*'Tariffs Jul2021'!AL17/'Tariffs Jul2021'!AJ17&lt;='Tariffs Jul2021'!L17,($C$5*'Tariffs Jul2021'!AL17/'Tariffs Jul2021'!AJ17-'Tariffs Jul2021'!K17)*('Tariffs Jul2021'!W17/100)*'Tariffs Jul2021'!AJ17,('Tariffs Jul2021'!L17-'Tariffs Jul2021'!K17)*('Tariffs Jul2021'!W17/100)*'Tariffs Jul2021'!AJ17))</f>
        <v>0</v>
      </c>
      <c r="M23" s="278">
        <f>IF($C$5*'Tariffs Jul2021'!AL17/'Tariffs Jul2021'!AJ17&lt;'Tariffs Jul2021'!L17,0,IF($C$5*'Tariffs Jul2021'!AL17/'Tariffs Jul2021'!AJ17&lt;='Tariffs Jul2021'!M17,($C$5*'Tariffs Jul2021'!AL17/'Tariffs Jul2021'!AJ17-'Tariffs Jul2021'!L17)*('Tariffs Jul2021'!X17/100)*'Tariffs Jul2021'!AJ17,('Tariffs Jul2021'!M17-'Tariffs Jul2021'!L17)*('Tariffs Jul2021'!X17/100)*'Tariffs Jul2021'!AJ17))</f>
        <v>0</v>
      </c>
      <c r="N23" s="278">
        <f>IF(($C$5*'Tariffs Jul2021'!AL17/'Tariffs Jul2021'!AJ17&gt;'Tariffs Jul2021'!M17),($C$5*'Tariffs Jul2021'!AL17/'Tariffs Jul2021'!AJ17-'Tariffs Jul2021'!M17)*'Tariffs Jul2021'!Y17/100*'Tariffs Jul2021'!AJ17,0)</f>
        <v>0</v>
      </c>
      <c r="O23" s="278">
        <f t="shared" ref="O23" si="17">SUM(E23:N23)</f>
        <v>459.27272727272725</v>
      </c>
      <c r="P23" s="504">
        <f t="shared" si="2"/>
        <v>505.20000000000005</v>
      </c>
      <c r="Q23" s="278">
        <f t="shared" ref="Q23" si="18">D23+O23</f>
        <v>696.52272727272725</v>
      </c>
      <c r="R23" s="280">
        <f t="shared" si="4"/>
        <v>766.17500000000007</v>
      </c>
      <c r="S23" s="277">
        <f>'Tariffs Jul2021'!AN17</f>
        <v>0</v>
      </c>
      <c r="T23" s="277">
        <f>'Tariffs Jul2021'!AO17</f>
        <v>0</v>
      </c>
      <c r="U23" s="277">
        <f>'Tariffs Jul2021'!AP17</f>
        <v>0</v>
      </c>
      <c r="V23" s="277">
        <f>'Tariffs Jul2021'!AQ17</f>
        <v>0</v>
      </c>
      <c r="W23" s="540" t="str">
        <f t="shared" si="5"/>
        <v>No discount</v>
      </c>
      <c r="X23" s="541" t="str">
        <f t="shared" si="6"/>
        <v>Exclusive</v>
      </c>
      <c r="Y23" s="543">
        <f t="shared" si="15"/>
        <v>696.52272727272725</v>
      </c>
      <c r="Z23" s="544">
        <f t="shared" si="16"/>
        <v>696.52272727272725</v>
      </c>
      <c r="AA23" s="545">
        <f t="shared" ref="AA23:AB38" si="19">Y23*1.1</f>
        <v>766.17500000000007</v>
      </c>
      <c r="AB23" s="545">
        <f t="shared" si="19"/>
        <v>766.17500000000007</v>
      </c>
      <c r="AC23" s="282">
        <f>'Tariffs Jul2021'!AZ17</f>
        <v>0</v>
      </c>
      <c r="AD23" s="282" t="str">
        <f>'Tariffs Jul2021'!BA17</f>
        <v>n</v>
      </c>
      <c r="AE23" s="283" t="str">
        <f>'Tariffs Jul2021'!BJ17</f>
        <v>N</v>
      </c>
      <c r="AF23" s="574"/>
      <c r="AG23" s="574"/>
      <c r="AH23" s="574"/>
      <c r="AI23" s="574"/>
      <c r="AJ23" s="574"/>
      <c r="AK23" s="574"/>
      <c r="AL23" s="574"/>
      <c r="AM23" s="574"/>
      <c r="AN23" s="574"/>
      <c r="AO23" s="574"/>
      <c r="AP23" s="574"/>
      <c r="AQ23" s="574"/>
      <c r="AR23" s="574"/>
      <c r="AS23" s="574"/>
      <c r="AT23" s="574"/>
      <c r="AU23" s="574"/>
      <c r="AV23" s="574"/>
      <c r="AW23" s="574"/>
      <c r="AX23" s="574"/>
    </row>
    <row r="24" spans="1:50" ht="15" thickTop="1" x14ac:dyDescent="0.15">
      <c r="A24" s="270" t="str">
        <f>'Tariffs Jul2021'!F18</f>
        <v>AGL</v>
      </c>
      <c r="B24" s="40" t="str">
        <f>'Tariffs Jul2021'!D18</f>
        <v>Multinet Metro 2</v>
      </c>
      <c r="C24" s="40" t="str">
        <f>'Tariffs Jul2021'!G18</f>
        <v>Flexible Saver</v>
      </c>
      <c r="D24" s="59">
        <f>365*'Tariffs Jul2021'!H18/100</f>
        <v>266.74863636363636</v>
      </c>
      <c r="E24" s="59">
        <f>IF($C$5*'Tariffs Jul2021'!AK18/'Tariffs Jul2021'!AI18&gt;='Tariffs Jul2021'!J18,( 'Tariffs Jul2021'!J18*'Tariffs Jul2021'!O18/100)* 'Tariffs Jul2021'!AI18,($C$5*'Tariffs Jul2021'!AK18/'Tariffs Jul2021'!AI18*'Tariffs Jul2021'!O18/100)* 'Tariffs Jul2021'!AI18)</f>
        <v>216.81818181818181</v>
      </c>
      <c r="F24" s="59">
        <f>IF($C$5*'Tariffs Jul2021'!AK18/'Tariffs Jul2021'!AI18&lt;'Tariffs Jul2021'!J18,0,IF($C$5*'Tariffs Jul2021'!AK18/'Tariffs Jul2021'!AI18&lt;='Tariffs Jul2021'!K18,($C$5*'Tariffs Jul2021'!AK18/'Tariffs Jul2021'!AI18-'Tariffs Jul2021'!J18)*('Tariffs Jul2021'!P18/100)*'Tariffs Jul2021'!AI18,('Tariffs Jul2021'!K18-'Tariffs Jul2021'!J18)*('Tariffs Jul2021'!P18/100)*'Tariffs Jul2021'!AI18))</f>
        <v>128.18181818181819</v>
      </c>
      <c r="G24" s="59">
        <f>IF($C$5*'Tariffs Jul2021'!AK18/'Tariffs Jul2021'!AI18&lt;'Tariffs Jul2021'!K18,0,IF($C$5*'Tariffs Jul2021'!AK18/'Tariffs Jul2021'!AI18&lt;='Tariffs Jul2021'!L18,($C$5*'Tariffs Jul2021'!AK18/'Tariffs Jul2021'!AI18-'Tariffs Jul2021'!K18)*('Tariffs Jul2021'!Q18/100)*'Tariffs Jul2021'!AI18,('Tariffs Jul2021'!L18-'Tariffs Jul2021'!K18)*('Tariffs Jul2021'!Q18/100)*'Tariffs Jul2021'!AI18))</f>
        <v>0</v>
      </c>
      <c r="H24" s="59">
        <f>IF($C$5*'Tariffs Jul2021'!AK18/'Tariffs Jul2021'!AI18&lt;'Tariffs Jul2021'!L18,0,IF($C$5*'Tariffs Jul2021'!AK18/'Tariffs Jul2021'!AI18&lt;='Tariffs Jul2021'!M18,($C$5*'Tariffs Jul2021'!AK18/'Tariffs Jul2021'!AI18-'Tariffs Jul2021'!L18)*('Tariffs Jul2021'!R18/100)*'Tariffs Jul2021'!AI18,('Tariffs Jul2021'!M18-'Tariffs Jul2021'!L18)*('Tariffs Jul2021'!R18/100)*'Tariffs Jul2021'!AI18))</f>
        <v>0</v>
      </c>
      <c r="I24" s="59">
        <f>IF(($C$5*'Tariffs Jul2021'!AK18/'Tariffs Jul2021'!AI18&gt;'Tariffs Jul2021'!M18),($C$5*'Tariffs Jul2021'!AK18/'Tariffs Jul2021'!AI18-'Tariffs Jul2021'!M18)*'Tariffs Jul2021'!S18/100*'Tariffs Jul2021'!AI18,0)</f>
        <v>0</v>
      </c>
      <c r="J24" s="59">
        <f>IF($C$5*'Tariffs Jul2021'!AL18/'Tariffs Jul2021'!AJ18&gt;='Tariffs Jul2021'!J18,('Tariffs Jul2021'!J18*'Tariffs Jul2021'!U18/100)* 'Tariffs Jul2021'!AJ18,($C$5*'Tariffs Jul2021'!AL18/'Tariffs Jul2021'!AJ18*'Tariffs Jul2021'!U18/100)* 'Tariffs Jul2021'!AJ18)</f>
        <v>207.81818181818181</v>
      </c>
      <c r="K24" s="59">
        <f>IF($C$5*'Tariffs Jul2021'!AL18/'Tariffs Jul2021'!AJ18&lt;'Tariffs Jul2021'!J18,0,IF($C$5*'Tariffs Jul2021'!AL18/'Tariffs Jul2021'!AJ18&lt;='Tariffs Jul2021'!K18,($C$5*'Tariffs Jul2021'!AL18/'Tariffs Jul2021'!AJ18-'Tariffs Jul2021'!J18)*('Tariffs Jul2021'!V18/100)*'Tariffs Jul2021'!AJ18,('Tariffs Jul2021'!K18-'Tariffs Jul2021'!J18)*('Tariffs Jul2021'!V18/100)*'Tariffs Jul2021'!AJ18))</f>
        <v>122.18181818181819</v>
      </c>
      <c r="L24" s="59">
        <f>IF($C$5*'Tariffs Jul2021'!AL18/'Tariffs Jul2021'!AJ18&lt;'Tariffs Jul2021'!K18,0,IF($C$5*'Tariffs Jul2021'!AL18/'Tariffs Jul2021'!AJ18&lt;='Tariffs Jul2021'!L18,($C$5*'Tariffs Jul2021'!AL18/'Tariffs Jul2021'!AJ18-'Tariffs Jul2021'!K18)*('Tariffs Jul2021'!W18/100)*'Tariffs Jul2021'!AJ18,('Tariffs Jul2021'!L18-'Tariffs Jul2021'!K18)*('Tariffs Jul2021'!W18/100)*'Tariffs Jul2021'!AJ18))</f>
        <v>0</v>
      </c>
      <c r="M24" s="59">
        <f>IF($C$5*'Tariffs Jul2021'!AL18/'Tariffs Jul2021'!AJ18&lt;'Tariffs Jul2021'!L18,0,IF($C$5*'Tariffs Jul2021'!AL18/'Tariffs Jul2021'!AJ18&lt;='Tariffs Jul2021'!M18,($C$5*'Tariffs Jul2021'!AL18/'Tariffs Jul2021'!AJ18-'Tariffs Jul2021'!L18)*('Tariffs Jul2021'!X18/100)*'Tariffs Jul2021'!AJ18,('Tariffs Jul2021'!M18-'Tariffs Jul2021'!L18)*('Tariffs Jul2021'!X18/100)*'Tariffs Jul2021'!AJ18))</f>
        <v>0</v>
      </c>
      <c r="N24" s="59">
        <f>IF(($C$5*'Tariffs Jul2021'!AL18/'Tariffs Jul2021'!AJ18&gt;'Tariffs Jul2021'!M18),($C$5*'Tariffs Jul2021'!AL18/'Tariffs Jul2021'!AJ18-'Tariffs Jul2021'!M18)*'Tariffs Jul2021'!Y18/100*'Tariffs Jul2021'!AJ18,0)</f>
        <v>0</v>
      </c>
      <c r="O24" s="59">
        <f t="shared" si="1"/>
        <v>675</v>
      </c>
      <c r="P24" s="503">
        <f t="shared" si="2"/>
        <v>742.50000000000011</v>
      </c>
      <c r="Q24" s="59">
        <f t="shared" si="3"/>
        <v>941.74863636363636</v>
      </c>
      <c r="R24" s="272">
        <f t="shared" si="4"/>
        <v>1035.9235000000001</v>
      </c>
      <c r="S24" s="40">
        <f>'Tariffs Jul2021'!AN18</f>
        <v>0</v>
      </c>
      <c r="T24" s="40">
        <f>'Tariffs Jul2021'!AO18</f>
        <v>0</v>
      </c>
      <c r="U24" s="40">
        <f>'Tariffs Jul2021'!AP18</f>
        <v>0</v>
      </c>
      <c r="V24" s="40">
        <f>'Tariffs Jul2021'!AQ18</f>
        <v>0</v>
      </c>
      <c r="W24" s="539" t="str">
        <f>IF(SUM(S24:V24)=0,"No discount",IF(S24&gt;0,"Guaranteed off bill",IF(T24&gt;0,"Guaranteed off usage",IF(U24&gt;0,"Pay-on-time off bill","Pay-on-time off usage"))))</f>
        <v>No discount</v>
      </c>
      <c r="X24" s="538" t="str">
        <f>IF(OR(A24="Origin Energy",A24="Red Energy",A24="Powershop"),"Inclusive","Exclusive")</f>
        <v>Exclusive</v>
      </c>
      <c r="Y24" s="534">
        <f>IF(AND(W24="Guaranteed off bill",X24="Inclusive"),((Q24*1.1)-((Q24*1.1)*S24/100))/1.1,IF(AND(W24="Guaranteed off usage",X24="Inclusive"),((Q24*1.1)-((P24*1.1)*T24/100))/1.1,IF(AND(W24="Guaranteed off bill",X24="Exclusive"),Q24-(Q24*S24/100),IF(AND(W24="Guaranteed off usage",X24="Exclusive"),Q24-(P24*T24/100),IF(X24="Inclusive",((Q24*1.1))/1.1,Q24)))))</f>
        <v>941.74863636363636</v>
      </c>
      <c r="Z24" s="535">
        <f>IF(AND(W24="Pay-on-time off bill",X24="Inclusive"),((Y24*1.1)-((Y24*1.1)*U24/100))/1.1,IF(AND(W24="Pay-on-time off usage",X24="Inclusive"),((Y24*1.1)-((P24*1.1)*V24/100))/1.1,IF(AND(W24="Pay-on-time off bill",X24="Exclusive"),Y24-(Y24*U24/100),IF(AND(W24="Pay-on-time off usage",X24="Exclusive"),Y24-(P24*V24/100),IF(X24="Inclusive",((Y24*1.1))/1.1,Y24)))))</f>
        <v>941.74863636363636</v>
      </c>
      <c r="AA24" s="542">
        <f t="shared" si="19"/>
        <v>1035.9235000000001</v>
      </c>
      <c r="AB24" s="542">
        <f t="shared" si="19"/>
        <v>1035.9235000000001</v>
      </c>
      <c r="AC24" s="274">
        <f>'Tariffs Jul2021'!AZ18</f>
        <v>0</v>
      </c>
      <c r="AD24" s="274" t="str">
        <f>'Tariffs Jul2021'!BA18</f>
        <v>n</v>
      </c>
      <c r="AE24" s="275" t="str">
        <f>'Tariffs Jul2021'!BJ18</f>
        <v>N</v>
      </c>
      <c r="AF24" s="574"/>
      <c r="AG24" s="574"/>
      <c r="AH24" s="574"/>
      <c r="AI24" s="574"/>
      <c r="AJ24" s="574"/>
      <c r="AK24" s="574"/>
      <c r="AL24" s="574"/>
      <c r="AM24" s="574"/>
      <c r="AN24" s="574"/>
      <c r="AO24" s="574"/>
      <c r="AP24" s="574"/>
      <c r="AQ24" s="574"/>
      <c r="AR24" s="574"/>
      <c r="AS24" s="574"/>
      <c r="AT24" s="574"/>
      <c r="AU24" s="574"/>
      <c r="AV24" s="574"/>
      <c r="AW24" s="574"/>
      <c r="AX24" s="574"/>
    </row>
    <row r="25" spans="1:50" ht="14" x14ac:dyDescent="0.15">
      <c r="A25" s="270" t="str">
        <f>'Tariffs Jul2021'!F19</f>
        <v>Alinta Energy</v>
      </c>
      <c r="B25" s="40" t="str">
        <f>'Tariffs Jul2021'!D19</f>
        <v>Multinet Metro 2</v>
      </c>
      <c r="C25" s="40" t="str">
        <f>'Tariffs Jul2021'!G19</f>
        <v>Home Deal</v>
      </c>
      <c r="D25" s="59">
        <f>365*'Tariffs Jul2021'!H19/100</f>
        <v>171.48363636363635</v>
      </c>
      <c r="E25" s="59">
        <f>IF($C$5*'Tariffs Jul2021'!AK19/'Tariffs Jul2021'!AI19&gt;='Tariffs Jul2021'!J19,( 'Tariffs Jul2021'!J19*'Tariffs Jul2021'!O19/100)* 'Tariffs Jul2021'!AI19,($C$5*'Tariffs Jul2021'!AK19/'Tariffs Jul2021'!AI19*'Tariffs Jul2021'!O19/100)* 'Tariffs Jul2021'!AI19)</f>
        <v>181.63636363636363</v>
      </c>
      <c r="F25" s="59">
        <f>IF($C$5*'Tariffs Jul2021'!AK19/'Tariffs Jul2021'!AI19&lt;'Tariffs Jul2021'!J19,0,IF($C$5*'Tariffs Jul2021'!AK19/'Tariffs Jul2021'!AI19&lt;='Tariffs Jul2021'!K19,($C$5*'Tariffs Jul2021'!AK19/'Tariffs Jul2021'!AI19-'Tariffs Jul2021'!J19)*('Tariffs Jul2021'!P19/100)*'Tariffs Jul2021'!AI19,('Tariffs Jul2021'!K19-'Tariffs Jul2021'!J19)*('Tariffs Jul2021'!P19/100)*'Tariffs Jul2021'!AI19))</f>
        <v>109.63636363636363</v>
      </c>
      <c r="G25" s="59">
        <f>IF($C$5*'Tariffs Jul2021'!AK19/'Tariffs Jul2021'!AI19&lt;'Tariffs Jul2021'!K19,0,IF($C$5*'Tariffs Jul2021'!AK19/'Tariffs Jul2021'!AI19&lt;='Tariffs Jul2021'!L19,($C$5*'Tariffs Jul2021'!AK19/'Tariffs Jul2021'!AI19-'Tariffs Jul2021'!K19)*('Tariffs Jul2021'!Q19/100)*'Tariffs Jul2021'!AI19,('Tariffs Jul2021'!L19-'Tariffs Jul2021'!K19)*('Tariffs Jul2021'!Q19/100)*'Tariffs Jul2021'!AI19))</f>
        <v>0</v>
      </c>
      <c r="H25" s="59">
        <f>IF($C$5*'Tariffs Jul2021'!AK19/'Tariffs Jul2021'!AI19&lt;'Tariffs Jul2021'!L19,0,IF($C$5*'Tariffs Jul2021'!AK19/'Tariffs Jul2021'!AI19&lt;='Tariffs Jul2021'!M19,($C$5*'Tariffs Jul2021'!AK19/'Tariffs Jul2021'!AI19-'Tariffs Jul2021'!L19)*('Tariffs Jul2021'!R19/100)*'Tariffs Jul2021'!AI19,('Tariffs Jul2021'!M19-'Tariffs Jul2021'!L19)*('Tariffs Jul2021'!R19/100)*'Tariffs Jul2021'!AI19))</f>
        <v>0</v>
      </c>
      <c r="I25" s="59">
        <f>IF(($C$5*'Tariffs Jul2021'!AK19/'Tariffs Jul2021'!AI19&gt;'Tariffs Jul2021'!M19),($C$5*'Tariffs Jul2021'!AK19/'Tariffs Jul2021'!AI19-'Tariffs Jul2021'!M19)*'Tariffs Jul2021'!S19/100*'Tariffs Jul2021'!AI19,0)</f>
        <v>0</v>
      </c>
      <c r="J25" s="59">
        <f>IF($C$5*'Tariffs Jul2021'!AL19/'Tariffs Jul2021'!AJ19&gt;='Tariffs Jul2021'!J19,('Tariffs Jul2021'!J19*'Tariffs Jul2021'!U19/100)* 'Tariffs Jul2021'!AJ19,($C$5*'Tariffs Jul2021'!AL19/'Tariffs Jul2021'!AJ19*'Tariffs Jul2021'!U19/100)* 'Tariffs Jul2021'!AJ19)</f>
        <v>181.63636363636363</v>
      </c>
      <c r="K25" s="59">
        <f>IF($C$5*'Tariffs Jul2021'!AL19/'Tariffs Jul2021'!AJ19&lt;'Tariffs Jul2021'!J19,0,IF($C$5*'Tariffs Jul2021'!AL19/'Tariffs Jul2021'!AJ19&lt;='Tariffs Jul2021'!K19,($C$5*'Tariffs Jul2021'!AL19/'Tariffs Jul2021'!AJ19-'Tariffs Jul2021'!J19)*('Tariffs Jul2021'!V19/100)*'Tariffs Jul2021'!AJ19,('Tariffs Jul2021'!K19-'Tariffs Jul2021'!J19)*('Tariffs Jul2021'!V19/100)*'Tariffs Jul2021'!AJ19))</f>
        <v>103.63636363636363</v>
      </c>
      <c r="L25" s="59">
        <f>IF($C$5*'Tariffs Jul2021'!AL19/'Tariffs Jul2021'!AJ19&lt;'Tariffs Jul2021'!K19,0,IF($C$5*'Tariffs Jul2021'!AL19/'Tariffs Jul2021'!AJ19&lt;='Tariffs Jul2021'!L19,($C$5*'Tariffs Jul2021'!AL19/'Tariffs Jul2021'!AJ19-'Tariffs Jul2021'!K19)*('Tariffs Jul2021'!W19/100)*'Tariffs Jul2021'!AJ19,('Tariffs Jul2021'!L19-'Tariffs Jul2021'!K19)*('Tariffs Jul2021'!W19/100)*'Tariffs Jul2021'!AJ19))</f>
        <v>0</v>
      </c>
      <c r="M25" s="59">
        <f>IF($C$5*'Tariffs Jul2021'!AL19/'Tariffs Jul2021'!AJ19&lt;'Tariffs Jul2021'!L19,0,IF($C$5*'Tariffs Jul2021'!AL19/'Tariffs Jul2021'!AJ19&lt;='Tariffs Jul2021'!M19,($C$5*'Tariffs Jul2021'!AL19/'Tariffs Jul2021'!AJ19-'Tariffs Jul2021'!L19)*('Tariffs Jul2021'!X19/100)*'Tariffs Jul2021'!AJ19,('Tariffs Jul2021'!M19-'Tariffs Jul2021'!L19)*('Tariffs Jul2021'!X19/100)*'Tariffs Jul2021'!AJ19))</f>
        <v>0</v>
      </c>
      <c r="N25" s="59">
        <f>IF(($C$5*'Tariffs Jul2021'!AL19/'Tariffs Jul2021'!AJ19&gt;'Tariffs Jul2021'!M19),($C$5*'Tariffs Jul2021'!AL19/'Tariffs Jul2021'!AJ19-'Tariffs Jul2021'!M19)*'Tariffs Jul2021'!Y19/100*'Tariffs Jul2021'!AJ19,0)</f>
        <v>0</v>
      </c>
      <c r="O25" s="59">
        <f t="shared" si="1"/>
        <v>576.5454545454545</v>
      </c>
      <c r="P25" s="503">
        <f t="shared" si="2"/>
        <v>634.20000000000005</v>
      </c>
      <c r="Q25" s="59">
        <f t="shared" si="3"/>
        <v>748.02909090909088</v>
      </c>
      <c r="R25" s="272">
        <f t="shared" si="4"/>
        <v>822.83199999999999</v>
      </c>
      <c r="S25" s="40">
        <f>'Tariffs Jul2021'!AN19</f>
        <v>0</v>
      </c>
      <c r="T25" s="40">
        <f>'Tariffs Jul2021'!AO19</f>
        <v>0</v>
      </c>
      <c r="U25" s="40">
        <f>'Tariffs Jul2021'!AP19</f>
        <v>0</v>
      </c>
      <c r="V25" s="40">
        <f>'Tariffs Jul2021'!AQ19</f>
        <v>0</v>
      </c>
      <c r="W25" s="537" t="str">
        <f t="shared" ref="W25:W39" si="20">IF(SUM(S25:V25)=0,"No discount",IF(S25&gt;0,"Guaranteed off bill",IF(T25&gt;0,"Guaranteed off usage",IF(U25&gt;0,"Pay-on-time off bill","Pay-on-time off usage"))))</f>
        <v>No discount</v>
      </c>
      <c r="X25" s="538" t="str">
        <f t="shared" ref="X25:X39" si="21">IF(OR(A25="Origin Energy",A25="Red Energy",A25="Powershop"),"Inclusive","Exclusive")</f>
        <v>Exclusive</v>
      </c>
      <c r="Y25" s="534">
        <f>IF(AND(W25="Guaranteed off bill",X25="Inclusive"),((Q25*1.1)-((Q25*1.1)*S25/100))/1.1,IF(AND(W25="Guaranteed off usage",X25="Inclusive"),((Q25*1.1)-((P25*1.1)*T25/100))/1.1,IF(AND(W25="Guaranteed off bill",X25="Exclusive"),Q25-(Q25*S25/100),IF(AND(W25="Guaranteed off usage",X25="Exclusive"),Q25-(P25*T25/100),IF(X25="Inclusive",((Q25*1.1))/1.1,Q25)))))</f>
        <v>748.02909090909088</v>
      </c>
      <c r="Z25" s="535">
        <f>IF(AND(W25="Pay-on-time off bill",X25="Inclusive"),((Y25*1.1)-((Y25*1.1)*U25/100))/1.1,IF(AND(W25="Pay-on-time off usage",X25="Inclusive"),((Y25*1.1)-((P25*1.1)*V25/100))/1.1,IF(AND(W25="Pay-on-time off bill",X25="Exclusive"),Y25-(Y25*U25/100),IF(AND(W25="Pay-on-time off usage",X25="Exclusive"),Y25-(P25*V25/100),IF(X25="Inclusive",((Y25*1.1))/1.1,Y25)))))</f>
        <v>748.02909090909088</v>
      </c>
      <c r="AA25" s="542">
        <f t="shared" si="19"/>
        <v>822.83199999999999</v>
      </c>
      <c r="AB25" s="542">
        <f t="shared" si="19"/>
        <v>822.83199999999999</v>
      </c>
      <c r="AC25" s="274">
        <f>'Tariffs Jul2021'!AZ19</f>
        <v>0</v>
      </c>
      <c r="AD25" s="274" t="str">
        <f>'Tariffs Jul2021'!BA19</f>
        <v>n</v>
      </c>
      <c r="AE25" s="275" t="str">
        <f>'Tariffs Jul2021'!BJ19</f>
        <v>N</v>
      </c>
      <c r="AF25" s="574"/>
      <c r="AG25" s="574"/>
      <c r="AH25" s="574"/>
      <c r="AI25" s="574"/>
      <c r="AJ25" s="574"/>
      <c r="AK25" s="574"/>
      <c r="AL25" s="574"/>
      <c r="AM25" s="574"/>
      <c r="AN25" s="574"/>
      <c r="AO25" s="574"/>
      <c r="AP25" s="574"/>
      <c r="AQ25" s="574"/>
      <c r="AR25" s="574"/>
      <c r="AS25" s="574"/>
      <c r="AT25" s="574"/>
      <c r="AU25" s="574"/>
      <c r="AV25" s="574"/>
      <c r="AW25" s="574"/>
      <c r="AX25" s="574"/>
    </row>
    <row r="26" spans="1:50" ht="14" x14ac:dyDescent="0.15">
      <c r="A26" s="270" t="str">
        <f>'Tariffs Jul2021'!F20</f>
        <v>Covau</v>
      </c>
      <c r="B26" s="40" t="str">
        <f>'Tariffs Jul2021'!D20</f>
        <v>Multinet Metro 2</v>
      </c>
      <c r="C26" s="40" t="str">
        <f>'Tariffs Jul2021'!G20</f>
        <v>Super Saver Plus</v>
      </c>
      <c r="D26" s="59">
        <f>365*'Tariffs Jul2021'!H20/100</f>
        <v>284.7</v>
      </c>
      <c r="E26" s="59">
        <f>IF($C$5*'Tariffs Jul2021'!AK20/'Tariffs Jul2021'!AI20&gt;='Tariffs Jul2021'!J20,( 'Tariffs Jul2021'!J20*'Tariffs Jul2021'!O20/100)* 'Tariffs Jul2021'!AI20,($C$5*'Tariffs Jul2021'!AK20/'Tariffs Jul2021'!AI20*'Tariffs Jul2021'!O20/100)* 'Tariffs Jul2021'!AI20)</f>
        <v>241.36363636363637</v>
      </c>
      <c r="F26" s="59">
        <f>IF($C$5*'Tariffs Jul2021'!AK20/'Tariffs Jul2021'!AI20&lt;'Tariffs Jul2021'!J20,0,IF($C$5*'Tariffs Jul2021'!AK20/'Tariffs Jul2021'!AI20&lt;='Tariffs Jul2021'!K20,($C$5*'Tariffs Jul2021'!AK20/'Tariffs Jul2021'!AI20-'Tariffs Jul2021'!J20)*('Tariffs Jul2021'!P20/100)*'Tariffs Jul2021'!AI20,('Tariffs Jul2021'!K20-'Tariffs Jul2021'!J20)*('Tariffs Jul2021'!P20/100)*'Tariffs Jul2021'!AI20))</f>
        <v>142.36363636363637</v>
      </c>
      <c r="G26" s="59">
        <f>IF($C$5*'Tariffs Jul2021'!AK20/'Tariffs Jul2021'!AI20&lt;'Tariffs Jul2021'!K20,0,IF($C$5*'Tariffs Jul2021'!AK20/'Tariffs Jul2021'!AI20&lt;='Tariffs Jul2021'!L20,($C$5*'Tariffs Jul2021'!AK20/'Tariffs Jul2021'!AI20-'Tariffs Jul2021'!K20)*('Tariffs Jul2021'!Q20/100)*'Tariffs Jul2021'!AI20,('Tariffs Jul2021'!L20-'Tariffs Jul2021'!K20)*('Tariffs Jul2021'!Q20/100)*'Tariffs Jul2021'!AI20))</f>
        <v>0</v>
      </c>
      <c r="H26" s="59">
        <f>IF($C$5*'Tariffs Jul2021'!AK20/'Tariffs Jul2021'!AI20&lt;'Tariffs Jul2021'!L20,0,IF($C$5*'Tariffs Jul2021'!AK20/'Tariffs Jul2021'!AI20&lt;='Tariffs Jul2021'!M20,($C$5*'Tariffs Jul2021'!AK20/'Tariffs Jul2021'!AI20-'Tariffs Jul2021'!L20)*('Tariffs Jul2021'!R20/100)*'Tariffs Jul2021'!AI20,('Tariffs Jul2021'!M20-'Tariffs Jul2021'!L20)*('Tariffs Jul2021'!R20/100)*'Tariffs Jul2021'!AI20))</f>
        <v>0</v>
      </c>
      <c r="I26" s="59">
        <f>IF(($C$5*'Tariffs Jul2021'!AK20/'Tariffs Jul2021'!AI20&gt;'Tariffs Jul2021'!M20),($C$5*'Tariffs Jul2021'!AK20/'Tariffs Jul2021'!AI20-'Tariffs Jul2021'!M20)*'Tariffs Jul2021'!S20/100*'Tariffs Jul2021'!AI20,0)</f>
        <v>0</v>
      </c>
      <c r="J26" s="59">
        <f>IF($C$5*'Tariffs Jul2021'!AL20/'Tariffs Jul2021'!AJ20&gt;='Tariffs Jul2021'!J20,('Tariffs Jul2021'!J20*'Tariffs Jul2021'!U20/100)* 'Tariffs Jul2021'!AJ20,($C$5*'Tariffs Jul2021'!AL20/'Tariffs Jul2021'!AJ20*'Tariffs Jul2021'!U20/100)* 'Tariffs Jul2021'!AJ20)</f>
        <v>230.72727272727272</v>
      </c>
      <c r="K26" s="59">
        <f>IF($C$5*'Tariffs Jul2021'!AL20/'Tariffs Jul2021'!AJ20&lt;'Tariffs Jul2021'!J20,0,IF($C$5*'Tariffs Jul2021'!AL20/'Tariffs Jul2021'!AJ20&lt;='Tariffs Jul2021'!K20,($C$5*'Tariffs Jul2021'!AL20/'Tariffs Jul2021'!AJ20-'Tariffs Jul2021'!J20)*('Tariffs Jul2021'!V20/100)*'Tariffs Jul2021'!AJ20,('Tariffs Jul2021'!K20-'Tariffs Jul2021'!J20)*('Tariffs Jul2021'!V20/100)*'Tariffs Jul2021'!AJ20))</f>
        <v>129.27272727272725</v>
      </c>
      <c r="L26" s="59">
        <f>IF($C$5*'Tariffs Jul2021'!AL20/'Tariffs Jul2021'!AJ20&lt;'Tariffs Jul2021'!K20,0,IF($C$5*'Tariffs Jul2021'!AL20/'Tariffs Jul2021'!AJ20&lt;='Tariffs Jul2021'!L20,($C$5*'Tariffs Jul2021'!AL20/'Tariffs Jul2021'!AJ20-'Tariffs Jul2021'!K20)*('Tariffs Jul2021'!W20/100)*'Tariffs Jul2021'!AJ20,('Tariffs Jul2021'!L20-'Tariffs Jul2021'!K20)*('Tariffs Jul2021'!W20/100)*'Tariffs Jul2021'!AJ20))</f>
        <v>0</v>
      </c>
      <c r="M26" s="59">
        <f>IF($C$5*'Tariffs Jul2021'!AL20/'Tariffs Jul2021'!AJ20&lt;'Tariffs Jul2021'!L20,0,IF($C$5*'Tariffs Jul2021'!AL20/'Tariffs Jul2021'!AJ20&lt;='Tariffs Jul2021'!M20,($C$5*'Tariffs Jul2021'!AL20/'Tariffs Jul2021'!AJ20-'Tariffs Jul2021'!L20)*('Tariffs Jul2021'!X20/100)*'Tariffs Jul2021'!AJ20,('Tariffs Jul2021'!M20-'Tariffs Jul2021'!L20)*('Tariffs Jul2021'!X20/100)*'Tariffs Jul2021'!AJ20))</f>
        <v>0</v>
      </c>
      <c r="N26" s="59">
        <f>IF(($C$5*'Tariffs Jul2021'!AL20/'Tariffs Jul2021'!AJ20&gt;'Tariffs Jul2021'!M20),($C$5*'Tariffs Jul2021'!AL20/'Tariffs Jul2021'!AJ20-'Tariffs Jul2021'!M20)*'Tariffs Jul2021'!Y20/100*'Tariffs Jul2021'!AJ20,0)</f>
        <v>0</v>
      </c>
      <c r="O26" s="59">
        <f t="shared" si="1"/>
        <v>743.72727272727275</v>
      </c>
      <c r="P26" s="503">
        <f t="shared" si="2"/>
        <v>818.10000000000014</v>
      </c>
      <c r="Q26" s="59">
        <f t="shared" si="3"/>
        <v>1028.4272727272728</v>
      </c>
      <c r="R26" s="272">
        <f t="shared" si="4"/>
        <v>1131.2700000000002</v>
      </c>
      <c r="S26" s="40">
        <f>'Tariffs Jul2021'!AN20</f>
        <v>0</v>
      </c>
      <c r="T26" s="40">
        <f>'Tariffs Jul2021'!AO20</f>
        <v>20</v>
      </c>
      <c r="U26" s="40">
        <f>'Tariffs Jul2021'!AP20</f>
        <v>0</v>
      </c>
      <c r="V26" s="40">
        <f>'Tariffs Jul2021'!AQ20</f>
        <v>0</v>
      </c>
      <c r="W26" s="537" t="str">
        <f t="shared" si="20"/>
        <v>Guaranteed off usage</v>
      </c>
      <c r="X26" s="538" t="str">
        <f t="shared" si="21"/>
        <v>Exclusive</v>
      </c>
      <c r="Y26" s="534">
        <f t="shared" ref="Y26" si="22">IF(AND(W26="Guaranteed off bill",X26="Inclusive"),((Q26*1.1)-((Q26*1.1)*S26/100))/1.1,IF(AND(W26="Guaranteed off usage",X26="Inclusive"),((Q26*1.1)-((P26*1.1)*T26/100))/1.1,IF(AND(W26="Guaranteed off bill",X26="Exclusive"),Q26-(Q26*S26/100),IF(AND(W26="Guaranteed off usage",X26="Exclusive"),Q26-(P26*T26/100),IF(X26="Inclusive",((Q26*1.1))/1.1,Q26)))))</f>
        <v>864.80727272727279</v>
      </c>
      <c r="Z26" s="535">
        <f t="shared" ref="Z26" si="23">IF(AND(W26="Pay-on-time off bill",X26="Inclusive"),((Y26*1.1)-((Y26*1.1)*U26/100))/1.1,IF(AND(W26="Pay-on-time off usage",X26="Inclusive"),((Y26*1.1)-((P26*1.1)*V26/100))/1.1,IF(AND(W26="Pay-on-time off bill",X26="Exclusive"),Y26-(Y26*U26/100),IF(AND(W26="Pay-on-time off usage",X26="Exclusive"),Y26-(P26*V26/100),IF(X26="Inclusive",((Y26*1.1))/1.1,Y26)))))</f>
        <v>864.80727272727279</v>
      </c>
      <c r="AA26" s="542">
        <f t="shared" si="19"/>
        <v>951.28800000000012</v>
      </c>
      <c r="AB26" s="542">
        <f t="shared" si="19"/>
        <v>951.28800000000012</v>
      </c>
      <c r="AC26" s="274">
        <f>'Tariffs Jul2021'!AZ20</f>
        <v>0</v>
      </c>
      <c r="AD26" s="274" t="str">
        <f>'Tariffs Jul2021'!BA20</f>
        <v>n</v>
      </c>
      <c r="AE26" s="275" t="str">
        <f>'Tariffs Jul2021'!BJ20</f>
        <v>N</v>
      </c>
      <c r="AF26" s="574"/>
      <c r="AG26" s="574"/>
      <c r="AH26" s="574"/>
      <c r="AI26" s="574"/>
      <c r="AJ26" s="574"/>
      <c r="AK26" s="574"/>
      <c r="AL26" s="574"/>
      <c r="AM26" s="574"/>
      <c r="AN26" s="574"/>
      <c r="AO26" s="574"/>
      <c r="AP26" s="574"/>
      <c r="AQ26" s="574"/>
      <c r="AR26" s="574"/>
      <c r="AS26" s="574"/>
      <c r="AT26" s="574"/>
      <c r="AU26" s="574"/>
      <c r="AV26" s="574"/>
      <c r="AW26" s="574"/>
      <c r="AX26" s="574"/>
    </row>
    <row r="27" spans="1:50" ht="14" x14ac:dyDescent="0.15">
      <c r="A27" s="270" t="str">
        <f>'Tariffs Jul2021'!F21</f>
        <v>Dodo Power &amp; Gas</v>
      </c>
      <c r="B27" s="40" t="str">
        <f>'Tariffs Jul2021'!D21</f>
        <v>Multinet Metro 2</v>
      </c>
      <c r="C27" s="40" t="str">
        <f>'Tariffs Jul2021'!G21</f>
        <v>Market offer</v>
      </c>
      <c r="D27" s="59">
        <f>365*'Tariffs Jul2021'!H21/100</f>
        <v>171.185</v>
      </c>
      <c r="E27" s="59">
        <f>IF($C$5*'Tariffs Jul2021'!AK21/'Tariffs Jul2021'!AI21&gt;='Tariffs Jul2021'!J21,( 'Tariffs Jul2021'!J21*'Tariffs Jul2021'!O21/100)* 'Tariffs Jul2021'!AI21,($C$5*'Tariffs Jul2021'!AK21/'Tariffs Jul2021'!AI21*'Tariffs Jul2021'!O21/100)* 'Tariffs Jul2021'!AI21)</f>
        <v>202.90909090909088</v>
      </c>
      <c r="F27" s="59">
        <f>IF($C$5*'Tariffs Jul2021'!AK21/'Tariffs Jul2021'!AI21&lt;'Tariffs Jul2021'!J21,0,IF($C$5*'Tariffs Jul2021'!AK21/'Tariffs Jul2021'!AI21&lt;='Tariffs Jul2021'!K21,($C$5*'Tariffs Jul2021'!AK21/'Tariffs Jul2021'!AI21-'Tariffs Jul2021'!J21)*('Tariffs Jul2021'!P21/100)*'Tariffs Jul2021'!AI21,('Tariffs Jul2021'!K21-'Tariffs Jul2021'!J21)*('Tariffs Jul2021'!P21/100)*'Tariffs Jul2021'!AI21))</f>
        <v>115.09090909090908</v>
      </c>
      <c r="G27" s="59">
        <f>IF($C$5*'Tariffs Jul2021'!AK21/'Tariffs Jul2021'!AI21&lt;'Tariffs Jul2021'!K21,0,IF($C$5*'Tariffs Jul2021'!AK21/'Tariffs Jul2021'!AI21&lt;='Tariffs Jul2021'!L21,($C$5*'Tariffs Jul2021'!AK21/'Tariffs Jul2021'!AI21-'Tariffs Jul2021'!K21)*('Tariffs Jul2021'!Q21/100)*'Tariffs Jul2021'!AI21,('Tariffs Jul2021'!L21-'Tariffs Jul2021'!K21)*('Tariffs Jul2021'!Q21/100)*'Tariffs Jul2021'!AI21))</f>
        <v>0</v>
      </c>
      <c r="H27" s="59">
        <f>IF($C$5*'Tariffs Jul2021'!AK21/'Tariffs Jul2021'!AI21&lt;'Tariffs Jul2021'!L21,0,IF($C$5*'Tariffs Jul2021'!AK21/'Tariffs Jul2021'!AI21&lt;='Tariffs Jul2021'!M21,($C$5*'Tariffs Jul2021'!AK21/'Tariffs Jul2021'!AI21-'Tariffs Jul2021'!L21)*('Tariffs Jul2021'!R21/100)*'Tariffs Jul2021'!AI21,('Tariffs Jul2021'!M21-'Tariffs Jul2021'!L21)*('Tariffs Jul2021'!R21/100)*'Tariffs Jul2021'!AI21))</f>
        <v>0</v>
      </c>
      <c r="I27" s="59">
        <f>IF(($C$5*'Tariffs Jul2021'!AK21/'Tariffs Jul2021'!AI21&gt;'Tariffs Jul2021'!M21),($C$5*'Tariffs Jul2021'!AK21/'Tariffs Jul2021'!AI21-'Tariffs Jul2021'!M21)*'Tariffs Jul2021'!S21/100*'Tariffs Jul2021'!AI21,0)</f>
        <v>0</v>
      </c>
      <c r="J27" s="59">
        <f>IF($C$5*'Tariffs Jul2021'!AL21/'Tariffs Jul2021'!AJ21&gt;='Tariffs Jul2021'!J21,('Tariffs Jul2021'!J21*'Tariffs Jul2021'!U21/100)* 'Tariffs Jul2021'!AJ21,($C$5*'Tariffs Jul2021'!AL21/'Tariffs Jul2021'!AJ21*'Tariffs Jul2021'!U21/100)* 'Tariffs Jul2021'!AJ21)</f>
        <v>190.63636363636363</v>
      </c>
      <c r="K27" s="59">
        <f>IF($C$5*'Tariffs Jul2021'!AL21/'Tariffs Jul2021'!AJ21&lt;'Tariffs Jul2021'!J21,0,IF($C$5*'Tariffs Jul2021'!AL21/'Tariffs Jul2021'!AJ21&lt;='Tariffs Jul2021'!K21,($C$5*'Tariffs Jul2021'!AL21/'Tariffs Jul2021'!AJ21-'Tariffs Jul2021'!J21)*('Tariffs Jul2021'!V21/100)*'Tariffs Jul2021'!AJ21,('Tariffs Jul2021'!K21-'Tariffs Jul2021'!J21)*('Tariffs Jul2021'!V21/100)*'Tariffs Jul2021'!AJ21))</f>
        <v>109.63636363636363</v>
      </c>
      <c r="L27" s="59">
        <f>IF($C$5*'Tariffs Jul2021'!AL21/'Tariffs Jul2021'!AJ21&lt;'Tariffs Jul2021'!K21,0,IF($C$5*'Tariffs Jul2021'!AL21/'Tariffs Jul2021'!AJ21&lt;='Tariffs Jul2021'!L21,($C$5*'Tariffs Jul2021'!AL21/'Tariffs Jul2021'!AJ21-'Tariffs Jul2021'!K21)*('Tariffs Jul2021'!W21/100)*'Tariffs Jul2021'!AJ21,('Tariffs Jul2021'!L21-'Tariffs Jul2021'!K21)*('Tariffs Jul2021'!W21/100)*'Tariffs Jul2021'!AJ21))</f>
        <v>0</v>
      </c>
      <c r="M27" s="59">
        <f>IF($C$5*'Tariffs Jul2021'!AL21/'Tariffs Jul2021'!AJ21&lt;'Tariffs Jul2021'!L21,0,IF($C$5*'Tariffs Jul2021'!AL21/'Tariffs Jul2021'!AJ21&lt;='Tariffs Jul2021'!M21,($C$5*'Tariffs Jul2021'!AL21/'Tariffs Jul2021'!AJ21-'Tariffs Jul2021'!L21)*('Tariffs Jul2021'!X21/100)*'Tariffs Jul2021'!AJ21,('Tariffs Jul2021'!M21-'Tariffs Jul2021'!L21)*('Tariffs Jul2021'!X21/100)*'Tariffs Jul2021'!AJ21))</f>
        <v>0</v>
      </c>
      <c r="N27" s="59">
        <f>IF(($C$5*'Tariffs Jul2021'!AL21/'Tariffs Jul2021'!AJ21&gt;'Tariffs Jul2021'!M21),($C$5*'Tariffs Jul2021'!AL21/'Tariffs Jul2021'!AJ21-'Tariffs Jul2021'!M21)*'Tariffs Jul2021'!Y21/100*'Tariffs Jul2021'!AJ21,0)</f>
        <v>0</v>
      </c>
      <c r="O27" s="59">
        <f t="shared" si="1"/>
        <v>618.27272727272725</v>
      </c>
      <c r="P27" s="503">
        <f t="shared" si="2"/>
        <v>680.1</v>
      </c>
      <c r="Q27" s="59">
        <f t="shared" si="3"/>
        <v>789.4577272727272</v>
      </c>
      <c r="R27" s="272">
        <f t="shared" si="4"/>
        <v>868.40350000000001</v>
      </c>
      <c r="S27" s="40">
        <f>'Tariffs Jul2021'!AN21</f>
        <v>0</v>
      </c>
      <c r="T27" s="40">
        <f>'Tariffs Jul2021'!AO21</f>
        <v>0</v>
      </c>
      <c r="U27" s="40">
        <f>'Tariffs Jul2021'!AP21</f>
        <v>0</v>
      </c>
      <c r="V27" s="40">
        <f>'Tariffs Jul2021'!AQ21</f>
        <v>0</v>
      </c>
      <c r="W27" s="537" t="str">
        <f t="shared" si="20"/>
        <v>No discount</v>
      </c>
      <c r="X27" s="538" t="str">
        <f t="shared" si="21"/>
        <v>Exclusive</v>
      </c>
      <c r="Y27" s="534">
        <f>IF(AND(W27="Guaranteed off bill",X27="Inclusive"),((Q27*1.1)-((Q27*1.1)*S27/100))/1.1,IF(AND(W27="Guaranteed off usage",X27="Inclusive"),((Q27*1.1)-((P27*1.1)*T27/100))/1.1,IF(AND(W27="Guaranteed off bill",X27="Exclusive"),Q27-(Q27*S27/100),IF(AND(W27="Guaranteed off usage",X27="Exclusive"),Q27-(P27*T27/100),IF(X27="Inclusive",((Q27*1.1))/1.1,Q27)))))</f>
        <v>789.4577272727272</v>
      </c>
      <c r="Z27" s="535">
        <f>IF(AND(W27="Pay-on-time off bill",X27="Inclusive"),((Y27*1.1)-((Y27*1.1)*U27/100))/1.1,IF(AND(W27="Pay-on-time off usage",X27="Inclusive"),((Y27*1.1)-((P27*1.1)*V27/100))/1.1,IF(AND(W27="Pay-on-time off bill",X27="Exclusive"),Y27-(Y27*U27/100),IF(AND(W27="Pay-on-time off usage",X27="Exclusive"),Y27-(P27*V27/100),IF(X27="Inclusive",((Y27*1.1))/1.1,Y27)))))</f>
        <v>789.4577272727272</v>
      </c>
      <c r="AA27" s="542">
        <f t="shared" si="19"/>
        <v>868.40350000000001</v>
      </c>
      <c r="AB27" s="542">
        <f t="shared" si="19"/>
        <v>868.40350000000001</v>
      </c>
      <c r="AC27" s="274">
        <f>'Tariffs Jul2021'!AZ21</f>
        <v>0</v>
      </c>
      <c r="AD27" s="274" t="str">
        <f>'Tariffs Jul2021'!BA21</f>
        <v>n</v>
      </c>
      <c r="AE27" s="275" t="str">
        <f>'Tariffs Jul2021'!BJ21</f>
        <v>N</v>
      </c>
      <c r="AF27" s="574"/>
      <c r="AG27" s="574"/>
      <c r="AH27" s="574"/>
      <c r="AI27" s="574"/>
      <c r="AJ27" s="574"/>
      <c r="AK27" s="574"/>
      <c r="AL27" s="574"/>
      <c r="AM27" s="574"/>
      <c r="AN27" s="574"/>
      <c r="AO27" s="574"/>
      <c r="AP27" s="574"/>
      <c r="AQ27" s="574"/>
      <c r="AR27" s="574"/>
      <c r="AS27" s="574"/>
      <c r="AT27" s="574"/>
      <c r="AU27" s="574"/>
      <c r="AV27" s="574"/>
      <c r="AW27" s="574"/>
      <c r="AX27" s="574"/>
    </row>
    <row r="28" spans="1:50" ht="14" x14ac:dyDescent="0.15">
      <c r="A28" s="270" t="str">
        <f>'Tariffs Jul2021'!F22</f>
        <v>EnergyAustralia</v>
      </c>
      <c r="B28" s="40" t="str">
        <f>'Tariffs Jul2021'!D22</f>
        <v>Multinet Metro 2</v>
      </c>
      <c r="C28" s="40" t="str">
        <f>'Tariffs Jul2021'!G22</f>
        <v>Total Plan</v>
      </c>
      <c r="D28" s="59">
        <f>365*'Tariffs Jul2021'!H22/100</f>
        <v>295.64999999999998</v>
      </c>
      <c r="E28" s="59">
        <f>IF($C$5*'Tariffs Jul2021'!AK22/'Tariffs Jul2021'!AI22&gt;='Tariffs Jul2021'!J22,( 'Tariffs Jul2021'!J22*'Tariffs Jul2021'!O22/100)* 'Tariffs Jul2021'!AI22,($C$5*'Tariffs Jul2021'!AK22/'Tariffs Jul2021'!AI22*'Tariffs Jul2021'!O22/100)* 'Tariffs Jul2021'!AI22)</f>
        <v>186</v>
      </c>
      <c r="F28" s="59">
        <f>IF($C$5*'Tariffs Jul2021'!AK22/'Tariffs Jul2021'!AI22&lt;'Tariffs Jul2021'!J22,0,IF($C$5*'Tariffs Jul2021'!AK22/'Tariffs Jul2021'!AI22&lt;='Tariffs Jul2021'!K22,($C$5*'Tariffs Jul2021'!AK22/'Tariffs Jul2021'!AI22-'Tariffs Jul2021'!J22)*('Tariffs Jul2021'!P22/100)*'Tariffs Jul2021'!AI22,('Tariffs Jul2021'!K22-'Tariffs Jul2021'!J22)*('Tariffs Jul2021'!P22/100)*'Tariffs Jul2021'!AI22))</f>
        <v>102.88336363636364</v>
      </c>
      <c r="G28" s="59">
        <f>IF($C$5*'Tariffs Jul2021'!AK22/'Tariffs Jul2021'!AI22&lt;'Tariffs Jul2021'!K22,0,IF($C$5*'Tariffs Jul2021'!AK22/'Tariffs Jul2021'!AI22&lt;='Tariffs Jul2021'!L22,($C$5*'Tariffs Jul2021'!AK22/'Tariffs Jul2021'!AI22-'Tariffs Jul2021'!K22)*('Tariffs Jul2021'!Q22/100)*'Tariffs Jul2021'!AI22,('Tariffs Jul2021'!L22-'Tariffs Jul2021'!K22)*('Tariffs Jul2021'!Q22/100)*'Tariffs Jul2021'!AI22))</f>
        <v>0</v>
      </c>
      <c r="H28" s="59">
        <f>IF($C$5*'Tariffs Jul2021'!AK22/'Tariffs Jul2021'!AI22&lt;'Tariffs Jul2021'!L22,0,IF($C$5*'Tariffs Jul2021'!AK22/'Tariffs Jul2021'!AI22&lt;='Tariffs Jul2021'!M22,($C$5*'Tariffs Jul2021'!AK22/'Tariffs Jul2021'!AI22-'Tariffs Jul2021'!L22)*('Tariffs Jul2021'!R22/100)*'Tariffs Jul2021'!AI22,('Tariffs Jul2021'!M22-'Tariffs Jul2021'!L22)*('Tariffs Jul2021'!R22/100)*'Tariffs Jul2021'!AI22))</f>
        <v>0</v>
      </c>
      <c r="I28" s="59">
        <f>IF(($C$5*'Tariffs Jul2021'!AK22/'Tariffs Jul2021'!AI22&gt;'Tariffs Jul2021'!M22),($C$5*'Tariffs Jul2021'!AK22/'Tariffs Jul2021'!AI22-'Tariffs Jul2021'!M22)*'Tariffs Jul2021'!S22/100*'Tariffs Jul2021'!AI22,0)</f>
        <v>0</v>
      </c>
      <c r="J28" s="59">
        <f>IF($C$5*'Tariffs Jul2021'!AL22/'Tariffs Jul2021'!AJ22&gt;='Tariffs Jul2021'!J22,('Tariffs Jul2021'!J22*'Tariffs Jul2021'!U22/100)* 'Tariffs Jul2021'!AJ22,($C$5*'Tariffs Jul2021'!AL22/'Tariffs Jul2021'!AJ22*'Tariffs Jul2021'!U22/100)* 'Tariffs Jul2021'!AJ22)</f>
        <v>349.09090909090912</v>
      </c>
      <c r="K28" s="59">
        <f>IF($C$5*'Tariffs Jul2021'!AL22/'Tariffs Jul2021'!AJ22&lt;'Tariffs Jul2021'!J22,0,IF($C$5*'Tariffs Jul2021'!AL22/'Tariffs Jul2021'!AJ22&lt;='Tariffs Jul2021'!K22,($C$5*'Tariffs Jul2021'!AL22/'Tariffs Jul2021'!AJ22-'Tariffs Jul2021'!J22)*('Tariffs Jul2021'!V22/100)*'Tariffs Jul2021'!AJ22,('Tariffs Jul2021'!K22-'Tariffs Jul2021'!J22)*('Tariffs Jul2021'!V22/100)*'Tariffs Jul2021'!AJ22))</f>
        <v>196.31454545454548</v>
      </c>
      <c r="L28" s="59">
        <f>IF($C$5*'Tariffs Jul2021'!AL22/'Tariffs Jul2021'!AJ22&lt;'Tariffs Jul2021'!K22,0,IF($C$5*'Tariffs Jul2021'!AL22/'Tariffs Jul2021'!AJ22&lt;='Tariffs Jul2021'!L22,($C$5*'Tariffs Jul2021'!AL22/'Tariffs Jul2021'!AJ22-'Tariffs Jul2021'!K22)*('Tariffs Jul2021'!W22/100)*'Tariffs Jul2021'!AJ22,('Tariffs Jul2021'!L22-'Tariffs Jul2021'!K22)*('Tariffs Jul2021'!W22/100)*'Tariffs Jul2021'!AJ22))</f>
        <v>0</v>
      </c>
      <c r="M28" s="59">
        <f>IF($C$5*'Tariffs Jul2021'!AL22/'Tariffs Jul2021'!AJ22&lt;'Tariffs Jul2021'!L22,0,IF($C$5*'Tariffs Jul2021'!AL22/'Tariffs Jul2021'!AJ22&lt;='Tariffs Jul2021'!M22,($C$5*'Tariffs Jul2021'!AL22/'Tariffs Jul2021'!AJ22-'Tariffs Jul2021'!L22)*('Tariffs Jul2021'!X22/100)*'Tariffs Jul2021'!AJ22,('Tariffs Jul2021'!M22-'Tariffs Jul2021'!L22)*('Tariffs Jul2021'!X22/100)*'Tariffs Jul2021'!AJ22))</f>
        <v>0</v>
      </c>
      <c r="N28" s="59">
        <f>IF(($C$5*'Tariffs Jul2021'!AL22/'Tariffs Jul2021'!AJ22&gt;'Tariffs Jul2021'!M22),($C$5*'Tariffs Jul2021'!AL22/'Tariffs Jul2021'!AJ22-'Tariffs Jul2021'!M22)*'Tariffs Jul2021'!Y22/100*'Tariffs Jul2021'!AJ22,0)</f>
        <v>0</v>
      </c>
      <c r="O28" s="59">
        <f t="shared" si="1"/>
        <v>834.28881818181833</v>
      </c>
      <c r="P28" s="503">
        <f t="shared" si="2"/>
        <v>917.71770000000026</v>
      </c>
      <c r="Q28" s="59">
        <f t="shared" si="3"/>
        <v>1129.9388181818183</v>
      </c>
      <c r="R28" s="272">
        <f t="shared" si="4"/>
        <v>1242.9327000000003</v>
      </c>
      <c r="S28" s="40">
        <f>'Tariffs Jul2021'!AN22</f>
        <v>26</v>
      </c>
      <c r="T28" s="40">
        <f>'Tariffs Jul2021'!AO22</f>
        <v>0</v>
      </c>
      <c r="U28" s="40">
        <f>'Tariffs Jul2021'!AP22</f>
        <v>0</v>
      </c>
      <c r="V28" s="40">
        <f>'Tariffs Jul2021'!AQ22</f>
        <v>0</v>
      </c>
      <c r="W28" s="537" t="str">
        <f t="shared" si="20"/>
        <v>Guaranteed off bill</v>
      </c>
      <c r="X28" s="538" t="str">
        <f t="shared" si="21"/>
        <v>Exclusive</v>
      </c>
      <c r="Y28" s="534">
        <f t="shared" ref="Y28" si="24">IF(AND(W28="Guaranteed off bill",X28="Inclusive"),((Q28*1.1)-((Q28*1.1)*S28/100))/1.1,IF(AND(W28="Guaranteed off usage",X28="Inclusive"),((Q28*1.1)-((P28*1.1)*T28/100))/1.1,IF(AND(W28="Guaranteed off bill",X28="Exclusive"),Q28-(Q28*S28/100),IF(AND(W28="Guaranteed off usage",X28="Exclusive"),Q28-(P28*T28/100),IF(X28="Inclusive",((Q28*1.1))/1.1,Q28)))))</f>
        <v>836.15472545454554</v>
      </c>
      <c r="Z28" s="535">
        <f t="shared" ref="Z28" si="25">IF(AND(W28="Pay-on-time off bill",X28="Inclusive"),((Y28*1.1)-((Y28*1.1)*U28/100))/1.1,IF(AND(W28="Pay-on-time off usage",X28="Inclusive"),((Y28*1.1)-((P28*1.1)*V28/100))/1.1,IF(AND(W28="Pay-on-time off bill",X28="Exclusive"),Y28-(Y28*U28/100),IF(AND(W28="Pay-on-time off usage",X28="Exclusive"),Y28-(P28*V28/100),IF(X28="Inclusive",((Y28*1.1))/1.1,Y28)))))</f>
        <v>836.15472545454554</v>
      </c>
      <c r="AA28" s="542">
        <f t="shared" si="19"/>
        <v>919.77019800000016</v>
      </c>
      <c r="AB28" s="542">
        <f t="shared" si="19"/>
        <v>919.77019800000016</v>
      </c>
      <c r="AC28" s="274">
        <f>'Tariffs Jul2021'!AZ22</f>
        <v>12</v>
      </c>
      <c r="AD28" s="274" t="str">
        <f>'Tariffs Jul2021'!BA22</f>
        <v>n</v>
      </c>
      <c r="AE28" s="275" t="str">
        <f>'Tariffs Jul2021'!BJ22</f>
        <v>N</v>
      </c>
      <c r="AF28" s="574"/>
      <c r="AG28" s="574"/>
      <c r="AH28" s="574"/>
      <c r="AI28" s="574"/>
      <c r="AJ28" s="574"/>
      <c r="AK28" s="574"/>
      <c r="AL28" s="574"/>
      <c r="AM28" s="574"/>
      <c r="AN28" s="574"/>
      <c r="AO28" s="574"/>
      <c r="AP28" s="574"/>
      <c r="AQ28" s="574"/>
      <c r="AR28" s="574"/>
      <c r="AS28" s="574"/>
      <c r="AT28" s="574"/>
      <c r="AU28" s="574"/>
      <c r="AV28" s="574"/>
      <c r="AW28" s="574"/>
      <c r="AX28" s="574"/>
    </row>
    <row r="29" spans="1:50" ht="14" x14ac:dyDescent="0.15">
      <c r="A29" s="270" t="str">
        <f>'Tariffs Jul2021'!F23</f>
        <v>Lumo Energy</v>
      </c>
      <c r="B29" s="40" t="str">
        <f>'Tariffs Jul2021'!D23</f>
        <v>Multinet Metro 2</v>
      </c>
      <c r="C29" s="40" t="str">
        <f>'Tariffs Jul2021'!G23</f>
        <v>Value</v>
      </c>
      <c r="D29" s="59">
        <f>365*'Tariffs Jul2021'!H23/100</f>
        <v>233.79909090909089</v>
      </c>
      <c r="E29" s="59">
        <f>IF($C$5*'Tariffs Jul2021'!AK23/'Tariffs Jul2021'!AI23&gt;='Tariffs Jul2021'!J23,( 'Tariffs Jul2021'!J23*'Tariffs Jul2021'!O23/100)* 'Tariffs Jul2021'!AI23,($C$5*'Tariffs Jul2021'!AK23/'Tariffs Jul2021'!AI23*'Tariffs Jul2021'!O23/100)* 'Tariffs Jul2021'!AI23)</f>
        <v>170.99999999999997</v>
      </c>
      <c r="F29" s="59">
        <f>IF($C$5*'Tariffs Jul2021'!AK23/'Tariffs Jul2021'!AI23&lt;'Tariffs Jul2021'!J23,0,IF($C$5*'Tariffs Jul2021'!AK23/'Tariffs Jul2021'!AI23&lt;='Tariffs Jul2021'!K23,($C$5*'Tariffs Jul2021'!AK23/'Tariffs Jul2021'!AI23-'Tariffs Jul2021'!J23)*('Tariffs Jul2021'!P23/100)*'Tariffs Jul2021'!AI23,('Tariffs Jul2021'!K23-'Tariffs Jul2021'!J23)*('Tariffs Jul2021'!P23/100)*'Tariffs Jul2021'!AI23))</f>
        <v>112.90909090909091</v>
      </c>
      <c r="G29" s="59">
        <f>IF($C$5*'Tariffs Jul2021'!AK23/'Tariffs Jul2021'!AI23&lt;'Tariffs Jul2021'!K23,0,IF($C$5*'Tariffs Jul2021'!AK23/'Tariffs Jul2021'!AI23&lt;='Tariffs Jul2021'!L23,($C$5*'Tariffs Jul2021'!AK23/'Tariffs Jul2021'!AI23-'Tariffs Jul2021'!K23)*('Tariffs Jul2021'!Q23/100)*'Tariffs Jul2021'!AI23,('Tariffs Jul2021'!L23-'Tariffs Jul2021'!K23)*('Tariffs Jul2021'!Q23/100)*'Tariffs Jul2021'!AI23))</f>
        <v>0</v>
      </c>
      <c r="H29" s="59">
        <f>IF($C$5*'Tariffs Jul2021'!AK23/'Tariffs Jul2021'!AI23&lt;'Tariffs Jul2021'!L23,0,IF($C$5*'Tariffs Jul2021'!AK23/'Tariffs Jul2021'!AI23&lt;='Tariffs Jul2021'!M23,($C$5*'Tariffs Jul2021'!AK23/'Tariffs Jul2021'!AI23-'Tariffs Jul2021'!L23)*('Tariffs Jul2021'!R23/100)*'Tariffs Jul2021'!AI23,('Tariffs Jul2021'!M23-'Tariffs Jul2021'!L23)*('Tariffs Jul2021'!R23/100)*'Tariffs Jul2021'!AI23))</f>
        <v>0</v>
      </c>
      <c r="I29" s="59">
        <f>IF(($C$5*'Tariffs Jul2021'!AK23/'Tariffs Jul2021'!AI23&gt;'Tariffs Jul2021'!M23),($C$5*'Tariffs Jul2021'!AK23/'Tariffs Jul2021'!AI23-'Tariffs Jul2021'!M23)*'Tariffs Jul2021'!S23/100*'Tariffs Jul2021'!AI23,0)</f>
        <v>0</v>
      </c>
      <c r="J29" s="59">
        <f>IF($C$5*'Tariffs Jul2021'!AL23/'Tariffs Jul2021'!AJ23&gt;='Tariffs Jul2021'!J23,('Tariffs Jul2021'!J23*'Tariffs Jul2021'!U23/100)* 'Tariffs Jul2021'!AJ23,($C$5*'Tariffs Jul2021'!AL23/'Tariffs Jul2021'!AJ23*'Tariffs Jul2021'!U23/100)* 'Tariffs Jul2021'!AJ23)</f>
        <v>169.36363636363637</v>
      </c>
      <c r="K29" s="59">
        <f>IF($C$5*'Tariffs Jul2021'!AL23/'Tariffs Jul2021'!AJ23&lt;'Tariffs Jul2021'!J23,0,IF($C$5*'Tariffs Jul2021'!AL23/'Tariffs Jul2021'!AJ23&lt;='Tariffs Jul2021'!K23,($C$5*'Tariffs Jul2021'!AL23/'Tariffs Jul2021'!AJ23-'Tariffs Jul2021'!J23)*('Tariffs Jul2021'!V23/100)*'Tariffs Jul2021'!AJ23,('Tariffs Jul2021'!K23-'Tariffs Jul2021'!J23)*('Tariffs Jul2021'!V23/100)*'Tariffs Jul2021'!AJ23))</f>
        <v>112.36363636363635</v>
      </c>
      <c r="L29" s="59">
        <f>IF($C$5*'Tariffs Jul2021'!AL23/'Tariffs Jul2021'!AJ23&lt;'Tariffs Jul2021'!K23,0,IF($C$5*'Tariffs Jul2021'!AL23/'Tariffs Jul2021'!AJ23&lt;='Tariffs Jul2021'!L23,($C$5*'Tariffs Jul2021'!AL23/'Tariffs Jul2021'!AJ23-'Tariffs Jul2021'!K23)*('Tariffs Jul2021'!W23/100)*'Tariffs Jul2021'!AJ23,('Tariffs Jul2021'!L23-'Tariffs Jul2021'!K23)*('Tariffs Jul2021'!W23/100)*'Tariffs Jul2021'!AJ23))</f>
        <v>0</v>
      </c>
      <c r="M29" s="59">
        <f>IF($C$5*'Tariffs Jul2021'!AL23/'Tariffs Jul2021'!AJ23&lt;'Tariffs Jul2021'!L23,0,IF($C$5*'Tariffs Jul2021'!AL23/'Tariffs Jul2021'!AJ23&lt;='Tariffs Jul2021'!M23,($C$5*'Tariffs Jul2021'!AL23/'Tariffs Jul2021'!AJ23-'Tariffs Jul2021'!L23)*('Tariffs Jul2021'!X23/100)*'Tariffs Jul2021'!AJ23,('Tariffs Jul2021'!M23-'Tariffs Jul2021'!L23)*('Tariffs Jul2021'!X23/100)*'Tariffs Jul2021'!AJ23))</f>
        <v>0</v>
      </c>
      <c r="N29" s="59">
        <f>IF(($C$5*'Tariffs Jul2021'!AL23/'Tariffs Jul2021'!AJ23&gt;'Tariffs Jul2021'!M23),($C$5*'Tariffs Jul2021'!AL23/'Tariffs Jul2021'!AJ23-'Tariffs Jul2021'!M23)*'Tariffs Jul2021'!Y23/100*'Tariffs Jul2021'!AJ23,0)</f>
        <v>0</v>
      </c>
      <c r="O29" s="59">
        <f t="shared" si="1"/>
        <v>565.63636363636363</v>
      </c>
      <c r="P29" s="503">
        <f t="shared" si="2"/>
        <v>622.20000000000005</v>
      </c>
      <c r="Q29" s="59">
        <f t="shared" si="3"/>
        <v>799.43545454545449</v>
      </c>
      <c r="R29" s="272">
        <f t="shared" si="4"/>
        <v>879.37900000000002</v>
      </c>
      <c r="S29" s="40">
        <f>'Tariffs Jul2021'!AN23</f>
        <v>0</v>
      </c>
      <c r="T29" s="40">
        <f>'Tariffs Jul2021'!AO23</f>
        <v>0</v>
      </c>
      <c r="U29" s="40">
        <f>'Tariffs Jul2021'!AP23</f>
        <v>0</v>
      </c>
      <c r="V29" s="40">
        <f>'Tariffs Jul2021'!AQ23</f>
        <v>0</v>
      </c>
      <c r="W29" s="537" t="str">
        <f t="shared" si="20"/>
        <v>No discount</v>
      </c>
      <c r="X29" s="538" t="str">
        <f t="shared" si="21"/>
        <v>Exclusive</v>
      </c>
      <c r="Y29" s="534">
        <f>IF(AND(W29="Guaranteed off bill",X29="Inclusive"),((Q29*1.1)-((Q29*1.1)*S29/100))/1.1,IF(AND(W29="Guaranteed off usage",X29="Inclusive"),((Q29*1.1)-((P29*1.1)*T29/100))/1.1,IF(AND(W29="Guaranteed off bill",X29="Exclusive"),Q29-(Q29*S29/100),IF(AND(W29="Guaranteed off usage",X29="Exclusive"),Q29-(P29*T29/100),IF(X29="Inclusive",((Q29*1.1))/1.1,Q29)))))</f>
        <v>799.43545454545449</v>
      </c>
      <c r="Z29" s="535">
        <f>IF(AND(W29="Pay-on-time off bill",X29="Inclusive"),((Y29*1.1)-((Y29*1.1)*U29/100))/1.1,IF(AND(W29="Pay-on-time off usage",X29="Inclusive"),((Y29*1.1)-((P29*1.1)*V29/100))/1.1,IF(AND(W29="Pay-on-time off bill",X29="Exclusive"),Y29-(Y29*U29/100),IF(AND(W29="Pay-on-time off usage",X29="Exclusive"),Y29-(P29*V29/100),IF(X29="Inclusive",((Y29*1.1))/1.1,Y29)))))</f>
        <v>799.43545454545449</v>
      </c>
      <c r="AA29" s="542">
        <f t="shared" si="19"/>
        <v>879.37900000000002</v>
      </c>
      <c r="AB29" s="542">
        <f t="shared" si="19"/>
        <v>879.37900000000002</v>
      </c>
      <c r="AC29" s="274">
        <f>'Tariffs Jul2021'!AZ23</f>
        <v>0</v>
      </c>
      <c r="AD29" s="274" t="str">
        <f>'Tariffs Jul2021'!BA23</f>
        <v>n</v>
      </c>
      <c r="AE29" s="275" t="str">
        <f>'Tariffs Jul2021'!BJ23</f>
        <v>N</v>
      </c>
      <c r="AF29" s="574"/>
      <c r="AG29" s="574"/>
      <c r="AH29" s="574"/>
      <c r="AI29" s="574"/>
      <c r="AJ29" s="574"/>
      <c r="AK29" s="574"/>
      <c r="AL29" s="574"/>
      <c r="AM29" s="574"/>
      <c r="AN29" s="574"/>
      <c r="AO29" s="574"/>
      <c r="AP29" s="574"/>
      <c r="AQ29" s="574"/>
      <c r="AR29" s="574"/>
      <c r="AS29" s="574"/>
      <c r="AT29" s="574"/>
      <c r="AU29" s="574"/>
      <c r="AV29" s="574"/>
      <c r="AW29" s="574"/>
      <c r="AX29" s="574"/>
    </row>
    <row r="30" spans="1:50" ht="14" x14ac:dyDescent="0.15">
      <c r="A30" s="270" t="str">
        <f>'Tariffs Jul2021'!F24</f>
        <v>Momentum Energy</v>
      </c>
      <c r="B30" s="40" t="str">
        <f>'Tariffs Jul2021'!D24</f>
        <v>Multinet Metro 2</v>
      </c>
      <c r="C30" s="40" t="str">
        <f>'Tariffs Jul2021'!G24</f>
        <v>Market offer</v>
      </c>
      <c r="D30" s="59">
        <f>365*'Tariffs Jul2021'!H24/100</f>
        <v>296.37999999999994</v>
      </c>
      <c r="E30" s="59">
        <f>IF($C$5*'Tariffs Jul2021'!AK24/'Tariffs Jul2021'!AI24&gt;='Tariffs Jul2021'!J24,( 'Tariffs Jul2021'!J24*'Tariffs Jul2021'!O24/100)* 'Tariffs Jul2021'!AI24,($C$5*'Tariffs Jul2021'!AK24/'Tariffs Jul2021'!AI24*'Tariffs Jul2021'!O24/100)* 'Tariffs Jul2021'!AI24)</f>
        <v>197.99999999999994</v>
      </c>
      <c r="F30" s="59">
        <f>IF($C$5*'Tariffs Jul2021'!AK24/'Tariffs Jul2021'!AI24&lt;'Tariffs Jul2021'!J24,0,IF($C$5*'Tariffs Jul2021'!AK24/'Tariffs Jul2021'!AI24&lt;='Tariffs Jul2021'!K24,($C$5*'Tariffs Jul2021'!AK24/'Tariffs Jul2021'!AI24-'Tariffs Jul2021'!J24)*('Tariffs Jul2021'!P24/100)*'Tariffs Jul2021'!AI24,('Tariffs Jul2021'!K24-'Tariffs Jul2021'!J24)*('Tariffs Jul2021'!P24/100)*'Tariffs Jul2021'!AI24))</f>
        <v>120</v>
      </c>
      <c r="G30" s="59">
        <f>IF($C$5*'Tariffs Jul2021'!AK24/'Tariffs Jul2021'!AI24&lt;'Tariffs Jul2021'!K24,0,IF($C$5*'Tariffs Jul2021'!AK24/'Tariffs Jul2021'!AI24&lt;='Tariffs Jul2021'!L24,($C$5*'Tariffs Jul2021'!AK24/'Tariffs Jul2021'!AI24-'Tariffs Jul2021'!K24)*('Tariffs Jul2021'!Q24/100)*'Tariffs Jul2021'!AI24,('Tariffs Jul2021'!L24-'Tariffs Jul2021'!K24)*('Tariffs Jul2021'!Q24/100)*'Tariffs Jul2021'!AI24))</f>
        <v>0</v>
      </c>
      <c r="H30" s="59">
        <f>IF($C$5*'Tariffs Jul2021'!AK24/'Tariffs Jul2021'!AI24&lt;'Tariffs Jul2021'!L24,0,IF($C$5*'Tariffs Jul2021'!AK24/'Tariffs Jul2021'!AI24&lt;='Tariffs Jul2021'!M24,($C$5*'Tariffs Jul2021'!AK24/'Tariffs Jul2021'!AI24-'Tariffs Jul2021'!L24)*('Tariffs Jul2021'!R24/100)*'Tariffs Jul2021'!AI24,('Tariffs Jul2021'!M24-'Tariffs Jul2021'!L24)*('Tariffs Jul2021'!R24/100)*'Tariffs Jul2021'!AI24))</f>
        <v>0</v>
      </c>
      <c r="I30" s="59">
        <f>IF(($C$5*'Tariffs Jul2021'!AK24/'Tariffs Jul2021'!AI24&gt;'Tariffs Jul2021'!M24),($C$5*'Tariffs Jul2021'!AK24/'Tariffs Jul2021'!AI24-'Tariffs Jul2021'!M24)*'Tariffs Jul2021'!S24/100*'Tariffs Jul2021'!AI24,0)</f>
        <v>0</v>
      </c>
      <c r="J30" s="59">
        <f>IF($C$5*'Tariffs Jul2021'!AL24/'Tariffs Jul2021'!AJ24&gt;='Tariffs Jul2021'!J24,('Tariffs Jul2021'!J24*'Tariffs Jul2021'!U24/100)* 'Tariffs Jul2021'!AJ24,($C$5*'Tariffs Jul2021'!AL24/'Tariffs Jul2021'!AJ24*'Tariffs Jul2021'!U24/100)* 'Tariffs Jul2021'!AJ24)</f>
        <v>180</v>
      </c>
      <c r="K30" s="59">
        <f>IF($C$5*'Tariffs Jul2021'!AL24/'Tariffs Jul2021'!AJ24&lt;'Tariffs Jul2021'!J24,0,IF($C$5*'Tariffs Jul2021'!AL24/'Tariffs Jul2021'!AJ24&lt;='Tariffs Jul2021'!K24,($C$5*'Tariffs Jul2021'!AL24/'Tariffs Jul2021'!AJ24-'Tariffs Jul2021'!J24)*('Tariffs Jul2021'!V24/100)*'Tariffs Jul2021'!AJ24,('Tariffs Jul2021'!K24-'Tariffs Jul2021'!J24)*('Tariffs Jul2021'!V24/100)*'Tariffs Jul2021'!AJ24))</f>
        <v>113.99999999999997</v>
      </c>
      <c r="L30" s="59">
        <f>IF($C$5*'Tariffs Jul2021'!AL24/'Tariffs Jul2021'!AJ24&lt;'Tariffs Jul2021'!K24,0,IF($C$5*'Tariffs Jul2021'!AL24/'Tariffs Jul2021'!AJ24&lt;='Tariffs Jul2021'!L24,($C$5*'Tariffs Jul2021'!AL24/'Tariffs Jul2021'!AJ24-'Tariffs Jul2021'!K24)*('Tariffs Jul2021'!W24/100)*'Tariffs Jul2021'!AJ24,('Tariffs Jul2021'!L24-'Tariffs Jul2021'!K24)*('Tariffs Jul2021'!W24/100)*'Tariffs Jul2021'!AJ24))</f>
        <v>0</v>
      </c>
      <c r="M30" s="59">
        <f>IF($C$5*'Tariffs Jul2021'!AL24/'Tariffs Jul2021'!AJ24&lt;'Tariffs Jul2021'!L24,0,IF($C$5*'Tariffs Jul2021'!AL24/'Tariffs Jul2021'!AJ24&lt;='Tariffs Jul2021'!M24,($C$5*'Tariffs Jul2021'!AL24/'Tariffs Jul2021'!AJ24-'Tariffs Jul2021'!L24)*('Tariffs Jul2021'!X24/100)*'Tariffs Jul2021'!AJ24,('Tariffs Jul2021'!M24-'Tariffs Jul2021'!L24)*('Tariffs Jul2021'!X24/100)*'Tariffs Jul2021'!AJ24))</f>
        <v>0</v>
      </c>
      <c r="N30" s="59">
        <f>IF(($C$5*'Tariffs Jul2021'!AL24/'Tariffs Jul2021'!AJ24&gt;'Tariffs Jul2021'!M24),($C$5*'Tariffs Jul2021'!AL24/'Tariffs Jul2021'!AJ24-'Tariffs Jul2021'!M24)*'Tariffs Jul2021'!Y24/100*'Tariffs Jul2021'!AJ24,0)</f>
        <v>0</v>
      </c>
      <c r="O30" s="59">
        <f t="shared" si="1"/>
        <v>611.99999999999989</v>
      </c>
      <c r="P30" s="503">
        <f t="shared" si="2"/>
        <v>673.19999999999993</v>
      </c>
      <c r="Q30" s="59">
        <f t="shared" si="3"/>
        <v>908.37999999999988</v>
      </c>
      <c r="R30" s="272">
        <f t="shared" si="4"/>
        <v>999.21799999999996</v>
      </c>
      <c r="S30" s="40">
        <f>'Tariffs Jul2021'!AN24</f>
        <v>0</v>
      </c>
      <c r="T30" s="40">
        <f>'Tariffs Jul2021'!AO24</f>
        <v>0</v>
      </c>
      <c r="U30" s="40">
        <f>'Tariffs Jul2021'!AP24</f>
        <v>0</v>
      </c>
      <c r="V30" s="40">
        <f>'Tariffs Jul2021'!AQ24</f>
        <v>0</v>
      </c>
      <c r="W30" s="537" t="str">
        <f t="shared" si="20"/>
        <v>No discount</v>
      </c>
      <c r="X30" s="538" t="str">
        <f t="shared" si="21"/>
        <v>Exclusive</v>
      </c>
      <c r="Y30" s="534">
        <f t="shared" ref="Y30" si="26">IF(AND(W30="Guaranteed off bill",X30="Inclusive"),((Q30*1.1)-((Q30*1.1)*S30/100))/1.1,IF(AND(W30="Guaranteed off usage",X30="Inclusive"),((Q30*1.1)-((P30*1.1)*T30/100))/1.1,IF(AND(W30="Guaranteed off bill",X30="Exclusive"),Q30-(Q30*S30/100),IF(AND(W30="Guaranteed off usage",X30="Exclusive"),Q30-(P30*T30/100),IF(X30="Inclusive",((Q30*1.1))/1.1,Q30)))))</f>
        <v>908.37999999999988</v>
      </c>
      <c r="Z30" s="535">
        <f t="shared" ref="Z30" si="27">IF(AND(W30="Pay-on-time off bill",X30="Inclusive"),((Y30*1.1)-((Y30*1.1)*U30/100))/1.1,IF(AND(W30="Pay-on-time off usage",X30="Inclusive"),((Y30*1.1)-((P30*1.1)*V30/100))/1.1,IF(AND(W30="Pay-on-time off bill",X30="Exclusive"),Y30-(Y30*U30/100),IF(AND(W30="Pay-on-time off usage",X30="Exclusive"),Y30-(P30*V30/100),IF(X30="Inclusive",((Y30*1.1))/1.1,Y30)))))</f>
        <v>908.37999999999988</v>
      </c>
      <c r="AA30" s="542">
        <f t="shared" si="19"/>
        <v>999.21799999999996</v>
      </c>
      <c r="AB30" s="542">
        <f t="shared" si="19"/>
        <v>999.21799999999996</v>
      </c>
      <c r="AC30" s="274">
        <f>'Tariffs Jul2021'!AZ24</f>
        <v>0</v>
      </c>
      <c r="AD30" s="274" t="str">
        <f>'Tariffs Jul2021'!BA24</f>
        <v>n</v>
      </c>
      <c r="AE30" s="275" t="str">
        <f>'Tariffs Jul2021'!BJ24</f>
        <v>N</v>
      </c>
      <c r="AF30" s="574"/>
      <c r="AG30" s="574"/>
      <c r="AH30" s="574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574"/>
      <c r="AX30" s="574"/>
    </row>
    <row r="31" spans="1:50" ht="14" x14ac:dyDescent="0.15">
      <c r="A31" s="270" t="str">
        <f>'Tariffs Jul2021'!F25</f>
        <v>Origin Energy</v>
      </c>
      <c r="B31" s="40" t="str">
        <f>'Tariffs Jul2021'!D25</f>
        <v>Multinet Metro 2</v>
      </c>
      <c r="C31" s="40" t="str">
        <f>'Tariffs Jul2021'!G25</f>
        <v>Go</v>
      </c>
      <c r="D31" s="59">
        <f>365*'Tariffs Jul2021'!H25/100</f>
        <v>226.96363636363637</v>
      </c>
      <c r="E31" s="59">
        <f>IF($C$5*'Tariffs Jul2021'!AK25/'Tariffs Jul2021'!AI25&gt;='Tariffs Jul2021'!J25,( 'Tariffs Jul2021'!J25*'Tariffs Jul2021'!O25/100)* 'Tariffs Jul2021'!AI25,($C$5*'Tariffs Jul2021'!AK25/'Tariffs Jul2021'!AI25*'Tariffs Jul2021'!O25/100)* 'Tariffs Jul2021'!AI25)</f>
        <v>321.81818181818181</v>
      </c>
      <c r="F31" s="59">
        <f>IF($C$5*'Tariffs Jul2021'!AK25/'Tariffs Jul2021'!AI25&lt;'Tariffs Jul2021'!J25,0,IF($C$5*'Tariffs Jul2021'!AK25/'Tariffs Jul2021'!AI25&lt;='Tariffs Jul2021'!K25,($C$5*'Tariffs Jul2021'!AK25/'Tariffs Jul2021'!AI25-'Tariffs Jul2021'!J25)*('Tariffs Jul2021'!P25/100)*'Tariffs Jul2021'!AI25,('Tariffs Jul2021'!K25-'Tariffs Jul2021'!J25)*('Tariffs Jul2021'!P25/100)*'Tariffs Jul2021'!AI25))</f>
        <v>0</v>
      </c>
      <c r="G31" s="59">
        <f>IF($C$5*'Tariffs Jul2021'!AK25/'Tariffs Jul2021'!AI25&lt;'Tariffs Jul2021'!K25,0,IF($C$5*'Tariffs Jul2021'!AK25/'Tariffs Jul2021'!AI25&lt;='Tariffs Jul2021'!L25,($C$5*'Tariffs Jul2021'!AK25/'Tariffs Jul2021'!AI25-'Tariffs Jul2021'!K25)*('Tariffs Jul2021'!Q25/100)*'Tariffs Jul2021'!AI25,('Tariffs Jul2021'!L25-'Tariffs Jul2021'!K25)*('Tariffs Jul2021'!Q25/100)*'Tariffs Jul2021'!AI25))</f>
        <v>0</v>
      </c>
      <c r="H31" s="59">
        <f>IF($C$5*'Tariffs Jul2021'!AK25/'Tariffs Jul2021'!AI25&lt;'Tariffs Jul2021'!L25,0,IF($C$5*'Tariffs Jul2021'!AK25/'Tariffs Jul2021'!AI25&lt;='Tariffs Jul2021'!M25,($C$5*'Tariffs Jul2021'!AK25/'Tariffs Jul2021'!AI25-'Tariffs Jul2021'!L25)*('Tariffs Jul2021'!R25/100)*'Tariffs Jul2021'!AI25,('Tariffs Jul2021'!M25-'Tariffs Jul2021'!L25)*('Tariffs Jul2021'!R25/100)*'Tariffs Jul2021'!AI25))</f>
        <v>0</v>
      </c>
      <c r="I31" s="59">
        <f>IF(($C$5*'Tariffs Jul2021'!AK25/'Tariffs Jul2021'!AI25&gt;'Tariffs Jul2021'!M25),($C$5*'Tariffs Jul2021'!AK25/'Tariffs Jul2021'!AI25-'Tariffs Jul2021'!M25)*'Tariffs Jul2021'!S25/100*'Tariffs Jul2021'!AI25,0)</f>
        <v>0</v>
      </c>
      <c r="J31" s="59">
        <f>IF($C$5*'Tariffs Jul2021'!AL25/'Tariffs Jul2021'!AJ25&gt;='Tariffs Jul2021'!J25,('Tariffs Jul2021'!J25*'Tariffs Jul2021'!U25/100)* 'Tariffs Jul2021'!AJ25,($C$5*'Tariffs Jul2021'!AL25/'Tariffs Jul2021'!AJ25*'Tariffs Jul2021'!U25/100)* 'Tariffs Jul2021'!AJ25)</f>
        <v>321.81818181818181</v>
      </c>
      <c r="K31" s="59">
        <f>IF($C$5*'Tariffs Jul2021'!AL25/'Tariffs Jul2021'!AJ25&lt;'Tariffs Jul2021'!J25,0,IF($C$5*'Tariffs Jul2021'!AL25/'Tariffs Jul2021'!AJ25&lt;='Tariffs Jul2021'!K25,($C$5*'Tariffs Jul2021'!AL25/'Tariffs Jul2021'!AJ25-'Tariffs Jul2021'!J25)*('Tariffs Jul2021'!V25/100)*'Tariffs Jul2021'!AJ25,('Tariffs Jul2021'!K25-'Tariffs Jul2021'!J25)*('Tariffs Jul2021'!V25/100)*'Tariffs Jul2021'!AJ25))</f>
        <v>0</v>
      </c>
      <c r="L31" s="59">
        <f>IF($C$5*'Tariffs Jul2021'!AL25/'Tariffs Jul2021'!AJ25&lt;'Tariffs Jul2021'!K25,0,IF($C$5*'Tariffs Jul2021'!AL25/'Tariffs Jul2021'!AJ25&lt;='Tariffs Jul2021'!L25,($C$5*'Tariffs Jul2021'!AL25/'Tariffs Jul2021'!AJ25-'Tariffs Jul2021'!K25)*('Tariffs Jul2021'!W25/100)*'Tariffs Jul2021'!AJ25,('Tariffs Jul2021'!L25-'Tariffs Jul2021'!K25)*('Tariffs Jul2021'!W25/100)*'Tariffs Jul2021'!AJ25))</f>
        <v>0</v>
      </c>
      <c r="M31" s="59">
        <f>IF($C$5*'Tariffs Jul2021'!AL25/'Tariffs Jul2021'!AJ25&lt;'Tariffs Jul2021'!L25,0,IF($C$5*'Tariffs Jul2021'!AL25/'Tariffs Jul2021'!AJ25&lt;='Tariffs Jul2021'!M25,($C$5*'Tariffs Jul2021'!AL25/'Tariffs Jul2021'!AJ25-'Tariffs Jul2021'!L25)*('Tariffs Jul2021'!X25/100)*'Tariffs Jul2021'!AJ25,('Tariffs Jul2021'!M25-'Tariffs Jul2021'!L25)*('Tariffs Jul2021'!X25/100)*'Tariffs Jul2021'!AJ25))</f>
        <v>0</v>
      </c>
      <c r="N31" s="59">
        <f>IF(($C$5*'Tariffs Jul2021'!AL25/'Tariffs Jul2021'!AJ25&gt;'Tariffs Jul2021'!M25),($C$5*'Tariffs Jul2021'!AL25/'Tariffs Jul2021'!AJ25-'Tariffs Jul2021'!M25)*'Tariffs Jul2021'!Y25/100*'Tariffs Jul2021'!AJ25,0)</f>
        <v>0</v>
      </c>
      <c r="O31" s="59">
        <f t="shared" si="1"/>
        <v>643.63636363636363</v>
      </c>
      <c r="P31" s="503">
        <f t="shared" si="2"/>
        <v>708</v>
      </c>
      <c r="Q31" s="59">
        <f t="shared" si="3"/>
        <v>870.6</v>
      </c>
      <c r="R31" s="272">
        <f t="shared" si="4"/>
        <v>957.66000000000008</v>
      </c>
      <c r="S31" s="40">
        <f>'Tariffs Jul2021'!AN25</f>
        <v>0</v>
      </c>
      <c r="T31" s="40">
        <f>'Tariffs Jul2021'!AO25</f>
        <v>0</v>
      </c>
      <c r="U31" s="40">
        <f>'Tariffs Jul2021'!AP25</f>
        <v>0</v>
      </c>
      <c r="V31" s="40">
        <f>'Tariffs Jul2021'!AQ25</f>
        <v>0</v>
      </c>
      <c r="W31" s="537" t="str">
        <f t="shared" si="20"/>
        <v>No discount</v>
      </c>
      <c r="X31" s="538" t="str">
        <f t="shared" si="21"/>
        <v>Inclusive</v>
      </c>
      <c r="Y31" s="534">
        <f>IF(AND(W31="Guaranteed off bill",X31="Inclusive"),((Q31*1.1)-((Q31*1.1)*S31/100))/1.1,IF(AND(W31="Guaranteed off usage",X31="Inclusive"),((Q31*1.1)-((P31*1.1)*T31/100))/1.1,IF(AND(W31="Guaranteed off bill",X31="Exclusive"),Q31-(Q31*S31/100),IF(AND(W31="Guaranteed off usage",X31="Exclusive"),Q31-(P31*T31/100),IF(X31="Inclusive",((Q31*1.1))/1.1,Q31)))))</f>
        <v>870.6</v>
      </c>
      <c r="Z31" s="535">
        <f>IF(AND(W31="Pay-on-time off bill",X31="Inclusive"),((Y31*1.1)-((Y31*1.1)*U31/100))/1.1,IF(AND(W31="Pay-on-time off usage",X31="Inclusive"),((Y31*1.1)-((P31*1.1)*V31/100))/1.1,IF(AND(W31="Pay-on-time off bill",X31="Exclusive"),Y31-(Y31*U31/100),IF(AND(W31="Pay-on-time off usage",X31="Exclusive"),Y31-(P31*V31/100),IF(X31="Inclusive",((Y31*1.1))/1.1,Y31)))))</f>
        <v>870.6</v>
      </c>
      <c r="AA31" s="542">
        <f t="shared" si="19"/>
        <v>957.66000000000008</v>
      </c>
      <c r="AB31" s="542">
        <f t="shared" si="19"/>
        <v>957.66000000000008</v>
      </c>
      <c r="AC31" s="274">
        <f>'Tariffs Jul2021'!AZ25</f>
        <v>0</v>
      </c>
      <c r="AD31" s="274" t="str">
        <f>'Tariffs Jul2021'!BA25</f>
        <v>n</v>
      </c>
      <c r="AE31" s="275" t="str">
        <f>'Tariffs Jul2021'!BJ25</f>
        <v>N</v>
      </c>
      <c r="AF31" s="574"/>
      <c r="AG31" s="574"/>
      <c r="AH31" s="574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574"/>
      <c r="AX31" s="574"/>
    </row>
    <row r="32" spans="1:50" ht="14" x14ac:dyDescent="0.15">
      <c r="A32" s="270" t="str">
        <f>'Tariffs Jul2021'!F26</f>
        <v>Red Energy</v>
      </c>
      <c r="B32" s="40" t="str">
        <f>'Tariffs Jul2021'!D26</f>
        <v>Multinet Metro 2</v>
      </c>
      <c r="C32" s="40" t="str">
        <f>'Tariffs Jul2021'!G26</f>
        <v>Living Energy Saver</v>
      </c>
      <c r="D32" s="59">
        <f>365*'Tariffs Jul2021'!H26/100</f>
        <v>239.14136363636356</v>
      </c>
      <c r="E32" s="59">
        <f>IF($C$5*'Tariffs Jul2021'!AK26/'Tariffs Jul2021'!AI26&gt;='Tariffs Jul2021'!J26,( 'Tariffs Jul2021'!J26*'Tariffs Jul2021'!O26/100)* 'Tariffs Jul2021'!AI26,($C$5*'Tariffs Jul2021'!AK26/'Tariffs Jul2021'!AI26*'Tariffs Jul2021'!O26/100)* 'Tariffs Jul2021'!AI26)</f>
        <v>185.72727272727269</v>
      </c>
      <c r="F32" s="59">
        <f>IF($C$5*'Tariffs Jul2021'!AK26/'Tariffs Jul2021'!AI26&lt;'Tariffs Jul2021'!J26,0,IF($C$5*'Tariffs Jul2021'!AK26/'Tariffs Jul2021'!AI26&lt;='Tariffs Jul2021'!K26,($C$5*'Tariffs Jul2021'!AK26/'Tariffs Jul2021'!AI26-'Tariffs Jul2021'!J26)*('Tariffs Jul2021'!P26/100)*'Tariffs Jul2021'!AI26,('Tariffs Jul2021'!K26-'Tariffs Jul2021'!J26)*('Tariffs Jul2021'!P26/100)*'Tariffs Jul2021'!AI26))</f>
        <v>116.18181818181816</v>
      </c>
      <c r="G32" s="59">
        <f>IF($C$5*'Tariffs Jul2021'!AK26/'Tariffs Jul2021'!AI26&lt;'Tariffs Jul2021'!K26,0,IF($C$5*'Tariffs Jul2021'!AK26/'Tariffs Jul2021'!AI26&lt;='Tariffs Jul2021'!L26,($C$5*'Tariffs Jul2021'!AK26/'Tariffs Jul2021'!AI26-'Tariffs Jul2021'!K26)*('Tariffs Jul2021'!Q26/100)*'Tariffs Jul2021'!AI26,('Tariffs Jul2021'!L26-'Tariffs Jul2021'!K26)*('Tariffs Jul2021'!Q26/100)*'Tariffs Jul2021'!AI26))</f>
        <v>0</v>
      </c>
      <c r="H32" s="59">
        <f>IF($C$5*'Tariffs Jul2021'!AK26/'Tariffs Jul2021'!AI26&lt;'Tariffs Jul2021'!L26,0,IF($C$5*'Tariffs Jul2021'!AK26/'Tariffs Jul2021'!AI26&lt;='Tariffs Jul2021'!M26,($C$5*'Tariffs Jul2021'!AK26/'Tariffs Jul2021'!AI26-'Tariffs Jul2021'!L26)*('Tariffs Jul2021'!R26/100)*'Tariffs Jul2021'!AI26,('Tariffs Jul2021'!M26-'Tariffs Jul2021'!L26)*('Tariffs Jul2021'!R26/100)*'Tariffs Jul2021'!AI26))</f>
        <v>0</v>
      </c>
      <c r="I32" s="59">
        <f>IF(($C$5*'Tariffs Jul2021'!AK26/'Tariffs Jul2021'!AI26&gt;'Tariffs Jul2021'!M26),($C$5*'Tariffs Jul2021'!AK26/'Tariffs Jul2021'!AI26-'Tariffs Jul2021'!M26)*'Tariffs Jul2021'!S26/100*'Tariffs Jul2021'!AI26,0)</f>
        <v>0</v>
      </c>
      <c r="J32" s="59">
        <f>IF($C$5*'Tariffs Jul2021'!AL26/'Tariffs Jul2021'!AJ26&gt;='Tariffs Jul2021'!J26,('Tariffs Jul2021'!J26*'Tariffs Jul2021'!U26/100)* 'Tariffs Jul2021'!AJ26,($C$5*'Tariffs Jul2021'!AL26/'Tariffs Jul2021'!AJ26*'Tariffs Jul2021'!U26/100)* 'Tariffs Jul2021'!AJ26)</f>
        <v>176.72727272727272</v>
      </c>
      <c r="K32" s="59">
        <f>IF($C$5*'Tariffs Jul2021'!AL26/'Tariffs Jul2021'!AJ26&lt;'Tariffs Jul2021'!J26,0,IF($C$5*'Tariffs Jul2021'!AL26/'Tariffs Jul2021'!AJ26&lt;='Tariffs Jul2021'!K26,($C$5*'Tariffs Jul2021'!AL26/'Tariffs Jul2021'!AJ26-'Tariffs Jul2021'!J26)*('Tariffs Jul2021'!V26/100)*'Tariffs Jul2021'!AJ26,('Tariffs Jul2021'!K26-'Tariffs Jul2021'!J26)*('Tariffs Jul2021'!V26/100)*'Tariffs Jul2021'!AJ26))</f>
        <v>108</v>
      </c>
      <c r="L32" s="59">
        <f>IF($C$5*'Tariffs Jul2021'!AL26/'Tariffs Jul2021'!AJ26&lt;'Tariffs Jul2021'!K26,0,IF($C$5*'Tariffs Jul2021'!AL26/'Tariffs Jul2021'!AJ26&lt;='Tariffs Jul2021'!L26,($C$5*'Tariffs Jul2021'!AL26/'Tariffs Jul2021'!AJ26-'Tariffs Jul2021'!K26)*('Tariffs Jul2021'!W26/100)*'Tariffs Jul2021'!AJ26,('Tariffs Jul2021'!L26-'Tariffs Jul2021'!K26)*('Tariffs Jul2021'!W26/100)*'Tariffs Jul2021'!AJ26))</f>
        <v>0</v>
      </c>
      <c r="M32" s="59">
        <f>IF($C$5*'Tariffs Jul2021'!AL26/'Tariffs Jul2021'!AJ26&lt;'Tariffs Jul2021'!L26,0,IF($C$5*'Tariffs Jul2021'!AL26/'Tariffs Jul2021'!AJ26&lt;='Tariffs Jul2021'!M26,($C$5*'Tariffs Jul2021'!AL26/'Tariffs Jul2021'!AJ26-'Tariffs Jul2021'!L26)*('Tariffs Jul2021'!X26/100)*'Tariffs Jul2021'!AJ26,('Tariffs Jul2021'!M26-'Tariffs Jul2021'!L26)*('Tariffs Jul2021'!X26/100)*'Tariffs Jul2021'!AJ26))</f>
        <v>0</v>
      </c>
      <c r="N32" s="59">
        <f>IF(($C$5*'Tariffs Jul2021'!AL26/'Tariffs Jul2021'!AJ26&gt;'Tariffs Jul2021'!M26),($C$5*'Tariffs Jul2021'!AL26/'Tariffs Jul2021'!AJ26-'Tariffs Jul2021'!M26)*'Tariffs Jul2021'!Y26/100*'Tariffs Jul2021'!AJ26,0)</f>
        <v>0</v>
      </c>
      <c r="O32" s="59">
        <f t="shared" si="1"/>
        <v>586.63636363636363</v>
      </c>
      <c r="P32" s="503">
        <f t="shared" si="2"/>
        <v>645.30000000000007</v>
      </c>
      <c r="Q32" s="59">
        <f t="shared" si="3"/>
        <v>825.77772727272713</v>
      </c>
      <c r="R32" s="272">
        <f t="shared" si="4"/>
        <v>908.35549999999989</v>
      </c>
      <c r="S32" s="40">
        <f>'Tariffs Jul2021'!AN26</f>
        <v>0</v>
      </c>
      <c r="T32" s="40">
        <f>'Tariffs Jul2021'!AO26</f>
        <v>0</v>
      </c>
      <c r="U32" s="40">
        <f>'Tariffs Jul2021'!AP26</f>
        <v>0</v>
      </c>
      <c r="V32" s="40">
        <f>'Tariffs Jul2021'!AQ26</f>
        <v>0</v>
      </c>
      <c r="W32" s="537" t="str">
        <f t="shared" si="20"/>
        <v>No discount</v>
      </c>
      <c r="X32" s="538" t="str">
        <f t="shared" si="21"/>
        <v>Inclusive</v>
      </c>
      <c r="Y32" s="534">
        <f t="shared" ref="Y32:Y35" si="28">IF(AND(W32="Guaranteed off bill",X32="Inclusive"),((Q32*1.1)-((Q32*1.1)*S32/100))/1.1,IF(AND(W32="Guaranteed off usage",X32="Inclusive"),((Q32*1.1)-((P32*1.1)*T32/100))/1.1,IF(AND(W32="Guaranteed off bill",X32="Exclusive"),Q32-(Q32*S32/100),IF(AND(W32="Guaranteed off usage",X32="Exclusive"),Q32-(P32*T32/100),IF(X32="Inclusive",((Q32*1.1))/1.1,Q32)))))</f>
        <v>825.77772727272713</v>
      </c>
      <c r="Z32" s="535">
        <f t="shared" ref="Z32:Z35" si="29">IF(AND(W32="Pay-on-time off bill",X32="Inclusive"),((Y32*1.1)-((Y32*1.1)*U32/100))/1.1,IF(AND(W32="Pay-on-time off usage",X32="Inclusive"),((Y32*1.1)-((P32*1.1)*V32/100))/1.1,IF(AND(W32="Pay-on-time off bill",X32="Exclusive"),Y32-(Y32*U32/100),IF(AND(W32="Pay-on-time off usage",X32="Exclusive"),Y32-(P32*V32/100),IF(X32="Inclusive",((Y32*1.1))/1.1,Y32)))))</f>
        <v>825.77772727272713</v>
      </c>
      <c r="AA32" s="542">
        <f t="shared" si="19"/>
        <v>908.35549999999989</v>
      </c>
      <c r="AB32" s="542">
        <f t="shared" si="19"/>
        <v>908.35549999999989</v>
      </c>
      <c r="AC32" s="274">
        <f>'Tariffs Jul2021'!AZ26</f>
        <v>0</v>
      </c>
      <c r="AD32" s="274" t="str">
        <f>'Tariffs Jul2021'!BA26</f>
        <v>n</v>
      </c>
      <c r="AE32" s="275" t="str">
        <f>'Tariffs Jul2021'!BJ26</f>
        <v>N</v>
      </c>
      <c r="AF32" s="574"/>
      <c r="AG32" s="574"/>
      <c r="AH32" s="574"/>
      <c r="AI32" s="574"/>
      <c r="AJ32" s="574"/>
      <c r="AK32" s="574"/>
      <c r="AL32" s="574"/>
      <c r="AM32" s="574"/>
      <c r="AN32" s="574"/>
      <c r="AO32" s="574"/>
      <c r="AP32" s="574"/>
      <c r="AQ32" s="574"/>
      <c r="AR32" s="574"/>
      <c r="AS32" s="574"/>
      <c r="AT32" s="574"/>
      <c r="AU32" s="574"/>
      <c r="AV32" s="574"/>
      <c r="AW32" s="574"/>
      <c r="AX32" s="574"/>
    </row>
    <row r="33" spans="1:50" ht="14" x14ac:dyDescent="0.15">
      <c r="A33" s="270" t="str">
        <f>'Tariffs Jul2021'!F27</f>
        <v>Simply Energy</v>
      </c>
      <c r="B33" s="40" t="str">
        <f>'Tariffs Jul2021'!D27</f>
        <v>Multinet Metro 2</v>
      </c>
      <c r="C33" s="40" t="str">
        <f>'Tariffs Jul2021'!G27</f>
        <v>Saver</v>
      </c>
      <c r="D33" s="59">
        <f>365*'Tariffs Jul2021'!H27/100</f>
        <v>305.40545454545457</v>
      </c>
      <c r="E33" s="59">
        <f>IF($C$5*'Tariffs Jul2021'!AK27/'Tariffs Jul2021'!AI27&gt;='Tariffs Jul2021'!J27,( 'Tariffs Jul2021'!J27*'Tariffs Jul2021'!O27/100)* 'Tariffs Jul2021'!AI27,($C$5*'Tariffs Jul2021'!AK27/'Tariffs Jul2021'!AI27*'Tariffs Jul2021'!O27/100)* 'Tariffs Jul2021'!AI27)</f>
        <v>222.54545454545456</v>
      </c>
      <c r="F33" s="59">
        <f>IF($C$5*'Tariffs Jul2021'!AK27/'Tariffs Jul2021'!AI27&lt;'Tariffs Jul2021'!J27,0,IF($C$5*'Tariffs Jul2021'!AK27/'Tariffs Jul2021'!AI27&lt;='Tariffs Jul2021'!K27,($C$5*'Tariffs Jul2021'!AK27/'Tariffs Jul2021'!AI27-'Tariffs Jul2021'!J27)*('Tariffs Jul2021'!P27/100)*'Tariffs Jul2021'!AI27,('Tariffs Jul2021'!K27-'Tariffs Jul2021'!J27)*('Tariffs Jul2021'!P27/100)*'Tariffs Jul2021'!AI27))</f>
        <v>128.36363636363635</v>
      </c>
      <c r="G33" s="59">
        <f>IF($C$5*'Tariffs Jul2021'!AK27/'Tariffs Jul2021'!AI27&lt;'Tariffs Jul2021'!K27,0,IF($C$5*'Tariffs Jul2021'!AK27/'Tariffs Jul2021'!AI27&lt;='Tariffs Jul2021'!L27,($C$5*'Tariffs Jul2021'!AK27/'Tariffs Jul2021'!AI27-'Tariffs Jul2021'!K27)*('Tariffs Jul2021'!Q27/100)*'Tariffs Jul2021'!AI27,('Tariffs Jul2021'!L27-'Tariffs Jul2021'!K27)*('Tariffs Jul2021'!Q27/100)*'Tariffs Jul2021'!AI27))</f>
        <v>0</v>
      </c>
      <c r="H33" s="59">
        <f>IF($C$5*'Tariffs Jul2021'!AK27/'Tariffs Jul2021'!AI27&lt;'Tariffs Jul2021'!L27,0,IF($C$5*'Tariffs Jul2021'!AK27/'Tariffs Jul2021'!AI27&lt;='Tariffs Jul2021'!M27,($C$5*'Tariffs Jul2021'!AK27/'Tariffs Jul2021'!AI27-'Tariffs Jul2021'!L27)*('Tariffs Jul2021'!R27/100)*'Tariffs Jul2021'!AI27,('Tariffs Jul2021'!M27-'Tariffs Jul2021'!L27)*('Tariffs Jul2021'!R27/100)*'Tariffs Jul2021'!AI27))</f>
        <v>0</v>
      </c>
      <c r="I33" s="59">
        <f>IF(($C$5*'Tariffs Jul2021'!AK27/'Tariffs Jul2021'!AI27&gt;'Tariffs Jul2021'!M27),($C$5*'Tariffs Jul2021'!AK27/'Tariffs Jul2021'!AI27-'Tariffs Jul2021'!M27)*'Tariffs Jul2021'!S27/100*'Tariffs Jul2021'!AI27,0)</f>
        <v>0</v>
      </c>
      <c r="J33" s="59">
        <f>IF($C$5*'Tariffs Jul2021'!AL27/'Tariffs Jul2021'!AJ27&gt;='Tariffs Jul2021'!J27,('Tariffs Jul2021'!J27*'Tariffs Jul2021'!U27/100)* 'Tariffs Jul2021'!AJ27,($C$5*'Tariffs Jul2021'!AL27/'Tariffs Jul2021'!AJ27*'Tariffs Jul2021'!U27/100)* 'Tariffs Jul2021'!AJ27)</f>
        <v>210.27272727272725</v>
      </c>
      <c r="K33" s="59">
        <f>IF($C$5*'Tariffs Jul2021'!AL27/'Tariffs Jul2021'!AJ27&lt;'Tariffs Jul2021'!J27,0,IF($C$5*'Tariffs Jul2021'!AL27/'Tariffs Jul2021'!AJ27&lt;='Tariffs Jul2021'!K27,($C$5*'Tariffs Jul2021'!AL27/'Tariffs Jul2021'!AJ27-'Tariffs Jul2021'!J27)*('Tariffs Jul2021'!V27/100)*'Tariffs Jul2021'!AJ27,('Tariffs Jul2021'!K27-'Tariffs Jul2021'!J27)*('Tariffs Jul2021'!V27/100)*'Tariffs Jul2021'!AJ27))</f>
        <v>122.18181818181819</v>
      </c>
      <c r="L33" s="59">
        <f>IF($C$5*'Tariffs Jul2021'!AL27/'Tariffs Jul2021'!AJ27&lt;'Tariffs Jul2021'!K27,0,IF($C$5*'Tariffs Jul2021'!AL27/'Tariffs Jul2021'!AJ27&lt;='Tariffs Jul2021'!L27,($C$5*'Tariffs Jul2021'!AL27/'Tariffs Jul2021'!AJ27-'Tariffs Jul2021'!K27)*('Tariffs Jul2021'!W27/100)*'Tariffs Jul2021'!AJ27,('Tariffs Jul2021'!L27-'Tariffs Jul2021'!K27)*('Tariffs Jul2021'!W27/100)*'Tariffs Jul2021'!AJ27))</f>
        <v>0</v>
      </c>
      <c r="M33" s="59">
        <f>IF($C$5*'Tariffs Jul2021'!AL27/'Tariffs Jul2021'!AJ27&lt;'Tariffs Jul2021'!L27,0,IF($C$5*'Tariffs Jul2021'!AL27/'Tariffs Jul2021'!AJ27&lt;='Tariffs Jul2021'!M27,($C$5*'Tariffs Jul2021'!AL27/'Tariffs Jul2021'!AJ27-'Tariffs Jul2021'!L27)*('Tariffs Jul2021'!X27/100)*'Tariffs Jul2021'!AJ27,('Tariffs Jul2021'!M27-'Tariffs Jul2021'!L27)*('Tariffs Jul2021'!X27/100)*'Tariffs Jul2021'!AJ27))</f>
        <v>0</v>
      </c>
      <c r="N33" s="59">
        <f>IF(($C$5*'Tariffs Jul2021'!AL27/'Tariffs Jul2021'!AJ27&gt;'Tariffs Jul2021'!M27),($C$5*'Tariffs Jul2021'!AL27/'Tariffs Jul2021'!AJ27-'Tariffs Jul2021'!M27)*'Tariffs Jul2021'!Y27/100*'Tariffs Jul2021'!AJ27,0)</f>
        <v>0</v>
      </c>
      <c r="O33" s="59">
        <f t="shared" si="1"/>
        <v>683.36363636363626</v>
      </c>
      <c r="P33" s="503">
        <f t="shared" si="2"/>
        <v>751.69999999999993</v>
      </c>
      <c r="Q33" s="59">
        <f t="shared" si="3"/>
        <v>988.76909090909089</v>
      </c>
      <c r="R33" s="272">
        <f t="shared" si="4"/>
        <v>1087.646</v>
      </c>
      <c r="S33" s="40">
        <f>'Tariffs Jul2021'!AN27</f>
        <v>16</v>
      </c>
      <c r="T33" s="40">
        <f>'Tariffs Jul2021'!AO27</f>
        <v>0</v>
      </c>
      <c r="U33" s="40">
        <f>'Tariffs Jul2021'!AP27</f>
        <v>0</v>
      </c>
      <c r="V33" s="40">
        <f>'Tariffs Jul2021'!AQ27</f>
        <v>0</v>
      </c>
      <c r="W33" s="537" t="str">
        <f t="shared" si="20"/>
        <v>Guaranteed off bill</v>
      </c>
      <c r="X33" s="538" t="str">
        <f t="shared" si="21"/>
        <v>Exclusive</v>
      </c>
      <c r="Y33" s="534">
        <f t="shared" si="28"/>
        <v>830.56603636363639</v>
      </c>
      <c r="Z33" s="535">
        <f t="shared" si="29"/>
        <v>830.56603636363639</v>
      </c>
      <c r="AA33" s="542">
        <f t="shared" si="19"/>
        <v>913.62264000000005</v>
      </c>
      <c r="AB33" s="542">
        <f t="shared" si="19"/>
        <v>913.62264000000005</v>
      </c>
      <c r="AC33" s="274">
        <f>'Tariffs Jul2021'!AZ27</f>
        <v>0</v>
      </c>
      <c r="AD33" s="274" t="str">
        <f>'Tariffs Jul2021'!BA27</f>
        <v>n</v>
      </c>
      <c r="AE33" s="275" t="str">
        <f>'Tariffs Jul2021'!BJ27</f>
        <v>N</v>
      </c>
      <c r="AF33" s="574"/>
      <c r="AG33" s="574"/>
      <c r="AH33" s="574"/>
      <c r="AI33" s="574"/>
      <c r="AJ33" s="574"/>
      <c r="AK33" s="574"/>
      <c r="AL33" s="574"/>
      <c r="AM33" s="574"/>
      <c r="AN33" s="574"/>
      <c r="AO33" s="574"/>
      <c r="AP33" s="574"/>
      <c r="AQ33" s="574"/>
      <c r="AR33" s="574"/>
      <c r="AS33" s="574"/>
      <c r="AT33" s="574"/>
      <c r="AU33" s="574"/>
      <c r="AV33" s="574"/>
      <c r="AW33" s="574"/>
      <c r="AX33" s="574"/>
    </row>
    <row r="34" spans="1:50" ht="14" x14ac:dyDescent="0.15">
      <c r="A34" s="270" t="str">
        <f>'Tariffs Jul2021'!F28</f>
        <v>Sumo Power</v>
      </c>
      <c r="B34" s="40" t="str">
        <f>'Tariffs Jul2021'!D28</f>
        <v>Multinet Metro 2</v>
      </c>
      <c r="C34" s="40" t="str">
        <f>'Tariffs Jul2021'!G28</f>
        <v>Assure</v>
      </c>
      <c r="D34" s="59">
        <f>365*'Tariffs Jul2021'!H28/100</f>
        <v>218.99999999999997</v>
      </c>
      <c r="E34" s="59">
        <f>IF($C$5*'Tariffs Jul2021'!AK28/'Tariffs Jul2021'!AI28&gt;='Tariffs Jul2021'!J28,( 'Tariffs Jul2021'!J28*'Tariffs Jul2021'!O28/100)* 'Tariffs Jul2021'!AI28,($C$5*'Tariffs Jul2021'!AK28/'Tariffs Jul2021'!AI28*'Tariffs Jul2021'!O28/100)* 'Tariffs Jul2021'!AI28)</f>
        <v>180</v>
      </c>
      <c r="F34" s="59">
        <f>IF($C$5*'Tariffs Jul2021'!AK28/'Tariffs Jul2021'!AI28&lt;'Tariffs Jul2021'!J28,0,IF($C$5*'Tariffs Jul2021'!AK28/'Tariffs Jul2021'!AI28&lt;='Tariffs Jul2021'!K28,($C$5*'Tariffs Jul2021'!AK28/'Tariffs Jul2021'!AI28-'Tariffs Jul2021'!J28)*('Tariffs Jul2021'!P28/100)*'Tariffs Jul2021'!AI28,('Tariffs Jul2021'!K28-'Tariffs Jul2021'!J28)*('Tariffs Jul2021'!P28/100)*'Tariffs Jul2021'!AI28))</f>
        <v>102</v>
      </c>
      <c r="G34" s="59">
        <f>IF($C$5*'Tariffs Jul2021'!AK28/'Tariffs Jul2021'!AI28&lt;'Tariffs Jul2021'!K28,0,IF($C$5*'Tariffs Jul2021'!AK28/'Tariffs Jul2021'!AI28&lt;='Tariffs Jul2021'!L28,($C$5*'Tariffs Jul2021'!AK28/'Tariffs Jul2021'!AI28-'Tariffs Jul2021'!K28)*('Tariffs Jul2021'!Q28/100)*'Tariffs Jul2021'!AI28,('Tariffs Jul2021'!L28-'Tariffs Jul2021'!K28)*('Tariffs Jul2021'!Q28/100)*'Tariffs Jul2021'!AI28))</f>
        <v>0</v>
      </c>
      <c r="H34" s="59">
        <f>IF($C$5*'Tariffs Jul2021'!AK28/'Tariffs Jul2021'!AI28&lt;'Tariffs Jul2021'!L28,0,IF($C$5*'Tariffs Jul2021'!AK28/'Tariffs Jul2021'!AI28&lt;='Tariffs Jul2021'!M28,($C$5*'Tariffs Jul2021'!AK28/'Tariffs Jul2021'!AI28-'Tariffs Jul2021'!L28)*('Tariffs Jul2021'!R28/100)*'Tariffs Jul2021'!AI28,('Tariffs Jul2021'!M28-'Tariffs Jul2021'!L28)*('Tariffs Jul2021'!R28/100)*'Tariffs Jul2021'!AI28))</f>
        <v>0</v>
      </c>
      <c r="I34" s="59">
        <f>IF(($C$5*'Tariffs Jul2021'!AK28/'Tariffs Jul2021'!AI28&gt;'Tariffs Jul2021'!M28),($C$5*'Tariffs Jul2021'!AK28/'Tariffs Jul2021'!AI28-'Tariffs Jul2021'!M28)*'Tariffs Jul2021'!S28/100*'Tariffs Jul2021'!AI28,0)</f>
        <v>0</v>
      </c>
      <c r="J34" s="59">
        <f>IF($C$5*'Tariffs Jul2021'!AL28/'Tariffs Jul2021'!AJ28&gt;='Tariffs Jul2021'!J28,('Tariffs Jul2021'!J28*'Tariffs Jul2021'!U28/100)* 'Tariffs Jul2021'!AJ28,($C$5*'Tariffs Jul2021'!AL28/'Tariffs Jul2021'!AJ28*'Tariffs Jul2021'!U28/100)* 'Tariffs Jul2021'!AJ28)</f>
        <v>161.99999999999997</v>
      </c>
      <c r="K34" s="59">
        <f>IF($C$5*'Tariffs Jul2021'!AL28/'Tariffs Jul2021'!AJ28&lt;'Tariffs Jul2021'!J28,0,IF($C$5*'Tariffs Jul2021'!AL28/'Tariffs Jul2021'!AJ28&lt;='Tariffs Jul2021'!K28,($C$5*'Tariffs Jul2021'!AL28/'Tariffs Jul2021'!AJ28-'Tariffs Jul2021'!J28)*('Tariffs Jul2021'!V28/100)*'Tariffs Jul2021'!AJ28,('Tariffs Jul2021'!K28-'Tariffs Jul2021'!J28)*('Tariffs Jul2021'!V28/100)*'Tariffs Jul2021'!AJ28))</f>
        <v>89.999999999999986</v>
      </c>
      <c r="L34" s="59">
        <f>IF($C$5*'Tariffs Jul2021'!AL28/'Tariffs Jul2021'!AJ28&lt;'Tariffs Jul2021'!K28,0,IF($C$5*'Tariffs Jul2021'!AL28/'Tariffs Jul2021'!AJ28&lt;='Tariffs Jul2021'!L28,($C$5*'Tariffs Jul2021'!AL28/'Tariffs Jul2021'!AJ28-'Tariffs Jul2021'!K28)*('Tariffs Jul2021'!W28/100)*'Tariffs Jul2021'!AJ28,('Tariffs Jul2021'!L28-'Tariffs Jul2021'!K28)*('Tariffs Jul2021'!W28/100)*'Tariffs Jul2021'!AJ28))</f>
        <v>0</v>
      </c>
      <c r="M34" s="59">
        <f>IF($C$5*'Tariffs Jul2021'!AL28/'Tariffs Jul2021'!AJ28&lt;'Tariffs Jul2021'!L28,0,IF($C$5*'Tariffs Jul2021'!AL28/'Tariffs Jul2021'!AJ28&lt;='Tariffs Jul2021'!M28,($C$5*'Tariffs Jul2021'!AL28/'Tariffs Jul2021'!AJ28-'Tariffs Jul2021'!L28)*('Tariffs Jul2021'!X28/100)*'Tariffs Jul2021'!AJ28,('Tariffs Jul2021'!M28-'Tariffs Jul2021'!L28)*('Tariffs Jul2021'!X28/100)*'Tariffs Jul2021'!AJ28))</f>
        <v>0</v>
      </c>
      <c r="N34" s="59">
        <f>IF(($C$5*'Tariffs Jul2021'!AL28/'Tariffs Jul2021'!AJ28&gt;'Tariffs Jul2021'!M28),($C$5*'Tariffs Jul2021'!AL28/'Tariffs Jul2021'!AJ28-'Tariffs Jul2021'!M28)*'Tariffs Jul2021'!Y28/100*'Tariffs Jul2021'!AJ28,0)</f>
        <v>0</v>
      </c>
      <c r="O34" s="59">
        <f t="shared" si="1"/>
        <v>534</v>
      </c>
      <c r="P34" s="503">
        <f t="shared" si="2"/>
        <v>587.40000000000009</v>
      </c>
      <c r="Q34" s="59">
        <f t="shared" si="3"/>
        <v>753</v>
      </c>
      <c r="R34" s="272">
        <f t="shared" si="4"/>
        <v>828.30000000000007</v>
      </c>
      <c r="S34" s="40">
        <f>'Tariffs Jul2021'!AN28</f>
        <v>0</v>
      </c>
      <c r="T34" s="40">
        <f>'Tariffs Jul2021'!AO28</f>
        <v>0</v>
      </c>
      <c r="U34" s="40">
        <f>'Tariffs Jul2021'!AP28</f>
        <v>0</v>
      </c>
      <c r="V34" s="40">
        <f>'Tariffs Jul2021'!AQ28</f>
        <v>0</v>
      </c>
      <c r="W34" s="537" t="str">
        <f t="shared" si="20"/>
        <v>No discount</v>
      </c>
      <c r="X34" s="538" t="str">
        <f t="shared" si="21"/>
        <v>Exclusive</v>
      </c>
      <c r="Y34" s="534">
        <f t="shared" si="28"/>
        <v>753</v>
      </c>
      <c r="Z34" s="535">
        <f t="shared" si="29"/>
        <v>753</v>
      </c>
      <c r="AA34" s="542">
        <f t="shared" si="19"/>
        <v>828.30000000000007</v>
      </c>
      <c r="AB34" s="542">
        <f t="shared" si="19"/>
        <v>828.30000000000007</v>
      </c>
      <c r="AC34" s="274">
        <f>'Tariffs Jul2021'!AZ28</f>
        <v>0</v>
      </c>
      <c r="AD34" s="274" t="str">
        <f>'Tariffs Jul2021'!BA28</f>
        <v>n</v>
      </c>
      <c r="AE34" s="275" t="str">
        <f>'Tariffs Jul2021'!BJ28</f>
        <v>Y</v>
      </c>
      <c r="AF34" s="574"/>
      <c r="AG34" s="574"/>
      <c r="AH34" s="574"/>
      <c r="AI34" s="574"/>
      <c r="AJ34" s="574"/>
      <c r="AK34" s="574"/>
      <c r="AL34" s="574"/>
      <c r="AM34" s="574"/>
      <c r="AN34" s="574"/>
      <c r="AO34" s="574"/>
      <c r="AP34" s="574"/>
      <c r="AQ34" s="574"/>
      <c r="AR34" s="574"/>
      <c r="AS34" s="574"/>
      <c r="AT34" s="574"/>
      <c r="AU34" s="574"/>
      <c r="AV34" s="574"/>
      <c r="AW34" s="574"/>
      <c r="AX34" s="574"/>
    </row>
    <row r="35" spans="1:50" ht="14" x14ac:dyDescent="0.15">
      <c r="A35" s="270" t="str">
        <f>'Tariffs Jul2021'!F29</f>
        <v>GloBird Energy</v>
      </c>
      <c r="B35" s="40" t="str">
        <f>'Tariffs Jul2021'!D29</f>
        <v>Multinet Metro 2</v>
      </c>
      <c r="C35" s="40" t="str">
        <f>'Tariffs Jul2021'!G29</f>
        <v>GloSave</v>
      </c>
      <c r="D35" s="59">
        <f>365*'Tariffs Jul2021'!H29/100</f>
        <v>189.8</v>
      </c>
      <c r="E35" s="59">
        <f>IF($C$5*'Tariffs Jul2021'!AK29/'Tariffs Jul2021'!AI29&gt;='Tariffs Jul2021'!J29,( 'Tariffs Jul2021'!J29*'Tariffs Jul2021'!O29/100)* 'Tariffs Jul2021'!AI29,($C$5*'Tariffs Jul2021'!AK29/'Tariffs Jul2021'!AI29*'Tariffs Jul2021'!O29/100)* 'Tariffs Jul2021'!AI29)</f>
        <v>259.09090909090907</v>
      </c>
      <c r="F35" s="59">
        <f>IF($C$5*'Tariffs Jul2021'!AK29/'Tariffs Jul2021'!AI29&lt;'Tariffs Jul2021'!J29,0,IF($C$5*'Tariffs Jul2021'!AK29/'Tariffs Jul2021'!AI29&lt;='Tariffs Jul2021'!K29,($C$5*'Tariffs Jul2021'!AK29/'Tariffs Jul2021'!AI29-'Tariffs Jul2021'!J29)*('Tariffs Jul2021'!P29/100)*'Tariffs Jul2021'!AI29,('Tariffs Jul2021'!K29-'Tariffs Jul2021'!J29)*('Tariffs Jul2021'!P29/100)*'Tariffs Jul2021'!AI29))</f>
        <v>0</v>
      </c>
      <c r="G35" s="59">
        <f>IF($C$5*'Tariffs Jul2021'!AK29/'Tariffs Jul2021'!AI29&lt;'Tariffs Jul2021'!K29,0,IF($C$5*'Tariffs Jul2021'!AK29/'Tariffs Jul2021'!AI29&lt;='Tariffs Jul2021'!L29,($C$5*'Tariffs Jul2021'!AK29/'Tariffs Jul2021'!AI29-'Tariffs Jul2021'!K29)*('Tariffs Jul2021'!Q29/100)*'Tariffs Jul2021'!AI29,('Tariffs Jul2021'!L29-'Tariffs Jul2021'!K29)*('Tariffs Jul2021'!Q29/100)*'Tariffs Jul2021'!AI29))</f>
        <v>0</v>
      </c>
      <c r="H35" s="59">
        <f>IF($C$5*'Tariffs Jul2021'!AK29/'Tariffs Jul2021'!AI29&lt;'Tariffs Jul2021'!L29,0,IF($C$5*'Tariffs Jul2021'!AK29/'Tariffs Jul2021'!AI29&lt;='Tariffs Jul2021'!M29,($C$5*'Tariffs Jul2021'!AK29/'Tariffs Jul2021'!AI29-'Tariffs Jul2021'!L29)*('Tariffs Jul2021'!R29/100)*'Tariffs Jul2021'!AI29,('Tariffs Jul2021'!M29-'Tariffs Jul2021'!L29)*('Tariffs Jul2021'!R29/100)*'Tariffs Jul2021'!AI29))</f>
        <v>0</v>
      </c>
      <c r="I35" s="59">
        <f>IF(($C$5*'Tariffs Jul2021'!AK29/'Tariffs Jul2021'!AI29&gt;'Tariffs Jul2021'!M29),($C$5*'Tariffs Jul2021'!AK29/'Tariffs Jul2021'!AI29-'Tariffs Jul2021'!M29)*'Tariffs Jul2021'!S29/100*'Tariffs Jul2021'!AI29,0)</f>
        <v>0</v>
      </c>
      <c r="J35" s="59">
        <f>IF($C$5*'Tariffs Jul2021'!AL29/'Tariffs Jul2021'!AJ29&gt;='Tariffs Jul2021'!J29,('Tariffs Jul2021'!J29*'Tariffs Jul2021'!U29/100)* 'Tariffs Jul2021'!AJ29,($C$5*'Tariffs Jul2021'!AL29/'Tariffs Jul2021'!AJ29*'Tariffs Jul2021'!U29/100)* 'Tariffs Jul2021'!AJ29)</f>
        <v>259.09090909090907</v>
      </c>
      <c r="K35" s="59">
        <f>IF($C$5*'Tariffs Jul2021'!AL29/'Tariffs Jul2021'!AJ29&lt;'Tariffs Jul2021'!J29,0,IF($C$5*'Tariffs Jul2021'!AL29/'Tariffs Jul2021'!AJ29&lt;='Tariffs Jul2021'!K29,($C$5*'Tariffs Jul2021'!AL29/'Tariffs Jul2021'!AJ29-'Tariffs Jul2021'!J29)*('Tariffs Jul2021'!V29/100)*'Tariffs Jul2021'!AJ29,('Tariffs Jul2021'!K29-'Tariffs Jul2021'!J29)*('Tariffs Jul2021'!V29/100)*'Tariffs Jul2021'!AJ29))</f>
        <v>0</v>
      </c>
      <c r="L35" s="59">
        <f>IF($C$5*'Tariffs Jul2021'!AL29/'Tariffs Jul2021'!AJ29&lt;'Tariffs Jul2021'!K29,0,IF($C$5*'Tariffs Jul2021'!AL29/'Tariffs Jul2021'!AJ29&lt;='Tariffs Jul2021'!L29,($C$5*'Tariffs Jul2021'!AL29/'Tariffs Jul2021'!AJ29-'Tariffs Jul2021'!K29)*('Tariffs Jul2021'!W29/100)*'Tariffs Jul2021'!AJ29,('Tariffs Jul2021'!L29-'Tariffs Jul2021'!K29)*('Tariffs Jul2021'!W29/100)*'Tariffs Jul2021'!AJ29))</f>
        <v>0</v>
      </c>
      <c r="M35" s="59">
        <f>IF($C$5*'Tariffs Jul2021'!AL29/'Tariffs Jul2021'!AJ29&lt;'Tariffs Jul2021'!L29,0,IF($C$5*'Tariffs Jul2021'!AL29/'Tariffs Jul2021'!AJ29&lt;='Tariffs Jul2021'!M29,($C$5*'Tariffs Jul2021'!AL29/'Tariffs Jul2021'!AJ29-'Tariffs Jul2021'!L29)*('Tariffs Jul2021'!X29/100)*'Tariffs Jul2021'!AJ29,('Tariffs Jul2021'!M29-'Tariffs Jul2021'!L29)*('Tariffs Jul2021'!X29/100)*'Tariffs Jul2021'!AJ29))</f>
        <v>0</v>
      </c>
      <c r="N35" s="59">
        <f>IF(($C$5*'Tariffs Jul2021'!AL29/'Tariffs Jul2021'!AJ29&gt;'Tariffs Jul2021'!M29),($C$5*'Tariffs Jul2021'!AL29/'Tariffs Jul2021'!AJ29-'Tariffs Jul2021'!M29)*'Tariffs Jul2021'!Y29/100*'Tariffs Jul2021'!AJ29,0)</f>
        <v>0</v>
      </c>
      <c r="O35" s="59">
        <f>SUM(E35:N35)</f>
        <v>518.18181818181813</v>
      </c>
      <c r="P35" s="503">
        <f t="shared" si="2"/>
        <v>570</v>
      </c>
      <c r="Q35" s="59">
        <f>D35+O35</f>
        <v>707.9818181818182</v>
      </c>
      <c r="R35" s="272">
        <f>Q35*1.1</f>
        <v>778.78000000000009</v>
      </c>
      <c r="S35" s="40">
        <f>'Tariffs Jul2021'!AN29</f>
        <v>0</v>
      </c>
      <c r="T35" s="40">
        <f>'Tariffs Jul2021'!AO29</f>
        <v>0</v>
      </c>
      <c r="U35" s="40">
        <f>'Tariffs Jul2021'!AP29</f>
        <v>0</v>
      </c>
      <c r="V35" s="40">
        <f>'Tariffs Jul2021'!AQ29</f>
        <v>0</v>
      </c>
      <c r="W35" s="537" t="str">
        <f t="shared" si="20"/>
        <v>No discount</v>
      </c>
      <c r="X35" s="538" t="str">
        <f t="shared" si="21"/>
        <v>Exclusive</v>
      </c>
      <c r="Y35" s="534">
        <f t="shared" si="28"/>
        <v>707.9818181818182</v>
      </c>
      <c r="Z35" s="535">
        <f t="shared" si="29"/>
        <v>707.9818181818182</v>
      </c>
      <c r="AA35" s="542">
        <f t="shared" si="19"/>
        <v>778.78000000000009</v>
      </c>
      <c r="AB35" s="542">
        <f t="shared" si="19"/>
        <v>778.78000000000009</v>
      </c>
      <c r="AC35" s="274">
        <f>'Tariffs Jul2021'!AZ29</f>
        <v>0</v>
      </c>
      <c r="AD35" s="274" t="str">
        <f>'Tariffs Jul2021'!BA29</f>
        <v>n</v>
      </c>
      <c r="AE35" s="275" t="str">
        <f>'Tariffs Jul2021'!BJ29</f>
        <v>N</v>
      </c>
      <c r="AF35" s="574"/>
      <c r="AG35" s="574"/>
      <c r="AH35" s="574"/>
      <c r="AI35" s="574"/>
      <c r="AJ35" s="574"/>
      <c r="AK35" s="574"/>
      <c r="AL35" s="574"/>
      <c r="AM35" s="574"/>
      <c r="AN35" s="574"/>
      <c r="AO35" s="574"/>
      <c r="AP35" s="574"/>
      <c r="AQ35" s="574"/>
      <c r="AR35" s="574"/>
      <c r="AS35" s="574"/>
      <c r="AT35" s="574"/>
      <c r="AU35" s="574"/>
      <c r="AV35" s="574"/>
      <c r="AW35" s="574"/>
      <c r="AX35" s="574"/>
    </row>
    <row r="36" spans="1:50" ht="14" x14ac:dyDescent="0.15">
      <c r="A36" s="270" t="str">
        <f>'Tariffs Jul2021'!F30</f>
        <v>Powershop</v>
      </c>
      <c r="B36" s="40" t="str">
        <f>'Tariffs Jul2021'!D30</f>
        <v>Multinet Metro 2</v>
      </c>
      <c r="C36" s="40" t="str">
        <f>'Tariffs Jul2021'!G30</f>
        <v>Market offer</v>
      </c>
      <c r="D36" s="59">
        <f>365*'Tariffs Jul2021'!H30/100</f>
        <v>241.09909090909088</v>
      </c>
      <c r="E36" s="59">
        <f>((C$5*'Tariffs Jul2021'!AK30/'Tariffs Jul2021'!AI30)*('Tariffs Jul2021'!O30/100))*'Tariffs Jul2021'!AI30</f>
        <v>260.45454545454544</v>
      </c>
      <c r="F36" s="59">
        <v>0</v>
      </c>
      <c r="G36" s="59">
        <v>0</v>
      </c>
      <c r="H36" s="59">
        <v>0</v>
      </c>
      <c r="I36" s="59">
        <v>0</v>
      </c>
      <c r="J36" s="59">
        <f>((C$5*'Tariffs Jul2021'!AL30/'Tariffs Jul2021'!AJ30)*('Tariffs Jul2021'!U30/100))*'Tariffs Jul2021'!AJ30</f>
        <v>234.5454545454545</v>
      </c>
      <c r="K36" s="59">
        <v>0</v>
      </c>
      <c r="L36" s="59">
        <v>0</v>
      </c>
      <c r="M36" s="59">
        <v>0</v>
      </c>
      <c r="N36" s="59">
        <v>0</v>
      </c>
      <c r="O36" s="59">
        <f t="shared" si="1"/>
        <v>494.99999999999994</v>
      </c>
      <c r="P36" s="503">
        <f t="shared" si="2"/>
        <v>544.5</v>
      </c>
      <c r="Q36" s="59">
        <f t="shared" si="3"/>
        <v>736.09909090909082</v>
      </c>
      <c r="R36" s="272">
        <f t="shared" si="4"/>
        <v>809.70899999999995</v>
      </c>
      <c r="S36" s="40">
        <f>'Tariffs Jul2021'!AN30</f>
        <v>0</v>
      </c>
      <c r="T36" s="40">
        <f>'Tariffs Jul2021'!AO30</f>
        <v>0</v>
      </c>
      <c r="U36" s="40">
        <f>'Tariffs Jul2021'!AP30</f>
        <v>0</v>
      </c>
      <c r="V36" s="40">
        <f>'Tariffs Jul2021'!AQ30</f>
        <v>0</v>
      </c>
      <c r="W36" s="537" t="str">
        <f t="shared" si="20"/>
        <v>No discount</v>
      </c>
      <c r="X36" s="538" t="str">
        <f t="shared" si="21"/>
        <v>Inclusive</v>
      </c>
      <c r="Y36" s="534">
        <f>IF(AND(W36="Guaranteed off bill",X36="Inclusive"),((Q36*1.1)-((Q36*1.1)*S36/100))/1.1,IF(AND(W36="Guaranteed off usage",X36="Inclusive"),((Q36*1.1)-((P36*1.1)*T36/100))/1.1,IF(AND(W36="Guaranteed off bill",X36="Exclusive"),Q36-(Q36*S36/100),IF(AND(W36="Guaranteed off usage",X36="Exclusive"),Q36-(P36*T36/100),IF(X36="Inclusive",((Q36*1.1))/1.1,Q36)))))</f>
        <v>736.09909090909082</v>
      </c>
      <c r="Z36" s="535">
        <f>IF(AND(W36="Pay-on-time off bill",X36="Inclusive"),((Y36*1.1)-((Y36*1.1)*U36/100))/1.1,IF(AND(W36="Pay-on-time off usage",X36="Inclusive"),((Y36*1.1)-((P36*1.1)*V36/100))/1.1,IF(AND(W36="Pay-on-time off bill",X36="Exclusive"),Y36-(Y36*U36/100),IF(AND(W36="Pay-on-time off usage",X36="Exclusive"),Y36-(P36*V36/100),IF(X36="Inclusive",((Y36*1.1))/1.1,Y36)))))</f>
        <v>736.09909090909082</v>
      </c>
      <c r="AA36" s="542">
        <f t="shared" si="19"/>
        <v>809.70899999999995</v>
      </c>
      <c r="AB36" s="542">
        <f t="shared" si="19"/>
        <v>809.70899999999995</v>
      </c>
      <c r="AC36" s="274">
        <f>'Tariffs Jul2021'!AZ30</f>
        <v>0</v>
      </c>
      <c r="AD36" s="274" t="str">
        <f>'Tariffs Jul2021'!BA30</f>
        <v>n</v>
      </c>
      <c r="AE36" s="275" t="str">
        <f>'Tariffs Jul2021'!BJ30</f>
        <v>Y</v>
      </c>
      <c r="AF36" s="574"/>
      <c r="AG36" s="574"/>
      <c r="AH36" s="574"/>
      <c r="AI36" s="574"/>
      <c r="AJ36" s="574"/>
      <c r="AK36" s="574"/>
      <c r="AL36" s="574"/>
      <c r="AM36" s="574"/>
      <c r="AN36" s="574"/>
      <c r="AO36" s="574"/>
      <c r="AP36" s="574"/>
      <c r="AQ36" s="574"/>
      <c r="AR36" s="574"/>
      <c r="AS36" s="574"/>
      <c r="AT36" s="574"/>
      <c r="AU36" s="574"/>
      <c r="AV36" s="574"/>
      <c r="AW36" s="574"/>
      <c r="AX36" s="574"/>
    </row>
    <row r="37" spans="1:50" ht="14" x14ac:dyDescent="0.15">
      <c r="A37" s="270" t="str">
        <f>'Tariffs Jul2021'!F31</f>
        <v>1st Energy</v>
      </c>
      <c r="B37" s="40" t="str">
        <f>'Tariffs Jul2021'!D31</f>
        <v>Multinet Metro 2</v>
      </c>
      <c r="C37" s="40" t="str">
        <f>'Tariffs Jul2021'!G31</f>
        <v>1st Saver Plus</v>
      </c>
      <c r="D37" s="59">
        <f>365*'Tariffs Jul2021'!H31/100</f>
        <v>259.14999999999998</v>
      </c>
      <c r="E37" s="59">
        <f>IF($C$5*'Tariffs Jul2021'!AK31/'Tariffs Jul2021'!AI31&gt;='Tariffs Jul2021'!J31,( 'Tariffs Jul2021'!J31*'Tariffs Jul2021'!O31/100)* 'Tariffs Jul2021'!AI31,($C$5*'Tariffs Jul2021'!AK31/'Tariffs Jul2021'!AI31*'Tariffs Jul2021'!O31/100)* 'Tariffs Jul2021'!AI31)</f>
        <v>221.72727272727272</v>
      </c>
      <c r="F37" s="59">
        <f>IF($C$5*'Tariffs Jul2021'!AK31/'Tariffs Jul2021'!AI31&lt;'Tariffs Jul2021'!J31,0,IF($C$5*'Tariffs Jul2021'!AK31/'Tariffs Jul2021'!AI31&lt;='Tariffs Jul2021'!K31,($C$5*'Tariffs Jul2021'!AK31/'Tariffs Jul2021'!AI31-'Tariffs Jul2021'!J31)*('Tariffs Jul2021'!P31/100)*'Tariffs Jul2021'!AI31,('Tariffs Jul2021'!K31-'Tariffs Jul2021'!J31)*('Tariffs Jul2021'!P31/100)*'Tariffs Jul2021'!AI31))</f>
        <v>129.81818181818181</v>
      </c>
      <c r="G37" s="59">
        <f>IF($C$5*'Tariffs Jul2021'!AK31/'Tariffs Jul2021'!AI31&lt;'Tariffs Jul2021'!K31,0,IF($C$5*'Tariffs Jul2021'!AK31/'Tariffs Jul2021'!AI31&lt;='Tariffs Jul2021'!L31,($C$5*'Tariffs Jul2021'!AK31/'Tariffs Jul2021'!AI31-'Tariffs Jul2021'!K31)*('Tariffs Jul2021'!Q31/100)*'Tariffs Jul2021'!AI31,('Tariffs Jul2021'!L31-'Tariffs Jul2021'!K31)*('Tariffs Jul2021'!Q31/100)*'Tariffs Jul2021'!AI31))</f>
        <v>0</v>
      </c>
      <c r="H37" s="59">
        <f>IF($C$5*'Tariffs Jul2021'!AK31/'Tariffs Jul2021'!AI31&lt;'Tariffs Jul2021'!L31,0,IF($C$5*'Tariffs Jul2021'!AK31/'Tariffs Jul2021'!AI31&lt;='Tariffs Jul2021'!M31,($C$5*'Tariffs Jul2021'!AK31/'Tariffs Jul2021'!AI31-'Tariffs Jul2021'!L31)*('Tariffs Jul2021'!R31/100)*'Tariffs Jul2021'!AI31,('Tariffs Jul2021'!M31-'Tariffs Jul2021'!L31)*('Tariffs Jul2021'!R31/100)*'Tariffs Jul2021'!AI31))</f>
        <v>0</v>
      </c>
      <c r="I37" s="59">
        <f>IF(($C$5*'Tariffs Jul2021'!AK31/'Tariffs Jul2021'!AI31&gt;'Tariffs Jul2021'!M31),($C$5*'Tariffs Jul2021'!AK31/'Tariffs Jul2021'!AI31-'Tariffs Jul2021'!M31)*'Tariffs Jul2021'!S31/100*'Tariffs Jul2021'!AI31,0)</f>
        <v>0</v>
      </c>
      <c r="J37" s="59">
        <f>IF($C$5*'Tariffs Jul2021'!AL31/'Tariffs Jul2021'!AJ31&gt;='Tariffs Jul2021'!J31,('Tariffs Jul2021'!J31*'Tariffs Jul2021'!U31/100)* 'Tariffs Jul2021'!AJ31,($C$5*'Tariffs Jul2021'!AL31/'Tariffs Jul2021'!AJ31*'Tariffs Jul2021'!U31/100)* 'Tariffs Jul2021'!AJ31)</f>
        <v>221.72727272727272</v>
      </c>
      <c r="K37" s="59">
        <f>IF($C$5*'Tariffs Jul2021'!AL31/'Tariffs Jul2021'!AJ31&lt;'Tariffs Jul2021'!J31,0,IF($C$5*'Tariffs Jul2021'!AL31/'Tariffs Jul2021'!AJ31&lt;='Tariffs Jul2021'!K31,($C$5*'Tariffs Jul2021'!AL31/'Tariffs Jul2021'!AJ31-'Tariffs Jul2021'!J31)*('Tariffs Jul2021'!V31/100)*'Tariffs Jul2021'!AJ31,('Tariffs Jul2021'!K31-'Tariffs Jul2021'!J31)*('Tariffs Jul2021'!V31/100)*'Tariffs Jul2021'!AJ31))</f>
        <v>129.81818181818181</v>
      </c>
      <c r="L37" s="59">
        <f>IF($C$5*'Tariffs Jul2021'!AL31/'Tariffs Jul2021'!AJ31&lt;'Tariffs Jul2021'!K31,0,IF($C$5*'Tariffs Jul2021'!AL31/'Tariffs Jul2021'!AJ31&lt;='Tariffs Jul2021'!L31,($C$5*'Tariffs Jul2021'!AL31/'Tariffs Jul2021'!AJ31-'Tariffs Jul2021'!K31)*('Tariffs Jul2021'!W31/100)*'Tariffs Jul2021'!AJ31,('Tariffs Jul2021'!L31-'Tariffs Jul2021'!K31)*('Tariffs Jul2021'!W31/100)*'Tariffs Jul2021'!AJ31))</f>
        <v>0</v>
      </c>
      <c r="M37" s="59">
        <f>IF($C$5*'Tariffs Jul2021'!AL31/'Tariffs Jul2021'!AJ31&lt;'Tariffs Jul2021'!L31,0,IF($C$5*'Tariffs Jul2021'!AL31/'Tariffs Jul2021'!AJ31&lt;='Tariffs Jul2021'!M31,($C$5*'Tariffs Jul2021'!AL31/'Tariffs Jul2021'!AJ31-'Tariffs Jul2021'!L31)*('Tariffs Jul2021'!X31/100)*'Tariffs Jul2021'!AJ31,('Tariffs Jul2021'!M31-'Tariffs Jul2021'!L31)*('Tariffs Jul2021'!X31/100)*'Tariffs Jul2021'!AJ31))</f>
        <v>0</v>
      </c>
      <c r="N37" s="59">
        <f>IF(($C$5*'Tariffs Jul2021'!AL31/'Tariffs Jul2021'!AJ31&gt;'Tariffs Jul2021'!M31),($C$5*'Tariffs Jul2021'!AL31/'Tariffs Jul2021'!AJ31-'Tariffs Jul2021'!M31)*'Tariffs Jul2021'!Y31/100*'Tariffs Jul2021'!AJ31,0)</f>
        <v>0</v>
      </c>
      <c r="O37" s="59">
        <f t="shared" si="1"/>
        <v>703.09090909090901</v>
      </c>
      <c r="P37" s="503">
        <f t="shared" si="2"/>
        <v>773.4</v>
      </c>
      <c r="Q37" s="59">
        <f t="shared" si="3"/>
        <v>962.24090909090899</v>
      </c>
      <c r="R37" s="272">
        <f t="shared" si="4"/>
        <v>1058.4649999999999</v>
      </c>
      <c r="S37" s="40">
        <f>'Tariffs Jul2021'!AN31</f>
        <v>0</v>
      </c>
      <c r="T37" s="40">
        <f>'Tariffs Jul2021'!AO31</f>
        <v>12</v>
      </c>
      <c r="U37" s="40">
        <f>'Tariffs Jul2021'!AP31</f>
        <v>0</v>
      </c>
      <c r="V37" s="40">
        <f>'Tariffs Jul2021'!AQ31</f>
        <v>3</v>
      </c>
      <c r="W37" s="537" t="str">
        <f t="shared" si="20"/>
        <v>Guaranteed off usage</v>
      </c>
      <c r="X37" s="538" t="str">
        <f t="shared" si="21"/>
        <v>Exclusive</v>
      </c>
      <c r="Y37" s="534">
        <f>Q37-(P37*T37)/100</f>
        <v>869.43290909090899</v>
      </c>
      <c r="Z37" s="535">
        <f>Y37-(P37*V37)/100</f>
        <v>846.23090909090899</v>
      </c>
      <c r="AA37" s="542">
        <f t="shared" si="19"/>
        <v>956.37619999999993</v>
      </c>
      <c r="AB37" s="542">
        <f t="shared" si="19"/>
        <v>930.85399999999993</v>
      </c>
      <c r="AC37" s="274">
        <f>'Tariffs Jul2021'!AZ31</f>
        <v>0</v>
      </c>
      <c r="AD37" s="274" t="str">
        <f>'Tariffs Jul2021'!BA31</f>
        <v>n</v>
      </c>
      <c r="AE37" s="275" t="str">
        <f>'Tariffs Jul2021'!BJ31</f>
        <v>Y</v>
      </c>
      <c r="AF37" s="574"/>
      <c r="AG37" s="574"/>
      <c r="AH37" s="574"/>
      <c r="AI37" s="574"/>
      <c r="AJ37" s="574"/>
      <c r="AK37" s="574"/>
      <c r="AL37" s="574"/>
      <c r="AM37" s="574"/>
      <c r="AN37" s="574"/>
      <c r="AO37" s="574"/>
      <c r="AP37" s="574"/>
      <c r="AQ37" s="574"/>
      <c r="AR37" s="574"/>
      <c r="AS37" s="574"/>
      <c r="AT37" s="574"/>
      <c r="AU37" s="574"/>
      <c r="AV37" s="574"/>
      <c r="AW37" s="574"/>
      <c r="AX37" s="574"/>
    </row>
    <row r="38" spans="1:50" ht="14" x14ac:dyDescent="0.15">
      <c r="A38" s="40" t="str">
        <f>'Tariffs Jul2021'!F32</f>
        <v>Kogan Energy</v>
      </c>
      <c r="B38" s="40" t="str">
        <f>'Tariffs Jul2021'!D32</f>
        <v>Multinet Metro 2</v>
      </c>
      <c r="C38" s="40" t="str">
        <f>'Tariffs Jul2021'!G32</f>
        <v>Market offer</v>
      </c>
      <c r="D38" s="59">
        <f>365*'Tariffs Jul2021'!H32/100</f>
        <v>214.22181818181815</v>
      </c>
      <c r="E38" s="59">
        <f>((C$5*'Tariffs Jul2021'!AK32/'Tariffs Jul2021'!AI32)*('Tariffs Jul2021'!O32/100))*'Tariffs Jul2021'!AI32</f>
        <v>302.72727272727269</v>
      </c>
      <c r="F38" s="59">
        <v>0</v>
      </c>
      <c r="G38" s="59">
        <v>0</v>
      </c>
      <c r="H38" s="59">
        <v>0</v>
      </c>
      <c r="I38" s="59">
        <v>0</v>
      </c>
      <c r="J38" s="59">
        <f>((C$5*'Tariffs Jul2021'!AL32/'Tariffs Jul2021'!AJ32)*('Tariffs Jul2021'!U32/100))*'Tariffs Jul2021'!AJ32</f>
        <v>280.90909090909088</v>
      </c>
      <c r="K38" s="59">
        <v>0</v>
      </c>
      <c r="L38" s="59">
        <v>0</v>
      </c>
      <c r="M38" s="59">
        <v>0</v>
      </c>
      <c r="N38" s="59">
        <v>0</v>
      </c>
      <c r="O38" s="59">
        <f t="shared" si="1"/>
        <v>583.63636363636351</v>
      </c>
      <c r="P38" s="503">
        <f t="shared" si="2"/>
        <v>641.99999999999989</v>
      </c>
      <c r="Q38" s="59">
        <f t="shared" si="3"/>
        <v>797.85818181818172</v>
      </c>
      <c r="R38" s="272">
        <f t="shared" si="4"/>
        <v>877.64400000000001</v>
      </c>
      <c r="S38" s="40">
        <f>'Tariffs Jul2021'!AN32</f>
        <v>0</v>
      </c>
      <c r="T38" s="40">
        <f>'Tariffs Jul2021'!AO32</f>
        <v>0</v>
      </c>
      <c r="U38" s="40">
        <f>'Tariffs Jul2021'!AP32</f>
        <v>0</v>
      </c>
      <c r="V38" s="40">
        <f>'Tariffs Jul2021'!AQ32</f>
        <v>0</v>
      </c>
      <c r="W38" s="537" t="str">
        <f t="shared" si="20"/>
        <v>No discount</v>
      </c>
      <c r="X38" s="538" t="str">
        <f t="shared" si="21"/>
        <v>Exclusive</v>
      </c>
      <c r="Y38" s="534">
        <f t="shared" ref="Y38:Y39" si="30">IF(AND(W38="Guaranteed off bill",X38="Inclusive"),((Q38*1.1)-((Q38*1.1)*S38/100))/1.1,IF(AND(W38="Guaranteed off usage",X38="Inclusive"),((Q38*1.1)-((P38*1.1)*T38/100))/1.1,IF(AND(W38="Guaranteed off bill",X38="Exclusive"),Q38-(Q38*S38/100),IF(AND(W38="Guaranteed off usage",X38="Exclusive"),Q38-(P38*T38/100),IF(X38="Inclusive",((Q38*1.1))/1.1,Q38)))))</f>
        <v>797.85818181818172</v>
      </c>
      <c r="Z38" s="535">
        <f t="shared" ref="Z38:Z39" si="31">IF(AND(W38="Pay-on-time off bill",X38="Inclusive"),((Y38*1.1)-((Y38*1.1)*U38/100))/1.1,IF(AND(W38="Pay-on-time off usage",X38="Inclusive"),((Y38*1.1)-((P38*1.1)*V38/100))/1.1,IF(AND(W38="Pay-on-time off bill",X38="Exclusive"),Y38-(Y38*U38/100),IF(AND(W38="Pay-on-time off usage",X38="Exclusive"),Y38-(P38*V38/100),IF(X38="Inclusive",((Y38*1.1))/1.1,Y38)))))</f>
        <v>797.85818181818172</v>
      </c>
      <c r="AA38" s="542">
        <f t="shared" si="19"/>
        <v>877.64400000000001</v>
      </c>
      <c r="AB38" s="542">
        <f t="shared" si="19"/>
        <v>877.64400000000001</v>
      </c>
      <c r="AC38" s="274">
        <f>'Tariffs Jul2021'!AZ32</f>
        <v>0</v>
      </c>
      <c r="AD38" s="274" t="str">
        <f>'Tariffs Jul2021'!BA32</f>
        <v>n</v>
      </c>
      <c r="AE38" s="275" t="str">
        <f>'Tariffs Jul2021'!BJ32</f>
        <v>N</v>
      </c>
      <c r="AF38" s="574"/>
      <c r="AG38" s="574"/>
      <c r="AH38" s="574"/>
      <c r="AI38" s="574"/>
      <c r="AJ38" s="574"/>
      <c r="AK38" s="574"/>
      <c r="AL38" s="574"/>
      <c r="AM38" s="574"/>
      <c r="AN38" s="574"/>
      <c r="AO38" s="574"/>
      <c r="AP38" s="574"/>
      <c r="AQ38" s="574"/>
      <c r="AR38" s="574"/>
      <c r="AS38" s="574"/>
      <c r="AT38" s="574"/>
      <c r="AU38" s="574"/>
      <c r="AV38" s="574"/>
      <c r="AW38" s="574"/>
      <c r="AX38" s="574"/>
    </row>
    <row r="39" spans="1:50" ht="15" thickBot="1" x14ac:dyDescent="0.2">
      <c r="A39" s="276" t="str">
        <f>'Tariffs Jul2021'!F33</f>
        <v>Tango Energy</v>
      </c>
      <c r="B39" s="277" t="str">
        <f>'Tariffs Jul2021'!D33</f>
        <v>Multinet Metro 2</v>
      </c>
      <c r="C39" s="277" t="str">
        <f>'Tariffs Jul2021'!G33</f>
        <v>Home Select</v>
      </c>
      <c r="D39" s="278">
        <f>365*'Tariffs Jul2021'!H33/100</f>
        <v>237.25</v>
      </c>
      <c r="E39" s="278">
        <f>IF($C$5*'Tariffs Jul2021'!AK33/'Tariffs Jul2021'!AI33&gt;='Tariffs Jul2021'!J33,( 'Tariffs Jul2021'!J33*'Tariffs Jul2021'!O33/100)* 'Tariffs Jul2021'!AI33,($C$5*'Tariffs Jul2021'!AK33/'Tariffs Jul2021'!AI33*'Tariffs Jul2021'!O33/100)* 'Tariffs Jul2021'!AI33)</f>
        <v>151.36363636363637</v>
      </c>
      <c r="F39" s="278">
        <f>IF($C$5*'Tariffs Jul2021'!AK33/'Tariffs Jul2021'!AI33&lt;'Tariffs Jul2021'!J33,0,IF($C$5*'Tariffs Jul2021'!AK33/'Tariffs Jul2021'!AI33&lt;='Tariffs Jul2021'!K33,($C$5*'Tariffs Jul2021'!AK33/'Tariffs Jul2021'!AI33-'Tariffs Jul2021'!J33)*('Tariffs Jul2021'!P33/100)*'Tariffs Jul2021'!AI33,('Tariffs Jul2021'!K33-'Tariffs Jul2021'!J33)*('Tariffs Jul2021'!P33/100)*'Tariffs Jul2021'!AI33))</f>
        <v>88.909090909090907</v>
      </c>
      <c r="G39" s="278">
        <f>IF($C$5*'Tariffs Jul2021'!AK33/'Tariffs Jul2021'!AI33&lt;'Tariffs Jul2021'!K33,0,IF($C$5*'Tariffs Jul2021'!AK33/'Tariffs Jul2021'!AI33&lt;='Tariffs Jul2021'!L33,($C$5*'Tariffs Jul2021'!AK33/'Tariffs Jul2021'!AI33-'Tariffs Jul2021'!K33)*('Tariffs Jul2021'!Q33/100)*'Tariffs Jul2021'!AI33,('Tariffs Jul2021'!L33-'Tariffs Jul2021'!K33)*('Tariffs Jul2021'!Q33/100)*'Tariffs Jul2021'!AI33))</f>
        <v>0</v>
      </c>
      <c r="H39" s="278">
        <f>IF($C$5*'Tariffs Jul2021'!AK33/'Tariffs Jul2021'!AI33&lt;'Tariffs Jul2021'!L33,0,IF($C$5*'Tariffs Jul2021'!AK33/'Tariffs Jul2021'!AI33&lt;='Tariffs Jul2021'!M33,($C$5*'Tariffs Jul2021'!AK33/'Tariffs Jul2021'!AI33-'Tariffs Jul2021'!L33)*('Tariffs Jul2021'!R33/100)*'Tariffs Jul2021'!AI33,('Tariffs Jul2021'!M33-'Tariffs Jul2021'!L33)*('Tariffs Jul2021'!R33/100)*'Tariffs Jul2021'!AI33))</f>
        <v>0</v>
      </c>
      <c r="I39" s="278">
        <f>IF(($C$5*'Tariffs Jul2021'!AK33/'Tariffs Jul2021'!AI33&gt;'Tariffs Jul2021'!M33),($C$5*'Tariffs Jul2021'!AK33/'Tariffs Jul2021'!AI33-'Tariffs Jul2021'!M33)*'Tariffs Jul2021'!S33/100*'Tariffs Jul2021'!AI33,0)</f>
        <v>0</v>
      </c>
      <c r="J39" s="278">
        <f>IF($C$5*'Tariffs Jul2021'!AL33/'Tariffs Jul2021'!AJ33&gt;='Tariffs Jul2021'!J33,('Tariffs Jul2021'!J33*'Tariffs Jul2021'!U33/100)* 'Tariffs Jul2021'!AJ33,($C$5*'Tariffs Jul2021'!AL33/'Tariffs Jul2021'!AJ33*'Tariffs Jul2021'!U33/100)* 'Tariffs Jul2021'!AJ33)</f>
        <v>134.99999999999997</v>
      </c>
      <c r="K39" s="278">
        <f>IF($C$5*'Tariffs Jul2021'!AL33/'Tariffs Jul2021'!AJ33&lt;'Tariffs Jul2021'!J33,0,IF($C$5*'Tariffs Jul2021'!AL33/'Tariffs Jul2021'!AJ33&lt;='Tariffs Jul2021'!K33,($C$5*'Tariffs Jul2021'!AL33/'Tariffs Jul2021'!AJ33-'Tariffs Jul2021'!J33)*('Tariffs Jul2021'!V33/100)*'Tariffs Jul2021'!AJ33,('Tariffs Jul2021'!K33-'Tariffs Jul2021'!J33)*('Tariffs Jul2021'!V33/100)*'Tariffs Jul2021'!AJ33))</f>
        <v>83.999999999999986</v>
      </c>
      <c r="L39" s="278">
        <f>IF($C$5*'Tariffs Jul2021'!AL33/'Tariffs Jul2021'!AJ33&lt;'Tariffs Jul2021'!K33,0,IF($C$5*'Tariffs Jul2021'!AL33/'Tariffs Jul2021'!AJ33&lt;='Tariffs Jul2021'!L33,($C$5*'Tariffs Jul2021'!AL33/'Tariffs Jul2021'!AJ33-'Tariffs Jul2021'!K33)*('Tariffs Jul2021'!W33/100)*'Tariffs Jul2021'!AJ33,('Tariffs Jul2021'!L33-'Tariffs Jul2021'!K33)*('Tariffs Jul2021'!W33/100)*'Tariffs Jul2021'!AJ33))</f>
        <v>0</v>
      </c>
      <c r="M39" s="278">
        <f>IF($C$5*'Tariffs Jul2021'!AL33/'Tariffs Jul2021'!AJ33&lt;'Tariffs Jul2021'!L33,0,IF($C$5*'Tariffs Jul2021'!AL33/'Tariffs Jul2021'!AJ33&lt;='Tariffs Jul2021'!M33,($C$5*'Tariffs Jul2021'!AL33/'Tariffs Jul2021'!AJ33-'Tariffs Jul2021'!L33)*('Tariffs Jul2021'!X33/100)*'Tariffs Jul2021'!AJ33,('Tariffs Jul2021'!M33-'Tariffs Jul2021'!L33)*('Tariffs Jul2021'!X33/100)*'Tariffs Jul2021'!AJ33))</f>
        <v>0</v>
      </c>
      <c r="N39" s="278">
        <f>IF(($C$5*'Tariffs Jul2021'!AL33/'Tariffs Jul2021'!AJ33&gt;'Tariffs Jul2021'!M33),($C$5*'Tariffs Jul2021'!AL33/'Tariffs Jul2021'!AJ33-'Tariffs Jul2021'!M33)*'Tariffs Jul2021'!Y33/100*'Tariffs Jul2021'!AJ33,0)</f>
        <v>0</v>
      </c>
      <c r="O39" s="278">
        <f t="shared" si="1"/>
        <v>459.27272727272725</v>
      </c>
      <c r="P39" s="504">
        <f t="shared" si="2"/>
        <v>505.20000000000005</v>
      </c>
      <c r="Q39" s="278">
        <f t="shared" si="3"/>
        <v>696.52272727272725</v>
      </c>
      <c r="R39" s="280">
        <f t="shared" si="4"/>
        <v>766.17500000000007</v>
      </c>
      <c r="S39" s="277">
        <f>'Tariffs Jul2021'!AN33</f>
        <v>0</v>
      </c>
      <c r="T39" s="277">
        <f>'Tariffs Jul2021'!AO33</f>
        <v>0</v>
      </c>
      <c r="U39" s="277">
        <f>'Tariffs Jul2021'!AP33</f>
        <v>0</v>
      </c>
      <c r="V39" s="277">
        <f>'Tariffs Jul2021'!AQ33</f>
        <v>0</v>
      </c>
      <c r="W39" s="540" t="str">
        <f t="shared" si="20"/>
        <v>No discount</v>
      </c>
      <c r="X39" s="541" t="str">
        <f t="shared" si="21"/>
        <v>Exclusive</v>
      </c>
      <c r="Y39" s="543">
        <f t="shared" si="30"/>
        <v>696.52272727272725</v>
      </c>
      <c r="Z39" s="544">
        <f t="shared" si="31"/>
        <v>696.52272727272725</v>
      </c>
      <c r="AA39" s="545">
        <f t="shared" ref="AA39:AB54" si="32">Y39*1.1</f>
        <v>766.17500000000007</v>
      </c>
      <c r="AB39" s="545">
        <f t="shared" si="32"/>
        <v>766.17500000000007</v>
      </c>
      <c r="AC39" s="282">
        <f>'Tariffs Jul2021'!AZ33</f>
        <v>0</v>
      </c>
      <c r="AD39" s="282" t="str">
        <f>'Tariffs Jul2021'!BA33</f>
        <v>n</v>
      </c>
      <c r="AE39" s="283" t="str">
        <f>'Tariffs Jul2021'!BJ33</f>
        <v>N</v>
      </c>
      <c r="AF39" s="574"/>
      <c r="AG39" s="574"/>
      <c r="AH39" s="574"/>
      <c r="AI39" s="574"/>
      <c r="AJ39" s="574"/>
      <c r="AK39" s="574"/>
      <c r="AL39" s="574"/>
      <c r="AM39" s="574"/>
      <c r="AN39" s="574"/>
      <c r="AO39" s="574"/>
      <c r="AP39" s="574"/>
      <c r="AQ39" s="574"/>
      <c r="AR39" s="574"/>
      <c r="AS39" s="574"/>
      <c r="AT39" s="574"/>
      <c r="AU39" s="574"/>
      <c r="AV39" s="574"/>
      <c r="AW39" s="574"/>
      <c r="AX39" s="574"/>
    </row>
    <row r="40" spans="1:50" ht="15" thickTop="1" x14ac:dyDescent="0.15">
      <c r="A40" s="270" t="str">
        <f>'Tariffs Jul2021'!F34</f>
        <v>AGL</v>
      </c>
      <c r="B40" s="40" t="str">
        <f>'Tariffs Jul2021'!D34</f>
        <v>AGN North</v>
      </c>
      <c r="C40" s="40" t="str">
        <f>'Tariffs Jul2021'!G34</f>
        <v>Flexible Saver</v>
      </c>
      <c r="D40" s="59">
        <f>365*'Tariffs Jul2021'!H34/100</f>
        <v>258.68545454545449</v>
      </c>
      <c r="E40" s="59">
        <f>IF($C$5*'Tariffs Jul2021'!AK34/'Tariffs Jul2021'!AI34&gt;='Tariffs Jul2021'!J34,( 'Tariffs Jul2021'!J34*'Tariffs Jul2021'!O34/100)* 'Tariffs Jul2021'!AI34,($C$5*'Tariffs Jul2021'!AK34/'Tariffs Jul2021'!AI34*'Tariffs Jul2021'!O34/100)* 'Tariffs Jul2021'!AI34)</f>
        <v>120.23454545454545</v>
      </c>
      <c r="F40" s="59">
        <f>IF($C$5*'Tariffs Jul2021'!AK34/'Tariffs Jul2021'!AI34&lt;'Tariffs Jul2021'!J34,0,IF($C$5*'Tariffs Jul2021'!AK34/'Tariffs Jul2021'!AI34&lt;='Tariffs Jul2021'!K34,($C$5*'Tariffs Jul2021'!AK34/'Tariffs Jul2021'!AI34-'Tariffs Jul2021'!J34)*('Tariffs Jul2021'!P34/100)*'Tariffs Jul2021'!AI34,('Tariffs Jul2021'!K34-'Tariffs Jul2021'!J34)*('Tariffs Jul2021'!P34/100)*'Tariffs Jul2021'!AI34))</f>
        <v>92.016818181818181</v>
      </c>
      <c r="G40" s="59">
        <f>IF($C$5*'Tariffs Jul2021'!AK34/'Tariffs Jul2021'!AI34&lt;'Tariffs Jul2021'!K34,0,IF($C$5*'Tariffs Jul2021'!AK34/'Tariffs Jul2021'!AI34&lt;='Tariffs Jul2021'!L34,($C$5*'Tariffs Jul2021'!AK34/'Tariffs Jul2021'!AI34-'Tariffs Jul2021'!K34)*('Tariffs Jul2021'!Q34/100)*'Tariffs Jul2021'!AI34,('Tariffs Jul2021'!L34-'Tariffs Jul2021'!K34)*('Tariffs Jul2021'!Q34/100)*'Tariffs Jul2021'!AI34))</f>
        <v>0</v>
      </c>
      <c r="H40" s="59">
        <f>IF($C$5*'Tariffs Jul2021'!AK34/'Tariffs Jul2021'!AI34&lt;'Tariffs Jul2021'!L34,0,IF($C$5*'Tariffs Jul2021'!AK34/'Tariffs Jul2021'!AI34&lt;='Tariffs Jul2021'!M34,($C$5*'Tariffs Jul2021'!AK34/'Tariffs Jul2021'!AI34-'Tariffs Jul2021'!L34)*('Tariffs Jul2021'!R34/100)*'Tariffs Jul2021'!AI34,('Tariffs Jul2021'!M34-'Tariffs Jul2021'!L34)*('Tariffs Jul2021'!R34/100)*'Tariffs Jul2021'!AI34))</f>
        <v>0</v>
      </c>
      <c r="I40" s="59">
        <f>IF(($C$5*'Tariffs Jul2021'!AK34/'Tariffs Jul2021'!AI34&gt;'Tariffs Jul2021'!M34),($C$5*'Tariffs Jul2021'!AK34/'Tariffs Jul2021'!AI34-'Tariffs Jul2021'!M34)*'Tariffs Jul2021'!S34/100*'Tariffs Jul2021'!AI34,0)</f>
        <v>113.45454545454544</v>
      </c>
      <c r="J40" s="59">
        <f>IF($C$5*'Tariffs Jul2021'!AL34/'Tariffs Jul2021'!AJ34&gt;='Tariffs Jul2021'!J34,('Tariffs Jul2021'!J34*'Tariffs Jul2021'!U34/100)* 'Tariffs Jul2021'!AJ34,($C$5*'Tariffs Jul2021'!AL34/'Tariffs Jul2021'!AJ34*'Tariffs Jul2021'!U34/100)* 'Tariffs Jul2021'!AJ34)</f>
        <v>120.23454545454545</v>
      </c>
      <c r="K40" s="59">
        <f>IF($C$5*'Tariffs Jul2021'!AL34/'Tariffs Jul2021'!AJ34&lt;'Tariffs Jul2021'!J34,0,IF($C$5*'Tariffs Jul2021'!AL34/'Tariffs Jul2021'!AJ34&lt;='Tariffs Jul2021'!K34,($C$5*'Tariffs Jul2021'!AL34/'Tariffs Jul2021'!AJ34-'Tariffs Jul2021'!J34)*('Tariffs Jul2021'!V34/100)*'Tariffs Jul2021'!AJ34,('Tariffs Jul2021'!K34-'Tariffs Jul2021'!J34)*('Tariffs Jul2021'!V34/100)*'Tariffs Jul2021'!AJ34))</f>
        <v>92.016818181818181</v>
      </c>
      <c r="L40" s="59">
        <f>IF($C$5*'Tariffs Jul2021'!AL34/'Tariffs Jul2021'!AJ34&lt;'Tariffs Jul2021'!K34,0,IF($C$5*'Tariffs Jul2021'!AL34/'Tariffs Jul2021'!AJ34&lt;='Tariffs Jul2021'!L34,($C$5*'Tariffs Jul2021'!AL34/'Tariffs Jul2021'!AJ34-'Tariffs Jul2021'!K34)*('Tariffs Jul2021'!W34/100)*'Tariffs Jul2021'!AJ34,('Tariffs Jul2021'!L34-'Tariffs Jul2021'!K34)*('Tariffs Jul2021'!W34/100)*'Tariffs Jul2021'!AJ34))</f>
        <v>0</v>
      </c>
      <c r="M40" s="59">
        <f>IF($C$5*'Tariffs Jul2021'!AL34/'Tariffs Jul2021'!AJ34&lt;'Tariffs Jul2021'!L34,0,IF($C$5*'Tariffs Jul2021'!AL34/'Tariffs Jul2021'!AJ34&lt;='Tariffs Jul2021'!M34,($C$5*'Tariffs Jul2021'!AL34/'Tariffs Jul2021'!AJ34-'Tariffs Jul2021'!L34)*('Tariffs Jul2021'!X34/100)*'Tariffs Jul2021'!AJ34,('Tariffs Jul2021'!M34-'Tariffs Jul2021'!L34)*('Tariffs Jul2021'!X34/100)*'Tariffs Jul2021'!AJ34))</f>
        <v>0</v>
      </c>
      <c r="N40" s="59">
        <f>IF(($C$5*'Tariffs Jul2021'!AL34/'Tariffs Jul2021'!AJ34&gt;'Tariffs Jul2021'!M34),($C$5*'Tariffs Jul2021'!AL34/'Tariffs Jul2021'!AJ34-'Tariffs Jul2021'!M34)*'Tariffs Jul2021'!Y34/100*'Tariffs Jul2021'!AJ34,0)</f>
        <v>113.45454545454544</v>
      </c>
      <c r="O40" s="59">
        <f t="shared" si="1"/>
        <v>651.41181818181826</v>
      </c>
      <c r="P40" s="503">
        <f t="shared" si="2"/>
        <v>716.55300000000011</v>
      </c>
      <c r="Q40" s="59">
        <f t="shared" si="3"/>
        <v>910.09727272727275</v>
      </c>
      <c r="R40" s="272">
        <f t="shared" si="4"/>
        <v>1001.1070000000001</v>
      </c>
      <c r="S40" s="40">
        <f>'Tariffs Jul2021'!AN34</f>
        <v>0</v>
      </c>
      <c r="T40" s="40">
        <f>'Tariffs Jul2021'!AO34</f>
        <v>0</v>
      </c>
      <c r="U40" s="40">
        <f>'Tariffs Jul2021'!AP34</f>
        <v>0</v>
      </c>
      <c r="V40" s="40">
        <f>'Tariffs Jul2021'!AQ34</f>
        <v>0</v>
      </c>
      <c r="W40" s="539" t="str">
        <f>IF(SUM(S40:V40)=0,"No discount",IF(S40&gt;0,"Guaranteed off bill",IF(T40&gt;0,"Guaranteed off usage",IF(U40&gt;0,"Pay-on-time off bill","Pay-on-time off usage"))))</f>
        <v>No discount</v>
      </c>
      <c r="X40" s="538" t="str">
        <f>IF(OR(A40="Origin Energy",A40="Red Energy",A40="Powershop"),"Inclusive","Exclusive")</f>
        <v>Exclusive</v>
      </c>
      <c r="Y40" s="534">
        <f>IF(AND(W40="Guaranteed off bill",X40="Inclusive"),((Q40*1.1)-((Q40*1.1)*S40/100))/1.1,IF(AND(W40="Guaranteed off usage",X40="Inclusive"),((Q40*1.1)-((P40*1.1)*T40/100))/1.1,IF(AND(W40="Guaranteed off bill",X40="Exclusive"),Q40-(Q40*S40/100),IF(AND(W40="Guaranteed off usage",X40="Exclusive"),Q40-(P40*T40/100),IF(X40="Inclusive",((Q40*1.1))/1.1,Q40)))))</f>
        <v>910.09727272727275</v>
      </c>
      <c r="Z40" s="535">
        <f>IF(AND(W40="Pay-on-time off bill",X40="Inclusive"),((Y40*1.1)-((Y40*1.1)*U40/100))/1.1,IF(AND(W40="Pay-on-time off usage",X40="Inclusive"),((Y40*1.1)-((P40*1.1)*V40/100))/1.1,IF(AND(W40="Pay-on-time off bill",X40="Exclusive"),Y40-(Y40*U40/100),IF(AND(W40="Pay-on-time off usage",X40="Exclusive"),Y40-(P40*V40/100),IF(X40="Inclusive",((Y40*1.1))/1.1,Y40)))))</f>
        <v>910.09727272727275</v>
      </c>
      <c r="AA40" s="542">
        <f t="shared" si="32"/>
        <v>1001.1070000000001</v>
      </c>
      <c r="AB40" s="542">
        <f t="shared" si="32"/>
        <v>1001.1070000000001</v>
      </c>
      <c r="AC40" s="274">
        <f>'Tariffs Jul2021'!AZ34</f>
        <v>0</v>
      </c>
      <c r="AD40" s="274" t="str">
        <f>'Tariffs Jul2021'!BA34</f>
        <v>n</v>
      </c>
      <c r="AE40" s="275" t="str">
        <f>'Tariffs Jul2021'!BJ34</f>
        <v>N</v>
      </c>
      <c r="AF40" s="574"/>
      <c r="AG40" s="574"/>
      <c r="AH40" s="574"/>
      <c r="AI40" s="574"/>
      <c r="AJ40" s="574"/>
      <c r="AK40" s="574"/>
      <c r="AL40" s="574"/>
      <c r="AM40" s="574"/>
      <c r="AN40" s="574"/>
      <c r="AO40" s="574"/>
      <c r="AP40" s="574"/>
      <c r="AQ40" s="574"/>
      <c r="AR40" s="574"/>
      <c r="AS40" s="574"/>
      <c r="AT40" s="574"/>
      <c r="AU40" s="574"/>
      <c r="AV40" s="574"/>
      <c r="AW40" s="574"/>
      <c r="AX40" s="574"/>
    </row>
    <row r="41" spans="1:50" ht="14" x14ac:dyDescent="0.15">
      <c r="A41" s="270" t="str">
        <f>'Tariffs Jul2021'!F35</f>
        <v>Alinta Energy</v>
      </c>
      <c r="B41" s="40" t="str">
        <f>'Tariffs Jul2021'!D35</f>
        <v>AGN North</v>
      </c>
      <c r="C41" s="40" t="str">
        <f>'Tariffs Jul2021'!G35</f>
        <v>Home Deal</v>
      </c>
      <c r="D41" s="59">
        <f>365*'Tariffs Jul2021'!H35/100</f>
        <v>175.89681818181816</v>
      </c>
      <c r="E41" s="59">
        <f>IF($C$5*'Tariffs Jul2021'!AK35/'Tariffs Jul2021'!AI35&gt;='Tariffs Jul2021'!J35,( 'Tariffs Jul2021'!J35*'Tariffs Jul2021'!O35/100)* 'Tariffs Jul2021'!AI35,($C$5*'Tariffs Jul2021'!AK35/'Tariffs Jul2021'!AI35*'Tariffs Jul2021'!O35/100)* 'Tariffs Jul2021'!AI35)</f>
        <v>92.419090909090897</v>
      </c>
      <c r="F41" s="59">
        <f>IF($C$5*'Tariffs Jul2021'!AK35/'Tariffs Jul2021'!AI35&lt;'Tariffs Jul2021'!J35,0,IF($C$5*'Tariffs Jul2021'!AK35/'Tariffs Jul2021'!AI35&lt;='Tariffs Jul2021'!K35,($C$5*'Tariffs Jul2021'!AK35/'Tariffs Jul2021'!AI35-'Tariffs Jul2021'!J35)*('Tariffs Jul2021'!P35/100)*'Tariffs Jul2021'!AI35,('Tariffs Jul2021'!K35-'Tariffs Jul2021'!J35)*('Tariffs Jul2021'!P35/100)*'Tariffs Jul2021'!AI35))</f>
        <v>76.126363636363621</v>
      </c>
      <c r="G41" s="59">
        <f>IF($C$5*'Tariffs Jul2021'!AK35/'Tariffs Jul2021'!AI35&lt;'Tariffs Jul2021'!K35,0,IF($C$5*'Tariffs Jul2021'!AK35/'Tariffs Jul2021'!AI35&lt;='Tariffs Jul2021'!L35,($C$5*'Tariffs Jul2021'!AK35/'Tariffs Jul2021'!AI35-'Tariffs Jul2021'!K35)*('Tariffs Jul2021'!Q35/100)*'Tariffs Jul2021'!AI35,('Tariffs Jul2021'!L35-'Tariffs Jul2021'!K35)*('Tariffs Jul2021'!Q35/100)*'Tariffs Jul2021'!AI35))</f>
        <v>0</v>
      </c>
      <c r="H41" s="59">
        <f>IF($C$5*'Tariffs Jul2021'!AK35/'Tariffs Jul2021'!AI35&lt;'Tariffs Jul2021'!L35,0,IF($C$5*'Tariffs Jul2021'!AK35/'Tariffs Jul2021'!AI35&lt;='Tariffs Jul2021'!M35,($C$5*'Tariffs Jul2021'!AK35/'Tariffs Jul2021'!AI35-'Tariffs Jul2021'!L35)*('Tariffs Jul2021'!R35/100)*'Tariffs Jul2021'!AI35,('Tariffs Jul2021'!M35-'Tariffs Jul2021'!L35)*('Tariffs Jul2021'!R35/100)*'Tariffs Jul2021'!AI35))</f>
        <v>0</v>
      </c>
      <c r="I41" s="59">
        <f>IF(($C$5*'Tariffs Jul2021'!AK35/'Tariffs Jul2021'!AI35&gt;'Tariffs Jul2021'!M35),($C$5*'Tariffs Jul2021'!AK35/'Tariffs Jul2021'!AI35-'Tariffs Jul2021'!M35)*'Tariffs Jul2021'!S35/100*'Tariffs Jul2021'!AI35,0)</f>
        <v>96.545454545454533</v>
      </c>
      <c r="J41" s="59">
        <f>IF($C$5*'Tariffs Jul2021'!AL35/'Tariffs Jul2021'!AJ35&gt;='Tariffs Jul2021'!J35,('Tariffs Jul2021'!J35*'Tariffs Jul2021'!U35/100)* 'Tariffs Jul2021'!AJ35,($C$5*'Tariffs Jul2021'!AL35/'Tariffs Jul2021'!AJ35*'Tariffs Jul2021'!U35/100)* 'Tariffs Jul2021'!AJ35)</f>
        <v>92.419090909090897</v>
      </c>
      <c r="K41" s="59">
        <f>IF($C$5*'Tariffs Jul2021'!AL35/'Tariffs Jul2021'!AJ35&lt;'Tariffs Jul2021'!J35,0,IF($C$5*'Tariffs Jul2021'!AL35/'Tariffs Jul2021'!AJ35&lt;='Tariffs Jul2021'!K35,($C$5*'Tariffs Jul2021'!AL35/'Tariffs Jul2021'!AJ35-'Tariffs Jul2021'!J35)*('Tariffs Jul2021'!V35/100)*'Tariffs Jul2021'!AJ35,('Tariffs Jul2021'!K35-'Tariffs Jul2021'!J35)*('Tariffs Jul2021'!V35/100)*'Tariffs Jul2021'!AJ35))</f>
        <v>76.126363636363621</v>
      </c>
      <c r="L41" s="59">
        <f>IF($C$5*'Tariffs Jul2021'!AL35/'Tariffs Jul2021'!AJ35&lt;'Tariffs Jul2021'!K35,0,IF($C$5*'Tariffs Jul2021'!AL35/'Tariffs Jul2021'!AJ35&lt;='Tariffs Jul2021'!L35,($C$5*'Tariffs Jul2021'!AL35/'Tariffs Jul2021'!AJ35-'Tariffs Jul2021'!K35)*('Tariffs Jul2021'!W35/100)*'Tariffs Jul2021'!AJ35,('Tariffs Jul2021'!L35-'Tariffs Jul2021'!K35)*('Tariffs Jul2021'!W35/100)*'Tariffs Jul2021'!AJ35))</f>
        <v>0</v>
      </c>
      <c r="M41" s="59">
        <f>IF($C$5*'Tariffs Jul2021'!AL35/'Tariffs Jul2021'!AJ35&lt;'Tariffs Jul2021'!L35,0,IF($C$5*'Tariffs Jul2021'!AL35/'Tariffs Jul2021'!AJ35&lt;='Tariffs Jul2021'!M35,($C$5*'Tariffs Jul2021'!AL35/'Tariffs Jul2021'!AJ35-'Tariffs Jul2021'!L35)*('Tariffs Jul2021'!X35/100)*'Tariffs Jul2021'!AJ35,('Tariffs Jul2021'!M35-'Tariffs Jul2021'!L35)*('Tariffs Jul2021'!X35/100)*'Tariffs Jul2021'!AJ35))</f>
        <v>0</v>
      </c>
      <c r="N41" s="59">
        <f>IF(($C$5*'Tariffs Jul2021'!AL35/'Tariffs Jul2021'!AJ35&gt;'Tariffs Jul2021'!M35),($C$5*'Tariffs Jul2021'!AL35/'Tariffs Jul2021'!AJ35-'Tariffs Jul2021'!M35)*'Tariffs Jul2021'!Y35/100*'Tariffs Jul2021'!AJ35,0)</f>
        <v>96.545454545454533</v>
      </c>
      <c r="O41" s="59">
        <f t="shared" si="1"/>
        <v>530.18181818181802</v>
      </c>
      <c r="P41" s="503">
        <f t="shared" si="2"/>
        <v>583.19999999999982</v>
      </c>
      <c r="Q41" s="59">
        <f t="shared" si="3"/>
        <v>706.07863636363618</v>
      </c>
      <c r="R41" s="272">
        <f t="shared" si="4"/>
        <v>776.68649999999991</v>
      </c>
      <c r="S41" s="40">
        <f>'Tariffs Jul2021'!AN35</f>
        <v>0</v>
      </c>
      <c r="T41" s="40">
        <f>'Tariffs Jul2021'!AO35</f>
        <v>0</v>
      </c>
      <c r="U41" s="40">
        <f>'Tariffs Jul2021'!AP35</f>
        <v>0</v>
      </c>
      <c r="V41" s="40">
        <f>'Tariffs Jul2021'!AQ35</f>
        <v>0</v>
      </c>
      <c r="W41" s="537" t="str">
        <f t="shared" ref="W41:W55" si="33">IF(SUM(S41:V41)=0,"No discount",IF(S41&gt;0,"Guaranteed off bill",IF(T41&gt;0,"Guaranteed off usage",IF(U41&gt;0,"Pay-on-time off bill","Pay-on-time off usage"))))</f>
        <v>No discount</v>
      </c>
      <c r="X41" s="538" t="str">
        <f t="shared" ref="X41:X55" si="34">IF(OR(A41="Origin Energy",A41="Red Energy",A41="Powershop"),"Inclusive","Exclusive")</f>
        <v>Exclusive</v>
      </c>
      <c r="Y41" s="534">
        <f>IF(AND(W41="Guaranteed off bill",X41="Inclusive"),((Q41*1.1)-((Q41*1.1)*S41/100))/1.1,IF(AND(W41="Guaranteed off usage",X41="Inclusive"),((Q41*1.1)-((P41*1.1)*T41/100))/1.1,IF(AND(W41="Guaranteed off bill",X41="Exclusive"),Q41-(Q41*S41/100),IF(AND(W41="Guaranteed off usage",X41="Exclusive"),Q41-(P41*T41/100),IF(X41="Inclusive",((Q41*1.1))/1.1,Q41)))))</f>
        <v>706.07863636363618</v>
      </c>
      <c r="Z41" s="535">
        <f>IF(AND(W41="Pay-on-time off bill",X41="Inclusive"),((Y41*1.1)-((Y41*1.1)*U41/100))/1.1,IF(AND(W41="Pay-on-time off usage",X41="Inclusive"),((Y41*1.1)-((P41*1.1)*V41/100))/1.1,IF(AND(W41="Pay-on-time off bill",X41="Exclusive"),Y41-(Y41*U41/100),IF(AND(W41="Pay-on-time off usage",X41="Exclusive"),Y41-(P41*V41/100),IF(X41="Inclusive",((Y41*1.1))/1.1,Y41)))))</f>
        <v>706.07863636363618</v>
      </c>
      <c r="AA41" s="542">
        <f t="shared" si="32"/>
        <v>776.68649999999991</v>
      </c>
      <c r="AB41" s="542">
        <f t="shared" si="32"/>
        <v>776.68649999999991</v>
      </c>
      <c r="AC41" s="274">
        <f>'Tariffs Jul2021'!AZ35</f>
        <v>0</v>
      </c>
      <c r="AD41" s="274" t="str">
        <f>'Tariffs Jul2021'!BA35</f>
        <v>n</v>
      </c>
      <c r="AE41" s="275" t="str">
        <f>'Tariffs Jul2021'!BJ35</f>
        <v>N</v>
      </c>
      <c r="AF41" s="574"/>
      <c r="AG41" s="574"/>
      <c r="AH41" s="574"/>
      <c r="AI41" s="574"/>
      <c r="AJ41" s="574"/>
      <c r="AK41" s="574"/>
      <c r="AL41" s="574"/>
      <c r="AM41" s="574"/>
      <c r="AN41" s="574"/>
      <c r="AO41" s="574"/>
      <c r="AP41" s="574"/>
      <c r="AQ41" s="574"/>
      <c r="AR41" s="574"/>
      <c r="AS41" s="574"/>
      <c r="AT41" s="574"/>
      <c r="AU41" s="574"/>
      <c r="AV41" s="574"/>
      <c r="AW41" s="574"/>
      <c r="AX41" s="574"/>
    </row>
    <row r="42" spans="1:50" ht="14" x14ac:dyDescent="0.15">
      <c r="A42" s="270" t="str">
        <f>'Tariffs Jul2021'!F36</f>
        <v>Covau</v>
      </c>
      <c r="B42" s="40" t="str">
        <f>'Tariffs Jul2021'!D36</f>
        <v>AGN North</v>
      </c>
      <c r="C42" s="40" t="str">
        <f>'Tariffs Jul2021'!G36</f>
        <v>Super Saver Plus</v>
      </c>
      <c r="D42" s="59">
        <f>365*'Tariffs Jul2021'!H36/100</f>
        <v>273.75</v>
      </c>
      <c r="E42" s="59">
        <f>IF($C$5*'Tariffs Jul2021'!AK36/'Tariffs Jul2021'!AI36&gt;='Tariffs Jul2021'!J36,( 'Tariffs Jul2021'!J36*'Tariffs Jul2021'!O36/100)* 'Tariffs Jul2021'!AI36,($C$5*'Tariffs Jul2021'!AK36/'Tariffs Jul2021'!AI36*'Tariffs Jul2021'!O36/100)* 'Tariffs Jul2021'!AI36)</f>
        <v>129.20727272727271</v>
      </c>
      <c r="F42" s="59">
        <f>IF($C$5*'Tariffs Jul2021'!AK36/'Tariffs Jul2021'!AI36&lt;'Tariffs Jul2021'!J36,0,IF($C$5*'Tariffs Jul2021'!AK36/'Tariffs Jul2021'!AI36&lt;='Tariffs Jul2021'!K36,($C$5*'Tariffs Jul2021'!AK36/'Tariffs Jul2021'!AI36-'Tariffs Jul2021'!J36)*('Tariffs Jul2021'!P36/100)*'Tariffs Jul2021'!AI36,('Tariffs Jul2021'!K36-'Tariffs Jul2021'!J36)*('Tariffs Jul2021'!P36/100)*'Tariffs Jul2021'!AI36))</f>
        <v>96.081818181818164</v>
      </c>
      <c r="G42" s="59">
        <f>IF($C$5*'Tariffs Jul2021'!AK36/'Tariffs Jul2021'!AI36&lt;'Tariffs Jul2021'!K36,0,IF($C$5*'Tariffs Jul2021'!AK36/'Tariffs Jul2021'!AI36&lt;='Tariffs Jul2021'!L36,($C$5*'Tariffs Jul2021'!AK36/'Tariffs Jul2021'!AI36-'Tariffs Jul2021'!K36)*('Tariffs Jul2021'!Q36/100)*'Tariffs Jul2021'!AI36,('Tariffs Jul2021'!L36-'Tariffs Jul2021'!K36)*('Tariffs Jul2021'!Q36/100)*'Tariffs Jul2021'!AI36))</f>
        <v>0</v>
      </c>
      <c r="H42" s="59">
        <f>IF($C$5*'Tariffs Jul2021'!AK36/'Tariffs Jul2021'!AI36&lt;'Tariffs Jul2021'!L36,0,IF($C$5*'Tariffs Jul2021'!AK36/'Tariffs Jul2021'!AI36&lt;='Tariffs Jul2021'!M36,($C$5*'Tariffs Jul2021'!AK36/'Tariffs Jul2021'!AI36-'Tariffs Jul2021'!L36)*('Tariffs Jul2021'!R36/100)*'Tariffs Jul2021'!AI36,('Tariffs Jul2021'!M36-'Tariffs Jul2021'!L36)*('Tariffs Jul2021'!R36/100)*'Tariffs Jul2021'!AI36))</f>
        <v>0</v>
      </c>
      <c r="I42" s="59">
        <f>IF(($C$5*'Tariffs Jul2021'!AK36/'Tariffs Jul2021'!AI36&gt;'Tariffs Jul2021'!M36),($C$5*'Tariffs Jul2021'!AK36/'Tariffs Jul2021'!AI36-'Tariffs Jul2021'!M36)*'Tariffs Jul2021'!S36/100*'Tariffs Jul2021'!AI36,0)</f>
        <v>115.63636363636364</v>
      </c>
      <c r="J42" s="59">
        <f>IF($C$5*'Tariffs Jul2021'!AL36/'Tariffs Jul2021'!AJ36&gt;='Tariffs Jul2021'!J36,('Tariffs Jul2021'!J36*'Tariffs Jul2021'!U36/100)* 'Tariffs Jul2021'!AJ36,($C$5*'Tariffs Jul2021'!AL36/'Tariffs Jul2021'!AJ36*'Tariffs Jul2021'!U36/100)* 'Tariffs Jul2021'!AJ36)</f>
        <v>129.20727272727271</v>
      </c>
      <c r="K42" s="59">
        <f>IF($C$5*'Tariffs Jul2021'!AL36/'Tariffs Jul2021'!AJ36&lt;'Tariffs Jul2021'!J36,0,IF($C$5*'Tariffs Jul2021'!AL36/'Tariffs Jul2021'!AJ36&lt;='Tariffs Jul2021'!K36,($C$5*'Tariffs Jul2021'!AL36/'Tariffs Jul2021'!AJ36-'Tariffs Jul2021'!J36)*('Tariffs Jul2021'!V36/100)*'Tariffs Jul2021'!AJ36,('Tariffs Jul2021'!K36-'Tariffs Jul2021'!J36)*('Tariffs Jul2021'!V36/100)*'Tariffs Jul2021'!AJ36))</f>
        <v>96.081818181818164</v>
      </c>
      <c r="L42" s="59">
        <f>IF($C$5*'Tariffs Jul2021'!AL36/'Tariffs Jul2021'!AJ36&lt;'Tariffs Jul2021'!K36,0,IF($C$5*'Tariffs Jul2021'!AL36/'Tariffs Jul2021'!AJ36&lt;='Tariffs Jul2021'!L36,($C$5*'Tariffs Jul2021'!AL36/'Tariffs Jul2021'!AJ36-'Tariffs Jul2021'!K36)*('Tariffs Jul2021'!W36/100)*'Tariffs Jul2021'!AJ36,('Tariffs Jul2021'!L36-'Tariffs Jul2021'!K36)*('Tariffs Jul2021'!W36/100)*'Tariffs Jul2021'!AJ36))</f>
        <v>0</v>
      </c>
      <c r="M42" s="59">
        <f>IF($C$5*'Tariffs Jul2021'!AL36/'Tariffs Jul2021'!AJ36&lt;'Tariffs Jul2021'!L36,0,IF($C$5*'Tariffs Jul2021'!AL36/'Tariffs Jul2021'!AJ36&lt;='Tariffs Jul2021'!M36,($C$5*'Tariffs Jul2021'!AL36/'Tariffs Jul2021'!AJ36-'Tariffs Jul2021'!L36)*('Tariffs Jul2021'!X36/100)*'Tariffs Jul2021'!AJ36,('Tariffs Jul2021'!M36-'Tariffs Jul2021'!L36)*('Tariffs Jul2021'!X36/100)*'Tariffs Jul2021'!AJ36))</f>
        <v>0</v>
      </c>
      <c r="N42" s="59">
        <f>IF(($C$5*'Tariffs Jul2021'!AL36/'Tariffs Jul2021'!AJ36&gt;'Tariffs Jul2021'!M36),($C$5*'Tariffs Jul2021'!AL36/'Tariffs Jul2021'!AJ36-'Tariffs Jul2021'!M36)*'Tariffs Jul2021'!Y36/100*'Tariffs Jul2021'!AJ36,0)</f>
        <v>115.63636363636364</v>
      </c>
      <c r="O42" s="59">
        <f t="shared" si="1"/>
        <v>681.850909090909</v>
      </c>
      <c r="P42" s="503">
        <f t="shared" si="2"/>
        <v>750.03599999999994</v>
      </c>
      <c r="Q42" s="59">
        <f t="shared" si="3"/>
        <v>955.600909090909</v>
      </c>
      <c r="R42" s="272">
        <f t="shared" si="4"/>
        <v>1051.1610000000001</v>
      </c>
      <c r="S42" s="40">
        <f>'Tariffs Jul2021'!AN36</f>
        <v>0</v>
      </c>
      <c r="T42" s="40">
        <f>'Tariffs Jul2021'!AO36</f>
        <v>20</v>
      </c>
      <c r="U42" s="40">
        <f>'Tariffs Jul2021'!AP36</f>
        <v>0</v>
      </c>
      <c r="V42" s="40">
        <f>'Tariffs Jul2021'!AQ36</f>
        <v>0</v>
      </c>
      <c r="W42" s="537" t="str">
        <f t="shared" si="33"/>
        <v>Guaranteed off usage</v>
      </c>
      <c r="X42" s="538" t="str">
        <f t="shared" si="34"/>
        <v>Exclusive</v>
      </c>
      <c r="Y42" s="534">
        <f t="shared" ref="Y42" si="35">IF(AND(W42="Guaranteed off bill",X42="Inclusive"),((Q42*1.1)-((Q42*1.1)*S42/100))/1.1,IF(AND(W42="Guaranteed off usage",X42="Inclusive"),((Q42*1.1)-((P42*1.1)*T42/100))/1.1,IF(AND(W42="Guaranteed off bill",X42="Exclusive"),Q42-(Q42*S42/100),IF(AND(W42="Guaranteed off usage",X42="Exclusive"),Q42-(P42*T42/100),IF(X42="Inclusive",((Q42*1.1))/1.1,Q42)))))</f>
        <v>805.59370909090899</v>
      </c>
      <c r="Z42" s="535">
        <f t="shared" ref="Z42" si="36">IF(AND(W42="Pay-on-time off bill",X42="Inclusive"),((Y42*1.1)-((Y42*1.1)*U42/100))/1.1,IF(AND(W42="Pay-on-time off usage",X42="Inclusive"),((Y42*1.1)-((P42*1.1)*V42/100))/1.1,IF(AND(W42="Pay-on-time off bill",X42="Exclusive"),Y42-(Y42*U42/100),IF(AND(W42="Pay-on-time off usage",X42="Exclusive"),Y42-(P42*V42/100),IF(X42="Inclusive",((Y42*1.1))/1.1,Y42)))))</f>
        <v>805.59370909090899</v>
      </c>
      <c r="AA42" s="542">
        <f t="shared" si="32"/>
        <v>886.15307999999993</v>
      </c>
      <c r="AB42" s="542">
        <f t="shared" si="32"/>
        <v>886.15307999999993</v>
      </c>
      <c r="AC42" s="274">
        <f>'Tariffs Jul2021'!AZ36</f>
        <v>0</v>
      </c>
      <c r="AD42" s="274" t="str">
        <f>'Tariffs Jul2021'!BA36</f>
        <v>n</v>
      </c>
      <c r="AE42" s="275" t="str">
        <f>'Tariffs Jul2021'!BJ36</f>
        <v>N</v>
      </c>
      <c r="AF42" s="574"/>
      <c r="AG42" s="574"/>
      <c r="AH42" s="574"/>
      <c r="AI42" s="574"/>
      <c r="AJ42" s="574"/>
      <c r="AK42" s="574"/>
      <c r="AL42" s="574"/>
      <c r="AM42" s="574"/>
      <c r="AN42" s="574"/>
      <c r="AO42" s="574"/>
      <c r="AP42" s="574"/>
      <c r="AQ42" s="574"/>
      <c r="AR42" s="574"/>
      <c r="AS42" s="574"/>
      <c r="AT42" s="574"/>
      <c r="AU42" s="574"/>
      <c r="AV42" s="574"/>
      <c r="AW42" s="574"/>
      <c r="AX42" s="574"/>
    </row>
    <row r="43" spans="1:50" ht="14" x14ac:dyDescent="0.15">
      <c r="A43" s="270" t="str">
        <f>'Tariffs Jul2021'!F37</f>
        <v>Dodo Power &amp; Gas</v>
      </c>
      <c r="B43" s="40" t="str">
        <f>'Tariffs Jul2021'!D37</f>
        <v>AGN North</v>
      </c>
      <c r="C43" s="40" t="str">
        <f>'Tariffs Jul2021'!G37</f>
        <v>Market offer</v>
      </c>
      <c r="D43" s="59">
        <f>365*'Tariffs Jul2021'!H37/100</f>
        <v>180.31</v>
      </c>
      <c r="E43" s="59">
        <f>IF($C$5*'Tariffs Jul2021'!AK37/'Tariffs Jul2021'!AI37&gt;='Tariffs Jul2021'!J37,( 'Tariffs Jul2021'!J37*'Tariffs Jul2021'!O37/100)* 'Tariffs Jul2021'!AI37,($C$5*'Tariffs Jul2021'!AK37/'Tariffs Jul2021'!AI37*'Tariffs Jul2021'!O37/100)* 'Tariffs Jul2021'!AI37)</f>
        <v>118.88863636363635</v>
      </c>
      <c r="F43" s="59">
        <f>IF($C$5*'Tariffs Jul2021'!AK37/'Tariffs Jul2021'!AI37&lt;'Tariffs Jul2021'!J37,0,IF($C$5*'Tariffs Jul2021'!AK37/'Tariffs Jul2021'!AI37&lt;='Tariffs Jul2021'!K37,($C$5*'Tariffs Jul2021'!AK37/'Tariffs Jul2021'!AI37-'Tariffs Jul2021'!J37)*('Tariffs Jul2021'!P37/100)*'Tariffs Jul2021'!AI37,('Tariffs Jul2021'!K37-'Tariffs Jul2021'!J37)*('Tariffs Jul2021'!P37/100)*'Tariffs Jul2021'!AI37))</f>
        <v>79.821818181818173</v>
      </c>
      <c r="G43" s="59">
        <f>IF($C$5*'Tariffs Jul2021'!AK37/'Tariffs Jul2021'!AI37&lt;'Tariffs Jul2021'!K37,0,IF($C$5*'Tariffs Jul2021'!AK37/'Tariffs Jul2021'!AI37&lt;='Tariffs Jul2021'!L37,($C$5*'Tariffs Jul2021'!AK37/'Tariffs Jul2021'!AI37-'Tariffs Jul2021'!K37)*('Tariffs Jul2021'!Q37/100)*'Tariffs Jul2021'!AI37,('Tariffs Jul2021'!L37-'Tariffs Jul2021'!K37)*('Tariffs Jul2021'!Q37/100)*'Tariffs Jul2021'!AI37))</f>
        <v>0</v>
      </c>
      <c r="H43" s="59">
        <f>IF($C$5*'Tariffs Jul2021'!AK37/'Tariffs Jul2021'!AI37&lt;'Tariffs Jul2021'!L37,0,IF($C$5*'Tariffs Jul2021'!AK37/'Tariffs Jul2021'!AI37&lt;='Tariffs Jul2021'!M37,($C$5*'Tariffs Jul2021'!AK37/'Tariffs Jul2021'!AI37-'Tariffs Jul2021'!L37)*('Tariffs Jul2021'!R37/100)*'Tariffs Jul2021'!AI37,('Tariffs Jul2021'!M37-'Tariffs Jul2021'!L37)*('Tariffs Jul2021'!R37/100)*'Tariffs Jul2021'!AI37))</f>
        <v>0</v>
      </c>
      <c r="I43" s="59">
        <f>IF(($C$5*'Tariffs Jul2021'!AK37/'Tariffs Jul2021'!AI37&gt;'Tariffs Jul2021'!M37),($C$5*'Tariffs Jul2021'!AK37/'Tariffs Jul2021'!AI37-'Tariffs Jul2021'!M37)*'Tariffs Jul2021'!S37/100*'Tariffs Jul2021'!AI37,0)</f>
        <v>100.36363636363636</v>
      </c>
      <c r="J43" s="59">
        <f>IF($C$5*'Tariffs Jul2021'!AL37/'Tariffs Jul2021'!AJ37&gt;='Tariffs Jul2021'!J37,('Tariffs Jul2021'!J37*'Tariffs Jul2021'!U37/100)* 'Tariffs Jul2021'!AJ37,($C$5*'Tariffs Jul2021'!AL37/'Tariffs Jul2021'!AJ37*'Tariffs Jul2021'!U37/100)* 'Tariffs Jul2021'!AJ37)</f>
        <v>118.88863636363635</v>
      </c>
      <c r="K43" s="59">
        <f>IF($C$5*'Tariffs Jul2021'!AL37/'Tariffs Jul2021'!AJ37&lt;'Tariffs Jul2021'!J37,0,IF($C$5*'Tariffs Jul2021'!AL37/'Tariffs Jul2021'!AJ37&lt;='Tariffs Jul2021'!K37,($C$5*'Tariffs Jul2021'!AL37/'Tariffs Jul2021'!AJ37-'Tariffs Jul2021'!J37)*('Tariffs Jul2021'!V37/100)*'Tariffs Jul2021'!AJ37,('Tariffs Jul2021'!K37-'Tariffs Jul2021'!J37)*('Tariffs Jul2021'!V37/100)*'Tariffs Jul2021'!AJ37))</f>
        <v>79.821818181818173</v>
      </c>
      <c r="L43" s="59">
        <f>IF($C$5*'Tariffs Jul2021'!AL37/'Tariffs Jul2021'!AJ37&lt;'Tariffs Jul2021'!K37,0,IF($C$5*'Tariffs Jul2021'!AL37/'Tariffs Jul2021'!AJ37&lt;='Tariffs Jul2021'!L37,($C$5*'Tariffs Jul2021'!AL37/'Tariffs Jul2021'!AJ37-'Tariffs Jul2021'!K37)*('Tariffs Jul2021'!W37/100)*'Tariffs Jul2021'!AJ37,('Tariffs Jul2021'!L37-'Tariffs Jul2021'!K37)*('Tariffs Jul2021'!W37/100)*'Tariffs Jul2021'!AJ37))</f>
        <v>0</v>
      </c>
      <c r="M43" s="59">
        <f>IF($C$5*'Tariffs Jul2021'!AL37/'Tariffs Jul2021'!AJ37&lt;'Tariffs Jul2021'!L37,0,IF($C$5*'Tariffs Jul2021'!AL37/'Tariffs Jul2021'!AJ37&lt;='Tariffs Jul2021'!M37,($C$5*'Tariffs Jul2021'!AL37/'Tariffs Jul2021'!AJ37-'Tariffs Jul2021'!L37)*('Tariffs Jul2021'!X37/100)*'Tariffs Jul2021'!AJ37,('Tariffs Jul2021'!M37-'Tariffs Jul2021'!L37)*('Tariffs Jul2021'!X37/100)*'Tariffs Jul2021'!AJ37))</f>
        <v>0</v>
      </c>
      <c r="N43" s="59">
        <f>IF(($C$5*'Tariffs Jul2021'!AL37/'Tariffs Jul2021'!AJ37&gt;'Tariffs Jul2021'!M37),($C$5*'Tariffs Jul2021'!AL37/'Tariffs Jul2021'!AJ37-'Tariffs Jul2021'!M37)*'Tariffs Jul2021'!Y37/100*'Tariffs Jul2021'!AJ37,0)</f>
        <v>100.36363636363636</v>
      </c>
      <c r="O43" s="59">
        <f t="shared" si="1"/>
        <v>598.1481818181818</v>
      </c>
      <c r="P43" s="503">
        <f t="shared" si="2"/>
        <v>657.96300000000008</v>
      </c>
      <c r="Q43" s="59">
        <f t="shared" si="3"/>
        <v>778.45818181818186</v>
      </c>
      <c r="R43" s="272">
        <f t="shared" si="4"/>
        <v>856.30400000000009</v>
      </c>
      <c r="S43" s="40">
        <f>'Tariffs Jul2021'!AN37</f>
        <v>0</v>
      </c>
      <c r="T43" s="40">
        <f>'Tariffs Jul2021'!AO37</f>
        <v>0</v>
      </c>
      <c r="U43" s="40">
        <f>'Tariffs Jul2021'!AP37</f>
        <v>0</v>
      </c>
      <c r="V43" s="40">
        <f>'Tariffs Jul2021'!AQ37</f>
        <v>0</v>
      </c>
      <c r="W43" s="537" t="str">
        <f t="shared" si="33"/>
        <v>No discount</v>
      </c>
      <c r="X43" s="538" t="str">
        <f t="shared" si="34"/>
        <v>Exclusive</v>
      </c>
      <c r="Y43" s="534">
        <f>IF(AND(W43="Guaranteed off bill",X43="Inclusive"),((Q43*1.1)-((Q43*1.1)*S43/100))/1.1,IF(AND(W43="Guaranteed off usage",X43="Inclusive"),((Q43*1.1)-((P43*1.1)*T43/100))/1.1,IF(AND(W43="Guaranteed off bill",X43="Exclusive"),Q43-(Q43*S43/100),IF(AND(W43="Guaranteed off usage",X43="Exclusive"),Q43-(P43*T43/100),IF(X43="Inclusive",((Q43*1.1))/1.1,Q43)))))</f>
        <v>778.45818181818186</v>
      </c>
      <c r="Z43" s="535">
        <f>IF(AND(W43="Pay-on-time off bill",X43="Inclusive"),((Y43*1.1)-((Y43*1.1)*U43/100))/1.1,IF(AND(W43="Pay-on-time off usage",X43="Inclusive"),((Y43*1.1)-((P43*1.1)*V43/100))/1.1,IF(AND(W43="Pay-on-time off bill",X43="Exclusive"),Y43-(Y43*U43/100),IF(AND(W43="Pay-on-time off usage",X43="Exclusive"),Y43-(P43*V43/100),IF(X43="Inclusive",((Y43*1.1))/1.1,Y43)))))</f>
        <v>778.45818181818186</v>
      </c>
      <c r="AA43" s="542">
        <f t="shared" si="32"/>
        <v>856.30400000000009</v>
      </c>
      <c r="AB43" s="542">
        <f t="shared" si="32"/>
        <v>856.30400000000009</v>
      </c>
      <c r="AC43" s="274">
        <f>'Tariffs Jul2021'!AZ37</f>
        <v>0</v>
      </c>
      <c r="AD43" s="274" t="str">
        <f>'Tariffs Jul2021'!BA37</f>
        <v>n</v>
      </c>
      <c r="AE43" s="275" t="str">
        <f>'Tariffs Jul2021'!BJ37</f>
        <v>N</v>
      </c>
      <c r="AF43" s="574"/>
      <c r="AG43" s="574"/>
      <c r="AH43" s="574"/>
      <c r="AI43" s="574"/>
      <c r="AJ43" s="574"/>
      <c r="AK43" s="574"/>
      <c r="AL43" s="574"/>
      <c r="AM43" s="574"/>
      <c r="AN43" s="574"/>
      <c r="AO43" s="574"/>
      <c r="AP43" s="574"/>
      <c r="AQ43" s="574"/>
      <c r="AR43" s="574"/>
      <c r="AS43" s="574"/>
      <c r="AT43" s="574"/>
      <c r="AU43" s="574"/>
      <c r="AV43" s="574"/>
      <c r="AW43" s="574"/>
      <c r="AX43" s="574"/>
    </row>
    <row r="44" spans="1:50" ht="14" x14ac:dyDescent="0.15">
      <c r="A44" s="270" t="str">
        <f>'Tariffs Jul2021'!F38</f>
        <v>EnergyAustralia</v>
      </c>
      <c r="B44" s="40" t="str">
        <f>'Tariffs Jul2021'!D38</f>
        <v>AGN North</v>
      </c>
      <c r="C44" s="40" t="str">
        <f>'Tariffs Jul2021'!G38</f>
        <v>Total Plan</v>
      </c>
      <c r="D44" s="59">
        <f>365*'Tariffs Jul2021'!H38/100</f>
        <v>309.88499999999999</v>
      </c>
      <c r="E44" s="59">
        <f>IF($C$5*'Tariffs Jul2021'!AK38/'Tariffs Jul2021'!AI38&gt;='Tariffs Jul2021'!J38,( 'Tariffs Jul2021'!J38*'Tariffs Jul2021'!O38/100)* 'Tariffs Jul2021'!AI38,($C$5*'Tariffs Jul2021'!AK38/'Tariffs Jul2021'!AI38*'Tariffs Jul2021'!O38/100)* 'Tariffs Jul2021'!AI38)</f>
        <v>166.89272727272729</v>
      </c>
      <c r="F44" s="59">
        <f>IF($C$5*'Tariffs Jul2021'!AK38/'Tariffs Jul2021'!AI38&lt;'Tariffs Jul2021'!J38,0,IF($C$5*'Tariffs Jul2021'!AK38/'Tariffs Jul2021'!AI38&lt;='Tariffs Jul2021'!K38,($C$5*'Tariffs Jul2021'!AK38/'Tariffs Jul2021'!AI38-'Tariffs Jul2021'!J38)*('Tariffs Jul2021'!P38/100)*'Tariffs Jul2021'!AI38,('Tariffs Jul2021'!K38-'Tariffs Jul2021'!J38)*('Tariffs Jul2021'!P38/100)*'Tariffs Jul2021'!AI38))</f>
        <v>107.16818181818181</v>
      </c>
      <c r="G44" s="59">
        <f>IF($C$5*'Tariffs Jul2021'!AK38/'Tariffs Jul2021'!AI38&lt;'Tariffs Jul2021'!K38,0,IF($C$5*'Tariffs Jul2021'!AK38/'Tariffs Jul2021'!AI38&lt;='Tariffs Jul2021'!L38,($C$5*'Tariffs Jul2021'!AK38/'Tariffs Jul2021'!AI38-'Tariffs Jul2021'!K38)*('Tariffs Jul2021'!Q38/100)*'Tariffs Jul2021'!AI38,('Tariffs Jul2021'!L38-'Tariffs Jul2021'!K38)*('Tariffs Jul2021'!Q38/100)*'Tariffs Jul2021'!AI38))</f>
        <v>0</v>
      </c>
      <c r="H44" s="59">
        <f>IF($C$5*'Tariffs Jul2021'!AK38/'Tariffs Jul2021'!AI38&lt;'Tariffs Jul2021'!L38,0,IF($C$5*'Tariffs Jul2021'!AK38/'Tariffs Jul2021'!AI38&lt;='Tariffs Jul2021'!M38,($C$5*'Tariffs Jul2021'!AK38/'Tariffs Jul2021'!AI38-'Tariffs Jul2021'!L38)*('Tariffs Jul2021'!R38/100)*'Tariffs Jul2021'!AI38,('Tariffs Jul2021'!M38-'Tariffs Jul2021'!L38)*('Tariffs Jul2021'!R38/100)*'Tariffs Jul2021'!AI38))</f>
        <v>0</v>
      </c>
      <c r="I44" s="59">
        <f>IF(($C$5*'Tariffs Jul2021'!AK38/'Tariffs Jul2021'!AI38&gt;'Tariffs Jul2021'!M38),($C$5*'Tariffs Jul2021'!AK38/'Tariffs Jul2021'!AI38-'Tariffs Jul2021'!M38)*'Tariffs Jul2021'!S38/100*'Tariffs Jul2021'!AI38,0)</f>
        <v>127.09090909090908</v>
      </c>
      <c r="J44" s="59">
        <f>IF($C$5*'Tariffs Jul2021'!AL38/'Tariffs Jul2021'!AJ38&gt;='Tariffs Jul2021'!J38,('Tariffs Jul2021'!J38*'Tariffs Jul2021'!U38/100)* 'Tariffs Jul2021'!AJ38,($C$5*'Tariffs Jul2021'!AL38/'Tariffs Jul2021'!AJ38*'Tariffs Jul2021'!U38/100)* 'Tariffs Jul2021'!AJ38)</f>
        <v>166.89272727272729</v>
      </c>
      <c r="K44" s="59">
        <f>IF($C$5*'Tariffs Jul2021'!AL38/'Tariffs Jul2021'!AJ38&lt;'Tariffs Jul2021'!J38,0,IF($C$5*'Tariffs Jul2021'!AL38/'Tariffs Jul2021'!AJ38&lt;='Tariffs Jul2021'!K38,($C$5*'Tariffs Jul2021'!AL38/'Tariffs Jul2021'!AJ38-'Tariffs Jul2021'!J38)*('Tariffs Jul2021'!V38/100)*'Tariffs Jul2021'!AJ38,('Tariffs Jul2021'!K38-'Tariffs Jul2021'!J38)*('Tariffs Jul2021'!V38/100)*'Tariffs Jul2021'!AJ38))</f>
        <v>107.16818181818181</v>
      </c>
      <c r="L44" s="59">
        <f>IF($C$5*'Tariffs Jul2021'!AL38/'Tariffs Jul2021'!AJ38&lt;'Tariffs Jul2021'!K38,0,IF($C$5*'Tariffs Jul2021'!AL38/'Tariffs Jul2021'!AJ38&lt;='Tariffs Jul2021'!L38,($C$5*'Tariffs Jul2021'!AL38/'Tariffs Jul2021'!AJ38-'Tariffs Jul2021'!K38)*('Tariffs Jul2021'!W38/100)*'Tariffs Jul2021'!AJ38,('Tariffs Jul2021'!L38-'Tariffs Jul2021'!K38)*('Tariffs Jul2021'!W38/100)*'Tariffs Jul2021'!AJ38))</f>
        <v>0</v>
      </c>
      <c r="M44" s="59">
        <f>IF($C$5*'Tariffs Jul2021'!AL38/'Tariffs Jul2021'!AJ38&lt;'Tariffs Jul2021'!L38,0,IF($C$5*'Tariffs Jul2021'!AL38/'Tariffs Jul2021'!AJ38&lt;='Tariffs Jul2021'!M38,($C$5*'Tariffs Jul2021'!AL38/'Tariffs Jul2021'!AJ38-'Tariffs Jul2021'!L38)*('Tariffs Jul2021'!X38/100)*'Tariffs Jul2021'!AJ38,('Tariffs Jul2021'!M38-'Tariffs Jul2021'!L38)*('Tariffs Jul2021'!X38/100)*'Tariffs Jul2021'!AJ38))</f>
        <v>0</v>
      </c>
      <c r="N44" s="59">
        <f>IF(($C$5*'Tariffs Jul2021'!AL38/'Tariffs Jul2021'!AJ38&gt;'Tariffs Jul2021'!M38),($C$5*'Tariffs Jul2021'!AL38/'Tariffs Jul2021'!AJ38-'Tariffs Jul2021'!M38)*'Tariffs Jul2021'!Y38/100*'Tariffs Jul2021'!AJ38,0)</f>
        <v>127.09090909090908</v>
      </c>
      <c r="O44" s="59">
        <f t="shared" si="1"/>
        <v>802.30363636363631</v>
      </c>
      <c r="P44" s="503">
        <f t="shared" si="2"/>
        <v>882.53399999999999</v>
      </c>
      <c r="Q44" s="59">
        <f t="shared" si="3"/>
        <v>1112.1886363636363</v>
      </c>
      <c r="R44" s="272">
        <f t="shared" si="4"/>
        <v>1223.4075</v>
      </c>
      <c r="S44" s="40">
        <f>'Tariffs Jul2021'!AN38</f>
        <v>26</v>
      </c>
      <c r="T44" s="40">
        <f>'Tariffs Jul2021'!AO38</f>
        <v>0</v>
      </c>
      <c r="U44" s="40">
        <f>'Tariffs Jul2021'!AP38</f>
        <v>0</v>
      </c>
      <c r="V44" s="40">
        <f>'Tariffs Jul2021'!AQ38</f>
        <v>0</v>
      </c>
      <c r="W44" s="537" t="str">
        <f t="shared" si="33"/>
        <v>Guaranteed off bill</v>
      </c>
      <c r="X44" s="538" t="str">
        <f t="shared" si="34"/>
        <v>Exclusive</v>
      </c>
      <c r="Y44" s="534">
        <f t="shared" ref="Y44" si="37">IF(AND(W44="Guaranteed off bill",X44="Inclusive"),((Q44*1.1)-((Q44*1.1)*S44/100))/1.1,IF(AND(W44="Guaranteed off usage",X44="Inclusive"),((Q44*1.1)-((P44*1.1)*T44/100))/1.1,IF(AND(W44="Guaranteed off bill",X44="Exclusive"),Q44-(Q44*S44/100),IF(AND(W44="Guaranteed off usage",X44="Exclusive"),Q44-(P44*T44/100),IF(X44="Inclusive",((Q44*1.1))/1.1,Q44)))))</f>
        <v>823.01959090909088</v>
      </c>
      <c r="Z44" s="535">
        <f t="shared" ref="Z44" si="38">IF(AND(W44="Pay-on-time off bill",X44="Inclusive"),((Y44*1.1)-((Y44*1.1)*U44/100))/1.1,IF(AND(W44="Pay-on-time off usage",X44="Inclusive"),((Y44*1.1)-((P44*1.1)*V44/100))/1.1,IF(AND(W44="Pay-on-time off bill",X44="Exclusive"),Y44-(Y44*U44/100),IF(AND(W44="Pay-on-time off usage",X44="Exclusive"),Y44-(P44*V44/100),IF(X44="Inclusive",((Y44*1.1))/1.1,Y44)))))</f>
        <v>823.01959090909088</v>
      </c>
      <c r="AA44" s="542">
        <f t="shared" si="32"/>
        <v>905.32155</v>
      </c>
      <c r="AB44" s="542">
        <f t="shared" si="32"/>
        <v>905.32155</v>
      </c>
      <c r="AC44" s="274">
        <f>'Tariffs Jul2021'!AZ38</f>
        <v>12</v>
      </c>
      <c r="AD44" s="274" t="str">
        <f>'Tariffs Jul2021'!BA38</f>
        <v>n</v>
      </c>
      <c r="AE44" s="275" t="str">
        <f>'Tariffs Jul2021'!BJ38</f>
        <v>N</v>
      </c>
      <c r="AF44" s="574"/>
      <c r="AG44" s="574"/>
      <c r="AH44" s="574"/>
      <c r="AI44" s="574"/>
      <c r="AJ44" s="574"/>
      <c r="AK44" s="574"/>
      <c r="AL44" s="574"/>
      <c r="AM44" s="574"/>
      <c r="AN44" s="574"/>
      <c r="AO44" s="574"/>
      <c r="AP44" s="574"/>
      <c r="AQ44" s="574"/>
      <c r="AR44" s="574"/>
      <c r="AS44" s="574"/>
      <c r="AT44" s="574"/>
      <c r="AU44" s="574"/>
      <c r="AV44" s="574"/>
      <c r="AW44" s="574"/>
      <c r="AX44" s="574"/>
    </row>
    <row r="45" spans="1:50" ht="14" x14ac:dyDescent="0.15">
      <c r="A45" s="270" t="str">
        <f>'Tariffs Jul2021'!F39</f>
        <v>Lumo Energy</v>
      </c>
      <c r="B45" s="40" t="str">
        <f>'Tariffs Jul2021'!D39</f>
        <v>AGN North</v>
      </c>
      <c r="C45" s="40" t="str">
        <f>'Tariffs Jul2021'!G39</f>
        <v>Value</v>
      </c>
      <c r="D45" s="59">
        <f>365*'Tariffs Jul2021'!H39/100</f>
        <v>249.82590909090911</v>
      </c>
      <c r="E45" s="59">
        <f>IF($C$5*'Tariffs Jul2021'!AK39/'Tariffs Jul2021'!AI39&gt;='Tariffs Jul2021'!J39,( 'Tariffs Jul2021'!J39*'Tariffs Jul2021'!O39/100)* 'Tariffs Jul2021'!AI39,($C$5*'Tariffs Jul2021'!AK39/'Tariffs Jul2021'!AI39*'Tariffs Jul2021'!O39/100)* 'Tariffs Jul2021'!AI39)</f>
        <v>102.73772727272726</v>
      </c>
      <c r="F45" s="59">
        <f>IF($C$5*'Tariffs Jul2021'!AK39/'Tariffs Jul2021'!AI39&lt;'Tariffs Jul2021'!J39,0,IF($C$5*'Tariffs Jul2021'!AK39/'Tariffs Jul2021'!AI39&lt;='Tariffs Jul2021'!K39,($C$5*'Tariffs Jul2021'!AK39/'Tariffs Jul2021'!AI39-'Tariffs Jul2021'!J39)*('Tariffs Jul2021'!P39/100)*'Tariffs Jul2021'!AI39,('Tariffs Jul2021'!K39-'Tariffs Jul2021'!J39)*('Tariffs Jul2021'!P39/100)*'Tariffs Jul2021'!AI39))</f>
        <v>80.560909090909092</v>
      </c>
      <c r="G45" s="59">
        <f>IF($C$5*'Tariffs Jul2021'!AK39/'Tariffs Jul2021'!AI39&lt;'Tariffs Jul2021'!K39,0,IF($C$5*'Tariffs Jul2021'!AK39/'Tariffs Jul2021'!AI39&lt;='Tariffs Jul2021'!L39,($C$5*'Tariffs Jul2021'!AK39/'Tariffs Jul2021'!AI39-'Tariffs Jul2021'!K39)*('Tariffs Jul2021'!Q39/100)*'Tariffs Jul2021'!AI39,('Tariffs Jul2021'!L39-'Tariffs Jul2021'!K39)*('Tariffs Jul2021'!Q39/100)*'Tariffs Jul2021'!AI39))</f>
        <v>0</v>
      </c>
      <c r="H45" s="59">
        <f>IF($C$5*'Tariffs Jul2021'!AK39/'Tariffs Jul2021'!AI39&lt;'Tariffs Jul2021'!L39,0,IF($C$5*'Tariffs Jul2021'!AK39/'Tariffs Jul2021'!AI39&lt;='Tariffs Jul2021'!M39,($C$5*'Tariffs Jul2021'!AK39/'Tariffs Jul2021'!AI39-'Tariffs Jul2021'!L39)*('Tariffs Jul2021'!R39/100)*'Tariffs Jul2021'!AI39,('Tariffs Jul2021'!M39-'Tariffs Jul2021'!L39)*('Tariffs Jul2021'!R39/100)*'Tariffs Jul2021'!AI39))</f>
        <v>0</v>
      </c>
      <c r="I45" s="59">
        <f>IF(($C$5*'Tariffs Jul2021'!AK39/'Tariffs Jul2021'!AI39&gt;'Tariffs Jul2021'!M39),($C$5*'Tariffs Jul2021'!AK39/'Tariffs Jul2021'!AI39-'Tariffs Jul2021'!M39)*'Tariffs Jul2021'!S39/100*'Tariffs Jul2021'!AI39,0)</f>
        <v>110.72727272727272</v>
      </c>
      <c r="J45" s="59">
        <f>IF($C$5*'Tariffs Jul2021'!AL39/'Tariffs Jul2021'!AJ39&gt;='Tariffs Jul2021'!J39,('Tariffs Jul2021'!J39*'Tariffs Jul2021'!U39/100)* 'Tariffs Jul2021'!AJ39,($C$5*'Tariffs Jul2021'!AL39/'Tariffs Jul2021'!AJ39*'Tariffs Jul2021'!U39/100)* 'Tariffs Jul2021'!AJ39)</f>
        <v>102.73772727272726</v>
      </c>
      <c r="K45" s="59">
        <f>IF($C$5*'Tariffs Jul2021'!AL39/'Tariffs Jul2021'!AJ39&lt;'Tariffs Jul2021'!J39,0,IF($C$5*'Tariffs Jul2021'!AL39/'Tariffs Jul2021'!AJ39&lt;='Tariffs Jul2021'!K39,($C$5*'Tariffs Jul2021'!AL39/'Tariffs Jul2021'!AJ39-'Tariffs Jul2021'!J39)*('Tariffs Jul2021'!V39/100)*'Tariffs Jul2021'!AJ39,('Tariffs Jul2021'!K39-'Tariffs Jul2021'!J39)*('Tariffs Jul2021'!V39/100)*'Tariffs Jul2021'!AJ39))</f>
        <v>80.560909090909092</v>
      </c>
      <c r="L45" s="59">
        <f>IF($C$5*'Tariffs Jul2021'!AL39/'Tariffs Jul2021'!AJ39&lt;'Tariffs Jul2021'!K39,0,IF($C$5*'Tariffs Jul2021'!AL39/'Tariffs Jul2021'!AJ39&lt;='Tariffs Jul2021'!L39,($C$5*'Tariffs Jul2021'!AL39/'Tariffs Jul2021'!AJ39-'Tariffs Jul2021'!K39)*('Tariffs Jul2021'!W39/100)*'Tariffs Jul2021'!AJ39,('Tariffs Jul2021'!L39-'Tariffs Jul2021'!K39)*('Tariffs Jul2021'!W39/100)*'Tariffs Jul2021'!AJ39))</f>
        <v>0</v>
      </c>
      <c r="M45" s="59">
        <f>IF($C$5*'Tariffs Jul2021'!AL39/'Tariffs Jul2021'!AJ39&lt;'Tariffs Jul2021'!L39,0,IF($C$5*'Tariffs Jul2021'!AL39/'Tariffs Jul2021'!AJ39&lt;='Tariffs Jul2021'!M39,($C$5*'Tariffs Jul2021'!AL39/'Tariffs Jul2021'!AJ39-'Tariffs Jul2021'!L39)*('Tariffs Jul2021'!X39/100)*'Tariffs Jul2021'!AJ39,('Tariffs Jul2021'!M39-'Tariffs Jul2021'!L39)*('Tariffs Jul2021'!X39/100)*'Tariffs Jul2021'!AJ39))</f>
        <v>0</v>
      </c>
      <c r="N45" s="59">
        <f>IF(($C$5*'Tariffs Jul2021'!AL39/'Tariffs Jul2021'!AJ39&gt;'Tariffs Jul2021'!M39),($C$5*'Tariffs Jul2021'!AL39/'Tariffs Jul2021'!AJ39-'Tariffs Jul2021'!M39)*'Tariffs Jul2021'!Y39/100*'Tariffs Jul2021'!AJ39,0)</f>
        <v>110.72727272727272</v>
      </c>
      <c r="O45" s="59">
        <f t="shared" si="1"/>
        <v>588.05181818181813</v>
      </c>
      <c r="P45" s="503">
        <f t="shared" si="2"/>
        <v>646.85699999999997</v>
      </c>
      <c r="Q45" s="59">
        <f t="shared" si="3"/>
        <v>837.87772727272727</v>
      </c>
      <c r="R45" s="272">
        <f t="shared" si="4"/>
        <v>921.66550000000007</v>
      </c>
      <c r="S45" s="40">
        <f>'Tariffs Jul2021'!AN39</f>
        <v>0</v>
      </c>
      <c r="T45" s="40">
        <f>'Tariffs Jul2021'!AO39</f>
        <v>0</v>
      </c>
      <c r="U45" s="40">
        <f>'Tariffs Jul2021'!AP39</f>
        <v>0</v>
      </c>
      <c r="V45" s="40">
        <f>'Tariffs Jul2021'!AQ39</f>
        <v>0</v>
      </c>
      <c r="W45" s="537" t="str">
        <f t="shared" si="33"/>
        <v>No discount</v>
      </c>
      <c r="X45" s="538" t="str">
        <f t="shared" si="34"/>
        <v>Exclusive</v>
      </c>
      <c r="Y45" s="534">
        <f>IF(AND(W45="Guaranteed off bill",X45="Inclusive"),((Q45*1.1)-((Q45*1.1)*S45/100))/1.1,IF(AND(W45="Guaranteed off usage",X45="Inclusive"),((Q45*1.1)-((P45*1.1)*T45/100))/1.1,IF(AND(W45="Guaranteed off bill",X45="Exclusive"),Q45-(Q45*S45/100),IF(AND(W45="Guaranteed off usage",X45="Exclusive"),Q45-(P45*T45/100),IF(X45="Inclusive",((Q45*1.1))/1.1,Q45)))))</f>
        <v>837.87772727272727</v>
      </c>
      <c r="Z45" s="535">
        <f>IF(AND(W45="Pay-on-time off bill",X45="Inclusive"),((Y45*1.1)-((Y45*1.1)*U45/100))/1.1,IF(AND(W45="Pay-on-time off usage",X45="Inclusive"),((Y45*1.1)-((P45*1.1)*V45/100))/1.1,IF(AND(W45="Pay-on-time off bill",X45="Exclusive"),Y45-(Y45*U45/100),IF(AND(W45="Pay-on-time off usage",X45="Exclusive"),Y45-(P45*V45/100),IF(X45="Inclusive",((Y45*1.1))/1.1,Y45)))))</f>
        <v>837.87772727272727</v>
      </c>
      <c r="AA45" s="542">
        <f t="shared" si="32"/>
        <v>921.66550000000007</v>
      </c>
      <c r="AB45" s="542">
        <f t="shared" si="32"/>
        <v>921.66550000000007</v>
      </c>
      <c r="AC45" s="274">
        <f>'Tariffs Jul2021'!AZ39</f>
        <v>0</v>
      </c>
      <c r="AD45" s="274" t="str">
        <f>'Tariffs Jul2021'!BA39</f>
        <v>n</v>
      </c>
      <c r="AE45" s="275" t="str">
        <f>'Tariffs Jul2021'!BJ39</f>
        <v>N</v>
      </c>
      <c r="AF45" s="574"/>
      <c r="AG45" s="574"/>
      <c r="AH45" s="574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AW45" s="574"/>
      <c r="AX45" s="574"/>
    </row>
    <row r="46" spans="1:50" ht="14" x14ac:dyDescent="0.15">
      <c r="A46" s="270" t="str">
        <f>'Tariffs Jul2021'!F40</f>
        <v>Momentum Energy</v>
      </c>
      <c r="B46" s="40" t="str">
        <f>'Tariffs Jul2021'!D40</f>
        <v>AGN North</v>
      </c>
      <c r="C46" s="40" t="str">
        <f>'Tariffs Jul2021'!G40</f>
        <v>Market offer</v>
      </c>
      <c r="D46" s="59">
        <f>365*'Tariffs Jul2021'!H40/100</f>
        <v>284.33499999999998</v>
      </c>
      <c r="E46" s="59">
        <f>IF($C$5*'Tariffs Jul2021'!AK40/'Tariffs Jul2021'!AI40&gt;='Tariffs Jul2021'!J40,( 'Tariffs Jul2021'!J40*'Tariffs Jul2021'!O40/100)* 'Tariffs Jul2021'!AI40,($C$5*'Tariffs Jul2021'!AK40/'Tariffs Jul2021'!AI40*'Tariffs Jul2021'!O40/100)* 'Tariffs Jul2021'!AI40)</f>
        <v>75.669999999999987</v>
      </c>
      <c r="F46" s="59">
        <f>IF($C$5*'Tariffs Jul2021'!AK40/'Tariffs Jul2021'!AI40&lt;'Tariffs Jul2021'!J40,0,IF($C$5*'Tariffs Jul2021'!AK40/'Tariffs Jul2021'!AI40&lt;='Tariffs Jul2021'!K40,($C$5*'Tariffs Jul2021'!AK40/'Tariffs Jul2021'!AI40-'Tariffs Jul2021'!J40)*('Tariffs Jul2021'!P40/100)*'Tariffs Jul2021'!AI40,('Tariffs Jul2021'!K40-'Tariffs Jul2021'!J40)*('Tariffs Jul2021'!P40/100)*'Tariffs Jul2021'!AI40))</f>
        <v>54.2</v>
      </c>
      <c r="G46" s="59">
        <f>IF($C$5*'Tariffs Jul2021'!AK40/'Tariffs Jul2021'!AI40&lt;'Tariffs Jul2021'!K40,0,IF($C$5*'Tariffs Jul2021'!AK40/'Tariffs Jul2021'!AI40&lt;='Tariffs Jul2021'!L40,($C$5*'Tariffs Jul2021'!AK40/'Tariffs Jul2021'!AI40-'Tariffs Jul2021'!K40)*('Tariffs Jul2021'!Q40/100)*'Tariffs Jul2021'!AI40,('Tariffs Jul2021'!L40-'Tariffs Jul2021'!K40)*('Tariffs Jul2021'!Q40/100)*'Tariffs Jul2021'!AI40))</f>
        <v>0</v>
      </c>
      <c r="H46" s="59">
        <f>IF($C$5*'Tariffs Jul2021'!AK40/'Tariffs Jul2021'!AI40&lt;'Tariffs Jul2021'!L40,0,IF($C$5*'Tariffs Jul2021'!AK40/'Tariffs Jul2021'!AI40&lt;='Tariffs Jul2021'!M40,($C$5*'Tariffs Jul2021'!AK40/'Tariffs Jul2021'!AI40-'Tariffs Jul2021'!L40)*('Tariffs Jul2021'!R40/100)*'Tariffs Jul2021'!AI40,('Tariffs Jul2021'!M40-'Tariffs Jul2021'!L40)*('Tariffs Jul2021'!R40/100)*'Tariffs Jul2021'!AI40))</f>
        <v>0</v>
      </c>
      <c r="I46" s="59">
        <f>IF(($C$5*'Tariffs Jul2021'!AK40/'Tariffs Jul2021'!AI40&gt;'Tariffs Jul2021'!M40),($C$5*'Tariffs Jul2021'!AK40/'Tariffs Jul2021'!AI40-'Tariffs Jul2021'!M40)*'Tariffs Jul2021'!S40/100*'Tariffs Jul2021'!AI40,0)</f>
        <v>67.983000000000004</v>
      </c>
      <c r="J46" s="59">
        <f>IF($C$5*'Tariffs Jul2021'!AL40/'Tariffs Jul2021'!AJ40&gt;='Tariffs Jul2021'!J40,('Tariffs Jul2021'!J40*'Tariffs Jul2021'!U40/100)* 'Tariffs Jul2021'!AJ40,($C$5*'Tariffs Jul2021'!AL40/'Tariffs Jul2021'!AJ40*'Tariffs Jul2021'!U40/100)* 'Tariffs Jul2021'!AJ40)</f>
        <v>164.5</v>
      </c>
      <c r="K46" s="59">
        <f>IF($C$5*'Tariffs Jul2021'!AL40/'Tariffs Jul2021'!AJ40&lt;'Tariffs Jul2021'!J40,0,IF($C$5*'Tariffs Jul2021'!AL40/'Tariffs Jul2021'!AJ40&lt;='Tariffs Jul2021'!K40,($C$5*'Tariffs Jul2021'!AL40/'Tariffs Jul2021'!AJ40-'Tariffs Jul2021'!J40)*('Tariffs Jul2021'!V40/100)*'Tariffs Jul2021'!AJ40,('Tariffs Jul2021'!K40-'Tariffs Jul2021'!J40)*('Tariffs Jul2021'!V40/100)*'Tariffs Jul2021'!AJ40))</f>
        <v>119.24</v>
      </c>
      <c r="L46" s="59">
        <f>IF($C$5*'Tariffs Jul2021'!AL40/'Tariffs Jul2021'!AJ40&lt;'Tariffs Jul2021'!K40,0,IF($C$5*'Tariffs Jul2021'!AL40/'Tariffs Jul2021'!AJ40&lt;='Tariffs Jul2021'!L40,($C$5*'Tariffs Jul2021'!AL40/'Tariffs Jul2021'!AJ40-'Tariffs Jul2021'!K40)*('Tariffs Jul2021'!W40/100)*'Tariffs Jul2021'!AJ40,('Tariffs Jul2021'!L40-'Tariffs Jul2021'!K40)*('Tariffs Jul2021'!W40/100)*'Tariffs Jul2021'!AJ40))</f>
        <v>0</v>
      </c>
      <c r="M46" s="59">
        <f>IF($C$5*'Tariffs Jul2021'!AL40/'Tariffs Jul2021'!AJ40&lt;'Tariffs Jul2021'!L40,0,IF($C$5*'Tariffs Jul2021'!AL40/'Tariffs Jul2021'!AJ40&lt;='Tariffs Jul2021'!M40,($C$5*'Tariffs Jul2021'!AL40/'Tariffs Jul2021'!AJ40-'Tariffs Jul2021'!L40)*('Tariffs Jul2021'!X40/100)*'Tariffs Jul2021'!AJ40,('Tariffs Jul2021'!M40-'Tariffs Jul2021'!L40)*('Tariffs Jul2021'!X40/100)*'Tariffs Jul2021'!AJ40))</f>
        <v>0</v>
      </c>
      <c r="N46" s="59">
        <f>IF(($C$5*'Tariffs Jul2021'!AL40/'Tariffs Jul2021'!AJ40&gt;'Tariffs Jul2021'!M40),($C$5*'Tariffs Jul2021'!AL40/'Tariffs Jul2021'!AJ40-'Tariffs Jul2021'!M40)*'Tariffs Jul2021'!Y40/100*'Tariffs Jul2021'!AJ40,0)</f>
        <v>159.96</v>
      </c>
      <c r="O46" s="59">
        <f t="shared" si="1"/>
        <v>641.553</v>
      </c>
      <c r="P46" s="503">
        <f t="shared" si="2"/>
        <v>705.70830000000001</v>
      </c>
      <c r="Q46" s="59">
        <f t="shared" si="3"/>
        <v>925.88799999999992</v>
      </c>
      <c r="R46" s="272">
        <f t="shared" si="4"/>
        <v>1018.4768</v>
      </c>
      <c r="S46" s="40">
        <f>'Tariffs Jul2021'!AN40</f>
        <v>0</v>
      </c>
      <c r="T46" s="40">
        <f>'Tariffs Jul2021'!AO40</f>
        <v>0</v>
      </c>
      <c r="U46" s="40">
        <f>'Tariffs Jul2021'!AP40</f>
        <v>0</v>
      </c>
      <c r="V46" s="40">
        <f>'Tariffs Jul2021'!AQ40</f>
        <v>0</v>
      </c>
      <c r="W46" s="537" t="str">
        <f t="shared" si="33"/>
        <v>No discount</v>
      </c>
      <c r="X46" s="538" t="str">
        <f t="shared" si="34"/>
        <v>Exclusive</v>
      </c>
      <c r="Y46" s="534">
        <f t="shared" ref="Y46" si="39">IF(AND(W46="Guaranteed off bill",X46="Inclusive"),((Q46*1.1)-((Q46*1.1)*S46/100))/1.1,IF(AND(W46="Guaranteed off usage",X46="Inclusive"),((Q46*1.1)-((P46*1.1)*T46/100))/1.1,IF(AND(W46="Guaranteed off bill",X46="Exclusive"),Q46-(Q46*S46/100),IF(AND(W46="Guaranteed off usage",X46="Exclusive"),Q46-(P46*T46/100),IF(X46="Inclusive",((Q46*1.1))/1.1,Q46)))))</f>
        <v>925.88799999999992</v>
      </c>
      <c r="Z46" s="535">
        <f t="shared" ref="Z46" si="40">IF(AND(W46="Pay-on-time off bill",X46="Inclusive"),((Y46*1.1)-((Y46*1.1)*U46/100))/1.1,IF(AND(W46="Pay-on-time off usage",X46="Inclusive"),((Y46*1.1)-((P46*1.1)*V46/100))/1.1,IF(AND(W46="Pay-on-time off bill",X46="Exclusive"),Y46-(Y46*U46/100),IF(AND(W46="Pay-on-time off usage",X46="Exclusive"),Y46-(P46*V46/100),IF(X46="Inclusive",((Y46*1.1))/1.1,Y46)))))</f>
        <v>925.88799999999992</v>
      </c>
      <c r="AA46" s="542">
        <f t="shared" si="32"/>
        <v>1018.4768</v>
      </c>
      <c r="AB46" s="542">
        <f t="shared" si="32"/>
        <v>1018.4768</v>
      </c>
      <c r="AC46" s="274">
        <f>'Tariffs Jul2021'!AZ40</f>
        <v>0</v>
      </c>
      <c r="AD46" s="274" t="str">
        <f>'Tariffs Jul2021'!BA40</f>
        <v>n</v>
      </c>
      <c r="AE46" s="275" t="str">
        <f>'Tariffs Jul2021'!BJ40</f>
        <v>N</v>
      </c>
      <c r="AF46" s="574"/>
      <c r="AG46" s="574"/>
      <c r="AH46" s="574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AW46" s="574"/>
      <c r="AX46" s="574"/>
    </row>
    <row r="47" spans="1:50" ht="14" x14ac:dyDescent="0.15">
      <c r="A47" s="270" t="str">
        <f>'Tariffs Jul2021'!F41</f>
        <v>Origin Energy</v>
      </c>
      <c r="B47" s="40" t="str">
        <f>'Tariffs Jul2021'!D41</f>
        <v>AGN North</v>
      </c>
      <c r="C47" s="40" t="str">
        <f>'Tariffs Jul2021'!G41</f>
        <v>Go</v>
      </c>
      <c r="D47" s="59">
        <f>365*'Tariffs Jul2021'!H41/100</f>
        <v>223.64545454545456</v>
      </c>
      <c r="E47" s="59">
        <f>IF($C$5*'Tariffs Jul2021'!AK41/'Tariffs Jul2021'!AI41&gt;='Tariffs Jul2021'!J41,( 'Tariffs Jul2021'!J41*'Tariffs Jul2021'!O41/100)* 'Tariffs Jul2021'!AI41,($C$5*'Tariffs Jul2021'!AK41/'Tariffs Jul2021'!AI41*'Tariffs Jul2021'!O41/100)* 'Tariffs Jul2021'!AI41)</f>
        <v>436.36363636363637</v>
      </c>
      <c r="F47" s="59">
        <f>IF($C$5*'Tariffs Jul2021'!AK41/'Tariffs Jul2021'!AI41&lt;'Tariffs Jul2021'!J41,0,IF($C$5*'Tariffs Jul2021'!AK41/'Tariffs Jul2021'!AI41&lt;='Tariffs Jul2021'!K41,($C$5*'Tariffs Jul2021'!AK41/'Tariffs Jul2021'!AI41-'Tariffs Jul2021'!J41)*('Tariffs Jul2021'!P41/100)*'Tariffs Jul2021'!AI41,('Tariffs Jul2021'!K41-'Tariffs Jul2021'!J41)*('Tariffs Jul2021'!P41/100)*'Tariffs Jul2021'!AI41))</f>
        <v>0</v>
      </c>
      <c r="G47" s="59">
        <f>IF($C$5*'Tariffs Jul2021'!AK41/'Tariffs Jul2021'!AI41&lt;'Tariffs Jul2021'!K41,0,IF($C$5*'Tariffs Jul2021'!AK41/'Tariffs Jul2021'!AI41&lt;='Tariffs Jul2021'!L41,($C$5*'Tariffs Jul2021'!AK41/'Tariffs Jul2021'!AI41-'Tariffs Jul2021'!K41)*('Tariffs Jul2021'!Q41/100)*'Tariffs Jul2021'!AI41,('Tariffs Jul2021'!L41-'Tariffs Jul2021'!K41)*('Tariffs Jul2021'!Q41/100)*'Tariffs Jul2021'!AI41))</f>
        <v>0</v>
      </c>
      <c r="H47" s="59">
        <f>IF($C$5*'Tariffs Jul2021'!AK41/'Tariffs Jul2021'!AI41&lt;'Tariffs Jul2021'!L41,0,IF($C$5*'Tariffs Jul2021'!AK41/'Tariffs Jul2021'!AI41&lt;='Tariffs Jul2021'!M41,($C$5*'Tariffs Jul2021'!AK41/'Tariffs Jul2021'!AI41-'Tariffs Jul2021'!L41)*('Tariffs Jul2021'!R41/100)*'Tariffs Jul2021'!AI41,('Tariffs Jul2021'!M41-'Tariffs Jul2021'!L41)*('Tariffs Jul2021'!R41/100)*'Tariffs Jul2021'!AI41))</f>
        <v>0</v>
      </c>
      <c r="I47" s="59">
        <f>IF(($C$5*'Tariffs Jul2021'!AK41/'Tariffs Jul2021'!AI41&gt;'Tariffs Jul2021'!M41),($C$5*'Tariffs Jul2021'!AK41/'Tariffs Jul2021'!AI41-'Tariffs Jul2021'!M41)*'Tariffs Jul2021'!S41/100*'Tariffs Jul2021'!AI41,0)</f>
        <v>0</v>
      </c>
      <c r="J47" s="59">
        <f>IF($C$5*'Tariffs Jul2021'!AL41/'Tariffs Jul2021'!AJ41&gt;='Tariffs Jul2021'!J41,('Tariffs Jul2021'!J41*'Tariffs Jul2021'!U41/100)* 'Tariffs Jul2021'!AJ41,($C$5*'Tariffs Jul2021'!AL41/'Tariffs Jul2021'!AJ41*'Tariffs Jul2021'!U41/100)* 'Tariffs Jul2021'!AJ41)</f>
        <v>436.36363636363637</v>
      </c>
      <c r="K47" s="59">
        <f>IF($C$5*'Tariffs Jul2021'!AL41/'Tariffs Jul2021'!AJ41&lt;'Tariffs Jul2021'!J41,0,IF($C$5*'Tariffs Jul2021'!AL41/'Tariffs Jul2021'!AJ41&lt;='Tariffs Jul2021'!K41,($C$5*'Tariffs Jul2021'!AL41/'Tariffs Jul2021'!AJ41-'Tariffs Jul2021'!J41)*('Tariffs Jul2021'!V41/100)*'Tariffs Jul2021'!AJ41,('Tariffs Jul2021'!K41-'Tariffs Jul2021'!J41)*('Tariffs Jul2021'!V41/100)*'Tariffs Jul2021'!AJ41))</f>
        <v>0</v>
      </c>
      <c r="L47" s="59">
        <f>IF($C$5*'Tariffs Jul2021'!AL41/'Tariffs Jul2021'!AJ41&lt;'Tariffs Jul2021'!K41,0,IF($C$5*'Tariffs Jul2021'!AL41/'Tariffs Jul2021'!AJ41&lt;='Tariffs Jul2021'!L41,($C$5*'Tariffs Jul2021'!AL41/'Tariffs Jul2021'!AJ41-'Tariffs Jul2021'!K41)*('Tariffs Jul2021'!W41/100)*'Tariffs Jul2021'!AJ41,('Tariffs Jul2021'!L41-'Tariffs Jul2021'!K41)*('Tariffs Jul2021'!W41/100)*'Tariffs Jul2021'!AJ41))</f>
        <v>0</v>
      </c>
      <c r="M47" s="59">
        <f>IF($C$5*'Tariffs Jul2021'!AL41/'Tariffs Jul2021'!AJ41&lt;'Tariffs Jul2021'!L41,0,IF($C$5*'Tariffs Jul2021'!AL41/'Tariffs Jul2021'!AJ41&lt;='Tariffs Jul2021'!M41,($C$5*'Tariffs Jul2021'!AL41/'Tariffs Jul2021'!AJ41-'Tariffs Jul2021'!L41)*('Tariffs Jul2021'!X41/100)*'Tariffs Jul2021'!AJ41,('Tariffs Jul2021'!M41-'Tariffs Jul2021'!L41)*('Tariffs Jul2021'!X41/100)*'Tariffs Jul2021'!AJ41))</f>
        <v>0</v>
      </c>
      <c r="N47" s="59">
        <f>IF(($C$5*'Tariffs Jul2021'!AL41/'Tariffs Jul2021'!AJ41&gt;'Tariffs Jul2021'!M41),($C$5*'Tariffs Jul2021'!AL41/'Tariffs Jul2021'!AJ41-'Tariffs Jul2021'!M41)*'Tariffs Jul2021'!Y41/100*'Tariffs Jul2021'!AJ41,0)</f>
        <v>0</v>
      </c>
      <c r="O47" s="59">
        <f t="shared" si="1"/>
        <v>872.72727272727275</v>
      </c>
      <c r="P47" s="503">
        <f t="shared" si="2"/>
        <v>960.00000000000011</v>
      </c>
      <c r="Q47" s="59">
        <f t="shared" si="3"/>
        <v>1096.3727272727274</v>
      </c>
      <c r="R47" s="272">
        <f t="shared" si="4"/>
        <v>1206.0100000000002</v>
      </c>
      <c r="S47" s="40">
        <f>'Tariffs Jul2021'!AN41</f>
        <v>0</v>
      </c>
      <c r="T47" s="40">
        <f>'Tariffs Jul2021'!AO41</f>
        <v>0</v>
      </c>
      <c r="U47" s="40">
        <f>'Tariffs Jul2021'!AP41</f>
        <v>0</v>
      </c>
      <c r="V47" s="40">
        <f>'Tariffs Jul2021'!AQ41</f>
        <v>0</v>
      </c>
      <c r="W47" s="537" t="str">
        <f t="shared" si="33"/>
        <v>No discount</v>
      </c>
      <c r="X47" s="538" t="str">
        <f t="shared" si="34"/>
        <v>Inclusive</v>
      </c>
      <c r="Y47" s="534">
        <f>IF(AND(W47="Guaranteed off bill",X47="Inclusive"),((Q47*1.1)-((Q47*1.1)*S47/100))/1.1,IF(AND(W47="Guaranteed off usage",X47="Inclusive"),((Q47*1.1)-((P47*1.1)*T47/100))/1.1,IF(AND(W47="Guaranteed off bill",X47="Exclusive"),Q47-(Q47*S47/100),IF(AND(W47="Guaranteed off usage",X47="Exclusive"),Q47-(P47*T47/100),IF(X47="Inclusive",((Q47*1.1))/1.1,Q47)))))</f>
        <v>1096.3727272727274</v>
      </c>
      <c r="Z47" s="535">
        <f>IF(AND(W47="Pay-on-time off bill",X47="Inclusive"),((Y47*1.1)-((Y47*1.1)*U47/100))/1.1,IF(AND(W47="Pay-on-time off usage",X47="Inclusive"),((Y47*1.1)-((P47*1.1)*V47/100))/1.1,IF(AND(W47="Pay-on-time off bill",X47="Exclusive"),Y47-(Y47*U47/100),IF(AND(W47="Pay-on-time off usage",X47="Exclusive"),Y47-(P47*V47/100),IF(X47="Inclusive",((Y47*1.1))/1.1,Y47)))))</f>
        <v>1096.3727272727274</v>
      </c>
      <c r="AA47" s="542">
        <f t="shared" si="32"/>
        <v>1206.0100000000002</v>
      </c>
      <c r="AB47" s="542">
        <f t="shared" si="32"/>
        <v>1206.0100000000002</v>
      </c>
      <c r="AC47" s="274">
        <f>'Tariffs Jul2021'!AZ41</f>
        <v>0</v>
      </c>
      <c r="AD47" s="274" t="str">
        <f>'Tariffs Jul2021'!BA41</f>
        <v>n</v>
      </c>
      <c r="AE47" s="275" t="str">
        <f>'Tariffs Jul2021'!BJ41</f>
        <v>N</v>
      </c>
      <c r="AF47" s="574"/>
      <c r="AG47" s="574"/>
      <c r="AH47" s="574"/>
      <c r="AI47" s="574"/>
      <c r="AJ47" s="574"/>
      <c r="AK47" s="574"/>
      <c r="AL47" s="574"/>
      <c r="AM47" s="574"/>
      <c r="AN47" s="574"/>
      <c r="AO47" s="574"/>
      <c r="AP47" s="574"/>
      <c r="AQ47" s="574"/>
      <c r="AR47" s="574"/>
      <c r="AS47" s="574"/>
      <c r="AT47" s="574"/>
      <c r="AU47" s="574"/>
      <c r="AV47" s="574"/>
      <c r="AW47" s="574"/>
      <c r="AX47" s="574"/>
    </row>
    <row r="48" spans="1:50" ht="14" x14ac:dyDescent="0.15">
      <c r="A48" s="270" t="str">
        <f>'Tariffs Jul2021'!F42</f>
        <v>Red Energy</v>
      </c>
      <c r="B48" s="40" t="str">
        <f>'Tariffs Jul2021'!D42</f>
        <v>AGN North</v>
      </c>
      <c r="C48" s="40" t="str">
        <f>'Tariffs Jul2021'!G42</f>
        <v>Living Energy Saver</v>
      </c>
      <c r="D48" s="59">
        <f>365*'Tariffs Jul2021'!H42/100</f>
        <v>239.14136363636356</v>
      </c>
      <c r="E48" s="59">
        <f>IF($C$5*'Tariffs Jul2021'!AK42/'Tariffs Jul2021'!AI42&gt;='Tariffs Jul2021'!J42,( 'Tariffs Jul2021'!J42*'Tariffs Jul2021'!O42/100)* 'Tariffs Jul2021'!AI42,($C$5*'Tariffs Jul2021'!AK42/'Tariffs Jul2021'!AI42*'Tariffs Jul2021'!O42/100)* 'Tariffs Jul2021'!AI42)</f>
        <v>118.88863636363635</v>
      </c>
      <c r="F48" s="59">
        <f>IF($C$5*'Tariffs Jul2021'!AK42/'Tariffs Jul2021'!AI42&lt;'Tariffs Jul2021'!J42,0,IF($C$5*'Tariffs Jul2021'!AK42/'Tariffs Jul2021'!AI42&lt;='Tariffs Jul2021'!K42,($C$5*'Tariffs Jul2021'!AK42/'Tariffs Jul2021'!AI42-'Tariffs Jul2021'!J42)*('Tariffs Jul2021'!P42/100)*'Tariffs Jul2021'!AI42,('Tariffs Jul2021'!K42-'Tariffs Jul2021'!J42)*('Tariffs Jul2021'!P42/100)*'Tariffs Jul2021'!AI42))</f>
        <v>93.125454545454545</v>
      </c>
      <c r="G48" s="59">
        <f>IF($C$5*'Tariffs Jul2021'!AK42/'Tariffs Jul2021'!AI42&lt;'Tariffs Jul2021'!K42,0,IF($C$5*'Tariffs Jul2021'!AK42/'Tariffs Jul2021'!AI42&lt;='Tariffs Jul2021'!L42,($C$5*'Tariffs Jul2021'!AK42/'Tariffs Jul2021'!AI42-'Tariffs Jul2021'!K42)*('Tariffs Jul2021'!Q42/100)*'Tariffs Jul2021'!AI42,('Tariffs Jul2021'!L42-'Tariffs Jul2021'!K42)*('Tariffs Jul2021'!Q42/100)*'Tariffs Jul2021'!AI42))</f>
        <v>0</v>
      </c>
      <c r="H48" s="59">
        <f>IF($C$5*'Tariffs Jul2021'!AK42/'Tariffs Jul2021'!AI42&lt;'Tariffs Jul2021'!L42,0,IF($C$5*'Tariffs Jul2021'!AK42/'Tariffs Jul2021'!AI42&lt;='Tariffs Jul2021'!M42,($C$5*'Tariffs Jul2021'!AK42/'Tariffs Jul2021'!AI42-'Tariffs Jul2021'!L42)*('Tariffs Jul2021'!R42/100)*'Tariffs Jul2021'!AI42,('Tariffs Jul2021'!M42-'Tariffs Jul2021'!L42)*('Tariffs Jul2021'!R42/100)*'Tariffs Jul2021'!AI42))</f>
        <v>0</v>
      </c>
      <c r="I48" s="59">
        <f>IF(($C$5*'Tariffs Jul2021'!AK42/'Tariffs Jul2021'!AI42&gt;'Tariffs Jul2021'!M42),($C$5*'Tariffs Jul2021'!AK42/'Tariffs Jul2021'!AI42-'Tariffs Jul2021'!M42)*'Tariffs Jul2021'!S42/100*'Tariffs Jul2021'!AI42,0)</f>
        <v>102.54545454545452</v>
      </c>
      <c r="J48" s="59">
        <f>IF($C$5*'Tariffs Jul2021'!AL42/'Tariffs Jul2021'!AJ42&gt;='Tariffs Jul2021'!J42,('Tariffs Jul2021'!J42*'Tariffs Jul2021'!U42/100)* 'Tariffs Jul2021'!AJ42,($C$5*'Tariffs Jul2021'!AL42/'Tariffs Jul2021'!AJ42*'Tariffs Jul2021'!U42/100)* 'Tariffs Jul2021'!AJ42)</f>
        <v>118.88863636363635</v>
      </c>
      <c r="K48" s="59">
        <f>IF($C$5*'Tariffs Jul2021'!AL42/'Tariffs Jul2021'!AJ42&lt;'Tariffs Jul2021'!J42,0,IF($C$5*'Tariffs Jul2021'!AL42/'Tariffs Jul2021'!AJ42&lt;='Tariffs Jul2021'!K42,($C$5*'Tariffs Jul2021'!AL42/'Tariffs Jul2021'!AJ42-'Tariffs Jul2021'!J42)*('Tariffs Jul2021'!V42/100)*'Tariffs Jul2021'!AJ42,('Tariffs Jul2021'!K42-'Tariffs Jul2021'!J42)*('Tariffs Jul2021'!V42/100)*'Tariffs Jul2021'!AJ42))</f>
        <v>93.125454545454545</v>
      </c>
      <c r="L48" s="59">
        <f>IF($C$5*'Tariffs Jul2021'!AL42/'Tariffs Jul2021'!AJ42&lt;'Tariffs Jul2021'!K42,0,IF($C$5*'Tariffs Jul2021'!AL42/'Tariffs Jul2021'!AJ42&lt;='Tariffs Jul2021'!L42,($C$5*'Tariffs Jul2021'!AL42/'Tariffs Jul2021'!AJ42-'Tariffs Jul2021'!K42)*('Tariffs Jul2021'!W42/100)*'Tariffs Jul2021'!AJ42,('Tariffs Jul2021'!L42-'Tariffs Jul2021'!K42)*('Tariffs Jul2021'!W42/100)*'Tariffs Jul2021'!AJ42))</f>
        <v>0</v>
      </c>
      <c r="M48" s="59">
        <f>IF($C$5*'Tariffs Jul2021'!AL42/'Tariffs Jul2021'!AJ42&lt;'Tariffs Jul2021'!L42,0,IF($C$5*'Tariffs Jul2021'!AL42/'Tariffs Jul2021'!AJ42&lt;='Tariffs Jul2021'!M42,($C$5*'Tariffs Jul2021'!AL42/'Tariffs Jul2021'!AJ42-'Tariffs Jul2021'!L42)*('Tariffs Jul2021'!X42/100)*'Tariffs Jul2021'!AJ42,('Tariffs Jul2021'!M42-'Tariffs Jul2021'!L42)*('Tariffs Jul2021'!X42/100)*'Tariffs Jul2021'!AJ42))</f>
        <v>0</v>
      </c>
      <c r="N48" s="59">
        <f>IF(($C$5*'Tariffs Jul2021'!AL42/'Tariffs Jul2021'!AJ42&gt;'Tariffs Jul2021'!M42),($C$5*'Tariffs Jul2021'!AL42/'Tariffs Jul2021'!AJ42-'Tariffs Jul2021'!M42)*'Tariffs Jul2021'!Y42/100*'Tariffs Jul2021'!AJ42,0)</f>
        <v>102.54545454545452</v>
      </c>
      <c r="O48" s="59">
        <f t="shared" si="1"/>
        <v>629.1190909090908</v>
      </c>
      <c r="P48" s="503">
        <f t="shared" si="2"/>
        <v>692.03099999999995</v>
      </c>
      <c r="Q48" s="59">
        <f t="shared" si="3"/>
        <v>868.26045454545442</v>
      </c>
      <c r="R48" s="272">
        <f t="shared" si="4"/>
        <v>955.08649999999989</v>
      </c>
      <c r="S48" s="40">
        <f>'Tariffs Jul2021'!AN42</f>
        <v>0</v>
      </c>
      <c r="T48" s="40">
        <f>'Tariffs Jul2021'!AO42</f>
        <v>0</v>
      </c>
      <c r="U48" s="40">
        <f>'Tariffs Jul2021'!AP42</f>
        <v>0</v>
      </c>
      <c r="V48" s="40">
        <f>'Tariffs Jul2021'!AQ42</f>
        <v>0</v>
      </c>
      <c r="W48" s="537" t="str">
        <f t="shared" si="33"/>
        <v>No discount</v>
      </c>
      <c r="X48" s="538" t="str">
        <f t="shared" si="34"/>
        <v>Inclusive</v>
      </c>
      <c r="Y48" s="534">
        <f t="shared" ref="Y48:Y51" si="41">IF(AND(W48="Guaranteed off bill",X48="Inclusive"),((Q48*1.1)-((Q48*1.1)*S48/100))/1.1,IF(AND(W48="Guaranteed off usage",X48="Inclusive"),((Q48*1.1)-((P48*1.1)*T48/100))/1.1,IF(AND(W48="Guaranteed off bill",X48="Exclusive"),Q48-(Q48*S48/100),IF(AND(W48="Guaranteed off usage",X48="Exclusive"),Q48-(P48*T48/100),IF(X48="Inclusive",((Q48*1.1))/1.1,Q48)))))</f>
        <v>868.26045454545442</v>
      </c>
      <c r="Z48" s="535">
        <f t="shared" ref="Z48:Z51" si="42">IF(AND(W48="Pay-on-time off bill",X48="Inclusive"),((Y48*1.1)-((Y48*1.1)*U48/100))/1.1,IF(AND(W48="Pay-on-time off usage",X48="Inclusive"),((Y48*1.1)-((P48*1.1)*V48/100))/1.1,IF(AND(W48="Pay-on-time off bill",X48="Exclusive"),Y48-(Y48*U48/100),IF(AND(W48="Pay-on-time off usage",X48="Exclusive"),Y48-(P48*V48/100),IF(X48="Inclusive",((Y48*1.1))/1.1,Y48)))))</f>
        <v>868.26045454545442</v>
      </c>
      <c r="AA48" s="542">
        <f t="shared" si="32"/>
        <v>955.08649999999989</v>
      </c>
      <c r="AB48" s="542">
        <f t="shared" si="32"/>
        <v>955.08649999999989</v>
      </c>
      <c r="AC48" s="274">
        <f>'Tariffs Jul2021'!AZ42</f>
        <v>0</v>
      </c>
      <c r="AD48" s="274" t="str">
        <f>'Tariffs Jul2021'!BA42</f>
        <v>n</v>
      </c>
      <c r="AE48" s="275" t="str">
        <f>'Tariffs Jul2021'!BJ42</f>
        <v>N</v>
      </c>
      <c r="AF48" s="574"/>
      <c r="AG48" s="574"/>
      <c r="AH48" s="574"/>
      <c r="AI48" s="574"/>
      <c r="AJ48" s="574"/>
      <c r="AK48" s="574"/>
      <c r="AL48" s="574"/>
      <c r="AM48" s="574"/>
      <c r="AN48" s="574"/>
      <c r="AO48" s="574"/>
      <c r="AP48" s="574"/>
      <c r="AQ48" s="574"/>
      <c r="AR48" s="574"/>
      <c r="AS48" s="574"/>
      <c r="AT48" s="574"/>
      <c r="AU48" s="574"/>
      <c r="AV48" s="574"/>
      <c r="AW48" s="574"/>
      <c r="AX48" s="574"/>
    </row>
    <row r="49" spans="1:50" ht="14" x14ac:dyDescent="0.15">
      <c r="A49" s="270" t="str">
        <f>'Tariffs Jul2021'!F43</f>
        <v>Simply Energy</v>
      </c>
      <c r="B49" s="40" t="str">
        <f>'Tariffs Jul2021'!D43</f>
        <v>AGN North</v>
      </c>
      <c r="C49" s="40" t="str">
        <f>'Tariffs Jul2021'!G43</f>
        <v>Saver</v>
      </c>
      <c r="D49" s="59">
        <f>365*'Tariffs Jul2021'!H43/100</f>
        <v>296.31363636363631</v>
      </c>
      <c r="E49" s="59">
        <f>IF($C$5*'Tariffs Jul2021'!AK43/'Tariffs Jul2021'!AI43&gt;='Tariffs Jul2021'!J43,( 'Tariffs Jul2021'!J43*'Tariffs Jul2021'!O43/100)* 'Tariffs Jul2021'!AI43,($C$5*'Tariffs Jul2021'!AK43/'Tariffs Jul2021'!AI43*'Tariffs Jul2021'!O43/100)* 'Tariffs Jul2021'!AI43)</f>
        <v>133.245</v>
      </c>
      <c r="F49" s="59">
        <f>IF($C$5*'Tariffs Jul2021'!AK43/'Tariffs Jul2021'!AI43&lt;'Tariffs Jul2021'!J43,0,IF($C$5*'Tariffs Jul2021'!AK43/'Tariffs Jul2021'!AI43&lt;='Tariffs Jul2021'!K43,($C$5*'Tariffs Jul2021'!AK43/'Tariffs Jul2021'!AI43-'Tariffs Jul2021'!J43)*('Tariffs Jul2021'!P43/100)*'Tariffs Jul2021'!AI43,('Tariffs Jul2021'!K43-'Tariffs Jul2021'!J43)*('Tariffs Jul2021'!P43/100)*'Tariffs Jul2021'!AI43))</f>
        <v>89.060454545454547</v>
      </c>
      <c r="G49" s="59">
        <f>IF($C$5*'Tariffs Jul2021'!AK43/'Tariffs Jul2021'!AI43&lt;'Tariffs Jul2021'!K43,0,IF($C$5*'Tariffs Jul2021'!AK43/'Tariffs Jul2021'!AI43&lt;='Tariffs Jul2021'!L43,($C$5*'Tariffs Jul2021'!AK43/'Tariffs Jul2021'!AI43-'Tariffs Jul2021'!K43)*('Tariffs Jul2021'!Q43/100)*'Tariffs Jul2021'!AI43,('Tariffs Jul2021'!L43-'Tariffs Jul2021'!K43)*('Tariffs Jul2021'!Q43/100)*'Tariffs Jul2021'!AI43))</f>
        <v>0</v>
      </c>
      <c r="H49" s="59">
        <f>IF($C$5*'Tariffs Jul2021'!AK43/'Tariffs Jul2021'!AI43&lt;'Tariffs Jul2021'!L43,0,IF($C$5*'Tariffs Jul2021'!AK43/'Tariffs Jul2021'!AI43&lt;='Tariffs Jul2021'!M43,($C$5*'Tariffs Jul2021'!AK43/'Tariffs Jul2021'!AI43-'Tariffs Jul2021'!L43)*('Tariffs Jul2021'!R43/100)*'Tariffs Jul2021'!AI43,('Tariffs Jul2021'!M43-'Tariffs Jul2021'!L43)*('Tariffs Jul2021'!R43/100)*'Tariffs Jul2021'!AI43))</f>
        <v>0</v>
      </c>
      <c r="I49" s="59">
        <f>IF(($C$5*'Tariffs Jul2021'!AK43/'Tariffs Jul2021'!AI43&gt;'Tariffs Jul2021'!M43),($C$5*'Tariffs Jul2021'!AK43/'Tariffs Jul2021'!AI43-'Tariffs Jul2021'!M43)*'Tariffs Jul2021'!S43/100*'Tariffs Jul2021'!AI43,0)</f>
        <v>111.8181818181818</v>
      </c>
      <c r="J49" s="59">
        <f>IF($C$5*'Tariffs Jul2021'!AL43/'Tariffs Jul2021'!AJ43&gt;='Tariffs Jul2021'!J43,('Tariffs Jul2021'!J43*'Tariffs Jul2021'!U43/100)* 'Tariffs Jul2021'!AJ43,($C$5*'Tariffs Jul2021'!AL43/'Tariffs Jul2021'!AJ43*'Tariffs Jul2021'!U43/100)* 'Tariffs Jul2021'!AJ43)</f>
        <v>133.245</v>
      </c>
      <c r="K49" s="59">
        <f>IF($C$5*'Tariffs Jul2021'!AL43/'Tariffs Jul2021'!AJ43&lt;'Tariffs Jul2021'!J43,0,IF($C$5*'Tariffs Jul2021'!AL43/'Tariffs Jul2021'!AJ43&lt;='Tariffs Jul2021'!K43,($C$5*'Tariffs Jul2021'!AL43/'Tariffs Jul2021'!AJ43-'Tariffs Jul2021'!J43)*('Tariffs Jul2021'!V43/100)*'Tariffs Jul2021'!AJ43,('Tariffs Jul2021'!K43-'Tariffs Jul2021'!J43)*('Tariffs Jul2021'!V43/100)*'Tariffs Jul2021'!AJ43))</f>
        <v>89.060454545454547</v>
      </c>
      <c r="L49" s="59">
        <f>IF($C$5*'Tariffs Jul2021'!AL43/'Tariffs Jul2021'!AJ43&lt;'Tariffs Jul2021'!K43,0,IF($C$5*'Tariffs Jul2021'!AL43/'Tariffs Jul2021'!AJ43&lt;='Tariffs Jul2021'!L43,($C$5*'Tariffs Jul2021'!AL43/'Tariffs Jul2021'!AJ43-'Tariffs Jul2021'!K43)*('Tariffs Jul2021'!W43/100)*'Tariffs Jul2021'!AJ43,('Tariffs Jul2021'!L43-'Tariffs Jul2021'!K43)*('Tariffs Jul2021'!W43/100)*'Tariffs Jul2021'!AJ43))</f>
        <v>0</v>
      </c>
      <c r="M49" s="59">
        <f>IF($C$5*'Tariffs Jul2021'!AL43/'Tariffs Jul2021'!AJ43&lt;'Tariffs Jul2021'!L43,0,IF($C$5*'Tariffs Jul2021'!AL43/'Tariffs Jul2021'!AJ43&lt;='Tariffs Jul2021'!M43,($C$5*'Tariffs Jul2021'!AL43/'Tariffs Jul2021'!AJ43-'Tariffs Jul2021'!L43)*('Tariffs Jul2021'!X43/100)*'Tariffs Jul2021'!AJ43,('Tariffs Jul2021'!M43-'Tariffs Jul2021'!L43)*('Tariffs Jul2021'!X43/100)*'Tariffs Jul2021'!AJ43))</f>
        <v>0</v>
      </c>
      <c r="N49" s="59">
        <f>IF(($C$5*'Tariffs Jul2021'!AL43/'Tariffs Jul2021'!AJ43&gt;'Tariffs Jul2021'!M43),($C$5*'Tariffs Jul2021'!AL43/'Tariffs Jul2021'!AJ43-'Tariffs Jul2021'!M43)*'Tariffs Jul2021'!Y43/100*'Tariffs Jul2021'!AJ43,0)</f>
        <v>111.8181818181818</v>
      </c>
      <c r="O49" s="59">
        <f t="shared" si="1"/>
        <v>668.24727272727273</v>
      </c>
      <c r="P49" s="503">
        <f t="shared" si="2"/>
        <v>735.07200000000012</v>
      </c>
      <c r="Q49" s="59">
        <f t="shared" si="3"/>
        <v>964.56090909090904</v>
      </c>
      <c r="R49" s="272">
        <f t="shared" si="4"/>
        <v>1061.0170000000001</v>
      </c>
      <c r="S49" s="40">
        <f>'Tariffs Jul2021'!AN43</f>
        <v>16</v>
      </c>
      <c r="T49" s="40">
        <f>'Tariffs Jul2021'!AO43</f>
        <v>0</v>
      </c>
      <c r="U49" s="40">
        <f>'Tariffs Jul2021'!AP43</f>
        <v>0</v>
      </c>
      <c r="V49" s="40">
        <f>'Tariffs Jul2021'!AQ43</f>
        <v>0</v>
      </c>
      <c r="W49" s="537" t="str">
        <f t="shared" si="33"/>
        <v>Guaranteed off bill</v>
      </c>
      <c r="X49" s="538" t="str">
        <f t="shared" si="34"/>
        <v>Exclusive</v>
      </c>
      <c r="Y49" s="534">
        <f t="shared" si="41"/>
        <v>810.23116363636359</v>
      </c>
      <c r="Z49" s="535">
        <f t="shared" si="42"/>
        <v>810.23116363636359</v>
      </c>
      <c r="AA49" s="542">
        <f t="shared" si="32"/>
        <v>891.25427999999999</v>
      </c>
      <c r="AB49" s="542">
        <f t="shared" si="32"/>
        <v>891.25427999999999</v>
      </c>
      <c r="AC49" s="274">
        <f>'Tariffs Jul2021'!AZ43</f>
        <v>0</v>
      </c>
      <c r="AD49" s="274" t="str">
        <f>'Tariffs Jul2021'!BA43</f>
        <v>n</v>
      </c>
      <c r="AE49" s="275" t="str">
        <f>'Tariffs Jul2021'!BJ43</f>
        <v>N</v>
      </c>
      <c r="AF49" s="574"/>
      <c r="AG49" s="574"/>
      <c r="AH49" s="574"/>
      <c r="AI49" s="574"/>
      <c r="AJ49" s="574"/>
      <c r="AK49" s="574"/>
      <c r="AL49" s="574"/>
      <c r="AM49" s="574"/>
      <c r="AN49" s="574"/>
      <c r="AO49" s="574"/>
      <c r="AP49" s="574"/>
      <c r="AQ49" s="574"/>
      <c r="AR49" s="574"/>
      <c r="AS49" s="574"/>
      <c r="AT49" s="574"/>
      <c r="AU49" s="574"/>
      <c r="AV49" s="574"/>
      <c r="AW49" s="574"/>
      <c r="AX49" s="574"/>
    </row>
    <row r="50" spans="1:50" ht="14" x14ac:dyDescent="0.15">
      <c r="A50" s="270" t="str">
        <f>'Tariffs Jul2021'!F44</f>
        <v>Sumo Power</v>
      </c>
      <c r="B50" s="40" t="str">
        <f>'Tariffs Jul2021'!D44</f>
        <v>AGN North</v>
      </c>
      <c r="C50" s="40" t="str">
        <f>'Tariffs Jul2021'!G44</f>
        <v>Assure</v>
      </c>
      <c r="D50" s="59">
        <f>365*'Tariffs Jul2021'!H44/100</f>
        <v>218.99999999999997</v>
      </c>
      <c r="E50" s="59">
        <f>IF($C$5*'Tariffs Jul2021'!AK44/'Tariffs Jul2021'!AI44&gt;='Tariffs Jul2021'!J44,( 'Tariffs Jul2021'!J44*'Tariffs Jul2021'!O44/100)* 'Tariffs Jul2021'!AI44,($C$5*'Tariffs Jul2021'!AK44/'Tariffs Jul2021'!AI44*'Tariffs Jul2021'!O44/100)* 'Tariffs Jul2021'!AI44)</f>
        <v>98.699999999999989</v>
      </c>
      <c r="F50" s="59">
        <f>IF($C$5*'Tariffs Jul2021'!AK44/'Tariffs Jul2021'!AI44&lt;'Tariffs Jul2021'!J44,0,IF($C$5*'Tariffs Jul2021'!AK44/'Tariffs Jul2021'!AI44&lt;='Tariffs Jul2021'!K44,($C$5*'Tariffs Jul2021'!AK44/'Tariffs Jul2021'!AI44-'Tariffs Jul2021'!J44)*('Tariffs Jul2021'!P44/100)*'Tariffs Jul2021'!AI44,('Tariffs Jul2021'!K44-'Tariffs Jul2021'!J44)*('Tariffs Jul2021'!P44/100)*'Tariffs Jul2021'!AI44))</f>
        <v>73.169999999999987</v>
      </c>
      <c r="G50" s="59">
        <f>IF($C$5*'Tariffs Jul2021'!AK44/'Tariffs Jul2021'!AI44&lt;'Tariffs Jul2021'!K44,0,IF($C$5*'Tariffs Jul2021'!AK44/'Tariffs Jul2021'!AI44&lt;='Tariffs Jul2021'!L44,($C$5*'Tariffs Jul2021'!AK44/'Tariffs Jul2021'!AI44-'Tariffs Jul2021'!K44)*('Tariffs Jul2021'!Q44/100)*'Tariffs Jul2021'!AI44,('Tariffs Jul2021'!L44-'Tariffs Jul2021'!K44)*('Tariffs Jul2021'!Q44/100)*'Tariffs Jul2021'!AI44))</f>
        <v>0</v>
      </c>
      <c r="H50" s="59">
        <f>IF($C$5*'Tariffs Jul2021'!AK44/'Tariffs Jul2021'!AI44&lt;'Tariffs Jul2021'!L44,0,IF($C$5*'Tariffs Jul2021'!AK44/'Tariffs Jul2021'!AI44&lt;='Tariffs Jul2021'!M44,($C$5*'Tariffs Jul2021'!AK44/'Tariffs Jul2021'!AI44-'Tariffs Jul2021'!L44)*('Tariffs Jul2021'!R44/100)*'Tariffs Jul2021'!AI44,('Tariffs Jul2021'!M44-'Tariffs Jul2021'!L44)*('Tariffs Jul2021'!R44/100)*'Tariffs Jul2021'!AI44))</f>
        <v>0</v>
      </c>
      <c r="I50" s="59">
        <f>IF(($C$5*'Tariffs Jul2021'!AK44/'Tariffs Jul2021'!AI44&gt;'Tariffs Jul2021'!M44),($C$5*'Tariffs Jul2021'!AK44/'Tariffs Jul2021'!AI44-'Tariffs Jul2021'!M44)*'Tariffs Jul2021'!S44/100*'Tariffs Jul2021'!AI44,0)</f>
        <v>89.999999999999986</v>
      </c>
      <c r="J50" s="59">
        <f>IF($C$5*'Tariffs Jul2021'!AL44/'Tariffs Jul2021'!AJ44&gt;='Tariffs Jul2021'!J44,('Tariffs Jul2021'!J44*'Tariffs Jul2021'!U44/100)* 'Tariffs Jul2021'!AJ44,($C$5*'Tariffs Jul2021'!AL44/'Tariffs Jul2021'!AJ44*'Tariffs Jul2021'!U44/100)* 'Tariffs Jul2021'!AJ44)</f>
        <v>98.699999999999989</v>
      </c>
      <c r="K50" s="59">
        <f>IF($C$5*'Tariffs Jul2021'!AL44/'Tariffs Jul2021'!AJ44&lt;'Tariffs Jul2021'!J44,0,IF($C$5*'Tariffs Jul2021'!AL44/'Tariffs Jul2021'!AJ44&lt;='Tariffs Jul2021'!K44,($C$5*'Tariffs Jul2021'!AL44/'Tariffs Jul2021'!AJ44-'Tariffs Jul2021'!J44)*('Tariffs Jul2021'!V44/100)*'Tariffs Jul2021'!AJ44,('Tariffs Jul2021'!K44-'Tariffs Jul2021'!J44)*('Tariffs Jul2021'!V44/100)*'Tariffs Jul2021'!AJ44))</f>
        <v>73.169999999999987</v>
      </c>
      <c r="L50" s="59">
        <f>IF($C$5*'Tariffs Jul2021'!AL44/'Tariffs Jul2021'!AJ44&lt;'Tariffs Jul2021'!K44,0,IF($C$5*'Tariffs Jul2021'!AL44/'Tariffs Jul2021'!AJ44&lt;='Tariffs Jul2021'!L44,($C$5*'Tariffs Jul2021'!AL44/'Tariffs Jul2021'!AJ44-'Tariffs Jul2021'!K44)*('Tariffs Jul2021'!W44/100)*'Tariffs Jul2021'!AJ44,('Tariffs Jul2021'!L44-'Tariffs Jul2021'!K44)*('Tariffs Jul2021'!W44/100)*'Tariffs Jul2021'!AJ44))</f>
        <v>0</v>
      </c>
      <c r="M50" s="59">
        <f>IF($C$5*'Tariffs Jul2021'!AL44/'Tariffs Jul2021'!AJ44&lt;'Tariffs Jul2021'!L44,0,IF($C$5*'Tariffs Jul2021'!AL44/'Tariffs Jul2021'!AJ44&lt;='Tariffs Jul2021'!M44,($C$5*'Tariffs Jul2021'!AL44/'Tariffs Jul2021'!AJ44-'Tariffs Jul2021'!L44)*('Tariffs Jul2021'!X44/100)*'Tariffs Jul2021'!AJ44,('Tariffs Jul2021'!M44-'Tariffs Jul2021'!L44)*('Tariffs Jul2021'!X44/100)*'Tariffs Jul2021'!AJ44))</f>
        <v>0</v>
      </c>
      <c r="N50" s="59">
        <f>IF(($C$5*'Tariffs Jul2021'!AL44/'Tariffs Jul2021'!AJ44&gt;'Tariffs Jul2021'!M44),($C$5*'Tariffs Jul2021'!AL44/'Tariffs Jul2021'!AJ44-'Tariffs Jul2021'!M44)*'Tariffs Jul2021'!Y44/100*'Tariffs Jul2021'!AJ44,0)</f>
        <v>89.999999999999986</v>
      </c>
      <c r="O50" s="59">
        <f>SUM(E50:N50)</f>
        <v>523.7399999999999</v>
      </c>
      <c r="P50" s="503">
        <f t="shared" si="2"/>
        <v>576.11399999999992</v>
      </c>
      <c r="Q50" s="59">
        <f>D50+O50</f>
        <v>742.7399999999999</v>
      </c>
      <c r="R50" s="272">
        <f>Q50*1.1</f>
        <v>817.0139999999999</v>
      </c>
      <c r="S50" s="40">
        <f>'Tariffs Jul2021'!AN44</f>
        <v>0</v>
      </c>
      <c r="T50" s="40">
        <f>'Tariffs Jul2021'!AO44</f>
        <v>0</v>
      </c>
      <c r="U50" s="40">
        <f>'Tariffs Jul2021'!AP44</f>
        <v>0</v>
      </c>
      <c r="V50" s="40">
        <f>'Tariffs Jul2021'!AQ44</f>
        <v>0</v>
      </c>
      <c r="W50" s="537" t="str">
        <f t="shared" si="33"/>
        <v>No discount</v>
      </c>
      <c r="X50" s="538" t="str">
        <f t="shared" si="34"/>
        <v>Exclusive</v>
      </c>
      <c r="Y50" s="534">
        <f t="shared" si="41"/>
        <v>742.7399999999999</v>
      </c>
      <c r="Z50" s="535">
        <f t="shared" si="42"/>
        <v>742.7399999999999</v>
      </c>
      <c r="AA50" s="542">
        <f t="shared" si="32"/>
        <v>817.0139999999999</v>
      </c>
      <c r="AB50" s="542">
        <f t="shared" si="32"/>
        <v>817.0139999999999</v>
      </c>
      <c r="AC50" s="274">
        <f>'Tariffs Jul2021'!AZ44</f>
        <v>0</v>
      </c>
      <c r="AD50" s="274" t="str">
        <f>'Tariffs Jul2021'!BA44</f>
        <v>n</v>
      </c>
      <c r="AE50" s="275" t="str">
        <f>'Tariffs Jul2021'!BJ44</f>
        <v>Y</v>
      </c>
      <c r="AF50" s="574"/>
      <c r="AG50" s="574"/>
      <c r="AH50" s="574"/>
      <c r="AI50" s="574"/>
      <c r="AJ50" s="574"/>
      <c r="AK50" s="574"/>
      <c r="AL50" s="574"/>
      <c r="AM50" s="574"/>
      <c r="AN50" s="574"/>
      <c r="AO50" s="574"/>
      <c r="AP50" s="574"/>
      <c r="AQ50" s="574"/>
      <c r="AR50" s="574"/>
      <c r="AS50" s="574"/>
      <c r="AT50" s="574"/>
      <c r="AU50" s="574"/>
      <c r="AV50" s="574"/>
      <c r="AW50" s="574"/>
      <c r="AX50" s="574"/>
    </row>
    <row r="51" spans="1:50" ht="14" x14ac:dyDescent="0.15">
      <c r="A51" s="270" t="str">
        <f>'Tariffs Jul2021'!F45</f>
        <v>GloBird Energy</v>
      </c>
      <c r="B51" s="40" t="str">
        <f>'Tariffs Jul2021'!D45</f>
        <v>AGN North</v>
      </c>
      <c r="C51" s="40" t="str">
        <f>'Tariffs Jul2021'!G45</f>
        <v>GloSave</v>
      </c>
      <c r="D51" s="59">
        <f>365*'Tariffs Jul2021'!H45/100</f>
        <v>200.74999999999997</v>
      </c>
      <c r="E51" s="59">
        <f>IF($C$5*'Tariffs Jul2021'!AK45/'Tariffs Jul2021'!AI45&gt;='Tariffs Jul2021'!J45,( 'Tariffs Jul2021'!J45*'Tariffs Jul2021'!O45/100)* 'Tariffs Jul2021'!AI45,($C$5*'Tariffs Jul2021'!AK45/'Tariffs Jul2021'!AI45*'Tariffs Jul2021'!O45/100)* 'Tariffs Jul2021'!AI45)</f>
        <v>157.90909090909091</v>
      </c>
      <c r="F51" s="59">
        <f>IF($C$5*'Tariffs Jul2021'!AK45/'Tariffs Jul2021'!AI45&lt;'Tariffs Jul2021'!J45,0,IF($C$5*'Tariffs Jul2021'!AK45/'Tariffs Jul2021'!AI45&lt;='Tariffs Jul2021'!K45,($C$5*'Tariffs Jul2021'!AK45/'Tariffs Jul2021'!AI45-'Tariffs Jul2021'!J45)*('Tariffs Jul2021'!P45/100)*'Tariffs Jul2021'!AI45,('Tariffs Jul2021'!K45-'Tariffs Jul2021'!J45)*('Tariffs Jul2021'!P45/100)*'Tariffs Jul2021'!AI45))</f>
        <v>0</v>
      </c>
      <c r="G51" s="59">
        <f>IF($C$5*'Tariffs Jul2021'!AK45/'Tariffs Jul2021'!AI45&lt;'Tariffs Jul2021'!K45,0,IF($C$5*'Tariffs Jul2021'!AK45/'Tariffs Jul2021'!AI45&lt;='Tariffs Jul2021'!L45,($C$5*'Tariffs Jul2021'!AK45/'Tariffs Jul2021'!AI45-'Tariffs Jul2021'!K45)*('Tariffs Jul2021'!Q45/100)*'Tariffs Jul2021'!AI45,('Tariffs Jul2021'!L45-'Tariffs Jul2021'!K45)*('Tariffs Jul2021'!Q45/100)*'Tariffs Jul2021'!AI45))</f>
        <v>0</v>
      </c>
      <c r="H51" s="59">
        <f>IF($C$5*'Tariffs Jul2021'!AK45/'Tariffs Jul2021'!AI45&lt;'Tariffs Jul2021'!L45,0,IF($C$5*'Tariffs Jul2021'!AK45/'Tariffs Jul2021'!AI45&lt;='Tariffs Jul2021'!M45,($C$5*'Tariffs Jul2021'!AK45/'Tariffs Jul2021'!AI45-'Tariffs Jul2021'!L45)*('Tariffs Jul2021'!R45/100)*'Tariffs Jul2021'!AI45,('Tariffs Jul2021'!M45-'Tariffs Jul2021'!L45)*('Tariffs Jul2021'!R45/100)*'Tariffs Jul2021'!AI45))</f>
        <v>0</v>
      </c>
      <c r="I51" s="59">
        <f>IF(($C$5*'Tariffs Jul2021'!AK45/'Tariffs Jul2021'!AI45&gt;'Tariffs Jul2021'!M45),($C$5*'Tariffs Jul2021'!AK45/'Tariffs Jul2021'!AI45-'Tariffs Jul2021'!M45)*'Tariffs Jul2021'!S45/100*'Tariffs Jul2021'!AI45,0)</f>
        <v>100.36363636363636</v>
      </c>
      <c r="J51" s="59">
        <f>IF($C$5*'Tariffs Jul2021'!AL45/'Tariffs Jul2021'!AJ45&gt;='Tariffs Jul2021'!J45,('Tariffs Jul2021'!J45*'Tariffs Jul2021'!U45/100)* 'Tariffs Jul2021'!AJ45,($C$5*'Tariffs Jul2021'!AL45/'Tariffs Jul2021'!AJ45*'Tariffs Jul2021'!U45/100)* 'Tariffs Jul2021'!AJ45)</f>
        <v>157.90909090909091</v>
      </c>
      <c r="K51" s="59">
        <f>IF($C$5*'Tariffs Jul2021'!AL45/'Tariffs Jul2021'!AJ45&lt;'Tariffs Jul2021'!J45,0,IF($C$5*'Tariffs Jul2021'!AL45/'Tariffs Jul2021'!AJ45&lt;='Tariffs Jul2021'!K45,($C$5*'Tariffs Jul2021'!AL45/'Tariffs Jul2021'!AJ45-'Tariffs Jul2021'!J45)*('Tariffs Jul2021'!V45/100)*'Tariffs Jul2021'!AJ45,('Tariffs Jul2021'!K45-'Tariffs Jul2021'!J45)*('Tariffs Jul2021'!V45/100)*'Tariffs Jul2021'!AJ45))</f>
        <v>0</v>
      </c>
      <c r="L51" s="59">
        <f>IF($C$5*'Tariffs Jul2021'!AL45/'Tariffs Jul2021'!AJ45&lt;'Tariffs Jul2021'!K45,0,IF($C$5*'Tariffs Jul2021'!AL45/'Tariffs Jul2021'!AJ45&lt;='Tariffs Jul2021'!L45,($C$5*'Tariffs Jul2021'!AL45/'Tariffs Jul2021'!AJ45-'Tariffs Jul2021'!K45)*('Tariffs Jul2021'!W45/100)*'Tariffs Jul2021'!AJ45,('Tariffs Jul2021'!L45-'Tariffs Jul2021'!K45)*('Tariffs Jul2021'!W45/100)*'Tariffs Jul2021'!AJ45))</f>
        <v>0</v>
      </c>
      <c r="M51" s="59">
        <f>IF($C$5*'Tariffs Jul2021'!AL45/'Tariffs Jul2021'!AJ45&lt;'Tariffs Jul2021'!L45,0,IF($C$5*'Tariffs Jul2021'!AL45/'Tariffs Jul2021'!AJ45&lt;='Tariffs Jul2021'!M45,($C$5*'Tariffs Jul2021'!AL45/'Tariffs Jul2021'!AJ45-'Tariffs Jul2021'!L45)*('Tariffs Jul2021'!X45/100)*'Tariffs Jul2021'!AJ45,('Tariffs Jul2021'!M45-'Tariffs Jul2021'!L45)*('Tariffs Jul2021'!X45/100)*'Tariffs Jul2021'!AJ45))</f>
        <v>0</v>
      </c>
      <c r="N51" s="59">
        <f>IF(($C$5*'Tariffs Jul2021'!AL45/'Tariffs Jul2021'!AJ45&gt;'Tariffs Jul2021'!M45),($C$5*'Tariffs Jul2021'!AL45/'Tariffs Jul2021'!AJ45-'Tariffs Jul2021'!M45)*'Tariffs Jul2021'!Y45/100*'Tariffs Jul2021'!AJ45,0)</f>
        <v>100.36363636363636</v>
      </c>
      <c r="O51" s="59">
        <f t="shared" si="1"/>
        <v>516.5454545454545</v>
      </c>
      <c r="P51" s="503">
        <f t="shared" si="2"/>
        <v>568.20000000000005</v>
      </c>
      <c r="Q51" s="59">
        <f t="shared" si="3"/>
        <v>717.2954545454545</v>
      </c>
      <c r="R51" s="272">
        <f t="shared" si="4"/>
        <v>789.02499999999998</v>
      </c>
      <c r="S51" s="40">
        <f>'Tariffs Jul2021'!AN45</f>
        <v>0</v>
      </c>
      <c r="T51" s="40">
        <f>'Tariffs Jul2021'!AO45</f>
        <v>0</v>
      </c>
      <c r="U51" s="40">
        <f>'Tariffs Jul2021'!AP45</f>
        <v>0</v>
      </c>
      <c r="V51" s="40">
        <f>'Tariffs Jul2021'!AQ45</f>
        <v>0</v>
      </c>
      <c r="W51" s="537" t="str">
        <f t="shared" si="33"/>
        <v>No discount</v>
      </c>
      <c r="X51" s="538" t="str">
        <f t="shared" si="34"/>
        <v>Exclusive</v>
      </c>
      <c r="Y51" s="534">
        <f t="shared" si="41"/>
        <v>717.2954545454545</v>
      </c>
      <c r="Z51" s="535">
        <f t="shared" si="42"/>
        <v>717.2954545454545</v>
      </c>
      <c r="AA51" s="542">
        <f t="shared" si="32"/>
        <v>789.02499999999998</v>
      </c>
      <c r="AB51" s="542">
        <f t="shared" si="32"/>
        <v>789.02499999999998</v>
      </c>
      <c r="AC51" s="274">
        <f>'Tariffs Jul2021'!AZ45</f>
        <v>0</v>
      </c>
      <c r="AD51" s="274" t="str">
        <f>'Tariffs Jul2021'!BA45</f>
        <v>n</v>
      </c>
      <c r="AE51" s="275" t="str">
        <f>'Tariffs Jul2021'!BJ45</f>
        <v>N</v>
      </c>
      <c r="AF51" s="574"/>
      <c r="AG51" s="574"/>
      <c r="AH51" s="574"/>
      <c r="AI51" s="574"/>
      <c r="AJ51" s="574"/>
      <c r="AK51" s="574"/>
      <c r="AL51" s="574"/>
      <c r="AM51" s="574"/>
      <c r="AN51" s="574"/>
      <c r="AO51" s="574"/>
      <c r="AP51" s="574"/>
      <c r="AQ51" s="574"/>
      <c r="AR51" s="574"/>
      <c r="AS51" s="574"/>
      <c r="AT51" s="574"/>
      <c r="AU51" s="574"/>
      <c r="AV51" s="574"/>
      <c r="AW51" s="574"/>
      <c r="AX51" s="574"/>
    </row>
    <row r="52" spans="1:50" ht="14" x14ac:dyDescent="0.15">
      <c r="A52" s="270" t="str">
        <f>'Tariffs Jul2021'!F46</f>
        <v>Powershop</v>
      </c>
      <c r="B52" s="40" t="str">
        <f>'Tariffs Jul2021'!D46</f>
        <v>AGN North</v>
      </c>
      <c r="C52" s="40" t="str">
        <f>'Tariffs Jul2021'!G46</f>
        <v>Market offer</v>
      </c>
      <c r="D52" s="59">
        <f>365*'Tariffs Jul2021'!H46/100</f>
        <v>247.8681818181818</v>
      </c>
      <c r="E52" s="59">
        <f>((C$5*'Tariffs Jul2021'!AK46/'Tariffs Jul2021'!AI46)*('Tariffs Jul2021'!O46/100))*'Tariffs Jul2021'!AI46</f>
        <v>263.18181818181813</v>
      </c>
      <c r="F52" s="59">
        <v>0</v>
      </c>
      <c r="G52" s="59">
        <v>0</v>
      </c>
      <c r="H52" s="59">
        <v>0</v>
      </c>
      <c r="I52" s="59">
        <v>0</v>
      </c>
      <c r="J52" s="59">
        <f>((C$5*'Tariffs Jul2021'!AL46/'Tariffs Jul2021'!AJ46)*('Tariffs Jul2021'!U46/100))*'Tariffs Jul2021'!AJ46</f>
        <v>263.18181818181813</v>
      </c>
      <c r="K52" s="59">
        <v>0</v>
      </c>
      <c r="L52" s="59">
        <v>0</v>
      </c>
      <c r="M52" s="59">
        <v>0</v>
      </c>
      <c r="N52" s="59">
        <v>0</v>
      </c>
      <c r="O52" s="59">
        <f t="shared" si="1"/>
        <v>526.36363636363626</v>
      </c>
      <c r="P52" s="503">
        <f t="shared" si="2"/>
        <v>578.99999999999989</v>
      </c>
      <c r="Q52" s="59">
        <f t="shared" si="3"/>
        <v>774.23181818181808</v>
      </c>
      <c r="R52" s="272">
        <f t="shared" si="4"/>
        <v>851.65499999999997</v>
      </c>
      <c r="S52" s="40">
        <f>'Tariffs Jul2021'!AN46</f>
        <v>0</v>
      </c>
      <c r="T52" s="40">
        <f>'Tariffs Jul2021'!AO46</f>
        <v>0</v>
      </c>
      <c r="U52" s="40">
        <f>'Tariffs Jul2021'!AP46</f>
        <v>0</v>
      </c>
      <c r="V52" s="40">
        <f>'Tariffs Jul2021'!AQ46</f>
        <v>0</v>
      </c>
      <c r="W52" s="537" t="str">
        <f t="shared" si="33"/>
        <v>No discount</v>
      </c>
      <c r="X52" s="538" t="str">
        <f t="shared" si="34"/>
        <v>Inclusive</v>
      </c>
      <c r="Y52" s="534">
        <f>IF(AND(W52="Guaranteed off bill",X52="Inclusive"),((Q52*1.1)-((Q52*1.1)*S52/100))/1.1,IF(AND(W52="Guaranteed off usage",X52="Inclusive"),((Q52*1.1)-((P52*1.1)*T52/100))/1.1,IF(AND(W52="Guaranteed off bill",X52="Exclusive"),Q52-(Q52*S52/100),IF(AND(W52="Guaranteed off usage",X52="Exclusive"),Q52-(P52*T52/100),IF(X52="Inclusive",((Q52*1.1))/1.1,Q52)))))</f>
        <v>774.23181818181808</v>
      </c>
      <c r="Z52" s="535">
        <f>IF(AND(W52="Pay-on-time off bill",X52="Inclusive"),((Y52*1.1)-((Y52*1.1)*U52/100))/1.1,IF(AND(W52="Pay-on-time off usage",X52="Inclusive"),((Y52*1.1)-((P52*1.1)*V52/100))/1.1,IF(AND(W52="Pay-on-time off bill",X52="Exclusive"),Y52-(Y52*U52/100),IF(AND(W52="Pay-on-time off usage",X52="Exclusive"),Y52-(P52*V52/100),IF(X52="Inclusive",((Y52*1.1))/1.1,Y52)))))</f>
        <v>774.23181818181808</v>
      </c>
      <c r="AA52" s="542">
        <f t="shared" si="32"/>
        <v>851.65499999999997</v>
      </c>
      <c r="AB52" s="542">
        <f t="shared" si="32"/>
        <v>851.65499999999997</v>
      </c>
      <c r="AC52" s="274">
        <f>'Tariffs Jul2021'!AZ46</f>
        <v>0</v>
      </c>
      <c r="AD52" s="274" t="str">
        <f>'Tariffs Jul2021'!BA46</f>
        <v>n</v>
      </c>
      <c r="AE52" s="275" t="str">
        <f>'Tariffs Jul2021'!BJ46</f>
        <v>Y</v>
      </c>
      <c r="AF52" s="574"/>
      <c r="AG52" s="574"/>
      <c r="AH52" s="574"/>
      <c r="AI52" s="574"/>
      <c r="AJ52" s="574"/>
      <c r="AK52" s="574"/>
      <c r="AL52" s="574"/>
      <c r="AM52" s="574"/>
      <c r="AN52" s="574"/>
      <c r="AO52" s="574"/>
      <c r="AP52" s="574"/>
      <c r="AQ52" s="574"/>
      <c r="AR52" s="574"/>
      <c r="AS52" s="574"/>
      <c r="AT52" s="574"/>
      <c r="AU52" s="574"/>
      <c r="AV52" s="574"/>
      <c r="AW52" s="574"/>
      <c r="AX52" s="574"/>
    </row>
    <row r="53" spans="1:50" ht="14" x14ac:dyDescent="0.15">
      <c r="A53" s="270" t="str">
        <f>'Tariffs Jul2021'!F47</f>
        <v>1st Energy</v>
      </c>
      <c r="B53" s="40" t="str">
        <f>'Tariffs Jul2021'!D47</f>
        <v>AGN North</v>
      </c>
      <c r="C53" s="40" t="str">
        <f>'Tariffs Jul2021'!G47</f>
        <v>1st Saver Plus</v>
      </c>
      <c r="D53" s="59">
        <f>365*'Tariffs Jul2021'!H47/100</f>
        <v>266.45</v>
      </c>
      <c r="E53" s="59">
        <f>IF($C$5*'Tariffs Jul2021'!AK47/'Tariffs Jul2021'!AI47&gt;='Tariffs Jul2021'!J47,( 'Tariffs Jul2021'!J47*'Tariffs Jul2021'!O47/100)* 'Tariffs Jul2021'!AI47,($C$5*'Tariffs Jul2021'!AK47/'Tariffs Jul2021'!AI47*'Tariffs Jul2021'!O47/100)* 'Tariffs Jul2021'!AI47)</f>
        <v>135.03954545454545</v>
      </c>
      <c r="F53" s="59">
        <f>IF($C$5*'Tariffs Jul2021'!AK47/'Tariffs Jul2021'!AI47&lt;'Tariffs Jul2021'!J47,0,IF($C$5*'Tariffs Jul2021'!AK47/'Tariffs Jul2021'!AI47&lt;='Tariffs Jul2021'!K47,($C$5*'Tariffs Jul2021'!AK47/'Tariffs Jul2021'!AI47-'Tariffs Jul2021'!J47)*('Tariffs Jul2021'!P47/100)*'Tariffs Jul2021'!AI47,('Tariffs Jul2021'!K47-'Tariffs Jul2021'!J47)*('Tariffs Jul2021'!P47/100)*'Tariffs Jul2021'!AI47))</f>
        <v>98.299090909090907</v>
      </c>
      <c r="G53" s="59">
        <f>IF($C$5*'Tariffs Jul2021'!AK47/'Tariffs Jul2021'!AI47&lt;'Tariffs Jul2021'!K47,0,IF($C$5*'Tariffs Jul2021'!AK47/'Tariffs Jul2021'!AI47&lt;='Tariffs Jul2021'!L47,($C$5*'Tariffs Jul2021'!AK47/'Tariffs Jul2021'!AI47-'Tariffs Jul2021'!K47)*('Tariffs Jul2021'!Q47/100)*'Tariffs Jul2021'!AI47,('Tariffs Jul2021'!L47-'Tariffs Jul2021'!K47)*('Tariffs Jul2021'!Q47/100)*'Tariffs Jul2021'!AI47))</f>
        <v>0</v>
      </c>
      <c r="H53" s="59">
        <f>IF($C$5*'Tariffs Jul2021'!AK47/'Tariffs Jul2021'!AI47&lt;'Tariffs Jul2021'!L47,0,IF($C$5*'Tariffs Jul2021'!AK47/'Tariffs Jul2021'!AI47&lt;='Tariffs Jul2021'!M47,($C$5*'Tariffs Jul2021'!AK47/'Tariffs Jul2021'!AI47-'Tariffs Jul2021'!L47)*('Tariffs Jul2021'!R47/100)*'Tariffs Jul2021'!AI47,('Tariffs Jul2021'!M47-'Tariffs Jul2021'!L47)*('Tariffs Jul2021'!R47/100)*'Tariffs Jul2021'!AI47))</f>
        <v>0</v>
      </c>
      <c r="I53" s="59">
        <f>IF(($C$5*'Tariffs Jul2021'!AK47/'Tariffs Jul2021'!AI47&gt;'Tariffs Jul2021'!M47),($C$5*'Tariffs Jul2021'!AK47/'Tariffs Jul2021'!AI47-'Tariffs Jul2021'!M47)*'Tariffs Jul2021'!S47/100*'Tariffs Jul2021'!AI47,0)</f>
        <v>124.36363636363636</v>
      </c>
      <c r="J53" s="59">
        <f>IF($C$5*'Tariffs Jul2021'!AL47/'Tariffs Jul2021'!AJ47&gt;='Tariffs Jul2021'!J47,('Tariffs Jul2021'!J47*'Tariffs Jul2021'!U47/100)* 'Tariffs Jul2021'!AJ47,($C$5*'Tariffs Jul2021'!AL47/'Tariffs Jul2021'!AJ47*'Tariffs Jul2021'!U47/100)* 'Tariffs Jul2021'!AJ47)</f>
        <v>135.03954545454545</v>
      </c>
      <c r="K53" s="59">
        <f>IF($C$5*'Tariffs Jul2021'!AL47/'Tariffs Jul2021'!AJ47&lt;'Tariffs Jul2021'!J47,0,IF($C$5*'Tariffs Jul2021'!AL47/'Tariffs Jul2021'!AJ47&lt;='Tariffs Jul2021'!K47,($C$5*'Tariffs Jul2021'!AL47/'Tariffs Jul2021'!AJ47-'Tariffs Jul2021'!J47)*('Tariffs Jul2021'!V47/100)*'Tariffs Jul2021'!AJ47,('Tariffs Jul2021'!K47-'Tariffs Jul2021'!J47)*('Tariffs Jul2021'!V47/100)*'Tariffs Jul2021'!AJ47))</f>
        <v>98.299090909090907</v>
      </c>
      <c r="L53" s="59">
        <f>IF($C$5*'Tariffs Jul2021'!AL47/'Tariffs Jul2021'!AJ47&lt;'Tariffs Jul2021'!K47,0,IF($C$5*'Tariffs Jul2021'!AL47/'Tariffs Jul2021'!AJ47&lt;='Tariffs Jul2021'!L47,($C$5*'Tariffs Jul2021'!AL47/'Tariffs Jul2021'!AJ47-'Tariffs Jul2021'!K47)*('Tariffs Jul2021'!W47/100)*'Tariffs Jul2021'!AJ47,('Tariffs Jul2021'!L47-'Tariffs Jul2021'!K47)*('Tariffs Jul2021'!W47/100)*'Tariffs Jul2021'!AJ47))</f>
        <v>0</v>
      </c>
      <c r="M53" s="59">
        <f>IF($C$5*'Tariffs Jul2021'!AL47/'Tariffs Jul2021'!AJ47&lt;'Tariffs Jul2021'!L47,0,IF($C$5*'Tariffs Jul2021'!AL47/'Tariffs Jul2021'!AJ47&lt;='Tariffs Jul2021'!M47,($C$5*'Tariffs Jul2021'!AL47/'Tariffs Jul2021'!AJ47-'Tariffs Jul2021'!L47)*('Tariffs Jul2021'!X47/100)*'Tariffs Jul2021'!AJ47,('Tariffs Jul2021'!M47-'Tariffs Jul2021'!L47)*('Tariffs Jul2021'!X47/100)*'Tariffs Jul2021'!AJ47))</f>
        <v>0</v>
      </c>
      <c r="N53" s="59">
        <f>IF(($C$5*'Tariffs Jul2021'!AL47/'Tariffs Jul2021'!AJ47&gt;'Tariffs Jul2021'!M47),($C$5*'Tariffs Jul2021'!AL47/'Tariffs Jul2021'!AJ47-'Tariffs Jul2021'!M47)*'Tariffs Jul2021'!Y47/100*'Tariffs Jul2021'!AJ47,0)</f>
        <v>124.36363636363636</v>
      </c>
      <c r="O53" s="59">
        <f t="shared" si="1"/>
        <v>715.40454545454543</v>
      </c>
      <c r="P53" s="503">
        <f t="shared" si="2"/>
        <v>786.94500000000005</v>
      </c>
      <c r="Q53" s="59">
        <f t="shared" si="3"/>
        <v>981.85454545454536</v>
      </c>
      <c r="R53" s="272">
        <f t="shared" si="4"/>
        <v>1080.04</v>
      </c>
      <c r="S53" s="40">
        <f>'Tariffs Jul2021'!AN47</f>
        <v>0</v>
      </c>
      <c r="T53" s="40">
        <f>'Tariffs Jul2021'!AO47</f>
        <v>12</v>
      </c>
      <c r="U53" s="40">
        <f>'Tariffs Jul2021'!AP47</f>
        <v>0</v>
      </c>
      <c r="V53" s="40">
        <f>'Tariffs Jul2021'!AQ47</f>
        <v>3</v>
      </c>
      <c r="W53" s="537" t="str">
        <f t="shared" si="33"/>
        <v>Guaranteed off usage</v>
      </c>
      <c r="X53" s="538" t="str">
        <f t="shared" si="34"/>
        <v>Exclusive</v>
      </c>
      <c r="Y53" s="534">
        <f>Q53-(P53*T53)/100</f>
        <v>887.42114545454535</v>
      </c>
      <c r="Z53" s="535">
        <f>Y53-(P53*V53)/100</f>
        <v>863.81279545454538</v>
      </c>
      <c r="AA53" s="542">
        <f t="shared" si="32"/>
        <v>976.16325999999992</v>
      </c>
      <c r="AB53" s="542">
        <f t="shared" si="32"/>
        <v>950.194075</v>
      </c>
      <c r="AC53" s="274">
        <f>'Tariffs Jul2021'!AZ47</f>
        <v>0</v>
      </c>
      <c r="AD53" s="274" t="str">
        <f>'Tariffs Jul2021'!BA47</f>
        <v>n</v>
      </c>
      <c r="AE53" s="275" t="str">
        <f>'Tariffs Jul2021'!BJ47</f>
        <v>Y</v>
      </c>
      <c r="AF53" s="574"/>
      <c r="AG53" s="574"/>
      <c r="AH53" s="574"/>
      <c r="AI53" s="574"/>
      <c r="AJ53" s="574"/>
      <c r="AK53" s="574"/>
      <c r="AL53" s="574"/>
      <c r="AM53" s="574"/>
      <c r="AN53" s="574"/>
      <c r="AO53" s="574"/>
      <c r="AP53" s="574"/>
      <c r="AQ53" s="574"/>
      <c r="AR53" s="574"/>
      <c r="AS53" s="574"/>
      <c r="AT53" s="574"/>
      <c r="AU53" s="574"/>
      <c r="AV53" s="574"/>
      <c r="AW53" s="574"/>
      <c r="AX53" s="574"/>
    </row>
    <row r="54" spans="1:50" ht="14" x14ac:dyDescent="0.15">
      <c r="A54" s="40" t="str">
        <f>'Tariffs Jul2021'!F48</f>
        <v>Kogan Energy</v>
      </c>
      <c r="B54" s="40" t="str">
        <f>'Tariffs Jul2021'!D48</f>
        <v>AGN North</v>
      </c>
      <c r="C54" s="40" t="str">
        <f>'Tariffs Jul2021'!G48</f>
        <v>Market offer</v>
      </c>
      <c r="D54" s="59">
        <f>365*'Tariffs Jul2021'!H48/100</f>
        <v>216.87636363636364</v>
      </c>
      <c r="E54" s="59">
        <f>((C$5*'Tariffs Jul2021'!AK48/'Tariffs Jul2021'!AI48)*('Tariffs Jul2021'!O48/100))*'Tariffs Jul2021'!AI48</f>
        <v>272.72727272727275</v>
      </c>
      <c r="F54" s="59">
        <v>0</v>
      </c>
      <c r="G54" s="59">
        <v>0</v>
      </c>
      <c r="H54" s="59">
        <v>0</v>
      </c>
      <c r="I54" s="59">
        <v>0</v>
      </c>
      <c r="J54" s="59">
        <f>((C$5*'Tariffs Jul2021'!AL48/'Tariffs Jul2021'!AJ48)*('Tariffs Jul2021'!U48/100))*'Tariffs Jul2021'!AJ48</f>
        <v>272.72727272727275</v>
      </c>
      <c r="K54" s="59">
        <v>0</v>
      </c>
      <c r="L54" s="59">
        <v>0</v>
      </c>
      <c r="M54" s="59">
        <v>0</v>
      </c>
      <c r="N54" s="59">
        <v>0</v>
      </c>
      <c r="O54" s="59">
        <f t="shared" si="1"/>
        <v>545.4545454545455</v>
      </c>
      <c r="P54" s="503">
        <f t="shared" si="2"/>
        <v>600.00000000000011</v>
      </c>
      <c r="Q54" s="59">
        <f t="shared" si="3"/>
        <v>762.33090909090913</v>
      </c>
      <c r="R54" s="272">
        <f t="shared" si="4"/>
        <v>838.56400000000008</v>
      </c>
      <c r="S54" s="40">
        <f>'Tariffs Jul2021'!AN48</f>
        <v>0</v>
      </c>
      <c r="T54" s="40">
        <f>'Tariffs Jul2021'!AO48</f>
        <v>0</v>
      </c>
      <c r="U54" s="40">
        <f>'Tariffs Jul2021'!AP48</f>
        <v>0</v>
      </c>
      <c r="V54" s="40">
        <f>'Tariffs Jul2021'!AQ48</f>
        <v>0</v>
      </c>
      <c r="W54" s="537" t="str">
        <f t="shared" si="33"/>
        <v>No discount</v>
      </c>
      <c r="X54" s="538" t="str">
        <f t="shared" si="34"/>
        <v>Exclusive</v>
      </c>
      <c r="Y54" s="534">
        <f t="shared" ref="Y54:Y55" si="43">IF(AND(W54="Guaranteed off bill",X54="Inclusive"),((Q54*1.1)-((Q54*1.1)*S54/100))/1.1,IF(AND(W54="Guaranteed off usage",X54="Inclusive"),((Q54*1.1)-((P54*1.1)*T54/100))/1.1,IF(AND(W54="Guaranteed off bill",X54="Exclusive"),Q54-(Q54*S54/100),IF(AND(W54="Guaranteed off usage",X54="Exclusive"),Q54-(P54*T54/100),IF(X54="Inclusive",((Q54*1.1))/1.1,Q54)))))</f>
        <v>762.33090909090913</v>
      </c>
      <c r="Z54" s="535">
        <f t="shared" ref="Z54:Z55" si="44">IF(AND(W54="Pay-on-time off bill",X54="Inclusive"),((Y54*1.1)-((Y54*1.1)*U54/100))/1.1,IF(AND(W54="Pay-on-time off usage",X54="Inclusive"),((Y54*1.1)-((P54*1.1)*V54/100))/1.1,IF(AND(W54="Pay-on-time off bill",X54="Exclusive"),Y54-(Y54*U54/100),IF(AND(W54="Pay-on-time off usage",X54="Exclusive"),Y54-(P54*V54/100),IF(X54="Inclusive",((Y54*1.1))/1.1,Y54)))))</f>
        <v>762.33090909090913</v>
      </c>
      <c r="AA54" s="542">
        <f t="shared" si="32"/>
        <v>838.56400000000008</v>
      </c>
      <c r="AB54" s="542">
        <f t="shared" si="32"/>
        <v>838.56400000000008</v>
      </c>
      <c r="AC54" s="274">
        <f>'Tariffs Jul2021'!AZ48</f>
        <v>0</v>
      </c>
      <c r="AD54" s="274" t="str">
        <f>'Tariffs Jul2021'!BA48</f>
        <v>n</v>
      </c>
      <c r="AE54" s="275" t="str">
        <f>'Tariffs Jul2021'!BJ48</f>
        <v>N</v>
      </c>
      <c r="AF54" s="574"/>
      <c r="AG54" s="574"/>
      <c r="AH54" s="574"/>
      <c r="AI54" s="574"/>
      <c r="AJ54" s="574"/>
      <c r="AK54" s="574"/>
      <c r="AL54" s="574"/>
      <c r="AM54" s="574"/>
      <c r="AN54" s="574"/>
      <c r="AO54" s="574"/>
      <c r="AP54" s="574"/>
      <c r="AQ54" s="574"/>
      <c r="AR54" s="574"/>
      <c r="AS54" s="574"/>
      <c r="AT54" s="574"/>
      <c r="AU54" s="574"/>
      <c r="AV54" s="574"/>
      <c r="AW54" s="574"/>
      <c r="AX54" s="574"/>
    </row>
    <row r="55" spans="1:50" ht="15" thickBot="1" x14ac:dyDescent="0.2">
      <c r="A55" s="276" t="str">
        <f>'Tariffs Jul2021'!F49</f>
        <v>Tango Energy</v>
      </c>
      <c r="B55" s="277" t="str">
        <f>'Tariffs Jul2021'!D49</f>
        <v>AGN North</v>
      </c>
      <c r="C55" s="277" t="str">
        <f>'Tariffs Jul2021'!G49</f>
        <v>Home Select</v>
      </c>
      <c r="D55" s="278">
        <f>365*'Tariffs Jul2021'!H49/100</f>
        <v>292</v>
      </c>
      <c r="E55" s="278">
        <f>IF($C$5*'Tariffs Jul2021'!AK49/'Tariffs Jul2021'!AI49&gt;='Tariffs Jul2021'!J49,( 'Tariffs Jul2021'!J49*'Tariffs Jul2021'!O49/100)* 'Tariffs Jul2021'!AI49,($C$5*'Tariffs Jul2021'!AK49/'Tariffs Jul2021'!AI49*'Tariffs Jul2021'!O49/100)* 'Tariffs Jul2021'!AI49)</f>
        <v>87.932727272727263</v>
      </c>
      <c r="F55" s="278">
        <f>IF($C$5*'Tariffs Jul2021'!AK49/'Tariffs Jul2021'!AI49&lt;'Tariffs Jul2021'!J49,0,IF($C$5*'Tariffs Jul2021'!AK49/'Tariffs Jul2021'!AI49&lt;='Tariffs Jul2021'!K49,($C$5*'Tariffs Jul2021'!AK49/'Tariffs Jul2021'!AI49-'Tariffs Jul2021'!J49)*('Tariffs Jul2021'!P49/100)*'Tariffs Jul2021'!AI49,('Tariffs Jul2021'!K49-'Tariffs Jul2021'!J49)*('Tariffs Jul2021'!P49/100)*'Tariffs Jul2021'!AI49))</f>
        <v>63.561818181818182</v>
      </c>
      <c r="G55" s="278">
        <f>IF($C$5*'Tariffs Jul2021'!AK49/'Tariffs Jul2021'!AI49&lt;'Tariffs Jul2021'!K49,0,IF($C$5*'Tariffs Jul2021'!AK49/'Tariffs Jul2021'!AI49&lt;='Tariffs Jul2021'!L49,($C$5*'Tariffs Jul2021'!AK49/'Tariffs Jul2021'!AI49-'Tariffs Jul2021'!K49)*('Tariffs Jul2021'!Q49/100)*'Tariffs Jul2021'!AI49,('Tariffs Jul2021'!L49-'Tariffs Jul2021'!K49)*('Tariffs Jul2021'!Q49/100)*'Tariffs Jul2021'!AI49))</f>
        <v>0</v>
      </c>
      <c r="H55" s="278">
        <f>IF($C$5*'Tariffs Jul2021'!AK49/'Tariffs Jul2021'!AI49&lt;'Tariffs Jul2021'!L49,0,IF($C$5*'Tariffs Jul2021'!AK49/'Tariffs Jul2021'!AI49&lt;='Tariffs Jul2021'!M49,($C$5*'Tariffs Jul2021'!AK49/'Tariffs Jul2021'!AI49-'Tariffs Jul2021'!L49)*('Tariffs Jul2021'!R49/100)*'Tariffs Jul2021'!AI49,('Tariffs Jul2021'!M49-'Tariffs Jul2021'!L49)*('Tariffs Jul2021'!R49/100)*'Tariffs Jul2021'!AI49))</f>
        <v>0</v>
      </c>
      <c r="I55" s="278">
        <f>IF(($C$5*'Tariffs Jul2021'!AK49/'Tariffs Jul2021'!AI49&gt;'Tariffs Jul2021'!M49),($C$5*'Tariffs Jul2021'!AK49/'Tariffs Jul2021'!AI49-'Tariffs Jul2021'!M49)*'Tariffs Jul2021'!S49/100*'Tariffs Jul2021'!AI49,0)</f>
        <v>81.818181818181813</v>
      </c>
      <c r="J55" s="278">
        <f>IF($C$5*'Tariffs Jul2021'!AL49/'Tariffs Jul2021'!AJ49&gt;='Tariffs Jul2021'!J49,('Tariffs Jul2021'!J49*'Tariffs Jul2021'!U49/100)* 'Tariffs Jul2021'!AJ49,($C$5*'Tariffs Jul2021'!AL49/'Tariffs Jul2021'!AJ49*'Tariffs Jul2021'!U49/100)* 'Tariffs Jul2021'!AJ49)</f>
        <v>87.932727272727263</v>
      </c>
      <c r="K55" s="278">
        <f>IF($C$5*'Tariffs Jul2021'!AL49/'Tariffs Jul2021'!AJ49&lt;'Tariffs Jul2021'!J49,0,IF($C$5*'Tariffs Jul2021'!AL49/'Tariffs Jul2021'!AJ49&lt;='Tariffs Jul2021'!K49,($C$5*'Tariffs Jul2021'!AL49/'Tariffs Jul2021'!AJ49-'Tariffs Jul2021'!J49)*('Tariffs Jul2021'!V49/100)*'Tariffs Jul2021'!AJ49,('Tariffs Jul2021'!K49-'Tariffs Jul2021'!J49)*('Tariffs Jul2021'!V49/100)*'Tariffs Jul2021'!AJ49))</f>
        <v>63.561818181818182</v>
      </c>
      <c r="L55" s="278">
        <f>IF($C$5*'Tariffs Jul2021'!AL49/'Tariffs Jul2021'!AJ49&lt;'Tariffs Jul2021'!K49,0,IF($C$5*'Tariffs Jul2021'!AL49/'Tariffs Jul2021'!AJ49&lt;='Tariffs Jul2021'!L49,($C$5*'Tariffs Jul2021'!AL49/'Tariffs Jul2021'!AJ49-'Tariffs Jul2021'!K49)*('Tariffs Jul2021'!W49/100)*'Tariffs Jul2021'!AJ49,('Tariffs Jul2021'!L49-'Tariffs Jul2021'!K49)*('Tariffs Jul2021'!W49/100)*'Tariffs Jul2021'!AJ49))</f>
        <v>0</v>
      </c>
      <c r="M55" s="278">
        <f>IF($C$5*'Tariffs Jul2021'!AL49/'Tariffs Jul2021'!AJ49&lt;'Tariffs Jul2021'!L49,0,IF($C$5*'Tariffs Jul2021'!AL49/'Tariffs Jul2021'!AJ49&lt;='Tariffs Jul2021'!M49,($C$5*'Tariffs Jul2021'!AL49/'Tariffs Jul2021'!AJ49-'Tariffs Jul2021'!L49)*('Tariffs Jul2021'!X49/100)*'Tariffs Jul2021'!AJ49,('Tariffs Jul2021'!M49-'Tariffs Jul2021'!L49)*('Tariffs Jul2021'!X49/100)*'Tariffs Jul2021'!AJ49))</f>
        <v>0</v>
      </c>
      <c r="N55" s="278">
        <f>IF(($C$5*'Tariffs Jul2021'!AL49/'Tariffs Jul2021'!AJ49&gt;'Tariffs Jul2021'!M49),($C$5*'Tariffs Jul2021'!AL49/'Tariffs Jul2021'!AJ49-'Tariffs Jul2021'!M49)*'Tariffs Jul2021'!Y49/100*'Tariffs Jul2021'!AJ49,0)</f>
        <v>81.818181818181813</v>
      </c>
      <c r="O55" s="278">
        <f>SUM(E55:N55)</f>
        <v>466.62545454545455</v>
      </c>
      <c r="P55" s="504">
        <f t="shared" si="2"/>
        <v>513.28800000000001</v>
      </c>
      <c r="Q55" s="278">
        <f>D55+O55</f>
        <v>758.62545454545455</v>
      </c>
      <c r="R55" s="280">
        <f>Q55*1.1</f>
        <v>834.48800000000006</v>
      </c>
      <c r="S55" s="277">
        <f>'Tariffs Jul2021'!AN49</f>
        <v>0</v>
      </c>
      <c r="T55" s="277">
        <f>'Tariffs Jul2021'!AO49</f>
        <v>0</v>
      </c>
      <c r="U55" s="277">
        <f>'Tariffs Jul2021'!AP49</f>
        <v>0</v>
      </c>
      <c r="V55" s="277">
        <f>'Tariffs Jul2021'!AQ49</f>
        <v>0</v>
      </c>
      <c r="W55" s="540" t="str">
        <f t="shared" si="33"/>
        <v>No discount</v>
      </c>
      <c r="X55" s="541" t="str">
        <f t="shared" si="34"/>
        <v>Exclusive</v>
      </c>
      <c r="Y55" s="543">
        <f t="shared" si="43"/>
        <v>758.62545454545455</v>
      </c>
      <c r="Z55" s="544">
        <f t="shared" si="44"/>
        <v>758.62545454545455</v>
      </c>
      <c r="AA55" s="545">
        <f t="shared" ref="AA55:AB70" si="45">Y55*1.1</f>
        <v>834.48800000000006</v>
      </c>
      <c r="AB55" s="545">
        <f t="shared" si="45"/>
        <v>834.48800000000006</v>
      </c>
      <c r="AC55" s="282">
        <f>'Tariffs Jul2021'!AZ49</f>
        <v>0</v>
      </c>
      <c r="AD55" s="282" t="str">
        <f>'Tariffs Jul2021'!BA49</f>
        <v>n</v>
      </c>
      <c r="AE55" s="283" t="str">
        <f>'Tariffs Jul2021'!BJ49</f>
        <v>N</v>
      </c>
      <c r="AF55" s="574"/>
      <c r="AG55" s="574"/>
      <c r="AH55" s="574"/>
      <c r="AI55" s="574"/>
      <c r="AJ55" s="574"/>
      <c r="AK55" s="574"/>
      <c r="AL55" s="574"/>
      <c r="AM55" s="574"/>
      <c r="AN55" s="574"/>
      <c r="AO55" s="574"/>
      <c r="AP55" s="574"/>
      <c r="AQ55" s="574"/>
      <c r="AR55" s="574"/>
      <c r="AS55" s="574"/>
      <c r="AT55" s="574"/>
      <c r="AU55" s="574"/>
      <c r="AV55" s="574"/>
      <c r="AW55" s="574"/>
      <c r="AX55" s="574"/>
    </row>
    <row r="56" spans="1:50" ht="15" thickTop="1" x14ac:dyDescent="0.15">
      <c r="A56" s="270" t="str">
        <f>'Tariffs Jul2021'!F50</f>
        <v>AGL</v>
      </c>
      <c r="B56" s="40" t="str">
        <f>'Tariffs Jul2021'!D50</f>
        <v>AGN Central 2</v>
      </c>
      <c r="C56" s="40" t="str">
        <f>'Tariffs Jul2021'!G50</f>
        <v>Flexible Saver</v>
      </c>
      <c r="D56" s="59">
        <f>365*'Tariffs Jul2021'!H50/100</f>
        <v>257.82272727272726</v>
      </c>
      <c r="E56" s="59">
        <f>IF($C$5*'Tariffs Jul2021'!AK50/'Tariffs Jul2021'!AI50&gt;='Tariffs Jul2021'!J50,( 'Tariffs Jul2021'!J50*'Tariffs Jul2021'!O50/100)* 'Tariffs Jul2021'!AI50,($C$5*'Tariffs Jul2021'!AK50/'Tariffs Jul2021'!AI50*'Tariffs Jul2021'!O50/100)* 'Tariffs Jul2021'!AI50)</f>
        <v>126.51545454545455</v>
      </c>
      <c r="F56" s="59">
        <f>IF($C$5*'Tariffs Jul2021'!AK50/'Tariffs Jul2021'!AI50&lt;'Tariffs Jul2021'!J50,0,IF($C$5*'Tariffs Jul2021'!AK50/'Tariffs Jul2021'!AI50&lt;='Tariffs Jul2021'!K50,($C$5*'Tariffs Jul2021'!AK50/'Tariffs Jul2021'!AI50-'Tariffs Jul2021'!J50)*('Tariffs Jul2021'!P50/100)*'Tariffs Jul2021'!AI50,('Tariffs Jul2021'!K50-'Tariffs Jul2021'!J50)*('Tariffs Jul2021'!P50/100)*'Tariffs Jul2021'!AI50))</f>
        <v>94.9731818181818</v>
      </c>
      <c r="G56" s="59">
        <f>IF($C$5*'Tariffs Jul2021'!AK50/'Tariffs Jul2021'!AI50&lt;'Tariffs Jul2021'!K50,0,IF($C$5*'Tariffs Jul2021'!AK50/'Tariffs Jul2021'!AI50&lt;='Tariffs Jul2021'!L50,($C$5*'Tariffs Jul2021'!AK50/'Tariffs Jul2021'!AI50-'Tariffs Jul2021'!K50)*('Tariffs Jul2021'!Q50/100)*'Tariffs Jul2021'!AI50,('Tariffs Jul2021'!L50-'Tariffs Jul2021'!K50)*('Tariffs Jul2021'!Q50/100)*'Tariffs Jul2021'!AI50))</f>
        <v>0</v>
      </c>
      <c r="H56" s="59">
        <f>IF($C$5*'Tariffs Jul2021'!AK50/'Tariffs Jul2021'!AI50&lt;'Tariffs Jul2021'!L50,0,IF($C$5*'Tariffs Jul2021'!AK50/'Tariffs Jul2021'!AI50&lt;='Tariffs Jul2021'!M50,($C$5*'Tariffs Jul2021'!AK50/'Tariffs Jul2021'!AI50-'Tariffs Jul2021'!L50)*('Tariffs Jul2021'!R50/100)*'Tariffs Jul2021'!AI50,('Tariffs Jul2021'!M50-'Tariffs Jul2021'!L50)*('Tariffs Jul2021'!R50/100)*'Tariffs Jul2021'!AI50))</f>
        <v>0</v>
      </c>
      <c r="I56" s="59">
        <f>IF(($C$5*'Tariffs Jul2021'!AK50/'Tariffs Jul2021'!AI50&gt;'Tariffs Jul2021'!M50),($C$5*'Tariffs Jul2021'!AK50/'Tariffs Jul2021'!AI50-'Tariffs Jul2021'!M50)*'Tariffs Jul2021'!S50/100*'Tariffs Jul2021'!AI50,0)</f>
        <v>104.72727272727269</v>
      </c>
      <c r="J56" s="59">
        <f>IF($C$5*'Tariffs Jul2021'!AL50/'Tariffs Jul2021'!AJ50&gt;='Tariffs Jul2021'!J50,('Tariffs Jul2021'!J50*'Tariffs Jul2021'!U50/100)* 'Tariffs Jul2021'!AJ50,($C$5*'Tariffs Jul2021'!AL50/'Tariffs Jul2021'!AJ50*'Tariffs Jul2021'!U50/100)* 'Tariffs Jul2021'!AJ50)</f>
        <v>126.51545454545455</v>
      </c>
      <c r="K56" s="59">
        <f>IF($C$5*'Tariffs Jul2021'!AL50/'Tariffs Jul2021'!AJ50&lt;'Tariffs Jul2021'!J50,0,IF($C$5*'Tariffs Jul2021'!AL50/'Tariffs Jul2021'!AJ50&lt;='Tariffs Jul2021'!K50,($C$5*'Tariffs Jul2021'!AL50/'Tariffs Jul2021'!AJ50-'Tariffs Jul2021'!J50)*('Tariffs Jul2021'!V50/100)*'Tariffs Jul2021'!AJ50,('Tariffs Jul2021'!K50-'Tariffs Jul2021'!J50)*('Tariffs Jul2021'!V50/100)*'Tariffs Jul2021'!AJ50))</f>
        <v>94.9731818181818</v>
      </c>
      <c r="L56" s="59">
        <f>IF($C$5*'Tariffs Jul2021'!AL50/'Tariffs Jul2021'!AJ50&lt;'Tariffs Jul2021'!K50,0,IF($C$5*'Tariffs Jul2021'!AL50/'Tariffs Jul2021'!AJ50&lt;='Tariffs Jul2021'!L50,($C$5*'Tariffs Jul2021'!AL50/'Tariffs Jul2021'!AJ50-'Tariffs Jul2021'!K50)*('Tariffs Jul2021'!W50/100)*'Tariffs Jul2021'!AJ50,('Tariffs Jul2021'!L50-'Tariffs Jul2021'!K50)*('Tariffs Jul2021'!W50/100)*'Tariffs Jul2021'!AJ50))</f>
        <v>0</v>
      </c>
      <c r="M56" s="59">
        <f>IF($C$5*'Tariffs Jul2021'!AL50/'Tariffs Jul2021'!AJ50&lt;'Tariffs Jul2021'!L50,0,IF($C$5*'Tariffs Jul2021'!AL50/'Tariffs Jul2021'!AJ50&lt;='Tariffs Jul2021'!M50,($C$5*'Tariffs Jul2021'!AL50/'Tariffs Jul2021'!AJ50-'Tariffs Jul2021'!L50)*('Tariffs Jul2021'!X50/100)*'Tariffs Jul2021'!AJ50,('Tariffs Jul2021'!M50-'Tariffs Jul2021'!L50)*('Tariffs Jul2021'!X50/100)*'Tariffs Jul2021'!AJ50))</f>
        <v>0</v>
      </c>
      <c r="N56" s="59">
        <f>IF(($C$5*'Tariffs Jul2021'!AL50/'Tariffs Jul2021'!AJ50&gt;'Tariffs Jul2021'!M50),($C$5*'Tariffs Jul2021'!AL50/'Tariffs Jul2021'!AJ50-'Tariffs Jul2021'!M50)*'Tariffs Jul2021'!Y50/100*'Tariffs Jul2021'!AJ50,0)</f>
        <v>104.72727272727269</v>
      </c>
      <c r="O56" s="59">
        <f t="shared" si="1"/>
        <v>652.43181818181802</v>
      </c>
      <c r="P56" s="503">
        <f t="shared" si="2"/>
        <v>717.67499999999984</v>
      </c>
      <c r="Q56" s="59">
        <f t="shared" si="3"/>
        <v>910.25454545454522</v>
      </c>
      <c r="R56" s="272">
        <f t="shared" si="4"/>
        <v>1001.2799999999999</v>
      </c>
      <c r="S56" s="40">
        <f>'Tariffs Jul2021'!AN50</f>
        <v>0</v>
      </c>
      <c r="T56" s="40">
        <f>'Tariffs Jul2021'!AO50</f>
        <v>0</v>
      </c>
      <c r="U56" s="40">
        <f>'Tariffs Jul2021'!AP50</f>
        <v>0</v>
      </c>
      <c r="V56" s="40">
        <f>'Tariffs Jul2021'!AQ50</f>
        <v>0</v>
      </c>
      <c r="W56" s="539" t="str">
        <f>IF(SUM(S56:V56)=0,"No discount",IF(S56&gt;0,"Guaranteed off bill",IF(T56&gt;0,"Guaranteed off usage",IF(U56&gt;0,"Pay-on-time off bill","Pay-on-time off usage"))))</f>
        <v>No discount</v>
      </c>
      <c r="X56" s="538" t="str">
        <f>IF(OR(A56="Origin Energy",A56="Red Energy",A56="Powershop"),"Inclusive","Exclusive")</f>
        <v>Exclusive</v>
      </c>
      <c r="Y56" s="534">
        <f>IF(AND(W56="Guaranteed off bill",X56="Inclusive"),((Q56*1.1)-((Q56*1.1)*S56/100))/1.1,IF(AND(W56="Guaranteed off usage",X56="Inclusive"),((Q56*1.1)-((P56*1.1)*T56/100))/1.1,IF(AND(W56="Guaranteed off bill",X56="Exclusive"),Q56-(Q56*S56/100),IF(AND(W56="Guaranteed off usage",X56="Exclusive"),Q56-(P56*T56/100),IF(X56="Inclusive",((Q56*1.1))/1.1,Q56)))))</f>
        <v>910.25454545454522</v>
      </c>
      <c r="Z56" s="535">
        <f>IF(AND(W56="Pay-on-time off bill",X56="Inclusive"),((Y56*1.1)-((Y56*1.1)*U56/100))/1.1,IF(AND(W56="Pay-on-time off usage",X56="Inclusive"),((Y56*1.1)-((P56*1.1)*V56/100))/1.1,IF(AND(W56="Pay-on-time off bill",X56="Exclusive"),Y56-(Y56*U56/100),IF(AND(W56="Pay-on-time off usage",X56="Exclusive"),Y56-(P56*V56/100),IF(X56="Inclusive",((Y56*1.1))/1.1,Y56)))))</f>
        <v>910.25454545454522</v>
      </c>
      <c r="AA56" s="542">
        <f t="shared" si="45"/>
        <v>1001.2799999999999</v>
      </c>
      <c r="AB56" s="542">
        <f t="shared" si="45"/>
        <v>1001.2799999999999</v>
      </c>
      <c r="AC56" s="274">
        <f>'Tariffs Jul2021'!AZ50</f>
        <v>0</v>
      </c>
      <c r="AD56" s="274" t="str">
        <f>'Tariffs Jul2021'!BA50</f>
        <v>n</v>
      </c>
      <c r="AE56" s="275" t="str">
        <f>'Tariffs Jul2021'!BJ50</f>
        <v>N</v>
      </c>
      <c r="AF56" s="574"/>
      <c r="AG56" s="574"/>
      <c r="AH56" s="574"/>
      <c r="AI56" s="574"/>
      <c r="AJ56" s="574"/>
      <c r="AK56" s="574"/>
      <c r="AL56" s="574"/>
      <c r="AM56" s="574"/>
      <c r="AN56" s="574"/>
      <c r="AO56" s="574"/>
      <c r="AP56" s="574"/>
      <c r="AQ56" s="574"/>
      <c r="AR56" s="574"/>
      <c r="AS56" s="574"/>
      <c r="AT56" s="574"/>
      <c r="AU56" s="574"/>
      <c r="AV56" s="574"/>
      <c r="AW56" s="574"/>
      <c r="AX56" s="574"/>
    </row>
    <row r="57" spans="1:50" ht="14" x14ac:dyDescent="0.15">
      <c r="A57" s="270" t="str">
        <f>'Tariffs Jul2021'!F51</f>
        <v>Alinta Energy</v>
      </c>
      <c r="B57" s="40" t="str">
        <f>'Tariffs Jul2021'!D51</f>
        <v>AGN Central 2</v>
      </c>
      <c r="C57" s="40" t="str">
        <f>'Tariffs Jul2021'!G51</f>
        <v>Home Deal</v>
      </c>
      <c r="D57" s="59">
        <f>365*'Tariffs Jul2021'!H51/100</f>
        <v>175.89681818181816</v>
      </c>
      <c r="E57" s="59">
        <f>IF($C$5*'Tariffs Jul2021'!AK51/'Tariffs Jul2021'!AI51&gt;='Tariffs Jul2021'!J51,( 'Tariffs Jul2021'!J51*'Tariffs Jul2021'!O51/100)* 'Tariffs Jul2021'!AI51,($C$5*'Tariffs Jul2021'!AK51/'Tariffs Jul2021'!AI51*'Tariffs Jul2021'!O51/100)* 'Tariffs Jul2021'!AI51)</f>
        <v>116.19681818181817</v>
      </c>
      <c r="F57" s="59">
        <f>IF($C$5*'Tariffs Jul2021'!AK51/'Tariffs Jul2021'!AI51&lt;'Tariffs Jul2021'!J51,0,IF($C$5*'Tariffs Jul2021'!AK51/'Tariffs Jul2021'!AI51&lt;='Tariffs Jul2021'!K51,($C$5*'Tariffs Jul2021'!AK51/'Tariffs Jul2021'!AI51-'Tariffs Jul2021'!J51)*('Tariffs Jul2021'!P51/100)*'Tariffs Jul2021'!AI51,('Tariffs Jul2021'!K51-'Tariffs Jul2021'!J51)*('Tariffs Jul2021'!P51/100)*'Tariffs Jul2021'!AI51))</f>
        <v>80.930454545454538</v>
      </c>
      <c r="G57" s="59">
        <f>IF($C$5*'Tariffs Jul2021'!AK51/'Tariffs Jul2021'!AI51&lt;'Tariffs Jul2021'!K51,0,IF($C$5*'Tariffs Jul2021'!AK51/'Tariffs Jul2021'!AI51&lt;='Tariffs Jul2021'!L51,($C$5*'Tariffs Jul2021'!AK51/'Tariffs Jul2021'!AI51-'Tariffs Jul2021'!K51)*('Tariffs Jul2021'!Q51/100)*'Tariffs Jul2021'!AI51,('Tariffs Jul2021'!L51-'Tariffs Jul2021'!K51)*('Tariffs Jul2021'!Q51/100)*'Tariffs Jul2021'!AI51))</f>
        <v>0</v>
      </c>
      <c r="H57" s="59">
        <f>IF($C$5*'Tariffs Jul2021'!AK51/'Tariffs Jul2021'!AI51&lt;'Tariffs Jul2021'!L51,0,IF($C$5*'Tariffs Jul2021'!AK51/'Tariffs Jul2021'!AI51&lt;='Tariffs Jul2021'!M51,($C$5*'Tariffs Jul2021'!AK51/'Tariffs Jul2021'!AI51-'Tariffs Jul2021'!L51)*('Tariffs Jul2021'!R51/100)*'Tariffs Jul2021'!AI51,('Tariffs Jul2021'!M51-'Tariffs Jul2021'!L51)*('Tariffs Jul2021'!R51/100)*'Tariffs Jul2021'!AI51))</f>
        <v>0</v>
      </c>
      <c r="I57" s="59">
        <f>IF(($C$5*'Tariffs Jul2021'!AK51/'Tariffs Jul2021'!AI51&gt;'Tariffs Jul2021'!M51),($C$5*'Tariffs Jul2021'!AK51/'Tariffs Jul2021'!AI51-'Tariffs Jul2021'!M51)*'Tariffs Jul2021'!S51/100*'Tariffs Jul2021'!AI51,0)</f>
        <v>91.636363636363626</v>
      </c>
      <c r="J57" s="59">
        <f>IF($C$5*'Tariffs Jul2021'!AL51/'Tariffs Jul2021'!AJ51&gt;='Tariffs Jul2021'!J51,('Tariffs Jul2021'!J51*'Tariffs Jul2021'!U51/100)* 'Tariffs Jul2021'!AJ51,($C$5*'Tariffs Jul2021'!AL51/'Tariffs Jul2021'!AJ51*'Tariffs Jul2021'!U51/100)* 'Tariffs Jul2021'!AJ51)</f>
        <v>116.19681818181817</v>
      </c>
      <c r="K57" s="59">
        <f>IF($C$5*'Tariffs Jul2021'!AL51/'Tariffs Jul2021'!AJ51&lt;'Tariffs Jul2021'!J51,0,IF($C$5*'Tariffs Jul2021'!AL51/'Tariffs Jul2021'!AJ51&lt;='Tariffs Jul2021'!K51,($C$5*'Tariffs Jul2021'!AL51/'Tariffs Jul2021'!AJ51-'Tariffs Jul2021'!J51)*('Tariffs Jul2021'!V51/100)*'Tariffs Jul2021'!AJ51,('Tariffs Jul2021'!K51-'Tariffs Jul2021'!J51)*('Tariffs Jul2021'!V51/100)*'Tariffs Jul2021'!AJ51))</f>
        <v>80.930454545454538</v>
      </c>
      <c r="L57" s="59">
        <f>IF($C$5*'Tariffs Jul2021'!AL51/'Tariffs Jul2021'!AJ51&lt;'Tariffs Jul2021'!K51,0,IF($C$5*'Tariffs Jul2021'!AL51/'Tariffs Jul2021'!AJ51&lt;='Tariffs Jul2021'!L51,($C$5*'Tariffs Jul2021'!AL51/'Tariffs Jul2021'!AJ51-'Tariffs Jul2021'!K51)*('Tariffs Jul2021'!W51/100)*'Tariffs Jul2021'!AJ51,('Tariffs Jul2021'!L51-'Tariffs Jul2021'!K51)*('Tariffs Jul2021'!W51/100)*'Tariffs Jul2021'!AJ51))</f>
        <v>0</v>
      </c>
      <c r="M57" s="59">
        <f>IF($C$5*'Tariffs Jul2021'!AL51/'Tariffs Jul2021'!AJ51&lt;'Tariffs Jul2021'!L51,0,IF($C$5*'Tariffs Jul2021'!AL51/'Tariffs Jul2021'!AJ51&lt;='Tariffs Jul2021'!M51,($C$5*'Tariffs Jul2021'!AL51/'Tariffs Jul2021'!AJ51-'Tariffs Jul2021'!L51)*('Tariffs Jul2021'!X51/100)*'Tariffs Jul2021'!AJ51,('Tariffs Jul2021'!M51-'Tariffs Jul2021'!L51)*('Tariffs Jul2021'!X51/100)*'Tariffs Jul2021'!AJ51))</f>
        <v>0</v>
      </c>
      <c r="N57" s="59">
        <f>IF(($C$5*'Tariffs Jul2021'!AL51/'Tariffs Jul2021'!AJ51&gt;'Tariffs Jul2021'!M51),($C$5*'Tariffs Jul2021'!AL51/'Tariffs Jul2021'!AJ51-'Tariffs Jul2021'!M51)*'Tariffs Jul2021'!Y51/100*'Tariffs Jul2021'!AJ51,0)</f>
        <v>91.636363636363626</v>
      </c>
      <c r="O57" s="59">
        <f t="shared" si="1"/>
        <v>577.5272727272727</v>
      </c>
      <c r="P57" s="503">
        <f t="shared" si="2"/>
        <v>635.28</v>
      </c>
      <c r="Q57" s="59">
        <f t="shared" si="3"/>
        <v>753.42409090909086</v>
      </c>
      <c r="R57" s="272">
        <f t="shared" si="4"/>
        <v>828.76650000000006</v>
      </c>
      <c r="S57" s="40">
        <f>'Tariffs Jul2021'!AN51</f>
        <v>0</v>
      </c>
      <c r="T57" s="40">
        <f>'Tariffs Jul2021'!AO51</f>
        <v>0</v>
      </c>
      <c r="U57" s="40">
        <f>'Tariffs Jul2021'!AP51</f>
        <v>0</v>
      </c>
      <c r="V57" s="40">
        <f>'Tariffs Jul2021'!AQ51</f>
        <v>0</v>
      </c>
      <c r="W57" s="537" t="str">
        <f t="shared" ref="W57:W71" si="46">IF(SUM(S57:V57)=0,"No discount",IF(S57&gt;0,"Guaranteed off bill",IF(T57&gt;0,"Guaranteed off usage",IF(U57&gt;0,"Pay-on-time off bill","Pay-on-time off usage"))))</f>
        <v>No discount</v>
      </c>
      <c r="X57" s="538" t="str">
        <f t="shared" ref="X57:X71" si="47">IF(OR(A57="Origin Energy",A57="Red Energy",A57="Powershop"),"Inclusive","Exclusive")</f>
        <v>Exclusive</v>
      </c>
      <c r="Y57" s="534">
        <f>IF(AND(W57="Guaranteed off bill",X57="Inclusive"),((Q57*1.1)-((Q57*1.1)*S57/100))/1.1,IF(AND(W57="Guaranteed off usage",X57="Inclusive"),((Q57*1.1)-((P57*1.1)*T57/100))/1.1,IF(AND(W57="Guaranteed off bill",X57="Exclusive"),Q57-(Q57*S57/100),IF(AND(W57="Guaranteed off usage",X57="Exclusive"),Q57-(P57*T57/100),IF(X57="Inclusive",((Q57*1.1))/1.1,Q57)))))</f>
        <v>753.42409090909086</v>
      </c>
      <c r="Z57" s="535">
        <f>IF(AND(W57="Pay-on-time off bill",X57="Inclusive"),((Y57*1.1)-((Y57*1.1)*U57/100))/1.1,IF(AND(W57="Pay-on-time off usage",X57="Inclusive"),((Y57*1.1)-((P57*1.1)*V57/100))/1.1,IF(AND(W57="Pay-on-time off bill",X57="Exclusive"),Y57-(Y57*U57/100),IF(AND(W57="Pay-on-time off usage",X57="Exclusive"),Y57-(P57*V57/100),IF(X57="Inclusive",((Y57*1.1))/1.1,Y57)))))</f>
        <v>753.42409090909086</v>
      </c>
      <c r="AA57" s="542">
        <f t="shared" si="45"/>
        <v>828.76650000000006</v>
      </c>
      <c r="AB57" s="542">
        <f t="shared" si="45"/>
        <v>828.76650000000006</v>
      </c>
      <c r="AC57" s="274">
        <f>'Tariffs Jul2021'!AZ51</f>
        <v>0</v>
      </c>
      <c r="AD57" s="274" t="str">
        <f>'Tariffs Jul2021'!BA51</f>
        <v>n</v>
      </c>
      <c r="AE57" s="275" t="str">
        <f>'Tariffs Jul2021'!BJ51</f>
        <v>N</v>
      </c>
      <c r="AF57" s="574"/>
      <c r="AG57" s="574"/>
      <c r="AH57" s="574"/>
      <c r="AI57" s="574"/>
      <c r="AJ57" s="574"/>
      <c r="AK57" s="574"/>
      <c r="AL57" s="574"/>
      <c r="AM57" s="574"/>
      <c r="AN57" s="574"/>
      <c r="AO57" s="574"/>
      <c r="AP57" s="574"/>
      <c r="AQ57" s="574"/>
      <c r="AR57" s="574"/>
      <c r="AS57" s="574"/>
      <c r="AT57" s="574"/>
      <c r="AU57" s="574"/>
      <c r="AV57" s="574"/>
      <c r="AW57" s="574"/>
      <c r="AX57" s="574"/>
    </row>
    <row r="58" spans="1:50" ht="14" x14ac:dyDescent="0.15">
      <c r="A58" s="270" t="str">
        <f>'Tariffs Jul2021'!F52</f>
        <v>Covau</v>
      </c>
      <c r="B58" s="40" t="str">
        <f>'Tariffs Jul2021'!D52</f>
        <v>AGN Central 2</v>
      </c>
      <c r="C58" s="40" t="str">
        <f>'Tariffs Jul2021'!G52</f>
        <v>Super Saver Plus</v>
      </c>
      <c r="D58" s="59">
        <f>365*'Tariffs Jul2021'!H52/100</f>
        <v>273.75</v>
      </c>
      <c r="E58" s="59">
        <f>IF($C$5*'Tariffs Jul2021'!AK52/'Tariffs Jul2021'!AI52&gt;='Tariffs Jul2021'!J52,( 'Tariffs Jul2021'!J52*'Tariffs Jul2021'!O52/100)* 'Tariffs Jul2021'!AI52,($C$5*'Tariffs Jul2021'!AK52/'Tariffs Jul2021'!AI52*'Tariffs Jul2021'!O52/100)* 'Tariffs Jul2021'!AI52)</f>
        <v>139.07727272727271</v>
      </c>
      <c r="F58" s="59">
        <f>IF($C$5*'Tariffs Jul2021'!AK52/'Tariffs Jul2021'!AI52&lt;'Tariffs Jul2021'!J52,0,IF($C$5*'Tariffs Jul2021'!AK52/'Tariffs Jul2021'!AI52&lt;='Tariffs Jul2021'!K52,($C$5*'Tariffs Jul2021'!AK52/'Tariffs Jul2021'!AI52-'Tariffs Jul2021'!J52)*('Tariffs Jul2021'!P52/100)*'Tariffs Jul2021'!AI52,('Tariffs Jul2021'!K52-'Tariffs Jul2021'!J52)*('Tariffs Jul2021'!P52/100)*'Tariffs Jul2021'!AI52))</f>
        <v>100.51636363636362</v>
      </c>
      <c r="G58" s="59">
        <f>IF($C$5*'Tariffs Jul2021'!AK52/'Tariffs Jul2021'!AI52&lt;'Tariffs Jul2021'!K52,0,IF($C$5*'Tariffs Jul2021'!AK52/'Tariffs Jul2021'!AI52&lt;='Tariffs Jul2021'!L52,($C$5*'Tariffs Jul2021'!AK52/'Tariffs Jul2021'!AI52-'Tariffs Jul2021'!K52)*('Tariffs Jul2021'!Q52/100)*'Tariffs Jul2021'!AI52,('Tariffs Jul2021'!L52-'Tariffs Jul2021'!K52)*('Tariffs Jul2021'!Q52/100)*'Tariffs Jul2021'!AI52))</f>
        <v>0</v>
      </c>
      <c r="H58" s="59">
        <f>IF($C$5*'Tariffs Jul2021'!AK52/'Tariffs Jul2021'!AI52&lt;'Tariffs Jul2021'!L52,0,IF($C$5*'Tariffs Jul2021'!AK52/'Tariffs Jul2021'!AI52&lt;='Tariffs Jul2021'!M52,($C$5*'Tariffs Jul2021'!AK52/'Tariffs Jul2021'!AI52-'Tariffs Jul2021'!L52)*('Tariffs Jul2021'!R52/100)*'Tariffs Jul2021'!AI52,('Tariffs Jul2021'!M52-'Tariffs Jul2021'!L52)*('Tariffs Jul2021'!R52/100)*'Tariffs Jul2021'!AI52))</f>
        <v>0</v>
      </c>
      <c r="I58" s="59">
        <f>IF(($C$5*'Tariffs Jul2021'!AK52/'Tariffs Jul2021'!AI52&gt;'Tariffs Jul2021'!M52),($C$5*'Tariffs Jul2021'!AK52/'Tariffs Jul2021'!AI52-'Tariffs Jul2021'!M52)*'Tariffs Jul2021'!S52/100*'Tariffs Jul2021'!AI52,0)</f>
        <v>119.45454545454544</v>
      </c>
      <c r="J58" s="59">
        <f>IF($C$5*'Tariffs Jul2021'!AL52/'Tariffs Jul2021'!AJ52&gt;='Tariffs Jul2021'!J52,('Tariffs Jul2021'!J52*'Tariffs Jul2021'!U52/100)* 'Tariffs Jul2021'!AJ52,($C$5*'Tariffs Jul2021'!AL52/'Tariffs Jul2021'!AJ52*'Tariffs Jul2021'!U52/100)* 'Tariffs Jul2021'!AJ52)</f>
        <v>139.07727272727271</v>
      </c>
      <c r="K58" s="59">
        <f>IF($C$5*'Tariffs Jul2021'!AL52/'Tariffs Jul2021'!AJ52&lt;'Tariffs Jul2021'!J52,0,IF($C$5*'Tariffs Jul2021'!AL52/'Tariffs Jul2021'!AJ52&lt;='Tariffs Jul2021'!K52,($C$5*'Tariffs Jul2021'!AL52/'Tariffs Jul2021'!AJ52-'Tariffs Jul2021'!J52)*('Tariffs Jul2021'!V52/100)*'Tariffs Jul2021'!AJ52,('Tariffs Jul2021'!K52-'Tariffs Jul2021'!J52)*('Tariffs Jul2021'!V52/100)*'Tariffs Jul2021'!AJ52))</f>
        <v>100.51636363636362</v>
      </c>
      <c r="L58" s="59">
        <f>IF($C$5*'Tariffs Jul2021'!AL52/'Tariffs Jul2021'!AJ52&lt;'Tariffs Jul2021'!K52,0,IF($C$5*'Tariffs Jul2021'!AL52/'Tariffs Jul2021'!AJ52&lt;='Tariffs Jul2021'!L52,($C$5*'Tariffs Jul2021'!AL52/'Tariffs Jul2021'!AJ52-'Tariffs Jul2021'!K52)*('Tariffs Jul2021'!W52/100)*'Tariffs Jul2021'!AJ52,('Tariffs Jul2021'!L52-'Tariffs Jul2021'!K52)*('Tariffs Jul2021'!W52/100)*'Tariffs Jul2021'!AJ52))</f>
        <v>0</v>
      </c>
      <c r="M58" s="59">
        <f>IF($C$5*'Tariffs Jul2021'!AL52/'Tariffs Jul2021'!AJ52&lt;'Tariffs Jul2021'!L52,0,IF($C$5*'Tariffs Jul2021'!AL52/'Tariffs Jul2021'!AJ52&lt;='Tariffs Jul2021'!M52,($C$5*'Tariffs Jul2021'!AL52/'Tariffs Jul2021'!AJ52-'Tariffs Jul2021'!L52)*('Tariffs Jul2021'!X52/100)*'Tariffs Jul2021'!AJ52,('Tariffs Jul2021'!M52-'Tariffs Jul2021'!L52)*('Tariffs Jul2021'!X52/100)*'Tariffs Jul2021'!AJ52))</f>
        <v>0</v>
      </c>
      <c r="N58" s="59">
        <f>IF(($C$5*'Tariffs Jul2021'!AL52/'Tariffs Jul2021'!AJ52&gt;'Tariffs Jul2021'!M52),($C$5*'Tariffs Jul2021'!AL52/'Tariffs Jul2021'!AJ52-'Tariffs Jul2021'!M52)*'Tariffs Jul2021'!Y52/100*'Tariffs Jul2021'!AJ52,0)</f>
        <v>119.45454545454544</v>
      </c>
      <c r="O58" s="59">
        <f t="shared" si="1"/>
        <v>718.09636363636355</v>
      </c>
      <c r="P58" s="503">
        <f t="shared" si="2"/>
        <v>789.90599999999995</v>
      </c>
      <c r="Q58" s="59">
        <f t="shared" si="3"/>
        <v>991.84636363636355</v>
      </c>
      <c r="R58" s="272">
        <f t="shared" si="4"/>
        <v>1091.0309999999999</v>
      </c>
      <c r="S58" s="40">
        <f>'Tariffs Jul2021'!AN52</f>
        <v>0</v>
      </c>
      <c r="T58" s="40">
        <f>'Tariffs Jul2021'!AO52</f>
        <v>20</v>
      </c>
      <c r="U58" s="40">
        <f>'Tariffs Jul2021'!AP52</f>
        <v>0</v>
      </c>
      <c r="V58" s="40">
        <f>'Tariffs Jul2021'!AQ52</f>
        <v>0</v>
      </c>
      <c r="W58" s="537" t="str">
        <f t="shared" si="46"/>
        <v>Guaranteed off usage</v>
      </c>
      <c r="X58" s="538" t="str">
        <f t="shared" si="47"/>
        <v>Exclusive</v>
      </c>
      <c r="Y58" s="534">
        <f t="shared" ref="Y58" si="48">IF(AND(W58="Guaranteed off bill",X58="Inclusive"),((Q58*1.1)-((Q58*1.1)*S58/100))/1.1,IF(AND(W58="Guaranteed off usage",X58="Inclusive"),((Q58*1.1)-((P58*1.1)*T58/100))/1.1,IF(AND(W58="Guaranteed off bill",X58="Exclusive"),Q58-(Q58*S58/100),IF(AND(W58="Guaranteed off usage",X58="Exclusive"),Q58-(P58*T58/100),IF(X58="Inclusive",((Q58*1.1))/1.1,Q58)))))</f>
        <v>833.8651636363636</v>
      </c>
      <c r="Z58" s="535">
        <f t="shared" ref="Z58" si="49">IF(AND(W58="Pay-on-time off bill",X58="Inclusive"),((Y58*1.1)-((Y58*1.1)*U58/100))/1.1,IF(AND(W58="Pay-on-time off usage",X58="Inclusive"),((Y58*1.1)-((P58*1.1)*V58/100))/1.1,IF(AND(W58="Pay-on-time off bill",X58="Exclusive"),Y58-(Y58*U58/100),IF(AND(W58="Pay-on-time off usage",X58="Exclusive"),Y58-(P58*V58/100),IF(X58="Inclusive",((Y58*1.1))/1.1,Y58)))))</f>
        <v>833.8651636363636</v>
      </c>
      <c r="AA58" s="542">
        <f t="shared" si="45"/>
        <v>917.25168000000008</v>
      </c>
      <c r="AB58" s="542">
        <f t="shared" si="45"/>
        <v>917.25168000000008</v>
      </c>
      <c r="AC58" s="274">
        <f>'Tariffs Jul2021'!AZ52</f>
        <v>0</v>
      </c>
      <c r="AD58" s="274" t="str">
        <f>'Tariffs Jul2021'!BA52</f>
        <v>n</v>
      </c>
      <c r="AE58" s="275" t="str">
        <f>'Tariffs Jul2021'!BJ52</f>
        <v>N</v>
      </c>
      <c r="AF58" s="574"/>
      <c r="AG58" s="574"/>
      <c r="AH58" s="574"/>
      <c r="AI58" s="574"/>
      <c r="AJ58" s="574"/>
      <c r="AK58" s="574"/>
      <c r="AL58" s="574"/>
      <c r="AM58" s="574"/>
      <c r="AN58" s="574"/>
      <c r="AO58" s="574"/>
      <c r="AP58" s="574"/>
      <c r="AQ58" s="574"/>
      <c r="AR58" s="574"/>
      <c r="AS58" s="574"/>
      <c r="AT58" s="574"/>
      <c r="AU58" s="574"/>
      <c r="AV58" s="574"/>
      <c r="AW58" s="574"/>
      <c r="AX58" s="574"/>
    </row>
    <row r="59" spans="1:50" ht="14" x14ac:dyDescent="0.15">
      <c r="A59" s="270" t="str">
        <f>'Tariffs Jul2021'!F53</f>
        <v>Dodo Power &amp; Gas</v>
      </c>
      <c r="B59" s="40" t="str">
        <f>'Tariffs Jul2021'!D53</f>
        <v>AGN Central 2</v>
      </c>
      <c r="C59" s="40" t="str">
        <f>'Tariffs Jul2021'!G53</f>
        <v>Market offer</v>
      </c>
      <c r="D59" s="59">
        <f>365*'Tariffs Jul2021'!H53/100</f>
        <v>180.31</v>
      </c>
      <c r="E59" s="59">
        <f>IF($C$5*'Tariffs Jul2021'!AK53/'Tariffs Jul2021'!AI53&gt;='Tariffs Jul2021'!J53,( 'Tariffs Jul2021'!J53*'Tariffs Jul2021'!O53/100)* 'Tariffs Jul2021'!AI53,($C$5*'Tariffs Jul2021'!AK53/'Tariffs Jul2021'!AI53*'Tariffs Jul2021'!O53/100)* 'Tariffs Jul2021'!AI53)</f>
        <v>126.51545454545455</v>
      </c>
      <c r="F59" s="59">
        <f>IF($C$5*'Tariffs Jul2021'!AK53/'Tariffs Jul2021'!AI53&lt;'Tariffs Jul2021'!J53,0,IF($C$5*'Tariffs Jul2021'!AK53/'Tariffs Jul2021'!AI53&lt;='Tariffs Jul2021'!K53,($C$5*'Tariffs Jul2021'!AK53/'Tariffs Jul2021'!AI53-'Tariffs Jul2021'!J53)*('Tariffs Jul2021'!P53/100)*'Tariffs Jul2021'!AI53,('Tariffs Jul2021'!K53-'Tariffs Jul2021'!J53)*('Tariffs Jul2021'!P53/100)*'Tariffs Jul2021'!AI53))</f>
        <v>82.778181818181821</v>
      </c>
      <c r="G59" s="59">
        <f>IF($C$5*'Tariffs Jul2021'!AK53/'Tariffs Jul2021'!AI53&lt;'Tariffs Jul2021'!K53,0,IF($C$5*'Tariffs Jul2021'!AK53/'Tariffs Jul2021'!AI53&lt;='Tariffs Jul2021'!L53,($C$5*'Tariffs Jul2021'!AK53/'Tariffs Jul2021'!AI53-'Tariffs Jul2021'!K53)*('Tariffs Jul2021'!Q53/100)*'Tariffs Jul2021'!AI53,('Tariffs Jul2021'!L53-'Tariffs Jul2021'!K53)*('Tariffs Jul2021'!Q53/100)*'Tariffs Jul2021'!AI53))</f>
        <v>0</v>
      </c>
      <c r="H59" s="59">
        <f>IF($C$5*'Tariffs Jul2021'!AK53/'Tariffs Jul2021'!AI53&lt;'Tariffs Jul2021'!L53,0,IF($C$5*'Tariffs Jul2021'!AK53/'Tariffs Jul2021'!AI53&lt;='Tariffs Jul2021'!M53,($C$5*'Tariffs Jul2021'!AK53/'Tariffs Jul2021'!AI53-'Tariffs Jul2021'!L53)*('Tariffs Jul2021'!R53/100)*'Tariffs Jul2021'!AI53,('Tariffs Jul2021'!M53-'Tariffs Jul2021'!L53)*('Tariffs Jul2021'!R53/100)*'Tariffs Jul2021'!AI53))</f>
        <v>0</v>
      </c>
      <c r="I59" s="59">
        <f>IF(($C$5*'Tariffs Jul2021'!AK53/'Tariffs Jul2021'!AI53&gt;'Tariffs Jul2021'!M53),($C$5*'Tariffs Jul2021'!AK53/'Tariffs Jul2021'!AI53-'Tariffs Jul2021'!M53)*'Tariffs Jul2021'!S53/100*'Tariffs Jul2021'!AI53,0)</f>
        <v>102</v>
      </c>
      <c r="J59" s="59">
        <f>IF($C$5*'Tariffs Jul2021'!AL53/'Tariffs Jul2021'!AJ53&gt;='Tariffs Jul2021'!J53,('Tariffs Jul2021'!J53*'Tariffs Jul2021'!U53/100)* 'Tariffs Jul2021'!AJ53,($C$5*'Tariffs Jul2021'!AL53/'Tariffs Jul2021'!AJ53*'Tariffs Jul2021'!U53/100)* 'Tariffs Jul2021'!AJ53)</f>
        <v>126.51545454545455</v>
      </c>
      <c r="K59" s="59">
        <f>IF($C$5*'Tariffs Jul2021'!AL53/'Tariffs Jul2021'!AJ53&lt;'Tariffs Jul2021'!J53,0,IF($C$5*'Tariffs Jul2021'!AL53/'Tariffs Jul2021'!AJ53&lt;='Tariffs Jul2021'!K53,($C$5*'Tariffs Jul2021'!AL53/'Tariffs Jul2021'!AJ53-'Tariffs Jul2021'!J53)*('Tariffs Jul2021'!V53/100)*'Tariffs Jul2021'!AJ53,('Tariffs Jul2021'!K53-'Tariffs Jul2021'!J53)*('Tariffs Jul2021'!V53/100)*'Tariffs Jul2021'!AJ53))</f>
        <v>82.778181818181821</v>
      </c>
      <c r="L59" s="59">
        <f>IF($C$5*'Tariffs Jul2021'!AL53/'Tariffs Jul2021'!AJ53&lt;'Tariffs Jul2021'!K53,0,IF($C$5*'Tariffs Jul2021'!AL53/'Tariffs Jul2021'!AJ53&lt;='Tariffs Jul2021'!L53,($C$5*'Tariffs Jul2021'!AL53/'Tariffs Jul2021'!AJ53-'Tariffs Jul2021'!K53)*('Tariffs Jul2021'!W53/100)*'Tariffs Jul2021'!AJ53,('Tariffs Jul2021'!L53-'Tariffs Jul2021'!K53)*('Tariffs Jul2021'!W53/100)*'Tariffs Jul2021'!AJ53))</f>
        <v>0</v>
      </c>
      <c r="M59" s="59">
        <f>IF($C$5*'Tariffs Jul2021'!AL53/'Tariffs Jul2021'!AJ53&lt;'Tariffs Jul2021'!L53,0,IF($C$5*'Tariffs Jul2021'!AL53/'Tariffs Jul2021'!AJ53&lt;='Tariffs Jul2021'!M53,($C$5*'Tariffs Jul2021'!AL53/'Tariffs Jul2021'!AJ53-'Tariffs Jul2021'!L53)*('Tariffs Jul2021'!X53/100)*'Tariffs Jul2021'!AJ53,('Tariffs Jul2021'!M53-'Tariffs Jul2021'!L53)*('Tariffs Jul2021'!X53/100)*'Tariffs Jul2021'!AJ53))</f>
        <v>0</v>
      </c>
      <c r="N59" s="59">
        <f>IF(($C$5*'Tariffs Jul2021'!AL53/'Tariffs Jul2021'!AJ53&gt;'Tariffs Jul2021'!M53),($C$5*'Tariffs Jul2021'!AL53/'Tariffs Jul2021'!AJ53-'Tariffs Jul2021'!M53)*'Tariffs Jul2021'!Y53/100*'Tariffs Jul2021'!AJ53,0)</f>
        <v>102</v>
      </c>
      <c r="O59" s="59">
        <f t="shared" si="1"/>
        <v>622.58727272727276</v>
      </c>
      <c r="P59" s="503">
        <f t="shared" si="2"/>
        <v>684.84600000000012</v>
      </c>
      <c r="Q59" s="59">
        <f t="shared" si="3"/>
        <v>802.89727272727282</v>
      </c>
      <c r="R59" s="272">
        <f t="shared" si="4"/>
        <v>883.18700000000013</v>
      </c>
      <c r="S59" s="40">
        <f>'Tariffs Jul2021'!AN53</f>
        <v>0</v>
      </c>
      <c r="T59" s="40">
        <f>'Tariffs Jul2021'!AO53</f>
        <v>0</v>
      </c>
      <c r="U59" s="40">
        <f>'Tariffs Jul2021'!AP53</f>
        <v>0</v>
      </c>
      <c r="V59" s="40">
        <f>'Tariffs Jul2021'!AQ53</f>
        <v>0</v>
      </c>
      <c r="W59" s="537" t="str">
        <f t="shared" si="46"/>
        <v>No discount</v>
      </c>
      <c r="X59" s="538" t="str">
        <f t="shared" si="47"/>
        <v>Exclusive</v>
      </c>
      <c r="Y59" s="534">
        <f>IF(AND(W59="Guaranteed off bill",X59="Inclusive"),((Q59*1.1)-((Q59*1.1)*S59/100))/1.1,IF(AND(W59="Guaranteed off usage",X59="Inclusive"),((Q59*1.1)-((P59*1.1)*T59/100))/1.1,IF(AND(W59="Guaranteed off bill",X59="Exclusive"),Q59-(Q59*S59/100),IF(AND(W59="Guaranteed off usage",X59="Exclusive"),Q59-(P59*T59/100),IF(X59="Inclusive",((Q59*1.1))/1.1,Q59)))))</f>
        <v>802.89727272727282</v>
      </c>
      <c r="Z59" s="535">
        <f>IF(AND(W59="Pay-on-time off bill",X59="Inclusive"),((Y59*1.1)-((Y59*1.1)*U59/100))/1.1,IF(AND(W59="Pay-on-time off usage",X59="Inclusive"),((Y59*1.1)-((P59*1.1)*V59/100))/1.1,IF(AND(W59="Pay-on-time off bill",X59="Exclusive"),Y59-(Y59*U59/100),IF(AND(W59="Pay-on-time off usage",X59="Exclusive"),Y59-(P59*V59/100),IF(X59="Inclusive",((Y59*1.1))/1.1,Y59)))))</f>
        <v>802.89727272727282</v>
      </c>
      <c r="AA59" s="542">
        <f t="shared" si="45"/>
        <v>883.18700000000013</v>
      </c>
      <c r="AB59" s="542">
        <f t="shared" si="45"/>
        <v>883.18700000000013</v>
      </c>
      <c r="AC59" s="274">
        <f>'Tariffs Jul2021'!AZ53</f>
        <v>0</v>
      </c>
      <c r="AD59" s="274" t="str">
        <f>'Tariffs Jul2021'!BA53</f>
        <v>n</v>
      </c>
      <c r="AE59" s="275" t="str">
        <f>'Tariffs Jul2021'!BJ53</f>
        <v>N</v>
      </c>
      <c r="AF59" s="574"/>
      <c r="AG59" s="574"/>
      <c r="AH59" s="574"/>
      <c r="AI59" s="574"/>
      <c r="AJ59" s="574"/>
      <c r="AK59" s="574"/>
      <c r="AL59" s="574"/>
      <c r="AM59" s="574"/>
      <c r="AN59" s="574"/>
      <c r="AO59" s="574"/>
      <c r="AP59" s="574"/>
      <c r="AQ59" s="574"/>
      <c r="AR59" s="574"/>
      <c r="AS59" s="574"/>
      <c r="AT59" s="574"/>
      <c r="AU59" s="574"/>
      <c r="AV59" s="574"/>
      <c r="AW59" s="574"/>
      <c r="AX59" s="574"/>
    </row>
    <row r="60" spans="1:50" ht="14" x14ac:dyDescent="0.15">
      <c r="A60" s="270" t="str">
        <f>'Tariffs Jul2021'!F54</f>
        <v>EnergyAustralia</v>
      </c>
      <c r="B60" s="40" t="str">
        <f>'Tariffs Jul2021'!D54</f>
        <v>AGN Central 2</v>
      </c>
      <c r="C60" s="40" t="str">
        <f>'Tariffs Jul2021'!G54</f>
        <v>Total Plan</v>
      </c>
      <c r="D60" s="59">
        <f>365*'Tariffs Jul2021'!H54/100</f>
        <v>308.42500000000001</v>
      </c>
      <c r="E60" s="59">
        <f>IF($C$5*'Tariffs Jul2021'!AK54/'Tariffs Jul2021'!AI54&gt;='Tariffs Jul2021'!J54,( 'Tariffs Jul2021'!J54*'Tariffs Jul2021'!O54/100)* 'Tariffs Jul2021'!AI54,($C$5*'Tariffs Jul2021'!AK54/'Tariffs Jul2021'!AI54*'Tariffs Jul2021'!O54/100)* 'Tariffs Jul2021'!AI54)</f>
        <v>168.23863636363637</v>
      </c>
      <c r="F60" s="59">
        <f>IF($C$5*'Tariffs Jul2021'!AK54/'Tariffs Jul2021'!AI54&lt;'Tariffs Jul2021'!J54,0,IF($C$5*'Tariffs Jul2021'!AK54/'Tariffs Jul2021'!AI54&lt;='Tariffs Jul2021'!K54,($C$5*'Tariffs Jul2021'!AK54/'Tariffs Jul2021'!AI54-'Tariffs Jul2021'!J54)*('Tariffs Jul2021'!P54/100)*'Tariffs Jul2021'!AI54,('Tariffs Jul2021'!K54-'Tariffs Jul2021'!J54)*('Tariffs Jul2021'!P54/100)*'Tariffs Jul2021'!AI54))</f>
        <v>105.32045454545455</v>
      </c>
      <c r="G60" s="59">
        <f>IF($C$5*'Tariffs Jul2021'!AK54/'Tariffs Jul2021'!AI54&lt;'Tariffs Jul2021'!K54,0,IF($C$5*'Tariffs Jul2021'!AK54/'Tariffs Jul2021'!AI54&lt;='Tariffs Jul2021'!L54,($C$5*'Tariffs Jul2021'!AK54/'Tariffs Jul2021'!AI54-'Tariffs Jul2021'!K54)*('Tariffs Jul2021'!Q54/100)*'Tariffs Jul2021'!AI54,('Tariffs Jul2021'!L54-'Tariffs Jul2021'!K54)*('Tariffs Jul2021'!Q54/100)*'Tariffs Jul2021'!AI54))</f>
        <v>0</v>
      </c>
      <c r="H60" s="59">
        <f>IF($C$5*'Tariffs Jul2021'!AK54/'Tariffs Jul2021'!AI54&lt;'Tariffs Jul2021'!L54,0,IF($C$5*'Tariffs Jul2021'!AK54/'Tariffs Jul2021'!AI54&lt;='Tariffs Jul2021'!M54,($C$5*'Tariffs Jul2021'!AK54/'Tariffs Jul2021'!AI54-'Tariffs Jul2021'!L54)*('Tariffs Jul2021'!R54/100)*'Tariffs Jul2021'!AI54,('Tariffs Jul2021'!M54-'Tariffs Jul2021'!L54)*('Tariffs Jul2021'!R54/100)*'Tariffs Jul2021'!AI54))</f>
        <v>0</v>
      </c>
      <c r="I60" s="59">
        <f>IF(($C$5*'Tariffs Jul2021'!AK54/'Tariffs Jul2021'!AI54&gt;'Tariffs Jul2021'!M54),($C$5*'Tariffs Jul2021'!AK54/'Tariffs Jul2021'!AI54-'Tariffs Jul2021'!M54)*'Tariffs Jul2021'!S54/100*'Tariffs Jul2021'!AI54,0)</f>
        <v>127.09090909090908</v>
      </c>
      <c r="J60" s="59">
        <f>IF($C$5*'Tariffs Jul2021'!AL54/'Tariffs Jul2021'!AJ54&gt;='Tariffs Jul2021'!J54,('Tariffs Jul2021'!J54*'Tariffs Jul2021'!U54/100)* 'Tariffs Jul2021'!AJ54,($C$5*'Tariffs Jul2021'!AL54/'Tariffs Jul2021'!AJ54*'Tariffs Jul2021'!U54/100)* 'Tariffs Jul2021'!AJ54)</f>
        <v>168.23863636363637</v>
      </c>
      <c r="K60" s="59">
        <f>IF($C$5*'Tariffs Jul2021'!AL54/'Tariffs Jul2021'!AJ54&lt;'Tariffs Jul2021'!J54,0,IF($C$5*'Tariffs Jul2021'!AL54/'Tariffs Jul2021'!AJ54&lt;='Tariffs Jul2021'!K54,($C$5*'Tariffs Jul2021'!AL54/'Tariffs Jul2021'!AJ54-'Tariffs Jul2021'!J54)*('Tariffs Jul2021'!V54/100)*'Tariffs Jul2021'!AJ54,('Tariffs Jul2021'!K54-'Tariffs Jul2021'!J54)*('Tariffs Jul2021'!V54/100)*'Tariffs Jul2021'!AJ54))</f>
        <v>105.32045454545455</v>
      </c>
      <c r="L60" s="59">
        <f>IF($C$5*'Tariffs Jul2021'!AL54/'Tariffs Jul2021'!AJ54&lt;'Tariffs Jul2021'!K54,0,IF($C$5*'Tariffs Jul2021'!AL54/'Tariffs Jul2021'!AJ54&lt;='Tariffs Jul2021'!L54,($C$5*'Tariffs Jul2021'!AL54/'Tariffs Jul2021'!AJ54-'Tariffs Jul2021'!K54)*('Tariffs Jul2021'!W54/100)*'Tariffs Jul2021'!AJ54,('Tariffs Jul2021'!L54-'Tariffs Jul2021'!K54)*('Tariffs Jul2021'!W54/100)*'Tariffs Jul2021'!AJ54))</f>
        <v>0</v>
      </c>
      <c r="M60" s="59">
        <f>IF($C$5*'Tariffs Jul2021'!AL54/'Tariffs Jul2021'!AJ54&lt;'Tariffs Jul2021'!L54,0,IF($C$5*'Tariffs Jul2021'!AL54/'Tariffs Jul2021'!AJ54&lt;='Tariffs Jul2021'!M54,($C$5*'Tariffs Jul2021'!AL54/'Tariffs Jul2021'!AJ54-'Tariffs Jul2021'!L54)*('Tariffs Jul2021'!X54/100)*'Tariffs Jul2021'!AJ54,('Tariffs Jul2021'!M54-'Tariffs Jul2021'!L54)*('Tariffs Jul2021'!X54/100)*'Tariffs Jul2021'!AJ54))</f>
        <v>0</v>
      </c>
      <c r="N60" s="59">
        <f>IF(($C$5*'Tariffs Jul2021'!AL54/'Tariffs Jul2021'!AJ54&gt;'Tariffs Jul2021'!M54),($C$5*'Tariffs Jul2021'!AL54/'Tariffs Jul2021'!AJ54-'Tariffs Jul2021'!M54)*'Tariffs Jul2021'!Y54/100*'Tariffs Jul2021'!AJ54,0)</f>
        <v>127.09090909090908</v>
      </c>
      <c r="O60" s="59">
        <f t="shared" si="1"/>
        <v>801.30000000000007</v>
      </c>
      <c r="P60" s="503">
        <f t="shared" si="2"/>
        <v>881.43000000000018</v>
      </c>
      <c r="Q60" s="59">
        <f t="shared" si="3"/>
        <v>1109.7250000000001</v>
      </c>
      <c r="R60" s="272">
        <f t="shared" si="4"/>
        <v>1220.6975000000002</v>
      </c>
      <c r="S60" s="40">
        <f>'Tariffs Jul2021'!AN54</f>
        <v>26</v>
      </c>
      <c r="T60" s="40">
        <f>'Tariffs Jul2021'!AO54</f>
        <v>0</v>
      </c>
      <c r="U60" s="40">
        <f>'Tariffs Jul2021'!AP54</f>
        <v>0</v>
      </c>
      <c r="V60" s="40">
        <f>'Tariffs Jul2021'!AQ54</f>
        <v>0</v>
      </c>
      <c r="W60" s="537" t="str">
        <f t="shared" si="46"/>
        <v>Guaranteed off bill</v>
      </c>
      <c r="X60" s="538" t="str">
        <f t="shared" si="47"/>
        <v>Exclusive</v>
      </c>
      <c r="Y60" s="534">
        <f t="shared" ref="Y60" si="50">IF(AND(W60="Guaranteed off bill",X60="Inclusive"),((Q60*1.1)-((Q60*1.1)*S60/100))/1.1,IF(AND(W60="Guaranteed off usage",X60="Inclusive"),((Q60*1.1)-((P60*1.1)*T60/100))/1.1,IF(AND(W60="Guaranteed off bill",X60="Exclusive"),Q60-(Q60*S60/100),IF(AND(W60="Guaranteed off usage",X60="Exclusive"),Q60-(P60*T60/100),IF(X60="Inclusive",((Q60*1.1))/1.1,Q60)))))</f>
        <v>821.19650000000013</v>
      </c>
      <c r="Z60" s="535">
        <f t="shared" ref="Z60" si="51">IF(AND(W60="Pay-on-time off bill",X60="Inclusive"),((Y60*1.1)-((Y60*1.1)*U60/100))/1.1,IF(AND(W60="Pay-on-time off usage",X60="Inclusive"),((Y60*1.1)-((P60*1.1)*V60/100))/1.1,IF(AND(W60="Pay-on-time off bill",X60="Exclusive"),Y60-(Y60*U60/100),IF(AND(W60="Pay-on-time off usage",X60="Exclusive"),Y60-(P60*V60/100),IF(X60="Inclusive",((Y60*1.1))/1.1,Y60)))))</f>
        <v>821.19650000000013</v>
      </c>
      <c r="AA60" s="542">
        <f t="shared" si="45"/>
        <v>903.31615000000022</v>
      </c>
      <c r="AB60" s="542">
        <f t="shared" si="45"/>
        <v>903.31615000000022</v>
      </c>
      <c r="AC60" s="274">
        <f>'Tariffs Jul2021'!AZ54</f>
        <v>12</v>
      </c>
      <c r="AD60" s="274" t="str">
        <f>'Tariffs Jul2021'!BA54</f>
        <v>n</v>
      </c>
      <c r="AE60" s="275" t="str">
        <f>'Tariffs Jul2021'!BJ54</f>
        <v>N</v>
      </c>
      <c r="AF60" s="574"/>
      <c r="AG60" s="574"/>
      <c r="AH60" s="574"/>
      <c r="AI60" s="574"/>
      <c r="AJ60" s="574"/>
      <c r="AK60" s="574"/>
      <c r="AL60" s="574"/>
      <c r="AM60" s="574"/>
      <c r="AN60" s="574"/>
      <c r="AO60" s="574"/>
      <c r="AP60" s="574"/>
      <c r="AQ60" s="574"/>
      <c r="AR60" s="574"/>
      <c r="AS60" s="574"/>
      <c r="AT60" s="574"/>
      <c r="AU60" s="574"/>
      <c r="AV60" s="574"/>
      <c r="AW60" s="574"/>
      <c r="AX60" s="574"/>
    </row>
    <row r="61" spans="1:50" ht="14" x14ac:dyDescent="0.15">
      <c r="A61" s="270" t="str">
        <f>'Tariffs Jul2021'!F55</f>
        <v>Lumo Energy</v>
      </c>
      <c r="B61" s="40" t="str">
        <f>'Tariffs Jul2021'!D55</f>
        <v>AGN Central 2</v>
      </c>
      <c r="C61" s="40" t="str">
        <f>'Tariffs Jul2021'!G55</f>
        <v>Value</v>
      </c>
      <c r="D61" s="59">
        <f>365*'Tariffs Jul2021'!H55/100</f>
        <v>251.48500000000004</v>
      </c>
      <c r="E61" s="59">
        <f>IF($C$5*'Tariffs Jul2021'!AK55/'Tariffs Jul2021'!AI55&gt;='Tariffs Jul2021'!J55,( 'Tariffs Jul2021'!J55*'Tariffs Jul2021'!O55/100)* 'Tariffs Jul2021'!AI55,($C$5*'Tariffs Jul2021'!AK55/'Tariffs Jul2021'!AI55*'Tariffs Jul2021'!O55/100)* 'Tariffs Jul2021'!AI55)</f>
        <v>102.73772727272726</v>
      </c>
      <c r="F61" s="59">
        <f>IF($C$5*'Tariffs Jul2021'!AK55/'Tariffs Jul2021'!AI55&lt;'Tariffs Jul2021'!J55,0,IF($C$5*'Tariffs Jul2021'!AK55/'Tariffs Jul2021'!AI55&lt;='Tariffs Jul2021'!K55,($C$5*'Tariffs Jul2021'!AK55/'Tariffs Jul2021'!AI55-'Tariffs Jul2021'!J55)*('Tariffs Jul2021'!P55/100)*'Tariffs Jul2021'!AI55,('Tariffs Jul2021'!K55-'Tariffs Jul2021'!J55)*('Tariffs Jul2021'!P55/100)*'Tariffs Jul2021'!AI55))</f>
        <v>80.560909090909092</v>
      </c>
      <c r="G61" s="59">
        <f>IF($C$5*'Tariffs Jul2021'!AK55/'Tariffs Jul2021'!AI55&lt;'Tariffs Jul2021'!K55,0,IF($C$5*'Tariffs Jul2021'!AK55/'Tariffs Jul2021'!AI55&lt;='Tariffs Jul2021'!L55,($C$5*'Tariffs Jul2021'!AK55/'Tariffs Jul2021'!AI55-'Tariffs Jul2021'!K55)*('Tariffs Jul2021'!Q55/100)*'Tariffs Jul2021'!AI55,('Tariffs Jul2021'!L55-'Tariffs Jul2021'!K55)*('Tariffs Jul2021'!Q55/100)*'Tariffs Jul2021'!AI55))</f>
        <v>0</v>
      </c>
      <c r="H61" s="59">
        <f>IF($C$5*'Tariffs Jul2021'!AK55/'Tariffs Jul2021'!AI55&lt;'Tariffs Jul2021'!L55,0,IF($C$5*'Tariffs Jul2021'!AK55/'Tariffs Jul2021'!AI55&lt;='Tariffs Jul2021'!M55,($C$5*'Tariffs Jul2021'!AK55/'Tariffs Jul2021'!AI55-'Tariffs Jul2021'!L55)*('Tariffs Jul2021'!R55/100)*'Tariffs Jul2021'!AI55,('Tariffs Jul2021'!M55-'Tariffs Jul2021'!L55)*('Tariffs Jul2021'!R55/100)*'Tariffs Jul2021'!AI55))</f>
        <v>0</v>
      </c>
      <c r="I61" s="59">
        <f>IF(($C$5*'Tariffs Jul2021'!AK55/'Tariffs Jul2021'!AI55&gt;'Tariffs Jul2021'!M55),($C$5*'Tariffs Jul2021'!AK55/'Tariffs Jul2021'!AI55-'Tariffs Jul2021'!M55)*'Tariffs Jul2021'!S55/100*'Tariffs Jul2021'!AI55,0)</f>
        <v>110.72727272727272</v>
      </c>
      <c r="J61" s="59">
        <f>IF($C$5*'Tariffs Jul2021'!AL55/'Tariffs Jul2021'!AJ55&gt;='Tariffs Jul2021'!J55,('Tariffs Jul2021'!J55*'Tariffs Jul2021'!U55/100)* 'Tariffs Jul2021'!AJ55,($C$5*'Tariffs Jul2021'!AL55/'Tariffs Jul2021'!AJ55*'Tariffs Jul2021'!U55/100)* 'Tariffs Jul2021'!AJ55)</f>
        <v>102.73772727272726</v>
      </c>
      <c r="K61" s="59">
        <f>IF($C$5*'Tariffs Jul2021'!AL55/'Tariffs Jul2021'!AJ55&lt;'Tariffs Jul2021'!J55,0,IF($C$5*'Tariffs Jul2021'!AL55/'Tariffs Jul2021'!AJ55&lt;='Tariffs Jul2021'!K55,($C$5*'Tariffs Jul2021'!AL55/'Tariffs Jul2021'!AJ55-'Tariffs Jul2021'!J55)*('Tariffs Jul2021'!V55/100)*'Tariffs Jul2021'!AJ55,('Tariffs Jul2021'!K55-'Tariffs Jul2021'!J55)*('Tariffs Jul2021'!V55/100)*'Tariffs Jul2021'!AJ55))</f>
        <v>80.560909090909092</v>
      </c>
      <c r="L61" s="59">
        <f>IF($C$5*'Tariffs Jul2021'!AL55/'Tariffs Jul2021'!AJ55&lt;'Tariffs Jul2021'!K55,0,IF($C$5*'Tariffs Jul2021'!AL55/'Tariffs Jul2021'!AJ55&lt;='Tariffs Jul2021'!L55,($C$5*'Tariffs Jul2021'!AL55/'Tariffs Jul2021'!AJ55-'Tariffs Jul2021'!K55)*('Tariffs Jul2021'!W55/100)*'Tariffs Jul2021'!AJ55,('Tariffs Jul2021'!L55-'Tariffs Jul2021'!K55)*('Tariffs Jul2021'!W55/100)*'Tariffs Jul2021'!AJ55))</f>
        <v>0</v>
      </c>
      <c r="M61" s="59">
        <f>IF($C$5*'Tariffs Jul2021'!AL55/'Tariffs Jul2021'!AJ55&lt;'Tariffs Jul2021'!L55,0,IF($C$5*'Tariffs Jul2021'!AL55/'Tariffs Jul2021'!AJ55&lt;='Tariffs Jul2021'!M55,($C$5*'Tariffs Jul2021'!AL55/'Tariffs Jul2021'!AJ55-'Tariffs Jul2021'!L55)*('Tariffs Jul2021'!X55/100)*'Tariffs Jul2021'!AJ55,('Tariffs Jul2021'!M55-'Tariffs Jul2021'!L55)*('Tariffs Jul2021'!X55/100)*'Tariffs Jul2021'!AJ55))</f>
        <v>0</v>
      </c>
      <c r="N61" s="59">
        <f>IF(($C$5*'Tariffs Jul2021'!AL55/'Tariffs Jul2021'!AJ55&gt;'Tariffs Jul2021'!M55),($C$5*'Tariffs Jul2021'!AL55/'Tariffs Jul2021'!AJ55-'Tariffs Jul2021'!M55)*'Tariffs Jul2021'!Y55/100*'Tariffs Jul2021'!AJ55,0)</f>
        <v>110.72727272727272</v>
      </c>
      <c r="O61" s="59">
        <f t="shared" si="1"/>
        <v>588.05181818181813</v>
      </c>
      <c r="P61" s="503">
        <f t="shared" si="2"/>
        <v>646.85699999999997</v>
      </c>
      <c r="Q61" s="59">
        <f t="shared" si="3"/>
        <v>839.53681818181815</v>
      </c>
      <c r="R61" s="272">
        <f t="shared" si="4"/>
        <v>923.4905</v>
      </c>
      <c r="S61" s="40">
        <f>'Tariffs Jul2021'!AN55</f>
        <v>0</v>
      </c>
      <c r="T61" s="40">
        <f>'Tariffs Jul2021'!AO55</f>
        <v>0</v>
      </c>
      <c r="U61" s="40">
        <f>'Tariffs Jul2021'!AP55</f>
        <v>0</v>
      </c>
      <c r="V61" s="40">
        <f>'Tariffs Jul2021'!AQ55</f>
        <v>0</v>
      </c>
      <c r="W61" s="537" t="str">
        <f t="shared" si="46"/>
        <v>No discount</v>
      </c>
      <c r="X61" s="538" t="str">
        <f t="shared" si="47"/>
        <v>Exclusive</v>
      </c>
      <c r="Y61" s="534">
        <f>IF(AND(W61="Guaranteed off bill",X61="Inclusive"),((Q61*1.1)-((Q61*1.1)*S61/100))/1.1,IF(AND(W61="Guaranteed off usage",X61="Inclusive"),((Q61*1.1)-((P61*1.1)*T61/100))/1.1,IF(AND(W61="Guaranteed off bill",X61="Exclusive"),Q61-(Q61*S61/100),IF(AND(W61="Guaranteed off usage",X61="Exclusive"),Q61-(P61*T61/100),IF(X61="Inclusive",((Q61*1.1))/1.1,Q61)))))</f>
        <v>839.53681818181815</v>
      </c>
      <c r="Z61" s="535">
        <f>IF(AND(W61="Pay-on-time off bill",X61="Inclusive"),((Y61*1.1)-((Y61*1.1)*U61/100))/1.1,IF(AND(W61="Pay-on-time off usage",X61="Inclusive"),((Y61*1.1)-((P61*1.1)*V61/100))/1.1,IF(AND(W61="Pay-on-time off bill",X61="Exclusive"),Y61-(Y61*U61/100),IF(AND(W61="Pay-on-time off usage",X61="Exclusive"),Y61-(P61*V61/100),IF(X61="Inclusive",((Y61*1.1))/1.1,Y61)))))</f>
        <v>839.53681818181815</v>
      </c>
      <c r="AA61" s="542">
        <f t="shared" si="45"/>
        <v>923.4905</v>
      </c>
      <c r="AB61" s="542">
        <f t="shared" si="45"/>
        <v>923.4905</v>
      </c>
      <c r="AC61" s="274">
        <f>'Tariffs Jul2021'!AZ55</f>
        <v>0</v>
      </c>
      <c r="AD61" s="274" t="str">
        <f>'Tariffs Jul2021'!BA55</f>
        <v>n</v>
      </c>
      <c r="AE61" s="275" t="str">
        <f>'Tariffs Jul2021'!BJ55</f>
        <v>N</v>
      </c>
      <c r="AF61" s="574"/>
      <c r="AG61" s="574"/>
      <c r="AH61" s="574"/>
      <c r="AI61" s="574"/>
      <c r="AJ61" s="574"/>
      <c r="AK61" s="574"/>
      <c r="AL61" s="574"/>
      <c r="AM61" s="574"/>
      <c r="AN61" s="574"/>
      <c r="AO61" s="574"/>
      <c r="AP61" s="574"/>
      <c r="AQ61" s="574"/>
      <c r="AR61" s="574"/>
      <c r="AS61" s="574"/>
      <c r="AT61" s="574"/>
      <c r="AU61" s="574"/>
      <c r="AV61" s="574"/>
      <c r="AW61" s="574"/>
      <c r="AX61" s="574"/>
    </row>
    <row r="62" spans="1:50" ht="14" x14ac:dyDescent="0.15">
      <c r="A62" s="270" t="str">
        <f>'Tariffs Jul2021'!F56</f>
        <v>Momentum Energy</v>
      </c>
      <c r="B62" s="40" t="str">
        <f>'Tariffs Jul2021'!D56</f>
        <v>AGN Central 2</v>
      </c>
      <c r="C62" s="40" t="str">
        <f>'Tariffs Jul2021'!G56</f>
        <v>Market offer</v>
      </c>
      <c r="D62" s="59">
        <f>365*'Tariffs Jul2021'!H56/100</f>
        <v>289.08</v>
      </c>
      <c r="E62" s="59">
        <f>IF($C$5*'Tariffs Jul2021'!AK56/'Tariffs Jul2021'!AI56&gt;='Tariffs Jul2021'!J56,( 'Tariffs Jul2021'!J56*'Tariffs Jul2021'!O56/100)* 'Tariffs Jul2021'!AI56,($C$5*'Tariffs Jul2021'!AK56/'Tariffs Jul2021'!AI56*'Tariffs Jul2021'!O56/100)* 'Tariffs Jul2021'!AI56)</f>
        <v>85.539999999999978</v>
      </c>
      <c r="F62" s="59">
        <f>IF($C$5*'Tariffs Jul2021'!AK56/'Tariffs Jul2021'!AI56&lt;'Tariffs Jul2021'!J56,0,IF($C$5*'Tariffs Jul2021'!AK56/'Tariffs Jul2021'!AI56&lt;='Tariffs Jul2021'!K56,($C$5*'Tariffs Jul2021'!AK56/'Tariffs Jul2021'!AI56-'Tariffs Jul2021'!J56)*('Tariffs Jul2021'!P56/100)*'Tariffs Jul2021'!AI56,('Tariffs Jul2021'!K56-'Tariffs Jul2021'!J56)*('Tariffs Jul2021'!P56/100)*'Tariffs Jul2021'!AI56))</f>
        <v>59.62</v>
      </c>
      <c r="G62" s="59">
        <f>IF($C$5*'Tariffs Jul2021'!AK56/'Tariffs Jul2021'!AI56&lt;'Tariffs Jul2021'!K56,0,IF($C$5*'Tariffs Jul2021'!AK56/'Tariffs Jul2021'!AI56&lt;='Tariffs Jul2021'!L56,($C$5*'Tariffs Jul2021'!AK56/'Tariffs Jul2021'!AI56-'Tariffs Jul2021'!K56)*('Tariffs Jul2021'!Q56/100)*'Tariffs Jul2021'!AI56,('Tariffs Jul2021'!L56-'Tariffs Jul2021'!K56)*('Tariffs Jul2021'!Q56/100)*'Tariffs Jul2021'!AI56))</f>
        <v>0</v>
      </c>
      <c r="H62" s="59">
        <f>IF($C$5*'Tariffs Jul2021'!AK56/'Tariffs Jul2021'!AI56&lt;'Tariffs Jul2021'!L56,0,IF($C$5*'Tariffs Jul2021'!AK56/'Tariffs Jul2021'!AI56&lt;='Tariffs Jul2021'!M56,($C$5*'Tariffs Jul2021'!AK56/'Tariffs Jul2021'!AI56-'Tariffs Jul2021'!L56)*('Tariffs Jul2021'!R56/100)*'Tariffs Jul2021'!AI56,('Tariffs Jul2021'!M56-'Tariffs Jul2021'!L56)*('Tariffs Jul2021'!R56/100)*'Tariffs Jul2021'!AI56))</f>
        <v>0</v>
      </c>
      <c r="I62" s="59">
        <f>IF(($C$5*'Tariffs Jul2021'!AK56/'Tariffs Jul2021'!AI56&gt;'Tariffs Jul2021'!M56),($C$5*'Tariffs Jul2021'!AK56/'Tariffs Jul2021'!AI56-'Tariffs Jul2021'!M56)*'Tariffs Jul2021'!S56/100*'Tariffs Jul2021'!AI56,0)</f>
        <v>75.98099999999998</v>
      </c>
      <c r="J62" s="59">
        <f>IF($C$5*'Tariffs Jul2021'!AL56/'Tariffs Jul2021'!AJ56&gt;='Tariffs Jul2021'!J56,('Tariffs Jul2021'!J56*'Tariffs Jul2021'!U56/100)* 'Tariffs Jul2021'!AJ56,($C$5*'Tariffs Jul2021'!AL56/'Tariffs Jul2021'!AJ56*'Tariffs Jul2021'!U56/100)* 'Tariffs Jul2021'!AJ56)</f>
        <v>157.91999999999999</v>
      </c>
      <c r="K62" s="59">
        <f>IF($C$5*'Tariffs Jul2021'!AL56/'Tariffs Jul2021'!AJ56&lt;'Tariffs Jul2021'!J56,0,IF($C$5*'Tariffs Jul2021'!AL56/'Tariffs Jul2021'!AJ56&lt;='Tariffs Jul2021'!K56,($C$5*'Tariffs Jul2021'!AL56/'Tariffs Jul2021'!AJ56-'Tariffs Jul2021'!J56)*('Tariffs Jul2021'!V56/100)*'Tariffs Jul2021'!AJ56,('Tariffs Jul2021'!K56-'Tariffs Jul2021'!J56)*('Tariffs Jul2021'!V56/100)*'Tariffs Jul2021'!AJ56))</f>
        <v>108.4</v>
      </c>
      <c r="L62" s="59">
        <f>IF($C$5*'Tariffs Jul2021'!AL56/'Tariffs Jul2021'!AJ56&lt;'Tariffs Jul2021'!K56,0,IF($C$5*'Tariffs Jul2021'!AL56/'Tariffs Jul2021'!AJ56&lt;='Tariffs Jul2021'!L56,($C$5*'Tariffs Jul2021'!AL56/'Tariffs Jul2021'!AJ56-'Tariffs Jul2021'!K56)*('Tariffs Jul2021'!W56/100)*'Tariffs Jul2021'!AJ56,('Tariffs Jul2021'!L56-'Tariffs Jul2021'!K56)*('Tariffs Jul2021'!W56/100)*'Tariffs Jul2021'!AJ56))</f>
        <v>0</v>
      </c>
      <c r="M62" s="59">
        <f>IF($C$5*'Tariffs Jul2021'!AL56/'Tariffs Jul2021'!AJ56&lt;'Tariffs Jul2021'!L56,0,IF($C$5*'Tariffs Jul2021'!AL56/'Tariffs Jul2021'!AJ56&lt;='Tariffs Jul2021'!M56,($C$5*'Tariffs Jul2021'!AL56/'Tariffs Jul2021'!AJ56-'Tariffs Jul2021'!L56)*('Tariffs Jul2021'!X56/100)*'Tariffs Jul2021'!AJ56,('Tariffs Jul2021'!M56-'Tariffs Jul2021'!L56)*('Tariffs Jul2021'!X56/100)*'Tariffs Jul2021'!AJ56))</f>
        <v>0</v>
      </c>
      <c r="N62" s="59">
        <f>IF(($C$5*'Tariffs Jul2021'!AL56/'Tariffs Jul2021'!AJ56&gt;'Tariffs Jul2021'!M56),($C$5*'Tariffs Jul2021'!AL56/'Tariffs Jul2021'!AJ56-'Tariffs Jul2021'!M56)*'Tariffs Jul2021'!Y56/100*'Tariffs Jul2021'!AJ56,0)</f>
        <v>135.96600000000001</v>
      </c>
      <c r="O62" s="59">
        <f t="shared" si="1"/>
        <v>623.42699999999991</v>
      </c>
      <c r="P62" s="503">
        <f t="shared" si="2"/>
        <v>685.76969999999994</v>
      </c>
      <c r="Q62" s="59">
        <f t="shared" si="3"/>
        <v>912.50699999999983</v>
      </c>
      <c r="R62" s="272">
        <f t="shared" si="4"/>
        <v>1003.7576999999999</v>
      </c>
      <c r="S62" s="40">
        <f>'Tariffs Jul2021'!AN56</f>
        <v>0</v>
      </c>
      <c r="T62" s="40">
        <f>'Tariffs Jul2021'!AO56</f>
        <v>0</v>
      </c>
      <c r="U62" s="40">
        <f>'Tariffs Jul2021'!AP56</f>
        <v>0</v>
      </c>
      <c r="V62" s="40">
        <f>'Tariffs Jul2021'!AQ56</f>
        <v>0</v>
      </c>
      <c r="W62" s="537" t="str">
        <f t="shared" si="46"/>
        <v>No discount</v>
      </c>
      <c r="X62" s="538" t="str">
        <f t="shared" si="47"/>
        <v>Exclusive</v>
      </c>
      <c r="Y62" s="534">
        <f t="shared" ref="Y62" si="52">IF(AND(W62="Guaranteed off bill",X62="Inclusive"),((Q62*1.1)-((Q62*1.1)*S62/100))/1.1,IF(AND(W62="Guaranteed off usage",X62="Inclusive"),((Q62*1.1)-((P62*1.1)*T62/100))/1.1,IF(AND(W62="Guaranteed off bill",X62="Exclusive"),Q62-(Q62*S62/100),IF(AND(W62="Guaranteed off usage",X62="Exclusive"),Q62-(P62*T62/100),IF(X62="Inclusive",((Q62*1.1))/1.1,Q62)))))</f>
        <v>912.50699999999983</v>
      </c>
      <c r="Z62" s="535">
        <f t="shared" ref="Z62" si="53">IF(AND(W62="Pay-on-time off bill",X62="Inclusive"),((Y62*1.1)-((Y62*1.1)*U62/100))/1.1,IF(AND(W62="Pay-on-time off usage",X62="Inclusive"),((Y62*1.1)-((P62*1.1)*V62/100))/1.1,IF(AND(W62="Pay-on-time off bill",X62="Exclusive"),Y62-(Y62*U62/100),IF(AND(W62="Pay-on-time off usage",X62="Exclusive"),Y62-(P62*V62/100),IF(X62="Inclusive",((Y62*1.1))/1.1,Y62)))))</f>
        <v>912.50699999999983</v>
      </c>
      <c r="AA62" s="542">
        <f t="shared" si="45"/>
        <v>1003.7576999999999</v>
      </c>
      <c r="AB62" s="542">
        <f t="shared" si="45"/>
        <v>1003.7576999999999</v>
      </c>
      <c r="AC62" s="274">
        <f>'Tariffs Jul2021'!AZ56</f>
        <v>0</v>
      </c>
      <c r="AD62" s="274" t="str">
        <f>'Tariffs Jul2021'!BA56</f>
        <v>n</v>
      </c>
      <c r="AE62" s="275" t="str">
        <f>'Tariffs Jul2021'!BJ56</f>
        <v>N</v>
      </c>
      <c r="AF62" s="574"/>
      <c r="AG62" s="574"/>
      <c r="AH62" s="574"/>
      <c r="AI62" s="574"/>
      <c r="AJ62" s="574"/>
      <c r="AK62" s="574"/>
      <c r="AL62" s="574"/>
      <c r="AM62" s="574"/>
      <c r="AN62" s="574"/>
      <c r="AO62" s="574"/>
      <c r="AP62" s="574"/>
      <c r="AQ62" s="574"/>
      <c r="AR62" s="574"/>
      <c r="AS62" s="574"/>
      <c r="AT62" s="574"/>
      <c r="AU62" s="574"/>
      <c r="AV62" s="574"/>
      <c r="AW62" s="574"/>
      <c r="AX62" s="574"/>
    </row>
    <row r="63" spans="1:50" ht="14" x14ac:dyDescent="0.15">
      <c r="A63" s="270" t="str">
        <f>'Tariffs Jul2021'!F57</f>
        <v>Origin Energy</v>
      </c>
      <c r="B63" s="40" t="str">
        <f>'Tariffs Jul2021'!D57</f>
        <v>AGN Central 2</v>
      </c>
      <c r="C63" s="40" t="str">
        <f>'Tariffs Jul2021'!G57</f>
        <v>Go</v>
      </c>
      <c r="D63" s="59">
        <f>365*'Tariffs Jul2021'!H57/100</f>
        <v>223.64545454545456</v>
      </c>
      <c r="E63" s="59">
        <f>IF($C$5*'Tariffs Jul2021'!AK57/'Tariffs Jul2021'!AI57&gt;='Tariffs Jul2021'!J57,( 'Tariffs Jul2021'!J57*'Tariffs Jul2021'!O57/100)* 'Tariffs Jul2021'!AI57,($C$5*'Tariffs Jul2021'!AK57/'Tariffs Jul2021'!AI57*'Tariffs Jul2021'!O57/100)* 'Tariffs Jul2021'!AI57)</f>
        <v>436.36363636363637</v>
      </c>
      <c r="F63" s="59">
        <f>IF($C$5*'Tariffs Jul2021'!AK57/'Tariffs Jul2021'!AI57&lt;'Tariffs Jul2021'!J57,0,IF($C$5*'Tariffs Jul2021'!AK57/'Tariffs Jul2021'!AI57&lt;='Tariffs Jul2021'!K57,($C$5*'Tariffs Jul2021'!AK57/'Tariffs Jul2021'!AI57-'Tariffs Jul2021'!J57)*('Tariffs Jul2021'!P57/100)*'Tariffs Jul2021'!AI57,('Tariffs Jul2021'!K57-'Tariffs Jul2021'!J57)*('Tariffs Jul2021'!P57/100)*'Tariffs Jul2021'!AI57))</f>
        <v>0</v>
      </c>
      <c r="G63" s="59">
        <f>IF($C$5*'Tariffs Jul2021'!AK57/'Tariffs Jul2021'!AI57&lt;'Tariffs Jul2021'!K57,0,IF($C$5*'Tariffs Jul2021'!AK57/'Tariffs Jul2021'!AI57&lt;='Tariffs Jul2021'!L57,($C$5*'Tariffs Jul2021'!AK57/'Tariffs Jul2021'!AI57-'Tariffs Jul2021'!K57)*('Tariffs Jul2021'!Q57/100)*'Tariffs Jul2021'!AI57,('Tariffs Jul2021'!L57-'Tariffs Jul2021'!K57)*('Tariffs Jul2021'!Q57/100)*'Tariffs Jul2021'!AI57))</f>
        <v>0</v>
      </c>
      <c r="H63" s="59">
        <f>IF($C$5*'Tariffs Jul2021'!AK57/'Tariffs Jul2021'!AI57&lt;'Tariffs Jul2021'!L57,0,IF($C$5*'Tariffs Jul2021'!AK57/'Tariffs Jul2021'!AI57&lt;='Tariffs Jul2021'!M57,($C$5*'Tariffs Jul2021'!AK57/'Tariffs Jul2021'!AI57-'Tariffs Jul2021'!L57)*('Tariffs Jul2021'!R57/100)*'Tariffs Jul2021'!AI57,('Tariffs Jul2021'!M57-'Tariffs Jul2021'!L57)*('Tariffs Jul2021'!R57/100)*'Tariffs Jul2021'!AI57))</f>
        <v>0</v>
      </c>
      <c r="I63" s="59">
        <f>IF(($C$5*'Tariffs Jul2021'!AK57/'Tariffs Jul2021'!AI57&gt;'Tariffs Jul2021'!M57),($C$5*'Tariffs Jul2021'!AK57/'Tariffs Jul2021'!AI57-'Tariffs Jul2021'!M57)*'Tariffs Jul2021'!S57/100*'Tariffs Jul2021'!AI57,0)</f>
        <v>0</v>
      </c>
      <c r="J63" s="59">
        <f>IF($C$5*'Tariffs Jul2021'!AL57/'Tariffs Jul2021'!AJ57&gt;='Tariffs Jul2021'!J57,('Tariffs Jul2021'!J57*'Tariffs Jul2021'!U57/100)* 'Tariffs Jul2021'!AJ57,($C$5*'Tariffs Jul2021'!AL57/'Tariffs Jul2021'!AJ57*'Tariffs Jul2021'!U57/100)* 'Tariffs Jul2021'!AJ57)</f>
        <v>436.36363636363637</v>
      </c>
      <c r="K63" s="59">
        <f>IF($C$5*'Tariffs Jul2021'!AL57/'Tariffs Jul2021'!AJ57&lt;'Tariffs Jul2021'!J57,0,IF($C$5*'Tariffs Jul2021'!AL57/'Tariffs Jul2021'!AJ57&lt;='Tariffs Jul2021'!K57,($C$5*'Tariffs Jul2021'!AL57/'Tariffs Jul2021'!AJ57-'Tariffs Jul2021'!J57)*('Tariffs Jul2021'!V57/100)*'Tariffs Jul2021'!AJ57,('Tariffs Jul2021'!K57-'Tariffs Jul2021'!J57)*('Tariffs Jul2021'!V57/100)*'Tariffs Jul2021'!AJ57))</f>
        <v>0</v>
      </c>
      <c r="L63" s="59">
        <f>IF($C$5*'Tariffs Jul2021'!AL57/'Tariffs Jul2021'!AJ57&lt;'Tariffs Jul2021'!K57,0,IF($C$5*'Tariffs Jul2021'!AL57/'Tariffs Jul2021'!AJ57&lt;='Tariffs Jul2021'!L57,($C$5*'Tariffs Jul2021'!AL57/'Tariffs Jul2021'!AJ57-'Tariffs Jul2021'!K57)*('Tariffs Jul2021'!W57/100)*'Tariffs Jul2021'!AJ57,('Tariffs Jul2021'!L57-'Tariffs Jul2021'!K57)*('Tariffs Jul2021'!W57/100)*'Tariffs Jul2021'!AJ57))</f>
        <v>0</v>
      </c>
      <c r="M63" s="59">
        <f>IF($C$5*'Tariffs Jul2021'!AL57/'Tariffs Jul2021'!AJ57&lt;'Tariffs Jul2021'!L57,0,IF($C$5*'Tariffs Jul2021'!AL57/'Tariffs Jul2021'!AJ57&lt;='Tariffs Jul2021'!M57,($C$5*'Tariffs Jul2021'!AL57/'Tariffs Jul2021'!AJ57-'Tariffs Jul2021'!L57)*('Tariffs Jul2021'!X57/100)*'Tariffs Jul2021'!AJ57,('Tariffs Jul2021'!M57-'Tariffs Jul2021'!L57)*('Tariffs Jul2021'!X57/100)*'Tariffs Jul2021'!AJ57))</f>
        <v>0</v>
      </c>
      <c r="N63" s="59">
        <f>IF(($C$5*'Tariffs Jul2021'!AL57/'Tariffs Jul2021'!AJ57&gt;'Tariffs Jul2021'!M57),($C$5*'Tariffs Jul2021'!AL57/'Tariffs Jul2021'!AJ57-'Tariffs Jul2021'!M57)*'Tariffs Jul2021'!Y57/100*'Tariffs Jul2021'!AJ57,0)</f>
        <v>0</v>
      </c>
      <c r="O63" s="59">
        <f t="shared" si="1"/>
        <v>872.72727272727275</v>
      </c>
      <c r="P63" s="503">
        <f t="shared" si="2"/>
        <v>960.00000000000011</v>
      </c>
      <c r="Q63" s="59">
        <f t="shared" si="3"/>
        <v>1096.3727272727274</v>
      </c>
      <c r="R63" s="272">
        <f t="shared" si="4"/>
        <v>1206.0100000000002</v>
      </c>
      <c r="S63" s="40">
        <f>'Tariffs Jul2021'!AN57</f>
        <v>0</v>
      </c>
      <c r="T63" s="40">
        <f>'Tariffs Jul2021'!AO57</f>
        <v>0</v>
      </c>
      <c r="U63" s="40">
        <f>'Tariffs Jul2021'!AP57</f>
        <v>0</v>
      </c>
      <c r="V63" s="40">
        <f>'Tariffs Jul2021'!AQ57</f>
        <v>0</v>
      </c>
      <c r="W63" s="537" t="str">
        <f t="shared" si="46"/>
        <v>No discount</v>
      </c>
      <c r="X63" s="538" t="str">
        <f t="shared" si="47"/>
        <v>Inclusive</v>
      </c>
      <c r="Y63" s="534">
        <f>IF(AND(W63="Guaranteed off bill",X63="Inclusive"),((Q63*1.1)-((Q63*1.1)*S63/100))/1.1,IF(AND(W63="Guaranteed off usage",X63="Inclusive"),((Q63*1.1)-((P63*1.1)*T63/100))/1.1,IF(AND(W63="Guaranteed off bill",X63="Exclusive"),Q63-(Q63*S63/100),IF(AND(W63="Guaranteed off usage",X63="Exclusive"),Q63-(P63*T63/100),IF(X63="Inclusive",((Q63*1.1))/1.1,Q63)))))</f>
        <v>1096.3727272727274</v>
      </c>
      <c r="Z63" s="535">
        <f>IF(AND(W63="Pay-on-time off bill",X63="Inclusive"),((Y63*1.1)-((Y63*1.1)*U63/100))/1.1,IF(AND(W63="Pay-on-time off usage",X63="Inclusive"),((Y63*1.1)-((P63*1.1)*V63/100))/1.1,IF(AND(W63="Pay-on-time off bill",X63="Exclusive"),Y63-(Y63*U63/100),IF(AND(W63="Pay-on-time off usage",X63="Exclusive"),Y63-(P63*V63/100),IF(X63="Inclusive",((Y63*1.1))/1.1,Y63)))))</f>
        <v>1096.3727272727274</v>
      </c>
      <c r="AA63" s="542">
        <f t="shared" si="45"/>
        <v>1206.0100000000002</v>
      </c>
      <c r="AB63" s="542">
        <f t="shared" si="45"/>
        <v>1206.0100000000002</v>
      </c>
      <c r="AC63" s="274">
        <f>'Tariffs Jul2021'!AZ57</f>
        <v>0</v>
      </c>
      <c r="AD63" s="274" t="str">
        <f>'Tariffs Jul2021'!BA57</f>
        <v>n</v>
      </c>
      <c r="AE63" s="275" t="str">
        <f>'Tariffs Jul2021'!BJ57</f>
        <v>N</v>
      </c>
      <c r="AF63" s="574"/>
      <c r="AG63" s="574"/>
      <c r="AH63" s="574"/>
      <c r="AI63" s="574"/>
      <c r="AJ63" s="574"/>
      <c r="AK63" s="574"/>
      <c r="AL63" s="574"/>
      <c r="AM63" s="574"/>
      <c r="AN63" s="574"/>
      <c r="AO63" s="574"/>
      <c r="AP63" s="574"/>
      <c r="AQ63" s="574"/>
      <c r="AR63" s="574"/>
      <c r="AS63" s="574"/>
      <c r="AT63" s="574"/>
      <c r="AU63" s="574"/>
      <c r="AV63" s="574"/>
      <c r="AW63" s="574"/>
      <c r="AX63" s="574"/>
    </row>
    <row r="64" spans="1:50" ht="14" x14ac:dyDescent="0.15">
      <c r="A64" s="270" t="str">
        <f>'Tariffs Jul2021'!F58</f>
        <v>Red Energy</v>
      </c>
      <c r="B64" s="40" t="str">
        <f>'Tariffs Jul2021'!D58</f>
        <v>AGN Central 2</v>
      </c>
      <c r="C64" s="40" t="str">
        <f>'Tariffs Jul2021'!G58</f>
        <v>Living Energy Saver</v>
      </c>
      <c r="D64" s="59">
        <f>365*'Tariffs Jul2021'!H58/100</f>
        <v>239.14136363636356</v>
      </c>
      <c r="E64" s="59">
        <f>IF($C$5*'Tariffs Jul2021'!AK58/'Tariffs Jul2021'!AI58&gt;='Tariffs Jul2021'!J58,( 'Tariffs Jul2021'!J58*'Tariffs Jul2021'!O58/100)* 'Tariffs Jul2021'!AI58,($C$5*'Tariffs Jul2021'!AK58/'Tariffs Jul2021'!AI58*'Tariffs Jul2021'!O58/100)* 'Tariffs Jul2021'!AI58)</f>
        <v>118.88863636363635</v>
      </c>
      <c r="F64" s="59">
        <f>IF($C$5*'Tariffs Jul2021'!AK58/'Tariffs Jul2021'!AI58&lt;'Tariffs Jul2021'!J58,0,IF($C$5*'Tariffs Jul2021'!AK58/'Tariffs Jul2021'!AI58&lt;='Tariffs Jul2021'!K58,($C$5*'Tariffs Jul2021'!AK58/'Tariffs Jul2021'!AI58-'Tariffs Jul2021'!J58)*('Tariffs Jul2021'!P58/100)*'Tariffs Jul2021'!AI58,('Tariffs Jul2021'!K58-'Tariffs Jul2021'!J58)*('Tariffs Jul2021'!P58/100)*'Tariffs Jul2021'!AI58))</f>
        <v>93.125454545454545</v>
      </c>
      <c r="G64" s="59">
        <f>IF($C$5*'Tariffs Jul2021'!AK58/'Tariffs Jul2021'!AI58&lt;'Tariffs Jul2021'!K58,0,IF($C$5*'Tariffs Jul2021'!AK58/'Tariffs Jul2021'!AI58&lt;='Tariffs Jul2021'!L58,($C$5*'Tariffs Jul2021'!AK58/'Tariffs Jul2021'!AI58-'Tariffs Jul2021'!K58)*('Tariffs Jul2021'!Q58/100)*'Tariffs Jul2021'!AI58,('Tariffs Jul2021'!L58-'Tariffs Jul2021'!K58)*('Tariffs Jul2021'!Q58/100)*'Tariffs Jul2021'!AI58))</f>
        <v>0</v>
      </c>
      <c r="H64" s="59">
        <f>IF($C$5*'Tariffs Jul2021'!AK58/'Tariffs Jul2021'!AI58&lt;'Tariffs Jul2021'!L58,0,IF($C$5*'Tariffs Jul2021'!AK58/'Tariffs Jul2021'!AI58&lt;='Tariffs Jul2021'!M58,($C$5*'Tariffs Jul2021'!AK58/'Tariffs Jul2021'!AI58-'Tariffs Jul2021'!L58)*('Tariffs Jul2021'!R58/100)*'Tariffs Jul2021'!AI58,('Tariffs Jul2021'!M58-'Tariffs Jul2021'!L58)*('Tariffs Jul2021'!R58/100)*'Tariffs Jul2021'!AI58))</f>
        <v>0</v>
      </c>
      <c r="I64" s="59">
        <f>IF(($C$5*'Tariffs Jul2021'!AK58/'Tariffs Jul2021'!AI58&gt;'Tariffs Jul2021'!M58),($C$5*'Tariffs Jul2021'!AK58/'Tariffs Jul2021'!AI58-'Tariffs Jul2021'!M58)*'Tariffs Jul2021'!S58/100*'Tariffs Jul2021'!AI58,0)</f>
        <v>98.72727272727272</v>
      </c>
      <c r="J64" s="59">
        <f>IF($C$5*'Tariffs Jul2021'!AL58/'Tariffs Jul2021'!AJ58&gt;='Tariffs Jul2021'!J58,('Tariffs Jul2021'!J58*'Tariffs Jul2021'!U58/100)* 'Tariffs Jul2021'!AJ58,($C$5*'Tariffs Jul2021'!AL58/'Tariffs Jul2021'!AJ58*'Tariffs Jul2021'!U58/100)* 'Tariffs Jul2021'!AJ58)</f>
        <v>118.88863636363635</v>
      </c>
      <c r="K64" s="59">
        <f>IF($C$5*'Tariffs Jul2021'!AL58/'Tariffs Jul2021'!AJ58&lt;'Tariffs Jul2021'!J58,0,IF($C$5*'Tariffs Jul2021'!AL58/'Tariffs Jul2021'!AJ58&lt;='Tariffs Jul2021'!K58,($C$5*'Tariffs Jul2021'!AL58/'Tariffs Jul2021'!AJ58-'Tariffs Jul2021'!J58)*('Tariffs Jul2021'!V58/100)*'Tariffs Jul2021'!AJ58,('Tariffs Jul2021'!K58-'Tariffs Jul2021'!J58)*('Tariffs Jul2021'!V58/100)*'Tariffs Jul2021'!AJ58))</f>
        <v>93.125454545454545</v>
      </c>
      <c r="L64" s="59">
        <f>IF($C$5*'Tariffs Jul2021'!AL58/'Tariffs Jul2021'!AJ58&lt;'Tariffs Jul2021'!K58,0,IF($C$5*'Tariffs Jul2021'!AL58/'Tariffs Jul2021'!AJ58&lt;='Tariffs Jul2021'!L58,($C$5*'Tariffs Jul2021'!AL58/'Tariffs Jul2021'!AJ58-'Tariffs Jul2021'!K58)*('Tariffs Jul2021'!W58/100)*'Tariffs Jul2021'!AJ58,('Tariffs Jul2021'!L58-'Tariffs Jul2021'!K58)*('Tariffs Jul2021'!W58/100)*'Tariffs Jul2021'!AJ58))</f>
        <v>0</v>
      </c>
      <c r="M64" s="59">
        <f>IF($C$5*'Tariffs Jul2021'!AL58/'Tariffs Jul2021'!AJ58&lt;'Tariffs Jul2021'!L58,0,IF($C$5*'Tariffs Jul2021'!AL58/'Tariffs Jul2021'!AJ58&lt;='Tariffs Jul2021'!M58,($C$5*'Tariffs Jul2021'!AL58/'Tariffs Jul2021'!AJ58-'Tariffs Jul2021'!L58)*('Tariffs Jul2021'!X58/100)*'Tariffs Jul2021'!AJ58,('Tariffs Jul2021'!M58-'Tariffs Jul2021'!L58)*('Tariffs Jul2021'!X58/100)*'Tariffs Jul2021'!AJ58))</f>
        <v>0</v>
      </c>
      <c r="N64" s="59">
        <f>IF(($C$5*'Tariffs Jul2021'!AL58/'Tariffs Jul2021'!AJ58&gt;'Tariffs Jul2021'!M58),($C$5*'Tariffs Jul2021'!AL58/'Tariffs Jul2021'!AJ58-'Tariffs Jul2021'!M58)*'Tariffs Jul2021'!Y58/100*'Tariffs Jul2021'!AJ58,0)</f>
        <v>98.72727272727272</v>
      </c>
      <c r="O64" s="59">
        <f>SUM(E64:N64)</f>
        <v>621.48272727272729</v>
      </c>
      <c r="P64" s="503">
        <f t="shared" si="2"/>
        <v>683.63100000000009</v>
      </c>
      <c r="Q64" s="59">
        <f>D64+O64</f>
        <v>860.62409090909091</v>
      </c>
      <c r="R64" s="272">
        <f>Q64*1.1</f>
        <v>946.68650000000002</v>
      </c>
      <c r="S64" s="40">
        <f>'Tariffs Jul2021'!AN58</f>
        <v>0</v>
      </c>
      <c r="T64" s="40">
        <f>'Tariffs Jul2021'!AO58</f>
        <v>0</v>
      </c>
      <c r="U64" s="40">
        <f>'Tariffs Jul2021'!AP58</f>
        <v>0</v>
      </c>
      <c r="V64" s="40">
        <f>'Tariffs Jul2021'!AQ58</f>
        <v>0</v>
      </c>
      <c r="W64" s="537" t="str">
        <f t="shared" si="46"/>
        <v>No discount</v>
      </c>
      <c r="X64" s="538" t="str">
        <f t="shared" si="47"/>
        <v>Inclusive</v>
      </c>
      <c r="Y64" s="534">
        <f t="shared" ref="Y64:Y67" si="54">IF(AND(W64="Guaranteed off bill",X64="Inclusive"),((Q64*1.1)-((Q64*1.1)*S64/100))/1.1,IF(AND(W64="Guaranteed off usage",X64="Inclusive"),((Q64*1.1)-((P64*1.1)*T64/100))/1.1,IF(AND(W64="Guaranteed off bill",X64="Exclusive"),Q64-(Q64*S64/100),IF(AND(W64="Guaranteed off usage",X64="Exclusive"),Q64-(P64*T64/100),IF(X64="Inclusive",((Q64*1.1))/1.1,Q64)))))</f>
        <v>860.62409090909091</v>
      </c>
      <c r="Z64" s="535">
        <f t="shared" ref="Z64:Z67" si="55">IF(AND(W64="Pay-on-time off bill",X64="Inclusive"),((Y64*1.1)-((Y64*1.1)*U64/100))/1.1,IF(AND(W64="Pay-on-time off usage",X64="Inclusive"),((Y64*1.1)-((P64*1.1)*V64/100))/1.1,IF(AND(W64="Pay-on-time off bill",X64="Exclusive"),Y64-(Y64*U64/100),IF(AND(W64="Pay-on-time off usage",X64="Exclusive"),Y64-(P64*V64/100),IF(X64="Inclusive",((Y64*1.1))/1.1,Y64)))))</f>
        <v>860.62409090909091</v>
      </c>
      <c r="AA64" s="542">
        <f t="shared" si="45"/>
        <v>946.68650000000002</v>
      </c>
      <c r="AB64" s="542">
        <f t="shared" si="45"/>
        <v>946.68650000000002</v>
      </c>
      <c r="AC64" s="274">
        <f>'Tariffs Jul2021'!AZ58</f>
        <v>0</v>
      </c>
      <c r="AD64" s="274" t="str">
        <f>'Tariffs Jul2021'!BA58</f>
        <v>n</v>
      </c>
      <c r="AE64" s="275" t="str">
        <f>'Tariffs Jul2021'!BJ58</f>
        <v>N</v>
      </c>
      <c r="AF64" s="574"/>
      <c r="AG64" s="574"/>
      <c r="AH64" s="574"/>
      <c r="AI64" s="574"/>
      <c r="AJ64" s="574"/>
      <c r="AK64" s="574"/>
      <c r="AL64" s="574"/>
      <c r="AM64" s="574"/>
      <c r="AN64" s="574"/>
      <c r="AO64" s="574"/>
      <c r="AP64" s="574"/>
      <c r="AQ64" s="574"/>
      <c r="AR64" s="574"/>
      <c r="AS64" s="574"/>
      <c r="AT64" s="574"/>
      <c r="AU64" s="574"/>
      <c r="AV64" s="574"/>
      <c r="AW64" s="574"/>
      <c r="AX64" s="574"/>
    </row>
    <row r="65" spans="1:50" ht="14" x14ac:dyDescent="0.15">
      <c r="A65" s="270" t="str">
        <f>'Tariffs Jul2021'!F59</f>
        <v>Simply Energy</v>
      </c>
      <c r="B65" s="40" t="str">
        <f>'Tariffs Jul2021'!D59</f>
        <v>AGN Central 2</v>
      </c>
      <c r="C65" s="40" t="str">
        <f>'Tariffs Jul2021'!G59</f>
        <v>Saver</v>
      </c>
      <c r="D65" s="59">
        <f>365*'Tariffs Jul2021'!H59/100</f>
        <v>255.13499999999996</v>
      </c>
      <c r="E65" s="59">
        <f>IF($C$5*'Tariffs Jul2021'!AK59/'Tariffs Jul2021'!AI59&gt;='Tariffs Jul2021'!J59,( 'Tariffs Jul2021'!J59*'Tariffs Jul2021'!O59/100)* 'Tariffs Jul2021'!AI59,($C$5*'Tariffs Jul2021'!AK59/'Tariffs Jul2021'!AI59*'Tariffs Jul2021'!O59/100)* 'Tariffs Jul2021'!AI59)</f>
        <v>146.70409090909092</v>
      </c>
      <c r="F65" s="59">
        <f>IF($C$5*'Tariffs Jul2021'!AK59/'Tariffs Jul2021'!AI59&lt;'Tariffs Jul2021'!J59,0,IF($C$5*'Tariffs Jul2021'!AK59/'Tariffs Jul2021'!AI59&lt;='Tariffs Jul2021'!K59,($C$5*'Tariffs Jul2021'!AK59/'Tariffs Jul2021'!AI59-'Tariffs Jul2021'!J59)*('Tariffs Jul2021'!P59/100)*'Tariffs Jul2021'!AI59,('Tariffs Jul2021'!K59-'Tariffs Jul2021'!J59)*('Tariffs Jul2021'!P59/100)*'Tariffs Jul2021'!AI59))</f>
        <v>95.712272727272705</v>
      </c>
      <c r="G65" s="59">
        <f>IF($C$5*'Tariffs Jul2021'!AK59/'Tariffs Jul2021'!AI59&lt;'Tariffs Jul2021'!K59,0,IF($C$5*'Tariffs Jul2021'!AK59/'Tariffs Jul2021'!AI59&lt;='Tariffs Jul2021'!L59,($C$5*'Tariffs Jul2021'!AK59/'Tariffs Jul2021'!AI59-'Tariffs Jul2021'!K59)*('Tariffs Jul2021'!Q59/100)*'Tariffs Jul2021'!AI59,('Tariffs Jul2021'!L59-'Tariffs Jul2021'!K59)*('Tariffs Jul2021'!Q59/100)*'Tariffs Jul2021'!AI59))</f>
        <v>0</v>
      </c>
      <c r="H65" s="59">
        <f>IF($C$5*'Tariffs Jul2021'!AK59/'Tariffs Jul2021'!AI59&lt;'Tariffs Jul2021'!L59,0,IF($C$5*'Tariffs Jul2021'!AK59/'Tariffs Jul2021'!AI59&lt;='Tariffs Jul2021'!M59,($C$5*'Tariffs Jul2021'!AK59/'Tariffs Jul2021'!AI59-'Tariffs Jul2021'!L59)*('Tariffs Jul2021'!R59/100)*'Tariffs Jul2021'!AI59,('Tariffs Jul2021'!M59-'Tariffs Jul2021'!L59)*('Tariffs Jul2021'!R59/100)*'Tariffs Jul2021'!AI59))</f>
        <v>0</v>
      </c>
      <c r="I65" s="59">
        <f>IF(($C$5*'Tariffs Jul2021'!AK59/'Tariffs Jul2021'!AI59&gt;'Tariffs Jul2021'!M59),($C$5*'Tariffs Jul2021'!AK59/'Tariffs Jul2021'!AI59-'Tariffs Jul2021'!M59)*'Tariffs Jul2021'!S59/100*'Tariffs Jul2021'!AI59,0)</f>
        <v>118.90909090909091</v>
      </c>
      <c r="J65" s="59">
        <f>IF($C$5*'Tariffs Jul2021'!AL59/'Tariffs Jul2021'!AJ59&gt;='Tariffs Jul2021'!J59,('Tariffs Jul2021'!J59*'Tariffs Jul2021'!U59/100)* 'Tariffs Jul2021'!AJ59,($C$5*'Tariffs Jul2021'!AL59/'Tariffs Jul2021'!AJ59*'Tariffs Jul2021'!U59/100)* 'Tariffs Jul2021'!AJ59)</f>
        <v>146.70409090909092</v>
      </c>
      <c r="K65" s="59">
        <f>IF($C$5*'Tariffs Jul2021'!AL59/'Tariffs Jul2021'!AJ59&lt;'Tariffs Jul2021'!J59,0,IF($C$5*'Tariffs Jul2021'!AL59/'Tariffs Jul2021'!AJ59&lt;='Tariffs Jul2021'!K59,($C$5*'Tariffs Jul2021'!AL59/'Tariffs Jul2021'!AJ59-'Tariffs Jul2021'!J59)*('Tariffs Jul2021'!V59/100)*'Tariffs Jul2021'!AJ59,('Tariffs Jul2021'!K59-'Tariffs Jul2021'!J59)*('Tariffs Jul2021'!V59/100)*'Tariffs Jul2021'!AJ59))</f>
        <v>95.712272727272705</v>
      </c>
      <c r="L65" s="59">
        <f>IF($C$5*'Tariffs Jul2021'!AL59/'Tariffs Jul2021'!AJ59&lt;'Tariffs Jul2021'!K59,0,IF($C$5*'Tariffs Jul2021'!AL59/'Tariffs Jul2021'!AJ59&lt;='Tariffs Jul2021'!L59,($C$5*'Tariffs Jul2021'!AL59/'Tariffs Jul2021'!AJ59-'Tariffs Jul2021'!K59)*('Tariffs Jul2021'!W59/100)*'Tariffs Jul2021'!AJ59,('Tariffs Jul2021'!L59-'Tariffs Jul2021'!K59)*('Tariffs Jul2021'!W59/100)*'Tariffs Jul2021'!AJ59))</f>
        <v>0</v>
      </c>
      <c r="M65" s="59">
        <f>IF($C$5*'Tariffs Jul2021'!AL59/'Tariffs Jul2021'!AJ59&lt;'Tariffs Jul2021'!L59,0,IF($C$5*'Tariffs Jul2021'!AL59/'Tariffs Jul2021'!AJ59&lt;='Tariffs Jul2021'!M59,($C$5*'Tariffs Jul2021'!AL59/'Tariffs Jul2021'!AJ59-'Tariffs Jul2021'!L59)*('Tariffs Jul2021'!X59/100)*'Tariffs Jul2021'!AJ59,('Tariffs Jul2021'!M59-'Tariffs Jul2021'!L59)*('Tariffs Jul2021'!X59/100)*'Tariffs Jul2021'!AJ59))</f>
        <v>0</v>
      </c>
      <c r="N65" s="59">
        <f>IF(($C$5*'Tariffs Jul2021'!AL59/'Tariffs Jul2021'!AJ59&gt;'Tariffs Jul2021'!M59),($C$5*'Tariffs Jul2021'!AL59/'Tariffs Jul2021'!AJ59-'Tariffs Jul2021'!M59)*'Tariffs Jul2021'!Y59/100*'Tariffs Jul2021'!AJ59,0)</f>
        <v>118.90909090909091</v>
      </c>
      <c r="O65" s="59">
        <f t="shared" si="1"/>
        <v>722.65090909090907</v>
      </c>
      <c r="P65" s="503">
        <f t="shared" si="2"/>
        <v>794.91600000000005</v>
      </c>
      <c r="Q65" s="59">
        <f t="shared" si="3"/>
        <v>977.78590909090906</v>
      </c>
      <c r="R65" s="272">
        <f t="shared" si="4"/>
        <v>1075.5645</v>
      </c>
      <c r="S65" s="40">
        <f>'Tariffs Jul2021'!AN59</f>
        <v>16</v>
      </c>
      <c r="T65" s="40">
        <f>'Tariffs Jul2021'!AO59</f>
        <v>0</v>
      </c>
      <c r="U65" s="40">
        <f>'Tariffs Jul2021'!AP59</f>
        <v>0</v>
      </c>
      <c r="V65" s="40">
        <f>'Tariffs Jul2021'!AQ59</f>
        <v>0</v>
      </c>
      <c r="W65" s="537" t="str">
        <f t="shared" si="46"/>
        <v>Guaranteed off bill</v>
      </c>
      <c r="X65" s="538" t="str">
        <f t="shared" si="47"/>
        <v>Exclusive</v>
      </c>
      <c r="Y65" s="534">
        <f t="shared" si="54"/>
        <v>821.34016363636363</v>
      </c>
      <c r="Z65" s="535">
        <f t="shared" si="55"/>
        <v>821.34016363636363</v>
      </c>
      <c r="AA65" s="542">
        <f t="shared" si="45"/>
        <v>903.47418000000005</v>
      </c>
      <c r="AB65" s="542">
        <f t="shared" si="45"/>
        <v>903.47418000000005</v>
      </c>
      <c r="AC65" s="274">
        <f>'Tariffs Jul2021'!AZ59</f>
        <v>0</v>
      </c>
      <c r="AD65" s="274" t="str">
        <f>'Tariffs Jul2021'!BA59</f>
        <v>n</v>
      </c>
      <c r="AE65" s="275" t="str">
        <f>'Tariffs Jul2021'!BJ59</f>
        <v>N</v>
      </c>
      <c r="AF65" s="574"/>
      <c r="AG65" s="574"/>
      <c r="AH65" s="574"/>
      <c r="AI65" s="574"/>
      <c r="AJ65" s="574"/>
      <c r="AK65" s="574"/>
      <c r="AL65" s="574"/>
      <c r="AM65" s="574"/>
      <c r="AN65" s="574"/>
      <c r="AO65" s="574"/>
      <c r="AP65" s="574"/>
      <c r="AQ65" s="574"/>
      <c r="AR65" s="574"/>
      <c r="AS65" s="574"/>
      <c r="AT65" s="574"/>
      <c r="AU65" s="574"/>
      <c r="AV65" s="574"/>
      <c r="AW65" s="574"/>
      <c r="AX65" s="574"/>
    </row>
    <row r="66" spans="1:50" ht="14" x14ac:dyDescent="0.15">
      <c r="A66" s="270" t="str">
        <f>'Tariffs Jul2021'!F60</f>
        <v>Sumo Power</v>
      </c>
      <c r="B66" s="40" t="str">
        <f>'Tariffs Jul2021'!D60</f>
        <v>AGN Central 2</v>
      </c>
      <c r="C66" s="40" t="str">
        <f>'Tariffs Jul2021'!G60</f>
        <v>Assure</v>
      </c>
      <c r="D66" s="59">
        <f>365*'Tariffs Jul2021'!H60/100</f>
        <v>248.19999999999996</v>
      </c>
      <c r="E66" s="59">
        <f>IF($C$5*'Tariffs Jul2021'!AK60/'Tariffs Jul2021'!AI60&gt;='Tariffs Jul2021'!J60,( 'Tariffs Jul2021'!J60*'Tariffs Jul2021'!O60/100)* 'Tariffs Jul2021'!AI60,($C$5*'Tariffs Jul2021'!AK60/'Tariffs Jul2021'!AI60*'Tariffs Jul2021'!O60/100)* 'Tariffs Jul2021'!AI60)</f>
        <v>91.521818181818176</v>
      </c>
      <c r="F66" s="59">
        <f>IF($C$5*'Tariffs Jul2021'!AK60/'Tariffs Jul2021'!AI60&lt;'Tariffs Jul2021'!J60,0,IF($C$5*'Tariffs Jul2021'!AK60/'Tariffs Jul2021'!AI60&lt;='Tariffs Jul2021'!K60,($C$5*'Tariffs Jul2021'!AK60/'Tariffs Jul2021'!AI60-'Tariffs Jul2021'!J60)*('Tariffs Jul2021'!P60/100)*'Tariffs Jul2021'!AI60,('Tariffs Jul2021'!K60-'Tariffs Jul2021'!J60)*('Tariffs Jul2021'!P60/100)*'Tariffs Jul2021'!AI60))</f>
        <v>71.322272727272718</v>
      </c>
      <c r="G66" s="59">
        <f>IF($C$5*'Tariffs Jul2021'!AK60/'Tariffs Jul2021'!AI60&lt;'Tariffs Jul2021'!K60,0,IF($C$5*'Tariffs Jul2021'!AK60/'Tariffs Jul2021'!AI60&lt;='Tariffs Jul2021'!L60,($C$5*'Tariffs Jul2021'!AK60/'Tariffs Jul2021'!AI60-'Tariffs Jul2021'!K60)*('Tariffs Jul2021'!Q60/100)*'Tariffs Jul2021'!AI60,('Tariffs Jul2021'!L60-'Tariffs Jul2021'!K60)*('Tariffs Jul2021'!Q60/100)*'Tariffs Jul2021'!AI60))</f>
        <v>0</v>
      </c>
      <c r="H66" s="59">
        <f>IF($C$5*'Tariffs Jul2021'!AK60/'Tariffs Jul2021'!AI60&lt;'Tariffs Jul2021'!L60,0,IF($C$5*'Tariffs Jul2021'!AK60/'Tariffs Jul2021'!AI60&lt;='Tariffs Jul2021'!M60,($C$5*'Tariffs Jul2021'!AK60/'Tariffs Jul2021'!AI60-'Tariffs Jul2021'!L60)*('Tariffs Jul2021'!R60/100)*'Tariffs Jul2021'!AI60,('Tariffs Jul2021'!M60-'Tariffs Jul2021'!L60)*('Tariffs Jul2021'!R60/100)*'Tariffs Jul2021'!AI60))</f>
        <v>0</v>
      </c>
      <c r="I66" s="59">
        <f>IF(($C$5*'Tariffs Jul2021'!AK60/'Tariffs Jul2021'!AI60&gt;'Tariffs Jul2021'!M60),($C$5*'Tariffs Jul2021'!AK60/'Tariffs Jul2021'!AI60-'Tariffs Jul2021'!M60)*'Tariffs Jul2021'!S60/100*'Tariffs Jul2021'!AI60,0)</f>
        <v>95.999999999999986</v>
      </c>
      <c r="J66" s="59">
        <f>IF($C$5*'Tariffs Jul2021'!AL60/'Tariffs Jul2021'!AJ60&gt;='Tariffs Jul2021'!J60,('Tariffs Jul2021'!J60*'Tariffs Jul2021'!U60/100)* 'Tariffs Jul2021'!AJ60,($C$5*'Tariffs Jul2021'!AL60/'Tariffs Jul2021'!AJ60*'Tariffs Jul2021'!U60/100)* 'Tariffs Jul2021'!AJ60)</f>
        <v>91.521818181818176</v>
      </c>
      <c r="K66" s="59">
        <f>IF($C$5*'Tariffs Jul2021'!AL60/'Tariffs Jul2021'!AJ60&lt;'Tariffs Jul2021'!J60,0,IF($C$5*'Tariffs Jul2021'!AL60/'Tariffs Jul2021'!AJ60&lt;='Tariffs Jul2021'!K60,($C$5*'Tariffs Jul2021'!AL60/'Tariffs Jul2021'!AJ60-'Tariffs Jul2021'!J60)*('Tariffs Jul2021'!V60/100)*'Tariffs Jul2021'!AJ60,('Tariffs Jul2021'!K60-'Tariffs Jul2021'!J60)*('Tariffs Jul2021'!V60/100)*'Tariffs Jul2021'!AJ60))</f>
        <v>71.322272727272718</v>
      </c>
      <c r="L66" s="59">
        <f>IF($C$5*'Tariffs Jul2021'!AL60/'Tariffs Jul2021'!AJ60&lt;'Tariffs Jul2021'!K60,0,IF($C$5*'Tariffs Jul2021'!AL60/'Tariffs Jul2021'!AJ60&lt;='Tariffs Jul2021'!L60,($C$5*'Tariffs Jul2021'!AL60/'Tariffs Jul2021'!AJ60-'Tariffs Jul2021'!K60)*('Tariffs Jul2021'!W60/100)*'Tariffs Jul2021'!AJ60,('Tariffs Jul2021'!L60-'Tariffs Jul2021'!K60)*('Tariffs Jul2021'!W60/100)*'Tariffs Jul2021'!AJ60))</f>
        <v>0</v>
      </c>
      <c r="M66" s="59">
        <f>IF($C$5*'Tariffs Jul2021'!AL60/'Tariffs Jul2021'!AJ60&lt;'Tariffs Jul2021'!L60,0,IF($C$5*'Tariffs Jul2021'!AL60/'Tariffs Jul2021'!AJ60&lt;='Tariffs Jul2021'!M60,($C$5*'Tariffs Jul2021'!AL60/'Tariffs Jul2021'!AJ60-'Tariffs Jul2021'!L60)*('Tariffs Jul2021'!X60/100)*'Tariffs Jul2021'!AJ60,('Tariffs Jul2021'!M60-'Tariffs Jul2021'!L60)*('Tariffs Jul2021'!X60/100)*'Tariffs Jul2021'!AJ60))</f>
        <v>0</v>
      </c>
      <c r="N66" s="59">
        <f>IF(($C$5*'Tariffs Jul2021'!AL60/'Tariffs Jul2021'!AJ60&gt;'Tariffs Jul2021'!M60),($C$5*'Tariffs Jul2021'!AL60/'Tariffs Jul2021'!AJ60-'Tariffs Jul2021'!M60)*'Tariffs Jul2021'!Y60/100*'Tariffs Jul2021'!AJ60,0)</f>
        <v>95.999999999999986</v>
      </c>
      <c r="O66" s="59">
        <f t="shared" si="1"/>
        <v>517.68818181818176</v>
      </c>
      <c r="P66" s="503">
        <f t="shared" si="2"/>
        <v>569.45699999999999</v>
      </c>
      <c r="Q66" s="59">
        <f t="shared" si="3"/>
        <v>765.88818181818169</v>
      </c>
      <c r="R66" s="272">
        <f t="shared" si="4"/>
        <v>842.47699999999998</v>
      </c>
      <c r="S66" s="40">
        <f>'Tariffs Jul2021'!AN60</f>
        <v>0</v>
      </c>
      <c r="T66" s="40">
        <f>'Tariffs Jul2021'!AO60</f>
        <v>0</v>
      </c>
      <c r="U66" s="40">
        <f>'Tariffs Jul2021'!AP60</f>
        <v>0</v>
      </c>
      <c r="V66" s="40">
        <f>'Tariffs Jul2021'!AQ60</f>
        <v>0</v>
      </c>
      <c r="W66" s="537" t="str">
        <f t="shared" si="46"/>
        <v>No discount</v>
      </c>
      <c r="X66" s="538" t="str">
        <f t="shared" si="47"/>
        <v>Exclusive</v>
      </c>
      <c r="Y66" s="534">
        <f t="shared" si="54"/>
        <v>765.88818181818169</v>
      </c>
      <c r="Z66" s="535">
        <f t="shared" si="55"/>
        <v>765.88818181818169</v>
      </c>
      <c r="AA66" s="542">
        <f t="shared" si="45"/>
        <v>842.47699999999998</v>
      </c>
      <c r="AB66" s="542">
        <f t="shared" si="45"/>
        <v>842.47699999999998</v>
      </c>
      <c r="AC66" s="274">
        <f>'Tariffs Jul2021'!AZ60</f>
        <v>0</v>
      </c>
      <c r="AD66" s="274" t="str">
        <f>'Tariffs Jul2021'!BA60</f>
        <v>n</v>
      </c>
      <c r="AE66" s="275" t="str">
        <f>'Tariffs Jul2021'!BJ60</f>
        <v>Y</v>
      </c>
      <c r="AF66" s="574"/>
      <c r="AG66" s="574"/>
      <c r="AH66" s="574"/>
      <c r="AI66" s="574"/>
      <c r="AJ66" s="574"/>
      <c r="AK66" s="574"/>
      <c r="AL66" s="574"/>
      <c r="AM66" s="574"/>
      <c r="AN66" s="574"/>
      <c r="AO66" s="574"/>
      <c r="AP66" s="574"/>
      <c r="AQ66" s="574"/>
      <c r="AR66" s="574"/>
      <c r="AS66" s="574"/>
      <c r="AT66" s="574"/>
      <c r="AU66" s="574"/>
      <c r="AV66" s="574"/>
      <c r="AW66" s="574"/>
      <c r="AX66" s="574"/>
    </row>
    <row r="67" spans="1:50" ht="14" x14ac:dyDescent="0.15">
      <c r="A67" s="270" t="str">
        <f>'Tariffs Jul2021'!F61</f>
        <v>GloBird Energy</v>
      </c>
      <c r="B67" s="40" t="str">
        <f>'Tariffs Jul2021'!D61</f>
        <v>AGN Central 2</v>
      </c>
      <c r="C67" s="40" t="str">
        <f>'Tariffs Jul2021'!G61</f>
        <v>GloSave</v>
      </c>
      <c r="D67" s="59">
        <f>365*'Tariffs Jul2021'!H61/100</f>
        <v>200.74999999999997</v>
      </c>
      <c r="E67" s="59">
        <f>IF($C$5*'Tariffs Jul2021'!AK61/'Tariffs Jul2021'!AI61&gt;='Tariffs Jul2021'!J61,( 'Tariffs Jul2021'!J61*'Tariffs Jul2021'!O61/100)* 'Tariffs Jul2021'!AI61,($C$5*'Tariffs Jul2021'!AK61/'Tariffs Jul2021'!AI61*'Tariffs Jul2021'!O61/100)* 'Tariffs Jul2021'!AI61)</f>
        <v>170.99999999999997</v>
      </c>
      <c r="F67" s="59">
        <f>IF($C$5*'Tariffs Jul2021'!AK61/'Tariffs Jul2021'!AI61&lt;'Tariffs Jul2021'!J61,0,IF($C$5*'Tariffs Jul2021'!AK61/'Tariffs Jul2021'!AI61&lt;='Tariffs Jul2021'!K61,($C$5*'Tariffs Jul2021'!AK61/'Tariffs Jul2021'!AI61-'Tariffs Jul2021'!J61)*('Tariffs Jul2021'!P61/100)*'Tariffs Jul2021'!AI61,('Tariffs Jul2021'!K61-'Tariffs Jul2021'!J61)*('Tariffs Jul2021'!P61/100)*'Tariffs Jul2021'!AI61))</f>
        <v>0</v>
      </c>
      <c r="G67" s="59">
        <f>IF($C$5*'Tariffs Jul2021'!AK61/'Tariffs Jul2021'!AI61&lt;'Tariffs Jul2021'!K61,0,IF($C$5*'Tariffs Jul2021'!AK61/'Tariffs Jul2021'!AI61&lt;='Tariffs Jul2021'!L61,($C$5*'Tariffs Jul2021'!AK61/'Tariffs Jul2021'!AI61-'Tariffs Jul2021'!K61)*('Tariffs Jul2021'!Q61/100)*'Tariffs Jul2021'!AI61,('Tariffs Jul2021'!L61-'Tariffs Jul2021'!K61)*('Tariffs Jul2021'!Q61/100)*'Tariffs Jul2021'!AI61))</f>
        <v>0</v>
      </c>
      <c r="H67" s="59">
        <f>IF($C$5*'Tariffs Jul2021'!AK61/'Tariffs Jul2021'!AI61&lt;'Tariffs Jul2021'!L61,0,IF($C$5*'Tariffs Jul2021'!AK61/'Tariffs Jul2021'!AI61&lt;='Tariffs Jul2021'!M61,($C$5*'Tariffs Jul2021'!AK61/'Tariffs Jul2021'!AI61-'Tariffs Jul2021'!L61)*('Tariffs Jul2021'!R61/100)*'Tariffs Jul2021'!AI61,('Tariffs Jul2021'!M61-'Tariffs Jul2021'!L61)*('Tariffs Jul2021'!R61/100)*'Tariffs Jul2021'!AI61))</f>
        <v>0</v>
      </c>
      <c r="I67" s="59">
        <f>IF(($C$5*'Tariffs Jul2021'!AK61/'Tariffs Jul2021'!AI61&gt;'Tariffs Jul2021'!M61),($C$5*'Tariffs Jul2021'!AK61/'Tariffs Jul2021'!AI61-'Tariffs Jul2021'!M61)*'Tariffs Jul2021'!S61/100*'Tariffs Jul2021'!AI61,0)</f>
        <v>85.63636363636364</v>
      </c>
      <c r="J67" s="59">
        <f>IF($C$5*'Tariffs Jul2021'!AL61/'Tariffs Jul2021'!AJ61&gt;='Tariffs Jul2021'!J61,('Tariffs Jul2021'!J61*'Tariffs Jul2021'!U61/100)* 'Tariffs Jul2021'!AJ61,($C$5*'Tariffs Jul2021'!AL61/'Tariffs Jul2021'!AJ61*'Tariffs Jul2021'!U61/100)* 'Tariffs Jul2021'!AJ61)</f>
        <v>170.99999999999997</v>
      </c>
      <c r="K67" s="59">
        <f>IF($C$5*'Tariffs Jul2021'!AL61/'Tariffs Jul2021'!AJ61&lt;'Tariffs Jul2021'!J61,0,IF($C$5*'Tariffs Jul2021'!AL61/'Tariffs Jul2021'!AJ61&lt;='Tariffs Jul2021'!K61,($C$5*'Tariffs Jul2021'!AL61/'Tariffs Jul2021'!AJ61-'Tariffs Jul2021'!J61)*('Tariffs Jul2021'!V61/100)*'Tariffs Jul2021'!AJ61,('Tariffs Jul2021'!K61-'Tariffs Jul2021'!J61)*('Tariffs Jul2021'!V61/100)*'Tariffs Jul2021'!AJ61))</f>
        <v>0</v>
      </c>
      <c r="L67" s="59">
        <f>IF($C$5*'Tariffs Jul2021'!AL61/'Tariffs Jul2021'!AJ61&lt;'Tariffs Jul2021'!K61,0,IF($C$5*'Tariffs Jul2021'!AL61/'Tariffs Jul2021'!AJ61&lt;='Tariffs Jul2021'!L61,($C$5*'Tariffs Jul2021'!AL61/'Tariffs Jul2021'!AJ61-'Tariffs Jul2021'!K61)*('Tariffs Jul2021'!W61/100)*'Tariffs Jul2021'!AJ61,('Tariffs Jul2021'!L61-'Tariffs Jul2021'!K61)*('Tariffs Jul2021'!W61/100)*'Tariffs Jul2021'!AJ61))</f>
        <v>0</v>
      </c>
      <c r="M67" s="59">
        <f>IF($C$5*'Tariffs Jul2021'!AL61/'Tariffs Jul2021'!AJ61&lt;'Tariffs Jul2021'!L61,0,IF($C$5*'Tariffs Jul2021'!AL61/'Tariffs Jul2021'!AJ61&lt;='Tariffs Jul2021'!M61,($C$5*'Tariffs Jul2021'!AL61/'Tariffs Jul2021'!AJ61-'Tariffs Jul2021'!L61)*('Tariffs Jul2021'!X61/100)*'Tariffs Jul2021'!AJ61,('Tariffs Jul2021'!M61-'Tariffs Jul2021'!L61)*('Tariffs Jul2021'!X61/100)*'Tariffs Jul2021'!AJ61))</f>
        <v>0</v>
      </c>
      <c r="N67" s="59">
        <f>IF(($C$5*'Tariffs Jul2021'!AL61/'Tariffs Jul2021'!AJ61&gt;'Tariffs Jul2021'!M61),($C$5*'Tariffs Jul2021'!AL61/'Tariffs Jul2021'!AJ61-'Tariffs Jul2021'!M61)*'Tariffs Jul2021'!Y61/100*'Tariffs Jul2021'!AJ61,0)</f>
        <v>85.63636363636364</v>
      </c>
      <c r="O67" s="59">
        <f t="shared" si="1"/>
        <v>513.27272727272725</v>
      </c>
      <c r="P67" s="503">
        <f t="shared" si="2"/>
        <v>564.6</v>
      </c>
      <c r="Q67" s="59">
        <f t="shared" si="3"/>
        <v>714.02272727272725</v>
      </c>
      <c r="R67" s="272">
        <f t="shared" si="4"/>
        <v>785.42500000000007</v>
      </c>
      <c r="S67" s="40">
        <f>'Tariffs Jul2021'!AN61</f>
        <v>0</v>
      </c>
      <c r="T67" s="40">
        <f>'Tariffs Jul2021'!AO61</f>
        <v>0</v>
      </c>
      <c r="U67" s="40">
        <f>'Tariffs Jul2021'!AP61</f>
        <v>0</v>
      </c>
      <c r="V67" s="40">
        <f>'Tariffs Jul2021'!AQ61</f>
        <v>0</v>
      </c>
      <c r="W67" s="537" t="str">
        <f t="shared" si="46"/>
        <v>No discount</v>
      </c>
      <c r="X67" s="538" t="str">
        <f t="shared" si="47"/>
        <v>Exclusive</v>
      </c>
      <c r="Y67" s="534">
        <f t="shared" si="54"/>
        <v>714.02272727272725</v>
      </c>
      <c r="Z67" s="535">
        <f t="shared" si="55"/>
        <v>714.02272727272725</v>
      </c>
      <c r="AA67" s="542">
        <f t="shared" si="45"/>
        <v>785.42500000000007</v>
      </c>
      <c r="AB67" s="542">
        <f t="shared" si="45"/>
        <v>785.42500000000007</v>
      </c>
      <c r="AC67" s="274">
        <f>'Tariffs Jul2021'!AZ61</f>
        <v>0</v>
      </c>
      <c r="AD67" s="274" t="str">
        <f>'Tariffs Jul2021'!BA61</f>
        <v>n</v>
      </c>
      <c r="AE67" s="275" t="str">
        <f>'Tariffs Jul2021'!BJ61</f>
        <v>N</v>
      </c>
      <c r="AF67" s="574"/>
      <c r="AG67" s="574"/>
      <c r="AH67" s="574"/>
      <c r="AI67" s="574"/>
      <c r="AJ67" s="574"/>
      <c r="AK67" s="574"/>
      <c r="AL67" s="574"/>
      <c r="AM67" s="574"/>
      <c r="AN67" s="574"/>
      <c r="AO67" s="574"/>
      <c r="AP67" s="574"/>
      <c r="AQ67" s="574"/>
      <c r="AR67" s="574"/>
      <c r="AS67" s="574"/>
      <c r="AT67" s="574"/>
      <c r="AU67" s="574"/>
      <c r="AV67" s="574"/>
      <c r="AW67" s="574"/>
      <c r="AX67" s="574"/>
    </row>
    <row r="68" spans="1:50" ht="14" x14ac:dyDescent="0.15">
      <c r="A68" s="270" t="str">
        <f>'Tariffs Jul2021'!F62</f>
        <v>Powershop</v>
      </c>
      <c r="B68" s="40" t="str">
        <f>'Tariffs Jul2021'!D62</f>
        <v>AGN Central 2</v>
      </c>
      <c r="C68" s="40" t="str">
        <f>'Tariffs Jul2021'!G62</f>
        <v>Market offer</v>
      </c>
      <c r="D68" s="59">
        <f>365*'Tariffs Jul2021'!H62/100</f>
        <v>247.8681818181818</v>
      </c>
      <c r="E68" s="59">
        <f>((C$5*'Tariffs Jul2021'!AK62/'Tariffs Jul2021'!AI62)*('Tariffs Jul2021'!O62/100))*'Tariffs Jul2021'!AI62</f>
        <v>270</v>
      </c>
      <c r="F68" s="59">
        <v>0</v>
      </c>
      <c r="G68" s="59">
        <v>0</v>
      </c>
      <c r="H68" s="59">
        <v>0</v>
      </c>
      <c r="I68" s="59">
        <v>0</v>
      </c>
      <c r="J68" s="59">
        <f>((C$5*'Tariffs Jul2021'!AL62/'Tariffs Jul2021'!AJ62)*('Tariffs Jul2021'!U62/100))*'Tariffs Jul2021'!AJ62</f>
        <v>270</v>
      </c>
      <c r="K68" s="59">
        <v>0</v>
      </c>
      <c r="L68" s="59">
        <v>0</v>
      </c>
      <c r="M68" s="59">
        <v>0</v>
      </c>
      <c r="N68" s="59">
        <v>0</v>
      </c>
      <c r="O68" s="59">
        <f t="shared" si="1"/>
        <v>540</v>
      </c>
      <c r="P68" s="503">
        <f t="shared" si="2"/>
        <v>594</v>
      </c>
      <c r="Q68" s="59">
        <f t="shared" si="3"/>
        <v>787.86818181818182</v>
      </c>
      <c r="R68" s="272">
        <f t="shared" si="4"/>
        <v>866.65500000000009</v>
      </c>
      <c r="S68" s="40">
        <f>'Tariffs Jul2021'!AN62</f>
        <v>0</v>
      </c>
      <c r="T68" s="40">
        <f>'Tariffs Jul2021'!AO62</f>
        <v>0</v>
      </c>
      <c r="U68" s="40">
        <f>'Tariffs Jul2021'!AP62</f>
        <v>0</v>
      </c>
      <c r="V68" s="40">
        <f>'Tariffs Jul2021'!AQ62</f>
        <v>0</v>
      </c>
      <c r="W68" s="537" t="str">
        <f t="shared" si="46"/>
        <v>No discount</v>
      </c>
      <c r="X68" s="538" t="str">
        <f t="shared" si="47"/>
        <v>Inclusive</v>
      </c>
      <c r="Y68" s="534">
        <f>IF(AND(W68="Guaranteed off bill",X68="Inclusive"),((Q68*1.1)-((Q68*1.1)*S68/100))/1.1,IF(AND(W68="Guaranteed off usage",X68="Inclusive"),((Q68*1.1)-((P68*1.1)*T68/100))/1.1,IF(AND(W68="Guaranteed off bill",X68="Exclusive"),Q68-(Q68*S68/100),IF(AND(W68="Guaranteed off usage",X68="Exclusive"),Q68-(P68*T68/100),IF(X68="Inclusive",((Q68*1.1))/1.1,Q68)))))</f>
        <v>787.86818181818182</v>
      </c>
      <c r="Z68" s="535">
        <f>IF(AND(W68="Pay-on-time off bill",X68="Inclusive"),((Y68*1.1)-((Y68*1.1)*U68/100))/1.1,IF(AND(W68="Pay-on-time off usage",X68="Inclusive"),((Y68*1.1)-((P68*1.1)*V68/100))/1.1,IF(AND(W68="Pay-on-time off bill",X68="Exclusive"),Y68-(Y68*U68/100),IF(AND(W68="Pay-on-time off usage",X68="Exclusive"),Y68-(P68*V68/100),IF(X68="Inclusive",((Y68*1.1))/1.1,Y68)))))</f>
        <v>787.86818181818182</v>
      </c>
      <c r="AA68" s="542">
        <f t="shared" si="45"/>
        <v>866.65500000000009</v>
      </c>
      <c r="AB68" s="542">
        <f t="shared" si="45"/>
        <v>866.65500000000009</v>
      </c>
      <c r="AC68" s="274">
        <f>'Tariffs Jul2021'!AZ62</f>
        <v>0</v>
      </c>
      <c r="AD68" s="274" t="str">
        <f>'Tariffs Jul2021'!BA62</f>
        <v>n</v>
      </c>
      <c r="AE68" s="275" t="str">
        <f>'Tariffs Jul2021'!BJ62</f>
        <v>Y</v>
      </c>
      <c r="AF68" s="574"/>
      <c r="AG68" s="574"/>
      <c r="AH68" s="574"/>
      <c r="AI68" s="574"/>
      <c r="AJ68" s="574"/>
      <c r="AK68" s="574"/>
      <c r="AL68" s="574"/>
      <c r="AM68" s="574"/>
      <c r="AN68" s="574"/>
      <c r="AO68" s="574"/>
      <c r="AP68" s="574"/>
      <c r="AQ68" s="574"/>
      <c r="AR68" s="574"/>
      <c r="AS68" s="574"/>
      <c r="AT68" s="574"/>
      <c r="AU68" s="574"/>
      <c r="AV68" s="574"/>
      <c r="AW68" s="574"/>
      <c r="AX68" s="574"/>
    </row>
    <row r="69" spans="1:50" ht="14" x14ac:dyDescent="0.15">
      <c r="A69" s="270" t="str">
        <f>'Tariffs Jul2021'!F63</f>
        <v>1st Energy</v>
      </c>
      <c r="B69" s="40" t="str">
        <f>'Tariffs Jul2021'!D63</f>
        <v>AGN Central 2</v>
      </c>
      <c r="C69" s="40" t="str">
        <f>'Tariffs Jul2021'!G63</f>
        <v>1st Saver Plus</v>
      </c>
      <c r="D69" s="59">
        <f>365*'Tariffs Jul2021'!H63/100</f>
        <v>266.45</v>
      </c>
      <c r="E69" s="59">
        <f>IF($C$5*'Tariffs Jul2021'!AK63/'Tariffs Jul2021'!AI63&gt;='Tariffs Jul2021'!J63,( 'Tariffs Jul2021'!J63*'Tariffs Jul2021'!O63/100)* 'Tariffs Jul2021'!AI63,($C$5*'Tariffs Jul2021'!AK63/'Tariffs Jul2021'!AI63*'Tariffs Jul2021'!O63/100)* 'Tariffs Jul2021'!AI63)</f>
        <v>135.03954545454545</v>
      </c>
      <c r="F69" s="59">
        <f>IF($C$5*'Tariffs Jul2021'!AK63/'Tariffs Jul2021'!AI63&lt;'Tariffs Jul2021'!J63,0,IF($C$5*'Tariffs Jul2021'!AK63/'Tariffs Jul2021'!AI63&lt;='Tariffs Jul2021'!K63,($C$5*'Tariffs Jul2021'!AK63/'Tariffs Jul2021'!AI63-'Tariffs Jul2021'!J63)*('Tariffs Jul2021'!P63/100)*'Tariffs Jul2021'!AI63,('Tariffs Jul2021'!K63-'Tariffs Jul2021'!J63)*('Tariffs Jul2021'!P63/100)*'Tariffs Jul2021'!AI63))</f>
        <v>98.299090909090907</v>
      </c>
      <c r="G69" s="59">
        <f>IF($C$5*'Tariffs Jul2021'!AK63/'Tariffs Jul2021'!AI63&lt;'Tariffs Jul2021'!K63,0,IF($C$5*'Tariffs Jul2021'!AK63/'Tariffs Jul2021'!AI63&lt;='Tariffs Jul2021'!L63,($C$5*'Tariffs Jul2021'!AK63/'Tariffs Jul2021'!AI63-'Tariffs Jul2021'!K63)*('Tariffs Jul2021'!Q63/100)*'Tariffs Jul2021'!AI63,('Tariffs Jul2021'!L63-'Tariffs Jul2021'!K63)*('Tariffs Jul2021'!Q63/100)*'Tariffs Jul2021'!AI63))</f>
        <v>0</v>
      </c>
      <c r="H69" s="59">
        <f>IF($C$5*'Tariffs Jul2021'!AK63/'Tariffs Jul2021'!AI63&lt;'Tariffs Jul2021'!L63,0,IF($C$5*'Tariffs Jul2021'!AK63/'Tariffs Jul2021'!AI63&lt;='Tariffs Jul2021'!M63,($C$5*'Tariffs Jul2021'!AK63/'Tariffs Jul2021'!AI63-'Tariffs Jul2021'!L63)*('Tariffs Jul2021'!R63/100)*'Tariffs Jul2021'!AI63,('Tariffs Jul2021'!M63-'Tariffs Jul2021'!L63)*('Tariffs Jul2021'!R63/100)*'Tariffs Jul2021'!AI63))</f>
        <v>0</v>
      </c>
      <c r="I69" s="59">
        <f>IF(($C$5*'Tariffs Jul2021'!AK63/'Tariffs Jul2021'!AI63&gt;'Tariffs Jul2021'!M63),($C$5*'Tariffs Jul2021'!AK63/'Tariffs Jul2021'!AI63-'Tariffs Jul2021'!M63)*'Tariffs Jul2021'!S63/100*'Tariffs Jul2021'!AI63,0)</f>
        <v>124.36363636363636</v>
      </c>
      <c r="J69" s="59">
        <f>IF($C$5*'Tariffs Jul2021'!AL63/'Tariffs Jul2021'!AJ63&gt;='Tariffs Jul2021'!J63,('Tariffs Jul2021'!J63*'Tariffs Jul2021'!U63/100)* 'Tariffs Jul2021'!AJ63,($C$5*'Tariffs Jul2021'!AL63/'Tariffs Jul2021'!AJ63*'Tariffs Jul2021'!U63/100)* 'Tariffs Jul2021'!AJ63)</f>
        <v>135.03954545454545</v>
      </c>
      <c r="K69" s="59">
        <f>IF($C$5*'Tariffs Jul2021'!AL63/'Tariffs Jul2021'!AJ63&lt;'Tariffs Jul2021'!J63,0,IF($C$5*'Tariffs Jul2021'!AL63/'Tariffs Jul2021'!AJ63&lt;='Tariffs Jul2021'!K63,($C$5*'Tariffs Jul2021'!AL63/'Tariffs Jul2021'!AJ63-'Tariffs Jul2021'!J63)*('Tariffs Jul2021'!V63/100)*'Tariffs Jul2021'!AJ63,('Tariffs Jul2021'!K63-'Tariffs Jul2021'!J63)*('Tariffs Jul2021'!V63/100)*'Tariffs Jul2021'!AJ63))</f>
        <v>98.299090909090907</v>
      </c>
      <c r="L69" s="59">
        <f>IF($C$5*'Tariffs Jul2021'!AL63/'Tariffs Jul2021'!AJ63&lt;'Tariffs Jul2021'!K63,0,IF($C$5*'Tariffs Jul2021'!AL63/'Tariffs Jul2021'!AJ63&lt;='Tariffs Jul2021'!L63,($C$5*'Tariffs Jul2021'!AL63/'Tariffs Jul2021'!AJ63-'Tariffs Jul2021'!K63)*('Tariffs Jul2021'!W63/100)*'Tariffs Jul2021'!AJ63,('Tariffs Jul2021'!L63-'Tariffs Jul2021'!K63)*('Tariffs Jul2021'!W63/100)*'Tariffs Jul2021'!AJ63))</f>
        <v>0</v>
      </c>
      <c r="M69" s="59">
        <f>IF($C$5*'Tariffs Jul2021'!AL63/'Tariffs Jul2021'!AJ63&lt;'Tariffs Jul2021'!L63,0,IF($C$5*'Tariffs Jul2021'!AL63/'Tariffs Jul2021'!AJ63&lt;='Tariffs Jul2021'!M63,($C$5*'Tariffs Jul2021'!AL63/'Tariffs Jul2021'!AJ63-'Tariffs Jul2021'!L63)*('Tariffs Jul2021'!X63/100)*'Tariffs Jul2021'!AJ63,('Tariffs Jul2021'!M63-'Tariffs Jul2021'!L63)*('Tariffs Jul2021'!X63/100)*'Tariffs Jul2021'!AJ63))</f>
        <v>0</v>
      </c>
      <c r="N69" s="59">
        <f>IF(($C$5*'Tariffs Jul2021'!AL63/'Tariffs Jul2021'!AJ63&gt;'Tariffs Jul2021'!M63),($C$5*'Tariffs Jul2021'!AL63/'Tariffs Jul2021'!AJ63-'Tariffs Jul2021'!M63)*'Tariffs Jul2021'!Y63/100*'Tariffs Jul2021'!AJ63,0)</f>
        <v>124.36363636363636</v>
      </c>
      <c r="O69" s="59">
        <f t="shared" si="1"/>
        <v>715.40454545454543</v>
      </c>
      <c r="P69" s="503">
        <f t="shared" ref="P69:P129" si="56">O69*1.1</f>
        <v>786.94500000000005</v>
      </c>
      <c r="Q69" s="59">
        <f t="shared" si="3"/>
        <v>981.85454545454536</v>
      </c>
      <c r="R69" s="272">
        <f t="shared" si="4"/>
        <v>1080.04</v>
      </c>
      <c r="S69" s="40">
        <f>'Tariffs Jul2021'!AN63</f>
        <v>0</v>
      </c>
      <c r="T69" s="40">
        <f>'Tariffs Jul2021'!AO63</f>
        <v>12</v>
      </c>
      <c r="U69" s="40">
        <f>'Tariffs Jul2021'!AP63</f>
        <v>0</v>
      </c>
      <c r="V69" s="40">
        <f>'Tariffs Jul2021'!AQ63</f>
        <v>3</v>
      </c>
      <c r="W69" s="537" t="str">
        <f t="shared" si="46"/>
        <v>Guaranteed off usage</v>
      </c>
      <c r="X69" s="538" t="str">
        <f t="shared" si="47"/>
        <v>Exclusive</v>
      </c>
      <c r="Y69" s="534">
        <f>Q69-(P69*T69)/100</f>
        <v>887.42114545454535</v>
      </c>
      <c r="Z69" s="535">
        <f>Y69-(P69*V69)/100</f>
        <v>863.81279545454538</v>
      </c>
      <c r="AA69" s="542">
        <f t="shared" si="45"/>
        <v>976.16325999999992</v>
      </c>
      <c r="AB69" s="542">
        <f t="shared" si="45"/>
        <v>950.194075</v>
      </c>
      <c r="AC69" s="274">
        <f>'Tariffs Jul2021'!AZ63</f>
        <v>0</v>
      </c>
      <c r="AD69" s="274" t="str">
        <f>'Tariffs Jul2021'!BA63</f>
        <v>n</v>
      </c>
      <c r="AE69" s="275" t="str">
        <f>'Tariffs Jul2021'!BJ63</f>
        <v>Y</v>
      </c>
      <c r="AF69" s="574"/>
      <c r="AG69" s="574"/>
      <c r="AH69" s="574"/>
      <c r="AI69" s="574"/>
      <c r="AJ69" s="574"/>
      <c r="AK69" s="574"/>
      <c r="AL69" s="574"/>
      <c r="AM69" s="574"/>
      <c r="AN69" s="574"/>
      <c r="AO69" s="574"/>
      <c r="AP69" s="574"/>
      <c r="AQ69" s="574"/>
      <c r="AR69" s="574"/>
      <c r="AS69" s="574"/>
      <c r="AT69" s="574"/>
      <c r="AU69" s="574"/>
      <c r="AV69" s="574"/>
      <c r="AW69" s="574"/>
      <c r="AX69" s="574"/>
    </row>
    <row r="70" spans="1:50" ht="14" x14ac:dyDescent="0.15">
      <c r="A70" s="270" t="str">
        <f>'Tariffs Jul2021'!F64</f>
        <v>Kogan Energy</v>
      </c>
      <c r="B70" s="40" t="str">
        <f>'Tariffs Jul2021'!D64</f>
        <v>AGN Central 2</v>
      </c>
      <c r="C70" s="40" t="str">
        <f>'Tariffs Jul2021'!G64</f>
        <v>Market offer</v>
      </c>
      <c r="D70" s="59">
        <f>365*'Tariffs Jul2021'!H64/100</f>
        <v>216.87636363636364</v>
      </c>
      <c r="E70" s="59">
        <f>((C$5*'Tariffs Jul2021'!AK64/'Tariffs Jul2021'!AI64)*('Tariffs Jul2021'!O64/100))*'Tariffs Jul2021'!AI64</f>
        <v>293.18181818181813</v>
      </c>
      <c r="F70" s="59">
        <v>0</v>
      </c>
      <c r="G70" s="59">
        <v>0</v>
      </c>
      <c r="H70" s="59">
        <v>0</v>
      </c>
      <c r="I70" s="59">
        <v>0</v>
      </c>
      <c r="J70" s="59">
        <f>((C$5*'Tariffs Jul2021'!AL64/'Tariffs Jul2021'!AJ64)*('Tariffs Jul2021'!U64/100))*'Tariffs Jul2021'!AJ64</f>
        <v>293.18181818181813</v>
      </c>
      <c r="K70" s="59">
        <v>0</v>
      </c>
      <c r="L70" s="59">
        <v>0</v>
      </c>
      <c r="M70" s="59">
        <v>0</v>
      </c>
      <c r="N70" s="59">
        <v>0</v>
      </c>
      <c r="O70" s="59">
        <f t="shared" si="1"/>
        <v>586.36363636363626</v>
      </c>
      <c r="P70" s="503">
        <f t="shared" si="56"/>
        <v>644.99999999999989</v>
      </c>
      <c r="Q70" s="59">
        <f t="shared" si="3"/>
        <v>803.2399999999999</v>
      </c>
      <c r="R70" s="272">
        <f t="shared" si="4"/>
        <v>883.56399999999996</v>
      </c>
      <c r="S70" s="40">
        <f>'Tariffs Jul2021'!AN64</f>
        <v>0</v>
      </c>
      <c r="T70" s="40">
        <f>'Tariffs Jul2021'!AO64</f>
        <v>0</v>
      </c>
      <c r="U70" s="40">
        <f>'Tariffs Jul2021'!AP64</f>
        <v>0</v>
      </c>
      <c r="V70" s="40">
        <f>'Tariffs Jul2021'!AQ64</f>
        <v>0</v>
      </c>
      <c r="W70" s="537" t="str">
        <f t="shared" si="46"/>
        <v>No discount</v>
      </c>
      <c r="X70" s="538" t="str">
        <f t="shared" si="47"/>
        <v>Exclusive</v>
      </c>
      <c r="Y70" s="534">
        <f t="shared" ref="Y70:Y71" si="57">IF(AND(W70="Guaranteed off bill",X70="Inclusive"),((Q70*1.1)-((Q70*1.1)*S70/100))/1.1,IF(AND(W70="Guaranteed off usage",X70="Inclusive"),((Q70*1.1)-((P70*1.1)*T70/100))/1.1,IF(AND(W70="Guaranteed off bill",X70="Exclusive"),Q70-(Q70*S70/100),IF(AND(W70="Guaranteed off usage",X70="Exclusive"),Q70-(P70*T70/100),IF(X70="Inclusive",((Q70*1.1))/1.1,Q70)))))</f>
        <v>803.2399999999999</v>
      </c>
      <c r="Z70" s="535">
        <f t="shared" ref="Z70:Z71" si="58">IF(AND(W70="Pay-on-time off bill",X70="Inclusive"),((Y70*1.1)-((Y70*1.1)*U70/100))/1.1,IF(AND(W70="Pay-on-time off usage",X70="Inclusive"),((Y70*1.1)-((P70*1.1)*V70/100))/1.1,IF(AND(W70="Pay-on-time off bill",X70="Exclusive"),Y70-(Y70*U70/100),IF(AND(W70="Pay-on-time off usage",X70="Exclusive"),Y70-(P70*V70/100),IF(X70="Inclusive",((Y70*1.1))/1.1,Y70)))))</f>
        <v>803.2399999999999</v>
      </c>
      <c r="AA70" s="542">
        <f t="shared" si="45"/>
        <v>883.56399999999996</v>
      </c>
      <c r="AB70" s="542">
        <f t="shared" si="45"/>
        <v>883.56399999999996</v>
      </c>
      <c r="AC70" s="274">
        <f>'Tariffs Jul2021'!AZ64</f>
        <v>0</v>
      </c>
      <c r="AD70" s="274" t="str">
        <f>'Tariffs Jul2021'!BA64</f>
        <v>n</v>
      </c>
      <c r="AE70" s="275" t="str">
        <f>'Tariffs Jul2021'!BJ64</f>
        <v>N</v>
      </c>
      <c r="AF70" s="574"/>
      <c r="AG70" s="574"/>
      <c r="AH70" s="574"/>
      <c r="AI70" s="574"/>
      <c r="AJ70" s="574"/>
      <c r="AK70" s="574"/>
      <c r="AL70" s="574"/>
      <c r="AM70" s="574"/>
      <c r="AN70" s="574"/>
      <c r="AO70" s="574"/>
      <c r="AP70" s="574"/>
      <c r="AQ70" s="574"/>
      <c r="AR70" s="574"/>
      <c r="AS70" s="574"/>
      <c r="AT70" s="574"/>
      <c r="AU70" s="574"/>
      <c r="AV70" s="574"/>
      <c r="AW70" s="574"/>
      <c r="AX70" s="574"/>
    </row>
    <row r="71" spans="1:50" ht="15" thickBot="1" x14ac:dyDescent="0.2">
      <c r="A71" s="276" t="str">
        <f>'Tariffs Jul2021'!F65</f>
        <v>Tango Energy</v>
      </c>
      <c r="B71" s="277" t="str">
        <f>'Tariffs Jul2021'!D65</f>
        <v>AGN Central 2</v>
      </c>
      <c r="C71" s="277" t="str">
        <f>'Tariffs Jul2021'!G65</f>
        <v>Home Select</v>
      </c>
      <c r="D71" s="278">
        <f>365*'Tariffs Jul2021'!H65/100</f>
        <v>273.75</v>
      </c>
      <c r="E71" s="278">
        <f>IF($C$5*'Tariffs Jul2021'!AK65/'Tariffs Jul2021'!AI65&gt;='Tariffs Jul2021'!J65,( 'Tariffs Jul2021'!J65*'Tariffs Jul2021'!O65/100)* 'Tariffs Jul2021'!AI65,($C$5*'Tariffs Jul2021'!AK65/'Tariffs Jul2021'!AI65*'Tariffs Jul2021'!O65/100)* 'Tariffs Jul2021'!AI65)</f>
        <v>82.997727272727275</v>
      </c>
      <c r="F71" s="278">
        <f>IF($C$5*'Tariffs Jul2021'!AK65/'Tariffs Jul2021'!AI65&lt;'Tariffs Jul2021'!J65,0,IF($C$5*'Tariffs Jul2021'!AK65/'Tariffs Jul2021'!AI65&lt;='Tariffs Jul2021'!K65,($C$5*'Tariffs Jul2021'!AK65/'Tariffs Jul2021'!AI65-'Tariffs Jul2021'!J65)*('Tariffs Jul2021'!P65/100)*'Tariffs Jul2021'!AI65,('Tariffs Jul2021'!K65-'Tariffs Jul2021'!J65)*('Tariffs Jul2021'!P65/100)*'Tariffs Jul2021'!AI65))</f>
        <v>60.974999999999987</v>
      </c>
      <c r="G71" s="278">
        <f>IF($C$5*'Tariffs Jul2021'!AK65/'Tariffs Jul2021'!AI65&lt;'Tariffs Jul2021'!K65,0,IF($C$5*'Tariffs Jul2021'!AK65/'Tariffs Jul2021'!AI65&lt;='Tariffs Jul2021'!L65,($C$5*'Tariffs Jul2021'!AK65/'Tariffs Jul2021'!AI65-'Tariffs Jul2021'!K65)*('Tariffs Jul2021'!Q65/100)*'Tariffs Jul2021'!AI65,('Tariffs Jul2021'!L65-'Tariffs Jul2021'!K65)*('Tariffs Jul2021'!Q65/100)*'Tariffs Jul2021'!AI65))</f>
        <v>0</v>
      </c>
      <c r="H71" s="278">
        <f>IF($C$5*'Tariffs Jul2021'!AK65/'Tariffs Jul2021'!AI65&lt;'Tariffs Jul2021'!L65,0,IF($C$5*'Tariffs Jul2021'!AK65/'Tariffs Jul2021'!AI65&lt;='Tariffs Jul2021'!M65,($C$5*'Tariffs Jul2021'!AK65/'Tariffs Jul2021'!AI65-'Tariffs Jul2021'!L65)*('Tariffs Jul2021'!R65/100)*'Tariffs Jul2021'!AI65,('Tariffs Jul2021'!M65-'Tariffs Jul2021'!L65)*('Tariffs Jul2021'!R65/100)*'Tariffs Jul2021'!AI65))</f>
        <v>0</v>
      </c>
      <c r="I71" s="278">
        <f>IF(($C$5*'Tariffs Jul2021'!AK65/'Tariffs Jul2021'!AI65&gt;'Tariffs Jul2021'!M65),($C$5*'Tariffs Jul2021'!AK65/'Tariffs Jul2021'!AI65-'Tariffs Jul2021'!M65)*'Tariffs Jul2021'!S65/100*'Tariffs Jul2021'!AI65,0)</f>
        <v>76.909090909090907</v>
      </c>
      <c r="J71" s="278">
        <f>IF($C$5*'Tariffs Jul2021'!AL65/'Tariffs Jul2021'!AJ65&gt;='Tariffs Jul2021'!J65,('Tariffs Jul2021'!J65*'Tariffs Jul2021'!U65/100)* 'Tariffs Jul2021'!AJ65,($C$5*'Tariffs Jul2021'!AL65/'Tariffs Jul2021'!AJ65*'Tariffs Jul2021'!U65/100)* 'Tariffs Jul2021'!AJ65)</f>
        <v>82.997727272727275</v>
      </c>
      <c r="K71" s="278">
        <f>IF($C$5*'Tariffs Jul2021'!AL65/'Tariffs Jul2021'!AJ65&lt;'Tariffs Jul2021'!J65,0,IF($C$5*'Tariffs Jul2021'!AL65/'Tariffs Jul2021'!AJ65&lt;='Tariffs Jul2021'!K65,($C$5*'Tariffs Jul2021'!AL65/'Tariffs Jul2021'!AJ65-'Tariffs Jul2021'!J65)*('Tariffs Jul2021'!V65/100)*'Tariffs Jul2021'!AJ65,('Tariffs Jul2021'!K65-'Tariffs Jul2021'!J65)*('Tariffs Jul2021'!V65/100)*'Tariffs Jul2021'!AJ65))</f>
        <v>60.974999999999987</v>
      </c>
      <c r="L71" s="278">
        <f>IF($C$5*'Tariffs Jul2021'!AL65/'Tariffs Jul2021'!AJ65&lt;'Tariffs Jul2021'!K65,0,IF($C$5*'Tariffs Jul2021'!AL65/'Tariffs Jul2021'!AJ65&lt;='Tariffs Jul2021'!L65,($C$5*'Tariffs Jul2021'!AL65/'Tariffs Jul2021'!AJ65-'Tariffs Jul2021'!K65)*('Tariffs Jul2021'!W65/100)*'Tariffs Jul2021'!AJ65,('Tariffs Jul2021'!L65-'Tariffs Jul2021'!K65)*('Tariffs Jul2021'!W65/100)*'Tariffs Jul2021'!AJ65))</f>
        <v>0</v>
      </c>
      <c r="M71" s="278">
        <f>IF($C$5*'Tariffs Jul2021'!AL65/'Tariffs Jul2021'!AJ65&lt;'Tariffs Jul2021'!L65,0,IF($C$5*'Tariffs Jul2021'!AL65/'Tariffs Jul2021'!AJ65&lt;='Tariffs Jul2021'!M65,($C$5*'Tariffs Jul2021'!AL65/'Tariffs Jul2021'!AJ65-'Tariffs Jul2021'!L65)*('Tariffs Jul2021'!X65/100)*'Tariffs Jul2021'!AJ65,('Tariffs Jul2021'!M65-'Tariffs Jul2021'!L65)*('Tariffs Jul2021'!X65/100)*'Tariffs Jul2021'!AJ65))</f>
        <v>0</v>
      </c>
      <c r="N71" s="278">
        <f>IF(($C$5*'Tariffs Jul2021'!AL65/'Tariffs Jul2021'!AJ65&gt;'Tariffs Jul2021'!M65),($C$5*'Tariffs Jul2021'!AL65/'Tariffs Jul2021'!AJ65-'Tariffs Jul2021'!M65)*'Tariffs Jul2021'!Y65/100*'Tariffs Jul2021'!AJ65,0)</f>
        <v>76.909090909090907</v>
      </c>
      <c r="O71" s="278">
        <f>SUM(E71:N71)</f>
        <v>441.76363636363635</v>
      </c>
      <c r="P71" s="504">
        <f t="shared" si="56"/>
        <v>485.94</v>
      </c>
      <c r="Q71" s="278">
        <f>D71+O71</f>
        <v>715.51363636363635</v>
      </c>
      <c r="R71" s="280">
        <f>Q71*1.1</f>
        <v>787.06500000000005</v>
      </c>
      <c r="S71" s="277">
        <f>'Tariffs Jul2021'!AN65</f>
        <v>0</v>
      </c>
      <c r="T71" s="277">
        <f>'Tariffs Jul2021'!AO65</f>
        <v>0</v>
      </c>
      <c r="U71" s="277">
        <f>'Tariffs Jul2021'!AP65</f>
        <v>0</v>
      </c>
      <c r="V71" s="277">
        <f>'Tariffs Jul2021'!AQ65</f>
        <v>0</v>
      </c>
      <c r="W71" s="540" t="str">
        <f t="shared" si="46"/>
        <v>No discount</v>
      </c>
      <c r="X71" s="541" t="str">
        <f t="shared" si="47"/>
        <v>Exclusive</v>
      </c>
      <c r="Y71" s="543">
        <f t="shared" si="57"/>
        <v>715.51363636363635</v>
      </c>
      <c r="Z71" s="544">
        <f t="shared" si="58"/>
        <v>715.51363636363635</v>
      </c>
      <c r="AA71" s="545">
        <f t="shared" ref="AA71:AB86" si="59">Y71*1.1</f>
        <v>787.06500000000005</v>
      </c>
      <c r="AB71" s="545">
        <f t="shared" si="59"/>
        <v>787.06500000000005</v>
      </c>
      <c r="AC71" s="282">
        <f>'Tariffs Jul2021'!AZ65</f>
        <v>0</v>
      </c>
      <c r="AD71" s="282" t="str">
        <f>'Tariffs Jul2021'!BA65</f>
        <v>n</v>
      </c>
      <c r="AE71" s="283" t="str">
        <f>'Tariffs Jul2021'!BJ65</f>
        <v>N</v>
      </c>
      <c r="AF71" s="574"/>
      <c r="AG71" s="574"/>
      <c r="AH71" s="574"/>
      <c r="AI71" s="574"/>
      <c r="AJ71" s="574"/>
      <c r="AK71" s="574"/>
      <c r="AL71" s="574"/>
      <c r="AM71" s="574"/>
      <c r="AN71" s="574"/>
      <c r="AO71" s="574"/>
      <c r="AP71" s="574"/>
      <c r="AQ71" s="574"/>
      <c r="AR71" s="574"/>
      <c r="AS71" s="574"/>
      <c r="AT71" s="574"/>
      <c r="AU71" s="574"/>
      <c r="AV71" s="574"/>
      <c r="AW71" s="574"/>
      <c r="AX71" s="574"/>
    </row>
    <row r="72" spans="1:50" ht="15" thickTop="1" x14ac:dyDescent="0.15">
      <c r="A72" s="270" t="str">
        <f>'Tariffs Jul2021'!F66</f>
        <v>AGL</v>
      </c>
      <c r="B72" s="40" t="str">
        <f>'Tariffs Jul2021'!D66</f>
        <v>AGN Central 1</v>
      </c>
      <c r="C72" s="40" t="str">
        <f>'Tariffs Jul2021'!G66</f>
        <v>Flexible Saver</v>
      </c>
      <c r="D72" s="59">
        <f>365*'Tariffs Jul2021'!H66/100</f>
        <v>257.82272727272726</v>
      </c>
      <c r="E72" s="59">
        <f>IF($C$5*'Tariffs Jul2021'!AK66/'Tariffs Jul2021'!AI66&gt;='Tariffs Jul2021'!J66,( 'Tariffs Jul2021'!J66*'Tariffs Jul2021'!O66/100)* 'Tariffs Jul2021'!AI66,($C$5*'Tariffs Jul2021'!AK66/'Tariffs Jul2021'!AI66*'Tariffs Jul2021'!O66/100)* 'Tariffs Jul2021'!AI66)</f>
        <v>126.51545454545455</v>
      </c>
      <c r="F72" s="59">
        <f>IF($C$5*'Tariffs Jul2021'!AK66/'Tariffs Jul2021'!AI66&lt;'Tariffs Jul2021'!J66,0,IF($C$5*'Tariffs Jul2021'!AK66/'Tariffs Jul2021'!AI66&lt;='Tariffs Jul2021'!K66,($C$5*'Tariffs Jul2021'!AK66/'Tariffs Jul2021'!AI66-'Tariffs Jul2021'!J66)*('Tariffs Jul2021'!P66/100)*'Tariffs Jul2021'!AI66,('Tariffs Jul2021'!K66-'Tariffs Jul2021'!J66)*('Tariffs Jul2021'!P66/100)*'Tariffs Jul2021'!AI66))</f>
        <v>94.9731818181818</v>
      </c>
      <c r="G72" s="59">
        <f>IF($C$5*'Tariffs Jul2021'!AK66/'Tariffs Jul2021'!AI66&lt;'Tariffs Jul2021'!K66,0,IF($C$5*'Tariffs Jul2021'!AK66/'Tariffs Jul2021'!AI66&lt;='Tariffs Jul2021'!L66,($C$5*'Tariffs Jul2021'!AK66/'Tariffs Jul2021'!AI66-'Tariffs Jul2021'!K66)*('Tariffs Jul2021'!Q66/100)*'Tariffs Jul2021'!AI66,('Tariffs Jul2021'!L66-'Tariffs Jul2021'!K66)*('Tariffs Jul2021'!Q66/100)*'Tariffs Jul2021'!AI66))</f>
        <v>0</v>
      </c>
      <c r="H72" s="59">
        <f>IF($C$5*'Tariffs Jul2021'!AK66/'Tariffs Jul2021'!AI66&lt;'Tariffs Jul2021'!L66,0,IF($C$5*'Tariffs Jul2021'!AK66/'Tariffs Jul2021'!AI66&lt;='Tariffs Jul2021'!M66,($C$5*'Tariffs Jul2021'!AK66/'Tariffs Jul2021'!AI66-'Tariffs Jul2021'!L66)*('Tariffs Jul2021'!R66/100)*'Tariffs Jul2021'!AI66,('Tariffs Jul2021'!M66-'Tariffs Jul2021'!L66)*('Tariffs Jul2021'!R66/100)*'Tariffs Jul2021'!AI66))</f>
        <v>0</v>
      </c>
      <c r="I72" s="59">
        <f>IF(($C$5*'Tariffs Jul2021'!AK66/'Tariffs Jul2021'!AI66&gt;'Tariffs Jul2021'!M66),($C$5*'Tariffs Jul2021'!AK66/'Tariffs Jul2021'!AI66-'Tariffs Jul2021'!M66)*'Tariffs Jul2021'!S66/100*'Tariffs Jul2021'!AI66,0)</f>
        <v>104.72727272727269</v>
      </c>
      <c r="J72" s="59">
        <f>IF($C$5*'Tariffs Jul2021'!AL66/'Tariffs Jul2021'!AJ66&gt;='Tariffs Jul2021'!J66,('Tariffs Jul2021'!J66*'Tariffs Jul2021'!U66/100)* 'Tariffs Jul2021'!AJ66,($C$5*'Tariffs Jul2021'!AL66/'Tariffs Jul2021'!AJ66*'Tariffs Jul2021'!U66/100)* 'Tariffs Jul2021'!AJ66)</f>
        <v>126.51545454545455</v>
      </c>
      <c r="K72" s="59">
        <f>IF($C$5*'Tariffs Jul2021'!AL66/'Tariffs Jul2021'!AJ66&lt;'Tariffs Jul2021'!J66,0,IF($C$5*'Tariffs Jul2021'!AL66/'Tariffs Jul2021'!AJ66&lt;='Tariffs Jul2021'!K66,($C$5*'Tariffs Jul2021'!AL66/'Tariffs Jul2021'!AJ66-'Tariffs Jul2021'!J66)*('Tariffs Jul2021'!V66/100)*'Tariffs Jul2021'!AJ66,('Tariffs Jul2021'!K66-'Tariffs Jul2021'!J66)*('Tariffs Jul2021'!V66/100)*'Tariffs Jul2021'!AJ66))</f>
        <v>94.9731818181818</v>
      </c>
      <c r="L72" s="59">
        <f>IF($C$5*'Tariffs Jul2021'!AL66/'Tariffs Jul2021'!AJ66&lt;'Tariffs Jul2021'!K66,0,IF($C$5*'Tariffs Jul2021'!AL66/'Tariffs Jul2021'!AJ66&lt;='Tariffs Jul2021'!L66,($C$5*'Tariffs Jul2021'!AL66/'Tariffs Jul2021'!AJ66-'Tariffs Jul2021'!K66)*('Tariffs Jul2021'!W66/100)*'Tariffs Jul2021'!AJ66,('Tariffs Jul2021'!L66-'Tariffs Jul2021'!K66)*('Tariffs Jul2021'!W66/100)*'Tariffs Jul2021'!AJ66))</f>
        <v>0</v>
      </c>
      <c r="M72" s="59">
        <f>IF($C$5*'Tariffs Jul2021'!AL66/'Tariffs Jul2021'!AJ66&lt;'Tariffs Jul2021'!L66,0,IF($C$5*'Tariffs Jul2021'!AL66/'Tariffs Jul2021'!AJ66&lt;='Tariffs Jul2021'!M66,($C$5*'Tariffs Jul2021'!AL66/'Tariffs Jul2021'!AJ66-'Tariffs Jul2021'!L66)*('Tariffs Jul2021'!X66/100)*'Tariffs Jul2021'!AJ66,('Tariffs Jul2021'!M66-'Tariffs Jul2021'!L66)*('Tariffs Jul2021'!X66/100)*'Tariffs Jul2021'!AJ66))</f>
        <v>0</v>
      </c>
      <c r="N72" s="59">
        <f>IF(($C$5*'Tariffs Jul2021'!AL66/'Tariffs Jul2021'!AJ66&gt;'Tariffs Jul2021'!M66),($C$5*'Tariffs Jul2021'!AL66/'Tariffs Jul2021'!AJ66-'Tariffs Jul2021'!M66)*'Tariffs Jul2021'!Y66/100*'Tariffs Jul2021'!AJ66,0)</f>
        <v>104.72727272727269</v>
      </c>
      <c r="O72" s="59">
        <f t="shared" si="1"/>
        <v>652.43181818181802</v>
      </c>
      <c r="P72" s="503">
        <f t="shared" si="56"/>
        <v>717.67499999999984</v>
      </c>
      <c r="Q72" s="59">
        <f t="shared" si="3"/>
        <v>910.25454545454522</v>
      </c>
      <c r="R72" s="272">
        <f t="shared" si="4"/>
        <v>1001.2799999999999</v>
      </c>
      <c r="S72" s="40">
        <f>'Tariffs Jul2021'!AN66</f>
        <v>0</v>
      </c>
      <c r="T72" s="40">
        <f>'Tariffs Jul2021'!AO66</f>
        <v>0</v>
      </c>
      <c r="U72" s="40">
        <f>'Tariffs Jul2021'!AP66</f>
        <v>0</v>
      </c>
      <c r="V72" s="40">
        <f>'Tariffs Jul2021'!AQ66</f>
        <v>0</v>
      </c>
      <c r="W72" s="539" t="str">
        <f>IF(SUM(S72:V72)=0,"No discount",IF(S72&gt;0,"Guaranteed off bill",IF(T72&gt;0,"Guaranteed off usage",IF(U72&gt;0,"Pay-on-time off bill","Pay-on-time off usage"))))</f>
        <v>No discount</v>
      </c>
      <c r="X72" s="538" t="str">
        <f>IF(OR(A72="Origin Energy",A72="Red Energy",A72="Powershop"),"Inclusive","Exclusive")</f>
        <v>Exclusive</v>
      </c>
      <c r="Y72" s="534">
        <f>IF(AND(W72="Guaranteed off bill",X72="Inclusive"),((Q72*1.1)-((Q72*1.1)*S72/100))/1.1,IF(AND(W72="Guaranteed off usage",X72="Inclusive"),((Q72*1.1)-((P72*1.1)*T72/100))/1.1,IF(AND(W72="Guaranteed off bill",X72="Exclusive"),Q72-(Q72*S72/100),IF(AND(W72="Guaranteed off usage",X72="Exclusive"),Q72-(P72*T72/100),IF(X72="Inclusive",((Q72*1.1))/1.1,Q72)))))</f>
        <v>910.25454545454522</v>
      </c>
      <c r="Z72" s="535">
        <f>IF(AND(W72="Pay-on-time off bill",X72="Inclusive"),((Y72*1.1)-((Y72*1.1)*U72/100))/1.1,IF(AND(W72="Pay-on-time off usage",X72="Inclusive"),((Y72*1.1)-((P72*1.1)*V72/100))/1.1,IF(AND(W72="Pay-on-time off bill",X72="Exclusive"),Y72-(Y72*U72/100),IF(AND(W72="Pay-on-time off usage",X72="Exclusive"),Y72-(P72*V72/100),IF(X72="Inclusive",((Y72*1.1))/1.1,Y72)))))</f>
        <v>910.25454545454522</v>
      </c>
      <c r="AA72" s="542">
        <f t="shared" si="59"/>
        <v>1001.2799999999999</v>
      </c>
      <c r="AB72" s="542">
        <f t="shared" si="59"/>
        <v>1001.2799999999999</v>
      </c>
      <c r="AC72" s="274">
        <f>'Tariffs Jul2021'!AZ66</f>
        <v>0</v>
      </c>
      <c r="AD72" s="274" t="str">
        <f>'Tariffs Jul2021'!BA66</f>
        <v>n</v>
      </c>
      <c r="AE72" s="275" t="str">
        <f>'Tariffs Jul2021'!BJ66</f>
        <v>N</v>
      </c>
      <c r="AF72" s="574"/>
      <c r="AG72" s="574"/>
      <c r="AH72" s="574"/>
      <c r="AI72" s="574"/>
      <c r="AJ72" s="574"/>
      <c r="AK72" s="574"/>
      <c r="AL72" s="574"/>
      <c r="AM72" s="574"/>
      <c r="AN72" s="574"/>
      <c r="AO72" s="574"/>
      <c r="AP72" s="574"/>
      <c r="AQ72" s="574"/>
      <c r="AR72" s="574"/>
      <c r="AS72" s="574"/>
      <c r="AT72" s="574"/>
      <c r="AU72" s="574"/>
      <c r="AV72" s="574"/>
      <c r="AW72" s="574"/>
      <c r="AX72" s="574"/>
    </row>
    <row r="73" spans="1:50" ht="14" x14ac:dyDescent="0.15">
      <c r="A73" s="270" t="str">
        <f>'Tariffs Jul2021'!F67</f>
        <v>Alinta Energy</v>
      </c>
      <c r="B73" s="40" t="str">
        <f>'Tariffs Jul2021'!D67</f>
        <v>AGN Central 1</v>
      </c>
      <c r="C73" s="40" t="str">
        <f>'Tariffs Jul2021'!G67</f>
        <v>Home Deal</v>
      </c>
      <c r="D73" s="59">
        <f>365*'Tariffs Jul2021'!H67/100</f>
        <v>175.89681818181816</v>
      </c>
      <c r="E73" s="59">
        <f>IF($C$5*'Tariffs Jul2021'!AK67/'Tariffs Jul2021'!AI67&gt;='Tariffs Jul2021'!J67,( 'Tariffs Jul2021'!J67*'Tariffs Jul2021'!O67/100)* 'Tariffs Jul2021'!AI67,($C$5*'Tariffs Jul2021'!AK67/'Tariffs Jul2021'!AI67*'Tariffs Jul2021'!O67/100)* 'Tariffs Jul2021'!AI67)</f>
        <v>116.19681818181817</v>
      </c>
      <c r="F73" s="59">
        <f>IF($C$5*'Tariffs Jul2021'!AK67/'Tariffs Jul2021'!AI67&lt;'Tariffs Jul2021'!J67,0,IF($C$5*'Tariffs Jul2021'!AK67/'Tariffs Jul2021'!AI67&lt;='Tariffs Jul2021'!K67,($C$5*'Tariffs Jul2021'!AK67/'Tariffs Jul2021'!AI67-'Tariffs Jul2021'!J67)*('Tariffs Jul2021'!P67/100)*'Tariffs Jul2021'!AI67,('Tariffs Jul2021'!K67-'Tariffs Jul2021'!J67)*('Tariffs Jul2021'!P67/100)*'Tariffs Jul2021'!AI67))</f>
        <v>80.930454545454538</v>
      </c>
      <c r="G73" s="59">
        <f>IF($C$5*'Tariffs Jul2021'!AK67/'Tariffs Jul2021'!AI67&lt;'Tariffs Jul2021'!K67,0,IF($C$5*'Tariffs Jul2021'!AK67/'Tariffs Jul2021'!AI67&lt;='Tariffs Jul2021'!L67,($C$5*'Tariffs Jul2021'!AK67/'Tariffs Jul2021'!AI67-'Tariffs Jul2021'!K67)*('Tariffs Jul2021'!Q67/100)*'Tariffs Jul2021'!AI67,('Tariffs Jul2021'!L67-'Tariffs Jul2021'!K67)*('Tariffs Jul2021'!Q67/100)*'Tariffs Jul2021'!AI67))</f>
        <v>0</v>
      </c>
      <c r="H73" s="59">
        <f>IF($C$5*'Tariffs Jul2021'!AK67/'Tariffs Jul2021'!AI67&lt;'Tariffs Jul2021'!L67,0,IF($C$5*'Tariffs Jul2021'!AK67/'Tariffs Jul2021'!AI67&lt;='Tariffs Jul2021'!M67,($C$5*'Tariffs Jul2021'!AK67/'Tariffs Jul2021'!AI67-'Tariffs Jul2021'!L67)*('Tariffs Jul2021'!R67/100)*'Tariffs Jul2021'!AI67,('Tariffs Jul2021'!M67-'Tariffs Jul2021'!L67)*('Tariffs Jul2021'!R67/100)*'Tariffs Jul2021'!AI67))</f>
        <v>0</v>
      </c>
      <c r="I73" s="59">
        <f>IF(($C$5*'Tariffs Jul2021'!AK67/'Tariffs Jul2021'!AI67&gt;'Tariffs Jul2021'!M67),($C$5*'Tariffs Jul2021'!AK67/'Tariffs Jul2021'!AI67-'Tariffs Jul2021'!M67)*'Tariffs Jul2021'!S67/100*'Tariffs Jul2021'!AI67,0)</f>
        <v>91.636363636363626</v>
      </c>
      <c r="J73" s="59">
        <f>IF($C$5*'Tariffs Jul2021'!AL67/'Tariffs Jul2021'!AJ67&gt;='Tariffs Jul2021'!J67,('Tariffs Jul2021'!J67*'Tariffs Jul2021'!U67/100)* 'Tariffs Jul2021'!AJ67,($C$5*'Tariffs Jul2021'!AL67/'Tariffs Jul2021'!AJ67*'Tariffs Jul2021'!U67/100)* 'Tariffs Jul2021'!AJ67)</f>
        <v>116.19681818181817</v>
      </c>
      <c r="K73" s="59">
        <f>IF($C$5*'Tariffs Jul2021'!AL67/'Tariffs Jul2021'!AJ67&lt;'Tariffs Jul2021'!J67,0,IF($C$5*'Tariffs Jul2021'!AL67/'Tariffs Jul2021'!AJ67&lt;='Tariffs Jul2021'!K67,($C$5*'Tariffs Jul2021'!AL67/'Tariffs Jul2021'!AJ67-'Tariffs Jul2021'!J67)*('Tariffs Jul2021'!V67/100)*'Tariffs Jul2021'!AJ67,('Tariffs Jul2021'!K67-'Tariffs Jul2021'!J67)*('Tariffs Jul2021'!V67/100)*'Tariffs Jul2021'!AJ67))</f>
        <v>80.930454545454538</v>
      </c>
      <c r="L73" s="59">
        <f>IF($C$5*'Tariffs Jul2021'!AL67/'Tariffs Jul2021'!AJ67&lt;'Tariffs Jul2021'!K67,0,IF($C$5*'Tariffs Jul2021'!AL67/'Tariffs Jul2021'!AJ67&lt;='Tariffs Jul2021'!L67,($C$5*'Tariffs Jul2021'!AL67/'Tariffs Jul2021'!AJ67-'Tariffs Jul2021'!K67)*('Tariffs Jul2021'!W67/100)*'Tariffs Jul2021'!AJ67,('Tariffs Jul2021'!L67-'Tariffs Jul2021'!K67)*('Tariffs Jul2021'!W67/100)*'Tariffs Jul2021'!AJ67))</f>
        <v>0</v>
      </c>
      <c r="M73" s="59">
        <f>IF($C$5*'Tariffs Jul2021'!AL67/'Tariffs Jul2021'!AJ67&lt;'Tariffs Jul2021'!L67,0,IF($C$5*'Tariffs Jul2021'!AL67/'Tariffs Jul2021'!AJ67&lt;='Tariffs Jul2021'!M67,($C$5*'Tariffs Jul2021'!AL67/'Tariffs Jul2021'!AJ67-'Tariffs Jul2021'!L67)*('Tariffs Jul2021'!X67/100)*'Tariffs Jul2021'!AJ67,('Tariffs Jul2021'!M67-'Tariffs Jul2021'!L67)*('Tariffs Jul2021'!X67/100)*'Tariffs Jul2021'!AJ67))</f>
        <v>0</v>
      </c>
      <c r="N73" s="59">
        <f>IF(($C$5*'Tariffs Jul2021'!AL67/'Tariffs Jul2021'!AJ67&gt;'Tariffs Jul2021'!M67),($C$5*'Tariffs Jul2021'!AL67/'Tariffs Jul2021'!AJ67-'Tariffs Jul2021'!M67)*'Tariffs Jul2021'!Y67/100*'Tariffs Jul2021'!AJ67,0)</f>
        <v>91.636363636363626</v>
      </c>
      <c r="O73" s="59">
        <f t="shared" si="1"/>
        <v>577.5272727272727</v>
      </c>
      <c r="P73" s="503">
        <f t="shared" si="56"/>
        <v>635.28</v>
      </c>
      <c r="Q73" s="59">
        <f t="shared" si="3"/>
        <v>753.42409090909086</v>
      </c>
      <c r="R73" s="272">
        <f t="shared" si="4"/>
        <v>828.76650000000006</v>
      </c>
      <c r="S73" s="40">
        <f>'Tariffs Jul2021'!AN67</f>
        <v>0</v>
      </c>
      <c r="T73" s="40">
        <f>'Tariffs Jul2021'!AO67</f>
        <v>0</v>
      </c>
      <c r="U73" s="40">
        <f>'Tariffs Jul2021'!AP67</f>
        <v>0</v>
      </c>
      <c r="V73" s="40">
        <f>'Tariffs Jul2021'!AQ67</f>
        <v>0</v>
      </c>
      <c r="W73" s="537" t="str">
        <f t="shared" ref="W73:W102" si="60">IF(SUM(S73:V73)=0,"No discount",IF(S73&gt;0,"Guaranteed off bill",IF(T73&gt;0,"Guaranteed off usage",IF(U73&gt;0,"Pay-on-time off bill","Pay-on-time off usage"))))</f>
        <v>No discount</v>
      </c>
      <c r="X73" s="538" t="str">
        <f t="shared" ref="X73:X102" si="61">IF(OR(A73="Origin Energy",A73="Red Energy",A73="Powershop"),"Inclusive","Exclusive")</f>
        <v>Exclusive</v>
      </c>
      <c r="Y73" s="534">
        <f>IF(AND(W73="Guaranteed off bill",X73="Inclusive"),((Q73*1.1)-((Q73*1.1)*S73/100))/1.1,IF(AND(W73="Guaranteed off usage",X73="Inclusive"),((Q73*1.1)-((P73*1.1)*T73/100))/1.1,IF(AND(W73="Guaranteed off bill",X73="Exclusive"),Q73-(Q73*S73/100),IF(AND(W73="Guaranteed off usage",X73="Exclusive"),Q73-(P73*T73/100),IF(X73="Inclusive",((Q73*1.1))/1.1,Q73)))))</f>
        <v>753.42409090909086</v>
      </c>
      <c r="Z73" s="535">
        <f>IF(AND(W73="Pay-on-time off bill",X73="Inclusive"),((Y73*1.1)-((Y73*1.1)*U73/100))/1.1,IF(AND(W73="Pay-on-time off usage",X73="Inclusive"),((Y73*1.1)-((P73*1.1)*V73/100))/1.1,IF(AND(W73="Pay-on-time off bill",X73="Exclusive"),Y73-(Y73*U73/100),IF(AND(W73="Pay-on-time off usage",X73="Exclusive"),Y73-(P73*V73/100),IF(X73="Inclusive",((Y73*1.1))/1.1,Y73)))))</f>
        <v>753.42409090909086</v>
      </c>
      <c r="AA73" s="542">
        <f t="shared" si="59"/>
        <v>828.76650000000006</v>
      </c>
      <c r="AB73" s="542">
        <f t="shared" si="59"/>
        <v>828.76650000000006</v>
      </c>
      <c r="AC73" s="274">
        <f>'Tariffs Jul2021'!AZ67</f>
        <v>0</v>
      </c>
      <c r="AD73" s="274" t="str">
        <f>'Tariffs Jul2021'!BA67</f>
        <v>n</v>
      </c>
      <c r="AE73" s="275" t="str">
        <f>'Tariffs Jul2021'!BJ67</f>
        <v>N</v>
      </c>
      <c r="AF73" s="574"/>
      <c r="AG73" s="574"/>
      <c r="AH73" s="574"/>
      <c r="AI73" s="574"/>
      <c r="AJ73" s="574"/>
      <c r="AK73" s="574"/>
      <c r="AL73" s="574"/>
      <c r="AM73" s="574"/>
      <c r="AN73" s="574"/>
      <c r="AO73" s="574"/>
      <c r="AP73" s="574"/>
      <c r="AQ73" s="574"/>
      <c r="AR73" s="574"/>
      <c r="AS73" s="574"/>
      <c r="AT73" s="574"/>
      <c r="AU73" s="574"/>
      <c r="AV73" s="574"/>
      <c r="AW73" s="574"/>
      <c r="AX73" s="574"/>
    </row>
    <row r="74" spans="1:50" ht="14" x14ac:dyDescent="0.15">
      <c r="A74" s="270" t="str">
        <f>'Tariffs Jul2021'!F68</f>
        <v>Covau</v>
      </c>
      <c r="B74" s="40" t="str">
        <f>'Tariffs Jul2021'!D68</f>
        <v>AGN Central 1</v>
      </c>
      <c r="C74" s="40" t="str">
        <f>'Tariffs Jul2021'!G68</f>
        <v>Super Saver Plus</v>
      </c>
      <c r="D74" s="59">
        <f>365*'Tariffs Jul2021'!H68/100</f>
        <v>273.75</v>
      </c>
      <c r="E74" s="59">
        <f>IF($C$5*'Tariffs Jul2021'!AK68/'Tariffs Jul2021'!AI68&gt;='Tariffs Jul2021'!J68,( 'Tariffs Jul2021'!J68*'Tariffs Jul2021'!O68/100)* 'Tariffs Jul2021'!AI68,($C$5*'Tariffs Jul2021'!AK68/'Tariffs Jul2021'!AI68*'Tariffs Jul2021'!O68/100)* 'Tariffs Jul2021'!AI68)</f>
        <v>139.07727272727271</v>
      </c>
      <c r="F74" s="59">
        <f>IF($C$5*'Tariffs Jul2021'!AK68/'Tariffs Jul2021'!AI68&lt;'Tariffs Jul2021'!J68,0,IF($C$5*'Tariffs Jul2021'!AK68/'Tariffs Jul2021'!AI68&lt;='Tariffs Jul2021'!K68,($C$5*'Tariffs Jul2021'!AK68/'Tariffs Jul2021'!AI68-'Tariffs Jul2021'!J68)*('Tariffs Jul2021'!P68/100)*'Tariffs Jul2021'!AI68,('Tariffs Jul2021'!K68-'Tariffs Jul2021'!J68)*('Tariffs Jul2021'!P68/100)*'Tariffs Jul2021'!AI68))</f>
        <v>100.51636363636362</v>
      </c>
      <c r="G74" s="59">
        <f>IF($C$5*'Tariffs Jul2021'!AK68/'Tariffs Jul2021'!AI68&lt;'Tariffs Jul2021'!K68,0,IF($C$5*'Tariffs Jul2021'!AK68/'Tariffs Jul2021'!AI68&lt;='Tariffs Jul2021'!L68,($C$5*'Tariffs Jul2021'!AK68/'Tariffs Jul2021'!AI68-'Tariffs Jul2021'!K68)*('Tariffs Jul2021'!Q68/100)*'Tariffs Jul2021'!AI68,('Tariffs Jul2021'!L68-'Tariffs Jul2021'!K68)*('Tariffs Jul2021'!Q68/100)*'Tariffs Jul2021'!AI68))</f>
        <v>0</v>
      </c>
      <c r="H74" s="59">
        <f>IF($C$5*'Tariffs Jul2021'!AK68/'Tariffs Jul2021'!AI68&lt;'Tariffs Jul2021'!L68,0,IF($C$5*'Tariffs Jul2021'!AK68/'Tariffs Jul2021'!AI68&lt;='Tariffs Jul2021'!M68,($C$5*'Tariffs Jul2021'!AK68/'Tariffs Jul2021'!AI68-'Tariffs Jul2021'!L68)*('Tariffs Jul2021'!R68/100)*'Tariffs Jul2021'!AI68,('Tariffs Jul2021'!M68-'Tariffs Jul2021'!L68)*('Tariffs Jul2021'!R68/100)*'Tariffs Jul2021'!AI68))</f>
        <v>0</v>
      </c>
      <c r="I74" s="59">
        <f>IF(($C$5*'Tariffs Jul2021'!AK68/'Tariffs Jul2021'!AI68&gt;'Tariffs Jul2021'!M68),($C$5*'Tariffs Jul2021'!AK68/'Tariffs Jul2021'!AI68-'Tariffs Jul2021'!M68)*'Tariffs Jul2021'!S68/100*'Tariffs Jul2021'!AI68,0)</f>
        <v>119.45454545454544</v>
      </c>
      <c r="J74" s="59">
        <f>IF($C$5*'Tariffs Jul2021'!AL68/'Tariffs Jul2021'!AJ68&gt;='Tariffs Jul2021'!J68,('Tariffs Jul2021'!J68*'Tariffs Jul2021'!U68/100)* 'Tariffs Jul2021'!AJ68,($C$5*'Tariffs Jul2021'!AL68/'Tariffs Jul2021'!AJ68*'Tariffs Jul2021'!U68/100)* 'Tariffs Jul2021'!AJ68)</f>
        <v>139.07727272727271</v>
      </c>
      <c r="K74" s="59">
        <f>IF($C$5*'Tariffs Jul2021'!AL68/'Tariffs Jul2021'!AJ68&lt;'Tariffs Jul2021'!J68,0,IF($C$5*'Tariffs Jul2021'!AL68/'Tariffs Jul2021'!AJ68&lt;='Tariffs Jul2021'!K68,($C$5*'Tariffs Jul2021'!AL68/'Tariffs Jul2021'!AJ68-'Tariffs Jul2021'!J68)*('Tariffs Jul2021'!V68/100)*'Tariffs Jul2021'!AJ68,('Tariffs Jul2021'!K68-'Tariffs Jul2021'!J68)*('Tariffs Jul2021'!V68/100)*'Tariffs Jul2021'!AJ68))</f>
        <v>100.51636363636362</v>
      </c>
      <c r="L74" s="59">
        <f>IF($C$5*'Tariffs Jul2021'!AL68/'Tariffs Jul2021'!AJ68&lt;'Tariffs Jul2021'!K68,0,IF($C$5*'Tariffs Jul2021'!AL68/'Tariffs Jul2021'!AJ68&lt;='Tariffs Jul2021'!L68,($C$5*'Tariffs Jul2021'!AL68/'Tariffs Jul2021'!AJ68-'Tariffs Jul2021'!K68)*('Tariffs Jul2021'!W68/100)*'Tariffs Jul2021'!AJ68,('Tariffs Jul2021'!L68-'Tariffs Jul2021'!K68)*('Tariffs Jul2021'!W68/100)*'Tariffs Jul2021'!AJ68))</f>
        <v>0</v>
      </c>
      <c r="M74" s="59">
        <f>IF($C$5*'Tariffs Jul2021'!AL68/'Tariffs Jul2021'!AJ68&lt;'Tariffs Jul2021'!L68,0,IF($C$5*'Tariffs Jul2021'!AL68/'Tariffs Jul2021'!AJ68&lt;='Tariffs Jul2021'!M68,($C$5*'Tariffs Jul2021'!AL68/'Tariffs Jul2021'!AJ68-'Tariffs Jul2021'!L68)*('Tariffs Jul2021'!X68/100)*'Tariffs Jul2021'!AJ68,('Tariffs Jul2021'!M68-'Tariffs Jul2021'!L68)*('Tariffs Jul2021'!X68/100)*'Tariffs Jul2021'!AJ68))</f>
        <v>0</v>
      </c>
      <c r="N74" s="59">
        <f>IF(($C$5*'Tariffs Jul2021'!AL68/'Tariffs Jul2021'!AJ68&gt;'Tariffs Jul2021'!M68),($C$5*'Tariffs Jul2021'!AL68/'Tariffs Jul2021'!AJ68-'Tariffs Jul2021'!M68)*'Tariffs Jul2021'!Y68/100*'Tariffs Jul2021'!AJ68,0)</f>
        <v>119.45454545454544</v>
      </c>
      <c r="O74" s="59">
        <f t="shared" si="1"/>
        <v>718.09636363636355</v>
      </c>
      <c r="P74" s="503">
        <f t="shared" si="56"/>
        <v>789.90599999999995</v>
      </c>
      <c r="Q74" s="59">
        <f t="shared" si="3"/>
        <v>991.84636363636355</v>
      </c>
      <c r="R74" s="272">
        <f t="shared" si="4"/>
        <v>1091.0309999999999</v>
      </c>
      <c r="S74" s="40">
        <f>'Tariffs Jul2021'!AN68</f>
        <v>0</v>
      </c>
      <c r="T74" s="40">
        <f>'Tariffs Jul2021'!AO68</f>
        <v>20</v>
      </c>
      <c r="U74" s="40">
        <f>'Tariffs Jul2021'!AP68</f>
        <v>0</v>
      </c>
      <c r="V74" s="40">
        <f>'Tariffs Jul2021'!AQ68</f>
        <v>0</v>
      </c>
      <c r="W74" s="537" t="str">
        <f t="shared" si="60"/>
        <v>Guaranteed off usage</v>
      </c>
      <c r="X74" s="538" t="str">
        <f t="shared" si="61"/>
        <v>Exclusive</v>
      </c>
      <c r="Y74" s="534">
        <f t="shared" ref="Y74" si="62">IF(AND(W74="Guaranteed off bill",X74="Inclusive"),((Q74*1.1)-((Q74*1.1)*S74/100))/1.1,IF(AND(W74="Guaranteed off usage",X74="Inclusive"),((Q74*1.1)-((P74*1.1)*T74/100))/1.1,IF(AND(W74="Guaranteed off bill",X74="Exclusive"),Q74-(Q74*S74/100),IF(AND(W74="Guaranteed off usage",X74="Exclusive"),Q74-(P74*T74/100),IF(X74="Inclusive",((Q74*1.1))/1.1,Q74)))))</f>
        <v>833.8651636363636</v>
      </c>
      <c r="Z74" s="535">
        <f t="shared" ref="Z74" si="63">IF(AND(W74="Pay-on-time off bill",X74="Inclusive"),((Y74*1.1)-((Y74*1.1)*U74/100))/1.1,IF(AND(W74="Pay-on-time off usage",X74="Inclusive"),((Y74*1.1)-((P74*1.1)*V74/100))/1.1,IF(AND(W74="Pay-on-time off bill",X74="Exclusive"),Y74-(Y74*U74/100),IF(AND(W74="Pay-on-time off usage",X74="Exclusive"),Y74-(P74*V74/100),IF(X74="Inclusive",((Y74*1.1))/1.1,Y74)))))</f>
        <v>833.8651636363636</v>
      </c>
      <c r="AA74" s="542">
        <f t="shared" si="59"/>
        <v>917.25168000000008</v>
      </c>
      <c r="AB74" s="542">
        <f t="shared" si="59"/>
        <v>917.25168000000008</v>
      </c>
      <c r="AC74" s="274">
        <f>'Tariffs Jul2021'!AZ68</f>
        <v>0</v>
      </c>
      <c r="AD74" s="274" t="str">
        <f>'Tariffs Jul2021'!BA68</f>
        <v>n</v>
      </c>
      <c r="AE74" s="275" t="str">
        <f>'Tariffs Jul2021'!BJ68</f>
        <v>N</v>
      </c>
      <c r="AF74" s="574"/>
      <c r="AG74" s="574"/>
      <c r="AH74" s="574"/>
      <c r="AI74" s="574"/>
      <c r="AJ74" s="574"/>
      <c r="AK74" s="574"/>
      <c r="AL74" s="574"/>
      <c r="AM74" s="574"/>
      <c r="AN74" s="574"/>
      <c r="AO74" s="574"/>
      <c r="AP74" s="574"/>
      <c r="AQ74" s="574"/>
      <c r="AR74" s="574"/>
      <c r="AS74" s="574"/>
      <c r="AT74" s="574"/>
      <c r="AU74" s="574"/>
      <c r="AV74" s="574"/>
      <c r="AW74" s="574"/>
      <c r="AX74" s="574"/>
    </row>
    <row r="75" spans="1:50" ht="14" x14ac:dyDescent="0.15">
      <c r="A75" s="270" t="str">
        <f>'Tariffs Jul2021'!F69</f>
        <v>Dodo Power &amp; Gas</v>
      </c>
      <c r="B75" s="40" t="str">
        <f>'Tariffs Jul2021'!D69</f>
        <v>AGN Central 1</v>
      </c>
      <c r="C75" s="40" t="str">
        <f>'Tariffs Jul2021'!G69</f>
        <v>Market offer</v>
      </c>
      <c r="D75" s="59">
        <f>365*'Tariffs Jul2021'!H69/100</f>
        <v>180.31</v>
      </c>
      <c r="E75" s="59">
        <f>IF($C$5*'Tariffs Jul2021'!AK69/'Tariffs Jul2021'!AI69&gt;='Tariffs Jul2021'!J69,( 'Tariffs Jul2021'!J69*'Tariffs Jul2021'!O69/100)* 'Tariffs Jul2021'!AI69,($C$5*'Tariffs Jul2021'!AK69/'Tariffs Jul2021'!AI69*'Tariffs Jul2021'!O69/100)* 'Tariffs Jul2021'!AI69)</f>
        <v>126.51545454545455</v>
      </c>
      <c r="F75" s="59">
        <f>IF($C$5*'Tariffs Jul2021'!AK69/'Tariffs Jul2021'!AI69&lt;'Tariffs Jul2021'!J69,0,IF($C$5*'Tariffs Jul2021'!AK69/'Tariffs Jul2021'!AI69&lt;='Tariffs Jul2021'!K69,($C$5*'Tariffs Jul2021'!AK69/'Tariffs Jul2021'!AI69-'Tariffs Jul2021'!J69)*('Tariffs Jul2021'!P69/100)*'Tariffs Jul2021'!AI69,('Tariffs Jul2021'!K69-'Tariffs Jul2021'!J69)*('Tariffs Jul2021'!P69/100)*'Tariffs Jul2021'!AI69))</f>
        <v>82.778181818181821</v>
      </c>
      <c r="G75" s="59">
        <f>IF($C$5*'Tariffs Jul2021'!AK69/'Tariffs Jul2021'!AI69&lt;'Tariffs Jul2021'!K69,0,IF($C$5*'Tariffs Jul2021'!AK69/'Tariffs Jul2021'!AI69&lt;='Tariffs Jul2021'!L69,($C$5*'Tariffs Jul2021'!AK69/'Tariffs Jul2021'!AI69-'Tariffs Jul2021'!K69)*('Tariffs Jul2021'!Q69/100)*'Tariffs Jul2021'!AI69,('Tariffs Jul2021'!L69-'Tariffs Jul2021'!K69)*('Tariffs Jul2021'!Q69/100)*'Tariffs Jul2021'!AI69))</f>
        <v>0</v>
      </c>
      <c r="H75" s="59">
        <f>IF($C$5*'Tariffs Jul2021'!AK69/'Tariffs Jul2021'!AI69&lt;'Tariffs Jul2021'!L69,0,IF($C$5*'Tariffs Jul2021'!AK69/'Tariffs Jul2021'!AI69&lt;='Tariffs Jul2021'!M69,($C$5*'Tariffs Jul2021'!AK69/'Tariffs Jul2021'!AI69-'Tariffs Jul2021'!L69)*('Tariffs Jul2021'!R69/100)*'Tariffs Jul2021'!AI69,('Tariffs Jul2021'!M69-'Tariffs Jul2021'!L69)*('Tariffs Jul2021'!R69/100)*'Tariffs Jul2021'!AI69))</f>
        <v>0</v>
      </c>
      <c r="I75" s="59">
        <f>IF(($C$5*'Tariffs Jul2021'!AK69/'Tariffs Jul2021'!AI69&gt;'Tariffs Jul2021'!M69),($C$5*'Tariffs Jul2021'!AK69/'Tariffs Jul2021'!AI69-'Tariffs Jul2021'!M69)*'Tariffs Jul2021'!S69/100*'Tariffs Jul2021'!AI69,0)</f>
        <v>102</v>
      </c>
      <c r="J75" s="59">
        <f>IF($C$5*'Tariffs Jul2021'!AL69/'Tariffs Jul2021'!AJ69&gt;='Tariffs Jul2021'!J69,('Tariffs Jul2021'!J69*'Tariffs Jul2021'!U69/100)* 'Tariffs Jul2021'!AJ69,($C$5*'Tariffs Jul2021'!AL69/'Tariffs Jul2021'!AJ69*'Tariffs Jul2021'!U69/100)* 'Tariffs Jul2021'!AJ69)</f>
        <v>126.51545454545455</v>
      </c>
      <c r="K75" s="59">
        <f>IF($C$5*'Tariffs Jul2021'!AL69/'Tariffs Jul2021'!AJ69&lt;'Tariffs Jul2021'!J69,0,IF($C$5*'Tariffs Jul2021'!AL69/'Tariffs Jul2021'!AJ69&lt;='Tariffs Jul2021'!K69,($C$5*'Tariffs Jul2021'!AL69/'Tariffs Jul2021'!AJ69-'Tariffs Jul2021'!J69)*('Tariffs Jul2021'!V69/100)*'Tariffs Jul2021'!AJ69,('Tariffs Jul2021'!K69-'Tariffs Jul2021'!J69)*('Tariffs Jul2021'!V69/100)*'Tariffs Jul2021'!AJ69))</f>
        <v>82.778181818181821</v>
      </c>
      <c r="L75" s="59">
        <f>IF($C$5*'Tariffs Jul2021'!AL69/'Tariffs Jul2021'!AJ69&lt;'Tariffs Jul2021'!K69,0,IF($C$5*'Tariffs Jul2021'!AL69/'Tariffs Jul2021'!AJ69&lt;='Tariffs Jul2021'!L69,($C$5*'Tariffs Jul2021'!AL69/'Tariffs Jul2021'!AJ69-'Tariffs Jul2021'!K69)*('Tariffs Jul2021'!W69/100)*'Tariffs Jul2021'!AJ69,('Tariffs Jul2021'!L69-'Tariffs Jul2021'!K69)*('Tariffs Jul2021'!W69/100)*'Tariffs Jul2021'!AJ69))</f>
        <v>0</v>
      </c>
      <c r="M75" s="59">
        <f>IF($C$5*'Tariffs Jul2021'!AL69/'Tariffs Jul2021'!AJ69&lt;'Tariffs Jul2021'!L69,0,IF($C$5*'Tariffs Jul2021'!AL69/'Tariffs Jul2021'!AJ69&lt;='Tariffs Jul2021'!M69,($C$5*'Tariffs Jul2021'!AL69/'Tariffs Jul2021'!AJ69-'Tariffs Jul2021'!L69)*('Tariffs Jul2021'!X69/100)*'Tariffs Jul2021'!AJ69,('Tariffs Jul2021'!M69-'Tariffs Jul2021'!L69)*('Tariffs Jul2021'!X69/100)*'Tariffs Jul2021'!AJ69))</f>
        <v>0</v>
      </c>
      <c r="N75" s="59">
        <f>IF(($C$5*'Tariffs Jul2021'!AL69/'Tariffs Jul2021'!AJ69&gt;'Tariffs Jul2021'!M69),($C$5*'Tariffs Jul2021'!AL69/'Tariffs Jul2021'!AJ69-'Tariffs Jul2021'!M69)*'Tariffs Jul2021'!Y69/100*'Tariffs Jul2021'!AJ69,0)</f>
        <v>102</v>
      </c>
      <c r="O75" s="59">
        <f t="shared" si="1"/>
        <v>622.58727272727276</v>
      </c>
      <c r="P75" s="503">
        <f t="shared" si="56"/>
        <v>684.84600000000012</v>
      </c>
      <c r="Q75" s="59">
        <f t="shared" si="3"/>
        <v>802.89727272727282</v>
      </c>
      <c r="R75" s="272">
        <f t="shared" si="4"/>
        <v>883.18700000000013</v>
      </c>
      <c r="S75" s="40">
        <f>'Tariffs Jul2021'!AN69</f>
        <v>0</v>
      </c>
      <c r="T75" s="40">
        <f>'Tariffs Jul2021'!AO69</f>
        <v>0</v>
      </c>
      <c r="U75" s="40">
        <f>'Tariffs Jul2021'!AP69</f>
        <v>0</v>
      </c>
      <c r="V75" s="40">
        <f>'Tariffs Jul2021'!AQ69</f>
        <v>0</v>
      </c>
      <c r="W75" s="537" t="str">
        <f t="shared" si="60"/>
        <v>No discount</v>
      </c>
      <c r="X75" s="538" t="str">
        <f t="shared" si="61"/>
        <v>Exclusive</v>
      </c>
      <c r="Y75" s="534">
        <f>IF(AND(W75="Guaranteed off bill",X75="Inclusive"),((Q75*1.1)-((Q75*1.1)*S75/100))/1.1,IF(AND(W75="Guaranteed off usage",X75="Inclusive"),((Q75*1.1)-((P75*1.1)*T75/100))/1.1,IF(AND(W75="Guaranteed off bill",X75="Exclusive"),Q75-(Q75*S75/100),IF(AND(W75="Guaranteed off usage",X75="Exclusive"),Q75-(P75*T75/100),IF(X75="Inclusive",((Q75*1.1))/1.1,Q75)))))</f>
        <v>802.89727272727282</v>
      </c>
      <c r="Z75" s="535">
        <f>IF(AND(W75="Pay-on-time off bill",X75="Inclusive"),((Y75*1.1)-((Y75*1.1)*U75/100))/1.1,IF(AND(W75="Pay-on-time off usage",X75="Inclusive"),((Y75*1.1)-((P75*1.1)*V75/100))/1.1,IF(AND(W75="Pay-on-time off bill",X75="Exclusive"),Y75-(Y75*U75/100),IF(AND(W75="Pay-on-time off usage",X75="Exclusive"),Y75-(P75*V75/100),IF(X75="Inclusive",((Y75*1.1))/1.1,Y75)))))</f>
        <v>802.89727272727282</v>
      </c>
      <c r="AA75" s="542">
        <f t="shared" si="59"/>
        <v>883.18700000000013</v>
      </c>
      <c r="AB75" s="542">
        <f t="shared" si="59"/>
        <v>883.18700000000013</v>
      </c>
      <c r="AC75" s="274">
        <f>'Tariffs Jul2021'!AZ69</f>
        <v>0</v>
      </c>
      <c r="AD75" s="274" t="str">
        <f>'Tariffs Jul2021'!BA69</f>
        <v>n</v>
      </c>
      <c r="AE75" s="275" t="str">
        <f>'Tariffs Jul2021'!BJ69</f>
        <v>N</v>
      </c>
      <c r="AF75" s="574"/>
      <c r="AG75" s="574"/>
      <c r="AH75" s="574"/>
      <c r="AI75" s="574"/>
      <c r="AJ75" s="574"/>
      <c r="AK75" s="574"/>
      <c r="AL75" s="574"/>
      <c r="AM75" s="574"/>
      <c r="AN75" s="574"/>
      <c r="AO75" s="574"/>
      <c r="AP75" s="574"/>
      <c r="AQ75" s="574"/>
      <c r="AR75" s="574"/>
      <c r="AS75" s="574"/>
      <c r="AT75" s="574"/>
      <c r="AU75" s="574"/>
      <c r="AV75" s="574"/>
      <c r="AW75" s="574"/>
      <c r="AX75" s="574"/>
    </row>
    <row r="76" spans="1:50" ht="14" x14ac:dyDescent="0.15">
      <c r="A76" s="270" t="str">
        <f>'Tariffs Jul2021'!F70</f>
        <v>EnergyAustralia</v>
      </c>
      <c r="B76" s="40" t="str">
        <f>'Tariffs Jul2021'!D70</f>
        <v>AGN Central 1</v>
      </c>
      <c r="C76" s="40" t="str">
        <f>'Tariffs Jul2021'!G70</f>
        <v>Total Plan</v>
      </c>
      <c r="D76" s="59">
        <f>365*'Tariffs Jul2021'!H70/100</f>
        <v>308.78999999999996</v>
      </c>
      <c r="E76" s="59">
        <f>IF($C$5*'Tariffs Jul2021'!AK70/'Tariffs Jul2021'!AI70&gt;='Tariffs Jul2021'!J70,( 'Tariffs Jul2021'!J70*'Tariffs Jul2021'!O70/100)* 'Tariffs Jul2021'!AI70,($C$5*'Tariffs Jul2021'!AK70/'Tariffs Jul2021'!AI70*'Tariffs Jul2021'!O70/100)* 'Tariffs Jul2021'!AI70)</f>
        <v>166.89272727272729</v>
      </c>
      <c r="F76" s="59">
        <f>IF($C$5*'Tariffs Jul2021'!AK70/'Tariffs Jul2021'!AI70&lt;'Tariffs Jul2021'!J70,0,IF($C$5*'Tariffs Jul2021'!AK70/'Tariffs Jul2021'!AI70&lt;='Tariffs Jul2021'!K70,($C$5*'Tariffs Jul2021'!AK70/'Tariffs Jul2021'!AI70-'Tariffs Jul2021'!J70)*('Tariffs Jul2021'!P70/100)*'Tariffs Jul2021'!AI70,('Tariffs Jul2021'!K70-'Tariffs Jul2021'!J70)*('Tariffs Jul2021'!P70/100)*'Tariffs Jul2021'!AI70))</f>
        <v>104.21181818181817</v>
      </c>
      <c r="G76" s="59">
        <f>IF($C$5*'Tariffs Jul2021'!AK70/'Tariffs Jul2021'!AI70&lt;'Tariffs Jul2021'!K70,0,IF($C$5*'Tariffs Jul2021'!AK70/'Tariffs Jul2021'!AI70&lt;='Tariffs Jul2021'!L70,($C$5*'Tariffs Jul2021'!AK70/'Tariffs Jul2021'!AI70-'Tariffs Jul2021'!K70)*('Tariffs Jul2021'!Q70/100)*'Tariffs Jul2021'!AI70,('Tariffs Jul2021'!L70-'Tariffs Jul2021'!K70)*('Tariffs Jul2021'!Q70/100)*'Tariffs Jul2021'!AI70))</f>
        <v>0</v>
      </c>
      <c r="H76" s="59">
        <f>IF($C$5*'Tariffs Jul2021'!AK70/'Tariffs Jul2021'!AI70&lt;'Tariffs Jul2021'!L70,0,IF($C$5*'Tariffs Jul2021'!AK70/'Tariffs Jul2021'!AI70&lt;='Tariffs Jul2021'!M70,($C$5*'Tariffs Jul2021'!AK70/'Tariffs Jul2021'!AI70-'Tariffs Jul2021'!L70)*('Tariffs Jul2021'!R70/100)*'Tariffs Jul2021'!AI70,('Tariffs Jul2021'!M70-'Tariffs Jul2021'!L70)*('Tariffs Jul2021'!R70/100)*'Tariffs Jul2021'!AI70))</f>
        <v>0</v>
      </c>
      <c r="I76" s="59">
        <f>IF(($C$5*'Tariffs Jul2021'!AK70/'Tariffs Jul2021'!AI70&gt;'Tariffs Jul2021'!M70),($C$5*'Tariffs Jul2021'!AK70/'Tariffs Jul2021'!AI70-'Tariffs Jul2021'!M70)*'Tariffs Jul2021'!S70/100*'Tariffs Jul2021'!AI70,0)</f>
        <v>127.63636363636363</v>
      </c>
      <c r="J76" s="59">
        <f>IF($C$5*'Tariffs Jul2021'!AL70/'Tariffs Jul2021'!AJ70&gt;='Tariffs Jul2021'!J70,('Tariffs Jul2021'!J70*'Tariffs Jul2021'!U70/100)* 'Tariffs Jul2021'!AJ70,($C$5*'Tariffs Jul2021'!AL70/'Tariffs Jul2021'!AJ70*'Tariffs Jul2021'!U70/100)* 'Tariffs Jul2021'!AJ70)</f>
        <v>166.89272727272729</v>
      </c>
      <c r="K76" s="59">
        <f>IF($C$5*'Tariffs Jul2021'!AL70/'Tariffs Jul2021'!AJ70&lt;'Tariffs Jul2021'!J70,0,IF($C$5*'Tariffs Jul2021'!AL70/'Tariffs Jul2021'!AJ70&lt;='Tariffs Jul2021'!K70,($C$5*'Tariffs Jul2021'!AL70/'Tariffs Jul2021'!AJ70-'Tariffs Jul2021'!J70)*('Tariffs Jul2021'!V70/100)*'Tariffs Jul2021'!AJ70,('Tariffs Jul2021'!K70-'Tariffs Jul2021'!J70)*('Tariffs Jul2021'!V70/100)*'Tariffs Jul2021'!AJ70))</f>
        <v>104.21181818181817</v>
      </c>
      <c r="L76" s="59">
        <f>IF($C$5*'Tariffs Jul2021'!AL70/'Tariffs Jul2021'!AJ70&lt;'Tariffs Jul2021'!K70,0,IF($C$5*'Tariffs Jul2021'!AL70/'Tariffs Jul2021'!AJ70&lt;='Tariffs Jul2021'!L70,($C$5*'Tariffs Jul2021'!AL70/'Tariffs Jul2021'!AJ70-'Tariffs Jul2021'!K70)*('Tariffs Jul2021'!W70/100)*'Tariffs Jul2021'!AJ70,('Tariffs Jul2021'!L70-'Tariffs Jul2021'!K70)*('Tariffs Jul2021'!W70/100)*'Tariffs Jul2021'!AJ70))</f>
        <v>0</v>
      </c>
      <c r="M76" s="59">
        <f>IF($C$5*'Tariffs Jul2021'!AL70/'Tariffs Jul2021'!AJ70&lt;'Tariffs Jul2021'!L70,0,IF($C$5*'Tariffs Jul2021'!AL70/'Tariffs Jul2021'!AJ70&lt;='Tariffs Jul2021'!M70,($C$5*'Tariffs Jul2021'!AL70/'Tariffs Jul2021'!AJ70-'Tariffs Jul2021'!L70)*('Tariffs Jul2021'!X70/100)*'Tariffs Jul2021'!AJ70,('Tariffs Jul2021'!M70-'Tariffs Jul2021'!L70)*('Tariffs Jul2021'!X70/100)*'Tariffs Jul2021'!AJ70))</f>
        <v>0</v>
      </c>
      <c r="N76" s="59">
        <f>IF(($C$5*'Tariffs Jul2021'!AL70/'Tariffs Jul2021'!AJ70&gt;'Tariffs Jul2021'!M70),($C$5*'Tariffs Jul2021'!AL70/'Tariffs Jul2021'!AJ70-'Tariffs Jul2021'!M70)*'Tariffs Jul2021'!Y70/100*'Tariffs Jul2021'!AJ70,0)</f>
        <v>127.63636363636363</v>
      </c>
      <c r="O76" s="59">
        <f t="shared" si="1"/>
        <v>797.4818181818182</v>
      </c>
      <c r="P76" s="503">
        <f t="shared" si="56"/>
        <v>877.23000000000013</v>
      </c>
      <c r="Q76" s="59">
        <f t="shared" si="3"/>
        <v>1106.2718181818182</v>
      </c>
      <c r="R76" s="272">
        <f t="shared" si="4"/>
        <v>1216.8990000000001</v>
      </c>
      <c r="S76" s="40">
        <f>'Tariffs Jul2021'!AN70</f>
        <v>26</v>
      </c>
      <c r="T76" s="40">
        <f>'Tariffs Jul2021'!AO70</f>
        <v>0</v>
      </c>
      <c r="U76" s="40">
        <f>'Tariffs Jul2021'!AP70</f>
        <v>0</v>
      </c>
      <c r="V76" s="40">
        <f>'Tariffs Jul2021'!AQ70</f>
        <v>0</v>
      </c>
      <c r="W76" s="537" t="str">
        <f t="shared" si="60"/>
        <v>Guaranteed off bill</v>
      </c>
      <c r="X76" s="538" t="str">
        <f t="shared" si="61"/>
        <v>Exclusive</v>
      </c>
      <c r="Y76" s="534">
        <f t="shared" ref="Y76" si="64">IF(AND(W76="Guaranteed off bill",X76="Inclusive"),((Q76*1.1)-((Q76*1.1)*S76/100))/1.1,IF(AND(W76="Guaranteed off usage",X76="Inclusive"),((Q76*1.1)-((P76*1.1)*T76/100))/1.1,IF(AND(W76="Guaranteed off bill",X76="Exclusive"),Q76-(Q76*S76/100),IF(AND(W76="Guaranteed off usage",X76="Exclusive"),Q76-(P76*T76/100),IF(X76="Inclusive",((Q76*1.1))/1.1,Q76)))))</f>
        <v>818.64114545454549</v>
      </c>
      <c r="Z76" s="535">
        <f t="shared" ref="Z76" si="65">IF(AND(W76="Pay-on-time off bill",X76="Inclusive"),((Y76*1.1)-((Y76*1.1)*U76/100))/1.1,IF(AND(W76="Pay-on-time off usage",X76="Inclusive"),((Y76*1.1)-((P76*1.1)*V76/100))/1.1,IF(AND(W76="Pay-on-time off bill",X76="Exclusive"),Y76-(Y76*U76/100),IF(AND(W76="Pay-on-time off usage",X76="Exclusive"),Y76-(P76*V76/100),IF(X76="Inclusive",((Y76*1.1))/1.1,Y76)))))</f>
        <v>818.64114545454549</v>
      </c>
      <c r="AA76" s="542">
        <f t="shared" si="59"/>
        <v>900.50526000000013</v>
      </c>
      <c r="AB76" s="542">
        <f t="shared" si="59"/>
        <v>900.50526000000013</v>
      </c>
      <c r="AC76" s="274">
        <f>'Tariffs Jul2021'!AZ70</f>
        <v>12</v>
      </c>
      <c r="AD76" s="274" t="str">
        <f>'Tariffs Jul2021'!BA70</f>
        <v>n</v>
      </c>
      <c r="AE76" s="275" t="str">
        <f>'Tariffs Jul2021'!BJ70</f>
        <v>N</v>
      </c>
      <c r="AF76" s="574"/>
      <c r="AG76" s="574"/>
      <c r="AH76" s="574"/>
      <c r="AI76" s="574"/>
      <c r="AJ76" s="574"/>
      <c r="AK76" s="574"/>
      <c r="AL76" s="574"/>
      <c r="AM76" s="574"/>
      <c r="AN76" s="574"/>
      <c r="AO76" s="574"/>
      <c r="AP76" s="574"/>
      <c r="AQ76" s="574"/>
      <c r="AR76" s="574"/>
      <c r="AS76" s="574"/>
      <c r="AT76" s="574"/>
      <c r="AU76" s="574"/>
      <c r="AV76" s="574"/>
      <c r="AW76" s="574"/>
      <c r="AX76" s="574"/>
    </row>
    <row r="77" spans="1:50" ht="14" x14ac:dyDescent="0.15">
      <c r="A77" s="270" t="str">
        <f>'Tariffs Jul2021'!F71</f>
        <v>Lumo Energy</v>
      </c>
      <c r="B77" s="40" t="str">
        <f>'Tariffs Jul2021'!D71</f>
        <v>AGN Central 1</v>
      </c>
      <c r="C77" s="40" t="str">
        <f>'Tariffs Jul2021'!G71</f>
        <v>Value</v>
      </c>
      <c r="D77" s="59">
        <f>365*'Tariffs Jul2021'!H71/100</f>
        <v>251.48500000000004</v>
      </c>
      <c r="E77" s="59">
        <f>IF($C$5*'Tariffs Jul2021'!AK71/'Tariffs Jul2021'!AI71&gt;='Tariffs Jul2021'!J71,( 'Tariffs Jul2021'!J71*'Tariffs Jul2021'!O71/100)* 'Tariffs Jul2021'!AI71,($C$5*'Tariffs Jul2021'!AK71/'Tariffs Jul2021'!AI71*'Tariffs Jul2021'!O71/100)* 'Tariffs Jul2021'!AI71)</f>
        <v>102.73772727272726</v>
      </c>
      <c r="F77" s="59">
        <f>IF($C$5*'Tariffs Jul2021'!AK71/'Tariffs Jul2021'!AI71&lt;'Tariffs Jul2021'!J71,0,IF($C$5*'Tariffs Jul2021'!AK71/'Tariffs Jul2021'!AI71&lt;='Tariffs Jul2021'!K71,($C$5*'Tariffs Jul2021'!AK71/'Tariffs Jul2021'!AI71-'Tariffs Jul2021'!J71)*('Tariffs Jul2021'!P71/100)*'Tariffs Jul2021'!AI71,('Tariffs Jul2021'!K71-'Tariffs Jul2021'!J71)*('Tariffs Jul2021'!P71/100)*'Tariffs Jul2021'!AI71))</f>
        <v>80.560909090909092</v>
      </c>
      <c r="G77" s="59">
        <f>IF($C$5*'Tariffs Jul2021'!AK71/'Tariffs Jul2021'!AI71&lt;'Tariffs Jul2021'!K71,0,IF($C$5*'Tariffs Jul2021'!AK71/'Tariffs Jul2021'!AI71&lt;='Tariffs Jul2021'!L71,($C$5*'Tariffs Jul2021'!AK71/'Tariffs Jul2021'!AI71-'Tariffs Jul2021'!K71)*('Tariffs Jul2021'!Q71/100)*'Tariffs Jul2021'!AI71,('Tariffs Jul2021'!L71-'Tariffs Jul2021'!K71)*('Tariffs Jul2021'!Q71/100)*'Tariffs Jul2021'!AI71))</f>
        <v>0</v>
      </c>
      <c r="H77" s="59">
        <f>IF($C$5*'Tariffs Jul2021'!AK71/'Tariffs Jul2021'!AI71&lt;'Tariffs Jul2021'!L71,0,IF($C$5*'Tariffs Jul2021'!AK71/'Tariffs Jul2021'!AI71&lt;='Tariffs Jul2021'!M71,($C$5*'Tariffs Jul2021'!AK71/'Tariffs Jul2021'!AI71-'Tariffs Jul2021'!L71)*('Tariffs Jul2021'!R71/100)*'Tariffs Jul2021'!AI71,('Tariffs Jul2021'!M71-'Tariffs Jul2021'!L71)*('Tariffs Jul2021'!R71/100)*'Tariffs Jul2021'!AI71))</f>
        <v>0</v>
      </c>
      <c r="I77" s="59">
        <f>IF(($C$5*'Tariffs Jul2021'!AK71/'Tariffs Jul2021'!AI71&gt;'Tariffs Jul2021'!M71),($C$5*'Tariffs Jul2021'!AK71/'Tariffs Jul2021'!AI71-'Tariffs Jul2021'!M71)*'Tariffs Jul2021'!S71/100*'Tariffs Jul2021'!AI71,0)</f>
        <v>110.72727272727272</v>
      </c>
      <c r="J77" s="59">
        <f>IF($C$5*'Tariffs Jul2021'!AL71/'Tariffs Jul2021'!AJ71&gt;='Tariffs Jul2021'!J71,('Tariffs Jul2021'!J71*'Tariffs Jul2021'!U71/100)* 'Tariffs Jul2021'!AJ71,($C$5*'Tariffs Jul2021'!AL71/'Tariffs Jul2021'!AJ71*'Tariffs Jul2021'!U71/100)* 'Tariffs Jul2021'!AJ71)</f>
        <v>102.73772727272726</v>
      </c>
      <c r="K77" s="59">
        <f>IF($C$5*'Tariffs Jul2021'!AL71/'Tariffs Jul2021'!AJ71&lt;'Tariffs Jul2021'!J71,0,IF($C$5*'Tariffs Jul2021'!AL71/'Tariffs Jul2021'!AJ71&lt;='Tariffs Jul2021'!K71,($C$5*'Tariffs Jul2021'!AL71/'Tariffs Jul2021'!AJ71-'Tariffs Jul2021'!J71)*('Tariffs Jul2021'!V71/100)*'Tariffs Jul2021'!AJ71,('Tariffs Jul2021'!K71-'Tariffs Jul2021'!J71)*('Tariffs Jul2021'!V71/100)*'Tariffs Jul2021'!AJ71))</f>
        <v>80.560909090909092</v>
      </c>
      <c r="L77" s="59">
        <f>IF($C$5*'Tariffs Jul2021'!AL71/'Tariffs Jul2021'!AJ71&lt;'Tariffs Jul2021'!K71,0,IF($C$5*'Tariffs Jul2021'!AL71/'Tariffs Jul2021'!AJ71&lt;='Tariffs Jul2021'!L71,($C$5*'Tariffs Jul2021'!AL71/'Tariffs Jul2021'!AJ71-'Tariffs Jul2021'!K71)*('Tariffs Jul2021'!W71/100)*'Tariffs Jul2021'!AJ71,('Tariffs Jul2021'!L71-'Tariffs Jul2021'!K71)*('Tariffs Jul2021'!W71/100)*'Tariffs Jul2021'!AJ71))</f>
        <v>0</v>
      </c>
      <c r="M77" s="59">
        <f>IF($C$5*'Tariffs Jul2021'!AL71/'Tariffs Jul2021'!AJ71&lt;'Tariffs Jul2021'!L71,0,IF($C$5*'Tariffs Jul2021'!AL71/'Tariffs Jul2021'!AJ71&lt;='Tariffs Jul2021'!M71,($C$5*'Tariffs Jul2021'!AL71/'Tariffs Jul2021'!AJ71-'Tariffs Jul2021'!L71)*('Tariffs Jul2021'!X71/100)*'Tariffs Jul2021'!AJ71,('Tariffs Jul2021'!M71-'Tariffs Jul2021'!L71)*('Tariffs Jul2021'!X71/100)*'Tariffs Jul2021'!AJ71))</f>
        <v>0</v>
      </c>
      <c r="N77" s="59">
        <f>IF(($C$5*'Tariffs Jul2021'!AL71/'Tariffs Jul2021'!AJ71&gt;'Tariffs Jul2021'!M71),($C$5*'Tariffs Jul2021'!AL71/'Tariffs Jul2021'!AJ71-'Tariffs Jul2021'!M71)*'Tariffs Jul2021'!Y71/100*'Tariffs Jul2021'!AJ71,0)</f>
        <v>110.72727272727272</v>
      </c>
      <c r="O77" s="59">
        <f t="shared" si="1"/>
        <v>588.05181818181813</v>
      </c>
      <c r="P77" s="503">
        <f t="shared" si="56"/>
        <v>646.85699999999997</v>
      </c>
      <c r="Q77" s="59">
        <f t="shared" si="3"/>
        <v>839.53681818181815</v>
      </c>
      <c r="R77" s="272">
        <f t="shared" si="4"/>
        <v>923.4905</v>
      </c>
      <c r="S77" s="40">
        <f>'Tariffs Jul2021'!AN71</f>
        <v>0</v>
      </c>
      <c r="T77" s="40">
        <f>'Tariffs Jul2021'!AO71</f>
        <v>0</v>
      </c>
      <c r="U77" s="40">
        <f>'Tariffs Jul2021'!AP71</f>
        <v>0</v>
      </c>
      <c r="V77" s="40">
        <f>'Tariffs Jul2021'!AQ71</f>
        <v>0</v>
      </c>
      <c r="W77" s="537" t="str">
        <f t="shared" si="60"/>
        <v>No discount</v>
      </c>
      <c r="X77" s="538" t="str">
        <f t="shared" si="61"/>
        <v>Exclusive</v>
      </c>
      <c r="Y77" s="534">
        <f>IF(AND(W77="Guaranteed off bill",X77="Inclusive"),((Q77*1.1)-((Q77*1.1)*S77/100))/1.1,IF(AND(W77="Guaranteed off usage",X77="Inclusive"),((Q77*1.1)-((P77*1.1)*T77/100))/1.1,IF(AND(W77="Guaranteed off bill",X77="Exclusive"),Q77-(Q77*S77/100),IF(AND(W77="Guaranteed off usage",X77="Exclusive"),Q77-(P77*T77/100),IF(X77="Inclusive",((Q77*1.1))/1.1,Q77)))))</f>
        <v>839.53681818181815</v>
      </c>
      <c r="Z77" s="535">
        <f>IF(AND(W77="Pay-on-time off bill",X77="Inclusive"),((Y77*1.1)-((Y77*1.1)*U77/100))/1.1,IF(AND(W77="Pay-on-time off usage",X77="Inclusive"),((Y77*1.1)-((P77*1.1)*V77/100))/1.1,IF(AND(W77="Pay-on-time off bill",X77="Exclusive"),Y77-(Y77*U77/100),IF(AND(W77="Pay-on-time off usage",X77="Exclusive"),Y77-(P77*V77/100),IF(X77="Inclusive",((Y77*1.1))/1.1,Y77)))))</f>
        <v>839.53681818181815</v>
      </c>
      <c r="AA77" s="542">
        <f t="shared" si="59"/>
        <v>923.4905</v>
      </c>
      <c r="AB77" s="542">
        <f t="shared" si="59"/>
        <v>923.4905</v>
      </c>
      <c r="AC77" s="274">
        <f>'Tariffs Jul2021'!AZ71</f>
        <v>0</v>
      </c>
      <c r="AD77" s="274" t="str">
        <f>'Tariffs Jul2021'!BA71</f>
        <v>n</v>
      </c>
      <c r="AE77" s="275" t="str">
        <f>'Tariffs Jul2021'!BJ71</f>
        <v>N</v>
      </c>
      <c r="AF77" s="574"/>
      <c r="AG77" s="574"/>
      <c r="AH77" s="574"/>
      <c r="AI77" s="574"/>
      <c r="AJ77" s="574"/>
      <c r="AK77" s="574"/>
      <c r="AL77" s="574"/>
      <c r="AM77" s="574"/>
      <c r="AN77" s="574"/>
      <c r="AO77" s="574"/>
      <c r="AP77" s="574"/>
      <c r="AQ77" s="574"/>
      <c r="AR77" s="574"/>
      <c r="AS77" s="574"/>
      <c r="AT77" s="574"/>
      <c r="AU77" s="574"/>
      <c r="AV77" s="574"/>
      <c r="AW77" s="574"/>
      <c r="AX77" s="574"/>
    </row>
    <row r="78" spans="1:50" ht="14" x14ac:dyDescent="0.15">
      <c r="A78" s="270" t="str">
        <f>'Tariffs Jul2021'!F72</f>
        <v>Momentum Energy</v>
      </c>
      <c r="B78" s="40" t="str">
        <f>'Tariffs Jul2021'!D72</f>
        <v>AGN Central 1</v>
      </c>
      <c r="C78" s="40" t="str">
        <f>'Tariffs Jul2021'!G72</f>
        <v>Market offer</v>
      </c>
      <c r="D78" s="59">
        <f>365*'Tariffs Jul2021'!H72/100</f>
        <v>289.08</v>
      </c>
      <c r="E78" s="59">
        <f>IF($C$5*'Tariffs Jul2021'!AK72/'Tariffs Jul2021'!AI72&gt;='Tariffs Jul2021'!J72,( 'Tariffs Jul2021'!J72*'Tariffs Jul2021'!O72/100)* 'Tariffs Jul2021'!AI72,($C$5*'Tariffs Jul2021'!AK72/'Tariffs Jul2021'!AI72*'Tariffs Jul2021'!O72/100)* 'Tariffs Jul2021'!AI72)</f>
        <v>85.539999999999978</v>
      </c>
      <c r="F78" s="59">
        <f>IF($C$5*'Tariffs Jul2021'!AK72/'Tariffs Jul2021'!AI72&lt;'Tariffs Jul2021'!J72,0,IF($C$5*'Tariffs Jul2021'!AK72/'Tariffs Jul2021'!AI72&lt;='Tariffs Jul2021'!K72,($C$5*'Tariffs Jul2021'!AK72/'Tariffs Jul2021'!AI72-'Tariffs Jul2021'!J72)*('Tariffs Jul2021'!P72/100)*'Tariffs Jul2021'!AI72,('Tariffs Jul2021'!K72-'Tariffs Jul2021'!J72)*('Tariffs Jul2021'!P72/100)*'Tariffs Jul2021'!AI72))</f>
        <v>59.62</v>
      </c>
      <c r="G78" s="59">
        <f>IF($C$5*'Tariffs Jul2021'!AK72/'Tariffs Jul2021'!AI72&lt;'Tariffs Jul2021'!K72,0,IF($C$5*'Tariffs Jul2021'!AK72/'Tariffs Jul2021'!AI72&lt;='Tariffs Jul2021'!L72,($C$5*'Tariffs Jul2021'!AK72/'Tariffs Jul2021'!AI72-'Tariffs Jul2021'!K72)*('Tariffs Jul2021'!Q72/100)*'Tariffs Jul2021'!AI72,('Tariffs Jul2021'!L72-'Tariffs Jul2021'!K72)*('Tariffs Jul2021'!Q72/100)*'Tariffs Jul2021'!AI72))</f>
        <v>0</v>
      </c>
      <c r="H78" s="59">
        <f>IF($C$5*'Tariffs Jul2021'!AK72/'Tariffs Jul2021'!AI72&lt;'Tariffs Jul2021'!L72,0,IF($C$5*'Tariffs Jul2021'!AK72/'Tariffs Jul2021'!AI72&lt;='Tariffs Jul2021'!M72,($C$5*'Tariffs Jul2021'!AK72/'Tariffs Jul2021'!AI72-'Tariffs Jul2021'!L72)*('Tariffs Jul2021'!R72/100)*'Tariffs Jul2021'!AI72,('Tariffs Jul2021'!M72-'Tariffs Jul2021'!L72)*('Tariffs Jul2021'!R72/100)*'Tariffs Jul2021'!AI72))</f>
        <v>0</v>
      </c>
      <c r="I78" s="59">
        <f>IF(($C$5*'Tariffs Jul2021'!AK72/'Tariffs Jul2021'!AI72&gt;'Tariffs Jul2021'!M72),($C$5*'Tariffs Jul2021'!AK72/'Tariffs Jul2021'!AI72-'Tariffs Jul2021'!M72)*'Tariffs Jul2021'!S72/100*'Tariffs Jul2021'!AI72,0)</f>
        <v>75.98099999999998</v>
      </c>
      <c r="J78" s="59">
        <f>IF($C$5*'Tariffs Jul2021'!AL72/'Tariffs Jul2021'!AJ72&gt;='Tariffs Jul2021'!J72,('Tariffs Jul2021'!J72*'Tariffs Jul2021'!U72/100)* 'Tariffs Jul2021'!AJ72,($C$5*'Tariffs Jul2021'!AL72/'Tariffs Jul2021'!AJ72*'Tariffs Jul2021'!U72/100)* 'Tariffs Jul2021'!AJ72)</f>
        <v>157.91999999999999</v>
      </c>
      <c r="K78" s="59">
        <f>IF($C$5*'Tariffs Jul2021'!AL72/'Tariffs Jul2021'!AJ72&lt;'Tariffs Jul2021'!J72,0,IF($C$5*'Tariffs Jul2021'!AL72/'Tariffs Jul2021'!AJ72&lt;='Tariffs Jul2021'!K72,($C$5*'Tariffs Jul2021'!AL72/'Tariffs Jul2021'!AJ72-'Tariffs Jul2021'!J72)*('Tariffs Jul2021'!V72/100)*'Tariffs Jul2021'!AJ72,('Tariffs Jul2021'!K72-'Tariffs Jul2021'!J72)*('Tariffs Jul2021'!V72/100)*'Tariffs Jul2021'!AJ72))</f>
        <v>108.4</v>
      </c>
      <c r="L78" s="59">
        <f>IF($C$5*'Tariffs Jul2021'!AL72/'Tariffs Jul2021'!AJ72&lt;'Tariffs Jul2021'!K72,0,IF($C$5*'Tariffs Jul2021'!AL72/'Tariffs Jul2021'!AJ72&lt;='Tariffs Jul2021'!L72,($C$5*'Tariffs Jul2021'!AL72/'Tariffs Jul2021'!AJ72-'Tariffs Jul2021'!K72)*('Tariffs Jul2021'!W72/100)*'Tariffs Jul2021'!AJ72,('Tariffs Jul2021'!L72-'Tariffs Jul2021'!K72)*('Tariffs Jul2021'!W72/100)*'Tariffs Jul2021'!AJ72))</f>
        <v>0</v>
      </c>
      <c r="M78" s="59">
        <f>IF($C$5*'Tariffs Jul2021'!AL72/'Tariffs Jul2021'!AJ72&lt;'Tariffs Jul2021'!L72,0,IF($C$5*'Tariffs Jul2021'!AL72/'Tariffs Jul2021'!AJ72&lt;='Tariffs Jul2021'!M72,($C$5*'Tariffs Jul2021'!AL72/'Tariffs Jul2021'!AJ72-'Tariffs Jul2021'!L72)*('Tariffs Jul2021'!X72/100)*'Tariffs Jul2021'!AJ72,('Tariffs Jul2021'!M72-'Tariffs Jul2021'!L72)*('Tariffs Jul2021'!X72/100)*'Tariffs Jul2021'!AJ72))</f>
        <v>0</v>
      </c>
      <c r="N78" s="59">
        <f>IF(($C$5*'Tariffs Jul2021'!AL72/'Tariffs Jul2021'!AJ72&gt;'Tariffs Jul2021'!M72),($C$5*'Tariffs Jul2021'!AL72/'Tariffs Jul2021'!AJ72-'Tariffs Jul2021'!M72)*'Tariffs Jul2021'!Y72/100*'Tariffs Jul2021'!AJ72,0)</f>
        <v>135.96600000000001</v>
      </c>
      <c r="O78" s="59">
        <f>SUM(E78:N78)</f>
        <v>623.42699999999991</v>
      </c>
      <c r="P78" s="503">
        <f t="shared" si="56"/>
        <v>685.76969999999994</v>
      </c>
      <c r="Q78" s="59">
        <f>D78+O78</f>
        <v>912.50699999999983</v>
      </c>
      <c r="R78" s="272">
        <f>Q78*1.1</f>
        <v>1003.7576999999999</v>
      </c>
      <c r="S78" s="40">
        <f>'Tariffs Jul2021'!AN72</f>
        <v>0</v>
      </c>
      <c r="T78" s="40">
        <f>'Tariffs Jul2021'!AO72</f>
        <v>0</v>
      </c>
      <c r="U78" s="40">
        <f>'Tariffs Jul2021'!AP72</f>
        <v>0</v>
      </c>
      <c r="V78" s="40">
        <f>'Tariffs Jul2021'!AQ72</f>
        <v>0</v>
      </c>
      <c r="W78" s="537" t="str">
        <f t="shared" si="60"/>
        <v>No discount</v>
      </c>
      <c r="X78" s="538" t="str">
        <f t="shared" si="61"/>
        <v>Exclusive</v>
      </c>
      <c r="Y78" s="534">
        <f t="shared" ref="Y78" si="66">IF(AND(W78="Guaranteed off bill",X78="Inclusive"),((Q78*1.1)-((Q78*1.1)*S78/100))/1.1,IF(AND(W78="Guaranteed off usage",X78="Inclusive"),((Q78*1.1)-((P78*1.1)*T78/100))/1.1,IF(AND(W78="Guaranteed off bill",X78="Exclusive"),Q78-(Q78*S78/100),IF(AND(W78="Guaranteed off usage",X78="Exclusive"),Q78-(P78*T78/100),IF(X78="Inclusive",((Q78*1.1))/1.1,Q78)))))</f>
        <v>912.50699999999983</v>
      </c>
      <c r="Z78" s="535">
        <f t="shared" ref="Z78" si="67">IF(AND(W78="Pay-on-time off bill",X78="Inclusive"),((Y78*1.1)-((Y78*1.1)*U78/100))/1.1,IF(AND(W78="Pay-on-time off usage",X78="Inclusive"),((Y78*1.1)-((P78*1.1)*V78/100))/1.1,IF(AND(W78="Pay-on-time off bill",X78="Exclusive"),Y78-(Y78*U78/100),IF(AND(W78="Pay-on-time off usage",X78="Exclusive"),Y78-(P78*V78/100),IF(X78="Inclusive",((Y78*1.1))/1.1,Y78)))))</f>
        <v>912.50699999999983</v>
      </c>
      <c r="AA78" s="542">
        <f t="shared" si="59"/>
        <v>1003.7576999999999</v>
      </c>
      <c r="AB78" s="542">
        <f t="shared" si="59"/>
        <v>1003.7576999999999</v>
      </c>
      <c r="AC78" s="274">
        <f>'Tariffs Jul2021'!AZ72</f>
        <v>0</v>
      </c>
      <c r="AD78" s="274" t="str">
        <f>'Tariffs Jul2021'!BA72</f>
        <v>n</v>
      </c>
      <c r="AE78" s="275" t="str">
        <f>'Tariffs Jul2021'!BJ72</f>
        <v>N</v>
      </c>
      <c r="AF78" s="574"/>
      <c r="AG78" s="574"/>
      <c r="AH78" s="574"/>
      <c r="AI78" s="574"/>
      <c r="AJ78" s="574"/>
      <c r="AK78" s="574"/>
      <c r="AL78" s="574"/>
      <c r="AM78" s="574"/>
      <c r="AN78" s="574"/>
      <c r="AO78" s="574"/>
      <c r="AP78" s="574"/>
      <c r="AQ78" s="574"/>
      <c r="AR78" s="574"/>
      <c r="AS78" s="574"/>
      <c r="AT78" s="574"/>
      <c r="AU78" s="574"/>
      <c r="AV78" s="574"/>
      <c r="AW78" s="574"/>
      <c r="AX78" s="574"/>
    </row>
    <row r="79" spans="1:50" ht="14" x14ac:dyDescent="0.15">
      <c r="A79" s="270" t="str">
        <f>'Tariffs Jul2021'!F73</f>
        <v>Origin Energy</v>
      </c>
      <c r="B79" s="40" t="str">
        <f>'Tariffs Jul2021'!D73</f>
        <v>AGN Central 1</v>
      </c>
      <c r="C79" s="40" t="str">
        <f>'Tariffs Jul2021'!G73</f>
        <v>Go</v>
      </c>
      <c r="D79" s="59">
        <f>365*'Tariffs Jul2021'!H73/100</f>
        <v>223.64545454545456</v>
      </c>
      <c r="E79" s="59">
        <f>IF($C$5*'Tariffs Jul2021'!AK73/'Tariffs Jul2021'!AI73&gt;='Tariffs Jul2021'!J73,( 'Tariffs Jul2021'!J73*'Tariffs Jul2021'!O73/100)* 'Tariffs Jul2021'!AI73,($C$5*'Tariffs Jul2021'!AK73/'Tariffs Jul2021'!AI73*'Tariffs Jul2021'!O73/100)* 'Tariffs Jul2021'!AI73)</f>
        <v>436.36363636363637</v>
      </c>
      <c r="F79" s="59">
        <f>IF($C$5*'Tariffs Jul2021'!AK73/'Tariffs Jul2021'!AI73&lt;'Tariffs Jul2021'!J73,0,IF($C$5*'Tariffs Jul2021'!AK73/'Tariffs Jul2021'!AI73&lt;='Tariffs Jul2021'!K73,($C$5*'Tariffs Jul2021'!AK73/'Tariffs Jul2021'!AI73-'Tariffs Jul2021'!J73)*('Tariffs Jul2021'!P73/100)*'Tariffs Jul2021'!AI73,('Tariffs Jul2021'!K73-'Tariffs Jul2021'!J73)*('Tariffs Jul2021'!P73/100)*'Tariffs Jul2021'!AI73))</f>
        <v>0</v>
      </c>
      <c r="G79" s="59">
        <f>IF($C$5*'Tariffs Jul2021'!AK73/'Tariffs Jul2021'!AI73&lt;'Tariffs Jul2021'!K73,0,IF($C$5*'Tariffs Jul2021'!AK73/'Tariffs Jul2021'!AI73&lt;='Tariffs Jul2021'!L73,($C$5*'Tariffs Jul2021'!AK73/'Tariffs Jul2021'!AI73-'Tariffs Jul2021'!K73)*('Tariffs Jul2021'!Q73/100)*'Tariffs Jul2021'!AI73,('Tariffs Jul2021'!L73-'Tariffs Jul2021'!K73)*('Tariffs Jul2021'!Q73/100)*'Tariffs Jul2021'!AI73))</f>
        <v>0</v>
      </c>
      <c r="H79" s="59">
        <f>IF($C$5*'Tariffs Jul2021'!AK73/'Tariffs Jul2021'!AI73&lt;'Tariffs Jul2021'!L73,0,IF($C$5*'Tariffs Jul2021'!AK73/'Tariffs Jul2021'!AI73&lt;='Tariffs Jul2021'!M73,($C$5*'Tariffs Jul2021'!AK73/'Tariffs Jul2021'!AI73-'Tariffs Jul2021'!L73)*('Tariffs Jul2021'!R73/100)*'Tariffs Jul2021'!AI73,('Tariffs Jul2021'!M73-'Tariffs Jul2021'!L73)*('Tariffs Jul2021'!R73/100)*'Tariffs Jul2021'!AI73))</f>
        <v>0</v>
      </c>
      <c r="I79" s="59">
        <f>IF(($C$5*'Tariffs Jul2021'!AK73/'Tariffs Jul2021'!AI73&gt;'Tariffs Jul2021'!M73),($C$5*'Tariffs Jul2021'!AK73/'Tariffs Jul2021'!AI73-'Tariffs Jul2021'!M73)*'Tariffs Jul2021'!S73/100*'Tariffs Jul2021'!AI73,0)</f>
        <v>0</v>
      </c>
      <c r="J79" s="59">
        <f>IF($C$5*'Tariffs Jul2021'!AL73/'Tariffs Jul2021'!AJ73&gt;='Tariffs Jul2021'!J73,('Tariffs Jul2021'!J73*'Tariffs Jul2021'!U73/100)* 'Tariffs Jul2021'!AJ73,($C$5*'Tariffs Jul2021'!AL73/'Tariffs Jul2021'!AJ73*'Tariffs Jul2021'!U73/100)* 'Tariffs Jul2021'!AJ73)</f>
        <v>436.36363636363637</v>
      </c>
      <c r="K79" s="59">
        <f>IF($C$5*'Tariffs Jul2021'!AL73/'Tariffs Jul2021'!AJ73&lt;'Tariffs Jul2021'!J73,0,IF($C$5*'Tariffs Jul2021'!AL73/'Tariffs Jul2021'!AJ73&lt;='Tariffs Jul2021'!K73,($C$5*'Tariffs Jul2021'!AL73/'Tariffs Jul2021'!AJ73-'Tariffs Jul2021'!J73)*('Tariffs Jul2021'!V73/100)*'Tariffs Jul2021'!AJ73,('Tariffs Jul2021'!K73-'Tariffs Jul2021'!J73)*('Tariffs Jul2021'!V73/100)*'Tariffs Jul2021'!AJ73))</f>
        <v>0</v>
      </c>
      <c r="L79" s="59">
        <f>IF($C$5*'Tariffs Jul2021'!AL73/'Tariffs Jul2021'!AJ73&lt;'Tariffs Jul2021'!K73,0,IF($C$5*'Tariffs Jul2021'!AL73/'Tariffs Jul2021'!AJ73&lt;='Tariffs Jul2021'!L73,($C$5*'Tariffs Jul2021'!AL73/'Tariffs Jul2021'!AJ73-'Tariffs Jul2021'!K73)*('Tariffs Jul2021'!W73/100)*'Tariffs Jul2021'!AJ73,('Tariffs Jul2021'!L73-'Tariffs Jul2021'!K73)*('Tariffs Jul2021'!W73/100)*'Tariffs Jul2021'!AJ73))</f>
        <v>0</v>
      </c>
      <c r="M79" s="59">
        <f>IF($C$5*'Tariffs Jul2021'!AL73/'Tariffs Jul2021'!AJ73&lt;'Tariffs Jul2021'!L73,0,IF($C$5*'Tariffs Jul2021'!AL73/'Tariffs Jul2021'!AJ73&lt;='Tariffs Jul2021'!M73,($C$5*'Tariffs Jul2021'!AL73/'Tariffs Jul2021'!AJ73-'Tariffs Jul2021'!L73)*('Tariffs Jul2021'!X73/100)*'Tariffs Jul2021'!AJ73,('Tariffs Jul2021'!M73-'Tariffs Jul2021'!L73)*('Tariffs Jul2021'!X73/100)*'Tariffs Jul2021'!AJ73))</f>
        <v>0</v>
      </c>
      <c r="N79" s="59">
        <f>IF(($C$5*'Tariffs Jul2021'!AL73/'Tariffs Jul2021'!AJ73&gt;'Tariffs Jul2021'!M73),($C$5*'Tariffs Jul2021'!AL73/'Tariffs Jul2021'!AJ73-'Tariffs Jul2021'!M73)*'Tariffs Jul2021'!Y73/100*'Tariffs Jul2021'!AJ73,0)</f>
        <v>0</v>
      </c>
      <c r="O79" s="59">
        <f t="shared" si="1"/>
        <v>872.72727272727275</v>
      </c>
      <c r="P79" s="503">
        <f t="shared" si="56"/>
        <v>960.00000000000011</v>
      </c>
      <c r="Q79" s="59">
        <f t="shared" si="3"/>
        <v>1096.3727272727274</v>
      </c>
      <c r="R79" s="272">
        <f t="shared" si="4"/>
        <v>1206.0100000000002</v>
      </c>
      <c r="S79" s="40">
        <f>'Tariffs Jul2021'!AN73</f>
        <v>0</v>
      </c>
      <c r="T79" s="40">
        <f>'Tariffs Jul2021'!AO73</f>
        <v>0</v>
      </c>
      <c r="U79" s="40">
        <f>'Tariffs Jul2021'!AP73</f>
        <v>0</v>
      </c>
      <c r="V79" s="40">
        <f>'Tariffs Jul2021'!AQ73</f>
        <v>0</v>
      </c>
      <c r="W79" s="537" t="str">
        <f t="shared" si="60"/>
        <v>No discount</v>
      </c>
      <c r="X79" s="538" t="str">
        <f t="shared" si="61"/>
        <v>Inclusive</v>
      </c>
      <c r="Y79" s="534">
        <f>IF(AND(W79="Guaranteed off bill",X79="Inclusive"),((Q79*1.1)-((Q79*1.1)*S79/100))/1.1,IF(AND(W79="Guaranteed off usage",X79="Inclusive"),((Q79*1.1)-((P79*1.1)*T79/100))/1.1,IF(AND(W79="Guaranteed off bill",X79="Exclusive"),Q79-(Q79*S79/100),IF(AND(W79="Guaranteed off usage",X79="Exclusive"),Q79-(P79*T79/100),IF(X79="Inclusive",((Q79*1.1))/1.1,Q79)))))</f>
        <v>1096.3727272727274</v>
      </c>
      <c r="Z79" s="535">
        <f>IF(AND(W79="Pay-on-time off bill",X79="Inclusive"),((Y79*1.1)-((Y79*1.1)*U79/100))/1.1,IF(AND(W79="Pay-on-time off usage",X79="Inclusive"),((Y79*1.1)-((P79*1.1)*V79/100))/1.1,IF(AND(W79="Pay-on-time off bill",X79="Exclusive"),Y79-(Y79*U79/100),IF(AND(W79="Pay-on-time off usage",X79="Exclusive"),Y79-(P79*V79/100),IF(X79="Inclusive",((Y79*1.1))/1.1,Y79)))))</f>
        <v>1096.3727272727274</v>
      </c>
      <c r="AA79" s="542">
        <f t="shared" si="59"/>
        <v>1206.0100000000002</v>
      </c>
      <c r="AB79" s="542">
        <f t="shared" si="59"/>
        <v>1206.0100000000002</v>
      </c>
      <c r="AC79" s="274">
        <f>'Tariffs Jul2021'!AZ73</f>
        <v>0</v>
      </c>
      <c r="AD79" s="274" t="str">
        <f>'Tariffs Jul2021'!BA73</f>
        <v>n</v>
      </c>
      <c r="AE79" s="275" t="str">
        <f>'Tariffs Jul2021'!BJ73</f>
        <v>N</v>
      </c>
      <c r="AF79" s="574"/>
      <c r="AG79" s="574"/>
      <c r="AH79" s="574"/>
      <c r="AI79" s="574"/>
      <c r="AJ79" s="574"/>
      <c r="AK79" s="574"/>
      <c r="AL79" s="574"/>
      <c r="AM79" s="574"/>
      <c r="AN79" s="574"/>
      <c r="AO79" s="574"/>
      <c r="AP79" s="574"/>
      <c r="AQ79" s="574"/>
      <c r="AR79" s="574"/>
      <c r="AS79" s="574"/>
      <c r="AT79" s="574"/>
      <c r="AU79" s="574"/>
      <c r="AV79" s="574"/>
      <c r="AW79" s="574"/>
      <c r="AX79" s="574"/>
    </row>
    <row r="80" spans="1:50" ht="14" x14ac:dyDescent="0.15">
      <c r="A80" s="270" t="str">
        <f>'Tariffs Jul2021'!F74</f>
        <v>Red Energy</v>
      </c>
      <c r="B80" s="40" t="str">
        <f>'Tariffs Jul2021'!D74</f>
        <v>AGN Central 1</v>
      </c>
      <c r="C80" s="40" t="str">
        <f>'Tariffs Jul2021'!G74</f>
        <v>Living Energy Saver</v>
      </c>
      <c r="D80" s="59">
        <f>365*'Tariffs Jul2021'!H74/100</f>
        <v>239.14136363636356</v>
      </c>
      <c r="E80" s="59">
        <f>IF($C$5*'Tariffs Jul2021'!AK74/'Tariffs Jul2021'!AI74&gt;='Tariffs Jul2021'!J74,( 'Tariffs Jul2021'!J74*'Tariffs Jul2021'!O74/100)* 'Tariffs Jul2021'!AI74,($C$5*'Tariffs Jul2021'!AK74/'Tariffs Jul2021'!AI74*'Tariffs Jul2021'!O74/100)* 'Tariffs Jul2021'!AI74)</f>
        <v>118.88863636363635</v>
      </c>
      <c r="F80" s="59">
        <f>IF($C$5*'Tariffs Jul2021'!AK74/'Tariffs Jul2021'!AI74&lt;'Tariffs Jul2021'!J74,0,IF($C$5*'Tariffs Jul2021'!AK74/'Tariffs Jul2021'!AI74&lt;='Tariffs Jul2021'!K74,($C$5*'Tariffs Jul2021'!AK74/'Tariffs Jul2021'!AI74-'Tariffs Jul2021'!J74)*('Tariffs Jul2021'!P74/100)*'Tariffs Jul2021'!AI74,('Tariffs Jul2021'!K74-'Tariffs Jul2021'!J74)*('Tariffs Jul2021'!P74/100)*'Tariffs Jul2021'!AI74))</f>
        <v>93.125454545454545</v>
      </c>
      <c r="G80" s="59">
        <f>IF($C$5*'Tariffs Jul2021'!AK74/'Tariffs Jul2021'!AI74&lt;'Tariffs Jul2021'!K74,0,IF($C$5*'Tariffs Jul2021'!AK74/'Tariffs Jul2021'!AI74&lt;='Tariffs Jul2021'!L74,($C$5*'Tariffs Jul2021'!AK74/'Tariffs Jul2021'!AI74-'Tariffs Jul2021'!K74)*('Tariffs Jul2021'!Q74/100)*'Tariffs Jul2021'!AI74,('Tariffs Jul2021'!L74-'Tariffs Jul2021'!K74)*('Tariffs Jul2021'!Q74/100)*'Tariffs Jul2021'!AI74))</f>
        <v>0</v>
      </c>
      <c r="H80" s="59">
        <f>IF($C$5*'Tariffs Jul2021'!AK74/'Tariffs Jul2021'!AI74&lt;'Tariffs Jul2021'!L74,0,IF($C$5*'Tariffs Jul2021'!AK74/'Tariffs Jul2021'!AI74&lt;='Tariffs Jul2021'!M74,($C$5*'Tariffs Jul2021'!AK74/'Tariffs Jul2021'!AI74-'Tariffs Jul2021'!L74)*('Tariffs Jul2021'!R74/100)*'Tariffs Jul2021'!AI74,('Tariffs Jul2021'!M74-'Tariffs Jul2021'!L74)*('Tariffs Jul2021'!R74/100)*'Tariffs Jul2021'!AI74))</f>
        <v>0</v>
      </c>
      <c r="I80" s="59">
        <f>IF(($C$5*'Tariffs Jul2021'!AK74/'Tariffs Jul2021'!AI74&gt;'Tariffs Jul2021'!M74),($C$5*'Tariffs Jul2021'!AK74/'Tariffs Jul2021'!AI74-'Tariffs Jul2021'!M74)*'Tariffs Jul2021'!S74/100*'Tariffs Jul2021'!AI74,0)</f>
        <v>98.72727272727272</v>
      </c>
      <c r="J80" s="59">
        <f>IF($C$5*'Tariffs Jul2021'!AL74/'Tariffs Jul2021'!AJ74&gt;='Tariffs Jul2021'!J74,('Tariffs Jul2021'!J74*'Tariffs Jul2021'!U74/100)* 'Tariffs Jul2021'!AJ74,($C$5*'Tariffs Jul2021'!AL74/'Tariffs Jul2021'!AJ74*'Tariffs Jul2021'!U74/100)* 'Tariffs Jul2021'!AJ74)</f>
        <v>118.88863636363635</v>
      </c>
      <c r="K80" s="59">
        <f>IF($C$5*'Tariffs Jul2021'!AL74/'Tariffs Jul2021'!AJ74&lt;'Tariffs Jul2021'!J74,0,IF($C$5*'Tariffs Jul2021'!AL74/'Tariffs Jul2021'!AJ74&lt;='Tariffs Jul2021'!K74,($C$5*'Tariffs Jul2021'!AL74/'Tariffs Jul2021'!AJ74-'Tariffs Jul2021'!J74)*('Tariffs Jul2021'!V74/100)*'Tariffs Jul2021'!AJ74,('Tariffs Jul2021'!K74-'Tariffs Jul2021'!J74)*('Tariffs Jul2021'!V74/100)*'Tariffs Jul2021'!AJ74))</f>
        <v>93.125454545454545</v>
      </c>
      <c r="L80" s="59">
        <f>IF($C$5*'Tariffs Jul2021'!AL74/'Tariffs Jul2021'!AJ74&lt;'Tariffs Jul2021'!K74,0,IF($C$5*'Tariffs Jul2021'!AL74/'Tariffs Jul2021'!AJ74&lt;='Tariffs Jul2021'!L74,($C$5*'Tariffs Jul2021'!AL74/'Tariffs Jul2021'!AJ74-'Tariffs Jul2021'!K74)*('Tariffs Jul2021'!W74/100)*'Tariffs Jul2021'!AJ74,('Tariffs Jul2021'!L74-'Tariffs Jul2021'!K74)*('Tariffs Jul2021'!W74/100)*'Tariffs Jul2021'!AJ74))</f>
        <v>0</v>
      </c>
      <c r="M80" s="59">
        <f>IF($C$5*'Tariffs Jul2021'!AL74/'Tariffs Jul2021'!AJ74&lt;'Tariffs Jul2021'!L74,0,IF($C$5*'Tariffs Jul2021'!AL74/'Tariffs Jul2021'!AJ74&lt;='Tariffs Jul2021'!M74,($C$5*'Tariffs Jul2021'!AL74/'Tariffs Jul2021'!AJ74-'Tariffs Jul2021'!L74)*('Tariffs Jul2021'!X74/100)*'Tariffs Jul2021'!AJ74,('Tariffs Jul2021'!M74-'Tariffs Jul2021'!L74)*('Tariffs Jul2021'!X74/100)*'Tariffs Jul2021'!AJ74))</f>
        <v>0</v>
      </c>
      <c r="N80" s="59">
        <f>IF(($C$5*'Tariffs Jul2021'!AL74/'Tariffs Jul2021'!AJ74&gt;'Tariffs Jul2021'!M74),($C$5*'Tariffs Jul2021'!AL74/'Tariffs Jul2021'!AJ74-'Tariffs Jul2021'!M74)*'Tariffs Jul2021'!Y74/100*'Tariffs Jul2021'!AJ74,0)</f>
        <v>98.72727272727272</v>
      </c>
      <c r="O80" s="59">
        <f t="shared" si="1"/>
        <v>621.48272727272729</v>
      </c>
      <c r="P80" s="503">
        <f t="shared" si="56"/>
        <v>683.63100000000009</v>
      </c>
      <c r="Q80" s="59">
        <f t="shared" si="3"/>
        <v>860.62409090909091</v>
      </c>
      <c r="R80" s="272">
        <f t="shared" si="4"/>
        <v>946.68650000000002</v>
      </c>
      <c r="S80" s="40">
        <f>'Tariffs Jul2021'!AN74</f>
        <v>0</v>
      </c>
      <c r="T80" s="40">
        <f>'Tariffs Jul2021'!AO74</f>
        <v>0</v>
      </c>
      <c r="U80" s="40">
        <f>'Tariffs Jul2021'!AP74</f>
        <v>0</v>
      </c>
      <c r="V80" s="40">
        <f>'Tariffs Jul2021'!AQ74</f>
        <v>0</v>
      </c>
      <c r="W80" s="537" t="str">
        <f t="shared" si="60"/>
        <v>No discount</v>
      </c>
      <c r="X80" s="538" t="str">
        <f t="shared" si="61"/>
        <v>Inclusive</v>
      </c>
      <c r="Y80" s="534">
        <f t="shared" ref="Y80:Y83" si="68">IF(AND(W80="Guaranteed off bill",X80="Inclusive"),((Q80*1.1)-((Q80*1.1)*S80/100))/1.1,IF(AND(W80="Guaranteed off usage",X80="Inclusive"),((Q80*1.1)-((P80*1.1)*T80/100))/1.1,IF(AND(W80="Guaranteed off bill",X80="Exclusive"),Q80-(Q80*S80/100),IF(AND(W80="Guaranteed off usage",X80="Exclusive"),Q80-(P80*T80/100),IF(X80="Inclusive",((Q80*1.1))/1.1,Q80)))))</f>
        <v>860.62409090909091</v>
      </c>
      <c r="Z80" s="535">
        <f t="shared" ref="Z80:Z83" si="69">IF(AND(W80="Pay-on-time off bill",X80="Inclusive"),((Y80*1.1)-((Y80*1.1)*U80/100))/1.1,IF(AND(W80="Pay-on-time off usage",X80="Inclusive"),((Y80*1.1)-((P80*1.1)*V80/100))/1.1,IF(AND(W80="Pay-on-time off bill",X80="Exclusive"),Y80-(Y80*U80/100),IF(AND(W80="Pay-on-time off usage",X80="Exclusive"),Y80-(P80*V80/100),IF(X80="Inclusive",((Y80*1.1))/1.1,Y80)))))</f>
        <v>860.62409090909091</v>
      </c>
      <c r="AA80" s="542">
        <f t="shared" si="59"/>
        <v>946.68650000000002</v>
      </c>
      <c r="AB80" s="542">
        <f t="shared" si="59"/>
        <v>946.68650000000002</v>
      </c>
      <c r="AC80" s="274">
        <f>'Tariffs Jul2021'!AZ74</f>
        <v>0</v>
      </c>
      <c r="AD80" s="274" t="str">
        <f>'Tariffs Jul2021'!BA74</f>
        <v>n</v>
      </c>
      <c r="AE80" s="275" t="str">
        <f>'Tariffs Jul2021'!BJ74</f>
        <v>N</v>
      </c>
      <c r="AF80" s="574"/>
      <c r="AG80" s="574"/>
      <c r="AH80" s="574"/>
      <c r="AI80" s="574"/>
      <c r="AJ80" s="574"/>
      <c r="AK80" s="574"/>
      <c r="AL80" s="574"/>
      <c r="AM80" s="574"/>
      <c r="AN80" s="574"/>
      <c r="AO80" s="574"/>
      <c r="AP80" s="574"/>
      <c r="AQ80" s="574"/>
      <c r="AR80" s="574"/>
      <c r="AS80" s="574"/>
      <c r="AT80" s="574"/>
      <c r="AU80" s="574"/>
      <c r="AV80" s="574"/>
      <c r="AW80" s="574"/>
      <c r="AX80" s="574"/>
    </row>
    <row r="81" spans="1:50" ht="14" x14ac:dyDescent="0.15">
      <c r="A81" s="270" t="str">
        <f>'Tariffs Jul2021'!F75</f>
        <v>Simply Energy</v>
      </c>
      <c r="B81" s="40" t="str">
        <f>'Tariffs Jul2021'!D75</f>
        <v>AGN Central 1</v>
      </c>
      <c r="C81" s="40" t="str">
        <f>'Tariffs Jul2021'!G75</f>
        <v>Saver</v>
      </c>
      <c r="D81" s="59">
        <f>365*'Tariffs Jul2021'!H75/100</f>
        <v>255.13499999999996</v>
      </c>
      <c r="E81" s="59">
        <f>IF($C$5*'Tariffs Jul2021'!AK75/'Tariffs Jul2021'!AI75&gt;='Tariffs Jul2021'!J75,( 'Tariffs Jul2021'!J75*'Tariffs Jul2021'!O75/100)* 'Tariffs Jul2021'!AI75,($C$5*'Tariffs Jul2021'!AK75/'Tariffs Jul2021'!AI75*'Tariffs Jul2021'!O75/100)* 'Tariffs Jul2021'!AI75)</f>
        <v>146.70409090909092</v>
      </c>
      <c r="F81" s="59">
        <f>IF($C$5*'Tariffs Jul2021'!AK75/'Tariffs Jul2021'!AI75&lt;'Tariffs Jul2021'!J75,0,IF($C$5*'Tariffs Jul2021'!AK75/'Tariffs Jul2021'!AI75&lt;='Tariffs Jul2021'!K75,($C$5*'Tariffs Jul2021'!AK75/'Tariffs Jul2021'!AI75-'Tariffs Jul2021'!J75)*('Tariffs Jul2021'!P75/100)*'Tariffs Jul2021'!AI75,('Tariffs Jul2021'!K75-'Tariffs Jul2021'!J75)*('Tariffs Jul2021'!P75/100)*'Tariffs Jul2021'!AI75))</f>
        <v>95.712272727272705</v>
      </c>
      <c r="G81" s="59">
        <f>IF($C$5*'Tariffs Jul2021'!AK75/'Tariffs Jul2021'!AI75&lt;'Tariffs Jul2021'!K75,0,IF($C$5*'Tariffs Jul2021'!AK75/'Tariffs Jul2021'!AI75&lt;='Tariffs Jul2021'!L75,($C$5*'Tariffs Jul2021'!AK75/'Tariffs Jul2021'!AI75-'Tariffs Jul2021'!K75)*('Tariffs Jul2021'!Q75/100)*'Tariffs Jul2021'!AI75,('Tariffs Jul2021'!L75-'Tariffs Jul2021'!K75)*('Tariffs Jul2021'!Q75/100)*'Tariffs Jul2021'!AI75))</f>
        <v>0</v>
      </c>
      <c r="H81" s="59">
        <f>IF($C$5*'Tariffs Jul2021'!AK75/'Tariffs Jul2021'!AI75&lt;'Tariffs Jul2021'!L75,0,IF($C$5*'Tariffs Jul2021'!AK75/'Tariffs Jul2021'!AI75&lt;='Tariffs Jul2021'!M75,($C$5*'Tariffs Jul2021'!AK75/'Tariffs Jul2021'!AI75-'Tariffs Jul2021'!L75)*('Tariffs Jul2021'!R75/100)*'Tariffs Jul2021'!AI75,('Tariffs Jul2021'!M75-'Tariffs Jul2021'!L75)*('Tariffs Jul2021'!R75/100)*'Tariffs Jul2021'!AI75))</f>
        <v>0</v>
      </c>
      <c r="I81" s="59">
        <f>IF(($C$5*'Tariffs Jul2021'!AK75/'Tariffs Jul2021'!AI75&gt;'Tariffs Jul2021'!M75),($C$5*'Tariffs Jul2021'!AK75/'Tariffs Jul2021'!AI75-'Tariffs Jul2021'!M75)*'Tariffs Jul2021'!S75/100*'Tariffs Jul2021'!AI75,0)</f>
        <v>118.90909090909091</v>
      </c>
      <c r="J81" s="59">
        <f>IF($C$5*'Tariffs Jul2021'!AL75/'Tariffs Jul2021'!AJ75&gt;='Tariffs Jul2021'!J75,('Tariffs Jul2021'!J75*'Tariffs Jul2021'!U75/100)* 'Tariffs Jul2021'!AJ75,($C$5*'Tariffs Jul2021'!AL75/'Tariffs Jul2021'!AJ75*'Tariffs Jul2021'!U75/100)* 'Tariffs Jul2021'!AJ75)</f>
        <v>146.70409090909092</v>
      </c>
      <c r="K81" s="59">
        <f>IF($C$5*'Tariffs Jul2021'!AL75/'Tariffs Jul2021'!AJ75&lt;'Tariffs Jul2021'!J75,0,IF($C$5*'Tariffs Jul2021'!AL75/'Tariffs Jul2021'!AJ75&lt;='Tariffs Jul2021'!K75,($C$5*'Tariffs Jul2021'!AL75/'Tariffs Jul2021'!AJ75-'Tariffs Jul2021'!J75)*('Tariffs Jul2021'!V75/100)*'Tariffs Jul2021'!AJ75,('Tariffs Jul2021'!K75-'Tariffs Jul2021'!J75)*('Tariffs Jul2021'!V75/100)*'Tariffs Jul2021'!AJ75))</f>
        <v>95.712272727272705</v>
      </c>
      <c r="L81" s="59">
        <f>IF($C$5*'Tariffs Jul2021'!AL75/'Tariffs Jul2021'!AJ75&lt;'Tariffs Jul2021'!K75,0,IF($C$5*'Tariffs Jul2021'!AL75/'Tariffs Jul2021'!AJ75&lt;='Tariffs Jul2021'!L75,($C$5*'Tariffs Jul2021'!AL75/'Tariffs Jul2021'!AJ75-'Tariffs Jul2021'!K75)*('Tariffs Jul2021'!W75/100)*'Tariffs Jul2021'!AJ75,('Tariffs Jul2021'!L75-'Tariffs Jul2021'!K75)*('Tariffs Jul2021'!W75/100)*'Tariffs Jul2021'!AJ75))</f>
        <v>0</v>
      </c>
      <c r="M81" s="59">
        <f>IF($C$5*'Tariffs Jul2021'!AL75/'Tariffs Jul2021'!AJ75&lt;'Tariffs Jul2021'!L75,0,IF($C$5*'Tariffs Jul2021'!AL75/'Tariffs Jul2021'!AJ75&lt;='Tariffs Jul2021'!M75,($C$5*'Tariffs Jul2021'!AL75/'Tariffs Jul2021'!AJ75-'Tariffs Jul2021'!L75)*('Tariffs Jul2021'!X75/100)*'Tariffs Jul2021'!AJ75,('Tariffs Jul2021'!M75-'Tariffs Jul2021'!L75)*('Tariffs Jul2021'!X75/100)*'Tariffs Jul2021'!AJ75))</f>
        <v>0</v>
      </c>
      <c r="N81" s="59">
        <f>IF(($C$5*'Tariffs Jul2021'!AL75/'Tariffs Jul2021'!AJ75&gt;'Tariffs Jul2021'!M75),($C$5*'Tariffs Jul2021'!AL75/'Tariffs Jul2021'!AJ75-'Tariffs Jul2021'!M75)*'Tariffs Jul2021'!Y75/100*'Tariffs Jul2021'!AJ75,0)</f>
        <v>118.90909090909091</v>
      </c>
      <c r="O81" s="59">
        <f t="shared" si="1"/>
        <v>722.65090909090907</v>
      </c>
      <c r="P81" s="503">
        <f t="shared" si="56"/>
        <v>794.91600000000005</v>
      </c>
      <c r="Q81" s="59">
        <f t="shared" si="3"/>
        <v>977.78590909090906</v>
      </c>
      <c r="R81" s="272">
        <f t="shared" si="4"/>
        <v>1075.5645</v>
      </c>
      <c r="S81" s="40">
        <f>'Tariffs Jul2021'!AN75</f>
        <v>16</v>
      </c>
      <c r="T81" s="40">
        <f>'Tariffs Jul2021'!AO75</f>
        <v>0</v>
      </c>
      <c r="U81" s="40">
        <f>'Tariffs Jul2021'!AP75</f>
        <v>0</v>
      </c>
      <c r="V81" s="40">
        <f>'Tariffs Jul2021'!AQ75</f>
        <v>0</v>
      </c>
      <c r="W81" s="537" t="str">
        <f t="shared" si="60"/>
        <v>Guaranteed off bill</v>
      </c>
      <c r="X81" s="538" t="str">
        <f t="shared" si="61"/>
        <v>Exclusive</v>
      </c>
      <c r="Y81" s="534">
        <f t="shared" si="68"/>
        <v>821.34016363636363</v>
      </c>
      <c r="Z81" s="535">
        <f t="shared" si="69"/>
        <v>821.34016363636363</v>
      </c>
      <c r="AA81" s="542">
        <f t="shared" si="59"/>
        <v>903.47418000000005</v>
      </c>
      <c r="AB81" s="542">
        <f t="shared" si="59"/>
        <v>903.47418000000005</v>
      </c>
      <c r="AC81" s="274">
        <f>'Tariffs Jul2021'!AZ75</f>
        <v>0</v>
      </c>
      <c r="AD81" s="274" t="str">
        <f>'Tariffs Jul2021'!BA75</f>
        <v>n</v>
      </c>
      <c r="AE81" s="275" t="str">
        <f>'Tariffs Jul2021'!BJ75</f>
        <v>N</v>
      </c>
      <c r="AF81" s="574"/>
      <c r="AG81" s="574"/>
      <c r="AH81" s="574"/>
      <c r="AI81" s="574"/>
      <c r="AJ81" s="574"/>
      <c r="AK81" s="574"/>
      <c r="AL81" s="574"/>
      <c r="AM81" s="574"/>
      <c r="AN81" s="574"/>
      <c r="AO81" s="574"/>
      <c r="AP81" s="574"/>
      <c r="AQ81" s="574"/>
      <c r="AR81" s="574"/>
      <c r="AS81" s="574"/>
      <c r="AT81" s="574"/>
      <c r="AU81" s="574"/>
      <c r="AV81" s="574"/>
      <c r="AW81" s="574"/>
      <c r="AX81" s="574"/>
    </row>
    <row r="82" spans="1:50" ht="14" x14ac:dyDescent="0.15">
      <c r="A82" s="270" t="str">
        <f>'Tariffs Jul2021'!F76</f>
        <v>Sumo Power</v>
      </c>
      <c r="B82" s="40" t="str">
        <f>'Tariffs Jul2021'!D76</f>
        <v>AGN Central 1</v>
      </c>
      <c r="C82" s="40" t="str">
        <f>'Tariffs Jul2021'!G76</f>
        <v>Assure</v>
      </c>
      <c r="D82" s="59">
        <f>365*'Tariffs Jul2021'!H76/100</f>
        <v>237.25</v>
      </c>
      <c r="E82" s="59">
        <f>IF($C$5*'Tariffs Jul2021'!AK76/'Tariffs Jul2021'!AI76&gt;='Tariffs Jul2021'!J76,( 'Tariffs Jul2021'!J76*'Tariffs Jul2021'!O76/100)* 'Tariffs Jul2021'!AI76,($C$5*'Tariffs Jul2021'!AK76/'Tariffs Jul2021'!AI76*'Tariffs Jul2021'!O76/100)* 'Tariffs Jul2021'!AI76)</f>
        <v>93.764999999999986</v>
      </c>
      <c r="F82" s="59">
        <f>IF($C$5*'Tariffs Jul2021'!AK76/'Tariffs Jul2021'!AI76&lt;'Tariffs Jul2021'!J76,0,IF($C$5*'Tariffs Jul2021'!AK76/'Tariffs Jul2021'!AI76&lt;='Tariffs Jul2021'!K76,($C$5*'Tariffs Jul2021'!AK76/'Tariffs Jul2021'!AI76-'Tariffs Jul2021'!J76)*('Tariffs Jul2021'!P76/100)*'Tariffs Jul2021'!AI76,('Tariffs Jul2021'!K76-'Tariffs Jul2021'!J76)*('Tariffs Jul2021'!P76/100)*'Tariffs Jul2021'!AI76))</f>
        <v>69.844090909090895</v>
      </c>
      <c r="G82" s="59">
        <f>IF($C$5*'Tariffs Jul2021'!AK76/'Tariffs Jul2021'!AI76&lt;'Tariffs Jul2021'!K76,0,IF($C$5*'Tariffs Jul2021'!AK76/'Tariffs Jul2021'!AI76&lt;='Tariffs Jul2021'!L76,($C$5*'Tariffs Jul2021'!AK76/'Tariffs Jul2021'!AI76-'Tariffs Jul2021'!K76)*('Tariffs Jul2021'!Q76/100)*'Tariffs Jul2021'!AI76,('Tariffs Jul2021'!L76-'Tariffs Jul2021'!K76)*('Tariffs Jul2021'!Q76/100)*'Tariffs Jul2021'!AI76))</f>
        <v>0</v>
      </c>
      <c r="H82" s="59">
        <f>IF($C$5*'Tariffs Jul2021'!AK76/'Tariffs Jul2021'!AI76&lt;'Tariffs Jul2021'!L76,0,IF($C$5*'Tariffs Jul2021'!AK76/'Tariffs Jul2021'!AI76&lt;='Tariffs Jul2021'!M76,($C$5*'Tariffs Jul2021'!AK76/'Tariffs Jul2021'!AI76-'Tariffs Jul2021'!L76)*('Tariffs Jul2021'!R76/100)*'Tariffs Jul2021'!AI76,('Tariffs Jul2021'!M76-'Tariffs Jul2021'!L76)*('Tariffs Jul2021'!R76/100)*'Tariffs Jul2021'!AI76))</f>
        <v>0</v>
      </c>
      <c r="I82" s="59">
        <f>IF(($C$5*'Tariffs Jul2021'!AK76/'Tariffs Jul2021'!AI76&gt;'Tariffs Jul2021'!M76),($C$5*'Tariffs Jul2021'!AK76/'Tariffs Jul2021'!AI76-'Tariffs Jul2021'!M76)*'Tariffs Jul2021'!S76/100*'Tariffs Jul2021'!AI76,0)</f>
        <v>93.818181818181813</v>
      </c>
      <c r="J82" s="59">
        <f>IF($C$5*'Tariffs Jul2021'!AL76/'Tariffs Jul2021'!AJ76&gt;='Tariffs Jul2021'!J76,('Tariffs Jul2021'!J76*'Tariffs Jul2021'!U76/100)* 'Tariffs Jul2021'!AJ76,($C$5*'Tariffs Jul2021'!AL76/'Tariffs Jul2021'!AJ76*'Tariffs Jul2021'!U76/100)* 'Tariffs Jul2021'!AJ76)</f>
        <v>93.764999999999986</v>
      </c>
      <c r="K82" s="59">
        <f>IF($C$5*'Tariffs Jul2021'!AL76/'Tariffs Jul2021'!AJ76&lt;'Tariffs Jul2021'!J76,0,IF($C$5*'Tariffs Jul2021'!AL76/'Tariffs Jul2021'!AJ76&lt;='Tariffs Jul2021'!K76,($C$5*'Tariffs Jul2021'!AL76/'Tariffs Jul2021'!AJ76-'Tariffs Jul2021'!J76)*('Tariffs Jul2021'!V76/100)*'Tariffs Jul2021'!AJ76,('Tariffs Jul2021'!K76-'Tariffs Jul2021'!J76)*('Tariffs Jul2021'!V76/100)*'Tariffs Jul2021'!AJ76))</f>
        <v>69.844090909090895</v>
      </c>
      <c r="L82" s="59">
        <f>IF($C$5*'Tariffs Jul2021'!AL76/'Tariffs Jul2021'!AJ76&lt;'Tariffs Jul2021'!K76,0,IF($C$5*'Tariffs Jul2021'!AL76/'Tariffs Jul2021'!AJ76&lt;='Tariffs Jul2021'!L76,($C$5*'Tariffs Jul2021'!AL76/'Tariffs Jul2021'!AJ76-'Tariffs Jul2021'!K76)*('Tariffs Jul2021'!W76/100)*'Tariffs Jul2021'!AJ76,('Tariffs Jul2021'!L76-'Tariffs Jul2021'!K76)*('Tariffs Jul2021'!W76/100)*'Tariffs Jul2021'!AJ76))</f>
        <v>0</v>
      </c>
      <c r="M82" s="59">
        <f>IF($C$5*'Tariffs Jul2021'!AL76/'Tariffs Jul2021'!AJ76&lt;'Tariffs Jul2021'!L76,0,IF($C$5*'Tariffs Jul2021'!AL76/'Tariffs Jul2021'!AJ76&lt;='Tariffs Jul2021'!M76,($C$5*'Tariffs Jul2021'!AL76/'Tariffs Jul2021'!AJ76-'Tariffs Jul2021'!L76)*('Tariffs Jul2021'!X76/100)*'Tariffs Jul2021'!AJ76,('Tariffs Jul2021'!M76-'Tariffs Jul2021'!L76)*('Tariffs Jul2021'!X76/100)*'Tariffs Jul2021'!AJ76))</f>
        <v>0</v>
      </c>
      <c r="N82" s="59">
        <f>IF(($C$5*'Tariffs Jul2021'!AL76/'Tariffs Jul2021'!AJ76&gt;'Tariffs Jul2021'!M76),($C$5*'Tariffs Jul2021'!AL76/'Tariffs Jul2021'!AJ76-'Tariffs Jul2021'!M76)*'Tariffs Jul2021'!Y76/100*'Tariffs Jul2021'!AJ76,0)</f>
        <v>93.818181818181813</v>
      </c>
      <c r="O82" s="59">
        <f t="shared" si="1"/>
        <v>514.85454545454536</v>
      </c>
      <c r="P82" s="503">
        <f t="shared" si="56"/>
        <v>566.33999999999992</v>
      </c>
      <c r="Q82" s="59">
        <f t="shared" si="3"/>
        <v>752.10454545454536</v>
      </c>
      <c r="R82" s="272">
        <f t="shared" si="4"/>
        <v>827.31499999999994</v>
      </c>
      <c r="S82" s="40">
        <f>'Tariffs Jul2021'!AN76</f>
        <v>0</v>
      </c>
      <c r="T82" s="40">
        <f>'Tariffs Jul2021'!AO76</f>
        <v>0</v>
      </c>
      <c r="U82" s="40">
        <f>'Tariffs Jul2021'!AP76</f>
        <v>0</v>
      </c>
      <c r="V82" s="40">
        <f>'Tariffs Jul2021'!AQ76</f>
        <v>0</v>
      </c>
      <c r="W82" s="537" t="str">
        <f t="shared" si="60"/>
        <v>No discount</v>
      </c>
      <c r="X82" s="538" t="str">
        <f t="shared" si="61"/>
        <v>Exclusive</v>
      </c>
      <c r="Y82" s="534">
        <f t="shared" si="68"/>
        <v>752.10454545454536</v>
      </c>
      <c r="Z82" s="535">
        <f t="shared" si="69"/>
        <v>752.10454545454536</v>
      </c>
      <c r="AA82" s="542">
        <f t="shared" si="59"/>
        <v>827.31499999999994</v>
      </c>
      <c r="AB82" s="542">
        <f t="shared" si="59"/>
        <v>827.31499999999994</v>
      </c>
      <c r="AC82" s="274">
        <f>'Tariffs Jul2021'!AZ76</f>
        <v>0</v>
      </c>
      <c r="AD82" s="274" t="str">
        <f>'Tariffs Jul2021'!BA76</f>
        <v>n</v>
      </c>
      <c r="AE82" s="275" t="str">
        <f>'Tariffs Jul2021'!BJ76</f>
        <v>Y</v>
      </c>
      <c r="AF82" s="574"/>
      <c r="AG82" s="574"/>
      <c r="AH82" s="574"/>
      <c r="AI82" s="574"/>
      <c r="AJ82" s="574"/>
      <c r="AK82" s="574"/>
      <c r="AL82" s="574"/>
      <c r="AM82" s="574"/>
      <c r="AN82" s="574"/>
      <c r="AO82" s="574"/>
      <c r="AP82" s="574"/>
      <c r="AQ82" s="574"/>
      <c r="AR82" s="574"/>
      <c r="AS82" s="574"/>
      <c r="AT82" s="574"/>
      <c r="AU82" s="574"/>
      <c r="AV82" s="574"/>
      <c r="AW82" s="574"/>
      <c r="AX82" s="574"/>
    </row>
    <row r="83" spans="1:50" ht="14" x14ac:dyDescent="0.15">
      <c r="A83" s="270" t="str">
        <f>'Tariffs Jul2021'!F77</f>
        <v>GloBird Energy</v>
      </c>
      <c r="B83" s="40" t="str">
        <f>'Tariffs Jul2021'!D77</f>
        <v>AGN Central 1</v>
      </c>
      <c r="C83" s="40" t="str">
        <f>'Tariffs Jul2021'!G77</f>
        <v>GloSave</v>
      </c>
      <c r="D83" s="59">
        <f>365*'Tariffs Jul2021'!H77/100</f>
        <v>200.74999999999997</v>
      </c>
      <c r="E83" s="59">
        <f>IF($C$5*'Tariffs Jul2021'!AK77/'Tariffs Jul2021'!AI77&gt;='Tariffs Jul2021'!J77,( 'Tariffs Jul2021'!J77*'Tariffs Jul2021'!O77/100)* 'Tariffs Jul2021'!AI77,($C$5*'Tariffs Jul2021'!AK77/'Tariffs Jul2021'!AI77*'Tariffs Jul2021'!O77/100)* 'Tariffs Jul2021'!AI77)</f>
        <v>170.99999999999997</v>
      </c>
      <c r="F83" s="59">
        <f>IF($C$5*'Tariffs Jul2021'!AK77/'Tariffs Jul2021'!AI77&lt;'Tariffs Jul2021'!J77,0,IF($C$5*'Tariffs Jul2021'!AK77/'Tariffs Jul2021'!AI77&lt;='Tariffs Jul2021'!K77,($C$5*'Tariffs Jul2021'!AK77/'Tariffs Jul2021'!AI77-'Tariffs Jul2021'!J77)*('Tariffs Jul2021'!P77/100)*'Tariffs Jul2021'!AI77,('Tariffs Jul2021'!K77-'Tariffs Jul2021'!J77)*('Tariffs Jul2021'!P77/100)*'Tariffs Jul2021'!AI77))</f>
        <v>0</v>
      </c>
      <c r="G83" s="59">
        <f>IF($C$5*'Tariffs Jul2021'!AK77/'Tariffs Jul2021'!AI77&lt;'Tariffs Jul2021'!K77,0,IF($C$5*'Tariffs Jul2021'!AK77/'Tariffs Jul2021'!AI77&lt;='Tariffs Jul2021'!L77,($C$5*'Tariffs Jul2021'!AK77/'Tariffs Jul2021'!AI77-'Tariffs Jul2021'!K77)*('Tariffs Jul2021'!Q77/100)*'Tariffs Jul2021'!AI77,('Tariffs Jul2021'!L77-'Tariffs Jul2021'!K77)*('Tariffs Jul2021'!Q77/100)*'Tariffs Jul2021'!AI77))</f>
        <v>0</v>
      </c>
      <c r="H83" s="59">
        <f>IF($C$5*'Tariffs Jul2021'!AK77/'Tariffs Jul2021'!AI77&lt;'Tariffs Jul2021'!L77,0,IF($C$5*'Tariffs Jul2021'!AK77/'Tariffs Jul2021'!AI77&lt;='Tariffs Jul2021'!M77,($C$5*'Tariffs Jul2021'!AK77/'Tariffs Jul2021'!AI77-'Tariffs Jul2021'!L77)*('Tariffs Jul2021'!R77/100)*'Tariffs Jul2021'!AI77,('Tariffs Jul2021'!M77-'Tariffs Jul2021'!L77)*('Tariffs Jul2021'!R77/100)*'Tariffs Jul2021'!AI77))</f>
        <v>0</v>
      </c>
      <c r="I83" s="59">
        <f>IF(($C$5*'Tariffs Jul2021'!AK77/'Tariffs Jul2021'!AI77&gt;'Tariffs Jul2021'!M77),($C$5*'Tariffs Jul2021'!AK77/'Tariffs Jul2021'!AI77-'Tariffs Jul2021'!M77)*'Tariffs Jul2021'!S77/100*'Tariffs Jul2021'!AI77,0)</f>
        <v>85.63636363636364</v>
      </c>
      <c r="J83" s="59">
        <f>IF($C$5*'Tariffs Jul2021'!AL77/'Tariffs Jul2021'!AJ77&gt;='Tariffs Jul2021'!J77,('Tariffs Jul2021'!J77*'Tariffs Jul2021'!U77/100)* 'Tariffs Jul2021'!AJ77,($C$5*'Tariffs Jul2021'!AL77/'Tariffs Jul2021'!AJ77*'Tariffs Jul2021'!U77/100)* 'Tariffs Jul2021'!AJ77)</f>
        <v>170.99999999999997</v>
      </c>
      <c r="K83" s="59">
        <f>IF($C$5*'Tariffs Jul2021'!AL77/'Tariffs Jul2021'!AJ77&lt;'Tariffs Jul2021'!J77,0,IF($C$5*'Tariffs Jul2021'!AL77/'Tariffs Jul2021'!AJ77&lt;='Tariffs Jul2021'!K77,($C$5*'Tariffs Jul2021'!AL77/'Tariffs Jul2021'!AJ77-'Tariffs Jul2021'!J77)*('Tariffs Jul2021'!V77/100)*'Tariffs Jul2021'!AJ77,('Tariffs Jul2021'!K77-'Tariffs Jul2021'!J77)*('Tariffs Jul2021'!V77/100)*'Tariffs Jul2021'!AJ77))</f>
        <v>0</v>
      </c>
      <c r="L83" s="59">
        <f>IF($C$5*'Tariffs Jul2021'!AL77/'Tariffs Jul2021'!AJ77&lt;'Tariffs Jul2021'!K77,0,IF($C$5*'Tariffs Jul2021'!AL77/'Tariffs Jul2021'!AJ77&lt;='Tariffs Jul2021'!L77,($C$5*'Tariffs Jul2021'!AL77/'Tariffs Jul2021'!AJ77-'Tariffs Jul2021'!K77)*('Tariffs Jul2021'!W77/100)*'Tariffs Jul2021'!AJ77,('Tariffs Jul2021'!L77-'Tariffs Jul2021'!K77)*('Tariffs Jul2021'!W77/100)*'Tariffs Jul2021'!AJ77))</f>
        <v>0</v>
      </c>
      <c r="M83" s="59">
        <f>IF($C$5*'Tariffs Jul2021'!AL77/'Tariffs Jul2021'!AJ77&lt;'Tariffs Jul2021'!L77,0,IF($C$5*'Tariffs Jul2021'!AL77/'Tariffs Jul2021'!AJ77&lt;='Tariffs Jul2021'!M77,($C$5*'Tariffs Jul2021'!AL77/'Tariffs Jul2021'!AJ77-'Tariffs Jul2021'!L77)*('Tariffs Jul2021'!X77/100)*'Tariffs Jul2021'!AJ77,('Tariffs Jul2021'!M77-'Tariffs Jul2021'!L77)*('Tariffs Jul2021'!X77/100)*'Tariffs Jul2021'!AJ77))</f>
        <v>0</v>
      </c>
      <c r="N83" s="59">
        <f>IF(($C$5*'Tariffs Jul2021'!AL77/'Tariffs Jul2021'!AJ77&gt;'Tariffs Jul2021'!M77),($C$5*'Tariffs Jul2021'!AL77/'Tariffs Jul2021'!AJ77-'Tariffs Jul2021'!M77)*'Tariffs Jul2021'!Y77/100*'Tariffs Jul2021'!AJ77,0)</f>
        <v>85.63636363636364</v>
      </c>
      <c r="O83" s="59">
        <f t="shared" si="1"/>
        <v>513.27272727272725</v>
      </c>
      <c r="P83" s="503">
        <f t="shared" si="56"/>
        <v>564.6</v>
      </c>
      <c r="Q83" s="59">
        <f t="shared" si="3"/>
        <v>714.02272727272725</v>
      </c>
      <c r="R83" s="272">
        <f t="shared" si="4"/>
        <v>785.42500000000007</v>
      </c>
      <c r="S83" s="40">
        <f>'Tariffs Jul2021'!AN77</f>
        <v>0</v>
      </c>
      <c r="T83" s="40">
        <f>'Tariffs Jul2021'!AO77</f>
        <v>0</v>
      </c>
      <c r="U83" s="40">
        <f>'Tariffs Jul2021'!AP77</f>
        <v>0</v>
      </c>
      <c r="V83" s="40">
        <f>'Tariffs Jul2021'!AQ77</f>
        <v>0</v>
      </c>
      <c r="W83" s="537" t="str">
        <f t="shared" si="60"/>
        <v>No discount</v>
      </c>
      <c r="X83" s="538" t="str">
        <f t="shared" si="61"/>
        <v>Exclusive</v>
      </c>
      <c r="Y83" s="534">
        <f t="shared" si="68"/>
        <v>714.02272727272725</v>
      </c>
      <c r="Z83" s="535">
        <f t="shared" si="69"/>
        <v>714.02272727272725</v>
      </c>
      <c r="AA83" s="542">
        <f t="shared" si="59"/>
        <v>785.42500000000007</v>
      </c>
      <c r="AB83" s="542">
        <f t="shared" si="59"/>
        <v>785.42500000000007</v>
      </c>
      <c r="AC83" s="274">
        <f>'Tariffs Jul2021'!AZ77</f>
        <v>0</v>
      </c>
      <c r="AD83" s="274" t="str">
        <f>'Tariffs Jul2021'!BA77</f>
        <v>n</v>
      </c>
      <c r="AE83" s="275" t="str">
        <f>'Tariffs Jul2021'!BJ77</f>
        <v>N</v>
      </c>
      <c r="AF83" s="574"/>
      <c r="AG83" s="574"/>
      <c r="AH83" s="574"/>
      <c r="AI83" s="574"/>
      <c r="AJ83" s="574"/>
      <c r="AK83" s="574"/>
      <c r="AL83" s="574"/>
      <c r="AM83" s="574"/>
      <c r="AN83" s="574"/>
      <c r="AO83" s="574"/>
      <c r="AP83" s="574"/>
      <c r="AQ83" s="574"/>
      <c r="AR83" s="574"/>
      <c r="AS83" s="574"/>
      <c r="AT83" s="574"/>
      <c r="AU83" s="574"/>
      <c r="AV83" s="574"/>
      <c r="AW83" s="574"/>
      <c r="AX83" s="574"/>
    </row>
    <row r="84" spans="1:50" ht="14" x14ac:dyDescent="0.15">
      <c r="A84" s="270" t="str">
        <f>'Tariffs Jul2021'!F78</f>
        <v>Powershop</v>
      </c>
      <c r="B84" s="40" t="str">
        <f>'Tariffs Jul2021'!D78</f>
        <v>AGN Central 1</v>
      </c>
      <c r="C84" s="40" t="str">
        <f>'Tariffs Jul2021'!G78</f>
        <v>Market offer</v>
      </c>
      <c r="D84" s="59">
        <f>365*'Tariffs Jul2021'!H78/100</f>
        <v>247.8681818181818</v>
      </c>
      <c r="E84" s="59">
        <f>((C$5*'Tariffs Jul2021'!AK78/'Tariffs Jul2021'!AI78)*('Tariffs Jul2021'!O78/100))*'Tariffs Jul2021'!AI78</f>
        <v>270</v>
      </c>
      <c r="F84" s="59">
        <v>0</v>
      </c>
      <c r="G84" s="59">
        <v>0</v>
      </c>
      <c r="H84" s="59">
        <v>0</v>
      </c>
      <c r="I84" s="59">
        <v>0</v>
      </c>
      <c r="J84" s="59">
        <f>((C$5*'Tariffs Jul2021'!AL78/'Tariffs Jul2021'!AJ78)*('Tariffs Jul2021'!U78/100))*'Tariffs Jul2021'!AJ78</f>
        <v>270</v>
      </c>
      <c r="K84" s="59">
        <v>0</v>
      </c>
      <c r="L84" s="59">
        <v>0</v>
      </c>
      <c r="M84" s="59">
        <v>0</v>
      </c>
      <c r="N84" s="59">
        <v>0</v>
      </c>
      <c r="O84" s="59">
        <f t="shared" si="1"/>
        <v>540</v>
      </c>
      <c r="P84" s="503">
        <f t="shared" si="56"/>
        <v>594</v>
      </c>
      <c r="Q84" s="59">
        <f t="shared" si="3"/>
        <v>787.86818181818182</v>
      </c>
      <c r="R84" s="272">
        <f t="shared" si="4"/>
        <v>866.65500000000009</v>
      </c>
      <c r="S84" s="40">
        <f>'Tariffs Jul2021'!AN78</f>
        <v>0</v>
      </c>
      <c r="T84" s="40">
        <f>'Tariffs Jul2021'!AO78</f>
        <v>0</v>
      </c>
      <c r="U84" s="40">
        <f>'Tariffs Jul2021'!AP78</f>
        <v>0</v>
      </c>
      <c r="V84" s="40">
        <f>'Tariffs Jul2021'!AQ78</f>
        <v>0</v>
      </c>
      <c r="W84" s="537" t="str">
        <f t="shared" si="60"/>
        <v>No discount</v>
      </c>
      <c r="X84" s="538" t="str">
        <f t="shared" si="61"/>
        <v>Inclusive</v>
      </c>
      <c r="Y84" s="534">
        <f>IF(AND(W84="Guaranteed off bill",X84="Inclusive"),((Q84*1.1)-((Q84*1.1)*S84/100))/1.1,IF(AND(W84="Guaranteed off usage",X84="Inclusive"),((Q84*1.1)-((P84*1.1)*T84/100))/1.1,IF(AND(W84="Guaranteed off bill",X84="Exclusive"),Q84-(Q84*S84/100),IF(AND(W84="Guaranteed off usage",X84="Exclusive"),Q84-(P84*T84/100),IF(X84="Inclusive",((Q84*1.1))/1.1,Q84)))))</f>
        <v>787.86818181818182</v>
      </c>
      <c r="Z84" s="535">
        <f>IF(AND(W84="Pay-on-time off bill",X84="Inclusive"),((Y84*1.1)-((Y84*1.1)*U84/100))/1.1,IF(AND(W84="Pay-on-time off usage",X84="Inclusive"),((Y84*1.1)-((P84*1.1)*V84/100))/1.1,IF(AND(W84="Pay-on-time off bill",X84="Exclusive"),Y84-(Y84*U84/100),IF(AND(W84="Pay-on-time off usage",X84="Exclusive"),Y84-(P84*V84/100),IF(X84="Inclusive",((Y84*1.1))/1.1,Y84)))))</f>
        <v>787.86818181818182</v>
      </c>
      <c r="AA84" s="542">
        <f t="shared" si="59"/>
        <v>866.65500000000009</v>
      </c>
      <c r="AB84" s="542">
        <f t="shared" si="59"/>
        <v>866.65500000000009</v>
      </c>
      <c r="AC84" s="274">
        <f>'Tariffs Jul2021'!AZ78</f>
        <v>0</v>
      </c>
      <c r="AD84" s="274" t="str">
        <f>'Tariffs Jul2021'!BA78</f>
        <v>n</v>
      </c>
      <c r="AE84" s="275" t="str">
        <f>'Tariffs Jul2021'!BJ78</f>
        <v>Y</v>
      </c>
      <c r="AF84" s="574"/>
      <c r="AG84" s="574"/>
      <c r="AH84" s="574"/>
      <c r="AI84" s="574"/>
      <c r="AJ84" s="574"/>
      <c r="AK84" s="574"/>
      <c r="AL84" s="574"/>
      <c r="AM84" s="574"/>
      <c r="AN84" s="574"/>
      <c r="AO84" s="574"/>
      <c r="AP84" s="574"/>
      <c r="AQ84" s="574"/>
      <c r="AR84" s="574"/>
      <c r="AS84" s="574"/>
      <c r="AT84" s="574"/>
      <c r="AU84" s="574"/>
      <c r="AV84" s="574"/>
      <c r="AW84" s="574"/>
      <c r="AX84" s="574"/>
    </row>
    <row r="85" spans="1:50" ht="14" x14ac:dyDescent="0.15">
      <c r="A85" s="270" t="str">
        <f>'Tariffs Jul2021'!F79</f>
        <v>1st Energy</v>
      </c>
      <c r="B85" s="40" t="str">
        <f>'Tariffs Jul2021'!D79</f>
        <v>AGN Central 1</v>
      </c>
      <c r="C85" s="40" t="str">
        <f>'Tariffs Jul2021'!G79</f>
        <v>1st Saver Plus</v>
      </c>
      <c r="D85" s="59">
        <f>365*'Tariffs Jul2021'!H79/100</f>
        <v>266.45</v>
      </c>
      <c r="E85" s="59">
        <f>IF($C$5*'Tariffs Jul2021'!AK79/'Tariffs Jul2021'!AI79&gt;='Tariffs Jul2021'!J79,( 'Tariffs Jul2021'!J79*'Tariffs Jul2021'!O79/100)* 'Tariffs Jul2021'!AI79,($C$5*'Tariffs Jul2021'!AK79/'Tariffs Jul2021'!AI79*'Tariffs Jul2021'!O79/100)* 'Tariffs Jul2021'!AI79)</f>
        <v>135.03954545454545</v>
      </c>
      <c r="F85" s="59">
        <f>IF($C$5*'Tariffs Jul2021'!AK79/'Tariffs Jul2021'!AI79&lt;'Tariffs Jul2021'!J79,0,IF($C$5*'Tariffs Jul2021'!AK79/'Tariffs Jul2021'!AI79&lt;='Tariffs Jul2021'!K79,($C$5*'Tariffs Jul2021'!AK79/'Tariffs Jul2021'!AI79-'Tariffs Jul2021'!J79)*('Tariffs Jul2021'!P79/100)*'Tariffs Jul2021'!AI79,('Tariffs Jul2021'!K79-'Tariffs Jul2021'!J79)*('Tariffs Jul2021'!P79/100)*'Tariffs Jul2021'!AI79))</f>
        <v>98.299090909090907</v>
      </c>
      <c r="G85" s="59">
        <f>IF($C$5*'Tariffs Jul2021'!AK79/'Tariffs Jul2021'!AI79&lt;'Tariffs Jul2021'!K79,0,IF($C$5*'Tariffs Jul2021'!AK79/'Tariffs Jul2021'!AI79&lt;='Tariffs Jul2021'!L79,($C$5*'Tariffs Jul2021'!AK79/'Tariffs Jul2021'!AI79-'Tariffs Jul2021'!K79)*('Tariffs Jul2021'!Q79/100)*'Tariffs Jul2021'!AI79,('Tariffs Jul2021'!L79-'Tariffs Jul2021'!K79)*('Tariffs Jul2021'!Q79/100)*'Tariffs Jul2021'!AI79))</f>
        <v>0</v>
      </c>
      <c r="H85" s="59">
        <f>IF($C$5*'Tariffs Jul2021'!AK79/'Tariffs Jul2021'!AI79&lt;'Tariffs Jul2021'!L79,0,IF($C$5*'Tariffs Jul2021'!AK79/'Tariffs Jul2021'!AI79&lt;='Tariffs Jul2021'!M79,($C$5*'Tariffs Jul2021'!AK79/'Tariffs Jul2021'!AI79-'Tariffs Jul2021'!L79)*('Tariffs Jul2021'!R79/100)*'Tariffs Jul2021'!AI79,('Tariffs Jul2021'!M79-'Tariffs Jul2021'!L79)*('Tariffs Jul2021'!R79/100)*'Tariffs Jul2021'!AI79))</f>
        <v>0</v>
      </c>
      <c r="I85" s="69">
        <f>IF(($C$5*'Tariffs Jul2021'!AK79/'Tariffs Jul2021'!AI79&gt;'Tariffs Jul2021'!M79),($C$5*'Tariffs Jul2021'!AK79/'Tariffs Jul2021'!AI79-'Tariffs Jul2021'!M79)*'Tariffs Jul2021'!S79/100*'Tariffs Jul2021'!AI79,0)</f>
        <v>124.36363636363636</v>
      </c>
      <c r="J85" s="69">
        <f>IF($C$5*'Tariffs Jul2021'!AL79/'Tariffs Jul2021'!AJ79&gt;='Tariffs Jul2021'!J79,('Tariffs Jul2021'!J79*'Tariffs Jul2021'!U79/100)* 'Tariffs Jul2021'!AJ79,($C$5*'Tariffs Jul2021'!AL79/'Tariffs Jul2021'!AJ79*'Tariffs Jul2021'!U79/100)* 'Tariffs Jul2021'!AJ79)</f>
        <v>135.03954545454545</v>
      </c>
      <c r="K85" s="69">
        <f>IF($C$5*'Tariffs Jul2021'!AL79/'Tariffs Jul2021'!AJ79&lt;'Tariffs Jul2021'!J79,0,IF($C$5*'Tariffs Jul2021'!AL79/'Tariffs Jul2021'!AJ79&lt;='Tariffs Jul2021'!K79,($C$5*'Tariffs Jul2021'!AL79/'Tariffs Jul2021'!AJ79-'Tariffs Jul2021'!J79)*('Tariffs Jul2021'!V79/100)*'Tariffs Jul2021'!AJ79,('Tariffs Jul2021'!K79-'Tariffs Jul2021'!J79)*('Tariffs Jul2021'!V79/100)*'Tariffs Jul2021'!AJ79))</f>
        <v>98.299090909090907</v>
      </c>
      <c r="L85" s="69">
        <f>IF($C$5*'Tariffs Jul2021'!AL79/'Tariffs Jul2021'!AJ79&lt;'Tariffs Jul2021'!K79,0,IF($C$5*'Tariffs Jul2021'!AL79/'Tariffs Jul2021'!AJ79&lt;='Tariffs Jul2021'!L79,($C$5*'Tariffs Jul2021'!AL79/'Tariffs Jul2021'!AJ79-'Tariffs Jul2021'!K79)*('Tariffs Jul2021'!W79/100)*'Tariffs Jul2021'!AJ79,('Tariffs Jul2021'!L79-'Tariffs Jul2021'!K79)*('Tariffs Jul2021'!W79/100)*'Tariffs Jul2021'!AJ79))</f>
        <v>0</v>
      </c>
      <c r="M85" s="69">
        <f>IF($C$5*'Tariffs Jul2021'!AL79/'Tariffs Jul2021'!AJ79&lt;'Tariffs Jul2021'!L79,0,IF($C$5*'Tariffs Jul2021'!AL79/'Tariffs Jul2021'!AJ79&lt;='Tariffs Jul2021'!M79,($C$5*'Tariffs Jul2021'!AL79/'Tariffs Jul2021'!AJ79-'Tariffs Jul2021'!L79)*('Tariffs Jul2021'!X79/100)*'Tariffs Jul2021'!AJ79,('Tariffs Jul2021'!M79-'Tariffs Jul2021'!L79)*('Tariffs Jul2021'!X79/100)*'Tariffs Jul2021'!AJ79))</f>
        <v>0</v>
      </c>
      <c r="N85" s="69">
        <f>IF(($C$5*'Tariffs Jul2021'!AL79/'Tariffs Jul2021'!AJ79&gt;'Tariffs Jul2021'!M79),($C$5*'Tariffs Jul2021'!AL79/'Tariffs Jul2021'!AJ79-'Tariffs Jul2021'!M79)*'Tariffs Jul2021'!Y79/100*'Tariffs Jul2021'!AJ79,0)</f>
        <v>124.36363636363636</v>
      </c>
      <c r="O85" s="59">
        <f t="shared" si="1"/>
        <v>715.40454545454543</v>
      </c>
      <c r="P85" s="503">
        <f t="shared" si="56"/>
        <v>786.94500000000005</v>
      </c>
      <c r="Q85" s="59">
        <f t="shared" si="3"/>
        <v>981.85454545454536</v>
      </c>
      <c r="R85" s="272">
        <f t="shared" si="4"/>
        <v>1080.04</v>
      </c>
      <c r="S85" s="40">
        <f>'Tariffs Jul2021'!AN79</f>
        <v>0</v>
      </c>
      <c r="T85" s="40">
        <f>'Tariffs Jul2021'!AO79</f>
        <v>12</v>
      </c>
      <c r="U85" s="40">
        <f>'Tariffs Jul2021'!AP79</f>
        <v>0</v>
      </c>
      <c r="V85" s="40">
        <f>'Tariffs Jul2021'!AQ79</f>
        <v>3</v>
      </c>
      <c r="W85" s="537" t="str">
        <f t="shared" si="60"/>
        <v>Guaranteed off usage</v>
      </c>
      <c r="X85" s="538" t="str">
        <f t="shared" si="61"/>
        <v>Exclusive</v>
      </c>
      <c r="Y85" s="534">
        <f>Q85-(P85*T85)/100</f>
        <v>887.42114545454535</v>
      </c>
      <c r="Z85" s="535">
        <f>Y85-(P85*V85)/100</f>
        <v>863.81279545454538</v>
      </c>
      <c r="AA85" s="542">
        <f t="shared" si="59"/>
        <v>976.16325999999992</v>
      </c>
      <c r="AB85" s="542">
        <f t="shared" si="59"/>
        <v>950.194075</v>
      </c>
      <c r="AC85" s="274">
        <f>'Tariffs Jul2021'!AZ79</f>
        <v>0</v>
      </c>
      <c r="AD85" s="274" t="str">
        <f>'Tariffs Jul2021'!BA79</f>
        <v>n</v>
      </c>
      <c r="AE85" s="275" t="str">
        <f>'Tariffs Jul2021'!BJ79</f>
        <v>Y</v>
      </c>
      <c r="AF85" s="574"/>
      <c r="AG85" s="574"/>
      <c r="AH85" s="574"/>
      <c r="AI85" s="574"/>
      <c r="AJ85" s="574"/>
      <c r="AK85" s="574"/>
      <c r="AL85" s="574"/>
      <c r="AM85" s="574"/>
      <c r="AN85" s="574"/>
      <c r="AO85" s="574"/>
      <c r="AP85" s="574"/>
      <c r="AQ85" s="574"/>
      <c r="AR85" s="574"/>
      <c r="AS85" s="574"/>
      <c r="AT85" s="574"/>
      <c r="AU85" s="574"/>
      <c r="AV85" s="574"/>
      <c r="AW85" s="574"/>
      <c r="AX85" s="574"/>
    </row>
    <row r="86" spans="1:50" ht="14" x14ac:dyDescent="0.15">
      <c r="A86" s="270" t="str">
        <f>'Tariffs Jul2021'!F80</f>
        <v>Kogan Energy</v>
      </c>
      <c r="B86" s="40" t="str">
        <f>'Tariffs Jul2021'!D80</f>
        <v>AGN Central 1</v>
      </c>
      <c r="C86" s="40" t="str">
        <f>'Tariffs Jul2021'!G80</f>
        <v>Market offer</v>
      </c>
      <c r="D86" s="59">
        <f>365*'Tariffs Jul2021'!H80/100</f>
        <v>216.87636363636364</v>
      </c>
      <c r="E86" s="59">
        <f>((C$5*'Tariffs Jul2021'!AK80/'Tariffs Jul2021'!AI80)*('Tariffs Jul2021'!O80/100))*'Tariffs Jul2021'!AI80</f>
        <v>293.18181818181813</v>
      </c>
      <c r="F86" s="59">
        <v>0</v>
      </c>
      <c r="G86" s="59">
        <v>0</v>
      </c>
      <c r="H86" s="59">
        <v>0</v>
      </c>
      <c r="I86" s="69">
        <v>0</v>
      </c>
      <c r="J86" s="69">
        <f>((C$5*'Tariffs Jul2021'!AL80/'Tariffs Jul2021'!AJ80)*('Tariffs Jul2021'!U80/100))*'Tariffs Jul2021'!AJ80</f>
        <v>293.18181818181813</v>
      </c>
      <c r="K86" s="69">
        <v>0</v>
      </c>
      <c r="L86" s="69">
        <v>0</v>
      </c>
      <c r="M86" s="69">
        <v>0</v>
      </c>
      <c r="N86" s="69">
        <v>0</v>
      </c>
      <c r="O86" s="59">
        <f t="shared" si="1"/>
        <v>586.36363636363626</v>
      </c>
      <c r="P86" s="503">
        <f t="shared" si="56"/>
        <v>644.99999999999989</v>
      </c>
      <c r="Q86" s="59">
        <f t="shared" si="3"/>
        <v>803.2399999999999</v>
      </c>
      <c r="R86" s="272">
        <f t="shared" si="4"/>
        <v>883.56399999999996</v>
      </c>
      <c r="S86" s="40">
        <f>'Tariffs Jul2021'!AN80</f>
        <v>0</v>
      </c>
      <c r="T86" s="40">
        <f>'Tariffs Jul2021'!AO80</f>
        <v>0</v>
      </c>
      <c r="U86" s="40">
        <f>'Tariffs Jul2021'!AP80</f>
        <v>0</v>
      </c>
      <c r="V86" s="40">
        <f>'Tariffs Jul2021'!AQ80</f>
        <v>0</v>
      </c>
      <c r="W86" s="537" t="str">
        <f t="shared" si="60"/>
        <v>No discount</v>
      </c>
      <c r="X86" s="538" t="str">
        <f t="shared" si="61"/>
        <v>Exclusive</v>
      </c>
      <c r="Y86" s="534">
        <f t="shared" ref="Y86:Y99" si="70">IF(AND(W86="Guaranteed off bill",X86="Inclusive"),((Q86*1.1)-((Q86*1.1)*S86/100))/1.1,IF(AND(W86="Guaranteed off usage",X86="Inclusive"),((Q86*1.1)-((P86*1.1)*T86/100))/1.1,IF(AND(W86="Guaranteed off bill",X86="Exclusive"),Q86-(Q86*S86/100),IF(AND(W86="Guaranteed off usage",X86="Exclusive"),Q86-(P86*T86/100),IF(X86="Inclusive",((Q86*1.1))/1.1,Q86)))))</f>
        <v>803.2399999999999</v>
      </c>
      <c r="Z86" s="535">
        <f t="shared" ref="Z86:Z99" si="71">IF(AND(W86="Pay-on-time off bill",X86="Inclusive"),((Y86*1.1)-((Y86*1.1)*U86/100))/1.1,IF(AND(W86="Pay-on-time off usage",X86="Inclusive"),((Y86*1.1)-((P86*1.1)*V86/100))/1.1,IF(AND(W86="Pay-on-time off bill",X86="Exclusive"),Y86-(Y86*U86/100),IF(AND(W86="Pay-on-time off usage",X86="Exclusive"),Y86-(P86*V86/100),IF(X86="Inclusive",((Y86*1.1))/1.1,Y86)))))</f>
        <v>803.2399999999999</v>
      </c>
      <c r="AA86" s="542">
        <f t="shared" si="59"/>
        <v>883.56399999999996</v>
      </c>
      <c r="AB86" s="542">
        <f t="shared" si="59"/>
        <v>883.56399999999996</v>
      </c>
      <c r="AC86" s="274">
        <f>'Tariffs Jul2021'!AZ80</f>
        <v>0</v>
      </c>
      <c r="AD86" s="274" t="str">
        <f>'Tariffs Jul2021'!BA80</f>
        <v>n</v>
      </c>
      <c r="AE86" s="275" t="str">
        <f>'Tariffs Jul2021'!BJ80</f>
        <v>N</v>
      </c>
      <c r="AF86" s="574"/>
      <c r="AG86" s="574"/>
      <c r="AH86" s="574"/>
      <c r="AI86" s="574"/>
      <c r="AJ86" s="574"/>
      <c r="AK86" s="574"/>
      <c r="AL86" s="574"/>
      <c r="AM86" s="574"/>
      <c r="AN86" s="574"/>
      <c r="AO86" s="574"/>
      <c r="AP86" s="574"/>
      <c r="AQ86" s="574"/>
      <c r="AR86" s="574"/>
      <c r="AS86" s="574"/>
      <c r="AT86" s="574"/>
      <c r="AU86" s="574"/>
      <c r="AV86" s="574"/>
      <c r="AW86" s="574"/>
      <c r="AX86" s="574"/>
    </row>
    <row r="87" spans="1:50" ht="15" thickBot="1" x14ac:dyDescent="0.2">
      <c r="A87" s="276" t="str">
        <f>'Tariffs Jul2021'!F81</f>
        <v>Tango Energy</v>
      </c>
      <c r="B87" s="277" t="str">
        <f>'Tariffs Jul2021'!D81</f>
        <v>AGN Central 1</v>
      </c>
      <c r="C87" s="277" t="str">
        <f>'Tariffs Jul2021'!G81</f>
        <v>Home Select</v>
      </c>
      <c r="D87" s="278">
        <f>365*'Tariffs Jul2021'!H81/100</f>
        <v>273.75</v>
      </c>
      <c r="E87" s="278">
        <f>IF($C$5*'Tariffs Jul2021'!AK81/'Tariffs Jul2021'!AI81&gt;='Tariffs Jul2021'!J81,( 'Tariffs Jul2021'!J81*'Tariffs Jul2021'!O81/100)* 'Tariffs Jul2021'!AI81,($C$5*'Tariffs Jul2021'!AK81/'Tariffs Jul2021'!AI81*'Tariffs Jul2021'!O81/100)* 'Tariffs Jul2021'!AI81)</f>
        <v>82.997727272727275</v>
      </c>
      <c r="F87" s="278">
        <f>IF($C$5*'Tariffs Jul2021'!AK81/'Tariffs Jul2021'!AI81&lt;'Tariffs Jul2021'!J81,0,IF($C$5*'Tariffs Jul2021'!AK81/'Tariffs Jul2021'!AI81&lt;='Tariffs Jul2021'!K81,($C$5*'Tariffs Jul2021'!AK81/'Tariffs Jul2021'!AI81-'Tariffs Jul2021'!J81)*('Tariffs Jul2021'!P81/100)*'Tariffs Jul2021'!AI81,('Tariffs Jul2021'!K81-'Tariffs Jul2021'!J81)*('Tariffs Jul2021'!P81/100)*'Tariffs Jul2021'!AI81))</f>
        <v>60.974999999999987</v>
      </c>
      <c r="G87" s="278">
        <f>IF($C$5*'Tariffs Jul2021'!AK81/'Tariffs Jul2021'!AI81&lt;'Tariffs Jul2021'!K81,0,IF($C$5*'Tariffs Jul2021'!AK81/'Tariffs Jul2021'!AI81&lt;='Tariffs Jul2021'!L81,($C$5*'Tariffs Jul2021'!AK81/'Tariffs Jul2021'!AI81-'Tariffs Jul2021'!K81)*('Tariffs Jul2021'!Q81/100)*'Tariffs Jul2021'!AI81,('Tariffs Jul2021'!L81-'Tariffs Jul2021'!K81)*('Tariffs Jul2021'!Q81/100)*'Tariffs Jul2021'!AI81))</f>
        <v>0</v>
      </c>
      <c r="H87" s="278">
        <f>IF($C$5*'Tariffs Jul2021'!AK81/'Tariffs Jul2021'!AI81&lt;'Tariffs Jul2021'!L81,0,IF($C$5*'Tariffs Jul2021'!AK81/'Tariffs Jul2021'!AI81&lt;='Tariffs Jul2021'!M81,($C$5*'Tariffs Jul2021'!AK81/'Tariffs Jul2021'!AI81-'Tariffs Jul2021'!L81)*('Tariffs Jul2021'!R81/100)*'Tariffs Jul2021'!AI81,('Tariffs Jul2021'!M81-'Tariffs Jul2021'!L81)*('Tariffs Jul2021'!R81/100)*'Tariffs Jul2021'!AI81))</f>
        <v>0</v>
      </c>
      <c r="I87" s="547">
        <f>IF(($C$5*'Tariffs Jul2021'!AK81/'Tariffs Jul2021'!AI81&gt;'Tariffs Jul2021'!M81),($C$5*'Tariffs Jul2021'!AK81/'Tariffs Jul2021'!AI81-'Tariffs Jul2021'!M81)*'Tariffs Jul2021'!S81/100*'Tariffs Jul2021'!AI81,0)</f>
        <v>76.909090909090907</v>
      </c>
      <c r="J87" s="547">
        <f>IF($C$5*'Tariffs Jul2021'!AL81/'Tariffs Jul2021'!AJ81&gt;='Tariffs Jul2021'!J81,('Tariffs Jul2021'!J81*'Tariffs Jul2021'!U81/100)* 'Tariffs Jul2021'!AJ81,($C$5*'Tariffs Jul2021'!AL81/'Tariffs Jul2021'!AJ81*'Tariffs Jul2021'!U81/100)* 'Tariffs Jul2021'!AJ81)</f>
        <v>82.997727272727275</v>
      </c>
      <c r="K87" s="547">
        <f>IF($C$5*'Tariffs Jul2021'!AL81/'Tariffs Jul2021'!AJ81&lt;'Tariffs Jul2021'!J81,0,IF($C$5*'Tariffs Jul2021'!AL81/'Tariffs Jul2021'!AJ81&lt;='Tariffs Jul2021'!K81,($C$5*'Tariffs Jul2021'!AL81/'Tariffs Jul2021'!AJ81-'Tariffs Jul2021'!J81)*('Tariffs Jul2021'!V81/100)*'Tariffs Jul2021'!AJ81,('Tariffs Jul2021'!K81-'Tariffs Jul2021'!J81)*('Tariffs Jul2021'!V81/100)*'Tariffs Jul2021'!AJ81))</f>
        <v>60.974999999999987</v>
      </c>
      <c r="L87" s="547">
        <v>0</v>
      </c>
      <c r="M87" s="547">
        <v>0</v>
      </c>
      <c r="N87" s="547">
        <f>IF(($C$5*'Tariffs Jul2021'!AL81/'Tariffs Jul2021'!AJ81&gt;'Tariffs Jul2021'!M81),($C$5*'Tariffs Jul2021'!AL81/'Tariffs Jul2021'!AJ81-'Tariffs Jul2021'!M81)*'Tariffs Jul2021'!Y81/100*'Tariffs Jul2021'!AJ81,0)</f>
        <v>76.909090909090907</v>
      </c>
      <c r="O87" s="278">
        <f t="shared" ref="O87:O119" si="72">SUM(E87:N87)</f>
        <v>441.76363636363635</v>
      </c>
      <c r="P87" s="504">
        <f t="shared" si="56"/>
        <v>485.94</v>
      </c>
      <c r="Q87" s="278">
        <f t="shared" ref="Q87:Q119" si="73">D87+O87</f>
        <v>715.51363636363635</v>
      </c>
      <c r="R87" s="280">
        <f t="shared" ref="R87:R119" si="74">Q87*1.1</f>
        <v>787.06500000000005</v>
      </c>
      <c r="S87" s="277">
        <f>'Tariffs Jul2021'!AN81</f>
        <v>0</v>
      </c>
      <c r="T87" s="277">
        <f>'Tariffs Jul2021'!AO81</f>
        <v>0</v>
      </c>
      <c r="U87" s="277">
        <f>'Tariffs Jul2021'!AP81</f>
        <v>0</v>
      </c>
      <c r="V87" s="277">
        <f>'Tariffs Jul2021'!AQ81</f>
        <v>0</v>
      </c>
      <c r="W87" s="540" t="str">
        <f t="shared" si="60"/>
        <v>No discount</v>
      </c>
      <c r="X87" s="541" t="str">
        <f t="shared" si="61"/>
        <v>Exclusive</v>
      </c>
      <c r="Y87" s="543">
        <f t="shared" si="70"/>
        <v>715.51363636363635</v>
      </c>
      <c r="Z87" s="544">
        <f t="shared" si="71"/>
        <v>715.51363636363635</v>
      </c>
      <c r="AA87" s="545">
        <f t="shared" ref="AA87:AB101" si="75">Y87*1.1</f>
        <v>787.06500000000005</v>
      </c>
      <c r="AB87" s="545">
        <f t="shared" si="75"/>
        <v>787.06500000000005</v>
      </c>
      <c r="AC87" s="282">
        <f>'Tariffs Jul2021'!AZ81</f>
        <v>0</v>
      </c>
      <c r="AD87" s="282" t="str">
        <f>'Tariffs Jul2021'!BA81</f>
        <v>n</v>
      </c>
      <c r="AE87" s="283" t="str">
        <f>'Tariffs Jul2021'!BJ81</f>
        <v>N</v>
      </c>
      <c r="AF87" s="574"/>
      <c r="AG87" s="574"/>
      <c r="AH87" s="574"/>
      <c r="AI87" s="574"/>
      <c r="AJ87" s="574"/>
      <c r="AK87" s="574"/>
      <c r="AL87" s="574"/>
      <c r="AM87" s="574"/>
      <c r="AN87" s="574"/>
      <c r="AO87" s="574"/>
      <c r="AP87" s="574"/>
      <c r="AQ87" s="574"/>
      <c r="AR87" s="574"/>
      <c r="AS87" s="574"/>
      <c r="AT87" s="574"/>
      <c r="AU87" s="574"/>
      <c r="AV87" s="574"/>
      <c r="AW87" s="574"/>
      <c r="AX87" s="574"/>
    </row>
    <row r="88" spans="1:50" ht="15" thickTop="1" x14ac:dyDescent="0.15">
      <c r="A88" s="270" t="str">
        <f>'Tariffs Jul2021'!F82</f>
        <v>AGL</v>
      </c>
      <c r="B88" s="40" t="str">
        <f>'Tariffs Jul2021'!D82</f>
        <v>AusNet Services West</v>
      </c>
      <c r="C88" s="40" t="str">
        <f>'Tariffs Jul2021'!G82</f>
        <v>Flexible Saver</v>
      </c>
      <c r="D88" s="59">
        <f>365*'Tariffs Jul2021'!H82/100</f>
        <v>295.71636363636367</v>
      </c>
      <c r="E88" s="59">
        <f>IF($C$5*'Tariffs Jul2021'!AK82/'Tariffs Jul2021'!AI82&gt;='Tariffs Jul2021'!J82,( 'Tariffs Jul2021'!J82*'Tariffs Jul2021'!O82/100)* 'Tariffs Jul2021'!AI82,($C$5*'Tariffs Jul2021'!AK82/'Tariffs Jul2021'!AI82*'Tariffs Jul2021'!O82/100)* 'Tariffs Jul2021'!AI82)</f>
        <v>198.16199999999998</v>
      </c>
      <c r="F88" s="59">
        <f>IF($C$5*'Tariffs Jul2021'!AK82/'Tariffs Jul2021'!AI82&lt;'Tariffs Jul2021'!J82,0,IF($C$5*'Tariffs Jul2021'!AK82/'Tariffs Jul2021'!AI82&lt;='Tariffs Jul2021'!K82,($C$5*'Tariffs Jul2021'!AK82/'Tariffs Jul2021'!AI82-'Tariffs Jul2021'!J82)*('Tariffs Jul2021'!P82/100)*'Tariffs Jul2021'!AI82,('Tariffs Jul2021'!K82-'Tariffs Jul2021'!J82)*('Tariffs Jul2021'!P82/100)*'Tariffs Jul2021'!AI82))</f>
        <v>0</v>
      </c>
      <c r="G88" s="59">
        <f>IF($C$5*'Tariffs Jul2021'!AK82/'Tariffs Jul2021'!AI82&lt;'Tariffs Jul2021'!K82,0,IF($C$5*'Tariffs Jul2021'!AK82/'Tariffs Jul2021'!AI82&lt;='Tariffs Jul2021'!L82,($C$5*'Tariffs Jul2021'!AK82/'Tariffs Jul2021'!AI82-'Tariffs Jul2021'!K82)*('Tariffs Jul2021'!Q82/100)*'Tariffs Jul2021'!AI82,('Tariffs Jul2021'!L82-'Tariffs Jul2021'!K82)*('Tariffs Jul2021'!Q82/100)*'Tariffs Jul2021'!AI82))</f>
        <v>0</v>
      </c>
      <c r="H88" s="59">
        <f>IF($C$5*'Tariffs Jul2021'!AK82/'Tariffs Jul2021'!AI82&lt;'Tariffs Jul2021'!L82,0,IF($C$5*'Tariffs Jul2021'!AK82/'Tariffs Jul2021'!AI82&lt;='Tariffs Jul2021'!M82,($C$5*'Tariffs Jul2021'!AK82/'Tariffs Jul2021'!AI82-'Tariffs Jul2021'!L82)*('Tariffs Jul2021'!R82/100)*'Tariffs Jul2021'!AI82,('Tariffs Jul2021'!M82-'Tariffs Jul2021'!L82)*('Tariffs Jul2021'!R82/100)*'Tariffs Jul2021'!AI82))</f>
        <v>0</v>
      </c>
      <c r="I88" s="69">
        <f>IF(($C$5*'Tariffs Jul2021'!AK82/'Tariffs Jul2021'!AI82&gt;'Tariffs Jul2021'!M82),($C$5*'Tariffs Jul2021'!AK82/'Tariffs Jul2021'!AI82-'Tariffs Jul2021'!M82)*'Tariffs Jul2021'!S82/100*'Tariffs Jul2021'!AI82,0)</f>
        <v>0</v>
      </c>
      <c r="J88" s="69">
        <f>IF($C$5*'Tariffs Jul2021'!AL82/'Tariffs Jul2021'!AJ82&gt;='Tariffs Jul2021'!J82,('Tariffs Jul2021'!J82*'Tariffs Jul2021'!U82/100)* 'Tariffs Jul2021'!AJ82,($C$5*'Tariffs Jul2021'!AL82/'Tariffs Jul2021'!AJ82*'Tariffs Jul2021'!U82/100)* 'Tariffs Jul2021'!AJ82)</f>
        <v>363.6</v>
      </c>
      <c r="K88" s="69">
        <f>IF($C$5*'Tariffs Jul2021'!AL82/'Tariffs Jul2021'!AJ82&lt;'Tariffs Jul2021'!J82,0,IF($C$5*'Tariffs Jul2021'!AL82/'Tariffs Jul2021'!AJ82&lt;='Tariffs Jul2021'!K82,($C$5*'Tariffs Jul2021'!AL82/'Tariffs Jul2021'!AJ82-'Tariffs Jul2021'!J82)*('Tariffs Jul2021'!V82/100)*'Tariffs Jul2021'!AJ82,('Tariffs Jul2021'!K82-'Tariffs Jul2021'!J82)*('Tariffs Jul2021'!V82/100)*'Tariffs Jul2021'!AJ82))</f>
        <v>0</v>
      </c>
      <c r="L88" s="69">
        <f>IF($C$5*'Tariffs Jul2021'!AL82/'Tariffs Jul2021'!AJ82&lt;'Tariffs Jul2021'!K82,0,IF($C$5*'Tariffs Jul2021'!AL82/'Tariffs Jul2021'!AJ82&lt;='Tariffs Jul2021'!L82,($C$5*'Tariffs Jul2021'!AL82/'Tariffs Jul2021'!AJ82-'Tariffs Jul2021'!K82)*('Tariffs Jul2021'!W82/100)*'Tariffs Jul2021'!AJ82,('Tariffs Jul2021'!L82-'Tariffs Jul2021'!K82)*('Tariffs Jul2021'!W82/100)*'Tariffs Jul2021'!AJ82))</f>
        <v>0</v>
      </c>
      <c r="M88" s="69">
        <f>IF($C$5*'Tariffs Jul2021'!AL82/'Tariffs Jul2021'!AJ82&lt;'Tariffs Jul2021'!L82,0,IF($C$5*'Tariffs Jul2021'!AL82/'Tariffs Jul2021'!AJ82&lt;='Tariffs Jul2021'!M82,($C$5*'Tariffs Jul2021'!AL82/'Tariffs Jul2021'!AJ82-'Tariffs Jul2021'!L82)*('Tariffs Jul2021'!X82/100)*'Tariffs Jul2021'!AJ82,('Tariffs Jul2021'!M82-'Tariffs Jul2021'!L82)*('Tariffs Jul2021'!X82/100)*'Tariffs Jul2021'!AJ82))</f>
        <v>0</v>
      </c>
      <c r="N88" s="69">
        <f>IF(($C$5*'Tariffs Jul2021'!AL82/'Tariffs Jul2021'!AJ82&gt;'Tariffs Jul2021'!M82),($C$5*'Tariffs Jul2021'!AL82/'Tariffs Jul2021'!AJ82-'Tariffs Jul2021'!M82)*'Tariffs Jul2021'!Y82/100*'Tariffs Jul2021'!AJ82,0)</f>
        <v>0</v>
      </c>
      <c r="O88" s="59">
        <f t="shared" si="72"/>
        <v>561.76199999999994</v>
      </c>
      <c r="P88" s="503">
        <f t="shared" si="56"/>
        <v>617.93819999999994</v>
      </c>
      <c r="Q88" s="59">
        <f t="shared" si="73"/>
        <v>857.47836363636361</v>
      </c>
      <c r="R88" s="272">
        <f t="shared" si="74"/>
        <v>943.22620000000006</v>
      </c>
      <c r="S88" s="40">
        <f>'Tariffs Jul2021'!AN82</f>
        <v>0</v>
      </c>
      <c r="T88" s="40">
        <f>'Tariffs Jul2021'!AO82</f>
        <v>0</v>
      </c>
      <c r="U88" s="40">
        <f>'Tariffs Jul2021'!AP82</f>
        <v>0</v>
      </c>
      <c r="V88" s="40">
        <f>'Tariffs Jul2021'!AQ82</f>
        <v>0</v>
      </c>
      <c r="W88" s="537" t="str">
        <f t="shared" si="60"/>
        <v>No discount</v>
      </c>
      <c r="X88" s="538" t="str">
        <f t="shared" si="61"/>
        <v>Exclusive</v>
      </c>
      <c r="Y88" s="534">
        <f t="shared" si="70"/>
        <v>857.47836363636361</v>
      </c>
      <c r="Z88" s="535">
        <f t="shared" si="71"/>
        <v>857.47836363636361</v>
      </c>
      <c r="AA88" s="542">
        <f t="shared" si="75"/>
        <v>943.22620000000006</v>
      </c>
      <c r="AB88" s="542">
        <f t="shared" si="75"/>
        <v>943.22620000000006</v>
      </c>
      <c r="AC88" s="274">
        <f>'Tariffs Jul2021'!AZ82</f>
        <v>0</v>
      </c>
      <c r="AD88" s="274" t="str">
        <f>'Tariffs Jul2021'!BA82</f>
        <v>n</v>
      </c>
      <c r="AE88" s="275" t="str">
        <f>'Tariffs Jul2021'!BJ82</f>
        <v>N</v>
      </c>
      <c r="AF88" s="574"/>
      <c r="AG88" s="574"/>
      <c r="AH88" s="574"/>
      <c r="AI88" s="574"/>
      <c r="AJ88" s="574"/>
      <c r="AK88" s="574"/>
      <c r="AL88" s="574"/>
      <c r="AM88" s="574"/>
      <c r="AN88" s="574"/>
      <c r="AO88" s="574"/>
      <c r="AP88" s="574"/>
      <c r="AQ88" s="574"/>
      <c r="AR88" s="574"/>
      <c r="AS88" s="574"/>
      <c r="AT88" s="574"/>
      <c r="AU88" s="574"/>
      <c r="AV88" s="574"/>
      <c r="AW88" s="574"/>
      <c r="AX88" s="574"/>
    </row>
    <row r="89" spans="1:50" ht="14" x14ac:dyDescent="0.15">
      <c r="A89" s="270" t="str">
        <f>'Tariffs Jul2021'!F83</f>
        <v>Alinta Energy</v>
      </c>
      <c r="B89" s="40" t="str">
        <f>'Tariffs Jul2021'!D83</f>
        <v>AusNet Services West</v>
      </c>
      <c r="C89" s="40" t="str">
        <f>'Tariffs Jul2021'!G83</f>
        <v>Home Deal</v>
      </c>
      <c r="D89" s="59">
        <f>365*'Tariffs Jul2021'!H83/100</f>
        <v>264.1936363636363</v>
      </c>
      <c r="E89" s="59">
        <f>IF($C$5*'Tariffs Jul2021'!AK83/'Tariffs Jul2021'!AI83&gt;='Tariffs Jul2021'!J83,( 'Tariffs Jul2021'!J83*'Tariffs Jul2021'!O83/100)* 'Tariffs Jul2021'!AI83,($C$5*'Tariffs Jul2021'!AK83/'Tariffs Jul2021'!AI83*'Tariffs Jul2021'!O83/100)* 'Tariffs Jul2021'!AI83)</f>
        <v>168.16499999999999</v>
      </c>
      <c r="F89" s="59">
        <f>IF($C$5*'Tariffs Jul2021'!AK83/'Tariffs Jul2021'!AI83&lt;'Tariffs Jul2021'!J83,0,IF($C$5*'Tariffs Jul2021'!AK83/'Tariffs Jul2021'!AI83&lt;='Tariffs Jul2021'!K83,($C$5*'Tariffs Jul2021'!AK83/'Tariffs Jul2021'!AI83-'Tariffs Jul2021'!J83)*('Tariffs Jul2021'!P83/100)*'Tariffs Jul2021'!AI83,('Tariffs Jul2021'!K83-'Tariffs Jul2021'!J83)*('Tariffs Jul2021'!P83/100)*'Tariffs Jul2021'!AI83))</f>
        <v>0</v>
      </c>
      <c r="G89" s="59">
        <f>IF($C$5*'Tariffs Jul2021'!AK83/'Tariffs Jul2021'!AI83&lt;'Tariffs Jul2021'!K83,0,IF($C$5*'Tariffs Jul2021'!AK83/'Tariffs Jul2021'!AI83&lt;='Tariffs Jul2021'!L83,($C$5*'Tariffs Jul2021'!AK83/'Tariffs Jul2021'!AI83-'Tariffs Jul2021'!K83)*('Tariffs Jul2021'!Q83/100)*'Tariffs Jul2021'!AI83,('Tariffs Jul2021'!L83-'Tariffs Jul2021'!K83)*('Tariffs Jul2021'!Q83/100)*'Tariffs Jul2021'!AI83))</f>
        <v>0</v>
      </c>
      <c r="H89" s="59">
        <f>IF($C$5*'Tariffs Jul2021'!AK83/'Tariffs Jul2021'!AI83&lt;'Tariffs Jul2021'!L83,0,IF($C$5*'Tariffs Jul2021'!AK83/'Tariffs Jul2021'!AI83&lt;='Tariffs Jul2021'!M83,($C$5*'Tariffs Jul2021'!AK83/'Tariffs Jul2021'!AI83-'Tariffs Jul2021'!L83)*('Tariffs Jul2021'!R83/100)*'Tariffs Jul2021'!AI83,('Tariffs Jul2021'!M83-'Tariffs Jul2021'!L83)*('Tariffs Jul2021'!R83/100)*'Tariffs Jul2021'!AI83))</f>
        <v>0</v>
      </c>
      <c r="I89" s="69">
        <f>IF(($C$5*'Tariffs Jul2021'!AK83/'Tariffs Jul2021'!AI83&gt;'Tariffs Jul2021'!M83),($C$5*'Tariffs Jul2021'!AK83/'Tariffs Jul2021'!AI83-'Tariffs Jul2021'!M83)*'Tariffs Jul2021'!S83/100*'Tariffs Jul2021'!AI83,0)</f>
        <v>0</v>
      </c>
      <c r="J89" s="69">
        <f>IF($C$5*'Tariffs Jul2021'!AL83/'Tariffs Jul2021'!AJ83&gt;='Tariffs Jul2021'!J83,('Tariffs Jul2021'!J83*'Tariffs Jul2021'!U83/100)* 'Tariffs Jul2021'!AJ83,($C$5*'Tariffs Jul2021'!AL83/'Tariffs Jul2021'!AJ83*'Tariffs Jul2021'!U83/100)* 'Tariffs Jul2021'!AJ83)</f>
        <v>285.42599999999999</v>
      </c>
      <c r="K89" s="69">
        <f>IF($C$5*'Tariffs Jul2021'!AL83/'Tariffs Jul2021'!AJ83&lt;'Tariffs Jul2021'!J83,0,IF($C$5*'Tariffs Jul2021'!AL83/'Tariffs Jul2021'!AJ83&lt;='Tariffs Jul2021'!K83,($C$5*'Tariffs Jul2021'!AL83/'Tariffs Jul2021'!AJ83-'Tariffs Jul2021'!J83)*('Tariffs Jul2021'!V83/100)*'Tariffs Jul2021'!AJ83,('Tariffs Jul2021'!K83-'Tariffs Jul2021'!J83)*('Tariffs Jul2021'!V83/100)*'Tariffs Jul2021'!AJ83))</f>
        <v>0</v>
      </c>
      <c r="L89" s="69">
        <f>IF($C$5*'Tariffs Jul2021'!AL83/'Tariffs Jul2021'!AJ83&lt;'Tariffs Jul2021'!K83,0,IF($C$5*'Tariffs Jul2021'!AL83/'Tariffs Jul2021'!AJ83&lt;='Tariffs Jul2021'!L83,($C$5*'Tariffs Jul2021'!AL83/'Tariffs Jul2021'!AJ83-'Tariffs Jul2021'!K83)*('Tariffs Jul2021'!W83/100)*'Tariffs Jul2021'!AJ83,('Tariffs Jul2021'!L83-'Tariffs Jul2021'!K83)*('Tariffs Jul2021'!W83/100)*'Tariffs Jul2021'!AJ83))</f>
        <v>0</v>
      </c>
      <c r="M89" s="69">
        <f>IF($C$5*'Tariffs Jul2021'!AL83/'Tariffs Jul2021'!AJ83&lt;'Tariffs Jul2021'!L83,0,IF($C$5*'Tariffs Jul2021'!AL83/'Tariffs Jul2021'!AJ83&lt;='Tariffs Jul2021'!M83,($C$5*'Tariffs Jul2021'!AL83/'Tariffs Jul2021'!AJ83-'Tariffs Jul2021'!L83)*('Tariffs Jul2021'!X83/100)*'Tariffs Jul2021'!AJ83,('Tariffs Jul2021'!M83-'Tariffs Jul2021'!L83)*('Tariffs Jul2021'!X83/100)*'Tariffs Jul2021'!AJ83))</f>
        <v>0</v>
      </c>
      <c r="N89" s="69">
        <f>IF(($C$5*'Tariffs Jul2021'!AL83/'Tariffs Jul2021'!AJ83&gt;'Tariffs Jul2021'!M83),($C$5*'Tariffs Jul2021'!AL83/'Tariffs Jul2021'!AJ83-'Tariffs Jul2021'!M83)*'Tariffs Jul2021'!Y83/100*'Tariffs Jul2021'!AJ83,0)</f>
        <v>0</v>
      </c>
      <c r="O89" s="59">
        <f t="shared" si="72"/>
        <v>453.59100000000001</v>
      </c>
      <c r="P89" s="503">
        <f t="shared" si="56"/>
        <v>498.95010000000008</v>
      </c>
      <c r="Q89" s="59">
        <f t="shared" si="73"/>
        <v>717.78463636363631</v>
      </c>
      <c r="R89" s="272">
        <f t="shared" si="74"/>
        <v>789.56309999999996</v>
      </c>
      <c r="S89" s="40">
        <f>'Tariffs Jul2021'!AN83</f>
        <v>0</v>
      </c>
      <c r="T89" s="40">
        <f>'Tariffs Jul2021'!AO83</f>
        <v>0</v>
      </c>
      <c r="U89" s="40">
        <f>'Tariffs Jul2021'!AP83</f>
        <v>0</v>
      </c>
      <c r="V89" s="40">
        <f>'Tariffs Jul2021'!AQ83</f>
        <v>0</v>
      </c>
      <c r="W89" s="537" t="str">
        <f t="shared" si="60"/>
        <v>No discount</v>
      </c>
      <c r="X89" s="538" t="str">
        <f t="shared" si="61"/>
        <v>Exclusive</v>
      </c>
      <c r="Y89" s="534">
        <f t="shared" si="70"/>
        <v>717.78463636363631</v>
      </c>
      <c r="Z89" s="535">
        <f t="shared" si="71"/>
        <v>717.78463636363631</v>
      </c>
      <c r="AA89" s="542">
        <f t="shared" si="75"/>
        <v>789.56309999999996</v>
      </c>
      <c r="AB89" s="542">
        <f t="shared" si="75"/>
        <v>789.56309999999996</v>
      </c>
      <c r="AC89" s="274">
        <f>'Tariffs Jul2021'!AZ83</f>
        <v>0</v>
      </c>
      <c r="AD89" s="274" t="str">
        <f>'Tariffs Jul2021'!BA83</f>
        <v>n</v>
      </c>
      <c r="AE89" s="275" t="str">
        <f>'Tariffs Jul2021'!BJ83</f>
        <v>N</v>
      </c>
      <c r="AF89" s="574"/>
      <c r="AG89" s="574"/>
      <c r="AH89" s="574"/>
      <c r="AI89" s="574"/>
      <c r="AJ89" s="574"/>
      <c r="AK89" s="574"/>
      <c r="AL89" s="574"/>
      <c r="AM89" s="574"/>
      <c r="AN89" s="574"/>
      <c r="AO89" s="574"/>
      <c r="AP89" s="574"/>
      <c r="AQ89" s="574"/>
      <c r="AR89" s="574"/>
      <c r="AS89" s="574"/>
      <c r="AT89" s="574"/>
      <c r="AU89" s="574"/>
      <c r="AV89" s="574"/>
      <c r="AW89" s="574"/>
      <c r="AX89" s="574"/>
    </row>
    <row r="90" spans="1:50" ht="14" x14ac:dyDescent="0.15">
      <c r="A90" s="270" t="str">
        <f>'Tariffs Jul2021'!F84</f>
        <v>Covau</v>
      </c>
      <c r="B90" s="40" t="str">
        <f>'Tariffs Jul2021'!D84</f>
        <v>AusNet Services West</v>
      </c>
      <c r="C90" s="40" t="str">
        <f>'Tariffs Jul2021'!G84</f>
        <v>Super Saver Plus</v>
      </c>
      <c r="D90" s="59">
        <f>365*'Tariffs Jul2021'!H84/100</f>
        <v>310.25</v>
      </c>
      <c r="E90" s="59">
        <f>IF($C$5*'Tariffs Jul2021'!AK84/'Tariffs Jul2021'!AI84&gt;='Tariffs Jul2021'!J84,( 'Tariffs Jul2021'!J84*'Tariffs Jul2021'!O84/100)* 'Tariffs Jul2021'!AI84,($C$5*'Tariffs Jul2021'!AK84/'Tariffs Jul2021'!AI84*'Tariffs Jul2021'!O84/100)* 'Tariffs Jul2021'!AI84)</f>
        <v>202.70699999999997</v>
      </c>
      <c r="F90" s="59">
        <f>IF($C$5*'Tariffs Jul2021'!AK84/'Tariffs Jul2021'!AI84&lt;'Tariffs Jul2021'!J84,0,IF($C$5*'Tariffs Jul2021'!AK84/'Tariffs Jul2021'!AI84&lt;='Tariffs Jul2021'!K84,($C$5*'Tariffs Jul2021'!AK84/'Tariffs Jul2021'!AI84-'Tariffs Jul2021'!J84)*('Tariffs Jul2021'!P84/100)*'Tariffs Jul2021'!AI84,('Tariffs Jul2021'!K84-'Tariffs Jul2021'!J84)*('Tariffs Jul2021'!P84/100)*'Tariffs Jul2021'!AI84))</f>
        <v>0</v>
      </c>
      <c r="G90" s="59">
        <f>IF($C$5*'Tariffs Jul2021'!AK84/'Tariffs Jul2021'!AI84&lt;'Tariffs Jul2021'!K84,0,IF($C$5*'Tariffs Jul2021'!AK84/'Tariffs Jul2021'!AI84&lt;='Tariffs Jul2021'!L84,($C$5*'Tariffs Jul2021'!AK84/'Tariffs Jul2021'!AI84-'Tariffs Jul2021'!K84)*('Tariffs Jul2021'!Q84/100)*'Tariffs Jul2021'!AI84,('Tariffs Jul2021'!L84-'Tariffs Jul2021'!K84)*('Tariffs Jul2021'!Q84/100)*'Tariffs Jul2021'!AI84))</f>
        <v>0</v>
      </c>
      <c r="H90" s="59">
        <f>IF($C$5*'Tariffs Jul2021'!AK84/'Tariffs Jul2021'!AI84&lt;'Tariffs Jul2021'!L84,0,IF($C$5*'Tariffs Jul2021'!AK84/'Tariffs Jul2021'!AI84&lt;='Tariffs Jul2021'!M84,($C$5*'Tariffs Jul2021'!AK84/'Tariffs Jul2021'!AI84-'Tariffs Jul2021'!L84)*('Tariffs Jul2021'!R84/100)*'Tariffs Jul2021'!AI84,('Tariffs Jul2021'!M84-'Tariffs Jul2021'!L84)*('Tariffs Jul2021'!R84/100)*'Tariffs Jul2021'!AI84))</f>
        <v>0</v>
      </c>
      <c r="I90" s="69">
        <f>IF(($C$5*'Tariffs Jul2021'!AK84/'Tariffs Jul2021'!AI84&gt;'Tariffs Jul2021'!M84),($C$5*'Tariffs Jul2021'!AK84/'Tariffs Jul2021'!AI84-'Tariffs Jul2021'!M84)*'Tariffs Jul2021'!S84/100*'Tariffs Jul2021'!AI84,0)</f>
        <v>0</v>
      </c>
      <c r="J90" s="69">
        <f>IF($C$5*'Tariffs Jul2021'!AL84/'Tariffs Jul2021'!AJ84&gt;='Tariffs Jul2021'!J84,('Tariffs Jul2021'!J84*'Tariffs Jul2021'!U84/100)* 'Tariffs Jul2021'!AJ84,($C$5*'Tariffs Jul2021'!AL84/'Tariffs Jul2021'!AJ84*'Tariffs Jul2021'!U84/100)* 'Tariffs Jul2021'!AJ84)</f>
        <v>310.87799999999999</v>
      </c>
      <c r="K90" s="69">
        <f>IF($C$5*'Tariffs Jul2021'!AL84/'Tariffs Jul2021'!AJ84&lt;'Tariffs Jul2021'!J84,0,IF($C$5*'Tariffs Jul2021'!AL84/'Tariffs Jul2021'!AJ84&lt;='Tariffs Jul2021'!K84,($C$5*'Tariffs Jul2021'!AL84/'Tariffs Jul2021'!AJ84-'Tariffs Jul2021'!J84)*('Tariffs Jul2021'!V84/100)*'Tariffs Jul2021'!AJ84,('Tariffs Jul2021'!K84-'Tariffs Jul2021'!J84)*('Tariffs Jul2021'!V84/100)*'Tariffs Jul2021'!AJ84))</f>
        <v>0</v>
      </c>
      <c r="L90" s="69">
        <f>IF($C$5*'Tariffs Jul2021'!AL84/'Tariffs Jul2021'!AJ84&lt;'Tariffs Jul2021'!K84,0,IF($C$5*'Tariffs Jul2021'!AL84/'Tariffs Jul2021'!AJ84&lt;='Tariffs Jul2021'!L84,($C$5*'Tariffs Jul2021'!AL84/'Tariffs Jul2021'!AJ84-'Tariffs Jul2021'!K84)*('Tariffs Jul2021'!W84/100)*'Tariffs Jul2021'!AJ84,('Tariffs Jul2021'!L84-'Tariffs Jul2021'!K84)*('Tariffs Jul2021'!W84/100)*'Tariffs Jul2021'!AJ84))</f>
        <v>0</v>
      </c>
      <c r="M90" s="69">
        <f>IF($C$5*'Tariffs Jul2021'!AL84/'Tariffs Jul2021'!AJ84&lt;'Tariffs Jul2021'!L84,0,IF($C$5*'Tariffs Jul2021'!AL84/'Tariffs Jul2021'!AJ84&lt;='Tariffs Jul2021'!M84,($C$5*'Tariffs Jul2021'!AL84/'Tariffs Jul2021'!AJ84-'Tariffs Jul2021'!L84)*('Tariffs Jul2021'!X84/100)*'Tariffs Jul2021'!AJ84,('Tariffs Jul2021'!M84-'Tariffs Jul2021'!L84)*('Tariffs Jul2021'!X84/100)*'Tariffs Jul2021'!AJ84))</f>
        <v>0</v>
      </c>
      <c r="N90" s="69">
        <f>IF(($C$5*'Tariffs Jul2021'!AL84/'Tariffs Jul2021'!AJ84&gt;'Tariffs Jul2021'!M84),($C$5*'Tariffs Jul2021'!AL84/'Tariffs Jul2021'!AJ84-'Tariffs Jul2021'!M84)*'Tariffs Jul2021'!Y84/100*'Tariffs Jul2021'!AJ84,0)</f>
        <v>0</v>
      </c>
      <c r="O90" s="59">
        <f t="shared" si="72"/>
        <v>513.58499999999992</v>
      </c>
      <c r="P90" s="503">
        <f t="shared" si="56"/>
        <v>564.94349999999997</v>
      </c>
      <c r="Q90" s="59">
        <f t="shared" si="73"/>
        <v>823.83499999999992</v>
      </c>
      <c r="R90" s="272">
        <f t="shared" si="74"/>
        <v>906.21849999999995</v>
      </c>
      <c r="S90" s="40">
        <f>'Tariffs Jul2021'!AN84</f>
        <v>0</v>
      </c>
      <c r="T90" s="40">
        <f>'Tariffs Jul2021'!AO84</f>
        <v>20</v>
      </c>
      <c r="U90" s="40">
        <f>'Tariffs Jul2021'!AP84</f>
        <v>0</v>
      </c>
      <c r="V90" s="40">
        <f>'Tariffs Jul2021'!AQ84</f>
        <v>0</v>
      </c>
      <c r="W90" s="537" t="str">
        <f t="shared" si="60"/>
        <v>Guaranteed off usage</v>
      </c>
      <c r="X90" s="538" t="str">
        <f t="shared" si="61"/>
        <v>Exclusive</v>
      </c>
      <c r="Y90" s="534">
        <f t="shared" si="70"/>
        <v>710.84629999999993</v>
      </c>
      <c r="Z90" s="535">
        <f t="shared" si="71"/>
        <v>710.84629999999993</v>
      </c>
      <c r="AA90" s="542">
        <f t="shared" si="75"/>
        <v>781.93092999999999</v>
      </c>
      <c r="AB90" s="542">
        <f t="shared" si="75"/>
        <v>781.93092999999999</v>
      </c>
      <c r="AC90" s="274">
        <f>'Tariffs Jul2021'!AZ84</f>
        <v>0</v>
      </c>
      <c r="AD90" s="274" t="str">
        <f>'Tariffs Jul2021'!BA84</f>
        <v>n</v>
      </c>
      <c r="AE90" s="275" t="str">
        <f>'Tariffs Jul2021'!BJ84</f>
        <v>N</v>
      </c>
      <c r="AF90" s="574"/>
      <c r="AG90" s="574"/>
      <c r="AH90" s="574"/>
      <c r="AI90" s="574"/>
      <c r="AJ90" s="574"/>
      <c r="AK90" s="574"/>
      <c r="AL90" s="574"/>
      <c r="AM90" s="574"/>
      <c r="AN90" s="574"/>
      <c r="AO90" s="574"/>
      <c r="AP90" s="574"/>
      <c r="AQ90" s="574"/>
      <c r="AR90" s="574"/>
      <c r="AS90" s="574"/>
      <c r="AT90" s="574"/>
      <c r="AU90" s="574"/>
      <c r="AV90" s="574"/>
      <c r="AW90" s="574"/>
      <c r="AX90" s="574"/>
    </row>
    <row r="91" spans="1:50" ht="14" x14ac:dyDescent="0.15">
      <c r="A91" s="270" t="str">
        <f>'Tariffs Jul2021'!F85</f>
        <v>EnergyAustralia</v>
      </c>
      <c r="B91" s="40" t="str">
        <f>'Tariffs Jul2021'!D85</f>
        <v>AusNet Services West</v>
      </c>
      <c r="C91" s="40" t="str">
        <f>'Tariffs Jul2021'!G85</f>
        <v>Total Plan</v>
      </c>
      <c r="D91" s="59">
        <f>365*'Tariffs Jul2021'!H85/100</f>
        <v>367.19</v>
      </c>
      <c r="E91" s="59">
        <f>IF($C$5*'Tariffs Jul2021'!AK85/'Tariffs Jul2021'!AI85&gt;='Tariffs Jul2021'!J85,( 'Tariffs Jul2021'!J85*'Tariffs Jul2021'!O85/100)* 'Tariffs Jul2021'!AI85,($C$5*'Tariffs Jul2021'!AK85/'Tariffs Jul2021'!AI85*'Tariffs Jul2021'!O85/100)* 'Tariffs Jul2021'!AI85)</f>
        <v>249.97499999999999</v>
      </c>
      <c r="F91" s="59">
        <f>IF($C$5*'Tariffs Jul2021'!AK85/'Tariffs Jul2021'!AI85&lt;'Tariffs Jul2021'!J85,0,IF($C$5*'Tariffs Jul2021'!AK85/'Tariffs Jul2021'!AI85&lt;='Tariffs Jul2021'!K85,($C$5*'Tariffs Jul2021'!AK85/'Tariffs Jul2021'!AI85-'Tariffs Jul2021'!J85)*('Tariffs Jul2021'!P85/100)*'Tariffs Jul2021'!AI85,('Tariffs Jul2021'!K85-'Tariffs Jul2021'!J85)*('Tariffs Jul2021'!P85/100)*'Tariffs Jul2021'!AI85))</f>
        <v>0</v>
      </c>
      <c r="G91" s="59">
        <f>IF($C$5*'Tariffs Jul2021'!AK85/'Tariffs Jul2021'!AI85&lt;'Tariffs Jul2021'!K85,0,IF($C$5*'Tariffs Jul2021'!AK85/'Tariffs Jul2021'!AI85&lt;='Tariffs Jul2021'!L85,($C$5*'Tariffs Jul2021'!AK85/'Tariffs Jul2021'!AI85-'Tariffs Jul2021'!K85)*('Tariffs Jul2021'!Q85/100)*'Tariffs Jul2021'!AI85,('Tariffs Jul2021'!L85-'Tariffs Jul2021'!K85)*('Tariffs Jul2021'!Q85/100)*'Tariffs Jul2021'!AI85))</f>
        <v>0</v>
      </c>
      <c r="H91" s="59">
        <f>IF($C$5*'Tariffs Jul2021'!AK85/'Tariffs Jul2021'!AI85&lt;'Tariffs Jul2021'!L85,0,IF($C$5*'Tariffs Jul2021'!AK85/'Tariffs Jul2021'!AI85&lt;='Tariffs Jul2021'!M85,($C$5*'Tariffs Jul2021'!AK85/'Tariffs Jul2021'!AI85-'Tariffs Jul2021'!L85)*('Tariffs Jul2021'!R85/100)*'Tariffs Jul2021'!AI85,('Tariffs Jul2021'!M85-'Tariffs Jul2021'!L85)*('Tariffs Jul2021'!R85/100)*'Tariffs Jul2021'!AI85))</f>
        <v>0</v>
      </c>
      <c r="I91" s="69">
        <f>IF(($C$5*'Tariffs Jul2021'!AK85/'Tariffs Jul2021'!AI85&gt;'Tariffs Jul2021'!M85),($C$5*'Tariffs Jul2021'!AK85/'Tariffs Jul2021'!AI85-'Tariffs Jul2021'!M85)*'Tariffs Jul2021'!S85/100*'Tariffs Jul2021'!AI85,0)</f>
        <v>0</v>
      </c>
      <c r="J91" s="69">
        <f>IF($C$5*'Tariffs Jul2021'!AL85/'Tariffs Jul2021'!AJ85&gt;='Tariffs Jul2021'!J85,('Tariffs Jul2021'!J85*'Tariffs Jul2021'!U85/100)* 'Tariffs Jul2021'!AJ85,($C$5*'Tariffs Jul2021'!AL85/'Tariffs Jul2021'!AJ85*'Tariffs Jul2021'!U85/100)* 'Tariffs Jul2021'!AJ85)</f>
        <v>414.50399999999996</v>
      </c>
      <c r="K91" s="69">
        <f>IF($C$5*'Tariffs Jul2021'!AL85/'Tariffs Jul2021'!AJ85&lt;'Tariffs Jul2021'!J85,0,IF($C$5*'Tariffs Jul2021'!AL85/'Tariffs Jul2021'!AJ85&lt;='Tariffs Jul2021'!K85,($C$5*'Tariffs Jul2021'!AL85/'Tariffs Jul2021'!AJ85-'Tariffs Jul2021'!J85)*('Tariffs Jul2021'!V85/100)*'Tariffs Jul2021'!AJ85,('Tariffs Jul2021'!K85-'Tariffs Jul2021'!J85)*('Tariffs Jul2021'!V85/100)*'Tariffs Jul2021'!AJ85))</f>
        <v>0</v>
      </c>
      <c r="L91" s="69">
        <f>IF($C$5*'Tariffs Jul2021'!AL85/'Tariffs Jul2021'!AJ85&lt;'Tariffs Jul2021'!K85,0,IF($C$5*'Tariffs Jul2021'!AL85/'Tariffs Jul2021'!AJ85&lt;='Tariffs Jul2021'!L85,($C$5*'Tariffs Jul2021'!AL85/'Tariffs Jul2021'!AJ85-'Tariffs Jul2021'!K85)*('Tariffs Jul2021'!W85/100)*'Tariffs Jul2021'!AJ85,('Tariffs Jul2021'!L85-'Tariffs Jul2021'!K85)*('Tariffs Jul2021'!W85/100)*'Tariffs Jul2021'!AJ85))</f>
        <v>0</v>
      </c>
      <c r="M91" s="69">
        <f>IF($C$5*'Tariffs Jul2021'!AL85/'Tariffs Jul2021'!AJ85&lt;'Tariffs Jul2021'!L85,0,IF($C$5*'Tariffs Jul2021'!AL85/'Tariffs Jul2021'!AJ85&lt;='Tariffs Jul2021'!M85,($C$5*'Tariffs Jul2021'!AL85/'Tariffs Jul2021'!AJ85-'Tariffs Jul2021'!L85)*('Tariffs Jul2021'!X85/100)*'Tariffs Jul2021'!AJ85,('Tariffs Jul2021'!M85-'Tariffs Jul2021'!L85)*('Tariffs Jul2021'!X85/100)*'Tariffs Jul2021'!AJ85))</f>
        <v>0</v>
      </c>
      <c r="N91" s="69">
        <f>IF(($C$5*'Tariffs Jul2021'!AL85/'Tariffs Jul2021'!AJ85&gt;'Tariffs Jul2021'!M85),($C$5*'Tariffs Jul2021'!AL85/'Tariffs Jul2021'!AJ85-'Tariffs Jul2021'!M85)*'Tariffs Jul2021'!Y85/100*'Tariffs Jul2021'!AJ85,0)</f>
        <v>0</v>
      </c>
      <c r="O91" s="59">
        <f>SUM(E91:N91)</f>
        <v>664.47899999999993</v>
      </c>
      <c r="P91" s="503">
        <f t="shared" si="56"/>
        <v>730.92689999999993</v>
      </c>
      <c r="Q91" s="59">
        <f>D91+O91</f>
        <v>1031.6689999999999</v>
      </c>
      <c r="R91" s="272">
        <f>Q91*1.1</f>
        <v>1134.8359</v>
      </c>
      <c r="S91" s="40">
        <f>'Tariffs Jul2021'!AN85</f>
        <v>26</v>
      </c>
      <c r="T91" s="40">
        <f>'Tariffs Jul2021'!AO85</f>
        <v>0</v>
      </c>
      <c r="U91" s="40">
        <f>'Tariffs Jul2021'!AP85</f>
        <v>0</v>
      </c>
      <c r="V91" s="40">
        <f>'Tariffs Jul2021'!AQ85</f>
        <v>0</v>
      </c>
      <c r="W91" s="537" t="str">
        <f t="shared" si="60"/>
        <v>Guaranteed off bill</v>
      </c>
      <c r="X91" s="538" t="str">
        <f t="shared" si="61"/>
        <v>Exclusive</v>
      </c>
      <c r="Y91" s="534">
        <f t="shared" si="70"/>
        <v>763.43505999999991</v>
      </c>
      <c r="Z91" s="535">
        <f t="shared" si="71"/>
        <v>763.43505999999991</v>
      </c>
      <c r="AA91" s="542">
        <f t="shared" si="75"/>
        <v>839.77856599999996</v>
      </c>
      <c r="AB91" s="542">
        <f t="shared" si="75"/>
        <v>839.77856599999996</v>
      </c>
      <c r="AC91" s="274">
        <f>'Tariffs Jul2021'!AZ85</f>
        <v>12</v>
      </c>
      <c r="AD91" s="274" t="str">
        <f>'Tariffs Jul2021'!BA85</f>
        <v>n</v>
      </c>
      <c r="AE91" s="275" t="str">
        <f>'Tariffs Jul2021'!BJ85</f>
        <v>N</v>
      </c>
      <c r="AF91" s="574"/>
      <c r="AG91" s="574"/>
      <c r="AH91" s="574"/>
      <c r="AI91" s="574"/>
      <c r="AJ91" s="574"/>
      <c r="AK91" s="574"/>
      <c r="AL91" s="574"/>
      <c r="AM91" s="574"/>
      <c r="AN91" s="574"/>
      <c r="AO91" s="574"/>
      <c r="AP91" s="574"/>
      <c r="AQ91" s="574"/>
      <c r="AR91" s="574"/>
      <c r="AS91" s="574"/>
      <c r="AT91" s="574"/>
      <c r="AU91" s="574"/>
      <c r="AV91" s="574"/>
      <c r="AW91" s="574"/>
      <c r="AX91" s="574"/>
    </row>
    <row r="92" spans="1:50" ht="14" x14ac:dyDescent="0.15">
      <c r="A92" s="270" t="str">
        <f>'Tariffs Jul2021'!F86</f>
        <v>Lumo Energy</v>
      </c>
      <c r="B92" s="40" t="str">
        <f>'Tariffs Jul2021'!D86</f>
        <v>AusNet Services West</v>
      </c>
      <c r="C92" s="40" t="str">
        <f>'Tariffs Jul2021'!G86</f>
        <v>Value</v>
      </c>
      <c r="D92" s="59">
        <f>365*'Tariffs Jul2021'!H86/100</f>
        <v>286.89</v>
      </c>
      <c r="E92" s="59">
        <f>IF($C$5*'Tariffs Jul2021'!AK86/'Tariffs Jul2021'!AI86&gt;='Tariffs Jul2021'!J86,( 'Tariffs Jul2021'!J86*'Tariffs Jul2021'!O86/100)* 'Tariffs Jul2021'!AI86,($C$5*'Tariffs Jul2021'!AK86/'Tariffs Jul2021'!AI86*'Tariffs Jul2021'!O86/100)* 'Tariffs Jul2021'!AI86)</f>
        <v>183.61799999999999</v>
      </c>
      <c r="F92" s="59">
        <f>IF($C$5*'Tariffs Jul2021'!AK86/'Tariffs Jul2021'!AI86&lt;'Tariffs Jul2021'!J86,0,IF($C$5*'Tariffs Jul2021'!AK86/'Tariffs Jul2021'!AI86&lt;='Tariffs Jul2021'!K86,($C$5*'Tariffs Jul2021'!AK86/'Tariffs Jul2021'!AI86-'Tariffs Jul2021'!J86)*('Tariffs Jul2021'!P86/100)*'Tariffs Jul2021'!AI86,('Tariffs Jul2021'!K86-'Tariffs Jul2021'!J86)*('Tariffs Jul2021'!P86/100)*'Tariffs Jul2021'!AI86))</f>
        <v>0</v>
      </c>
      <c r="G92" s="59">
        <f>IF($C$5*'Tariffs Jul2021'!AK86/'Tariffs Jul2021'!AI86&lt;'Tariffs Jul2021'!K86,0,IF($C$5*'Tariffs Jul2021'!AK86/'Tariffs Jul2021'!AI86&lt;='Tariffs Jul2021'!L86,($C$5*'Tariffs Jul2021'!AK86/'Tariffs Jul2021'!AI86-'Tariffs Jul2021'!K86)*('Tariffs Jul2021'!Q86/100)*'Tariffs Jul2021'!AI86,('Tariffs Jul2021'!L86-'Tariffs Jul2021'!K86)*('Tariffs Jul2021'!Q86/100)*'Tariffs Jul2021'!AI86))</f>
        <v>0</v>
      </c>
      <c r="H92" s="59">
        <f>IF($C$5*'Tariffs Jul2021'!AK86/'Tariffs Jul2021'!AI86&lt;'Tariffs Jul2021'!L86,0,IF($C$5*'Tariffs Jul2021'!AK86/'Tariffs Jul2021'!AI86&lt;='Tariffs Jul2021'!M86,($C$5*'Tariffs Jul2021'!AK86/'Tariffs Jul2021'!AI86-'Tariffs Jul2021'!L86)*('Tariffs Jul2021'!R86/100)*'Tariffs Jul2021'!AI86,('Tariffs Jul2021'!M86-'Tariffs Jul2021'!L86)*('Tariffs Jul2021'!R86/100)*'Tariffs Jul2021'!AI86))</f>
        <v>0</v>
      </c>
      <c r="I92" s="69">
        <f>IF(($C$5*'Tariffs Jul2021'!AK86/'Tariffs Jul2021'!AI86&gt;'Tariffs Jul2021'!M86),($C$5*'Tariffs Jul2021'!AK86/'Tariffs Jul2021'!AI86-'Tariffs Jul2021'!M86)*'Tariffs Jul2021'!S86/100*'Tariffs Jul2021'!AI86,0)</f>
        <v>0</v>
      </c>
      <c r="J92" s="69">
        <f>IF($C$5*'Tariffs Jul2021'!AL86/'Tariffs Jul2021'!AJ86&gt;='Tariffs Jul2021'!J86,('Tariffs Jul2021'!J86*'Tariffs Jul2021'!U86/100)* 'Tariffs Jul2021'!AJ86,($C$5*'Tariffs Jul2021'!AL86/'Tariffs Jul2021'!AJ86*'Tariffs Jul2021'!U86/100)* 'Tariffs Jul2021'!AJ86)</f>
        <v>336.33</v>
      </c>
      <c r="K92" s="69">
        <f>IF($C$5*'Tariffs Jul2021'!AL86/'Tariffs Jul2021'!AJ86&lt;'Tariffs Jul2021'!J86,0,IF($C$5*'Tariffs Jul2021'!AL86/'Tariffs Jul2021'!AJ86&lt;='Tariffs Jul2021'!K86,($C$5*'Tariffs Jul2021'!AL86/'Tariffs Jul2021'!AJ86-'Tariffs Jul2021'!J86)*('Tariffs Jul2021'!V86/100)*'Tariffs Jul2021'!AJ86,('Tariffs Jul2021'!K86-'Tariffs Jul2021'!J86)*('Tariffs Jul2021'!V86/100)*'Tariffs Jul2021'!AJ86))</f>
        <v>0</v>
      </c>
      <c r="L92" s="69">
        <f>IF($C$5*'Tariffs Jul2021'!AL86/'Tariffs Jul2021'!AJ86&lt;'Tariffs Jul2021'!K86,0,IF($C$5*'Tariffs Jul2021'!AL86/'Tariffs Jul2021'!AJ86&lt;='Tariffs Jul2021'!L86,($C$5*'Tariffs Jul2021'!AL86/'Tariffs Jul2021'!AJ86-'Tariffs Jul2021'!K86)*('Tariffs Jul2021'!W86/100)*'Tariffs Jul2021'!AJ86,('Tariffs Jul2021'!L86-'Tariffs Jul2021'!K86)*('Tariffs Jul2021'!W86/100)*'Tariffs Jul2021'!AJ86))</f>
        <v>0</v>
      </c>
      <c r="M92" s="69">
        <f>IF($C$5*'Tariffs Jul2021'!AL86/'Tariffs Jul2021'!AJ86&lt;'Tariffs Jul2021'!L86,0,IF($C$5*'Tariffs Jul2021'!AL86/'Tariffs Jul2021'!AJ86&lt;='Tariffs Jul2021'!M86,($C$5*'Tariffs Jul2021'!AL86/'Tariffs Jul2021'!AJ86-'Tariffs Jul2021'!L86)*('Tariffs Jul2021'!X86/100)*'Tariffs Jul2021'!AJ86,('Tariffs Jul2021'!M86-'Tariffs Jul2021'!L86)*('Tariffs Jul2021'!X86/100)*'Tariffs Jul2021'!AJ86))</f>
        <v>0</v>
      </c>
      <c r="N92" s="69">
        <f>IF(($C$5*'Tariffs Jul2021'!AL86/'Tariffs Jul2021'!AJ86&gt;'Tariffs Jul2021'!M86),($C$5*'Tariffs Jul2021'!AL86/'Tariffs Jul2021'!AJ86-'Tariffs Jul2021'!M86)*'Tariffs Jul2021'!Y86/100*'Tariffs Jul2021'!AJ86,0)</f>
        <v>0</v>
      </c>
      <c r="O92" s="59">
        <f t="shared" si="72"/>
        <v>519.94799999999998</v>
      </c>
      <c r="P92" s="503">
        <f t="shared" si="56"/>
        <v>571.94280000000003</v>
      </c>
      <c r="Q92" s="59">
        <f t="shared" si="73"/>
        <v>806.83799999999997</v>
      </c>
      <c r="R92" s="272">
        <f t="shared" si="74"/>
        <v>887.52179999999998</v>
      </c>
      <c r="S92" s="40">
        <f>'Tariffs Jul2021'!AN86</f>
        <v>0</v>
      </c>
      <c r="T92" s="40">
        <f>'Tariffs Jul2021'!AO86</f>
        <v>0</v>
      </c>
      <c r="U92" s="40">
        <f>'Tariffs Jul2021'!AP86</f>
        <v>0</v>
      </c>
      <c r="V92" s="40">
        <f>'Tariffs Jul2021'!AQ86</f>
        <v>0</v>
      </c>
      <c r="W92" s="537" t="str">
        <f t="shared" si="60"/>
        <v>No discount</v>
      </c>
      <c r="X92" s="538" t="str">
        <f t="shared" si="61"/>
        <v>Exclusive</v>
      </c>
      <c r="Y92" s="534">
        <f t="shared" si="70"/>
        <v>806.83799999999997</v>
      </c>
      <c r="Z92" s="535">
        <f t="shared" si="71"/>
        <v>806.83799999999997</v>
      </c>
      <c r="AA92" s="542">
        <f t="shared" si="75"/>
        <v>887.52179999999998</v>
      </c>
      <c r="AB92" s="542">
        <f t="shared" si="75"/>
        <v>887.52179999999998</v>
      </c>
      <c r="AC92" s="274">
        <f>'Tariffs Jul2021'!AZ86</f>
        <v>0</v>
      </c>
      <c r="AD92" s="274" t="str">
        <f>'Tariffs Jul2021'!BA86</f>
        <v>n</v>
      </c>
      <c r="AE92" s="275" t="str">
        <f>'Tariffs Jul2021'!BJ86</f>
        <v>N</v>
      </c>
      <c r="AF92" s="574"/>
      <c r="AG92" s="574"/>
      <c r="AH92" s="574"/>
      <c r="AI92" s="574"/>
      <c r="AJ92" s="574"/>
      <c r="AK92" s="574"/>
      <c r="AL92" s="574"/>
      <c r="AM92" s="574"/>
      <c r="AN92" s="574"/>
      <c r="AO92" s="574"/>
      <c r="AP92" s="574"/>
      <c r="AQ92" s="574"/>
      <c r="AR92" s="574"/>
      <c r="AS92" s="574"/>
      <c r="AT92" s="574"/>
      <c r="AU92" s="574"/>
      <c r="AV92" s="574"/>
      <c r="AW92" s="574"/>
      <c r="AX92" s="574"/>
    </row>
    <row r="93" spans="1:50" ht="14" x14ac:dyDescent="0.15">
      <c r="A93" s="270" t="str">
        <f>'Tariffs Jul2021'!F87</f>
        <v>Momentum Energy</v>
      </c>
      <c r="B93" s="40" t="str">
        <f>'Tariffs Jul2021'!D87</f>
        <v>AusNet Services West</v>
      </c>
      <c r="C93" s="40" t="str">
        <f>'Tariffs Jul2021'!G87</f>
        <v>Market offer</v>
      </c>
      <c r="D93" s="59">
        <f>365*'Tariffs Jul2021'!H87/100</f>
        <v>357.33499999999998</v>
      </c>
      <c r="E93" s="59">
        <f>IF($C$5*'Tariffs Jul2021'!AK87/'Tariffs Jul2021'!AI87&gt;='Tariffs Jul2021'!J87,( 'Tariffs Jul2021'!J87*'Tariffs Jul2021'!O87/100)* 'Tariffs Jul2021'!AI87,($C$5*'Tariffs Jul2021'!AK87/'Tariffs Jul2021'!AI87*'Tariffs Jul2021'!O87/100)* 'Tariffs Jul2021'!AI87)</f>
        <v>199.98</v>
      </c>
      <c r="F93" s="59">
        <f>IF($C$5*'Tariffs Jul2021'!AK87/'Tariffs Jul2021'!AI87&lt;'Tariffs Jul2021'!J87,0,IF($C$5*'Tariffs Jul2021'!AK87/'Tariffs Jul2021'!AI87&lt;='Tariffs Jul2021'!K87,($C$5*'Tariffs Jul2021'!AK87/'Tariffs Jul2021'!AI87-'Tariffs Jul2021'!J87)*('Tariffs Jul2021'!P87/100)*'Tariffs Jul2021'!AI87,('Tariffs Jul2021'!K87-'Tariffs Jul2021'!J87)*('Tariffs Jul2021'!P87/100)*'Tariffs Jul2021'!AI87))</f>
        <v>0</v>
      </c>
      <c r="G93" s="59">
        <f>IF($C$5*'Tariffs Jul2021'!AK87/'Tariffs Jul2021'!AI87&lt;'Tariffs Jul2021'!K87,0,IF($C$5*'Tariffs Jul2021'!AK87/'Tariffs Jul2021'!AI87&lt;='Tariffs Jul2021'!L87,($C$5*'Tariffs Jul2021'!AK87/'Tariffs Jul2021'!AI87-'Tariffs Jul2021'!K87)*('Tariffs Jul2021'!Q87/100)*'Tariffs Jul2021'!AI87,('Tariffs Jul2021'!L87-'Tariffs Jul2021'!K87)*('Tariffs Jul2021'!Q87/100)*'Tariffs Jul2021'!AI87))</f>
        <v>0</v>
      </c>
      <c r="H93" s="59">
        <f>IF($C$5*'Tariffs Jul2021'!AK87/'Tariffs Jul2021'!AI87&lt;'Tariffs Jul2021'!L87,0,IF($C$5*'Tariffs Jul2021'!AK87/'Tariffs Jul2021'!AI87&lt;='Tariffs Jul2021'!M87,($C$5*'Tariffs Jul2021'!AK87/'Tariffs Jul2021'!AI87-'Tariffs Jul2021'!L87)*('Tariffs Jul2021'!R87/100)*'Tariffs Jul2021'!AI87,('Tariffs Jul2021'!M87-'Tariffs Jul2021'!L87)*('Tariffs Jul2021'!R87/100)*'Tariffs Jul2021'!AI87))</f>
        <v>0</v>
      </c>
      <c r="I93" s="69">
        <f>IF(($C$5*'Tariffs Jul2021'!AK87/'Tariffs Jul2021'!AI87&gt;'Tariffs Jul2021'!M87),($C$5*'Tariffs Jul2021'!AK87/'Tariffs Jul2021'!AI87-'Tariffs Jul2021'!M87)*'Tariffs Jul2021'!S87/100*'Tariffs Jul2021'!AI87,0)</f>
        <v>0</v>
      </c>
      <c r="J93" s="69">
        <f>IF($C$5*'Tariffs Jul2021'!AL87/'Tariffs Jul2021'!AJ87&gt;='Tariffs Jul2021'!J87,('Tariffs Jul2021'!J87*'Tariffs Jul2021'!U87/100)* 'Tariffs Jul2021'!AJ87,($C$5*'Tariffs Jul2021'!AL87/'Tariffs Jul2021'!AJ87*'Tariffs Jul2021'!U87/100)* 'Tariffs Jul2021'!AJ87)</f>
        <v>299.96999999999997</v>
      </c>
      <c r="K93" s="69">
        <f>IF($C$5*'Tariffs Jul2021'!AL87/'Tariffs Jul2021'!AJ87&lt;'Tariffs Jul2021'!J87,0,IF($C$5*'Tariffs Jul2021'!AL87/'Tariffs Jul2021'!AJ87&lt;='Tariffs Jul2021'!K87,($C$5*'Tariffs Jul2021'!AL87/'Tariffs Jul2021'!AJ87-'Tariffs Jul2021'!J87)*('Tariffs Jul2021'!V87/100)*'Tariffs Jul2021'!AJ87,('Tariffs Jul2021'!K87-'Tariffs Jul2021'!J87)*('Tariffs Jul2021'!V87/100)*'Tariffs Jul2021'!AJ87))</f>
        <v>0</v>
      </c>
      <c r="L93" s="69">
        <f>IF($C$5*'Tariffs Jul2021'!AL87/'Tariffs Jul2021'!AJ87&lt;'Tariffs Jul2021'!K87,0,IF($C$5*'Tariffs Jul2021'!AL87/'Tariffs Jul2021'!AJ87&lt;='Tariffs Jul2021'!L87,($C$5*'Tariffs Jul2021'!AL87/'Tariffs Jul2021'!AJ87-'Tariffs Jul2021'!K87)*('Tariffs Jul2021'!W87/100)*'Tariffs Jul2021'!AJ87,('Tariffs Jul2021'!L87-'Tariffs Jul2021'!K87)*('Tariffs Jul2021'!W87/100)*'Tariffs Jul2021'!AJ87))</f>
        <v>0</v>
      </c>
      <c r="M93" s="69">
        <f>IF($C$5*'Tariffs Jul2021'!AL87/'Tariffs Jul2021'!AJ87&lt;'Tariffs Jul2021'!L87,0,IF($C$5*'Tariffs Jul2021'!AL87/'Tariffs Jul2021'!AJ87&lt;='Tariffs Jul2021'!M87,($C$5*'Tariffs Jul2021'!AL87/'Tariffs Jul2021'!AJ87-'Tariffs Jul2021'!L87)*('Tariffs Jul2021'!X87/100)*'Tariffs Jul2021'!AJ87,('Tariffs Jul2021'!M87-'Tariffs Jul2021'!L87)*('Tariffs Jul2021'!X87/100)*'Tariffs Jul2021'!AJ87))</f>
        <v>0</v>
      </c>
      <c r="N93" s="69">
        <f>IF(($C$5*'Tariffs Jul2021'!AL87/'Tariffs Jul2021'!AJ87&gt;'Tariffs Jul2021'!M87),($C$5*'Tariffs Jul2021'!AL87/'Tariffs Jul2021'!AJ87-'Tariffs Jul2021'!M87)*'Tariffs Jul2021'!Y87/100*'Tariffs Jul2021'!AJ87,0)</f>
        <v>0</v>
      </c>
      <c r="O93" s="59">
        <f t="shared" si="72"/>
        <v>499.94999999999993</v>
      </c>
      <c r="P93" s="503">
        <f t="shared" si="56"/>
        <v>549.94499999999994</v>
      </c>
      <c r="Q93" s="59">
        <f t="shared" si="73"/>
        <v>857.28499999999985</v>
      </c>
      <c r="R93" s="272">
        <f t="shared" si="74"/>
        <v>943.01349999999991</v>
      </c>
      <c r="S93" s="40">
        <f>'Tariffs Jul2021'!AN87</f>
        <v>0</v>
      </c>
      <c r="T93" s="40">
        <f>'Tariffs Jul2021'!AO87</f>
        <v>0</v>
      </c>
      <c r="U93" s="40">
        <f>'Tariffs Jul2021'!AP87</f>
        <v>0</v>
      </c>
      <c r="V93" s="40">
        <f>'Tariffs Jul2021'!AQ87</f>
        <v>0</v>
      </c>
      <c r="W93" s="537" t="str">
        <f t="shared" si="60"/>
        <v>No discount</v>
      </c>
      <c r="X93" s="538" t="str">
        <f t="shared" si="61"/>
        <v>Exclusive</v>
      </c>
      <c r="Y93" s="534">
        <f t="shared" si="70"/>
        <v>857.28499999999985</v>
      </c>
      <c r="Z93" s="535">
        <f t="shared" si="71"/>
        <v>857.28499999999985</v>
      </c>
      <c r="AA93" s="542">
        <f t="shared" si="75"/>
        <v>943.01349999999991</v>
      </c>
      <c r="AB93" s="542">
        <f t="shared" si="75"/>
        <v>943.01349999999991</v>
      </c>
      <c r="AC93" s="274">
        <f>'Tariffs Jul2021'!AZ87</f>
        <v>0</v>
      </c>
      <c r="AD93" s="274" t="str">
        <f>'Tariffs Jul2021'!BA87</f>
        <v>n</v>
      </c>
      <c r="AE93" s="275" t="str">
        <f>'Tariffs Jul2021'!BJ87</f>
        <v>N</v>
      </c>
      <c r="AF93" s="574"/>
      <c r="AG93" s="574"/>
      <c r="AH93" s="574"/>
      <c r="AI93" s="574"/>
      <c r="AJ93" s="574"/>
      <c r="AK93" s="574"/>
      <c r="AL93" s="574"/>
      <c r="AM93" s="574"/>
      <c r="AN93" s="574"/>
      <c r="AO93" s="574"/>
      <c r="AP93" s="574"/>
      <c r="AQ93" s="574"/>
      <c r="AR93" s="574"/>
      <c r="AS93" s="574"/>
      <c r="AT93" s="574"/>
      <c r="AU93" s="574"/>
      <c r="AV93" s="574"/>
      <c r="AW93" s="574"/>
      <c r="AX93" s="574"/>
    </row>
    <row r="94" spans="1:50" ht="14" x14ac:dyDescent="0.15">
      <c r="A94" s="270" t="str">
        <f>'Tariffs Jul2021'!F88</f>
        <v>Origin Energy</v>
      </c>
      <c r="B94" s="40" t="str">
        <f>'Tariffs Jul2021'!D88</f>
        <v>AusNet Services West</v>
      </c>
      <c r="C94" s="40" t="str">
        <f>'Tariffs Jul2021'!G88</f>
        <v>Go</v>
      </c>
      <c r="D94" s="59">
        <f>365*'Tariffs Jul2021'!H88/100</f>
        <v>263.13181818181812</v>
      </c>
      <c r="E94" s="59">
        <f>((C$5*'Tariffs Jul2021'!AK88/'Tariffs Jul2021'!AI88)*('Tariffs Jul2021'!O88/100))*'Tariffs Jul2021'!AI88</f>
        <v>265.90909090909082</v>
      </c>
      <c r="F94" s="59">
        <v>0</v>
      </c>
      <c r="G94" s="59">
        <v>0</v>
      </c>
      <c r="H94" s="59">
        <v>0</v>
      </c>
      <c r="I94" s="69">
        <v>0</v>
      </c>
      <c r="J94" s="69">
        <f>((C$5*'Tariffs Jul2021'!AL88/'Tariffs Jul2021'!AJ88)*('Tariffs Jul2021'!U88/100))*'Tariffs Jul2021'!AJ88</f>
        <v>265.90909090909082</v>
      </c>
      <c r="K94" s="69">
        <v>0</v>
      </c>
      <c r="L94" s="69">
        <v>0</v>
      </c>
      <c r="M94" s="69">
        <v>0</v>
      </c>
      <c r="N94" s="69">
        <v>0</v>
      </c>
      <c r="O94" s="59">
        <f t="shared" ref="O94" si="76">SUM(E94:N94)</f>
        <v>531.81818181818164</v>
      </c>
      <c r="P94" s="503">
        <f t="shared" si="56"/>
        <v>584.99999999999989</v>
      </c>
      <c r="Q94" s="59">
        <f t="shared" si="73"/>
        <v>794.94999999999982</v>
      </c>
      <c r="R94" s="272">
        <f t="shared" si="74"/>
        <v>874.44499999999982</v>
      </c>
      <c r="S94" s="40">
        <f>'Tariffs Jul2021'!AN88</f>
        <v>0</v>
      </c>
      <c r="T94" s="40">
        <f>'Tariffs Jul2021'!AO88</f>
        <v>0</v>
      </c>
      <c r="U94" s="40">
        <f>'Tariffs Jul2021'!AP88</f>
        <v>0</v>
      </c>
      <c r="V94" s="40">
        <f>'Tariffs Jul2021'!AQ88</f>
        <v>0</v>
      </c>
      <c r="W94" s="537" t="str">
        <f t="shared" si="60"/>
        <v>No discount</v>
      </c>
      <c r="X94" s="538" t="str">
        <f t="shared" si="61"/>
        <v>Inclusive</v>
      </c>
      <c r="Y94" s="534">
        <f t="shared" si="70"/>
        <v>794.94999999999982</v>
      </c>
      <c r="Z94" s="535">
        <f t="shared" si="71"/>
        <v>794.94999999999982</v>
      </c>
      <c r="AA94" s="542">
        <f t="shared" si="75"/>
        <v>874.44499999999982</v>
      </c>
      <c r="AB94" s="542">
        <f t="shared" si="75"/>
        <v>874.44499999999982</v>
      </c>
      <c r="AC94" s="274">
        <f>'Tariffs Jul2021'!AZ88</f>
        <v>0</v>
      </c>
      <c r="AD94" s="274" t="str">
        <f>'Tariffs Jul2021'!BA88</f>
        <v>n</v>
      </c>
      <c r="AE94" s="275" t="str">
        <f>'Tariffs Jul2021'!BJ88</f>
        <v>N</v>
      </c>
      <c r="AF94" s="574"/>
      <c r="AG94" s="574"/>
      <c r="AH94" s="574"/>
      <c r="AI94" s="574"/>
      <c r="AJ94" s="574"/>
      <c r="AK94" s="574"/>
      <c r="AL94" s="574"/>
      <c r="AM94" s="574"/>
      <c r="AN94" s="574"/>
      <c r="AO94" s="574"/>
      <c r="AP94" s="574"/>
      <c r="AQ94" s="574"/>
      <c r="AR94" s="574"/>
      <c r="AS94" s="574"/>
      <c r="AT94" s="574"/>
      <c r="AU94" s="574"/>
      <c r="AV94" s="574"/>
      <c r="AW94" s="574"/>
      <c r="AX94" s="574"/>
    </row>
    <row r="95" spans="1:50" ht="14" x14ac:dyDescent="0.15">
      <c r="A95" s="270" t="str">
        <f>'Tariffs Jul2021'!F89</f>
        <v>Red Energy</v>
      </c>
      <c r="B95" s="40" t="str">
        <f>'Tariffs Jul2021'!D89</f>
        <v>AusNet Services West</v>
      </c>
      <c r="C95" s="40" t="str">
        <f>'Tariffs Jul2021'!G89</f>
        <v>Living Energy Saver</v>
      </c>
      <c r="D95" s="59">
        <f>365*'Tariffs Jul2021'!H89/100</f>
        <v>271.02909090909088</v>
      </c>
      <c r="E95" s="59">
        <f>IF($C$5*'Tariffs Jul2021'!AK89/'Tariffs Jul2021'!AI89&gt;='Tariffs Jul2021'!J89,( 'Tariffs Jul2021'!J89*'Tariffs Jul2021'!O89/100)* 'Tariffs Jul2021'!AI89,($C$5*'Tariffs Jul2021'!AK89/'Tariffs Jul2021'!AI89*'Tariffs Jul2021'!O89/100)* 'Tariffs Jul2021'!AI89)</f>
        <v>193.61699999999996</v>
      </c>
      <c r="F95" s="59">
        <f>IF($C$5*'Tariffs Jul2021'!AK89/'Tariffs Jul2021'!AI89&lt;'Tariffs Jul2021'!J89,0,IF($C$5*'Tariffs Jul2021'!AK89/'Tariffs Jul2021'!AI89&lt;='Tariffs Jul2021'!K89,($C$5*'Tariffs Jul2021'!AK89/'Tariffs Jul2021'!AI89-'Tariffs Jul2021'!J89)*('Tariffs Jul2021'!P89/100)*'Tariffs Jul2021'!AI89,('Tariffs Jul2021'!K89-'Tariffs Jul2021'!J89)*('Tariffs Jul2021'!P89/100)*'Tariffs Jul2021'!AI89))</f>
        <v>0</v>
      </c>
      <c r="G95" s="59">
        <f>IF($C$5*'Tariffs Jul2021'!AK89/'Tariffs Jul2021'!AI89&lt;'Tariffs Jul2021'!K89,0,IF($C$5*'Tariffs Jul2021'!AK89/'Tariffs Jul2021'!AI89&lt;='Tariffs Jul2021'!L89,($C$5*'Tariffs Jul2021'!AK89/'Tariffs Jul2021'!AI89-'Tariffs Jul2021'!K89)*('Tariffs Jul2021'!Q89/100)*'Tariffs Jul2021'!AI89,('Tariffs Jul2021'!L89-'Tariffs Jul2021'!K89)*('Tariffs Jul2021'!Q89/100)*'Tariffs Jul2021'!AI89))</f>
        <v>0</v>
      </c>
      <c r="H95" s="59">
        <f>IF($C$5*'Tariffs Jul2021'!AK89/'Tariffs Jul2021'!AI89&lt;'Tariffs Jul2021'!L89,0,IF($C$5*'Tariffs Jul2021'!AK89/'Tariffs Jul2021'!AI89&lt;='Tariffs Jul2021'!M89,($C$5*'Tariffs Jul2021'!AK89/'Tariffs Jul2021'!AI89-'Tariffs Jul2021'!L89)*('Tariffs Jul2021'!R89/100)*'Tariffs Jul2021'!AI89,('Tariffs Jul2021'!M89-'Tariffs Jul2021'!L89)*('Tariffs Jul2021'!R89/100)*'Tariffs Jul2021'!AI89))</f>
        <v>0</v>
      </c>
      <c r="I95" s="69">
        <f>IF(($C$5*'Tariffs Jul2021'!AK89/'Tariffs Jul2021'!AI89&gt;'Tariffs Jul2021'!M89),($C$5*'Tariffs Jul2021'!AK89/'Tariffs Jul2021'!AI89-'Tariffs Jul2021'!M89)*'Tariffs Jul2021'!S89/100*'Tariffs Jul2021'!AI89,0)</f>
        <v>0</v>
      </c>
      <c r="J95" s="69">
        <f>IF($C$5*'Tariffs Jul2021'!AL89/'Tariffs Jul2021'!AJ89&gt;='Tariffs Jul2021'!J89,('Tariffs Jul2021'!J89*'Tariffs Jul2021'!U89/100)* 'Tariffs Jul2021'!AJ89,($C$5*'Tariffs Jul2021'!AL89/'Tariffs Jul2021'!AJ89*'Tariffs Jul2021'!U89/100)* 'Tariffs Jul2021'!AJ89)</f>
        <v>359.96399999999994</v>
      </c>
      <c r="K95" s="69">
        <f>IF($C$5*'Tariffs Jul2021'!AL89/'Tariffs Jul2021'!AJ89&lt;'Tariffs Jul2021'!J89,0,IF($C$5*'Tariffs Jul2021'!AL89/'Tariffs Jul2021'!AJ89&lt;='Tariffs Jul2021'!K89,($C$5*'Tariffs Jul2021'!AL89/'Tariffs Jul2021'!AJ89-'Tariffs Jul2021'!J89)*('Tariffs Jul2021'!V89/100)*'Tariffs Jul2021'!AJ89,('Tariffs Jul2021'!K89-'Tariffs Jul2021'!J89)*('Tariffs Jul2021'!V89/100)*'Tariffs Jul2021'!AJ89))</f>
        <v>0</v>
      </c>
      <c r="L95" s="69">
        <f>IF($C$5*'Tariffs Jul2021'!AL89/'Tariffs Jul2021'!AJ89&lt;'Tariffs Jul2021'!K89,0,IF($C$5*'Tariffs Jul2021'!AL89/'Tariffs Jul2021'!AJ89&lt;='Tariffs Jul2021'!L89,($C$5*'Tariffs Jul2021'!AL89/'Tariffs Jul2021'!AJ89-'Tariffs Jul2021'!K89)*('Tariffs Jul2021'!W89/100)*'Tariffs Jul2021'!AJ89,('Tariffs Jul2021'!L89-'Tariffs Jul2021'!K89)*('Tariffs Jul2021'!W89/100)*'Tariffs Jul2021'!AJ89))</f>
        <v>0</v>
      </c>
      <c r="M95" s="69">
        <f>IF($C$5*'Tariffs Jul2021'!AL89/'Tariffs Jul2021'!AJ89&lt;'Tariffs Jul2021'!L89,0,IF($C$5*'Tariffs Jul2021'!AL89/'Tariffs Jul2021'!AJ89&lt;='Tariffs Jul2021'!M89,($C$5*'Tariffs Jul2021'!AL89/'Tariffs Jul2021'!AJ89-'Tariffs Jul2021'!L89)*('Tariffs Jul2021'!X89/100)*'Tariffs Jul2021'!AJ89,('Tariffs Jul2021'!M89-'Tariffs Jul2021'!L89)*('Tariffs Jul2021'!X89/100)*'Tariffs Jul2021'!AJ89))</f>
        <v>0</v>
      </c>
      <c r="N95" s="69">
        <f>IF(($C$5*'Tariffs Jul2021'!AL89/'Tariffs Jul2021'!AJ89&gt;'Tariffs Jul2021'!M89),($C$5*'Tariffs Jul2021'!AL89/'Tariffs Jul2021'!AJ89-'Tariffs Jul2021'!M89)*'Tariffs Jul2021'!Y89/100*'Tariffs Jul2021'!AJ89,0)</f>
        <v>0</v>
      </c>
      <c r="O95" s="59">
        <f t="shared" si="72"/>
        <v>553.5809999999999</v>
      </c>
      <c r="P95" s="503">
        <f t="shared" si="56"/>
        <v>608.93909999999994</v>
      </c>
      <c r="Q95" s="59">
        <f t="shared" si="73"/>
        <v>824.61009090909079</v>
      </c>
      <c r="R95" s="272">
        <f t="shared" si="74"/>
        <v>907.07109999999989</v>
      </c>
      <c r="S95" s="40">
        <f>'Tariffs Jul2021'!AN89</f>
        <v>0</v>
      </c>
      <c r="T95" s="40">
        <f>'Tariffs Jul2021'!AO89</f>
        <v>0</v>
      </c>
      <c r="U95" s="40">
        <f>'Tariffs Jul2021'!AP89</f>
        <v>0</v>
      </c>
      <c r="V95" s="40">
        <f>'Tariffs Jul2021'!AQ89</f>
        <v>0</v>
      </c>
      <c r="W95" s="537" t="str">
        <f t="shared" si="60"/>
        <v>No discount</v>
      </c>
      <c r="X95" s="538" t="str">
        <f t="shared" si="61"/>
        <v>Inclusive</v>
      </c>
      <c r="Y95" s="534">
        <f t="shared" si="70"/>
        <v>824.61009090909079</v>
      </c>
      <c r="Z95" s="535">
        <f t="shared" si="71"/>
        <v>824.61009090909079</v>
      </c>
      <c r="AA95" s="542">
        <f t="shared" si="75"/>
        <v>907.07109999999989</v>
      </c>
      <c r="AB95" s="542">
        <f t="shared" si="75"/>
        <v>907.07109999999989</v>
      </c>
      <c r="AC95" s="274">
        <f>'Tariffs Jul2021'!AZ89</f>
        <v>0</v>
      </c>
      <c r="AD95" s="274" t="str">
        <f>'Tariffs Jul2021'!BA89</f>
        <v>n</v>
      </c>
      <c r="AE95" s="275" t="str">
        <f>'Tariffs Jul2021'!BJ89</f>
        <v>N</v>
      </c>
      <c r="AF95" s="574"/>
      <c r="AG95" s="574"/>
      <c r="AH95" s="574"/>
      <c r="AI95" s="574"/>
      <c r="AJ95" s="574"/>
      <c r="AK95" s="574"/>
      <c r="AL95" s="574"/>
      <c r="AM95" s="574"/>
      <c r="AN95" s="574"/>
      <c r="AO95" s="574"/>
      <c r="AP95" s="574"/>
      <c r="AQ95" s="574"/>
      <c r="AR95" s="574"/>
      <c r="AS95" s="574"/>
      <c r="AT95" s="574"/>
      <c r="AU95" s="574"/>
      <c r="AV95" s="574"/>
      <c r="AW95" s="574"/>
      <c r="AX95" s="574"/>
    </row>
    <row r="96" spans="1:50" ht="14" x14ac:dyDescent="0.15">
      <c r="A96" s="270" t="str">
        <f>'Tariffs Jul2021'!F90</f>
        <v>Simply Energy</v>
      </c>
      <c r="B96" s="40" t="str">
        <f>'Tariffs Jul2021'!D90</f>
        <v>AusNet Services West</v>
      </c>
      <c r="C96" s="40" t="str">
        <f>'Tariffs Jul2021'!G90</f>
        <v>Saver</v>
      </c>
      <c r="D96" s="59">
        <f>365*'Tariffs Jul2021'!H90/100</f>
        <v>338.05636363636359</v>
      </c>
      <c r="E96" s="59">
        <f>IF($C$5*'Tariffs Jul2021'!AK90/'Tariffs Jul2021'!AI90&gt;='Tariffs Jul2021'!J90,( 'Tariffs Jul2021'!J90*'Tariffs Jul2021'!O90/100)* 'Tariffs Jul2021'!AI90,($C$5*'Tariffs Jul2021'!AK90/'Tariffs Jul2021'!AI90*'Tariffs Jul2021'!O90/100)* 'Tariffs Jul2021'!AI90)</f>
        <v>240.88499999999996</v>
      </c>
      <c r="F96" s="59">
        <f>IF($C$5*'Tariffs Jul2021'!AK90/'Tariffs Jul2021'!AI90&lt;'Tariffs Jul2021'!J90,0,IF($C$5*'Tariffs Jul2021'!AK90/'Tariffs Jul2021'!AI90&lt;='Tariffs Jul2021'!K90,($C$5*'Tariffs Jul2021'!AK90/'Tariffs Jul2021'!AI90-'Tariffs Jul2021'!J90)*('Tariffs Jul2021'!P90/100)*'Tariffs Jul2021'!AI90,('Tariffs Jul2021'!K90-'Tariffs Jul2021'!J90)*('Tariffs Jul2021'!P90/100)*'Tariffs Jul2021'!AI90))</f>
        <v>0</v>
      </c>
      <c r="G96" s="59">
        <f>IF($C$5*'Tariffs Jul2021'!AK90/'Tariffs Jul2021'!AI90&lt;'Tariffs Jul2021'!K90,0,IF($C$5*'Tariffs Jul2021'!AK90/'Tariffs Jul2021'!AI90&lt;='Tariffs Jul2021'!L90,($C$5*'Tariffs Jul2021'!AK90/'Tariffs Jul2021'!AI90-'Tariffs Jul2021'!K90)*('Tariffs Jul2021'!Q90/100)*'Tariffs Jul2021'!AI90,('Tariffs Jul2021'!L90-'Tariffs Jul2021'!K90)*('Tariffs Jul2021'!Q90/100)*'Tariffs Jul2021'!AI90))</f>
        <v>0</v>
      </c>
      <c r="H96" s="59">
        <f>IF($C$5*'Tariffs Jul2021'!AK90/'Tariffs Jul2021'!AI90&lt;'Tariffs Jul2021'!L90,0,IF($C$5*'Tariffs Jul2021'!AK90/'Tariffs Jul2021'!AI90&lt;='Tariffs Jul2021'!M90,($C$5*'Tariffs Jul2021'!AK90/'Tariffs Jul2021'!AI90-'Tariffs Jul2021'!L90)*('Tariffs Jul2021'!R90/100)*'Tariffs Jul2021'!AI90,('Tariffs Jul2021'!M90-'Tariffs Jul2021'!L90)*('Tariffs Jul2021'!R90/100)*'Tariffs Jul2021'!AI90))</f>
        <v>0</v>
      </c>
      <c r="I96" s="69">
        <f>IF(($C$5*'Tariffs Jul2021'!AK90/'Tariffs Jul2021'!AI90&gt;'Tariffs Jul2021'!M90),($C$5*'Tariffs Jul2021'!AK90/'Tariffs Jul2021'!AI90-'Tariffs Jul2021'!M90)*'Tariffs Jul2021'!S90/100*'Tariffs Jul2021'!AI90,0)</f>
        <v>0</v>
      </c>
      <c r="J96" s="69">
        <f>IF($C$5*'Tariffs Jul2021'!AL90/'Tariffs Jul2021'!AJ90&gt;='Tariffs Jul2021'!J90,('Tariffs Jul2021'!J90*'Tariffs Jul2021'!U90/100)* 'Tariffs Jul2021'!AJ90,($C$5*'Tariffs Jul2021'!AL90/'Tariffs Jul2021'!AJ90*'Tariffs Jul2021'!U90/100)* 'Tariffs Jul2021'!AJ90)</f>
        <v>363.6</v>
      </c>
      <c r="K96" s="69">
        <f>IF($C$5*'Tariffs Jul2021'!AL90/'Tariffs Jul2021'!AJ90&lt;'Tariffs Jul2021'!J90,0,IF($C$5*'Tariffs Jul2021'!AL90/'Tariffs Jul2021'!AJ90&lt;='Tariffs Jul2021'!K90,($C$5*'Tariffs Jul2021'!AL90/'Tariffs Jul2021'!AJ90-'Tariffs Jul2021'!J90)*('Tariffs Jul2021'!V90/100)*'Tariffs Jul2021'!AJ90,('Tariffs Jul2021'!K90-'Tariffs Jul2021'!J90)*('Tariffs Jul2021'!V90/100)*'Tariffs Jul2021'!AJ90))</f>
        <v>0</v>
      </c>
      <c r="L96" s="69">
        <f>IF($C$5*'Tariffs Jul2021'!AL90/'Tariffs Jul2021'!AJ90&lt;'Tariffs Jul2021'!K90,0,IF($C$5*'Tariffs Jul2021'!AL90/'Tariffs Jul2021'!AJ90&lt;='Tariffs Jul2021'!L90,($C$5*'Tariffs Jul2021'!AL90/'Tariffs Jul2021'!AJ90-'Tariffs Jul2021'!K90)*('Tariffs Jul2021'!W90/100)*'Tariffs Jul2021'!AJ90,('Tariffs Jul2021'!L90-'Tariffs Jul2021'!K90)*('Tariffs Jul2021'!W90/100)*'Tariffs Jul2021'!AJ90))</f>
        <v>0</v>
      </c>
      <c r="M96" s="69">
        <f>IF($C$5*'Tariffs Jul2021'!AL90/'Tariffs Jul2021'!AJ90&lt;'Tariffs Jul2021'!L90,0,IF($C$5*'Tariffs Jul2021'!AL90/'Tariffs Jul2021'!AJ90&lt;='Tariffs Jul2021'!M90,($C$5*'Tariffs Jul2021'!AL90/'Tariffs Jul2021'!AJ90-'Tariffs Jul2021'!L90)*('Tariffs Jul2021'!X90/100)*'Tariffs Jul2021'!AJ90,('Tariffs Jul2021'!M90-'Tariffs Jul2021'!L90)*('Tariffs Jul2021'!X90/100)*'Tariffs Jul2021'!AJ90))</f>
        <v>0</v>
      </c>
      <c r="N96" s="69">
        <f>IF(($C$5*'Tariffs Jul2021'!AL90/'Tariffs Jul2021'!AJ90&gt;'Tariffs Jul2021'!M90),($C$5*'Tariffs Jul2021'!AL90/'Tariffs Jul2021'!AJ90-'Tariffs Jul2021'!M90)*'Tariffs Jul2021'!Y90/100*'Tariffs Jul2021'!AJ90,0)</f>
        <v>0</v>
      </c>
      <c r="O96" s="59">
        <f t="shared" si="72"/>
        <v>604.48500000000001</v>
      </c>
      <c r="P96" s="503">
        <f t="shared" si="56"/>
        <v>664.93350000000009</v>
      </c>
      <c r="Q96" s="59">
        <f t="shared" si="73"/>
        <v>942.5413636363636</v>
      </c>
      <c r="R96" s="272">
        <f t="shared" si="74"/>
        <v>1036.7954999999999</v>
      </c>
      <c r="S96" s="40">
        <f>'Tariffs Jul2021'!AN90</f>
        <v>16</v>
      </c>
      <c r="T96" s="40">
        <f>'Tariffs Jul2021'!AO90</f>
        <v>0</v>
      </c>
      <c r="U96" s="40">
        <f>'Tariffs Jul2021'!AP90</f>
        <v>0</v>
      </c>
      <c r="V96" s="40">
        <f>'Tariffs Jul2021'!AQ90</f>
        <v>0</v>
      </c>
      <c r="W96" s="537" t="str">
        <f t="shared" si="60"/>
        <v>Guaranteed off bill</v>
      </c>
      <c r="X96" s="538" t="str">
        <f t="shared" si="61"/>
        <v>Exclusive</v>
      </c>
      <c r="Y96" s="534">
        <f t="shared" si="70"/>
        <v>791.73474545454542</v>
      </c>
      <c r="Z96" s="535">
        <f t="shared" si="71"/>
        <v>791.73474545454542</v>
      </c>
      <c r="AA96" s="542">
        <f t="shared" si="75"/>
        <v>870.90822000000003</v>
      </c>
      <c r="AB96" s="542">
        <f t="shared" si="75"/>
        <v>870.90822000000003</v>
      </c>
      <c r="AC96" s="274">
        <f>'Tariffs Jul2021'!AZ90</f>
        <v>0</v>
      </c>
      <c r="AD96" s="274" t="str">
        <f>'Tariffs Jul2021'!BA90</f>
        <v>n</v>
      </c>
      <c r="AE96" s="275" t="str">
        <f>'Tariffs Jul2021'!BJ90</f>
        <v>N</v>
      </c>
      <c r="AF96" s="574"/>
      <c r="AG96" s="574"/>
      <c r="AH96" s="574"/>
      <c r="AI96" s="574"/>
      <c r="AJ96" s="574"/>
      <c r="AK96" s="574"/>
      <c r="AL96" s="574"/>
      <c r="AM96" s="574"/>
      <c r="AN96" s="574"/>
      <c r="AO96" s="574"/>
      <c r="AP96" s="574"/>
      <c r="AQ96" s="574"/>
      <c r="AR96" s="574"/>
      <c r="AS96" s="574"/>
      <c r="AT96" s="574"/>
      <c r="AU96" s="574"/>
      <c r="AV96" s="574"/>
      <c r="AW96" s="574"/>
      <c r="AX96" s="574"/>
    </row>
    <row r="97" spans="1:50" ht="14" x14ac:dyDescent="0.15">
      <c r="A97" s="270" t="str">
        <f>'Tariffs Jul2021'!F91</f>
        <v>Sumo Power</v>
      </c>
      <c r="B97" s="40" t="str">
        <f>'Tariffs Jul2021'!D91</f>
        <v>AusNet Services West</v>
      </c>
      <c r="C97" s="40" t="str">
        <f>'Tariffs Jul2021'!G91</f>
        <v>Assure</v>
      </c>
      <c r="D97" s="59">
        <f>365*'Tariffs Jul2021'!H91/100</f>
        <v>262.8</v>
      </c>
      <c r="E97" s="59">
        <f>IF($C$5*'Tariffs Jul2021'!AK91/'Tariffs Jul2021'!AI91&gt;='Tariffs Jul2021'!J91,( 'Tariffs Jul2021'!J91*'Tariffs Jul2021'!O91/100)* 'Tariffs Jul2021'!AI91,($C$5*'Tariffs Jul2021'!AK91/'Tariffs Jul2021'!AI91*'Tariffs Jul2021'!O91/100)* 'Tariffs Jul2021'!AI91)</f>
        <v>161.80200000000002</v>
      </c>
      <c r="F97" s="59">
        <f>IF($C$5*'Tariffs Jul2021'!AK91/'Tariffs Jul2021'!AI91&lt;'Tariffs Jul2021'!J91,0,IF($C$5*'Tariffs Jul2021'!AK91/'Tariffs Jul2021'!AI91&lt;='Tariffs Jul2021'!K91,($C$5*'Tariffs Jul2021'!AK91/'Tariffs Jul2021'!AI91-'Tariffs Jul2021'!J91)*('Tariffs Jul2021'!P91/100)*'Tariffs Jul2021'!AI91,('Tariffs Jul2021'!K91-'Tariffs Jul2021'!J91)*('Tariffs Jul2021'!P91/100)*'Tariffs Jul2021'!AI91))</f>
        <v>0</v>
      </c>
      <c r="G97" s="59">
        <f>IF($C$5*'Tariffs Jul2021'!AK91/'Tariffs Jul2021'!AI91&lt;'Tariffs Jul2021'!K91,0,IF($C$5*'Tariffs Jul2021'!AK91/'Tariffs Jul2021'!AI91&lt;='Tariffs Jul2021'!L91,($C$5*'Tariffs Jul2021'!AK91/'Tariffs Jul2021'!AI91-'Tariffs Jul2021'!K91)*('Tariffs Jul2021'!Q91/100)*'Tariffs Jul2021'!AI91,('Tariffs Jul2021'!L91-'Tariffs Jul2021'!K91)*('Tariffs Jul2021'!Q91/100)*'Tariffs Jul2021'!AI91))</f>
        <v>0</v>
      </c>
      <c r="H97" s="59">
        <f>IF($C$5*'Tariffs Jul2021'!AK91/'Tariffs Jul2021'!AI91&lt;'Tariffs Jul2021'!L91,0,IF($C$5*'Tariffs Jul2021'!AK91/'Tariffs Jul2021'!AI91&lt;='Tariffs Jul2021'!M91,($C$5*'Tariffs Jul2021'!AK91/'Tariffs Jul2021'!AI91-'Tariffs Jul2021'!L91)*('Tariffs Jul2021'!R91/100)*'Tariffs Jul2021'!AI91,('Tariffs Jul2021'!M91-'Tariffs Jul2021'!L91)*('Tariffs Jul2021'!R91/100)*'Tariffs Jul2021'!AI91))</f>
        <v>0</v>
      </c>
      <c r="I97" s="69">
        <f>IF(($C$5*'Tariffs Jul2021'!AK91/'Tariffs Jul2021'!AI91&gt;'Tariffs Jul2021'!M91),($C$5*'Tariffs Jul2021'!AK91/'Tariffs Jul2021'!AI91-'Tariffs Jul2021'!M91)*'Tariffs Jul2021'!S91/100*'Tariffs Jul2021'!AI91,0)</f>
        <v>0</v>
      </c>
      <c r="J97" s="69">
        <f>IF($C$5*'Tariffs Jul2021'!AL91/'Tariffs Jul2021'!AJ91&gt;='Tariffs Jul2021'!J91,('Tariffs Jul2021'!J91*'Tariffs Jul2021'!U91/100)* 'Tariffs Jul2021'!AJ91,($C$5*'Tariffs Jul2021'!AL91/'Tariffs Jul2021'!AJ91*'Tariffs Jul2021'!U91/100)* 'Tariffs Jul2021'!AJ91)</f>
        <v>279.97199999999998</v>
      </c>
      <c r="K97" s="69">
        <f>IF($C$5*'Tariffs Jul2021'!AL91/'Tariffs Jul2021'!AJ91&lt;'Tariffs Jul2021'!J91,0,IF($C$5*'Tariffs Jul2021'!AL91/'Tariffs Jul2021'!AJ91&lt;='Tariffs Jul2021'!K91,($C$5*'Tariffs Jul2021'!AL91/'Tariffs Jul2021'!AJ91-'Tariffs Jul2021'!J91)*('Tariffs Jul2021'!V91/100)*'Tariffs Jul2021'!AJ91,('Tariffs Jul2021'!K91-'Tariffs Jul2021'!J91)*('Tariffs Jul2021'!V91/100)*'Tariffs Jul2021'!AJ91))</f>
        <v>0</v>
      </c>
      <c r="L97" s="69">
        <f>IF($C$5*'Tariffs Jul2021'!AL91/'Tariffs Jul2021'!AJ91&lt;'Tariffs Jul2021'!K91,0,IF($C$5*'Tariffs Jul2021'!AL91/'Tariffs Jul2021'!AJ91&lt;='Tariffs Jul2021'!L91,($C$5*'Tariffs Jul2021'!AL91/'Tariffs Jul2021'!AJ91-'Tariffs Jul2021'!K91)*('Tariffs Jul2021'!W91/100)*'Tariffs Jul2021'!AJ91,('Tariffs Jul2021'!L91-'Tariffs Jul2021'!K91)*('Tariffs Jul2021'!W91/100)*'Tariffs Jul2021'!AJ91))</f>
        <v>0</v>
      </c>
      <c r="M97" s="69">
        <f>IF($C$5*'Tariffs Jul2021'!AL91/'Tariffs Jul2021'!AJ91&lt;'Tariffs Jul2021'!L91,0,IF($C$5*'Tariffs Jul2021'!AL91/'Tariffs Jul2021'!AJ91&lt;='Tariffs Jul2021'!M91,($C$5*'Tariffs Jul2021'!AL91/'Tariffs Jul2021'!AJ91-'Tariffs Jul2021'!L91)*('Tariffs Jul2021'!X91/100)*'Tariffs Jul2021'!AJ91,('Tariffs Jul2021'!M91-'Tariffs Jul2021'!L91)*('Tariffs Jul2021'!X91/100)*'Tariffs Jul2021'!AJ91))</f>
        <v>0</v>
      </c>
      <c r="N97" s="69">
        <f>IF(($C$5*'Tariffs Jul2021'!AL91/'Tariffs Jul2021'!AJ91&gt;'Tariffs Jul2021'!M91),($C$5*'Tariffs Jul2021'!AL91/'Tariffs Jul2021'!AJ91-'Tariffs Jul2021'!M91)*'Tariffs Jul2021'!Y91/100*'Tariffs Jul2021'!AJ91,0)</f>
        <v>0</v>
      </c>
      <c r="O97" s="59">
        <f t="shared" si="72"/>
        <v>441.774</v>
      </c>
      <c r="P97" s="503">
        <f t="shared" si="56"/>
        <v>485.95140000000004</v>
      </c>
      <c r="Q97" s="59">
        <f t="shared" si="73"/>
        <v>704.57400000000007</v>
      </c>
      <c r="R97" s="272">
        <f t="shared" si="74"/>
        <v>775.03140000000019</v>
      </c>
      <c r="S97" s="40">
        <f>'Tariffs Jul2021'!AN91</f>
        <v>0</v>
      </c>
      <c r="T97" s="40">
        <f>'Tariffs Jul2021'!AO91</f>
        <v>0</v>
      </c>
      <c r="U97" s="40">
        <f>'Tariffs Jul2021'!AP91</f>
        <v>0</v>
      </c>
      <c r="V97" s="40">
        <f>'Tariffs Jul2021'!AQ91</f>
        <v>0</v>
      </c>
      <c r="W97" s="537" t="str">
        <f t="shared" si="60"/>
        <v>No discount</v>
      </c>
      <c r="X97" s="538" t="str">
        <f t="shared" si="61"/>
        <v>Exclusive</v>
      </c>
      <c r="Y97" s="534">
        <f t="shared" si="70"/>
        <v>704.57400000000007</v>
      </c>
      <c r="Z97" s="535">
        <f t="shared" si="71"/>
        <v>704.57400000000007</v>
      </c>
      <c r="AA97" s="542">
        <f t="shared" si="75"/>
        <v>775.03140000000019</v>
      </c>
      <c r="AB97" s="542">
        <f t="shared" si="75"/>
        <v>775.03140000000019</v>
      </c>
      <c r="AC97" s="274">
        <f>'Tariffs Jul2021'!AZ91</f>
        <v>0</v>
      </c>
      <c r="AD97" s="274" t="str">
        <f>'Tariffs Jul2021'!BA91</f>
        <v>n</v>
      </c>
      <c r="AE97" s="275" t="str">
        <f>'Tariffs Jul2021'!BJ91</f>
        <v>Y</v>
      </c>
      <c r="AF97" s="574"/>
      <c r="AG97" s="574"/>
      <c r="AH97" s="574"/>
      <c r="AI97" s="574"/>
      <c r="AJ97" s="574"/>
      <c r="AK97" s="574"/>
      <c r="AL97" s="574"/>
      <c r="AM97" s="574"/>
      <c r="AN97" s="574"/>
      <c r="AO97" s="574"/>
      <c r="AP97" s="574"/>
      <c r="AQ97" s="574"/>
      <c r="AR97" s="574"/>
      <c r="AS97" s="574"/>
      <c r="AT97" s="574"/>
      <c r="AU97" s="574"/>
      <c r="AV97" s="574"/>
      <c r="AW97" s="574"/>
      <c r="AX97" s="574"/>
    </row>
    <row r="98" spans="1:50" ht="14" x14ac:dyDescent="0.15">
      <c r="A98" s="270" t="str">
        <f>'Tariffs Jul2021'!F92</f>
        <v>GloBird Energy</v>
      </c>
      <c r="B98" s="40" t="str">
        <f>'Tariffs Jul2021'!D92</f>
        <v>AusNet Services West</v>
      </c>
      <c r="C98" s="40" t="str">
        <f>'Tariffs Jul2021'!G92</f>
        <v>GloSave</v>
      </c>
      <c r="D98" s="59">
        <f>365*'Tariffs Jul2021'!H92/100</f>
        <v>255.5</v>
      </c>
      <c r="E98" s="59">
        <f>IF($C$5*'Tariffs Jul2021'!AK92/'Tariffs Jul2021'!AI92&gt;='Tariffs Jul2021'!J92,( 'Tariffs Jul2021'!J92*'Tariffs Jul2021'!O92/100)* 'Tariffs Jul2021'!AI92,($C$5*'Tariffs Jul2021'!AK92/'Tariffs Jul2021'!AI92*'Tariffs Jul2021'!O92/100)* 'Tariffs Jul2021'!AI92)</f>
        <v>237.27272727272728</v>
      </c>
      <c r="F98" s="59">
        <f>IF($C$5*'Tariffs Jul2021'!AK92/'Tariffs Jul2021'!AI92&lt;'Tariffs Jul2021'!J92,0,IF($C$5*'Tariffs Jul2021'!AK92/'Tariffs Jul2021'!AI92&lt;='Tariffs Jul2021'!K92,($C$5*'Tariffs Jul2021'!AK92/'Tariffs Jul2021'!AI92-'Tariffs Jul2021'!J92)*('Tariffs Jul2021'!P92/100)*'Tariffs Jul2021'!AI92,('Tariffs Jul2021'!K92-'Tariffs Jul2021'!J92)*('Tariffs Jul2021'!P92/100)*'Tariffs Jul2021'!AI92))</f>
        <v>0</v>
      </c>
      <c r="G98" s="59">
        <f>IF($C$5*'Tariffs Jul2021'!AK92/'Tariffs Jul2021'!AI92&lt;'Tariffs Jul2021'!K92,0,IF($C$5*'Tariffs Jul2021'!AK92/'Tariffs Jul2021'!AI92&lt;='Tariffs Jul2021'!L92,($C$5*'Tariffs Jul2021'!AK92/'Tariffs Jul2021'!AI92-'Tariffs Jul2021'!K92)*('Tariffs Jul2021'!Q92/100)*'Tariffs Jul2021'!AI92,('Tariffs Jul2021'!L92-'Tariffs Jul2021'!K92)*('Tariffs Jul2021'!Q92/100)*'Tariffs Jul2021'!AI92))</f>
        <v>0</v>
      </c>
      <c r="H98" s="59">
        <f>IF($C$5*'Tariffs Jul2021'!AK92/'Tariffs Jul2021'!AI92&lt;'Tariffs Jul2021'!L92,0,IF($C$5*'Tariffs Jul2021'!AK92/'Tariffs Jul2021'!AI92&lt;='Tariffs Jul2021'!M92,($C$5*'Tariffs Jul2021'!AK92/'Tariffs Jul2021'!AI92-'Tariffs Jul2021'!L92)*('Tariffs Jul2021'!R92/100)*'Tariffs Jul2021'!AI92,('Tariffs Jul2021'!M92-'Tariffs Jul2021'!L92)*('Tariffs Jul2021'!R92/100)*'Tariffs Jul2021'!AI92))</f>
        <v>0</v>
      </c>
      <c r="I98" s="69">
        <f>IF(($C$5*'Tariffs Jul2021'!AK92/'Tariffs Jul2021'!AI92&gt;'Tariffs Jul2021'!M92),($C$5*'Tariffs Jul2021'!AK92/'Tariffs Jul2021'!AI92-'Tariffs Jul2021'!M92)*'Tariffs Jul2021'!S92/100*'Tariffs Jul2021'!AI92,0)</f>
        <v>0</v>
      </c>
      <c r="J98" s="69">
        <f>IF($C$5*'Tariffs Jul2021'!AL92/'Tariffs Jul2021'!AJ92&gt;='Tariffs Jul2021'!J92,('Tariffs Jul2021'!J92*'Tariffs Jul2021'!U92/100)* 'Tariffs Jul2021'!AJ92,($C$5*'Tariffs Jul2021'!AL92/'Tariffs Jul2021'!AJ92*'Tariffs Jul2021'!U92/100)* 'Tariffs Jul2021'!AJ92)</f>
        <v>237.27272727272728</v>
      </c>
      <c r="K98" s="69">
        <f>IF($C$5*'Tariffs Jul2021'!AL92/'Tariffs Jul2021'!AJ92&lt;'Tariffs Jul2021'!J92,0,IF($C$5*'Tariffs Jul2021'!AL92/'Tariffs Jul2021'!AJ92&lt;='Tariffs Jul2021'!K92,($C$5*'Tariffs Jul2021'!AL92/'Tariffs Jul2021'!AJ92-'Tariffs Jul2021'!J92)*('Tariffs Jul2021'!V92/100)*'Tariffs Jul2021'!AJ92,('Tariffs Jul2021'!K92-'Tariffs Jul2021'!J92)*('Tariffs Jul2021'!V92/100)*'Tariffs Jul2021'!AJ92))</f>
        <v>0</v>
      </c>
      <c r="L98" s="69">
        <f>IF($C$5*'Tariffs Jul2021'!AL92/'Tariffs Jul2021'!AJ92&lt;'Tariffs Jul2021'!K92,0,IF($C$5*'Tariffs Jul2021'!AL92/'Tariffs Jul2021'!AJ92&lt;='Tariffs Jul2021'!L92,($C$5*'Tariffs Jul2021'!AL92/'Tariffs Jul2021'!AJ92-'Tariffs Jul2021'!K92)*('Tariffs Jul2021'!W92/100)*'Tariffs Jul2021'!AJ92,('Tariffs Jul2021'!L92-'Tariffs Jul2021'!K92)*('Tariffs Jul2021'!W92/100)*'Tariffs Jul2021'!AJ92))</f>
        <v>0</v>
      </c>
      <c r="M98" s="69">
        <f>IF($C$5*'Tariffs Jul2021'!AL92/'Tariffs Jul2021'!AJ92&lt;'Tariffs Jul2021'!L92,0,IF($C$5*'Tariffs Jul2021'!AL92/'Tariffs Jul2021'!AJ92&lt;='Tariffs Jul2021'!M92,($C$5*'Tariffs Jul2021'!AL92/'Tariffs Jul2021'!AJ92-'Tariffs Jul2021'!L92)*('Tariffs Jul2021'!X92/100)*'Tariffs Jul2021'!AJ92,('Tariffs Jul2021'!M92-'Tariffs Jul2021'!L92)*('Tariffs Jul2021'!X92/100)*'Tariffs Jul2021'!AJ92))</f>
        <v>0</v>
      </c>
      <c r="N98" s="69">
        <f>IF(($C$5*'Tariffs Jul2021'!AL92/'Tariffs Jul2021'!AJ92&gt;'Tariffs Jul2021'!M92),($C$5*'Tariffs Jul2021'!AL92/'Tariffs Jul2021'!AJ92-'Tariffs Jul2021'!M92)*'Tariffs Jul2021'!Y92/100*'Tariffs Jul2021'!AJ92,0)</f>
        <v>0</v>
      </c>
      <c r="O98" s="59">
        <f t="shared" si="72"/>
        <v>474.54545454545456</v>
      </c>
      <c r="P98" s="503">
        <f t="shared" si="56"/>
        <v>522.00000000000011</v>
      </c>
      <c r="Q98" s="59">
        <f t="shared" si="73"/>
        <v>730.0454545454545</v>
      </c>
      <c r="R98" s="272">
        <f t="shared" si="74"/>
        <v>803.05000000000007</v>
      </c>
      <c r="S98" s="40">
        <f>'Tariffs Jul2021'!AN92</f>
        <v>0</v>
      </c>
      <c r="T98" s="40">
        <f>'Tariffs Jul2021'!AO92</f>
        <v>0</v>
      </c>
      <c r="U98" s="40">
        <f>'Tariffs Jul2021'!AP92</f>
        <v>0</v>
      </c>
      <c r="V98" s="40">
        <f>'Tariffs Jul2021'!AQ92</f>
        <v>0</v>
      </c>
      <c r="W98" s="537" t="str">
        <f t="shared" si="60"/>
        <v>No discount</v>
      </c>
      <c r="X98" s="538" t="str">
        <f t="shared" si="61"/>
        <v>Exclusive</v>
      </c>
      <c r="Y98" s="534">
        <f t="shared" si="70"/>
        <v>730.0454545454545</v>
      </c>
      <c r="Z98" s="535">
        <f t="shared" si="71"/>
        <v>730.0454545454545</v>
      </c>
      <c r="AA98" s="542">
        <f t="shared" si="75"/>
        <v>803.05000000000007</v>
      </c>
      <c r="AB98" s="542">
        <f t="shared" si="75"/>
        <v>803.05000000000007</v>
      </c>
      <c r="AC98" s="274">
        <f>'Tariffs Jul2021'!AZ92</f>
        <v>0</v>
      </c>
      <c r="AD98" s="274" t="str">
        <f>'Tariffs Jul2021'!BA92</f>
        <v>n</v>
      </c>
      <c r="AE98" s="275" t="str">
        <f>'Tariffs Jul2021'!BJ92</f>
        <v>N</v>
      </c>
      <c r="AF98" s="574"/>
      <c r="AG98" s="574"/>
      <c r="AH98" s="574"/>
      <c r="AI98" s="574"/>
      <c r="AJ98" s="574"/>
      <c r="AK98" s="574"/>
      <c r="AL98" s="574"/>
      <c r="AM98" s="574"/>
      <c r="AN98" s="574"/>
      <c r="AO98" s="574"/>
      <c r="AP98" s="574"/>
      <c r="AQ98" s="574"/>
      <c r="AR98" s="574"/>
      <c r="AS98" s="574"/>
      <c r="AT98" s="574"/>
      <c r="AU98" s="574"/>
      <c r="AV98" s="574"/>
      <c r="AW98" s="574"/>
      <c r="AX98" s="574"/>
    </row>
    <row r="99" spans="1:50" ht="14" x14ac:dyDescent="0.15">
      <c r="A99" s="270" t="str">
        <f>'Tariffs Jul2021'!F93</f>
        <v>Powershop</v>
      </c>
      <c r="B99" s="40" t="str">
        <f>'Tariffs Jul2021'!D93</f>
        <v>AusNet Services West</v>
      </c>
      <c r="C99" s="40" t="str">
        <f>'Tariffs Jul2021'!G93</f>
        <v>Market offer</v>
      </c>
      <c r="D99" s="59">
        <f>365*'Tariffs Jul2021'!H93/100</f>
        <v>275.57499999999999</v>
      </c>
      <c r="E99" s="59">
        <f>((C$5*'Tariffs Jul2021'!AK93/'Tariffs Jul2021'!AI93)*('Tariffs Jul2021'!O93/100))*'Tariffs Jul2021'!AI93</f>
        <v>162.71099999999998</v>
      </c>
      <c r="F99" s="59">
        <v>0</v>
      </c>
      <c r="G99" s="59">
        <v>0</v>
      </c>
      <c r="H99" s="59">
        <v>0</v>
      </c>
      <c r="I99" s="69">
        <v>0</v>
      </c>
      <c r="J99" s="69">
        <f>((C$5*'Tariffs Jul2021'!AL93/'Tariffs Jul2021'!AJ93)*('Tariffs Jul2021'!U93/100))*'Tariffs Jul2021'!AJ93</f>
        <v>292.69799999999998</v>
      </c>
      <c r="K99" s="69">
        <v>0</v>
      </c>
      <c r="L99" s="69">
        <v>0</v>
      </c>
      <c r="M99" s="69">
        <v>0</v>
      </c>
      <c r="N99" s="69">
        <v>0</v>
      </c>
      <c r="O99" s="59">
        <f t="shared" si="72"/>
        <v>455.40899999999999</v>
      </c>
      <c r="P99" s="503">
        <f t="shared" si="56"/>
        <v>500.94990000000001</v>
      </c>
      <c r="Q99" s="59">
        <f t="shared" si="73"/>
        <v>730.98399999999992</v>
      </c>
      <c r="R99" s="272">
        <f t="shared" si="74"/>
        <v>804.08240000000001</v>
      </c>
      <c r="S99" s="40">
        <f>'Tariffs Jul2021'!AN93</f>
        <v>0</v>
      </c>
      <c r="T99" s="40">
        <f>'Tariffs Jul2021'!AO93</f>
        <v>0</v>
      </c>
      <c r="U99" s="40">
        <f>'Tariffs Jul2021'!AP93</f>
        <v>0</v>
      </c>
      <c r="V99" s="40">
        <f>'Tariffs Jul2021'!AQ93</f>
        <v>0</v>
      </c>
      <c r="W99" s="537" t="str">
        <f t="shared" si="60"/>
        <v>No discount</v>
      </c>
      <c r="X99" s="538" t="str">
        <f t="shared" si="61"/>
        <v>Inclusive</v>
      </c>
      <c r="Y99" s="534">
        <f t="shared" si="70"/>
        <v>730.98399999999992</v>
      </c>
      <c r="Z99" s="535">
        <f t="shared" si="71"/>
        <v>730.98399999999992</v>
      </c>
      <c r="AA99" s="542">
        <f t="shared" si="75"/>
        <v>804.08240000000001</v>
      </c>
      <c r="AB99" s="542">
        <f t="shared" si="75"/>
        <v>804.08240000000001</v>
      </c>
      <c r="AC99" s="274">
        <f>'Tariffs Jul2021'!AZ93</f>
        <v>0</v>
      </c>
      <c r="AD99" s="274" t="str">
        <f>'Tariffs Jul2021'!BA93</f>
        <v>n</v>
      </c>
      <c r="AE99" s="275" t="str">
        <f>'Tariffs Jul2021'!BJ93</f>
        <v>Y</v>
      </c>
      <c r="AF99" s="574"/>
      <c r="AG99" s="574"/>
      <c r="AH99" s="574"/>
      <c r="AI99" s="574"/>
      <c r="AJ99" s="574"/>
      <c r="AK99" s="574"/>
      <c r="AL99" s="574"/>
      <c r="AM99" s="574"/>
      <c r="AN99" s="574"/>
      <c r="AO99" s="574"/>
      <c r="AP99" s="574"/>
      <c r="AQ99" s="574"/>
      <c r="AR99" s="574"/>
      <c r="AS99" s="574"/>
      <c r="AT99" s="574"/>
      <c r="AU99" s="574"/>
      <c r="AV99" s="574"/>
      <c r="AW99" s="574"/>
      <c r="AX99" s="574"/>
    </row>
    <row r="100" spans="1:50" ht="14" x14ac:dyDescent="0.15">
      <c r="A100" s="270" t="str">
        <f>'Tariffs Jul2021'!F94</f>
        <v>1st Energy</v>
      </c>
      <c r="B100" s="40" t="str">
        <f>'Tariffs Jul2021'!D94</f>
        <v>AusNet Services West</v>
      </c>
      <c r="C100" s="40" t="str">
        <f>'Tariffs Jul2021'!G94</f>
        <v>1st Saver Plus</v>
      </c>
      <c r="D100" s="59">
        <f>365*'Tariffs Jul2021'!H94/100</f>
        <v>313.89999999999998</v>
      </c>
      <c r="E100" s="59">
        <f>IF($C$5*'Tariffs Jul2021'!AK94/'Tariffs Jul2021'!AI94&gt;='Tariffs Jul2021'!J94,( 'Tariffs Jul2021'!J94*'Tariffs Jul2021'!O94/100)* 'Tariffs Jul2021'!AI94,($C$5*'Tariffs Jul2021'!AK94/'Tariffs Jul2021'!AI94*'Tariffs Jul2021'!O94/100)* 'Tariffs Jul2021'!AI94)</f>
        <v>297.27272727272725</v>
      </c>
      <c r="F100" s="59">
        <f>IF($C$5*'Tariffs Jul2021'!AK94/'Tariffs Jul2021'!AI94&lt;'Tariffs Jul2021'!J94,0,IF($C$5*'Tariffs Jul2021'!AK94/'Tariffs Jul2021'!AI94&lt;='Tariffs Jul2021'!K94,($C$5*'Tariffs Jul2021'!AK94/'Tariffs Jul2021'!AI94-'Tariffs Jul2021'!J94)*('Tariffs Jul2021'!P94/100)*'Tariffs Jul2021'!AI94,('Tariffs Jul2021'!K94-'Tariffs Jul2021'!J94)*('Tariffs Jul2021'!P94/100)*'Tariffs Jul2021'!AI94))</f>
        <v>0</v>
      </c>
      <c r="G100" s="59">
        <f>IF($C$5*'Tariffs Jul2021'!AK94/'Tariffs Jul2021'!AI94&lt;'Tariffs Jul2021'!K94,0,IF($C$5*'Tariffs Jul2021'!AK94/'Tariffs Jul2021'!AI94&lt;='Tariffs Jul2021'!L94,($C$5*'Tariffs Jul2021'!AK94/'Tariffs Jul2021'!AI94-'Tariffs Jul2021'!K94)*('Tariffs Jul2021'!Q94/100)*'Tariffs Jul2021'!AI94,('Tariffs Jul2021'!L94-'Tariffs Jul2021'!K94)*('Tariffs Jul2021'!Q94/100)*'Tariffs Jul2021'!AI94))</f>
        <v>0</v>
      </c>
      <c r="H100" s="59">
        <f>IF($C$5*'Tariffs Jul2021'!AK94/'Tariffs Jul2021'!AI94&lt;'Tariffs Jul2021'!L94,0,IF($C$5*'Tariffs Jul2021'!AK94/'Tariffs Jul2021'!AI94&lt;='Tariffs Jul2021'!M94,($C$5*'Tariffs Jul2021'!AK94/'Tariffs Jul2021'!AI94-'Tariffs Jul2021'!L94)*('Tariffs Jul2021'!R94/100)*'Tariffs Jul2021'!AI94,('Tariffs Jul2021'!M94-'Tariffs Jul2021'!L94)*('Tariffs Jul2021'!R94/100)*'Tariffs Jul2021'!AI94))</f>
        <v>0</v>
      </c>
      <c r="I100" s="69">
        <f>IF(($C$5*'Tariffs Jul2021'!AK94/'Tariffs Jul2021'!AI94&gt;'Tariffs Jul2021'!M94),($C$5*'Tariffs Jul2021'!AK94/'Tariffs Jul2021'!AI94-'Tariffs Jul2021'!M94)*'Tariffs Jul2021'!S94/100*'Tariffs Jul2021'!AI94,0)</f>
        <v>0</v>
      </c>
      <c r="J100" s="69">
        <f>IF($C$5*'Tariffs Jul2021'!AL94/'Tariffs Jul2021'!AJ94&gt;='Tariffs Jul2021'!J94,('Tariffs Jul2021'!J94*'Tariffs Jul2021'!U94/100)* 'Tariffs Jul2021'!AJ94,($C$5*'Tariffs Jul2021'!AL94/'Tariffs Jul2021'!AJ94*'Tariffs Jul2021'!U94/100)* 'Tariffs Jul2021'!AJ94)</f>
        <v>297.27272727272725</v>
      </c>
      <c r="K100" s="69">
        <f>IF($C$5*'Tariffs Jul2021'!AL94/'Tariffs Jul2021'!AJ94&lt;'Tariffs Jul2021'!J94,0,IF($C$5*'Tariffs Jul2021'!AL94/'Tariffs Jul2021'!AJ94&lt;='Tariffs Jul2021'!K94,($C$5*'Tariffs Jul2021'!AL94/'Tariffs Jul2021'!AJ94-'Tariffs Jul2021'!J94)*('Tariffs Jul2021'!V94/100)*'Tariffs Jul2021'!AJ94,('Tariffs Jul2021'!K94-'Tariffs Jul2021'!J94)*('Tariffs Jul2021'!V94/100)*'Tariffs Jul2021'!AJ94))</f>
        <v>0</v>
      </c>
      <c r="L100" s="69">
        <f>IF($C$5*'Tariffs Jul2021'!AL94/'Tariffs Jul2021'!AJ94&lt;'Tariffs Jul2021'!K94,0,IF($C$5*'Tariffs Jul2021'!AL94/'Tariffs Jul2021'!AJ94&lt;='Tariffs Jul2021'!L94,($C$5*'Tariffs Jul2021'!AL94/'Tariffs Jul2021'!AJ94-'Tariffs Jul2021'!K94)*('Tariffs Jul2021'!W94/100)*'Tariffs Jul2021'!AJ94,('Tariffs Jul2021'!L94-'Tariffs Jul2021'!K94)*('Tariffs Jul2021'!W94/100)*'Tariffs Jul2021'!AJ94))</f>
        <v>0</v>
      </c>
      <c r="M100" s="69">
        <f>IF($C$5*'Tariffs Jul2021'!AL94/'Tariffs Jul2021'!AJ94&lt;'Tariffs Jul2021'!L94,0,IF($C$5*'Tariffs Jul2021'!AL94/'Tariffs Jul2021'!AJ94&lt;='Tariffs Jul2021'!M94,($C$5*'Tariffs Jul2021'!AL94/'Tariffs Jul2021'!AJ94-'Tariffs Jul2021'!L94)*('Tariffs Jul2021'!X94/100)*'Tariffs Jul2021'!AJ94,('Tariffs Jul2021'!M94-'Tariffs Jul2021'!L94)*('Tariffs Jul2021'!X94/100)*'Tariffs Jul2021'!AJ94))</f>
        <v>0</v>
      </c>
      <c r="N100" s="69">
        <f>IF(($C$5*'Tariffs Jul2021'!AL94/'Tariffs Jul2021'!AJ94&gt;'Tariffs Jul2021'!M94),($C$5*'Tariffs Jul2021'!AL94/'Tariffs Jul2021'!AJ94-'Tariffs Jul2021'!M94)*'Tariffs Jul2021'!Y94/100*'Tariffs Jul2021'!AJ94,0)</f>
        <v>0</v>
      </c>
      <c r="O100" s="59">
        <f t="shared" si="72"/>
        <v>594.5454545454545</v>
      </c>
      <c r="P100" s="503">
        <f t="shared" si="56"/>
        <v>654</v>
      </c>
      <c r="Q100" s="59">
        <f t="shared" si="73"/>
        <v>908.44545454545448</v>
      </c>
      <c r="R100" s="272">
        <f t="shared" si="74"/>
        <v>999.29</v>
      </c>
      <c r="S100" s="40">
        <f>'Tariffs Jul2021'!AN94</f>
        <v>0</v>
      </c>
      <c r="T100" s="40">
        <f>'Tariffs Jul2021'!AO94</f>
        <v>12</v>
      </c>
      <c r="U100" s="40">
        <f>'Tariffs Jul2021'!AP94</f>
        <v>0</v>
      </c>
      <c r="V100" s="40">
        <f>'Tariffs Jul2021'!AQ94</f>
        <v>3</v>
      </c>
      <c r="W100" s="537" t="str">
        <f t="shared" si="60"/>
        <v>Guaranteed off usage</v>
      </c>
      <c r="X100" s="538" t="str">
        <f t="shared" si="61"/>
        <v>Exclusive</v>
      </c>
      <c r="Y100" s="534">
        <f>Q100-(P100*T100)/100</f>
        <v>829.96545454545446</v>
      </c>
      <c r="Z100" s="535">
        <f>Y100-(P100*V100)/100</f>
        <v>810.34545454545446</v>
      </c>
      <c r="AA100" s="542">
        <f t="shared" si="75"/>
        <v>912.96199999999999</v>
      </c>
      <c r="AB100" s="542">
        <f t="shared" si="75"/>
        <v>891.38</v>
      </c>
      <c r="AC100" s="274">
        <f>'Tariffs Jul2021'!AZ94</f>
        <v>0</v>
      </c>
      <c r="AD100" s="274" t="str">
        <f>'Tariffs Jul2021'!BA94</f>
        <v>n</v>
      </c>
      <c r="AE100" s="275" t="str">
        <f>'Tariffs Jul2021'!BJ94</f>
        <v>Y</v>
      </c>
      <c r="AF100" s="574"/>
      <c r="AG100" s="574"/>
      <c r="AH100" s="574"/>
      <c r="AI100" s="574"/>
      <c r="AJ100" s="574"/>
      <c r="AK100" s="574"/>
      <c r="AL100" s="574"/>
      <c r="AM100" s="574"/>
      <c r="AN100" s="574"/>
      <c r="AO100" s="574"/>
      <c r="AP100" s="574"/>
      <c r="AQ100" s="574"/>
      <c r="AR100" s="574"/>
      <c r="AS100" s="574"/>
      <c r="AT100" s="574"/>
      <c r="AU100" s="574"/>
      <c r="AV100" s="574"/>
      <c r="AW100" s="574"/>
      <c r="AX100" s="574"/>
    </row>
    <row r="101" spans="1:50" ht="14" x14ac:dyDescent="0.15">
      <c r="A101" s="270" t="str">
        <f>'Tariffs Jul2021'!F95</f>
        <v>Kogan Energy</v>
      </c>
      <c r="B101" s="40" t="str">
        <f>'Tariffs Jul2021'!D95</f>
        <v>AusNet Services West</v>
      </c>
      <c r="C101" s="40" t="str">
        <f>'Tariffs Jul2021'!G95</f>
        <v>Market offer</v>
      </c>
      <c r="D101" s="59">
        <f>365*'Tariffs Jul2021'!H95/100</f>
        <v>293.22772727272724</v>
      </c>
      <c r="E101" s="59">
        <f>((C$5*'Tariffs Jul2021'!AK95/'Tariffs Jul2021'!AI95)*('Tariffs Jul2021'!O95/100))*'Tariffs Jul2021'!AI95</f>
        <v>159.07499999999999</v>
      </c>
      <c r="F101" s="59">
        <v>0</v>
      </c>
      <c r="G101" s="59">
        <v>0</v>
      </c>
      <c r="H101" s="59">
        <v>0</v>
      </c>
      <c r="I101" s="69">
        <v>0</v>
      </c>
      <c r="J101" s="69">
        <f>((C$5*'Tariffs Jul2021'!AL95/'Tariffs Jul2021'!AJ95)*('Tariffs Jul2021'!U95/100))*'Tariffs Jul2021'!AJ95</f>
        <v>287.24399999999997</v>
      </c>
      <c r="K101" s="69">
        <v>0</v>
      </c>
      <c r="L101" s="69">
        <v>0</v>
      </c>
      <c r="M101" s="69">
        <v>0</v>
      </c>
      <c r="N101" s="69">
        <v>0</v>
      </c>
      <c r="O101" s="59">
        <f t="shared" si="72"/>
        <v>446.31899999999996</v>
      </c>
      <c r="P101" s="503">
        <f t="shared" si="56"/>
        <v>490.95089999999999</v>
      </c>
      <c r="Q101" s="59">
        <f t="shared" si="73"/>
        <v>739.54672727272714</v>
      </c>
      <c r="R101" s="272">
        <f t="shared" si="74"/>
        <v>813.50139999999988</v>
      </c>
      <c r="S101" s="40">
        <f>'Tariffs Jul2021'!AN95</f>
        <v>0</v>
      </c>
      <c r="T101" s="40">
        <f>'Tariffs Jul2021'!AO95</f>
        <v>0</v>
      </c>
      <c r="U101" s="40">
        <f>'Tariffs Jul2021'!AP95</f>
        <v>0</v>
      </c>
      <c r="V101" s="40">
        <f>'Tariffs Jul2021'!AQ95</f>
        <v>0</v>
      </c>
      <c r="W101" s="537" t="str">
        <f t="shared" si="60"/>
        <v>No discount</v>
      </c>
      <c r="X101" s="538" t="str">
        <f t="shared" si="61"/>
        <v>Exclusive</v>
      </c>
      <c r="Y101" s="534">
        <f t="shared" ref="Y101:Y102" si="77">IF(AND(W101="Guaranteed off bill",X101="Inclusive"),((Q101*1.1)-((Q101*1.1)*S101/100))/1.1,IF(AND(W101="Guaranteed off usage",X101="Inclusive"),((Q101*1.1)-((P101*1.1)*T101/100))/1.1,IF(AND(W101="Guaranteed off bill",X101="Exclusive"),Q101-(Q101*S101/100),IF(AND(W101="Guaranteed off usage",X101="Exclusive"),Q101-(P101*T101/100),IF(X101="Inclusive",((Q101*1.1))/1.1,Q101)))))</f>
        <v>739.54672727272714</v>
      </c>
      <c r="Z101" s="535">
        <f t="shared" ref="Z101:Z102" si="78">IF(AND(W101="Pay-on-time off bill",X101="Inclusive"),((Y101*1.1)-((Y101*1.1)*U101/100))/1.1,IF(AND(W101="Pay-on-time off usage",X101="Inclusive"),((Y101*1.1)-((P101*1.1)*V101/100))/1.1,IF(AND(W101="Pay-on-time off bill",X101="Exclusive"),Y101-(Y101*U101/100),IF(AND(W101="Pay-on-time off usage",X101="Exclusive"),Y101-(P101*V101/100),IF(X101="Inclusive",((Y101*1.1))/1.1,Y101)))))</f>
        <v>739.54672727272714</v>
      </c>
      <c r="AA101" s="542">
        <f t="shared" si="75"/>
        <v>813.50139999999988</v>
      </c>
      <c r="AB101" s="542">
        <f t="shared" si="75"/>
        <v>813.50139999999988</v>
      </c>
      <c r="AC101" s="274">
        <f>'Tariffs Jul2021'!AZ95</f>
        <v>0</v>
      </c>
      <c r="AD101" s="274" t="str">
        <f>'Tariffs Jul2021'!BA95</f>
        <v>n</v>
      </c>
      <c r="AE101" s="275" t="str">
        <f>'Tariffs Jul2021'!BJ95</f>
        <v>N</v>
      </c>
      <c r="AF101" s="574"/>
      <c r="AG101" s="574"/>
      <c r="AH101" s="574"/>
      <c r="AI101" s="574"/>
      <c r="AJ101" s="574"/>
      <c r="AK101" s="574"/>
      <c r="AL101" s="574"/>
      <c r="AM101" s="574"/>
      <c r="AN101" s="574"/>
      <c r="AO101" s="574"/>
      <c r="AP101" s="574"/>
      <c r="AQ101" s="574"/>
      <c r="AR101" s="574"/>
      <c r="AS101" s="574"/>
      <c r="AT101" s="574"/>
      <c r="AU101" s="574"/>
      <c r="AV101" s="574"/>
      <c r="AW101" s="574"/>
      <c r="AX101" s="574"/>
    </row>
    <row r="102" spans="1:50" ht="15" thickBot="1" x14ac:dyDescent="0.2">
      <c r="A102" s="276" t="str">
        <f>'Tariffs Jul2021'!F96</f>
        <v>Tango Energy</v>
      </c>
      <c r="B102" s="277" t="str">
        <f>'Tariffs Jul2021'!D96</f>
        <v>AusNet Services West</v>
      </c>
      <c r="C102" s="277" t="str">
        <f>'Tariffs Jul2021'!G96</f>
        <v>Home Select</v>
      </c>
      <c r="D102" s="278">
        <f>365*'Tariffs Jul2021'!H96/100</f>
        <v>343.1</v>
      </c>
      <c r="E102" s="278">
        <f>IF($C$5*'Tariffs Jul2021'!AK96/'Tariffs Jul2021'!AI96&gt;='Tariffs Jul2021'!J96,( 'Tariffs Jul2021'!J96*'Tariffs Jul2021'!O96/100)* 'Tariffs Jul2021'!AI96,($C$5*'Tariffs Jul2021'!AK96/'Tariffs Jul2021'!AI96*'Tariffs Jul2021'!O96/100)* 'Tariffs Jul2021'!AI96)</f>
        <v>141.804</v>
      </c>
      <c r="F102" s="278">
        <f>IF($C$5*'Tariffs Jul2021'!AK96/'Tariffs Jul2021'!AI96&lt;'Tariffs Jul2021'!J96,0,IF($C$5*'Tariffs Jul2021'!AK96/'Tariffs Jul2021'!AI96&lt;='Tariffs Jul2021'!K96,($C$5*'Tariffs Jul2021'!AK96/'Tariffs Jul2021'!AI96-'Tariffs Jul2021'!J96)*('Tariffs Jul2021'!P96/100)*'Tariffs Jul2021'!AI96,('Tariffs Jul2021'!K96-'Tariffs Jul2021'!J96)*('Tariffs Jul2021'!P96/100)*'Tariffs Jul2021'!AI96))</f>
        <v>0</v>
      </c>
      <c r="G102" s="278">
        <f>IF($C$5*'Tariffs Jul2021'!AK96/'Tariffs Jul2021'!AI96&lt;'Tariffs Jul2021'!K96,0,IF($C$5*'Tariffs Jul2021'!AK96/'Tariffs Jul2021'!AI96&lt;='Tariffs Jul2021'!L96,($C$5*'Tariffs Jul2021'!AK96/'Tariffs Jul2021'!AI96-'Tariffs Jul2021'!K96)*('Tariffs Jul2021'!Q96/100)*'Tariffs Jul2021'!AI96,('Tariffs Jul2021'!L96-'Tariffs Jul2021'!K96)*('Tariffs Jul2021'!Q96/100)*'Tariffs Jul2021'!AI96))</f>
        <v>0</v>
      </c>
      <c r="H102" s="278">
        <f>IF($C$5*'Tariffs Jul2021'!AK96/'Tariffs Jul2021'!AI96&lt;'Tariffs Jul2021'!L96,0,IF($C$5*'Tariffs Jul2021'!AK96/'Tariffs Jul2021'!AI96&lt;='Tariffs Jul2021'!M96,($C$5*'Tariffs Jul2021'!AK96/'Tariffs Jul2021'!AI96-'Tariffs Jul2021'!L96)*('Tariffs Jul2021'!R96/100)*'Tariffs Jul2021'!AI96,('Tariffs Jul2021'!M96-'Tariffs Jul2021'!L96)*('Tariffs Jul2021'!R96/100)*'Tariffs Jul2021'!AI96))</f>
        <v>0</v>
      </c>
      <c r="I102" s="547">
        <f>IF(($C$5*'Tariffs Jul2021'!AK96/'Tariffs Jul2021'!AI96&gt;'Tariffs Jul2021'!M96),($C$5*'Tariffs Jul2021'!AK96/'Tariffs Jul2021'!AI96-'Tariffs Jul2021'!M96)*'Tariffs Jul2021'!S96/100*'Tariffs Jul2021'!AI96,0)</f>
        <v>0</v>
      </c>
      <c r="J102" s="547">
        <f>IF($C$5*'Tariffs Jul2021'!AL96/'Tariffs Jul2021'!AJ96&gt;='Tariffs Jul2021'!J96,('Tariffs Jul2021'!J96*'Tariffs Jul2021'!U96/100)* 'Tariffs Jul2021'!AJ96,($C$5*'Tariffs Jul2021'!AL96/'Tariffs Jul2021'!AJ96*'Tariffs Jul2021'!U96/100)* 'Tariffs Jul2021'!AJ96)</f>
        <v>230.886</v>
      </c>
      <c r="K102" s="547">
        <f>IF($C$5*'Tariffs Jul2021'!AL96/'Tariffs Jul2021'!AJ96&lt;'Tariffs Jul2021'!J96,0,IF($C$5*'Tariffs Jul2021'!AL96/'Tariffs Jul2021'!AJ96&lt;='Tariffs Jul2021'!K96,($C$5*'Tariffs Jul2021'!AL96/'Tariffs Jul2021'!AJ96-'Tariffs Jul2021'!J96)*('Tariffs Jul2021'!V96/100)*'Tariffs Jul2021'!AJ96,('Tariffs Jul2021'!K96-'Tariffs Jul2021'!J96)*('Tariffs Jul2021'!V96/100)*'Tariffs Jul2021'!AJ96))</f>
        <v>0</v>
      </c>
      <c r="L102" s="547">
        <f>IF($C$5*'Tariffs Jul2021'!AL96/'Tariffs Jul2021'!AJ96&lt;'Tariffs Jul2021'!K96,0,IF($C$5*'Tariffs Jul2021'!AL96/'Tariffs Jul2021'!AJ96&lt;='Tariffs Jul2021'!L96,($C$5*'Tariffs Jul2021'!AL96/'Tariffs Jul2021'!AJ96-'Tariffs Jul2021'!K96)*('Tariffs Jul2021'!W96/100)*'Tariffs Jul2021'!AJ96,('Tariffs Jul2021'!L96-'Tariffs Jul2021'!K96)*('Tariffs Jul2021'!W96/100)*'Tariffs Jul2021'!AJ96))</f>
        <v>0</v>
      </c>
      <c r="M102" s="547">
        <f>IF($C$5*'Tariffs Jul2021'!AL96/'Tariffs Jul2021'!AJ96&lt;'Tariffs Jul2021'!L96,0,IF($C$5*'Tariffs Jul2021'!AL96/'Tariffs Jul2021'!AJ96&lt;='Tariffs Jul2021'!M96,($C$5*'Tariffs Jul2021'!AL96/'Tariffs Jul2021'!AJ96-'Tariffs Jul2021'!L96)*('Tariffs Jul2021'!X96/100)*'Tariffs Jul2021'!AJ96,('Tariffs Jul2021'!M96-'Tariffs Jul2021'!L96)*('Tariffs Jul2021'!X96/100)*'Tariffs Jul2021'!AJ96))</f>
        <v>0</v>
      </c>
      <c r="N102" s="547">
        <f>IF(($C$5*'Tariffs Jul2021'!AL96/'Tariffs Jul2021'!AJ96&gt;'Tariffs Jul2021'!M96),($C$5*'Tariffs Jul2021'!AL96/'Tariffs Jul2021'!AJ96-'Tariffs Jul2021'!M96)*'Tariffs Jul2021'!Y96/100*'Tariffs Jul2021'!AJ96,0)</f>
        <v>0</v>
      </c>
      <c r="O102" s="278">
        <f t="shared" si="72"/>
        <v>372.69</v>
      </c>
      <c r="P102" s="504">
        <f t="shared" si="56"/>
        <v>409.959</v>
      </c>
      <c r="Q102" s="278">
        <f t="shared" si="73"/>
        <v>715.79</v>
      </c>
      <c r="R102" s="280">
        <f t="shared" si="74"/>
        <v>787.36900000000003</v>
      </c>
      <c r="S102" s="277">
        <f>'Tariffs Jul2021'!AN96</f>
        <v>0</v>
      </c>
      <c r="T102" s="277">
        <f>'Tariffs Jul2021'!AO96</f>
        <v>0</v>
      </c>
      <c r="U102" s="277">
        <f>'Tariffs Jul2021'!AP96</f>
        <v>0</v>
      </c>
      <c r="V102" s="277">
        <f>'Tariffs Jul2021'!AQ96</f>
        <v>0</v>
      </c>
      <c r="W102" s="540" t="str">
        <f t="shared" si="60"/>
        <v>No discount</v>
      </c>
      <c r="X102" s="541" t="str">
        <f t="shared" si="61"/>
        <v>Exclusive</v>
      </c>
      <c r="Y102" s="543">
        <f t="shared" si="77"/>
        <v>715.79</v>
      </c>
      <c r="Z102" s="544">
        <f t="shared" si="78"/>
        <v>715.79</v>
      </c>
      <c r="AA102" s="545">
        <f t="shared" ref="AA102:AB134" si="79">Y102*1.1</f>
        <v>787.36900000000003</v>
      </c>
      <c r="AB102" s="545">
        <f t="shared" si="79"/>
        <v>787.36900000000003</v>
      </c>
      <c r="AC102" s="282">
        <f>'Tariffs Jul2021'!AZ96</f>
        <v>0</v>
      </c>
      <c r="AD102" s="282" t="str">
        <f>'Tariffs Jul2021'!BA96</f>
        <v>n</v>
      </c>
      <c r="AE102" s="283" t="str">
        <f>'Tariffs Jul2021'!BJ96</f>
        <v>N</v>
      </c>
      <c r="AF102" s="574"/>
      <c r="AG102" s="574"/>
      <c r="AH102" s="574"/>
      <c r="AI102" s="574"/>
      <c r="AJ102" s="574"/>
      <c r="AK102" s="574"/>
      <c r="AL102" s="574"/>
      <c r="AM102" s="574"/>
      <c r="AN102" s="574"/>
      <c r="AO102" s="574"/>
      <c r="AP102" s="574"/>
      <c r="AQ102" s="574"/>
      <c r="AR102" s="574"/>
      <c r="AS102" s="574"/>
      <c r="AT102" s="574"/>
      <c r="AU102" s="574"/>
      <c r="AV102" s="574"/>
      <c r="AW102" s="574"/>
      <c r="AX102" s="574"/>
    </row>
    <row r="103" spans="1:50" ht="15" thickTop="1" x14ac:dyDescent="0.15">
      <c r="A103" s="270" t="str">
        <f>'Tariffs Jul2021'!F97</f>
        <v>AGL</v>
      </c>
      <c r="B103" s="40" t="str">
        <f>'Tariffs Jul2021'!D97</f>
        <v>AusNet Services Central 2</v>
      </c>
      <c r="C103" s="40" t="str">
        <f>'Tariffs Jul2021'!G97</f>
        <v>Flexible Saver</v>
      </c>
      <c r="D103" s="59">
        <f>365*'Tariffs Jul2021'!H97/100</f>
        <v>295.31818181818181</v>
      </c>
      <c r="E103" s="59">
        <f>IF($C$5*'Tariffs Jul2021'!AK97/'Tariffs Jul2021'!AI97&gt;='Tariffs Jul2021'!J97,( 'Tariffs Jul2021'!J97*'Tariffs Jul2021'!O97/100)* 'Tariffs Jul2021'!AI97,($C$5*'Tariffs Jul2021'!AK97/'Tariffs Jul2021'!AI97*'Tariffs Jul2021'!O97/100)* 'Tariffs Jul2021'!AI97)</f>
        <v>226.34099999999998</v>
      </c>
      <c r="F103" s="59">
        <f>IF($C$5*'Tariffs Jul2021'!AK97/'Tariffs Jul2021'!AI97&lt;'Tariffs Jul2021'!J97,0,IF($C$5*'Tariffs Jul2021'!AK97/'Tariffs Jul2021'!AI97&lt;='Tariffs Jul2021'!K97,($C$5*'Tariffs Jul2021'!AK97/'Tariffs Jul2021'!AI97-'Tariffs Jul2021'!J97)*('Tariffs Jul2021'!P97/100)*'Tariffs Jul2021'!AI97,('Tariffs Jul2021'!K97-'Tariffs Jul2021'!J97)*('Tariffs Jul2021'!P97/100)*'Tariffs Jul2021'!AI97))</f>
        <v>0</v>
      </c>
      <c r="G103" s="59">
        <f>IF($C$5*'Tariffs Jul2021'!AK97/'Tariffs Jul2021'!AI97&lt;'Tariffs Jul2021'!K97,0,IF($C$5*'Tariffs Jul2021'!AK97/'Tariffs Jul2021'!AI97&lt;='Tariffs Jul2021'!L97,($C$5*'Tariffs Jul2021'!AK97/'Tariffs Jul2021'!AI97-'Tariffs Jul2021'!K97)*('Tariffs Jul2021'!Q97/100)*'Tariffs Jul2021'!AI97,('Tariffs Jul2021'!L97-'Tariffs Jul2021'!K97)*('Tariffs Jul2021'!Q97/100)*'Tariffs Jul2021'!AI97))</f>
        <v>0</v>
      </c>
      <c r="H103" s="59">
        <f>IF($C$5*'Tariffs Jul2021'!AK97/'Tariffs Jul2021'!AI97&lt;'Tariffs Jul2021'!L97,0,IF($C$5*'Tariffs Jul2021'!AK97/'Tariffs Jul2021'!AI97&lt;='Tariffs Jul2021'!M97,($C$5*'Tariffs Jul2021'!AK97/'Tariffs Jul2021'!AI97-'Tariffs Jul2021'!L97)*('Tariffs Jul2021'!R97/100)*'Tariffs Jul2021'!AI97,('Tariffs Jul2021'!M97-'Tariffs Jul2021'!L97)*('Tariffs Jul2021'!R97/100)*'Tariffs Jul2021'!AI97))</f>
        <v>0</v>
      </c>
      <c r="I103" s="69">
        <f>IF(($C$5*'Tariffs Jul2021'!AK97/'Tariffs Jul2021'!AI97&gt;'Tariffs Jul2021'!M97),($C$5*'Tariffs Jul2021'!AK97/'Tariffs Jul2021'!AI97-'Tariffs Jul2021'!M97)*'Tariffs Jul2021'!S97/100*'Tariffs Jul2021'!AI97,0)</f>
        <v>0</v>
      </c>
      <c r="J103" s="69">
        <f>IF($C$5*'Tariffs Jul2021'!AL97/'Tariffs Jul2021'!AJ97&gt;='Tariffs Jul2021'!J97,('Tariffs Jul2021'!J97*'Tariffs Jul2021'!U97/100)* 'Tariffs Jul2021'!AJ97,($C$5*'Tariffs Jul2021'!AL97/'Tariffs Jul2021'!AJ97*'Tariffs Jul2021'!U97/100)* 'Tariffs Jul2021'!AJ97)</f>
        <v>387.23399999999992</v>
      </c>
      <c r="K103" s="69">
        <f>IF($C$5*'Tariffs Jul2021'!AL97/'Tariffs Jul2021'!AJ97&lt;'Tariffs Jul2021'!J97,0,IF($C$5*'Tariffs Jul2021'!AL97/'Tariffs Jul2021'!AJ97&lt;='Tariffs Jul2021'!K97,($C$5*'Tariffs Jul2021'!AL97/'Tariffs Jul2021'!AJ97-'Tariffs Jul2021'!J97)*('Tariffs Jul2021'!V97/100)*'Tariffs Jul2021'!AJ97,('Tariffs Jul2021'!K97-'Tariffs Jul2021'!J97)*('Tariffs Jul2021'!V97/100)*'Tariffs Jul2021'!AJ97))</f>
        <v>0</v>
      </c>
      <c r="L103" s="69">
        <f>IF($C$5*'Tariffs Jul2021'!AL97/'Tariffs Jul2021'!AJ97&lt;'Tariffs Jul2021'!K97,0,IF($C$5*'Tariffs Jul2021'!AL97/'Tariffs Jul2021'!AJ97&lt;='Tariffs Jul2021'!L97,($C$5*'Tariffs Jul2021'!AL97/'Tariffs Jul2021'!AJ97-'Tariffs Jul2021'!K97)*('Tariffs Jul2021'!W97/100)*'Tariffs Jul2021'!AJ97,('Tariffs Jul2021'!L97-'Tariffs Jul2021'!K97)*('Tariffs Jul2021'!W97/100)*'Tariffs Jul2021'!AJ97))</f>
        <v>0</v>
      </c>
      <c r="M103" s="69">
        <f>IF($C$5*'Tariffs Jul2021'!AL97/'Tariffs Jul2021'!AJ97&lt;'Tariffs Jul2021'!L97,0,IF($C$5*'Tariffs Jul2021'!AL97/'Tariffs Jul2021'!AJ97&lt;='Tariffs Jul2021'!M97,($C$5*'Tariffs Jul2021'!AL97/'Tariffs Jul2021'!AJ97-'Tariffs Jul2021'!L97)*('Tariffs Jul2021'!X97/100)*'Tariffs Jul2021'!AJ97,('Tariffs Jul2021'!M97-'Tariffs Jul2021'!L97)*('Tariffs Jul2021'!X97/100)*'Tariffs Jul2021'!AJ97))</f>
        <v>0</v>
      </c>
      <c r="N103" s="69">
        <f>IF(($C$5*'Tariffs Jul2021'!AL97/'Tariffs Jul2021'!AJ97&gt;'Tariffs Jul2021'!M97),($C$5*'Tariffs Jul2021'!AL97/'Tariffs Jul2021'!AJ97-'Tariffs Jul2021'!M97)*'Tariffs Jul2021'!Y97/100*'Tariffs Jul2021'!AJ97,0)</f>
        <v>0</v>
      </c>
      <c r="O103" s="59">
        <f t="shared" si="72"/>
        <v>613.57499999999993</v>
      </c>
      <c r="P103" s="503">
        <f t="shared" si="56"/>
        <v>674.9325</v>
      </c>
      <c r="Q103" s="59">
        <f t="shared" si="73"/>
        <v>908.8931818181818</v>
      </c>
      <c r="R103" s="272">
        <f t="shared" si="74"/>
        <v>999.78250000000003</v>
      </c>
      <c r="S103" s="40">
        <f>'Tariffs Jul2021'!AN97</f>
        <v>0</v>
      </c>
      <c r="T103" s="40">
        <f>'Tariffs Jul2021'!AO97</f>
        <v>0</v>
      </c>
      <c r="U103" s="40">
        <f>'Tariffs Jul2021'!AP97</f>
        <v>0</v>
      </c>
      <c r="V103" s="40">
        <f>'Tariffs Jul2021'!AQ97</f>
        <v>0</v>
      </c>
      <c r="W103" s="539" t="str">
        <f>IF(SUM(S103:V103)=0,"No discount",IF(S103&gt;0,"Guaranteed off bill",IF(T103&gt;0,"Guaranteed off usage",IF(U103&gt;0,"Pay-on-time off bill","Pay-on-time off usage"))))</f>
        <v>No discount</v>
      </c>
      <c r="X103" s="538" t="str">
        <f>IF(OR(A103="Origin Energy",A103="Red Energy",A103="Powershop"),"Inclusive","Exclusive")</f>
        <v>Exclusive</v>
      </c>
      <c r="Y103" s="534">
        <f>IF(AND(W103="Guaranteed off bill",X103="Inclusive"),((Q103*1.1)-((Q103*1.1)*S103/100))/1.1,IF(AND(W103="Guaranteed off usage",X103="Inclusive"),((Q103*1.1)-((P103*1.1)*T103/100))/1.1,IF(AND(W103="Guaranteed off bill",X103="Exclusive"),Q103-(Q103*S103/100),IF(AND(W103="Guaranteed off usage",X103="Exclusive"),Q103-(P103*T103/100),IF(X103="Inclusive",((Q103*1.1))/1.1,Q103)))))</f>
        <v>908.8931818181818</v>
      </c>
      <c r="Z103" s="535">
        <f>IF(AND(W103="Pay-on-time off bill",X103="Inclusive"),((Y103*1.1)-((Y103*1.1)*U103/100))/1.1,IF(AND(W103="Pay-on-time off usage",X103="Inclusive"),((Y103*1.1)-((P103*1.1)*V103/100))/1.1,IF(AND(W103="Pay-on-time off bill",X103="Exclusive"),Y103-(Y103*U103/100),IF(AND(W103="Pay-on-time off usage",X103="Exclusive"),Y103-(P103*V103/100),IF(X103="Inclusive",((Y103*1.1))/1.1,Y103)))))</f>
        <v>908.8931818181818</v>
      </c>
      <c r="AA103" s="542">
        <f t="shared" si="79"/>
        <v>999.78250000000003</v>
      </c>
      <c r="AB103" s="542">
        <f t="shared" si="79"/>
        <v>999.78250000000003</v>
      </c>
      <c r="AC103" s="274">
        <f>'Tariffs Jul2021'!AZ97</f>
        <v>0</v>
      </c>
      <c r="AD103" s="274" t="str">
        <f>'Tariffs Jul2021'!BA97</f>
        <v>n</v>
      </c>
      <c r="AE103" s="275" t="str">
        <f>'Tariffs Jul2021'!BJ97</f>
        <v>N</v>
      </c>
      <c r="AF103" s="574"/>
      <c r="AG103" s="574"/>
      <c r="AH103" s="574"/>
      <c r="AI103" s="574"/>
      <c r="AJ103" s="574"/>
      <c r="AK103" s="574"/>
      <c r="AL103" s="574"/>
      <c r="AM103" s="574"/>
      <c r="AN103" s="574"/>
      <c r="AO103" s="574"/>
      <c r="AP103" s="574"/>
      <c r="AQ103" s="574"/>
      <c r="AR103" s="574"/>
      <c r="AS103" s="574"/>
      <c r="AT103" s="574"/>
      <c r="AU103" s="574"/>
      <c r="AV103" s="574"/>
      <c r="AW103" s="574"/>
      <c r="AX103" s="574"/>
    </row>
    <row r="104" spans="1:50" ht="14" x14ac:dyDescent="0.15">
      <c r="A104" s="270" t="str">
        <f>'Tariffs Jul2021'!F98</f>
        <v>Alinta Energy</v>
      </c>
      <c r="B104" s="40" t="str">
        <f>'Tariffs Jul2021'!D98</f>
        <v>AusNet Services Central 2</v>
      </c>
      <c r="C104" s="40" t="str">
        <f>'Tariffs Jul2021'!G98</f>
        <v>Home Deal</v>
      </c>
      <c r="D104" s="59">
        <f>365*'Tariffs Jul2021'!H98/100</f>
        <v>247.56954545454545</v>
      </c>
      <c r="E104" s="59">
        <f>IF($C$5*'Tariffs Jul2021'!AK98/'Tariffs Jul2021'!AI98&gt;='Tariffs Jul2021'!J98,( 'Tariffs Jul2021'!J98*'Tariffs Jul2021'!O98/100)* 'Tariffs Jul2021'!AI98,($C$5*'Tariffs Jul2021'!AK98/'Tariffs Jul2021'!AI98*'Tariffs Jul2021'!O98/100)* 'Tariffs Jul2021'!AI98)</f>
        <v>192.708</v>
      </c>
      <c r="F104" s="59">
        <f>IF($C$5*'Tariffs Jul2021'!AK98/'Tariffs Jul2021'!AI98&lt;'Tariffs Jul2021'!J98,0,IF($C$5*'Tariffs Jul2021'!AK98/'Tariffs Jul2021'!AI98&lt;='Tariffs Jul2021'!K98,($C$5*'Tariffs Jul2021'!AK98/'Tariffs Jul2021'!AI98-'Tariffs Jul2021'!J98)*('Tariffs Jul2021'!P98/100)*'Tariffs Jul2021'!AI98,('Tariffs Jul2021'!K98-'Tariffs Jul2021'!J98)*('Tariffs Jul2021'!P98/100)*'Tariffs Jul2021'!AI98))</f>
        <v>0</v>
      </c>
      <c r="G104" s="59">
        <f>IF($C$5*'Tariffs Jul2021'!AK98/'Tariffs Jul2021'!AI98&lt;'Tariffs Jul2021'!K98,0,IF($C$5*'Tariffs Jul2021'!AK98/'Tariffs Jul2021'!AI98&lt;='Tariffs Jul2021'!L98,($C$5*'Tariffs Jul2021'!AK98/'Tariffs Jul2021'!AI98-'Tariffs Jul2021'!K98)*('Tariffs Jul2021'!Q98/100)*'Tariffs Jul2021'!AI98,('Tariffs Jul2021'!L98-'Tariffs Jul2021'!K98)*('Tariffs Jul2021'!Q98/100)*'Tariffs Jul2021'!AI98))</f>
        <v>0</v>
      </c>
      <c r="H104" s="59">
        <f>IF($C$5*'Tariffs Jul2021'!AK98/'Tariffs Jul2021'!AI98&lt;'Tariffs Jul2021'!L98,0,IF($C$5*'Tariffs Jul2021'!AK98/'Tariffs Jul2021'!AI98&lt;='Tariffs Jul2021'!M98,($C$5*'Tariffs Jul2021'!AK98/'Tariffs Jul2021'!AI98-'Tariffs Jul2021'!L98)*('Tariffs Jul2021'!R98/100)*'Tariffs Jul2021'!AI98,('Tariffs Jul2021'!M98-'Tariffs Jul2021'!L98)*('Tariffs Jul2021'!R98/100)*'Tariffs Jul2021'!AI98))</f>
        <v>0</v>
      </c>
      <c r="I104" s="69">
        <f>IF(($C$5*'Tariffs Jul2021'!AK98/'Tariffs Jul2021'!AI98&gt;'Tariffs Jul2021'!M98),($C$5*'Tariffs Jul2021'!AK98/'Tariffs Jul2021'!AI98-'Tariffs Jul2021'!M98)*'Tariffs Jul2021'!S98/100*'Tariffs Jul2021'!AI98,0)</f>
        <v>0</v>
      </c>
      <c r="J104" s="69">
        <f>IF($C$5*'Tariffs Jul2021'!AL98/'Tariffs Jul2021'!AJ98&gt;='Tariffs Jul2021'!J98,('Tariffs Jul2021'!J98*'Tariffs Jul2021'!U98/100)* 'Tariffs Jul2021'!AJ98,($C$5*'Tariffs Jul2021'!AL98/'Tariffs Jul2021'!AJ98*'Tariffs Jul2021'!U98/100)* 'Tariffs Jul2021'!AJ98)</f>
        <v>350.87399999999997</v>
      </c>
      <c r="K104" s="69">
        <f>IF($C$5*'Tariffs Jul2021'!AL98/'Tariffs Jul2021'!AJ98&lt;'Tariffs Jul2021'!J98,0,IF($C$5*'Tariffs Jul2021'!AL98/'Tariffs Jul2021'!AJ98&lt;='Tariffs Jul2021'!K98,($C$5*'Tariffs Jul2021'!AL98/'Tariffs Jul2021'!AJ98-'Tariffs Jul2021'!J98)*('Tariffs Jul2021'!V98/100)*'Tariffs Jul2021'!AJ98,('Tariffs Jul2021'!K98-'Tariffs Jul2021'!J98)*('Tariffs Jul2021'!V98/100)*'Tariffs Jul2021'!AJ98))</f>
        <v>0</v>
      </c>
      <c r="L104" s="69">
        <f>IF($C$5*'Tariffs Jul2021'!AL98/'Tariffs Jul2021'!AJ98&lt;'Tariffs Jul2021'!K98,0,IF($C$5*'Tariffs Jul2021'!AL98/'Tariffs Jul2021'!AJ98&lt;='Tariffs Jul2021'!L98,($C$5*'Tariffs Jul2021'!AL98/'Tariffs Jul2021'!AJ98-'Tariffs Jul2021'!K98)*('Tariffs Jul2021'!W98/100)*'Tariffs Jul2021'!AJ98,('Tariffs Jul2021'!L98-'Tariffs Jul2021'!K98)*('Tariffs Jul2021'!W98/100)*'Tariffs Jul2021'!AJ98))</f>
        <v>0</v>
      </c>
      <c r="M104" s="69">
        <f>IF($C$5*'Tariffs Jul2021'!AL98/'Tariffs Jul2021'!AJ98&lt;'Tariffs Jul2021'!L98,0,IF($C$5*'Tariffs Jul2021'!AL98/'Tariffs Jul2021'!AJ98&lt;='Tariffs Jul2021'!M98,($C$5*'Tariffs Jul2021'!AL98/'Tariffs Jul2021'!AJ98-'Tariffs Jul2021'!L98)*('Tariffs Jul2021'!X98/100)*'Tariffs Jul2021'!AJ98,('Tariffs Jul2021'!M98-'Tariffs Jul2021'!L98)*('Tariffs Jul2021'!X98/100)*'Tariffs Jul2021'!AJ98))</f>
        <v>0</v>
      </c>
      <c r="N104" s="69">
        <f>IF(($C$5*'Tariffs Jul2021'!AL98/'Tariffs Jul2021'!AJ98&gt;'Tariffs Jul2021'!M98),($C$5*'Tariffs Jul2021'!AL98/'Tariffs Jul2021'!AJ98-'Tariffs Jul2021'!M98)*'Tariffs Jul2021'!Y98/100*'Tariffs Jul2021'!AJ98,0)</f>
        <v>0</v>
      </c>
      <c r="O104" s="59">
        <f t="shared" si="72"/>
        <v>543.58199999999999</v>
      </c>
      <c r="P104" s="503">
        <f t="shared" si="56"/>
        <v>597.9402</v>
      </c>
      <c r="Q104" s="59">
        <f t="shared" si="73"/>
        <v>791.15154545454538</v>
      </c>
      <c r="R104" s="272">
        <f t="shared" si="74"/>
        <v>870.26670000000001</v>
      </c>
      <c r="S104" s="40">
        <f>'Tariffs Jul2021'!AN98</f>
        <v>0</v>
      </c>
      <c r="T104" s="40">
        <f>'Tariffs Jul2021'!AO98</f>
        <v>0</v>
      </c>
      <c r="U104" s="40">
        <f>'Tariffs Jul2021'!AP98</f>
        <v>0</v>
      </c>
      <c r="V104" s="40">
        <f>'Tariffs Jul2021'!AQ98</f>
        <v>0</v>
      </c>
      <c r="W104" s="537" t="str">
        <f t="shared" ref="W104:W118" si="80">IF(SUM(S104:V104)=0,"No discount",IF(S104&gt;0,"Guaranteed off bill",IF(T104&gt;0,"Guaranteed off usage",IF(U104&gt;0,"Pay-on-time off bill","Pay-on-time off usage"))))</f>
        <v>No discount</v>
      </c>
      <c r="X104" s="538" t="str">
        <f t="shared" ref="X104:X118" si="81">IF(OR(A104="Origin Energy",A104="Red Energy",A104="Powershop"),"Inclusive","Exclusive")</f>
        <v>Exclusive</v>
      </c>
      <c r="Y104" s="534">
        <f>IF(AND(W104="Guaranteed off bill",X104="Inclusive"),((Q104*1.1)-((Q104*1.1)*S104/100))/1.1,IF(AND(W104="Guaranteed off usage",X104="Inclusive"),((Q104*1.1)-((P104*1.1)*T104/100))/1.1,IF(AND(W104="Guaranteed off bill",X104="Exclusive"),Q104-(Q104*S104/100),IF(AND(W104="Guaranteed off usage",X104="Exclusive"),Q104-(P104*T104/100),IF(X104="Inclusive",((Q104*1.1))/1.1,Q104)))))</f>
        <v>791.15154545454538</v>
      </c>
      <c r="Z104" s="535">
        <f>IF(AND(W104="Pay-on-time off bill",X104="Inclusive"),((Y104*1.1)-((Y104*1.1)*U104/100))/1.1,IF(AND(W104="Pay-on-time off usage",X104="Inclusive"),((Y104*1.1)-((P104*1.1)*V104/100))/1.1,IF(AND(W104="Pay-on-time off bill",X104="Exclusive"),Y104-(Y104*U104/100),IF(AND(W104="Pay-on-time off usage",X104="Exclusive"),Y104-(P104*V104/100),IF(X104="Inclusive",((Y104*1.1))/1.1,Y104)))))</f>
        <v>791.15154545454538</v>
      </c>
      <c r="AA104" s="542">
        <f t="shared" si="79"/>
        <v>870.26670000000001</v>
      </c>
      <c r="AB104" s="542">
        <f t="shared" si="79"/>
        <v>870.26670000000001</v>
      </c>
      <c r="AC104" s="274">
        <f>'Tariffs Jul2021'!AZ98</f>
        <v>0</v>
      </c>
      <c r="AD104" s="274" t="str">
        <f>'Tariffs Jul2021'!BA98</f>
        <v>n</v>
      </c>
      <c r="AE104" s="275" t="str">
        <f>'Tariffs Jul2021'!BJ98</f>
        <v>N</v>
      </c>
      <c r="AF104" s="574"/>
      <c r="AG104" s="574"/>
      <c r="AH104" s="574"/>
      <c r="AI104" s="574"/>
      <c r="AJ104" s="574"/>
      <c r="AK104" s="574"/>
      <c r="AL104" s="574"/>
      <c r="AM104" s="574"/>
      <c r="AN104" s="574"/>
      <c r="AO104" s="574"/>
      <c r="AP104" s="574"/>
      <c r="AQ104" s="574"/>
      <c r="AR104" s="574"/>
      <c r="AS104" s="574"/>
      <c r="AT104" s="574"/>
      <c r="AU104" s="574"/>
      <c r="AV104" s="574"/>
      <c r="AW104" s="574"/>
      <c r="AX104" s="574"/>
    </row>
    <row r="105" spans="1:50" ht="14" x14ac:dyDescent="0.15">
      <c r="A105" s="270" t="str">
        <f>'Tariffs Jul2021'!F99</f>
        <v>Covau</v>
      </c>
      <c r="B105" s="40" t="str">
        <f>'Tariffs Jul2021'!D99</f>
        <v>AusNet Services Central 2</v>
      </c>
      <c r="C105" s="40" t="str">
        <f>'Tariffs Jul2021'!G99</f>
        <v>Super Saver Plus</v>
      </c>
      <c r="D105" s="59">
        <f>365*'Tariffs Jul2021'!H99/100</f>
        <v>310.25</v>
      </c>
      <c r="E105" s="59">
        <f>IF($C$5*'Tariffs Jul2021'!AK99/'Tariffs Jul2021'!AI99&gt;='Tariffs Jul2021'!J99,( 'Tariffs Jul2021'!J99*'Tariffs Jul2021'!O99/100)* 'Tariffs Jul2021'!AI99,($C$5*'Tariffs Jul2021'!AK99/'Tariffs Jul2021'!AI99*'Tariffs Jul2021'!O99/100)* 'Tariffs Jul2021'!AI99)</f>
        <v>247.24799999999999</v>
      </c>
      <c r="F105" s="59">
        <f>IF($C$5*'Tariffs Jul2021'!AK99/'Tariffs Jul2021'!AI99&lt;'Tariffs Jul2021'!J99,0,IF($C$5*'Tariffs Jul2021'!AK99/'Tariffs Jul2021'!AI99&lt;='Tariffs Jul2021'!K99,($C$5*'Tariffs Jul2021'!AK99/'Tariffs Jul2021'!AI99-'Tariffs Jul2021'!J99)*('Tariffs Jul2021'!P99/100)*'Tariffs Jul2021'!AI99,('Tariffs Jul2021'!K99-'Tariffs Jul2021'!J99)*('Tariffs Jul2021'!P99/100)*'Tariffs Jul2021'!AI99))</f>
        <v>0</v>
      </c>
      <c r="G105" s="59">
        <f>IF($C$5*'Tariffs Jul2021'!AK99/'Tariffs Jul2021'!AI99&lt;'Tariffs Jul2021'!K99,0,IF($C$5*'Tariffs Jul2021'!AK99/'Tariffs Jul2021'!AI99&lt;='Tariffs Jul2021'!L99,($C$5*'Tariffs Jul2021'!AK99/'Tariffs Jul2021'!AI99-'Tariffs Jul2021'!K99)*('Tariffs Jul2021'!Q99/100)*'Tariffs Jul2021'!AI99,('Tariffs Jul2021'!L99-'Tariffs Jul2021'!K99)*('Tariffs Jul2021'!Q99/100)*'Tariffs Jul2021'!AI99))</f>
        <v>0</v>
      </c>
      <c r="H105" s="59">
        <f>IF($C$5*'Tariffs Jul2021'!AK99/'Tariffs Jul2021'!AI99&lt;'Tariffs Jul2021'!L99,0,IF($C$5*'Tariffs Jul2021'!AK99/'Tariffs Jul2021'!AI99&lt;='Tariffs Jul2021'!M99,($C$5*'Tariffs Jul2021'!AK99/'Tariffs Jul2021'!AI99-'Tariffs Jul2021'!L99)*('Tariffs Jul2021'!R99/100)*'Tariffs Jul2021'!AI99,('Tariffs Jul2021'!M99-'Tariffs Jul2021'!L99)*('Tariffs Jul2021'!R99/100)*'Tariffs Jul2021'!AI99))</f>
        <v>0</v>
      </c>
      <c r="I105" s="69">
        <f>IF(($C$5*'Tariffs Jul2021'!AK99/'Tariffs Jul2021'!AI99&gt;'Tariffs Jul2021'!M99),($C$5*'Tariffs Jul2021'!AK99/'Tariffs Jul2021'!AI99-'Tariffs Jul2021'!M99)*'Tariffs Jul2021'!S99/100*'Tariffs Jul2021'!AI99,0)</f>
        <v>0</v>
      </c>
      <c r="J105" s="69">
        <f>IF($C$5*'Tariffs Jul2021'!AL99/'Tariffs Jul2021'!AJ99&gt;='Tariffs Jul2021'!J99,('Tariffs Jul2021'!J99*'Tariffs Jul2021'!U99/100)* 'Tariffs Jul2021'!AJ99,($C$5*'Tariffs Jul2021'!AL99/'Tariffs Jul2021'!AJ99*'Tariffs Jul2021'!U99/100)* 'Tariffs Jul2021'!AJ99)</f>
        <v>343.60199999999998</v>
      </c>
      <c r="K105" s="69">
        <f>IF($C$5*'Tariffs Jul2021'!AL99/'Tariffs Jul2021'!AJ99&lt;'Tariffs Jul2021'!J99,0,IF($C$5*'Tariffs Jul2021'!AL99/'Tariffs Jul2021'!AJ99&lt;='Tariffs Jul2021'!K99,($C$5*'Tariffs Jul2021'!AL99/'Tariffs Jul2021'!AJ99-'Tariffs Jul2021'!J99)*('Tariffs Jul2021'!V99/100)*'Tariffs Jul2021'!AJ99,('Tariffs Jul2021'!K99-'Tariffs Jul2021'!J99)*('Tariffs Jul2021'!V99/100)*'Tariffs Jul2021'!AJ99))</f>
        <v>0</v>
      </c>
      <c r="L105" s="69">
        <f>IF($C$5*'Tariffs Jul2021'!AL99/'Tariffs Jul2021'!AJ99&lt;'Tariffs Jul2021'!K99,0,IF($C$5*'Tariffs Jul2021'!AL99/'Tariffs Jul2021'!AJ99&lt;='Tariffs Jul2021'!L99,($C$5*'Tariffs Jul2021'!AL99/'Tariffs Jul2021'!AJ99-'Tariffs Jul2021'!K99)*('Tariffs Jul2021'!W99/100)*'Tariffs Jul2021'!AJ99,('Tariffs Jul2021'!L99-'Tariffs Jul2021'!K99)*('Tariffs Jul2021'!W99/100)*'Tariffs Jul2021'!AJ99))</f>
        <v>0</v>
      </c>
      <c r="M105" s="69">
        <f>IF($C$5*'Tariffs Jul2021'!AL99/'Tariffs Jul2021'!AJ99&lt;'Tariffs Jul2021'!L99,0,IF($C$5*'Tariffs Jul2021'!AL99/'Tariffs Jul2021'!AJ99&lt;='Tariffs Jul2021'!M99,($C$5*'Tariffs Jul2021'!AL99/'Tariffs Jul2021'!AJ99-'Tariffs Jul2021'!L99)*('Tariffs Jul2021'!X99/100)*'Tariffs Jul2021'!AJ99,('Tariffs Jul2021'!M99-'Tariffs Jul2021'!L99)*('Tariffs Jul2021'!X99/100)*'Tariffs Jul2021'!AJ99))</f>
        <v>0</v>
      </c>
      <c r="N105" s="69">
        <f>IF(($C$5*'Tariffs Jul2021'!AL99/'Tariffs Jul2021'!AJ99&gt;'Tariffs Jul2021'!M99),($C$5*'Tariffs Jul2021'!AL99/'Tariffs Jul2021'!AJ99-'Tariffs Jul2021'!M99)*'Tariffs Jul2021'!Y99/100*'Tariffs Jul2021'!AJ99,0)</f>
        <v>0</v>
      </c>
      <c r="O105" s="59">
        <f>SUM(E105:N105)</f>
        <v>590.84999999999991</v>
      </c>
      <c r="P105" s="503">
        <f t="shared" si="56"/>
        <v>649.93499999999995</v>
      </c>
      <c r="Q105" s="59">
        <f>D105+O105</f>
        <v>901.09999999999991</v>
      </c>
      <c r="R105" s="272">
        <f>Q105*1.1</f>
        <v>991.21</v>
      </c>
      <c r="S105" s="40">
        <f>'Tariffs Jul2021'!AN99</f>
        <v>0</v>
      </c>
      <c r="T105" s="40">
        <f>'Tariffs Jul2021'!AO99</f>
        <v>20</v>
      </c>
      <c r="U105" s="40">
        <f>'Tariffs Jul2021'!AP99</f>
        <v>0</v>
      </c>
      <c r="V105" s="40">
        <f>'Tariffs Jul2021'!AQ99</f>
        <v>0</v>
      </c>
      <c r="W105" s="537" t="str">
        <f t="shared" si="80"/>
        <v>Guaranteed off usage</v>
      </c>
      <c r="X105" s="538" t="str">
        <f t="shared" si="81"/>
        <v>Exclusive</v>
      </c>
      <c r="Y105" s="534">
        <f t="shared" ref="Y105" si="82">IF(AND(W105="Guaranteed off bill",X105="Inclusive"),((Q105*1.1)-((Q105*1.1)*S105/100))/1.1,IF(AND(W105="Guaranteed off usage",X105="Inclusive"),((Q105*1.1)-((P105*1.1)*T105/100))/1.1,IF(AND(W105="Guaranteed off bill",X105="Exclusive"),Q105-(Q105*S105/100),IF(AND(W105="Guaranteed off usage",X105="Exclusive"),Q105-(P105*T105/100),IF(X105="Inclusive",((Q105*1.1))/1.1,Q105)))))</f>
        <v>771.11299999999994</v>
      </c>
      <c r="Z105" s="535">
        <f t="shared" ref="Z105" si="83">IF(AND(W105="Pay-on-time off bill",X105="Inclusive"),((Y105*1.1)-((Y105*1.1)*U105/100))/1.1,IF(AND(W105="Pay-on-time off usage",X105="Inclusive"),((Y105*1.1)-((P105*1.1)*V105/100))/1.1,IF(AND(W105="Pay-on-time off bill",X105="Exclusive"),Y105-(Y105*U105/100),IF(AND(W105="Pay-on-time off usage",X105="Exclusive"),Y105-(P105*V105/100),IF(X105="Inclusive",((Y105*1.1))/1.1,Y105)))))</f>
        <v>771.11299999999994</v>
      </c>
      <c r="AA105" s="542">
        <f t="shared" si="79"/>
        <v>848.22429999999997</v>
      </c>
      <c r="AB105" s="542">
        <f t="shared" si="79"/>
        <v>848.22429999999997</v>
      </c>
      <c r="AC105" s="274">
        <f>'Tariffs Jul2021'!AZ99</f>
        <v>0</v>
      </c>
      <c r="AD105" s="274" t="str">
        <f>'Tariffs Jul2021'!BA99</f>
        <v>n</v>
      </c>
      <c r="AE105" s="275" t="str">
        <f>'Tariffs Jul2021'!BJ99</f>
        <v>N</v>
      </c>
      <c r="AF105" s="574"/>
      <c r="AG105" s="574"/>
      <c r="AH105" s="574"/>
      <c r="AI105" s="574"/>
      <c r="AJ105" s="574"/>
      <c r="AK105" s="574"/>
      <c r="AL105" s="574"/>
      <c r="AM105" s="574"/>
      <c r="AN105" s="574"/>
      <c r="AO105" s="574"/>
      <c r="AP105" s="574"/>
      <c r="AQ105" s="574"/>
      <c r="AR105" s="574"/>
      <c r="AS105" s="574"/>
      <c r="AT105" s="574"/>
      <c r="AU105" s="574"/>
      <c r="AV105" s="574"/>
      <c r="AW105" s="574"/>
      <c r="AX105" s="574"/>
    </row>
    <row r="106" spans="1:50" ht="14" x14ac:dyDescent="0.15">
      <c r="A106" s="270" t="str">
        <f>'Tariffs Jul2021'!F100</f>
        <v>Dodo Power &amp; Gas</v>
      </c>
      <c r="B106" s="40" t="str">
        <f>'Tariffs Jul2021'!D100</f>
        <v>AusNet Services Central 2</v>
      </c>
      <c r="C106" s="40" t="str">
        <f>'Tariffs Jul2021'!G100</f>
        <v>Market offer</v>
      </c>
      <c r="D106" s="59">
        <f>365*'Tariffs Jul2021'!H100/100</f>
        <v>256.49545454545455</v>
      </c>
      <c r="E106" s="59">
        <f>IF($C$5*'Tariffs Jul2021'!AK100/'Tariffs Jul2021'!AI100&gt;='Tariffs Jul2021'!J100,( 'Tariffs Jul2021'!J100*'Tariffs Jul2021'!O100/100)* 'Tariffs Jul2021'!AI100,($C$5*'Tariffs Jul2021'!AK100/'Tariffs Jul2021'!AI100*'Tariffs Jul2021'!O100/100)* 'Tariffs Jul2021'!AI100)</f>
        <v>200.88899999999998</v>
      </c>
      <c r="F106" s="59">
        <f>IF($C$5*'Tariffs Jul2021'!AK100/'Tariffs Jul2021'!AI100&lt;'Tariffs Jul2021'!J100,0,IF($C$5*'Tariffs Jul2021'!AK100/'Tariffs Jul2021'!AI100&lt;='Tariffs Jul2021'!K100,($C$5*'Tariffs Jul2021'!AK100/'Tariffs Jul2021'!AI100-'Tariffs Jul2021'!J100)*('Tariffs Jul2021'!P100/100)*'Tariffs Jul2021'!AI100,('Tariffs Jul2021'!K100-'Tariffs Jul2021'!J100)*('Tariffs Jul2021'!P100/100)*'Tariffs Jul2021'!AI100))</f>
        <v>0</v>
      </c>
      <c r="G106" s="59">
        <f>IF($C$5*'Tariffs Jul2021'!AK100/'Tariffs Jul2021'!AI100&lt;'Tariffs Jul2021'!K100,0,IF($C$5*'Tariffs Jul2021'!AK100/'Tariffs Jul2021'!AI100&lt;='Tariffs Jul2021'!L100,($C$5*'Tariffs Jul2021'!AK100/'Tariffs Jul2021'!AI100-'Tariffs Jul2021'!K100)*('Tariffs Jul2021'!Q100/100)*'Tariffs Jul2021'!AI100,('Tariffs Jul2021'!L100-'Tariffs Jul2021'!K100)*('Tariffs Jul2021'!Q100/100)*'Tariffs Jul2021'!AI100))</f>
        <v>0</v>
      </c>
      <c r="H106" s="59">
        <f>IF($C$5*'Tariffs Jul2021'!AK100/'Tariffs Jul2021'!AI100&lt;'Tariffs Jul2021'!L100,0,IF($C$5*'Tariffs Jul2021'!AK100/'Tariffs Jul2021'!AI100&lt;='Tariffs Jul2021'!M100,($C$5*'Tariffs Jul2021'!AK100/'Tariffs Jul2021'!AI100-'Tariffs Jul2021'!L100)*('Tariffs Jul2021'!R100/100)*'Tariffs Jul2021'!AI100,('Tariffs Jul2021'!M100-'Tariffs Jul2021'!L100)*('Tariffs Jul2021'!R100/100)*'Tariffs Jul2021'!AI100))</f>
        <v>0</v>
      </c>
      <c r="I106" s="69">
        <f>IF(($C$5*'Tariffs Jul2021'!AK100/'Tariffs Jul2021'!AI100&gt;'Tariffs Jul2021'!M100),($C$5*'Tariffs Jul2021'!AK100/'Tariffs Jul2021'!AI100-'Tariffs Jul2021'!M100)*'Tariffs Jul2021'!S100/100*'Tariffs Jul2021'!AI100,0)</f>
        <v>0</v>
      </c>
      <c r="J106" s="69">
        <f>IF($C$5*'Tariffs Jul2021'!AL100/'Tariffs Jul2021'!AJ100&gt;='Tariffs Jul2021'!J100,('Tariffs Jul2021'!J100*'Tariffs Jul2021'!U100/100)* 'Tariffs Jul2021'!AJ100,($C$5*'Tariffs Jul2021'!AL100/'Tariffs Jul2021'!AJ100*'Tariffs Jul2021'!U100/100)* 'Tariffs Jul2021'!AJ100)</f>
        <v>312.69599999999997</v>
      </c>
      <c r="K106" s="69">
        <f>IF($C$5*'Tariffs Jul2021'!AL100/'Tariffs Jul2021'!AJ100&lt;'Tariffs Jul2021'!J100,0,IF($C$5*'Tariffs Jul2021'!AL100/'Tariffs Jul2021'!AJ100&lt;='Tariffs Jul2021'!K100,($C$5*'Tariffs Jul2021'!AL100/'Tariffs Jul2021'!AJ100-'Tariffs Jul2021'!J100)*('Tariffs Jul2021'!V100/100)*'Tariffs Jul2021'!AJ100,('Tariffs Jul2021'!K100-'Tariffs Jul2021'!J100)*('Tariffs Jul2021'!V100/100)*'Tariffs Jul2021'!AJ100))</f>
        <v>0</v>
      </c>
      <c r="L106" s="69">
        <f>IF($C$5*'Tariffs Jul2021'!AL100/'Tariffs Jul2021'!AJ100&lt;'Tariffs Jul2021'!K100,0,IF($C$5*'Tariffs Jul2021'!AL100/'Tariffs Jul2021'!AJ100&lt;='Tariffs Jul2021'!L100,($C$5*'Tariffs Jul2021'!AL100/'Tariffs Jul2021'!AJ100-'Tariffs Jul2021'!K100)*('Tariffs Jul2021'!W100/100)*'Tariffs Jul2021'!AJ100,('Tariffs Jul2021'!L100-'Tariffs Jul2021'!K100)*('Tariffs Jul2021'!W100/100)*'Tariffs Jul2021'!AJ100))</f>
        <v>0</v>
      </c>
      <c r="M106" s="69">
        <f>IF($C$5*'Tariffs Jul2021'!AL100/'Tariffs Jul2021'!AJ100&lt;'Tariffs Jul2021'!L100,0,IF($C$5*'Tariffs Jul2021'!AL100/'Tariffs Jul2021'!AJ100&lt;='Tariffs Jul2021'!M100,($C$5*'Tariffs Jul2021'!AL100/'Tariffs Jul2021'!AJ100-'Tariffs Jul2021'!L100)*('Tariffs Jul2021'!X100/100)*'Tariffs Jul2021'!AJ100,('Tariffs Jul2021'!M100-'Tariffs Jul2021'!L100)*('Tariffs Jul2021'!X100/100)*'Tariffs Jul2021'!AJ100))</f>
        <v>0</v>
      </c>
      <c r="N106" s="69">
        <f>IF(($C$5*'Tariffs Jul2021'!AL100/'Tariffs Jul2021'!AJ100&gt;'Tariffs Jul2021'!M100),($C$5*'Tariffs Jul2021'!AL100/'Tariffs Jul2021'!AJ100-'Tariffs Jul2021'!M100)*'Tariffs Jul2021'!Y100/100*'Tariffs Jul2021'!AJ100,0)</f>
        <v>0</v>
      </c>
      <c r="O106" s="59">
        <f t="shared" si="72"/>
        <v>513.58499999999992</v>
      </c>
      <c r="P106" s="503">
        <f t="shared" si="56"/>
        <v>564.94349999999997</v>
      </c>
      <c r="Q106" s="59">
        <f t="shared" si="73"/>
        <v>770.08045454545447</v>
      </c>
      <c r="R106" s="272">
        <f t="shared" si="74"/>
        <v>847.08849999999995</v>
      </c>
      <c r="S106" s="40">
        <f>'Tariffs Jul2021'!AN100</f>
        <v>0</v>
      </c>
      <c r="T106" s="40">
        <f>'Tariffs Jul2021'!AO100</f>
        <v>0</v>
      </c>
      <c r="U106" s="40">
        <f>'Tariffs Jul2021'!AP100</f>
        <v>0</v>
      </c>
      <c r="V106" s="40">
        <f>'Tariffs Jul2021'!AQ100</f>
        <v>0</v>
      </c>
      <c r="W106" s="537" t="str">
        <f t="shared" si="80"/>
        <v>No discount</v>
      </c>
      <c r="X106" s="538" t="str">
        <f t="shared" si="81"/>
        <v>Exclusive</v>
      </c>
      <c r="Y106" s="534">
        <f>IF(AND(W106="Guaranteed off bill",X106="Inclusive"),((Q106*1.1)-((Q106*1.1)*S106/100))/1.1,IF(AND(W106="Guaranteed off usage",X106="Inclusive"),((Q106*1.1)-((P106*1.1)*T106/100))/1.1,IF(AND(W106="Guaranteed off bill",X106="Exclusive"),Q106-(Q106*S106/100),IF(AND(W106="Guaranteed off usage",X106="Exclusive"),Q106-(P106*T106/100),IF(X106="Inclusive",((Q106*1.1))/1.1,Q106)))))</f>
        <v>770.08045454545447</v>
      </c>
      <c r="Z106" s="535">
        <f>IF(AND(W106="Pay-on-time off bill",X106="Inclusive"),((Y106*1.1)-((Y106*1.1)*U106/100))/1.1,IF(AND(W106="Pay-on-time off usage",X106="Inclusive"),((Y106*1.1)-((P106*1.1)*V106/100))/1.1,IF(AND(W106="Pay-on-time off bill",X106="Exclusive"),Y106-(Y106*U106/100),IF(AND(W106="Pay-on-time off usage",X106="Exclusive"),Y106-(P106*V106/100),IF(X106="Inclusive",((Y106*1.1))/1.1,Y106)))))</f>
        <v>770.08045454545447</v>
      </c>
      <c r="AA106" s="542">
        <f t="shared" si="79"/>
        <v>847.08849999999995</v>
      </c>
      <c r="AB106" s="542">
        <f t="shared" si="79"/>
        <v>847.08849999999995</v>
      </c>
      <c r="AC106" s="274">
        <f>'Tariffs Jul2021'!AZ100</f>
        <v>0</v>
      </c>
      <c r="AD106" s="274" t="str">
        <f>'Tariffs Jul2021'!BA100</f>
        <v>n</v>
      </c>
      <c r="AE106" s="275" t="str">
        <f>'Tariffs Jul2021'!BJ100</f>
        <v>N</v>
      </c>
      <c r="AF106" s="574"/>
      <c r="AG106" s="574"/>
      <c r="AH106" s="574"/>
      <c r="AI106" s="574"/>
      <c r="AJ106" s="574"/>
      <c r="AK106" s="574"/>
      <c r="AL106" s="574"/>
      <c r="AM106" s="574"/>
      <c r="AN106" s="574"/>
      <c r="AO106" s="574"/>
      <c r="AP106" s="574"/>
      <c r="AQ106" s="574"/>
      <c r="AR106" s="574"/>
      <c r="AS106" s="574"/>
      <c r="AT106" s="574"/>
      <c r="AU106" s="574"/>
      <c r="AV106" s="574"/>
      <c r="AW106" s="574"/>
      <c r="AX106" s="574"/>
    </row>
    <row r="107" spans="1:50" ht="14" x14ac:dyDescent="0.15">
      <c r="A107" s="270" t="str">
        <f>'Tariffs Jul2021'!F101</f>
        <v>EnergyAustralia</v>
      </c>
      <c r="B107" s="40" t="str">
        <f>'Tariffs Jul2021'!D101</f>
        <v>AusNet Services Central 2</v>
      </c>
      <c r="C107" s="40" t="str">
        <f>'Tariffs Jul2021'!G101</f>
        <v>Total Plan</v>
      </c>
      <c r="D107" s="59">
        <f>365*'Tariffs Jul2021'!H101/100</f>
        <v>370.11</v>
      </c>
      <c r="E107" s="59">
        <f>IF($C$5*'Tariffs Jul2021'!AK101/'Tariffs Jul2021'!AI101&gt;='Tariffs Jul2021'!J101,( 'Tariffs Jul2021'!J101*'Tariffs Jul2021'!O101/100)* 'Tariffs Jul2021'!AI101,($C$5*'Tariffs Jul2021'!AK101/'Tariffs Jul2021'!AI101*'Tariffs Jul2021'!O101/100)* 'Tariffs Jul2021'!AI101)</f>
        <v>287.24399999999997</v>
      </c>
      <c r="F107" s="59">
        <f>IF($C$5*'Tariffs Jul2021'!AK101/'Tariffs Jul2021'!AI101&lt;'Tariffs Jul2021'!J101,0,IF($C$5*'Tariffs Jul2021'!AK101/'Tariffs Jul2021'!AI101&lt;='Tariffs Jul2021'!K101,($C$5*'Tariffs Jul2021'!AK101/'Tariffs Jul2021'!AI101-'Tariffs Jul2021'!J101)*('Tariffs Jul2021'!P101/100)*'Tariffs Jul2021'!AI101,('Tariffs Jul2021'!K101-'Tariffs Jul2021'!J101)*('Tariffs Jul2021'!P101/100)*'Tariffs Jul2021'!AI101))</f>
        <v>0</v>
      </c>
      <c r="G107" s="59">
        <f>IF($C$5*'Tariffs Jul2021'!AK101/'Tariffs Jul2021'!AI101&lt;'Tariffs Jul2021'!K101,0,IF($C$5*'Tariffs Jul2021'!AK101/'Tariffs Jul2021'!AI101&lt;='Tariffs Jul2021'!L101,($C$5*'Tariffs Jul2021'!AK101/'Tariffs Jul2021'!AI101-'Tariffs Jul2021'!K101)*('Tariffs Jul2021'!Q101/100)*'Tariffs Jul2021'!AI101,('Tariffs Jul2021'!L101-'Tariffs Jul2021'!K101)*('Tariffs Jul2021'!Q101/100)*'Tariffs Jul2021'!AI101))</f>
        <v>0</v>
      </c>
      <c r="H107" s="59">
        <f>IF($C$5*'Tariffs Jul2021'!AK101/'Tariffs Jul2021'!AI101&lt;'Tariffs Jul2021'!L101,0,IF($C$5*'Tariffs Jul2021'!AK101/'Tariffs Jul2021'!AI101&lt;='Tariffs Jul2021'!M101,($C$5*'Tariffs Jul2021'!AK101/'Tariffs Jul2021'!AI101-'Tariffs Jul2021'!L101)*('Tariffs Jul2021'!R101/100)*'Tariffs Jul2021'!AI101,('Tariffs Jul2021'!M101-'Tariffs Jul2021'!L101)*('Tariffs Jul2021'!R101/100)*'Tariffs Jul2021'!AI101))</f>
        <v>0</v>
      </c>
      <c r="I107" s="69">
        <f>IF(($C$5*'Tariffs Jul2021'!AK101/'Tariffs Jul2021'!AI101&gt;'Tariffs Jul2021'!M101),($C$5*'Tariffs Jul2021'!AK101/'Tariffs Jul2021'!AI101-'Tariffs Jul2021'!M101)*'Tariffs Jul2021'!S101/100*'Tariffs Jul2021'!AI101,0)</f>
        <v>0</v>
      </c>
      <c r="J107" s="69">
        <f>IF($C$5*'Tariffs Jul2021'!AL101/'Tariffs Jul2021'!AJ101&gt;='Tariffs Jul2021'!J101,('Tariffs Jul2021'!J101*'Tariffs Jul2021'!U101/100)* 'Tariffs Jul2021'!AJ101,($C$5*'Tariffs Jul2021'!AL101/'Tariffs Jul2021'!AJ101*'Tariffs Jul2021'!U101/100)* 'Tariffs Jul2021'!AJ101)</f>
        <v>445.40999999999991</v>
      </c>
      <c r="K107" s="69">
        <f>IF($C$5*'Tariffs Jul2021'!AL101/'Tariffs Jul2021'!AJ101&lt;'Tariffs Jul2021'!J101,0,IF($C$5*'Tariffs Jul2021'!AL101/'Tariffs Jul2021'!AJ101&lt;='Tariffs Jul2021'!K101,($C$5*'Tariffs Jul2021'!AL101/'Tariffs Jul2021'!AJ101-'Tariffs Jul2021'!J101)*('Tariffs Jul2021'!V101/100)*'Tariffs Jul2021'!AJ101,('Tariffs Jul2021'!K101-'Tariffs Jul2021'!J101)*('Tariffs Jul2021'!V101/100)*'Tariffs Jul2021'!AJ101))</f>
        <v>0</v>
      </c>
      <c r="L107" s="69">
        <f>IF($C$5*'Tariffs Jul2021'!AL101/'Tariffs Jul2021'!AJ101&lt;'Tariffs Jul2021'!K101,0,IF($C$5*'Tariffs Jul2021'!AL101/'Tariffs Jul2021'!AJ101&lt;='Tariffs Jul2021'!L101,($C$5*'Tariffs Jul2021'!AL101/'Tariffs Jul2021'!AJ101-'Tariffs Jul2021'!K101)*('Tariffs Jul2021'!W101/100)*'Tariffs Jul2021'!AJ101,('Tariffs Jul2021'!L101-'Tariffs Jul2021'!K101)*('Tariffs Jul2021'!W101/100)*'Tariffs Jul2021'!AJ101))</f>
        <v>0</v>
      </c>
      <c r="M107" s="69">
        <f>IF($C$5*'Tariffs Jul2021'!AL101/'Tariffs Jul2021'!AJ101&lt;'Tariffs Jul2021'!L101,0,IF($C$5*'Tariffs Jul2021'!AL101/'Tariffs Jul2021'!AJ101&lt;='Tariffs Jul2021'!M101,($C$5*'Tariffs Jul2021'!AL101/'Tariffs Jul2021'!AJ101-'Tariffs Jul2021'!L101)*('Tariffs Jul2021'!X101/100)*'Tariffs Jul2021'!AJ101,('Tariffs Jul2021'!M101-'Tariffs Jul2021'!L101)*('Tariffs Jul2021'!X101/100)*'Tariffs Jul2021'!AJ101))</f>
        <v>0</v>
      </c>
      <c r="N107" s="69">
        <f>IF(($C$5*'Tariffs Jul2021'!AL101/'Tariffs Jul2021'!AJ101&gt;'Tariffs Jul2021'!M101),($C$5*'Tariffs Jul2021'!AL101/'Tariffs Jul2021'!AJ101-'Tariffs Jul2021'!M101)*'Tariffs Jul2021'!Y101/100*'Tariffs Jul2021'!AJ101,0)</f>
        <v>0</v>
      </c>
      <c r="O107" s="59">
        <f t="shared" si="72"/>
        <v>732.65399999999988</v>
      </c>
      <c r="P107" s="503">
        <f t="shared" si="56"/>
        <v>805.91939999999988</v>
      </c>
      <c r="Q107" s="59">
        <f t="shared" si="73"/>
        <v>1102.7639999999999</v>
      </c>
      <c r="R107" s="272">
        <f t="shared" si="74"/>
        <v>1213.0404000000001</v>
      </c>
      <c r="S107" s="40">
        <f>'Tariffs Jul2021'!AN101</f>
        <v>26</v>
      </c>
      <c r="T107" s="40">
        <f>'Tariffs Jul2021'!AO101</f>
        <v>0</v>
      </c>
      <c r="U107" s="40">
        <f>'Tariffs Jul2021'!AP101</f>
        <v>0</v>
      </c>
      <c r="V107" s="40">
        <f>'Tariffs Jul2021'!AQ101</f>
        <v>0</v>
      </c>
      <c r="W107" s="537" t="str">
        <f t="shared" si="80"/>
        <v>Guaranteed off bill</v>
      </c>
      <c r="X107" s="538" t="str">
        <f t="shared" si="81"/>
        <v>Exclusive</v>
      </c>
      <c r="Y107" s="534">
        <f t="shared" ref="Y107" si="84">IF(AND(W107="Guaranteed off bill",X107="Inclusive"),((Q107*1.1)-((Q107*1.1)*S107/100))/1.1,IF(AND(W107="Guaranteed off usage",X107="Inclusive"),((Q107*1.1)-((P107*1.1)*T107/100))/1.1,IF(AND(W107="Guaranteed off bill",X107="Exclusive"),Q107-(Q107*S107/100),IF(AND(W107="Guaranteed off usage",X107="Exclusive"),Q107-(P107*T107/100),IF(X107="Inclusive",((Q107*1.1))/1.1,Q107)))))</f>
        <v>816.04535999999985</v>
      </c>
      <c r="Z107" s="535">
        <f t="shared" ref="Z107" si="85">IF(AND(W107="Pay-on-time off bill",X107="Inclusive"),((Y107*1.1)-((Y107*1.1)*U107/100))/1.1,IF(AND(W107="Pay-on-time off usage",X107="Inclusive"),((Y107*1.1)-((P107*1.1)*V107/100))/1.1,IF(AND(W107="Pay-on-time off bill",X107="Exclusive"),Y107-(Y107*U107/100),IF(AND(W107="Pay-on-time off usage",X107="Exclusive"),Y107-(P107*V107/100),IF(X107="Inclusive",((Y107*1.1))/1.1,Y107)))))</f>
        <v>816.04535999999985</v>
      </c>
      <c r="AA107" s="542">
        <f t="shared" si="79"/>
        <v>897.6498959999999</v>
      </c>
      <c r="AB107" s="542">
        <f t="shared" si="79"/>
        <v>897.6498959999999</v>
      </c>
      <c r="AC107" s="274">
        <f>'Tariffs Jul2021'!AZ101</f>
        <v>12</v>
      </c>
      <c r="AD107" s="274" t="str">
        <f>'Tariffs Jul2021'!BA101</f>
        <v>n</v>
      </c>
      <c r="AE107" s="275" t="str">
        <f>'Tariffs Jul2021'!BJ101</f>
        <v>N</v>
      </c>
      <c r="AF107" s="574"/>
      <c r="AG107" s="574"/>
      <c r="AH107" s="574"/>
      <c r="AI107" s="574"/>
      <c r="AJ107" s="574"/>
      <c r="AK107" s="574"/>
      <c r="AL107" s="574"/>
      <c r="AM107" s="574"/>
      <c r="AN107" s="574"/>
      <c r="AO107" s="574"/>
      <c r="AP107" s="574"/>
      <c r="AQ107" s="574"/>
      <c r="AR107" s="574"/>
      <c r="AS107" s="574"/>
      <c r="AT107" s="574"/>
      <c r="AU107" s="574"/>
      <c r="AV107" s="574"/>
      <c r="AW107" s="574"/>
      <c r="AX107" s="574"/>
    </row>
    <row r="108" spans="1:50" ht="14" x14ac:dyDescent="0.15">
      <c r="A108" s="270" t="str">
        <f>'Tariffs Jul2021'!F102</f>
        <v>Lumo Energy</v>
      </c>
      <c r="B108" s="40" t="str">
        <f>'Tariffs Jul2021'!D102</f>
        <v>AusNet Services Central 2</v>
      </c>
      <c r="C108" s="40" t="str">
        <f>'Tariffs Jul2021'!G102</f>
        <v>Value</v>
      </c>
      <c r="D108" s="59">
        <f>365*'Tariffs Jul2021'!H102/100</f>
        <v>286.89</v>
      </c>
      <c r="E108" s="59">
        <f>IF($C$5*'Tariffs Jul2021'!AK102/'Tariffs Jul2021'!AI102&gt;='Tariffs Jul2021'!J102,( 'Tariffs Jul2021'!J102*'Tariffs Jul2021'!O102/100)* 'Tariffs Jul2021'!AI102,($C$5*'Tariffs Jul2021'!AK102/'Tariffs Jul2021'!AI102*'Tariffs Jul2021'!O102/100)* 'Tariffs Jul2021'!AI102)</f>
        <v>197.25299999999996</v>
      </c>
      <c r="F108" s="59">
        <f>IF($C$5*'Tariffs Jul2021'!AK102/'Tariffs Jul2021'!AI102&lt;'Tariffs Jul2021'!J102,0,IF($C$5*'Tariffs Jul2021'!AK102/'Tariffs Jul2021'!AI102&lt;='Tariffs Jul2021'!K102,($C$5*'Tariffs Jul2021'!AK102/'Tariffs Jul2021'!AI102-'Tariffs Jul2021'!J102)*('Tariffs Jul2021'!P102/100)*'Tariffs Jul2021'!AI102,('Tariffs Jul2021'!K102-'Tariffs Jul2021'!J102)*('Tariffs Jul2021'!P102/100)*'Tariffs Jul2021'!AI102))</f>
        <v>0</v>
      </c>
      <c r="G108" s="59">
        <f>IF($C$5*'Tariffs Jul2021'!AK102/'Tariffs Jul2021'!AI102&lt;'Tariffs Jul2021'!K102,0,IF($C$5*'Tariffs Jul2021'!AK102/'Tariffs Jul2021'!AI102&lt;='Tariffs Jul2021'!L102,($C$5*'Tariffs Jul2021'!AK102/'Tariffs Jul2021'!AI102-'Tariffs Jul2021'!K102)*('Tariffs Jul2021'!Q102/100)*'Tariffs Jul2021'!AI102,('Tariffs Jul2021'!L102-'Tariffs Jul2021'!K102)*('Tariffs Jul2021'!Q102/100)*'Tariffs Jul2021'!AI102))</f>
        <v>0</v>
      </c>
      <c r="H108" s="59">
        <f>IF($C$5*'Tariffs Jul2021'!AK102/'Tariffs Jul2021'!AI102&lt;'Tariffs Jul2021'!L102,0,IF($C$5*'Tariffs Jul2021'!AK102/'Tariffs Jul2021'!AI102&lt;='Tariffs Jul2021'!M102,($C$5*'Tariffs Jul2021'!AK102/'Tariffs Jul2021'!AI102-'Tariffs Jul2021'!L102)*('Tariffs Jul2021'!R102/100)*'Tariffs Jul2021'!AI102,('Tariffs Jul2021'!M102-'Tariffs Jul2021'!L102)*('Tariffs Jul2021'!R102/100)*'Tariffs Jul2021'!AI102))</f>
        <v>0</v>
      </c>
      <c r="I108" s="69">
        <f>IF(($C$5*'Tariffs Jul2021'!AK102/'Tariffs Jul2021'!AI102&gt;'Tariffs Jul2021'!M102),($C$5*'Tariffs Jul2021'!AK102/'Tariffs Jul2021'!AI102-'Tariffs Jul2021'!M102)*'Tariffs Jul2021'!S102/100*'Tariffs Jul2021'!AI102,0)</f>
        <v>0</v>
      </c>
      <c r="J108" s="69">
        <f>IF($C$5*'Tariffs Jul2021'!AL102/'Tariffs Jul2021'!AJ102&gt;='Tariffs Jul2021'!J102,('Tariffs Jul2021'!J102*'Tariffs Jul2021'!U102/100)* 'Tariffs Jul2021'!AJ102,($C$5*'Tariffs Jul2021'!AL102/'Tariffs Jul2021'!AJ102*'Tariffs Jul2021'!U102/100)* 'Tariffs Jul2021'!AJ102)</f>
        <v>336.33</v>
      </c>
      <c r="K108" s="69">
        <f>IF($C$5*'Tariffs Jul2021'!AL102/'Tariffs Jul2021'!AJ102&lt;'Tariffs Jul2021'!J102,0,IF($C$5*'Tariffs Jul2021'!AL102/'Tariffs Jul2021'!AJ102&lt;='Tariffs Jul2021'!K102,($C$5*'Tariffs Jul2021'!AL102/'Tariffs Jul2021'!AJ102-'Tariffs Jul2021'!J102)*('Tariffs Jul2021'!V102/100)*'Tariffs Jul2021'!AJ102,('Tariffs Jul2021'!K102-'Tariffs Jul2021'!J102)*('Tariffs Jul2021'!V102/100)*'Tariffs Jul2021'!AJ102))</f>
        <v>0</v>
      </c>
      <c r="L108" s="69">
        <f>IF($C$5*'Tariffs Jul2021'!AL102/'Tariffs Jul2021'!AJ102&lt;'Tariffs Jul2021'!K102,0,IF($C$5*'Tariffs Jul2021'!AL102/'Tariffs Jul2021'!AJ102&lt;='Tariffs Jul2021'!L102,($C$5*'Tariffs Jul2021'!AL102/'Tariffs Jul2021'!AJ102-'Tariffs Jul2021'!K102)*('Tariffs Jul2021'!W102/100)*'Tariffs Jul2021'!AJ102,('Tariffs Jul2021'!L102-'Tariffs Jul2021'!K102)*('Tariffs Jul2021'!W102/100)*'Tariffs Jul2021'!AJ102))</f>
        <v>0</v>
      </c>
      <c r="M108" s="69">
        <f>IF($C$5*'Tariffs Jul2021'!AL102/'Tariffs Jul2021'!AJ102&lt;'Tariffs Jul2021'!L102,0,IF($C$5*'Tariffs Jul2021'!AL102/'Tariffs Jul2021'!AJ102&lt;='Tariffs Jul2021'!M102,($C$5*'Tariffs Jul2021'!AL102/'Tariffs Jul2021'!AJ102-'Tariffs Jul2021'!L102)*('Tariffs Jul2021'!X102/100)*'Tariffs Jul2021'!AJ102,('Tariffs Jul2021'!M102-'Tariffs Jul2021'!L102)*('Tariffs Jul2021'!X102/100)*'Tariffs Jul2021'!AJ102))</f>
        <v>0</v>
      </c>
      <c r="N108" s="69">
        <f>IF(($C$5*'Tariffs Jul2021'!AL102/'Tariffs Jul2021'!AJ102&gt;'Tariffs Jul2021'!M102),($C$5*'Tariffs Jul2021'!AL102/'Tariffs Jul2021'!AJ102-'Tariffs Jul2021'!M102)*'Tariffs Jul2021'!Y102/100*'Tariffs Jul2021'!AJ102,0)</f>
        <v>0</v>
      </c>
      <c r="O108" s="59">
        <f t="shared" si="72"/>
        <v>533.58299999999997</v>
      </c>
      <c r="P108" s="503">
        <f t="shared" si="56"/>
        <v>586.94130000000007</v>
      </c>
      <c r="Q108" s="59">
        <f t="shared" si="73"/>
        <v>820.47299999999996</v>
      </c>
      <c r="R108" s="272">
        <f t="shared" si="74"/>
        <v>902.52030000000002</v>
      </c>
      <c r="S108" s="40">
        <f>'Tariffs Jul2021'!AN102</f>
        <v>0</v>
      </c>
      <c r="T108" s="40">
        <f>'Tariffs Jul2021'!AO102</f>
        <v>0</v>
      </c>
      <c r="U108" s="40">
        <f>'Tariffs Jul2021'!AP102</f>
        <v>0</v>
      </c>
      <c r="V108" s="40">
        <f>'Tariffs Jul2021'!AQ102</f>
        <v>0</v>
      </c>
      <c r="W108" s="537" t="str">
        <f t="shared" si="80"/>
        <v>No discount</v>
      </c>
      <c r="X108" s="538" t="str">
        <f t="shared" si="81"/>
        <v>Exclusive</v>
      </c>
      <c r="Y108" s="534">
        <f>IF(AND(W108="Guaranteed off bill",X108="Inclusive"),((Q108*1.1)-((Q108*1.1)*S108/100))/1.1,IF(AND(W108="Guaranteed off usage",X108="Inclusive"),((Q108*1.1)-((P108*1.1)*T108/100))/1.1,IF(AND(W108="Guaranteed off bill",X108="Exclusive"),Q108-(Q108*S108/100),IF(AND(W108="Guaranteed off usage",X108="Exclusive"),Q108-(P108*T108/100),IF(X108="Inclusive",((Q108*1.1))/1.1,Q108)))))</f>
        <v>820.47299999999996</v>
      </c>
      <c r="Z108" s="535">
        <f>IF(AND(W108="Pay-on-time off bill",X108="Inclusive"),((Y108*1.1)-((Y108*1.1)*U108/100))/1.1,IF(AND(W108="Pay-on-time off usage",X108="Inclusive"),((Y108*1.1)-((P108*1.1)*V108/100))/1.1,IF(AND(W108="Pay-on-time off bill",X108="Exclusive"),Y108-(Y108*U108/100),IF(AND(W108="Pay-on-time off usage",X108="Exclusive"),Y108-(P108*V108/100),IF(X108="Inclusive",((Y108*1.1))/1.1,Y108)))))</f>
        <v>820.47299999999996</v>
      </c>
      <c r="AA108" s="542">
        <f t="shared" si="79"/>
        <v>902.52030000000002</v>
      </c>
      <c r="AB108" s="542">
        <f t="shared" si="79"/>
        <v>902.52030000000002</v>
      </c>
      <c r="AC108" s="274">
        <f>'Tariffs Jul2021'!AZ102</f>
        <v>0</v>
      </c>
      <c r="AD108" s="274" t="str">
        <f>'Tariffs Jul2021'!BA102</f>
        <v>n</v>
      </c>
      <c r="AE108" s="275" t="str">
        <f>'Tariffs Jul2021'!BJ102</f>
        <v>N</v>
      </c>
      <c r="AF108" s="574"/>
      <c r="AG108" s="574"/>
      <c r="AH108" s="574"/>
      <c r="AI108" s="574"/>
      <c r="AJ108" s="574"/>
      <c r="AK108" s="574"/>
      <c r="AL108" s="574"/>
      <c r="AM108" s="574"/>
      <c r="AN108" s="574"/>
      <c r="AO108" s="574"/>
      <c r="AP108" s="574"/>
      <c r="AQ108" s="574"/>
      <c r="AR108" s="574"/>
      <c r="AS108" s="574"/>
      <c r="AT108" s="574"/>
      <c r="AU108" s="574"/>
      <c r="AV108" s="574"/>
      <c r="AW108" s="574"/>
      <c r="AX108" s="574"/>
    </row>
    <row r="109" spans="1:50" ht="14" x14ac:dyDescent="0.15">
      <c r="A109" s="270" t="str">
        <f>'Tariffs Jul2021'!F103</f>
        <v>Momentum Energy</v>
      </c>
      <c r="B109" s="40" t="str">
        <f>'Tariffs Jul2021'!D103</f>
        <v>AusNet Services Central 2</v>
      </c>
      <c r="C109" s="40" t="str">
        <f>'Tariffs Jul2021'!G103</f>
        <v>Market offer</v>
      </c>
      <c r="D109" s="59">
        <f>365*'Tariffs Jul2021'!H103/100</f>
        <v>362.44499999999999</v>
      </c>
      <c r="E109" s="59">
        <f>IF($C$5*'Tariffs Jul2021'!AK103/'Tariffs Jul2021'!AI103&gt;='Tariffs Jul2021'!J103,( 'Tariffs Jul2021'!J103*'Tariffs Jul2021'!O103/100)* 'Tariffs Jul2021'!AI103,($C$5*'Tariffs Jul2021'!AK103/'Tariffs Jul2021'!AI103*'Tariffs Jul2021'!O103/100)* 'Tariffs Jul2021'!AI103)</f>
        <v>219.97799999999995</v>
      </c>
      <c r="F109" s="59">
        <f>IF($C$5*'Tariffs Jul2021'!AK103/'Tariffs Jul2021'!AI103&lt;'Tariffs Jul2021'!J103,0,IF($C$5*'Tariffs Jul2021'!AK103/'Tariffs Jul2021'!AI103&lt;='Tariffs Jul2021'!K103,($C$5*'Tariffs Jul2021'!AK103/'Tariffs Jul2021'!AI103-'Tariffs Jul2021'!J103)*('Tariffs Jul2021'!P103/100)*'Tariffs Jul2021'!AI103,('Tariffs Jul2021'!K103-'Tariffs Jul2021'!J103)*('Tariffs Jul2021'!P103/100)*'Tariffs Jul2021'!AI103))</f>
        <v>0</v>
      </c>
      <c r="G109" s="59">
        <f>IF($C$5*'Tariffs Jul2021'!AK103/'Tariffs Jul2021'!AI103&lt;'Tariffs Jul2021'!K103,0,IF($C$5*'Tariffs Jul2021'!AK103/'Tariffs Jul2021'!AI103&lt;='Tariffs Jul2021'!L103,($C$5*'Tariffs Jul2021'!AK103/'Tariffs Jul2021'!AI103-'Tariffs Jul2021'!K103)*('Tariffs Jul2021'!Q103/100)*'Tariffs Jul2021'!AI103,('Tariffs Jul2021'!L103-'Tariffs Jul2021'!K103)*('Tariffs Jul2021'!Q103/100)*'Tariffs Jul2021'!AI103))</f>
        <v>0</v>
      </c>
      <c r="H109" s="59">
        <f>IF($C$5*'Tariffs Jul2021'!AK103/'Tariffs Jul2021'!AI103&lt;'Tariffs Jul2021'!L103,0,IF($C$5*'Tariffs Jul2021'!AK103/'Tariffs Jul2021'!AI103&lt;='Tariffs Jul2021'!M103,($C$5*'Tariffs Jul2021'!AK103/'Tariffs Jul2021'!AI103-'Tariffs Jul2021'!L103)*('Tariffs Jul2021'!R103/100)*'Tariffs Jul2021'!AI103,('Tariffs Jul2021'!M103-'Tariffs Jul2021'!L103)*('Tariffs Jul2021'!R103/100)*'Tariffs Jul2021'!AI103))</f>
        <v>0</v>
      </c>
      <c r="I109" s="69">
        <f>IF(($C$5*'Tariffs Jul2021'!AK103/'Tariffs Jul2021'!AI103&gt;'Tariffs Jul2021'!M103),($C$5*'Tariffs Jul2021'!AK103/'Tariffs Jul2021'!AI103-'Tariffs Jul2021'!M103)*'Tariffs Jul2021'!S103/100*'Tariffs Jul2021'!AI103,0)</f>
        <v>0</v>
      </c>
      <c r="J109" s="69">
        <f>IF($C$5*'Tariffs Jul2021'!AL103/'Tariffs Jul2021'!AJ103&gt;='Tariffs Jul2021'!J103,('Tariffs Jul2021'!J103*'Tariffs Jul2021'!U103/100)* 'Tariffs Jul2021'!AJ103,($C$5*'Tariffs Jul2021'!AL103/'Tariffs Jul2021'!AJ103*'Tariffs Jul2021'!U103/100)* 'Tariffs Jul2021'!AJ103)</f>
        <v>319.96799999999996</v>
      </c>
      <c r="K109" s="69">
        <f>IF($C$5*'Tariffs Jul2021'!AL103/'Tariffs Jul2021'!AJ103&lt;'Tariffs Jul2021'!J103,0,IF($C$5*'Tariffs Jul2021'!AL103/'Tariffs Jul2021'!AJ103&lt;='Tariffs Jul2021'!K103,($C$5*'Tariffs Jul2021'!AL103/'Tariffs Jul2021'!AJ103-'Tariffs Jul2021'!J103)*('Tariffs Jul2021'!V103/100)*'Tariffs Jul2021'!AJ103,('Tariffs Jul2021'!K103-'Tariffs Jul2021'!J103)*('Tariffs Jul2021'!V103/100)*'Tariffs Jul2021'!AJ103))</f>
        <v>0</v>
      </c>
      <c r="L109" s="69">
        <f>IF($C$5*'Tariffs Jul2021'!AL103/'Tariffs Jul2021'!AJ103&lt;'Tariffs Jul2021'!K103,0,IF($C$5*'Tariffs Jul2021'!AL103/'Tariffs Jul2021'!AJ103&lt;='Tariffs Jul2021'!L103,($C$5*'Tariffs Jul2021'!AL103/'Tariffs Jul2021'!AJ103-'Tariffs Jul2021'!K103)*('Tariffs Jul2021'!W103/100)*'Tariffs Jul2021'!AJ103,('Tariffs Jul2021'!L103-'Tariffs Jul2021'!K103)*('Tariffs Jul2021'!W103/100)*'Tariffs Jul2021'!AJ103))</f>
        <v>0</v>
      </c>
      <c r="M109" s="69">
        <f>IF($C$5*'Tariffs Jul2021'!AL103/'Tariffs Jul2021'!AJ103&lt;'Tariffs Jul2021'!L103,0,IF($C$5*'Tariffs Jul2021'!AL103/'Tariffs Jul2021'!AJ103&lt;='Tariffs Jul2021'!M103,($C$5*'Tariffs Jul2021'!AL103/'Tariffs Jul2021'!AJ103-'Tariffs Jul2021'!L103)*('Tariffs Jul2021'!X103/100)*'Tariffs Jul2021'!AJ103,('Tariffs Jul2021'!M103-'Tariffs Jul2021'!L103)*('Tariffs Jul2021'!X103/100)*'Tariffs Jul2021'!AJ103))</f>
        <v>0</v>
      </c>
      <c r="N109" s="69">
        <f>IF(($C$5*'Tariffs Jul2021'!AL103/'Tariffs Jul2021'!AJ103&gt;'Tariffs Jul2021'!M103),($C$5*'Tariffs Jul2021'!AL103/'Tariffs Jul2021'!AJ103-'Tariffs Jul2021'!M103)*'Tariffs Jul2021'!Y103/100*'Tariffs Jul2021'!AJ103,0)</f>
        <v>0</v>
      </c>
      <c r="O109" s="59">
        <f t="shared" si="72"/>
        <v>539.94599999999991</v>
      </c>
      <c r="P109" s="503">
        <f t="shared" si="56"/>
        <v>593.9405999999999</v>
      </c>
      <c r="Q109" s="59">
        <f t="shared" si="73"/>
        <v>902.39099999999985</v>
      </c>
      <c r="R109" s="272">
        <f t="shared" si="74"/>
        <v>992.63009999999997</v>
      </c>
      <c r="S109" s="40">
        <f>'Tariffs Jul2021'!AN103</f>
        <v>0</v>
      </c>
      <c r="T109" s="40">
        <f>'Tariffs Jul2021'!AO103</f>
        <v>0</v>
      </c>
      <c r="U109" s="40">
        <f>'Tariffs Jul2021'!AP103</f>
        <v>0</v>
      </c>
      <c r="V109" s="40">
        <f>'Tariffs Jul2021'!AQ103</f>
        <v>0</v>
      </c>
      <c r="W109" s="537" t="str">
        <f t="shared" si="80"/>
        <v>No discount</v>
      </c>
      <c r="X109" s="538" t="str">
        <f t="shared" si="81"/>
        <v>Exclusive</v>
      </c>
      <c r="Y109" s="534">
        <f t="shared" ref="Y109" si="86">IF(AND(W109="Guaranteed off bill",X109="Inclusive"),((Q109*1.1)-((Q109*1.1)*S109/100))/1.1,IF(AND(W109="Guaranteed off usage",X109="Inclusive"),((Q109*1.1)-((P109*1.1)*T109/100))/1.1,IF(AND(W109="Guaranteed off bill",X109="Exclusive"),Q109-(Q109*S109/100),IF(AND(W109="Guaranteed off usage",X109="Exclusive"),Q109-(P109*T109/100),IF(X109="Inclusive",((Q109*1.1))/1.1,Q109)))))</f>
        <v>902.39099999999985</v>
      </c>
      <c r="Z109" s="535">
        <f t="shared" ref="Z109" si="87">IF(AND(W109="Pay-on-time off bill",X109="Inclusive"),((Y109*1.1)-((Y109*1.1)*U109/100))/1.1,IF(AND(W109="Pay-on-time off usage",X109="Inclusive"),((Y109*1.1)-((P109*1.1)*V109/100))/1.1,IF(AND(W109="Pay-on-time off bill",X109="Exclusive"),Y109-(Y109*U109/100),IF(AND(W109="Pay-on-time off usage",X109="Exclusive"),Y109-(P109*V109/100),IF(X109="Inclusive",((Y109*1.1))/1.1,Y109)))))</f>
        <v>902.39099999999985</v>
      </c>
      <c r="AA109" s="542">
        <f t="shared" si="79"/>
        <v>992.63009999999997</v>
      </c>
      <c r="AB109" s="542">
        <f t="shared" si="79"/>
        <v>992.63009999999997</v>
      </c>
      <c r="AC109" s="274">
        <f>'Tariffs Jul2021'!AZ103</f>
        <v>0</v>
      </c>
      <c r="AD109" s="274" t="str">
        <f>'Tariffs Jul2021'!BA103</f>
        <v>n</v>
      </c>
      <c r="AE109" s="275" t="str">
        <f>'Tariffs Jul2021'!BJ103</f>
        <v>N</v>
      </c>
      <c r="AF109" s="574"/>
      <c r="AG109" s="574"/>
      <c r="AH109" s="574"/>
      <c r="AI109" s="574"/>
      <c r="AJ109" s="574"/>
      <c r="AK109" s="574"/>
      <c r="AL109" s="574"/>
      <c r="AM109" s="574"/>
      <c r="AN109" s="574"/>
      <c r="AO109" s="574"/>
      <c r="AP109" s="574"/>
      <c r="AQ109" s="574"/>
      <c r="AR109" s="574"/>
      <c r="AS109" s="574"/>
      <c r="AT109" s="574"/>
      <c r="AU109" s="574"/>
      <c r="AV109" s="574"/>
      <c r="AW109" s="574"/>
      <c r="AX109" s="574"/>
    </row>
    <row r="110" spans="1:50" ht="14" x14ac:dyDescent="0.15">
      <c r="A110" s="270" t="str">
        <f>'Tariffs Jul2021'!F104</f>
        <v>Origin Energy</v>
      </c>
      <c r="B110" s="40" t="str">
        <f>'Tariffs Jul2021'!D104</f>
        <v>AusNet Services Central 2</v>
      </c>
      <c r="C110" s="40" t="str">
        <f>'Tariffs Jul2021'!G104</f>
        <v>Go</v>
      </c>
      <c r="D110" s="59">
        <f>365*'Tariffs Jul2021'!H104/100</f>
        <v>260.21181818181816</v>
      </c>
      <c r="E110" s="59">
        <f>((C$5*'Tariffs Jul2021'!AK104/'Tariffs Jul2021'!AI104)*('Tariffs Jul2021'!O104/100))*'Tariffs Jul2021'!AI104</f>
        <v>287.72727272727269</v>
      </c>
      <c r="F110" s="59">
        <v>0</v>
      </c>
      <c r="G110" s="59">
        <v>0</v>
      </c>
      <c r="H110" s="59">
        <v>0</v>
      </c>
      <c r="I110" s="69">
        <v>0</v>
      </c>
      <c r="J110" s="69">
        <f>((C$5*'Tariffs Jul2021'!AL104/'Tariffs Jul2021'!AJ104)*('Tariffs Jul2021'!U104/100))*'Tariffs Jul2021'!AJ104</f>
        <v>287.72727272727269</v>
      </c>
      <c r="K110" s="69">
        <v>0</v>
      </c>
      <c r="L110" s="69">
        <v>0</v>
      </c>
      <c r="M110" s="69">
        <v>0</v>
      </c>
      <c r="N110" s="69">
        <v>0</v>
      </c>
      <c r="O110" s="59">
        <f t="shared" ref="O110" si="88">SUM(E110:N110)</f>
        <v>575.45454545454538</v>
      </c>
      <c r="P110" s="503">
        <f t="shared" si="56"/>
        <v>633</v>
      </c>
      <c r="Q110" s="59">
        <f t="shared" si="73"/>
        <v>835.66636363636349</v>
      </c>
      <c r="R110" s="272">
        <f t="shared" si="74"/>
        <v>919.23299999999995</v>
      </c>
      <c r="S110" s="40">
        <f>'Tariffs Jul2021'!AN104</f>
        <v>0</v>
      </c>
      <c r="T110" s="40">
        <f>'Tariffs Jul2021'!AO104</f>
        <v>0</v>
      </c>
      <c r="U110" s="40">
        <f>'Tariffs Jul2021'!AP104</f>
        <v>0</v>
      </c>
      <c r="V110" s="40">
        <f>'Tariffs Jul2021'!AQ104</f>
        <v>0</v>
      </c>
      <c r="W110" s="537" t="str">
        <f t="shared" si="80"/>
        <v>No discount</v>
      </c>
      <c r="X110" s="538" t="str">
        <f t="shared" si="81"/>
        <v>Inclusive</v>
      </c>
      <c r="Y110" s="534">
        <f>IF(AND(W110="Guaranteed off bill",X110="Inclusive"),((Q110*1.1)-((Q110*1.1)*S110/100))/1.1,IF(AND(W110="Guaranteed off usage",X110="Inclusive"),((Q110*1.1)-((P110*1.1)*T110/100))/1.1,IF(AND(W110="Guaranteed off bill",X110="Exclusive"),Q110-(Q110*S110/100),IF(AND(W110="Guaranteed off usage",X110="Exclusive"),Q110-(P110*T110/100),IF(X110="Inclusive",((Q110*1.1))/1.1,Q110)))))</f>
        <v>835.66636363636349</v>
      </c>
      <c r="Z110" s="535">
        <f>IF(AND(W110="Pay-on-time off bill",X110="Inclusive"),((Y110*1.1)-((Y110*1.1)*U110/100))/1.1,IF(AND(W110="Pay-on-time off usage",X110="Inclusive"),((Y110*1.1)-((P110*1.1)*V110/100))/1.1,IF(AND(W110="Pay-on-time off bill",X110="Exclusive"),Y110-(Y110*U110/100),IF(AND(W110="Pay-on-time off usage",X110="Exclusive"),Y110-(P110*V110/100),IF(X110="Inclusive",((Y110*1.1))/1.1,Y110)))))</f>
        <v>835.66636363636349</v>
      </c>
      <c r="AA110" s="542">
        <f t="shared" si="79"/>
        <v>919.23299999999995</v>
      </c>
      <c r="AB110" s="542">
        <f t="shared" si="79"/>
        <v>919.23299999999995</v>
      </c>
      <c r="AC110" s="274">
        <f>'Tariffs Jul2021'!AZ104</f>
        <v>0</v>
      </c>
      <c r="AD110" s="274" t="str">
        <f>'Tariffs Jul2021'!BA104</f>
        <v>n</v>
      </c>
      <c r="AE110" s="275" t="str">
        <f>'Tariffs Jul2021'!BJ104</f>
        <v>N</v>
      </c>
      <c r="AF110" s="574"/>
      <c r="AG110" s="574"/>
      <c r="AH110" s="574"/>
      <c r="AI110" s="574"/>
      <c r="AJ110" s="574"/>
      <c r="AK110" s="574"/>
      <c r="AL110" s="574"/>
      <c r="AM110" s="574"/>
      <c r="AN110" s="574"/>
      <c r="AO110" s="574"/>
      <c r="AP110" s="574"/>
      <c r="AQ110" s="574"/>
      <c r="AR110" s="574"/>
      <c r="AS110" s="574"/>
      <c r="AT110" s="574"/>
      <c r="AU110" s="574"/>
      <c r="AV110" s="574"/>
      <c r="AW110" s="574"/>
      <c r="AX110" s="574"/>
    </row>
    <row r="111" spans="1:50" ht="14" x14ac:dyDescent="0.15">
      <c r="A111" s="270" t="str">
        <f>'Tariffs Jul2021'!F105</f>
        <v>Red Energy</v>
      </c>
      <c r="B111" s="40" t="str">
        <f>'Tariffs Jul2021'!D105</f>
        <v>AusNet Services Central 2</v>
      </c>
      <c r="C111" s="40" t="str">
        <f>'Tariffs Jul2021'!G105</f>
        <v>Living Energy Saver</v>
      </c>
      <c r="D111" s="59">
        <f>365*'Tariffs Jul2021'!H105/100</f>
        <v>271.02909090909088</v>
      </c>
      <c r="E111" s="59">
        <f>IF($C$5*'Tariffs Jul2021'!AK105/'Tariffs Jul2021'!AI105&gt;='Tariffs Jul2021'!J105,( 'Tariffs Jul2021'!J105*'Tariffs Jul2021'!O105/100)* 'Tariffs Jul2021'!AI105,($C$5*'Tariffs Jul2021'!AK105/'Tariffs Jul2021'!AI105*'Tariffs Jul2021'!O105/100)* 'Tariffs Jul2021'!AI105)</f>
        <v>216.34200000000001</v>
      </c>
      <c r="F111" s="59">
        <f>IF($C$5*'Tariffs Jul2021'!AK105/'Tariffs Jul2021'!AI105&lt;'Tariffs Jul2021'!J105,0,IF($C$5*'Tariffs Jul2021'!AK105/'Tariffs Jul2021'!AI105&lt;='Tariffs Jul2021'!K105,($C$5*'Tariffs Jul2021'!AK105/'Tariffs Jul2021'!AI105-'Tariffs Jul2021'!J105)*('Tariffs Jul2021'!P105/100)*'Tariffs Jul2021'!AI105,('Tariffs Jul2021'!K105-'Tariffs Jul2021'!J105)*('Tariffs Jul2021'!P105/100)*'Tariffs Jul2021'!AI105))</f>
        <v>0</v>
      </c>
      <c r="G111" s="59">
        <f>IF($C$5*'Tariffs Jul2021'!AK105/'Tariffs Jul2021'!AI105&lt;'Tariffs Jul2021'!K105,0,IF($C$5*'Tariffs Jul2021'!AK105/'Tariffs Jul2021'!AI105&lt;='Tariffs Jul2021'!L105,($C$5*'Tariffs Jul2021'!AK105/'Tariffs Jul2021'!AI105-'Tariffs Jul2021'!K105)*('Tariffs Jul2021'!Q105/100)*'Tariffs Jul2021'!AI105,('Tariffs Jul2021'!L105-'Tariffs Jul2021'!K105)*('Tariffs Jul2021'!Q105/100)*'Tariffs Jul2021'!AI105))</f>
        <v>0</v>
      </c>
      <c r="H111" s="59">
        <f>IF($C$5*'Tariffs Jul2021'!AK105/'Tariffs Jul2021'!AI105&lt;'Tariffs Jul2021'!L105,0,IF($C$5*'Tariffs Jul2021'!AK105/'Tariffs Jul2021'!AI105&lt;='Tariffs Jul2021'!M105,($C$5*'Tariffs Jul2021'!AK105/'Tariffs Jul2021'!AI105-'Tariffs Jul2021'!L105)*('Tariffs Jul2021'!R105/100)*'Tariffs Jul2021'!AI105,('Tariffs Jul2021'!M105-'Tariffs Jul2021'!L105)*('Tariffs Jul2021'!R105/100)*'Tariffs Jul2021'!AI105))</f>
        <v>0</v>
      </c>
      <c r="I111" s="69">
        <f>IF(($C$5*'Tariffs Jul2021'!AK105/'Tariffs Jul2021'!AI105&gt;'Tariffs Jul2021'!M105),($C$5*'Tariffs Jul2021'!AK105/'Tariffs Jul2021'!AI105-'Tariffs Jul2021'!M105)*'Tariffs Jul2021'!S105/100*'Tariffs Jul2021'!AI105,0)</f>
        <v>0</v>
      </c>
      <c r="J111" s="69">
        <f>IF($C$5*'Tariffs Jul2021'!AL105/'Tariffs Jul2021'!AJ105&gt;='Tariffs Jul2021'!J105,('Tariffs Jul2021'!J105*'Tariffs Jul2021'!U105/100)* 'Tariffs Jul2021'!AJ105,($C$5*'Tariffs Jul2021'!AL105/'Tariffs Jul2021'!AJ105*'Tariffs Jul2021'!U105/100)* 'Tariffs Jul2021'!AJ105)</f>
        <v>350.87399999999997</v>
      </c>
      <c r="K111" s="69">
        <f>IF($C$5*'Tariffs Jul2021'!AL105/'Tariffs Jul2021'!AJ105&lt;'Tariffs Jul2021'!J105,0,IF($C$5*'Tariffs Jul2021'!AL105/'Tariffs Jul2021'!AJ105&lt;='Tariffs Jul2021'!K105,($C$5*'Tariffs Jul2021'!AL105/'Tariffs Jul2021'!AJ105-'Tariffs Jul2021'!J105)*('Tariffs Jul2021'!V105/100)*'Tariffs Jul2021'!AJ105,('Tariffs Jul2021'!K105-'Tariffs Jul2021'!J105)*('Tariffs Jul2021'!V105/100)*'Tariffs Jul2021'!AJ105))</f>
        <v>0</v>
      </c>
      <c r="L111" s="69">
        <f>IF($C$5*'Tariffs Jul2021'!AL105/'Tariffs Jul2021'!AJ105&lt;'Tariffs Jul2021'!K105,0,IF($C$5*'Tariffs Jul2021'!AL105/'Tariffs Jul2021'!AJ105&lt;='Tariffs Jul2021'!L105,($C$5*'Tariffs Jul2021'!AL105/'Tariffs Jul2021'!AJ105-'Tariffs Jul2021'!K105)*('Tariffs Jul2021'!W105/100)*'Tariffs Jul2021'!AJ105,('Tariffs Jul2021'!L105-'Tariffs Jul2021'!K105)*('Tariffs Jul2021'!W105/100)*'Tariffs Jul2021'!AJ105))</f>
        <v>0</v>
      </c>
      <c r="M111" s="69">
        <f>IF($C$5*'Tariffs Jul2021'!AL105/'Tariffs Jul2021'!AJ105&lt;'Tariffs Jul2021'!L105,0,IF($C$5*'Tariffs Jul2021'!AL105/'Tariffs Jul2021'!AJ105&lt;='Tariffs Jul2021'!M105,($C$5*'Tariffs Jul2021'!AL105/'Tariffs Jul2021'!AJ105-'Tariffs Jul2021'!L105)*('Tariffs Jul2021'!X105/100)*'Tariffs Jul2021'!AJ105,('Tariffs Jul2021'!M105-'Tariffs Jul2021'!L105)*('Tariffs Jul2021'!X105/100)*'Tariffs Jul2021'!AJ105))</f>
        <v>0</v>
      </c>
      <c r="N111" s="69">
        <f>IF(($C$5*'Tariffs Jul2021'!AL105/'Tariffs Jul2021'!AJ105&gt;'Tariffs Jul2021'!M105),($C$5*'Tariffs Jul2021'!AL105/'Tariffs Jul2021'!AJ105-'Tariffs Jul2021'!M105)*'Tariffs Jul2021'!Y105/100*'Tariffs Jul2021'!AJ105,0)</f>
        <v>0</v>
      </c>
      <c r="O111" s="59">
        <f t="shared" si="72"/>
        <v>567.21600000000001</v>
      </c>
      <c r="P111" s="503">
        <f t="shared" si="56"/>
        <v>623.93760000000009</v>
      </c>
      <c r="Q111" s="59">
        <f t="shared" si="73"/>
        <v>838.24509090909089</v>
      </c>
      <c r="R111" s="272">
        <f t="shared" si="74"/>
        <v>922.06960000000004</v>
      </c>
      <c r="S111" s="40">
        <f>'Tariffs Jul2021'!AN105</f>
        <v>0</v>
      </c>
      <c r="T111" s="40">
        <f>'Tariffs Jul2021'!AO105</f>
        <v>0</v>
      </c>
      <c r="U111" s="40">
        <f>'Tariffs Jul2021'!AP105</f>
        <v>0</v>
      </c>
      <c r="V111" s="40">
        <f>'Tariffs Jul2021'!AQ105</f>
        <v>0</v>
      </c>
      <c r="W111" s="537" t="str">
        <f t="shared" si="80"/>
        <v>No discount</v>
      </c>
      <c r="X111" s="538" t="str">
        <f t="shared" si="81"/>
        <v>Inclusive</v>
      </c>
      <c r="Y111" s="534">
        <f t="shared" ref="Y111:Y114" si="89">IF(AND(W111="Guaranteed off bill",X111="Inclusive"),((Q111*1.1)-((Q111*1.1)*S111/100))/1.1,IF(AND(W111="Guaranteed off usage",X111="Inclusive"),((Q111*1.1)-((P111*1.1)*T111/100))/1.1,IF(AND(W111="Guaranteed off bill",X111="Exclusive"),Q111-(Q111*S111/100),IF(AND(W111="Guaranteed off usage",X111="Exclusive"),Q111-(P111*T111/100),IF(X111="Inclusive",((Q111*1.1))/1.1,Q111)))))</f>
        <v>838.24509090909089</v>
      </c>
      <c r="Z111" s="535">
        <f t="shared" ref="Z111:Z114" si="90">IF(AND(W111="Pay-on-time off bill",X111="Inclusive"),((Y111*1.1)-((Y111*1.1)*U111/100))/1.1,IF(AND(W111="Pay-on-time off usage",X111="Inclusive"),((Y111*1.1)-((P111*1.1)*V111/100))/1.1,IF(AND(W111="Pay-on-time off bill",X111="Exclusive"),Y111-(Y111*U111/100),IF(AND(W111="Pay-on-time off usage",X111="Exclusive"),Y111-(P111*V111/100),IF(X111="Inclusive",((Y111*1.1))/1.1,Y111)))))</f>
        <v>838.24509090909089</v>
      </c>
      <c r="AA111" s="542">
        <f t="shared" si="79"/>
        <v>922.06960000000004</v>
      </c>
      <c r="AB111" s="542">
        <f t="shared" si="79"/>
        <v>922.06960000000004</v>
      </c>
      <c r="AC111" s="274">
        <f>'Tariffs Jul2021'!AZ105</f>
        <v>0</v>
      </c>
      <c r="AD111" s="274" t="str">
        <f>'Tariffs Jul2021'!BA105</f>
        <v>n</v>
      </c>
      <c r="AE111" s="275" t="str">
        <f>'Tariffs Jul2021'!BJ105</f>
        <v>N</v>
      </c>
      <c r="AF111" s="574"/>
      <c r="AG111" s="574"/>
      <c r="AH111" s="574"/>
      <c r="AI111" s="574"/>
      <c r="AJ111" s="574"/>
      <c r="AK111" s="574"/>
      <c r="AL111" s="574"/>
      <c r="AM111" s="574"/>
      <c r="AN111" s="574"/>
      <c r="AO111" s="574"/>
      <c r="AP111" s="574"/>
      <c r="AQ111" s="574"/>
      <c r="AR111" s="574"/>
      <c r="AS111" s="574"/>
      <c r="AT111" s="574"/>
      <c r="AU111" s="574"/>
      <c r="AV111" s="574"/>
      <c r="AW111" s="574"/>
      <c r="AX111" s="574"/>
    </row>
    <row r="112" spans="1:50" ht="14" x14ac:dyDescent="0.15">
      <c r="A112" s="270" t="str">
        <f>'Tariffs Jul2021'!F106</f>
        <v>Simply Energy</v>
      </c>
      <c r="B112" s="40" t="str">
        <f>'Tariffs Jul2021'!D106</f>
        <v>AusNet Services Central 2</v>
      </c>
      <c r="C112" s="40" t="str">
        <f>'Tariffs Jul2021'!G106</f>
        <v>Saver</v>
      </c>
      <c r="D112" s="59">
        <f>365*'Tariffs Jul2021'!H106/100</f>
        <v>338.05636363636359</v>
      </c>
      <c r="E112" s="59">
        <f>IF($C$5*'Tariffs Jul2021'!AK106/'Tariffs Jul2021'!AI106&gt;='Tariffs Jul2021'!J106,( 'Tariffs Jul2021'!J106*'Tariffs Jul2021'!O106/100)* 'Tariffs Jul2021'!AI106,($C$5*'Tariffs Jul2021'!AK106/'Tariffs Jul2021'!AI106*'Tariffs Jul2021'!O106/100)* 'Tariffs Jul2021'!AI106)</f>
        <v>240.88499999999996</v>
      </c>
      <c r="F112" s="59">
        <f>IF($C$5*'Tariffs Jul2021'!AK106/'Tariffs Jul2021'!AI106&lt;'Tariffs Jul2021'!J106,0,IF($C$5*'Tariffs Jul2021'!AK106/'Tariffs Jul2021'!AI106&lt;='Tariffs Jul2021'!K106,($C$5*'Tariffs Jul2021'!AK106/'Tariffs Jul2021'!AI106-'Tariffs Jul2021'!J106)*('Tariffs Jul2021'!P106/100)*'Tariffs Jul2021'!AI106,('Tariffs Jul2021'!K106-'Tariffs Jul2021'!J106)*('Tariffs Jul2021'!P106/100)*'Tariffs Jul2021'!AI106))</f>
        <v>0</v>
      </c>
      <c r="G112" s="59">
        <f>IF($C$5*'Tariffs Jul2021'!AK106/'Tariffs Jul2021'!AI106&lt;'Tariffs Jul2021'!K106,0,IF($C$5*'Tariffs Jul2021'!AK106/'Tariffs Jul2021'!AI106&lt;='Tariffs Jul2021'!L106,($C$5*'Tariffs Jul2021'!AK106/'Tariffs Jul2021'!AI106-'Tariffs Jul2021'!K106)*('Tariffs Jul2021'!Q106/100)*'Tariffs Jul2021'!AI106,('Tariffs Jul2021'!L106-'Tariffs Jul2021'!K106)*('Tariffs Jul2021'!Q106/100)*'Tariffs Jul2021'!AI106))</f>
        <v>0</v>
      </c>
      <c r="H112" s="59">
        <f>IF($C$5*'Tariffs Jul2021'!AK106/'Tariffs Jul2021'!AI106&lt;'Tariffs Jul2021'!L106,0,IF($C$5*'Tariffs Jul2021'!AK106/'Tariffs Jul2021'!AI106&lt;='Tariffs Jul2021'!M106,($C$5*'Tariffs Jul2021'!AK106/'Tariffs Jul2021'!AI106-'Tariffs Jul2021'!L106)*('Tariffs Jul2021'!R106/100)*'Tariffs Jul2021'!AI106,('Tariffs Jul2021'!M106-'Tariffs Jul2021'!L106)*('Tariffs Jul2021'!R106/100)*'Tariffs Jul2021'!AI106))</f>
        <v>0</v>
      </c>
      <c r="I112" s="69">
        <f>IF(($C$5*'Tariffs Jul2021'!AK106/'Tariffs Jul2021'!AI106&gt;'Tariffs Jul2021'!M106),($C$5*'Tariffs Jul2021'!AK106/'Tariffs Jul2021'!AI106-'Tariffs Jul2021'!M106)*'Tariffs Jul2021'!S106/100*'Tariffs Jul2021'!AI106,0)</f>
        <v>0</v>
      </c>
      <c r="J112" s="69">
        <f>IF($C$5*'Tariffs Jul2021'!AL106/'Tariffs Jul2021'!AJ106&gt;='Tariffs Jul2021'!J106,('Tariffs Jul2021'!J106*'Tariffs Jul2021'!U106/100)* 'Tariffs Jul2021'!AJ106,($C$5*'Tariffs Jul2021'!AL106/'Tariffs Jul2021'!AJ106*'Tariffs Jul2021'!U106/100)* 'Tariffs Jul2021'!AJ106)</f>
        <v>363.6</v>
      </c>
      <c r="K112" s="69">
        <f>IF($C$5*'Tariffs Jul2021'!AL106/'Tariffs Jul2021'!AJ106&lt;'Tariffs Jul2021'!J106,0,IF($C$5*'Tariffs Jul2021'!AL106/'Tariffs Jul2021'!AJ106&lt;='Tariffs Jul2021'!K106,($C$5*'Tariffs Jul2021'!AL106/'Tariffs Jul2021'!AJ106-'Tariffs Jul2021'!J106)*('Tariffs Jul2021'!V106/100)*'Tariffs Jul2021'!AJ106,('Tariffs Jul2021'!K106-'Tariffs Jul2021'!J106)*('Tariffs Jul2021'!V106/100)*'Tariffs Jul2021'!AJ106))</f>
        <v>0</v>
      </c>
      <c r="L112" s="69">
        <f>IF($C$5*'Tariffs Jul2021'!AL106/'Tariffs Jul2021'!AJ106&lt;'Tariffs Jul2021'!K106,0,IF($C$5*'Tariffs Jul2021'!AL106/'Tariffs Jul2021'!AJ106&lt;='Tariffs Jul2021'!L106,($C$5*'Tariffs Jul2021'!AL106/'Tariffs Jul2021'!AJ106-'Tariffs Jul2021'!K106)*('Tariffs Jul2021'!W106/100)*'Tariffs Jul2021'!AJ106,('Tariffs Jul2021'!L106-'Tariffs Jul2021'!K106)*('Tariffs Jul2021'!W106/100)*'Tariffs Jul2021'!AJ106))</f>
        <v>0</v>
      </c>
      <c r="M112" s="69">
        <f>IF($C$5*'Tariffs Jul2021'!AL106/'Tariffs Jul2021'!AJ106&lt;'Tariffs Jul2021'!L106,0,IF($C$5*'Tariffs Jul2021'!AL106/'Tariffs Jul2021'!AJ106&lt;='Tariffs Jul2021'!M106,($C$5*'Tariffs Jul2021'!AL106/'Tariffs Jul2021'!AJ106-'Tariffs Jul2021'!L106)*('Tariffs Jul2021'!X106/100)*'Tariffs Jul2021'!AJ106,('Tariffs Jul2021'!M106-'Tariffs Jul2021'!L106)*('Tariffs Jul2021'!X106/100)*'Tariffs Jul2021'!AJ106))</f>
        <v>0</v>
      </c>
      <c r="N112" s="69">
        <f>IF(($C$5*'Tariffs Jul2021'!AL106/'Tariffs Jul2021'!AJ106&gt;'Tariffs Jul2021'!M106),($C$5*'Tariffs Jul2021'!AL106/'Tariffs Jul2021'!AJ106-'Tariffs Jul2021'!M106)*'Tariffs Jul2021'!Y106/100*'Tariffs Jul2021'!AJ106,0)</f>
        <v>0</v>
      </c>
      <c r="O112" s="59">
        <f t="shared" si="72"/>
        <v>604.48500000000001</v>
      </c>
      <c r="P112" s="503">
        <f t="shared" si="56"/>
        <v>664.93350000000009</v>
      </c>
      <c r="Q112" s="59">
        <f t="shared" si="73"/>
        <v>942.5413636363636</v>
      </c>
      <c r="R112" s="272">
        <f t="shared" si="74"/>
        <v>1036.7954999999999</v>
      </c>
      <c r="S112" s="40">
        <f>'Tariffs Jul2021'!AN106</f>
        <v>16</v>
      </c>
      <c r="T112" s="40">
        <f>'Tariffs Jul2021'!AO106</f>
        <v>0</v>
      </c>
      <c r="U112" s="40">
        <f>'Tariffs Jul2021'!AP106</f>
        <v>0</v>
      </c>
      <c r="V112" s="40">
        <f>'Tariffs Jul2021'!AQ106</f>
        <v>0</v>
      </c>
      <c r="W112" s="537" t="str">
        <f t="shared" si="80"/>
        <v>Guaranteed off bill</v>
      </c>
      <c r="X112" s="538" t="str">
        <f t="shared" si="81"/>
        <v>Exclusive</v>
      </c>
      <c r="Y112" s="534">
        <f t="shared" si="89"/>
        <v>791.73474545454542</v>
      </c>
      <c r="Z112" s="535">
        <f t="shared" si="90"/>
        <v>791.73474545454542</v>
      </c>
      <c r="AA112" s="542">
        <f t="shared" si="79"/>
        <v>870.90822000000003</v>
      </c>
      <c r="AB112" s="542">
        <f t="shared" si="79"/>
        <v>870.90822000000003</v>
      </c>
      <c r="AC112" s="274">
        <f>'Tariffs Jul2021'!AZ106</f>
        <v>0</v>
      </c>
      <c r="AD112" s="274" t="str">
        <f>'Tariffs Jul2021'!BA106</f>
        <v>n</v>
      </c>
      <c r="AE112" s="275" t="str">
        <f>'Tariffs Jul2021'!BJ106</f>
        <v>N</v>
      </c>
      <c r="AF112" s="574"/>
      <c r="AG112" s="574"/>
      <c r="AH112" s="574"/>
      <c r="AI112" s="574"/>
      <c r="AJ112" s="574"/>
      <c r="AK112" s="574"/>
      <c r="AL112" s="574"/>
      <c r="AM112" s="574"/>
      <c r="AN112" s="574"/>
      <c r="AO112" s="574"/>
      <c r="AP112" s="574"/>
      <c r="AQ112" s="574"/>
      <c r="AR112" s="574"/>
      <c r="AS112" s="574"/>
      <c r="AT112" s="574"/>
      <c r="AU112" s="574"/>
      <c r="AV112" s="574"/>
      <c r="AW112" s="574"/>
      <c r="AX112" s="574"/>
    </row>
    <row r="113" spans="1:50" ht="14" x14ac:dyDescent="0.15">
      <c r="A113" s="270" t="str">
        <f>'Tariffs Jul2021'!F107</f>
        <v>Sumo Power</v>
      </c>
      <c r="B113" s="40" t="str">
        <f>'Tariffs Jul2021'!D107</f>
        <v>AusNet Services Central 2</v>
      </c>
      <c r="C113" s="40" t="str">
        <f>'Tariffs Jul2021'!G107</f>
        <v>Assure</v>
      </c>
      <c r="D113" s="59">
        <f>365*'Tariffs Jul2021'!H107/100</f>
        <v>273.75</v>
      </c>
      <c r="E113" s="59">
        <f>IF($C$5*'Tariffs Jul2021'!AK107/'Tariffs Jul2021'!AI107&gt;='Tariffs Jul2021'!J107,( 'Tariffs Jul2021'!J107*'Tariffs Jul2021'!O107/100)* 'Tariffs Jul2021'!AI107,($C$5*'Tariffs Jul2021'!AK107/'Tariffs Jul2021'!AI107*'Tariffs Jul2021'!O107/100)* 'Tariffs Jul2021'!AI107)</f>
        <v>179.98199999999997</v>
      </c>
      <c r="F113" s="59">
        <f>IF($C$5*'Tariffs Jul2021'!AK107/'Tariffs Jul2021'!AI107&lt;'Tariffs Jul2021'!J107,0,IF($C$5*'Tariffs Jul2021'!AK107/'Tariffs Jul2021'!AI107&lt;='Tariffs Jul2021'!K107,($C$5*'Tariffs Jul2021'!AK107/'Tariffs Jul2021'!AI107-'Tariffs Jul2021'!J107)*('Tariffs Jul2021'!P107/100)*'Tariffs Jul2021'!AI107,('Tariffs Jul2021'!K107-'Tariffs Jul2021'!J107)*('Tariffs Jul2021'!P107/100)*'Tariffs Jul2021'!AI107))</f>
        <v>0</v>
      </c>
      <c r="G113" s="59">
        <f>IF($C$5*'Tariffs Jul2021'!AK107/'Tariffs Jul2021'!AI107&lt;'Tariffs Jul2021'!K107,0,IF($C$5*'Tariffs Jul2021'!AK107/'Tariffs Jul2021'!AI107&lt;='Tariffs Jul2021'!L107,($C$5*'Tariffs Jul2021'!AK107/'Tariffs Jul2021'!AI107-'Tariffs Jul2021'!K107)*('Tariffs Jul2021'!Q107/100)*'Tariffs Jul2021'!AI107,('Tariffs Jul2021'!L107-'Tariffs Jul2021'!K107)*('Tariffs Jul2021'!Q107/100)*'Tariffs Jul2021'!AI107))</f>
        <v>0</v>
      </c>
      <c r="H113" s="59">
        <f>IF($C$5*'Tariffs Jul2021'!AK107/'Tariffs Jul2021'!AI107&lt;'Tariffs Jul2021'!L107,0,IF($C$5*'Tariffs Jul2021'!AK107/'Tariffs Jul2021'!AI107&lt;='Tariffs Jul2021'!M107,($C$5*'Tariffs Jul2021'!AK107/'Tariffs Jul2021'!AI107-'Tariffs Jul2021'!L107)*('Tariffs Jul2021'!R107/100)*'Tariffs Jul2021'!AI107,('Tariffs Jul2021'!M107-'Tariffs Jul2021'!L107)*('Tariffs Jul2021'!R107/100)*'Tariffs Jul2021'!AI107))</f>
        <v>0</v>
      </c>
      <c r="I113" s="69">
        <f>IF(($C$5*'Tariffs Jul2021'!AK107/'Tariffs Jul2021'!AI107&gt;'Tariffs Jul2021'!M107),($C$5*'Tariffs Jul2021'!AK107/'Tariffs Jul2021'!AI107-'Tariffs Jul2021'!M107)*'Tariffs Jul2021'!S107/100*'Tariffs Jul2021'!AI107,0)</f>
        <v>0</v>
      </c>
      <c r="J113" s="69">
        <f>IF($C$5*'Tariffs Jul2021'!AL107/'Tariffs Jul2021'!AJ107&gt;='Tariffs Jul2021'!J107,('Tariffs Jul2021'!J107*'Tariffs Jul2021'!U107/100)* 'Tariffs Jul2021'!AJ107,($C$5*'Tariffs Jul2021'!AL107/'Tariffs Jul2021'!AJ107*'Tariffs Jul2021'!U107/100)* 'Tariffs Jul2021'!AJ107)</f>
        <v>290.88</v>
      </c>
      <c r="K113" s="69">
        <f>IF($C$5*'Tariffs Jul2021'!AL107/'Tariffs Jul2021'!AJ107&lt;'Tariffs Jul2021'!J107,0,IF($C$5*'Tariffs Jul2021'!AL107/'Tariffs Jul2021'!AJ107&lt;='Tariffs Jul2021'!K107,($C$5*'Tariffs Jul2021'!AL107/'Tariffs Jul2021'!AJ107-'Tariffs Jul2021'!J107)*('Tariffs Jul2021'!V107/100)*'Tariffs Jul2021'!AJ107,('Tariffs Jul2021'!K107-'Tariffs Jul2021'!J107)*('Tariffs Jul2021'!V107/100)*'Tariffs Jul2021'!AJ107))</f>
        <v>0</v>
      </c>
      <c r="L113" s="69">
        <f>IF($C$5*'Tariffs Jul2021'!AL107/'Tariffs Jul2021'!AJ107&lt;'Tariffs Jul2021'!K107,0,IF($C$5*'Tariffs Jul2021'!AL107/'Tariffs Jul2021'!AJ107&lt;='Tariffs Jul2021'!L107,($C$5*'Tariffs Jul2021'!AL107/'Tariffs Jul2021'!AJ107-'Tariffs Jul2021'!K107)*('Tariffs Jul2021'!W107/100)*'Tariffs Jul2021'!AJ107,('Tariffs Jul2021'!L107-'Tariffs Jul2021'!K107)*('Tariffs Jul2021'!W107/100)*'Tariffs Jul2021'!AJ107))</f>
        <v>0</v>
      </c>
      <c r="M113" s="69">
        <f>IF($C$5*'Tariffs Jul2021'!AL107/'Tariffs Jul2021'!AJ107&lt;'Tariffs Jul2021'!L107,0,IF($C$5*'Tariffs Jul2021'!AL107/'Tariffs Jul2021'!AJ107&lt;='Tariffs Jul2021'!M107,($C$5*'Tariffs Jul2021'!AL107/'Tariffs Jul2021'!AJ107-'Tariffs Jul2021'!L107)*('Tariffs Jul2021'!X107/100)*'Tariffs Jul2021'!AJ107,('Tariffs Jul2021'!M107-'Tariffs Jul2021'!L107)*('Tariffs Jul2021'!X107/100)*'Tariffs Jul2021'!AJ107))</f>
        <v>0</v>
      </c>
      <c r="N113" s="69">
        <f>IF(($C$5*'Tariffs Jul2021'!AL107/'Tariffs Jul2021'!AJ107&gt;'Tariffs Jul2021'!M107),($C$5*'Tariffs Jul2021'!AL107/'Tariffs Jul2021'!AJ107-'Tariffs Jul2021'!M107)*'Tariffs Jul2021'!Y107/100*'Tariffs Jul2021'!AJ107,0)</f>
        <v>0</v>
      </c>
      <c r="O113" s="59">
        <f t="shared" si="72"/>
        <v>470.86199999999997</v>
      </c>
      <c r="P113" s="503">
        <f t="shared" si="56"/>
        <v>517.94820000000004</v>
      </c>
      <c r="Q113" s="59">
        <f t="shared" si="73"/>
        <v>744.61199999999997</v>
      </c>
      <c r="R113" s="272">
        <f t="shared" si="74"/>
        <v>819.07320000000004</v>
      </c>
      <c r="S113" s="40">
        <f>'Tariffs Jul2021'!AN107</f>
        <v>0</v>
      </c>
      <c r="T113" s="40">
        <f>'Tariffs Jul2021'!AO107</f>
        <v>0</v>
      </c>
      <c r="U113" s="40">
        <f>'Tariffs Jul2021'!AP107</f>
        <v>0</v>
      </c>
      <c r="V113" s="40">
        <f>'Tariffs Jul2021'!AQ107</f>
        <v>0</v>
      </c>
      <c r="W113" s="537" t="str">
        <f t="shared" si="80"/>
        <v>No discount</v>
      </c>
      <c r="X113" s="538" t="str">
        <f t="shared" si="81"/>
        <v>Exclusive</v>
      </c>
      <c r="Y113" s="534">
        <f t="shared" si="89"/>
        <v>744.61199999999997</v>
      </c>
      <c r="Z113" s="535">
        <f t="shared" si="90"/>
        <v>744.61199999999997</v>
      </c>
      <c r="AA113" s="542">
        <f t="shared" si="79"/>
        <v>819.07320000000004</v>
      </c>
      <c r="AB113" s="542">
        <f t="shared" si="79"/>
        <v>819.07320000000004</v>
      </c>
      <c r="AC113" s="274">
        <f>'Tariffs Jul2021'!AZ107</f>
        <v>0</v>
      </c>
      <c r="AD113" s="274" t="str">
        <f>'Tariffs Jul2021'!BA107</f>
        <v>n</v>
      </c>
      <c r="AE113" s="275" t="str">
        <f>'Tariffs Jul2021'!BJ107</f>
        <v>Y</v>
      </c>
      <c r="AF113" s="574"/>
      <c r="AG113" s="574"/>
      <c r="AH113" s="574"/>
      <c r="AI113" s="574"/>
      <c r="AJ113" s="574"/>
      <c r="AK113" s="574"/>
      <c r="AL113" s="574"/>
      <c r="AM113" s="574"/>
      <c r="AN113" s="574"/>
      <c r="AO113" s="574"/>
      <c r="AP113" s="574"/>
      <c r="AQ113" s="574"/>
      <c r="AR113" s="574"/>
      <c r="AS113" s="574"/>
      <c r="AT113" s="574"/>
      <c r="AU113" s="574"/>
      <c r="AV113" s="574"/>
      <c r="AW113" s="574"/>
      <c r="AX113" s="574"/>
    </row>
    <row r="114" spans="1:50" ht="14" x14ac:dyDescent="0.15">
      <c r="A114" s="270" t="str">
        <f>'Tariffs Jul2021'!F108</f>
        <v>GloBird Energy</v>
      </c>
      <c r="B114" s="40" t="str">
        <f>'Tariffs Jul2021'!D108</f>
        <v>AusNet Services Central 2</v>
      </c>
      <c r="C114" s="40" t="str">
        <f>'Tariffs Jul2021'!G108</f>
        <v>GloSave</v>
      </c>
      <c r="D114" s="59">
        <f>365*'Tariffs Jul2021'!H108/100</f>
        <v>255.5</v>
      </c>
      <c r="E114" s="59">
        <f>IF($C$5*'Tariffs Jul2021'!AK108/'Tariffs Jul2021'!AI108&gt;='Tariffs Jul2021'!J108,( 'Tariffs Jul2021'!J108*'Tariffs Jul2021'!O108/100)* 'Tariffs Jul2021'!AI108,($C$5*'Tariffs Jul2021'!AK108/'Tariffs Jul2021'!AI108*'Tariffs Jul2021'!O108/100)* 'Tariffs Jul2021'!AI108)</f>
        <v>248.18181818181816</v>
      </c>
      <c r="F114" s="59">
        <f>IF($C$5*'Tariffs Jul2021'!AK108/'Tariffs Jul2021'!AI108&lt;'Tariffs Jul2021'!J108,0,IF($C$5*'Tariffs Jul2021'!AK108/'Tariffs Jul2021'!AI108&lt;='Tariffs Jul2021'!K108,($C$5*'Tariffs Jul2021'!AK108/'Tariffs Jul2021'!AI108-'Tariffs Jul2021'!J108)*('Tariffs Jul2021'!P108/100)*'Tariffs Jul2021'!AI108,('Tariffs Jul2021'!K108-'Tariffs Jul2021'!J108)*('Tariffs Jul2021'!P108/100)*'Tariffs Jul2021'!AI108))</f>
        <v>0</v>
      </c>
      <c r="G114" s="59">
        <f>IF($C$5*'Tariffs Jul2021'!AK108/'Tariffs Jul2021'!AI108&lt;'Tariffs Jul2021'!K108,0,IF($C$5*'Tariffs Jul2021'!AK108/'Tariffs Jul2021'!AI108&lt;='Tariffs Jul2021'!L108,($C$5*'Tariffs Jul2021'!AK108/'Tariffs Jul2021'!AI108-'Tariffs Jul2021'!K108)*('Tariffs Jul2021'!Q108/100)*'Tariffs Jul2021'!AI108,('Tariffs Jul2021'!L108-'Tariffs Jul2021'!K108)*('Tariffs Jul2021'!Q108/100)*'Tariffs Jul2021'!AI108))</f>
        <v>0</v>
      </c>
      <c r="H114" s="59">
        <f>IF($C$5*'Tariffs Jul2021'!AK108/'Tariffs Jul2021'!AI108&lt;'Tariffs Jul2021'!L108,0,IF($C$5*'Tariffs Jul2021'!AK108/'Tariffs Jul2021'!AI108&lt;='Tariffs Jul2021'!M108,($C$5*'Tariffs Jul2021'!AK108/'Tariffs Jul2021'!AI108-'Tariffs Jul2021'!L108)*('Tariffs Jul2021'!R108/100)*'Tariffs Jul2021'!AI108,('Tariffs Jul2021'!M108-'Tariffs Jul2021'!L108)*('Tariffs Jul2021'!R108/100)*'Tariffs Jul2021'!AI108))</f>
        <v>0</v>
      </c>
      <c r="I114" s="69">
        <f>IF(($C$5*'Tariffs Jul2021'!AK108/'Tariffs Jul2021'!AI108&gt;'Tariffs Jul2021'!M108),($C$5*'Tariffs Jul2021'!AK108/'Tariffs Jul2021'!AI108-'Tariffs Jul2021'!M108)*'Tariffs Jul2021'!S108/100*'Tariffs Jul2021'!AI108,0)</f>
        <v>0</v>
      </c>
      <c r="J114" s="69">
        <f>IF($C$5*'Tariffs Jul2021'!AL108/'Tariffs Jul2021'!AJ108&gt;='Tariffs Jul2021'!J108,('Tariffs Jul2021'!J108*'Tariffs Jul2021'!U108/100)* 'Tariffs Jul2021'!AJ108,($C$5*'Tariffs Jul2021'!AL108/'Tariffs Jul2021'!AJ108*'Tariffs Jul2021'!U108/100)* 'Tariffs Jul2021'!AJ108)</f>
        <v>248.18181818181816</v>
      </c>
      <c r="K114" s="69">
        <f>IF($C$5*'Tariffs Jul2021'!AL108/'Tariffs Jul2021'!AJ108&lt;'Tariffs Jul2021'!J108,0,IF($C$5*'Tariffs Jul2021'!AL108/'Tariffs Jul2021'!AJ108&lt;='Tariffs Jul2021'!K108,($C$5*'Tariffs Jul2021'!AL108/'Tariffs Jul2021'!AJ108-'Tariffs Jul2021'!J108)*('Tariffs Jul2021'!V108/100)*'Tariffs Jul2021'!AJ108,('Tariffs Jul2021'!K108-'Tariffs Jul2021'!J108)*('Tariffs Jul2021'!V108/100)*'Tariffs Jul2021'!AJ108))</f>
        <v>0</v>
      </c>
      <c r="L114" s="69">
        <f>IF($C$5*'Tariffs Jul2021'!AL108/'Tariffs Jul2021'!AJ108&lt;'Tariffs Jul2021'!K108,0,IF($C$5*'Tariffs Jul2021'!AL108/'Tariffs Jul2021'!AJ108&lt;='Tariffs Jul2021'!L108,($C$5*'Tariffs Jul2021'!AL108/'Tariffs Jul2021'!AJ108-'Tariffs Jul2021'!K108)*('Tariffs Jul2021'!W108/100)*'Tariffs Jul2021'!AJ108,('Tariffs Jul2021'!L108-'Tariffs Jul2021'!K108)*('Tariffs Jul2021'!W108/100)*'Tariffs Jul2021'!AJ108))</f>
        <v>0</v>
      </c>
      <c r="M114" s="69">
        <f>IF($C$5*'Tariffs Jul2021'!AL108/'Tariffs Jul2021'!AJ108&lt;'Tariffs Jul2021'!L108,0,IF($C$5*'Tariffs Jul2021'!AL108/'Tariffs Jul2021'!AJ108&lt;='Tariffs Jul2021'!M108,($C$5*'Tariffs Jul2021'!AL108/'Tariffs Jul2021'!AJ108-'Tariffs Jul2021'!L108)*('Tariffs Jul2021'!X108/100)*'Tariffs Jul2021'!AJ108,('Tariffs Jul2021'!M108-'Tariffs Jul2021'!L108)*('Tariffs Jul2021'!X108/100)*'Tariffs Jul2021'!AJ108))</f>
        <v>0</v>
      </c>
      <c r="N114" s="69">
        <f>IF(($C$5*'Tariffs Jul2021'!AL108/'Tariffs Jul2021'!AJ108&gt;'Tariffs Jul2021'!M108),($C$5*'Tariffs Jul2021'!AL108/'Tariffs Jul2021'!AJ108-'Tariffs Jul2021'!M108)*'Tariffs Jul2021'!Y108/100*'Tariffs Jul2021'!AJ108,0)</f>
        <v>0</v>
      </c>
      <c r="O114" s="59">
        <f t="shared" si="72"/>
        <v>496.36363636363632</v>
      </c>
      <c r="P114" s="503">
        <f t="shared" si="56"/>
        <v>546</v>
      </c>
      <c r="Q114" s="59">
        <f t="shared" si="73"/>
        <v>751.86363636363626</v>
      </c>
      <c r="R114" s="272">
        <f t="shared" si="74"/>
        <v>827.05</v>
      </c>
      <c r="S114" s="40">
        <f>'Tariffs Jul2021'!AN108</f>
        <v>0</v>
      </c>
      <c r="T114" s="40">
        <f>'Tariffs Jul2021'!AO108</f>
        <v>0</v>
      </c>
      <c r="U114" s="40">
        <f>'Tariffs Jul2021'!AP108</f>
        <v>0</v>
      </c>
      <c r="V114" s="40">
        <f>'Tariffs Jul2021'!AQ108</f>
        <v>0</v>
      </c>
      <c r="W114" s="537" t="str">
        <f t="shared" si="80"/>
        <v>No discount</v>
      </c>
      <c r="X114" s="538" t="str">
        <f t="shared" si="81"/>
        <v>Exclusive</v>
      </c>
      <c r="Y114" s="534">
        <f t="shared" si="89"/>
        <v>751.86363636363626</v>
      </c>
      <c r="Z114" s="535">
        <f t="shared" si="90"/>
        <v>751.86363636363626</v>
      </c>
      <c r="AA114" s="542">
        <f t="shared" si="79"/>
        <v>827.05</v>
      </c>
      <c r="AB114" s="542">
        <f t="shared" si="79"/>
        <v>827.05</v>
      </c>
      <c r="AC114" s="274">
        <f>'Tariffs Jul2021'!AZ108</f>
        <v>0</v>
      </c>
      <c r="AD114" s="274" t="str">
        <f>'Tariffs Jul2021'!BA108</f>
        <v>n</v>
      </c>
      <c r="AE114" s="275" t="str">
        <f>'Tariffs Jul2021'!BJ108</f>
        <v>N</v>
      </c>
      <c r="AF114" s="574"/>
      <c r="AG114" s="574"/>
      <c r="AH114" s="574"/>
      <c r="AI114" s="574"/>
      <c r="AJ114" s="574"/>
      <c r="AK114" s="574"/>
      <c r="AL114" s="574"/>
      <c r="AM114" s="574"/>
      <c r="AN114" s="574"/>
      <c r="AO114" s="574"/>
      <c r="AP114" s="574"/>
      <c r="AQ114" s="574"/>
      <c r="AR114" s="574"/>
      <c r="AS114" s="574"/>
      <c r="AT114" s="574"/>
      <c r="AU114" s="574"/>
      <c r="AV114" s="574"/>
      <c r="AW114" s="574"/>
      <c r="AX114" s="574"/>
    </row>
    <row r="115" spans="1:50" ht="14" x14ac:dyDescent="0.15">
      <c r="A115" s="270" t="str">
        <f>'Tariffs Jul2021'!F109</f>
        <v>Powershop</v>
      </c>
      <c r="B115" s="40" t="str">
        <f>'Tariffs Jul2021'!D109</f>
        <v>AusNet Services Central 2</v>
      </c>
      <c r="C115" s="40" t="str">
        <f>'Tariffs Jul2021'!G109</f>
        <v>Market offer</v>
      </c>
      <c r="D115" s="59">
        <f>365*'Tariffs Jul2021'!H109/100</f>
        <v>275.57499999999999</v>
      </c>
      <c r="E115" s="59">
        <f>((C$5*'Tariffs Jul2021'!AK109/'Tariffs Jul2021'!AI109)*('Tariffs Jul2021'!O109/100))*'Tariffs Jul2021'!AI109</f>
        <v>180.89099999999996</v>
      </c>
      <c r="F115" s="59">
        <v>0</v>
      </c>
      <c r="G115" s="59">
        <v>0</v>
      </c>
      <c r="H115" s="59">
        <v>0</v>
      </c>
      <c r="I115" s="69">
        <v>0</v>
      </c>
      <c r="J115" s="69">
        <f>((C$5*'Tariffs Jul2021'!AL109/'Tariffs Jul2021'!AJ109)*('Tariffs Jul2021'!U109/100))*'Tariffs Jul2021'!AJ109</f>
        <v>303.60599999999994</v>
      </c>
      <c r="K115" s="69">
        <v>0</v>
      </c>
      <c r="L115" s="69">
        <v>0</v>
      </c>
      <c r="M115" s="69">
        <v>0</v>
      </c>
      <c r="N115" s="69">
        <v>0</v>
      </c>
      <c r="O115" s="59">
        <f t="shared" si="72"/>
        <v>484.4969999999999</v>
      </c>
      <c r="P115" s="503">
        <f t="shared" si="56"/>
        <v>532.94669999999996</v>
      </c>
      <c r="Q115" s="59">
        <f t="shared" si="73"/>
        <v>760.07199999999989</v>
      </c>
      <c r="R115" s="272">
        <f t="shared" si="74"/>
        <v>836.0791999999999</v>
      </c>
      <c r="S115" s="40">
        <f>'Tariffs Jul2021'!AN109</f>
        <v>0</v>
      </c>
      <c r="T115" s="40">
        <f>'Tariffs Jul2021'!AO109</f>
        <v>0</v>
      </c>
      <c r="U115" s="40">
        <f>'Tariffs Jul2021'!AP109</f>
        <v>0</v>
      </c>
      <c r="V115" s="40">
        <f>'Tariffs Jul2021'!AQ109</f>
        <v>0</v>
      </c>
      <c r="W115" s="537" t="str">
        <f t="shared" si="80"/>
        <v>No discount</v>
      </c>
      <c r="X115" s="538" t="str">
        <f t="shared" si="81"/>
        <v>Inclusive</v>
      </c>
      <c r="Y115" s="534">
        <f>IF(AND(W115="Guaranteed off bill",X115="Inclusive"),((Q115*1.1)-((Q115*1.1)*S115/100))/1.1,IF(AND(W115="Guaranteed off usage",X115="Inclusive"),((Q115*1.1)-((P115*1.1)*T115/100))/1.1,IF(AND(W115="Guaranteed off bill",X115="Exclusive"),Q115-(Q115*S115/100),IF(AND(W115="Guaranteed off usage",X115="Exclusive"),Q115-(P115*T115/100),IF(X115="Inclusive",((Q115*1.1))/1.1,Q115)))))</f>
        <v>760.07199999999989</v>
      </c>
      <c r="Z115" s="535">
        <f>IF(AND(W115="Pay-on-time off bill",X115="Inclusive"),((Y115*1.1)-((Y115*1.1)*U115/100))/1.1,IF(AND(W115="Pay-on-time off usage",X115="Inclusive"),((Y115*1.1)-((P115*1.1)*V115/100))/1.1,IF(AND(W115="Pay-on-time off bill",X115="Exclusive"),Y115-(Y115*U115/100),IF(AND(W115="Pay-on-time off usage",X115="Exclusive"),Y115-(P115*V115/100),IF(X115="Inclusive",((Y115*1.1))/1.1,Y115)))))</f>
        <v>760.07199999999989</v>
      </c>
      <c r="AA115" s="542">
        <f t="shared" si="79"/>
        <v>836.0791999999999</v>
      </c>
      <c r="AB115" s="542">
        <f t="shared" si="79"/>
        <v>836.0791999999999</v>
      </c>
      <c r="AC115" s="274">
        <f>'Tariffs Jul2021'!AZ109</f>
        <v>0</v>
      </c>
      <c r="AD115" s="274" t="str">
        <f>'Tariffs Jul2021'!BA109</f>
        <v>n</v>
      </c>
      <c r="AE115" s="275" t="str">
        <f>'Tariffs Jul2021'!BJ109</f>
        <v>Y</v>
      </c>
      <c r="AF115" s="574"/>
      <c r="AG115" s="574"/>
      <c r="AH115" s="574"/>
      <c r="AI115" s="574"/>
      <c r="AJ115" s="574"/>
      <c r="AK115" s="574"/>
      <c r="AL115" s="574"/>
      <c r="AM115" s="574"/>
      <c r="AN115" s="574"/>
      <c r="AO115" s="574"/>
      <c r="AP115" s="574"/>
      <c r="AQ115" s="574"/>
      <c r="AR115" s="574"/>
      <c r="AS115" s="574"/>
      <c r="AT115" s="574"/>
      <c r="AU115" s="574"/>
      <c r="AV115" s="574"/>
      <c r="AW115" s="574"/>
      <c r="AX115" s="574"/>
    </row>
    <row r="116" spans="1:50" ht="14" x14ac:dyDescent="0.15">
      <c r="A116" s="270" t="str">
        <f>'Tariffs Jul2021'!F110</f>
        <v>1st Energy</v>
      </c>
      <c r="B116" s="40" t="str">
        <f>'Tariffs Jul2021'!D110</f>
        <v>AusNet Services Central 2</v>
      </c>
      <c r="C116" s="40" t="str">
        <f>'Tariffs Jul2021'!G110</f>
        <v>1st Saver Plus</v>
      </c>
      <c r="D116" s="59">
        <f>365*'Tariffs Jul2021'!H110/100</f>
        <v>313.89999999999998</v>
      </c>
      <c r="E116" s="59">
        <f>IF($C$5*'Tariffs Jul2021'!AK110/'Tariffs Jul2021'!AI110&gt;='Tariffs Jul2021'!J110,( 'Tariffs Jul2021'!J110*'Tariffs Jul2021'!O110/100)* 'Tariffs Jul2021'!AI110,($C$5*'Tariffs Jul2021'!AK110/'Tariffs Jul2021'!AI110*'Tariffs Jul2021'!O110/100)* 'Tariffs Jul2021'!AI110)</f>
        <v>319.09090909090901</v>
      </c>
      <c r="F116" s="59">
        <f>IF($C$5*'Tariffs Jul2021'!AK110/'Tariffs Jul2021'!AI110&lt;'Tariffs Jul2021'!J110,0,IF($C$5*'Tariffs Jul2021'!AK110/'Tariffs Jul2021'!AI110&lt;='Tariffs Jul2021'!K110,($C$5*'Tariffs Jul2021'!AK110/'Tariffs Jul2021'!AI110-'Tariffs Jul2021'!J110)*('Tariffs Jul2021'!P110/100)*'Tariffs Jul2021'!AI110,('Tariffs Jul2021'!K110-'Tariffs Jul2021'!J110)*('Tariffs Jul2021'!P110/100)*'Tariffs Jul2021'!AI110))</f>
        <v>0</v>
      </c>
      <c r="G116" s="59">
        <f>IF($C$5*'Tariffs Jul2021'!AK110/'Tariffs Jul2021'!AI110&lt;'Tariffs Jul2021'!K110,0,IF($C$5*'Tariffs Jul2021'!AK110/'Tariffs Jul2021'!AI110&lt;='Tariffs Jul2021'!L110,($C$5*'Tariffs Jul2021'!AK110/'Tariffs Jul2021'!AI110-'Tariffs Jul2021'!K110)*('Tariffs Jul2021'!Q110/100)*'Tariffs Jul2021'!AI110,('Tariffs Jul2021'!L110-'Tariffs Jul2021'!K110)*('Tariffs Jul2021'!Q110/100)*'Tariffs Jul2021'!AI110))</f>
        <v>0</v>
      </c>
      <c r="H116" s="59">
        <f>IF($C$5*'Tariffs Jul2021'!AK110/'Tariffs Jul2021'!AI110&lt;'Tariffs Jul2021'!L110,0,IF($C$5*'Tariffs Jul2021'!AK110/'Tariffs Jul2021'!AI110&lt;='Tariffs Jul2021'!M110,($C$5*'Tariffs Jul2021'!AK110/'Tariffs Jul2021'!AI110-'Tariffs Jul2021'!L110)*('Tariffs Jul2021'!R110/100)*'Tariffs Jul2021'!AI110,('Tariffs Jul2021'!M110-'Tariffs Jul2021'!L110)*('Tariffs Jul2021'!R110/100)*'Tariffs Jul2021'!AI110))</f>
        <v>0</v>
      </c>
      <c r="I116" s="69">
        <f>IF(($C$5*'Tariffs Jul2021'!AK110/'Tariffs Jul2021'!AI110&gt;'Tariffs Jul2021'!M110),($C$5*'Tariffs Jul2021'!AK110/'Tariffs Jul2021'!AI110-'Tariffs Jul2021'!M110)*'Tariffs Jul2021'!S110/100*'Tariffs Jul2021'!AI110,0)</f>
        <v>0</v>
      </c>
      <c r="J116" s="69">
        <f>IF($C$5*'Tariffs Jul2021'!AL110/'Tariffs Jul2021'!AJ110&gt;='Tariffs Jul2021'!J110,('Tariffs Jul2021'!J110*'Tariffs Jul2021'!U110/100)* 'Tariffs Jul2021'!AJ110,($C$5*'Tariffs Jul2021'!AL110/'Tariffs Jul2021'!AJ110*'Tariffs Jul2021'!U110/100)* 'Tariffs Jul2021'!AJ110)</f>
        <v>319.09090909090901</v>
      </c>
      <c r="K116" s="69">
        <f>IF($C$5*'Tariffs Jul2021'!AL110/'Tariffs Jul2021'!AJ110&lt;'Tariffs Jul2021'!J110,0,IF($C$5*'Tariffs Jul2021'!AL110/'Tariffs Jul2021'!AJ110&lt;='Tariffs Jul2021'!K110,($C$5*'Tariffs Jul2021'!AL110/'Tariffs Jul2021'!AJ110-'Tariffs Jul2021'!J110)*('Tariffs Jul2021'!V110/100)*'Tariffs Jul2021'!AJ110,('Tariffs Jul2021'!K110-'Tariffs Jul2021'!J110)*('Tariffs Jul2021'!V110/100)*'Tariffs Jul2021'!AJ110))</f>
        <v>0</v>
      </c>
      <c r="L116" s="69">
        <f>IF($C$5*'Tariffs Jul2021'!AL110/'Tariffs Jul2021'!AJ110&lt;'Tariffs Jul2021'!K110,0,IF($C$5*'Tariffs Jul2021'!AL110/'Tariffs Jul2021'!AJ110&lt;='Tariffs Jul2021'!L110,($C$5*'Tariffs Jul2021'!AL110/'Tariffs Jul2021'!AJ110-'Tariffs Jul2021'!K110)*('Tariffs Jul2021'!W110/100)*'Tariffs Jul2021'!AJ110,('Tariffs Jul2021'!L110-'Tariffs Jul2021'!K110)*('Tariffs Jul2021'!W110/100)*'Tariffs Jul2021'!AJ110))</f>
        <v>0</v>
      </c>
      <c r="M116" s="69">
        <f>IF($C$5*'Tariffs Jul2021'!AL110/'Tariffs Jul2021'!AJ110&lt;'Tariffs Jul2021'!L110,0,IF($C$5*'Tariffs Jul2021'!AL110/'Tariffs Jul2021'!AJ110&lt;='Tariffs Jul2021'!M110,($C$5*'Tariffs Jul2021'!AL110/'Tariffs Jul2021'!AJ110-'Tariffs Jul2021'!L110)*('Tariffs Jul2021'!X110/100)*'Tariffs Jul2021'!AJ110,('Tariffs Jul2021'!M110-'Tariffs Jul2021'!L110)*('Tariffs Jul2021'!X110/100)*'Tariffs Jul2021'!AJ110))</f>
        <v>0</v>
      </c>
      <c r="N116" s="69">
        <f>IF(($C$5*'Tariffs Jul2021'!AL110/'Tariffs Jul2021'!AJ110&gt;'Tariffs Jul2021'!M110),($C$5*'Tariffs Jul2021'!AL110/'Tariffs Jul2021'!AJ110-'Tariffs Jul2021'!M110)*'Tariffs Jul2021'!Y110/100*'Tariffs Jul2021'!AJ110,0)</f>
        <v>0</v>
      </c>
      <c r="O116" s="59">
        <f t="shared" si="72"/>
        <v>638.18181818181802</v>
      </c>
      <c r="P116" s="503">
        <f t="shared" si="56"/>
        <v>701.99999999999989</v>
      </c>
      <c r="Q116" s="59">
        <f t="shared" si="73"/>
        <v>952.08181818181799</v>
      </c>
      <c r="R116" s="272">
        <f t="shared" si="74"/>
        <v>1047.29</v>
      </c>
      <c r="S116" s="40">
        <f>'Tariffs Jul2021'!AN110</f>
        <v>0</v>
      </c>
      <c r="T116" s="40">
        <f>'Tariffs Jul2021'!AO110</f>
        <v>12</v>
      </c>
      <c r="U116" s="40">
        <f>'Tariffs Jul2021'!AP110</f>
        <v>0</v>
      </c>
      <c r="V116" s="40">
        <f>'Tariffs Jul2021'!AQ110</f>
        <v>3</v>
      </c>
      <c r="W116" s="537" t="str">
        <f t="shared" si="80"/>
        <v>Guaranteed off usage</v>
      </c>
      <c r="X116" s="538" t="str">
        <f t="shared" si="81"/>
        <v>Exclusive</v>
      </c>
      <c r="Y116" s="534">
        <f>Q116-(P116*T116)/100</f>
        <v>867.84181818181798</v>
      </c>
      <c r="Z116" s="535">
        <f>Y116-(P116*V116)/100</f>
        <v>846.78181818181804</v>
      </c>
      <c r="AA116" s="542">
        <f t="shared" si="79"/>
        <v>954.62599999999986</v>
      </c>
      <c r="AB116" s="542">
        <f t="shared" si="79"/>
        <v>931.45999999999992</v>
      </c>
      <c r="AC116" s="274">
        <f>'Tariffs Jul2021'!AZ110</f>
        <v>0</v>
      </c>
      <c r="AD116" s="274" t="str">
        <f>'Tariffs Jul2021'!BA110</f>
        <v>n</v>
      </c>
      <c r="AE116" s="275" t="str">
        <f>'Tariffs Jul2021'!BJ110</f>
        <v>Y</v>
      </c>
      <c r="AF116" s="574"/>
      <c r="AG116" s="574"/>
      <c r="AH116" s="574"/>
      <c r="AI116" s="574"/>
      <c r="AJ116" s="574"/>
      <c r="AK116" s="574"/>
      <c r="AL116" s="574"/>
      <c r="AM116" s="574"/>
      <c r="AN116" s="574"/>
      <c r="AO116" s="574"/>
      <c r="AP116" s="574"/>
      <c r="AQ116" s="574"/>
      <c r="AR116" s="574"/>
      <c r="AS116" s="574"/>
      <c r="AT116" s="574"/>
      <c r="AU116" s="574"/>
      <c r="AV116" s="574"/>
      <c r="AW116" s="574"/>
      <c r="AX116" s="574"/>
    </row>
    <row r="117" spans="1:50" ht="14" x14ac:dyDescent="0.15">
      <c r="A117" s="270" t="str">
        <f>'Tariffs Jul2021'!F111</f>
        <v>Kogan Energy</v>
      </c>
      <c r="B117" s="40" t="str">
        <f>'Tariffs Jul2021'!D111</f>
        <v>AusNet Services Central 2</v>
      </c>
      <c r="C117" s="40" t="str">
        <f>'Tariffs Jul2021'!G111</f>
        <v>Market offer</v>
      </c>
      <c r="D117" s="59">
        <f>365*'Tariffs Jul2021'!H111/100</f>
        <v>293.22772727272724</v>
      </c>
      <c r="E117" s="59">
        <f>((C$5*'Tariffs Jul2021'!AK111/'Tariffs Jul2021'!AI111)*('Tariffs Jul2021'!O111/100))*'Tariffs Jul2021'!AI111</f>
        <v>180.89099999999996</v>
      </c>
      <c r="F117" s="59">
        <v>0</v>
      </c>
      <c r="G117" s="59">
        <v>0</v>
      </c>
      <c r="H117" s="59">
        <v>0</v>
      </c>
      <c r="I117" s="69">
        <v>0</v>
      </c>
      <c r="J117" s="69">
        <f>((C$5*'Tariffs Jul2021'!AL111/'Tariffs Jul2021'!AJ111)*('Tariffs Jul2021'!U111/100))*'Tariffs Jul2021'!AJ111</f>
        <v>298.15199999999993</v>
      </c>
      <c r="K117" s="69">
        <v>0</v>
      </c>
      <c r="L117" s="69">
        <v>0</v>
      </c>
      <c r="M117" s="69">
        <v>0</v>
      </c>
      <c r="N117" s="69">
        <v>0</v>
      </c>
      <c r="O117" s="59">
        <f t="shared" si="72"/>
        <v>479.04299999999989</v>
      </c>
      <c r="P117" s="503">
        <f t="shared" si="56"/>
        <v>526.94729999999993</v>
      </c>
      <c r="Q117" s="59">
        <f t="shared" si="73"/>
        <v>772.27072727272707</v>
      </c>
      <c r="R117" s="272">
        <f t="shared" si="74"/>
        <v>849.49779999999987</v>
      </c>
      <c r="S117" s="40">
        <f>'Tariffs Jul2021'!AN111</f>
        <v>0</v>
      </c>
      <c r="T117" s="40">
        <f>'Tariffs Jul2021'!AO111</f>
        <v>0</v>
      </c>
      <c r="U117" s="40">
        <f>'Tariffs Jul2021'!AP111</f>
        <v>0</v>
      </c>
      <c r="V117" s="40">
        <f>'Tariffs Jul2021'!AQ111</f>
        <v>0</v>
      </c>
      <c r="W117" s="537" t="str">
        <f t="shared" si="80"/>
        <v>No discount</v>
      </c>
      <c r="X117" s="538" t="str">
        <f t="shared" si="81"/>
        <v>Exclusive</v>
      </c>
      <c r="Y117" s="534">
        <f t="shared" ref="Y117:Y118" si="91">IF(AND(W117="Guaranteed off bill",X117="Inclusive"),((Q117*1.1)-((Q117*1.1)*S117/100))/1.1,IF(AND(W117="Guaranteed off usage",X117="Inclusive"),((Q117*1.1)-((P117*1.1)*T117/100))/1.1,IF(AND(W117="Guaranteed off bill",X117="Exclusive"),Q117-(Q117*S117/100),IF(AND(W117="Guaranteed off usage",X117="Exclusive"),Q117-(P117*T117/100),IF(X117="Inclusive",((Q117*1.1))/1.1,Q117)))))</f>
        <v>772.27072727272707</v>
      </c>
      <c r="Z117" s="535">
        <f t="shared" ref="Z117:Z118" si="92">IF(AND(W117="Pay-on-time off bill",X117="Inclusive"),((Y117*1.1)-((Y117*1.1)*U117/100))/1.1,IF(AND(W117="Pay-on-time off usage",X117="Inclusive"),((Y117*1.1)-((P117*1.1)*V117/100))/1.1,IF(AND(W117="Pay-on-time off bill",X117="Exclusive"),Y117-(Y117*U117/100),IF(AND(W117="Pay-on-time off usage",X117="Exclusive"),Y117-(P117*V117/100),IF(X117="Inclusive",((Y117*1.1))/1.1,Y117)))))</f>
        <v>772.27072727272707</v>
      </c>
      <c r="AA117" s="542">
        <f t="shared" si="79"/>
        <v>849.49779999999987</v>
      </c>
      <c r="AB117" s="542">
        <f t="shared" si="79"/>
        <v>849.49779999999987</v>
      </c>
      <c r="AC117" s="274">
        <f>'Tariffs Jul2021'!AZ111</f>
        <v>0</v>
      </c>
      <c r="AD117" s="274" t="str">
        <f>'Tariffs Jul2021'!BA111</f>
        <v>n</v>
      </c>
      <c r="AE117" s="275" t="str">
        <f>'Tariffs Jul2021'!BJ111</f>
        <v>N</v>
      </c>
      <c r="AF117" s="574"/>
      <c r="AG117" s="574"/>
      <c r="AH117" s="574"/>
      <c r="AI117" s="574"/>
      <c r="AJ117" s="574"/>
      <c r="AK117" s="574"/>
      <c r="AL117" s="574"/>
      <c r="AM117" s="574"/>
      <c r="AN117" s="574"/>
      <c r="AO117" s="574"/>
      <c r="AP117" s="574"/>
      <c r="AQ117" s="574"/>
      <c r="AR117" s="574"/>
      <c r="AS117" s="574"/>
      <c r="AT117" s="574"/>
      <c r="AU117" s="574"/>
      <c r="AV117" s="574"/>
      <c r="AW117" s="574"/>
      <c r="AX117" s="574"/>
    </row>
    <row r="118" spans="1:50" ht="15" thickBot="1" x14ac:dyDescent="0.2">
      <c r="A118" s="276" t="str">
        <f>'Tariffs Jul2021'!F112</f>
        <v>Tango Energy</v>
      </c>
      <c r="B118" s="277" t="str">
        <f>'Tariffs Jul2021'!D112</f>
        <v>AusNet Services Central 2</v>
      </c>
      <c r="C118" s="277" t="str">
        <f>'Tariffs Jul2021'!G112</f>
        <v>Home Select</v>
      </c>
      <c r="D118" s="278">
        <f>365*'Tariffs Jul2021'!H112/100</f>
        <v>364.99999999999994</v>
      </c>
      <c r="E118" s="278">
        <f>IF($C$5*'Tariffs Jul2021'!AK112/'Tariffs Jul2021'!AI112&gt;='Tariffs Jul2021'!J112,( 'Tariffs Jul2021'!J112*'Tariffs Jul2021'!O112/100)* 'Tariffs Jul2021'!AI112,($C$5*'Tariffs Jul2021'!AK112/'Tariffs Jul2021'!AI112*'Tariffs Jul2021'!O112/100)* 'Tariffs Jul2021'!AI112)</f>
        <v>142.71299999999999</v>
      </c>
      <c r="F118" s="278">
        <f>IF($C$5*'Tariffs Jul2021'!AK112/'Tariffs Jul2021'!AI112&lt;'Tariffs Jul2021'!J112,0,IF($C$5*'Tariffs Jul2021'!AK112/'Tariffs Jul2021'!AI112&lt;='Tariffs Jul2021'!K112,($C$5*'Tariffs Jul2021'!AK112/'Tariffs Jul2021'!AI112-'Tariffs Jul2021'!J112)*('Tariffs Jul2021'!P112/100)*'Tariffs Jul2021'!AI112,('Tariffs Jul2021'!K112-'Tariffs Jul2021'!J112)*('Tariffs Jul2021'!P112/100)*'Tariffs Jul2021'!AI112))</f>
        <v>0</v>
      </c>
      <c r="G118" s="278">
        <f>IF($C$5*'Tariffs Jul2021'!AK112/'Tariffs Jul2021'!AI112&lt;'Tariffs Jul2021'!K112,0,IF($C$5*'Tariffs Jul2021'!AK112/'Tariffs Jul2021'!AI112&lt;='Tariffs Jul2021'!L112,($C$5*'Tariffs Jul2021'!AK112/'Tariffs Jul2021'!AI112-'Tariffs Jul2021'!K112)*('Tariffs Jul2021'!Q112/100)*'Tariffs Jul2021'!AI112,('Tariffs Jul2021'!L112-'Tariffs Jul2021'!K112)*('Tariffs Jul2021'!Q112/100)*'Tariffs Jul2021'!AI112))</f>
        <v>0</v>
      </c>
      <c r="H118" s="278">
        <f>IF($C$5*'Tariffs Jul2021'!AK112/'Tariffs Jul2021'!AI112&lt;'Tariffs Jul2021'!L112,0,IF($C$5*'Tariffs Jul2021'!AK112/'Tariffs Jul2021'!AI112&lt;='Tariffs Jul2021'!M112,($C$5*'Tariffs Jul2021'!AK112/'Tariffs Jul2021'!AI112-'Tariffs Jul2021'!L112)*('Tariffs Jul2021'!R112/100)*'Tariffs Jul2021'!AI112,('Tariffs Jul2021'!M112-'Tariffs Jul2021'!L112)*('Tariffs Jul2021'!R112/100)*'Tariffs Jul2021'!AI112))</f>
        <v>0</v>
      </c>
      <c r="I118" s="547">
        <f>IF(($C$5*'Tariffs Jul2021'!AK112/'Tariffs Jul2021'!AI112&gt;'Tariffs Jul2021'!M112),($C$5*'Tariffs Jul2021'!AK112/'Tariffs Jul2021'!AI112-'Tariffs Jul2021'!M112)*'Tariffs Jul2021'!S112/100*'Tariffs Jul2021'!AI112,0)</f>
        <v>0</v>
      </c>
      <c r="J118" s="547">
        <f>IF($C$5*'Tariffs Jul2021'!AL112/'Tariffs Jul2021'!AJ112&gt;='Tariffs Jul2021'!J112,('Tariffs Jul2021'!J112*'Tariffs Jul2021'!U112/100)* 'Tariffs Jul2021'!AJ112,($C$5*'Tariffs Jul2021'!AL112/'Tariffs Jul2021'!AJ112*'Tariffs Jul2021'!U112/100)* 'Tariffs Jul2021'!AJ112)</f>
        <v>230.886</v>
      </c>
      <c r="K118" s="547">
        <f>IF($C$5*'Tariffs Jul2021'!AL112/'Tariffs Jul2021'!AJ112&lt;'Tariffs Jul2021'!J112,0,IF($C$5*'Tariffs Jul2021'!AL112/'Tariffs Jul2021'!AJ112&lt;='Tariffs Jul2021'!K112,($C$5*'Tariffs Jul2021'!AL112/'Tariffs Jul2021'!AJ112-'Tariffs Jul2021'!J112)*('Tariffs Jul2021'!V112/100)*'Tariffs Jul2021'!AJ112,('Tariffs Jul2021'!K112-'Tariffs Jul2021'!J112)*('Tariffs Jul2021'!V112/100)*'Tariffs Jul2021'!AJ112))</f>
        <v>0</v>
      </c>
      <c r="L118" s="547">
        <f>IF($C$5*'Tariffs Jul2021'!AL112/'Tariffs Jul2021'!AJ112&lt;'Tariffs Jul2021'!K112,0,IF($C$5*'Tariffs Jul2021'!AL112/'Tariffs Jul2021'!AJ112&lt;='Tariffs Jul2021'!L112,($C$5*'Tariffs Jul2021'!AL112/'Tariffs Jul2021'!AJ112-'Tariffs Jul2021'!K112)*('Tariffs Jul2021'!W112/100)*'Tariffs Jul2021'!AJ112,('Tariffs Jul2021'!L112-'Tariffs Jul2021'!K112)*('Tariffs Jul2021'!W112/100)*'Tariffs Jul2021'!AJ112))</f>
        <v>0</v>
      </c>
      <c r="M118" s="547">
        <f>IF($C$5*'Tariffs Jul2021'!AL112/'Tariffs Jul2021'!AJ112&lt;'Tariffs Jul2021'!L112,0,IF($C$5*'Tariffs Jul2021'!AL112/'Tariffs Jul2021'!AJ112&lt;='Tariffs Jul2021'!M112,($C$5*'Tariffs Jul2021'!AL112/'Tariffs Jul2021'!AJ112-'Tariffs Jul2021'!L112)*('Tariffs Jul2021'!X112/100)*'Tariffs Jul2021'!AJ112,('Tariffs Jul2021'!M112-'Tariffs Jul2021'!L112)*('Tariffs Jul2021'!X112/100)*'Tariffs Jul2021'!AJ112))</f>
        <v>0</v>
      </c>
      <c r="N118" s="547">
        <f>IF(($C$5*'Tariffs Jul2021'!AL112/'Tariffs Jul2021'!AJ112&gt;'Tariffs Jul2021'!M112),($C$5*'Tariffs Jul2021'!AL112/'Tariffs Jul2021'!AJ112-'Tariffs Jul2021'!M112)*'Tariffs Jul2021'!Y112/100*'Tariffs Jul2021'!AJ112,0)</f>
        <v>0</v>
      </c>
      <c r="O118" s="278">
        <f t="shared" si="72"/>
        <v>373.59899999999999</v>
      </c>
      <c r="P118" s="504">
        <f t="shared" si="56"/>
        <v>410.95890000000003</v>
      </c>
      <c r="Q118" s="278">
        <f t="shared" si="73"/>
        <v>738.59899999999993</v>
      </c>
      <c r="R118" s="280">
        <f t="shared" si="74"/>
        <v>812.45889999999997</v>
      </c>
      <c r="S118" s="277">
        <f>'Tariffs Jul2021'!AN112</f>
        <v>0</v>
      </c>
      <c r="T118" s="277">
        <f>'Tariffs Jul2021'!AO112</f>
        <v>0</v>
      </c>
      <c r="U118" s="277">
        <f>'Tariffs Jul2021'!AP112</f>
        <v>0</v>
      </c>
      <c r="V118" s="277">
        <f>'Tariffs Jul2021'!AQ112</f>
        <v>0</v>
      </c>
      <c r="W118" s="540" t="str">
        <f t="shared" si="80"/>
        <v>No discount</v>
      </c>
      <c r="X118" s="541" t="str">
        <f t="shared" si="81"/>
        <v>Exclusive</v>
      </c>
      <c r="Y118" s="543">
        <f t="shared" si="91"/>
        <v>738.59899999999993</v>
      </c>
      <c r="Z118" s="544">
        <f t="shared" si="92"/>
        <v>738.59899999999993</v>
      </c>
      <c r="AA118" s="545">
        <f t="shared" si="79"/>
        <v>812.45889999999997</v>
      </c>
      <c r="AB118" s="545">
        <f t="shared" si="79"/>
        <v>812.45889999999997</v>
      </c>
      <c r="AC118" s="282">
        <f>'Tariffs Jul2021'!AZ112</f>
        <v>0</v>
      </c>
      <c r="AD118" s="282" t="str">
        <f>'Tariffs Jul2021'!BA112</f>
        <v>n</v>
      </c>
      <c r="AE118" s="283" t="str">
        <f>'Tariffs Jul2021'!BJ112</f>
        <v>N</v>
      </c>
      <c r="AF118" s="574"/>
      <c r="AG118" s="574"/>
      <c r="AH118" s="574"/>
      <c r="AI118" s="574"/>
      <c r="AJ118" s="574"/>
      <c r="AK118" s="574"/>
      <c r="AL118" s="574"/>
      <c r="AM118" s="574"/>
      <c r="AN118" s="574"/>
      <c r="AO118" s="574"/>
      <c r="AP118" s="574"/>
      <c r="AQ118" s="574"/>
      <c r="AR118" s="574"/>
      <c r="AS118" s="574"/>
      <c r="AT118" s="574"/>
      <c r="AU118" s="574"/>
      <c r="AV118" s="574"/>
      <c r="AW118" s="574"/>
      <c r="AX118" s="574"/>
    </row>
    <row r="119" spans="1:50" ht="15" thickTop="1" x14ac:dyDescent="0.15">
      <c r="A119" s="270" t="str">
        <f>'Tariffs Jul2021'!F113</f>
        <v>AGL</v>
      </c>
      <c r="B119" s="40" t="str">
        <f>'Tariffs Jul2021'!D113</f>
        <v>AusNet Services Central 1</v>
      </c>
      <c r="C119" s="40" t="str">
        <f>'Tariffs Jul2021'!G113</f>
        <v>Flexible Saver</v>
      </c>
      <c r="D119" s="59">
        <f>365*'Tariffs Jul2021'!H113/100</f>
        <v>295.31818181818181</v>
      </c>
      <c r="E119" s="59">
        <f>IF($C$5*'Tariffs Jul2021'!AK113/'Tariffs Jul2021'!AI113&gt;='Tariffs Jul2021'!J113,( 'Tariffs Jul2021'!J113*'Tariffs Jul2021'!O113/100)* 'Tariffs Jul2021'!AI113,($C$5*'Tariffs Jul2021'!AK113/'Tariffs Jul2021'!AI113*'Tariffs Jul2021'!O113/100)* 'Tariffs Jul2021'!AI113)</f>
        <v>226.34099999999998</v>
      </c>
      <c r="F119" s="59">
        <f>IF($C$5*'Tariffs Jul2021'!AK113/'Tariffs Jul2021'!AI113&lt;'Tariffs Jul2021'!J113,0,IF($C$5*'Tariffs Jul2021'!AK113/'Tariffs Jul2021'!AI113&lt;='Tariffs Jul2021'!K113,($C$5*'Tariffs Jul2021'!AK113/'Tariffs Jul2021'!AI113-'Tariffs Jul2021'!J113)*('Tariffs Jul2021'!P113/100)*'Tariffs Jul2021'!AI113,('Tariffs Jul2021'!K113-'Tariffs Jul2021'!J113)*('Tariffs Jul2021'!P113/100)*'Tariffs Jul2021'!AI113))</f>
        <v>0</v>
      </c>
      <c r="G119" s="59">
        <f>IF($C$5*'Tariffs Jul2021'!AK113/'Tariffs Jul2021'!AI113&lt;'Tariffs Jul2021'!K113,0,IF($C$5*'Tariffs Jul2021'!AK113/'Tariffs Jul2021'!AI113&lt;='Tariffs Jul2021'!L113,($C$5*'Tariffs Jul2021'!AK113/'Tariffs Jul2021'!AI113-'Tariffs Jul2021'!K113)*('Tariffs Jul2021'!Q113/100)*'Tariffs Jul2021'!AI113,('Tariffs Jul2021'!L113-'Tariffs Jul2021'!K113)*('Tariffs Jul2021'!Q113/100)*'Tariffs Jul2021'!AI113))</f>
        <v>0</v>
      </c>
      <c r="H119" s="59">
        <f>IF($C$5*'Tariffs Jul2021'!AK113/'Tariffs Jul2021'!AI113&lt;'Tariffs Jul2021'!L113,0,IF($C$5*'Tariffs Jul2021'!AK113/'Tariffs Jul2021'!AI113&lt;='Tariffs Jul2021'!M113,($C$5*'Tariffs Jul2021'!AK113/'Tariffs Jul2021'!AI113-'Tariffs Jul2021'!L113)*('Tariffs Jul2021'!R113/100)*'Tariffs Jul2021'!AI113,('Tariffs Jul2021'!M113-'Tariffs Jul2021'!L113)*('Tariffs Jul2021'!R113/100)*'Tariffs Jul2021'!AI113))</f>
        <v>0</v>
      </c>
      <c r="I119" s="69">
        <f>IF(($C$5*'Tariffs Jul2021'!AK113/'Tariffs Jul2021'!AI113&gt;'Tariffs Jul2021'!M113),($C$5*'Tariffs Jul2021'!AK113/'Tariffs Jul2021'!AI113-'Tariffs Jul2021'!M113)*'Tariffs Jul2021'!S113/100*'Tariffs Jul2021'!AI113,0)</f>
        <v>0</v>
      </c>
      <c r="J119" s="69">
        <f>IF($C$5*'Tariffs Jul2021'!AL113/'Tariffs Jul2021'!AJ113&gt;='Tariffs Jul2021'!J113,('Tariffs Jul2021'!J113*'Tariffs Jul2021'!U113/100)* 'Tariffs Jul2021'!AJ113,($C$5*'Tariffs Jul2021'!AL113/'Tariffs Jul2021'!AJ113*'Tariffs Jul2021'!U113/100)* 'Tariffs Jul2021'!AJ113)</f>
        <v>387.23399999999992</v>
      </c>
      <c r="K119" s="69">
        <f>IF($C$5*'Tariffs Jul2021'!AL113/'Tariffs Jul2021'!AJ113&lt;'Tariffs Jul2021'!J113,0,IF($C$5*'Tariffs Jul2021'!AL113/'Tariffs Jul2021'!AJ113&lt;='Tariffs Jul2021'!K113,($C$5*'Tariffs Jul2021'!AL113/'Tariffs Jul2021'!AJ113-'Tariffs Jul2021'!J113)*('Tariffs Jul2021'!V113/100)*'Tariffs Jul2021'!AJ113,('Tariffs Jul2021'!K113-'Tariffs Jul2021'!J113)*('Tariffs Jul2021'!V113/100)*'Tariffs Jul2021'!AJ113))</f>
        <v>0</v>
      </c>
      <c r="L119" s="69">
        <f>IF($C$5*'Tariffs Jul2021'!AL113/'Tariffs Jul2021'!AJ113&lt;'Tariffs Jul2021'!K113,0,IF($C$5*'Tariffs Jul2021'!AL113/'Tariffs Jul2021'!AJ113&lt;='Tariffs Jul2021'!L113,($C$5*'Tariffs Jul2021'!AL113/'Tariffs Jul2021'!AJ113-'Tariffs Jul2021'!K113)*('Tariffs Jul2021'!W113/100)*'Tariffs Jul2021'!AJ113,('Tariffs Jul2021'!L113-'Tariffs Jul2021'!K113)*('Tariffs Jul2021'!W113/100)*'Tariffs Jul2021'!AJ113))</f>
        <v>0</v>
      </c>
      <c r="M119" s="69">
        <f>IF($C$5*'Tariffs Jul2021'!AL113/'Tariffs Jul2021'!AJ113&lt;'Tariffs Jul2021'!L113,0,IF($C$5*'Tariffs Jul2021'!AL113/'Tariffs Jul2021'!AJ113&lt;='Tariffs Jul2021'!M113,($C$5*'Tariffs Jul2021'!AL113/'Tariffs Jul2021'!AJ113-'Tariffs Jul2021'!L113)*('Tariffs Jul2021'!X113/100)*'Tariffs Jul2021'!AJ113,('Tariffs Jul2021'!M113-'Tariffs Jul2021'!L113)*('Tariffs Jul2021'!X113/100)*'Tariffs Jul2021'!AJ113))</f>
        <v>0</v>
      </c>
      <c r="N119" s="69">
        <f>IF(($C$5*'Tariffs Jul2021'!AL113/'Tariffs Jul2021'!AJ113&gt;'Tariffs Jul2021'!M113),($C$5*'Tariffs Jul2021'!AL113/'Tariffs Jul2021'!AJ113-'Tariffs Jul2021'!M113)*'Tariffs Jul2021'!Y113/100*'Tariffs Jul2021'!AJ113,0)</f>
        <v>0</v>
      </c>
      <c r="O119" s="59">
        <f t="shared" si="72"/>
        <v>613.57499999999993</v>
      </c>
      <c r="P119" s="503">
        <f t="shared" si="56"/>
        <v>674.9325</v>
      </c>
      <c r="Q119" s="59">
        <f t="shared" si="73"/>
        <v>908.8931818181818</v>
      </c>
      <c r="R119" s="272">
        <f t="shared" si="74"/>
        <v>999.78250000000003</v>
      </c>
      <c r="S119" s="40">
        <f>'Tariffs Jul2021'!AN113</f>
        <v>0</v>
      </c>
      <c r="T119" s="40">
        <f>'Tariffs Jul2021'!AO113</f>
        <v>0</v>
      </c>
      <c r="U119" s="40">
        <f>'Tariffs Jul2021'!AP113</f>
        <v>0</v>
      </c>
      <c r="V119" s="40">
        <f>'Tariffs Jul2021'!AQ113</f>
        <v>0</v>
      </c>
      <c r="W119" s="539" t="str">
        <f>IF(SUM(S119:V119)=0,"No discount",IF(S119&gt;0,"Guaranteed off bill",IF(T119&gt;0,"Guaranteed off usage",IF(U119&gt;0,"Pay-on-time off bill","Pay-on-time off usage"))))</f>
        <v>No discount</v>
      </c>
      <c r="X119" s="538" t="str">
        <f>IF(OR(A119="Origin Energy",A119="Red Energy",A119="Powershop"),"Inclusive","Exclusive")</f>
        <v>Exclusive</v>
      </c>
      <c r="Y119" s="534">
        <f>IF(AND(W119="Guaranteed off bill",X119="Inclusive"),((Q119*1.1)-((Q119*1.1)*S119/100))/1.1,IF(AND(W119="Guaranteed off usage",X119="Inclusive"),((Q119*1.1)-((P119*1.1)*T119/100))/1.1,IF(AND(W119="Guaranteed off bill",X119="Exclusive"),Q119-(Q119*S119/100),IF(AND(W119="Guaranteed off usage",X119="Exclusive"),Q119-(P119*T119/100),IF(X119="Inclusive",((Q119*1.1))/1.1,Q119)))))</f>
        <v>908.8931818181818</v>
      </c>
      <c r="Z119" s="535">
        <f>IF(AND(W119="Pay-on-time off bill",X119="Inclusive"),((Y119*1.1)-((Y119*1.1)*U119/100))/1.1,IF(AND(W119="Pay-on-time off usage",X119="Inclusive"),((Y119*1.1)-((P119*1.1)*V119/100))/1.1,IF(AND(W119="Pay-on-time off bill",X119="Exclusive"),Y119-(Y119*U119/100),IF(AND(W119="Pay-on-time off usage",X119="Exclusive"),Y119-(P119*V119/100),IF(X119="Inclusive",((Y119*1.1))/1.1,Y119)))))</f>
        <v>908.8931818181818</v>
      </c>
      <c r="AA119" s="542">
        <f t="shared" si="79"/>
        <v>999.78250000000003</v>
      </c>
      <c r="AB119" s="542">
        <f t="shared" si="79"/>
        <v>999.78250000000003</v>
      </c>
      <c r="AC119" s="274">
        <f>'Tariffs Jul2021'!AZ113</f>
        <v>0</v>
      </c>
      <c r="AD119" s="274" t="str">
        <f>'Tariffs Jul2021'!BA113</f>
        <v>n</v>
      </c>
      <c r="AE119" s="275" t="str">
        <f>'Tariffs Jul2021'!BJ113</f>
        <v>N</v>
      </c>
      <c r="AF119" s="574"/>
      <c r="AG119" s="574"/>
      <c r="AH119" s="574"/>
      <c r="AI119" s="574"/>
      <c r="AJ119" s="574"/>
      <c r="AK119" s="574"/>
      <c r="AL119" s="574"/>
      <c r="AM119" s="574"/>
      <c r="AN119" s="574"/>
      <c r="AO119" s="574"/>
      <c r="AP119" s="574"/>
      <c r="AQ119" s="574"/>
      <c r="AR119" s="574"/>
      <c r="AS119" s="574"/>
      <c r="AT119" s="574"/>
      <c r="AU119" s="574"/>
      <c r="AV119" s="574"/>
      <c r="AW119" s="574"/>
      <c r="AX119" s="574"/>
    </row>
    <row r="120" spans="1:50" ht="14" x14ac:dyDescent="0.15">
      <c r="A120" s="270" t="str">
        <f>'Tariffs Jul2021'!F114</f>
        <v>Alinta Energy</v>
      </c>
      <c r="B120" s="40" t="str">
        <f>'Tariffs Jul2021'!D114</f>
        <v>AusNet Services Central 1</v>
      </c>
      <c r="C120" s="40" t="str">
        <f>'Tariffs Jul2021'!G114</f>
        <v>Home Deal</v>
      </c>
      <c r="D120" s="59">
        <f>365*'Tariffs Jul2021'!H114/100</f>
        <v>247.56954545454545</v>
      </c>
      <c r="E120" s="59">
        <f>IF($C$5*'Tariffs Jul2021'!AK114/'Tariffs Jul2021'!AI114&gt;='Tariffs Jul2021'!J114,( 'Tariffs Jul2021'!J114*'Tariffs Jul2021'!O114/100)* 'Tariffs Jul2021'!AI114,($C$5*'Tariffs Jul2021'!AK114/'Tariffs Jul2021'!AI114*'Tariffs Jul2021'!O114/100)* 'Tariffs Jul2021'!AI114)</f>
        <v>192.708</v>
      </c>
      <c r="F120" s="59">
        <f>IF($C$5*'Tariffs Jul2021'!AK114/'Tariffs Jul2021'!AI114&lt;'Tariffs Jul2021'!J114,0,IF($C$5*'Tariffs Jul2021'!AK114/'Tariffs Jul2021'!AI114&lt;='Tariffs Jul2021'!K114,($C$5*'Tariffs Jul2021'!AK114/'Tariffs Jul2021'!AI114-'Tariffs Jul2021'!J114)*('Tariffs Jul2021'!P114/100)*'Tariffs Jul2021'!AI114,('Tariffs Jul2021'!K114-'Tariffs Jul2021'!J114)*('Tariffs Jul2021'!P114/100)*'Tariffs Jul2021'!AI114))</f>
        <v>0</v>
      </c>
      <c r="G120" s="59">
        <f>IF($C$5*'Tariffs Jul2021'!AK114/'Tariffs Jul2021'!AI114&lt;'Tariffs Jul2021'!K114,0,IF($C$5*'Tariffs Jul2021'!AK114/'Tariffs Jul2021'!AI114&lt;='Tariffs Jul2021'!L114,($C$5*'Tariffs Jul2021'!AK114/'Tariffs Jul2021'!AI114-'Tariffs Jul2021'!K114)*('Tariffs Jul2021'!Q114/100)*'Tariffs Jul2021'!AI114,('Tariffs Jul2021'!L114-'Tariffs Jul2021'!K114)*('Tariffs Jul2021'!Q114/100)*'Tariffs Jul2021'!AI114))</f>
        <v>0</v>
      </c>
      <c r="H120" s="59">
        <f>IF($C$5*'Tariffs Jul2021'!AK114/'Tariffs Jul2021'!AI114&lt;'Tariffs Jul2021'!L114,0,IF($C$5*'Tariffs Jul2021'!AK114/'Tariffs Jul2021'!AI114&lt;='Tariffs Jul2021'!M114,($C$5*'Tariffs Jul2021'!AK114/'Tariffs Jul2021'!AI114-'Tariffs Jul2021'!L114)*('Tariffs Jul2021'!R114/100)*'Tariffs Jul2021'!AI114,('Tariffs Jul2021'!M114-'Tariffs Jul2021'!L114)*('Tariffs Jul2021'!R114/100)*'Tariffs Jul2021'!AI114))</f>
        <v>0</v>
      </c>
      <c r="I120" s="69">
        <f>IF(($C$5*'Tariffs Jul2021'!AK114/'Tariffs Jul2021'!AI114&gt;'Tariffs Jul2021'!M114),($C$5*'Tariffs Jul2021'!AK114/'Tariffs Jul2021'!AI114-'Tariffs Jul2021'!M114)*'Tariffs Jul2021'!S114/100*'Tariffs Jul2021'!AI114,0)</f>
        <v>0</v>
      </c>
      <c r="J120" s="69">
        <f>IF($C$5*'Tariffs Jul2021'!AL114/'Tariffs Jul2021'!AJ114&gt;='Tariffs Jul2021'!J114,('Tariffs Jul2021'!J114*'Tariffs Jul2021'!U114/100)* 'Tariffs Jul2021'!AJ114,($C$5*'Tariffs Jul2021'!AL114/'Tariffs Jul2021'!AJ114*'Tariffs Jul2021'!U114/100)* 'Tariffs Jul2021'!AJ114)</f>
        <v>350.87399999999997</v>
      </c>
      <c r="K120" s="69">
        <f>IF($C$5*'Tariffs Jul2021'!AL114/'Tariffs Jul2021'!AJ114&lt;'Tariffs Jul2021'!J114,0,IF($C$5*'Tariffs Jul2021'!AL114/'Tariffs Jul2021'!AJ114&lt;='Tariffs Jul2021'!K114,($C$5*'Tariffs Jul2021'!AL114/'Tariffs Jul2021'!AJ114-'Tariffs Jul2021'!J114)*('Tariffs Jul2021'!V114/100)*'Tariffs Jul2021'!AJ114,('Tariffs Jul2021'!K114-'Tariffs Jul2021'!J114)*('Tariffs Jul2021'!V114/100)*'Tariffs Jul2021'!AJ114))</f>
        <v>0</v>
      </c>
      <c r="L120" s="69">
        <f>IF($C$5*'Tariffs Jul2021'!AL114/'Tariffs Jul2021'!AJ114&lt;'Tariffs Jul2021'!K114,0,IF($C$5*'Tariffs Jul2021'!AL114/'Tariffs Jul2021'!AJ114&lt;='Tariffs Jul2021'!L114,($C$5*'Tariffs Jul2021'!AL114/'Tariffs Jul2021'!AJ114-'Tariffs Jul2021'!K114)*('Tariffs Jul2021'!W114/100)*'Tariffs Jul2021'!AJ114,('Tariffs Jul2021'!L114-'Tariffs Jul2021'!K114)*('Tariffs Jul2021'!W114/100)*'Tariffs Jul2021'!AJ114))</f>
        <v>0</v>
      </c>
      <c r="M120" s="69">
        <f>IF($C$5*'Tariffs Jul2021'!AL114/'Tariffs Jul2021'!AJ114&lt;'Tariffs Jul2021'!L114,0,IF($C$5*'Tariffs Jul2021'!AL114/'Tariffs Jul2021'!AJ114&lt;='Tariffs Jul2021'!M114,($C$5*'Tariffs Jul2021'!AL114/'Tariffs Jul2021'!AJ114-'Tariffs Jul2021'!L114)*('Tariffs Jul2021'!X114/100)*'Tariffs Jul2021'!AJ114,('Tariffs Jul2021'!M114-'Tariffs Jul2021'!L114)*('Tariffs Jul2021'!X114/100)*'Tariffs Jul2021'!AJ114))</f>
        <v>0</v>
      </c>
      <c r="N120" s="69">
        <f>IF(($C$5*'Tariffs Jul2021'!AL114/'Tariffs Jul2021'!AJ114&gt;'Tariffs Jul2021'!M114),($C$5*'Tariffs Jul2021'!AL114/'Tariffs Jul2021'!AJ114-'Tariffs Jul2021'!M114)*'Tariffs Jul2021'!Y114/100*'Tariffs Jul2021'!AJ114,0)</f>
        <v>0</v>
      </c>
      <c r="O120" s="59">
        <f>SUM(E120:N120)</f>
        <v>543.58199999999999</v>
      </c>
      <c r="P120" s="503">
        <f t="shared" si="56"/>
        <v>597.9402</v>
      </c>
      <c r="Q120" s="59">
        <f>D120+O120</f>
        <v>791.15154545454538</v>
      </c>
      <c r="R120" s="272">
        <f>Q120*1.1</f>
        <v>870.26670000000001</v>
      </c>
      <c r="S120" s="40">
        <f>'Tariffs Jul2021'!AN114</f>
        <v>0</v>
      </c>
      <c r="T120" s="40">
        <f>'Tariffs Jul2021'!AO114</f>
        <v>0</v>
      </c>
      <c r="U120" s="40">
        <f>'Tariffs Jul2021'!AP114</f>
        <v>0</v>
      </c>
      <c r="V120" s="40">
        <f>'Tariffs Jul2021'!AQ114</f>
        <v>0</v>
      </c>
      <c r="W120" s="537" t="str">
        <f t="shared" ref="W120:W134" si="93">IF(SUM(S120:V120)=0,"No discount",IF(S120&gt;0,"Guaranteed off bill",IF(T120&gt;0,"Guaranteed off usage",IF(U120&gt;0,"Pay-on-time off bill","Pay-on-time off usage"))))</f>
        <v>No discount</v>
      </c>
      <c r="X120" s="538" t="str">
        <f t="shared" ref="X120:X134" si="94">IF(OR(A120="Origin Energy",A120="Red Energy",A120="Powershop"),"Inclusive","Exclusive")</f>
        <v>Exclusive</v>
      </c>
      <c r="Y120" s="534">
        <f>IF(AND(W120="Guaranteed off bill",X120="Inclusive"),((Q120*1.1)-((Q120*1.1)*S120/100))/1.1,IF(AND(W120="Guaranteed off usage",X120="Inclusive"),((Q120*1.1)-((P120*1.1)*T120/100))/1.1,IF(AND(W120="Guaranteed off bill",X120="Exclusive"),Q120-(Q120*S120/100),IF(AND(W120="Guaranteed off usage",X120="Exclusive"),Q120-(P120*T120/100),IF(X120="Inclusive",((Q120*1.1))/1.1,Q120)))))</f>
        <v>791.15154545454538</v>
      </c>
      <c r="Z120" s="535">
        <f>IF(AND(W120="Pay-on-time off bill",X120="Inclusive"),((Y120*1.1)-((Y120*1.1)*U120/100))/1.1,IF(AND(W120="Pay-on-time off usage",X120="Inclusive"),((Y120*1.1)-((P120*1.1)*V120/100))/1.1,IF(AND(W120="Pay-on-time off bill",X120="Exclusive"),Y120-(Y120*U120/100),IF(AND(W120="Pay-on-time off usage",X120="Exclusive"),Y120-(P120*V120/100),IF(X120="Inclusive",((Y120*1.1))/1.1,Y120)))))</f>
        <v>791.15154545454538</v>
      </c>
      <c r="AA120" s="542">
        <f t="shared" si="79"/>
        <v>870.26670000000001</v>
      </c>
      <c r="AB120" s="542">
        <f t="shared" si="79"/>
        <v>870.26670000000001</v>
      </c>
      <c r="AC120" s="274">
        <f>'Tariffs Jul2021'!AZ114</f>
        <v>0</v>
      </c>
      <c r="AD120" s="274" t="str">
        <f>'Tariffs Jul2021'!BA114</f>
        <v>n</v>
      </c>
      <c r="AE120" s="275" t="str">
        <f>'Tariffs Jul2021'!BJ114</f>
        <v>N</v>
      </c>
      <c r="AF120" s="574"/>
      <c r="AG120" s="574"/>
      <c r="AH120" s="574"/>
      <c r="AI120" s="574"/>
      <c r="AJ120" s="574"/>
      <c r="AK120" s="574"/>
      <c r="AL120" s="574"/>
      <c r="AM120" s="574"/>
      <c r="AN120" s="574"/>
      <c r="AO120" s="574"/>
      <c r="AP120" s="574"/>
      <c r="AQ120" s="574"/>
      <c r="AR120" s="574"/>
      <c r="AS120" s="574"/>
      <c r="AT120" s="574"/>
      <c r="AU120" s="574"/>
      <c r="AV120" s="574"/>
      <c r="AW120" s="574"/>
      <c r="AX120" s="574"/>
    </row>
    <row r="121" spans="1:50" ht="14" x14ac:dyDescent="0.15">
      <c r="A121" s="270" t="str">
        <f>'Tariffs Jul2021'!F115</f>
        <v>Covau</v>
      </c>
      <c r="B121" s="40" t="str">
        <f>'Tariffs Jul2021'!D115</f>
        <v>AusNet Services Central 1</v>
      </c>
      <c r="C121" s="40" t="str">
        <f>'Tariffs Jul2021'!G115</f>
        <v>Super Saver Plus</v>
      </c>
      <c r="D121" s="59">
        <f>365*'Tariffs Jul2021'!H115/100</f>
        <v>310.25</v>
      </c>
      <c r="E121" s="59">
        <f>IF($C$5*'Tariffs Jul2021'!AK115/'Tariffs Jul2021'!AI115&gt;='Tariffs Jul2021'!J115,( 'Tariffs Jul2021'!J115*'Tariffs Jul2021'!O115/100)* 'Tariffs Jul2021'!AI115,($C$5*'Tariffs Jul2021'!AK115/'Tariffs Jul2021'!AI115*'Tariffs Jul2021'!O115/100)* 'Tariffs Jul2021'!AI115)</f>
        <v>247.24799999999999</v>
      </c>
      <c r="F121" s="59">
        <f>IF($C$5*'Tariffs Jul2021'!AK115/'Tariffs Jul2021'!AI115&lt;'Tariffs Jul2021'!J115,0,IF($C$5*'Tariffs Jul2021'!AK115/'Tariffs Jul2021'!AI115&lt;='Tariffs Jul2021'!K115,($C$5*'Tariffs Jul2021'!AK115/'Tariffs Jul2021'!AI115-'Tariffs Jul2021'!J115)*('Tariffs Jul2021'!P115/100)*'Tariffs Jul2021'!AI115,('Tariffs Jul2021'!K115-'Tariffs Jul2021'!J115)*('Tariffs Jul2021'!P115/100)*'Tariffs Jul2021'!AI115))</f>
        <v>0</v>
      </c>
      <c r="G121" s="59">
        <f>IF($C$5*'Tariffs Jul2021'!AK115/'Tariffs Jul2021'!AI115&lt;'Tariffs Jul2021'!K115,0,IF($C$5*'Tariffs Jul2021'!AK115/'Tariffs Jul2021'!AI115&lt;='Tariffs Jul2021'!L115,($C$5*'Tariffs Jul2021'!AK115/'Tariffs Jul2021'!AI115-'Tariffs Jul2021'!K115)*('Tariffs Jul2021'!Q115/100)*'Tariffs Jul2021'!AI115,('Tariffs Jul2021'!L115-'Tariffs Jul2021'!K115)*('Tariffs Jul2021'!Q115/100)*'Tariffs Jul2021'!AI115))</f>
        <v>0</v>
      </c>
      <c r="H121" s="59">
        <f>IF($C$5*'Tariffs Jul2021'!AK115/'Tariffs Jul2021'!AI115&lt;'Tariffs Jul2021'!L115,0,IF($C$5*'Tariffs Jul2021'!AK115/'Tariffs Jul2021'!AI115&lt;='Tariffs Jul2021'!M115,($C$5*'Tariffs Jul2021'!AK115/'Tariffs Jul2021'!AI115-'Tariffs Jul2021'!L115)*('Tariffs Jul2021'!R115/100)*'Tariffs Jul2021'!AI115,('Tariffs Jul2021'!M115-'Tariffs Jul2021'!L115)*('Tariffs Jul2021'!R115/100)*'Tariffs Jul2021'!AI115))</f>
        <v>0</v>
      </c>
      <c r="I121" s="69">
        <f>IF(($C$5*'Tariffs Jul2021'!AK115/'Tariffs Jul2021'!AI115&gt;'Tariffs Jul2021'!M115),($C$5*'Tariffs Jul2021'!AK115/'Tariffs Jul2021'!AI115-'Tariffs Jul2021'!M115)*'Tariffs Jul2021'!S115/100*'Tariffs Jul2021'!AI115,0)</f>
        <v>0</v>
      </c>
      <c r="J121" s="69">
        <f>IF($C$5*'Tariffs Jul2021'!AL115/'Tariffs Jul2021'!AJ115&gt;='Tariffs Jul2021'!J115,('Tariffs Jul2021'!J115*'Tariffs Jul2021'!U115/100)* 'Tariffs Jul2021'!AJ115,($C$5*'Tariffs Jul2021'!AL115/'Tariffs Jul2021'!AJ115*'Tariffs Jul2021'!U115/100)* 'Tariffs Jul2021'!AJ115)</f>
        <v>343.60199999999998</v>
      </c>
      <c r="K121" s="69">
        <f>IF($C$5*'Tariffs Jul2021'!AL115/'Tariffs Jul2021'!AJ115&lt;'Tariffs Jul2021'!J115,0,IF($C$5*'Tariffs Jul2021'!AL115/'Tariffs Jul2021'!AJ115&lt;='Tariffs Jul2021'!K115,($C$5*'Tariffs Jul2021'!AL115/'Tariffs Jul2021'!AJ115-'Tariffs Jul2021'!J115)*('Tariffs Jul2021'!V115/100)*'Tariffs Jul2021'!AJ115,('Tariffs Jul2021'!K115-'Tariffs Jul2021'!J115)*('Tariffs Jul2021'!V115/100)*'Tariffs Jul2021'!AJ115))</f>
        <v>0</v>
      </c>
      <c r="L121" s="69">
        <f>IF($C$5*'Tariffs Jul2021'!AL115/'Tariffs Jul2021'!AJ115&lt;'Tariffs Jul2021'!K115,0,IF($C$5*'Tariffs Jul2021'!AL115/'Tariffs Jul2021'!AJ115&lt;='Tariffs Jul2021'!L115,($C$5*'Tariffs Jul2021'!AL115/'Tariffs Jul2021'!AJ115-'Tariffs Jul2021'!K115)*('Tariffs Jul2021'!W115/100)*'Tariffs Jul2021'!AJ115,('Tariffs Jul2021'!L115-'Tariffs Jul2021'!K115)*('Tariffs Jul2021'!W115/100)*'Tariffs Jul2021'!AJ115))</f>
        <v>0</v>
      </c>
      <c r="M121" s="69">
        <f>IF($C$5*'Tariffs Jul2021'!AL115/'Tariffs Jul2021'!AJ115&lt;'Tariffs Jul2021'!L115,0,IF($C$5*'Tariffs Jul2021'!AL115/'Tariffs Jul2021'!AJ115&lt;='Tariffs Jul2021'!M115,($C$5*'Tariffs Jul2021'!AL115/'Tariffs Jul2021'!AJ115-'Tariffs Jul2021'!L115)*('Tariffs Jul2021'!X115/100)*'Tariffs Jul2021'!AJ115,('Tariffs Jul2021'!M115-'Tariffs Jul2021'!L115)*('Tariffs Jul2021'!X115/100)*'Tariffs Jul2021'!AJ115))</f>
        <v>0</v>
      </c>
      <c r="N121" s="69">
        <f>IF(($C$5*'Tariffs Jul2021'!AL115/'Tariffs Jul2021'!AJ115&gt;'Tariffs Jul2021'!M115),($C$5*'Tariffs Jul2021'!AL115/'Tariffs Jul2021'!AJ115-'Tariffs Jul2021'!M115)*'Tariffs Jul2021'!Y115/100*'Tariffs Jul2021'!AJ115,0)</f>
        <v>0</v>
      </c>
      <c r="O121" s="59">
        <f t="shared" ref="O121:O134" si="95">SUM(E121:N121)</f>
        <v>590.84999999999991</v>
      </c>
      <c r="P121" s="503">
        <f t="shared" si="56"/>
        <v>649.93499999999995</v>
      </c>
      <c r="Q121" s="59">
        <f t="shared" ref="Q121:Q134" si="96">D121+O121</f>
        <v>901.09999999999991</v>
      </c>
      <c r="R121" s="272">
        <f t="shared" ref="R121:R134" si="97">Q121*1.1</f>
        <v>991.21</v>
      </c>
      <c r="S121" s="40">
        <f>'Tariffs Jul2021'!AN115</f>
        <v>0</v>
      </c>
      <c r="T121" s="40">
        <f>'Tariffs Jul2021'!AO115</f>
        <v>20</v>
      </c>
      <c r="U121" s="40">
        <f>'Tariffs Jul2021'!AP115</f>
        <v>0</v>
      </c>
      <c r="V121" s="40">
        <f>'Tariffs Jul2021'!AQ115</f>
        <v>0</v>
      </c>
      <c r="W121" s="537" t="str">
        <f t="shared" si="93"/>
        <v>Guaranteed off usage</v>
      </c>
      <c r="X121" s="538" t="str">
        <f t="shared" si="94"/>
        <v>Exclusive</v>
      </c>
      <c r="Y121" s="534">
        <f t="shared" ref="Y121" si="98">IF(AND(W121="Guaranteed off bill",X121="Inclusive"),((Q121*1.1)-((Q121*1.1)*S121/100))/1.1,IF(AND(W121="Guaranteed off usage",X121="Inclusive"),((Q121*1.1)-((P121*1.1)*T121/100))/1.1,IF(AND(W121="Guaranteed off bill",X121="Exclusive"),Q121-(Q121*S121/100),IF(AND(W121="Guaranteed off usage",X121="Exclusive"),Q121-(P121*T121/100),IF(X121="Inclusive",((Q121*1.1))/1.1,Q121)))))</f>
        <v>771.11299999999994</v>
      </c>
      <c r="Z121" s="535">
        <f t="shared" ref="Z121" si="99">IF(AND(W121="Pay-on-time off bill",X121="Inclusive"),((Y121*1.1)-((Y121*1.1)*U121/100))/1.1,IF(AND(W121="Pay-on-time off usage",X121="Inclusive"),((Y121*1.1)-((P121*1.1)*V121/100))/1.1,IF(AND(W121="Pay-on-time off bill",X121="Exclusive"),Y121-(Y121*U121/100),IF(AND(W121="Pay-on-time off usage",X121="Exclusive"),Y121-(P121*V121/100),IF(X121="Inclusive",((Y121*1.1))/1.1,Y121)))))</f>
        <v>771.11299999999994</v>
      </c>
      <c r="AA121" s="542">
        <f t="shared" si="79"/>
        <v>848.22429999999997</v>
      </c>
      <c r="AB121" s="542">
        <f t="shared" si="79"/>
        <v>848.22429999999997</v>
      </c>
      <c r="AC121" s="274">
        <f>'Tariffs Jul2021'!AZ115</f>
        <v>0</v>
      </c>
      <c r="AD121" s="274" t="str">
        <f>'Tariffs Jul2021'!BA115</f>
        <v>n</v>
      </c>
      <c r="AE121" s="275" t="str">
        <f>'Tariffs Jul2021'!BJ115</f>
        <v>N</v>
      </c>
      <c r="AF121" s="574"/>
      <c r="AG121" s="574"/>
      <c r="AH121" s="574"/>
      <c r="AI121" s="574"/>
      <c r="AJ121" s="574"/>
      <c r="AK121" s="574"/>
      <c r="AL121" s="574"/>
      <c r="AM121" s="574"/>
      <c r="AN121" s="574"/>
      <c r="AO121" s="574"/>
      <c r="AP121" s="574"/>
      <c r="AQ121" s="574"/>
      <c r="AR121" s="574"/>
      <c r="AS121" s="574"/>
      <c r="AT121" s="574"/>
      <c r="AU121" s="574"/>
      <c r="AV121" s="574"/>
      <c r="AW121" s="574"/>
      <c r="AX121" s="574"/>
    </row>
    <row r="122" spans="1:50" ht="14" x14ac:dyDescent="0.15">
      <c r="A122" s="270" t="str">
        <f>'Tariffs Jul2021'!F116</f>
        <v>Dodo Power &amp; Gas</v>
      </c>
      <c r="B122" s="40" t="str">
        <f>'Tariffs Jul2021'!D116</f>
        <v>AusNet Services Central 1</v>
      </c>
      <c r="C122" s="40" t="str">
        <f>'Tariffs Jul2021'!G116</f>
        <v>Market offer</v>
      </c>
      <c r="D122" s="59">
        <f>365*'Tariffs Jul2021'!H116/100</f>
        <v>256.49545454545455</v>
      </c>
      <c r="E122" s="59">
        <f>IF($C$5*'Tariffs Jul2021'!AK116/'Tariffs Jul2021'!AI116&gt;='Tariffs Jul2021'!J116,( 'Tariffs Jul2021'!J116*'Tariffs Jul2021'!O116/100)* 'Tariffs Jul2021'!AI116,($C$5*'Tariffs Jul2021'!AK116/'Tariffs Jul2021'!AI116*'Tariffs Jul2021'!O116/100)* 'Tariffs Jul2021'!AI116)</f>
        <v>200.88899999999998</v>
      </c>
      <c r="F122" s="59">
        <f>IF($C$5*'Tariffs Jul2021'!AK116/'Tariffs Jul2021'!AI116&lt;'Tariffs Jul2021'!J116,0,IF($C$5*'Tariffs Jul2021'!AK116/'Tariffs Jul2021'!AI116&lt;='Tariffs Jul2021'!K116,($C$5*'Tariffs Jul2021'!AK116/'Tariffs Jul2021'!AI116-'Tariffs Jul2021'!J116)*('Tariffs Jul2021'!P116/100)*'Tariffs Jul2021'!AI116,('Tariffs Jul2021'!K116-'Tariffs Jul2021'!J116)*('Tariffs Jul2021'!P116/100)*'Tariffs Jul2021'!AI116))</f>
        <v>0</v>
      </c>
      <c r="G122" s="59">
        <f>IF($C$5*'Tariffs Jul2021'!AK116/'Tariffs Jul2021'!AI116&lt;'Tariffs Jul2021'!K116,0,IF($C$5*'Tariffs Jul2021'!AK116/'Tariffs Jul2021'!AI116&lt;='Tariffs Jul2021'!L116,($C$5*'Tariffs Jul2021'!AK116/'Tariffs Jul2021'!AI116-'Tariffs Jul2021'!K116)*('Tariffs Jul2021'!Q116/100)*'Tariffs Jul2021'!AI116,('Tariffs Jul2021'!L116-'Tariffs Jul2021'!K116)*('Tariffs Jul2021'!Q116/100)*'Tariffs Jul2021'!AI116))</f>
        <v>0</v>
      </c>
      <c r="H122" s="59">
        <f>IF($C$5*'Tariffs Jul2021'!AK116/'Tariffs Jul2021'!AI116&lt;'Tariffs Jul2021'!L116,0,IF($C$5*'Tariffs Jul2021'!AK116/'Tariffs Jul2021'!AI116&lt;='Tariffs Jul2021'!M116,($C$5*'Tariffs Jul2021'!AK116/'Tariffs Jul2021'!AI116-'Tariffs Jul2021'!L116)*('Tariffs Jul2021'!R116/100)*'Tariffs Jul2021'!AI116,('Tariffs Jul2021'!M116-'Tariffs Jul2021'!L116)*('Tariffs Jul2021'!R116/100)*'Tariffs Jul2021'!AI116))</f>
        <v>0</v>
      </c>
      <c r="I122" s="69">
        <f>IF(($C$5*'Tariffs Jul2021'!AK116/'Tariffs Jul2021'!AI116&gt;'Tariffs Jul2021'!M116),($C$5*'Tariffs Jul2021'!AK116/'Tariffs Jul2021'!AI116-'Tariffs Jul2021'!M116)*'Tariffs Jul2021'!S116/100*'Tariffs Jul2021'!AI116,0)</f>
        <v>0</v>
      </c>
      <c r="J122" s="69">
        <f>IF($C$5*'Tariffs Jul2021'!AL116/'Tariffs Jul2021'!AJ116&gt;='Tariffs Jul2021'!J116,('Tariffs Jul2021'!J116*'Tariffs Jul2021'!U116/100)* 'Tariffs Jul2021'!AJ116,($C$5*'Tariffs Jul2021'!AL116/'Tariffs Jul2021'!AJ116*'Tariffs Jul2021'!U116/100)* 'Tariffs Jul2021'!AJ116)</f>
        <v>312.69599999999997</v>
      </c>
      <c r="K122" s="69">
        <f>IF($C$5*'Tariffs Jul2021'!AL116/'Tariffs Jul2021'!AJ116&lt;'Tariffs Jul2021'!J116,0,IF($C$5*'Tariffs Jul2021'!AL116/'Tariffs Jul2021'!AJ116&lt;='Tariffs Jul2021'!K116,($C$5*'Tariffs Jul2021'!AL116/'Tariffs Jul2021'!AJ116-'Tariffs Jul2021'!J116)*('Tariffs Jul2021'!V116/100)*'Tariffs Jul2021'!AJ116,('Tariffs Jul2021'!K116-'Tariffs Jul2021'!J116)*('Tariffs Jul2021'!V116/100)*'Tariffs Jul2021'!AJ116))</f>
        <v>0</v>
      </c>
      <c r="L122" s="69">
        <f>IF($C$5*'Tariffs Jul2021'!AL116/'Tariffs Jul2021'!AJ116&lt;'Tariffs Jul2021'!K116,0,IF($C$5*'Tariffs Jul2021'!AL116/'Tariffs Jul2021'!AJ116&lt;='Tariffs Jul2021'!L116,($C$5*'Tariffs Jul2021'!AL116/'Tariffs Jul2021'!AJ116-'Tariffs Jul2021'!K116)*('Tariffs Jul2021'!W116/100)*'Tariffs Jul2021'!AJ116,('Tariffs Jul2021'!L116-'Tariffs Jul2021'!K116)*('Tariffs Jul2021'!W116/100)*'Tariffs Jul2021'!AJ116))</f>
        <v>0</v>
      </c>
      <c r="M122" s="69">
        <f>IF($C$5*'Tariffs Jul2021'!AL116/'Tariffs Jul2021'!AJ116&lt;'Tariffs Jul2021'!L116,0,IF($C$5*'Tariffs Jul2021'!AL116/'Tariffs Jul2021'!AJ116&lt;='Tariffs Jul2021'!M116,($C$5*'Tariffs Jul2021'!AL116/'Tariffs Jul2021'!AJ116-'Tariffs Jul2021'!L116)*('Tariffs Jul2021'!X116/100)*'Tariffs Jul2021'!AJ116,('Tariffs Jul2021'!M116-'Tariffs Jul2021'!L116)*('Tariffs Jul2021'!X116/100)*'Tariffs Jul2021'!AJ116))</f>
        <v>0</v>
      </c>
      <c r="N122" s="69">
        <f>IF(($C$5*'Tariffs Jul2021'!AL116/'Tariffs Jul2021'!AJ116&gt;'Tariffs Jul2021'!M116),($C$5*'Tariffs Jul2021'!AL116/'Tariffs Jul2021'!AJ116-'Tariffs Jul2021'!M116)*'Tariffs Jul2021'!Y116/100*'Tariffs Jul2021'!AJ116,0)</f>
        <v>0</v>
      </c>
      <c r="O122" s="59">
        <f t="shared" si="95"/>
        <v>513.58499999999992</v>
      </c>
      <c r="P122" s="503">
        <f t="shared" si="56"/>
        <v>564.94349999999997</v>
      </c>
      <c r="Q122" s="59">
        <f t="shared" si="96"/>
        <v>770.08045454545447</v>
      </c>
      <c r="R122" s="272">
        <f t="shared" si="97"/>
        <v>847.08849999999995</v>
      </c>
      <c r="S122" s="40">
        <f>'Tariffs Jul2021'!AN116</f>
        <v>0</v>
      </c>
      <c r="T122" s="40">
        <f>'Tariffs Jul2021'!AO116</f>
        <v>0</v>
      </c>
      <c r="U122" s="40">
        <f>'Tariffs Jul2021'!AP116</f>
        <v>0</v>
      </c>
      <c r="V122" s="40">
        <f>'Tariffs Jul2021'!AQ116</f>
        <v>0</v>
      </c>
      <c r="W122" s="537" t="str">
        <f t="shared" si="93"/>
        <v>No discount</v>
      </c>
      <c r="X122" s="538" t="str">
        <f t="shared" si="94"/>
        <v>Exclusive</v>
      </c>
      <c r="Y122" s="534">
        <f>IF(AND(W122="Guaranteed off bill",X122="Inclusive"),((Q122*1.1)-((Q122*1.1)*S122/100))/1.1,IF(AND(W122="Guaranteed off usage",X122="Inclusive"),((Q122*1.1)-((P122*1.1)*T122/100))/1.1,IF(AND(W122="Guaranteed off bill",X122="Exclusive"),Q122-(Q122*S122/100),IF(AND(W122="Guaranteed off usage",X122="Exclusive"),Q122-(P122*T122/100),IF(X122="Inclusive",((Q122*1.1))/1.1,Q122)))))</f>
        <v>770.08045454545447</v>
      </c>
      <c r="Z122" s="535">
        <f>IF(AND(W122="Pay-on-time off bill",X122="Inclusive"),((Y122*1.1)-((Y122*1.1)*U122/100))/1.1,IF(AND(W122="Pay-on-time off usage",X122="Inclusive"),((Y122*1.1)-((P122*1.1)*V122/100))/1.1,IF(AND(W122="Pay-on-time off bill",X122="Exclusive"),Y122-(Y122*U122/100),IF(AND(W122="Pay-on-time off usage",X122="Exclusive"),Y122-(P122*V122/100),IF(X122="Inclusive",((Y122*1.1))/1.1,Y122)))))</f>
        <v>770.08045454545447</v>
      </c>
      <c r="AA122" s="542">
        <f t="shared" si="79"/>
        <v>847.08849999999995</v>
      </c>
      <c r="AB122" s="542">
        <f t="shared" si="79"/>
        <v>847.08849999999995</v>
      </c>
      <c r="AC122" s="274">
        <f>'Tariffs Jul2021'!AZ116</f>
        <v>0</v>
      </c>
      <c r="AD122" s="274" t="str">
        <f>'Tariffs Jul2021'!BA116</f>
        <v>n</v>
      </c>
      <c r="AE122" s="275" t="str">
        <f>'Tariffs Jul2021'!BJ116</f>
        <v>N</v>
      </c>
      <c r="AF122" s="574"/>
      <c r="AG122" s="574"/>
      <c r="AH122" s="574"/>
      <c r="AI122" s="574"/>
      <c r="AJ122" s="574"/>
      <c r="AK122" s="574"/>
      <c r="AL122" s="574"/>
      <c r="AM122" s="574"/>
      <c r="AN122" s="574"/>
      <c r="AO122" s="574"/>
      <c r="AP122" s="574"/>
      <c r="AQ122" s="574"/>
      <c r="AR122" s="574"/>
      <c r="AS122" s="574"/>
      <c r="AT122" s="574"/>
      <c r="AU122" s="574"/>
      <c r="AV122" s="574"/>
      <c r="AW122" s="574"/>
      <c r="AX122" s="574"/>
    </row>
    <row r="123" spans="1:50" ht="14" x14ac:dyDescent="0.15">
      <c r="A123" s="270" t="str">
        <f>'Tariffs Jul2021'!F117</f>
        <v>EnergyAustralia</v>
      </c>
      <c r="B123" s="40" t="str">
        <f>'Tariffs Jul2021'!D117</f>
        <v>AusNet Services Central 1</v>
      </c>
      <c r="C123" s="40" t="str">
        <f>'Tariffs Jul2021'!G117</f>
        <v>Total Plan</v>
      </c>
      <c r="D123" s="59">
        <f>365*'Tariffs Jul2021'!H117/100</f>
        <v>367.19</v>
      </c>
      <c r="E123" s="59">
        <f>IF($C$5*'Tariffs Jul2021'!AK117/'Tariffs Jul2021'!AI117&gt;='Tariffs Jul2021'!J117,( 'Tariffs Jul2021'!J117*'Tariffs Jul2021'!O117/100)* 'Tariffs Jul2021'!AI117,($C$5*'Tariffs Jul2021'!AK117/'Tariffs Jul2021'!AI117*'Tariffs Jul2021'!O117/100)* 'Tariffs Jul2021'!AI117)</f>
        <v>296.334</v>
      </c>
      <c r="F123" s="59">
        <f>IF($C$5*'Tariffs Jul2021'!AK117/'Tariffs Jul2021'!AI117&lt;'Tariffs Jul2021'!J117,0,IF($C$5*'Tariffs Jul2021'!AK117/'Tariffs Jul2021'!AI117&lt;='Tariffs Jul2021'!K117,($C$5*'Tariffs Jul2021'!AK117/'Tariffs Jul2021'!AI117-'Tariffs Jul2021'!J117)*('Tariffs Jul2021'!P117/100)*'Tariffs Jul2021'!AI117,('Tariffs Jul2021'!K117-'Tariffs Jul2021'!J117)*('Tariffs Jul2021'!P117/100)*'Tariffs Jul2021'!AI117))</f>
        <v>0</v>
      </c>
      <c r="G123" s="59">
        <f>IF($C$5*'Tariffs Jul2021'!AK117/'Tariffs Jul2021'!AI117&lt;'Tariffs Jul2021'!K117,0,IF($C$5*'Tariffs Jul2021'!AK117/'Tariffs Jul2021'!AI117&lt;='Tariffs Jul2021'!L117,($C$5*'Tariffs Jul2021'!AK117/'Tariffs Jul2021'!AI117-'Tariffs Jul2021'!K117)*('Tariffs Jul2021'!Q117/100)*'Tariffs Jul2021'!AI117,('Tariffs Jul2021'!L117-'Tariffs Jul2021'!K117)*('Tariffs Jul2021'!Q117/100)*'Tariffs Jul2021'!AI117))</f>
        <v>0</v>
      </c>
      <c r="H123" s="59">
        <f>IF($C$5*'Tariffs Jul2021'!AK117/'Tariffs Jul2021'!AI117&lt;'Tariffs Jul2021'!L117,0,IF($C$5*'Tariffs Jul2021'!AK117/'Tariffs Jul2021'!AI117&lt;='Tariffs Jul2021'!M117,($C$5*'Tariffs Jul2021'!AK117/'Tariffs Jul2021'!AI117-'Tariffs Jul2021'!L117)*('Tariffs Jul2021'!R117/100)*'Tariffs Jul2021'!AI117,('Tariffs Jul2021'!M117-'Tariffs Jul2021'!L117)*('Tariffs Jul2021'!R117/100)*'Tariffs Jul2021'!AI117))</f>
        <v>0</v>
      </c>
      <c r="I123" s="69">
        <f>IF(($C$5*'Tariffs Jul2021'!AK117/'Tariffs Jul2021'!AI117&gt;'Tariffs Jul2021'!M117),($C$5*'Tariffs Jul2021'!AK117/'Tariffs Jul2021'!AI117-'Tariffs Jul2021'!M117)*'Tariffs Jul2021'!S117/100*'Tariffs Jul2021'!AI117,0)</f>
        <v>0</v>
      </c>
      <c r="J123" s="69">
        <f>IF($C$5*'Tariffs Jul2021'!AL117/'Tariffs Jul2021'!AJ117&gt;='Tariffs Jul2021'!J117,('Tariffs Jul2021'!J117*'Tariffs Jul2021'!U117/100)* 'Tariffs Jul2021'!AJ117,($C$5*'Tariffs Jul2021'!AL117/'Tariffs Jul2021'!AJ117*'Tariffs Jul2021'!U117/100)* 'Tariffs Jul2021'!AJ117)</f>
        <v>454.49999999999994</v>
      </c>
      <c r="K123" s="69">
        <f>IF($C$5*'Tariffs Jul2021'!AL117/'Tariffs Jul2021'!AJ117&lt;'Tariffs Jul2021'!J117,0,IF($C$5*'Tariffs Jul2021'!AL117/'Tariffs Jul2021'!AJ117&lt;='Tariffs Jul2021'!K117,($C$5*'Tariffs Jul2021'!AL117/'Tariffs Jul2021'!AJ117-'Tariffs Jul2021'!J117)*('Tariffs Jul2021'!V117/100)*'Tariffs Jul2021'!AJ117,('Tariffs Jul2021'!K117-'Tariffs Jul2021'!J117)*('Tariffs Jul2021'!V117/100)*'Tariffs Jul2021'!AJ117))</f>
        <v>0</v>
      </c>
      <c r="L123" s="69">
        <f>IF($C$5*'Tariffs Jul2021'!AL117/'Tariffs Jul2021'!AJ117&lt;'Tariffs Jul2021'!K117,0,IF($C$5*'Tariffs Jul2021'!AL117/'Tariffs Jul2021'!AJ117&lt;='Tariffs Jul2021'!L117,($C$5*'Tariffs Jul2021'!AL117/'Tariffs Jul2021'!AJ117-'Tariffs Jul2021'!K117)*('Tariffs Jul2021'!W117/100)*'Tariffs Jul2021'!AJ117,('Tariffs Jul2021'!L117-'Tariffs Jul2021'!K117)*('Tariffs Jul2021'!W117/100)*'Tariffs Jul2021'!AJ117))</f>
        <v>0</v>
      </c>
      <c r="M123" s="69">
        <f>IF($C$5*'Tariffs Jul2021'!AL117/'Tariffs Jul2021'!AJ117&lt;'Tariffs Jul2021'!L117,0,IF($C$5*'Tariffs Jul2021'!AL117/'Tariffs Jul2021'!AJ117&lt;='Tariffs Jul2021'!M117,($C$5*'Tariffs Jul2021'!AL117/'Tariffs Jul2021'!AJ117-'Tariffs Jul2021'!L117)*('Tariffs Jul2021'!X117/100)*'Tariffs Jul2021'!AJ117,('Tariffs Jul2021'!M117-'Tariffs Jul2021'!L117)*('Tariffs Jul2021'!X117/100)*'Tariffs Jul2021'!AJ117))</f>
        <v>0</v>
      </c>
      <c r="N123" s="69">
        <f>IF(($C$5*'Tariffs Jul2021'!AL117/'Tariffs Jul2021'!AJ117&gt;'Tariffs Jul2021'!M117),($C$5*'Tariffs Jul2021'!AL117/'Tariffs Jul2021'!AJ117-'Tariffs Jul2021'!M117)*'Tariffs Jul2021'!Y117/100*'Tariffs Jul2021'!AJ117,0)</f>
        <v>0</v>
      </c>
      <c r="O123" s="59">
        <f t="shared" si="95"/>
        <v>750.83399999999995</v>
      </c>
      <c r="P123" s="503">
        <f t="shared" si="56"/>
        <v>825.91740000000004</v>
      </c>
      <c r="Q123" s="59">
        <f t="shared" si="96"/>
        <v>1118.0239999999999</v>
      </c>
      <c r="R123" s="272">
        <f t="shared" si="97"/>
        <v>1229.8263999999999</v>
      </c>
      <c r="S123" s="40">
        <f>'Tariffs Jul2021'!AN117</f>
        <v>26</v>
      </c>
      <c r="T123" s="40">
        <f>'Tariffs Jul2021'!AO117</f>
        <v>0</v>
      </c>
      <c r="U123" s="40">
        <f>'Tariffs Jul2021'!AP117</f>
        <v>0</v>
      </c>
      <c r="V123" s="40">
        <f>'Tariffs Jul2021'!AQ117</f>
        <v>0</v>
      </c>
      <c r="W123" s="537" t="str">
        <f t="shared" si="93"/>
        <v>Guaranteed off bill</v>
      </c>
      <c r="X123" s="538" t="str">
        <f t="shared" si="94"/>
        <v>Exclusive</v>
      </c>
      <c r="Y123" s="534">
        <f t="shared" ref="Y123" si="100">IF(AND(W123="Guaranteed off bill",X123="Inclusive"),((Q123*1.1)-((Q123*1.1)*S123/100))/1.1,IF(AND(W123="Guaranteed off usage",X123="Inclusive"),((Q123*1.1)-((P123*1.1)*T123/100))/1.1,IF(AND(W123="Guaranteed off bill",X123="Exclusive"),Q123-(Q123*S123/100),IF(AND(W123="Guaranteed off usage",X123="Exclusive"),Q123-(P123*T123/100),IF(X123="Inclusive",((Q123*1.1))/1.1,Q123)))))</f>
        <v>827.33775999999989</v>
      </c>
      <c r="Z123" s="535">
        <f t="shared" ref="Z123" si="101">IF(AND(W123="Pay-on-time off bill",X123="Inclusive"),((Y123*1.1)-((Y123*1.1)*U123/100))/1.1,IF(AND(W123="Pay-on-time off usage",X123="Inclusive"),((Y123*1.1)-((P123*1.1)*V123/100))/1.1,IF(AND(W123="Pay-on-time off bill",X123="Exclusive"),Y123-(Y123*U123/100),IF(AND(W123="Pay-on-time off usage",X123="Exclusive"),Y123-(P123*V123/100),IF(X123="Inclusive",((Y123*1.1))/1.1,Y123)))))</f>
        <v>827.33775999999989</v>
      </c>
      <c r="AA123" s="542">
        <f t="shared" si="79"/>
        <v>910.07153599999992</v>
      </c>
      <c r="AB123" s="542">
        <f t="shared" si="79"/>
        <v>910.07153599999992</v>
      </c>
      <c r="AC123" s="274">
        <f>'Tariffs Jul2021'!AZ117</f>
        <v>12</v>
      </c>
      <c r="AD123" s="274" t="str">
        <f>'Tariffs Jul2021'!BA117</f>
        <v>n</v>
      </c>
      <c r="AE123" s="275" t="str">
        <f>'Tariffs Jul2021'!BJ117</f>
        <v>N</v>
      </c>
      <c r="AF123" s="574"/>
      <c r="AG123" s="574"/>
      <c r="AH123" s="574"/>
      <c r="AI123" s="574"/>
      <c r="AJ123" s="574"/>
      <c r="AK123" s="574"/>
      <c r="AL123" s="574"/>
      <c r="AM123" s="574"/>
      <c r="AN123" s="574"/>
      <c r="AO123" s="574"/>
      <c r="AP123" s="574"/>
      <c r="AQ123" s="574"/>
      <c r="AR123" s="574"/>
      <c r="AS123" s="574"/>
      <c r="AT123" s="574"/>
      <c r="AU123" s="574"/>
      <c r="AV123" s="574"/>
      <c r="AW123" s="574"/>
      <c r="AX123" s="574"/>
    </row>
    <row r="124" spans="1:50" ht="14" x14ac:dyDescent="0.15">
      <c r="A124" s="270" t="str">
        <f>'Tariffs Jul2021'!F118</f>
        <v>Lumo Energy</v>
      </c>
      <c r="B124" s="40" t="str">
        <f>'Tariffs Jul2021'!D118</f>
        <v>AusNet Services Central 1</v>
      </c>
      <c r="C124" s="40" t="str">
        <f>'Tariffs Jul2021'!G118</f>
        <v>Value</v>
      </c>
      <c r="D124" s="59">
        <f>365*'Tariffs Jul2021'!H118/100</f>
        <v>286.89</v>
      </c>
      <c r="E124" s="59">
        <f>IF($C$5*'Tariffs Jul2021'!AK118/'Tariffs Jul2021'!AI118&gt;='Tariffs Jul2021'!J118,( 'Tariffs Jul2021'!J118*'Tariffs Jul2021'!O118/100)* 'Tariffs Jul2021'!AI118,($C$5*'Tariffs Jul2021'!AK118/'Tariffs Jul2021'!AI118*'Tariffs Jul2021'!O118/100)* 'Tariffs Jul2021'!AI118)</f>
        <v>197.25299999999996</v>
      </c>
      <c r="F124" s="59">
        <f>IF($C$5*'Tariffs Jul2021'!AK118/'Tariffs Jul2021'!AI118&lt;'Tariffs Jul2021'!J118,0,IF($C$5*'Tariffs Jul2021'!AK118/'Tariffs Jul2021'!AI118&lt;='Tariffs Jul2021'!K118,($C$5*'Tariffs Jul2021'!AK118/'Tariffs Jul2021'!AI118-'Tariffs Jul2021'!J118)*('Tariffs Jul2021'!P118/100)*'Tariffs Jul2021'!AI118,('Tariffs Jul2021'!K118-'Tariffs Jul2021'!J118)*('Tariffs Jul2021'!P118/100)*'Tariffs Jul2021'!AI118))</f>
        <v>0</v>
      </c>
      <c r="G124" s="59">
        <f>IF($C$5*'Tariffs Jul2021'!AK118/'Tariffs Jul2021'!AI118&lt;'Tariffs Jul2021'!K118,0,IF($C$5*'Tariffs Jul2021'!AK118/'Tariffs Jul2021'!AI118&lt;='Tariffs Jul2021'!L118,($C$5*'Tariffs Jul2021'!AK118/'Tariffs Jul2021'!AI118-'Tariffs Jul2021'!K118)*('Tariffs Jul2021'!Q118/100)*'Tariffs Jul2021'!AI118,('Tariffs Jul2021'!L118-'Tariffs Jul2021'!K118)*('Tariffs Jul2021'!Q118/100)*'Tariffs Jul2021'!AI118))</f>
        <v>0</v>
      </c>
      <c r="H124" s="59">
        <f>IF($C$5*'Tariffs Jul2021'!AK118/'Tariffs Jul2021'!AI118&lt;'Tariffs Jul2021'!L118,0,IF($C$5*'Tariffs Jul2021'!AK118/'Tariffs Jul2021'!AI118&lt;='Tariffs Jul2021'!M118,($C$5*'Tariffs Jul2021'!AK118/'Tariffs Jul2021'!AI118-'Tariffs Jul2021'!L118)*('Tariffs Jul2021'!R118/100)*'Tariffs Jul2021'!AI118,('Tariffs Jul2021'!M118-'Tariffs Jul2021'!L118)*('Tariffs Jul2021'!R118/100)*'Tariffs Jul2021'!AI118))</f>
        <v>0</v>
      </c>
      <c r="I124" s="69">
        <f>IF(($C$5*'Tariffs Jul2021'!AK118/'Tariffs Jul2021'!AI118&gt;'Tariffs Jul2021'!M118),($C$5*'Tariffs Jul2021'!AK118/'Tariffs Jul2021'!AI118-'Tariffs Jul2021'!M118)*'Tariffs Jul2021'!S118/100*'Tariffs Jul2021'!AI118,0)</f>
        <v>0</v>
      </c>
      <c r="J124" s="69">
        <f>IF($C$5*'Tariffs Jul2021'!AL118/'Tariffs Jul2021'!AJ118&gt;='Tariffs Jul2021'!J118,('Tariffs Jul2021'!J118*'Tariffs Jul2021'!U118/100)* 'Tariffs Jul2021'!AJ118,($C$5*'Tariffs Jul2021'!AL118/'Tariffs Jul2021'!AJ118*'Tariffs Jul2021'!U118/100)* 'Tariffs Jul2021'!AJ118)</f>
        <v>336.33</v>
      </c>
      <c r="K124" s="69">
        <f>IF($C$5*'Tariffs Jul2021'!AL118/'Tariffs Jul2021'!AJ118&lt;'Tariffs Jul2021'!J118,0,IF($C$5*'Tariffs Jul2021'!AL118/'Tariffs Jul2021'!AJ118&lt;='Tariffs Jul2021'!K118,($C$5*'Tariffs Jul2021'!AL118/'Tariffs Jul2021'!AJ118-'Tariffs Jul2021'!J118)*('Tariffs Jul2021'!V118/100)*'Tariffs Jul2021'!AJ118,('Tariffs Jul2021'!K118-'Tariffs Jul2021'!J118)*('Tariffs Jul2021'!V118/100)*'Tariffs Jul2021'!AJ118))</f>
        <v>0</v>
      </c>
      <c r="L124" s="69">
        <f>IF($C$5*'Tariffs Jul2021'!AL118/'Tariffs Jul2021'!AJ118&lt;'Tariffs Jul2021'!K118,0,IF($C$5*'Tariffs Jul2021'!AL118/'Tariffs Jul2021'!AJ118&lt;='Tariffs Jul2021'!L118,($C$5*'Tariffs Jul2021'!AL118/'Tariffs Jul2021'!AJ118-'Tariffs Jul2021'!K118)*('Tariffs Jul2021'!W118/100)*'Tariffs Jul2021'!AJ118,('Tariffs Jul2021'!L118-'Tariffs Jul2021'!K118)*('Tariffs Jul2021'!W118/100)*'Tariffs Jul2021'!AJ118))</f>
        <v>0</v>
      </c>
      <c r="M124" s="69">
        <f>IF($C$5*'Tariffs Jul2021'!AL118/'Tariffs Jul2021'!AJ118&lt;'Tariffs Jul2021'!L118,0,IF($C$5*'Tariffs Jul2021'!AL118/'Tariffs Jul2021'!AJ118&lt;='Tariffs Jul2021'!M118,($C$5*'Tariffs Jul2021'!AL118/'Tariffs Jul2021'!AJ118-'Tariffs Jul2021'!L118)*('Tariffs Jul2021'!X118/100)*'Tariffs Jul2021'!AJ118,('Tariffs Jul2021'!M118-'Tariffs Jul2021'!L118)*('Tariffs Jul2021'!X118/100)*'Tariffs Jul2021'!AJ118))</f>
        <v>0</v>
      </c>
      <c r="N124" s="69">
        <f>IF(($C$5*'Tariffs Jul2021'!AL118/'Tariffs Jul2021'!AJ118&gt;'Tariffs Jul2021'!M118),($C$5*'Tariffs Jul2021'!AL118/'Tariffs Jul2021'!AJ118-'Tariffs Jul2021'!M118)*'Tariffs Jul2021'!Y118/100*'Tariffs Jul2021'!AJ118,0)</f>
        <v>0</v>
      </c>
      <c r="O124" s="59">
        <f t="shared" si="95"/>
        <v>533.58299999999997</v>
      </c>
      <c r="P124" s="503">
        <f t="shared" si="56"/>
        <v>586.94130000000007</v>
      </c>
      <c r="Q124" s="59">
        <f t="shared" si="96"/>
        <v>820.47299999999996</v>
      </c>
      <c r="R124" s="272">
        <f t="shared" si="97"/>
        <v>902.52030000000002</v>
      </c>
      <c r="S124" s="40">
        <f>'Tariffs Jul2021'!AN118</f>
        <v>0</v>
      </c>
      <c r="T124" s="40">
        <f>'Tariffs Jul2021'!AO118</f>
        <v>0</v>
      </c>
      <c r="U124" s="40">
        <f>'Tariffs Jul2021'!AP118</f>
        <v>0</v>
      </c>
      <c r="V124" s="40">
        <f>'Tariffs Jul2021'!AQ118</f>
        <v>0</v>
      </c>
      <c r="W124" s="537" t="str">
        <f t="shared" si="93"/>
        <v>No discount</v>
      </c>
      <c r="X124" s="538" t="str">
        <f t="shared" si="94"/>
        <v>Exclusive</v>
      </c>
      <c r="Y124" s="534">
        <f>IF(AND(W124="Guaranteed off bill",X124="Inclusive"),((Q124*1.1)-((Q124*1.1)*S124/100))/1.1,IF(AND(W124="Guaranteed off usage",X124="Inclusive"),((Q124*1.1)-((P124*1.1)*T124/100))/1.1,IF(AND(W124="Guaranteed off bill",X124="Exclusive"),Q124-(Q124*S124/100),IF(AND(W124="Guaranteed off usage",X124="Exclusive"),Q124-(P124*T124/100),IF(X124="Inclusive",((Q124*1.1))/1.1,Q124)))))</f>
        <v>820.47299999999996</v>
      </c>
      <c r="Z124" s="535">
        <f>IF(AND(W124="Pay-on-time off bill",X124="Inclusive"),((Y124*1.1)-((Y124*1.1)*U124/100))/1.1,IF(AND(W124="Pay-on-time off usage",X124="Inclusive"),((Y124*1.1)-((P124*1.1)*V124/100))/1.1,IF(AND(W124="Pay-on-time off bill",X124="Exclusive"),Y124-(Y124*U124/100),IF(AND(W124="Pay-on-time off usage",X124="Exclusive"),Y124-(P124*V124/100),IF(X124="Inclusive",((Y124*1.1))/1.1,Y124)))))</f>
        <v>820.47299999999996</v>
      </c>
      <c r="AA124" s="542">
        <f t="shared" si="79"/>
        <v>902.52030000000002</v>
      </c>
      <c r="AB124" s="542">
        <f t="shared" si="79"/>
        <v>902.52030000000002</v>
      </c>
      <c r="AC124" s="274">
        <f>'Tariffs Jul2021'!AZ118</f>
        <v>0</v>
      </c>
      <c r="AD124" s="274" t="str">
        <f>'Tariffs Jul2021'!BA118</f>
        <v>n</v>
      </c>
      <c r="AE124" s="275" t="str">
        <f>'Tariffs Jul2021'!BJ118</f>
        <v>N</v>
      </c>
      <c r="AF124" s="574"/>
      <c r="AG124" s="574"/>
      <c r="AH124" s="574"/>
      <c r="AI124" s="574"/>
      <c r="AJ124" s="574"/>
      <c r="AK124" s="574"/>
      <c r="AL124" s="574"/>
      <c r="AM124" s="574"/>
      <c r="AN124" s="574"/>
      <c r="AO124" s="574"/>
      <c r="AP124" s="574"/>
      <c r="AQ124" s="574"/>
      <c r="AR124" s="574"/>
      <c r="AS124" s="574"/>
      <c r="AT124" s="574"/>
      <c r="AU124" s="574"/>
      <c r="AV124" s="574"/>
      <c r="AW124" s="574"/>
      <c r="AX124" s="574"/>
    </row>
    <row r="125" spans="1:50" ht="14" x14ac:dyDescent="0.15">
      <c r="A125" s="270" t="str">
        <f>'Tariffs Jul2021'!F119</f>
        <v>Momentum Energy</v>
      </c>
      <c r="B125" s="40" t="str">
        <f>'Tariffs Jul2021'!D119</f>
        <v>AusNet Services Central 1</v>
      </c>
      <c r="C125" s="40" t="str">
        <f>'Tariffs Jul2021'!G119</f>
        <v>Market offer</v>
      </c>
      <c r="D125" s="59">
        <f>365*'Tariffs Jul2021'!H119/100</f>
        <v>362.44499999999999</v>
      </c>
      <c r="E125" s="59">
        <f>IF($C$5*'Tariffs Jul2021'!AK119/'Tariffs Jul2021'!AI119&gt;='Tariffs Jul2021'!J119,( 'Tariffs Jul2021'!J119*'Tariffs Jul2021'!O119/100)* 'Tariffs Jul2021'!AI119,($C$5*'Tariffs Jul2021'!AK119/'Tariffs Jul2021'!AI119*'Tariffs Jul2021'!O119/100)* 'Tariffs Jul2021'!AI119)</f>
        <v>219.97799999999995</v>
      </c>
      <c r="F125" s="59">
        <f>IF($C$5*'Tariffs Jul2021'!AK119/'Tariffs Jul2021'!AI119&lt;'Tariffs Jul2021'!J119,0,IF($C$5*'Tariffs Jul2021'!AK119/'Tariffs Jul2021'!AI119&lt;='Tariffs Jul2021'!K119,($C$5*'Tariffs Jul2021'!AK119/'Tariffs Jul2021'!AI119-'Tariffs Jul2021'!J119)*('Tariffs Jul2021'!P119/100)*'Tariffs Jul2021'!AI119,('Tariffs Jul2021'!K119-'Tariffs Jul2021'!J119)*('Tariffs Jul2021'!P119/100)*'Tariffs Jul2021'!AI119))</f>
        <v>0</v>
      </c>
      <c r="G125" s="59">
        <f>IF($C$5*'Tariffs Jul2021'!AK119/'Tariffs Jul2021'!AI119&lt;'Tariffs Jul2021'!K119,0,IF($C$5*'Tariffs Jul2021'!AK119/'Tariffs Jul2021'!AI119&lt;='Tariffs Jul2021'!L119,($C$5*'Tariffs Jul2021'!AK119/'Tariffs Jul2021'!AI119-'Tariffs Jul2021'!K119)*('Tariffs Jul2021'!Q119/100)*'Tariffs Jul2021'!AI119,('Tariffs Jul2021'!L119-'Tariffs Jul2021'!K119)*('Tariffs Jul2021'!Q119/100)*'Tariffs Jul2021'!AI119))</f>
        <v>0</v>
      </c>
      <c r="H125" s="59">
        <f>IF($C$5*'Tariffs Jul2021'!AK119/'Tariffs Jul2021'!AI119&lt;'Tariffs Jul2021'!L119,0,IF($C$5*'Tariffs Jul2021'!AK119/'Tariffs Jul2021'!AI119&lt;='Tariffs Jul2021'!M119,($C$5*'Tariffs Jul2021'!AK119/'Tariffs Jul2021'!AI119-'Tariffs Jul2021'!L119)*('Tariffs Jul2021'!R119/100)*'Tariffs Jul2021'!AI119,('Tariffs Jul2021'!M119-'Tariffs Jul2021'!L119)*('Tariffs Jul2021'!R119/100)*'Tariffs Jul2021'!AI119))</f>
        <v>0</v>
      </c>
      <c r="I125" s="69">
        <f>IF(($C$5*'Tariffs Jul2021'!AK119/'Tariffs Jul2021'!AI119&gt;'Tariffs Jul2021'!M119),($C$5*'Tariffs Jul2021'!AK119/'Tariffs Jul2021'!AI119-'Tariffs Jul2021'!M119)*'Tariffs Jul2021'!S119/100*'Tariffs Jul2021'!AI119,0)</f>
        <v>0</v>
      </c>
      <c r="J125" s="69">
        <f>IF($C$5*'Tariffs Jul2021'!AL119/'Tariffs Jul2021'!AJ119&gt;='Tariffs Jul2021'!J119,('Tariffs Jul2021'!J119*'Tariffs Jul2021'!U119/100)* 'Tariffs Jul2021'!AJ119,($C$5*'Tariffs Jul2021'!AL119/'Tariffs Jul2021'!AJ119*'Tariffs Jul2021'!U119/100)* 'Tariffs Jul2021'!AJ119)</f>
        <v>319.96799999999996</v>
      </c>
      <c r="K125" s="69">
        <f>IF($C$5*'Tariffs Jul2021'!AL119/'Tariffs Jul2021'!AJ119&lt;'Tariffs Jul2021'!J119,0,IF($C$5*'Tariffs Jul2021'!AL119/'Tariffs Jul2021'!AJ119&lt;='Tariffs Jul2021'!K119,($C$5*'Tariffs Jul2021'!AL119/'Tariffs Jul2021'!AJ119-'Tariffs Jul2021'!J119)*('Tariffs Jul2021'!V119/100)*'Tariffs Jul2021'!AJ119,('Tariffs Jul2021'!K119-'Tariffs Jul2021'!J119)*('Tariffs Jul2021'!V119/100)*'Tariffs Jul2021'!AJ119))</f>
        <v>0</v>
      </c>
      <c r="L125" s="69">
        <f>IF($C$5*'Tariffs Jul2021'!AL119/'Tariffs Jul2021'!AJ119&lt;'Tariffs Jul2021'!K119,0,IF($C$5*'Tariffs Jul2021'!AL119/'Tariffs Jul2021'!AJ119&lt;='Tariffs Jul2021'!L119,($C$5*'Tariffs Jul2021'!AL119/'Tariffs Jul2021'!AJ119-'Tariffs Jul2021'!K119)*('Tariffs Jul2021'!W119/100)*'Tariffs Jul2021'!AJ119,('Tariffs Jul2021'!L119-'Tariffs Jul2021'!K119)*('Tariffs Jul2021'!W119/100)*'Tariffs Jul2021'!AJ119))</f>
        <v>0</v>
      </c>
      <c r="M125" s="69">
        <f>IF($C$5*'Tariffs Jul2021'!AL119/'Tariffs Jul2021'!AJ119&lt;'Tariffs Jul2021'!L119,0,IF($C$5*'Tariffs Jul2021'!AL119/'Tariffs Jul2021'!AJ119&lt;='Tariffs Jul2021'!M119,($C$5*'Tariffs Jul2021'!AL119/'Tariffs Jul2021'!AJ119-'Tariffs Jul2021'!L119)*('Tariffs Jul2021'!X119/100)*'Tariffs Jul2021'!AJ119,('Tariffs Jul2021'!M119-'Tariffs Jul2021'!L119)*('Tariffs Jul2021'!X119/100)*'Tariffs Jul2021'!AJ119))</f>
        <v>0</v>
      </c>
      <c r="N125" s="69">
        <f>IF(($C$5*'Tariffs Jul2021'!AL119/'Tariffs Jul2021'!AJ119&gt;'Tariffs Jul2021'!M119),($C$5*'Tariffs Jul2021'!AL119/'Tariffs Jul2021'!AJ119-'Tariffs Jul2021'!M119)*'Tariffs Jul2021'!Y119/100*'Tariffs Jul2021'!AJ119,0)</f>
        <v>0</v>
      </c>
      <c r="O125" s="59">
        <f t="shared" si="95"/>
        <v>539.94599999999991</v>
      </c>
      <c r="P125" s="503">
        <f t="shared" si="56"/>
        <v>593.9405999999999</v>
      </c>
      <c r="Q125" s="59">
        <f t="shared" si="96"/>
        <v>902.39099999999985</v>
      </c>
      <c r="R125" s="272">
        <f t="shared" si="97"/>
        <v>992.63009999999997</v>
      </c>
      <c r="S125" s="40">
        <f>'Tariffs Jul2021'!AN119</f>
        <v>0</v>
      </c>
      <c r="T125" s="40">
        <f>'Tariffs Jul2021'!AO119</f>
        <v>0</v>
      </c>
      <c r="U125" s="40">
        <f>'Tariffs Jul2021'!AP119</f>
        <v>0</v>
      </c>
      <c r="V125" s="40">
        <f>'Tariffs Jul2021'!AQ119</f>
        <v>0</v>
      </c>
      <c r="W125" s="537" t="str">
        <f t="shared" si="93"/>
        <v>No discount</v>
      </c>
      <c r="X125" s="538" t="str">
        <f t="shared" si="94"/>
        <v>Exclusive</v>
      </c>
      <c r="Y125" s="534">
        <f t="shared" ref="Y125" si="102">IF(AND(W125="Guaranteed off bill",X125="Inclusive"),((Q125*1.1)-((Q125*1.1)*S125/100))/1.1,IF(AND(W125="Guaranteed off usage",X125="Inclusive"),((Q125*1.1)-((P125*1.1)*T125/100))/1.1,IF(AND(W125="Guaranteed off bill",X125="Exclusive"),Q125-(Q125*S125/100),IF(AND(W125="Guaranteed off usage",X125="Exclusive"),Q125-(P125*T125/100),IF(X125="Inclusive",((Q125*1.1))/1.1,Q125)))))</f>
        <v>902.39099999999985</v>
      </c>
      <c r="Z125" s="535">
        <f t="shared" ref="Z125" si="103">IF(AND(W125="Pay-on-time off bill",X125="Inclusive"),((Y125*1.1)-((Y125*1.1)*U125/100))/1.1,IF(AND(W125="Pay-on-time off usage",X125="Inclusive"),((Y125*1.1)-((P125*1.1)*V125/100))/1.1,IF(AND(W125="Pay-on-time off bill",X125="Exclusive"),Y125-(Y125*U125/100),IF(AND(W125="Pay-on-time off usage",X125="Exclusive"),Y125-(P125*V125/100),IF(X125="Inclusive",((Y125*1.1))/1.1,Y125)))))</f>
        <v>902.39099999999985</v>
      </c>
      <c r="AA125" s="542">
        <f t="shared" si="79"/>
        <v>992.63009999999997</v>
      </c>
      <c r="AB125" s="542">
        <f t="shared" si="79"/>
        <v>992.63009999999997</v>
      </c>
      <c r="AC125" s="274">
        <f>'Tariffs Jul2021'!AZ119</f>
        <v>0</v>
      </c>
      <c r="AD125" s="274" t="str">
        <f>'Tariffs Jul2021'!BA119</f>
        <v>n</v>
      </c>
      <c r="AE125" s="275" t="str">
        <f>'Tariffs Jul2021'!BJ119</f>
        <v>N</v>
      </c>
      <c r="AF125" s="574"/>
      <c r="AG125" s="574"/>
      <c r="AH125" s="574"/>
      <c r="AI125" s="574"/>
      <c r="AJ125" s="574"/>
      <c r="AK125" s="574"/>
      <c r="AL125" s="574"/>
      <c r="AM125" s="574"/>
      <c r="AN125" s="574"/>
      <c r="AO125" s="574"/>
      <c r="AP125" s="574"/>
      <c r="AQ125" s="574"/>
      <c r="AR125" s="574"/>
      <c r="AS125" s="574"/>
      <c r="AT125" s="574"/>
      <c r="AU125" s="574"/>
      <c r="AV125" s="574"/>
      <c r="AW125" s="574"/>
      <c r="AX125" s="574"/>
    </row>
    <row r="126" spans="1:50" ht="14" x14ac:dyDescent="0.15">
      <c r="A126" s="270" t="str">
        <f>'Tariffs Jul2021'!F120</f>
        <v>Origin Energy</v>
      </c>
      <c r="B126" s="40" t="str">
        <f>'Tariffs Jul2021'!D120</f>
        <v>AusNet Services Central 1</v>
      </c>
      <c r="C126" s="40" t="str">
        <f>'Tariffs Jul2021'!G120</f>
        <v>Go</v>
      </c>
      <c r="D126" s="59">
        <f>365*'Tariffs Jul2021'!H120/100</f>
        <v>260.21181818181816</v>
      </c>
      <c r="E126" s="59">
        <f>((C$5*'Tariffs Jul2021'!AK120/'Tariffs Jul2021'!AI120)*('Tariffs Jul2021'!O120/100))*'Tariffs Jul2021'!AI120</f>
        <v>287.72727272727269</v>
      </c>
      <c r="F126" s="59">
        <v>0</v>
      </c>
      <c r="G126" s="59">
        <v>0</v>
      </c>
      <c r="H126" s="59">
        <v>0</v>
      </c>
      <c r="I126" s="69">
        <v>0</v>
      </c>
      <c r="J126" s="69">
        <f>((C$5*'Tariffs Jul2021'!AL120/'Tariffs Jul2021'!AJ120)*('Tariffs Jul2021'!U120/100))*'Tariffs Jul2021'!AJ120</f>
        <v>287.72727272727269</v>
      </c>
      <c r="K126" s="69">
        <v>0</v>
      </c>
      <c r="L126" s="69">
        <v>0</v>
      </c>
      <c r="M126" s="69">
        <v>0</v>
      </c>
      <c r="N126" s="69">
        <v>0</v>
      </c>
      <c r="O126" s="59">
        <f t="shared" ref="O126" si="104">SUM(E126:N126)</f>
        <v>575.45454545454538</v>
      </c>
      <c r="P126" s="503">
        <f t="shared" si="56"/>
        <v>633</v>
      </c>
      <c r="Q126" s="59">
        <f t="shared" si="96"/>
        <v>835.66636363636349</v>
      </c>
      <c r="R126" s="272">
        <f t="shared" si="97"/>
        <v>919.23299999999995</v>
      </c>
      <c r="S126" s="40">
        <f>'Tariffs Jul2021'!AN120</f>
        <v>0</v>
      </c>
      <c r="T126" s="40">
        <f>'Tariffs Jul2021'!AO120</f>
        <v>0</v>
      </c>
      <c r="U126" s="40">
        <f>'Tariffs Jul2021'!AP120</f>
        <v>0</v>
      </c>
      <c r="V126" s="40">
        <f>'Tariffs Jul2021'!AQ120</f>
        <v>0</v>
      </c>
      <c r="W126" s="537" t="str">
        <f t="shared" si="93"/>
        <v>No discount</v>
      </c>
      <c r="X126" s="538" t="str">
        <f t="shared" si="94"/>
        <v>Inclusive</v>
      </c>
      <c r="Y126" s="534">
        <f>IF(AND(W126="Guaranteed off bill",X126="Inclusive"),((Q126*1.1)-((Q126*1.1)*S126/100))/1.1,IF(AND(W126="Guaranteed off usage",X126="Inclusive"),((Q126*1.1)-((P126*1.1)*T126/100))/1.1,IF(AND(W126="Guaranteed off bill",X126="Exclusive"),Q126-(Q126*S126/100),IF(AND(W126="Guaranteed off usage",X126="Exclusive"),Q126-(P126*T126/100),IF(X126="Inclusive",((Q126*1.1))/1.1,Q126)))))</f>
        <v>835.66636363636349</v>
      </c>
      <c r="Z126" s="535">
        <f>IF(AND(W126="Pay-on-time off bill",X126="Inclusive"),((Y126*1.1)-((Y126*1.1)*U126/100))/1.1,IF(AND(W126="Pay-on-time off usage",X126="Inclusive"),((Y126*1.1)-((P126*1.1)*V126/100))/1.1,IF(AND(W126="Pay-on-time off bill",X126="Exclusive"),Y126-(Y126*U126/100),IF(AND(W126="Pay-on-time off usage",X126="Exclusive"),Y126-(P126*V126/100),IF(X126="Inclusive",((Y126*1.1))/1.1,Y126)))))</f>
        <v>835.66636363636349</v>
      </c>
      <c r="AA126" s="542">
        <f t="shared" si="79"/>
        <v>919.23299999999995</v>
      </c>
      <c r="AB126" s="542">
        <f t="shared" si="79"/>
        <v>919.23299999999995</v>
      </c>
      <c r="AC126" s="274">
        <f>'Tariffs Jul2021'!AZ120</f>
        <v>0</v>
      </c>
      <c r="AD126" s="274" t="str">
        <f>'Tariffs Jul2021'!BA120</f>
        <v>n</v>
      </c>
      <c r="AE126" s="275" t="str">
        <f>'Tariffs Jul2021'!BJ120</f>
        <v>N</v>
      </c>
      <c r="AF126" s="574"/>
      <c r="AG126" s="574"/>
      <c r="AH126" s="574"/>
      <c r="AI126" s="574"/>
      <c r="AJ126" s="574"/>
      <c r="AK126" s="574"/>
      <c r="AL126" s="574"/>
      <c r="AM126" s="574"/>
      <c r="AN126" s="574"/>
      <c r="AO126" s="574"/>
      <c r="AP126" s="574"/>
      <c r="AQ126" s="574"/>
      <c r="AR126" s="574"/>
      <c r="AS126" s="574"/>
      <c r="AT126" s="574"/>
      <c r="AU126" s="574"/>
      <c r="AV126" s="574"/>
      <c r="AW126" s="574"/>
      <c r="AX126" s="574"/>
    </row>
    <row r="127" spans="1:50" ht="14" x14ac:dyDescent="0.15">
      <c r="A127" s="270" t="str">
        <f>'Tariffs Jul2021'!F121</f>
        <v>Red Energy</v>
      </c>
      <c r="B127" s="40" t="str">
        <f>'Tariffs Jul2021'!D121</f>
        <v>AusNet Services Central 1</v>
      </c>
      <c r="C127" s="40" t="str">
        <f>'Tariffs Jul2021'!G121</f>
        <v>Living Energy Saver</v>
      </c>
      <c r="D127" s="59">
        <f>365*'Tariffs Jul2021'!H121/100</f>
        <v>271.02909090909088</v>
      </c>
      <c r="E127" s="59">
        <f>IF($C$5*'Tariffs Jul2021'!AK121/'Tariffs Jul2021'!AI121&gt;='Tariffs Jul2021'!J121,( 'Tariffs Jul2021'!J121*'Tariffs Jul2021'!O121/100)* 'Tariffs Jul2021'!AI121,($C$5*'Tariffs Jul2021'!AK121/'Tariffs Jul2021'!AI121*'Tariffs Jul2021'!O121/100)* 'Tariffs Jul2021'!AI121)</f>
        <v>216.34200000000001</v>
      </c>
      <c r="F127" s="59">
        <f>IF($C$5*'Tariffs Jul2021'!AK121/'Tariffs Jul2021'!AI121&lt;'Tariffs Jul2021'!J121,0,IF($C$5*'Tariffs Jul2021'!AK121/'Tariffs Jul2021'!AI121&lt;='Tariffs Jul2021'!K121,($C$5*'Tariffs Jul2021'!AK121/'Tariffs Jul2021'!AI121-'Tariffs Jul2021'!J121)*('Tariffs Jul2021'!P121/100)*'Tariffs Jul2021'!AI121,('Tariffs Jul2021'!K121-'Tariffs Jul2021'!J121)*('Tariffs Jul2021'!P121/100)*'Tariffs Jul2021'!AI121))</f>
        <v>0</v>
      </c>
      <c r="G127" s="59">
        <f>IF($C$5*'Tariffs Jul2021'!AK121/'Tariffs Jul2021'!AI121&lt;'Tariffs Jul2021'!K121,0,IF($C$5*'Tariffs Jul2021'!AK121/'Tariffs Jul2021'!AI121&lt;='Tariffs Jul2021'!L121,($C$5*'Tariffs Jul2021'!AK121/'Tariffs Jul2021'!AI121-'Tariffs Jul2021'!K121)*('Tariffs Jul2021'!Q121/100)*'Tariffs Jul2021'!AI121,('Tariffs Jul2021'!L121-'Tariffs Jul2021'!K121)*('Tariffs Jul2021'!Q121/100)*'Tariffs Jul2021'!AI121))</f>
        <v>0</v>
      </c>
      <c r="H127" s="59">
        <f>IF($C$5*'Tariffs Jul2021'!AK121/'Tariffs Jul2021'!AI121&lt;'Tariffs Jul2021'!L121,0,IF($C$5*'Tariffs Jul2021'!AK121/'Tariffs Jul2021'!AI121&lt;='Tariffs Jul2021'!M121,($C$5*'Tariffs Jul2021'!AK121/'Tariffs Jul2021'!AI121-'Tariffs Jul2021'!L121)*('Tariffs Jul2021'!R121/100)*'Tariffs Jul2021'!AI121,('Tariffs Jul2021'!M121-'Tariffs Jul2021'!L121)*('Tariffs Jul2021'!R121/100)*'Tariffs Jul2021'!AI121))</f>
        <v>0</v>
      </c>
      <c r="I127" s="69">
        <f>IF(($C$5*'Tariffs Jul2021'!AK121/'Tariffs Jul2021'!AI121&gt;'Tariffs Jul2021'!M121),($C$5*'Tariffs Jul2021'!AK121/'Tariffs Jul2021'!AI121-'Tariffs Jul2021'!M121)*'Tariffs Jul2021'!S121/100*'Tariffs Jul2021'!AI121,0)</f>
        <v>0</v>
      </c>
      <c r="J127" s="69">
        <f>IF($C$5*'Tariffs Jul2021'!AL121/'Tariffs Jul2021'!AJ121&gt;='Tariffs Jul2021'!J121,('Tariffs Jul2021'!J121*'Tariffs Jul2021'!U121/100)* 'Tariffs Jul2021'!AJ121,($C$5*'Tariffs Jul2021'!AL121/'Tariffs Jul2021'!AJ121*'Tariffs Jul2021'!U121/100)* 'Tariffs Jul2021'!AJ121)</f>
        <v>350.87399999999997</v>
      </c>
      <c r="K127" s="69">
        <f>IF($C$5*'Tariffs Jul2021'!AL121/'Tariffs Jul2021'!AJ121&lt;'Tariffs Jul2021'!J121,0,IF($C$5*'Tariffs Jul2021'!AL121/'Tariffs Jul2021'!AJ121&lt;='Tariffs Jul2021'!K121,($C$5*'Tariffs Jul2021'!AL121/'Tariffs Jul2021'!AJ121-'Tariffs Jul2021'!J121)*('Tariffs Jul2021'!V121/100)*'Tariffs Jul2021'!AJ121,('Tariffs Jul2021'!K121-'Tariffs Jul2021'!J121)*('Tariffs Jul2021'!V121/100)*'Tariffs Jul2021'!AJ121))</f>
        <v>0</v>
      </c>
      <c r="L127" s="69">
        <f>IF($C$5*'Tariffs Jul2021'!AL121/'Tariffs Jul2021'!AJ121&lt;'Tariffs Jul2021'!K121,0,IF($C$5*'Tariffs Jul2021'!AL121/'Tariffs Jul2021'!AJ121&lt;='Tariffs Jul2021'!L121,($C$5*'Tariffs Jul2021'!AL121/'Tariffs Jul2021'!AJ121-'Tariffs Jul2021'!K121)*('Tariffs Jul2021'!W121/100)*'Tariffs Jul2021'!AJ121,('Tariffs Jul2021'!L121-'Tariffs Jul2021'!K121)*('Tariffs Jul2021'!W121/100)*'Tariffs Jul2021'!AJ121))</f>
        <v>0</v>
      </c>
      <c r="M127" s="69">
        <f>IF($C$5*'Tariffs Jul2021'!AL121/'Tariffs Jul2021'!AJ121&lt;'Tariffs Jul2021'!L121,0,IF($C$5*'Tariffs Jul2021'!AL121/'Tariffs Jul2021'!AJ121&lt;='Tariffs Jul2021'!M121,($C$5*'Tariffs Jul2021'!AL121/'Tariffs Jul2021'!AJ121-'Tariffs Jul2021'!L121)*('Tariffs Jul2021'!X121/100)*'Tariffs Jul2021'!AJ121,('Tariffs Jul2021'!M121-'Tariffs Jul2021'!L121)*('Tariffs Jul2021'!X121/100)*'Tariffs Jul2021'!AJ121))</f>
        <v>0</v>
      </c>
      <c r="N127" s="69">
        <f>IF(($C$5*'Tariffs Jul2021'!AL121/'Tariffs Jul2021'!AJ121&gt;'Tariffs Jul2021'!M121),($C$5*'Tariffs Jul2021'!AL121/'Tariffs Jul2021'!AJ121-'Tariffs Jul2021'!M121)*'Tariffs Jul2021'!Y121/100*'Tariffs Jul2021'!AJ121,0)</f>
        <v>0</v>
      </c>
      <c r="O127" s="59">
        <f t="shared" si="95"/>
        <v>567.21600000000001</v>
      </c>
      <c r="P127" s="503">
        <f t="shared" si="56"/>
        <v>623.93760000000009</v>
      </c>
      <c r="Q127" s="59">
        <f t="shared" si="96"/>
        <v>838.24509090909089</v>
      </c>
      <c r="R127" s="272">
        <f t="shared" si="97"/>
        <v>922.06960000000004</v>
      </c>
      <c r="S127" s="40">
        <f>'Tariffs Jul2021'!AN121</f>
        <v>0</v>
      </c>
      <c r="T127" s="40">
        <f>'Tariffs Jul2021'!AO121</f>
        <v>0</v>
      </c>
      <c r="U127" s="40">
        <f>'Tariffs Jul2021'!AP121</f>
        <v>0</v>
      </c>
      <c r="V127" s="40">
        <f>'Tariffs Jul2021'!AQ121</f>
        <v>0</v>
      </c>
      <c r="W127" s="537" t="str">
        <f t="shared" si="93"/>
        <v>No discount</v>
      </c>
      <c r="X127" s="538" t="str">
        <f t="shared" si="94"/>
        <v>Inclusive</v>
      </c>
      <c r="Y127" s="534">
        <f t="shared" ref="Y127:Y130" si="105">IF(AND(W127="Guaranteed off bill",X127="Inclusive"),((Q127*1.1)-((Q127*1.1)*S127/100))/1.1,IF(AND(W127="Guaranteed off usage",X127="Inclusive"),((Q127*1.1)-((P127*1.1)*T127/100))/1.1,IF(AND(W127="Guaranteed off bill",X127="Exclusive"),Q127-(Q127*S127/100),IF(AND(W127="Guaranteed off usage",X127="Exclusive"),Q127-(P127*T127/100),IF(X127="Inclusive",((Q127*1.1))/1.1,Q127)))))</f>
        <v>838.24509090909089</v>
      </c>
      <c r="Z127" s="535">
        <f t="shared" ref="Z127:Z130" si="106">IF(AND(W127="Pay-on-time off bill",X127="Inclusive"),((Y127*1.1)-((Y127*1.1)*U127/100))/1.1,IF(AND(W127="Pay-on-time off usage",X127="Inclusive"),((Y127*1.1)-((P127*1.1)*V127/100))/1.1,IF(AND(W127="Pay-on-time off bill",X127="Exclusive"),Y127-(Y127*U127/100),IF(AND(W127="Pay-on-time off usage",X127="Exclusive"),Y127-(P127*V127/100),IF(X127="Inclusive",((Y127*1.1))/1.1,Y127)))))</f>
        <v>838.24509090909089</v>
      </c>
      <c r="AA127" s="542">
        <f t="shared" si="79"/>
        <v>922.06960000000004</v>
      </c>
      <c r="AB127" s="542">
        <f t="shared" si="79"/>
        <v>922.06960000000004</v>
      </c>
      <c r="AC127" s="274">
        <f>'Tariffs Jul2021'!AZ121</f>
        <v>0</v>
      </c>
      <c r="AD127" s="274" t="str">
        <f>'Tariffs Jul2021'!BA121</f>
        <v>n</v>
      </c>
      <c r="AE127" s="275" t="str">
        <f>'Tariffs Jul2021'!BJ121</f>
        <v>N</v>
      </c>
      <c r="AF127" s="574"/>
      <c r="AG127" s="574"/>
      <c r="AH127" s="574"/>
      <c r="AI127" s="574"/>
      <c r="AJ127" s="574"/>
      <c r="AK127" s="574"/>
      <c r="AL127" s="574"/>
      <c r="AM127" s="574"/>
      <c r="AN127" s="574"/>
      <c r="AO127" s="574"/>
      <c r="AP127" s="574"/>
      <c r="AQ127" s="574"/>
      <c r="AR127" s="574"/>
      <c r="AS127" s="574"/>
      <c r="AT127" s="574"/>
      <c r="AU127" s="574"/>
      <c r="AV127" s="574"/>
      <c r="AW127" s="574"/>
      <c r="AX127" s="574"/>
    </row>
    <row r="128" spans="1:50" ht="14" x14ac:dyDescent="0.15">
      <c r="A128" s="270" t="str">
        <f>'Tariffs Jul2021'!F122</f>
        <v>Simply Energy</v>
      </c>
      <c r="B128" s="40" t="str">
        <f>'Tariffs Jul2021'!D122</f>
        <v>AusNet Services Central 1</v>
      </c>
      <c r="C128" s="40" t="str">
        <f>'Tariffs Jul2021'!G122</f>
        <v>Saver</v>
      </c>
      <c r="D128" s="59">
        <f>365*'Tariffs Jul2021'!H122/100</f>
        <v>338.05636363636359</v>
      </c>
      <c r="E128" s="59">
        <f>IF($C$5*'Tariffs Jul2021'!AK122/'Tariffs Jul2021'!AI122&gt;='Tariffs Jul2021'!J122,( 'Tariffs Jul2021'!J122*'Tariffs Jul2021'!O122/100)* 'Tariffs Jul2021'!AI122,($C$5*'Tariffs Jul2021'!AK122/'Tariffs Jul2021'!AI122*'Tariffs Jul2021'!O122/100)* 'Tariffs Jul2021'!AI122)</f>
        <v>240.88499999999996</v>
      </c>
      <c r="F128" s="59">
        <f>IF($C$5*'Tariffs Jul2021'!AK122/'Tariffs Jul2021'!AI122&lt;'Tariffs Jul2021'!J122,0,IF($C$5*'Tariffs Jul2021'!AK122/'Tariffs Jul2021'!AI122&lt;='Tariffs Jul2021'!K122,($C$5*'Tariffs Jul2021'!AK122/'Tariffs Jul2021'!AI122-'Tariffs Jul2021'!J122)*('Tariffs Jul2021'!P122/100)*'Tariffs Jul2021'!AI122,('Tariffs Jul2021'!K122-'Tariffs Jul2021'!J122)*('Tariffs Jul2021'!P122/100)*'Tariffs Jul2021'!AI122))</f>
        <v>0</v>
      </c>
      <c r="G128" s="59">
        <f>IF($C$5*'Tariffs Jul2021'!AK122/'Tariffs Jul2021'!AI122&lt;'Tariffs Jul2021'!K122,0,IF($C$5*'Tariffs Jul2021'!AK122/'Tariffs Jul2021'!AI122&lt;='Tariffs Jul2021'!L122,($C$5*'Tariffs Jul2021'!AK122/'Tariffs Jul2021'!AI122-'Tariffs Jul2021'!K122)*('Tariffs Jul2021'!Q122/100)*'Tariffs Jul2021'!AI122,('Tariffs Jul2021'!L122-'Tariffs Jul2021'!K122)*('Tariffs Jul2021'!Q122/100)*'Tariffs Jul2021'!AI122))</f>
        <v>0</v>
      </c>
      <c r="H128" s="59">
        <f>IF($C$5*'Tariffs Jul2021'!AK122/'Tariffs Jul2021'!AI122&lt;'Tariffs Jul2021'!L122,0,IF($C$5*'Tariffs Jul2021'!AK122/'Tariffs Jul2021'!AI122&lt;='Tariffs Jul2021'!M122,($C$5*'Tariffs Jul2021'!AK122/'Tariffs Jul2021'!AI122-'Tariffs Jul2021'!L122)*('Tariffs Jul2021'!R122/100)*'Tariffs Jul2021'!AI122,('Tariffs Jul2021'!M122-'Tariffs Jul2021'!L122)*('Tariffs Jul2021'!R122/100)*'Tariffs Jul2021'!AI122))</f>
        <v>0</v>
      </c>
      <c r="I128" s="69">
        <f>IF(($C$5*'Tariffs Jul2021'!AK122/'Tariffs Jul2021'!AI122&gt;'Tariffs Jul2021'!M122),($C$5*'Tariffs Jul2021'!AK122/'Tariffs Jul2021'!AI122-'Tariffs Jul2021'!M122)*'Tariffs Jul2021'!S122/100*'Tariffs Jul2021'!AI122,0)</f>
        <v>0</v>
      </c>
      <c r="J128" s="69">
        <f>IF($C$5*'Tariffs Jul2021'!AL122/'Tariffs Jul2021'!AJ122&gt;='Tariffs Jul2021'!J122,('Tariffs Jul2021'!J122*'Tariffs Jul2021'!U122/100)* 'Tariffs Jul2021'!AJ122,($C$5*'Tariffs Jul2021'!AL122/'Tariffs Jul2021'!AJ122*'Tariffs Jul2021'!U122/100)* 'Tariffs Jul2021'!AJ122)</f>
        <v>363.6</v>
      </c>
      <c r="K128" s="69">
        <f>IF($C$5*'Tariffs Jul2021'!AL122/'Tariffs Jul2021'!AJ122&lt;'Tariffs Jul2021'!J122,0,IF($C$5*'Tariffs Jul2021'!AL122/'Tariffs Jul2021'!AJ122&lt;='Tariffs Jul2021'!K122,($C$5*'Tariffs Jul2021'!AL122/'Tariffs Jul2021'!AJ122-'Tariffs Jul2021'!J122)*('Tariffs Jul2021'!V122/100)*'Tariffs Jul2021'!AJ122,('Tariffs Jul2021'!K122-'Tariffs Jul2021'!J122)*('Tariffs Jul2021'!V122/100)*'Tariffs Jul2021'!AJ122))</f>
        <v>0</v>
      </c>
      <c r="L128" s="69">
        <f>IF($C$5*'Tariffs Jul2021'!AL122/'Tariffs Jul2021'!AJ122&lt;'Tariffs Jul2021'!K122,0,IF($C$5*'Tariffs Jul2021'!AL122/'Tariffs Jul2021'!AJ122&lt;='Tariffs Jul2021'!L122,($C$5*'Tariffs Jul2021'!AL122/'Tariffs Jul2021'!AJ122-'Tariffs Jul2021'!K122)*('Tariffs Jul2021'!W122/100)*'Tariffs Jul2021'!AJ122,('Tariffs Jul2021'!L122-'Tariffs Jul2021'!K122)*('Tariffs Jul2021'!W122/100)*'Tariffs Jul2021'!AJ122))</f>
        <v>0</v>
      </c>
      <c r="M128" s="69">
        <f>IF($C$5*'Tariffs Jul2021'!AL122/'Tariffs Jul2021'!AJ122&lt;'Tariffs Jul2021'!L122,0,IF($C$5*'Tariffs Jul2021'!AL122/'Tariffs Jul2021'!AJ122&lt;='Tariffs Jul2021'!M122,($C$5*'Tariffs Jul2021'!AL122/'Tariffs Jul2021'!AJ122-'Tariffs Jul2021'!L122)*('Tariffs Jul2021'!X122/100)*'Tariffs Jul2021'!AJ122,('Tariffs Jul2021'!M122-'Tariffs Jul2021'!L122)*('Tariffs Jul2021'!X122/100)*'Tariffs Jul2021'!AJ122))</f>
        <v>0</v>
      </c>
      <c r="N128" s="69">
        <f>IF(($C$5*'Tariffs Jul2021'!AL122/'Tariffs Jul2021'!AJ122&gt;'Tariffs Jul2021'!M122),($C$5*'Tariffs Jul2021'!AL122/'Tariffs Jul2021'!AJ122-'Tariffs Jul2021'!M122)*'Tariffs Jul2021'!Y122/100*'Tariffs Jul2021'!AJ122,0)</f>
        <v>0</v>
      </c>
      <c r="O128" s="59">
        <f t="shared" si="95"/>
        <v>604.48500000000001</v>
      </c>
      <c r="P128" s="503">
        <f t="shared" si="56"/>
        <v>664.93350000000009</v>
      </c>
      <c r="Q128" s="59">
        <f t="shared" si="96"/>
        <v>942.5413636363636</v>
      </c>
      <c r="R128" s="272">
        <f t="shared" si="97"/>
        <v>1036.7954999999999</v>
      </c>
      <c r="S128" s="40">
        <f>'Tariffs Jul2021'!AN122</f>
        <v>16</v>
      </c>
      <c r="T128" s="40">
        <f>'Tariffs Jul2021'!AO122</f>
        <v>0</v>
      </c>
      <c r="U128" s="40">
        <f>'Tariffs Jul2021'!AP122</f>
        <v>0</v>
      </c>
      <c r="V128" s="40">
        <f>'Tariffs Jul2021'!AQ122</f>
        <v>0</v>
      </c>
      <c r="W128" s="537" t="str">
        <f t="shared" si="93"/>
        <v>Guaranteed off bill</v>
      </c>
      <c r="X128" s="538" t="str">
        <f t="shared" si="94"/>
        <v>Exclusive</v>
      </c>
      <c r="Y128" s="534">
        <f t="shared" si="105"/>
        <v>791.73474545454542</v>
      </c>
      <c r="Z128" s="535">
        <f t="shared" si="106"/>
        <v>791.73474545454542</v>
      </c>
      <c r="AA128" s="542">
        <f t="shared" si="79"/>
        <v>870.90822000000003</v>
      </c>
      <c r="AB128" s="542">
        <f t="shared" si="79"/>
        <v>870.90822000000003</v>
      </c>
      <c r="AC128" s="274">
        <f>'Tariffs Jul2021'!AZ122</f>
        <v>0</v>
      </c>
      <c r="AD128" s="274" t="str">
        <f>'Tariffs Jul2021'!BA122</f>
        <v>n</v>
      </c>
      <c r="AE128" s="275" t="str">
        <f>'Tariffs Jul2021'!BJ122</f>
        <v>N</v>
      </c>
      <c r="AF128" s="574"/>
      <c r="AG128" s="574"/>
      <c r="AH128" s="574"/>
      <c r="AI128" s="574"/>
      <c r="AJ128" s="574"/>
      <c r="AK128" s="574"/>
      <c r="AL128" s="574"/>
      <c r="AM128" s="574"/>
      <c r="AN128" s="574"/>
      <c r="AO128" s="574"/>
      <c r="AP128" s="574"/>
      <c r="AQ128" s="574"/>
      <c r="AR128" s="574"/>
      <c r="AS128" s="574"/>
      <c r="AT128" s="574"/>
      <c r="AU128" s="574"/>
      <c r="AV128" s="574"/>
      <c r="AW128" s="574"/>
      <c r="AX128" s="574"/>
    </row>
    <row r="129" spans="1:50" ht="14" x14ac:dyDescent="0.15">
      <c r="A129" s="270" t="str">
        <f>'Tariffs Jul2021'!F123</f>
        <v>Sumo Power</v>
      </c>
      <c r="B129" s="40" t="str">
        <f>'Tariffs Jul2021'!D123</f>
        <v>AusNet Services Central 1</v>
      </c>
      <c r="C129" s="40" t="str">
        <f>'Tariffs Jul2021'!G123</f>
        <v>Assure</v>
      </c>
      <c r="D129" s="59">
        <f>365*'Tariffs Jul2021'!H123/100</f>
        <v>233.6</v>
      </c>
      <c r="E129" s="59">
        <f>IF($C$5*'Tariffs Jul2021'!AK123/'Tariffs Jul2021'!AI123&gt;='Tariffs Jul2021'!J123,( 'Tariffs Jul2021'!J123*'Tariffs Jul2021'!O123/100)* 'Tariffs Jul2021'!AI123,($C$5*'Tariffs Jul2021'!AK123/'Tariffs Jul2021'!AI123*'Tariffs Jul2021'!O123/100)* 'Tariffs Jul2021'!AI123)</f>
        <v>189.98099999999999</v>
      </c>
      <c r="F129" s="59">
        <f>IF($C$5*'Tariffs Jul2021'!AK123/'Tariffs Jul2021'!AI123&lt;'Tariffs Jul2021'!J123,0,IF($C$5*'Tariffs Jul2021'!AK123/'Tariffs Jul2021'!AI123&lt;='Tariffs Jul2021'!K123,($C$5*'Tariffs Jul2021'!AK123/'Tariffs Jul2021'!AI123-'Tariffs Jul2021'!J123)*('Tariffs Jul2021'!P123/100)*'Tariffs Jul2021'!AI123,('Tariffs Jul2021'!K123-'Tariffs Jul2021'!J123)*('Tariffs Jul2021'!P123/100)*'Tariffs Jul2021'!AI123))</f>
        <v>0</v>
      </c>
      <c r="G129" s="59">
        <f>IF($C$5*'Tariffs Jul2021'!AK123/'Tariffs Jul2021'!AI123&lt;'Tariffs Jul2021'!K123,0,IF($C$5*'Tariffs Jul2021'!AK123/'Tariffs Jul2021'!AI123&lt;='Tariffs Jul2021'!L123,($C$5*'Tariffs Jul2021'!AK123/'Tariffs Jul2021'!AI123-'Tariffs Jul2021'!K123)*('Tariffs Jul2021'!Q123/100)*'Tariffs Jul2021'!AI123,('Tariffs Jul2021'!L123-'Tariffs Jul2021'!K123)*('Tariffs Jul2021'!Q123/100)*'Tariffs Jul2021'!AI123))</f>
        <v>0</v>
      </c>
      <c r="H129" s="59">
        <f>IF($C$5*'Tariffs Jul2021'!AK123/'Tariffs Jul2021'!AI123&lt;'Tariffs Jul2021'!L123,0,IF($C$5*'Tariffs Jul2021'!AK123/'Tariffs Jul2021'!AI123&lt;='Tariffs Jul2021'!M123,($C$5*'Tariffs Jul2021'!AK123/'Tariffs Jul2021'!AI123-'Tariffs Jul2021'!L123)*('Tariffs Jul2021'!R123/100)*'Tariffs Jul2021'!AI123,('Tariffs Jul2021'!M123-'Tariffs Jul2021'!L123)*('Tariffs Jul2021'!R123/100)*'Tariffs Jul2021'!AI123))</f>
        <v>0</v>
      </c>
      <c r="I129" s="69">
        <f>IF(($C$5*'Tariffs Jul2021'!AK123/'Tariffs Jul2021'!AI123&gt;'Tariffs Jul2021'!M123),($C$5*'Tariffs Jul2021'!AK123/'Tariffs Jul2021'!AI123-'Tariffs Jul2021'!M123)*'Tariffs Jul2021'!S123/100*'Tariffs Jul2021'!AI123,0)</f>
        <v>0</v>
      </c>
      <c r="J129" s="69">
        <f>IF($C$5*'Tariffs Jul2021'!AL123/'Tariffs Jul2021'!AJ123&gt;='Tariffs Jul2021'!J123,('Tariffs Jul2021'!J123*'Tariffs Jul2021'!U123/100)* 'Tariffs Jul2021'!AJ123,($C$5*'Tariffs Jul2021'!AL123/'Tariffs Jul2021'!AJ123*'Tariffs Jul2021'!U123/100)* 'Tariffs Jul2021'!AJ123)</f>
        <v>303.60599999999999</v>
      </c>
      <c r="K129" s="69">
        <f>IF($C$5*'Tariffs Jul2021'!AL123/'Tariffs Jul2021'!AJ123&lt;'Tariffs Jul2021'!J123,0,IF($C$5*'Tariffs Jul2021'!AL123/'Tariffs Jul2021'!AJ123&lt;='Tariffs Jul2021'!K123,($C$5*'Tariffs Jul2021'!AL123/'Tariffs Jul2021'!AJ123-'Tariffs Jul2021'!J123)*('Tariffs Jul2021'!V123/100)*'Tariffs Jul2021'!AJ123,('Tariffs Jul2021'!K123-'Tariffs Jul2021'!J123)*('Tariffs Jul2021'!V123/100)*'Tariffs Jul2021'!AJ123))</f>
        <v>0</v>
      </c>
      <c r="L129" s="69">
        <f>IF($C$5*'Tariffs Jul2021'!AL123/'Tariffs Jul2021'!AJ123&lt;'Tariffs Jul2021'!K123,0,IF($C$5*'Tariffs Jul2021'!AL123/'Tariffs Jul2021'!AJ123&lt;='Tariffs Jul2021'!L123,($C$5*'Tariffs Jul2021'!AL123/'Tariffs Jul2021'!AJ123-'Tariffs Jul2021'!K123)*('Tariffs Jul2021'!W123/100)*'Tariffs Jul2021'!AJ123,('Tariffs Jul2021'!L123-'Tariffs Jul2021'!K123)*('Tariffs Jul2021'!W123/100)*'Tariffs Jul2021'!AJ123))</f>
        <v>0</v>
      </c>
      <c r="M129" s="69">
        <f>IF($C$5*'Tariffs Jul2021'!AL123/'Tariffs Jul2021'!AJ123&lt;'Tariffs Jul2021'!L123,0,IF($C$5*'Tariffs Jul2021'!AL123/'Tariffs Jul2021'!AJ123&lt;='Tariffs Jul2021'!M123,($C$5*'Tariffs Jul2021'!AL123/'Tariffs Jul2021'!AJ123-'Tariffs Jul2021'!L123)*('Tariffs Jul2021'!X123/100)*'Tariffs Jul2021'!AJ123,('Tariffs Jul2021'!M123-'Tariffs Jul2021'!L123)*('Tariffs Jul2021'!X123/100)*'Tariffs Jul2021'!AJ123))</f>
        <v>0</v>
      </c>
      <c r="N129" s="69">
        <f>IF(($C$5*'Tariffs Jul2021'!AL123/'Tariffs Jul2021'!AJ123&gt;'Tariffs Jul2021'!M123),($C$5*'Tariffs Jul2021'!AL123/'Tariffs Jul2021'!AJ123-'Tariffs Jul2021'!M123)*'Tariffs Jul2021'!Y123/100*'Tariffs Jul2021'!AJ123,0)</f>
        <v>0</v>
      </c>
      <c r="O129" s="59">
        <f t="shared" si="95"/>
        <v>493.58699999999999</v>
      </c>
      <c r="P129" s="503">
        <f t="shared" si="56"/>
        <v>542.94569999999999</v>
      </c>
      <c r="Q129" s="59">
        <f t="shared" si="96"/>
        <v>727.18700000000001</v>
      </c>
      <c r="R129" s="272">
        <f t="shared" si="97"/>
        <v>799.90570000000002</v>
      </c>
      <c r="S129" s="40">
        <f>'Tariffs Jul2021'!AN123</f>
        <v>0</v>
      </c>
      <c r="T129" s="40">
        <f>'Tariffs Jul2021'!AO123</f>
        <v>0</v>
      </c>
      <c r="U129" s="40">
        <f>'Tariffs Jul2021'!AP123</f>
        <v>0</v>
      </c>
      <c r="V129" s="40">
        <f>'Tariffs Jul2021'!AQ123</f>
        <v>0</v>
      </c>
      <c r="W129" s="537" t="str">
        <f t="shared" si="93"/>
        <v>No discount</v>
      </c>
      <c r="X129" s="538" t="str">
        <f t="shared" si="94"/>
        <v>Exclusive</v>
      </c>
      <c r="Y129" s="534">
        <f t="shared" si="105"/>
        <v>727.18700000000001</v>
      </c>
      <c r="Z129" s="535">
        <f t="shared" si="106"/>
        <v>727.18700000000001</v>
      </c>
      <c r="AA129" s="542">
        <f t="shared" si="79"/>
        <v>799.90570000000002</v>
      </c>
      <c r="AB129" s="542">
        <f t="shared" si="79"/>
        <v>799.90570000000002</v>
      </c>
      <c r="AC129" s="274">
        <f>'Tariffs Jul2021'!AZ123</f>
        <v>0</v>
      </c>
      <c r="AD129" s="274" t="str">
        <f>'Tariffs Jul2021'!BA123</f>
        <v>n</v>
      </c>
      <c r="AE129" s="275" t="str">
        <f>'Tariffs Jul2021'!BJ123</f>
        <v>Y</v>
      </c>
      <c r="AF129" s="574"/>
      <c r="AG129" s="574"/>
      <c r="AH129" s="574"/>
      <c r="AI129" s="574"/>
      <c r="AJ129" s="574"/>
      <c r="AK129" s="574"/>
      <c r="AL129" s="574"/>
      <c r="AM129" s="574"/>
      <c r="AN129" s="574"/>
      <c r="AO129" s="574"/>
      <c r="AP129" s="574"/>
      <c r="AQ129" s="574"/>
      <c r="AR129" s="574"/>
      <c r="AS129" s="574"/>
      <c r="AT129" s="574"/>
      <c r="AU129" s="574"/>
      <c r="AV129" s="574"/>
      <c r="AW129" s="574"/>
      <c r="AX129" s="574"/>
    </row>
    <row r="130" spans="1:50" ht="14" x14ac:dyDescent="0.15">
      <c r="A130" s="270" t="str">
        <f>'Tariffs Jul2021'!F124</f>
        <v>GloBird Energy</v>
      </c>
      <c r="B130" s="40" t="str">
        <f>'Tariffs Jul2021'!D124</f>
        <v>AusNet Services Central 1</v>
      </c>
      <c r="C130" s="40" t="str">
        <f>'Tariffs Jul2021'!G124</f>
        <v>GloSave</v>
      </c>
      <c r="D130" s="59">
        <f>365*'Tariffs Jul2021'!H124/100</f>
        <v>255.5</v>
      </c>
      <c r="E130" s="59">
        <f>IF($C$5*'Tariffs Jul2021'!AK124/'Tariffs Jul2021'!AI124&gt;='Tariffs Jul2021'!J124,( 'Tariffs Jul2021'!J124*'Tariffs Jul2021'!O124/100)* 'Tariffs Jul2021'!AI124,($C$5*'Tariffs Jul2021'!AK124/'Tariffs Jul2021'!AI124*'Tariffs Jul2021'!O124/100)* 'Tariffs Jul2021'!AI124)</f>
        <v>248.18181818181816</v>
      </c>
      <c r="F130" s="59">
        <f>IF($C$5*'Tariffs Jul2021'!AK124/'Tariffs Jul2021'!AI124&lt;'Tariffs Jul2021'!J124,0,IF($C$5*'Tariffs Jul2021'!AK124/'Tariffs Jul2021'!AI124&lt;='Tariffs Jul2021'!K124,($C$5*'Tariffs Jul2021'!AK124/'Tariffs Jul2021'!AI124-'Tariffs Jul2021'!J124)*('Tariffs Jul2021'!P124/100)*'Tariffs Jul2021'!AI124,('Tariffs Jul2021'!K124-'Tariffs Jul2021'!J124)*('Tariffs Jul2021'!P124/100)*'Tariffs Jul2021'!AI124))</f>
        <v>0</v>
      </c>
      <c r="G130" s="59">
        <f>IF($C$5*'Tariffs Jul2021'!AK124/'Tariffs Jul2021'!AI124&lt;'Tariffs Jul2021'!K124,0,IF($C$5*'Tariffs Jul2021'!AK124/'Tariffs Jul2021'!AI124&lt;='Tariffs Jul2021'!L124,($C$5*'Tariffs Jul2021'!AK124/'Tariffs Jul2021'!AI124-'Tariffs Jul2021'!K124)*('Tariffs Jul2021'!Q124/100)*'Tariffs Jul2021'!AI124,('Tariffs Jul2021'!L124-'Tariffs Jul2021'!K124)*('Tariffs Jul2021'!Q124/100)*'Tariffs Jul2021'!AI124))</f>
        <v>0</v>
      </c>
      <c r="H130" s="59">
        <f>IF($C$5*'Tariffs Jul2021'!AK124/'Tariffs Jul2021'!AI124&lt;'Tariffs Jul2021'!L124,0,IF($C$5*'Tariffs Jul2021'!AK124/'Tariffs Jul2021'!AI124&lt;='Tariffs Jul2021'!M124,($C$5*'Tariffs Jul2021'!AK124/'Tariffs Jul2021'!AI124-'Tariffs Jul2021'!L124)*('Tariffs Jul2021'!R124/100)*'Tariffs Jul2021'!AI124,('Tariffs Jul2021'!M124-'Tariffs Jul2021'!L124)*('Tariffs Jul2021'!R124/100)*'Tariffs Jul2021'!AI124))</f>
        <v>0</v>
      </c>
      <c r="I130" s="69">
        <f>IF(($C$5*'Tariffs Jul2021'!AK124/'Tariffs Jul2021'!AI124&gt;'Tariffs Jul2021'!M124),($C$5*'Tariffs Jul2021'!AK124/'Tariffs Jul2021'!AI124-'Tariffs Jul2021'!M124)*'Tariffs Jul2021'!S124/100*'Tariffs Jul2021'!AI124,0)</f>
        <v>0</v>
      </c>
      <c r="J130" s="69">
        <f>IF($C$5*'Tariffs Jul2021'!AL124/'Tariffs Jul2021'!AJ124&gt;='Tariffs Jul2021'!J124,('Tariffs Jul2021'!J124*'Tariffs Jul2021'!U124/100)* 'Tariffs Jul2021'!AJ124,($C$5*'Tariffs Jul2021'!AL124/'Tariffs Jul2021'!AJ124*'Tariffs Jul2021'!U124/100)* 'Tariffs Jul2021'!AJ124)</f>
        <v>248.18181818181816</v>
      </c>
      <c r="K130" s="69">
        <f>IF($C$5*'Tariffs Jul2021'!AL124/'Tariffs Jul2021'!AJ124&lt;'Tariffs Jul2021'!J124,0,IF($C$5*'Tariffs Jul2021'!AL124/'Tariffs Jul2021'!AJ124&lt;='Tariffs Jul2021'!K124,($C$5*'Tariffs Jul2021'!AL124/'Tariffs Jul2021'!AJ124-'Tariffs Jul2021'!J124)*('Tariffs Jul2021'!V124/100)*'Tariffs Jul2021'!AJ124,('Tariffs Jul2021'!K124-'Tariffs Jul2021'!J124)*('Tariffs Jul2021'!V124/100)*'Tariffs Jul2021'!AJ124))</f>
        <v>0</v>
      </c>
      <c r="L130" s="69">
        <f>IF($C$5*'Tariffs Jul2021'!AL124/'Tariffs Jul2021'!AJ124&lt;'Tariffs Jul2021'!K124,0,IF($C$5*'Tariffs Jul2021'!AL124/'Tariffs Jul2021'!AJ124&lt;='Tariffs Jul2021'!L124,($C$5*'Tariffs Jul2021'!AL124/'Tariffs Jul2021'!AJ124-'Tariffs Jul2021'!K124)*('Tariffs Jul2021'!W124/100)*'Tariffs Jul2021'!AJ124,('Tariffs Jul2021'!L124-'Tariffs Jul2021'!K124)*('Tariffs Jul2021'!W124/100)*'Tariffs Jul2021'!AJ124))</f>
        <v>0</v>
      </c>
      <c r="M130" s="69">
        <f>IF($C$5*'Tariffs Jul2021'!AL124/'Tariffs Jul2021'!AJ124&lt;'Tariffs Jul2021'!L124,0,IF($C$5*'Tariffs Jul2021'!AL124/'Tariffs Jul2021'!AJ124&lt;='Tariffs Jul2021'!M124,($C$5*'Tariffs Jul2021'!AL124/'Tariffs Jul2021'!AJ124-'Tariffs Jul2021'!L124)*('Tariffs Jul2021'!X124/100)*'Tariffs Jul2021'!AJ124,('Tariffs Jul2021'!M124-'Tariffs Jul2021'!L124)*('Tariffs Jul2021'!X124/100)*'Tariffs Jul2021'!AJ124))</f>
        <v>0</v>
      </c>
      <c r="N130" s="69">
        <f>IF(($C$5*'Tariffs Jul2021'!AL124/'Tariffs Jul2021'!AJ124&gt;'Tariffs Jul2021'!M124),($C$5*'Tariffs Jul2021'!AL124/'Tariffs Jul2021'!AJ124-'Tariffs Jul2021'!M124)*'Tariffs Jul2021'!Y124/100*'Tariffs Jul2021'!AJ124,0)</f>
        <v>0</v>
      </c>
      <c r="O130" s="59">
        <f t="shared" si="95"/>
        <v>496.36363636363632</v>
      </c>
      <c r="P130" s="503">
        <f t="shared" ref="P130:P134" si="107">O130*1.1</f>
        <v>546</v>
      </c>
      <c r="Q130" s="59">
        <f t="shared" si="96"/>
        <v>751.86363636363626</v>
      </c>
      <c r="R130" s="272">
        <f t="shared" si="97"/>
        <v>827.05</v>
      </c>
      <c r="S130" s="40">
        <f>'Tariffs Jul2021'!AN124</f>
        <v>0</v>
      </c>
      <c r="T130" s="40">
        <f>'Tariffs Jul2021'!AO124</f>
        <v>0</v>
      </c>
      <c r="U130" s="40">
        <f>'Tariffs Jul2021'!AP124</f>
        <v>0</v>
      </c>
      <c r="V130" s="40">
        <f>'Tariffs Jul2021'!AQ124</f>
        <v>0</v>
      </c>
      <c r="W130" s="537" t="str">
        <f t="shared" si="93"/>
        <v>No discount</v>
      </c>
      <c r="X130" s="538" t="str">
        <f t="shared" si="94"/>
        <v>Exclusive</v>
      </c>
      <c r="Y130" s="534">
        <f t="shared" si="105"/>
        <v>751.86363636363626</v>
      </c>
      <c r="Z130" s="535">
        <f t="shared" si="106"/>
        <v>751.86363636363626</v>
      </c>
      <c r="AA130" s="542">
        <f t="shared" si="79"/>
        <v>827.05</v>
      </c>
      <c r="AB130" s="542">
        <f t="shared" si="79"/>
        <v>827.05</v>
      </c>
      <c r="AC130" s="274">
        <f>'Tariffs Jul2021'!AZ124</f>
        <v>0</v>
      </c>
      <c r="AD130" s="274" t="str">
        <f>'Tariffs Jul2021'!BA124</f>
        <v>n</v>
      </c>
      <c r="AE130" s="275" t="str">
        <f>'Tariffs Jul2021'!BJ124</f>
        <v>N</v>
      </c>
      <c r="AF130" s="574"/>
      <c r="AG130" s="574"/>
      <c r="AH130" s="574"/>
      <c r="AI130" s="574"/>
      <c r="AJ130" s="574"/>
      <c r="AK130" s="574"/>
      <c r="AL130" s="574"/>
      <c r="AM130" s="574"/>
      <c r="AN130" s="574"/>
      <c r="AO130" s="574"/>
      <c r="AP130" s="574"/>
      <c r="AQ130" s="574"/>
      <c r="AR130" s="574"/>
      <c r="AS130" s="574"/>
      <c r="AT130" s="574"/>
      <c r="AU130" s="574"/>
      <c r="AV130" s="574"/>
      <c r="AW130" s="574"/>
      <c r="AX130" s="574"/>
    </row>
    <row r="131" spans="1:50" ht="14" x14ac:dyDescent="0.15">
      <c r="A131" s="270" t="str">
        <f>'Tariffs Jul2021'!F125</f>
        <v>Powershop</v>
      </c>
      <c r="B131" s="40" t="str">
        <f>'Tariffs Jul2021'!D125</f>
        <v>AusNet Services Central 1</v>
      </c>
      <c r="C131" s="40" t="str">
        <f>'Tariffs Jul2021'!G125</f>
        <v>Market offer</v>
      </c>
      <c r="D131" s="59">
        <f>365*'Tariffs Jul2021'!H125/100</f>
        <v>275.57499999999999</v>
      </c>
      <c r="E131" s="59">
        <f>((C$5*'Tariffs Jul2021'!AK125/'Tariffs Jul2021'!AI125)*('Tariffs Jul2021'!O125/100))*'Tariffs Jul2021'!AI125</f>
        <v>180.89099999999996</v>
      </c>
      <c r="F131" s="59">
        <v>0</v>
      </c>
      <c r="G131" s="59">
        <v>0</v>
      </c>
      <c r="H131" s="59">
        <v>0</v>
      </c>
      <c r="I131" s="69">
        <v>0</v>
      </c>
      <c r="J131" s="69">
        <f>((C$5*'Tariffs Jul2021'!AL125/'Tariffs Jul2021'!AJ125)*('Tariffs Jul2021'!U125/100))*'Tariffs Jul2021'!AJ125</f>
        <v>303.60599999999994</v>
      </c>
      <c r="K131" s="69">
        <v>0</v>
      </c>
      <c r="L131" s="69">
        <v>0</v>
      </c>
      <c r="M131" s="69">
        <v>0</v>
      </c>
      <c r="N131" s="69">
        <v>0</v>
      </c>
      <c r="O131" s="59">
        <f t="shared" si="95"/>
        <v>484.4969999999999</v>
      </c>
      <c r="P131" s="503">
        <f t="shared" si="107"/>
        <v>532.94669999999996</v>
      </c>
      <c r="Q131" s="59">
        <f t="shared" si="96"/>
        <v>760.07199999999989</v>
      </c>
      <c r="R131" s="272">
        <f t="shared" si="97"/>
        <v>836.0791999999999</v>
      </c>
      <c r="S131" s="40">
        <f>'Tariffs Jul2021'!AN125</f>
        <v>0</v>
      </c>
      <c r="T131" s="40">
        <f>'Tariffs Jul2021'!AO125</f>
        <v>0</v>
      </c>
      <c r="U131" s="40">
        <f>'Tariffs Jul2021'!AP125</f>
        <v>0</v>
      </c>
      <c r="V131" s="40">
        <f>'Tariffs Jul2021'!AQ125</f>
        <v>0</v>
      </c>
      <c r="W131" s="537" t="str">
        <f t="shared" si="93"/>
        <v>No discount</v>
      </c>
      <c r="X131" s="538" t="str">
        <f t="shared" si="94"/>
        <v>Inclusive</v>
      </c>
      <c r="Y131" s="534">
        <f>IF(AND(W131="Guaranteed off bill",X131="Inclusive"),((Q131*1.1)-((Q131*1.1)*S131/100))/1.1,IF(AND(W131="Guaranteed off usage",X131="Inclusive"),((Q131*1.1)-((P131*1.1)*T131/100))/1.1,IF(AND(W131="Guaranteed off bill",X131="Exclusive"),Q131-(Q131*S131/100),IF(AND(W131="Guaranteed off usage",X131="Exclusive"),Q131-(P131*T131/100),IF(X131="Inclusive",((Q131*1.1))/1.1,Q131)))))</f>
        <v>760.07199999999989</v>
      </c>
      <c r="Z131" s="535">
        <f>IF(AND(W131="Pay-on-time off bill",X131="Inclusive"),((Y131*1.1)-((Y131*1.1)*U131/100))/1.1,IF(AND(W131="Pay-on-time off usage",X131="Inclusive"),((Y131*1.1)-((P131*1.1)*V131/100))/1.1,IF(AND(W131="Pay-on-time off bill",X131="Exclusive"),Y131-(Y131*U131/100),IF(AND(W131="Pay-on-time off usage",X131="Exclusive"),Y131-(P131*V131/100),IF(X131="Inclusive",((Y131*1.1))/1.1,Y131)))))</f>
        <v>760.07199999999989</v>
      </c>
      <c r="AA131" s="542">
        <f t="shared" si="79"/>
        <v>836.0791999999999</v>
      </c>
      <c r="AB131" s="542">
        <f t="shared" si="79"/>
        <v>836.0791999999999</v>
      </c>
      <c r="AC131" s="274">
        <f>'Tariffs Jul2021'!AZ125</f>
        <v>0</v>
      </c>
      <c r="AD131" s="274" t="str">
        <f>'Tariffs Jul2021'!BA125</f>
        <v>n</v>
      </c>
      <c r="AE131" s="275" t="str">
        <f>'Tariffs Jul2021'!BJ125</f>
        <v>Y</v>
      </c>
      <c r="AF131" s="574"/>
      <c r="AG131" s="574"/>
      <c r="AH131" s="574"/>
      <c r="AI131" s="574"/>
      <c r="AJ131" s="574"/>
      <c r="AK131" s="574"/>
      <c r="AL131" s="574"/>
      <c r="AM131" s="574"/>
      <c r="AN131" s="574"/>
      <c r="AO131" s="574"/>
      <c r="AP131" s="574"/>
      <c r="AQ131" s="574"/>
      <c r="AR131" s="574"/>
      <c r="AS131" s="574"/>
      <c r="AT131" s="574"/>
      <c r="AU131" s="574"/>
      <c r="AV131" s="574"/>
      <c r="AW131" s="574"/>
      <c r="AX131" s="574"/>
    </row>
    <row r="132" spans="1:50" ht="14" x14ac:dyDescent="0.15">
      <c r="A132" s="270" t="str">
        <f>'Tariffs Jul2021'!F126</f>
        <v>1st Energy</v>
      </c>
      <c r="B132" s="40" t="str">
        <f>'Tariffs Jul2021'!D126</f>
        <v>AusNet Services Central 1</v>
      </c>
      <c r="C132" s="40" t="str">
        <f>'Tariffs Jul2021'!G126</f>
        <v>1st Saver Plus</v>
      </c>
      <c r="D132" s="59">
        <f>365*'Tariffs Jul2021'!H126/100</f>
        <v>313.89999999999998</v>
      </c>
      <c r="E132" s="59">
        <f>IF($C$5*'Tariffs Jul2021'!AK126/'Tariffs Jul2021'!AI126&gt;='Tariffs Jul2021'!J126,( 'Tariffs Jul2021'!J126*'Tariffs Jul2021'!O126/100)* 'Tariffs Jul2021'!AI126,($C$5*'Tariffs Jul2021'!AK126/'Tariffs Jul2021'!AI126*'Tariffs Jul2021'!O126/100)* 'Tariffs Jul2021'!AI126)</f>
        <v>319.09090909090901</v>
      </c>
      <c r="F132" s="59">
        <f>IF($C$5*'Tariffs Jul2021'!AK126/'Tariffs Jul2021'!AI126&lt;'Tariffs Jul2021'!J126,0,IF($C$5*'Tariffs Jul2021'!AK126/'Tariffs Jul2021'!AI126&lt;='Tariffs Jul2021'!K126,($C$5*'Tariffs Jul2021'!AK126/'Tariffs Jul2021'!AI126-'Tariffs Jul2021'!J126)*('Tariffs Jul2021'!P126/100)*'Tariffs Jul2021'!AI126,('Tariffs Jul2021'!K126-'Tariffs Jul2021'!J126)*('Tariffs Jul2021'!P126/100)*'Tariffs Jul2021'!AI126))</f>
        <v>0</v>
      </c>
      <c r="G132" s="59">
        <f>IF($C$5*'Tariffs Jul2021'!AK126/'Tariffs Jul2021'!AI126&lt;'Tariffs Jul2021'!K126,0,IF($C$5*'Tariffs Jul2021'!AK126/'Tariffs Jul2021'!AI126&lt;='Tariffs Jul2021'!L126,($C$5*'Tariffs Jul2021'!AK126/'Tariffs Jul2021'!AI126-'Tariffs Jul2021'!K126)*('Tariffs Jul2021'!Q126/100)*'Tariffs Jul2021'!AI126,('Tariffs Jul2021'!L126-'Tariffs Jul2021'!K126)*('Tariffs Jul2021'!Q126/100)*'Tariffs Jul2021'!AI126))</f>
        <v>0</v>
      </c>
      <c r="H132" s="59">
        <f>IF($C$5*'Tariffs Jul2021'!AK126/'Tariffs Jul2021'!AI126&lt;'Tariffs Jul2021'!L126,0,IF($C$5*'Tariffs Jul2021'!AK126/'Tariffs Jul2021'!AI126&lt;='Tariffs Jul2021'!M126,($C$5*'Tariffs Jul2021'!AK126/'Tariffs Jul2021'!AI126-'Tariffs Jul2021'!L126)*('Tariffs Jul2021'!R126/100)*'Tariffs Jul2021'!AI126,('Tariffs Jul2021'!M126-'Tariffs Jul2021'!L126)*('Tariffs Jul2021'!R126/100)*'Tariffs Jul2021'!AI126))</f>
        <v>0</v>
      </c>
      <c r="I132" s="69">
        <f>IF(($C$5*'Tariffs Jul2021'!AK126/'Tariffs Jul2021'!AI126&gt;'Tariffs Jul2021'!M126),($C$5*'Tariffs Jul2021'!AK126/'Tariffs Jul2021'!AI126-'Tariffs Jul2021'!M126)*'Tariffs Jul2021'!S126/100*'Tariffs Jul2021'!AI126,0)</f>
        <v>0</v>
      </c>
      <c r="J132" s="69">
        <f>IF($C$5*'Tariffs Jul2021'!AL126/'Tariffs Jul2021'!AJ126&gt;='Tariffs Jul2021'!J126,('Tariffs Jul2021'!J126*'Tariffs Jul2021'!U126/100)* 'Tariffs Jul2021'!AJ126,($C$5*'Tariffs Jul2021'!AL126/'Tariffs Jul2021'!AJ126*'Tariffs Jul2021'!U126/100)* 'Tariffs Jul2021'!AJ126)</f>
        <v>319.09090909090901</v>
      </c>
      <c r="K132" s="69">
        <f>IF($C$5*'Tariffs Jul2021'!AL126/'Tariffs Jul2021'!AJ126&lt;'Tariffs Jul2021'!J126,0,IF($C$5*'Tariffs Jul2021'!AL126/'Tariffs Jul2021'!AJ126&lt;='Tariffs Jul2021'!K126,($C$5*'Tariffs Jul2021'!AL126/'Tariffs Jul2021'!AJ126-'Tariffs Jul2021'!J126)*('Tariffs Jul2021'!V126/100)*'Tariffs Jul2021'!AJ126,('Tariffs Jul2021'!K126-'Tariffs Jul2021'!J126)*('Tariffs Jul2021'!V126/100)*'Tariffs Jul2021'!AJ126))</f>
        <v>0</v>
      </c>
      <c r="L132" s="69">
        <f>IF($C$5*'Tariffs Jul2021'!AL126/'Tariffs Jul2021'!AJ126&lt;'Tariffs Jul2021'!K126,0,IF($C$5*'Tariffs Jul2021'!AL126/'Tariffs Jul2021'!AJ126&lt;='Tariffs Jul2021'!L126,($C$5*'Tariffs Jul2021'!AL126/'Tariffs Jul2021'!AJ126-'Tariffs Jul2021'!K126)*('Tariffs Jul2021'!W126/100)*'Tariffs Jul2021'!AJ126,('Tariffs Jul2021'!L126-'Tariffs Jul2021'!K126)*('Tariffs Jul2021'!W126/100)*'Tariffs Jul2021'!AJ126))</f>
        <v>0</v>
      </c>
      <c r="M132" s="69">
        <f>IF($C$5*'Tariffs Jul2021'!AL126/'Tariffs Jul2021'!AJ126&lt;'Tariffs Jul2021'!L126,0,IF($C$5*'Tariffs Jul2021'!AL126/'Tariffs Jul2021'!AJ126&lt;='Tariffs Jul2021'!M126,($C$5*'Tariffs Jul2021'!AL126/'Tariffs Jul2021'!AJ126-'Tariffs Jul2021'!L126)*('Tariffs Jul2021'!X126/100)*'Tariffs Jul2021'!AJ126,('Tariffs Jul2021'!M126-'Tariffs Jul2021'!L126)*('Tariffs Jul2021'!X126/100)*'Tariffs Jul2021'!AJ126))</f>
        <v>0</v>
      </c>
      <c r="N132" s="69">
        <f>IF(($C$5*'Tariffs Jul2021'!AL126/'Tariffs Jul2021'!AJ126&gt;'Tariffs Jul2021'!M126),($C$5*'Tariffs Jul2021'!AL126/'Tariffs Jul2021'!AJ126-'Tariffs Jul2021'!M126)*'Tariffs Jul2021'!Y126/100*'Tariffs Jul2021'!AJ126,0)</f>
        <v>0</v>
      </c>
      <c r="O132" s="59">
        <f t="shared" si="95"/>
        <v>638.18181818181802</v>
      </c>
      <c r="P132" s="503">
        <f t="shared" si="107"/>
        <v>701.99999999999989</v>
      </c>
      <c r="Q132" s="59">
        <f t="shared" si="96"/>
        <v>952.08181818181799</v>
      </c>
      <c r="R132" s="272">
        <f t="shared" si="97"/>
        <v>1047.29</v>
      </c>
      <c r="S132" s="40">
        <f>'Tariffs Jul2021'!AN126</f>
        <v>0</v>
      </c>
      <c r="T132" s="40">
        <f>'Tariffs Jul2021'!AO126</f>
        <v>12</v>
      </c>
      <c r="U132" s="40">
        <f>'Tariffs Jul2021'!AP126</f>
        <v>0</v>
      </c>
      <c r="V132" s="40">
        <f>'Tariffs Jul2021'!AQ126</f>
        <v>3</v>
      </c>
      <c r="W132" s="537" t="str">
        <f t="shared" si="93"/>
        <v>Guaranteed off usage</v>
      </c>
      <c r="X132" s="538" t="str">
        <f t="shared" si="94"/>
        <v>Exclusive</v>
      </c>
      <c r="Y132" s="534">
        <f>Q132-(P132*T132)/100</f>
        <v>867.84181818181798</v>
      </c>
      <c r="Z132" s="535">
        <f>Y132-(P132*V132)/100</f>
        <v>846.78181818181804</v>
      </c>
      <c r="AA132" s="542">
        <f t="shared" si="79"/>
        <v>954.62599999999986</v>
      </c>
      <c r="AB132" s="542">
        <f t="shared" si="79"/>
        <v>931.45999999999992</v>
      </c>
      <c r="AC132" s="274">
        <f>'Tariffs Jul2021'!AZ126</f>
        <v>0</v>
      </c>
      <c r="AD132" s="274" t="str">
        <f>'Tariffs Jul2021'!BA126</f>
        <v>n</v>
      </c>
      <c r="AE132" s="275" t="str">
        <f>'Tariffs Jul2021'!BJ126</f>
        <v>Y</v>
      </c>
      <c r="AF132" s="574"/>
      <c r="AG132" s="574"/>
      <c r="AH132" s="574"/>
      <c r="AI132" s="574"/>
      <c r="AJ132" s="574"/>
      <c r="AK132" s="574"/>
      <c r="AL132" s="574"/>
      <c r="AM132" s="574"/>
      <c r="AN132" s="574"/>
      <c r="AO132" s="574"/>
      <c r="AP132" s="574"/>
      <c r="AQ132" s="574"/>
      <c r="AR132" s="574"/>
      <c r="AS132" s="574"/>
      <c r="AT132" s="574"/>
      <c r="AU132" s="574"/>
      <c r="AV132" s="574"/>
      <c r="AW132" s="574"/>
      <c r="AX132" s="574"/>
    </row>
    <row r="133" spans="1:50" ht="14" x14ac:dyDescent="0.15">
      <c r="A133" s="270" t="str">
        <f>'Tariffs Jul2021'!F127</f>
        <v>Kogan Energy</v>
      </c>
      <c r="B133" s="40" t="str">
        <f>'Tariffs Jul2021'!D127</f>
        <v>AusNet Services Central 1</v>
      </c>
      <c r="C133" s="40" t="str">
        <f>'Tariffs Jul2021'!G127</f>
        <v>Market offer</v>
      </c>
      <c r="D133" s="59">
        <f>365*'Tariffs Jul2021'!H127/100</f>
        <v>293.22772727272724</v>
      </c>
      <c r="E133" s="59">
        <f>((C$5*'Tariffs Jul2021'!AK127/'Tariffs Jul2021'!AI127)*('Tariffs Jul2021'!O127/100))*'Tariffs Jul2021'!AI127</f>
        <v>180.89099999999996</v>
      </c>
      <c r="F133" s="59">
        <v>0</v>
      </c>
      <c r="G133" s="59">
        <v>0</v>
      </c>
      <c r="H133" s="59">
        <v>0</v>
      </c>
      <c r="I133" s="69">
        <v>0</v>
      </c>
      <c r="J133" s="69">
        <f>((C$5*'Tariffs Jul2021'!AL127/'Tariffs Jul2021'!AJ127)*('Tariffs Jul2021'!U127/100))*'Tariffs Jul2021'!AJ127</f>
        <v>298.15199999999993</v>
      </c>
      <c r="K133" s="69">
        <v>0</v>
      </c>
      <c r="L133" s="69">
        <v>0</v>
      </c>
      <c r="M133" s="69">
        <v>0</v>
      </c>
      <c r="N133" s="69">
        <v>0</v>
      </c>
      <c r="O133" s="59">
        <f t="shared" si="95"/>
        <v>479.04299999999989</v>
      </c>
      <c r="P133" s="503">
        <f t="shared" si="107"/>
        <v>526.94729999999993</v>
      </c>
      <c r="Q133" s="59">
        <f t="shared" si="96"/>
        <v>772.27072727272707</v>
      </c>
      <c r="R133" s="272">
        <f t="shared" si="97"/>
        <v>849.49779999999987</v>
      </c>
      <c r="S133" s="40">
        <f>'Tariffs Jul2021'!AN127</f>
        <v>0</v>
      </c>
      <c r="T133" s="40">
        <f>'Tariffs Jul2021'!AO127</f>
        <v>0</v>
      </c>
      <c r="U133" s="40">
        <f>'Tariffs Jul2021'!AP127</f>
        <v>0</v>
      </c>
      <c r="V133" s="40">
        <f>'Tariffs Jul2021'!AQ127</f>
        <v>0</v>
      </c>
      <c r="W133" s="537" t="str">
        <f t="shared" si="93"/>
        <v>No discount</v>
      </c>
      <c r="X133" s="538" t="str">
        <f t="shared" si="94"/>
        <v>Exclusive</v>
      </c>
      <c r="Y133" s="534">
        <f t="shared" ref="Y133:Y134" si="108">IF(AND(W133="Guaranteed off bill",X133="Inclusive"),((Q133*1.1)-((Q133*1.1)*S133/100))/1.1,IF(AND(W133="Guaranteed off usage",X133="Inclusive"),((Q133*1.1)-((P133*1.1)*T133/100))/1.1,IF(AND(W133="Guaranteed off bill",X133="Exclusive"),Q133-(Q133*S133/100),IF(AND(W133="Guaranteed off usage",X133="Exclusive"),Q133-(P133*T133/100),IF(X133="Inclusive",((Q133*1.1))/1.1,Q133)))))</f>
        <v>772.27072727272707</v>
      </c>
      <c r="Z133" s="535">
        <f t="shared" ref="Z133:Z134" si="109">IF(AND(W133="Pay-on-time off bill",X133="Inclusive"),((Y133*1.1)-((Y133*1.1)*U133/100))/1.1,IF(AND(W133="Pay-on-time off usage",X133="Inclusive"),((Y133*1.1)-((P133*1.1)*V133/100))/1.1,IF(AND(W133="Pay-on-time off bill",X133="Exclusive"),Y133-(Y133*U133/100),IF(AND(W133="Pay-on-time off usage",X133="Exclusive"),Y133-(P133*V133/100),IF(X133="Inclusive",((Y133*1.1))/1.1,Y133)))))</f>
        <v>772.27072727272707</v>
      </c>
      <c r="AA133" s="542">
        <f t="shared" si="79"/>
        <v>849.49779999999987</v>
      </c>
      <c r="AB133" s="542">
        <f t="shared" si="79"/>
        <v>849.49779999999987</v>
      </c>
      <c r="AC133" s="274">
        <f>'Tariffs Jul2021'!AZ127</f>
        <v>0</v>
      </c>
      <c r="AD133" s="274" t="str">
        <f>'Tariffs Jul2021'!BA127</f>
        <v>n</v>
      </c>
      <c r="AE133" s="275" t="str">
        <f>'Tariffs Jul2021'!BJ127</f>
        <v>N</v>
      </c>
      <c r="AF133" s="574"/>
      <c r="AG133" s="574"/>
      <c r="AH133" s="574"/>
      <c r="AI133" s="574"/>
      <c r="AJ133" s="574"/>
      <c r="AK133" s="574"/>
      <c r="AL133" s="574"/>
      <c r="AM133" s="574"/>
      <c r="AN133" s="574"/>
      <c r="AO133" s="574"/>
      <c r="AP133" s="574"/>
      <c r="AQ133" s="574"/>
      <c r="AR133" s="574"/>
      <c r="AS133" s="574"/>
      <c r="AT133" s="574"/>
      <c r="AU133" s="574"/>
      <c r="AV133" s="574"/>
      <c r="AW133" s="574"/>
      <c r="AX133" s="574"/>
    </row>
    <row r="134" spans="1:50" ht="15" thickBot="1" x14ac:dyDescent="0.2">
      <c r="A134" s="286" t="str">
        <f>'Tariffs Jul2021'!F128</f>
        <v>Tango Energy</v>
      </c>
      <c r="B134" s="287" t="str">
        <f>'Tariffs Jul2021'!D128</f>
        <v>AusNet Services Central 1</v>
      </c>
      <c r="C134" s="287" t="str">
        <f>'Tariffs Jul2021'!G128</f>
        <v>Home Select</v>
      </c>
      <c r="D134" s="288">
        <f>365*'Tariffs Jul2021'!H128/100</f>
        <v>364.99999999999994</v>
      </c>
      <c r="E134" s="288">
        <f>IF($C$5*'Tariffs Jul2021'!AK128/'Tariffs Jul2021'!AI128&gt;='Tariffs Jul2021'!J128,( 'Tariffs Jul2021'!J128*'Tariffs Jul2021'!O128/100)* 'Tariffs Jul2021'!AI128,($C$5*'Tariffs Jul2021'!AK128/'Tariffs Jul2021'!AI128*'Tariffs Jul2021'!O128/100)* 'Tariffs Jul2021'!AI128)</f>
        <v>142.71299999999999</v>
      </c>
      <c r="F134" s="288">
        <f>IF($C$5*'Tariffs Jul2021'!AK128/'Tariffs Jul2021'!AI128&lt;'Tariffs Jul2021'!J128,0,IF($C$5*'Tariffs Jul2021'!AK128/'Tariffs Jul2021'!AI128&lt;='Tariffs Jul2021'!K128,($C$5*'Tariffs Jul2021'!AK128/'Tariffs Jul2021'!AI128-'Tariffs Jul2021'!J128)*('Tariffs Jul2021'!P128/100)*'Tariffs Jul2021'!AI128,('Tariffs Jul2021'!K128-'Tariffs Jul2021'!J128)*('Tariffs Jul2021'!P128/100)*'Tariffs Jul2021'!AI128))</f>
        <v>0</v>
      </c>
      <c r="G134" s="288">
        <f>IF($C$5*'Tariffs Jul2021'!AK128/'Tariffs Jul2021'!AI128&lt;'Tariffs Jul2021'!K128,0,IF($C$5*'Tariffs Jul2021'!AK128/'Tariffs Jul2021'!AI128&lt;='Tariffs Jul2021'!L128,($C$5*'Tariffs Jul2021'!AK128/'Tariffs Jul2021'!AI128-'Tariffs Jul2021'!K128)*('Tariffs Jul2021'!Q128/100)*'Tariffs Jul2021'!AI128,('Tariffs Jul2021'!L128-'Tariffs Jul2021'!K128)*('Tariffs Jul2021'!Q128/100)*'Tariffs Jul2021'!AI128))</f>
        <v>0</v>
      </c>
      <c r="H134" s="288">
        <f>IF($C$5*'Tariffs Jul2021'!AK128/'Tariffs Jul2021'!AI128&lt;'Tariffs Jul2021'!L128,0,IF($C$5*'Tariffs Jul2021'!AK128/'Tariffs Jul2021'!AI128&lt;='Tariffs Jul2021'!M128,($C$5*'Tariffs Jul2021'!AK128/'Tariffs Jul2021'!AI128-'Tariffs Jul2021'!L128)*('Tariffs Jul2021'!R128/100)*'Tariffs Jul2021'!AI128,('Tariffs Jul2021'!M128-'Tariffs Jul2021'!L128)*('Tariffs Jul2021'!R128/100)*'Tariffs Jul2021'!AI128))</f>
        <v>0</v>
      </c>
      <c r="I134" s="548">
        <f>IF(($C$5*'Tariffs Jul2021'!AK128/'Tariffs Jul2021'!AI128&gt;'Tariffs Jul2021'!M128),($C$5*'Tariffs Jul2021'!AK128/'Tariffs Jul2021'!AI128-'Tariffs Jul2021'!M128)*'Tariffs Jul2021'!S128/100*'Tariffs Jul2021'!AI128,0)</f>
        <v>0</v>
      </c>
      <c r="J134" s="548">
        <f>IF($C$5*'Tariffs Jul2021'!AL128/'Tariffs Jul2021'!AJ128&gt;='Tariffs Jul2021'!J128,('Tariffs Jul2021'!J128*'Tariffs Jul2021'!U128/100)* 'Tariffs Jul2021'!AJ128,($C$5*'Tariffs Jul2021'!AL128/'Tariffs Jul2021'!AJ128*'Tariffs Jul2021'!U128/100)* 'Tariffs Jul2021'!AJ128)</f>
        <v>230.886</v>
      </c>
      <c r="K134" s="548">
        <f>IF($C$5*'Tariffs Jul2021'!AL128/'Tariffs Jul2021'!AJ128&lt;'Tariffs Jul2021'!J128,0,IF($C$5*'Tariffs Jul2021'!AL128/'Tariffs Jul2021'!AJ128&lt;='Tariffs Jul2021'!K128,($C$5*'Tariffs Jul2021'!AL128/'Tariffs Jul2021'!AJ128-'Tariffs Jul2021'!J128)*('Tariffs Jul2021'!V128/100)*'Tariffs Jul2021'!AJ128,('Tariffs Jul2021'!K128-'Tariffs Jul2021'!J128)*('Tariffs Jul2021'!V128/100)*'Tariffs Jul2021'!AJ128))</f>
        <v>0</v>
      </c>
      <c r="L134" s="548">
        <f>IF($C$5*'Tariffs Jul2021'!AL128/'Tariffs Jul2021'!AJ128&lt;'Tariffs Jul2021'!K128,0,IF($C$5*'Tariffs Jul2021'!AL128/'Tariffs Jul2021'!AJ128&lt;='Tariffs Jul2021'!L128,($C$5*'Tariffs Jul2021'!AL128/'Tariffs Jul2021'!AJ128-'Tariffs Jul2021'!K128)*('Tariffs Jul2021'!W128/100)*'Tariffs Jul2021'!AJ128,('Tariffs Jul2021'!L128-'Tariffs Jul2021'!K128)*('Tariffs Jul2021'!W128/100)*'Tariffs Jul2021'!AJ128))</f>
        <v>0</v>
      </c>
      <c r="M134" s="548">
        <f>IF($C$5*'Tariffs Jul2021'!AL128/'Tariffs Jul2021'!AJ128&lt;'Tariffs Jul2021'!L128,0,IF($C$5*'Tariffs Jul2021'!AL128/'Tariffs Jul2021'!AJ128&lt;='Tariffs Jul2021'!M128,($C$5*'Tariffs Jul2021'!AL128/'Tariffs Jul2021'!AJ128-'Tariffs Jul2021'!L128)*('Tariffs Jul2021'!X128/100)*'Tariffs Jul2021'!AJ128,('Tariffs Jul2021'!M128-'Tariffs Jul2021'!L128)*('Tariffs Jul2021'!X128/100)*'Tariffs Jul2021'!AJ128))</f>
        <v>0</v>
      </c>
      <c r="N134" s="548">
        <f>IF(($C$5*'Tariffs Jul2021'!AL128/'Tariffs Jul2021'!AJ128&gt;'Tariffs Jul2021'!M128),($C$5*'Tariffs Jul2021'!AL128/'Tariffs Jul2021'!AJ128-'Tariffs Jul2021'!M128)*'Tariffs Jul2021'!Y128/100*'Tariffs Jul2021'!AJ128,0)</f>
        <v>0</v>
      </c>
      <c r="O134" s="288">
        <f t="shared" si="95"/>
        <v>373.59899999999999</v>
      </c>
      <c r="P134" s="505">
        <f t="shared" si="107"/>
        <v>410.95890000000003</v>
      </c>
      <c r="Q134" s="288">
        <f t="shared" si="96"/>
        <v>738.59899999999993</v>
      </c>
      <c r="R134" s="290">
        <f t="shared" si="97"/>
        <v>812.45889999999997</v>
      </c>
      <c r="S134" s="287">
        <f>'Tariffs Jul2021'!AN128</f>
        <v>0</v>
      </c>
      <c r="T134" s="287">
        <f>'Tariffs Jul2021'!AO128</f>
        <v>0</v>
      </c>
      <c r="U134" s="287">
        <f>'Tariffs Jul2021'!AP128</f>
        <v>0</v>
      </c>
      <c r="V134" s="287">
        <f>'Tariffs Jul2021'!AQ128</f>
        <v>0</v>
      </c>
      <c r="W134" s="540" t="str">
        <f t="shared" si="93"/>
        <v>No discount</v>
      </c>
      <c r="X134" s="541" t="str">
        <f t="shared" si="94"/>
        <v>Exclusive</v>
      </c>
      <c r="Y134" s="543">
        <f t="shared" si="108"/>
        <v>738.59899999999993</v>
      </c>
      <c r="Z134" s="544">
        <f t="shared" si="109"/>
        <v>738.59899999999993</v>
      </c>
      <c r="AA134" s="545">
        <f t="shared" si="79"/>
        <v>812.45889999999997</v>
      </c>
      <c r="AB134" s="545">
        <f t="shared" si="79"/>
        <v>812.45889999999997</v>
      </c>
      <c r="AC134" s="292">
        <f>'Tariffs Jul2021'!AZ128</f>
        <v>0</v>
      </c>
      <c r="AD134" s="292" t="str">
        <f>'Tariffs Jul2021'!BA128</f>
        <v>n</v>
      </c>
      <c r="AE134" s="293" t="str">
        <f>'Tariffs Jul2021'!BJ128</f>
        <v>N</v>
      </c>
      <c r="AF134" s="574"/>
      <c r="AG134" s="574"/>
      <c r="AH134" s="574"/>
      <c r="AI134" s="574"/>
      <c r="AJ134" s="574"/>
      <c r="AK134" s="574"/>
      <c r="AL134" s="574"/>
      <c r="AM134" s="574"/>
      <c r="AN134" s="574"/>
      <c r="AO134" s="574"/>
      <c r="AP134" s="574"/>
      <c r="AQ134" s="574"/>
      <c r="AR134" s="574"/>
      <c r="AS134" s="574"/>
      <c r="AT134" s="574"/>
      <c r="AU134" s="574"/>
      <c r="AV134" s="574"/>
      <c r="AW134" s="574"/>
      <c r="AX134" s="574"/>
    </row>
    <row r="135" spans="1:50" x14ac:dyDescent="0.15">
      <c r="A135" s="574"/>
      <c r="B135" s="574"/>
      <c r="C135" s="574"/>
      <c r="D135" s="574"/>
      <c r="E135" s="574"/>
      <c r="F135" s="574"/>
      <c r="G135" s="574"/>
      <c r="H135" s="574"/>
      <c r="I135" s="574"/>
      <c r="J135" s="574"/>
      <c r="K135" s="574"/>
      <c r="L135" s="574"/>
      <c r="M135" s="574"/>
      <c r="N135" s="574"/>
      <c r="O135" s="574"/>
      <c r="P135" s="574"/>
      <c r="Q135" s="574"/>
      <c r="R135" s="574"/>
      <c r="S135" s="574"/>
      <c r="T135" s="574"/>
      <c r="U135" s="574"/>
      <c r="V135" s="574"/>
      <c r="W135" s="574"/>
      <c r="X135" s="574"/>
      <c r="Y135" s="574"/>
      <c r="Z135" s="574"/>
      <c r="AA135" s="574"/>
      <c r="AB135" s="574"/>
      <c r="AC135" s="574"/>
      <c r="AD135" s="574"/>
      <c r="AE135" s="574"/>
      <c r="AF135" s="574"/>
      <c r="AG135" s="574"/>
      <c r="AH135" s="574"/>
      <c r="AI135" s="574"/>
      <c r="AJ135" s="574"/>
      <c r="AK135" s="574"/>
      <c r="AL135" s="574"/>
      <c r="AM135" s="574"/>
      <c r="AN135" s="574"/>
      <c r="AO135" s="574"/>
      <c r="AP135" s="574"/>
      <c r="AQ135" s="574"/>
      <c r="AR135" s="574"/>
      <c r="AS135" s="574"/>
      <c r="AT135" s="574"/>
      <c r="AU135" s="574"/>
      <c r="AV135" s="574"/>
      <c r="AW135" s="574"/>
      <c r="AX135" s="574"/>
    </row>
    <row r="136" spans="1:50" x14ac:dyDescent="0.15">
      <c r="A136" s="574"/>
      <c r="B136" s="574"/>
      <c r="C136" s="574"/>
      <c r="D136" s="574"/>
      <c r="E136" s="574"/>
      <c r="F136" s="574"/>
      <c r="G136" s="574"/>
      <c r="H136" s="574"/>
      <c r="I136" s="574"/>
      <c r="J136" s="574"/>
      <c r="K136" s="574"/>
      <c r="L136" s="574"/>
      <c r="M136" s="574"/>
      <c r="N136" s="574"/>
      <c r="O136" s="574"/>
      <c r="P136" s="574"/>
      <c r="Q136" s="574"/>
      <c r="R136" s="574"/>
      <c r="S136" s="574"/>
      <c r="T136" s="574"/>
      <c r="U136" s="574"/>
      <c r="V136" s="574"/>
      <c r="W136" s="574"/>
      <c r="X136" s="574"/>
      <c r="Y136" s="574"/>
      <c r="Z136" s="574"/>
      <c r="AA136" s="574"/>
      <c r="AB136" s="574"/>
      <c r="AC136" s="574"/>
      <c r="AD136" s="574"/>
      <c r="AE136" s="574"/>
      <c r="AF136" s="574"/>
      <c r="AG136" s="574"/>
      <c r="AH136" s="574"/>
      <c r="AI136" s="574"/>
      <c r="AJ136" s="574"/>
      <c r="AK136" s="574"/>
      <c r="AL136" s="574"/>
      <c r="AM136" s="574"/>
      <c r="AN136" s="574"/>
      <c r="AO136" s="574"/>
      <c r="AP136" s="574"/>
      <c r="AQ136" s="574"/>
      <c r="AR136" s="574"/>
      <c r="AS136" s="574"/>
      <c r="AT136" s="574"/>
      <c r="AU136" s="574"/>
      <c r="AV136" s="574"/>
      <c r="AW136" s="574"/>
      <c r="AX136" s="574"/>
    </row>
    <row r="137" spans="1:50" x14ac:dyDescent="0.15">
      <c r="A137" s="574"/>
      <c r="B137" s="574"/>
      <c r="C137" s="574"/>
      <c r="D137" s="574"/>
      <c r="E137" s="574"/>
      <c r="F137" s="574"/>
      <c r="G137" s="574"/>
      <c r="H137" s="574"/>
      <c r="I137" s="574"/>
      <c r="J137" s="574"/>
      <c r="K137" s="574"/>
      <c r="L137" s="574"/>
      <c r="M137" s="574"/>
      <c r="N137" s="574"/>
      <c r="O137" s="574"/>
      <c r="P137" s="574"/>
      <c r="Q137" s="574"/>
      <c r="R137" s="574"/>
      <c r="S137" s="574"/>
      <c r="T137" s="574"/>
      <c r="U137" s="574"/>
      <c r="V137" s="574"/>
      <c r="W137" s="574"/>
      <c r="X137" s="574"/>
      <c r="Y137" s="574"/>
      <c r="Z137" s="574"/>
      <c r="AA137" s="574"/>
      <c r="AB137" s="574"/>
      <c r="AC137" s="574"/>
      <c r="AD137" s="574"/>
      <c r="AE137" s="574"/>
      <c r="AF137" s="574"/>
      <c r="AG137" s="574"/>
      <c r="AH137" s="574"/>
      <c r="AI137" s="574"/>
      <c r="AJ137" s="574"/>
      <c r="AK137" s="574"/>
      <c r="AL137" s="574"/>
      <c r="AM137" s="574"/>
      <c r="AN137" s="574"/>
      <c r="AO137" s="574"/>
      <c r="AP137" s="574"/>
      <c r="AQ137" s="574"/>
      <c r="AR137" s="574"/>
      <c r="AS137" s="574"/>
      <c r="AT137" s="574"/>
      <c r="AU137" s="574"/>
      <c r="AV137" s="574"/>
      <c r="AW137" s="574"/>
      <c r="AX137" s="574"/>
    </row>
    <row r="138" spans="1:50" x14ac:dyDescent="0.15">
      <c r="A138" s="574"/>
      <c r="B138" s="574"/>
      <c r="C138" s="574"/>
      <c r="D138" s="574"/>
      <c r="E138" s="574"/>
      <c r="F138" s="574"/>
      <c r="G138" s="574"/>
      <c r="H138" s="574"/>
      <c r="I138" s="574"/>
      <c r="J138" s="574"/>
      <c r="K138" s="574"/>
      <c r="L138" s="574"/>
      <c r="M138" s="574"/>
      <c r="N138" s="574"/>
      <c r="O138" s="574"/>
      <c r="P138" s="574"/>
      <c r="Q138" s="574"/>
      <c r="R138" s="574"/>
      <c r="S138" s="574"/>
      <c r="T138" s="574"/>
      <c r="U138" s="574"/>
      <c r="V138" s="574"/>
      <c r="W138" s="574"/>
      <c r="X138" s="574"/>
      <c r="Y138" s="574"/>
      <c r="Z138" s="574"/>
      <c r="AA138" s="574"/>
      <c r="AB138" s="574"/>
      <c r="AC138" s="574"/>
      <c r="AD138" s="574"/>
      <c r="AE138" s="574"/>
      <c r="AF138" s="574"/>
      <c r="AG138" s="574"/>
      <c r="AH138" s="574"/>
      <c r="AI138" s="574"/>
      <c r="AJ138" s="574"/>
      <c r="AK138" s="574"/>
      <c r="AL138" s="574"/>
      <c r="AM138" s="574"/>
      <c r="AN138" s="574"/>
      <c r="AO138" s="574"/>
      <c r="AP138" s="574"/>
      <c r="AQ138" s="574"/>
      <c r="AR138" s="574"/>
      <c r="AS138" s="574"/>
      <c r="AT138" s="574"/>
      <c r="AU138" s="574"/>
      <c r="AV138" s="574"/>
      <c r="AW138" s="574"/>
      <c r="AX138" s="574"/>
    </row>
    <row r="139" spans="1:50" x14ac:dyDescent="0.15">
      <c r="A139" s="574"/>
      <c r="B139" s="574"/>
      <c r="C139" s="574"/>
      <c r="D139" s="574"/>
      <c r="E139" s="574"/>
      <c r="F139" s="574"/>
      <c r="G139" s="574"/>
      <c r="H139" s="574"/>
      <c r="I139" s="574"/>
      <c r="J139" s="574"/>
      <c r="K139" s="574"/>
      <c r="L139" s="574"/>
      <c r="M139" s="574"/>
      <c r="N139" s="574"/>
      <c r="O139" s="574"/>
      <c r="P139" s="574"/>
      <c r="Q139" s="574"/>
      <c r="R139" s="574"/>
      <c r="S139" s="574"/>
      <c r="T139" s="574"/>
      <c r="U139" s="574"/>
      <c r="V139" s="574"/>
      <c r="W139" s="574"/>
      <c r="X139" s="574"/>
      <c r="Y139" s="574"/>
      <c r="Z139" s="574"/>
      <c r="AA139" s="574"/>
      <c r="AB139" s="574"/>
      <c r="AC139" s="574"/>
      <c r="AD139" s="574"/>
      <c r="AE139" s="574"/>
      <c r="AF139" s="574"/>
      <c r="AG139" s="574"/>
      <c r="AH139" s="574"/>
      <c r="AI139" s="574"/>
      <c r="AJ139" s="574"/>
      <c r="AK139" s="574"/>
      <c r="AL139" s="574"/>
      <c r="AM139" s="574"/>
      <c r="AN139" s="574"/>
      <c r="AO139" s="574"/>
      <c r="AP139" s="574"/>
      <c r="AQ139" s="574"/>
      <c r="AR139" s="574"/>
      <c r="AS139" s="574"/>
      <c r="AT139" s="574"/>
      <c r="AU139" s="574"/>
      <c r="AV139" s="574"/>
      <c r="AW139" s="574"/>
      <c r="AX139" s="574"/>
    </row>
    <row r="140" spans="1:50" x14ac:dyDescent="0.15">
      <c r="A140" s="574"/>
      <c r="B140" s="574"/>
      <c r="C140" s="574"/>
      <c r="D140" s="574"/>
      <c r="E140" s="574"/>
      <c r="F140" s="574"/>
      <c r="G140" s="574"/>
      <c r="H140" s="574"/>
      <c r="I140" s="574"/>
      <c r="J140" s="574"/>
      <c r="K140" s="574"/>
      <c r="L140" s="574"/>
      <c r="M140" s="574"/>
      <c r="N140" s="574"/>
      <c r="O140" s="574"/>
      <c r="P140" s="574"/>
      <c r="Q140" s="574"/>
      <c r="R140" s="574"/>
      <c r="S140" s="574"/>
      <c r="T140" s="574"/>
      <c r="U140" s="574"/>
      <c r="V140" s="574"/>
      <c r="W140" s="574"/>
      <c r="X140" s="574"/>
      <c r="Y140" s="574"/>
      <c r="Z140" s="574"/>
      <c r="AA140" s="574"/>
      <c r="AB140" s="574"/>
      <c r="AC140" s="574"/>
      <c r="AD140" s="574"/>
      <c r="AE140" s="574"/>
      <c r="AF140" s="574"/>
      <c r="AG140" s="574"/>
      <c r="AH140" s="574"/>
      <c r="AI140" s="574"/>
      <c r="AJ140" s="574"/>
      <c r="AK140" s="574"/>
      <c r="AL140" s="574"/>
      <c r="AM140" s="574"/>
      <c r="AN140" s="574"/>
      <c r="AO140" s="574"/>
      <c r="AP140" s="574"/>
      <c r="AQ140" s="574"/>
      <c r="AR140" s="574"/>
      <c r="AS140" s="574"/>
      <c r="AT140" s="574"/>
      <c r="AU140" s="574"/>
      <c r="AV140" s="574"/>
      <c r="AW140" s="574"/>
      <c r="AX140" s="574"/>
    </row>
    <row r="141" spans="1:50" x14ac:dyDescent="0.15">
      <c r="A141" s="574"/>
      <c r="B141" s="574"/>
      <c r="C141" s="574"/>
      <c r="D141" s="574"/>
      <c r="E141" s="574"/>
      <c r="F141" s="574"/>
      <c r="G141" s="574"/>
      <c r="H141" s="574"/>
      <c r="I141" s="574"/>
      <c r="J141" s="574"/>
      <c r="K141" s="574"/>
      <c r="L141" s="574"/>
      <c r="M141" s="574"/>
      <c r="N141" s="574"/>
      <c r="O141" s="574"/>
      <c r="P141" s="574"/>
      <c r="Q141" s="574"/>
      <c r="R141" s="574"/>
      <c r="S141" s="574"/>
      <c r="T141" s="574"/>
      <c r="U141" s="574"/>
      <c r="V141" s="574"/>
      <c r="W141" s="574"/>
      <c r="X141" s="574"/>
      <c r="Y141" s="574"/>
      <c r="Z141" s="574"/>
      <c r="AA141" s="574"/>
      <c r="AB141" s="574"/>
      <c r="AC141" s="574"/>
      <c r="AD141" s="574"/>
      <c r="AE141" s="574"/>
      <c r="AF141" s="574"/>
      <c r="AG141" s="574"/>
      <c r="AH141" s="574"/>
      <c r="AI141" s="574"/>
      <c r="AJ141" s="574"/>
      <c r="AK141" s="574"/>
      <c r="AL141" s="574"/>
      <c r="AM141" s="574"/>
      <c r="AN141" s="574"/>
      <c r="AO141" s="574"/>
      <c r="AP141" s="574"/>
      <c r="AQ141" s="574"/>
      <c r="AR141" s="574"/>
      <c r="AS141" s="574"/>
      <c r="AT141" s="574"/>
      <c r="AU141" s="574"/>
      <c r="AV141" s="574"/>
      <c r="AW141" s="574"/>
      <c r="AX141" s="574"/>
    </row>
    <row r="142" spans="1:50" x14ac:dyDescent="0.15">
      <c r="A142" s="574"/>
      <c r="B142" s="574"/>
      <c r="C142" s="574"/>
      <c r="D142" s="574"/>
      <c r="E142" s="574"/>
      <c r="F142" s="574"/>
      <c r="G142" s="574"/>
      <c r="H142" s="574"/>
      <c r="I142" s="574"/>
      <c r="J142" s="574"/>
      <c r="K142" s="574"/>
      <c r="L142" s="574"/>
      <c r="M142" s="574"/>
      <c r="N142" s="574"/>
      <c r="O142" s="574"/>
      <c r="P142" s="574"/>
      <c r="Q142" s="574"/>
      <c r="R142" s="574"/>
      <c r="S142" s="574"/>
      <c r="T142" s="574"/>
      <c r="U142" s="574"/>
      <c r="V142" s="574"/>
      <c r="W142" s="574"/>
      <c r="X142" s="574"/>
      <c r="Y142" s="574"/>
      <c r="Z142" s="574"/>
      <c r="AA142" s="574"/>
      <c r="AB142" s="574"/>
      <c r="AC142" s="574"/>
      <c r="AD142" s="574"/>
      <c r="AE142" s="574"/>
      <c r="AF142" s="574"/>
      <c r="AG142" s="574"/>
      <c r="AH142" s="574"/>
      <c r="AI142" s="574"/>
      <c r="AJ142" s="574"/>
      <c r="AK142" s="574"/>
      <c r="AL142" s="574"/>
      <c r="AM142" s="574"/>
      <c r="AN142" s="574"/>
      <c r="AO142" s="574"/>
      <c r="AP142" s="574"/>
      <c r="AQ142" s="574"/>
      <c r="AR142" s="574"/>
      <c r="AS142" s="574"/>
      <c r="AT142" s="574"/>
      <c r="AU142" s="574"/>
      <c r="AV142" s="574"/>
      <c r="AW142" s="574"/>
      <c r="AX142" s="574"/>
    </row>
    <row r="143" spans="1:50" x14ac:dyDescent="0.15">
      <c r="A143" s="574"/>
      <c r="B143" s="574"/>
      <c r="C143" s="574"/>
      <c r="D143" s="574"/>
      <c r="E143" s="574"/>
      <c r="F143" s="574"/>
      <c r="G143" s="574"/>
      <c r="H143" s="574"/>
      <c r="I143" s="574"/>
      <c r="J143" s="574"/>
      <c r="K143" s="574"/>
      <c r="L143" s="574"/>
      <c r="M143" s="574"/>
      <c r="N143" s="574"/>
      <c r="O143" s="574"/>
      <c r="P143" s="574"/>
      <c r="Q143" s="574"/>
      <c r="R143" s="574"/>
      <c r="S143" s="574"/>
      <c r="T143" s="574"/>
      <c r="U143" s="574"/>
      <c r="V143" s="574"/>
      <c r="W143" s="574"/>
      <c r="X143" s="574"/>
      <c r="Y143" s="574"/>
      <c r="Z143" s="574"/>
      <c r="AA143" s="574"/>
      <c r="AB143" s="574"/>
      <c r="AC143" s="574"/>
      <c r="AD143" s="574"/>
      <c r="AE143" s="574"/>
      <c r="AF143" s="574"/>
      <c r="AG143" s="574"/>
      <c r="AH143" s="574"/>
      <c r="AI143" s="574"/>
      <c r="AJ143" s="574"/>
      <c r="AK143" s="574"/>
      <c r="AL143" s="574"/>
      <c r="AM143" s="574"/>
      <c r="AN143" s="574"/>
      <c r="AO143" s="574"/>
      <c r="AP143" s="574"/>
      <c r="AQ143" s="574"/>
      <c r="AR143" s="574"/>
      <c r="AS143" s="574"/>
      <c r="AT143" s="574"/>
      <c r="AU143" s="574"/>
      <c r="AV143" s="574"/>
      <c r="AW143" s="574"/>
      <c r="AX143" s="574"/>
    </row>
    <row r="144" spans="1:50" x14ac:dyDescent="0.15">
      <c r="A144" s="574"/>
      <c r="B144" s="574"/>
      <c r="C144" s="574"/>
      <c r="D144" s="574"/>
      <c r="E144" s="574"/>
      <c r="F144" s="574"/>
      <c r="G144" s="574"/>
      <c r="H144" s="574"/>
      <c r="I144" s="574"/>
      <c r="J144" s="574"/>
      <c r="K144" s="574"/>
      <c r="L144" s="574"/>
      <c r="M144" s="574"/>
      <c r="N144" s="574"/>
      <c r="O144" s="574"/>
      <c r="P144" s="574"/>
      <c r="Q144" s="574"/>
      <c r="R144" s="574"/>
      <c r="S144" s="574"/>
      <c r="T144" s="574"/>
      <c r="U144" s="574"/>
      <c r="V144" s="574"/>
      <c r="W144" s="574"/>
      <c r="X144" s="574"/>
      <c r="Y144" s="574"/>
      <c r="Z144" s="574"/>
      <c r="AA144" s="574"/>
      <c r="AB144" s="574"/>
      <c r="AC144" s="574"/>
      <c r="AD144" s="574"/>
      <c r="AE144" s="574"/>
      <c r="AF144" s="574"/>
      <c r="AG144" s="574"/>
      <c r="AH144" s="574"/>
      <c r="AI144" s="574"/>
      <c r="AJ144" s="574"/>
      <c r="AK144" s="574"/>
      <c r="AL144" s="574"/>
      <c r="AM144" s="574"/>
      <c r="AN144" s="574"/>
      <c r="AO144" s="574"/>
      <c r="AP144" s="574"/>
      <c r="AQ144" s="574"/>
      <c r="AR144" s="574"/>
      <c r="AS144" s="574"/>
      <c r="AT144" s="574"/>
      <c r="AU144" s="574"/>
      <c r="AV144" s="574"/>
      <c r="AW144" s="574"/>
      <c r="AX144" s="574"/>
    </row>
    <row r="145" spans="1:50" x14ac:dyDescent="0.15">
      <c r="A145" s="574"/>
      <c r="B145" s="574"/>
      <c r="C145" s="574"/>
      <c r="D145" s="574"/>
      <c r="E145" s="574"/>
      <c r="F145" s="574"/>
      <c r="G145" s="574"/>
      <c r="H145" s="574"/>
      <c r="I145" s="574"/>
      <c r="J145" s="574"/>
      <c r="K145" s="574"/>
      <c r="L145" s="574"/>
      <c r="M145" s="574"/>
      <c r="N145" s="574"/>
      <c r="O145" s="574"/>
      <c r="P145" s="574"/>
      <c r="Q145" s="574"/>
      <c r="R145" s="574"/>
      <c r="S145" s="574"/>
      <c r="T145" s="574"/>
      <c r="U145" s="574"/>
      <c r="V145" s="574"/>
      <c r="W145" s="574"/>
      <c r="X145" s="574"/>
      <c r="Y145" s="574"/>
      <c r="Z145" s="574"/>
      <c r="AA145" s="574"/>
      <c r="AB145" s="574"/>
      <c r="AC145" s="574"/>
      <c r="AD145" s="574"/>
      <c r="AE145" s="574"/>
      <c r="AF145" s="574"/>
      <c r="AG145" s="574"/>
      <c r="AH145" s="574"/>
      <c r="AI145" s="574"/>
      <c r="AJ145" s="574"/>
      <c r="AK145" s="574"/>
      <c r="AL145" s="574"/>
      <c r="AM145" s="574"/>
      <c r="AN145" s="574"/>
      <c r="AO145" s="574"/>
      <c r="AP145" s="574"/>
      <c r="AQ145" s="574"/>
      <c r="AR145" s="574"/>
      <c r="AS145" s="574"/>
      <c r="AT145" s="574"/>
      <c r="AU145" s="574"/>
      <c r="AV145" s="574"/>
      <c r="AW145" s="574"/>
      <c r="AX145" s="574"/>
    </row>
    <row r="146" spans="1:50" x14ac:dyDescent="0.15">
      <c r="A146" s="574"/>
      <c r="B146" s="574"/>
      <c r="C146" s="574"/>
      <c r="D146" s="574"/>
      <c r="E146" s="574"/>
      <c r="F146" s="574"/>
      <c r="G146" s="574"/>
      <c r="H146" s="574"/>
      <c r="I146" s="574"/>
      <c r="J146" s="574"/>
      <c r="K146" s="574"/>
      <c r="L146" s="574"/>
      <c r="M146" s="574"/>
      <c r="N146" s="574"/>
      <c r="O146" s="574"/>
      <c r="P146" s="574"/>
      <c r="Q146" s="574"/>
      <c r="R146" s="574"/>
      <c r="S146" s="574"/>
      <c r="T146" s="574"/>
      <c r="U146" s="574"/>
      <c r="V146" s="574"/>
      <c r="W146" s="574"/>
      <c r="X146" s="574"/>
      <c r="Y146" s="574"/>
      <c r="Z146" s="574"/>
      <c r="AA146" s="574"/>
      <c r="AB146" s="574"/>
      <c r="AC146" s="574"/>
      <c r="AD146" s="574"/>
      <c r="AE146" s="574"/>
      <c r="AF146" s="574"/>
      <c r="AG146" s="574"/>
      <c r="AH146" s="574"/>
      <c r="AI146" s="574"/>
      <c r="AJ146" s="574"/>
      <c r="AK146" s="574"/>
      <c r="AL146" s="574"/>
      <c r="AM146" s="574"/>
      <c r="AN146" s="574"/>
      <c r="AO146" s="574"/>
      <c r="AP146" s="574"/>
      <c r="AQ146" s="574"/>
      <c r="AR146" s="574"/>
      <c r="AS146" s="574"/>
      <c r="AT146" s="574"/>
      <c r="AU146" s="574"/>
      <c r="AV146" s="574"/>
      <c r="AW146" s="574"/>
      <c r="AX146" s="574"/>
    </row>
    <row r="147" spans="1:50" x14ac:dyDescent="0.15">
      <c r="A147" s="574"/>
      <c r="B147" s="574"/>
      <c r="C147" s="574"/>
      <c r="D147" s="574"/>
      <c r="E147" s="574"/>
      <c r="F147" s="574"/>
      <c r="G147" s="574"/>
      <c r="H147" s="574"/>
      <c r="I147" s="574"/>
      <c r="J147" s="574"/>
      <c r="K147" s="574"/>
      <c r="L147" s="574"/>
      <c r="M147" s="574"/>
      <c r="N147" s="574"/>
      <c r="O147" s="574"/>
      <c r="P147" s="574"/>
      <c r="Q147" s="574"/>
      <c r="R147" s="574"/>
      <c r="S147" s="574"/>
      <c r="T147" s="574"/>
      <c r="U147" s="574"/>
      <c r="V147" s="574"/>
      <c r="W147" s="574"/>
      <c r="X147" s="574"/>
      <c r="Y147" s="574"/>
      <c r="Z147" s="574"/>
      <c r="AA147" s="574"/>
      <c r="AB147" s="574"/>
      <c r="AC147" s="574"/>
      <c r="AD147" s="574"/>
      <c r="AE147" s="574"/>
      <c r="AF147" s="574"/>
      <c r="AG147" s="574"/>
      <c r="AH147" s="574"/>
      <c r="AI147" s="574"/>
      <c r="AJ147" s="574"/>
      <c r="AK147" s="574"/>
      <c r="AL147" s="574"/>
      <c r="AM147" s="574"/>
      <c r="AN147" s="574"/>
      <c r="AO147" s="574"/>
      <c r="AP147" s="574"/>
      <c r="AQ147" s="574"/>
      <c r="AR147" s="574"/>
      <c r="AS147" s="574"/>
      <c r="AT147" s="574"/>
      <c r="AU147" s="574"/>
      <c r="AV147" s="574"/>
      <c r="AW147" s="574"/>
      <c r="AX147" s="574"/>
    </row>
    <row r="148" spans="1:50" x14ac:dyDescent="0.15">
      <c r="A148" s="574"/>
      <c r="B148" s="574"/>
      <c r="C148" s="574"/>
      <c r="D148" s="574"/>
      <c r="E148" s="574"/>
      <c r="F148" s="574"/>
      <c r="G148" s="574"/>
      <c r="H148" s="574"/>
      <c r="I148" s="574"/>
      <c r="J148" s="574"/>
      <c r="K148" s="574"/>
      <c r="L148" s="574"/>
      <c r="M148" s="574"/>
      <c r="N148" s="574"/>
      <c r="O148" s="574"/>
      <c r="P148" s="574"/>
      <c r="Q148" s="574"/>
      <c r="R148" s="574"/>
      <c r="S148" s="574"/>
      <c r="T148" s="574"/>
      <c r="U148" s="574"/>
      <c r="V148" s="574"/>
      <c r="W148" s="574"/>
      <c r="X148" s="574"/>
      <c r="Y148" s="574"/>
      <c r="Z148" s="574"/>
      <c r="AA148" s="574"/>
      <c r="AB148" s="574"/>
      <c r="AC148" s="574"/>
      <c r="AD148" s="574"/>
      <c r="AE148" s="574"/>
      <c r="AF148" s="574"/>
      <c r="AG148" s="574"/>
      <c r="AH148" s="574"/>
      <c r="AI148" s="574"/>
      <c r="AJ148" s="574"/>
      <c r="AK148" s="574"/>
      <c r="AL148" s="574"/>
      <c r="AM148" s="574"/>
      <c r="AN148" s="574"/>
      <c r="AO148" s="574"/>
      <c r="AP148" s="574"/>
      <c r="AQ148" s="574"/>
      <c r="AR148" s="574"/>
      <c r="AS148" s="574"/>
      <c r="AT148" s="574"/>
      <c r="AU148" s="574"/>
      <c r="AV148" s="574"/>
      <c r="AW148" s="574"/>
      <c r="AX148" s="574"/>
    </row>
    <row r="149" spans="1:50" x14ac:dyDescent="0.15">
      <c r="A149" s="574"/>
      <c r="B149" s="574"/>
      <c r="C149" s="574"/>
      <c r="D149" s="574"/>
      <c r="E149" s="574"/>
      <c r="F149" s="574"/>
      <c r="G149" s="574"/>
      <c r="H149" s="574"/>
      <c r="I149" s="574"/>
      <c r="J149" s="574"/>
      <c r="K149" s="574"/>
      <c r="L149" s="574"/>
      <c r="M149" s="574"/>
      <c r="N149" s="574"/>
      <c r="O149" s="574"/>
      <c r="P149" s="574"/>
      <c r="Q149" s="574"/>
      <c r="R149" s="574"/>
      <c r="S149" s="574"/>
      <c r="T149" s="574"/>
      <c r="U149" s="574"/>
      <c r="V149" s="574"/>
      <c r="W149" s="574"/>
      <c r="X149" s="574"/>
      <c r="Y149" s="574"/>
      <c r="Z149" s="574"/>
      <c r="AA149" s="574"/>
      <c r="AB149" s="574"/>
      <c r="AC149" s="574"/>
      <c r="AD149" s="574"/>
      <c r="AE149" s="574"/>
      <c r="AF149" s="574"/>
      <c r="AG149" s="574"/>
      <c r="AH149" s="574"/>
      <c r="AI149" s="574"/>
      <c r="AJ149" s="574"/>
      <c r="AK149" s="574"/>
      <c r="AL149" s="574"/>
      <c r="AM149" s="574"/>
      <c r="AN149" s="574"/>
      <c r="AO149" s="574"/>
      <c r="AP149" s="574"/>
      <c r="AQ149" s="574"/>
      <c r="AR149" s="574"/>
      <c r="AS149" s="574"/>
      <c r="AT149" s="574"/>
      <c r="AU149" s="574"/>
      <c r="AV149" s="574"/>
      <c r="AW149" s="574"/>
      <c r="AX149" s="574"/>
    </row>
    <row r="150" spans="1:50" x14ac:dyDescent="0.15">
      <c r="A150" s="574"/>
      <c r="B150" s="574"/>
      <c r="C150" s="574"/>
      <c r="D150" s="574"/>
      <c r="E150" s="574"/>
      <c r="F150" s="574"/>
      <c r="G150" s="574"/>
      <c r="H150" s="574"/>
      <c r="I150" s="574"/>
      <c r="J150" s="574"/>
      <c r="K150" s="574"/>
      <c r="L150" s="574"/>
      <c r="M150" s="574"/>
      <c r="N150" s="574"/>
      <c r="O150" s="574"/>
      <c r="P150" s="574"/>
      <c r="Q150" s="574"/>
      <c r="R150" s="574"/>
      <c r="S150" s="574"/>
      <c r="T150" s="574"/>
      <c r="U150" s="574"/>
      <c r="V150" s="574"/>
      <c r="W150" s="574"/>
      <c r="X150" s="574"/>
      <c r="Y150" s="574"/>
      <c r="Z150" s="574"/>
      <c r="AA150" s="574"/>
      <c r="AB150" s="574"/>
      <c r="AC150" s="574"/>
      <c r="AD150" s="574"/>
      <c r="AE150" s="574"/>
      <c r="AF150" s="574"/>
      <c r="AG150" s="574"/>
      <c r="AH150" s="574"/>
      <c r="AI150" s="574"/>
      <c r="AJ150" s="574"/>
      <c r="AK150" s="574"/>
      <c r="AL150" s="574"/>
      <c r="AM150" s="574"/>
      <c r="AN150" s="574"/>
      <c r="AO150" s="574"/>
      <c r="AP150" s="574"/>
      <c r="AQ150" s="574"/>
      <c r="AR150" s="574"/>
      <c r="AS150" s="574"/>
      <c r="AT150" s="574"/>
      <c r="AU150" s="574"/>
      <c r="AV150" s="574"/>
      <c r="AW150" s="574"/>
      <c r="AX150" s="574"/>
    </row>
    <row r="151" spans="1:50" x14ac:dyDescent="0.15">
      <c r="A151" s="574"/>
      <c r="B151" s="574"/>
      <c r="C151" s="574"/>
      <c r="D151" s="574"/>
      <c r="E151" s="574"/>
      <c r="F151" s="574"/>
      <c r="G151" s="574"/>
      <c r="H151" s="574"/>
      <c r="I151" s="574"/>
      <c r="J151" s="574"/>
      <c r="K151" s="574"/>
      <c r="L151" s="574"/>
      <c r="M151" s="574"/>
      <c r="N151" s="574"/>
      <c r="O151" s="574"/>
      <c r="P151" s="574"/>
      <c r="Q151" s="574"/>
      <c r="R151" s="574"/>
      <c r="S151" s="574"/>
      <c r="T151" s="574"/>
      <c r="U151" s="574"/>
      <c r="V151" s="574"/>
      <c r="W151" s="574"/>
      <c r="X151" s="574"/>
      <c r="Y151" s="574"/>
      <c r="Z151" s="574"/>
      <c r="AA151" s="574"/>
      <c r="AB151" s="574"/>
      <c r="AC151" s="574"/>
      <c r="AD151" s="574"/>
      <c r="AE151" s="574"/>
      <c r="AF151" s="574"/>
      <c r="AG151" s="574"/>
      <c r="AH151" s="574"/>
      <c r="AI151" s="574"/>
      <c r="AJ151" s="574"/>
      <c r="AK151" s="574"/>
      <c r="AL151" s="574"/>
      <c r="AM151" s="574"/>
      <c r="AN151" s="574"/>
      <c r="AO151" s="574"/>
      <c r="AP151" s="574"/>
      <c r="AQ151" s="574"/>
      <c r="AR151" s="574"/>
      <c r="AS151" s="574"/>
      <c r="AT151" s="574"/>
      <c r="AU151" s="574"/>
      <c r="AV151" s="574"/>
      <c r="AW151" s="574"/>
      <c r="AX151" s="574"/>
    </row>
    <row r="152" spans="1:50" x14ac:dyDescent="0.15">
      <c r="A152" s="574"/>
      <c r="B152" s="574"/>
      <c r="C152" s="574"/>
      <c r="D152" s="574"/>
      <c r="E152" s="574"/>
      <c r="F152" s="574"/>
      <c r="G152" s="574"/>
      <c r="H152" s="574"/>
      <c r="I152" s="574"/>
      <c r="J152" s="574"/>
      <c r="K152" s="574"/>
      <c r="L152" s="574"/>
      <c r="M152" s="574"/>
      <c r="N152" s="574"/>
      <c r="O152" s="574"/>
      <c r="P152" s="574"/>
      <c r="Q152" s="574"/>
      <c r="R152" s="574"/>
      <c r="S152" s="574"/>
      <c r="T152" s="574"/>
      <c r="U152" s="574"/>
      <c r="V152" s="574"/>
      <c r="W152" s="574"/>
      <c r="X152" s="574"/>
      <c r="Y152" s="574"/>
      <c r="Z152" s="574"/>
      <c r="AA152" s="574"/>
      <c r="AB152" s="574"/>
      <c r="AC152" s="574"/>
      <c r="AD152" s="574"/>
      <c r="AE152" s="574"/>
      <c r="AF152" s="574"/>
      <c r="AG152" s="574"/>
      <c r="AH152" s="574"/>
      <c r="AI152" s="574"/>
      <c r="AJ152" s="574"/>
      <c r="AK152" s="574"/>
      <c r="AL152" s="574"/>
      <c r="AM152" s="574"/>
      <c r="AN152" s="574"/>
      <c r="AO152" s="574"/>
      <c r="AP152" s="574"/>
      <c r="AQ152" s="574"/>
      <c r="AR152" s="574"/>
      <c r="AS152" s="574"/>
      <c r="AT152" s="574"/>
      <c r="AU152" s="574"/>
      <c r="AV152" s="574"/>
      <c r="AW152" s="574"/>
      <c r="AX152" s="574"/>
    </row>
    <row r="153" spans="1:50" x14ac:dyDescent="0.15">
      <c r="A153" s="574"/>
      <c r="B153" s="574"/>
      <c r="C153" s="574"/>
      <c r="D153" s="574"/>
      <c r="E153" s="574"/>
      <c r="F153" s="574"/>
      <c r="G153" s="574"/>
      <c r="H153" s="574"/>
      <c r="I153" s="574"/>
      <c r="J153" s="574"/>
      <c r="K153" s="574"/>
      <c r="L153" s="574"/>
      <c r="M153" s="574"/>
      <c r="N153" s="574"/>
      <c r="O153" s="574"/>
      <c r="P153" s="574"/>
      <c r="Q153" s="574"/>
      <c r="R153" s="574"/>
      <c r="S153" s="574"/>
      <c r="T153" s="574"/>
      <c r="U153" s="574"/>
      <c r="V153" s="574"/>
      <c r="W153" s="574"/>
      <c r="X153" s="574"/>
      <c r="Y153" s="574"/>
      <c r="Z153" s="574"/>
      <c r="AA153" s="574"/>
      <c r="AB153" s="574"/>
      <c r="AC153" s="574"/>
      <c r="AD153" s="574"/>
      <c r="AE153" s="574"/>
      <c r="AF153" s="574"/>
      <c r="AG153" s="574"/>
      <c r="AH153" s="574"/>
      <c r="AI153" s="574"/>
      <c r="AJ153" s="574"/>
      <c r="AK153" s="574"/>
      <c r="AL153" s="574"/>
      <c r="AM153" s="574"/>
      <c r="AN153" s="574"/>
      <c r="AO153" s="574"/>
      <c r="AP153" s="574"/>
      <c r="AQ153" s="574"/>
      <c r="AR153" s="574"/>
      <c r="AS153" s="574"/>
      <c r="AT153" s="574"/>
      <c r="AU153" s="574"/>
      <c r="AV153" s="574"/>
      <c r="AW153" s="574"/>
      <c r="AX153" s="574"/>
    </row>
    <row r="154" spans="1:50" x14ac:dyDescent="0.15">
      <c r="A154" s="574"/>
      <c r="B154" s="574"/>
      <c r="C154" s="574"/>
      <c r="D154" s="574"/>
      <c r="E154" s="574"/>
      <c r="F154" s="574"/>
      <c r="G154" s="574"/>
      <c r="H154" s="574"/>
      <c r="I154" s="574"/>
      <c r="J154" s="574"/>
      <c r="K154" s="574"/>
      <c r="L154" s="574"/>
      <c r="M154" s="574"/>
      <c r="N154" s="574"/>
      <c r="O154" s="574"/>
      <c r="P154" s="574"/>
      <c r="Q154" s="574"/>
      <c r="R154" s="574"/>
      <c r="S154" s="574"/>
      <c r="T154" s="574"/>
      <c r="U154" s="574"/>
      <c r="V154" s="574"/>
      <c r="W154" s="574"/>
      <c r="X154" s="574"/>
      <c r="Y154" s="574"/>
      <c r="Z154" s="574"/>
      <c r="AA154" s="574"/>
      <c r="AB154" s="574"/>
      <c r="AC154" s="574"/>
      <c r="AD154" s="574"/>
      <c r="AE154" s="574"/>
      <c r="AF154" s="574"/>
      <c r="AG154" s="574"/>
      <c r="AH154" s="574"/>
      <c r="AI154" s="574"/>
      <c r="AJ154" s="574"/>
      <c r="AK154" s="574"/>
      <c r="AL154" s="574"/>
      <c r="AM154" s="574"/>
      <c r="AN154" s="574"/>
      <c r="AO154" s="574"/>
      <c r="AP154" s="574"/>
      <c r="AQ154" s="574"/>
      <c r="AR154" s="574"/>
      <c r="AS154" s="574"/>
      <c r="AT154" s="574"/>
      <c r="AU154" s="574"/>
      <c r="AV154" s="574"/>
      <c r="AW154" s="574"/>
      <c r="AX154" s="574"/>
    </row>
    <row r="155" spans="1:50" x14ac:dyDescent="0.15">
      <c r="A155" s="574"/>
      <c r="B155" s="574"/>
      <c r="C155" s="574"/>
      <c r="D155" s="574"/>
      <c r="E155" s="574"/>
      <c r="F155" s="574"/>
      <c r="G155" s="574"/>
      <c r="H155" s="574"/>
      <c r="I155" s="574"/>
      <c r="J155" s="574"/>
      <c r="K155" s="574"/>
      <c r="L155" s="574"/>
      <c r="M155" s="574"/>
      <c r="N155" s="574"/>
      <c r="O155" s="574"/>
      <c r="P155" s="574"/>
      <c r="Q155" s="574"/>
      <c r="R155" s="574"/>
      <c r="S155" s="574"/>
      <c r="T155" s="574"/>
      <c r="U155" s="574"/>
      <c r="V155" s="574"/>
      <c r="W155" s="574"/>
      <c r="X155" s="574"/>
      <c r="Y155" s="574"/>
      <c r="Z155" s="574"/>
      <c r="AA155" s="574"/>
      <c r="AB155" s="574"/>
      <c r="AC155" s="574"/>
      <c r="AD155" s="574"/>
      <c r="AE155" s="574"/>
      <c r="AF155" s="574"/>
      <c r="AG155" s="574"/>
      <c r="AH155" s="574"/>
      <c r="AI155" s="574"/>
      <c r="AJ155" s="574"/>
      <c r="AK155" s="574"/>
      <c r="AL155" s="574"/>
      <c r="AM155" s="574"/>
      <c r="AN155" s="574"/>
      <c r="AO155" s="574"/>
      <c r="AP155" s="574"/>
      <c r="AQ155" s="574"/>
      <c r="AR155" s="574"/>
      <c r="AS155" s="574"/>
      <c r="AT155" s="574"/>
      <c r="AU155" s="574"/>
      <c r="AV155" s="574"/>
      <c r="AW155" s="574"/>
      <c r="AX155" s="574"/>
    </row>
    <row r="156" spans="1:50" x14ac:dyDescent="0.15">
      <c r="A156" s="574"/>
      <c r="B156" s="574"/>
      <c r="C156" s="574"/>
      <c r="D156" s="574"/>
      <c r="E156" s="574"/>
      <c r="F156" s="574"/>
      <c r="G156" s="574"/>
      <c r="H156" s="574"/>
      <c r="I156" s="574"/>
      <c r="J156" s="574"/>
      <c r="K156" s="574"/>
      <c r="L156" s="574"/>
      <c r="M156" s="574"/>
      <c r="N156" s="574"/>
      <c r="O156" s="574"/>
      <c r="P156" s="574"/>
      <c r="Q156" s="574"/>
      <c r="R156" s="574"/>
      <c r="S156" s="574"/>
      <c r="T156" s="574"/>
      <c r="U156" s="574"/>
      <c r="V156" s="574"/>
      <c r="W156" s="574"/>
      <c r="X156" s="574"/>
      <c r="Y156" s="574"/>
      <c r="Z156" s="574"/>
      <c r="AA156" s="574"/>
      <c r="AB156" s="574"/>
      <c r="AC156" s="574"/>
      <c r="AD156" s="574"/>
      <c r="AE156" s="574"/>
      <c r="AF156" s="574"/>
      <c r="AG156" s="574"/>
      <c r="AH156" s="574"/>
      <c r="AI156" s="574"/>
      <c r="AJ156" s="574"/>
      <c r="AK156" s="574"/>
      <c r="AL156" s="574"/>
      <c r="AM156" s="574"/>
      <c r="AN156" s="574"/>
      <c r="AO156" s="574"/>
      <c r="AP156" s="574"/>
      <c r="AQ156" s="574"/>
      <c r="AR156" s="574"/>
      <c r="AS156" s="574"/>
      <c r="AT156" s="574"/>
      <c r="AU156" s="574"/>
      <c r="AV156" s="574"/>
      <c r="AW156" s="574"/>
      <c r="AX156" s="574"/>
    </row>
    <row r="157" spans="1:50" x14ac:dyDescent="0.15">
      <c r="A157" s="574"/>
      <c r="B157" s="574"/>
      <c r="C157" s="574"/>
      <c r="D157" s="574"/>
      <c r="E157" s="574"/>
      <c r="F157" s="574"/>
      <c r="G157" s="574"/>
      <c r="H157" s="574"/>
      <c r="I157" s="574"/>
      <c r="J157" s="574"/>
      <c r="K157" s="574"/>
      <c r="L157" s="574"/>
      <c r="M157" s="574"/>
      <c r="N157" s="574"/>
      <c r="O157" s="574"/>
      <c r="P157" s="574"/>
      <c r="Q157" s="574"/>
      <c r="R157" s="574"/>
      <c r="S157" s="574"/>
      <c r="T157" s="574"/>
      <c r="U157" s="574"/>
      <c r="V157" s="574"/>
      <c r="W157" s="574"/>
      <c r="X157" s="574"/>
      <c r="Y157" s="574"/>
      <c r="Z157" s="574"/>
      <c r="AA157" s="574"/>
      <c r="AB157" s="574"/>
      <c r="AC157" s="574"/>
      <c r="AD157" s="574"/>
      <c r="AE157" s="574"/>
      <c r="AF157" s="574"/>
      <c r="AG157" s="574"/>
      <c r="AH157" s="574"/>
      <c r="AI157" s="574"/>
      <c r="AJ157" s="574"/>
      <c r="AK157" s="574"/>
      <c r="AL157" s="574"/>
      <c r="AM157" s="574"/>
      <c r="AN157" s="574"/>
      <c r="AO157" s="574"/>
      <c r="AP157" s="574"/>
      <c r="AQ157" s="574"/>
      <c r="AR157" s="574"/>
      <c r="AS157" s="574"/>
      <c r="AT157" s="574"/>
      <c r="AU157" s="574"/>
      <c r="AV157" s="574"/>
      <c r="AW157" s="574"/>
      <c r="AX157" s="574"/>
    </row>
    <row r="158" spans="1:50" x14ac:dyDescent="0.15">
      <c r="A158" s="574"/>
      <c r="B158" s="574"/>
      <c r="C158" s="574"/>
      <c r="D158" s="574"/>
      <c r="E158" s="574"/>
      <c r="F158" s="574"/>
      <c r="G158" s="574"/>
      <c r="H158" s="574"/>
      <c r="I158" s="574"/>
      <c r="J158" s="574"/>
      <c r="K158" s="574"/>
      <c r="L158" s="574"/>
      <c r="M158" s="574"/>
      <c r="N158" s="574"/>
      <c r="O158" s="574"/>
      <c r="P158" s="574"/>
      <c r="Q158" s="574"/>
      <c r="R158" s="574"/>
      <c r="S158" s="574"/>
      <c r="T158" s="574"/>
      <c r="U158" s="574"/>
      <c r="V158" s="574"/>
      <c r="W158" s="574"/>
      <c r="X158" s="574"/>
      <c r="Y158" s="574"/>
      <c r="Z158" s="574"/>
      <c r="AA158" s="574"/>
      <c r="AB158" s="574"/>
      <c r="AC158" s="574"/>
      <c r="AD158" s="574"/>
      <c r="AE158" s="574"/>
      <c r="AF158" s="574"/>
      <c r="AG158" s="574"/>
      <c r="AH158" s="574"/>
      <c r="AI158" s="574"/>
      <c r="AJ158" s="574"/>
      <c r="AK158" s="574"/>
      <c r="AL158" s="574"/>
      <c r="AM158" s="574"/>
      <c r="AN158" s="574"/>
      <c r="AO158" s="574"/>
      <c r="AP158" s="574"/>
      <c r="AQ158" s="574"/>
      <c r="AR158" s="574"/>
      <c r="AS158" s="574"/>
      <c r="AT158" s="574"/>
      <c r="AU158" s="574"/>
      <c r="AV158" s="574"/>
      <c r="AW158" s="574"/>
      <c r="AX158" s="574"/>
    </row>
    <row r="159" spans="1:50" x14ac:dyDescent="0.15">
      <c r="A159" s="574"/>
      <c r="B159" s="574"/>
      <c r="C159" s="574"/>
      <c r="D159" s="574"/>
      <c r="E159" s="574"/>
      <c r="F159" s="574"/>
      <c r="G159" s="574"/>
      <c r="H159" s="574"/>
      <c r="I159" s="574"/>
      <c r="J159" s="574"/>
      <c r="K159" s="574"/>
      <c r="L159" s="574"/>
      <c r="M159" s="574"/>
      <c r="N159" s="574"/>
      <c r="O159" s="574"/>
      <c r="P159" s="574"/>
      <c r="Q159" s="574"/>
      <c r="R159" s="574"/>
      <c r="S159" s="574"/>
      <c r="T159" s="574"/>
      <c r="U159" s="574"/>
      <c r="V159" s="574"/>
      <c r="W159" s="574"/>
      <c r="X159" s="574"/>
      <c r="Y159" s="574"/>
      <c r="Z159" s="574"/>
      <c r="AA159" s="574"/>
      <c r="AB159" s="574"/>
      <c r="AC159" s="574"/>
      <c r="AD159" s="574"/>
      <c r="AE159" s="574"/>
      <c r="AF159" s="574"/>
      <c r="AG159" s="574"/>
      <c r="AH159" s="574"/>
      <c r="AI159" s="574"/>
      <c r="AJ159" s="574"/>
      <c r="AK159" s="574"/>
      <c r="AL159" s="574"/>
      <c r="AM159" s="574"/>
      <c r="AN159" s="574"/>
      <c r="AO159" s="574"/>
      <c r="AP159" s="574"/>
      <c r="AQ159" s="574"/>
      <c r="AR159" s="574"/>
      <c r="AS159" s="574"/>
      <c r="AT159" s="574"/>
      <c r="AU159" s="574"/>
      <c r="AV159" s="574"/>
      <c r="AW159" s="574"/>
      <c r="AX159" s="574"/>
    </row>
    <row r="160" spans="1:50" x14ac:dyDescent="0.15">
      <c r="A160" s="574"/>
      <c r="B160" s="574"/>
      <c r="C160" s="574"/>
      <c r="D160" s="574"/>
      <c r="E160" s="574"/>
      <c r="F160" s="574"/>
      <c r="G160" s="574"/>
      <c r="H160" s="574"/>
      <c r="I160" s="574"/>
      <c r="J160" s="574"/>
      <c r="K160" s="574"/>
      <c r="L160" s="574"/>
      <c r="M160" s="574"/>
      <c r="N160" s="574"/>
      <c r="O160" s="574"/>
      <c r="P160" s="574"/>
      <c r="Q160" s="574"/>
      <c r="R160" s="574"/>
      <c r="S160" s="574"/>
      <c r="T160" s="574"/>
      <c r="U160" s="574"/>
      <c r="V160" s="574"/>
      <c r="W160" s="574"/>
      <c r="X160" s="574"/>
      <c r="Y160" s="574"/>
      <c r="Z160" s="574"/>
      <c r="AA160" s="574"/>
      <c r="AB160" s="574"/>
      <c r="AC160" s="574"/>
      <c r="AD160" s="574"/>
      <c r="AE160" s="574"/>
      <c r="AF160" s="574"/>
      <c r="AG160" s="574"/>
      <c r="AH160" s="574"/>
      <c r="AI160" s="574"/>
      <c r="AJ160" s="574"/>
      <c r="AK160" s="574"/>
      <c r="AL160" s="574"/>
      <c r="AM160" s="574"/>
      <c r="AN160" s="574"/>
      <c r="AO160" s="574"/>
      <c r="AP160" s="574"/>
      <c r="AQ160" s="574"/>
      <c r="AR160" s="574"/>
      <c r="AS160" s="574"/>
      <c r="AT160" s="574"/>
      <c r="AU160" s="574"/>
      <c r="AV160" s="574"/>
      <c r="AW160" s="574"/>
      <c r="AX160" s="574"/>
    </row>
    <row r="161" spans="1:50" x14ac:dyDescent="0.15">
      <c r="A161" s="574"/>
      <c r="B161" s="574"/>
      <c r="C161" s="574"/>
      <c r="D161" s="574"/>
      <c r="E161" s="574"/>
      <c r="F161" s="574"/>
      <c r="G161" s="574"/>
      <c r="H161" s="574"/>
      <c r="I161" s="574"/>
      <c r="J161" s="574"/>
      <c r="K161" s="574"/>
      <c r="L161" s="574"/>
      <c r="M161" s="574"/>
      <c r="N161" s="574"/>
      <c r="O161" s="574"/>
      <c r="P161" s="574"/>
      <c r="Q161" s="574"/>
      <c r="R161" s="574"/>
      <c r="S161" s="574"/>
      <c r="T161" s="574"/>
      <c r="U161" s="574"/>
      <c r="V161" s="574"/>
      <c r="W161" s="574"/>
      <c r="X161" s="574"/>
      <c r="Y161" s="574"/>
      <c r="Z161" s="574"/>
      <c r="AA161" s="574"/>
      <c r="AB161" s="574"/>
      <c r="AC161" s="574"/>
      <c r="AD161" s="574"/>
      <c r="AE161" s="574"/>
      <c r="AF161" s="574"/>
      <c r="AG161" s="574"/>
      <c r="AH161" s="574"/>
      <c r="AI161" s="574"/>
      <c r="AJ161" s="574"/>
      <c r="AK161" s="574"/>
      <c r="AL161" s="574"/>
      <c r="AM161" s="574"/>
      <c r="AN161" s="574"/>
      <c r="AO161" s="574"/>
      <c r="AP161" s="574"/>
      <c r="AQ161" s="574"/>
      <c r="AR161" s="574"/>
      <c r="AS161" s="574"/>
      <c r="AT161" s="574"/>
      <c r="AU161" s="574"/>
      <c r="AV161" s="574"/>
      <c r="AW161" s="574"/>
      <c r="AX161" s="574"/>
    </row>
    <row r="162" spans="1:50" x14ac:dyDescent="0.15">
      <c r="A162" s="574"/>
      <c r="B162" s="574"/>
      <c r="C162" s="574"/>
      <c r="D162" s="574"/>
      <c r="E162" s="574"/>
      <c r="F162" s="574"/>
      <c r="G162" s="574"/>
      <c r="H162" s="574"/>
      <c r="I162" s="574"/>
      <c r="J162" s="574"/>
      <c r="K162" s="574"/>
      <c r="L162" s="574"/>
      <c r="M162" s="574"/>
      <c r="N162" s="574"/>
      <c r="O162" s="574"/>
      <c r="P162" s="574"/>
      <c r="Q162" s="574"/>
      <c r="R162" s="574"/>
      <c r="S162" s="574"/>
      <c r="T162" s="574"/>
      <c r="U162" s="574"/>
      <c r="V162" s="574"/>
      <c r="W162" s="574"/>
      <c r="X162" s="574"/>
      <c r="Y162" s="574"/>
      <c r="Z162" s="574"/>
      <c r="AA162" s="574"/>
      <c r="AB162" s="574"/>
      <c r="AC162" s="574"/>
      <c r="AD162" s="574"/>
      <c r="AE162" s="574"/>
      <c r="AF162" s="574"/>
      <c r="AG162" s="574"/>
      <c r="AH162" s="574"/>
      <c r="AI162" s="574"/>
      <c r="AJ162" s="574"/>
      <c r="AK162" s="574"/>
      <c r="AL162" s="574"/>
      <c r="AM162" s="574"/>
      <c r="AN162" s="574"/>
      <c r="AO162" s="574"/>
      <c r="AP162" s="574"/>
      <c r="AQ162" s="574"/>
      <c r="AR162" s="574"/>
      <c r="AS162" s="574"/>
      <c r="AT162" s="574"/>
      <c r="AU162" s="574"/>
      <c r="AV162" s="574"/>
      <c r="AW162" s="574"/>
      <c r="AX162" s="574"/>
    </row>
    <row r="163" spans="1:50" x14ac:dyDescent="0.15">
      <c r="A163" s="574"/>
      <c r="B163" s="574"/>
      <c r="C163" s="574"/>
      <c r="D163" s="574"/>
      <c r="E163" s="574"/>
      <c r="F163" s="574"/>
      <c r="G163" s="574"/>
      <c r="H163" s="574"/>
      <c r="I163" s="574"/>
      <c r="J163" s="574"/>
      <c r="K163" s="574"/>
      <c r="L163" s="574"/>
      <c r="M163" s="574"/>
      <c r="N163" s="574"/>
      <c r="O163" s="574"/>
      <c r="P163" s="574"/>
      <c r="Q163" s="574"/>
      <c r="R163" s="574"/>
      <c r="S163" s="574"/>
      <c r="T163" s="574"/>
      <c r="U163" s="574"/>
      <c r="V163" s="574"/>
      <c r="W163" s="574"/>
      <c r="X163" s="574"/>
      <c r="Y163" s="574"/>
      <c r="Z163" s="574"/>
      <c r="AA163" s="574"/>
      <c r="AB163" s="574"/>
      <c r="AC163" s="574"/>
      <c r="AD163" s="574"/>
      <c r="AE163" s="574"/>
      <c r="AF163" s="574"/>
      <c r="AG163" s="574"/>
      <c r="AH163" s="574"/>
      <c r="AI163" s="574"/>
      <c r="AJ163" s="574"/>
      <c r="AK163" s="574"/>
      <c r="AL163" s="574"/>
      <c r="AM163" s="574"/>
      <c r="AN163" s="574"/>
      <c r="AO163" s="574"/>
      <c r="AP163" s="574"/>
      <c r="AQ163" s="574"/>
      <c r="AR163" s="574"/>
      <c r="AS163" s="574"/>
      <c r="AT163" s="574"/>
      <c r="AU163" s="574"/>
      <c r="AV163" s="574"/>
      <c r="AW163" s="574"/>
      <c r="AX163" s="574"/>
    </row>
    <row r="164" spans="1:50" x14ac:dyDescent="0.15">
      <c r="A164" s="574"/>
      <c r="B164" s="574"/>
      <c r="C164" s="574"/>
      <c r="D164" s="574"/>
      <c r="E164" s="574"/>
      <c r="F164" s="574"/>
      <c r="G164" s="574"/>
      <c r="H164" s="574"/>
      <c r="I164" s="574"/>
      <c r="J164" s="574"/>
      <c r="K164" s="574"/>
      <c r="L164" s="574"/>
      <c r="M164" s="574"/>
      <c r="N164" s="574"/>
      <c r="O164" s="574"/>
      <c r="P164" s="574"/>
      <c r="Q164" s="574"/>
      <c r="R164" s="574"/>
      <c r="S164" s="574"/>
      <c r="T164" s="574"/>
      <c r="U164" s="574"/>
      <c r="V164" s="574"/>
      <c r="W164" s="574"/>
      <c r="X164" s="574"/>
      <c r="Y164" s="574"/>
      <c r="Z164" s="574"/>
      <c r="AA164" s="574"/>
      <c r="AB164" s="574"/>
      <c r="AC164" s="574"/>
      <c r="AD164" s="574"/>
      <c r="AE164" s="574"/>
      <c r="AF164" s="574"/>
      <c r="AG164" s="574"/>
      <c r="AH164" s="574"/>
      <c r="AI164" s="574"/>
      <c r="AJ164" s="574"/>
      <c r="AK164" s="574"/>
      <c r="AL164" s="574"/>
      <c r="AM164" s="574"/>
      <c r="AN164" s="574"/>
      <c r="AO164" s="574"/>
      <c r="AP164" s="574"/>
      <c r="AQ164" s="574"/>
      <c r="AR164" s="574"/>
      <c r="AS164" s="574"/>
      <c r="AT164" s="574"/>
      <c r="AU164" s="574"/>
      <c r="AV164" s="574"/>
      <c r="AW164" s="574"/>
      <c r="AX164" s="574"/>
    </row>
    <row r="165" spans="1:50" x14ac:dyDescent="0.15">
      <c r="A165" s="574"/>
      <c r="B165" s="574"/>
      <c r="C165" s="574"/>
      <c r="D165" s="574"/>
      <c r="E165" s="574"/>
      <c r="F165" s="574"/>
      <c r="G165" s="574"/>
      <c r="H165" s="574"/>
      <c r="I165" s="574"/>
      <c r="J165" s="574"/>
      <c r="K165" s="574"/>
      <c r="L165" s="574"/>
      <c r="M165" s="574"/>
      <c r="N165" s="574"/>
      <c r="O165" s="574"/>
      <c r="P165" s="574"/>
      <c r="Q165" s="574"/>
      <c r="R165" s="574"/>
      <c r="S165" s="574"/>
      <c r="T165" s="574"/>
      <c r="U165" s="574"/>
      <c r="V165" s="574"/>
      <c r="W165" s="574"/>
      <c r="X165" s="574"/>
      <c r="Y165" s="574"/>
      <c r="Z165" s="574"/>
      <c r="AA165" s="574"/>
      <c r="AB165" s="574"/>
      <c r="AC165" s="574"/>
      <c r="AD165" s="574"/>
      <c r="AE165" s="574"/>
      <c r="AF165" s="574"/>
      <c r="AG165" s="574"/>
      <c r="AH165" s="574"/>
      <c r="AI165" s="574"/>
      <c r="AJ165" s="574"/>
      <c r="AK165" s="574"/>
      <c r="AL165" s="574"/>
      <c r="AM165" s="574"/>
      <c r="AN165" s="574"/>
      <c r="AO165" s="574"/>
      <c r="AP165" s="574"/>
      <c r="AQ165" s="574"/>
      <c r="AR165" s="574"/>
      <c r="AS165" s="574"/>
      <c r="AT165" s="574"/>
      <c r="AU165" s="574"/>
      <c r="AV165" s="574"/>
      <c r="AW165" s="574"/>
      <c r="AX165" s="574"/>
    </row>
    <row r="166" spans="1:50" x14ac:dyDescent="0.15">
      <c r="A166" s="574"/>
      <c r="B166" s="574"/>
      <c r="C166" s="574"/>
      <c r="D166" s="574"/>
      <c r="E166" s="574"/>
      <c r="F166" s="574"/>
      <c r="G166" s="574"/>
      <c r="H166" s="574"/>
      <c r="I166" s="574"/>
      <c r="J166" s="574"/>
      <c r="K166" s="574"/>
      <c r="L166" s="574"/>
      <c r="M166" s="574"/>
      <c r="N166" s="574"/>
      <c r="O166" s="574"/>
      <c r="P166" s="574"/>
      <c r="Q166" s="574"/>
      <c r="R166" s="574"/>
      <c r="S166" s="574"/>
      <c r="T166" s="574"/>
      <c r="U166" s="574"/>
      <c r="V166" s="574"/>
      <c r="W166" s="574"/>
      <c r="X166" s="574"/>
      <c r="Y166" s="574"/>
      <c r="Z166" s="574"/>
      <c r="AA166" s="574"/>
      <c r="AB166" s="574"/>
      <c r="AC166" s="574"/>
      <c r="AD166" s="574"/>
      <c r="AE166" s="574"/>
      <c r="AF166" s="574"/>
      <c r="AG166" s="574"/>
      <c r="AH166" s="574"/>
      <c r="AI166" s="574"/>
      <c r="AJ166" s="574"/>
      <c r="AK166" s="574"/>
      <c r="AL166" s="574"/>
      <c r="AM166" s="574"/>
      <c r="AN166" s="574"/>
      <c r="AO166" s="574"/>
      <c r="AP166" s="574"/>
      <c r="AQ166" s="574"/>
      <c r="AR166" s="574"/>
      <c r="AS166" s="574"/>
      <c r="AT166" s="574"/>
      <c r="AU166" s="574"/>
      <c r="AV166" s="574"/>
      <c r="AW166" s="574"/>
      <c r="AX166" s="574"/>
    </row>
    <row r="167" spans="1:50" x14ac:dyDescent="0.15">
      <c r="A167" s="574"/>
      <c r="B167" s="574"/>
      <c r="C167" s="574"/>
      <c r="D167" s="574"/>
      <c r="E167" s="574"/>
      <c r="F167" s="574"/>
      <c r="G167" s="574"/>
      <c r="H167" s="574"/>
      <c r="I167" s="574"/>
      <c r="J167" s="574"/>
      <c r="K167" s="574"/>
      <c r="L167" s="574"/>
      <c r="M167" s="574"/>
      <c r="N167" s="574"/>
      <c r="O167" s="574"/>
      <c r="P167" s="574"/>
      <c r="Q167" s="574"/>
      <c r="R167" s="574"/>
      <c r="S167" s="574"/>
      <c r="T167" s="574"/>
      <c r="U167" s="574"/>
      <c r="V167" s="574"/>
      <c r="W167" s="574"/>
      <c r="X167" s="574"/>
      <c r="Y167" s="574"/>
      <c r="Z167" s="574"/>
      <c r="AA167" s="574"/>
      <c r="AB167" s="574"/>
      <c r="AC167" s="574"/>
      <c r="AD167" s="574"/>
      <c r="AE167" s="574"/>
      <c r="AF167" s="574"/>
      <c r="AG167" s="574"/>
      <c r="AH167" s="574"/>
      <c r="AI167" s="574"/>
      <c r="AJ167" s="574"/>
      <c r="AK167" s="574"/>
      <c r="AL167" s="574"/>
      <c r="AM167" s="574"/>
      <c r="AN167" s="574"/>
      <c r="AO167" s="574"/>
      <c r="AP167" s="574"/>
      <c r="AQ167" s="574"/>
      <c r="AR167" s="574"/>
      <c r="AS167" s="574"/>
      <c r="AT167" s="574"/>
      <c r="AU167" s="574"/>
      <c r="AV167" s="574"/>
      <c r="AW167" s="574"/>
      <c r="AX167" s="574"/>
    </row>
    <row r="168" spans="1:50" x14ac:dyDescent="0.15">
      <c r="A168" s="574"/>
      <c r="B168" s="574"/>
      <c r="C168" s="574"/>
      <c r="D168" s="574"/>
      <c r="E168" s="574"/>
      <c r="F168" s="574"/>
      <c r="G168" s="574"/>
      <c r="H168" s="574"/>
      <c r="I168" s="574"/>
      <c r="J168" s="574"/>
      <c r="K168" s="574"/>
      <c r="L168" s="574"/>
      <c r="M168" s="574"/>
      <c r="N168" s="574"/>
      <c r="O168" s="574"/>
      <c r="P168" s="574"/>
      <c r="Q168" s="574"/>
      <c r="R168" s="574"/>
      <c r="S168" s="574"/>
      <c r="T168" s="574"/>
      <c r="U168" s="574"/>
      <c r="V168" s="574"/>
      <c r="W168" s="574"/>
      <c r="X168" s="574"/>
      <c r="Y168" s="574"/>
      <c r="Z168" s="574"/>
      <c r="AA168" s="574"/>
      <c r="AB168" s="574"/>
      <c r="AC168" s="574"/>
      <c r="AD168" s="574"/>
      <c r="AE168" s="574"/>
      <c r="AF168" s="574"/>
      <c r="AG168" s="574"/>
      <c r="AH168" s="574"/>
      <c r="AI168" s="574"/>
      <c r="AJ168" s="574"/>
      <c r="AK168" s="574"/>
      <c r="AL168" s="574"/>
      <c r="AM168" s="574"/>
      <c r="AN168" s="574"/>
      <c r="AO168" s="574"/>
      <c r="AP168" s="574"/>
      <c r="AQ168" s="574"/>
      <c r="AR168" s="574"/>
      <c r="AS168" s="574"/>
      <c r="AT168" s="574"/>
      <c r="AU168" s="574"/>
      <c r="AV168" s="574"/>
      <c r="AW168" s="574"/>
      <c r="AX168" s="574"/>
    </row>
    <row r="169" spans="1:50" x14ac:dyDescent="0.15">
      <c r="A169" s="574"/>
      <c r="B169" s="574"/>
      <c r="C169" s="574"/>
      <c r="D169" s="574"/>
      <c r="E169" s="574"/>
      <c r="F169" s="574"/>
      <c r="G169" s="574"/>
      <c r="H169" s="574"/>
      <c r="I169" s="574"/>
      <c r="J169" s="574"/>
      <c r="K169" s="574"/>
      <c r="L169" s="574"/>
      <c r="M169" s="574"/>
      <c r="N169" s="574"/>
      <c r="O169" s="574"/>
      <c r="P169" s="574"/>
      <c r="Q169" s="574"/>
      <c r="R169" s="574"/>
      <c r="S169" s="574"/>
      <c r="T169" s="574"/>
      <c r="U169" s="574"/>
      <c r="V169" s="574"/>
      <c r="W169" s="574"/>
      <c r="X169" s="574"/>
      <c r="Y169" s="574"/>
      <c r="Z169" s="574"/>
      <c r="AA169" s="574"/>
      <c r="AB169" s="574"/>
      <c r="AC169" s="574"/>
      <c r="AD169" s="574"/>
      <c r="AE169" s="574"/>
      <c r="AF169" s="574"/>
      <c r="AG169" s="574"/>
      <c r="AH169" s="574"/>
      <c r="AI169" s="574"/>
      <c r="AJ169" s="574"/>
      <c r="AK169" s="574"/>
      <c r="AL169" s="574"/>
      <c r="AM169" s="574"/>
      <c r="AN169" s="574"/>
      <c r="AO169" s="574"/>
      <c r="AP169" s="574"/>
      <c r="AQ169" s="574"/>
      <c r="AR169" s="574"/>
      <c r="AS169" s="574"/>
      <c r="AT169" s="574"/>
      <c r="AU169" s="574"/>
      <c r="AV169" s="574"/>
      <c r="AW169" s="574"/>
      <c r="AX169" s="574"/>
    </row>
    <row r="170" spans="1:50" x14ac:dyDescent="0.15">
      <c r="A170" s="574"/>
      <c r="B170" s="574"/>
      <c r="C170" s="574"/>
      <c r="D170" s="574"/>
      <c r="E170" s="574"/>
      <c r="F170" s="574"/>
      <c r="G170" s="574"/>
      <c r="H170" s="574"/>
      <c r="I170" s="574"/>
      <c r="J170" s="574"/>
      <c r="K170" s="574"/>
      <c r="L170" s="574"/>
      <c r="M170" s="574"/>
      <c r="N170" s="574"/>
      <c r="O170" s="574"/>
      <c r="P170" s="574"/>
      <c r="Q170" s="574"/>
      <c r="R170" s="574"/>
      <c r="S170" s="574"/>
      <c r="T170" s="574"/>
      <c r="U170" s="574"/>
      <c r="V170" s="574"/>
      <c r="W170" s="574"/>
      <c r="X170" s="574"/>
      <c r="Y170" s="574"/>
      <c r="Z170" s="574"/>
      <c r="AA170" s="574"/>
      <c r="AB170" s="574"/>
      <c r="AC170" s="574"/>
      <c r="AD170" s="574"/>
      <c r="AE170" s="574"/>
      <c r="AF170" s="574"/>
      <c r="AG170" s="574"/>
      <c r="AH170" s="574"/>
      <c r="AI170" s="574"/>
      <c r="AJ170" s="574"/>
      <c r="AK170" s="574"/>
      <c r="AL170" s="574"/>
      <c r="AM170" s="574"/>
      <c r="AN170" s="574"/>
      <c r="AO170" s="574"/>
      <c r="AP170" s="574"/>
      <c r="AQ170" s="574"/>
      <c r="AR170" s="574"/>
      <c r="AS170" s="574"/>
      <c r="AT170" s="574"/>
      <c r="AU170" s="574"/>
      <c r="AV170" s="574"/>
      <c r="AW170" s="574"/>
      <c r="AX170" s="574"/>
    </row>
    <row r="171" spans="1:50" x14ac:dyDescent="0.15">
      <c r="A171" s="574"/>
      <c r="B171" s="574"/>
      <c r="C171" s="574"/>
      <c r="D171" s="574"/>
      <c r="E171" s="574"/>
      <c r="F171" s="574"/>
      <c r="G171" s="574"/>
      <c r="H171" s="574"/>
      <c r="I171" s="574"/>
      <c r="J171" s="574"/>
      <c r="K171" s="574"/>
      <c r="L171" s="574"/>
      <c r="M171" s="574"/>
      <c r="N171" s="574"/>
      <c r="O171" s="574"/>
      <c r="P171" s="574"/>
      <c r="Q171" s="574"/>
      <c r="R171" s="574"/>
      <c r="S171" s="574"/>
      <c r="T171" s="574"/>
      <c r="U171" s="574"/>
      <c r="V171" s="574"/>
      <c r="W171" s="574"/>
      <c r="X171" s="574"/>
      <c r="Y171" s="574"/>
      <c r="Z171" s="574"/>
      <c r="AA171" s="574"/>
      <c r="AB171" s="574"/>
      <c r="AC171" s="574"/>
      <c r="AD171" s="574"/>
      <c r="AE171" s="574"/>
      <c r="AF171" s="574"/>
      <c r="AG171" s="574"/>
      <c r="AH171" s="574"/>
      <c r="AI171" s="574"/>
      <c r="AJ171" s="574"/>
      <c r="AK171" s="574"/>
      <c r="AL171" s="574"/>
      <c r="AM171" s="574"/>
      <c r="AN171" s="574"/>
      <c r="AO171" s="574"/>
      <c r="AP171" s="574"/>
      <c r="AQ171" s="574"/>
      <c r="AR171" s="574"/>
      <c r="AS171" s="574"/>
      <c r="AT171" s="574"/>
      <c r="AU171" s="574"/>
      <c r="AV171" s="574"/>
      <c r="AW171" s="574"/>
      <c r="AX171" s="574"/>
    </row>
    <row r="172" spans="1:50" x14ac:dyDescent="0.15">
      <c r="A172" s="574"/>
      <c r="B172" s="574"/>
      <c r="C172" s="574"/>
      <c r="D172" s="574"/>
      <c r="E172" s="574"/>
      <c r="F172" s="574"/>
      <c r="G172" s="574"/>
      <c r="H172" s="574"/>
      <c r="I172" s="574"/>
      <c r="J172" s="574"/>
      <c r="K172" s="574"/>
      <c r="L172" s="574"/>
      <c r="M172" s="574"/>
      <c r="N172" s="574"/>
      <c r="O172" s="574"/>
      <c r="P172" s="574"/>
      <c r="Q172" s="574"/>
      <c r="R172" s="574"/>
      <c r="S172" s="574"/>
      <c r="T172" s="574"/>
      <c r="U172" s="574"/>
      <c r="V172" s="574"/>
      <c r="W172" s="574"/>
      <c r="X172" s="574"/>
      <c r="Y172" s="574"/>
      <c r="Z172" s="574"/>
      <c r="AA172" s="574"/>
      <c r="AB172" s="574"/>
      <c r="AC172" s="574"/>
      <c r="AD172" s="574"/>
      <c r="AE172" s="574"/>
      <c r="AF172" s="574"/>
      <c r="AG172" s="574"/>
      <c r="AH172" s="574"/>
      <c r="AI172" s="574"/>
      <c r="AJ172" s="574"/>
      <c r="AK172" s="574"/>
      <c r="AL172" s="574"/>
      <c r="AM172" s="574"/>
      <c r="AN172" s="574"/>
      <c r="AO172" s="574"/>
      <c r="AP172" s="574"/>
      <c r="AQ172" s="574"/>
      <c r="AR172" s="574"/>
      <c r="AS172" s="574"/>
      <c r="AT172" s="574"/>
      <c r="AU172" s="574"/>
      <c r="AV172" s="574"/>
      <c r="AW172" s="574"/>
      <c r="AX172" s="574"/>
    </row>
    <row r="173" spans="1:50" x14ac:dyDescent="0.15">
      <c r="A173" s="574"/>
      <c r="B173" s="574"/>
      <c r="C173" s="574"/>
      <c r="D173" s="574"/>
      <c r="E173" s="574"/>
      <c r="F173" s="574"/>
      <c r="G173" s="574"/>
      <c r="H173" s="574"/>
      <c r="I173" s="574"/>
      <c r="J173" s="574"/>
      <c r="K173" s="574"/>
      <c r="L173" s="574"/>
      <c r="M173" s="574"/>
      <c r="N173" s="574"/>
      <c r="O173" s="574"/>
      <c r="P173" s="574"/>
      <c r="Q173" s="574"/>
      <c r="R173" s="574"/>
      <c r="S173" s="574"/>
      <c r="T173" s="574"/>
      <c r="U173" s="574"/>
      <c r="V173" s="574"/>
      <c r="W173" s="574"/>
      <c r="X173" s="574"/>
      <c r="Y173" s="574"/>
      <c r="Z173" s="574"/>
      <c r="AA173" s="574"/>
      <c r="AB173" s="574"/>
      <c r="AC173" s="574"/>
      <c r="AD173" s="574"/>
      <c r="AE173" s="574"/>
      <c r="AF173" s="574"/>
      <c r="AG173" s="574"/>
      <c r="AH173" s="574"/>
      <c r="AI173" s="574"/>
      <c r="AJ173" s="574"/>
      <c r="AK173" s="574"/>
      <c r="AL173" s="574"/>
      <c r="AM173" s="574"/>
      <c r="AN173" s="574"/>
      <c r="AO173" s="574"/>
      <c r="AP173" s="574"/>
      <c r="AQ173" s="574"/>
      <c r="AR173" s="574"/>
      <c r="AS173" s="574"/>
      <c r="AT173" s="574"/>
      <c r="AU173" s="574"/>
      <c r="AV173" s="574"/>
      <c r="AW173" s="574"/>
      <c r="AX173" s="574"/>
    </row>
    <row r="174" spans="1:50" x14ac:dyDescent="0.15">
      <c r="A174" s="574"/>
      <c r="B174" s="574"/>
      <c r="C174" s="574"/>
      <c r="D174" s="574"/>
      <c r="E174" s="574"/>
      <c r="F174" s="574"/>
      <c r="G174" s="574"/>
      <c r="H174" s="574"/>
      <c r="I174" s="574"/>
      <c r="J174" s="574"/>
      <c r="K174" s="574"/>
      <c r="L174" s="574"/>
      <c r="M174" s="574"/>
      <c r="N174" s="574"/>
      <c r="O174" s="574"/>
      <c r="P174" s="574"/>
      <c r="Q174" s="574"/>
      <c r="R174" s="574"/>
      <c r="S174" s="574"/>
      <c r="T174" s="574"/>
      <c r="U174" s="574"/>
      <c r="V174" s="574"/>
      <c r="W174" s="574"/>
      <c r="X174" s="574"/>
      <c r="Y174" s="574"/>
      <c r="Z174" s="574"/>
      <c r="AA174" s="574"/>
      <c r="AB174" s="574"/>
      <c r="AC174" s="574"/>
      <c r="AD174" s="574"/>
      <c r="AE174" s="574"/>
      <c r="AF174" s="574"/>
      <c r="AG174" s="574"/>
      <c r="AH174" s="574"/>
      <c r="AI174" s="574"/>
      <c r="AJ174" s="574"/>
      <c r="AK174" s="574"/>
      <c r="AL174" s="574"/>
      <c r="AM174" s="574"/>
      <c r="AN174" s="574"/>
      <c r="AO174" s="574"/>
      <c r="AP174" s="574"/>
      <c r="AQ174" s="574"/>
      <c r="AR174" s="574"/>
      <c r="AS174" s="574"/>
      <c r="AT174" s="574"/>
      <c r="AU174" s="574"/>
      <c r="AV174" s="574"/>
      <c r="AW174" s="574"/>
      <c r="AX174" s="574"/>
    </row>
    <row r="175" spans="1:50" x14ac:dyDescent="0.15">
      <c r="A175" s="574"/>
      <c r="B175" s="574"/>
      <c r="C175" s="574"/>
      <c r="D175" s="574"/>
      <c r="E175" s="574"/>
      <c r="F175" s="574"/>
      <c r="G175" s="574"/>
      <c r="H175" s="574"/>
      <c r="I175" s="574"/>
      <c r="J175" s="574"/>
      <c r="K175" s="574"/>
      <c r="L175" s="574"/>
      <c r="M175" s="574"/>
      <c r="N175" s="574"/>
      <c r="O175" s="574"/>
      <c r="P175" s="574"/>
      <c r="Q175" s="574"/>
      <c r="R175" s="574"/>
      <c r="S175" s="574"/>
      <c r="T175" s="574"/>
      <c r="U175" s="574"/>
      <c r="V175" s="574"/>
      <c r="W175" s="574"/>
      <c r="X175" s="574"/>
      <c r="Y175" s="574"/>
      <c r="Z175" s="574"/>
      <c r="AA175" s="574"/>
      <c r="AB175" s="574"/>
      <c r="AC175" s="574"/>
      <c r="AD175" s="574"/>
      <c r="AE175" s="574"/>
      <c r="AF175" s="574"/>
      <c r="AG175" s="574"/>
      <c r="AH175" s="574"/>
      <c r="AI175" s="574"/>
      <c r="AJ175" s="574"/>
      <c r="AK175" s="574"/>
      <c r="AL175" s="574"/>
      <c r="AM175" s="574"/>
      <c r="AN175" s="574"/>
      <c r="AO175" s="574"/>
      <c r="AP175" s="574"/>
      <c r="AQ175" s="574"/>
      <c r="AR175" s="574"/>
      <c r="AS175" s="574"/>
      <c r="AT175" s="574"/>
      <c r="AU175" s="574"/>
      <c r="AV175" s="574"/>
      <c r="AW175" s="574"/>
      <c r="AX175" s="574"/>
    </row>
    <row r="176" spans="1:50" x14ac:dyDescent="0.15">
      <c r="A176" s="574"/>
      <c r="B176" s="574"/>
      <c r="C176" s="574"/>
      <c r="D176" s="574"/>
      <c r="E176" s="574"/>
      <c r="F176" s="574"/>
      <c r="G176" s="574"/>
      <c r="H176" s="574"/>
      <c r="I176" s="574"/>
      <c r="J176" s="574"/>
      <c r="K176" s="574"/>
      <c r="L176" s="574"/>
      <c r="M176" s="574"/>
      <c r="N176" s="574"/>
      <c r="O176" s="574"/>
      <c r="P176" s="574"/>
      <c r="Q176" s="574"/>
      <c r="R176" s="574"/>
      <c r="S176" s="574"/>
      <c r="T176" s="574"/>
      <c r="U176" s="574"/>
      <c r="V176" s="574"/>
      <c r="W176" s="574"/>
      <c r="X176" s="574"/>
      <c r="Y176" s="574"/>
      <c r="Z176" s="574"/>
      <c r="AA176" s="574"/>
      <c r="AB176" s="574"/>
      <c r="AC176" s="574"/>
      <c r="AD176" s="574"/>
      <c r="AE176" s="574"/>
      <c r="AF176" s="574"/>
      <c r="AG176" s="574"/>
      <c r="AH176" s="574"/>
      <c r="AI176" s="574"/>
      <c r="AJ176" s="574"/>
      <c r="AK176" s="574"/>
      <c r="AL176" s="574"/>
      <c r="AM176" s="574"/>
      <c r="AN176" s="574"/>
      <c r="AO176" s="574"/>
      <c r="AP176" s="574"/>
      <c r="AQ176" s="574"/>
      <c r="AR176" s="574"/>
      <c r="AS176" s="574"/>
      <c r="AT176" s="574"/>
      <c r="AU176" s="574"/>
      <c r="AV176" s="574"/>
      <c r="AW176" s="574"/>
      <c r="AX176" s="574"/>
    </row>
    <row r="177" spans="1:50" x14ac:dyDescent="0.15">
      <c r="A177" s="574"/>
      <c r="B177" s="574"/>
      <c r="C177" s="574"/>
      <c r="D177" s="574"/>
      <c r="E177" s="574"/>
      <c r="F177" s="574"/>
      <c r="G177" s="574"/>
      <c r="H177" s="574"/>
      <c r="I177" s="574"/>
      <c r="J177" s="574"/>
      <c r="K177" s="574"/>
      <c r="L177" s="574"/>
      <c r="M177" s="574"/>
      <c r="N177" s="574"/>
      <c r="O177" s="574"/>
      <c r="P177" s="574"/>
      <c r="Q177" s="574"/>
      <c r="R177" s="574"/>
      <c r="S177" s="574"/>
      <c r="T177" s="574"/>
      <c r="U177" s="574"/>
      <c r="V177" s="574"/>
      <c r="W177" s="574"/>
      <c r="X177" s="574"/>
      <c r="Y177" s="574"/>
      <c r="Z177" s="574"/>
      <c r="AA177" s="574"/>
      <c r="AB177" s="574"/>
      <c r="AC177" s="574"/>
      <c r="AD177" s="574"/>
      <c r="AE177" s="574"/>
      <c r="AF177" s="574"/>
      <c r="AG177" s="574"/>
      <c r="AH177" s="574"/>
      <c r="AI177" s="574"/>
      <c r="AJ177" s="574"/>
      <c r="AK177" s="574"/>
      <c r="AL177" s="574"/>
      <c r="AM177" s="574"/>
      <c r="AN177" s="574"/>
      <c r="AO177" s="574"/>
      <c r="AP177" s="574"/>
      <c r="AQ177" s="574"/>
      <c r="AR177" s="574"/>
      <c r="AS177" s="574"/>
      <c r="AT177" s="574"/>
      <c r="AU177" s="574"/>
      <c r="AV177" s="574"/>
      <c r="AW177" s="574"/>
      <c r="AX177" s="574"/>
    </row>
    <row r="178" spans="1:50" x14ac:dyDescent="0.15">
      <c r="A178" s="574"/>
      <c r="B178" s="574"/>
      <c r="C178" s="574"/>
      <c r="D178" s="574"/>
      <c r="E178" s="574"/>
      <c r="F178" s="574"/>
      <c r="G178" s="574"/>
      <c r="H178" s="574"/>
      <c r="I178" s="574"/>
      <c r="J178" s="574"/>
      <c r="K178" s="574"/>
      <c r="L178" s="574"/>
      <c r="M178" s="574"/>
      <c r="N178" s="574"/>
      <c r="O178" s="574"/>
      <c r="P178" s="574"/>
      <c r="Q178" s="574"/>
      <c r="R178" s="574"/>
      <c r="S178" s="574"/>
      <c r="T178" s="574"/>
      <c r="U178" s="574"/>
      <c r="V178" s="574"/>
      <c r="W178" s="574"/>
      <c r="X178" s="574"/>
      <c r="Y178" s="574"/>
      <c r="Z178" s="574"/>
      <c r="AA178" s="574"/>
      <c r="AB178" s="574"/>
      <c r="AC178" s="574"/>
      <c r="AD178" s="574"/>
      <c r="AE178" s="574"/>
      <c r="AF178" s="574"/>
      <c r="AG178" s="574"/>
      <c r="AH178" s="574"/>
      <c r="AI178" s="574"/>
      <c r="AJ178" s="574"/>
      <c r="AK178" s="574"/>
      <c r="AL178" s="574"/>
      <c r="AM178" s="574"/>
      <c r="AN178" s="574"/>
      <c r="AO178" s="574"/>
      <c r="AP178" s="574"/>
      <c r="AQ178" s="574"/>
      <c r="AR178" s="574"/>
      <c r="AS178" s="574"/>
      <c r="AT178" s="574"/>
      <c r="AU178" s="574"/>
      <c r="AV178" s="574"/>
      <c r="AW178" s="574"/>
      <c r="AX178" s="574"/>
    </row>
    <row r="179" spans="1:50" x14ac:dyDescent="0.15">
      <c r="A179" s="574"/>
      <c r="B179" s="574"/>
      <c r="C179" s="574"/>
      <c r="D179" s="574"/>
      <c r="E179" s="574"/>
      <c r="F179" s="574"/>
      <c r="G179" s="574"/>
      <c r="H179" s="574"/>
      <c r="I179" s="574"/>
      <c r="J179" s="574"/>
      <c r="K179" s="574"/>
      <c r="L179" s="574"/>
      <c r="M179" s="574"/>
      <c r="N179" s="574"/>
      <c r="O179" s="574"/>
      <c r="P179" s="574"/>
      <c r="Q179" s="574"/>
      <c r="R179" s="574"/>
      <c r="S179" s="574"/>
      <c r="T179" s="574"/>
      <c r="U179" s="574"/>
      <c r="V179" s="574"/>
      <c r="W179" s="574"/>
      <c r="X179" s="574"/>
      <c r="Y179" s="574"/>
      <c r="Z179" s="574"/>
      <c r="AA179" s="574"/>
      <c r="AB179" s="574"/>
      <c r="AC179" s="574"/>
      <c r="AD179" s="574"/>
      <c r="AE179" s="574"/>
      <c r="AF179" s="574"/>
      <c r="AG179" s="574"/>
      <c r="AH179" s="574"/>
      <c r="AI179" s="574"/>
      <c r="AJ179" s="574"/>
      <c r="AK179" s="574"/>
      <c r="AL179" s="574"/>
      <c r="AM179" s="574"/>
      <c r="AN179" s="574"/>
      <c r="AO179" s="574"/>
      <c r="AP179" s="574"/>
      <c r="AQ179" s="574"/>
      <c r="AR179" s="574"/>
      <c r="AS179" s="574"/>
      <c r="AT179" s="574"/>
      <c r="AU179" s="574"/>
      <c r="AV179" s="574"/>
      <c r="AW179" s="574"/>
      <c r="AX179" s="574"/>
    </row>
    <row r="180" spans="1:50" x14ac:dyDescent="0.15">
      <c r="A180" s="574"/>
      <c r="B180" s="574"/>
      <c r="C180" s="574"/>
      <c r="D180" s="574"/>
      <c r="E180" s="574"/>
      <c r="F180" s="574"/>
      <c r="G180" s="574"/>
      <c r="H180" s="574"/>
      <c r="I180" s="574"/>
      <c r="J180" s="574"/>
      <c r="K180" s="574"/>
      <c r="L180" s="574"/>
      <c r="M180" s="574"/>
      <c r="N180" s="574"/>
      <c r="O180" s="574"/>
      <c r="P180" s="574"/>
      <c r="Q180" s="574"/>
      <c r="R180" s="574"/>
      <c r="S180" s="574"/>
      <c r="T180" s="574"/>
      <c r="U180" s="574"/>
      <c r="V180" s="574"/>
      <c r="W180" s="574"/>
      <c r="X180" s="574"/>
      <c r="Y180" s="574"/>
      <c r="Z180" s="574"/>
      <c r="AA180" s="574"/>
      <c r="AB180" s="574"/>
      <c r="AC180" s="574"/>
      <c r="AD180" s="574"/>
      <c r="AE180" s="574"/>
      <c r="AF180" s="574"/>
      <c r="AG180" s="574"/>
      <c r="AH180" s="574"/>
      <c r="AI180" s="574"/>
      <c r="AJ180" s="574"/>
      <c r="AK180" s="574"/>
      <c r="AL180" s="574"/>
      <c r="AM180" s="574"/>
      <c r="AN180" s="574"/>
      <c r="AO180" s="574"/>
      <c r="AP180" s="574"/>
      <c r="AQ180" s="574"/>
      <c r="AR180" s="574"/>
      <c r="AS180" s="574"/>
      <c r="AT180" s="574"/>
      <c r="AU180" s="574"/>
      <c r="AV180" s="574"/>
      <c r="AW180" s="574"/>
      <c r="AX180" s="574"/>
    </row>
    <row r="181" spans="1:50" x14ac:dyDescent="0.15">
      <c r="A181" s="574"/>
      <c r="B181" s="574"/>
      <c r="C181" s="574"/>
      <c r="D181" s="574"/>
      <c r="E181" s="574"/>
      <c r="F181" s="574"/>
      <c r="G181" s="574"/>
      <c r="H181" s="574"/>
      <c r="I181" s="574"/>
      <c r="J181" s="574"/>
      <c r="K181" s="574"/>
      <c r="L181" s="574"/>
      <c r="M181" s="574"/>
      <c r="N181" s="574"/>
      <c r="O181" s="574"/>
      <c r="P181" s="574"/>
      <c r="Q181" s="574"/>
      <c r="R181" s="574"/>
      <c r="S181" s="574"/>
      <c r="T181" s="574"/>
      <c r="U181" s="574"/>
      <c r="V181" s="574"/>
      <c r="W181" s="574"/>
      <c r="X181" s="574"/>
      <c r="Y181" s="574"/>
      <c r="Z181" s="574"/>
      <c r="AA181" s="574"/>
      <c r="AB181" s="574"/>
      <c r="AC181" s="574"/>
      <c r="AD181" s="574"/>
      <c r="AE181" s="574"/>
      <c r="AF181" s="574"/>
      <c r="AG181" s="574"/>
      <c r="AH181" s="574"/>
      <c r="AI181" s="574"/>
      <c r="AJ181" s="574"/>
      <c r="AK181" s="574"/>
      <c r="AL181" s="574"/>
      <c r="AM181" s="574"/>
      <c r="AN181" s="574"/>
      <c r="AO181" s="574"/>
      <c r="AP181" s="574"/>
      <c r="AQ181" s="574"/>
      <c r="AR181" s="574"/>
      <c r="AS181" s="574"/>
      <c r="AT181" s="574"/>
      <c r="AU181" s="574"/>
      <c r="AV181" s="574"/>
      <c r="AW181" s="574"/>
      <c r="AX181" s="574"/>
    </row>
    <row r="182" spans="1:50" x14ac:dyDescent="0.15">
      <c r="A182" s="574"/>
      <c r="B182" s="574"/>
      <c r="C182" s="574"/>
      <c r="D182" s="574"/>
      <c r="E182" s="574"/>
      <c r="F182" s="574"/>
      <c r="G182" s="574"/>
      <c r="H182" s="574"/>
      <c r="I182" s="574"/>
      <c r="J182" s="574"/>
      <c r="K182" s="574"/>
      <c r="L182" s="574"/>
      <c r="M182" s="574"/>
      <c r="N182" s="574"/>
      <c r="O182" s="574"/>
      <c r="P182" s="574"/>
      <c r="Q182" s="574"/>
      <c r="R182" s="574"/>
      <c r="S182" s="574"/>
      <c r="T182" s="574"/>
      <c r="U182" s="574"/>
      <c r="V182" s="574"/>
      <c r="W182" s="574"/>
      <c r="X182" s="574"/>
      <c r="Y182" s="574"/>
      <c r="Z182" s="574"/>
      <c r="AA182" s="574"/>
      <c r="AB182" s="574"/>
      <c r="AC182" s="574"/>
      <c r="AD182" s="574"/>
      <c r="AE182" s="574"/>
      <c r="AF182" s="574"/>
      <c r="AG182" s="574"/>
      <c r="AH182" s="574"/>
      <c r="AI182" s="574"/>
      <c r="AJ182" s="574"/>
      <c r="AK182" s="574"/>
      <c r="AL182" s="574"/>
      <c r="AM182" s="574"/>
      <c r="AN182" s="574"/>
      <c r="AO182" s="574"/>
      <c r="AP182" s="574"/>
      <c r="AQ182" s="574"/>
      <c r="AR182" s="574"/>
      <c r="AS182" s="574"/>
      <c r="AT182" s="574"/>
      <c r="AU182" s="574"/>
      <c r="AV182" s="574"/>
      <c r="AW182" s="574"/>
      <c r="AX182" s="574"/>
    </row>
    <row r="183" spans="1:50" x14ac:dyDescent="0.15">
      <c r="A183" s="574"/>
      <c r="B183" s="574"/>
      <c r="C183" s="574"/>
      <c r="D183" s="574"/>
      <c r="E183" s="574"/>
      <c r="F183" s="574"/>
      <c r="G183" s="574"/>
      <c r="H183" s="574"/>
      <c r="I183" s="574"/>
      <c r="J183" s="574"/>
      <c r="K183" s="574"/>
      <c r="L183" s="574"/>
      <c r="M183" s="574"/>
      <c r="N183" s="574"/>
      <c r="O183" s="574"/>
      <c r="P183" s="574"/>
      <c r="Q183" s="574"/>
      <c r="R183" s="574"/>
      <c r="S183" s="574"/>
      <c r="T183" s="574"/>
      <c r="U183" s="574"/>
      <c r="V183" s="574"/>
      <c r="W183" s="574"/>
      <c r="X183" s="574"/>
      <c r="Y183" s="574"/>
      <c r="Z183" s="574"/>
      <c r="AA183" s="574"/>
      <c r="AB183" s="574"/>
      <c r="AC183" s="574"/>
      <c r="AD183" s="574"/>
      <c r="AE183" s="574"/>
      <c r="AF183" s="574"/>
      <c r="AG183" s="574"/>
      <c r="AH183" s="574"/>
      <c r="AI183" s="574"/>
      <c r="AJ183" s="574"/>
      <c r="AK183" s="574"/>
      <c r="AL183" s="574"/>
      <c r="AM183" s="574"/>
      <c r="AN183" s="574"/>
      <c r="AO183" s="574"/>
      <c r="AP183" s="574"/>
      <c r="AQ183" s="574"/>
      <c r="AR183" s="574"/>
      <c r="AS183" s="574"/>
      <c r="AT183" s="574"/>
      <c r="AU183" s="574"/>
      <c r="AV183" s="574"/>
      <c r="AW183" s="574"/>
      <c r="AX183" s="574"/>
    </row>
    <row r="184" spans="1:50" x14ac:dyDescent="0.15">
      <c r="A184" s="574"/>
      <c r="B184" s="574"/>
      <c r="C184" s="574"/>
      <c r="D184" s="574"/>
      <c r="E184" s="574"/>
      <c r="F184" s="574"/>
      <c r="G184" s="574"/>
      <c r="H184" s="574"/>
      <c r="I184" s="574"/>
      <c r="J184" s="574"/>
      <c r="K184" s="574"/>
      <c r="L184" s="574"/>
      <c r="M184" s="574"/>
      <c r="N184" s="574"/>
      <c r="O184" s="574"/>
      <c r="P184" s="574"/>
      <c r="Q184" s="574"/>
      <c r="R184" s="574"/>
      <c r="S184" s="574"/>
      <c r="T184" s="574"/>
      <c r="U184" s="574"/>
      <c r="V184" s="574"/>
      <c r="W184" s="574"/>
      <c r="X184" s="574"/>
      <c r="Y184" s="574"/>
      <c r="Z184" s="574"/>
      <c r="AA184" s="574"/>
      <c r="AB184" s="574"/>
      <c r="AC184" s="574"/>
      <c r="AD184" s="574"/>
      <c r="AE184" s="574"/>
      <c r="AF184" s="574"/>
      <c r="AG184" s="574"/>
      <c r="AH184" s="574"/>
      <c r="AI184" s="574"/>
      <c r="AJ184" s="574"/>
      <c r="AK184" s="574"/>
      <c r="AL184" s="574"/>
      <c r="AM184" s="574"/>
      <c r="AN184" s="574"/>
      <c r="AO184" s="574"/>
      <c r="AP184" s="574"/>
      <c r="AQ184" s="574"/>
      <c r="AR184" s="574"/>
      <c r="AS184" s="574"/>
      <c r="AT184" s="574"/>
      <c r="AU184" s="574"/>
      <c r="AV184" s="574"/>
      <c r="AW184" s="574"/>
      <c r="AX184" s="574"/>
    </row>
    <row r="185" spans="1:50" x14ac:dyDescent="0.15">
      <c r="A185" s="574"/>
      <c r="B185" s="574"/>
      <c r="C185" s="574"/>
      <c r="D185" s="574"/>
      <c r="E185" s="574"/>
      <c r="F185" s="574"/>
      <c r="G185" s="574"/>
      <c r="H185" s="574"/>
      <c r="I185" s="574"/>
      <c r="J185" s="574"/>
      <c r="K185" s="574"/>
      <c r="L185" s="574"/>
      <c r="M185" s="574"/>
      <c r="N185" s="574"/>
      <c r="O185" s="574"/>
      <c r="P185" s="574"/>
      <c r="Q185" s="574"/>
      <c r="R185" s="574"/>
      <c r="S185" s="574"/>
      <c r="T185" s="574"/>
      <c r="U185" s="574"/>
      <c r="V185" s="574"/>
      <c r="W185" s="574"/>
      <c r="X185" s="574"/>
      <c r="Y185" s="574"/>
      <c r="Z185" s="574"/>
      <c r="AA185" s="574"/>
      <c r="AB185" s="574"/>
      <c r="AC185" s="574"/>
      <c r="AD185" s="574"/>
      <c r="AE185" s="574"/>
      <c r="AF185" s="574"/>
      <c r="AG185" s="574"/>
      <c r="AH185" s="574"/>
      <c r="AI185" s="574"/>
      <c r="AJ185" s="574"/>
      <c r="AK185" s="574"/>
      <c r="AL185" s="574"/>
      <c r="AM185" s="574"/>
      <c r="AN185" s="574"/>
      <c r="AO185" s="574"/>
      <c r="AP185" s="574"/>
      <c r="AQ185" s="574"/>
      <c r="AR185" s="574"/>
      <c r="AS185" s="574"/>
      <c r="AT185" s="574"/>
      <c r="AU185" s="574"/>
      <c r="AV185" s="574"/>
      <c r="AW185" s="574"/>
      <c r="AX185" s="574"/>
    </row>
    <row r="186" spans="1:50" x14ac:dyDescent="0.15">
      <c r="A186" s="574"/>
      <c r="B186" s="574"/>
      <c r="C186" s="574"/>
      <c r="D186" s="574"/>
      <c r="E186" s="574"/>
      <c r="F186" s="574"/>
      <c r="G186" s="574"/>
      <c r="H186" s="574"/>
      <c r="I186" s="574"/>
      <c r="J186" s="574"/>
      <c r="K186" s="574"/>
      <c r="L186" s="574"/>
      <c r="M186" s="574"/>
      <c r="N186" s="574"/>
      <c r="O186" s="574"/>
      <c r="P186" s="574"/>
      <c r="Q186" s="574"/>
      <c r="R186" s="574"/>
      <c r="S186" s="574"/>
      <c r="T186" s="574"/>
      <c r="U186" s="574"/>
      <c r="V186" s="574"/>
      <c r="W186" s="574"/>
      <c r="X186" s="574"/>
      <c r="Y186" s="574"/>
      <c r="Z186" s="574"/>
      <c r="AA186" s="574"/>
      <c r="AB186" s="574"/>
      <c r="AC186" s="574"/>
      <c r="AD186" s="574"/>
      <c r="AE186" s="574"/>
      <c r="AF186" s="574"/>
      <c r="AG186" s="574"/>
      <c r="AH186" s="574"/>
      <c r="AI186" s="574"/>
      <c r="AJ186" s="574"/>
      <c r="AK186" s="574"/>
      <c r="AL186" s="574"/>
      <c r="AM186" s="574"/>
      <c r="AN186" s="574"/>
      <c r="AO186" s="574"/>
      <c r="AP186" s="574"/>
      <c r="AQ186" s="574"/>
      <c r="AR186" s="574"/>
      <c r="AS186" s="574"/>
      <c r="AT186" s="574"/>
      <c r="AU186" s="574"/>
      <c r="AV186" s="574"/>
      <c r="AW186" s="574"/>
      <c r="AX186" s="574"/>
    </row>
  </sheetData>
  <sheetProtection algorithmName="SHA-512" hashValue="Kkl2rs/CRJl5dLjDmuTVptGCl65IdpkpPZ+1DGopinQmnJ0t1tK9jTPgPBleKvnkMIl1YQI4EH0ZV/lg2VMnVQ==" saltValue="nCMVrke44yYG4UxiLXk/+Q==" spinCount="100000" sheet="1" objects="1" scenarios="1"/>
  <pageMargins left="0.7" right="0.7" top="0.75" bottom="0.75" header="0.3" footer="0.3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/>
  <dimension ref="A1:M59"/>
  <sheetViews>
    <sheetView workbookViewId="0">
      <selection sqref="A1:M5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3" x14ac:dyDescent="0.15">
      <c r="A1" t="s">
        <v>722</v>
      </c>
    </row>
    <row r="2" spans="1:13" x14ac:dyDescent="0.15">
      <c r="A2" s="83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x14ac:dyDescent="0.15">
      <c r="A3" s="8" t="s">
        <v>82</v>
      </c>
      <c r="D3" s="7"/>
    </row>
    <row r="4" spans="1:13" x14ac:dyDescent="0.15">
      <c r="D4" s="7"/>
      <c r="E4" s="8" t="s">
        <v>95</v>
      </c>
    </row>
    <row r="5" spans="1:13" x14ac:dyDescent="0.15">
      <c r="A5" s="9" t="s">
        <v>83</v>
      </c>
      <c r="D5" s="7"/>
    </row>
    <row r="6" spans="1:13" x14ac:dyDescent="0.15">
      <c r="A6" s="9" t="s">
        <v>1024</v>
      </c>
      <c r="D6" s="7"/>
      <c r="E6" s="10" t="s">
        <v>1044</v>
      </c>
      <c r="F6" s="23" t="s">
        <v>591</v>
      </c>
      <c r="G6" s="23" t="s">
        <v>592</v>
      </c>
      <c r="H6" s="23" t="s">
        <v>544</v>
      </c>
      <c r="I6" s="23" t="s">
        <v>615</v>
      </c>
      <c r="J6" s="23" t="s">
        <v>595</v>
      </c>
      <c r="K6" s="23" t="s">
        <v>596</v>
      </c>
      <c r="L6" s="10" t="s">
        <v>486</v>
      </c>
      <c r="M6" s="23" t="s">
        <v>487</v>
      </c>
    </row>
    <row r="7" spans="1:13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  <c r="L7" s="14">
        <v>0.33329999999999999</v>
      </c>
      <c r="M7" s="14">
        <v>0.33329999999999999</v>
      </c>
    </row>
    <row r="8" spans="1:13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  <c r="L8" s="15">
        <v>2</v>
      </c>
      <c r="M8" s="15">
        <v>2</v>
      </c>
    </row>
    <row r="9" spans="1:13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  <c r="L9" s="14">
        <v>0.66659999999999997</v>
      </c>
      <c r="M9" s="14">
        <v>0.66659999999999997</v>
      </c>
    </row>
    <row r="10" spans="1:13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  <c r="L10" s="15">
        <v>4</v>
      </c>
      <c r="M10" s="15">
        <v>4</v>
      </c>
    </row>
    <row r="11" spans="1:13" x14ac:dyDescent="0.15">
      <c r="A11" t="s">
        <v>67</v>
      </c>
      <c r="D11" s="7"/>
      <c r="E11" s="15">
        <v>6000</v>
      </c>
      <c r="F11">
        <v>4000</v>
      </c>
      <c r="G11" s="15">
        <v>6000</v>
      </c>
      <c r="H11">
        <v>4000</v>
      </c>
      <c r="I11">
        <v>4000</v>
      </c>
      <c r="J11">
        <v>4000</v>
      </c>
      <c r="K11">
        <v>4000</v>
      </c>
      <c r="L11">
        <v>4000</v>
      </c>
      <c r="M11">
        <v>4000</v>
      </c>
    </row>
    <row r="12" spans="1:13" x14ac:dyDescent="0.15">
      <c r="A12" s="11" t="s">
        <v>84</v>
      </c>
      <c r="B12" s="11"/>
      <c r="C12" s="11"/>
      <c r="D12" s="12"/>
      <c r="E12" s="11">
        <v>12000</v>
      </c>
      <c r="F12" s="11">
        <v>12000</v>
      </c>
      <c r="G12" s="11">
        <v>12000</v>
      </c>
      <c r="H12" s="11">
        <v>4000</v>
      </c>
      <c r="I12" s="11">
        <v>12000</v>
      </c>
      <c r="J12" s="11">
        <v>12000</v>
      </c>
      <c r="K12" s="11">
        <v>12000</v>
      </c>
      <c r="L12" s="11">
        <v>12000</v>
      </c>
      <c r="M12" s="11">
        <v>12000</v>
      </c>
    </row>
    <row r="13" spans="1:13" x14ac:dyDescent="0.15">
      <c r="A13" t="s">
        <v>71</v>
      </c>
      <c r="D13" s="7"/>
      <c r="E13">
        <v>1.8502000000000001</v>
      </c>
      <c r="F13">
        <v>2.0097</v>
      </c>
      <c r="G13">
        <v>1.9359999999999999</v>
      </c>
      <c r="H13">
        <v>2.06</v>
      </c>
      <c r="I13">
        <v>2.0800999999999998</v>
      </c>
      <c r="J13">
        <v>2.0072999999999999</v>
      </c>
      <c r="K13">
        <v>1.98</v>
      </c>
      <c r="L13">
        <v>2.0019999999999998</v>
      </c>
      <c r="M13">
        <v>1.9690000000000001</v>
      </c>
    </row>
    <row r="14" spans="1:13" x14ac:dyDescent="0.15">
      <c r="A14" t="s">
        <v>72</v>
      </c>
      <c r="D14" s="7"/>
      <c r="E14">
        <v>1.7050000000000001</v>
      </c>
      <c r="F14">
        <v>1.8996999999999999</v>
      </c>
      <c r="G14">
        <v>1.7490000000000001</v>
      </c>
      <c r="H14">
        <v>0</v>
      </c>
      <c r="I14">
        <v>1.9722999999999999</v>
      </c>
      <c r="J14">
        <v>1.8601000000000001</v>
      </c>
      <c r="K14">
        <v>1.837</v>
      </c>
      <c r="L14">
        <v>1.881</v>
      </c>
      <c r="M14">
        <v>1.837</v>
      </c>
    </row>
    <row r="15" spans="1:13" x14ac:dyDescent="0.15">
      <c r="A15" t="s">
        <v>75</v>
      </c>
      <c r="D15" s="7"/>
      <c r="E15">
        <v>1.4321999999999999</v>
      </c>
      <c r="F15">
        <v>1.4850000000000001</v>
      </c>
      <c r="G15">
        <v>1.43</v>
      </c>
      <c r="H15">
        <v>1.93</v>
      </c>
      <c r="I15">
        <v>1.5267999999999999</v>
      </c>
      <c r="J15">
        <v>1.7199</v>
      </c>
      <c r="K15">
        <v>1.419</v>
      </c>
      <c r="L15">
        <v>1.6060000000000001</v>
      </c>
      <c r="M15">
        <v>1.4930000000000001</v>
      </c>
    </row>
    <row r="16" spans="1:13" x14ac:dyDescent="0.15">
      <c r="A16" t="s">
        <v>76</v>
      </c>
      <c r="D16" s="7"/>
      <c r="E16">
        <v>1.7776000000000001</v>
      </c>
      <c r="F16">
        <v>1.8050999999999999</v>
      </c>
      <c r="G16">
        <v>1.881</v>
      </c>
      <c r="H16">
        <v>2</v>
      </c>
      <c r="I16">
        <v>1.9887999999999999</v>
      </c>
      <c r="J16">
        <v>1.9654</v>
      </c>
      <c r="K16">
        <v>1.7709999999999999</v>
      </c>
      <c r="L16">
        <v>1.903</v>
      </c>
      <c r="M16">
        <v>1.903</v>
      </c>
    </row>
    <row r="17" spans="1:13" x14ac:dyDescent="0.15">
      <c r="A17" t="s">
        <v>77</v>
      </c>
      <c r="D17" s="7"/>
      <c r="E17">
        <v>1.6566000000000001</v>
      </c>
      <c r="F17">
        <v>1.8018000000000001</v>
      </c>
      <c r="G17">
        <v>1.6445000000000001</v>
      </c>
      <c r="H17">
        <v>0</v>
      </c>
      <c r="I17">
        <v>1.9129</v>
      </c>
      <c r="J17">
        <v>1.8234999999999999</v>
      </c>
      <c r="K17">
        <v>1.738</v>
      </c>
      <c r="L17">
        <v>1.8260000000000001</v>
      </c>
      <c r="M17">
        <v>1.7929999999999999</v>
      </c>
    </row>
    <row r="18" spans="1:13" x14ac:dyDescent="0.15">
      <c r="A18" t="s">
        <v>80</v>
      </c>
      <c r="D18" s="7"/>
      <c r="E18">
        <v>1.3772</v>
      </c>
      <c r="F18">
        <v>1.3815999999999999</v>
      </c>
      <c r="G18">
        <v>1.375</v>
      </c>
      <c r="H18">
        <v>1.91</v>
      </c>
      <c r="I18">
        <v>1.4795</v>
      </c>
      <c r="J18">
        <v>1.6798999999999999</v>
      </c>
      <c r="K18">
        <v>1.353</v>
      </c>
      <c r="L18">
        <v>1.5509999999999999</v>
      </c>
      <c r="M18">
        <v>1.43</v>
      </c>
    </row>
    <row r="19" spans="1:13" x14ac:dyDescent="0.15">
      <c r="A19" t="s">
        <v>81</v>
      </c>
      <c r="D19" s="7"/>
      <c r="E19">
        <v>62.600999999999999</v>
      </c>
      <c r="F19">
        <v>59.719000000000001</v>
      </c>
      <c r="G19">
        <v>64.900000000000006</v>
      </c>
      <c r="H19">
        <v>64.28</v>
      </c>
      <c r="I19">
        <v>67.760000000000005</v>
      </c>
      <c r="J19">
        <v>65.63</v>
      </c>
      <c r="K19">
        <v>55</v>
      </c>
      <c r="L19">
        <v>60.94</v>
      </c>
      <c r="M19">
        <v>60.39</v>
      </c>
    </row>
    <row r="20" spans="1:13" x14ac:dyDescent="0.15">
      <c r="D20" s="7"/>
    </row>
    <row r="21" spans="1:13" x14ac:dyDescent="0.15">
      <c r="A21" s="9" t="s">
        <v>85</v>
      </c>
      <c r="D21" s="7"/>
    </row>
    <row r="22" spans="1:13" x14ac:dyDescent="0.15">
      <c r="A22" s="9" t="s">
        <v>488</v>
      </c>
      <c r="D22" s="7"/>
      <c r="E22" s="10" t="s">
        <v>1044</v>
      </c>
      <c r="F22" s="23" t="s">
        <v>591</v>
      </c>
      <c r="G22" s="23" t="s">
        <v>592</v>
      </c>
      <c r="H22" s="10" t="s">
        <v>544</v>
      </c>
      <c r="I22" s="10" t="s">
        <v>615</v>
      </c>
      <c r="J22" s="23" t="s">
        <v>546</v>
      </c>
      <c r="K22" s="10" t="s">
        <v>545</v>
      </c>
      <c r="L22" s="10" t="s">
        <v>486</v>
      </c>
      <c r="M22" s="10" t="s">
        <v>487</v>
      </c>
    </row>
    <row r="23" spans="1:13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  <c r="L23" s="14">
        <v>0.33329999999999999</v>
      </c>
      <c r="M23" s="14">
        <v>0.33329999999999999</v>
      </c>
    </row>
    <row r="24" spans="1:13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  <c r="L24" s="15">
        <v>2</v>
      </c>
      <c r="M24" s="15">
        <v>2</v>
      </c>
    </row>
    <row r="25" spans="1:13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  <c r="L25" s="14">
        <v>0.66659999999999997</v>
      </c>
      <c r="M25" s="14">
        <v>0.66659999999999997</v>
      </c>
    </row>
    <row r="26" spans="1:13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  <c r="L26" s="15">
        <v>4</v>
      </c>
      <c r="M26" s="15">
        <v>4</v>
      </c>
    </row>
    <row r="27" spans="1:13" x14ac:dyDescent="0.15">
      <c r="A27" t="s">
        <v>67</v>
      </c>
      <c r="D27" s="7"/>
      <c r="E27" s="15">
        <v>6000</v>
      </c>
      <c r="F27" s="15">
        <v>3200</v>
      </c>
      <c r="G27" s="15">
        <v>6000</v>
      </c>
      <c r="H27" s="15">
        <v>3200</v>
      </c>
      <c r="I27" s="15">
        <v>3200</v>
      </c>
      <c r="J27" s="15">
        <v>3200</v>
      </c>
      <c r="K27" s="15">
        <v>3200</v>
      </c>
      <c r="L27" s="15">
        <v>3200</v>
      </c>
      <c r="M27" s="15">
        <v>3200</v>
      </c>
    </row>
    <row r="28" spans="1:13" x14ac:dyDescent="0.15">
      <c r="A28" s="11" t="s">
        <v>68</v>
      </c>
      <c r="B28" s="11"/>
      <c r="C28" s="11"/>
      <c r="D28" s="12"/>
      <c r="E28" s="11">
        <v>12000</v>
      </c>
      <c r="F28" s="11">
        <v>3200</v>
      </c>
      <c r="G28" s="11">
        <v>12000</v>
      </c>
      <c r="H28" s="11">
        <v>3200</v>
      </c>
      <c r="I28" s="11">
        <v>3200</v>
      </c>
      <c r="J28" s="11">
        <v>3200</v>
      </c>
      <c r="K28" s="11">
        <v>3200</v>
      </c>
      <c r="L28" s="11">
        <v>3200</v>
      </c>
      <c r="M28" s="11">
        <v>3200</v>
      </c>
    </row>
    <row r="29" spans="1:13" x14ac:dyDescent="0.15">
      <c r="A29" t="s">
        <v>71</v>
      </c>
      <c r="D29" s="7"/>
      <c r="E29">
        <v>1.8161</v>
      </c>
      <c r="F29">
        <v>2.0746000000000002</v>
      </c>
      <c r="G29" s="47">
        <v>1.98</v>
      </c>
      <c r="H29">
        <v>2.02</v>
      </c>
      <c r="I29">
        <v>2.0625</v>
      </c>
      <c r="J29">
        <v>2.0689000000000002</v>
      </c>
      <c r="K29">
        <v>2.0019999999999998</v>
      </c>
      <c r="L29">
        <v>2.024</v>
      </c>
      <c r="M29">
        <v>1.925</v>
      </c>
    </row>
    <row r="30" spans="1:13" x14ac:dyDescent="0.15">
      <c r="A30" t="s">
        <v>72</v>
      </c>
      <c r="D30" s="7"/>
      <c r="E30">
        <v>1.5807</v>
      </c>
      <c r="F30">
        <v>0</v>
      </c>
      <c r="G30" s="47">
        <v>1.782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 x14ac:dyDescent="0.15">
      <c r="A31" t="s">
        <v>75</v>
      </c>
      <c r="D31" s="7"/>
      <c r="E31">
        <v>1.4531000000000001</v>
      </c>
      <c r="F31">
        <v>1.6983999999999999</v>
      </c>
      <c r="G31" s="47">
        <v>1.6060000000000001</v>
      </c>
      <c r="H31">
        <v>1.78</v>
      </c>
      <c r="I31">
        <v>1.8205</v>
      </c>
      <c r="J31">
        <v>1.8148</v>
      </c>
      <c r="K31">
        <v>1.639</v>
      </c>
      <c r="L31">
        <v>1.6060000000000001</v>
      </c>
      <c r="M31">
        <v>1.7270000000000001</v>
      </c>
    </row>
    <row r="32" spans="1:13" x14ac:dyDescent="0.15">
      <c r="A32" t="s">
        <v>76</v>
      </c>
      <c r="D32" s="7"/>
      <c r="E32">
        <v>1.7490000000000001</v>
      </c>
      <c r="F32">
        <v>1.8733</v>
      </c>
      <c r="G32" s="47">
        <v>1.8534999999999999</v>
      </c>
      <c r="H32">
        <v>1.94</v>
      </c>
      <c r="I32">
        <v>1.9338</v>
      </c>
      <c r="J32">
        <v>1.9973000000000001</v>
      </c>
      <c r="K32">
        <v>1.87</v>
      </c>
      <c r="L32">
        <v>1.9470000000000001</v>
      </c>
      <c r="M32">
        <v>1.8919999999999999</v>
      </c>
    </row>
    <row r="33" spans="1:13" x14ac:dyDescent="0.15">
      <c r="A33" t="s">
        <v>86</v>
      </c>
      <c r="D33" s="7"/>
      <c r="E33">
        <v>1.5367</v>
      </c>
      <c r="F33">
        <v>0</v>
      </c>
      <c r="G33" s="47">
        <v>1.639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1:13" x14ac:dyDescent="0.15">
      <c r="A34" t="s">
        <v>80</v>
      </c>
      <c r="D34" s="7"/>
      <c r="E34">
        <v>1.4101999999999999</v>
      </c>
      <c r="F34">
        <v>1.5961000000000001</v>
      </c>
      <c r="G34" s="47">
        <v>1.474</v>
      </c>
      <c r="H34">
        <v>1.73</v>
      </c>
      <c r="I34">
        <v>1.7259</v>
      </c>
      <c r="J34">
        <v>1.7674000000000001</v>
      </c>
      <c r="K34">
        <v>1.54</v>
      </c>
      <c r="L34">
        <v>1.5289999999999999</v>
      </c>
      <c r="M34">
        <v>1.65</v>
      </c>
    </row>
    <row r="35" spans="1:13" x14ac:dyDescent="0.15">
      <c r="A35" t="s">
        <v>81</v>
      </c>
      <c r="D35" s="7"/>
      <c r="E35">
        <v>62.600999999999999</v>
      </c>
      <c r="F35">
        <v>58.058</v>
      </c>
      <c r="G35" s="47">
        <v>63.8</v>
      </c>
      <c r="H35">
        <v>61.58</v>
      </c>
      <c r="I35">
        <v>65.89</v>
      </c>
      <c r="J35">
        <v>64.86</v>
      </c>
      <c r="K35">
        <v>57.2</v>
      </c>
      <c r="L35">
        <v>61.137999999999998</v>
      </c>
      <c r="M35">
        <v>58.19</v>
      </c>
    </row>
    <row r="36" spans="1:13" x14ac:dyDescent="0.15">
      <c r="D36" s="7"/>
    </row>
    <row r="37" spans="1:13" x14ac:dyDescent="0.15">
      <c r="A37" s="9" t="s">
        <v>85</v>
      </c>
      <c r="D37" s="7"/>
    </row>
    <row r="38" spans="1:13" x14ac:dyDescent="0.15">
      <c r="A38" s="9" t="s">
        <v>1028</v>
      </c>
      <c r="D38" s="7"/>
      <c r="E38" s="10" t="s">
        <v>1044</v>
      </c>
      <c r="F38" s="23" t="s">
        <v>591</v>
      </c>
      <c r="G38" s="23" t="s">
        <v>592</v>
      </c>
      <c r="H38" s="10" t="s">
        <v>544</v>
      </c>
      <c r="I38" s="10" t="s">
        <v>615</v>
      </c>
      <c r="J38" s="23" t="s">
        <v>546</v>
      </c>
      <c r="K38" s="10" t="s">
        <v>545</v>
      </c>
      <c r="L38" s="10" t="s">
        <v>486</v>
      </c>
      <c r="M38" s="10" t="s">
        <v>487</v>
      </c>
    </row>
    <row r="39" spans="1:13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  <c r="L39" s="14">
        <v>0.33329999999999999</v>
      </c>
      <c r="M39" s="14">
        <v>0.33329999999999999</v>
      </c>
    </row>
    <row r="40" spans="1:13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  <c r="L40" s="15">
        <v>2</v>
      </c>
      <c r="M40" s="15">
        <v>2</v>
      </c>
    </row>
    <row r="41" spans="1:13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  <c r="L41" s="14">
        <v>0.66659999999999997</v>
      </c>
      <c r="M41" s="14">
        <v>0.66659999999999997</v>
      </c>
    </row>
    <row r="42" spans="1:13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  <c r="L42" s="15">
        <v>4</v>
      </c>
      <c r="M42" s="15">
        <v>4</v>
      </c>
    </row>
    <row r="43" spans="1:13" x14ac:dyDescent="0.15">
      <c r="A43" t="s">
        <v>67</v>
      </c>
      <c r="D43" s="7"/>
      <c r="E43" s="15">
        <v>6000</v>
      </c>
      <c r="F43">
        <v>4000</v>
      </c>
      <c r="G43" s="15">
        <v>6000</v>
      </c>
      <c r="H43">
        <v>4000</v>
      </c>
      <c r="I43">
        <v>4000</v>
      </c>
      <c r="J43">
        <v>4000</v>
      </c>
      <c r="K43">
        <v>4000</v>
      </c>
      <c r="L43">
        <v>4000</v>
      </c>
      <c r="M43">
        <v>4000</v>
      </c>
    </row>
    <row r="44" spans="1:13" x14ac:dyDescent="0.15">
      <c r="A44" s="11" t="s">
        <v>84</v>
      </c>
      <c r="B44" s="11"/>
      <c r="C44" s="11"/>
      <c r="D44" s="12"/>
      <c r="E44" s="11">
        <v>12000</v>
      </c>
      <c r="F44" s="11">
        <v>12000</v>
      </c>
      <c r="G44" s="11">
        <v>12000</v>
      </c>
      <c r="H44" s="11">
        <v>4000</v>
      </c>
      <c r="I44" s="11">
        <v>12000</v>
      </c>
      <c r="J44" s="11">
        <v>12000</v>
      </c>
      <c r="K44" s="11">
        <v>12000</v>
      </c>
      <c r="L44" s="11">
        <v>12000</v>
      </c>
      <c r="M44" s="11">
        <v>12000</v>
      </c>
    </row>
    <row r="45" spans="1:13" x14ac:dyDescent="0.15">
      <c r="A45" t="s">
        <v>71</v>
      </c>
      <c r="D45" s="7"/>
      <c r="E45">
        <v>1.8579000000000001</v>
      </c>
      <c r="F45">
        <v>2.0449000000000002</v>
      </c>
      <c r="G45">
        <v>2.0129999999999999</v>
      </c>
      <c r="H45">
        <v>2.0499999999999998</v>
      </c>
      <c r="I45">
        <v>2.1153</v>
      </c>
      <c r="J45">
        <v>2.0659999999999998</v>
      </c>
      <c r="K45">
        <v>1.98</v>
      </c>
      <c r="L45">
        <v>2.0459999999999998</v>
      </c>
      <c r="M45">
        <v>1.98</v>
      </c>
    </row>
    <row r="46" spans="1:13" x14ac:dyDescent="0.15">
      <c r="A46" t="s">
        <v>72</v>
      </c>
      <c r="D46" s="7"/>
      <c r="E46">
        <v>1.573</v>
      </c>
      <c r="F46">
        <v>1.8117000000000001</v>
      </c>
      <c r="G46">
        <v>1.716</v>
      </c>
      <c r="H46">
        <v>0</v>
      </c>
      <c r="I46">
        <v>1.8733</v>
      </c>
      <c r="J46">
        <v>1.8010999999999999</v>
      </c>
      <c r="K46">
        <v>1.7490000000000001</v>
      </c>
      <c r="L46">
        <v>1.716</v>
      </c>
      <c r="M46">
        <v>1.716</v>
      </c>
    </row>
    <row r="47" spans="1:13" x14ac:dyDescent="0.15">
      <c r="A47" t="s">
        <v>75</v>
      </c>
      <c r="D47" s="7"/>
      <c r="E47">
        <v>1.4200999999999999</v>
      </c>
      <c r="F47">
        <v>1.5367</v>
      </c>
      <c r="G47">
        <v>1.4850000000000001</v>
      </c>
      <c r="H47">
        <v>1.84</v>
      </c>
      <c r="I47">
        <v>1.5872999999999999</v>
      </c>
      <c r="J47">
        <v>1.7203999999999999</v>
      </c>
      <c r="K47">
        <v>1.43</v>
      </c>
      <c r="L47">
        <v>1.5620000000000001</v>
      </c>
      <c r="M47">
        <v>1.5069999999999999</v>
      </c>
    </row>
    <row r="48" spans="1:13" x14ac:dyDescent="0.15">
      <c r="A48" t="s">
        <v>76</v>
      </c>
      <c r="D48" s="7"/>
      <c r="E48">
        <v>1.8193999999999999</v>
      </c>
      <c r="F48">
        <v>1.9437</v>
      </c>
      <c r="G48">
        <v>1.9470000000000001</v>
      </c>
      <c r="H48">
        <v>2</v>
      </c>
      <c r="I48">
        <v>2.0800999999999998</v>
      </c>
      <c r="J48">
        <v>2.0160999999999998</v>
      </c>
      <c r="K48">
        <v>1.881</v>
      </c>
      <c r="L48">
        <v>1.9470000000000001</v>
      </c>
      <c r="M48">
        <v>1.9910000000000001</v>
      </c>
    </row>
    <row r="49" spans="1:13" x14ac:dyDescent="0.15">
      <c r="A49" t="s">
        <v>77</v>
      </c>
      <c r="D49" s="7"/>
      <c r="E49">
        <v>1.5235000000000001</v>
      </c>
      <c r="F49">
        <v>1.6896</v>
      </c>
      <c r="G49">
        <v>1.6719999999999999</v>
      </c>
      <c r="H49">
        <v>0</v>
      </c>
      <c r="I49">
        <v>1.8512999999999999</v>
      </c>
      <c r="J49">
        <v>1.7572000000000001</v>
      </c>
      <c r="K49">
        <v>1.6279999999999999</v>
      </c>
      <c r="L49">
        <v>1.6719999999999999</v>
      </c>
      <c r="M49">
        <v>1.639</v>
      </c>
    </row>
    <row r="50" spans="1:13" x14ac:dyDescent="0.15">
      <c r="A50" t="s">
        <v>80</v>
      </c>
      <c r="D50" s="7"/>
      <c r="E50">
        <v>1.3815999999999999</v>
      </c>
      <c r="F50">
        <v>1.4101999999999999</v>
      </c>
      <c r="G50">
        <v>1.3859999999999999</v>
      </c>
      <c r="H50">
        <v>1.8</v>
      </c>
      <c r="I50">
        <v>1.5037</v>
      </c>
      <c r="J50">
        <v>1.6830000000000001</v>
      </c>
      <c r="K50">
        <v>1.375</v>
      </c>
      <c r="L50">
        <v>1.518</v>
      </c>
      <c r="M50">
        <v>1.419</v>
      </c>
    </row>
    <row r="51" spans="1:13" x14ac:dyDescent="0.15">
      <c r="A51" t="s">
        <v>81</v>
      </c>
      <c r="D51" s="7"/>
      <c r="E51">
        <v>62.502000000000002</v>
      </c>
      <c r="F51">
        <v>58.564</v>
      </c>
      <c r="G51">
        <v>66.55</v>
      </c>
      <c r="H51">
        <v>62.78</v>
      </c>
      <c r="I51">
        <v>67.760000000000005</v>
      </c>
      <c r="J51">
        <v>64.8</v>
      </c>
      <c r="K51">
        <v>55</v>
      </c>
      <c r="L51">
        <v>60.664999999999999</v>
      </c>
      <c r="M51">
        <v>58.19</v>
      </c>
    </row>
    <row r="52" spans="1:13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</row>
    <row r="53" spans="1:13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544</v>
      </c>
      <c r="I53" s="23" t="s">
        <v>615</v>
      </c>
      <c r="J53" s="23" t="s">
        <v>595</v>
      </c>
      <c r="K53" s="23" t="s">
        <v>596</v>
      </c>
      <c r="L53" s="10" t="s">
        <v>486</v>
      </c>
      <c r="M53" s="23" t="s">
        <v>487</v>
      </c>
    </row>
    <row r="54" spans="1:13" x14ac:dyDescent="0.15">
      <c r="A54" t="s">
        <v>491</v>
      </c>
      <c r="D54" s="7"/>
      <c r="E54" s="24" t="s">
        <v>547</v>
      </c>
      <c r="F54" s="25" t="s">
        <v>493</v>
      </c>
      <c r="G54" s="25" t="s">
        <v>540</v>
      </c>
      <c r="H54" s="25" t="s">
        <v>494</v>
      </c>
      <c r="I54" s="25" t="s">
        <v>494</v>
      </c>
      <c r="J54" s="25" t="s">
        <v>494</v>
      </c>
      <c r="K54" s="25" t="s">
        <v>493</v>
      </c>
      <c r="L54" s="25" t="s">
        <v>493</v>
      </c>
      <c r="M54" s="25" t="s">
        <v>493</v>
      </c>
    </row>
    <row r="55" spans="1:13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548</v>
      </c>
      <c r="I55" s="25" t="s">
        <v>498</v>
      </c>
      <c r="J55" s="25" t="s">
        <v>498</v>
      </c>
      <c r="K55" s="25" t="s">
        <v>527</v>
      </c>
      <c r="L55" s="25" t="s">
        <v>493</v>
      </c>
      <c r="M55" s="25" t="s">
        <v>493</v>
      </c>
    </row>
    <row r="56" spans="1:13" x14ac:dyDescent="0.15">
      <c r="A56" t="s">
        <v>499</v>
      </c>
      <c r="D56" s="7"/>
      <c r="E56" s="25" t="s">
        <v>528</v>
      </c>
      <c r="F56" s="37">
        <v>22</v>
      </c>
      <c r="G56" s="37">
        <v>22</v>
      </c>
      <c r="H56" s="37">
        <v>22</v>
      </c>
      <c r="I56" s="37">
        <v>20</v>
      </c>
      <c r="J56" s="37">
        <v>80</v>
      </c>
      <c r="K56" s="37">
        <v>20</v>
      </c>
      <c r="L56" t="s">
        <v>493</v>
      </c>
      <c r="M56" t="s">
        <v>493</v>
      </c>
    </row>
    <row r="57" spans="1:13" x14ac:dyDescent="0.15">
      <c r="A57" t="s">
        <v>501</v>
      </c>
      <c r="D57" s="7"/>
      <c r="E57" s="25" t="s">
        <v>549</v>
      </c>
      <c r="F57" s="24" t="s">
        <v>536</v>
      </c>
      <c r="G57" s="24" t="s">
        <v>542</v>
      </c>
      <c r="H57" s="24" t="s">
        <v>550</v>
      </c>
      <c r="I57" s="24" t="s">
        <v>537</v>
      </c>
      <c r="J57" s="24" t="s">
        <v>505</v>
      </c>
      <c r="K57" s="24" t="s">
        <v>506</v>
      </c>
      <c r="L57" s="24" t="s">
        <v>531</v>
      </c>
      <c r="M57" s="24" t="s">
        <v>532</v>
      </c>
    </row>
    <row r="58" spans="1:13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493</v>
      </c>
      <c r="I58" s="25" t="s">
        <v>493</v>
      </c>
      <c r="J58" s="25" t="s">
        <v>494</v>
      </c>
      <c r="K58" s="25" t="s">
        <v>500</v>
      </c>
      <c r="L58" s="25" t="s">
        <v>493</v>
      </c>
      <c r="M58" s="25" t="s">
        <v>493</v>
      </c>
    </row>
    <row r="59" spans="1:13" x14ac:dyDescent="0.15">
      <c r="A59" s="80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</row>
  </sheetData>
  <sheetProtection algorithmName="SHA-512" hashValue="RzlwRsK4BypDB3Y5JCh51zIZjNG7UEUG5B2jH0E2KIDY8GRmhQCXUfs0Y26LlBkJYwrlTj5sA3sDQWpEI7LGmg==" saltValue="SuwgWHcLwIOlawlCdD7Uow==" spinCount="100000" sheet="1" objects="1" scenarios="1"/>
  <phoneticPr fontId="20" type="noConversion"/>
  <pageMargins left="0.75" right="0.75" top="1" bottom="1" header="0.5" footer="0.5"/>
  <drawing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/>
  <dimension ref="A1:M59"/>
  <sheetViews>
    <sheetView workbookViewId="0">
      <selection activeCell="P32" sqref="P32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  <col min="12" max="12" width="11.33203125" customWidth="1"/>
    <col min="13" max="13" width="11.6640625" customWidth="1"/>
  </cols>
  <sheetData>
    <row r="1" spans="1:13" x14ac:dyDescent="0.15">
      <c r="A1" t="s">
        <v>722</v>
      </c>
    </row>
    <row r="2" spans="1:13" x14ac:dyDescent="0.15">
      <c r="A2" s="83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x14ac:dyDescent="0.15">
      <c r="A3" s="8" t="s">
        <v>87</v>
      </c>
      <c r="D3" s="7"/>
    </row>
    <row r="4" spans="1:13" x14ac:dyDescent="0.15">
      <c r="D4" s="7"/>
      <c r="E4" s="8" t="s">
        <v>95</v>
      </c>
    </row>
    <row r="5" spans="1:13" x14ac:dyDescent="0.15">
      <c r="A5" s="9" t="s">
        <v>88</v>
      </c>
      <c r="D5" s="7"/>
    </row>
    <row r="6" spans="1:13" x14ac:dyDescent="0.15">
      <c r="A6" s="9" t="s">
        <v>1030</v>
      </c>
      <c r="D6" s="7"/>
      <c r="E6" s="10" t="s">
        <v>1044</v>
      </c>
      <c r="F6" s="23" t="s">
        <v>591</v>
      </c>
      <c r="G6" s="23" t="s">
        <v>592</v>
      </c>
      <c r="H6" s="23" t="s">
        <v>544</v>
      </c>
      <c r="I6" s="23" t="s">
        <v>615</v>
      </c>
      <c r="J6" s="23" t="s">
        <v>595</v>
      </c>
      <c r="K6" s="23" t="s">
        <v>596</v>
      </c>
      <c r="L6" s="10" t="s">
        <v>486</v>
      </c>
      <c r="M6" s="23" t="s">
        <v>487</v>
      </c>
    </row>
    <row r="7" spans="1:13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  <c r="L7" s="14">
        <v>0.33329999999999999</v>
      </c>
      <c r="M7" s="14">
        <v>0.33329999999999999</v>
      </c>
    </row>
    <row r="8" spans="1:13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  <c r="L8" s="15">
        <v>2</v>
      </c>
      <c r="M8" s="15">
        <v>2</v>
      </c>
    </row>
    <row r="9" spans="1:13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  <c r="L9" s="14">
        <v>0.66659999999999997</v>
      </c>
      <c r="M9" s="14">
        <v>0.66659999999999997</v>
      </c>
    </row>
    <row r="10" spans="1:13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  <c r="L10" s="15">
        <v>4</v>
      </c>
      <c r="M10" s="15">
        <v>4</v>
      </c>
    </row>
    <row r="11" spans="1:13" x14ac:dyDescent="0.15">
      <c r="A11" t="s">
        <v>67</v>
      </c>
      <c r="D11" s="7"/>
      <c r="E11" s="15">
        <v>6000</v>
      </c>
      <c r="F11" s="15">
        <v>3200</v>
      </c>
      <c r="G11" s="15">
        <v>6000</v>
      </c>
      <c r="H11" s="15">
        <v>3200</v>
      </c>
      <c r="I11" s="15">
        <v>3200</v>
      </c>
      <c r="J11" s="15">
        <v>3200</v>
      </c>
      <c r="K11" s="15">
        <v>3200</v>
      </c>
      <c r="L11" s="15">
        <v>3200</v>
      </c>
      <c r="M11" s="15">
        <v>3200</v>
      </c>
    </row>
    <row r="12" spans="1:13" x14ac:dyDescent="0.15">
      <c r="A12" s="11" t="s">
        <v>68</v>
      </c>
      <c r="B12" s="11"/>
      <c r="C12" s="11"/>
      <c r="D12" s="12"/>
      <c r="E12" s="11">
        <v>12000</v>
      </c>
      <c r="F12" s="11">
        <v>3200</v>
      </c>
      <c r="G12" s="11">
        <v>12000</v>
      </c>
      <c r="H12" s="11">
        <v>3200</v>
      </c>
      <c r="I12" s="11">
        <v>3200</v>
      </c>
      <c r="J12" s="11">
        <v>3200</v>
      </c>
      <c r="K12" s="11">
        <v>3200</v>
      </c>
      <c r="L12" s="11">
        <v>3200</v>
      </c>
      <c r="M12" s="11">
        <v>3200</v>
      </c>
    </row>
    <row r="13" spans="1:13" x14ac:dyDescent="0.15">
      <c r="A13" t="s">
        <v>71</v>
      </c>
      <c r="D13" s="7"/>
      <c r="E13">
        <v>1.9690000000000001</v>
      </c>
      <c r="F13">
        <v>2.1934</v>
      </c>
      <c r="G13" s="47">
        <v>2.09</v>
      </c>
      <c r="H13">
        <v>2.16</v>
      </c>
      <c r="I13">
        <v>2.2418</v>
      </c>
      <c r="J13">
        <v>2.0226000000000002</v>
      </c>
      <c r="K13">
        <v>2.145</v>
      </c>
      <c r="L13">
        <v>2.0680000000000001</v>
      </c>
      <c r="M13">
        <v>2.145</v>
      </c>
    </row>
    <row r="14" spans="1:13" x14ac:dyDescent="0.15">
      <c r="A14" t="s">
        <v>72</v>
      </c>
      <c r="D14" s="7"/>
      <c r="E14">
        <v>1.8480000000000001</v>
      </c>
      <c r="F14">
        <v>0</v>
      </c>
      <c r="G14" s="47">
        <v>1.9470000000000001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13" x14ac:dyDescent="0.15">
      <c r="A15" t="s">
        <v>75</v>
      </c>
      <c r="D15" s="7"/>
      <c r="E15">
        <v>1.6753</v>
      </c>
      <c r="F15">
        <v>1.8909</v>
      </c>
      <c r="G15" s="47">
        <v>1.7490000000000001</v>
      </c>
      <c r="H15">
        <v>1.98</v>
      </c>
      <c r="I15">
        <v>1.9778</v>
      </c>
      <c r="J15">
        <v>1.8722000000000001</v>
      </c>
      <c r="K15">
        <v>1.8149999999999999</v>
      </c>
      <c r="L15">
        <v>1.837</v>
      </c>
      <c r="M15">
        <v>1.9139999999999999</v>
      </c>
    </row>
    <row r="16" spans="1:13" x14ac:dyDescent="0.15">
      <c r="A16" t="s">
        <v>76</v>
      </c>
      <c r="D16" s="7"/>
      <c r="E16">
        <v>1.6786000000000001</v>
      </c>
      <c r="F16">
        <v>1.7996000000000001</v>
      </c>
      <c r="G16" s="47">
        <v>1.8260000000000001</v>
      </c>
      <c r="H16">
        <v>1.94</v>
      </c>
      <c r="I16">
        <v>1.9063000000000001</v>
      </c>
      <c r="J16">
        <v>1.7813000000000001</v>
      </c>
      <c r="K16">
        <v>1.7929999999999999</v>
      </c>
      <c r="L16">
        <v>1.7709999999999999</v>
      </c>
      <c r="M16">
        <v>1.9139999999999999</v>
      </c>
    </row>
    <row r="17" spans="1:13" x14ac:dyDescent="0.15">
      <c r="A17" t="s">
        <v>86</v>
      </c>
      <c r="D17" s="7"/>
      <c r="E17">
        <v>1.5224</v>
      </c>
      <c r="F17">
        <v>0</v>
      </c>
      <c r="G17" s="47">
        <v>1.6060000000000001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1:13" x14ac:dyDescent="0.15">
      <c r="A18" t="s">
        <v>80</v>
      </c>
      <c r="D18" s="7"/>
      <c r="E18">
        <v>1.4222999999999999</v>
      </c>
      <c r="F18">
        <v>1.5862000000000001</v>
      </c>
      <c r="G18" s="47">
        <v>1.5069999999999999</v>
      </c>
      <c r="H18">
        <v>1.73</v>
      </c>
      <c r="I18">
        <v>1.6797</v>
      </c>
      <c r="J18">
        <v>1.5983000000000001</v>
      </c>
      <c r="K18">
        <v>1.54</v>
      </c>
      <c r="L18">
        <v>1.5840000000000001</v>
      </c>
      <c r="M18">
        <v>1.6830000000000001</v>
      </c>
    </row>
    <row r="19" spans="1:13" x14ac:dyDescent="0.15">
      <c r="A19" t="s">
        <v>81</v>
      </c>
      <c r="D19" s="7"/>
      <c r="E19">
        <v>57.848999999999997</v>
      </c>
      <c r="F19">
        <v>56.451999999999998</v>
      </c>
      <c r="G19" s="47">
        <v>58.3</v>
      </c>
      <c r="H19">
        <v>59.43</v>
      </c>
      <c r="I19">
        <v>62.92</v>
      </c>
      <c r="J19">
        <v>58.18</v>
      </c>
      <c r="K19">
        <v>50.6</v>
      </c>
      <c r="L19">
        <v>56.000999999999998</v>
      </c>
      <c r="M19">
        <v>57.09</v>
      </c>
    </row>
    <row r="20" spans="1:13" x14ac:dyDescent="0.15">
      <c r="D20" s="7"/>
    </row>
    <row r="21" spans="1:13" x14ac:dyDescent="0.15">
      <c r="A21" s="9" t="s">
        <v>89</v>
      </c>
      <c r="D21" s="7"/>
    </row>
    <row r="22" spans="1:13" x14ac:dyDescent="0.15">
      <c r="A22" s="9" t="s">
        <v>1032</v>
      </c>
      <c r="D22" s="7"/>
      <c r="E22" s="10" t="s">
        <v>1044</v>
      </c>
      <c r="F22" s="23" t="s">
        <v>591</v>
      </c>
      <c r="G22" s="23" t="s">
        <v>592</v>
      </c>
      <c r="H22" s="10" t="s">
        <v>544</v>
      </c>
      <c r="I22" s="10" t="s">
        <v>615</v>
      </c>
      <c r="J22" s="23" t="s">
        <v>546</v>
      </c>
      <c r="K22" s="10" t="s">
        <v>545</v>
      </c>
      <c r="L22" s="10" t="s">
        <v>486</v>
      </c>
      <c r="M22" s="23" t="s">
        <v>487</v>
      </c>
    </row>
    <row r="23" spans="1:13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  <c r="L23" s="14">
        <v>0.33329999999999999</v>
      </c>
      <c r="M23" s="14">
        <v>0.33329999999999999</v>
      </c>
    </row>
    <row r="24" spans="1:13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  <c r="L24" s="15">
        <v>2</v>
      </c>
      <c r="M24" s="15">
        <v>2</v>
      </c>
    </row>
    <row r="25" spans="1:13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  <c r="L25" s="14">
        <v>0.66659999999999997</v>
      </c>
      <c r="M25" s="14">
        <v>0.66659999999999997</v>
      </c>
    </row>
    <row r="26" spans="1:13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  <c r="L26" s="15">
        <v>4</v>
      </c>
      <c r="M26" s="15">
        <v>4</v>
      </c>
    </row>
    <row r="27" spans="1:13" x14ac:dyDescent="0.15">
      <c r="A27" t="s">
        <v>67</v>
      </c>
      <c r="D27" s="7"/>
      <c r="E27" s="15">
        <v>6000</v>
      </c>
      <c r="F27" s="15">
        <v>3500</v>
      </c>
      <c r="G27" s="15">
        <v>6000</v>
      </c>
      <c r="H27" s="15">
        <v>3500</v>
      </c>
      <c r="I27" s="15">
        <v>3500</v>
      </c>
      <c r="J27" s="15">
        <v>3500</v>
      </c>
      <c r="K27" s="15">
        <v>3500</v>
      </c>
      <c r="L27" s="15">
        <v>3500</v>
      </c>
      <c r="M27" s="15">
        <v>3500</v>
      </c>
    </row>
    <row r="28" spans="1:13" x14ac:dyDescent="0.15">
      <c r="A28" s="11" t="s">
        <v>68</v>
      </c>
      <c r="B28" s="11"/>
      <c r="C28" s="11"/>
      <c r="D28" s="12"/>
      <c r="E28" s="11">
        <v>12000</v>
      </c>
      <c r="F28" s="11">
        <v>3500</v>
      </c>
      <c r="G28" s="11">
        <v>12000</v>
      </c>
      <c r="H28" s="11">
        <v>3500</v>
      </c>
      <c r="I28" s="11">
        <v>3500</v>
      </c>
      <c r="J28" s="11">
        <v>3500</v>
      </c>
      <c r="K28" s="11">
        <v>3500</v>
      </c>
      <c r="L28" s="11">
        <v>3500</v>
      </c>
      <c r="M28" s="11">
        <v>3500</v>
      </c>
    </row>
    <row r="29" spans="1:13" x14ac:dyDescent="0.15">
      <c r="A29" t="s">
        <v>71</v>
      </c>
      <c r="D29" s="7"/>
      <c r="E29">
        <v>2.1185999999999998</v>
      </c>
      <c r="F29">
        <v>2.4222000000000001</v>
      </c>
      <c r="G29">
        <v>2.2440000000000002</v>
      </c>
      <c r="H29">
        <v>2.2999999999999998</v>
      </c>
      <c r="I29">
        <v>2.3485</v>
      </c>
      <c r="J29">
        <v>2.2284999999999999</v>
      </c>
      <c r="K29">
        <v>2.3650000000000002</v>
      </c>
      <c r="L29">
        <v>2.2770000000000001</v>
      </c>
      <c r="M29">
        <v>2.1890000000000001</v>
      </c>
    </row>
    <row r="30" spans="1:13" x14ac:dyDescent="0.15">
      <c r="A30" t="s">
        <v>72</v>
      </c>
      <c r="D30" s="7"/>
      <c r="E30">
        <v>1.8260000000000001</v>
      </c>
      <c r="F30">
        <v>0</v>
      </c>
      <c r="G30">
        <v>2.024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 x14ac:dyDescent="0.15">
      <c r="A31" t="s">
        <v>75</v>
      </c>
      <c r="D31" s="7"/>
      <c r="E31">
        <v>1.6158999999999999</v>
      </c>
      <c r="F31">
        <v>1.9403999999999999</v>
      </c>
      <c r="G31">
        <v>1.7050000000000001</v>
      </c>
      <c r="H31">
        <v>2.1</v>
      </c>
      <c r="I31">
        <v>2.0922000000000001</v>
      </c>
      <c r="J31">
        <v>1.9770000000000001</v>
      </c>
      <c r="K31">
        <v>1.8149999999999999</v>
      </c>
      <c r="L31">
        <v>1.8260000000000001</v>
      </c>
      <c r="M31">
        <v>1.9139999999999999</v>
      </c>
    </row>
    <row r="32" spans="1:13" x14ac:dyDescent="0.15">
      <c r="A32" t="s">
        <v>76</v>
      </c>
      <c r="D32" s="7"/>
      <c r="E32">
        <v>1.8919999999999999</v>
      </c>
      <c r="F32">
        <v>1.9161999999999999</v>
      </c>
      <c r="G32">
        <v>1.9470000000000001</v>
      </c>
      <c r="H32">
        <v>1.98</v>
      </c>
      <c r="I32">
        <v>1.9272</v>
      </c>
      <c r="J32">
        <v>1.9639</v>
      </c>
      <c r="K32">
        <v>1.9690000000000001</v>
      </c>
      <c r="L32">
        <v>2.0019999999999998</v>
      </c>
      <c r="M32">
        <v>1.9139999999999999</v>
      </c>
    </row>
    <row r="33" spans="1:13" x14ac:dyDescent="0.15">
      <c r="A33" t="s">
        <v>86</v>
      </c>
      <c r="D33" s="7"/>
      <c r="E33">
        <v>1.6291</v>
      </c>
      <c r="F33">
        <v>0</v>
      </c>
      <c r="G33">
        <v>1.7270000000000001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1:13" x14ac:dyDescent="0.15">
      <c r="A34" t="s">
        <v>80</v>
      </c>
      <c r="D34" s="7"/>
      <c r="E34">
        <v>1.5334000000000001</v>
      </c>
      <c r="F34">
        <v>1.6566000000000001</v>
      </c>
      <c r="G34">
        <v>1.4079999999999999</v>
      </c>
      <c r="H34">
        <v>1.77</v>
      </c>
      <c r="I34">
        <v>1.8546</v>
      </c>
      <c r="J34">
        <v>1.7232000000000001</v>
      </c>
      <c r="K34">
        <v>1.595</v>
      </c>
      <c r="L34">
        <v>1.661</v>
      </c>
      <c r="M34">
        <v>1.7490000000000001</v>
      </c>
    </row>
    <row r="35" spans="1:13" x14ac:dyDescent="0.15">
      <c r="A35" t="s">
        <v>81</v>
      </c>
      <c r="D35" s="7"/>
      <c r="E35">
        <v>54.054000000000002</v>
      </c>
      <c r="F35">
        <v>55.66</v>
      </c>
      <c r="G35">
        <v>59.4</v>
      </c>
      <c r="H35">
        <v>57.73</v>
      </c>
      <c r="I35">
        <v>63.47</v>
      </c>
      <c r="J35">
        <v>57.18</v>
      </c>
      <c r="K35">
        <v>49.5</v>
      </c>
      <c r="L35">
        <v>57.518999999999998</v>
      </c>
      <c r="M35">
        <v>54.89</v>
      </c>
    </row>
    <row r="36" spans="1:13" x14ac:dyDescent="0.15">
      <c r="D36" s="7"/>
    </row>
    <row r="37" spans="1:13" x14ac:dyDescent="0.15">
      <c r="A37" s="9" t="s">
        <v>89</v>
      </c>
      <c r="D37" s="7"/>
    </row>
    <row r="38" spans="1:13" x14ac:dyDescent="0.15">
      <c r="A38" s="9" t="s">
        <v>1034</v>
      </c>
      <c r="D38" s="7"/>
      <c r="E38" s="10" t="s">
        <v>1044</v>
      </c>
      <c r="F38" s="23" t="s">
        <v>591</v>
      </c>
      <c r="G38" s="23" t="s">
        <v>592</v>
      </c>
      <c r="H38" s="10" t="s">
        <v>544</v>
      </c>
      <c r="I38" s="10" t="s">
        <v>615</v>
      </c>
      <c r="J38" s="23" t="s">
        <v>546</v>
      </c>
      <c r="K38" s="10" t="s">
        <v>545</v>
      </c>
      <c r="L38" s="10" t="s">
        <v>486</v>
      </c>
      <c r="M38" s="23" t="s">
        <v>487</v>
      </c>
    </row>
    <row r="39" spans="1:13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  <c r="L39" s="14">
        <v>0.33329999999999999</v>
      </c>
      <c r="M39" s="14">
        <v>0.33329999999999999</v>
      </c>
    </row>
    <row r="40" spans="1:13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  <c r="L40" s="15">
        <v>2</v>
      </c>
      <c r="M40" s="15">
        <v>2</v>
      </c>
    </row>
    <row r="41" spans="1:13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  <c r="L41" s="14">
        <v>0.66659999999999997</v>
      </c>
      <c r="M41" s="14">
        <v>0.66659999999999997</v>
      </c>
    </row>
    <row r="42" spans="1:13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  <c r="L42" s="15">
        <v>4</v>
      </c>
      <c r="M42" s="15">
        <v>4</v>
      </c>
    </row>
    <row r="43" spans="1:13" x14ac:dyDescent="0.15">
      <c r="A43" t="s">
        <v>67</v>
      </c>
      <c r="D43" s="7"/>
      <c r="E43" s="15">
        <v>6000</v>
      </c>
      <c r="F43" s="15">
        <v>3200</v>
      </c>
      <c r="G43" s="15">
        <v>6000</v>
      </c>
      <c r="H43" s="15">
        <v>3200</v>
      </c>
      <c r="I43" s="15">
        <v>3200</v>
      </c>
      <c r="J43" s="15">
        <v>3200</v>
      </c>
      <c r="K43" s="15">
        <v>3200</v>
      </c>
      <c r="L43" s="15">
        <v>3200</v>
      </c>
      <c r="M43" s="15">
        <v>3200</v>
      </c>
    </row>
    <row r="44" spans="1:13" x14ac:dyDescent="0.15">
      <c r="A44" s="11" t="s">
        <v>68</v>
      </c>
      <c r="B44" s="11"/>
      <c r="C44" s="11"/>
      <c r="D44" s="12"/>
      <c r="E44" s="11">
        <v>12000</v>
      </c>
      <c r="F44" s="11">
        <v>3200</v>
      </c>
      <c r="G44" s="11">
        <v>12000</v>
      </c>
      <c r="H44" s="11">
        <v>3200</v>
      </c>
      <c r="I44" s="11">
        <v>3200</v>
      </c>
      <c r="J44" s="11">
        <v>3200</v>
      </c>
      <c r="K44" s="11">
        <v>3200</v>
      </c>
      <c r="L44" s="11">
        <v>3200</v>
      </c>
      <c r="M44" s="11">
        <v>3200</v>
      </c>
    </row>
    <row r="45" spans="1:13" x14ac:dyDescent="0.15">
      <c r="A45" t="s">
        <v>71</v>
      </c>
      <c r="D45" s="7"/>
      <c r="E45">
        <v>2.1141999999999999</v>
      </c>
      <c r="F45">
        <v>2.4420000000000002</v>
      </c>
      <c r="G45" s="47">
        <v>2.343</v>
      </c>
      <c r="H45">
        <v>2.42</v>
      </c>
      <c r="I45">
        <v>2.4695</v>
      </c>
      <c r="J45">
        <v>2.2803</v>
      </c>
      <c r="K45">
        <v>2.31</v>
      </c>
      <c r="L45">
        <v>2.2549999999999999</v>
      </c>
      <c r="M45">
        <v>2.2989999999999999</v>
      </c>
    </row>
    <row r="46" spans="1:13" x14ac:dyDescent="0.15">
      <c r="A46" t="s">
        <v>72</v>
      </c>
      <c r="D46" s="7"/>
      <c r="E46">
        <v>1.7798</v>
      </c>
      <c r="F46">
        <v>0</v>
      </c>
      <c r="G46" s="47">
        <v>2.0350000000000001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1:13" x14ac:dyDescent="0.15">
      <c r="A47" t="s">
        <v>75</v>
      </c>
      <c r="D47" s="7"/>
      <c r="E47">
        <v>1.3694999999999999</v>
      </c>
      <c r="F47">
        <v>1.8612</v>
      </c>
      <c r="G47" s="47">
        <v>1.6445000000000001</v>
      </c>
      <c r="H47">
        <v>1.94</v>
      </c>
      <c r="I47">
        <v>1.9701</v>
      </c>
      <c r="J47">
        <v>1.8878999999999999</v>
      </c>
      <c r="K47">
        <v>1.859</v>
      </c>
      <c r="L47">
        <v>1.8149999999999999</v>
      </c>
      <c r="M47">
        <v>1.903</v>
      </c>
    </row>
    <row r="48" spans="1:13" x14ac:dyDescent="0.15">
      <c r="A48" t="s">
        <v>76</v>
      </c>
      <c r="D48" s="7"/>
      <c r="E48">
        <v>1.8909</v>
      </c>
      <c r="F48">
        <v>2.0889000000000002</v>
      </c>
      <c r="G48" s="47">
        <v>2.0459999999999998</v>
      </c>
      <c r="H48">
        <v>2.15</v>
      </c>
      <c r="I48">
        <v>2.1065</v>
      </c>
      <c r="J48">
        <v>2.0449999999999999</v>
      </c>
      <c r="K48">
        <v>1.9690000000000001</v>
      </c>
      <c r="L48">
        <v>2.0019999999999998</v>
      </c>
      <c r="M48">
        <v>2.0569999999999999</v>
      </c>
    </row>
    <row r="49" spans="1:13" x14ac:dyDescent="0.15">
      <c r="A49" t="s">
        <v>86</v>
      </c>
      <c r="D49" s="7"/>
      <c r="E49">
        <v>1.5466</v>
      </c>
      <c r="F49">
        <v>0</v>
      </c>
      <c r="G49" s="47">
        <v>1.859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1:13" x14ac:dyDescent="0.15">
      <c r="A50" t="s">
        <v>80</v>
      </c>
      <c r="D50" s="7"/>
      <c r="E50">
        <v>1.3353999999999999</v>
      </c>
      <c r="F50">
        <v>1.6862999999999999</v>
      </c>
      <c r="G50" s="47">
        <v>1.518</v>
      </c>
      <c r="H50">
        <v>1.87</v>
      </c>
      <c r="I50">
        <v>1.8469</v>
      </c>
      <c r="J50">
        <v>1.7355</v>
      </c>
      <c r="K50">
        <v>1.65</v>
      </c>
      <c r="L50">
        <v>1.661</v>
      </c>
      <c r="M50">
        <v>1.782</v>
      </c>
    </row>
    <row r="51" spans="1:13" x14ac:dyDescent="0.15">
      <c r="A51" t="s">
        <v>81</v>
      </c>
      <c r="D51" s="7"/>
      <c r="E51">
        <v>60.5</v>
      </c>
      <c r="F51">
        <v>57.97</v>
      </c>
      <c r="G51" s="47">
        <v>60.5</v>
      </c>
      <c r="H51">
        <v>61.02</v>
      </c>
      <c r="I51">
        <v>64.459999999999994</v>
      </c>
      <c r="J51">
        <v>59.84</v>
      </c>
      <c r="K51">
        <v>55</v>
      </c>
      <c r="L51">
        <v>55.780999999999999</v>
      </c>
      <c r="M51">
        <v>58.19</v>
      </c>
    </row>
    <row r="52" spans="1:13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</row>
    <row r="53" spans="1:13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544</v>
      </c>
      <c r="I53" s="23" t="s">
        <v>615</v>
      </c>
      <c r="J53" s="23" t="s">
        <v>595</v>
      </c>
      <c r="K53" s="23" t="s">
        <v>596</v>
      </c>
      <c r="L53" s="10" t="s">
        <v>486</v>
      </c>
      <c r="M53" s="23" t="s">
        <v>487</v>
      </c>
    </row>
    <row r="54" spans="1:13" x14ac:dyDescent="0.15">
      <c r="A54" t="s">
        <v>491</v>
      </c>
      <c r="D54" s="7"/>
      <c r="E54" s="24" t="s">
        <v>547</v>
      </c>
      <c r="F54" s="25" t="s">
        <v>493</v>
      </c>
      <c r="G54" s="25" t="s">
        <v>540</v>
      </c>
      <c r="H54" s="25" t="s">
        <v>494</v>
      </c>
      <c r="I54" s="25" t="s">
        <v>494</v>
      </c>
      <c r="J54" s="25" t="s">
        <v>494</v>
      </c>
      <c r="K54" s="25" t="s">
        <v>493</v>
      </c>
      <c r="L54" s="25" t="s">
        <v>493</v>
      </c>
      <c r="M54" s="25" t="s">
        <v>493</v>
      </c>
    </row>
    <row r="55" spans="1:13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548</v>
      </c>
      <c r="I55" s="25" t="s">
        <v>498</v>
      </c>
      <c r="J55" s="25" t="s">
        <v>498</v>
      </c>
      <c r="K55" s="25" t="s">
        <v>527</v>
      </c>
      <c r="L55" s="25" t="s">
        <v>493</v>
      </c>
      <c r="M55" s="25" t="s">
        <v>493</v>
      </c>
    </row>
    <row r="56" spans="1:13" x14ac:dyDescent="0.15">
      <c r="A56" t="s">
        <v>499</v>
      </c>
      <c r="D56" s="7"/>
      <c r="E56" s="25" t="s">
        <v>528</v>
      </c>
      <c r="F56" s="37">
        <v>22</v>
      </c>
      <c r="G56" s="37">
        <v>22</v>
      </c>
      <c r="H56" s="37">
        <v>22</v>
      </c>
      <c r="I56" s="37">
        <v>20</v>
      </c>
      <c r="J56" s="37">
        <v>80</v>
      </c>
      <c r="K56" s="37">
        <v>20</v>
      </c>
      <c r="L56" t="s">
        <v>493</v>
      </c>
      <c r="M56" t="s">
        <v>493</v>
      </c>
    </row>
    <row r="57" spans="1:13" x14ac:dyDescent="0.15">
      <c r="A57" t="s">
        <v>501</v>
      </c>
      <c r="D57" s="7"/>
      <c r="E57" s="25" t="s">
        <v>549</v>
      </c>
      <c r="F57" s="24" t="s">
        <v>536</v>
      </c>
      <c r="G57" s="24" t="s">
        <v>542</v>
      </c>
      <c r="H57" s="24" t="s">
        <v>550</v>
      </c>
      <c r="I57" s="24" t="s">
        <v>537</v>
      </c>
      <c r="J57" s="24" t="s">
        <v>505</v>
      </c>
      <c r="K57" s="24" t="s">
        <v>506</v>
      </c>
      <c r="L57" s="24" t="s">
        <v>531</v>
      </c>
      <c r="M57" s="24" t="s">
        <v>532</v>
      </c>
    </row>
    <row r="58" spans="1:13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493</v>
      </c>
      <c r="I58" s="25" t="s">
        <v>493</v>
      </c>
      <c r="J58" s="25" t="s">
        <v>494</v>
      </c>
      <c r="K58" s="25" t="s">
        <v>500</v>
      </c>
      <c r="L58" s="25" t="s">
        <v>493</v>
      </c>
      <c r="M58" s="25" t="s">
        <v>493</v>
      </c>
    </row>
    <row r="59" spans="1:13" x14ac:dyDescent="0.15">
      <c r="A59" s="80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</row>
  </sheetData>
  <sheetProtection algorithmName="SHA-512" hashValue="13Xpc1SCFVbmk+1Mn8kpp1WDm4xpRKMcmCajlpWFCSQFklt4ZugBPhtYDuUm1uxjMJDFU5/utQuUo8PHiEGg2Q==" saltValue="EV4JMoY7F5gOiKkP3BKnWA==" spinCount="100000" sheet="1" objects="1" scenarios="1"/>
  <phoneticPr fontId="20" type="noConversion"/>
  <pageMargins left="0.75" right="0.75" top="1" bottom="1" header="0.5" footer="0.5"/>
  <drawing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/>
  <dimension ref="A1:K55"/>
  <sheetViews>
    <sheetView workbookViewId="0">
      <selection activeCell="O24" sqref="N23:O24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1" x14ac:dyDescent="0.15">
      <c r="A1" t="s">
        <v>722</v>
      </c>
    </row>
    <row r="2" spans="1:11" x14ac:dyDescent="0.15">
      <c r="A2" s="43"/>
      <c r="B2" s="44"/>
      <c r="C2" s="44"/>
      <c r="D2" s="44"/>
      <c r="E2" s="44"/>
      <c r="F2" s="44"/>
      <c r="G2" s="44"/>
      <c r="H2" s="44"/>
      <c r="I2" s="44"/>
      <c r="J2" s="44"/>
      <c r="K2" s="42"/>
    </row>
    <row r="3" spans="1:11" x14ac:dyDescent="0.15">
      <c r="A3" s="4" t="s">
        <v>61</v>
      </c>
      <c r="B3" s="5"/>
      <c r="C3" s="5"/>
      <c r="D3" s="6"/>
      <c r="E3" s="5"/>
      <c r="F3" s="5"/>
      <c r="G3" s="5"/>
      <c r="H3" s="5"/>
      <c r="I3" s="5"/>
      <c r="J3" s="5"/>
    </row>
    <row r="4" spans="1:11" x14ac:dyDescent="0.15">
      <c r="D4" s="7"/>
      <c r="E4" s="8" t="s">
        <v>96</v>
      </c>
    </row>
    <row r="5" spans="1:11" x14ac:dyDescent="0.15">
      <c r="D5" s="7"/>
    </row>
    <row r="6" spans="1:11" x14ac:dyDescent="0.15">
      <c r="A6" s="9" t="s">
        <v>1074</v>
      </c>
      <c r="D6" s="7"/>
      <c r="E6" s="10" t="s">
        <v>1044</v>
      </c>
      <c r="F6" s="23" t="s">
        <v>591</v>
      </c>
      <c r="G6" s="23" t="s">
        <v>592</v>
      </c>
      <c r="H6" s="23" t="s">
        <v>544</v>
      </c>
      <c r="I6" s="23" t="s">
        <v>615</v>
      </c>
      <c r="J6" s="23" t="s">
        <v>595</v>
      </c>
      <c r="K6" s="23" t="s">
        <v>596</v>
      </c>
    </row>
    <row r="7" spans="1:11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  <c r="K7" s="13">
        <v>0.5</v>
      </c>
    </row>
    <row r="8" spans="1:11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  <c r="K8" s="15">
        <v>3</v>
      </c>
    </row>
    <row r="9" spans="1:11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  <c r="K9" s="13">
        <v>0.5</v>
      </c>
    </row>
    <row r="10" spans="1:11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  <c r="K10" s="15">
        <v>3</v>
      </c>
    </row>
    <row r="11" spans="1:11" x14ac:dyDescent="0.15">
      <c r="A11" t="s">
        <v>67</v>
      </c>
      <c r="D11" s="7"/>
      <c r="E11" s="15">
        <v>3000</v>
      </c>
      <c r="F11">
        <v>6000</v>
      </c>
      <c r="G11" s="15">
        <v>3000</v>
      </c>
      <c r="H11">
        <v>6000</v>
      </c>
      <c r="I11" s="15">
        <v>6000</v>
      </c>
      <c r="J11" s="15">
        <v>6000</v>
      </c>
      <c r="K11" s="15">
        <v>6000</v>
      </c>
    </row>
    <row r="12" spans="1:11" x14ac:dyDescent="0.15">
      <c r="A12" t="s">
        <v>68</v>
      </c>
      <c r="D12" s="7"/>
      <c r="E12">
        <v>6000</v>
      </c>
      <c r="F12">
        <v>9000</v>
      </c>
      <c r="G12" s="15">
        <v>6000</v>
      </c>
      <c r="H12">
        <v>6000</v>
      </c>
      <c r="I12">
        <v>9000</v>
      </c>
      <c r="J12">
        <v>9000</v>
      </c>
      <c r="K12">
        <v>9000</v>
      </c>
    </row>
    <row r="13" spans="1:11" x14ac:dyDescent="0.15">
      <c r="A13" t="s">
        <v>69</v>
      </c>
      <c r="D13" s="7"/>
      <c r="E13">
        <v>9000</v>
      </c>
      <c r="F13" s="15">
        <v>9000</v>
      </c>
      <c r="G13" s="15">
        <v>9000</v>
      </c>
      <c r="H13">
        <v>6000</v>
      </c>
      <c r="I13" s="15">
        <v>9000</v>
      </c>
      <c r="J13" s="15">
        <v>9000</v>
      </c>
      <c r="K13" s="15">
        <v>9000</v>
      </c>
    </row>
    <row r="14" spans="1:11" x14ac:dyDescent="0.15">
      <c r="A14" s="11" t="s">
        <v>70</v>
      </c>
      <c r="B14" s="11"/>
      <c r="C14" s="11"/>
      <c r="D14" s="12"/>
      <c r="E14" s="11">
        <v>15000</v>
      </c>
      <c r="F14" s="11">
        <v>9000</v>
      </c>
      <c r="G14" s="11">
        <v>15000</v>
      </c>
      <c r="H14" s="11">
        <v>6000</v>
      </c>
      <c r="I14" s="11">
        <v>9000</v>
      </c>
      <c r="J14" s="11">
        <v>9000</v>
      </c>
      <c r="K14" s="11">
        <v>9000</v>
      </c>
    </row>
    <row r="15" spans="1:11" x14ac:dyDescent="0.15">
      <c r="A15" t="s">
        <v>71</v>
      </c>
      <c r="D15" s="7"/>
      <c r="E15">
        <v>2.0339</v>
      </c>
      <c r="F15">
        <v>2.1219000000000001</v>
      </c>
      <c r="G15">
        <v>2.1230000000000002</v>
      </c>
      <c r="H15">
        <v>2.15</v>
      </c>
      <c r="I15">
        <v>2.2605</v>
      </c>
      <c r="J15">
        <v>2.0137</v>
      </c>
      <c r="K15" s="22">
        <v>2.0680000000000001</v>
      </c>
    </row>
    <row r="16" spans="1:11" x14ac:dyDescent="0.15">
      <c r="A16" t="s">
        <v>72</v>
      </c>
      <c r="D16" s="7"/>
      <c r="E16">
        <v>1.7611000000000001</v>
      </c>
      <c r="F16">
        <v>1.6687000000000001</v>
      </c>
      <c r="G16">
        <v>1.8919999999999999</v>
      </c>
      <c r="H16">
        <v>0</v>
      </c>
      <c r="I16">
        <v>1.6489</v>
      </c>
      <c r="J16">
        <v>1.6171</v>
      </c>
      <c r="K16" s="22">
        <v>1.6060000000000001</v>
      </c>
    </row>
    <row r="17" spans="1:11" x14ac:dyDescent="0.15">
      <c r="A17" t="s">
        <v>73</v>
      </c>
      <c r="D17" s="7"/>
      <c r="E17">
        <v>1.4079999999999999</v>
      </c>
      <c r="F17">
        <v>0</v>
      </c>
      <c r="G17">
        <v>1.4850000000000001</v>
      </c>
      <c r="H17">
        <v>0</v>
      </c>
      <c r="I17">
        <v>0</v>
      </c>
      <c r="J17">
        <v>0</v>
      </c>
      <c r="K17" s="22">
        <v>0</v>
      </c>
    </row>
    <row r="18" spans="1:11" x14ac:dyDescent="0.15">
      <c r="A18" t="s">
        <v>74</v>
      </c>
      <c r="D18" s="7"/>
      <c r="E18">
        <v>1.2210000000000001</v>
      </c>
      <c r="F18">
        <v>0</v>
      </c>
      <c r="G18">
        <v>1.3640000000000001</v>
      </c>
      <c r="H18">
        <v>0</v>
      </c>
      <c r="I18">
        <v>0</v>
      </c>
      <c r="J18">
        <v>0</v>
      </c>
      <c r="K18" s="22">
        <v>0</v>
      </c>
    </row>
    <row r="19" spans="1:11" x14ac:dyDescent="0.15">
      <c r="A19" t="s">
        <v>75</v>
      </c>
      <c r="D19" s="7"/>
      <c r="E19">
        <v>1.1076999999999999</v>
      </c>
      <c r="F19">
        <v>1.1132</v>
      </c>
      <c r="G19">
        <v>1.155</v>
      </c>
      <c r="H19">
        <v>1.61</v>
      </c>
      <c r="I19">
        <v>1.1318999999999999</v>
      </c>
      <c r="J19">
        <v>1.4410000000000001</v>
      </c>
      <c r="K19" s="22">
        <v>1.1879999999999999</v>
      </c>
    </row>
    <row r="20" spans="1:11" x14ac:dyDescent="0.15">
      <c r="A20" t="s">
        <v>76</v>
      </c>
      <c r="D20" s="7"/>
      <c r="E20">
        <v>1.8996999999999999</v>
      </c>
      <c r="F20">
        <v>1.8975</v>
      </c>
      <c r="G20">
        <v>2.0350000000000001</v>
      </c>
      <c r="H20">
        <v>2.0699999999999998</v>
      </c>
      <c r="I20">
        <v>2.101</v>
      </c>
      <c r="J20">
        <v>1.9126000000000001</v>
      </c>
      <c r="K20" s="22">
        <v>1.8480000000000001</v>
      </c>
    </row>
    <row r="21" spans="1:11" x14ac:dyDescent="0.15">
      <c r="A21" t="s">
        <v>77</v>
      </c>
      <c r="D21" s="7"/>
      <c r="E21">
        <v>1.6598999999999999</v>
      </c>
      <c r="F21">
        <v>1.4267000000000001</v>
      </c>
      <c r="G21">
        <v>1.881</v>
      </c>
      <c r="H21">
        <v>0</v>
      </c>
      <c r="I21">
        <v>1.4321999999999999</v>
      </c>
      <c r="J21">
        <v>1.5331999999999999</v>
      </c>
      <c r="K21" s="22">
        <v>1.43</v>
      </c>
    </row>
    <row r="22" spans="1:11" x14ac:dyDescent="0.15">
      <c r="A22" t="s">
        <v>78</v>
      </c>
      <c r="D22" s="7"/>
      <c r="E22">
        <v>1.3541000000000001</v>
      </c>
      <c r="F22">
        <v>0</v>
      </c>
      <c r="G22">
        <v>1.474</v>
      </c>
      <c r="H22">
        <v>0</v>
      </c>
      <c r="I22">
        <v>0</v>
      </c>
      <c r="J22">
        <v>0</v>
      </c>
      <c r="K22" s="22">
        <v>0</v>
      </c>
    </row>
    <row r="23" spans="1:11" x14ac:dyDescent="0.15">
      <c r="A23" t="s">
        <v>79</v>
      </c>
      <c r="D23" s="7"/>
      <c r="E23">
        <v>1.1935</v>
      </c>
      <c r="F23">
        <v>0</v>
      </c>
      <c r="G23">
        <v>1.3420000000000001</v>
      </c>
      <c r="H23">
        <v>0</v>
      </c>
      <c r="I23">
        <v>0</v>
      </c>
      <c r="J23">
        <v>0</v>
      </c>
      <c r="K23" s="22">
        <v>0</v>
      </c>
    </row>
    <row r="24" spans="1:11" x14ac:dyDescent="0.15">
      <c r="A24" t="s">
        <v>80</v>
      </c>
      <c r="D24" s="7"/>
      <c r="E24">
        <v>1.0901000000000001</v>
      </c>
      <c r="F24">
        <v>1.0306999999999999</v>
      </c>
      <c r="G24">
        <v>1.133</v>
      </c>
      <c r="H24">
        <v>1.55</v>
      </c>
      <c r="I24">
        <v>1.0691999999999999</v>
      </c>
      <c r="J24">
        <v>1.3804000000000001</v>
      </c>
      <c r="K24" s="22">
        <v>1.155</v>
      </c>
    </row>
    <row r="25" spans="1:11" x14ac:dyDescent="0.15">
      <c r="A25" t="s">
        <v>81</v>
      </c>
      <c r="D25" s="7"/>
      <c r="E25">
        <v>63.238999999999997</v>
      </c>
      <c r="F25">
        <v>64.063999999999993</v>
      </c>
      <c r="G25">
        <v>66</v>
      </c>
      <c r="H25">
        <v>64.28</v>
      </c>
      <c r="I25">
        <v>74.69</v>
      </c>
      <c r="J25">
        <v>64.5</v>
      </c>
      <c r="K25" s="35">
        <v>57.75</v>
      </c>
    </row>
    <row r="26" spans="1:11" x14ac:dyDescent="0.15">
      <c r="D26" s="7"/>
    </row>
    <row r="27" spans="1:11" x14ac:dyDescent="0.15">
      <c r="D27" s="7"/>
    </row>
    <row r="28" spans="1:11" x14ac:dyDescent="0.15">
      <c r="A28" s="9" t="s">
        <v>1076</v>
      </c>
      <c r="D28" s="7"/>
      <c r="E28" s="10" t="s">
        <v>1044</v>
      </c>
      <c r="F28" s="23" t="s">
        <v>591</v>
      </c>
      <c r="G28" s="23" t="s">
        <v>592</v>
      </c>
      <c r="H28" s="10" t="s">
        <v>544</v>
      </c>
      <c r="I28" s="10" t="s">
        <v>615</v>
      </c>
      <c r="J28" s="10" t="s">
        <v>546</v>
      </c>
      <c r="K28" s="10" t="s">
        <v>545</v>
      </c>
    </row>
    <row r="29" spans="1:11" x14ac:dyDescent="0.15">
      <c r="A29" s="1" t="s">
        <v>63</v>
      </c>
      <c r="D29" s="7"/>
      <c r="E29" s="13">
        <v>0.5</v>
      </c>
      <c r="F29" s="13">
        <v>0.5</v>
      </c>
      <c r="G29" s="13">
        <v>0.5</v>
      </c>
      <c r="H29" s="14">
        <v>0.33329999999999999</v>
      </c>
      <c r="I29" s="14">
        <v>0.33329999999999999</v>
      </c>
      <c r="J29" s="13">
        <v>0.5</v>
      </c>
      <c r="K29" s="13">
        <v>0.5</v>
      </c>
    </row>
    <row r="30" spans="1:11" x14ac:dyDescent="0.15">
      <c r="A30" s="1" t="s">
        <v>64</v>
      </c>
      <c r="D30" s="7"/>
      <c r="E30" s="15">
        <v>3</v>
      </c>
      <c r="F30" s="15">
        <v>3</v>
      </c>
      <c r="G30" s="15">
        <v>3</v>
      </c>
      <c r="H30" s="15">
        <v>2</v>
      </c>
      <c r="I30" s="15">
        <v>2</v>
      </c>
      <c r="J30" s="15">
        <v>3</v>
      </c>
      <c r="K30" s="15">
        <v>3</v>
      </c>
    </row>
    <row r="31" spans="1:11" x14ac:dyDescent="0.15">
      <c r="A31" s="1" t="s">
        <v>65</v>
      </c>
      <c r="D31" s="7"/>
      <c r="E31" s="13">
        <v>0.5</v>
      </c>
      <c r="F31" s="13">
        <v>0.5</v>
      </c>
      <c r="G31" s="13">
        <v>0.5</v>
      </c>
      <c r="H31" s="14">
        <v>0.66659999999999997</v>
      </c>
      <c r="I31" s="14">
        <v>0.66659999999999997</v>
      </c>
      <c r="J31" s="13">
        <v>0.5</v>
      </c>
      <c r="K31" s="13">
        <v>0.5</v>
      </c>
    </row>
    <row r="32" spans="1:11" x14ac:dyDescent="0.15">
      <c r="A32" s="1" t="s">
        <v>66</v>
      </c>
      <c r="D32" s="7"/>
      <c r="E32" s="15">
        <v>3</v>
      </c>
      <c r="F32" s="15">
        <v>3</v>
      </c>
      <c r="G32" s="15">
        <v>3</v>
      </c>
      <c r="H32" s="15">
        <v>4</v>
      </c>
      <c r="I32" s="15">
        <v>4</v>
      </c>
      <c r="J32" s="15">
        <v>3</v>
      </c>
      <c r="K32" s="15">
        <v>3</v>
      </c>
    </row>
    <row r="33" spans="1:11" x14ac:dyDescent="0.15">
      <c r="A33" t="s">
        <v>67</v>
      </c>
      <c r="D33" s="7"/>
      <c r="E33" s="15">
        <v>3000</v>
      </c>
      <c r="F33" s="15">
        <v>3500</v>
      </c>
      <c r="G33" s="15">
        <v>3000</v>
      </c>
      <c r="H33" s="15">
        <v>3500</v>
      </c>
      <c r="I33" s="15">
        <v>3500</v>
      </c>
      <c r="J33" s="15">
        <v>3500</v>
      </c>
      <c r="K33" s="15">
        <v>3500</v>
      </c>
    </row>
    <row r="34" spans="1:11" x14ac:dyDescent="0.15">
      <c r="A34" t="s">
        <v>68</v>
      </c>
      <c r="D34" s="7"/>
      <c r="E34" s="15">
        <v>6000</v>
      </c>
      <c r="F34" s="15">
        <v>3500</v>
      </c>
      <c r="G34" s="15">
        <v>6000</v>
      </c>
      <c r="H34" s="15">
        <v>3500</v>
      </c>
      <c r="I34" s="15">
        <v>3500</v>
      </c>
      <c r="J34" s="15">
        <v>3500</v>
      </c>
      <c r="K34" s="15">
        <v>3500</v>
      </c>
    </row>
    <row r="35" spans="1:11" x14ac:dyDescent="0.15">
      <c r="A35" t="s">
        <v>69</v>
      </c>
      <c r="D35" s="7"/>
      <c r="E35" s="15">
        <v>9000</v>
      </c>
      <c r="F35" s="15">
        <v>3500</v>
      </c>
      <c r="G35" s="15">
        <v>9000</v>
      </c>
      <c r="H35" s="15">
        <v>3500</v>
      </c>
      <c r="I35" s="15">
        <v>3500</v>
      </c>
      <c r="J35" s="15">
        <v>3500</v>
      </c>
      <c r="K35" s="15">
        <v>3500</v>
      </c>
    </row>
    <row r="36" spans="1:11" x14ac:dyDescent="0.15">
      <c r="A36" s="11" t="s">
        <v>70</v>
      </c>
      <c r="B36" s="11"/>
      <c r="C36" s="11"/>
      <c r="D36" s="12"/>
      <c r="E36" s="11">
        <v>15000</v>
      </c>
      <c r="F36" s="11">
        <v>3500</v>
      </c>
      <c r="G36" s="11">
        <v>15000</v>
      </c>
      <c r="H36" s="11">
        <v>3500</v>
      </c>
      <c r="I36" s="11">
        <v>3500</v>
      </c>
      <c r="J36" s="11">
        <v>3500</v>
      </c>
      <c r="K36" s="11">
        <v>3500</v>
      </c>
    </row>
    <row r="37" spans="1:11" x14ac:dyDescent="0.15">
      <c r="A37" t="s">
        <v>71</v>
      </c>
      <c r="D37" s="7"/>
      <c r="E37">
        <v>1.9657</v>
      </c>
      <c r="F37">
        <v>2.0878000000000001</v>
      </c>
      <c r="G37">
        <v>2.0790000000000002</v>
      </c>
      <c r="H37">
        <v>2.0499999999999998</v>
      </c>
      <c r="I37">
        <v>2.0284</v>
      </c>
      <c r="J37">
        <v>1.9896</v>
      </c>
      <c r="K37" s="22">
        <v>1.9690000000000001</v>
      </c>
    </row>
    <row r="38" spans="1:11" x14ac:dyDescent="0.15">
      <c r="A38" t="s">
        <v>72</v>
      </c>
      <c r="D38" s="7"/>
      <c r="E38">
        <v>1.7413000000000001</v>
      </c>
      <c r="F38">
        <v>0</v>
      </c>
      <c r="G38">
        <v>1.903</v>
      </c>
      <c r="H38">
        <v>0</v>
      </c>
      <c r="I38">
        <v>0</v>
      </c>
      <c r="J38" s="15">
        <v>0</v>
      </c>
      <c r="K38" s="36">
        <v>0</v>
      </c>
    </row>
    <row r="39" spans="1:11" x14ac:dyDescent="0.15">
      <c r="A39" t="s">
        <v>73</v>
      </c>
      <c r="D39" s="7"/>
      <c r="E39">
        <v>1.5246</v>
      </c>
      <c r="F39">
        <v>0</v>
      </c>
      <c r="G39">
        <v>1.65</v>
      </c>
      <c r="H39">
        <v>0</v>
      </c>
      <c r="I39">
        <v>0</v>
      </c>
      <c r="J39" s="15">
        <v>0</v>
      </c>
      <c r="K39" s="36">
        <v>0</v>
      </c>
    </row>
    <row r="40" spans="1:11" x14ac:dyDescent="0.15">
      <c r="A40" t="s">
        <v>74</v>
      </c>
      <c r="D40" s="7"/>
      <c r="E40">
        <v>1.4696</v>
      </c>
      <c r="F40">
        <v>0</v>
      </c>
      <c r="G40">
        <v>1.5620000000000001</v>
      </c>
      <c r="H40">
        <v>0</v>
      </c>
      <c r="I40">
        <v>0</v>
      </c>
      <c r="J40" s="15">
        <v>0</v>
      </c>
      <c r="K40" s="36">
        <v>0</v>
      </c>
    </row>
    <row r="41" spans="1:11" x14ac:dyDescent="0.15">
      <c r="A41" t="s">
        <v>75</v>
      </c>
      <c r="D41" s="7"/>
      <c r="E41">
        <v>1.4014</v>
      </c>
      <c r="F41">
        <v>1.6555</v>
      </c>
      <c r="G41">
        <v>1.4850000000000001</v>
      </c>
      <c r="H41">
        <v>1.71</v>
      </c>
      <c r="I41">
        <v>1.7512000000000001</v>
      </c>
      <c r="J41">
        <v>1.1071</v>
      </c>
      <c r="K41" s="22">
        <v>1.694</v>
      </c>
    </row>
    <row r="42" spans="1:11" x14ac:dyDescent="0.15">
      <c r="A42" t="s">
        <v>76</v>
      </c>
      <c r="D42" s="7"/>
      <c r="E42">
        <v>1.8227</v>
      </c>
      <c r="F42">
        <v>1.8821000000000001</v>
      </c>
      <c r="G42">
        <v>1.8149999999999999</v>
      </c>
      <c r="H42">
        <v>1.94</v>
      </c>
      <c r="I42">
        <v>1.9371</v>
      </c>
      <c r="J42">
        <v>1.8678999999999999</v>
      </c>
      <c r="K42" s="22">
        <v>1.782</v>
      </c>
    </row>
    <row r="43" spans="1:11" x14ac:dyDescent="0.15">
      <c r="A43" t="s">
        <v>77</v>
      </c>
      <c r="D43" s="7"/>
      <c r="E43">
        <v>1.6434</v>
      </c>
      <c r="F43">
        <v>0</v>
      </c>
      <c r="G43">
        <v>1.6279999999999999</v>
      </c>
      <c r="H43">
        <v>0</v>
      </c>
      <c r="I43">
        <v>0</v>
      </c>
      <c r="J43" s="15">
        <v>0</v>
      </c>
      <c r="K43" s="36">
        <v>0</v>
      </c>
    </row>
    <row r="44" spans="1:11" x14ac:dyDescent="0.15">
      <c r="A44" t="s">
        <v>78</v>
      </c>
      <c r="D44" s="7"/>
      <c r="E44">
        <v>1.4608000000000001</v>
      </c>
      <c r="F44">
        <v>0</v>
      </c>
      <c r="G44">
        <v>1.4410000000000001</v>
      </c>
      <c r="H44">
        <v>0</v>
      </c>
      <c r="I44">
        <v>0</v>
      </c>
      <c r="J44" s="15">
        <v>0</v>
      </c>
      <c r="K44" s="36">
        <v>0</v>
      </c>
    </row>
    <row r="45" spans="1:11" x14ac:dyDescent="0.15">
      <c r="A45" t="s">
        <v>79</v>
      </c>
      <c r="D45" s="7"/>
      <c r="E45">
        <v>1.4355</v>
      </c>
      <c r="F45">
        <v>0</v>
      </c>
      <c r="G45">
        <v>1.32</v>
      </c>
      <c r="H45">
        <v>0</v>
      </c>
      <c r="I45">
        <v>0</v>
      </c>
      <c r="J45" s="15">
        <v>0</v>
      </c>
      <c r="K45" s="36">
        <v>0</v>
      </c>
    </row>
    <row r="46" spans="1:11" x14ac:dyDescent="0.15">
      <c r="A46" t="s">
        <v>80</v>
      </c>
      <c r="D46" s="7"/>
      <c r="E46">
        <v>1.3684000000000001</v>
      </c>
      <c r="F46">
        <v>1.3827</v>
      </c>
      <c r="G46">
        <v>1.21</v>
      </c>
      <c r="H46">
        <v>1.55</v>
      </c>
      <c r="I46">
        <v>1.5146999999999999</v>
      </c>
      <c r="J46">
        <v>1.5804</v>
      </c>
      <c r="K46" s="22">
        <v>1.43</v>
      </c>
    </row>
    <row r="47" spans="1:11" x14ac:dyDescent="0.15">
      <c r="A47" t="s">
        <v>81</v>
      </c>
      <c r="D47" s="7"/>
      <c r="E47">
        <v>54.174999999999997</v>
      </c>
      <c r="F47">
        <v>58.3</v>
      </c>
      <c r="G47">
        <v>63.8</v>
      </c>
      <c r="H47">
        <v>59.33</v>
      </c>
      <c r="I47">
        <v>67.87</v>
      </c>
      <c r="J47">
        <v>59.09</v>
      </c>
      <c r="K47" s="22">
        <v>50.6</v>
      </c>
    </row>
    <row r="48" spans="1:1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15">
      <c r="A49" s="9" t="s">
        <v>490</v>
      </c>
      <c r="D49" s="7"/>
      <c r="E49" s="10" t="s">
        <v>1044</v>
      </c>
      <c r="F49" s="23" t="s">
        <v>591</v>
      </c>
      <c r="G49" s="23" t="s">
        <v>592</v>
      </c>
      <c r="H49" s="23" t="s">
        <v>544</v>
      </c>
      <c r="I49" s="23" t="s">
        <v>615</v>
      </c>
      <c r="J49" s="23" t="s">
        <v>595</v>
      </c>
      <c r="K49" s="23" t="s">
        <v>596</v>
      </c>
    </row>
    <row r="50" spans="1:11" x14ac:dyDescent="0.15">
      <c r="A50" t="s">
        <v>491</v>
      </c>
      <c r="D50" s="7"/>
      <c r="E50" s="24" t="s">
        <v>547</v>
      </c>
      <c r="F50" s="25" t="s">
        <v>531</v>
      </c>
      <c r="G50" s="25" t="s">
        <v>540</v>
      </c>
      <c r="H50" s="25" t="s">
        <v>494</v>
      </c>
      <c r="I50" s="25" t="s">
        <v>494</v>
      </c>
      <c r="J50" s="25" t="s">
        <v>494</v>
      </c>
      <c r="K50" s="25" t="s">
        <v>493</v>
      </c>
    </row>
    <row r="51" spans="1:11" x14ac:dyDescent="0.15">
      <c r="A51" t="s">
        <v>496</v>
      </c>
      <c r="D51" s="7"/>
      <c r="E51" s="25" t="s">
        <v>498</v>
      </c>
      <c r="F51" s="25" t="s">
        <v>497</v>
      </c>
      <c r="G51" s="25" t="s">
        <v>526</v>
      </c>
      <c r="H51" s="25" t="s">
        <v>548</v>
      </c>
      <c r="I51" s="25" t="s">
        <v>498</v>
      </c>
      <c r="J51" s="25" t="s">
        <v>498</v>
      </c>
      <c r="K51" s="25" t="s">
        <v>527</v>
      </c>
    </row>
    <row r="52" spans="1:11" x14ac:dyDescent="0.15">
      <c r="A52" t="s">
        <v>499</v>
      </c>
      <c r="D52" s="7"/>
      <c r="E52" s="25" t="s">
        <v>528</v>
      </c>
      <c r="F52" s="37">
        <v>22</v>
      </c>
      <c r="G52" s="37">
        <v>22</v>
      </c>
      <c r="H52" s="25" t="s">
        <v>552</v>
      </c>
      <c r="I52" s="37">
        <v>20</v>
      </c>
      <c r="J52" s="37">
        <v>80</v>
      </c>
      <c r="K52" s="37">
        <v>20</v>
      </c>
    </row>
    <row r="53" spans="1:11" x14ac:dyDescent="0.15">
      <c r="A53" t="s">
        <v>501</v>
      </c>
      <c r="D53" s="7"/>
      <c r="E53" s="25" t="s">
        <v>541</v>
      </c>
      <c r="F53" s="24">
        <v>0.02</v>
      </c>
      <c r="G53" s="24" t="s">
        <v>540</v>
      </c>
      <c r="H53" s="24" t="s">
        <v>504</v>
      </c>
      <c r="I53" s="24" t="s">
        <v>553</v>
      </c>
      <c r="J53" s="24" t="s">
        <v>505</v>
      </c>
      <c r="K53" s="24" t="s">
        <v>506</v>
      </c>
    </row>
    <row r="54" spans="1:11" x14ac:dyDescent="0.15">
      <c r="A54" t="s">
        <v>442</v>
      </c>
      <c r="D54" s="7"/>
      <c r="E54" s="25" t="s">
        <v>512</v>
      </c>
      <c r="F54" s="25" t="s">
        <v>500</v>
      </c>
      <c r="G54" s="25" t="s">
        <v>494</v>
      </c>
      <c r="H54" s="25" t="s">
        <v>493</v>
      </c>
      <c r="I54" s="25" t="s">
        <v>494</v>
      </c>
      <c r="J54" s="25" t="s">
        <v>494</v>
      </c>
      <c r="K54" s="25" t="s">
        <v>500</v>
      </c>
    </row>
    <row r="55" spans="1:11" x14ac:dyDescent="0.15">
      <c r="A55" s="43"/>
      <c r="B55" s="44"/>
      <c r="C55" s="44"/>
      <c r="D55" s="44"/>
      <c r="E55" s="44"/>
      <c r="F55" s="44"/>
      <c r="G55" s="44"/>
      <c r="H55" s="44"/>
      <c r="I55" s="44"/>
      <c r="J55" s="44"/>
      <c r="K55" s="44"/>
    </row>
  </sheetData>
  <sheetProtection algorithmName="SHA-512" hashValue="oUYnjCZVCd7Ls2mVUYXRR8yy+FBhiUaTHBUL+HB83YPbkZbfFLRGPx/yhEaC+Bb65OYbidIeWldyJk/bBnjQeg==" saltValue="wY3y4ItUA9KwWGRe8YVHNw==" spinCount="100000" sheet="1" objects="1" scenarios="1"/>
  <phoneticPr fontId="20" type="noConversion"/>
  <pageMargins left="0.75" right="0.75" top="1" bottom="1" header="0.5" footer="0.5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/>
  <dimension ref="A1:K59"/>
  <sheetViews>
    <sheetView workbookViewId="0">
      <selection activeCell="N23" sqref="N23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1" x14ac:dyDescent="0.15">
      <c r="A1" t="s">
        <v>722</v>
      </c>
    </row>
    <row r="2" spans="1:11" x14ac:dyDescent="0.1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</row>
    <row r="3" spans="1:11" x14ac:dyDescent="0.15">
      <c r="A3" s="8" t="s">
        <v>82</v>
      </c>
      <c r="D3" s="7"/>
    </row>
    <row r="4" spans="1:11" x14ac:dyDescent="0.15">
      <c r="D4" s="7"/>
      <c r="E4" s="8" t="s">
        <v>96</v>
      </c>
    </row>
    <row r="5" spans="1:11" x14ac:dyDescent="0.15">
      <c r="A5" s="9" t="s">
        <v>83</v>
      </c>
      <c r="D5" s="7"/>
    </row>
    <row r="6" spans="1:11" x14ac:dyDescent="0.15">
      <c r="A6" s="9" t="s">
        <v>1024</v>
      </c>
      <c r="D6" s="7"/>
      <c r="E6" s="10" t="s">
        <v>1044</v>
      </c>
      <c r="F6" s="23" t="s">
        <v>591</v>
      </c>
      <c r="G6" s="23" t="s">
        <v>592</v>
      </c>
      <c r="H6" s="23" t="s">
        <v>544</v>
      </c>
      <c r="I6" s="23" t="s">
        <v>615</v>
      </c>
      <c r="J6" s="23" t="s">
        <v>595</v>
      </c>
      <c r="K6" s="23" t="s">
        <v>596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t="s">
        <v>67</v>
      </c>
      <c r="D11" s="7"/>
      <c r="E11" s="15">
        <v>6000</v>
      </c>
      <c r="F11">
        <v>4000</v>
      </c>
      <c r="G11" s="15">
        <v>6000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1" t="s">
        <v>84</v>
      </c>
      <c r="B12" s="11"/>
      <c r="C12" s="11"/>
      <c r="D12" s="12"/>
      <c r="E12" s="11">
        <v>12000</v>
      </c>
      <c r="F12" s="11">
        <v>12000</v>
      </c>
      <c r="G12" s="11">
        <v>12000</v>
      </c>
      <c r="H12" s="11">
        <v>4000</v>
      </c>
      <c r="I12" s="11">
        <v>12000</v>
      </c>
      <c r="J12" s="11">
        <v>12000</v>
      </c>
      <c r="K12" s="11">
        <v>12000</v>
      </c>
    </row>
    <row r="13" spans="1:11" x14ac:dyDescent="0.15">
      <c r="A13" t="s">
        <v>71</v>
      </c>
      <c r="D13" s="7"/>
      <c r="E13">
        <v>1.8502000000000001</v>
      </c>
      <c r="F13">
        <v>2.0097</v>
      </c>
      <c r="G13">
        <v>1.9359999999999999</v>
      </c>
      <c r="H13">
        <v>2.06</v>
      </c>
      <c r="I13">
        <v>2.0800999999999998</v>
      </c>
      <c r="J13">
        <v>1.9489000000000001</v>
      </c>
      <c r="K13">
        <v>1.98</v>
      </c>
    </row>
    <row r="14" spans="1:11" x14ac:dyDescent="0.15">
      <c r="A14" t="s">
        <v>72</v>
      </c>
      <c r="D14" s="7"/>
      <c r="E14">
        <v>1.7050000000000001</v>
      </c>
      <c r="F14">
        <v>1.8996999999999999</v>
      </c>
      <c r="G14">
        <v>1.7490000000000001</v>
      </c>
      <c r="H14">
        <v>0</v>
      </c>
      <c r="I14">
        <v>1.9722999999999999</v>
      </c>
      <c r="J14">
        <v>1.806</v>
      </c>
      <c r="K14">
        <v>1.837</v>
      </c>
    </row>
    <row r="15" spans="1:11" x14ac:dyDescent="0.15">
      <c r="A15" t="s">
        <v>75</v>
      </c>
      <c r="D15" s="7"/>
      <c r="E15">
        <v>1.4321999999999999</v>
      </c>
      <c r="F15">
        <v>1.4850000000000001</v>
      </c>
      <c r="G15">
        <v>1.43</v>
      </c>
      <c r="H15">
        <v>1.93</v>
      </c>
      <c r="I15">
        <v>1.5267999999999999</v>
      </c>
      <c r="J15">
        <v>1.6698</v>
      </c>
      <c r="K15">
        <v>1.419</v>
      </c>
    </row>
    <row r="16" spans="1:11" x14ac:dyDescent="0.15">
      <c r="A16" t="s">
        <v>76</v>
      </c>
      <c r="D16" s="7"/>
      <c r="E16">
        <v>1.7776000000000001</v>
      </c>
      <c r="F16">
        <v>1.8050999999999999</v>
      </c>
      <c r="G16">
        <v>1.881</v>
      </c>
      <c r="H16">
        <v>2</v>
      </c>
      <c r="I16">
        <v>1.9887999999999999</v>
      </c>
      <c r="J16">
        <v>1.879</v>
      </c>
      <c r="K16">
        <v>1.7709999999999999</v>
      </c>
    </row>
    <row r="17" spans="1:11" x14ac:dyDescent="0.15">
      <c r="A17" t="s">
        <v>77</v>
      </c>
      <c r="D17" s="7"/>
      <c r="E17">
        <v>1.6566000000000001</v>
      </c>
      <c r="F17">
        <v>1.8018000000000001</v>
      </c>
      <c r="G17">
        <v>1.6445000000000001</v>
      </c>
      <c r="H17">
        <v>0</v>
      </c>
      <c r="I17">
        <v>1.9129</v>
      </c>
      <c r="J17">
        <v>1.7703</v>
      </c>
      <c r="K17">
        <v>1.738</v>
      </c>
    </row>
    <row r="18" spans="1:11" x14ac:dyDescent="0.15">
      <c r="A18" t="s">
        <v>80</v>
      </c>
      <c r="D18" s="7"/>
      <c r="E18">
        <v>1.3772</v>
      </c>
      <c r="F18">
        <v>1.3815999999999999</v>
      </c>
      <c r="G18">
        <v>1.375</v>
      </c>
      <c r="H18">
        <v>1.91</v>
      </c>
      <c r="I18">
        <v>1.4795</v>
      </c>
      <c r="J18">
        <v>1.631</v>
      </c>
      <c r="K18">
        <v>1.353</v>
      </c>
    </row>
    <row r="19" spans="1:11" x14ac:dyDescent="0.15">
      <c r="A19" t="s">
        <v>81</v>
      </c>
      <c r="D19" s="7"/>
      <c r="E19">
        <v>62.600999999999999</v>
      </c>
      <c r="F19">
        <v>59.719000000000001</v>
      </c>
      <c r="G19">
        <v>64.900000000000006</v>
      </c>
      <c r="H19">
        <v>64.28</v>
      </c>
      <c r="I19">
        <v>67.760000000000005</v>
      </c>
      <c r="J19">
        <v>62.51</v>
      </c>
      <c r="K19">
        <v>55</v>
      </c>
    </row>
    <row r="20" spans="1:11" x14ac:dyDescent="0.15">
      <c r="D20" s="7"/>
    </row>
    <row r="21" spans="1:11" x14ac:dyDescent="0.15">
      <c r="A21" s="9" t="s">
        <v>85</v>
      </c>
      <c r="D21" s="7"/>
    </row>
    <row r="22" spans="1:11" x14ac:dyDescent="0.15">
      <c r="A22" s="9" t="s">
        <v>488</v>
      </c>
      <c r="D22" s="7"/>
      <c r="E22" s="10" t="s">
        <v>1044</v>
      </c>
      <c r="F22" s="23" t="s">
        <v>591</v>
      </c>
      <c r="G22" s="23" t="s">
        <v>592</v>
      </c>
      <c r="H22" s="10" t="s">
        <v>544</v>
      </c>
      <c r="I22" s="10" t="s">
        <v>615</v>
      </c>
      <c r="J22" s="10" t="s">
        <v>546</v>
      </c>
      <c r="K22" s="10" t="s">
        <v>545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</row>
    <row r="27" spans="1:11" x14ac:dyDescent="0.15">
      <c r="A27" t="s">
        <v>67</v>
      </c>
      <c r="D27" s="7"/>
      <c r="E27" s="15">
        <v>6000</v>
      </c>
      <c r="F27" s="15">
        <v>3200</v>
      </c>
      <c r="G27" s="15">
        <v>6000</v>
      </c>
      <c r="H27" s="15">
        <v>3200</v>
      </c>
      <c r="I27" s="15">
        <v>3200</v>
      </c>
      <c r="J27" s="15">
        <v>3200</v>
      </c>
      <c r="K27" s="15">
        <v>3200</v>
      </c>
    </row>
    <row r="28" spans="1:11" x14ac:dyDescent="0.15">
      <c r="A28" s="11" t="s">
        <v>68</v>
      </c>
      <c r="B28" s="11"/>
      <c r="C28" s="11"/>
      <c r="D28" s="12"/>
      <c r="E28" s="11">
        <v>12000</v>
      </c>
      <c r="F28" s="11">
        <v>3200</v>
      </c>
      <c r="G28" s="11">
        <v>12000</v>
      </c>
      <c r="H28" s="11">
        <v>3200</v>
      </c>
      <c r="I28" s="11">
        <v>3200</v>
      </c>
      <c r="J28" s="11">
        <v>3200</v>
      </c>
      <c r="K28" s="11">
        <v>3200</v>
      </c>
    </row>
    <row r="29" spans="1:11" x14ac:dyDescent="0.15">
      <c r="A29" t="s">
        <v>71</v>
      </c>
      <c r="D29" s="7"/>
      <c r="E29">
        <v>1.8161</v>
      </c>
      <c r="F29">
        <v>2.0746000000000002</v>
      </c>
      <c r="G29" s="47">
        <v>1.98</v>
      </c>
      <c r="H29">
        <v>2.02</v>
      </c>
      <c r="I29">
        <v>2.0625</v>
      </c>
      <c r="J29">
        <v>1.9371</v>
      </c>
      <c r="K29">
        <v>2.0019999999999998</v>
      </c>
    </row>
    <row r="30" spans="1:11" x14ac:dyDescent="0.15">
      <c r="A30" t="s">
        <v>72</v>
      </c>
      <c r="D30" s="7"/>
      <c r="E30">
        <v>1.5807</v>
      </c>
      <c r="F30">
        <v>0</v>
      </c>
      <c r="G30" s="47">
        <v>1.782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75</v>
      </c>
      <c r="D31" s="7"/>
      <c r="E31">
        <v>1.4531000000000001</v>
      </c>
      <c r="F31">
        <v>1.6983999999999999</v>
      </c>
      <c r="G31" s="47">
        <v>1.6060000000000001</v>
      </c>
      <c r="H31">
        <v>1.78</v>
      </c>
      <c r="I31">
        <v>1.8205</v>
      </c>
      <c r="J31">
        <v>1.6993</v>
      </c>
      <c r="K31">
        <v>1.639</v>
      </c>
    </row>
    <row r="32" spans="1:11" x14ac:dyDescent="0.15">
      <c r="A32" t="s">
        <v>76</v>
      </c>
      <c r="D32" s="7"/>
      <c r="E32">
        <v>1.7490000000000001</v>
      </c>
      <c r="F32">
        <v>1.8733</v>
      </c>
      <c r="G32" s="47">
        <v>1.8534999999999999</v>
      </c>
      <c r="H32">
        <v>1.94</v>
      </c>
      <c r="I32">
        <v>1.9338</v>
      </c>
      <c r="J32">
        <v>1.8701000000000001</v>
      </c>
      <c r="K32">
        <v>1.87</v>
      </c>
    </row>
    <row r="33" spans="1:11" x14ac:dyDescent="0.15">
      <c r="A33" t="s">
        <v>86</v>
      </c>
      <c r="D33" s="7"/>
      <c r="E33">
        <v>1.5367</v>
      </c>
      <c r="F33">
        <v>0</v>
      </c>
      <c r="G33" s="47">
        <v>1.639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80</v>
      </c>
      <c r="D34" s="7"/>
      <c r="E34">
        <v>1.4101999999999999</v>
      </c>
      <c r="F34">
        <v>1.5961000000000001</v>
      </c>
      <c r="G34" s="47">
        <v>1.474</v>
      </c>
      <c r="H34">
        <v>1.73</v>
      </c>
      <c r="I34">
        <v>1.7259</v>
      </c>
      <c r="J34">
        <v>1.6548</v>
      </c>
      <c r="K34">
        <v>1.54</v>
      </c>
    </row>
    <row r="35" spans="1:11" x14ac:dyDescent="0.15">
      <c r="A35" t="s">
        <v>81</v>
      </c>
      <c r="D35" s="7"/>
      <c r="E35">
        <v>62.600999999999999</v>
      </c>
      <c r="F35">
        <v>58.058</v>
      </c>
      <c r="G35" s="47">
        <v>63.8</v>
      </c>
      <c r="H35">
        <v>61.58</v>
      </c>
      <c r="I35">
        <v>65.89</v>
      </c>
      <c r="J35">
        <v>61.19</v>
      </c>
      <c r="K35">
        <v>57.2</v>
      </c>
    </row>
    <row r="36" spans="1:11" x14ac:dyDescent="0.15">
      <c r="D36" s="7"/>
    </row>
    <row r="37" spans="1:11" x14ac:dyDescent="0.15">
      <c r="A37" s="9" t="s">
        <v>85</v>
      </c>
      <c r="D37" s="7"/>
    </row>
    <row r="38" spans="1:11" x14ac:dyDescent="0.15">
      <c r="A38" s="9" t="s">
        <v>1028</v>
      </c>
      <c r="D38" s="7"/>
      <c r="E38" s="10" t="s">
        <v>1044</v>
      </c>
      <c r="F38" s="23" t="s">
        <v>591</v>
      </c>
      <c r="G38" s="23" t="s">
        <v>592</v>
      </c>
      <c r="H38" s="10" t="s">
        <v>544</v>
      </c>
      <c r="I38" s="10" t="s">
        <v>615</v>
      </c>
      <c r="J38" s="10" t="s">
        <v>546</v>
      </c>
      <c r="K38" s="10" t="s">
        <v>545</v>
      </c>
    </row>
    <row r="39" spans="1:11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</row>
    <row r="40" spans="1:11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</row>
    <row r="41" spans="1:11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</row>
    <row r="42" spans="1:11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</row>
    <row r="43" spans="1:11" x14ac:dyDescent="0.15">
      <c r="A43" t="s">
        <v>67</v>
      </c>
      <c r="D43" s="7"/>
      <c r="E43" s="15">
        <v>6000</v>
      </c>
      <c r="F43">
        <v>4000</v>
      </c>
      <c r="G43" s="15">
        <v>6000</v>
      </c>
      <c r="H43">
        <v>4000</v>
      </c>
      <c r="I43">
        <v>4000</v>
      </c>
      <c r="J43">
        <v>4000</v>
      </c>
      <c r="K43">
        <v>4000</v>
      </c>
    </row>
    <row r="44" spans="1:11" x14ac:dyDescent="0.15">
      <c r="A44" s="11" t="s">
        <v>84</v>
      </c>
      <c r="B44" s="11"/>
      <c r="C44" s="11"/>
      <c r="D44" s="12"/>
      <c r="E44" s="11">
        <v>12000</v>
      </c>
      <c r="F44" s="11">
        <v>12000</v>
      </c>
      <c r="G44" s="11">
        <v>12000</v>
      </c>
      <c r="H44" s="11">
        <v>4000</v>
      </c>
      <c r="I44" s="11">
        <v>12000</v>
      </c>
      <c r="J44" s="11">
        <v>12000</v>
      </c>
      <c r="K44" s="11">
        <v>12000</v>
      </c>
    </row>
    <row r="45" spans="1:11" x14ac:dyDescent="0.15">
      <c r="A45" t="s">
        <v>71</v>
      </c>
      <c r="D45" s="7"/>
      <c r="E45">
        <v>1.8579000000000001</v>
      </c>
      <c r="F45">
        <v>2.0449000000000002</v>
      </c>
      <c r="G45">
        <v>2.0129999999999999</v>
      </c>
      <c r="H45">
        <v>2.0499999999999998</v>
      </c>
      <c r="I45">
        <v>2.1153</v>
      </c>
      <c r="J45">
        <v>1.9639</v>
      </c>
      <c r="K45">
        <v>1.98</v>
      </c>
    </row>
    <row r="46" spans="1:11" x14ac:dyDescent="0.15">
      <c r="A46" t="s">
        <v>72</v>
      </c>
      <c r="D46" s="7"/>
      <c r="E46">
        <v>1.573</v>
      </c>
      <c r="F46">
        <v>1.8117000000000001</v>
      </c>
      <c r="G46">
        <v>1.716</v>
      </c>
      <c r="H46">
        <v>0</v>
      </c>
      <c r="I46">
        <v>1.8733</v>
      </c>
      <c r="J46">
        <v>1.712</v>
      </c>
      <c r="K46">
        <v>1.7490000000000001</v>
      </c>
    </row>
    <row r="47" spans="1:11" x14ac:dyDescent="0.15">
      <c r="A47" t="s">
        <v>75</v>
      </c>
      <c r="D47" s="7"/>
      <c r="E47">
        <v>1.4200999999999999</v>
      </c>
      <c r="F47">
        <v>1.5367</v>
      </c>
      <c r="G47">
        <v>1.4850000000000001</v>
      </c>
      <c r="H47">
        <v>1.84</v>
      </c>
      <c r="I47">
        <v>1.5872999999999999</v>
      </c>
      <c r="J47">
        <v>1.6354</v>
      </c>
      <c r="K47">
        <v>1.43</v>
      </c>
    </row>
    <row r="48" spans="1:11" x14ac:dyDescent="0.15">
      <c r="A48" t="s">
        <v>76</v>
      </c>
      <c r="D48" s="7"/>
      <c r="E48">
        <v>1.8193999999999999</v>
      </c>
      <c r="F48">
        <v>1.9437</v>
      </c>
      <c r="G48">
        <v>1.9470000000000001</v>
      </c>
      <c r="H48">
        <v>2</v>
      </c>
      <c r="I48">
        <v>2.0800999999999998</v>
      </c>
      <c r="J48">
        <v>1.9164000000000001</v>
      </c>
      <c r="K48">
        <v>1.881</v>
      </c>
    </row>
    <row r="49" spans="1:11" x14ac:dyDescent="0.15">
      <c r="A49" t="s">
        <v>77</v>
      </c>
      <c r="D49" s="7"/>
      <c r="E49">
        <v>1.5235000000000001</v>
      </c>
      <c r="F49">
        <v>1.6896</v>
      </c>
      <c r="G49">
        <v>1.6719999999999999</v>
      </c>
      <c r="H49">
        <v>0</v>
      </c>
      <c r="I49">
        <v>1.8512999999999999</v>
      </c>
      <c r="J49">
        <v>1.6704000000000001</v>
      </c>
      <c r="K49">
        <v>1.6279999999999999</v>
      </c>
    </row>
    <row r="50" spans="1:11" x14ac:dyDescent="0.15">
      <c r="A50" t="s">
        <v>80</v>
      </c>
      <c r="D50" s="7"/>
      <c r="E50">
        <v>1.3815999999999999</v>
      </c>
      <c r="F50">
        <v>1.4101999999999999</v>
      </c>
      <c r="G50">
        <v>1.3859999999999999</v>
      </c>
      <c r="H50">
        <v>1.8</v>
      </c>
      <c r="I50">
        <v>1.5037</v>
      </c>
      <c r="J50">
        <v>1.5998000000000001</v>
      </c>
      <c r="K50">
        <v>1.375</v>
      </c>
    </row>
    <row r="51" spans="1:11" x14ac:dyDescent="0.15">
      <c r="A51" t="s">
        <v>81</v>
      </c>
      <c r="D51" s="7"/>
      <c r="E51">
        <v>62.502000000000002</v>
      </c>
      <c r="F51">
        <v>58.564</v>
      </c>
      <c r="G51">
        <v>66.55</v>
      </c>
      <c r="H51">
        <v>62.78</v>
      </c>
      <c r="I51">
        <v>67.760000000000005</v>
      </c>
      <c r="J51">
        <v>61.72</v>
      </c>
      <c r="K51">
        <v>55</v>
      </c>
    </row>
    <row r="52" spans="1:11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544</v>
      </c>
      <c r="I53" s="23" t="s">
        <v>615</v>
      </c>
      <c r="J53" s="23" t="s">
        <v>595</v>
      </c>
      <c r="K53" s="23" t="s">
        <v>596</v>
      </c>
    </row>
    <row r="54" spans="1:11" x14ac:dyDescent="0.15">
      <c r="A54" t="s">
        <v>491</v>
      </c>
      <c r="D54" s="7"/>
      <c r="E54" s="24" t="s">
        <v>547</v>
      </c>
      <c r="F54" s="25" t="s">
        <v>531</v>
      </c>
      <c r="G54" s="25" t="s">
        <v>540</v>
      </c>
      <c r="H54" s="25" t="s">
        <v>494</v>
      </c>
      <c r="I54" s="25" t="s">
        <v>494</v>
      </c>
      <c r="J54" s="25" t="s">
        <v>494</v>
      </c>
      <c r="K54" s="25" t="s">
        <v>493</v>
      </c>
    </row>
    <row r="55" spans="1:11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548</v>
      </c>
      <c r="I55" s="25" t="s">
        <v>498</v>
      </c>
      <c r="J55" s="25" t="s">
        <v>498</v>
      </c>
      <c r="K55" s="25" t="s">
        <v>527</v>
      </c>
    </row>
    <row r="56" spans="1:11" x14ac:dyDescent="0.15">
      <c r="A56" t="s">
        <v>499</v>
      </c>
      <c r="D56" s="7"/>
      <c r="E56" s="25" t="s">
        <v>528</v>
      </c>
      <c r="F56" s="37">
        <v>22</v>
      </c>
      <c r="G56" s="37">
        <v>22</v>
      </c>
      <c r="H56" s="25" t="s">
        <v>552</v>
      </c>
      <c r="I56" s="37">
        <v>20</v>
      </c>
      <c r="J56" s="37">
        <v>80</v>
      </c>
      <c r="K56" s="37">
        <v>20</v>
      </c>
    </row>
    <row r="57" spans="1:11" x14ac:dyDescent="0.15">
      <c r="A57" t="s">
        <v>501</v>
      </c>
      <c r="D57" s="7"/>
      <c r="E57" s="25" t="s">
        <v>541</v>
      </c>
      <c r="F57" s="24">
        <v>0.02</v>
      </c>
      <c r="G57" s="24" t="s">
        <v>540</v>
      </c>
      <c r="H57" s="24" t="s">
        <v>504</v>
      </c>
      <c r="I57" s="24" t="s">
        <v>553</v>
      </c>
      <c r="J57" s="24" t="s">
        <v>505</v>
      </c>
      <c r="K57" s="24" t="s">
        <v>506</v>
      </c>
    </row>
    <row r="58" spans="1:11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493</v>
      </c>
      <c r="I58" s="25" t="s">
        <v>493</v>
      </c>
      <c r="J58" s="25" t="s">
        <v>494</v>
      </c>
      <c r="K58" s="25" t="s">
        <v>500</v>
      </c>
    </row>
    <row r="59" spans="1:11" x14ac:dyDescent="0.15">
      <c r="A59" s="45"/>
      <c r="B59" s="46"/>
      <c r="C59" s="46"/>
      <c r="D59" s="46"/>
      <c r="E59" s="46"/>
      <c r="F59" s="46"/>
      <c r="G59" s="46"/>
      <c r="H59" s="46"/>
      <c r="I59" s="46"/>
      <c r="J59" s="46"/>
      <c r="K59" s="46"/>
    </row>
  </sheetData>
  <sheetProtection algorithmName="SHA-512" hashValue="UDSr6Xbp+kGnQ3SsGn/dbkSul/dWS3UdaiYm39jQuJbAzcG9hwQTVcl1Nr573tdHxzcVz6015vZ/W/OzuT4WzQ==" saltValue="pWdalH1H5qf0ghyX0nBYG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/>
  <dimension ref="A1:K59"/>
  <sheetViews>
    <sheetView workbookViewId="0">
      <selection activeCell="N27" sqref="N27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1" x14ac:dyDescent="0.15">
      <c r="A1" t="s">
        <v>722</v>
      </c>
    </row>
    <row r="2" spans="1:11" x14ac:dyDescent="0.1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</row>
    <row r="3" spans="1:11" x14ac:dyDescent="0.15">
      <c r="A3" s="8" t="s">
        <v>87</v>
      </c>
      <c r="D3" s="7"/>
    </row>
    <row r="4" spans="1:11" x14ac:dyDescent="0.15">
      <c r="D4" s="7"/>
      <c r="E4" s="8" t="s">
        <v>96</v>
      </c>
    </row>
    <row r="5" spans="1:11" x14ac:dyDescent="0.15">
      <c r="A5" s="9" t="s">
        <v>88</v>
      </c>
      <c r="D5" s="7"/>
    </row>
    <row r="6" spans="1:11" x14ac:dyDescent="0.15">
      <c r="A6" s="9" t="s">
        <v>1030</v>
      </c>
      <c r="D6" s="7"/>
      <c r="E6" s="10" t="s">
        <v>1044</v>
      </c>
      <c r="F6" s="23" t="s">
        <v>591</v>
      </c>
      <c r="G6" s="23" t="s">
        <v>592</v>
      </c>
      <c r="H6" s="23" t="s">
        <v>544</v>
      </c>
      <c r="I6" s="23" t="s">
        <v>615</v>
      </c>
      <c r="J6" s="23" t="s">
        <v>595</v>
      </c>
      <c r="K6" s="23" t="s">
        <v>596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t="s">
        <v>67</v>
      </c>
      <c r="D11" s="7"/>
      <c r="E11" s="15">
        <v>6000</v>
      </c>
      <c r="F11" s="15">
        <v>3200</v>
      </c>
      <c r="G11" s="15">
        <v>6000</v>
      </c>
      <c r="H11" s="15">
        <v>3200</v>
      </c>
      <c r="I11" s="15">
        <v>3200</v>
      </c>
      <c r="J11" s="15">
        <v>3200</v>
      </c>
      <c r="K11" s="15">
        <v>3200</v>
      </c>
    </row>
    <row r="12" spans="1:11" x14ac:dyDescent="0.15">
      <c r="A12" s="11" t="s">
        <v>68</v>
      </c>
      <c r="B12" s="11"/>
      <c r="C12" s="11"/>
      <c r="D12" s="12"/>
      <c r="E12" s="11">
        <v>12000</v>
      </c>
      <c r="F12" s="11">
        <v>3200</v>
      </c>
      <c r="G12" s="11">
        <v>12000</v>
      </c>
      <c r="H12" s="11">
        <v>3200</v>
      </c>
      <c r="I12" s="11">
        <v>3200</v>
      </c>
      <c r="J12" s="11">
        <v>3200</v>
      </c>
      <c r="K12" s="11">
        <v>3200</v>
      </c>
    </row>
    <row r="13" spans="1:11" x14ac:dyDescent="0.15">
      <c r="A13" t="s">
        <v>71</v>
      </c>
      <c r="D13" s="7"/>
      <c r="E13">
        <v>1.9690000000000001</v>
      </c>
      <c r="F13">
        <v>2.1934</v>
      </c>
      <c r="G13" s="47">
        <v>2.09</v>
      </c>
      <c r="H13">
        <v>2.16</v>
      </c>
      <c r="I13">
        <v>2.2418</v>
      </c>
      <c r="J13">
        <v>2.0638000000000001</v>
      </c>
      <c r="K13">
        <v>2.145</v>
      </c>
    </row>
    <row r="14" spans="1:11" x14ac:dyDescent="0.15">
      <c r="A14" t="s">
        <v>72</v>
      </c>
      <c r="D14" s="7"/>
      <c r="E14">
        <v>1.8480000000000001</v>
      </c>
      <c r="F14">
        <v>0</v>
      </c>
      <c r="G14" s="47">
        <v>1.9470000000000001</v>
      </c>
      <c r="H14">
        <v>0</v>
      </c>
      <c r="I14">
        <v>0</v>
      </c>
      <c r="J14">
        <v>0</v>
      </c>
      <c r="K14">
        <v>0</v>
      </c>
    </row>
    <row r="15" spans="1:11" x14ac:dyDescent="0.15">
      <c r="A15" t="s">
        <v>75</v>
      </c>
      <c r="D15" s="7"/>
      <c r="E15">
        <v>1.6753</v>
      </c>
      <c r="F15">
        <v>1.8909</v>
      </c>
      <c r="G15" s="47">
        <v>1.7490000000000001</v>
      </c>
      <c r="H15">
        <v>1.98</v>
      </c>
      <c r="I15">
        <v>1.9778</v>
      </c>
      <c r="J15">
        <v>1.9104000000000001</v>
      </c>
      <c r="K15">
        <v>1.8149999999999999</v>
      </c>
    </row>
    <row r="16" spans="1:11" x14ac:dyDescent="0.15">
      <c r="A16" t="s">
        <v>76</v>
      </c>
      <c r="D16" s="7"/>
      <c r="E16">
        <v>1.6786000000000001</v>
      </c>
      <c r="F16">
        <v>1.7996000000000001</v>
      </c>
      <c r="G16" s="47">
        <v>1.8260000000000001</v>
      </c>
      <c r="H16">
        <v>1.94</v>
      </c>
      <c r="I16">
        <v>1.9063000000000001</v>
      </c>
      <c r="J16">
        <v>1.8176000000000001</v>
      </c>
      <c r="K16">
        <v>1.7929999999999999</v>
      </c>
    </row>
    <row r="17" spans="1:11" x14ac:dyDescent="0.15">
      <c r="A17" t="s">
        <v>86</v>
      </c>
      <c r="D17" s="7"/>
      <c r="E17">
        <v>1.5224</v>
      </c>
      <c r="F17">
        <v>0</v>
      </c>
      <c r="G17" s="47">
        <v>1.6060000000000001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80</v>
      </c>
      <c r="D18" s="7"/>
      <c r="E18">
        <v>1.4222999999999999</v>
      </c>
      <c r="F18">
        <v>1.5862000000000001</v>
      </c>
      <c r="G18" s="47">
        <v>1.5069999999999999</v>
      </c>
      <c r="H18">
        <v>1.73</v>
      </c>
      <c r="I18">
        <v>1.6797</v>
      </c>
      <c r="J18">
        <v>1.631</v>
      </c>
      <c r="K18">
        <v>1.54</v>
      </c>
    </row>
    <row r="19" spans="1:11" x14ac:dyDescent="0.15">
      <c r="A19" t="s">
        <v>81</v>
      </c>
      <c r="D19" s="7"/>
      <c r="E19">
        <v>57.848999999999997</v>
      </c>
      <c r="F19">
        <v>56.451999999999998</v>
      </c>
      <c r="G19" s="47">
        <v>58.3</v>
      </c>
      <c r="H19">
        <v>59.43</v>
      </c>
      <c r="I19">
        <v>62.92</v>
      </c>
      <c r="J19">
        <v>58.15</v>
      </c>
      <c r="K19">
        <v>50.6</v>
      </c>
    </row>
    <row r="20" spans="1:11" x14ac:dyDescent="0.15">
      <c r="D20" s="7"/>
    </row>
    <row r="21" spans="1:11" x14ac:dyDescent="0.15">
      <c r="A21" s="9" t="s">
        <v>89</v>
      </c>
      <c r="D21" s="7"/>
    </row>
    <row r="22" spans="1:11" x14ac:dyDescent="0.15">
      <c r="A22" s="9" t="s">
        <v>1032</v>
      </c>
      <c r="D22" s="7"/>
      <c r="E22" s="10" t="s">
        <v>1044</v>
      </c>
      <c r="F22" s="23" t="s">
        <v>591</v>
      </c>
      <c r="G22" s="23" t="s">
        <v>592</v>
      </c>
      <c r="H22" s="10" t="s">
        <v>544</v>
      </c>
      <c r="I22" s="10" t="s">
        <v>615</v>
      </c>
      <c r="J22" s="10" t="s">
        <v>546</v>
      </c>
      <c r="K22" s="10" t="s">
        <v>545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</row>
    <row r="27" spans="1:11" x14ac:dyDescent="0.15">
      <c r="A27" t="s">
        <v>67</v>
      </c>
      <c r="D27" s="7"/>
      <c r="E27" s="15">
        <v>6000</v>
      </c>
      <c r="F27" s="15">
        <v>3500</v>
      </c>
      <c r="G27" s="15">
        <v>6000</v>
      </c>
      <c r="H27" s="15">
        <v>3500</v>
      </c>
      <c r="I27" s="15">
        <v>3500</v>
      </c>
      <c r="J27" s="15">
        <v>3500</v>
      </c>
      <c r="K27" s="15">
        <v>3500</v>
      </c>
    </row>
    <row r="28" spans="1:11" x14ac:dyDescent="0.15">
      <c r="A28" s="11" t="s">
        <v>68</v>
      </c>
      <c r="B28" s="11"/>
      <c r="C28" s="11"/>
      <c r="D28" s="12"/>
      <c r="E28" s="11">
        <v>12000</v>
      </c>
      <c r="F28" s="11">
        <v>3500</v>
      </c>
      <c r="G28" s="11">
        <v>12000</v>
      </c>
      <c r="H28" s="11">
        <v>3500</v>
      </c>
      <c r="I28" s="11">
        <v>3500</v>
      </c>
      <c r="J28" s="11">
        <v>3500</v>
      </c>
      <c r="K28" s="11">
        <v>3500</v>
      </c>
    </row>
    <row r="29" spans="1:11" x14ac:dyDescent="0.15">
      <c r="A29" t="s">
        <v>71</v>
      </c>
      <c r="D29" s="7"/>
      <c r="E29">
        <v>2.1185999999999998</v>
      </c>
      <c r="F29">
        <v>2.4222000000000001</v>
      </c>
      <c r="G29">
        <v>2.2440000000000002</v>
      </c>
      <c r="H29">
        <v>2.2999999999999998</v>
      </c>
      <c r="I29">
        <v>2.3485</v>
      </c>
      <c r="J29">
        <v>2.2258</v>
      </c>
      <c r="K29">
        <v>2.3650000000000002</v>
      </c>
    </row>
    <row r="30" spans="1:11" x14ac:dyDescent="0.15">
      <c r="A30" t="s">
        <v>72</v>
      </c>
      <c r="D30" s="7"/>
      <c r="E30">
        <v>1.8260000000000001</v>
      </c>
      <c r="F30">
        <v>0</v>
      </c>
      <c r="G30">
        <v>2.024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75</v>
      </c>
      <c r="D31" s="7"/>
      <c r="E31">
        <v>1.6158999999999999</v>
      </c>
      <c r="F31">
        <v>1.9403999999999999</v>
      </c>
      <c r="G31">
        <v>1.7050000000000001</v>
      </c>
      <c r="H31">
        <v>2.1</v>
      </c>
      <c r="I31">
        <v>2.0922000000000001</v>
      </c>
      <c r="J31">
        <v>1.9770000000000001</v>
      </c>
      <c r="K31">
        <v>1.8149999999999999</v>
      </c>
    </row>
    <row r="32" spans="1:11" x14ac:dyDescent="0.15">
      <c r="A32" t="s">
        <v>76</v>
      </c>
      <c r="D32" s="7"/>
      <c r="E32">
        <v>1.8919999999999999</v>
      </c>
      <c r="F32">
        <v>1.9161999999999999</v>
      </c>
      <c r="G32">
        <v>1.9470000000000001</v>
      </c>
      <c r="H32">
        <v>1.98</v>
      </c>
      <c r="I32">
        <v>1.9272</v>
      </c>
      <c r="J32">
        <v>1.9639</v>
      </c>
      <c r="K32">
        <v>1.9690000000000001</v>
      </c>
    </row>
    <row r="33" spans="1:11" x14ac:dyDescent="0.15">
      <c r="A33" t="s">
        <v>86</v>
      </c>
      <c r="D33" s="7"/>
      <c r="E33">
        <v>1.6291</v>
      </c>
      <c r="F33">
        <v>0</v>
      </c>
      <c r="G33">
        <v>1.7270000000000001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80</v>
      </c>
      <c r="D34" s="7"/>
      <c r="E34">
        <v>1.5334000000000001</v>
      </c>
      <c r="F34">
        <v>1.6566000000000001</v>
      </c>
      <c r="G34">
        <v>1.4079999999999999</v>
      </c>
      <c r="H34">
        <v>1.77</v>
      </c>
      <c r="I34">
        <v>1.8546</v>
      </c>
      <c r="J34">
        <v>1.7232000000000001</v>
      </c>
      <c r="K34">
        <v>1.595</v>
      </c>
    </row>
    <row r="35" spans="1:11" x14ac:dyDescent="0.15">
      <c r="A35" t="s">
        <v>81</v>
      </c>
      <c r="D35" s="7"/>
      <c r="E35">
        <v>54.054000000000002</v>
      </c>
      <c r="F35">
        <v>55.66</v>
      </c>
      <c r="G35">
        <v>59.4</v>
      </c>
      <c r="H35">
        <v>57.73</v>
      </c>
      <c r="I35">
        <v>63.47</v>
      </c>
      <c r="J35">
        <v>57.18</v>
      </c>
      <c r="K35">
        <v>49.5</v>
      </c>
    </row>
    <row r="36" spans="1:11" x14ac:dyDescent="0.15">
      <c r="D36" s="7"/>
    </row>
    <row r="37" spans="1:11" x14ac:dyDescent="0.15">
      <c r="A37" s="9" t="s">
        <v>89</v>
      </c>
      <c r="D37" s="7"/>
    </row>
    <row r="38" spans="1:11" x14ac:dyDescent="0.15">
      <c r="A38" s="9" t="s">
        <v>1034</v>
      </c>
      <c r="D38" s="7"/>
      <c r="E38" s="10" t="s">
        <v>1044</v>
      </c>
      <c r="F38" s="23" t="s">
        <v>591</v>
      </c>
      <c r="G38" s="23" t="s">
        <v>592</v>
      </c>
      <c r="H38" s="10" t="s">
        <v>544</v>
      </c>
      <c r="I38" s="10" t="s">
        <v>615</v>
      </c>
      <c r="J38" s="10" t="s">
        <v>546</v>
      </c>
      <c r="K38" s="10" t="s">
        <v>545</v>
      </c>
    </row>
    <row r="39" spans="1:11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</row>
    <row r="40" spans="1:11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</row>
    <row r="41" spans="1:11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</row>
    <row r="42" spans="1:11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</row>
    <row r="43" spans="1:11" x14ac:dyDescent="0.15">
      <c r="A43" t="s">
        <v>67</v>
      </c>
      <c r="D43" s="7"/>
      <c r="E43" s="15">
        <v>6000</v>
      </c>
      <c r="F43" s="15">
        <v>3200</v>
      </c>
      <c r="G43" s="15">
        <v>6000</v>
      </c>
      <c r="H43" s="15">
        <v>3200</v>
      </c>
      <c r="I43" s="15">
        <v>3200</v>
      </c>
      <c r="J43" s="15">
        <v>3200</v>
      </c>
      <c r="K43" s="15">
        <v>3200</v>
      </c>
    </row>
    <row r="44" spans="1:11" x14ac:dyDescent="0.15">
      <c r="A44" s="11" t="s">
        <v>68</v>
      </c>
      <c r="B44" s="11"/>
      <c r="C44" s="11"/>
      <c r="D44" s="12"/>
      <c r="E44" s="11">
        <v>12000</v>
      </c>
      <c r="F44" s="11">
        <v>3200</v>
      </c>
      <c r="G44" s="11">
        <v>12000</v>
      </c>
      <c r="H44" s="11">
        <v>3200</v>
      </c>
      <c r="I44" s="11">
        <v>3200</v>
      </c>
      <c r="J44" s="11">
        <v>3200</v>
      </c>
      <c r="K44" s="11">
        <v>3200</v>
      </c>
    </row>
    <row r="45" spans="1:11" x14ac:dyDescent="0.15">
      <c r="A45" t="s">
        <v>71</v>
      </c>
      <c r="D45" s="7"/>
      <c r="E45">
        <v>2.1141999999999999</v>
      </c>
      <c r="F45">
        <v>2.4420000000000002</v>
      </c>
      <c r="G45" s="47">
        <v>2.343</v>
      </c>
      <c r="H45">
        <v>2.42</v>
      </c>
      <c r="I45">
        <v>2.4695</v>
      </c>
      <c r="J45">
        <v>2.3268</v>
      </c>
      <c r="K45">
        <v>2.31</v>
      </c>
    </row>
    <row r="46" spans="1:11" x14ac:dyDescent="0.15">
      <c r="A46" t="s">
        <v>72</v>
      </c>
      <c r="D46" s="7"/>
      <c r="E46">
        <v>1.7798</v>
      </c>
      <c r="F46">
        <v>0</v>
      </c>
      <c r="G46" s="47">
        <v>2.0350000000000001</v>
      </c>
      <c r="H46">
        <v>0</v>
      </c>
      <c r="I46">
        <v>0</v>
      </c>
      <c r="J46">
        <v>0</v>
      </c>
      <c r="K46">
        <v>0</v>
      </c>
    </row>
    <row r="47" spans="1:11" x14ac:dyDescent="0.15">
      <c r="A47" t="s">
        <v>75</v>
      </c>
      <c r="D47" s="7"/>
      <c r="E47">
        <v>1.3694999999999999</v>
      </c>
      <c r="F47">
        <v>1.8612</v>
      </c>
      <c r="G47" s="47">
        <v>1.6445000000000001</v>
      </c>
      <c r="H47">
        <v>1.94</v>
      </c>
      <c r="I47">
        <v>1.9701</v>
      </c>
      <c r="J47">
        <v>1.9263999999999999</v>
      </c>
      <c r="K47">
        <v>1.859</v>
      </c>
    </row>
    <row r="48" spans="1:11" x14ac:dyDescent="0.15">
      <c r="A48" t="s">
        <v>76</v>
      </c>
      <c r="D48" s="7"/>
      <c r="E48">
        <v>1.8909</v>
      </c>
      <c r="F48">
        <v>2.0889000000000002</v>
      </c>
      <c r="G48" s="47">
        <v>2.0459999999999998</v>
      </c>
      <c r="H48">
        <v>2.15</v>
      </c>
      <c r="I48">
        <v>2.1065</v>
      </c>
      <c r="J48">
        <v>2.0867</v>
      </c>
      <c r="K48">
        <v>1.9690000000000001</v>
      </c>
    </row>
    <row r="49" spans="1:11" x14ac:dyDescent="0.15">
      <c r="A49" t="s">
        <v>86</v>
      </c>
      <c r="D49" s="7"/>
      <c r="E49">
        <v>1.5466</v>
      </c>
      <c r="F49">
        <v>0</v>
      </c>
      <c r="G49" s="47">
        <v>1.859</v>
      </c>
      <c r="H49">
        <v>0</v>
      </c>
      <c r="I49">
        <v>0</v>
      </c>
      <c r="J49">
        <v>0</v>
      </c>
      <c r="K49">
        <v>0</v>
      </c>
    </row>
    <row r="50" spans="1:11" x14ac:dyDescent="0.15">
      <c r="A50" t="s">
        <v>80</v>
      </c>
      <c r="D50" s="7"/>
      <c r="E50">
        <v>1.3353999999999999</v>
      </c>
      <c r="F50">
        <v>1.6862999999999999</v>
      </c>
      <c r="G50" s="47">
        <v>1.518</v>
      </c>
      <c r="H50">
        <v>1.87</v>
      </c>
      <c r="I50">
        <v>1.8469</v>
      </c>
      <c r="J50">
        <v>1.7708999999999999</v>
      </c>
      <c r="K50">
        <v>1.65</v>
      </c>
    </row>
    <row r="51" spans="1:11" x14ac:dyDescent="0.15">
      <c r="A51" t="s">
        <v>81</v>
      </c>
      <c r="D51" s="7"/>
      <c r="E51">
        <v>60.5</v>
      </c>
      <c r="F51">
        <v>57.97</v>
      </c>
      <c r="G51" s="47">
        <v>60.5</v>
      </c>
      <c r="H51">
        <v>61.02</v>
      </c>
      <c r="I51">
        <v>64.459999999999994</v>
      </c>
      <c r="J51">
        <v>59.84</v>
      </c>
      <c r="K51">
        <v>55</v>
      </c>
    </row>
    <row r="52" spans="1:11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15">
      <c r="A53" s="9" t="s">
        <v>490</v>
      </c>
      <c r="D53" s="7"/>
      <c r="E53" s="10" t="s">
        <v>1044</v>
      </c>
      <c r="F53" s="23" t="s">
        <v>591</v>
      </c>
      <c r="G53" s="23" t="s">
        <v>592</v>
      </c>
      <c r="H53" s="23" t="s">
        <v>544</v>
      </c>
      <c r="I53" s="23" t="s">
        <v>615</v>
      </c>
      <c r="J53" s="23" t="s">
        <v>595</v>
      </c>
      <c r="K53" s="23" t="s">
        <v>596</v>
      </c>
    </row>
    <row r="54" spans="1:11" x14ac:dyDescent="0.15">
      <c r="A54" t="s">
        <v>491</v>
      </c>
      <c r="D54" s="7"/>
      <c r="E54" s="24" t="s">
        <v>547</v>
      </c>
      <c r="F54" s="25" t="s">
        <v>531</v>
      </c>
      <c r="G54" s="25" t="s">
        <v>540</v>
      </c>
      <c r="H54" s="25" t="s">
        <v>494</v>
      </c>
      <c r="I54" s="25" t="s">
        <v>494</v>
      </c>
      <c r="J54" s="25" t="s">
        <v>494</v>
      </c>
      <c r="K54" s="25" t="s">
        <v>493</v>
      </c>
    </row>
    <row r="55" spans="1:11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548</v>
      </c>
      <c r="I55" s="25" t="s">
        <v>498</v>
      </c>
      <c r="J55" s="25" t="s">
        <v>498</v>
      </c>
      <c r="K55" s="25" t="s">
        <v>527</v>
      </c>
    </row>
    <row r="56" spans="1:11" x14ac:dyDescent="0.15">
      <c r="A56" t="s">
        <v>499</v>
      </c>
      <c r="D56" s="7"/>
      <c r="E56" s="25" t="s">
        <v>528</v>
      </c>
      <c r="F56" s="37">
        <v>22</v>
      </c>
      <c r="G56" s="37">
        <v>22</v>
      </c>
      <c r="H56" s="25" t="s">
        <v>552</v>
      </c>
      <c r="I56" s="37">
        <v>20</v>
      </c>
      <c r="J56" s="37">
        <v>80</v>
      </c>
      <c r="K56" s="37">
        <v>20</v>
      </c>
    </row>
    <row r="57" spans="1:11" x14ac:dyDescent="0.15">
      <c r="A57" t="s">
        <v>501</v>
      </c>
      <c r="D57" s="7"/>
      <c r="E57" s="25" t="s">
        <v>541</v>
      </c>
      <c r="F57" s="24">
        <v>0.02</v>
      </c>
      <c r="G57" s="24" t="s">
        <v>540</v>
      </c>
      <c r="H57" s="24" t="s">
        <v>504</v>
      </c>
      <c r="I57" s="24" t="s">
        <v>553</v>
      </c>
      <c r="J57" s="24" t="s">
        <v>505</v>
      </c>
      <c r="K57" s="24" t="s">
        <v>506</v>
      </c>
    </row>
    <row r="58" spans="1:11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493</v>
      </c>
      <c r="I58" s="25" t="s">
        <v>494</v>
      </c>
      <c r="J58" s="25" t="s">
        <v>494</v>
      </c>
      <c r="K58" s="25" t="s">
        <v>500</v>
      </c>
    </row>
    <row r="59" spans="1:11" x14ac:dyDescent="0.15">
      <c r="A59" s="43"/>
      <c r="B59" s="44"/>
      <c r="C59" s="44"/>
      <c r="D59" s="44"/>
      <c r="E59" s="44"/>
      <c r="F59" s="44"/>
      <c r="G59" s="44"/>
      <c r="H59" s="44"/>
      <c r="I59" s="44"/>
      <c r="J59" s="44"/>
      <c r="K59" s="44"/>
    </row>
  </sheetData>
  <sheetProtection algorithmName="SHA-512" hashValue="a1zf1KY8tK/ZTCRn64fuFKN1qIgFs8Q2GUWJQctrmG6aUwNMN3sgz9aNXR06T7/n/V381nBBMHb8WFriBMLLTg==" saltValue="NeYmP8Lnz46dSwbP56oCR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/>
  <dimension ref="A1:K55"/>
  <sheetViews>
    <sheetView zoomScale="125" workbookViewId="0">
      <selection activeCell="M31" sqref="M31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1" x14ac:dyDescent="0.15">
      <c r="A1" t="s">
        <v>722</v>
      </c>
    </row>
    <row r="2" spans="1:11" x14ac:dyDescent="0.15">
      <c r="A2" s="33"/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1:11" x14ac:dyDescent="0.15">
      <c r="A3" s="4" t="s">
        <v>61</v>
      </c>
      <c r="B3" s="5"/>
      <c r="C3" s="5"/>
      <c r="D3" s="6"/>
      <c r="E3" s="5"/>
      <c r="F3" s="5"/>
      <c r="G3" s="5"/>
      <c r="H3" s="5"/>
      <c r="I3" s="5"/>
      <c r="J3" s="5"/>
    </row>
    <row r="4" spans="1:11" x14ac:dyDescent="0.15">
      <c r="D4" s="7"/>
      <c r="E4" s="8" t="s">
        <v>97</v>
      </c>
    </row>
    <row r="5" spans="1:11" x14ac:dyDescent="0.15">
      <c r="D5" s="7"/>
    </row>
    <row r="6" spans="1:11" x14ac:dyDescent="0.15">
      <c r="A6" s="9" t="s">
        <v>1074</v>
      </c>
      <c r="D6" s="7"/>
      <c r="E6" s="10" t="s">
        <v>1044</v>
      </c>
      <c r="F6" s="23" t="s">
        <v>591</v>
      </c>
      <c r="G6" s="23" t="s">
        <v>555</v>
      </c>
      <c r="H6" s="23" t="s">
        <v>544</v>
      </c>
      <c r="I6" s="23" t="s">
        <v>615</v>
      </c>
      <c r="J6" s="23" t="s">
        <v>595</v>
      </c>
      <c r="K6" s="23" t="s">
        <v>596</v>
      </c>
    </row>
    <row r="7" spans="1:11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  <c r="K7" s="13">
        <v>0.5</v>
      </c>
    </row>
    <row r="8" spans="1:11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  <c r="K8" s="15">
        <v>3</v>
      </c>
    </row>
    <row r="9" spans="1:11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  <c r="K9" s="13">
        <v>0.5</v>
      </c>
    </row>
    <row r="10" spans="1:11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  <c r="K10" s="15">
        <v>3</v>
      </c>
    </row>
    <row r="11" spans="1:11" x14ac:dyDescent="0.15">
      <c r="A11" t="s">
        <v>67</v>
      </c>
      <c r="D11" s="7"/>
      <c r="E11" s="15">
        <v>3000</v>
      </c>
      <c r="F11">
        <v>6000</v>
      </c>
      <c r="G11" s="15">
        <v>6000</v>
      </c>
      <c r="H11">
        <v>6000</v>
      </c>
      <c r="I11" s="15">
        <v>6000</v>
      </c>
      <c r="J11" s="15">
        <v>6000</v>
      </c>
      <c r="K11" s="15">
        <v>6000</v>
      </c>
    </row>
    <row r="12" spans="1:11" x14ac:dyDescent="0.15">
      <c r="A12" t="s">
        <v>68</v>
      </c>
      <c r="D12" s="7"/>
      <c r="E12">
        <v>6000</v>
      </c>
      <c r="F12">
        <v>9000</v>
      </c>
      <c r="G12" s="15">
        <v>9000</v>
      </c>
      <c r="H12">
        <v>6000</v>
      </c>
      <c r="I12">
        <v>9000</v>
      </c>
      <c r="J12">
        <v>9000</v>
      </c>
      <c r="K12">
        <v>9000</v>
      </c>
    </row>
    <row r="13" spans="1:11" x14ac:dyDescent="0.15">
      <c r="A13" t="s">
        <v>69</v>
      </c>
      <c r="D13" s="7"/>
      <c r="E13">
        <v>9000</v>
      </c>
      <c r="F13" s="15">
        <v>9000</v>
      </c>
      <c r="G13">
        <v>9000</v>
      </c>
      <c r="H13">
        <v>6000</v>
      </c>
      <c r="I13" s="15">
        <v>9000</v>
      </c>
      <c r="J13" s="15">
        <v>9000</v>
      </c>
      <c r="K13" s="15">
        <v>9000</v>
      </c>
    </row>
    <row r="14" spans="1:11" x14ac:dyDescent="0.15">
      <c r="A14" s="11" t="s">
        <v>70</v>
      </c>
      <c r="B14" s="11"/>
      <c r="C14" s="11"/>
      <c r="D14" s="12"/>
      <c r="E14" s="11">
        <v>15000</v>
      </c>
      <c r="F14" s="11">
        <v>9000</v>
      </c>
      <c r="G14" s="11">
        <v>9000</v>
      </c>
      <c r="H14" s="11">
        <v>6000</v>
      </c>
      <c r="I14" s="11">
        <v>9000</v>
      </c>
      <c r="J14" s="11">
        <v>9000</v>
      </c>
      <c r="K14" s="11">
        <v>9000</v>
      </c>
    </row>
    <row r="15" spans="1:11" x14ac:dyDescent="0.15">
      <c r="A15" t="s">
        <v>71</v>
      </c>
      <c r="D15" s="7"/>
      <c r="E15">
        <v>1.9877</v>
      </c>
      <c r="F15">
        <v>2.0625</v>
      </c>
      <c r="G15">
        <v>2.0595300000000001</v>
      </c>
      <c r="H15">
        <v>2</v>
      </c>
      <c r="I15">
        <v>2.2429000000000001</v>
      </c>
      <c r="J15">
        <v>2.133</v>
      </c>
      <c r="K15" s="35">
        <v>2.09</v>
      </c>
    </row>
    <row r="16" spans="1:11" x14ac:dyDescent="0.15">
      <c r="A16" t="s">
        <v>72</v>
      </c>
      <c r="D16" s="7"/>
      <c r="E16">
        <v>1.7171000000000001</v>
      </c>
      <c r="F16">
        <v>1.6093</v>
      </c>
      <c r="G16">
        <v>1.48346</v>
      </c>
      <c r="H16">
        <v>0</v>
      </c>
      <c r="I16">
        <v>1.6368</v>
      </c>
      <c r="J16">
        <v>1.5920000000000001</v>
      </c>
      <c r="K16" s="35">
        <v>1.6279999999999999</v>
      </c>
    </row>
    <row r="17" spans="1:11" x14ac:dyDescent="0.15">
      <c r="A17" t="s">
        <v>73</v>
      </c>
      <c r="D17" s="7"/>
      <c r="E17">
        <v>1.3684000000000001</v>
      </c>
      <c r="F17">
        <v>0</v>
      </c>
      <c r="G17">
        <v>0</v>
      </c>
      <c r="H17">
        <v>0</v>
      </c>
      <c r="I17">
        <v>0</v>
      </c>
      <c r="J17">
        <v>0</v>
      </c>
      <c r="K17" s="22">
        <v>0</v>
      </c>
    </row>
    <row r="18" spans="1:11" x14ac:dyDescent="0.15">
      <c r="A18" t="s">
        <v>74</v>
      </c>
      <c r="D18" s="7"/>
      <c r="E18">
        <v>1.1836</v>
      </c>
      <c r="F18">
        <v>0</v>
      </c>
      <c r="G18">
        <v>0</v>
      </c>
      <c r="H18">
        <v>0</v>
      </c>
      <c r="I18">
        <v>0</v>
      </c>
      <c r="J18">
        <v>0</v>
      </c>
      <c r="K18" s="22">
        <v>0</v>
      </c>
    </row>
    <row r="19" spans="1:11" x14ac:dyDescent="0.15">
      <c r="A19" t="s">
        <v>75</v>
      </c>
      <c r="D19" s="7"/>
      <c r="E19">
        <v>1.0713999999999999</v>
      </c>
      <c r="F19">
        <v>1.0538000000000001</v>
      </c>
      <c r="G19">
        <v>1.0888899999999999</v>
      </c>
      <c r="H19">
        <v>1.5</v>
      </c>
      <c r="I19">
        <v>1.1231</v>
      </c>
      <c r="J19">
        <v>1.169</v>
      </c>
      <c r="K19" s="22">
        <v>1.21</v>
      </c>
    </row>
    <row r="20" spans="1:11" x14ac:dyDescent="0.15">
      <c r="A20" t="s">
        <v>76</v>
      </c>
      <c r="D20" s="7"/>
      <c r="E20">
        <v>1.8546</v>
      </c>
      <c r="F20">
        <v>1.8381000000000001</v>
      </c>
      <c r="G20">
        <v>2.0128900000000001</v>
      </c>
      <c r="H20">
        <v>1.93</v>
      </c>
      <c r="I20">
        <v>2.0855999999999999</v>
      </c>
      <c r="J20">
        <v>2.0139999999999998</v>
      </c>
      <c r="K20" s="22">
        <v>1.87</v>
      </c>
    </row>
    <row r="21" spans="1:11" x14ac:dyDescent="0.15">
      <c r="A21" t="s">
        <v>77</v>
      </c>
      <c r="D21" s="7"/>
      <c r="E21">
        <v>1.617</v>
      </c>
      <c r="F21">
        <v>1.3673</v>
      </c>
      <c r="G21">
        <v>1.44485</v>
      </c>
      <c r="H21">
        <v>0</v>
      </c>
      <c r="I21">
        <v>1.4212</v>
      </c>
      <c r="J21">
        <v>1.5069999999999999</v>
      </c>
      <c r="K21" s="22">
        <v>1.452</v>
      </c>
    </row>
    <row r="22" spans="1:11" x14ac:dyDescent="0.15">
      <c r="A22" t="s">
        <v>78</v>
      </c>
      <c r="D22" s="7"/>
      <c r="E22">
        <v>1.3145</v>
      </c>
      <c r="F22">
        <v>0</v>
      </c>
      <c r="G22">
        <v>0</v>
      </c>
      <c r="H22">
        <v>0</v>
      </c>
      <c r="I22">
        <v>0</v>
      </c>
      <c r="J22">
        <v>0</v>
      </c>
      <c r="K22" s="22">
        <v>0</v>
      </c>
    </row>
    <row r="23" spans="1:11" x14ac:dyDescent="0.15">
      <c r="A23" t="s">
        <v>79</v>
      </c>
      <c r="D23" s="7"/>
      <c r="E23">
        <v>1.1560999999999999</v>
      </c>
      <c r="F23">
        <v>0</v>
      </c>
      <c r="G23">
        <v>0</v>
      </c>
      <c r="H23">
        <v>0</v>
      </c>
      <c r="I23">
        <v>0</v>
      </c>
      <c r="J23">
        <v>0</v>
      </c>
      <c r="K23" s="22">
        <v>0</v>
      </c>
    </row>
    <row r="24" spans="1:11" x14ac:dyDescent="0.15">
      <c r="A24" t="s">
        <v>80</v>
      </c>
      <c r="D24" s="7"/>
      <c r="E24">
        <v>1.0538000000000001</v>
      </c>
      <c r="F24">
        <v>0.97130000000000005</v>
      </c>
      <c r="G24">
        <v>1.08405</v>
      </c>
      <c r="H24">
        <v>1.44</v>
      </c>
      <c r="I24">
        <v>1.0615000000000001</v>
      </c>
      <c r="J24">
        <v>1.085</v>
      </c>
      <c r="K24" s="22">
        <v>1.177</v>
      </c>
    </row>
    <row r="25" spans="1:11" x14ac:dyDescent="0.15">
      <c r="A25" t="s">
        <v>81</v>
      </c>
      <c r="D25" s="7"/>
      <c r="E25">
        <v>60.884999999999998</v>
      </c>
      <c r="F25">
        <v>64.063999999999993</v>
      </c>
      <c r="G25">
        <v>62.271000000000001</v>
      </c>
      <c r="H25">
        <v>60.8</v>
      </c>
      <c r="I25">
        <v>73.271000000000001</v>
      </c>
      <c r="J25">
        <v>66.8</v>
      </c>
      <c r="K25" s="35">
        <v>57.75</v>
      </c>
    </row>
    <row r="26" spans="1:11" x14ac:dyDescent="0.15">
      <c r="D26" s="7"/>
    </row>
    <row r="27" spans="1:11" x14ac:dyDescent="0.15">
      <c r="D27" s="7"/>
    </row>
    <row r="28" spans="1:11" x14ac:dyDescent="0.15">
      <c r="A28" s="9" t="s">
        <v>1076</v>
      </c>
      <c r="D28" s="7"/>
      <c r="E28" s="10" t="s">
        <v>1044</v>
      </c>
      <c r="F28" s="10" t="s">
        <v>591</v>
      </c>
      <c r="G28" s="10" t="s">
        <v>555</v>
      </c>
      <c r="H28" s="10" t="s">
        <v>544</v>
      </c>
      <c r="I28" s="10" t="s">
        <v>615</v>
      </c>
      <c r="J28" s="10" t="s">
        <v>546</v>
      </c>
      <c r="K28" s="10" t="s">
        <v>545</v>
      </c>
    </row>
    <row r="29" spans="1:11" x14ac:dyDescent="0.15">
      <c r="A29" s="1" t="s">
        <v>63</v>
      </c>
      <c r="D29" s="7"/>
      <c r="E29" s="13">
        <v>0.5</v>
      </c>
      <c r="F29" s="13">
        <v>0.5</v>
      </c>
      <c r="G29" s="14">
        <v>0.33329999999999999</v>
      </c>
      <c r="H29" s="14">
        <v>0.33329999999999999</v>
      </c>
      <c r="I29" s="14">
        <v>0.33329999999999999</v>
      </c>
      <c r="J29" s="13">
        <v>0.5</v>
      </c>
      <c r="K29" s="13">
        <v>0.5</v>
      </c>
    </row>
    <row r="30" spans="1:11" x14ac:dyDescent="0.15">
      <c r="A30" s="1" t="s">
        <v>64</v>
      </c>
      <c r="D30" s="7"/>
      <c r="E30" s="15">
        <v>3</v>
      </c>
      <c r="F30" s="15">
        <v>3</v>
      </c>
      <c r="G30" s="15">
        <v>2</v>
      </c>
      <c r="H30" s="15">
        <v>2</v>
      </c>
      <c r="I30" s="15">
        <v>2</v>
      </c>
      <c r="J30" s="15">
        <v>3</v>
      </c>
      <c r="K30" s="15">
        <v>3</v>
      </c>
    </row>
    <row r="31" spans="1:11" x14ac:dyDescent="0.15">
      <c r="A31" s="1" t="s">
        <v>65</v>
      </c>
      <c r="D31" s="7"/>
      <c r="E31" s="13">
        <v>0.5</v>
      </c>
      <c r="F31" s="13">
        <v>0.5</v>
      </c>
      <c r="G31" s="14">
        <v>0.66659999999999997</v>
      </c>
      <c r="H31" s="14">
        <v>0.66659999999999997</v>
      </c>
      <c r="I31" s="14">
        <v>0.66659999999999997</v>
      </c>
      <c r="J31" s="13">
        <v>0.5</v>
      </c>
      <c r="K31" s="13">
        <v>0.5</v>
      </c>
    </row>
    <row r="32" spans="1:11" x14ac:dyDescent="0.15">
      <c r="A32" s="1" t="s">
        <v>66</v>
      </c>
      <c r="D32" s="7"/>
      <c r="E32" s="15">
        <v>3</v>
      </c>
      <c r="F32" s="15">
        <v>3</v>
      </c>
      <c r="G32" s="15">
        <v>4</v>
      </c>
      <c r="H32" s="15">
        <v>4</v>
      </c>
      <c r="I32" s="15">
        <v>4</v>
      </c>
      <c r="J32" s="15">
        <v>3</v>
      </c>
      <c r="K32" s="15">
        <v>3</v>
      </c>
    </row>
    <row r="33" spans="1:11" x14ac:dyDescent="0.15">
      <c r="A33" t="s">
        <v>67</v>
      </c>
      <c r="D33" s="7"/>
      <c r="E33" s="15">
        <v>3000</v>
      </c>
      <c r="F33" s="15">
        <v>3500</v>
      </c>
      <c r="G33" s="15">
        <v>3500</v>
      </c>
      <c r="H33" s="15">
        <v>3500</v>
      </c>
      <c r="I33" s="15">
        <v>3500</v>
      </c>
      <c r="J33" s="15">
        <v>3500</v>
      </c>
      <c r="K33" s="15">
        <v>3500</v>
      </c>
    </row>
    <row r="34" spans="1:11" x14ac:dyDescent="0.15">
      <c r="A34" t="s">
        <v>68</v>
      </c>
      <c r="D34" s="7"/>
      <c r="E34" s="15">
        <v>6000</v>
      </c>
      <c r="F34" s="15">
        <v>3500</v>
      </c>
      <c r="G34" s="15">
        <v>3500</v>
      </c>
      <c r="H34" s="15">
        <v>3500</v>
      </c>
      <c r="I34" s="15">
        <v>3500</v>
      </c>
      <c r="J34" s="15">
        <v>3500</v>
      </c>
      <c r="K34" s="15">
        <v>3500</v>
      </c>
    </row>
    <row r="35" spans="1:11" x14ac:dyDescent="0.15">
      <c r="A35" t="s">
        <v>69</v>
      </c>
      <c r="D35" s="7"/>
      <c r="E35" s="15">
        <v>9000</v>
      </c>
      <c r="F35" s="15">
        <v>3500</v>
      </c>
      <c r="G35" s="15">
        <v>3500</v>
      </c>
      <c r="H35" s="15">
        <v>3500</v>
      </c>
      <c r="I35" s="15">
        <v>3500</v>
      </c>
      <c r="J35" s="15">
        <v>3500</v>
      </c>
      <c r="K35" s="15">
        <v>3500</v>
      </c>
    </row>
    <row r="36" spans="1:11" x14ac:dyDescent="0.15">
      <c r="A36" s="11" t="s">
        <v>70</v>
      </c>
      <c r="B36" s="11"/>
      <c r="C36" s="11"/>
      <c r="D36" s="12"/>
      <c r="E36" s="11">
        <v>15000</v>
      </c>
      <c r="F36" s="11">
        <v>3500</v>
      </c>
      <c r="G36" s="11">
        <v>3500</v>
      </c>
      <c r="H36" s="11">
        <v>3500</v>
      </c>
      <c r="I36" s="11">
        <v>3500</v>
      </c>
      <c r="J36" s="11">
        <v>3500</v>
      </c>
      <c r="K36" s="11">
        <v>3500</v>
      </c>
    </row>
    <row r="37" spans="1:11" x14ac:dyDescent="0.15">
      <c r="A37" t="s">
        <v>71</v>
      </c>
      <c r="D37" s="7"/>
      <c r="E37">
        <v>1.9184000000000001</v>
      </c>
      <c r="F37">
        <v>2.0284</v>
      </c>
      <c r="G37">
        <v>1.88001</v>
      </c>
      <c r="H37">
        <v>1.91</v>
      </c>
      <c r="I37">
        <v>2.0118999999999998</v>
      </c>
      <c r="J37">
        <v>1.984</v>
      </c>
      <c r="K37" s="22">
        <v>1.9910000000000001</v>
      </c>
    </row>
    <row r="38" spans="1:11" x14ac:dyDescent="0.15">
      <c r="A38" t="s">
        <v>72</v>
      </c>
      <c r="D38" s="7"/>
      <c r="E38">
        <v>1.6973</v>
      </c>
      <c r="F38">
        <v>0</v>
      </c>
      <c r="G38">
        <v>0</v>
      </c>
      <c r="H38">
        <v>0</v>
      </c>
      <c r="I38">
        <v>0</v>
      </c>
      <c r="J38" s="15">
        <v>0</v>
      </c>
      <c r="K38" s="36">
        <v>0</v>
      </c>
    </row>
    <row r="39" spans="1:11" x14ac:dyDescent="0.15">
      <c r="A39" t="s">
        <v>73</v>
      </c>
      <c r="D39" s="7"/>
      <c r="E39">
        <v>1.4827999999999999</v>
      </c>
      <c r="F39">
        <v>0</v>
      </c>
      <c r="G39">
        <v>0</v>
      </c>
      <c r="H39">
        <v>0</v>
      </c>
      <c r="I39">
        <v>0</v>
      </c>
      <c r="J39" s="15">
        <v>0</v>
      </c>
      <c r="K39" s="36">
        <v>0</v>
      </c>
    </row>
    <row r="40" spans="1:11" x14ac:dyDescent="0.15">
      <c r="A40" t="s">
        <v>74</v>
      </c>
      <c r="D40" s="7"/>
      <c r="E40">
        <v>1.4289000000000001</v>
      </c>
      <c r="F40">
        <v>0</v>
      </c>
      <c r="G40">
        <v>0</v>
      </c>
      <c r="H40">
        <v>0</v>
      </c>
      <c r="I40">
        <v>0</v>
      </c>
      <c r="J40" s="15">
        <v>0</v>
      </c>
      <c r="K40" s="36">
        <v>0</v>
      </c>
    </row>
    <row r="41" spans="1:11" x14ac:dyDescent="0.15">
      <c r="A41" t="s">
        <v>75</v>
      </c>
      <c r="D41" s="7"/>
      <c r="E41">
        <v>1.3607</v>
      </c>
      <c r="F41">
        <v>1.5961000000000001</v>
      </c>
      <c r="G41">
        <v>1.5970899999999999</v>
      </c>
      <c r="H41">
        <v>1.6</v>
      </c>
      <c r="I41">
        <v>1.7369000000000001</v>
      </c>
      <c r="J41">
        <v>1.7110000000000001</v>
      </c>
      <c r="K41" s="22">
        <v>1.716</v>
      </c>
    </row>
    <row r="42" spans="1:11" x14ac:dyDescent="0.15">
      <c r="A42" t="s">
        <v>76</v>
      </c>
      <c r="D42" s="7"/>
      <c r="E42">
        <v>1.7776000000000001</v>
      </c>
      <c r="F42">
        <v>1.8227</v>
      </c>
      <c r="G42">
        <v>1.7501</v>
      </c>
      <c r="H42">
        <v>1.81</v>
      </c>
      <c r="I42">
        <v>1.9217</v>
      </c>
      <c r="J42">
        <v>1.8660000000000001</v>
      </c>
      <c r="K42" s="22">
        <v>1.804</v>
      </c>
    </row>
    <row r="43" spans="1:11" x14ac:dyDescent="0.15">
      <c r="A43" t="s">
        <v>77</v>
      </c>
      <c r="D43" s="7"/>
      <c r="E43">
        <v>1.6005</v>
      </c>
      <c r="F43">
        <v>0</v>
      </c>
      <c r="G43">
        <v>0</v>
      </c>
      <c r="H43">
        <v>0</v>
      </c>
      <c r="I43">
        <v>0</v>
      </c>
      <c r="J43" s="15">
        <v>0</v>
      </c>
      <c r="K43" s="36">
        <v>0</v>
      </c>
    </row>
    <row r="44" spans="1:11" x14ac:dyDescent="0.15">
      <c r="A44" t="s">
        <v>78</v>
      </c>
      <c r="D44" s="7"/>
      <c r="E44">
        <v>1.4200999999999999</v>
      </c>
      <c r="F44">
        <v>0</v>
      </c>
      <c r="G44">
        <v>0</v>
      </c>
      <c r="H44">
        <v>0</v>
      </c>
      <c r="I44">
        <v>0</v>
      </c>
      <c r="J44" s="15">
        <v>0</v>
      </c>
      <c r="K44" s="36">
        <v>0</v>
      </c>
    </row>
    <row r="45" spans="1:11" x14ac:dyDescent="0.15">
      <c r="A45" t="s">
        <v>79</v>
      </c>
      <c r="D45" s="7"/>
      <c r="E45">
        <v>1.3948</v>
      </c>
      <c r="F45">
        <v>0</v>
      </c>
      <c r="G45">
        <v>0</v>
      </c>
      <c r="H45">
        <v>0</v>
      </c>
      <c r="I45">
        <v>0</v>
      </c>
      <c r="J45" s="15">
        <v>0</v>
      </c>
      <c r="K45" s="36">
        <v>0</v>
      </c>
    </row>
    <row r="46" spans="1:11" x14ac:dyDescent="0.15">
      <c r="A46" t="s">
        <v>80</v>
      </c>
      <c r="D46" s="7"/>
      <c r="E46">
        <v>1.3288</v>
      </c>
      <c r="F46">
        <v>1.3232999999999999</v>
      </c>
      <c r="G46">
        <v>1.39557</v>
      </c>
      <c r="H46">
        <v>1.44</v>
      </c>
      <c r="I46">
        <v>1.5025999999999999</v>
      </c>
      <c r="J46">
        <v>1.6259999999999999</v>
      </c>
      <c r="K46" s="22">
        <v>1.452</v>
      </c>
    </row>
    <row r="47" spans="1:11" x14ac:dyDescent="0.15">
      <c r="A47" t="s">
        <v>81</v>
      </c>
      <c r="D47" s="7"/>
      <c r="E47">
        <v>51.898000000000003</v>
      </c>
      <c r="F47">
        <v>58.3</v>
      </c>
      <c r="G47">
        <v>58.420999999999999</v>
      </c>
      <c r="H47">
        <v>56.12</v>
      </c>
      <c r="I47">
        <v>66.450999999999993</v>
      </c>
      <c r="J47">
        <v>58.5</v>
      </c>
      <c r="K47" s="22">
        <v>50.6</v>
      </c>
    </row>
    <row r="48" spans="1:1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15">
      <c r="A49" s="9" t="s">
        <v>490</v>
      </c>
      <c r="D49" s="7"/>
      <c r="E49" s="10" t="s">
        <v>1044</v>
      </c>
      <c r="F49" s="23" t="s">
        <v>591</v>
      </c>
      <c r="G49" s="23" t="s">
        <v>555</v>
      </c>
      <c r="H49" s="23" t="s">
        <v>544</v>
      </c>
      <c r="I49" s="23" t="s">
        <v>615</v>
      </c>
      <c r="J49" s="23" t="s">
        <v>595</v>
      </c>
      <c r="K49" s="23" t="s">
        <v>596</v>
      </c>
    </row>
    <row r="50" spans="1:11" x14ac:dyDescent="0.15">
      <c r="A50" t="s">
        <v>491</v>
      </c>
      <c r="D50" s="7"/>
      <c r="E50" s="24" t="s">
        <v>556</v>
      </c>
      <c r="F50" s="25" t="s">
        <v>535</v>
      </c>
      <c r="G50" s="25" t="s">
        <v>540</v>
      </c>
      <c r="H50" s="25" t="s">
        <v>494</v>
      </c>
      <c r="I50" s="25" t="s">
        <v>494</v>
      </c>
      <c r="J50" s="25" t="s">
        <v>494</v>
      </c>
      <c r="K50" s="25" t="s">
        <v>493</v>
      </c>
    </row>
    <row r="51" spans="1:11" x14ac:dyDescent="0.15">
      <c r="A51" t="s">
        <v>496</v>
      </c>
      <c r="D51" s="7"/>
      <c r="E51" s="25" t="s">
        <v>498</v>
      </c>
      <c r="F51" s="25" t="s">
        <v>497</v>
      </c>
      <c r="G51" s="25" t="s">
        <v>526</v>
      </c>
      <c r="H51" s="25" t="s">
        <v>493</v>
      </c>
      <c r="I51" s="25" t="s">
        <v>498</v>
      </c>
      <c r="J51" s="25" t="s">
        <v>498</v>
      </c>
      <c r="K51" s="25" t="s">
        <v>527</v>
      </c>
    </row>
    <row r="52" spans="1:11" x14ac:dyDescent="0.15">
      <c r="A52" t="s">
        <v>499</v>
      </c>
      <c r="D52" s="7"/>
      <c r="E52" s="25" t="s">
        <v>557</v>
      </c>
      <c r="F52" s="37">
        <v>22</v>
      </c>
      <c r="G52" s="37">
        <v>22</v>
      </c>
      <c r="H52" s="25" t="s">
        <v>493</v>
      </c>
      <c r="I52" s="37">
        <v>20</v>
      </c>
      <c r="J52" s="37">
        <v>80</v>
      </c>
      <c r="K52" s="37">
        <v>20</v>
      </c>
    </row>
    <row r="53" spans="1:11" x14ac:dyDescent="0.15">
      <c r="A53" t="s">
        <v>501</v>
      </c>
      <c r="D53" s="7"/>
      <c r="E53" s="25" t="s">
        <v>494</v>
      </c>
      <c r="F53" s="24">
        <v>0.02</v>
      </c>
      <c r="G53" s="24" t="s">
        <v>540</v>
      </c>
      <c r="H53" s="24" t="s">
        <v>558</v>
      </c>
      <c r="I53" s="24" t="s">
        <v>553</v>
      </c>
      <c r="J53" s="24" t="s">
        <v>523</v>
      </c>
      <c r="K53" s="24" t="s">
        <v>531</v>
      </c>
    </row>
    <row r="54" spans="1:11" x14ac:dyDescent="0.15">
      <c r="A54" t="s">
        <v>442</v>
      </c>
      <c r="D54" s="7"/>
      <c r="E54" s="25" t="s">
        <v>512</v>
      </c>
      <c r="F54" s="25" t="s">
        <v>500</v>
      </c>
      <c r="G54" s="25" t="s">
        <v>494</v>
      </c>
      <c r="H54" s="25" t="s">
        <v>493</v>
      </c>
      <c r="I54" s="25" t="s">
        <v>494</v>
      </c>
      <c r="J54" s="25" t="s">
        <v>494</v>
      </c>
      <c r="K54" s="25" t="s">
        <v>500</v>
      </c>
    </row>
    <row r="55" spans="1:11" x14ac:dyDescent="0.15">
      <c r="A55" s="33"/>
      <c r="B55" s="34"/>
      <c r="C55" s="34"/>
      <c r="D55" s="34"/>
      <c r="E55" s="34"/>
      <c r="F55" s="34"/>
      <c r="G55" s="34"/>
      <c r="H55" s="34"/>
      <c r="I55" s="34"/>
      <c r="J55" s="34"/>
      <c r="K55" s="34"/>
    </row>
  </sheetData>
  <sheetProtection algorithmName="SHA-512" hashValue="Ef2TNFesZXfWc2D6oC7OuKdtpCNh4PQk2JlxxGhcFpFZtGveBYvXhCgsgLbvBPJ/5jKmfu6p8NS4naO7eBFsvA==" saltValue="yqWtsiGuQyAYpebYLYq07w==" spinCount="100000" sheet="1" objects="1" scenarios="1"/>
  <phoneticPr fontId="20" type="noConversion"/>
  <pageMargins left="0.75" right="0.75" top="1" bottom="1" header="0.5" footer="0.5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/>
  <dimension ref="A1:K59"/>
  <sheetViews>
    <sheetView topLeftCell="A11" zoomScale="125" workbookViewId="0">
      <selection sqref="A1:K5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1" x14ac:dyDescent="0.15">
      <c r="A1" t="s">
        <v>722</v>
      </c>
    </row>
    <row r="2" spans="1:11" x14ac:dyDescent="0.15">
      <c r="A2" s="33"/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1:11" x14ac:dyDescent="0.15">
      <c r="A3" s="4" t="s">
        <v>82</v>
      </c>
      <c r="B3" s="5"/>
      <c r="C3" s="5"/>
      <c r="D3" s="6"/>
      <c r="E3" s="5"/>
      <c r="F3" s="5"/>
      <c r="G3" s="5"/>
      <c r="H3" s="5"/>
      <c r="I3" s="5"/>
      <c r="J3" s="5"/>
    </row>
    <row r="4" spans="1:11" x14ac:dyDescent="0.15">
      <c r="D4" s="7"/>
      <c r="E4" s="8" t="s">
        <v>98</v>
      </c>
    </row>
    <row r="5" spans="1:11" x14ac:dyDescent="0.15">
      <c r="A5" s="9" t="s">
        <v>83</v>
      </c>
      <c r="D5" s="7"/>
    </row>
    <row r="6" spans="1:11" x14ac:dyDescent="0.15">
      <c r="A6" s="9" t="s">
        <v>1024</v>
      </c>
      <c r="D6" s="7"/>
      <c r="E6" s="10" t="s">
        <v>1044</v>
      </c>
      <c r="F6" s="23" t="s">
        <v>591</v>
      </c>
      <c r="G6" s="23" t="s">
        <v>555</v>
      </c>
      <c r="H6" s="23" t="s">
        <v>544</v>
      </c>
      <c r="I6" s="23" t="s">
        <v>615</v>
      </c>
      <c r="J6" s="23" t="s">
        <v>595</v>
      </c>
      <c r="K6" s="23" t="s">
        <v>596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t="s">
        <v>67</v>
      </c>
      <c r="D11" s="7"/>
      <c r="E11" s="15">
        <v>6000</v>
      </c>
      <c r="F11">
        <v>4000</v>
      </c>
      <c r="G11" s="15">
        <v>4000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1" t="s">
        <v>84</v>
      </c>
      <c r="B12" s="11"/>
      <c r="C12" s="11"/>
      <c r="D12" s="12"/>
      <c r="E12" s="11">
        <v>12000</v>
      </c>
      <c r="F12" s="11">
        <v>12000</v>
      </c>
      <c r="G12" s="32">
        <v>12000</v>
      </c>
      <c r="H12" s="11">
        <v>4000</v>
      </c>
      <c r="I12" s="11">
        <v>12000</v>
      </c>
      <c r="J12" s="11">
        <v>12000</v>
      </c>
      <c r="K12" s="11">
        <v>12000</v>
      </c>
    </row>
    <row r="13" spans="1:11" x14ac:dyDescent="0.15">
      <c r="A13" t="s">
        <v>71</v>
      </c>
      <c r="D13" s="7"/>
      <c r="E13">
        <v>1.8050999999999999</v>
      </c>
      <c r="F13">
        <v>1.9502999999999999</v>
      </c>
      <c r="G13">
        <v>1.91411</v>
      </c>
      <c r="H13">
        <v>1.92</v>
      </c>
      <c r="I13">
        <v>2.0647000000000002</v>
      </c>
      <c r="J13">
        <v>1.9359999999999999</v>
      </c>
      <c r="K13">
        <v>1.98</v>
      </c>
    </row>
    <row r="14" spans="1:11" x14ac:dyDescent="0.15">
      <c r="A14" t="s">
        <v>72</v>
      </c>
      <c r="D14" s="7"/>
      <c r="E14">
        <v>1.6620999999999999</v>
      </c>
      <c r="F14">
        <v>1.8403</v>
      </c>
      <c r="G14">
        <v>1.7813399999999999</v>
      </c>
      <c r="H14">
        <v>0</v>
      </c>
      <c r="I14">
        <v>1.958</v>
      </c>
      <c r="J14">
        <v>1.833</v>
      </c>
      <c r="K14">
        <v>1.859</v>
      </c>
    </row>
    <row r="15" spans="1:11" x14ac:dyDescent="0.15">
      <c r="A15" t="s">
        <v>75</v>
      </c>
      <c r="D15" s="7"/>
      <c r="E15">
        <v>1.3926000000000001</v>
      </c>
      <c r="F15">
        <v>1.4256</v>
      </c>
      <c r="G15">
        <v>1.3616900000000001</v>
      </c>
      <c r="H15">
        <v>1.8</v>
      </c>
      <c r="I15">
        <v>1.5158</v>
      </c>
      <c r="J15">
        <v>1.425</v>
      </c>
      <c r="K15">
        <v>1.4410000000000001</v>
      </c>
    </row>
    <row r="16" spans="1:11" x14ac:dyDescent="0.15">
      <c r="A16" t="s">
        <v>76</v>
      </c>
      <c r="D16" s="7"/>
      <c r="E16">
        <v>1.7336</v>
      </c>
      <c r="F16">
        <v>1.7457</v>
      </c>
      <c r="G16">
        <v>1.8225899999999999</v>
      </c>
      <c r="H16">
        <v>1.86</v>
      </c>
      <c r="I16">
        <v>1.9734</v>
      </c>
      <c r="J16">
        <v>1.909</v>
      </c>
      <c r="K16">
        <v>1.7929999999999999</v>
      </c>
    </row>
    <row r="17" spans="1:11" x14ac:dyDescent="0.15">
      <c r="A17" t="s">
        <v>77</v>
      </c>
      <c r="D17" s="7"/>
      <c r="E17">
        <v>1.6136999999999999</v>
      </c>
      <c r="F17">
        <v>1.7423999999999999</v>
      </c>
      <c r="G17">
        <v>1.7138</v>
      </c>
      <c r="H17">
        <v>0</v>
      </c>
      <c r="I17">
        <v>1.8986000000000001</v>
      </c>
      <c r="J17">
        <v>1.7929999999999999</v>
      </c>
      <c r="K17">
        <v>1.76</v>
      </c>
    </row>
    <row r="18" spans="1:11" x14ac:dyDescent="0.15">
      <c r="A18" t="s">
        <v>80</v>
      </c>
      <c r="D18" s="7"/>
      <c r="E18">
        <v>1.3375999999999999</v>
      </c>
      <c r="F18">
        <v>1.3222</v>
      </c>
      <c r="G18">
        <v>1.32033</v>
      </c>
      <c r="H18">
        <v>1.78</v>
      </c>
      <c r="I18">
        <v>1.4696</v>
      </c>
      <c r="J18">
        <v>1.385</v>
      </c>
      <c r="K18">
        <v>1.375</v>
      </c>
    </row>
    <row r="19" spans="1:11" x14ac:dyDescent="0.15">
      <c r="A19" t="s">
        <v>81</v>
      </c>
      <c r="D19" s="7"/>
      <c r="E19">
        <v>60.247</v>
      </c>
      <c r="F19">
        <v>59.719000000000001</v>
      </c>
      <c r="G19">
        <v>62.512999999999998</v>
      </c>
      <c r="H19">
        <v>60.8</v>
      </c>
      <c r="I19">
        <v>66.319000000000003</v>
      </c>
      <c r="J19">
        <v>66.7</v>
      </c>
      <c r="K19">
        <v>55</v>
      </c>
    </row>
    <row r="20" spans="1:11" x14ac:dyDescent="0.15">
      <c r="D20" s="7"/>
    </row>
    <row r="21" spans="1:11" x14ac:dyDescent="0.15">
      <c r="A21" s="9" t="s">
        <v>85</v>
      </c>
      <c r="D21" s="7"/>
    </row>
    <row r="22" spans="1:11" x14ac:dyDescent="0.15">
      <c r="A22" s="9" t="s">
        <v>488</v>
      </c>
      <c r="D22" s="7"/>
      <c r="E22" s="10" t="s">
        <v>1044</v>
      </c>
      <c r="F22" s="10" t="s">
        <v>591</v>
      </c>
      <c r="G22" s="10" t="s">
        <v>555</v>
      </c>
      <c r="H22" s="10" t="s">
        <v>544</v>
      </c>
      <c r="I22" s="10" t="s">
        <v>615</v>
      </c>
      <c r="J22" s="10" t="s">
        <v>546</v>
      </c>
      <c r="K22" s="10" t="s">
        <v>545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</row>
    <row r="27" spans="1:11" x14ac:dyDescent="0.15">
      <c r="A27" t="s">
        <v>67</v>
      </c>
      <c r="D27" s="7"/>
      <c r="E27" s="15">
        <v>6000</v>
      </c>
      <c r="F27" s="15">
        <v>3200</v>
      </c>
      <c r="G27" s="15">
        <v>3200</v>
      </c>
      <c r="H27" s="15">
        <v>3200</v>
      </c>
      <c r="I27" s="15">
        <v>3200</v>
      </c>
      <c r="J27" s="15">
        <v>3200</v>
      </c>
      <c r="K27" s="15">
        <v>3200</v>
      </c>
    </row>
    <row r="28" spans="1:11" x14ac:dyDescent="0.15">
      <c r="A28" s="11" t="s">
        <v>68</v>
      </c>
      <c r="B28" s="11"/>
      <c r="C28" s="11"/>
      <c r="D28" s="12"/>
      <c r="E28" s="11">
        <v>12000</v>
      </c>
      <c r="F28" s="11">
        <v>3200</v>
      </c>
      <c r="G28" s="32">
        <v>3200</v>
      </c>
      <c r="H28" s="11">
        <v>3200</v>
      </c>
      <c r="I28" s="11">
        <v>3200</v>
      </c>
      <c r="J28" s="11">
        <v>3200</v>
      </c>
      <c r="K28" s="11">
        <v>3200</v>
      </c>
    </row>
    <row r="29" spans="1:11" x14ac:dyDescent="0.15">
      <c r="A29" t="s">
        <v>71</v>
      </c>
      <c r="D29" s="7"/>
      <c r="E29">
        <v>1.7709999999999999</v>
      </c>
      <c r="F29">
        <v>2.0152000000000001</v>
      </c>
      <c r="G29">
        <v>1.8923300000000001</v>
      </c>
      <c r="H29">
        <v>1.89</v>
      </c>
      <c r="I29">
        <v>2.0470999999999999</v>
      </c>
      <c r="J29">
        <v>1.9830000000000001</v>
      </c>
      <c r="K29">
        <v>2.024</v>
      </c>
    </row>
    <row r="30" spans="1:11" x14ac:dyDescent="0.15">
      <c r="A30" t="s">
        <v>72</v>
      </c>
      <c r="D30" s="7"/>
      <c r="E30">
        <v>1.5388999999999999</v>
      </c>
      <c r="F30">
        <v>0</v>
      </c>
      <c r="G30" s="15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75</v>
      </c>
      <c r="D31" s="7"/>
      <c r="E31">
        <v>1.4124000000000001</v>
      </c>
      <c r="F31">
        <v>1.639</v>
      </c>
      <c r="G31">
        <v>1.6687000000000001</v>
      </c>
      <c r="H31">
        <v>1.66</v>
      </c>
      <c r="I31">
        <v>1.8062</v>
      </c>
      <c r="J31">
        <v>1.7769999999999999</v>
      </c>
      <c r="K31">
        <v>1.661</v>
      </c>
    </row>
    <row r="32" spans="1:11" x14ac:dyDescent="0.15">
      <c r="A32" t="s">
        <v>76</v>
      </c>
      <c r="D32" s="7"/>
      <c r="E32">
        <v>1.7050000000000001</v>
      </c>
      <c r="F32">
        <v>1.8139000000000001</v>
      </c>
      <c r="G32">
        <v>1.76759</v>
      </c>
      <c r="H32">
        <v>1.81</v>
      </c>
      <c r="I32">
        <v>1.9195</v>
      </c>
      <c r="J32">
        <v>1.956</v>
      </c>
      <c r="K32">
        <v>1.8919999999999999</v>
      </c>
    </row>
    <row r="33" spans="1:11" x14ac:dyDescent="0.15">
      <c r="A33" t="s">
        <v>86</v>
      </c>
      <c r="D33" s="7"/>
      <c r="E33">
        <v>1.4948999999999999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80</v>
      </c>
      <c r="D34" s="7"/>
      <c r="E34">
        <v>1.3706</v>
      </c>
      <c r="F34">
        <v>1.5367</v>
      </c>
      <c r="G34">
        <v>1.5616699999999999</v>
      </c>
      <c r="H34">
        <v>1.61</v>
      </c>
      <c r="I34">
        <v>1.7126999999999999</v>
      </c>
      <c r="J34">
        <v>1.736</v>
      </c>
      <c r="K34">
        <v>1.5620000000000001</v>
      </c>
    </row>
    <row r="35" spans="1:11" x14ac:dyDescent="0.15">
      <c r="A35" t="s">
        <v>81</v>
      </c>
      <c r="D35" s="7"/>
      <c r="E35">
        <v>60.235999999999997</v>
      </c>
      <c r="F35">
        <v>58.058</v>
      </c>
      <c r="G35">
        <v>60.972999999999999</v>
      </c>
      <c r="H35">
        <v>58.25</v>
      </c>
      <c r="I35">
        <v>64.504000000000005</v>
      </c>
      <c r="J35">
        <v>60.5</v>
      </c>
      <c r="K35">
        <v>57.2</v>
      </c>
    </row>
    <row r="36" spans="1:11" x14ac:dyDescent="0.15">
      <c r="D36" s="7"/>
    </row>
    <row r="37" spans="1:11" x14ac:dyDescent="0.15">
      <c r="A37" s="9" t="s">
        <v>85</v>
      </c>
      <c r="D37" s="7"/>
    </row>
    <row r="38" spans="1:11" x14ac:dyDescent="0.15">
      <c r="A38" s="9" t="s">
        <v>1028</v>
      </c>
      <c r="D38" s="7"/>
      <c r="E38" s="10" t="s">
        <v>1044</v>
      </c>
      <c r="F38" s="10" t="s">
        <v>591</v>
      </c>
      <c r="G38" s="10" t="s">
        <v>555</v>
      </c>
      <c r="H38" s="10" t="s">
        <v>544</v>
      </c>
      <c r="I38" s="10" t="s">
        <v>615</v>
      </c>
      <c r="J38" s="10" t="s">
        <v>546</v>
      </c>
      <c r="K38" s="10" t="s">
        <v>545</v>
      </c>
    </row>
    <row r="39" spans="1:11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</row>
    <row r="40" spans="1:11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</row>
    <row r="41" spans="1:11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</row>
    <row r="42" spans="1:11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</row>
    <row r="43" spans="1:11" x14ac:dyDescent="0.15">
      <c r="A43" t="s">
        <v>67</v>
      </c>
      <c r="D43" s="7"/>
      <c r="E43" s="15">
        <v>6000</v>
      </c>
      <c r="F43">
        <v>4000</v>
      </c>
      <c r="G43" s="15">
        <v>4000</v>
      </c>
      <c r="H43">
        <v>4000</v>
      </c>
      <c r="I43">
        <v>4000</v>
      </c>
      <c r="J43">
        <v>4000</v>
      </c>
      <c r="K43">
        <v>4000</v>
      </c>
    </row>
    <row r="44" spans="1:11" x14ac:dyDescent="0.15">
      <c r="A44" s="11" t="s">
        <v>84</v>
      </c>
      <c r="B44" s="11"/>
      <c r="C44" s="11"/>
      <c r="D44" s="12"/>
      <c r="E44" s="11">
        <v>12000</v>
      </c>
      <c r="F44" s="11">
        <v>12000</v>
      </c>
      <c r="G44" s="32">
        <v>12000</v>
      </c>
      <c r="H44" s="11">
        <v>4000</v>
      </c>
      <c r="I44" s="11">
        <v>12000</v>
      </c>
      <c r="J44" s="11">
        <v>12000</v>
      </c>
      <c r="K44" s="11">
        <v>12000</v>
      </c>
    </row>
    <row r="45" spans="1:11" x14ac:dyDescent="0.15">
      <c r="A45" t="s">
        <v>71</v>
      </c>
      <c r="D45" s="7"/>
      <c r="E45">
        <v>1.8128</v>
      </c>
      <c r="F45">
        <v>1.9855</v>
      </c>
      <c r="G45">
        <v>1.9781299999999999</v>
      </c>
      <c r="H45">
        <v>1.91</v>
      </c>
      <c r="I45">
        <v>2.0998999999999999</v>
      </c>
      <c r="J45">
        <v>1.986</v>
      </c>
      <c r="K45">
        <v>2.0019999999999998</v>
      </c>
    </row>
    <row r="46" spans="1:11" x14ac:dyDescent="0.15">
      <c r="A46" t="s">
        <v>72</v>
      </c>
      <c r="D46" s="7"/>
      <c r="E46">
        <v>1.5311999999999999</v>
      </c>
      <c r="F46">
        <v>1.7523</v>
      </c>
      <c r="G46">
        <v>1.7081900000000001</v>
      </c>
      <c r="H46">
        <v>0</v>
      </c>
      <c r="I46">
        <v>1.859</v>
      </c>
      <c r="J46">
        <v>1.7589999999999999</v>
      </c>
      <c r="K46">
        <v>1.7709999999999999</v>
      </c>
    </row>
    <row r="47" spans="1:11" x14ac:dyDescent="0.15">
      <c r="A47" t="s">
        <v>75</v>
      </c>
      <c r="D47" s="7"/>
      <c r="E47">
        <v>1.3794</v>
      </c>
      <c r="F47">
        <v>1.4773000000000001</v>
      </c>
      <c r="G47">
        <v>1.4441900000000001</v>
      </c>
      <c r="H47">
        <v>1.72</v>
      </c>
      <c r="I47">
        <v>1.5751999999999999</v>
      </c>
      <c r="J47">
        <v>1.5029999999999999</v>
      </c>
      <c r="K47">
        <v>1.452</v>
      </c>
    </row>
    <row r="48" spans="1:11" x14ac:dyDescent="0.15">
      <c r="A48" t="s">
        <v>76</v>
      </c>
      <c r="D48" s="7"/>
      <c r="E48">
        <v>1.7743</v>
      </c>
      <c r="F48">
        <v>1.8843000000000001</v>
      </c>
      <c r="G48">
        <v>1.88683</v>
      </c>
      <c r="H48">
        <v>1.86</v>
      </c>
      <c r="I48">
        <v>2.0647000000000002</v>
      </c>
      <c r="J48">
        <v>1.9570000000000001</v>
      </c>
      <c r="K48">
        <v>1.903</v>
      </c>
    </row>
    <row r="49" spans="1:11" x14ac:dyDescent="0.15">
      <c r="A49" t="s">
        <v>77</v>
      </c>
      <c r="D49" s="7"/>
      <c r="E49">
        <v>1.4817</v>
      </c>
      <c r="F49">
        <v>1.6302000000000001</v>
      </c>
      <c r="G49">
        <v>1.63317</v>
      </c>
      <c r="H49">
        <v>0</v>
      </c>
      <c r="I49">
        <v>1.8381000000000001</v>
      </c>
      <c r="J49">
        <v>1.718</v>
      </c>
      <c r="K49">
        <v>1.65</v>
      </c>
    </row>
    <row r="50" spans="1:11" x14ac:dyDescent="0.15">
      <c r="A50" t="s">
        <v>80</v>
      </c>
      <c r="D50" s="7"/>
      <c r="E50">
        <v>1.3420000000000001</v>
      </c>
      <c r="F50">
        <v>1.3508</v>
      </c>
      <c r="G50">
        <v>1.3753299999999999</v>
      </c>
      <c r="H50">
        <v>1.68</v>
      </c>
      <c r="I50">
        <v>1.4926999999999999</v>
      </c>
      <c r="J50">
        <v>1.4630000000000001</v>
      </c>
      <c r="K50">
        <v>1.397</v>
      </c>
    </row>
    <row r="51" spans="1:11" x14ac:dyDescent="0.15">
      <c r="A51" t="s">
        <v>81</v>
      </c>
      <c r="D51" s="7"/>
      <c r="E51">
        <v>60.125999999999998</v>
      </c>
      <c r="F51">
        <v>58.564</v>
      </c>
      <c r="G51">
        <v>62.545999999999999</v>
      </c>
      <c r="H51">
        <v>59.37</v>
      </c>
      <c r="I51">
        <v>66.296999999999997</v>
      </c>
      <c r="J51">
        <v>66.8</v>
      </c>
      <c r="K51">
        <v>55</v>
      </c>
    </row>
    <row r="52" spans="1:11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15">
      <c r="A53" s="9" t="s">
        <v>490</v>
      </c>
      <c r="D53" s="7"/>
      <c r="E53" s="10" t="s">
        <v>1044</v>
      </c>
      <c r="F53" s="23" t="s">
        <v>591</v>
      </c>
      <c r="G53" s="23" t="s">
        <v>555</v>
      </c>
      <c r="H53" s="23" t="s">
        <v>544</v>
      </c>
      <c r="I53" s="23" t="s">
        <v>615</v>
      </c>
      <c r="J53" s="23" t="s">
        <v>595</v>
      </c>
      <c r="K53" s="23" t="s">
        <v>596</v>
      </c>
    </row>
    <row r="54" spans="1:11" x14ac:dyDescent="0.15">
      <c r="A54" t="s">
        <v>491</v>
      </c>
      <c r="D54" s="7"/>
      <c r="E54" s="24" t="s">
        <v>556</v>
      </c>
      <c r="F54" s="25" t="s">
        <v>535</v>
      </c>
      <c r="G54" s="25" t="s">
        <v>540</v>
      </c>
      <c r="H54" s="25" t="s">
        <v>494</v>
      </c>
      <c r="I54" s="25" t="s">
        <v>494</v>
      </c>
      <c r="J54" s="25" t="s">
        <v>494</v>
      </c>
      <c r="K54" s="25" t="s">
        <v>493</v>
      </c>
    </row>
    <row r="55" spans="1:11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493</v>
      </c>
      <c r="I55" s="25" t="s">
        <v>498</v>
      </c>
      <c r="J55" s="25" t="s">
        <v>498</v>
      </c>
      <c r="K55" s="25" t="s">
        <v>527</v>
      </c>
    </row>
    <row r="56" spans="1:11" x14ac:dyDescent="0.15">
      <c r="A56" t="s">
        <v>499</v>
      </c>
      <c r="D56" s="7"/>
      <c r="E56" s="25" t="s">
        <v>557</v>
      </c>
      <c r="F56" s="37">
        <v>22</v>
      </c>
      <c r="G56" s="37">
        <v>22</v>
      </c>
      <c r="H56" s="25" t="s">
        <v>493</v>
      </c>
      <c r="I56" s="37">
        <v>20</v>
      </c>
      <c r="J56" s="37">
        <v>80</v>
      </c>
      <c r="K56" s="37">
        <v>20</v>
      </c>
    </row>
    <row r="57" spans="1:11" x14ac:dyDescent="0.15">
      <c r="A57" t="s">
        <v>501</v>
      </c>
      <c r="D57" s="7"/>
      <c r="E57" s="25" t="s">
        <v>494</v>
      </c>
      <c r="F57" s="24">
        <v>0.02</v>
      </c>
      <c r="G57" s="24" t="s">
        <v>540</v>
      </c>
      <c r="H57" s="24" t="s">
        <v>558</v>
      </c>
      <c r="I57" s="24" t="s">
        <v>553</v>
      </c>
      <c r="J57" s="24" t="s">
        <v>523</v>
      </c>
      <c r="K57" s="24" t="s">
        <v>531</v>
      </c>
    </row>
    <row r="58" spans="1:11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493</v>
      </c>
      <c r="I58" s="25" t="s">
        <v>494</v>
      </c>
      <c r="J58" s="25" t="s">
        <v>494</v>
      </c>
      <c r="K58" s="25" t="s">
        <v>500</v>
      </c>
    </row>
    <row r="59" spans="1:11" x14ac:dyDescent="0.15">
      <c r="A59" s="33"/>
      <c r="B59" s="34"/>
      <c r="C59" s="34"/>
      <c r="D59" s="34"/>
      <c r="E59" s="34"/>
      <c r="F59" s="34"/>
      <c r="G59" s="34"/>
      <c r="H59" s="34"/>
      <c r="I59" s="34"/>
      <c r="J59" s="34"/>
      <c r="K59" s="34"/>
    </row>
  </sheetData>
  <sheetProtection algorithmName="SHA-512" hashValue="Ph67EiusBuHRek5X1WBLotgJIkvDoss6i6CBmi448Q+MIPI07m0WTZdFHkY7Xkjd7A8PjyDPjBlXPRdIgQm2yw==" saltValue="Q3/9qmi0HjOfBBex2/ZYe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/>
  <dimension ref="A1:K59"/>
  <sheetViews>
    <sheetView zoomScale="125" workbookViewId="0">
      <selection sqref="A1:K5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0" width="11.6640625" customWidth="1"/>
  </cols>
  <sheetData>
    <row r="1" spans="1:11" x14ac:dyDescent="0.15">
      <c r="A1" t="s">
        <v>722</v>
      </c>
    </row>
    <row r="2" spans="1:11" x14ac:dyDescent="0.15">
      <c r="A2" s="33"/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1:11" x14ac:dyDescent="0.15">
      <c r="A3" s="4" t="s">
        <v>87</v>
      </c>
      <c r="B3" s="5"/>
      <c r="C3" s="5"/>
      <c r="D3" s="6"/>
      <c r="E3" s="5"/>
      <c r="F3" s="5"/>
      <c r="G3" s="5"/>
      <c r="H3" s="5"/>
      <c r="I3" s="5"/>
      <c r="J3" s="5"/>
    </row>
    <row r="4" spans="1:11" x14ac:dyDescent="0.15">
      <c r="D4" s="7"/>
      <c r="E4" s="8" t="s">
        <v>98</v>
      </c>
    </row>
    <row r="5" spans="1:11" x14ac:dyDescent="0.15">
      <c r="A5" s="9" t="s">
        <v>88</v>
      </c>
      <c r="D5" s="7"/>
    </row>
    <row r="6" spans="1:11" x14ac:dyDescent="0.15">
      <c r="A6" s="9" t="s">
        <v>1030</v>
      </c>
      <c r="D6" s="7"/>
      <c r="E6" s="10" t="s">
        <v>1044</v>
      </c>
      <c r="F6" s="23" t="s">
        <v>591</v>
      </c>
      <c r="G6" s="23" t="s">
        <v>555</v>
      </c>
      <c r="H6" s="23" t="s">
        <v>544</v>
      </c>
      <c r="I6" s="23" t="s">
        <v>615</v>
      </c>
      <c r="J6" s="23" t="s">
        <v>595</v>
      </c>
      <c r="K6" s="23" t="s">
        <v>596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t="s">
        <v>67</v>
      </c>
      <c r="D11" s="7"/>
      <c r="E11" s="15">
        <v>6000</v>
      </c>
      <c r="F11" s="15">
        <v>3200</v>
      </c>
      <c r="G11" s="15">
        <v>3200</v>
      </c>
      <c r="H11" s="15">
        <v>3200</v>
      </c>
      <c r="I11" s="15">
        <v>3200</v>
      </c>
      <c r="J11" s="15">
        <v>3200</v>
      </c>
      <c r="K11" s="15">
        <v>3200</v>
      </c>
    </row>
    <row r="12" spans="1:11" x14ac:dyDescent="0.15">
      <c r="A12" s="11" t="s">
        <v>68</v>
      </c>
      <c r="B12" s="11"/>
      <c r="C12" s="11"/>
      <c r="D12" s="12"/>
      <c r="E12" s="11">
        <v>12000</v>
      </c>
      <c r="F12" s="11">
        <v>3200</v>
      </c>
      <c r="G12" s="32">
        <v>3200</v>
      </c>
      <c r="H12" s="11">
        <v>3200</v>
      </c>
      <c r="I12" s="11">
        <v>3200</v>
      </c>
      <c r="J12" s="11">
        <v>3200</v>
      </c>
      <c r="K12" s="11">
        <v>3200</v>
      </c>
    </row>
    <row r="13" spans="1:11" x14ac:dyDescent="0.15">
      <c r="A13" t="s">
        <v>71</v>
      </c>
      <c r="D13" s="7"/>
      <c r="E13">
        <v>1.9217</v>
      </c>
      <c r="F13">
        <v>2.1339999999999999</v>
      </c>
      <c r="G13">
        <v>2.0457800000000002</v>
      </c>
      <c r="H13">
        <v>2.02</v>
      </c>
      <c r="I13">
        <v>2.2252999999999998</v>
      </c>
      <c r="J13">
        <v>2.0979999999999999</v>
      </c>
      <c r="K13">
        <v>2.1669999999999998</v>
      </c>
    </row>
    <row r="14" spans="1:11" x14ac:dyDescent="0.15">
      <c r="A14" t="s">
        <v>72</v>
      </c>
      <c r="D14" s="7"/>
      <c r="E14">
        <v>1.8028999999999999</v>
      </c>
      <c r="F14">
        <v>0</v>
      </c>
      <c r="G14" s="15">
        <v>0</v>
      </c>
      <c r="H14">
        <v>0</v>
      </c>
      <c r="I14">
        <v>0</v>
      </c>
      <c r="J14">
        <v>0</v>
      </c>
      <c r="K14">
        <v>0</v>
      </c>
    </row>
    <row r="15" spans="1:11" x14ac:dyDescent="0.15">
      <c r="A15" t="s">
        <v>75</v>
      </c>
      <c r="D15" s="7"/>
      <c r="E15">
        <v>1.6313</v>
      </c>
      <c r="F15">
        <v>1.8314999999999999</v>
      </c>
      <c r="G15">
        <v>1.8166500000000001</v>
      </c>
      <c r="H15">
        <v>1.85</v>
      </c>
      <c r="I15">
        <v>1.9623999999999999</v>
      </c>
      <c r="J15">
        <v>1.8580000000000001</v>
      </c>
      <c r="K15">
        <v>1.837</v>
      </c>
    </row>
    <row r="16" spans="1:11" x14ac:dyDescent="0.15">
      <c r="A16" t="s">
        <v>76</v>
      </c>
      <c r="D16" s="7"/>
      <c r="E16">
        <v>1.6346000000000001</v>
      </c>
      <c r="F16">
        <v>1.7402</v>
      </c>
      <c r="G16">
        <v>1.7964100000000001</v>
      </c>
      <c r="H16">
        <v>1.81</v>
      </c>
      <c r="I16">
        <v>1.8919999999999999</v>
      </c>
      <c r="J16">
        <v>1.87</v>
      </c>
      <c r="K16">
        <v>1.8149999999999999</v>
      </c>
    </row>
    <row r="17" spans="1:11" x14ac:dyDescent="0.15">
      <c r="A17" t="s">
        <v>86</v>
      </c>
      <c r="D17" s="7"/>
      <c r="E17">
        <v>1.4805999999999999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80</v>
      </c>
      <c r="D18" s="7"/>
      <c r="E18">
        <v>1.3815999999999999</v>
      </c>
      <c r="F18">
        <v>1.5267999999999999</v>
      </c>
      <c r="G18">
        <v>1.55969</v>
      </c>
      <c r="H18">
        <v>1.61</v>
      </c>
      <c r="I18">
        <v>1.6665000000000001</v>
      </c>
      <c r="J18">
        <v>1.581</v>
      </c>
      <c r="K18">
        <v>1.5620000000000001</v>
      </c>
    </row>
    <row r="19" spans="1:11" x14ac:dyDescent="0.15">
      <c r="A19" t="s">
        <v>81</v>
      </c>
      <c r="D19" s="7"/>
      <c r="E19">
        <v>55.527999999999999</v>
      </c>
      <c r="F19">
        <v>56.451999999999998</v>
      </c>
      <c r="G19">
        <v>56.771000000000001</v>
      </c>
      <c r="H19">
        <v>56.22</v>
      </c>
      <c r="I19">
        <v>61.478999999999999</v>
      </c>
      <c r="J19">
        <v>60.6</v>
      </c>
      <c r="K19">
        <v>50.6</v>
      </c>
    </row>
    <row r="20" spans="1:11" x14ac:dyDescent="0.15">
      <c r="D20" s="7"/>
    </row>
    <row r="21" spans="1:11" x14ac:dyDescent="0.15">
      <c r="A21" s="9" t="s">
        <v>89</v>
      </c>
      <c r="D21" s="7"/>
    </row>
    <row r="22" spans="1:11" x14ac:dyDescent="0.15">
      <c r="A22" s="9" t="s">
        <v>1032</v>
      </c>
      <c r="D22" s="7"/>
      <c r="E22" s="10" t="s">
        <v>1044</v>
      </c>
      <c r="F22" s="10" t="s">
        <v>591</v>
      </c>
      <c r="G22" s="10" t="s">
        <v>555</v>
      </c>
      <c r="H22" s="10" t="s">
        <v>544</v>
      </c>
      <c r="I22" s="10" t="s">
        <v>615</v>
      </c>
      <c r="J22" s="10" t="s">
        <v>546</v>
      </c>
      <c r="K22" s="10" t="s">
        <v>545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</row>
    <row r="27" spans="1:11" x14ac:dyDescent="0.15">
      <c r="A27" t="s">
        <v>67</v>
      </c>
      <c r="D27" s="7"/>
      <c r="E27" s="15">
        <v>6000</v>
      </c>
      <c r="F27" s="15">
        <v>3500</v>
      </c>
      <c r="G27" s="15">
        <v>3500</v>
      </c>
      <c r="H27" s="15">
        <v>3500</v>
      </c>
      <c r="I27" s="15">
        <v>3500</v>
      </c>
      <c r="J27" s="15">
        <v>3500</v>
      </c>
      <c r="K27" s="15">
        <v>3500</v>
      </c>
    </row>
    <row r="28" spans="1:11" x14ac:dyDescent="0.15">
      <c r="A28" s="11" t="s">
        <v>68</v>
      </c>
      <c r="B28" s="11"/>
      <c r="C28" s="11"/>
      <c r="D28" s="12"/>
      <c r="E28" s="11">
        <v>12000</v>
      </c>
      <c r="F28" s="11">
        <v>3500</v>
      </c>
      <c r="G28" s="32">
        <v>3500</v>
      </c>
      <c r="H28" s="11">
        <v>3500</v>
      </c>
      <c r="I28" s="11">
        <v>3500</v>
      </c>
      <c r="J28" s="11">
        <v>3500</v>
      </c>
      <c r="K28" s="11">
        <v>3500</v>
      </c>
    </row>
    <row r="29" spans="1:11" x14ac:dyDescent="0.15">
      <c r="A29" t="s">
        <v>71</v>
      </c>
      <c r="D29" s="7"/>
      <c r="E29">
        <v>2.0701999999999998</v>
      </c>
      <c r="F29">
        <v>2.3628</v>
      </c>
      <c r="G29">
        <v>2.1090300000000002</v>
      </c>
      <c r="H29">
        <v>2.15</v>
      </c>
      <c r="I29">
        <v>2.3319999999999999</v>
      </c>
      <c r="J29">
        <v>2.1960000000000002</v>
      </c>
      <c r="K29">
        <v>2.3980000000000001</v>
      </c>
    </row>
    <row r="30" spans="1:11" x14ac:dyDescent="0.15">
      <c r="A30" t="s">
        <v>72</v>
      </c>
      <c r="D30" s="7"/>
      <c r="E30">
        <v>1.7808999999999999</v>
      </c>
      <c r="F30">
        <v>0</v>
      </c>
      <c r="G30" s="15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75</v>
      </c>
      <c r="D31" s="7"/>
      <c r="E31">
        <v>1.573</v>
      </c>
      <c r="F31">
        <v>1.881</v>
      </c>
      <c r="G31">
        <v>1.85097</v>
      </c>
      <c r="H31">
        <v>1.96</v>
      </c>
      <c r="I31">
        <v>2.0779000000000001</v>
      </c>
      <c r="J31">
        <v>1.98</v>
      </c>
      <c r="K31">
        <v>1.837</v>
      </c>
    </row>
    <row r="32" spans="1:11" x14ac:dyDescent="0.15">
      <c r="A32" t="s">
        <v>76</v>
      </c>
      <c r="D32" s="7"/>
      <c r="E32">
        <v>1.8458000000000001</v>
      </c>
      <c r="F32">
        <v>1.8568</v>
      </c>
      <c r="G32">
        <v>1.79443</v>
      </c>
      <c r="H32">
        <v>1.85</v>
      </c>
      <c r="I32">
        <v>1.9139999999999999</v>
      </c>
      <c r="J32">
        <v>1.9990000000000001</v>
      </c>
      <c r="K32">
        <v>1.9910000000000001</v>
      </c>
    </row>
    <row r="33" spans="1:11" x14ac:dyDescent="0.15">
      <c r="A33" t="s">
        <v>86</v>
      </c>
      <c r="D33" s="7"/>
      <c r="E33">
        <v>1.5862000000000001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80</v>
      </c>
      <c r="D34" s="7"/>
      <c r="E34">
        <v>1.4916</v>
      </c>
      <c r="F34">
        <v>1.5972</v>
      </c>
      <c r="G34">
        <v>1.6808000000000001</v>
      </c>
      <c r="H34">
        <v>1.65</v>
      </c>
      <c r="I34">
        <v>1.8413999999999999</v>
      </c>
      <c r="J34">
        <v>1.806</v>
      </c>
      <c r="K34">
        <v>1.617</v>
      </c>
    </row>
    <row r="35" spans="1:11" x14ac:dyDescent="0.15">
      <c r="A35" t="s">
        <v>81</v>
      </c>
      <c r="D35" s="7"/>
      <c r="E35">
        <v>51.787999999999997</v>
      </c>
      <c r="F35">
        <v>55.66</v>
      </c>
      <c r="G35">
        <v>55.780999999999999</v>
      </c>
      <c r="H35">
        <v>54.6</v>
      </c>
      <c r="I35">
        <v>62.051000000000002</v>
      </c>
      <c r="J35">
        <v>59.3</v>
      </c>
      <c r="K35">
        <v>49.5</v>
      </c>
    </row>
    <row r="36" spans="1:11" x14ac:dyDescent="0.15">
      <c r="D36" s="7"/>
    </row>
    <row r="37" spans="1:11" x14ac:dyDescent="0.15">
      <c r="A37" s="9" t="s">
        <v>89</v>
      </c>
      <c r="D37" s="7"/>
    </row>
    <row r="38" spans="1:11" x14ac:dyDescent="0.15">
      <c r="A38" s="9" t="s">
        <v>1034</v>
      </c>
      <c r="D38" s="7"/>
      <c r="E38" s="10" t="s">
        <v>1044</v>
      </c>
      <c r="F38" s="10" t="s">
        <v>591</v>
      </c>
      <c r="G38" s="10" t="s">
        <v>555</v>
      </c>
      <c r="H38" s="10" t="s">
        <v>544</v>
      </c>
      <c r="I38" s="10" t="s">
        <v>615</v>
      </c>
      <c r="J38" s="10" t="s">
        <v>546</v>
      </c>
      <c r="K38" s="10" t="s">
        <v>545</v>
      </c>
    </row>
    <row r="39" spans="1:11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</row>
    <row r="40" spans="1:11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</row>
    <row r="41" spans="1:11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</row>
    <row r="42" spans="1:11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</row>
    <row r="43" spans="1:11" x14ac:dyDescent="0.15">
      <c r="A43" t="s">
        <v>67</v>
      </c>
      <c r="D43" s="7"/>
      <c r="E43" s="15">
        <v>6000</v>
      </c>
      <c r="F43" s="15">
        <v>3200</v>
      </c>
      <c r="G43" s="15">
        <v>3200</v>
      </c>
      <c r="H43" s="15">
        <v>3200</v>
      </c>
      <c r="I43" s="15">
        <v>3200</v>
      </c>
      <c r="J43" s="15">
        <v>3200</v>
      </c>
      <c r="K43" s="15">
        <v>3200</v>
      </c>
    </row>
    <row r="44" spans="1:11" x14ac:dyDescent="0.15">
      <c r="A44" s="11" t="s">
        <v>68</v>
      </c>
      <c r="B44" s="11"/>
      <c r="C44" s="11"/>
      <c r="D44" s="12"/>
      <c r="E44" s="11">
        <v>12000</v>
      </c>
      <c r="F44" s="11">
        <v>3200</v>
      </c>
      <c r="G44" s="32">
        <v>3200</v>
      </c>
      <c r="H44" s="11">
        <v>3200</v>
      </c>
      <c r="I44" s="11">
        <v>3200</v>
      </c>
      <c r="J44" s="11">
        <v>3200</v>
      </c>
      <c r="K44" s="11">
        <v>3200</v>
      </c>
    </row>
    <row r="45" spans="1:11" x14ac:dyDescent="0.15">
      <c r="A45" t="s">
        <v>71</v>
      </c>
      <c r="D45" s="7"/>
      <c r="E45">
        <v>2.0657999999999999</v>
      </c>
      <c r="F45">
        <v>2.3826000000000001</v>
      </c>
      <c r="G45">
        <v>2.2706200000000001</v>
      </c>
      <c r="H45">
        <v>2.2599999999999998</v>
      </c>
      <c r="I45">
        <v>2.4519000000000002</v>
      </c>
      <c r="J45">
        <v>2.3620000000000001</v>
      </c>
      <c r="K45">
        <v>2.343</v>
      </c>
    </row>
    <row r="46" spans="1:11" x14ac:dyDescent="0.15">
      <c r="A46" t="s">
        <v>72</v>
      </c>
      <c r="D46" s="7"/>
      <c r="E46">
        <v>1.7358</v>
      </c>
      <c r="F46">
        <v>0</v>
      </c>
      <c r="G46" s="15">
        <v>0</v>
      </c>
      <c r="H46">
        <v>0</v>
      </c>
      <c r="I46">
        <v>0</v>
      </c>
      <c r="J46">
        <v>0</v>
      </c>
      <c r="K46">
        <v>0</v>
      </c>
    </row>
    <row r="47" spans="1:11" x14ac:dyDescent="0.15">
      <c r="A47" t="s">
        <v>75</v>
      </c>
      <c r="D47" s="7"/>
      <c r="E47">
        <v>1.3299000000000001</v>
      </c>
      <c r="F47">
        <v>1.8018000000000001</v>
      </c>
      <c r="G47">
        <v>1.8488800000000001</v>
      </c>
      <c r="H47">
        <v>1.81</v>
      </c>
      <c r="I47">
        <v>1.9558</v>
      </c>
      <c r="J47">
        <v>1.8959999999999999</v>
      </c>
      <c r="K47">
        <v>1.881</v>
      </c>
    </row>
    <row r="48" spans="1:11" x14ac:dyDescent="0.15">
      <c r="A48" t="s">
        <v>76</v>
      </c>
      <c r="D48" s="7"/>
      <c r="E48">
        <v>1.8548</v>
      </c>
      <c r="F48">
        <v>2.0295000000000001</v>
      </c>
      <c r="G48">
        <v>1.9542600000000001</v>
      </c>
      <c r="H48">
        <v>2</v>
      </c>
      <c r="I48">
        <v>2.0911</v>
      </c>
      <c r="J48">
        <v>2.165</v>
      </c>
      <c r="K48">
        <v>1.9910000000000001</v>
      </c>
    </row>
    <row r="49" spans="1:11" x14ac:dyDescent="0.15">
      <c r="A49" t="s">
        <v>86</v>
      </c>
      <c r="D49" s="7"/>
      <c r="E49">
        <v>1.5047999999999999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</row>
    <row r="50" spans="1:11" x14ac:dyDescent="0.15">
      <c r="A50" t="s">
        <v>80</v>
      </c>
      <c r="D50" s="7"/>
      <c r="E50">
        <v>1.2958000000000001</v>
      </c>
      <c r="F50">
        <v>1.6269</v>
      </c>
      <c r="G50">
        <v>1.7136899999999999</v>
      </c>
      <c r="H50">
        <v>1.74</v>
      </c>
      <c r="I50">
        <v>1.8337000000000001</v>
      </c>
      <c r="J50">
        <v>1.724</v>
      </c>
      <c r="K50">
        <v>1.6719999999999999</v>
      </c>
    </row>
    <row r="51" spans="1:11" x14ac:dyDescent="0.15">
      <c r="A51" t="s">
        <v>81</v>
      </c>
      <c r="D51" s="7"/>
      <c r="E51">
        <v>58.167999999999999</v>
      </c>
      <c r="F51">
        <v>57.97</v>
      </c>
      <c r="G51">
        <v>58.750999999999998</v>
      </c>
      <c r="H51">
        <v>57.72</v>
      </c>
      <c r="I51">
        <v>63.063000000000002</v>
      </c>
      <c r="J51">
        <v>60.8</v>
      </c>
      <c r="K51">
        <v>55</v>
      </c>
    </row>
    <row r="52" spans="1:11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15">
      <c r="A53" s="9" t="s">
        <v>490</v>
      </c>
      <c r="D53" s="7"/>
      <c r="E53" s="10" t="s">
        <v>1044</v>
      </c>
      <c r="F53" s="23" t="s">
        <v>591</v>
      </c>
      <c r="G53" s="23" t="s">
        <v>555</v>
      </c>
      <c r="H53" s="23" t="s">
        <v>544</v>
      </c>
      <c r="I53" s="23" t="s">
        <v>615</v>
      </c>
      <c r="J53" s="23" t="s">
        <v>595</v>
      </c>
      <c r="K53" s="23" t="s">
        <v>596</v>
      </c>
    </row>
    <row r="54" spans="1:11" x14ac:dyDescent="0.15">
      <c r="A54" t="s">
        <v>491</v>
      </c>
      <c r="D54" s="7"/>
      <c r="E54" s="24" t="s">
        <v>556</v>
      </c>
      <c r="F54" s="25" t="s">
        <v>535</v>
      </c>
      <c r="G54" s="25" t="s">
        <v>540</v>
      </c>
      <c r="H54" s="25" t="s">
        <v>494</v>
      </c>
      <c r="I54" s="25" t="s">
        <v>494</v>
      </c>
      <c r="J54" s="25" t="s">
        <v>494</v>
      </c>
      <c r="K54" s="25" t="s">
        <v>494</v>
      </c>
    </row>
    <row r="55" spans="1:11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493</v>
      </c>
      <c r="I55" s="25" t="s">
        <v>498</v>
      </c>
      <c r="J55" s="25" t="s">
        <v>498</v>
      </c>
      <c r="K55" s="25" t="s">
        <v>498</v>
      </c>
    </row>
    <row r="56" spans="1:11" x14ac:dyDescent="0.15">
      <c r="A56" t="s">
        <v>499</v>
      </c>
      <c r="D56" s="7"/>
      <c r="E56" s="25" t="s">
        <v>557</v>
      </c>
      <c r="F56" s="37">
        <v>22</v>
      </c>
      <c r="G56" s="37">
        <v>22</v>
      </c>
      <c r="H56" s="25" t="s">
        <v>493</v>
      </c>
      <c r="I56" s="37">
        <v>20</v>
      </c>
      <c r="J56" s="37">
        <v>80</v>
      </c>
      <c r="K56" s="37">
        <v>20</v>
      </c>
    </row>
    <row r="57" spans="1:11" x14ac:dyDescent="0.15">
      <c r="A57" t="s">
        <v>501</v>
      </c>
      <c r="D57" s="7"/>
      <c r="E57" s="25" t="s">
        <v>494</v>
      </c>
      <c r="F57" s="24">
        <v>0.02</v>
      </c>
      <c r="G57" s="24" t="s">
        <v>540</v>
      </c>
      <c r="H57" s="24" t="s">
        <v>558</v>
      </c>
      <c r="I57" s="24" t="s">
        <v>553</v>
      </c>
      <c r="J57" s="24" t="s">
        <v>523</v>
      </c>
      <c r="K57" s="24" t="s">
        <v>99</v>
      </c>
    </row>
    <row r="58" spans="1:11" x14ac:dyDescent="0.15">
      <c r="A58" t="s">
        <v>442</v>
      </c>
      <c r="D58" s="7"/>
      <c r="E58" s="25" t="s">
        <v>512</v>
      </c>
      <c r="F58" s="25" t="s">
        <v>500</v>
      </c>
      <c r="G58" s="25" t="s">
        <v>494</v>
      </c>
      <c r="H58" s="25" t="s">
        <v>493</v>
      </c>
      <c r="I58" s="25" t="s">
        <v>494</v>
      </c>
      <c r="J58" s="25" t="s">
        <v>494</v>
      </c>
      <c r="K58" s="25" t="s">
        <v>512</v>
      </c>
    </row>
    <row r="59" spans="1:11" x14ac:dyDescent="0.15">
      <c r="A59" s="33"/>
      <c r="B59" s="34"/>
      <c r="C59" s="34"/>
      <c r="D59" s="34"/>
      <c r="E59" s="34"/>
      <c r="F59" s="34"/>
      <c r="G59" s="34"/>
      <c r="H59" s="34"/>
      <c r="I59" s="34"/>
      <c r="J59" s="34"/>
      <c r="K59" s="34"/>
    </row>
  </sheetData>
  <sheetProtection algorithmName="SHA-512" hashValue="lcNacXQi9lA6oNSwqcy/32a2HhSK3RpmTnNxFbH56EI4kPyecVpijhVR5Q+dRZkjTtxhZJ/tied4En4N+eNOSQ==" saltValue="SfCgR9l89Kw3hjqSY+yzd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/>
  <dimension ref="A1:K55"/>
  <sheetViews>
    <sheetView zoomScale="125" workbookViewId="0">
      <selection sqref="A1:J55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722</v>
      </c>
    </row>
    <row r="2" spans="1:11" x14ac:dyDescent="0.15">
      <c r="A2" s="30"/>
      <c r="B2" s="31"/>
      <c r="C2" s="31"/>
      <c r="D2" s="31"/>
      <c r="E2" s="31"/>
      <c r="F2" s="31"/>
      <c r="G2" s="31"/>
      <c r="H2" s="31"/>
      <c r="I2" s="31"/>
      <c r="J2" s="31"/>
    </row>
    <row r="3" spans="1:11" x14ac:dyDescent="0.15">
      <c r="A3" s="4" t="s">
        <v>61</v>
      </c>
      <c r="B3" s="5"/>
      <c r="C3" s="5"/>
      <c r="D3" s="6"/>
      <c r="E3" s="5"/>
      <c r="F3" s="5"/>
      <c r="G3" s="5"/>
      <c r="H3" s="5"/>
      <c r="I3" s="5"/>
      <c r="J3" s="5"/>
      <c r="K3" s="5"/>
    </row>
    <row r="4" spans="1:11" x14ac:dyDescent="0.15">
      <c r="D4" s="7"/>
      <c r="E4" s="8" t="s">
        <v>100</v>
      </c>
    </row>
    <row r="5" spans="1:11" x14ac:dyDescent="0.15">
      <c r="D5" s="7"/>
    </row>
    <row r="6" spans="1:11" x14ac:dyDescent="0.15">
      <c r="A6" s="9" t="s">
        <v>1074</v>
      </c>
      <c r="D6" s="7"/>
      <c r="E6" s="10" t="s">
        <v>1044</v>
      </c>
      <c r="F6" s="23" t="s">
        <v>591</v>
      </c>
      <c r="G6" s="23" t="s">
        <v>555</v>
      </c>
      <c r="H6" s="23" t="s">
        <v>544</v>
      </c>
      <c r="I6" s="23" t="s">
        <v>615</v>
      </c>
      <c r="J6" s="23" t="s">
        <v>595</v>
      </c>
    </row>
    <row r="7" spans="1:11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</row>
    <row r="8" spans="1:11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</row>
    <row r="9" spans="1:11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</row>
    <row r="10" spans="1:11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</row>
    <row r="11" spans="1:11" x14ac:dyDescent="0.15">
      <c r="A11" t="s">
        <v>67</v>
      </c>
      <c r="D11" s="7"/>
      <c r="E11" s="15">
        <v>3000</v>
      </c>
      <c r="F11">
        <v>6000</v>
      </c>
      <c r="G11" s="15">
        <v>6000</v>
      </c>
      <c r="H11">
        <v>6000</v>
      </c>
      <c r="I11" s="15">
        <v>6000</v>
      </c>
      <c r="J11" s="15">
        <v>6000</v>
      </c>
    </row>
    <row r="12" spans="1:11" x14ac:dyDescent="0.15">
      <c r="A12" t="s">
        <v>68</v>
      </c>
      <c r="D12" s="7"/>
      <c r="E12">
        <v>6000</v>
      </c>
      <c r="F12">
        <v>9000</v>
      </c>
      <c r="G12" s="15">
        <v>9000</v>
      </c>
      <c r="H12">
        <v>6000</v>
      </c>
      <c r="I12">
        <v>9000</v>
      </c>
      <c r="J12">
        <v>9000</v>
      </c>
    </row>
    <row r="13" spans="1:11" x14ac:dyDescent="0.15">
      <c r="A13" t="s">
        <v>69</v>
      </c>
      <c r="D13" s="7"/>
      <c r="E13">
        <v>9000</v>
      </c>
      <c r="F13" s="15">
        <v>9000</v>
      </c>
      <c r="G13">
        <v>9000</v>
      </c>
      <c r="H13">
        <v>6000</v>
      </c>
      <c r="I13" s="15">
        <v>9000</v>
      </c>
      <c r="J13" s="15">
        <v>9000</v>
      </c>
    </row>
    <row r="14" spans="1:11" x14ac:dyDescent="0.15">
      <c r="A14" s="11" t="s">
        <v>70</v>
      </c>
      <c r="B14" s="11"/>
      <c r="C14" s="11"/>
      <c r="D14" s="12"/>
      <c r="E14" s="11">
        <v>15000</v>
      </c>
      <c r="F14" s="11">
        <v>9000</v>
      </c>
      <c r="G14" s="11">
        <v>9000</v>
      </c>
      <c r="H14" s="11">
        <v>6000</v>
      </c>
      <c r="I14" s="11">
        <v>9000</v>
      </c>
      <c r="J14" s="11">
        <v>9000</v>
      </c>
    </row>
    <row r="15" spans="1:11" x14ac:dyDescent="0.15">
      <c r="A15" t="s">
        <v>71</v>
      </c>
      <c r="D15" s="7"/>
      <c r="E15">
        <v>1.7929999999999999</v>
      </c>
      <c r="F15">
        <v>1.8095000000000001</v>
      </c>
      <c r="G15">
        <v>1.8924399999999999</v>
      </c>
      <c r="H15">
        <v>1.82</v>
      </c>
      <c r="I15">
        <v>1.9822</v>
      </c>
      <c r="J15">
        <v>2.0734400000000002</v>
      </c>
    </row>
    <row r="16" spans="1:11" x14ac:dyDescent="0.15">
      <c r="A16" t="s">
        <v>72</v>
      </c>
      <c r="D16" s="7"/>
      <c r="E16">
        <v>1.5267999999999999</v>
      </c>
      <c r="F16">
        <v>1.4124000000000001</v>
      </c>
      <c r="G16">
        <v>1.31637</v>
      </c>
      <c r="H16">
        <v>0</v>
      </c>
      <c r="I16">
        <v>1.4464999999999999</v>
      </c>
      <c r="J16">
        <v>1.51329</v>
      </c>
    </row>
    <row r="17" spans="1:10" x14ac:dyDescent="0.15">
      <c r="A17" t="s">
        <v>73</v>
      </c>
      <c r="D17" s="7"/>
      <c r="E17">
        <v>1.1825000000000001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15">
      <c r="A18" t="s">
        <v>74</v>
      </c>
      <c r="D18" s="7"/>
      <c r="E18">
        <v>1.0009999999999999</v>
      </c>
      <c r="F18">
        <v>0</v>
      </c>
      <c r="G18">
        <v>0</v>
      </c>
      <c r="H18">
        <v>0</v>
      </c>
      <c r="I18">
        <v>0</v>
      </c>
      <c r="J18">
        <v>0</v>
      </c>
    </row>
    <row r="19" spans="1:10" x14ac:dyDescent="0.15">
      <c r="A19" t="s">
        <v>75</v>
      </c>
      <c r="D19" s="7"/>
      <c r="E19">
        <v>0.88990000000000002</v>
      </c>
      <c r="F19">
        <v>0.92400000000000004</v>
      </c>
      <c r="G19">
        <v>0.92179999999999995</v>
      </c>
      <c r="H19">
        <v>1.33</v>
      </c>
      <c r="I19">
        <v>0.99219999999999997</v>
      </c>
      <c r="J19">
        <v>1.0758799999999999</v>
      </c>
    </row>
    <row r="20" spans="1:10" x14ac:dyDescent="0.15">
      <c r="A20" t="s">
        <v>76</v>
      </c>
      <c r="D20" s="7"/>
      <c r="E20">
        <v>1.6620999999999999</v>
      </c>
      <c r="F20">
        <v>1.6126</v>
      </c>
      <c r="G20">
        <v>1.8458000000000001</v>
      </c>
      <c r="H20">
        <v>1.75</v>
      </c>
      <c r="I20">
        <v>1.8425</v>
      </c>
      <c r="J20">
        <v>1.95025</v>
      </c>
    </row>
    <row r="21" spans="1:10" x14ac:dyDescent="0.15">
      <c r="A21" t="s">
        <v>77</v>
      </c>
      <c r="D21" s="7"/>
      <c r="E21">
        <v>1.4278</v>
      </c>
      <c r="F21">
        <v>1.2000999999999999</v>
      </c>
      <c r="G21">
        <v>1.27776</v>
      </c>
      <c r="H21">
        <v>0</v>
      </c>
      <c r="I21">
        <v>1.2562</v>
      </c>
      <c r="J21">
        <v>1.42517</v>
      </c>
    </row>
    <row r="22" spans="1:10" x14ac:dyDescent="0.15">
      <c r="A22" t="s">
        <v>78</v>
      </c>
      <c r="D22" s="7"/>
      <c r="E22">
        <v>1.1296999999999999</v>
      </c>
      <c r="F22">
        <v>0</v>
      </c>
      <c r="G22">
        <v>0</v>
      </c>
      <c r="H22">
        <v>0</v>
      </c>
      <c r="I22">
        <v>0</v>
      </c>
      <c r="J22">
        <v>0</v>
      </c>
    </row>
    <row r="23" spans="1:10" x14ac:dyDescent="0.15">
      <c r="A23" t="s">
        <v>79</v>
      </c>
      <c r="D23" s="7"/>
      <c r="E23">
        <v>0.97350000000000003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15">
      <c r="A24" t="s">
        <v>80</v>
      </c>
      <c r="D24" s="7"/>
      <c r="E24">
        <v>0.87229999999999996</v>
      </c>
      <c r="F24">
        <v>0.85250000000000004</v>
      </c>
      <c r="G24">
        <v>0.91696</v>
      </c>
      <c r="H24">
        <v>1.27</v>
      </c>
      <c r="I24">
        <v>0.93830000000000002</v>
      </c>
      <c r="J24">
        <v>0.98775999999999997</v>
      </c>
    </row>
    <row r="25" spans="1:10" x14ac:dyDescent="0.15">
      <c r="A25" t="s">
        <v>81</v>
      </c>
      <c r="D25" s="7"/>
      <c r="E25">
        <v>58.817</v>
      </c>
      <c r="F25">
        <v>56.231999999999999</v>
      </c>
      <c r="G25">
        <v>61.71</v>
      </c>
      <c r="H25">
        <v>59.67</v>
      </c>
      <c r="I25">
        <v>64.745999999999995</v>
      </c>
      <c r="J25">
        <v>62.902000000000001</v>
      </c>
    </row>
    <row r="26" spans="1:10" x14ac:dyDescent="0.15">
      <c r="D26" s="7"/>
    </row>
    <row r="27" spans="1:10" x14ac:dyDescent="0.15">
      <c r="D27" s="7"/>
    </row>
    <row r="28" spans="1:10" x14ac:dyDescent="0.15">
      <c r="A28" s="9" t="s">
        <v>1076</v>
      </c>
      <c r="D28" s="7"/>
      <c r="E28" s="10" t="s">
        <v>1044</v>
      </c>
      <c r="F28" s="10" t="s">
        <v>591</v>
      </c>
      <c r="G28" s="10" t="s">
        <v>555</v>
      </c>
      <c r="H28" s="10" t="s">
        <v>544</v>
      </c>
      <c r="I28" s="10" t="s">
        <v>615</v>
      </c>
      <c r="J28" s="10" t="s">
        <v>546</v>
      </c>
    </row>
    <row r="29" spans="1:10" x14ac:dyDescent="0.15">
      <c r="A29" s="1" t="s">
        <v>63</v>
      </c>
      <c r="D29" s="7"/>
      <c r="E29" s="13">
        <v>0.5</v>
      </c>
      <c r="F29" s="13">
        <v>0.5</v>
      </c>
      <c r="G29" s="14">
        <v>0.33329999999999999</v>
      </c>
      <c r="H29" s="14">
        <v>0.33329999999999999</v>
      </c>
      <c r="I29" s="14">
        <v>0.33329999999999999</v>
      </c>
      <c r="J29" s="13">
        <v>0.5</v>
      </c>
    </row>
    <row r="30" spans="1:10" x14ac:dyDescent="0.15">
      <c r="A30" s="1" t="s">
        <v>64</v>
      </c>
      <c r="D30" s="7"/>
      <c r="E30" s="15">
        <v>3</v>
      </c>
      <c r="F30" s="15">
        <v>3</v>
      </c>
      <c r="G30" s="15">
        <v>2</v>
      </c>
      <c r="H30" s="15">
        <v>2</v>
      </c>
      <c r="I30" s="15">
        <v>2</v>
      </c>
      <c r="J30" s="15">
        <v>3</v>
      </c>
    </row>
    <row r="31" spans="1:10" x14ac:dyDescent="0.15">
      <c r="A31" s="1" t="s">
        <v>65</v>
      </c>
      <c r="D31" s="7"/>
      <c r="E31" s="13">
        <v>0.5</v>
      </c>
      <c r="F31" s="13">
        <v>0.5</v>
      </c>
      <c r="G31" s="14">
        <v>0.66659999999999997</v>
      </c>
      <c r="H31" s="14">
        <v>0.66659999999999997</v>
      </c>
      <c r="I31" s="14">
        <v>0.66659999999999997</v>
      </c>
      <c r="J31" s="13">
        <v>0.5</v>
      </c>
    </row>
    <row r="32" spans="1:10" x14ac:dyDescent="0.15">
      <c r="A32" s="1" t="s">
        <v>66</v>
      </c>
      <c r="D32" s="7"/>
      <c r="E32" s="15">
        <v>3</v>
      </c>
      <c r="F32" s="15">
        <v>3</v>
      </c>
      <c r="G32" s="15">
        <v>4</v>
      </c>
      <c r="H32" s="15">
        <v>4</v>
      </c>
      <c r="I32" s="15">
        <v>4</v>
      </c>
      <c r="J32" s="15">
        <v>3</v>
      </c>
    </row>
    <row r="33" spans="1:10" x14ac:dyDescent="0.15">
      <c r="A33" t="s">
        <v>67</v>
      </c>
      <c r="D33" s="7"/>
      <c r="E33" s="15">
        <v>3000</v>
      </c>
      <c r="F33" s="15">
        <v>3500</v>
      </c>
      <c r="G33" s="15">
        <v>3500</v>
      </c>
      <c r="H33" s="15">
        <v>3500</v>
      </c>
      <c r="I33" s="15">
        <v>3500</v>
      </c>
      <c r="J33" s="15">
        <v>3500</v>
      </c>
    </row>
    <row r="34" spans="1:10" x14ac:dyDescent="0.15">
      <c r="A34" t="s">
        <v>68</v>
      </c>
      <c r="D34" s="7"/>
      <c r="E34" s="15">
        <v>6000</v>
      </c>
      <c r="F34" s="15">
        <v>3500</v>
      </c>
      <c r="G34" s="15">
        <v>3500</v>
      </c>
      <c r="H34" s="15">
        <v>3500</v>
      </c>
      <c r="I34" s="15">
        <v>3500</v>
      </c>
      <c r="J34" s="15">
        <v>3500</v>
      </c>
    </row>
    <row r="35" spans="1:10" x14ac:dyDescent="0.15">
      <c r="A35" t="s">
        <v>69</v>
      </c>
      <c r="D35" s="7"/>
      <c r="E35" s="15">
        <v>9000</v>
      </c>
      <c r="F35" s="15">
        <v>3500</v>
      </c>
      <c r="G35" s="15">
        <v>3500</v>
      </c>
      <c r="H35" s="15">
        <v>3500</v>
      </c>
      <c r="I35" s="15">
        <v>3500</v>
      </c>
      <c r="J35" s="15">
        <v>3500</v>
      </c>
    </row>
    <row r="36" spans="1:10" x14ac:dyDescent="0.15">
      <c r="A36" s="11" t="s">
        <v>70</v>
      </c>
      <c r="B36" s="11"/>
      <c r="C36" s="11"/>
      <c r="D36" s="12"/>
      <c r="E36" s="11">
        <v>15000</v>
      </c>
      <c r="F36" s="11">
        <v>3500</v>
      </c>
      <c r="G36" s="11">
        <v>3500</v>
      </c>
      <c r="H36" s="11">
        <v>3500</v>
      </c>
      <c r="I36" s="11">
        <v>3500</v>
      </c>
      <c r="J36" s="11">
        <v>3500</v>
      </c>
    </row>
    <row r="37" spans="1:10" x14ac:dyDescent="0.15">
      <c r="A37" t="s">
        <v>71</v>
      </c>
      <c r="D37" s="7"/>
      <c r="E37">
        <v>1.7225999999999999</v>
      </c>
      <c r="F37">
        <v>1.7798</v>
      </c>
      <c r="G37">
        <v>1.71292</v>
      </c>
      <c r="H37">
        <v>1.73</v>
      </c>
      <c r="I37">
        <v>1.7732000000000001</v>
      </c>
      <c r="J37">
        <v>1.91906</v>
      </c>
    </row>
    <row r="38" spans="1:10" x14ac:dyDescent="0.15">
      <c r="A38" t="s">
        <v>72</v>
      </c>
      <c r="D38" s="7"/>
      <c r="E38">
        <v>1.5047999999999999</v>
      </c>
      <c r="F38">
        <v>0</v>
      </c>
      <c r="G38">
        <v>0</v>
      </c>
      <c r="H38">
        <v>0</v>
      </c>
      <c r="I38">
        <v>0</v>
      </c>
      <c r="J38" s="15">
        <v>0</v>
      </c>
    </row>
    <row r="39" spans="1:10" x14ac:dyDescent="0.15">
      <c r="A39" t="s">
        <v>73</v>
      </c>
      <c r="D39" s="7"/>
      <c r="E39">
        <v>1.2936000000000001</v>
      </c>
      <c r="F39">
        <v>0</v>
      </c>
      <c r="G39">
        <v>0</v>
      </c>
      <c r="H39">
        <v>0</v>
      </c>
      <c r="I39">
        <v>0</v>
      </c>
      <c r="J39" s="15">
        <v>0</v>
      </c>
    </row>
    <row r="40" spans="1:10" x14ac:dyDescent="0.15">
      <c r="A40" t="s">
        <v>74</v>
      </c>
      <c r="D40" s="7"/>
      <c r="E40">
        <v>1.2407999999999999</v>
      </c>
      <c r="F40">
        <v>0</v>
      </c>
      <c r="G40">
        <v>0</v>
      </c>
      <c r="H40">
        <v>0</v>
      </c>
      <c r="I40">
        <v>0</v>
      </c>
      <c r="J40" s="15">
        <v>0</v>
      </c>
    </row>
    <row r="41" spans="1:10" x14ac:dyDescent="0.15">
      <c r="A41" t="s">
        <v>75</v>
      </c>
      <c r="D41" s="7"/>
      <c r="E41">
        <v>1.1737</v>
      </c>
      <c r="F41">
        <v>1.4014</v>
      </c>
      <c r="G41">
        <v>1.43</v>
      </c>
      <c r="H41">
        <v>1.43</v>
      </c>
      <c r="I41">
        <v>1.5311999999999999</v>
      </c>
      <c r="J41">
        <v>1.6354599999999999</v>
      </c>
    </row>
    <row r="42" spans="1:10" x14ac:dyDescent="0.15">
      <c r="A42" t="s">
        <v>76</v>
      </c>
      <c r="D42" s="7"/>
      <c r="E42">
        <v>1.5840000000000001</v>
      </c>
      <c r="F42">
        <v>1.6005</v>
      </c>
      <c r="G42">
        <v>1.58301</v>
      </c>
      <c r="H42">
        <v>1.64</v>
      </c>
      <c r="I42">
        <v>1.694</v>
      </c>
      <c r="J42">
        <v>1.7971200000000001</v>
      </c>
    </row>
    <row r="43" spans="1:10" x14ac:dyDescent="0.15">
      <c r="A43" t="s">
        <v>77</v>
      </c>
      <c r="D43" s="7"/>
      <c r="E43">
        <v>1.4091</v>
      </c>
      <c r="F43">
        <v>0</v>
      </c>
      <c r="G43">
        <v>0</v>
      </c>
      <c r="H43">
        <v>0</v>
      </c>
      <c r="I43">
        <v>0</v>
      </c>
      <c r="J43" s="15">
        <v>0</v>
      </c>
    </row>
    <row r="44" spans="1:10" x14ac:dyDescent="0.15">
      <c r="A44" t="s">
        <v>78</v>
      </c>
      <c r="D44" s="7"/>
      <c r="E44">
        <v>1.232</v>
      </c>
      <c r="F44">
        <v>0</v>
      </c>
      <c r="G44">
        <v>0</v>
      </c>
      <c r="H44">
        <v>0</v>
      </c>
      <c r="I44">
        <v>0</v>
      </c>
      <c r="J44" s="15">
        <v>0</v>
      </c>
    </row>
    <row r="45" spans="1:10" x14ac:dyDescent="0.15">
      <c r="A45" t="s">
        <v>79</v>
      </c>
      <c r="D45" s="7"/>
      <c r="E45">
        <v>1.2067000000000001</v>
      </c>
      <c r="F45">
        <v>0</v>
      </c>
      <c r="G45">
        <v>0</v>
      </c>
      <c r="H45">
        <v>0</v>
      </c>
      <c r="I45">
        <v>0</v>
      </c>
      <c r="J45" s="15">
        <v>0</v>
      </c>
    </row>
    <row r="46" spans="1:10" x14ac:dyDescent="0.15">
      <c r="A46" t="s">
        <v>80</v>
      </c>
      <c r="D46" s="7"/>
      <c r="E46">
        <v>1.1417999999999999</v>
      </c>
      <c r="F46">
        <v>1.1605000000000001</v>
      </c>
      <c r="G46">
        <v>1.22848</v>
      </c>
      <c r="H46">
        <v>1.27</v>
      </c>
      <c r="I46">
        <v>1.3244</v>
      </c>
      <c r="J46">
        <v>1.5482499999999999</v>
      </c>
    </row>
    <row r="47" spans="1:10" x14ac:dyDescent="0.15">
      <c r="A47" t="s">
        <v>81</v>
      </c>
      <c r="D47" s="7"/>
      <c r="E47">
        <v>49.884999999999998</v>
      </c>
      <c r="F47">
        <v>51.161000000000001</v>
      </c>
      <c r="G47">
        <v>57.86</v>
      </c>
      <c r="H47">
        <v>55.06</v>
      </c>
      <c r="I47">
        <v>58.575000000000003</v>
      </c>
      <c r="J47">
        <v>54.271999999999998</v>
      </c>
    </row>
    <row r="48" spans="1:10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</row>
    <row r="49" spans="1:10" x14ac:dyDescent="0.15">
      <c r="A49" s="9" t="s">
        <v>490</v>
      </c>
      <c r="D49" s="7"/>
      <c r="E49" s="10" t="s">
        <v>1044</v>
      </c>
      <c r="F49" s="23" t="s">
        <v>591</v>
      </c>
      <c r="G49" s="23" t="s">
        <v>555</v>
      </c>
      <c r="H49" s="23" t="s">
        <v>544</v>
      </c>
      <c r="I49" s="23" t="s">
        <v>615</v>
      </c>
      <c r="J49" s="23" t="s">
        <v>595</v>
      </c>
    </row>
    <row r="50" spans="1:10" x14ac:dyDescent="0.15">
      <c r="A50" t="s">
        <v>491</v>
      </c>
      <c r="D50" s="7"/>
      <c r="E50" s="24" t="s">
        <v>560</v>
      </c>
      <c r="F50" s="25" t="s">
        <v>561</v>
      </c>
      <c r="G50" s="25" t="s">
        <v>540</v>
      </c>
      <c r="H50" s="25" t="s">
        <v>494</v>
      </c>
      <c r="I50" s="25" t="s">
        <v>494</v>
      </c>
      <c r="J50" s="25" t="s">
        <v>494</v>
      </c>
    </row>
    <row r="51" spans="1:10" x14ac:dyDescent="0.15">
      <c r="A51" t="s">
        <v>496</v>
      </c>
      <c r="D51" s="7"/>
      <c r="E51" s="25" t="s">
        <v>498</v>
      </c>
      <c r="F51" s="25" t="s">
        <v>497</v>
      </c>
      <c r="G51" s="25" t="s">
        <v>526</v>
      </c>
      <c r="H51" s="25" t="s">
        <v>493</v>
      </c>
      <c r="I51" s="25" t="s">
        <v>498</v>
      </c>
      <c r="J51" s="25" t="s">
        <v>498</v>
      </c>
    </row>
    <row r="52" spans="1:10" x14ac:dyDescent="0.15">
      <c r="A52" t="s">
        <v>499</v>
      </c>
      <c r="D52" s="7"/>
      <c r="E52" s="25" t="s">
        <v>557</v>
      </c>
      <c r="F52" s="37">
        <v>22</v>
      </c>
      <c r="G52" s="37">
        <v>22</v>
      </c>
      <c r="H52" s="25" t="s">
        <v>493</v>
      </c>
      <c r="I52" s="37">
        <v>20</v>
      </c>
      <c r="J52" s="37">
        <v>100</v>
      </c>
    </row>
    <row r="53" spans="1:10" x14ac:dyDescent="0.15">
      <c r="A53" t="s">
        <v>501</v>
      </c>
      <c r="D53" s="7"/>
      <c r="E53" s="25" t="s">
        <v>494</v>
      </c>
      <c r="F53" s="25" t="s">
        <v>562</v>
      </c>
      <c r="G53" s="24" t="s">
        <v>540</v>
      </c>
      <c r="H53" s="24" t="s">
        <v>558</v>
      </c>
      <c r="I53" s="24" t="s">
        <v>510</v>
      </c>
      <c r="J53" s="24" t="s">
        <v>506</v>
      </c>
    </row>
    <row r="54" spans="1:10" x14ac:dyDescent="0.15">
      <c r="A54" t="s">
        <v>442</v>
      </c>
      <c r="D54" s="7"/>
      <c r="E54" s="25" t="s">
        <v>512</v>
      </c>
      <c r="F54" s="25" t="s">
        <v>494</v>
      </c>
      <c r="G54" s="25" t="s">
        <v>494</v>
      </c>
      <c r="H54" s="25" t="s">
        <v>493</v>
      </c>
      <c r="I54" s="25" t="s">
        <v>494</v>
      </c>
      <c r="J54" s="25" t="s">
        <v>494</v>
      </c>
    </row>
    <row r="55" spans="1:10" x14ac:dyDescent="0.15">
      <c r="A55" s="30"/>
      <c r="B55" s="31"/>
      <c r="C55" s="31"/>
      <c r="D55" s="31"/>
      <c r="E55" s="31"/>
      <c r="F55" s="31"/>
      <c r="G55" s="31"/>
      <c r="H55" s="31"/>
      <c r="I55" s="31"/>
      <c r="J55" s="31"/>
    </row>
  </sheetData>
  <sheetProtection algorithmName="SHA-512" hashValue="AfeSx9yOJVU44F83lZRSgva7IlLU8Bmgp/mJfzLW8UlZ8TN/yRetS+3kWcr0/u2tWVuE6Tp8Mq18dzhEiF9wzA==" saltValue="QdFCI1EYLSStnqE/E7a7Vw==" spinCount="100000" sheet="1" objects="1" scenarios="1"/>
  <phoneticPr fontId="20" type="noConversion"/>
  <pageMargins left="0.75" right="0.75" top="1" bottom="1" header="0.5" footer="0.5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/>
  <dimension ref="A1:K59"/>
  <sheetViews>
    <sheetView zoomScale="125" workbookViewId="0">
      <selection sqref="A1:J5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722</v>
      </c>
    </row>
    <row r="2" spans="1:11" x14ac:dyDescent="0.15">
      <c r="A2" s="30"/>
      <c r="B2" s="31"/>
      <c r="C2" s="31"/>
      <c r="D2" s="31"/>
      <c r="E2" s="31"/>
      <c r="F2" s="31"/>
      <c r="G2" s="31"/>
      <c r="H2" s="31"/>
      <c r="I2" s="31"/>
      <c r="J2" s="31"/>
    </row>
    <row r="3" spans="1:11" x14ac:dyDescent="0.15">
      <c r="A3" s="4" t="s">
        <v>82</v>
      </c>
      <c r="B3" s="5"/>
      <c r="C3" s="5"/>
      <c r="D3" s="6"/>
      <c r="E3" s="5"/>
      <c r="F3" s="5"/>
      <c r="G3" s="5"/>
      <c r="H3" s="5"/>
      <c r="I3" s="5"/>
      <c r="J3" s="5"/>
      <c r="K3" s="5"/>
    </row>
    <row r="4" spans="1:11" x14ac:dyDescent="0.15">
      <c r="D4" s="7"/>
      <c r="E4" s="8" t="s">
        <v>100</v>
      </c>
    </row>
    <row r="5" spans="1:11" x14ac:dyDescent="0.15">
      <c r="A5" s="9" t="s">
        <v>83</v>
      </c>
      <c r="D5" s="7"/>
    </row>
    <row r="6" spans="1:11" x14ac:dyDescent="0.15">
      <c r="A6" s="9" t="s">
        <v>1024</v>
      </c>
      <c r="D6" s="7"/>
      <c r="E6" s="10" t="s">
        <v>1044</v>
      </c>
      <c r="F6" s="23" t="s">
        <v>591</v>
      </c>
      <c r="G6" s="23" t="s">
        <v>555</v>
      </c>
      <c r="H6" s="23" t="s">
        <v>544</v>
      </c>
      <c r="I6" s="23" t="s">
        <v>615</v>
      </c>
      <c r="J6" s="23" t="s">
        <v>595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</row>
    <row r="11" spans="1:11" x14ac:dyDescent="0.15">
      <c r="A11" t="s">
        <v>67</v>
      </c>
      <c r="D11" s="7"/>
      <c r="E11" s="15">
        <v>6000</v>
      </c>
      <c r="F11">
        <v>4000</v>
      </c>
      <c r="G11" s="15">
        <v>4000</v>
      </c>
      <c r="H11">
        <v>4000</v>
      </c>
      <c r="I11">
        <v>4000</v>
      </c>
      <c r="J11">
        <v>4000</v>
      </c>
    </row>
    <row r="12" spans="1:11" x14ac:dyDescent="0.15">
      <c r="A12" s="11" t="s">
        <v>84</v>
      </c>
      <c r="B12" s="11"/>
      <c r="C12" s="11"/>
      <c r="D12" s="12"/>
      <c r="E12" s="11">
        <v>12000</v>
      </c>
      <c r="F12" s="11">
        <v>12000</v>
      </c>
      <c r="G12" s="32">
        <v>12000</v>
      </c>
      <c r="H12" s="11">
        <v>4000</v>
      </c>
      <c r="I12" s="11">
        <v>12000</v>
      </c>
      <c r="J12" s="11">
        <v>12000</v>
      </c>
    </row>
    <row r="13" spans="1:11" x14ac:dyDescent="0.15">
      <c r="A13" t="s">
        <v>71</v>
      </c>
      <c r="D13" s="7"/>
      <c r="E13">
        <v>1.6291</v>
      </c>
      <c r="F13">
        <v>1.7116</v>
      </c>
      <c r="G13">
        <v>1.7651699999999999</v>
      </c>
      <c r="H13">
        <v>1.74</v>
      </c>
      <c r="I13">
        <v>1.8292999999999999</v>
      </c>
      <c r="J13">
        <v>1.8697600000000001</v>
      </c>
    </row>
    <row r="14" spans="1:11" x14ac:dyDescent="0.15">
      <c r="A14" t="s">
        <v>72</v>
      </c>
      <c r="D14" s="7"/>
      <c r="E14">
        <v>1.4883</v>
      </c>
      <c r="F14">
        <v>1.6158999999999999</v>
      </c>
      <c r="G14">
        <v>1.6324000000000001</v>
      </c>
      <c r="H14">
        <v>0</v>
      </c>
      <c r="I14">
        <v>1.7346999999999999</v>
      </c>
      <c r="J14">
        <v>1.76251</v>
      </c>
    </row>
    <row r="15" spans="1:11" x14ac:dyDescent="0.15">
      <c r="A15" t="s">
        <v>75</v>
      </c>
      <c r="D15" s="7"/>
      <c r="E15">
        <v>1.2221</v>
      </c>
      <c r="F15">
        <v>1.2506999999999999</v>
      </c>
      <c r="G15">
        <v>1.21275</v>
      </c>
      <c r="H15">
        <v>1.62</v>
      </c>
      <c r="I15">
        <v>1.3431</v>
      </c>
      <c r="J15">
        <v>1.34036</v>
      </c>
    </row>
    <row r="16" spans="1:11" x14ac:dyDescent="0.15">
      <c r="A16" t="s">
        <v>76</v>
      </c>
      <c r="D16" s="7"/>
      <c r="E16">
        <v>1.5587</v>
      </c>
      <c r="F16">
        <v>1.5323</v>
      </c>
      <c r="G16">
        <v>1.6736500000000001</v>
      </c>
      <c r="H16">
        <v>1.68</v>
      </c>
      <c r="I16">
        <v>1.7479</v>
      </c>
      <c r="J16">
        <v>1.84039</v>
      </c>
    </row>
    <row r="17" spans="1:10" x14ac:dyDescent="0.15">
      <c r="A17" t="s">
        <v>77</v>
      </c>
      <c r="D17" s="7"/>
      <c r="E17">
        <v>1.4399</v>
      </c>
      <c r="F17">
        <v>1.5289999999999999</v>
      </c>
      <c r="G17">
        <v>1.5648599999999999</v>
      </c>
      <c r="H17">
        <v>0</v>
      </c>
      <c r="I17">
        <v>1.6819</v>
      </c>
      <c r="J17">
        <v>1.7213000000000001</v>
      </c>
    </row>
    <row r="18" spans="1:10" x14ac:dyDescent="0.15">
      <c r="A18" t="s">
        <v>80</v>
      </c>
      <c r="D18" s="7"/>
      <c r="E18">
        <v>1.1681999999999999</v>
      </c>
      <c r="F18">
        <v>1.1605000000000001</v>
      </c>
      <c r="G18">
        <v>1.1713899999999999</v>
      </c>
      <c r="H18">
        <v>1.6</v>
      </c>
      <c r="I18">
        <v>1.3012999999999999</v>
      </c>
      <c r="J18">
        <v>1.29914</v>
      </c>
    </row>
    <row r="19" spans="1:10" x14ac:dyDescent="0.15">
      <c r="A19" t="s">
        <v>81</v>
      </c>
      <c r="D19" s="7"/>
      <c r="E19">
        <v>56.133000000000003</v>
      </c>
      <c r="F19">
        <v>52.414999999999999</v>
      </c>
      <c r="G19">
        <v>59.84</v>
      </c>
      <c r="H19">
        <v>59.67</v>
      </c>
      <c r="I19">
        <v>58.750999999999998</v>
      </c>
      <c r="J19">
        <v>62.72</v>
      </c>
    </row>
    <row r="20" spans="1:10" x14ac:dyDescent="0.15">
      <c r="D20" s="7"/>
    </row>
    <row r="21" spans="1:10" x14ac:dyDescent="0.15">
      <c r="A21" s="9" t="s">
        <v>85</v>
      </c>
      <c r="D21" s="7"/>
    </row>
    <row r="22" spans="1:10" x14ac:dyDescent="0.15">
      <c r="A22" s="9" t="s">
        <v>488</v>
      </c>
      <c r="D22" s="7"/>
      <c r="E22" s="10" t="s">
        <v>1044</v>
      </c>
      <c r="F22" s="10" t="s">
        <v>591</v>
      </c>
      <c r="G22" s="10" t="s">
        <v>555</v>
      </c>
      <c r="H22" s="10" t="s">
        <v>544</v>
      </c>
      <c r="I22" s="10" t="s">
        <v>615</v>
      </c>
      <c r="J22" s="10" t="s">
        <v>546</v>
      </c>
    </row>
    <row r="23" spans="1:10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</row>
    <row r="24" spans="1:10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</row>
    <row r="25" spans="1:10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</row>
    <row r="26" spans="1:10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</row>
    <row r="27" spans="1:10" x14ac:dyDescent="0.15">
      <c r="A27" t="s">
        <v>67</v>
      </c>
      <c r="D27" s="7"/>
      <c r="E27" s="15">
        <v>6000</v>
      </c>
      <c r="F27" s="15">
        <v>3200</v>
      </c>
      <c r="G27" s="15">
        <v>3200</v>
      </c>
      <c r="H27" s="15">
        <v>3200</v>
      </c>
      <c r="I27" s="15">
        <v>3200</v>
      </c>
      <c r="J27" s="15">
        <v>3200</v>
      </c>
    </row>
    <row r="28" spans="1:10" x14ac:dyDescent="0.15">
      <c r="A28" s="11" t="s">
        <v>68</v>
      </c>
      <c r="B28" s="11"/>
      <c r="C28" s="11"/>
      <c r="D28" s="12"/>
      <c r="E28" s="11">
        <v>12000</v>
      </c>
      <c r="F28" s="11">
        <v>3200</v>
      </c>
      <c r="G28" s="32">
        <v>3200</v>
      </c>
      <c r="H28" s="11">
        <v>3200</v>
      </c>
      <c r="I28" s="11">
        <v>3200</v>
      </c>
      <c r="J28" s="11">
        <v>3200</v>
      </c>
    </row>
    <row r="29" spans="1:10" x14ac:dyDescent="0.15">
      <c r="A29" t="s">
        <v>71</v>
      </c>
      <c r="D29" s="7"/>
      <c r="E29">
        <v>1.5993999999999999</v>
      </c>
      <c r="F29">
        <v>1.7687999999999999</v>
      </c>
      <c r="G29">
        <v>1.74339</v>
      </c>
      <c r="H29">
        <v>1.71</v>
      </c>
      <c r="I29">
        <v>1.8106</v>
      </c>
      <c r="J29">
        <v>1.91883</v>
      </c>
    </row>
    <row r="30" spans="1:10" x14ac:dyDescent="0.15">
      <c r="A30" t="s">
        <v>72</v>
      </c>
      <c r="D30" s="7"/>
      <c r="E30">
        <v>1.3706</v>
      </c>
      <c r="F30">
        <v>0</v>
      </c>
      <c r="G30" s="15">
        <v>0</v>
      </c>
      <c r="H30">
        <v>0</v>
      </c>
      <c r="I30">
        <v>0</v>
      </c>
      <c r="J30">
        <v>0</v>
      </c>
    </row>
    <row r="31" spans="1:10" x14ac:dyDescent="0.15">
      <c r="A31" t="s">
        <v>75</v>
      </c>
      <c r="D31" s="7"/>
      <c r="E31">
        <v>1.2463</v>
      </c>
      <c r="F31">
        <v>1.4388000000000001</v>
      </c>
      <c r="G31">
        <v>1.51976</v>
      </c>
      <c r="H31">
        <v>1.48</v>
      </c>
      <c r="I31">
        <v>1.5972</v>
      </c>
      <c r="J31">
        <v>1.7038800000000001</v>
      </c>
    </row>
    <row r="32" spans="1:10" x14ac:dyDescent="0.15">
      <c r="A32" t="s">
        <v>76</v>
      </c>
      <c r="D32" s="7"/>
      <c r="E32">
        <v>1.5345</v>
      </c>
      <c r="F32">
        <v>1.5928</v>
      </c>
      <c r="G32">
        <v>1.6186499999999999</v>
      </c>
      <c r="H32">
        <v>1.64</v>
      </c>
      <c r="I32">
        <v>1.6973</v>
      </c>
      <c r="J32">
        <v>1.88957</v>
      </c>
    </row>
    <row r="33" spans="1:10" x14ac:dyDescent="0.15">
      <c r="A33" t="s">
        <v>86</v>
      </c>
      <c r="D33" s="7"/>
      <c r="E33">
        <v>1.3277000000000001</v>
      </c>
      <c r="F33">
        <v>0</v>
      </c>
      <c r="G33">
        <v>0</v>
      </c>
      <c r="H33">
        <v>0</v>
      </c>
      <c r="I33">
        <v>0</v>
      </c>
      <c r="J33">
        <v>0</v>
      </c>
    </row>
    <row r="34" spans="1:10" x14ac:dyDescent="0.15">
      <c r="A34" t="s">
        <v>80</v>
      </c>
      <c r="D34" s="7"/>
      <c r="E34">
        <v>1.2044999999999999</v>
      </c>
      <c r="F34">
        <v>1.3486</v>
      </c>
      <c r="G34">
        <v>1.41273</v>
      </c>
      <c r="H34">
        <v>1.44</v>
      </c>
      <c r="I34">
        <v>1.5146999999999999</v>
      </c>
      <c r="J34">
        <v>1.6626700000000001</v>
      </c>
    </row>
    <row r="35" spans="1:10" x14ac:dyDescent="0.15">
      <c r="A35" t="s">
        <v>81</v>
      </c>
      <c r="D35" s="7"/>
      <c r="E35">
        <v>56.122</v>
      </c>
      <c r="F35">
        <v>50.963000000000001</v>
      </c>
      <c r="G35">
        <v>58.3</v>
      </c>
      <c r="H35">
        <v>57.15</v>
      </c>
      <c r="I35">
        <v>57.045999999999999</v>
      </c>
      <c r="J35">
        <v>56.322000000000003</v>
      </c>
    </row>
    <row r="36" spans="1:10" x14ac:dyDescent="0.15">
      <c r="D36" s="7"/>
    </row>
    <row r="37" spans="1:10" x14ac:dyDescent="0.15">
      <c r="A37" s="9" t="s">
        <v>85</v>
      </c>
      <c r="D37" s="7"/>
    </row>
    <row r="38" spans="1:10" x14ac:dyDescent="0.15">
      <c r="A38" s="9" t="s">
        <v>1028</v>
      </c>
      <c r="D38" s="7"/>
      <c r="E38" s="10" t="s">
        <v>1044</v>
      </c>
      <c r="F38" s="10" t="s">
        <v>591</v>
      </c>
      <c r="G38" s="10" t="s">
        <v>555</v>
      </c>
      <c r="H38" s="10" t="s">
        <v>544</v>
      </c>
      <c r="I38" s="10" t="s">
        <v>615</v>
      </c>
      <c r="J38" s="10" t="s">
        <v>546</v>
      </c>
    </row>
    <row r="39" spans="1:10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</row>
    <row r="40" spans="1:10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</row>
    <row r="41" spans="1:10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</row>
    <row r="42" spans="1:10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</row>
    <row r="43" spans="1:10" x14ac:dyDescent="0.15">
      <c r="A43" t="s">
        <v>67</v>
      </c>
      <c r="D43" s="7"/>
      <c r="E43" s="15">
        <v>6000</v>
      </c>
      <c r="F43">
        <v>4000</v>
      </c>
      <c r="G43" s="15">
        <v>4000</v>
      </c>
      <c r="H43">
        <v>4000</v>
      </c>
      <c r="I43">
        <v>4000</v>
      </c>
      <c r="J43">
        <v>4000</v>
      </c>
    </row>
    <row r="44" spans="1:10" x14ac:dyDescent="0.15">
      <c r="A44" s="11" t="s">
        <v>84</v>
      </c>
      <c r="B44" s="11"/>
      <c r="C44" s="11"/>
      <c r="D44" s="12"/>
      <c r="E44" s="11">
        <v>12000</v>
      </c>
      <c r="F44" s="11">
        <v>12000</v>
      </c>
      <c r="G44" s="32">
        <v>12000</v>
      </c>
      <c r="H44" s="11">
        <v>4000</v>
      </c>
      <c r="I44" s="11">
        <v>12000</v>
      </c>
      <c r="J44" s="11">
        <v>12000</v>
      </c>
    </row>
    <row r="45" spans="1:10" x14ac:dyDescent="0.15">
      <c r="A45" t="s">
        <v>71</v>
      </c>
      <c r="D45" s="7"/>
      <c r="E45">
        <v>1.639</v>
      </c>
      <c r="F45">
        <v>1.7423999999999999</v>
      </c>
      <c r="G45">
        <v>1.8291900000000001</v>
      </c>
      <c r="H45">
        <v>1.73</v>
      </c>
      <c r="I45">
        <v>1.8612</v>
      </c>
      <c r="J45">
        <v>1.92031</v>
      </c>
    </row>
    <row r="46" spans="1:10" x14ac:dyDescent="0.15">
      <c r="A46" t="s">
        <v>72</v>
      </c>
      <c r="D46" s="7"/>
      <c r="E46">
        <v>1.3617999999999999</v>
      </c>
      <c r="F46">
        <v>1.5378000000000001</v>
      </c>
      <c r="G46">
        <v>1.55925</v>
      </c>
      <c r="H46">
        <v>0</v>
      </c>
      <c r="I46">
        <v>1.6477999999999999</v>
      </c>
      <c r="J46">
        <v>1.6856599999999999</v>
      </c>
    </row>
    <row r="47" spans="1:10" x14ac:dyDescent="0.15">
      <c r="A47" t="s">
        <v>75</v>
      </c>
      <c r="D47" s="7"/>
      <c r="E47">
        <v>1.2121999999999999</v>
      </c>
      <c r="F47">
        <v>1.2968999999999999</v>
      </c>
      <c r="G47">
        <v>1.29525</v>
      </c>
      <c r="H47">
        <v>1.54</v>
      </c>
      <c r="I47">
        <v>1.3958999999999999</v>
      </c>
      <c r="J47">
        <v>1.42073</v>
      </c>
    </row>
    <row r="48" spans="1:10" x14ac:dyDescent="0.15">
      <c r="A48" t="s">
        <v>76</v>
      </c>
      <c r="D48" s="7"/>
      <c r="E48">
        <v>1.6015999999999999</v>
      </c>
      <c r="F48">
        <v>1.6544000000000001</v>
      </c>
      <c r="G48">
        <v>1.7378899999999999</v>
      </c>
      <c r="H48">
        <v>1.68</v>
      </c>
      <c r="I48">
        <v>1.8304</v>
      </c>
      <c r="J48">
        <v>1.8910499999999999</v>
      </c>
    </row>
    <row r="49" spans="1:10" x14ac:dyDescent="0.15">
      <c r="A49" t="s">
        <v>77</v>
      </c>
      <c r="D49" s="7"/>
      <c r="E49">
        <v>1.3123</v>
      </c>
      <c r="F49">
        <v>1.4311</v>
      </c>
      <c r="G49">
        <v>1.4842299999999999</v>
      </c>
      <c r="H49">
        <v>0</v>
      </c>
      <c r="I49">
        <v>1.6291</v>
      </c>
      <c r="J49">
        <v>1.6443399999999999</v>
      </c>
    </row>
    <row r="50" spans="1:10" x14ac:dyDescent="0.15">
      <c r="A50" t="s">
        <v>80</v>
      </c>
      <c r="D50" s="7"/>
      <c r="E50">
        <v>1.1748000000000001</v>
      </c>
      <c r="F50">
        <v>1.1858</v>
      </c>
      <c r="G50">
        <v>1.2263900000000001</v>
      </c>
      <c r="H50">
        <v>1.51</v>
      </c>
      <c r="I50">
        <v>1.3232999999999999</v>
      </c>
      <c r="J50">
        <v>1.37941</v>
      </c>
    </row>
    <row r="51" spans="1:10" x14ac:dyDescent="0.15">
      <c r="A51" t="s">
        <v>81</v>
      </c>
      <c r="D51" s="7"/>
      <c r="E51">
        <v>55.957000000000001</v>
      </c>
      <c r="F51">
        <v>51.392000000000003</v>
      </c>
      <c r="G51">
        <v>59.872999999999998</v>
      </c>
      <c r="H51">
        <v>58.27</v>
      </c>
      <c r="I51">
        <v>58.762</v>
      </c>
      <c r="J51">
        <v>62.844999999999999</v>
      </c>
    </row>
    <row r="52" spans="1:10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</row>
    <row r="53" spans="1:10" x14ac:dyDescent="0.15">
      <c r="A53" s="9" t="s">
        <v>490</v>
      </c>
      <c r="D53" s="7"/>
      <c r="E53" s="10" t="s">
        <v>1044</v>
      </c>
      <c r="F53" s="23" t="s">
        <v>591</v>
      </c>
      <c r="G53" s="23" t="s">
        <v>555</v>
      </c>
      <c r="H53" s="23" t="s">
        <v>544</v>
      </c>
      <c r="I53" s="23" t="s">
        <v>615</v>
      </c>
      <c r="J53" s="23" t="s">
        <v>595</v>
      </c>
    </row>
    <row r="54" spans="1:10" x14ac:dyDescent="0.15">
      <c r="A54" t="s">
        <v>491</v>
      </c>
      <c r="D54" s="7"/>
      <c r="E54" s="24" t="s">
        <v>560</v>
      </c>
      <c r="F54" s="25" t="s">
        <v>561</v>
      </c>
      <c r="G54" s="25" t="s">
        <v>540</v>
      </c>
      <c r="H54" s="25" t="s">
        <v>494</v>
      </c>
      <c r="I54" s="25" t="s">
        <v>494</v>
      </c>
      <c r="J54" s="25" t="s">
        <v>494</v>
      </c>
    </row>
    <row r="55" spans="1:10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493</v>
      </c>
      <c r="I55" s="25" t="s">
        <v>498</v>
      </c>
      <c r="J55" s="25" t="s">
        <v>498</v>
      </c>
    </row>
    <row r="56" spans="1:10" x14ac:dyDescent="0.15">
      <c r="A56" t="s">
        <v>499</v>
      </c>
      <c r="D56" s="7"/>
      <c r="E56" s="25" t="s">
        <v>557</v>
      </c>
      <c r="F56" s="37">
        <v>22</v>
      </c>
      <c r="G56" s="37">
        <v>22</v>
      </c>
      <c r="H56" s="25" t="s">
        <v>493</v>
      </c>
      <c r="I56" s="37">
        <v>20</v>
      </c>
      <c r="J56" s="37">
        <v>100</v>
      </c>
    </row>
    <row r="57" spans="1:10" x14ac:dyDescent="0.15">
      <c r="A57" t="s">
        <v>501</v>
      </c>
      <c r="D57" s="7"/>
      <c r="E57" s="25" t="s">
        <v>494</v>
      </c>
      <c r="F57" s="25" t="s">
        <v>562</v>
      </c>
      <c r="G57" s="24" t="s">
        <v>540</v>
      </c>
      <c r="H57" s="24" t="s">
        <v>558</v>
      </c>
      <c r="I57" s="24" t="s">
        <v>510</v>
      </c>
      <c r="J57" s="24" t="s">
        <v>506</v>
      </c>
    </row>
    <row r="58" spans="1:10" x14ac:dyDescent="0.15">
      <c r="A58" t="s">
        <v>442</v>
      </c>
      <c r="D58" s="7"/>
      <c r="E58" s="25" t="s">
        <v>512</v>
      </c>
      <c r="F58" s="25" t="s">
        <v>494</v>
      </c>
      <c r="G58" s="25" t="s">
        <v>494</v>
      </c>
      <c r="H58" s="25" t="s">
        <v>493</v>
      </c>
      <c r="I58" s="25" t="s">
        <v>494</v>
      </c>
      <c r="J58" s="25" t="s">
        <v>494</v>
      </c>
    </row>
    <row r="59" spans="1:10" x14ac:dyDescent="0.15">
      <c r="A59" s="30"/>
      <c r="B59" s="31"/>
      <c r="C59" s="31"/>
      <c r="D59" s="31"/>
      <c r="E59" s="31"/>
      <c r="F59" s="31"/>
      <c r="G59" s="31"/>
      <c r="H59" s="31"/>
      <c r="I59" s="31"/>
      <c r="J59" s="31"/>
    </row>
  </sheetData>
  <sheetProtection algorithmName="SHA-512" hashValue="C8TklAVhGF+lELRq+8QADBCanx4RRUA20DOwk1KRi62ZYCdJo0SGU1VbjWFBFMB3hyZZS185fpMcH7Ptt00YQw==" saltValue="y/+iicLj9MKtNbH15XdnNw==" spinCount="100000" sheet="1" objects="1" scenarios="1"/>
  <phoneticPr fontId="20" type="noConversion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52BCF-9B7E-244D-B78C-CE6D6776EF46}">
  <sheetPr codeName="Sheet69"/>
  <dimension ref="A1:AZ183"/>
  <sheetViews>
    <sheetView workbookViewId="0">
      <selection activeCell="Q1" sqref="Q1:Q1048576"/>
    </sheetView>
  </sheetViews>
  <sheetFormatPr baseColWidth="10" defaultRowHeight="13" x14ac:dyDescent="0.15"/>
  <cols>
    <col min="1" max="1" width="20.83203125" customWidth="1"/>
    <col min="2" max="2" width="21.6640625" bestFit="1" customWidth="1"/>
    <col min="3" max="3" width="16.83203125" bestFit="1" customWidth="1"/>
    <col min="4" max="4" width="7.5" bestFit="1" customWidth="1"/>
    <col min="5" max="9" width="10" bestFit="1" customWidth="1"/>
    <col min="10" max="14" width="8.5" bestFit="1" customWidth="1"/>
    <col min="15" max="16" width="10.6640625" hidden="1" customWidth="1"/>
    <col min="17" max="17" width="10.1640625" hidden="1" customWidth="1"/>
    <col min="18" max="18" width="10.6640625" bestFit="1" customWidth="1"/>
    <col min="21" max="21" width="10.5" bestFit="1" customWidth="1"/>
    <col min="22" max="22" width="10.5" customWidth="1"/>
    <col min="23" max="23" width="19" hidden="1" customWidth="1"/>
    <col min="24" max="24" width="10.83203125" hidden="1" customWidth="1"/>
    <col min="25" max="26" width="10.6640625" hidden="1" customWidth="1"/>
    <col min="27" max="27" width="14.1640625" customWidth="1"/>
    <col min="28" max="28" width="14" customWidth="1"/>
  </cols>
  <sheetData>
    <row r="1" spans="1:52" ht="14" x14ac:dyDescent="0.15">
      <c r="A1" s="516" t="s">
        <v>722</v>
      </c>
      <c r="B1" s="516"/>
      <c r="C1" s="516"/>
      <c r="D1" s="516"/>
      <c r="E1" s="517"/>
      <c r="F1" s="517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 s="516"/>
      <c r="AV1" s="516"/>
      <c r="AW1" s="516"/>
      <c r="AX1" s="516"/>
      <c r="AY1" s="516"/>
      <c r="AZ1" s="516"/>
    </row>
    <row r="2" spans="1:52" ht="14" x14ac:dyDescent="0.15">
      <c r="A2" s="519" t="s">
        <v>723</v>
      </c>
      <c r="B2" s="519"/>
      <c r="C2" s="516"/>
      <c r="D2" s="516"/>
      <c r="E2" s="517"/>
      <c r="F2" s="517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16"/>
      <c r="U2" s="516"/>
      <c r="V2" s="516"/>
      <c r="W2" s="516"/>
      <c r="X2" s="516"/>
      <c r="Y2" s="516"/>
      <c r="Z2" s="516"/>
      <c r="AA2" s="516"/>
      <c r="AB2" s="516"/>
      <c r="AC2" s="516"/>
      <c r="AD2" s="516"/>
      <c r="AE2" s="516"/>
      <c r="AF2" s="516"/>
      <c r="AG2" s="516"/>
      <c r="AH2" s="516"/>
      <c r="AI2" s="516"/>
      <c r="AJ2" s="516"/>
      <c r="AK2" s="516"/>
      <c r="AL2" s="516"/>
      <c r="AM2" s="516"/>
      <c r="AN2" s="516"/>
      <c r="AO2" s="516"/>
      <c r="AP2" s="516"/>
      <c r="AQ2" s="516"/>
      <c r="AR2" s="516"/>
      <c r="AS2" s="516"/>
      <c r="AT2" s="516"/>
      <c r="AU2" s="516"/>
      <c r="AV2" s="516"/>
      <c r="AW2" s="516"/>
      <c r="AX2" s="516"/>
      <c r="AY2" s="516"/>
      <c r="AZ2" s="516"/>
    </row>
    <row r="3" spans="1:52" ht="15" thickBot="1" x14ac:dyDescent="0.2">
      <c r="A3" s="516"/>
      <c r="B3" s="516"/>
      <c r="C3" s="516"/>
      <c r="D3" s="516"/>
      <c r="E3" s="517"/>
      <c r="F3" s="517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  <c r="Y3" s="516"/>
      <c r="Z3" s="516"/>
      <c r="AA3" s="516"/>
      <c r="AB3" s="516"/>
      <c r="AC3" s="516"/>
      <c r="AD3" s="516"/>
      <c r="AE3" s="516"/>
      <c r="AF3" s="516"/>
      <c r="AG3" s="516"/>
      <c r="AH3" s="516"/>
      <c r="AI3" s="516"/>
      <c r="AJ3" s="516"/>
      <c r="AK3" s="516"/>
      <c r="AL3" s="516"/>
      <c r="AM3" s="516"/>
      <c r="AN3" s="516"/>
      <c r="AO3" s="516"/>
      <c r="AP3" s="516"/>
      <c r="AQ3" s="516"/>
      <c r="AR3" s="516"/>
      <c r="AS3" s="516"/>
      <c r="AT3" s="516"/>
      <c r="AU3" s="516"/>
      <c r="AV3" s="516"/>
      <c r="AW3" s="516"/>
      <c r="AX3" s="516"/>
      <c r="AY3" s="516"/>
      <c r="AZ3" s="516"/>
    </row>
    <row r="4" spans="1:52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410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6"/>
      <c r="AF4" s="516"/>
      <c r="AG4" s="516"/>
      <c r="AH4" s="516"/>
      <c r="AI4" s="516"/>
      <c r="AJ4" s="516"/>
      <c r="AK4" s="516"/>
      <c r="AL4" s="516"/>
      <c r="AM4" s="516"/>
      <c r="AN4" s="516"/>
      <c r="AO4" s="516"/>
      <c r="AP4" s="516"/>
      <c r="AQ4" s="516"/>
      <c r="AR4" s="516"/>
      <c r="AS4" s="516"/>
      <c r="AT4" s="516"/>
      <c r="AU4" s="516"/>
      <c r="AV4" s="516"/>
      <c r="AW4" s="516"/>
      <c r="AX4" s="516"/>
      <c r="AY4" s="516"/>
      <c r="AZ4" s="516"/>
    </row>
    <row r="5" spans="1:52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411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9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  <c r="AQ5" s="516"/>
      <c r="AR5" s="516"/>
      <c r="AS5" s="516"/>
      <c r="AT5" s="516"/>
      <c r="AU5" s="516"/>
      <c r="AV5" s="516"/>
      <c r="AW5" s="516"/>
      <c r="AX5" s="516"/>
      <c r="AY5" s="516"/>
      <c r="AZ5" s="516"/>
    </row>
    <row r="6" spans="1:52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411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9"/>
      <c r="AF6" s="516"/>
      <c r="AG6" s="516"/>
      <c r="AH6" s="516"/>
      <c r="AI6" s="516"/>
      <c r="AJ6" s="516"/>
      <c r="AK6" s="516"/>
      <c r="AL6" s="516"/>
      <c r="AM6" s="516"/>
      <c r="AN6" s="516"/>
      <c r="AO6" s="516"/>
      <c r="AP6" s="516"/>
      <c r="AQ6" s="516"/>
      <c r="AR6" s="516"/>
      <c r="AS6" s="516"/>
      <c r="AT6" s="516"/>
      <c r="AU6" s="516"/>
      <c r="AV6" s="516"/>
      <c r="AW6" s="516"/>
      <c r="AX6" s="516"/>
      <c r="AY6" s="516"/>
      <c r="AZ6" s="516"/>
    </row>
    <row r="7" spans="1:52" ht="65" customHeight="1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501" t="s">
        <v>572</v>
      </c>
      <c r="P7" s="501" t="s">
        <v>1243</v>
      </c>
      <c r="Q7" s="494" t="s">
        <v>573</v>
      </c>
      <c r="R7" s="493" t="s">
        <v>574</v>
      </c>
      <c r="S7" s="495" t="s">
        <v>575</v>
      </c>
      <c r="T7" s="496" t="s">
        <v>576</v>
      </c>
      <c r="U7" s="496" t="s">
        <v>577</v>
      </c>
      <c r="V7" s="496" t="s">
        <v>578</v>
      </c>
      <c r="W7" s="536" t="s">
        <v>1548</v>
      </c>
      <c r="X7" s="536" t="s">
        <v>1549</v>
      </c>
      <c r="Y7" s="502" t="s">
        <v>579</v>
      </c>
      <c r="Z7" s="502" t="s">
        <v>580</v>
      </c>
      <c r="AA7" s="497" t="s">
        <v>581</v>
      </c>
      <c r="AB7" s="497" t="s">
        <v>582</v>
      </c>
      <c r="AC7" s="498" t="s">
        <v>583</v>
      </c>
      <c r="AD7" s="499" t="s">
        <v>584</v>
      </c>
      <c r="AE7" s="500" t="s">
        <v>585</v>
      </c>
      <c r="AF7" s="516"/>
      <c r="AG7" s="516"/>
      <c r="AH7" s="516"/>
      <c r="AI7" s="516"/>
      <c r="AJ7" s="516"/>
      <c r="AK7" s="516"/>
      <c r="AL7" s="516"/>
      <c r="AM7" s="516"/>
      <c r="AN7" s="516"/>
      <c r="AO7" s="516"/>
      <c r="AP7" s="516"/>
      <c r="AQ7" s="516"/>
      <c r="AR7" s="516"/>
      <c r="AS7" s="516"/>
      <c r="AT7" s="516"/>
      <c r="AU7" s="516"/>
      <c r="AV7" s="516"/>
      <c r="AW7" s="516"/>
      <c r="AX7" s="516"/>
      <c r="AY7" s="516"/>
      <c r="AZ7" s="516"/>
    </row>
    <row r="8" spans="1:52" ht="14" x14ac:dyDescent="0.15">
      <c r="A8" s="270" t="str">
        <f>'Tariffs Jan2021'!F2</f>
        <v>AGL</v>
      </c>
      <c r="B8" s="40" t="str">
        <f>'Tariffs Jan2021'!D2</f>
        <v>Multinet Metro 1</v>
      </c>
      <c r="C8" s="40" t="str">
        <f>'Tariffs Jan2021'!G2</f>
        <v>Essentials</v>
      </c>
      <c r="D8" s="59">
        <f>365*'Tariffs Jan2021'!H2/100</f>
        <v>236.0886363636364</v>
      </c>
      <c r="E8" s="59">
        <f>IF($C$5*'Tariffs Jan2021'!AK2/'Tariffs Jan2021'!AI2&gt;='Tariffs Jan2021'!J2,( 'Tariffs Jan2021'!J2*'Tariffs Jan2021'!O2/100)* 'Tariffs Jan2021'!AI2,($C$5*'Tariffs Jan2021'!AK2/'Tariffs Jan2021'!AI2*'Tariffs Jan2021'!O2/100)* 'Tariffs Jan2021'!AI2)</f>
        <v>192.27272727272728</v>
      </c>
      <c r="F8" s="59">
        <f>IF($C$5*'Tariffs Jan2021'!AK2/'Tariffs Jan2021'!AI2&lt;'Tariffs Jan2021'!J2,0,IF($C$5*'Tariffs Jan2021'!AK2/'Tariffs Jan2021'!AI2&lt;='Tariffs Jan2021'!K2,($C$5*'Tariffs Jan2021'!AK2/'Tariffs Jan2021'!AI2-'Tariffs Jan2021'!J2)*('Tariffs Jan2021'!P2/100)*'Tariffs Jan2021'!AI2,('Tariffs Jan2021'!K2-'Tariffs Jan2021'!J2)*('Tariffs Jan2021'!P2/100)*'Tariffs Jan2021'!AI2))</f>
        <v>170.18181818181819</v>
      </c>
      <c r="G8" s="59">
        <f>IF($C$5*'Tariffs Jan2021'!AK2/'Tariffs Jan2021'!AI2&lt;'Tariffs Jan2021'!K2,0,IF($C$5*'Tariffs Jan2021'!AK2/'Tariffs Jan2021'!AI2&lt;='Tariffs Jan2021'!L2,($C$5*'Tariffs Jan2021'!AK2/'Tariffs Jan2021'!AI2-'Tariffs Jan2021'!K2)*('Tariffs Jan2021'!Q2/100)*'Tariffs Jan2021'!AI2,('Tariffs Jan2021'!L2-'Tariffs Jan2021'!K2)*('Tariffs Jan2021'!Q2/100)*'Tariffs Jan2021'!AI2))</f>
        <v>139.90909090909091</v>
      </c>
      <c r="H8" s="59">
        <f>IF($C$5*'Tariffs Jan2021'!AK2/'Tariffs Jan2021'!AI2&lt;'Tariffs Jan2021'!L2,0,IF($C$5*'Tariffs Jan2021'!AK2/'Tariffs Jan2021'!AI2&lt;='Tariffs Jan2021'!M2,($C$5*'Tariffs Jan2021'!AK2/'Tariffs Jan2021'!AI2-'Tariffs Jan2021'!L2)*('Tariffs Jan2021'!R2/100)*'Tariffs Jan2021'!AI2,('Tariffs Jan2021'!M2-'Tariffs Jan2021'!L2)*('Tariffs Jan2021'!R2/100)*'Tariffs Jan2021'!AI2))</f>
        <v>60.545454545454533</v>
      </c>
      <c r="I8" s="59">
        <f>IF(($C$5*'Tariffs Jan2021'!AK2/'Tariffs Jan2021'!AI2&gt;'Tariffs Jan2021'!M2),($C$5*'Tariffs Jan2021'!AK2/'Tariffs Jan2021'!AI2-'Tariffs Jan2021'!M2)*'Tariffs Jan2021'!S2/100*'Tariffs Jan2021'!AI2,0)</f>
        <v>0</v>
      </c>
      <c r="J8" s="59">
        <f>IF($C$5*'Tariffs Jan2021'!AL2/'Tariffs Jan2021'!AJ2&gt;='Tariffs Jan2021'!J2,('Tariffs Jan2021'!J2*'Tariffs Jan2021'!U2/100)* 'Tariffs Jan2021'!AJ2,($C$5*'Tariffs Jan2021'!AL2/'Tariffs Jan2021'!AJ2*'Tariffs Jan2021'!U2/100)* 'Tariffs Jan2021'!AJ2)</f>
        <v>184.09090909090907</v>
      </c>
      <c r="K8" s="59">
        <f>IF($C$5*'Tariffs Jan2021'!AL2/'Tariffs Jan2021'!AJ2&lt;'Tariffs Jan2021'!J2,0,IF($C$5*'Tariffs Jan2021'!AL2/'Tariffs Jan2021'!AJ2&lt;='Tariffs Jan2021'!K2,($C$5*'Tariffs Jan2021'!AL2/'Tariffs Jan2021'!AJ2-'Tariffs Jan2021'!J2)*('Tariffs Jan2021'!V2/100)*'Tariffs Jan2021'!AJ2,('Tariffs Jan2021'!K2-'Tariffs Jan2021'!J2)*('Tariffs Jan2021'!V2/100)*'Tariffs Jan2021'!AJ2))</f>
        <v>161.99999999999997</v>
      </c>
      <c r="L8" s="59">
        <f>IF($C$5*'Tariffs Jan2021'!AL2/'Tariffs Jan2021'!AJ2&lt;'Tariffs Jan2021'!K2,0,IF($C$5*'Tariffs Jan2021'!AL2/'Tariffs Jan2021'!AJ2&lt;='Tariffs Jan2021'!L2,($C$5*'Tariffs Jan2021'!AL2/'Tariffs Jan2021'!AJ2-'Tariffs Jan2021'!K2)*('Tariffs Jan2021'!W2/100)*'Tariffs Jan2021'!AJ2,('Tariffs Jan2021'!L2-'Tariffs Jan2021'!K2)*('Tariffs Jan2021'!W2/100)*'Tariffs Jan2021'!AJ2))</f>
        <v>134.18181818181816</v>
      </c>
      <c r="M8" s="59">
        <f>IF($C$5*'Tariffs Jan2021'!AL2/'Tariffs Jan2021'!AJ2&lt;'Tariffs Jan2021'!L2,0,IF($C$5*'Tariffs Jan2021'!AL2/'Tariffs Jan2021'!AJ2&lt;='Tariffs Jan2021'!M2,($C$5*'Tariffs Jan2021'!AL2/'Tariffs Jan2021'!AJ2-'Tariffs Jan2021'!L2)*('Tariffs Jan2021'!X2/100)*'Tariffs Jan2021'!AJ2,('Tariffs Jan2021'!M2-'Tariffs Jan2021'!L2)*('Tariffs Jan2021'!X2/100)*'Tariffs Jan2021'!AJ2))</f>
        <v>59.72727272727272</v>
      </c>
      <c r="N8" s="59">
        <f>IF(($C$5*'Tariffs Jan2021'!AL2/'Tariffs Jan2021'!AJ2&gt;'Tariffs Jan2021'!M2),($C$5*'Tariffs Jan2021'!AL2/'Tariffs Jan2021'!AJ2-'Tariffs Jan2021'!M2)*'Tariffs Jan2021'!Y2/100*'Tariffs Jan2021'!AJ2,0)</f>
        <v>0</v>
      </c>
      <c r="O8" s="59">
        <f>SUM(E8:N8)</f>
        <v>1102.909090909091</v>
      </c>
      <c r="P8" s="503">
        <f>O8*1.1</f>
        <v>1213.2000000000003</v>
      </c>
      <c r="Q8" s="59">
        <f>D8+O8</f>
        <v>1338.9977272727274</v>
      </c>
      <c r="R8" s="272">
        <f>Q8*1.1</f>
        <v>1472.8975000000003</v>
      </c>
      <c r="S8" s="40">
        <f>'Tariffs Jan2021'!AN2</f>
        <v>0</v>
      </c>
      <c r="T8" s="40">
        <f>'Tariffs Jan2021'!AO2</f>
        <v>0</v>
      </c>
      <c r="U8" s="40">
        <f>'Tariffs Jan2021'!AP2</f>
        <v>0</v>
      </c>
      <c r="V8" s="40">
        <f>'Tariffs Jan2021'!AQ2</f>
        <v>0</v>
      </c>
      <c r="W8" s="539" t="str">
        <f>IF(SUM(S8:V8)=0,"No discount",IF(S8&gt;0,"Guaranteed off bill",IF(T8&gt;0,"Guaranteed off usage",IF(U8&gt;0,"Pay-on-time off bill","Pay-on-time off usage"))))</f>
        <v>No discount</v>
      </c>
      <c r="X8" s="538" t="str">
        <f>IF(OR(A8="Origin Energy",A8="Red Energy",A8="Powershop"),"Inclusive","Exclusive")</f>
        <v>Exclusive</v>
      </c>
      <c r="Y8" s="534">
        <f>IF(AND(W8="Guaranteed off bill",X8="Inclusive"),((Q8*1.1)-((Q8*1.1)*S8/100))/1.1,IF(AND(W8="Guaranteed off usage",X8="Inclusive"),((Q8*1.1)-((P8*1.1)*T8/100))/1.1,IF(AND(W8="Guaranteed off bill",X8="Exclusive"),Q8-(Q8*S8/100),IF(AND(W8="Guaranteed off usage",X8="Exclusive"),Q8-(P8*T8/100),IF(X8="Inclusive",((Q8*1.1))/1.1,Q8)))))</f>
        <v>1338.9977272727274</v>
      </c>
      <c r="Z8" s="535">
        <f>IF(AND(W8="Pay-on-time off bill",X8="Inclusive"),((Y8*1.1)-((Y8*1.1)*U8/100))/1.1,IF(AND(W8="Pay-on-time off usage",X8="Inclusive"),((Y8*1.1)-((P8*1.1)*V8/100))/1.1,IF(AND(W8="Pay-on-time off bill",X8="Exclusive"),Y8-(Y8*U8/100),IF(AND(W8="Pay-on-time off usage",X8="Exclusive"),Y8-(P8*V8/100),IF(X8="Inclusive",((Y8*1.1))/1.1,Y8)))))</f>
        <v>1338.9977272727274</v>
      </c>
      <c r="AA8" s="542">
        <f t="shared" ref="AA8:AB23" si="0">Y8*1.1</f>
        <v>1472.8975000000003</v>
      </c>
      <c r="AB8" s="542">
        <f t="shared" si="0"/>
        <v>1472.8975000000003</v>
      </c>
      <c r="AC8" s="274">
        <f>'Tariffs Jan2021'!AZ2</f>
        <v>0</v>
      </c>
      <c r="AD8" s="274" t="str">
        <f>'Tariffs Jan2021'!BA2</f>
        <v>n</v>
      </c>
      <c r="AE8" s="275" t="str">
        <f>'Tariffs Jan2021'!BJ2</f>
        <v>N</v>
      </c>
      <c r="AF8" s="516"/>
      <c r="AG8" s="516"/>
      <c r="AH8" s="516"/>
      <c r="AI8" s="516"/>
      <c r="AJ8" s="516"/>
      <c r="AK8" s="516"/>
      <c r="AL8" s="516"/>
      <c r="AM8" s="516"/>
      <c r="AN8" s="516"/>
      <c r="AO8" s="516"/>
      <c r="AP8" s="516"/>
      <c r="AQ8" s="516"/>
      <c r="AR8" s="516"/>
      <c r="AS8" s="516"/>
      <c r="AT8" s="516"/>
      <c r="AU8" s="516"/>
      <c r="AV8" s="516"/>
      <c r="AW8" s="516"/>
      <c r="AX8" s="516"/>
      <c r="AY8" s="516"/>
      <c r="AZ8" s="516"/>
    </row>
    <row r="9" spans="1:52" ht="14" x14ac:dyDescent="0.15">
      <c r="A9" s="270" t="str">
        <f>'Tariffs Jan2021'!F3</f>
        <v>Alinta Energy</v>
      </c>
      <c r="B9" s="40" t="str">
        <f>'Tariffs Jan2021'!D3</f>
        <v>Multinet Metro 1</v>
      </c>
      <c r="C9" s="40" t="str">
        <f>'Tariffs Jan2021'!G3</f>
        <v>Home Deal</v>
      </c>
      <c r="D9" s="59">
        <f>365*'Tariffs Jan2021'!H3/100</f>
        <v>204.4</v>
      </c>
      <c r="E9" s="59">
        <f>IF($C$5*'Tariffs Jan2021'!AK3/'Tariffs Jan2021'!AI3&gt;='Tariffs Jan2021'!J3,( 'Tariffs Jan2021'!J3*'Tariffs Jan2021'!O3/100)* 'Tariffs Jan2021'!AI3,($C$5*'Tariffs Jan2021'!AK3/'Tariffs Jan2021'!AI3*'Tariffs Jan2021'!O3/100)* 'Tariffs Jan2021'!AI3)</f>
        <v>181.63636363636363</v>
      </c>
      <c r="F9" s="59">
        <f>IF($C$5*'Tariffs Jan2021'!AK3/'Tariffs Jan2021'!AI3&lt;'Tariffs Jan2021'!J3,0,IF($C$5*'Tariffs Jan2021'!AK3/'Tariffs Jan2021'!AI3&lt;='Tariffs Jan2021'!K3,($C$5*'Tariffs Jan2021'!AK3/'Tariffs Jan2021'!AI3-'Tariffs Jan2021'!J3)*('Tariffs Jan2021'!P3/100)*'Tariffs Jan2021'!AI3,('Tariffs Jan2021'!K3-'Tariffs Jan2021'!J3)*('Tariffs Jan2021'!P3/100)*'Tariffs Jan2021'!AI3))</f>
        <v>164.45454545454544</v>
      </c>
      <c r="G9" s="59">
        <f>IF($C$5*'Tariffs Jan2021'!AK3/'Tariffs Jan2021'!AI3&lt;'Tariffs Jan2021'!K3,0,IF($C$5*'Tariffs Jan2021'!AK3/'Tariffs Jan2021'!AI3&lt;='Tariffs Jan2021'!L3,($C$5*'Tariffs Jan2021'!AK3/'Tariffs Jan2021'!AI3-'Tariffs Jan2021'!K3)*('Tariffs Jan2021'!Q3/100)*'Tariffs Jan2021'!AI3,('Tariffs Jan2021'!L3-'Tariffs Jan2021'!K3)*('Tariffs Jan2021'!Q3/100)*'Tariffs Jan2021'!AI3))</f>
        <v>0</v>
      </c>
      <c r="H9" s="59">
        <f>IF($C$5*'Tariffs Jan2021'!AK3/'Tariffs Jan2021'!AI3&lt;'Tariffs Jan2021'!L3,0,IF($C$5*'Tariffs Jan2021'!AK3/'Tariffs Jan2021'!AI3&lt;='Tariffs Jan2021'!M3,($C$5*'Tariffs Jan2021'!AK3/'Tariffs Jan2021'!AI3-'Tariffs Jan2021'!L3)*('Tariffs Jan2021'!R3/100)*'Tariffs Jan2021'!AI3,('Tariffs Jan2021'!M3-'Tariffs Jan2021'!L3)*('Tariffs Jan2021'!R3/100)*'Tariffs Jan2021'!AI3))</f>
        <v>0</v>
      </c>
      <c r="I9" s="59">
        <f>IF(($C$5*'Tariffs Jan2021'!AK3/'Tariffs Jan2021'!AI3&gt;'Tariffs Jan2021'!M3),($C$5*'Tariffs Jan2021'!AK3/'Tariffs Jan2021'!AI3-'Tariffs Jan2021'!M3)*'Tariffs Jan2021'!S3/100*'Tariffs Jan2021'!AI3,0)</f>
        <v>193.90909090909088</v>
      </c>
      <c r="J9" s="59">
        <f>IF($C$5*'Tariffs Jan2021'!AL3/'Tariffs Jan2021'!AJ3&gt;='Tariffs Jan2021'!J3,('Tariffs Jan2021'!J3*'Tariffs Jan2021'!U3/100)* 'Tariffs Jan2021'!AJ3,($C$5*'Tariffs Jan2021'!AL3/'Tariffs Jan2021'!AJ3*'Tariffs Jan2021'!U3/100)* 'Tariffs Jan2021'!AJ3)</f>
        <v>181.63636363636363</v>
      </c>
      <c r="K9" s="59">
        <f>IF($C$5*'Tariffs Jan2021'!AL3/'Tariffs Jan2021'!AJ3&lt;'Tariffs Jan2021'!J3,0,IF($C$5*'Tariffs Jan2021'!AL3/'Tariffs Jan2021'!AJ3&lt;='Tariffs Jan2021'!K3,($C$5*'Tariffs Jan2021'!AL3/'Tariffs Jan2021'!AJ3-'Tariffs Jan2021'!J3)*('Tariffs Jan2021'!V3/100)*'Tariffs Jan2021'!AJ3,('Tariffs Jan2021'!K3-'Tariffs Jan2021'!J3)*('Tariffs Jan2021'!V3/100)*'Tariffs Jan2021'!AJ3))</f>
        <v>155.45454545454541</v>
      </c>
      <c r="L9" s="59">
        <f>IF($C$5*'Tariffs Jan2021'!AL3/'Tariffs Jan2021'!AJ3&lt;'Tariffs Jan2021'!K3,0,IF($C$5*'Tariffs Jan2021'!AL3/'Tariffs Jan2021'!AJ3&lt;='Tariffs Jan2021'!L3,($C$5*'Tariffs Jan2021'!AL3/'Tariffs Jan2021'!AJ3-'Tariffs Jan2021'!K3)*('Tariffs Jan2021'!W3/100)*'Tariffs Jan2021'!AJ3,('Tariffs Jan2021'!L3-'Tariffs Jan2021'!K3)*('Tariffs Jan2021'!W3/100)*'Tariffs Jan2021'!AJ3))</f>
        <v>0</v>
      </c>
      <c r="M9" s="59">
        <f>IF($C$5*'Tariffs Jan2021'!AL3/'Tariffs Jan2021'!AJ3&lt;'Tariffs Jan2021'!L3,0,IF($C$5*'Tariffs Jan2021'!AL3/'Tariffs Jan2021'!AJ3&lt;='Tariffs Jan2021'!M3,($C$5*'Tariffs Jan2021'!AL3/'Tariffs Jan2021'!AJ3-'Tariffs Jan2021'!L3)*('Tariffs Jan2021'!X3/100)*'Tariffs Jan2021'!AJ3,('Tariffs Jan2021'!M3-'Tariffs Jan2021'!L3)*('Tariffs Jan2021'!X3/100)*'Tariffs Jan2021'!AJ3))</f>
        <v>0</v>
      </c>
      <c r="N9" s="59">
        <f>IF(($C$5*'Tariffs Jan2021'!AL3/'Tariffs Jan2021'!AJ3&gt;'Tariffs Jan2021'!M3),($C$5*'Tariffs Jan2021'!AL3/'Tariffs Jan2021'!AJ3-'Tariffs Jan2021'!M3)*'Tariffs Jan2021'!Y3/100*'Tariffs Jan2021'!AJ3,0)</f>
        <v>193.90909090909088</v>
      </c>
      <c r="O9" s="59">
        <f t="shared" ref="O9:O91" si="1">SUM(E9:N9)</f>
        <v>1071</v>
      </c>
      <c r="P9" s="503">
        <f t="shared" ref="P9:P72" si="2">O9*1.1</f>
        <v>1178.1000000000001</v>
      </c>
      <c r="Q9" s="59">
        <f t="shared" ref="Q9:Q91" si="3">D9+O9</f>
        <v>1275.4000000000001</v>
      </c>
      <c r="R9" s="272">
        <f t="shared" ref="R9:R91" si="4">Q9*1.1</f>
        <v>1402.9400000000003</v>
      </c>
      <c r="S9" s="40">
        <f>'Tariffs Jan2021'!AN3</f>
        <v>0</v>
      </c>
      <c r="T9" s="40">
        <f>'Tariffs Jan2021'!AO3</f>
        <v>0</v>
      </c>
      <c r="U9" s="40">
        <f>'Tariffs Jan2021'!AP3</f>
        <v>0</v>
      </c>
      <c r="V9" s="40">
        <f>'Tariffs Jan2021'!AQ3</f>
        <v>0</v>
      </c>
      <c r="W9" s="537" t="str">
        <f t="shared" ref="W9:W24" si="5">IF(SUM(S9:V9)=0,"No discount",IF(S9&gt;0,"Guaranteed off bill",IF(T9&gt;0,"Guaranteed off usage",IF(U9&gt;0,"Pay-on-time off bill","Pay-on-time off usage"))))</f>
        <v>No discount</v>
      </c>
      <c r="X9" s="538" t="str">
        <f t="shared" ref="X9:X24" si="6">IF(OR(A9="Origin Energy",A9="Red Energy",A9="Powershop"),"Inclusive","Exclusive")</f>
        <v>Exclusive</v>
      </c>
      <c r="Y9" s="534">
        <f>IF(AND(W9="Guaranteed off bill",X9="Inclusive"),((Q9*1.1)-((Q9*1.1)*S9/100))/1.1,IF(AND(W9="Guaranteed off usage",X9="Inclusive"),((Q9*1.1)-((P9*1.1)*T9/100))/1.1,IF(AND(W9="Guaranteed off bill",X9="Exclusive"),Q9-(Q9*S9/100),IF(AND(W9="Guaranteed off usage",X9="Exclusive"),Q9-(P9*T9/100),IF(X9="Inclusive",((Q9*1.1))/1.1,Q9)))))</f>
        <v>1275.4000000000001</v>
      </c>
      <c r="Z9" s="535">
        <f>IF(AND(W9="Pay-on-time off bill",X9="Inclusive"),((Y9*1.1)-((Y9*1.1)*U9/100))/1.1,IF(AND(W9="Pay-on-time off usage",X9="Inclusive"),((Y9*1.1)-((P9*1.1)*V9/100))/1.1,IF(AND(W9="Pay-on-time off bill",X9="Exclusive"),Y9-(Y9*U9/100),IF(AND(W9="Pay-on-time off usage",X9="Exclusive"),Y9-(P9*V9/100),IF(X9="Inclusive",((Y9*1.1))/1.1,Y9)))))</f>
        <v>1275.4000000000001</v>
      </c>
      <c r="AA9" s="542">
        <f t="shared" si="0"/>
        <v>1402.9400000000003</v>
      </c>
      <c r="AB9" s="542">
        <f t="shared" si="0"/>
        <v>1402.9400000000003</v>
      </c>
      <c r="AC9" s="274">
        <f>'Tariffs Jan2021'!AZ3</f>
        <v>0</v>
      </c>
      <c r="AD9" s="274" t="str">
        <f>'Tariffs Jan2021'!BA3</f>
        <v>n</v>
      </c>
      <c r="AE9" s="275" t="str">
        <f>'Tariffs Jan2021'!BJ3</f>
        <v>N</v>
      </c>
      <c r="AF9" s="516"/>
      <c r="AG9" s="516"/>
      <c r="AH9" s="516"/>
      <c r="AI9" s="516"/>
      <c r="AJ9" s="516"/>
      <c r="AK9" s="516"/>
      <c r="AL9" s="516"/>
      <c r="AM9" s="516"/>
      <c r="AN9" s="516"/>
      <c r="AO9" s="516"/>
      <c r="AP9" s="516"/>
      <c r="AQ9" s="516"/>
      <c r="AR9" s="516"/>
      <c r="AS9" s="516"/>
      <c r="AT9" s="516"/>
      <c r="AU9" s="516"/>
      <c r="AV9" s="516"/>
      <c r="AW9" s="516"/>
      <c r="AX9" s="516"/>
      <c r="AY9" s="516"/>
      <c r="AZ9" s="516"/>
    </row>
    <row r="10" spans="1:52" ht="14" x14ac:dyDescent="0.15">
      <c r="A10" s="270" t="str">
        <f>'Tariffs Jan2021'!F4</f>
        <v>Click Energy</v>
      </c>
      <c r="B10" s="40" t="str">
        <f>'Tariffs Jan2021'!D4</f>
        <v>Multinet Metro 1</v>
      </c>
      <c r="C10" s="40" t="str">
        <f>'Tariffs Jan2021'!G4</f>
        <v>Lily</v>
      </c>
      <c r="D10" s="59">
        <f>365*'Tariffs Jan2021'!H4/100</f>
        <v>171.05227272727271</v>
      </c>
      <c r="E10" s="59">
        <f>IF($C$5*'Tariffs Jan2021'!AK4/'Tariffs Jan2021'!AI4&gt;='Tariffs Jan2021'!J4,( 'Tariffs Jan2021'!J4*'Tariffs Jan2021'!O4/100)* 'Tariffs Jan2021'!AI4,($C$5*'Tariffs Jan2021'!AK4/'Tariffs Jan2021'!AI4*'Tariffs Jan2021'!O4/100)* 'Tariffs Jan2021'!AI4)</f>
        <v>178.36363636363637</v>
      </c>
      <c r="F10" s="59">
        <f>IF($C$5*'Tariffs Jan2021'!AK4/'Tariffs Jan2021'!AI4&lt;'Tariffs Jan2021'!J4,0,IF($C$5*'Tariffs Jan2021'!AK4/'Tariffs Jan2021'!AI4&lt;='Tariffs Jan2021'!K4,($C$5*'Tariffs Jan2021'!AK4/'Tariffs Jan2021'!AI4-'Tariffs Jan2021'!J4)*('Tariffs Jan2021'!P4/100)*'Tariffs Jan2021'!AI4,('Tariffs Jan2021'!K4-'Tariffs Jan2021'!J4)*('Tariffs Jan2021'!P4/100)*'Tariffs Jan2021'!AI4))</f>
        <v>156.27272727272725</v>
      </c>
      <c r="G10" s="59">
        <f>IF($C$5*'Tariffs Jan2021'!AK4/'Tariffs Jan2021'!AI4&lt;'Tariffs Jan2021'!K4,0,IF($C$5*'Tariffs Jan2021'!AK4/'Tariffs Jan2021'!AI4&lt;='Tariffs Jan2021'!L4,($C$5*'Tariffs Jan2021'!AK4/'Tariffs Jan2021'!AI4-'Tariffs Jan2021'!K4)*('Tariffs Jan2021'!Q4/100)*'Tariffs Jan2021'!AI4,('Tariffs Jan2021'!L4-'Tariffs Jan2021'!K4)*('Tariffs Jan2021'!Q4/100)*'Tariffs Jan2021'!AI4))</f>
        <v>134.99999999999997</v>
      </c>
      <c r="H10" s="59">
        <f>IF($C$5*'Tariffs Jan2021'!AK4/'Tariffs Jan2021'!AI4&lt;'Tariffs Jan2021'!L4,0,IF($C$5*'Tariffs Jan2021'!AK4/'Tariffs Jan2021'!AI4&lt;='Tariffs Jan2021'!M4,($C$5*'Tariffs Jan2021'!AK4/'Tariffs Jan2021'!AI4-'Tariffs Jan2021'!L4)*('Tariffs Jan2021'!R4/100)*'Tariffs Jan2021'!AI4,('Tariffs Jan2021'!M4-'Tariffs Jan2021'!L4)*('Tariffs Jan2021'!R4/100)*'Tariffs Jan2021'!AI4))</f>
        <v>62.181818181818173</v>
      </c>
      <c r="I10" s="59">
        <f>IF(($C$5*'Tariffs Jan2021'!AK4/'Tariffs Jan2021'!AI4&gt;'Tariffs Jan2021'!M4),($C$5*'Tariffs Jan2021'!AK4/'Tariffs Jan2021'!AI4-'Tariffs Jan2021'!M4)*'Tariffs Jan2021'!S4/100*'Tariffs Jan2021'!AI4,0)</f>
        <v>0</v>
      </c>
      <c r="J10" s="59">
        <f>IF($C$5*'Tariffs Jan2021'!AL4/'Tariffs Jan2021'!AJ4&gt;='Tariffs Jan2021'!J4,('Tariffs Jan2021'!J4*'Tariffs Jan2021'!U4/100)* 'Tariffs Jan2021'!AJ4,($C$5*'Tariffs Jan2021'!AL4/'Tariffs Jan2021'!AJ4*'Tariffs Jan2021'!U4/100)* 'Tariffs Jan2021'!AJ4)</f>
        <v>161.99999999999997</v>
      </c>
      <c r="K10" s="59">
        <f>IF($C$5*'Tariffs Jan2021'!AL4/'Tariffs Jan2021'!AJ4&lt;'Tariffs Jan2021'!J4,0,IF($C$5*'Tariffs Jan2021'!AL4/'Tariffs Jan2021'!AJ4&lt;='Tariffs Jan2021'!K4,($C$5*'Tariffs Jan2021'!AL4/'Tariffs Jan2021'!AJ4-'Tariffs Jan2021'!J4)*('Tariffs Jan2021'!V4/100)*'Tariffs Jan2021'!AJ4,('Tariffs Jan2021'!K4-'Tariffs Jan2021'!J4)*('Tariffs Jan2021'!V4/100)*'Tariffs Jan2021'!AJ4))</f>
        <v>151.36363636363635</v>
      </c>
      <c r="L10" s="59">
        <f>IF($C$5*'Tariffs Jan2021'!AL4/'Tariffs Jan2021'!AJ4&lt;'Tariffs Jan2021'!K4,0,IF($C$5*'Tariffs Jan2021'!AL4/'Tariffs Jan2021'!AJ4&lt;='Tariffs Jan2021'!L4,($C$5*'Tariffs Jan2021'!AL4/'Tariffs Jan2021'!AJ4-'Tariffs Jan2021'!K4)*('Tariffs Jan2021'!W4/100)*'Tariffs Jan2021'!AJ4,('Tariffs Jan2021'!L4-'Tariffs Jan2021'!K4)*('Tariffs Jan2021'!W4/100)*'Tariffs Jan2021'!AJ4))</f>
        <v>134.99999999999997</v>
      </c>
      <c r="M10" s="59">
        <f>IF($C$5*'Tariffs Jan2021'!AL4/'Tariffs Jan2021'!AJ4&lt;'Tariffs Jan2021'!L4,0,IF($C$5*'Tariffs Jan2021'!AL4/'Tariffs Jan2021'!AJ4&lt;='Tariffs Jan2021'!M4,($C$5*'Tariffs Jan2021'!AL4/'Tariffs Jan2021'!AJ4-'Tariffs Jan2021'!L4)*('Tariffs Jan2021'!X4/100)*'Tariffs Jan2021'!AJ4,('Tariffs Jan2021'!M4-'Tariffs Jan2021'!L4)*('Tariffs Jan2021'!X4/100)*'Tariffs Jan2021'!AJ4))</f>
        <v>62.181818181818173</v>
      </c>
      <c r="N10" s="59">
        <f>IF(($C$5*'Tariffs Jan2021'!AL4/'Tariffs Jan2021'!AJ4&gt;'Tariffs Jan2021'!M4),($C$5*'Tariffs Jan2021'!AL4/'Tariffs Jan2021'!AJ4-'Tariffs Jan2021'!M4)*'Tariffs Jan2021'!Y4/100*'Tariffs Jan2021'!AJ4,0)</f>
        <v>0</v>
      </c>
      <c r="O10" s="59">
        <f t="shared" si="1"/>
        <v>1042.3636363636363</v>
      </c>
      <c r="P10" s="503">
        <f t="shared" si="2"/>
        <v>1146.5999999999999</v>
      </c>
      <c r="Q10" s="59">
        <f t="shared" si="3"/>
        <v>1213.4159090909091</v>
      </c>
      <c r="R10" s="272">
        <f t="shared" si="4"/>
        <v>1334.7575000000002</v>
      </c>
      <c r="S10" s="40">
        <f>'Tariffs Jan2021'!AN4</f>
        <v>0</v>
      </c>
      <c r="T10" s="40">
        <f>'Tariffs Jan2021'!AO4</f>
        <v>0</v>
      </c>
      <c r="U10" s="40">
        <f>'Tariffs Jan2021'!AP4</f>
        <v>0</v>
      </c>
      <c r="V10" s="40">
        <f>'Tariffs Jan2021'!AQ4</f>
        <v>0</v>
      </c>
      <c r="W10" s="537" t="str">
        <f t="shared" si="5"/>
        <v>No discount</v>
      </c>
      <c r="X10" s="538" t="str">
        <f t="shared" si="6"/>
        <v>Exclusive</v>
      </c>
      <c r="Y10" s="534">
        <f t="shared" ref="Y10:Y11" si="7">IF(AND(W10="Guaranteed off bill",X10="Inclusive"),((Q10*1.1)-((Q10*1.1)*S10/100))/1.1,IF(AND(W10="Guaranteed off usage",X10="Inclusive"),((Q10*1.1)-((P10*1.1)*T10/100))/1.1,IF(AND(W10="Guaranteed off bill",X10="Exclusive"),Q10-(Q10*S10/100),IF(AND(W10="Guaranteed off usage",X10="Exclusive"),Q10-(P10*T10/100),IF(X10="Inclusive",((Q10*1.1))/1.1,Q10)))))</f>
        <v>1213.4159090909091</v>
      </c>
      <c r="Z10" s="535">
        <f t="shared" ref="Z10:Z11" si="8">IF(AND(W10="Pay-on-time off bill",X10="Inclusive"),((Y10*1.1)-((Y10*1.1)*U10/100))/1.1,IF(AND(W10="Pay-on-time off usage",X10="Inclusive"),((Y10*1.1)-((P10*1.1)*V10/100))/1.1,IF(AND(W10="Pay-on-time off bill",X10="Exclusive"),Y10-(Y10*U10/100),IF(AND(W10="Pay-on-time off usage",X10="Exclusive"),Y10-(P10*V10/100),IF(X10="Inclusive",((Y10*1.1))/1.1,Y10)))))</f>
        <v>1213.4159090909091</v>
      </c>
      <c r="AA10" s="542">
        <f t="shared" si="0"/>
        <v>1334.7575000000002</v>
      </c>
      <c r="AB10" s="542">
        <f t="shared" si="0"/>
        <v>1334.7575000000002</v>
      </c>
      <c r="AC10" s="274">
        <f>'Tariffs Jan2021'!AZ4</f>
        <v>0</v>
      </c>
      <c r="AD10" s="274" t="str">
        <f>'Tariffs Jan2021'!BA4</f>
        <v>n</v>
      </c>
      <c r="AE10" s="275" t="str">
        <f>'Tariffs Jan2021'!BJ4</f>
        <v>N</v>
      </c>
      <c r="AF10" s="516"/>
      <c r="AG10" s="516"/>
      <c r="AH10" s="516"/>
      <c r="AI10" s="516"/>
      <c r="AJ10" s="516"/>
      <c r="AK10" s="516"/>
      <c r="AL10" s="516"/>
      <c r="AM10" s="516"/>
      <c r="AN10" s="516"/>
      <c r="AO10" s="516"/>
      <c r="AP10" s="516"/>
      <c r="AQ10" s="516"/>
      <c r="AR10" s="516"/>
      <c r="AS10" s="516"/>
      <c r="AT10" s="516"/>
      <c r="AU10" s="516"/>
      <c r="AV10" s="516"/>
      <c r="AW10" s="516"/>
      <c r="AX10" s="516"/>
      <c r="AY10" s="516"/>
      <c r="AZ10" s="516"/>
    </row>
    <row r="11" spans="1:52" ht="14" x14ac:dyDescent="0.15">
      <c r="A11" s="270" t="str">
        <f>'Tariffs Jan2021'!F5</f>
        <v>Covau</v>
      </c>
      <c r="B11" s="40" t="str">
        <f>'Tariffs Jan2021'!D5</f>
        <v>Multinet Metro 1</v>
      </c>
      <c r="C11" s="40" t="str">
        <f>'Tariffs Jan2021'!G5</f>
        <v>Smart Saver</v>
      </c>
      <c r="D11" s="59">
        <f>365*'Tariffs Jan2021'!H5/100</f>
        <v>284.7</v>
      </c>
      <c r="E11" s="59">
        <f>IF($C$5*'Tariffs Jan2021'!AK5/'Tariffs Jan2021'!AI5&gt;='Tariffs Jan2021'!J5,( 'Tariffs Jan2021'!J5*'Tariffs Jan2021'!O5/100)* 'Tariffs Jan2021'!AI5,($C$5*'Tariffs Jan2021'!AK5/'Tariffs Jan2021'!AI5*'Tariffs Jan2021'!O5/100)* 'Tariffs Jan2021'!AI5)</f>
        <v>261</v>
      </c>
      <c r="F11" s="59">
        <f>IF($C$5*'Tariffs Jan2021'!AK5/'Tariffs Jan2021'!AI5&lt;'Tariffs Jan2021'!J5,0,IF($C$5*'Tariffs Jan2021'!AK5/'Tariffs Jan2021'!AI5&lt;='Tariffs Jan2021'!K5,($C$5*'Tariffs Jan2021'!AK5/'Tariffs Jan2021'!AI5-'Tariffs Jan2021'!J5)*('Tariffs Jan2021'!P5/100)*'Tariffs Jan2021'!AI5,('Tariffs Jan2021'!K5-'Tariffs Jan2021'!J5)*('Tariffs Jan2021'!P5/100)*'Tariffs Jan2021'!AI5))</f>
        <v>234.81818181818181</v>
      </c>
      <c r="G11" s="59">
        <f>IF($C$5*'Tariffs Jan2021'!AK5/'Tariffs Jan2021'!AI5&lt;'Tariffs Jan2021'!K5,0,IF($C$5*'Tariffs Jan2021'!AK5/'Tariffs Jan2021'!AI5&lt;='Tariffs Jan2021'!L5,($C$5*'Tariffs Jan2021'!AK5/'Tariffs Jan2021'!AI5-'Tariffs Jan2021'!K5)*('Tariffs Jan2021'!Q5/100)*'Tariffs Jan2021'!AI5,('Tariffs Jan2021'!L5-'Tariffs Jan2021'!K5)*('Tariffs Jan2021'!Q5/100)*'Tariffs Jan2021'!AI5))</f>
        <v>216</v>
      </c>
      <c r="H11" s="59">
        <f>IF($C$5*'Tariffs Jan2021'!AK5/'Tariffs Jan2021'!AI5&lt;'Tariffs Jan2021'!L5,0,IF($C$5*'Tariffs Jan2021'!AK5/'Tariffs Jan2021'!AI5&lt;='Tariffs Jan2021'!M5,($C$5*'Tariffs Jan2021'!AK5/'Tariffs Jan2021'!AI5-'Tariffs Jan2021'!L5)*('Tariffs Jan2021'!R5/100)*'Tariffs Jan2021'!AI5,('Tariffs Jan2021'!M5-'Tariffs Jan2021'!L5)*('Tariffs Jan2021'!R5/100)*'Tariffs Jan2021'!AI5))</f>
        <v>99</v>
      </c>
      <c r="I11" s="59">
        <f>IF(($C$5*'Tariffs Jan2021'!AK5/'Tariffs Jan2021'!AI5&gt;'Tariffs Jan2021'!M5),($C$5*'Tariffs Jan2021'!AK5/'Tariffs Jan2021'!AI5-'Tariffs Jan2021'!M5)*'Tariffs Jan2021'!S5/100*'Tariffs Jan2021'!AI5,0)</f>
        <v>0</v>
      </c>
      <c r="J11" s="59">
        <f>IF($C$5*'Tariffs Jan2021'!AL5/'Tariffs Jan2021'!AJ5&gt;='Tariffs Jan2021'!J5,('Tariffs Jan2021'!J5*'Tariffs Jan2021'!U5/100)* 'Tariffs Jan2021'!AJ5,($C$5*'Tariffs Jan2021'!AL5/'Tariffs Jan2021'!AJ5*'Tariffs Jan2021'!U5/100)* 'Tariffs Jan2021'!AJ5)</f>
        <v>243.00000000000006</v>
      </c>
      <c r="K11" s="59">
        <f>IF($C$5*'Tariffs Jan2021'!AL5/'Tariffs Jan2021'!AJ5&lt;'Tariffs Jan2021'!J5,0,IF($C$5*'Tariffs Jan2021'!AL5/'Tariffs Jan2021'!AJ5&lt;='Tariffs Jan2021'!K5,($C$5*'Tariffs Jan2021'!AL5/'Tariffs Jan2021'!AJ5-'Tariffs Jan2021'!J5)*('Tariffs Jan2021'!V5/100)*'Tariffs Jan2021'!AJ5,('Tariffs Jan2021'!K5-'Tariffs Jan2021'!J5)*('Tariffs Jan2021'!V5/100)*'Tariffs Jan2021'!AJ5))</f>
        <v>228.27272727272728</v>
      </c>
      <c r="L11" s="59">
        <f>IF($C$5*'Tariffs Jan2021'!AL5/'Tariffs Jan2021'!AJ5&lt;'Tariffs Jan2021'!K5,0,IF($C$5*'Tariffs Jan2021'!AL5/'Tariffs Jan2021'!AJ5&lt;='Tariffs Jan2021'!L5,($C$5*'Tariffs Jan2021'!AL5/'Tariffs Jan2021'!AJ5-'Tariffs Jan2021'!K5)*('Tariffs Jan2021'!W5/100)*'Tariffs Jan2021'!AJ5,('Tariffs Jan2021'!L5-'Tariffs Jan2021'!K5)*('Tariffs Jan2021'!W5/100)*'Tariffs Jan2021'!AJ5))</f>
        <v>189.00000000000003</v>
      </c>
      <c r="M11" s="59">
        <f>IF($C$5*'Tariffs Jan2021'!AL5/'Tariffs Jan2021'!AJ5&lt;'Tariffs Jan2021'!L5,0,IF($C$5*'Tariffs Jan2021'!AL5/'Tariffs Jan2021'!AJ5&lt;='Tariffs Jan2021'!M5,($C$5*'Tariffs Jan2021'!AL5/'Tariffs Jan2021'!AJ5-'Tariffs Jan2021'!L5)*('Tariffs Jan2021'!X5/100)*'Tariffs Jan2021'!AJ5,('Tariffs Jan2021'!M5-'Tariffs Jan2021'!L5)*('Tariffs Jan2021'!X5/100)*'Tariffs Jan2021'!AJ5))</f>
        <v>85.499999999999972</v>
      </c>
      <c r="N11" s="59">
        <f>IF(($C$5*'Tariffs Jan2021'!AL5/'Tariffs Jan2021'!AJ5&gt;'Tariffs Jan2021'!M5),($C$5*'Tariffs Jan2021'!AL5/'Tariffs Jan2021'!AJ5-'Tariffs Jan2021'!M5)*'Tariffs Jan2021'!Y5/100*'Tariffs Jan2021'!AJ5,0)</f>
        <v>0</v>
      </c>
      <c r="O11" s="59">
        <f t="shared" si="1"/>
        <v>1556.590909090909</v>
      </c>
      <c r="P11" s="503">
        <f t="shared" si="2"/>
        <v>1712.25</v>
      </c>
      <c r="Q11" s="59">
        <f t="shared" si="3"/>
        <v>1841.2909090909091</v>
      </c>
      <c r="R11" s="272">
        <f t="shared" si="4"/>
        <v>2025.42</v>
      </c>
      <c r="S11" s="40">
        <f>'Tariffs Jan2021'!AN5</f>
        <v>0</v>
      </c>
      <c r="T11" s="40">
        <f>'Tariffs Jan2021'!AO5</f>
        <v>16</v>
      </c>
      <c r="U11" s="40">
        <f>'Tariffs Jan2021'!AP5</f>
        <v>0</v>
      </c>
      <c r="V11" s="40">
        <f>'Tariffs Jan2021'!AQ5</f>
        <v>0</v>
      </c>
      <c r="W11" s="537" t="str">
        <f t="shared" si="5"/>
        <v>Guaranteed off usage</v>
      </c>
      <c r="X11" s="538" t="str">
        <f t="shared" si="6"/>
        <v>Exclusive</v>
      </c>
      <c r="Y11" s="534">
        <f t="shared" si="7"/>
        <v>1567.330909090909</v>
      </c>
      <c r="Z11" s="535">
        <f t="shared" si="8"/>
        <v>1567.330909090909</v>
      </c>
      <c r="AA11" s="542">
        <f t="shared" si="0"/>
        <v>1724.0640000000001</v>
      </c>
      <c r="AB11" s="542">
        <f t="shared" si="0"/>
        <v>1724.0640000000001</v>
      </c>
      <c r="AC11" s="274">
        <f>'Tariffs Jan2021'!AZ5</f>
        <v>0</v>
      </c>
      <c r="AD11" s="274" t="str">
        <f>'Tariffs Jan2021'!BA5</f>
        <v>n</v>
      </c>
      <c r="AE11" s="275" t="str">
        <f>'Tariffs Jan2021'!BJ5</f>
        <v>N</v>
      </c>
      <c r="AF11" s="516"/>
      <c r="AG11" s="516"/>
      <c r="AH11" s="516"/>
      <c r="AI11" s="516"/>
      <c r="AJ11" s="516"/>
      <c r="AK11" s="516"/>
      <c r="AL11" s="516"/>
      <c r="AM11" s="516"/>
      <c r="AN11" s="516"/>
      <c r="AO11" s="516"/>
      <c r="AP11" s="516"/>
      <c r="AQ11" s="516"/>
      <c r="AR11" s="516"/>
      <c r="AS11" s="516"/>
      <c r="AT11" s="516"/>
      <c r="AU11" s="516"/>
      <c r="AV11" s="516"/>
      <c r="AW11" s="516"/>
      <c r="AX11" s="516"/>
      <c r="AY11" s="516"/>
      <c r="AZ11" s="516"/>
    </row>
    <row r="12" spans="1:52" ht="14" x14ac:dyDescent="0.15">
      <c r="A12" s="270" t="str">
        <f>'Tariffs Jan2021'!F6</f>
        <v>Dodo Power &amp; Gas</v>
      </c>
      <c r="B12" s="40" t="str">
        <f>'Tariffs Jan2021'!D6</f>
        <v>Multinet Metro 1</v>
      </c>
      <c r="C12" s="40" t="str">
        <f>'Tariffs Jan2021'!G6</f>
        <v>Market offer</v>
      </c>
      <c r="D12" s="59">
        <f>365*'Tariffs Jan2021'!H6/100</f>
        <v>191.72454545454545</v>
      </c>
      <c r="E12" s="59">
        <f>IF($C$5*'Tariffs Jan2021'!AK6/'Tariffs Jan2021'!AI6&gt;='Tariffs Jan2021'!J6,( 'Tariffs Jan2021'!J6*'Tariffs Jan2021'!O6/100)* 'Tariffs Jan2021'!AI6,($C$5*'Tariffs Jan2021'!AK6/'Tariffs Jan2021'!AI6*'Tariffs Jan2021'!O6/100)* 'Tariffs Jan2021'!AI6)</f>
        <v>212.72727272727272</v>
      </c>
      <c r="F12" s="59">
        <f>IF($C$5*'Tariffs Jan2021'!AK6/'Tariffs Jan2021'!AI6&lt;'Tariffs Jan2021'!J6,0,IF($C$5*'Tariffs Jan2021'!AK6/'Tariffs Jan2021'!AI6&lt;='Tariffs Jan2021'!K6,($C$5*'Tariffs Jan2021'!AK6/'Tariffs Jan2021'!AI6-'Tariffs Jan2021'!J6)*('Tariffs Jan2021'!P6/100)*'Tariffs Jan2021'!AI6,('Tariffs Jan2021'!K6-'Tariffs Jan2021'!J6)*('Tariffs Jan2021'!P6/100)*'Tariffs Jan2021'!AI6))</f>
        <v>186.5454545454545</v>
      </c>
      <c r="G12" s="59">
        <f>IF($C$5*'Tariffs Jan2021'!AK6/'Tariffs Jan2021'!AI6&lt;'Tariffs Jan2021'!K6,0,IF($C$5*'Tariffs Jan2021'!AK6/'Tariffs Jan2021'!AI6&lt;='Tariffs Jan2021'!L6,($C$5*'Tariffs Jan2021'!AK6/'Tariffs Jan2021'!AI6-'Tariffs Jan2021'!K6)*('Tariffs Jan2021'!Q6/100)*'Tariffs Jan2021'!AI6,('Tariffs Jan2021'!L6-'Tariffs Jan2021'!K6)*('Tariffs Jan2021'!Q6/100)*'Tariffs Jan2021'!AI6))</f>
        <v>161.18181818181819</v>
      </c>
      <c r="H12" s="59">
        <f>IF($C$5*'Tariffs Jan2021'!AK6/'Tariffs Jan2021'!AI6&lt;'Tariffs Jan2021'!L6,0,IF($C$5*'Tariffs Jan2021'!AK6/'Tariffs Jan2021'!AI6&lt;='Tariffs Jan2021'!M6,($C$5*'Tariffs Jan2021'!AK6/'Tariffs Jan2021'!AI6-'Tariffs Jan2021'!L6)*('Tariffs Jan2021'!R6/100)*'Tariffs Jan2021'!AI6,('Tariffs Jan2021'!M6-'Tariffs Jan2021'!L6)*('Tariffs Jan2021'!R6/100)*'Tariffs Jan2021'!AI6))</f>
        <v>74.045454545454533</v>
      </c>
      <c r="I12" s="59">
        <f>IF(($C$5*'Tariffs Jan2021'!AK6/'Tariffs Jan2021'!AI6&gt;'Tariffs Jan2021'!M6),($C$5*'Tariffs Jan2021'!AK6/'Tariffs Jan2021'!AI6-'Tariffs Jan2021'!M6)*'Tariffs Jan2021'!S6/100*'Tariffs Jan2021'!AI6,0)</f>
        <v>0</v>
      </c>
      <c r="J12" s="59">
        <f>IF($C$5*'Tariffs Jan2021'!AL6/'Tariffs Jan2021'!AJ6&gt;='Tariffs Jan2021'!J6,('Tariffs Jan2021'!J6*'Tariffs Jan2021'!U6/100)* 'Tariffs Jan2021'!AJ6,($C$5*'Tariffs Jan2021'!AL6/'Tariffs Jan2021'!AJ6*'Tariffs Jan2021'!U6/100)* 'Tariffs Jan2021'!AJ6)</f>
        <v>201.27272727272728</v>
      </c>
      <c r="K12" s="59">
        <f>IF($C$5*'Tariffs Jan2021'!AL6/'Tariffs Jan2021'!AJ6&lt;'Tariffs Jan2021'!J6,0,IF($C$5*'Tariffs Jan2021'!AL6/'Tariffs Jan2021'!AJ6&lt;='Tariffs Jan2021'!K6,($C$5*'Tariffs Jan2021'!AL6/'Tariffs Jan2021'!AJ6-'Tariffs Jan2021'!J6)*('Tariffs Jan2021'!V6/100)*'Tariffs Jan2021'!AJ6,('Tariffs Jan2021'!K6-'Tariffs Jan2021'!J6)*('Tariffs Jan2021'!V6/100)*'Tariffs Jan2021'!AJ6))</f>
        <v>178.36363636363637</v>
      </c>
      <c r="L12" s="59">
        <f>IF($C$5*'Tariffs Jan2021'!AL6/'Tariffs Jan2021'!AJ6&lt;'Tariffs Jan2021'!K6,0,IF($C$5*'Tariffs Jan2021'!AL6/'Tariffs Jan2021'!AJ6&lt;='Tariffs Jan2021'!L6,($C$5*'Tariffs Jan2021'!AL6/'Tariffs Jan2021'!AJ6-'Tariffs Jan2021'!K6)*('Tariffs Jan2021'!W6/100)*'Tariffs Jan2021'!AJ6,('Tariffs Jan2021'!L6-'Tariffs Jan2021'!K6)*('Tariffs Jan2021'!W6/100)*'Tariffs Jan2021'!AJ6))</f>
        <v>157.09090909090907</v>
      </c>
      <c r="M12" s="59">
        <f>IF($C$5*'Tariffs Jan2021'!AL6/'Tariffs Jan2021'!AJ6&lt;'Tariffs Jan2021'!L6,0,IF($C$5*'Tariffs Jan2021'!AL6/'Tariffs Jan2021'!AJ6&lt;='Tariffs Jan2021'!M6,($C$5*'Tariffs Jan2021'!AL6/'Tariffs Jan2021'!AJ6-'Tariffs Jan2021'!L6)*('Tariffs Jan2021'!X6/100)*'Tariffs Jan2021'!AJ6,('Tariffs Jan2021'!M6-'Tariffs Jan2021'!L6)*('Tariffs Jan2021'!X6/100)*'Tariffs Jan2021'!AJ6))</f>
        <v>72.818181818181813</v>
      </c>
      <c r="N12" s="59">
        <f>IF(($C$5*'Tariffs Jan2021'!AL6/'Tariffs Jan2021'!AJ6&gt;'Tariffs Jan2021'!M6),($C$5*'Tariffs Jan2021'!AL6/'Tariffs Jan2021'!AJ6-'Tariffs Jan2021'!M6)*'Tariffs Jan2021'!Y6/100*'Tariffs Jan2021'!AJ6,0)</f>
        <v>0</v>
      </c>
      <c r="O12" s="59">
        <f t="shared" si="1"/>
        <v>1244.0454545454545</v>
      </c>
      <c r="P12" s="503">
        <f t="shared" si="2"/>
        <v>1368.45</v>
      </c>
      <c r="Q12" s="59">
        <f t="shared" si="3"/>
        <v>1435.77</v>
      </c>
      <c r="R12" s="272">
        <f t="shared" si="4"/>
        <v>1579.3470000000002</v>
      </c>
      <c r="S12" s="40">
        <f>'Tariffs Jan2021'!AN6</f>
        <v>0</v>
      </c>
      <c r="T12" s="40">
        <f>'Tariffs Jan2021'!AO6</f>
        <v>0</v>
      </c>
      <c r="U12" s="40">
        <f>'Tariffs Jan2021'!AP6</f>
        <v>0</v>
      </c>
      <c r="V12" s="40">
        <f>'Tariffs Jan2021'!AQ6</f>
        <v>0</v>
      </c>
      <c r="W12" s="537" t="str">
        <f t="shared" si="5"/>
        <v>No discount</v>
      </c>
      <c r="X12" s="538" t="str">
        <f t="shared" si="6"/>
        <v>Exclusive</v>
      </c>
      <c r="Y12" s="534">
        <f>IF(AND(W12="Guaranteed off bill",X12="Inclusive"),((Q12*1.1)-((Q12*1.1)*S12/100))/1.1,IF(AND(W12="Guaranteed off usage",X12="Inclusive"),((Q12*1.1)-((P12*1.1)*T12/100))/1.1,IF(AND(W12="Guaranteed off bill",X12="Exclusive"),Q12-(Q12*S12/100),IF(AND(W12="Guaranteed off usage",X12="Exclusive"),Q12-(P12*T12/100),IF(X12="Inclusive",((Q12*1.1))/1.1,Q12)))))</f>
        <v>1435.77</v>
      </c>
      <c r="Z12" s="535">
        <f>IF(AND(W12="Pay-on-time off bill",X12="Inclusive"),((Y12*1.1)-((Y12*1.1)*U12/100))/1.1,IF(AND(W12="Pay-on-time off usage",X12="Inclusive"),((Y12*1.1)-((P12*1.1)*V12/100))/1.1,IF(AND(W12="Pay-on-time off bill",X12="Exclusive"),Y12-(Y12*U12/100),IF(AND(W12="Pay-on-time off usage",X12="Exclusive"),Y12-(P12*V12/100),IF(X12="Inclusive",((Y12*1.1))/1.1,Y12)))))</f>
        <v>1435.77</v>
      </c>
      <c r="AA12" s="542">
        <f t="shared" si="0"/>
        <v>1579.3470000000002</v>
      </c>
      <c r="AB12" s="542">
        <f t="shared" si="0"/>
        <v>1579.3470000000002</v>
      </c>
      <c r="AC12" s="274">
        <f>'Tariffs Jan2021'!AZ6</f>
        <v>0</v>
      </c>
      <c r="AD12" s="274" t="str">
        <f>'Tariffs Jan2021'!BA6</f>
        <v>n</v>
      </c>
      <c r="AE12" s="275" t="str">
        <f>'Tariffs Jan2021'!BJ6</f>
        <v>N</v>
      </c>
      <c r="AF12" s="516"/>
      <c r="AG12" s="516"/>
      <c r="AH12" s="516"/>
      <c r="AI12" s="516"/>
      <c r="AJ12" s="516"/>
      <c r="AK12" s="516"/>
      <c r="AL12" s="516"/>
      <c r="AM12" s="516"/>
      <c r="AN12" s="516"/>
      <c r="AO12" s="516"/>
      <c r="AP12" s="516"/>
      <c r="AQ12" s="516"/>
      <c r="AR12" s="516"/>
      <c r="AS12" s="516"/>
      <c r="AT12" s="516"/>
      <c r="AU12" s="516"/>
      <c r="AV12" s="516"/>
      <c r="AW12" s="516"/>
      <c r="AX12" s="516"/>
      <c r="AY12" s="516"/>
      <c r="AZ12" s="516"/>
    </row>
    <row r="13" spans="1:52" ht="14" x14ac:dyDescent="0.15">
      <c r="A13" s="270" t="str">
        <f>'Tariffs Jan2021'!F7</f>
        <v>EnergyAustralia</v>
      </c>
      <c r="B13" s="40" t="str">
        <f>'Tariffs Jan2021'!D7</f>
        <v>Multinet Metro 1</v>
      </c>
      <c r="C13" s="40" t="str">
        <f>'Tariffs Jan2021'!G7</f>
        <v>Total Plan</v>
      </c>
      <c r="D13" s="59">
        <f>365*'Tariffs Jan2021'!H7/100</f>
        <v>299.3</v>
      </c>
      <c r="E13" s="59">
        <f>IF($C$5*'Tariffs Jan2021'!AK7/'Tariffs Jan2021'!AI7&gt;='Tariffs Jan2021'!J7,( 'Tariffs Jan2021'!J7*'Tariffs Jan2021'!O7/100)* 'Tariffs Jan2021'!AI7,($C$5*'Tariffs Jan2021'!AK7/'Tariffs Jan2021'!AI7*'Tariffs Jan2021'!O7/100)* 'Tariffs Jan2021'!AI7)</f>
        <v>183.81818181818181</v>
      </c>
      <c r="F13" s="59">
        <f>IF($C$5*'Tariffs Jan2021'!AK7/'Tariffs Jan2021'!AI7&lt;'Tariffs Jan2021'!J7,0,IF($C$5*'Tariffs Jan2021'!AK7/'Tariffs Jan2021'!AI7&lt;='Tariffs Jan2021'!K7,($C$5*'Tariffs Jan2021'!AK7/'Tariffs Jan2021'!AI7-'Tariffs Jan2021'!J7)*('Tariffs Jan2021'!P7/100)*'Tariffs Jan2021'!AI7,('Tariffs Jan2021'!K7-'Tariffs Jan2021'!J7)*('Tariffs Jan2021'!P7/100)*'Tariffs Jan2021'!AI7))</f>
        <v>157.63636363636363</v>
      </c>
      <c r="G13" s="59">
        <f>IF($C$5*'Tariffs Jan2021'!AK7/'Tariffs Jan2021'!AI7&lt;'Tariffs Jan2021'!K7,0,IF($C$5*'Tariffs Jan2021'!AK7/'Tariffs Jan2021'!AI7&lt;='Tariffs Jan2021'!L7,($C$5*'Tariffs Jan2021'!AK7/'Tariffs Jan2021'!AI7-'Tariffs Jan2021'!K7)*('Tariffs Jan2021'!Q7/100)*'Tariffs Jan2021'!AI7,('Tariffs Jan2021'!L7-'Tariffs Jan2021'!K7)*('Tariffs Jan2021'!Q7/100)*'Tariffs Jan2021'!AI7))</f>
        <v>129.27272727272728</v>
      </c>
      <c r="H13" s="59">
        <f>IF($C$5*'Tariffs Jan2021'!AK7/'Tariffs Jan2021'!AI7&lt;'Tariffs Jan2021'!L7,0,IF($C$5*'Tariffs Jan2021'!AK7/'Tariffs Jan2021'!AI7&lt;='Tariffs Jan2021'!M7,($C$5*'Tariffs Jan2021'!AK7/'Tariffs Jan2021'!AI7-'Tariffs Jan2021'!L7)*('Tariffs Jan2021'!R7/100)*'Tariffs Jan2021'!AI7,('Tariffs Jan2021'!M7-'Tariffs Jan2021'!L7)*('Tariffs Jan2021'!R7/100)*'Tariffs Jan2021'!AI7))</f>
        <v>55.86995454545449</v>
      </c>
      <c r="I13" s="59">
        <f>IF(($C$5*'Tariffs Jan2021'!AK7/'Tariffs Jan2021'!AI7&gt;'Tariffs Jan2021'!M7),($C$5*'Tariffs Jan2021'!AK7/'Tariffs Jan2021'!AI7-'Tariffs Jan2021'!M7)*'Tariffs Jan2021'!S7/100*'Tariffs Jan2021'!AI7,0)</f>
        <v>0</v>
      </c>
      <c r="J13" s="59">
        <f>IF($C$5*'Tariffs Jan2021'!AL7/'Tariffs Jan2021'!AJ7&gt;='Tariffs Jan2021'!J7,('Tariffs Jan2021'!J7*'Tariffs Jan2021'!U7/100)* 'Tariffs Jan2021'!AJ7,($C$5*'Tariffs Jan2021'!AL7/'Tariffs Jan2021'!AJ7*'Tariffs Jan2021'!U7/100)* 'Tariffs Jan2021'!AJ7)</f>
        <v>355.63636363636363</v>
      </c>
      <c r="K13" s="59">
        <f>IF($C$5*'Tariffs Jan2021'!AL7/'Tariffs Jan2021'!AJ7&lt;'Tariffs Jan2021'!J7,0,IF($C$5*'Tariffs Jan2021'!AL7/'Tariffs Jan2021'!AJ7&lt;='Tariffs Jan2021'!K7,($C$5*'Tariffs Jan2021'!AL7/'Tariffs Jan2021'!AJ7-'Tariffs Jan2021'!J7)*('Tariffs Jan2021'!V7/100)*'Tariffs Jan2021'!AJ7,('Tariffs Jan2021'!K7-'Tariffs Jan2021'!J7)*('Tariffs Jan2021'!V7/100)*'Tariffs Jan2021'!AJ7))</f>
        <v>302.18181818181819</v>
      </c>
      <c r="L13" s="59">
        <f>IF($C$5*'Tariffs Jan2021'!AL7/'Tariffs Jan2021'!AJ7&lt;'Tariffs Jan2021'!K7,0,IF($C$5*'Tariffs Jan2021'!AL7/'Tariffs Jan2021'!AJ7&lt;='Tariffs Jan2021'!L7,($C$5*'Tariffs Jan2021'!AL7/'Tariffs Jan2021'!AJ7-'Tariffs Jan2021'!K7)*('Tariffs Jan2021'!W7/100)*'Tariffs Jan2021'!AJ7,('Tariffs Jan2021'!L7-'Tariffs Jan2021'!K7)*('Tariffs Jan2021'!W7/100)*'Tariffs Jan2021'!AJ7))</f>
        <v>252.00000000000003</v>
      </c>
      <c r="M13" s="59">
        <f>IF($C$5*'Tariffs Jan2021'!AL7/'Tariffs Jan2021'!AJ7&lt;'Tariffs Jan2021'!L7,0,IF($C$5*'Tariffs Jan2021'!AL7/'Tariffs Jan2021'!AJ7&lt;='Tariffs Jan2021'!M7,($C$5*'Tariffs Jan2021'!AL7/'Tariffs Jan2021'!AJ7-'Tariffs Jan2021'!L7)*('Tariffs Jan2021'!X7/100)*'Tariffs Jan2021'!AJ7,('Tariffs Jan2021'!M7-'Tariffs Jan2021'!L7)*('Tariffs Jan2021'!X7/100)*'Tariffs Jan2021'!AJ7))</f>
        <v>107.3793272727272</v>
      </c>
      <c r="N13" s="59">
        <f>IF(($C$5*'Tariffs Jan2021'!AL7/'Tariffs Jan2021'!AJ7&gt;'Tariffs Jan2021'!M7),($C$5*'Tariffs Jan2021'!AL7/'Tariffs Jan2021'!AJ7-'Tariffs Jan2021'!M7)*'Tariffs Jan2021'!Y7/100*'Tariffs Jan2021'!AJ7,0)</f>
        <v>0</v>
      </c>
      <c r="O13" s="59">
        <f>SUM(E13:N13)</f>
        <v>1543.794736363636</v>
      </c>
      <c r="P13" s="503">
        <f t="shared" si="2"/>
        <v>1698.1742099999999</v>
      </c>
      <c r="Q13" s="59">
        <f>D13+O13</f>
        <v>1843.094736363636</v>
      </c>
      <c r="R13" s="272">
        <f t="shared" si="4"/>
        <v>2027.4042099999997</v>
      </c>
      <c r="S13" s="40">
        <f>'Tariffs Jan2021'!AN7</f>
        <v>27</v>
      </c>
      <c r="T13" s="40">
        <f>'Tariffs Jan2021'!AO7</f>
        <v>0</v>
      </c>
      <c r="U13" s="40">
        <f>'Tariffs Jan2021'!AP7</f>
        <v>0</v>
      </c>
      <c r="V13" s="40">
        <f>'Tariffs Jan2021'!AQ7</f>
        <v>0</v>
      </c>
      <c r="W13" s="537" t="str">
        <f t="shared" si="5"/>
        <v>Guaranteed off bill</v>
      </c>
      <c r="X13" s="538" t="str">
        <f t="shared" si="6"/>
        <v>Exclusive</v>
      </c>
      <c r="Y13" s="534">
        <f t="shared" ref="Y13" si="9">IF(AND(W13="Guaranteed off bill",X13="Inclusive"),((Q13*1.1)-((Q13*1.1)*S13/100))/1.1,IF(AND(W13="Guaranteed off usage",X13="Inclusive"),((Q13*1.1)-((P13*1.1)*T13/100))/1.1,IF(AND(W13="Guaranteed off bill",X13="Exclusive"),Q13-(Q13*S13/100),IF(AND(W13="Guaranteed off usage",X13="Exclusive"),Q13-(P13*T13/100),IF(X13="Inclusive",((Q13*1.1))/1.1,Q13)))))</f>
        <v>1345.4591575454542</v>
      </c>
      <c r="Z13" s="535">
        <f t="shared" ref="Z13" si="10">IF(AND(W13="Pay-on-time off bill",X13="Inclusive"),((Y13*1.1)-((Y13*1.1)*U13/100))/1.1,IF(AND(W13="Pay-on-time off usage",X13="Inclusive"),((Y13*1.1)-((P13*1.1)*V13/100))/1.1,IF(AND(W13="Pay-on-time off bill",X13="Exclusive"),Y13-(Y13*U13/100),IF(AND(W13="Pay-on-time off usage",X13="Exclusive"),Y13-(P13*V13/100),IF(X13="Inclusive",((Y13*1.1))/1.1,Y13)))))</f>
        <v>1345.4591575454542</v>
      </c>
      <c r="AA13" s="542">
        <f t="shared" si="0"/>
        <v>1480.0050732999998</v>
      </c>
      <c r="AB13" s="542">
        <f t="shared" si="0"/>
        <v>1480.0050732999998</v>
      </c>
      <c r="AC13" s="274">
        <f>'Tariffs Jan2021'!AZ7</f>
        <v>12</v>
      </c>
      <c r="AD13" s="274" t="str">
        <f>'Tariffs Jan2021'!BA7</f>
        <v>n</v>
      </c>
      <c r="AE13" s="275" t="str">
        <f>'Tariffs Jan2021'!BJ7</f>
        <v>N</v>
      </c>
      <c r="AF13" s="516"/>
      <c r="AG13" s="516"/>
      <c r="AH13" s="516"/>
      <c r="AI13" s="516"/>
      <c r="AJ13" s="516"/>
      <c r="AK13" s="516"/>
      <c r="AL13" s="516"/>
      <c r="AM13" s="516"/>
      <c r="AN13" s="516"/>
      <c r="AO13" s="516"/>
      <c r="AP13" s="516"/>
      <c r="AQ13" s="516"/>
      <c r="AR13" s="516"/>
      <c r="AS13" s="516"/>
      <c r="AT13" s="516"/>
      <c r="AU13" s="516"/>
      <c r="AV13" s="516"/>
      <c r="AW13" s="516"/>
      <c r="AX13" s="516"/>
      <c r="AY13" s="516"/>
      <c r="AZ13" s="516"/>
    </row>
    <row r="14" spans="1:52" ht="14" x14ac:dyDescent="0.15">
      <c r="A14" s="270" t="str">
        <f>'Tariffs Jan2021'!F8</f>
        <v>Lumo Energy</v>
      </c>
      <c r="B14" s="40" t="str">
        <f>'Tariffs Jan2021'!D8</f>
        <v>Multinet Metro 1</v>
      </c>
      <c r="C14" s="40" t="str">
        <f>'Tariffs Jan2021'!G8</f>
        <v>Value</v>
      </c>
      <c r="D14" s="59">
        <f>365*'Tariffs Jan2021'!H8/100</f>
        <v>230.14909090909089</v>
      </c>
      <c r="E14" s="59">
        <f>IF($C$5*'Tariffs Jan2021'!AK8/'Tariffs Jan2021'!AI8&gt;='Tariffs Jan2021'!J8,( 'Tariffs Jan2021'!J8*'Tariffs Jan2021'!O8/100)* 'Tariffs Jan2021'!AI8,($C$5*'Tariffs Jan2021'!AK8/'Tariffs Jan2021'!AI8*'Tariffs Jan2021'!O8/100)* 'Tariffs Jan2021'!AI8)</f>
        <v>161.99999999999997</v>
      </c>
      <c r="F14" s="59">
        <f>IF($C$5*'Tariffs Jan2021'!AK8/'Tariffs Jan2021'!AI8&lt;'Tariffs Jan2021'!J8,0,IF($C$5*'Tariffs Jan2021'!AK8/'Tariffs Jan2021'!AI8&lt;='Tariffs Jan2021'!K8,($C$5*'Tariffs Jan2021'!AK8/'Tariffs Jan2021'!AI8-'Tariffs Jan2021'!J8)*('Tariffs Jan2021'!P8/100)*'Tariffs Jan2021'!AI8,('Tariffs Jan2021'!K8-'Tariffs Jan2021'!J8)*('Tariffs Jan2021'!P8/100)*'Tariffs Jan2021'!AI8))</f>
        <v>160.36363636363635</v>
      </c>
      <c r="G14" s="59">
        <f>IF($C$5*'Tariffs Jan2021'!AK8/'Tariffs Jan2021'!AI8&lt;'Tariffs Jan2021'!K8,0,IF($C$5*'Tariffs Jan2021'!AK8/'Tariffs Jan2021'!AI8&lt;='Tariffs Jan2021'!L8,($C$5*'Tariffs Jan2021'!AK8/'Tariffs Jan2021'!AI8-'Tariffs Jan2021'!K8)*('Tariffs Jan2021'!Q8/100)*'Tariffs Jan2021'!AI8,('Tariffs Jan2021'!L8-'Tariffs Jan2021'!K8)*('Tariffs Jan2021'!Q8/100)*'Tariffs Jan2021'!AI8))</f>
        <v>147.27272727272725</v>
      </c>
      <c r="H14" s="59">
        <f>IF($C$5*'Tariffs Jan2021'!AK8/'Tariffs Jan2021'!AI8&lt;'Tariffs Jan2021'!L8,0,IF($C$5*'Tariffs Jan2021'!AK8/'Tariffs Jan2021'!AI8&lt;='Tariffs Jan2021'!M8,($C$5*'Tariffs Jan2021'!AK8/'Tariffs Jan2021'!AI8-'Tariffs Jan2021'!L8)*('Tariffs Jan2021'!R8/100)*'Tariffs Jan2021'!AI8,('Tariffs Jan2021'!M8-'Tariffs Jan2021'!L8)*('Tariffs Jan2021'!R8/100)*'Tariffs Jan2021'!AI8))</f>
        <v>70.772727272727252</v>
      </c>
      <c r="I14" s="59">
        <f>IF(($C$5*'Tariffs Jan2021'!AK8/'Tariffs Jan2021'!AI8&gt;'Tariffs Jan2021'!M8),($C$5*'Tariffs Jan2021'!AK8/'Tariffs Jan2021'!AI8-'Tariffs Jan2021'!M8)*'Tariffs Jan2021'!S8/100*'Tariffs Jan2021'!AI8,0)</f>
        <v>0</v>
      </c>
      <c r="J14" s="59">
        <f>IF($C$5*'Tariffs Jan2021'!AL8/'Tariffs Jan2021'!AJ8&gt;='Tariffs Jan2021'!J8,('Tariffs Jan2021'!J8*'Tariffs Jan2021'!U8/100)* 'Tariffs Jan2021'!AJ8,($C$5*'Tariffs Jan2021'!AL8/'Tariffs Jan2021'!AJ8*'Tariffs Jan2021'!U8/100)* 'Tariffs Jan2021'!AJ8)</f>
        <v>160.36363636363637</v>
      </c>
      <c r="K14" s="59">
        <f>IF($C$5*'Tariffs Jan2021'!AL8/'Tariffs Jan2021'!AJ8&lt;'Tariffs Jan2021'!J8,0,IF($C$5*'Tariffs Jan2021'!AL8/'Tariffs Jan2021'!AJ8&lt;='Tariffs Jan2021'!K8,($C$5*'Tariffs Jan2021'!AL8/'Tariffs Jan2021'!AJ8-'Tariffs Jan2021'!J8)*('Tariffs Jan2021'!V8/100)*'Tariffs Jan2021'!AJ8,('Tariffs Jan2021'!K8-'Tariffs Jan2021'!J8)*('Tariffs Jan2021'!V8/100)*'Tariffs Jan2021'!AJ8))</f>
        <v>159.5454545454545</v>
      </c>
      <c r="L14" s="59">
        <f>IF($C$5*'Tariffs Jan2021'!AL8/'Tariffs Jan2021'!AJ8&lt;'Tariffs Jan2021'!K8,0,IF($C$5*'Tariffs Jan2021'!AL8/'Tariffs Jan2021'!AJ8&lt;='Tariffs Jan2021'!L8,($C$5*'Tariffs Jan2021'!AL8/'Tariffs Jan2021'!AJ8-'Tariffs Jan2021'!K8)*('Tariffs Jan2021'!W8/100)*'Tariffs Jan2021'!AJ8,('Tariffs Jan2021'!L8-'Tariffs Jan2021'!K8)*('Tariffs Jan2021'!W8/100)*'Tariffs Jan2021'!AJ8))</f>
        <v>145.63636363636363</v>
      </c>
      <c r="M14" s="59">
        <f>IF($C$5*'Tariffs Jan2021'!AL8/'Tariffs Jan2021'!AJ8&lt;'Tariffs Jan2021'!L8,0,IF($C$5*'Tariffs Jan2021'!AL8/'Tariffs Jan2021'!AJ8&lt;='Tariffs Jan2021'!M8,($C$5*'Tariffs Jan2021'!AL8/'Tariffs Jan2021'!AJ8-'Tariffs Jan2021'!L8)*('Tariffs Jan2021'!X8/100)*'Tariffs Jan2021'!AJ8,('Tariffs Jan2021'!M8-'Tariffs Jan2021'!L8)*('Tariffs Jan2021'!X8/100)*'Tariffs Jan2021'!AJ8))</f>
        <v>69.545454545454533</v>
      </c>
      <c r="N14" s="59">
        <f>IF(($C$5*'Tariffs Jan2021'!AL8/'Tariffs Jan2021'!AJ8&gt;'Tariffs Jan2021'!M8),($C$5*'Tariffs Jan2021'!AL8/'Tariffs Jan2021'!AJ8-'Tariffs Jan2021'!M8)*'Tariffs Jan2021'!Y8/100*'Tariffs Jan2021'!AJ8,0)</f>
        <v>0</v>
      </c>
      <c r="O14" s="59">
        <f t="shared" si="1"/>
        <v>1075.4999999999998</v>
      </c>
      <c r="P14" s="503">
        <f t="shared" si="2"/>
        <v>1183.05</v>
      </c>
      <c r="Q14" s="59">
        <f t="shared" si="3"/>
        <v>1305.6490909090908</v>
      </c>
      <c r="R14" s="272">
        <f t="shared" si="4"/>
        <v>1436.2139999999999</v>
      </c>
      <c r="S14" s="40">
        <f>'Tariffs Jan2021'!AN8</f>
        <v>0</v>
      </c>
      <c r="T14" s="40">
        <f>'Tariffs Jan2021'!AO8</f>
        <v>0</v>
      </c>
      <c r="U14" s="40">
        <f>'Tariffs Jan2021'!AP8</f>
        <v>0</v>
      </c>
      <c r="V14" s="40">
        <f>'Tariffs Jan2021'!AQ8</f>
        <v>0</v>
      </c>
      <c r="W14" s="537" t="str">
        <f t="shared" si="5"/>
        <v>No discount</v>
      </c>
      <c r="X14" s="538" t="str">
        <f t="shared" si="6"/>
        <v>Exclusive</v>
      </c>
      <c r="Y14" s="534">
        <f>IF(AND(W14="Guaranteed off bill",X14="Inclusive"),((Q14*1.1)-((Q14*1.1)*S14/100))/1.1,IF(AND(W14="Guaranteed off usage",X14="Inclusive"),((Q14*1.1)-((P14*1.1)*T14/100))/1.1,IF(AND(W14="Guaranteed off bill",X14="Exclusive"),Q14-(Q14*S14/100),IF(AND(W14="Guaranteed off usage",X14="Exclusive"),Q14-(P14*T14/100),IF(X14="Inclusive",((Q14*1.1))/1.1,Q14)))))</f>
        <v>1305.6490909090908</v>
      </c>
      <c r="Z14" s="535">
        <f>IF(AND(W14="Pay-on-time off bill",X14="Inclusive"),((Y14*1.1)-((Y14*1.1)*U14/100))/1.1,IF(AND(W14="Pay-on-time off usage",X14="Inclusive"),((Y14*1.1)-((P14*1.1)*V14/100))/1.1,IF(AND(W14="Pay-on-time off bill",X14="Exclusive"),Y14-(Y14*U14/100),IF(AND(W14="Pay-on-time off usage",X14="Exclusive"),Y14-(P14*V14/100),IF(X14="Inclusive",((Y14*1.1))/1.1,Y14)))))</f>
        <v>1305.6490909090908</v>
      </c>
      <c r="AA14" s="542">
        <f t="shared" si="0"/>
        <v>1436.2139999999999</v>
      </c>
      <c r="AB14" s="542">
        <f t="shared" si="0"/>
        <v>1436.2139999999999</v>
      </c>
      <c r="AC14" s="274">
        <f>'Tariffs Jan2021'!AZ8</f>
        <v>0</v>
      </c>
      <c r="AD14" s="274" t="str">
        <f>'Tariffs Jan2021'!BA8</f>
        <v>n</v>
      </c>
      <c r="AE14" s="275" t="str">
        <f>'Tariffs Jan2021'!BJ8</f>
        <v>N</v>
      </c>
      <c r="AF14" s="516"/>
      <c r="AG14" s="516"/>
      <c r="AH14" s="516"/>
      <c r="AI14" s="516"/>
      <c r="AJ14" s="516"/>
      <c r="AK14" s="516"/>
      <c r="AL14" s="516"/>
      <c r="AM14" s="516"/>
      <c r="AN14" s="516"/>
      <c r="AO14" s="516"/>
      <c r="AP14" s="516"/>
      <c r="AQ14" s="516"/>
      <c r="AR14" s="516"/>
      <c r="AS14" s="516"/>
      <c r="AT14" s="516"/>
      <c r="AU14" s="516"/>
      <c r="AV14" s="516"/>
      <c r="AW14" s="516"/>
      <c r="AX14" s="516"/>
      <c r="AY14" s="516"/>
      <c r="AZ14" s="516"/>
    </row>
    <row r="15" spans="1:52" ht="14" x14ac:dyDescent="0.15">
      <c r="A15" s="270" t="str">
        <f>'Tariffs Jan2021'!F9</f>
        <v>Momentum Energy</v>
      </c>
      <c r="B15" s="40" t="str">
        <f>'Tariffs Jan2021'!D9</f>
        <v>Multinet Metro 1</v>
      </c>
      <c r="C15" s="40" t="str">
        <f>'Tariffs Jan2021'!G9</f>
        <v>Market offer</v>
      </c>
      <c r="D15" s="59">
        <f>365*'Tariffs Jan2021'!H9/100</f>
        <v>296.37999999999994</v>
      </c>
      <c r="E15" s="59">
        <f>IF($C$5*'Tariffs Jan2021'!AK9/'Tariffs Jan2021'!AI9&gt;='Tariffs Jan2021'!J9,( 'Tariffs Jan2021'!J9*'Tariffs Jan2021'!O9/100)* 'Tariffs Jan2021'!AI9,($C$5*'Tariffs Jan2021'!AK9/'Tariffs Jan2021'!AI9*'Tariffs Jan2021'!O9/100)* 'Tariffs Jan2021'!AI9)</f>
        <v>206.99999999999994</v>
      </c>
      <c r="F15" s="59">
        <f>IF($C$5*'Tariffs Jan2021'!AK9/'Tariffs Jan2021'!AI9&lt;'Tariffs Jan2021'!J9,0,IF($C$5*'Tariffs Jan2021'!AK9/'Tariffs Jan2021'!AI9&lt;='Tariffs Jan2021'!K9,($C$5*'Tariffs Jan2021'!AK9/'Tariffs Jan2021'!AI9-'Tariffs Jan2021'!J9)*('Tariffs Jan2021'!P9/100)*'Tariffs Jan2021'!AI9,('Tariffs Jan2021'!K9-'Tariffs Jan2021'!J9)*('Tariffs Jan2021'!P9/100)*'Tariffs Jan2021'!AI9))</f>
        <v>189.00000000000003</v>
      </c>
      <c r="G15" s="59">
        <f>IF($C$5*'Tariffs Jan2021'!AK9/'Tariffs Jan2021'!AI9&lt;'Tariffs Jan2021'!K9,0,IF($C$5*'Tariffs Jan2021'!AK9/'Tariffs Jan2021'!AI9&lt;='Tariffs Jan2021'!L9,($C$5*'Tariffs Jan2021'!AK9/'Tariffs Jan2021'!AI9-'Tariffs Jan2021'!K9)*('Tariffs Jan2021'!Q9/100)*'Tariffs Jan2021'!AI9,('Tariffs Jan2021'!L9-'Tariffs Jan2021'!K9)*('Tariffs Jan2021'!Q9/100)*'Tariffs Jan2021'!AI9))</f>
        <v>161.99999999999997</v>
      </c>
      <c r="H15" s="59">
        <f>IF($C$5*'Tariffs Jan2021'!AK9/'Tariffs Jan2021'!AI9&lt;'Tariffs Jan2021'!L9,0,IF($C$5*'Tariffs Jan2021'!AK9/'Tariffs Jan2021'!AI9&lt;='Tariffs Jan2021'!M9,($C$5*'Tariffs Jan2021'!AK9/'Tariffs Jan2021'!AI9-'Tariffs Jan2021'!L9)*('Tariffs Jan2021'!R9/100)*'Tariffs Jan2021'!AI9,('Tariffs Jan2021'!M9-'Tariffs Jan2021'!L9)*('Tariffs Jan2021'!R9/100)*'Tariffs Jan2021'!AI9))</f>
        <v>76.500000000000014</v>
      </c>
      <c r="I15" s="59">
        <f>IF(($C$5*'Tariffs Jan2021'!AK9/'Tariffs Jan2021'!AI9&gt;'Tariffs Jan2021'!M9),($C$5*'Tariffs Jan2021'!AK9/'Tariffs Jan2021'!AI9-'Tariffs Jan2021'!M9)*'Tariffs Jan2021'!S9/100*'Tariffs Jan2021'!AI9,0)</f>
        <v>0</v>
      </c>
      <c r="J15" s="59">
        <f>IF($C$5*'Tariffs Jan2021'!AL9/'Tariffs Jan2021'!AJ9&gt;='Tariffs Jan2021'!J9,('Tariffs Jan2021'!J9*'Tariffs Jan2021'!U9/100)* 'Tariffs Jan2021'!AJ9,($C$5*'Tariffs Jan2021'!AL9/'Tariffs Jan2021'!AJ9*'Tariffs Jan2021'!U9/100)* 'Tariffs Jan2021'!AJ9)</f>
        <v>189</v>
      </c>
      <c r="K15" s="59">
        <f>IF($C$5*'Tariffs Jan2021'!AL9/'Tariffs Jan2021'!AJ9&lt;'Tariffs Jan2021'!J9,0,IF($C$5*'Tariffs Jan2021'!AL9/'Tariffs Jan2021'!AJ9&lt;='Tariffs Jan2021'!K9,($C$5*'Tariffs Jan2021'!AL9/'Tariffs Jan2021'!AJ9-'Tariffs Jan2021'!J9)*('Tariffs Jan2021'!V9/100)*'Tariffs Jan2021'!AJ9,('Tariffs Jan2021'!K9-'Tariffs Jan2021'!J9)*('Tariffs Jan2021'!V9/100)*'Tariffs Jan2021'!AJ9))</f>
        <v>180</v>
      </c>
      <c r="L15" s="59">
        <f>IF($C$5*'Tariffs Jan2021'!AL9/'Tariffs Jan2021'!AJ9&lt;'Tariffs Jan2021'!K9,0,IF($C$5*'Tariffs Jan2021'!AL9/'Tariffs Jan2021'!AJ9&lt;='Tariffs Jan2021'!L9,($C$5*'Tariffs Jan2021'!AL9/'Tariffs Jan2021'!AJ9-'Tariffs Jan2021'!K9)*('Tariffs Jan2021'!W9/100)*'Tariffs Jan2021'!AJ9,('Tariffs Jan2021'!L9-'Tariffs Jan2021'!K9)*('Tariffs Jan2021'!W9/100)*'Tariffs Jan2021'!AJ9))</f>
        <v>153.00000000000003</v>
      </c>
      <c r="M15" s="59">
        <f>IF($C$5*'Tariffs Jan2021'!AL9/'Tariffs Jan2021'!AJ9&lt;'Tariffs Jan2021'!L9,0,IF($C$5*'Tariffs Jan2021'!AL9/'Tariffs Jan2021'!AJ9&lt;='Tariffs Jan2021'!M9,($C$5*'Tariffs Jan2021'!AL9/'Tariffs Jan2021'!AJ9-'Tariffs Jan2021'!L9)*('Tariffs Jan2021'!X9/100)*'Tariffs Jan2021'!AJ9,('Tariffs Jan2021'!M9-'Tariffs Jan2021'!L9)*('Tariffs Jan2021'!X9/100)*'Tariffs Jan2021'!AJ9))</f>
        <v>72</v>
      </c>
      <c r="N15" s="59">
        <f>IF(($C$5*'Tariffs Jan2021'!AL9/'Tariffs Jan2021'!AJ9&gt;'Tariffs Jan2021'!M9),($C$5*'Tariffs Jan2021'!AL9/'Tariffs Jan2021'!AJ9-'Tariffs Jan2021'!M9)*'Tariffs Jan2021'!Y9/100*'Tariffs Jan2021'!AJ9,0)</f>
        <v>0</v>
      </c>
      <c r="O15" s="59">
        <f t="shared" si="1"/>
        <v>1228.5</v>
      </c>
      <c r="P15" s="503">
        <f t="shared" si="2"/>
        <v>1351.3500000000001</v>
      </c>
      <c r="Q15" s="59">
        <f t="shared" si="3"/>
        <v>1524.8799999999999</v>
      </c>
      <c r="R15" s="272">
        <f t="shared" si="4"/>
        <v>1677.3679999999999</v>
      </c>
      <c r="S15" s="40">
        <f>'Tariffs Jan2021'!AN9</f>
        <v>0</v>
      </c>
      <c r="T15" s="40">
        <f>'Tariffs Jan2021'!AO9</f>
        <v>0</v>
      </c>
      <c r="U15" s="40">
        <f>'Tariffs Jan2021'!AP9</f>
        <v>0</v>
      </c>
      <c r="V15" s="40">
        <f>'Tariffs Jan2021'!AQ9</f>
        <v>0</v>
      </c>
      <c r="W15" s="537" t="str">
        <f t="shared" si="5"/>
        <v>No discount</v>
      </c>
      <c r="X15" s="538" t="str">
        <f t="shared" si="6"/>
        <v>Exclusive</v>
      </c>
      <c r="Y15" s="534">
        <f t="shared" ref="Y15" si="11">IF(AND(W15="Guaranteed off bill",X15="Inclusive"),((Q15*1.1)-((Q15*1.1)*S15/100))/1.1,IF(AND(W15="Guaranteed off usage",X15="Inclusive"),((Q15*1.1)-((P15*1.1)*T15/100))/1.1,IF(AND(W15="Guaranteed off bill",X15="Exclusive"),Q15-(Q15*S15/100),IF(AND(W15="Guaranteed off usage",X15="Exclusive"),Q15-(P15*T15/100),IF(X15="Inclusive",((Q15*1.1))/1.1,Q15)))))</f>
        <v>1524.8799999999999</v>
      </c>
      <c r="Z15" s="535">
        <f t="shared" ref="Z15" si="12">IF(AND(W15="Pay-on-time off bill",X15="Inclusive"),((Y15*1.1)-((Y15*1.1)*U15/100))/1.1,IF(AND(W15="Pay-on-time off usage",X15="Inclusive"),((Y15*1.1)-((P15*1.1)*V15/100))/1.1,IF(AND(W15="Pay-on-time off bill",X15="Exclusive"),Y15-(Y15*U15/100),IF(AND(W15="Pay-on-time off usage",X15="Exclusive"),Y15-(P15*V15/100),IF(X15="Inclusive",((Y15*1.1))/1.1,Y15)))))</f>
        <v>1524.8799999999999</v>
      </c>
      <c r="AA15" s="542">
        <f t="shared" si="0"/>
        <v>1677.3679999999999</v>
      </c>
      <c r="AB15" s="542">
        <f t="shared" si="0"/>
        <v>1677.3679999999999</v>
      </c>
      <c r="AC15" s="274">
        <f>'Tariffs Jan2021'!AZ9</f>
        <v>0</v>
      </c>
      <c r="AD15" s="274" t="str">
        <f>'Tariffs Jan2021'!BA9</f>
        <v>n</v>
      </c>
      <c r="AE15" s="275" t="str">
        <f>'Tariffs Jan2021'!BJ9</f>
        <v>N</v>
      </c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</row>
    <row r="16" spans="1:52" ht="14" x14ac:dyDescent="0.15">
      <c r="A16" s="270" t="str">
        <f>'Tariffs Jan2021'!F10</f>
        <v>Origin Energy</v>
      </c>
      <c r="B16" s="40" t="str">
        <f>'Tariffs Jan2021'!D10</f>
        <v>Multinet Metro 1</v>
      </c>
      <c r="C16" s="40" t="str">
        <f>'Tariffs Jan2021'!G10</f>
        <v>Go</v>
      </c>
      <c r="D16" s="59">
        <f>365*'Tariffs Jan2021'!H10/100</f>
        <v>204.20090909090908</v>
      </c>
      <c r="E16" s="59">
        <f>IF($C$5*'Tariffs Jan2021'!AK10/'Tariffs Jan2021'!AI10&gt;='Tariffs Jan2021'!J10,( 'Tariffs Jan2021'!J10*'Tariffs Jan2021'!O10/100)* 'Tariffs Jan2021'!AI10,($C$5*'Tariffs Jan2021'!AK10/'Tariffs Jan2021'!AI10*'Tariffs Jan2021'!O10/100)* 'Tariffs Jan2021'!AI10)</f>
        <v>346.90909090909093</v>
      </c>
      <c r="F16" s="59">
        <f>IF($C$5*'Tariffs Jan2021'!AK10/'Tariffs Jan2021'!AI10&lt;'Tariffs Jan2021'!J10,0,IF($C$5*'Tariffs Jan2021'!AK10/'Tariffs Jan2021'!AI10&lt;='Tariffs Jan2021'!K10,($C$5*'Tariffs Jan2021'!AK10/'Tariffs Jan2021'!AI10-'Tariffs Jan2021'!J10)*('Tariffs Jan2021'!P10/100)*'Tariffs Jan2021'!AI10,('Tariffs Jan2021'!K10-'Tariffs Jan2021'!J10)*('Tariffs Jan2021'!P10/100)*'Tariffs Jan2021'!AI10))</f>
        <v>140.72727272727272</v>
      </c>
      <c r="G16" s="59">
        <f>IF($C$5*'Tariffs Jan2021'!AK10/'Tariffs Jan2021'!AI10&lt;'Tariffs Jan2021'!K10,0,IF($C$5*'Tariffs Jan2021'!AK10/'Tariffs Jan2021'!AI10&lt;='Tariffs Jan2021'!L10,($C$5*'Tariffs Jan2021'!AK10/'Tariffs Jan2021'!AI10-'Tariffs Jan2021'!K10)*('Tariffs Jan2021'!Q10/100)*'Tariffs Jan2021'!AI10,('Tariffs Jan2021'!L10-'Tariffs Jan2021'!K10)*('Tariffs Jan2021'!Q10/100)*'Tariffs Jan2021'!AI10))</f>
        <v>0</v>
      </c>
      <c r="H16" s="59">
        <f>IF($C$5*'Tariffs Jan2021'!AK10/'Tariffs Jan2021'!AI10&lt;'Tariffs Jan2021'!L10,0,IF($C$5*'Tariffs Jan2021'!AK10/'Tariffs Jan2021'!AI10&lt;='Tariffs Jan2021'!M10,($C$5*'Tariffs Jan2021'!AK10/'Tariffs Jan2021'!AI10-'Tariffs Jan2021'!L10)*('Tariffs Jan2021'!R10/100)*'Tariffs Jan2021'!AI10,('Tariffs Jan2021'!M10-'Tariffs Jan2021'!L10)*('Tariffs Jan2021'!R10/100)*'Tariffs Jan2021'!AI10))</f>
        <v>0</v>
      </c>
      <c r="I16" s="59">
        <f>IF(($C$5*'Tariffs Jan2021'!AK10/'Tariffs Jan2021'!AI10&gt;'Tariffs Jan2021'!M10),($C$5*'Tariffs Jan2021'!AK10/'Tariffs Jan2021'!AI10-'Tariffs Jan2021'!M10)*'Tariffs Jan2021'!S10/100*'Tariffs Jan2021'!AI10,0)</f>
        <v>52.36363636363636</v>
      </c>
      <c r="J16" s="59">
        <f>IF($C$5*'Tariffs Jan2021'!AL10/'Tariffs Jan2021'!AJ10&gt;='Tariffs Jan2021'!J10,('Tariffs Jan2021'!J10*'Tariffs Jan2021'!U10/100)* 'Tariffs Jan2021'!AJ10,($C$5*'Tariffs Jan2021'!AL10/'Tariffs Jan2021'!AJ10*'Tariffs Jan2021'!U10/100)* 'Tariffs Jan2021'!AJ10)</f>
        <v>317.45454545454538</v>
      </c>
      <c r="K16" s="59">
        <f>IF($C$5*'Tariffs Jan2021'!AL10/'Tariffs Jan2021'!AJ10&lt;'Tariffs Jan2021'!J10,0,IF($C$5*'Tariffs Jan2021'!AL10/'Tariffs Jan2021'!AJ10&lt;='Tariffs Jan2021'!K10,($C$5*'Tariffs Jan2021'!AL10/'Tariffs Jan2021'!AJ10-'Tariffs Jan2021'!J10)*('Tariffs Jan2021'!V10/100)*'Tariffs Jan2021'!AJ10,('Tariffs Jan2021'!K10-'Tariffs Jan2021'!J10)*('Tariffs Jan2021'!V10/100)*'Tariffs Jan2021'!AJ10))</f>
        <v>125.99999999999997</v>
      </c>
      <c r="L16" s="59">
        <f>IF($C$5*'Tariffs Jan2021'!AL10/'Tariffs Jan2021'!AJ10&lt;'Tariffs Jan2021'!K10,0,IF($C$5*'Tariffs Jan2021'!AL10/'Tariffs Jan2021'!AJ10&lt;='Tariffs Jan2021'!L10,($C$5*'Tariffs Jan2021'!AL10/'Tariffs Jan2021'!AJ10-'Tariffs Jan2021'!K10)*('Tariffs Jan2021'!W10/100)*'Tariffs Jan2021'!AJ10,('Tariffs Jan2021'!L10-'Tariffs Jan2021'!K10)*('Tariffs Jan2021'!W10/100)*'Tariffs Jan2021'!AJ10))</f>
        <v>0</v>
      </c>
      <c r="M16" s="59">
        <f>IF($C$5*'Tariffs Jan2021'!AL10/'Tariffs Jan2021'!AJ10&lt;'Tariffs Jan2021'!L10,0,IF($C$5*'Tariffs Jan2021'!AL10/'Tariffs Jan2021'!AJ10&lt;='Tariffs Jan2021'!M10,($C$5*'Tariffs Jan2021'!AL10/'Tariffs Jan2021'!AJ10-'Tariffs Jan2021'!L10)*('Tariffs Jan2021'!X10/100)*'Tariffs Jan2021'!AJ10,('Tariffs Jan2021'!M10-'Tariffs Jan2021'!L10)*('Tariffs Jan2021'!X10/100)*'Tariffs Jan2021'!AJ10))</f>
        <v>0</v>
      </c>
      <c r="N16" s="59">
        <f>IF(($C$5*'Tariffs Jan2021'!AL10/'Tariffs Jan2021'!AJ10&gt;'Tariffs Jan2021'!M10),($C$5*'Tariffs Jan2021'!AL10/'Tariffs Jan2021'!AJ10-'Tariffs Jan2021'!M10)*'Tariffs Jan2021'!Y10/100*'Tariffs Jan2021'!AJ10,0)</f>
        <v>48.68181818181818</v>
      </c>
      <c r="O16" s="59">
        <f t="shared" si="1"/>
        <v>1032.1363636363635</v>
      </c>
      <c r="P16" s="503">
        <f t="shared" si="2"/>
        <v>1135.3499999999999</v>
      </c>
      <c r="Q16" s="59">
        <f t="shared" si="3"/>
        <v>1236.3372727272726</v>
      </c>
      <c r="R16" s="272">
        <f t="shared" si="4"/>
        <v>1359.971</v>
      </c>
      <c r="S16" s="40">
        <f>'Tariffs Jan2021'!AN10</f>
        <v>0</v>
      </c>
      <c r="T16" s="40">
        <f>'Tariffs Jan2021'!AO10</f>
        <v>0</v>
      </c>
      <c r="U16" s="40">
        <f>'Tariffs Jan2021'!AP10</f>
        <v>0</v>
      </c>
      <c r="V16" s="40">
        <f>'Tariffs Jan2021'!AQ10</f>
        <v>0</v>
      </c>
      <c r="W16" s="537" t="str">
        <f t="shared" si="5"/>
        <v>No discount</v>
      </c>
      <c r="X16" s="538" t="str">
        <f t="shared" si="6"/>
        <v>Inclusive</v>
      </c>
      <c r="Y16" s="534">
        <f>IF(AND(W16="Guaranteed off bill",X16="Inclusive"),((Q16*1.1)-((Q16*1.1)*S16/100))/1.1,IF(AND(W16="Guaranteed off usage",X16="Inclusive"),((Q16*1.1)-((P16*1.1)*T16/100))/1.1,IF(AND(W16="Guaranteed off bill",X16="Exclusive"),Q16-(Q16*S16/100),IF(AND(W16="Guaranteed off usage",X16="Exclusive"),Q16-(P16*T16/100),IF(X16="Inclusive",((Q16*1.1))/1.1,Q16)))))</f>
        <v>1236.3372727272726</v>
      </c>
      <c r="Z16" s="535">
        <f>IF(AND(W16="Pay-on-time off bill",X16="Inclusive"),((Y16*1.1)-((Y16*1.1)*U16/100))/1.1,IF(AND(W16="Pay-on-time off usage",X16="Inclusive"),((Y16*1.1)-((P16*1.1)*V16/100))/1.1,IF(AND(W16="Pay-on-time off bill",X16="Exclusive"),Y16-(Y16*U16/100),IF(AND(W16="Pay-on-time off usage",X16="Exclusive"),Y16-(P16*V16/100),IF(X16="Inclusive",((Y16*1.1))/1.1,Y16)))))</f>
        <v>1236.3372727272726</v>
      </c>
      <c r="AA16" s="542">
        <f t="shared" si="0"/>
        <v>1359.971</v>
      </c>
      <c r="AB16" s="542">
        <f t="shared" si="0"/>
        <v>1359.971</v>
      </c>
      <c r="AC16" s="274">
        <f>'Tariffs Jan2021'!AZ10</f>
        <v>0</v>
      </c>
      <c r="AD16" s="274" t="str">
        <f>'Tariffs Jan2021'!BA10</f>
        <v>n</v>
      </c>
      <c r="AE16" s="275" t="str">
        <f>'Tariffs Jan2021'!BJ10</f>
        <v>N</v>
      </c>
      <c r="AF16" s="516"/>
      <c r="AG16" s="516"/>
      <c r="AH16" s="516"/>
      <c r="AI16" s="516"/>
      <c r="AJ16" s="516"/>
      <c r="AK16" s="516"/>
      <c r="AL16" s="516"/>
      <c r="AM16" s="516"/>
      <c r="AN16" s="516"/>
      <c r="AO16" s="516"/>
      <c r="AP16" s="516"/>
      <c r="AQ16" s="516"/>
      <c r="AR16" s="516"/>
      <c r="AS16" s="516"/>
      <c r="AT16" s="516"/>
      <c r="AU16" s="516"/>
      <c r="AV16" s="516"/>
      <c r="AW16" s="516"/>
      <c r="AX16" s="516"/>
      <c r="AY16" s="516"/>
      <c r="AZ16" s="516"/>
    </row>
    <row r="17" spans="1:52" ht="14" x14ac:dyDescent="0.15">
      <c r="A17" s="270" t="str">
        <f>'Tariffs Jan2021'!F11</f>
        <v>Red Energy</v>
      </c>
      <c r="B17" s="40" t="str">
        <f>'Tariffs Jan2021'!D11</f>
        <v>Multinet Metro 1</v>
      </c>
      <c r="C17" s="40" t="str">
        <f>'Tariffs Jan2021'!G11</f>
        <v>Living Energy Saver</v>
      </c>
      <c r="D17" s="59">
        <f>365*'Tariffs Jan2021'!H11/100</f>
        <v>239.14136363636356</v>
      </c>
      <c r="E17" s="59">
        <f>IF($C$5*'Tariffs Jan2021'!AK11/'Tariffs Jan2021'!AI11&gt;='Tariffs Jan2021'!J11,( 'Tariffs Jan2021'!J11*'Tariffs Jan2021'!O11/100)* 'Tariffs Jan2021'!AI11,($C$5*'Tariffs Jan2021'!AK11/'Tariffs Jan2021'!AI11*'Tariffs Jan2021'!O11/100)* 'Tariffs Jan2021'!AI11)</f>
        <v>185.72727272727269</v>
      </c>
      <c r="F17" s="59">
        <f>IF($C$5*'Tariffs Jan2021'!AK11/'Tariffs Jan2021'!AI11&lt;'Tariffs Jan2021'!J11,0,IF($C$5*'Tariffs Jan2021'!AK11/'Tariffs Jan2021'!AI11&lt;='Tariffs Jan2021'!K11,($C$5*'Tariffs Jan2021'!AK11/'Tariffs Jan2021'!AI11-'Tariffs Jan2021'!J11)*('Tariffs Jan2021'!P11/100)*'Tariffs Jan2021'!AI11,('Tariffs Jan2021'!K11-'Tariffs Jan2021'!J11)*('Tariffs Jan2021'!P11/100)*'Tariffs Jan2021'!AI11))</f>
        <v>174.27272727272725</v>
      </c>
      <c r="G17" s="59">
        <f>IF($C$5*'Tariffs Jan2021'!AK11/'Tariffs Jan2021'!AI11&lt;'Tariffs Jan2021'!K11,0,IF($C$5*'Tariffs Jan2021'!AK11/'Tariffs Jan2021'!AI11&lt;='Tariffs Jan2021'!L11,($C$5*'Tariffs Jan2021'!AK11/'Tariffs Jan2021'!AI11-'Tariffs Jan2021'!K11)*('Tariffs Jan2021'!Q11/100)*'Tariffs Jan2021'!AI11,('Tariffs Jan2021'!L11-'Tariffs Jan2021'!K11)*('Tariffs Jan2021'!Q11/100)*'Tariffs Jan2021'!AI11))</f>
        <v>153.81818181818178</v>
      </c>
      <c r="H17" s="59">
        <f>IF($C$5*'Tariffs Jan2021'!AK11/'Tariffs Jan2021'!AI11&lt;'Tariffs Jan2021'!L11,0,IF($C$5*'Tariffs Jan2021'!AK11/'Tariffs Jan2021'!AI11&lt;='Tariffs Jan2021'!M11,($C$5*'Tariffs Jan2021'!AK11/'Tariffs Jan2021'!AI11-'Tariffs Jan2021'!L11)*('Tariffs Jan2021'!R11/100)*'Tariffs Jan2021'!AI11,('Tariffs Jan2021'!M11-'Tariffs Jan2021'!L11)*('Tariffs Jan2021'!R11/100)*'Tariffs Jan2021'!AI11))</f>
        <v>72.818181818181813</v>
      </c>
      <c r="I17" s="59">
        <f>IF(($C$5*'Tariffs Jan2021'!AK11/'Tariffs Jan2021'!AI11&gt;'Tariffs Jan2021'!M11),($C$5*'Tariffs Jan2021'!AK11/'Tariffs Jan2021'!AI11-'Tariffs Jan2021'!M11)*'Tariffs Jan2021'!S11/100*'Tariffs Jan2021'!AI11,0)</f>
        <v>0</v>
      </c>
      <c r="J17" s="59">
        <f>IF($C$5*'Tariffs Jan2021'!AL11/'Tariffs Jan2021'!AJ11&gt;='Tariffs Jan2021'!J11,('Tariffs Jan2021'!J11*'Tariffs Jan2021'!U11/100)* 'Tariffs Jan2021'!AJ11,($C$5*'Tariffs Jan2021'!AL11/'Tariffs Jan2021'!AJ11*'Tariffs Jan2021'!U11/100)* 'Tariffs Jan2021'!AJ11)</f>
        <v>176.72727272727272</v>
      </c>
      <c r="K17" s="59">
        <f>IF($C$5*'Tariffs Jan2021'!AL11/'Tariffs Jan2021'!AJ11&lt;'Tariffs Jan2021'!J11,0,IF($C$5*'Tariffs Jan2021'!AL11/'Tariffs Jan2021'!AJ11&lt;='Tariffs Jan2021'!K11,($C$5*'Tariffs Jan2021'!AL11/'Tariffs Jan2021'!AJ11-'Tariffs Jan2021'!J11)*('Tariffs Jan2021'!V11/100)*'Tariffs Jan2021'!AJ11,('Tariffs Jan2021'!K11-'Tariffs Jan2021'!J11)*('Tariffs Jan2021'!V11/100)*'Tariffs Jan2021'!AJ11))</f>
        <v>161.99999999999997</v>
      </c>
      <c r="L17" s="59">
        <f>IF($C$5*'Tariffs Jan2021'!AL11/'Tariffs Jan2021'!AJ11&lt;'Tariffs Jan2021'!K11,0,IF($C$5*'Tariffs Jan2021'!AL11/'Tariffs Jan2021'!AJ11&lt;='Tariffs Jan2021'!L11,($C$5*'Tariffs Jan2021'!AL11/'Tariffs Jan2021'!AJ11-'Tariffs Jan2021'!K11)*('Tariffs Jan2021'!W11/100)*'Tariffs Jan2021'!AJ11,('Tariffs Jan2021'!L11-'Tariffs Jan2021'!K11)*('Tariffs Jan2021'!W11/100)*'Tariffs Jan2021'!AJ11))</f>
        <v>145.63636363636363</v>
      </c>
      <c r="M17" s="59">
        <f>IF($C$5*'Tariffs Jan2021'!AL11/'Tariffs Jan2021'!AJ11&lt;'Tariffs Jan2021'!L11,0,IF($C$5*'Tariffs Jan2021'!AL11/'Tariffs Jan2021'!AJ11&lt;='Tariffs Jan2021'!M11,($C$5*'Tariffs Jan2021'!AL11/'Tariffs Jan2021'!AJ11-'Tariffs Jan2021'!L11)*('Tariffs Jan2021'!X11/100)*'Tariffs Jan2021'!AJ11,('Tariffs Jan2021'!M11-'Tariffs Jan2021'!L11)*('Tariffs Jan2021'!X11/100)*'Tariffs Jan2021'!AJ11))</f>
        <v>68.72727272727272</v>
      </c>
      <c r="N17" s="59">
        <f>IF(($C$5*'Tariffs Jan2021'!AL11/'Tariffs Jan2021'!AJ11&gt;'Tariffs Jan2021'!M11),($C$5*'Tariffs Jan2021'!AL11/'Tariffs Jan2021'!AJ11-'Tariffs Jan2021'!M11)*'Tariffs Jan2021'!Y11/100*'Tariffs Jan2021'!AJ11,0)</f>
        <v>0</v>
      </c>
      <c r="O17" s="59">
        <f t="shared" si="1"/>
        <v>1139.7272727272727</v>
      </c>
      <c r="P17" s="503">
        <f t="shared" si="2"/>
        <v>1253.7</v>
      </c>
      <c r="Q17" s="59">
        <f t="shared" si="3"/>
        <v>1378.8686363636364</v>
      </c>
      <c r="R17" s="272">
        <f t="shared" si="4"/>
        <v>1516.7555000000002</v>
      </c>
      <c r="S17" s="40">
        <f>'Tariffs Jan2021'!AN11</f>
        <v>0</v>
      </c>
      <c r="T17" s="40">
        <f>'Tariffs Jan2021'!AO11</f>
        <v>0</v>
      </c>
      <c r="U17" s="40">
        <f>'Tariffs Jan2021'!AP11</f>
        <v>0</v>
      </c>
      <c r="V17" s="40">
        <f>'Tariffs Jan2021'!AQ11</f>
        <v>0</v>
      </c>
      <c r="W17" s="537" t="str">
        <f t="shared" si="5"/>
        <v>No discount</v>
      </c>
      <c r="X17" s="538" t="str">
        <f t="shared" si="6"/>
        <v>Inclusive</v>
      </c>
      <c r="Y17" s="534">
        <f t="shared" ref="Y17:Y20" si="13">IF(AND(W17="Guaranteed off bill",X17="Inclusive"),((Q17*1.1)-((Q17*1.1)*S17/100))/1.1,IF(AND(W17="Guaranteed off usage",X17="Inclusive"),((Q17*1.1)-((P17*1.1)*T17/100))/1.1,IF(AND(W17="Guaranteed off bill",X17="Exclusive"),Q17-(Q17*S17/100),IF(AND(W17="Guaranteed off usage",X17="Exclusive"),Q17-(P17*T17/100),IF(X17="Inclusive",((Q17*1.1))/1.1,Q17)))))</f>
        <v>1378.8686363636364</v>
      </c>
      <c r="Z17" s="535">
        <f t="shared" ref="Z17:Z20" si="14">IF(AND(W17="Pay-on-time off bill",X17="Inclusive"),((Y17*1.1)-((Y17*1.1)*U17/100))/1.1,IF(AND(W17="Pay-on-time off usage",X17="Inclusive"),((Y17*1.1)-((P17*1.1)*V17/100))/1.1,IF(AND(W17="Pay-on-time off bill",X17="Exclusive"),Y17-(Y17*U17/100),IF(AND(W17="Pay-on-time off usage",X17="Exclusive"),Y17-(P17*V17/100),IF(X17="Inclusive",((Y17*1.1))/1.1,Y17)))))</f>
        <v>1378.8686363636364</v>
      </c>
      <c r="AA17" s="542">
        <f t="shared" si="0"/>
        <v>1516.7555000000002</v>
      </c>
      <c r="AB17" s="542">
        <f t="shared" si="0"/>
        <v>1516.7555000000002</v>
      </c>
      <c r="AC17" s="274">
        <f>'Tariffs Jan2021'!AZ11</f>
        <v>0</v>
      </c>
      <c r="AD17" s="274" t="str">
        <f>'Tariffs Jan2021'!BA11</f>
        <v>n</v>
      </c>
      <c r="AE17" s="275" t="str">
        <f>'Tariffs Jan2021'!BJ11</f>
        <v>N</v>
      </c>
      <c r="AF17" s="516"/>
      <c r="AG17" s="516"/>
      <c r="AH17" s="516"/>
      <c r="AI17" s="516"/>
      <c r="AJ17" s="516"/>
      <c r="AK17" s="516"/>
      <c r="AL17" s="516"/>
      <c r="AM17" s="516"/>
      <c r="AN17" s="516"/>
      <c r="AO17" s="516"/>
      <c r="AP17" s="516"/>
      <c r="AQ17" s="516"/>
      <c r="AR17" s="516"/>
      <c r="AS17" s="516"/>
      <c r="AT17" s="516"/>
      <c r="AU17" s="516"/>
      <c r="AV17" s="516"/>
      <c r="AW17" s="516"/>
      <c r="AX17" s="516"/>
      <c r="AY17" s="516"/>
      <c r="AZ17" s="516"/>
    </row>
    <row r="18" spans="1:52" ht="14" x14ac:dyDescent="0.15">
      <c r="A18" s="270" t="str">
        <f>'Tariffs Jan2021'!F12</f>
        <v>Simply Energy</v>
      </c>
      <c r="B18" s="40" t="str">
        <f>'Tariffs Jan2021'!D12</f>
        <v>Multinet Metro 1</v>
      </c>
      <c r="C18" s="40" t="str">
        <f>'Tariffs Jan2021'!G12</f>
        <v>Blue</v>
      </c>
      <c r="D18" s="59">
        <f>365*'Tariffs Jan2021'!H12/100</f>
        <v>305.40545454545457</v>
      </c>
      <c r="E18" s="59">
        <f>IF($C$5*'Tariffs Jan2021'!AK12/'Tariffs Jan2021'!AI12&gt;='Tariffs Jan2021'!J12,( 'Tariffs Jan2021'!J12*'Tariffs Jan2021'!O12/100)* 'Tariffs Jan2021'!AI12,($C$5*'Tariffs Jan2021'!AK12/'Tariffs Jan2021'!AI12*'Tariffs Jan2021'!O12/100)* 'Tariffs Jan2021'!AI12)</f>
        <v>222.3</v>
      </c>
      <c r="F18" s="59">
        <f>IF($C$5*'Tariffs Jan2021'!AK12/'Tariffs Jan2021'!AI12&lt;'Tariffs Jan2021'!J12,0,IF($C$5*'Tariffs Jan2021'!AK12/'Tariffs Jan2021'!AI12&lt;='Tariffs Jan2021'!K12,($C$5*'Tariffs Jan2021'!AK12/'Tariffs Jan2021'!AI12-'Tariffs Jan2021'!J12)*('Tariffs Jan2021'!P12/100)*'Tariffs Jan2021'!AI12,('Tariffs Jan2021'!K12-'Tariffs Jan2021'!J12)*('Tariffs Jan2021'!P12/100)*'Tariffs Jan2021'!AI12))</f>
        <v>192.60000000000002</v>
      </c>
      <c r="G18" s="59">
        <f>IF($C$5*'Tariffs Jan2021'!AK12/'Tariffs Jan2021'!AI12&lt;'Tariffs Jan2021'!K12,0,IF($C$5*'Tariffs Jan2021'!AK12/'Tariffs Jan2021'!AI12&lt;='Tariffs Jan2021'!L12,($C$5*'Tariffs Jan2021'!AK12/'Tariffs Jan2021'!AI12-'Tariffs Jan2021'!K12)*('Tariffs Jan2021'!Q12/100)*'Tariffs Jan2021'!AI12,('Tariffs Jan2021'!L12-'Tariffs Jan2021'!K12)*('Tariffs Jan2021'!Q12/100)*'Tariffs Jan2021'!AI12))</f>
        <v>162.9</v>
      </c>
      <c r="H18" s="59">
        <f>IF($C$5*'Tariffs Jan2021'!AK12/'Tariffs Jan2021'!AI12&lt;'Tariffs Jan2021'!L12,0,IF($C$5*'Tariffs Jan2021'!AK12/'Tariffs Jan2021'!AI12&lt;='Tariffs Jan2021'!M12,($C$5*'Tariffs Jan2021'!AK12/'Tariffs Jan2021'!AI12-'Tariffs Jan2021'!L12)*('Tariffs Jan2021'!R12/100)*'Tariffs Jan2021'!AI12,('Tariffs Jan2021'!M12-'Tariffs Jan2021'!L12)*('Tariffs Jan2021'!R12/100)*'Tariffs Jan2021'!AI12))</f>
        <v>73.8</v>
      </c>
      <c r="I18" s="59">
        <f>IF(($C$5*'Tariffs Jan2021'!AK12/'Tariffs Jan2021'!AI12&gt;'Tariffs Jan2021'!M12),($C$5*'Tariffs Jan2021'!AK12/'Tariffs Jan2021'!AI12-'Tariffs Jan2021'!M12)*'Tariffs Jan2021'!S12/100*'Tariffs Jan2021'!AI12,0)</f>
        <v>0</v>
      </c>
      <c r="J18" s="59">
        <f>IF($C$5*'Tariffs Jan2021'!AL12/'Tariffs Jan2021'!AJ12&gt;='Tariffs Jan2021'!J12,('Tariffs Jan2021'!J12*'Tariffs Jan2021'!U12/100)* 'Tariffs Jan2021'!AJ12,($C$5*'Tariffs Jan2021'!AL12/'Tariffs Jan2021'!AJ12*'Tariffs Jan2021'!U12/100)* 'Tariffs Jan2021'!AJ12)</f>
        <v>210.27272727272725</v>
      </c>
      <c r="K18" s="59">
        <f>IF($C$5*'Tariffs Jan2021'!AL12/'Tariffs Jan2021'!AJ12&lt;'Tariffs Jan2021'!J12,0,IF($C$5*'Tariffs Jan2021'!AL12/'Tariffs Jan2021'!AJ12&lt;='Tariffs Jan2021'!K12,($C$5*'Tariffs Jan2021'!AL12/'Tariffs Jan2021'!AJ12-'Tariffs Jan2021'!J12)*('Tariffs Jan2021'!V12/100)*'Tariffs Jan2021'!AJ12,('Tariffs Jan2021'!K12-'Tariffs Jan2021'!J12)*('Tariffs Jan2021'!V12/100)*'Tariffs Jan2021'!AJ12))</f>
        <v>183.27272727272728</v>
      </c>
      <c r="L18" s="59">
        <f>IF($C$5*'Tariffs Jan2021'!AL12/'Tariffs Jan2021'!AJ12&lt;'Tariffs Jan2021'!K12,0,IF($C$5*'Tariffs Jan2021'!AL12/'Tariffs Jan2021'!AJ12&lt;='Tariffs Jan2021'!L12,($C$5*'Tariffs Jan2021'!AL12/'Tariffs Jan2021'!AJ12-'Tariffs Jan2021'!K12)*('Tariffs Jan2021'!W12/100)*'Tariffs Jan2021'!AJ12,('Tariffs Jan2021'!L12-'Tariffs Jan2021'!K12)*('Tariffs Jan2021'!W12/100)*'Tariffs Jan2021'!AJ12))</f>
        <v>158.72727272727269</v>
      </c>
      <c r="M18" s="59">
        <f>IF($C$5*'Tariffs Jan2021'!AL12/'Tariffs Jan2021'!AJ12&lt;'Tariffs Jan2021'!L12,0,IF($C$5*'Tariffs Jan2021'!AL12/'Tariffs Jan2021'!AJ12&lt;='Tariffs Jan2021'!M12,($C$5*'Tariffs Jan2021'!AL12/'Tariffs Jan2021'!AJ12-'Tariffs Jan2021'!L12)*('Tariffs Jan2021'!X12/100)*'Tariffs Jan2021'!AJ12,('Tariffs Jan2021'!M12-'Tariffs Jan2021'!L12)*('Tariffs Jan2021'!X12/100)*'Tariffs Jan2021'!AJ12))</f>
        <v>72.409090909090907</v>
      </c>
      <c r="N18" s="59">
        <f>IF(($C$5*'Tariffs Jan2021'!AL12/'Tariffs Jan2021'!AJ12&gt;'Tariffs Jan2021'!M12),($C$5*'Tariffs Jan2021'!AL12/'Tariffs Jan2021'!AJ12-'Tariffs Jan2021'!M12)*'Tariffs Jan2021'!Y12/100*'Tariffs Jan2021'!AJ12,0)</f>
        <v>0</v>
      </c>
      <c r="O18" s="59">
        <f t="shared" si="1"/>
        <v>1276.2818181818184</v>
      </c>
      <c r="P18" s="503">
        <f t="shared" si="2"/>
        <v>1403.9100000000003</v>
      </c>
      <c r="Q18" s="59">
        <f t="shared" si="3"/>
        <v>1581.687272727273</v>
      </c>
      <c r="R18" s="272">
        <f t="shared" si="4"/>
        <v>1739.8560000000004</v>
      </c>
      <c r="S18" s="40">
        <f>'Tariffs Jan2021'!AN12</f>
        <v>21</v>
      </c>
      <c r="T18" s="40">
        <f>'Tariffs Jan2021'!AO12</f>
        <v>0</v>
      </c>
      <c r="U18" s="40">
        <f>'Tariffs Jan2021'!AP12</f>
        <v>0</v>
      </c>
      <c r="V18" s="40">
        <f>'Tariffs Jan2021'!AQ12</f>
        <v>0</v>
      </c>
      <c r="W18" s="537" t="str">
        <f t="shared" si="5"/>
        <v>Guaranteed off bill</v>
      </c>
      <c r="X18" s="538" t="str">
        <f t="shared" si="6"/>
        <v>Exclusive</v>
      </c>
      <c r="Y18" s="534">
        <f t="shared" si="13"/>
        <v>1249.5329454545458</v>
      </c>
      <c r="Z18" s="535">
        <f t="shared" si="14"/>
        <v>1249.5329454545458</v>
      </c>
      <c r="AA18" s="542">
        <f t="shared" si="0"/>
        <v>1374.4862400000004</v>
      </c>
      <c r="AB18" s="542">
        <f t="shared" si="0"/>
        <v>1374.4862400000004</v>
      </c>
      <c r="AC18" s="274">
        <f>'Tariffs Jan2021'!AZ12</f>
        <v>0</v>
      </c>
      <c r="AD18" s="274" t="str">
        <f>'Tariffs Jan2021'!BA12</f>
        <v>n</v>
      </c>
      <c r="AE18" s="275" t="str">
        <f>'Tariffs Jan2021'!BJ12</f>
        <v>N</v>
      </c>
      <c r="AF18" s="516"/>
      <c r="AG18" s="516"/>
      <c r="AH18" s="516"/>
      <c r="AI18" s="516"/>
      <c r="AJ18" s="516"/>
      <c r="AK18" s="516"/>
      <c r="AL18" s="516"/>
      <c r="AM18" s="516"/>
      <c r="AN18" s="516"/>
      <c r="AO18" s="516"/>
      <c r="AP18" s="516"/>
      <c r="AQ18" s="516"/>
      <c r="AR18" s="516"/>
      <c r="AS18" s="516"/>
      <c r="AT18" s="516"/>
      <c r="AU18" s="516"/>
      <c r="AV18" s="516"/>
      <c r="AW18" s="516"/>
      <c r="AX18" s="516"/>
      <c r="AY18" s="516"/>
      <c r="AZ18" s="516"/>
    </row>
    <row r="19" spans="1:52" ht="14" x14ac:dyDescent="0.15">
      <c r="A19" s="270" t="str">
        <f>'Tariffs Jan2021'!F13</f>
        <v>Sumo Power</v>
      </c>
      <c r="B19" s="40" t="str">
        <f>'Tariffs Jan2021'!D13</f>
        <v>Multinet Metro 1</v>
      </c>
      <c r="C19" s="40" t="str">
        <f>'Tariffs Jan2021'!G13</f>
        <v>Freedom</v>
      </c>
      <c r="D19" s="59">
        <f>365*'Tariffs Jan2021'!H13/100</f>
        <v>266.45</v>
      </c>
      <c r="E19" s="59">
        <f>IF($C$5*'Tariffs Jan2021'!AK13/'Tariffs Jan2021'!AI13&gt;='Tariffs Jan2021'!J13,( 'Tariffs Jan2021'!J13*'Tariffs Jan2021'!O13/100)* 'Tariffs Jan2021'!AI13,($C$5*'Tariffs Jan2021'!AK13/'Tariffs Jan2021'!AI13*'Tariffs Jan2021'!O13/100)* 'Tariffs Jan2021'!AI13)</f>
        <v>201.27272727272728</v>
      </c>
      <c r="F19" s="59">
        <f>IF($C$5*'Tariffs Jan2021'!AK13/'Tariffs Jan2021'!AI13&lt;'Tariffs Jan2021'!J13,0,IF($C$5*'Tariffs Jan2021'!AK13/'Tariffs Jan2021'!AI13&lt;='Tariffs Jan2021'!K13,($C$5*'Tariffs Jan2021'!AK13/'Tariffs Jan2021'!AI13-'Tariffs Jan2021'!J13)*('Tariffs Jan2021'!P13/100)*'Tariffs Jan2021'!AI13,('Tariffs Jan2021'!K13-'Tariffs Jan2021'!J13)*('Tariffs Jan2021'!P13/100)*'Tariffs Jan2021'!AI13))</f>
        <v>172.6363636363636</v>
      </c>
      <c r="G19" s="59">
        <f>IF($C$5*'Tariffs Jan2021'!AK13/'Tariffs Jan2021'!AI13&lt;'Tariffs Jan2021'!K13,0,IF($C$5*'Tariffs Jan2021'!AK13/'Tariffs Jan2021'!AI13&lt;='Tariffs Jan2021'!L13,($C$5*'Tariffs Jan2021'!AK13/'Tariffs Jan2021'!AI13-'Tariffs Jan2021'!K13)*('Tariffs Jan2021'!Q13/100)*'Tariffs Jan2021'!AI13,('Tariffs Jan2021'!L13-'Tariffs Jan2021'!K13)*('Tariffs Jan2021'!Q13/100)*'Tariffs Jan2021'!AI13))</f>
        <v>144.81818181818181</v>
      </c>
      <c r="H19" s="59">
        <f>IF($C$5*'Tariffs Jan2021'!AK13/'Tariffs Jan2021'!AI13&lt;'Tariffs Jan2021'!L13,0,IF($C$5*'Tariffs Jan2021'!AK13/'Tariffs Jan2021'!AI13&lt;='Tariffs Jan2021'!M13,($C$5*'Tariffs Jan2021'!AK13/'Tariffs Jan2021'!AI13-'Tariffs Jan2021'!L13)*('Tariffs Jan2021'!R13/100)*'Tariffs Jan2021'!AI13,('Tariffs Jan2021'!M13-'Tariffs Jan2021'!L13)*('Tariffs Jan2021'!R13/100)*'Tariffs Jan2021'!AI13))</f>
        <v>62.999999999999986</v>
      </c>
      <c r="I19" s="59">
        <f>IF(($C$5*'Tariffs Jan2021'!AK13/'Tariffs Jan2021'!AI13&gt;'Tariffs Jan2021'!M13),($C$5*'Tariffs Jan2021'!AK13/'Tariffs Jan2021'!AI13-'Tariffs Jan2021'!M13)*'Tariffs Jan2021'!S13/100*'Tariffs Jan2021'!AI13,0)</f>
        <v>0</v>
      </c>
      <c r="J19" s="59">
        <f>IF($C$5*'Tariffs Jan2021'!AL13/'Tariffs Jan2021'!AJ13&gt;='Tariffs Jan2021'!J13,('Tariffs Jan2021'!J13*'Tariffs Jan2021'!U13/100)* 'Tariffs Jan2021'!AJ13,($C$5*'Tariffs Jan2021'!AL13/'Tariffs Jan2021'!AJ13*'Tariffs Jan2021'!U13/100)* 'Tariffs Jan2021'!AJ13)</f>
        <v>178.36363636363637</v>
      </c>
      <c r="K19" s="59">
        <f>IF($C$5*'Tariffs Jan2021'!AL13/'Tariffs Jan2021'!AJ13&lt;'Tariffs Jan2021'!J13,0,IF($C$5*'Tariffs Jan2021'!AL13/'Tariffs Jan2021'!AJ13&lt;='Tariffs Jan2021'!K13,($C$5*'Tariffs Jan2021'!AL13/'Tariffs Jan2021'!AJ13-'Tariffs Jan2021'!J13)*('Tariffs Jan2021'!V13/100)*'Tariffs Jan2021'!AJ13,('Tariffs Jan2021'!K13-'Tariffs Jan2021'!J13)*('Tariffs Jan2021'!V13/100)*'Tariffs Jan2021'!AJ13))</f>
        <v>154.63636363636363</v>
      </c>
      <c r="L19" s="59">
        <f>IF($C$5*'Tariffs Jan2021'!AL13/'Tariffs Jan2021'!AJ13&lt;'Tariffs Jan2021'!K13,0,IF($C$5*'Tariffs Jan2021'!AL13/'Tariffs Jan2021'!AJ13&lt;='Tariffs Jan2021'!L13,($C$5*'Tariffs Jan2021'!AL13/'Tariffs Jan2021'!AJ13-'Tariffs Jan2021'!K13)*('Tariffs Jan2021'!W13/100)*'Tariffs Jan2021'!AJ13,('Tariffs Jan2021'!L13-'Tariffs Jan2021'!K13)*('Tariffs Jan2021'!W13/100)*'Tariffs Jan2021'!AJ13))</f>
        <v>121.90909090909091</v>
      </c>
      <c r="M19" s="59">
        <f>IF($C$5*'Tariffs Jan2021'!AL13/'Tariffs Jan2021'!AJ13&lt;'Tariffs Jan2021'!L13,0,IF($C$5*'Tariffs Jan2021'!AL13/'Tariffs Jan2021'!AJ13&lt;='Tariffs Jan2021'!M13,($C$5*'Tariffs Jan2021'!AL13/'Tariffs Jan2021'!AJ13-'Tariffs Jan2021'!L13)*('Tariffs Jan2021'!X13/100)*'Tariffs Jan2021'!AJ13,('Tariffs Jan2021'!M13-'Tariffs Jan2021'!L13)*('Tariffs Jan2021'!X13/100)*'Tariffs Jan2021'!AJ13))</f>
        <v>58.499999999999986</v>
      </c>
      <c r="N19" s="59">
        <f>IF(($C$5*'Tariffs Jan2021'!AL13/'Tariffs Jan2021'!AJ13&gt;'Tariffs Jan2021'!M13),($C$5*'Tariffs Jan2021'!AL13/'Tariffs Jan2021'!AJ13-'Tariffs Jan2021'!M13)*'Tariffs Jan2021'!Y13/100*'Tariffs Jan2021'!AJ13,0)</f>
        <v>0</v>
      </c>
      <c r="O19" s="59">
        <f t="shared" si="1"/>
        <v>1095.1363636363637</v>
      </c>
      <c r="P19" s="503">
        <f t="shared" si="2"/>
        <v>1204.6500000000003</v>
      </c>
      <c r="Q19" s="59">
        <f t="shared" si="3"/>
        <v>1361.5863636363638</v>
      </c>
      <c r="R19" s="272">
        <f t="shared" si="4"/>
        <v>1497.7450000000003</v>
      </c>
      <c r="S19" s="40">
        <f>'Tariffs Jan2021'!AN13</f>
        <v>0</v>
      </c>
      <c r="T19" s="40">
        <f>'Tariffs Jan2021'!AO13</f>
        <v>0</v>
      </c>
      <c r="U19" s="40">
        <f>'Tariffs Jan2021'!AP13</f>
        <v>0</v>
      </c>
      <c r="V19" s="40">
        <f>'Tariffs Jan2021'!AQ13</f>
        <v>0</v>
      </c>
      <c r="W19" s="537" t="str">
        <f t="shared" si="5"/>
        <v>No discount</v>
      </c>
      <c r="X19" s="538" t="str">
        <f t="shared" si="6"/>
        <v>Exclusive</v>
      </c>
      <c r="Y19" s="534">
        <f t="shared" si="13"/>
        <v>1361.5863636363638</v>
      </c>
      <c r="Z19" s="535">
        <f t="shared" si="14"/>
        <v>1361.5863636363638</v>
      </c>
      <c r="AA19" s="542">
        <f t="shared" si="0"/>
        <v>1497.7450000000003</v>
      </c>
      <c r="AB19" s="542">
        <f t="shared" si="0"/>
        <v>1497.7450000000003</v>
      </c>
      <c r="AC19" s="274">
        <f>'Tariffs Jan2021'!AZ13</f>
        <v>0</v>
      </c>
      <c r="AD19" s="274" t="str">
        <f>'Tariffs Jan2021'!BA13</f>
        <v>n</v>
      </c>
      <c r="AE19" s="275" t="str">
        <f>'Tariffs Jan2021'!BJ13</f>
        <v>Y</v>
      </c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</row>
    <row r="20" spans="1:52" ht="14" x14ac:dyDescent="0.15">
      <c r="A20" s="270" t="str">
        <f>'Tariffs Jan2021'!F14</f>
        <v>GloBird Energy</v>
      </c>
      <c r="B20" s="40" t="str">
        <f>'Tariffs Jan2021'!D14</f>
        <v>Multinet Metro 1</v>
      </c>
      <c r="C20" s="40" t="str">
        <f>'Tariffs Jan2021'!G14</f>
        <v>GloSave</v>
      </c>
      <c r="D20" s="59">
        <f>365*'Tariffs Jan2021'!H14/100</f>
        <v>229.94999999999996</v>
      </c>
      <c r="E20" s="59">
        <f>IF($C$5*'Tariffs Jan2021'!AK14/'Tariffs Jan2021'!AI14&gt;='Tariffs Jan2021'!J14,( 'Tariffs Jan2021'!J14*'Tariffs Jan2021'!O14/100)* 'Tariffs Jan2021'!AI14,($C$5*'Tariffs Jan2021'!AK14/'Tariffs Jan2021'!AI14*'Tariffs Jan2021'!O14/100)* 'Tariffs Jan2021'!AI14)</f>
        <v>333.81818181818181</v>
      </c>
      <c r="F20" s="59">
        <f>IF($C$5*'Tariffs Jan2021'!AK14/'Tariffs Jan2021'!AI14&lt;'Tariffs Jan2021'!J14,0,IF($C$5*'Tariffs Jan2021'!AK14/'Tariffs Jan2021'!AI14&lt;='Tariffs Jan2021'!K14,($C$5*'Tariffs Jan2021'!AK14/'Tariffs Jan2021'!AI14-'Tariffs Jan2021'!J14)*('Tariffs Jan2021'!P14/100)*'Tariffs Jan2021'!AI14,('Tariffs Jan2021'!K14-'Tariffs Jan2021'!J14)*('Tariffs Jan2021'!P14/100)*'Tariffs Jan2021'!AI14))</f>
        <v>0</v>
      </c>
      <c r="G20" s="59">
        <f>IF($C$5*'Tariffs Jan2021'!AK14/'Tariffs Jan2021'!AI14&lt;'Tariffs Jan2021'!K14,0,IF($C$5*'Tariffs Jan2021'!AK14/'Tariffs Jan2021'!AI14&lt;='Tariffs Jan2021'!L14,($C$5*'Tariffs Jan2021'!AK14/'Tariffs Jan2021'!AI14-'Tariffs Jan2021'!K14)*('Tariffs Jan2021'!Q14/100)*'Tariffs Jan2021'!AI14,('Tariffs Jan2021'!L14-'Tariffs Jan2021'!K14)*('Tariffs Jan2021'!Q14/100)*'Tariffs Jan2021'!AI14))</f>
        <v>0</v>
      </c>
      <c r="H20" s="59">
        <f>IF($C$5*'Tariffs Jan2021'!AK14/'Tariffs Jan2021'!AI14&lt;'Tariffs Jan2021'!L14,0,IF($C$5*'Tariffs Jan2021'!AK14/'Tariffs Jan2021'!AI14&lt;='Tariffs Jan2021'!M14,($C$5*'Tariffs Jan2021'!AK14/'Tariffs Jan2021'!AI14-'Tariffs Jan2021'!L14)*('Tariffs Jan2021'!R14/100)*'Tariffs Jan2021'!AI14,('Tariffs Jan2021'!M14-'Tariffs Jan2021'!L14)*('Tariffs Jan2021'!R14/100)*'Tariffs Jan2021'!AI14))</f>
        <v>0</v>
      </c>
      <c r="I20" s="59">
        <f>IF(($C$5*'Tariffs Jan2021'!AK14/'Tariffs Jan2021'!AI14&gt;'Tariffs Jan2021'!M14),($C$5*'Tariffs Jan2021'!AK14/'Tariffs Jan2021'!AI14-'Tariffs Jan2021'!M14)*'Tariffs Jan2021'!S14/100*'Tariffs Jan2021'!AI14,0)</f>
        <v>202.49999999999994</v>
      </c>
      <c r="J20" s="59">
        <f>IF($C$5*'Tariffs Jan2021'!AL14/'Tariffs Jan2021'!AJ14&gt;='Tariffs Jan2021'!J14,('Tariffs Jan2021'!J14*'Tariffs Jan2021'!U14/100)* 'Tariffs Jan2021'!AJ14,($C$5*'Tariffs Jan2021'!AL14/'Tariffs Jan2021'!AJ14*'Tariffs Jan2021'!U14/100)* 'Tariffs Jan2021'!AJ14)</f>
        <v>333.81818181818181</v>
      </c>
      <c r="K20" s="59">
        <f>IF($C$5*'Tariffs Jan2021'!AL14/'Tariffs Jan2021'!AJ14&lt;'Tariffs Jan2021'!J14,0,IF($C$5*'Tariffs Jan2021'!AL14/'Tariffs Jan2021'!AJ14&lt;='Tariffs Jan2021'!K14,($C$5*'Tariffs Jan2021'!AL14/'Tariffs Jan2021'!AJ14-'Tariffs Jan2021'!J14)*('Tariffs Jan2021'!V14/100)*'Tariffs Jan2021'!AJ14,('Tariffs Jan2021'!K14-'Tariffs Jan2021'!J14)*('Tariffs Jan2021'!V14/100)*'Tariffs Jan2021'!AJ14))</f>
        <v>0</v>
      </c>
      <c r="L20" s="59">
        <f>IF($C$5*'Tariffs Jan2021'!AL14/'Tariffs Jan2021'!AJ14&lt;'Tariffs Jan2021'!K14,0,IF($C$5*'Tariffs Jan2021'!AL14/'Tariffs Jan2021'!AJ14&lt;='Tariffs Jan2021'!L14,($C$5*'Tariffs Jan2021'!AL14/'Tariffs Jan2021'!AJ14-'Tariffs Jan2021'!K14)*('Tariffs Jan2021'!W14/100)*'Tariffs Jan2021'!AJ14,('Tariffs Jan2021'!L14-'Tariffs Jan2021'!K14)*('Tariffs Jan2021'!W14/100)*'Tariffs Jan2021'!AJ14))</f>
        <v>0</v>
      </c>
      <c r="M20" s="59">
        <f>IF($C$5*'Tariffs Jan2021'!AL14/'Tariffs Jan2021'!AJ14&lt;'Tariffs Jan2021'!L14,0,IF($C$5*'Tariffs Jan2021'!AL14/'Tariffs Jan2021'!AJ14&lt;='Tariffs Jan2021'!M14,($C$5*'Tariffs Jan2021'!AL14/'Tariffs Jan2021'!AJ14-'Tariffs Jan2021'!L14)*('Tariffs Jan2021'!X14/100)*'Tariffs Jan2021'!AJ14,('Tariffs Jan2021'!M14-'Tariffs Jan2021'!L14)*('Tariffs Jan2021'!X14/100)*'Tariffs Jan2021'!AJ14))</f>
        <v>0</v>
      </c>
      <c r="N20" s="59">
        <f>IF(($C$5*'Tariffs Jan2021'!AL14/'Tariffs Jan2021'!AJ14&gt;'Tariffs Jan2021'!M14),($C$5*'Tariffs Jan2021'!AL14/'Tariffs Jan2021'!AJ14-'Tariffs Jan2021'!M14)*'Tariffs Jan2021'!Y14/100*'Tariffs Jan2021'!AJ14,0)</f>
        <v>202.49999999999994</v>
      </c>
      <c r="O20" s="59">
        <f>SUM(E20:N20)</f>
        <v>1072.6363636363635</v>
      </c>
      <c r="P20" s="503">
        <f t="shared" si="2"/>
        <v>1179.8999999999999</v>
      </c>
      <c r="Q20" s="59">
        <f>D20+O20</f>
        <v>1302.5863636363636</v>
      </c>
      <c r="R20" s="272">
        <f t="shared" si="4"/>
        <v>1432.845</v>
      </c>
      <c r="S20" s="40">
        <f>'Tariffs Jan2021'!AN14</f>
        <v>0</v>
      </c>
      <c r="T20" s="40">
        <f>'Tariffs Jan2021'!AO14</f>
        <v>0</v>
      </c>
      <c r="U20" s="40">
        <f>'Tariffs Jan2021'!AP14</f>
        <v>0</v>
      </c>
      <c r="V20" s="40">
        <f>'Tariffs Jan2021'!AQ14</f>
        <v>0</v>
      </c>
      <c r="W20" s="537" t="str">
        <f t="shared" si="5"/>
        <v>No discount</v>
      </c>
      <c r="X20" s="538" t="str">
        <f t="shared" si="6"/>
        <v>Exclusive</v>
      </c>
      <c r="Y20" s="534">
        <f t="shared" si="13"/>
        <v>1302.5863636363636</v>
      </c>
      <c r="Z20" s="535">
        <f t="shared" si="14"/>
        <v>1302.5863636363636</v>
      </c>
      <c r="AA20" s="542">
        <f t="shared" si="0"/>
        <v>1432.845</v>
      </c>
      <c r="AB20" s="542">
        <f t="shared" si="0"/>
        <v>1432.845</v>
      </c>
      <c r="AC20" s="274">
        <f>'Tariffs Jan2021'!AZ14</f>
        <v>0</v>
      </c>
      <c r="AD20" s="274" t="str">
        <f>'Tariffs Jan2021'!BA14</f>
        <v>n</v>
      </c>
      <c r="AE20" s="275" t="str">
        <f>'Tariffs Jan2021'!BJ14</f>
        <v>N</v>
      </c>
      <c r="AF20" s="516"/>
      <c r="AG20" s="516"/>
      <c r="AH20" s="516"/>
      <c r="AI20" s="516"/>
      <c r="AJ20" s="516"/>
      <c r="AK20" s="516"/>
      <c r="AL20" s="516"/>
      <c r="AM20" s="516"/>
      <c r="AN20" s="516"/>
      <c r="AO20" s="516"/>
      <c r="AP20" s="516"/>
      <c r="AQ20" s="516"/>
      <c r="AR20" s="516"/>
      <c r="AS20" s="516"/>
      <c r="AT20" s="516"/>
      <c r="AU20" s="516"/>
      <c r="AV20" s="516"/>
      <c r="AW20" s="516"/>
      <c r="AX20" s="516"/>
      <c r="AY20" s="516"/>
      <c r="AZ20" s="516"/>
    </row>
    <row r="21" spans="1:52" ht="14" x14ac:dyDescent="0.15">
      <c r="A21" s="270" t="str">
        <f>'Tariffs Jan2021'!F15</f>
        <v>Powershop</v>
      </c>
      <c r="B21" s="40" t="str">
        <f>'Tariffs Jan2021'!D15</f>
        <v>Multinet Metro 1</v>
      </c>
      <c r="C21" s="40" t="str">
        <f>'Tariffs Jan2021'!G15</f>
        <v>Market offer</v>
      </c>
      <c r="D21" s="59">
        <f>365*'Tariffs Jan2021'!H15/100</f>
        <v>241.09909090909088</v>
      </c>
      <c r="E21" s="59">
        <f>((C$5*'Tariffs Jan2021'!AK15/'Tariffs Jan2021'!AI15)*('Tariffs Jan2021'!O15/100))*'Tariffs Jan2021'!AI15</f>
        <v>546.9545454545455</v>
      </c>
      <c r="F21" s="59">
        <v>0</v>
      </c>
      <c r="G21" s="59">
        <v>0</v>
      </c>
      <c r="H21" s="59">
        <v>0</v>
      </c>
      <c r="I21" s="59">
        <v>0</v>
      </c>
      <c r="J21" s="59">
        <f>((C$5*'Tariffs Jan2021'!AL15/'Tariffs Jan2021'!AJ15)*('Tariffs Jan2021'!U15/100))*'Tariffs Jan2021'!AJ15</f>
        <v>492.54545454545456</v>
      </c>
      <c r="K21" s="59">
        <v>0</v>
      </c>
      <c r="L21" s="59">
        <v>0</v>
      </c>
      <c r="M21" s="59">
        <v>0</v>
      </c>
      <c r="N21" s="59">
        <v>0</v>
      </c>
      <c r="O21" s="59">
        <f>SUM(E21:N21)</f>
        <v>1039.5</v>
      </c>
      <c r="P21" s="503">
        <f t="shared" si="2"/>
        <v>1143.45</v>
      </c>
      <c r="Q21" s="59">
        <f>D21+O21</f>
        <v>1280.5990909090908</v>
      </c>
      <c r="R21" s="272">
        <f t="shared" si="4"/>
        <v>1408.6590000000001</v>
      </c>
      <c r="S21" s="40">
        <f>'Tariffs Jan2021'!AN15</f>
        <v>0</v>
      </c>
      <c r="T21" s="40">
        <f>'Tariffs Jan2021'!AO15</f>
        <v>0</v>
      </c>
      <c r="U21" s="40">
        <f>'Tariffs Jan2021'!AP15</f>
        <v>0</v>
      </c>
      <c r="V21" s="40">
        <f>'Tariffs Jan2021'!AQ15</f>
        <v>0</v>
      </c>
      <c r="W21" s="537" t="str">
        <f t="shared" si="5"/>
        <v>No discount</v>
      </c>
      <c r="X21" s="538" t="str">
        <f t="shared" si="6"/>
        <v>Inclusive</v>
      </c>
      <c r="Y21" s="534">
        <f>IF(AND(W21="Guaranteed off bill",X21="Inclusive"),((Q21*1.1)-((Q21*1.1)*S21/100))/1.1,IF(AND(W21="Guaranteed off usage",X21="Inclusive"),((Q21*1.1)-((P21*1.1)*T21/100))/1.1,IF(AND(W21="Guaranteed off bill",X21="Exclusive"),Q21-(Q21*S21/100),IF(AND(W21="Guaranteed off usage",X21="Exclusive"),Q21-(P21*T21/100),IF(X21="Inclusive",((Q21*1.1))/1.1,Q21)))))</f>
        <v>1280.5990909090908</v>
      </c>
      <c r="Z21" s="535">
        <f>IF(AND(W21="Pay-on-time off bill",X21="Inclusive"),((Y21*1.1)-((Y21*1.1)*U21/100))/1.1,IF(AND(W21="Pay-on-time off usage",X21="Inclusive"),((Y21*1.1)-((P21*1.1)*V21/100))/1.1,IF(AND(W21="Pay-on-time off bill",X21="Exclusive"),Y21-(Y21*U21/100),IF(AND(W21="Pay-on-time off usage",X21="Exclusive"),Y21-(P21*V21/100),IF(X21="Inclusive",((Y21*1.1))/1.1,Y21)))))</f>
        <v>1280.5990909090908</v>
      </c>
      <c r="AA21" s="542">
        <f t="shared" si="0"/>
        <v>1408.6590000000001</v>
      </c>
      <c r="AB21" s="542">
        <f t="shared" si="0"/>
        <v>1408.6590000000001</v>
      </c>
      <c r="AC21" s="274">
        <f>'Tariffs Jan2021'!AZ15</f>
        <v>0</v>
      </c>
      <c r="AD21" s="274" t="str">
        <f>'Tariffs Jan2021'!BA15</f>
        <v>n</v>
      </c>
      <c r="AE21" s="275" t="str">
        <f>'Tariffs Jan2021'!BJ15</f>
        <v>Y</v>
      </c>
      <c r="AF21" s="516"/>
      <c r="AG21" s="516"/>
      <c r="AH21" s="516"/>
      <c r="AI21" s="516"/>
      <c r="AJ21" s="516"/>
      <c r="AK21" s="516"/>
      <c r="AL21" s="516"/>
      <c r="AM21" s="516"/>
      <c r="AN21" s="516"/>
      <c r="AO21" s="516"/>
      <c r="AP21" s="516"/>
      <c r="AQ21" s="516"/>
      <c r="AR21" s="516"/>
      <c r="AS21" s="516"/>
      <c r="AT21" s="516"/>
      <c r="AU21" s="516"/>
      <c r="AV21" s="516"/>
      <c r="AW21" s="516"/>
      <c r="AX21" s="516"/>
      <c r="AY21" s="516"/>
      <c r="AZ21" s="516"/>
    </row>
    <row r="22" spans="1:52" ht="14" x14ac:dyDescent="0.15">
      <c r="A22" s="270" t="str">
        <f>'Tariffs Jan2021'!F16</f>
        <v>1st Energy</v>
      </c>
      <c r="B22" s="40" t="str">
        <f>'Tariffs Jan2021'!D16</f>
        <v>Multinet Metro 1</v>
      </c>
      <c r="C22" s="40" t="str">
        <f>'Tariffs Jan2021'!G16</f>
        <v>1st Saver Plus</v>
      </c>
      <c r="D22" s="59">
        <f>365*'Tariffs Jan2021'!H16/100</f>
        <v>259.14999999999998</v>
      </c>
      <c r="E22" s="59">
        <f>IF($C$5*'Tariffs Jan2021'!AK16/'Tariffs Jan2021'!AI16&gt;='Tariffs Jan2021'!J16,( 'Tariffs Jan2021'!J16*'Tariffs Jan2021'!O16/100)* 'Tariffs Jan2021'!AI16,($C$5*'Tariffs Jan2021'!AK16/'Tariffs Jan2021'!AI16*'Tariffs Jan2021'!O16/100)* 'Tariffs Jan2021'!AI16)</f>
        <v>221.72727272727272</v>
      </c>
      <c r="F22" s="59">
        <f>IF($C$5*'Tariffs Jan2021'!AK16/'Tariffs Jan2021'!AI16&lt;'Tariffs Jan2021'!J16,0,IF($C$5*'Tariffs Jan2021'!AK16/'Tariffs Jan2021'!AI16&lt;='Tariffs Jan2021'!K16,($C$5*'Tariffs Jan2021'!AK16/'Tariffs Jan2021'!AI16-'Tariffs Jan2021'!J16)*('Tariffs Jan2021'!P16/100)*'Tariffs Jan2021'!AI16,('Tariffs Jan2021'!K16-'Tariffs Jan2021'!J16)*('Tariffs Jan2021'!P16/100)*'Tariffs Jan2021'!AI16))</f>
        <v>194.72727272727272</v>
      </c>
      <c r="G22" s="59">
        <f>IF($C$5*'Tariffs Jan2021'!AK16/'Tariffs Jan2021'!AI16&lt;'Tariffs Jan2021'!K16,0,IF($C$5*'Tariffs Jan2021'!AK16/'Tariffs Jan2021'!AI16&lt;='Tariffs Jan2021'!L16,($C$5*'Tariffs Jan2021'!AK16/'Tariffs Jan2021'!AI16-'Tariffs Jan2021'!K16)*('Tariffs Jan2021'!Q16/100)*'Tariffs Jan2021'!AI16,('Tariffs Jan2021'!L16-'Tariffs Jan2021'!K16)*('Tariffs Jan2021'!Q16/100)*'Tariffs Jan2021'!AI16))</f>
        <v>0</v>
      </c>
      <c r="H22" s="59">
        <f>IF($C$5*'Tariffs Jan2021'!AK16/'Tariffs Jan2021'!AI16&lt;'Tariffs Jan2021'!L16,0,IF($C$5*'Tariffs Jan2021'!AK16/'Tariffs Jan2021'!AI16&lt;='Tariffs Jan2021'!M16,($C$5*'Tariffs Jan2021'!AK16/'Tariffs Jan2021'!AI16-'Tariffs Jan2021'!L16)*('Tariffs Jan2021'!R16/100)*'Tariffs Jan2021'!AI16,('Tariffs Jan2021'!M16-'Tariffs Jan2021'!L16)*('Tariffs Jan2021'!R16/100)*'Tariffs Jan2021'!AI16))</f>
        <v>0</v>
      </c>
      <c r="I22" s="59">
        <f>IF(($C$5*'Tariffs Jan2021'!AK16/'Tariffs Jan2021'!AI16&gt;'Tariffs Jan2021'!M16),($C$5*'Tariffs Jan2021'!AK16/'Tariffs Jan2021'!AI16-'Tariffs Jan2021'!M16)*'Tariffs Jan2021'!S16/100*'Tariffs Jan2021'!AI16,0)</f>
        <v>245.45454545454544</v>
      </c>
      <c r="J22" s="59">
        <f>IF($C$5*'Tariffs Jan2021'!AL16/'Tariffs Jan2021'!AJ16&gt;='Tariffs Jan2021'!J16,('Tariffs Jan2021'!J16*'Tariffs Jan2021'!U16/100)* 'Tariffs Jan2021'!AJ16,($C$5*'Tariffs Jan2021'!AL16/'Tariffs Jan2021'!AJ16*'Tariffs Jan2021'!U16/100)* 'Tariffs Jan2021'!AJ16)</f>
        <v>221.72727272727272</v>
      </c>
      <c r="K22" s="59">
        <f>IF($C$5*'Tariffs Jan2021'!AL16/'Tariffs Jan2021'!AJ16&lt;'Tariffs Jan2021'!J16,0,IF($C$5*'Tariffs Jan2021'!AL16/'Tariffs Jan2021'!AJ16&lt;='Tariffs Jan2021'!K16,($C$5*'Tariffs Jan2021'!AL16/'Tariffs Jan2021'!AJ16-'Tariffs Jan2021'!J16)*('Tariffs Jan2021'!V16/100)*'Tariffs Jan2021'!AJ16,('Tariffs Jan2021'!K16-'Tariffs Jan2021'!J16)*('Tariffs Jan2021'!V16/100)*'Tariffs Jan2021'!AJ16))</f>
        <v>194.72727272727272</v>
      </c>
      <c r="L22" s="59">
        <f>IF($C$5*'Tariffs Jan2021'!AL16/'Tariffs Jan2021'!AJ16&lt;'Tariffs Jan2021'!K16,0,IF($C$5*'Tariffs Jan2021'!AL16/'Tariffs Jan2021'!AJ16&lt;='Tariffs Jan2021'!L16,($C$5*'Tariffs Jan2021'!AL16/'Tariffs Jan2021'!AJ16-'Tariffs Jan2021'!K16)*('Tariffs Jan2021'!W16/100)*'Tariffs Jan2021'!AJ16,('Tariffs Jan2021'!L16-'Tariffs Jan2021'!K16)*('Tariffs Jan2021'!W16/100)*'Tariffs Jan2021'!AJ16))</f>
        <v>0</v>
      </c>
      <c r="M22" s="59">
        <f>IF($C$5*'Tariffs Jan2021'!AL16/'Tariffs Jan2021'!AJ16&lt;'Tariffs Jan2021'!L16,0,IF($C$5*'Tariffs Jan2021'!AL16/'Tariffs Jan2021'!AJ16&lt;='Tariffs Jan2021'!M16,($C$5*'Tariffs Jan2021'!AL16/'Tariffs Jan2021'!AJ16-'Tariffs Jan2021'!L16)*('Tariffs Jan2021'!X16/100)*'Tariffs Jan2021'!AJ16,('Tariffs Jan2021'!M16-'Tariffs Jan2021'!L16)*('Tariffs Jan2021'!X16/100)*'Tariffs Jan2021'!AJ16))</f>
        <v>0</v>
      </c>
      <c r="N22" s="59">
        <f>IF(($C$5*'Tariffs Jan2021'!AL16/'Tariffs Jan2021'!AJ16&gt;'Tariffs Jan2021'!M16),($C$5*'Tariffs Jan2021'!AL16/'Tariffs Jan2021'!AJ16-'Tariffs Jan2021'!M16)*'Tariffs Jan2021'!Y16/100*'Tariffs Jan2021'!AJ16,0)</f>
        <v>245.45454545454544</v>
      </c>
      <c r="O22" s="59">
        <f t="shared" si="1"/>
        <v>1323.8181818181818</v>
      </c>
      <c r="P22" s="503">
        <f t="shared" si="2"/>
        <v>1456.2</v>
      </c>
      <c r="Q22" s="59">
        <f t="shared" si="3"/>
        <v>1582.9681818181816</v>
      </c>
      <c r="R22" s="272">
        <f t="shared" si="4"/>
        <v>1741.2649999999999</v>
      </c>
      <c r="S22" s="40">
        <f>'Tariffs Jan2021'!AN16</f>
        <v>0</v>
      </c>
      <c r="T22" s="40">
        <f>'Tariffs Jan2021'!AO16</f>
        <v>12</v>
      </c>
      <c r="U22" s="40">
        <f>'Tariffs Jan2021'!AP16</f>
        <v>0</v>
      </c>
      <c r="V22" s="40">
        <f>'Tariffs Jan2021'!AQ16</f>
        <v>3</v>
      </c>
      <c r="W22" s="537" t="str">
        <f t="shared" si="5"/>
        <v>Guaranteed off usage</v>
      </c>
      <c r="X22" s="538" t="str">
        <f t="shared" si="6"/>
        <v>Exclusive</v>
      </c>
      <c r="Y22" s="534">
        <f>Q22-(P22*T22)/100</f>
        <v>1408.2241818181815</v>
      </c>
      <c r="Z22" s="535">
        <f>Y22-(P22*V22)/100</f>
        <v>1364.5381818181816</v>
      </c>
      <c r="AA22" s="542">
        <f t="shared" si="0"/>
        <v>1549.0465999999997</v>
      </c>
      <c r="AB22" s="542">
        <f t="shared" si="0"/>
        <v>1500.9919999999997</v>
      </c>
      <c r="AC22" s="274">
        <f>'Tariffs Jan2021'!AZ16</f>
        <v>0</v>
      </c>
      <c r="AD22" s="274" t="str">
        <f>'Tariffs Jan2021'!BA16</f>
        <v>n</v>
      </c>
      <c r="AE22" s="275" t="str">
        <f>'Tariffs Jan2021'!BJ16</f>
        <v>Y</v>
      </c>
      <c r="AF22" s="516"/>
      <c r="AG22" s="516"/>
      <c r="AH22" s="516"/>
      <c r="AI22" s="516"/>
      <c r="AJ22" s="516"/>
      <c r="AK22" s="516"/>
      <c r="AL22" s="516"/>
      <c r="AM22" s="516"/>
      <c r="AN22" s="516"/>
      <c r="AO22" s="516"/>
      <c r="AP22" s="516"/>
      <c r="AQ22" s="516"/>
      <c r="AR22" s="516"/>
      <c r="AS22" s="516"/>
      <c r="AT22" s="516"/>
      <c r="AU22" s="516"/>
      <c r="AV22" s="516"/>
      <c r="AW22" s="516"/>
      <c r="AX22" s="516"/>
      <c r="AY22" s="516"/>
      <c r="AZ22" s="516"/>
    </row>
    <row r="23" spans="1:52" ht="14" x14ac:dyDescent="0.15">
      <c r="A23" s="270" t="str">
        <f>'Tariffs Jan2021'!F17</f>
        <v>Kogan Energy</v>
      </c>
      <c r="B23" s="40" t="str">
        <f>'Tariffs Jan2021'!D17</f>
        <v>Multinet Metro 1</v>
      </c>
      <c r="C23" s="40" t="str">
        <f>'Tariffs Jan2021'!G17</f>
        <v>Market offer</v>
      </c>
      <c r="D23" s="59">
        <f>365*'Tariffs Jan2021'!H17/100</f>
        <v>214.22181818181815</v>
      </c>
      <c r="E23" s="59">
        <f>((C$5*'Tariffs Jan2021'!AK17/'Tariffs Jan2021'!AI17)*('Tariffs Jan2021'!O17/100))*'Tariffs Jan2021'!AI17</f>
        <v>635.72727272727263</v>
      </c>
      <c r="F23" s="59">
        <v>0</v>
      </c>
      <c r="G23" s="59">
        <v>0</v>
      </c>
      <c r="H23" s="59">
        <v>0</v>
      </c>
      <c r="I23" s="59">
        <v>0</v>
      </c>
      <c r="J23" s="59">
        <f>((C$5*'Tariffs Jan2021'!AL17/'Tariffs Jan2021'!AJ17)*('Tariffs Jan2021'!U17/100))*'Tariffs Jan2021'!AJ17</f>
        <v>589.90909090909076</v>
      </c>
      <c r="K23" s="59">
        <v>0</v>
      </c>
      <c r="L23" s="59">
        <v>0</v>
      </c>
      <c r="M23" s="59">
        <v>0</v>
      </c>
      <c r="N23" s="59">
        <v>0</v>
      </c>
      <c r="O23" s="59">
        <f>SUM(E23:N23)</f>
        <v>1225.6363636363635</v>
      </c>
      <c r="P23" s="503">
        <f t="shared" si="2"/>
        <v>1348.2</v>
      </c>
      <c r="Q23" s="59">
        <f>D23+O23</f>
        <v>1439.8581818181817</v>
      </c>
      <c r="R23" s="272">
        <f t="shared" si="4"/>
        <v>1583.8440000000001</v>
      </c>
      <c r="S23" s="40">
        <f>'Tariffs Jan2021'!AN17</f>
        <v>0</v>
      </c>
      <c r="T23" s="40">
        <f>'Tariffs Jan2021'!AO17</f>
        <v>0</v>
      </c>
      <c r="U23" s="40">
        <f>'Tariffs Jan2021'!AP17</f>
        <v>0</v>
      </c>
      <c r="V23" s="40">
        <f>'Tariffs Jan2021'!AQ17</f>
        <v>0</v>
      </c>
      <c r="W23" s="537" t="str">
        <f t="shared" si="5"/>
        <v>No discount</v>
      </c>
      <c r="X23" s="538" t="str">
        <f t="shared" si="6"/>
        <v>Exclusive</v>
      </c>
      <c r="Y23" s="534">
        <f t="shared" ref="Y23:Y24" si="15">IF(AND(W23="Guaranteed off bill",X23="Inclusive"),((Q23*1.1)-((Q23*1.1)*S23/100))/1.1,IF(AND(W23="Guaranteed off usage",X23="Inclusive"),((Q23*1.1)-((P23*1.1)*T23/100))/1.1,IF(AND(W23="Guaranteed off bill",X23="Exclusive"),Q23-(Q23*S23/100),IF(AND(W23="Guaranteed off usage",X23="Exclusive"),Q23-(P23*T23/100),IF(X23="Inclusive",((Q23*1.1))/1.1,Q23)))))</f>
        <v>1439.8581818181817</v>
      </c>
      <c r="Z23" s="535">
        <f t="shared" ref="Z23:Z24" si="16">IF(AND(W23="Pay-on-time off bill",X23="Inclusive"),((Y23*1.1)-((Y23*1.1)*U23/100))/1.1,IF(AND(W23="Pay-on-time off usage",X23="Inclusive"),((Y23*1.1)-((P23*1.1)*V23/100))/1.1,IF(AND(W23="Pay-on-time off bill",X23="Exclusive"),Y23-(Y23*U23/100),IF(AND(W23="Pay-on-time off usage",X23="Exclusive"),Y23-(P23*V23/100),IF(X23="Inclusive",((Y23*1.1))/1.1,Y23)))))</f>
        <v>1439.8581818181817</v>
      </c>
      <c r="AA23" s="542">
        <f t="shared" si="0"/>
        <v>1583.8440000000001</v>
      </c>
      <c r="AB23" s="542">
        <f t="shared" si="0"/>
        <v>1583.8440000000001</v>
      </c>
      <c r="AC23" s="274">
        <f>'Tariffs Jan2021'!AZ17</f>
        <v>0</v>
      </c>
      <c r="AD23" s="274" t="str">
        <f>'Tariffs Jan2021'!BA17</f>
        <v>n</v>
      </c>
      <c r="AE23" s="275" t="str">
        <f>'Tariffs Jan2021'!BJ17</f>
        <v>N</v>
      </c>
      <c r="AF23" s="516"/>
      <c r="AG23" s="516"/>
      <c r="AH23" s="516"/>
      <c r="AI23" s="516"/>
      <c r="AJ23" s="516"/>
      <c r="AK23" s="516"/>
      <c r="AL23" s="516"/>
      <c r="AM23" s="516"/>
      <c r="AN23" s="516"/>
      <c r="AO23" s="516"/>
      <c r="AP23" s="516"/>
      <c r="AQ23" s="516"/>
      <c r="AR23" s="516"/>
      <c r="AS23" s="516"/>
      <c r="AT23" s="516"/>
      <c r="AU23" s="516"/>
      <c r="AV23" s="516"/>
      <c r="AW23" s="516"/>
      <c r="AX23" s="516"/>
      <c r="AY23" s="516"/>
      <c r="AZ23" s="516"/>
    </row>
    <row r="24" spans="1:52" ht="15" thickBot="1" x14ac:dyDescent="0.2">
      <c r="A24" s="276" t="str">
        <f>'Tariffs Jan2021'!F18</f>
        <v>Tango Energy</v>
      </c>
      <c r="B24" s="277" t="str">
        <f>'Tariffs Jan2021'!D18</f>
        <v>Multinet Metro 1</v>
      </c>
      <c r="C24" s="277" t="str">
        <f>'Tariffs Jan2021'!G18</f>
        <v>Home Select</v>
      </c>
      <c r="D24" s="278">
        <f>365*'Tariffs Jan2021'!H18/100</f>
        <v>255.5</v>
      </c>
      <c r="E24" s="278">
        <f>IF($C$5*'Tariffs Jan2021'!AK18/'Tariffs Jan2021'!AI18&gt;='Tariffs Jan2021'!J18,( 'Tariffs Jan2021'!J18*'Tariffs Jan2021'!O18/100)* 'Tariffs Jan2021'!AI18,($C$5*'Tariffs Jan2021'!AK18/'Tariffs Jan2021'!AI18*'Tariffs Jan2021'!O18/100)* 'Tariffs Jan2021'!AI18)</f>
        <v>161.99999999999997</v>
      </c>
      <c r="F24" s="278">
        <f>IF($C$5*'Tariffs Jan2021'!AK18/'Tariffs Jan2021'!AI18&lt;'Tariffs Jan2021'!J18,0,IF($C$5*'Tariffs Jan2021'!AK18/'Tariffs Jan2021'!AI18&lt;='Tariffs Jan2021'!K18,($C$5*'Tariffs Jan2021'!AK18/'Tariffs Jan2021'!AI18-'Tariffs Jan2021'!J18)*('Tariffs Jan2021'!P18/100)*'Tariffs Jan2021'!AI18,('Tariffs Jan2021'!K18-'Tariffs Jan2021'!J18)*('Tariffs Jan2021'!P18/100)*'Tariffs Jan2021'!AI18))</f>
        <v>144</v>
      </c>
      <c r="G24" s="278">
        <f>IF($C$5*'Tariffs Jan2021'!AK18/'Tariffs Jan2021'!AI18&lt;'Tariffs Jan2021'!K18,0,IF($C$5*'Tariffs Jan2021'!AK18/'Tariffs Jan2021'!AI18&lt;='Tariffs Jan2021'!L18,($C$5*'Tariffs Jan2021'!AK18/'Tariffs Jan2021'!AI18-'Tariffs Jan2021'!K18)*('Tariffs Jan2021'!Q18/100)*'Tariffs Jan2021'!AI18,('Tariffs Jan2021'!L18-'Tariffs Jan2021'!K18)*('Tariffs Jan2021'!Q18/100)*'Tariffs Jan2021'!AI18))</f>
        <v>116.99999999999997</v>
      </c>
      <c r="H24" s="278">
        <f>IF($C$5*'Tariffs Jan2021'!AK18/'Tariffs Jan2021'!AI18&lt;'Tariffs Jan2021'!L18,0,IF($C$5*'Tariffs Jan2021'!AK18/'Tariffs Jan2021'!AI18&lt;='Tariffs Jan2021'!M18,($C$5*'Tariffs Jan2021'!AK18/'Tariffs Jan2021'!AI18-'Tariffs Jan2021'!L18)*('Tariffs Jan2021'!R18/100)*'Tariffs Jan2021'!AI18,('Tariffs Jan2021'!M18-'Tariffs Jan2021'!L18)*('Tariffs Jan2021'!R18/100)*'Tariffs Jan2021'!AI18))</f>
        <v>58.499999999999986</v>
      </c>
      <c r="I24" s="278">
        <f>IF(($C$5*'Tariffs Jan2021'!AK18/'Tariffs Jan2021'!AI18&gt;'Tariffs Jan2021'!M18),($C$5*'Tariffs Jan2021'!AK18/'Tariffs Jan2021'!AI18-'Tariffs Jan2021'!M18)*'Tariffs Jan2021'!S18/100*'Tariffs Jan2021'!AI18,0)</f>
        <v>0</v>
      </c>
      <c r="J24" s="278">
        <f>IF($C$5*'Tariffs Jan2021'!AL18/'Tariffs Jan2021'!AJ18&gt;='Tariffs Jan2021'!J18,('Tariffs Jan2021'!J18*'Tariffs Jan2021'!U18/100)* 'Tariffs Jan2021'!AJ18,($C$5*'Tariffs Jan2021'!AL18/'Tariffs Jan2021'!AJ18*'Tariffs Jan2021'!U18/100)* 'Tariffs Jan2021'!AJ18)</f>
        <v>144</v>
      </c>
      <c r="K24" s="278">
        <f>IF($C$5*'Tariffs Jan2021'!AL18/'Tariffs Jan2021'!AJ18&lt;'Tariffs Jan2021'!J18,0,IF($C$5*'Tariffs Jan2021'!AL18/'Tariffs Jan2021'!AJ18&lt;='Tariffs Jan2021'!K18,($C$5*'Tariffs Jan2021'!AL18/'Tariffs Jan2021'!AJ18-'Tariffs Jan2021'!J18)*('Tariffs Jan2021'!V18/100)*'Tariffs Jan2021'!AJ18,('Tariffs Jan2021'!K18-'Tariffs Jan2021'!J18)*('Tariffs Jan2021'!V18/100)*'Tariffs Jan2021'!AJ18))</f>
        <v>125.99999999999997</v>
      </c>
      <c r="L24" s="278">
        <f>IF($C$5*'Tariffs Jan2021'!AL18/'Tariffs Jan2021'!AJ18&lt;'Tariffs Jan2021'!K18,0,IF($C$5*'Tariffs Jan2021'!AL18/'Tariffs Jan2021'!AJ18&lt;='Tariffs Jan2021'!L18,($C$5*'Tariffs Jan2021'!AL18/'Tariffs Jan2021'!AJ18-'Tariffs Jan2021'!K18)*('Tariffs Jan2021'!W18/100)*'Tariffs Jan2021'!AJ18,('Tariffs Jan2021'!L18-'Tariffs Jan2021'!K18)*('Tariffs Jan2021'!W18/100)*'Tariffs Jan2021'!AJ18))</f>
        <v>116.99999999999997</v>
      </c>
      <c r="M24" s="278">
        <f>IF($C$5*'Tariffs Jan2021'!AL18/'Tariffs Jan2021'!AJ18&lt;'Tariffs Jan2021'!L18,0,IF($C$5*'Tariffs Jan2021'!AL18/'Tariffs Jan2021'!AJ18&lt;='Tariffs Jan2021'!M18,($C$5*'Tariffs Jan2021'!AL18/'Tariffs Jan2021'!AJ18-'Tariffs Jan2021'!L18)*('Tariffs Jan2021'!X18/100)*'Tariffs Jan2021'!AJ18,('Tariffs Jan2021'!M18-'Tariffs Jan2021'!L18)*('Tariffs Jan2021'!X18/100)*'Tariffs Jan2021'!AJ18))</f>
        <v>54</v>
      </c>
      <c r="N24" s="278">
        <f>IF(($C$5*'Tariffs Jan2021'!AL18/'Tariffs Jan2021'!AJ18&gt;'Tariffs Jan2021'!M18),($C$5*'Tariffs Jan2021'!AL18/'Tariffs Jan2021'!AJ18-'Tariffs Jan2021'!M18)*'Tariffs Jan2021'!Y18/100*'Tariffs Jan2021'!AJ18,0)</f>
        <v>0</v>
      </c>
      <c r="O24" s="278">
        <f t="shared" ref="O24" si="17">SUM(E24:N24)</f>
        <v>922.5</v>
      </c>
      <c r="P24" s="504">
        <f t="shared" si="2"/>
        <v>1014.7500000000001</v>
      </c>
      <c r="Q24" s="278">
        <f t="shared" ref="Q24" si="18">D24+O24</f>
        <v>1178</v>
      </c>
      <c r="R24" s="280">
        <f t="shared" si="4"/>
        <v>1295.8000000000002</v>
      </c>
      <c r="S24" s="277">
        <f>'Tariffs Jan2021'!AN18</f>
        <v>0</v>
      </c>
      <c r="T24" s="277">
        <f>'Tariffs Jan2021'!AO18</f>
        <v>0</v>
      </c>
      <c r="U24" s="277">
        <f>'Tariffs Jan2021'!AP18</f>
        <v>0</v>
      </c>
      <c r="V24" s="277">
        <f>'Tariffs Jan2021'!AQ18</f>
        <v>0</v>
      </c>
      <c r="W24" s="540" t="str">
        <f t="shared" si="5"/>
        <v>No discount</v>
      </c>
      <c r="X24" s="541" t="str">
        <f t="shared" si="6"/>
        <v>Exclusive</v>
      </c>
      <c r="Y24" s="543">
        <f t="shared" si="15"/>
        <v>1178</v>
      </c>
      <c r="Z24" s="544">
        <f t="shared" si="16"/>
        <v>1178</v>
      </c>
      <c r="AA24" s="545">
        <f t="shared" ref="AA24:AB40" si="19">Y24*1.1</f>
        <v>1295.8000000000002</v>
      </c>
      <c r="AB24" s="545">
        <f t="shared" si="19"/>
        <v>1295.8000000000002</v>
      </c>
      <c r="AC24" s="282">
        <f>'Tariffs Jan2021'!AZ18</f>
        <v>0</v>
      </c>
      <c r="AD24" s="282" t="str">
        <f>'Tariffs Jan2021'!BA18</f>
        <v>n</v>
      </c>
      <c r="AE24" s="283" t="str">
        <f>'Tariffs Jan2021'!BJ18</f>
        <v>Y</v>
      </c>
      <c r="AF24" s="516"/>
      <c r="AG24" s="516"/>
      <c r="AH24" s="516"/>
      <c r="AI24" s="516"/>
      <c r="AJ24" s="516"/>
      <c r="AK24" s="516"/>
      <c r="AL24" s="516"/>
      <c r="AM24" s="516"/>
      <c r="AN24" s="516"/>
      <c r="AO24" s="516"/>
      <c r="AP24" s="516"/>
      <c r="AQ24" s="516"/>
      <c r="AR24" s="516"/>
      <c r="AS24" s="516"/>
      <c r="AT24" s="516"/>
      <c r="AU24" s="516"/>
      <c r="AV24" s="516"/>
      <c r="AW24" s="516"/>
      <c r="AX24" s="516"/>
      <c r="AY24" s="516"/>
      <c r="AZ24" s="516"/>
    </row>
    <row r="25" spans="1:52" ht="15" thickTop="1" x14ac:dyDescent="0.15">
      <c r="A25" s="270" t="str">
        <f>'Tariffs Jan2021'!F19</f>
        <v>AGL</v>
      </c>
      <c r="B25" s="40" t="str">
        <f>'Tariffs Jan2021'!D19</f>
        <v>Multinet Metro 2</v>
      </c>
      <c r="C25" s="40" t="str">
        <f>'Tariffs Jan2021'!G19</f>
        <v>Essentials</v>
      </c>
      <c r="D25" s="59">
        <f>365*'Tariffs Jan2021'!H19/100</f>
        <v>236.0886363636364</v>
      </c>
      <c r="E25" s="59">
        <f>IF($C$5*'Tariffs Jan2021'!AK19/'Tariffs Jan2021'!AI19&gt;='Tariffs Jan2021'!J19,( 'Tariffs Jan2021'!J19*'Tariffs Jan2021'!O19/100)* 'Tariffs Jan2021'!AI19,($C$5*'Tariffs Jan2021'!AK19/'Tariffs Jan2021'!AI19*'Tariffs Jan2021'!O19/100)* 'Tariffs Jan2021'!AI19)</f>
        <v>192.27272727272728</v>
      </c>
      <c r="F25" s="59">
        <f>IF($C$5*'Tariffs Jan2021'!AK19/'Tariffs Jan2021'!AI19&lt;'Tariffs Jan2021'!J19,0,IF($C$5*'Tariffs Jan2021'!AK19/'Tariffs Jan2021'!AI19&lt;='Tariffs Jan2021'!K19,($C$5*'Tariffs Jan2021'!AK19/'Tariffs Jan2021'!AI19-'Tariffs Jan2021'!J19)*('Tariffs Jan2021'!P19/100)*'Tariffs Jan2021'!AI19,('Tariffs Jan2021'!K19-'Tariffs Jan2021'!J19)*('Tariffs Jan2021'!P19/100)*'Tariffs Jan2021'!AI19))</f>
        <v>170.18181818181819</v>
      </c>
      <c r="G25" s="59">
        <f>IF($C$5*'Tariffs Jan2021'!AK19/'Tariffs Jan2021'!AI19&lt;'Tariffs Jan2021'!K19,0,IF($C$5*'Tariffs Jan2021'!AK19/'Tariffs Jan2021'!AI19&lt;='Tariffs Jan2021'!L19,($C$5*'Tariffs Jan2021'!AK19/'Tariffs Jan2021'!AI19-'Tariffs Jan2021'!K19)*('Tariffs Jan2021'!Q19/100)*'Tariffs Jan2021'!AI19,('Tariffs Jan2021'!L19-'Tariffs Jan2021'!K19)*('Tariffs Jan2021'!Q19/100)*'Tariffs Jan2021'!AI19))</f>
        <v>139.90909090909091</v>
      </c>
      <c r="H25" s="59">
        <f>IF($C$5*'Tariffs Jan2021'!AK19/'Tariffs Jan2021'!AI19&lt;'Tariffs Jan2021'!L19,0,IF($C$5*'Tariffs Jan2021'!AK19/'Tariffs Jan2021'!AI19&lt;='Tariffs Jan2021'!M19,($C$5*'Tariffs Jan2021'!AK19/'Tariffs Jan2021'!AI19-'Tariffs Jan2021'!L19)*('Tariffs Jan2021'!R19/100)*'Tariffs Jan2021'!AI19,('Tariffs Jan2021'!M19-'Tariffs Jan2021'!L19)*('Tariffs Jan2021'!R19/100)*'Tariffs Jan2021'!AI19))</f>
        <v>60.545454545454533</v>
      </c>
      <c r="I25" s="59">
        <f>IF(($C$5*'Tariffs Jan2021'!AK19/'Tariffs Jan2021'!AI19&gt;'Tariffs Jan2021'!M19),($C$5*'Tariffs Jan2021'!AK19/'Tariffs Jan2021'!AI19-'Tariffs Jan2021'!M19)*'Tariffs Jan2021'!S19/100*'Tariffs Jan2021'!AI19,0)</f>
        <v>0</v>
      </c>
      <c r="J25" s="59">
        <f>IF($C$5*'Tariffs Jan2021'!AL19/'Tariffs Jan2021'!AJ19&gt;='Tariffs Jan2021'!J19,('Tariffs Jan2021'!J19*'Tariffs Jan2021'!U19/100)* 'Tariffs Jan2021'!AJ19,($C$5*'Tariffs Jan2021'!AL19/'Tariffs Jan2021'!AJ19*'Tariffs Jan2021'!U19/100)* 'Tariffs Jan2021'!AJ19)</f>
        <v>184.09090909090907</v>
      </c>
      <c r="K25" s="59">
        <f>IF($C$5*'Tariffs Jan2021'!AL19/'Tariffs Jan2021'!AJ19&lt;'Tariffs Jan2021'!J19,0,IF($C$5*'Tariffs Jan2021'!AL19/'Tariffs Jan2021'!AJ19&lt;='Tariffs Jan2021'!K19,($C$5*'Tariffs Jan2021'!AL19/'Tariffs Jan2021'!AJ19-'Tariffs Jan2021'!J19)*('Tariffs Jan2021'!V19/100)*'Tariffs Jan2021'!AJ19,('Tariffs Jan2021'!K19-'Tariffs Jan2021'!J19)*('Tariffs Jan2021'!V19/100)*'Tariffs Jan2021'!AJ19))</f>
        <v>161.99999999999997</v>
      </c>
      <c r="L25" s="59">
        <f>IF($C$5*'Tariffs Jan2021'!AL19/'Tariffs Jan2021'!AJ19&lt;'Tariffs Jan2021'!K19,0,IF($C$5*'Tariffs Jan2021'!AL19/'Tariffs Jan2021'!AJ19&lt;='Tariffs Jan2021'!L19,($C$5*'Tariffs Jan2021'!AL19/'Tariffs Jan2021'!AJ19-'Tariffs Jan2021'!K19)*('Tariffs Jan2021'!W19/100)*'Tariffs Jan2021'!AJ19,('Tariffs Jan2021'!L19-'Tariffs Jan2021'!K19)*('Tariffs Jan2021'!W19/100)*'Tariffs Jan2021'!AJ19))</f>
        <v>134.18181818181816</v>
      </c>
      <c r="M25" s="59">
        <f>IF($C$5*'Tariffs Jan2021'!AL19/'Tariffs Jan2021'!AJ19&lt;'Tariffs Jan2021'!L19,0,IF($C$5*'Tariffs Jan2021'!AL19/'Tariffs Jan2021'!AJ19&lt;='Tariffs Jan2021'!M19,($C$5*'Tariffs Jan2021'!AL19/'Tariffs Jan2021'!AJ19-'Tariffs Jan2021'!L19)*('Tariffs Jan2021'!X19/100)*'Tariffs Jan2021'!AJ19,('Tariffs Jan2021'!M19-'Tariffs Jan2021'!L19)*('Tariffs Jan2021'!X19/100)*'Tariffs Jan2021'!AJ19))</f>
        <v>59.72727272727272</v>
      </c>
      <c r="N25" s="59">
        <f>IF(($C$5*'Tariffs Jan2021'!AL19/'Tariffs Jan2021'!AJ19&gt;'Tariffs Jan2021'!M19),($C$5*'Tariffs Jan2021'!AL19/'Tariffs Jan2021'!AJ19-'Tariffs Jan2021'!M19)*'Tariffs Jan2021'!Y19/100*'Tariffs Jan2021'!AJ19,0)</f>
        <v>0</v>
      </c>
      <c r="O25" s="59">
        <f t="shared" si="1"/>
        <v>1102.909090909091</v>
      </c>
      <c r="P25" s="503">
        <f t="shared" si="2"/>
        <v>1213.2000000000003</v>
      </c>
      <c r="Q25" s="59">
        <f t="shared" si="3"/>
        <v>1338.9977272727274</v>
      </c>
      <c r="R25" s="272">
        <f t="shared" si="4"/>
        <v>1472.8975000000003</v>
      </c>
      <c r="S25" s="40">
        <f>'Tariffs Jan2021'!AN19</f>
        <v>0</v>
      </c>
      <c r="T25" s="40">
        <f>'Tariffs Jan2021'!AO19</f>
        <v>0</v>
      </c>
      <c r="U25" s="40">
        <f>'Tariffs Jan2021'!AP19</f>
        <v>0</v>
      </c>
      <c r="V25" s="40">
        <f>'Tariffs Jan2021'!AQ19</f>
        <v>0</v>
      </c>
      <c r="W25" s="539" t="str">
        <f>IF(SUM(S25:V25)=0,"No discount",IF(S25&gt;0,"Guaranteed off bill",IF(T25&gt;0,"Guaranteed off usage",IF(U25&gt;0,"Pay-on-time off bill","Pay-on-time off usage"))))</f>
        <v>No discount</v>
      </c>
      <c r="X25" s="538" t="str">
        <f>IF(OR(A25="Origin Energy",A25="Red Energy",A25="Powershop"),"Inclusive","Exclusive")</f>
        <v>Exclusive</v>
      </c>
      <c r="Y25" s="534">
        <f>IF(AND(W25="Guaranteed off bill",X25="Inclusive"),((Q25*1.1)-((Q25*1.1)*S25/100))/1.1,IF(AND(W25="Guaranteed off usage",X25="Inclusive"),((Q25*1.1)-((P25*1.1)*T25/100))/1.1,IF(AND(W25="Guaranteed off bill",X25="Exclusive"),Q25-(Q25*S25/100),IF(AND(W25="Guaranteed off usage",X25="Exclusive"),Q25-(P25*T25/100),IF(X25="Inclusive",((Q25*1.1))/1.1,Q25)))))</f>
        <v>1338.9977272727274</v>
      </c>
      <c r="Z25" s="535">
        <f>IF(AND(W25="Pay-on-time off bill",X25="Inclusive"),((Y25*1.1)-((Y25*1.1)*U25/100))/1.1,IF(AND(W25="Pay-on-time off usage",X25="Inclusive"),((Y25*1.1)-((P25*1.1)*V25/100))/1.1,IF(AND(W25="Pay-on-time off bill",X25="Exclusive"),Y25-(Y25*U25/100),IF(AND(W25="Pay-on-time off usage",X25="Exclusive"),Y25-(P25*V25/100),IF(X25="Inclusive",((Y25*1.1))/1.1,Y25)))))</f>
        <v>1338.9977272727274</v>
      </c>
      <c r="AA25" s="542">
        <f t="shared" si="19"/>
        <v>1472.8975000000003</v>
      </c>
      <c r="AB25" s="542">
        <f t="shared" si="19"/>
        <v>1472.8975000000003</v>
      </c>
      <c r="AC25" s="274">
        <f>'Tariffs Jan2021'!AZ19</f>
        <v>0</v>
      </c>
      <c r="AD25" s="274" t="str">
        <f>'Tariffs Jan2021'!BA19</f>
        <v>n</v>
      </c>
      <c r="AE25" s="275" t="str">
        <f>'Tariffs Jan2021'!BJ19</f>
        <v>N</v>
      </c>
      <c r="AF25" s="516"/>
      <c r="AG25" s="516"/>
      <c r="AH25" s="516"/>
      <c r="AI25" s="516"/>
      <c r="AJ25" s="516"/>
      <c r="AK25" s="516"/>
      <c r="AL25" s="516"/>
      <c r="AM25" s="516"/>
      <c r="AN25" s="516"/>
      <c r="AO25" s="516"/>
      <c r="AP25" s="516"/>
      <c r="AQ25" s="516"/>
      <c r="AR25" s="516"/>
      <c r="AS25" s="516"/>
      <c r="AT25" s="516"/>
      <c r="AU25" s="516"/>
      <c r="AV25" s="516"/>
      <c r="AW25" s="516"/>
      <c r="AX25" s="516"/>
      <c r="AY25" s="516"/>
      <c r="AZ25" s="516"/>
    </row>
    <row r="26" spans="1:52" ht="14" x14ac:dyDescent="0.15">
      <c r="A26" s="270" t="str">
        <f>'Tariffs Jan2021'!F20</f>
        <v>Alinta Energy</v>
      </c>
      <c r="B26" s="40" t="str">
        <f>'Tariffs Jan2021'!D20</f>
        <v>Multinet Metro 2</v>
      </c>
      <c r="C26" s="40" t="str">
        <f>'Tariffs Jan2021'!G20</f>
        <v>Home Deal</v>
      </c>
      <c r="D26" s="59">
        <f>365*'Tariffs Jan2021'!H20/100</f>
        <v>204.4</v>
      </c>
      <c r="E26" s="59">
        <f>IF($C$5*'Tariffs Jan2021'!AK20/'Tariffs Jan2021'!AI20&gt;='Tariffs Jan2021'!J20,( 'Tariffs Jan2021'!J20*'Tariffs Jan2021'!O20/100)* 'Tariffs Jan2021'!AI20,($C$5*'Tariffs Jan2021'!AK20/'Tariffs Jan2021'!AI20*'Tariffs Jan2021'!O20/100)* 'Tariffs Jan2021'!AI20)</f>
        <v>181.63636363636363</v>
      </c>
      <c r="F26" s="59">
        <f>IF($C$5*'Tariffs Jan2021'!AK20/'Tariffs Jan2021'!AI20&lt;'Tariffs Jan2021'!J20,0,IF($C$5*'Tariffs Jan2021'!AK20/'Tariffs Jan2021'!AI20&lt;='Tariffs Jan2021'!K20,($C$5*'Tariffs Jan2021'!AK20/'Tariffs Jan2021'!AI20-'Tariffs Jan2021'!J20)*('Tariffs Jan2021'!P20/100)*'Tariffs Jan2021'!AI20,('Tariffs Jan2021'!K20-'Tariffs Jan2021'!J20)*('Tariffs Jan2021'!P20/100)*'Tariffs Jan2021'!AI20))</f>
        <v>164.45454545454544</v>
      </c>
      <c r="G26" s="59">
        <f>IF($C$5*'Tariffs Jan2021'!AK20/'Tariffs Jan2021'!AI20&lt;'Tariffs Jan2021'!K20,0,IF($C$5*'Tariffs Jan2021'!AK20/'Tariffs Jan2021'!AI20&lt;='Tariffs Jan2021'!L20,($C$5*'Tariffs Jan2021'!AK20/'Tariffs Jan2021'!AI20-'Tariffs Jan2021'!K20)*('Tariffs Jan2021'!Q20/100)*'Tariffs Jan2021'!AI20,('Tariffs Jan2021'!L20-'Tariffs Jan2021'!K20)*('Tariffs Jan2021'!Q20/100)*'Tariffs Jan2021'!AI20))</f>
        <v>0</v>
      </c>
      <c r="H26" s="59">
        <f>IF($C$5*'Tariffs Jan2021'!AK20/'Tariffs Jan2021'!AI20&lt;'Tariffs Jan2021'!L20,0,IF($C$5*'Tariffs Jan2021'!AK20/'Tariffs Jan2021'!AI20&lt;='Tariffs Jan2021'!M20,($C$5*'Tariffs Jan2021'!AK20/'Tariffs Jan2021'!AI20-'Tariffs Jan2021'!L20)*('Tariffs Jan2021'!R20/100)*'Tariffs Jan2021'!AI20,('Tariffs Jan2021'!M20-'Tariffs Jan2021'!L20)*('Tariffs Jan2021'!R20/100)*'Tariffs Jan2021'!AI20))</f>
        <v>0</v>
      </c>
      <c r="I26" s="59">
        <f>IF(($C$5*'Tariffs Jan2021'!AK20/'Tariffs Jan2021'!AI20&gt;'Tariffs Jan2021'!M20),($C$5*'Tariffs Jan2021'!AK20/'Tariffs Jan2021'!AI20-'Tariffs Jan2021'!M20)*'Tariffs Jan2021'!S20/100*'Tariffs Jan2021'!AI20,0)</f>
        <v>193.90909090909088</v>
      </c>
      <c r="J26" s="59">
        <f>IF($C$5*'Tariffs Jan2021'!AL20/'Tariffs Jan2021'!AJ20&gt;='Tariffs Jan2021'!J20,('Tariffs Jan2021'!J20*'Tariffs Jan2021'!U20/100)* 'Tariffs Jan2021'!AJ20,($C$5*'Tariffs Jan2021'!AL20/'Tariffs Jan2021'!AJ20*'Tariffs Jan2021'!U20/100)* 'Tariffs Jan2021'!AJ20)</f>
        <v>181.63636363636363</v>
      </c>
      <c r="K26" s="59">
        <f>IF($C$5*'Tariffs Jan2021'!AL20/'Tariffs Jan2021'!AJ20&lt;'Tariffs Jan2021'!J20,0,IF($C$5*'Tariffs Jan2021'!AL20/'Tariffs Jan2021'!AJ20&lt;='Tariffs Jan2021'!K20,($C$5*'Tariffs Jan2021'!AL20/'Tariffs Jan2021'!AJ20-'Tariffs Jan2021'!J20)*('Tariffs Jan2021'!V20/100)*'Tariffs Jan2021'!AJ20,('Tariffs Jan2021'!K20-'Tariffs Jan2021'!J20)*('Tariffs Jan2021'!V20/100)*'Tariffs Jan2021'!AJ20))</f>
        <v>155.45454545454541</v>
      </c>
      <c r="L26" s="59">
        <f>IF($C$5*'Tariffs Jan2021'!AL20/'Tariffs Jan2021'!AJ20&lt;'Tariffs Jan2021'!K20,0,IF($C$5*'Tariffs Jan2021'!AL20/'Tariffs Jan2021'!AJ20&lt;='Tariffs Jan2021'!L20,($C$5*'Tariffs Jan2021'!AL20/'Tariffs Jan2021'!AJ20-'Tariffs Jan2021'!K20)*('Tariffs Jan2021'!W20/100)*'Tariffs Jan2021'!AJ20,('Tariffs Jan2021'!L20-'Tariffs Jan2021'!K20)*('Tariffs Jan2021'!W20/100)*'Tariffs Jan2021'!AJ20))</f>
        <v>0</v>
      </c>
      <c r="M26" s="59">
        <f>IF($C$5*'Tariffs Jan2021'!AL20/'Tariffs Jan2021'!AJ20&lt;'Tariffs Jan2021'!L20,0,IF($C$5*'Tariffs Jan2021'!AL20/'Tariffs Jan2021'!AJ20&lt;='Tariffs Jan2021'!M20,($C$5*'Tariffs Jan2021'!AL20/'Tariffs Jan2021'!AJ20-'Tariffs Jan2021'!L20)*('Tariffs Jan2021'!X20/100)*'Tariffs Jan2021'!AJ20,('Tariffs Jan2021'!M20-'Tariffs Jan2021'!L20)*('Tariffs Jan2021'!X20/100)*'Tariffs Jan2021'!AJ20))</f>
        <v>0</v>
      </c>
      <c r="N26" s="59">
        <f>IF(($C$5*'Tariffs Jan2021'!AL20/'Tariffs Jan2021'!AJ20&gt;'Tariffs Jan2021'!M20),($C$5*'Tariffs Jan2021'!AL20/'Tariffs Jan2021'!AJ20-'Tariffs Jan2021'!M20)*'Tariffs Jan2021'!Y20/100*'Tariffs Jan2021'!AJ20,0)</f>
        <v>193.90909090909088</v>
      </c>
      <c r="O26" s="59">
        <f t="shared" si="1"/>
        <v>1071</v>
      </c>
      <c r="P26" s="503">
        <f t="shared" si="2"/>
        <v>1178.1000000000001</v>
      </c>
      <c r="Q26" s="59">
        <f t="shared" si="3"/>
        <v>1275.4000000000001</v>
      </c>
      <c r="R26" s="272">
        <f t="shared" si="4"/>
        <v>1402.9400000000003</v>
      </c>
      <c r="S26" s="40">
        <f>'Tariffs Jan2021'!AN20</f>
        <v>0</v>
      </c>
      <c r="T26" s="40">
        <f>'Tariffs Jan2021'!AO20</f>
        <v>0</v>
      </c>
      <c r="U26" s="40">
        <f>'Tariffs Jan2021'!AP20</f>
        <v>0</v>
      </c>
      <c r="V26" s="40">
        <f>'Tariffs Jan2021'!AQ20</f>
        <v>0</v>
      </c>
      <c r="W26" s="537" t="str">
        <f t="shared" ref="W26:W41" si="20">IF(SUM(S26:V26)=0,"No discount",IF(S26&gt;0,"Guaranteed off bill",IF(T26&gt;0,"Guaranteed off usage",IF(U26&gt;0,"Pay-on-time off bill","Pay-on-time off usage"))))</f>
        <v>No discount</v>
      </c>
      <c r="X26" s="538" t="str">
        <f t="shared" ref="X26:X41" si="21">IF(OR(A26="Origin Energy",A26="Red Energy",A26="Powershop"),"Inclusive","Exclusive")</f>
        <v>Exclusive</v>
      </c>
      <c r="Y26" s="534">
        <f>IF(AND(W26="Guaranteed off bill",X26="Inclusive"),((Q26*1.1)-((Q26*1.1)*S26/100))/1.1,IF(AND(W26="Guaranteed off usage",X26="Inclusive"),((Q26*1.1)-((P26*1.1)*T26/100))/1.1,IF(AND(W26="Guaranteed off bill",X26="Exclusive"),Q26-(Q26*S26/100),IF(AND(W26="Guaranteed off usage",X26="Exclusive"),Q26-(P26*T26/100),IF(X26="Inclusive",((Q26*1.1))/1.1,Q26)))))</f>
        <v>1275.4000000000001</v>
      </c>
      <c r="Z26" s="535">
        <f>IF(AND(W26="Pay-on-time off bill",X26="Inclusive"),((Y26*1.1)-((Y26*1.1)*U26/100))/1.1,IF(AND(W26="Pay-on-time off usage",X26="Inclusive"),((Y26*1.1)-((P26*1.1)*V26/100))/1.1,IF(AND(W26="Pay-on-time off bill",X26="Exclusive"),Y26-(Y26*U26/100),IF(AND(W26="Pay-on-time off usage",X26="Exclusive"),Y26-(P26*V26/100),IF(X26="Inclusive",((Y26*1.1))/1.1,Y26)))))</f>
        <v>1275.4000000000001</v>
      </c>
      <c r="AA26" s="542">
        <f t="shared" si="19"/>
        <v>1402.9400000000003</v>
      </c>
      <c r="AB26" s="542">
        <f t="shared" si="19"/>
        <v>1402.9400000000003</v>
      </c>
      <c r="AC26" s="274">
        <f>'Tariffs Jan2021'!AZ20</f>
        <v>0</v>
      </c>
      <c r="AD26" s="274" t="str">
        <f>'Tariffs Jan2021'!BA20</f>
        <v>n</v>
      </c>
      <c r="AE26" s="275" t="str">
        <f>'Tariffs Jan2021'!BJ20</f>
        <v>N</v>
      </c>
      <c r="AF26" s="516"/>
      <c r="AG26" s="516"/>
      <c r="AH26" s="516"/>
      <c r="AI26" s="516"/>
      <c r="AJ26" s="516"/>
      <c r="AK26" s="516"/>
      <c r="AL26" s="516"/>
      <c r="AM26" s="516"/>
      <c r="AN26" s="516"/>
      <c r="AO26" s="516"/>
      <c r="AP26" s="516"/>
      <c r="AQ26" s="516"/>
      <c r="AR26" s="516"/>
      <c r="AS26" s="516"/>
      <c r="AT26" s="516"/>
      <c r="AU26" s="516"/>
      <c r="AV26" s="516"/>
      <c r="AW26" s="516"/>
      <c r="AX26" s="516"/>
      <c r="AY26" s="516"/>
      <c r="AZ26" s="516"/>
    </row>
    <row r="27" spans="1:52" ht="14" x14ac:dyDescent="0.15">
      <c r="A27" s="270" t="str">
        <f>'Tariffs Jan2021'!F21</f>
        <v>Click Energy</v>
      </c>
      <c r="B27" s="40" t="str">
        <f>'Tariffs Jan2021'!D21</f>
        <v>Multinet Metro 2</v>
      </c>
      <c r="C27" s="40" t="str">
        <f>'Tariffs Jan2021'!G21</f>
        <v>Lily</v>
      </c>
      <c r="D27" s="59">
        <f>365*'Tariffs Jan2021'!H21/100</f>
        <v>171.05227272727271</v>
      </c>
      <c r="E27" s="59">
        <f>IF($C$5*'Tariffs Jan2021'!AK21/'Tariffs Jan2021'!AI21&gt;='Tariffs Jan2021'!J21,( 'Tariffs Jan2021'!J21*'Tariffs Jan2021'!O21/100)* 'Tariffs Jan2021'!AI21,($C$5*'Tariffs Jan2021'!AK21/'Tariffs Jan2021'!AI21*'Tariffs Jan2021'!O21/100)* 'Tariffs Jan2021'!AI21)</f>
        <v>178.36363636363637</v>
      </c>
      <c r="F27" s="59">
        <f>IF($C$5*'Tariffs Jan2021'!AK21/'Tariffs Jan2021'!AI21&lt;'Tariffs Jan2021'!J21,0,IF($C$5*'Tariffs Jan2021'!AK21/'Tariffs Jan2021'!AI21&lt;='Tariffs Jan2021'!K21,($C$5*'Tariffs Jan2021'!AK21/'Tariffs Jan2021'!AI21-'Tariffs Jan2021'!J21)*('Tariffs Jan2021'!P21/100)*'Tariffs Jan2021'!AI21,('Tariffs Jan2021'!K21-'Tariffs Jan2021'!J21)*('Tariffs Jan2021'!P21/100)*'Tariffs Jan2021'!AI21))</f>
        <v>156.27272727272725</v>
      </c>
      <c r="G27" s="59">
        <f>IF($C$5*'Tariffs Jan2021'!AK21/'Tariffs Jan2021'!AI21&lt;'Tariffs Jan2021'!K21,0,IF($C$5*'Tariffs Jan2021'!AK21/'Tariffs Jan2021'!AI21&lt;='Tariffs Jan2021'!L21,($C$5*'Tariffs Jan2021'!AK21/'Tariffs Jan2021'!AI21-'Tariffs Jan2021'!K21)*('Tariffs Jan2021'!Q21/100)*'Tariffs Jan2021'!AI21,('Tariffs Jan2021'!L21-'Tariffs Jan2021'!K21)*('Tariffs Jan2021'!Q21/100)*'Tariffs Jan2021'!AI21))</f>
        <v>134.99999999999997</v>
      </c>
      <c r="H27" s="59">
        <f>IF($C$5*'Tariffs Jan2021'!AK21/'Tariffs Jan2021'!AI21&lt;'Tariffs Jan2021'!L21,0,IF($C$5*'Tariffs Jan2021'!AK21/'Tariffs Jan2021'!AI21&lt;='Tariffs Jan2021'!M21,($C$5*'Tariffs Jan2021'!AK21/'Tariffs Jan2021'!AI21-'Tariffs Jan2021'!L21)*('Tariffs Jan2021'!R21/100)*'Tariffs Jan2021'!AI21,('Tariffs Jan2021'!M21-'Tariffs Jan2021'!L21)*('Tariffs Jan2021'!R21/100)*'Tariffs Jan2021'!AI21))</f>
        <v>62.181818181818173</v>
      </c>
      <c r="I27" s="59">
        <f>IF(($C$5*'Tariffs Jan2021'!AK21/'Tariffs Jan2021'!AI21&gt;'Tariffs Jan2021'!M21),($C$5*'Tariffs Jan2021'!AK21/'Tariffs Jan2021'!AI21-'Tariffs Jan2021'!M21)*'Tariffs Jan2021'!S21/100*'Tariffs Jan2021'!AI21,0)</f>
        <v>0</v>
      </c>
      <c r="J27" s="59">
        <f>IF($C$5*'Tariffs Jan2021'!AL21/'Tariffs Jan2021'!AJ21&gt;='Tariffs Jan2021'!J21,('Tariffs Jan2021'!J21*'Tariffs Jan2021'!U21/100)* 'Tariffs Jan2021'!AJ21,($C$5*'Tariffs Jan2021'!AL21/'Tariffs Jan2021'!AJ21*'Tariffs Jan2021'!U21/100)* 'Tariffs Jan2021'!AJ21)</f>
        <v>161.99999999999997</v>
      </c>
      <c r="K27" s="59">
        <f>IF($C$5*'Tariffs Jan2021'!AL21/'Tariffs Jan2021'!AJ21&lt;'Tariffs Jan2021'!J21,0,IF($C$5*'Tariffs Jan2021'!AL21/'Tariffs Jan2021'!AJ21&lt;='Tariffs Jan2021'!K21,($C$5*'Tariffs Jan2021'!AL21/'Tariffs Jan2021'!AJ21-'Tariffs Jan2021'!J21)*('Tariffs Jan2021'!V21/100)*'Tariffs Jan2021'!AJ21,('Tariffs Jan2021'!K21-'Tariffs Jan2021'!J21)*('Tariffs Jan2021'!V21/100)*'Tariffs Jan2021'!AJ21))</f>
        <v>151.36363636363635</v>
      </c>
      <c r="L27" s="59">
        <f>IF($C$5*'Tariffs Jan2021'!AL21/'Tariffs Jan2021'!AJ21&lt;'Tariffs Jan2021'!K21,0,IF($C$5*'Tariffs Jan2021'!AL21/'Tariffs Jan2021'!AJ21&lt;='Tariffs Jan2021'!L21,($C$5*'Tariffs Jan2021'!AL21/'Tariffs Jan2021'!AJ21-'Tariffs Jan2021'!K21)*('Tariffs Jan2021'!W21/100)*'Tariffs Jan2021'!AJ21,('Tariffs Jan2021'!L21-'Tariffs Jan2021'!K21)*('Tariffs Jan2021'!W21/100)*'Tariffs Jan2021'!AJ21))</f>
        <v>134.99999999999997</v>
      </c>
      <c r="M27" s="59">
        <f>IF($C$5*'Tariffs Jan2021'!AL21/'Tariffs Jan2021'!AJ21&lt;'Tariffs Jan2021'!L21,0,IF($C$5*'Tariffs Jan2021'!AL21/'Tariffs Jan2021'!AJ21&lt;='Tariffs Jan2021'!M21,($C$5*'Tariffs Jan2021'!AL21/'Tariffs Jan2021'!AJ21-'Tariffs Jan2021'!L21)*('Tariffs Jan2021'!X21/100)*'Tariffs Jan2021'!AJ21,('Tariffs Jan2021'!M21-'Tariffs Jan2021'!L21)*('Tariffs Jan2021'!X21/100)*'Tariffs Jan2021'!AJ21))</f>
        <v>62.181818181818173</v>
      </c>
      <c r="N27" s="59">
        <f>IF(($C$5*'Tariffs Jan2021'!AL21/'Tariffs Jan2021'!AJ21&gt;'Tariffs Jan2021'!M21),($C$5*'Tariffs Jan2021'!AL21/'Tariffs Jan2021'!AJ21-'Tariffs Jan2021'!M21)*'Tariffs Jan2021'!Y21/100*'Tariffs Jan2021'!AJ21,0)</f>
        <v>0</v>
      </c>
      <c r="O27" s="59">
        <f t="shared" si="1"/>
        <v>1042.3636363636363</v>
      </c>
      <c r="P27" s="503">
        <f t="shared" si="2"/>
        <v>1146.5999999999999</v>
      </c>
      <c r="Q27" s="59">
        <f t="shared" si="3"/>
        <v>1213.4159090909091</v>
      </c>
      <c r="R27" s="272">
        <f t="shared" si="4"/>
        <v>1334.7575000000002</v>
      </c>
      <c r="S27" s="40">
        <f>'Tariffs Jan2021'!AN21</f>
        <v>0</v>
      </c>
      <c r="T27" s="40">
        <f>'Tariffs Jan2021'!AO21</f>
        <v>0</v>
      </c>
      <c r="U27" s="40">
        <f>'Tariffs Jan2021'!AP21</f>
        <v>0</v>
      </c>
      <c r="V27" s="40">
        <f>'Tariffs Jan2021'!AQ21</f>
        <v>0</v>
      </c>
      <c r="W27" s="537" t="str">
        <f t="shared" si="20"/>
        <v>No discount</v>
      </c>
      <c r="X27" s="538" t="str">
        <f t="shared" si="21"/>
        <v>Exclusive</v>
      </c>
      <c r="Y27" s="534">
        <f t="shared" ref="Y27:Y28" si="22">IF(AND(W27="Guaranteed off bill",X27="Inclusive"),((Q27*1.1)-((Q27*1.1)*S27/100))/1.1,IF(AND(W27="Guaranteed off usage",X27="Inclusive"),((Q27*1.1)-((P27*1.1)*T27/100))/1.1,IF(AND(W27="Guaranteed off bill",X27="Exclusive"),Q27-(Q27*S27/100),IF(AND(W27="Guaranteed off usage",X27="Exclusive"),Q27-(P27*T27/100),IF(X27="Inclusive",((Q27*1.1))/1.1,Q27)))))</f>
        <v>1213.4159090909091</v>
      </c>
      <c r="Z27" s="535">
        <f t="shared" ref="Z27:Z28" si="23">IF(AND(W27="Pay-on-time off bill",X27="Inclusive"),((Y27*1.1)-((Y27*1.1)*U27/100))/1.1,IF(AND(W27="Pay-on-time off usage",X27="Inclusive"),((Y27*1.1)-((P27*1.1)*V27/100))/1.1,IF(AND(W27="Pay-on-time off bill",X27="Exclusive"),Y27-(Y27*U27/100),IF(AND(W27="Pay-on-time off usage",X27="Exclusive"),Y27-(P27*V27/100),IF(X27="Inclusive",((Y27*1.1))/1.1,Y27)))))</f>
        <v>1213.4159090909091</v>
      </c>
      <c r="AA27" s="542">
        <f t="shared" si="19"/>
        <v>1334.7575000000002</v>
      </c>
      <c r="AB27" s="542">
        <f t="shared" si="19"/>
        <v>1334.7575000000002</v>
      </c>
      <c r="AC27" s="274">
        <f>'Tariffs Jan2021'!AZ21</f>
        <v>0</v>
      </c>
      <c r="AD27" s="274" t="str">
        <f>'Tariffs Jan2021'!BA21</f>
        <v>n</v>
      </c>
      <c r="AE27" s="275" t="str">
        <f>'Tariffs Jan2021'!BJ21</f>
        <v>N</v>
      </c>
      <c r="AF27" s="516"/>
      <c r="AG27" s="516"/>
      <c r="AH27" s="516"/>
      <c r="AI27" s="516"/>
      <c r="AJ27" s="516"/>
      <c r="AK27" s="516"/>
      <c r="AL27" s="516"/>
      <c r="AM27" s="516"/>
      <c r="AN27" s="516"/>
      <c r="AO27" s="516"/>
      <c r="AP27" s="516"/>
      <c r="AQ27" s="516"/>
      <c r="AR27" s="516"/>
      <c r="AS27" s="516"/>
      <c r="AT27" s="516"/>
      <c r="AU27" s="516"/>
      <c r="AV27" s="516"/>
      <c r="AW27" s="516"/>
      <c r="AX27" s="516"/>
      <c r="AY27" s="516"/>
      <c r="AZ27" s="516"/>
    </row>
    <row r="28" spans="1:52" ht="14" x14ac:dyDescent="0.15">
      <c r="A28" s="270" t="str">
        <f>'Tariffs Jan2021'!F22</f>
        <v>Covau</v>
      </c>
      <c r="B28" s="40" t="str">
        <f>'Tariffs Jan2021'!D22</f>
        <v>Multinet Metro 2</v>
      </c>
      <c r="C28" s="40" t="str">
        <f>'Tariffs Jan2021'!G22</f>
        <v>Smart Saver</v>
      </c>
      <c r="D28" s="59">
        <f>365*'Tariffs Jan2021'!H22/100</f>
        <v>284.7</v>
      </c>
      <c r="E28" s="59">
        <f>IF($C$5*'Tariffs Jan2021'!AK22/'Tariffs Jan2021'!AI22&gt;='Tariffs Jan2021'!J22,( 'Tariffs Jan2021'!J22*'Tariffs Jan2021'!O22/100)* 'Tariffs Jan2021'!AI22,($C$5*'Tariffs Jan2021'!AK22/'Tariffs Jan2021'!AI22*'Tariffs Jan2021'!O22/100)* 'Tariffs Jan2021'!AI22)</f>
        <v>261</v>
      </c>
      <c r="F28" s="59">
        <f>IF($C$5*'Tariffs Jan2021'!AK22/'Tariffs Jan2021'!AI22&lt;'Tariffs Jan2021'!J22,0,IF($C$5*'Tariffs Jan2021'!AK22/'Tariffs Jan2021'!AI22&lt;='Tariffs Jan2021'!K22,($C$5*'Tariffs Jan2021'!AK22/'Tariffs Jan2021'!AI22-'Tariffs Jan2021'!J22)*('Tariffs Jan2021'!P22/100)*'Tariffs Jan2021'!AI22,('Tariffs Jan2021'!K22-'Tariffs Jan2021'!J22)*('Tariffs Jan2021'!P22/100)*'Tariffs Jan2021'!AI22))</f>
        <v>234.81818181818181</v>
      </c>
      <c r="G28" s="59">
        <f>IF($C$5*'Tariffs Jan2021'!AK22/'Tariffs Jan2021'!AI22&lt;'Tariffs Jan2021'!K22,0,IF($C$5*'Tariffs Jan2021'!AK22/'Tariffs Jan2021'!AI22&lt;='Tariffs Jan2021'!L22,($C$5*'Tariffs Jan2021'!AK22/'Tariffs Jan2021'!AI22-'Tariffs Jan2021'!K22)*('Tariffs Jan2021'!Q22/100)*'Tariffs Jan2021'!AI22,('Tariffs Jan2021'!L22-'Tariffs Jan2021'!K22)*('Tariffs Jan2021'!Q22/100)*'Tariffs Jan2021'!AI22))</f>
        <v>216</v>
      </c>
      <c r="H28" s="59">
        <f>IF($C$5*'Tariffs Jan2021'!AK22/'Tariffs Jan2021'!AI22&lt;'Tariffs Jan2021'!L22,0,IF($C$5*'Tariffs Jan2021'!AK22/'Tariffs Jan2021'!AI22&lt;='Tariffs Jan2021'!M22,($C$5*'Tariffs Jan2021'!AK22/'Tariffs Jan2021'!AI22-'Tariffs Jan2021'!L22)*('Tariffs Jan2021'!R22/100)*'Tariffs Jan2021'!AI22,('Tariffs Jan2021'!M22-'Tariffs Jan2021'!L22)*('Tariffs Jan2021'!R22/100)*'Tariffs Jan2021'!AI22))</f>
        <v>99</v>
      </c>
      <c r="I28" s="59">
        <f>IF(($C$5*'Tariffs Jan2021'!AK22/'Tariffs Jan2021'!AI22&gt;'Tariffs Jan2021'!M22),($C$5*'Tariffs Jan2021'!AK22/'Tariffs Jan2021'!AI22-'Tariffs Jan2021'!M22)*'Tariffs Jan2021'!S22/100*'Tariffs Jan2021'!AI22,0)</f>
        <v>0</v>
      </c>
      <c r="J28" s="59">
        <f>IF($C$5*'Tariffs Jan2021'!AL22/'Tariffs Jan2021'!AJ22&gt;='Tariffs Jan2021'!J22,('Tariffs Jan2021'!J22*'Tariffs Jan2021'!U22/100)* 'Tariffs Jan2021'!AJ22,($C$5*'Tariffs Jan2021'!AL22/'Tariffs Jan2021'!AJ22*'Tariffs Jan2021'!U22/100)* 'Tariffs Jan2021'!AJ22)</f>
        <v>243.00000000000006</v>
      </c>
      <c r="K28" s="59">
        <f>IF($C$5*'Tariffs Jan2021'!AL22/'Tariffs Jan2021'!AJ22&lt;'Tariffs Jan2021'!J22,0,IF($C$5*'Tariffs Jan2021'!AL22/'Tariffs Jan2021'!AJ22&lt;='Tariffs Jan2021'!K22,($C$5*'Tariffs Jan2021'!AL22/'Tariffs Jan2021'!AJ22-'Tariffs Jan2021'!J22)*('Tariffs Jan2021'!V22/100)*'Tariffs Jan2021'!AJ22,('Tariffs Jan2021'!K22-'Tariffs Jan2021'!J22)*('Tariffs Jan2021'!V22/100)*'Tariffs Jan2021'!AJ22))</f>
        <v>228.27272727272728</v>
      </c>
      <c r="L28" s="59">
        <f>IF($C$5*'Tariffs Jan2021'!AL22/'Tariffs Jan2021'!AJ22&lt;'Tariffs Jan2021'!K22,0,IF($C$5*'Tariffs Jan2021'!AL22/'Tariffs Jan2021'!AJ22&lt;='Tariffs Jan2021'!L22,($C$5*'Tariffs Jan2021'!AL22/'Tariffs Jan2021'!AJ22-'Tariffs Jan2021'!K22)*('Tariffs Jan2021'!W22/100)*'Tariffs Jan2021'!AJ22,('Tariffs Jan2021'!L22-'Tariffs Jan2021'!K22)*('Tariffs Jan2021'!W22/100)*'Tariffs Jan2021'!AJ22))</f>
        <v>189.00000000000003</v>
      </c>
      <c r="M28" s="59">
        <f>IF($C$5*'Tariffs Jan2021'!AL22/'Tariffs Jan2021'!AJ22&lt;'Tariffs Jan2021'!L22,0,IF($C$5*'Tariffs Jan2021'!AL22/'Tariffs Jan2021'!AJ22&lt;='Tariffs Jan2021'!M22,($C$5*'Tariffs Jan2021'!AL22/'Tariffs Jan2021'!AJ22-'Tariffs Jan2021'!L22)*('Tariffs Jan2021'!X22/100)*'Tariffs Jan2021'!AJ22,('Tariffs Jan2021'!M22-'Tariffs Jan2021'!L22)*('Tariffs Jan2021'!X22/100)*'Tariffs Jan2021'!AJ22))</f>
        <v>85.499999999999972</v>
      </c>
      <c r="N28" s="59">
        <f>IF(($C$5*'Tariffs Jan2021'!AL22/'Tariffs Jan2021'!AJ22&gt;'Tariffs Jan2021'!M22),($C$5*'Tariffs Jan2021'!AL22/'Tariffs Jan2021'!AJ22-'Tariffs Jan2021'!M22)*'Tariffs Jan2021'!Y22/100*'Tariffs Jan2021'!AJ22,0)</f>
        <v>0</v>
      </c>
      <c r="O28" s="59">
        <f t="shared" si="1"/>
        <v>1556.590909090909</v>
      </c>
      <c r="P28" s="503">
        <f t="shared" si="2"/>
        <v>1712.25</v>
      </c>
      <c r="Q28" s="59">
        <f t="shared" si="3"/>
        <v>1841.2909090909091</v>
      </c>
      <c r="R28" s="272">
        <f t="shared" si="4"/>
        <v>2025.42</v>
      </c>
      <c r="S28" s="40">
        <f>'Tariffs Jan2021'!AN22</f>
        <v>0</v>
      </c>
      <c r="T28" s="40">
        <f>'Tariffs Jan2021'!AO22</f>
        <v>16</v>
      </c>
      <c r="U28" s="40">
        <f>'Tariffs Jan2021'!AP22</f>
        <v>0</v>
      </c>
      <c r="V28" s="40">
        <f>'Tariffs Jan2021'!AQ22</f>
        <v>0</v>
      </c>
      <c r="W28" s="537" t="str">
        <f t="shared" si="20"/>
        <v>Guaranteed off usage</v>
      </c>
      <c r="X28" s="538" t="str">
        <f t="shared" si="21"/>
        <v>Exclusive</v>
      </c>
      <c r="Y28" s="534">
        <f t="shared" si="22"/>
        <v>1567.330909090909</v>
      </c>
      <c r="Z28" s="535">
        <f t="shared" si="23"/>
        <v>1567.330909090909</v>
      </c>
      <c r="AA28" s="542">
        <f t="shared" si="19"/>
        <v>1724.0640000000001</v>
      </c>
      <c r="AB28" s="542">
        <f t="shared" si="19"/>
        <v>1724.0640000000001</v>
      </c>
      <c r="AC28" s="274">
        <f>'Tariffs Jan2021'!AZ22</f>
        <v>0</v>
      </c>
      <c r="AD28" s="274" t="str">
        <f>'Tariffs Jan2021'!BA22</f>
        <v>n</v>
      </c>
      <c r="AE28" s="275" t="str">
        <f>'Tariffs Jan2021'!BJ22</f>
        <v>N</v>
      </c>
      <c r="AF28" s="516"/>
      <c r="AG28" s="516"/>
      <c r="AH28" s="516"/>
      <c r="AI28" s="516"/>
      <c r="AJ28" s="516"/>
      <c r="AK28" s="516"/>
      <c r="AL28" s="516"/>
      <c r="AM28" s="516"/>
      <c r="AN28" s="516"/>
      <c r="AO28" s="516"/>
      <c r="AP28" s="516"/>
      <c r="AQ28" s="516"/>
      <c r="AR28" s="516"/>
      <c r="AS28" s="516"/>
      <c r="AT28" s="516"/>
      <c r="AU28" s="516"/>
      <c r="AV28" s="516"/>
      <c r="AW28" s="516"/>
      <c r="AX28" s="516"/>
      <c r="AY28" s="516"/>
      <c r="AZ28" s="516"/>
    </row>
    <row r="29" spans="1:52" ht="14" x14ac:dyDescent="0.15">
      <c r="A29" s="270" t="str">
        <f>'Tariffs Jan2021'!F23</f>
        <v>Dodo Power &amp; Gas</v>
      </c>
      <c r="B29" s="40" t="str">
        <f>'Tariffs Jan2021'!D23</f>
        <v>Multinet Metro 2</v>
      </c>
      <c r="C29" s="40" t="str">
        <f>'Tariffs Jan2021'!G23</f>
        <v>Market offer</v>
      </c>
      <c r="D29" s="59">
        <f>365*'Tariffs Jan2021'!H23/100</f>
        <v>191.72454545454545</v>
      </c>
      <c r="E29" s="59">
        <f>IF($C$5*'Tariffs Jan2021'!AK23/'Tariffs Jan2021'!AI23&gt;='Tariffs Jan2021'!J23,( 'Tariffs Jan2021'!J23*'Tariffs Jan2021'!O23/100)* 'Tariffs Jan2021'!AI23,($C$5*'Tariffs Jan2021'!AK23/'Tariffs Jan2021'!AI23*'Tariffs Jan2021'!O23/100)* 'Tariffs Jan2021'!AI23)</f>
        <v>237.27272727272728</v>
      </c>
      <c r="F29" s="59">
        <f>IF($C$5*'Tariffs Jan2021'!AK23/'Tariffs Jan2021'!AI23&lt;'Tariffs Jan2021'!J23,0,IF($C$5*'Tariffs Jan2021'!AK23/'Tariffs Jan2021'!AI23&lt;='Tariffs Jan2021'!K23,($C$5*'Tariffs Jan2021'!AK23/'Tariffs Jan2021'!AI23-'Tariffs Jan2021'!J23)*('Tariffs Jan2021'!P23/100)*'Tariffs Jan2021'!AI23,('Tariffs Jan2021'!K23-'Tariffs Jan2021'!J23)*('Tariffs Jan2021'!P23/100)*'Tariffs Jan2021'!AI23))</f>
        <v>211.90909090909082</v>
      </c>
      <c r="G29" s="59">
        <f>IF($C$5*'Tariffs Jan2021'!AK23/'Tariffs Jan2021'!AI23&lt;'Tariffs Jan2021'!K23,0,IF($C$5*'Tariffs Jan2021'!AK23/'Tariffs Jan2021'!AI23&lt;='Tariffs Jan2021'!L23,($C$5*'Tariffs Jan2021'!AK23/'Tariffs Jan2021'!AI23-'Tariffs Jan2021'!K23)*('Tariffs Jan2021'!Q23/100)*'Tariffs Jan2021'!AI23,('Tariffs Jan2021'!L23-'Tariffs Jan2021'!K23)*('Tariffs Jan2021'!Q23/100)*'Tariffs Jan2021'!AI23))</f>
        <v>190.63636363636363</v>
      </c>
      <c r="H29" s="59">
        <f>IF($C$5*'Tariffs Jan2021'!AK23/'Tariffs Jan2021'!AI23&lt;'Tariffs Jan2021'!L23,0,IF($C$5*'Tariffs Jan2021'!AK23/'Tariffs Jan2021'!AI23&lt;='Tariffs Jan2021'!M23,($C$5*'Tariffs Jan2021'!AK23/'Tariffs Jan2021'!AI23-'Tariffs Jan2021'!L23)*('Tariffs Jan2021'!R23/100)*'Tariffs Jan2021'!AI23,('Tariffs Jan2021'!M23-'Tariffs Jan2021'!L23)*('Tariffs Jan2021'!R23/100)*'Tariffs Jan2021'!AI23))</f>
        <v>90</v>
      </c>
      <c r="I29" s="59">
        <f>IF(($C$5*'Tariffs Jan2021'!AK23/'Tariffs Jan2021'!AI23&gt;'Tariffs Jan2021'!M23),($C$5*'Tariffs Jan2021'!AK23/'Tariffs Jan2021'!AI23-'Tariffs Jan2021'!M23)*'Tariffs Jan2021'!S23/100*'Tariffs Jan2021'!AI23,0)</f>
        <v>0</v>
      </c>
      <c r="J29" s="59">
        <f>IF($C$5*'Tariffs Jan2021'!AL23/'Tariffs Jan2021'!AJ23&gt;='Tariffs Jan2021'!J23,('Tariffs Jan2021'!J23*'Tariffs Jan2021'!U23/100)* 'Tariffs Jan2021'!AJ23,($C$5*'Tariffs Jan2021'!AL23/'Tariffs Jan2021'!AJ23*'Tariffs Jan2021'!U23/100)* 'Tariffs Jan2021'!AJ23)</f>
        <v>226.63636363636363</v>
      </c>
      <c r="K29" s="59">
        <f>IF($C$5*'Tariffs Jan2021'!AL23/'Tariffs Jan2021'!AJ23&lt;'Tariffs Jan2021'!J23,0,IF($C$5*'Tariffs Jan2021'!AL23/'Tariffs Jan2021'!AJ23&lt;='Tariffs Jan2021'!K23,($C$5*'Tariffs Jan2021'!AL23/'Tariffs Jan2021'!AJ23-'Tariffs Jan2021'!J23)*('Tariffs Jan2021'!V23/100)*'Tariffs Jan2021'!AJ23,('Tariffs Jan2021'!K23-'Tariffs Jan2021'!J23)*('Tariffs Jan2021'!V23/100)*'Tariffs Jan2021'!AJ23))</f>
        <v>205.36363636363632</v>
      </c>
      <c r="L29" s="59">
        <f>IF($C$5*'Tariffs Jan2021'!AL23/'Tariffs Jan2021'!AJ23&lt;'Tariffs Jan2021'!K23,0,IF($C$5*'Tariffs Jan2021'!AL23/'Tariffs Jan2021'!AJ23&lt;='Tariffs Jan2021'!L23,($C$5*'Tariffs Jan2021'!AL23/'Tariffs Jan2021'!AJ23-'Tariffs Jan2021'!K23)*('Tariffs Jan2021'!W23/100)*'Tariffs Jan2021'!AJ23,('Tariffs Jan2021'!L23-'Tariffs Jan2021'!K23)*('Tariffs Jan2021'!W23/100)*'Tariffs Jan2021'!AJ23))</f>
        <v>187.36363636363635</v>
      </c>
      <c r="M29" s="59">
        <f>IF($C$5*'Tariffs Jan2021'!AL23/'Tariffs Jan2021'!AJ23&lt;'Tariffs Jan2021'!L23,0,IF($C$5*'Tariffs Jan2021'!AL23/'Tariffs Jan2021'!AJ23&lt;='Tariffs Jan2021'!M23,($C$5*'Tariffs Jan2021'!AL23/'Tariffs Jan2021'!AJ23-'Tariffs Jan2021'!L23)*('Tariffs Jan2021'!X23/100)*'Tariffs Jan2021'!AJ23,('Tariffs Jan2021'!M23-'Tariffs Jan2021'!L23)*('Tariffs Jan2021'!X23/100)*'Tariffs Jan2021'!AJ23))</f>
        <v>88.772727272727252</v>
      </c>
      <c r="N29" s="59">
        <f>IF(($C$5*'Tariffs Jan2021'!AL23/'Tariffs Jan2021'!AJ23&gt;'Tariffs Jan2021'!M23),($C$5*'Tariffs Jan2021'!AL23/'Tariffs Jan2021'!AJ23-'Tariffs Jan2021'!M23)*'Tariffs Jan2021'!Y23/100*'Tariffs Jan2021'!AJ23,0)</f>
        <v>0</v>
      </c>
      <c r="O29" s="59">
        <f t="shared" si="1"/>
        <v>1437.9545454545453</v>
      </c>
      <c r="P29" s="503">
        <f t="shared" si="2"/>
        <v>1581.75</v>
      </c>
      <c r="Q29" s="59">
        <f t="shared" si="3"/>
        <v>1629.6790909090907</v>
      </c>
      <c r="R29" s="272">
        <f t="shared" si="4"/>
        <v>1792.6469999999999</v>
      </c>
      <c r="S29" s="40">
        <f>'Tariffs Jan2021'!AN23</f>
        <v>0</v>
      </c>
      <c r="T29" s="40">
        <f>'Tariffs Jan2021'!AO23</f>
        <v>0</v>
      </c>
      <c r="U29" s="40">
        <f>'Tariffs Jan2021'!AP23</f>
        <v>0</v>
      </c>
      <c r="V29" s="40">
        <f>'Tariffs Jan2021'!AQ23</f>
        <v>0</v>
      </c>
      <c r="W29" s="537" t="str">
        <f t="shared" si="20"/>
        <v>No discount</v>
      </c>
      <c r="X29" s="538" t="str">
        <f t="shared" si="21"/>
        <v>Exclusive</v>
      </c>
      <c r="Y29" s="534">
        <f>IF(AND(W29="Guaranteed off bill",X29="Inclusive"),((Q29*1.1)-((Q29*1.1)*S29/100))/1.1,IF(AND(W29="Guaranteed off usage",X29="Inclusive"),((Q29*1.1)-((P29*1.1)*T29/100))/1.1,IF(AND(W29="Guaranteed off bill",X29="Exclusive"),Q29-(Q29*S29/100),IF(AND(W29="Guaranteed off usage",X29="Exclusive"),Q29-(P29*T29/100),IF(X29="Inclusive",((Q29*1.1))/1.1,Q29)))))</f>
        <v>1629.6790909090907</v>
      </c>
      <c r="Z29" s="535">
        <f>IF(AND(W29="Pay-on-time off bill",X29="Inclusive"),((Y29*1.1)-((Y29*1.1)*U29/100))/1.1,IF(AND(W29="Pay-on-time off usage",X29="Inclusive"),((Y29*1.1)-((P29*1.1)*V29/100))/1.1,IF(AND(W29="Pay-on-time off bill",X29="Exclusive"),Y29-(Y29*U29/100),IF(AND(W29="Pay-on-time off usage",X29="Exclusive"),Y29-(P29*V29/100),IF(X29="Inclusive",((Y29*1.1))/1.1,Y29)))))</f>
        <v>1629.6790909090907</v>
      </c>
      <c r="AA29" s="542">
        <f t="shared" si="19"/>
        <v>1792.6469999999999</v>
      </c>
      <c r="AB29" s="542">
        <f t="shared" si="19"/>
        <v>1792.6469999999999</v>
      </c>
      <c r="AC29" s="274">
        <f>'Tariffs Jan2021'!AZ23</f>
        <v>0</v>
      </c>
      <c r="AD29" s="274" t="str">
        <f>'Tariffs Jan2021'!BA23</f>
        <v>n</v>
      </c>
      <c r="AE29" s="275" t="str">
        <f>'Tariffs Jan2021'!BJ23</f>
        <v>N</v>
      </c>
      <c r="AF29" s="516"/>
      <c r="AG29" s="516"/>
      <c r="AH29" s="516"/>
      <c r="AI29" s="516"/>
      <c r="AJ29" s="516"/>
      <c r="AK29" s="516"/>
      <c r="AL29" s="516"/>
      <c r="AM29" s="516"/>
      <c r="AN29" s="516"/>
      <c r="AO29" s="516"/>
      <c r="AP29" s="516"/>
      <c r="AQ29" s="516"/>
      <c r="AR29" s="516"/>
      <c r="AS29" s="516"/>
      <c r="AT29" s="516"/>
      <c r="AU29" s="516"/>
      <c r="AV29" s="516"/>
      <c r="AW29" s="516"/>
      <c r="AX29" s="516"/>
      <c r="AY29" s="516"/>
      <c r="AZ29" s="516"/>
    </row>
    <row r="30" spans="1:52" ht="14" x14ac:dyDescent="0.15">
      <c r="A30" s="270" t="str">
        <f>'Tariffs Jan2021'!F24</f>
        <v>EnergyAustralia</v>
      </c>
      <c r="B30" s="40" t="str">
        <f>'Tariffs Jan2021'!D24</f>
        <v>Multinet Metro 2</v>
      </c>
      <c r="C30" s="40" t="str">
        <f>'Tariffs Jan2021'!G24</f>
        <v>Total Plan</v>
      </c>
      <c r="D30" s="59">
        <f>365*'Tariffs Jan2021'!H24/100</f>
        <v>295.64999999999998</v>
      </c>
      <c r="E30" s="59">
        <f>IF($C$5*'Tariffs Jan2021'!AK24/'Tariffs Jan2021'!AI24&gt;='Tariffs Jan2021'!J24,( 'Tariffs Jan2021'!J24*'Tariffs Jan2021'!O24/100)* 'Tariffs Jan2021'!AI24,($C$5*'Tariffs Jan2021'!AK24/'Tariffs Jan2021'!AI24*'Tariffs Jan2021'!O24/100)* 'Tariffs Jan2021'!AI24)</f>
        <v>186</v>
      </c>
      <c r="F30" s="59">
        <f>IF($C$5*'Tariffs Jan2021'!AK24/'Tariffs Jan2021'!AI24&lt;'Tariffs Jan2021'!J24,0,IF($C$5*'Tariffs Jan2021'!AK24/'Tariffs Jan2021'!AI24&lt;='Tariffs Jan2021'!K24,($C$5*'Tariffs Jan2021'!AK24/'Tariffs Jan2021'!AI24-'Tariffs Jan2021'!J24)*('Tariffs Jan2021'!P24/100)*'Tariffs Jan2021'!AI24,('Tariffs Jan2021'!K24-'Tariffs Jan2021'!J24)*('Tariffs Jan2021'!P24/100)*'Tariffs Jan2021'!AI24))</f>
        <v>154.36363636363637</v>
      </c>
      <c r="G30" s="59">
        <f>IF($C$5*'Tariffs Jan2021'!AK24/'Tariffs Jan2021'!AI24&lt;'Tariffs Jan2021'!K24,0,IF($C$5*'Tariffs Jan2021'!AK24/'Tariffs Jan2021'!AI24&lt;='Tariffs Jan2021'!L24,($C$5*'Tariffs Jan2021'!AK24/'Tariffs Jan2021'!AI24-'Tariffs Jan2021'!K24)*('Tariffs Jan2021'!Q24/100)*'Tariffs Jan2021'!AI24,('Tariffs Jan2021'!L24-'Tariffs Jan2021'!K24)*('Tariffs Jan2021'!Q24/100)*'Tariffs Jan2021'!AI24))</f>
        <v>126.54545454545455</v>
      </c>
      <c r="H30" s="59">
        <f>IF($C$5*'Tariffs Jan2021'!AK24/'Tariffs Jan2021'!AI24&lt;'Tariffs Jan2021'!L24,0,IF($C$5*'Tariffs Jan2021'!AK24/'Tariffs Jan2021'!AI24&lt;='Tariffs Jan2021'!M24,($C$5*'Tariffs Jan2021'!AK24/'Tariffs Jan2021'!AI24-'Tariffs Jan2021'!L24)*('Tariffs Jan2021'!R24/100)*'Tariffs Jan2021'!AI24,('Tariffs Jan2021'!M24-'Tariffs Jan2021'!L24)*('Tariffs Jan2021'!R24/100)*'Tariffs Jan2021'!AI24))</f>
        <v>57.505172727272672</v>
      </c>
      <c r="I30" s="59">
        <f>IF(($C$5*'Tariffs Jan2021'!AK24/'Tariffs Jan2021'!AI24&gt;'Tariffs Jan2021'!M24),($C$5*'Tariffs Jan2021'!AK24/'Tariffs Jan2021'!AI24-'Tariffs Jan2021'!M24)*'Tariffs Jan2021'!S24/100*'Tariffs Jan2021'!AI24,0)</f>
        <v>0</v>
      </c>
      <c r="J30" s="59">
        <f>IF($C$5*'Tariffs Jan2021'!AL24/'Tariffs Jan2021'!AJ24&gt;='Tariffs Jan2021'!J24,('Tariffs Jan2021'!J24*'Tariffs Jan2021'!U24/100)* 'Tariffs Jan2021'!AJ24,($C$5*'Tariffs Jan2021'!AL24/'Tariffs Jan2021'!AJ24*'Tariffs Jan2021'!U24/100)* 'Tariffs Jan2021'!AJ24)</f>
        <v>349.09090909090912</v>
      </c>
      <c r="K30" s="59">
        <f>IF($C$5*'Tariffs Jan2021'!AL24/'Tariffs Jan2021'!AJ24&lt;'Tariffs Jan2021'!J24,0,IF($C$5*'Tariffs Jan2021'!AL24/'Tariffs Jan2021'!AJ24&lt;='Tariffs Jan2021'!K24,($C$5*'Tariffs Jan2021'!AL24/'Tariffs Jan2021'!AJ24-'Tariffs Jan2021'!J24)*('Tariffs Jan2021'!V24/100)*'Tariffs Jan2021'!AJ24,('Tariffs Jan2021'!K24-'Tariffs Jan2021'!J24)*('Tariffs Jan2021'!V24/100)*'Tariffs Jan2021'!AJ24))</f>
        <v>294.54545454545456</v>
      </c>
      <c r="L30" s="59">
        <f>IF($C$5*'Tariffs Jan2021'!AL24/'Tariffs Jan2021'!AJ24&lt;'Tariffs Jan2021'!K24,0,IF($C$5*'Tariffs Jan2021'!AL24/'Tariffs Jan2021'!AJ24&lt;='Tariffs Jan2021'!L24,($C$5*'Tariffs Jan2021'!AL24/'Tariffs Jan2021'!AJ24-'Tariffs Jan2021'!K24)*('Tariffs Jan2021'!W24/100)*'Tariffs Jan2021'!AJ24,('Tariffs Jan2021'!L24-'Tariffs Jan2021'!K24)*('Tariffs Jan2021'!W24/100)*'Tariffs Jan2021'!AJ24))</f>
        <v>238.90909090909088</v>
      </c>
      <c r="M30" s="59">
        <f>IF($C$5*'Tariffs Jan2021'!AL24/'Tariffs Jan2021'!AJ24&lt;'Tariffs Jan2021'!L24,0,IF($C$5*'Tariffs Jan2021'!AL24/'Tariffs Jan2021'!AJ24&lt;='Tariffs Jan2021'!M24,($C$5*'Tariffs Jan2021'!AL24/'Tariffs Jan2021'!AJ24-'Tariffs Jan2021'!L24)*('Tariffs Jan2021'!X24/100)*'Tariffs Jan2021'!AJ24,('Tariffs Jan2021'!M24-'Tariffs Jan2021'!L24)*('Tariffs Jan2021'!X24/100)*'Tariffs Jan2021'!AJ24))</f>
        <v>110.10469090909082</v>
      </c>
      <c r="N30" s="59">
        <f>IF(($C$5*'Tariffs Jan2021'!AL24/'Tariffs Jan2021'!AJ24&gt;'Tariffs Jan2021'!M24),($C$5*'Tariffs Jan2021'!AL24/'Tariffs Jan2021'!AJ24-'Tariffs Jan2021'!M24)*'Tariffs Jan2021'!Y24/100*'Tariffs Jan2021'!AJ24,0)</f>
        <v>0</v>
      </c>
      <c r="O30" s="59">
        <f t="shared" si="1"/>
        <v>1517.0644090909088</v>
      </c>
      <c r="P30" s="503">
        <f t="shared" si="2"/>
        <v>1668.7708499999999</v>
      </c>
      <c r="Q30" s="59">
        <f t="shared" si="3"/>
        <v>1812.7144090909087</v>
      </c>
      <c r="R30" s="272">
        <f t="shared" si="4"/>
        <v>1993.9858499999998</v>
      </c>
      <c r="S30" s="40">
        <f>'Tariffs Jan2021'!AN24</f>
        <v>27</v>
      </c>
      <c r="T30" s="40">
        <f>'Tariffs Jan2021'!AO24</f>
        <v>0</v>
      </c>
      <c r="U30" s="40">
        <f>'Tariffs Jan2021'!AP24</f>
        <v>0</v>
      </c>
      <c r="V30" s="40">
        <f>'Tariffs Jan2021'!AQ24</f>
        <v>0</v>
      </c>
      <c r="W30" s="537" t="str">
        <f t="shared" si="20"/>
        <v>Guaranteed off bill</v>
      </c>
      <c r="X30" s="538" t="str">
        <f t="shared" si="21"/>
        <v>Exclusive</v>
      </c>
      <c r="Y30" s="534">
        <f t="shared" ref="Y30" si="24">IF(AND(W30="Guaranteed off bill",X30="Inclusive"),((Q30*1.1)-((Q30*1.1)*S30/100))/1.1,IF(AND(W30="Guaranteed off usage",X30="Inclusive"),((Q30*1.1)-((P30*1.1)*T30/100))/1.1,IF(AND(W30="Guaranteed off bill",X30="Exclusive"),Q30-(Q30*S30/100),IF(AND(W30="Guaranteed off usage",X30="Exclusive"),Q30-(P30*T30/100),IF(X30="Inclusive",((Q30*1.1))/1.1,Q30)))))</f>
        <v>1323.2815186363634</v>
      </c>
      <c r="Z30" s="535">
        <f t="shared" ref="Z30" si="25">IF(AND(W30="Pay-on-time off bill",X30="Inclusive"),((Y30*1.1)-((Y30*1.1)*U30/100))/1.1,IF(AND(W30="Pay-on-time off usage",X30="Inclusive"),((Y30*1.1)-((P30*1.1)*V30/100))/1.1,IF(AND(W30="Pay-on-time off bill",X30="Exclusive"),Y30-(Y30*U30/100),IF(AND(W30="Pay-on-time off usage",X30="Exclusive"),Y30-(P30*V30/100),IF(X30="Inclusive",((Y30*1.1))/1.1,Y30)))))</f>
        <v>1323.2815186363634</v>
      </c>
      <c r="AA30" s="542">
        <f t="shared" si="19"/>
        <v>1455.6096705</v>
      </c>
      <c r="AB30" s="542">
        <f t="shared" si="19"/>
        <v>1455.6096705</v>
      </c>
      <c r="AC30" s="274">
        <f>'Tariffs Jan2021'!AZ24</f>
        <v>12</v>
      </c>
      <c r="AD30" s="274" t="str">
        <f>'Tariffs Jan2021'!BA24</f>
        <v>n</v>
      </c>
      <c r="AE30" s="275" t="str">
        <f>'Tariffs Jan2021'!BJ24</f>
        <v>N</v>
      </c>
      <c r="AF30" s="516"/>
      <c r="AG30" s="516"/>
      <c r="AH30" s="516"/>
      <c r="AI30" s="516"/>
      <c r="AJ30" s="516"/>
      <c r="AK30" s="516"/>
      <c r="AL30" s="516"/>
      <c r="AM30" s="516"/>
      <c r="AN30" s="516"/>
      <c r="AO30" s="516"/>
      <c r="AP30" s="516"/>
      <c r="AQ30" s="516"/>
      <c r="AR30" s="516"/>
      <c r="AS30" s="516"/>
      <c r="AT30" s="516"/>
      <c r="AU30" s="516"/>
      <c r="AV30" s="516"/>
      <c r="AW30" s="516"/>
      <c r="AX30" s="516"/>
      <c r="AY30" s="516"/>
      <c r="AZ30" s="516"/>
    </row>
    <row r="31" spans="1:52" ht="14" x14ac:dyDescent="0.15">
      <c r="A31" s="270" t="str">
        <f>'Tariffs Jan2021'!F25</f>
        <v>Lumo Energy</v>
      </c>
      <c r="B31" s="40" t="str">
        <f>'Tariffs Jan2021'!D25</f>
        <v>Multinet Metro 2</v>
      </c>
      <c r="C31" s="40" t="str">
        <f>'Tariffs Jan2021'!G25</f>
        <v>Value</v>
      </c>
      <c r="D31" s="59">
        <f>365*'Tariffs Jan2021'!H25/100</f>
        <v>230.14909090909089</v>
      </c>
      <c r="E31" s="59">
        <f>IF($C$5*'Tariffs Jan2021'!AK25/'Tariffs Jan2021'!AI25&gt;='Tariffs Jan2021'!J25,( 'Tariffs Jan2021'!J25*'Tariffs Jan2021'!O25/100)* 'Tariffs Jan2021'!AI25,($C$5*'Tariffs Jan2021'!AK25/'Tariffs Jan2021'!AI25*'Tariffs Jan2021'!O25/100)* 'Tariffs Jan2021'!AI25)</f>
        <v>161.99999999999997</v>
      </c>
      <c r="F31" s="59">
        <f>IF($C$5*'Tariffs Jan2021'!AK25/'Tariffs Jan2021'!AI25&lt;'Tariffs Jan2021'!J25,0,IF($C$5*'Tariffs Jan2021'!AK25/'Tariffs Jan2021'!AI25&lt;='Tariffs Jan2021'!K25,($C$5*'Tariffs Jan2021'!AK25/'Tariffs Jan2021'!AI25-'Tariffs Jan2021'!J25)*('Tariffs Jan2021'!P25/100)*'Tariffs Jan2021'!AI25,('Tariffs Jan2021'!K25-'Tariffs Jan2021'!J25)*('Tariffs Jan2021'!P25/100)*'Tariffs Jan2021'!AI25))</f>
        <v>160.36363636363635</v>
      </c>
      <c r="G31" s="59">
        <f>IF($C$5*'Tariffs Jan2021'!AK25/'Tariffs Jan2021'!AI25&lt;'Tariffs Jan2021'!K25,0,IF($C$5*'Tariffs Jan2021'!AK25/'Tariffs Jan2021'!AI25&lt;='Tariffs Jan2021'!L25,($C$5*'Tariffs Jan2021'!AK25/'Tariffs Jan2021'!AI25-'Tariffs Jan2021'!K25)*('Tariffs Jan2021'!Q25/100)*'Tariffs Jan2021'!AI25,('Tariffs Jan2021'!L25-'Tariffs Jan2021'!K25)*('Tariffs Jan2021'!Q25/100)*'Tariffs Jan2021'!AI25))</f>
        <v>147.27272727272725</v>
      </c>
      <c r="H31" s="59">
        <f>IF($C$5*'Tariffs Jan2021'!AK25/'Tariffs Jan2021'!AI25&lt;'Tariffs Jan2021'!L25,0,IF($C$5*'Tariffs Jan2021'!AK25/'Tariffs Jan2021'!AI25&lt;='Tariffs Jan2021'!M25,($C$5*'Tariffs Jan2021'!AK25/'Tariffs Jan2021'!AI25-'Tariffs Jan2021'!L25)*('Tariffs Jan2021'!R25/100)*'Tariffs Jan2021'!AI25,('Tariffs Jan2021'!M25-'Tariffs Jan2021'!L25)*('Tariffs Jan2021'!R25/100)*'Tariffs Jan2021'!AI25))</f>
        <v>70.772727272727252</v>
      </c>
      <c r="I31" s="59">
        <f>IF(($C$5*'Tariffs Jan2021'!AK25/'Tariffs Jan2021'!AI25&gt;'Tariffs Jan2021'!M25),($C$5*'Tariffs Jan2021'!AK25/'Tariffs Jan2021'!AI25-'Tariffs Jan2021'!M25)*'Tariffs Jan2021'!S25/100*'Tariffs Jan2021'!AI25,0)</f>
        <v>0</v>
      </c>
      <c r="J31" s="59">
        <f>IF($C$5*'Tariffs Jan2021'!AL25/'Tariffs Jan2021'!AJ25&gt;='Tariffs Jan2021'!J25,('Tariffs Jan2021'!J25*'Tariffs Jan2021'!U25/100)* 'Tariffs Jan2021'!AJ25,($C$5*'Tariffs Jan2021'!AL25/'Tariffs Jan2021'!AJ25*'Tariffs Jan2021'!U25/100)* 'Tariffs Jan2021'!AJ25)</f>
        <v>160.36363636363637</v>
      </c>
      <c r="K31" s="59">
        <f>IF($C$5*'Tariffs Jan2021'!AL25/'Tariffs Jan2021'!AJ25&lt;'Tariffs Jan2021'!J25,0,IF($C$5*'Tariffs Jan2021'!AL25/'Tariffs Jan2021'!AJ25&lt;='Tariffs Jan2021'!K25,($C$5*'Tariffs Jan2021'!AL25/'Tariffs Jan2021'!AJ25-'Tariffs Jan2021'!J25)*('Tariffs Jan2021'!V25/100)*'Tariffs Jan2021'!AJ25,('Tariffs Jan2021'!K25-'Tariffs Jan2021'!J25)*('Tariffs Jan2021'!V25/100)*'Tariffs Jan2021'!AJ25))</f>
        <v>159.5454545454545</v>
      </c>
      <c r="L31" s="59">
        <f>IF($C$5*'Tariffs Jan2021'!AL25/'Tariffs Jan2021'!AJ25&lt;'Tariffs Jan2021'!K25,0,IF($C$5*'Tariffs Jan2021'!AL25/'Tariffs Jan2021'!AJ25&lt;='Tariffs Jan2021'!L25,($C$5*'Tariffs Jan2021'!AL25/'Tariffs Jan2021'!AJ25-'Tariffs Jan2021'!K25)*('Tariffs Jan2021'!W25/100)*'Tariffs Jan2021'!AJ25,('Tariffs Jan2021'!L25-'Tariffs Jan2021'!K25)*('Tariffs Jan2021'!W25/100)*'Tariffs Jan2021'!AJ25))</f>
        <v>145.63636363636363</v>
      </c>
      <c r="M31" s="59">
        <f>IF($C$5*'Tariffs Jan2021'!AL25/'Tariffs Jan2021'!AJ25&lt;'Tariffs Jan2021'!L25,0,IF($C$5*'Tariffs Jan2021'!AL25/'Tariffs Jan2021'!AJ25&lt;='Tariffs Jan2021'!M25,($C$5*'Tariffs Jan2021'!AL25/'Tariffs Jan2021'!AJ25-'Tariffs Jan2021'!L25)*('Tariffs Jan2021'!X25/100)*'Tariffs Jan2021'!AJ25,('Tariffs Jan2021'!M25-'Tariffs Jan2021'!L25)*('Tariffs Jan2021'!X25/100)*'Tariffs Jan2021'!AJ25))</f>
        <v>69.545454545454533</v>
      </c>
      <c r="N31" s="59">
        <f>IF(($C$5*'Tariffs Jan2021'!AL25/'Tariffs Jan2021'!AJ25&gt;'Tariffs Jan2021'!M25),($C$5*'Tariffs Jan2021'!AL25/'Tariffs Jan2021'!AJ25-'Tariffs Jan2021'!M25)*'Tariffs Jan2021'!Y25/100*'Tariffs Jan2021'!AJ25,0)</f>
        <v>0</v>
      </c>
      <c r="O31" s="59">
        <f t="shared" si="1"/>
        <v>1075.4999999999998</v>
      </c>
      <c r="P31" s="503">
        <f t="shared" si="2"/>
        <v>1183.05</v>
      </c>
      <c r="Q31" s="59">
        <f t="shared" si="3"/>
        <v>1305.6490909090908</v>
      </c>
      <c r="R31" s="272">
        <f t="shared" si="4"/>
        <v>1436.2139999999999</v>
      </c>
      <c r="S31" s="40">
        <f>'Tariffs Jan2021'!AN25</f>
        <v>0</v>
      </c>
      <c r="T31" s="40">
        <f>'Tariffs Jan2021'!AO25</f>
        <v>0</v>
      </c>
      <c r="U31" s="40">
        <f>'Tariffs Jan2021'!AP25</f>
        <v>0</v>
      </c>
      <c r="V31" s="40">
        <f>'Tariffs Jan2021'!AQ25</f>
        <v>0</v>
      </c>
      <c r="W31" s="537" t="str">
        <f t="shared" si="20"/>
        <v>No discount</v>
      </c>
      <c r="X31" s="538" t="str">
        <f t="shared" si="21"/>
        <v>Exclusive</v>
      </c>
      <c r="Y31" s="534">
        <f>IF(AND(W31="Guaranteed off bill",X31="Inclusive"),((Q31*1.1)-((Q31*1.1)*S31/100))/1.1,IF(AND(W31="Guaranteed off usage",X31="Inclusive"),((Q31*1.1)-((P31*1.1)*T31/100))/1.1,IF(AND(W31="Guaranteed off bill",X31="Exclusive"),Q31-(Q31*S31/100),IF(AND(W31="Guaranteed off usage",X31="Exclusive"),Q31-(P31*T31/100),IF(X31="Inclusive",((Q31*1.1))/1.1,Q31)))))</f>
        <v>1305.6490909090908</v>
      </c>
      <c r="Z31" s="535">
        <f>IF(AND(W31="Pay-on-time off bill",X31="Inclusive"),((Y31*1.1)-((Y31*1.1)*U31/100))/1.1,IF(AND(W31="Pay-on-time off usage",X31="Inclusive"),((Y31*1.1)-((P31*1.1)*V31/100))/1.1,IF(AND(W31="Pay-on-time off bill",X31="Exclusive"),Y31-(Y31*U31/100),IF(AND(W31="Pay-on-time off usage",X31="Exclusive"),Y31-(P31*V31/100),IF(X31="Inclusive",((Y31*1.1))/1.1,Y31)))))</f>
        <v>1305.6490909090908</v>
      </c>
      <c r="AA31" s="542">
        <f t="shared" si="19"/>
        <v>1436.2139999999999</v>
      </c>
      <c r="AB31" s="542">
        <f t="shared" si="19"/>
        <v>1436.2139999999999</v>
      </c>
      <c r="AC31" s="274">
        <f>'Tariffs Jan2021'!AZ25</f>
        <v>0</v>
      </c>
      <c r="AD31" s="274" t="str">
        <f>'Tariffs Jan2021'!BA25</f>
        <v>n</v>
      </c>
      <c r="AE31" s="275" t="str">
        <f>'Tariffs Jan2021'!BJ25</f>
        <v>N</v>
      </c>
      <c r="AF31" s="516"/>
      <c r="AG31" s="516"/>
      <c r="AH31" s="516"/>
      <c r="AI31" s="516"/>
      <c r="AJ31" s="516"/>
      <c r="AK31" s="516"/>
      <c r="AL31" s="516"/>
      <c r="AM31" s="516"/>
      <c r="AN31" s="516"/>
      <c r="AO31" s="516"/>
      <c r="AP31" s="516"/>
      <c r="AQ31" s="516"/>
      <c r="AR31" s="516"/>
      <c r="AS31" s="516"/>
      <c r="AT31" s="516"/>
      <c r="AU31" s="516"/>
      <c r="AV31" s="516"/>
      <c r="AW31" s="516"/>
      <c r="AX31" s="516"/>
      <c r="AY31" s="516"/>
      <c r="AZ31" s="516"/>
    </row>
    <row r="32" spans="1:52" ht="14" x14ac:dyDescent="0.15">
      <c r="A32" s="270" t="str">
        <f>'Tariffs Jan2021'!F26</f>
        <v>Momentum Energy</v>
      </c>
      <c r="B32" s="40" t="str">
        <f>'Tariffs Jan2021'!D26</f>
        <v>Multinet Metro 2</v>
      </c>
      <c r="C32" s="40" t="str">
        <f>'Tariffs Jan2021'!G26</f>
        <v>Market offer</v>
      </c>
      <c r="D32" s="59">
        <f>365*'Tariffs Jan2021'!H26/100</f>
        <v>296.37999999999994</v>
      </c>
      <c r="E32" s="59">
        <f>IF($C$5*'Tariffs Jan2021'!AK26/'Tariffs Jan2021'!AI26&gt;='Tariffs Jan2021'!J26,( 'Tariffs Jan2021'!J26*'Tariffs Jan2021'!O26/100)* 'Tariffs Jan2021'!AI26,($C$5*'Tariffs Jan2021'!AK26/'Tariffs Jan2021'!AI26*'Tariffs Jan2021'!O26/100)* 'Tariffs Jan2021'!AI26)</f>
        <v>206.99999999999994</v>
      </c>
      <c r="F32" s="59">
        <f>IF($C$5*'Tariffs Jan2021'!AK26/'Tariffs Jan2021'!AI26&lt;'Tariffs Jan2021'!J26,0,IF($C$5*'Tariffs Jan2021'!AK26/'Tariffs Jan2021'!AI26&lt;='Tariffs Jan2021'!K26,($C$5*'Tariffs Jan2021'!AK26/'Tariffs Jan2021'!AI26-'Tariffs Jan2021'!J26)*('Tariffs Jan2021'!P26/100)*'Tariffs Jan2021'!AI26,('Tariffs Jan2021'!K26-'Tariffs Jan2021'!J26)*('Tariffs Jan2021'!P26/100)*'Tariffs Jan2021'!AI26))</f>
        <v>189.00000000000003</v>
      </c>
      <c r="G32" s="59">
        <f>IF($C$5*'Tariffs Jan2021'!AK26/'Tariffs Jan2021'!AI26&lt;'Tariffs Jan2021'!K26,0,IF($C$5*'Tariffs Jan2021'!AK26/'Tariffs Jan2021'!AI26&lt;='Tariffs Jan2021'!L26,($C$5*'Tariffs Jan2021'!AK26/'Tariffs Jan2021'!AI26-'Tariffs Jan2021'!K26)*('Tariffs Jan2021'!Q26/100)*'Tariffs Jan2021'!AI26,('Tariffs Jan2021'!L26-'Tariffs Jan2021'!K26)*('Tariffs Jan2021'!Q26/100)*'Tariffs Jan2021'!AI26))</f>
        <v>161.99999999999997</v>
      </c>
      <c r="H32" s="59">
        <f>IF($C$5*'Tariffs Jan2021'!AK26/'Tariffs Jan2021'!AI26&lt;'Tariffs Jan2021'!L26,0,IF($C$5*'Tariffs Jan2021'!AK26/'Tariffs Jan2021'!AI26&lt;='Tariffs Jan2021'!M26,($C$5*'Tariffs Jan2021'!AK26/'Tariffs Jan2021'!AI26-'Tariffs Jan2021'!L26)*('Tariffs Jan2021'!R26/100)*'Tariffs Jan2021'!AI26,('Tariffs Jan2021'!M26-'Tariffs Jan2021'!L26)*('Tariffs Jan2021'!R26/100)*'Tariffs Jan2021'!AI26))</f>
        <v>76.500000000000014</v>
      </c>
      <c r="I32" s="59">
        <f>IF(($C$5*'Tariffs Jan2021'!AK26/'Tariffs Jan2021'!AI26&gt;'Tariffs Jan2021'!M26),($C$5*'Tariffs Jan2021'!AK26/'Tariffs Jan2021'!AI26-'Tariffs Jan2021'!M26)*'Tariffs Jan2021'!S26/100*'Tariffs Jan2021'!AI26,0)</f>
        <v>0</v>
      </c>
      <c r="J32" s="59">
        <f>IF($C$5*'Tariffs Jan2021'!AL26/'Tariffs Jan2021'!AJ26&gt;='Tariffs Jan2021'!J26,('Tariffs Jan2021'!J26*'Tariffs Jan2021'!U26/100)* 'Tariffs Jan2021'!AJ26,($C$5*'Tariffs Jan2021'!AL26/'Tariffs Jan2021'!AJ26*'Tariffs Jan2021'!U26/100)* 'Tariffs Jan2021'!AJ26)</f>
        <v>189</v>
      </c>
      <c r="K32" s="59">
        <f>IF($C$5*'Tariffs Jan2021'!AL26/'Tariffs Jan2021'!AJ26&lt;'Tariffs Jan2021'!J26,0,IF($C$5*'Tariffs Jan2021'!AL26/'Tariffs Jan2021'!AJ26&lt;='Tariffs Jan2021'!K26,($C$5*'Tariffs Jan2021'!AL26/'Tariffs Jan2021'!AJ26-'Tariffs Jan2021'!J26)*('Tariffs Jan2021'!V26/100)*'Tariffs Jan2021'!AJ26,('Tariffs Jan2021'!K26-'Tariffs Jan2021'!J26)*('Tariffs Jan2021'!V26/100)*'Tariffs Jan2021'!AJ26))</f>
        <v>180</v>
      </c>
      <c r="L32" s="59">
        <f>IF($C$5*'Tariffs Jan2021'!AL26/'Tariffs Jan2021'!AJ26&lt;'Tariffs Jan2021'!K26,0,IF($C$5*'Tariffs Jan2021'!AL26/'Tariffs Jan2021'!AJ26&lt;='Tariffs Jan2021'!L26,($C$5*'Tariffs Jan2021'!AL26/'Tariffs Jan2021'!AJ26-'Tariffs Jan2021'!K26)*('Tariffs Jan2021'!W26/100)*'Tariffs Jan2021'!AJ26,('Tariffs Jan2021'!L26-'Tariffs Jan2021'!K26)*('Tariffs Jan2021'!W26/100)*'Tariffs Jan2021'!AJ26))</f>
        <v>153.00000000000003</v>
      </c>
      <c r="M32" s="59">
        <f>IF($C$5*'Tariffs Jan2021'!AL26/'Tariffs Jan2021'!AJ26&lt;'Tariffs Jan2021'!L26,0,IF($C$5*'Tariffs Jan2021'!AL26/'Tariffs Jan2021'!AJ26&lt;='Tariffs Jan2021'!M26,($C$5*'Tariffs Jan2021'!AL26/'Tariffs Jan2021'!AJ26-'Tariffs Jan2021'!L26)*('Tariffs Jan2021'!X26/100)*'Tariffs Jan2021'!AJ26,('Tariffs Jan2021'!M26-'Tariffs Jan2021'!L26)*('Tariffs Jan2021'!X26/100)*'Tariffs Jan2021'!AJ26))</f>
        <v>72</v>
      </c>
      <c r="N32" s="59">
        <f>IF(($C$5*'Tariffs Jan2021'!AL26/'Tariffs Jan2021'!AJ26&gt;'Tariffs Jan2021'!M26),($C$5*'Tariffs Jan2021'!AL26/'Tariffs Jan2021'!AJ26-'Tariffs Jan2021'!M26)*'Tariffs Jan2021'!Y26/100*'Tariffs Jan2021'!AJ26,0)</f>
        <v>0</v>
      </c>
      <c r="O32" s="59">
        <f t="shared" si="1"/>
        <v>1228.5</v>
      </c>
      <c r="P32" s="503">
        <f t="shared" si="2"/>
        <v>1351.3500000000001</v>
      </c>
      <c r="Q32" s="59">
        <f t="shared" si="3"/>
        <v>1524.8799999999999</v>
      </c>
      <c r="R32" s="272">
        <f t="shared" si="4"/>
        <v>1677.3679999999999</v>
      </c>
      <c r="S32" s="40">
        <f>'Tariffs Jan2021'!AN26</f>
        <v>0</v>
      </c>
      <c r="T32" s="40">
        <f>'Tariffs Jan2021'!AO26</f>
        <v>0</v>
      </c>
      <c r="U32" s="40">
        <f>'Tariffs Jan2021'!AP26</f>
        <v>0</v>
      </c>
      <c r="V32" s="40">
        <f>'Tariffs Jan2021'!AQ26</f>
        <v>0</v>
      </c>
      <c r="W32" s="537" t="str">
        <f t="shared" si="20"/>
        <v>No discount</v>
      </c>
      <c r="X32" s="538" t="str">
        <f t="shared" si="21"/>
        <v>Exclusive</v>
      </c>
      <c r="Y32" s="534">
        <f t="shared" ref="Y32" si="26">IF(AND(W32="Guaranteed off bill",X32="Inclusive"),((Q32*1.1)-((Q32*1.1)*S32/100))/1.1,IF(AND(W32="Guaranteed off usage",X32="Inclusive"),((Q32*1.1)-((P32*1.1)*T32/100))/1.1,IF(AND(W32="Guaranteed off bill",X32="Exclusive"),Q32-(Q32*S32/100),IF(AND(W32="Guaranteed off usage",X32="Exclusive"),Q32-(P32*T32/100),IF(X32="Inclusive",((Q32*1.1))/1.1,Q32)))))</f>
        <v>1524.8799999999999</v>
      </c>
      <c r="Z32" s="535">
        <f t="shared" ref="Z32" si="27">IF(AND(W32="Pay-on-time off bill",X32="Inclusive"),((Y32*1.1)-((Y32*1.1)*U32/100))/1.1,IF(AND(W32="Pay-on-time off usage",X32="Inclusive"),((Y32*1.1)-((P32*1.1)*V32/100))/1.1,IF(AND(W32="Pay-on-time off bill",X32="Exclusive"),Y32-(Y32*U32/100),IF(AND(W32="Pay-on-time off usage",X32="Exclusive"),Y32-(P32*V32/100),IF(X32="Inclusive",((Y32*1.1))/1.1,Y32)))))</f>
        <v>1524.8799999999999</v>
      </c>
      <c r="AA32" s="542">
        <f t="shared" si="19"/>
        <v>1677.3679999999999</v>
      </c>
      <c r="AB32" s="542">
        <f t="shared" si="19"/>
        <v>1677.3679999999999</v>
      </c>
      <c r="AC32" s="274">
        <f>'Tariffs Jan2021'!AZ26</f>
        <v>0</v>
      </c>
      <c r="AD32" s="274" t="str">
        <f>'Tariffs Jan2021'!BA26</f>
        <v>n</v>
      </c>
      <c r="AE32" s="275" t="str">
        <f>'Tariffs Jan2021'!BJ26</f>
        <v>N</v>
      </c>
      <c r="AF32" s="516"/>
      <c r="AG32" s="516"/>
      <c r="AH32" s="516"/>
      <c r="AI32" s="516"/>
      <c r="AJ32" s="516"/>
      <c r="AK32" s="516"/>
      <c r="AL32" s="516"/>
      <c r="AM32" s="516"/>
      <c r="AN32" s="516"/>
      <c r="AO32" s="516"/>
      <c r="AP32" s="516"/>
      <c r="AQ32" s="516"/>
      <c r="AR32" s="516"/>
      <c r="AS32" s="516"/>
      <c r="AT32" s="516"/>
      <c r="AU32" s="516"/>
      <c r="AV32" s="516"/>
      <c r="AW32" s="516"/>
      <c r="AX32" s="516"/>
      <c r="AY32" s="516"/>
      <c r="AZ32" s="516"/>
    </row>
    <row r="33" spans="1:52" ht="14" x14ac:dyDescent="0.15">
      <c r="A33" s="270" t="str">
        <f>'Tariffs Jan2021'!F27</f>
        <v>Origin Energy</v>
      </c>
      <c r="B33" s="40" t="str">
        <f>'Tariffs Jan2021'!D27</f>
        <v>Multinet Metro 2</v>
      </c>
      <c r="C33" s="40" t="str">
        <f>'Tariffs Jan2021'!G27</f>
        <v>Go</v>
      </c>
      <c r="D33" s="59">
        <f>365*'Tariffs Jan2021'!H27/100</f>
        <v>204.20090909090908</v>
      </c>
      <c r="E33" s="59">
        <f>IF($C$5*'Tariffs Jan2021'!AK27/'Tariffs Jan2021'!AI27&gt;='Tariffs Jan2021'!J27,( 'Tariffs Jan2021'!J27*'Tariffs Jan2021'!O27/100)* 'Tariffs Jan2021'!AI27,($C$5*'Tariffs Jan2021'!AK27/'Tariffs Jan2021'!AI27*'Tariffs Jan2021'!O27/100)* 'Tariffs Jan2021'!AI27)</f>
        <v>346.90909090909093</v>
      </c>
      <c r="F33" s="59">
        <f>IF($C$5*'Tariffs Jan2021'!AK27/'Tariffs Jan2021'!AI27&lt;'Tariffs Jan2021'!J27,0,IF($C$5*'Tariffs Jan2021'!AK27/'Tariffs Jan2021'!AI27&lt;='Tariffs Jan2021'!K27,($C$5*'Tariffs Jan2021'!AK27/'Tariffs Jan2021'!AI27-'Tariffs Jan2021'!J27)*('Tariffs Jan2021'!P27/100)*'Tariffs Jan2021'!AI27,('Tariffs Jan2021'!K27-'Tariffs Jan2021'!J27)*('Tariffs Jan2021'!P27/100)*'Tariffs Jan2021'!AI27))</f>
        <v>140.72727272727272</v>
      </c>
      <c r="G33" s="59">
        <f>IF($C$5*'Tariffs Jan2021'!AK27/'Tariffs Jan2021'!AI27&lt;'Tariffs Jan2021'!K27,0,IF($C$5*'Tariffs Jan2021'!AK27/'Tariffs Jan2021'!AI27&lt;='Tariffs Jan2021'!L27,($C$5*'Tariffs Jan2021'!AK27/'Tariffs Jan2021'!AI27-'Tariffs Jan2021'!K27)*('Tariffs Jan2021'!Q27/100)*'Tariffs Jan2021'!AI27,('Tariffs Jan2021'!L27-'Tariffs Jan2021'!K27)*('Tariffs Jan2021'!Q27/100)*'Tariffs Jan2021'!AI27))</f>
        <v>0</v>
      </c>
      <c r="H33" s="59">
        <f>IF($C$5*'Tariffs Jan2021'!AK27/'Tariffs Jan2021'!AI27&lt;'Tariffs Jan2021'!L27,0,IF($C$5*'Tariffs Jan2021'!AK27/'Tariffs Jan2021'!AI27&lt;='Tariffs Jan2021'!M27,($C$5*'Tariffs Jan2021'!AK27/'Tariffs Jan2021'!AI27-'Tariffs Jan2021'!L27)*('Tariffs Jan2021'!R27/100)*'Tariffs Jan2021'!AI27,('Tariffs Jan2021'!M27-'Tariffs Jan2021'!L27)*('Tariffs Jan2021'!R27/100)*'Tariffs Jan2021'!AI27))</f>
        <v>0</v>
      </c>
      <c r="I33" s="59">
        <f>IF(($C$5*'Tariffs Jan2021'!AK27/'Tariffs Jan2021'!AI27&gt;'Tariffs Jan2021'!M27),($C$5*'Tariffs Jan2021'!AK27/'Tariffs Jan2021'!AI27-'Tariffs Jan2021'!M27)*'Tariffs Jan2021'!S27/100*'Tariffs Jan2021'!AI27,0)</f>
        <v>52.36363636363636</v>
      </c>
      <c r="J33" s="59">
        <f>IF($C$5*'Tariffs Jan2021'!AL27/'Tariffs Jan2021'!AJ27&gt;='Tariffs Jan2021'!J27,('Tariffs Jan2021'!J27*'Tariffs Jan2021'!U27/100)* 'Tariffs Jan2021'!AJ27,($C$5*'Tariffs Jan2021'!AL27/'Tariffs Jan2021'!AJ27*'Tariffs Jan2021'!U27/100)* 'Tariffs Jan2021'!AJ27)</f>
        <v>317.45454545454538</v>
      </c>
      <c r="K33" s="59">
        <f>IF($C$5*'Tariffs Jan2021'!AL27/'Tariffs Jan2021'!AJ27&lt;'Tariffs Jan2021'!J27,0,IF($C$5*'Tariffs Jan2021'!AL27/'Tariffs Jan2021'!AJ27&lt;='Tariffs Jan2021'!K27,($C$5*'Tariffs Jan2021'!AL27/'Tariffs Jan2021'!AJ27-'Tariffs Jan2021'!J27)*('Tariffs Jan2021'!V27/100)*'Tariffs Jan2021'!AJ27,('Tariffs Jan2021'!K27-'Tariffs Jan2021'!J27)*('Tariffs Jan2021'!V27/100)*'Tariffs Jan2021'!AJ27))</f>
        <v>125.99999999999997</v>
      </c>
      <c r="L33" s="59">
        <f>IF($C$5*'Tariffs Jan2021'!AL27/'Tariffs Jan2021'!AJ27&lt;'Tariffs Jan2021'!K27,0,IF($C$5*'Tariffs Jan2021'!AL27/'Tariffs Jan2021'!AJ27&lt;='Tariffs Jan2021'!L27,($C$5*'Tariffs Jan2021'!AL27/'Tariffs Jan2021'!AJ27-'Tariffs Jan2021'!K27)*('Tariffs Jan2021'!W27/100)*'Tariffs Jan2021'!AJ27,('Tariffs Jan2021'!L27-'Tariffs Jan2021'!K27)*('Tariffs Jan2021'!W27/100)*'Tariffs Jan2021'!AJ27))</f>
        <v>0</v>
      </c>
      <c r="M33" s="59">
        <f>IF($C$5*'Tariffs Jan2021'!AL27/'Tariffs Jan2021'!AJ27&lt;'Tariffs Jan2021'!L27,0,IF($C$5*'Tariffs Jan2021'!AL27/'Tariffs Jan2021'!AJ27&lt;='Tariffs Jan2021'!M27,($C$5*'Tariffs Jan2021'!AL27/'Tariffs Jan2021'!AJ27-'Tariffs Jan2021'!L27)*('Tariffs Jan2021'!X27/100)*'Tariffs Jan2021'!AJ27,('Tariffs Jan2021'!M27-'Tariffs Jan2021'!L27)*('Tariffs Jan2021'!X27/100)*'Tariffs Jan2021'!AJ27))</f>
        <v>0</v>
      </c>
      <c r="N33" s="59">
        <f>IF(($C$5*'Tariffs Jan2021'!AL27/'Tariffs Jan2021'!AJ27&gt;'Tariffs Jan2021'!M27),($C$5*'Tariffs Jan2021'!AL27/'Tariffs Jan2021'!AJ27-'Tariffs Jan2021'!M27)*'Tariffs Jan2021'!Y27/100*'Tariffs Jan2021'!AJ27,0)</f>
        <v>48.68181818181818</v>
      </c>
      <c r="O33" s="59">
        <f t="shared" si="1"/>
        <v>1032.1363636363635</v>
      </c>
      <c r="P33" s="503">
        <f t="shared" si="2"/>
        <v>1135.3499999999999</v>
      </c>
      <c r="Q33" s="59">
        <f t="shared" si="3"/>
        <v>1236.3372727272726</v>
      </c>
      <c r="R33" s="272">
        <f t="shared" si="4"/>
        <v>1359.971</v>
      </c>
      <c r="S33" s="40">
        <f>'Tariffs Jan2021'!AN27</f>
        <v>0</v>
      </c>
      <c r="T33" s="40">
        <f>'Tariffs Jan2021'!AO27</f>
        <v>0</v>
      </c>
      <c r="U33" s="40">
        <f>'Tariffs Jan2021'!AP27</f>
        <v>0</v>
      </c>
      <c r="V33" s="40">
        <f>'Tariffs Jan2021'!AQ27</f>
        <v>0</v>
      </c>
      <c r="W33" s="537" t="str">
        <f t="shared" si="20"/>
        <v>No discount</v>
      </c>
      <c r="X33" s="538" t="str">
        <f t="shared" si="21"/>
        <v>Inclusive</v>
      </c>
      <c r="Y33" s="534">
        <f>IF(AND(W33="Guaranteed off bill",X33="Inclusive"),((Q33*1.1)-((Q33*1.1)*S33/100))/1.1,IF(AND(W33="Guaranteed off usage",X33="Inclusive"),((Q33*1.1)-((P33*1.1)*T33/100))/1.1,IF(AND(W33="Guaranteed off bill",X33="Exclusive"),Q33-(Q33*S33/100),IF(AND(W33="Guaranteed off usage",X33="Exclusive"),Q33-(P33*T33/100),IF(X33="Inclusive",((Q33*1.1))/1.1,Q33)))))</f>
        <v>1236.3372727272726</v>
      </c>
      <c r="Z33" s="535">
        <f>IF(AND(W33="Pay-on-time off bill",X33="Inclusive"),((Y33*1.1)-((Y33*1.1)*U33/100))/1.1,IF(AND(W33="Pay-on-time off usage",X33="Inclusive"),((Y33*1.1)-((P33*1.1)*V33/100))/1.1,IF(AND(W33="Pay-on-time off bill",X33="Exclusive"),Y33-(Y33*U33/100),IF(AND(W33="Pay-on-time off usage",X33="Exclusive"),Y33-(P33*V33/100),IF(X33="Inclusive",((Y33*1.1))/1.1,Y33)))))</f>
        <v>1236.3372727272726</v>
      </c>
      <c r="AA33" s="542">
        <f t="shared" si="19"/>
        <v>1359.971</v>
      </c>
      <c r="AB33" s="542">
        <f t="shared" si="19"/>
        <v>1359.971</v>
      </c>
      <c r="AC33" s="274">
        <f>'Tariffs Jan2021'!AZ27</f>
        <v>0</v>
      </c>
      <c r="AD33" s="274" t="str">
        <f>'Tariffs Jan2021'!BA27</f>
        <v>n</v>
      </c>
      <c r="AE33" s="275" t="str">
        <f>'Tariffs Jan2021'!BJ27</f>
        <v>N</v>
      </c>
      <c r="AF33" s="516"/>
      <c r="AG33" s="516"/>
      <c r="AH33" s="516"/>
      <c r="AI33" s="516"/>
      <c r="AJ33" s="516"/>
      <c r="AK33" s="516"/>
      <c r="AL33" s="516"/>
      <c r="AM33" s="516"/>
      <c r="AN33" s="516"/>
      <c r="AO33" s="516"/>
      <c r="AP33" s="516"/>
      <c r="AQ33" s="516"/>
      <c r="AR33" s="516"/>
      <c r="AS33" s="516"/>
      <c r="AT33" s="516"/>
      <c r="AU33" s="516"/>
      <c r="AV33" s="516"/>
      <c r="AW33" s="516"/>
      <c r="AX33" s="516"/>
      <c r="AY33" s="516"/>
      <c r="AZ33" s="516"/>
    </row>
    <row r="34" spans="1:52" ht="14" x14ac:dyDescent="0.15">
      <c r="A34" s="270" t="str">
        <f>'Tariffs Jan2021'!F28</f>
        <v>Red Energy</v>
      </c>
      <c r="B34" s="40" t="str">
        <f>'Tariffs Jan2021'!D28</f>
        <v>Multinet Metro 2</v>
      </c>
      <c r="C34" s="40" t="str">
        <f>'Tariffs Jan2021'!G28</f>
        <v>Living Energy Saver</v>
      </c>
      <c r="D34" s="59">
        <f>365*'Tariffs Jan2021'!H28/100</f>
        <v>239.14136363636356</v>
      </c>
      <c r="E34" s="59">
        <f>IF($C$5*'Tariffs Jan2021'!AK28/'Tariffs Jan2021'!AI28&gt;='Tariffs Jan2021'!J28,( 'Tariffs Jan2021'!J28*'Tariffs Jan2021'!O28/100)* 'Tariffs Jan2021'!AI28,($C$5*'Tariffs Jan2021'!AK28/'Tariffs Jan2021'!AI28*'Tariffs Jan2021'!O28/100)* 'Tariffs Jan2021'!AI28)</f>
        <v>185.72727272727269</v>
      </c>
      <c r="F34" s="59">
        <f>IF($C$5*'Tariffs Jan2021'!AK28/'Tariffs Jan2021'!AI28&lt;'Tariffs Jan2021'!J28,0,IF($C$5*'Tariffs Jan2021'!AK28/'Tariffs Jan2021'!AI28&lt;='Tariffs Jan2021'!K28,($C$5*'Tariffs Jan2021'!AK28/'Tariffs Jan2021'!AI28-'Tariffs Jan2021'!J28)*('Tariffs Jan2021'!P28/100)*'Tariffs Jan2021'!AI28,('Tariffs Jan2021'!K28-'Tariffs Jan2021'!J28)*('Tariffs Jan2021'!P28/100)*'Tariffs Jan2021'!AI28))</f>
        <v>174.27272727272725</v>
      </c>
      <c r="G34" s="59">
        <f>IF($C$5*'Tariffs Jan2021'!AK28/'Tariffs Jan2021'!AI28&lt;'Tariffs Jan2021'!K28,0,IF($C$5*'Tariffs Jan2021'!AK28/'Tariffs Jan2021'!AI28&lt;='Tariffs Jan2021'!L28,($C$5*'Tariffs Jan2021'!AK28/'Tariffs Jan2021'!AI28-'Tariffs Jan2021'!K28)*('Tariffs Jan2021'!Q28/100)*'Tariffs Jan2021'!AI28,('Tariffs Jan2021'!L28-'Tariffs Jan2021'!K28)*('Tariffs Jan2021'!Q28/100)*'Tariffs Jan2021'!AI28))</f>
        <v>153.81818181818178</v>
      </c>
      <c r="H34" s="59">
        <f>IF($C$5*'Tariffs Jan2021'!AK28/'Tariffs Jan2021'!AI28&lt;'Tariffs Jan2021'!L28,0,IF($C$5*'Tariffs Jan2021'!AK28/'Tariffs Jan2021'!AI28&lt;='Tariffs Jan2021'!M28,($C$5*'Tariffs Jan2021'!AK28/'Tariffs Jan2021'!AI28-'Tariffs Jan2021'!L28)*('Tariffs Jan2021'!R28/100)*'Tariffs Jan2021'!AI28,('Tariffs Jan2021'!M28-'Tariffs Jan2021'!L28)*('Tariffs Jan2021'!R28/100)*'Tariffs Jan2021'!AI28))</f>
        <v>72.818181818181813</v>
      </c>
      <c r="I34" s="59">
        <f>IF(($C$5*'Tariffs Jan2021'!AK28/'Tariffs Jan2021'!AI28&gt;'Tariffs Jan2021'!M28),($C$5*'Tariffs Jan2021'!AK28/'Tariffs Jan2021'!AI28-'Tariffs Jan2021'!M28)*'Tariffs Jan2021'!S28/100*'Tariffs Jan2021'!AI28,0)</f>
        <v>0</v>
      </c>
      <c r="J34" s="59">
        <f>IF($C$5*'Tariffs Jan2021'!AL28/'Tariffs Jan2021'!AJ28&gt;='Tariffs Jan2021'!J28,('Tariffs Jan2021'!J28*'Tariffs Jan2021'!U28/100)* 'Tariffs Jan2021'!AJ28,($C$5*'Tariffs Jan2021'!AL28/'Tariffs Jan2021'!AJ28*'Tariffs Jan2021'!U28/100)* 'Tariffs Jan2021'!AJ28)</f>
        <v>176.72727272727272</v>
      </c>
      <c r="K34" s="59">
        <f>IF($C$5*'Tariffs Jan2021'!AL28/'Tariffs Jan2021'!AJ28&lt;'Tariffs Jan2021'!J28,0,IF($C$5*'Tariffs Jan2021'!AL28/'Tariffs Jan2021'!AJ28&lt;='Tariffs Jan2021'!K28,($C$5*'Tariffs Jan2021'!AL28/'Tariffs Jan2021'!AJ28-'Tariffs Jan2021'!J28)*('Tariffs Jan2021'!V28/100)*'Tariffs Jan2021'!AJ28,('Tariffs Jan2021'!K28-'Tariffs Jan2021'!J28)*('Tariffs Jan2021'!V28/100)*'Tariffs Jan2021'!AJ28))</f>
        <v>161.99999999999997</v>
      </c>
      <c r="L34" s="59">
        <f>IF($C$5*'Tariffs Jan2021'!AL28/'Tariffs Jan2021'!AJ28&lt;'Tariffs Jan2021'!K28,0,IF($C$5*'Tariffs Jan2021'!AL28/'Tariffs Jan2021'!AJ28&lt;='Tariffs Jan2021'!L28,($C$5*'Tariffs Jan2021'!AL28/'Tariffs Jan2021'!AJ28-'Tariffs Jan2021'!K28)*('Tariffs Jan2021'!W28/100)*'Tariffs Jan2021'!AJ28,('Tariffs Jan2021'!L28-'Tariffs Jan2021'!K28)*('Tariffs Jan2021'!W28/100)*'Tariffs Jan2021'!AJ28))</f>
        <v>145.63636363636363</v>
      </c>
      <c r="M34" s="59">
        <f>IF($C$5*'Tariffs Jan2021'!AL28/'Tariffs Jan2021'!AJ28&lt;'Tariffs Jan2021'!L28,0,IF($C$5*'Tariffs Jan2021'!AL28/'Tariffs Jan2021'!AJ28&lt;='Tariffs Jan2021'!M28,($C$5*'Tariffs Jan2021'!AL28/'Tariffs Jan2021'!AJ28-'Tariffs Jan2021'!L28)*('Tariffs Jan2021'!X28/100)*'Tariffs Jan2021'!AJ28,('Tariffs Jan2021'!M28-'Tariffs Jan2021'!L28)*('Tariffs Jan2021'!X28/100)*'Tariffs Jan2021'!AJ28))</f>
        <v>68.72727272727272</v>
      </c>
      <c r="N34" s="59">
        <f>IF(($C$5*'Tariffs Jan2021'!AL28/'Tariffs Jan2021'!AJ28&gt;'Tariffs Jan2021'!M28),($C$5*'Tariffs Jan2021'!AL28/'Tariffs Jan2021'!AJ28-'Tariffs Jan2021'!M28)*'Tariffs Jan2021'!Y28/100*'Tariffs Jan2021'!AJ28,0)</f>
        <v>0</v>
      </c>
      <c r="O34" s="59">
        <f t="shared" si="1"/>
        <v>1139.7272727272727</v>
      </c>
      <c r="P34" s="503">
        <f t="shared" si="2"/>
        <v>1253.7</v>
      </c>
      <c r="Q34" s="59">
        <f t="shared" si="3"/>
        <v>1378.8686363636364</v>
      </c>
      <c r="R34" s="272">
        <f t="shared" si="4"/>
        <v>1516.7555000000002</v>
      </c>
      <c r="S34" s="40">
        <f>'Tariffs Jan2021'!AN28</f>
        <v>0</v>
      </c>
      <c r="T34" s="40">
        <f>'Tariffs Jan2021'!AO28</f>
        <v>0</v>
      </c>
      <c r="U34" s="40">
        <f>'Tariffs Jan2021'!AP28</f>
        <v>0</v>
      </c>
      <c r="V34" s="40">
        <f>'Tariffs Jan2021'!AQ28</f>
        <v>0</v>
      </c>
      <c r="W34" s="537" t="str">
        <f t="shared" si="20"/>
        <v>No discount</v>
      </c>
      <c r="X34" s="538" t="str">
        <f t="shared" si="21"/>
        <v>Inclusive</v>
      </c>
      <c r="Y34" s="534">
        <f t="shared" ref="Y34:Y37" si="28">IF(AND(W34="Guaranteed off bill",X34="Inclusive"),((Q34*1.1)-((Q34*1.1)*S34/100))/1.1,IF(AND(W34="Guaranteed off usage",X34="Inclusive"),((Q34*1.1)-((P34*1.1)*T34/100))/1.1,IF(AND(W34="Guaranteed off bill",X34="Exclusive"),Q34-(Q34*S34/100),IF(AND(W34="Guaranteed off usage",X34="Exclusive"),Q34-(P34*T34/100),IF(X34="Inclusive",((Q34*1.1))/1.1,Q34)))))</f>
        <v>1378.8686363636364</v>
      </c>
      <c r="Z34" s="535">
        <f t="shared" ref="Z34:Z37" si="29">IF(AND(W34="Pay-on-time off bill",X34="Inclusive"),((Y34*1.1)-((Y34*1.1)*U34/100))/1.1,IF(AND(W34="Pay-on-time off usage",X34="Inclusive"),((Y34*1.1)-((P34*1.1)*V34/100))/1.1,IF(AND(W34="Pay-on-time off bill",X34="Exclusive"),Y34-(Y34*U34/100),IF(AND(W34="Pay-on-time off usage",X34="Exclusive"),Y34-(P34*V34/100),IF(X34="Inclusive",((Y34*1.1))/1.1,Y34)))))</f>
        <v>1378.8686363636364</v>
      </c>
      <c r="AA34" s="542">
        <f t="shared" si="19"/>
        <v>1516.7555000000002</v>
      </c>
      <c r="AB34" s="542">
        <f t="shared" si="19"/>
        <v>1516.7555000000002</v>
      </c>
      <c r="AC34" s="274">
        <f>'Tariffs Jan2021'!AZ28</f>
        <v>0</v>
      </c>
      <c r="AD34" s="274" t="str">
        <f>'Tariffs Jan2021'!BA28</f>
        <v>n</v>
      </c>
      <c r="AE34" s="275" t="str">
        <f>'Tariffs Jan2021'!BJ28</f>
        <v>N</v>
      </c>
      <c r="AF34" s="516"/>
      <c r="AG34" s="516"/>
      <c r="AH34" s="516"/>
      <c r="AI34" s="516"/>
      <c r="AJ34" s="516"/>
      <c r="AK34" s="516"/>
      <c r="AL34" s="516"/>
      <c r="AM34" s="516"/>
      <c r="AN34" s="516"/>
      <c r="AO34" s="516"/>
      <c r="AP34" s="516"/>
      <c r="AQ34" s="516"/>
      <c r="AR34" s="516"/>
      <c r="AS34" s="516"/>
      <c r="AT34" s="516"/>
      <c r="AU34" s="516"/>
      <c r="AV34" s="516"/>
      <c r="AW34" s="516"/>
      <c r="AX34" s="516"/>
      <c r="AY34" s="516"/>
      <c r="AZ34" s="516"/>
    </row>
    <row r="35" spans="1:52" ht="14" x14ac:dyDescent="0.15">
      <c r="A35" s="270" t="str">
        <f>'Tariffs Jan2021'!F29</f>
        <v>Simply Energy</v>
      </c>
      <c r="B35" s="40" t="str">
        <f>'Tariffs Jan2021'!D29</f>
        <v>Multinet Metro 2</v>
      </c>
      <c r="C35" s="40" t="str">
        <f>'Tariffs Jan2021'!G29</f>
        <v>Blue</v>
      </c>
      <c r="D35" s="59">
        <f>365*'Tariffs Jan2021'!H29/100</f>
        <v>305.40545454545457</v>
      </c>
      <c r="E35" s="59">
        <f>IF($C$5*'Tariffs Jan2021'!AK29/'Tariffs Jan2021'!AI29&gt;='Tariffs Jan2021'!J29,( 'Tariffs Jan2021'!J29*'Tariffs Jan2021'!O29/100)* 'Tariffs Jan2021'!AI29,($C$5*'Tariffs Jan2021'!AK29/'Tariffs Jan2021'!AI29*'Tariffs Jan2021'!O29/100)* 'Tariffs Jan2021'!AI29)</f>
        <v>222.3</v>
      </c>
      <c r="F35" s="59">
        <f>IF($C$5*'Tariffs Jan2021'!AK29/'Tariffs Jan2021'!AI29&lt;'Tariffs Jan2021'!J29,0,IF($C$5*'Tariffs Jan2021'!AK29/'Tariffs Jan2021'!AI29&lt;='Tariffs Jan2021'!K29,($C$5*'Tariffs Jan2021'!AK29/'Tariffs Jan2021'!AI29-'Tariffs Jan2021'!J29)*('Tariffs Jan2021'!P29/100)*'Tariffs Jan2021'!AI29,('Tariffs Jan2021'!K29-'Tariffs Jan2021'!J29)*('Tariffs Jan2021'!P29/100)*'Tariffs Jan2021'!AI29))</f>
        <v>192.60000000000002</v>
      </c>
      <c r="G35" s="59">
        <f>IF($C$5*'Tariffs Jan2021'!AK29/'Tariffs Jan2021'!AI29&lt;'Tariffs Jan2021'!K29,0,IF($C$5*'Tariffs Jan2021'!AK29/'Tariffs Jan2021'!AI29&lt;='Tariffs Jan2021'!L29,($C$5*'Tariffs Jan2021'!AK29/'Tariffs Jan2021'!AI29-'Tariffs Jan2021'!K29)*('Tariffs Jan2021'!Q29/100)*'Tariffs Jan2021'!AI29,('Tariffs Jan2021'!L29-'Tariffs Jan2021'!K29)*('Tariffs Jan2021'!Q29/100)*'Tariffs Jan2021'!AI29))</f>
        <v>162.9</v>
      </c>
      <c r="H35" s="59">
        <f>IF($C$5*'Tariffs Jan2021'!AK29/'Tariffs Jan2021'!AI29&lt;'Tariffs Jan2021'!L29,0,IF($C$5*'Tariffs Jan2021'!AK29/'Tariffs Jan2021'!AI29&lt;='Tariffs Jan2021'!M29,($C$5*'Tariffs Jan2021'!AK29/'Tariffs Jan2021'!AI29-'Tariffs Jan2021'!L29)*('Tariffs Jan2021'!R29/100)*'Tariffs Jan2021'!AI29,('Tariffs Jan2021'!M29-'Tariffs Jan2021'!L29)*('Tariffs Jan2021'!R29/100)*'Tariffs Jan2021'!AI29))</f>
        <v>73.8</v>
      </c>
      <c r="I35" s="59">
        <f>IF(($C$5*'Tariffs Jan2021'!AK29/'Tariffs Jan2021'!AI29&gt;'Tariffs Jan2021'!M29),($C$5*'Tariffs Jan2021'!AK29/'Tariffs Jan2021'!AI29-'Tariffs Jan2021'!M29)*'Tariffs Jan2021'!S29/100*'Tariffs Jan2021'!AI29,0)</f>
        <v>0</v>
      </c>
      <c r="J35" s="59">
        <f>IF($C$5*'Tariffs Jan2021'!AL29/'Tariffs Jan2021'!AJ29&gt;='Tariffs Jan2021'!J29,('Tariffs Jan2021'!J29*'Tariffs Jan2021'!U29/100)* 'Tariffs Jan2021'!AJ29,($C$5*'Tariffs Jan2021'!AL29/'Tariffs Jan2021'!AJ29*'Tariffs Jan2021'!U29/100)* 'Tariffs Jan2021'!AJ29)</f>
        <v>210.27272727272725</v>
      </c>
      <c r="K35" s="59">
        <f>IF($C$5*'Tariffs Jan2021'!AL29/'Tariffs Jan2021'!AJ29&lt;'Tariffs Jan2021'!J29,0,IF($C$5*'Tariffs Jan2021'!AL29/'Tariffs Jan2021'!AJ29&lt;='Tariffs Jan2021'!K29,($C$5*'Tariffs Jan2021'!AL29/'Tariffs Jan2021'!AJ29-'Tariffs Jan2021'!J29)*('Tariffs Jan2021'!V29/100)*'Tariffs Jan2021'!AJ29,('Tariffs Jan2021'!K29-'Tariffs Jan2021'!J29)*('Tariffs Jan2021'!V29/100)*'Tariffs Jan2021'!AJ29))</f>
        <v>183.27272727272728</v>
      </c>
      <c r="L35" s="59">
        <f>IF($C$5*'Tariffs Jan2021'!AL29/'Tariffs Jan2021'!AJ29&lt;'Tariffs Jan2021'!K29,0,IF($C$5*'Tariffs Jan2021'!AL29/'Tariffs Jan2021'!AJ29&lt;='Tariffs Jan2021'!L29,($C$5*'Tariffs Jan2021'!AL29/'Tariffs Jan2021'!AJ29-'Tariffs Jan2021'!K29)*('Tariffs Jan2021'!W29/100)*'Tariffs Jan2021'!AJ29,('Tariffs Jan2021'!L29-'Tariffs Jan2021'!K29)*('Tariffs Jan2021'!W29/100)*'Tariffs Jan2021'!AJ29))</f>
        <v>158.72727272727269</v>
      </c>
      <c r="M35" s="59">
        <f>IF($C$5*'Tariffs Jan2021'!AL29/'Tariffs Jan2021'!AJ29&lt;'Tariffs Jan2021'!L29,0,IF($C$5*'Tariffs Jan2021'!AL29/'Tariffs Jan2021'!AJ29&lt;='Tariffs Jan2021'!M29,($C$5*'Tariffs Jan2021'!AL29/'Tariffs Jan2021'!AJ29-'Tariffs Jan2021'!L29)*('Tariffs Jan2021'!X29/100)*'Tariffs Jan2021'!AJ29,('Tariffs Jan2021'!M29-'Tariffs Jan2021'!L29)*('Tariffs Jan2021'!X29/100)*'Tariffs Jan2021'!AJ29))</f>
        <v>72.409090909090907</v>
      </c>
      <c r="N35" s="59">
        <f>IF(($C$5*'Tariffs Jan2021'!AL29/'Tariffs Jan2021'!AJ29&gt;'Tariffs Jan2021'!M29),($C$5*'Tariffs Jan2021'!AL29/'Tariffs Jan2021'!AJ29-'Tariffs Jan2021'!M29)*'Tariffs Jan2021'!Y29/100*'Tariffs Jan2021'!AJ29,0)</f>
        <v>0</v>
      </c>
      <c r="O35" s="59">
        <f t="shared" si="1"/>
        <v>1276.2818181818184</v>
      </c>
      <c r="P35" s="503">
        <f t="shared" si="2"/>
        <v>1403.9100000000003</v>
      </c>
      <c r="Q35" s="59">
        <f t="shared" si="3"/>
        <v>1581.687272727273</v>
      </c>
      <c r="R35" s="272">
        <f t="shared" si="4"/>
        <v>1739.8560000000004</v>
      </c>
      <c r="S35" s="40">
        <f>'Tariffs Jan2021'!AN29</f>
        <v>21</v>
      </c>
      <c r="T35" s="40">
        <f>'Tariffs Jan2021'!AO29</f>
        <v>0</v>
      </c>
      <c r="U35" s="40">
        <f>'Tariffs Jan2021'!AP29</f>
        <v>0</v>
      </c>
      <c r="V35" s="40">
        <f>'Tariffs Jan2021'!AQ29</f>
        <v>0</v>
      </c>
      <c r="W35" s="537" t="str">
        <f t="shared" si="20"/>
        <v>Guaranteed off bill</v>
      </c>
      <c r="X35" s="538" t="str">
        <f t="shared" si="21"/>
        <v>Exclusive</v>
      </c>
      <c r="Y35" s="534">
        <f t="shared" si="28"/>
        <v>1249.5329454545458</v>
      </c>
      <c r="Z35" s="535">
        <f t="shared" si="29"/>
        <v>1249.5329454545458</v>
      </c>
      <c r="AA35" s="542">
        <f t="shared" si="19"/>
        <v>1374.4862400000004</v>
      </c>
      <c r="AB35" s="542">
        <f t="shared" si="19"/>
        <v>1374.4862400000004</v>
      </c>
      <c r="AC35" s="274">
        <f>'Tariffs Jan2021'!AZ29</f>
        <v>0</v>
      </c>
      <c r="AD35" s="274" t="str">
        <f>'Tariffs Jan2021'!BA29</f>
        <v>n</v>
      </c>
      <c r="AE35" s="275" t="str">
        <f>'Tariffs Jan2021'!BJ29</f>
        <v>N</v>
      </c>
      <c r="AF35" s="516"/>
      <c r="AG35" s="516"/>
      <c r="AH35" s="516"/>
      <c r="AI35" s="516"/>
      <c r="AJ35" s="516"/>
      <c r="AK35" s="516"/>
      <c r="AL35" s="516"/>
      <c r="AM35" s="516"/>
      <c r="AN35" s="516"/>
      <c r="AO35" s="516"/>
      <c r="AP35" s="516"/>
      <c r="AQ35" s="516"/>
      <c r="AR35" s="516"/>
      <c r="AS35" s="516"/>
      <c r="AT35" s="516"/>
      <c r="AU35" s="516"/>
      <c r="AV35" s="516"/>
      <c r="AW35" s="516"/>
      <c r="AX35" s="516"/>
      <c r="AY35" s="516"/>
      <c r="AZ35" s="516"/>
    </row>
    <row r="36" spans="1:52" ht="14" x14ac:dyDescent="0.15">
      <c r="A36" s="270" t="str">
        <f>'Tariffs Jan2021'!F30</f>
        <v>Sumo Power</v>
      </c>
      <c r="B36" s="40" t="str">
        <f>'Tariffs Jan2021'!D30</f>
        <v>Multinet Metro 2</v>
      </c>
      <c r="C36" s="40" t="str">
        <f>'Tariffs Jan2021'!G30</f>
        <v>Freedom</v>
      </c>
      <c r="D36" s="59">
        <f>365*'Tariffs Jan2021'!H30/100</f>
        <v>229.94999999999996</v>
      </c>
      <c r="E36" s="59">
        <f>IF($C$5*'Tariffs Jan2021'!AK30/'Tariffs Jan2021'!AI30&gt;='Tariffs Jan2021'!J30,( 'Tariffs Jan2021'!J30*'Tariffs Jan2021'!O30/100)* 'Tariffs Jan2021'!AI30,($C$5*'Tariffs Jan2021'!AK30/'Tariffs Jan2021'!AI30*'Tariffs Jan2021'!O30/100)* 'Tariffs Jan2021'!AI30)</f>
        <v>210.27272727272725</v>
      </c>
      <c r="F36" s="59">
        <f>IF($C$5*'Tariffs Jan2021'!AK30/'Tariffs Jan2021'!AI30&lt;'Tariffs Jan2021'!J30,0,IF($C$5*'Tariffs Jan2021'!AK30/'Tariffs Jan2021'!AI30&lt;='Tariffs Jan2021'!K30,($C$5*'Tariffs Jan2021'!AK30/'Tariffs Jan2021'!AI30-'Tariffs Jan2021'!J30)*('Tariffs Jan2021'!P30/100)*'Tariffs Jan2021'!AI30,('Tariffs Jan2021'!K30-'Tariffs Jan2021'!J30)*('Tariffs Jan2021'!P30/100)*'Tariffs Jan2021'!AI30))</f>
        <v>178.36363636363637</v>
      </c>
      <c r="G36" s="59">
        <f>IF($C$5*'Tariffs Jan2021'!AK30/'Tariffs Jan2021'!AI30&lt;'Tariffs Jan2021'!K30,0,IF($C$5*'Tariffs Jan2021'!AK30/'Tariffs Jan2021'!AI30&lt;='Tariffs Jan2021'!L30,($C$5*'Tariffs Jan2021'!AK30/'Tariffs Jan2021'!AI30-'Tariffs Jan2021'!K30)*('Tariffs Jan2021'!Q30/100)*'Tariffs Jan2021'!AI30,('Tariffs Jan2021'!L30-'Tariffs Jan2021'!K30)*('Tariffs Jan2021'!Q30/100)*'Tariffs Jan2021'!AI30))</f>
        <v>154.63636363636363</v>
      </c>
      <c r="H36" s="59">
        <f>IF($C$5*'Tariffs Jan2021'!AK30/'Tariffs Jan2021'!AI30&lt;'Tariffs Jan2021'!L30,0,IF($C$5*'Tariffs Jan2021'!AK30/'Tariffs Jan2021'!AI30&lt;='Tariffs Jan2021'!M30,($C$5*'Tariffs Jan2021'!AK30/'Tariffs Jan2021'!AI30-'Tariffs Jan2021'!L30)*('Tariffs Jan2021'!R30/100)*'Tariffs Jan2021'!AI30,('Tariffs Jan2021'!M30-'Tariffs Jan2021'!L30)*('Tariffs Jan2021'!R30/100)*'Tariffs Jan2021'!AI30))</f>
        <v>62.590909090909093</v>
      </c>
      <c r="I36" s="59">
        <f>IF(($C$5*'Tariffs Jan2021'!AK30/'Tariffs Jan2021'!AI30&gt;'Tariffs Jan2021'!M30),($C$5*'Tariffs Jan2021'!AK30/'Tariffs Jan2021'!AI30-'Tariffs Jan2021'!M30)*'Tariffs Jan2021'!S30/100*'Tariffs Jan2021'!AI30,0)</f>
        <v>0</v>
      </c>
      <c r="J36" s="59">
        <f>IF($C$5*'Tariffs Jan2021'!AL30/'Tariffs Jan2021'!AJ30&gt;='Tariffs Jan2021'!J30,('Tariffs Jan2021'!J30*'Tariffs Jan2021'!U30/100)* 'Tariffs Jan2021'!AJ30,($C$5*'Tariffs Jan2021'!AL30/'Tariffs Jan2021'!AJ30*'Tariffs Jan2021'!U30/100)* 'Tariffs Jan2021'!AJ30)</f>
        <v>178.36363636363637</v>
      </c>
      <c r="K36" s="59">
        <f>IF($C$5*'Tariffs Jan2021'!AL30/'Tariffs Jan2021'!AJ30&lt;'Tariffs Jan2021'!J30,0,IF($C$5*'Tariffs Jan2021'!AL30/'Tariffs Jan2021'!AJ30&lt;='Tariffs Jan2021'!K30,($C$5*'Tariffs Jan2021'!AL30/'Tariffs Jan2021'!AJ30-'Tariffs Jan2021'!J30)*('Tariffs Jan2021'!V30/100)*'Tariffs Jan2021'!AJ30,('Tariffs Jan2021'!K30-'Tariffs Jan2021'!J30)*('Tariffs Jan2021'!V30/100)*'Tariffs Jan2021'!AJ30))</f>
        <v>149.72727272727272</v>
      </c>
      <c r="L36" s="59">
        <f>IF($C$5*'Tariffs Jan2021'!AL30/'Tariffs Jan2021'!AJ30&lt;'Tariffs Jan2021'!K30,0,IF($C$5*'Tariffs Jan2021'!AL30/'Tariffs Jan2021'!AJ30&lt;='Tariffs Jan2021'!L30,($C$5*'Tariffs Jan2021'!AL30/'Tariffs Jan2021'!AJ30-'Tariffs Jan2021'!K30)*('Tariffs Jan2021'!W30/100)*'Tariffs Jan2021'!AJ30,('Tariffs Jan2021'!L30-'Tariffs Jan2021'!K30)*('Tariffs Jan2021'!W30/100)*'Tariffs Jan2021'!AJ30))</f>
        <v>140.72727272727272</v>
      </c>
      <c r="M36" s="59">
        <f>IF($C$5*'Tariffs Jan2021'!AL30/'Tariffs Jan2021'!AJ30&lt;'Tariffs Jan2021'!L30,0,IF($C$5*'Tariffs Jan2021'!AL30/'Tariffs Jan2021'!AJ30&lt;='Tariffs Jan2021'!M30,($C$5*'Tariffs Jan2021'!AL30/'Tariffs Jan2021'!AJ30-'Tariffs Jan2021'!L30)*('Tariffs Jan2021'!X30/100)*'Tariffs Jan2021'!AJ30,('Tariffs Jan2021'!M30-'Tariffs Jan2021'!L30)*('Tariffs Jan2021'!X30/100)*'Tariffs Jan2021'!AJ30))</f>
        <v>58.499999999999986</v>
      </c>
      <c r="N36" s="59">
        <f>IF(($C$5*'Tariffs Jan2021'!AL30/'Tariffs Jan2021'!AJ30&gt;'Tariffs Jan2021'!M30),($C$5*'Tariffs Jan2021'!AL30/'Tariffs Jan2021'!AJ30-'Tariffs Jan2021'!M30)*'Tariffs Jan2021'!Y30/100*'Tariffs Jan2021'!AJ30,0)</f>
        <v>0</v>
      </c>
      <c r="O36" s="59">
        <f t="shared" si="1"/>
        <v>1133.1818181818182</v>
      </c>
      <c r="P36" s="503">
        <f t="shared" si="2"/>
        <v>1246.5000000000002</v>
      </c>
      <c r="Q36" s="59">
        <f t="shared" si="3"/>
        <v>1363.1318181818183</v>
      </c>
      <c r="R36" s="272">
        <f t="shared" si="4"/>
        <v>1499.4450000000002</v>
      </c>
      <c r="S36" s="40">
        <f>'Tariffs Jan2021'!AN30</f>
        <v>0</v>
      </c>
      <c r="T36" s="40">
        <f>'Tariffs Jan2021'!AO30</f>
        <v>0</v>
      </c>
      <c r="U36" s="40">
        <f>'Tariffs Jan2021'!AP30</f>
        <v>0</v>
      </c>
      <c r="V36" s="40">
        <f>'Tariffs Jan2021'!AQ30</f>
        <v>0</v>
      </c>
      <c r="W36" s="537" t="str">
        <f t="shared" si="20"/>
        <v>No discount</v>
      </c>
      <c r="X36" s="538" t="str">
        <f t="shared" si="21"/>
        <v>Exclusive</v>
      </c>
      <c r="Y36" s="534">
        <f t="shared" si="28"/>
        <v>1363.1318181818183</v>
      </c>
      <c r="Z36" s="535">
        <f t="shared" si="29"/>
        <v>1363.1318181818183</v>
      </c>
      <c r="AA36" s="542">
        <f t="shared" si="19"/>
        <v>1499.4450000000002</v>
      </c>
      <c r="AB36" s="542">
        <f t="shared" si="19"/>
        <v>1499.4450000000002</v>
      </c>
      <c r="AC36" s="274">
        <f>'Tariffs Jan2021'!AZ30</f>
        <v>0</v>
      </c>
      <c r="AD36" s="274" t="str">
        <f>'Tariffs Jan2021'!BA30</f>
        <v>n</v>
      </c>
      <c r="AE36" s="275" t="str">
        <f>'Tariffs Jan2021'!BJ30</f>
        <v>Y</v>
      </c>
      <c r="AF36" s="516"/>
      <c r="AG36" s="516"/>
      <c r="AH36" s="516"/>
      <c r="AI36" s="516"/>
      <c r="AJ36" s="516"/>
      <c r="AK36" s="516"/>
      <c r="AL36" s="516"/>
      <c r="AM36" s="516"/>
      <c r="AN36" s="516"/>
      <c r="AO36" s="516"/>
      <c r="AP36" s="516"/>
      <c r="AQ36" s="516"/>
      <c r="AR36" s="516"/>
      <c r="AS36" s="516"/>
      <c r="AT36" s="516"/>
      <c r="AU36" s="516"/>
      <c r="AV36" s="516"/>
      <c r="AW36" s="516"/>
      <c r="AX36" s="516"/>
      <c r="AY36" s="516"/>
      <c r="AZ36" s="516"/>
    </row>
    <row r="37" spans="1:52" ht="14" x14ac:dyDescent="0.15">
      <c r="A37" s="270" t="str">
        <f>'Tariffs Jan2021'!F31</f>
        <v>GloBird Energy</v>
      </c>
      <c r="B37" s="40" t="str">
        <f>'Tariffs Jan2021'!D31</f>
        <v>Multinet Metro 2</v>
      </c>
      <c r="C37" s="40" t="str">
        <f>'Tariffs Jan2021'!G31</f>
        <v>GloSave</v>
      </c>
      <c r="D37" s="59">
        <f>365*'Tariffs Jan2021'!H31/100</f>
        <v>237.25</v>
      </c>
      <c r="E37" s="59">
        <f>IF($C$5*'Tariffs Jan2021'!AK31/'Tariffs Jan2021'!AI31&gt;='Tariffs Jan2021'!J31,( 'Tariffs Jan2021'!J31*'Tariffs Jan2021'!O31/100)* 'Tariffs Jan2021'!AI31,($C$5*'Tariffs Jan2021'!AK31/'Tariffs Jan2021'!AI31*'Tariffs Jan2021'!O31/100)* 'Tariffs Jan2021'!AI31)</f>
        <v>247.6363636363636</v>
      </c>
      <c r="F37" s="59">
        <f>IF($C$5*'Tariffs Jan2021'!AK31/'Tariffs Jan2021'!AI31&lt;'Tariffs Jan2021'!J31,0,IF($C$5*'Tariffs Jan2021'!AK31/'Tariffs Jan2021'!AI31&lt;='Tariffs Jan2021'!K31,($C$5*'Tariffs Jan2021'!AK31/'Tariffs Jan2021'!AI31-'Tariffs Jan2021'!J31)*('Tariffs Jan2021'!P31/100)*'Tariffs Jan2021'!AI31,('Tariffs Jan2021'!K31-'Tariffs Jan2021'!J31)*('Tariffs Jan2021'!P31/100)*'Tariffs Jan2021'!AI31))</f>
        <v>0</v>
      </c>
      <c r="G37" s="59">
        <f>IF($C$5*'Tariffs Jan2021'!AK31/'Tariffs Jan2021'!AI31&lt;'Tariffs Jan2021'!K31,0,IF($C$5*'Tariffs Jan2021'!AK31/'Tariffs Jan2021'!AI31&lt;='Tariffs Jan2021'!L31,($C$5*'Tariffs Jan2021'!AK31/'Tariffs Jan2021'!AI31-'Tariffs Jan2021'!K31)*('Tariffs Jan2021'!Q31/100)*'Tariffs Jan2021'!AI31,('Tariffs Jan2021'!L31-'Tariffs Jan2021'!K31)*('Tariffs Jan2021'!Q31/100)*'Tariffs Jan2021'!AI31))</f>
        <v>0</v>
      </c>
      <c r="H37" s="59">
        <f>IF($C$5*'Tariffs Jan2021'!AK31/'Tariffs Jan2021'!AI31&lt;'Tariffs Jan2021'!L31,0,IF($C$5*'Tariffs Jan2021'!AK31/'Tariffs Jan2021'!AI31&lt;='Tariffs Jan2021'!M31,($C$5*'Tariffs Jan2021'!AK31/'Tariffs Jan2021'!AI31-'Tariffs Jan2021'!L31)*('Tariffs Jan2021'!R31/100)*'Tariffs Jan2021'!AI31,('Tariffs Jan2021'!M31-'Tariffs Jan2021'!L31)*('Tariffs Jan2021'!R31/100)*'Tariffs Jan2021'!AI31))</f>
        <v>0</v>
      </c>
      <c r="I37" s="59">
        <f>IF(($C$5*'Tariffs Jan2021'!AK31/'Tariffs Jan2021'!AI31&gt;'Tariffs Jan2021'!M31),($C$5*'Tariffs Jan2021'!AK31/'Tariffs Jan2021'!AI31-'Tariffs Jan2021'!M31)*'Tariffs Jan2021'!S31/100*'Tariffs Jan2021'!AI31,0)</f>
        <v>137.42247272727269</v>
      </c>
      <c r="J37" s="59">
        <f>IF($C$5*'Tariffs Jan2021'!AL31/'Tariffs Jan2021'!AJ31&gt;='Tariffs Jan2021'!J31,('Tariffs Jan2021'!J31*'Tariffs Jan2021'!U31/100)* 'Tariffs Jan2021'!AJ31,($C$5*'Tariffs Jan2021'!AL31/'Tariffs Jan2021'!AJ31*'Tariffs Jan2021'!U31/100)* 'Tariffs Jan2021'!AJ31)</f>
        <v>469.09090909090907</v>
      </c>
      <c r="K37" s="59">
        <f>IF($C$5*'Tariffs Jan2021'!AL31/'Tariffs Jan2021'!AJ31&lt;'Tariffs Jan2021'!J31,0,IF($C$5*'Tariffs Jan2021'!AL31/'Tariffs Jan2021'!AJ31&lt;='Tariffs Jan2021'!K31,($C$5*'Tariffs Jan2021'!AL31/'Tariffs Jan2021'!AJ31-'Tariffs Jan2021'!J31)*('Tariffs Jan2021'!V31/100)*'Tariffs Jan2021'!AJ31,('Tariffs Jan2021'!K31-'Tariffs Jan2021'!J31)*('Tariffs Jan2021'!V31/100)*'Tariffs Jan2021'!AJ31))</f>
        <v>0</v>
      </c>
      <c r="L37" s="59">
        <f>IF($C$5*'Tariffs Jan2021'!AL31/'Tariffs Jan2021'!AJ31&lt;'Tariffs Jan2021'!K31,0,IF($C$5*'Tariffs Jan2021'!AL31/'Tariffs Jan2021'!AJ31&lt;='Tariffs Jan2021'!L31,($C$5*'Tariffs Jan2021'!AL31/'Tariffs Jan2021'!AJ31-'Tariffs Jan2021'!K31)*('Tariffs Jan2021'!W31/100)*'Tariffs Jan2021'!AJ31,('Tariffs Jan2021'!L31-'Tariffs Jan2021'!K31)*('Tariffs Jan2021'!W31/100)*'Tariffs Jan2021'!AJ31))</f>
        <v>0</v>
      </c>
      <c r="M37" s="59">
        <f>IF($C$5*'Tariffs Jan2021'!AL31/'Tariffs Jan2021'!AJ31&lt;'Tariffs Jan2021'!L31,0,IF($C$5*'Tariffs Jan2021'!AL31/'Tariffs Jan2021'!AJ31&lt;='Tariffs Jan2021'!M31,($C$5*'Tariffs Jan2021'!AL31/'Tariffs Jan2021'!AJ31-'Tariffs Jan2021'!L31)*('Tariffs Jan2021'!X31/100)*'Tariffs Jan2021'!AJ31,('Tariffs Jan2021'!M31-'Tariffs Jan2021'!L31)*('Tariffs Jan2021'!X31/100)*'Tariffs Jan2021'!AJ31))</f>
        <v>0</v>
      </c>
      <c r="N37" s="59">
        <f>IF(($C$5*'Tariffs Jan2021'!AL31/'Tariffs Jan2021'!AJ31&gt;'Tariffs Jan2021'!M31),($C$5*'Tariffs Jan2021'!AL31/'Tariffs Jan2021'!AJ31-'Tariffs Jan2021'!M31)*'Tariffs Jan2021'!Y31/100*'Tariffs Jan2021'!AJ31,0)</f>
        <v>274.84494545454538</v>
      </c>
      <c r="O37" s="59">
        <f>SUM(E37:N37)</f>
        <v>1128.9946909090909</v>
      </c>
      <c r="P37" s="503">
        <f t="shared" si="2"/>
        <v>1241.8941600000001</v>
      </c>
      <c r="Q37" s="59">
        <f>D37+O37</f>
        <v>1366.2446909090909</v>
      </c>
      <c r="R37" s="272">
        <f>Q37*1.1</f>
        <v>1502.8691600000002</v>
      </c>
      <c r="S37" s="40">
        <f>'Tariffs Jan2021'!AN31</f>
        <v>0</v>
      </c>
      <c r="T37" s="40">
        <f>'Tariffs Jan2021'!AO31</f>
        <v>0</v>
      </c>
      <c r="U37" s="40">
        <f>'Tariffs Jan2021'!AP31</f>
        <v>0</v>
      </c>
      <c r="V37" s="40">
        <f>'Tariffs Jan2021'!AQ31</f>
        <v>0</v>
      </c>
      <c r="W37" s="537" t="str">
        <f t="shared" si="20"/>
        <v>No discount</v>
      </c>
      <c r="X37" s="538" t="str">
        <f t="shared" si="21"/>
        <v>Exclusive</v>
      </c>
      <c r="Y37" s="534">
        <f t="shared" si="28"/>
        <v>1366.2446909090909</v>
      </c>
      <c r="Z37" s="535">
        <f t="shared" si="29"/>
        <v>1366.2446909090909</v>
      </c>
      <c r="AA37" s="542">
        <f t="shared" si="19"/>
        <v>1502.8691600000002</v>
      </c>
      <c r="AB37" s="542">
        <f t="shared" si="19"/>
        <v>1502.8691600000002</v>
      </c>
      <c r="AC37" s="274">
        <f>'Tariffs Jan2021'!AZ31</f>
        <v>0</v>
      </c>
      <c r="AD37" s="274" t="str">
        <f>'Tariffs Jan2021'!BA31</f>
        <v>n</v>
      </c>
      <c r="AE37" s="275" t="str">
        <f>'Tariffs Jan2021'!BJ31</f>
        <v>N</v>
      </c>
      <c r="AF37" s="516"/>
      <c r="AG37" s="516"/>
      <c r="AH37" s="516"/>
      <c r="AI37" s="516"/>
      <c r="AJ37" s="516"/>
      <c r="AK37" s="516"/>
      <c r="AL37" s="516"/>
      <c r="AM37" s="516"/>
      <c r="AN37" s="516"/>
      <c r="AO37" s="516"/>
      <c r="AP37" s="516"/>
      <c r="AQ37" s="516"/>
      <c r="AR37" s="516"/>
      <c r="AS37" s="516"/>
      <c r="AT37" s="516"/>
      <c r="AU37" s="516"/>
      <c r="AV37" s="516"/>
      <c r="AW37" s="516"/>
      <c r="AX37" s="516"/>
      <c r="AY37" s="516"/>
      <c r="AZ37" s="516"/>
    </row>
    <row r="38" spans="1:52" ht="14" x14ac:dyDescent="0.15">
      <c r="A38" s="270" t="str">
        <f>'Tariffs Jan2021'!F32</f>
        <v>Powershop</v>
      </c>
      <c r="B38" s="40" t="str">
        <f>'Tariffs Jan2021'!D32</f>
        <v>Multinet Metro 2</v>
      </c>
      <c r="C38" s="40" t="str">
        <f>'Tariffs Jan2021'!G32</f>
        <v>Market offer</v>
      </c>
      <c r="D38" s="59">
        <f>365*'Tariffs Jan2021'!H32/100</f>
        <v>241.09909090909088</v>
      </c>
      <c r="E38" s="59">
        <f>((C$5*'Tariffs Jan2021'!AK32/'Tariffs Jan2021'!AI32)*('Tariffs Jan2021'!O32/100))*'Tariffs Jan2021'!AI32</f>
        <v>546.9545454545455</v>
      </c>
      <c r="F38" s="59">
        <v>0</v>
      </c>
      <c r="G38" s="59">
        <v>0</v>
      </c>
      <c r="H38" s="59">
        <v>0</v>
      </c>
      <c r="I38" s="59">
        <v>0</v>
      </c>
      <c r="J38" s="59">
        <f>((C$5*'Tariffs Jan2021'!AL32/'Tariffs Jan2021'!AJ32)*('Tariffs Jan2021'!U32/100))*'Tariffs Jan2021'!AJ32</f>
        <v>492.54545454545456</v>
      </c>
      <c r="K38" s="59">
        <v>0</v>
      </c>
      <c r="L38" s="59">
        <v>0</v>
      </c>
      <c r="M38" s="59">
        <v>0</v>
      </c>
      <c r="N38" s="59">
        <v>0</v>
      </c>
      <c r="O38" s="59">
        <f t="shared" si="1"/>
        <v>1039.5</v>
      </c>
      <c r="P38" s="503">
        <f t="shared" si="2"/>
        <v>1143.45</v>
      </c>
      <c r="Q38" s="59">
        <f t="shared" si="3"/>
        <v>1280.5990909090908</v>
      </c>
      <c r="R38" s="272">
        <f t="shared" si="4"/>
        <v>1408.6590000000001</v>
      </c>
      <c r="S38" s="40">
        <f>'Tariffs Jan2021'!AN32</f>
        <v>0</v>
      </c>
      <c r="T38" s="40">
        <f>'Tariffs Jan2021'!AO32</f>
        <v>0</v>
      </c>
      <c r="U38" s="40">
        <f>'Tariffs Jan2021'!AP32</f>
        <v>0</v>
      </c>
      <c r="V38" s="40">
        <f>'Tariffs Jan2021'!AQ32</f>
        <v>0</v>
      </c>
      <c r="W38" s="537" t="str">
        <f t="shared" si="20"/>
        <v>No discount</v>
      </c>
      <c r="X38" s="538" t="str">
        <f t="shared" si="21"/>
        <v>Inclusive</v>
      </c>
      <c r="Y38" s="534">
        <f>IF(AND(W38="Guaranteed off bill",X38="Inclusive"),((Q38*1.1)-((Q38*1.1)*S38/100))/1.1,IF(AND(W38="Guaranteed off usage",X38="Inclusive"),((Q38*1.1)-((P38*1.1)*T38/100))/1.1,IF(AND(W38="Guaranteed off bill",X38="Exclusive"),Q38-(Q38*S38/100),IF(AND(W38="Guaranteed off usage",X38="Exclusive"),Q38-(P38*T38/100),IF(X38="Inclusive",((Q38*1.1))/1.1,Q38)))))</f>
        <v>1280.5990909090908</v>
      </c>
      <c r="Z38" s="535">
        <f>IF(AND(W38="Pay-on-time off bill",X38="Inclusive"),((Y38*1.1)-((Y38*1.1)*U38/100))/1.1,IF(AND(W38="Pay-on-time off usage",X38="Inclusive"),((Y38*1.1)-((P38*1.1)*V38/100))/1.1,IF(AND(W38="Pay-on-time off bill",X38="Exclusive"),Y38-(Y38*U38/100),IF(AND(W38="Pay-on-time off usage",X38="Exclusive"),Y38-(P38*V38/100),IF(X38="Inclusive",((Y38*1.1))/1.1,Y38)))))</f>
        <v>1280.5990909090908</v>
      </c>
      <c r="AA38" s="542">
        <f t="shared" si="19"/>
        <v>1408.6590000000001</v>
      </c>
      <c r="AB38" s="542">
        <f t="shared" si="19"/>
        <v>1408.6590000000001</v>
      </c>
      <c r="AC38" s="274">
        <f>'Tariffs Jan2021'!AZ32</f>
        <v>0</v>
      </c>
      <c r="AD38" s="274" t="str">
        <f>'Tariffs Jan2021'!BA32</f>
        <v>n</v>
      </c>
      <c r="AE38" s="275" t="str">
        <f>'Tariffs Jan2021'!BJ32</f>
        <v>Y</v>
      </c>
      <c r="AF38" s="516"/>
      <c r="AG38" s="516"/>
      <c r="AH38" s="516"/>
      <c r="AI38" s="516"/>
      <c r="AJ38" s="516"/>
      <c r="AK38" s="516"/>
      <c r="AL38" s="516"/>
      <c r="AM38" s="516"/>
      <c r="AN38" s="516"/>
      <c r="AO38" s="516"/>
      <c r="AP38" s="516"/>
      <c r="AQ38" s="516"/>
      <c r="AR38" s="516"/>
      <c r="AS38" s="516"/>
      <c r="AT38" s="516"/>
      <c r="AU38" s="516"/>
      <c r="AV38" s="516"/>
      <c r="AW38" s="516"/>
      <c r="AX38" s="516"/>
      <c r="AY38" s="516"/>
      <c r="AZ38" s="516"/>
    </row>
    <row r="39" spans="1:52" ht="14" x14ac:dyDescent="0.15">
      <c r="A39" s="270" t="str">
        <f>'Tariffs Jan2021'!F33</f>
        <v>1st Energy</v>
      </c>
      <c r="B39" s="40" t="str">
        <f>'Tariffs Jan2021'!D33</f>
        <v>Multinet Metro 2</v>
      </c>
      <c r="C39" s="40" t="str">
        <f>'Tariffs Jan2021'!G33</f>
        <v>1st Saver Plus</v>
      </c>
      <c r="D39" s="59">
        <f>365*'Tariffs Jan2021'!H33/100</f>
        <v>259.14999999999998</v>
      </c>
      <c r="E39" s="59">
        <f>IF($C$5*'Tariffs Jan2021'!AK33/'Tariffs Jan2021'!AI33&gt;='Tariffs Jan2021'!J33,( 'Tariffs Jan2021'!J33*'Tariffs Jan2021'!O33/100)* 'Tariffs Jan2021'!AI33,($C$5*'Tariffs Jan2021'!AK33/'Tariffs Jan2021'!AI33*'Tariffs Jan2021'!O33/100)* 'Tariffs Jan2021'!AI33)</f>
        <v>221.72727272727272</v>
      </c>
      <c r="F39" s="59">
        <f>IF($C$5*'Tariffs Jan2021'!AK33/'Tariffs Jan2021'!AI33&lt;'Tariffs Jan2021'!J33,0,IF($C$5*'Tariffs Jan2021'!AK33/'Tariffs Jan2021'!AI33&lt;='Tariffs Jan2021'!K33,($C$5*'Tariffs Jan2021'!AK33/'Tariffs Jan2021'!AI33-'Tariffs Jan2021'!J33)*('Tariffs Jan2021'!P33/100)*'Tariffs Jan2021'!AI33,('Tariffs Jan2021'!K33-'Tariffs Jan2021'!J33)*('Tariffs Jan2021'!P33/100)*'Tariffs Jan2021'!AI33))</f>
        <v>194.72727272727272</v>
      </c>
      <c r="G39" s="59">
        <f>IF($C$5*'Tariffs Jan2021'!AK33/'Tariffs Jan2021'!AI33&lt;'Tariffs Jan2021'!K33,0,IF($C$5*'Tariffs Jan2021'!AK33/'Tariffs Jan2021'!AI33&lt;='Tariffs Jan2021'!L33,($C$5*'Tariffs Jan2021'!AK33/'Tariffs Jan2021'!AI33-'Tariffs Jan2021'!K33)*('Tariffs Jan2021'!Q33/100)*'Tariffs Jan2021'!AI33,('Tariffs Jan2021'!L33-'Tariffs Jan2021'!K33)*('Tariffs Jan2021'!Q33/100)*'Tariffs Jan2021'!AI33))</f>
        <v>0</v>
      </c>
      <c r="H39" s="59">
        <f>IF($C$5*'Tariffs Jan2021'!AK33/'Tariffs Jan2021'!AI33&lt;'Tariffs Jan2021'!L33,0,IF($C$5*'Tariffs Jan2021'!AK33/'Tariffs Jan2021'!AI33&lt;='Tariffs Jan2021'!M33,($C$5*'Tariffs Jan2021'!AK33/'Tariffs Jan2021'!AI33-'Tariffs Jan2021'!L33)*('Tariffs Jan2021'!R33/100)*'Tariffs Jan2021'!AI33,('Tariffs Jan2021'!M33-'Tariffs Jan2021'!L33)*('Tariffs Jan2021'!R33/100)*'Tariffs Jan2021'!AI33))</f>
        <v>0</v>
      </c>
      <c r="I39" s="59">
        <f>IF(($C$5*'Tariffs Jan2021'!AK33/'Tariffs Jan2021'!AI33&gt;'Tariffs Jan2021'!M33),($C$5*'Tariffs Jan2021'!AK33/'Tariffs Jan2021'!AI33-'Tariffs Jan2021'!M33)*'Tariffs Jan2021'!S33/100*'Tariffs Jan2021'!AI33,0)</f>
        <v>245.45454545454544</v>
      </c>
      <c r="J39" s="59">
        <f>IF($C$5*'Tariffs Jan2021'!AL33/'Tariffs Jan2021'!AJ33&gt;='Tariffs Jan2021'!J33,('Tariffs Jan2021'!J33*'Tariffs Jan2021'!U33/100)* 'Tariffs Jan2021'!AJ33,($C$5*'Tariffs Jan2021'!AL33/'Tariffs Jan2021'!AJ33*'Tariffs Jan2021'!U33/100)* 'Tariffs Jan2021'!AJ33)</f>
        <v>221.72727272727272</v>
      </c>
      <c r="K39" s="59">
        <f>IF($C$5*'Tariffs Jan2021'!AL33/'Tariffs Jan2021'!AJ33&lt;'Tariffs Jan2021'!J33,0,IF($C$5*'Tariffs Jan2021'!AL33/'Tariffs Jan2021'!AJ33&lt;='Tariffs Jan2021'!K33,($C$5*'Tariffs Jan2021'!AL33/'Tariffs Jan2021'!AJ33-'Tariffs Jan2021'!J33)*('Tariffs Jan2021'!V33/100)*'Tariffs Jan2021'!AJ33,('Tariffs Jan2021'!K33-'Tariffs Jan2021'!J33)*('Tariffs Jan2021'!V33/100)*'Tariffs Jan2021'!AJ33))</f>
        <v>194.72727272727272</v>
      </c>
      <c r="L39" s="59">
        <f>IF($C$5*'Tariffs Jan2021'!AL33/'Tariffs Jan2021'!AJ33&lt;'Tariffs Jan2021'!K33,0,IF($C$5*'Tariffs Jan2021'!AL33/'Tariffs Jan2021'!AJ33&lt;='Tariffs Jan2021'!L33,($C$5*'Tariffs Jan2021'!AL33/'Tariffs Jan2021'!AJ33-'Tariffs Jan2021'!K33)*('Tariffs Jan2021'!W33/100)*'Tariffs Jan2021'!AJ33,('Tariffs Jan2021'!L33-'Tariffs Jan2021'!K33)*('Tariffs Jan2021'!W33/100)*'Tariffs Jan2021'!AJ33))</f>
        <v>0</v>
      </c>
      <c r="M39" s="59">
        <f>IF($C$5*'Tariffs Jan2021'!AL33/'Tariffs Jan2021'!AJ33&lt;'Tariffs Jan2021'!L33,0,IF($C$5*'Tariffs Jan2021'!AL33/'Tariffs Jan2021'!AJ33&lt;='Tariffs Jan2021'!M33,($C$5*'Tariffs Jan2021'!AL33/'Tariffs Jan2021'!AJ33-'Tariffs Jan2021'!L33)*('Tariffs Jan2021'!X33/100)*'Tariffs Jan2021'!AJ33,('Tariffs Jan2021'!M33-'Tariffs Jan2021'!L33)*('Tariffs Jan2021'!X33/100)*'Tariffs Jan2021'!AJ33))</f>
        <v>0</v>
      </c>
      <c r="N39" s="59">
        <f>IF(($C$5*'Tariffs Jan2021'!AL33/'Tariffs Jan2021'!AJ33&gt;'Tariffs Jan2021'!M33),($C$5*'Tariffs Jan2021'!AL33/'Tariffs Jan2021'!AJ33-'Tariffs Jan2021'!M33)*'Tariffs Jan2021'!Y33/100*'Tariffs Jan2021'!AJ33,0)</f>
        <v>245.45454545454544</v>
      </c>
      <c r="O39" s="59">
        <f t="shared" si="1"/>
        <v>1323.8181818181818</v>
      </c>
      <c r="P39" s="503">
        <f t="shared" si="2"/>
        <v>1456.2</v>
      </c>
      <c r="Q39" s="59">
        <f t="shared" si="3"/>
        <v>1582.9681818181816</v>
      </c>
      <c r="R39" s="272">
        <f t="shared" si="4"/>
        <v>1741.2649999999999</v>
      </c>
      <c r="S39" s="40">
        <f>'Tariffs Jan2021'!AN33</f>
        <v>0</v>
      </c>
      <c r="T39" s="40">
        <f>'Tariffs Jan2021'!AO33</f>
        <v>12</v>
      </c>
      <c r="U39" s="40">
        <f>'Tariffs Jan2021'!AP33</f>
        <v>0</v>
      </c>
      <c r="V39" s="40">
        <f>'Tariffs Jan2021'!AQ33</f>
        <v>3</v>
      </c>
      <c r="W39" s="537" t="str">
        <f t="shared" si="20"/>
        <v>Guaranteed off usage</v>
      </c>
      <c r="X39" s="538" t="str">
        <f t="shared" si="21"/>
        <v>Exclusive</v>
      </c>
      <c r="Y39" s="534">
        <f>Q39-(P39*T39)/100</f>
        <v>1408.2241818181815</v>
      </c>
      <c r="Z39" s="535">
        <f>Y39-(P39*V39)/100</f>
        <v>1364.5381818181816</v>
      </c>
      <c r="AA39" s="542">
        <f t="shared" si="19"/>
        <v>1549.0465999999997</v>
      </c>
      <c r="AB39" s="542">
        <f t="shared" si="19"/>
        <v>1500.9919999999997</v>
      </c>
      <c r="AC39" s="274">
        <f>'Tariffs Jan2021'!AZ33</f>
        <v>0</v>
      </c>
      <c r="AD39" s="274" t="str">
        <f>'Tariffs Jan2021'!BA33</f>
        <v>n</v>
      </c>
      <c r="AE39" s="275" t="str">
        <f>'Tariffs Jan2021'!BJ33</f>
        <v>Y</v>
      </c>
      <c r="AF39" s="516"/>
      <c r="AG39" s="516"/>
      <c r="AH39" s="516"/>
      <c r="AI39" s="516"/>
      <c r="AJ39" s="516"/>
      <c r="AK39" s="516"/>
      <c r="AL39" s="516"/>
      <c r="AM39" s="516"/>
      <c r="AN39" s="516"/>
      <c r="AO39" s="516"/>
      <c r="AP39" s="516"/>
      <c r="AQ39" s="516"/>
      <c r="AR39" s="516"/>
      <c r="AS39" s="516"/>
      <c r="AT39" s="516"/>
      <c r="AU39" s="516"/>
      <c r="AV39" s="516"/>
      <c r="AW39" s="516"/>
      <c r="AX39" s="516"/>
      <c r="AY39" s="516"/>
      <c r="AZ39" s="516"/>
    </row>
    <row r="40" spans="1:52" ht="14" x14ac:dyDescent="0.15">
      <c r="A40" s="40" t="str">
        <f>'Tariffs Jan2021'!F34</f>
        <v>Kogan Energy</v>
      </c>
      <c r="B40" s="40" t="str">
        <f>'Tariffs Jan2021'!D34</f>
        <v>Multinet Metro 2</v>
      </c>
      <c r="C40" s="40" t="str">
        <f>'Tariffs Jan2021'!G34</f>
        <v>Market offer</v>
      </c>
      <c r="D40" s="59">
        <f>365*'Tariffs Jan2021'!H34/100</f>
        <v>214.22181818181815</v>
      </c>
      <c r="E40" s="59">
        <f>((C$5*'Tariffs Jan2021'!AK34/'Tariffs Jan2021'!AI34)*('Tariffs Jan2021'!O34/100))*'Tariffs Jan2021'!AI34</f>
        <v>635.72727272727263</v>
      </c>
      <c r="F40" s="59">
        <v>0</v>
      </c>
      <c r="G40" s="59">
        <v>0</v>
      </c>
      <c r="H40" s="59">
        <v>0</v>
      </c>
      <c r="I40" s="59">
        <v>0</v>
      </c>
      <c r="J40" s="59">
        <f>((C$5*'Tariffs Jan2021'!AL34/'Tariffs Jan2021'!AJ34)*('Tariffs Jan2021'!U34/100))*'Tariffs Jan2021'!AJ34</f>
        <v>589.90909090909076</v>
      </c>
      <c r="K40" s="59">
        <v>0</v>
      </c>
      <c r="L40" s="59">
        <v>0</v>
      </c>
      <c r="M40" s="59">
        <v>0</v>
      </c>
      <c r="N40" s="59">
        <v>0</v>
      </c>
      <c r="O40" s="59">
        <f t="shared" si="1"/>
        <v>1225.6363636363635</v>
      </c>
      <c r="P40" s="503">
        <f t="shared" si="2"/>
        <v>1348.2</v>
      </c>
      <c r="Q40" s="59">
        <f t="shared" si="3"/>
        <v>1439.8581818181817</v>
      </c>
      <c r="R40" s="272">
        <f t="shared" si="4"/>
        <v>1583.8440000000001</v>
      </c>
      <c r="S40" s="40">
        <f>'Tariffs Jan2021'!AN34</f>
        <v>0</v>
      </c>
      <c r="T40" s="40">
        <f>'Tariffs Jan2021'!AO34</f>
        <v>0</v>
      </c>
      <c r="U40" s="40">
        <f>'Tariffs Jan2021'!AP34</f>
        <v>0</v>
      </c>
      <c r="V40" s="40">
        <f>'Tariffs Jan2021'!AQ34</f>
        <v>0</v>
      </c>
      <c r="W40" s="537" t="str">
        <f t="shared" si="20"/>
        <v>No discount</v>
      </c>
      <c r="X40" s="538" t="str">
        <f t="shared" si="21"/>
        <v>Exclusive</v>
      </c>
      <c r="Y40" s="534">
        <f t="shared" ref="Y40:Y41" si="30">IF(AND(W40="Guaranteed off bill",X40="Inclusive"),((Q40*1.1)-((Q40*1.1)*S40/100))/1.1,IF(AND(W40="Guaranteed off usage",X40="Inclusive"),((Q40*1.1)-((P40*1.1)*T40/100))/1.1,IF(AND(W40="Guaranteed off bill",X40="Exclusive"),Q40-(Q40*S40/100),IF(AND(W40="Guaranteed off usage",X40="Exclusive"),Q40-(P40*T40/100),IF(X40="Inclusive",((Q40*1.1))/1.1,Q40)))))</f>
        <v>1439.8581818181817</v>
      </c>
      <c r="Z40" s="535">
        <f t="shared" ref="Z40:Z41" si="31">IF(AND(W40="Pay-on-time off bill",X40="Inclusive"),((Y40*1.1)-((Y40*1.1)*U40/100))/1.1,IF(AND(W40="Pay-on-time off usage",X40="Inclusive"),((Y40*1.1)-((P40*1.1)*V40/100))/1.1,IF(AND(W40="Pay-on-time off bill",X40="Exclusive"),Y40-(Y40*U40/100),IF(AND(W40="Pay-on-time off usage",X40="Exclusive"),Y40-(P40*V40/100),IF(X40="Inclusive",((Y40*1.1))/1.1,Y40)))))</f>
        <v>1439.8581818181817</v>
      </c>
      <c r="AA40" s="542">
        <f t="shared" si="19"/>
        <v>1583.8440000000001</v>
      </c>
      <c r="AB40" s="542">
        <f t="shared" si="19"/>
        <v>1583.8440000000001</v>
      </c>
      <c r="AC40" s="274">
        <f>'Tariffs Jan2021'!AZ34</f>
        <v>0</v>
      </c>
      <c r="AD40" s="274" t="str">
        <f>'Tariffs Jan2021'!BA34</f>
        <v>n</v>
      </c>
      <c r="AE40" s="275" t="str">
        <f>'Tariffs Jan2021'!BJ34</f>
        <v>N</v>
      </c>
      <c r="AF40" s="516"/>
      <c r="AG40" s="516"/>
      <c r="AH40" s="516"/>
      <c r="AI40" s="516"/>
      <c r="AJ40" s="516"/>
      <c r="AK40" s="516"/>
      <c r="AL40" s="516"/>
      <c r="AM40" s="516"/>
      <c r="AN40" s="516"/>
      <c r="AO40" s="516"/>
      <c r="AP40" s="516"/>
      <c r="AQ40" s="516"/>
      <c r="AR40" s="516"/>
      <c r="AS40" s="516"/>
      <c r="AT40" s="516"/>
      <c r="AU40" s="516"/>
      <c r="AV40" s="516"/>
      <c r="AW40" s="516"/>
      <c r="AX40" s="516"/>
      <c r="AY40" s="516"/>
      <c r="AZ40" s="516"/>
    </row>
    <row r="41" spans="1:52" ht="15" thickBot="1" x14ac:dyDescent="0.2">
      <c r="A41" s="276" t="str">
        <f>'Tariffs Jan2021'!F35</f>
        <v>Tango Energy</v>
      </c>
      <c r="B41" s="277" t="str">
        <f>'Tariffs Jan2021'!D35</f>
        <v>Multinet Metro 2</v>
      </c>
      <c r="C41" s="277" t="str">
        <f>'Tariffs Jan2021'!G35</f>
        <v>Home Select</v>
      </c>
      <c r="D41" s="278">
        <f>365*'Tariffs Jan2021'!H35/100</f>
        <v>255.5</v>
      </c>
      <c r="E41" s="278">
        <f>IF($C$5*'Tariffs Jan2021'!AK35/'Tariffs Jan2021'!AI35&gt;='Tariffs Jan2021'!J35,( 'Tariffs Jan2021'!J35*'Tariffs Jan2021'!O35/100)* 'Tariffs Jan2021'!AI35,($C$5*'Tariffs Jan2021'!AK35/'Tariffs Jan2021'!AI35*'Tariffs Jan2021'!O35/100)* 'Tariffs Jan2021'!AI35)</f>
        <v>161.99999999999997</v>
      </c>
      <c r="F41" s="278">
        <f>IF($C$5*'Tariffs Jan2021'!AK35/'Tariffs Jan2021'!AI35&lt;'Tariffs Jan2021'!J35,0,IF($C$5*'Tariffs Jan2021'!AK35/'Tariffs Jan2021'!AI35&lt;='Tariffs Jan2021'!K35,($C$5*'Tariffs Jan2021'!AK35/'Tariffs Jan2021'!AI35-'Tariffs Jan2021'!J35)*('Tariffs Jan2021'!P35/100)*'Tariffs Jan2021'!AI35,('Tariffs Jan2021'!K35-'Tariffs Jan2021'!J35)*('Tariffs Jan2021'!P35/100)*'Tariffs Jan2021'!AI35))</f>
        <v>144</v>
      </c>
      <c r="G41" s="278">
        <f>IF($C$5*'Tariffs Jan2021'!AK35/'Tariffs Jan2021'!AI35&lt;'Tariffs Jan2021'!K35,0,IF($C$5*'Tariffs Jan2021'!AK35/'Tariffs Jan2021'!AI35&lt;='Tariffs Jan2021'!L35,($C$5*'Tariffs Jan2021'!AK35/'Tariffs Jan2021'!AI35-'Tariffs Jan2021'!K35)*('Tariffs Jan2021'!Q35/100)*'Tariffs Jan2021'!AI35,('Tariffs Jan2021'!L35-'Tariffs Jan2021'!K35)*('Tariffs Jan2021'!Q35/100)*'Tariffs Jan2021'!AI35))</f>
        <v>116.99999999999997</v>
      </c>
      <c r="H41" s="278">
        <f>IF($C$5*'Tariffs Jan2021'!AK35/'Tariffs Jan2021'!AI35&lt;'Tariffs Jan2021'!L35,0,IF($C$5*'Tariffs Jan2021'!AK35/'Tariffs Jan2021'!AI35&lt;='Tariffs Jan2021'!M35,($C$5*'Tariffs Jan2021'!AK35/'Tariffs Jan2021'!AI35-'Tariffs Jan2021'!L35)*('Tariffs Jan2021'!R35/100)*'Tariffs Jan2021'!AI35,('Tariffs Jan2021'!M35-'Tariffs Jan2021'!L35)*('Tariffs Jan2021'!R35/100)*'Tariffs Jan2021'!AI35))</f>
        <v>58.499999999999986</v>
      </c>
      <c r="I41" s="278">
        <f>IF(($C$5*'Tariffs Jan2021'!AK35/'Tariffs Jan2021'!AI35&gt;'Tariffs Jan2021'!M35),($C$5*'Tariffs Jan2021'!AK35/'Tariffs Jan2021'!AI35-'Tariffs Jan2021'!M35)*'Tariffs Jan2021'!S35/100*'Tariffs Jan2021'!AI35,0)</f>
        <v>0</v>
      </c>
      <c r="J41" s="278">
        <f>IF($C$5*'Tariffs Jan2021'!AL35/'Tariffs Jan2021'!AJ35&gt;='Tariffs Jan2021'!J35,('Tariffs Jan2021'!J35*'Tariffs Jan2021'!U35/100)* 'Tariffs Jan2021'!AJ35,($C$5*'Tariffs Jan2021'!AL35/'Tariffs Jan2021'!AJ35*'Tariffs Jan2021'!U35/100)* 'Tariffs Jan2021'!AJ35)</f>
        <v>144</v>
      </c>
      <c r="K41" s="278">
        <f>IF($C$5*'Tariffs Jan2021'!AL35/'Tariffs Jan2021'!AJ35&lt;'Tariffs Jan2021'!J35,0,IF($C$5*'Tariffs Jan2021'!AL35/'Tariffs Jan2021'!AJ35&lt;='Tariffs Jan2021'!K35,($C$5*'Tariffs Jan2021'!AL35/'Tariffs Jan2021'!AJ35-'Tariffs Jan2021'!J35)*('Tariffs Jan2021'!V35/100)*'Tariffs Jan2021'!AJ35,('Tariffs Jan2021'!K35-'Tariffs Jan2021'!J35)*('Tariffs Jan2021'!V35/100)*'Tariffs Jan2021'!AJ35))</f>
        <v>125.99999999999997</v>
      </c>
      <c r="L41" s="278">
        <f>IF($C$5*'Tariffs Jan2021'!AL35/'Tariffs Jan2021'!AJ35&lt;'Tariffs Jan2021'!K35,0,IF($C$5*'Tariffs Jan2021'!AL35/'Tariffs Jan2021'!AJ35&lt;='Tariffs Jan2021'!L35,($C$5*'Tariffs Jan2021'!AL35/'Tariffs Jan2021'!AJ35-'Tariffs Jan2021'!K35)*('Tariffs Jan2021'!W35/100)*'Tariffs Jan2021'!AJ35,('Tariffs Jan2021'!L35-'Tariffs Jan2021'!K35)*('Tariffs Jan2021'!W35/100)*'Tariffs Jan2021'!AJ35))</f>
        <v>116.99999999999997</v>
      </c>
      <c r="M41" s="278">
        <f>IF($C$5*'Tariffs Jan2021'!AL35/'Tariffs Jan2021'!AJ35&lt;'Tariffs Jan2021'!L35,0,IF($C$5*'Tariffs Jan2021'!AL35/'Tariffs Jan2021'!AJ35&lt;='Tariffs Jan2021'!M35,($C$5*'Tariffs Jan2021'!AL35/'Tariffs Jan2021'!AJ35-'Tariffs Jan2021'!L35)*('Tariffs Jan2021'!X35/100)*'Tariffs Jan2021'!AJ35,('Tariffs Jan2021'!M35-'Tariffs Jan2021'!L35)*('Tariffs Jan2021'!X35/100)*'Tariffs Jan2021'!AJ35))</f>
        <v>54</v>
      </c>
      <c r="N41" s="278">
        <f>IF(($C$5*'Tariffs Jan2021'!AL35/'Tariffs Jan2021'!AJ35&gt;'Tariffs Jan2021'!M35),($C$5*'Tariffs Jan2021'!AL35/'Tariffs Jan2021'!AJ35-'Tariffs Jan2021'!M35)*'Tariffs Jan2021'!Y35/100*'Tariffs Jan2021'!AJ35,0)</f>
        <v>0</v>
      </c>
      <c r="O41" s="278">
        <f t="shared" si="1"/>
        <v>922.5</v>
      </c>
      <c r="P41" s="504">
        <f t="shared" si="2"/>
        <v>1014.7500000000001</v>
      </c>
      <c r="Q41" s="278">
        <f t="shared" si="3"/>
        <v>1178</v>
      </c>
      <c r="R41" s="280">
        <f t="shared" si="4"/>
        <v>1295.8000000000002</v>
      </c>
      <c r="S41" s="277">
        <f>'Tariffs Jan2021'!AN35</f>
        <v>0</v>
      </c>
      <c r="T41" s="277">
        <f>'Tariffs Jan2021'!AO35</f>
        <v>0</v>
      </c>
      <c r="U41" s="277">
        <f>'Tariffs Jan2021'!AP35</f>
        <v>0</v>
      </c>
      <c r="V41" s="277">
        <f>'Tariffs Jan2021'!AQ35</f>
        <v>0</v>
      </c>
      <c r="W41" s="540" t="str">
        <f t="shared" si="20"/>
        <v>No discount</v>
      </c>
      <c r="X41" s="541" t="str">
        <f t="shared" si="21"/>
        <v>Exclusive</v>
      </c>
      <c r="Y41" s="543">
        <f t="shared" si="30"/>
        <v>1178</v>
      </c>
      <c r="Z41" s="544">
        <f t="shared" si="31"/>
        <v>1178</v>
      </c>
      <c r="AA41" s="545">
        <f t="shared" ref="AA41:AB57" si="32">Y41*1.1</f>
        <v>1295.8000000000002</v>
      </c>
      <c r="AB41" s="545">
        <f t="shared" si="32"/>
        <v>1295.8000000000002</v>
      </c>
      <c r="AC41" s="282">
        <f>'Tariffs Jan2021'!AZ35</f>
        <v>0</v>
      </c>
      <c r="AD41" s="282" t="str">
        <f>'Tariffs Jan2021'!BA35</f>
        <v>n</v>
      </c>
      <c r="AE41" s="283" t="str">
        <f>'Tariffs Jan2021'!BJ35</f>
        <v>Y</v>
      </c>
      <c r="AF41" s="516"/>
      <c r="AG41" s="516"/>
      <c r="AH41" s="516"/>
      <c r="AI41" s="516"/>
      <c r="AJ41" s="516"/>
      <c r="AK41" s="516"/>
      <c r="AL41" s="516"/>
      <c r="AM41" s="516"/>
      <c r="AN41" s="516"/>
      <c r="AO41" s="516"/>
      <c r="AP41" s="516"/>
      <c r="AQ41" s="516"/>
      <c r="AR41" s="516"/>
      <c r="AS41" s="516"/>
      <c r="AT41" s="516"/>
      <c r="AU41" s="516"/>
      <c r="AV41" s="516"/>
      <c r="AW41" s="516"/>
      <c r="AX41" s="516"/>
      <c r="AY41" s="516"/>
      <c r="AZ41" s="516"/>
    </row>
    <row r="42" spans="1:52" ht="15" thickTop="1" x14ac:dyDescent="0.15">
      <c r="A42" s="270" t="str">
        <f>'Tariffs Jan2021'!F36</f>
        <v>AGL</v>
      </c>
      <c r="B42" s="40" t="str">
        <f>'Tariffs Jan2021'!D36</f>
        <v>AGN North</v>
      </c>
      <c r="C42" s="40" t="str">
        <f>'Tariffs Jan2021'!G36</f>
        <v>Essentials</v>
      </c>
      <c r="D42" s="59">
        <f>365*'Tariffs Jan2021'!H36/100</f>
        <v>228.92136363636359</v>
      </c>
      <c r="E42" s="59">
        <f>IF($C$5*'Tariffs Jan2021'!AK36/'Tariffs Jan2021'!AI36&gt;='Tariffs Jan2021'!J36,( 'Tariffs Jan2021'!J36*'Tariffs Jan2021'!O36/100)* 'Tariffs Jan2021'!AI36,($C$5*'Tariffs Jan2021'!AK36/'Tariffs Jan2021'!AI36*'Tariffs Jan2021'!O36/100)* 'Tariffs Jan2021'!AI36)</f>
        <v>106.32681818181817</v>
      </c>
      <c r="F42" s="59">
        <f>IF($C$5*'Tariffs Jan2021'!AK36/'Tariffs Jan2021'!AI36&lt;'Tariffs Jan2021'!J36,0,IF($C$5*'Tariffs Jan2021'!AK36/'Tariffs Jan2021'!AI36&lt;='Tariffs Jan2021'!K36,($C$5*'Tariffs Jan2021'!AK36/'Tariffs Jan2021'!AI36-'Tariffs Jan2021'!J36)*('Tariffs Jan2021'!P36/100)*'Tariffs Jan2021'!AI36,('Tariffs Jan2021'!K36-'Tariffs Jan2021'!J36)*('Tariffs Jan2021'!P36/100)*'Tariffs Jan2021'!AI36))</f>
        <v>81.300000000000011</v>
      </c>
      <c r="G42" s="59">
        <f>IF($C$5*'Tariffs Jan2021'!AK36/'Tariffs Jan2021'!AI36&lt;'Tariffs Jan2021'!K36,0,IF($C$5*'Tariffs Jan2021'!AK36/'Tariffs Jan2021'!AI36&lt;='Tariffs Jan2021'!L36,($C$5*'Tariffs Jan2021'!AK36/'Tariffs Jan2021'!AI36-'Tariffs Jan2021'!K36)*('Tariffs Jan2021'!Q36/100)*'Tariffs Jan2021'!AI36,('Tariffs Jan2021'!L36-'Tariffs Jan2021'!K36)*('Tariffs Jan2021'!Q36/100)*'Tariffs Jan2021'!AI36))</f>
        <v>0</v>
      </c>
      <c r="H42" s="59">
        <f>IF($C$5*'Tariffs Jan2021'!AK36/'Tariffs Jan2021'!AI36&lt;'Tariffs Jan2021'!L36,0,IF($C$5*'Tariffs Jan2021'!AK36/'Tariffs Jan2021'!AI36&lt;='Tariffs Jan2021'!M36,($C$5*'Tariffs Jan2021'!AK36/'Tariffs Jan2021'!AI36-'Tariffs Jan2021'!L36)*('Tariffs Jan2021'!R36/100)*'Tariffs Jan2021'!AI36,('Tariffs Jan2021'!M36-'Tariffs Jan2021'!L36)*('Tariffs Jan2021'!R36/100)*'Tariffs Jan2021'!AI36))</f>
        <v>0</v>
      </c>
      <c r="I42" s="59">
        <f>IF(($C$5*'Tariffs Jan2021'!AK36/'Tariffs Jan2021'!AI36&gt;'Tariffs Jan2021'!M36),($C$5*'Tariffs Jan2021'!AK36/'Tariffs Jan2021'!AI36-'Tariffs Jan2021'!M36)*'Tariffs Jan2021'!S36/100*'Tariffs Jan2021'!AI36,0)</f>
        <v>376.36363636363632</v>
      </c>
      <c r="J42" s="59">
        <f>IF($C$5*'Tariffs Jan2021'!AL36/'Tariffs Jan2021'!AJ36&gt;='Tariffs Jan2021'!J36,('Tariffs Jan2021'!J36*'Tariffs Jan2021'!U36/100)* 'Tariffs Jan2021'!AJ36,($C$5*'Tariffs Jan2021'!AL36/'Tariffs Jan2021'!AJ36*'Tariffs Jan2021'!U36/100)* 'Tariffs Jan2021'!AJ36)</f>
        <v>106.32681818181817</v>
      </c>
      <c r="K42" s="59">
        <f>IF($C$5*'Tariffs Jan2021'!AL36/'Tariffs Jan2021'!AJ36&lt;'Tariffs Jan2021'!J36,0,IF($C$5*'Tariffs Jan2021'!AL36/'Tariffs Jan2021'!AJ36&lt;='Tariffs Jan2021'!K36,($C$5*'Tariffs Jan2021'!AL36/'Tariffs Jan2021'!AJ36-'Tariffs Jan2021'!J36)*('Tariffs Jan2021'!V36/100)*'Tariffs Jan2021'!AJ36,('Tariffs Jan2021'!K36-'Tariffs Jan2021'!J36)*('Tariffs Jan2021'!V36/100)*'Tariffs Jan2021'!AJ36))</f>
        <v>81.300000000000011</v>
      </c>
      <c r="L42" s="59">
        <f>IF($C$5*'Tariffs Jan2021'!AL36/'Tariffs Jan2021'!AJ36&lt;'Tariffs Jan2021'!K36,0,IF($C$5*'Tariffs Jan2021'!AL36/'Tariffs Jan2021'!AJ36&lt;='Tariffs Jan2021'!L36,($C$5*'Tariffs Jan2021'!AL36/'Tariffs Jan2021'!AJ36-'Tariffs Jan2021'!K36)*('Tariffs Jan2021'!W36/100)*'Tariffs Jan2021'!AJ36,('Tariffs Jan2021'!L36-'Tariffs Jan2021'!K36)*('Tariffs Jan2021'!W36/100)*'Tariffs Jan2021'!AJ36))</f>
        <v>0</v>
      </c>
      <c r="M42" s="59">
        <f>IF($C$5*'Tariffs Jan2021'!AL36/'Tariffs Jan2021'!AJ36&lt;'Tariffs Jan2021'!L36,0,IF($C$5*'Tariffs Jan2021'!AL36/'Tariffs Jan2021'!AJ36&lt;='Tariffs Jan2021'!M36,($C$5*'Tariffs Jan2021'!AL36/'Tariffs Jan2021'!AJ36-'Tariffs Jan2021'!L36)*('Tariffs Jan2021'!X36/100)*'Tariffs Jan2021'!AJ36,('Tariffs Jan2021'!M36-'Tariffs Jan2021'!L36)*('Tariffs Jan2021'!X36/100)*'Tariffs Jan2021'!AJ36))</f>
        <v>0</v>
      </c>
      <c r="N42" s="59">
        <f>IF(($C$5*'Tariffs Jan2021'!AL36/'Tariffs Jan2021'!AJ36&gt;'Tariffs Jan2021'!M36),($C$5*'Tariffs Jan2021'!AL36/'Tariffs Jan2021'!AJ36-'Tariffs Jan2021'!M36)*'Tariffs Jan2021'!Y36/100*'Tariffs Jan2021'!AJ36,0)</f>
        <v>376.36363636363632</v>
      </c>
      <c r="O42" s="59">
        <f t="shared" si="1"/>
        <v>1127.9809090909089</v>
      </c>
      <c r="P42" s="503">
        <f t="shared" si="2"/>
        <v>1240.7789999999998</v>
      </c>
      <c r="Q42" s="59">
        <f t="shared" si="3"/>
        <v>1356.9022727272725</v>
      </c>
      <c r="R42" s="272">
        <f t="shared" si="4"/>
        <v>1492.5924999999997</v>
      </c>
      <c r="S42" s="40">
        <f>'Tariffs Jan2021'!AN36</f>
        <v>0</v>
      </c>
      <c r="T42" s="40">
        <f>'Tariffs Jan2021'!AO36</f>
        <v>0</v>
      </c>
      <c r="U42" s="40">
        <f>'Tariffs Jan2021'!AP36</f>
        <v>0</v>
      </c>
      <c r="V42" s="40">
        <f>'Tariffs Jan2021'!AQ36</f>
        <v>0</v>
      </c>
      <c r="W42" s="539" t="str">
        <f>IF(SUM(S42:V42)=0,"No discount",IF(S42&gt;0,"Guaranteed off bill",IF(T42&gt;0,"Guaranteed off usage",IF(U42&gt;0,"Pay-on-time off bill","Pay-on-time off usage"))))</f>
        <v>No discount</v>
      </c>
      <c r="X42" s="538" t="str">
        <f>IF(OR(A42="Origin Energy",A42="Red Energy",A42="Powershop"),"Inclusive","Exclusive")</f>
        <v>Exclusive</v>
      </c>
      <c r="Y42" s="534">
        <f>IF(AND(W42="Guaranteed off bill",X42="Inclusive"),((Q42*1.1)-((Q42*1.1)*S42/100))/1.1,IF(AND(W42="Guaranteed off usage",X42="Inclusive"),((Q42*1.1)-((P42*1.1)*T42/100))/1.1,IF(AND(W42="Guaranteed off bill",X42="Exclusive"),Q42-(Q42*S42/100),IF(AND(W42="Guaranteed off usage",X42="Exclusive"),Q42-(P42*T42/100),IF(X42="Inclusive",((Q42*1.1))/1.1,Q42)))))</f>
        <v>1356.9022727272725</v>
      </c>
      <c r="Z42" s="535">
        <f>IF(AND(W42="Pay-on-time off bill",X42="Inclusive"),((Y42*1.1)-((Y42*1.1)*U42/100))/1.1,IF(AND(W42="Pay-on-time off usage",X42="Inclusive"),((Y42*1.1)-((P42*1.1)*V42/100))/1.1,IF(AND(W42="Pay-on-time off bill",X42="Exclusive"),Y42-(Y42*U42/100),IF(AND(W42="Pay-on-time off usage",X42="Exclusive"),Y42-(P42*V42/100),IF(X42="Inclusive",((Y42*1.1))/1.1,Y42)))))</f>
        <v>1356.9022727272725</v>
      </c>
      <c r="AA42" s="542">
        <f t="shared" si="32"/>
        <v>1492.5924999999997</v>
      </c>
      <c r="AB42" s="542">
        <f t="shared" si="32"/>
        <v>1492.5924999999997</v>
      </c>
      <c r="AC42" s="274">
        <f>'Tariffs Jan2021'!AZ36</f>
        <v>0</v>
      </c>
      <c r="AD42" s="274" t="str">
        <f>'Tariffs Jan2021'!BA36</f>
        <v>n</v>
      </c>
      <c r="AE42" s="275" t="str">
        <f>'Tariffs Jan2021'!BJ36</f>
        <v>N</v>
      </c>
      <c r="AF42" s="516"/>
      <c r="AG42" s="516"/>
      <c r="AH42" s="516"/>
      <c r="AI42" s="516"/>
      <c r="AJ42" s="516"/>
      <c r="AK42" s="516"/>
      <c r="AL42" s="516"/>
      <c r="AM42" s="516"/>
      <c r="AN42" s="516"/>
      <c r="AO42" s="516"/>
      <c r="AP42" s="516"/>
      <c r="AQ42" s="516"/>
      <c r="AR42" s="516"/>
      <c r="AS42" s="516"/>
      <c r="AT42" s="516"/>
      <c r="AU42" s="516"/>
      <c r="AV42" s="516"/>
      <c r="AW42" s="516"/>
      <c r="AX42" s="516"/>
      <c r="AY42" s="516"/>
      <c r="AZ42" s="516"/>
    </row>
    <row r="43" spans="1:52" ht="14" x14ac:dyDescent="0.15">
      <c r="A43" s="270" t="str">
        <f>'Tariffs Jan2021'!F37</f>
        <v>Alinta Energy</v>
      </c>
      <c r="B43" s="40" t="str">
        <f>'Tariffs Jan2021'!D37</f>
        <v>AGN North</v>
      </c>
      <c r="C43" s="40" t="str">
        <f>'Tariffs Jan2021'!G37</f>
        <v>Home Deal</v>
      </c>
      <c r="D43" s="59">
        <f>365*'Tariffs Jan2021'!H37/100</f>
        <v>201.48</v>
      </c>
      <c r="E43" s="59">
        <f>IF($C$5*'Tariffs Jan2021'!AK37/'Tariffs Jan2021'!AI37&gt;='Tariffs Jan2021'!J37,( 'Tariffs Jan2021'!J37*'Tariffs Jan2021'!O37/100)* 'Tariffs Jan2021'!AI37,($C$5*'Tariffs Jan2021'!AK37/'Tariffs Jan2021'!AI37*'Tariffs Jan2021'!O37/100)* 'Tariffs Jan2021'!AI37)</f>
        <v>91.970454545454515</v>
      </c>
      <c r="F43" s="59">
        <f>IF($C$5*'Tariffs Jan2021'!AK37/'Tariffs Jan2021'!AI37&lt;'Tariffs Jan2021'!J37,0,IF($C$5*'Tariffs Jan2021'!AK37/'Tariffs Jan2021'!AI37&lt;='Tariffs Jan2021'!K37,($C$5*'Tariffs Jan2021'!AK37/'Tariffs Jan2021'!AI37-'Tariffs Jan2021'!J37)*('Tariffs Jan2021'!P37/100)*'Tariffs Jan2021'!AI37,('Tariffs Jan2021'!K37-'Tariffs Jan2021'!J37)*('Tariffs Jan2021'!P37/100)*'Tariffs Jan2021'!AI37))</f>
        <v>75.756818181818161</v>
      </c>
      <c r="G43" s="59">
        <f>IF($C$5*'Tariffs Jan2021'!AK37/'Tariffs Jan2021'!AI37&lt;'Tariffs Jan2021'!K37,0,IF($C$5*'Tariffs Jan2021'!AK37/'Tariffs Jan2021'!AI37&lt;='Tariffs Jan2021'!L37,($C$5*'Tariffs Jan2021'!AK37/'Tariffs Jan2021'!AI37-'Tariffs Jan2021'!K37)*('Tariffs Jan2021'!Q37/100)*'Tariffs Jan2021'!AI37,('Tariffs Jan2021'!L37-'Tariffs Jan2021'!K37)*('Tariffs Jan2021'!Q37/100)*'Tariffs Jan2021'!AI37))</f>
        <v>0</v>
      </c>
      <c r="H43" s="59">
        <f>IF($C$5*'Tariffs Jan2021'!AK37/'Tariffs Jan2021'!AI37&lt;'Tariffs Jan2021'!L37,0,IF($C$5*'Tariffs Jan2021'!AK37/'Tariffs Jan2021'!AI37&lt;='Tariffs Jan2021'!M37,($C$5*'Tariffs Jan2021'!AK37/'Tariffs Jan2021'!AI37-'Tariffs Jan2021'!L37)*('Tariffs Jan2021'!R37/100)*'Tariffs Jan2021'!AI37,('Tariffs Jan2021'!M37-'Tariffs Jan2021'!L37)*('Tariffs Jan2021'!R37/100)*'Tariffs Jan2021'!AI37))</f>
        <v>0</v>
      </c>
      <c r="I43" s="59">
        <f>IF(($C$5*'Tariffs Jan2021'!AK37/'Tariffs Jan2021'!AI37&gt;'Tariffs Jan2021'!M37),($C$5*'Tariffs Jan2021'!AK37/'Tariffs Jan2021'!AI37-'Tariffs Jan2021'!M37)*'Tariffs Jan2021'!S37/100*'Tariffs Jan2021'!AI37,0)</f>
        <v>359.99999999999994</v>
      </c>
      <c r="J43" s="59">
        <f>IF($C$5*'Tariffs Jan2021'!AL37/'Tariffs Jan2021'!AJ37&gt;='Tariffs Jan2021'!J37,('Tariffs Jan2021'!J37*'Tariffs Jan2021'!U37/100)* 'Tariffs Jan2021'!AJ37,($C$5*'Tariffs Jan2021'!AL37/'Tariffs Jan2021'!AJ37*'Tariffs Jan2021'!U37/100)* 'Tariffs Jan2021'!AJ37)</f>
        <v>91.970454545454515</v>
      </c>
      <c r="K43" s="59">
        <f>IF($C$5*'Tariffs Jan2021'!AL37/'Tariffs Jan2021'!AJ37&lt;'Tariffs Jan2021'!J37,0,IF($C$5*'Tariffs Jan2021'!AL37/'Tariffs Jan2021'!AJ37&lt;='Tariffs Jan2021'!K37,($C$5*'Tariffs Jan2021'!AL37/'Tariffs Jan2021'!AJ37-'Tariffs Jan2021'!J37)*('Tariffs Jan2021'!V37/100)*'Tariffs Jan2021'!AJ37,('Tariffs Jan2021'!K37-'Tariffs Jan2021'!J37)*('Tariffs Jan2021'!V37/100)*'Tariffs Jan2021'!AJ37))</f>
        <v>75.756818181818161</v>
      </c>
      <c r="L43" s="59">
        <f>IF($C$5*'Tariffs Jan2021'!AL37/'Tariffs Jan2021'!AJ37&lt;'Tariffs Jan2021'!K37,0,IF($C$5*'Tariffs Jan2021'!AL37/'Tariffs Jan2021'!AJ37&lt;='Tariffs Jan2021'!L37,($C$5*'Tariffs Jan2021'!AL37/'Tariffs Jan2021'!AJ37-'Tariffs Jan2021'!K37)*('Tariffs Jan2021'!W37/100)*'Tariffs Jan2021'!AJ37,('Tariffs Jan2021'!L37-'Tariffs Jan2021'!K37)*('Tariffs Jan2021'!W37/100)*'Tariffs Jan2021'!AJ37))</f>
        <v>0</v>
      </c>
      <c r="M43" s="59">
        <f>IF($C$5*'Tariffs Jan2021'!AL37/'Tariffs Jan2021'!AJ37&lt;'Tariffs Jan2021'!L37,0,IF($C$5*'Tariffs Jan2021'!AL37/'Tariffs Jan2021'!AJ37&lt;='Tariffs Jan2021'!M37,($C$5*'Tariffs Jan2021'!AL37/'Tariffs Jan2021'!AJ37-'Tariffs Jan2021'!L37)*('Tariffs Jan2021'!X37/100)*'Tariffs Jan2021'!AJ37,('Tariffs Jan2021'!M37-'Tariffs Jan2021'!L37)*('Tariffs Jan2021'!X37/100)*'Tariffs Jan2021'!AJ37))</f>
        <v>0</v>
      </c>
      <c r="N43" s="59">
        <f>IF(($C$5*'Tariffs Jan2021'!AL37/'Tariffs Jan2021'!AJ37&gt;'Tariffs Jan2021'!M37),($C$5*'Tariffs Jan2021'!AL37/'Tariffs Jan2021'!AJ37-'Tariffs Jan2021'!M37)*'Tariffs Jan2021'!Y37/100*'Tariffs Jan2021'!AJ37,0)</f>
        <v>359.99999999999994</v>
      </c>
      <c r="O43" s="59">
        <f t="shared" si="1"/>
        <v>1055.4545454545453</v>
      </c>
      <c r="P43" s="503">
        <f t="shared" si="2"/>
        <v>1161</v>
      </c>
      <c r="Q43" s="59">
        <f t="shared" si="3"/>
        <v>1256.9345454545453</v>
      </c>
      <c r="R43" s="272">
        <f t="shared" si="4"/>
        <v>1382.6279999999999</v>
      </c>
      <c r="S43" s="40">
        <f>'Tariffs Jan2021'!AN37</f>
        <v>0</v>
      </c>
      <c r="T43" s="40">
        <f>'Tariffs Jan2021'!AO37</f>
        <v>0</v>
      </c>
      <c r="U43" s="40">
        <f>'Tariffs Jan2021'!AP37</f>
        <v>0</v>
      </c>
      <c r="V43" s="40">
        <f>'Tariffs Jan2021'!AQ37</f>
        <v>0</v>
      </c>
      <c r="W43" s="537" t="str">
        <f t="shared" ref="W43:W58" si="33">IF(SUM(S43:V43)=0,"No discount",IF(S43&gt;0,"Guaranteed off bill",IF(T43&gt;0,"Guaranteed off usage",IF(U43&gt;0,"Pay-on-time off bill","Pay-on-time off usage"))))</f>
        <v>No discount</v>
      </c>
      <c r="X43" s="538" t="str">
        <f t="shared" ref="X43:X58" si="34">IF(OR(A43="Origin Energy",A43="Red Energy",A43="Powershop"),"Inclusive","Exclusive")</f>
        <v>Exclusive</v>
      </c>
      <c r="Y43" s="534">
        <f>IF(AND(W43="Guaranteed off bill",X43="Inclusive"),((Q43*1.1)-((Q43*1.1)*S43/100))/1.1,IF(AND(W43="Guaranteed off usage",X43="Inclusive"),((Q43*1.1)-((P43*1.1)*T43/100))/1.1,IF(AND(W43="Guaranteed off bill",X43="Exclusive"),Q43-(Q43*S43/100),IF(AND(W43="Guaranteed off usage",X43="Exclusive"),Q43-(P43*T43/100),IF(X43="Inclusive",((Q43*1.1))/1.1,Q43)))))</f>
        <v>1256.9345454545453</v>
      </c>
      <c r="Z43" s="535">
        <f>IF(AND(W43="Pay-on-time off bill",X43="Inclusive"),((Y43*1.1)-((Y43*1.1)*U43/100))/1.1,IF(AND(W43="Pay-on-time off usage",X43="Inclusive"),((Y43*1.1)-((P43*1.1)*V43/100))/1.1,IF(AND(W43="Pay-on-time off bill",X43="Exclusive"),Y43-(Y43*U43/100),IF(AND(W43="Pay-on-time off usage",X43="Exclusive"),Y43-(P43*V43/100),IF(X43="Inclusive",((Y43*1.1))/1.1,Y43)))))</f>
        <v>1256.9345454545453</v>
      </c>
      <c r="AA43" s="542">
        <f t="shared" si="32"/>
        <v>1382.6279999999999</v>
      </c>
      <c r="AB43" s="542">
        <f t="shared" si="32"/>
        <v>1382.6279999999999</v>
      </c>
      <c r="AC43" s="274">
        <f>'Tariffs Jan2021'!AZ37</f>
        <v>0</v>
      </c>
      <c r="AD43" s="274" t="str">
        <f>'Tariffs Jan2021'!BA37</f>
        <v>n</v>
      </c>
      <c r="AE43" s="275" t="str">
        <f>'Tariffs Jan2021'!BJ37</f>
        <v>N</v>
      </c>
      <c r="AF43" s="516"/>
      <c r="AG43" s="516"/>
      <c r="AH43" s="516"/>
      <c r="AI43" s="516"/>
      <c r="AJ43" s="516"/>
      <c r="AK43" s="516"/>
      <c r="AL43" s="516"/>
      <c r="AM43" s="516"/>
      <c r="AN43" s="516"/>
      <c r="AO43" s="516"/>
      <c r="AP43" s="516"/>
      <c r="AQ43" s="516"/>
      <c r="AR43" s="516"/>
      <c r="AS43" s="516"/>
      <c r="AT43" s="516"/>
      <c r="AU43" s="516"/>
      <c r="AV43" s="516"/>
      <c r="AW43" s="516"/>
      <c r="AX43" s="516"/>
      <c r="AY43" s="516"/>
      <c r="AZ43" s="516"/>
    </row>
    <row r="44" spans="1:52" ht="14" x14ac:dyDescent="0.15">
      <c r="A44" s="270" t="str">
        <f>'Tariffs Jan2021'!F38</f>
        <v>Click Energy</v>
      </c>
      <c r="B44" s="40" t="str">
        <f>'Tariffs Jan2021'!D38</f>
        <v>AGN North</v>
      </c>
      <c r="C44" s="40" t="str">
        <f>'Tariffs Jan2021'!G38</f>
        <v>Lily</v>
      </c>
      <c r="D44" s="59">
        <f>365*'Tariffs Jan2021'!H38/100</f>
        <v>175.63136363636363</v>
      </c>
      <c r="E44" s="59">
        <f>IF($C$5*'Tariffs Jan2021'!AK38/'Tariffs Jan2021'!AI38&gt;='Tariffs Jan2021'!J38,( 'Tariffs Jan2021'!J38*'Tariffs Jan2021'!O38/100)* 'Tariffs Jan2021'!AI38,($C$5*'Tariffs Jan2021'!AK38/'Tariffs Jan2021'!AI38*'Tariffs Jan2021'!O38/100)* 'Tariffs Jan2021'!AI38)</f>
        <v>106.77545454545455</v>
      </c>
      <c r="F44" s="59">
        <f>IF($C$5*'Tariffs Jan2021'!AK38/'Tariffs Jan2021'!AI38&lt;'Tariffs Jan2021'!J38,0,IF($C$5*'Tariffs Jan2021'!AK38/'Tariffs Jan2021'!AI38&lt;='Tariffs Jan2021'!K38,($C$5*'Tariffs Jan2021'!AK38/'Tariffs Jan2021'!AI38-'Tariffs Jan2021'!J38)*('Tariffs Jan2021'!P38/100)*'Tariffs Jan2021'!AI38,('Tariffs Jan2021'!K38-'Tariffs Jan2021'!J38)*('Tariffs Jan2021'!P38/100)*'Tariffs Jan2021'!AI38))</f>
        <v>70.583181818181814</v>
      </c>
      <c r="G44" s="59">
        <f>IF($C$5*'Tariffs Jan2021'!AK38/'Tariffs Jan2021'!AI38&lt;'Tariffs Jan2021'!K38,0,IF($C$5*'Tariffs Jan2021'!AK38/'Tariffs Jan2021'!AI38&lt;='Tariffs Jan2021'!L38,($C$5*'Tariffs Jan2021'!AK38/'Tariffs Jan2021'!AI38-'Tariffs Jan2021'!K38)*('Tariffs Jan2021'!Q38/100)*'Tariffs Jan2021'!AI38,('Tariffs Jan2021'!L38-'Tariffs Jan2021'!K38)*('Tariffs Jan2021'!Q38/100)*'Tariffs Jan2021'!AI38))</f>
        <v>0</v>
      </c>
      <c r="H44" s="59">
        <f>IF($C$5*'Tariffs Jan2021'!AK38/'Tariffs Jan2021'!AI38&lt;'Tariffs Jan2021'!L38,0,IF($C$5*'Tariffs Jan2021'!AK38/'Tariffs Jan2021'!AI38&lt;='Tariffs Jan2021'!M38,($C$5*'Tariffs Jan2021'!AK38/'Tariffs Jan2021'!AI38-'Tariffs Jan2021'!L38)*('Tariffs Jan2021'!R38/100)*'Tariffs Jan2021'!AI38,('Tariffs Jan2021'!M38-'Tariffs Jan2021'!L38)*('Tariffs Jan2021'!R38/100)*'Tariffs Jan2021'!AI38))</f>
        <v>0</v>
      </c>
      <c r="I44" s="59">
        <f>IF(($C$5*'Tariffs Jan2021'!AK38/'Tariffs Jan2021'!AI38&gt;'Tariffs Jan2021'!M38),($C$5*'Tariffs Jan2021'!AK38/'Tariffs Jan2021'!AI38-'Tariffs Jan2021'!M38)*'Tariffs Jan2021'!S38/100*'Tariffs Jan2021'!AI38,0)</f>
        <v>323.18181818181813</v>
      </c>
      <c r="J44" s="59">
        <f>IF($C$5*'Tariffs Jan2021'!AL38/'Tariffs Jan2021'!AJ38&gt;='Tariffs Jan2021'!J38,('Tariffs Jan2021'!J38*'Tariffs Jan2021'!U38/100)* 'Tariffs Jan2021'!AJ38,($C$5*'Tariffs Jan2021'!AL38/'Tariffs Jan2021'!AJ38*'Tariffs Jan2021'!U38/100)* 'Tariffs Jan2021'!AJ38)</f>
        <v>106.77545454545455</v>
      </c>
      <c r="K44" s="59">
        <f>IF($C$5*'Tariffs Jan2021'!AL38/'Tariffs Jan2021'!AJ38&lt;'Tariffs Jan2021'!J38,0,IF($C$5*'Tariffs Jan2021'!AL38/'Tariffs Jan2021'!AJ38&lt;='Tariffs Jan2021'!K38,($C$5*'Tariffs Jan2021'!AL38/'Tariffs Jan2021'!AJ38-'Tariffs Jan2021'!J38)*('Tariffs Jan2021'!V38/100)*'Tariffs Jan2021'!AJ38,('Tariffs Jan2021'!K38-'Tariffs Jan2021'!J38)*('Tariffs Jan2021'!V38/100)*'Tariffs Jan2021'!AJ38))</f>
        <v>70.583181818181814</v>
      </c>
      <c r="L44" s="59">
        <f>IF($C$5*'Tariffs Jan2021'!AL38/'Tariffs Jan2021'!AJ38&lt;'Tariffs Jan2021'!K38,0,IF($C$5*'Tariffs Jan2021'!AL38/'Tariffs Jan2021'!AJ38&lt;='Tariffs Jan2021'!L38,($C$5*'Tariffs Jan2021'!AL38/'Tariffs Jan2021'!AJ38-'Tariffs Jan2021'!K38)*('Tariffs Jan2021'!W38/100)*'Tariffs Jan2021'!AJ38,('Tariffs Jan2021'!L38-'Tariffs Jan2021'!K38)*('Tariffs Jan2021'!W38/100)*'Tariffs Jan2021'!AJ38))</f>
        <v>0</v>
      </c>
      <c r="M44" s="59">
        <f>IF($C$5*'Tariffs Jan2021'!AL38/'Tariffs Jan2021'!AJ38&lt;'Tariffs Jan2021'!L38,0,IF($C$5*'Tariffs Jan2021'!AL38/'Tariffs Jan2021'!AJ38&lt;='Tariffs Jan2021'!M38,($C$5*'Tariffs Jan2021'!AL38/'Tariffs Jan2021'!AJ38-'Tariffs Jan2021'!L38)*('Tariffs Jan2021'!X38/100)*'Tariffs Jan2021'!AJ38,('Tariffs Jan2021'!M38-'Tariffs Jan2021'!L38)*('Tariffs Jan2021'!X38/100)*'Tariffs Jan2021'!AJ38))</f>
        <v>0</v>
      </c>
      <c r="N44" s="59">
        <f>IF(($C$5*'Tariffs Jan2021'!AL38/'Tariffs Jan2021'!AJ38&gt;'Tariffs Jan2021'!M38),($C$5*'Tariffs Jan2021'!AL38/'Tariffs Jan2021'!AJ38-'Tariffs Jan2021'!M38)*'Tariffs Jan2021'!Y38/100*'Tariffs Jan2021'!AJ38,0)</f>
        <v>323.18181818181813</v>
      </c>
      <c r="O44" s="59">
        <f t="shared" si="1"/>
        <v>1001.080909090909</v>
      </c>
      <c r="P44" s="503">
        <f t="shared" si="2"/>
        <v>1101.1890000000001</v>
      </c>
      <c r="Q44" s="59">
        <f t="shared" si="3"/>
        <v>1176.7122727272726</v>
      </c>
      <c r="R44" s="272">
        <f t="shared" si="4"/>
        <v>1294.3834999999999</v>
      </c>
      <c r="S44" s="40">
        <f>'Tariffs Jan2021'!AN38</f>
        <v>0</v>
      </c>
      <c r="T44" s="40">
        <f>'Tariffs Jan2021'!AO38</f>
        <v>0</v>
      </c>
      <c r="U44" s="40">
        <f>'Tariffs Jan2021'!AP38</f>
        <v>0</v>
      </c>
      <c r="V44" s="40">
        <f>'Tariffs Jan2021'!AQ38</f>
        <v>0</v>
      </c>
      <c r="W44" s="537" t="str">
        <f t="shared" si="33"/>
        <v>No discount</v>
      </c>
      <c r="X44" s="538" t="str">
        <f t="shared" si="34"/>
        <v>Exclusive</v>
      </c>
      <c r="Y44" s="534">
        <f t="shared" ref="Y44:Y45" si="35">IF(AND(W44="Guaranteed off bill",X44="Inclusive"),((Q44*1.1)-((Q44*1.1)*S44/100))/1.1,IF(AND(W44="Guaranteed off usage",X44="Inclusive"),((Q44*1.1)-((P44*1.1)*T44/100))/1.1,IF(AND(W44="Guaranteed off bill",X44="Exclusive"),Q44-(Q44*S44/100),IF(AND(W44="Guaranteed off usage",X44="Exclusive"),Q44-(P44*T44/100),IF(X44="Inclusive",((Q44*1.1))/1.1,Q44)))))</f>
        <v>1176.7122727272726</v>
      </c>
      <c r="Z44" s="535">
        <f t="shared" ref="Z44:Z45" si="36">IF(AND(W44="Pay-on-time off bill",X44="Inclusive"),((Y44*1.1)-((Y44*1.1)*U44/100))/1.1,IF(AND(W44="Pay-on-time off usage",X44="Inclusive"),((Y44*1.1)-((P44*1.1)*V44/100))/1.1,IF(AND(W44="Pay-on-time off bill",X44="Exclusive"),Y44-(Y44*U44/100),IF(AND(W44="Pay-on-time off usage",X44="Exclusive"),Y44-(P44*V44/100),IF(X44="Inclusive",((Y44*1.1))/1.1,Y44)))))</f>
        <v>1176.7122727272726</v>
      </c>
      <c r="AA44" s="542">
        <f t="shared" si="32"/>
        <v>1294.3834999999999</v>
      </c>
      <c r="AB44" s="542">
        <f t="shared" si="32"/>
        <v>1294.3834999999999</v>
      </c>
      <c r="AC44" s="274">
        <f>'Tariffs Jan2021'!AZ38</f>
        <v>0</v>
      </c>
      <c r="AD44" s="274" t="str">
        <f>'Tariffs Jan2021'!BA38</f>
        <v>n</v>
      </c>
      <c r="AE44" s="275" t="str">
        <f>'Tariffs Jan2021'!BJ38</f>
        <v>N</v>
      </c>
      <c r="AF44" s="516"/>
      <c r="AG44" s="516"/>
      <c r="AH44" s="516"/>
      <c r="AI44" s="516"/>
      <c r="AJ44" s="516"/>
      <c r="AK44" s="516"/>
      <c r="AL44" s="516"/>
      <c r="AM44" s="516"/>
      <c r="AN44" s="516"/>
      <c r="AO44" s="516"/>
      <c r="AP44" s="516"/>
      <c r="AQ44" s="516"/>
      <c r="AR44" s="516"/>
      <c r="AS44" s="516"/>
      <c r="AT44" s="516"/>
      <c r="AU44" s="516"/>
      <c r="AV44" s="516"/>
      <c r="AW44" s="516"/>
      <c r="AX44" s="516"/>
      <c r="AY44" s="516"/>
      <c r="AZ44" s="516"/>
    </row>
    <row r="45" spans="1:52" ht="14" x14ac:dyDescent="0.15">
      <c r="A45" s="270" t="str">
        <f>'Tariffs Jan2021'!F39</f>
        <v>Covau</v>
      </c>
      <c r="B45" s="40" t="str">
        <f>'Tariffs Jan2021'!D39</f>
        <v>AGN North</v>
      </c>
      <c r="C45" s="40" t="str">
        <f>'Tariffs Jan2021'!G39</f>
        <v>Smart Saver</v>
      </c>
      <c r="D45" s="59">
        <f>365*'Tariffs Jan2021'!H39/100</f>
        <v>273.75</v>
      </c>
      <c r="E45" s="59">
        <f>IF($C$5*'Tariffs Jan2021'!AK39/'Tariffs Jan2021'!AI39&gt;='Tariffs Jan2021'!J39,( 'Tariffs Jan2021'!J39*'Tariffs Jan2021'!O39/100)* 'Tariffs Jan2021'!AI39,($C$5*'Tariffs Jan2021'!AK39/'Tariffs Jan2021'!AI39*'Tariffs Jan2021'!O39/100)* 'Tariffs Jan2021'!AI39)</f>
        <v>147.60136363636363</v>
      </c>
      <c r="F45" s="59">
        <f>IF($C$5*'Tariffs Jan2021'!AK39/'Tariffs Jan2021'!AI39&lt;'Tariffs Jan2021'!J39,0,IF($C$5*'Tariffs Jan2021'!AK39/'Tariffs Jan2021'!AI39&lt;='Tariffs Jan2021'!K39,($C$5*'Tariffs Jan2021'!AK39/'Tariffs Jan2021'!AI39-'Tariffs Jan2021'!J39)*('Tariffs Jan2021'!P39/100)*'Tariffs Jan2021'!AI39,('Tariffs Jan2021'!K39-'Tariffs Jan2021'!J39)*('Tariffs Jan2021'!P39/100)*'Tariffs Jan2021'!AI39))</f>
        <v>107.9072727272727</v>
      </c>
      <c r="G45" s="59">
        <f>IF($C$5*'Tariffs Jan2021'!AK39/'Tariffs Jan2021'!AI39&lt;'Tariffs Jan2021'!K39,0,IF($C$5*'Tariffs Jan2021'!AK39/'Tariffs Jan2021'!AI39&lt;='Tariffs Jan2021'!L39,($C$5*'Tariffs Jan2021'!AK39/'Tariffs Jan2021'!AI39-'Tariffs Jan2021'!K39)*('Tariffs Jan2021'!Q39/100)*'Tariffs Jan2021'!AI39,('Tariffs Jan2021'!L39-'Tariffs Jan2021'!K39)*('Tariffs Jan2021'!Q39/100)*'Tariffs Jan2021'!AI39))</f>
        <v>0</v>
      </c>
      <c r="H45" s="59">
        <f>IF($C$5*'Tariffs Jan2021'!AK39/'Tariffs Jan2021'!AI39&lt;'Tariffs Jan2021'!L39,0,IF($C$5*'Tariffs Jan2021'!AK39/'Tariffs Jan2021'!AI39&lt;='Tariffs Jan2021'!M39,($C$5*'Tariffs Jan2021'!AK39/'Tariffs Jan2021'!AI39-'Tariffs Jan2021'!L39)*('Tariffs Jan2021'!R39/100)*'Tariffs Jan2021'!AI39,('Tariffs Jan2021'!M39-'Tariffs Jan2021'!L39)*('Tariffs Jan2021'!R39/100)*'Tariffs Jan2021'!AI39))</f>
        <v>0</v>
      </c>
      <c r="I45" s="59">
        <f>IF(($C$5*'Tariffs Jan2021'!AK39/'Tariffs Jan2021'!AI39&gt;'Tariffs Jan2021'!M39),($C$5*'Tariffs Jan2021'!AK39/'Tariffs Jan2021'!AI39-'Tariffs Jan2021'!M39)*'Tariffs Jan2021'!S39/100*'Tariffs Jan2021'!AI39,0)</f>
        <v>499.09090909090895</v>
      </c>
      <c r="J45" s="59">
        <f>IF($C$5*'Tariffs Jan2021'!AL39/'Tariffs Jan2021'!AJ39&gt;='Tariffs Jan2021'!J39,('Tariffs Jan2021'!J39*'Tariffs Jan2021'!U39/100)* 'Tariffs Jan2021'!AJ39,($C$5*'Tariffs Jan2021'!AL39/'Tariffs Jan2021'!AJ39*'Tariffs Jan2021'!U39/100)* 'Tariffs Jan2021'!AJ39)</f>
        <v>147.60136363636363</v>
      </c>
      <c r="K45" s="59">
        <f>IF($C$5*'Tariffs Jan2021'!AL39/'Tariffs Jan2021'!AJ39&lt;'Tariffs Jan2021'!J39,0,IF($C$5*'Tariffs Jan2021'!AL39/'Tariffs Jan2021'!AJ39&lt;='Tariffs Jan2021'!K39,($C$5*'Tariffs Jan2021'!AL39/'Tariffs Jan2021'!AJ39-'Tariffs Jan2021'!J39)*('Tariffs Jan2021'!V39/100)*'Tariffs Jan2021'!AJ39,('Tariffs Jan2021'!K39-'Tariffs Jan2021'!J39)*('Tariffs Jan2021'!V39/100)*'Tariffs Jan2021'!AJ39))</f>
        <v>107.9072727272727</v>
      </c>
      <c r="L45" s="59">
        <f>IF($C$5*'Tariffs Jan2021'!AL39/'Tariffs Jan2021'!AJ39&lt;'Tariffs Jan2021'!K39,0,IF($C$5*'Tariffs Jan2021'!AL39/'Tariffs Jan2021'!AJ39&lt;='Tariffs Jan2021'!L39,($C$5*'Tariffs Jan2021'!AL39/'Tariffs Jan2021'!AJ39-'Tariffs Jan2021'!K39)*('Tariffs Jan2021'!W39/100)*'Tariffs Jan2021'!AJ39,('Tariffs Jan2021'!L39-'Tariffs Jan2021'!K39)*('Tariffs Jan2021'!W39/100)*'Tariffs Jan2021'!AJ39))</f>
        <v>0</v>
      </c>
      <c r="M45" s="59">
        <f>IF($C$5*'Tariffs Jan2021'!AL39/'Tariffs Jan2021'!AJ39&lt;'Tariffs Jan2021'!L39,0,IF($C$5*'Tariffs Jan2021'!AL39/'Tariffs Jan2021'!AJ39&lt;='Tariffs Jan2021'!M39,($C$5*'Tariffs Jan2021'!AL39/'Tariffs Jan2021'!AJ39-'Tariffs Jan2021'!L39)*('Tariffs Jan2021'!X39/100)*'Tariffs Jan2021'!AJ39,('Tariffs Jan2021'!M39-'Tariffs Jan2021'!L39)*('Tariffs Jan2021'!X39/100)*'Tariffs Jan2021'!AJ39))</f>
        <v>0</v>
      </c>
      <c r="N45" s="59">
        <f>IF(($C$5*'Tariffs Jan2021'!AL39/'Tariffs Jan2021'!AJ39&gt;'Tariffs Jan2021'!M39),($C$5*'Tariffs Jan2021'!AL39/'Tariffs Jan2021'!AJ39-'Tariffs Jan2021'!M39)*'Tariffs Jan2021'!Y39/100*'Tariffs Jan2021'!AJ39,0)</f>
        <v>499.09090909090895</v>
      </c>
      <c r="O45" s="59">
        <f t="shared" si="1"/>
        <v>1509.1990909090905</v>
      </c>
      <c r="P45" s="503">
        <f t="shared" si="2"/>
        <v>1660.1189999999997</v>
      </c>
      <c r="Q45" s="59">
        <f t="shared" si="3"/>
        <v>1782.9490909090905</v>
      </c>
      <c r="R45" s="272">
        <f t="shared" si="4"/>
        <v>1961.2439999999997</v>
      </c>
      <c r="S45" s="40">
        <f>'Tariffs Jan2021'!AN39</f>
        <v>0</v>
      </c>
      <c r="T45" s="40">
        <f>'Tariffs Jan2021'!AO39</f>
        <v>16</v>
      </c>
      <c r="U45" s="40">
        <f>'Tariffs Jan2021'!AP39</f>
        <v>0</v>
      </c>
      <c r="V45" s="40">
        <f>'Tariffs Jan2021'!AQ39</f>
        <v>0</v>
      </c>
      <c r="W45" s="537" t="str">
        <f t="shared" si="33"/>
        <v>Guaranteed off usage</v>
      </c>
      <c r="X45" s="538" t="str">
        <f t="shared" si="34"/>
        <v>Exclusive</v>
      </c>
      <c r="Y45" s="534">
        <f t="shared" si="35"/>
        <v>1517.3300509090905</v>
      </c>
      <c r="Z45" s="535">
        <f t="shared" si="36"/>
        <v>1517.3300509090905</v>
      </c>
      <c r="AA45" s="542">
        <f t="shared" si="32"/>
        <v>1669.0630559999997</v>
      </c>
      <c r="AB45" s="542">
        <f t="shared" si="32"/>
        <v>1669.0630559999997</v>
      </c>
      <c r="AC45" s="274">
        <f>'Tariffs Jan2021'!AZ39</f>
        <v>0</v>
      </c>
      <c r="AD45" s="274" t="str">
        <f>'Tariffs Jan2021'!BA39</f>
        <v>n</v>
      </c>
      <c r="AE45" s="275" t="str">
        <f>'Tariffs Jan2021'!BJ39</f>
        <v>N</v>
      </c>
      <c r="AF45" s="516"/>
      <c r="AG45" s="516"/>
      <c r="AH45" s="516"/>
      <c r="AI45" s="516"/>
      <c r="AJ45" s="516"/>
      <c r="AK45" s="516"/>
      <c r="AL45" s="516"/>
      <c r="AM45" s="516"/>
      <c r="AN45" s="516"/>
      <c r="AO45" s="516"/>
      <c r="AP45" s="516"/>
      <c r="AQ45" s="516"/>
      <c r="AR45" s="516"/>
      <c r="AS45" s="516"/>
      <c r="AT45" s="516"/>
      <c r="AU45" s="516"/>
      <c r="AV45" s="516"/>
      <c r="AW45" s="516"/>
      <c r="AX45" s="516"/>
      <c r="AY45" s="516"/>
      <c r="AZ45" s="516"/>
    </row>
    <row r="46" spans="1:52" ht="14" x14ac:dyDescent="0.15">
      <c r="A46" s="270" t="str">
        <f>'Tariffs Jan2021'!F40</f>
        <v>Dodo Power &amp; Gas</v>
      </c>
      <c r="B46" s="40" t="str">
        <f>'Tariffs Jan2021'!D40</f>
        <v>AGN North</v>
      </c>
      <c r="C46" s="40" t="str">
        <f>'Tariffs Jan2021'!G40</f>
        <v>Market offer</v>
      </c>
      <c r="D46" s="59">
        <f>365*'Tariffs Jan2021'!H40/100</f>
        <v>200.58409090909092</v>
      </c>
      <c r="E46" s="59">
        <f>IF($C$5*'Tariffs Jan2021'!AK40/'Tariffs Jan2021'!AI40&gt;='Tariffs Jan2021'!J40,( 'Tariffs Jan2021'!J40*'Tariffs Jan2021'!O40/100)* 'Tariffs Jan2021'!AI40,($C$5*'Tariffs Jan2021'!AK40/'Tariffs Jan2021'!AI40*'Tariffs Jan2021'!O40/100)* 'Tariffs Jan2021'!AI40)</f>
        <v>126.06681818181816</v>
      </c>
      <c r="F46" s="59">
        <f>IF($C$5*'Tariffs Jan2021'!AK40/'Tariffs Jan2021'!AI40&lt;'Tariffs Jan2021'!J40,0,IF($C$5*'Tariffs Jan2021'!AK40/'Tariffs Jan2021'!AI40&lt;='Tariffs Jan2021'!K40,($C$5*'Tariffs Jan2021'!AK40/'Tariffs Jan2021'!AI40-'Tariffs Jan2021'!J40)*('Tariffs Jan2021'!P40/100)*'Tariffs Jan2021'!AI40,('Tariffs Jan2021'!K40-'Tariffs Jan2021'!J40)*('Tariffs Jan2021'!P40/100)*'Tariffs Jan2021'!AI40))</f>
        <v>86.1040909090909</v>
      </c>
      <c r="G46" s="59">
        <f>IF($C$5*'Tariffs Jan2021'!AK40/'Tariffs Jan2021'!AI40&lt;'Tariffs Jan2021'!K40,0,IF($C$5*'Tariffs Jan2021'!AK40/'Tariffs Jan2021'!AI40&lt;='Tariffs Jan2021'!L40,($C$5*'Tariffs Jan2021'!AK40/'Tariffs Jan2021'!AI40-'Tariffs Jan2021'!K40)*('Tariffs Jan2021'!Q40/100)*'Tariffs Jan2021'!AI40,('Tariffs Jan2021'!L40-'Tariffs Jan2021'!K40)*('Tariffs Jan2021'!Q40/100)*'Tariffs Jan2021'!AI40))</f>
        <v>0</v>
      </c>
      <c r="H46" s="59">
        <f>IF($C$5*'Tariffs Jan2021'!AK40/'Tariffs Jan2021'!AI40&lt;'Tariffs Jan2021'!L40,0,IF($C$5*'Tariffs Jan2021'!AK40/'Tariffs Jan2021'!AI40&lt;='Tariffs Jan2021'!M40,($C$5*'Tariffs Jan2021'!AK40/'Tariffs Jan2021'!AI40-'Tariffs Jan2021'!L40)*('Tariffs Jan2021'!R40/100)*'Tariffs Jan2021'!AI40,('Tariffs Jan2021'!M40-'Tariffs Jan2021'!L40)*('Tariffs Jan2021'!R40/100)*'Tariffs Jan2021'!AI40))</f>
        <v>0</v>
      </c>
      <c r="I46" s="59">
        <f>IF(($C$5*'Tariffs Jan2021'!AK40/'Tariffs Jan2021'!AI40&gt;'Tariffs Jan2021'!M40),($C$5*'Tariffs Jan2021'!AK40/'Tariffs Jan2021'!AI40-'Tariffs Jan2021'!M40)*'Tariffs Jan2021'!S40/100*'Tariffs Jan2021'!AI40,0)</f>
        <v>415.22727272727275</v>
      </c>
      <c r="J46" s="59">
        <f>IF($C$5*'Tariffs Jan2021'!AL40/'Tariffs Jan2021'!AJ40&gt;='Tariffs Jan2021'!J40,('Tariffs Jan2021'!J40*'Tariffs Jan2021'!U40/100)* 'Tariffs Jan2021'!AJ40,($C$5*'Tariffs Jan2021'!AL40/'Tariffs Jan2021'!AJ40*'Tariffs Jan2021'!U40/100)* 'Tariffs Jan2021'!AJ40)</f>
        <v>126.06681818181816</v>
      </c>
      <c r="K46" s="59">
        <f>IF($C$5*'Tariffs Jan2021'!AL40/'Tariffs Jan2021'!AJ40&lt;'Tariffs Jan2021'!J40,0,IF($C$5*'Tariffs Jan2021'!AL40/'Tariffs Jan2021'!AJ40&lt;='Tariffs Jan2021'!K40,($C$5*'Tariffs Jan2021'!AL40/'Tariffs Jan2021'!AJ40-'Tariffs Jan2021'!J40)*('Tariffs Jan2021'!V40/100)*'Tariffs Jan2021'!AJ40,('Tariffs Jan2021'!K40-'Tariffs Jan2021'!J40)*('Tariffs Jan2021'!V40/100)*'Tariffs Jan2021'!AJ40))</f>
        <v>86.1040909090909</v>
      </c>
      <c r="L46" s="59">
        <f>IF($C$5*'Tariffs Jan2021'!AL40/'Tariffs Jan2021'!AJ40&lt;'Tariffs Jan2021'!K40,0,IF($C$5*'Tariffs Jan2021'!AL40/'Tariffs Jan2021'!AJ40&lt;='Tariffs Jan2021'!L40,($C$5*'Tariffs Jan2021'!AL40/'Tariffs Jan2021'!AJ40-'Tariffs Jan2021'!K40)*('Tariffs Jan2021'!W40/100)*'Tariffs Jan2021'!AJ40,('Tariffs Jan2021'!L40-'Tariffs Jan2021'!K40)*('Tariffs Jan2021'!W40/100)*'Tariffs Jan2021'!AJ40))</f>
        <v>0</v>
      </c>
      <c r="M46" s="59">
        <f>IF($C$5*'Tariffs Jan2021'!AL40/'Tariffs Jan2021'!AJ40&lt;'Tariffs Jan2021'!L40,0,IF($C$5*'Tariffs Jan2021'!AL40/'Tariffs Jan2021'!AJ40&lt;='Tariffs Jan2021'!M40,($C$5*'Tariffs Jan2021'!AL40/'Tariffs Jan2021'!AJ40-'Tariffs Jan2021'!L40)*('Tariffs Jan2021'!X40/100)*'Tariffs Jan2021'!AJ40,('Tariffs Jan2021'!M40-'Tariffs Jan2021'!L40)*('Tariffs Jan2021'!X40/100)*'Tariffs Jan2021'!AJ40))</f>
        <v>0</v>
      </c>
      <c r="N46" s="59">
        <f>IF(($C$5*'Tariffs Jan2021'!AL40/'Tariffs Jan2021'!AJ40&gt;'Tariffs Jan2021'!M40),($C$5*'Tariffs Jan2021'!AL40/'Tariffs Jan2021'!AJ40-'Tariffs Jan2021'!M40)*'Tariffs Jan2021'!Y40/100*'Tariffs Jan2021'!AJ40,0)</f>
        <v>415.22727272727275</v>
      </c>
      <c r="O46" s="59">
        <f t="shared" si="1"/>
        <v>1254.7963636363636</v>
      </c>
      <c r="P46" s="503">
        <f t="shared" si="2"/>
        <v>1380.2760000000001</v>
      </c>
      <c r="Q46" s="59">
        <f t="shared" si="3"/>
        <v>1455.3804545454545</v>
      </c>
      <c r="R46" s="272">
        <f t="shared" si="4"/>
        <v>1600.9185000000002</v>
      </c>
      <c r="S46" s="40">
        <f>'Tariffs Jan2021'!AN40</f>
        <v>0</v>
      </c>
      <c r="T46" s="40">
        <f>'Tariffs Jan2021'!AO40</f>
        <v>0</v>
      </c>
      <c r="U46" s="40">
        <f>'Tariffs Jan2021'!AP40</f>
        <v>0</v>
      </c>
      <c r="V46" s="40">
        <f>'Tariffs Jan2021'!AQ40</f>
        <v>0</v>
      </c>
      <c r="W46" s="537" t="str">
        <f t="shared" si="33"/>
        <v>No discount</v>
      </c>
      <c r="X46" s="538" t="str">
        <f t="shared" si="34"/>
        <v>Exclusive</v>
      </c>
      <c r="Y46" s="534">
        <f>IF(AND(W46="Guaranteed off bill",X46="Inclusive"),((Q46*1.1)-((Q46*1.1)*S46/100))/1.1,IF(AND(W46="Guaranteed off usage",X46="Inclusive"),((Q46*1.1)-((P46*1.1)*T46/100))/1.1,IF(AND(W46="Guaranteed off bill",X46="Exclusive"),Q46-(Q46*S46/100),IF(AND(W46="Guaranteed off usage",X46="Exclusive"),Q46-(P46*T46/100),IF(X46="Inclusive",((Q46*1.1))/1.1,Q46)))))</f>
        <v>1455.3804545454545</v>
      </c>
      <c r="Z46" s="535">
        <f>IF(AND(W46="Pay-on-time off bill",X46="Inclusive"),((Y46*1.1)-((Y46*1.1)*U46/100))/1.1,IF(AND(W46="Pay-on-time off usage",X46="Inclusive"),((Y46*1.1)-((P46*1.1)*V46/100))/1.1,IF(AND(W46="Pay-on-time off bill",X46="Exclusive"),Y46-(Y46*U46/100),IF(AND(W46="Pay-on-time off usage",X46="Exclusive"),Y46-(P46*V46/100),IF(X46="Inclusive",((Y46*1.1))/1.1,Y46)))))</f>
        <v>1455.3804545454545</v>
      </c>
      <c r="AA46" s="542">
        <f t="shared" si="32"/>
        <v>1600.9185000000002</v>
      </c>
      <c r="AB46" s="542">
        <f t="shared" si="32"/>
        <v>1600.9185000000002</v>
      </c>
      <c r="AC46" s="274">
        <f>'Tariffs Jan2021'!AZ40</f>
        <v>0</v>
      </c>
      <c r="AD46" s="274" t="str">
        <f>'Tariffs Jan2021'!BA40</f>
        <v>n</v>
      </c>
      <c r="AE46" s="275" t="str">
        <f>'Tariffs Jan2021'!BJ40</f>
        <v>N</v>
      </c>
      <c r="AF46" s="516"/>
      <c r="AG46" s="516"/>
      <c r="AH46" s="516"/>
      <c r="AI46" s="516"/>
      <c r="AJ46" s="516"/>
      <c r="AK46" s="516"/>
      <c r="AL46" s="516"/>
      <c r="AM46" s="516"/>
      <c r="AN46" s="516"/>
      <c r="AO46" s="516"/>
      <c r="AP46" s="516"/>
      <c r="AQ46" s="516"/>
      <c r="AR46" s="516"/>
      <c r="AS46" s="516"/>
      <c r="AT46" s="516"/>
      <c r="AU46" s="516"/>
      <c r="AV46" s="516"/>
      <c r="AW46" s="516"/>
      <c r="AX46" s="516"/>
      <c r="AY46" s="516"/>
      <c r="AZ46" s="516"/>
    </row>
    <row r="47" spans="1:52" ht="14" x14ac:dyDescent="0.15">
      <c r="A47" s="270" t="str">
        <f>'Tariffs Jan2021'!F41</f>
        <v>EnergyAustralia</v>
      </c>
      <c r="B47" s="40" t="str">
        <f>'Tariffs Jan2021'!D41</f>
        <v>AGN North</v>
      </c>
      <c r="C47" s="40" t="str">
        <f>'Tariffs Jan2021'!G41</f>
        <v>Total Plan</v>
      </c>
      <c r="D47" s="59">
        <f>365*'Tariffs Jan2021'!H41/100</f>
        <v>309.88499999999999</v>
      </c>
      <c r="E47" s="59">
        <f>IF($C$5*'Tariffs Jan2021'!AK41/'Tariffs Jan2021'!AI41&gt;='Tariffs Jan2021'!J41,( 'Tariffs Jan2021'!J41*'Tariffs Jan2021'!O41/100)* 'Tariffs Jan2021'!AI41,($C$5*'Tariffs Jan2021'!AK41/'Tariffs Jan2021'!AI41*'Tariffs Jan2021'!O41/100)* 'Tariffs Jan2021'!AI41)</f>
        <v>166.89272727272729</v>
      </c>
      <c r="F47" s="59">
        <f>IF($C$5*'Tariffs Jan2021'!AK41/'Tariffs Jan2021'!AI41&lt;'Tariffs Jan2021'!J41,0,IF($C$5*'Tariffs Jan2021'!AK41/'Tariffs Jan2021'!AI41&lt;='Tariffs Jan2021'!K41,($C$5*'Tariffs Jan2021'!AK41/'Tariffs Jan2021'!AI41-'Tariffs Jan2021'!J41)*('Tariffs Jan2021'!P41/100)*'Tariffs Jan2021'!AI41,('Tariffs Jan2021'!K41-'Tariffs Jan2021'!J41)*('Tariffs Jan2021'!P41/100)*'Tariffs Jan2021'!AI41))</f>
        <v>107.16818181818181</v>
      </c>
      <c r="G47" s="59">
        <f>IF($C$5*'Tariffs Jan2021'!AK41/'Tariffs Jan2021'!AI41&lt;'Tariffs Jan2021'!K41,0,IF($C$5*'Tariffs Jan2021'!AK41/'Tariffs Jan2021'!AI41&lt;='Tariffs Jan2021'!L41,($C$5*'Tariffs Jan2021'!AK41/'Tariffs Jan2021'!AI41-'Tariffs Jan2021'!K41)*('Tariffs Jan2021'!Q41/100)*'Tariffs Jan2021'!AI41,('Tariffs Jan2021'!L41-'Tariffs Jan2021'!K41)*('Tariffs Jan2021'!Q41/100)*'Tariffs Jan2021'!AI41))</f>
        <v>0</v>
      </c>
      <c r="H47" s="59">
        <f>IF($C$5*'Tariffs Jan2021'!AK41/'Tariffs Jan2021'!AI41&lt;'Tariffs Jan2021'!L41,0,IF($C$5*'Tariffs Jan2021'!AK41/'Tariffs Jan2021'!AI41&lt;='Tariffs Jan2021'!M41,($C$5*'Tariffs Jan2021'!AK41/'Tariffs Jan2021'!AI41-'Tariffs Jan2021'!L41)*('Tariffs Jan2021'!R41/100)*'Tariffs Jan2021'!AI41,('Tariffs Jan2021'!M41-'Tariffs Jan2021'!L41)*('Tariffs Jan2021'!R41/100)*'Tariffs Jan2021'!AI41))</f>
        <v>0</v>
      </c>
      <c r="I47" s="59">
        <f>IF(($C$5*'Tariffs Jan2021'!AK41/'Tariffs Jan2021'!AI41&gt;'Tariffs Jan2021'!M41),($C$5*'Tariffs Jan2021'!AK41/'Tariffs Jan2021'!AI41-'Tariffs Jan2021'!M41)*'Tariffs Jan2021'!S41/100*'Tariffs Jan2021'!AI41,0)</f>
        <v>476.59090909090912</v>
      </c>
      <c r="J47" s="59">
        <f>IF($C$5*'Tariffs Jan2021'!AL41/'Tariffs Jan2021'!AJ41&gt;='Tariffs Jan2021'!J41,('Tariffs Jan2021'!J41*'Tariffs Jan2021'!U41/100)* 'Tariffs Jan2021'!AJ41,($C$5*'Tariffs Jan2021'!AL41/'Tariffs Jan2021'!AJ41*'Tariffs Jan2021'!U41/100)* 'Tariffs Jan2021'!AJ41)</f>
        <v>166.89272727272729</v>
      </c>
      <c r="K47" s="59">
        <f>IF($C$5*'Tariffs Jan2021'!AL41/'Tariffs Jan2021'!AJ41&lt;'Tariffs Jan2021'!J41,0,IF($C$5*'Tariffs Jan2021'!AL41/'Tariffs Jan2021'!AJ41&lt;='Tariffs Jan2021'!K41,($C$5*'Tariffs Jan2021'!AL41/'Tariffs Jan2021'!AJ41-'Tariffs Jan2021'!J41)*('Tariffs Jan2021'!V41/100)*'Tariffs Jan2021'!AJ41,('Tariffs Jan2021'!K41-'Tariffs Jan2021'!J41)*('Tariffs Jan2021'!V41/100)*'Tariffs Jan2021'!AJ41))</f>
        <v>107.16818181818181</v>
      </c>
      <c r="L47" s="59">
        <f>IF($C$5*'Tariffs Jan2021'!AL41/'Tariffs Jan2021'!AJ41&lt;'Tariffs Jan2021'!K41,0,IF($C$5*'Tariffs Jan2021'!AL41/'Tariffs Jan2021'!AJ41&lt;='Tariffs Jan2021'!L41,($C$5*'Tariffs Jan2021'!AL41/'Tariffs Jan2021'!AJ41-'Tariffs Jan2021'!K41)*('Tariffs Jan2021'!W41/100)*'Tariffs Jan2021'!AJ41,('Tariffs Jan2021'!L41-'Tariffs Jan2021'!K41)*('Tariffs Jan2021'!W41/100)*'Tariffs Jan2021'!AJ41))</f>
        <v>0</v>
      </c>
      <c r="M47" s="59">
        <f>IF($C$5*'Tariffs Jan2021'!AL41/'Tariffs Jan2021'!AJ41&lt;'Tariffs Jan2021'!L41,0,IF($C$5*'Tariffs Jan2021'!AL41/'Tariffs Jan2021'!AJ41&lt;='Tariffs Jan2021'!M41,($C$5*'Tariffs Jan2021'!AL41/'Tariffs Jan2021'!AJ41-'Tariffs Jan2021'!L41)*('Tariffs Jan2021'!X41/100)*'Tariffs Jan2021'!AJ41,('Tariffs Jan2021'!M41-'Tariffs Jan2021'!L41)*('Tariffs Jan2021'!X41/100)*'Tariffs Jan2021'!AJ41))</f>
        <v>0</v>
      </c>
      <c r="N47" s="59">
        <f>IF(($C$5*'Tariffs Jan2021'!AL41/'Tariffs Jan2021'!AJ41&gt;'Tariffs Jan2021'!M41),($C$5*'Tariffs Jan2021'!AL41/'Tariffs Jan2021'!AJ41-'Tariffs Jan2021'!M41)*'Tariffs Jan2021'!Y41/100*'Tariffs Jan2021'!AJ41,0)</f>
        <v>476.59090909090912</v>
      </c>
      <c r="O47" s="59">
        <f t="shared" si="1"/>
        <v>1501.3036363636365</v>
      </c>
      <c r="P47" s="503">
        <f t="shared" si="2"/>
        <v>1651.4340000000004</v>
      </c>
      <c r="Q47" s="59">
        <f t="shared" si="3"/>
        <v>1811.1886363636365</v>
      </c>
      <c r="R47" s="272">
        <f t="shared" si="4"/>
        <v>1992.3075000000003</v>
      </c>
      <c r="S47" s="40">
        <f>'Tariffs Jan2021'!AN41</f>
        <v>27</v>
      </c>
      <c r="T47" s="40">
        <f>'Tariffs Jan2021'!AO41</f>
        <v>0</v>
      </c>
      <c r="U47" s="40">
        <f>'Tariffs Jan2021'!AP41</f>
        <v>0</v>
      </c>
      <c r="V47" s="40">
        <f>'Tariffs Jan2021'!AQ41</f>
        <v>0</v>
      </c>
      <c r="W47" s="537" t="str">
        <f t="shared" si="33"/>
        <v>Guaranteed off bill</v>
      </c>
      <c r="X47" s="538" t="str">
        <f t="shared" si="34"/>
        <v>Exclusive</v>
      </c>
      <c r="Y47" s="534">
        <f t="shared" ref="Y47" si="37">IF(AND(W47="Guaranteed off bill",X47="Inclusive"),((Q47*1.1)-((Q47*1.1)*S47/100))/1.1,IF(AND(W47="Guaranteed off usage",X47="Inclusive"),((Q47*1.1)-((P47*1.1)*T47/100))/1.1,IF(AND(W47="Guaranteed off bill",X47="Exclusive"),Q47-(Q47*S47/100),IF(AND(W47="Guaranteed off usage",X47="Exclusive"),Q47-(P47*T47/100),IF(X47="Inclusive",((Q47*1.1))/1.1,Q47)))))</f>
        <v>1322.1677045454546</v>
      </c>
      <c r="Z47" s="535">
        <f t="shared" ref="Z47" si="38">IF(AND(W47="Pay-on-time off bill",X47="Inclusive"),((Y47*1.1)-((Y47*1.1)*U47/100))/1.1,IF(AND(W47="Pay-on-time off usage",X47="Inclusive"),((Y47*1.1)-((P47*1.1)*V47/100))/1.1,IF(AND(W47="Pay-on-time off bill",X47="Exclusive"),Y47-(Y47*U47/100),IF(AND(W47="Pay-on-time off usage",X47="Exclusive"),Y47-(P47*V47/100),IF(X47="Inclusive",((Y47*1.1))/1.1,Y47)))))</f>
        <v>1322.1677045454546</v>
      </c>
      <c r="AA47" s="542">
        <f t="shared" si="32"/>
        <v>1454.3844750000003</v>
      </c>
      <c r="AB47" s="542">
        <f t="shared" si="32"/>
        <v>1454.3844750000003</v>
      </c>
      <c r="AC47" s="274">
        <f>'Tariffs Jan2021'!AZ41</f>
        <v>12</v>
      </c>
      <c r="AD47" s="274" t="str">
        <f>'Tariffs Jan2021'!BA41</f>
        <v>n</v>
      </c>
      <c r="AE47" s="275" t="str">
        <f>'Tariffs Jan2021'!BJ41</f>
        <v>N</v>
      </c>
      <c r="AF47" s="516"/>
      <c r="AG47" s="516"/>
      <c r="AH47" s="516"/>
      <c r="AI47" s="516"/>
      <c r="AJ47" s="516"/>
      <c r="AK47" s="516"/>
      <c r="AL47" s="516"/>
      <c r="AM47" s="516"/>
      <c r="AN47" s="516"/>
      <c r="AO47" s="516"/>
      <c r="AP47" s="516"/>
      <c r="AQ47" s="516"/>
      <c r="AR47" s="516"/>
      <c r="AS47" s="516"/>
      <c r="AT47" s="516"/>
      <c r="AU47" s="516"/>
      <c r="AV47" s="516"/>
      <c r="AW47" s="516"/>
      <c r="AX47" s="516"/>
      <c r="AY47" s="516"/>
      <c r="AZ47" s="516"/>
    </row>
    <row r="48" spans="1:52" ht="14" x14ac:dyDescent="0.15">
      <c r="A48" s="270" t="str">
        <f>'Tariffs Jan2021'!F42</f>
        <v>Lumo Energy</v>
      </c>
      <c r="B48" s="40" t="str">
        <f>'Tariffs Jan2021'!D42</f>
        <v>AGN North</v>
      </c>
      <c r="C48" s="40" t="str">
        <f>'Tariffs Jan2021'!G42</f>
        <v>Value</v>
      </c>
      <c r="D48" s="59">
        <f>365*'Tariffs Jan2021'!H42/100</f>
        <v>247.83499999999995</v>
      </c>
      <c r="E48" s="59">
        <f>IF($C$5*'Tariffs Jan2021'!AK42/'Tariffs Jan2021'!AI42&gt;='Tariffs Jan2021'!J42,( 'Tariffs Jan2021'!J42*'Tariffs Jan2021'!O42/100)* 'Tariffs Jan2021'!AI42,($C$5*'Tariffs Jan2021'!AK42/'Tariffs Jan2021'!AI42*'Tariffs Jan2021'!O42/100)* 'Tariffs Jan2021'!AI42)</f>
        <v>97.802727272727282</v>
      </c>
      <c r="F48" s="59">
        <f>IF($C$5*'Tariffs Jan2021'!AK42/'Tariffs Jan2021'!AI42&lt;'Tariffs Jan2021'!J42,0,IF($C$5*'Tariffs Jan2021'!AK42/'Tariffs Jan2021'!AI42&lt;='Tariffs Jan2021'!K42,($C$5*'Tariffs Jan2021'!AK42/'Tariffs Jan2021'!AI42-'Tariffs Jan2021'!J42)*('Tariffs Jan2021'!P42/100)*'Tariffs Jan2021'!AI42,('Tariffs Jan2021'!K42-'Tariffs Jan2021'!J42)*('Tariffs Jan2021'!P42/100)*'Tariffs Jan2021'!AI42))</f>
        <v>76.49590909090908</v>
      </c>
      <c r="G48" s="59">
        <f>IF($C$5*'Tariffs Jan2021'!AK42/'Tariffs Jan2021'!AI42&lt;'Tariffs Jan2021'!K42,0,IF($C$5*'Tariffs Jan2021'!AK42/'Tariffs Jan2021'!AI42&lt;='Tariffs Jan2021'!L42,($C$5*'Tariffs Jan2021'!AK42/'Tariffs Jan2021'!AI42-'Tariffs Jan2021'!K42)*('Tariffs Jan2021'!Q42/100)*'Tariffs Jan2021'!AI42,('Tariffs Jan2021'!L42-'Tariffs Jan2021'!K42)*('Tariffs Jan2021'!Q42/100)*'Tariffs Jan2021'!AI42))</f>
        <v>0</v>
      </c>
      <c r="H48" s="59">
        <f>IF($C$5*'Tariffs Jan2021'!AK42/'Tariffs Jan2021'!AI42&lt;'Tariffs Jan2021'!L42,0,IF($C$5*'Tariffs Jan2021'!AK42/'Tariffs Jan2021'!AI42&lt;='Tariffs Jan2021'!M42,($C$5*'Tariffs Jan2021'!AK42/'Tariffs Jan2021'!AI42-'Tariffs Jan2021'!L42)*('Tariffs Jan2021'!R42/100)*'Tariffs Jan2021'!AI42,('Tariffs Jan2021'!M42-'Tariffs Jan2021'!L42)*('Tariffs Jan2021'!R42/100)*'Tariffs Jan2021'!AI42))</f>
        <v>0</v>
      </c>
      <c r="I48" s="59">
        <f>IF(($C$5*'Tariffs Jan2021'!AK42/'Tariffs Jan2021'!AI42&gt;'Tariffs Jan2021'!M42),($C$5*'Tariffs Jan2021'!AK42/'Tariffs Jan2021'!AI42-'Tariffs Jan2021'!M42)*'Tariffs Jan2021'!S42/100*'Tariffs Jan2021'!AI42,0)</f>
        <v>392.72727272727263</v>
      </c>
      <c r="J48" s="59">
        <f>IF($C$5*'Tariffs Jan2021'!AL42/'Tariffs Jan2021'!AJ42&gt;='Tariffs Jan2021'!J42,('Tariffs Jan2021'!J42*'Tariffs Jan2021'!U42/100)* 'Tariffs Jan2021'!AJ42,($C$5*'Tariffs Jan2021'!AL42/'Tariffs Jan2021'!AJ42*'Tariffs Jan2021'!U42/100)* 'Tariffs Jan2021'!AJ42)</f>
        <v>97.802727272727282</v>
      </c>
      <c r="K48" s="59">
        <f>IF($C$5*'Tariffs Jan2021'!AL42/'Tariffs Jan2021'!AJ42&lt;'Tariffs Jan2021'!J42,0,IF($C$5*'Tariffs Jan2021'!AL42/'Tariffs Jan2021'!AJ42&lt;='Tariffs Jan2021'!K42,($C$5*'Tariffs Jan2021'!AL42/'Tariffs Jan2021'!AJ42-'Tariffs Jan2021'!J42)*('Tariffs Jan2021'!V42/100)*'Tariffs Jan2021'!AJ42,('Tariffs Jan2021'!K42-'Tariffs Jan2021'!J42)*('Tariffs Jan2021'!V42/100)*'Tariffs Jan2021'!AJ42))</f>
        <v>76.49590909090908</v>
      </c>
      <c r="L48" s="59">
        <f>IF($C$5*'Tariffs Jan2021'!AL42/'Tariffs Jan2021'!AJ42&lt;'Tariffs Jan2021'!K42,0,IF($C$5*'Tariffs Jan2021'!AL42/'Tariffs Jan2021'!AJ42&lt;='Tariffs Jan2021'!L42,($C$5*'Tariffs Jan2021'!AL42/'Tariffs Jan2021'!AJ42-'Tariffs Jan2021'!K42)*('Tariffs Jan2021'!W42/100)*'Tariffs Jan2021'!AJ42,('Tariffs Jan2021'!L42-'Tariffs Jan2021'!K42)*('Tariffs Jan2021'!W42/100)*'Tariffs Jan2021'!AJ42))</f>
        <v>0</v>
      </c>
      <c r="M48" s="59">
        <f>IF($C$5*'Tariffs Jan2021'!AL42/'Tariffs Jan2021'!AJ42&lt;'Tariffs Jan2021'!L42,0,IF($C$5*'Tariffs Jan2021'!AL42/'Tariffs Jan2021'!AJ42&lt;='Tariffs Jan2021'!M42,($C$5*'Tariffs Jan2021'!AL42/'Tariffs Jan2021'!AJ42-'Tariffs Jan2021'!L42)*('Tariffs Jan2021'!X42/100)*'Tariffs Jan2021'!AJ42,('Tariffs Jan2021'!M42-'Tariffs Jan2021'!L42)*('Tariffs Jan2021'!X42/100)*'Tariffs Jan2021'!AJ42))</f>
        <v>0</v>
      </c>
      <c r="N48" s="59">
        <f>IF(($C$5*'Tariffs Jan2021'!AL42/'Tariffs Jan2021'!AJ42&gt;'Tariffs Jan2021'!M42),($C$5*'Tariffs Jan2021'!AL42/'Tariffs Jan2021'!AJ42-'Tariffs Jan2021'!M42)*'Tariffs Jan2021'!Y42/100*'Tariffs Jan2021'!AJ42,0)</f>
        <v>392.72727272727263</v>
      </c>
      <c r="O48" s="59">
        <f t="shared" si="1"/>
        <v>1134.0518181818179</v>
      </c>
      <c r="P48" s="503">
        <f t="shared" si="2"/>
        <v>1247.4569999999999</v>
      </c>
      <c r="Q48" s="59">
        <f t="shared" si="3"/>
        <v>1381.8868181818179</v>
      </c>
      <c r="R48" s="272">
        <f t="shared" si="4"/>
        <v>1520.0754999999999</v>
      </c>
      <c r="S48" s="40">
        <f>'Tariffs Jan2021'!AN42</f>
        <v>0</v>
      </c>
      <c r="T48" s="40">
        <f>'Tariffs Jan2021'!AO42</f>
        <v>0</v>
      </c>
      <c r="U48" s="40">
        <f>'Tariffs Jan2021'!AP42</f>
        <v>0</v>
      </c>
      <c r="V48" s="40">
        <f>'Tariffs Jan2021'!AQ42</f>
        <v>0</v>
      </c>
      <c r="W48" s="537" t="str">
        <f t="shared" si="33"/>
        <v>No discount</v>
      </c>
      <c r="X48" s="538" t="str">
        <f t="shared" si="34"/>
        <v>Exclusive</v>
      </c>
      <c r="Y48" s="534">
        <f>IF(AND(W48="Guaranteed off bill",X48="Inclusive"),((Q48*1.1)-((Q48*1.1)*S48/100))/1.1,IF(AND(W48="Guaranteed off usage",X48="Inclusive"),((Q48*1.1)-((P48*1.1)*T48/100))/1.1,IF(AND(W48="Guaranteed off bill",X48="Exclusive"),Q48-(Q48*S48/100),IF(AND(W48="Guaranteed off usage",X48="Exclusive"),Q48-(P48*T48/100),IF(X48="Inclusive",((Q48*1.1))/1.1,Q48)))))</f>
        <v>1381.8868181818179</v>
      </c>
      <c r="Z48" s="535">
        <f>IF(AND(W48="Pay-on-time off bill",X48="Inclusive"),((Y48*1.1)-((Y48*1.1)*U48/100))/1.1,IF(AND(W48="Pay-on-time off usage",X48="Inclusive"),((Y48*1.1)-((P48*1.1)*V48/100))/1.1,IF(AND(W48="Pay-on-time off bill",X48="Exclusive"),Y48-(Y48*U48/100),IF(AND(W48="Pay-on-time off usage",X48="Exclusive"),Y48-(P48*V48/100),IF(X48="Inclusive",((Y48*1.1))/1.1,Y48)))))</f>
        <v>1381.8868181818179</v>
      </c>
      <c r="AA48" s="542">
        <f t="shared" si="32"/>
        <v>1520.0754999999999</v>
      </c>
      <c r="AB48" s="542">
        <f t="shared" si="32"/>
        <v>1520.0754999999999</v>
      </c>
      <c r="AC48" s="274">
        <f>'Tariffs Jan2021'!AZ42</f>
        <v>0</v>
      </c>
      <c r="AD48" s="274" t="str">
        <f>'Tariffs Jan2021'!BA42</f>
        <v>n</v>
      </c>
      <c r="AE48" s="275" t="str">
        <f>'Tariffs Jan2021'!BJ42</f>
        <v>N</v>
      </c>
      <c r="AF48" s="516"/>
      <c r="AG48" s="516"/>
      <c r="AH48" s="516"/>
      <c r="AI48" s="516"/>
      <c r="AJ48" s="516"/>
      <c r="AK48" s="516"/>
      <c r="AL48" s="516"/>
      <c r="AM48" s="516"/>
      <c r="AN48" s="516"/>
      <c r="AO48" s="516"/>
      <c r="AP48" s="516"/>
      <c r="AQ48" s="516"/>
      <c r="AR48" s="516"/>
      <c r="AS48" s="516"/>
      <c r="AT48" s="516"/>
      <c r="AU48" s="516"/>
      <c r="AV48" s="516"/>
      <c r="AW48" s="516"/>
      <c r="AX48" s="516"/>
      <c r="AY48" s="516"/>
      <c r="AZ48" s="516"/>
    </row>
    <row r="49" spans="1:52" ht="14" x14ac:dyDescent="0.15">
      <c r="A49" s="270" t="str">
        <f>'Tariffs Jan2021'!F43</f>
        <v>Momentum Energy</v>
      </c>
      <c r="B49" s="40" t="str">
        <f>'Tariffs Jan2021'!D43</f>
        <v>AGN North</v>
      </c>
      <c r="C49" s="40" t="str">
        <f>'Tariffs Jan2021'!G43</f>
        <v>Market offer</v>
      </c>
      <c r="D49" s="59">
        <f>365*'Tariffs Jan2021'!H43/100</f>
        <v>284.33499999999998</v>
      </c>
      <c r="E49" s="59">
        <f>IF($C$5*'Tariffs Jan2021'!AK43/'Tariffs Jan2021'!AI43&gt;='Tariffs Jan2021'!J43,( 'Tariffs Jan2021'!J43*'Tariffs Jan2021'!O43/100)* 'Tariffs Jan2021'!AI43,($C$5*'Tariffs Jan2021'!AK43/'Tariffs Jan2021'!AI43*'Tariffs Jan2021'!O43/100)* 'Tariffs Jan2021'!AI43)</f>
        <v>85.539999999999978</v>
      </c>
      <c r="F49" s="59">
        <f>IF($C$5*'Tariffs Jan2021'!AK43/'Tariffs Jan2021'!AI43&lt;'Tariffs Jan2021'!J43,0,IF($C$5*'Tariffs Jan2021'!AK43/'Tariffs Jan2021'!AI43&lt;='Tariffs Jan2021'!K43,($C$5*'Tariffs Jan2021'!AK43/'Tariffs Jan2021'!AI43-'Tariffs Jan2021'!J43)*('Tariffs Jan2021'!P43/100)*'Tariffs Jan2021'!AI43,('Tariffs Jan2021'!K43-'Tariffs Jan2021'!J43)*('Tariffs Jan2021'!P43/100)*'Tariffs Jan2021'!AI43))</f>
        <v>62.33</v>
      </c>
      <c r="G49" s="59">
        <f>IF($C$5*'Tariffs Jan2021'!AK43/'Tariffs Jan2021'!AI43&lt;'Tariffs Jan2021'!K43,0,IF($C$5*'Tariffs Jan2021'!AK43/'Tariffs Jan2021'!AI43&lt;='Tariffs Jan2021'!L43,($C$5*'Tariffs Jan2021'!AK43/'Tariffs Jan2021'!AI43-'Tariffs Jan2021'!K43)*('Tariffs Jan2021'!Q43/100)*'Tariffs Jan2021'!AI43,('Tariffs Jan2021'!L43-'Tariffs Jan2021'!K43)*('Tariffs Jan2021'!Q43/100)*'Tariffs Jan2021'!AI43))</f>
        <v>0</v>
      </c>
      <c r="H49" s="59">
        <f>IF($C$5*'Tariffs Jan2021'!AK43/'Tariffs Jan2021'!AI43&lt;'Tariffs Jan2021'!L43,0,IF($C$5*'Tariffs Jan2021'!AK43/'Tariffs Jan2021'!AI43&lt;='Tariffs Jan2021'!M43,($C$5*'Tariffs Jan2021'!AK43/'Tariffs Jan2021'!AI43-'Tariffs Jan2021'!L43)*('Tariffs Jan2021'!R43/100)*'Tariffs Jan2021'!AI43,('Tariffs Jan2021'!M43-'Tariffs Jan2021'!L43)*('Tariffs Jan2021'!R43/100)*'Tariffs Jan2021'!AI43))</f>
        <v>0</v>
      </c>
      <c r="I49" s="59">
        <f>IF(($C$5*'Tariffs Jan2021'!AK43/'Tariffs Jan2021'!AI43&gt;'Tariffs Jan2021'!M43),($C$5*'Tariffs Jan2021'!AK43/'Tariffs Jan2021'!AI43-'Tariffs Jan2021'!M43)*'Tariffs Jan2021'!S43/100*'Tariffs Jan2021'!AI43,0)</f>
        <v>299.95799999999997</v>
      </c>
      <c r="J49" s="59">
        <f>IF($C$5*'Tariffs Jan2021'!AL43/'Tariffs Jan2021'!AJ43&gt;='Tariffs Jan2021'!J43,('Tariffs Jan2021'!J43*'Tariffs Jan2021'!U43/100)* 'Tariffs Jan2021'!AJ43,($C$5*'Tariffs Jan2021'!AL43/'Tariffs Jan2021'!AJ43*'Tariffs Jan2021'!U43/100)* 'Tariffs Jan2021'!AJ43)</f>
        <v>157.91999999999999</v>
      </c>
      <c r="K49" s="59">
        <f>IF($C$5*'Tariffs Jan2021'!AL43/'Tariffs Jan2021'!AJ43&lt;'Tariffs Jan2021'!J43,0,IF($C$5*'Tariffs Jan2021'!AL43/'Tariffs Jan2021'!AJ43&lt;='Tariffs Jan2021'!K43,($C$5*'Tariffs Jan2021'!AL43/'Tariffs Jan2021'!AJ43-'Tariffs Jan2021'!J43)*('Tariffs Jan2021'!V43/100)*'Tariffs Jan2021'!AJ43,('Tariffs Jan2021'!K43-'Tariffs Jan2021'!J43)*('Tariffs Jan2021'!V43/100)*'Tariffs Jan2021'!AJ43))</f>
        <v>113.82000000000001</v>
      </c>
      <c r="L49" s="59">
        <f>IF($C$5*'Tariffs Jan2021'!AL43/'Tariffs Jan2021'!AJ43&lt;'Tariffs Jan2021'!K43,0,IF($C$5*'Tariffs Jan2021'!AL43/'Tariffs Jan2021'!AJ43&lt;='Tariffs Jan2021'!L43,($C$5*'Tariffs Jan2021'!AL43/'Tariffs Jan2021'!AJ43-'Tariffs Jan2021'!K43)*('Tariffs Jan2021'!W43/100)*'Tariffs Jan2021'!AJ43,('Tariffs Jan2021'!L43-'Tariffs Jan2021'!K43)*('Tariffs Jan2021'!W43/100)*'Tariffs Jan2021'!AJ43))</f>
        <v>0</v>
      </c>
      <c r="M49" s="59">
        <f>IF($C$5*'Tariffs Jan2021'!AL43/'Tariffs Jan2021'!AJ43&lt;'Tariffs Jan2021'!L43,0,IF($C$5*'Tariffs Jan2021'!AL43/'Tariffs Jan2021'!AJ43&lt;='Tariffs Jan2021'!M43,($C$5*'Tariffs Jan2021'!AL43/'Tariffs Jan2021'!AJ43-'Tariffs Jan2021'!L43)*('Tariffs Jan2021'!X43/100)*'Tariffs Jan2021'!AJ43,('Tariffs Jan2021'!M43-'Tariffs Jan2021'!L43)*('Tariffs Jan2021'!X43/100)*'Tariffs Jan2021'!AJ43))</f>
        <v>0</v>
      </c>
      <c r="N49" s="59">
        <f>IF(($C$5*'Tariffs Jan2021'!AL43/'Tariffs Jan2021'!AJ43&gt;'Tariffs Jan2021'!M43),($C$5*'Tariffs Jan2021'!AL43/'Tariffs Jan2021'!AJ43-'Tariffs Jan2021'!M43)*'Tariffs Jan2021'!Y43/100*'Tariffs Jan2021'!AJ43,0)</f>
        <v>539.92439999999988</v>
      </c>
      <c r="O49" s="59">
        <f t="shared" si="1"/>
        <v>1259.4923999999999</v>
      </c>
      <c r="P49" s="503">
        <f t="shared" si="2"/>
        <v>1385.44164</v>
      </c>
      <c r="Q49" s="59">
        <f t="shared" si="3"/>
        <v>1543.8273999999999</v>
      </c>
      <c r="R49" s="272">
        <f t="shared" si="4"/>
        <v>1698.2101400000001</v>
      </c>
      <c r="S49" s="40">
        <f>'Tariffs Jan2021'!AN43</f>
        <v>0</v>
      </c>
      <c r="T49" s="40">
        <f>'Tariffs Jan2021'!AO43</f>
        <v>0</v>
      </c>
      <c r="U49" s="40">
        <f>'Tariffs Jan2021'!AP43</f>
        <v>0</v>
      </c>
      <c r="V49" s="40">
        <f>'Tariffs Jan2021'!AQ43</f>
        <v>0</v>
      </c>
      <c r="W49" s="537" t="str">
        <f t="shared" si="33"/>
        <v>No discount</v>
      </c>
      <c r="X49" s="538" t="str">
        <f t="shared" si="34"/>
        <v>Exclusive</v>
      </c>
      <c r="Y49" s="534">
        <f t="shared" ref="Y49" si="39">IF(AND(W49="Guaranteed off bill",X49="Inclusive"),((Q49*1.1)-((Q49*1.1)*S49/100))/1.1,IF(AND(W49="Guaranteed off usage",X49="Inclusive"),((Q49*1.1)-((P49*1.1)*T49/100))/1.1,IF(AND(W49="Guaranteed off bill",X49="Exclusive"),Q49-(Q49*S49/100),IF(AND(W49="Guaranteed off usage",X49="Exclusive"),Q49-(P49*T49/100),IF(X49="Inclusive",((Q49*1.1))/1.1,Q49)))))</f>
        <v>1543.8273999999999</v>
      </c>
      <c r="Z49" s="535">
        <f t="shared" ref="Z49" si="40">IF(AND(W49="Pay-on-time off bill",X49="Inclusive"),((Y49*1.1)-((Y49*1.1)*U49/100))/1.1,IF(AND(W49="Pay-on-time off usage",X49="Inclusive"),((Y49*1.1)-((P49*1.1)*V49/100))/1.1,IF(AND(W49="Pay-on-time off bill",X49="Exclusive"),Y49-(Y49*U49/100),IF(AND(W49="Pay-on-time off usage",X49="Exclusive"),Y49-(P49*V49/100),IF(X49="Inclusive",((Y49*1.1))/1.1,Y49)))))</f>
        <v>1543.8273999999999</v>
      </c>
      <c r="AA49" s="542">
        <f t="shared" si="32"/>
        <v>1698.2101400000001</v>
      </c>
      <c r="AB49" s="542">
        <f t="shared" si="32"/>
        <v>1698.2101400000001</v>
      </c>
      <c r="AC49" s="274">
        <f>'Tariffs Jan2021'!AZ43</f>
        <v>0</v>
      </c>
      <c r="AD49" s="274" t="str">
        <f>'Tariffs Jan2021'!BA43</f>
        <v>n</v>
      </c>
      <c r="AE49" s="275" t="str">
        <f>'Tariffs Jan2021'!BJ43</f>
        <v>N</v>
      </c>
      <c r="AF49" s="516"/>
      <c r="AG49" s="516"/>
      <c r="AH49" s="516"/>
      <c r="AI49" s="516"/>
      <c r="AJ49" s="516"/>
      <c r="AK49" s="516"/>
      <c r="AL49" s="516"/>
      <c r="AM49" s="516"/>
      <c r="AN49" s="516"/>
      <c r="AO49" s="516"/>
      <c r="AP49" s="516"/>
      <c r="AQ49" s="516"/>
      <c r="AR49" s="516"/>
      <c r="AS49" s="516"/>
      <c r="AT49" s="516"/>
      <c r="AU49" s="516"/>
      <c r="AV49" s="516"/>
      <c r="AW49" s="516"/>
      <c r="AX49" s="516"/>
      <c r="AY49" s="516"/>
      <c r="AZ49" s="516"/>
    </row>
    <row r="50" spans="1:52" ht="14" x14ac:dyDescent="0.15">
      <c r="A50" s="270" t="str">
        <f>'Tariffs Jan2021'!F44</f>
        <v>Origin Energy</v>
      </c>
      <c r="B50" s="40" t="str">
        <f>'Tariffs Jan2021'!D44</f>
        <v>AGN North</v>
      </c>
      <c r="C50" s="40" t="str">
        <f>'Tariffs Jan2021'!G44</f>
        <v>Go</v>
      </c>
      <c r="D50" s="59">
        <f>365*'Tariffs Jan2021'!H44/100</f>
        <v>201.74545454545452</v>
      </c>
      <c r="E50" s="59">
        <f>IF($C$5*'Tariffs Jan2021'!AK44/'Tariffs Jan2021'!AI44&gt;='Tariffs Jan2021'!J44,( 'Tariffs Jan2021'!J44*'Tariffs Jan2021'!O44/100)* 'Tariffs Jan2021'!AI44,($C$5*'Tariffs Jan2021'!AK44/'Tariffs Jan2021'!AI44*'Tariffs Jan2021'!O44/100)* 'Tariffs Jan2021'!AI44)</f>
        <v>317.45454545454538</v>
      </c>
      <c r="F50" s="59">
        <f>IF($C$5*'Tariffs Jan2021'!AK44/'Tariffs Jan2021'!AI44&lt;'Tariffs Jan2021'!J44,0,IF($C$5*'Tariffs Jan2021'!AK44/'Tariffs Jan2021'!AI44&lt;='Tariffs Jan2021'!K44,($C$5*'Tariffs Jan2021'!AK44/'Tariffs Jan2021'!AI44-'Tariffs Jan2021'!J44)*('Tariffs Jan2021'!P44/100)*'Tariffs Jan2021'!AI44,('Tariffs Jan2021'!K44-'Tariffs Jan2021'!J44)*('Tariffs Jan2021'!P44/100)*'Tariffs Jan2021'!AI44))</f>
        <v>227.0454545454545</v>
      </c>
      <c r="G50" s="59">
        <f>IF($C$5*'Tariffs Jan2021'!AK44/'Tariffs Jan2021'!AI44&lt;'Tariffs Jan2021'!K44,0,IF($C$5*'Tariffs Jan2021'!AK44/'Tariffs Jan2021'!AI44&lt;='Tariffs Jan2021'!L44,($C$5*'Tariffs Jan2021'!AK44/'Tariffs Jan2021'!AI44-'Tariffs Jan2021'!K44)*('Tariffs Jan2021'!Q44/100)*'Tariffs Jan2021'!AI44,('Tariffs Jan2021'!L44-'Tariffs Jan2021'!K44)*('Tariffs Jan2021'!Q44/100)*'Tariffs Jan2021'!AI44))</f>
        <v>0</v>
      </c>
      <c r="H50" s="59">
        <f>IF($C$5*'Tariffs Jan2021'!AK44/'Tariffs Jan2021'!AI44&lt;'Tariffs Jan2021'!L44,0,IF($C$5*'Tariffs Jan2021'!AK44/'Tariffs Jan2021'!AI44&lt;='Tariffs Jan2021'!M44,($C$5*'Tariffs Jan2021'!AK44/'Tariffs Jan2021'!AI44-'Tariffs Jan2021'!L44)*('Tariffs Jan2021'!R44/100)*'Tariffs Jan2021'!AI44,('Tariffs Jan2021'!M44-'Tariffs Jan2021'!L44)*('Tariffs Jan2021'!R44/100)*'Tariffs Jan2021'!AI44))</f>
        <v>0</v>
      </c>
      <c r="I50" s="59">
        <f>IF(($C$5*'Tariffs Jan2021'!AK44/'Tariffs Jan2021'!AI44&gt;'Tariffs Jan2021'!M44),($C$5*'Tariffs Jan2021'!AK44/'Tariffs Jan2021'!AI44-'Tariffs Jan2021'!M44)*'Tariffs Jan2021'!S44/100*'Tariffs Jan2021'!AI44,0)</f>
        <v>0</v>
      </c>
      <c r="J50" s="59">
        <f>IF($C$5*'Tariffs Jan2021'!AL44/'Tariffs Jan2021'!AJ44&gt;='Tariffs Jan2021'!J44,('Tariffs Jan2021'!J44*'Tariffs Jan2021'!U44/100)* 'Tariffs Jan2021'!AJ44,($C$5*'Tariffs Jan2021'!AL44/'Tariffs Jan2021'!AJ44*'Tariffs Jan2021'!U44/100)* 'Tariffs Jan2021'!AJ44)</f>
        <v>317.45454545454538</v>
      </c>
      <c r="K50" s="59">
        <f>IF($C$5*'Tariffs Jan2021'!AL44/'Tariffs Jan2021'!AJ44&lt;'Tariffs Jan2021'!J44,0,IF($C$5*'Tariffs Jan2021'!AL44/'Tariffs Jan2021'!AJ44&lt;='Tariffs Jan2021'!K44,($C$5*'Tariffs Jan2021'!AL44/'Tariffs Jan2021'!AJ44-'Tariffs Jan2021'!J44)*('Tariffs Jan2021'!V44/100)*'Tariffs Jan2021'!AJ44,('Tariffs Jan2021'!K44-'Tariffs Jan2021'!J44)*('Tariffs Jan2021'!V44/100)*'Tariffs Jan2021'!AJ44))</f>
        <v>227.0454545454545</v>
      </c>
      <c r="L50" s="59">
        <f>IF($C$5*'Tariffs Jan2021'!AL44/'Tariffs Jan2021'!AJ44&lt;'Tariffs Jan2021'!K44,0,IF($C$5*'Tariffs Jan2021'!AL44/'Tariffs Jan2021'!AJ44&lt;='Tariffs Jan2021'!L44,($C$5*'Tariffs Jan2021'!AL44/'Tariffs Jan2021'!AJ44-'Tariffs Jan2021'!K44)*('Tariffs Jan2021'!W44/100)*'Tariffs Jan2021'!AJ44,('Tariffs Jan2021'!L44-'Tariffs Jan2021'!K44)*('Tariffs Jan2021'!W44/100)*'Tariffs Jan2021'!AJ44))</f>
        <v>0</v>
      </c>
      <c r="M50" s="59">
        <f>IF($C$5*'Tariffs Jan2021'!AL44/'Tariffs Jan2021'!AJ44&lt;'Tariffs Jan2021'!L44,0,IF($C$5*'Tariffs Jan2021'!AL44/'Tariffs Jan2021'!AJ44&lt;='Tariffs Jan2021'!M44,($C$5*'Tariffs Jan2021'!AL44/'Tariffs Jan2021'!AJ44-'Tariffs Jan2021'!L44)*('Tariffs Jan2021'!X44/100)*'Tariffs Jan2021'!AJ44,('Tariffs Jan2021'!M44-'Tariffs Jan2021'!L44)*('Tariffs Jan2021'!X44/100)*'Tariffs Jan2021'!AJ44))</f>
        <v>0</v>
      </c>
      <c r="N50" s="59">
        <f>IF(($C$5*'Tariffs Jan2021'!AL44/'Tariffs Jan2021'!AJ44&gt;'Tariffs Jan2021'!M44),($C$5*'Tariffs Jan2021'!AL44/'Tariffs Jan2021'!AJ44-'Tariffs Jan2021'!M44)*'Tariffs Jan2021'!Y44/100*'Tariffs Jan2021'!AJ44,0)</f>
        <v>0</v>
      </c>
      <c r="O50" s="59">
        <f t="shared" si="1"/>
        <v>1088.9999999999998</v>
      </c>
      <c r="P50" s="503">
        <f t="shared" si="2"/>
        <v>1197.8999999999999</v>
      </c>
      <c r="Q50" s="59">
        <f t="shared" si="3"/>
        <v>1290.7454545454543</v>
      </c>
      <c r="R50" s="272">
        <f t="shared" si="4"/>
        <v>1419.82</v>
      </c>
      <c r="S50" s="40">
        <f>'Tariffs Jan2021'!AN44</f>
        <v>0</v>
      </c>
      <c r="T50" s="40">
        <f>'Tariffs Jan2021'!AO44</f>
        <v>0</v>
      </c>
      <c r="U50" s="40">
        <f>'Tariffs Jan2021'!AP44</f>
        <v>0</v>
      </c>
      <c r="V50" s="40">
        <f>'Tariffs Jan2021'!AQ44</f>
        <v>0</v>
      </c>
      <c r="W50" s="537" t="str">
        <f t="shared" si="33"/>
        <v>No discount</v>
      </c>
      <c r="X50" s="538" t="str">
        <f t="shared" si="34"/>
        <v>Inclusive</v>
      </c>
      <c r="Y50" s="534">
        <f>IF(AND(W50="Guaranteed off bill",X50="Inclusive"),((Q50*1.1)-((Q50*1.1)*S50/100))/1.1,IF(AND(W50="Guaranteed off usage",X50="Inclusive"),((Q50*1.1)-((P50*1.1)*T50/100))/1.1,IF(AND(W50="Guaranteed off bill",X50="Exclusive"),Q50-(Q50*S50/100),IF(AND(W50="Guaranteed off usage",X50="Exclusive"),Q50-(P50*T50/100),IF(X50="Inclusive",((Q50*1.1))/1.1,Q50)))))</f>
        <v>1290.7454545454543</v>
      </c>
      <c r="Z50" s="535">
        <f>IF(AND(W50="Pay-on-time off bill",X50="Inclusive"),((Y50*1.1)-((Y50*1.1)*U50/100))/1.1,IF(AND(W50="Pay-on-time off usage",X50="Inclusive"),((Y50*1.1)-((P50*1.1)*V50/100))/1.1,IF(AND(W50="Pay-on-time off bill",X50="Exclusive"),Y50-(Y50*U50/100),IF(AND(W50="Pay-on-time off usage",X50="Exclusive"),Y50-(P50*V50/100),IF(X50="Inclusive",((Y50*1.1))/1.1,Y50)))))</f>
        <v>1290.7454545454543</v>
      </c>
      <c r="AA50" s="542">
        <f t="shared" si="32"/>
        <v>1419.82</v>
      </c>
      <c r="AB50" s="542">
        <f t="shared" si="32"/>
        <v>1419.82</v>
      </c>
      <c r="AC50" s="274">
        <f>'Tariffs Jan2021'!AZ44</f>
        <v>0</v>
      </c>
      <c r="AD50" s="274" t="str">
        <f>'Tariffs Jan2021'!BA44</f>
        <v>n</v>
      </c>
      <c r="AE50" s="275" t="str">
        <f>'Tariffs Jan2021'!BJ44</f>
        <v>N</v>
      </c>
      <c r="AF50" s="516"/>
      <c r="AG50" s="516"/>
      <c r="AH50" s="516"/>
      <c r="AI50" s="516"/>
      <c r="AJ50" s="516"/>
      <c r="AK50" s="516"/>
      <c r="AL50" s="516"/>
      <c r="AM50" s="516"/>
      <c r="AN50" s="516"/>
      <c r="AO50" s="516"/>
      <c r="AP50" s="516"/>
      <c r="AQ50" s="516"/>
      <c r="AR50" s="516"/>
      <c r="AS50" s="516"/>
      <c r="AT50" s="516"/>
      <c r="AU50" s="516"/>
      <c r="AV50" s="516"/>
      <c r="AW50" s="516"/>
      <c r="AX50" s="516"/>
      <c r="AY50" s="516"/>
      <c r="AZ50" s="516"/>
    </row>
    <row r="51" spans="1:52" ht="14" x14ac:dyDescent="0.15">
      <c r="A51" s="270" t="str">
        <f>'Tariffs Jan2021'!F45</f>
        <v>Red Energy</v>
      </c>
      <c r="B51" s="40" t="str">
        <f>'Tariffs Jan2021'!D45</f>
        <v>AGN North</v>
      </c>
      <c r="C51" s="40" t="str">
        <f>'Tariffs Jan2021'!G45</f>
        <v>Living Energy Saver</v>
      </c>
      <c r="D51" s="59">
        <f>365*'Tariffs Jan2021'!H45/100</f>
        <v>239.14136363636356</v>
      </c>
      <c r="E51" s="59">
        <f>IF($C$5*'Tariffs Jan2021'!AK45/'Tariffs Jan2021'!AI45&gt;='Tariffs Jan2021'!J45,( 'Tariffs Jan2021'!J45*'Tariffs Jan2021'!O45/100)* 'Tariffs Jan2021'!AI45,($C$5*'Tariffs Jan2021'!AK45/'Tariffs Jan2021'!AI45*'Tariffs Jan2021'!O45/100)* 'Tariffs Jan2021'!AI45)</f>
        <v>118.88863636363635</v>
      </c>
      <c r="F51" s="59">
        <f>IF($C$5*'Tariffs Jan2021'!AK45/'Tariffs Jan2021'!AI45&lt;'Tariffs Jan2021'!J45,0,IF($C$5*'Tariffs Jan2021'!AK45/'Tariffs Jan2021'!AI45&lt;='Tariffs Jan2021'!K45,($C$5*'Tariffs Jan2021'!AK45/'Tariffs Jan2021'!AI45-'Tariffs Jan2021'!J45)*('Tariffs Jan2021'!P45/100)*'Tariffs Jan2021'!AI45,('Tariffs Jan2021'!K45-'Tariffs Jan2021'!J45)*('Tariffs Jan2021'!P45/100)*'Tariffs Jan2021'!AI45))</f>
        <v>93.125454545454545</v>
      </c>
      <c r="G51" s="59">
        <f>IF($C$5*'Tariffs Jan2021'!AK45/'Tariffs Jan2021'!AI45&lt;'Tariffs Jan2021'!K45,0,IF($C$5*'Tariffs Jan2021'!AK45/'Tariffs Jan2021'!AI45&lt;='Tariffs Jan2021'!L45,($C$5*'Tariffs Jan2021'!AK45/'Tariffs Jan2021'!AI45-'Tariffs Jan2021'!K45)*('Tariffs Jan2021'!Q45/100)*'Tariffs Jan2021'!AI45,('Tariffs Jan2021'!L45-'Tariffs Jan2021'!K45)*('Tariffs Jan2021'!Q45/100)*'Tariffs Jan2021'!AI45))</f>
        <v>0</v>
      </c>
      <c r="H51" s="59">
        <f>IF($C$5*'Tariffs Jan2021'!AK45/'Tariffs Jan2021'!AI45&lt;'Tariffs Jan2021'!L45,0,IF($C$5*'Tariffs Jan2021'!AK45/'Tariffs Jan2021'!AI45&lt;='Tariffs Jan2021'!M45,($C$5*'Tariffs Jan2021'!AK45/'Tariffs Jan2021'!AI45-'Tariffs Jan2021'!L45)*('Tariffs Jan2021'!R45/100)*'Tariffs Jan2021'!AI45,('Tariffs Jan2021'!M45-'Tariffs Jan2021'!L45)*('Tariffs Jan2021'!R45/100)*'Tariffs Jan2021'!AI45))</f>
        <v>0</v>
      </c>
      <c r="I51" s="59">
        <f>IF(($C$5*'Tariffs Jan2021'!AK45/'Tariffs Jan2021'!AI45&gt;'Tariffs Jan2021'!M45),($C$5*'Tariffs Jan2021'!AK45/'Tariffs Jan2021'!AI45-'Tariffs Jan2021'!M45)*'Tariffs Jan2021'!S45/100*'Tariffs Jan2021'!AI45,0)</f>
        <v>384.5454545454545</v>
      </c>
      <c r="J51" s="59">
        <f>IF($C$5*'Tariffs Jan2021'!AL45/'Tariffs Jan2021'!AJ45&gt;='Tariffs Jan2021'!J45,('Tariffs Jan2021'!J45*'Tariffs Jan2021'!U45/100)* 'Tariffs Jan2021'!AJ45,($C$5*'Tariffs Jan2021'!AL45/'Tariffs Jan2021'!AJ45*'Tariffs Jan2021'!U45/100)* 'Tariffs Jan2021'!AJ45)</f>
        <v>118.88863636363635</v>
      </c>
      <c r="K51" s="59">
        <f>IF($C$5*'Tariffs Jan2021'!AL45/'Tariffs Jan2021'!AJ45&lt;'Tariffs Jan2021'!J45,0,IF($C$5*'Tariffs Jan2021'!AL45/'Tariffs Jan2021'!AJ45&lt;='Tariffs Jan2021'!K45,($C$5*'Tariffs Jan2021'!AL45/'Tariffs Jan2021'!AJ45-'Tariffs Jan2021'!J45)*('Tariffs Jan2021'!V45/100)*'Tariffs Jan2021'!AJ45,('Tariffs Jan2021'!K45-'Tariffs Jan2021'!J45)*('Tariffs Jan2021'!V45/100)*'Tariffs Jan2021'!AJ45))</f>
        <v>93.125454545454545</v>
      </c>
      <c r="L51" s="59">
        <f>IF($C$5*'Tariffs Jan2021'!AL45/'Tariffs Jan2021'!AJ45&lt;'Tariffs Jan2021'!K45,0,IF($C$5*'Tariffs Jan2021'!AL45/'Tariffs Jan2021'!AJ45&lt;='Tariffs Jan2021'!L45,($C$5*'Tariffs Jan2021'!AL45/'Tariffs Jan2021'!AJ45-'Tariffs Jan2021'!K45)*('Tariffs Jan2021'!W45/100)*'Tariffs Jan2021'!AJ45,('Tariffs Jan2021'!L45-'Tariffs Jan2021'!K45)*('Tariffs Jan2021'!W45/100)*'Tariffs Jan2021'!AJ45))</f>
        <v>0</v>
      </c>
      <c r="M51" s="59">
        <f>IF($C$5*'Tariffs Jan2021'!AL45/'Tariffs Jan2021'!AJ45&lt;'Tariffs Jan2021'!L45,0,IF($C$5*'Tariffs Jan2021'!AL45/'Tariffs Jan2021'!AJ45&lt;='Tariffs Jan2021'!M45,($C$5*'Tariffs Jan2021'!AL45/'Tariffs Jan2021'!AJ45-'Tariffs Jan2021'!L45)*('Tariffs Jan2021'!X45/100)*'Tariffs Jan2021'!AJ45,('Tariffs Jan2021'!M45-'Tariffs Jan2021'!L45)*('Tariffs Jan2021'!X45/100)*'Tariffs Jan2021'!AJ45))</f>
        <v>0</v>
      </c>
      <c r="N51" s="59">
        <f>IF(($C$5*'Tariffs Jan2021'!AL45/'Tariffs Jan2021'!AJ45&gt;'Tariffs Jan2021'!M45),($C$5*'Tariffs Jan2021'!AL45/'Tariffs Jan2021'!AJ45-'Tariffs Jan2021'!M45)*'Tariffs Jan2021'!Y45/100*'Tariffs Jan2021'!AJ45,0)</f>
        <v>384.5454545454545</v>
      </c>
      <c r="O51" s="59">
        <f t="shared" si="1"/>
        <v>1193.1190909090908</v>
      </c>
      <c r="P51" s="503">
        <f t="shared" si="2"/>
        <v>1312.431</v>
      </c>
      <c r="Q51" s="59">
        <f t="shared" si="3"/>
        <v>1432.2604545454544</v>
      </c>
      <c r="R51" s="272">
        <f t="shared" si="4"/>
        <v>1575.4865</v>
      </c>
      <c r="S51" s="40">
        <f>'Tariffs Jan2021'!AN45</f>
        <v>0</v>
      </c>
      <c r="T51" s="40">
        <f>'Tariffs Jan2021'!AO45</f>
        <v>0</v>
      </c>
      <c r="U51" s="40">
        <f>'Tariffs Jan2021'!AP45</f>
        <v>0</v>
      </c>
      <c r="V51" s="40">
        <f>'Tariffs Jan2021'!AQ45</f>
        <v>0</v>
      </c>
      <c r="W51" s="537" t="str">
        <f t="shared" si="33"/>
        <v>No discount</v>
      </c>
      <c r="X51" s="538" t="str">
        <f t="shared" si="34"/>
        <v>Inclusive</v>
      </c>
      <c r="Y51" s="534">
        <f t="shared" ref="Y51:Y54" si="41">IF(AND(W51="Guaranteed off bill",X51="Inclusive"),((Q51*1.1)-((Q51*1.1)*S51/100))/1.1,IF(AND(W51="Guaranteed off usage",X51="Inclusive"),((Q51*1.1)-((P51*1.1)*T51/100))/1.1,IF(AND(W51="Guaranteed off bill",X51="Exclusive"),Q51-(Q51*S51/100),IF(AND(W51="Guaranteed off usage",X51="Exclusive"),Q51-(P51*T51/100),IF(X51="Inclusive",((Q51*1.1))/1.1,Q51)))))</f>
        <v>1432.2604545454544</v>
      </c>
      <c r="Z51" s="535">
        <f t="shared" ref="Z51:Z54" si="42">IF(AND(W51="Pay-on-time off bill",X51="Inclusive"),((Y51*1.1)-((Y51*1.1)*U51/100))/1.1,IF(AND(W51="Pay-on-time off usage",X51="Inclusive"),((Y51*1.1)-((P51*1.1)*V51/100))/1.1,IF(AND(W51="Pay-on-time off bill",X51="Exclusive"),Y51-(Y51*U51/100),IF(AND(W51="Pay-on-time off usage",X51="Exclusive"),Y51-(P51*V51/100),IF(X51="Inclusive",((Y51*1.1))/1.1,Y51)))))</f>
        <v>1432.2604545454544</v>
      </c>
      <c r="AA51" s="542">
        <f t="shared" si="32"/>
        <v>1575.4865</v>
      </c>
      <c r="AB51" s="542">
        <f t="shared" si="32"/>
        <v>1575.4865</v>
      </c>
      <c r="AC51" s="274">
        <f>'Tariffs Jan2021'!AZ45</f>
        <v>0</v>
      </c>
      <c r="AD51" s="274" t="str">
        <f>'Tariffs Jan2021'!BA45</f>
        <v>n</v>
      </c>
      <c r="AE51" s="275" t="str">
        <f>'Tariffs Jan2021'!BJ45</f>
        <v>N</v>
      </c>
      <c r="AF51" s="516"/>
      <c r="AG51" s="516"/>
      <c r="AH51" s="516"/>
      <c r="AI51" s="516"/>
      <c r="AJ51" s="516"/>
      <c r="AK51" s="516"/>
      <c r="AL51" s="516"/>
      <c r="AM51" s="516"/>
      <c r="AN51" s="516"/>
      <c r="AO51" s="516"/>
      <c r="AP51" s="516"/>
      <c r="AQ51" s="516"/>
      <c r="AR51" s="516"/>
      <c r="AS51" s="516"/>
      <c r="AT51" s="516"/>
      <c r="AU51" s="516"/>
      <c r="AV51" s="516"/>
      <c r="AW51" s="516"/>
      <c r="AX51" s="516"/>
      <c r="AY51" s="516"/>
      <c r="AZ51" s="516"/>
    </row>
    <row r="52" spans="1:52" ht="14" x14ac:dyDescent="0.15">
      <c r="A52" s="270" t="str">
        <f>'Tariffs Jan2021'!F46</f>
        <v>Simply Energy</v>
      </c>
      <c r="B52" s="40" t="str">
        <f>'Tariffs Jan2021'!D46</f>
        <v>AGN North</v>
      </c>
      <c r="C52" s="40" t="str">
        <f>'Tariffs Jan2021'!G46</f>
        <v>Blue</v>
      </c>
      <c r="D52" s="59">
        <f>365*'Tariffs Jan2021'!H46/100</f>
        <v>296.31363636363631</v>
      </c>
      <c r="E52" s="59">
        <f>IF($C$5*'Tariffs Jan2021'!AK46/'Tariffs Jan2021'!AI46&gt;='Tariffs Jan2021'!J46,( 'Tariffs Jan2021'!J46*'Tariffs Jan2021'!O46/100)* 'Tariffs Jan2021'!AI46,($C$5*'Tariffs Jan2021'!AK46/'Tariffs Jan2021'!AI46*'Tariffs Jan2021'!O46/100)* 'Tariffs Jan2021'!AI46)</f>
        <v>133.245</v>
      </c>
      <c r="F52" s="59">
        <f>IF($C$5*'Tariffs Jan2021'!AK46/'Tariffs Jan2021'!AI46&lt;'Tariffs Jan2021'!J46,0,IF($C$5*'Tariffs Jan2021'!AK46/'Tariffs Jan2021'!AI46&lt;='Tariffs Jan2021'!K46,($C$5*'Tariffs Jan2021'!AK46/'Tariffs Jan2021'!AI46-'Tariffs Jan2021'!J46)*('Tariffs Jan2021'!P46/100)*'Tariffs Jan2021'!AI46,('Tariffs Jan2021'!K46-'Tariffs Jan2021'!J46)*('Tariffs Jan2021'!P46/100)*'Tariffs Jan2021'!AI46))</f>
        <v>89.060454545454547</v>
      </c>
      <c r="G52" s="59">
        <f>IF($C$5*'Tariffs Jan2021'!AK46/'Tariffs Jan2021'!AI46&lt;'Tariffs Jan2021'!K46,0,IF($C$5*'Tariffs Jan2021'!AK46/'Tariffs Jan2021'!AI46&lt;='Tariffs Jan2021'!L46,($C$5*'Tariffs Jan2021'!AK46/'Tariffs Jan2021'!AI46-'Tariffs Jan2021'!K46)*('Tariffs Jan2021'!Q46/100)*'Tariffs Jan2021'!AI46,('Tariffs Jan2021'!L46-'Tariffs Jan2021'!K46)*('Tariffs Jan2021'!Q46/100)*'Tariffs Jan2021'!AI46))</f>
        <v>0</v>
      </c>
      <c r="H52" s="59">
        <f>IF($C$5*'Tariffs Jan2021'!AK46/'Tariffs Jan2021'!AI46&lt;'Tariffs Jan2021'!L46,0,IF($C$5*'Tariffs Jan2021'!AK46/'Tariffs Jan2021'!AI46&lt;='Tariffs Jan2021'!M46,($C$5*'Tariffs Jan2021'!AK46/'Tariffs Jan2021'!AI46-'Tariffs Jan2021'!L46)*('Tariffs Jan2021'!R46/100)*'Tariffs Jan2021'!AI46,('Tariffs Jan2021'!M46-'Tariffs Jan2021'!L46)*('Tariffs Jan2021'!R46/100)*'Tariffs Jan2021'!AI46))</f>
        <v>0</v>
      </c>
      <c r="I52" s="59">
        <f>IF(($C$5*'Tariffs Jan2021'!AK46/'Tariffs Jan2021'!AI46&gt;'Tariffs Jan2021'!M46),($C$5*'Tariffs Jan2021'!AK46/'Tariffs Jan2021'!AI46-'Tariffs Jan2021'!M46)*'Tariffs Jan2021'!S46/100*'Tariffs Jan2021'!AI46,0)</f>
        <v>419.31818181818176</v>
      </c>
      <c r="J52" s="59">
        <f>IF($C$5*'Tariffs Jan2021'!AL46/'Tariffs Jan2021'!AJ46&gt;='Tariffs Jan2021'!J46,('Tariffs Jan2021'!J46*'Tariffs Jan2021'!U46/100)* 'Tariffs Jan2021'!AJ46,($C$5*'Tariffs Jan2021'!AL46/'Tariffs Jan2021'!AJ46*'Tariffs Jan2021'!U46/100)* 'Tariffs Jan2021'!AJ46)</f>
        <v>133.245</v>
      </c>
      <c r="K52" s="59">
        <f>IF($C$5*'Tariffs Jan2021'!AL46/'Tariffs Jan2021'!AJ46&lt;'Tariffs Jan2021'!J46,0,IF($C$5*'Tariffs Jan2021'!AL46/'Tariffs Jan2021'!AJ46&lt;='Tariffs Jan2021'!K46,($C$5*'Tariffs Jan2021'!AL46/'Tariffs Jan2021'!AJ46-'Tariffs Jan2021'!J46)*('Tariffs Jan2021'!V46/100)*'Tariffs Jan2021'!AJ46,('Tariffs Jan2021'!K46-'Tariffs Jan2021'!J46)*('Tariffs Jan2021'!V46/100)*'Tariffs Jan2021'!AJ46))</f>
        <v>89.060454545454547</v>
      </c>
      <c r="L52" s="59">
        <f>IF($C$5*'Tariffs Jan2021'!AL46/'Tariffs Jan2021'!AJ46&lt;'Tariffs Jan2021'!K46,0,IF($C$5*'Tariffs Jan2021'!AL46/'Tariffs Jan2021'!AJ46&lt;='Tariffs Jan2021'!L46,($C$5*'Tariffs Jan2021'!AL46/'Tariffs Jan2021'!AJ46-'Tariffs Jan2021'!K46)*('Tariffs Jan2021'!W46/100)*'Tariffs Jan2021'!AJ46,('Tariffs Jan2021'!L46-'Tariffs Jan2021'!K46)*('Tariffs Jan2021'!W46/100)*'Tariffs Jan2021'!AJ46))</f>
        <v>0</v>
      </c>
      <c r="M52" s="59">
        <f>IF($C$5*'Tariffs Jan2021'!AL46/'Tariffs Jan2021'!AJ46&lt;'Tariffs Jan2021'!L46,0,IF($C$5*'Tariffs Jan2021'!AL46/'Tariffs Jan2021'!AJ46&lt;='Tariffs Jan2021'!M46,($C$5*'Tariffs Jan2021'!AL46/'Tariffs Jan2021'!AJ46-'Tariffs Jan2021'!L46)*('Tariffs Jan2021'!X46/100)*'Tariffs Jan2021'!AJ46,('Tariffs Jan2021'!M46-'Tariffs Jan2021'!L46)*('Tariffs Jan2021'!X46/100)*'Tariffs Jan2021'!AJ46))</f>
        <v>0</v>
      </c>
      <c r="N52" s="59">
        <f>IF(($C$5*'Tariffs Jan2021'!AL46/'Tariffs Jan2021'!AJ46&gt;'Tariffs Jan2021'!M46),($C$5*'Tariffs Jan2021'!AL46/'Tariffs Jan2021'!AJ46-'Tariffs Jan2021'!M46)*'Tariffs Jan2021'!Y46/100*'Tariffs Jan2021'!AJ46,0)</f>
        <v>419.31818181818176</v>
      </c>
      <c r="O52" s="59">
        <f t="shared" si="1"/>
        <v>1283.2472727272725</v>
      </c>
      <c r="P52" s="503">
        <f t="shared" si="2"/>
        <v>1411.5719999999999</v>
      </c>
      <c r="Q52" s="59">
        <f t="shared" si="3"/>
        <v>1579.5609090909088</v>
      </c>
      <c r="R52" s="272">
        <f t="shared" si="4"/>
        <v>1737.5169999999998</v>
      </c>
      <c r="S52" s="40">
        <f>'Tariffs Jan2021'!AN46</f>
        <v>21</v>
      </c>
      <c r="T52" s="40">
        <f>'Tariffs Jan2021'!AO46</f>
        <v>0</v>
      </c>
      <c r="U52" s="40">
        <f>'Tariffs Jan2021'!AP46</f>
        <v>0</v>
      </c>
      <c r="V52" s="40">
        <f>'Tariffs Jan2021'!AQ46</f>
        <v>0</v>
      </c>
      <c r="W52" s="537" t="str">
        <f t="shared" si="33"/>
        <v>Guaranteed off bill</v>
      </c>
      <c r="X52" s="538" t="str">
        <f t="shared" si="34"/>
        <v>Exclusive</v>
      </c>
      <c r="Y52" s="534">
        <f t="shared" si="41"/>
        <v>1247.853118181818</v>
      </c>
      <c r="Z52" s="535">
        <f t="shared" si="42"/>
        <v>1247.853118181818</v>
      </c>
      <c r="AA52" s="542">
        <f t="shared" si="32"/>
        <v>1372.63843</v>
      </c>
      <c r="AB52" s="542">
        <f t="shared" si="32"/>
        <v>1372.63843</v>
      </c>
      <c r="AC52" s="274">
        <f>'Tariffs Jan2021'!AZ46</f>
        <v>0</v>
      </c>
      <c r="AD52" s="274" t="str">
        <f>'Tariffs Jan2021'!BA46</f>
        <v>n</v>
      </c>
      <c r="AE52" s="275" t="str">
        <f>'Tariffs Jan2021'!BJ46</f>
        <v>N</v>
      </c>
      <c r="AF52" s="516"/>
      <c r="AG52" s="516"/>
      <c r="AH52" s="516"/>
      <c r="AI52" s="516"/>
      <c r="AJ52" s="516"/>
      <c r="AK52" s="516"/>
      <c r="AL52" s="516"/>
      <c r="AM52" s="516"/>
      <c r="AN52" s="516"/>
      <c r="AO52" s="516"/>
      <c r="AP52" s="516"/>
      <c r="AQ52" s="516"/>
      <c r="AR52" s="516"/>
      <c r="AS52" s="516"/>
      <c r="AT52" s="516"/>
      <c r="AU52" s="516"/>
      <c r="AV52" s="516"/>
      <c r="AW52" s="516"/>
      <c r="AX52" s="516"/>
      <c r="AY52" s="516"/>
      <c r="AZ52" s="516"/>
    </row>
    <row r="53" spans="1:52" ht="14" x14ac:dyDescent="0.15">
      <c r="A53" s="270" t="str">
        <f>'Tariffs Jan2021'!F47</f>
        <v>Sumo Power</v>
      </c>
      <c r="B53" s="40" t="str">
        <f>'Tariffs Jan2021'!D47</f>
        <v>AGN North</v>
      </c>
      <c r="C53" s="40" t="str">
        <f>'Tariffs Jan2021'!G47</f>
        <v>Freedom</v>
      </c>
      <c r="D53" s="59">
        <f>365*'Tariffs Jan2021'!H47/100</f>
        <v>229.94999999999996</v>
      </c>
      <c r="E53" s="59">
        <f>IF($C$5*'Tariffs Jan2021'!AK47/'Tariffs Jan2021'!AI47&gt;='Tariffs Jan2021'!J47,( 'Tariffs Jan2021'!J47*'Tariffs Jan2021'!O47/100)* 'Tariffs Jan2021'!AI47,($C$5*'Tariffs Jan2021'!AK47/'Tariffs Jan2021'!AI47*'Tariffs Jan2021'!O47/100)* 'Tariffs Jan2021'!AI47)</f>
        <v>113.05636363636361</v>
      </c>
      <c r="F53" s="59">
        <f>IF($C$5*'Tariffs Jan2021'!AK47/'Tariffs Jan2021'!AI47&lt;'Tariffs Jan2021'!J47,0,IF($C$5*'Tariffs Jan2021'!AK47/'Tariffs Jan2021'!AI47&lt;='Tariffs Jan2021'!K47,($C$5*'Tariffs Jan2021'!AK47/'Tariffs Jan2021'!AI47-'Tariffs Jan2021'!J47)*('Tariffs Jan2021'!P47/100)*'Tariffs Jan2021'!AI47,('Tariffs Jan2021'!K47-'Tariffs Jan2021'!J47)*('Tariffs Jan2021'!P47/100)*'Tariffs Jan2021'!AI47))</f>
        <v>80.560909090909092</v>
      </c>
      <c r="G53" s="59">
        <f>IF($C$5*'Tariffs Jan2021'!AK47/'Tariffs Jan2021'!AI47&lt;'Tariffs Jan2021'!K47,0,IF($C$5*'Tariffs Jan2021'!AK47/'Tariffs Jan2021'!AI47&lt;='Tariffs Jan2021'!L47,($C$5*'Tariffs Jan2021'!AK47/'Tariffs Jan2021'!AI47-'Tariffs Jan2021'!K47)*('Tariffs Jan2021'!Q47/100)*'Tariffs Jan2021'!AI47,('Tariffs Jan2021'!L47-'Tariffs Jan2021'!K47)*('Tariffs Jan2021'!Q47/100)*'Tariffs Jan2021'!AI47))</f>
        <v>0</v>
      </c>
      <c r="H53" s="59">
        <f>IF($C$5*'Tariffs Jan2021'!AK47/'Tariffs Jan2021'!AI47&lt;'Tariffs Jan2021'!L47,0,IF($C$5*'Tariffs Jan2021'!AK47/'Tariffs Jan2021'!AI47&lt;='Tariffs Jan2021'!M47,($C$5*'Tariffs Jan2021'!AK47/'Tariffs Jan2021'!AI47-'Tariffs Jan2021'!L47)*('Tariffs Jan2021'!R47/100)*'Tariffs Jan2021'!AI47,('Tariffs Jan2021'!M47-'Tariffs Jan2021'!L47)*('Tariffs Jan2021'!R47/100)*'Tariffs Jan2021'!AI47))</f>
        <v>0</v>
      </c>
      <c r="I53" s="59">
        <f>IF(($C$5*'Tariffs Jan2021'!AK47/'Tariffs Jan2021'!AI47&gt;'Tariffs Jan2021'!M47),($C$5*'Tariffs Jan2021'!AK47/'Tariffs Jan2021'!AI47-'Tariffs Jan2021'!M47)*'Tariffs Jan2021'!S47/100*'Tariffs Jan2021'!AI47,0)</f>
        <v>374.31818181818181</v>
      </c>
      <c r="J53" s="59">
        <f>IF($C$5*'Tariffs Jan2021'!AL47/'Tariffs Jan2021'!AJ47&gt;='Tariffs Jan2021'!J47,('Tariffs Jan2021'!J47*'Tariffs Jan2021'!U47/100)* 'Tariffs Jan2021'!AJ47,($C$5*'Tariffs Jan2021'!AL47/'Tariffs Jan2021'!AJ47*'Tariffs Jan2021'!U47/100)* 'Tariffs Jan2021'!AJ47)</f>
        <v>113.05636363636361</v>
      </c>
      <c r="K53" s="59">
        <f>IF($C$5*'Tariffs Jan2021'!AL47/'Tariffs Jan2021'!AJ47&lt;'Tariffs Jan2021'!J47,0,IF($C$5*'Tariffs Jan2021'!AL47/'Tariffs Jan2021'!AJ47&lt;='Tariffs Jan2021'!K47,($C$5*'Tariffs Jan2021'!AL47/'Tariffs Jan2021'!AJ47-'Tariffs Jan2021'!J47)*('Tariffs Jan2021'!V47/100)*'Tariffs Jan2021'!AJ47,('Tariffs Jan2021'!K47-'Tariffs Jan2021'!J47)*('Tariffs Jan2021'!V47/100)*'Tariffs Jan2021'!AJ47))</f>
        <v>80.560909090909092</v>
      </c>
      <c r="L53" s="59">
        <f>IF($C$5*'Tariffs Jan2021'!AL47/'Tariffs Jan2021'!AJ47&lt;'Tariffs Jan2021'!K47,0,IF($C$5*'Tariffs Jan2021'!AL47/'Tariffs Jan2021'!AJ47&lt;='Tariffs Jan2021'!L47,($C$5*'Tariffs Jan2021'!AL47/'Tariffs Jan2021'!AJ47-'Tariffs Jan2021'!K47)*('Tariffs Jan2021'!W47/100)*'Tariffs Jan2021'!AJ47,('Tariffs Jan2021'!L47-'Tariffs Jan2021'!K47)*('Tariffs Jan2021'!W47/100)*'Tariffs Jan2021'!AJ47))</f>
        <v>0</v>
      </c>
      <c r="M53" s="59">
        <f>IF($C$5*'Tariffs Jan2021'!AL47/'Tariffs Jan2021'!AJ47&lt;'Tariffs Jan2021'!L47,0,IF($C$5*'Tariffs Jan2021'!AL47/'Tariffs Jan2021'!AJ47&lt;='Tariffs Jan2021'!M47,($C$5*'Tariffs Jan2021'!AL47/'Tariffs Jan2021'!AJ47-'Tariffs Jan2021'!L47)*('Tariffs Jan2021'!X47/100)*'Tariffs Jan2021'!AJ47,('Tariffs Jan2021'!M47-'Tariffs Jan2021'!L47)*('Tariffs Jan2021'!X47/100)*'Tariffs Jan2021'!AJ47))</f>
        <v>0</v>
      </c>
      <c r="N53" s="59">
        <f>IF(($C$5*'Tariffs Jan2021'!AL47/'Tariffs Jan2021'!AJ47&gt;'Tariffs Jan2021'!M47),($C$5*'Tariffs Jan2021'!AL47/'Tariffs Jan2021'!AJ47-'Tariffs Jan2021'!M47)*'Tariffs Jan2021'!Y47/100*'Tariffs Jan2021'!AJ47,0)</f>
        <v>374.31818181818181</v>
      </c>
      <c r="O53" s="59">
        <f>SUM(E53:N53)</f>
        <v>1135.870909090909</v>
      </c>
      <c r="P53" s="503">
        <f t="shared" si="2"/>
        <v>1249.4580000000001</v>
      </c>
      <c r="Q53" s="59">
        <f>D53+O53</f>
        <v>1365.820909090909</v>
      </c>
      <c r="R53" s="272">
        <f>Q53*1.1</f>
        <v>1502.403</v>
      </c>
      <c r="S53" s="40">
        <f>'Tariffs Jan2021'!AN47</f>
        <v>0</v>
      </c>
      <c r="T53" s="40">
        <f>'Tariffs Jan2021'!AO47</f>
        <v>0</v>
      </c>
      <c r="U53" s="40">
        <f>'Tariffs Jan2021'!AP47</f>
        <v>0</v>
      </c>
      <c r="V53" s="40">
        <f>'Tariffs Jan2021'!AQ47</f>
        <v>0</v>
      </c>
      <c r="W53" s="537" t="str">
        <f t="shared" si="33"/>
        <v>No discount</v>
      </c>
      <c r="X53" s="538" t="str">
        <f t="shared" si="34"/>
        <v>Exclusive</v>
      </c>
      <c r="Y53" s="534">
        <f t="shared" si="41"/>
        <v>1365.820909090909</v>
      </c>
      <c r="Z53" s="535">
        <f t="shared" si="42"/>
        <v>1365.820909090909</v>
      </c>
      <c r="AA53" s="542">
        <f t="shared" si="32"/>
        <v>1502.403</v>
      </c>
      <c r="AB53" s="542">
        <f t="shared" si="32"/>
        <v>1502.403</v>
      </c>
      <c r="AC53" s="274">
        <f>'Tariffs Jan2021'!AZ47</f>
        <v>0</v>
      </c>
      <c r="AD53" s="274" t="str">
        <f>'Tariffs Jan2021'!BA47</f>
        <v>n</v>
      </c>
      <c r="AE53" s="275" t="str">
        <f>'Tariffs Jan2021'!BJ47</f>
        <v>Y</v>
      </c>
      <c r="AF53" s="516"/>
      <c r="AG53" s="516"/>
      <c r="AH53" s="516"/>
      <c r="AI53" s="516"/>
      <c r="AJ53" s="516"/>
      <c r="AK53" s="516"/>
      <c r="AL53" s="516"/>
      <c r="AM53" s="516"/>
      <c r="AN53" s="516"/>
      <c r="AO53" s="516"/>
      <c r="AP53" s="516"/>
      <c r="AQ53" s="516"/>
      <c r="AR53" s="516"/>
      <c r="AS53" s="516"/>
      <c r="AT53" s="516"/>
      <c r="AU53" s="516"/>
      <c r="AV53" s="516"/>
      <c r="AW53" s="516"/>
      <c r="AX53" s="516"/>
      <c r="AY53" s="516"/>
      <c r="AZ53" s="516"/>
    </row>
    <row r="54" spans="1:52" ht="14" x14ac:dyDescent="0.15">
      <c r="A54" s="270" t="str">
        <f>'Tariffs Jan2021'!F48</f>
        <v>GloBird Energy</v>
      </c>
      <c r="B54" s="40" t="str">
        <f>'Tariffs Jan2021'!D48</f>
        <v>AGN North</v>
      </c>
      <c r="C54" s="40" t="str">
        <f>'Tariffs Jan2021'!G48</f>
        <v>GloSave</v>
      </c>
      <c r="D54" s="59">
        <f>365*'Tariffs Jan2021'!H48/100</f>
        <v>218.99999999999997</v>
      </c>
      <c r="E54" s="59">
        <f>IF($C$5*'Tariffs Jan2021'!AK48/'Tariffs Jan2021'!AI48&gt;='Tariffs Jan2021'!J48,( 'Tariffs Jan2021'!J48*'Tariffs Jan2021'!O48/100)* 'Tariffs Jan2021'!AI48,($C$5*'Tariffs Jan2021'!AK48/'Tariffs Jan2021'!AI48*'Tariffs Jan2021'!O48/100)* 'Tariffs Jan2021'!AI48)</f>
        <v>184.90909090909091</v>
      </c>
      <c r="F54" s="59">
        <f>IF($C$5*'Tariffs Jan2021'!AK48/'Tariffs Jan2021'!AI48&lt;'Tariffs Jan2021'!J48,0,IF($C$5*'Tariffs Jan2021'!AK48/'Tariffs Jan2021'!AI48&lt;='Tariffs Jan2021'!K48,($C$5*'Tariffs Jan2021'!AK48/'Tariffs Jan2021'!AI48-'Tariffs Jan2021'!J48)*('Tariffs Jan2021'!P48/100)*'Tariffs Jan2021'!AI48,('Tariffs Jan2021'!K48-'Tariffs Jan2021'!J48)*('Tariffs Jan2021'!P48/100)*'Tariffs Jan2021'!AI48))</f>
        <v>0</v>
      </c>
      <c r="G54" s="59">
        <f>IF($C$5*'Tariffs Jan2021'!AK48/'Tariffs Jan2021'!AI48&lt;'Tariffs Jan2021'!K48,0,IF($C$5*'Tariffs Jan2021'!AK48/'Tariffs Jan2021'!AI48&lt;='Tariffs Jan2021'!L48,($C$5*'Tariffs Jan2021'!AK48/'Tariffs Jan2021'!AI48-'Tariffs Jan2021'!K48)*('Tariffs Jan2021'!Q48/100)*'Tariffs Jan2021'!AI48,('Tariffs Jan2021'!L48-'Tariffs Jan2021'!K48)*('Tariffs Jan2021'!Q48/100)*'Tariffs Jan2021'!AI48))</f>
        <v>0</v>
      </c>
      <c r="H54" s="59">
        <f>IF($C$5*'Tariffs Jan2021'!AK48/'Tariffs Jan2021'!AI48&lt;'Tariffs Jan2021'!L48,0,IF($C$5*'Tariffs Jan2021'!AK48/'Tariffs Jan2021'!AI48&lt;='Tariffs Jan2021'!M48,($C$5*'Tariffs Jan2021'!AK48/'Tariffs Jan2021'!AI48-'Tariffs Jan2021'!L48)*('Tariffs Jan2021'!R48/100)*'Tariffs Jan2021'!AI48,('Tariffs Jan2021'!M48-'Tariffs Jan2021'!L48)*('Tariffs Jan2021'!R48/100)*'Tariffs Jan2021'!AI48))</f>
        <v>0</v>
      </c>
      <c r="I54" s="59">
        <f>IF(($C$5*'Tariffs Jan2021'!AK48/'Tariffs Jan2021'!AI48&gt;'Tariffs Jan2021'!M48),($C$5*'Tariffs Jan2021'!AK48/'Tariffs Jan2021'!AI48-'Tariffs Jan2021'!M48)*'Tariffs Jan2021'!S48/100*'Tariffs Jan2021'!AI48,0)</f>
        <v>349.77272727272725</v>
      </c>
      <c r="J54" s="59">
        <f>IF($C$5*'Tariffs Jan2021'!AL48/'Tariffs Jan2021'!AJ48&gt;='Tariffs Jan2021'!J48,('Tariffs Jan2021'!J48*'Tariffs Jan2021'!U48/100)* 'Tariffs Jan2021'!AJ48,($C$5*'Tariffs Jan2021'!AL48/'Tariffs Jan2021'!AJ48*'Tariffs Jan2021'!U48/100)* 'Tariffs Jan2021'!AJ48)</f>
        <v>184.90909090909091</v>
      </c>
      <c r="K54" s="59">
        <f>IF($C$5*'Tariffs Jan2021'!AL48/'Tariffs Jan2021'!AJ48&lt;'Tariffs Jan2021'!J48,0,IF($C$5*'Tariffs Jan2021'!AL48/'Tariffs Jan2021'!AJ48&lt;='Tariffs Jan2021'!K48,($C$5*'Tariffs Jan2021'!AL48/'Tariffs Jan2021'!AJ48-'Tariffs Jan2021'!J48)*('Tariffs Jan2021'!V48/100)*'Tariffs Jan2021'!AJ48,('Tariffs Jan2021'!K48-'Tariffs Jan2021'!J48)*('Tariffs Jan2021'!V48/100)*'Tariffs Jan2021'!AJ48))</f>
        <v>0</v>
      </c>
      <c r="L54" s="59">
        <f>IF($C$5*'Tariffs Jan2021'!AL48/'Tariffs Jan2021'!AJ48&lt;'Tariffs Jan2021'!K48,0,IF($C$5*'Tariffs Jan2021'!AL48/'Tariffs Jan2021'!AJ48&lt;='Tariffs Jan2021'!L48,($C$5*'Tariffs Jan2021'!AL48/'Tariffs Jan2021'!AJ48-'Tariffs Jan2021'!K48)*('Tariffs Jan2021'!W48/100)*'Tariffs Jan2021'!AJ48,('Tariffs Jan2021'!L48-'Tariffs Jan2021'!K48)*('Tariffs Jan2021'!W48/100)*'Tariffs Jan2021'!AJ48))</f>
        <v>0</v>
      </c>
      <c r="M54" s="59">
        <f>IF($C$5*'Tariffs Jan2021'!AL48/'Tariffs Jan2021'!AJ48&lt;'Tariffs Jan2021'!L48,0,IF($C$5*'Tariffs Jan2021'!AL48/'Tariffs Jan2021'!AJ48&lt;='Tariffs Jan2021'!M48,($C$5*'Tariffs Jan2021'!AL48/'Tariffs Jan2021'!AJ48-'Tariffs Jan2021'!L48)*('Tariffs Jan2021'!X48/100)*'Tariffs Jan2021'!AJ48,('Tariffs Jan2021'!M48-'Tariffs Jan2021'!L48)*('Tariffs Jan2021'!X48/100)*'Tariffs Jan2021'!AJ48))</f>
        <v>0</v>
      </c>
      <c r="N54" s="59">
        <f>IF(($C$5*'Tariffs Jan2021'!AL48/'Tariffs Jan2021'!AJ48&gt;'Tariffs Jan2021'!M48),($C$5*'Tariffs Jan2021'!AL48/'Tariffs Jan2021'!AJ48-'Tariffs Jan2021'!M48)*'Tariffs Jan2021'!Y48/100*'Tariffs Jan2021'!AJ48,0)</f>
        <v>349.77272727272725</v>
      </c>
      <c r="O54" s="59">
        <f t="shared" si="1"/>
        <v>1069.3636363636363</v>
      </c>
      <c r="P54" s="503">
        <f t="shared" si="2"/>
        <v>1176.3</v>
      </c>
      <c r="Q54" s="59">
        <f t="shared" si="3"/>
        <v>1288.3636363636363</v>
      </c>
      <c r="R54" s="272">
        <f t="shared" si="4"/>
        <v>1417.2</v>
      </c>
      <c r="S54" s="40">
        <f>'Tariffs Jan2021'!AN48</f>
        <v>0</v>
      </c>
      <c r="T54" s="40">
        <f>'Tariffs Jan2021'!AO48</f>
        <v>0</v>
      </c>
      <c r="U54" s="40">
        <f>'Tariffs Jan2021'!AP48</f>
        <v>0</v>
      </c>
      <c r="V54" s="40">
        <f>'Tariffs Jan2021'!AQ48</f>
        <v>0</v>
      </c>
      <c r="W54" s="537" t="str">
        <f t="shared" si="33"/>
        <v>No discount</v>
      </c>
      <c r="X54" s="538" t="str">
        <f t="shared" si="34"/>
        <v>Exclusive</v>
      </c>
      <c r="Y54" s="534">
        <f t="shared" si="41"/>
        <v>1288.3636363636363</v>
      </c>
      <c r="Z54" s="535">
        <f t="shared" si="42"/>
        <v>1288.3636363636363</v>
      </c>
      <c r="AA54" s="542">
        <f t="shared" si="32"/>
        <v>1417.2</v>
      </c>
      <c r="AB54" s="542">
        <f t="shared" si="32"/>
        <v>1417.2</v>
      </c>
      <c r="AC54" s="274">
        <f>'Tariffs Jan2021'!AZ48</f>
        <v>0</v>
      </c>
      <c r="AD54" s="274" t="str">
        <f>'Tariffs Jan2021'!BA48</f>
        <v>n</v>
      </c>
      <c r="AE54" s="275" t="str">
        <f>'Tariffs Jan2021'!BJ48</f>
        <v>N</v>
      </c>
      <c r="AF54" s="516"/>
      <c r="AG54" s="516"/>
      <c r="AH54" s="516"/>
      <c r="AI54" s="516"/>
      <c r="AJ54" s="516"/>
      <c r="AK54" s="516"/>
      <c r="AL54" s="516"/>
      <c r="AM54" s="516"/>
      <c r="AN54" s="516"/>
      <c r="AO54" s="516"/>
      <c r="AP54" s="516"/>
      <c r="AQ54" s="516"/>
      <c r="AR54" s="516"/>
      <c r="AS54" s="516"/>
      <c r="AT54" s="516"/>
      <c r="AU54" s="516"/>
      <c r="AV54" s="516"/>
      <c r="AW54" s="516"/>
      <c r="AX54" s="516"/>
      <c r="AY54" s="516"/>
      <c r="AZ54" s="516"/>
    </row>
    <row r="55" spans="1:52" ht="14" x14ac:dyDescent="0.15">
      <c r="A55" s="270" t="str">
        <f>'Tariffs Jan2021'!F49</f>
        <v>Powershop</v>
      </c>
      <c r="B55" s="40" t="str">
        <f>'Tariffs Jan2021'!D49</f>
        <v>AGN North</v>
      </c>
      <c r="C55" s="40" t="str">
        <f>'Tariffs Jan2021'!G49</f>
        <v>Market offer</v>
      </c>
      <c r="D55" s="59">
        <f>365*'Tariffs Jan2021'!H49/100</f>
        <v>247.8681818181818</v>
      </c>
      <c r="E55" s="59">
        <f>((C$5*'Tariffs Jan2021'!AK49/'Tariffs Jan2021'!AI49)*('Tariffs Jan2021'!O49/100))*'Tariffs Jan2021'!AI49</f>
        <v>552.68181818181813</v>
      </c>
      <c r="F55" s="59">
        <v>0</v>
      </c>
      <c r="G55" s="59">
        <v>0</v>
      </c>
      <c r="H55" s="59">
        <v>0</v>
      </c>
      <c r="I55" s="59">
        <v>0</v>
      </c>
      <c r="J55" s="59">
        <f>((C$5*'Tariffs Jan2021'!AL49/'Tariffs Jan2021'!AJ49)*('Tariffs Jan2021'!U49/100))*'Tariffs Jan2021'!AJ49</f>
        <v>552.68181818181813</v>
      </c>
      <c r="K55" s="59">
        <v>0</v>
      </c>
      <c r="L55" s="59">
        <v>0</v>
      </c>
      <c r="M55" s="59">
        <v>0</v>
      </c>
      <c r="N55" s="59">
        <v>0</v>
      </c>
      <c r="O55" s="59">
        <f t="shared" si="1"/>
        <v>1105.3636363636363</v>
      </c>
      <c r="P55" s="503">
        <f t="shared" si="2"/>
        <v>1215.9000000000001</v>
      </c>
      <c r="Q55" s="59">
        <f t="shared" si="3"/>
        <v>1353.231818181818</v>
      </c>
      <c r="R55" s="272">
        <f t="shared" si="4"/>
        <v>1488.5549999999998</v>
      </c>
      <c r="S55" s="40">
        <f>'Tariffs Jan2021'!AN49</f>
        <v>0</v>
      </c>
      <c r="T55" s="40">
        <f>'Tariffs Jan2021'!AO49</f>
        <v>0</v>
      </c>
      <c r="U55" s="40">
        <f>'Tariffs Jan2021'!AP49</f>
        <v>0</v>
      </c>
      <c r="V55" s="40">
        <f>'Tariffs Jan2021'!AQ49</f>
        <v>0</v>
      </c>
      <c r="W55" s="537" t="str">
        <f t="shared" si="33"/>
        <v>No discount</v>
      </c>
      <c r="X55" s="538" t="str">
        <f t="shared" si="34"/>
        <v>Inclusive</v>
      </c>
      <c r="Y55" s="534">
        <f>IF(AND(W55="Guaranteed off bill",X55="Inclusive"),((Q55*1.1)-((Q55*1.1)*S55/100))/1.1,IF(AND(W55="Guaranteed off usage",X55="Inclusive"),((Q55*1.1)-((P55*1.1)*T55/100))/1.1,IF(AND(W55="Guaranteed off bill",X55="Exclusive"),Q55-(Q55*S55/100),IF(AND(W55="Guaranteed off usage",X55="Exclusive"),Q55-(P55*T55/100),IF(X55="Inclusive",((Q55*1.1))/1.1,Q55)))))</f>
        <v>1353.231818181818</v>
      </c>
      <c r="Z55" s="535">
        <f>IF(AND(W55="Pay-on-time off bill",X55="Inclusive"),((Y55*1.1)-((Y55*1.1)*U55/100))/1.1,IF(AND(W55="Pay-on-time off usage",X55="Inclusive"),((Y55*1.1)-((P55*1.1)*V55/100))/1.1,IF(AND(W55="Pay-on-time off bill",X55="Exclusive"),Y55-(Y55*U55/100),IF(AND(W55="Pay-on-time off usage",X55="Exclusive"),Y55-(P55*V55/100),IF(X55="Inclusive",((Y55*1.1))/1.1,Y55)))))</f>
        <v>1353.231818181818</v>
      </c>
      <c r="AA55" s="542">
        <f t="shared" si="32"/>
        <v>1488.5549999999998</v>
      </c>
      <c r="AB55" s="542">
        <f t="shared" si="32"/>
        <v>1488.5549999999998</v>
      </c>
      <c r="AC55" s="274">
        <f>'Tariffs Jan2021'!AZ49</f>
        <v>0</v>
      </c>
      <c r="AD55" s="274" t="str">
        <f>'Tariffs Jan2021'!BA49</f>
        <v>n</v>
      </c>
      <c r="AE55" s="275" t="str">
        <f>'Tariffs Jan2021'!BJ49</f>
        <v>Y</v>
      </c>
      <c r="AF55" s="516"/>
      <c r="AG55" s="516"/>
      <c r="AH55" s="516"/>
      <c r="AI55" s="516"/>
      <c r="AJ55" s="516"/>
      <c r="AK55" s="516"/>
      <c r="AL55" s="516"/>
      <c r="AM55" s="516"/>
      <c r="AN55" s="516"/>
      <c r="AO55" s="516"/>
      <c r="AP55" s="516"/>
      <c r="AQ55" s="516"/>
      <c r="AR55" s="516"/>
      <c r="AS55" s="516"/>
      <c r="AT55" s="516"/>
      <c r="AU55" s="516"/>
      <c r="AV55" s="516"/>
      <c r="AW55" s="516"/>
      <c r="AX55" s="516"/>
      <c r="AY55" s="516"/>
      <c r="AZ55" s="516"/>
    </row>
    <row r="56" spans="1:52" ht="14" x14ac:dyDescent="0.15">
      <c r="A56" s="270" t="str">
        <f>'Tariffs Jan2021'!F50</f>
        <v>1st Energy</v>
      </c>
      <c r="B56" s="40" t="str">
        <f>'Tariffs Jan2021'!D50</f>
        <v>AGN North</v>
      </c>
      <c r="C56" s="40" t="str">
        <f>'Tariffs Jan2021'!G50</f>
        <v>1st Saver Plus</v>
      </c>
      <c r="D56" s="59">
        <f>365*'Tariffs Jan2021'!H50/100</f>
        <v>266.45</v>
      </c>
      <c r="E56" s="59">
        <f>IF($C$5*'Tariffs Jan2021'!AK50/'Tariffs Jan2021'!AI50&gt;='Tariffs Jan2021'!J50,( 'Tariffs Jan2021'!J50*'Tariffs Jan2021'!O50/100)* 'Tariffs Jan2021'!AI50,($C$5*'Tariffs Jan2021'!AK50/'Tariffs Jan2021'!AI50*'Tariffs Jan2021'!O50/100)* 'Tariffs Jan2021'!AI50)</f>
        <v>135.03954545454545</v>
      </c>
      <c r="F56" s="59">
        <f>IF($C$5*'Tariffs Jan2021'!AK50/'Tariffs Jan2021'!AI50&lt;'Tariffs Jan2021'!J50,0,IF($C$5*'Tariffs Jan2021'!AK50/'Tariffs Jan2021'!AI50&lt;='Tariffs Jan2021'!K50,($C$5*'Tariffs Jan2021'!AK50/'Tariffs Jan2021'!AI50-'Tariffs Jan2021'!J50)*('Tariffs Jan2021'!P50/100)*'Tariffs Jan2021'!AI50,('Tariffs Jan2021'!K50-'Tariffs Jan2021'!J50)*('Tariffs Jan2021'!P50/100)*'Tariffs Jan2021'!AI50))</f>
        <v>98.299090909090907</v>
      </c>
      <c r="G56" s="59">
        <f>IF($C$5*'Tariffs Jan2021'!AK50/'Tariffs Jan2021'!AI50&lt;'Tariffs Jan2021'!K50,0,IF($C$5*'Tariffs Jan2021'!AK50/'Tariffs Jan2021'!AI50&lt;='Tariffs Jan2021'!L50,($C$5*'Tariffs Jan2021'!AK50/'Tariffs Jan2021'!AI50-'Tariffs Jan2021'!K50)*('Tariffs Jan2021'!Q50/100)*'Tariffs Jan2021'!AI50,('Tariffs Jan2021'!L50-'Tariffs Jan2021'!K50)*('Tariffs Jan2021'!Q50/100)*'Tariffs Jan2021'!AI50))</f>
        <v>0</v>
      </c>
      <c r="H56" s="59">
        <f>IF($C$5*'Tariffs Jan2021'!AK50/'Tariffs Jan2021'!AI50&lt;'Tariffs Jan2021'!L50,0,IF($C$5*'Tariffs Jan2021'!AK50/'Tariffs Jan2021'!AI50&lt;='Tariffs Jan2021'!M50,($C$5*'Tariffs Jan2021'!AK50/'Tariffs Jan2021'!AI50-'Tariffs Jan2021'!L50)*('Tariffs Jan2021'!R50/100)*'Tariffs Jan2021'!AI50,('Tariffs Jan2021'!M50-'Tariffs Jan2021'!L50)*('Tariffs Jan2021'!R50/100)*'Tariffs Jan2021'!AI50))</f>
        <v>0</v>
      </c>
      <c r="I56" s="59">
        <f>IF(($C$5*'Tariffs Jan2021'!AK50/'Tariffs Jan2021'!AI50&gt;'Tariffs Jan2021'!M50),($C$5*'Tariffs Jan2021'!AK50/'Tariffs Jan2021'!AI50-'Tariffs Jan2021'!M50)*'Tariffs Jan2021'!S50/100*'Tariffs Jan2021'!AI50,0)</f>
        <v>466.36363636363626</v>
      </c>
      <c r="J56" s="59">
        <f>IF($C$5*'Tariffs Jan2021'!AL50/'Tariffs Jan2021'!AJ50&gt;='Tariffs Jan2021'!J50,('Tariffs Jan2021'!J50*'Tariffs Jan2021'!U50/100)* 'Tariffs Jan2021'!AJ50,($C$5*'Tariffs Jan2021'!AL50/'Tariffs Jan2021'!AJ50*'Tariffs Jan2021'!U50/100)* 'Tariffs Jan2021'!AJ50)</f>
        <v>135.03954545454545</v>
      </c>
      <c r="K56" s="59">
        <f>IF($C$5*'Tariffs Jan2021'!AL50/'Tariffs Jan2021'!AJ50&lt;'Tariffs Jan2021'!J50,0,IF($C$5*'Tariffs Jan2021'!AL50/'Tariffs Jan2021'!AJ50&lt;='Tariffs Jan2021'!K50,($C$5*'Tariffs Jan2021'!AL50/'Tariffs Jan2021'!AJ50-'Tariffs Jan2021'!J50)*('Tariffs Jan2021'!V50/100)*'Tariffs Jan2021'!AJ50,('Tariffs Jan2021'!K50-'Tariffs Jan2021'!J50)*('Tariffs Jan2021'!V50/100)*'Tariffs Jan2021'!AJ50))</f>
        <v>98.299090909090907</v>
      </c>
      <c r="L56" s="59">
        <f>IF($C$5*'Tariffs Jan2021'!AL50/'Tariffs Jan2021'!AJ50&lt;'Tariffs Jan2021'!K50,0,IF($C$5*'Tariffs Jan2021'!AL50/'Tariffs Jan2021'!AJ50&lt;='Tariffs Jan2021'!L50,($C$5*'Tariffs Jan2021'!AL50/'Tariffs Jan2021'!AJ50-'Tariffs Jan2021'!K50)*('Tariffs Jan2021'!W50/100)*'Tariffs Jan2021'!AJ50,('Tariffs Jan2021'!L50-'Tariffs Jan2021'!K50)*('Tariffs Jan2021'!W50/100)*'Tariffs Jan2021'!AJ50))</f>
        <v>0</v>
      </c>
      <c r="M56" s="59">
        <f>IF($C$5*'Tariffs Jan2021'!AL50/'Tariffs Jan2021'!AJ50&lt;'Tariffs Jan2021'!L50,0,IF($C$5*'Tariffs Jan2021'!AL50/'Tariffs Jan2021'!AJ50&lt;='Tariffs Jan2021'!M50,($C$5*'Tariffs Jan2021'!AL50/'Tariffs Jan2021'!AJ50-'Tariffs Jan2021'!L50)*('Tariffs Jan2021'!X50/100)*'Tariffs Jan2021'!AJ50,('Tariffs Jan2021'!M50-'Tariffs Jan2021'!L50)*('Tariffs Jan2021'!X50/100)*'Tariffs Jan2021'!AJ50))</f>
        <v>0</v>
      </c>
      <c r="N56" s="59">
        <f>IF(($C$5*'Tariffs Jan2021'!AL50/'Tariffs Jan2021'!AJ50&gt;'Tariffs Jan2021'!M50),($C$5*'Tariffs Jan2021'!AL50/'Tariffs Jan2021'!AJ50-'Tariffs Jan2021'!M50)*'Tariffs Jan2021'!Y50/100*'Tariffs Jan2021'!AJ50,0)</f>
        <v>466.36363636363626</v>
      </c>
      <c r="O56" s="59">
        <f t="shared" si="1"/>
        <v>1399.4045454545453</v>
      </c>
      <c r="P56" s="503">
        <f t="shared" si="2"/>
        <v>1539.345</v>
      </c>
      <c r="Q56" s="59">
        <f t="shared" si="3"/>
        <v>1665.8545454545454</v>
      </c>
      <c r="R56" s="272">
        <f t="shared" si="4"/>
        <v>1832.44</v>
      </c>
      <c r="S56" s="40">
        <f>'Tariffs Jan2021'!AN50</f>
        <v>0</v>
      </c>
      <c r="T56" s="40">
        <f>'Tariffs Jan2021'!AO50</f>
        <v>12</v>
      </c>
      <c r="U56" s="40">
        <f>'Tariffs Jan2021'!AP50</f>
        <v>0</v>
      </c>
      <c r="V56" s="40">
        <f>'Tariffs Jan2021'!AQ50</f>
        <v>3</v>
      </c>
      <c r="W56" s="537" t="str">
        <f t="shared" si="33"/>
        <v>Guaranteed off usage</v>
      </c>
      <c r="X56" s="538" t="str">
        <f t="shared" si="34"/>
        <v>Exclusive</v>
      </c>
      <c r="Y56" s="534">
        <f>Q56-(P56*T56)/100</f>
        <v>1481.1331454545455</v>
      </c>
      <c r="Z56" s="535">
        <f>Y56-(P56*V56)/100</f>
        <v>1434.9527954545454</v>
      </c>
      <c r="AA56" s="542">
        <f t="shared" si="32"/>
        <v>1629.2464600000001</v>
      </c>
      <c r="AB56" s="542">
        <f t="shared" si="32"/>
        <v>1578.448075</v>
      </c>
      <c r="AC56" s="274">
        <f>'Tariffs Jan2021'!AZ50</f>
        <v>0</v>
      </c>
      <c r="AD56" s="274" t="str">
        <f>'Tariffs Jan2021'!BA50</f>
        <v>n</v>
      </c>
      <c r="AE56" s="275" t="str">
        <f>'Tariffs Jan2021'!BJ50</f>
        <v>Y</v>
      </c>
      <c r="AF56" s="516"/>
      <c r="AG56" s="516"/>
      <c r="AH56" s="516"/>
      <c r="AI56" s="516"/>
      <c r="AJ56" s="516"/>
      <c r="AK56" s="516"/>
      <c r="AL56" s="516"/>
      <c r="AM56" s="516"/>
      <c r="AN56" s="516"/>
      <c r="AO56" s="516"/>
      <c r="AP56" s="516"/>
      <c r="AQ56" s="516"/>
      <c r="AR56" s="516"/>
      <c r="AS56" s="516"/>
      <c r="AT56" s="516"/>
      <c r="AU56" s="516"/>
      <c r="AV56" s="516"/>
      <c r="AW56" s="516"/>
      <c r="AX56" s="516"/>
      <c r="AY56" s="516"/>
      <c r="AZ56" s="516"/>
    </row>
    <row r="57" spans="1:52" ht="14" x14ac:dyDescent="0.15">
      <c r="A57" s="40" t="str">
        <f>'Tariffs Jan2021'!F51</f>
        <v>Kogan Energy</v>
      </c>
      <c r="B57" s="40" t="str">
        <f>'Tariffs Jan2021'!D51</f>
        <v>AGN North</v>
      </c>
      <c r="C57" s="40" t="str">
        <f>'Tariffs Jan2021'!G51</f>
        <v>Market offer</v>
      </c>
      <c r="D57" s="59">
        <f>365*'Tariffs Jan2021'!H51/100</f>
        <v>216.87636363636364</v>
      </c>
      <c r="E57" s="59">
        <f>((C$5*'Tariffs Jan2021'!AK51/'Tariffs Jan2021'!AI51)*('Tariffs Jan2021'!O51/100))*'Tariffs Jan2021'!AI51</f>
        <v>572.72727272727275</v>
      </c>
      <c r="F57" s="59">
        <v>0</v>
      </c>
      <c r="G57" s="59">
        <v>0</v>
      </c>
      <c r="H57" s="59">
        <v>0</v>
      </c>
      <c r="I57" s="59">
        <v>0</v>
      </c>
      <c r="J57" s="59">
        <f>((C$5*'Tariffs Jan2021'!AL51/'Tariffs Jan2021'!AJ51)*('Tariffs Jan2021'!U51/100))*'Tariffs Jan2021'!AJ51</f>
        <v>572.72727272727275</v>
      </c>
      <c r="K57" s="59">
        <v>0</v>
      </c>
      <c r="L57" s="59">
        <v>0</v>
      </c>
      <c r="M57" s="59">
        <v>0</v>
      </c>
      <c r="N57" s="59">
        <v>0</v>
      </c>
      <c r="O57" s="59">
        <f t="shared" si="1"/>
        <v>1145.4545454545455</v>
      </c>
      <c r="P57" s="503">
        <f t="shared" si="2"/>
        <v>1260.0000000000002</v>
      </c>
      <c r="Q57" s="59">
        <f t="shared" si="3"/>
        <v>1362.3309090909092</v>
      </c>
      <c r="R57" s="272">
        <f t="shared" si="4"/>
        <v>1498.5640000000003</v>
      </c>
      <c r="S57" s="40">
        <f>'Tariffs Jan2021'!AN51</f>
        <v>0</v>
      </c>
      <c r="T57" s="40">
        <f>'Tariffs Jan2021'!AO51</f>
        <v>0</v>
      </c>
      <c r="U57" s="40">
        <f>'Tariffs Jan2021'!AP51</f>
        <v>0</v>
      </c>
      <c r="V57" s="40">
        <f>'Tariffs Jan2021'!AQ51</f>
        <v>0</v>
      </c>
      <c r="W57" s="537" t="str">
        <f t="shared" si="33"/>
        <v>No discount</v>
      </c>
      <c r="X57" s="538" t="str">
        <f t="shared" si="34"/>
        <v>Exclusive</v>
      </c>
      <c r="Y57" s="534">
        <f t="shared" ref="Y57:Y58" si="43">IF(AND(W57="Guaranteed off bill",X57="Inclusive"),((Q57*1.1)-((Q57*1.1)*S57/100))/1.1,IF(AND(W57="Guaranteed off usage",X57="Inclusive"),((Q57*1.1)-((P57*1.1)*T57/100))/1.1,IF(AND(W57="Guaranteed off bill",X57="Exclusive"),Q57-(Q57*S57/100),IF(AND(W57="Guaranteed off usage",X57="Exclusive"),Q57-(P57*T57/100),IF(X57="Inclusive",((Q57*1.1))/1.1,Q57)))))</f>
        <v>1362.3309090909092</v>
      </c>
      <c r="Z57" s="535">
        <f t="shared" ref="Z57:Z58" si="44">IF(AND(W57="Pay-on-time off bill",X57="Inclusive"),((Y57*1.1)-((Y57*1.1)*U57/100))/1.1,IF(AND(W57="Pay-on-time off usage",X57="Inclusive"),((Y57*1.1)-((P57*1.1)*V57/100))/1.1,IF(AND(W57="Pay-on-time off bill",X57="Exclusive"),Y57-(Y57*U57/100),IF(AND(W57="Pay-on-time off usage",X57="Exclusive"),Y57-(P57*V57/100),IF(X57="Inclusive",((Y57*1.1))/1.1,Y57)))))</f>
        <v>1362.3309090909092</v>
      </c>
      <c r="AA57" s="542">
        <f t="shared" si="32"/>
        <v>1498.5640000000003</v>
      </c>
      <c r="AB57" s="542">
        <f t="shared" si="32"/>
        <v>1498.5640000000003</v>
      </c>
      <c r="AC57" s="274">
        <f>'Tariffs Jan2021'!AZ51</f>
        <v>0</v>
      </c>
      <c r="AD57" s="274" t="str">
        <f>'Tariffs Jan2021'!BA51</f>
        <v>n</v>
      </c>
      <c r="AE57" s="275" t="str">
        <f>'Tariffs Jan2021'!BJ51</f>
        <v>N</v>
      </c>
      <c r="AF57" s="516"/>
      <c r="AG57" s="516"/>
      <c r="AH57" s="516"/>
      <c r="AI57" s="516"/>
      <c r="AJ57" s="516"/>
      <c r="AK57" s="516"/>
      <c r="AL57" s="516"/>
      <c r="AM57" s="516"/>
      <c r="AN57" s="516"/>
      <c r="AO57" s="516"/>
      <c r="AP57" s="516"/>
      <c r="AQ57" s="516"/>
      <c r="AR57" s="516"/>
      <c r="AS57" s="516"/>
      <c r="AT57" s="516"/>
      <c r="AU57" s="516"/>
      <c r="AV57" s="516"/>
      <c r="AW57" s="516"/>
      <c r="AX57" s="516"/>
      <c r="AY57" s="516"/>
      <c r="AZ57" s="516"/>
    </row>
    <row r="58" spans="1:52" ht="15" thickBot="1" x14ac:dyDescent="0.2">
      <c r="A58" s="276" t="str">
        <f>'Tariffs Jan2021'!F52</f>
        <v>Tango Energy</v>
      </c>
      <c r="B58" s="277" t="str">
        <f>'Tariffs Jan2021'!D52</f>
        <v>AGN North</v>
      </c>
      <c r="C58" s="277" t="str">
        <f>'Tariffs Jan2021'!G52</f>
        <v>Home Select</v>
      </c>
      <c r="D58" s="278">
        <f>365*'Tariffs Jan2021'!H52/100</f>
        <v>292</v>
      </c>
      <c r="E58" s="278">
        <f>IF($C$5*'Tariffs Jan2021'!AK52/'Tariffs Jan2021'!AI52&gt;='Tariffs Jan2021'!J52,( 'Tariffs Jan2021'!J52*'Tariffs Jan2021'!O52/100)* 'Tariffs Jan2021'!AI52,($C$5*'Tariffs Jan2021'!AK52/'Tariffs Jan2021'!AI52*'Tariffs Jan2021'!O52/100)* 'Tariffs Jan2021'!AI52)</f>
        <v>88.829999999999984</v>
      </c>
      <c r="F58" s="278">
        <f>IF($C$5*'Tariffs Jan2021'!AK52/'Tariffs Jan2021'!AI52&lt;'Tariffs Jan2021'!J52,0,IF($C$5*'Tariffs Jan2021'!AK52/'Tariffs Jan2021'!AI52&lt;='Tariffs Jan2021'!K52,($C$5*'Tariffs Jan2021'!AK52/'Tariffs Jan2021'!AI52-'Tariffs Jan2021'!J52)*('Tariffs Jan2021'!P52/100)*'Tariffs Jan2021'!AI52,('Tariffs Jan2021'!K52-'Tariffs Jan2021'!J52)*('Tariffs Jan2021'!P52/100)*'Tariffs Jan2021'!AI52))</f>
        <v>65.039999999999992</v>
      </c>
      <c r="G58" s="278">
        <f>IF($C$5*'Tariffs Jan2021'!AK52/'Tariffs Jan2021'!AI52&lt;'Tariffs Jan2021'!K52,0,IF($C$5*'Tariffs Jan2021'!AK52/'Tariffs Jan2021'!AI52&lt;='Tariffs Jan2021'!L52,($C$5*'Tariffs Jan2021'!AK52/'Tariffs Jan2021'!AI52-'Tariffs Jan2021'!K52)*('Tariffs Jan2021'!Q52/100)*'Tariffs Jan2021'!AI52,('Tariffs Jan2021'!L52-'Tariffs Jan2021'!K52)*('Tariffs Jan2021'!Q52/100)*'Tariffs Jan2021'!AI52))</f>
        <v>0</v>
      </c>
      <c r="H58" s="278">
        <f>IF($C$5*'Tariffs Jan2021'!AK52/'Tariffs Jan2021'!AI52&lt;'Tariffs Jan2021'!L52,0,IF($C$5*'Tariffs Jan2021'!AK52/'Tariffs Jan2021'!AI52&lt;='Tariffs Jan2021'!M52,($C$5*'Tariffs Jan2021'!AK52/'Tariffs Jan2021'!AI52-'Tariffs Jan2021'!L52)*('Tariffs Jan2021'!R52/100)*'Tariffs Jan2021'!AI52,('Tariffs Jan2021'!M52-'Tariffs Jan2021'!L52)*('Tariffs Jan2021'!R52/100)*'Tariffs Jan2021'!AI52))</f>
        <v>0</v>
      </c>
      <c r="I58" s="278">
        <f>IF(($C$5*'Tariffs Jan2021'!AK52/'Tariffs Jan2021'!AI52&gt;'Tariffs Jan2021'!M52),($C$5*'Tariffs Jan2021'!AK52/'Tariffs Jan2021'!AI52-'Tariffs Jan2021'!M52)*'Tariffs Jan2021'!S52/100*'Tariffs Jan2021'!AI52,0)</f>
        <v>315</v>
      </c>
      <c r="J58" s="278">
        <f>IF($C$5*'Tariffs Jan2021'!AL52/'Tariffs Jan2021'!AJ52&gt;='Tariffs Jan2021'!J52,('Tariffs Jan2021'!J52*'Tariffs Jan2021'!U52/100)* 'Tariffs Jan2021'!AJ52,($C$5*'Tariffs Jan2021'!AL52/'Tariffs Jan2021'!AJ52*'Tariffs Jan2021'!U52/100)* 'Tariffs Jan2021'!AJ52)</f>
        <v>88.829999999999984</v>
      </c>
      <c r="K58" s="278">
        <f>IF($C$5*'Tariffs Jan2021'!AL52/'Tariffs Jan2021'!AJ52&lt;'Tariffs Jan2021'!J52,0,IF($C$5*'Tariffs Jan2021'!AL52/'Tariffs Jan2021'!AJ52&lt;='Tariffs Jan2021'!K52,($C$5*'Tariffs Jan2021'!AL52/'Tariffs Jan2021'!AJ52-'Tariffs Jan2021'!J52)*('Tariffs Jan2021'!V52/100)*'Tariffs Jan2021'!AJ52,('Tariffs Jan2021'!K52-'Tariffs Jan2021'!J52)*('Tariffs Jan2021'!V52/100)*'Tariffs Jan2021'!AJ52))</f>
        <v>65.039999999999992</v>
      </c>
      <c r="L58" s="278">
        <f>IF($C$5*'Tariffs Jan2021'!AL52/'Tariffs Jan2021'!AJ52&lt;'Tariffs Jan2021'!K52,0,IF($C$5*'Tariffs Jan2021'!AL52/'Tariffs Jan2021'!AJ52&lt;='Tariffs Jan2021'!L52,($C$5*'Tariffs Jan2021'!AL52/'Tariffs Jan2021'!AJ52-'Tariffs Jan2021'!K52)*('Tariffs Jan2021'!W52/100)*'Tariffs Jan2021'!AJ52,('Tariffs Jan2021'!L52-'Tariffs Jan2021'!K52)*('Tariffs Jan2021'!W52/100)*'Tariffs Jan2021'!AJ52))</f>
        <v>0</v>
      </c>
      <c r="M58" s="278">
        <f>IF($C$5*'Tariffs Jan2021'!AL52/'Tariffs Jan2021'!AJ52&lt;'Tariffs Jan2021'!L52,0,IF($C$5*'Tariffs Jan2021'!AL52/'Tariffs Jan2021'!AJ52&lt;='Tariffs Jan2021'!M52,($C$5*'Tariffs Jan2021'!AL52/'Tariffs Jan2021'!AJ52-'Tariffs Jan2021'!L52)*('Tariffs Jan2021'!X52/100)*'Tariffs Jan2021'!AJ52,('Tariffs Jan2021'!M52-'Tariffs Jan2021'!L52)*('Tariffs Jan2021'!X52/100)*'Tariffs Jan2021'!AJ52))</f>
        <v>0</v>
      </c>
      <c r="N58" s="278">
        <f>IF(($C$5*'Tariffs Jan2021'!AL52/'Tariffs Jan2021'!AJ52&gt;'Tariffs Jan2021'!M52),($C$5*'Tariffs Jan2021'!AL52/'Tariffs Jan2021'!AJ52-'Tariffs Jan2021'!M52)*'Tariffs Jan2021'!Y52/100*'Tariffs Jan2021'!AJ52,0)</f>
        <v>315</v>
      </c>
      <c r="O58" s="278">
        <f>SUM(E58:N58)</f>
        <v>937.74</v>
      </c>
      <c r="P58" s="504">
        <f t="shared" si="2"/>
        <v>1031.5140000000001</v>
      </c>
      <c r="Q58" s="278">
        <f>D58+O58</f>
        <v>1229.74</v>
      </c>
      <c r="R58" s="280">
        <f>Q58*1.1</f>
        <v>1352.7140000000002</v>
      </c>
      <c r="S58" s="277">
        <f>'Tariffs Jan2021'!AN52</f>
        <v>0</v>
      </c>
      <c r="T58" s="277">
        <f>'Tariffs Jan2021'!AO52</f>
        <v>0</v>
      </c>
      <c r="U58" s="277">
        <f>'Tariffs Jan2021'!AP52</f>
        <v>0</v>
      </c>
      <c r="V58" s="277">
        <f>'Tariffs Jan2021'!AQ52</f>
        <v>0</v>
      </c>
      <c r="W58" s="540" t="str">
        <f t="shared" si="33"/>
        <v>No discount</v>
      </c>
      <c r="X58" s="541" t="str">
        <f t="shared" si="34"/>
        <v>Exclusive</v>
      </c>
      <c r="Y58" s="543">
        <f t="shared" si="43"/>
        <v>1229.74</v>
      </c>
      <c r="Z58" s="544">
        <f t="shared" si="44"/>
        <v>1229.74</v>
      </c>
      <c r="AA58" s="545">
        <f t="shared" ref="AA58:AB74" si="45">Y58*1.1</f>
        <v>1352.7140000000002</v>
      </c>
      <c r="AB58" s="545">
        <f t="shared" si="45"/>
        <v>1352.7140000000002</v>
      </c>
      <c r="AC58" s="282">
        <f>'Tariffs Jan2021'!AZ52</f>
        <v>0</v>
      </c>
      <c r="AD58" s="282" t="str">
        <f>'Tariffs Jan2021'!BA52</f>
        <v>n</v>
      </c>
      <c r="AE58" s="283" t="str">
        <f>'Tariffs Jan2021'!BJ52</f>
        <v>Y</v>
      </c>
      <c r="AF58" s="516"/>
      <c r="AG58" s="516"/>
      <c r="AH58" s="516"/>
      <c r="AI58" s="516"/>
      <c r="AJ58" s="516"/>
      <c r="AK58" s="516"/>
      <c r="AL58" s="516"/>
      <c r="AM58" s="516"/>
      <c r="AN58" s="516"/>
      <c r="AO58" s="516"/>
      <c r="AP58" s="516"/>
      <c r="AQ58" s="516"/>
      <c r="AR58" s="516"/>
      <c r="AS58" s="516"/>
      <c r="AT58" s="516"/>
      <c r="AU58" s="516"/>
      <c r="AV58" s="516"/>
      <c r="AW58" s="516"/>
      <c r="AX58" s="516"/>
      <c r="AY58" s="516"/>
      <c r="AZ58" s="516"/>
    </row>
    <row r="59" spans="1:52" ht="15" thickTop="1" x14ac:dyDescent="0.15">
      <c r="A59" s="270" t="str">
        <f>'Tariffs Jan2021'!F53</f>
        <v>AGL</v>
      </c>
      <c r="B59" s="40" t="str">
        <f>'Tariffs Jan2021'!D53</f>
        <v>AGN Central 2</v>
      </c>
      <c r="C59" s="40" t="str">
        <f>'Tariffs Jan2021'!G53</f>
        <v>Essentials</v>
      </c>
      <c r="D59" s="59">
        <f>365*'Tariffs Jan2021'!H53/100</f>
        <v>228.1913636363636</v>
      </c>
      <c r="E59" s="59">
        <f>IF($C$5*'Tariffs Jan2021'!AK53/'Tariffs Jan2021'!AI53&gt;='Tariffs Jan2021'!J53,( 'Tariffs Jan2021'!J53*'Tariffs Jan2021'!O53/100)* 'Tariffs Jan2021'!AI53,($C$5*'Tariffs Jan2021'!AK53/'Tariffs Jan2021'!AI53*'Tariffs Jan2021'!O53/100)* 'Tariffs Jan2021'!AI53)</f>
        <v>112.15909090909091</v>
      </c>
      <c r="F59" s="59">
        <f>IF($C$5*'Tariffs Jan2021'!AK53/'Tariffs Jan2021'!AI53&lt;'Tariffs Jan2021'!J53,0,IF($C$5*'Tariffs Jan2021'!AK53/'Tariffs Jan2021'!AI53&lt;='Tariffs Jan2021'!K53,($C$5*'Tariffs Jan2021'!AK53/'Tariffs Jan2021'!AI53-'Tariffs Jan2021'!J53)*('Tariffs Jan2021'!P53/100)*'Tariffs Jan2021'!AI53,('Tariffs Jan2021'!K53-'Tariffs Jan2021'!J53)*('Tariffs Jan2021'!P53/100)*'Tariffs Jan2021'!AI53))</f>
        <v>83.886818181818171</v>
      </c>
      <c r="G59" s="59">
        <f>IF($C$5*'Tariffs Jan2021'!AK53/'Tariffs Jan2021'!AI53&lt;'Tariffs Jan2021'!K53,0,IF($C$5*'Tariffs Jan2021'!AK53/'Tariffs Jan2021'!AI53&lt;='Tariffs Jan2021'!L53,($C$5*'Tariffs Jan2021'!AK53/'Tariffs Jan2021'!AI53-'Tariffs Jan2021'!K53)*('Tariffs Jan2021'!Q53/100)*'Tariffs Jan2021'!AI53,('Tariffs Jan2021'!L53-'Tariffs Jan2021'!K53)*('Tariffs Jan2021'!Q53/100)*'Tariffs Jan2021'!AI53))</f>
        <v>0</v>
      </c>
      <c r="H59" s="59">
        <f>IF($C$5*'Tariffs Jan2021'!AK53/'Tariffs Jan2021'!AI53&lt;'Tariffs Jan2021'!L53,0,IF($C$5*'Tariffs Jan2021'!AK53/'Tariffs Jan2021'!AI53&lt;='Tariffs Jan2021'!M53,($C$5*'Tariffs Jan2021'!AK53/'Tariffs Jan2021'!AI53-'Tariffs Jan2021'!L53)*('Tariffs Jan2021'!R53/100)*'Tariffs Jan2021'!AI53,('Tariffs Jan2021'!M53-'Tariffs Jan2021'!L53)*('Tariffs Jan2021'!R53/100)*'Tariffs Jan2021'!AI53))</f>
        <v>0</v>
      </c>
      <c r="I59" s="59">
        <f>IF(($C$5*'Tariffs Jan2021'!AK53/'Tariffs Jan2021'!AI53&gt;'Tariffs Jan2021'!M53),($C$5*'Tariffs Jan2021'!AK53/'Tariffs Jan2021'!AI53-'Tariffs Jan2021'!M53)*'Tariffs Jan2021'!S53/100*'Tariffs Jan2021'!AI53,0)</f>
        <v>347.72727272727263</v>
      </c>
      <c r="J59" s="59">
        <f>IF($C$5*'Tariffs Jan2021'!AL53/'Tariffs Jan2021'!AJ53&gt;='Tariffs Jan2021'!J53,('Tariffs Jan2021'!J53*'Tariffs Jan2021'!U53/100)* 'Tariffs Jan2021'!AJ53,($C$5*'Tariffs Jan2021'!AL53/'Tariffs Jan2021'!AJ53*'Tariffs Jan2021'!U53/100)* 'Tariffs Jan2021'!AJ53)</f>
        <v>112.15909090909091</v>
      </c>
      <c r="K59" s="59">
        <f>IF($C$5*'Tariffs Jan2021'!AL53/'Tariffs Jan2021'!AJ53&lt;'Tariffs Jan2021'!J53,0,IF($C$5*'Tariffs Jan2021'!AL53/'Tariffs Jan2021'!AJ53&lt;='Tariffs Jan2021'!K53,($C$5*'Tariffs Jan2021'!AL53/'Tariffs Jan2021'!AJ53-'Tariffs Jan2021'!J53)*('Tariffs Jan2021'!V53/100)*'Tariffs Jan2021'!AJ53,('Tariffs Jan2021'!K53-'Tariffs Jan2021'!J53)*('Tariffs Jan2021'!V53/100)*'Tariffs Jan2021'!AJ53))</f>
        <v>83.886818181818171</v>
      </c>
      <c r="L59" s="59">
        <f>IF($C$5*'Tariffs Jan2021'!AL53/'Tariffs Jan2021'!AJ53&lt;'Tariffs Jan2021'!K53,0,IF($C$5*'Tariffs Jan2021'!AL53/'Tariffs Jan2021'!AJ53&lt;='Tariffs Jan2021'!L53,($C$5*'Tariffs Jan2021'!AL53/'Tariffs Jan2021'!AJ53-'Tariffs Jan2021'!K53)*('Tariffs Jan2021'!W53/100)*'Tariffs Jan2021'!AJ53,('Tariffs Jan2021'!L53-'Tariffs Jan2021'!K53)*('Tariffs Jan2021'!W53/100)*'Tariffs Jan2021'!AJ53))</f>
        <v>0</v>
      </c>
      <c r="M59" s="59">
        <f>IF($C$5*'Tariffs Jan2021'!AL53/'Tariffs Jan2021'!AJ53&lt;'Tariffs Jan2021'!L53,0,IF($C$5*'Tariffs Jan2021'!AL53/'Tariffs Jan2021'!AJ53&lt;='Tariffs Jan2021'!M53,($C$5*'Tariffs Jan2021'!AL53/'Tariffs Jan2021'!AJ53-'Tariffs Jan2021'!L53)*('Tariffs Jan2021'!X53/100)*'Tariffs Jan2021'!AJ53,('Tariffs Jan2021'!M53-'Tariffs Jan2021'!L53)*('Tariffs Jan2021'!X53/100)*'Tariffs Jan2021'!AJ53))</f>
        <v>0</v>
      </c>
      <c r="N59" s="59">
        <f>IF(($C$5*'Tariffs Jan2021'!AL53/'Tariffs Jan2021'!AJ53&gt;'Tariffs Jan2021'!M53),($C$5*'Tariffs Jan2021'!AL53/'Tariffs Jan2021'!AJ53-'Tariffs Jan2021'!M53)*'Tariffs Jan2021'!Y53/100*'Tariffs Jan2021'!AJ53,0)</f>
        <v>347.72727272727263</v>
      </c>
      <c r="O59" s="59">
        <f t="shared" si="1"/>
        <v>1087.5463636363634</v>
      </c>
      <c r="P59" s="503">
        <f t="shared" si="2"/>
        <v>1196.3009999999997</v>
      </c>
      <c r="Q59" s="59">
        <f t="shared" si="3"/>
        <v>1315.7377272727269</v>
      </c>
      <c r="R59" s="272">
        <f t="shared" si="4"/>
        <v>1447.3114999999998</v>
      </c>
      <c r="S59" s="40">
        <f>'Tariffs Jan2021'!AN53</f>
        <v>0</v>
      </c>
      <c r="T59" s="40">
        <f>'Tariffs Jan2021'!AO53</f>
        <v>0</v>
      </c>
      <c r="U59" s="40">
        <f>'Tariffs Jan2021'!AP53</f>
        <v>0</v>
      </c>
      <c r="V59" s="40">
        <f>'Tariffs Jan2021'!AQ53</f>
        <v>0</v>
      </c>
      <c r="W59" s="539" t="str">
        <f>IF(SUM(S59:V59)=0,"No discount",IF(S59&gt;0,"Guaranteed off bill",IF(T59&gt;0,"Guaranteed off usage",IF(U59&gt;0,"Pay-on-time off bill","Pay-on-time off usage"))))</f>
        <v>No discount</v>
      </c>
      <c r="X59" s="538" t="str">
        <f>IF(OR(A59="Origin Energy",A59="Red Energy",A59="Powershop"),"Inclusive","Exclusive")</f>
        <v>Exclusive</v>
      </c>
      <c r="Y59" s="534">
        <f>IF(AND(W59="Guaranteed off bill",X59="Inclusive"),((Q59*1.1)-((Q59*1.1)*S59/100))/1.1,IF(AND(W59="Guaranteed off usage",X59="Inclusive"),((Q59*1.1)-((P59*1.1)*T59/100))/1.1,IF(AND(W59="Guaranteed off bill",X59="Exclusive"),Q59-(Q59*S59/100),IF(AND(W59="Guaranteed off usage",X59="Exclusive"),Q59-(P59*T59/100),IF(X59="Inclusive",((Q59*1.1))/1.1,Q59)))))</f>
        <v>1315.7377272727269</v>
      </c>
      <c r="Z59" s="535">
        <f>IF(AND(W59="Pay-on-time off bill",X59="Inclusive"),((Y59*1.1)-((Y59*1.1)*U59/100))/1.1,IF(AND(W59="Pay-on-time off usage",X59="Inclusive"),((Y59*1.1)-((P59*1.1)*V59/100))/1.1,IF(AND(W59="Pay-on-time off bill",X59="Exclusive"),Y59-(Y59*U59/100),IF(AND(W59="Pay-on-time off usage",X59="Exclusive"),Y59-(P59*V59/100),IF(X59="Inclusive",((Y59*1.1))/1.1,Y59)))))</f>
        <v>1315.7377272727269</v>
      </c>
      <c r="AA59" s="542">
        <f t="shared" si="45"/>
        <v>1447.3114999999998</v>
      </c>
      <c r="AB59" s="542">
        <f t="shared" si="45"/>
        <v>1447.3114999999998</v>
      </c>
      <c r="AC59" s="274">
        <f>'Tariffs Jan2021'!AZ53</f>
        <v>0</v>
      </c>
      <c r="AD59" s="274" t="str">
        <f>'Tariffs Jan2021'!BA53</f>
        <v>n</v>
      </c>
      <c r="AE59" s="275" t="str">
        <f>'Tariffs Jan2021'!BJ53</f>
        <v>N</v>
      </c>
      <c r="AF59" s="516"/>
      <c r="AG59" s="516"/>
      <c r="AH59" s="516"/>
      <c r="AI59" s="516"/>
      <c r="AJ59" s="516"/>
      <c r="AK59" s="516"/>
      <c r="AL59" s="516"/>
      <c r="AM59" s="516"/>
      <c r="AN59" s="516"/>
      <c r="AO59" s="516"/>
      <c r="AP59" s="516"/>
      <c r="AQ59" s="516"/>
      <c r="AR59" s="516"/>
      <c r="AS59" s="516"/>
      <c r="AT59" s="516"/>
      <c r="AU59" s="516"/>
      <c r="AV59" s="516"/>
      <c r="AW59" s="516"/>
      <c r="AX59" s="516"/>
      <c r="AY59" s="516"/>
      <c r="AZ59" s="516"/>
    </row>
    <row r="60" spans="1:52" ht="14" x14ac:dyDescent="0.15">
      <c r="A60" s="270" t="str">
        <f>'Tariffs Jan2021'!F54</f>
        <v>Alinta Energy</v>
      </c>
      <c r="B60" s="40" t="str">
        <f>'Tariffs Jan2021'!D54</f>
        <v>AGN Central 2</v>
      </c>
      <c r="C60" s="40" t="str">
        <f>'Tariffs Jan2021'!G54</f>
        <v>Home Deal</v>
      </c>
      <c r="D60" s="59">
        <f>365*'Tariffs Jan2021'!H54/100</f>
        <v>201.48</v>
      </c>
      <c r="E60" s="59">
        <f>IF($C$5*'Tariffs Jan2021'!AK54/'Tariffs Jan2021'!AI54&gt;='Tariffs Jan2021'!J54,( 'Tariffs Jan2021'!J54*'Tariffs Jan2021'!O54/100)* 'Tariffs Jan2021'!AI54,($C$5*'Tariffs Jan2021'!AK54/'Tariffs Jan2021'!AI54*'Tariffs Jan2021'!O54/100)* 'Tariffs Jan2021'!AI54)</f>
        <v>113.50499999999998</v>
      </c>
      <c r="F60" s="59">
        <f>IF($C$5*'Tariffs Jan2021'!AK54/'Tariffs Jan2021'!AI54&lt;'Tariffs Jan2021'!J54,0,IF($C$5*'Tariffs Jan2021'!AK54/'Tariffs Jan2021'!AI54&lt;='Tariffs Jan2021'!K54,($C$5*'Tariffs Jan2021'!AK54/'Tariffs Jan2021'!AI54-'Tariffs Jan2021'!J54)*('Tariffs Jan2021'!P54/100)*'Tariffs Jan2021'!AI54,('Tariffs Jan2021'!K54-'Tariffs Jan2021'!J54)*('Tariffs Jan2021'!P54/100)*'Tariffs Jan2021'!AI54))</f>
        <v>79.452272727272714</v>
      </c>
      <c r="G60" s="59">
        <f>IF($C$5*'Tariffs Jan2021'!AK54/'Tariffs Jan2021'!AI54&lt;'Tariffs Jan2021'!K54,0,IF($C$5*'Tariffs Jan2021'!AK54/'Tariffs Jan2021'!AI54&lt;='Tariffs Jan2021'!L54,($C$5*'Tariffs Jan2021'!AK54/'Tariffs Jan2021'!AI54-'Tariffs Jan2021'!K54)*('Tariffs Jan2021'!Q54/100)*'Tariffs Jan2021'!AI54,('Tariffs Jan2021'!L54-'Tariffs Jan2021'!K54)*('Tariffs Jan2021'!Q54/100)*'Tariffs Jan2021'!AI54))</f>
        <v>0</v>
      </c>
      <c r="H60" s="59">
        <f>IF($C$5*'Tariffs Jan2021'!AK54/'Tariffs Jan2021'!AI54&lt;'Tariffs Jan2021'!L54,0,IF($C$5*'Tariffs Jan2021'!AK54/'Tariffs Jan2021'!AI54&lt;='Tariffs Jan2021'!M54,($C$5*'Tariffs Jan2021'!AK54/'Tariffs Jan2021'!AI54-'Tariffs Jan2021'!L54)*('Tariffs Jan2021'!R54/100)*'Tariffs Jan2021'!AI54,('Tariffs Jan2021'!M54-'Tariffs Jan2021'!L54)*('Tariffs Jan2021'!R54/100)*'Tariffs Jan2021'!AI54))</f>
        <v>0</v>
      </c>
      <c r="I60" s="59">
        <f>IF(($C$5*'Tariffs Jan2021'!AK54/'Tariffs Jan2021'!AI54&gt;'Tariffs Jan2021'!M54),($C$5*'Tariffs Jan2021'!AK54/'Tariffs Jan2021'!AI54-'Tariffs Jan2021'!M54)*'Tariffs Jan2021'!S54/100*'Tariffs Jan2021'!AI54,0)</f>
        <v>337.49999999999994</v>
      </c>
      <c r="J60" s="59">
        <f>IF($C$5*'Tariffs Jan2021'!AL54/'Tariffs Jan2021'!AJ54&gt;='Tariffs Jan2021'!J54,('Tariffs Jan2021'!J54*'Tariffs Jan2021'!U54/100)* 'Tariffs Jan2021'!AJ54,($C$5*'Tariffs Jan2021'!AL54/'Tariffs Jan2021'!AJ54*'Tariffs Jan2021'!U54/100)* 'Tariffs Jan2021'!AJ54)</f>
        <v>113.50499999999998</v>
      </c>
      <c r="K60" s="59">
        <f>IF($C$5*'Tariffs Jan2021'!AL54/'Tariffs Jan2021'!AJ54&lt;'Tariffs Jan2021'!J54,0,IF($C$5*'Tariffs Jan2021'!AL54/'Tariffs Jan2021'!AJ54&lt;='Tariffs Jan2021'!K54,($C$5*'Tariffs Jan2021'!AL54/'Tariffs Jan2021'!AJ54-'Tariffs Jan2021'!J54)*('Tariffs Jan2021'!V54/100)*'Tariffs Jan2021'!AJ54,('Tariffs Jan2021'!K54-'Tariffs Jan2021'!J54)*('Tariffs Jan2021'!V54/100)*'Tariffs Jan2021'!AJ54))</f>
        <v>79.452272727272714</v>
      </c>
      <c r="L60" s="59">
        <f>IF($C$5*'Tariffs Jan2021'!AL54/'Tariffs Jan2021'!AJ54&lt;'Tariffs Jan2021'!K54,0,IF($C$5*'Tariffs Jan2021'!AL54/'Tariffs Jan2021'!AJ54&lt;='Tariffs Jan2021'!L54,($C$5*'Tariffs Jan2021'!AL54/'Tariffs Jan2021'!AJ54-'Tariffs Jan2021'!K54)*('Tariffs Jan2021'!W54/100)*'Tariffs Jan2021'!AJ54,('Tariffs Jan2021'!L54-'Tariffs Jan2021'!K54)*('Tariffs Jan2021'!W54/100)*'Tariffs Jan2021'!AJ54))</f>
        <v>0</v>
      </c>
      <c r="M60" s="59">
        <f>IF($C$5*'Tariffs Jan2021'!AL54/'Tariffs Jan2021'!AJ54&lt;'Tariffs Jan2021'!L54,0,IF($C$5*'Tariffs Jan2021'!AL54/'Tariffs Jan2021'!AJ54&lt;='Tariffs Jan2021'!M54,($C$5*'Tariffs Jan2021'!AL54/'Tariffs Jan2021'!AJ54-'Tariffs Jan2021'!L54)*('Tariffs Jan2021'!X54/100)*'Tariffs Jan2021'!AJ54,('Tariffs Jan2021'!M54-'Tariffs Jan2021'!L54)*('Tariffs Jan2021'!X54/100)*'Tariffs Jan2021'!AJ54))</f>
        <v>0</v>
      </c>
      <c r="N60" s="59">
        <f>IF(($C$5*'Tariffs Jan2021'!AL54/'Tariffs Jan2021'!AJ54&gt;'Tariffs Jan2021'!M54),($C$5*'Tariffs Jan2021'!AL54/'Tariffs Jan2021'!AJ54-'Tariffs Jan2021'!M54)*'Tariffs Jan2021'!Y54/100*'Tariffs Jan2021'!AJ54,0)</f>
        <v>337.49999999999994</v>
      </c>
      <c r="O60" s="59">
        <f t="shared" si="1"/>
        <v>1060.9145454545453</v>
      </c>
      <c r="P60" s="503">
        <f t="shared" si="2"/>
        <v>1167.0059999999999</v>
      </c>
      <c r="Q60" s="59">
        <f t="shared" si="3"/>
        <v>1262.3945454545453</v>
      </c>
      <c r="R60" s="272">
        <f t="shared" si="4"/>
        <v>1388.634</v>
      </c>
      <c r="S60" s="40">
        <f>'Tariffs Jan2021'!AN54</f>
        <v>0</v>
      </c>
      <c r="T60" s="40">
        <f>'Tariffs Jan2021'!AO54</f>
        <v>0</v>
      </c>
      <c r="U60" s="40">
        <f>'Tariffs Jan2021'!AP54</f>
        <v>0</v>
      </c>
      <c r="V60" s="40">
        <f>'Tariffs Jan2021'!AQ54</f>
        <v>0</v>
      </c>
      <c r="W60" s="537" t="str">
        <f t="shared" ref="W60:W75" si="46">IF(SUM(S60:V60)=0,"No discount",IF(S60&gt;0,"Guaranteed off bill",IF(T60&gt;0,"Guaranteed off usage",IF(U60&gt;0,"Pay-on-time off bill","Pay-on-time off usage"))))</f>
        <v>No discount</v>
      </c>
      <c r="X60" s="538" t="str">
        <f t="shared" ref="X60:X75" si="47">IF(OR(A60="Origin Energy",A60="Red Energy",A60="Powershop"),"Inclusive","Exclusive")</f>
        <v>Exclusive</v>
      </c>
      <c r="Y60" s="534">
        <f>IF(AND(W60="Guaranteed off bill",X60="Inclusive"),((Q60*1.1)-((Q60*1.1)*S60/100))/1.1,IF(AND(W60="Guaranteed off usage",X60="Inclusive"),((Q60*1.1)-((P60*1.1)*T60/100))/1.1,IF(AND(W60="Guaranteed off bill",X60="Exclusive"),Q60-(Q60*S60/100),IF(AND(W60="Guaranteed off usage",X60="Exclusive"),Q60-(P60*T60/100),IF(X60="Inclusive",((Q60*1.1))/1.1,Q60)))))</f>
        <v>1262.3945454545453</v>
      </c>
      <c r="Z60" s="535">
        <f>IF(AND(W60="Pay-on-time off bill",X60="Inclusive"),((Y60*1.1)-((Y60*1.1)*U60/100))/1.1,IF(AND(W60="Pay-on-time off usage",X60="Inclusive"),((Y60*1.1)-((P60*1.1)*V60/100))/1.1,IF(AND(W60="Pay-on-time off bill",X60="Exclusive"),Y60-(Y60*U60/100),IF(AND(W60="Pay-on-time off usage",X60="Exclusive"),Y60-(P60*V60/100),IF(X60="Inclusive",((Y60*1.1))/1.1,Y60)))))</f>
        <v>1262.3945454545453</v>
      </c>
      <c r="AA60" s="542">
        <f t="shared" si="45"/>
        <v>1388.634</v>
      </c>
      <c r="AB60" s="542">
        <f t="shared" si="45"/>
        <v>1388.634</v>
      </c>
      <c r="AC60" s="274">
        <f>'Tariffs Jan2021'!AZ54</f>
        <v>0</v>
      </c>
      <c r="AD60" s="274" t="str">
        <f>'Tariffs Jan2021'!BA54</f>
        <v>n</v>
      </c>
      <c r="AE60" s="275" t="str">
        <f>'Tariffs Jan2021'!BJ54</f>
        <v>N</v>
      </c>
      <c r="AF60" s="516"/>
      <c r="AG60" s="516"/>
      <c r="AH60" s="516"/>
      <c r="AI60" s="516"/>
      <c r="AJ60" s="516"/>
      <c r="AK60" s="516"/>
      <c r="AL60" s="516"/>
      <c r="AM60" s="516"/>
      <c r="AN60" s="516"/>
      <c r="AO60" s="516"/>
      <c r="AP60" s="516"/>
      <c r="AQ60" s="516"/>
      <c r="AR60" s="516"/>
      <c r="AS60" s="516"/>
      <c r="AT60" s="516"/>
      <c r="AU60" s="516"/>
      <c r="AV60" s="516"/>
      <c r="AW60" s="516"/>
      <c r="AX60" s="516"/>
      <c r="AY60" s="516"/>
      <c r="AZ60" s="516"/>
    </row>
    <row r="61" spans="1:52" ht="14" x14ac:dyDescent="0.15">
      <c r="A61" s="270" t="str">
        <f>'Tariffs Jan2021'!F55</f>
        <v>Click Energy</v>
      </c>
      <c r="B61" s="40" t="str">
        <f>'Tariffs Jan2021'!D55</f>
        <v>AGN Central 2</v>
      </c>
      <c r="C61" s="40" t="str">
        <f>'Tariffs Jan2021'!G55</f>
        <v>Lily</v>
      </c>
      <c r="D61" s="59">
        <f>365*'Tariffs Jan2021'!H55/100</f>
        <v>175.63136363636363</v>
      </c>
      <c r="E61" s="59">
        <f>IF($C$5*'Tariffs Jan2021'!AK55/'Tariffs Jan2021'!AI55&gt;='Tariffs Jan2021'!J55,( 'Tariffs Jan2021'!J55*'Tariffs Jan2021'!O55/100)* 'Tariffs Jan2021'!AI55,($C$5*'Tariffs Jan2021'!AK55/'Tariffs Jan2021'!AI55*'Tariffs Jan2021'!O55/100)* 'Tariffs Jan2021'!AI55)</f>
        <v>109.4672727272727</v>
      </c>
      <c r="F61" s="59">
        <f>IF($C$5*'Tariffs Jan2021'!AK55/'Tariffs Jan2021'!AI55&lt;'Tariffs Jan2021'!J55,0,IF($C$5*'Tariffs Jan2021'!AK55/'Tariffs Jan2021'!AI55&lt;='Tariffs Jan2021'!K55,($C$5*'Tariffs Jan2021'!AK55/'Tariffs Jan2021'!AI55-'Tariffs Jan2021'!J55)*('Tariffs Jan2021'!P55/100)*'Tariffs Jan2021'!AI55,('Tariffs Jan2021'!K55-'Tariffs Jan2021'!J55)*('Tariffs Jan2021'!P55/100)*'Tariffs Jan2021'!AI55))</f>
        <v>73.169999999999987</v>
      </c>
      <c r="G61" s="59">
        <f>IF($C$5*'Tariffs Jan2021'!AK55/'Tariffs Jan2021'!AI55&lt;'Tariffs Jan2021'!K55,0,IF($C$5*'Tariffs Jan2021'!AK55/'Tariffs Jan2021'!AI55&lt;='Tariffs Jan2021'!L55,($C$5*'Tariffs Jan2021'!AK55/'Tariffs Jan2021'!AI55-'Tariffs Jan2021'!K55)*('Tariffs Jan2021'!Q55/100)*'Tariffs Jan2021'!AI55,('Tariffs Jan2021'!L55-'Tariffs Jan2021'!K55)*('Tariffs Jan2021'!Q55/100)*'Tariffs Jan2021'!AI55))</f>
        <v>0</v>
      </c>
      <c r="H61" s="59">
        <f>IF($C$5*'Tariffs Jan2021'!AK55/'Tariffs Jan2021'!AI55&lt;'Tariffs Jan2021'!L55,0,IF($C$5*'Tariffs Jan2021'!AK55/'Tariffs Jan2021'!AI55&lt;='Tariffs Jan2021'!M55,($C$5*'Tariffs Jan2021'!AK55/'Tariffs Jan2021'!AI55-'Tariffs Jan2021'!L55)*('Tariffs Jan2021'!R55/100)*'Tariffs Jan2021'!AI55,('Tariffs Jan2021'!M55-'Tariffs Jan2021'!L55)*('Tariffs Jan2021'!R55/100)*'Tariffs Jan2021'!AI55))</f>
        <v>0</v>
      </c>
      <c r="I61" s="59">
        <f>IF(($C$5*'Tariffs Jan2021'!AK55/'Tariffs Jan2021'!AI55&gt;'Tariffs Jan2021'!M55),($C$5*'Tariffs Jan2021'!AK55/'Tariffs Jan2021'!AI55-'Tariffs Jan2021'!M55)*'Tariffs Jan2021'!S55/100*'Tariffs Jan2021'!AI55,0)</f>
        <v>364.09090909090907</v>
      </c>
      <c r="J61" s="59">
        <f>IF($C$5*'Tariffs Jan2021'!AL55/'Tariffs Jan2021'!AJ55&gt;='Tariffs Jan2021'!J55,('Tariffs Jan2021'!J55*'Tariffs Jan2021'!U55/100)* 'Tariffs Jan2021'!AJ55,($C$5*'Tariffs Jan2021'!AL55/'Tariffs Jan2021'!AJ55*'Tariffs Jan2021'!U55/100)* 'Tariffs Jan2021'!AJ55)</f>
        <v>109.4672727272727</v>
      </c>
      <c r="K61" s="59">
        <f>IF($C$5*'Tariffs Jan2021'!AL55/'Tariffs Jan2021'!AJ55&lt;'Tariffs Jan2021'!J55,0,IF($C$5*'Tariffs Jan2021'!AL55/'Tariffs Jan2021'!AJ55&lt;='Tariffs Jan2021'!K55,($C$5*'Tariffs Jan2021'!AL55/'Tariffs Jan2021'!AJ55-'Tariffs Jan2021'!J55)*('Tariffs Jan2021'!V55/100)*'Tariffs Jan2021'!AJ55,('Tariffs Jan2021'!K55-'Tariffs Jan2021'!J55)*('Tariffs Jan2021'!V55/100)*'Tariffs Jan2021'!AJ55))</f>
        <v>73.169999999999987</v>
      </c>
      <c r="L61" s="59">
        <f>IF($C$5*'Tariffs Jan2021'!AL55/'Tariffs Jan2021'!AJ55&lt;'Tariffs Jan2021'!K55,0,IF($C$5*'Tariffs Jan2021'!AL55/'Tariffs Jan2021'!AJ55&lt;='Tariffs Jan2021'!L55,($C$5*'Tariffs Jan2021'!AL55/'Tariffs Jan2021'!AJ55-'Tariffs Jan2021'!K55)*('Tariffs Jan2021'!W55/100)*'Tariffs Jan2021'!AJ55,('Tariffs Jan2021'!L55-'Tariffs Jan2021'!K55)*('Tariffs Jan2021'!W55/100)*'Tariffs Jan2021'!AJ55))</f>
        <v>0</v>
      </c>
      <c r="M61" s="59">
        <f>IF($C$5*'Tariffs Jan2021'!AL55/'Tariffs Jan2021'!AJ55&lt;'Tariffs Jan2021'!L55,0,IF($C$5*'Tariffs Jan2021'!AL55/'Tariffs Jan2021'!AJ55&lt;='Tariffs Jan2021'!M55,($C$5*'Tariffs Jan2021'!AL55/'Tariffs Jan2021'!AJ55-'Tariffs Jan2021'!L55)*('Tariffs Jan2021'!X55/100)*'Tariffs Jan2021'!AJ55,('Tariffs Jan2021'!M55-'Tariffs Jan2021'!L55)*('Tariffs Jan2021'!X55/100)*'Tariffs Jan2021'!AJ55))</f>
        <v>0</v>
      </c>
      <c r="N61" s="59">
        <f>IF(($C$5*'Tariffs Jan2021'!AL55/'Tariffs Jan2021'!AJ55&gt;'Tariffs Jan2021'!M55),($C$5*'Tariffs Jan2021'!AL55/'Tariffs Jan2021'!AJ55-'Tariffs Jan2021'!M55)*'Tariffs Jan2021'!Y55/100*'Tariffs Jan2021'!AJ55,0)</f>
        <v>364.09090909090907</v>
      </c>
      <c r="O61" s="59">
        <f t="shared" si="1"/>
        <v>1093.4563636363634</v>
      </c>
      <c r="P61" s="503">
        <f t="shared" si="2"/>
        <v>1202.8019999999999</v>
      </c>
      <c r="Q61" s="59">
        <f t="shared" si="3"/>
        <v>1269.0877272727271</v>
      </c>
      <c r="R61" s="272">
        <f t="shared" si="4"/>
        <v>1395.9965</v>
      </c>
      <c r="S61" s="40">
        <f>'Tariffs Jan2021'!AN55</f>
        <v>0</v>
      </c>
      <c r="T61" s="40">
        <f>'Tariffs Jan2021'!AO55</f>
        <v>0</v>
      </c>
      <c r="U61" s="40">
        <f>'Tariffs Jan2021'!AP55</f>
        <v>0</v>
      </c>
      <c r="V61" s="40">
        <f>'Tariffs Jan2021'!AQ55</f>
        <v>0</v>
      </c>
      <c r="W61" s="537" t="str">
        <f t="shared" si="46"/>
        <v>No discount</v>
      </c>
      <c r="X61" s="538" t="str">
        <f t="shared" si="47"/>
        <v>Exclusive</v>
      </c>
      <c r="Y61" s="534">
        <f t="shared" ref="Y61:Y62" si="48">IF(AND(W61="Guaranteed off bill",X61="Inclusive"),((Q61*1.1)-((Q61*1.1)*S61/100))/1.1,IF(AND(W61="Guaranteed off usage",X61="Inclusive"),((Q61*1.1)-((P61*1.1)*T61/100))/1.1,IF(AND(W61="Guaranteed off bill",X61="Exclusive"),Q61-(Q61*S61/100),IF(AND(W61="Guaranteed off usage",X61="Exclusive"),Q61-(P61*T61/100),IF(X61="Inclusive",((Q61*1.1))/1.1,Q61)))))</f>
        <v>1269.0877272727271</v>
      </c>
      <c r="Z61" s="535">
        <f t="shared" ref="Z61:Z62" si="49">IF(AND(W61="Pay-on-time off bill",X61="Inclusive"),((Y61*1.1)-((Y61*1.1)*U61/100))/1.1,IF(AND(W61="Pay-on-time off usage",X61="Inclusive"),((Y61*1.1)-((P61*1.1)*V61/100))/1.1,IF(AND(W61="Pay-on-time off bill",X61="Exclusive"),Y61-(Y61*U61/100),IF(AND(W61="Pay-on-time off usage",X61="Exclusive"),Y61-(P61*V61/100),IF(X61="Inclusive",((Y61*1.1))/1.1,Y61)))))</f>
        <v>1269.0877272727271</v>
      </c>
      <c r="AA61" s="542">
        <f t="shared" si="45"/>
        <v>1395.9965</v>
      </c>
      <c r="AB61" s="542">
        <f t="shared" si="45"/>
        <v>1395.9965</v>
      </c>
      <c r="AC61" s="274">
        <f>'Tariffs Jan2021'!AZ55</f>
        <v>0</v>
      </c>
      <c r="AD61" s="274" t="str">
        <f>'Tariffs Jan2021'!BA55</f>
        <v>n</v>
      </c>
      <c r="AE61" s="275" t="str">
        <f>'Tariffs Jan2021'!BJ55</f>
        <v>N</v>
      </c>
      <c r="AF61" s="516"/>
      <c r="AG61" s="516"/>
      <c r="AH61" s="516"/>
      <c r="AI61" s="516"/>
      <c r="AJ61" s="516"/>
      <c r="AK61" s="516"/>
      <c r="AL61" s="516"/>
      <c r="AM61" s="516"/>
      <c r="AN61" s="516"/>
      <c r="AO61" s="516"/>
      <c r="AP61" s="516"/>
      <c r="AQ61" s="516"/>
      <c r="AR61" s="516"/>
      <c r="AS61" s="516"/>
      <c r="AT61" s="516"/>
      <c r="AU61" s="516"/>
      <c r="AV61" s="516"/>
      <c r="AW61" s="516"/>
      <c r="AX61" s="516"/>
      <c r="AY61" s="516"/>
      <c r="AZ61" s="516"/>
    </row>
    <row r="62" spans="1:52" ht="14" x14ac:dyDescent="0.15">
      <c r="A62" s="270" t="str">
        <f>'Tariffs Jan2021'!F56</f>
        <v>Covau</v>
      </c>
      <c r="B62" s="40" t="str">
        <f>'Tariffs Jan2021'!D56</f>
        <v>AGN Central 2</v>
      </c>
      <c r="C62" s="40" t="str">
        <f>'Tariffs Jan2021'!G56</f>
        <v>Smart Saver</v>
      </c>
      <c r="D62" s="59">
        <f>365*'Tariffs Jan2021'!H56/100</f>
        <v>273.75</v>
      </c>
      <c r="E62" s="59">
        <f>IF($C$5*'Tariffs Jan2021'!AK56/'Tariffs Jan2021'!AI56&gt;='Tariffs Jan2021'!J56,( 'Tariffs Jan2021'!J56*'Tariffs Jan2021'!O56/100)* 'Tariffs Jan2021'!AI56,($C$5*'Tariffs Jan2021'!AK56/'Tariffs Jan2021'!AI56*'Tariffs Jan2021'!O56/100)* 'Tariffs Jan2021'!AI56)</f>
        <v>156.57409090909093</v>
      </c>
      <c r="F62" s="59">
        <f>IF($C$5*'Tariffs Jan2021'!AK56/'Tariffs Jan2021'!AI56&lt;'Tariffs Jan2021'!J56,0,IF($C$5*'Tariffs Jan2021'!AK56/'Tariffs Jan2021'!AI56&lt;='Tariffs Jan2021'!K56,($C$5*'Tariffs Jan2021'!AK56/'Tariffs Jan2021'!AI56-'Tariffs Jan2021'!J56)*('Tariffs Jan2021'!P56/100)*'Tariffs Jan2021'!AI56,('Tariffs Jan2021'!K56-'Tariffs Jan2021'!J56)*('Tariffs Jan2021'!P56/100)*'Tariffs Jan2021'!AI56))</f>
        <v>101.625</v>
      </c>
      <c r="G62" s="59">
        <f>IF($C$5*'Tariffs Jan2021'!AK56/'Tariffs Jan2021'!AI56&lt;'Tariffs Jan2021'!K56,0,IF($C$5*'Tariffs Jan2021'!AK56/'Tariffs Jan2021'!AI56&lt;='Tariffs Jan2021'!L56,($C$5*'Tariffs Jan2021'!AK56/'Tariffs Jan2021'!AI56-'Tariffs Jan2021'!K56)*('Tariffs Jan2021'!Q56/100)*'Tariffs Jan2021'!AI56,('Tariffs Jan2021'!L56-'Tariffs Jan2021'!K56)*('Tariffs Jan2021'!Q56/100)*'Tariffs Jan2021'!AI56))</f>
        <v>0</v>
      </c>
      <c r="H62" s="59">
        <f>IF($C$5*'Tariffs Jan2021'!AK56/'Tariffs Jan2021'!AI56&lt;'Tariffs Jan2021'!L56,0,IF($C$5*'Tariffs Jan2021'!AK56/'Tariffs Jan2021'!AI56&lt;='Tariffs Jan2021'!M56,($C$5*'Tariffs Jan2021'!AK56/'Tariffs Jan2021'!AI56-'Tariffs Jan2021'!L56)*('Tariffs Jan2021'!R56/100)*'Tariffs Jan2021'!AI56,('Tariffs Jan2021'!M56-'Tariffs Jan2021'!L56)*('Tariffs Jan2021'!R56/100)*'Tariffs Jan2021'!AI56))</f>
        <v>0</v>
      </c>
      <c r="I62" s="59">
        <f>IF(($C$5*'Tariffs Jan2021'!AK56/'Tariffs Jan2021'!AI56&gt;'Tariffs Jan2021'!M56),($C$5*'Tariffs Jan2021'!AK56/'Tariffs Jan2021'!AI56-'Tariffs Jan2021'!M56)*'Tariffs Jan2021'!S56/100*'Tariffs Jan2021'!AI56,0)</f>
        <v>507.27272727272725</v>
      </c>
      <c r="J62" s="59">
        <f>IF($C$5*'Tariffs Jan2021'!AL56/'Tariffs Jan2021'!AJ56&gt;='Tariffs Jan2021'!J56,('Tariffs Jan2021'!J56*'Tariffs Jan2021'!U56/100)* 'Tariffs Jan2021'!AJ56,($C$5*'Tariffs Jan2021'!AL56/'Tariffs Jan2021'!AJ56*'Tariffs Jan2021'!U56/100)* 'Tariffs Jan2021'!AJ56)</f>
        <v>156.57409090909093</v>
      </c>
      <c r="K62" s="59">
        <f>IF($C$5*'Tariffs Jan2021'!AL56/'Tariffs Jan2021'!AJ56&lt;'Tariffs Jan2021'!J56,0,IF($C$5*'Tariffs Jan2021'!AL56/'Tariffs Jan2021'!AJ56&lt;='Tariffs Jan2021'!K56,($C$5*'Tariffs Jan2021'!AL56/'Tariffs Jan2021'!AJ56-'Tariffs Jan2021'!J56)*('Tariffs Jan2021'!V56/100)*'Tariffs Jan2021'!AJ56,('Tariffs Jan2021'!K56-'Tariffs Jan2021'!J56)*('Tariffs Jan2021'!V56/100)*'Tariffs Jan2021'!AJ56))</f>
        <v>101.625</v>
      </c>
      <c r="L62" s="59">
        <f>IF($C$5*'Tariffs Jan2021'!AL56/'Tariffs Jan2021'!AJ56&lt;'Tariffs Jan2021'!K56,0,IF($C$5*'Tariffs Jan2021'!AL56/'Tariffs Jan2021'!AJ56&lt;='Tariffs Jan2021'!L56,($C$5*'Tariffs Jan2021'!AL56/'Tariffs Jan2021'!AJ56-'Tariffs Jan2021'!K56)*('Tariffs Jan2021'!W56/100)*'Tariffs Jan2021'!AJ56,('Tariffs Jan2021'!L56-'Tariffs Jan2021'!K56)*('Tariffs Jan2021'!W56/100)*'Tariffs Jan2021'!AJ56))</f>
        <v>0</v>
      </c>
      <c r="M62" s="59">
        <f>IF($C$5*'Tariffs Jan2021'!AL56/'Tariffs Jan2021'!AJ56&lt;'Tariffs Jan2021'!L56,0,IF($C$5*'Tariffs Jan2021'!AL56/'Tariffs Jan2021'!AJ56&lt;='Tariffs Jan2021'!M56,($C$5*'Tariffs Jan2021'!AL56/'Tariffs Jan2021'!AJ56-'Tariffs Jan2021'!L56)*('Tariffs Jan2021'!X56/100)*'Tariffs Jan2021'!AJ56,('Tariffs Jan2021'!M56-'Tariffs Jan2021'!L56)*('Tariffs Jan2021'!X56/100)*'Tariffs Jan2021'!AJ56))</f>
        <v>0</v>
      </c>
      <c r="N62" s="59">
        <f>IF(($C$5*'Tariffs Jan2021'!AL56/'Tariffs Jan2021'!AJ56&gt;'Tariffs Jan2021'!M56),($C$5*'Tariffs Jan2021'!AL56/'Tariffs Jan2021'!AJ56-'Tariffs Jan2021'!M56)*'Tariffs Jan2021'!Y56/100*'Tariffs Jan2021'!AJ56,0)</f>
        <v>507.27272727272725</v>
      </c>
      <c r="O62" s="59">
        <f t="shared" si="1"/>
        <v>1530.9436363636364</v>
      </c>
      <c r="P62" s="503">
        <f t="shared" si="2"/>
        <v>1684.0380000000002</v>
      </c>
      <c r="Q62" s="59">
        <f t="shared" si="3"/>
        <v>1804.6936363636364</v>
      </c>
      <c r="R62" s="272">
        <f t="shared" si="4"/>
        <v>1985.1630000000002</v>
      </c>
      <c r="S62" s="40">
        <f>'Tariffs Jan2021'!AN56</f>
        <v>0</v>
      </c>
      <c r="T62" s="40">
        <f>'Tariffs Jan2021'!AO56</f>
        <v>16</v>
      </c>
      <c r="U62" s="40">
        <f>'Tariffs Jan2021'!AP56</f>
        <v>0</v>
      </c>
      <c r="V62" s="40">
        <f>'Tariffs Jan2021'!AQ56</f>
        <v>0</v>
      </c>
      <c r="W62" s="537" t="str">
        <f t="shared" si="46"/>
        <v>Guaranteed off usage</v>
      </c>
      <c r="X62" s="538" t="str">
        <f t="shared" si="47"/>
        <v>Exclusive</v>
      </c>
      <c r="Y62" s="534">
        <f t="shared" si="48"/>
        <v>1535.2475563636362</v>
      </c>
      <c r="Z62" s="535">
        <f t="shared" si="49"/>
        <v>1535.2475563636362</v>
      </c>
      <c r="AA62" s="542">
        <f t="shared" si="45"/>
        <v>1688.7723120000001</v>
      </c>
      <c r="AB62" s="542">
        <f t="shared" si="45"/>
        <v>1688.7723120000001</v>
      </c>
      <c r="AC62" s="274">
        <f>'Tariffs Jan2021'!AZ56</f>
        <v>0</v>
      </c>
      <c r="AD62" s="274" t="str">
        <f>'Tariffs Jan2021'!BA56</f>
        <v>n</v>
      </c>
      <c r="AE62" s="275" t="str">
        <f>'Tariffs Jan2021'!BJ56</f>
        <v>N</v>
      </c>
      <c r="AF62" s="516"/>
      <c r="AG62" s="516"/>
      <c r="AH62" s="516"/>
      <c r="AI62" s="516"/>
      <c r="AJ62" s="516"/>
      <c r="AK62" s="516"/>
      <c r="AL62" s="516"/>
      <c r="AM62" s="516"/>
      <c r="AN62" s="516"/>
      <c r="AO62" s="516"/>
      <c r="AP62" s="516"/>
      <c r="AQ62" s="516"/>
      <c r="AR62" s="516"/>
      <c r="AS62" s="516"/>
      <c r="AT62" s="516"/>
      <c r="AU62" s="516"/>
      <c r="AV62" s="516"/>
      <c r="AW62" s="516"/>
      <c r="AX62" s="516"/>
      <c r="AY62" s="516"/>
      <c r="AZ62" s="516"/>
    </row>
    <row r="63" spans="1:52" ht="14" x14ac:dyDescent="0.15">
      <c r="A63" s="270" t="str">
        <f>'Tariffs Jan2021'!F57</f>
        <v>Dodo Power &amp; Gas</v>
      </c>
      <c r="B63" s="40" t="str">
        <f>'Tariffs Jan2021'!D57</f>
        <v>AGN Central 2</v>
      </c>
      <c r="C63" s="40" t="str">
        <f>'Tariffs Jan2021'!G57</f>
        <v>Market offer</v>
      </c>
      <c r="D63" s="59">
        <f>365*'Tariffs Jan2021'!H57/100</f>
        <v>200.58409090909092</v>
      </c>
      <c r="E63" s="59">
        <f>IF($C$5*'Tariffs Jan2021'!AK57/'Tariffs Jan2021'!AI57&gt;='Tariffs Jan2021'!J57,( 'Tariffs Jan2021'!J57*'Tariffs Jan2021'!O57/100)* 'Tariffs Jan2021'!AI57,($C$5*'Tariffs Jan2021'!AK57/'Tariffs Jan2021'!AI57*'Tariffs Jan2021'!O57/100)* 'Tariffs Jan2021'!AI57)</f>
        <v>133.245</v>
      </c>
      <c r="F63" s="59">
        <f>IF($C$5*'Tariffs Jan2021'!AK57/'Tariffs Jan2021'!AI57&lt;'Tariffs Jan2021'!J57,0,IF($C$5*'Tariffs Jan2021'!AK57/'Tariffs Jan2021'!AI57&lt;='Tariffs Jan2021'!K57,($C$5*'Tariffs Jan2021'!AK57/'Tariffs Jan2021'!AI57-'Tariffs Jan2021'!J57)*('Tariffs Jan2021'!P57/100)*'Tariffs Jan2021'!AI57,('Tariffs Jan2021'!K57-'Tariffs Jan2021'!J57)*('Tariffs Jan2021'!P57/100)*'Tariffs Jan2021'!AI57))</f>
        <v>89.060454545454547</v>
      </c>
      <c r="G63" s="59">
        <f>IF($C$5*'Tariffs Jan2021'!AK57/'Tariffs Jan2021'!AI57&lt;'Tariffs Jan2021'!K57,0,IF($C$5*'Tariffs Jan2021'!AK57/'Tariffs Jan2021'!AI57&lt;='Tariffs Jan2021'!L57,($C$5*'Tariffs Jan2021'!AK57/'Tariffs Jan2021'!AI57-'Tariffs Jan2021'!K57)*('Tariffs Jan2021'!Q57/100)*'Tariffs Jan2021'!AI57,('Tariffs Jan2021'!L57-'Tariffs Jan2021'!K57)*('Tariffs Jan2021'!Q57/100)*'Tariffs Jan2021'!AI57))</f>
        <v>0</v>
      </c>
      <c r="H63" s="59">
        <f>IF($C$5*'Tariffs Jan2021'!AK57/'Tariffs Jan2021'!AI57&lt;'Tariffs Jan2021'!L57,0,IF($C$5*'Tariffs Jan2021'!AK57/'Tariffs Jan2021'!AI57&lt;='Tariffs Jan2021'!M57,($C$5*'Tariffs Jan2021'!AK57/'Tariffs Jan2021'!AI57-'Tariffs Jan2021'!L57)*('Tariffs Jan2021'!R57/100)*'Tariffs Jan2021'!AI57,('Tariffs Jan2021'!M57-'Tariffs Jan2021'!L57)*('Tariffs Jan2021'!R57/100)*'Tariffs Jan2021'!AI57))</f>
        <v>0</v>
      </c>
      <c r="I63" s="59">
        <f>IF(($C$5*'Tariffs Jan2021'!AK57/'Tariffs Jan2021'!AI57&gt;'Tariffs Jan2021'!M57),($C$5*'Tariffs Jan2021'!AK57/'Tariffs Jan2021'!AI57-'Tariffs Jan2021'!M57)*'Tariffs Jan2021'!S57/100*'Tariffs Jan2021'!AI57,0)</f>
        <v>423.40909090909088</v>
      </c>
      <c r="J63" s="59">
        <f>IF($C$5*'Tariffs Jan2021'!AL57/'Tariffs Jan2021'!AJ57&gt;='Tariffs Jan2021'!J57,('Tariffs Jan2021'!J57*'Tariffs Jan2021'!U57/100)* 'Tariffs Jan2021'!AJ57,($C$5*'Tariffs Jan2021'!AL57/'Tariffs Jan2021'!AJ57*'Tariffs Jan2021'!U57/100)* 'Tariffs Jan2021'!AJ57)</f>
        <v>133.245</v>
      </c>
      <c r="K63" s="59">
        <f>IF($C$5*'Tariffs Jan2021'!AL57/'Tariffs Jan2021'!AJ57&lt;'Tariffs Jan2021'!J57,0,IF($C$5*'Tariffs Jan2021'!AL57/'Tariffs Jan2021'!AJ57&lt;='Tariffs Jan2021'!K57,($C$5*'Tariffs Jan2021'!AL57/'Tariffs Jan2021'!AJ57-'Tariffs Jan2021'!J57)*('Tariffs Jan2021'!V57/100)*'Tariffs Jan2021'!AJ57,('Tariffs Jan2021'!K57-'Tariffs Jan2021'!J57)*('Tariffs Jan2021'!V57/100)*'Tariffs Jan2021'!AJ57))</f>
        <v>89.060454545454547</v>
      </c>
      <c r="L63" s="59">
        <f>IF($C$5*'Tariffs Jan2021'!AL57/'Tariffs Jan2021'!AJ57&lt;'Tariffs Jan2021'!K57,0,IF($C$5*'Tariffs Jan2021'!AL57/'Tariffs Jan2021'!AJ57&lt;='Tariffs Jan2021'!L57,($C$5*'Tariffs Jan2021'!AL57/'Tariffs Jan2021'!AJ57-'Tariffs Jan2021'!K57)*('Tariffs Jan2021'!W57/100)*'Tariffs Jan2021'!AJ57,('Tariffs Jan2021'!L57-'Tariffs Jan2021'!K57)*('Tariffs Jan2021'!W57/100)*'Tariffs Jan2021'!AJ57))</f>
        <v>0</v>
      </c>
      <c r="M63" s="59">
        <f>IF($C$5*'Tariffs Jan2021'!AL57/'Tariffs Jan2021'!AJ57&lt;'Tariffs Jan2021'!L57,0,IF($C$5*'Tariffs Jan2021'!AL57/'Tariffs Jan2021'!AJ57&lt;='Tariffs Jan2021'!M57,($C$5*'Tariffs Jan2021'!AL57/'Tariffs Jan2021'!AJ57-'Tariffs Jan2021'!L57)*('Tariffs Jan2021'!X57/100)*'Tariffs Jan2021'!AJ57,('Tariffs Jan2021'!M57-'Tariffs Jan2021'!L57)*('Tariffs Jan2021'!X57/100)*'Tariffs Jan2021'!AJ57))</f>
        <v>0</v>
      </c>
      <c r="N63" s="59">
        <f>IF(($C$5*'Tariffs Jan2021'!AL57/'Tariffs Jan2021'!AJ57&gt;'Tariffs Jan2021'!M57),($C$5*'Tariffs Jan2021'!AL57/'Tariffs Jan2021'!AJ57-'Tariffs Jan2021'!M57)*'Tariffs Jan2021'!Y57/100*'Tariffs Jan2021'!AJ57,0)</f>
        <v>423.40909090909088</v>
      </c>
      <c r="O63" s="59">
        <f t="shared" si="1"/>
        <v>1291.429090909091</v>
      </c>
      <c r="P63" s="503">
        <f t="shared" si="2"/>
        <v>1420.5720000000001</v>
      </c>
      <c r="Q63" s="59">
        <f t="shared" si="3"/>
        <v>1492.0131818181819</v>
      </c>
      <c r="R63" s="272">
        <f t="shared" si="4"/>
        <v>1641.2145000000003</v>
      </c>
      <c r="S63" s="40">
        <f>'Tariffs Jan2021'!AN57</f>
        <v>0</v>
      </c>
      <c r="T63" s="40">
        <f>'Tariffs Jan2021'!AO57</f>
        <v>0</v>
      </c>
      <c r="U63" s="40">
        <f>'Tariffs Jan2021'!AP57</f>
        <v>0</v>
      </c>
      <c r="V63" s="40">
        <f>'Tariffs Jan2021'!AQ57</f>
        <v>0</v>
      </c>
      <c r="W63" s="537" t="str">
        <f t="shared" si="46"/>
        <v>No discount</v>
      </c>
      <c r="X63" s="538" t="str">
        <f t="shared" si="47"/>
        <v>Exclusive</v>
      </c>
      <c r="Y63" s="534">
        <f>IF(AND(W63="Guaranteed off bill",X63="Inclusive"),((Q63*1.1)-((Q63*1.1)*S63/100))/1.1,IF(AND(W63="Guaranteed off usage",X63="Inclusive"),((Q63*1.1)-((P63*1.1)*T63/100))/1.1,IF(AND(W63="Guaranteed off bill",X63="Exclusive"),Q63-(Q63*S63/100),IF(AND(W63="Guaranteed off usage",X63="Exclusive"),Q63-(P63*T63/100),IF(X63="Inclusive",((Q63*1.1))/1.1,Q63)))))</f>
        <v>1492.0131818181819</v>
      </c>
      <c r="Z63" s="535">
        <f>IF(AND(W63="Pay-on-time off bill",X63="Inclusive"),((Y63*1.1)-((Y63*1.1)*U63/100))/1.1,IF(AND(W63="Pay-on-time off usage",X63="Inclusive"),((Y63*1.1)-((P63*1.1)*V63/100))/1.1,IF(AND(W63="Pay-on-time off bill",X63="Exclusive"),Y63-(Y63*U63/100),IF(AND(W63="Pay-on-time off usage",X63="Exclusive"),Y63-(P63*V63/100),IF(X63="Inclusive",((Y63*1.1))/1.1,Y63)))))</f>
        <v>1492.0131818181819</v>
      </c>
      <c r="AA63" s="542">
        <f t="shared" si="45"/>
        <v>1641.2145000000003</v>
      </c>
      <c r="AB63" s="542">
        <f t="shared" si="45"/>
        <v>1641.2145000000003</v>
      </c>
      <c r="AC63" s="274">
        <f>'Tariffs Jan2021'!AZ57</f>
        <v>0</v>
      </c>
      <c r="AD63" s="274" t="str">
        <f>'Tariffs Jan2021'!BA57</f>
        <v>n</v>
      </c>
      <c r="AE63" s="275" t="str">
        <f>'Tariffs Jan2021'!BJ57</f>
        <v>N</v>
      </c>
      <c r="AF63" s="516"/>
      <c r="AG63" s="516"/>
      <c r="AH63" s="516"/>
      <c r="AI63" s="516"/>
      <c r="AJ63" s="516"/>
      <c r="AK63" s="516"/>
      <c r="AL63" s="516"/>
      <c r="AM63" s="516"/>
      <c r="AN63" s="516"/>
      <c r="AO63" s="516"/>
      <c r="AP63" s="516"/>
      <c r="AQ63" s="516"/>
      <c r="AR63" s="516"/>
      <c r="AS63" s="516"/>
      <c r="AT63" s="516"/>
      <c r="AU63" s="516"/>
      <c r="AV63" s="516"/>
      <c r="AW63" s="516"/>
      <c r="AX63" s="516"/>
      <c r="AY63" s="516"/>
      <c r="AZ63" s="516"/>
    </row>
    <row r="64" spans="1:52" ht="14" x14ac:dyDescent="0.15">
      <c r="A64" s="270" t="str">
        <f>'Tariffs Jan2021'!F58</f>
        <v>EnergyAustralia</v>
      </c>
      <c r="B64" s="40" t="str">
        <f>'Tariffs Jan2021'!D58</f>
        <v>AGN Central 2</v>
      </c>
      <c r="C64" s="40" t="str">
        <f>'Tariffs Jan2021'!G58</f>
        <v>Total Plan</v>
      </c>
      <c r="D64" s="59">
        <f>365*'Tariffs Jan2021'!H58/100</f>
        <v>308.42500000000001</v>
      </c>
      <c r="E64" s="59">
        <f>IF($C$5*'Tariffs Jan2021'!AK58/'Tariffs Jan2021'!AI58&gt;='Tariffs Jan2021'!J58,( 'Tariffs Jan2021'!J58*'Tariffs Jan2021'!O58/100)* 'Tariffs Jan2021'!AI58,($C$5*'Tariffs Jan2021'!AK58/'Tariffs Jan2021'!AI58*'Tariffs Jan2021'!O58/100)* 'Tariffs Jan2021'!AI58)</f>
        <v>168.23863636363637</v>
      </c>
      <c r="F64" s="59">
        <f>IF($C$5*'Tariffs Jan2021'!AK58/'Tariffs Jan2021'!AI58&lt;'Tariffs Jan2021'!J58,0,IF($C$5*'Tariffs Jan2021'!AK58/'Tariffs Jan2021'!AI58&lt;='Tariffs Jan2021'!K58,($C$5*'Tariffs Jan2021'!AK58/'Tariffs Jan2021'!AI58-'Tariffs Jan2021'!J58)*('Tariffs Jan2021'!P58/100)*'Tariffs Jan2021'!AI58,('Tariffs Jan2021'!K58-'Tariffs Jan2021'!J58)*('Tariffs Jan2021'!P58/100)*'Tariffs Jan2021'!AI58))</f>
        <v>105.32045454545455</v>
      </c>
      <c r="G64" s="59">
        <f>IF($C$5*'Tariffs Jan2021'!AK58/'Tariffs Jan2021'!AI58&lt;'Tariffs Jan2021'!K58,0,IF($C$5*'Tariffs Jan2021'!AK58/'Tariffs Jan2021'!AI58&lt;='Tariffs Jan2021'!L58,($C$5*'Tariffs Jan2021'!AK58/'Tariffs Jan2021'!AI58-'Tariffs Jan2021'!K58)*('Tariffs Jan2021'!Q58/100)*'Tariffs Jan2021'!AI58,('Tariffs Jan2021'!L58-'Tariffs Jan2021'!K58)*('Tariffs Jan2021'!Q58/100)*'Tariffs Jan2021'!AI58))</f>
        <v>0</v>
      </c>
      <c r="H64" s="59">
        <f>IF($C$5*'Tariffs Jan2021'!AK58/'Tariffs Jan2021'!AI58&lt;'Tariffs Jan2021'!L58,0,IF($C$5*'Tariffs Jan2021'!AK58/'Tariffs Jan2021'!AI58&lt;='Tariffs Jan2021'!M58,($C$5*'Tariffs Jan2021'!AK58/'Tariffs Jan2021'!AI58-'Tariffs Jan2021'!L58)*('Tariffs Jan2021'!R58/100)*'Tariffs Jan2021'!AI58,('Tariffs Jan2021'!M58-'Tariffs Jan2021'!L58)*('Tariffs Jan2021'!R58/100)*'Tariffs Jan2021'!AI58))</f>
        <v>0</v>
      </c>
      <c r="I64" s="59">
        <f>IF(($C$5*'Tariffs Jan2021'!AK58/'Tariffs Jan2021'!AI58&gt;'Tariffs Jan2021'!M58),($C$5*'Tariffs Jan2021'!AK58/'Tariffs Jan2021'!AI58-'Tariffs Jan2021'!M58)*'Tariffs Jan2021'!S58/100*'Tariffs Jan2021'!AI58,0)</f>
        <v>476.59090909090912</v>
      </c>
      <c r="J64" s="59">
        <f>IF($C$5*'Tariffs Jan2021'!AL58/'Tariffs Jan2021'!AJ58&gt;='Tariffs Jan2021'!J58,('Tariffs Jan2021'!J58*'Tariffs Jan2021'!U58/100)* 'Tariffs Jan2021'!AJ58,($C$5*'Tariffs Jan2021'!AL58/'Tariffs Jan2021'!AJ58*'Tariffs Jan2021'!U58/100)* 'Tariffs Jan2021'!AJ58)</f>
        <v>168.23863636363637</v>
      </c>
      <c r="K64" s="59">
        <f>IF($C$5*'Tariffs Jan2021'!AL58/'Tariffs Jan2021'!AJ58&lt;'Tariffs Jan2021'!J58,0,IF($C$5*'Tariffs Jan2021'!AL58/'Tariffs Jan2021'!AJ58&lt;='Tariffs Jan2021'!K58,($C$5*'Tariffs Jan2021'!AL58/'Tariffs Jan2021'!AJ58-'Tariffs Jan2021'!J58)*('Tariffs Jan2021'!V58/100)*'Tariffs Jan2021'!AJ58,('Tariffs Jan2021'!K58-'Tariffs Jan2021'!J58)*('Tariffs Jan2021'!V58/100)*'Tariffs Jan2021'!AJ58))</f>
        <v>105.32045454545455</v>
      </c>
      <c r="L64" s="59">
        <f>IF($C$5*'Tariffs Jan2021'!AL58/'Tariffs Jan2021'!AJ58&lt;'Tariffs Jan2021'!K58,0,IF($C$5*'Tariffs Jan2021'!AL58/'Tariffs Jan2021'!AJ58&lt;='Tariffs Jan2021'!L58,($C$5*'Tariffs Jan2021'!AL58/'Tariffs Jan2021'!AJ58-'Tariffs Jan2021'!K58)*('Tariffs Jan2021'!W58/100)*'Tariffs Jan2021'!AJ58,('Tariffs Jan2021'!L58-'Tariffs Jan2021'!K58)*('Tariffs Jan2021'!W58/100)*'Tariffs Jan2021'!AJ58))</f>
        <v>0</v>
      </c>
      <c r="M64" s="59">
        <f>IF($C$5*'Tariffs Jan2021'!AL58/'Tariffs Jan2021'!AJ58&lt;'Tariffs Jan2021'!L58,0,IF($C$5*'Tariffs Jan2021'!AL58/'Tariffs Jan2021'!AJ58&lt;='Tariffs Jan2021'!M58,($C$5*'Tariffs Jan2021'!AL58/'Tariffs Jan2021'!AJ58-'Tariffs Jan2021'!L58)*('Tariffs Jan2021'!X58/100)*'Tariffs Jan2021'!AJ58,('Tariffs Jan2021'!M58-'Tariffs Jan2021'!L58)*('Tariffs Jan2021'!X58/100)*'Tariffs Jan2021'!AJ58))</f>
        <v>0</v>
      </c>
      <c r="N64" s="59">
        <f>IF(($C$5*'Tariffs Jan2021'!AL58/'Tariffs Jan2021'!AJ58&gt;'Tariffs Jan2021'!M58),($C$5*'Tariffs Jan2021'!AL58/'Tariffs Jan2021'!AJ58-'Tariffs Jan2021'!M58)*'Tariffs Jan2021'!Y58/100*'Tariffs Jan2021'!AJ58,0)</f>
        <v>476.59090909090912</v>
      </c>
      <c r="O64" s="59">
        <f t="shared" si="1"/>
        <v>1500.3000000000002</v>
      </c>
      <c r="P64" s="503">
        <f t="shared" si="2"/>
        <v>1650.3300000000004</v>
      </c>
      <c r="Q64" s="59">
        <f t="shared" si="3"/>
        <v>1808.7250000000001</v>
      </c>
      <c r="R64" s="272">
        <f t="shared" si="4"/>
        <v>1989.5975000000003</v>
      </c>
      <c r="S64" s="40">
        <f>'Tariffs Jan2021'!AN58</f>
        <v>27</v>
      </c>
      <c r="T64" s="40">
        <f>'Tariffs Jan2021'!AO58</f>
        <v>0</v>
      </c>
      <c r="U64" s="40">
        <f>'Tariffs Jan2021'!AP58</f>
        <v>0</v>
      </c>
      <c r="V64" s="40">
        <f>'Tariffs Jan2021'!AQ58</f>
        <v>0</v>
      </c>
      <c r="W64" s="537" t="str">
        <f t="shared" si="46"/>
        <v>Guaranteed off bill</v>
      </c>
      <c r="X64" s="538" t="str">
        <f t="shared" si="47"/>
        <v>Exclusive</v>
      </c>
      <c r="Y64" s="534">
        <f t="shared" ref="Y64" si="50">IF(AND(W64="Guaranteed off bill",X64="Inclusive"),((Q64*1.1)-((Q64*1.1)*S64/100))/1.1,IF(AND(W64="Guaranteed off usage",X64="Inclusive"),((Q64*1.1)-((P64*1.1)*T64/100))/1.1,IF(AND(W64="Guaranteed off bill",X64="Exclusive"),Q64-(Q64*S64/100),IF(AND(W64="Guaranteed off usage",X64="Exclusive"),Q64-(P64*T64/100),IF(X64="Inclusive",((Q64*1.1))/1.1,Q64)))))</f>
        <v>1320.3692500000002</v>
      </c>
      <c r="Z64" s="535">
        <f t="shared" ref="Z64" si="51">IF(AND(W64="Pay-on-time off bill",X64="Inclusive"),((Y64*1.1)-((Y64*1.1)*U64/100))/1.1,IF(AND(W64="Pay-on-time off usage",X64="Inclusive"),((Y64*1.1)-((P64*1.1)*V64/100))/1.1,IF(AND(W64="Pay-on-time off bill",X64="Exclusive"),Y64-(Y64*U64/100),IF(AND(W64="Pay-on-time off usage",X64="Exclusive"),Y64-(P64*V64/100),IF(X64="Inclusive",((Y64*1.1))/1.1,Y64)))))</f>
        <v>1320.3692500000002</v>
      </c>
      <c r="AA64" s="542">
        <f t="shared" si="45"/>
        <v>1452.4061750000003</v>
      </c>
      <c r="AB64" s="542">
        <f t="shared" si="45"/>
        <v>1452.4061750000003</v>
      </c>
      <c r="AC64" s="274">
        <f>'Tariffs Jan2021'!AZ58</f>
        <v>12</v>
      </c>
      <c r="AD64" s="274" t="str">
        <f>'Tariffs Jan2021'!BA58</f>
        <v>n</v>
      </c>
      <c r="AE64" s="275" t="str">
        <f>'Tariffs Jan2021'!BJ58</f>
        <v>N</v>
      </c>
      <c r="AF64" s="516"/>
      <c r="AG64" s="516"/>
      <c r="AH64" s="516"/>
      <c r="AI64" s="516"/>
      <c r="AJ64" s="516"/>
      <c r="AK64" s="516"/>
      <c r="AL64" s="516"/>
      <c r="AM64" s="516"/>
      <c r="AN64" s="516"/>
      <c r="AO64" s="516"/>
      <c r="AP64" s="516"/>
      <c r="AQ64" s="516"/>
      <c r="AR64" s="516"/>
      <c r="AS64" s="516"/>
      <c r="AT64" s="516"/>
      <c r="AU64" s="516"/>
      <c r="AV64" s="516"/>
      <c r="AW64" s="516"/>
      <c r="AX64" s="516"/>
      <c r="AY64" s="516"/>
      <c r="AZ64" s="516"/>
    </row>
    <row r="65" spans="1:52" ht="14" x14ac:dyDescent="0.15">
      <c r="A65" s="270" t="str">
        <f>'Tariffs Jan2021'!F59</f>
        <v>Lumo Energy</v>
      </c>
      <c r="B65" s="40" t="str">
        <f>'Tariffs Jan2021'!D59</f>
        <v>AGN Central 2</v>
      </c>
      <c r="C65" s="40" t="str">
        <f>'Tariffs Jan2021'!G59</f>
        <v>Value</v>
      </c>
      <c r="D65" s="59">
        <f>365*'Tariffs Jan2021'!H59/100</f>
        <v>247.83499999999995</v>
      </c>
      <c r="E65" s="59">
        <f>IF($C$5*'Tariffs Jan2021'!AK59/'Tariffs Jan2021'!AI59&gt;='Tariffs Jan2021'!J59,( 'Tariffs Jan2021'!J59*'Tariffs Jan2021'!O59/100)* 'Tariffs Jan2021'!AI59,($C$5*'Tariffs Jan2021'!AK59/'Tariffs Jan2021'!AI59*'Tariffs Jan2021'!O59/100)* 'Tariffs Jan2021'!AI59)</f>
        <v>97.802727272727282</v>
      </c>
      <c r="F65" s="59">
        <f>IF($C$5*'Tariffs Jan2021'!AK59/'Tariffs Jan2021'!AI59&lt;'Tariffs Jan2021'!J59,0,IF($C$5*'Tariffs Jan2021'!AK59/'Tariffs Jan2021'!AI59&lt;='Tariffs Jan2021'!K59,($C$5*'Tariffs Jan2021'!AK59/'Tariffs Jan2021'!AI59-'Tariffs Jan2021'!J59)*('Tariffs Jan2021'!P59/100)*'Tariffs Jan2021'!AI59,('Tariffs Jan2021'!K59-'Tariffs Jan2021'!J59)*('Tariffs Jan2021'!P59/100)*'Tariffs Jan2021'!AI59))</f>
        <v>76.49590909090908</v>
      </c>
      <c r="G65" s="59">
        <f>IF($C$5*'Tariffs Jan2021'!AK59/'Tariffs Jan2021'!AI59&lt;'Tariffs Jan2021'!K59,0,IF($C$5*'Tariffs Jan2021'!AK59/'Tariffs Jan2021'!AI59&lt;='Tariffs Jan2021'!L59,($C$5*'Tariffs Jan2021'!AK59/'Tariffs Jan2021'!AI59-'Tariffs Jan2021'!K59)*('Tariffs Jan2021'!Q59/100)*'Tariffs Jan2021'!AI59,('Tariffs Jan2021'!L59-'Tariffs Jan2021'!K59)*('Tariffs Jan2021'!Q59/100)*'Tariffs Jan2021'!AI59))</f>
        <v>0</v>
      </c>
      <c r="H65" s="59">
        <f>IF($C$5*'Tariffs Jan2021'!AK59/'Tariffs Jan2021'!AI59&lt;'Tariffs Jan2021'!L59,0,IF($C$5*'Tariffs Jan2021'!AK59/'Tariffs Jan2021'!AI59&lt;='Tariffs Jan2021'!M59,($C$5*'Tariffs Jan2021'!AK59/'Tariffs Jan2021'!AI59-'Tariffs Jan2021'!L59)*('Tariffs Jan2021'!R59/100)*'Tariffs Jan2021'!AI59,('Tariffs Jan2021'!M59-'Tariffs Jan2021'!L59)*('Tariffs Jan2021'!R59/100)*'Tariffs Jan2021'!AI59))</f>
        <v>0</v>
      </c>
      <c r="I65" s="59">
        <f>IF(($C$5*'Tariffs Jan2021'!AK59/'Tariffs Jan2021'!AI59&gt;'Tariffs Jan2021'!M59),($C$5*'Tariffs Jan2021'!AK59/'Tariffs Jan2021'!AI59-'Tariffs Jan2021'!M59)*'Tariffs Jan2021'!S59/100*'Tariffs Jan2021'!AI59,0)</f>
        <v>392.72727272727263</v>
      </c>
      <c r="J65" s="59">
        <f>IF($C$5*'Tariffs Jan2021'!AL59/'Tariffs Jan2021'!AJ59&gt;='Tariffs Jan2021'!J59,('Tariffs Jan2021'!J59*'Tariffs Jan2021'!U59/100)* 'Tariffs Jan2021'!AJ59,($C$5*'Tariffs Jan2021'!AL59/'Tariffs Jan2021'!AJ59*'Tariffs Jan2021'!U59/100)* 'Tariffs Jan2021'!AJ59)</f>
        <v>97.802727272727282</v>
      </c>
      <c r="K65" s="59">
        <f>IF($C$5*'Tariffs Jan2021'!AL59/'Tariffs Jan2021'!AJ59&lt;'Tariffs Jan2021'!J59,0,IF($C$5*'Tariffs Jan2021'!AL59/'Tariffs Jan2021'!AJ59&lt;='Tariffs Jan2021'!K59,($C$5*'Tariffs Jan2021'!AL59/'Tariffs Jan2021'!AJ59-'Tariffs Jan2021'!J59)*('Tariffs Jan2021'!V59/100)*'Tariffs Jan2021'!AJ59,('Tariffs Jan2021'!K59-'Tariffs Jan2021'!J59)*('Tariffs Jan2021'!V59/100)*'Tariffs Jan2021'!AJ59))</f>
        <v>76.49590909090908</v>
      </c>
      <c r="L65" s="59">
        <f>IF($C$5*'Tariffs Jan2021'!AL59/'Tariffs Jan2021'!AJ59&lt;'Tariffs Jan2021'!K59,0,IF($C$5*'Tariffs Jan2021'!AL59/'Tariffs Jan2021'!AJ59&lt;='Tariffs Jan2021'!L59,($C$5*'Tariffs Jan2021'!AL59/'Tariffs Jan2021'!AJ59-'Tariffs Jan2021'!K59)*('Tariffs Jan2021'!W59/100)*'Tariffs Jan2021'!AJ59,('Tariffs Jan2021'!L59-'Tariffs Jan2021'!K59)*('Tariffs Jan2021'!W59/100)*'Tariffs Jan2021'!AJ59))</f>
        <v>0</v>
      </c>
      <c r="M65" s="59">
        <f>IF($C$5*'Tariffs Jan2021'!AL59/'Tariffs Jan2021'!AJ59&lt;'Tariffs Jan2021'!L59,0,IF($C$5*'Tariffs Jan2021'!AL59/'Tariffs Jan2021'!AJ59&lt;='Tariffs Jan2021'!M59,($C$5*'Tariffs Jan2021'!AL59/'Tariffs Jan2021'!AJ59-'Tariffs Jan2021'!L59)*('Tariffs Jan2021'!X59/100)*'Tariffs Jan2021'!AJ59,('Tariffs Jan2021'!M59-'Tariffs Jan2021'!L59)*('Tariffs Jan2021'!X59/100)*'Tariffs Jan2021'!AJ59))</f>
        <v>0</v>
      </c>
      <c r="N65" s="59">
        <f>IF(($C$5*'Tariffs Jan2021'!AL59/'Tariffs Jan2021'!AJ59&gt;'Tariffs Jan2021'!M59),($C$5*'Tariffs Jan2021'!AL59/'Tariffs Jan2021'!AJ59-'Tariffs Jan2021'!M59)*'Tariffs Jan2021'!Y59/100*'Tariffs Jan2021'!AJ59,0)</f>
        <v>392.72727272727263</v>
      </c>
      <c r="O65" s="59">
        <f t="shared" si="1"/>
        <v>1134.0518181818179</v>
      </c>
      <c r="P65" s="503">
        <f t="shared" si="2"/>
        <v>1247.4569999999999</v>
      </c>
      <c r="Q65" s="59">
        <f t="shared" si="3"/>
        <v>1381.8868181818179</v>
      </c>
      <c r="R65" s="272">
        <f t="shared" si="4"/>
        <v>1520.0754999999999</v>
      </c>
      <c r="S65" s="40">
        <f>'Tariffs Jan2021'!AN59</f>
        <v>0</v>
      </c>
      <c r="T65" s="40">
        <f>'Tariffs Jan2021'!AO59</f>
        <v>0</v>
      </c>
      <c r="U65" s="40">
        <f>'Tariffs Jan2021'!AP59</f>
        <v>0</v>
      </c>
      <c r="V65" s="40">
        <f>'Tariffs Jan2021'!AQ59</f>
        <v>0</v>
      </c>
      <c r="W65" s="537" t="str">
        <f t="shared" si="46"/>
        <v>No discount</v>
      </c>
      <c r="X65" s="538" t="str">
        <f t="shared" si="47"/>
        <v>Exclusive</v>
      </c>
      <c r="Y65" s="534">
        <f>IF(AND(W65="Guaranteed off bill",X65="Inclusive"),((Q65*1.1)-((Q65*1.1)*S65/100))/1.1,IF(AND(W65="Guaranteed off usage",X65="Inclusive"),((Q65*1.1)-((P65*1.1)*T65/100))/1.1,IF(AND(W65="Guaranteed off bill",X65="Exclusive"),Q65-(Q65*S65/100),IF(AND(W65="Guaranteed off usage",X65="Exclusive"),Q65-(P65*T65/100),IF(X65="Inclusive",((Q65*1.1))/1.1,Q65)))))</f>
        <v>1381.8868181818179</v>
      </c>
      <c r="Z65" s="535">
        <f>IF(AND(W65="Pay-on-time off bill",X65="Inclusive"),((Y65*1.1)-((Y65*1.1)*U65/100))/1.1,IF(AND(W65="Pay-on-time off usage",X65="Inclusive"),((Y65*1.1)-((P65*1.1)*V65/100))/1.1,IF(AND(W65="Pay-on-time off bill",X65="Exclusive"),Y65-(Y65*U65/100),IF(AND(W65="Pay-on-time off usage",X65="Exclusive"),Y65-(P65*V65/100),IF(X65="Inclusive",((Y65*1.1))/1.1,Y65)))))</f>
        <v>1381.8868181818179</v>
      </c>
      <c r="AA65" s="542">
        <f t="shared" si="45"/>
        <v>1520.0754999999999</v>
      </c>
      <c r="AB65" s="542">
        <f t="shared" si="45"/>
        <v>1520.0754999999999</v>
      </c>
      <c r="AC65" s="274">
        <f>'Tariffs Jan2021'!AZ59</f>
        <v>0</v>
      </c>
      <c r="AD65" s="274" t="str">
        <f>'Tariffs Jan2021'!BA59</f>
        <v>n</v>
      </c>
      <c r="AE65" s="275" t="str">
        <f>'Tariffs Jan2021'!BJ59</f>
        <v>N</v>
      </c>
      <c r="AF65" s="516"/>
      <c r="AG65" s="516"/>
      <c r="AH65" s="516"/>
      <c r="AI65" s="516"/>
      <c r="AJ65" s="516"/>
      <c r="AK65" s="516"/>
      <c r="AL65" s="516"/>
      <c r="AM65" s="516"/>
      <c r="AN65" s="516"/>
      <c r="AO65" s="516"/>
      <c r="AP65" s="516"/>
      <c r="AQ65" s="516"/>
      <c r="AR65" s="516"/>
      <c r="AS65" s="516"/>
      <c r="AT65" s="516"/>
      <c r="AU65" s="516"/>
      <c r="AV65" s="516"/>
      <c r="AW65" s="516"/>
      <c r="AX65" s="516"/>
      <c r="AY65" s="516"/>
      <c r="AZ65" s="516"/>
    </row>
    <row r="66" spans="1:52" ht="14" x14ac:dyDescent="0.15">
      <c r="A66" s="270" t="str">
        <f>'Tariffs Jan2021'!F60</f>
        <v>Momentum Energy</v>
      </c>
      <c r="B66" s="40" t="str">
        <f>'Tariffs Jan2021'!D60</f>
        <v>AGN Central 2</v>
      </c>
      <c r="C66" s="40" t="str">
        <f>'Tariffs Jan2021'!G60</f>
        <v>Market offer</v>
      </c>
      <c r="D66" s="59">
        <f>365*'Tariffs Jan2021'!H60/100</f>
        <v>289.08</v>
      </c>
      <c r="E66" s="59">
        <f>IF($C$5*'Tariffs Jan2021'!AK60/'Tariffs Jan2021'!AI60&gt;='Tariffs Jan2021'!J60,( 'Tariffs Jan2021'!J60*'Tariffs Jan2021'!O60/100)* 'Tariffs Jan2021'!AI60,($C$5*'Tariffs Jan2021'!AK60/'Tariffs Jan2021'!AI60*'Tariffs Jan2021'!O60/100)* 'Tariffs Jan2021'!AI60)</f>
        <v>88.83</v>
      </c>
      <c r="F66" s="59">
        <f>IF($C$5*'Tariffs Jan2021'!AK60/'Tariffs Jan2021'!AI60&lt;'Tariffs Jan2021'!J60,0,IF($C$5*'Tariffs Jan2021'!AK60/'Tariffs Jan2021'!AI60&lt;='Tariffs Jan2021'!K60,($C$5*'Tariffs Jan2021'!AK60/'Tariffs Jan2021'!AI60-'Tariffs Jan2021'!J60)*('Tariffs Jan2021'!P60/100)*'Tariffs Jan2021'!AI60,('Tariffs Jan2021'!K60-'Tariffs Jan2021'!J60)*('Tariffs Jan2021'!P60/100)*'Tariffs Jan2021'!AI60))</f>
        <v>62.33</v>
      </c>
      <c r="G66" s="59">
        <f>IF($C$5*'Tariffs Jan2021'!AK60/'Tariffs Jan2021'!AI60&lt;'Tariffs Jan2021'!K60,0,IF($C$5*'Tariffs Jan2021'!AK60/'Tariffs Jan2021'!AI60&lt;='Tariffs Jan2021'!L60,($C$5*'Tariffs Jan2021'!AK60/'Tariffs Jan2021'!AI60-'Tariffs Jan2021'!K60)*('Tariffs Jan2021'!Q60/100)*'Tariffs Jan2021'!AI60,('Tariffs Jan2021'!L60-'Tariffs Jan2021'!K60)*('Tariffs Jan2021'!Q60/100)*'Tariffs Jan2021'!AI60))</f>
        <v>0</v>
      </c>
      <c r="H66" s="59">
        <f>IF($C$5*'Tariffs Jan2021'!AK60/'Tariffs Jan2021'!AI60&lt;'Tariffs Jan2021'!L60,0,IF($C$5*'Tariffs Jan2021'!AK60/'Tariffs Jan2021'!AI60&lt;='Tariffs Jan2021'!M60,($C$5*'Tariffs Jan2021'!AK60/'Tariffs Jan2021'!AI60-'Tariffs Jan2021'!L60)*('Tariffs Jan2021'!R60/100)*'Tariffs Jan2021'!AI60,('Tariffs Jan2021'!M60-'Tariffs Jan2021'!L60)*('Tariffs Jan2021'!R60/100)*'Tariffs Jan2021'!AI60))</f>
        <v>0</v>
      </c>
      <c r="I66" s="59">
        <f>IF(($C$5*'Tariffs Jan2021'!AK60/'Tariffs Jan2021'!AI60&gt;'Tariffs Jan2021'!M60),($C$5*'Tariffs Jan2021'!AK60/'Tariffs Jan2021'!AI60-'Tariffs Jan2021'!M60)*'Tariffs Jan2021'!S60/100*'Tariffs Jan2021'!AI60,0)</f>
        <v>299.95799999999997</v>
      </c>
      <c r="J66" s="59">
        <f>IF($C$5*'Tariffs Jan2021'!AL60/'Tariffs Jan2021'!AJ60&gt;='Tariffs Jan2021'!J60,('Tariffs Jan2021'!J60*'Tariffs Jan2021'!U60/100)* 'Tariffs Jan2021'!AJ60,($C$5*'Tariffs Jan2021'!AL60/'Tariffs Jan2021'!AJ60*'Tariffs Jan2021'!U60/100)* 'Tariffs Jan2021'!AJ60)</f>
        <v>164.5</v>
      </c>
      <c r="K66" s="59">
        <f>IF($C$5*'Tariffs Jan2021'!AL60/'Tariffs Jan2021'!AJ60&lt;'Tariffs Jan2021'!J60,0,IF($C$5*'Tariffs Jan2021'!AL60/'Tariffs Jan2021'!AJ60&lt;='Tariffs Jan2021'!K60,($C$5*'Tariffs Jan2021'!AL60/'Tariffs Jan2021'!AJ60-'Tariffs Jan2021'!J60)*('Tariffs Jan2021'!V60/100)*'Tariffs Jan2021'!AJ60,('Tariffs Jan2021'!K60-'Tariffs Jan2021'!J60)*('Tariffs Jan2021'!V60/100)*'Tariffs Jan2021'!AJ60))</f>
        <v>113.82000000000001</v>
      </c>
      <c r="L66" s="59">
        <f>IF($C$5*'Tariffs Jan2021'!AL60/'Tariffs Jan2021'!AJ60&lt;'Tariffs Jan2021'!K60,0,IF($C$5*'Tariffs Jan2021'!AL60/'Tariffs Jan2021'!AJ60&lt;='Tariffs Jan2021'!L60,($C$5*'Tariffs Jan2021'!AL60/'Tariffs Jan2021'!AJ60-'Tariffs Jan2021'!K60)*('Tariffs Jan2021'!W60/100)*'Tariffs Jan2021'!AJ60,('Tariffs Jan2021'!L60-'Tariffs Jan2021'!K60)*('Tariffs Jan2021'!W60/100)*'Tariffs Jan2021'!AJ60))</f>
        <v>0</v>
      </c>
      <c r="M66" s="59">
        <f>IF($C$5*'Tariffs Jan2021'!AL60/'Tariffs Jan2021'!AJ60&lt;'Tariffs Jan2021'!L60,0,IF($C$5*'Tariffs Jan2021'!AL60/'Tariffs Jan2021'!AJ60&lt;='Tariffs Jan2021'!M60,($C$5*'Tariffs Jan2021'!AL60/'Tariffs Jan2021'!AJ60-'Tariffs Jan2021'!L60)*('Tariffs Jan2021'!X60/100)*'Tariffs Jan2021'!AJ60,('Tariffs Jan2021'!M60-'Tariffs Jan2021'!L60)*('Tariffs Jan2021'!X60/100)*'Tariffs Jan2021'!AJ60))</f>
        <v>0</v>
      </c>
      <c r="N66" s="59">
        <f>IF(($C$5*'Tariffs Jan2021'!AL60/'Tariffs Jan2021'!AJ60&gt;'Tariffs Jan2021'!M60),($C$5*'Tariffs Jan2021'!AL60/'Tariffs Jan2021'!AJ60-'Tariffs Jan2021'!M60)*'Tariffs Jan2021'!Y60/100*'Tariffs Jan2021'!AJ60,0)</f>
        <v>539.92439999999988</v>
      </c>
      <c r="O66" s="59">
        <f t="shared" si="1"/>
        <v>1269.3624</v>
      </c>
      <c r="P66" s="503">
        <f t="shared" si="2"/>
        <v>1396.29864</v>
      </c>
      <c r="Q66" s="59">
        <f t="shared" si="3"/>
        <v>1558.4423999999999</v>
      </c>
      <c r="R66" s="272">
        <f t="shared" si="4"/>
        <v>1714.28664</v>
      </c>
      <c r="S66" s="40">
        <f>'Tariffs Jan2021'!AN60</f>
        <v>0</v>
      </c>
      <c r="T66" s="40">
        <f>'Tariffs Jan2021'!AO60</f>
        <v>0</v>
      </c>
      <c r="U66" s="40">
        <f>'Tariffs Jan2021'!AP60</f>
        <v>0</v>
      </c>
      <c r="V66" s="40">
        <f>'Tariffs Jan2021'!AQ60</f>
        <v>0</v>
      </c>
      <c r="W66" s="537" t="str">
        <f t="shared" si="46"/>
        <v>No discount</v>
      </c>
      <c r="X66" s="538" t="str">
        <f t="shared" si="47"/>
        <v>Exclusive</v>
      </c>
      <c r="Y66" s="534">
        <f t="shared" ref="Y66" si="52">IF(AND(W66="Guaranteed off bill",X66="Inclusive"),((Q66*1.1)-((Q66*1.1)*S66/100))/1.1,IF(AND(W66="Guaranteed off usage",X66="Inclusive"),((Q66*1.1)-((P66*1.1)*T66/100))/1.1,IF(AND(W66="Guaranteed off bill",X66="Exclusive"),Q66-(Q66*S66/100),IF(AND(W66="Guaranteed off usage",X66="Exclusive"),Q66-(P66*T66/100),IF(X66="Inclusive",((Q66*1.1))/1.1,Q66)))))</f>
        <v>1558.4423999999999</v>
      </c>
      <c r="Z66" s="535">
        <f t="shared" ref="Z66" si="53">IF(AND(W66="Pay-on-time off bill",X66="Inclusive"),((Y66*1.1)-((Y66*1.1)*U66/100))/1.1,IF(AND(W66="Pay-on-time off usage",X66="Inclusive"),((Y66*1.1)-((P66*1.1)*V66/100))/1.1,IF(AND(W66="Pay-on-time off bill",X66="Exclusive"),Y66-(Y66*U66/100),IF(AND(W66="Pay-on-time off usage",X66="Exclusive"),Y66-(P66*V66/100),IF(X66="Inclusive",((Y66*1.1))/1.1,Y66)))))</f>
        <v>1558.4423999999999</v>
      </c>
      <c r="AA66" s="542">
        <f t="shared" si="45"/>
        <v>1714.28664</v>
      </c>
      <c r="AB66" s="542">
        <f t="shared" si="45"/>
        <v>1714.28664</v>
      </c>
      <c r="AC66" s="274">
        <f>'Tariffs Jan2021'!AZ60</f>
        <v>0</v>
      </c>
      <c r="AD66" s="274" t="str">
        <f>'Tariffs Jan2021'!BA60</f>
        <v>n</v>
      </c>
      <c r="AE66" s="275" t="str">
        <f>'Tariffs Jan2021'!BJ60</f>
        <v>N</v>
      </c>
      <c r="AF66" s="516"/>
      <c r="AG66" s="516"/>
      <c r="AH66" s="516"/>
      <c r="AI66" s="516"/>
      <c r="AJ66" s="516"/>
      <c r="AK66" s="516"/>
      <c r="AL66" s="516"/>
      <c r="AM66" s="516"/>
      <c r="AN66" s="516"/>
      <c r="AO66" s="516"/>
      <c r="AP66" s="516"/>
      <c r="AQ66" s="516"/>
      <c r="AR66" s="516"/>
      <c r="AS66" s="516"/>
      <c r="AT66" s="516"/>
      <c r="AU66" s="516"/>
      <c r="AV66" s="516"/>
      <c r="AW66" s="516"/>
      <c r="AX66" s="516"/>
      <c r="AY66" s="516"/>
      <c r="AZ66" s="516"/>
    </row>
    <row r="67" spans="1:52" ht="14" x14ac:dyDescent="0.15">
      <c r="A67" s="270" t="str">
        <f>'Tariffs Jan2021'!F61</f>
        <v>Origin Energy</v>
      </c>
      <c r="B67" s="40" t="str">
        <f>'Tariffs Jan2021'!D61</f>
        <v>AGN Central 2</v>
      </c>
      <c r="C67" s="40" t="str">
        <f>'Tariffs Jan2021'!G61</f>
        <v>Go</v>
      </c>
      <c r="D67" s="59">
        <f>365*'Tariffs Jan2021'!H61/100</f>
        <v>201.74545454545452</v>
      </c>
      <c r="E67" s="59">
        <f>IF($C$5*'Tariffs Jan2021'!AK61/'Tariffs Jan2021'!AI61&gt;='Tariffs Jan2021'!J61,( 'Tariffs Jan2021'!J61*'Tariffs Jan2021'!O61/100)* 'Tariffs Jan2021'!AI61,($C$5*'Tariffs Jan2021'!AK61/'Tariffs Jan2021'!AI61*'Tariffs Jan2021'!O61/100)* 'Tariffs Jan2021'!AI61)</f>
        <v>317.45454545454538</v>
      </c>
      <c r="F67" s="59">
        <f>IF($C$5*'Tariffs Jan2021'!AK61/'Tariffs Jan2021'!AI61&lt;'Tariffs Jan2021'!J61,0,IF($C$5*'Tariffs Jan2021'!AK61/'Tariffs Jan2021'!AI61&lt;='Tariffs Jan2021'!K61,($C$5*'Tariffs Jan2021'!AK61/'Tariffs Jan2021'!AI61-'Tariffs Jan2021'!J61)*('Tariffs Jan2021'!P61/100)*'Tariffs Jan2021'!AI61,('Tariffs Jan2021'!K61-'Tariffs Jan2021'!J61)*('Tariffs Jan2021'!P61/100)*'Tariffs Jan2021'!AI61))</f>
        <v>227.0454545454545</v>
      </c>
      <c r="G67" s="59">
        <f>IF($C$5*'Tariffs Jan2021'!AK61/'Tariffs Jan2021'!AI61&lt;'Tariffs Jan2021'!K61,0,IF($C$5*'Tariffs Jan2021'!AK61/'Tariffs Jan2021'!AI61&lt;='Tariffs Jan2021'!L61,($C$5*'Tariffs Jan2021'!AK61/'Tariffs Jan2021'!AI61-'Tariffs Jan2021'!K61)*('Tariffs Jan2021'!Q61/100)*'Tariffs Jan2021'!AI61,('Tariffs Jan2021'!L61-'Tariffs Jan2021'!K61)*('Tariffs Jan2021'!Q61/100)*'Tariffs Jan2021'!AI61))</f>
        <v>0</v>
      </c>
      <c r="H67" s="59">
        <f>IF($C$5*'Tariffs Jan2021'!AK61/'Tariffs Jan2021'!AI61&lt;'Tariffs Jan2021'!L61,0,IF($C$5*'Tariffs Jan2021'!AK61/'Tariffs Jan2021'!AI61&lt;='Tariffs Jan2021'!M61,($C$5*'Tariffs Jan2021'!AK61/'Tariffs Jan2021'!AI61-'Tariffs Jan2021'!L61)*('Tariffs Jan2021'!R61/100)*'Tariffs Jan2021'!AI61,('Tariffs Jan2021'!M61-'Tariffs Jan2021'!L61)*('Tariffs Jan2021'!R61/100)*'Tariffs Jan2021'!AI61))</f>
        <v>0</v>
      </c>
      <c r="I67" s="59">
        <f>IF(($C$5*'Tariffs Jan2021'!AK61/'Tariffs Jan2021'!AI61&gt;'Tariffs Jan2021'!M61),($C$5*'Tariffs Jan2021'!AK61/'Tariffs Jan2021'!AI61-'Tariffs Jan2021'!M61)*'Tariffs Jan2021'!S61/100*'Tariffs Jan2021'!AI61,0)</f>
        <v>0</v>
      </c>
      <c r="J67" s="59">
        <f>IF($C$5*'Tariffs Jan2021'!AL61/'Tariffs Jan2021'!AJ61&gt;='Tariffs Jan2021'!J61,('Tariffs Jan2021'!J61*'Tariffs Jan2021'!U61/100)* 'Tariffs Jan2021'!AJ61,($C$5*'Tariffs Jan2021'!AL61/'Tariffs Jan2021'!AJ61*'Tariffs Jan2021'!U61/100)* 'Tariffs Jan2021'!AJ61)</f>
        <v>317.45454545454538</v>
      </c>
      <c r="K67" s="59">
        <f>IF($C$5*'Tariffs Jan2021'!AL61/'Tariffs Jan2021'!AJ61&lt;'Tariffs Jan2021'!J61,0,IF($C$5*'Tariffs Jan2021'!AL61/'Tariffs Jan2021'!AJ61&lt;='Tariffs Jan2021'!K61,($C$5*'Tariffs Jan2021'!AL61/'Tariffs Jan2021'!AJ61-'Tariffs Jan2021'!J61)*('Tariffs Jan2021'!V61/100)*'Tariffs Jan2021'!AJ61,('Tariffs Jan2021'!K61-'Tariffs Jan2021'!J61)*('Tariffs Jan2021'!V61/100)*'Tariffs Jan2021'!AJ61))</f>
        <v>227.0454545454545</v>
      </c>
      <c r="L67" s="59">
        <f>IF($C$5*'Tariffs Jan2021'!AL61/'Tariffs Jan2021'!AJ61&lt;'Tariffs Jan2021'!K61,0,IF($C$5*'Tariffs Jan2021'!AL61/'Tariffs Jan2021'!AJ61&lt;='Tariffs Jan2021'!L61,($C$5*'Tariffs Jan2021'!AL61/'Tariffs Jan2021'!AJ61-'Tariffs Jan2021'!K61)*('Tariffs Jan2021'!W61/100)*'Tariffs Jan2021'!AJ61,('Tariffs Jan2021'!L61-'Tariffs Jan2021'!K61)*('Tariffs Jan2021'!W61/100)*'Tariffs Jan2021'!AJ61))</f>
        <v>0</v>
      </c>
      <c r="M67" s="59">
        <f>IF($C$5*'Tariffs Jan2021'!AL61/'Tariffs Jan2021'!AJ61&lt;'Tariffs Jan2021'!L61,0,IF($C$5*'Tariffs Jan2021'!AL61/'Tariffs Jan2021'!AJ61&lt;='Tariffs Jan2021'!M61,($C$5*'Tariffs Jan2021'!AL61/'Tariffs Jan2021'!AJ61-'Tariffs Jan2021'!L61)*('Tariffs Jan2021'!X61/100)*'Tariffs Jan2021'!AJ61,('Tariffs Jan2021'!M61-'Tariffs Jan2021'!L61)*('Tariffs Jan2021'!X61/100)*'Tariffs Jan2021'!AJ61))</f>
        <v>0</v>
      </c>
      <c r="N67" s="59">
        <f>IF(($C$5*'Tariffs Jan2021'!AL61/'Tariffs Jan2021'!AJ61&gt;'Tariffs Jan2021'!M61),($C$5*'Tariffs Jan2021'!AL61/'Tariffs Jan2021'!AJ61-'Tariffs Jan2021'!M61)*'Tariffs Jan2021'!Y61/100*'Tariffs Jan2021'!AJ61,0)</f>
        <v>0</v>
      </c>
      <c r="O67" s="59">
        <f t="shared" si="1"/>
        <v>1088.9999999999998</v>
      </c>
      <c r="P67" s="503">
        <f t="shared" si="2"/>
        <v>1197.8999999999999</v>
      </c>
      <c r="Q67" s="59">
        <f t="shared" si="3"/>
        <v>1290.7454545454543</v>
      </c>
      <c r="R67" s="272">
        <f t="shared" si="4"/>
        <v>1419.82</v>
      </c>
      <c r="S67" s="40">
        <f>'Tariffs Jan2021'!AN61</f>
        <v>0</v>
      </c>
      <c r="T67" s="40">
        <f>'Tariffs Jan2021'!AO61</f>
        <v>0</v>
      </c>
      <c r="U67" s="40">
        <f>'Tariffs Jan2021'!AP61</f>
        <v>0</v>
      </c>
      <c r="V67" s="40">
        <f>'Tariffs Jan2021'!AQ61</f>
        <v>0</v>
      </c>
      <c r="W67" s="537" t="str">
        <f t="shared" si="46"/>
        <v>No discount</v>
      </c>
      <c r="X67" s="538" t="str">
        <f t="shared" si="47"/>
        <v>Inclusive</v>
      </c>
      <c r="Y67" s="534">
        <f>IF(AND(W67="Guaranteed off bill",X67="Inclusive"),((Q67*1.1)-((Q67*1.1)*S67/100))/1.1,IF(AND(W67="Guaranteed off usage",X67="Inclusive"),((Q67*1.1)-((P67*1.1)*T67/100))/1.1,IF(AND(W67="Guaranteed off bill",X67="Exclusive"),Q67-(Q67*S67/100),IF(AND(W67="Guaranteed off usage",X67="Exclusive"),Q67-(P67*T67/100),IF(X67="Inclusive",((Q67*1.1))/1.1,Q67)))))</f>
        <v>1290.7454545454543</v>
      </c>
      <c r="Z67" s="535">
        <f>IF(AND(W67="Pay-on-time off bill",X67="Inclusive"),((Y67*1.1)-((Y67*1.1)*U67/100))/1.1,IF(AND(W67="Pay-on-time off usage",X67="Inclusive"),((Y67*1.1)-((P67*1.1)*V67/100))/1.1,IF(AND(W67="Pay-on-time off bill",X67="Exclusive"),Y67-(Y67*U67/100),IF(AND(W67="Pay-on-time off usage",X67="Exclusive"),Y67-(P67*V67/100),IF(X67="Inclusive",((Y67*1.1))/1.1,Y67)))))</f>
        <v>1290.7454545454543</v>
      </c>
      <c r="AA67" s="542">
        <f t="shared" si="45"/>
        <v>1419.82</v>
      </c>
      <c r="AB67" s="542">
        <f t="shared" si="45"/>
        <v>1419.82</v>
      </c>
      <c r="AC67" s="274">
        <f>'Tariffs Jan2021'!AZ61</f>
        <v>0</v>
      </c>
      <c r="AD67" s="274" t="str">
        <f>'Tariffs Jan2021'!BA61</f>
        <v>n</v>
      </c>
      <c r="AE67" s="275" t="str">
        <f>'Tariffs Jan2021'!BJ61</f>
        <v>N</v>
      </c>
      <c r="AF67" s="516"/>
      <c r="AG67" s="516"/>
      <c r="AH67" s="516"/>
      <c r="AI67" s="516"/>
      <c r="AJ67" s="516"/>
      <c r="AK67" s="516"/>
      <c r="AL67" s="516"/>
      <c r="AM67" s="516"/>
      <c r="AN67" s="516"/>
      <c r="AO67" s="516"/>
      <c r="AP67" s="516"/>
      <c r="AQ67" s="516"/>
      <c r="AR67" s="516"/>
      <c r="AS67" s="516"/>
      <c r="AT67" s="516"/>
      <c r="AU67" s="516"/>
      <c r="AV67" s="516"/>
      <c r="AW67" s="516"/>
      <c r="AX67" s="516"/>
      <c r="AY67" s="516"/>
      <c r="AZ67" s="516"/>
    </row>
    <row r="68" spans="1:52" ht="14" x14ac:dyDescent="0.15">
      <c r="A68" s="270" t="str">
        <f>'Tariffs Jan2021'!F62</f>
        <v>Red Energy</v>
      </c>
      <c r="B68" s="40" t="str">
        <f>'Tariffs Jan2021'!D62</f>
        <v>AGN Central 2</v>
      </c>
      <c r="C68" s="40" t="str">
        <f>'Tariffs Jan2021'!G62</f>
        <v>Living Energy Saver</v>
      </c>
      <c r="D68" s="59">
        <f>365*'Tariffs Jan2021'!H62/100</f>
        <v>239.14136363636356</v>
      </c>
      <c r="E68" s="59">
        <f>IF($C$5*'Tariffs Jan2021'!AK62/'Tariffs Jan2021'!AI62&gt;='Tariffs Jan2021'!J62,( 'Tariffs Jan2021'!J62*'Tariffs Jan2021'!O62/100)* 'Tariffs Jan2021'!AI62,($C$5*'Tariffs Jan2021'!AK62/'Tariffs Jan2021'!AI62*'Tariffs Jan2021'!O62/100)* 'Tariffs Jan2021'!AI62)</f>
        <v>118.88863636363635</v>
      </c>
      <c r="F68" s="59">
        <f>IF($C$5*'Tariffs Jan2021'!AK62/'Tariffs Jan2021'!AI62&lt;'Tariffs Jan2021'!J62,0,IF($C$5*'Tariffs Jan2021'!AK62/'Tariffs Jan2021'!AI62&lt;='Tariffs Jan2021'!K62,($C$5*'Tariffs Jan2021'!AK62/'Tariffs Jan2021'!AI62-'Tariffs Jan2021'!J62)*('Tariffs Jan2021'!P62/100)*'Tariffs Jan2021'!AI62,('Tariffs Jan2021'!K62-'Tariffs Jan2021'!J62)*('Tariffs Jan2021'!P62/100)*'Tariffs Jan2021'!AI62))</f>
        <v>93.125454545454545</v>
      </c>
      <c r="G68" s="59">
        <f>IF($C$5*'Tariffs Jan2021'!AK62/'Tariffs Jan2021'!AI62&lt;'Tariffs Jan2021'!K62,0,IF($C$5*'Tariffs Jan2021'!AK62/'Tariffs Jan2021'!AI62&lt;='Tariffs Jan2021'!L62,($C$5*'Tariffs Jan2021'!AK62/'Tariffs Jan2021'!AI62-'Tariffs Jan2021'!K62)*('Tariffs Jan2021'!Q62/100)*'Tariffs Jan2021'!AI62,('Tariffs Jan2021'!L62-'Tariffs Jan2021'!K62)*('Tariffs Jan2021'!Q62/100)*'Tariffs Jan2021'!AI62))</f>
        <v>0</v>
      </c>
      <c r="H68" s="59">
        <f>IF($C$5*'Tariffs Jan2021'!AK62/'Tariffs Jan2021'!AI62&lt;'Tariffs Jan2021'!L62,0,IF($C$5*'Tariffs Jan2021'!AK62/'Tariffs Jan2021'!AI62&lt;='Tariffs Jan2021'!M62,($C$5*'Tariffs Jan2021'!AK62/'Tariffs Jan2021'!AI62-'Tariffs Jan2021'!L62)*('Tariffs Jan2021'!R62/100)*'Tariffs Jan2021'!AI62,('Tariffs Jan2021'!M62-'Tariffs Jan2021'!L62)*('Tariffs Jan2021'!R62/100)*'Tariffs Jan2021'!AI62))</f>
        <v>0</v>
      </c>
      <c r="I68" s="59">
        <f>IF(($C$5*'Tariffs Jan2021'!AK62/'Tariffs Jan2021'!AI62&gt;'Tariffs Jan2021'!M62),($C$5*'Tariffs Jan2021'!AK62/'Tariffs Jan2021'!AI62-'Tariffs Jan2021'!M62)*'Tariffs Jan2021'!S62/100*'Tariffs Jan2021'!AI62,0)</f>
        <v>370.22727272727275</v>
      </c>
      <c r="J68" s="59">
        <f>IF($C$5*'Tariffs Jan2021'!AL62/'Tariffs Jan2021'!AJ62&gt;='Tariffs Jan2021'!J62,('Tariffs Jan2021'!J62*'Tariffs Jan2021'!U62/100)* 'Tariffs Jan2021'!AJ62,($C$5*'Tariffs Jan2021'!AL62/'Tariffs Jan2021'!AJ62*'Tariffs Jan2021'!U62/100)* 'Tariffs Jan2021'!AJ62)</f>
        <v>118.88863636363635</v>
      </c>
      <c r="K68" s="59">
        <f>IF($C$5*'Tariffs Jan2021'!AL62/'Tariffs Jan2021'!AJ62&lt;'Tariffs Jan2021'!J62,0,IF($C$5*'Tariffs Jan2021'!AL62/'Tariffs Jan2021'!AJ62&lt;='Tariffs Jan2021'!K62,($C$5*'Tariffs Jan2021'!AL62/'Tariffs Jan2021'!AJ62-'Tariffs Jan2021'!J62)*('Tariffs Jan2021'!V62/100)*'Tariffs Jan2021'!AJ62,('Tariffs Jan2021'!K62-'Tariffs Jan2021'!J62)*('Tariffs Jan2021'!V62/100)*'Tariffs Jan2021'!AJ62))</f>
        <v>93.125454545454545</v>
      </c>
      <c r="L68" s="59">
        <f>IF($C$5*'Tariffs Jan2021'!AL62/'Tariffs Jan2021'!AJ62&lt;'Tariffs Jan2021'!K62,0,IF($C$5*'Tariffs Jan2021'!AL62/'Tariffs Jan2021'!AJ62&lt;='Tariffs Jan2021'!L62,($C$5*'Tariffs Jan2021'!AL62/'Tariffs Jan2021'!AJ62-'Tariffs Jan2021'!K62)*('Tariffs Jan2021'!W62/100)*'Tariffs Jan2021'!AJ62,('Tariffs Jan2021'!L62-'Tariffs Jan2021'!K62)*('Tariffs Jan2021'!W62/100)*'Tariffs Jan2021'!AJ62))</f>
        <v>0</v>
      </c>
      <c r="M68" s="59">
        <f>IF($C$5*'Tariffs Jan2021'!AL62/'Tariffs Jan2021'!AJ62&lt;'Tariffs Jan2021'!L62,0,IF($C$5*'Tariffs Jan2021'!AL62/'Tariffs Jan2021'!AJ62&lt;='Tariffs Jan2021'!M62,($C$5*'Tariffs Jan2021'!AL62/'Tariffs Jan2021'!AJ62-'Tariffs Jan2021'!L62)*('Tariffs Jan2021'!X62/100)*'Tariffs Jan2021'!AJ62,('Tariffs Jan2021'!M62-'Tariffs Jan2021'!L62)*('Tariffs Jan2021'!X62/100)*'Tariffs Jan2021'!AJ62))</f>
        <v>0</v>
      </c>
      <c r="N68" s="59">
        <f>IF(($C$5*'Tariffs Jan2021'!AL62/'Tariffs Jan2021'!AJ62&gt;'Tariffs Jan2021'!M62),($C$5*'Tariffs Jan2021'!AL62/'Tariffs Jan2021'!AJ62-'Tariffs Jan2021'!M62)*'Tariffs Jan2021'!Y62/100*'Tariffs Jan2021'!AJ62,0)</f>
        <v>370.22727272727275</v>
      </c>
      <c r="O68" s="59">
        <f>SUM(E68:N68)</f>
        <v>1164.4827272727273</v>
      </c>
      <c r="P68" s="503">
        <f t="shared" si="2"/>
        <v>1280.931</v>
      </c>
      <c r="Q68" s="59">
        <f>D68+O68</f>
        <v>1403.6240909090909</v>
      </c>
      <c r="R68" s="272">
        <f>Q68*1.1</f>
        <v>1543.9865000000002</v>
      </c>
      <c r="S68" s="40">
        <f>'Tariffs Jan2021'!AN62</f>
        <v>0</v>
      </c>
      <c r="T68" s="40">
        <f>'Tariffs Jan2021'!AO62</f>
        <v>0</v>
      </c>
      <c r="U68" s="40">
        <f>'Tariffs Jan2021'!AP62</f>
        <v>0</v>
      </c>
      <c r="V68" s="40">
        <f>'Tariffs Jan2021'!AQ62</f>
        <v>0</v>
      </c>
      <c r="W68" s="537" t="str">
        <f t="shared" si="46"/>
        <v>No discount</v>
      </c>
      <c r="X68" s="538" t="str">
        <f t="shared" si="47"/>
        <v>Inclusive</v>
      </c>
      <c r="Y68" s="534">
        <f t="shared" ref="Y68:Y71" si="54">IF(AND(W68="Guaranteed off bill",X68="Inclusive"),((Q68*1.1)-((Q68*1.1)*S68/100))/1.1,IF(AND(W68="Guaranteed off usage",X68="Inclusive"),((Q68*1.1)-((P68*1.1)*T68/100))/1.1,IF(AND(W68="Guaranteed off bill",X68="Exclusive"),Q68-(Q68*S68/100),IF(AND(W68="Guaranteed off usage",X68="Exclusive"),Q68-(P68*T68/100),IF(X68="Inclusive",((Q68*1.1))/1.1,Q68)))))</f>
        <v>1403.6240909090909</v>
      </c>
      <c r="Z68" s="535">
        <f t="shared" ref="Z68:Z71" si="55">IF(AND(W68="Pay-on-time off bill",X68="Inclusive"),((Y68*1.1)-((Y68*1.1)*U68/100))/1.1,IF(AND(W68="Pay-on-time off usage",X68="Inclusive"),((Y68*1.1)-((P68*1.1)*V68/100))/1.1,IF(AND(W68="Pay-on-time off bill",X68="Exclusive"),Y68-(Y68*U68/100),IF(AND(W68="Pay-on-time off usage",X68="Exclusive"),Y68-(P68*V68/100),IF(X68="Inclusive",((Y68*1.1))/1.1,Y68)))))</f>
        <v>1403.6240909090909</v>
      </c>
      <c r="AA68" s="542">
        <f t="shared" si="45"/>
        <v>1543.9865000000002</v>
      </c>
      <c r="AB68" s="542">
        <f t="shared" si="45"/>
        <v>1543.9865000000002</v>
      </c>
      <c r="AC68" s="274">
        <f>'Tariffs Jan2021'!AZ62</f>
        <v>0</v>
      </c>
      <c r="AD68" s="274" t="str">
        <f>'Tariffs Jan2021'!BA62</f>
        <v>n</v>
      </c>
      <c r="AE68" s="275" t="str">
        <f>'Tariffs Jan2021'!BJ62</f>
        <v>N</v>
      </c>
      <c r="AF68" s="516"/>
      <c r="AG68" s="516"/>
      <c r="AH68" s="516"/>
      <c r="AI68" s="516"/>
      <c r="AJ68" s="516"/>
      <c r="AK68" s="516"/>
      <c r="AL68" s="516"/>
      <c r="AM68" s="516"/>
      <c r="AN68" s="516"/>
      <c r="AO68" s="516"/>
      <c r="AP68" s="516"/>
      <c r="AQ68" s="516"/>
      <c r="AR68" s="516"/>
      <c r="AS68" s="516"/>
      <c r="AT68" s="516"/>
      <c r="AU68" s="516"/>
      <c r="AV68" s="516"/>
      <c r="AW68" s="516"/>
      <c r="AX68" s="516"/>
      <c r="AY68" s="516"/>
      <c r="AZ68" s="516"/>
    </row>
    <row r="69" spans="1:52" ht="14" x14ac:dyDescent="0.15">
      <c r="A69" s="270" t="str">
        <f>'Tariffs Jan2021'!F63</f>
        <v>Simply Energy</v>
      </c>
      <c r="B69" s="40" t="str">
        <f>'Tariffs Jan2021'!D63</f>
        <v>AGN Central 2</v>
      </c>
      <c r="C69" s="40" t="str">
        <f>'Tariffs Jan2021'!G63</f>
        <v>Blue</v>
      </c>
      <c r="D69" s="59">
        <f>365*'Tariffs Jan2021'!H63/100</f>
        <v>255.13499999999996</v>
      </c>
      <c r="E69" s="59">
        <f>IF($C$5*'Tariffs Jan2021'!AK63/'Tariffs Jan2021'!AI63&gt;='Tariffs Jan2021'!J63,( 'Tariffs Jan2021'!J63*'Tariffs Jan2021'!O63/100)* 'Tariffs Jan2021'!AI63,($C$5*'Tariffs Jan2021'!AK63/'Tariffs Jan2021'!AI63*'Tariffs Jan2021'!O63/100)* 'Tariffs Jan2021'!AI63)</f>
        <v>146.70409090909092</v>
      </c>
      <c r="F69" s="59">
        <f>IF($C$5*'Tariffs Jan2021'!AK63/'Tariffs Jan2021'!AI63&lt;'Tariffs Jan2021'!J63,0,IF($C$5*'Tariffs Jan2021'!AK63/'Tariffs Jan2021'!AI63&lt;='Tariffs Jan2021'!K63,($C$5*'Tariffs Jan2021'!AK63/'Tariffs Jan2021'!AI63-'Tariffs Jan2021'!J63)*('Tariffs Jan2021'!P63/100)*'Tariffs Jan2021'!AI63,('Tariffs Jan2021'!K63-'Tariffs Jan2021'!J63)*('Tariffs Jan2021'!P63/100)*'Tariffs Jan2021'!AI63))</f>
        <v>95.712272727272705</v>
      </c>
      <c r="G69" s="59">
        <f>IF($C$5*'Tariffs Jan2021'!AK63/'Tariffs Jan2021'!AI63&lt;'Tariffs Jan2021'!K63,0,IF($C$5*'Tariffs Jan2021'!AK63/'Tariffs Jan2021'!AI63&lt;='Tariffs Jan2021'!L63,($C$5*'Tariffs Jan2021'!AK63/'Tariffs Jan2021'!AI63-'Tariffs Jan2021'!K63)*('Tariffs Jan2021'!Q63/100)*'Tariffs Jan2021'!AI63,('Tariffs Jan2021'!L63-'Tariffs Jan2021'!K63)*('Tariffs Jan2021'!Q63/100)*'Tariffs Jan2021'!AI63))</f>
        <v>0</v>
      </c>
      <c r="H69" s="59">
        <f>IF($C$5*'Tariffs Jan2021'!AK63/'Tariffs Jan2021'!AI63&lt;'Tariffs Jan2021'!L63,0,IF($C$5*'Tariffs Jan2021'!AK63/'Tariffs Jan2021'!AI63&lt;='Tariffs Jan2021'!M63,($C$5*'Tariffs Jan2021'!AK63/'Tariffs Jan2021'!AI63-'Tariffs Jan2021'!L63)*('Tariffs Jan2021'!R63/100)*'Tariffs Jan2021'!AI63,('Tariffs Jan2021'!M63-'Tariffs Jan2021'!L63)*('Tariffs Jan2021'!R63/100)*'Tariffs Jan2021'!AI63))</f>
        <v>0</v>
      </c>
      <c r="I69" s="59">
        <f>IF(($C$5*'Tariffs Jan2021'!AK63/'Tariffs Jan2021'!AI63&gt;'Tariffs Jan2021'!M63),($C$5*'Tariffs Jan2021'!AK63/'Tariffs Jan2021'!AI63-'Tariffs Jan2021'!M63)*'Tariffs Jan2021'!S63/100*'Tariffs Jan2021'!AI63,0)</f>
        <v>445.90909090909088</v>
      </c>
      <c r="J69" s="59">
        <f>IF($C$5*'Tariffs Jan2021'!AL63/'Tariffs Jan2021'!AJ63&gt;='Tariffs Jan2021'!J63,('Tariffs Jan2021'!J63*'Tariffs Jan2021'!U63/100)* 'Tariffs Jan2021'!AJ63,($C$5*'Tariffs Jan2021'!AL63/'Tariffs Jan2021'!AJ63*'Tariffs Jan2021'!U63/100)* 'Tariffs Jan2021'!AJ63)</f>
        <v>146.70409090909092</v>
      </c>
      <c r="K69" s="59">
        <f>IF($C$5*'Tariffs Jan2021'!AL63/'Tariffs Jan2021'!AJ63&lt;'Tariffs Jan2021'!J63,0,IF($C$5*'Tariffs Jan2021'!AL63/'Tariffs Jan2021'!AJ63&lt;='Tariffs Jan2021'!K63,($C$5*'Tariffs Jan2021'!AL63/'Tariffs Jan2021'!AJ63-'Tariffs Jan2021'!J63)*('Tariffs Jan2021'!V63/100)*'Tariffs Jan2021'!AJ63,('Tariffs Jan2021'!K63-'Tariffs Jan2021'!J63)*('Tariffs Jan2021'!V63/100)*'Tariffs Jan2021'!AJ63))</f>
        <v>95.712272727272705</v>
      </c>
      <c r="L69" s="59">
        <f>IF($C$5*'Tariffs Jan2021'!AL63/'Tariffs Jan2021'!AJ63&lt;'Tariffs Jan2021'!K63,0,IF($C$5*'Tariffs Jan2021'!AL63/'Tariffs Jan2021'!AJ63&lt;='Tariffs Jan2021'!L63,($C$5*'Tariffs Jan2021'!AL63/'Tariffs Jan2021'!AJ63-'Tariffs Jan2021'!K63)*('Tariffs Jan2021'!W63/100)*'Tariffs Jan2021'!AJ63,('Tariffs Jan2021'!L63-'Tariffs Jan2021'!K63)*('Tariffs Jan2021'!W63/100)*'Tariffs Jan2021'!AJ63))</f>
        <v>0</v>
      </c>
      <c r="M69" s="59">
        <f>IF($C$5*'Tariffs Jan2021'!AL63/'Tariffs Jan2021'!AJ63&lt;'Tariffs Jan2021'!L63,0,IF($C$5*'Tariffs Jan2021'!AL63/'Tariffs Jan2021'!AJ63&lt;='Tariffs Jan2021'!M63,($C$5*'Tariffs Jan2021'!AL63/'Tariffs Jan2021'!AJ63-'Tariffs Jan2021'!L63)*('Tariffs Jan2021'!X63/100)*'Tariffs Jan2021'!AJ63,('Tariffs Jan2021'!M63-'Tariffs Jan2021'!L63)*('Tariffs Jan2021'!X63/100)*'Tariffs Jan2021'!AJ63))</f>
        <v>0</v>
      </c>
      <c r="N69" s="59">
        <f>IF(($C$5*'Tariffs Jan2021'!AL63/'Tariffs Jan2021'!AJ63&gt;'Tariffs Jan2021'!M63),($C$5*'Tariffs Jan2021'!AL63/'Tariffs Jan2021'!AJ63-'Tariffs Jan2021'!M63)*'Tariffs Jan2021'!Y63/100*'Tariffs Jan2021'!AJ63,0)</f>
        <v>445.90909090909088</v>
      </c>
      <c r="O69" s="59">
        <f t="shared" si="1"/>
        <v>1376.650909090909</v>
      </c>
      <c r="P69" s="503">
        <f t="shared" si="2"/>
        <v>1514.316</v>
      </c>
      <c r="Q69" s="59">
        <f t="shared" si="3"/>
        <v>1631.7859090909089</v>
      </c>
      <c r="R69" s="272">
        <f t="shared" si="4"/>
        <v>1794.9645</v>
      </c>
      <c r="S69" s="40">
        <f>'Tariffs Jan2021'!AN63</f>
        <v>21</v>
      </c>
      <c r="T69" s="40">
        <f>'Tariffs Jan2021'!AO63</f>
        <v>0</v>
      </c>
      <c r="U69" s="40">
        <f>'Tariffs Jan2021'!AP63</f>
        <v>0</v>
      </c>
      <c r="V69" s="40">
        <f>'Tariffs Jan2021'!AQ63</f>
        <v>0</v>
      </c>
      <c r="W69" s="537" t="str">
        <f t="shared" si="46"/>
        <v>Guaranteed off bill</v>
      </c>
      <c r="X69" s="538" t="str">
        <f t="shared" si="47"/>
        <v>Exclusive</v>
      </c>
      <c r="Y69" s="534">
        <f t="shared" si="54"/>
        <v>1289.110868181818</v>
      </c>
      <c r="Z69" s="535">
        <f t="shared" si="55"/>
        <v>1289.110868181818</v>
      </c>
      <c r="AA69" s="542">
        <f t="shared" si="45"/>
        <v>1418.0219549999999</v>
      </c>
      <c r="AB69" s="542">
        <f t="shared" si="45"/>
        <v>1418.0219549999999</v>
      </c>
      <c r="AC69" s="274">
        <f>'Tariffs Jan2021'!AZ63</f>
        <v>0</v>
      </c>
      <c r="AD69" s="274" t="str">
        <f>'Tariffs Jan2021'!BA63</f>
        <v>n</v>
      </c>
      <c r="AE69" s="275" t="str">
        <f>'Tariffs Jan2021'!BJ63</f>
        <v>N</v>
      </c>
      <c r="AF69" s="516"/>
      <c r="AG69" s="516"/>
      <c r="AH69" s="516"/>
      <c r="AI69" s="516"/>
      <c r="AJ69" s="516"/>
      <c r="AK69" s="516"/>
      <c r="AL69" s="516"/>
      <c r="AM69" s="516"/>
      <c r="AN69" s="516"/>
      <c r="AO69" s="516"/>
      <c r="AP69" s="516"/>
      <c r="AQ69" s="516"/>
      <c r="AR69" s="516"/>
      <c r="AS69" s="516"/>
      <c r="AT69" s="516"/>
      <c r="AU69" s="516"/>
      <c r="AV69" s="516"/>
      <c r="AW69" s="516"/>
      <c r="AX69" s="516"/>
      <c r="AY69" s="516"/>
      <c r="AZ69" s="516"/>
    </row>
    <row r="70" spans="1:52" ht="14" x14ac:dyDescent="0.15">
      <c r="A70" s="270" t="str">
        <f>'Tariffs Jan2021'!F64</f>
        <v>Sumo Power</v>
      </c>
      <c r="B70" s="40" t="str">
        <f>'Tariffs Jan2021'!D64</f>
        <v>AGN Central 2</v>
      </c>
      <c r="C70" s="40" t="str">
        <f>'Tariffs Jan2021'!G64</f>
        <v>Freedom</v>
      </c>
      <c r="D70" s="59">
        <f>365*'Tariffs Jan2021'!H64/100</f>
        <v>273.75</v>
      </c>
      <c r="E70" s="59">
        <f>IF($C$5*'Tariffs Jan2021'!AK64/'Tariffs Jan2021'!AI64&gt;='Tariffs Jan2021'!J64,( 'Tariffs Jan2021'!J64*'Tariffs Jan2021'!O64/100)* 'Tariffs Jan2021'!AI64,($C$5*'Tariffs Jan2021'!AK64/'Tariffs Jan2021'!AI64*'Tariffs Jan2021'!O64/100)* 'Tariffs Jan2021'!AI64)</f>
        <v>110.36454545454546</v>
      </c>
      <c r="F70" s="59">
        <f>IF($C$5*'Tariffs Jan2021'!AK64/'Tariffs Jan2021'!AI64&lt;'Tariffs Jan2021'!J64,0,IF($C$5*'Tariffs Jan2021'!AK64/'Tariffs Jan2021'!AI64&lt;='Tariffs Jan2021'!K64,($C$5*'Tariffs Jan2021'!AK64/'Tariffs Jan2021'!AI64-'Tariffs Jan2021'!J64)*('Tariffs Jan2021'!P64/100)*'Tariffs Jan2021'!AI64,('Tariffs Jan2021'!K64-'Tariffs Jan2021'!J64)*('Tariffs Jan2021'!P64/100)*'Tariffs Jan2021'!AI64))</f>
        <v>88.690909090909088</v>
      </c>
      <c r="G70" s="59">
        <f>IF($C$5*'Tariffs Jan2021'!AK64/'Tariffs Jan2021'!AI64&lt;'Tariffs Jan2021'!K64,0,IF($C$5*'Tariffs Jan2021'!AK64/'Tariffs Jan2021'!AI64&lt;='Tariffs Jan2021'!L64,($C$5*'Tariffs Jan2021'!AK64/'Tariffs Jan2021'!AI64-'Tariffs Jan2021'!K64)*('Tariffs Jan2021'!Q64/100)*'Tariffs Jan2021'!AI64,('Tariffs Jan2021'!L64-'Tariffs Jan2021'!K64)*('Tariffs Jan2021'!Q64/100)*'Tariffs Jan2021'!AI64))</f>
        <v>0</v>
      </c>
      <c r="H70" s="59">
        <f>IF($C$5*'Tariffs Jan2021'!AK64/'Tariffs Jan2021'!AI64&lt;'Tariffs Jan2021'!L64,0,IF($C$5*'Tariffs Jan2021'!AK64/'Tariffs Jan2021'!AI64&lt;='Tariffs Jan2021'!M64,($C$5*'Tariffs Jan2021'!AK64/'Tariffs Jan2021'!AI64-'Tariffs Jan2021'!L64)*('Tariffs Jan2021'!R64/100)*'Tariffs Jan2021'!AI64,('Tariffs Jan2021'!M64-'Tariffs Jan2021'!L64)*('Tariffs Jan2021'!R64/100)*'Tariffs Jan2021'!AI64))</f>
        <v>0</v>
      </c>
      <c r="I70" s="59">
        <f>IF(($C$5*'Tariffs Jan2021'!AK64/'Tariffs Jan2021'!AI64&gt;'Tariffs Jan2021'!M64),($C$5*'Tariffs Jan2021'!AK64/'Tariffs Jan2021'!AI64-'Tariffs Jan2021'!M64)*'Tariffs Jan2021'!S64/100*'Tariffs Jan2021'!AI64,0)</f>
        <v>357.95454545454544</v>
      </c>
      <c r="J70" s="59">
        <f>IF($C$5*'Tariffs Jan2021'!AL64/'Tariffs Jan2021'!AJ64&gt;='Tariffs Jan2021'!J64,('Tariffs Jan2021'!J64*'Tariffs Jan2021'!U64/100)* 'Tariffs Jan2021'!AJ64,($C$5*'Tariffs Jan2021'!AL64/'Tariffs Jan2021'!AJ64*'Tariffs Jan2021'!U64/100)* 'Tariffs Jan2021'!AJ64)</f>
        <v>110.36454545454546</v>
      </c>
      <c r="K70" s="59">
        <f>IF($C$5*'Tariffs Jan2021'!AL64/'Tariffs Jan2021'!AJ64&lt;'Tariffs Jan2021'!J64,0,IF($C$5*'Tariffs Jan2021'!AL64/'Tariffs Jan2021'!AJ64&lt;='Tariffs Jan2021'!K64,($C$5*'Tariffs Jan2021'!AL64/'Tariffs Jan2021'!AJ64-'Tariffs Jan2021'!J64)*('Tariffs Jan2021'!V64/100)*'Tariffs Jan2021'!AJ64,('Tariffs Jan2021'!K64-'Tariffs Jan2021'!J64)*('Tariffs Jan2021'!V64/100)*'Tariffs Jan2021'!AJ64))</f>
        <v>88.690909090909088</v>
      </c>
      <c r="L70" s="59">
        <f>IF($C$5*'Tariffs Jan2021'!AL64/'Tariffs Jan2021'!AJ64&lt;'Tariffs Jan2021'!K64,0,IF($C$5*'Tariffs Jan2021'!AL64/'Tariffs Jan2021'!AJ64&lt;='Tariffs Jan2021'!L64,($C$5*'Tariffs Jan2021'!AL64/'Tariffs Jan2021'!AJ64-'Tariffs Jan2021'!K64)*('Tariffs Jan2021'!W64/100)*'Tariffs Jan2021'!AJ64,('Tariffs Jan2021'!L64-'Tariffs Jan2021'!K64)*('Tariffs Jan2021'!W64/100)*'Tariffs Jan2021'!AJ64))</f>
        <v>0</v>
      </c>
      <c r="M70" s="59">
        <f>IF($C$5*'Tariffs Jan2021'!AL64/'Tariffs Jan2021'!AJ64&lt;'Tariffs Jan2021'!L64,0,IF($C$5*'Tariffs Jan2021'!AL64/'Tariffs Jan2021'!AJ64&lt;='Tariffs Jan2021'!M64,($C$5*'Tariffs Jan2021'!AL64/'Tariffs Jan2021'!AJ64-'Tariffs Jan2021'!L64)*('Tariffs Jan2021'!X64/100)*'Tariffs Jan2021'!AJ64,('Tariffs Jan2021'!M64-'Tariffs Jan2021'!L64)*('Tariffs Jan2021'!X64/100)*'Tariffs Jan2021'!AJ64))</f>
        <v>0</v>
      </c>
      <c r="N70" s="59">
        <f>IF(($C$5*'Tariffs Jan2021'!AL64/'Tariffs Jan2021'!AJ64&gt;'Tariffs Jan2021'!M64),($C$5*'Tariffs Jan2021'!AL64/'Tariffs Jan2021'!AJ64-'Tariffs Jan2021'!M64)*'Tariffs Jan2021'!Y64/100*'Tariffs Jan2021'!AJ64,0)</f>
        <v>357.95454545454544</v>
      </c>
      <c r="O70" s="59">
        <f t="shared" si="1"/>
        <v>1114.02</v>
      </c>
      <c r="P70" s="503">
        <f t="shared" si="2"/>
        <v>1225.422</v>
      </c>
      <c r="Q70" s="59">
        <f t="shared" si="3"/>
        <v>1387.77</v>
      </c>
      <c r="R70" s="272">
        <f t="shared" si="4"/>
        <v>1526.547</v>
      </c>
      <c r="S70" s="40">
        <f>'Tariffs Jan2021'!AN64</f>
        <v>0</v>
      </c>
      <c r="T70" s="40">
        <f>'Tariffs Jan2021'!AO64</f>
        <v>0</v>
      </c>
      <c r="U70" s="40">
        <f>'Tariffs Jan2021'!AP64</f>
        <v>0</v>
      </c>
      <c r="V70" s="40">
        <f>'Tariffs Jan2021'!AQ64</f>
        <v>0</v>
      </c>
      <c r="W70" s="537" t="str">
        <f t="shared" si="46"/>
        <v>No discount</v>
      </c>
      <c r="X70" s="538" t="str">
        <f t="shared" si="47"/>
        <v>Exclusive</v>
      </c>
      <c r="Y70" s="534">
        <f t="shared" si="54"/>
        <v>1387.77</v>
      </c>
      <c r="Z70" s="535">
        <f t="shared" si="55"/>
        <v>1387.77</v>
      </c>
      <c r="AA70" s="542">
        <f t="shared" si="45"/>
        <v>1526.547</v>
      </c>
      <c r="AB70" s="542">
        <f t="shared" si="45"/>
        <v>1526.547</v>
      </c>
      <c r="AC70" s="274">
        <f>'Tariffs Jan2021'!AZ64</f>
        <v>0</v>
      </c>
      <c r="AD70" s="274" t="str">
        <f>'Tariffs Jan2021'!BA64</f>
        <v>n</v>
      </c>
      <c r="AE70" s="275" t="str">
        <f>'Tariffs Jan2021'!BJ64</f>
        <v>Y</v>
      </c>
      <c r="AF70" s="516"/>
      <c r="AG70" s="516"/>
      <c r="AH70" s="516"/>
      <c r="AI70" s="516"/>
      <c r="AJ70" s="516"/>
      <c r="AK70" s="516"/>
      <c r="AL70" s="516"/>
      <c r="AM70" s="516"/>
      <c r="AN70" s="516"/>
      <c r="AO70" s="516"/>
      <c r="AP70" s="516"/>
      <c r="AQ70" s="516"/>
      <c r="AR70" s="516"/>
      <c r="AS70" s="516"/>
      <c r="AT70" s="516"/>
      <c r="AU70" s="516"/>
      <c r="AV70" s="516"/>
      <c r="AW70" s="516"/>
      <c r="AX70" s="516"/>
      <c r="AY70" s="516"/>
      <c r="AZ70" s="516"/>
    </row>
    <row r="71" spans="1:52" ht="14" x14ac:dyDescent="0.15">
      <c r="A71" s="270" t="str">
        <f>'Tariffs Jan2021'!F65</f>
        <v>GloBird Energy</v>
      </c>
      <c r="B71" s="40" t="str">
        <f>'Tariffs Jan2021'!D65</f>
        <v>AGN Central 2</v>
      </c>
      <c r="C71" s="40" t="str">
        <f>'Tariffs Jan2021'!G65</f>
        <v>GloSave</v>
      </c>
      <c r="D71" s="59">
        <f>365*'Tariffs Jan2021'!H65/100</f>
        <v>218.99999999999997</v>
      </c>
      <c r="E71" s="59">
        <f>IF($C$5*'Tariffs Jan2021'!AK65/'Tariffs Jan2021'!AI65&gt;='Tariffs Jan2021'!J65,( 'Tariffs Jan2021'!J65*'Tariffs Jan2021'!O65/100)* 'Tariffs Jan2021'!AI65,($C$5*'Tariffs Jan2021'!AK65/'Tariffs Jan2021'!AI65*'Tariffs Jan2021'!O65/100)* 'Tariffs Jan2021'!AI65)</f>
        <v>184.90909090909091</v>
      </c>
      <c r="F71" s="59">
        <f>IF($C$5*'Tariffs Jan2021'!AK65/'Tariffs Jan2021'!AI65&lt;'Tariffs Jan2021'!J65,0,IF($C$5*'Tariffs Jan2021'!AK65/'Tariffs Jan2021'!AI65&lt;='Tariffs Jan2021'!K65,($C$5*'Tariffs Jan2021'!AK65/'Tariffs Jan2021'!AI65-'Tariffs Jan2021'!J65)*('Tariffs Jan2021'!P65/100)*'Tariffs Jan2021'!AI65,('Tariffs Jan2021'!K65-'Tariffs Jan2021'!J65)*('Tariffs Jan2021'!P65/100)*'Tariffs Jan2021'!AI65))</f>
        <v>0</v>
      </c>
      <c r="G71" s="59">
        <f>IF($C$5*'Tariffs Jan2021'!AK65/'Tariffs Jan2021'!AI65&lt;'Tariffs Jan2021'!K65,0,IF($C$5*'Tariffs Jan2021'!AK65/'Tariffs Jan2021'!AI65&lt;='Tariffs Jan2021'!L65,($C$5*'Tariffs Jan2021'!AK65/'Tariffs Jan2021'!AI65-'Tariffs Jan2021'!K65)*('Tariffs Jan2021'!Q65/100)*'Tariffs Jan2021'!AI65,('Tariffs Jan2021'!L65-'Tariffs Jan2021'!K65)*('Tariffs Jan2021'!Q65/100)*'Tariffs Jan2021'!AI65))</f>
        <v>0</v>
      </c>
      <c r="H71" s="59">
        <f>IF($C$5*'Tariffs Jan2021'!AK65/'Tariffs Jan2021'!AI65&lt;'Tariffs Jan2021'!L65,0,IF($C$5*'Tariffs Jan2021'!AK65/'Tariffs Jan2021'!AI65&lt;='Tariffs Jan2021'!M65,($C$5*'Tariffs Jan2021'!AK65/'Tariffs Jan2021'!AI65-'Tariffs Jan2021'!L65)*('Tariffs Jan2021'!R65/100)*'Tariffs Jan2021'!AI65,('Tariffs Jan2021'!M65-'Tariffs Jan2021'!L65)*('Tariffs Jan2021'!R65/100)*'Tariffs Jan2021'!AI65))</f>
        <v>0</v>
      </c>
      <c r="I71" s="59">
        <f>IF(($C$5*'Tariffs Jan2021'!AK65/'Tariffs Jan2021'!AI65&gt;'Tariffs Jan2021'!M65),($C$5*'Tariffs Jan2021'!AK65/'Tariffs Jan2021'!AI65-'Tariffs Jan2021'!M65)*'Tariffs Jan2021'!S65/100*'Tariffs Jan2021'!AI65,0)</f>
        <v>337.49999999999994</v>
      </c>
      <c r="J71" s="59">
        <f>IF($C$5*'Tariffs Jan2021'!AL65/'Tariffs Jan2021'!AJ65&gt;='Tariffs Jan2021'!J65,('Tariffs Jan2021'!J65*'Tariffs Jan2021'!U65/100)* 'Tariffs Jan2021'!AJ65,($C$5*'Tariffs Jan2021'!AL65/'Tariffs Jan2021'!AJ65*'Tariffs Jan2021'!U65/100)* 'Tariffs Jan2021'!AJ65)</f>
        <v>184.90909090909091</v>
      </c>
      <c r="K71" s="59">
        <f>IF($C$5*'Tariffs Jan2021'!AL65/'Tariffs Jan2021'!AJ65&lt;'Tariffs Jan2021'!J65,0,IF($C$5*'Tariffs Jan2021'!AL65/'Tariffs Jan2021'!AJ65&lt;='Tariffs Jan2021'!K65,($C$5*'Tariffs Jan2021'!AL65/'Tariffs Jan2021'!AJ65-'Tariffs Jan2021'!J65)*('Tariffs Jan2021'!V65/100)*'Tariffs Jan2021'!AJ65,('Tariffs Jan2021'!K65-'Tariffs Jan2021'!J65)*('Tariffs Jan2021'!V65/100)*'Tariffs Jan2021'!AJ65))</f>
        <v>0</v>
      </c>
      <c r="L71" s="59">
        <f>IF($C$5*'Tariffs Jan2021'!AL65/'Tariffs Jan2021'!AJ65&lt;'Tariffs Jan2021'!K65,0,IF($C$5*'Tariffs Jan2021'!AL65/'Tariffs Jan2021'!AJ65&lt;='Tariffs Jan2021'!L65,($C$5*'Tariffs Jan2021'!AL65/'Tariffs Jan2021'!AJ65-'Tariffs Jan2021'!K65)*('Tariffs Jan2021'!W65/100)*'Tariffs Jan2021'!AJ65,('Tariffs Jan2021'!L65-'Tariffs Jan2021'!K65)*('Tariffs Jan2021'!W65/100)*'Tariffs Jan2021'!AJ65))</f>
        <v>0</v>
      </c>
      <c r="M71" s="59">
        <f>IF($C$5*'Tariffs Jan2021'!AL65/'Tariffs Jan2021'!AJ65&lt;'Tariffs Jan2021'!L65,0,IF($C$5*'Tariffs Jan2021'!AL65/'Tariffs Jan2021'!AJ65&lt;='Tariffs Jan2021'!M65,($C$5*'Tariffs Jan2021'!AL65/'Tariffs Jan2021'!AJ65-'Tariffs Jan2021'!L65)*('Tariffs Jan2021'!X65/100)*'Tariffs Jan2021'!AJ65,('Tariffs Jan2021'!M65-'Tariffs Jan2021'!L65)*('Tariffs Jan2021'!X65/100)*'Tariffs Jan2021'!AJ65))</f>
        <v>0</v>
      </c>
      <c r="N71" s="59">
        <f>IF(($C$5*'Tariffs Jan2021'!AL65/'Tariffs Jan2021'!AJ65&gt;'Tariffs Jan2021'!M65),($C$5*'Tariffs Jan2021'!AL65/'Tariffs Jan2021'!AJ65-'Tariffs Jan2021'!M65)*'Tariffs Jan2021'!Y65/100*'Tariffs Jan2021'!AJ65,0)</f>
        <v>337.49999999999994</v>
      </c>
      <c r="O71" s="59">
        <f t="shared" si="1"/>
        <v>1044.8181818181818</v>
      </c>
      <c r="P71" s="503">
        <f t="shared" si="2"/>
        <v>1149.3</v>
      </c>
      <c r="Q71" s="59">
        <f t="shared" si="3"/>
        <v>1263.8181818181818</v>
      </c>
      <c r="R71" s="272">
        <f t="shared" si="4"/>
        <v>1390.2</v>
      </c>
      <c r="S71" s="40">
        <f>'Tariffs Jan2021'!AN65</f>
        <v>0</v>
      </c>
      <c r="T71" s="40">
        <f>'Tariffs Jan2021'!AO65</f>
        <v>0</v>
      </c>
      <c r="U71" s="40">
        <f>'Tariffs Jan2021'!AP65</f>
        <v>0</v>
      </c>
      <c r="V71" s="40">
        <f>'Tariffs Jan2021'!AQ65</f>
        <v>0</v>
      </c>
      <c r="W71" s="537" t="str">
        <f t="shared" si="46"/>
        <v>No discount</v>
      </c>
      <c r="X71" s="538" t="str">
        <f t="shared" si="47"/>
        <v>Exclusive</v>
      </c>
      <c r="Y71" s="534">
        <f t="shared" si="54"/>
        <v>1263.8181818181818</v>
      </c>
      <c r="Z71" s="535">
        <f t="shared" si="55"/>
        <v>1263.8181818181818</v>
      </c>
      <c r="AA71" s="542">
        <f t="shared" si="45"/>
        <v>1390.2</v>
      </c>
      <c r="AB71" s="542">
        <f t="shared" si="45"/>
        <v>1390.2</v>
      </c>
      <c r="AC71" s="274">
        <f>'Tariffs Jan2021'!AZ65</f>
        <v>0</v>
      </c>
      <c r="AD71" s="274" t="str">
        <f>'Tariffs Jan2021'!BA65</f>
        <v>n</v>
      </c>
      <c r="AE71" s="275" t="str">
        <f>'Tariffs Jan2021'!BJ65</f>
        <v>N</v>
      </c>
      <c r="AF71" s="516"/>
      <c r="AG71" s="516"/>
      <c r="AH71" s="516"/>
      <c r="AI71" s="516"/>
      <c r="AJ71" s="516"/>
      <c r="AK71" s="516"/>
      <c r="AL71" s="516"/>
      <c r="AM71" s="516"/>
      <c r="AN71" s="516"/>
      <c r="AO71" s="516"/>
      <c r="AP71" s="516"/>
      <c r="AQ71" s="516"/>
      <c r="AR71" s="516"/>
      <c r="AS71" s="516"/>
      <c r="AT71" s="516"/>
      <c r="AU71" s="516"/>
      <c r="AV71" s="516"/>
      <c r="AW71" s="516"/>
      <c r="AX71" s="516"/>
      <c r="AY71" s="516"/>
      <c r="AZ71" s="516"/>
    </row>
    <row r="72" spans="1:52" ht="14" x14ac:dyDescent="0.15">
      <c r="A72" s="270" t="str">
        <f>'Tariffs Jan2021'!F66</f>
        <v>Powershop</v>
      </c>
      <c r="B72" s="40" t="str">
        <f>'Tariffs Jan2021'!D66</f>
        <v>AGN Central 2</v>
      </c>
      <c r="C72" s="40" t="str">
        <f>'Tariffs Jan2021'!G66</f>
        <v>Market offer</v>
      </c>
      <c r="D72" s="59">
        <f>365*'Tariffs Jan2021'!H66/100</f>
        <v>247.8681818181818</v>
      </c>
      <c r="E72" s="59">
        <f>((C$5*'Tariffs Jan2021'!AK66/'Tariffs Jan2021'!AI66)*('Tariffs Jan2021'!O66/100))*'Tariffs Jan2021'!AI66</f>
        <v>566.99999999999989</v>
      </c>
      <c r="F72" s="59">
        <v>0</v>
      </c>
      <c r="G72" s="59">
        <v>0</v>
      </c>
      <c r="H72" s="59">
        <v>0</v>
      </c>
      <c r="I72" s="59">
        <v>0</v>
      </c>
      <c r="J72" s="59">
        <f>((C$5*'Tariffs Jan2021'!AL66/'Tariffs Jan2021'!AJ66)*('Tariffs Jan2021'!U66/100))*'Tariffs Jan2021'!AJ66</f>
        <v>566.99999999999989</v>
      </c>
      <c r="K72" s="59">
        <v>0</v>
      </c>
      <c r="L72" s="59">
        <v>0</v>
      </c>
      <c r="M72" s="59">
        <v>0</v>
      </c>
      <c r="N72" s="59">
        <v>0</v>
      </c>
      <c r="O72" s="59">
        <f t="shared" si="1"/>
        <v>1133.9999999999998</v>
      </c>
      <c r="P72" s="503">
        <f t="shared" si="2"/>
        <v>1247.3999999999999</v>
      </c>
      <c r="Q72" s="59">
        <f t="shared" si="3"/>
        <v>1381.8681818181815</v>
      </c>
      <c r="R72" s="272">
        <f t="shared" si="4"/>
        <v>1520.0549999999998</v>
      </c>
      <c r="S72" s="40">
        <f>'Tariffs Jan2021'!AN66</f>
        <v>0</v>
      </c>
      <c r="T72" s="40">
        <f>'Tariffs Jan2021'!AO66</f>
        <v>0</v>
      </c>
      <c r="U72" s="40">
        <f>'Tariffs Jan2021'!AP66</f>
        <v>0</v>
      </c>
      <c r="V72" s="40">
        <f>'Tariffs Jan2021'!AQ66</f>
        <v>0</v>
      </c>
      <c r="W72" s="537" t="str">
        <f t="shared" si="46"/>
        <v>No discount</v>
      </c>
      <c r="X72" s="538" t="str">
        <f t="shared" si="47"/>
        <v>Inclusive</v>
      </c>
      <c r="Y72" s="534">
        <f>IF(AND(W72="Guaranteed off bill",X72="Inclusive"),((Q72*1.1)-((Q72*1.1)*S72/100))/1.1,IF(AND(W72="Guaranteed off usage",X72="Inclusive"),((Q72*1.1)-((P72*1.1)*T72/100))/1.1,IF(AND(W72="Guaranteed off bill",X72="Exclusive"),Q72-(Q72*S72/100),IF(AND(W72="Guaranteed off usage",X72="Exclusive"),Q72-(P72*T72/100),IF(X72="Inclusive",((Q72*1.1))/1.1,Q72)))))</f>
        <v>1381.8681818181815</v>
      </c>
      <c r="Z72" s="535">
        <f>IF(AND(W72="Pay-on-time off bill",X72="Inclusive"),((Y72*1.1)-((Y72*1.1)*U72/100))/1.1,IF(AND(W72="Pay-on-time off usage",X72="Inclusive"),((Y72*1.1)-((P72*1.1)*V72/100))/1.1,IF(AND(W72="Pay-on-time off bill",X72="Exclusive"),Y72-(Y72*U72/100),IF(AND(W72="Pay-on-time off usage",X72="Exclusive"),Y72-(P72*V72/100),IF(X72="Inclusive",((Y72*1.1))/1.1,Y72)))))</f>
        <v>1381.8681818181815</v>
      </c>
      <c r="AA72" s="542">
        <f t="shared" si="45"/>
        <v>1520.0549999999998</v>
      </c>
      <c r="AB72" s="542">
        <f t="shared" si="45"/>
        <v>1520.0549999999998</v>
      </c>
      <c r="AC72" s="274">
        <f>'Tariffs Jan2021'!AZ66</f>
        <v>0</v>
      </c>
      <c r="AD72" s="274" t="str">
        <f>'Tariffs Jan2021'!BA66</f>
        <v>n</v>
      </c>
      <c r="AE72" s="275" t="str">
        <f>'Tariffs Jan2021'!BJ66</f>
        <v>Y</v>
      </c>
      <c r="AF72" s="516"/>
      <c r="AG72" s="516"/>
      <c r="AH72" s="516"/>
      <c r="AI72" s="516"/>
      <c r="AJ72" s="516"/>
      <c r="AK72" s="516"/>
      <c r="AL72" s="516"/>
      <c r="AM72" s="516"/>
      <c r="AN72" s="516"/>
      <c r="AO72" s="516"/>
      <c r="AP72" s="516"/>
      <c r="AQ72" s="516"/>
      <c r="AR72" s="516"/>
      <c r="AS72" s="516"/>
      <c r="AT72" s="516"/>
      <c r="AU72" s="516"/>
      <c r="AV72" s="516"/>
      <c r="AW72" s="516"/>
      <c r="AX72" s="516"/>
      <c r="AY72" s="516"/>
      <c r="AZ72" s="516"/>
    </row>
    <row r="73" spans="1:52" ht="14" x14ac:dyDescent="0.15">
      <c r="A73" s="270" t="str">
        <f>'Tariffs Jan2021'!F67</f>
        <v>1st Energy</v>
      </c>
      <c r="B73" s="40" t="str">
        <f>'Tariffs Jan2021'!D67</f>
        <v>AGN Central 2</v>
      </c>
      <c r="C73" s="40" t="str">
        <f>'Tariffs Jan2021'!G67</f>
        <v>1st Saver Plus</v>
      </c>
      <c r="D73" s="59">
        <f>365*'Tariffs Jan2021'!H67/100</f>
        <v>266.45</v>
      </c>
      <c r="E73" s="59">
        <f>IF($C$5*'Tariffs Jan2021'!AK67/'Tariffs Jan2021'!AI67&gt;='Tariffs Jan2021'!J67,( 'Tariffs Jan2021'!J67*'Tariffs Jan2021'!O67/100)* 'Tariffs Jan2021'!AI67,($C$5*'Tariffs Jan2021'!AK67/'Tariffs Jan2021'!AI67*'Tariffs Jan2021'!O67/100)* 'Tariffs Jan2021'!AI67)</f>
        <v>135.03954545454545</v>
      </c>
      <c r="F73" s="59">
        <f>IF($C$5*'Tariffs Jan2021'!AK67/'Tariffs Jan2021'!AI67&lt;'Tariffs Jan2021'!J67,0,IF($C$5*'Tariffs Jan2021'!AK67/'Tariffs Jan2021'!AI67&lt;='Tariffs Jan2021'!K67,($C$5*'Tariffs Jan2021'!AK67/'Tariffs Jan2021'!AI67-'Tariffs Jan2021'!J67)*('Tariffs Jan2021'!P67/100)*'Tariffs Jan2021'!AI67,('Tariffs Jan2021'!K67-'Tariffs Jan2021'!J67)*('Tariffs Jan2021'!P67/100)*'Tariffs Jan2021'!AI67))</f>
        <v>98.299090909090907</v>
      </c>
      <c r="G73" s="59">
        <f>IF($C$5*'Tariffs Jan2021'!AK67/'Tariffs Jan2021'!AI67&lt;'Tariffs Jan2021'!K67,0,IF($C$5*'Tariffs Jan2021'!AK67/'Tariffs Jan2021'!AI67&lt;='Tariffs Jan2021'!L67,($C$5*'Tariffs Jan2021'!AK67/'Tariffs Jan2021'!AI67-'Tariffs Jan2021'!K67)*('Tariffs Jan2021'!Q67/100)*'Tariffs Jan2021'!AI67,('Tariffs Jan2021'!L67-'Tariffs Jan2021'!K67)*('Tariffs Jan2021'!Q67/100)*'Tariffs Jan2021'!AI67))</f>
        <v>0</v>
      </c>
      <c r="H73" s="59">
        <f>IF($C$5*'Tariffs Jan2021'!AK67/'Tariffs Jan2021'!AI67&lt;'Tariffs Jan2021'!L67,0,IF($C$5*'Tariffs Jan2021'!AK67/'Tariffs Jan2021'!AI67&lt;='Tariffs Jan2021'!M67,($C$5*'Tariffs Jan2021'!AK67/'Tariffs Jan2021'!AI67-'Tariffs Jan2021'!L67)*('Tariffs Jan2021'!R67/100)*'Tariffs Jan2021'!AI67,('Tariffs Jan2021'!M67-'Tariffs Jan2021'!L67)*('Tariffs Jan2021'!R67/100)*'Tariffs Jan2021'!AI67))</f>
        <v>0</v>
      </c>
      <c r="I73" s="59">
        <f>IF(($C$5*'Tariffs Jan2021'!AK67/'Tariffs Jan2021'!AI67&gt;'Tariffs Jan2021'!M67),($C$5*'Tariffs Jan2021'!AK67/'Tariffs Jan2021'!AI67-'Tariffs Jan2021'!M67)*'Tariffs Jan2021'!S67/100*'Tariffs Jan2021'!AI67,0)</f>
        <v>466.36363636363626</v>
      </c>
      <c r="J73" s="59">
        <f>IF($C$5*'Tariffs Jan2021'!AL67/'Tariffs Jan2021'!AJ67&gt;='Tariffs Jan2021'!J67,('Tariffs Jan2021'!J67*'Tariffs Jan2021'!U67/100)* 'Tariffs Jan2021'!AJ67,($C$5*'Tariffs Jan2021'!AL67/'Tariffs Jan2021'!AJ67*'Tariffs Jan2021'!U67/100)* 'Tariffs Jan2021'!AJ67)</f>
        <v>135.03954545454545</v>
      </c>
      <c r="K73" s="59">
        <f>IF($C$5*'Tariffs Jan2021'!AL67/'Tariffs Jan2021'!AJ67&lt;'Tariffs Jan2021'!J67,0,IF($C$5*'Tariffs Jan2021'!AL67/'Tariffs Jan2021'!AJ67&lt;='Tariffs Jan2021'!K67,($C$5*'Tariffs Jan2021'!AL67/'Tariffs Jan2021'!AJ67-'Tariffs Jan2021'!J67)*('Tariffs Jan2021'!V67/100)*'Tariffs Jan2021'!AJ67,('Tariffs Jan2021'!K67-'Tariffs Jan2021'!J67)*('Tariffs Jan2021'!V67/100)*'Tariffs Jan2021'!AJ67))</f>
        <v>98.299090909090907</v>
      </c>
      <c r="L73" s="59">
        <f>IF($C$5*'Tariffs Jan2021'!AL67/'Tariffs Jan2021'!AJ67&lt;'Tariffs Jan2021'!K67,0,IF($C$5*'Tariffs Jan2021'!AL67/'Tariffs Jan2021'!AJ67&lt;='Tariffs Jan2021'!L67,($C$5*'Tariffs Jan2021'!AL67/'Tariffs Jan2021'!AJ67-'Tariffs Jan2021'!K67)*('Tariffs Jan2021'!W67/100)*'Tariffs Jan2021'!AJ67,('Tariffs Jan2021'!L67-'Tariffs Jan2021'!K67)*('Tariffs Jan2021'!W67/100)*'Tariffs Jan2021'!AJ67))</f>
        <v>0</v>
      </c>
      <c r="M73" s="59">
        <f>IF($C$5*'Tariffs Jan2021'!AL67/'Tariffs Jan2021'!AJ67&lt;'Tariffs Jan2021'!L67,0,IF($C$5*'Tariffs Jan2021'!AL67/'Tariffs Jan2021'!AJ67&lt;='Tariffs Jan2021'!M67,($C$5*'Tariffs Jan2021'!AL67/'Tariffs Jan2021'!AJ67-'Tariffs Jan2021'!L67)*('Tariffs Jan2021'!X67/100)*'Tariffs Jan2021'!AJ67,('Tariffs Jan2021'!M67-'Tariffs Jan2021'!L67)*('Tariffs Jan2021'!X67/100)*'Tariffs Jan2021'!AJ67))</f>
        <v>0</v>
      </c>
      <c r="N73" s="59">
        <f>IF(($C$5*'Tariffs Jan2021'!AL67/'Tariffs Jan2021'!AJ67&gt;'Tariffs Jan2021'!M67),($C$5*'Tariffs Jan2021'!AL67/'Tariffs Jan2021'!AJ67-'Tariffs Jan2021'!M67)*'Tariffs Jan2021'!Y67/100*'Tariffs Jan2021'!AJ67,0)</f>
        <v>466.36363636363626</v>
      </c>
      <c r="O73" s="59">
        <f t="shared" si="1"/>
        <v>1399.4045454545453</v>
      </c>
      <c r="P73" s="503">
        <f t="shared" ref="P73:P137" si="56">O73*1.1</f>
        <v>1539.345</v>
      </c>
      <c r="Q73" s="59">
        <f t="shared" si="3"/>
        <v>1665.8545454545454</v>
      </c>
      <c r="R73" s="272">
        <f t="shared" si="4"/>
        <v>1832.44</v>
      </c>
      <c r="S73" s="40">
        <f>'Tariffs Jan2021'!AN67</f>
        <v>0</v>
      </c>
      <c r="T73" s="40">
        <f>'Tariffs Jan2021'!AO67</f>
        <v>12</v>
      </c>
      <c r="U73" s="40">
        <f>'Tariffs Jan2021'!AP67</f>
        <v>0</v>
      </c>
      <c r="V73" s="40">
        <f>'Tariffs Jan2021'!AQ67</f>
        <v>3</v>
      </c>
      <c r="W73" s="537" t="str">
        <f t="shared" si="46"/>
        <v>Guaranteed off usage</v>
      </c>
      <c r="X73" s="538" t="str">
        <f t="shared" si="47"/>
        <v>Exclusive</v>
      </c>
      <c r="Y73" s="534">
        <f>Q73-(P73*T73)/100</f>
        <v>1481.1331454545455</v>
      </c>
      <c r="Z73" s="535">
        <f>Y73-(P73*V73)/100</f>
        <v>1434.9527954545454</v>
      </c>
      <c r="AA73" s="542">
        <f t="shared" si="45"/>
        <v>1629.2464600000001</v>
      </c>
      <c r="AB73" s="542">
        <f t="shared" si="45"/>
        <v>1578.448075</v>
      </c>
      <c r="AC73" s="274">
        <f>'Tariffs Jan2021'!AZ67</f>
        <v>0</v>
      </c>
      <c r="AD73" s="274" t="str">
        <f>'Tariffs Jan2021'!BA67</f>
        <v>n</v>
      </c>
      <c r="AE73" s="275" t="str">
        <f>'Tariffs Jan2021'!BJ67</f>
        <v>Y</v>
      </c>
      <c r="AF73" s="516"/>
      <c r="AG73" s="516"/>
      <c r="AH73" s="516"/>
      <c r="AI73" s="516"/>
      <c r="AJ73" s="516"/>
      <c r="AK73" s="516"/>
      <c r="AL73" s="516"/>
      <c r="AM73" s="516"/>
      <c r="AN73" s="516"/>
      <c r="AO73" s="516"/>
      <c r="AP73" s="516"/>
      <c r="AQ73" s="516"/>
      <c r="AR73" s="516"/>
      <c r="AS73" s="516"/>
      <c r="AT73" s="516"/>
      <c r="AU73" s="516"/>
      <c r="AV73" s="516"/>
      <c r="AW73" s="516"/>
      <c r="AX73" s="516"/>
      <c r="AY73" s="516"/>
      <c r="AZ73" s="516"/>
    </row>
    <row r="74" spans="1:52" ht="14" x14ac:dyDescent="0.15">
      <c r="A74" s="270" t="str">
        <f>'Tariffs Jan2021'!F68</f>
        <v>Kogan Energy</v>
      </c>
      <c r="B74" s="40" t="str">
        <f>'Tariffs Jan2021'!D68</f>
        <v>AGN Central 2</v>
      </c>
      <c r="C74" s="40" t="str">
        <f>'Tariffs Jan2021'!G68</f>
        <v>Market offer</v>
      </c>
      <c r="D74" s="59">
        <f>365*'Tariffs Jan2021'!H68/100</f>
        <v>216.87636363636364</v>
      </c>
      <c r="E74" s="59">
        <f>((C$5*'Tariffs Jan2021'!AK68/'Tariffs Jan2021'!AI68)*('Tariffs Jan2021'!O68/100))*'Tariffs Jan2021'!AI68</f>
        <v>615.68181818181802</v>
      </c>
      <c r="F74" s="59">
        <v>0</v>
      </c>
      <c r="G74" s="59">
        <v>0</v>
      </c>
      <c r="H74" s="59">
        <v>0</v>
      </c>
      <c r="I74" s="59">
        <v>0</v>
      </c>
      <c r="J74" s="59">
        <f>((C$5*'Tariffs Jan2021'!AL68/'Tariffs Jan2021'!AJ68)*('Tariffs Jan2021'!U68/100))*'Tariffs Jan2021'!AJ68</f>
        <v>615.68181818181802</v>
      </c>
      <c r="K74" s="59">
        <v>0</v>
      </c>
      <c r="L74" s="59">
        <v>0</v>
      </c>
      <c r="M74" s="59">
        <v>0</v>
      </c>
      <c r="N74" s="59">
        <v>0</v>
      </c>
      <c r="O74" s="59">
        <f t="shared" si="1"/>
        <v>1231.363636363636</v>
      </c>
      <c r="P74" s="503">
        <f t="shared" si="56"/>
        <v>1354.4999999999998</v>
      </c>
      <c r="Q74" s="59">
        <f t="shared" si="3"/>
        <v>1448.2399999999998</v>
      </c>
      <c r="R74" s="272">
        <f t="shared" si="4"/>
        <v>1593.0639999999999</v>
      </c>
      <c r="S74" s="40">
        <f>'Tariffs Jan2021'!AN68</f>
        <v>0</v>
      </c>
      <c r="T74" s="40">
        <f>'Tariffs Jan2021'!AO68</f>
        <v>0</v>
      </c>
      <c r="U74" s="40">
        <f>'Tariffs Jan2021'!AP68</f>
        <v>0</v>
      </c>
      <c r="V74" s="40">
        <f>'Tariffs Jan2021'!AQ68</f>
        <v>0</v>
      </c>
      <c r="W74" s="537" t="str">
        <f t="shared" si="46"/>
        <v>No discount</v>
      </c>
      <c r="X74" s="538" t="str">
        <f t="shared" si="47"/>
        <v>Exclusive</v>
      </c>
      <c r="Y74" s="534">
        <f t="shared" ref="Y74:Y75" si="57">IF(AND(W74="Guaranteed off bill",X74="Inclusive"),((Q74*1.1)-((Q74*1.1)*S74/100))/1.1,IF(AND(W74="Guaranteed off usage",X74="Inclusive"),((Q74*1.1)-((P74*1.1)*T74/100))/1.1,IF(AND(W74="Guaranteed off bill",X74="Exclusive"),Q74-(Q74*S74/100),IF(AND(W74="Guaranteed off usage",X74="Exclusive"),Q74-(P74*T74/100),IF(X74="Inclusive",((Q74*1.1))/1.1,Q74)))))</f>
        <v>1448.2399999999998</v>
      </c>
      <c r="Z74" s="535">
        <f t="shared" ref="Z74:Z75" si="58">IF(AND(W74="Pay-on-time off bill",X74="Inclusive"),((Y74*1.1)-((Y74*1.1)*U74/100))/1.1,IF(AND(W74="Pay-on-time off usage",X74="Inclusive"),((Y74*1.1)-((P74*1.1)*V74/100))/1.1,IF(AND(W74="Pay-on-time off bill",X74="Exclusive"),Y74-(Y74*U74/100),IF(AND(W74="Pay-on-time off usage",X74="Exclusive"),Y74-(P74*V74/100),IF(X74="Inclusive",((Y74*1.1))/1.1,Y74)))))</f>
        <v>1448.2399999999998</v>
      </c>
      <c r="AA74" s="542">
        <f t="shared" si="45"/>
        <v>1593.0639999999999</v>
      </c>
      <c r="AB74" s="542">
        <f t="shared" si="45"/>
        <v>1593.0639999999999</v>
      </c>
      <c r="AC74" s="274">
        <f>'Tariffs Jan2021'!AZ68</f>
        <v>0</v>
      </c>
      <c r="AD74" s="274" t="str">
        <f>'Tariffs Jan2021'!BA68</f>
        <v>n</v>
      </c>
      <c r="AE74" s="275" t="str">
        <f>'Tariffs Jan2021'!BJ68</f>
        <v>N</v>
      </c>
      <c r="AF74" s="516"/>
      <c r="AG74" s="516"/>
      <c r="AH74" s="516"/>
      <c r="AI74" s="516"/>
      <c r="AJ74" s="516"/>
      <c r="AK74" s="516"/>
      <c r="AL74" s="516"/>
      <c r="AM74" s="516"/>
      <c r="AN74" s="516"/>
      <c r="AO74" s="516"/>
      <c r="AP74" s="516"/>
      <c r="AQ74" s="516"/>
      <c r="AR74" s="516"/>
      <c r="AS74" s="516"/>
      <c r="AT74" s="516"/>
      <c r="AU74" s="516"/>
      <c r="AV74" s="516"/>
      <c r="AW74" s="516"/>
      <c r="AX74" s="516"/>
      <c r="AY74" s="516"/>
      <c r="AZ74" s="516"/>
    </row>
    <row r="75" spans="1:52" ht="15" thickBot="1" x14ac:dyDescent="0.2">
      <c r="A75" s="276" t="str">
        <f>'Tariffs Jan2021'!F69</f>
        <v>Tango Energy</v>
      </c>
      <c r="B75" s="277" t="str">
        <f>'Tariffs Jan2021'!D69</f>
        <v>AGN Central 2</v>
      </c>
      <c r="C75" s="277" t="str">
        <f>'Tariffs Jan2021'!G69</f>
        <v>Home Select</v>
      </c>
      <c r="D75" s="278">
        <f>365*'Tariffs Jan2021'!H69/100</f>
        <v>299.3</v>
      </c>
      <c r="E75" s="278">
        <f>IF($C$5*'Tariffs Jan2021'!AK69/'Tariffs Jan2021'!AI69&gt;='Tariffs Jan2021'!J69,( 'Tariffs Jan2021'!J69*'Tariffs Jan2021'!O69/100)* 'Tariffs Jan2021'!AI69,($C$5*'Tariffs Jan2021'!AK69/'Tariffs Jan2021'!AI69*'Tariffs Jan2021'!O69/100)* 'Tariffs Jan2021'!AI69)</f>
        <v>88.829999999999984</v>
      </c>
      <c r="F75" s="278">
        <f>IF($C$5*'Tariffs Jan2021'!AK69/'Tariffs Jan2021'!AI69&lt;'Tariffs Jan2021'!J69,0,IF($C$5*'Tariffs Jan2021'!AK69/'Tariffs Jan2021'!AI69&lt;='Tariffs Jan2021'!K69,($C$5*'Tariffs Jan2021'!AK69/'Tariffs Jan2021'!AI69-'Tariffs Jan2021'!J69)*('Tariffs Jan2021'!P69/100)*'Tariffs Jan2021'!AI69,('Tariffs Jan2021'!K69-'Tariffs Jan2021'!J69)*('Tariffs Jan2021'!P69/100)*'Tariffs Jan2021'!AI69))</f>
        <v>65.039999999999992</v>
      </c>
      <c r="G75" s="278">
        <f>IF($C$5*'Tariffs Jan2021'!AK69/'Tariffs Jan2021'!AI69&lt;'Tariffs Jan2021'!K69,0,IF($C$5*'Tariffs Jan2021'!AK69/'Tariffs Jan2021'!AI69&lt;='Tariffs Jan2021'!L69,($C$5*'Tariffs Jan2021'!AK69/'Tariffs Jan2021'!AI69-'Tariffs Jan2021'!K69)*('Tariffs Jan2021'!Q69/100)*'Tariffs Jan2021'!AI69,('Tariffs Jan2021'!L69-'Tariffs Jan2021'!K69)*('Tariffs Jan2021'!Q69/100)*'Tariffs Jan2021'!AI69))</f>
        <v>0</v>
      </c>
      <c r="H75" s="278">
        <f>IF($C$5*'Tariffs Jan2021'!AK69/'Tariffs Jan2021'!AI69&lt;'Tariffs Jan2021'!L69,0,IF($C$5*'Tariffs Jan2021'!AK69/'Tariffs Jan2021'!AI69&lt;='Tariffs Jan2021'!M69,($C$5*'Tariffs Jan2021'!AK69/'Tariffs Jan2021'!AI69-'Tariffs Jan2021'!L69)*('Tariffs Jan2021'!R69/100)*'Tariffs Jan2021'!AI69,('Tariffs Jan2021'!M69-'Tariffs Jan2021'!L69)*('Tariffs Jan2021'!R69/100)*'Tariffs Jan2021'!AI69))</f>
        <v>0</v>
      </c>
      <c r="I75" s="278">
        <f>IF(($C$5*'Tariffs Jan2021'!AK69/'Tariffs Jan2021'!AI69&gt;'Tariffs Jan2021'!M69),($C$5*'Tariffs Jan2021'!AK69/'Tariffs Jan2021'!AI69-'Tariffs Jan2021'!M69)*'Tariffs Jan2021'!S69/100*'Tariffs Jan2021'!AI69,0)</f>
        <v>292.49999999999994</v>
      </c>
      <c r="J75" s="278">
        <f>IF($C$5*'Tariffs Jan2021'!AL69/'Tariffs Jan2021'!AJ69&gt;='Tariffs Jan2021'!J69,('Tariffs Jan2021'!J69*'Tariffs Jan2021'!U69/100)* 'Tariffs Jan2021'!AJ69,($C$5*'Tariffs Jan2021'!AL69/'Tariffs Jan2021'!AJ69*'Tariffs Jan2021'!U69/100)* 'Tariffs Jan2021'!AJ69)</f>
        <v>88.829999999999984</v>
      </c>
      <c r="K75" s="278">
        <f>IF($C$5*'Tariffs Jan2021'!AL69/'Tariffs Jan2021'!AJ69&lt;'Tariffs Jan2021'!J69,0,IF($C$5*'Tariffs Jan2021'!AL69/'Tariffs Jan2021'!AJ69&lt;='Tariffs Jan2021'!K69,($C$5*'Tariffs Jan2021'!AL69/'Tariffs Jan2021'!AJ69-'Tariffs Jan2021'!J69)*('Tariffs Jan2021'!V69/100)*'Tariffs Jan2021'!AJ69,('Tariffs Jan2021'!K69-'Tariffs Jan2021'!J69)*('Tariffs Jan2021'!V69/100)*'Tariffs Jan2021'!AJ69))</f>
        <v>65.039999999999992</v>
      </c>
      <c r="L75" s="278">
        <f>IF($C$5*'Tariffs Jan2021'!AL69/'Tariffs Jan2021'!AJ69&lt;'Tariffs Jan2021'!K69,0,IF($C$5*'Tariffs Jan2021'!AL69/'Tariffs Jan2021'!AJ69&lt;='Tariffs Jan2021'!L69,($C$5*'Tariffs Jan2021'!AL69/'Tariffs Jan2021'!AJ69-'Tariffs Jan2021'!K69)*('Tariffs Jan2021'!W69/100)*'Tariffs Jan2021'!AJ69,('Tariffs Jan2021'!L69-'Tariffs Jan2021'!K69)*('Tariffs Jan2021'!W69/100)*'Tariffs Jan2021'!AJ69))</f>
        <v>0</v>
      </c>
      <c r="M75" s="278">
        <f>IF($C$5*'Tariffs Jan2021'!AL69/'Tariffs Jan2021'!AJ69&lt;'Tariffs Jan2021'!L69,0,IF($C$5*'Tariffs Jan2021'!AL69/'Tariffs Jan2021'!AJ69&lt;='Tariffs Jan2021'!M69,($C$5*'Tariffs Jan2021'!AL69/'Tariffs Jan2021'!AJ69-'Tariffs Jan2021'!L69)*('Tariffs Jan2021'!X69/100)*'Tariffs Jan2021'!AJ69,('Tariffs Jan2021'!M69-'Tariffs Jan2021'!L69)*('Tariffs Jan2021'!X69/100)*'Tariffs Jan2021'!AJ69))</f>
        <v>0</v>
      </c>
      <c r="N75" s="278">
        <f>IF(($C$5*'Tariffs Jan2021'!AL69/'Tariffs Jan2021'!AJ69&gt;'Tariffs Jan2021'!M69),($C$5*'Tariffs Jan2021'!AL69/'Tariffs Jan2021'!AJ69-'Tariffs Jan2021'!M69)*'Tariffs Jan2021'!Y69/100*'Tariffs Jan2021'!AJ69,0)</f>
        <v>292.49999999999994</v>
      </c>
      <c r="O75" s="278">
        <f>SUM(E75:N75)</f>
        <v>892.73999999999978</v>
      </c>
      <c r="P75" s="504">
        <f t="shared" si="56"/>
        <v>982.01399999999978</v>
      </c>
      <c r="Q75" s="278">
        <f>D75+O75</f>
        <v>1192.0399999999997</v>
      </c>
      <c r="R75" s="280">
        <f>Q75*1.1</f>
        <v>1311.2439999999999</v>
      </c>
      <c r="S75" s="277">
        <f>'Tariffs Jan2021'!AN69</f>
        <v>0</v>
      </c>
      <c r="T75" s="277">
        <f>'Tariffs Jan2021'!AO69</f>
        <v>0</v>
      </c>
      <c r="U75" s="277">
        <f>'Tariffs Jan2021'!AP69</f>
        <v>0</v>
      </c>
      <c r="V75" s="277">
        <f>'Tariffs Jan2021'!AQ69</f>
        <v>0</v>
      </c>
      <c r="W75" s="540" t="str">
        <f t="shared" si="46"/>
        <v>No discount</v>
      </c>
      <c r="X75" s="541" t="str">
        <f t="shared" si="47"/>
        <v>Exclusive</v>
      </c>
      <c r="Y75" s="543">
        <f t="shared" si="57"/>
        <v>1192.0399999999997</v>
      </c>
      <c r="Z75" s="544">
        <f t="shared" si="58"/>
        <v>1192.0399999999997</v>
      </c>
      <c r="AA75" s="545">
        <f t="shared" ref="AA75:AB91" si="59">Y75*1.1</f>
        <v>1311.2439999999999</v>
      </c>
      <c r="AB75" s="545">
        <f t="shared" si="59"/>
        <v>1311.2439999999999</v>
      </c>
      <c r="AC75" s="282">
        <f>'Tariffs Jan2021'!AZ69</f>
        <v>0</v>
      </c>
      <c r="AD75" s="282" t="str">
        <f>'Tariffs Jan2021'!BA69</f>
        <v>n</v>
      </c>
      <c r="AE75" s="283" t="str">
        <f>'Tariffs Jan2021'!BJ69</f>
        <v>Y</v>
      </c>
      <c r="AF75" s="516"/>
      <c r="AG75" s="516"/>
      <c r="AH75" s="516"/>
      <c r="AI75" s="516"/>
      <c r="AJ75" s="516"/>
      <c r="AK75" s="516"/>
      <c r="AL75" s="516"/>
      <c r="AM75" s="516"/>
      <c r="AN75" s="516"/>
      <c r="AO75" s="516"/>
      <c r="AP75" s="516"/>
      <c r="AQ75" s="516"/>
      <c r="AR75" s="516"/>
      <c r="AS75" s="516"/>
      <c r="AT75" s="516"/>
      <c r="AU75" s="516"/>
      <c r="AV75" s="516"/>
      <c r="AW75" s="516"/>
      <c r="AX75" s="516"/>
      <c r="AY75" s="516"/>
      <c r="AZ75" s="516"/>
    </row>
    <row r="76" spans="1:52" ht="15" thickTop="1" x14ac:dyDescent="0.15">
      <c r="A76" s="270" t="str">
        <f>'Tariffs Jan2021'!F70</f>
        <v>AGL</v>
      </c>
      <c r="B76" s="40" t="str">
        <f>'Tariffs Jan2021'!D70</f>
        <v>AGN Central 1</v>
      </c>
      <c r="C76" s="40" t="str">
        <f>'Tariffs Jan2021'!G70</f>
        <v>Essentials</v>
      </c>
      <c r="D76" s="59">
        <f>365*'Tariffs Jan2021'!H70/100</f>
        <v>228.1913636363636</v>
      </c>
      <c r="E76" s="59">
        <f>IF($C$5*'Tariffs Jan2021'!AK70/'Tariffs Jan2021'!AI70&gt;='Tariffs Jan2021'!J70,( 'Tariffs Jan2021'!J70*'Tariffs Jan2021'!O70/100)* 'Tariffs Jan2021'!AI70,($C$5*'Tariffs Jan2021'!AK70/'Tariffs Jan2021'!AI70*'Tariffs Jan2021'!O70/100)* 'Tariffs Jan2021'!AI70)</f>
        <v>112.15909090909091</v>
      </c>
      <c r="F76" s="59">
        <f>IF($C$5*'Tariffs Jan2021'!AK70/'Tariffs Jan2021'!AI70&lt;'Tariffs Jan2021'!J70,0,IF($C$5*'Tariffs Jan2021'!AK70/'Tariffs Jan2021'!AI70&lt;='Tariffs Jan2021'!K70,($C$5*'Tariffs Jan2021'!AK70/'Tariffs Jan2021'!AI70-'Tariffs Jan2021'!J70)*('Tariffs Jan2021'!P70/100)*'Tariffs Jan2021'!AI70,('Tariffs Jan2021'!K70-'Tariffs Jan2021'!J70)*('Tariffs Jan2021'!P70/100)*'Tariffs Jan2021'!AI70))</f>
        <v>83.886818181818171</v>
      </c>
      <c r="G76" s="59">
        <f>IF($C$5*'Tariffs Jan2021'!AK70/'Tariffs Jan2021'!AI70&lt;'Tariffs Jan2021'!K70,0,IF($C$5*'Tariffs Jan2021'!AK70/'Tariffs Jan2021'!AI70&lt;='Tariffs Jan2021'!L70,($C$5*'Tariffs Jan2021'!AK70/'Tariffs Jan2021'!AI70-'Tariffs Jan2021'!K70)*('Tariffs Jan2021'!Q70/100)*'Tariffs Jan2021'!AI70,('Tariffs Jan2021'!L70-'Tariffs Jan2021'!K70)*('Tariffs Jan2021'!Q70/100)*'Tariffs Jan2021'!AI70))</f>
        <v>0</v>
      </c>
      <c r="H76" s="59">
        <f>IF($C$5*'Tariffs Jan2021'!AK70/'Tariffs Jan2021'!AI70&lt;'Tariffs Jan2021'!L70,0,IF($C$5*'Tariffs Jan2021'!AK70/'Tariffs Jan2021'!AI70&lt;='Tariffs Jan2021'!M70,($C$5*'Tariffs Jan2021'!AK70/'Tariffs Jan2021'!AI70-'Tariffs Jan2021'!L70)*('Tariffs Jan2021'!R70/100)*'Tariffs Jan2021'!AI70,('Tariffs Jan2021'!M70-'Tariffs Jan2021'!L70)*('Tariffs Jan2021'!R70/100)*'Tariffs Jan2021'!AI70))</f>
        <v>0</v>
      </c>
      <c r="I76" s="59">
        <f>IF(($C$5*'Tariffs Jan2021'!AK70/'Tariffs Jan2021'!AI70&gt;'Tariffs Jan2021'!M70),($C$5*'Tariffs Jan2021'!AK70/'Tariffs Jan2021'!AI70-'Tariffs Jan2021'!M70)*'Tariffs Jan2021'!S70/100*'Tariffs Jan2021'!AI70,0)</f>
        <v>347.72727272727263</v>
      </c>
      <c r="J76" s="59">
        <f>IF($C$5*'Tariffs Jan2021'!AL70/'Tariffs Jan2021'!AJ70&gt;='Tariffs Jan2021'!J70,('Tariffs Jan2021'!J70*'Tariffs Jan2021'!U70/100)* 'Tariffs Jan2021'!AJ70,($C$5*'Tariffs Jan2021'!AL70/'Tariffs Jan2021'!AJ70*'Tariffs Jan2021'!U70/100)* 'Tariffs Jan2021'!AJ70)</f>
        <v>112.15909090909091</v>
      </c>
      <c r="K76" s="59">
        <f>IF($C$5*'Tariffs Jan2021'!AL70/'Tariffs Jan2021'!AJ70&lt;'Tariffs Jan2021'!J70,0,IF($C$5*'Tariffs Jan2021'!AL70/'Tariffs Jan2021'!AJ70&lt;='Tariffs Jan2021'!K70,($C$5*'Tariffs Jan2021'!AL70/'Tariffs Jan2021'!AJ70-'Tariffs Jan2021'!J70)*('Tariffs Jan2021'!V70/100)*'Tariffs Jan2021'!AJ70,('Tariffs Jan2021'!K70-'Tariffs Jan2021'!J70)*('Tariffs Jan2021'!V70/100)*'Tariffs Jan2021'!AJ70))</f>
        <v>83.886818181818171</v>
      </c>
      <c r="L76" s="59">
        <f>IF($C$5*'Tariffs Jan2021'!AL70/'Tariffs Jan2021'!AJ70&lt;'Tariffs Jan2021'!K70,0,IF($C$5*'Tariffs Jan2021'!AL70/'Tariffs Jan2021'!AJ70&lt;='Tariffs Jan2021'!L70,($C$5*'Tariffs Jan2021'!AL70/'Tariffs Jan2021'!AJ70-'Tariffs Jan2021'!K70)*('Tariffs Jan2021'!W70/100)*'Tariffs Jan2021'!AJ70,('Tariffs Jan2021'!L70-'Tariffs Jan2021'!K70)*('Tariffs Jan2021'!W70/100)*'Tariffs Jan2021'!AJ70))</f>
        <v>0</v>
      </c>
      <c r="M76" s="59">
        <f>IF($C$5*'Tariffs Jan2021'!AL70/'Tariffs Jan2021'!AJ70&lt;'Tariffs Jan2021'!L70,0,IF($C$5*'Tariffs Jan2021'!AL70/'Tariffs Jan2021'!AJ70&lt;='Tariffs Jan2021'!M70,($C$5*'Tariffs Jan2021'!AL70/'Tariffs Jan2021'!AJ70-'Tariffs Jan2021'!L70)*('Tariffs Jan2021'!X70/100)*'Tariffs Jan2021'!AJ70,('Tariffs Jan2021'!M70-'Tariffs Jan2021'!L70)*('Tariffs Jan2021'!X70/100)*'Tariffs Jan2021'!AJ70))</f>
        <v>0</v>
      </c>
      <c r="N76" s="59">
        <f>IF(($C$5*'Tariffs Jan2021'!AL70/'Tariffs Jan2021'!AJ70&gt;'Tariffs Jan2021'!M70),($C$5*'Tariffs Jan2021'!AL70/'Tariffs Jan2021'!AJ70-'Tariffs Jan2021'!M70)*'Tariffs Jan2021'!Y70/100*'Tariffs Jan2021'!AJ70,0)</f>
        <v>347.72727272727263</v>
      </c>
      <c r="O76" s="59">
        <f t="shared" si="1"/>
        <v>1087.5463636363634</v>
      </c>
      <c r="P76" s="503">
        <f t="shared" si="56"/>
        <v>1196.3009999999997</v>
      </c>
      <c r="Q76" s="59">
        <f t="shared" si="3"/>
        <v>1315.7377272727269</v>
      </c>
      <c r="R76" s="272">
        <f t="shared" si="4"/>
        <v>1447.3114999999998</v>
      </c>
      <c r="S76" s="40">
        <f>'Tariffs Jan2021'!AN70</f>
        <v>0</v>
      </c>
      <c r="T76" s="40">
        <f>'Tariffs Jan2021'!AO70</f>
        <v>0</v>
      </c>
      <c r="U76" s="40">
        <f>'Tariffs Jan2021'!AP70</f>
        <v>0</v>
      </c>
      <c r="V76" s="40">
        <f>'Tariffs Jan2021'!AQ70</f>
        <v>0</v>
      </c>
      <c r="W76" s="539" t="str">
        <f>IF(SUM(S76:V76)=0,"No discount",IF(S76&gt;0,"Guaranteed off bill",IF(T76&gt;0,"Guaranteed off usage",IF(U76&gt;0,"Pay-on-time off bill","Pay-on-time off usage"))))</f>
        <v>No discount</v>
      </c>
      <c r="X76" s="538" t="str">
        <f>IF(OR(A76="Origin Energy",A76="Red Energy",A76="Powershop"),"Inclusive","Exclusive")</f>
        <v>Exclusive</v>
      </c>
      <c r="Y76" s="534">
        <f>IF(AND(W76="Guaranteed off bill",X76="Inclusive"),((Q76*1.1)-((Q76*1.1)*S76/100))/1.1,IF(AND(W76="Guaranteed off usage",X76="Inclusive"),((Q76*1.1)-((P76*1.1)*T76/100))/1.1,IF(AND(W76="Guaranteed off bill",X76="Exclusive"),Q76-(Q76*S76/100),IF(AND(W76="Guaranteed off usage",X76="Exclusive"),Q76-(P76*T76/100),IF(X76="Inclusive",((Q76*1.1))/1.1,Q76)))))</f>
        <v>1315.7377272727269</v>
      </c>
      <c r="Z76" s="535">
        <f>IF(AND(W76="Pay-on-time off bill",X76="Inclusive"),((Y76*1.1)-((Y76*1.1)*U76/100))/1.1,IF(AND(W76="Pay-on-time off usage",X76="Inclusive"),((Y76*1.1)-((P76*1.1)*V76/100))/1.1,IF(AND(W76="Pay-on-time off bill",X76="Exclusive"),Y76-(Y76*U76/100),IF(AND(W76="Pay-on-time off usage",X76="Exclusive"),Y76-(P76*V76/100),IF(X76="Inclusive",((Y76*1.1))/1.1,Y76)))))</f>
        <v>1315.7377272727269</v>
      </c>
      <c r="AA76" s="542">
        <f t="shared" si="59"/>
        <v>1447.3114999999998</v>
      </c>
      <c r="AB76" s="542">
        <f t="shared" si="59"/>
        <v>1447.3114999999998</v>
      </c>
      <c r="AC76" s="274">
        <f>'Tariffs Jan2021'!AZ70</f>
        <v>0</v>
      </c>
      <c r="AD76" s="274" t="str">
        <f>'Tariffs Jan2021'!BA70</f>
        <v>n</v>
      </c>
      <c r="AE76" s="275" t="str">
        <f>'Tariffs Jan2021'!BJ70</f>
        <v>N</v>
      </c>
      <c r="AF76" s="516"/>
      <c r="AG76" s="516"/>
      <c r="AH76" s="516"/>
      <c r="AI76" s="516"/>
      <c r="AJ76" s="516"/>
      <c r="AK76" s="516"/>
      <c r="AL76" s="516"/>
      <c r="AM76" s="516"/>
      <c r="AN76" s="516"/>
      <c r="AO76" s="516"/>
      <c r="AP76" s="516"/>
      <c r="AQ76" s="516"/>
      <c r="AR76" s="516"/>
      <c r="AS76" s="516"/>
      <c r="AT76" s="516"/>
      <c r="AU76" s="516"/>
      <c r="AV76" s="516"/>
      <c r="AW76" s="516"/>
      <c r="AX76" s="516"/>
      <c r="AY76" s="516"/>
      <c r="AZ76" s="516"/>
    </row>
    <row r="77" spans="1:52" ht="14" x14ac:dyDescent="0.15">
      <c r="A77" s="270" t="str">
        <f>'Tariffs Jan2021'!F71</f>
        <v>Alinta Energy</v>
      </c>
      <c r="B77" s="40" t="str">
        <f>'Tariffs Jan2021'!D71</f>
        <v>AGN Central 1</v>
      </c>
      <c r="C77" s="40" t="str">
        <f>'Tariffs Jan2021'!G71</f>
        <v>Home Deal</v>
      </c>
      <c r="D77" s="59">
        <f>365*'Tariffs Jan2021'!H71/100</f>
        <v>201.48</v>
      </c>
      <c r="E77" s="59">
        <f>IF($C$5*'Tariffs Jan2021'!AK71/'Tariffs Jan2021'!AI71&gt;='Tariffs Jan2021'!J71,( 'Tariffs Jan2021'!J71*'Tariffs Jan2021'!O71/100)* 'Tariffs Jan2021'!AI71,($C$5*'Tariffs Jan2021'!AK71/'Tariffs Jan2021'!AI71*'Tariffs Jan2021'!O71/100)* 'Tariffs Jan2021'!AI71)</f>
        <v>113.50499999999998</v>
      </c>
      <c r="F77" s="59">
        <f>IF($C$5*'Tariffs Jan2021'!AK71/'Tariffs Jan2021'!AI71&lt;'Tariffs Jan2021'!J71,0,IF($C$5*'Tariffs Jan2021'!AK71/'Tariffs Jan2021'!AI71&lt;='Tariffs Jan2021'!K71,($C$5*'Tariffs Jan2021'!AK71/'Tariffs Jan2021'!AI71-'Tariffs Jan2021'!J71)*('Tariffs Jan2021'!P71/100)*'Tariffs Jan2021'!AI71,('Tariffs Jan2021'!K71-'Tariffs Jan2021'!J71)*('Tariffs Jan2021'!P71/100)*'Tariffs Jan2021'!AI71))</f>
        <v>79.452272727272714</v>
      </c>
      <c r="G77" s="59">
        <f>IF($C$5*'Tariffs Jan2021'!AK71/'Tariffs Jan2021'!AI71&lt;'Tariffs Jan2021'!K71,0,IF($C$5*'Tariffs Jan2021'!AK71/'Tariffs Jan2021'!AI71&lt;='Tariffs Jan2021'!L71,($C$5*'Tariffs Jan2021'!AK71/'Tariffs Jan2021'!AI71-'Tariffs Jan2021'!K71)*('Tariffs Jan2021'!Q71/100)*'Tariffs Jan2021'!AI71,('Tariffs Jan2021'!L71-'Tariffs Jan2021'!K71)*('Tariffs Jan2021'!Q71/100)*'Tariffs Jan2021'!AI71))</f>
        <v>0</v>
      </c>
      <c r="H77" s="59">
        <f>IF($C$5*'Tariffs Jan2021'!AK71/'Tariffs Jan2021'!AI71&lt;'Tariffs Jan2021'!L71,0,IF($C$5*'Tariffs Jan2021'!AK71/'Tariffs Jan2021'!AI71&lt;='Tariffs Jan2021'!M71,($C$5*'Tariffs Jan2021'!AK71/'Tariffs Jan2021'!AI71-'Tariffs Jan2021'!L71)*('Tariffs Jan2021'!R71/100)*'Tariffs Jan2021'!AI71,('Tariffs Jan2021'!M71-'Tariffs Jan2021'!L71)*('Tariffs Jan2021'!R71/100)*'Tariffs Jan2021'!AI71))</f>
        <v>0</v>
      </c>
      <c r="I77" s="59">
        <f>IF(($C$5*'Tariffs Jan2021'!AK71/'Tariffs Jan2021'!AI71&gt;'Tariffs Jan2021'!M71),($C$5*'Tariffs Jan2021'!AK71/'Tariffs Jan2021'!AI71-'Tariffs Jan2021'!M71)*'Tariffs Jan2021'!S71/100*'Tariffs Jan2021'!AI71,0)</f>
        <v>337.49999999999994</v>
      </c>
      <c r="J77" s="59">
        <f>IF($C$5*'Tariffs Jan2021'!AL71/'Tariffs Jan2021'!AJ71&gt;='Tariffs Jan2021'!J71,('Tariffs Jan2021'!J71*'Tariffs Jan2021'!U71/100)* 'Tariffs Jan2021'!AJ71,($C$5*'Tariffs Jan2021'!AL71/'Tariffs Jan2021'!AJ71*'Tariffs Jan2021'!U71/100)* 'Tariffs Jan2021'!AJ71)</f>
        <v>113.50499999999998</v>
      </c>
      <c r="K77" s="59">
        <f>IF($C$5*'Tariffs Jan2021'!AL71/'Tariffs Jan2021'!AJ71&lt;'Tariffs Jan2021'!J71,0,IF($C$5*'Tariffs Jan2021'!AL71/'Tariffs Jan2021'!AJ71&lt;='Tariffs Jan2021'!K71,($C$5*'Tariffs Jan2021'!AL71/'Tariffs Jan2021'!AJ71-'Tariffs Jan2021'!J71)*('Tariffs Jan2021'!V71/100)*'Tariffs Jan2021'!AJ71,('Tariffs Jan2021'!K71-'Tariffs Jan2021'!J71)*('Tariffs Jan2021'!V71/100)*'Tariffs Jan2021'!AJ71))</f>
        <v>79.452272727272714</v>
      </c>
      <c r="L77" s="59">
        <f>IF($C$5*'Tariffs Jan2021'!AL71/'Tariffs Jan2021'!AJ71&lt;'Tariffs Jan2021'!K71,0,IF($C$5*'Tariffs Jan2021'!AL71/'Tariffs Jan2021'!AJ71&lt;='Tariffs Jan2021'!L71,($C$5*'Tariffs Jan2021'!AL71/'Tariffs Jan2021'!AJ71-'Tariffs Jan2021'!K71)*('Tariffs Jan2021'!W71/100)*'Tariffs Jan2021'!AJ71,('Tariffs Jan2021'!L71-'Tariffs Jan2021'!K71)*('Tariffs Jan2021'!W71/100)*'Tariffs Jan2021'!AJ71))</f>
        <v>0</v>
      </c>
      <c r="M77" s="59">
        <f>IF($C$5*'Tariffs Jan2021'!AL71/'Tariffs Jan2021'!AJ71&lt;'Tariffs Jan2021'!L71,0,IF($C$5*'Tariffs Jan2021'!AL71/'Tariffs Jan2021'!AJ71&lt;='Tariffs Jan2021'!M71,($C$5*'Tariffs Jan2021'!AL71/'Tariffs Jan2021'!AJ71-'Tariffs Jan2021'!L71)*('Tariffs Jan2021'!X71/100)*'Tariffs Jan2021'!AJ71,('Tariffs Jan2021'!M71-'Tariffs Jan2021'!L71)*('Tariffs Jan2021'!X71/100)*'Tariffs Jan2021'!AJ71))</f>
        <v>0</v>
      </c>
      <c r="N77" s="59">
        <f>IF(($C$5*'Tariffs Jan2021'!AL71/'Tariffs Jan2021'!AJ71&gt;'Tariffs Jan2021'!M71),($C$5*'Tariffs Jan2021'!AL71/'Tariffs Jan2021'!AJ71-'Tariffs Jan2021'!M71)*'Tariffs Jan2021'!Y71/100*'Tariffs Jan2021'!AJ71,0)</f>
        <v>337.49999999999994</v>
      </c>
      <c r="O77" s="59">
        <f t="shared" si="1"/>
        <v>1060.9145454545453</v>
      </c>
      <c r="P77" s="503">
        <f t="shared" si="56"/>
        <v>1167.0059999999999</v>
      </c>
      <c r="Q77" s="59">
        <f t="shared" si="3"/>
        <v>1262.3945454545453</v>
      </c>
      <c r="R77" s="272">
        <f t="shared" si="4"/>
        <v>1388.634</v>
      </c>
      <c r="S77" s="40">
        <f>'Tariffs Jan2021'!AN71</f>
        <v>0</v>
      </c>
      <c r="T77" s="40">
        <f>'Tariffs Jan2021'!AO71</f>
        <v>0</v>
      </c>
      <c r="U77" s="40">
        <f>'Tariffs Jan2021'!AP71</f>
        <v>0</v>
      </c>
      <c r="V77" s="40">
        <f>'Tariffs Jan2021'!AQ71</f>
        <v>0</v>
      </c>
      <c r="W77" s="537" t="str">
        <f t="shared" ref="W77:W108" si="60">IF(SUM(S77:V77)=0,"No discount",IF(S77&gt;0,"Guaranteed off bill",IF(T77&gt;0,"Guaranteed off usage",IF(U77&gt;0,"Pay-on-time off bill","Pay-on-time off usage"))))</f>
        <v>No discount</v>
      </c>
      <c r="X77" s="538" t="str">
        <f t="shared" ref="X77:X108" si="61">IF(OR(A77="Origin Energy",A77="Red Energy",A77="Powershop"),"Inclusive","Exclusive")</f>
        <v>Exclusive</v>
      </c>
      <c r="Y77" s="534">
        <f>IF(AND(W77="Guaranteed off bill",X77="Inclusive"),((Q77*1.1)-((Q77*1.1)*S77/100))/1.1,IF(AND(W77="Guaranteed off usage",X77="Inclusive"),((Q77*1.1)-((P77*1.1)*T77/100))/1.1,IF(AND(W77="Guaranteed off bill",X77="Exclusive"),Q77-(Q77*S77/100),IF(AND(W77="Guaranteed off usage",X77="Exclusive"),Q77-(P77*T77/100),IF(X77="Inclusive",((Q77*1.1))/1.1,Q77)))))</f>
        <v>1262.3945454545453</v>
      </c>
      <c r="Z77" s="535">
        <f>IF(AND(W77="Pay-on-time off bill",X77="Inclusive"),((Y77*1.1)-((Y77*1.1)*U77/100))/1.1,IF(AND(W77="Pay-on-time off usage",X77="Inclusive"),((Y77*1.1)-((P77*1.1)*V77/100))/1.1,IF(AND(W77="Pay-on-time off bill",X77="Exclusive"),Y77-(Y77*U77/100),IF(AND(W77="Pay-on-time off usage",X77="Exclusive"),Y77-(P77*V77/100),IF(X77="Inclusive",((Y77*1.1))/1.1,Y77)))))</f>
        <v>1262.3945454545453</v>
      </c>
      <c r="AA77" s="542">
        <f t="shared" si="59"/>
        <v>1388.634</v>
      </c>
      <c r="AB77" s="542">
        <f t="shared" si="59"/>
        <v>1388.634</v>
      </c>
      <c r="AC77" s="274">
        <f>'Tariffs Jan2021'!AZ71</f>
        <v>0</v>
      </c>
      <c r="AD77" s="274" t="str">
        <f>'Tariffs Jan2021'!BA71</f>
        <v>n</v>
      </c>
      <c r="AE77" s="275" t="str">
        <f>'Tariffs Jan2021'!BJ71</f>
        <v>N</v>
      </c>
      <c r="AF77" s="516"/>
      <c r="AG77" s="516"/>
      <c r="AH77" s="516"/>
      <c r="AI77" s="516"/>
      <c r="AJ77" s="516"/>
      <c r="AK77" s="516"/>
      <c r="AL77" s="516"/>
      <c r="AM77" s="516"/>
      <c r="AN77" s="516"/>
      <c r="AO77" s="516"/>
      <c r="AP77" s="516"/>
      <c r="AQ77" s="516"/>
      <c r="AR77" s="516"/>
      <c r="AS77" s="516"/>
      <c r="AT77" s="516"/>
      <c r="AU77" s="516"/>
      <c r="AV77" s="516"/>
      <c r="AW77" s="516"/>
      <c r="AX77" s="516"/>
      <c r="AY77" s="516"/>
      <c r="AZ77" s="516"/>
    </row>
    <row r="78" spans="1:52" ht="14" x14ac:dyDescent="0.15">
      <c r="A78" s="270" t="str">
        <f>'Tariffs Jan2021'!F72</f>
        <v>Click Energy</v>
      </c>
      <c r="B78" s="40" t="str">
        <f>'Tariffs Jan2021'!D72</f>
        <v>AGN Central 1</v>
      </c>
      <c r="C78" s="40" t="str">
        <f>'Tariffs Jan2021'!G72</f>
        <v>Lily</v>
      </c>
      <c r="D78" s="59">
        <f>365*'Tariffs Jan2021'!H72/100</f>
        <v>175.63136363636363</v>
      </c>
      <c r="E78" s="59">
        <f>IF($C$5*'Tariffs Jan2021'!AK72/'Tariffs Jan2021'!AI72&gt;='Tariffs Jan2021'!J72,( 'Tariffs Jan2021'!J72*'Tariffs Jan2021'!O72/100)* 'Tariffs Jan2021'!AI72,($C$5*'Tariffs Jan2021'!AK72/'Tariffs Jan2021'!AI72*'Tariffs Jan2021'!O72/100)* 'Tariffs Jan2021'!AI72)</f>
        <v>109.4672727272727</v>
      </c>
      <c r="F78" s="59">
        <f>IF($C$5*'Tariffs Jan2021'!AK72/'Tariffs Jan2021'!AI72&lt;'Tariffs Jan2021'!J72,0,IF($C$5*'Tariffs Jan2021'!AK72/'Tariffs Jan2021'!AI72&lt;='Tariffs Jan2021'!K72,($C$5*'Tariffs Jan2021'!AK72/'Tariffs Jan2021'!AI72-'Tariffs Jan2021'!J72)*('Tariffs Jan2021'!P72/100)*'Tariffs Jan2021'!AI72,('Tariffs Jan2021'!K72-'Tariffs Jan2021'!J72)*('Tariffs Jan2021'!P72/100)*'Tariffs Jan2021'!AI72))</f>
        <v>73.169999999999987</v>
      </c>
      <c r="G78" s="59">
        <f>IF($C$5*'Tariffs Jan2021'!AK72/'Tariffs Jan2021'!AI72&lt;'Tariffs Jan2021'!K72,0,IF($C$5*'Tariffs Jan2021'!AK72/'Tariffs Jan2021'!AI72&lt;='Tariffs Jan2021'!L72,($C$5*'Tariffs Jan2021'!AK72/'Tariffs Jan2021'!AI72-'Tariffs Jan2021'!K72)*('Tariffs Jan2021'!Q72/100)*'Tariffs Jan2021'!AI72,('Tariffs Jan2021'!L72-'Tariffs Jan2021'!K72)*('Tariffs Jan2021'!Q72/100)*'Tariffs Jan2021'!AI72))</f>
        <v>0</v>
      </c>
      <c r="H78" s="59">
        <f>IF($C$5*'Tariffs Jan2021'!AK72/'Tariffs Jan2021'!AI72&lt;'Tariffs Jan2021'!L72,0,IF($C$5*'Tariffs Jan2021'!AK72/'Tariffs Jan2021'!AI72&lt;='Tariffs Jan2021'!M72,($C$5*'Tariffs Jan2021'!AK72/'Tariffs Jan2021'!AI72-'Tariffs Jan2021'!L72)*('Tariffs Jan2021'!R72/100)*'Tariffs Jan2021'!AI72,('Tariffs Jan2021'!M72-'Tariffs Jan2021'!L72)*('Tariffs Jan2021'!R72/100)*'Tariffs Jan2021'!AI72))</f>
        <v>0</v>
      </c>
      <c r="I78" s="59">
        <f>IF(($C$5*'Tariffs Jan2021'!AK72/'Tariffs Jan2021'!AI72&gt;'Tariffs Jan2021'!M72),($C$5*'Tariffs Jan2021'!AK72/'Tariffs Jan2021'!AI72-'Tariffs Jan2021'!M72)*'Tariffs Jan2021'!S72/100*'Tariffs Jan2021'!AI72,0)</f>
        <v>364.09090909090907</v>
      </c>
      <c r="J78" s="59">
        <f>IF($C$5*'Tariffs Jan2021'!AL72/'Tariffs Jan2021'!AJ72&gt;='Tariffs Jan2021'!J72,('Tariffs Jan2021'!J72*'Tariffs Jan2021'!U72/100)* 'Tariffs Jan2021'!AJ72,($C$5*'Tariffs Jan2021'!AL72/'Tariffs Jan2021'!AJ72*'Tariffs Jan2021'!U72/100)* 'Tariffs Jan2021'!AJ72)</f>
        <v>109.4672727272727</v>
      </c>
      <c r="K78" s="59">
        <f>IF($C$5*'Tariffs Jan2021'!AL72/'Tariffs Jan2021'!AJ72&lt;'Tariffs Jan2021'!J72,0,IF($C$5*'Tariffs Jan2021'!AL72/'Tariffs Jan2021'!AJ72&lt;='Tariffs Jan2021'!K72,($C$5*'Tariffs Jan2021'!AL72/'Tariffs Jan2021'!AJ72-'Tariffs Jan2021'!J72)*('Tariffs Jan2021'!V72/100)*'Tariffs Jan2021'!AJ72,('Tariffs Jan2021'!K72-'Tariffs Jan2021'!J72)*('Tariffs Jan2021'!V72/100)*'Tariffs Jan2021'!AJ72))</f>
        <v>73.169999999999987</v>
      </c>
      <c r="L78" s="59">
        <f>IF($C$5*'Tariffs Jan2021'!AL72/'Tariffs Jan2021'!AJ72&lt;'Tariffs Jan2021'!K72,0,IF($C$5*'Tariffs Jan2021'!AL72/'Tariffs Jan2021'!AJ72&lt;='Tariffs Jan2021'!L72,($C$5*'Tariffs Jan2021'!AL72/'Tariffs Jan2021'!AJ72-'Tariffs Jan2021'!K72)*('Tariffs Jan2021'!W72/100)*'Tariffs Jan2021'!AJ72,('Tariffs Jan2021'!L72-'Tariffs Jan2021'!K72)*('Tariffs Jan2021'!W72/100)*'Tariffs Jan2021'!AJ72))</f>
        <v>0</v>
      </c>
      <c r="M78" s="59">
        <f>IF($C$5*'Tariffs Jan2021'!AL72/'Tariffs Jan2021'!AJ72&lt;'Tariffs Jan2021'!L72,0,IF($C$5*'Tariffs Jan2021'!AL72/'Tariffs Jan2021'!AJ72&lt;='Tariffs Jan2021'!M72,($C$5*'Tariffs Jan2021'!AL72/'Tariffs Jan2021'!AJ72-'Tariffs Jan2021'!L72)*('Tariffs Jan2021'!X72/100)*'Tariffs Jan2021'!AJ72,('Tariffs Jan2021'!M72-'Tariffs Jan2021'!L72)*('Tariffs Jan2021'!X72/100)*'Tariffs Jan2021'!AJ72))</f>
        <v>0</v>
      </c>
      <c r="N78" s="59">
        <f>IF(($C$5*'Tariffs Jan2021'!AL72/'Tariffs Jan2021'!AJ72&gt;'Tariffs Jan2021'!M72),($C$5*'Tariffs Jan2021'!AL72/'Tariffs Jan2021'!AJ72-'Tariffs Jan2021'!M72)*'Tariffs Jan2021'!Y72/100*'Tariffs Jan2021'!AJ72,0)</f>
        <v>364.09090909090907</v>
      </c>
      <c r="O78" s="59">
        <f t="shared" si="1"/>
        <v>1093.4563636363634</v>
      </c>
      <c r="P78" s="503">
        <f t="shared" si="56"/>
        <v>1202.8019999999999</v>
      </c>
      <c r="Q78" s="59">
        <f t="shared" si="3"/>
        <v>1269.0877272727271</v>
      </c>
      <c r="R78" s="272">
        <f t="shared" si="4"/>
        <v>1395.9965</v>
      </c>
      <c r="S78" s="40">
        <f>'Tariffs Jan2021'!AN72</f>
        <v>0</v>
      </c>
      <c r="T78" s="40">
        <f>'Tariffs Jan2021'!AO72</f>
        <v>0</v>
      </c>
      <c r="U78" s="40">
        <f>'Tariffs Jan2021'!AP72</f>
        <v>0</v>
      </c>
      <c r="V78" s="40">
        <f>'Tariffs Jan2021'!AQ72</f>
        <v>0</v>
      </c>
      <c r="W78" s="537" t="str">
        <f t="shared" si="60"/>
        <v>No discount</v>
      </c>
      <c r="X78" s="538" t="str">
        <f t="shared" si="61"/>
        <v>Exclusive</v>
      </c>
      <c r="Y78" s="534">
        <f t="shared" ref="Y78:Y79" si="62">IF(AND(W78="Guaranteed off bill",X78="Inclusive"),((Q78*1.1)-((Q78*1.1)*S78/100))/1.1,IF(AND(W78="Guaranteed off usage",X78="Inclusive"),((Q78*1.1)-((P78*1.1)*T78/100))/1.1,IF(AND(W78="Guaranteed off bill",X78="Exclusive"),Q78-(Q78*S78/100),IF(AND(W78="Guaranteed off usage",X78="Exclusive"),Q78-(P78*T78/100),IF(X78="Inclusive",((Q78*1.1))/1.1,Q78)))))</f>
        <v>1269.0877272727271</v>
      </c>
      <c r="Z78" s="535">
        <f t="shared" ref="Z78:Z79" si="63">IF(AND(W78="Pay-on-time off bill",X78="Inclusive"),((Y78*1.1)-((Y78*1.1)*U78/100))/1.1,IF(AND(W78="Pay-on-time off usage",X78="Inclusive"),((Y78*1.1)-((P78*1.1)*V78/100))/1.1,IF(AND(W78="Pay-on-time off bill",X78="Exclusive"),Y78-(Y78*U78/100),IF(AND(W78="Pay-on-time off usage",X78="Exclusive"),Y78-(P78*V78/100),IF(X78="Inclusive",((Y78*1.1))/1.1,Y78)))))</f>
        <v>1269.0877272727271</v>
      </c>
      <c r="AA78" s="542">
        <f t="shared" si="59"/>
        <v>1395.9965</v>
      </c>
      <c r="AB78" s="542">
        <f t="shared" si="59"/>
        <v>1395.9965</v>
      </c>
      <c r="AC78" s="274">
        <f>'Tariffs Jan2021'!AZ72</f>
        <v>0</v>
      </c>
      <c r="AD78" s="274" t="str">
        <f>'Tariffs Jan2021'!BA72</f>
        <v>n</v>
      </c>
      <c r="AE78" s="275" t="str">
        <f>'Tariffs Jan2021'!BJ72</f>
        <v>N</v>
      </c>
      <c r="AF78" s="516"/>
      <c r="AG78" s="516"/>
      <c r="AH78" s="516"/>
      <c r="AI78" s="516"/>
      <c r="AJ78" s="516"/>
      <c r="AK78" s="516"/>
      <c r="AL78" s="516"/>
      <c r="AM78" s="516"/>
      <c r="AN78" s="516"/>
      <c r="AO78" s="516"/>
      <c r="AP78" s="516"/>
      <c r="AQ78" s="516"/>
      <c r="AR78" s="516"/>
      <c r="AS78" s="516"/>
      <c r="AT78" s="516"/>
      <c r="AU78" s="516"/>
      <c r="AV78" s="516"/>
      <c r="AW78" s="516"/>
      <c r="AX78" s="516"/>
      <c r="AY78" s="516"/>
      <c r="AZ78" s="516"/>
    </row>
    <row r="79" spans="1:52" ht="14" x14ac:dyDescent="0.15">
      <c r="A79" s="270" t="str">
        <f>'Tariffs Jan2021'!F73</f>
        <v>Covau</v>
      </c>
      <c r="B79" s="40" t="str">
        <f>'Tariffs Jan2021'!D73</f>
        <v>AGN Central 1</v>
      </c>
      <c r="C79" s="40" t="str">
        <f>'Tariffs Jan2021'!G73</f>
        <v>Smart Saver</v>
      </c>
      <c r="D79" s="59">
        <f>365*'Tariffs Jan2021'!H73/100</f>
        <v>273.75</v>
      </c>
      <c r="E79" s="59">
        <f>IF($C$5*'Tariffs Jan2021'!AK73/'Tariffs Jan2021'!AI73&gt;='Tariffs Jan2021'!J73,( 'Tariffs Jan2021'!J73*'Tariffs Jan2021'!O73/100)* 'Tariffs Jan2021'!AI73,($C$5*'Tariffs Jan2021'!AK73/'Tariffs Jan2021'!AI73*'Tariffs Jan2021'!O73/100)* 'Tariffs Jan2021'!AI73)</f>
        <v>156.57409090909093</v>
      </c>
      <c r="F79" s="59">
        <f>IF($C$5*'Tariffs Jan2021'!AK73/'Tariffs Jan2021'!AI73&lt;'Tariffs Jan2021'!J73,0,IF($C$5*'Tariffs Jan2021'!AK73/'Tariffs Jan2021'!AI73&lt;='Tariffs Jan2021'!K73,($C$5*'Tariffs Jan2021'!AK73/'Tariffs Jan2021'!AI73-'Tariffs Jan2021'!J73)*('Tariffs Jan2021'!P73/100)*'Tariffs Jan2021'!AI73,('Tariffs Jan2021'!K73-'Tariffs Jan2021'!J73)*('Tariffs Jan2021'!P73/100)*'Tariffs Jan2021'!AI73))</f>
        <v>101.625</v>
      </c>
      <c r="G79" s="59">
        <f>IF($C$5*'Tariffs Jan2021'!AK73/'Tariffs Jan2021'!AI73&lt;'Tariffs Jan2021'!K73,0,IF($C$5*'Tariffs Jan2021'!AK73/'Tariffs Jan2021'!AI73&lt;='Tariffs Jan2021'!L73,($C$5*'Tariffs Jan2021'!AK73/'Tariffs Jan2021'!AI73-'Tariffs Jan2021'!K73)*('Tariffs Jan2021'!Q73/100)*'Tariffs Jan2021'!AI73,('Tariffs Jan2021'!L73-'Tariffs Jan2021'!K73)*('Tariffs Jan2021'!Q73/100)*'Tariffs Jan2021'!AI73))</f>
        <v>0</v>
      </c>
      <c r="H79" s="59">
        <f>IF($C$5*'Tariffs Jan2021'!AK73/'Tariffs Jan2021'!AI73&lt;'Tariffs Jan2021'!L73,0,IF($C$5*'Tariffs Jan2021'!AK73/'Tariffs Jan2021'!AI73&lt;='Tariffs Jan2021'!M73,($C$5*'Tariffs Jan2021'!AK73/'Tariffs Jan2021'!AI73-'Tariffs Jan2021'!L73)*('Tariffs Jan2021'!R73/100)*'Tariffs Jan2021'!AI73,('Tariffs Jan2021'!M73-'Tariffs Jan2021'!L73)*('Tariffs Jan2021'!R73/100)*'Tariffs Jan2021'!AI73))</f>
        <v>0</v>
      </c>
      <c r="I79" s="59">
        <f>IF(($C$5*'Tariffs Jan2021'!AK73/'Tariffs Jan2021'!AI73&gt;'Tariffs Jan2021'!M73),($C$5*'Tariffs Jan2021'!AK73/'Tariffs Jan2021'!AI73-'Tariffs Jan2021'!M73)*'Tariffs Jan2021'!S73/100*'Tariffs Jan2021'!AI73,0)</f>
        <v>507.27272727272725</v>
      </c>
      <c r="J79" s="59">
        <f>IF($C$5*'Tariffs Jan2021'!AL73/'Tariffs Jan2021'!AJ73&gt;='Tariffs Jan2021'!J73,('Tariffs Jan2021'!J73*'Tariffs Jan2021'!U73/100)* 'Tariffs Jan2021'!AJ73,($C$5*'Tariffs Jan2021'!AL73/'Tariffs Jan2021'!AJ73*'Tariffs Jan2021'!U73/100)* 'Tariffs Jan2021'!AJ73)</f>
        <v>156.57409090909093</v>
      </c>
      <c r="K79" s="59">
        <f>IF($C$5*'Tariffs Jan2021'!AL73/'Tariffs Jan2021'!AJ73&lt;'Tariffs Jan2021'!J73,0,IF($C$5*'Tariffs Jan2021'!AL73/'Tariffs Jan2021'!AJ73&lt;='Tariffs Jan2021'!K73,($C$5*'Tariffs Jan2021'!AL73/'Tariffs Jan2021'!AJ73-'Tariffs Jan2021'!J73)*('Tariffs Jan2021'!V73/100)*'Tariffs Jan2021'!AJ73,('Tariffs Jan2021'!K73-'Tariffs Jan2021'!J73)*('Tariffs Jan2021'!V73/100)*'Tariffs Jan2021'!AJ73))</f>
        <v>101.625</v>
      </c>
      <c r="L79" s="59">
        <f>IF($C$5*'Tariffs Jan2021'!AL73/'Tariffs Jan2021'!AJ73&lt;'Tariffs Jan2021'!K73,0,IF($C$5*'Tariffs Jan2021'!AL73/'Tariffs Jan2021'!AJ73&lt;='Tariffs Jan2021'!L73,($C$5*'Tariffs Jan2021'!AL73/'Tariffs Jan2021'!AJ73-'Tariffs Jan2021'!K73)*('Tariffs Jan2021'!W73/100)*'Tariffs Jan2021'!AJ73,('Tariffs Jan2021'!L73-'Tariffs Jan2021'!K73)*('Tariffs Jan2021'!W73/100)*'Tariffs Jan2021'!AJ73))</f>
        <v>0</v>
      </c>
      <c r="M79" s="59">
        <f>IF($C$5*'Tariffs Jan2021'!AL73/'Tariffs Jan2021'!AJ73&lt;'Tariffs Jan2021'!L73,0,IF($C$5*'Tariffs Jan2021'!AL73/'Tariffs Jan2021'!AJ73&lt;='Tariffs Jan2021'!M73,($C$5*'Tariffs Jan2021'!AL73/'Tariffs Jan2021'!AJ73-'Tariffs Jan2021'!L73)*('Tariffs Jan2021'!X73/100)*'Tariffs Jan2021'!AJ73,('Tariffs Jan2021'!M73-'Tariffs Jan2021'!L73)*('Tariffs Jan2021'!X73/100)*'Tariffs Jan2021'!AJ73))</f>
        <v>0</v>
      </c>
      <c r="N79" s="59">
        <f>IF(($C$5*'Tariffs Jan2021'!AL73/'Tariffs Jan2021'!AJ73&gt;'Tariffs Jan2021'!M73),($C$5*'Tariffs Jan2021'!AL73/'Tariffs Jan2021'!AJ73-'Tariffs Jan2021'!M73)*'Tariffs Jan2021'!Y73/100*'Tariffs Jan2021'!AJ73,0)</f>
        <v>507.27272727272725</v>
      </c>
      <c r="O79" s="59">
        <f t="shared" si="1"/>
        <v>1530.9436363636364</v>
      </c>
      <c r="P79" s="503">
        <f t="shared" si="56"/>
        <v>1684.0380000000002</v>
      </c>
      <c r="Q79" s="59">
        <f t="shared" si="3"/>
        <v>1804.6936363636364</v>
      </c>
      <c r="R79" s="272">
        <f t="shared" si="4"/>
        <v>1985.1630000000002</v>
      </c>
      <c r="S79" s="40">
        <f>'Tariffs Jan2021'!AN73</f>
        <v>0</v>
      </c>
      <c r="T79" s="40">
        <f>'Tariffs Jan2021'!AO73</f>
        <v>16</v>
      </c>
      <c r="U79" s="40">
        <f>'Tariffs Jan2021'!AP73</f>
        <v>0</v>
      </c>
      <c r="V79" s="40">
        <f>'Tariffs Jan2021'!AQ73</f>
        <v>0</v>
      </c>
      <c r="W79" s="537" t="str">
        <f t="shared" si="60"/>
        <v>Guaranteed off usage</v>
      </c>
      <c r="X79" s="538" t="str">
        <f t="shared" si="61"/>
        <v>Exclusive</v>
      </c>
      <c r="Y79" s="534">
        <f t="shared" si="62"/>
        <v>1535.2475563636362</v>
      </c>
      <c r="Z79" s="535">
        <f t="shared" si="63"/>
        <v>1535.2475563636362</v>
      </c>
      <c r="AA79" s="542">
        <f t="shared" si="59"/>
        <v>1688.7723120000001</v>
      </c>
      <c r="AB79" s="542">
        <f t="shared" si="59"/>
        <v>1688.7723120000001</v>
      </c>
      <c r="AC79" s="274">
        <f>'Tariffs Jan2021'!AZ73</f>
        <v>0</v>
      </c>
      <c r="AD79" s="274" t="str">
        <f>'Tariffs Jan2021'!BA73</f>
        <v>n</v>
      </c>
      <c r="AE79" s="275" t="str">
        <f>'Tariffs Jan2021'!BJ73</f>
        <v>N</v>
      </c>
      <c r="AF79" s="516"/>
      <c r="AG79" s="516"/>
      <c r="AH79" s="516"/>
      <c r="AI79" s="516"/>
      <c r="AJ79" s="516"/>
      <c r="AK79" s="516"/>
      <c r="AL79" s="516"/>
      <c r="AM79" s="516"/>
      <c r="AN79" s="516"/>
      <c r="AO79" s="516"/>
      <c r="AP79" s="516"/>
      <c r="AQ79" s="516"/>
      <c r="AR79" s="516"/>
      <c r="AS79" s="516"/>
      <c r="AT79" s="516"/>
      <c r="AU79" s="516"/>
      <c r="AV79" s="516"/>
      <c r="AW79" s="516"/>
      <c r="AX79" s="516"/>
      <c r="AY79" s="516"/>
      <c r="AZ79" s="516"/>
    </row>
    <row r="80" spans="1:52" ht="14" x14ac:dyDescent="0.15">
      <c r="A80" s="270" t="str">
        <f>'Tariffs Jan2021'!F74</f>
        <v>Dodo Power &amp; Gas</v>
      </c>
      <c r="B80" s="40" t="str">
        <f>'Tariffs Jan2021'!D74</f>
        <v>AGN Central 1</v>
      </c>
      <c r="C80" s="40" t="str">
        <f>'Tariffs Jan2021'!G74</f>
        <v>Market offer</v>
      </c>
      <c r="D80" s="59">
        <f>365*'Tariffs Jan2021'!H74/100</f>
        <v>200.58409090909092</v>
      </c>
      <c r="E80" s="59">
        <f>IF($C$5*'Tariffs Jan2021'!AK74/'Tariffs Jan2021'!AI74&gt;='Tariffs Jan2021'!J74,( 'Tariffs Jan2021'!J74*'Tariffs Jan2021'!O74/100)* 'Tariffs Jan2021'!AI74,($C$5*'Tariffs Jan2021'!AK74/'Tariffs Jan2021'!AI74*'Tariffs Jan2021'!O74/100)* 'Tariffs Jan2021'!AI74)</f>
        <v>133.245</v>
      </c>
      <c r="F80" s="59">
        <f>IF($C$5*'Tariffs Jan2021'!AK74/'Tariffs Jan2021'!AI74&lt;'Tariffs Jan2021'!J74,0,IF($C$5*'Tariffs Jan2021'!AK74/'Tariffs Jan2021'!AI74&lt;='Tariffs Jan2021'!K74,($C$5*'Tariffs Jan2021'!AK74/'Tariffs Jan2021'!AI74-'Tariffs Jan2021'!J74)*('Tariffs Jan2021'!P74/100)*'Tariffs Jan2021'!AI74,('Tariffs Jan2021'!K74-'Tariffs Jan2021'!J74)*('Tariffs Jan2021'!P74/100)*'Tariffs Jan2021'!AI74))</f>
        <v>89.060454545454547</v>
      </c>
      <c r="G80" s="59">
        <f>IF($C$5*'Tariffs Jan2021'!AK74/'Tariffs Jan2021'!AI74&lt;'Tariffs Jan2021'!K74,0,IF($C$5*'Tariffs Jan2021'!AK74/'Tariffs Jan2021'!AI74&lt;='Tariffs Jan2021'!L74,($C$5*'Tariffs Jan2021'!AK74/'Tariffs Jan2021'!AI74-'Tariffs Jan2021'!K74)*('Tariffs Jan2021'!Q74/100)*'Tariffs Jan2021'!AI74,('Tariffs Jan2021'!L74-'Tariffs Jan2021'!K74)*('Tariffs Jan2021'!Q74/100)*'Tariffs Jan2021'!AI74))</f>
        <v>0</v>
      </c>
      <c r="H80" s="59">
        <f>IF($C$5*'Tariffs Jan2021'!AK74/'Tariffs Jan2021'!AI74&lt;'Tariffs Jan2021'!L74,0,IF($C$5*'Tariffs Jan2021'!AK74/'Tariffs Jan2021'!AI74&lt;='Tariffs Jan2021'!M74,($C$5*'Tariffs Jan2021'!AK74/'Tariffs Jan2021'!AI74-'Tariffs Jan2021'!L74)*('Tariffs Jan2021'!R74/100)*'Tariffs Jan2021'!AI74,('Tariffs Jan2021'!M74-'Tariffs Jan2021'!L74)*('Tariffs Jan2021'!R74/100)*'Tariffs Jan2021'!AI74))</f>
        <v>0</v>
      </c>
      <c r="I80" s="59">
        <f>IF(($C$5*'Tariffs Jan2021'!AK74/'Tariffs Jan2021'!AI74&gt;'Tariffs Jan2021'!M74),($C$5*'Tariffs Jan2021'!AK74/'Tariffs Jan2021'!AI74-'Tariffs Jan2021'!M74)*'Tariffs Jan2021'!S74/100*'Tariffs Jan2021'!AI74,0)</f>
        <v>423.40909090909088</v>
      </c>
      <c r="J80" s="59">
        <f>IF($C$5*'Tariffs Jan2021'!AL74/'Tariffs Jan2021'!AJ74&gt;='Tariffs Jan2021'!J74,('Tariffs Jan2021'!J74*'Tariffs Jan2021'!U74/100)* 'Tariffs Jan2021'!AJ74,($C$5*'Tariffs Jan2021'!AL74/'Tariffs Jan2021'!AJ74*'Tariffs Jan2021'!U74/100)* 'Tariffs Jan2021'!AJ74)</f>
        <v>133.245</v>
      </c>
      <c r="K80" s="59">
        <f>IF($C$5*'Tariffs Jan2021'!AL74/'Tariffs Jan2021'!AJ74&lt;'Tariffs Jan2021'!J74,0,IF($C$5*'Tariffs Jan2021'!AL74/'Tariffs Jan2021'!AJ74&lt;='Tariffs Jan2021'!K74,($C$5*'Tariffs Jan2021'!AL74/'Tariffs Jan2021'!AJ74-'Tariffs Jan2021'!J74)*('Tariffs Jan2021'!V74/100)*'Tariffs Jan2021'!AJ74,('Tariffs Jan2021'!K74-'Tariffs Jan2021'!J74)*('Tariffs Jan2021'!V74/100)*'Tariffs Jan2021'!AJ74))</f>
        <v>89.060454545454547</v>
      </c>
      <c r="L80" s="59">
        <f>IF($C$5*'Tariffs Jan2021'!AL74/'Tariffs Jan2021'!AJ74&lt;'Tariffs Jan2021'!K74,0,IF($C$5*'Tariffs Jan2021'!AL74/'Tariffs Jan2021'!AJ74&lt;='Tariffs Jan2021'!L74,($C$5*'Tariffs Jan2021'!AL74/'Tariffs Jan2021'!AJ74-'Tariffs Jan2021'!K74)*('Tariffs Jan2021'!W74/100)*'Tariffs Jan2021'!AJ74,('Tariffs Jan2021'!L74-'Tariffs Jan2021'!K74)*('Tariffs Jan2021'!W74/100)*'Tariffs Jan2021'!AJ74))</f>
        <v>0</v>
      </c>
      <c r="M80" s="59">
        <f>IF($C$5*'Tariffs Jan2021'!AL74/'Tariffs Jan2021'!AJ74&lt;'Tariffs Jan2021'!L74,0,IF($C$5*'Tariffs Jan2021'!AL74/'Tariffs Jan2021'!AJ74&lt;='Tariffs Jan2021'!M74,($C$5*'Tariffs Jan2021'!AL74/'Tariffs Jan2021'!AJ74-'Tariffs Jan2021'!L74)*('Tariffs Jan2021'!X74/100)*'Tariffs Jan2021'!AJ74,('Tariffs Jan2021'!M74-'Tariffs Jan2021'!L74)*('Tariffs Jan2021'!X74/100)*'Tariffs Jan2021'!AJ74))</f>
        <v>0</v>
      </c>
      <c r="N80" s="59">
        <f>IF(($C$5*'Tariffs Jan2021'!AL74/'Tariffs Jan2021'!AJ74&gt;'Tariffs Jan2021'!M74),($C$5*'Tariffs Jan2021'!AL74/'Tariffs Jan2021'!AJ74-'Tariffs Jan2021'!M74)*'Tariffs Jan2021'!Y74/100*'Tariffs Jan2021'!AJ74,0)</f>
        <v>423.40909090909088</v>
      </c>
      <c r="O80" s="59">
        <f t="shared" si="1"/>
        <v>1291.429090909091</v>
      </c>
      <c r="P80" s="503">
        <f t="shared" si="56"/>
        <v>1420.5720000000001</v>
      </c>
      <c r="Q80" s="59">
        <f t="shared" si="3"/>
        <v>1492.0131818181819</v>
      </c>
      <c r="R80" s="272">
        <f t="shared" si="4"/>
        <v>1641.2145000000003</v>
      </c>
      <c r="S80" s="40">
        <f>'Tariffs Jan2021'!AN74</f>
        <v>0</v>
      </c>
      <c r="T80" s="40">
        <f>'Tariffs Jan2021'!AO74</f>
        <v>0</v>
      </c>
      <c r="U80" s="40">
        <f>'Tariffs Jan2021'!AP74</f>
        <v>0</v>
      </c>
      <c r="V80" s="40">
        <f>'Tariffs Jan2021'!AQ74</f>
        <v>0</v>
      </c>
      <c r="W80" s="537" t="str">
        <f t="shared" si="60"/>
        <v>No discount</v>
      </c>
      <c r="X80" s="538" t="str">
        <f t="shared" si="61"/>
        <v>Exclusive</v>
      </c>
      <c r="Y80" s="534">
        <f>IF(AND(W80="Guaranteed off bill",X80="Inclusive"),((Q80*1.1)-((Q80*1.1)*S80/100))/1.1,IF(AND(W80="Guaranteed off usage",X80="Inclusive"),((Q80*1.1)-((P80*1.1)*T80/100))/1.1,IF(AND(W80="Guaranteed off bill",X80="Exclusive"),Q80-(Q80*S80/100),IF(AND(W80="Guaranteed off usage",X80="Exclusive"),Q80-(P80*T80/100),IF(X80="Inclusive",((Q80*1.1))/1.1,Q80)))))</f>
        <v>1492.0131818181819</v>
      </c>
      <c r="Z80" s="535">
        <f>IF(AND(W80="Pay-on-time off bill",X80="Inclusive"),((Y80*1.1)-((Y80*1.1)*U80/100))/1.1,IF(AND(W80="Pay-on-time off usage",X80="Inclusive"),((Y80*1.1)-((P80*1.1)*V80/100))/1.1,IF(AND(W80="Pay-on-time off bill",X80="Exclusive"),Y80-(Y80*U80/100),IF(AND(W80="Pay-on-time off usage",X80="Exclusive"),Y80-(P80*V80/100),IF(X80="Inclusive",((Y80*1.1))/1.1,Y80)))))</f>
        <v>1492.0131818181819</v>
      </c>
      <c r="AA80" s="542">
        <f t="shared" si="59"/>
        <v>1641.2145000000003</v>
      </c>
      <c r="AB80" s="542">
        <f t="shared" si="59"/>
        <v>1641.2145000000003</v>
      </c>
      <c r="AC80" s="274">
        <f>'Tariffs Jan2021'!AZ74</f>
        <v>0</v>
      </c>
      <c r="AD80" s="274" t="str">
        <f>'Tariffs Jan2021'!BA74</f>
        <v>n</v>
      </c>
      <c r="AE80" s="275" t="str">
        <f>'Tariffs Jan2021'!BJ74</f>
        <v>N</v>
      </c>
      <c r="AF80" s="516"/>
      <c r="AG80" s="516"/>
      <c r="AH80" s="516"/>
      <c r="AI80" s="516"/>
      <c r="AJ80" s="516"/>
      <c r="AK80" s="516"/>
      <c r="AL80" s="516"/>
      <c r="AM80" s="516"/>
      <c r="AN80" s="516"/>
      <c r="AO80" s="516"/>
      <c r="AP80" s="516"/>
      <c r="AQ80" s="516"/>
      <c r="AR80" s="516"/>
      <c r="AS80" s="516"/>
      <c r="AT80" s="516"/>
      <c r="AU80" s="516"/>
      <c r="AV80" s="516"/>
      <c r="AW80" s="516"/>
      <c r="AX80" s="516"/>
      <c r="AY80" s="516"/>
      <c r="AZ80" s="516"/>
    </row>
    <row r="81" spans="1:52" ht="14" x14ac:dyDescent="0.15">
      <c r="A81" s="270" t="str">
        <f>'Tariffs Jan2021'!F75</f>
        <v>EnergyAustralia</v>
      </c>
      <c r="B81" s="40" t="str">
        <f>'Tariffs Jan2021'!D75</f>
        <v>AGN Central 1</v>
      </c>
      <c r="C81" s="40" t="str">
        <f>'Tariffs Jan2021'!G75</f>
        <v>Total Plan</v>
      </c>
      <c r="D81" s="59">
        <f>365*'Tariffs Jan2021'!H75/100</f>
        <v>308.78999999999996</v>
      </c>
      <c r="E81" s="59">
        <f>IF($C$5*'Tariffs Jan2021'!AK75/'Tariffs Jan2021'!AI75&gt;='Tariffs Jan2021'!J75,( 'Tariffs Jan2021'!J75*'Tariffs Jan2021'!O75/100)* 'Tariffs Jan2021'!AI75,($C$5*'Tariffs Jan2021'!AK75/'Tariffs Jan2021'!AI75*'Tariffs Jan2021'!O75/100)* 'Tariffs Jan2021'!AI75)</f>
        <v>166.89272727272729</v>
      </c>
      <c r="F81" s="59">
        <f>IF($C$5*'Tariffs Jan2021'!AK75/'Tariffs Jan2021'!AI75&lt;'Tariffs Jan2021'!J75,0,IF($C$5*'Tariffs Jan2021'!AK75/'Tariffs Jan2021'!AI75&lt;='Tariffs Jan2021'!K75,($C$5*'Tariffs Jan2021'!AK75/'Tariffs Jan2021'!AI75-'Tariffs Jan2021'!J75)*('Tariffs Jan2021'!P75/100)*'Tariffs Jan2021'!AI75,('Tariffs Jan2021'!K75-'Tariffs Jan2021'!J75)*('Tariffs Jan2021'!P75/100)*'Tariffs Jan2021'!AI75))</f>
        <v>104.21181818181817</v>
      </c>
      <c r="G81" s="59">
        <f>IF($C$5*'Tariffs Jan2021'!AK75/'Tariffs Jan2021'!AI75&lt;'Tariffs Jan2021'!K75,0,IF($C$5*'Tariffs Jan2021'!AK75/'Tariffs Jan2021'!AI75&lt;='Tariffs Jan2021'!L75,($C$5*'Tariffs Jan2021'!AK75/'Tariffs Jan2021'!AI75-'Tariffs Jan2021'!K75)*('Tariffs Jan2021'!Q75/100)*'Tariffs Jan2021'!AI75,('Tariffs Jan2021'!L75-'Tariffs Jan2021'!K75)*('Tariffs Jan2021'!Q75/100)*'Tariffs Jan2021'!AI75))</f>
        <v>0</v>
      </c>
      <c r="H81" s="59">
        <f>IF($C$5*'Tariffs Jan2021'!AK75/'Tariffs Jan2021'!AI75&lt;'Tariffs Jan2021'!L75,0,IF($C$5*'Tariffs Jan2021'!AK75/'Tariffs Jan2021'!AI75&lt;='Tariffs Jan2021'!M75,($C$5*'Tariffs Jan2021'!AK75/'Tariffs Jan2021'!AI75-'Tariffs Jan2021'!L75)*('Tariffs Jan2021'!R75/100)*'Tariffs Jan2021'!AI75,('Tariffs Jan2021'!M75-'Tariffs Jan2021'!L75)*('Tariffs Jan2021'!R75/100)*'Tariffs Jan2021'!AI75))</f>
        <v>0</v>
      </c>
      <c r="I81" s="59">
        <f>IF(($C$5*'Tariffs Jan2021'!AK75/'Tariffs Jan2021'!AI75&gt;'Tariffs Jan2021'!M75),($C$5*'Tariffs Jan2021'!AK75/'Tariffs Jan2021'!AI75-'Tariffs Jan2021'!M75)*'Tariffs Jan2021'!S75/100*'Tariffs Jan2021'!AI75,0)</f>
        <v>478.63636363636363</v>
      </c>
      <c r="J81" s="59">
        <f>IF($C$5*'Tariffs Jan2021'!AL75/'Tariffs Jan2021'!AJ75&gt;='Tariffs Jan2021'!J75,('Tariffs Jan2021'!J75*'Tariffs Jan2021'!U75/100)* 'Tariffs Jan2021'!AJ75,($C$5*'Tariffs Jan2021'!AL75/'Tariffs Jan2021'!AJ75*'Tariffs Jan2021'!U75/100)* 'Tariffs Jan2021'!AJ75)</f>
        <v>166.89272727272729</v>
      </c>
      <c r="K81" s="59">
        <f>IF($C$5*'Tariffs Jan2021'!AL75/'Tariffs Jan2021'!AJ75&lt;'Tariffs Jan2021'!J75,0,IF($C$5*'Tariffs Jan2021'!AL75/'Tariffs Jan2021'!AJ75&lt;='Tariffs Jan2021'!K75,($C$5*'Tariffs Jan2021'!AL75/'Tariffs Jan2021'!AJ75-'Tariffs Jan2021'!J75)*('Tariffs Jan2021'!V75/100)*'Tariffs Jan2021'!AJ75,('Tariffs Jan2021'!K75-'Tariffs Jan2021'!J75)*('Tariffs Jan2021'!V75/100)*'Tariffs Jan2021'!AJ75))</f>
        <v>104.21181818181817</v>
      </c>
      <c r="L81" s="59">
        <f>IF($C$5*'Tariffs Jan2021'!AL75/'Tariffs Jan2021'!AJ75&lt;'Tariffs Jan2021'!K75,0,IF($C$5*'Tariffs Jan2021'!AL75/'Tariffs Jan2021'!AJ75&lt;='Tariffs Jan2021'!L75,($C$5*'Tariffs Jan2021'!AL75/'Tariffs Jan2021'!AJ75-'Tariffs Jan2021'!K75)*('Tariffs Jan2021'!W75/100)*'Tariffs Jan2021'!AJ75,('Tariffs Jan2021'!L75-'Tariffs Jan2021'!K75)*('Tariffs Jan2021'!W75/100)*'Tariffs Jan2021'!AJ75))</f>
        <v>0</v>
      </c>
      <c r="M81" s="59">
        <f>IF($C$5*'Tariffs Jan2021'!AL75/'Tariffs Jan2021'!AJ75&lt;'Tariffs Jan2021'!L75,0,IF($C$5*'Tariffs Jan2021'!AL75/'Tariffs Jan2021'!AJ75&lt;='Tariffs Jan2021'!M75,($C$5*'Tariffs Jan2021'!AL75/'Tariffs Jan2021'!AJ75-'Tariffs Jan2021'!L75)*('Tariffs Jan2021'!X75/100)*'Tariffs Jan2021'!AJ75,('Tariffs Jan2021'!M75-'Tariffs Jan2021'!L75)*('Tariffs Jan2021'!X75/100)*'Tariffs Jan2021'!AJ75))</f>
        <v>0</v>
      </c>
      <c r="N81" s="59">
        <f>IF(($C$5*'Tariffs Jan2021'!AL75/'Tariffs Jan2021'!AJ75&gt;'Tariffs Jan2021'!M75),($C$5*'Tariffs Jan2021'!AL75/'Tariffs Jan2021'!AJ75-'Tariffs Jan2021'!M75)*'Tariffs Jan2021'!Y75/100*'Tariffs Jan2021'!AJ75,0)</f>
        <v>478.63636363636363</v>
      </c>
      <c r="O81" s="59">
        <f t="shared" si="1"/>
        <v>1499.4818181818182</v>
      </c>
      <c r="P81" s="503">
        <f t="shared" si="56"/>
        <v>1649.43</v>
      </c>
      <c r="Q81" s="59">
        <f t="shared" si="3"/>
        <v>1808.2718181818182</v>
      </c>
      <c r="R81" s="272">
        <f t="shared" si="4"/>
        <v>1989.0990000000002</v>
      </c>
      <c r="S81" s="40">
        <f>'Tariffs Jan2021'!AN75</f>
        <v>27</v>
      </c>
      <c r="T81" s="40">
        <f>'Tariffs Jan2021'!AO75</f>
        <v>0</v>
      </c>
      <c r="U81" s="40">
        <f>'Tariffs Jan2021'!AP75</f>
        <v>0</v>
      </c>
      <c r="V81" s="40">
        <f>'Tariffs Jan2021'!AQ75</f>
        <v>0</v>
      </c>
      <c r="W81" s="537" t="str">
        <f t="shared" si="60"/>
        <v>Guaranteed off bill</v>
      </c>
      <c r="X81" s="538" t="str">
        <f t="shared" si="61"/>
        <v>Exclusive</v>
      </c>
      <c r="Y81" s="534">
        <f t="shared" ref="Y81" si="64">IF(AND(W81="Guaranteed off bill",X81="Inclusive"),((Q81*1.1)-((Q81*1.1)*S81/100))/1.1,IF(AND(W81="Guaranteed off usage",X81="Inclusive"),((Q81*1.1)-((P81*1.1)*T81/100))/1.1,IF(AND(W81="Guaranteed off bill",X81="Exclusive"),Q81-(Q81*S81/100),IF(AND(W81="Guaranteed off usage",X81="Exclusive"),Q81-(P81*T81/100),IF(X81="Inclusive",((Q81*1.1))/1.1,Q81)))))</f>
        <v>1320.0384272727274</v>
      </c>
      <c r="Z81" s="535">
        <f t="shared" ref="Z81" si="65">IF(AND(W81="Pay-on-time off bill",X81="Inclusive"),((Y81*1.1)-((Y81*1.1)*U81/100))/1.1,IF(AND(W81="Pay-on-time off usage",X81="Inclusive"),((Y81*1.1)-((P81*1.1)*V81/100))/1.1,IF(AND(W81="Pay-on-time off bill",X81="Exclusive"),Y81-(Y81*U81/100),IF(AND(W81="Pay-on-time off usage",X81="Exclusive"),Y81-(P81*V81/100),IF(X81="Inclusive",((Y81*1.1))/1.1,Y81)))))</f>
        <v>1320.0384272727274</v>
      </c>
      <c r="AA81" s="542">
        <f t="shared" si="59"/>
        <v>1452.0422700000004</v>
      </c>
      <c r="AB81" s="542">
        <f t="shared" si="59"/>
        <v>1452.0422700000004</v>
      </c>
      <c r="AC81" s="274">
        <f>'Tariffs Jan2021'!AZ75</f>
        <v>12</v>
      </c>
      <c r="AD81" s="274" t="str">
        <f>'Tariffs Jan2021'!BA75</f>
        <v>n</v>
      </c>
      <c r="AE81" s="275" t="str">
        <f>'Tariffs Jan2021'!BJ75</f>
        <v>N</v>
      </c>
      <c r="AF81" s="516"/>
      <c r="AG81" s="516"/>
      <c r="AH81" s="516"/>
      <c r="AI81" s="516"/>
      <c r="AJ81" s="516"/>
      <c r="AK81" s="516"/>
      <c r="AL81" s="516"/>
      <c r="AM81" s="516"/>
      <c r="AN81" s="516"/>
      <c r="AO81" s="516"/>
      <c r="AP81" s="516"/>
      <c r="AQ81" s="516"/>
      <c r="AR81" s="516"/>
      <c r="AS81" s="516"/>
      <c r="AT81" s="516"/>
      <c r="AU81" s="516"/>
      <c r="AV81" s="516"/>
      <c r="AW81" s="516"/>
      <c r="AX81" s="516"/>
      <c r="AY81" s="516"/>
      <c r="AZ81" s="516"/>
    </row>
    <row r="82" spans="1:52" ht="14" x14ac:dyDescent="0.15">
      <c r="A82" s="270" t="str">
        <f>'Tariffs Jan2021'!F76</f>
        <v>Lumo Energy</v>
      </c>
      <c r="B82" s="40" t="str">
        <f>'Tariffs Jan2021'!D76</f>
        <v>AGN Central 1</v>
      </c>
      <c r="C82" s="40" t="str">
        <f>'Tariffs Jan2021'!G76</f>
        <v>Value</v>
      </c>
      <c r="D82" s="59">
        <f>365*'Tariffs Jan2021'!H76/100</f>
        <v>247.83499999999995</v>
      </c>
      <c r="E82" s="59">
        <f>IF($C$5*'Tariffs Jan2021'!AK76/'Tariffs Jan2021'!AI76&gt;='Tariffs Jan2021'!J76,( 'Tariffs Jan2021'!J76*'Tariffs Jan2021'!O76/100)* 'Tariffs Jan2021'!AI76,($C$5*'Tariffs Jan2021'!AK76/'Tariffs Jan2021'!AI76*'Tariffs Jan2021'!O76/100)* 'Tariffs Jan2021'!AI76)</f>
        <v>97.802727272727282</v>
      </c>
      <c r="F82" s="59">
        <f>IF($C$5*'Tariffs Jan2021'!AK76/'Tariffs Jan2021'!AI76&lt;'Tariffs Jan2021'!J76,0,IF($C$5*'Tariffs Jan2021'!AK76/'Tariffs Jan2021'!AI76&lt;='Tariffs Jan2021'!K76,($C$5*'Tariffs Jan2021'!AK76/'Tariffs Jan2021'!AI76-'Tariffs Jan2021'!J76)*('Tariffs Jan2021'!P76/100)*'Tariffs Jan2021'!AI76,('Tariffs Jan2021'!K76-'Tariffs Jan2021'!J76)*('Tariffs Jan2021'!P76/100)*'Tariffs Jan2021'!AI76))</f>
        <v>76.49590909090908</v>
      </c>
      <c r="G82" s="59">
        <f>IF($C$5*'Tariffs Jan2021'!AK76/'Tariffs Jan2021'!AI76&lt;'Tariffs Jan2021'!K76,0,IF($C$5*'Tariffs Jan2021'!AK76/'Tariffs Jan2021'!AI76&lt;='Tariffs Jan2021'!L76,($C$5*'Tariffs Jan2021'!AK76/'Tariffs Jan2021'!AI76-'Tariffs Jan2021'!K76)*('Tariffs Jan2021'!Q76/100)*'Tariffs Jan2021'!AI76,('Tariffs Jan2021'!L76-'Tariffs Jan2021'!K76)*('Tariffs Jan2021'!Q76/100)*'Tariffs Jan2021'!AI76))</f>
        <v>0</v>
      </c>
      <c r="H82" s="59">
        <f>IF($C$5*'Tariffs Jan2021'!AK76/'Tariffs Jan2021'!AI76&lt;'Tariffs Jan2021'!L76,0,IF($C$5*'Tariffs Jan2021'!AK76/'Tariffs Jan2021'!AI76&lt;='Tariffs Jan2021'!M76,($C$5*'Tariffs Jan2021'!AK76/'Tariffs Jan2021'!AI76-'Tariffs Jan2021'!L76)*('Tariffs Jan2021'!R76/100)*'Tariffs Jan2021'!AI76,('Tariffs Jan2021'!M76-'Tariffs Jan2021'!L76)*('Tariffs Jan2021'!R76/100)*'Tariffs Jan2021'!AI76))</f>
        <v>0</v>
      </c>
      <c r="I82" s="59">
        <f>IF(($C$5*'Tariffs Jan2021'!AK76/'Tariffs Jan2021'!AI76&gt;'Tariffs Jan2021'!M76),($C$5*'Tariffs Jan2021'!AK76/'Tariffs Jan2021'!AI76-'Tariffs Jan2021'!M76)*'Tariffs Jan2021'!S76/100*'Tariffs Jan2021'!AI76,0)</f>
        <v>392.72727272727263</v>
      </c>
      <c r="J82" s="59">
        <f>IF($C$5*'Tariffs Jan2021'!AL76/'Tariffs Jan2021'!AJ76&gt;='Tariffs Jan2021'!J76,('Tariffs Jan2021'!J76*'Tariffs Jan2021'!U76/100)* 'Tariffs Jan2021'!AJ76,($C$5*'Tariffs Jan2021'!AL76/'Tariffs Jan2021'!AJ76*'Tariffs Jan2021'!U76/100)* 'Tariffs Jan2021'!AJ76)</f>
        <v>97.802727272727282</v>
      </c>
      <c r="K82" s="59">
        <f>IF($C$5*'Tariffs Jan2021'!AL76/'Tariffs Jan2021'!AJ76&lt;'Tariffs Jan2021'!J76,0,IF($C$5*'Tariffs Jan2021'!AL76/'Tariffs Jan2021'!AJ76&lt;='Tariffs Jan2021'!K76,($C$5*'Tariffs Jan2021'!AL76/'Tariffs Jan2021'!AJ76-'Tariffs Jan2021'!J76)*('Tariffs Jan2021'!V76/100)*'Tariffs Jan2021'!AJ76,('Tariffs Jan2021'!K76-'Tariffs Jan2021'!J76)*('Tariffs Jan2021'!V76/100)*'Tariffs Jan2021'!AJ76))</f>
        <v>76.49590909090908</v>
      </c>
      <c r="L82" s="59">
        <f>IF($C$5*'Tariffs Jan2021'!AL76/'Tariffs Jan2021'!AJ76&lt;'Tariffs Jan2021'!K76,0,IF($C$5*'Tariffs Jan2021'!AL76/'Tariffs Jan2021'!AJ76&lt;='Tariffs Jan2021'!L76,($C$5*'Tariffs Jan2021'!AL76/'Tariffs Jan2021'!AJ76-'Tariffs Jan2021'!K76)*('Tariffs Jan2021'!W76/100)*'Tariffs Jan2021'!AJ76,('Tariffs Jan2021'!L76-'Tariffs Jan2021'!K76)*('Tariffs Jan2021'!W76/100)*'Tariffs Jan2021'!AJ76))</f>
        <v>0</v>
      </c>
      <c r="M82" s="59">
        <f>IF($C$5*'Tariffs Jan2021'!AL76/'Tariffs Jan2021'!AJ76&lt;'Tariffs Jan2021'!L76,0,IF($C$5*'Tariffs Jan2021'!AL76/'Tariffs Jan2021'!AJ76&lt;='Tariffs Jan2021'!M76,($C$5*'Tariffs Jan2021'!AL76/'Tariffs Jan2021'!AJ76-'Tariffs Jan2021'!L76)*('Tariffs Jan2021'!X76/100)*'Tariffs Jan2021'!AJ76,('Tariffs Jan2021'!M76-'Tariffs Jan2021'!L76)*('Tariffs Jan2021'!X76/100)*'Tariffs Jan2021'!AJ76))</f>
        <v>0</v>
      </c>
      <c r="N82" s="59">
        <f>IF(($C$5*'Tariffs Jan2021'!AL76/'Tariffs Jan2021'!AJ76&gt;'Tariffs Jan2021'!M76),($C$5*'Tariffs Jan2021'!AL76/'Tariffs Jan2021'!AJ76-'Tariffs Jan2021'!M76)*'Tariffs Jan2021'!Y76/100*'Tariffs Jan2021'!AJ76,0)</f>
        <v>392.72727272727263</v>
      </c>
      <c r="O82" s="59">
        <f t="shared" si="1"/>
        <v>1134.0518181818179</v>
      </c>
      <c r="P82" s="503">
        <f t="shared" si="56"/>
        <v>1247.4569999999999</v>
      </c>
      <c r="Q82" s="59">
        <f t="shared" si="3"/>
        <v>1381.8868181818179</v>
      </c>
      <c r="R82" s="272">
        <f t="shared" si="4"/>
        <v>1520.0754999999999</v>
      </c>
      <c r="S82" s="40">
        <f>'Tariffs Jan2021'!AN76</f>
        <v>0</v>
      </c>
      <c r="T82" s="40">
        <f>'Tariffs Jan2021'!AO76</f>
        <v>0</v>
      </c>
      <c r="U82" s="40">
        <f>'Tariffs Jan2021'!AP76</f>
        <v>0</v>
      </c>
      <c r="V82" s="40">
        <f>'Tariffs Jan2021'!AQ76</f>
        <v>0</v>
      </c>
      <c r="W82" s="537" t="str">
        <f t="shared" si="60"/>
        <v>No discount</v>
      </c>
      <c r="X82" s="538" t="str">
        <f t="shared" si="61"/>
        <v>Exclusive</v>
      </c>
      <c r="Y82" s="534">
        <f>IF(AND(W82="Guaranteed off bill",X82="Inclusive"),((Q82*1.1)-((Q82*1.1)*S82/100))/1.1,IF(AND(W82="Guaranteed off usage",X82="Inclusive"),((Q82*1.1)-((P82*1.1)*T82/100))/1.1,IF(AND(W82="Guaranteed off bill",X82="Exclusive"),Q82-(Q82*S82/100),IF(AND(W82="Guaranteed off usage",X82="Exclusive"),Q82-(P82*T82/100),IF(X82="Inclusive",((Q82*1.1))/1.1,Q82)))))</f>
        <v>1381.8868181818179</v>
      </c>
      <c r="Z82" s="535">
        <f>IF(AND(W82="Pay-on-time off bill",X82="Inclusive"),((Y82*1.1)-((Y82*1.1)*U82/100))/1.1,IF(AND(W82="Pay-on-time off usage",X82="Inclusive"),((Y82*1.1)-((P82*1.1)*V82/100))/1.1,IF(AND(W82="Pay-on-time off bill",X82="Exclusive"),Y82-(Y82*U82/100),IF(AND(W82="Pay-on-time off usage",X82="Exclusive"),Y82-(P82*V82/100),IF(X82="Inclusive",((Y82*1.1))/1.1,Y82)))))</f>
        <v>1381.8868181818179</v>
      </c>
      <c r="AA82" s="542">
        <f t="shared" si="59"/>
        <v>1520.0754999999999</v>
      </c>
      <c r="AB82" s="542">
        <f t="shared" si="59"/>
        <v>1520.0754999999999</v>
      </c>
      <c r="AC82" s="274">
        <f>'Tariffs Jan2021'!AZ76</f>
        <v>0</v>
      </c>
      <c r="AD82" s="274" t="str">
        <f>'Tariffs Jan2021'!BA76</f>
        <v>n</v>
      </c>
      <c r="AE82" s="275" t="str">
        <f>'Tariffs Jan2021'!BJ76</f>
        <v>N</v>
      </c>
      <c r="AF82" s="516"/>
      <c r="AG82" s="516"/>
      <c r="AH82" s="516"/>
      <c r="AI82" s="516"/>
      <c r="AJ82" s="516"/>
      <c r="AK82" s="516"/>
      <c r="AL82" s="516"/>
      <c r="AM82" s="516"/>
      <c r="AN82" s="516"/>
      <c r="AO82" s="516"/>
      <c r="AP82" s="516"/>
      <c r="AQ82" s="516"/>
      <c r="AR82" s="516"/>
      <c r="AS82" s="516"/>
      <c r="AT82" s="516"/>
      <c r="AU82" s="516"/>
      <c r="AV82" s="516"/>
      <c r="AW82" s="516"/>
      <c r="AX82" s="516"/>
      <c r="AY82" s="516"/>
      <c r="AZ82" s="516"/>
    </row>
    <row r="83" spans="1:52" ht="14" x14ac:dyDescent="0.15">
      <c r="A83" s="270" t="str">
        <f>'Tariffs Jan2021'!F77</f>
        <v>Momentum Energy</v>
      </c>
      <c r="B83" s="40" t="str">
        <f>'Tariffs Jan2021'!D77</f>
        <v>AGN Central 1</v>
      </c>
      <c r="C83" s="40" t="str">
        <f>'Tariffs Jan2021'!G77</f>
        <v>Market offer</v>
      </c>
      <c r="D83" s="59">
        <f>365*'Tariffs Jan2021'!H77/100</f>
        <v>289.08</v>
      </c>
      <c r="E83" s="59">
        <f>IF($C$5*'Tariffs Jan2021'!AK77/'Tariffs Jan2021'!AI77&gt;='Tariffs Jan2021'!J77,( 'Tariffs Jan2021'!J77*'Tariffs Jan2021'!O77/100)* 'Tariffs Jan2021'!AI77,($C$5*'Tariffs Jan2021'!AK77/'Tariffs Jan2021'!AI77*'Tariffs Jan2021'!O77/100)* 'Tariffs Jan2021'!AI77)</f>
        <v>88.83</v>
      </c>
      <c r="F83" s="59">
        <f>IF($C$5*'Tariffs Jan2021'!AK77/'Tariffs Jan2021'!AI77&lt;'Tariffs Jan2021'!J77,0,IF($C$5*'Tariffs Jan2021'!AK77/'Tariffs Jan2021'!AI77&lt;='Tariffs Jan2021'!K77,($C$5*'Tariffs Jan2021'!AK77/'Tariffs Jan2021'!AI77-'Tariffs Jan2021'!J77)*('Tariffs Jan2021'!P77/100)*'Tariffs Jan2021'!AI77,('Tariffs Jan2021'!K77-'Tariffs Jan2021'!J77)*('Tariffs Jan2021'!P77/100)*'Tariffs Jan2021'!AI77))</f>
        <v>62.33</v>
      </c>
      <c r="G83" s="59">
        <f>IF($C$5*'Tariffs Jan2021'!AK77/'Tariffs Jan2021'!AI77&lt;'Tariffs Jan2021'!K77,0,IF($C$5*'Tariffs Jan2021'!AK77/'Tariffs Jan2021'!AI77&lt;='Tariffs Jan2021'!L77,($C$5*'Tariffs Jan2021'!AK77/'Tariffs Jan2021'!AI77-'Tariffs Jan2021'!K77)*('Tariffs Jan2021'!Q77/100)*'Tariffs Jan2021'!AI77,('Tariffs Jan2021'!L77-'Tariffs Jan2021'!K77)*('Tariffs Jan2021'!Q77/100)*'Tariffs Jan2021'!AI77))</f>
        <v>0</v>
      </c>
      <c r="H83" s="59">
        <f>IF($C$5*'Tariffs Jan2021'!AK77/'Tariffs Jan2021'!AI77&lt;'Tariffs Jan2021'!L77,0,IF($C$5*'Tariffs Jan2021'!AK77/'Tariffs Jan2021'!AI77&lt;='Tariffs Jan2021'!M77,($C$5*'Tariffs Jan2021'!AK77/'Tariffs Jan2021'!AI77-'Tariffs Jan2021'!L77)*('Tariffs Jan2021'!R77/100)*'Tariffs Jan2021'!AI77,('Tariffs Jan2021'!M77-'Tariffs Jan2021'!L77)*('Tariffs Jan2021'!R77/100)*'Tariffs Jan2021'!AI77))</f>
        <v>0</v>
      </c>
      <c r="I83" s="59">
        <f>IF(($C$5*'Tariffs Jan2021'!AK77/'Tariffs Jan2021'!AI77&gt;'Tariffs Jan2021'!M77),($C$5*'Tariffs Jan2021'!AK77/'Tariffs Jan2021'!AI77-'Tariffs Jan2021'!M77)*'Tariffs Jan2021'!S77/100*'Tariffs Jan2021'!AI77,0)</f>
        <v>299.95799999999997</v>
      </c>
      <c r="J83" s="59">
        <f>IF($C$5*'Tariffs Jan2021'!AL77/'Tariffs Jan2021'!AJ77&gt;='Tariffs Jan2021'!J77,('Tariffs Jan2021'!J77*'Tariffs Jan2021'!U77/100)* 'Tariffs Jan2021'!AJ77,($C$5*'Tariffs Jan2021'!AL77/'Tariffs Jan2021'!AJ77*'Tariffs Jan2021'!U77/100)* 'Tariffs Jan2021'!AJ77)</f>
        <v>164.5</v>
      </c>
      <c r="K83" s="59">
        <f>IF($C$5*'Tariffs Jan2021'!AL77/'Tariffs Jan2021'!AJ77&lt;'Tariffs Jan2021'!J77,0,IF($C$5*'Tariffs Jan2021'!AL77/'Tariffs Jan2021'!AJ77&lt;='Tariffs Jan2021'!K77,($C$5*'Tariffs Jan2021'!AL77/'Tariffs Jan2021'!AJ77-'Tariffs Jan2021'!J77)*('Tariffs Jan2021'!V77/100)*'Tariffs Jan2021'!AJ77,('Tariffs Jan2021'!K77-'Tariffs Jan2021'!J77)*('Tariffs Jan2021'!V77/100)*'Tariffs Jan2021'!AJ77))</f>
        <v>113.82000000000001</v>
      </c>
      <c r="L83" s="59">
        <f>IF($C$5*'Tariffs Jan2021'!AL77/'Tariffs Jan2021'!AJ77&lt;'Tariffs Jan2021'!K77,0,IF($C$5*'Tariffs Jan2021'!AL77/'Tariffs Jan2021'!AJ77&lt;='Tariffs Jan2021'!L77,($C$5*'Tariffs Jan2021'!AL77/'Tariffs Jan2021'!AJ77-'Tariffs Jan2021'!K77)*('Tariffs Jan2021'!W77/100)*'Tariffs Jan2021'!AJ77,('Tariffs Jan2021'!L77-'Tariffs Jan2021'!K77)*('Tariffs Jan2021'!W77/100)*'Tariffs Jan2021'!AJ77))</f>
        <v>0</v>
      </c>
      <c r="M83" s="59">
        <f>IF($C$5*'Tariffs Jan2021'!AL77/'Tariffs Jan2021'!AJ77&lt;'Tariffs Jan2021'!L77,0,IF($C$5*'Tariffs Jan2021'!AL77/'Tariffs Jan2021'!AJ77&lt;='Tariffs Jan2021'!M77,($C$5*'Tariffs Jan2021'!AL77/'Tariffs Jan2021'!AJ77-'Tariffs Jan2021'!L77)*('Tariffs Jan2021'!X77/100)*'Tariffs Jan2021'!AJ77,('Tariffs Jan2021'!M77-'Tariffs Jan2021'!L77)*('Tariffs Jan2021'!X77/100)*'Tariffs Jan2021'!AJ77))</f>
        <v>0</v>
      </c>
      <c r="N83" s="59">
        <f>IF(($C$5*'Tariffs Jan2021'!AL77/'Tariffs Jan2021'!AJ77&gt;'Tariffs Jan2021'!M77),($C$5*'Tariffs Jan2021'!AL77/'Tariffs Jan2021'!AJ77-'Tariffs Jan2021'!M77)*'Tariffs Jan2021'!Y77/100*'Tariffs Jan2021'!AJ77,0)</f>
        <v>539.92439999999988</v>
      </c>
      <c r="O83" s="59">
        <f>SUM(E83:N83)</f>
        <v>1269.3624</v>
      </c>
      <c r="P83" s="503">
        <f t="shared" si="56"/>
        <v>1396.29864</v>
      </c>
      <c r="Q83" s="59">
        <f>D83+O83</f>
        <v>1558.4423999999999</v>
      </c>
      <c r="R83" s="272">
        <f>Q83*1.1</f>
        <v>1714.28664</v>
      </c>
      <c r="S83" s="40">
        <f>'Tariffs Jan2021'!AN77</f>
        <v>0</v>
      </c>
      <c r="T83" s="40">
        <f>'Tariffs Jan2021'!AO77</f>
        <v>0</v>
      </c>
      <c r="U83" s="40">
        <f>'Tariffs Jan2021'!AP77</f>
        <v>0</v>
      </c>
      <c r="V83" s="40">
        <f>'Tariffs Jan2021'!AQ77</f>
        <v>0</v>
      </c>
      <c r="W83" s="537" t="str">
        <f t="shared" si="60"/>
        <v>No discount</v>
      </c>
      <c r="X83" s="538" t="str">
        <f t="shared" si="61"/>
        <v>Exclusive</v>
      </c>
      <c r="Y83" s="534">
        <f t="shared" ref="Y83" si="66">IF(AND(W83="Guaranteed off bill",X83="Inclusive"),((Q83*1.1)-((Q83*1.1)*S83/100))/1.1,IF(AND(W83="Guaranteed off usage",X83="Inclusive"),((Q83*1.1)-((P83*1.1)*T83/100))/1.1,IF(AND(W83="Guaranteed off bill",X83="Exclusive"),Q83-(Q83*S83/100),IF(AND(W83="Guaranteed off usage",X83="Exclusive"),Q83-(P83*T83/100),IF(X83="Inclusive",((Q83*1.1))/1.1,Q83)))))</f>
        <v>1558.4423999999999</v>
      </c>
      <c r="Z83" s="535">
        <f t="shared" ref="Z83" si="67">IF(AND(W83="Pay-on-time off bill",X83="Inclusive"),((Y83*1.1)-((Y83*1.1)*U83/100))/1.1,IF(AND(W83="Pay-on-time off usage",X83="Inclusive"),((Y83*1.1)-((P83*1.1)*V83/100))/1.1,IF(AND(W83="Pay-on-time off bill",X83="Exclusive"),Y83-(Y83*U83/100),IF(AND(W83="Pay-on-time off usage",X83="Exclusive"),Y83-(P83*V83/100),IF(X83="Inclusive",((Y83*1.1))/1.1,Y83)))))</f>
        <v>1558.4423999999999</v>
      </c>
      <c r="AA83" s="542">
        <f t="shared" si="59"/>
        <v>1714.28664</v>
      </c>
      <c r="AB83" s="542">
        <f t="shared" si="59"/>
        <v>1714.28664</v>
      </c>
      <c r="AC83" s="274">
        <f>'Tariffs Jan2021'!AZ77</f>
        <v>0</v>
      </c>
      <c r="AD83" s="274" t="str">
        <f>'Tariffs Jan2021'!BA77</f>
        <v>n</v>
      </c>
      <c r="AE83" s="275" t="str">
        <f>'Tariffs Jan2021'!BJ77</f>
        <v>N</v>
      </c>
      <c r="AF83" s="516"/>
      <c r="AG83" s="516"/>
      <c r="AH83" s="516"/>
      <c r="AI83" s="516"/>
      <c r="AJ83" s="516"/>
      <c r="AK83" s="516"/>
      <c r="AL83" s="516"/>
      <c r="AM83" s="516"/>
      <c r="AN83" s="516"/>
      <c r="AO83" s="516"/>
      <c r="AP83" s="516"/>
      <c r="AQ83" s="516"/>
      <c r="AR83" s="516"/>
      <c r="AS83" s="516"/>
      <c r="AT83" s="516"/>
      <c r="AU83" s="516"/>
      <c r="AV83" s="516"/>
      <c r="AW83" s="516"/>
      <c r="AX83" s="516"/>
      <c r="AY83" s="516"/>
      <c r="AZ83" s="516"/>
    </row>
    <row r="84" spans="1:52" ht="14" x14ac:dyDescent="0.15">
      <c r="A84" s="270" t="str">
        <f>'Tariffs Jan2021'!F78</f>
        <v>Origin Energy</v>
      </c>
      <c r="B84" s="40" t="str">
        <f>'Tariffs Jan2021'!D78</f>
        <v>AGN Central 1</v>
      </c>
      <c r="C84" s="40" t="str">
        <f>'Tariffs Jan2021'!G78</f>
        <v>Go</v>
      </c>
      <c r="D84" s="59">
        <f>365*'Tariffs Jan2021'!H78/100</f>
        <v>201.74545454545452</v>
      </c>
      <c r="E84" s="59">
        <f>IF($C$5*'Tariffs Jan2021'!AK78/'Tariffs Jan2021'!AI78&gt;='Tariffs Jan2021'!J78,( 'Tariffs Jan2021'!J78*'Tariffs Jan2021'!O78/100)* 'Tariffs Jan2021'!AI78,($C$5*'Tariffs Jan2021'!AK78/'Tariffs Jan2021'!AI78*'Tariffs Jan2021'!O78/100)* 'Tariffs Jan2021'!AI78)</f>
        <v>317.45454545454538</v>
      </c>
      <c r="F84" s="59">
        <f>IF($C$5*'Tariffs Jan2021'!AK78/'Tariffs Jan2021'!AI78&lt;'Tariffs Jan2021'!J78,0,IF($C$5*'Tariffs Jan2021'!AK78/'Tariffs Jan2021'!AI78&lt;='Tariffs Jan2021'!K78,($C$5*'Tariffs Jan2021'!AK78/'Tariffs Jan2021'!AI78-'Tariffs Jan2021'!J78)*('Tariffs Jan2021'!P78/100)*'Tariffs Jan2021'!AI78,('Tariffs Jan2021'!K78-'Tariffs Jan2021'!J78)*('Tariffs Jan2021'!P78/100)*'Tariffs Jan2021'!AI78))</f>
        <v>227.0454545454545</v>
      </c>
      <c r="G84" s="59">
        <f>IF($C$5*'Tariffs Jan2021'!AK78/'Tariffs Jan2021'!AI78&lt;'Tariffs Jan2021'!K78,0,IF($C$5*'Tariffs Jan2021'!AK78/'Tariffs Jan2021'!AI78&lt;='Tariffs Jan2021'!L78,($C$5*'Tariffs Jan2021'!AK78/'Tariffs Jan2021'!AI78-'Tariffs Jan2021'!K78)*('Tariffs Jan2021'!Q78/100)*'Tariffs Jan2021'!AI78,('Tariffs Jan2021'!L78-'Tariffs Jan2021'!K78)*('Tariffs Jan2021'!Q78/100)*'Tariffs Jan2021'!AI78))</f>
        <v>0</v>
      </c>
      <c r="H84" s="59">
        <f>IF($C$5*'Tariffs Jan2021'!AK78/'Tariffs Jan2021'!AI78&lt;'Tariffs Jan2021'!L78,0,IF($C$5*'Tariffs Jan2021'!AK78/'Tariffs Jan2021'!AI78&lt;='Tariffs Jan2021'!M78,($C$5*'Tariffs Jan2021'!AK78/'Tariffs Jan2021'!AI78-'Tariffs Jan2021'!L78)*('Tariffs Jan2021'!R78/100)*'Tariffs Jan2021'!AI78,('Tariffs Jan2021'!M78-'Tariffs Jan2021'!L78)*('Tariffs Jan2021'!R78/100)*'Tariffs Jan2021'!AI78))</f>
        <v>0</v>
      </c>
      <c r="I84" s="59">
        <f>IF(($C$5*'Tariffs Jan2021'!AK78/'Tariffs Jan2021'!AI78&gt;'Tariffs Jan2021'!M78),($C$5*'Tariffs Jan2021'!AK78/'Tariffs Jan2021'!AI78-'Tariffs Jan2021'!M78)*'Tariffs Jan2021'!S78/100*'Tariffs Jan2021'!AI78,0)</f>
        <v>0</v>
      </c>
      <c r="J84" s="59">
        <f>IF($C$5*'Tariffs Jan2021'!AL78/'Tariffs Jan2021'!AJ78&gt;='Tariffs Jan2021'!J78,('Tariffs Jan2021'!J78*'Tariffs Jan2021'!U78/100)* 'Tariffs Jan2021'!AJ78,($C$5*'Tariffs Jan2021'!AL78/'Tariffs Jan2021'!AJ78*'Tariffs Jan2021'!U78/100)* 'Tariffs Jan2021'!AJ78)</f>
        <v>317.45454545454538</v>
      </c>
      <c r="K84" s="59">
        <f>IF($C$5*'Tariffs Jan2021'!AL78/'Tariffs Jan2021'!AJ78&lt;'Tariffs Jan2021'!J78,0,IF($C$5*'Tariffs Jan2021'!AL78/'Tariffs Jan2021'!AJ78&lt;='Tariffs Jan2021'!K78,($C$5*'Tariffs Jan2021'!AL78/'Tariffs Jan2021'!AJ78-'Tariffs Jan2021'!J78)*('Tariffs Jan2021'!V78/100)*'Tariffs Jan2021'!AJ78,('Tariffs Jan2021'!K78-'Tariffs Jan2021'!J78)*('Tariffs Jan2021'!V78/100)*'Tariffs Jan2021'!AJ78))</f>
        <v>227.0454545454545</v>
      </c>
      <c r="L84" s="59">
        <f>IF($C$5*'Tariffs Jan2021'!AL78/'Tariffs Jan2021'!AJ78&lt;'Tariffs Jan2021'!K78,0,IF($C$5*'Tariffs Jan2021'!AL78/'Tariffs Jan2021'!AJ78&lt;='Tariffs Jan2021'!L78,($C$5*'Tariffs Jan2021'!AL78/'Tariffs Jan2021'!AJ78-'Tariffs Jan2021'!K78)*('Tariffs Jan2021'!W78/100)*'Tariffs Jan2021'!AJ78,('Tariffs Jan2021'!L78-'Tariffs Jan2021'!K78)*('Tariffs Jan2021'!W78/100)*'Tariffs Jan2021'!AJ78))</f>
        <v>0</v>
      </c>
      <c r="M84" s="59">
        <f>IF($C$5*'Tariffs Jan2021'!AL78/'Tariffs Jan2021'!AJ78&lt;'Tariffs Jan2021'!L78,0,IF($C$5*'Tariffs Jan2021'!AL78/'Tariffs Jan2021'!AJ78&lt;='Tariffs Jan2021'!M78,($C$5*'Tariffs Jan2021'!AL78/'Tariffs Jan2021'!AJ78-'Tariffs Jan2021'!L78)*('Tariffs Jan2021'!X78/100)*'Tariffs Jan2021'!AJ78,('Tariffs Jan2021'!M78-'Tariffs Jan2021'!L78)*('Tariffs Jan2021'!X78/100)*'Tariffs Jan2021'!AJ78))</f>
        <v>0</v>
      </c>
      <c r="N84" s="59">
        <f>IF(($C$5*'Tariffs Jan2021'!AL78/'Tariffs Jan2021'!AJ78&gt;'Tariffs Jan2021'!M78),($C$5*'Tariffs Jan2021'!AL78/'Tariffs Jan2021'!AJ78-'Tariffs Jan2021'!M78)*'Tariffs Jan2021'!Y78/100*'Tariffs Jan2021'!AJ78,0)</f>
        <v>0</v>
      </c>
      <c r="O84" s="59">
        <f t="shared" si="1"/>
        <v>1088.9999999999998</v>
      </c>
      <c r="P84" s="503">
        <f t="shared" si="56"/>
        <v>1197.8999999999999</v>
      </c>
      <c r="Q84" s="59">
        <f t="shared" si="3"/>
        <v>1290.7454545454543</v>
      </c>
      <c r="R84" s="272">
        <f t="shared" si="4"/>
        <v>1419.82</v>
      </c>
      <c r="S84" s="40">
        <f>'Tariffs Jan2021'!AN78</f>
        <v>0</v>
      </c>
      <c r="T84" s="40">
        <f>'Tariffs Jan2021'!AO78</f>
        <v>0</v>
      </c>
      <c r="U84" s="40">
        <f>'Tariffs Jan2021'!AP78</f>
        <v>0</v>
      </c>
      <c r="V84" s="40">
        <f>'Tariffs Jan2021'!AQ78</f>
        <v>0</v>
      </c>
      <c r="W84" s="537" t="str">
        <f t="shared" si="60"/>
        <v>No discount</v>
      </c>
      <c r="X84" s="538" t="str">
        <f t="shared" si="61"/>
        <v>Inclusive</v>
      </c>
      <c r="Y84" s="534">
        <f>IF(AND(W84="Guaranteed off bill",X84="Inclusive"),((Q84*1.1)-((Q84*1.1)*S84/100))/1.1,IF(AND(W84="Guaranteed off usage",X84="Inclusive"),((Q84*1.1)-((P84*1.1)*T84/100))/1.1,IF(AND(W84="Guaranteed off bill",X84="Exclusive"),Q84-(Q84*S84/100),IF(AND(W84="Guaranteed off usage",X84="Exclusive"),Q84-(P84*T84/100),IF(X84="Inclusive",((Q84*1.1))/1.1,Q84)))))</f>
        <v>1290.7454545454543</v>
      </c>
      <c r="Z84" s="535">
        <f>IF(AND(W84="Pay-on-time off bill",X84="Inclusive"),((Y84*1.1)-((Y84*1.1)*U84/100))/1.1,IF(AND(W84="Pay-on-time off usage",X84="Inclusive"),((Y84*1.1)-((P84*1.1)*V84/100))/1.1,IF(AND(W84="Pay-on-time off bill",X84="Exclusive"),Y84-(Y84*U84/100),IF(AND(W84="Pay-on-time off usage",X84="Exclusive"),Y84-(P84*V84/100),IF(X84="Inclusive",((Y84*1.1))/1.1,Y84)))))</f>
        <v>1290.7454545454543</v>
      </c>
      <c r="AA84" s="542">
        <f t="shared" si="59"/>
        <v>1419.82</v>
      </c>
      <c r="AB84" s="542">
        <f t="shared" si="59"/>
        <v>1419.82</v>
      </c>
      <c r="AC84" s="274">
        <f>'Tariffs Jan2021'!AZ78</f>
        <v>0</v>
      </c>
      <c r="AD84" s="274" t="str">
        <f>'Tariffs Jan2021'!BA78</f>
        <v>n</v>
      </c>
      <c r="AE84" s="275" t="str">
        <f>'Tariffs Jan2021'!BJ78</f>
        <v>N</v>
      </c>
      <c r="AF84" s="516"/>
      <c r="AG84" s="516"/>
      <c r="AH84" s="516"/>
      <c r="AI84" s="516"/>
      <c r="AJ84" s="516"/>
      <c r="AK84" s="516"/>
      <c r="AL84" s="516"/>
      <c r="AM84" s="516"/>
      <c r="AN84" s="516"/>
      <c r="AO84" s="516"/>
      <c r="AP84" s="516"/>
      <c r="AQ84" s="516"/>
      <c r="AR84" s="516"/>
      <c r="AS84" s="516"/>
      <c r="AT84" s="516"/>
      <c r="AU84" s="516"/>
      <c r="AV84" s="516"/>
      <c r="AW84" s="516"/>
      <c r="AX84" s="516"/>
      <c r="AY84" s="516"/>
      <c r="AZ84" s="516"/>
    </row>
    <row r="85" spans="1:52" ht="14" x14ac:dyDescent="0.15">
      <c r="A85" s="270" t="str">
        <f>'Tariffs Jan2021'!F79</f>
        <v>Red Energy</v>
      </c>
      <c r="B85" s="40" t="str">
        <f>'Tariffs Jan2021'!D79</f>
        <v>AGN Central 1</v>
      </c>
      <c r="C85" s="40" t="str">
        <f>'Tariffs Jan2021'!G79</f>
        <v>Living Energy Saver</v>
      </c>
      <c r="D85" s="59">
        <f>365*'Tariffs Jan2021'!H79/100</f>
        <v>239.14136363636356</v>
      </c>
      <c r="E85" s="59">
        <f>IF($C$5*'Tariffs Jan2021'!AK79/'Tariffs Jan2021'!AI79&gt;='Tariffs Jan2021'!J79,( 'Tariffs Jan2021'!J79*'Tariffs Jan2021'!O79/100)* 'Tariffs Jan2021'!AI79,($C$5*'Tariffs Jan2021'!AK79/'Tariffs Jan2021'!AI79*'Tariffs Jan2021'!O79/100)* 'Tariffs Jan2021'!AI79)</f>
        <v>118.88863636363635</v>
      </c>
      <c r="F85" s="59">
        <f>IF($C$5*'Tariffs Jan2021'!AK79/'Tariffs Jan2021'!AI79&lt;'Tariffs Jan2021'!J79,0,IF($C$5*'Tariffs Jan2021'!AK79/'Tariffs Jan2021'!AI79&lt;='Tariffs Jan2021'!K79,($C$5*'Tariffs Jan2021'!AK79/'Tariffs Jan2021'!AI79-'Tariffs Jan2021'!J79)*('Tariffs Jan2021'!P79/100)*'Tariffs Jan2021'!AI79,('Tariffs Jan2021'!K79-'Tariffs Jan2021'!J79)*('Tariffs Jan2021'!P79/100)*'Tariffs Jan2021'!AI79))</f>
        <v>93.125454545454545</v>
      </c>
      <c r="G85" s="59">
        <f>IF($C$5*'Tariffs Jan2021'!AK79/'Tariffs Jan2021'!AI79&lt;'Tariffs Jan2021'!K79,0,IF($C$5*'Tariffs Jan2021'!AK79/'Tariffs Jan2021'!AI79&lt;='Tariffs Jan2021'!L79,($C$5*'Tariffs Jan2021'!AK79/'Tariffs Jan2021'!AI79-'Tariffs Jan2021'!K79)*('Tariffs Jan2021'!Q79/100)*'Tariffs Jan2021'!AI79,('Tariffs Jan2021'!L79-'Tariffs Jan2021'!K79)*('Tariffs Jan2021'!Q79/100)*'Tariffs Jan2021'!AI79))</f>
        <v>0</v>
      </c>
      <c r="H85" s="59">
        <f>IF($C$5*'Tariffs Jan2021'!AK79/'Tariffs Jan2021'!AI79&lt;'Tariffs Jan2021'!L79,0,IF($C$5*'Tariffs Jan2021'!AK79/'Tariffs Jan2021'!AI79&lt;='Tariffs Jan2021'!M79,($C$5*'Tariffs Jan2021'!AK79/'Tariffs Jan2021'!AI79-'Tariffs Jan2021'!L79)*('Tariffs Jan2021'!R79/100)*'Tariffs Jan2021'!AI79,('Tariffs Jan2021'!M79-'Tariffs Jan2021'!L79)*('Tariffs Jan2021'!R79/100)*'Tariffs Jan2021'!AI79))</f>
        <v>0</v>
      </c>
      <c r="I85" s="59">
        <f>IF(($C$5*'Tariffs Jan2021'!AK79/'Tariffs Jan2021'!AI79&gt;'Tariffs Jan2021'!M79),($C$5*'Tariffs Jan2021'!AK79/'Tariffs Jan2021'!AI79-'Tariffs Jan2021'!M79)*'Tariffs Jan2021'!S79/100*'Tariffs Jan2021'!AI79,0)</f>
        <v>370.22727272727275</v>
      </c>
      <c r="J85" s="59">
        <f>IF($C$5*'Tariffs Jan2021'!AL79/'Tariffs Jan2021'!AJ79&gt;='Tariffs Jan2021'!J79,('Tariffs Jan2021'!J79*'Tariffs Jan2021'!U79/100)* 'Tariffs Jan2021'!AJ79,($C$5*'Tariffs Jan2021'!AL79/'Tariffs Jan2021'!AJ79*'Tariffs Jan2021'!U79/100)* 'Tariffs Jan2021'!AJ79)</f>
        <v>118.88863636363635</v>
      </c>
      <c r="K85" s="59">
        <f>IF($C$5*'Tariffs Jan2021'!AL79/'Tariffs Jan2021'!AJ79&lt;'Tariffs Jan2021'!J79,0,IF($C$5*'Tariffs Jan2021'!AL79/'Tariffs Jan2021'!AJ79&lt;='Tariffs Jan2021'!K79,($C$5*'Tariffs Jan2021'!AL79/'Tariffs Jan2021'!AJ79-'Tariffs Jan2021'!J79)*('Tariffs Jan2021'!V79/100)*'Tariffs Jan2021'!AJ79,('Tariffs Jan2021'!K79-'Tariffs Jan2021'!J79)*('Tariffs Jan2021'!V79/100)*'Tariffs Jan2021'!AJ79))</f>
        <v>93.125454545454545</v>
      </c>
      <c r="L85" s="59">
        <f>IF($C$5*'Tariffs Jan2021'!AL79/'Tariffs Jan2021'!AJ79&lt;'Tariffs Jan2021'!K79,0,IF($C$5*'Tariffs Jan2021'!AL79/'Tariffs Jan2021'!AJ79&lt;='Tariffs Jan2021'!L79,($C$5*'Tariffs Jan2021'!AL79/'Tariffs Jan2021'!AJ79-'Tariffs Jan2021'!K79)*('Tariffs Jan2021'!W79/100)*'Tariffs Jan2021'!AJ79,('Tariffs Jan2021'!L79-'Tariffs Jan2021'!K79)*('Tariffs Jan2021'!W79/100)*'Tariffs Jan2021'!AJ79))</f>
        <v>0</v>
      </c>
      <c r="M85" s="59">
        <f>IF($C$5*'Tariffs Jan2021'!AL79/'Tariffs Jan2021'!AJ79&lt;'Tariffs Jan2021'!L79,0,IF($C$5*'Tariffs Jan2021'!AL79/'Tariffs Jan2021'!AJ79&lt;='Tariffs Jan2021'!M79,($C$5*'Tariffs Jan2021'!AL79/'Tariffs Jan2021'!AJ79-'Tariffs Jan2021'!L79)*('Tariffs Jan2021'!X79/100)*'Tariffs Jan2021'!AJ79,('Tariffs Jan2021'!M79-'Tariffs Jan2021'!L79)*('Tariffs Jan2021'!X79/100)*'Tariffs Jan2021'!AJ79))</f>
        <v>0</v>
      </c>
      <c r="N85" s="59">
        <f>IF(($C$5*'Tariffs Jan2021'!AL79/'Tariffs Jan2021'!AJ79&gt;'Tariffs Jan2021'!M79),($C$5*'Tariffs Jan2021'!AL79/'Tariffs Jan2021'!AJ79-'Tariffs Jan2021'!M79)*'Tariffs Jan2021'!Y79/100*'Tariffs Jan2021'!AJ79,0)</f>
        <v>370.22727272727275</v>
      </c>
      <c r="O85" s="59">
        <f t="shared" si="1"/>
        <v>1164.4827272727273</v>
      </c>
      <c r="P85" s="503">
        <f t="shared" si="56"/>
        <v>1280.931</v>
      </c>
      <c r="Q85" s="59">
        <f t="shared" si="3"/>
        <v>1403.6240909090909</v>
      </c>
      <c r="R85" s="272">
        <f t="shared" si="4"/>
        <v>1543.9865000000002</v>
      </c>
      <c r="S85" s="40">
        <f>'Tariffs Jan2021'!AN79</f>
        <v>0</v>
      </c>
      <c r="T85" s="40">
        <f>'Tariffs Jan2021'!AO79</f>
        <v>0</v>
      </c>
      <c r="U85" s="40">
        <f>'Tariffs Jan2021'!AP79</f>
        <v>0</v>
      </c>
      <c r="V85" s="40">
        <f>'Tariffs Jan2021'!AQ79</f>
        <v>0</v>
      </c>
      <c r="W85" s="537" t="str">
        <f t="shared" si="60"/>
        <v>No discount</v>
      </c>
      <c r="X85" s="538" t="str">
        <f t="shared" si="61"/>
        <v>Inclusive</v>
      </c>
      <c r="Y85" s="534">
        <f t="shared" ref="Y85:Y88" si="68">IF(AND(W85="Guaranteed off bill",X85="Inclusive"),((Q85*1.1)-((Q85*1.1)*S85/100))/1.1,IF(AND(W85="Guaranteed off usage",X85="Inclusive"),((Q85*1.1)-((P85*1.1)*T85/100))/1.1,IF(AND(W85="Guaranteed off bill",X85="Exclusive"),Q85-(Q85*S85/100),IF(AND(W85="Guaranteed off usage",X85="Exclusive"),Q85-(P85*T85/100),IF(X85="Inclusive",((Q85*1.1))/1.1,Q85)))))</f>
        <v>1403.6240909090909</v>
      </c>
      <c r="Z85" s="535">
        <f t="shared" ref="Z85:Z88" si="69">IF(AND(W85="Pay-on-time off bill",X85="Inclusive"),((Y85*1.1)-((Y85*1.1)*U85/100))/1.1,IF(AND(W85="Pay-on-time off usage",X85="Inclusive"),((Y85*1.1)-((P85*1.1)*V85/100))/1.1,IF(AND(W85="Pay-on-time off bill",X85="Exclusive"),Y85-(Y85*U85/100),IF(AND(W85="Pay-on-time off usage",X85="Exclusive"),Y85-(P85*V85/100),IF(X85="Inclusive",((Y85*1.1))/1.1,Y85)))))</f>
        <v>1403.6240909090909</v>
      </c>
      <c r="AA85" s="542">
        <f t="shared" si="59"/>
        <v>1543.9865000000002</v>
      </c>
      <c r="AB85" s="542">
        <f t="shared" si="59"/>
        <v>1543.9865000000002</v>
      </c>
      <c r="AC85" s="274">
        <f>'Tariffs Jan2021'!AZ79</f>
        <v>0</v>
      </c>
      <c r="AD85" s="274" t="str">
        <f>'Tariffs Jan2021'!BA79</f>
        <v>n</v>
      </c>
      <c r="AE85" s="275" t="str">
        <f>'Tariffs Jan2021'!BJ79</f>
        <v>N</v>
      </c>
      <c r="AF85" s="516"/>
      <c r="AG85" s="516"/>
      <c r="AH85" s="516"/>
      <c r="AI85" s="516"/>
      <c r="AJ85" s="516"/>
      <c r="AK85" s="516"/>
      <c r="AL85" s="516"/>
      <c r="AM85" s="516"/>
      <c r="AN85" s="516"/>
      <c r="AO85" s="516"/>
      <c r="AP85" s="516"/>
      <c r="AQ85" s="516"/>
      <c r="AR85" s="516"/>
      <c r="AS85" s="516"/>
      <c r="AT85" s="516"/>
      <c r="AU85" s="516"/>
      <c r="AV85" s="516"/>
      <c r="AW85" s="516"/>
      <c r="AX85" s="516"/>
      <c r="AY85" s="516"/>
      <c r="AZ85" s="516"/>
    </row>
    <row r="86" spans="1:52" ht="14" x14ac:dyDescent="0.15">
      <c r="A86" s="270" t="str">
        <f>'Tariffs Jan2021'!F80</f>
        <v>Simply Energy</v>
      </c>
      <c r="B86" s="40" t="str">
        <f>'Tariffs Jan2021'!D80</f>
        <v>AGN Central 1</v>
      </c>
      <c r="C86" s="40" t="str">
        <f>'Tariffs Jan2021'!G80</f>
        <v>Blue</v>
      </c>
      <c r="D86" s="59">
        <f>365*'Tariffs Jan2021'!H80/100</f>
        <v>255.13499999999996</v>
      </c>
      <c r="E86" s="59">
        <f>IF($C$5*'Tariffs Jan2021'!AK80/'Tariffs Jan2021'!AI80&gt;='Tariffs Jan2021'!J80,( 'Tariffs Jan2021'!J80*'Tariffs Jan2021'!O80/100)* 'Tariffs Jan2021'!AI80,($C$5*'Tariffs Jan2021'!AK80/'Tariffs Jan2021'!AI80*'Tariffs Jan2021'!O80/100)* 'Tariffs Jan2021'!AI80)</f>
        <v>146.70409090909092</v>
      </c>
      <c r="F86" s="59">
        <f>IF($C$5*'Tariffs Jan2021'!AK80/'Tariffs Jan2021'!AI80&lt;'Tariffs Jan2021'!J80,0,IF($C$5*'Tariffs Jan2021'!AK80/'Tariffs Jan2021'!AI80&lt;='Tariffs Jan2021'!K80,($C$5*'Tariffs Jan2021'!AK80/'Tariffs Jan2021'!AI80-'Tariffs Jan2021'!J80)*('Tariffs Jan2021'!P80/100)*'Tariffs Jan2021'!AI80,('Tariffs Jan2021'!K80-'Tariffs Jan2021'!J80)*('Tariffs Jan2021'!P80/100)*'Tariffs Jan2021'!AI80))</f>
        <v>95.712272727272705</v>
      </c>
      <c r="G86" s="59">
        <f>IF($C$5*'Tariffs Jan2021'!AK80/'Tariffs Jan2021'!AI80&lt;'Tariffs Jan2021'!K80,0,IF($C$5*'Tariffs Jan2021'!AK80/'Tariffs Jan2021'!AI80&lt;='Tariffs Jan2021'!L80,($C$5*'Tariffs Jan2021'!AK80/'Tariffs Jan2021'!AI80-'Tariffs Jan2021'!K80)*('Tariffs Jan2021'!Q80/100)*'Tariffs Jan2021'!AI80,('Tariffs Jan2021'!L80-'Tariffs Jan2021'!K80)*('Tariffs Jan2021'!Q80/100)*'Tariffs Jan2021'!AI80))</f>
        <v>0</v>
      </c>
      <c r="H86" s="59">
        <f>IF($C$5*'Tariffs Jan2021'!AK80/'Tariffs Jan2021'!AI80&lt;'Tariffs Jan2021'!L80,0,IF($C$5*'Tariffs Jan2021'!AK80/'Tariffs Jan2021'!AI80&lt;='Tariffs Jan2021'!M80,($C$5*'Tariffs Jan2021'!AK80/'Tariffs Jan2021'!AI80-'Tariffs Jan2021'!L80)*('Tariffs Jan2021'!R80/100)*'Tariffs Jan2021'!AI80,('Tariffs Jan2021'!M80-'Tariffs Jan2021'!L80)*('Tariffs Jan2021'!R80/100)*'Tariffs Jan2021'!AI80))</f>
        <v>0</v>
      </c>
      <c r="I86" s="59">
        <f>IF(($C$5*'Tariffs Jan2021'!AK80/'Tariffs Jan2021'!AI80&gt;'Tariffs Jan2021'!M80),($C$5*'Tariffs Jan2021'!AK80/'Tariffs Jan2021'!AI80-'Tariffs Jan2021'!M80)*'Tariffs Jan2021'!S80/100*'Tariffs Jan2021'!AI80,0)</f>
        <v>445.90909090909088</v>
      </c>
      <c r="J86" s="59">
        <f>IF($C$5*'Tariffs Jan2021'!AL80/'Tariffs Jan2021'!AJ80&gt;='Tariffs Jan2021'!J80,('Tariffs Jan2021'!J80*'Tariffs Jan2021'!U80/100)* 'Tariffs Jan2021'!AJ80,($C$5*'Tariffs Jan2021'!AL80/'Tariffs Jan2021'!AJ80*'Tariffs Jan2021'!U80/100)* 'Tariffs Jan2021'!AJ80)</f>
        <v>146.70409090909092</v>
      </c>
      <c r="K86" s="59">
        <f>IF($C$5*'Tariffs Jan2021'!AL80/'Tariffs Jan2021'!AJ80&lt;'Tariffs Jan2021'!J80,0,IF($C$5*'Tariffs Jan2021'!AL80/'Tariffs Jan2021'!AJ80&lt;='Tariffs Jan2021'!K80,($C$5*'Tariffs Jan2021'!AL80/'Tariffs Jan2021'!AJ80-'Tariffs Jan2021'!J80)*('Tariffs Jan2021'!V80/100)*'Tariffs Jan2021'!AJ80,('Tariffs Jan2021'!K80-'Tariffs Jan2021'!J80)*('Tariffs Jan2021'!V80/100)*'Tariffs Jan2021'!AJ80))</f>
        <v>95.712272727272705</v>
      </c>
      <c r="L86" s="59">
        <f>IF($C$5*'Tariffs Jan2021'!AL80/'Tariffs Jan2021'!AJ80&lt;'Tariffs Jan2021'!K80,0,IF($C$5*'Tariffs Jan2021'!AL80/'Tariffs Jan2021'!AJ80&lt;='Tariffs Jan2021'!L80,($C$5*'Tariffs Jan2021'!AL80/'Tariffs Jan2021'!AJ80-'Tariffs Jan2021'!K80)*('Tariffs Jan2021'!W80/100)*'Tariffs Jan2021'!AJ80,('Tariffs Jan2021'!L80-'Tariffs Jan2021'!K80)*('Tariffs Jan2021'!W80/100)*'Tariffs Jan2021'!AJ80))</f>
        <v>0</v>
      </c>
      <c r="M86" s="59">
        <f>IF($C$5*'Tariffs Jan2021'!AL80/'Tariffs Jan2021'!AJ80&lt;'Tariffs Jan2021'!L80,0,IF($C$5*'Tariffs Jan2021'!AL80/'Tariffs Jan2021'!AJ80&lt;='Tariffs Jan2021'!M80,($C$5*'Tariffs Jan2021'!AL80/'Tariffs Jan2021'!AJ80-'Tariffs Jan2021'!L80)*('Tariffs Jan2021'!X80/100)*'Tariffs Jan2021'!AJ80,('Tariffs Jan2021'!M80-'Tariffs Jan2021'!L80)*('Tariffs Jan2021'!X80/100)*'Tariffs Jan2021'!AJ80))</f>
        <v>0</v>
      </c>
      <c r="N86" s="59">
        <f>IF(($C$5*'Tariffs Jan2021'!AL80/'Tariffs Jan2021'!AJ80&gt;'Tariffs Jan2021'!M80),($C$5*'Tariffs Jan2021'!AL80/'Tariffs Jan2021'!AJ80-'Tariffs Jan2021'!M80)*'Tariffs Jan2021'!Y80/100*'Tariffs Jan2021'!AJ80,0)</f>
        <v>445.90909090909088</v>
      </c>
      <c r="O86" s="59">
        <f t="shared" si="1"/>
        <v>1376.650909090909</v>
      </c>
      <c r="P86" s="503">
        <f t="shared" si="56"/>
        <v>1514.316</v>
      </c>
      <c r="Q86" s="59">
        <f t="shared" si="3"/>
        <v>1631.7859090909089</v>
      </c>
      <c r="R86" s="272">
        <f t="shared" si="4"/>
        <v>1794.9645</v>
      </c>
      <c r="S86" s="40">
        <f>'Tariffs Jan2021'!AN80</f>
        <v>21</v>
      </c>
      <c r="T86" s="40">
        <f>'Tariffs Jan2021'!AO80</f>
        <v>0</v>
      </c>
      <c r="U86" s="40">
        <f>'Tariffs Jan2021'!AP80</f>
        <v>0</v>
      </c>
      <c r="V86" s="40">
        <f>'Tariffs Jan2021'!AQ80</f>
        <v>0</v>
      </c>
      <c r="W86" s="537" t="str">
        <f t="shared" si="60"/>
        <v>Guaranteed off bill</v>
      </c>
      <c r="X86" s="538" t="str">
        <f t="shared" si="61"/>
        <v>Exclusive</v>
      </c>
      <c r="Y86" s="534">
        <f t="shared" si="68"/>
        <v>1289.110868181818</v>
      </c>
      <c r="Z86" s="535">
        <f t="shared" si="69"/>
        <v>1289.110868181818</v>
      </c>
      <c r="AA86" s="542">
        <f t="shared" si="59"/>
        <v>1418.0219549999999</v>
      </c>
      <c r="AB86" s="542">
        <f t="shared" si="59"/>
        <v>1418.0219549999999</v>
      </c>
      <c r="AC86" s="274">
        <f>'Tariffs Jan2021'!AZ80</f>
        <v>0</v>
      </c>
      <c r="AD86" s="274" t="str">
        <f>'Tariffs Jan2021'!BA80</f>
        <v>n</v>
      </c>
      <c r="AE86" s="275" t="str">
        <f>'Tariffs Jan2021'!BJ80</f>
        <v>N</v>
      </c>
      <c r="AF86" s="516"/>
      <c r="AG86" s="516"/>
      <c r="AH86" s="516"/>
      <c r="AI86" s="516"/>
      <c r="AJ86" s="516"/>
      <c r="AK86" s="516"/>
      <c r="AL86" s="516"/>
      <c r="AM86" s="516"/>
      <c r="AN86" s="516"/>
      <c r="AO86" s="516"/>
      <c r="AP86" s="516"/>
      <c r="AQ86" s="516"/>
      <c r="AR86" s="516"/>
      <c r="AS86" s="516"/>
      <c r="AT86" s="516"/>
      <c r="AU86" s="516"/>
      <c r="AV86" s="516"/>
      <c r="AW86" s="516"/>
      <c r="AX86" s="516"/>
      <c r="AY86" s="516"/>
      <c r="AZ86" s="516"/>
    </row>
    <row r="87" spans="1:52" ht="14" x14ac:dyDescent="0.15">
      <c r="A87" s="270" t="str">
        <f>'Tariffs Jan2021'!F81</f>
        <v>Sumo Power</v>
      </c>
      <c r="B87" s="40" t="str">
        <f>'Tariffs Jan2021'!D81</f>
        <v>AGN Central 1</v>
      </c>
      <c r="C87" s="40" t="str">
        <f>'Tariffs Jan2021'!G81</f>
        <v>Freedom</v>
      </c>
      <c r="D87" s="59">
        <f>365*'Tariffs Jan2021'!H81/100</f>
        <v>248.19999999999996</v>
      </c>
      <c r="E87" s="59">
        <f>IF($C$5*'Tariffs Jan2021'!AK81/'Tariffs Jan2021'!AI81&gt;='Tariffs Jan2021'!J81,( 'Tariffs Jan2021'!J81*'Tariffs Jan2021'!O81/100)* 'Tariffs Jan2021'!AI81,($C$5*'Tariffs Jan2021'!AK81/'Tariffs Jan2021'!AI81*'Tariffs Jan2021'!O81/100)* 'Tariffs Jan2021'!AI81)</f>
        <v>117.99136363636363</v>
      </c>
      <c r="F87" s="59">
        <f>IF($C$5*'Tariffs Jan2021'!AK81/'Tariffs Jan2021'!AI81&lt;'Tariffs Jan2021'!J81,0,IF($C$5*'Tariffs Jan2021'!AK81/'Tariffs Jan2021'!AI81&lt;='Tariffs Jan2021'!K81,($C$5*'Tariffs Jan2021'!AK81/'Tariffs Jan2021'!AI81-'Tariffs Jan2021'!J81)*('Tariffs Jan2021'!P81/100)*'Tariffs Jan2021'!AI81,('Tariffs Jan2021'!K81-'Tariffs Jan2021'!J81)*('Tariffs Jan2021'!P81/100)*'Tariffs Jan2021'!AI81))</f>
        <v>78.713181818181809</v>
      </c>
      <c r="G87" s="59">
        <f>IF($C$5*'Tariffs Jan2021'!AK81/'Tariffs Jan2021'!AI81&lt;'Tariffs Jan2021'!K81,0,IF($C$5*'Tariffs Jan2021'!AK81/'Tariffs Jan2021'!AI81&lt;='Tariffs Jan2021'!L81,($C$5*'Tariffs Jan2021'!AK81/'Tariffs Jan2021'!AI81-'Tariffs Jan2021'!K81)*('Tariffs Jan2021'!Q81/100)*'Tariffs Jan2021'!AI81,('Tariffs Jan2021'!L81-'Tariffs Jan2021'!K81)*('Tariffs Jan2021'!Q81/100)*'Tariffs Jan2021'!AI81))</f>
        <v>0</v>
      </c>
      <c r="H87" s="59">
        <f>IF($C$5*'Tariffs Jan2021'!AK81/'Tariffs Jan2021'!AI81&lt;'Tariffs Jan2021'!L81,0,IF($C$5*'Tariffs Jan2021'!AK81/'Tariffs Jan2021'!AI81&lt;='Tariffs Jan2021'!M81,($C$5*'Tariffs Jan2021'!AK81/'Tariffs Jan2021'!AI81-'Tariffs Jan2021'!L81)*('Tariffs Jan2021'!R81/100)*'Tariffs Jan2021'!AI81,('Tariffs Jan2021'!M81-'Tariffs Jan2021'!L81)*('Tariffs Jan2021'!R81/100)*'Tariffs Jan2021'!AI81))</f>
        <v>0</v>
      </c>
      <c r="I87" s="59">
        <f>IF(($C$5*'Tariffs Jan2021'!AK81/'Tariffs Jan2021'!AI81&gt;'Tariffs Jan2021'!M81),($C$5*'Tariffs Jan2021'!AK81/'Tariffs Jan2021'!AI81-'Tariffs Jan2021'!M81)*'Tariffs Jan2021'!S81/100*'Tariffs Jan2021'!AI81,0)</f>
        <v>378.40909090909088</v>
      </c>
      <c r="J87" s="59">
        <f>IF($C$5*'Tariffs Jan2021'!AL81/'Tariffs Jan2021'!AJ81&gt;='Tariffs Jan2021'!J81,('Tariffs Jan2021'!J81*'Tariffs Jan2021'!U81/100)* 'Tariffs Jan2021'!AJ81,($C$5*'Tariffs Jan2021'!AL81/'Tariffs Jan2021'!AJ81*'Tariffs Jan2021'!U81/100)* 'Tariffs Jan2021'!AJ81)</f>
        <v>117.99136363636363</v>
      </c>
      <c r="K87" s="59">
        <f>IF($C$5*'Tariffs Jan2021'!AL81/'Tariffs Jan2021'!AJ81&lt;'Tariffs Jan2021'!J81,0,IF($C$5*'Tariffs Jan2021'!AL81/'Tariffs Jan2021'!AJ81&lt;='Tariffs Jan2021'!K81,($C$5*'Tariffs Jan2021'!AL81/'Tariffs Jan2021'!AJ81-'Tariffs Jan2021'!J81)*('Tariffs Jan2021'!V81/100)*'Tariffs Jan2021'!AJ81,('Tariffs Jan2021'!K81-'Tariffs Jan2021'!J81)*('Tariffs Jan2021'!V81/100)*'Tariffs Jan2021'!AJ81))</f>
        <v>78.713181818181809</v>
      </c>
      <c r="L87" s="59">
        <f>IF($C$5*'Tariffs Jan2021'!AL81/'Tariffs Jan2021'!AJ81&lt;'Tariffs Jan2021'!K81,0,IF($C$5*'Tariffs Jan2021'!AL81/'Tariffs Jan2021'!AJ81&lt;='Tariffs Jan2021'!L81,($C$5*'Tariffs Jan2021'!AL81/'Tariffs Jan2021'!AJ81-'Tariffs Jan2021'!K81)*('Tariffs Jan2021'!W81/100)*'Tariffs Jan2021'!AJ81,('Tariffs Jan2021'!L81-'Tariffs Jan2021'!K81)*('Tariffs Jan2021'!W81/100)*'Tariffs Jan2021'!AJ81))</f>
        <v>0</v>
      </c>
      <c r="M87" s="59">
        <f>IF($C$5*'Tariffs Jan2021'!AL81/'Tariffs Jan2021'!AJ81&lt;'Tariffs Jan2021'!L81,0,IF($C$5*'Tariffs Jan2021'!AL81/'Tariffs Jan2021'!AJ81&lt;='Tariffs Jan2021'!M81,($C$5*'Tariffs Jan2021'!AL81/'Tariffs Jan2021'!AJ81-'Tariffs Jan2021'!L81)*('Tariffs Jan2021'!X81/100)*'Tariffs Jan2021'!AJ81,('Tariffs Jan2021'!M81-'Tariffs Jan2021'!L81)*('Tariffs Jan2021'!X81/100)*'Tariffs Jan2021'!AJ81))</f>
        <v>0</v>
      </c>
      <c r="N87" s="59">
        <f>IF(($C$5*'Tariffs Jan2021'!AL81/'Tariffs Jan2021'!AJ81&gt;'Tariffs Jan2021'!M81),($C$5*'Tariffs Jan2021'!AL81/'Tariffs Jan2021'!AJ81-'Tariffs Jan2021'!M81)*'Tariffs Jan2021'!Y81/100*'Tariffs Jan2021'!AJ81,0)</f>
        <v>378.40909090909088</v>
      </c>
      <c r="O87" s="59">
        <f t="shared" si="1"/>
        <v>1150.2272727272725</v>
      </c>
      <c r="P87" s="503">
        <f t="shared" si="56"/>
        <v>1265.2499999999998</v>
      </c>
      <c r="Q87" s="59">
        <f t="shared" si="3"/>
        <v>1398.4272727272726</v>
      </c>
      <c r="R87" s="272">
        <f t="shared" si="4"/>
        <v>1538.27</v>
      </c>
      <c r="S87" s="40">
        <f>'Tariffs Jan2021'!AN81</f>
        <v>0</v>
      </c>
      <c r="T87" s="40">
        <f>'Tariffs Jan2021'!AO81</f>
        <v>0</v>
      </c>
      <c r="U87" s="40">
        <f>'Tariffs Jan2021'!AP81</f>
        <v>0</v>
      </c>
      <c r="V87" s="40">
        <f>'Tariffs Jan2021'!AQ81</f>
        <v>0</v>
      </c>
      <c r="W87" s="537" t="str">
        <f t="shared" si="60"/>
        <v>No discount</v>
      </c>
      <c r="X87" s="538" t="str">
        <f t="shared" si="61"/>
        <v>Exclusive</v>
      </c>
      <c r="Y87" s="534">
        <f t="shared" si="68"/>
        <v>1398.4272727272726</v>
      </c>
      <c r="Z87" s="535">
        <f t="shared" si="69"/>
        <v>1398.4272727272726</v>
      </c>
      <c r="AA87" s="542">
        <f t="shared" si="59"/>
        <v>1538.27</v>
      </c>
      <c r="AB87" s="542">
        <f t="shared" si="59"/>
        <v>1538.27</v>
      </c>
      <c r="AC87" s="274">
        <f>'Tariffs Jan2021'!AZ81</f>
        <v>0</v>
      </c>
      <c r="AD87" s="274" t="str">
        <f>'Tariffs Jan2021'!BA81</f>
        <v>n</v>
      </c>
      <c r="AE87" s="275" t="str">
        <f>'Tariffs Jan2021'!BJ81</f>
        <v>Y</v>
      </c>
      <c r="AF87" s="516"/>
      <c r="AG87" s="516"/>
      <c r="AH87" s="516"/>
      <c r="AI87" s="516"/>
      <c r="AJ87" s="516"/>
      <c r="AK87" s="516"/>
      <c r="AL87" s="516"/>
      <c r="AM87" s="516"/>
      <c r="AN87" s="516"/>
      <c r="AO87" s="516"/>
      <c r="AP87" s="516"/>
      <c r="AQ87" s="516"/>
      <c r="AR87" s="516"/>
      <c r="AS87" s="516"/>
      <c r="AT87" s="516"/>
      <c r="AU87" s="516"/>
      <c r="AV87" s="516"/>
      <c r="AW87" s="516"/>
      <c r="AX87" s="516"/>
      <c r="AY87" s="516"/>
      <c r="AZ87" s="516"/>
    </row>
    <row r="88" spans="1:52" ht="14" x14ac:dyDescent="0.15">
      <c r="A88" s="270" t="str">
        <f>'Tariffs Jan2021'!F82</f>
        <v>GloBird Energy</v>
      </c>
      <c r="B88" s="40" t="str">
        <f>'Tariffs Jan2021'!D82</f>
        <v>AGN Central 1</v>
      </c>
      <c r="C88" s="40" t="str">
        <f>'Tariffs Jan2021'!G82</f>
        <v>GloSave</v>
      </c>
      <c r="D88" s="59">
        <f>365*'Tariffs Jan2021'!H82/100</f>
        <v>218.99999999999997</v>
      </c>
      <c r="E88" s="59">
        <f>IF($C$5*'Tariffs Jan2021'!AK82/'Tariffs Jan2021'!AI82&gt;='Tariffs Jan2021'!J82,( 'Tariffs Jan2021'!J82*'Tariffs Jan2021'!O82/100)* 'Tariffs Jan2021'!AI82,($C$5*'Tariffs Jan2021'!AK82/'Tariffs Jan2021'!AI82*'Tariffs Jan2021'!O82/100)* 'Tariffs Jan2021'!AI82)</f>
        <v>184.90909090909091</v>
      </c>
      <c r="F88" s="59">
        <f>IF($C$5*'Tariffs Jan2021'!AK82/'Tariffs Jan2021'!AI82&lt;'Tariffs Jan2021'!J82,0,IF($C$5*'Tariffs Jan2021'!AK82/'Tariffs Jan2021'!AI82&lt;='Tariffs Jan2021'!K82,($C$5*'Tariffs Jan2021'!AK82/'Tariffs Jan2021'!AI82-'Tariffs Jan2021'!J82)*('Tariffs Jan2021'!P82/100)*'Tariffs Jan2021'!AI82,('Tariffs Jan2021'!K82-'Tariffs Jan2021'!J82)*('Tariffs Jan2021'!P82/100)*'Tariffs Jan2021'!AI82))</f>
        <v>0</v>
      </c>
      <c r="G88" s="59">
        <f>IF($C$5*'Tariffs Jan2021'!AK82/'Tariffs Jan2021'!AI82&lt;'Tariffs Jan2021'!K82,0,IF($C$5*'Tariffs Jan2021'!AK82/'Tariffs Jan2021'!AI82&lt;='Tariffs Jan2021'!L82,($C$5*'Tariffs Jan2021'!AK82/'Tariffs Jan2021'!AI82-'Tariffs Jan2021'!K82)*('Tariffs Jan2021'!Q82/100)*'Tariffs Jan2021'!AI82,('Tariffs Jan2021'!L82-'Tariffs Jan2021'!K82)*('Tariffs Jan2021'!Q82/100)*'Tariffs Jan2021'!AI82))</f>
        <v>0</v>
      </c>
      <c r="H88" s="59">
        <f>IF($C$5*'Tariffs Jan2021'!AK82/'Tariffs Jan2021'!AI82&lt;'Tariffs Jan2021'!L82,0,IF($C$5*'Tariffs Jan2021'!AK82/'Tariffs Jan2021'!AI82&lt;='Tariffs Jan2021'!M82,($C$5*'Tariffs Jan2021'!AK82/'Tariffs Jan2021'!AI82-'Tariffs Jan2021'!L82)*('Tariffs Jan2021'!R82/100)*'Tariffs Jan2021'!AI82,('Tariffs Jan2021'!M82-'Tariffs Jan2021'!L82)*('Tariffs Jan2021'!R82/100)*'Tariffs Jan2021'!AI82))</f>
        <v>0</v>
      </c>
      <c r="I88" s="59">
        <f>IF(($C$5*'Tariffs Jan2021'!AK82/'Tariffs Jan2021'!AI82&gt;'Tariffs Jan2021'!M82),($C$5*'Tariffs Jan2021'!AK82/'Tariffs Jan2021'!AI82-'Tariffs Jan2021'!M82)*'Tariffs Jan2021'!S82/100*'Tariffs Jan2021'!AI82,0)</f>
        <v>337.49999999999994</v>
      </c>
      <c r="J88" s="59">
        <f>IF($C$5*'Tariffs Jan2021'!AL82/'Tariffs Jan2021'!AJ82&gt;='Tariffs Jan2021'!J82,('Tariffs Jan2021'!J82*'Tariffs Jan2021'!U82/100)* 'Tariffs Jan2021'!AJ82,($C$5*'Tariffs Jan2021'!AL82/'Tariffs Jan2021'!AJ82*'Tariffs Jan2021'!U82/100)* 'Tariffs Jan2021'!AJ82)</f>
        <v>184.90909090909091</v>
      </c>
      <c r="K88" s="59">
        <f>IF($C$5*'Tariffs Jan2021'!AL82/'Tariffs Jan2021'!AJ82&lt;'Tariffs Jan2021'!J82,0,IF($C$5*'Tariffs Jan2021'!AL82/'Tariffs Jan2021'!AJ82&lt;='Tariffs Jan2021'!K82,($C$5*'Tariffs Jan2021'!AL82/'Tariffs Jan2021'!AJ82-'Tariffs Jan2021'!J82)*('Tariffs Jan2021'!V82/100)*'Tariffs Jan2021'!AJ82,('Tariffs Jan2021'!K82-'Tariffs Jan2021'!J82)*('Tariffs Jan2021'!V82/100)*'Tariffs Jan2021'!AJ82))</f>
        <v>0</v>
      </c>
      <c r="L88" s="59">
        <f>IF($C$5*'Tariffs Jan2021'!AL82/'Tariffs Jan2021'!AJ82&lt;'Tariffs Jan2021'!K82,0,IF($C$5*'Tariffs Jan2021'!AL82/'Tariffs Jan2021'!AJ82&lt;='Tariffs Jan2021'!L82,($C$5*'Tariffs Jan2021'!AL82/'Tariffs Jan2021'!AJ82-'Tariffs Jan2021'!K82)*('Tariffs Jan2021'!W82/100)*'Tariffs Jan2021'!AJ82,('Tariffs Jan2021'!L82-'Tariffs Jan2021'!K82)*('Tariffs Jan2021'!W82/100)*'Tariffs Jan2021'!AJ82))</f>
        <v>0</v>
      </c>
      <c r="M88" s="59">
        <f>IF($C$5*'Tariffs Jan2021'!AL82/'Tariffs Jan2021'!AJ82&lt;'Tariffs Jan2021'!L82,0,IF($C$5*'Tariffs Jan2021'!AL82/'Tariffs Jan2021'!AJ82&lt;='Tariffs Jan2021'!M82,($C$5*'Tariffs Jan2021'!AL82/'Tariffs Jan2021'!AJ82-'Tariffs Jan2021'!L82)*('Tariffs Jan2021'!X82/100)*'Tariffs Jan2021'!AJ82,('Tariffs Jan2021'!M82-'Tariffs Jan2021'!L82)*('Tariffs Jan2021'!X82/100)*'Tariffs Jan2021'!AJ82))</f>
        <v>0</v>
      </c>
      <c r="N88" s="59">
        <f>IF(($C$5*'Tariffs Jan2021'!AL82/'Tariffs Jan2021'!AJ82&gt;'Tariffs Jan2021'!M82),($C$5*'Tariffs Jan2021'!AL82/'Tariffs Jan2021'!AJ82-'Tariffs Jan2021'!M82)*'Tariffs Jan2021'!Y82/100*'Tariffs Jan2021'!AJ82,0)</f>
        <v>337.49999999999994</v>
      </c>
      <c r="O88" s="59">
        <f t="shared" si="1"/>
        <v>1044.8181818181818</v>
      </c>
      <c r="P88" s="503">
        <f t="shared" si="56"/>
        <v>1149.3</v>
      </c>
      <c r="Q88" s="59">
        <f t="shared" si="3"/>
        <v>1263.8181818181818</v>
      </c>
      <c r="R88" s="272">
        <f t="shared" si="4"/>
        <v>1390.2</v>
      </c>
      <c r="S88" s="40">
        <f>'Tariffs Jan2021'!AN82</f>
        <v>0</v>
      </c>
      <c r="T88" s="40">
        <f>'Tariffs Jan2021'!AO82</f>
        <v>0</v>
      </c>
      <c r="U88" s="40">
        <f>'Tariffs Jan2021'!AP82</f>
        <v>0</v>
      </c>
      <c r="V88" s="40">
        <f>'Tariffs Jan2021'!AQ82</f>
        <v>0</v>
      </c>
      <c r="W88" s="537" t="str">
        <f t="shared" si="60"/>
        <v>No discount</v>
      </c>
      <c r="X88" s="538" t="str">
        <f t="shared" si="61"/>
        <v>Exclusive</v>
      </c>
      <c r="Y88" s="534">
        <f t="shared" si="68"/>
        <v>1263.8181818181818</v>
      </c>
      <c r="Z88" s="535">
        <f t="shared" si="69"/>
        <v>1263.8181818181818</v>
      </c>
      <c r="AA88" s="542">
        <f t="shared" si="59"/>
        <v>1390.2</v>
      </c>
      <c r="AB88" s="542">
        <f t="shared" si="59"/>
        <v>1390.2</v>
      </c>
      <c r="AC88" s="274">
        <f>'Tariffs Jan2021'!AZ82</f>
        <v>0</v>
      </c>
      <c r="AD88" s="274" t="str">
        <f>'Tariffs Jan2021'!BA82</f>
        <v>n</v>
      </c>
      <c r="AE88" s="275" t="str">
        <f>'Tariffs Jan2021'!BJ82</f>
        <v>N</v>
      </c>
      <c r="AF88" s="516"/>
      <c r="AG88" s="516"/>
      <c r="AH88" s="516"/>
      <c r="AI88" s="516"/>
      <c r="AJ88" s="516"/>
      <c r="AK88" s="516"/>
      <c r="AL88" s="516"/>
      <c r="AM88" s="516"/>
      <c r="AN88" s="516"/>
      <c r="AO88" s="516"/>
      <c r="AP88" s="516"/>
      <c r="AQ88" s="516"/>
      <c r="AR88" s="516"/>
      <c r="AS88" s="516"/>
      <c r="AT88" s="516"/>
      <c r="AU88" s="516"/>
      <c r="AV88" s="516"/>
      <c r="AW88" s="516"/>
      <c r="AX88" s="516"/>
      <c r="AY88" s="516"/>
      <c r="AZ88" s="516"/>
    </row>
    <row r="89" spans="1:52" ht="14" x14ac:dyDescent="0.15">
      <c r="A89" s="270" t="str">
        <f>'Tariffs Jan2021'!F83</f>
        <v>Powershop</v>
      </c>
      <c r="B89" s="40" t="str">
        <f>'Tariffs Jan2021'!D83</f>
        <v>AGN Central 1</v>
      </c>
      <c r="C89" s="40" t="str">
        <f>'Tariffs Jan2021'!G83</f>
        <v>Market offer</v>
      </c>
      <c r="D89" s="59">
        <f>365*'Tariffs Jan2021'!H83/100</f>
        <v>247.8681818181818</v>
      </c>
      <c r="E89" s="59">
        <f>((C$5*'Tariffs Jan2021'!AK83/'Tariffs Jan2021'!AI83)*('Tariffs Jan2021'!O83/100))*'Tariffs Jan2021'!AI83</f>
        <v>566.99999999999989</v>
      </c>
      <c r="F89" s="59">
        <v>0</v>
      </c>
      <c r="G89" s="59">
        <v>0</v>
      </c>
      <c r="H89" s="59">
        <v>0</v>
      </c>
      <c r="I89" s="59">
        <v>0</v>
      </c>
      <c r="J89" s="59">
        <f>((C$5*'Tariffs Jan2021'!AL83/'Tariffs Jan2021'!AJ83)*('Tariffs Jan2021'!U83/100))*'Tariffs Jan2021'!AJ83</f>
        <v>566.99999999999989</v>
      </c>
      <c r="K89" s="59">
        <v>0</v>
      </c>
      <c r="L89" s="59">
        <v>0</v>
      </c>
      <c r="M89" s="59">
        <v>0</v>
      </c>
      <c r="N89" s="59">
        <v>0</v>
      </c>
      <c r="O89" s="59">
        <f t="shared" si="1"/>
        <v>1133.9999999999998</v>
      </c>
      <c r="P89" s="503">
        <f t="shared" si="56"/>
        <v>1247.3999999999999</v>
      </c>
      <c r="Q89" s="59">
        <f t="shared" si="3"/>
        <v>1381.8681818181815</v>
      </c>
      <c r="R89" s="272">
        <f t="shared" si="4"/>
        <v>1520.0549999999998</v>
      </c>
      <c r="S89" s="40">
        <f>'Tariffs Jan2021'!AN83</f>
        <v>0</v>
      </c>
      <c r="T89" s="40">
        <f>'Tariffs Jan2021'!AO83</f>
        <v>0</v>
      </c>
      <c r="U89" s="40">
        <f>'Tariffs Jan2021'!AP83</f>
        <v>0</v>
      </c>
      <c r="V89" s="40">
        <f>'Tariffs Jan2021'!AQ83</f>
        <v>0</v>
      </c>
      <c r="W89" s="537" t="str">
        <f t="shared" si="60"/>
        <v>No discount</v>
      </c>
      <c r="X89" s="538" t="str">
        <f t="shared" si="61"/>
        <v>Inclusive</v>
      </c>
      <c r="Y89" s="534">
        <f>IF(AND(W89="Guaranteed off bill",X89="Inclusive"),((Q89*1.1)-((Q89*1.1)*S89/100))/1.1,IF(AND(W89="Guaranteed off usage",X89="Inclusive"),((Q89*1.1)-((P89*1.1)*T89/100))/1.1,IF(AND(W89="Guaranteed off bill",X89="Exclusive"),Q89-(Q89*S89/100),IF(AND(W89="Guaranteed off usage",X89="Exclusive"),Q89-(P89*T89/100),IF(X89="Inclusive",((Q89*1.1))/1.1,Q89)))))</f>
        <v>1381.8681818181815</v>
      </c>
      <c r="Z89" s="535">
        <f>IF(AND(W89="Pay-on-time off bill",X89="Inclusive"),((Y89*1.1)-((Y89*1.1)*U89/100))/1.1,IF(AND(W89="Pay-on-time off usage",X89="Inclusive"),((Y89*1.1)-((P89*1.1)*V89/100))/1.1,IF(AND(W89="Pay-on-time off bill",X89="Exclusive"),Y89-(Y89*U89/100),IF(AND(W89="Pay-on-time off usage",X89="Exclusive"),Y89-(P89*V89/100),IF(X89="Inclusive",((Y89*1.1))/1.1,Y89)))))</f>
        <v>1381.8681818181815</v>
      </c>
      <c r="AA89" s="542">
        <f t="shared" si="59"/>
        <v>1520.0549999999998</v>
      </c>
      <c r="AB89" s="542">
        <f t="shared" si="59"/>
        <v>1520.0549999999998</v>
      </c>
      <c r="AC89" s="274">
        <f>'Tariffs Jan2021'!AZ83</f>
        <v>0</v>
      </c>
      <c r="AD89" s="274" t="str">
        <f>'Tariffs Jan2021'!BA83</f>
        <v>n</v>
      </c>
      <c r="AE89" s="275" t="str">
        <f>'Tariffs Jan2021'!BJ83</f>
        <v>Y</v>
      </c>
      <c r="AF89" s="516"/>
      <c r="AG89" s="516"/>
      <c r="AH89" s="516"/>
      <c r="AI89" s="516"/>
      <c r="AJ89" s="516"/>
      <c r="AK89" s="516"/>
      <c r="AL89" s="516"/>
      <c r="AM89" s="516"/>
      <c r="AN89" s="516"/>
      <c r="AO89" s="516"/>
      <c r="AP89" s="516"/>
      <c r="AQ89" s="516"/>
      <c r="AR89" s="516"/>
      <c r="AS89" s="516"/>
      <c r="AT89" s="516"/>
      <c r="AU89" s="516"/>
      <c r="AV89" s="516"/>
      <c r="AW89" s="516"/>
      <c r="AX89" s="516"/>
      <c r="AY89" s="516"/>
      <c r="AZ89" s="516"/>
    </row>
    <row r="90" spans="1:52" ht="14" x14ac:dyDescent="0.15">
      <c r="A90" s="270" t="str">
        <f>'Tariffs Jan2021'!F84</f>
        <v>1st Energy</v>
      </c>
      <c r="B90" s="40" t="str">
        <f>'Tariffs Jan2021'!D84</f>
        <v>AGN Central 1</v>
      </c>
      <c r="C90" s="40" t="str">
        <f>'Tariffs Jan2021'!G84</f>
        <v>1st Saver Plus</v>
      </c>
      <c r="D90" s="59">
        <f>365*'Tariffs Jan2021'!H84/100</f>
        <v>266.45</v>
      </c>
      <c r="E90" s="59">
        <f>IF($C$5*'Tariffs Jan2021'!AK84/'Tariffs Jan2021'!AI84&gt;='Tariffs Jan2021'!J84,( 'Tariffs Jan2021'!J84*'Tariffs Jan2021'!O84/100)* 'Tariffs Jan2021'!AI84,($C$5*'Tariffs Jan2021'!AK84/'Tariffs Jan2021'!AI84*'Tariffs Jan2021'!O84/100)* 'Tariffs Jan2021'!AI84)</f>
        <v>135.03954545454545</v>
      </c>
      <c r="F90" s="59">
        <f>IF($C$5*'Tariffs Jan2021'!AK84/'Tariffs Jan2021'!AI84&lt;'Tariffs Jan2021'!J84,0,IF($C$5*'Tariffs Jan2021'!AK84/'Tariffs Jan2021'!AI84&lt;='Tariffs Jan2021'!K84,($C$5*'Tariffs Jan2021'!AK84/'Tariffs Jan2021'!AI84-'Tariffs Jan2021'!J84)*('Tariffs Jan2021'!P84/100)*'Tariffs Jan2021'!AI84,('Tariffs Jan2021'!K84-'Tariffs Jan2021'!J84)*('Tariffs Jan2021'!P84/100)*'Tariffs Jan2021'!AI84))</f>
        <v>98.299090909090907</v>
      </c>
      <c r="G90" s="59">
        <f>IF($C$5*'Tariffs Jan2021'!AK84/'Tariffs Jan2021'!AI84&lt;'Tariffs Jan2021'!K84,0,IF($C$5*'Tariffs Jan2021'!AK84/'Tariffs Jan2021'!AI84&lt;='Tariffs Jan2021'!L84,($C$5*'Tariffs Jan2021'!AK84/'Tariffs Jan2021'!AI84-'Tariffs Jan2021'!K84)*('Tariffs Jan2021'!Q84/100)*'Tariffs Jan2021'!AI84,('Tariffs Jan2021'!L84-'Tariffs Jan2021'!K84)*('Tariffs Jan2021'!Q84/100)*'Tariffs Jan2021'!AI84))</f>
        <v>0</v>
      </c>
      <c r="H90" s="59">
        <f>IF($C$5*'Tariffs Jan2021'!AK84/'Tariffs Jan2021'!AI84&lt;'Tariffs Jan2021'!L84,0,IF($C$5*'Tariffs Jan2021'!AK84/'Tariffs Jan2021'!AI84&lt;='Tariffs Jan2021'!M84,($C$5*'Tariffs Jan2021'!AK84/'Tariffs Jan2021'!AI84-'Tariffs Jan2021'!L84)*('Tariffs Jan2021'!R84/100)*'Tariffs Jan2021'!AI84,('Tariffs Jan2021'!M84-'Tariffs Jan2021'!L84)*('Tariffs Jan2021'!R84/100)*'Tariffs Jan2021'!AI84))</f>
        <v>0</v>
      </c>
      <c r="I90" s="69">
        <f>IF(($C$5*'Tariffs Jan2021'!AK84/'Tariffs Jan2021'!AI84&gt;'Tariffs Jan2021'!M84),($C$5*'Tariffs Jan2021'!AK84/'Tariffs Jan2021'!AI84-'Tariffs Jan2021'!M84)*'Tariffs Jan2021'!S84/100*'Tariffs Jan2021'!AI84,0)</f>
        <v>466.36363636363626</v>
      </c>
      <c r="J90" s="69">
        <f>IF($C$5*'Tariffs Jan2021'!AL84/'Tariffs Jan2021'!AJ84&gt;='Tariffs Jan2021'!J84,('Tariffs Jan2021'!J84*'Tariffs Jan2021'!U84/100)* 'Tariffs Jan2021'!AJ84,($C$5*'Tariffs Jan2021'!AL84/'Tariffs Jan2021'!AJ84*'Tariffs Jan2021'!U84/100)* 'Tariffs Jan2021'!AJ84)</f>
        <v>135.03954545454545</v>
      </c>
      <c r="K90" s="69">
        <f>IF($C$5*'Tariffs Jan2021'!AL84/'Tariffs Jan2021'!AJ84&lt;'Tariffs Jan2021'!J84,0,IF($C$5*'Tariffs Jan2021'!AL84/'Tariffs Jan2021'!AJ84&lt;='Tariffs Jan2021'!K84,($C$5*'Tariffs Jan2021'!AL84/'Tariffs Jan2021'!AJ84-'Tariffs Jan2021'!J84)*('Tariffs Jan2021'!V84/100)*'Tariffs Jan2021'!AJ84,('Tariffs Jan2021'!K84-'Tariffs Jan2021'!J84)*('Tariffs Jan2021'!V84/100)*'Tariffs Jan2021'!AJ84))</f>
        <v>98.299090909090907</v>
      </c>
      <c r="L90" s="69">
        <f>IF($C$5*'Tariffs Jan2021'!AL84/'Tariffs Jan2021'!AJ84&lt;'Tariffs Jan2021'!K84,0,IF($C$5*'Tariffs Jan2021'!AL84/'Tariffs Jan2021'!AJ84&lt;='Tariffs Jan2021'!L84,($C$5*'Tariffs Jan2021'!AL84/'Tariffs Jan2021'!AJ84-'Tariffs Jan2021'!K84)*('Tariffs Jan2021'!W84/100)*'Tariffs Jan2021'!AJ84,('Tariffs Jan2021'!L84-'Tariffs Jan2021'!K84)*('Tariffs Jan2021'!W84/100)*'Tariffs Jan2021'!AJ84))</f>
        <v>0</v>
      </c>
      <c r="M90" s="69">
        <f>IF($C$5*'Tariffs Jan2021'!AL84/'Tariffs Jan2021'!AJ84&lt;'Tariffs Jan2021'!L84,0,IF($C$5*'Tariffs Jan2021'!AL84/'Tariffs Jan2021'!AJ84&lt;='Tariffs Jan2021'!M84,($C$5*'Tariffs Jan2021'!AL84/'Tariffs Jan2021'!AJ84-'Tariffs Jan2021'!L84)*('Tariffs Jan2021'!X84/100)*'Tariffs Jan2021'!AJ84,('Tariffs Jan2021'!M84-'Tariffs Jan2021'!L84)*('Tariffs Jan2021'!X84/100)*'Tariffs Jan2021'!AJ84))</f>
        <v>0</v>
      </c>
      <c r="N90" s="69">
        <f>IF(($C$5*'Tariffs Jan2021'!AL84/'Tariffs Jan2021'!AJ84&gt;'Tariffs Jan2021'!M84),($C$5*'Tariffs Jan2021'!AL84/'Tariffs Jan2021'!AJ84-'Tariffs Jan2021'!M84)*'Tariffs Jan2021'!Y84/100*'Tariffs Jan2021'!AJ84,0)</f>
        <v>466.36363636363626</v>
      </c>
      <c r="O90" s="59">
        <f t="shared" si="1"/>
        <v>1399.4045454545453</v>
      </c>
      <c r="P90" s="503">
        <f t="shared" si="56"/>
        <v>1539.345</v>
      </c>
      <c r="Q90" s="59">
        <f t="shared" si="3"/>
        <v>1665.8545454545454</v>
      </c>
      <c r="R90" s="272">
        <f t="shared" si="4"/>
        <v>1832.44</v>
      </c>
      <c r="S90" s="40">
        <f>'Tariffs Jan2021'!AN84</f>
        <v>0</v>
      </c>
      <c r="T90" s="40">
        <f>'Tariffs Jan2021'!AO84</f>
        <v>12</v>
      </c>
      <c r="U90" s="40">
        <f>'Tariffs Jan2021'!AP84</f>
        <v>0</v>
      </c>
      <c r="V90" s="40">
        <f>'Tariffs Jan2021'!AQ84</f>
        <v>3</v>
      </c>
      <c r="W90" s="537" t="str">
        <f t="shared" si="60"/>
        <v>Guaranteed off usage</v>
      </c>
      <c r="X90" s="538" t="str">
        <f t="shared" si="61"/>
        <v>Exclusive</v>
      </c>
      <c r="Y90" s="534">
        <f>Q90-(P90*T90)/100</f>
        <v>1481.1331454545455</v>
      </c>
      <c r="Z90" s="535">
        <f>Y90-(P90*V90)/100</f>
        <v>1434.9527954545454</v>
      </c>
      <c r="AA90" s="542">
        <f t="shared" si="59"/>
        <v>1629.2464600000001</v>
      </c>
      <c r="AB90" s="542">
        <f t="shared" si="59"/>
        <v>1578.448075</v>
      </c>
      <c r="AC90" s="274">
        <f>'Tariffs Jan2021'!AZ84</f>
        <v>0</v>
      </c>
      <c r="AD90" s="274" t="str">
        <f>'Tariffs Jan2021'!BA84</f>
        <v>n</v>
      </c>
      <c r="AE90" s="275" t="str">
        <f>'Tariffs Jan2021'!BJ84</f>
        <v>Y</v>
      </c>
      <c r="AF90" s="516"/>
      <c r="AG90" s="516"/>
      <c r="AH90" s="516"/>
      <c r="AI90" s="516"/>
      <c r="AJ90" s="516"/>
      <c r="AK90" s="516"/>
      <c r="AL90" s="516"/>
      <c r="AM90" s="516"/>
      <c r="AN90" s="516"/>
      <c r="AO90" s="516"/>
      <c r="AP90" s="516"/>
      <c r="AQ90" s="516"/>
      <c r="AR90" s="516"/>
      <c r="AS90" s="516"/>
      <c r="AT90" s="516"/>
      <c r="AU90" s="516"/>
      <c r="AV90" s="516"/>
      <c r="AW90" s="516"/>
      <c r="AX90" s="516"/>
      <c r="AY90" s="516"/>
      <c r="AZ90" s="516"/>
    </row>
    <row r="91" spans="1:52" ht="14" x14ac:dyDescent="0.15">
      <c r="A91" s="270" t="str">
        <f>'Tariffs Jan2021'!F85</f>
        <v>Kogan Energy</v>
      </c>
      <c r="B91" s="40" t="str">
        <f>'Tariffs Jan2021'!D85</f>
        <v>AGN Central 1</v>
      </c>
      <c r="C91" s="40" t="str">
        <f>'Tariffs Jan2021'!G85</f>
        <v>Market offer</v>
      </c>
      <c r="D91" s="59">
        <f>365*'Tariffs Jan2021'!H85/100</f>
        <v>216.87636363636364</v>
      </c>
      <c r="E91" s="59">
        <f>((C$5*'Tariffs Jan2021'!AK85/'Tariffs Jan2021'!AI85)*('Tariffs Jan2021'!O85/100))*'Tariffs Jan2021'!AI85</f>
        <v>615.68181818181802</v>
      </c>
      <c r="F91" s="59">
        <v>0</v>
      </c>
      <c r="G91" s="59">
        <v>0</v>
      </c>
      <c r="H91" s="59">
        <v>0</v>
      </c>
      <c r="I91" s="69">
        <v>0</v>
      </c>
      <c r="J91" s="69">
        <f>((C$5*'Tariffs Jan2021'!AL85/'Tariffs Jan2021'!AJ85)*('Tariffs Jan2021'!U85/100))*'Tariffs Jan2021'!AJ85</f>
        <v>615.68181818181802</v>
      </c>
      <c r="K91" s="69">
        <v>0</v>
      </c>
      <c r="L91" s="69">
        <v>0</v>
      </c>
      <c r="M91" s="69">
        <v>0</v>
      </c>
      <c r="N91" s="69">
        <v>0</v>
      </c>
      <c r="O91" s="59">
        <f t="shared" si="1"/>
        <v>1231.363636363636</v>
      </c>
      <c r="P91" s="503">
        <f t="shared" si="56"/>
        <v>1354.4999999999998</v>
      </c>
      <c r="Q91" s="59">
        <f t="shared" si="3"/>
        <v>1448.2399999999998</v>
      </c>
      <c r="R91" s="272">
        <f t="shared" si="4"/>
        <v>1593.0639999999999</v>
      </c>
      <c r="S91" s="40">
        <f>'Tariffs Jan2021'!AN85</f>
        <v>0</v>
      </c>
      <c r="T91" s="40">
        <f>'Tariffs Jan2021'!AO85</f>
        <v>0</v>
      </c>
      <c r="U91" s="40">
        <f>'Tariffs Jan2021'!AP85</f>
        <v>0</v>
      </c>
      <c r="V91" s="40">
        <f>'Tariffs Jan2021'!AQ85</f>
        <v>0</v>
      </c>
      <c r="W91" s="537" t="str">
        <f t="shared" si="60"/>
        <v>No discount</v>
      </c>
      <c r="X91" s="538" t="str">
        <f t="shared" si="61"/>
        <v>Exclusive</v>
      </c>
      <c r="Y91" s="534">
        <f t="shared" ref="Y91:Y105" si="70">IF(AND(W91="Guaranteed off bill",X91="Inclusive"),((Q91*1.1)-((Q91*1.1)*S91/100))/1.1,IF(AND(W91="Guaranteed off usage",X91="Inclusive"),((Q91*1.1)-((P91*1.1)*T91/100))/1.1,IF(AND(W91="Guaranteed off bill",X91="Exclusive"),Q91-(Q91*S91/100),IF(AND(W91="Guaranteed off usage",X91="Exclusive"),Q91-(P91*T91/100),IF(X91="Inclusive",((Q91*1.1))/1.1,Q91)))))</f>
        <v>1448.2399999999998</v>
      </c>
      <c r="Z91" s="535">
        <f t="shared" ref="Z91:Z105" si="71">IF(AND(W91="Pay-on-time off bill",X91="Inclusive"),((Y91*1.1)-((Y91*1.1)*U91/100))/1.1,IF(AND(W91="Pay-on-time off usage",X91="Inclusive"),((Y91*1.1)-((P91*1.1)*V91/100))/1.1,IF(AND(W91="Pay-on-time off bill",X91="Exclusive"),Y91-(Y91*U91/100),IF(AND(W91="Pay-on-time off usage",X91="Exclusive"),Y91-(P91*V91/100),IF(X91="Inclusive",((Y91*1.1))/1.1,Y91)))))</f>
        <v>1448.2399999999998</v>
      </c>
      <c r="AA91" s="542">
        <f t="shared" si="59"/>
        <v>1593.0639999999999</v>
      </c>
      <c r="AB91" s="542">
        <f t="shared" si="59"/>
        <v>1593.0639999999999</v>
      </c>
      <c r="AC91" s="274">
        <f>'Tariffs Jan2021'!AZ85</f>
        <v>0</v>
      </c>
      <c r="AD91" s="274" t="str">
        <f>'Tariffs Jan2021'!BA85</f>
        <v>n</v>
      </c>
      <c r="AE91" s="275" t="str">
        <f>'Tariffs Jan2021'!BJ85</f>
        <v>N</v>
      </c>
      <c r="AF91" s="516"/>
      <c r="AG91" s="516"/>
      <c r="AH91" s="516"/>
      <c r="AI91" s="516"/>
      <c r="AJ91" s="516"/>
      <c r="AK91" s="516"/>
      <c r="AL91" s="516"/>
      <c r="AM91" s="516"/>
      <c r="AN91" s="516"/>
      <c r="AO91" s="516"/>
      <c r="AP91" s="516"/>
      <c r="AQ91" s="516"/>
      <c r="AR91" s="516"/>
      <c r="AS91" s="516"/>
      <c r="AT91" s="516"/>
      <c r="AU91" s="516"/>
      <c r="AV91" s="516"/>
      <c r="AW91" s="516"/>
      <c r="AX91" s="516"/>
      <c r="AY91" s="516"/>
      <c r="AZ91" s="516"/>
    </row>
    <row r="92" spans="1:52" ht="15" thickBot="1" x14ac:dyDescent="0.2">
      <c r="A92" s="276" t="str">
        <f>'Tariffs Jan2021'!F86</f>
        <v>Tango Energy</v>
      </c>
      <c r="B92" s="277" t="str">
        <f>'Tariffs Jan2021'!D86</f>
        <v>AGN Central 1</v>
      </c>
      <c r="C92" s="277" t="str">
        <f>'Tariffs Jan2021'!G86</f>
        <v>Home Select</v>
      </c>
      <c r="D92" s="278">
        <f>365*'Tariffs Jan2021'!H86/100</f>
        <v>299.3</v>
      </c>
      <c r="E92" s="278">
        <f>IF($C$5*'Tariffs Jan2021'!AK86/'Tariffs Jan2021'!AI86&gt;='Tariffs Jan2021'!J86,( 'Tariffs Jan2021'!J86*'Tariffs Jan2021'!O86/100)* 'Tariffs Jan2021'!AI86,($C$5*'Tariffs Jan2021'!AK86/'Tariffs Jan2021'!AI86*'Tariffs Jan2021'!O86/100)* 'Tariffs Jan2021'!AI86)</f>
        <v>88.829999999999984</v>
      </c>
      <c r="F92" s="278">
        <f>IF($C$5*'Tariffs Jan2021'!AK86/'Tariffs Jan2021'!AI86&lt;'Tariffs Jan2021'!J86,0,IF($C$5*'Tariffs Jan2021'!AK86/'Tariffs Jan2021'!AI86&lt;='Tariffs Jan2021'!K86,($C$5*'Tariffs Jan2021'!AK86/'Tariffs Jan2021'!AI86-'Tariffs Jan2021'!J86)*('Tariffs Jan2021'!P86/100)*'Tariffs Jan2021'!AI86,('Tariffs Jan2021'!K86-'Tariffs Jan2021'!J86)*('Tariffs Jan2021'!P86/100)*'Tariffs Jan2021'!AI86))</f>
        <v>65.039999999999992</v>
      </c>
      <c r="G92" s="278">
        <f>IF($C$5*'Tariffs Jan2021'!AK86/'Tariffs Jan2021'!AI86&lt;'Tariffs Jan2021'!K86,0,IF($C$5*'Tariffs Jan2021'!AK86/'Tariffs Jan2021'!AI86&lt;='Tariffs Jan2021'!L86,($C$5*'Tariffs Jan2021'!AK86/'Tariffs Jan2021'!AI86-'Tariffs Jan2021'!K86)*('Tariffs Jan2021'!Q86/100)*'Tariffs Jan2021'!AI86,('Tariffs Jan2021'!L86-'Tariffs Jan2021'!K86)*('Tariffs Jan2021'!Q86/100)*'Tariffs Jan2021'!AI86))</f>
        <v>0</v>
      </c>
      <c r="H92" s="278">
        <f>IF($C$5*'Tariffs Jan2021'!AK86/'Tariffs Jan2021'!AI86&lt;'Tariffs Jan2021'!L86,0,IF($C$5*'Tariffs Jan2021'!AK86/'Tariffs Jan2021'!AI86&lt;='Tariffs Jan2021'!M86,($C$5*'Tariffs Jan2021'!AK86/'Tariffs Jan2021'!AI86-'Tariffs Jan2021'!L86)*('Tariffs Jan2021'!R86/100)*'Tariffs Jan2021'!AI86,('Tariffs Jan2021'!M86-'Tariffs Jan2021'!L86)*('Tariffs Jan2021'!R86/100)*'Tariffs Jan2021'!AI86))</f>
        <v>0</v>
      </c>
      <c r="I92" s="547">
        <f>IF(($C$5*'Tariffs Jan2021'!AK86/'Tariffs Jan2021'!AI86&gt;'Tariffs Jan2021'!M86),($C$5*'Tariffs Jan2021'!AK86/'Tariffs Jan2021'!AI86-'Tariffs Jan2021'!M86)*'Tariffs Jan2021'!S86/100*'Tariffs Jan2021'!AI86,0)</f>
        <v>292.49999999999994</v>
      </c>
      <c r="J92" s="547">
        <f>IF($C$5*'Tariffs Jan2021'!AL86/'Tariffs Jan2021'!AJ86&gt;='Tariffs Jan2021'!J86,('Tariffs Jan2021'!J86*'Tariffs Jan2021'!U86/100)* 'Tariffs Jan2021'!AJ86,($C$5*'Tariffs Jan2021'!AL86/'Tariffs Jan2021'!AJ86*'Tariffs Jan2021'!U86/100)* 'Tariffs Jan2021'!AJ86)</f>
        <v>88.829999999999984</v>
      </c>
      <c r="K92" s="547">
        <f>IF($C$5*'Tariffs Jan2021'!AL86/'Tariffs Jan2021'!AJ86&lt;'Tariffs Jan2021'!J86,0,IF($C$5*'Tariffs Jan2021'!AL86/'Tariffs Jan2021'!AJ86&lt;='Tariffs Jan2021'!K86,($C$5*'Tariffs Jan2021'!AL86/'Tariffs Jan2021'!AJ86-'Tariffs Jan2021'!J86)*('Tariffs Jan2021'!V86/100)*'Tariffs Jan2021'!AJ86,('Tariffs Jan2021'!K86-'Tariffs Jan2021'!J86)*('Tariffs Jan2021'!V86/100)*'Tariffs Jan2021'!AJ86))</f>
        <v>65.039999999999992</v>
      </c>
      <c r="L92" s="547">
        <v>0</v>
      </c>
      <c r="M92" s="547">
        <v>0</v>
      </c>
      <c r="N92" s="547">
        <f>IF(($C$5*'Tariffs Jan2021'!AL86/'Tariffs Jan2021'!AJ86&gt;'Tariffs Jan2021'!M86),($C$5*'Tariffs Jan2021'!AL86/'Tariffs Jan2021'!AJ86-'Tariffs Jan2021'!M86)*'Tariffs Jan2021'!Y86/100*'Tariffs Jan2021'!AJ86,0)</f>
        <v>292.49999999999994</v>
      </c>
      <c r="O92" s="278">
        <f t="shared" ref="O92:O126" si="72">SUM(E92:N92)</f>
        <v>892.73999999999978</v>
      </c>
      <c r="P92" s="504">
        <f t="shared" si="56"/>
        <v>982.01399999999978</v>
      </c>
      <c r="Q92" s="278">
        <f t="shared" ref="Q92:Q126" si="73">D92+O92</f>
        <v>1192.0399999999997</v>
      </c>
      <c r="R92" s="280">
        <f t="shared" ref="R92:R126" si="74">Q92*1.1</f>
        <v>1311.2439999999999</v>
      </c>
      <c r="S92" s="277">
        <f>'Tariffs Jan2021'!AN86</f>
        <v>0</v>
      </c>
      <c r="T92" s="277">
        <f>'Tariffs Jan2021'!AO86</f>
        <v>0</v>
      </c>
      <c r="U92" s="277">
        <f>'Tariffs Jan2021'!AP86</f>
        <v>0</v>
      </c>
      <c r="V92" s="277">
        <f>'Tariffs Jan2021'!AQ86</f>
        <v>0</v>
      </c>
      <c r="W92" s="540" t="str">
        <f t="shared" si="60"/>
        <v>No discount</v>
      </c>
      <c r="X92" s="541" t="str">
        <f t="shared" si="61"/>
        <v>Exclusive</v>
      </c>
      <c r="Y92" s="543">
        <f t="shared" si="70"/>
        <v>1192.0399999999997</v>
      </c>
      <c r="Z92" s="544">
        <f t="shared" si="71"/>
        <v>1192.0399999999997</v>
      </c>
      <c r="AA92" s="545">
        <f t="shared" ref="AA92:AB107" si="75">Y92*1.1</f>
        <v>1311.2439999999999</v>
      </c>
      <c r="AB92" s="545">
        <f t="shared" si="75"/>
        <v>1311.2439999999999</v>
      </c>
      <c r="AC92" s="282">
        <f>'Tariffs Jan2021'!AZ86</f>
        <v>0</v>
      </c>
      <c r="AD92" s="282" t="str">
        <f>'Tariffs Jan2021'!BA86</f>
        <v>n</v>
      </c>
      <c r="AE92" s="283" t="str">
        <f>'Tariffs Jan2021'!BJ86</f>
        <v>Y</v>
      </c>
      <c r="AF92" s="516"/>
      <c r="AG92" s="516"/>
      <c r="AH92" s="516"/>
      <c r="AI92" s="516"/>
      <c r="AJ92" s="516"/>
      <c r="AK92" s="516"/>
      <c r="AL92" s="516"/>
      <c r="AM92" s="516"/>
      <c r="AN92" s="516"/>
      <c r="AO92" s="516"/>
      <c r="AP92" s="516"/>
      <c r="AQ92" s="516"/>
      <c r="AR92" s="516"/>
      <c r="AS92" s="516"/>
      <c r="AT92" s="516"/>
      <c r="AU92" s="516"/>
      <c r="AV92" s="516"/>
      <c r="AW92" s="516"/>
      <c r="AX92" s="516"/>
      <c r="AY92" s="516"/>
      <c r="AZ92" s="516"/>
    </row>
    <row r="93" spans="1:52" ht="15" thickTop="1" x14ac:dyDescent="0.15">
      <c r="A93" s="270" t="str">
        <f>'Tariffs Jan2021'!F87</f>
        <v>AGL</v>
      </c>
      <c r="B93" s="40" t="str">
        <f>'Tariffs Jan2021'!D87</f>
        <v>AusNet Services West</v>
      </c>
      <c r="C93" s="40" t="str">
        <f>'Tariffs Jan2021'!G87</f>
        <v>Essentials</v>
      </c>
      <c r="D93" s="59">
        <f>365*'Tariffs Jan2021'!H87/100</f>
        <v>261.73818181818183</v>
      </c>
      <c r="E93" s="59">
        <f>IF($C$5*'Tariffs Jan2021'!AK87/'Tariffs Jan2021'!AI87&gt;='Tariffs Jan2021'!J87,( 'Tariffs Jan2021'!J87*'Tariffs Jan2021'!O87/100)* 'Tariffs Jan2021'!AI87,($C$5*'Tariffs Jan2021'!AK87/'Tariffs Jan2021'!AI87*'Tariffs Jan2021'!O87/100)* 'Tariffs Jan2021'!AI87)</f>
        <v>210.54545454545453</v>
      </c>
      <c r="F93" s="59">
        <f>IF($C$5*'Tariffs Jan2021'!AK87/'Tariffs Jan2021'!AI87&lt;'Tariffs Jan2021'!J87,0,IF($C$5*'Tariffs Jan2021'!AK87/'Tariffs Jan2021'!AI87&lt;='Tariffs Jan2021'!K87,($C$5*'Tariffs Jan2021'!AK87/'Tariffs Jan2021'!AI87-'Tariffs Jan2021'!J87)*('Tariffs Jan2021'!P87/100)*'Tariffs Jan2021'!AI87,('Tariffs Jan2021'!K87-'Tariffs Jan2021'!J87)*('Tariffs Jan2021'!P87/100)*'Tariffs Jan2021'!AI87))</f>
        <v>155.41827272727267</v>
      </c>
      <c r="G93" s="59">
        <f>IF($C$5*'Tariffs Jan2021'!AK87/'Tariffs Jan2021'!AI87&lt;'Tariffs Jan2021'!K87,0,IF($C$5*'Tariffs Jan2021'!AK87/'Tariffs Jan2021'!AI87&lt;='Tariffs Jan2021'!L87,($C$5*'Tariffs Jan2021'!AK87/'Tariffs Jan2021'!AI87-'Tariffs Jan2021'!K87)*('Tariffs Jan2021'!Q87/100)*'Tariffs Jan2021'!AI87,('Tariffs Jan2021'!L87-'Tariffs Jan2021'!K87)*('Tariffs Jan2021'!Q87/100)*'Tariffs Jan2021'!AI87))</f>
        <v>0</v>
      </c>
      <c r="H93" s="59">
        <f>IF($C$5*'Tariffs Jan2021'!AK87/'Tariffs Jan2021'!AI87&lt;'Tariffs Jan2021'!L87,0,IF($C$5*'Tariffs Jan2021'!AK87/'Tariffs Jan2021'!AI87&lt;='Tariffs Jan2021'!M87,($C$5*'Tariffs Jan2021'!AK87/'Tariffs Jan2021'!AI87-'Tariffs Jan2021'!L87)*('Tariffs Jan2021'!R87/100)*'Tariffs Jan2021'!AI87,('Tariffs Jan2021'!M87-'Tariffs Jan2021'!L87)*('Tariffs Jan2021'!R87/100)*'Tariffs Jan2021'!AI87))</f>
        <v>0</v>
      </c>
      <c r="I93" s="69">
        <f>IF(($C$5*'Tariffs Jan2021'!AK87/'Tariffs Jan2021'!AI87&gt;'Tariffs Jan2021'!M87),($C$5*'Tariffs Jan2021'!AK87/'Tariffs Jan2021'!AI87-'Tariffs Jan2021'!M87)*'Tariffs Jan2021'!S87/100*'Tariffs Jan2021'!AI87,0)</f>
        <v>0</v>
      </c>
      <c r="J93" s="69">
        <f>IF($C$5*'Tariffs Jan2021'!AL87/'Tariffs Jan2021'!AJ87&gt;='Tariffs Jan2021'!J87,('Tariffs Jan2021'!J87*'Tariffs Jan2021'!U87/100)* 'Tariffs Jan2021'!AJ87,($C$5*'Tariffs Jan2021'!AL87/'Tariffs Jan2021'!AJ87*'Tariffs Jan2021'!U87/100)* 'Tariffs Jan2021'!AJ87)</f>
        <v>386.18181818181819</v>
      </c>
      <c r="K93" s="69">
        <f>IF($C$5*'Tariffs Jan2021'!AL87/'Tariffs Jan2021'!AJ87&lt;'Tariffs Jan2021'!J87,0,IF($C$5*'Tariffs Jan2021'!AL87/'Tariffs Jan2021'!AJ87&lt;='Tariffs Jan2021'!K87,($C$5*'Tariffs Jan2021'!AL87/'Tariffs Jan2021'!AJ87-'Tariffs Jan2021'!J87)*('Tariffs Jan2021'!V87/100)*'Tariffs Jan2021'!AJ87,('Tariffs Jan2021'!K87-'Tariffs Jan2021'!J87)*('Tariffs Jan2021'!V87/100)*'Tariffs Jan2021'!AJ87))</f>
        <v>240.48932727272719</v>
      </c>
      <c r="L93" s="69">
        <f>IF($C$5*'Tariffs Jan2021'!AL87/'Tariffs Jan2021'!AJ87&lt;'Tariffs Jan2021'!K87,0,IF($C$5*'Tariffs Jan2021'!AL87/'Tariffs Jan2021'!AJ87&lt;='Tariffs Jan2021'!L87,($C$5*'Tariffs Jan2021'!AL87/'Tariffs Jan2021'!AJ87-'Tariffs Jan2021'!K87)*('Tariffs Jan2021'!W87/100)*'Tariffs Jan2021'!AJ87,('Tariffs Jan2021'!L87-'Tariffs Jan2021'!K87)*('Tariffs Jan2021'!W87/100)*'Tariffs Jan2021'!AJ87))</f>
        <v>0</v>
      </c>
      <c r="M93" s="69">
        <f>IF($C$5*'Tariffs Jan2021'!AL87/'Tariffs Jan2021'!AJ87&lt;'Tariffs Jan2021'!L87,0,IF($C$5*'Tariffs Jan2021'!AL87/'Tariffs Jan2021'!AJ87&lt;='Tariffs Jan2021'!M87,($C$5*'Tariffs Jan2021'!AL87/'Tariffs Jan2021'!AJ87-'Tariffs Jan2021'!L87)*('Tariffs Jan2021'!X87/100)*'Tariffs Jan2021'!AJ87,('Tariffs Jan2021'!M87-'Tariffs Jan2021'!L87)*('Tariffs Jan2021'!X87/100)*'Tariffs Jan2021'!AJ87))</f>
        <v>0</v>
      </c>
      <c r="N93" s="69">
        <f>IF(($C$5*'Tariffs Jan2021'!AL87/'Tariffs Jan2021'!AJ87&gt;'Tariffs Jan2021'!M87),($C$5*'Tariffs Jan2021'!AL87/'Tariffs Jan2021'!AJ87-'Tariffs Jan2021'!M87)*'Tariffs Jan2021'!Y87/100*'Tariffs Jan2021'!AJ87,0)</f>
        <v>0</v>
      </c>
      <c r="O93" s="59">
        <f t="shared" si="72"/>
        <v>992.63487272727252</v>
      </c>
      <c r="P93" s="503">
        <f t="shared" si="56"/>
        <v>1091.8983599999999</v>
      </c>
      <c r="Q93" s="59">
        <f t="shared" si="73"/>
        <v>1254.3730545454544</v>
      </c>
      <c r="R93" s="272">
        <f t="shared" si="74"/>
        <v>1379.8103599999999</v>
      </c>
      <c r="S93" s="40">
        <f>'Tariffs Jan2021'!AN87</f>
        <v>0</v>
      </c>
      <c r="T93" s="40">
        <f>'Tariffs Jan2021'!AO87</f>
        <v>0</v>
      </c>
      <c r="U93" s="40">
        <f>'Tariffs Jan2021'!AP87</f>
        <v>0</v>
      </c>
      <c r="V93" s="40">
        <f>'Tariffs Jan2021'!AQ87</f>
        <v>0</v>
      </c>
      <c r="W93" s="537" t="str">
        <f t="shared" si="60"/>
        <v>No discount</v>
      </c>
      <c r="X93" s="538" t="str">
        <f t="shared" si="61"/>
        <v>Exclusive</v>
      </c>
      <c r="Y93" s="534">
        <f t="shared" si="70"/>
        <v>1254.3730545454544</v>
      </c>
      <c r="Z93" s="535">
        <f t="shared" si="71"/>
        <v>1254.3730545454544</v>
      </c>
      <c r="AA93" s="542">
        <f t="shared" si="75"/>
        <v>1379.8103599999999</v>
      </c>
      <c r="AB93" s="542">
        <f t="shared" si="75"/>
        <v>1379.8103599999999</v>
      </c>
      <c r="AC93" s="274">
        <f>'Tariffs Jan2021'!AZ87</f>
        <v>0</v>
      </c>
      <c r="AD93" s="274" t="str">
        <f>'Tariffs Jan2021'!BA87</f>
        <v>n</v>
      </c>
      <c r="AE93" s="275" t="str">
        <f>'Tariffs Jan2021'!BJ87</f>
        <v>N</v>
      </c>
      <c r="AF93" s="516"/>
      <c r="AG93" s="516"/>
      <c r="AH93" s="516"/>
      <c r="AI93" s="516"/>
      <c r="AJ93" s="516"/>
      <c r="AK93" s="516"/>
      <c r="AL93" s="516"/>
      <c r="AM93" s="516"/>
      <c r="AN93" s="516"/>
      <c r="AO93" s="516"/>
      <c r="AP93" s="516"/>
      <c r="AQ93" s="516"/>
      <c r="AR93" s="516"/>
      <c r="AS93" s="516"/>
      <c r="AT93" s="516"/>
      <c r="AU93" s="516"/>
      <c r="AV93" s="516"/>
      <c r="AW93" s="516"/>
      <c r="AX93" s="516"/>
      <c r="AY93" s="516"/>
      <c r="AZ93" s="516"/>
    </row>
    <row r="94" spans="1:52" ht="14" x14ac:dyDescent="0.15">
      <c r="A94" s="270" t="str">
        <f>'Tariffs Jan2021'!F88</f>
        <v>Alinta Energy</v>
      </c>
      <c r="B94" s="40" t="str">
        <f>'Tariffs Jan2021'!D88</f>
        <v>AusNet Services West</v>
      </c>
      <c r="C94" s="40" t="str">
        <f>'Tariffs Jan2021'!G88</f>
        <v>Home Deal</v>
      </c>
      <c r="D94" s="59">
        <f>365*'Tariffs Jan2021'!H88/100</f>
        <v>273.75</v>
      </c>
      <c r="E94" s="59">
        <f>IF($C$5*'Tariffs Jan2021'!AK88/'Tariffs Jan2021'!AI88&gt;='Tariffs Jan2021'!J88,( 'Tariffs Jan2021'!J88*'Tariffs Jan2021'!O88/100)* 'Tariffs Jan2021'!AI88,($C$5*'Tariffs Jan2021'!AK88/'Tariffs Jan2021'!AI88*'Tariffs Jan2021'!O88/100)* 'Tariffs Jan2021'!AI88)</f>
        <v>208.36363636363632</v>
      </c>
      <c r="F94" s="59">
        <f>IF($C$5*'Tariffs Jan2021'!AK88/'Tariffs Jan2021'!AI88&lt;'Tariffs Jan2021'!J88,0,IF($C$5*'Tariffs Jan2021'!AK88/'Tariffs Jan2021'!AI88&lt;='Tariffs Jan2021'!K88,($C$5*'Tariffs Jan2021'!AK88/'Tariffs Jan2021'!AI88-'Tariffs Jan2021'!J88)*('Tariffs Jan2021'!P88/100)*'Tariffs Jan2021'!AI88,('Tariffs Jan2021'!K88-'Tariffs Jan2021'!J88)*('Tariffs Jan2021'!P88/100)*'Tariffs Jan2021'!AI88))</f>
        <v>0</v>
      </c>
      <c r="G94" s="59">
        <f>IF($C$5*'Tariffs Jan2021'!AK88/'Tariffs Jan2021'!AI88&lt;'Tariffs Jan2021'!K88,0,IF($C$5*'Tariffs Jan2021'!AK88/'Tariffs Jan2021'!AI88&lt;='Tariffs Jan2021'!L88,($C$5*'Tariffs Jan2021'!AK88/'Tariffs Jan2021'!AI88-'Tariffs Jan2021'!K88)*('Tariffs Jan2021'!Q88/100)*'Tariffs Jan2021'!AI88,('Tariffs Jan2021'!L88-'Tariffs Jan2021'!K88)*('Tariffs Jan2021'!Q88/100)*'Tariffs Jan2021'!AI88))</f>
        <v>0</v>
      </c>
      <c r="H94" s="59">
        <f>IF($C$5*'Tariffs Jan2021'!AK88/'Tariffs Jan2021'!AI88&lt;'Tariffs Jan2021'!L88,0,IF($C$5*'Tariffs Jan2021'!AK88/'Tariffs Jan2021'!AI88&lt;='Tariffs Jan2021'!M88,($C$5*'Tariffs Jan2021'!AK88/'Tariffs Jan2021'!AI88-'Tariffs Jan2021'!L88)*('Tariffs Jan2021'!R88/100)*'Tariffs Jan2021'!AI88,('Tariffs Jan2021'!M88-'Tariffs Jan2021'!L88)*('Tariffs Jan2021'!R88/100)*'Tariffs Jan2021'!AI88))</f>
        <v>0</v>
      </c>
      <c r="I94" s="69">
        <f>IF(($C$5*'Tariffs Jan2021'!AK88/'Tariffs Jan2021'!AI88&gt;'Tariffs Jan2021'!M88),($C$5*'Tariffs Jan2021'!AK88/'Tariffs Jan2021'!AI88-'Tariffs Jan2021'!M88)*'Tariffs Jan2021'!S88/100*'Tariffs Jan2021'!AI88,0)</f>
        <v>140.69443636363633</v>
      </c>
      <c r="J94" s="69">
        <f>IF($C$5*'Tariffs Jan2021'!AL88/'Tariffs Jan2021'!AJ88&gt;='Tariffs Jan2021'!J88,('Tariffs Jan2021'!J88*'Tariffs Jan2021'!U88/100)* 'Tariffs Jan2021'!AJ88,($C$5*'Tariffs Jan2021'!AL88/'Tariffs Jan2021'!AJ88*'Tariffs Jan2021'!U88/100)* 'Tariffs Jan2021'!AJ88)</f>
        <v>355.63636363636363</v>
      </c>
      <c r="K94" s="69">
        <f>IF($C$5*'Tariffs Jan2021'!AL88/'Tariffs Jan2021'!AJ88&lt;'Tariffs Jan2021'!J88,0,IF($C$5*'Tariffs Jan2021'!AL88/'Tariffs Jan2021'!AJ88&lt;='Tariffs Jan2021'!K88,($C$5*'Tariffs Jan2021'!AL88/'Tariffs Jan2021'!AJ88-'Tariffs Jan2021'!J88)*('Tariffs Jan2021'!V88/100)*'Tariffs Jan2021'!AJ88,('Tariffs Jan2021'!K88-'Tariffs Jan2021'!J88)*('Tariffs Jan2021'!V88/100)*'Tariffs Jan2021'!AJ88))</f>
        <v>0</v>
      </c>
      <c r="L94" s="69">
        <f>IF($C$5*'Tariffs Jan2021'!AL88/'Tariffs Jan2021'!AJ88&lt;'Tariffs Jan2021'!K88,0,IF($C$5*'Tariffs Jan2021'!AL88/'Tariffs Jan2021'!AJ88&lt;='Tariffs Jan2021'!L88,($C$5*'Tariffs Jan2021'!AL88/'Tariffs Jan2021'!AJ88-'Tariffs Jan2021'!K88)*('Tariffs Jan2021'!W88/100)*'Tariffs Jan2021'!AJ88,('Tariffs Jan2021'!L88-'Tariffs Jan2021'!K88)*('Tariffs Jan2021'!W88/100)*'Tariffs Jan2021'!AJ88))</f>
        <v>0</v>
      </c>
      <c r="M94" s="69">
        <f>IF($C$5*'Tariffs Jan2021'!AL88/'Tariffs Jan2021'!AJ88&lt;'Tariffs Jan2021'!L88,0,IF($C$5*'Tariffs Jan2021'!AL88/'Tariffs Jan2021'!AJ88&lt;='Tariffs Jan2021'!M88,($C$5*'Tariffs Jan2021'!AL88/'Tariffs Jan2021'!AJ88-'Tariffs Jan2021'!L88)*('Tariffs Jan2021'!X88/100)*'Tariffs Jan2021'!AJ88,('Tariffs Jan2021'!M88-'Tariffs Jan2021'!L88)*('Tariffs Jan2021'!X88/100)*'Tariffs Jan2021'!AJ88))</f>
        <v>0</v>
      </c>
      <c r="N94" s="69">
        <f>IF(($C$5*'Tariffs Jan2021'!AL88/'Tariffs Jan2021'!AJ88&gt;'Tariffs Jan2021'!M88),($C$5*'Tariffs Jan2021'!AL88/'Tariffs Jan2021'!AJ88-'Tariffs Jan2021'!M88)*'Tariffs Jan2021'!Y88/100*'Tariffs Jan2021'!AJ88,0)</f>
        <v>233.94539999999989</v>
      </c>
      <c r="O94" s="59">
        <f t="shared" si="72"/>
        <v>938.63983636363605</v>
      </c>
      <c r="P94" s="503">
        <f t="shared" si="56"/>
        <v>1032.5038199999997</v>
      </c>
      <c r="Q94" s="59">
        <f t="shared" si="73"/>
        <v>1212.3898363636361</v>
      </c>
      <c r="R94" s="272">
        <f t="shared" si="74"/>
        <v>1333.6288199999997</v>
      </c>
      <c r="S94" s="40">
        <f>'Tariffs Jan2021'!AN88</f>
        <v>0</v>
      </c>
      <c r="T94" s="40">
        <f>'Tariffs Jan2021'!AO88</f>
        <v>0</v>
      </c>
      <c r="U94" s="40">
        <f>'Tariffs Jan2021'!AP88</f>
        <v>0</v>
      </c>
      <c r="V94" s="40">
        <f>'Tariffs Jan2021'!AQ88</f>
        <v>0</v>
      </c>
      <c r="W94" s="537" t="str">
        <f t="shared" si="60"/>
        <v>No discount</v>
      </c>
      <c r="X94" s="538" t="str">
        <f t="shared" si="61"/>
        <v>Exclusive</v>
      </c>
      <c r="Y94" s="534">
        <f t="shared" si="70"/>
        <v>1212.3898363636361</v>
      </c>
      <c r="Z94" s="535">
        <f t="shared" si="71"/>
        <v>1212.3898363636361</v>
      </c>
      <c r="AA94" s="542">
        <f t="shared" si="75"/>
        <v>1333.6288199999997</v>
      </c>
      <c r="AB94" s="542">
        <f t="shared" si="75"/>
        <v>1333.6288199999997</v>
      </c>
      <c r="AC94" s="274">
        <f>'Tariffs Jan2021'!AZ88</f>
        <v>0</v>
      </c>
      <c r="AD94" s="274" t="str">
        <f>'Tariffs Jan2021'!BA88</f>
        <v>n</v>
      </c>
      <c r="AE94" s="275" t="str">
        <f>'Tariffs Jan2021'!BJ89</f>
        <v>N</v>
      </c>
      <c r="AF94" s="516"/>
      <c r="AG94" s="516"/>
      <c r="AH94" s="516"/>
      <c r="AI94" s="516"/>
      <c r="AJ94" s="516"/>
      <c r="AK94" s="516"/>
      <c r="AL94" s="516"/>
      <c r="AM94" s="516"/>
      <c r="AN94" s="516"/>
      <c r="AO94" s="516"/>
      <c r="AP94" s="516"/>
      <c r="AQ94" s="516"/>
      <c r="AR94" s="516"/>
      <c r="AS94" s="516"/>
      <c r="AT94" s="516"/>
      <c r="AU94" s="516"/>
      <c r="AV94" s="516"/>
      <c r="AW94" s="516"/>
      <c r="AX94" s="516"/>
      <c r="AY94" s="516"/>
      <c r="AZ94" s="516"/>
    </row>
    <row r="95" spans="1:52" ht="14" x14ac:dyDescent="0.15">
      <c r="A95" s="270" t="str">
        <f>'Tariffs Jan2021'!F89</f>
        <v>Click Energy</v>
      </c>
      <c r="B95" s="40" t="str">
        <f>'Tariffs Jan2021'!D89</f>
        <v>AusNet Services West</v>
      </c>
      <c r="C95" s="40" t="str">
        <f>'Tariffs Jan2021'!G89</f>
        <v>Lily</v>
      </c>
      <c r="D95" s="59">
        <f>365*'Tariffs Jan2021'!H89/100</f>
        <v>211.99863636363636</v>
      </c>
      <c r="E95" s="59">
        <f>IF($C$5*'Tariffs Jan2021'!AK89/'Tariffs Jan2021'!AI89&gt;='Tariffs Jan2021'!J89,( 'Tariffs Jan2021'!J89*'Tariffs Jan2021'!O89/100)* 'Tariffs Jan2021'!AI89,($C$5*'Tariffs Jan2021'!AK89/'Tariffs Jan2021'!AI89*'Tariffs Jan2021'!O89/100)* 'Tariffs Jan2021'!AI89)</f>
        <v>201.81818181818181</v>
      </c>
      <c r="F95" s="59">
        <f>IF($C$5*'Tariffs Jan2021'!AK89/'Tariffs Jan2021'!AI89&lt;'Tariffs Jan2021'!J89,0,IF($C$5*'Tariffs Jan2021'!AK89/'Tariffs Jan2021'!AI89&lt;='Tariffs Jan2021'!K89,($C$5*'Tariffs Jan2021'!AK89/'Tariffs Jan2021'!AI89-'Tariffs Jan2021'!J89)*('Tariffs Jan2021'!P89/100)*'Tariffs Jan2021'!AI89,('Tariffs Jan2021'!K89-'Tariffs Jan2021'!J89)*('Tariffs Jan2021'!P89/100)*'Tariffs Jan2021'!AI89))</f>
        <v>140.69443636363633</v>
      </c>
      <c r="G95" s="59">
        <f>IF($C$5*'Tariffs Jan2021'!AK89/'Tariffs Jan2021'!AI89&lt;'Tariffs Jan2021'!K89,0,IF($C$5*'Tariffs Jan2021'!AK89/'Tariffs Jan2021'!AI89&lt;='Tariffs Jan2021'!L89,($C$5*'Tariffs Jan2021'!AK89/'Tariffs Jan2021'!AI89-'Tariffs Jan2021'!K89)*('Tariffs Jan2021'!Q89/100)*'Tariffs Jan2021'!AI89,('Tariffs Jan2021'!L89-'Tariffs Jan2021'!K89)*('Tariffs Jan2021'!Q89/100)*'Tariffs Jan2021'!AI89))</f>
        <v>0</v>
      </c>
      <c r="H95" s="59">
        <f>IF($C$5*'Tariffs Jan2021'!AK89/'Tariffs Jan2021'!AI89&lt;'Tariffs Jan2021'!L89,0,IF($C$5*'Tariffs Jan2021'!AK89/'Tariffs Jan2021'!AI89&lt;='Tariffs Jan2021'!M89,($C$5*'Tariffs Jan2021'!AK89/'Tariffs Jan2021'!AI89-'Tariffs Jan2021'!L89)*('Tariffs Jan2021'!R89/100)*'Tariffs Jan2021'!AI89,('Tariffs Jan2021'!M89-'Tariffs Jan2021'!L89)*('Tariffs Jan2021'!R89/100)*'Tariffs Jan2021'!AI89))</f>
        <v>0</v>
      </c>
      <c r="I95" s="69">
        <f>IF(($C$5*'Tariffs Jan2021'!AK89/'Tariffs Jan2021'!AI89&gt;'Tariffs Jan2021'!M89),($C$5*'Tariffs Jan2021'!AK89/'Tariffs Jan2021'!AI89-'Tariffs Jan2021'!M89)*'Tariffs Jan2021'!S89/100*'Tariffs Jan2021'!AI89,0)</f>
        <v>0</v>
      </c>
      <c r="J95" s="69">
        <f>IF($C$5*'Tariffs Jan2021'!AL89/'Tariffs Jan2021'!AJ89&gt;='Tariffs Jan2021'!J89,('Tariffs Jan2021'!J89*'Tariffs Jan2021'!U89/100)* 'Tariffs Jan2021'!AJ89,($C$5*'Tariffs Jan2021'!AL89/'Tariffs Jan2021'!AJ89*'Tariffs Jan2021'!U89/100)* 'Tariffs Jan2021'!AJ89)</f>
        <v>344.72727272727275</v>
      </c>
      <c r="K95" s="69">
        <f>IF($C$5*'Tariffs Jan2021'!AL89/'Tariffs Jan2021'!AJ89&lt;'Tariffs Jan2021'!J89,0,IF($C$5*'Tariffs Jan2021'!AL89/'Tariffs Jan2021'!AJ89&lt;='Tariffs Jan2021'!K89,($C$5*'Tariffs Jan2021'!AL89/'Tariffs Jan2021'!AJ89-'Tariffs Jan2021'!J89)*('Tariffs Jan2021'!V89/100)*'Tariffs Jan2021'!AJ89,('Tariffs Jan2021'!K89-'Tariffs Jan2021'!J89)*('Tariffs Jan2021'!V89/100)*'Tariffs Jan2021'!AJ89))</f>
        <v>248.66923636363626</v>
      </c>
      <c r="L95" s="69">
        <f>IF($C$5*'Tariffs Jan2021'!AL89/'Tariffs Jan2021'!AJ89&lt;'Tariffs Jan2021'!K89,0,IF($C$5*'Tariffs Jan2021'!AL89/'Tariffs Jan2021'!AJ89&lt;='Tariffs Jan2021'!L89,($C$5*'Tariffs Jan2021'!AL89/'Tariffs Jan2021'!AJ89-'Tariffs Jan2021'!K89)*('Tariffs Jan2021'!W89/100)*'Tariffs Jan2021'!AJ89,('Tariffs Jan2021'!L89-'Tariffs Jan2021'!K89)*('Tariffs Jan2021'!W89/100)*'Tariffs Jan2021'!AJ89))</f>
        <v>0</v>
      </c>
      <c r="M95" s="69">
        <f>IF($C$5*'Tariffs Jan2021'!AL89/'Tariffs Jan2021'!AJ89&lt;'Tariffs Jan2021'!L89,0,IF($C$5*'Tariffs Jan2021'!AL89/'Tariffs Jan2021'!AJ89&lt;='Tariffs Jan2021'!M89,($C$5*'Tariffs Jan2021'!AL89/'Tariffs Jan2021'!AJ89-'Tariffs Jan2021'!L89)*('Tariffs Jan2021'!X89/100)*'Tariffs Jan2021'!AJ89,('Tariffs Jan2021'!M89-'Tariffs Jan2021'!L89)*('Tariffs Jan2021'!X89/100)*'Tariffs Jan2021'!AJ89))</f>
        <v>0</v>
      </c>
      <c r="N95" s="69">
        <f>IF(($C$5*'Tariffs Jan2021'!AL89/'Tariffs Jan2021'!AJ89&gt;'Tariffs Jan2021'!M89),($C$5*'Tariffs Jan2021'!AL89/'Tariffs Jan2021'!AJ89-'Tariffs Jan2021'!M89)*'Tariffs Jan2021'!Y89/100*'Tariffs Jan2021'!AJ89,0)</f>
        <v>0</v>
      </c>
      <c r="O95" s="59">
        <f t="shared" si="72"/>
        <v>935.90912727272723</v>
      </c>
      <c r="P95" s="503">
        <f t="shared" si="56"/>
        <v>1029.5000400000001</v>
      </c>
      <c r="Q95" s="59">
        <f t="shared" si="73"/>
        <v>1147.9077636363636</v>
      </c>
      <c r="R95" s="272">
        <f t="shared" si="74"/>
        <v>1262.6985400000001</v>
      </c>
      <c r="S95" s="40">
        <f>'Tariffs Jan2021'!AN89</f>
        <v>0</v>
      </c>
      <c r="T95" s="40">
        <f>'Tariffs Jan2021'!AO89</f>
        <v>0</v>
      </c>
      <c r="U95" s="40">
        <f>'Tariffs Jan2021'!AP89</f>
        <v>0</v>
      </c>
      <c r="V95" s="40">
        <f>'Tariffs Jan2021'!AQ89</f>
        <v>0</v>
      </c>
      <c r="W95" s="537" t="str">
        <f t="shared" si="60"/>
        <v>No discount</v>
      </c>
      <c r="X95" s="538" t="str">
        <f t="shared" si="61"/>
        <v>Exclusive</v>
      </c>
      <c r="Y95" s="534">
        <f t="shared" si="70"/>
        <v>1147.9077636363636</v>
      </c>
      <c r="Z95" s="535">
        <f t="shared" si="71"/>
        <v>1147.9077636363636</v>
      </c>
      <c r="AA95" s="542">
        <f t="shared" si="75"/>
        <v>1262.6985400000001</v>
      </c>
      <c r="AB95" s="542">
        <f t="shared" si="75"/>
        <v>1262.6985400000001</v>
      </c>
      <c r="AC95" s="274">
        <f>'Tariffs Jan2021'!AZ89</f>
        <v>0</v>
      </c>
      <c r="AD95" s="274" t="str">
        <f>'Tariffs Jan2021'!BA89</f>
        <v>n</v>
      </c>
      <c r="AE95" s="275" t="str">
        <f>'Tariffs Jan2021'!BJ90</f>
        <v>N</v>
      </c>
      <c r="AF95" s="516"/>
      <c r="AG95" s="516"/>
      <c r="AH95" s="516"/>
      <c r="AI95" s="516"/>
      <c r="AJ95" s="516"/>
      <c r="AK95" s="516"/>
      <c r="AL95" s="516"/>
      <c r="AM95" s="516"/>
      <c r="AN95" s="516"/>
      <c r="AO95" s="516"/>
      <c r="AP95" s="516"/>
      <c r="AQ95" s="516"/>
      <c r="AR95" s="516"/>
      <c r="AS95" s="516"/>
      <c r="AT95" s="516"/>
      <c r="AU95" s="516"/>
      <c r="AV95" s="516"/>
      <c r="AW95" s="516"/>
      <c r="AX95" s="516"/>
      <c r="AY95" s="516"/>
      <c r="AZ95" s="516"/>
    </row>
    <row r="96" spans="1:52" ht="14" x14ac:dyDescent="0.15">
      <c r="A96" s="270" t="str">
        <f>'Tariffs Jan2021'!F90</f>
        <v>Covau</v>
      </c>
      <c r="B96" s="40" t="str">
        <f>'Tariffs Jan2021'!D90</f>
        <v>AusNet Services West</v>
      </c>
      <c r="C96" s="40" t="str">
        <f>'Tariffs Jan2021'!G90</f>
        <v>Smart Saver</v>
      </c>
      <c r="D96" s="59">
        <f>365*'Tariffs Jan2021'!H90/100</f>
        <v>310.25</v>
      </c>
      <c r="E96" s="59">
        <f>IF($C$5*'Tariffs Jan2021'!AK90/'Tariffs Jan2021'!AI90&gt;='Tariffs Jan2021'!J90,( 'Tariffs Jan2021'!J90*'Tariffs Jan2021'!O90/100)* 'Tariffs Jan2021'!AI90,($C$5*'Tariffs Jan2021'!AK90/'Tariffs Jan2021'!AI90*'Tariffs Jan2021'!O90/100)* 'Tariffs Jan2021'!AI90)</f>
        <v>288</v>
      </c>
      <c r="F96" s="59">
        <f>IF($C$5*'Tariffs Jan2021'!AK90/'Tariffs Jan2021'!AI90&lt;'Tariffs Jan2021'!J90,0,IF($C$5*'Tariffs Jan2021'!AK90/'Tariffs Jan2021'!AI90&lt;='Tariffs Jan2021'!K90,($C$5*'Tariffs Jan2021'!AK90/'Tariffs Jan2021'!AI90-'Tariffs Jan2021'!J90)*('Tariffs Jan2021'!P90/100)*'Tariffs Jan2021'!AI90,('Tariffs Jan2021'!K90-'Tariffs Jan2021'!J90)*('Tariffs Jan2021'!P90/100)*'Tariffs Jan2021'!AI90))</f>
        <v>202.8617454545454</v>
      </c>
      <c r="G96" s="59">
        <f>IF($C$5*'Tariffs Jan2021'!AK90/'Tariffs Jan2021'!AI90&lt;'Tariffs Jan2021'!K90,0,IF($C$5*'Tariffs Jan2021'!AK90/'Tariffs Jan2021'!AI90&lt;='Tariffs Jan2021'!L90,($C$5*'Tariffs Jan2021'!AK90/'Tariffs Jan2021'!AI90-'Tariffs Jan2021'!K90)*('Tariffs Jan2021'!Q90/100)*'Tariffs Jan2021'!AI90,('Tariffs Jan2021'!L90-'Tariffs Jan2021'!K90)*('Tariffs Jan2021'!Q90/100)*'Tariffs Jan2021'!AI90))</f>
        <v>0</v>
      </c>
      <c r="H96" s="59">
        <f>IF($C$5*'Tariffs Jan2021'!AK90/'Tariffs Jan2021'!AI90&lt;'Tariffs Jan2021'!L90,0,IF($C$5*'Tariffs Jan2021'!AK90/'Tariffs Jan2021'!AI90&lt;='Tariffs Jan2021'!M90,($C$5*'Tariffs Jan2021'!AK90/'Tariffs Jan2021'!AI90-'Tariffs Jan2021'!L90)*('Tariffs Jan2021'!R90/100)*'Tariffs Jan2021'!AI90,('Tariffs Jan2021'!M90-'Tariffs Jan2021'!L90)*('Tariffs Jan2021'!R90/100)*'Tariffs Jan2021'!AI90))</f>
        <v>0</v>
      </c>
      <c r="I96" s="69">
        <f>IF(($C$5*'Tariffs Jan2021'!AK90/'Tariffs Jan2021'!AI90&gt;'Tariffs Jan2021'!M90),($C$5*'Tariffs Jan2021'!AK90/'Tariffs Jan2021'!AI90-'Tariffs Jan2021'!M90)*'Tariffs Jan2021'!S90/100*'Tariffs Jan2021'!AI90,0)</f>
        <v>0</v>
      </c>
      <c r="J96" s="69">
        <f>IF($C$5*'Tariffs Jan2021'!AL90/'Tariffs Jan2021'!AJ90&gt;='Tariffs Jan2021'!J90,('Tariffs Jan2021'!J90*'Tariffs Jan2021'!U90/100)* 'Tariffs Jan2021'!AJ90,($C$5*'Tariffs Jan2021'!AL90/'Tariffs Jan2021'!AJ90*'Tariffs Jan2021'!U90/100)* 'Tariffs Jan2021'!AJ90)</f>
        <v>501.8181818181817</v>
      </c>
      <c r="K96" s="69">
        <f>IF($C$5*'Tariffs Jan2021'!AL90/'Tariffs Jan2021'!AJ90&lt;'Tariffs Jan2021'!J90,0,IF($C$5*'Tariffs Jan2021'!AL90/'Tariffs Jan2021'!AJ90&lt;='Tariffs Jan2021'!K90,($C$5*'Tariffs Jan2021'!AL90/'Tariffs Jan2021'!AJ90-'Tariffs Jan2021'!J90)*('Tariffs Jan2021'!V90/100)*'Tariffs Jan2021'!AJ90,('Tariffs Jan2021'!K90-'Tariffs Jan2021'!J90)*('Tariffs Jan2021'!V90/100)*'Tariffs Jan2021'!AJ90))</f>
        <v>348.46412727272713</v>
      </c>
      <c r="L96" s="69">
        <f>IF($C$5*'Tariffs Jan2021'!AL90/'Tariffs Jan2021'!AJ90&lt;'Tariffs Jan2021'!K90,0,IF($C$5*'Tariffs Jan2021'!AL90/'Tariffs Jan2021'!AJ90&lt;='Tariffs Jan2021'!L90,($C$5*'Tariffs Jan2021'!AL90/'Tariffs Jan2021'!AJ90-'Tariffs Jan2021'!K90)*('Tariffs Jan2021'!W90/100)*'Tariffs Jan2021'!AJ90,('Tariffs Jan2021'!L90-'Tariffs Jan2021'!K90)*('Tariffs Jan2021'!W90/100)*'Tariffs Jan2021'!AJ90))</f>
        <v>0</v>
      </c>
      <c r="M96" s="69">
        <f>IF($C$5*'Tariffs Jan2021'!AL90/'Tariffs Jan2021'!AJ90&lt;'Tariffs Jan2021'!L90,0,IF($C$5*'Tariffs Jan2021'!AL90/'Tariffs Jan2021'!AJ90&lt;='Tariffs Jan2021'!M90,($C$5*'Tariffs Jan2021'!AL90/'Tariffs Jan2021'!AJ90-'Tariffs Jan2021'!L90)*('Tariffs Jan2021'!X90/100)*'Tariffs Jan2021'!AJ90,('Tariffs Jan2021'!M90-'Tariffs Jan2021'!L90)*('Tariffs Jan2021'!X90/100)*'Tariffs Jan2021'!AJ90))</f>
        <v>0</v>
      </c>
      <c r="N96" s="69">
        <f>IF(($C$5*'Tariffs Jan2021'!AL90/'Tariffs Jan2021'!AJ90&gt;'Tariffs Jan2021'!M90),($C$5*'Tariffs Jan2021'!AL90/'Tariffs Jan2021'!AJ90-'Tariffs Jan2021'!M90)*'Tariffs Jan2021'!Y90/100*'Tariffs Jan2021'!AJ90,0)</f>
        <v>0</v>
      </c>
      <c r="O96" s="59">
        <f t="shared" si="72"/>
        <v>1341.1440545454543</v>
      </c>
      <c r="P96" s="503">
        <f t="shared" si="56"/>
        <v>1475.2584599999998</v>
      </c>
      <c r="Q96" s="59">
        <f t="shared" si="73"/>
        <v>1651.3940545454543</v>
      </c>
      <c r="R96" s="272">
        <f t="shared" si="74"/>
        <v>1816.5334599999999</v>
      </c>
      <c r="S96" s="40">
        <f>'Tariffs Jan2021'!AN90</f>
        <v>0</v>
      </c>
      <c r="T96" s="40">
        <f>'Tariffs Jan2021'!AO90</f>
        <v>16</v>
      </c>
      <c r="U96" s="40">
        <f>'Tariffs Jan2021'!AP90</f>
        <v>0</v>
      </c>
      <c r="V96" s="40">
        <f>'Tariffs Jan2021'!AQ90</f>
        <v>0</v>
      </c>
      <c r="W96" s="537" t="str">
        <f t="shared" si="60"/>
        <v>Guaranteed off usage</v>
      </c>
      <c r="X96" s="538" t="str">
        <f t="shared" si="61"/>
        <v>Exclusive</v>
      </c>
      <c r="Y96" s="534">
        <f t="shared" si="70"/>
        <v>1415.3527009454542</v>
      </c>
      <c r="Z96" s="535">
        <f t="shared" si="71"/>
        <v>1415.3527009454542</v>
      </c>
      <c r="AA96" s="542">
        <f t="shared" si="75"/>
        <v>1556.8879710399997</v>
      </c>
      <c r="AB96" s="542">
        <f t="shared" si="75"/>
        <v>1556.8879710399997</v>
      </c>
      <c r="AC96" s="274">
        <f>'Tariffs Jan2021'!AZ90</f>
        <v>0</v>
      </c>
      <c r="AD96" s="274" t="str">
        <f>'Tariffs Jan2021'!BA90</f>
        <v>n</v>
      </c>
      <c r="AE96" s="275" t="str">
        <f>'Tariffs Jan2021'!BJ90</f>
        <v>N</v>
      </c>
      <c r="AF96" s="516"/>
      <c r="AG96" s="516"/>
      <c r="AH96" s="516"/>
      <c r="AI96" s="516"/>
      <c r="AJ96" s="516"/>
      <c r="AK96" s="516"/>
      <c r="AL96" s="516"/>
      <c r="AM96" s="516"/>
      <c r="AN96" s="516"/>
      <c r="AO96" s="516"/>
      <c r="AP96" s="516"/>
      <c r="AQ96" s="516"/>
      <c r="AR96" s="516"/>
      <c r="AS96" s="516"/>
      <c r="AT96" s="516"/>
      <c r="AU96" s="516"/>
      <c r="AV96" s="516"/>
      <c r="AW96" s="516"/>
      <c r="AX96" s="516"/>
      <c r="AY96" s="516"/>
      <c r="AZ96" s="516"/>
    </row>
    <row r="97" spans="1:52" ht="14" x14ac:dyDescent="0.15">
      <c r="A97" s="270" t="str">
        <f>'Tariffs Jan2021'!F91</f>
        <v>EnergyAustralia</v>
      </c>
      <c r="B97" s="40" t="str">
        <f>'Tariffs Jan2021'!D91</f>
        <v>AusNet Services West</v>
      </c>
      <c r="C97" s="40" t="str">
        <f>'Tariffs Jan2021'!G91</f>
        <v>Total Plan</v>
      </c>
      <c r="D97" s="59">
        <f>365*'Tariffs Jan2021'!H91/100</f>
        <v>367.19</v>
      </c>
      <c r="E97" s="59">
        <f>IF($C$5*'Tariffs Jan2021'!AK91/'Tariffs Jan2021'!AI91&gt;='Tariffs Jan2021'!J91,( 'Tariffs Jan2021'!J91*'Tariffs Jan2021'!O91/100)* 'Tariffs Jan2021'!AI91,($C$5*'Tariffs Jan2021'!AK91/'Tariffs Jan2021'!AI91*'Tariffs Jan2021'!O91/100)* 'Tariffs Jan2021'!AI91)</f>
        <v>300</v>
      </c>
      <c r="F97" s="59">
        <f>IF($C$5*'Tariffs Jan2021'!AK91/'Tariffs Jan2021'!AI91&lt;'Tariffs Jan2021'!J91,0,IF($C$5*'Tariffs Jan2021'!AK91/'Tariffs Jan2021'!AI91&lt;='Tariffs Jan2021'!K91,($C$5*'Tariffs Jan2021'!AK91/'Tariffs Jan2021'!AI91-'Tariffs Jan2021'!J91)*('Tariffs Jan2021'!P91/100)*'Tariffs Jan2021'!AI91,('Tariffs Jan2021'!K91-'Tariffs Jan2021'!J91)*('Tariffs Jan2021'!P91/100)*'Tariffs Jan2021'!AI91))</f>
        <v>206.95169999999996</v>
      </c>
      <c r="G97" s="59">
        <f>IF($C$5*'Tariffs Jan2021'!AK91/'Tariffs Jan2021'!AI91&lt;'Tariffs Jan2021'!K91,0,IF($C$5*'Tariffs Jan2021'!AK91/'Tariffs Jan2021'!AI91&lt;='Tariffs Jan2021'!L91,($C$5*'Tariffs Jan2021'!AK91/'Tariffs Jan2021'!AI91-'Tariffs Jan2021'!K91)*('Tariffs Jan2021'!Q91/100)*'Tariffs Jan2021'!AI91,('Tariffs Jan2021'!L91-'Tariffs Jan2021'!K91)*('Tariffs Jan2021'!Q91/100)*'Tariffs Jan2021'!AI91))</f>
        <v>0</v>
      </c>
      <c r="H97" s="59">
        <f>IF($C$5*'Tariffs Jan2021'!AK91/'Tariffs Jan2021'!AI91&lt;'Tariffs Jan2021'!L91,0,IF($C$5*'Tariffs Jan2021'!AK91/'Tariffs Jan2021'!AI91&lt;='Tariffs Jan2021'!M91,($C$5*'Tariffs Jan2021'!AK91/'Tariffs Jan2021'!AI91-'Tariffs Jan2021'!L91)*('Tariffs Jan2021'!R91/100)*'Tariffs Jan2021'!AI91,('Tariffs Jan2021'!M91-'Tariffs Jan2021'!L91)*('Tariffs Jan2021'!R91/100)*'Tariffs Jan2021'!AI91))</f>
        <v>0</v>
      </c>
      <c r="I97" s="69">
        <f>IF(($C$5*'Tariffs Jan2021'!AK91/'Tariffs Jan2021'!AI91&gt;'Tariffs Jan2021'!M91),($C$5*'Tariffs Jan2021'!AK91/'Tariffs Jan2021'!AI91-'Tariffs Jan2021'!M91)*'Tariffs Jan2021'!S91/100*'Tariffs Jan2021'!AI91,0)</f>
        <v>0</v>
      </c>
      <c r="J97" s="69">
        <f>IF($C$5*'Tariffs Jan2021'!AL91/'Tariffs Jan2021'!AJ91&gt;='Tariffs Jan2021'!J91,('Tariffs Jan2021'!J91*'Tariffs Jan2021'!U91/100)* 'Tariffs Jan2021'!AJ91,($C$5*'Tariffs Jan2021'!AL91/'Tariffs Jan2021'!AJ91*'Tariffs Jan2021'!U91/100)* 'Tariffs Jan2021'!AJ91)</f>
        <v>497.45454545454538</v>
      </c>
      <c r="K97" s="69">
        <f>IF($C$5*'Tariffs Jan2021'!AL91/'Tariffs Jan2021'!AJ91&lt;'Tariffs Jan2021'!J91,0,IF($C$5*'Tariffs Jan2021'!AL91/'Tariffs Jan2021'!AJ91&lt;='Tariffs Jan2021'!K91,($C$5*'Tariffs Jan2021'!AL91/'Tariffs Jan2021'!AJ91-'Tariffs Jan2021'!J91)*('Tariffs Jan2021'!V91/100)*'Tariffs Jan2021'!AJ91,('Tariffs Jan2021'!K91-'Tariffs Jan2021'!J91)*('Tariffs Jan2021'!V91/100)*'Tariffs Jan2021'!AJ91))</f>
        <v>369.73189090909079</v>
      </c>
      <c r="L97" s="69">
        <f>IF($C$5*'Tariffs Jan2021'!AL91/'Tariffs Jan2021'!AJ91&lt;'Tariffs Jan2021'!K91,0,IF($C$5*'Tariffs Jan2021'!AL91/'Tariffs Jan2021'!AJ91&lt;='Tariffs Jan2021'!L91,($C$5*'Tariffs Jan2021'!AL91/'Tariffs Jan2021'!AJ91-'Tariffs Jan2021'!K91)*('Tariffs Jan2021'!W91/100)*'Tariffs Jan2021'!AJ91,('Tariffs Jan2021'!L91-'Tariffs Jan2021'!K91)*('Tariffs Jan2021'!W91/100)*'Tariffs Jan2021'!AJ91))</f>
        <v>0</v>
      </c>
      <c r="M97" s="69">
        <f>IF($C$5*'Tariffs Jan2021'!AL91/'Tariffs Jan2021'!AJ91&lt;'Tariffs Jan2021'!L91,0,IF($C$5*'Tariffs Jan2021'!AL91/'Tariffs Jan2021'!AJ91&lt;='Tariffs Jan2021'!M91,($C$5*'Tariffs Jan2021'!AL91/'Tariffs Jan2021'!AJ91-'Tariffs Jan2021'!L91)*('Tariffs Jan2021'!X91/100)*'Tariffs Jan2021'!AJ91,('Tariffs Jan2021'!M91-'Tariffs Jan2021'!L91)*('Tariffs Jan2021'!X91/100)*'Tariffs Jan2021'!AJ91))</f>
        <v>0</v>
      </c>
      <c r="N97" s="69">
        <f>IF(($C$5*'Tariffs Jan2021'!AL91/'Tariffs Jan2021'!AJ91&gt;'Tariffs Jan2021'!M91),($C$5*'Tariffs Jan2021'!AL91/'Tariffs Jan2021'!AJ91-'Tariffs Jan2021'!M91)*'Tariffs Jan2021'!Y91/100*'Tariffs Jan2021'!AJ91,0)</f>
        <v>0</v>
      </c>
      <c r="O97" s="59">
        <f>SUM(E97:N97)</f>
        <v>1374.138136363636</v>
      </c>
      <c r="P97" s="503">
        <f t="shared" si="56"/>
        <v>1511.5519499999998</v>
      </c>
      <c r="Q97" s="59">
        <f>D97+O97</f>
        <v>1741.3281363636361</v>
      </c>
      <c r="R97" s="272">
        <f>Q97*1.1</f>
        <v>1915.4609499999999</v>
      </c>
      <c r="S97" s="40">
        <f>'Tariffs Jan2021'!AN91</f>
        <v>27</v>
      </c>
      <c r="T97" s="40">
        <f>'Tariffs Jan2021'!AO91</f>
        <v>0</v>
      </c>
      <c r="U97" s="40">
        <f>'Tariffs Jan2021'!AP91</f>
        <v>0</v>
      </c>
      <c r="V97" s="40">
        <f>'Tariffs Jan2021'!AQ91</f>
        <v>0</v>
      </c>
      <c r="W97" s="537" t="str">
        <f t="shared" si="60"/>
        <v>Guaranteed off bill</v>
      </c>
      <c r="X97" s="538" t="str">
        <f t="shared" si="61"/>
        <v>Exclusive</v>
      </c>
      <c r="Y97" s="534">
        <f t="shared" si="70"/>
        <v>1271.1695395454544</v>
      </c>
      <c r="Z97" s="535">
        <f t="shared" si="71"/>
        <v>1271.1695395454544</v>
      </c>
      <c r="AA97" s="542">
        <f t="shared" si="75"/>
        <v>1398.2864935</v>
      </c>
      <c r="AB97" s="542">
        <f t="shared" si="75"/>
        <v>1398.2864935</v>
      </c>
      <c r="AC97" s="274">
        <f>'Tariffs Jan2021'!AZ91</f>
        <v>12</v>
      </c>
      <c r="AD97" s="274" t="str">
        <f>'Tariffs Jan2021'!BA91</f>
        <v>n</v>
      </c>
      <c r="AE97" s="275" t="str">
        <f>'Tariffs Jan2021'!BJ91</f>
        <v>N</v>
      </c>
      <c r="AF97" s="516"/>
      <c r="AG97" s="516"/>
      <c r="AH97" s="516"/>
      <c r="AI97" s="516"/>
      <c r="AJ97" s="516"/>
      <c r="AK97" s="516"/>
      <c r="AL97" s="516"/>
      <c r="AM97" s="516"/>
      <c r="AN97" s="516"/>
      <c r="AO97" s="516"/>
      <c r="AP97" s="516"/>
      <c r="AQ97" s="516"/>
      <c r="AR97" s="516"/>
      <c r="AS97" s="516"/>
      <c r="AT97" s="516"/>
      <c r="AU97" s="516"/>
      <c r="AV97" s="516"/>
      <c r="AW97" s="516"/>
      <c r="AX97" s="516"/>
      <c r="AY97" s="516"/>
      <c r="AZ97" s="516"/>
    </row>
    <row r="98" spans="1:52" ht="14" x14ac:dyDescent="0.15">
      <c r="A98" s="270" t="str">
        <f>'Tariffs Jan2021'!F92</f>
        <v>Lumo Energy</v>
      </c>
      <c r="B98" s="40" t="str">
        <f>'Tariffs Jan2021'!D92</f>
        <v>AusNet Services West</v>
      </c>
      <c r="C98" s="40" t="str">
        <f>'Tariffs Jan2021'!G92</f>
        <v>Value</v>
      </c>
      <c r="D98" s="59">
        <f>365*'Tariffs Jan2021'!H92/100</f>
        <v>283.23999999999995</v>
      </c>
      <c r="E98" s="59">
        <f>IF($C$5*'Tariffs Jan2021'!AK92/'Tariffs Jan2021'!AI92&gt;='Tariffs Jan2021'!J92,( 'Tariffs Jan2021'!J92*'Tariffs Jan2021'!O92/100)* 'Tariffs Jan2021'!AI92,($C$5*'Tariffs Jan2021'!AK92/'Tariffs Jan2021'!AI92*'Tariffs Jan2021'!O92/100)* 'Tariffs Jan2021'!AI92)</f>
        <v>208.36363636363632</v>
      </c>
      <c r="F98" s="59">
        <f>IF($C$5*'Tariffs Jan2021'!AK92/'Tariffs Jan2021'!AI92&lt;'Tariffs Jan2021'!J92,0,IF($C$5*'Tariffs Jan2021'!AK92/'Tariffs Jan2021'!AI92&lt;='Tariffs Jan2021'!K92,($C$5*'Tariffs Jan2021'!AK92/'Tariffs Jan2021'!AI92-'Tariffs Jan2021'!J92)*('Tariffs Jan2021'!P92/100)*'Tariffs Jan2021'!AI92,('Tariffs Jan2021'!K92-'Tariffs Jan2021'!J92)*('Tariffs Jan2021'!P92/100)*'Tariffs Jan2021'!AI92))</f>
        <v>154.60028181818177</v>
      </c>
      <c r="G98" s="59">
        <f>IF($C$5*'Tariffs Jan2021'!AK92/'Tariffs Jan2021'!AI92&lt;'Tariffs Jan2021'!K92,0,IF($C$5*'Tariffs Jan2021'!AK92/'Tariffs Jan2021'!AI92&lt;='Tariffs Jan2021'!L92,($C$5*'Tariffs Jan2021'!AK92/'Tariffs Jan2021'!AI92-'Tariffs Jan2021'!K92)*('Tariffs Jan2021'!Q92/100)*'Tariffs Jan2021'!AI92,('Tariffs Jan2021'!L92-'Tariffs Jan2021'!K92)*('Tariffs Jan2021'!Q92/100)*'Tariffs Jan2021'!AI92))</f>
        <v>0</v>
      </c>
      <c r="H98" s="59">
        <f>IF($C$5*'Tariffs Jan2021'!AK92/'Tariffs Jan2021'!AI92&lt;'Tariffs Jan2021'!L92,0,IF($C$5*'Tariffs Jan2021'!AK92/'Tariffs Jan2021'!AI92&lt;='Tariffs Jan2021'!M92,($C$5*'Tariffs Jan2021'!AK92/'Tariffs Jan2021'!AI92-'Tariffs Jan2021'!L92)*('Tariffs Jan2021'!R92/100)*'Tariffs Jan2021'!AI92,('Tariffs Jan2021'!M92-'Tariffs Jan2021'!L92)*('Tariffs Jan2021'!R92/100)*'Tariffs Jan2021'!AI92))</f>
        <v>0</v>
      </c>
      <c r="I98" s="69">
        <f>IF(($C$5*'Tariffs Jan2021'!AK92/'Tariffs Jan2021'!AI92&gt;'Tariffs Jan2021'!M92),($C$5*'Tariffs Jan2021'!AK92/'Tariffs Jan2021'!AI92-'Tariffs Jan2021'!M92)*'Tariffs Jan2021'!S92/100*'Tariffs Jan2021'!AI92,0)</f>
        <v>0</v>
      </c>
      <c r="J98" s="69">
        <f>IF($C$5*'Tariffs Jan2021'!AL92/'Tariffs Jan2021'!AJ92&gt;='Tariffs Jan2021'!J92,('Tariffs Jan2021'!J92*'Tariffs Jan2021'!U92/100)* 'Tariffs Jan2021'!AJ92,($C$5*'Tariffs Jan2021'!AL92/'Tariffs Jan2021'!AJ92*'Tariffs Jan2021'!U92/100)* 'Tariffs Jan2021'!AJ92)</f>
        <v>379.63636363636363</v>
      </c>
      <c r="K98" s="69">
        <f>IF($C$5*'Tariffs Jan2021'!AL92/'Tariffs Jan2021'!AJ92&lt;'Tariffs Jan2021'!J92,0,IF($C$5*'Tariffs Jan2021'!AL92/'Tariffs Jan2021'!AJ92&lt;='Tariffs Jan2021'!K92,($C$5*'Tariffs Jan2021'!AL92/'Tariffs Jan2021'!AJ92-'Tariffs Jan2021'!J92)*('Tariffs Jan2021'!V92/100)*'Tariffs Jan2021'!AJ92,('Tariffs Jan2021'!K92-'Tariffs Jan2021'!J92)*('Tariffs Jan2021'!V92/100)*'Tariffs Jan2021'!AJ92))</f>
        <v>279.75289090909081</v>
      </c>
      <c r="L98" s="69">
        <f>IF($C$5*'Tariffs Jan2021'!AL92/'Tariffs Jan2021'!AJ92&lt;'Tariffs Jan2021'!K92,0,IF($C$5*'Tariffs Jan2021'!AL92/'Tariffs Jan2021'!AJ92&lt;='Tariffs Jan2021'!L92,($C$5*'Tariffs Jan2021'!AL92/'Tariffs Jan2021'!AJ92-'Tariffs Jan2021'!K92)*('Tariffs Jan2021'!W92/100)*'Tariffs Jan2021'!AJ92,('Tariffs Jan2021'!L92-'Tariffs Jan2021'!K92)*('Tariffs Jan2021'!W92/100)*'Tariffs Jan2021'!AJ92))</f>
        <v>0</v>
      </c>
      <c r="M98" s="69">
        <f>IF($C$5*'Tariffs Jan2021'!AL92/'Tariffs Jan2021'!AJ92&lt;'Tariffs Jan2021'!L92,0,IF($C$5*'Tariffs Jan2021'!AL92/'Tariffs Jan2021'!AJ92&lt;='Tariffs Jan2021'!M92,($C$5*'Tariffs Jan2021'!AL92/'Tariffs Jan2021'!AJ92-'Tariffs Jan2021'!L92)*('Tariffs Jan2021'!X92/100)*'Tariffs Jan2021'!AJ92,('Tariffs Jan2021'!M92-'Tariffs Jan2021'!L92)*('Tariffs Jan2021'!X92/100)*'Tariffs Jan2021'!AJ92))</f>
        <v>0</v>
      </c>
      <c r="N98" s="69">
        <f>IF(($C$5*'Tariffs Jan2021'!AL92/'Tariffs Jan2021'!AJ92&gt;'Tariffs Jan2021'!M92),($C$5*'Tariffs Jan2021'!AL92/'Tariffs Jan2021'!AJ92-'Tariffs Jan2021'!M92)*'Tariffs Jan2021'!Y92/100*'Tariffs Jan2021'!AJ92,0)</f>
        <v>0</v>
      </c>
      <c r="O98" s="59">
        <f t="shared" si="72"/>
        <v>1022.3531727272725</v>
      </c>
      <c r="P98" s="503">
        <f t="shared" si="56"/>
        <v>1124.5884899999999</v>
      </c>
      <c r="Q98" s="59">
        <f t="shared" si="73"/>
        <v>1305.5931727272725</v>
      </c>
      <c r="R98" s="272">
        <f t="shared" si="74"/>
        <v>1436.1524899999999</v>
      </c>
      <c r="S98" s="40">
        <f>'Tariffs Jan2021'!AN92</f>
        <v>0</v>
      </c>
      <c r="T98" s="40">
        <f>'Tariffs Jan2021'!AO92</f>
        <v>0</v>
      </c>
      <c r="U98" s="40">
        <f>'Tariffs Jan2021'!AP92</f>
        <v>0</v>
      </c>
      <c r="V98" s="40">
        <f>'Tariffs Jan2021'!AQ92</f>
        <v>0</v>
      </c>
      <c r="W98" s="537" t="str">
        <f t="shared" si="60"/>
        <v>No discount</v>
      </c>
      <c r="X98" s="538" t="str">
        <f t="shared" si="61"/>
        <v>Exclusive</v>
      </c>
      <c r="Y98" s="534">
        <f t="shared" si="70"/>
        <v>1305.5931727272725</v>
      </c>
      <c r="Z98" s="535">
        <f t="shared" si="71"/>
        <v>1305.5931727272725</v>
      </c>
      <c r="AA98" s="542">
        <f t="shared" si="75"/>
        <v>1436.1524899999999</v>
      </c>
      <c r="AB98" s="542">
        <f t="shared" si="75"/>
        <v>1436.1524899999999</v>
      </c>
      <c r="AC98" s="274">
        <f>'Tariffs Jan2021'!AZ92</f>
        <v>0</v>
      </c>
      <c r="AD98" s="274" t="str">
        <f>'Tariffs Jan2021'!BA92</f>
        <v>n</v>
      </c>
      <c r="AE98" s="275" t="str">
        <f>'Tariffs Jan2021'!BJ92</f>
        <v>N</v>
      </c>
      <c r="AF98" s="516"/>
      <c r="AG98" s="516"/>
      <c r="AH98" s="516"/>
      <c r="AI98" s="516"/>
      <c r="AJ98" s="516"/>
      <c r="AK98" s="516"/>
      <c r="AL98" s="516"/>
      <c r="AM98" s="516"/>
      <c r="AN98" s="516"/>
      <c r="AO98" s="516"/>
      <c r="AP98" s="516"/>
      <c r="AQ98" s="516"/>
      <c r="AR98" s="516"/>
      <c r="AS98" s="516"/>
      <c r="AT98" s="516"/>
      <c r="AU98" s="516"/>
      <c r="AV98" s="516"/>
      <c r="AW98" s="516"/>
      <c r="AX98" s="516"/>
      <c r="AY98" s="516"/>
      <c r="AZ98" s="516"/>
    </row>
    <row r="99" spans="1:52" ht="14" x14ac:dyDescent="0.15">
      <c r="A99" s="270" t="str">
        <f>'Tariffs Jan2021'!F93</f>
        <v>Momentum Energy</v>
      </c>
      <c r="B99" s="40" t="str">
        <f>'Tariffs Jan2021'!D93</f>
        <v>AusNet Services West</v>
      </c>
      <c r="C99" s="40" t="str">
        <f>'Tariffs Jan2021'!G93</f>
        <v>Market offer</v>
      </c>
      <c r="D99" s="59">
        <f>365*'Tariffs Jan2021'!H93/100</f>
        <v>357.33499999999998</v>
      </c>
      <c r="E99" s="59">
        <f>IF($C$5*'Tariffs Jan2021'!AK93/'Tariffs Jan2021'!AI93&gt;='Tariffs Jan2021'!J93,( 'Tariffs Jan2021'!J93*'Tariffs Jan2021'!O93/100)* 'Tariffs Jan2021'!AI93,($C$5*'Tariffs Jan2021'!AK93/'Tariffs Jan2021'!AI93*'Tariffs Jan2021'!O93/100)* 'Tariffs Jan2021'!AI93)</f>
        <v>240</v>
      </c>
      <c r="F99" s="59">
        <f>IF($C$5*'Tariffs Jan2021'!AK93/'Tariffs Jan2021'!AI93&lt;'Tariffs Jan2021'!J93,0,IF($C$5*'Tariffs Jan2021'!AK93/'Tariffs Jan2021'!AI93&lt;='Tariffs Jan2021'!K93,($C$5*'Tariffs Jan2021'!AK93/'Tariffs Jan2021'!AI93-'Tariffs Jan2021'!J93)*('Tariffs Jan2021'!P93/100)*'Tariffs Jan2021'!AI93,('Tariffs Jan2021'!K93-'Tariffs Jan2021'!J93)*('Tariffs Jan2021'!P93/100)*'Tariffs Jan2021'!AI93))</f>
        <v>170.96009999999993</v>
      </c>
      <c r="G99" s="59">
        <f>IF($C$5*'Tariffs Jan2021'!AK93/'Tariffs Jan2021'!AI93&lt;'Tariffs Jan2021'!K93,0,IF($C$5*'Tariffs Jan2021'!AK93/'Tariffs Jan2021'!AI93&lt;='Tariffs Jan2021'!L93,($C$5*'Tariffs Jan2021'!AK93/'Tariffs Jan2021'!AI93-'Tariffs Jan2021'!K93)*('Tariffs Jan2021'!Q93/100)*'Tariffs Jan2021'!AI93,('Tariffs Jan2021'!L93-'Tariffs Jan2021'!K93)*('Tariffs Jan2021'!Q93/100)*'Tariffs Jan2021'!AI93))</f>
        <v>0</v>
      </c>
      <c r="H99" s="59">
        <f>IF($C$5*'Tariffs Jan2021'!AK93/'Tariffs Jan2021'!AI93&lt;'Tariffs Jan2021'!L93,0,IF($C$5*'Tariffs Jan2021'!AK93/'Tariffs Jan2021'!AI93&lt;='Tariffs Jan2021'!M93,($C$5*'Tariffs Jan2021'!AK93/'Tariffs Jan2021'!AI93-'Tariffs Jan2021'!L93)*('Tariffs Jan2021'!R93/100)*'Tariffs Jan2021'!AI93,('Tariffs Jan2021'!M93-'Tariffs Jan2021'!L93)*('Tariffs Jan2021'!R93/100)*'Tariffs Jan2021'!AI93))</f>
        <v>0</v>
      </c>
      <c r="I99" s="69">
        <f>IF(($C$5*'Tariffs Jan2021'!AK93/'Tariffs Jan2021'!AI93&gt;'Tariffs Jan2021'!M93),($C$5*'Tariffs Jan2021'!AK93/'Tariffs Jan2021'!AI93-'Tariffs Jan2021'!M93)*'Tariffs Jan2021'!S93/100*'Tariffs Jan2021'!AI93,0)</f>
        <v>0</v>
      </c>
      <c r="J99" s="69">
        <f>IF($C$5*'Tariffs Jan2021'!AL93/'Tariffs Jan2021'!AJ93&gt;='Tariffs Jan2021'!J93,('Tariffs Jan2021'!J93*'Tariffs Jan2021'!U93/100)* 'Tariffs Jan2021'!AJ93,($C$5*'Tariffs Jan2021'!AL93/'Tariffs Jan2021'!AJ93*'Tariffs Jan2021'!U93/100)* 'Tariffs Jan2021'!AJ93)</f>
        <v>384</v>
      </c>
      <c r="K99" s="69">
        <f>IF($C$5*'Tariffs Jan2021'!AL93/'Tariffs Jan2021'!AJ93&lt;'Tariffs Jan2021'!J93,0,IF($C$5*'Tariffs Jan2021'!AL93/'Tariffs Jan2021'!AJ93&lt;='Tariffs Jan2021'!K93,($C$5*'Tariffs Jan2021'!AL93/'Tariffs Jan2021'!AJ93-'Tariffs Jan2021'!J93)*('Tariffs Jan2021'!V93/100)*'Tariffs Jan2021'!AJ93,('Tariffs Jan2021'!K93-'Tariffs Jan2021'!J93)*('Tariffs Jan2021'!V93/100)*'Tariffs Jan2021'!AJ93))</f>
        <v>287.93279999999993</v>
      </c>
      <c r="L99" s="69">
        <f>IF($C$5*'Tariffs Jan2021'!AL93/'Tariffs Jan2021'!AJ93&lt;'Tariffs Jan2021'!K93,0,IF($C$5*'Tariffs Jan2021'!AL93/'Tariffs Jan2021'!AJ93&lt;='Tariffs Jan2021'!L93,($C$5*'Tariffs Jan2021'!AL93/'Tariffs Jan2021'!AJ93-'Tariffs Jan2021'!K93)*('Tariffs Jan2021'!W93/100)*'Tariffs Jan2021'!AJ93,('Tariffs Jan2021'!L93-'Tariffs Jan2021'!K93)*('Tariffs Jan2021'!W93/100)*'Tariffs Jan2021'!AJ93))</f>
        <v>0</v>
      </c>
      <c r="M99" s="69">
        <f>IF($C$5*'Tariffs Jan2021'!AL93/'Tariffs Jan2021'!AJ93&lt;'Tariffs Jan2021'!L93,0,IF($C$5*'Tariffs Jan2021'!AL93/'Tariffs Jan2021'!AJ93&lt;='Tariffs Jan2021'!M93,($C$5*'Tariffs Jan2021'!AL93/'Tariffs Jan2021'!AJ93-'Tariffs Jan2021'!L93)*('Tariffs Jan2021'!X93/100)*'Tariffs Jan2021'!AJ93,('Tariffs Jan2021'!M93-'Tariffs Jan2021'!L93)*('Tariffs Jan2021'!X93/100)*'Tariffs Jan2021'!AJ93))</f>
        <v>0</v>
      </c>
      <c r="N99" s="69">
        <f>IF(($C$5*'Tariffs Jan2021'!AL93/'Tariffs Jan2021'!AJ93&gt;'Tariffs Jan2021'!M93),($C$5*'Tariffs Jan2021'!AL93/'Tariffs Jan2021'!AJ93-'Tariffs Jan2021'!M93)*'Tariffs Jan2021'!Y93/100*'Tariffs Jan2021'!AJ93,0)</f>
        <v>0</v>
      </c>
      <c r="O99" s="59">
        <f t="shared" si="72"/>
        <v>1082.8928999999998</v>
      </c>
      <c r="P99" s="503">
        <f t="shared" si="56"/>
        <v>1191.18219</v>
      </c>
      <c r="Q99" s="59">
        <f t="shared" si="73"/>
        <v>1440.2278999999999</v>
      </c>
      <c r="R99" s="272">
        <f t="shared" si="74"/>
        <v>1584.2506900000001</v>
      </c>
      <c r="S99" s="40">
        <f>'Tariffs Jan2021'!AN93</f>
        <v>0</v>
      </c>
      <c r="T99" s="40">
        <f>'Tariffs Jan2021'!AO93</f>
        <v>0</v>
      </c>
      <c r="U99" s="40">
        <f>'Tariffs Jan2021'!AP93</f>
        <v>0</v>
      </c>
      <c r="V99" s="40">
        <f>'Tariffs Jan2021'!AQ93</f>
        <v>0</v>
      </c>
      <c r="W99" s="537" t="str">
        <f t="shared" si="60"/>
        <v>No discount</v>
      </c>
      <c r="X99" s="538" t="str">
        <f t="shared" si="61"/>
        <v>Exclusive</v>
      </c>
      <c r="Y99" s="534">
        <f t="shared" si="70"/>
        <v>1440.2278999999999</v>
      </c>
      <c r="Z99" s="535">
        <f t="shared" si="71"/>
        <v>1440.2278999999999</v>
      </c>
      <c r="AA99" s="542">
        <f t="shared" si="75"/>
        <v>1584.2506900000001</v>
      </c>
      <c r="AB99" s="542">
        <f t="shared" si="75"/>
        <v>1584.2506900000001</v>
      </c>
      <c r="AC99" s="274">
        <f>'Tariffs Jan2021'!AZ93</f>
        <v>0</v>
      </c>
      <c r="AD99" s="274" t="str">
        <f>'Tariffs Jan2021'!BA93</f>
        <v>n</v>
      </c>
      <c r="AE99" s="275" t="str">
        <f>'Tariffs Jan2021'!BJ93</f>
        <v>N</v>
      </c>
      <c r="AF99" s="516"/>
      <c r="AG99" s="516"/>
      <c r="AH99" s="516"/>
      <c r="AI99" s="516"/>
      <c r="AJ99" s="516"/>
      <c r="AK99" s="516"/>
      <c r="AL99" s="516"/>
      <c r="AM99" s="516"/>
      <c r="AN99" s="516"/>
      <c r="AO99" s="516"/>
      <c r="AP99" s="516"/>
      <c r="AQ99" s="516"/>
      <c r="AR99" s="516"/>
      <c r="AS99" s="516"/>
      <c r="AT99" s="516"/>
      <c r="AU99" s="516"/>
      <c r="AV99" s="516"/>
      <c r="AW99" s="516"/>
      <c r="AX99" s="516"/>
      <c r="AY99" s="516"/>
      <c r="AZ99" s="516"/>
    </row>
    <row r="100" spans="1:52" ht="14" x14ac:dyDescent="0.15">
      <c r="A100" s="270" t="str">
        <f>'Tariffs Jan2021'!F94</f>
        <v>Origin Energy</v>
      </c>
      <c r="B100" s="40" t="str">
        <f>'Tariffs Jan2021'!D94</f>
        <v>AusNet Services West</v>
      </c>
      <c r="C100" s="40" t="str">
        <f>'Tariffs Jan2021'!G94</f>
        <v>Go</v>
      </c>
      <c r="D100" s="59">
        <f>365*'Tariffs Jan2021'!H94/100</f>
        <v>230.94545454545448</v>
      </c>
      <c r="E100" s="59">
        <f>IF($C$5*'Tariffs Jan2021'!AK94/'Tariffs Jan2021'!AI94&gt;='Tariffs Jan2021'!J94,( 'Tariffs Jan2021'!J94*'Tariffs Jan2021'!O94/100)* 'Tariffs Jan2021'!AI94,($C$5*'Tariffs Jan2021'!AK94/'Tariffs Jan2021'!AI94*'Tariffs Jan2021'!O94/100)* 'Tariffs Jan2021'!AI94)</f>
        <v>115.63636363636364</v>
      </c>
      <c r="F100" s="59">
        <f>IF($C$5*'Tariffs Jan2021'!AK94/'Tariffs Jan2021'!AI94&lt;'Tariffs Jan2021'!J94,0,IF($C$5*'Tariffs Jan2021'!AK94/'Tariffs Jan2021'!AI94&lt;='Tariffs Jan2021'!K94,($C$5*'Tariffs Jan2021'!AK94/'Tariffs Jan2021'!AI94-'Tariffs Jan2021'!J94)*('Tariffs Jan2021'!P94/100)*'Tariffs Jan2021'!AI94,('Tariffs Jan2021'!K94-'Tariffs Jan2021'!J94)*('Tariffs Jan2021'!P94/100)*'Tariffs Jan2021'!AI94))</f>
        <v>0</v>
      </c>
      <c r="G100" s="59">
        <f>IF($C$5*'Tariffs Jan2021'!AK94/'Tariffs Jan2021'!AI94&lt;'Tariffs Jan2021'!K94,0,IF($C$5*'Tariffs Jan2021'!AK94/'Tariffs Jan2021'!AI94&lt;='Tariffs Jan2021'!L94,($C$5*'Tariffs Jan2021'!AK94/'Tariffs Jan2021'!AI94-'Tariffs Jan2021'!K94)*('Tariffs Jan2021'!Q94/100)*'Tariffs Jan2021'!AI94,('Tariffs Jan2021'!L94-'Tariffs Jan2021'!K94)*('Tariffs Jan2021'!Q94/100)*'Tariffs Jan2021'!AI94))</f>
        <v>0</v>
      </c>
      <c r="H100" s="59">
        <f>IF($C$5*'Tariffs Jan2021'!AK94/'Tariffs Jan2021'!AI94&lt;'Tariffs Jan2021'!L94,0,IF($C$5*'Tariffs Jan2021'!AK94/'Tariffs Jan2021'!AI94&lt;='Tariffs Jan2021'!M94,($C$5*'Tariffs Jan2021'!AK94/'Tariffs Jan2021'!AI94-'Tariffs Jan2021'!L94)*('Tariffs Jan2021'!R94/100)*'Tariffs Jan2021'!AI94,('Tariffs Jan2021'!M94-'Tariffs Jan2021'!L94)*('Tariffs Jan2021'!R94/100)*'Tariffs Jan2021'!AI94))</f>
        <v>0</v>
      </c>
      <c r="I100" s="69">
        <f>IF(($C$5*'Tariffs Jan2021'!AK94/'Tariffs Jan2021'!AI94&gt;'Tariffs Jan2021'!M94),($C$5*'Tariffs Jan2021'!AK94/'Tariffs Jan2021'!AI94-'Tariffs Jan2021'!M94)*'Tariffs Jan2021'!S94/100*'Tariffs Jan2021'!AI94,0)</f>
        <v>252.23740909090901</v>
      </c>
      <c r="J100" s="69">
        <f>IF($C$5*'Tariffs Jan2021'!AL94/'Tariffs Jan2021'!AJ94&gt;='Tariffs Jan2021'!J94,('Tariffs Jan2021'!J94*'Tariffs Jan2021'!U94/100)* 'Tariffs Jan2021'!AJ94,($C$5*'Tariffs Jan2021'!AL94/'Tariffs Jan2021'!AJ94*'Tariffs Jan2021'!U94/100)* 'Tariffs Jan2021'!AJ94)</f>
        <v>168</v>
      </c>
      <c r="K100" s="69">
        <f>IF($C$5*'Tariffs Jan2021'!AL94/'Tariffs Jan2021'!AJ94&lt;'Tariffs Jan2021'!J94,0,IF($C$5*'Tariffs Jan2021'!AL94/'Tariffs Jan2021'!AJ94&lt;='Tariffs Jan2021'!K94,($C$5*'Tariffs Jan2021'!AL94/'Tariffs Jan2021'!AJ94-'Tariffs Jan2021'!J94)*('Tariffs Jan2021'!V94/100)*'Tariffs Jan2021'!AJ94,('Tariffs Jan2021'!K94-'Tariffs Jan2021'!J94)*('Tariffs Jan2021'!V94/100)*'Tariffs Jan2021'!AJ94))</f>
        <v>0</v>
      </c>
      <c r="L100" s="69">
        <f>IF($C$5*'Tariffs Jan2021'!AL94/'Tariffs Jan2021'!AJ94&lt;'Tariffs Jan2021'!K94,0,IF($C$5*'Tariffs Jan2021'!AL94/'Tariffs Jan2021'!AJ94&lt;='Tariffs Jan2021'!L94,($C$5*'Tariffs Jan2021'!AL94/'Tariffs Jan2021'!AJ94-'Tariffs Jan2021'!K94)*('Tariffs Jan2021'!W94/100)*'Tariffs Jan2021'!AJ94,('Tariffs Jan2021'!L94-'Tariffs Jan2021'!K94)*('Tariffs Jan2021'!W94/100)*'Tariffs Jan2021'!AJ94))</f>
        <v>0</v>
      </c>
      <c r="M100" s="69">
        <f>IF($C$5*'Tariffs Jan2021'!AL94/'Tariffs Jan2021'!AJ94&lt;'Tariffs Jan2021'!L94,0,IF($C$5*'Tariffs Jan2021'!AL94/'Tariffs Jan2021'!AJ94&lt;='Tariffs Jan2021'!M94,($C$5*'Tariffs Jan2021'!AL94/'Tariffs Jan2021'!AJ94-'Tariffs Jan2021'!L94)*('Tariffs Jan2021'!X94/100)*'Tariffs Jan2021'!AJ94,('Tariffs Jan2021'!M94-'Tariffs Jan2021'!L94)*('Tariffs Jan2021'!X94/100)*'Tariffs Jan2021'!AJ94))</f>
        <v>0</v>
      </c>
      <c r="N100" s="69">
        <f>IF(($C$5*'Tariffs Jan2021'!AL94/'Tariffs Jan2021'!AJ94&gt;'Tariffs Jan2021'!M94),($C$5*'Tariffs Jan2021'!AL94/'Tariffs Jan2021'!AJ94-'Tariffs Jan2021'!M94)*'Tariffs Jan2021'!Y94/100*'Tariffs Jan2021'!AJ94,0)</f>
        <v>384.49161818181813</v>
      </c>
      <c r="O100" s="59">
        <f t="shared" si="72"/>
        <v>920.36539090909071</v>
      </c>
      <c r="P100" s="503">
        <f t="shared" si="56"/>
        <v>1012.4019299999999</v>
      </c>
      <c r="Q100" s="59">
        <f t="shared" si="73"/>
        <v>1151.3108454545452</v>
      </c>
      <c r="R100" s="272">
        <f t="shared" si="74"/>
        <v>1266.4419299999997</v>
      </c>
      <c r="S100" s="40">
        <f>'Tariffs Jan2021'!AN94</f>
        <v>0</v>
      </c>
      <c r="T100" s="40">
        <f>'Tariffs Jan2021'!AO94</f>
        <v>0</v>
      </c>
      <c r="U100" s="40">
        <f>'Tariffs Jan2021'!AP94</f>
        <v>0</v>
      </c>
      <c r="V100" s="40">
        <f>'Tariffs Jan2021'!AQ94</f>
        <v>0</v>
      </c>
      <c r="W100" s="537" t="str">
        <f t="shared" si="60"/>
        <v>No discount</v>
      </c>
      <c r="X100" s="538" t="str">
        <f t="shared" si="61"/>
        <v>Inclusive</v>
      </c>
      <c r="Y100" s="534">
        <f t="shared" si="70"/>
        <v>1151.3108454545452</v>
      </c>
      <c r="Z100" s="535">
        <f t="shared" si="71"/>
        <v>1151.3108454545452</v>
      </c>
      <c r="AA100" s="542">
        <f t="shared" si="75"/>
        <v>1266.4419299999997</v>
      </c>
      <c r="AB100" s="542">
        <f t="shared" si="75"/>
        <v>1266.4419299999997</v>
      </c>
      <c r="AC100" s="274">
        <f>'Tariffs Jan2021'!AZ94</f>
        <v>0</v>
      </c>
      <c r="AD100" s="274" t="str">
        <f>'Tariffs Jan2021'!BA94</f>
        <v>n</v>
      </c>
      <c r="AE100" s="275" t="str">
        <f>'Tariffs Jan2021'!BJ94</f>
        <v>N</v>
      </c>
      <c r="AF100" s="516"/>
      <c r="AG100" s="516"/>
      <c r="AH100" s="516"/>
      <c r="AI100" s="516"/>
      <c r="AJ100" s="516"/>
      <c r="AK100" s="516"/>
      <c r="AL100" s="516"/>
      <c r="AM100" s="516"/>
      <c r="AN100" s="516"/>
      <c r="AO100" s="516"/>
      <c r="AP100" s="516"/>
      <c r="AQ100" s="516"/>
      <c r="AR100" s="516"/>
      <c r="AS100" s="516"/>
      <c r="AT100" s="516"/>
      <c r="AU100" s="516"/>
      <c r="AV100" s="516"/>
      <c r="AW100" s="516"/>
      <c r="AX100" s="516"/>
      <c r="AY100" s="516"/>
      <c r="AZ100" s="516"/>
    </row>
    <row r="101" spans="1:52" ht="14" x14ac:dyDescent="0.15">
      <c r="A101" s="270" t="str">
        <f>'Tariffs Jan2021'!F95</f>
        <v>Red Energy</v>
      </c>
      <c r="B101" s="40" t="str">
        <f>'Tariffs Jan2021'!D95</f>
        <v>AusNet Services West</v>
      </c>
      <c r="C101" s="40" t="str">
        <f>'Tariffs Jan2021'!G95</f>
        <v>Living Energy Saver</v>
      </c>
      <c r="D101" s="59">
        <f>365*'Tariffs Jan2021'!H95/100</f>
        <v>271.02909090909088</v>
      </c>
      <c r="E101" s="59">
        <f>IF($C$5*'Tariffs Jan2021'!AK95/'Tariffs Jan2021'!AI95&gt;='Tariffs Jan2021'!J95,( 'Tariffs Jan2021'!J95*'Tariffs Jan2021'!O95/100)* 'Tariffs Jan2021'!AI95,($C$5*'Tariffs Jan2021'!AK95/'Tariffs Jan2021'!AI95*'Tariffs Jan2021'!O95/100)* 'Tariffs Jan2021'!AI95)</f>
        <v>232.36363636363632</v>
      </c>
      <c r="F101" s="59">
        <f>IF($C$5*'Tariffs Jan2021'!AK95/'Tariffs Jan2021'!AI95&lt;'Tariffs Jan2021'!J95,0,IF($C$5*'Tariffs Jan2021'!AK95/'Tariffs Jan2021'!AI95&lt;='Tariffs Jan2021'!K95,($C$5*'Tariffs Jan2021'!AK95/'Tariffs Jan2021'!AI95-'Tariffs Jan2021'!J95)*('Tariffs Jan2021'!P95/100)*'Tariffs Jan2021'!AI95,('Tariffs Jan2021'!K95-'Tariffs Jan2021'!J95)*('Tariffs Jan2021'!P95/100)*'Tariffs Jan2021'!AI95))</f>
        <v>161.96219999999994</v>
      </c>
      <c r="G101" s="59">
        <f>IF($C$5*'Tariffs Jan2021'!AK95/'Tariffs Jan2021'!AI95&lt;'Tariffs Jan2021'!K95,0,IF($C$5*'Tariffs Jan2021'!AK95/'Tariffs Jan2021'!AI95&lt;='Tariffs Jan2021'!L95,($C$5*'Tariffs Jan2021'!AK95/'Tariffs Jan2021'!AI95-'Tariffs Jan2021'!K95)*('Tariffs Jan2021'!Q95/100)*'Tariffs Jan2021'!AI95,('Tariffs Jan2021'!L95-'Tariffs Jan2021'!K95)*('Tariffs Jan2021'!Q95/100)*'Tariffs Jan2021'!AI95))</f>
        <v>0</v>
      </c>
      <c r="H101" s="59">
        <f>IF($C$5*'Tariffs Jan2021'!AK95/'Tariffs Jan2021'!AI95&lt;'Tariffs Jan2021'!L95,0,IF($C$5*'Tariffs Jan2021'!AK95/'Tariffs Jan2021'!AI95&lt;='Tariffs Jan2021'!M95,($C$5*'Tariffs Jan2021'!AK95/'Tariffs Jan2021'!AI95-'Tariffs Jan2021'!L95)*('Tariffs Jan2021'!R95/100)*'Tariffs Jan2021'!AI95,('Tariffs Jan2021'!M95-'Tariffs Jan2021'!L95)*('Tariffs Jan2021'!R95/100)*'Tariffs Jan2021'!AI95))</f>
        <v>0</v>
      </c>
      <c r="I101" s="69">
        <f>IF(($C$5*'Tariffs Jan2021'!AK95/'Tariffs Jan2021'!AI95&gt;'Tariffs Jan2021'!M95),($C$5*'Tariffs Jan2021'!AK95/'Tariffs Jan2021'!AI95-'Tariffs Jan2021'!M95)*'Tariffs Jan2021'!S95/100*'Tariffs Jan2021'!AI95,0)</f>
        <v>0</v>
      </c>
      <c r="J101" s="69">
        <f>IF($C$5*'Tariffs Jan2021'!AL95/'Tariffs Jan2021'!AJ95&gt;='Tariffs Jan2021'!J95,('Tariffs Jan2021'!J95*'Tariffs Jan2021'!U95/100)* 'Tariffs Jan2021'!AJ95,($C$5*'Tariffs Jan2021'!AL95/'Tariffs Jan2021'!AJ95*'Tariffs Jan2021'!U95/100)* 'Tariffs Jan2021'!AJ95)</f>
        <v>431.99999999999994</v>
      </c>
      <c r="K101" s="69">
        <f>IF($C$5*'Tariffs Jan2021'!AL95/'Tariffs Jan2021'!AJ95&lt;'Tariffs Jan2021'!J95,0,IF($C$5*'Tariffs Jan2021'!AL95/'Tariffs Jan2021'!AJ95&lt;='Tariffs Jan2021'!K95,($C$5*'Tariffs Jan2021'!AL95/'Tariffs Jan2021'!AJ95-'Tariffs Jan2021'!J95)*('Tariffs Jan2021'!V95/100)*'Tariffs Jan2021'!AJ95,('Tariffs Jan2021'!K95-'Tariffs Jan2021'!J95)*('Tariffs Jan2021'!V95/100)*'Tariffs Jan2021'!AJ95))</f>
        <v>315.74449090909081</v>
      </c>
      <c r="L101" s="69">
        <f>IF($C$5*'Tariffs Jan2021'!AL95/'Tariffs Jan2021'!AJ95&lt;'Tariffs Jan2021'!K95,0,IF($C$5*'Tariffs Jan2021'!AL95/'Tariffs Jan2021'!AJ95&lt;='Tariffs Jan2021'!L95,($C$5*'Tariffs Jan2021'!AL95/'Tariffs Jan2021'!AJ95-'Tariffs Jan2021'!K95)*('Tariffs Jan2021'!W95/100)*'Tariffs Jan2021'!AJ95,('Tariffs Jan2021'!L95-'Tariffs Jan2021'!K95)*('Tariffs Jan2021'!W95/100)*'Tariffs Jan2021'!AJ95))</f>
        <v>0</v>
      </c>
      <c r="M101" s="69">
        <f>IF($C$5*'Tariffs Jan2021'!AL95/'Tariffs Jan2021'!AJ95&lt;'Tariffs Jan2021'!L95,0,IF($C$5*'Tariffs Jan2021'!AL95/'Tariffs Jan2021'!AJ95&lt;='Tariffs Jan2021'!M95,($C$5*'Tariffs Jan2021'!AL95/'Tariffs Jan2021'!AJ95-'Tariffs Jan2021'!L95)*('Tariffs Jan2021'!X95/100)*'Tariffs Jan2021'!AJ95,('Tariffs Jan2021'!M95-'Tariffs Jan2021'!L95)*('Tariffs Jan2021'!X95/100)*'Tariffs Jan2021'!AJ95))</f>
        <v>0</v>
      </c>
      <c r="N101" s="69">
        <f>IF(($C$5*'Tariffs Jan2021'!AL95/'Tariffs Jan2021'!AJ95&gt;'Tariffs Jan2021'!M95),($C$5*'Tariffs Jan2021'!AL95/'Tariffs Jan2021'!AJ95-'Tariffs Jan2021'!M95)*'Tariffs Jan2021'!Y95/100*'Tariffs Jan2021'!AJ95,0)</f>
        <v>0</v>
      </c>
      <c r="O101" s="59">
        <f t="shared" si="72"/>
        <v>1142.0703272727269</v>
      </c>
      <c r="P101" s="503">
        <f t="shared" si="56"/>
        <v>1256.2773599999996</v>
      </c>
      <c r="Q101" s="59">
        <f t="shared" si="73"/>
        <v>1413.0994181818178</v>
      </c>
      <c r="R101" s="272">
        <f t="shared" si="74"/>
        <v>1554.4093599999997</v>
      </c>
      <c r="S101" s="40">
        <f>'Tariffs Jan2021'!AN95</f>
        <v>0</v>
      </c>
      <c r="T101" s="40">
        <f>'Tariffs Jan2021'!AO95</f>
        <v>0</v>
      </c>
      <c r="U101" s="40">
        <f>'Tariffs Jan2021'!AP95</f>
        <v>0</v>
      </c>
      <c r="V101" s="40">
        <f>'Tariffs Jan2021'!AQ95</f>
        <v>0</v>
      </c>
      <c r="W101" s="537" t="str">
        <f t="shared" si="60"/>
        <v>No discount</v>
      </c>
      <c r="X101" s="538" t="str">
        <f t="shared" si="61"/>
        <v>Inclusive</v>
      </c>
      <c r="Y101" s="534">
        <f t="shared" si="70"/>
        <v>1413.0994181818178</v>
      </c>
      <c r="Z101" s="535">
        <f t="shared" si="71"/>
        <v>1413.0994181818178</v>
      </c>
      <c r="AA101" s="542">
        <f t="shared" si="75"/>
        <v>1554.4093599999997</v>
      </c>
      <c r="AB101" s="542">
        <f t="shared" si="75"/>
        <v>1554.4093599999997</v>
      </c>
      <c r="AC101" s="274">
        <f>'Tariffs Jan2021'!AZ95</f>
        <v>0</v>
      </c>
      <c r="AD101" s="274" t="str">
        <f>'Tariffs Jan2021'!BA95</f>
        <v>n</v>
      </c>
      <c r="AE101" s="275" t="str">
        <f>'Tariffs Jan2021'!BJ95</f>
        <v>N</v>
      </c>
      <c r="AF101" s="516"/>
      <c r="AG101" s="516"/>
      <c r="AH101" s="516"/>
      <c r="AI101" s="516"/>
      <c r="AJ101" s="516"/>
      <c r="AK101" s="516"/>
      <c r="AL101" s="516"/>
      <c r="AM101" s="516"/>
      <c r="AN101" s="516"/>
      <c r="AO101" s="516"/>
      <c r="AP101" s="516"/>
      <c r="AQ101" s="516"/>
      <c r="AR101" s="516"/>
      <c r="AS101" s="516"/>
      <c r="AT101" s="516"/>
      <c r="AU101" s="516"/>
      <c r="AV101" s="516"/>
      <c r="AW101" s="516"/>
      <c r="AX101" s="516"/>
      <c r="AY101" s="516"/>
      <c r="AZ101" s="516"/>
    </row>
    <row r="102" spans="1:52" ht="14" x14ac:dyDescent="0.15">
      <c r="A102" s="270" t="str">
        <f>'Tariffs Jan2021'!F96</f>
        <v>Simply Energy</v>
      </c>
      <c r="B102" s="40" t="str">
        <f>'Tariffs Jan2021'!D96</f>
        <v>AusNet Services West</v>
      </c>
      <c r="C102" s="40" t="str">
        <f>'Tariffs Jan2021'!G96</f>
        <v>Blue</v>
      </c>
      <c r="D102" s="59">
        <f>365*'Tariffs Jan2021'!H96/100</f>
        <v>338.06300000000005</v>
      </c>
      <c r="E102" s="59">
        <f>IF($C$5*'Tariffs Jan2021'!AK96/'Tariffs Jan2021'!AI96&gt;='Tariffs Jan2021'!J96,( 'Tariffs Jan2021'!J96*'Tariffs Jan2021'!O96/100)* 'Tariffs Jan2021'!AI96,($C$5*'Tariffs Jan2021'!AK96/'Tariffs Jan2021'!AI96*'Tariffs Jan2021'!O96/100)* 'Tariffs Jan2021'!AI96)</f>
        <v>289.2</v>
      </c>
      <c r="F102" s="59">
        <f>IF($C$5*'Tariffs Jan2021'!AK96/'Tariffs Jan2021'!AI96&lt;'Tariffs Jan2021'!J96,0,IF($C$5*'Tariffs Jan2021'!AK96/'Tariffs Jan2021'!AI96&lt;='Tariffs Jan2021'!K96,($C$5*'Tariffs Jan2021'!AK96/'Tariffs Jan2021'!AI96-'Tariffs Jan2021'!J96)*('Tariffs Jan2021'!P96/100)*'Tariffs Jan2021'!AI96,('Tariffs Jan2021'!K96-'Tariffs Jan2021'!J96)*('Tariffs Jan2021'!P96/100)*'Tariffs Jan2021'!AI96))</f>
        <v>184.45694999999992</v>
      </c>
      <c r="G102" s="59">
        <f>IF($C$5*'Tariffs Jan2021'!AK96/'Tariffs Jan2021'!AI96&lt;'Tariffs Jan2021'!K96,0,IF($C$5*'Tariffs Jan2021'!AK96/'Tariffs Jan2021'!AI96&lt;='Tariffs Jan2021'!L96,($C$5*'Tariffs Jan2021'!AK96/'Tariffs Jan2021'!AI96-'Tariffs Jan2021'!K96)*('Tariffs Jan2021'!Q96/100)*'Tariffs Jan2021'!AI96,('Tariffs Jan2021'!L96-'Tariffs Jan2021'!K96)*('Tariffs Jan2021'!Q96/100)*'Tariffs Jan2021'!AI96))</f>
        <v>0</v>
      </c>
      <c r="H102" s="59">
        <f>IF($C$5*'Tariffs Jan2021'!AK96/'Tariffs Jan2021'!AI96&lt;'Tariffs Jan2021'!L96,0,IF($C$5*'Tariffs Jan2021'!AK96/'Tariffs Jan2021'!AI96&lt;='Tariffs Jan2021'!M96,($C$5*'Tariffs Jan2021'!AK96/'Tariffs Jan2021'!AI96-'Tariffs Jan2021'!L96)*('Tariffs Jan2021'!R96/100)*'Tariffs Jan2021'!AI96,('Tariffs Jan2021'!M96-'Tariffs Jan2021'!L96)*('Tariffs Jan2021'!R96/100)*'Tariffs Jan2021'!AI96))</f>
        <v>0</v>
      </c>
      <c r="I102" s="69">
        <f>IF(($C$5*'Tariffs Jan2021'!AK96/'Tariffs Jan2021'!AI96&gt;'Tariffs Jan2021'!M96),($C$5*'Tariffs Jan2021'!AK96/'Tariffs Jan2021'!AI96-'Tariffs Jan2021'!M96)*'Tariffs Jan2021'!S96/100*'Tariffs Jan2021'!AI96,0)</f>
        <v>0</v>
      </c>
      <c r="J102" s="69">
        <f>IF($C$5*'Tariffs Jan2021'!AL96/'Tariffs Jan2021'!AJ96&gt;='Tariffs Jan2021'!J96,('Tariffs Jan2021'!J96*'Tariffs Jan2021'!U96/100)* 'Tariffs Jan2021'!AJ96,($C$5*'Tariffs Jan2021'!AL96/'Tariffs Jan2021'!AJ96*'Tariffs Jan2021'!U96/100)* 'Tariffs Jan2021'!AJ96)</f>
        <v>436.8</v>
      </c>
      <c r="K102" s="69">
        <f>IF($C$5*'Tariffs Jan2021'!AL96/'Tariffs Jan2021'!AJ96&lt;'Tariffs Jan2021'!J96,0,IF($C$5*'Tariffs Jan2021'!AL96/'Tariffs Jan2021'!AJ96&lt;='Tariffs Jan2021'!K96,($C$5*'Tariffs Jan2021'!AL96/'Tariffs Jan2021'!AJ96-'Tariffs Jan2021'!J96)*('Tariffs Jan2021'!V96/100)*'Tariffs Jan2021'!AJ96,('Tariffs Jan2021'!K96-'Tariffs Jan2021'!J96)*('Tariffs Jan2021'!V96/100)*'Tariffs Jan2021'!AJ96))</f>
        <v>316.72607999999997</v>
      </c>
      <c r="L102" s="69">
        <f>IF($C$5*'Tariffs Jan2021'!AL96/'Tariffs Jan2021'!AJ96&lt;'Tariffs Jan2021'!K96,0,IF($C$5*'Tariffs Jan2021'!AL96/'Tariffs Jan2021'!AJ96&lt;='Tariffs Jan2021'!L96,($C$5*'Tariffs Jan2021'!AL96/'Tariffs Jan2021'!AJ96-'Tariffs Jan2021'!K96)*('Tariffs Jan2021'!W96/100)*'Tariffs Jan2021'!AJ96,('Tariffs Jan2021'!L96-'Tariffs Jan2021'!K96)*('Tariffs Jan2021'!W96/100)*'Tariffs Jan2021'!AJ96))</f>
        <v>0</v>
      </c>
      <c r="M102" s="69">
        <f>IF($C$5*'Tariffs Jan2021'!AL96/'Tariffs Jan2021'!AJ96&lt;'Tariffs Jan2021'!L96,0,IF($C$5*'Tariffs Jan2021'!AL96/'Tariffs Jan2021'!AJ96&lt;='Tariffs Jan2021'!M96,($C$5*'Tariffs Jan2021'!AL96/'Tariffs Jan2021'!AJ96-'Tariffs Jan2021'!L96)*('Tariffs Jan2021'!X96/100)*'Tariffs Jan2021'!AJ96,('Tariffs Jan2021'!M96-'Tariffs Jan2021'!L96)*('Tariffs Jan2021'!X96/100)*'Tariffs Jan2021'!AJ96))</f>
        <v>0</v>
      </c>
      <c r="N102" s="69">
        <f>IF(($C$5*'Tariffs Jan2021'!AL96/'Tariffs Jan2021'!AJ96&gt;'Tariffs Jan2021'!M96),($C$5*'Tariffs Jan2021'!AL96/'Tariffs Jan2021'!AJ96-'Tariffs Jan2021'!M96)*'Tariffs Jan2021'!Y96/100*'Tariffs Jan2021'!AJ96,0)</f>
        <v>0</v>
      </c>
      <c r="O102" s="59">
        <f t="shared" si="72"/>
        <v>1227.1830299999999</v>
      </c>
      <c r="P102" s="503">
        <f t="shared" si="56"/>
        <v>1349.901333</v>
      </c>
      <c r="Q102" s="59">
        <f t="shared" si="73"/>
        <v>1565.24603</v>
      </c>
      <c r="R102" s="272">
        <f t="shared" si="74"/>
        <v>1721.7706330000001</v>
      </c>
      <c r="S102" s="40">
        <f>'Tariffs Jan2021'!AN96</f>
        <v>21</v>
      </c>
      <c r="T102" s="40">
        <f>'Tariffs Jan2021'!AO96</f>
        <v>0</v>
      </c>
      <c r="U102" s="40">
        <f>'Tariffs Jan2021'!AP96</f>
        <v>0</v>
      </c>
      <c r="V102" s="40">
        <f>'Tariffs Jan2021'!AQ96</f>
        <v>0</v>
      </c>
      <c r="W102" s="537" t="str">
        <f t="shared" si="60"/>
        <v>Guaranteed off bill</v>
      </c>
      <c r="X102" s="538" t="str">
        <f t="shared" si="61"/>
        <v>Exclusive</v>
      </c>
      <c r="Y102" s="534">
        <f t="shared" si="70"/>
        <v>1236.5443637000001</v>
      </c>
      <c r="Z102" s="535">
        <f t="shared" si="71"/>
        <v>1236.5443637000001</v>
      </c>
      <c r="AA102" s="542">
        <f t="shared" si="75"/>
        <v>1360.1988000700003</v>
      </c>
      <c r="AB102" s="542">
        <f t="shared" si="75"/>
        <v>1360.1988000700003</v>
      </c>
      <c r="AC102" s="274">
        <f>'Tariffs Jan2021'!AZ96</f>
        <v>0</v>
      </c>
      <c r="AD102" s="274" t="str">
        <f>'Tariffs Jan2021'!BA96</f>
        <v>n</v>
      </c>
      <c r="AE102" s="275" t="str">
        <f>'Tariffs Jan2021'!BJ96</f>
        <v>N</v>
      </c>
      <c r="AF102" s="516"/>
      <c r="AG102" s="516"/>
      <c r="AH102" s="516"/>
      <c r="AI102" s="516"/>
      <c r="AJ102" s="516"/>
      <c r="AK102" s="516"/>
      <c r="AL102" s="516"/>
      <c r="AM102" s="516"/>
      <c r="AN102" s="516"/>
      <c r="AO102" s="516"/>
      <c r="AP102" s="516"/>
      <c r="AQ102" s="516"/>
      <c r="AR102" s="516"/>
      <c r="AS102" s="516"/>
      <c r="AT102" s="516"/>
      <c r="AU102" s="516"/>
      <c r="AV102" s="516"/>
      <c r="AW102" s="516"/>
      <c r="AX102" s="516"/>
      <c r="AY102" s="516"/>
      <c r="AZ102" s="516"/>
    </row>
    <row r="103" spans="1:52" ht="14" x14ac:dyDescent="0.15">
      <c r="A103" s="270" t="str">
        <f>'Tariffs Jan2021'!F97</f>
        <v>Sumo Power</v>
      </c>
      <c r="B103" s="40" t="str">
        <f>'Tariffs Jan2021'!D97</f>
        <v>AusNet Services West</v>
      </c>
      <c r="C103" s="40" t="str">
        <f>'Tariffs Jan2021'!G97</f>
        <v>Freedom</v>
      </c>
      <c r="D103" s="59">
        <f>365*'Tariffs Jan2021'!H97/100</f>
        <v>310.25</v>
      </c>
      <c r="E103" s="59">
        <f>IF($C$5*'Tariffs Jan2021'!AK97/'Tariffs Jan2021'!AI97&gt;='Tariffs Jan2021'!J97,( 'Tariffs Jan2021'!J97*'Tariffs Jan2021'!O97/100)* 'Tariffs Jan2021'!AI97,($C$5*'Tariffs Jan2021'!AK97/'Tariffs Jan2021'!AI97*'Tariffs Jan2021'!O97/100)* 'Tariffs Jan2021'!AI97)</f>
        <v>214.90909090909088</v>
      </c>
      <c r="F103" s="59">
        <f>IF($C$5*'Tariffs Jan2021'!AK97/'Tariffs Jan2021'!AI97&lt;'Tariffs Jan2021'!J97,0,IF($C$5*'Tariffs Jan2021'!AK97/'Tariffs Jan2021'!AI97&lt;='Tariffs Jan2021'!K97,($C$5*'Tariffs Jan2021'!AK97/'Tariffs Jan2021'!AI97-'Tariffs Jan2021'!J97)*('Tariffs Jan2021'!P97/100)*'Tariffs Jan2021'!AI97,('Tariffs Jan2021'!K97-'Tariffs Jan2021'!J97)*('Tariffs Jan2021'!P97/100)*'Tariffs Jan2021'!AI97))</f>
        <v>152.96429999999998</v>
      </c>
      <c r="G103" s="59">
        <f>IF($C$5*'Tariffs Jan2021'!AK97/'Tariffs Jan2021'!AI97&lt;'Tariffs Jan2021'!K97,0,IF($C$5*'Tariffs Jan2021'!AK97/'Tariffs Jan2021'!AI97&lt;='Tariffs Jan2021'!L97,($C$5*'Tariffs Jan2021'!AK97/'Tariffs Jan2021'!AI97-'Tariffs Jan2021'!K97)*('Tariffs Jan2021'!Q97/100)*'Tariffs Jan2021'!AI97,('Tariffs Jan2021'!L97-'Tariffs Jan2021'!K97)*('Tariffs Jan2021'!Q97/100)*'Tariffs Jan2021'!AI97))</f>
        <v>0</v>
      </c>
      <c r="H103" s="59">
        <f>IF($C$5*'Tariffs Jan2021'!AK97/'Tariffs Jan2021'!AI97&lt;'Tariffs Jan2021'!L97,0,IF($C$5*'Tariffs Jan2021'!AK97/'Tariffs Jan2021'!AI97&lt;='Tariffs Jan2021'!M97,($C$5*'Tariffs Jan2021'!AK97/'Tariffs Jan2021'!AI97-'Tariffs Jan2021'!L97)*('Tariffs Jan2021'!R97/100)*'Tariffs Jan2021'!AI97,('Tariffs Jan2021'!M97-'Tariffs Jan2021'!L97)*('Tariffs Jan2021'!R97/100)*'Tariffs Jan2021'!AI97))</f>
        <v>0</v>
      </c>
      <c r="I103" s="69">
        <f>IF(($C$5*'Tariffs Jan2021'!AK97/'Tariffs Jan2021'!AI97&gt;'Tariffs Jan2021'!M97),($C$5*'Tariffs Jan2021'!AK97/'Tariffs Jan2021'!AI97-'Tariffs Jan2021'!M97)*'Tariffs Jan2021'!S97/100*'Tariffs Jan2021'!AI97,0)</f>
        <v>0</v>
      </c>
      <c r="J103" s="69">
        <f>IF($C$5*'Tariffs Jan2021'!AL97/'Tariffs Jan2021'!AJ97&gt;='Tariffs Jan2021'!J97,('Tariffs Jan2021'!J97*'Tariffs Jan2021'!U97/100)* 'Tariffs Jan2021'!AJ97,($C$5*'Tariffs Jan2021'!AL97/'Tariffs Jan2021'!AJ97*'Tariffs Jan2021'!U97/100)* 'Tariffs Jan2021'!AJ97)</f>
        <v>392.72727272727275</v>
      </c>
      <c r="K103" s="69">
        <f>IF($C$5*'Tariffs Jan2021'!AL97/'Tariffs Jan2021'!AJ97&lt;'Tariffs Jan2021'!J97,0,IF($C$5*'Tariffs Jan2021'!AL97/'Tariffs Jan2021'!AJ97&lt;='Tariffs Jan2021'!K97,($C$5*'Tariffs Jan2021'!AL97/'Tariffs Jan2021'!AJ97-'Tariffs Jan2021'!J97)*('Tariffs Jan2021'!V97/100)*'Tariffs Jan2021'!AJ97,('Tariffs Jan2021'!K97-'Tariffs Jan2021'!J97)*('Tariffs Jan2021'!V97/100)*'Tariffs Jan2021'!AJ97))</f>
        <v>240.48932727272719</v>
      </c>
      <c r="L103" s="69">
        <f>IF($C$5*'Tariffs Jan2021'!AL97/'Tariffs Jan2021'!AJ97&lt;'Tariffs Jan2021'!K97,0,IF($C$5*'Tariffs Jan2021'!AL97/'Tariffs Jan2021'!AJ97&lt;='Tariffs Jan2021'!L97,($C$5*'Tariffs Jan2021'!AL97/'Tariffs Jan2021'!AJ97-'Tariffs Jan2021'!K97)*('Tariffs Jan2021'!W97/100)*'Tariffs Jan2021'!AJ97,('Tariffs Jan2021'!L97-'Tariffs Jan2021'!K97)*('Tariffs Jan2021'!W97/100)*'Tariffs Jan2021'!AJ97))</f>
        <v>0</v>
      </c>
      <c r="M103" s="69">
        <f>IF($C$5*'Tariffs Jan2021'!AL97/'Tariffs Jan2021'!AJ97&lt;'Tariffs Jan2021'!L97,0,IF($C$5*'Tariffs Jan2021'!AL97/'Tariffs Jan2021'!AJ97&lt;='Tariffs Jan2021'!M97,($C$5*'Tariffs Jan2021'!AL97/'Tariffs Jan2021'!AJ97-'Tariffs Jan2021'!L97)*('Tariffs Jan2021'!X97/100)*'Tariffs Jan2021'!AJ97,('Tariffs Jan2021'!M97-'Tariffs Jan2021'!L97)*('Tariffs Jan2021'!X97/100)*'Tariffs Jan2021'!AJ97))</f>
        <v>0</v>
      </c>
      <c r="N103" s="69">
        <f>IF(($C$5*'Tariffs Jan2021'!AL97/'Tariffs Jan2021'!AJ97&gt;'Tariffs Jan2021'!M97),($C$5*'Tariffs Jan2021'!AL97/'Tariffs Jan2021'!AJ97-'Tariffs Jan2021'!M97)*'Tariffs Jan2021'!Y97/100*'Tariffs Jan2021'!AJ97,0)</f>
        <v>0</v>
      </c>
      <c r="O103" s="59">
        <f t="shared" si="72"/>
        <v>1001.0899909090908</v>
      </c>
      <c r="P103" s="503">
        <f t="shared" si="56"/>
        <v>1101.1989900000001</v>
      </c>
      <c r="Q103" s="59">
        <f t="shared" si="73"/>
        <v>1311.3399909090908</v>
      </c>
      <c r="R103" s="272">
        <f t="shared" si="74"/>
        <v>1442.47399</v>
      </c>
      <c r="S103" s="40">
        <f>'Tariffs Jan2021'!AN97</f>
        <v>0</v>
      </c>
      <c r="T103" s="40">
        <f>'Tariffs Jan2021'!AO97</f>
        <v>0</v>
      </c>
      <c r="U103" s="40">
        <f>'Tariffs Jan2021'!AP97</f>
        <v>0</v>
      </c>
      <c r="V103" s="40">
        <f>'Tariffs Jan2021'!AQ97</f>
        <v>0</v>
      </c>
      <c r="W103" s="537" t="str">
        <f t="shared" si="60"/>
        <v>No discount</v>
      </c>
      <c r="X103" s="538" t="str">
        <f t="shared" si="61"/>
        <v>Exclusive</v>
      </c>
      <c r="Y103" s="534">
        <f t="shared" si="70"/>
        <v>1311.3399909090908</v>
      </c>
      <c r="Z103" s="535">
        <f t="shared" si="71"/>
        <v>1311.3399909090908</v>
      </c>
      <c r="AA103" s="542">
        <f t="shared" si="75"/>
        <v>1442.47399</v>
      </c>
      <c r="AB103" s="542">
        <f t="shared" si="75"/>
        <v>1442.47399</v>
      </c>
      <c r="AC103" s="274">
        <f>'Tariffs Jan2021'!AZ97</f>
        <v>0</v>
      </c>
      <c r="AD103" s="274" t="str">
        <f>'Tariffs Jan2021'!BA97</f>
        <v>n</v>
      </c>
      <c r="AE103" s="275" t="str">
        <f>'Tariffs Jan2021'!BJ97</f>
        <v>Y</v>
      </c>
      <c r="AF103" s="516"/>
      <c r="AG103" s="516"/>
      <c r="AH103" s="516"/>
      <c r="AI103" s="516"/>
      <c r="AJ103" s="516"/>
      <c r="AK103" s="516"/>
      <c r="AL103" s="516"/>
      <c r="AM103" s="516"/>
      <c r="AN103" s="516"/>
      <c r="AO103" s="516"/>
      <c r="AP103" s="516"/>
      <c r="AQ103" s="516"/>
      <c r="AR103" s="516"/>
      <c r="AS103" s="516"/>
      <c r="AT103" s="516"/>
      <c r="AU103" s="516"/>
      <c r="AV103" s="516"/>
      <c r="AW103" s="516"/>
      <c r="AX103" s="516"/>
      <c r="AY103" s="516"/>
      <c r="AZ103" s="516"/>
    </row>
    <row r="104" spans="1:52" ht="14" x14ac:dyDescent="0.15">
      <c r="A104" s="270" t="str">
        <f>'Tariffs Jan2021'!F98</f>
        <v>GloBird Energy</v>
      </c>
      <c r="B104" s="40" t="str">
        <f>'Tariffs Jan2021'!D98</f>
        <v>AusNet Services West</v>
      </c>
      <c r="C104" s="40" t="str">
        <f>'Tariffs Jan2021'!G98</f>
        <v>GloSave</v>
      </c>
      <c r="D104" s="59">
        <f>365*'Tariffs Jan2021'!H98/100</f>
        <v>284.7</v>
      </c>
      <c r="E104" s="59">
        <f>IF($C$5*'Tariffs Jan2021'!AK98/'Tariffs Jan2021'!AI98&gt;='Tariffs Jan2021'!J98,( 'Tariffs Jan2021'!J98*'Tariffs Jan2021'!O98/100)* 'Tariffs Jan2021'!AI98,($C$5*'Tariffs Jan2021'!AK98/'Tariffs Jan2021'!AI98*'Tariffs Jan2021'!O98/100)* 'Tariffs Jan2021'!AI98)</f>
        <v>187.6363636363636</v>
      </c>
      <c r="F104" s="59">
        <f>IF($C$5*'Tariffs Jan2021'!AK98/'Tariffs Jan2021'!AI98&lt;'Tariffs Jan2021'!J98,0,IF($C$5*'Tariffs Jan2021'!AK98/'Tariffs Jan2021'!AI98&lt;='Tariffs Jan2021'!K98,($C$5*'Tariffs Jan2021'!AK98/'Tariffs Jan2021'!AI98-'Tariffs Jan2021'!J98)*('Tariffs Jan2021'!P98/100)*'Tariffs Jan2021'!AI98,('Tariffs Jan2021'!K98-'Tariffs Jan2021'!J98)*('Tariffs Jan2021'!P98/100)*'Tariffs Jan2021'!AI98))</f>
        <v>0</v>
      </c>
      <c r="G104" s="59">
        <f>IF($C$5*'Tariffs Jan2021'!AK98/'Tariffs Jan2021'!AI98&lt;'Tariffs Jan2021'!K98,0,IF($C$5*'Tariffs Jan2021'!AK98/'Tariffs Jan2021'!AI98&lt;='Tariffs Jan2021'!L98,($C$5*'Tariffs Jan2021'!AK98/'Tariffs Jan2021'!AI98-'Tariffs Jan2021'!K98)*('Tariffs Jan2021'!Q98/100)*'Tariffs Jan2021'!AI98,('Tariffs Jan2021'!L98-'Tariffs Jan2021'!K98)*('Tariffs Jan2021'!Q98/100)*'Tariffs Jan2021'!AI98))</f>
        <v>0</v>
      </c>
      <c r="H104" s="59">
        <f>IF($C$5*'Tariffs Jan2021'!AK98/'Tariffs Jan2021'!AI98&lt;'Tariffs Jan2021'!L98,0,IF($C$5*'Tariffs Jan2021'!AK98/'Tariffs Jan2021'!AI98&lt;='Tariffs Jan2021'!M98,($C$5*'Tariffs Jan2021'!AK98/'Tariffs Jan2021'!AI98-'Tariffs Jan2021'!L98)*('Tariffs Jan2021'!R98/100)*'Tariffs Jan2021'!AI98,('Tariffs Jan2021'!M98-'Tariffs Jan2021'!L98)*('Tariffs Jan2021'!R98/100)*'Tariffs Jan2021'!AI98))</f>
        <v>0</v>
      </c>
      <c r="I104" s="69">
        <f>IF(($C$5*'Tariffs Jan2021'!AK98/'Tariffs Jan2021'!AI98&gt;'Tariffs Jan2021'!M98),($C$5*'Tariffs Jan2021'!AK98/'Tariffs Jan2021'!AI98-'Tariffs Jan2021'!M98)*'Tariffs Jan2021'!S98/100*'Tariffs Jan2021'!AI98,0)</f>
        <v>125.97059999999996</v>
      </c>
      <c r="J104" s="69">
        <f>IF($C$5*'Tariffs Jan2021'!AL98/'Tariffs Jan2021'!AJ98&gt;='Tariffs Jan2021'!J98,('Tariffs Jan2021'!J98*'Tariffs Jan2021'!U98/100)* 'Tariffs Jan2021'!AJ98,($C$5*'Tariffs Jan2021'!AL98/'Tariffs Jan2021'!AJ98*'Tariffs Jan2021'!U98/100)* 'Tariffs Jan2021'!AJ98)</f>
        <v>375.2727272727272</v>
      </c>
      <c r="K104" s="69">
        <f>IF($C$5*'Tariffs Jan2021'!AL98/'Tariffs Jan2021'!AJ98&lt;'Tariffs Jan2021'!J98,0,IF($C$5*'Tariffs Jan2021'!AL98/'Tariffs Jan2021'!AJ98&lt;='Tariffs Jan2021'!K98,($C$5*'Tariffs Jan2021'!AL98/'Tariffs Jan2021'!AJ98-'Tariffs Jan2021'!J98)*('Tariffs Jan2021'!V98/100)*'Tariffs Jan2021'!AJ98,('Tariffs Jan2021'!K98-'Tariffs Jan2021'!J98)*('Tariffs Jan2021'!V98/100)*'Tariffs Jan2021'!AJ98))</f>
        <v>0</v>
      </c>
      <c r="L104" s="69">
        <f>IF($C$5*'Tariffs Jan2021'!AL98/'Tariffs Jan2021'!AJ98&lt;'Tariffs Jan2021'!K98,0,IF($C$5*'Tariffs Jan2021'!AL98/'Tariffs Jan2021'!AJ98&lt;='Tariffs Jan2021'!L98,($C$5*'Tariffs Jan2021'!AL98/'Tariffs Jan2021'!AJ98-'Tariffs Jan2021'!K98)*('Tariffs Jan2021'!W98/100)*'Tariffs Jan2021'!AJ98,('Tariffs Jan2021'!L98-'Tariffs Jan2021'!K98)*('Tariffs Jan2021'!W98/100)*'Tariffs Jan2021'!AJ98))</f>
        <v>0</v>
      </c>
      <c r="M104" s="69">
        <f>IF($C$5*'Tariffs Jan2021'!AL98/'Tariffs Jan2021'!AJ98&lt;'Tariffs Jan2021'!L98,0,IF($C$5*'Tariffs Jan2021'!AL98/'Tariffs Jan2021'!AJ98&lt;='Tariffs Jan2021'!M98,($C$5*'Tariffs Jan2021'!AL98/'Tariffs Jan2021'!AJ98-'Tariffs Jan2021'!L98)*('Tariffs Jan2021'!X98/100)*'Tariffs Jan2021'!AJ98,('Tariffs Jan2021'!M98-'Tariffs Jan2021'!L98)*('Tariffs Jan2021'!X98/100)*'Tariffs Jan2021'!AJ98))</f>
        <v>0</v>
      </c>
      <c r="N104" s="69">
        <f>IF(($C$5*'Tariffs Jan2021'!AL98/'Tariffs Jan2021'!AJ98&gt;'Tariffs Jan2021'!M98),($C$5*'Tariffs Jan2021'!AL98/'Tariffs Jan2021'!AJ98-'Tariffs Jan2021'!M98)*'Tariffs Jan2021'!Y98/100*'Tariffs Jan2021'!AJ98,0)</f>
        <v>219.22156363636361</v>
      </c>
      <c r="O104" s="59">
        <f t="shared" si="72"/>
        <v>908.10125454545437</v>
      </c>
      <c r="P104" s="503">
        <f t="shared" si="56"/>
        <v>998.91137999999989</v>
      </c>
      <c r="Q104" s="59">
        <f t="shared" si="73"/>
        <v>1192.8012545454544</v>
      </c>
      <c r="R104" s="272">
        <f t="shared" si="74"/>
        <v>1312.0813799999999</v>
      </c>
      <c r="S104" s="40">
        <f>'Tariffs Jan2021'!AN98</f>
        <v>0</v>
      </c>
      <c r="T104" s="40">
        <f>'Tariffs Jan2021'!AO98</f>
        <v>0</v>
      </c>
      <c r="U104" s="40">
        <f>'Tariffs Jan2021'!AP98</f>
        <v>0</v>
      </c>
      <c r="V104" s="40">
        <f>'Tariffs Jan2021'!AQ98</f>
        <v>0</v>
      </c>
      <c r="W104" s="537" t="str">
        <f t="shared" si="60"/>
        <v>No discount</v>
      </c>
      <c r="X104" s="538" t="str">
        <f t="shared" si="61"/>
        <v>Exclusive</v>
      </c>
      <c r="Y104" s="534">
        <f t="shared" si="70"/>
        <v>1192.8012545454544</v>
      </c>
      <c r="Z104" s="535">
        <f t="shared" si="71"/>
        <v>1192.8012545454544</v>
      </c>
      <c r="AA104" s="542">
        <f t="shared" si="75"/>
        <v>1312.0813799999999</v>
      </c>
      <c r="AB104" s="542">
        <f t="shared" si="75"/>
        <v>1312.0813799999999</v>
      </c>
      <c r="AC104" s="274">
        <f>'Tariffs Jan2021'!AZ98</f>
        <v>0</v>
      </c>
      <c r="AD104" s="274" t="str">
        <f>'Tariffs Jan2021'!BA98</f>
        <v>n</v>
      </c>
      <c r="AE104" s="275" t="str">
        <f>'Tariffs Jan2021'!BJ98</f>
        <v>N</v>
      </c>
      <c r="AF104" s="516"/>
      <c r="AG104" s="516"/>
      <c r="AH104" s="516"/>
      <c r="AI104" s="516"/>
      <c r="AJ104" s="516"/>
      <c r="AK104" s="516"/>
      <c r="AL104" s="516"/>
      <c r="AM104" s="516"/>
      <c r="AN104" s="516"/>
      <c r="AO104" s="516"/>
      <c r="AP104" s="516"/>
      <c r="AQ104" s="516"/>
      <c r="AR104" s="516"/>
      <c r="AS104" s="516"/>
      <c r="AT104" s="516"/>
      <c r="AU104" s="516"/>
      <c r="AV104" s="516"/>
      <c r="AW104" s="516"/>
      <c r="AX104" s="516"/>
      <c r="AY104" s="516"/>
      <c r="AZ104" s="516"/>
    </row>
    <row r="105" spans="1:52" ht="14" x14ac:dyDescent="0.15">
      <c r="A105" s="270" t="str">
        <f>'Tariffs Jan2021'!F99</f>
        <v>Powershop</v>
      </c>
      <c r="B105" s="40" t="str">
        <f>'Tariffs Jan2021'!D99</f>
        <v>AusNet Services West</v>
      </c>
      <c r="C105" s="40" t="str">
        <f>'Tariffs Jan2021'!G99</f>
        <v>Market offer</v>
      </c>
      <c r="D105" s="59">
        <f>365*'Tariffs Jan2021'!H99/100</f>
        <v>275.57499999999999</v>
      </c>
      <c r="E105" s="59">
        <f>((C$5*'Tariffs Jan2021'!AK99/'Tariffs Jan2021'!AI99)*('Tariffs Jan2021'!O99/100))*'Tariffs Jan2021'!AI99</f>
        <v>341.69309999999996</v>
      </c>
      <c r="F105" s="59">
        <v>0</v>
      </c>
      <c r="G105" s="59">
        <v>0</v>
      </c>
      <c r="H105" s="59">
        <v>0</v>
      </c>
      <c r="I105" s="69">
        <v>0</v>
      </c>
      <c r="J105" s="69">
        <f>((C$5*'Tariffs Jan2021'!AL99/'Tariffs Jan2021'!AJ99)*('Tariffs Jan2021'!U99/100))*'Tariffs Jan2021'!AJ99</f>
        <v>614.66579999999999</v>
      </c>
      <c r="K105" s="69">
        <v>0</v>
      </c>
      <c r="L105" s="69">
        <v>0</v>
      </c>
      <c r="M105" s="69">
        <v>0</v>
      </c>
      <c r="N105" s="69">
        <v>0</v>
      </c>
      <c r="O105" s="59">
        <f t="shared" si="72"/>
        <v>956.35889999999995</v>
      </c>
      <c r="P105" s="503">
        <f t="shared" si="56"/>
        <v>1051.99479</v>
      </c>
      <c r="Q105" s="59">
        <f t="shared" si="73"/>
        <v>1231.9339</v>
      </c>
      <c r="R105" s="272">
        <f t="shared" si="74"/>
        <v>1355.1272900000001</v>
      </c>
      <c r="S105" s="40">
        <f>'Tariffs Jan2021'!AN99</f>
        <v>0</v>
      </c>
      <c r="T105" s="40">
        <f>'Tariffs Jan2021'!AO99</f>
        <v>0</v>
      </c>
      <c r="U105" s="40">
        <f>'Tariffs Jan2021'!AP99</f>
        <v>0</v>
      </c>
      <c r="V105" s="40">
        <f>'Tariffs Jan2021'!AQ99</f>
        <v>0</v>
      </c>
      <c r="W105" s="537" t="str">
        <f t="shared" si="60"/>
        <v>No discount</v>
      </c>
      <c r="X105" s="538" t="str">
        <f t="shared" si="61"/>
        <v>Inclusive</v>
      </c>
      <c r="Y105" s="534">
        <f t="shared" si="70"/>
        <v>1231.9339</v>
      </c>
      <c r="Z105" s="535">
        <f t="shared" si="71"/>
        <v>1231.9339</v>
      </c>
      <c r="AA105" s="542">
        <f t="shared" si="75"/>
        <v>1355.1272900000001</v>
      </c>
      <c r="AB105" s="542">
        <f t="shared" si="75"/>
        <v>1355.1272900000001</v>
      </c>
      <c r="AC105" s="274">
        <f>'Tariffs Jan2021'!AZ99</f>
        <v>0</v>
      </c>
      <c r="AD105" s="274" t="str">
        <f>'Tariffs Jan2021'!BA99</f>
        <v>n</v>
      </c>
      <c r="AE105" s="275" t="str">
        <f>'Tariffs Jan2021'!BJ99</f>
        <v>Y</v>
      </c>
      <c r="AF105" s="516"/>
      <c r="AG105" s="516"/>
      <c r="AH105" s="516"/>
      <c r="AI105" s="516"/>
      <c r="AJ105" s="516"/>
      <c r="AK105" s="516"/>
      <c r="AL105" s="516"/>
      <c r="AM105" s="516"/>
      <c r="AN105" s="516"/>
      <c r="AO105" s="516"/>
      <c r="AP105" s="516"/>
      <c r="AQ105" s="516"/>
      <c r="AR105" s="516"/>
      <c r="AS105" s="516"/>
      <c r="AT105" s="516"/>
      <c r="AU105" s="516"/>
      <c r="AV105" s="516"/>
      <c r="AW105" s="516"/>
      <c r="AX105" s="516"/>
      <c r="AY105" s="516"/>
      <c r="AZ105" s="516"/>
    </row>
    <row r="106" spans="1:52" ht="14" x14ac:dyDescent="0.15">
      <c r="A106" s="270" t="str">
        <f>'Tariffs Jan2021'!F100</f>
        <v>1st Energy</v>
      </c>
      <c r="B106" s="40" t="str">
        <f>'Tariffs Jan2021'!D100</f>
        <v>AusNet Services West</v>
      </c>
      <c r="C106" s="40" t="str">
        <f>'Tariffs Jan2021'!G100</f>
        <v>1st Saver Plus</v>
      </c>
      <c r="D106" s="59">
        <f>365*'Tariffs Jan2021'!H100/100</f>
        <v>313.89999999999998</v>
      </c>
      <c r="E106" s="59">
        <f>IF($C$5*'Tariffs Jan2021'!AK100/'Tariffs Jan2021'!AI100&gt;='Tariffs Jan2021'!J100,( 'Tariffs Jan2021'!J100*'Tariffs Jan2021'!O100/100)* 'Tariffs Jan2021'!AI100,($C$5*'Tariffs Jan2021'!AK100/'Tariffs Jan2021'!AI100*'Tariffs Jan2021'!O100/100)* 'Tariffs Jan2021'!AI100)</f>
        <v>356.72727272727275</v>
      </c>
      <c r="F106" s="59">
        <f>IF($C$5*'Tariffs Jan2021'!AK100/'Tariffs Jan2021'!AI100&lt;'Tariffs Jan2021'!J100,0,IF($C$5*'Tariffs Jan2021'!AK100/'Tariffs Jan2021'!AI100&lt;='Tariffs Jan2021'!K100,($C$5*'Tariffs Jan2021'!AK100/'Tariffs Jan2021'!AI100-'Tariffs Jan2021'!J100)*('Tariffs Jan2021'!P100/100)*'Tariffs Jan2021'!AI100,('Tariffs Jan2021'!K100-'Tariffs Jan2021'!J100)*('Tariffs Jan2021'!P100/100)*'Tariffs Jan2021'!AI100))</f>
        <v>258.95454545454538</v>
      </c>
      <c r="G106" s="59">
        <f>IF($C$5*'Tariffs Jan2021'!AK100/'Tariffs Jan2021'!AI100&lt;'Tariffs Jan2021'!K100,0,IF($C$5*'Tariffs Jan2021'!AK100/'Tariffs Jan2021'!AI100&lt;='Tariffs Jan2021'!L100,($C$5*'Tariffs Jan2021'!AK100/'Tariffs Jan2021'!AI100-'Tariffs Jan2021'!K100)*('Tariffs Jan2021'!Q100/100)*'Tariffs Jan2021'!AI100,('Tariffs Jan2021'!L100-'Tariffs Jan2021'!K100)*('Tariffs Jan2021'!Q100/100)*'Tariffs Jan2021'!AI100))</f>
        <v>0</v>
      </c>
      <c r="H106" s="59">
        <f>IF($C$5*'Tariffs Jan2021'!AK100/'Tariffs Jan2021'!AI100&lt;'Tariffs Jan2021'!L100,0,IF($C$5*'Tariffs Jan2021'!AK100/'Tariffs Jan2021'!AI100&lt;='Tariffs Jan2021'!M100,($C$5*'Tariffs Jan2021'!AK100/'Tariffs Jan2021'!AI100-'Tariffs Jan2021'!L100)*('Tariffs Jan2021'!R100/100)*'Tariffs Jan2021'!AI100,('Tariffs Jan2021'!M100-'Tariffs Jan2021'!L100)*('Tariffs Jan2021'!R100/100)*'Tariffs Jan2021'!AI100))</f>
        <v>0</v>
      </c>
      <c r="I106" s="69">
        <f>IF(($C$5*'Tariffs Jan2021'!AK100/'Tariffs Jan2021'!AI100&gt;'Tariffs Jan2021'!M100),($C$5*'Tariffs Jan2021'!AK100/'Tariffs Jan2021'!AI100-'Tariffs Jan2021'!M100)*'Tariffs Jan2021'!S100/100*'Tariffs Jan2021'!AI100,0)</f>
        <v>0</v>
      </c>
      <c r="J106" s="69">
        <f>IF($C$5*'Tariffs Jan2021'!AL100/'Tariffs Jan2021'!AJ100&gt;='Tariffs Jan2021'!J100,('Tariffs Jan2021'!J100*'Tariffs Jan2021'!U100/100)* 'Tariffs Jan2021'!AJ100,($C$5*'Tariffs Jan2021'!AL100/'Tariffs Jan2021'!AJ100*'Tariffs Jan2021'!U100/100)* 'Tariffs Jan2021'!AJ100)</f>
        <v>356.72727272727275</v>
      </c>
      <c r="K106" s="69">
        <f>IF($C$5*'Tariffs Jan2021'!AL100/'Tariffs Jan2021'!AJ100&lt;'Tariffs Jan2021'!J100,0,IF($C$5*'Tariffs Jan2021'!AL100/'Tariffs Jan2021'!AJ100&lt;='Tariffs Jan2021'!K100,($C$5*'Tariffs Jan2021'!AL100/'Tariffs Jan2021'!AJ100-'Tariffs Jan2021'!J100)*('Tariffs Jan2021'!V100/100)*'Tariffs Jan2021'!AJ100,('Tariffs Jan2021'!K100-'Tariffs Jan2021'!J100)*('Tariffs Jan2021'!V100/100)*'Tariffs Jan2021'!AJ100))</f>
        <v>258.95454545454538</v>
      </c>
      <c r="L106" s="69">
        <f>IF($C$5*'Tariffs Jan2021'!AL100/'Tariffs Jan2021'!AJ100&lt;'Tariffs Jan2021'!K100,0,IF($C$5*'Tariffs Jan2021'!AL100/'Tariffs Jan2021'!AJ100&lt;='Tariffs Jan2021'!L100,($C$5*'Tariffs Jan2021'!AL100/'Tariffs Jan2021'!AJ100-'Tariffs Jan2021'!K100)*('Tariffs Jan2021'!W100/100)*'Tariffs Jan2021'!AJ100,('Tariffs Jan2021'!L100-'Tariffs Jan2021'!K100)*('Tariffs Jan2021'!W100/100)*'Tariffs Jan2021'!AJ100))</f>
        <v>0</v>
      </c>
      <c r="M106" s="69">
        <f>IF($C$5*'Tariffs Jan2021'!AL100/'Tariffs Jan2021'!AJ100&lt;'Tariffs Jan2021'!L100,0,IF($C$5*'Tariffs Jan2021'!AL100/'Tariffs Jan2021'!AJ100&lt;='Tariffs Jan2021'!M100,($C$5*'Tariffs Jan2021'!AL100/'Tariffs Jan2021'!AJ100-'Tariffs Jan2021'!L100)*('Tariffs Jan2021'!X100/100)*'Tariffs Jan2021'!AJ100,('Tariffs Jan2021'!M100-'Tariffs Jan2021'!L100)*('Tariffs Jan2021'!X100/100)*'Tariffs Jan2021'!AJ100))</f>
        <v>0</v>
      </c>
      <c r="N106" s="69">
        <f>IF(($C$5*'Tariffs Jan2021'!AL100/'Tariffs Jan2021'!AJ100&gt;'Tariffs Jan2021'!M100),($C$5*'Tariffs Jan2021'!AL100/'Tariffs Jan2021'!AJ100-'Tariffs Jan2021'!M100)*'Tariffs Jan2021'!Y100/100*'Tariffs Jan2021'!AJ100,0)</f>
        <v>0</v>
      </c>
      <c r="O106" s="59">
        <f t="shared" si="72"/>
        <v>1231.3636363636363</v>
      </c>
      <c r="P106" s="503">
        <f t="shared" si="56"/>
        <v>1354.5</v>
      </c>
      <c r="Q106" s="59">
        <f t="shared" si="73"/>
        <v>1545.2636363636361</v>
      </c>
      <c r="R106" s="272">
        <f t="shared" si="74"/>
        <v>1699.79</v>
      </c>
      <c r="S106" s="40">
        <f>'Tariffs Jan2021'!AN100</f>
        <v>0</v>
      </c>
      <c r="T106" s="40">
        <f>'Tariffs Jan2021'!AO100</f>
        <v>12</v>
      </c>
      <c r="U106" s="40">
        <f>'Tariffs Jan2021'!AP100</f>
        <v>0</v>
      </c>
      <c r="V106" s="40">
        <f>'Tariffs Jan2021'!AQ100</f>
        <v>3</v>
      </c>
      <c r="W106" s="537" t="str">
        <f t="shared" si="60"/>
        <v>Guaranteed off usage</v>
      </c>
      <c r="X106" s="538" t="str">
        <f t="shared" si="61"/>
        <v>Exclusive</v>
      </c>
      <c r="Y106" s="534">
        <f>Q106-(P106*T106)/100</f>
        <v>1382.7236363636362</v>
      </c>
      <c r="Z106" s="535">
        <f>Y106-(P106*V106)/100</f>
        <v>1342.0886363636362</v>
      </c>
      <c r="AA106" s="542">
        <f t="shared" si="75"/>
        <v>1520.9959999999999</v>
      </c>
      <c r="AB106" s="542">
        <f t="shared" si="75"/>
        <v>1476.2974999999999</v>
      </c>
      <c r="AC106" s="274">
        <f>'Tariffs Jan2021'!AZ100</f>
        <v>0</v>
      </c>
      <c r="AD106" s="274" t="str">
        <f>'Tariffs Jan2021'!BA100</f>
        <v>n</v>
      </c>
      <c r="AE106" s="275" t="str">
        <f>'Tariffs Jan2021'!BJ100</f>
        <v>Y</v>
      </c>
      <c r="AF106" s="516"/>
      <c r="AG106" s="516"/>
      <c r="AH106" s="516"/>
      <c r="AI106" s="516"/>
      <c r="AJ106" s="516"/>
      <c r="AK106" s="516"/>
      <c r="AL106" s="516"/>
      <c r="AM106" s="516"/>
      <c r="AN106" s="516"/>
      <c r="AO106" s="516"/>
      <c r="AP106" s="516"/>
      <c r="AQ106" s="516"/>
      <c r="AR106" s="516"/>
      <c r="AS106" s="516"/>
      <c r="AT106" s="516"/>
      <c r="AU106" s="516"/>
      <c r="AV106" s="516"/>
      <c r="AW106" s="516"/>
      <c r="AX106" s="516"/>
      <c r="AY106" s="516"/>
      <c r="AZ106" s="516"/>
    </row>
    <row r="107" spans="1:52" ht="14" x14ac:dyDescent="0.15">
      <c r="A107" s="270" t="str">
        <f>'Tariffs Jan2021'!F101</f>
        <v>Kogan Energy</v>
      </c>
      <c r="B107" s="40" t="str">
        <f>'Tariffs Jan2021'!D101</f>
        <v>AusNet Services West</v>
      </c>
      <c r="C107" s="40" t="str">
        <f>'Tariffs Jan2021'!G101</f>
        <v>Market offer</v>
      </c>
      <c r="D107" s="59">
        <f>365*'Tariffs Jan2021'!H101/100</f>
        <v>293.22772727272724</v>
      </c>
      <c r="E107" s="59">
        <f>((C$5*'Tariffs Jan2021'!AK101/'Tariffs Jan2021'!AI101)*('Tariffs Jan2021'!O101/100))*'Tariffs Jan2021'!AI101</f>
        <v>334.05749999999995</v>
      </c>
      <c r="F107" s="59">
        <v>0</v>
      </c>
      <c r="G107" s="59">
        <v>0</v>
      </c>
      <c r="H107" s="59">
        <v>0</v>
      </c>
      <c r="I107" s="69">
        <v>0</v>
      </c>
      <c r="J107" s="69">
        <f>((C$5*'Tariffs Jan2021'!AL101/'Tariffs Jan2021'!AJ101)*('Tariffs Jan2021'!U101/100))*'Tariffs Jan2021'!AJ101</f>
        <v>603.21239999999989</v>
      </c>
      <c r="K107" s="69">
        <v>0</v>
      </c>
      <c r="L107" s="69">
        <v>0</v>
      </c>
      <c r="M107" s="69">
        <v>0</v>
      </c>
      <c r="N107" s="69">
        <v>0</v>
      </c>
      <c r="O107" s="59">
        <f t="shared" si="72"/>
        <v>937.26989999999978</v>
      </c>
      <c r="P107" s="503">
        <f t="shared" si="56"/>
        <v>1030.9968899999999</v>
      </c>
      <c r="Q107" s="59">
        <f t="shared" si="73"/>
        <v>1230.497627272727</v>
      </c>
      <c r="R107" s="272">
        <f t="shared" si="74"/>
        <v>1353.5473899999997</v>
      </c>
      <c r="S107" s="40">
        <f>'Tariffs Jan2021'!AN101</f>
        <v>0</v>
      </c>
      <c r="T107" s="40">
        <f>'Tariffs Jan2021'!AO101</f>
        <v>0</v>
      </c>
      <c r="U107" s="40">
        <f>'Tariffs Jan2021'!AP101</f>
        <v>0</v>
      </c>
      <c r="V107" s="40">
        <f>'Tariffs Jan2021'!AQ101</f>
        <v>0</v>
      </c>
      <c r="W107" s="537" t="str">
        <f t="shared" si="60"/>
        <v>No discount</v>
      </c>
      <c r="X107" s="538" t="str">
        <f t="shared" si="61"/>
        <v>Exclusive</v>
      </c>
      <c r="Y107" s="534">
        <f t="shared" ref="Y107:Y108" si="76">IF(AND(W107="Guaranteed off bill",X107="Inclusive"),((Q107*1.1)-((Q107*1.1)*S107/100))/1.1,IF(AND(W107="Guaranteed off usage",X107="Inclusive"),((Q107*1.1)-((P107*1.1)*T107/100))/1.1,IF(AND(W107="Guaranteed off bill",X107="Exclusive"),Q107-(Q107*S107/100),IF(AND(W107="Guaranteed off usage",X107="Exclusive"),Q107-(P107*T107/100),IF(X107="Inclusive",((Q107*1.1))/1.1,Q107)))))</f>
        <v>1230.497627272727</v>
      </c>
      <c r="Z107" s="535">
        <f t="shared" ref="Z107:Z108" si="77">IF(AND(W107="Pay-on-time off bill",X107="Inclusive"),((Y107*1.1)-((Y107*1.1)*U107/100))/1.1,IF(AND(W107="Pay-on-time off usage",X107="Inclusive"),((Y107*1.1)-((P107*1.1)*V107/100))/1.1,IF(AND(W107="Pay-on-time off bill",X107="Exclusive"),Y107-(Y107*U107/100),IF(AND(W107="Pay-on-time off usage",X107="Exclusive"),Y107-(P107*V107/100),IF(X107="Inclusive",((Y107*1.1))/1.1,Y107)))))</f>
        <v>1230.497627272727</v>
      </c>
      <c r="AA107" s="542">
        <f t="shared" si="75"/>
        <v>1353.5473899999997</v>
      </c>
      <c r="AB107" s="542">
        <f t="shared" si="75"/>
        <v>1353.5473899999997</v>
      </c>
      <c r="AC107" s="274">
        <f>'Tariffs Jan2021'!AZ101</f>
        <v>0</v>
      </c>
      <c r="AD107" s="274" t="str">
        <f>'Tariffs Jan2021'!BA101</f>
        <v>n</v>
      </c>
      <c r="AE107" s="275" t="str">
        <f>'Tariffs Jan2021'!BJ101</f>
        <v>N</v>
      </c>
      <c r="AF107" s="516"/>
      <c r="AG107" s="516"/>
      <c r="AH107" s="516"/>
      <c r="AI107" s="516"/>
      <c r="AJ107" s="516"/>
      <c r="AK107" s="516"/>
      <c r="AL107" s="516"/>
      <c r="AM107" s="516"/>
      <c r="AN107" s="516"/>
      <c r="AO107" s="516"/>
      <c r="AP107" s="516"/>
      <c r="AQ107" s="516"/>
      <c r="AR107" s="516"/>
      <c r="AS107" s="516"/>
      <c r="AT107" s="516"/>
      <c r="AU107" s="516"/>
      <c r="AV107" s="516"/>
      <c r="AW107" s="516"/>
      <c r="AX107" s="516"/>
      <c r="AY107" s="516"/>
      <c r="AZ107" s="516"/>
    </row>
    <row r="108" spans="1:52" ht="15" thickBot="1" x14ac:dyDescent="0.2">
      <c r="A108" s="276" t="str">
        <f>'Tariffs Jan2021'!F102</f>
        <v>Tango Energy</v>
      </c>
      <c r="B108" s="277" t="str">
        <f>'Tariffs Jan2021'!D102</f>
        <v>AusNet Services West</v>
      </c>
      <c r="C108" s="277" t="str">
        <f>'Tariffs Jan2021'!G102</f>
        <v>Home Select</v>
      </c>
      <c r="D108" s="278">
        <f>365*'Tariffs Jan2021'!H102/100</f>
        <v>364.99999999999994</v>
      </c>
      <c r="E108" s="278">
        <f>IF($C$5*'Tariffs Jan2021'!AK102/'Tariffs Jan2021'!AI102&gt;='Tariffs Jan2021'!J102,( 'Tariffs Jan2021'!J102*'Tariffs Jan2021'!O102/100)* 'Tariffs Jan2021'!AI102,($C$5*'Tariffs Jan2021'!AK102/'Tariffs Jan2021'!AI102*'Tariffs Jan2021'!O102/100)* 'Tariffs Jan2021'!AI102)</f>
        <v>179.99999999999997</v>
      </c>
      <c r="F108" s="278">
        <f>IF($C$5*'Tariffs Jan2021'!AK102/'Tariffs Jan2021'!AI102&lt;'Tariffs Jan2021'!J102,0,IF($C$5*'Tariffs Jan2021'!AK102/'Tariffs Jan2021'!AI102&lt;='Tariffs Jan2021'!K102,($C$5*'Tariffs Jan2021'!AK102/'Tariffs Jan2021'!AI102-'Tariffs Jan2021'!J102)*('Tariffs Jan2021'!P102/100)*'Tariffs Jan2021'!AI102,('Tariffs Jan2021'!K102-'Tariffs Jan2021'!J102)*('Tariffs Jan2021'!P102/100)*'Tariffs Jan2021'!AI102))</f>
        <v>121.88064545454542</v>
      </c>
      <c r="G108" s="278">
        <f>IF($C$5*'Tariffs Jan2021'!AK102/'Tariffs Jan2021'!AI102&lt;'Tariffs Jan2021'!K102,0,IF($C$5*'Tariffs Jan2021'!AK102/'Tariffs Jan2021'!AI102&lt;='Tariffs Jan2021'!L102,($C$5*'Tariffs Jan2021'!AK102/'Tariffs Jan2021'!AI102-'Tariffs Jan2021'!K102)*('Tariffs Jan2021'!Q102/100)*'Tariffs Jan2021'!AI102,('Tariffs Jan2021'!L102-'Tariffs Jan2021'!K102)*('Tariffs Jan2021'!Q102/100)*'Tariffs Jan2021'!AI102))</f>
        <v>0</v>
      </c>
      <c r="H108" s="278">
        <f>IF($C$5*'Tariffs Jan2021'!AK102/'Tariffs Jan2021'!AI102&lt;'Tariffs Jan2021'!L102,0,IF($C$5*'Tariffs Jan2021'!AK102/'Tariffs Jan2021'!AI102&lt;='Tariffs Jan2021'!M102,($C$5*'Tariffs Jan2021'!AK102/'Tariffs Jan2021'!AI102-'Tariffs Jan2021'!L102)*('Tariffs Jan2021'!R102/100)*'Tariffs Jan2021'!AI102,('Tariffs Jan2021'!M102-'Tariffs Jan2021'!L102)*('Tariffs Jan2021'!R102/100)*'Tariffs Jan2021'!AI102))</f>
        <v>0</v>
      </c>
      <c r="I108" s="547">
        <f>IF(($C$5*'Tariffs Jan2021'!AK102/'Tariffs Jan2021'!AI102&gt;'Tariffs Jan2021'!M102),($C$5*'Tariffs Jan2021'!AK102/'Tariffs Jan2021'!AI102-'Tariffs Jan2021'!M102)*'Tariffs Jan2021'!S102/100*'Tariffs Jan2021'!AI102,0)</f>
        <v>0</v>
      </c>
      <c r="J108" s="547">
        <f>IF($C$5*'Tariffs Jan2021'!AL102/'Tariffs Jan2021'!AJ102&gt;='Tariffs Jan2021'!J102,('Tariffs Jan2021'!J102*'Tariffs Jan2021'!U102/100)* 'Tariffs Jan2021'!AJ102,($C$5*'Tariffs Jan2021'!AL102/'Tariffs Jan2021'!AJ102*'Tariffs Jan2021'!U102/100)* 'Tariffs Jan2021'!AJ102)</f>
        <v>288</v>
      </c>
      <c r="K108" s="547">
        <f>IF($C$5*'Tariffs Jan2021'!AL102/'Tariffs Jan2021'!AJ102&lt;'Tariffs Jan2021'!J102,0,IF($C$5*'Tariffs Jan2021'!AL102/'Tariffs Jan2021'!AJ102&lt;='Tariffs Jan2021'!K102,($C$5*'Tariffs Jan2021'!AL102/'Tariffs Jan2021'!AJ102-'Tariffs Jan2021'!J102)*('Tariffs Jan2021'!V102/100)*'Tariffs Jan2021'!AJ102,('Tariffs Jan2021'!K102-'Tariffs Jan2021'!J102)*('Tariffs Jan2021'!V102/100)*'Tariffs Jan2021'!AJ102))</f>
        <v>197.95379999999994</v>
      </c>
      <c r="L108" s="547">
        <f>IF($C$5*'Tariffs Jan2021'!AL102/'Tariffs Jan2021'!AJ102&lt;'Tariffs Jan2021'!K102,0,IF($C$5*'Tariffs Jan2021'!AL102/'Tariffs Jan2021'!AJ102&lt;='Tariffs Jan2021'!L102,($C$5*'Tariffs Jan2021'!AL102/'Tariffs Jan2021'!AJ102-'Tariffs Jan2021'!K102)*('Tariffs Jan2021'!W102/100)*'Tariffs Jan2021'!AJ102,('Tariffs Jan2021'!L102-'Tariffs Jan2021'!K102)*('Tariffs Jan2021'!W102/100)*'Tariffs Jan2021'!AJ102))</f>
        <v>0</v>
      </c>
      <c r="M108" s="547">
        <f>IF($C$5*'Tariffs Jan2021'!AL102/'Tariffs Jan2021'!AJ102&lt;'Tariffs Jan2021'!L102,0,IF($C$5*'Tariffs Jan2021'!AL102/'Tariffs Jan2021'!AJ102&lt;='Tariffs Jan2021'!M102,($C$5*'Tariffs Jan2021'!AL102/'Tariffs Jan2021'!AJ102-'Tariffs Jan2021'!L102)*('Tariffs Jan2021'!X102/100)*'Tariffs Jan2021'!AJ102,('Tariffs Jan2021'!M102-'Tariffs Jan2021'!L102)*('Tariffs Jan2021'!X102/100)*'Tariffs Jan2021'!AJ102))</f>
        <v>0</v>
      </c>
      <c r="N108" s="547">
        <f>IF(($C$5*'Tariffs Jan2021'!AL102/'Tariffs Jan2021'!AJ102&gt;'Tariffs Jan2021'!M102),($C$5*'Tariffs Jan2021'!AL102/'Tariffs Jan2021'!AJ102-'Tariffs Jan2021'!M102)*'Tariffs Jan2021'!Y102/100*'Tariffs Jan2021'!AJ102,0)</f>
        <v>0</v>
      </c>
      <c r="O108" s="278">
        <f t="shared" si="72"/>
        <v>787.8344454545454</v>
      </c>
      <c r="P108" s="504">
        <f t="shared" si="56"/>
        <v>866.61788999999999</v>
      </c>
      <c r="Q108" s="278">
        <f t="shared" si="73"/>
        <v>1152.8344454545454</v>
      </c>
      <c r="R108" s="280">
        <f t="shared" si="74"/>
        <v>1268.11789</v>
      </c>
      <c r="S108" s="277">
        <f>'Tariffs Jan2021'!AN102</f>
        <v>0</v>
      </c>
      <c r="T108" s="277">
        <f>'Tariffs Jan2021'!AO102</f>
        <v>0</v>
      </c>
      <c r="U108" s="277">
        <f>'Tariffs Jan2021'!AP102</f>
        <v>0</v>
      </c>
      <c r="V108" s="277">
        <f>'Tariffs Jan2021'!AQ102</f>
        <v>0</v>
      </c>
      <c r="W108" s="540" t="str">
        <f t="shared" si="60"/>
        <v>No discount</v>
      </c>
      <c r="X108" s="541" t="str">
        <f t="shared" si="61"/>
        <v>Exclusive</v>
      </c>
      <c r="Y108" s="543">
        <f t="shared" si="76"/>
        <v>1152.8344454545454</v>
      </c>
      <c r="Z108" s="544">
        <f t="shared" si="77"/>
        <v>1152.8344454545454</v>
      </c>
      <c r="AA108" s="545">
        <f t="shared" ref="AA108:AB142" si="78">Y108*1.1</f>
        <v>1268.11789</v>
      </c>
      <c r="AB108" s="545">
        <f t="shared" si="78"/>
        <v>1268.11789</v>
      </c>
      <c r="AC108" s="282">
        <f>'Tariffs Jan2021'!AZ102</f>
        <v>0</v>
      </c>
      <c r="AD108" s="282" t="str">
        <f>'Tariffs Jan2021'!BA102</f>
        <v>n</v>
      </c>
      <c r="AE108" s="283" t="str">
        <f>'Tariffs Jan2021'!BJ102</f>
        <v>Y</v>
      </c>
      <c r="AF108" s="516"/>
      <c r="AG108" s="516"/>
      <c r="AH108" s="516"/>
      <c r="AI108" s="516"/>
      <c r="AJ108" s="516"/>
      <c r="AK108" s="516"/>
      <c r="AL108" s="516"/>
      <c r="AM108" s="516"/>
      <c r="AN108" s="516"/>
      <c r="AO108" s="516"/>
      <c r="AP108" s="516"/>
      <c r="AQ108" s="516"/>
      <c r="AR108" s="516"/>
      <c r="AS108" s="516"/>
      <c r="AT108" s="516"/>
      <c r="AU108" s="516"/>
      <c r="AV108" s="516"/>
      <c r="AW108" s="516"/>
      <c r="AX108" s="516"/>
      <c r="AY108" s="516"/>
      <c r="AZ108" s="516"/>
    </row>
    <row r="109" spans="1:52" ht="15" thickTop="1" x14ac:dyDescent="0.15">
      <c r="A109" s="270" t="str">
        <f>'Tariffs Jan2021'!F103</f>
        <v>AGL</v>
      </c>
      <c r="B109" s="40" t="str">
        <f>'Tariffs Jan2021'!D103</f>
        <v>AusNet Services Central 2</v>
      </c>
      <c r="C109" s="40" t="str">
        <f>'Tariffs Jan2021'!G103</f>
        <v>Essentials</v>
      </c>
      <c r="D109" s="59">
        <f>365*'Tariffs Jan2021'!H103/100</f>
        <v>261.37318181818176</v>
      </c>
      <c r="E109" s="59">
        <f>IF($C$5*'Tariffs Jan2021'!AK103/'Tariffs Jan2021'!AI103&gt;='Tariffs Jan2021'!J103,( 'Tariffs Jan2021'!J103*'Tariffs Jan2021'!O103/100)* 'Tariffs Jan2021'!AI103,($C$5*'Tariffs Jan2021'!AK103/'Tariffs Jan2021'!AI103*'Tariffs Jan2021'!O103/100)* 'Tariffs Jan2021'!AI103)</f>
        <v>240</v>
      </c>
      <c r="F109" s="59">
        <f>IF($C$5*'Tariffs Jan2021'!AK103/'Tariffs Jan2021'!AI103&lt;'Tariffs Jan2021'!J103,0,IF($C$5*'Tariffs Jan2021'!AK103/'Tariffs Jan2021'!AI103&lt;='Tariffs Jan2021'!K103,($C$5*'Tariffs Jan2021'!AK103/'Tariffs Jan2021'!AI103-'Tariffs Jan2021'!J103)*('Tariffs Jan2021'!P103/100)*'Tariffs Jan2021'!AI103,('Tariffs Jan2021'!K103-'Tariffs Jan2021'!J103)*('Tariffs Jan2021'!P103/100)*'Tariffs Jan2021'!AI103))</f>
        <v>174.23206363636356</v>
      </c>
      <c r="G109" s="59">
        <f>IF($C$5*'Tariffs Jan2021'!AK103/'Tariffs Jan2021'!AI103&lt;'Tariffs Jan2021'!K103,0,IF($C$5*'Tariffs Jan2021'!AK103/'Tariffs Jan2021'!AI103&lt;='Tariffs Jan2021'!L103,($C$5*'Tariffs Jan2021'!AK103/'Tariffs Jan2021'!AI103-'Tariffs Jan2021'!K103)*('Tariffs Jan2021'!Q103/100)*'Tariffs Jan2021'!AI103,('Tariffs Jan2021'!L103-'Tariffs Jan2021'!K103)*('Tariffs Jan2021'!Q103/100)*'Tariffs Jan2021'!AI103))</f>
        <v>0</v>
      </c>
      <c r="H109" s="59">
        <f>IF($C$5*'Tariffs Jan2021'!AK103/'Tariffs Jan2021'!AI103&lt;'Tariffs Jan2021'!L103,0,IF($C$5*'Tariffs Jan2021'!AK103/'Tariffs Jan2021'!AI103&lt;='Tariffs Jan2021'!M103,($C$5*'Tariffs Jan2021'!AK103/'Tariffs Jan2021'!AI103-'Tariffs Jan2021'!L103)*('Tariffs Jan2021'!R103/100)*'Tariffs Jan2021'!AI103,('Tariffs Jan2021'!M103-'Tariffs Jan2021'!L103)*('Tariffs Jan2021'!R103/100)*'Tariffs Jan2021'!AI103))</f>
        <v>0</v>
      </c>
      <c r="I109" s="69">
        <f>IF(($C$5*'Tariffs Jan2021'!AK103/'Tariffs Jan2021'!AI103&gt;'Tariffs Jan2021'!M103),($C$5*'Tariffs Jan2021'!AK103/'Tariffs Jan2021'!AI103-'Tariffs Jan2021'!M103)*'Tariffs Jan2021'!S103/100*'Tariffs Jan2021'!AI103,0)</f>
        <v>0</v>
      </c>
      <c r="J109" s="69">
        <f>IF($C$5*'Tariffs Jan2021'!AL103/'Tariffs Jan2021'!AJ103&gt;='Tariffs Jan2021'!J103,('Tariffs Jan2021'!J103*'Tariffs Jan2021'!U103/100)* 'Tariffs Jan2021'!AJ103,($C$5*'Tariffs Jan2021'!AL103/'Tariffs Jan2021'!AJ103*'Tariffs Jan2021'!U103/100)* 'Tariffs Jan2021'!AJ103)</f>
        <v>412.36363636363632</v>
      </c>
      <c r="K109" s="69">
        <f>IF($C$5*'Tariffs Jan2021'!AL103/'Tariffs Jan2021'!AJ103&lt;'Tariffs Jan2021'!J103,0,IF($C$5*'Tariffs Jan2021'!AL103/'Tariffs Jan2021'!AJ103&lt;='Tariffs Jan2021'!K103,($C$5*'Tariffs Jan2021'!AL103/'Tariffs Jan2021'!AJ103-'Tariffs Jan2021'!J103)*('Tariffs Jan2021'!V103/100)*'Tariffs Jan2021'!AJ103,('Tariffs Jan2021'!K103-'Tariffs Jan2021'!J103)*('Tariffs Jan2021'!V103/100)*'Tariffs Jan2021'!AJ103))</f>
        <v>266.66503636363626</v>
      </c>
      <c r="L109" s="69">
        <f>IF($C$5*'Tariffs Jan2021'!AL103/'Tariffs Jan2021'!AJ103&lt;'Tariffs Jan2021'!K103,0,IF($C$5*'Tariffs Jan2021'!AL103/'Tariffs Jan2021'!AJ103&lt;='Tariffs Jan2021'!L103,($C$5*'Tariffs Jan2021'!AL103/'Tariffs Jan2021'!AJ103-'Tariffs Jan2021'!K103)*('Tariffs Jan2021'!W103/100)*'Tariffs Jan2021'!AJ103,('Tariffs Jan2021'!L103-'Tariffs Jan2021'!K103)*('Tariffs Jan2021'!W103/100)*'Tariffs Jan2021'!AJ103))</f>
        <v>0</v>
      </c>
      <c r="M109" s="69">
        <f>IF($C$5*'Tariffs Jan2021'!AL103/'Tariffs Jan2021'!AJ103&lt;'Tariffs Jan2021'!L103,0,IF($C$5*'Tariffs Jan2021'!AL103/'Tariffs Jan2021'!AJ103&lt;='Tariffs Jan2021'!M103,($C$5*'Tariffs Jan2021'!AL103/'Tariffs Jan2021'!AJ103-'Tariffs Jan2021'!L103)*('Tariffs Jan2021'!X103/100)*'Tariffs Jan2021'!AJ103,('Tariffs Jan2021'!M103-'Tariffs Jan2021'!L103)*('Tariffs Jan2021'!X103/100)*'Tariffs Jan2021'!AJ103))</f>
        <v>0</v>
      </c>
      <c r="N109" s="69">
        <f>IF(($C$5*'Tariffs Jan2021'!AL103/'Tariffs Jan2021'!AJ103&gt;'Tariffs Jan2021'!M103),($C$5*'Tariffs Jan2021'!AL103/'Tariffs Jan2021'!AJ103-'Tariffs Jan2021'!M103)*'Tariffs Jan2021'!Y103/100*'Tariffs Jan2021'!AJ103,0)</f>
        <v>0</v>
      </c>
      <c r="O109" s="59">
        <f t="shared" si="72"/>
        <v>1093.2607363636362</v>
      </c>
      <c r="P109" s="503">
        <f t="shared" si="56"/>
        <v>1202.5868099999998</v>
      </c>
      <c r="Q109" s="59">
        <f t="shared" si="73"/>
        <v>1354.633918181818</v>
      </c>
      <c r="R109" s="272">
        <f t="shared" si="74"/>
        <v>1490.0973099999999</v>
      </c>
      <c r="S109" s="40">
        <f>'Tariffs Jan2021'!AN103</f>
        <v>0</v>
      </c>
      <c r="T109" s="40">
        <f>'Tariffs Jan2021'!AO103</f>
        <v>0</v>
      </c>
      <c r="U109" s="40">
        <f>'Tariffs Jan2021'!AP103</f>
        <v>0</v>
      </c>
      <c r="V109" s="40">
        <f>'Tariffs Jan2021'!AQ103</f>
        <v>0</v>
      </c>
      <c r="W109" s="539" t="str">
        <f>IF(SUM(S109:V109)=0,"No discount",IF(S109&gt;0,"Guaranteed off bill",IF(T109&gt;0,"Guaranteed off usage",IF(U109&gt;0,"Pay-on-time off bill","Pay-on-time off usage"))))</f>
        <v>No discount</v>
      </c>
      <c r="X109" s="538" t="str">
        <f>IF(OR(A109="Origin Energy",A109="Red Energy",A109="Powershop"),"Inclusive","Exclusive")</f>
        <v>Exclusive</v>
      </c>
      <c r="Y109" s="534">
        <f>IF(AND(W109="Guaranteed off bill",X109="Inclusive"),((Q109*1.1)-((Q109*1.1)*S109/100))/1.1,IF(AND(W109="Guaranteed off usage",X109="Inclusive"),((Q109*1.1)-((P109*1.1)*T109/100))/1.1,IF(AND(W109="Guaranteed off bill",X109="Exclusive"),Q109-(Q109*S109/100),IF(AND(W109="Guaranteed off usage",X109="Exclusive"),Q109-(P109*T109/100),IF(X109="Inclusive",((Q109*1.1))/1.1,Q109)))))</f>
        <v>1354.633918181818</v>
      </c>
      <c r="Z109" s="535">
        <f>IF(AND(W109="Pay-on-time off bill",X109="Inclusive"),((Y109*1.1)-((Y109*1.1)*U109/100))/1.1,IF(AND(W109="Pay-on-time off usage",X109="Inclusive"),((Y109*1.1)-((P109*1.1)*V109/100))/1.1,IF(AND(W109="Pay-on-time off bill",X109="Exclusive"),Y109-(Y109*U109/100),IF(AND(W109="Pay-on-time off usage",X109="Exclusive"),Y109-(P109*V109/100),IF(X109="Inclusive",((Y109*1.1))/1.1,Y109)))))</f>
        <v>1354.633918181818</v>
      </c>
      <c r="AA109" s="542">
        <f t="shared" si="78"/>
        <v>1490.0973099999999</v>
      </c>
      <c r="AB109" s="542">
        <f t="shared" si="78"/>
        <v>1490.0973099999999</v>
      </c>
      <c r="AC109" s="274">
        <f>'Tariffs Jan2021'!AZ103</f>
        <v>0</v>
      </c>
      <c r="AD109" s="274" t="str">
        <f>'Tariffs Jan2021'!BA103</f>
        <v>n</v>
      </c>
      <c r="AE109" s="275" t="str">
        <f>'Tariffs Jan2021'!BJ103</f>
        <v>N</v>
      </c>
      <c r="AF109" s="516"/>
      <c r="AG109" s="516"/>
      <c r="AH109" s="516"/>
      <c r="AI109" s="516"/>
      <c r="AJ109" s="516"/>
      <c r="AK109" s="516"/>
      <c r="AL109" s="516"/>
      <c r="AM109" s="516"/>
      <c r="AN109" s="516"/>
      <c r="AO109" s="516"/>
      <c r="AP109" s="516"/>
      <c r="AQ109" s="516"/>
      <c r="AR109" s="516"/>
      <c r="AS109" s="516"/>
      <c r="AT109" s="516"/>
      <c r="AU109" s="516"/>
      <c r="AV109" s="516"/>
      <c r="AW109" s="516"/>
      <c r="AX109" s="516"/>
      <c r="AY109" s="516"/>
      <c r="AZ109" s="516"/>
    </row>
    <row r="110" spans="1:52" ht="14" x14ac:dyDescent="0.15">
      <c r="A110" s="270" t="str">
        <f>'Tariffs Jan2021'!F104</f>
        <v>Alinta Energy</v>
      </c>
      <c r="B110" s="40" t="str">
        <f>'Tariffs Jan2021'!D104</f>
        <v>AusNet Services Central 2</v>
      </c>
      <c r="C110" s="40" t="str">
        <f>'Tariffs Jan2021'!G104</f>
        <v>Home Deal</v>
      </c>
      <c r="D110" s="59">
        <f>365*'Tariffs Jan2021'!H104/100</f>
        <v>255.5</v>
      </c>
      <c r="E110" s="59">
        <f>IF($C$5*'Tariffs Jan2021'!AK104/'Tariffs Jan2021'!AI104&gt;='Tariffs Jan2021'!J104,( 'Tariffs Jan2021'!J104*'Tariffs Jan2021'!O104/100)* 'Tariffs Jan2021'!AI104,($C$5*'Tariffs Jan2021'!AK104/'Tariffs Jan2021'!AI104*'Tariffs Jan2021'!O104/100)* 'Tariffs Jan2021'!AI104)</f>
        <v>238.90909090909088</v>
      </c>
      <c r="F110" s="59">
        <f>IF($C$5*'Tariffs Jan2021'!AK104/'Tariffs Jan2021'!AI104&lt;'Tariffs Jan2021'!J104,0,IF($C$5*'Tariffs Jan2021'!AK104/'Tariffs Jan2021'!AI104&lt;='Tariffs Jan2021'!K104,($C$5*'Tariffs Jan2021'!AK104/'Tariffs Jan2021'!AI104-'Tariffs Jan2021'!J104)*('Tariffs Jan2021'!P104/100)*'Tariffs Jan2021'!AI104,('Tariffs Jan2021'!K104-'Tariffs Jan2021'!J104)*('Tariffs Jan2021'!P104/100)*'Tariffs Jan2021'!AI104))</f>
        <v>0</v>
      </c>
      <c r="G110" s="59">
        <f>IF($C$5*'Tariffs Jan2021'!AK104/'Tariffs Jan2021'!AI104&lt;'Tariffs Jan2021'!K104,0,IF($C$5*'Tariffs Jan2021'!AK104/'Tariffs Jan2021'!AI104&lt;='Tariffs Jan2021'!L104,($C$5*'Tariffs Jan2021'!AK104/'Tariffs Jan2021'!AI104-'Tariffs Jan2021'!K104)*('Tariffs Jan2021'!Q104/100)*'Tariffs Jan2021'!AI104,('Tariffs Jan2021'!L104-'Tariffs Jan2021'!K104)*('Tariffs Jan2021'!Q104/100)*'Tariffs Jan2021'!AI104))</f>
        <v>0</v>
      </c>
      <c r="H110" s="59">
        <f>IF($C$5*'Tariffs Jan2021'!AK104/'Tariffs Jan2021'!AI104&lt;'Tariffs Jan2021'!L104,0,IF($C$5*'Tariffs Jan2021'!AK104/'Tariffs Jan2021'!AI104&lt;='Tariffs Jan2021'!M104,($C$5*'Tariffs Jan2021'!AK104/'Tariffs Jan2021'!AI104-'Tariffs Jan2021'!L104)*('Tariffs Jan2021'!R104/100)*'Tariffs Jan2021'!AI104,('Tariffs Jan2021'!M104-'Tariffs Jan2021'!L104)*('Tariffs Jan2021'!R104/100)*'Tariffs Jan2021'!AI104))</f>
        <v>0</v>
      </c>
      <c r="I110" s="69">
        <f>IF(($C$5*'Tariffs Jan2021'!AK104/'Tariffs Jan2021'!AI104&gt;'Tariffs Jan2021'!M104),($C$5*'Tariffs Jan2021'!AK104/'Tariffs Jan2021'!AI104-'Tariffs Jan2021'!M104)*'Tariffs Jan2021'!S104/100*'Tariffs Jan2021'!AI104,0)</f>
        <v>132.51452727272724</v>
      </c>
      <c r="J110" s="69">
        <f>IF($C$5*'Tariffs Jan2021'!AL104/'Tariffs Jan2021'!AJ104&gt;='Tariffs Jan2021'!J104,('Tariffs Jan2021'!J104*'Tariffs Jan2021'!U104/100)* 'Tariffs Jan2021'!AJ104,($C$5*'Tariffs Jan2021'!AL104/'Tariffs Jan2021'!AJ104*'Tariffs Jan2021'!U104/100)* 'Tariffs Jan2021'!AJ104)</f>
        <v>434.18181818181819</v>
      </c>
      <c r="K110" s="69">
        <f>IF($C$5*'Tariffs Jan2021'!AL104/'Tariffs Jan2021'!AJ104&lt;'Tariffs Jan2021'!J104,0,IF($C$5*'Tariffs Jan2021'!AL104/'Tariffs Jan2021'!AJ104&lt;='Tariffs Jan2021'!K104,($C$5*'Tariffs Jan2021'!AL104/'Tariffs Jan2021'!AJ104-'Tariffs Jan2021'!J104)*('Tariffs Jan2021'!V104/100)*'Tariffs Jan2021'!AJ104,('Tariffs Jan2021'!K104-'Tariffs Jan2021'!J104)*('Tariffs Jan2021'!V104/100)*'Tariffs Jan2021'!AJ104))</f>
        <v>0</v>
      </c>
      <c r="L110" s="69">
        <f>IF($C$5*'Tariffs Jan2021'!AL104/'Tariffs Jan2021'!AJ104&lt;'Tariffs Jan2021'!K104,0,IF($C$5*'Tariffs Jan2021'!AL104/'Tariffs Jan2021'!AJ104&lt;='Tariffs Jan2021'!L104,($C$5*'Tariffs Jan2021'!AL104/'Tariffs Jan2021'!AJ104-'Tariffs Jan2021'!K104)*('Tariffs Jan2021'!W104/100)*'Tariffs Jan2021'!AJ104,('Tariffs Jan2021'!L104-'Tariffs Jan2021'!K104)*('Tariffs Jan2021'!W104/100)*'Tariffs Jan2021'!AJ104))</f>
        <v>0</v>
      </c>
      <c r="M110" s="69">
        <f>IF($C$5*'Tariffs Jan2021'!AL104/'Tariffs Jan2021'!AJ104&lt;'Tariffs Jan2021'!L104,0,IF($C$5*'Tariffs Jan2021'!AL104/'Tariffs Jan2021'!AJ104&lt;='Tariffs Jan2021'!M104,($C$5*'Tariffs Jan2021'!AL104/'Tariffs Jan2021'!AJ104-'Tariffs Jan2021'!L104)*('Tariffs Jan2021'!X104/100)*'Tariffs Jan2021'!AJ104,('Tariffs Jan2021'!M104-'Tariffs Jan2021'!L104)*('Tariffs Jan2021'!X104/100)*'Tariffs Jan2021'!AJ104))</f>
        <v>0</v>
      </c>
      <c r="N110" s="69">
        <f>IF(($C$5*'Tariffs Jan2021'!AL104/'Tariffs Jan2021'!AJ104&gt;'Tariffs Jan2021'!M104),($C$5*'Tariffs Jan2021'!AL104/'Tariffs Jan2021'!AJ104-'Tariffs Jan2021'!M104)*'Tariffs Jan2021'!Y104/100*'Tariffs Jan2021'!AJ104,0)</f>
        <v>265.02905454545447</v>
      </c>
      <c r="O110" s="59">
        <f t="shared" si="72"/>
        <v>1070.6344909090908</v>
      </c>
      <c r="P110" s="503">
        <f t="shared" si="56"/>
        <v>1177.69794</v>
      </c>
      <c r="Q110" s="59">
        <f t="shared" si="73"/>
        <v>1326.1344909090908</v>
      </c>
      <c r="R110" s="272">
        <f t="shared" si="74"/>
        <v>1458.74794</v>
      </c>
      <c r="S110" s="40">
        <f>'Tariffs Jan2021'!AN104</f>
        <v>0</v>
      </c>
      <c r="T110" s="40">
        <f>'Tariffs Jan2021'!AO104</f>
        <v>0</v>
      </c>
      <c r="U110" s="40">
        <f>'Tariffs Jan2021'!AP104</f>
        <v>0</v>
      </c>
      <c r="V110" s="40">
        <f>'Tariffs Jan2021'!AQ104</f>
        <v>0</v>
      </c>
      <c r="W110" s="537" t="str">
        <f t="shared" ref="W110:W125" si="79">IF(SUM(S110:V110)=0,"No discount",IF(S110&gt;0,"Guaranteed off bill",IF(T110&gt;0,"Guaranteed off usage",IF(U110&gt;0,"Pay-on-time off bill","Pay-on-time off usage"))))</f>
        <v>No discount</v>
      </c>
      <c r="X110" s="538" t="str">
        <f t="shared" ref="X110:X125" si="80">IF(OR(A110="Origin Energy",A110="Red Energy",A110="Powershop"),"Inclusive","Exclusive")</f>
        <v>Exclusive</v>
      </c>
      <c r="Y110" s="534">
        <f>IF(AND(W110="Guaranteed off bill",X110="Inclusive"),((Q110*1.1)-((Q110*1.1)*S110/100))/1.1,IF(AND(W110="Guaranteed off usage",X110="Inclusive"),((Q110*1.1)-((P110*1.1)*T110/100))/1.1,IF(AND(W110="Guaranteed off bill",X110="Exclusive"),Q110-(Q110*S110/100),IF(AND(W110="Guaranteed off usage",X110="Exclusive"),Q110-(P110*T110/100),IF(X110="Inclusive",((Q110*1.1))/1.1,Q110)))))</f>
        <v>1326.1344909090908</v>
      </c>
      <c r="Z110" s="535">
        <f>IF(AND(W110="Pay-on-time off bill",X110="Inclusive"),((Y110*1.1)-((Y110*1.1)*U110/100))/1.1,IF(AND(W110="Pay-on-time off usage",X110="Inclusive"),((Y110*1.1)-((P110*1.1)*V110/100))/1.1,IF(AND(W110="Pay-on-time off bill",X110="Exclusive"),Y110-(Y110*U110/100),IF(AND(W110="Pay-on-time off usage",X110="Exclusive"),Y110-(P110*V110/100),IF(X110="Inclusive",((Y110*1.1))/1.1,Y110)))))</f>
        <v>1326.1344909090908</v>
      </c>
      <c r="AA110" s="542">
        <f t="shared" si="78"/>
        <v>1458.74794</v>
      </c>
      <c r="AB110" s="542">
        <f t="shared" si="78"/>
        <v>1458.74794</v>
      </c>
      <c r="AC110" s="274">
        <f>'Tariffs Jan2021'!AZ104</f>
        <v>0</v>
      </c>
      <c r="AD110" s="274" t="str">
        <f>'Tariffs Jan2021'!BA104</f>
        <v>n</v>
      </c>
      <c r="AE110" s="275" t="str">
        <f>'Tariffs Jan2021'!BJ104</f>
        <v>N</v>
      </c>
      <c r="AF110" s="516"/>
      <c r="AG110" s="516"/>
      <c r="AH110" s="516"/>
      <c r="AI110" s="516"/>
      <c r="AJ110" s="516"/>
      <c r="AK110" s="516"/>
      <c r="AL110" s="516"/>
      <c r="AM110" s="516"/>
      <c r="AN110" s="516"/>
      <c r="AO110" s="516"/>
      <c r="AP110" s="516"/>
      <c r="AQ110" s="516"/>
      <c r="AR110" s="516"/>
      <c r="AS110" s="516"/>
      <c r="AT110" s="516"/>
      <c r="AU110" s="516"/>
      <c r="AV110" s="516"/>
      <c r="AW110" s="516"/>
      <c r="AX110" s="516"/>
      <c r="AY110" s="516"/>
      <c r="AZ110" s="516"/>
    </row>
    <row r="111" spans="1:52" ht="14" x14ac:dyDescent="0.15">
      <c r="A111" s="270" t="str">
        <f>'Tariffs Jan2021'!F105</f>
        <v>Click Energy</v>
      </c>
      <c r="B111" s="40" t="str">
        <f>'Tariffs Jan2021'!D105</f>
        <v>AusNet Services Central 2</v>
      </c>
      <c r="C111" s="40" t="str">
        <f>'Tariffs Jan2021'!G105</f>
        <v>Lily</v>
      </c>
      <c r="D111" s="59">
        <f>365*'Tariffs Jan2021'!H105/100</f>
        <v>211.99863636363636</v>
      </c>
      <c r="E111" s="59">
        <f>IF($C$5*'Tariffs Jan2021'!AK105/'Tariffs Jan2021'!AI105&gt;='Tariffs Jan2021'!J105,( 'Tariffs Jan2021'!J105*'Tariffs Jan2021'!O105/100)* 'Tariffs Jan2021'!AI105,($C$5*'Tariffs Jan2021'!AK105/'Tariffs Jan2021'!AI105*'Tariffs Jan2021'!O105/100)* 'Tariffs Jan2021'!AI105)</f>
        <v>244.3636363636364</v>
      </c>
      <c r="F111" s="59">
        <f>IF($C$5*'Tariffs Jan2021'!AK105/'Tariffs Jan2021'!AI105&lt;'Tariffs Jan2021'!J105,0,IF($C$5*'Tariffs Jan2021'!AK105/'Tariffs Jan2021'!AI105&lt;='Tariffs Jan2021'!K105,($C$5*'Tariffs Jan2021'!AK105/'Tariffs Jan2021'!AI105-'Tariffs Jan2021'!J105)*('Tariffs Jan2021'!P105/100)*'Tariffs Jan2021'!AI105,('Tariffs Jan2021'!K105-'Tariffs Jan2021'!J105)*('Tariffs Jan2021'!P105/100)*'Tariffs Jan2021'!AI105))</f>
        <v>156.23626363636359</v>
      </c>
      <c r="G111" s="59">
        <f>IF($C$5*'Tariffs Jan2021'!AK105/'Tariffs Jan2021'!AI105&lt;'Tariffs Jan2021'!K105,0,IF($C$5*'Tariffs Jan2021'!AK105/'Tariffs Jan2021'!AI105&lt;='Tariffs Jan2021'!L105,($C$5*'Tariffs Jan2021'!AK105/'Tariffs Jan2021'!AI105-'Tariffs Jan2021'!K105)*('Tariffs Jan2021'!Q105/100)*'Tariffs Jan2021'!AI105,('Tariffs Jan2021'!L105-'Tariffs Jan2021'!K105)*('Tariffs Jan2021'!Q105/100)*'Tariffs Jan2021'!AI105))</f>
        <v>0</v>
      </c>
      <c r="H111" s="59">
        <f>IF($C$5*'Tariffs Jan2021'!AK105/'Tariffs Jan2021'!AI105&lt;'Tariffs Jan2021'!L105,0,IF($C$5*'Tariffs Jan2021'!AK105/'Tariffs Jan2021'!AI105&lt;='Tariffs Jan2021'!M105,($C$5*'Tariffs Jan2021'!AK105/'Tariffs Jan2021'!AI105-'Tariffs Jan2021'!L105)*('Tariffs Jan2021'!R105/100)*'Tariffs Jan2021'!AI105,('Tariffs Jan2021'!M105-'Tariffs Jan2021'!L105)*('Tariffs Jan2021'!R105/100)*'Tariffs Jan2021'!AI105))</f>
        <v>0</v>
      </c>
      <c r="I111" s="69">
        <f>IF(($C$5*'Tariffs Jan2021'!AK105/'Tariffs Jan2021'!AI105&gt;'Tariffs Jan2021'!M105),($C$5*'Tariffs Jan2021'!AK105/'Tariffs Jan2021'!AI105-'Tariffs Jan2021'!M105)*'Tariffs Jan2021'!S105/100*'Tariffs Jan2021'!AI105,0)</f>
        <v>0</v>
      </c>
      <c r="J111" s="69">
        <f>IF($C$5*'Tariffs Jan2021'!AL105/'Tariffs Jan2021'!AJ105&gt;='Tariffs Jan2021'!J105,('Tariffs Jan2021'!J105*'Tariffs Jan2021'!U105/100)* 'Tariffs Jan2021'!AJ105,($C$5*'Tariffs Jan2021'!AL105/'Tariffs Jan2021'!AJ105*'Tariffs Jan2021'!U105/100)* 'Tariffs Jan2021'!AJ105)</f>
        <v>359.99999999999994</v>
      </c>
      <c r="K111" s="69">
        <f>IF($C$5*'Tariffs Jan2021'!AL105/'Tariffs Jan2021'!AJ105&lt;'Tariffs Jan2021'!J105,0,IF($C$5*'Tariffs Jan2021'!AL105/'Tariffs Jan2021'!AJ105&lt;='Tariffs Jan2021'!K105,($C$5*'Tariffs Jan2021'!AL105/'Tariffs Jan2021'!AJ105-'Tariffs Jan2021'!J105)*('Tariffs Jan2021'!V105/100)*'Tariffs Jan2021'!AJ105,('Tariffs Jan2021'!K105-'Tariffs Jan2021'!J105)*('Tariffs Jan2021'!V105/100)*'Tariffs Jan2021'!AJ105))</f>
        <v>258.4851272727272</v>
      </c>
      <c r="L111" s="69">
        <f>IF($C$5*'Tariffs Jan2021'!AL105/'Tariffs Jan2021'!AJ105&lt;'Tariffs Jan2021'!K105,0,IF($C$5*'Tariffs Jan2021'!AL105/'Tariffs Jan2021'!AJ105&lt;='Tariffs Jan2021'!L105,($C$5*'Tariffs Jan2021'!AL105/'Tariffs Jan2021'!AJ105-'Tariffs Jan2021'!K105)*('Tariffs Jan2021'!W105/100)*'Tariffs Jan2021'!AJ105,('Tariffs Jan2021'!L105-'Tariffs Jan2021'!K105)*('Tariffs Jan2021'!W105/100)*'Tariffs Jan2021'!AJ105))</f>
        <v>0</v>
      </c>
      <c r="M111" s="69">
        <f>IF($C$5*'Tariffs Jan2021'!AL105/'Tariffs Jan2021'!AJ105&lt;'Tariffs Jan2021'!L105,0,IF($C$5*'Tariffs Jan2021'!AL105/'Tariffs Jan2021'!AJ105&lt;='Tariffs Jan2021'!M105,($C$5*'Tariffs Jan2021'!AL105/'Tariffs Jan2021'!AJ105-'Tariffs Jan2021'!L105)*('Tariffs Jan2021'!X105/100)*'Tariffs Jan2021'!AJ105,('Tariffs Jan2021'!M105-'Tariffs Jan2021'!L105)*('Tariffs Jan2021'!X105/100)*'Tariffs Jan2021'!AJ105))</f>
        <v>0</v>
      </c>
      <c r="N111" s="69">
        <f>IF(($C$5*'Tariffs Jan2021'!AL105/'Tariffs Jan2021'!AJ105&gt;'Tariffs Jan2021'!M105),($C$5*'Tariffs Jan2021'!AL105/'Tariffs Jan2021'!AJ105-'Tariffs Jan2021'!M105)*'Tariffs Jan2021'!Y105/100*'Tariffs Jan2021'!AJ105,0)</f>
        <v>0</v>
      </c>
      <c r="O111" s="59">
        <f t="shared" si="72"/>
        <v>1019.0850272727271</v>
      </c>
      <c r="P111" s="503">
        <f t="shared" si="56"/>
        <v>1120.99353</v>
      </c>
      <c r="Q111" s="59">
        <f t="shared" si="73"/>
        <v>1231.0836636363633</v>
      </c>
      <c r="R111" s="272">
        <f t="shared" si="74"/>
        <v>1354.1920299999997</v>
      </c>
      <c r="S111" s="40">
        <f>'Tariffs Jan2021'!AN105</f>
        <v>0</v>
      </c>
      <c r="T111" s="40">
        <f>'Tariffs Jan2021'!AO105</f>
        <v>0</v>
      </c>
      <c r="U111" s="40">
        <f>'Tariffs Jan2021'!AP105</f>
        <v>0</v>
      </c>
      <c r="V111" s="40">
        <f>'Tariffs Jan2021'!AQ105</f>
        <v>0</v>
      </c>
      <c r="W111" s="537" t="str">
        <f t="shared" si="79"/>
        <v>No discount</v>
      </c>
      <c r="X111" s="538" t="str">
        <f t="shared" si="80"/>
        <v>Exclusive</v>
      </c>
      <c r="Y111" s="534">
        <f t="shared" ref="Y111:Y112" si="81">IF(AND(W111="Guaranteed off bill",X111="Inclusive"),((Q111*1.1)-((Q111*1.1)*S111/100))/1.1,IF(AND(W111="Guaranteed off usage",X111="Inclusive"),((Q111*1.1)-((P111*1.1)*T111/100))/1.1,IF(AND(W111="Guaranteed off bill",X111="Exclusive"),Q111-(Q111*S111/100),IF(AND(W111="Guaranteed off usage",X111="Exclusive"),Q111-(P111*T111/100),IF(X111="Inclusive",((Q111*1.1))/1.1,Q111)))))</f>
        <v>1231.0836636363633</v>
      </c>
      <c r="Z111" s="535">
        <f t="shared" ref="Z111:Z112" si="82">IF(AND(W111="Pay-on-time off bill",X111="Inclusive"),((Y111*1.1)-((Y111*1.1)*U111/100))/1.1,IF(AND(W111="Pay-on-time off usage",X111="Inclusive"),((Y111*1.1)-((P111*1.1)*V111/100))/1.1,IF(AND(W111="Pay-on-time off bill",X111="Exclusive"),Y111-(Y111*U111/100),IF(AND(W111="Pay-on-time off usage",X111="Exclusive"),Y111-(P111*V111/100),IF(X111="Inclusive",((Y111*1.1))/1.1,Y111)))))</f>
        <v>1231.0836636363633</v>
      </c>
      <c r="AA111" s="542">
        <f t="shared" si="78"/>
        <v>1354.1920299999997</v>
      </c>
      <c r="AB111" s="542">
        <f t="shared" si="78"/>
        <v>1354.1920299999997</v>
      </c>
      <c r="AC111" s="274">
        <f>'Tariffs Jan2021'!AZ105</f>
        <v>0</v>
      </c>
      <c r="AD111" s="274" t="str">
        <f>'Tariffs Jan2021'!BA105</f>
        <v>n</v>
      </c>
      <c r="AE111" s="275" t="str">
        <f>'Tariffs Jan2021'!BJ105</f>
        <v>N</v>
      </c>
      <c r="AF111" s="516"/>
      <c r="AG111" s="516"/>
      <c r="AH111" s="516"/>
      <c r="AI111" s="516"/>
      <c r="AJ111" s="516"/>
      <c r="AK111" s="516"/>
      <c r="AL111" s="516"/>
      <c r="AM111" s="516"/>
      <c r="AN111" s="516"/>
      <c r="AO111" s="516"/>
      <c r="AP111" s="516"/>
      <c r="AQ111" s="516"/>
      <c r="AR111" s="516"/>
      <c r="AS111" s="516"/>
      <c r="AT111" s="516"/>
      <c r="AU111" s="516"/>
      <c r="AV111" s="516"/>
      <c r="AW111" s="516"/>
      <c r="AX111" s="516"/>
      <c r="AY111" s="516"/>
      <c r="AZ111" s="516"/>
    </row>
    <row r="112" spans="1:52" ht="14" x14ac:dyDescent="0.15">
      <c r="A112" s="270" t="str">
        <f>'Tariffs Jan2021'!F106</f>
        <v>Covau</v>
      </c>
      <c r="B112" s="40" t="str">
        <f>'Tariffs Jan2021'!D106</f>
        <v>AusNet Services Central 2</v>
      </c>
      <c r="C112" s="40" t="str">
        <f>'Tariffs Jan2021'!G106</f>
        <v>Smart Saver</v>
      </c>
      <c r="D112" s="59">
        <f>365*'Tariffs Jan2021'!H106/100</f>
        <v>310.25</v>
      </c>
      <c r="E112" s="59">
        <f>IF($C$5*'Tariffs Jan2021'!AK106/'Tariffs Jan2021'!AI106&gt;='Tariffs Jan2021'!J106,( 'Tariffs Jan2021'!J106*'Tariffs Jan2021'!O106/100)* 'Tariffs Jan2021'!AI106,($C$5*'Tariffs Jan2021'!AK106/'Tariffs Jan2021'!AI106*'Tariffs Jan2021'!O106/100)* 'Tariffs Jan2021'!AI106)</f>
        <v>344.72727272727275</v>
      </c>
      <c r="F112" s="59">
        <f>IF($C$5*'Tariffs Jan2021'!AK106/'Tariffs Jan2021'!AI106&lt;'Tariffs Jan2021'!J106,0,IF($C$5*'Tariffs Jan2021'!AK106/'Tariffs Jan2021'!AI106&lt;='Tariffs Jan2021'!K106,($C$5*'Tariffs Jan2021'!AK106/'Tariffs Jan2021'!AI106-'Tariffs Jan2021'!J106)*('Tariffs Jan2021'!P106/100)*'Tariffs Jan2021'!AI106,('Tariffs Jan2021'!K106-'Tariffs Jan2021'!J106)*('Tariffs Jan2021'!P106/100)*'Tariffs Jan2021'!AI106))</f>
        <v>229.85544545454536</v>
      </c>
      <c r="G112" s="59">
        <f>IF($C$5*'Tariffs Jan2021'!AK106/'Tariffs Jan2021'!AI106&lt;'Tariffs Jan2021'!K106,0,IF($C$5*'Tariffs Jan2021'!AK106/'Tariffs Jan2021'!AI106&lt;='Tariffs Jan2021'!L106,($C$5*'Tariffs Jan2021'!AK106/'Tariffs Jan2021'!AI106-'Tariffs Jan2021'!K106)*('Tariffs Jan2021'!Q106/100)*'Tariffs Jan2021'!AI106,('Tariffs Jan2021'!L106-'Tariffs Jan2021'!K106)*('Tariffs Jan2021'!Q106/100)*'Tariffs Jan2021'!AI106))</f>
        <v>0</v>
      </c>
      <c r="H112" s="59">
        <f>IF($C$5*'Tariffs Jan2021'!AK106/'Tariffs Jan2021'!AI106&lt;'Tariffs Jan2021'!L106,0,IF($C$5*'Tariffs Jan2021'!AK106/'Tariffs Jan2021'!AI106&lt;='Tariffs Jan2021'!M106,($C$5*'Tariffs Jan2021'!AK106/'Tariffs Jan2021'!AI106-'Tariffs Jan2021'!L106)*('Tariffs Jan2021'!R106/100)*'Tariffs Jan2021'!AI106,('Tariffs Jan2021'!M106-'Tariffs Jan2021'!L106)*('Tariffs Jan2021'!R106/100)*'Tariffs Jan2021'!AI106))</f>
        <v>0</v>
      </c>
      <c r="I112" s="69">
        <f>IF(($C$5*'Tariffs Jan2021'!AK106/'Tariffs Jan2021'!AI106&gt;'Tariffs Jan2021'!M106),($C$5*'Tariffs Jan2021'!AK106/'Tariffs Jan2021'!AI106-'Tariffs Jan2021'!M106)*'Tariffs Jan2021'!S106/100*'Tariffs Jan2021'!AI106,0)</f>
        <v>0</v>
      </c>
      <c r="J112" s="69">
        <f>IF($C$5*'Tariffs Jan2021'!AL106/'Tariffs Jan2021'!AJ106&gt;='Tariffs Jan2021'!J106,('Tariffs Jan2021'!J106*'Tariffs Jan2021'!U106/100)* 'Tariffs Jan2021'!AJ106,($C$5*'Tariffs Jan2021'!AL106/'Tariffs Jan2021'!AJ106*'Tariffs Jan2021'!U106/100)* 'Tariffs Jan2021'!AJ106)</f>
        <v>576</v>
      </c>
      <c r="K112" s="69">
        <f>IF($C$5*'Tariffs Jan2021'!AL106/'Tariffs Jan2021'!AJ106&lt;'Tariffs Jan2021'!J106,0,IF($C$5*'Tariffs Jan2021'!AL106/'Tariffs Jan2021'!AJ106&lt;='Tariffs Jan2021'!K106,($C$5*'Tariffs Jan2021'!AL106/'Tariffs Jan2021'!AJ106-'Tariffs Jan2021'!J106)*('Tariffs Jan2021'!V106/100)*'Tariffs Jan2021'!AJ106,('Tariffs Jan2021'!K106-'Tariffs Jan2021'!J106)*('Tariffs Jan2021'!V106/100)*'Tariffs Jan2021'!AJ106))</f>
        <v>395.90759999999989</v>
      </c>
      <c r="L112" s="69">
        <f>IF($C$5*'Tariffs Jan2021'!AL106/'Tariffs Jan2021'!AJ106&lt;'Tariffs Jan2021'!K106,0,IF($C$5*'Tariffs Jan2021'!AL106/'Tariffs Jan2021'!AJ106&lt;='Tariffs Jan2021'!L106,($C$5*'Tariffs Jan2021'!AL106/'Tariffs Jan2021'!AJ106-'Tariffs Jan2021'!K106)*('Tariffs Jan2021'!W106/100)*'Tariffs Jan2021'!AJ106,('Tariffs Jan2021'!L106-'Tariffs Jan2021'!K106)*('Tariffs Jan2021'!W106/100)*'Tariffs Jan2021'!AJ106))</f>
        <v>0</v>
      </c>
      <c r="M112" s="69">
        <f>IF($C$5*'Tariffs Jan2021'!AL106/'Tariffs Jan2021'!AJ106&lt;'Tariffs Jan2021'!L106,0,IF($C$5*'Tariffs Jan2021'!AL106/'Tariffs Jan2021'!AJ106&lt;='Tariffs Jan2021'!M106,($C$5*'Tariffs Jan2021'!AL106/'Tariffs Jan2021'!AJ106-'Tariffs Jan2021'!L106)*('Tariffs Jan2021'!X106/100)*'Tariffs Jan2021'!AJ106,('Tariffs Jan2021'!M106-'Tariffs Jan2021'!L106)*('Tariffs Jan2021'!X106/100)*'Tariffs Jan2021'!AJ106))</f>
        <v>0</v>
      </c>
      <c r="N112" s="69">
        <f>IF(($C$5*'Tariffs Jan2021'!AL106/'Tariffs Jan2021'!AJ106&gt;'Tariffs Jan2021'!M106),($C$5*'Tariffs Jan2021'!AL106/'Tariffs Jan2021'!AJ106-'Tariffs Jan2021'!M106)*'Tariffs Jan2021'!Y106/100*'Tariffs Jan2021'!AJ106,0)</f>
        <v>0</v>
      </c>
      <c r="O112" s="59">
        <f>SUM(E112:N112)</f>
        <v>1546.4903181818181</v>
      </c>
      <c r="P112" s="503">
        <f t="shared" si="56"/>
        <v>1701.1393500000001</v>
      </c>
      <c r="Q112" s="59">
        <f>D112+O112</f>
        <v>1856.7403181818181</v>
      </c>
      <c r="R112" s="272">
        <f>Q112*1.1</f>
        <v>2042.41435</v>
      </c>
      <c r="S112" s="40">
        <f>'Tariffs Jan2021'!AN106</f>
        <v>0</v>
      </c>
      <c r="T112" s="40">
        <f>'Tariffs Jan2021'!AO106</f>
        <v>16</v>
      </c>
      <c r="U112" s="40">
        <f>'Tariffs Jan2021'!AP106</f>
        <v>0</v>
      </c>
      <c r="V112" s="40">
        <f>'Tariffs Jan2021'!AQ106</f>
        <v>0</v>
      </c>
      <c r="W112" s="537" t="str">
        <f t="shared" si="79"/>
        <v>Guaranteed off usage</v>
      </c>
      <c r="X112" s="538" t="str">
        <f t="shared" si="80"/>
        <v>Exclusive</v>
      </c>
      <c r="Y112" s="534">
        <f t="shared" si="81"/>
        <v>1584.5580221818182</v>
      </c>
      <c r="Z112" s="535">
        <f t="shared" si="82"/>
        <v>1584.5580221818182</v>
      </c>
      <c r="AA112" s="542">
        <f t="shared" si="78"/>
        <v>1743.0138244000002</v>
      </c>
      <c r="AB112" s="542">
        <f t="shared" si="78"/>
        <v>1743.0138244000002</v>
      </c>
      <c r="AC112" s="274">
        <f>'Tariffs Jan2021'!AZ106</f>
        <v>0</v>
      </c>
      <c r="AD112" s="274" t="str">
        <f>'Tariffs Jan2021'!BA106</f>
        <v>n</v>
      </c>
      <c r="AE112" s="275" t="str">
        <f>'Tariffs Jan2021'!BJ106</f>
        <v>N</v>
      </c>
      <c r="AF112" s="516"/>
      <c r="AG112" s="516"/>
      <c r="AH112" s="516"/>
      <c r="AI112" s="516"/>
      <c r="AJ112" s="516"/>
      <c r="AK112" s="516"/>
      <c r="AL112" s="516"/>
      <c r="AM112" s="516"/>
      <c r="AN112" s="516"/>
      <c r="AO112" s="516"/>
      <c r="AP112" s="516"/>
      <c r="AQ112" s="516"/>
      <c r="AR112" s="516"/>
      <c r="AS112" s="516"/>
      <c r="AT112" s="516"/>
      <c r="AU112" s="516"/>
      <c r="AV112" s="516"/>
      <c r="AW112" s="516"/>
      <c r="AX112" s="516"/>
      <c r="AY112" s="516"/>
      <c r="AZ112" s="516"/>
    </row>
    <row r="113" spans="1:52" ht="14" x14ac:dyDescent="0.15">
      <c r="A113" s="270" t="str">
        <f>'Tariffs Jan2021'!F107</f>
        <v>Dodo Power &amp; Gas</v>
      </c>
      <c r="B113" s="40" t="str">
        <f>'Tariffs Jan2021'!D107</f>
        <v>AusNet Services Central 2</v>
      </c>
      <c r="C113" s="40" t="str">
        <f>'Tariffs Jan2021'!G107</f>
        <v>Market offer</v>
      </c>
      <c r="D113" s="59">
        <f>365*'Tariffs Jan2021'!H107/100</f>
        <v>274.67909090909086</v>
      </c>
      <c r="E113" s="59">
        <f>IF($C$5*'Tariffs Jan2021'!AK107/'Tariffs Jan2021'!AI107&gt;='Tariffs Jan2021'!J107,( 'Tariffs Jan2021'!J107*'Tariffs Jan2021'!O107/100)* 'Tariffs Jan2021'!AI107,($C$5*'Tariffs Jan2021'!AK107/'Tariffs Jan2021'!AI107*'Tariffs Jan2021'!O107/100)* 'Tariffs Jan2021'!AI107)</f>
        <v>268.36363636363637</v>
      </c>
      <c r="F113" s="59">
        <f>IF($C$5*'Tariffs Jan2021'!AK107/'Tariffs Jan2021'!AI107&lt;'Tariffs Jan2021'!J107,0,IF($C$5*'Tariffs Jan2021'!AK107/'Tariffs Jan2021'!AI107&lt;='Tariffs Jan2021'!K107,($C$5*'Tariffs Jan2021'!AK107/'Tariffs Jan2021'!AI107-'Tariffs Jan2021'!J107)*('Tariffs Jan2021'!P107/100)*'Tariffs Jan2021'!AI107,('Tariffs Jan2021'!K107-'Tariffs Jan2021'!J107)*('Tariffs Jan2021'!P107/100)*'Tariffs Jan2021'!AI107))</f>
        <v>174.23206363636356</v>
      </c>
      <c r="G113" s="59">
        <f>IF($C$5*'Tariffs Jan2021'!AK107/'Tariffs Jan2021'!AI107&lt;'Tariffs Jan2021'!K107,0,IF($C$5*'Tariffs Jan2021'!AK107/'Tariffs Jan2021'!AI107&lt;='Tariffs Jan2021'!L107,($C$5*'Tariffs Jan2021'!AK107/'Tariffs Jan2021'!AI107-'Tariffs Jan2021'!K107)*('Tariffs Jan2021'!Q107/100)*'Tariffs Jan2021'!AI107,('Tariffs Jan2021'!L107-'Tariffs Jan2021'!K107)*('Tariffs Jan2021'!Q107/100)*'Tariffs Jan2021'!AI107))</f>
        <v>0</v>
      </c>
      <c r="H113" s="59">
        <f>IF($C$5*'Tariffs Jan2021'!AK107/'Tariffs Jan2021'!AI107&lt;'Tariffs Jan2021'!L107,0,IF($C$5*'Tariffs Jan2021'!AK107/'Tariffs Jan2021'!AI107&lt;='Tariffs Jan2021'!M107,($C$5*'Tariffs Jan2021'!AK107/'Tariffs Jan2021'!AI107-'Tariffs Jan2021'!L107)*('Tariffs Jan2021'!R107/100)*'Tariffs Jan2021'!AI107,('Tariffs Jan2021'!M107-'Tariffs Jan2021'!L107)*('Tariffs Jan2021'!R107/100)*'Tariffs Jan2021'!AI107))</f>
        <v>0</v>
      </c>
      <c r="I113" s="69">
        <f>IF(($C$5*'Tariffs Jan2021'!AK107/'Tariffs Jan2021'!AI107&gt;'Tariffs Jan2021'!M107),($C$5*'Tariffs Jan2021'!AK107/'Tariffs Jan2021'!AI107-'Tariffs Jan2021'!M107)*'Tariffs Jan2021'!S107/100*'Tariffs Jan2021'!AI107,0)</f>
        <v>0</v>
      </c>
      <c r="J113" s="69">
        <f>IF($C$5*'Tariffs Jan2021'!AL107/'Tariffs Jan2021'!AJ107&gt;='Tariffs Jan2021'!J107,('Tariffs Jan2021'!J107*'Tariffs Jan2021'!U107/100)* 'Tariffs Jan2021'!AJ107,($C$5*'Tariffs Jan2021'!AL107/'Tariffs Jan2021'!AJ107*'Tariffs Jan2021'!U107/100)* 'Tariffs Jan2021'!AJ107)</f>
        <v>418.90909090909082</v>
      </c>
      <c r="K113" s="69">
        <f>IF($C$5*'Tariffs Jan2021'!AL107/'Tariffs Jan2021'!AJ107&lt;'Tariffs Jan2021'!J107,0,IF($C$5*'Tariffs Jan2021'!AL107/'Tariffs Jan2021'!AJ107&lt;='Tariffs Jan2021'!K107,($C$5*'Tariffs Jan2021'!AL107/'Tariffs Jan2021'!AJ107-'Tariffs Jan2021'!J107)*('Tariffs Jan2021'!V107/100)*'Tariffs Jan2021'!AJ107,('Tariffs Jan2021'!K107-'Tariffs Jan2021'!J107)*('Tariffs Jan2021'!V107/100)*'Tariffs Jan2021'!AJ107))</f>
        <v>304.29261818181811</v>
      </c>
      <c r="L113" s="69">
        <f>IF($C$5*'Tariffs Jan2021'!AL107/'Tariffs Jan2021'!AJ107&lt;'Tariffs Jan2021'!K107,0,IF($C$5*'Tariffs Jan2021'!AL107/'Tariffs Jan2021'!AJ107&lt;='Tariffs Jan2021'!L107,($C$5*'Tariffs Jan2021'!AL107/'Tariffs Jan2021'!AJ107-'Tariffs Jan2021'!K107)*('Tariffs Jan2021'!W107/100)*'Tariffs Jan2021'!AJ107,('Tariffs Jan2021'!L107-'Tariffs Jan2021'!K107)*('Tariffs Jan2021'!W107/100)*'Tariffs Jan2021'!AJ107))</f>
        <v>0</v>
      </c>
      <c r="M113" s="69">
        <f>IF($C$5*'Tariffs Jan2021'!AL107/'Tariffs Jan2021'!AJ107&lt;'Tariffs Jan2021'!L107,0,IF($C$5*'Tariffs Jan2021'!AL107/'Tariffs Jan2021'!AJ107&lt;='Tariffs Jan2021'!M107,($C$5*'Tariffs Jan2021'!AL107/'Tariffs Jan2021'!AJ107-'Tariffs Jan2021'!L107)*('Tariffs Jan2021'!X107/100)*'Tariffs Jan2021'!AJ107,('Tariffs Jan2021'!M107-'Tariffs Jan2021'!L107)*('Tariffs Jan2021'!X107/100)*'Tariffs Jan2021'!AJ107))</f>
        <v>0</v>
      </c>
      <c r="N113" s="69">
        <f>IF(($C$5*'Tariffs Jan2021'!AL107/'Tariffs Jan2021'!AJ107&gt;'Tariffs Jan2021'!M107),($C$5*'Tariffs Jan2021'!AL107/'Tariffs Jan2021'!AJ107-'Tariffs Jan2021'!M107)*'Tariffs Jan2021'!Y107/100*'Tariffs Jan2021'!AJ107,0)</f>
        <v>0</v>
      </c>
      <c r="O113" s="59">
        <f t="shared" si="72"/>
        <v>1165.797409090909</v>
      </c>
      <c r="P113" s="503">
        <f t="shared" si="56"/>
        <v>1282.37715</v>
      </c>
      <c r="Q113" s="59">
        <f t="shared" si="73"/>
        <v>1440.4764999999998</v>
      </c>
      <c r="R113" s="272">
        <f t="shared" si="74"/>
        <v>1584.52415</v>
      </c>
      <c r="S113" s="40">
        <f>'Tariffs Jan2021'!AN107</f>
        <v>0</v>
      </c>
      <c r="T113" s="40">
        <f>'Tariffs Jan2021'!AO107</f>
        <v>0</v>
      </c>
      <c r="U113" s="40">
        <f>'Tariffs Jan2021'!AP107</f>
        <v>0</v>
      </c>
      <c r="V113" s="40">
        <f>'Tariffs Jan2021'!AQ107</f>
        <v>0</v>
      </c>
      <c r="W113" s="537" t="str">
        <f t="shared" si="79"/>
        <v>No discount</v>
      </c>
      <c r="X113" s="538" t="str">
        <f t="shared" si="80"/>
        <v>Exclusive</v>
      </c>
      <c r="Y113" s="534">
        <f>IF(AND(W113="Guaranteed off bill",X113="Inclusive"),((Q113*1.1)-((Q113*1.1)*S113/100))/1.1,IF(AND(W113="Guaranteed off usage",X113="Inclusive"),((Q113*1.1)-((P113*1.1)*T113/100))/1.1,IF(AND(W113="Guaranteed off bill",X113="Exclusive"),Q113-(Q113*S113/100),IF(AND(W113="Guaranteed off usage",X113="Exclusive"),Q113-(P113*T113/100),IF(X113="Inclusive",((Q113*1.1))/1.1,Q113)))))</f>
        <v>1440.4764999999998</v>
      </c>
      <c r="Z113" s="535">
        <f>IF(AND(W113="Pay-on-time off bill",X113="Inclusive"),((Y113*1.1)-((Y113*1.1)*U113/100))/1.1,IF(AND(W113="Pay-on-time off usage",X113="Inclusive"),((Y113*1.1)-((P113*1.1)*V113/100))/1.1,IF(AND(W113="Pay-on-time off bill",X113="Exclusive"),Y113-(Y113*U113/100),IF(AND(W113="Pay-on-time off usage",X113="Exclusive"),Y113-(P113*V113/100),IF(X113="Inclusive",((Y113*1.1))/1.1,Y113)))))</f>
        <v>1440.4764999999998</v>
      </c>
      <c r="AA113" s="542">
        <f t="shared" si="78"/>
        <v>1584.52415</v>
      </c>
      <c r="AB113" s="542">
        <f t="shared" si="78"/>
        <v>1584.52415</v>
      </c>
      <c r="AC113" s="274">
        <f>'Tariffs Jan2021'!AZ107</f>
        <v>0</v>
      </c>
      <c r="AD113" s="274" t="str">
        <f>'Tariffs Jan2021'!BA107</f>
        <v>n</v>
      </c>
      <c r="AE113" s="275" t="str">
        <f>'Tariffs Jan2021'!BJ107</f>
        <v>N</v>
      </c>
      <c r="AF113" s="516"/>
      <c r="AG113" s="516"/>
      <c r="AH113" s="516"/>
      <c r="AI113" s="516"/>
      <c r="AJ113" s="516"/>
      <c r="AK113" s="516"/>
      <c r="AL113" s="516"/>
      <c r="AM113" s="516"/>
      <c r="AN113" s="516"/>
      <c r="AO113" s="516"/>
      <c r="AP113" s="516"/>
      <c r="AQ113" s="516"/>
      <c r="AR113" s="516"/>
      <c r="AS113" s="516"/>
      <c r="AT113" s="516"/>
      <c r="AU113" s="516"/>
      <c r="AV113" s="516"/>
      <c r="AW113" s="516"/>
      <c r="AX113" s="516"/>
      <c r="AY113" s="516"/>
      <c r="AZ113" s="516"/>
    </row>
    <row r="114" spans="1:52" ht="14" x14ac:dyDescent="0.15">
      <c r="A114" s="270" t="str">
        <f>'Tariffs Jan2021'!F108</f>
        <v>EnergyAustralia</v>
      </c>
      <c r="B114" s="40" t="str">
        <f>'Tariffs Jan2021'!D108</f>
        <v>AusNet Services Central 2</v>
      </c>
      <c r="C114" s="40" t="str">
        <f>'Tariffs Jan2021'!G108</f>
        <v>Total Plan</v>
      </c>
      <c r="D114" s="59">
        <f>365*'Tariffs Jan2021'!H108/100</f>
        <v>370.11</v>
      </c>
      <c r="E114" s="59">
        <f>IF($C$5*'Tariffs Jan2021'!AK108/'Tariffs Jan2021'!AI108&gt;='Tariffs Jan2021'!J108,( 'Tariffs Jan2021'!J108*'Tariffs Jan2021'!O108/100)* 'Tariffs Jan2021'!AI108,($C$5*'Tariffs Jan2021'!AK108/'Tariffs Jan2021'!AI108*'Tariffs Jan2021'!O108/100)* 'Tariffs Jan2021'!AI108)</f>
        <v>344.72727272727275</v>
      </c>
      <c r="F114" s="59">
        <f>IF($C$5*'Tariffs Jan2021'!AK108/'Tariffs Jan2021'!AI108&lt;'Tariffs Jan2021'!J108,0,IF($C$5*'Tariffs Jan2021'!AK108/'Tariffs Jan2021'!AI108&lt;='Tariffs Jan2021'!K108,($C$5*'Tariffs Jan2021'!AK108/'Tariffs Jan2021'!AI108-'Tariffs Jan2021'!J108)*('Tariffs Jan2021'!P108/100)*'Tariffs Jan2021'!AI108,('Tariffs Jan2021'!K108-'Tariffs Jan2021'!J108)*('Tariffs Jan2021'!P108/100)*'Tariffs Jan2021'!AI108))</f>
        <v>218.40357272727263</v>
      </c>
      <c r="G114" s="59">
        <f>IF($C$5*'Tariffs Jan2021'!AK108/'Tariffs Jan2021'!AI108&lt;'Tariffs Jan2021'!K108,0,IF($C$5*'Tariffs Jan2021'!AK108/'Tariffs Jan2021'!AI108&lt;='Tariffs Jan2021'!L108,($C$5*'Tariffs Jan2021'!AK108/'Tariffs Jan2021'!AI108-'Tariffs Jan2021'!K108)*('Tariffs Jan2021'!Q108/100)*'Tariffs Jan2021'!AI108,('Tariffs Jan2021'!L108-'Tariffs Jan2021'!K108)*('Tariffs Jan2021'!Q108/100)*'Tariffs Jan2021'!AI108))</f>
        <v>0</v>
      </c>
      <c r="H114" s="59">
        <f>IF($C$5*'Tariffs Jan2021'!AK108/'Tariffs Jan2021'!AI108&lt;'Tariffs Jan2021'!L108,0,IF($C$5*'Tariffs Jan2021'!AK108/'Tariffs Jan2021'!AI108&lt;='Tariffs Jan2021'!M108,($C$5*'Tariffs Jan2021'!AK108/'Tariffs Jan2021'!AI108-'Tariffs Jan2021'!L108)*('Tariffs Jan2021'!R108/100)*'Tariffs Jan2021'!AI108,('Tariffs Jan2021'!M108-'Tariffs Jan2021'!L108)*('Tariffs Jan2021'!R108/100)*'Tariffs Jan2021'!AI108))</f>
        <v>0</v>
      </c>
      <c r="I114" s="69">
        <f>IF(($C$5*'Tariffs Jan2021'!AK108/'Tariffs Jan2021'!AI108&gt;'Tariffs Jan2021'!M108),($C$5*'Tariffs Jan2021'!AK108/'Tariffs Jan2021'!AI108-'Tariffs Jan2021'!M108)*'Tariffs Jan2021'!S108/100*'Tariffs Jan2021'!AI108,0)</f>
        <v>0</v>
      </c>
      <c r="J114" s="69">
        <f>IF($C$5*'Tariffs Jan2021'!AL108/'Tariffs Jan2021'!AJ108&gt;='Tariffs Jan2021'!J108,('Tariffs Jan2021'!J108*'Tariffs Jan2021'!U108/100)* 'Tariffs Jan2021'!AJ108,($C$5*'Tariffs Jan2021'!AL108/'Tariffs Jan2021'!AJ108*'Tariffs Jan2021'!U108/100)* 'Tariffs Jan2021'!AJ108)</f>
        <v>534.5454545454545</v>
      </c>
      <c r="K114" s="69">
        <f>IF($C$5*'Tariffs Jan2021'!AL108/'Tariffs Jan2021'!AJ108&lt;'Tariffs Jan2021'!J108,0,IF($C$5*'Tariffs Jan2021'!AL108/'Tariffs Jan2021'!AJ108&lt;='Tariffs Jan2021'!K108,($C$5*'Tariffs Jan2021'!AL108/'Tariffs Jan2021'!AJ108-'Tariffs Jan2021'!J108)*('Tariffs Jan2021'!V108/100)*'Tariffs Jan2021'!AJ108,('Tariffs Jan2021'!K108-'Tariffs Jan2021'!J108)*('Tariffs Jan2021'!V108/100)*'Tariffs Jan2021'!AJ108))</f>
        <v>379.5477818181817</v>
      </c>
      <c r="L114" s="69">
        <f>IF($C$5*'Tariffs Jan2021'!AL108/'Tariffs Jan2021'!AJ108&lt;'Tariffs Jan2021'!K108,0,IF($C$5*'Tariffs Jan2021'!AL108/'Tariffs Jan2021'!AJ108&lt;='Tariffs Jan2021'!L108,($C$5*'Tariffs Jan2021'!AL108/'Tariffs Jan2021'!AJ108-'Tariffs Jan2021'!K108)*('Tariffs Jan2021'!W108/100)*'Tariffs Jan2021'!AJ108,('Tariffs Jan2021'!L108-'Tariffs Jan2021'!K108)*('Tariffs Jan2021'!W108/100)*'Tariffs Jan2021'!AJ108))</f>
        <v>0</v>
      </c>
      <c r="M114" s="69">
        <f>IF($C$5*'Tariffs Jan2021'!AL108/'Tariffs Jan2021'!AJ108&lt;'Tariffs Jan2021'!L108,0,IF($C$5*'Tariffs Jan2021'!AL108/'Tariffs Jan2021'!AJ108&lt;='Tariffs Jan2021'!M108,($C$5*'Tariffs Jan2021'!AL108/'Tariffs Jan2021'!AJ108-'Tariffs Jan2021'!L108)*('Tariffs Jan2021'!X108/100)*'Tariffs Jan2021'!AJ108,('Tariffs Jan2021'!M108-'Tariffs Jan2021'!L108)*('Tariffs Jan2021'!X108/100)*'Tariffs Jan2021'!AJ108))</f>
        <v>0</v>
      </c>
      <c r="N114" s="69">
        <f>IF(($C$5*'Tariffs Jan2021'!AL108/'Tariffs Jan2021'!AJ108&gt;'Tariffs Jan2021'!M108),($C$5*'Tariffs Jan2021'!AL108/'Tariffs Jan2021'!AJ108-'Tariffs Jan2021'!M108)*'Tariffs Jan2021'!Y108/100*'Tariffs Jan2021'!AJ108,0)</f>
        <v>0</v>
      </c>
      <c r="O114" s="59">
        <f t="shared" si="72"/>
        <v>1477.2240818181815</v>
      </c>
      <c r="P114" s="503">
        <f t="shared" si="56"/>
        <v>1624.9464899999998</v>
      </c>
      <c r="Q114" s="59">
        <f t="shared" si="73"/>
        <v>1847.3340818181814</v>
      </c>
      <c r="R114" s="272">
        <f t="shared" si="74"/>
        <v>2032.0674899999997</v>
      </c>
      <c r="S114" s="40">
        <f>'Tariffs Jan2021'!AN108</f>
        <v>27</v>
      </c>
      <c r="T114" s="40">
        <f>'Tariffs Jan2021'!AO108</f>
        <v>0</v>
      </c>
      <c r="U114" s="40">
        <f>'Tariffs Jan2021'!AP108</f>
        <v>0</v>
      </c>
      <c r="V114" s="40">
        <f>'Tariffs Jan2021'!AQ108</f>
        <v>0</v>
      </c>
      <c r="W114" s="537" t="str">
        <f t="shared" si="79"/>
        <v>Guaranteed off bill</v>
      </c>
      <c r="X114" s="538" t="str">
        <f t="shared" si="80"/>
        <v>Exclusive</v>
      </c>
      <c r="Y114" s="534">
        <f t="shared" ref="Y114" si="83">IF(AND(W114="Guaranteed off bill",X114="Inclusive"),((Q114*1.1)-((Q114*1.1)*S114/100))/1.1,IF(AND(W114="Guaranteed off usage",X114="Inclusive"),((Q114*1.1)-((P114*1.1)*T114/100))/1.1,IF(AND(W114="Guaranteed off bill",X114="Exclusive"),Q114-(Q114*S114/100),IF(AND(W114="Guaranteed off usage",X114="Exclusive"),Q114-(P114*T114/100),IF(X114="Inclusive",((Q114*1.1))/1.1,Q114)))))</f>
        <v>1348.5538797272725</v>
      </c>
      <c r="Z114" s="535">
        <f t="shared" ref="Z114" si="84">IF(AND(W114="Pay-on-time off bill",X114="Inclusive"),((Y114*1.1)-((Y114*1.1)*U114/100))/1.1,IF(AND(W114="Pay-on-time off usage",X114="Inclusive"),((Y114*1.1)-((P114*1.1)*V114/100))/1.1,IF(AND(W114="Pay-on-time off bill",X114="Exclusive"),Y114-(Y114*U114/100),IF(AND(W114="Pay-on-time off usage",X114="Exclusive"),Y114-(P114*V114/100),IF(X114="Inclusive",((Y114*1.1))/1.1,Y114)))))</f>
        <v>1348.5538797272725</v>
      </c>
      <c r="AA114" s="542">
        <f t="shared" si="78"/>
        <v>1483.4092676999999</v>
      </c>
      <c r="AB114" s="542">
        <f t="shared" si="78"/>
        <v>1483.4092676999999</v>
      </c>
      <c r="AC114" s="274">
        <f>'Tariffs Jan2021'!AZ108</f>
        <v>12</v>
      </c>
      <c r="AD114" s="274" t="str">
        <f>'Tariffs Jan2021'!BA108</f>
        <v>n</v>
      </c>
      <c r="AE114" s="275" t="str">
        <f>'Tariffs Jan2021'!BJ108</f>
        <v>N</v>
      </c>
      <c r="AF114" s="516"/>
      <c r="AG114" s="516"/>
      <c r="AH114" s="516"/>
      <c r="AI114" s="516"/>
      <c r="AJ114" s="516"/>
      <c r="AK114" s="516"/>
      <c r="AL114" s="516"/>
      <c r="AM114" s="516"/>
      <c r="AN114" s="516"/>
      <c r="AO114" s="516"/>
      <c r="AP114" s="516"/>
      <c r="AQ114" s="516"/>
      <c r="AR114" s="516"/>
      <c r="AS114" s="516"/>
      <c r="AT114" s="516"/>
      <c r="AU114" s="516"/>
      <c r="AV114" s="516"/>
      <c r="AW114" s="516"/>
      <c r="AX114" s="516"/>
      <c r="AY114" s="516"/>
      <c r="AZ114" s="516"/>
    </row>
    <row r="115" spans="1:52" ht="14" x14ac:dyDescent="0.15">
      <c r="A115" s="270" t="str">
        <f>'Tariffs Jan2021'!F109</f>
        <v>Lumo Energy</v>
      </c>
      <c r="B115" s="40" t="str">
        <f>'Tariffs Jan2021'!D109</f>
        <v>AusNet Services Central 2</v>
      </c>
      <c r="C115" s="40" t="str">
        <f>'Tariffs Jan2021'!G109</f>
        <v>Value</v>
      </c>
      <c r="D115" s="59">
        <f>365*'Tariffs Jan2021'!H109/100</f>
        <v>283.23999999999995</v>
      </c>
      <c r="E115" s="59">
        <f>IF($C$5*'Tariffs Jan2021'!AK109/'Tariffs Jan2021'!AI109&gt;='Tariffs Jan2021'!J109,( 'Tariffs Jan2021'!J109*'Tariffs Jan2021'!O109/100)* 'Tariffs Jan2021'!AI109,($C$5*'Tariffs Jan2021'!AK109/'Tariffs Jan2021'!AI109*'Tariffs Jan2021'!O109/100)* 'Tariffs Jan2021'!AI109)</f>
        <v>224.72727272727272</v>
      </c>
      <c r="F115" s="59">
        <f>IF($C$5*'Tariffs Jan2021'!AK109/'Tariffs Jan2021'!AI109&lt;'Tariffs Jan2021'!J109,0,IF($C$5*'Tariffs Jan2021'!AK109/'Tariffs Jan2021'!AI109&lt;='Tariffs Jan2021'!K109,($C$5*'Tariffs Jan2021'!AK109/'Tariffs Jan2021'!AI109-'Tariffs Jan2021'!J109)*('Tariffs Jan2021'!P109/100)*'Tariffs Jan2021'!AI109,('Tariffs Jan2021'!K109-'Tariffs Jan2021'!J109)*('Tariffs Jan2021'!P109/100)*'Tariffs Jan2021'!AI109))</f>
        <v>163.59818181818176</v>
      </c>
      <c r="G115" s="59">
        <f>IF($C$5*'Tariffs Jan2021'!AK109/'Tariffs Jan2021'!AI109&lt;'Tariffs Jan2021'!K109,0,IF($C$5*'Tariffs Jan2021'!AK109/'Tariffs Jan2021'!AI109&lt;='Tariffs Jan2021'!L109,($C$5*'Tariffs Jan2021'!AK109/'Tariffs Jan2021'!AI109-'Tariffs Jan2021'!K109)*('Tariffs Jan2021'!Q109/100)*'Tariffs Jan2021'!AI109,('Tariffs Jan2021'!L109-'Tariffs Jan2021'!K109)*('Tariffs Jan2021'!Q109/100)*'Tariffs Jan2021'!AI109))</f>
        <v>0</v>
      </c>
      <c r="H115" s="59">
        <f>IF($C$5*'Tariffs Jan2021'!AK109/'Tariffs Jan2021'!AI109&lt;'Tariffs Jan2021'!L109,0,IF($C$5*'Tariffs Jan2021'!AK109/'Tariffs Jan2021'!AI109&lt;='Tariffs Jan2021'!M109,($C$5*'Tariffs Jan2021'!AK109/'Tariffs Jan2021'!AI109-'Tariffs Jan2021'!L109)*('Tariffs Jan2021'!R109/100)*'Tariffs Jan2021'!AI109,('Tariffs Jan2021'!M109-'Tariffs Jan2021'!L109)*('Tariffs Jan2021'!R109/100)*'Tariffs Jan2021'!AI109))</f>
        <v>0</v>
      </c>
      <c r="I115" s="69">
        <f>IF(($C$5*'Tariffs Jan2021'!AK109/'Tariffs Jan2021'!AI109&gt;'Tariffs Jan2021'!M109),($C$5*'Tariffs Jan2021'!AK109/'Tariffs Jan2021'!AI109-'Tariffs Jan2021'!M109)*'Tariffs Jan2021'!S109/100*'Tariffs Jan2021'!AI109,0)</f>
        <v>0</v>
      </c>
      <c r="J115" s="69">
        <f>IF($C$5*'Tariffs Jan2021'!AL109/'Tariffs Jan2021'!AJ109&gt;='Tariffs Jan2021'!J109,('Tariffs Jan2021'!J109*'Tariffs Jan2021'!U109/100)* 'Tariffs Jan2021'!AJ109,($C$5*'Tariffs Jan2021'!AL109/'Tariffs Jan2021'!AJ109*'Tariffs Jan2021'!U109/100)* 'Tariffs Jan2021'!AJ109)</f>
        <v>379.63636363636363</v>
      </c>
      <c r="K115" s="69">
        <f>IF($C$5*'Tariffs Jan2021'!AL109/'Tariffs Jan2021'!AJ109&lt;'Tariffs Jan2021'!J109,0,IF($C$5*'Tariffs Jan2021'!AL109/'Tariffs Jan2021'!AJ109&lt;='Tariffs Jan2021'!K109,($C$5*'Tariffs Jan2021'!AL109/'Tariffs Jan2021'!AJ109-'Tariffs Jan2021'!J109)*('Tariffs Jan2021'!V109/100)*'Tariffs Jan2021'!AJ109,('Tariffs Jan2021'!K109-'Tariffs Jan2021'!J109)*('Tariffs Jan2021'!V109/100)*'Tariffs Jan2021'!AJ109))</f>
        <v>281.38887272727266</v>
      </c>
      <c r="L115" s="69">
        <f>IF($C$5*'Tariffs Jan2021'!AL109/'Tariffs Jan2021'!AJ109&lt;'Tariffs Jan2021'!K109,0,IF($C$5*'Tariffs Jan2021'!AL109/'Tariffs Jan2021'!AJ109&lt;='Tariffs Jan2021'!L109,($C$5*'Tariffs Jan2021'!AL109/'Tariffs Jan2021'!AJ109-'Tariffs Jan2021'!K109)*('Tariffs Jan2021'!W109/100)*'Tariffs Jan2021'!AJ109,('Tariffs Jan2021'!L109-'Tariffs Jan2021'!K109)*('Tariffs Jan2021'!W109/100)*'Tariffs Jan2021'!AJ109))</f>
        <v>0</v>
      </c>
      <c r="M115" s="69">
        <f>IF($C$5*'Tariffs Jan2021'!AL109/'Tariffs Jan2021'!AJ109&lt;'Tariffs Jan2021'!L109,0,IF($C$5*'Tariffs Jan2021'!AL109/'Tariffs Jan2021'!AJ109&lt;='Tariffs Jan2021'!M109,($C$5*'Tariffs Jan2021'!AL109/'Tariffs Jan2021'!AJ109-'Tariffs Jan2021'!L109)*('Tariffs Jan2021'!X109/100)*'Tariffs Jan2021'!AJ109,('Tariffs Jan2021'!M109-'Tariffs Jan2021'!L109)*('Tariffs Jan2021'!X109/100)*'Tariffs Jan2021'!AJ109))</f>
        <v>0</v>
      </c>
      <c r="N115" s="69">
        <f>IF(($C$5*'Tariffs Jan2021'!AL109/'Tariffs Jan2021'!AJ109&gt;'Tariffs Jan2021'!M109),($C$5*'Tariffs Jan2021'!AL109/'Tariffs Jan2021'!AJ109-'Tariffs Jan2021'!M109)*'Tariffs Jan2021'!Y109/100*'Tariffs Jan2021'!AJ109,0)</f>
        <v>0</v>
      </c>
      <c r="O115" s="59">
        <f t="shared" si="72"/>
        <v>1049.3506909090906</v>
      </c>
      <c r="P115" s="503">
        <f t="shared" si="56"/>
        <v>1154.2857599999998</v>
      </c>
      <c r="Q115" s="59">
        <f t="shared" si="73"/>
        <v>1332.5906909090907</v>
      </c>
      <c r="R115" s="272">
        <f t="shared" si="74"/>
        <v>1465.8497599999998</v>
      </c>
      <c r="S115" s="40">
        <f>'Tariffs Jan2021'!AN109</f>
        <v>0</v>
      </c>
      <c r="T115" s="40">
        <f>'Tariffs Jan2021'!AO109</f>
        <v>0</v>
      </c>
      <c r="U115" s="40">
        <f>'Tariffs Jan2021'!AP109</f>
        <v>0</v>
      </c>
      <c r="V115" s="40">
        <f>'Tariffs Jan2021'!AQ109</f>
        <v>0</v>
      </c>
      <c r="W115" s="537" t="str">
        <f t="shared" si="79"/>
        <v>No discount</v>
      </c>
      <c r="X115" s="538" t="str">
        <f t="shared" si="80"/>
        <v>Exclusive</v>
      </c>
      <c r="Y115" s="534">
        <f>IF(AND(W115="Guaranteed off bill",X115="Inclusive"),((Q115*1.1)-((Q115*1.1)*S115/100))/1.1,IF(AND(W115="Guaranteed off usage",X115="Inclusive"),((Q115*1.1)-((P115*1.1)*T115/100))/1.1,IF(AND(W115="Guaranteed off bill",X115="Exclusive"),Q115-(Q115*S115/100),IF(AND(W115="Guaranteed off usage",X115="Exclusive"),Q115-(P115*T115/100),IF(X115="Inclusive",((Q115*1.1))/1.1,Q115)))))</f>
        <v>1332.5906909090907</v>
      </c>
      <c r="Z115" s="535">
        <f>IF(AND(W115="Pay-on-time off bill",X115="Inclusive"),((Y115*1.1)-((Y115*1.1)*U115/100))/1.1,IF(AND(W115="Pay-on-time off usage",X115="Inclusive"),((Y115*1.1)-((P115*1.1)*V115/100))/1.1,IF(AND(W115="Pay-on-time off bill",X115="Exclusive"),Y115-(Y115*U115/100),IF(AND(W115="Pay-on-time off usage",X115="Exclusive"),Y115-(P115*V115/100),IF(X115="Inclusive",((Y115*1.1))/1.1,Y115)))))</f>
        <v>1332.5906909090907</v>
      </c>
      <c r="AA115" s="542">
        <f t="shared" si="78"/>
        <v>1465.8497599999998</v>
      </c>
      <c r="AB115" s="542">
        <f t="shared" si="78"/>
        <v>1465.8497599999998</v>
      </c>
      <c r="AC115" s="274">
        <f>'Tariffs Jan2021'!AZ109</f>
        <v>0</v>
      </c>
      <c r="AD115" s="274" t="str">
        <f>'Tariffs Jan2021'!BA109</f>
        <v>n</v>
      </c>
      <c r="AE115" s="275" t="str">
        <f>'Tariffs Jan2021'!BJ109</f>
        <v>N</v>
      </c>
      <c r="AF115" s="516"/>
      <c r="AG115" s="516"/>
      <c r="AH115" s="516"/>
      <c r="AI115" s="516"/>
      <c r="AJ115" s="516"/>
      <c r="AK115" s="516"/>
      <c r="AL115" s="516"/>
      <c r="AM115" s="516"/>
      <c r="AN115" s="516"/>
      <c r="AO115" s="516"/>
      <c r="AP115" s="516"/>
      <c r="AQ115" s="516"/>
      <c r="AR115" s="516"/>
      <c r="AS115" s="516"/>
      <c r="AT115" s="516"/>
      <c r="AU115" s="516"/>
      <c r="AV115" s="516"/>
      <c r="AW115" s="516"/>
      <c r="AX115" s="516"/>
      <c r="AY115" s="516"/>
      <c r="AZ115" s="516"/>
    </row>
    <row r="116" spans="1:52" ht="14" x14ac:dyDescent="0.15">
      <c r="A116" s="270" t="str">
        <f>'Tariffs Jan2021'!F110</f>
        <v>Momentum Energy</v>
      </c>
      <c r="B116" s="40" t="str">
        <f>'Tariffs Jan2021'!D110</f>
        <v>AusNet Services Central 2</v>
      </c>
      <c r="C116" s="40" t="str">
        <f>'Tariffs Jan2021'!G110</f>
        <v>Market offer</v>
      </c>
      <c r="D116" s="59">
        <f>365*'Tariffs Jan2021'!H110/100</f>
        <v>362.44499999999999</v>
      </c>
      <c r="E116" s="59">
        <f>IF($C$5*'Tariffs Jan2021'!AK110/'Tariffs Jan2021'!AI110&gt;='Tariffs Jan2021'!J110,( 'Tariffs Jan2021'!J110*'Tariffs Jan2021'!O110/100)* 'Tariffs Jan2021'!AI110,($C$5*'Tariffs Jan2021'!AK110/'Tariffs Jan2021'!AI110*'Tariffs Jan2021'!O110/100)* 'Tariffs Jan2021'!AI110)</f>
        <v>263.99999999999994</v>
      </c>
      <c r="F116" s="59">
        <f>IF($C$5*'Tariffs Jan2021'!AK110/'Tariffs Jan2021'!AI110&lt;'Tariffs Jan2021'!J110,0,IF($C$5*'Tariffs Jan2021'!AK110/'Tariffs Jan2021'!AI110&lt;='Tariffs Jan2021'!K110,($C$5*'Tariffs Jan2021'!AK110/'Tariffs Jan2021'!AI110-'Tariffs Jan2021'!J110)*('Tariffs Jan2021'!P110/100)*'Tariffs Jan2021'!AI110,('Tariffs Jan2021'!K110-'Tariffs Jan2021'!J110)*('Tariffs Jan2021'!P110/100)*'Tariffs Jan2021'!AI110))</f>
        <v>179.95799999999997</v>
      </c>
      <c r="G116" s="59">
        <f>IF($C$5*'Tariffs Jan2021'!AK110/'Tariffs Jan2021'!AI110&lt;'Tariffs Jan2021'!K110,0,IF($C$5*'Tariffs Jan2021'!AK110/'Tariffs Jan2021'!AI110&lt;='Tariffs Jan2021'!L110,($C$5*'Tariffs Jan2021'!AK110/'Tariffs Jan2021'!AI110-'Tariffs Jan2021'!K110)*('Tariffs Jan2021'!Q110/100)*'Tariffs Jan2021'!AI110,('Tariffs Jan2021'!L110-'Tariffs Jan2021'!K110)*('Tariffs Jan2021'!Q110/100)*'Tariffs Jan2021'!AI110))</f>
        <v>0</v>
      </c>
      <c r="H116" s="59">
        <f>IF($C$5*'Tariffs Jan2021'!AK110/'Tariffs Jan2021'!AI110&lt;'Tariffs Jan2021'!L110,0,IF($C$5*'Tariffs Jan2021'!AK110/'Tariffs Jan2021'!AI110&lt;='Tariffs Jan2021'!M110,($C$5*'Tariffs Jan2021'!AK110/'Tariffs Jan2021'!AI110-'Tariffs Jan2021'!L110)*('Tariffs Jan2021'!R110/100)*'Tariffs Jan2021'!AI110,('Tariffs Jan2021'!M110-'Tariffs Jan2021'!L110)*('Tariffs Jan2021'!R110/100)*'Tariffs Jan2021'!AI110))</f>
        <v>0</v>
      </c>
      <c r="I116" s="69">
        <f>IF(($C$5*'Tariffs Jan2021'!AK110/'Tariffs Jan2021'!AI110&gt;'Tariffs Jan2021'!M110),($C$5*'Tariffs Jan2021'!AK110/'Tariffs Jan2021'!AI110-'Tariffs Jan2021'!M110)*'Tariffs Jan2021'!S110/100*'Tariffs Jan2021'!AI110,0)</f>
        <v>0</v>
      </c>
      <c r="J116" s="69">
        <f>IF($C$5*'Tariffs Jan2021'!AL110/'Tariffs Jan2021'!AJ110&gt;='Tariffs Jan2021'!J110,('Tariffs Jan2021'!J110*'Tariffs Jan2021'!U110/100)* 'Tariffs Jan2021'!AJ110,($C$5*'Tariffs Jan2021'!AL110/'Tariffs Jan2021'!AJ110*'Tariffs Jan2021'!U110/100)* 'Tariffs Jan2021'!AJ110)</f>
        <v>408</v>
      </c>
      <c r="K116" s="69">
        <f>IF($C$5*'Tariffs Jan2021'!AL110/'Tariffs Jan2021'!AJ110&lt;'Tariffs Jan2021'!J110,0,IF($C$5*'Tariffs Jan2021'!AL110/'Tariffs Jan2021'!AJ110&lt;='Tariffs Jan2021'!K110,($C$5*'Tariffs Jan2021'!AL110/'Tariffs Jan2021'!AJ110-'Tariffs Jan2021'!J110)*('Tariffs Jan2021'!V110/100)*'Tariffs Jan2021'!AJ110,('Tariffs Jan2021'!K110-'Tariffs Jan2021'!J110)*('Tariffs Jan2021'!V110/100)*'Tariffs Jan2021'!AJ110))</f>
        <v>305.92859999999996</v>
      </c>
      <c r="L116" s="69">
        <f>IF($C$5*'Tariffs Jan2021'!AL110/'Tariffs Jan2021'!AJ110&lt;'Tariffs Jan2021'!K110,0,IF($C$5*'Tariffs Jan2021'!AL110/'Tariffs Jan2021'!AJ110&lt;='Tariffs Jan2021'!L110,($C$5*'Tariffs Jan2021'!AL110/'Tariffs Jan2021'!AJ110-'Tariffs Jan2021'!K110)*('Tariffs Jan2021'!W110/100)*'Tariffs Jan2021'!AJ110,('Tariffs Jan2021'!L110-'Tariffs Jan2021'!K110)*('Tariffs Jan2021'!W110/100)*'Tariffs Jan2021'!AJ110))</f>
        <v>0</v>
      </c>
      <c r="M116" s="69">
        <f>IF($C$5*'Tariffs Jan2021'!AL110/'Tariffs Jan2021'!AJ110&lt;'Tariffs Jan2021'!L110,0,IF($C$5*'Tariffs Jan2021'!AL110/'Tariffs Jan2021'!AJ110&lt;='Tariffs Jan2021'!M110,($C$5*'Tariffs Jan2021'!AL110/'Tariffs Jan2021'!AJ110-'Tariffs Jan2021'!L110)*('Tariffs Jan2021'!X110/100)*'Tariffs Jan2021'!AJ110,('Tariffs Jan2021'!M110-'Tariffs Jan2021'!L110)*('Tariffs Jan2021'!X110/100)*'Tariffs Jan2021'!AJ110))</f>
        <v>0</v>
      </c>
      <c r="N116" s="69">
        <f>IF(($C$5*'Tariffs Jan2021'!AL110/'Tariffs Jan2021'!AJ110&gt;'Tariffs Jan2021'!M110),($C$5*'Tariffs Jan2021'!AL110/'Tariffs Jan2021'!AJ110-'Tariffs Jan2021'!M110)*'Tariffs Jan2021'!Y110/100*'Tariffs Jan2021'!AJ110,0)</f>
        <v>0</v>
      </c>
      <c r="O116" s="59">
        <f t="shared" si="72"/>
        <v>1157.8865999999998</v>
      </c>
      <c r="P116" s="503">
        <f t="shared" si="56"/>
        <v>1273.67526</v>
      </c>
      <c r="Q116" s="59">
        <f t="shared" si="73"/>
        <v>1520.3315999999998</v>
      </c>
      <c r="R116" s="272">
        <f t="shared" si="74"/>
        <v>1672.3647599999999</v>
      </c>
      <c r="S116" s="40">
        <f>'Tariffs Jan2021'!AN110</f>
        <v>0</v>
      </c>
      <c r="T116" s="40">
        <f>'Tariffs Jan2021'!AO110</f>
        <v>0</v>
      </c>
      <c r="U116" s="40">
        <f>'Tariffs Jan2021'!AP110</f>
        <v>0</v>
      </c>
      <c r="V116" s="40">
        <f>'Tariffs Jan2021'!AQ110</f>
        <v>0</v>
      </c>
      <c r="W116" s="537" t="str">
        <f t="shared" si="79"/>
        <v>No discount</v>
      </c>
      <c r="X116" s="538" t="str">
        <f t="shared" si="80"/>
        <v>Exclusive</v>
      </c>
      <c r="Y116" s="534">
        <f t="shared" ref="Y116" si="85">IF(AND(W116="Guaranteed off bill",X116="Inclusive"),((Q116*1.1)-((Q116*1.1)*S116/100))/1.1,IF(AND(W116="Guaranteed off usage",X116="Inclusive"),((Q116*1.1)-((P116*1.1)*T116/100))/1.1,IF(AND(W116="Guaranteed off bill",X116="Exclusive"),Q116-(Q116*S116/100),IF(AND(W116="Guaranteed off usage",X116="Exclusive"),Q116-(P116*T116/100),IF(X116="Inclusive",((Q116*1.1))/1.1,Q116)))))</f>
        <v>1520.3315999999998</v>
      </c>
      <c r="Z116" s="535">
        <f t="shared" ref="Z116" si="86">IF(AND(W116="Pay-on-time off bill",X116="Inclusive"),((Y116*1.1)-((Y116*1.1)*U116/100))/1.1,IF(AND(W116="Pay-on-time off usage",X116="Inclusive"),((Y116*1.1)-((P116*1.1)*V116/100))/1.1,IF(AND(W116="Pay-on-time off bill",X116="Exclusive"),Y116-(Y116*U116/100),IF(AND(W116="Pay-on-time off usage",X116="Exclusive"),Y116-(P116*V116/100),IF(X116="Inclusive",((Y116*1.1))/1.1,Y116)))))</f>
        <v>1520.3315999999998</v>
      </c>
      <c r="AA116" s="542">
        <f t="shared" si="78"/>
        <v>1672.3647599999999</v>
      </c>
      <c r="AB116" s="542">
        <f t="shared" si="78"/>
        <v>1672.3647599999999</v>
      </c>
      <c r="AC116" s="274">
        <f>'Tariffs Jan2021'!AZ110</f>
        <v>0</v>
      </c>
      <c r="AD116" s="274" t="str">
        <f>'Tariffs Jan2021'!BA110</f>
        <v>n</v>
      </c>
      <c r="AE116" s="275" t="str">
        <f>'Tariffs Jan2021'!BJ110</f>
        <v>N</v>
      </c>
      <c r="AF116" s="516"/>
      <c r="AG116" s="516"/>
      <c r="AH116" s="516"/>
      <c r="AI116" s="516"/>
      <c r="AJ116" s="516"/>
      <c r="AK116" s="516"/>
      <c r="AL116" s="516"/>
      <c r="AM116" s="516"/>
      <c r="AN116" s="516"/>
      <c r="AO116" s="516"/>
      <c r="AP116" s="516"/>
      <c r="AQ116" s="516"/>
      <c r="AR116" s="516"/>
      <c r="AS116" s="516"/>
      <c r="AT116" s="516"/>
      <c r="AU116" s="516"/>
      <c r="AV116" s="516"/>
      <c r="AW116" s="516"/>
      <c r="AX116" s="516"/>
      <c r="AY116" s="516"/>
      <c r="AZ116" s="516"/>
    </row>
    <row r="117" spans="1:52" ht="14" x14ac:dyDescent="0.15">
      <c r="A117" s="270" t="str">
        <f>'Tariffs Jan2021'!F111</f>
        <v>Origin Energy</v>
      </c>
      <c r="B117" s="40" t="str">
        <f>'Tariffs Jan2021'!D111</f>
        <v>AusNet Services Central 2</v>
      </c>
      <c r="C117" s="40" t="str">
        <f>'Tariffs Jan2021'!G111</f>
        <v>Go</v>
      </c>
      <c r="D117" s="59">
        <f>365*'Tariffs Jan2021'!H111/100</f>
        <v>227.95909090909092</v>
      </c>
      <c r="E117" s="59">
        <f>IF($C$5*'Tariffs Jan2021'!AK111/'Tariffs Jan2021'!AI111&gt;='Tariffs Jan2021'!J111,( 'Tariffs Jan2021'!J111*'Tariffs Jan2021'!O111/100)* 'Tariffs Jan2021'!AI111,($C$5*'Tariffs Jan2021'!AK111/'Tariffs Jan2021'!AI111*'Tariffs Jan2021'!O111/100)* 'Tariffs Jan2021'!AI111)</f>
        <v>134.72727272727275</v>
      </c>
      <c r="F117" s="59">
        <f>IF($C$5*'Tariffs Jan2021'!AK111/'Tariffs Jan2021'!AI111&lt;'Tariffs Jan2021'!J111,0,IF($C$5*'Tariffs Jan2021'!AK111/'Tariffs Jan2021'!AI111&lt;='Tariffs Jan2021'!K111,($C$5*'Tariffs Jan2021'!AK111/'Tariffs Jan2021'!AI111-'Tariffs Jan2021'!J111)*('Tariffs Jan2021'!P111/100)*'Tariffs Jan2021'!AI111,('Tariffs Jan2021'!K111-'Tariffs Jan2021'!J111)*('Tariffs Jan2021'!P111/100)*'Tariffs Jan2021'!AI111))</f>
        <v>0</v>
      </c>
      <c r="G117" s="59">
        <f>IF($C$5*'Tariffs Jan2021'!AK111/'Tariffs Jan2021'!AI111&lt;'Tariffs Jan2021'!K111,0,IF($C$5*'Tariffs Jan2021'!AK111/'Tariffs Jan2021'!AI111&lt;='Tariffs Jan2021'!L111,($C$5*'Tariffs Jan2021'!AK111/'Tariffs Jan2021'!AI111-'Tariffs Jan2021'!K111)*('Tariffs Jan2021'!Q111/100)*'Tariffs Jan2021'!AI111,('Tariffs Jan2021'!L111-'Tariffs Jan2021'!K111)*('Tariffs Jan2021'!Q111/100)*'Tariffs Jan2021'!AI111))</f>
        <v>0</v>
      </c>
      <c r="H117" s="59">
        <f>IF($C$5*'Tariffs Jan2021'!AK111/'Tariffs Jan2021'!AI111&lt;'Tariffs Jan2021'!L111,0,IF($C$5*'Tariffs Jan2021'!AK111/'Tariffs Jan2021'!AI111&lt;='Tariffs Jan2021'!M111,($C$5*'Tariffs Jan2021'!AK111/'Tariffs Jan2021'!AI111-'Tariffs Jan2021'!L111)*('Tariffs Jan2021'!R111/100)*'Tariffs Jan2021'!AI111,('Tariffs Jan2021'!M111-'Tariffs Jan2021'!L111)*('Tariffs Jan2021'!R111/100)*'Tariffs Jan2021'!AI111))</f>
        <v>0</v>
      </c>
      <c r="I117" s="69">
        <f>IF(($C$5*'Tariffs Jan2021'!AK111/'Tariffs Jan2021'!AI111&gt;'Tariffs Jan2021'!M111),($C$5*'Tariffs Jan2021'!AK111/'Tariffs Jan2021'!AI111-'Tariffs Jan2021'!M111)*'Tariffs Jan2021'!S111/100*'Tariffs Jan2021'!AI111,0)</f>
        <v>264.50841818181812</v>
      </c>
      <c r="J117" s="69">
        <f>IF($C$5*'Tariffs Jan2021'!AL111/'Tariffs Jan2021'!AJ111&gt;='Tariffs Jan2021'!J111,('Tariffs Jan2021'!J111*'Tariffs Jan2021'!U111/100)* 'Tariffs Jan2021'!AJ111,($C$5*'Tariffs Jan2021'!AL111/'Tariffs Jan2021'!AJ111*'Tariffs Jan2021'!U111/100)* 'Tariffs Jan2021'!AJ111)</f>
        <v>192</v>
      </c>
      <c r="K117" s="69">
        <f>IF($C$5*'Tariffs Jan2021'!AL111/'Tariffs Jan2021'!AJ111&lt;'Tariffs Jan2021'!J111,0,IF($C$5*'Tariffs Jan2021'!AL111/'Tariffs Jan2021'!AJ111&lt;='Tariffs Jan2021'!K111,($C$5*'Tariffs Jan2021'!AL111/'Tariffs Jan2021'!AJ111-'Tariffs Jan2021'!J111)*('Tariffs Jan2021'!V111/100)*'Tariffs Jan2021'!AJ111,('Tariffs Jan2021'!K111-'Tariffs Jan2021'!J111)*('Tariffs Jan2021'!V111/100)*'Tariffs Jan2021'!AJ111))</f>
        <v>0</v>
      </c>
      <c r="L117" s="69">
        <f>IF($C$5*'Tariffs Jan2021'!AL111/'Tariffs Jan2021'!AJ111&lt;'Tariffs Jan2021'!K111,0,IF($C$5*'Tariffs Jan2021'!AL111/'Tariffs Jan2021'!AJ111&lt;='Tariffs Jan2021'!L111,($C$5*'Tariffs Jan2021'!AL111/'Tariffs Jan2021'!AJ111-'Tariffs Jan2021'!K111)*('Tariffs Jan2021'!W111/100)*'Tariffs Jan2021'!AJ111,('Tariffs Jan2021'!L111-'Tariffs Jan2021'!K111)*('Tariffs Jan2021'!W111/100)*'Tariffs Jan2021'!AJ111))</f>
        <v>0</v>
      </c>
      <c r="M117" s="69">
        <f>IF($C$5*'Tariffs Jan2021'!AL111/'Tariffs Jan2021'!AJ111&lt;'Tariffs Jan2021'!L111,0,IF($C$5*'Tariffs Jan2021'!AL111/'Tariffs Jan2021'!AJ111&lt;='Tariffs Jan2021'!M111,($C$5*'Tariffs Jan2021'!AL111/'Tariffs Jan2021'!AJ111-'Tariffs Jan2021'!L111)*('Tariffs Jan2021'!X111/100)*'Tariffs Jan2021'!AJ111,('Tariffs Jan2021'!M111-'Tariffs Jan2021'!L111)*('Tariffs Jan2021'!X111/100)*'Tariffs Jan2021'!AJ111))</f>
        <v>0</v>
      </c>
      <c r="N117" s="69">
        <f>IF(($C$5*'Tariffs Jan2021'!AL111/'Tariffs Jan2021'!AJ111&gt;'Tariffs Jan2021'!M111),($C$5*'Tariffs Jan2021'!AL111/'Tariffs Jan2021'!AJ111-'Tariffs Jan2021'!M111)*'Tariffs Jan2021'!Y111/100*'Tariffs Jan2021'!AJ111,0)</f>
        <v>384.49161818181813</v>
      </c>
      <c r="O117" s="59">
        <f t="shared" si="72"/>
        <v>975.72730909090899</v>
      </c>
      <c r="P117" s="503">
        <f t="shared" si="56"/>
        <v>1073.3000400000001</v>
      </c>
      <c r="Q117" s="59">
        <f t="shared" si="73"/>
        <v>1203.6863999999998</v>
      </c>
      <c r="R117" s="272">
        <f t="shared" si="74"/>
        <v>1324.05504</v>
      </c>
      <c r="S117" s="40">
        <f>'Tariffs Jan2021'!AN111</f>
        <v>0</v>
      </c>
      <c r="T117" s="40">
        <f>'Tariffs Jan2021'!AO111</f>
        <v>0</v>
      </c>
      <c r="U117" s="40">
        <f>'Tariffs Jan2021'!AP111</f>
        <v>0</v>
      </c>
      <c r="V117" s="40">
        <f>'Tariffs Jan2021'!AQ111</f>
        <v>0</v>
      </c>
      <c r="W117" s="537" t="str">
        <f t="shared" si="79"/>
        <v>No discount</v>
      </c>
      <c r="X117" s="538" t="str">
        <f t="shared" si="80"/>
        <v>Inclusive</v>
      </c>
      <c r="Y117" s="534">
        <f>IF(AND(W117="Guaranteed off bill",X117="Inclusive"),((Q117*1.1)-((Q117*1.1)*S117/100))/1.1,IF(AND(W117="Guaranteed off usage",X117="Inclusive"),((Q117*1.1)-((P117*1.1)*T117/100))/1.1,IF(AND(W117="Guaranteed off bill",X117="Exclusive"),Q117-(Q117*S117/100),IF(AND(W117="Guaranteed off usage",X117="Exclusive"),Q117-(P117*T117/100),IF(X117="Inclusive",((Q117*1.1))/1.1,Q117)))))</f>
        <v>1203.6863999999998</v>
      </c>
      <c r="Z117" s="535">
        <f>IF(AND(W117="Pay-on-time off bill",X117="Inclusive"),((Y117*1.1)-((Y117*1.1)*U117/100))/1.1,IF(AND(W117="Pay-on-time off usage",X117="Inclusive"),((Y117*1.1)-((P117*1.1)*V117/100))/1.1,IF(AND(W117="Pay-on-time off bill",X117="Exclusive"),Y117-(Y117*U117/100),IF(AND(W117="Pay-on-time off usage",X117="Exclusive"),Y117-(P117*V117/100),IF(X117="Inclusive",((Y117*1.1))/1.1,Y117)))))</f>
        <v>1203.6863999999998</v>
      </c>
      <c r="AA117" s="542">
        <f t="shared" si="78"/>
        <v>1324.05504</v>
      </c>
      <c r="AB117" s="542">
        <f t="shared" si="78"/>
        <v>1324.05504</v>
      </c>
      <c r="AC117" s="274">
        <f>'Tariffs Jan2021'!AZ111</f>
        <v>0</v>
      </c>
      <c r="AD117" s="274" t="str">
        <f>'Tariffs Jan2021'!BA111</f>
        <v>n</v>
      </c>
      <c r="AE117" s="275" t="str">
        <f>'Tariffs Jan2021'!BJ111</f>
        <v>N</v>
      </c>
      <c r="AF117" s="516"/>
      <c r="AG117" s="516"/>
      <c r="AH117" s="516"/>
      <c r="AI117" s="516"/>
      <c r="AJ117" s="516"/>
      <c r="AK117" s="516"/>
      <c r="AL117" s="516"/>
      <c r="AM117" s="516"/>
      <c r="AN117" s="516"/>
      <c r="AO117" s="516"/>
      <c r="AP117" s="516"/>
      <c r="AQ117" s="516"/>
      <c r="AR117" s="516"/>
      <c r="AS117" s="516"/>
      <c r="AT117" s="516"/>
      <c r="AU117" s="516"/>
      <c r="AV117" s="516"/>
      <c r="AW117" s="516"/>
      <c r="AX117" s="516"/>
      <c r="AY117" s="516"/>
      <c r="AZ117" s="516"/>
    </row>
    <row r="118" spans="1:52" ht="14" x14ac:dyDescent="0.15">
      <c r="A118" s="270" t="str">
        <f>'Tariffs Jan2021'!F112</f>
        <v>Red Energy</v>
      </c>
      <c r="B118" s="40" t="str">
        <f>'Tariffs Jan2021'!D112</f>
        <v>AusNet Services Central 2</v>
      </c>
      <c r="C118" s="40" t="str">
        <f>'Tariffs Jan2021'!G112</f>
        <v>Living Energy Saver</v>
      </c>
      <c r="D118" s="59">
        <f>365*'Tariffs Jan2021'!H112/100</f>
        <v>271.02909090909088</v>
      </c>
      <c r="E118" s="59">
        <f>IF($C$5*'Tariffs Jan2021'!AK112/'Tariffs Jan2021'!AI112&gt;='Tariffs Jan2021'!J112,( 'Tariffs Jan2021'!J112*'Tariffs Jan2021'!O112/100)* 'Tariffs Jan2021'!AI112,($C$5*'Tariffs Jan2021'!AK112/'Tariffs Jan2021'!AI112*'Tariffs Jan2021'!O112/100)* 'Tariffs Jan2021'!AI112)</f>
        <v>259.63636363636363</v>
      </c>
      <c r="F118" s="59">
        <f>IF($C$5*'Tariffs Jan2021'!AK112/'Tariffs Jan2021'!AI112&lt;'Tariffs Jan2021'!J112,0,IF($C$5*'Tariffs Jan2021'!AK112/'Tariffs Jan2021'!AI112&lt;='Tariffs Jan2021'!K112,($C$5*'Tariffs Jan2021'!AK112/'Tariffs Jan2021'!AI112-'Tariffs Jan2021'!J112)*('Tariffs Jan2021'!P112/100)*'Tariffs Jan2021'!AI112,('Tariffs Jan2021'!K112-'Tariffs Jan2021'!J112)*('Tariffs Jan2021'!P112/100)*'Tariffs Jan2021'!AI112))</f>
        <v>174.23206363636356</v>
      </c>
      <c r="G118" s="59">
        <f>IF($C$5*'Tariffs Jan2021'!AK112/'Tariffs Jan2021'!AI112&lt;'Tariffs Jan2021'!K112,0,IF($C$5*'Tariffs Jan2021'!AK112/'Tariffs Jan2021'!AI112&lt;='Tariffs Jan2021'!L112,($C$5*'Tariffs Jan2021'!AK112/'Tariffs Jan2021'!AI112-'Tariffs Jan2021'!K112)*('Tariffs Jan2021'!Q112/100)*'Tariffs Jan2021'!AI112,('Tariffs Jan2021'!L112-'Tariffs Jan2021'!K112)*('Tariffs Jan2021'!Q112/100)*'Tariffs Jan2021'!AI112))</f>
        <v>0</v>
      </c>
      <c r="H118" s="59">
        <f>IF($C$5*'Tariffs Jan2021'!AK112/'Tariffs Jan2021'!AI112&lt;'Tariffs Jan2021'!L112,0,IF($C$5*'Tariffs Jan2021'!AK112/'Tariffs Jan2021'!AI112&lt;='Tariffs Jan2021'!M112,($C$5*'Tariffs Jan2021'!AK112/'Tariffs Jan2021'!AI112-'Tariffs Jan2021'!L112)*('Tariffs Jan2021'!R112/100)*'Tariffs Jan2021'!AI112,('Tariffs Jan2021'!M112-'Tariffs Jan2021'!L112)*('Tariffs Jan2021'!R112/100)*'Tariffs Jan2021'!AI112))</f>
        <v>0</v>
      </c>
      <c r="I118" s="69">
        <f>IF(($C$5*'Tariffs Jan2021'!AK112/'Tariffs Jan2021'!AI112&gt;'Tariffs Jan2021'!M112),($C$5*'Tariffs Jan2021'!AK112/'Tariffs Jan2021'!AI112-'Tariffs Jan2021'!M112)*'Tariffs Jan2021'!S112/100*'Tariffs Jan2021'!AI112,0)</f>
        <v>0</v>
      </c>
      <c r="J118" s="69">
        <f>IF($C$5*'Tariffs Jan2021'!AL112/'Tariffs Jan2021'!AJ112&gt;='Tariffs Jan2021'!J112,('Tariffs Jan2021'!J112*'Tariffs Jan2021'!U112/100)* 'Tariffs Jan2021'!AJ112,($C$5*'Tariffs Jan2021'!AL112/'Tariffs Jan2021'!AJ112*'Tariffs Jan2021'!U112/100)* 'Tariffs Jan2021'!AJ112)</f>
        <v>421.09090909090907</v>
      </c>
      <c r="K118" s="69">
        <f>IF($C$5*'Tariffs Jan2021'!AL112/'Tariffs Jan2021'!AJ112&lt;'Tariffs Jan2021'!J112,0,IF($C$5*'Tariffs Jan2021'!AL112/'Tariffs Jan2021'!AJ112&lt;='Tariffs Jan2021'!K112,($C$5*'Tariffs Jan2021'!AL112/'Tariffs Jan2021'!AJ112-'Tariffs Jan2021'!J112)*('Tariffs Jan2021'!V112/100)*'Tariffs Jan2021'!AJ112,('Tariffs Jan2021'!K112-'Tariffs Jan2021'!J112)*('Tariffs Jan2021'!V112/100)*'Tariffs Jan2021'!AJ112))</f>
        <v>307.56458181818169</v>
      </c>
      <c r="L118" s="69">
        <f>IF($C$5*'Tariffs Jan2021'!AL112/'Tariffs Jan2021'!AJ112&lt;'Tariffs Jan2021'!K112,0,IF($C$5*'Tariffs Jan2021'!AL112/'Tariffs Jan2021'!AJ112&lt;='Tariffs Jan2021'!L112,($C$5*'Tariffs Jan2021'!AL112/'Tariffs Jan2021'!AJ112-'Tariffs Jan2021'!K112)*('Tariffs Jan2021'!W112/100)*'Tariffs Jan2021'!AJ112,('Tariffs Jan2021'!L112-'Tariffs Jan2021'!K112)*('Tariffs Jan2021'!W112/100)*'Tariffs Jan2021'!AJ112))</f>
        <v>0</v>
      </c>
      <c r="M118" s="69">
        <f>IF($C$5*'Tariffs Jan2021'!AL112/'Tariffs Jan2021'!AJ112&lt;'Tariffs Jan2021'!L112,0,IF($C$5*'Tariffs Jan2021'!AL112/'Tariffs Jan2021'!AJ112&lt;='Tariffs Jan2021'!M112,($C$5*'Tariffs Jan2021'!AL112/'Tariffs Jan2021'!AJ112-'Tariffs Jan2021'!L112)*('Tariffs Jan2021'!X112/100)*'Tariffs Jan2021'!AJ112,('Tariffs Jan2021'!M112-'Tariffs Jan2021'!L112)*('Tariffs Jan2021'!X112/100)*'Tariffs Jan2021'!AJ112))</f>
        <v>0</v>
      </c>
      <c r="N118" s="69">
        <f>IF(($C$5*'Tariffs Jan2021'!AL112/'Tariffs Jan2021'!AJ112&gt;'Tariffs Jan2021'!M112),($C$5*'Tariffs Jan2021'!AL112/'Tariffs Jan2021'!AJ112-'Tariffs Jan2021'!M112)*'Tariffs Jan2021'!Y112/100*'Tariffs Jan2021'!AJ112,0)</f>
        <v>0</v>
      </c>
      <c r="O118" s="59">
        <f t="shared" si="72"/>
        <v>1162.5239181818181</v>
      </c>
      <c r="P118" s="503">
        <f t="shared" si="56"/>
        <v>1278.77631</v>
      </c>
      <c r="Q118" s="59">
        <f t="shared" si="73"/>
        <v>1433.553009090909</v>
      </c>
      <c r="R118" s="272">
        <f t="shared" si="74"/>
        <v>1576.90831</v>
      </c>
      <c r="S118" s="40">
        <f>'Tariffs Jan2021'!AN112</f>
        <v>0</v>
      </c>
      <c r="T118" s="40">
        <f>'Tariffs Jan2021'!AO112</f>
        <v>0</v>
      </c>
      <c r="U118" s="40">
        <f>'Tariffs Jan2021'!AP112</f>
        <v>0</v>
      </c>
      <c r="V118" s="40">
        <f>'Tariffs Jan2021'!AQ112</f>
        <v>0</v>
      </c>
      <c r="W118" s="537" t="str">
        <f t="shared" si="79"/>
        <v>No discount</v>
      </c>
      <c r="X118" s="538" t="str">
        <f t="shared" si="80"/>
        <v>Inclusive</v>
      </c>
      <c r="Y118" s="534">
        <f t="shared" ref="Y118:Y121" si="87">IF(AND(W118="Guaranteed off bill",X118="Inclusive"),((Q118*1.1)-((Q118*1.1)*S118/100))/1.1,IF(AND(W118="Guaranteed off usage",X118="Inclusive"),((Q118*1.1)-((P118*1.1)*T118/100))/1.1,IF(AND(W118="Guaranteed off bill",X118="Exclusive"),Q118-(Q118*S118/100),IF(AND(W118="Guaranteed off usage",X118="Exclusive"),Q118-(P118*T118/100),IF(X118="Inclusive",((Q118*1.1))/1.1,Q118)))))</f>
        <v>1433.553009090909</v>
      </c>
      <c r="Z118" s="535">
        <f t="shared" ref="Z118:Z121" si="88">IF(AND(W118="Pay-on-time off bill",X118="Inclusive"),((Y118*1.1)-((Y118*1.1)*U118/100))/1.1,IF(AND(W118="Pay-on-time off usage",X118="Inclusive"),((Y118*1.1)-((P118*1.1)*V118/100))/1.1,IF(AND(W118="Pay-on-time off bill",X118="Exclusive"),Y118-(Y118*U118/100),IF(AND(W118="Pay-on-time off usage",X118="Exclusive"),Y118-(P118*V118/100),IF(X118="Inclusive",((Y118*1.1))/1.1,Y118)))))</f>
        <v>1433.553009090909</v>
      </c>
      <c r="AA118" s="542">
        <f t="shared" si="78"/>
        <v>1576.90831</v>
      </c>
      <c r="AB118" s="542">
        <f t="shared" si="78"/>
        <v>1576.90831</v>
      </c>
      <c r="AC118" s="274">
        <f>'Tariffs Jan2021'!AZ112</f>
        <v>0</v>
      </c>
      <c r="AD118" s="274" t="str">
        <f>'Tariffs Jan2021'!BA112</f>
        <v>n</v>
      </c>
      <c r="AE118" s="275" t="str">
        <f>'Tariffs Jan2021'!BJ112</f>
        <v>N</v>
      </c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</row>
    <row r="119" spans="1:52" ht="14" x14ac:dyDescent="0.15">
      <c r="A119" s="270" t="str">
        <f>'Tariffs Jan2021'!F113</f>
        <v>Simply Energy</v>
      </c>
      <c r="B119" s="40" t="str">
        <f>'Tariffs Jan2021'!D113</f>
        <v>AusNet Services Central 2</v>
      </c>
      <c r="C119" s="40" t="str">
        <f>'Tariffs Jan2021'!G113</f>
        <v>Blue</v>
      </c>
      <c r="D119" s="59">
        <f>365*'Tariffs Jan2021'!H113/100</f>
        <v>338.05636363636359</v>
      </c>
      <c r="E119" s="59">
        <f>IF($C$5*'Tariffs Jan2021'!AK113/'Tariffs Jan2021'!AI113&gt;='Tariffs Jan2021'!J113,( 'Tariffs Jan2021'!J113*'Tariffs Jan2021'!O113/100)* 'Tariffs Jan2021'!AI113,($C$5*'Tariffs Jan2021'!AK113/'Tariffs Jan2021'!AI113*'Tariffs Jan2021'!O113/100)* 'Tariffs Jan2021'!AI113)</f>
        <v>289.09090909090907</v>
      </c>
      <c r="F119" s="59">
        <f>IF($C$5*'Tariffs Jan2021'!AK113/'Tariffs Jan2021'!AI113&lt;'Tariffs Jan2021'!J113,0,IF($C$5*'Tariffs Jan2021'!AK113/'Tariffs Jan2021'!AI113&lt;='Tariffs Jan2021'!K113,($C$5*'Tariffs Jan2021'!AK113/'Tariffs Jan2021'!AI113-'Tariffs Jan2021'!J113)*('Tariffs Jan2021'!P113/100)*'Tariffs Jan2021'!AI113,('Tariffs Jan2021'!K113-'Tariffs Jan2021'!J113)*('Tariffs Jan2021'!P113/100)*'Tariffs Jan2021'!AI113))</f>
        <v>184.8659454545454</v>
      </c>
      <c r="G119" s="59">
        <f>IF($C$5*'Tariffs Jan2021'!AK113/'Tariffs Jan2021'!AI113&lt;'Tariffs Jan2021'!K113,0,IF($C$5*'Tariffs Jan2021'!AK113/'Tariffs Jan2021'!AI113&lt;='Tariffs Jan2021'!L113,($C$5*'Tariffs Jan2021'!AK113/'Tariffs Jan2021'!AI113-'Tariffs Jan2021'!K113)*('Tariffs Jan2021'!Q113/100)*'Tariffs Jan2021'!AI113,('Tariffs Jan2021'!L113-'Tariffs Jan2021'!K113)*('Tariffs Jan2021'!Q113/100)*'Tariffs Jan2021'!AI113))</f>
        <v>0</v>
      </c>
      <c r="H119" s="59">
        <f>IF($C$5*'Tariffs Jan2021'!AK113/'Tariffs Jan2021'!AI113&lt;'Tariffs Jan2021'!L113,0,IF($C$5*'Tariffs Jan2021'!AK113/'Tariffs Jan2021'!AI113&lt;='Tariffs Jan2021'!M113,($C$5*'Tariffs Jan2021'!AK113/'Tariffs Jan2021'!AI113-'Tariffs Jan2021'!L113)*('Tariffs Jan2021'!R113/100)*'Tariffs Jan2021'!AI113,('Tariffs Jan2021'!M113-'Tariffs Jan2021'!L113)*('Tariffs Jan2021'!R113/100)*'Tariffs Jan2021'!AI113))</f>
        <v>0</v>
      </c>
      <c r="I119" s="69">
        <f>IF(($C$5*'Tariffs Jan2021'!AK113/'Tariffs Jan2021'!AI113&gt;'Tariffs Jan2021'!M113),($C$5*'Tariffs Jan2021'!AK113/'Tariffs Jan2021'!AI113-'Tariffs Jan2021'!M113)*'Tariffs Jan2021'!S113/100*'Tariffs Jan2021'!AI113,0)</f>
        <v>0</v>
      </c>
      <c r="J119" s="69">
        <f>IF($C$5*'Tariffs Jan2021'!AL113/'Tariffs Jan2021'!AJ113&gt;='Tariffs Jan2021'!J113,('Tariffs Jan2021'!J113*'Tariffs Jan2021'!U113/100)* 'Tariffs Jan2021'!AJ113,($C$5*'Tariffs Jan2021'!AL113/'Tariffs Jan2021'!AJ113*'Tariffs Jan2021'!U113/100)* 'Tariffs Jan2021'!AJ113)</f>
        <v>436.36363636363632</v>
      </c>
      <c r="K119" s="69">
        <f>IF($C$5*'Tariffs Jan2021'!AL113/'Tariffs Jan2021'!AJ113&lt;'Tariffs Jan2021'!J113,0,IF($C$5*'Tariffs Jan2021'!AL113/'Tariffs Jan2021'!AJ113&lt;='Tariffs Jan2021'!K113,($C$5*'Tariffs Jan2021'!AL113/'Tariffs Jan2021'!AJ113-'Tariffs Jan2021'!J113)*('Tariffs Jan2021'!V113/100)*'Tariffs Jan2021'!AJ113,('Tariffs Jan2021'!K113-'Tariffs Jan2021'!J113)*('Tariffs Jan2021'!V113/100)*'Tariffs Jan2021'!AJ113))</f>
        <v>317.3804727272726</v>
      </c>
      <c r="L119" s="69">
        <f>IF($C$5*'Tariffs Jan2021'!AL113/'Tariffs Jan2021'!AJ113&lt;'Tariffs Jan2021'!K113,0,IF($C$5*'Tariffs Jan2021'!AL113/'Tariffs Jan2021'!AJ113&lt;='Tariffs Jan2021'!L113,($C$5*'Tariffs Jan2021'!AL113/'Tariffs Jan2021'!AJ113-'Tariffs Jan2021'!K113)*('Tariffs Jan2021'!W113/100)*'Tariffs Jan2021'!AJ113,('Tariffs Jan2021'!L113-'Tariffs Jan2021'!K113)*('Tariffs Jan2021'!W113/100)*'Tariffs Jan2021'!AJ113))</f>
        <v>0</v>
      </c>
      <c r="M119" s="69">
        <f>IF($C$5*'Tariffs Jan2021'!AL113/'Tariffs Jan2021'!AJ113&lt;'Tariffs Jan2021'!L113,0,IF($C$5*'Tariffs Jan2021'!AL113/'Tariffs Jan2021'!AJ113&lt;='Tariffs Jan2021'!M113,($C$5*'Tariffs Jan2021'!AL113/'Tariffs Jan2021'!AJ113-'Tariffs Jan2021'!L113)*('Tariffs Jan2021'!X113/100)*'Tariffs Jan2021'!AJ113,('Tariffs Jan2021'!M113-'Tariffs Jan2021'!L113)*('Tariffs Jan2021'!X113/100)*'Tariffs Jan2021'!AJ113))</f>
        <v>0</v>
      </c>
      <c r="N119" s="69">
        <f>IF(($C$5*'Tariffs Jan2021'!AL113/'Tariffs Jan2021'!AJ113&gt;'Tariffs Jan2021'!M113),($C$5*'Tariffs Jan2021'!AL113/'Tariffs Jan2021'!AJ113-'Tariffs Jan2021'!M113)*'Tariffs Jan2021'!Y113/100*'Tariffs Jan2021'!AJ113,0)</f>
        <v>0</v>
      </c>
      <c r="O119" s="59">
        <f t="shared" si="72"/>
        <v>1227.7009636363632</v>
      </c>
      <c r="P119" s="503">
        <f t="shared" si="56"/>
        <v>1350.4710599999996</v>
      </c>
      <c r="Q119" s="59">
        <f t="shared" si="73"/>
        <v>1565.7573272727268</v>
      </c>
      <c r="R119" s="272">
        <f t="shared" si="74"/>
        <v>1722.3330599999997</v>
      </c>
      <c r="S119" s="40">
        <f>'Tariffs Jan2021'!AN113</f>
        <v>21</v>
      </c>
      <c r="T119" s="40">
        <f>'Tariffs Jan2021'!AO113</f>
        <v>0</v>
      </c>
      <c r="U119" s="40">
        <f>'Tariffs Jan2021'!AP113</f>
        <v>0</v>
      </c>
      <c r="V119" s="40">
        <f>'Tariffs Jan2021'!AQ113</f>
        <v>0</v>
      </c>
      <c r="W119" s="537" t="str">
        <f t="shared" si="79"/>
        <v>Guaranteed off bill</v>
      </c>
      <c r="X119" s="538" t="str">
        <f t="shared" si="80"/>
        <v>Exclusive</v>
      </c>
      <c r="Y119" s="534">
        <f t="shared" si="87"/>
        <v>1236.948288545454</v>
      </c>
      <c r="Z119" s="535">
        <f t="shared" si="88"/>
        <v>1236.948288545454</v>
      </c>
      <c r="AA119" s="542">
        <f t="shared" si="78"/>
        <v>1360.6431173999995</v>
      </c>
      <c r="AB119" s="542">
        <f t="shared" si="78"/>
        <v>1360.6431173999995</v>
      </c>
      <c r="AC119" s="274">
        <f>'Tariffs Jan2021'!AZ113</f>
        <v>0</v>
      </c>
      <c r="AD119" s="274" t="str">
        <f>'Tariffs Jan2021'!BA113</f>
        <v>n</v>
      </c>
      <c r="AE119" s="275" t="str">
        <f>'Tariffs Jan2021'!BJ113</f>
        <v>N</v>
      </c>
      <c r="AF119" s="516"/>
      <c r="AG119" s="516"/>
      <c r="AH119" s="516"/>
      <c r="AI119" s="516"/>
      <c r="AJ119" s="516"/>
      <c r="AK119" s="516"/>
      <c r="AL119" s="516"/>
      <c r="AM119" s="516"/>
      <c r="AN119" s="516"/>
      <c r="AO119" s="516"/>
      <c r="AP119" s="516"/>
      <c r="AQ119" s="516"/>
      <c r="AR119" s="516"/>
      <c r="AS119" s="516"/>
      <c r="AT119" s="516"/>
      <c r="AU119" s="516"/>
      <c r="AV119" s="516"/>
      <c r="AW119" s="516"/>
      <c r="AX119" s="516"/>
      <c r="AY119" s="516"/>
      <c r="AZ119" s="516"/>
    </row>
    <row r="120" spans="1:52" ht="14" x14ac:dyDescent="0.15">
      <c r="A120" s="270" t="str">
        <f>'Tariffs Jan2021'!F114</f>
        <v>Sumo Power</v>
      </c>
      <c r="B120" s="40" t="str">
        <f>'Tariffs Jan2021'!D114</f>
        <v>AusNet Services Central 2</v>
      </c>
      <c r="C120" s="40" t="str">
        <f>'Tariffs Jan2021'!G114</f>
        <v>Freedom</v>
      </c>
      <c r="D120" s="59">
        <f>365*'Tariffs Jan2021'!H114/100</f>
        <v>292</v>
      </c>
      <c r="E120" s="59">
        <f>IF($C$5*'Tariffs Jan2021'!AK114/'Tariffs Jan2021'!AI114&gt;='Tariffs Jan2021'!J114,( 'Tariffs Jan2021'!J114*'Tariffs Jan2021'!O114/100)* 'Tariffs Jan2021'!AI114,($C$5*'Tariffs Jan2021'!AK114/'Tariffs Jan2021'!AI114*'Tariffs Jan2021'!O114/100)* 'Tariffs Jan2021'!AI114)</f>
        <v>229.09090909090909</v>
      </c>
      <c r="F120" s="59">
        <f>IF($C$5*'Tariffs Jan2021'!AK114/'Tariffs Jan2021'!AI114&lt;'Tariffs Jan2021'!J114,0,IF($C$5*'Tariffs Jan2021'!AK114/'Tariffs Jan2021'!AI114&lt;='Tariffs Jan2021'!K114,($C$5*'Tariffs Jan2021'!AK114/'Tariffs Jan2021'!AI114-'Tariffs Jan2021'!J114)*('Tariffs Jan2021'!P114/100)*'Tariffs Jan2021'!AI114,('Tariffs Jan2021'!K114-'Tariffs Jan2021'!J114)*('Tariffs Jan2021'!P114/100)*'Tariffs Jan2021'!AI114))</f>
        <v>170.96009999999993</v>
      </c>
      <c r="G120" s="59">
        <f>IF($C$5*'Tariffs Jan2021'!AK114/'Tariffs Jan2021'!AI114&lt;'Tariffs Jan2021'!K114,0,IF($C$5*'Tariffs Jan2021'!AK114/'Tariffs Jan2021'!AI114&lt;='Tariffs Jan2021'!L114,($C$5*'Tariffs Jan2021'!AK114/'Tariffs Jan2021'!AI114-'Tariffs Jan2021'!K114)*('Tariffs Jan2021'!Q114/100)*'Tariffs Jan2021'!AI114,('Tariffs Jan2021'!L114-'Tariffs Jan2021'!K114)*('Tariffs Jan2021'!Q114/100)*'Tariffs Jan2021'!AI114))</f>
        <v>0</v>
      </c>
      <c r="H120" s="59">
        <f>IF($C$5*'Tariffs Jan2021'!AK114/'Tariffs Jan2021'!AI114&lt;'Tariffs Jan2021'!L114,0,IF($C$5*'Tariffs Jan2021'!AK114/'Tariffs Jan2021'!AI114&lt;='Tariffs Jan2021'!M114,($C$5*'Tariffs Jan2021'!AK114/'Tariffs Jan2021'!AI114-'Tariffs Jan2021'!L114)*('Tariffs Jan2021'!R114/100)*'Tariffs Jan2021'!AI114,('Tariffs Jan2021'!M114-'Tariffs Jan2021'!L114)*('Tariffs Jan2021'!R114/100)*'Tariffs Jan2021'!AI114))</f>
        <v>0</v>
      </c>
      <c r="I120" s="69">
        <f>IF(($C$5*'Tariffs Jan2021'!AK114/'Tariffs Jan2021'!AI114&gt;'Tariffs Jan2021'!M114),($C$5*'Tariffs Jan2021'!AK114/'Tariffs Jan2021'!AI114-'Tariffs Jan2021'!M114)*'Tariffs Jan2021'!S114/100*'Tariffs Jan2021'!AI114,0)</f>
        <v>0</v>
      </c>
      <c r="J120" s="69">
        <f>IF($C$5*'Tariffs Jan2021'!AL114/'Tariffs Jan2021'!AJ114&gt;='Tariffs Jan2021'!J114,('Tariffs Jan2021'!J114*'Tariffs Jan2021'!U114/100)* 'Tariffs Jan2021'!AJ114,($C$5*'Tariffs Jan2021'!AL114/'Tariffs Jan2021'!AJ114*'Tariffs Jan2021'!U114/100)* 'Tariffs Jan2021'!AJ114)</f>
        <v>412.36363636363632</v>
      </c>
      <c r="K120" s="69">
        <f>IF($C$5*'Tariffs Jan2021'!AL114/'Tariffs Jan2021'!AJ114&lt;'Tariffs Jan2021'!J114,0,IF($C$5*'Tariffs Jan2021'!AL114/'Tariffs Jan2021'!AJ114&lt;='Tariffs Jan2021'!K114,($C$5*'Tariffs Jan2021'!AL114/'Tariffs Jan2021'!AJ114-'Tariffs Jan2021'!J114)*('Tariffs Jan2021'!V114/100)*'Tariffs Jan2021'!AJ114,('Tariffs Jan2021'!K114-'Tariffs Jan2021'!J114)*('Tariffs Jan2021'!V114/100)*'Tariffs Jan2021'!AJ114))</f>
        <v>305.92859999999996</v>
      </c>
      <c r="L120" s="69">
        <f>IF($C$5*'Tariffs Jan2021'!AL114/'Tariffs Jan2021'!AJ114&lt;'Tariffs Jan2021'!K114,0,IF($C$5*'Tariffs Jan2021'!AL114/'Tariffs Jan2021'!AJ114&lt;='Tariffs Jan2021'!L114,($C$5*'Tariffs Jan2021'!AL114/'Tariffs Jan2021'!AJ114-'Tariffs Jan2021'!K114)*('Tariffs Jan2021'!W114/100)*'Tariffs Jan2021'!AJ114,('Tariffs Jan2021'!L114-'Tariffs Jan2021'!K114)*('Tariffs Jan2021'!W114/100)*'Tariffs Jan2021'!AJ114))</f>
        <v>0</v>
      </c>
      <c r="M120" s="69">
        <f>IF($C$5*'Tariffs Jan2021'!AL114/'Tariffs Jan2021'!AJ114&lt;'Tariffs Jan2021'!L114,0,IF($C$5*'Tariffs Jan2021'!AL114/'Tariffs Jan2021'!AJ114&lt;='Tariffs Jan2021'!M114,($C$5*'Tariffs Jan2021'!AL114/'Tariffs Jan2021'!AJ114-'Tariffs Jan2021'!L114)*('Tariffs Jan2021'!X114/100)*'Tariffs Jan2021'!AJ114,('Tariffs Jan2021'!M114-'Tariffs Jan2021'!L114)*('Tariffs Jan2021'!X114/100)*'Tariffs Jan2021'!AJ114))</f>
        <v>0</v>
      </c>
      <c r="N120" s="69">
        <f>IF(($C$5*'Tariffs Jan2021'!AL114/'Tariffs Jan2021'!AJ114&gt;'Tariffs Jan2021'!M114),($C$5*'Tariffs Jan2021'!AL114/'Tariffs Jan2021'!AJ114-'Tariffs Jan2021'!M114)*'Tariffs Jan2021'!Y114/100*'Tariffs Jan2021'!AJ114,0)</f>
        <v>0</v>
      </c>
      <c r="O120" s="59">
        <f t="shared" si="72"/>
        <v>1118.3432454545452</v>
      </c>
      <c r="P120" s="503">
        <f t="shared" si="56"/>
        <v>1230.1775699999998</v>
      </c>
      <c r="Q120" s="59">
        <f t="shared" si="73"/>
        <v>1410.3432454545452</v>
      </c>
      <c r="R120" s="272">
        <f t="shared" si="74"/>
        <v>1551.3775699999999</v>
      </c>
      <c r="S120" s="40">
        <f>'Tariffs Jan2021'!AN114</f>
        <v>0</v>
      </c>
      <c r="T120" s="40">
        <f>'Tariffs Jan2021'!AO114</f>
        <v>0</v>
      </c>
      <c r="U120" s="40">
        <f>'Tariffs Jan2021'!AP114</f>
        <v>0</v>
      </c>
      <c r="V120" s="40">
        <f>'Tariffs Jan2021'!AQ114</f>
        <v>0</v>
      </c>
      <c r="W120" s="537" t="str">
        <f t="shared" si="79"/>
        <v>No discount</v>
      </c>
      <c r="X120" s="538" t="str">
        <f t="shared" si="80"/>
        <v>Exclusive</v>
      </c>
      <c r="Y120" s="534">
        <f t="shared" si="87"/>
        <v>1410.3432454545452</v>
      </c>
      <c r="Z120" s="535">
        <f t="shared" si="88"/>
        <v>1410.3432454545452</v>
      </c>
      <c r="AA120" s="542">
        <f t="shared" si="78"/>
        <v>1551.3775699999999</v>
      </c>
      <c r="AB120" s="542">
        <f t="shared" si="78"/>
        <v>1551.3775699999999</v>
      </c>
      <c r="AC120" s="274">
        <f>'Tariffs Jan2021'!AZ114</f>
        <v>0</v>
      </c>
      <c r="AD120" s="274" t="str">
        <f>'Tariffs Jan2021'!BA114</f>
        <v>n</v>
      </c>
      <c r="AE120" s="275" t="str">
        <f>'Tariffs Jan2021'!BJ114</f>
        <v>Y</v>
      </c>
      <c r="AF120" s="516"/>
      <c r="AG120" s="516"/>
      <c r="AH120" s="516"/>
      <c r="AI120" s="516"/>
      <c r="AJ120" s="516"/>
      <c r="AK120" s="516"/>
      <c r="AL120" s="516"/>
      <c r="AM120" s="516"/>
      <c r="AN120" s="516"/>
      <c r="AO120" s="516"/>
      <c r="AP120" s="516"/>
      <c r="AQ120" s="516"/>
      <c r="AR120" s="516"/>
      <c r="AS120" s="516"/>
      <c r="AT120" s="516"/>
      <c r="AU120" s="516"/>
      <c r="AV120" s="516"/>
      <c r="AW120" s="516"/>
      <c r="AX120" s="516"/>
      <c r="AY120" s="516"/>
      <c r="AZ120" s="516"/>
    </row>
    <row r="121" spans="1:52" ht="14" x14ac:dyDescent="0.15">
      <c r="A121" s="270" t="str">
        <f>'Tariffs Jan2021'!F115</f>
        <v>GloBird Energy</v>
      </c>
      <c r="B121" s="40" t="str">
        <f>'Tariffs Jan2021'!D115</f>
        <v>AusNet Services Central 2</v>
      </c>
      <c r="C121" s="40" t="str">
        <f>'Tariffs Jan2021'!G115</f>
        <v>GloSave</v>
      </c>
      <c r="D121" s="59">
        <f>365*'Tariffs Jan2021'!H115/100</f>
        <v>284.7</v>
      </c>
      <c r="E121" s="59">
        <f>IF($C$5*'Tariffs Jan2021'!AK115/'Tariffs Jan2021'!AI115&gt;='Tariffs Jan2021'!J115,( 'Tariffs Jan2021'!J115*'Tariffs Jan2021'!O115/100)* 'Tariffs Jan2021'!AI115,($C$5*'Tariffs Jan2021'!AK115/'Tariffs Jan2021'!AI115*'Tariffs Jan2021'!O115/100)* 'Tariffs Jan2021'!AI115)</f>
        <v>220.36363636363637</v>
      </c>
      <c r="F121" s="59">
        <f>IF($C$5*'Tariffs Jan2021'!AK115/'Tariffs Jan2021'!AI115&lt;'Tariffs Jan2021'!J115,0,IF($C$5*'Tariffs Jan2021'!AK115/'Tariffs Jan2021'!AI115&lt;='Tariffs Jan2021'!K115,($C$5*'Tariffs Jan2021'!AK115/'Tariffs Jan2021'!AI115-'Tariffs Jan2021'!J115)*('Tariffs Jan2021'!P115/100)*'Tariffs Jan2021'!AI115,('Tariffs Jan2021'!K115-'Tariffs Jan2021'!J115)*('Tariffs Jan2021'!P115/100)*'Tariffs Jan2021'!AI115))</f>
        <v>0</v>
      </c>
      <c r="G121" s="59">
        <f>IF($C$5*'Tariffs Jan2021'!AK115/'Tariffs Jan2021'!AI115&lt;'Tariffs Jan2021'!K115,0,IF($C$5*'Tariffs Jan2021'!AK115/'Tariffs Jan2021'!AI115&lt;='Tariffs Jan2021'!L115,($C$5*'Tariffs Jan2021'!AK115/'Tariffs Jan2021'!AI115-'Tariffs Jan2021'!K115)*('Tariffs Jan2021'!Q115/100)*'Tariffs Jan2021'!AI115,('Tariffs Jan2021'!L115-'Tariffs Jan2021'!K115)*('Tariffs Jan2021'!Q115/100)*'Tariffs Jan2021'!AI115))</f>
        <v>0</v>
      </c>
      <c r="H121" s="59">
        <f>IF($C$5*'Tariffs Jan2021'!AK115/'Tariffs Jan2021'!AI115&lt;'Tariffs Jan2021'!L115,0,IF($C$5*'Tariffs Jan2021'!AK115/'Tariffs Jan2021'!AI115&lt;='Tariffs Jan2021'!M115,($C$5*'Tariffs Jan2021'!AK115/'Tariffs Jan2021'!AI115-'Tariffs Jan2021'!L115)*('Tariffs Jan2021'!R115/100)*'Tariffs Jan2021'!AI115,('Tariffs Jan2021'!M115-'Tariffs Jan2021'!L115)*('Tariffs Jan2021'!R115/100)*'Tariffs Jan2021'!AI115))</f>
        <v>0</v>
      </c>
      <c r="I121" s="69">
        <f>IF(($C$5*'Tariffs Jan2021'!AK115/'Tariffs Jan2021'!AI115&gt;'Tariffs Jan2021'!M115),($C$5*'Tariffs Jan2021'!AK115/'Tariffs Jan2021'!AI115-'Tariffs Jan2021'!M115)*'Tariffs Jan2021'!S115/100*'Tariffs Jan2021'!AI115,0)</f>
        <v>142.33041818181815</v>
      </c>
      <c r="J121" s="69">
        <f>IF($C$5*'Tariffs Jan2021'!AL115/'Tariffs Jan2021'!AJ115&gt;='Tariffs Jan2021'!J115,('Tariffs Jan2021'!J115*'Tariffs Jan2021'!U115/100)* 'Tariffs Jan2021'!AJ115,($C$5*'Tariffs Jan2021'!AL115/'Tariffs Jan2021'!AJ115*'Tariffs Jan2021'!U115/100)* 'Tariffs Jan2021'!AJ115)</f>
        <v>340.36363636363637</v>
      </c>
      <c r="K121" s="69">
        <f>IF($C$5*'Tariffs Jan2021'!AL115/'Tariffs Jan2021'!AJ115&lt;'Tariffs Jan2021'!J115,0,IF($C$5*'Tariffs Jan2021'!AL115/'Tariffs Jan2021'!AJ115&lt;='Tariffs Jan2021'!K115,($C$5*'Tariffs Jan2021'!AL115/'Tariffs Jan2021'!AJ115-'Tariffs Jan2021'!J115)*('Tariffs Jan2021'!V115/100)*'Tariffs Jan2021'!AJ115,('Tariffs Jan2021'!K115-'Tariffs Jan2021'!J115)*('Tariffs Jan2021'!V115/100)*'Tariffs Jan2021'!AJ115))</f>
        <v>0</v>
      </c>
      <c r="L121" s="69">
        <f>IF($C$5*'Tariffs Jan2021'!AL115/'Tariffs Jan2021'!AJ115&lt;'Tariffs Jan2021'!K115,0,IF($C$5*'Tariffs Jan2021'!AL115/'Tariffs Jan2021'!AJ115&lt;='Tariffs Jan2021'!L115,($C$5*'Tariffs Jan2021'!AL115/'Tariffs Jan2021'!AJ115-'Tariffs Jan2021'!K115)*('Tariffs Jan2021'!W115/100)*'Tariffs Jan2021'!AJ115,('Tariffs Jan2021'!L115-'Tariffs Jan2021'!K115)*('Tariffs Jan2021'!W115/100)*'Tariffs Jan2021'!AJ115))</f>
        <v>0</v>
      </c>
      <c r="M121" s="69">
        <f>IF($C$5*'Tariffs Jan2021'!AL115/'Tariffs Jan2021'!AJ115&lt;'Tariffs Jan2021'!L115,0,IF($C$5*'Tariffs Jan2021'!AL115/'Tariffs Jan2021'!AJ115&lt;='Tariffs Jan2021'!M115,($C$5*'Tariffs Jan2021'!AL115/'Tariffs Jan2021'!AJ115-'Tariffs Jan2021'!L115)*('Tariffs Jan2021'!X115/100)*'Tariffs Jan2021'!AJ115,('Tariffs Jan2021'!M115-'Tariffs Jan2021'!L115)*('Tariffs Jan2021'!X115/100)*'Tariffs Jan2021'!AJ115))</f>
        <v>0</v>
      </c>
      <c r="N121" s="69">
        <f>IF(($C$5*'Tariffs Jan2021'!AL115/'Tariffs Jan2021'!AJ115&gt;'Tariffs Jan2021'!M115),($C$5*'Tariffs Jan2021'!AL115/'Tariffs Jan2021'!AJ115-'Tariffs Jan2021'!M115)*'Tariffs Jan2021'!Y115/100*'Tariffs Jan2021'!AJ115,0)</f>
        <v>233.94539999999989</v>
      </c>
      <c r="O121" s="59">
        <f t="shared" si="72"/>
        <v>937.00309090909082</v>
      </c>
      <c r="P121" s="503">
        <f t="shared" si="56"/>
        <v>1030.7033999999999</v>
      </c>
      <c r="Q121" s="59">
        <f t="shared" si="73"/>
        <v>1221.7030909090909</v>
      </c>
      <c r="R121" s="272">
        <f t="shared" si="74"/>
        <v>1343.8733999999999</v>
      </c>
      <c r="S121" s="40">
        <f>'Tariffs Jan2021'!AN115</f>
        <v>0</v>
      </c>
      <c r="T121" s="40">
        <f>'Tariffs Jan2021'!AO115</f>
        <v>0</v>
      </c>
      <c r="U121" s="40">
        <f>'Tariffs Jan2021'!AP115</f>
        <v>0</v>
      </c>
      <c r="V121" s="40">
        <f>'Tariffs Jan2021'!AQ115</f>
        <v>0</v>
      </c>
      <c r="W121" s="537" t="str">
        <f t="shared" si="79"/>
        <v>No discount</v>
      </c>
      <c r="X121" s="538" t="str">
        <f t="shared" si="80"/>
        <v>Exclusive</v>
      </c>
      <c r="Y121" s="534">
        <f t="shared" si="87"/>
        <v>1221.7030909090909</v>
      </c>
      <c r="Z121" s="535">
        <f t="shared" si="88"/>
        <v>1221.7030909090909</v>
      </c>
      <c r="AA121" s="542">
        <f t="shared" si="78"/>
        <v>1343.8733999999999</v>
      </c>
      <c r="AB121" s="542">
        <f t="shared" si="78"/>
        <v>1343.8733999999999</v>
      </c>
      <c r="AC121" s="274">
        <f>'Tariffs Jan2021'!AZ115</f>
        <v>0</v>
      </c>
      <c r="AD121" s="274" t="str">
        <f>'Tariffs Jan2021'!BA115</f>
        <v>n</v>
      </c>
      <c r="AE121" s="275" t="str">
        <f>'Tariffs Jan2021'!BJ115</f>
        <v>N</v>
      </c>
      <c r="AF121" s="516"/>
      <c r="AG121" s="516"/>
      <c r="AH121" s="516"/>
      <c r="AI121" s="516"/>
      <c r="AJ121" s="516"/>
      <c r="AK121" s="516"/>
      <c r="AL121" s="516"/>
      <c r="AM121" s="516"/>
      <c r="AN121" s="516"/>
      <c r="AO121" s="516"/>
      <c r="AP121" s="516"/>
      <c r="AQ121" s="516"/>
      <c r="AR121" s="516"/>
      <c r="AS121" s="516"/>
      <c r="AT121" s="516"/>
      <c r="AU121" s="516"/>
      <c r="AV121" s="516"/>
      <c r="AW121" s="516"/>
      <c r="AX121" s="516"/>
      <c r="AY121" s="516"/>
      <c r="AZ121" s="516"/>
    </row>
    <row r="122" spans="1:52" ht="14" x14ac:dyDescent="0.15">
      <c r="A122" s="270" t="str">
        <f>'Tariffs Jan2021'!F116</f>
        <v>Powershop</v>
      </c>
      <c r="B122" s="40" t="str">
        <f>'Tariffs Jan2021'!D116</f>
        <v>AusNet Services Central 2</v>
      </c>
      <c r="C122" s="40" t="str">
        <f>'Tariffs Jan2021'!G116</f>
        <v>Market offer</v>
      </c>
      <c r="D122" s="59">
        <f>365*'Tariffs Jan2021'!H116/100</f>
        <v>275.57499999999999</v>
      </c>
      <c r="E122" s="59">
        <f>((C$5*'Tariffs Jan2021'!AK116/'Tariffs Jan2021'!AI116)*('Tariffs Jan2021'!O116/100))*'Tariffs Jan2021'!AI116</f>
        <v>379.8710999999999</v>
      </c>
      <c r="F122" s="59">
        <v>0</v>
      </c>
      <c r="G122" s="59">
        <v>0</v>
      </c>
      <c r="H122" s="59">
        <v>0</v>
      </c>
      <c r="I122" s="69">
        <v>0</v>
      </c>
      <c r="J122" s="69">
        <f>((C$5*'Tariffs Jan2021'!AL116/'Tariffs Jan2021'!AJ116)*('Tariffs Jan2021'!U116/100))*'Tariffs Jan2021'!AJ116</f>
        <v>637.57259999999985</v>
      </c>
      <c r="K122" s="69">
        <v>0</v>
      </c>
      <c r="L122" s="69">
        <v>0</v>
      </c>
      <c r="M122" s="69">
        <v>0</v>
      </c>
      <c r="N122" s="69">
        <v>0</v>
      </c>
      <c r="O122" s="59">
        <f t="shared" si="72"/>
        <v>1017.4436999999998</v>
      </c>
      <c r="P122" s="503">
        <f t="shared" si="56"/>
        <v>1119.1880699999999</v>
      </c>
      <c r="Q122" s="59">
        <f t="shared" si="73"/>
        <v>1293.0186999999999</v>
      </c>
      <c r="R122" s="272">
        <f t="shared" si="74"/>
        <v>1422.3205699999999</v>
      </c>
      <c r="S122" s="40">
        <f>'Tariffs Jan2021'!AN116</f>
        <v>0</v>
      </c>
      <c r="T122" s="40">
        <f>'Tariffs Jan2021'!AO116</f>
        <v>0</v>
      </c>
      <c r="U122" s="40">
        <f>'Tariffs Jan2021'!AP116</f>
        <v>0</v>
      </c>
      <c r="V122" s="40">
        <f>'Tariffs Jan2021'!AQ116</f>
        <v>0</v>
      </c>
      <c r="W122" s="537" t="str">
        <f t="shared" si="79"/>
        <v>No discount</v>
      </c>
      <c r="X122" s="538" t="str">
        <f t="shared" si="80"/>
        <v>Inclusive</v>
      </c>
      <c r="Y122" s="534">
        <f>IF(AND(W122="Guaranteed off bill",X122="Inclusive"),((Q122*1.1)-((Q122*1.1)*S122/100))/1.1,IF(AND(W122="Guaranteed off usage",X122="Inclusive"),((Q122*1.1)-((P122*1.1)*T122/100))/1.1,IF(AND(W122="Guaranteed off bill",X122="Exclusive"),Q122-(Q122*S122/100),IF(AND(W122="Guaranteed off usage",X122="Exclusive"),Q122-(P122*T122/100),IF(X122="Inclusive",((Q122*1.1))/1.1,Q122)))))</f>
        <v>1293.0186999999999</v>
      </c>
      <c r="Z122" s="535">
        <f>IF(AND(W122="Pay-on-time off bill",X122="Inclusive"),((Y122*1.1)-((Y122*1.1)*U122/100))/1.1,IF(AND(W122="Pay-on-time off usage",X122="Inclusive"),((Y122*1.1)-((P122*1.1)*V122/100))/1.1,IF(AND(W122="Pay-on-time off bill",X122="Exclusive"),Y122-(Y122*U122/100),IF(AND(W122="Pay-on-time off usage",X122="Exclusive"),Y122-(P122*V122/100),IF(X122="Inclusive",((Y122*1.1))/1.1,Y122)))))</f>
        <v>1293.0186999999999</v>
      </c>
      <c r="AA122" s="542">
        <f t="shared" si="78"/>
        <v>1422.3205699999999</v>
      </c>
      <c r="AB122" s="542">
        <f t="shared" si="78"/>
        <v>1422.3205699999999</v>
      </c>
      <c r="AC122" s="274">
        <f>'Tariffs Jan2021'!AZ116</f>
        <v>0</v>
      </c>
      <c r="AD122" s="274" t="str">
        <f>'Tariffs Jan2021'!BA116</f>
        <v>n</v>
      </c>
      <c r="AE122" s="275" t="str">
        <f>'Tariffs Jan2021'!BJ116</f>
        <v>Y</v>
      </c>
      <c r="AF122" s="516"/>
      <c r="AG122" s="516"/>
      <c r="AH122" s="516"/>
      <c r="AI122" s="516"/>
      <c r="AJ122" s="516"/>
      <c r="AK122" s="516"/>
      <c r="AL122" s="516"/>
      <c r="AM122" s="516"/>
      <c r="AN122" s="516"/>
      <c r="AO122" s="516"/>
      <c r="AP122" s="516"/>
      <c r="AQ122" s="516"/>
      <c r="AR122" s="516"/>
      <c r="AS122" s="516"/>
      <c r="AT122" s="516"/>
      <c r="AU122" s="516"/>
      <c r="AV122" s="516"/>
      <c r="AW122" s="516"/>
      <c r="AX122" s="516"/>
      <c r="AY122" s="516"/>
      <c r="AZ122" s="516"/>
    </row>
    <row r="123" spans="1:52" ht="14" x14ac:dyDescent="0.15">
      <c r="A123" s="270" t="str">
        <f>'Tariffs Jan2021'!F117</f>
        <v>1st Energy</v>
      </c>
      <c r="B123" s="40" t="str">
        <f>'Tariffs Jan2021'!D117</f>
        <v>AusNet Services Central 2</v>
      </c>
      <c r="C123" s="40" t="str">
        <f>'Tariffs Jan2021'!G117</f>
        <v>1st Saver Plus</v>
      </c>
      <c r="D123" s="59">
        <f>365*'Tariffs Jan2021'!H117/100</f>
        <v>313.89999999999998</v>
      </c>
      <c r="E123" s="59">
        <f>IF($C$5*'Tariffs Jan2021'!AK117/'Tariffs Jan2021'!AI117&gt;='Tariffs Jan2021'!J117,( 'Tariffs Jan2021'!J117*'Tariffs Jan2021'!O117/100)* 'Tariffs Jan2021'!AI117,($C$5*'Tariffs Jan2021'!AK117/'Tariffs Jan2021'!AI117*'Tariffs Jan2021'!O117/100)* 'Tariffs Jan2021'!AI117)</f>
        <v>382.90909090909088</v>
      </c>
      <c r="F123" s="59">
        <f>IF($C$5*'Tariffs Jan2021'!AK117/'Tariffs Jan2021'!AI117&lt;'Tariffs Jan2021'!J117,0,IF($C$5*'Tariffs Jan2021'!AK117/'Tariffs Jan2021'!AI117&lt;='Tariffs Jan2021'!K117,($C$5*'Tariffs Jan2021'!AK117/'Tariffs Jan2021'!AI117-'Tariffs Jan2021'!J117)*('Tariffs Jan2021'!P117/100)*'Tariffs Jan2021'!AI117,('Tariffs Jan2021'!K117-'Tariffs Jan2021'!J117)*('Tariffs Jan2021'!P117/100)*'Tariffs Jan2021'!AI117))</f>
        <v>263.86363636363632</v>
      </c>
      <c r="G123" s="59">
        <f>IF($C$5*'Tariffs Jan2021'!AK117/'Tariffs Jan2021'!AI117&lt;'Tariffs Jan2021'!K117,0,IF($C$5*'Tariffs Jan2021'!AK117/'Tariffs Jan2021'!AI117&lt;='Tariffs Jan2021'!L117,($C$5*'Tariffs Jan2021'!AK117/'Tariffs Jan2021'!AI117-'Tariffs Jan2021'!K117)*('Tariffs Jan2021'!Q117/100)*'Tariffs Jan2021'!AI117,('Tariffs Jan2021'!L117-'Tariffs Jan2021'!K117)*('Tariffs Jan2021'!Q117/100)*'Tariffs Jan2021'!AI117))</f>
        <v>0</v>
      </c>
      <c r="H123" s="59">
        <f>IF($C$5*'Tariffs Jan2021'!AK117/'Tariffs Jan2021'!AI117&lt;'Tariffs Jan2021'!L117,0,IF($C$5*'Tariffs Jan2021'!AK117/'Tariffs Jan2021'!AI117&lt;='Tariffs Jan2021'!M117,($C$5*'Tariffs Jan2021'!AK117/'Tariffs Jan2021'!AI117-'Tariffs Jan2021'!L117)*('Tariffs Jan2021'!R117/100)*'Tariffs Jan2021'!AI117,('Tariffs Jan2021'!M117-'Tariffs Jan2021'!L117)*('Tariffs Jan2021'!R117/100)*'Tariffs Jan2021'!AI117))</f>
        <v>0</v>
      </c>
      <c r="I123" s="69">
        <f>IF(($C$5*'Tariffs Jan2021'!AK117/'Tariffs Jan2021'!AI117&gt;'Tariffs Jan2021'!M117),($C$5*'Tariffs Jan2021'!AK117/'Tariffs Jan2021'!AI117-'Tariffs Jan2021'!M117)*'Tariffs Jan2021'!S117/100*'Tariffs Jan2021'!AI117,0)</f>
        <v>0</v>
      </c>
      <c r="J123" s="69">
        <f>IF($C$5*'Tariffs Jan2021'!AL117/'Tariffs Jan2021'!AJ117&gt;='Tariffs Jan2021'!J117,('Tariffs Jan2021'!J117*'Tariffs Jan2021'!U117/100)* 'Tariffs Jan2021'!AJ117,($C$5*'Tariffs Jan2021'!AL117/'Tariffs Jan2021'!AJ117*'Tariffs Jan2021'!U117/100)* 'Tariffs Jan2021'!AJ117)</f>
        <v>382.90909090909088</v>
      </c>
      <c r="K123" s="69">
        <f>IF($C$5*'Tariffs Jan2021'!AL117/'Tariffs Jan2021'!AJ117&lt;'Tariffs Jan2021'!J117,0,IF($C$5*'Tariffs Jan2021'!AL117/'Tariffs Jan2021'!AJ117&lt;='Tariffs Jan2021'!K117,($C$5*'Tariffs Jan2021'!AL117/'Tariffs Jan2021'!AJ117-'Tariffs Jan2021'!J117)*('Tariffs Jan2021'!V117/100)*'Tariffs Jan2021'!AJ117,('Tariffs Jan2021'!K117-'Tariffs Jan2021'!J117)*('Tariffs Jan2021'!V117/100)*'Tariffs Jan2021'!AJ117))</f>
        <v>263.86363636363632</v>
      </c>
      <c r="L123" s="69">
        <f>IF($C$5*'Tariffs Jan2021'!AL117/'Tariffs Jan2021'!AJ117&lt;'Tariffs Jan2021'!K117,0,IF($C$5*'Tariffs Jan2021'!AL117/'Tariffs Jan2021'!AJ117&lt;='Tariffs Jan2021'!L117,($C$5*'Tariffs Jan2021'!AL117/'Tariffs Jan2021'!AJ117-'Tariffs Jan2021'!K117)*('Tariffs Jan2021'!W117/100)*'Tariffs Jan2021'!AJ117,('Tariffs Jan2021'!L117-'Tariffs Jan2021'!K117)*('Tariffs Jan2021'!W117/100)*'Tariffs Jan2021'!AJ117))</f>
        <v>0</v>
      </c>
      <c r="M123" s="69">
        <f>IF($C$5*'Tariffs Jan2021'!AL117/'Tariffs Jan2021'!AJ117&lt;'Tariffs Jan2021'!L117,0,IF($C$5*'Tariffs Jan2021'!AL117/'Tariffs Jan2021'!AJ117&lt;='Tariffs Jan2021'!M117,($C$5*'Tariffs Jan2021'!AL117/'Tariffs Jan2021'!AJ117-'Tariffs Jan2021'!L117)*('Tariffs Jan2021'!X117/100)*'Tariffs Jan2021'!AJ117,('Tariffs Jan2021'!M117-'Tariffs Jan2021'!L117)*('Tariffs Jan2021'!X117/100)*'Tariffs Jan2021'!AJ117))</f>
        <v>0</v>
      </c>
      <c r="N123" s="69">
        <f>IF(($C$5*'Tariffs Jan2021'!AL117/'Tariffs Jan2021'!AJ117&gt;'Tariffs Jan2021'!M117),($C$5*'Tariffs Jan2021'!AL117/'Tariffs Jan2021'!AJ117-'Tariffs Jan2021'!M117)*'Tariffs Jan2021'!Y117/100*'Tariffs Jan2021'!AJ117,0)</f>
        <v>0</v>
      </c>
      <c r="O123" s="59">
        <f t="shared" si="72"/>
        <v>1293.5454545454543</v>
      </c>
      <c r="P123" s="503">
        <f t="shared" si="56"/>
        <v>1422.8999999999999</v>
      </c>
      <c r="Q123" s="59">
        <f t="shared" si="73"/>
        <v>1607.4454545454541</v>
      </c>
      <c r="R123" s="272">
        <f t="shared" si="74"/>
        <v>1768.1899999999996</v>
      </c>
      <c r="S123" s="40">
        <f>'Tariffs Jan2021'!AN117</f>
        <v>0</v>
      </c>
      <c r="T123" s="40">
        <f>'Tariffs Jan2021'!AO117</f>
        <v>12</v>
      </c>
      <c r="U123" s="40">
        <f>'Tariffs Jan2021'!AP117</f>
        <v>0</v>
      </c>
      <c r="V123" s="40">
        <f>'Tariffs Jan2021'!AQ117</f>
        <v>3</v>
      </c>
      <c r="W123" s="537" t="str">
        <f t="shared" si="79"/>
        <v>Guaranteed off usage</v>
      </c>
      <c r="X123" s="538" t="str">
        <f t="shared" si="80"/>
        <v>Exclusive</v>
      </c>
      <c r="Y123" s="534">
        <f>Q123-(P123*T123)/100</f>
        <v>1436.6974545454541</v>
      </c>
      <c r="Z123" s="535">
        <f>Y123-(P123*V123)/100</f>
        <v>1394.0104545454542</v>
      </c>
      <c r="AA123" s="542">
        <f t="shared" si="78"/>
        <v>1580.3671999999997</v>
      </c>
      <c r="AB123" s="542">
        <f t="shared" si="78"/>
        <v>1533.4114999999997</v>
      </c>
      <c r="AC123" s="274">
        <f>'Tariffs Jan2021'!AZ117</f>
        <v>0</v>
      </c>
      <c r="AD123" s="274" t="str">
        <f>'Tariffs Jan2021'!BA117</f>
        <v>n</v>
      </c>
      <c r="AE123" s="275" t="str">
        <f>'Tariffs Jan2021'!BJ117</f>
        <v>Y</v>
      </c>
      <c r="AF123" s="516"/>
      <c r="AG123" s="516"/>
      <c r="AH123" s="516"/>
      <c r="AI123" s="516"/>
      <c r="AJ123" s="516"/>
      <c r="AK123" s="516"/>
      <c r="AL123" s="516"/>
      <c r="AM123" s="516"/>
      <c r="AN123" s="516"/>
      <c r="AO123" s="516"/>
      <c r="AP123" s="516"/>
      <c r="AQ123" s="516"/>
      <c r="AR123" s="516"/>
      <c r="AS123" s="516"/>
      <c r="AT123" s="516"/>
      <c r="AU123" s="516"/>
      <c r="AV123" s="516"/>
      <c r="AW123" s="516"/>
      <c r="AX123" s="516"/>
      <c r="AY123" s="516"/>
      <c r="AZ123" s="516"/>
    </row>
    <row r="124" spans="1:52" ht="14" x14ac:dyDescent="0.15">
      <c r="A124" s="270" t="str">
        <f>'Tariffs Jan2021'!F118</f>
        <v>Kogan Energy</v>
      </c>
      <c r="B124" s="40" t="str">
        <f>'Tariffs Jan2021'!D118</f>
        <v>AusNet Services Central 2</v>
      </c>
      <c r="C124" s="40" t="str">
        <f>'Tariffs Jan2021'!G118</f>
        <v>Market offer</v>
      </c>
      <c r="D124" s="59">
        <f>365*'Tariffs Jan2021'!H118/100</f>
        <v>293.22772727272724</v>
      </c>
      <c r="E124" s="59">
        <f>((C$5*'Tariffs Jan2021'!AK118/'Tariffs Jan2021'!AI118)*('Tariffs Jan2021'!O118/100))*'Tariffs Jan2021'!AI118</f>
        <v>379.8710999999999</v>
      </c>
      <c r="F124" s="59">
        <v>0</v>
      </c>
      <c r="G124" s="59">
        <v>0</v>
      </c>
      <c r="H124" s="59">
        <v>0</v>
      </c>
      <c r="I124" s="69">
        <v>0</v>
      </c>
      <c r="J124" s="69">
        <f>((C$5*'Tariffs Jan2021'!AL118/'Tariffs Jan2021'!AJ118)*('Tariffs Jan2021'!U118/100))*'Tariffs Jan2021'!AJ118</f>
        <v>626.11919999999986</v>
      </c>
      <c r="K124" s="69">
        <v>0</v>
      </c>
      <c r="L124" s="69">
        <v>0</v>
      </c>
      <c r="M124" s="69">
        <v>0</v>
      </c>
      <c r="N124" s="69">
        <v>0</v>
      </c>
      <c r="O124" s="59">
        <f t="shared" si="72"/>
        <v>1005.9902999999997</v>
      </c>
      <c r="P124" s="503">
        <f t="shared" si="56"/>
        <v>1106.5893299999998</v>
      </c>
      <c r="Q124" s="59">
        <f t="shared" si="73"/>
        <v>1299.2180272727269</v>
      </c>
      <c r="R124" s="272">
        <f t="shared" si="74"/>
        <v>1429.1398299999996</v>
      </c>
      <c r="S124" s="40">
        <f>'Tariffs Jan2021'!AN118</f>
        <v>0</v>
      </c>
      <c r="T124" s="40">
        <f>'Tariffs Jan2021'!AO118</f>
        <v>0</v>
      </c>
      <c r="U124" s="40">
        <f>'Tariffs Jan2021'!AP118</f>
        <v>0</v>
      </c>
      <c r="V124" s="40">
        <f>'Tariffs Jan2021'!AQ118</f>
        <v>0</v>
      </c>
      <c r="W124" s="537" t="str">
        <f t="shared" si="79"/>
        <v>No discount</v>
      </c>
      <c r="X124" s="538" t="str">
        <f t="shared" si="80"/>
        <v>Exclusive</v>
      </c>
      <c r="Y124" s="534">
        <f t="shared" ref="Y124:Y125" si="89">IF(AND(W124="Guaranteed off bill",X124="Inclusive"),((Q124*1.1)-((Q124*1.1)*S124/100))/1.1,IF(AND(W124="Guaranteed off usage",X124="Inclusive"),((Q124*1.1)-((P124*1.1)*T124/100))/1.1,IF(AND(W124="Guaranteed off bill",X124="Exclusive"),Q124-(Q124*S124/100),IF(AND(W124="Guaranteed off usage",X124="Exclusive"),Q124-(P124*T124/100),IF(X124="Inclusive",((Q124*1.1))/1.1,Q124)))))</f>
        <v>1299.2180272727269</v>
      </c>
      <c r="Z124" s="535">
        <f t="shared" ref="Z124:Z125" si="90">IF(AND(W124="Pay-on-time off bill",X124="Inclusive"),((Y124*1.1)-((Y124*1.1)*U124/100))/1.1,IF(AND(W124="Pay-on-time off usage",X124="Inclusive"),((Y124*1.1)-((P124*1.1)*V124/100))/1.1,IF(AND(W124="Pay-on-time off bill",X124="Exclusive"),Y124-(Y124*U124/100),IF(AND(W124="Pay-on-time off usage",X124="Exclusive"),Y124-(P124*V124/100),IF(X124="Inclusive",((Y124*1.1))/1.1,Y124)))))</f>
        <v>1299.2180272727269</v>
      </c>
      <c r="AA124" s="542">
        <f t="shared" si="78"/>
        <v>1429.1398299999996</v>
      </c>
      <c r="AB124" s="542">
        <f t="shared" si="78"/>
        <v>1429.1398299999996</v>
      </c>
      <c r="AC124" s="274">
        <f>'Tariffs Jan2021'!AZ118</f>
        <v>0</v>
      </c>
      <c r="AD124" s="274" t="str">
        <f>'Tariffs Jan2021'!BA118</f>
        <v>n</v>
      </c>
      <c r="AE124" s="275" t="str">
        <f>'Tariffs Jan2021'!BJ118</f>
        <v>N</v>
      </c>
      <c r="AF124" s="516"/>
      <c r="AG124" s="516"/>
      <c r="AH124" s="516"/>
      <c r="AI124" s="516"/>
      <c r="AJ124" s="516"/>
      <c r="AK124" s="516"/>
      <c r="AL124" s="516"/>
      <c r="AM124" s="516"/>
      <c r="AN124" s="516"/>
      <c r="AO124" s="516"/>
      <c r="AP124" s="516"/>
      <c r="AQ124" s="516"/>
      <c r="AR124" s="516"/>
      <c r="AS124" s="516"/>
      <c r="AT124" s="516"/>
      <c r="AU124" s="516"/>
      <c r="AV124" s="516"/>
      <c r="AW124" s="516"/>
      <c r="AX124" s="516"/>
      <c r="AY124" s="516"/>
      <c r="AZ124" s="516"/>
    </row>
    <row r="125" spans="1:52" ht="15" thickBot="1" x14ac:dyDescent="0.2">
      <c r="A125" s="276" t="str">
        <f>'Tariffs Jan2021'!F119</f>
        <v>Tango Energy</v>
      </c>
      <c r="B125" s="277" t="str">
        <f>'Tariffs Jan2021'!D119</f>
        <v>AusNet Services Central 2</v>
      </c>
      <c r="C125" s="277" t="str">
        <f>'Tariffs Jan2021'!G119</f>
        <v>Home Select</v>
      </c>
      <c r="D125" s="278">
        <f>365*'Tariffs Jan2021'!H119/100</f>
        <v>364.99999999999994</v>
      </c>
      <c r="E125" s="278">
        <f>IF($C$5*'Tariffs Jan2021'!AK119/'Tariffs Jan2021'!AI119&gt;='Tariffs Jan2021'!J119,( 'Tariffs Jan2021'!J119*'Tariffs Jan2021'!O119/100)* 'Tariffs Jan2021'!AI119,($C$5*'Tariffs Jan2021'!AK119/'Tariffs Jan2021'!AI119*'Tariffs Jan2021'!O119/100)* 'Tariffs Jan2021'!AI119)</f>
        <v>198.54545454545456</v>
      </c>
      <c r="F125" s="278">
        <f>IF($C$5*'Tariffs Jan2021'!AK119/'Tariffs Jan2021'!AI119&lt;'Tariffs Jan2021'!J119,0,IF($C$5*'Tariffs Jan2021'!AK119/'Tariffs Jan2021'!AI119&lt;='Tariffs Jan2021'!K119,($C$5*'Tariffs Jan2021'!AK119/'Tariffs Jan2021'!AI119-'Tariffs Jan2021'!J119)*('Tariffs Jan2021'!P119/100)*'Tariffs Jan2021'!AI119,('Tariffs Jan2021'!K119-'Tariffs Jan2021'!J119)*('Tariffs Jan2021'!P119/100)*'Tariffs Jan2021'!AI119))</f>
        <v>130.87854545454542</v>
      </c>
      <c r="G125" s="278">
        <f>IF($C$5*'Tariffs Jan2021'!AK119/'Tariffs Jan2021'!AI119&lt;'Tariffs Jan2021'!K119,0,IF($C$5*'Tariffs Jan2021'!AK119/'Tariffs Jan2021'!AI119&lt;='Tariffs Jan2021'!L119,($C$5*'Tariffs Jan2021'!AK119/'Tariffs Jan2021'!AI119-'Tariffs Jan2021'!K119)*('Tariffs Jan2021'!Q119/100)*'Tariffs Jan2021'!AI119,('Tariffs Jan2021'!L119-'Tariffs Jan2021'!K119)*('Tariffs Jan2021'!Q119/100)*'Tariffs Jan2021'!AI119))</f>
        <v>0</v>
      </c>
      <c r="H125" s="278">
        <f>IF($C$5*'Tariffs Jan2021'!AK119/'Tariffs Jan2021'!AI119&lt;'Tariffs Jan2021'!L119,0,IF($C$5*'Tariffs Jan2021'!AK119/'Tariffs Jan2021'!AI119&lt;='Tariffs Jan2021'!M119,($C$5*'Tariffs Jan2021'!AK119/'Tariffs Jan2021'!AI119-'Tariffs Jan2021'!L119)*('Tariffs Jan2021'!R119/100)*'Tariffs Jan2021'!AI119,('Tariffs Jan2021'!M119-'Tariffs Jan2021'!L119)*('Tariffs Jan2021'!R119/100)*'Tariffs Jan2021'!AI119))</f>
        <v>0</v>
      </c>
      <c r="I125" s="547">
        <f>IF(($C$5*'Tariffs Jan2021'!AK119/'Tariffs Jan2021'!AI119&gt;'Tariffs Jan2021'!M119),($C$5*'Tariffs Jan2021'!AK119/'Tariffs Jan2021'!AI119-'Tariffs Jan2021'!M119)*'Tariffs Jan2021'!S119/100*'Tariffs Jan2021'!AI119,0)</f>
        <v>0</v>
      </c>
      <c r="J125" s="547">
        <f>IF($C$5*'Tariffs Jan2021'!AL119/'Tariffs Jan2021'!AJ119&gt;='Tariffs Jan2021'!J119,('Tariffs Jan2021'!J119*'Tariffs Jan2021'!U119/100)* 'Tariffs Jan2021'!AJ119,($C$5*'Tariffs Jan2021'!AL119/'Tariffs Jan2021'!AJ119*'Tariffs Jan2021'!U119/100)* 'Tariffs Jan2021'!AJ119)</f>
        <v>311.99999999999994</v>
      </c>
      <c r="K125" s="547">
        <f>IF($C$5*'Tariffs Jan2021'!AL119/'Tariffs Jan2021'!AJ119&lt;'Tariffs Jan2021'!J119,0,IF($C$5*'Tariffs Jan2021'!AL119/'Tariffs Jan2021'!AJ119&lt;='Tariffs Jan2021'!K119,($C$5*'Tariffs Jan2021'!AL119/'Tariffs Jan2021'!AJ119-'Tariffs Jan2021'!J119)*('Tariffs Jan2021'!V119/100)*'Tariffs Jan2021'!AJ119,('Tariffs Jan2021'!K119-'Tariffs Jan2021'!J119)*('Tariffs Jan2021'!V119/100)*'Tariffs Jan2021'!AJ119))</f>
        <v>215.94959999999995</v>
      </c>
      <c r="L125" s="547">
        <f>IF($C$5*'Tariffs Jan2021'!AL119/'Tariffs Jan2021'!AJ119&lt;'Tariffs Jan2021'!K119,0,IF($C$5*'Tariffs Jan2021'!AL119/'Tariffs Jan2021'!AJ119&lt;='Tariffs Jan2021'!L119,($C$5*'Tariffs Jan2021'!AL119/'Tariffs Jan2021'!AJ119-'Tariffs Jan2021'!K119)*('Tariffs Jan2021'!W119/100)*'Tariffs Jan2021'!AJ119,('Tariffs Jan2021'!L119-'Tariffs Jan2021'!K119)*('Tariffs Jan2021'!W119/100)*'Tariffs Jan2021'!AJ119))</f>
        <v>0</v>
      </c>
      <c r="M125" s="547">
        <f>IF($C$5*'Tariffs Jan2021'!AL119/'Tariffs Jan2021'!AJ119&lt;'Tariffs Jan2021'!L119,0,IF($C$5*'Tariffs Jan2021'!AL119/'Tariffs Jan2021'!AJ119&lt;='Tariffs Jan2021'!M119,($C$5*'Tariffs Jan2021'!AL119/'Tariffs Jan2021'!AJ119-'Tariffs Jan2021'!L119)*('Tariffs Jan2021'!X119/100)*'Tariffs Jan2021'!AJ119,('Tariffs Jan2021'!M119-'Tariffs Jan2021'!L119)*('Tariffs Jan2021'!X119/100)*'Tariffs Jan2021'!AJ119))</f>
        <v>0</v>
      </c>
      <c r="N125" s="547">
        <f>IF(($C$5*'Tariffs Jan2021'!AL119/'Tariffs Jan2021'!AJ119&gt;'Tariffs Jan2021'!M119),($C$5*'Tariffs Jan2021'!AL119/'Tariffs Jan2021'!AJ119-'Tariffs Jan2021'!M119)*'Tariffs Jan2021'!Y119/100*'Tariffs Jan2021'!AJ119,0)</f>
        <v>0</v>
      </c>
      <c r="O125" s="278">
        <f t="shared" si="72"/>
        <v>857.3735999999999</v>
      </c>
      <c r="P125" s="504">
        <f t="shared" si="56"/>
        <v>943.11095999999998</v>
      </c>
      <c r="Q125" s="278">
        <f t="shared" si="73"/>
        <v>1222.3735999999999</v>
      </c>
      <c r="R125" s="280">
        <f t="shared" si="74"/>
        <v>1344.61096</v>
      </c>
      <c r="S125" s="277">
        <f>'Tariffs Jan2021'!AN119</f>
        <v>0</v>
      </c>
      <c r="T125" s="277">
        <f>'Tariffs Jan2021'!AO119</f>
        <v>0</v>
      </c>
      <c r="U125" s="277">
        <f>'Tariffs Jan2021'!AP119</f>
        <v>0</v>
      </c>
      <c r="V125" s="277">
        <f>'Tariffs Jan2021'!AQ119</f>
        <v>0</v>
      </c>
      <c r="W125" s="540" t="str">
        <f t="shared" si="79"/>
        <v>No discount</v>
      </c>
      <c r="X125" s="541" t="str">
        <f t="shared" si="80"/>
        <v>Exclusive</v>
      </c>
      <c r="Y125" s="543">
        <f t="shared" si="89"/>
        <v>1222.3735999999999</v>
      </c>
      <c r="Z125" s="544">
        <f t="shared" si="90"/>
        <v>1222.3735999999999</v>
      </c>
      <c r="AA125" s="545">
        <f t="shared" si="78"/>
        <v>1344.61096</v>
      </c>
      <c r="AB125" s="545">
        <f t="shared" si="78"/>
        <v>1344.61096</v>
      </c>
      <c r="AC125" s="282">
        <f>'Tariffs Jan2021'!AZ119</f>
        <v>0</v>
      </c>
      <c r="AD125" s="282" t="str">
        <f>'Tariffs Jan2021'!BA119</f>
        <v>n</v>
      </c>
      <c r="AE125" s="283" t="str">
        <f>'Tariffs Jan2021'!BJ119</f>
        <v>Y</v>
      </c>
      <c r="AF125" s="516"/>
      <c r="AG125" s="516"/>
      <c r="AH125" s="516"/>
      <c r="AI125" s="516"/>
      <c r="AJ125" s="516"/>
      <c r="AK125" s="516"/>
      <c r="AL125" s="516"/>
      <c r="AM125" s="516"/>
      <c r="AN125" s="516"/>
      <c r="AO125" s="516"/>
      <c r="AP125" s="516"/>
      <c r="AQ125" s="516"/>
      <c r="AR125" s="516"/>
      <c r="AS125" s="516"/>
      <c r="AT125" s="516"/>
      <c r="AU125" s="516"/>
      <c r="AV125" s="516"/>
      <c r="AW125" s="516"/>
      <c r="AX125" s="516"/>
      <c r="AY125" s="516"/>
      <c r="AZ125" s="516"/>
    </row>
    <row r="126" spans="1:52" ht="15" thickTop="1" x14ac:dyDescent="0.15">
      <c r="A126" s="270" t="str">
        <f>'Tariffs Jan2021'!F120</f>
        <v>AGL</v>
      </c>
      <c r="B126" s="40" t="str">
        <f>'Tariffs Jan2021'!D120</f>
        <v>AusNet Services Central 1</v>
      </c>
      <c r="C126" s="40" t="str">
        <f>'Tariffs Jan2021'!G120</f>
        <v>Essentials</v>
      </c>
      <c r="D126" s="59">
        <f>365*'Tariffs Jan2021'!H120/100</f>
        <v>261.37318181818176</v>
      </c>
      <c r="E126" s="59">
        <f>IF($C$5*'Tariffs Jan2021'!AK120/'Tariffs Jan2021'!AI120&gt;='Tariffs Jan2021'!J120,( 'Tariffs Jan2021'!J120*'Tariffs Jan2021'!O120/100)* 'Tariffs Jan2021'!AI120,($C$5*'Tariffs Jan2021'!AK120/'Tariffs Jan2021'!AI120*'Tariffs Jan2021'!O120/100)* 'Tariffs Jan2021'!AI120)</f>
        <v>240</v>
      </c>
      <c r="F126" s="59">
        <f>IF($C$5*'Tariffs Jan2021'!AK120/'Tariffs Jan2021'!AI120&lt;'Tariffs Jan2021'!J120,0,IF($C$5*'Tariffs Jan2021'!AK120/'Tariffs Jan2021'!AI120&lt;='Tariffs Jan2021'!K120,($C$5*'Tariffs Jan2021'!AK120/'Tariffs Jan2021'!AI120-'Tariffs Jan2021'!J120)*('Tariffs Jan2021'!P120/100)*'Tariffs Jan2021'!AI120,('Tariffs Jan2021'!K120-'Tariffs Jan2021'!J120)*('Tariffs Jan2021'!P120/100)*'Tariffs Jan2021'!AI120))</f>
        <v>174.23206363636356</v>
      </c>
      <c r="G126" s="59">
        <f>IF($C$5*'Tariffs Jan2021'!AK120/'Tariffs Jan2021'!AI120&lt;'Tariffs Jan2021'!K120,0,IF($C$5*'Tariffs Jan2021'!AK120/'Tariffs Jan2021'!AI120&lt;='Tariffs Jan2021'!L120,($C$5*'Tariffs Jan2021'!AK120/'Tariffs Jan2021'!AI120-'Tariffs Jan2021'!K120)*('Tariffs Jan2021'!Q120/100)*'Tariffs Jan2021'!AI120,('Tariffs Jan2021'!L120-'Tariffs Jan2021'!K120)*('Tariffs Jan2021'!Q120/100)*'Tariffs Jan2021'!AI120))</f>
        <v>0</v>
      </c>
      <c r="H126" s="59">
        <f>IF($C$5*'Tariffs Jan2021'!AK120/'Tariffs Jan2021'!AI120&lt;'Tariffs Jan2021'!L120,0,IF($C$5*'Tariffs Jan2021'!AK120/'Tariffs Jan2021'!AI120&lt;='Tariffs Jan2021'!M120,($C$5*'Tariffs Jan2021'!AK120/'Tariffs Jan2021'!AI120-'Tariffs Jan2021'!L120)*('Tariffs Jan2021'!R120/100)*'Tariffs Jan2021'!AI120,('Tariffs Jan2021'!M120-'Tariffs Jan2021'!L120)*('Tariffs Jan2021'!R120/100)*'Tariffs Jan2021'!AI120))</f>
        <v>0</v>
      </c>
      <c r="I126" s="69">
        <f>IF(($C$5*'Tariffs Jan2021'!AK120/'Tariffs Jan2021'!AI120&gt;'Tariffs Jan2021'!M120),($C$5*'Tariffs Jan2021'!AK120/'Tariffs Jan2021'!AI120-'Tariffs Jan2021'!M120)*'Tariffs Jan2021'!S120/100*'Tariffs Jan2021'!AI120,0)</f>
        <v>0</v>
      </c>
      <c r="J126" s="69">
        <f>IF($C$5*'Tariffs Jan2021'!AL120/'Tariffs Jan2021'!AJ120&gt;='Tariffs Jan2021'!J120,('Tariffs Jan2021'!J120*'Tariffs Jan2021'!U120/100)* 'Tariffs Jan2021'!AJ120,($C$5*'Tariffs Jan2021'!AL120/'Tariffs Jan2021'!AJ120*'Tariffs Jan2021'!U120/100)* 'Tariffs Jan2021'!AJ120)</f>
        <v>412.36363636363632</v>
      </c>
      <c r="K126" s="69">
        <f>IF($C$5*'Tariffs Jan2021'!AL120/'Tariffs Jan2021'!AJ120&lt;'Tariffs Jan2021'!J120,0,IF($C$5*'Tariffs Jan2021'!AL120/'Tariffs Jan2021'!AJ120&lt;='Tariffs Jan2021'!K120,($C$5*'Tariffs Jan2021'!AL120/'Tariffs Jan2021'!AJ120-'Tariffs Jan2021'!J120)*('Tariffs Jan2021'!V120/100)*'Tariffs Jan2021'!AJ120,('Tariffs Jan2021'!K120-'Tariffs Jan2021'!J120)*('Tariffs Jan2021'!V120/100)*'Tariffs Jan2021'!AJ120))</f>
        <v>266.66503636363626</v>
      </c>
      <c r="L126" s="69">
        <f>IF($C$5*'Tariffs Jan2021'!AL120/'Tariffs Jan2021'!AJ120&lt;'Tariffs Jan2021'!K120,0,IF($C$5*'Tariffs Jan2021'!AL120/'Tariffs Jan2021'!AJ120&lt;='Tariffs Jan2021'!L120,($C$5*'Tariffs Jan2021'!AL120/'Tariffs Jan2021'!AJ120-'Tariffs Jan2021'!K120)*('Tariffs Jan2021'!W120/100)*'Tariffs Jan2021'!AJ120,('Tariffs Jan2021'!L120-'Tariffs Jan2021'!K120)*('Tariffs Jan2021'!W120/100)*'Tariffs Jan2021'!AJ120))</f>
        <v>0</v>
      </c>
      <c r="M126" s="69">
        <f>IF($C$5*'Tariffs Jan2021'!AL120/'Tariffs Jan2021'!AJ120&lt;'Tariffs Jan2021'!L120,0,IF($C$5*'Tariffs Jan2021'!AL120/'Tariffs Jan2021'!AJ120&lt;='Tariffs Jan2021'!M120,($C$5*'Tariffs Jan2021'!AL120/'Tariffs Jan2021'!AJ120-'Tariffs Jan2021'!L120)*('Tariffs Jan2021'!X120/100)*'Tariffs Jan2021'!AJ120,('Tariffs Jan2021'!M120-'Tariffs Jan2021'!L120)*('Tariffs Jan2021'!X120/100)*'Tariffs Jan2021'!AJ120))</f>
        <v>0</v>
      </c>
      <c r="N126" s="69">
        <f>IF(($C$5*'Tariffs Jan2021'!AL120/'Tariffs Jan2021'!AJ120&gt;'Tariffs Jan2021'!M120),($C$5*'Tariffs Jan2021'!AL120/'Tariffs Jan2021'!AJ120-'Tariffs Jan2021'!M120)*'Tariffs Jan2021'!Y120/100*'Tariffs Jan2021'!AJ120,0)</f>
        <v>0</v>
      </c>
      <c r="O126" s="59">
        <f t="shared" si="72"/>
        <v>1093.2607363636362</v>
      </c>
      <c r="P126" s="503">
        <f t="shared" si="56"/>
        <v>1202.5868099999998</v>
      </c>
      <c r="Q126" s="59">
        <f t="shared" si="73"/>
        <v>1354.633918181818</v>
      </c>
      <c r="R126" s="272">
        <f t="shared" si="74"/>
        <v>1490.0973099999999</v>
      </c>
      <c r="S126" s="40">
        <f>'Tariffs Jan2021'!AN120</f>
        <v>0</v>
      </c>
      <c r="T126" s="40">
        <f>'Tariffs Jan2021'!AO120</f>
        <v>0</v>
      </c>
      <c r="U126" s="40">
        <f>'Tariffs Jan2021'!AP120</f>
        <v>0</v>
      </c>
      <c r="V126" s="40">
        <f>'Tariffs Jan2021'!AQ120</f>
        <v>0</v>
      </c>
      <c r="W126" s="539" t="str">
        <f>IF(SUM(S126:V126)=0,"No discount",IF(S126&gt;0,"Guaranteed off bill",IF(T126&gt;0,"Guaranteed off usage",IF(U126&gt;0,"Pay-on-time off bill","Pay-on-time off usage"))))</f>
        <v>No discount</v>
      </c>
      <c r="X126" s="538" t="str">
        <f>IF(OR(A126="Origin Energy",A126="Red Energy",A126="Powershop"),"Inclusive","Exclusive")</f>
        <v>Exclusive</v>
      </c>
      <c r="Y126" s="534">
        <f>IF(AND(W126="Guaranteed off bill",X126="Inclusive"),((Q126*1.1)-((Q126*1.1)*S126/100))/1.1,IF(AND(W126="Guaranteed off usage",X126="Inclusive"),((Q126*1.1)-((P126*1.1)*T126/100))/1.1,IF(AND(W126="Guaranteed off bill",X126="Exclusive"),Q126-(Q126*S126/100),IF(AND(W126="Guaranteed off usage",X126="Exclusive"),Q126-(P126*T126/100),IF(X126="Inclusive",((Q126*1.1))/1.1,Q126)))))</f>
        <v>1354.633918181818</v>
      </c>
      <c r="Z126" s="535">
        <f>IF(AND(W126="Pay-on-time off bill",X126="Inclusive"),((Y126*1.1)-((Y126*1.1)*U126/100))/1.1,IF(AND(W126="Pay-on-time off usage",X126="Inclusive"),((Y126*1.1)-((P126*1.1)*V126/100))/1.1,IF(AND(W126="Pay-on-time off bill",X126="Exclusive"),Y126-(Y126*U126/100),IF(AND(W126="Pay-on-time off usage",X126="Exclusive"),Y126-(P126*V126/100),IF(X126="Inclusive",((Y126*1.1))/1.1,Y126)))))</f>
        <v>1354.633918181818</v>
      </c>
      <c r="AA126" s="542">
        <f t="shared" si="78"/>
        <v>1490.0973099999999</v>
      </c>
      <c r="AB126" s="542">
        <f t="shared" si="78"/>
        <v>1490.0973099999999</v>
      </c>
      <c r="AC126" s="274">
        <f>'Tariffs Jan2021'!AZ120</f>
        <v>0</v>
      </c>
      <c r="AD126" s="274" t="str">
        <f>'Tariffs Jan2021'!BA120</f>
        <v>n</v>
      </c>
      <c r="AE126" s="275" t="str">
        <f>'Tariffs Jan2021'!BJ120</f>
        <v>N</v>
      </c>
      <c r="AF126" s="516"/>
      <c r="AG126" s="516"/>
      <c r="AH126" s="516"/>
      <c r="AI126" s="516"/>
      <c r="AJ126" s="516"/>
      <c r="AK126" s="516"/>
      <c r="AL126" s="516"/>
      <c r="AM126" s="516"/>
      <c r="AN126" s="516"/>
      <c r="AO126" s="516"/>
      <c r="AP126" s="516"/>
      <c r="AQ126" s="516"/>
      <c r="AR126" s="516"/>
      <c r="AS126" s="516"/>
      <c r="AT126" s="516"/>
      <c r="AU126" s="516"/>
      <c r="AV126" s="516"/>
      <c r="AW126" s="516"/>
      <c r="AX126" s="516"/>
      <c r="AY126" s="516"/>
      <c r="AZ126" s="516"/>
    </row>
    <row r="127" spans="1:52" ht="14" x14ac:dyDescent="0.15">
      <c r="A127" s="270" t="str">
        <f>'Tariffs Jan2021'!F121</f>
        <v>Alinta Energy</v>
      </c>
      <c r="B127" s="40" t="str">
        <f>'Tariffs Jan2021'!D121</f>
        <v>AusNet Services Central 1</v>
      </c>
      <c r="C127" s="40" t="str">
        <f>'Tariffs Jan2021'!G121</f>
        <v>Home Deal</v>
      </c>
      <c r="D127" s="59">
        <f>365*'Tariffs Jan2021'!H121/100</f>
        <v>255.5</v>
      </c>
      <c r="E127" s="59">
        <f>IF($C$5*'Tariffs Jan2021'!AK121/'Tariffs Jan2021'!AI121&gt;='Tariffs Jan2021'!J121,( 'Tariffs Jan2021'!J121*'Tariffs Jan2021'!O121/100)* 'Tariffs Jan2021'!AI121,($C$5*'Tariffs Jan2021'!AK121/'Tariffs Jan2021'!AI121*'Tariffs Jan2021'!O121/100)* 'Tariffs Jan2021'!AI121)</f>
        <v>238.90909090909088</v>
      </c>
      <c r="F127" s="59">
        <f>IF($C$5*'Tariffs Jan2021'!AK121/'Tariffs Jan2021'!AI121&lt;'Tariffs Jan2021'!J121,0,IF($C$5*'Tariffs Jan2021'!AK121/'Tariffs Jan2021'!AI121&lt;='Tariffs Jan2021'!K121,($C$5*'Tariffs Jan2021'!AK121/'Tariffs Jan2021'!AI121-'Tariffs Jan2021'!J121)*('Tariffs Jan2021'!P121/100)*'Tariffs Jan2021'!AI121,('Tariffs Jan2021'!K121-'Tariffs Jan2021'!J121)*('Tariffs Jan2021'!P121/100)*'Tariffs Jan2021'!AI121))</f>
        <v>0</v>
      </c>
      <c r="G127" s="59">
        <f>IF($C$5*'Tariffs Jan2021'!AK121/'Tariffs Jan2021'!AI121&lt;'Tariffs Jan2021'!K121,0,IF($C$5*'Tariffs Jan2021'!AK121/'Tariffs Jan2021'!AI121&lt;='Tariffs Jan2021'!L121,($C$5*'Tariffs Jan2021'!AK121/'Tariffs Jan2021'!AI121-'Tariffs Jan2021'!K121)*('Tariffs Jan2021'!Q121/100)*'Tariffs Jan2021'!AI121,('Tariffs Jan2021'!L121-'Tariffs Jan2021'!K121)*('Tariffs Jan2021'!Q121/100)*'Tariffs Jan2021'!AI121))</f>
        <v>0</v>
      </c>
      <c r="H127" s="59">
        <f>IF($C$5*'Tariffs Jan2021'!AK121/'Tariffs Jan2021'!AI121&lt;'Tariffs Jan2021'!L121,0,IF($C$5*'Tariffs Jan2021'!AK121/'Tariffs Jan2021'!AI121&lt;='Tariffs Jan2021'!M121,($C$5*'Tariffs Jan2021'!AK121/'Tariffs Jan2021'!AI121-'Tariffs Jan2021'!L121)*('Tariffs Jan2021'!R121/100)*'Tariffs Jan2021'!AI121,('Tariffs Jan2021'!M121-'Tariffs Jan2021'!L121)*('Tariffs Jan2021'!R121/100)*'Tariffs Jan2021'!AI121))</f>
        <v>0</v>
      </c>
      <c r="I127" s="69">
        <f>IF(($C$5*'Tariffs Jan2021'!AK121/'Tariffs Jan2021'!AI121&gt;'Tariffs Jan2021'!M121),($C$5*'Tariffs Jan2021'!AK121/'Tariffs Jan2021'!AI121-'Tariffs Jan2021'!M121)*'Tariffs Jan2021'!S121/100*'Tariffs Jan2021'!AI121,0)</f>
        <v>132.51452727272724</v>
      </c>
      <c r="J127" s="69">
        <f>IF($C$5*'Tariffs Jan2021'!AL121/'Tariffs Jan2021'!AJ121&gt;='Tariffs Jan2021'!J121,('Tariffs Jan2021'!J121*'Tariffs Jan2021'!U121/100)* 'Tariffs Jan2021'!AJ121,($C$5*'Tariffs Jan2021'!AL121/'Tariffs Jan2021'!AJ121*'Tariffs Jan2021'!U121/100)* 'Tariffs Jan2021'!AJ121)</f>
        <v>434.18181818181819</v>
      </c>
      <c r="K127" s="69">
        <f>IF($C$5*'Tariffs Jan2021'!AL121/'Tariffs Jan2021'!AJ121&lt;'Tariffs Jan2021'!J121,0,IF($C$5*'Tariffs Jan2021'!AL121/'Tariffs Jan2021'!AJ121&lt;='Tariffs Jan2021'!K121,($C$5*'Tariffs Jan2021'!AL121/'Tariffs Jan2021'!AJ121-'Tariffs Jan2021'!J121)*('Tariffs Jan2021'!V121/100)*'Tariffs Jan2021'!AJ121,('Tariffs Jan2021'!K121-'Tariffs Jan2021'!J121)*('Tariffs Jan2021'!V121/100)*'Tariffs Jan2021'!AJ121))</f>
        <v>0</v>
      </c>
      <c r="L127" s="69">
        <f>IF($C$5*'Tariffs Jan2021'!AL121/'Tariffs Jan2021'!AJ121&lt;'Tariffs Jan2021'!K121,0,IF($C$5*'Tariffs Jan2021'!AL121/'Tariffs Jan2021'!AJ121&lt;='Tariffs Jan2021'!L121,($C$5*'Tariffs Jan2021'!AL121/'Tariffs Jan2021'!AJ121-'Tariffs Jan2021'!K121)*('Tariffs Jan2021'!W121/100)*'Tariffs Jan2021'!AJ121,('Tariffs Jan2021'!L121-'Tariffs Jan2021'!K121)*('Tariffs Jan2021'!W121/100)*'Tariffs Jan2021'!AJ121))</f>
        <v>0</v>
      </c>
      <c r="M127" s="69">
        <f>IF($C$5*'Tariffs Jan2021'!AL121/'Tariffs Jan2021'!AJ121&lt;'Tariffs Jan2021'!L121,0,IF($C$5*'Tariffs Jan2021'!AL121/'Tariffs Jan2021'!AJ121&lt;='Tariffs Jan2021'!M121,($C$5*'Tariffs Jan2021'!AL121/'Tariffs Jan2021'!AJ121-'Tariffs Jan2021'!L121)*('Tariffs Jan2021'!X121/100)*'Tariffs Jan2021'!AJ121,('Tariffs Jan2021'!M121-'Tariffs Jan2021'!L121)*('Tariffs Jan2021'!X121/100)*'Tariffs Jan2021'!AJ121))</f>
        <v>0</v>
      </c>
      <c r="N127" s="69">
        <f>IF(($C$5*'Tariffs Jan2021'!AL121/'Tariffs Jan2021'!AJ121&gt;'Tariffs Jan2021'!M121),($C$5*'Tariffs Jan2021'!AL121/'Tariffs Jan2021'!AJ121-'Tariffs Jan2021'!M121)*'Tariffs Jan2021'!Y121/100*'Tariffs Jan2021'!AJ121,0)</f>
        <v>265.02905454545447</v>
      </c>
      <c r="O127" s="59">
        <f>SUM(E127:N127)</f>
        <v>1070.6344909090908</v>
      </c>
      <c r="P127" s="503">
        <f t="shared" si="56"/>
        <v>1177.69794</v>
      </c>
      <c r="Q127" s="59">
        <f>D127+O127</f>
        <v>1326.1344909090908</v>
      </c>
      <c r="R127" s="272">
        <f>Q127*1.1</f>
        <v>1458.74794</v>
      </c>
      <c r="S127" s="40">
        <f>'Tariffs Jan2021'!AN121</f>
        <v>0</v>
      </c>
      <c r="T127" s="40">
        <f>'Tariffs Jan2021'!AO121</f>
        <v>0</v>
      </c>
      <c r="U127" s="40">
        <f>'Tariffs Jan2021'!AP121</f>
        <v>0</v>
      </c>
      <c r="V127" s="40">
        <f>'Tariffs Jan2021'!AQ121</f>
        <v>0</v>
      </c>
      <c r="W127" s="537" t="str">
        <f t="shared" ref="W127:W142" si="91">IF(SUM(S127:V127)=0,"No discount",IF(S127&gt;0,"Guaranteed off bill",IF(T127&gt;0,"Guaranteed off usage",IF(U127&gt;0,"Pay-on-time off bill","Pay-on-time off usage"))))</f>
        <v>No discount</v>
      </c>
      <c r="X127" s="538" t="str">
        <f t="shared" ref="X127:X142" si="92">IF(OR(A127="Origin Energy",A127="Red Energy",A127="Powershop"),"Inclusive","Exclusive")</f>
        <v>Exclusive</v>
      </c>
      <c r="Y127" s="534">
        <f>IF(AND(W127="Guaranteed off bill",X127="Inclusive"),((Q127*1.1)-((Q127*1.1)*S127/100))/1.1,IF(AND(W127="Guaranteed off usage",X127="Inclusive"),((Q127*1.1)-((P127*1.1)*T127/100))/1.1,IF(AND(W127="Guaranteed off bill",X127="Exclusive"),Q127-(Q127*S127/100),IF(AND(W127="Guaranteed off usage",X127="Exclusive"),Q127-(P127*T127/100),IF(X127="Inclusive",((Q127*1.1))/1.1,Q127)))))</f>
        <v>1326.1344909090908</v>
      </c>
      <c r="Z127" s="535">
        <f>IF(AND(W127="Pay-on-time off bill",X127="Inclusive"),((Y127*1.1)-((Y127*1.1)*U127/100))/1.1,IF(AND(W127="Pay-on-time off usage",X127="Inclusive"),((Y127*1.1)-((P127*1.1)*V127/100))/1.1,IF(AND(W127="Pay-on-time off bill",X127="Exclusive"),Y127-(Y127*U127/100),IF(AND(W127="Pay-on-time off usage",X127="Exclusive"),Y127-(P127*V127/100),IF(X127="Inclusive",((Y127*1.1))/1.1,Y127)))))</f>
        <v>1326.1344909090908</v>
      </c>
      <c r="AA127" s="542">
        <f t="shared" si="78"/>
        <v>1458.74794</v>
      </c>
      <c r="AB127" s="542">
        <f t="shared" si="78"/>
        <v>1458.74794</v>
      </c>
      <c r="AC127" s="274">
        <f>'Tariffs Jan2021'!AZ121</f>
        <v>0</v>
      </c>
      <c r="AD127" s="274" t="str">
        <f>'Tariffs Jan2021'!BA121</f>
        <v>n</v>
      </c>
      <c r="AE127" s="275" t="str">
        <f>'Tariffs Jan2021'!BJ121</f>
        <v>N</v>
      </c>
      <c r="AF127" s="516"/>
      <c r="AG127" s="516"/>
      <c r="AH127" s="516"/>
      <c r="AI127" s="516"/>
      <c r="AJ127" s="516"/>
      <c r="AK127" s="516"/>
      <c r="AL127" s="516"/>
      <c r="AM127" s="516"/>
      <c r="AN127" s="516"/>
      <c r="AO127" s="516"/>
      <c r="AP127" s="516"/>
      <c r="AQ127" s="516"/>
      <c r="AR127" s="516"/>
      <c r="AS127" s="516"/>
      <c r="AT127" s="516"/>
      <c r="AU127" s="516"/>
      <c r="AV127" s="516"/>
      <c r="AW127" s="516"/>
      <c r="AX127" s="516"/>
      <c r="AY127" s="516"/>
      <c r="AZ127" s="516"/>
    </row>
    <row r="128" spans="1:52" ht="14" x14ac:dyDescent="0.15">
      <c r="A128" s="270" t="str">
        <f>'Tariffs Jan2021'!F122</f>
        <v>Click Energy</v>
      </c>
      <c r="B128" s="40" t="str">
        <f>'Tariffs Jan2021'!D122</f>
        <v>AusNet Services Central 1</v>
      </c>
      <c r="C128" s="40" t="str">
        <f>'Tariffs Jan2021'!G122</f>
        <v>Lily</v>
      </c>
      <c r="D128" s="59">
        <f>365*'Tariffs Jan2021'!H122/100</f>
        <v>211.99863636363636</v>
      </c>
      <c r="E128" s="59">
        <f>IF($C$5*'Tariffs Jan2021'!AK122/'Tariffs Jan2021'!AI122&gt;='Tariffs Jan2021'!J122,( 'Tariffs Jan2021'!J122*'Tariffs Jan2021'!O122/100)* 'Tariffs Jan2021'!AI122,($C$5*'Tariffs Jan2021'!AK122/'Tariffs Jan2021'!AI122*'Tariffs Jan2021'!O122/100)* 'Tariffs Jan2021'!AI122)</f>
        <v>244.3636363636364</v>
      </c>
      <c r="F128" s="59">
        <f>IF($C$5*'Tariffs Jan2021'!AK122/'Tariffs Jan2021'!AI122&lt;'Tariffs Jan2021'!J122,0,IF($C$5*'Tariffs Jan2021'!AK122/'Tariffs Jan2021'!AI122&lt;='Tariffs Jan2021'!K122,($C$5*'Tariffs Jan2021'!AK122/'Tariffs Jan2021'!AI122-'Tariffs Jan2021'!J122)*('Tariffs Jan2021'!P122/100)*'Tariffs Jan2021'!AI122,('Tariffs Jan2021'!K122-'Tariffs Jan2021'!J122)*('Tariffs Jan2021'!P122/100)*'Tariffs Jan2021'!AI122))</f>
        <v>156.23626363636359</v>
      </c>
      <c r="G128" s="59">
        <f>IF($C$5*'Tariffs Jan2021'!AK122/'Tariffs Jan2021'!AI122&lt;'Tariffs Jan2021'!K122,0,IF($C$5*'Tariffs Jan2021'!AK122/'Tariffs Jan2021'!AI122&lt;='Tariffs Jan2021'!L122,($C$5*'Tariffs Jan2021'!AK122/'Tariffs Jan2021'!AI122-'Tariffs Jan2021'!K122)*('Tariffs Jan2021'!Q122/100)*'Tariffs Jan2021'!AI122,('Tariffs Jan2021'!L122-'Tariffs Jan2021'!K122)*('Tariffs Jan2021'!Q122/100)*'Tariffs Jan2021'!AI122))</f>
        <v>0</v>
      </c>
      <c r="H128" s="59">
        <f>IF($C$5*'Tariffs Jan2021'!AK122/'Tariffs Jan2021'!AI122&lt;'Tariffs Jan2021'!L122,0,IF($C$5*'Tariffs Jan2021'!AK122/'Tariffs Jan2021'!AI122&lt;='Tariffs Jan2021'!M122,($C$5*'Tariffs Jan2021'!AK122/'Tariffs Jan2021'!AI122-'Tariffs Jan2021'!L122)*('Tariffs Jan2021'!R122/100)*'Tariffs Jan2021'!AI122,('Tariffs Jan2021'!M122-'Tariffs Jan2021'!L122)*('Tariffs Jan2021'!R122/100)*'Tariffs Jan2021'!AI122))</f>
        <v>0</v>
      </c>
      <c r="I128" s="69">
        <f>IF(($C$5*'Tariffs Jan2021'!AK122/'Tariffs Jan2021'!AI122&gt;'Tariffs Jan2021'!M122),($C$5*'Tariffs Jan2021'!AK122/'Tariffs Jan2021'!AI122-'Tariffs Jan2021'!M122)*'Tariffs Jan2021'!S122/100*'Tariffs Jan2021'!AI122,0)</f>
        <v>0</v>
      </c>
      <c r="J128" s="69">
        <f>IF($C$5*'Tariffs Jan2021'!AL122/'Tariffs Jan2021'!AJ122&gt;='Tariffs Jan2021'!J122,('Tariffs Jan2021'!J122*'Tariffs Jan2021'!U122/100)* 'Tariffs Jan2021'!AJ122,($C$5*'Tariffs Jan2021'!AL122/'Tariffs Jan2021'!AJ122*'Tariffs Jan2021'!U122/100)* 'Tariffs Jan2021'!AJ122)</f>
        <v>359.99999999999994</v>
      </c>
      <c r="K128" s="69">
        <f>IF($C$5*'Tariffs Jan2021'!AL122/'Tariffs Jan2021'!AJ122&lt;'Tariffs Jan2021'!J122,0,IF($C$5*'Tariffs Jan2021'!AL122/'Tariffs Jan2021'!AJ122&lt;='Tariffs Jan2021'!K122,($C$5*'Tariffs Jan2021'!AL122/'Tariffs Jan2021'!AJ122-'Tariffs Jan2021'!J122)*('Tariffs Jan2021'!V122/100)*'Tariffs Jan2021'!AJ122,('Tariffs Jan2021'!K122-'Tariffs Jan2021'!J122)*('Tariffs Jan2021'!V122/100)*'Tariffs Jan2021'!AJ122))</f>
        <v>258.4851272727272</v>
      </c>
      <c r="L128" s="69">
        <f>IF($C$5*'Tariffs Jan2021'!AL122/'Tariffs Jan2021'!AJ122&lt;'Tariffs Jan2021'!K122,0,IF($C$5*'Tariffs Jan2021'!AL122/'Tariffs Jan2021'!AJ122&lt;='Tariffs Jan2021'!L122,($C$5*'Tariffs Jan2021'!AL122/'Tariffs Jan2021'!AJ122-'Tariffs Jan2021'!K122)*('Tariffs Jan2021'!W122/100)*'Tariffs Jan2021'!AJ122,('Tariffs Jan2021'!L122-'Tariffs Jan2021'!K122)*('Tariffs Jan2021'!W122/100)*'Tariffs Jan2021'!AJ122))</f>
        <v>0</v>
      </c>
      <c r="M128" s="69">
        <f>IF($C$5*'Tariffs Jan2021'!AL122/'Tariffs Jan2021'!AJ122&lt;'Tariffs Jan2021'!L122,0,IF($C$5*'Tariffs Jan2021'!AL122/'Tariffs Jan2021'!AJ122&lt;='Tariffs Jan2021'!M122,($C$5*'Tariffs Jan2021'!AL122/'Tariffs Jan2021'!AJ122-'Tariffs Jan2021'!L122)*('Tariffs Jan2021'!X122/100)*'Tariffs Jan2021'!AJ122,('Tariffs Jan2021'!M122-'Tariffs Jan2021'!L122)*('Tariffs Jan2021'!X122/100)*'Tariffs Jan2021'!AJ122))</f>
        <v>0</v>
      </c>
      <c r="N128" s="69">
        <f>IF(($C$5*'Tariffs Jan2021'!AL122/'Tariffs Jan2021'!AJ122&gt;'Tariffs Jan2021'!M122),($C$5*'Tariffs Jan2021'!AL122/'Tariffs Jan2021'!AJ122-'Tariffs Jan2021'!M122)*'Tariffs Jan2021'!Y122/100*'Tariffs Jan2021'!AJ122,0)</f>
        <v>0</v>
      </c>
      <c r="O128" s="59">
        <f t="shared" ref="O128:O142" si="93">SUM(E128:N128)</f>
        <v>1019.0850272727271</v>
      </c>
      <c r="P128" s="503">
        <f t="shared" si="56"/>
        <v>1120.99353</v>
      </c>
      <c r="Q128" s="59">
        <f t="shared" ref="Q128:Q142" si="94">D128+O128</f>
        <v>1231.0836636363633</v>
      </c>
      <c r="R128" s="272">
        <f t="shared" ref="R128:R142" si="95">Q128*1.1</f>
        <v>1354.1920299999997</v>
      </c>
      <c r="S128" s="40">
        <f>'Tariffs Jan2021'!AN122</f>
        <v>0</v>
      </c>
      <c r="T128" s="40">
        <f>'Tariffs Jan2021'!AO122</f>
        <v>0</v>
      </c>
      <c r="U128" s="40">
        <f>'Tariffs Jan2021'!AP122</f>
        <v>0</v>
      </c>
      <c r="V128" s="40">
        <f>'Tariffs Jan2021'!AQ122</f>
        <v>0</v>
      </c>
      <c r="W128" s="537" t="str">
        <f t="shared" si="91"/>
        <v>No discount</v>
      </c>
      <c r="X128" s="538" t="str">
        <f t="shared" si="92"/>
        <v>Exclusive</v>
      </c>
      <c r="Y128" s="534">
        <f t="shared" ref="Y128:Y129" si="96">IF(AND(W128="Guaranteed off bill",X128="Inclusive"),((Q128*1.1)-((Q128*1.1)*S128/100))/1.1,IF(AND(W128="Guaranteed off usage",X128="Inclusive"),((Q128*1.1)-((P128*1.1)*T128/100))/1.1,IF(AND(W128="Guaranteed off bill",X128="Exclusive"),Q128-(Q128*S128/100),IF(AND(W128="Guaranteed off usage",X128="Exclusive"),Q128-(P128*T128/100),IF(X128="Inclusive",((Q128*1.1))/1.1,Q128)))))</f>
        <v>1231.0836636363633</v>
      </c>
      <c r="Z128" s="535">
        <f t="shared" ref="Z128:Z129" si="97">IF(AND(W128="Pay-on-time off bill",X128="Inclusive"),((Y128*1.1)-((Y128*1.1)*U128/100))/1.1,IF(AND(W128="Pay-on-time off usage",X128="Inclusive"),((Y128*1.1)-((P128*1.1)*V128/100))/1.1,IF(AND(W128="Pay-on-time off bill",X128="Exclusive"),Y128-(Y128*U128/100),IF(AND(W128="Pay-on-time off usage",X128="Exclusive"),Y128-(P128*V128/100),IF(X128="Inclusive",((Y128*1.1))/1.1,Y128)))))</f>
        <v>1231.0836636363633</v>
      </c>
      <c r="AA128" s="542">
        <f t="shared" si="78"/>
        <v>1354.1920299999997</v>
      </c>
      <c r="AB128" s="542">
        <f t="shared" si="78"/>
        <v>1354.1920299999997</v>
      </c>
      <c r="AC128" s="274">
        <f>'Tariffs Jan2021'!AZ122</f>
        <v>0</v>
      </c>
      <c r="AD128" s="274" t="str">
        <f>'Tariffs Jan2021'!BA122</f>
        <v>n</v>
      </c>
      <c r="AE128" s="275" t="str">
        <f>'Tariffs Jan2021'!BJ122</f>
        <v>N</v>
      </c>
      <c r="AF128" s="516"/>
      <c r="AG128" s="516"/>
      <c r="AH128" s="516"/>
      <c r="AI128" s="516"/>
      <c r="AJ128" s="516"/>
      <c r="AK128" s="516"/>
      <c r="AL128" s="516"/>
      <c r="AM128" s="516"/>
      <c r="AN128" s="516"/>
      <c r="AO128" s="516"/>
      <c r="AP128" s="516"/>
      <c r="AQ128" s="516"/>
      <c r="AR128" s="516"/>
      <c r="AS128" s="516"/>
      <c r="AT128" s="516"/>
      <c r="AU128" s="516"/>
      <c r="AV128" s="516"/>
      <c r="AW128" s="516"/>
      <c r="AX128" s="516"/>
      <c r="AY128" s="516"/>
      <c r="AZ128" s="516"/>
    </row>
    <row r="129" spans="1:52" ht="14" x14ac:dyDescent="0.15">
      <c r="A129" s="270" t="str">
        <f>'Tariffs Jan2021'!F123</f>
        <v>Covau</v>
      </c>
      <c r="B129" s="40" t="str">
        <f>'Tariffs Jan2021'!D123</f>
        <v>AusNet Services Central 1</v>
      </c>
      <c r="C129" s="40" t="str">
        <f>'Tariffs Jan2021'!G123</f>
        <v>Smart Saver</v>
      </c>
      <c r="D129" s="59">
        <f>365*'Tariffs Jan2021'!H123/100</f>
        <v>310.25</v>
      </c>
      <c r="E129" s="59">
        <f>IF($C$5*'Tariffs Jan2021'!AK123/'Tariffs Jan2021'!AI123&gt;='Tariffs Jan2021'!J123,( 'Tariffs Jan2021'!J123*'Tariffs Jan2021'!O123/100)* 'Tariffs Jan2021'!AI123,($C$5*'Tariffs Jan2021'!AK123/'Tariffs Jan2021'!AI123*'Tariffs Jan2021'!O123/100)* 'Tariffs Jan2021'!AI123)</f>
        <v>344.72727272727275</v>
      </c>
      <c r="F129" s="59">
        <f>IF($C$5*'Tariffs Jan2021'!AK123/'Tariffs Jan2021'!AI123&lt;'Tariffs Jan2021'!J123,0,IF($C$5*'Tariffs Jan2021'!AK123/'Tariffs Jan2021'!AI123&lt;='Tariffs Jan2021'!K123,($C$5*'Tariffs Jan2021'!AK123/'Tariffs Jan2021'!AI123-'Tariffs Jan2021'!J123)*('Tariffs Jan2021'!P123/100)*'Tariffs Jan2021'!AI123,('Tariffs Jan2021'!K123-'Tariffs Jan2021'!J123)*('Tariffs Jan2021'!P123/100)*'Tariffs Jan2021'!AI123))</f>
        <v>229.85544545454536</v>
      </c>
      <c r="G129" s="59">
        <f>IF($C$5*'Tariffs Jan2021'!AK123/'Tariffs Jan2021'!AI123&lt;'Tariffs Jan2021'!K123,0,IF($C$5*'Tariffs Jan2021'!AK123/'Tariffs Jan2021'!AI123&lt;='Tariffs Jan2021'!L123,($C$5*'Tariffs Jan2021'!AK123/'Tariffs Jan2021'!AI123-'Tariffs Jan2021'!K123)*('Tariffs Jan2021'!Q123/100)*'Tariffs Jan2021'!AI123,('Tariffs Jan2021'!L123-'Tariffs Jan2021'!K123)*('Tariffs Jan2021'!Q123/100)*'Tariffs Jan2021'!AI123))</f>
        <v>0</v>
      </c>
      <c r="H129" s="59">
        <f>IF($C$5*'Tariffs Jan2021'!AK123/'Tariffs Jan2021'!AI123&lt;'Tariffs Jan2021'!L123,0,IF($C$5*'Tariffs Jan2021'!AK123/'Tariffs Jan2021'!AI123&lt;='Tariffs Jan2021'!M123,($C$5*'Tariffs Jan2021'!AK123/'Tariffs Jan2021'!AI123-'Tariffs Jan2021'!L123)*('Tariffs Jan2021'!R123/100)*'Tariffs Jan2021'!AI123,('Tariffs Jan2021'!M123-'Tariffs Jan2021'!L123)*('Tariffs Jan2021'!R123/100)*'Tariffs Jan2021'!AI123))</f>
        <v>0</v>
      </c>
      <c r="I129" s="69">
        <f>IF(($C$5*'Tariffs Jan2021'!AK123/'Tariffs Jan2021'!AI123&gt;'Tariffs Jan2021'!M123),($C$5*'Tariffs Jan2021'!AK123/'Tariffs Jan2021'!AI123-'Tariffs Jan2021'!M123)*'Tariffs Jan2021'!S123/100*'Tariffs Jan2021'!AI123,0)</f>
        <v>0</v>
      </c>
      <c r="J129" s="69">
        <f>IF($C$5*'Tariffs Jan2021'!AL123/'Tariffs Jan2021'!AJ123&gt;='Tariffs Jan2021'!J123,('Tariffs Jan2021'!J123*'Tariffs Jan2021'!U123/100)* 'Tariffs Jan2021'!AJ123,($C$5*'Tariffs Jan2021'!AL123/'Tariffs Jan2021'!AJ123*'Tariffs Jan2021'!U123/100)* 'Tariffs Jan2021'!AJ123)</f>
        <v>576</v>
      </c>
      <c r="K129" s="69">
        <f>IF($C$5*'Tariffs Jan2021'!AL123/'Tariffs Jan2021'!AJ123&lt;'Tariffs Jan2021'!J123,0,IF($C$5*'Tariffs Jan2021'!AL123/'Tariffs Jan2021'!AJ123&lt;='Tariffs Jan2021'!K123,($C$5*'Tariffs Jan2021'!AL123/'Tariffs Jan2021'!AJ123-'Tariffs Jan2021'!J123)*('Tariffs Jan2021'!V123/100)*'Tariffs Jan2021'!AJ123,('Tariffs Jan2021'!K123-'Tariffs Jan2021'!J123)*('Tariffs Jan2021'!V123/100)*'Tariffs Jan2021'!AJ123))</f>
        <v>395.90759999999989</v>
      </c>
      <c r="L129" s="69">
        <f>IF($C$5*'Tariffs Jan2021'!AL123/'Tariffs Jan2021'!AJ123&lt;'Tariffs Jan2021'!K123,0,IF($C$5*'Tariffs Jan2021'!AL123/'Tariffs Jan2021'!AJ123&lt;='Tariffs Jan2021'!L123,($C$5*'Tariffs Jan2021'!AL123/'Tariffs Jan2021'!AJ123-'Tariffs Jan2021'!K123)*('Tariffs Jan2021'!W123/100)*'Tariffs Jan2021'!AJ123,('Tariffs Jan2021'!L123-'Tariffs Jan2021'!K123)*('Tariffs Jan2021'!W123/100)*'Tariffs Jan2021'!AJ123))</f>
        <v>0</v>
      </c>
      <c r="M129" s="69">
        <f>IF($C$5*'Tariffs Jan2021'!AL123/'Tariffs Jan2021'!AJ123&lt;'Tariffs Jan2021'!L123,0,IF($C$5*'Tariffs Jan2021'!AL123/'Tariffs Jan2021'!AJ123&lt;='Tariffs Jan2021'!M123,($C$5*'Tariffs Jan2021'!AL123/'Tariffs Jan2021'!AJ123-'Tariffs Jan2021'!L123)*('Tariffs Jan2021'!X123/100)*'Tariffs Jan2021'!AJ123,('Tariffs Jan2021'!M123-'Tariffs Jan2021'!L123)*('Tariffs Jan2021'!X123/100)*'Tariffs Jan2021'!AJ123))</f>
        <v>0</v>
      </c>
      <c r="N129" s="69">
        <f>IF(($C$5*'Tariffs Jan2021'!AL123/'Tariffs Jan2021'!AJ123&gt;'Tariffs Jan2021'!M123),($C$5*'Tariffs Jan2021'!AL123/'Tariffs Jan2021'!AJ123-'Tariffs Jan2021'!M123)*'Tariffs Jan2021'!Y123/100*'Tariffs Jan2021'!AJ123,0)</f>
        <v>0</v>
      </c>
      <c r="O129" s="59">
        <f t="shared" si="93"/>
        <v>1546.4903181818181</v>
      </c>
      <c r="P129" s="503">
        <f t="shared" si="56"/>
        <v>1701.1393500000001</v>
      </c>
      <c r="Q129" s="59">
        <f t="shared" si="94"/>
        <v>1856.7403181818181</v>
      </c>
      <c r="R129" s="272">
        <f t="shared" si="95"/>
        <v>2042.41435</v>
      </c>
      <c r="S129" s="40">
        <f>'Tariffs Jan2021'!AN123</f>
        <v>0</v>
      </c>
      <c r="T129" s="40">
        <f>'Tariffs Jan2021'!AO123</f>
        <v>16</v>
      </c>
      <c r="U129" s="40">
        <f>'Tariffs Jan2021'!AP123</f>
        <v>0</v>
      </c>
      <c r="V129" s="40">
        <f>'Tariffs Jan2021'!AQ123</f>
        <v>0</v>
      </c>
      <c r="W129" s="537" t="str">
        <f t="shared" si="91"/>
        <v>Guaranteed off usage</v>
      </c>
      <c r="X129" s="538" t="str">
        <f t="shared" si="92"/>
        <v>Exclusive</v>
      </c>
      <c r="Y129" s="534">
        <f t="shared" si="96"/>
        <v>1584.5580221818182</v>
      </c>
      <c r="Z129" s="535">
        <f t="shared" si="97"/>
        <v>1584.5580221818182</v>
      </c>
      <c r="AA129" s="542">
        <f t="shared" si="78"/>
        <v>1743.0138244000002</v>
      </c>
      <c r="AB129" s="542">
        <f t="shared" si="78"/>
        <v>1743.0138244000002</v>
      </c>
      <c r="AC129" s="274">
        <f>'Tariffs Jan2021'!AZ123</f>
        <v>0</v>
      </c>
      <c r="AD129" s="274" t="str">
        <f>'Tariffs Jan2021'!BA123</f>
        <v>n</v>
      </c>
      <c r="AE129" s="275" t="str">
        <f>'Tariffs Jan2021'!BJ123</f>
        <v>N</v>
      </c>
      <c r="AF129" s="516"/>
      <c r="AG129" s="516"/>
      <c r="AH129" s="516"/>
      <c r="AI129" s="516"/>
      <c r="AJ129" s="516"/>
      <c r="AK129" s="516"/>
      <c r="AL129" s="516"/>
      <c r="AM129" s="516"/>
      <c r="AN129" s="516"/>
      <c r="AO129" s="516"/>
      <c r="AP129" s="516"/>
      <c r="AQ129" s="516"/>
      <c r="AR129" s="516"/>
      <c r="AS129" s="516"/>
      <c r="AT129" s="516"/>
      <c r="AU129" s="516"/>
      <c r="AV129" s="516"/>
      <c r="AW129" s="516"/>
      <c r="AX129" s="516"/>
      <c r="AY129" s="516"/>
      <c r="AZ129" s="516"/>
    </row>
    <row r="130" spans="1:52" ht="14" x14ac:dyDescent="0.15">
      <c r="A130" s="270" t="str">
        <f>'Tariffs Jan2021'!F124</f>
        <v>Dodo Power &amp; Gas</v>
      </c>
      <c r="B130" s="40" t="str">
        <f>'Tariffs Jan2021'!D124</f>
        <v>AusNet Services Central 1</v>
      </c>
      <c r="C130" s="40" t="str">
        <f>'Tariffs Jan2021'!G124</f>
        <v>Market offer</v>
      </c>
      <c r="D130" s="59">
        <f>365*'Tariffs Jan2021'!H124/100</f>
        <v>274.67909090909086</v>
      </c>
      <c r="E130" s="59">
        <f>IF($C$5*'Tariffs Jan2021'!AK124/'Tariffs Jan2021'!AI124&gt;='Tariffs Jan2021'!J124,( 'Tariffs Jan2021'!J124*'Tariffs Jan2021'!O124/100)* 'Tariffs Jan2021'!AI124,($C$5*'Tariffs Jan2021'!AK124/'Tariffs Jan2021'!AI124*'Tariffs Jan2021'!O124/100)* 'Tariffs Jan2021'!AI124)</f>
        <v>268.36363636363637</v>
      </c>
      <c r="F130" s="59">
        <f>IF($C$5*'Tariffs Jan2021'!AK124/'Tariffs Jan2021'!AI124&lt;'Tariffs Jan2021'!J124,0,IF($C$5*'Tariffs Jan2021'!AK124/'Tariffs Jan2021'!AI124&lt;='Tariffs Jan2021'!K124,($C$5*'Tariffs Jan2021'!AK124/'Tariffs Jan2021'!AI124-'Tariffs Jan2021'!J124)*('Tariffs Jan2021'!P124/100)*'Tariffs Jan2021'!AI124,('Tariffs Jan2021'!K124-'Tariffs Jan2021'!J124)*('Tariffs Jan2021'!P124/100)*'Tariffs Jan2021'!AI124))</f>
        <v>174.23206363636356</v>
      </c>
      <c r="G130" s="59">
        <f>IF($C$5*'Tariffs Jan2021'!AK124/'Tariffs Jan2021'!AI124&lt;'Tariffs Jan2021'!K124,0,IF($C$5*'Tariffs Jan2021'!AK124/'Tariffs Jan2021'!AI124&lt;='Tariffs Jan2021'!L124,($C$5*'Tariffs Jan2021'!AK124/'Tariffs Jan2021'!AI124-'Tariffs Jan2021'!K124)*('Tariffs Jan2021'!Q124/100)*'Tariffs Jan2021'!AI124,('Tariffs Jan2021'!L124-'Tariffs Jan2021'!K124)*('Tariffs Jan2021'!Q124/100)*'Tariffs Jan2021'!AI124))</f>
        <v>0</v>
      </c>
      <c r="H130" s="59">
        <f>IF($C$5*'Tariffs Jan2021'!AK124/'Tariffs Jan2021'!AI124&lt;'Tariffs Jan2021'!L124,0,IF($C$5*'Tariffs Jan2021'!AK124/'Tariffs Jan2021'!AI124&lt;='Tariffs Jan2021'!M124,($C$5*'Tariffs Jan2021'!AK124/'Tariffs Jan2021'!AI124-'Tariffs Jan2021'!L124)*('Tariffs Jan2021'!R124/100)*'Tariffs Jan2021'!AI124,('Tariffs Jan2021'!M124-'Tariffs Jan2021'!L124)*('Tariffs Jan2021'!R124/100)*'Tariffs Jan2021'!AI124))</f>
        <v>0</v>
      </c>
      <c r="I130" s="69">
        <f>IF(($C$5*'Tariffs Jan2021'!AK124/'Tariffs Jan2021'!AI124&gt;'Tariffs Jan2021'!M124),($C$5*'Tariffs Jan2021'!AK124/'Tariffs Jan2021'!AI124-'Tariffs Jan2021'!M124)*'Tariffs Jan2021'!S124/100*'Tariffs Jan2021'!AI124,0)</f>
        <v>0</v>
      </c>
      <c r="J130" s="69">
        <f>IF($C$5*'Tariffs Jan2021'!AL124/'Tariffs Jan2021'!AJ124&gt;='Tariffs Jan2021'!J124,('Tariffs Jan2021'!J124*'Tariffs Jan2021'!U124/100)* 'Tariffs Jan2021'!AJ124,($C$5*'Tariffs Jan2021'!AL124/'Tariffs Jan2021'!AJ124*'Tariffs Jan2021'!U124/100)* 'Tariffs Jan2021'!AJ124)</f>
        <v>418.90909090909082</v>
      </c>
      <c r="K130" s="69">
        <f>IF($C$5*'Tariffs Jan2021'!AL124/'Tariffs Jan2021'!AJ124&lt;'Tariffs Jan2021'!J124,0,IF($C$5*'Tariffs Jan2021'!AL124/'Tariffs Jan2021'!AJ124&lt;='Tariffs Jan2021'!K124,($C$5*'Tariffs Jan2021'!AL124/'Tariffs Jan2021'!AJ124-'Tariffs Jan2021'!J124)*('Tariffs Jan2021'!V124/100)*'Tariffs Jan2021'!AJ124,('Tariffs Jan2021'!K124-'Tariffs Jan2021'!J124)*('Tariffs Jan2021'!V124/100)*'Tariffs Jan2021'!AJ124))</f>
        <v>304.29261818181811</v>
      </c>
      <c r="L130" s="69">
        <f>IF($C$5*'Tariffs Jan2021'!AL124/'Tariffs Jan2021'!AJ124&lt;'Tariffs Jan2021'!K124,0,IF($C$5*'Tariffs Jan2021'!AL124/'Tariffs Jan2021'!AJ124&lt;='Tariffs Jan2021'!L124,($C$5*'Tariffs Jan2021'!AL124/'Tariffs Jan2021'!AJ124-'Tariffs Jan2021'!K124)*('Tariffs Jan2021'!W124/100)*'Tariffs Jan2021'!AJ124,('Tariffs Jan2021'!L124-'Tariffs Jan2021'!K124)*('Tariffs Jan2021'!W124/100)*'Tariffs Jan2021'!AJ124))</f>
        <v>0</v>
      </c>
      <c r="M130" s="69">
        <f>IF($C$5*'Tariffs Jan2021'!AL124/'Tariffs Jan2021'!AJ124&lt;'Tariffs Jan2021'!L124,0,IF($C$5*'Tariffs Jan2021'!AL124/'Tariffs Jan2021'!AJ124&lt;='Tariffs Jan2021'!M124,($C$5*'Tariffs Jan2021'!AL124/'Tariffs Jan2021'!AJ124-'Tariffs Jan2021'!L124)*('Tariffs Jan2021'!X124/100)*'Tariffs Jan2021'!AJ124,('Tariffs Jan2021'!M124-'Tariffs Jan2021'!L124)*('Tariffs Jan2021'!X124/100)*'Tariffs Jan2021'!AJ124))</f>
        <v>0</v>
      </c>
      <c r="N130" s="69">
        <f>IF(($C$5*'Tariffs Jan2021'!AL124/'Tariffs Jan2021'!AJ124&gt;'Tariffs Jan2021'!M124),($C$5*'Tariffs Jan2021'!AL124/'Tariffs Jan2021'!AJ124-'Tariffs Jan2021'!M124)*'Tariffs Jan2021'!Y124/100*'Tariffs Jan2021'!AJ124,0)</f>
        <v>0</v>
      </c>
      <c r="O130" s="59">
        <f t="shared" si="93"/>
        <v>1165.797409090909</v>
      </c>
      <c r="P130" s="503">
        <f t="shared" si="56"/>
        <v>1282.37715</v>
      </c>
      <c r="Q130" s="59">
        <f t="shared" si="94"/>
        <v>1440.4764999999998</v>
      </c>
      <c r="R130" s="272">
        <f t="shared" si="95"/>
        <v>1584.52415</v>
      </c>
      <c r="S130" s="40">
        <f>'Tariffs Jan2021'!AN124</f>
        <v>0</v>
      </c>
      <c r="T130" s="40">
        <f>'Tariffs Jan2021'!AO124</f>
        <v>0</v>
      </c>
      <c r="U130" s="40">
        <f>'Tariffs Jan2021'!AP124</f>
        <v>0</v>
      </c>
      <c r="V130" s="40">
        <f>'Tariffs Jan2021'!AQ124</f>
        <v>0</v>
      </c>
      <c r="W130" s="537" t="str">
        <f t="shared" si="91"/>
        <v>No discount</v>
      </c>
      <c r="X130" s="538" t="str">
        <f t="shared" si="92"/>
        <v>Exclusive</v>
      </c>
      <c r="Y130" s="534">
        <f>IF(AND(W130="Guaranteed off bill",X130="Inclusive"),((Q130*1.1)-((Q130*1.1)*S130/100))/1.1,IF(AND(W130="Guaranteed off usage",X130="Inclusive"),((Q130*1.1)-((P130*1.1)*T130/100))/1.1,IF(AND(W130="Guaranteed off bill",X130="Exclusive"),Q130-(Q130*S130/100),IF(AND(W130="Guaranteed off usage",X130="Exclusive"),Q130-(P130*T130/100),IF(X130="Inclusive",((Q130*1.1))/1.1,Q130)))))</f>
        <v>1440.4764999999998</v>
      </c>
      <c r="Z130" s="535">
        <f>IF(AND(W130="Pay-on-time off bill",X130="Inclusive"),((Y130*1.1)-((Y130*1.1)*U130/100))/1.1,IF(AND(W130="Pay-on-time off usage",X130="Inclusive"),((Y130*1.1)-((P130*1.1)*V130/100))/1.1,IF(AND(W130="Pay-on-time off bill",X130="Exclusive"),Y130-(Y130*U130/100),IF(AND(W130="Pay-on-time off usage",X130="Exclusive"),Y130-(P130*V130/100),IF(X130="Inclusive",((Y130*1.1))/1.1,Y130)))))</f>
        <v>1440.4764999999998</v>
      </c>
      <c r="AA130" s="542">
        <f t="shared" si="78"/>
        <v>1584.52415</v>
      </c>
      <c r="AB130" s="542">
        <f t="shared" si="78"/>
        <v>1584.52415</v>
      </c>
      <c r="AC130" s="274">
        <f>'Tariffs Jan2021'!AZ124</f>
        <v>0</v>
      </c>
      <c r="AD130" s="274" t="str">
        <f>'Tariffs Jan2021'!BA124</f>
        <v>n</v>
      </c>
      <c r="AE130" s="275" t="str">
        <f>'Tariffs Jan2021'!BJ124</f>
        <v>N</v>
      </c>
      <c r="AF130" s="516"/>
      <c r="AG130" s="516"/>
      <c r="AH130" s="516"/>
      <c r="AI130" s="516"/>
      <c r="AJ130" s="516"/>
      <c r="AK130" s="516"/>
      <c r="AL130" s="516"/>
      <c r="AM130" s="516"/>
      <c r="AN130" s="516"/>
      <c r="AO130" s="516"/>
      <c r="AP130" s="516"/>
      <c r="AQ130" s="516"/>
      <c r="AR130" s="516"/>
      <c r="AS130" s="516"/>
      <c r="AT130" s="516"/>
      <c r="AU130" s="516"/>
      <c r="AV130" s="516"/>
      <c r="AW130" s="516"/>
      <c r="AX130" s="516"/>
      <c r="AY130" s="516"/>
      <c r="AZ130" s="516"/>
    </row>
    <row r="131" spans="1:52" ht="14" x14ac:dyDescent="0.15">
      <c r="A131" s="270" t="str">
        <f>'Tariffs Jan2021'!F125</f>
        <v>EnergyAustralia</v>
      </c>
      <c r="B131" s="40" t="str">
        <f>'Tariffs Jan2021'!D125</f>
        <v>AusNet Services Central 1</v>
      </c>
      <c r="C131" s="40" t="str">
        <f>'Tariffs Jan2021'!G125</f>
        <v>Total Plan</v>
      </c>
      <c r="D131" s="59">
        <f>365*'Tariffs Jan2021'!H125/100</f>
        <v>367.19</v>
      </c>
      <c r="E131" s="59">
        <f>IF($C$5*'Tariffs Jan2021'!AK125/'Tariffs Jan2021'!AI125&gt;='Tariffs Jan2021'!J125,( 'Tariffs Jan2021'!J125*'Tariffs Jan2021'!O125/100)* 'Tariffs Jan2021'!AI125,($C$5*'Tariffs Jan2021'!AK125/'Tariffs Jan2021'!AI125*'Tariffs Jan2021'!O125/100)* 'Tariffs Jan2021'!AI125)</f>
        <v>355.63636363636363</v>
      </c>
      <c r="F131" s="59">
        <f>IF($C$5*'Tariffs Jan2021'!AK125/'Tariffs Jan2021'!AI125&lt;'Tariffs Jan2021'!J125,0,IF($C$5*'Tariffs Jan2021'!AK125/'Tariffs Jan2021'!AI125&lt;='Tariffs Jan2021'!K125,($C$5*'Tariffs Jan2021'!AK125/'Tariffs Jan2021'!AI125-'Tariffs Jan2021'!J125)*('Tariffs Jan2021'!P125/100)*'Tariffs Jan2021'!AI125,('Tariffs Jan2021'!K125-'Tariffs Jan2021'!J125)*('Tariffs Jan2021'!P125/100)*'Tariffs Jan2021'!AI125))</f>
        <v>214.31361818181813</v>
      </c>
      <c r="G131" s="59">
        <f>IF($C$5*'Tariffs Jan2021'!AK125/'Tariffs Jan2021'!AI125&lt;'Tariffs Jan2021'!K125,0,IF($C$5*'Tariffs Jan2021'!AK125/'Tariffs Jan2021'!AI125&lt;='Tariffs Jan2021'!L125,($C$5*'Tariffs Jan2021'!AK125/'Tariffs Jan2021'!AI125-'Tariffs Jan2021'!K125)*('Tariffs Jan2021'!Q125/100)*'Tariffs Jan2021'!AI125,('Tariffs Jan2021'!L125-'Tariffs Jan2021'!K125)*('Tariffs Jan2021'!Q125/100)*'Tariffs Jan2021'!AI125))</f>
        <v>0</v>
      </c>
      <c r="H131" s="59">
        <f>IF($C$5*'Tariffs Jan2021'!AK125/'Tariffs Jan2021'!AI125&lt;'Tariffs Jan2021'!L125,0,IF($C$5*'Tariffs Jan2021'!AK125/'Tariffs Jan2021'!AI125&lt;='Tariffs Jan2021'!M125,($C$5*'Tariffs Jan2021'!AK125/'Tariffs Jan2021'!AI125-'Tariffs Jan2021'!L125)*('Tariffs Jan2021'!R125/100)*'Tariffs Jan2021'!AI125,('Tariffs Jan2021'!M125-'Tariffs Jan2021'!L125)*('Tariffs Jan2021'!R125/100)*'Tariffs Jan2021'!AI125))</f>
        <v>0</v>
      </c>
      <c r="I131" s="69">
        <f>IF(($C$5*'Tariffs Jan2021'!AK125/'Tariffs Jan2021'!AI125&gt;'Tariffs Jan2021'!M125),($C$5*'Tariffs Jan2021'!AK125/'Tariffs Jan2021'!AI125-'Tariffs Jan2021'!M125)*'Tariffs Jan2021'!S125/100*'Tariffs Jan2021'!AI125,0)</f>
        <v>0</v>
      </c>
      <c r="J131" s="69">
        <f>IF($C$5*'Tariffs Jan2021'!AL125/'Tariffs Jan2021'!AJ125&gt;='Tariffs Jan2021'!J125,('Tariffs Jan2021'!J125*'Tariffs Jan2021'!U125/100)* 'Tariffs Jan2021'!AJ125,($C$5*'Tariffs Jan2021'!AL125/'Tariffs Jan2021'!AJ125*'Tariffs Jan2021'!U125/100)* 'Tariffs Jan2021'!AJ125)</f>
        <v>545.45454545454538</v>
      </c>
      <c r="K131" s="69">
        <f>IF($C$5*'Tariffs Jan2021'!AL125/'Tariffs Jan2021'!AJ125&lt;'Tariffs Jan2021'!J125,0,IF($C$5*'Tariffs Jan2021'!AL125/'Tariffs Jan2021'!AJ125&lt;='Tariffs Jan2021'!K125,($C$5*'Tariffs Jan2021'!AL125/'Tariffs Jan2021'!AJ125-'Tariffs Jan2021'!J125)*('Tariffs Jan2021'!V125/100)*'Tariffs Jan2021'!AJ125,('Tariffs Jan2021'!K125-'Tariffs Jan2021'!J125)*('Tariffs Jan2021'!V125/100)*'Tariffs Jan2021'!AJ125))</f>
        <v>371.36787272727258</v>
      </c>
      <c r="L131" s="69">
        <f>IF($C$5*'Tariffs Jan2021'!AL125/'Tariffs Jan2021'!AJ125&lt;'Tariffs Jan2021'!K125,0,IF($C$5*'Tariffs Jan2021'!AL125/'Tariffs Jan2021'!AJ125&lt;='Tariffs Jan2021'!L125,($C$5*'Tariffs Jan2021'!AL125/'Tariffs Jan2021'!AJ125-'Tariffs Jan2021'!K125)*('Tariffs Jan2021'!W125/100)*'Tariffs Jan2021'!AJ125,('Tariffs Jan2021'!L125-'Tariffs Jan2021'!K125)*('Tariffs Jan2021'!W125/100)*'Tariffs Jan2021'!AJ125))</f>
        <v>0</v>
      </c>
      <c r="M131" s="69">
        <f>IF($C$5*'Tariffs Jan2021'!AL125/'Tariffs Jan2021'!AJ125&lt;'Tariffs Jan2021'!L125,0,IF($C$5*'Tariffs Jan2021'!AL125/'Tariffs Jan2021'!AJ125&lt;='Tariffs Jan2021'!M125,($C$5*'Tariffs Jan2021'!AL125/'Tariffs Jan2021'!AJ125-'Tariffs Jan2021'!L125)*('Tariffs Jan2021'!X125/100)*'Tariffs Jan2021'!AJ125,('Tariffs Jan2021'!M125-'Tariffs Jan2021'!L125)*('Tariffs Jan2021'!X125/100)*'Tariffs Jan2021'!AJ125))</f>
        <v>0</v>
      </c>
      <c r="N131" s="69">
        <f>IF(($C$5*'Tariffs Jan2021'!AL125/'Tariffs Jan2021'!AJ125&gt;'Tariffs Jan2021'!M125),($C$5*'Tariffs Jan2021'!AL125/'Tariffs Jan2021'!AJ125-'Tariffs Jan2021'!M125)*'Tariffs Jan2021'!Y125/100*'Tariffs Jan2021'!AJ125,0)</f>
        <v>0</v>
      </c>
      <c r="O131" s="59">
        <f t="shared" si="93"/>
        <v>1486.7723999999998</v>
      </c>
      <c r="P131" s="503">
        <f t="shared" si="56"/>
        <v>1635.44964</v>
      </c>
      <c r="Q131" s="59">
        <f t="shared" si="94"/>
        <v>1853.9623999999999</v>
      </c>
      <c r="R131" s="272">
        <f t="shared" si="95"/>
        <v>2039.3586400000002</v>
      </c>
      <c r="S131" s="40">
        <f>'Tariffs Jan2021'!AN125</f>
        <v>27</v>
      </c>
      <c r="T131" s="40">
        <f>'Tariffs Jan2021'!AO125</f>
        <v>0</v>
      </c>
      <c r="U131" s="40">
        <f>'Tariffs Jan2021'!AP125</f>
        <v>0</v>
      </c>
      <c r="V131" s="40">
        <f>'Tariffs Jan2021'!AQ125</f>
        <v>0</v>
      </c>
      <c r="W131" s="537" t="str">
        <f t="shared" si="91"/>
        <v>Guaranteed off bill</v>
      </c>
      <c r="X131" s="538" t="str">
        <f t="shared" si="92"/>
        <v>Exclusive</v>
      </c>
      <c r="Y131" s="534">
        <f t="shared" ref="Y131" si="98">IF(AND(W131="Guaranteed off bill",X131="Inclusive"),((Q131*1.1)-((Q131*1.1)*S131/100))/1.1,IF(AND(W131="Guaranteed off usage",X131="Inclusive"),((Q131*1.1)-((P131*1.1)*T131/100))/1.1,IF(AND(W131="Guaranteed off bill",X131="Exclusive"),Q131-(Q131*S131/100),IF(AND(W131="Guaranteed off usage",X131="Exclusive"),Q131-(P131*T131/100),IF(X131="Inclusive",((Q131*1.1))/1.1,Q131)))))</f>
        <v>1353.3925519999998</v>
      </c>
      <c r="Z131" s="535">
        <f t="shared" ref="Z131" si="99">IF(AND(W131="Pay-on-time off bill",X131="Inclusive"),((Y131*1.1)-((Y131*1.1)*U131/100))/1.1,IF(AND(W131="Pay-on-time off usage",X131="Inclusive"),((Y131*1.1)-((P131*1.1)*V131/100))/1.1,IF(AND(W131="Pay-on-time off bill",X131="Exclusive"),Y131-(Y131*U131/100),IF(AND(W131="Pay-on-time off usage",X131="Exclusive"),Y131-(P131*V131/100),IF(X131="Inclusive",((Y131*1.1))/1.1,Y131)))))</f>
        <v>1353.3925519999998</v>
      </c>
      <c r="AA131" s="542">
        <f t="shared" si="78"/>
        <v>1488.7318071999998</v>
      </c>
      <c r="AB131" s="542">
        <f t="shared" si="78"/>
        <v>1488.7318071999998</v>
      </c>
      <c r="AC131" s="274">
        <f>'Tariffs Jan2021'!AZ125</f>
        <v>12</v>
      </c>
      <c r="AD131" s="274" t="str">
        <f>'Tariffs Jan2021'!BA125</f>
        <v>n</v>
      </c>
      <c r="AE131" s="275" t="str">
        <f>'Tariffs Jan2021'!BJ125</f>
        <v>N</v>
      </c>
      <c r="AF131" s="516"/>
      <c r="AG131" s="516"/>
      <c r="AH131" s="516"/>
      <c r="AI131" s="516"/>
      <c r="AJ131" s="516"/>
      <c r="AK131" s="516"/>
      <c r="AL131" s="516"/>
      <c r="AM131" s="516"/>
      <c r="AN131" s="516"/>
      <c r="AO131" s="516"/>
      <c r="AP131" s="516"/>
      <c r="AQ131" s="516"/>
      <c r="AR131" s="516"/>
      <c r="AS131" s="516"/>
      <c r="AT131" s="516"/>
      <c r="AU131" s="516"/>
      <c r="AV131" s="516"/>
      <c r="AW131" s="516"/>
      <c r="AX131" s="516"/>
      <c r="AY131" s="516"/>
      <c r="AZ131" s="516"/>
    </row>
    <row r="132" spans="1:52" ht="14" x14ac:dyDescent="0.15">
      <c r="A132" s="270" t="str">
        <f>'Tariffs Jan2021'!F126</f>
        <v>Lumo Energy</v>
      </c>
      <c r="B132" s="40" t="str">
        <f>'Tariffs Jan2021'!D126</f>
        <v>AusNet Services Central 1</v>
      </c>
      <c r="C132" s="40" t="str">
        <f>'Tariffs Jan2021'!G126</f>
        <v>Value</v>
      </c>
      <c r="D132" s="59">
        <f>365*'Tariffs Jan2021'!H126/100</f>
        <v>283.23999999999995</v>
      </c>
      <c r="E132" s="59">
        <f>IF($C$5*'Tariffs Jan2021'!AK126/'Tariffs Jan2021'!AI126&gt;='Tariffs Jan2021'!J126,( 'Tariffs Jan2021'!J126*'Tariffs Jan2021'!O126/100)* 'Tariffs Jan2021'!AI126,($C$5*'Tariffs Jan2021'!AK126/'Tariffs Jan2021'!AI126*'Tariffs Jan2021'!O126/100)* 'Tariffs Jan2021'!AI126)</f>
        <v>224.72727272727272</v>
      </c>
      <c r="F132" s="59">
        <f>IF($C$5*'Tariffs Jan2021'!AK126/'Tariffs Jan2021'!AI126&lt;'Tariffs Jan2021'!J126,0,IF($C$5*'Tariffs Jan2021'!AK126/'Tariffs Jan2021'!AI126&lt;='Tariffs Jan2021'!K126,($C$5*'Tariffs Jan2021'!AK126/'Tariffs Jan2021'!AI126-'Tariffs Jan2021'!J126)*('Tariffs Jan2021'!P126/100)*'Tariffs Jan2021'!AI126,('Tariffs Jan2021'!K126-'Tariffs Jan2021'!J126)*('Tariffs Jan2021'!P126/100)*'Tariffs Jan2021'!AI126))</f>
        <v>163.59818181818176</v>
      </c>
      <c r="G132" s="59">
        <f>IF($C$5*'Tariffs Jan2021'!AK126/'Tariffs Jan2021'!AI126&lt;'Tariffs Jan2021'!K126,0,IF($C$5*'Tariffs Jan2021'!AK126/'Tariffs Jan2021'!AI126&lt;='Tariffs Jan2021'!L126,($C$5*'Tariffs Jan2021'!AK126/'Tariffs Jan2021'!AI126-'Tariffs Jan2021'!K126)*('Tariffs Jan2021'!Q126/100)*'Tariffs Jan2021'!AI126,('Tariffs Jan2021'!L126-'Tariffs Jan2021'!K126)*('Tariffs Jan2021'!Q126/100)*'Tariffs Jan2021'!AI126))</f>
        <v>0</v>
      </c>
      <c r="H132" s="59">
        <f>IF($C$5*'Tariffs Jan2021'!AK126/'Tariffs Jan2021'!AI126&lt;'Tariffs Jan2021'!L126,0,IF($C$5*'Tariffs Jan2021'!AK126/'Tariffs Jan2021'!AI126&lt;='Tariffs Jan2021'!M126,($C$5*'Tariffs Jan2021'!AK126/'Tariffs Jan2021'!AI126-'Tariffs Jan2021'!L126)*('Tariffs Jan2021'!R126/100)*'Tariffs Jan2021'!AI126,('Tariffs Jan2021'!M126-'Tariffs Jan2021'!L126)*('Tariffs Jan2021'!R126/100)*'Tariffs Jan2021'!AI126))</f>
        <v>0</v>
      </c>
      <c r="I132" s="69">
        <f>IF(($C$5*'Tariffs Jan2021'!AK126/'Tariffs Jan2021'!AI126&gt;'Tariffs Jan2021'!M126),($C$5*'Tariffs Jan2021'!AK126/'Tariffs Jan2021'!AI126-'Tariffs Jan2021'!M126)*'Tariffs Jan2021'!S126/100*'Tariffs Jan2021'!AI126,0)</f>
        <v>0</v>
      </c>
      <c r="J132" s="69">
        <f>IF($C$5*'Tariffs Jan2021'!AL126/'Tariffs Jan2021'!AJ126&gt;='Tariffs Jan2021'!J126,('Tariffs Jan2021'!J126*'Tariffs Jan2021'!U126/100)* 'Tariffs Jan2021'!AJ126,($C$5*'Tariffs Jan2021'!AL126/'Tariffs Jan2021'!AJ126*'Tariffs Jan2021'!U126/100)* 'Tariffs Jan2021'!AJ126)</f>
        <v>379.63636363636363</v>
      </c>
      <c r="K132" s="69">
        <f>IF($C$5*'Tariffs Jan2021'!AL126/'Tariffs Jan2021'!AJ126&lt;'Tariffs Jan2021'!J126,0,IF($C$5*'Tariffs Jan2021'!AL126/'Tariffs Jan2021'!AJ126&lt;='Tariffs Jan2021'!K126,($C$5*'Tariffs Jan2021'!AL126/'Tariffs Jan2021'!AJ126-'Tariffs Jan2021'!J126)*('Tariffs Jan2021'!V126/100)*'Tariffs Jan2021'!AJ126,('Tariffs Jan2021'!K126-'Tariffs Jan2021'!J126)*('Tariffs Jan2021'!V126/100)*'Tariffs Jan2021'!AJ126))</f>
        <v>281.38887272727266</v>
      </c>
      <c r="L132" s="69">
        <f>IF($C$5*'Tariffs Jan2021'!AL126/'Tariffs Jan2021'!AJ126&lt;'Tariffs Jan2021'!K126,0,IF($C$5*'Tariffs Jan2021'!AL126/'Tariffs Jan2021'!AJ126&lt;='Tariffs Jan2021'!L126,($C$5*'Tariffs Jan2021'!AL126/'Tariffs Jan2021'!AJ126-'Tariffs Jan2021'!K126)*('Tariffs Jan2021'!W126/100)*'Tariffs Jan2021'!AJ126,('Tariffs Jan2021'!L126-'Tariffs Jan2021'!K126)*('Tariffs Jan2021'!W126/100)*'Tariffs Jan2021'!AJ126))</f>
        <v>0</v>
      </c>
      <c r="M132" s="69">
        <f>IF($C$5*'Tariffs Jan2021'!AL126/'Tariffs Jan2021'!AJ126&lt;'Tariffs Jan2021'!L126,0,IF($C$5*'Tariffs Jan2021'!AL126/'Tariffs Jan2021'!AJ126&lt;='Tariffs Jan2021'!M126,($C$5*'Tariffs Jan2021'!AL126/'Tariffs Jan2021'!AJ126-'Tariffs Jan2021'!L126)*('Tariffs Jan2021'!X126/100)*'Tariffs Jan2021'!AJ126,('Tariffs Jan2021'!M126-'Tariffs Jan2021'!L126)*('Tariffs Jan2021'!X126/100)*'Tariffs Jan2021'!AJ126))</f>
        <v>0</v>
      </c>
      <c r="N132" s="69">
        <f>IF(($C$5*'Tariffs Jan2021'!AL126/'Tariffs Jan2021'!AJ126&gt;'Tariffs Jan2021'!M126),($C$5*'Tariffs Jan2021'!AL126/'Tariffs Jan2021'!AJ126-'Tariffs Jan2021'!M126)*'Tariffs Jan2021'!Y126/100*'Tariffs Jan2021'!AJ126,0)</f>
        <v>0</v>
      </c>
      <c r="O132" s="59">
        <f t="shared" si="93"/>
        <v>1049.3506909090906</v>
      </c>
      <c r="P132" s="503">
        <f t="shared" si="56"/>
        <v>1154.2857599999998</v>
      </c>
      <c r="Q132" s="59">
        <f t="shared" si="94"/>
        <v>1332.5906909090907</v>
      </c>
      <c r="R132" s="272">
        <f t="shared" si="95"/>
        <v>1465.8497599999998</v>
      </c>
      <c r="S132" s="40">
        <f>'Tariffs Jan2021'!AN126</f>
        <v>0</v>
      </c>
      <c r="T132" s="40">
        <f>'Tariffs Jan2021'!AO126</f>
        <v>0</v>
      </c>
      <c r="U132" s="40">
        <f>'Tariffs Jan2021'!AP126</f>
        <v>0</v>
      </c>
      <c r="V132" s="40">
        <f>'Tariffs Jan2021'!AQ126</f>
        <v>0</v>
      </c>
      <c r="W132" s="537" t="str">
        <f t="shared" si="91"/>
        <v>No discount</v>
      </c>
      <c r="X132" s="538" t="str">
        <f t="shared" si="92"/>
        <v>Exclusive</v>
      </c>
      <c r="Y132" s="534">
        <f>IF(AND(W132="Guaranteed off bill",X132="Inclusive"),((Q132*1.1)-((Q132*1.1)*S132/100))/1.1,IF(AND(W132="Guaranteed off usage",X132="Inclusive"),((Q132*1.1)-((P132*1.1)*T132/100))/1.1,IF(AND(W132="Guaranteed off bill",X132="Exclusive"),Q132-(Q132*S132/100),IF(AND(W132="Guaranteed off usage",X132="Exclusive"),Q132-(P132*T132/100),IF(X132="Inclusive",((Q132*1.1))/1.1,Q132)))))</f>
        <v>1332.5906909090907</v>
      </c>
      <c r="Z132" s="535">
        <f>IF(AND(W132="Pay-on-time off bill",X132="Inclusive"),((Y132*1.1)-((Y132*1.1)*U132/100))/1.1,IF(AND(W132="Pay-on-time off usage",X132="Inclusive"),((Y132*1.1)-((P132*1.1)*V132/100))/1.1,IF(AND(W132="Pay-on-time off bill",X132="Exclusive"),Y132-(Y132*U132/100),IF(AND(W132="Pay-on-time off usage",X132="Exclusive"),Y132-(P132*V132/100),IF(X132="Inclusive",((Y132*1.1))/1.1,Y132)))))</f>
        <v>1332.5906909090907</v>
      </c>
      <c r="AA132" s="542">
        <f t="shared" si="78"/>
        <v>1465.8497599999998</v>
      </c>
      <c r="AB132" s="542">
        <f t="shared" si="78"/>
        <v>1465.8497599999998</v>
      </c>
      <c r="AC132" s="274">
        <f>'Tariffs Jan2021'!AZ126</f>
        <v>0</v>
      </c>
      <c r="AD132" s="274" t="str">
        <f>'Tariffs Jan2021'!BA126</f>
        <v>n</v>
      </c>
      <c r="AE132" s="275" t="str">
        <f>'Tariffs Jan2021'!BJ126</f>
        <v>N</v>
      </c>
      <c r="AF132" s="516"/>
      <c r="AG132" s="516"/>
      <c r="AH132" s="516"/>
      <c r="AI132" s="516"/>
      <c r="AJ132" s="516"/>
      <c r="AK132" s="516"/>
      <c r="AL132" s="516"/>
      <c r="AM132" s="516"/>
      <c r="AN132" s="516"/>
      <c r="AO132" s="516"/>
      <c r="AP132" s="516"/>
      <c r="AQ132" s="516"/>
      <c r="AR132" s="516"/>
      <c r="AS132" s="516"/>
      <c r="AT132" s="516"/>
      <c r="AU132" s="516"/>
      <c r="AV132" s="516"/>
      <c r="AW132" s="516"/>
      <c r="AX132" s="516"/>
      <c r="AY132" s="516"/>
      <c r="AZ132" s="516"/>
    </row>
    <row r="133" spans="1:52" ht="14" x14ac:dyDescent="0.15">
      <c r="A133" s="270" t="str">
        <f>'Tariffs Jan2021'!F127</f>
        <v>Momentum Energy</v>
      </c>
      <c r="B133" s="40" t="str">
        <f>'Tariffs Jan2021'!D127</f>
        <v>AusNet Services Central 1</v>
      </c>
      <c r="C133" s="40" t="str">
        <f>'Tariffs Jan2021'!G127</f>
        <v>Market offer</v>
      </c>
      <c r="D133" s="59">
        <f>365*'Tariffs Jan2021'!H127/100</f>
        <v>362.44499999999999</v>
      </c>
      <c r="E133" s="59">
        <f>IF($C$5*'Tariffs Jan2021'!AK127/'Tariffs Jan2021'!AI127&gt;='Tariffs Jan2021'!J127,( 'Tariffs Jan2021'!J127*'Tariffs Jan2021'!O127/100)* 'Tariffs Jan2021'!AI127,($C$5*'Tariffs Jan2021'!AK127/'Tariffs Jan2021'!AI127*'Tariffs Jan2021'!O127/100)* 'Tariffs Jan2021'!AI127)</f>
        <v>263.99999999999994</v>
      </c>
      <c r="F133" s="59">
        <f>IF($C$5*'Tariffs Jan2021'!AK127/'Tariffs Jan2021'!AI127&lt;'Tariffs Jan2021'!J127,0,IF($C$5*'Tariffs Jan2021'!AK127/'Tariffs Jan2021'!AI127&lt;='Tariffs Jan2021'!K127,($C$5*'Tariffs Jan2021'!AK127/'Tariffs Jan2021'!AI127-'Tariffs Jan2021'!J127)*('Tariffs Jan2021'!P127/100)*'Tariffs Jan2021'!AI127,('Tariffs Jan2021'!K127-'Tariffs Jan2021'!J127)*('Tariffs Jan2021'!P127/100)*'Tariffs Jan2021'!AI127))</f>
        <v>179.95799999999997</v>
      </c>
      <c r="G133" s="59">
        <f>IF($C$5*'Tariffs Jan2021'!AK127/'Tariffs Jan2021'!AI127&lt;'Tariffs Jan2021'!K127,0,IF($C$5*'Tariffs Jan2021'!AK127/'Tariffs Jan2021'!AI127&lt;='Tariffs Jan2021'!L127,($C$5*'Tariffs Jan2021'!AK127/'Tariffs Jan2021'!AI127-'Tariffs Jan2021'!K127)*('Tariffs Jan2021'!Q127/100)*'Tariffs Jan2021'!AI127,('Tariffs Jan2021'!L127-'Tariffs Jan2021'!K127)*('Tariffs Jan2021'!Q127/100)*'Tariffs Jan2021'!AI127))</f>
        <v>0</v>
      </c>
      <c r="H133" s="59">
        <f>IF($C$5*'Tariffs Jan2021'!AK127/'Tariffs Jan2021'!AI127&lt;'Tariffs Jan2021'!L127,0,IF($C$5*'Tariffs Jan2021'!AK127/'Tariffs Jan2021'!AI127&lt;='Tariffs Jan2021'!M127,($C$5*'Tariffs Jan2021'!AK127/'Tariffs Jan2021'!AI127-'Tariffs Jan2021'!L127)*('Tariffs Jan2021'!R127/100)*'Tariffs Jan2021'!AI127,('Tariffs Jan2021'!M127-'Tariffs Jan2021'!L127)*('Tariffs Jan2021'!R127/100)*'Tariffs Jan2021'!AI127))</f>
        <v>0</v>
      </c>
      <c r="I133" s="69">
        <f>IF(($C$5*'Tariffs Jan2021'!AK127/'Tariffs Jan2021'!AI127&gt;'Tariffs Jan2021'!M127),($C$5*'Tariffs Jan2021'!AK127/'Tariffs Jan2021'!AI127-'Tariffs Jan2021'!M127)*'Tariffs Jan2021'!S127/100*'Tariffs Jan2021'!AI127,0)</f>
        <v>0</v>
      </c>
      <c r="J133" s="69">
        <f>IF($C$5*'Tariffs Jan2021'!AL127/'Tariffs Jan2021'!AJ127&gt;='Tariffs Jan2021'!J127,('Tariffs Jan2021'!J127*'Tariffs Jan2021'!U127/100)* 'Tariffs Jan2021'!AJ127,($C$5*'Tariffs Jan2021'!AL127/'Tariffs Jan2021'!AJ127*'Tariffs Jan2021'!U127/100)* 'Tariffs Jan2021'!AJ127)</f>
        <v>408</v>
      </c>
      <c r="K133" s="69">
        <f>IF($C$5*'Tariffs Jan2021'!AL127/'Tariffs Jan2021'!AJ127&lt;'Tariffs Jan2021'!J127,0,IF($C$5*'Tariffs Jan2021'!AL127/'Tariffs Jan2021'!AJ127&lt;='Tariffs Jan2021'!K127,($C$5*'Tariffs Jan2021'!AL127/'Tariffs Jan2021'!AJ127-'Tariffs Jan2021'!J127)*('Tariffs Jan2021'!V127/100)*'Tariffs Jan2021'!AJ127,('Tariffs Jan2021'!K127-'Tariffs Jan2021'!J127)*('Tariffs Jan2021'!V127/100)*'Tariffs Jan2021'!AJ127))</f>
        <v>305.92859999999996</v>
      </c>
      <c r="L133" s="69">
        <f>IF($C$5*'Tariffs Jan2021'!AL127/'Tariffs Jan2021'!AJ127&lt;'Tariffs Jan2021'!K127,0,IF($C$5*'Tariffs Jan2021'!AL127/'Tariffs Jan2021'!AJ127&lt;='Tariffs Jan2021'!L127,($C$5*'Tariffs Jan2021'!AL127/'Tariffs Jan2021'!AJ127-'Tariffs Jan2021'!K127)*('Tariffs Jan2021'!W127/100)*'Tariffs Jan2021'!AJ127,('Tariffs Jan2021'!L127-'Tariffs Jan2021'!K127)*('Tariffs Jan2021'!W127/100)*'Tariffs Jan2021'!AJ127))</f>
        <v>0</v>
      </c>
      <c r="M133" s="69">
        <f>IF($C$5*'Tariffs Jan2021'!AL127/'Tariffs Jan2021'!AJ127&lt;'Tariffs Jan2021'!L127,0,IF($C$5*'Tariffs Jan2021'!AL127/'Tariffs Jan2021'!AJ127&lt;='Tariffs Jan2021'!M127,($C$5*'Tariffs Jan2021'!AL127/'Tariffs Jan2021'!AJ127-'Tariffs Jan2021'!L127)*('Tariffs Jan2021'!X127/100)*'Tariffs Jan2021'!AJ127,('Tariffs Jan2021'!M127-'Tariffs Jan2021'!L127)*('Tariffs Jan2021'!X127/100)*'Tariffs Jan2021'!AJ127))</f>
        <v>0</v>
      </c>
      <c r="N133" s="69">
        <f>IF(($C$5*'Tariffs Jan2021'!AL127/'Tariffs Jan2021'!AJ127&gt;'Tariffs Jan2021'!M127),($C$5*'Tariffs Jan2021'!AL127/'Tariffs Jan2021'!AJ127-'Tariffs Jan2021'!M127)*'Tariffs Jan2021'!Y127/100*'Tariffs Jan2021'!AJ127,0)</f>
        <v>0</v>
      </c>
      <c r="O133" s="59">
        <f t="shared" si="93"/>
        <v>1157.8865999999998</v>
      </c>
      <c r="P133" s="503">
        <f t="shared" si="56"/>
        <v>1273.67526</v>
      </c>
      <c r="Q133" s="59">
        <f t="shared" si="94"/>
        <v>1520.3315999999998</v>
      </c>
      <c r="R133" s="272">
        <f t="shared" si="95"/>
        <v>1672.3647599999999</v>
      </c>
      <c r="S133" s="40">
        <f>'Tariffs Jan2021'!AN127</f>
        <v>0</v>
      </c>
      <c r="T133" s="40">
        <f>'Tariffs Jan2021'!AO127</f>
        <v>0</v>
      </c>
      <c r="U133" s="40">
        <f>'Tariffs Jan2021'!AP127</f>
        <v>0</v>
      </c>
      <c r="V133" s="40">
        <f>'Tariffs Jan2021'!AQ127</f>
        <v>0</v>
      </c>
      <c r="W133" s="537" t="str">
        <f t="shared" si="91"/>
        <v>No discount</v>
      </c>
      <c r="X133" s="538" t="str">
        <f t="shared" si="92"/>
        <v>Exclusive</v>
      </c>
      <c r="Y133" s="534">
        <f t="shared" ref="Y133" si="100">IF(AND(W133="Guaranteed off bill",X133="Inclusive"),((Q133*1.1)-((Q133*1.1)*S133/100))/1.1,IF(AND(W133="Guaranteed off usage",X133="Inclusive"),((Q133*1.1)-((P133*1.1)*T133/100))/1.1,IF(AND(W133="Guaranteed off bill",X133="Exclusive"),Q133-(Q133*S133/100),IF(AND(W133="Guaranteed off usage",X133="Exclusive"),Q133-(P133*T133/100),IF(X133="Inclusive",((Q133*1.1))/1.1,Q133)))))</f>
        <v>1520.3315999999998</v>
      </c>
      <c r="Z133" s="535">
        <f t="shared" ref="Z133" si="101">IF(AND(W133="Pay-on-time off bill",X133="Inclusive"),((Y133*1.1)-((Y133*1.1)*U133/100))/1.1,IF(AND(W133="Pay-on-time off usage",X133="Inclusive"),((Y133*1.1)-((P133*1.1)*V133/100))/1.1,IF(AND(W133="Pay-on-time off bill",X133="Exclusive"),Y133-(Y133*U133/100),IF(AND(W133="Pay-on-time off usage",X133="Exclusive"),Y133-(P133*V133/100),IF(X133="Inclusive",((Y133*1.1))/1.1,Y133)))))</f>
        <v>1520.3315999999998</v>
      </c>
      <c r="AA133" s="542">
        <f t="shared" si="78"/>
        <v>1672.3647599999999</v>
      </c>
      <c r="AB133" s="542">
        <f t="shared" si="78"/>
        <v>1672.3647599999999</v>
      </c>
      <c r="AC133" s="274">
        <f>'Tariffs Jan2021'!AZ127</f>
        <v>0</v>
      </c>
      <c r="AD133" s="274" t="str">
        <f>'Tariffs Jan2021'!BA127</f>
        <v>n</v>
      </c>
      <c r="AE133" s="275" t="str">
        <f>'Tariffs Jan2021'!BJ127</f>
        <v>N</v>
      </c>
      <c r="AF133" s="516"/>
      <c r="AG133" s="516"/>
      <c r="AH133" s="516"/>
      <c r="AI133" s="516"/>
      <c r="AJ133" s="516"/>
      <c r="AK133" s="516"/>
      <c r="AL133" s="516"/>
      <c r="AM133" s="516"/>
      <c r="AN133" s="516"/>
      <c r="AO133" s="516"/>
      <c r="AP133" s="516"/>
      <c r="AQ133" s="516"/>
      <c r="AR133" s="516"/>
      <c r="AS133" s="516"/>
      <c r="AT133" s="516"/>
      <c r="AU133" s="516"/>
      <c r="AV133" s="516"/>
      <c r="AW133" s="516"/>
      <c r="AX133" s="516"/>
      <c r="AY133" s="516"/>
      <c r="AZ133" s="516"/>
    </row>
    <row r="134" spans="1:52" ht="14" x14ac:dyDescent="0.15">
      <c r="A134" s="270" t="str">
        <f>'Tariffs Jan2021'!F128</f>
        <v>Origin Energy</v>
      </c>
      <c r="B134" s="40" t="str">
        <f>'Tariffs Jan2021'!D128</f>
        <v>AusNet Services Central 1</v>
      </c>
      <c r="C134" s="40" t="str">
        <f>'Tariffs Jan2021'!G128</f>
        <v>Go</v>
      </c>
      <c r="D134" s="59">
        <f>365*'Tariffs Jan2021'!H128/100</f>
        <v>227.95909090909092</v>
      </c>
      <c r="E134" s="59">
        <f>IF($C$5*'Tariffs Jan2021'!AK128/'Tariffs Jan2021'!AI128&gt;='Tariffs Jan2021'!J128,( 'Tariffs Jan2021'!J128*'Tariffs Jan2021'!O128/100)* 'Tariffs Jan2021'!AI128,($C$5*'Tariffs Jan2021'!AK128/'Tariffs Jan2021'!AI128*'Tariffs Jan2021'!O128/100)* 'Tariffs Jan2021'!AI128)</f>
        <v>134.72727272727275</v>
      </c>
      <c r="F134" s="59">
        <f>IF($C$5*'Tariffs Jan2021'!AK128/'Tariffs Jan2021'!AI128&lt;'Tariffs Jan2021'!J128,0,IF($C$5*'Tariffs Jan2021'!AK128/'Tariffs Jan2021'!AI128&lt;='Tariffs Jan2021'!K128,($C$5*'Tariffs Jan2021'!AK128/'Tariffs Jan2021'!AI128-'Tariffs Jan2021'!J128)*('Tariffs Jan2021'!P128/100)*'Tariffs Jan2021'!AI128,('Tariffs Jan2021'!K128-'Tariffs Jan2021'!J128)*('Tariffs Jan2021'!P128/100)*'Tariffs Jan2021'!AI128))</f>
        <v>0</v>
      </c>
      <c r="G134" s="59">
        <f>IF($C$5*'Tariffs Jan2021'!AK128/'Tariffs Jan2021'!AI128&lt;'Tariffs Jan2021'!K128,0,IF($C$5*'Tariffs Jan2021'!AK128/'Tariffs Jan2021'!AI128&lt;='Tariffs Jan2021'!L128,($C$5*'Tariffs Jan2021'!AK128/'Tariffs Jan2021'!AI128-'Tariffs Jan2021'!K128)*('Tariffs Jan2021'!Q128/100)*'Tariffs Jan2021'!AI128,('Tariffs Jan2021'!L128-'Tariffs Jan2021'!K128)*('Tariffs Jan2021'!Q128/100)*'Tariffs Jan2021'!AI128))</f>
        <v>0</v>
      </c>
      <c r="H134" s="59">
        <f>IF($C$5*'Tariffs Jan2021'!AK128/'Tariffs Jan2021'!AI128&lt;'Tariffs Jan2021'!L128,0,IF($C$5*'Tariffs Jan2021'!AK128/'Tariffs Jan2021'!AI128&lt;='Tariffs Jan2021'!M128,($C$5*'Tariffs Jan2021'!AK128/'Tariffs Jan2021'!AI128-'Tariffs Jan2021'!L128)*('Tariffs Jan2021'!R128/100)*'Tariffs Jan2021'!AI128,('Tariffs Jan2021'!M128-'Tariffs Jan2021'!L128)*('Tariffs Jan2021'!R128/100)*'Tariffs Jan2021'!AI128))</f>
        <v>0</v>
      </c>
      <c r="I134" s="69">
        <f>IF(($C$5*'Tariffs Jan2021'!AK128/'Tariffs Jan2021'!AI128&gt;'Tariffs Jan2021'!M128),($C$5*'Tariffs Jan2021'!AK128/'Tariffs Jan2021'!AI128-'Tariffs Jan2021'!M128)*'Tariffs Jan2021'!S128/100*'Tariffs Jan2021'!AI128,0)</f>
        <v>264.50841818181812</v>
      </c>
      <c r="J134" s="69">
        <f>IF($C$5*'Tariffs Jan2021'!AL128/'Tariffs Jan2021'!AJ128&gt;='Tariffs Jan2021'!J128,('Tariffs Jan2021'!J128*'Tariffs Jan2021'!U128/100)* 'Tariffs Jan2021'!AJ128,($C$5*'Tariffs Jan2021'!AL128/'Tariffs Jan2021'!AJ128*'Tariffs Jan2021'!U128/100)* 'Tariffs Jan2021'!AJ128)</f>
        <v>192</v>
      </c>
      <c r="K134" s="69">
        <f>IF($C$5*'Tariffs Jan2021'!AL128/'Tariffs Jan2021'!AJ128&lt;'Tariffs Jan2021'!J128,0,IF($C$5*'Tariffs Jan2021'!AL128/'Tariffs Jan2021'!AJ128&lt;='Tariffs Jan2021'!K128,($C$5*'Tariffs Jan2021'!AL128/'Tariffs Jan2021'!AJ128-'Tariffs Jan2021'!J128)*('Tariffs Jan2021'!V128/100)*'Tariffs Jan2021'!AJ128,('Tariffs Jan2021'!K128-'Tariffs Jan2021'!J128)*('Tariffs Jan2021'!V128/100)*'Tariffs Jan2021'!AJ128))</f>
        <v>0</v>
      </c>
      <c r="L134" s="69">
        <f>IF($C$5*'Tariffs Jan2021'!AL128/'Tariffs Jan2021'!AJ128&lt;'Tariffs Jan2021'!K128,0,IF($C$5*'Tariffs Jan2021'!AL128/'Tariffs Jan2021'!AJ128&lt;='Tariffs Jan2021'!L128,($C$5*'Tariffs Jan2021'!AL128/'Tariffs Jan2021'!AJ128-'Tariffs Jan2021'!K128)*('Tariffs Jan2021'!W128/100)*'Tariffs Jan2021'!AJ128,('Tariffs Jan2021'!L128-'Tariffs Jan2021'!K128)*('Tariffs Jan2021'!W128/100)*'Tariffs Jan2021'!AJ128))</f>
        <v>0</v>
      </c>
      <c r="M134" s="69">
        <f>IF($C$5*'Tariffs Jan2021'!AL128/'Tariffs Jan2021'!AJ128&lt;'Tariffs Jan2021'!L128,0,IF($C$5*'Tariffs Jan2021'!AL128/'Tariffs Jan2021'!AJ128&lt;='Tariffs Jan2021'!M128,($C$5*'Tariffs Jan2021'!AL128/'Tariffs Jan2021'!AJ128-'Tariffs Jan2021'!L128)*('Tariffs Jan2021'!X128/100)*'Tariffs Jan2021'!AJ128,('Tariffs Jan2021'!M128-'Tariffs Jan2021'!L128)*('Tariffs Jan2021'!X128/100)*'Tariffs Jan2021'!AJ128))</f>
        <v>0</v>
      </c>
      <c r="N134" s="69">
        <f>IF(($C$5*'Tariffs Jan2021'!AL128/'Tariffs Jan2021'!AJ128&gt;'Tariffs Jan2021'!M128),($C$5*'Tariffs Jan2021'!AL128/'Tariffs Jan2021'!AJ128-'Tariffs Jan2021'!M128)*'Tariffs Jan2021'!Y128/100*'Tariffs Jan2021'!AJ128,0)</f>
        <v>384.49161818181813</v>
      </c>
      <c r="O134" s="59">
        <f t="shared" si="93"/>
        <v>975.72730909090899</v>
      </c>
      <c r="P134" s="503">
        <f t="shared" si="56"/>
        <v>1073.3000400000001</v>
      </c>
      <c r="Q134" s="59">
        <f t="shared" si="94"/>
        <v>1203.6863999999998</v>
      </c>
      <c r="R134" s="272">
        <f t="shared" si="95"/>
        <v>1324.05504</v>
      </c>
      <c r="S134" s="40">
        <f>'Tariffs Jan2021'!AN128</f>
        <v>0</v>
      </c>
      <c r="T134" s="40">
        <f>'Tariffs Jan2021'!AO128</f>
        <v>0</v>
      </c>
      <c r="U134" s="40">
        <f>'Tariffs Jan2021'!AP128</f>
        <v>0</v>
      </c>
      <c r="V134" s="40">
        <f>'Tariffs Jan2021'!AQ128</f>
        <v>0</v>
      </c>
      <c r="W134" s="537" t="str">
        <f t="shared" si="91"/>
        <v>No discount</v>
      </c>
      <c r="X134" s="538" t="str">
        <f t="shared" si="92"/>
        <v>Inclusive</v>
      </c>
      <c r="Y134" s="534">
        <f>IF(AND(W134="Guaranteed off bill",X134="Inclusive"),((Q134*1.1)-((Q134*1.1)*S134/100))/1.1,IF(AND(W134="Guaranteed off usage",X134="Inclusive"),((Q134*1.1)-((P134*1.1)*T134/100))/1.1,IF(AND(W134="Guaranteed off bill",X134="Exclusive"),Q134-(Q134*S134/100),IF(AND(W134="Guaranteed off usage",X134="Exclusive"),Q134-(P134*T134/100),IF(X134="Inclusive",((Q134*1.1))/1.1,Q134)))))</f>
        <v>1203.6863999999998</v>
      </c>
      <c r="Z134" s="535">
        <f>IF(AND(W134="Pay-on-time off bill",X134="Inclusive"),((Y134*1.1)-((Y134*1.1)*U134/100))/1.1,IF(AND(W134="Pay-on-time off usage",X134="Inclusive"),((Y134*1.1)-((P134*1.1)*V134/100))/1.1,IF(AND(W134="Pay-on-time off bill",X134="Exclusive"),Y134-(Y134*U134/100),IF(AND(W134="Pay-on-time off usage",X134="Exclusive"),Y134-(P134*V134/100),IF(X134="Inclusive",((Y134*1.1))/1.1,Y134)))))</f>
        <v>1203.6863999999998</v>
      </c>
      <c r="AA134" s="542">
        <f t="shared" si="78"/>
        <v>1324.05504</v>
      </c>
      <c r="AB134" s="542">
        <f t="shared" si="78"/>
        <v>1324.05504</v>
      </c>
      <c r="AC134" s="274">
        <f>'Tariffs Jan2021'!AZ128</f>
        <v>0</v>
      </c>
      <c r="AD134" s="274" t="str">
        <f>'Tariffs Jan2021'!BA128</f>
        <v>n</v>
      </c>
      <c r="AE134" s="275" t="str">
        <f>'Tariffs Jan2021'!BJ128</f>
        <v>N</v>
      </c>
      <c r="AF134" s="516"/>
      <c r="AG134" s="516"/>
      <c r="AH134" s="516"/>
      <c r="AI134" s="516"/>
      <c r="AJ134" s="516"/>
      <c r="AK134" s="516"/>
      <c r="AL134" s="516"/>
      <c r="AM134" s="516"/>
      <c r="AN134" s="516"/>
      <c r="AO134" s="516"/>
      <c r="AP134" s="516"/>
      <c r="AQ134" s="516"/>
      <c r="AR134" s="516"/>
      <c r="AS134" s="516"/>
      <c r="AT134" s="516"/>
      <c r="AU134" s="516"/>
      <c r="AV134" s="516"/>
      <c r="AW134" s="516"/>
      <c r="AX134" s="516"/>
      <c r="AY134" s="516"/>
      <c r="AZ134" s="516"/>
    </row>
    <row r="135" spans="1:52" ht="14" x14ac:dyDescent="0.15">
      <c r="A135" s="270" t="str">
        <f>'Tariffs Jan2021'!F129</f>
        <v>Red Energy</v>
      </c>
      <c r="B135" s="40" t="str">
        <f>'Tariffs Jan2021'!D129</f>
        <v>AusNet Services Central 1</v>
      </c>
      <c r="C135" s="40" t="str">
        <f>'Tariffs Jan2021'!G129</f>
        <v>Living Energy Saver</v>
      </c>
      <c r="D135" s="59">
        <f>365*'Tariffs Jan2021'!H129/100</f>
        <v>271.02909090909088</v>
      </c>
      <c r="E135" s="59">
        <f>IF($C$5*'Tariffs Jan2021'!AK129/'Tariffs Jan2021'!AI129&gt;='Tariffs Jan2021'!J129,( 'Tariffs Jan2021'!J129*'Tariffs Jan2021'!O129/100)* 'Tariffs Jan2021'!AI129,($C$5*'Tariffs Jan2021'!AK129/'Tariffs Jan2021'!AI129*'Tariffs Jan2021'!O129/100)* 'Tariffs Jan2021'!AI129)</f>
        <v>259.63636363636363</v>
      </c>
      <c r="F135" s="59">
        <f>IF($C$5*'Tariffs Jan2021'!AK129/'Tariffs Jan2021'!AI129&lt;'Tariffs Jan2021'!J129,0,IF($C$5*'Tariffs Jan2021'!AK129/'Tariffs Jan2021'!AI129&lt;='Tariffs Jan2021'!K129,($C$5*'Tariffs Jan2021'!AK129/'Tariffs Jan2021'!AI129-'Tariffs Jan2021'!J129)*('Tariffs Jan2021'!P129/100)*'Tariffs Jan2021'!AI129,('Tariffs Jan2021'!K129-'Tariffs Jan2021'!J129)*('Tariffs Jan2021'!P129/100)*'Tariffs Jan2021'!AI129))</f>
        <v>174.23206363636356</v>
      </c>
      <c r="G135" s="59">
        <f>IF($C$5*'Tariffs Jan2021'!AK129/'Tariffs Jan2021'!AI129&lt;'Tariffs Jan2021'!K129,0,IF($C$5*'Tariffs Jan2021'!AK129/'Tariffs Jan2021'!AI129&lt;='Tariffs Jan2021'!L129,($C$5*'Tariffs Jan2021'!AK129/'Tariffs Jan2021'!AI129-'Tariffs Jan2021'!K129)*('Tariffs Jan2021'!Q129/100)*'Tariffs Jan2021'!AI129,('Tariffs Jan2021'!L129-'Tariffs Jan2021'!K129)*('Tariffs Jan2021'!Q129/100)*'Tariffs Jan2021'!AI129))</f>
        <v>0</v>
      </c>
      <c r="H135" s="59">
        <f>IF($C$5*'Tariffs Jan2021'!AK129/'Tariffs Jan2021'!AI129&lt;'Tariffs Jan2021'!L129,0,IF($C$5*'Tariffs Jan2021'!AK129/'Tariffs Jan2021'!AI129&lt;='Tariffs Jan2021'!M129,($C$5*'Tariffs Jan2021'!AK129/'Tariffs Jan2021'!AI129-'Tariffs Jan2021'!L129)*('Tariffs Jan2021'!R129/100)*'Tariffs Jan2021'!AI129,('Tariffs Jan2021'!M129-'Tariffs Jan2021'!L129)*('Tariffs Jan2021'!R129/100)*'Tariffs Jan2021'!AI129))</f>
        <v>0</v>
      </c>
      <c r="I135" s="69">
        <f>IF(($C$5*'Tariffs Jan2021'!AK129/'Tariffs Jan2021'!AI129&gt;'Tariffs Jan2021'!M129),($C$5*'Tariffs Jan2021'!AK129/'Tariffs Jan2021'!AI129-'Tariffs Jan2021'!M129)*'Tariffs Jan2021'!S129/100*'Tariffs Jan2021'!AI129,0)</f>
        <v>0</v>
      </c>
      <c r="J135" s="69">
        <f>IF($C$5*'Tariffs Jan2021'!AL129/'Tariffs Jan2021'!AJ129&gt;='Tariffs Jan2021'!J129,('Tariffs Jan2021'!J129*'Tariffs Jan2021'!U129/100)* 'Tariffs Jan2021'!AJ129,($C$5*'Tariffs Jan2021'!AL129/'Tariffs Jan2021'!AJ129*'Tariffs Jan2021'!U129/100)* 'Tariffs Jan2021'!AJ129)</f>
        <v>421.09090909090907</v>
      </c>
      <c r="K135" s="69">
        <f>IF($C$5*'Tariffs Jan2021'!AL129/'Tariffs Jan2021'!AJ129&lt;'Tariffs Jan2021'!J129,0,IF($C$5*'Tariffs Jan2021'!AL129/'Tariffs Jan2021'!AJ129&lt;='Tariffs Jan2021'!K129,($C$5*'Tariffs Jan2021'!AL129/'Tariffs Jan2021'!AJ129-'Tariffs Jan2021'!J129)*('Tariffs Jan2021'!V129/100)*'Tariffs Jan2021'!AJ129,('Tariffs Jan2021'!K129-'Tariffs Jan2021'!J129)*('Tariffs Jan2021'!V129/100)*'Tariffs Jan2021'!AJ129))</f>
        <v>307.56458181818169</v>
      </c>
      <c r="L135" s="69">
        <f>IF($C$5*'Tariffs Jan2021'!AL129/'Tariffs Jan2021'!AJ129&lt;'Tariffs Jan2021'!K129,0,IF($C$5*'Tariffs Jan2021'!AL129/'Tariffs Jan2021'!AJ129&lt;='Tariffs Jan2021'!L129,($C$5*'Tariffs Jan2021'!AL129/'Tariffs Jan2021'!AJ129-'Tariffs Jan2021'!K129)*('Tariffs Jan2021'!W129/100)*'Tariffs Jan2021'!AJ129,('Tariffs Jan2021'!L129-'Tariffs Jan2021'!K129)*('Tariffs Jan2021'!W129/100)*'Tariffs Jan2021'!AJ129))</f>
        <v>0</v>
      </c>
      <c r="M135" s="69">
        <f>IF($C$5*'Tariffs Jan2021'!AL129/'Tariffs Jan2021'!AJ129&lt;'Tariffs Jan2021'!L129,0,IF($C$5*'Tariffs Jan2021'!AL129/'Tariffs Jan2021'!AJ129&lt;='Tariffs Jan2021'!M129,($C$5*'Tariffs Jan2021'!AL129/'Tariffs Jan2021'!AJ129-'Tariffs Jan2021'!L129)*('Tariffs Jan2021'!X129/100)*'Tariffs Jan2021'!AJ129,('Tariffs Jan2021'!M129-'Tariffs Jan2021'!L129)*('Tariffs Jan2021'!X129/100)*'Tariffs Jan2021'!AJ129))</f>
        <v>0</v>
      </c>
      <c r="N135" s="69">
        <f>IF(($C$5*'Tariffs Jan2021'!AL129/'Tariffs Jan2021'!AJ129&gt;'Tariffs Jan2021'!M129),($C$5*'Tariffs Jan2021'!AL129/'Tariffs Jan2021'!AJ129-'Tariffs Jan2021'!M129)*'Tariffs Jan2021'!Y129/100*'Tariffs Jan2021'!AJ129,0)</f>
        <v>0</v>
      </c>
      <c r="O135" s="59">
        <f t="shared" si="93"/>
        <v>1162.5239181818181</v>
      </c>
      <c r="P135" s="503">
        <f t="shared" si="56"/>
        <v>1278.77631</v>
      </c>
      <c r="Q135" s="59">
        <f t="shared" si="94"/>
        <v>1433.553009090909</v>
      </c>
      <c r="R135" s="272">
        <f t="shared" si="95"/>
        <v>1576.90831</v>
      </c>
      <c r="S135" s="40">
        <f>'Tariffs Jan2021'!AN129</f>
        <v>0</v>
      </c>
      <c r="T135" s="40">
        <f>'Tariffs Jan2021'!AO129</f>
        <v>0</v>
      </c>
      <c r="U135" s="40">
        <f>'Tariffs Jan2021'!AP129</f>
        <v>0</v>
      </c>
      <c r="V135" s="40">
        <f>'Tariffs Jan2021'!AQ129</f>
        <v>0</v>
      </c>
      <c r="W135" s="537" t="str">
        <f t="shared" si="91"/>
        <v>No discount</v>
      </c>
      <c r="X135" s="538" t="str">
        <f t="shared" si="92"/>
        <v>Inclusive</v>
      </c>
      <c r="Y135" s="534">
        <f t="shared" ref="Y135:Y138" si="102">IF(AND(W135="Guaranteed off bill",X135="Inclusive"),((Q135*1.1)-((Q135*1.1)*S135/100))/1.1,IF(AND(W135="Guaranteed off usage",X135="Inclusive"),((Q135*1.1)-((P135*1.1)*T135/100))/1.1,IF(AND(W135="Guaranteed off bill",X135="Exclusive"),Q135-(Q135*S135/100),IF(AND(W135="Guaranteed off usage",X135="Exclusive"),Q135-(P135*T135/100),IF(X135="Inclusive",((Q135*1.1))/1.1,Q135)))))</f>
        <v>1433.553009090909</v>
      </c>
      <c r="Z135" s="535">
        <f t="shared" ref="Z135:Z138" si="103">IF(AND(W135="Pay-on-time off bill",X135="Inclusive"),((Y135*1.1)-((Y135*1.1)*U135/100))/1.1,IF(AND(W135="Pay-on-time off usage",X135="Inclusive"),((Y135*1.1)-((P135*1.1)*V135/100))/1.1,IF(AND(W135="Pay-on-time off bill",X135="Exclusive"),Y135-(Y135*U135/100),IF(AND(W135="Pay-on-time off usage",X135="Exclusive"),Y135-(P135*V135/100),IF(X135="Inclusive",((Y135*1.1))/1.1,Y135)))))</f>
        <v>1433.553009090909</v>
      </c>
      <c r="AA135" s="542">
        <f t="shared" si="78"/>
        <v>1576.90831</v>
      </c>
      <c r="AB135" s="542">
        <f t="shared" si="78"/>
        <v>1576.90831</v>
      </c>
      <c r="AC135" s="274">
        <f>'Tariffs Jan2021'!AZ129</f>
        <v>0</v>
      </c>
      <c r="AD135" s="274" t="str">
        <f>'Tariffs Jan2021'!BA129</f>
        <v>n</v>
      </c>
      <c r="AE135" s="275" t="str">
        <f>'Tariffs Jan2021'!BJ129</f>
        <v>N</v>
      </c>
      <c r="AF135" s="516"/>
      <c r="AG135" s="516"/>
      <c r="AH135" s="516"/>
      <c r="AI135" s="516"/>
      <c r="AJ135" s="516"/>
      <c r="AK135" s="516"/>
      <c r="AL135" s="516"/>
      <c r="AM135" s="516"/>
      <c r="AN135" s="516"/>
      <c r="AO135" s="516"/>
      <c r="AP135" s="516"/>
      <c r="AQ135" s="516"/>
      <c r="AR135" s="516"/>
      <c r="AS135" s="516"/>
      <c r="AT135" s="516"/>
      <c r="AU135" s="516"/>
      <c r="AV135" s="516"/>
      <c r="AW135" s="516"/>
      <c r="AX135" s="516"/>
      <c r="AY135" s="516"/>
      <c r="AZ135" s="516"/>
    </row>
    <row r="136" spans="1:52" ht="14" x14ac:dyDescent="0.15">
      <c r="A136" s="270" t="str">
        <f>'Tariffs Jan2021'!F130</f>
        <v>Simply Energy</v>
      </c>
      <c r="B136" s="40" t="str">
        <f>'Tariffs Jan2021'!D130</f>
        <v>AusNet Services Central 1</v>
      </c>
      <c r="C136" s="40" t="str">
        <f>'Tariffs Jan2021'!G130</f>
        <v>Blue</v>
      </c>
      <c r="D136" s="59">
        <f>365*'Tariffs Jan2021'!H130/100</f>
        <v>338.05636363636359</v>
      </c>
      <c r="E136" s="59">
        <f>IF($C$5*'Tariffs Jan2021'!AK130/'Tariffs Jan2021'!AI130&gt;='Tariffs Jan2021'!J130,( 'Tariffs Jan2021'!J130*'Tariffs Jan2021'!O130/100)* 'Tariffs Jan2021'!AI130,($C$5*'Tariffs Jan2021'!AK130/'Tariffs Jan2021'!AI130*'Tariffs Jan2021'!O130/100)* 'Tariffs Jan2021'!AI130)</f>
        <v>289.09090909090907</v>
      </c>
      <c r="F136" s="59">
        <f>IF($C$5*'Tariffs Jan2021'!AK130/'Tariffs Jan2021'!AI130&lt;'Tariffs Jan2021'!J130,0,IF($C$5*'Tariffs Jan2021'!AK130/'Tariffs Jan2021'!AI130&lt;='Tariffs Jan2021'!K130,($C$5*'Tariffs Jan2021'!AK130/'Tariffs Jan2021'!AI130-'Tariffs Jan2021'!J130)*('Tariffs Jan2021'!P130/100)*'Tariffs Jan2021'!AI130,('Tariffs Jan2021'!K130-'Tariffs Jan2021'!J130)*('Tariffs Jan2021'!P130/100)*'Tariffs Jan2021'!AI130))</f>
        <v>184.8659454545454</v>
      </c>
      <c r="G136" s="59">
        <f>IF($C$5*'Tariffs Jan2021'!AK130/'Tariffs Jan2021'!AI130&lt;'Tariffs Jan2021'!K130,0,IF($C$5*'Tariffs Jan2021'!AK130/'Tariffs Jan2021'!AI130&lt;='Tariffs Jan2021'!L130,($C$5*'Tariffs Jan2021'!AK130/'Tariffs Jan2021'!AI130-'Tariffs Jan2021'!K130)*('Tariffs Jan2021'!Q130/100)*'Tariffs Jan2021'!AI130,('Tariffs Jan2021'!L130-'Tariffs Jan2021'!K130)*('Tariffs Jan2021'!Q130/100)*'Tariffs Jan2021'!AI130))</f>
        <v>0</v>
      </c>
      <c r="H136" s="59">
        <f>IF($C$5*'Tariffs Jan2021'!AK130/'Tariffs Jan2021'!AI130&lt;'Tariffs Jan2021'!L130,0,IF($C$5*'Tariffs Jan2021'!AK130/'Tariffs Jan2021'!AI130&lt;='Tariffs Jan2021'!M130,($C$5*'Tariffs Jan2021'!AK130/'Tariffs Jan2021'!AI130-'Tariffs Jan2021'!L130)*('Tariffs Jan2021'!R130/100)*'Tariffs Jan2021'!AI130,('Tariffs Jan2021'!M130-'Tariffs Jan2021'!L130)*('Tariffs Jan2021'!R130/100)*'Tariffs Jan2021'!AI130))</f>
        <v>0</v>
      </c>
      <c r="I136" s="69">
        <f>IF(($C$5*'Tariffs Jan2021'!AK130/'Tariffs Jan2021'!AI130&gt;'Tariffs Jan2021'!M130),($C$5*'Tariffs Jan2021'!AK130/'Tariffs Jan2021'!AI130-'Tariffs Jan2021'!M130)*'Tariffs Jan2021'!S130/100*'Tariffs Jan2021'!AI130,0)</f>
        <v>0</v>
      </c>
      <c r="J136" s="69">
        <f>IF($C$5*'Tariffs Jan2021'!AL130/'Tariffs Jan2021'!AJ130&gt;='Tariffs Jan2021'!J130,('Tariffs Jan2021'!J130*'Tariffs Jan2021'!U130/100)* 'Tariffs Jan2021'!AJ130,($C$5*'Tariffs Jan2021'!AL130/'Tariffs Jan2021'!AJ130*'Tariffs Jan2021'!U130/100)* 'Tariffs Jan2021'!AJ130)</f>
        <v>436.36363636363632</v>
      </c>
      <c r="K136" s="69">
        <f>IF($C$5*'Tariffs Jan2021'!AL130/'Tariffs Jan2021'!AJ130&lt;'Tariffs Jan2021'!J130,0,IF($C$5*'Tariffs Jan2021'!AL130/'Tariffs Jan2021'!AJ130&lt;='Tariffs Jan2021'!K130,($C$5*'Tariffs Jan2021'!AL130/'Tariffs Jan2021'!AJ130-'Tariffs Jan2021'!J130)*('Tariffs Jan2021'!V130/100)*'Tariffs Jan2021'!AJ130,('Tariffs Jan2021'!K130-'Tariffs Jan2021'!J130)*('Tariffs Jan2021'!V130/100)*'Tariffs Jan2021'!AJ130))</f>
        <v>317.3804727272726</v>
      </c>
      <c r="L136" s="69">
        <f>IF($C$5*'Tariffs Jan2021'!AL130/'Tariffs Jan2021'!AJ130&lt;'Tariffs Jan2021'!K130,0,IF($C$5*'Tariffs Jan2021'!AL130/'Tariffs Jan2021'!AJ130&lt;='Tariffs Jan2021'!L130,($C$5*'Tariffs Jan2021'!AL130/'Tariffs Jan2021'!AJ130-'Tariffs Jan2021'!K130)*('Tariffs Jan2021'!W130/100)*'Tariffs Jan2021'!AJ130,('Tariffs Jan2021'!L130-'Tariffs Jan2021'!K130)*('Tariffs Jan2021'!W130/100)*'Tariffs Jan2021'!AJ130))</f>
        <v>0</v>
      </c>
      <c r="M136" s="69">
        <f>IF($C$5*'Tariffs Jan2021'!AL130/'Tariffs Jan2021'!AJ130&lt;'Tariffs Jan2021'!L130,0,IF($C$5*'Tariffs Jan2021'!AL130/'Tariffs Jan2021'!AJ130&lt;='Tariffs Jan2021'!M130,($C$5*'Tariffs Jan2021'!AL130/'Tariffs Jan2021'!AJ130-'Tariffs Jan2021'!L130)*('Tariffs Jan2021'!X130/100)*'Tariffs Jan2021'!AJ130,('Tariffs Jan2021'!M130-'Tariffs Jan2021'!L130)*('Tariffs Jan2021'!X130/100)*'Tariffs Jan2021'!AJ130))</f>
        <v>0</v>
      </c>
      <c r="N136" s="69">
        <f>IF(($C$5*'Tariffs Jan2021'!AL130/'Tariffs Jan2021'!AJ130&gt;'Tariffs Jan2021'!M130),($C$5*'Tariffs Jan2021'!AL130/'Tariffs Jan2021'!AJ130-'Tariffs Jan2021'!M130)*'Tariffs Jan2021'!Y130/100*'Tariffs Jan2021'!AJ130,0)</f>
        <v>0</v>
      </c>
      <c r="O136" s="59">
        <f t="shared" si="93"/>
        <v>1227.7009636363632</v>
      </c>
      <c r="P136" s="503">
        <f t="shared" si="56"/>
        <v>1350.4710599999996</v>
      </c>
      <c r="Q136" s="59">
        <f t="shared" si="94"/>
        <v>1565.7573272727268</v>
      </c>
      <c r="R136" s="272">
        <f t="shared" si="95"/>
        <v>1722.3330599999997</v>
      </c>
      <c r="S136" s="40">
        <f>'Tariffs Jan2021'!AN130</f>
        <v>21</v>
      </c>
      <c r="T136" s="40">
        <f>'Tariffs Jan2021'!AO130</f>
        <v>0</v>
      </c>
      <c r="U136" s="40">
        <f>'Tariffs Jan2021'!AP130</f>
        <v>0</v>
      </c>
      <c r="V136" s="40">
        <f>'Tariffs Jan2021'!AQ130</f>
        <v>0</v>
      </c>
      <c r="W136" s="537" t="str">
        <f t="shared" si="91"/>
        <v>Guaranteed off bill</v>
      </c>
      <c r="X136" s="538" t="str">
        <f t="shared" si="92"/>
        <v>Exclusive</v>
      </c>
      <c r="Y136" s="534">
        <f t="shared" si="102"/>
        <v>1236.948288545454</v>
      </c>
      <c r="Z136" s="535">
        <f t="shared" si="103"/>
        <v>1236.948288545454</v>
      </c>
      <c r="AA136" s="542">
        <f t="shared" si="78"/>
        <v>1360.6431173999995</v>
      </c>
      <c r="AB136" s="542">
        <f t="shared" si="78"/>
        <v>1360.6431173999995</v>
      </c>
      <c r="AC136" s="274">
        <f>'Tariffs Jan2021'!AZ130</f>
        <v>0</v>
      </c>
      <c r="AD136" s="274" t="str">
        <f>'Tariffs Jan2021'!BA130</f>
        <v>n</v>
      </c>
      <c r="AE136" s="275" t="str">
        <f>'Tariffs Jan2021'!BJ130</f>
        <v>N</v>
      </c>
      <c r="AF136" s="516"/>
      <c r="AG136" s="516"/>
      <c r="AH136" s="516"/>
      <c r="AI136" s="516"/>
      <c r="AJ136" s="516"/>
      <c r="AK136" s="516"/>
      <c r="AL136" s="516"/>
      <c r="AM136" s="516"/>
      <c r="AN136" s="516"/>
      <c r="AO136" s="516"/>
      <c r="AP136" s="516"/>
      <c r="AQ136" s="516"/>
      <c r="AR136" s="516"/>
      <c r="AS136" s="516"/>
      <c r="AT136" s="516"/>
      <c r="AU136" s="516"/>
      <c r="AV136" s="516"/>
      <c r="AW136" s="516"/>
      <c r="AX136" s="516"/>
      <c r="AY136" s="516"/>
      <c r="AZ136" s="516"/>
    </row>
    <row r="137" spans="1:52" ht="14" x14ac:dyDescent="0.15">
      <c r="A137" s="270" t="str">
        <f>'Tariffs Jan2021'!F131</f>
        <v>Sumo Power</v>
      </c>
      <c r="B137" s="40" t="str">
        <f>'Tariffs Jan2021'!D131</f>
        <v>AusNet Services Central 1</v>
      </c>
      <c r="C137" s="40" t="str">
        <f>'Tariffs Jan2021'!G131</f>
        <v>Freedom</v>
      </c>
      <c r="D137" s="59">
        <f>365*'Tariffs Jan2021'!H131/100</f>
        <v>244.55</v>
      </c>
      <c r="E137" s="59">
        <f>IF($C$5*'Tariffs Jan2021'!AK131/'Tariffs Jan2021'!AI131&gt;='Tariffs Jan2021'!J131,( 'Tariffs Jan2021'!J131*'Tariffs Jan2021'!O131/100)* 'Tariffs Jan2021'!AI131,($C$5*'Tariffs Jan2021'!AK131/'Tariffs Jan2021'!AI131*'Tariffs Jan2021'!O131/100)* 'Tariffs Jan2021'!AI131)</f>
        <v>261.81818181818181</v>
      </c>
      <c r="F137" s="59">
        <f>IF($C$5*'Tariffs Jan2021'!AK131/'Tariffs Jan2021'!AI131&lt;'Tariffs Jan2021'!J131,0,IF($C$5*'Tariffs Jan2021'!AK131/'Tariffs Jan2021'!AI131&lt;='Tariffs Jan2021'!K131,($C$5*'Tariffs Jan2021'!AK131/'Tariffs Jan2021'!AI131-'Tariffs Jan2021'!J131)*('Tariffs Jan2021'!P131/100)*'Tariffs Jan2021'!AI131,('Tariffs Jan2021'!K131-'Tariffs Jan2021'!J131)*('Tariffs Jan2021'!P131/100)*'Tariffs Jan2021'!AI131))</f>
        <v>178.32201818181815</v>
      </c>
      <c r="G137" s="59">
        <f>IF($C$5*'Tariffs Jan2021'!AK131/'Tariffs Jan2021'!AI131&lt;'Tariffs Jan2021'!K131,0,IF($C$5*'Tariffs Jan2021'!AK131/'Tariffs Jan2021'!AI131&lt;='Tariffs Jan2021'!L131,($C$5*'Tariffs Jan2021'!AK131/'Tariffs Jan2021'!AI131-'Tariffs Jan2021'!K131)*('Tariffs Jan2021'!Q131/100)*'Tariffs Jan2021'!AI131,('Tariffs Jan2021'!L131-'Tariffs Jan2021'!K131)*('Tariffs Jan2021'!Q131/100)*'Tariffs Jan2021'!AI131))</f>
        <v>0</v>
      </c>
      <c r="H137" s="59">
        <f>IF($C$5*'Tariffs Jan2021'!AK131/'Tariffs Jan2021'!AI131&lt;'Tariffs Jan2021'!L131,0,IF($C$5*'Tariffs Jan2021'!AK131/'Tariffs Jan2021'!AI131&lt;='Tariffs Jan2021'!M131,($C$5*'Tariffs Jan2021'!AK131/'Tariffs Jan2021'!AI131-'Tariffs Jan2021'!L131)*('Tariffs Jan2021'!R131/100)*'Tariffs Jan2021'!AI131,('Tariffs Jan2021'!M131-'Tariffs Jan2021'!L131)*('Tariffs Jan2021'!R131/100)*'Tariffs Jan2021'!AI131))</f>
        <v>0</v>
      </c>
      <c r="I137" s="69">
        <f>IF(($C$5*'Tariffs Jan2021'!AK131/'Tariffs Jan2021'!AI131&gt;'Tariffs Jan2021'!M131),($C$5*'Tariffs Jan2021'!AK131/'Tariffs Jan2021'!AI131-'Tariffs Jan2021'!M131)*'Tariffs Jan2021'!S131/100*'Tariffs Jan2021'!AI131,0)</f>
        <v>0</v>
      </c>
      <c r="J137" s="69">
        <f>IF($C$5*'Tariffs Jan2021'!AL131/'Tariffs Jan2021'!AJ131&gt;='Tariffs Jan2021'!J131,('Tariffs Jan2021'!J131*'Tariffs Jan2021'!U131/100)* 'Tariffs Jan2021'!AJ131,($C$5*'Tariffs Jan2021'!AL131/'Tariffs Jan2021'!AJ131*'Tariffs Jan2021'!U131/100)* 'Tariffs Jan2021'!AJ131)</f>
        <v>414.5454545454545</v>
      </c>
      <c r="K137" s="69">
        <f>IF($C$5*'Tariffs Jan2021'!AL131/'Tariffs Jan2021'!AJ131&lt;'Tariffs Jan2021'!J131,0,IF($C$5*'Tariffs Jan2021'!AL131/'Tariffs Jan2021'!AJ131&lt;='Tariffs Jan2021'!K131,($C$5*'Tariffs Jan2021'!AL131/'Tariffs Jan2021'!AJ131-'Tariffs Jan2021'!J131)*('Tariffs Jan2021'!V131/100)*'Tariffs Jan2021'!AJ131,('Tariffs Jan2021'!K131-'Tariffs Jan2021'!J131)*('Tariffs Jan2021'!V131/100)*'Tariffs Jan2021'!AJ131))</f>
        <v>271.57298181818169</v>
      </c>
      <c r="L137" s="69">
        <f>IF($C$5*'Tariffs Jan2021'!AL131/'Tariffs Jan2021'!AJ131&lt;'Tariffs Jan2021'!K131,0,IF($C$5*'Tariffs Jan2021'!AL131/'Tariffs Jan2021'!AJ131&lt;='Tariffs Jan2021'!L131,($C$5*'Tariffs Jan2021'!AL131/'Tariffs Jan2021'!AJ131-'Tariffs Jan2021'!K131)*('Tariffs Jan2021'!W131/100)*'Tariffs Jan2021'!AJ131,('Tariffs Jan2021'!L131-'Tariffs Jan2021'!K131)*('Tariffs Jan2021'!W131/100)*'Tariffs Jan2021'!AJ131))</f>
        <v>0</v>
      </c>
      <c r="M137" s="69">
        <f>IF($C$5*'Tariffs Jan2021'!AL131/'Tariffs Jan2021'!AJ131&lt;'Tariffs Jan2021'!L131,0,IF($C$5*'Tariffs Jan2021'!AL131/'Tariffs Jan2021'!AJ131&lt;='Tariffs Jan2021'!M131,($C$5*'Tariffs Jan2021'!AL131/'Tariffs Jan2021'!AJ131-'Tariffs Jan2021'!L131)*('Tariffs Jan2021'!X131/100)*'Tariffs Jan2021'!AJ131,('Tariffs Jan2021'!M131-'Tariffs Jan2021'!L131)*('Tariffs Jan2021'!X131/100)*'Tariffs Jan2021'!AJ131))</f>
        <v>0</v>
      </c>
      <c r="N137" s="69">
        <f>IF(($C$5*'Tariffs Jan2021'!AL131/'Tariffs Jan2021'!AJ131&gt;'Tariffs Jan2021'!M131),($C$5*'Tariffs Jan2021'!AL131/'Tariffs Jan2021'!AJ131-'Tariffs Jan2021'!M131)*'Tariffs Jan2021'!Y131/100*'Tariffs Jan2021'!AJ131,0)</f>
        <v>0</v>
      </c>
      <c r="O137" s="59">
        <f t="shared" si="93"/>
        <v>1126.258636363636</v>
      </c>
      <c r="P137" s="503">
        <f t="shared" si="56"/>
        <v>1238.8844999999997</v>
      </c>
      <c r="Q137" s="59">
        <f t="shared" si="94"/>
        <v>1370.808636363636</v>
      </c>
      <c r="R137" s="272">
        <f t="shared" si="95"/>
        <v>1507.8894999999998</v>
      </c>
      <c r="S137" s="40">
        <f>'Tariffs Jan2021'!AN131</f>
        <v>0</v>
      </c>
      <c r="T137" s="40">
        <f>'Tariffs Jan2021'!AO131</f>
        <v>0</v>
      </c>
      <c r="U137" s="40">
        <f>'Tariffs Jan2021'!AP131</f>
        <v>0</v>
      </c>
      <c r="V137" s="40">
        <f>'Tariffs Jan2021'!AQ131</f>
        <v>0</v>
      </c>
      <c r="W137" s="537" t="str">
        <f t="shared" si="91"/>
        <v>No discount</v>
      </c>
      <c r="X137" s="538" t="str">
        <f t="shared" si="92"/>
        <v>Exclusive</v>
      </c>
      <c r="Y137" s="534">
        <f t="shared" si="102"/>
        <v>1370.808636363636</v>
      </c>
      <c r="Z137" s="535">
        <f t="shared" si="103"/>
        <v>1370.808636363636</v>
      </c>
      <c r="AA137" s="542">
        <f t="shared" si="78"/>
        <v>1507.8894999999998</v>
      </c>
      <c r="AB137" s="542">
        <f t="shared" si="78"/>
        <v>1507.8894999999998</v>
      </c>
      <c r="AC137" s="274">
        <f>'Tariffs Jan2021'!AZ131</f>
        <v>0</v>
      </c>
      <c r="AD137" s="274" t="str">
        <f>'Tariffs Jan2021'!BA131</f>
        <v>n</v>
      </c>
      <c r="AE137" s="275" t="str">
        <f>'Tariffs Jan2021'!BJ131</f>
        <v>Y</v>
      </c>
      <c r="AF137" s="516"/>
      <c r="AG137" s="516"/>
      <c r="AH137" s="516"/>
      <c r="AI137" s="516"/>
      <c r="AJ137" s="516"/>
      <c r="AK137" s="516"/>
      <c r="AL137" s="516"/>
      <c r="AM137" s="516"/>
      <c r="AN137" s="516"/>
      <c r="AO137" s="516"/>
      <c r="AP137" s="516"/>
      <c r="AQ137" s="516"/>
      <c r="AR137" s="516"/>
      <c r="AS137" s="516"/>
      <c r="AT137" s="516"/>
      <c r="AU137" s="516"/>
      <c r="AV137" s="516"/>
      <c r="AW137" s="516"/>
      <c r="AX137" s="516"/>
      <c r="AY137" s="516"/>
      <c r="AZ137" s="516"/>
    </row>
    <row r="138" spans="1:52" ht="14" x14ac:dyDescent="0.15">
      <c r="A138" s="270" t="str">
        <f>'Tariffs Jan2021'!F132</f>
        <v>GloBird Energy</v>
      </c>
      <c r="B138" s="40" t="str">
        <f>'Tariffs Jan2021'!D132</f>
        <v>AusNet Services Central 1</v>
      </c>
      <c r="C138" s="40" t="str">
        <f>'Tariffs Jan2021'!G132</f>
        <v>GloSave</v>
      </c>
      <c r="D138" s="59">
        <f>365*'Tariffs Jan2021'!H132/100</f>
        <v>284.7</v>
      </c>
      <c r="E138" s="59">
        <f>IF($C$5*'Tariffs Jan2021'!AK132/'Tariffs Jan2021'!AI132&gt;='Tariffs Jan2021'!J132,( 'Tariffs Jan2021'!J132*'Tariffs Jan2021'!O132/100)* 'Tariffs Jan2021'!AI132,($C$5*'Tariffs Jan2021'!AK132/'Tariffs Jan2021'!AI132*'Tariffs Jan2021'!O132/100)* 'Tariffs Jan2021'!AI132)</f>
        <v>220.36363636363637</v>
      </c>
      <c r="F138" s="59">
        <f>IF($C$5*'Tariffs Jan2021'!AK132/'Tariffs Jan2021'!AI132&lt;'Tariffs Jan2021'!J132,0,IF($C$5*'Tariffs Jan2021'!AK132/'Tariffs Jan2021'!AI132&lt;='Tariffs Jan2021'!K132,($C$5*'Tariffs Jan2021'!AK132/'Tariffs Jan2021'!AI132-'Tariffs Jan2021'!J132)*('Tariffs Jan2021'!P132/100)*'Tariffs Jan2021'!AI132,('Tariffs Jan2021'!K132-'Tariffs Jan2021'!J132)*('Tariffs Jan2021'!P132/100)*'Tariffs Jan2021'!AI132))</f>
        <v>0</v>
      </c>
      <c r="G138" s="59">
        <f>IF($C$5*'Tariffs Jan2021'!AK132/'Tariffs Jan2021'!AI132&lt;'Tariffs Jan2021'!K132,0,IF($C$5*'Tariffs Jan2021'!AK132/'Tariffs Jan2021'!AI132&lt;='Tariffs Jan2021'!L132,($C$5*'Tariffs Jan2021'!AK132/'Tariffs Jan2021'!AI132-'Tariffs Jan2021'!K132)*('Tariffs Jan2021'!Q132/100)*'Tariffs Jan2021'!AI132,('Tariffs Jan2021'!L132-'Tariffs Jan2021'!K132)*('Tariffs Jan2021'!Q132/100)*'Tariffs Jan2021'!AI132))</f>
        <v>0</v>
      </c>
      <c r="H138" s="59">
        <f>IF($C$5*'Tariffs Jan2021'!AK132/'Tariffs Jan2021'!AI132&lt;'Tariffs Jan2021'!L132,0,IF($C$5*'Tariffs Jan2021'!AK132/'Tariffs Jan2021'!AI132&lt;='Tariffs Jan2021'!M132,($C$5*'Tariffs Jan2021'!AK132/'Tariffs Jan2021'!AI132-'Tariffs Jan2021'!L132)*('Tariffs Jan2021'!R132/100)*'Tariffs Jan2021'!AI132,('Tariffs Jan2021'!M132-'Tariffs Jan2021'!L132)*('Tariffs Jan2021'!R132/100)*'Tariffs Jan2021'!AI132))</f>
        <v>0</v>
      </c>
      <c r="I138" s="69">
        <f>IF(($C$5*'Tariffs Jan2021'!AK132/'Tariffs Jan2021'!AI132&gt;'Tariffs Jan2021'!M132),($C$5*'Tariffs Jan2021'!AK132/'Tariffs Jan2021'!AI132-'Tariffs Jan2021'!M132)*'Tariffs Jan2021'!S132/100*'Tariffs Jan2021'!AI132,0)</f>
        <v>142.33041818181815</v>
      </c>
      <c r="J138" s="69">
        <f>IF($C$5*'Tariffs Jan2021'!AL132/'Tariffs Jan2021'!AJ132&gt;='Tariffs Jan2021'!J132,('Tariffs Jan2021'!J132*'Tariffs Jan2021'!U132/100)* 'Tariffs Jan2021'!AJ132,($C$5*'Tariffs Jan2021'!AL132/'Tariffs Jan2021'!AJ132*'Tariffs Jan2021'!U132/100)* 'Tariffs Jan2021'!AJ132)</f>
        <v>340.36363636363637</v>
      </c>
      <c r="K138" s="69">
        <f>IF($C$5*'Tariffs Jan2021'!AL132/'Tariffs Jan2021'!AJ132&lt;'Tariffs Jan2021'!J132,0,IF($C$5*'Tariffs Jan2021'!AL132/'Tariffs Jan2021'!AJ132&lt;='Tariffs Jan2021'!K132,($C$5*'Tariffs Jan2021'!AL132/'Tariffs Jan2021'!AJ132-'Tariffs Jan2021'!J132)*('Tariffs Jan2021'!V132/100)*'Tariffs Jan2021'!AJ132,('Tariffs Jan2021'!K132-'Tariffs Jan2021'!J132)*('Tariffs Jan2021'!V132/100)*'Tariffs Jan2021'!AJ132))</f>
        <v>0</v>
      </c>
      <c r="L138" s="69">
        <f>IF($C$5*'Tariffs Jan2021'!AL132/'Tariffs Jan2021'!AJ132&lt;'Tariffs Jan2021'!K132,0,IF($C$5*'Tariffs Jan2021'!AL132/'Tariffs Jan2021'!AJ132&lt;='Tariffs Jan2021'!L132,($C$5*'Tariffs Jan2021'!AL132/'Tariffs Jan2021'!AJ132-'Tariffs Jan2021'!K132)*('Tariffs Jan2021'!W132/100)*'Tariffs Jan2021'!AJ132,('Tariffs Jan2021'!L132-'Tariffs Jan2021'!K132)*('Tariffs Jan2021'!W132/100)*'Tariffs Jan2021'!AJ132))</f>
        <v>0</v>
      </c>
      <c r="M138" s="69">
        <f>IF($C$5*'Tariffs Jan2021'!AL132/'Tariffs Jan2021'!AJ132&lt;'Tariffs Jan2021'!L132,0,IF($C$5*'Tariffs Jan2021'!AL132/'Tariffs Jan2021'!AJ132&lt;='Tariffs Jan2021'!M132,($C$5*'Tariffs Jan2021'!AL132/'Tariffs Jan2021'!AJ132-'Tariffs Jan2021'!L132)*('Tariffs Jan2021'!X132/100)*'Tariffs Jan2021'!AJ132,('Tariffs Jan2021'!M132-'Tariffs Jan2021'!L132)*('Tariffs Jan2021'!X132/100)*'Tariffs Jan2021'!AJ132))</f>
        <v>0</v>
      </c>
      <c r="N138" s="69">
        <f>IF(($C$5*'Tariffs Jan2021'!AL132/'Tariffs Jan2021'!AJ132&gt;'Tariffs Jan2021'!M132),($C$5*'Tariffs Jan2021'!AL132/'Tariffs Jan2021'!AJ132-'Tariffs Jan2021'!M132)*'Tariffs Jan2021'!Y132/100*'Tariffs Jan2021'!AJ132,0)</f>
        <v>233.94539999999989</v>
      </c>
      <c r="O138" s="59">
        <f t="shared" si="93"/>
        <v>937.00309090909082</v>
      </c>
      <c r="P138" s="503">
        <f t="shared" ref="P138:P142" si="104">O138*1.1</f>
        <v>1030.7033999999999</v>
      </c>
      <c r="Q138" s="59">
        <f t="shared" si="94"/>
        <v>1221.7030909090909</v>
      </c>
      <c r="R138" s="272">
        <f t="shared" si="95"/>
        <v>1343.8733999999999</v>
      </c>
      <c r="S138" s="40">
        <f>'Tariffs Jan2021'!AN132</f>
        <v>0</v>
      </c>
      <c r="T138" s="40">
        <f>'Tariffs Jan2021'!AO132</f>
        <v>0</v>
      </c>
      <c r="U138" s="40">
        <f>'Tariffs Jan2021'!AP132</f>
        <v>0</v>
      </c>
      <c r="V138" s="40">
        <f>'Tariffs Jan2021'!AQ132</f>
        <v>0</v>
      </c>
      <c r="W138" s="537" t="str">
        <f t="shared" si="91"/>
        <v>No discount</v>
      </c>
      <c r="X138" s="538" t="str">
        <f t="shared" si="92"/>
        <v>Exclusive</v>
      </c>
      <c r="Y138" s="534">
        <f t="shared" si="102"/>
        <v>1221.7030909090909</v>
      </c>
      <c r="Z138" s="535">
        <f t="shared" si="103"/>
        <v>1221.7030909090909</v>
      </c>
      <c r="AA138" s="542">
        <f t="shared" si="78"/>
        <v>1343.8733999999999</v>
      </c>
      <c r="AB138" s="542">
        <f t="shared" si="78"/>
        <v>1343.8733999999999</v>
      </c>
      <c r="AC138" s="274">
        <f>'Tariffs Jan2021'!AZ132</f>
        <v>0</v>
      </c>
      <c r="AD138" s="274" t="str">
        <f>'Tariffs Jan2021'!BA132</f>
        <v>n</v>
      </c>
      <c r="AE138" s="275" t="str">
        <f>'Tariffs Jan2021'!BJ132</f>
        <v>N</v>
      </c>
      <c r="AF138" s="516"/>
      <c r="AG138" s="516"/>
      <c r="AH138" s="516"/>
      <c r="AI138" s="516"/>
      <c r="AJ138" s="516"/>
      <c r="AK138" s="516"/>
      <c r="AL138" s="516"/>
      <c r="AM138" s="516"/>
      <c r="AN138" s="516"/>
      <c r="AO138" s="516"/>
      <c r="AP138" s="516"/>
      <c r="AQ138" s="516"/>
      <c r="AR138" s="516"/>
      <c r="AS138" s="516"/>
      <c r="AT138" s="516"/>
      <c r="AU138" s="516"/>
      <c r="AV138" s="516"/>
      <c r="AW138" s="516"/>
      <c r="AX138" s="516"/>
      <c r="AY138" s="516"/>
      <c r="AZ138" s="516"/>
    </row>
    <row r="139" spans="1:52" ht="14" x14ac:dyDescent="0.15">
      <c r="A139" s="270" t="str">
        <f>'Tariffs Jan2021'!F133</f>
        <v>Powershop</v>
      </c>
      <c r="B139" s="40" t="str">
        <f>'Tariffs Jan2021'!D133</f>
        <v>AusNet Services Central 1</v>
      </c>
      <c r="C139" s="40" t="str">
        <f>'Tariffs Jan2021'!G133</f>
        <v>Market offer</v>
      </c>
      <c r="D139" s="59">
        <f>365*'Tariffs Jan2021'!H133/100</f>
        <v>275.57499999999999</v>
      </c>
      <c r="E139" s="59">
        <f>((C$5*'Tariffs Jan2021'!AK133/'Tariffs Jan2021'!AI133)*('Tariffs Jan2021'!O133/100))*'Tariffs Jan2021'!AI133</f>
        <v>379.8710999999999</v>
      </c>
      <c r="F139" s="59">
        <v>0</v>
      </c>
      <c r="G139" s="59">
        <v>0</v>
      </c>
      <c r="H139" s="59">
        <v>0</v>
      </c>
      <c r="I139" s="69">
        <v>0</v>
      </c>
      <c r="J139" s="69">
        <f>((C$5*'Tariffs Jan2021'!AL133/'Tariffs Jan2021'!AJ133)*('Tariffs Jan2021'!U133/100))*'Tariffs Jan2021'!AJ133</f>
        <v>637.57259999999985</v>
      </c>
      <c r="K139" s="69">
        <v>0</v>
      </c>
      <c r="L139" s="69">
        <v>0</v>
      </c>
      <c r="M139" s="69">
        <v>0</v>
      </c>
      <c r="N139" s="69">
        <v>0</v>
      </c>
      <c r="O139" s="59">
        <f t="shared" si="93"/>
        <v>1017.4436999999998</v>
      </c>
      <c r="P139" s="503">
        <f t="shared" si="104"/>
        <v>1119.1880699999999</v>
      </c>
      <c r="Q139" s="59">
        <f t="shared" si="94"/>
        <v>1293.0186999999999</v>
      </c>
      <c r="R139" s="272">
        <f t="shared" si="95"/>
        <v>1422.3205699999999</v>
      </c>
      <c r="S139" s="40">
        <f>'Tariffs Jan2021'!AN133</f>
        <v>0</v>
      </c>
      <c r="T139" s="40">
        <f>'Tariffs Jan2021'!AO133</f>
        <v>0</v>
      </c>
      <c r="U139" s="40">
        <f>'Tariffs Jan2021'!AP133</f>
        <v>0</v>
      </c>
      <c r="V139" s="40">
        <f>'Tariffs Jan2021'!AQ133</f>
        <v>0</v>
      </c>
      <c r="W139" s="537" t="str">
        <f t="shared" si="91"/>
        <v>No discount</v>
      </c>
      <c r="X139" s="538" t="str">
        <f t="shared" si="92"/>
        <v>Inclusive</v>
      </c>
      <c r="Y139" s="534">
        <f>IF(AND(W139="Guaranteed off bill",X139="Inclusive"),((Q139*1.1)-((Q139*1.1)*S139/100))/1.1,IF(AND(W139="Guaranteed off usage",X139="Inclusive"),((Q139*1.1)-((P139*1.1)*T139/100))/1.1,IF(AND(W139="Guaranteed off bill",X139="Exclusive"),Q139-(Q139*S139/100),IF(AND(W139="Guaranteed off usage",X139="Exclusive"),Q139-(P139*T139/100),IF(X139="Inclusive",((Q139*1.1))/1.1,Q139)))))</f>
        <v>1293.0186999999999</v>
      </c>
      <c r="Z139" s="535">
        <f>IF(AND(W139="Pay-on-time off bill",X139="Inclusive"),((Y139*1.1)-((Y139*1.1)*U139/100))/1.1,IF(AND(W139="Pay-on-time off usage",X139="Inclusive"),((Y139*1.1)-((P139*1.1)*V139/100))/1.1,IF(AND(W139="Pay-on-time off bill",X139="Exclusive"),Y139-(Y139*U139/100),IF(AND(W139="Pay-on-time off usage",X139="Exclusive"),Y139-(P139*V139/100),IF(X139="Inclusive",((Y139*1.1))/1.1,Y139)))))</f>
        <v>1293.0186999999999</v>
      </c>
      <c r="AA139" s="542">
        <f t="shared" si="78"/>
        <v>1422.3205699999999</v>
      </c>
      <c r="AB139" s="542">
        <f t="shared" si="78"/>
        <v>1422.3205699999999</v>
      </c>
      <c r="AC139" s="274">
        <f>'Tariffs Jan2021'!AZ133</f>
        <v>0</v>
      </c>
      <c r="AD139" s="274" t="str">
        <f>'Tariffs Jan2021'!BA133</f>
        <v>n</v>
      </c>
      <c r="AE139" s="275" t="str">
        <f>'Tariffs Jan2021'!BJ133</f>
        <v>Y</v>
      </c>
      <c r="AF139" s="516"/>
      <c r="AG139" s="516"/>
      <c r="AH139" s="516"/>
      <c r="AI139" s="516"/>
      <c r="AJ139" s="516"/>
      <c r="AK139" s="516"/>
      <c r="AL139" s="516"/>
      <c r="AM139" s="516"/>
      <c r="AN139" s="516"/>
      <c r="AO139" s="516"/>
      <c r="AP139" s="516"/>
      <c r="AQ139" s="516"/>
      <c r="AR139" s="516"/>
      <c r="AS139" s="516"/>
      <c r="AT139" s="516"/>
      <c r="AU139" s="516"/>
      <c r="AV139" s="516"/>
      <c r="AW139" s="516"/>
      <c r="AX139" s="516"/>
      <c r="AY139" s="516"/>
      <c r="AZ139" s="516"/>
    </row>
    <row r="140" spans="1:52" ht="14" x14ac:dyDescent="0.15">
      <c r="A140" s="270" t="str">
        <f>'Tariffs Jan2021'!F134</f>
        <v>1st Energy</v>
      </c>
      <c r="B140" s="40" t="str">
        <f>'Tariffs Jan2021'!D134</f>
        <v>AusNet Services Central 1</v>
      </c>
      <c r="C140" s="40" t="str">
        <f>'Tariffs Jan2021'!G134</f>
        <v>1st Saver Plus</v>
      </c>
      <c r="D140" s="59">
        <f>365*'Tariffs Jan2021'!H134/100</f>
        <v>313.89999999999998</v>
      </c>
      <c r="E140" s="59">
        <f>IF($C$5*'Tariffs Jan2021'!AK134/'Tariffs Jan2021'!AI134&gt;='Tariffs Jan2021'!J134,( 'Tariffs Jan2021'!J134*'Tariffs Jan2021'!O134/100)* 'Tariffs Jan2021'!AI134,($C$5*'Tariffs Jan2021'!AK134/'Tariffs Jan2021'!AI134*'Tariffs Jan2021'!O134/100)* 'Tariffs Jan2021'!AI134)</f>
        <v>382.90909090909088</v>
      </c>
      <c r="F140" s="59">
        <f>IF($C$5*'Tariffs Jan2021'!AK134/'Tariffs Jan2021'!AI134&lt;'Tariffs Jan2021'!J134,0,IF($C$5*'Tariffs Jan2021'!AK134/'Tariffs Jan2021'!AI134&lt;='Tariffs Jan2021'!K134,($C$5*'Tariffs Jan2021'!AK134/'Tariffs Jan2021'!AI134-'Tariffs Jan2021'!J134)*('Tariffs Jan2021'!P134/100)*'Tariffs Jan2021'!AI134,('Tariffs Jan2021'!K134-'Tariffs Jan2021'!J134)*('Tariffs Jan2021'!P134/100)*'Tariffs Jan2021'!AI134))</f>
        <v>263.86363636363632</v>
      </c>
      <c r="G140" s="59">
        <f>IF($C$5*'Tariffs Jan2021'!AK134/'Tariffs Jan2021'!AI134&lt;'Tariffs Jan2021'!K134,0,IF($C$5*'Tariffs Jan2021'!AK134/'Tariffs Jan2021'!AI134&lt;='Tariffs Jan2021'!L134,($C$5*'Tariffs Jan2021'!AK134/'Tariffs Jan2021'!AI134-'Tariffs Jan2021'!K134)*('Tariffs Jan2021'!Q134/100)*'Tariffs Jan2021'!AI134,('Tariffs Jan2021'!L134-'Tariffs Jan2021'!K134)*('Tariffs Jan2021'!Q134/100)*'Tariffs Jan2021'!AI134))</f>
        <v>0</v>
      </c>
      <c r="H140" s="59">
        <f>IF($C$5*'Tariffs Jan2021'!AK134/'Tariffs Jan2021'!AI134&lt;'Tariffs Jan2021'!L134,0,IF($C$5*'Tariffs Jan2021'!AK134/'Tariffs Jan2021'!AI134&lt;='Tariffs Jan2021'!M134,($C$5*'Tariffs Jan2021'!AK134/'Tariffs Jan2021'!AI134-'Tariffs Jan2021'!L134)*('Tariffs Jan2021'!R134/100)*'Tariffs Jan2021'!AI134,('Tariffs Jan2021'!M134-'Tariffs Jan2021'!L134)*('Tariffs Jan2021'!R134/100)*'Tariffs Jan2021'!AI134))</f>
        <v>0</v>
      </c>
      <c r="I140" s="69">
        <f>IF(($C$5*'Tariffs Jan2021'!AK134/'Tariffs Jan2021'!AI134&gt;'Tariffs Jan2021'!M134),($C$5*'Tariffs Jan2021'!AK134/'Tariffs Jan2021'!AI134-'Tariffs Jan2021'!M134)*'Tariffs Jan2021'!S134/100*'Tariffs Jan2021'!AI134,0)</f>
        <v>0</v>
      </c>
      <c r="J140" s="69">
        <f>IF($C$5*'Tariffs Jan2021'!AL134/'Tariffs Jan2021'!AJ134&gt;='Tariffs Jan2021'!J134,('Tariffs Jan2021'!J134*'Tariffs Jan2021'!U134/100)* 'Tariffs Jan2021'!AJ134,($C$5*'Tariffs Jan2021'!AL134/'Tariffs Jan2021'!AJ134*'Tariffs Jan2021'!U134/100)* 'Tariffs Jan2021'!AJ134)</f>
        <v>382.90909090909088</v>
      </c>
      <c r="K140" s="69">
        <f>IF($C$5*'Tariffs Jan2021'!AL134/'Tariffs Jan2021'!AJ134&lt;'Tariffs Jan2021'!J134,0,IF($C$5*'Tariffs Jan2021'!AL134/'Tariffs Jan2021'!AJ134&lt;='Tariffs Jan2021'!K134,($C$5*'Tariffs Jan2021'!AL134/'Tariffs Jan2021'!AJ134-'Tariffs Jan2021'!J134)*('Tariffs Jan2021'!V134/100)*'Tariffs Jan2021'!AJ134,('Tariffs Jan2021'!K134-'Tariffs Jan2021'!J134)*('Tariffs Jan2021'!V134/100)*'Tariffs Jan2021'!AJ134))</f>
        <v>263.86363636363632</v>
      </c>
      <c r="L140" s="69">
        <f>IF($C$5*'Tariffs Jan2021'!AL134/'Tariffs Jan2021'!AJ134&lt;'Tariffs Jan2021'!K134,0,IF($C$5*'Tariffs Jan2021'!AL134/'Tariffs Jan2021'!AJ134&lt;='Tariffs Jan2021'!L134,($C$5*'Tariffs Jan2021'!AL134/'Tariffs Jan2021'!AJ134-'Tariffs Jan2021'!K134)*('Tariffs Jan2021'!W134/100)*'Tariffs Jan2021'!AJ134,('Tariffs Jan2021'!L134-'Tariffs Jan2021'!K134)*('Tariffs Jan2021'!W134/100)*'Tariffs Jan2021'!AJ134))</f>
        <v>0</v>
      </c>
      <c r="M140" s="69">
        <f>IF($C$5*'Tariffs Jan2021'!AL134/'Tariffs Jan2021'!AJ134&lt;'Tariffs Jan2021'!L134,0,IF($C$5*'Tariffs Jan2021'!AL134/'Tariffs Jan2021'!AJ134&lt;='Tariffs Jan2021'!M134,($C$5*'Tariffs Jan2021'!AL134/'Tariffs Jan2021'!AJ134-'Tariffs Jan2021'!L134)*('Tariffs Jan2021'!X134/100)*'Tariffs Jan2021'!AJ134,('Tariffs Jan2021'!M134-'Tariffs Jan2021'!L134)*('Tariffs Jan2021'!X134/100)*'Tariffs Jan2021'!AJ134))</f>
        <v>0</v>
      </c>
      <c r="N140" s="69">
        <f>IF(($C$5*'Tariffs Jan2021'!AL134/'Tariffs Jan2021'!AJ134&gt;'Tariffs Jan2021'!M134),($C$5*'Tariffs Jan2021'!AL134/'Tariffs Jan2021'!AJ134-'Tariffs Jan2021'!M134)*'Tariffs Jan2021'!Y134/100*'Tariffs Jan2021'!AJ134,0)</f>
        <v>0</v>
      </c>
      <c r="O140" s="59">
        <f t="shared" si="93"/>
        <v>1293.5454545454543</v>
      </c>
      <c r="P140" s="503">
        <f t="shared" si="104"/>
        <v>1422.8999999999999</v>
      </c>
      <c r="Q140" s="59">
        <f t="shared" si="94"/>
        <v>1607.4454545454541</v>
      </c>
      <c r="R140" s="272">
        <f t="shared" si="95"/>
        <v>1768.1899999999996</v>
      </c>
      <c r="S140" s="40">
        <f>'Tariffs Jan2021'!AN134</f>
        <v>0</v>
      </c>
      <c r="T140" s="40">
        <f>'Tariffs Jan2021'!AO134</f>
        <v>12</v>
      </c>
      <c r="U140" s="40">
        <f>'Tariffs Jan2021'!AP134</f>
        <v>0</v>
      </c>
      <c r="V140" s="40">
        <f>'Tariffs Jan2021'!AQ134</f>
        <v>3</v>
      </c>
      <c r="W140" s="537" t="str">
        <f t="shared" si="91"/>
        <v>Guaranteed off usage</v>
      </c>
      <c r="X140" s="538" t="str">
        <f t="shared" si="92"/>
        <v>Exclusive</v>
      </c>
      <c r="Y140" s="534">
        <f>Q140-(P140*T140)/100</f>
        <v>1436.6974545454541</v>
      </c>
      <c r="Z140" s="535">
        <f>Y140-(P140*V140)/100</f>
        <v>1394.0104545454542</v>
      </c>
      <c r="AA140" s="542">
        <f t="shared" si="78"/>
        <v>1580.3671999999997</v>
      </c>
      <c r="AB140" s="542">
        <f t="shared" si="78"/>
        <v>1533.4114999999997</v>
      </c>
      <c r="AC140" s="274">
        <f>'Tariffs Jan2021'!AZ134</f>
        <v>0</v>
      </c>
      <c r="AD140" s="274" t="str">
        <f>'Tariffs Jan2021'!BA134</f>
        <v>n</v>
      </c>
      <c r="AE140" s="275" t="str">
        <f>'Tariffs Jan2021'!BJ134</f>
        <v>Y</v>
      </c>
      <c r="AF140" s="516"/>
      <c r="AG140" s="516"/>
      <c r="AH140" s="516"/>
      <c r="AI140" s="516"/>
      <c r="AJ140" s="516"/>
      <c r="AK140" s="516"/>
      <c r="AL140" s="516"/>
      <c r="AM140" s="516"/>
      <c r="AN140" s="516"/>
      <c r="AO140" s="516"/>
      <c r="AP140" s="516"/>
      <c r="AQ140" s="516"/>
      <c r="AR140" s="516"/>
      <c r="AS140" s="516"/>
      <c r="AT140" s="516"/>
      <c r="AU140" s="516"/>
      <c r="AV140" s="516"/>
      <c r="AW140" s="516"/>
      <c r="AX140" s="516"/>
      <c r="AY140" s="516"/>
      <c r="AZ140" s="516"/>
    </row>
    <row r="141" spans="1:52" ht="14" x14ac:dyDescent="0.15">
      <c r="A141" s="270" t="str">
        <f>'Tariffs Jan2021'!F135</f>
        <v>Kogan Energy</v>
      </c>
      <c r="B141" s="40" t="str">
        <f>'Tariffs Jan2021'!D135</f>
        <v>AusNet Services Central 1</v>
      </c>
      <c r="C141" s="40" t="str">
        <f>'Tariffs Jan2021'!G135</f>
        <v>Market offer</v>
      </c>
      <c r="D141" s="59">
        <f>365*'Tariffs Jan2021'!H135/100</f>
        <v>293.22772727272724</v>
      </c>
      <c r="E141" s="59">
        <f>((C$5*'Tariffs Jan2021'!AK135/'Tariffs Jan2021'!AI135)*('Tariffs Jan2021'!O135/100))*'Tariffs Jan2021'!AI135</f>
        <v>379.8710999999999</v>
      </c>
      <c r="F141" s="59">
        <v>0</v>
      </c>
      <c r="G141" s="59">
        <v>0</v>
      </c>
      <c r="H141" s="59">
        <v>0</v>
      </c>
      <c r="I141" s="69">
        <v>0</v>
      </c>
      <c r="J141" s="69">
        <f>((C$5*'Tariffs Jan2021'!AL135/'Tariffs Jan2021'!AJ135)*('Tariffs Jan2021'!U135/100))*'Tariffs Jan2021'!AJ135</f>
        <v>626.11919999999986</v>
      </c>
      <c r="K141" s="69">
        <v>0</v>
      </c>
      <c r="L141" s="69">
        <v>0</v>
      </c>
      <c r="M141" s="69">
        <v>0</v>
      </c>
      <c r="N141" s="69">
        <v>0</v>
      </c>
      <c r="O141" s="59">
        <f t="shared" si="93"/>
        <v>1005.9902999999997</v>
      </c>
      <c r="P141" s="503">
        <f t="shared" si="104"/>
        <v>1106.5893299999998</v>
      </c>
      <c r="Q141" s="59">
        <f t="shared" si="94"/>
        <v>1299.2180272727269</v>
      </c>
      <c r="R141" s="272">
        <f t="shared" si="95"/>
        <v>1429.1398299999996</v>
      </c>
      <c r="S141" s="40">
        <f>'Tariffs Jan2021'!AN135</f>
        <v>0</v>
      </c>
      <c r="T141" s="40">
        <f>'Tariffs Jan2021'!AO135</f>
        <v>0</v>
      </c>
      <c r="U141" s="40">
        <f>'Tariffs Jan2021'!AP135</f>
        <v>0</v>
      </c>
      <c r="V141" s="40">
        <f>'Tariffs Jan2021'!AQ135</f>
        <v>0</v>
      </c>
      <c r="W141" s="537" t="str">
        <f t="shared" si="91"/>
        <v>No discount</v>
      </c>
      <c r="X141" s="538" t="str">
        <f t="shared" si="92"/>
        <v>Exclusive</v>
      </c>
      <c r="Y141" s="534">
        <f t="shared" ref="Y141:Y142" si="105">IF(AND(W141="Guaranteed off bill",X141="Inclusive"),((Q141*1.1)-((Q141*1.1)*S141/100))/1.1,IF(AND(W141="Guaranteed off usage",X141="Inclusive"),((Q141*1.1)-((P141*1.1)*T141/100))/1.1,IF(AND(W141="Guaranteed off bill",X141="Exclusive"),Q141-(Q141*S141/100),IF(AND(W141="Guaranteed off usage",X141="Exclusive"),Q141-(P141*T141/100),IF(X141="Inclusive",((Q141*1.1))/1.1,Q141)))))</f>
        <v>1299.2180272727269</v>
      </c>
      <c r="Z141" s="535">
        <f t="shared" ref="Z141:Z142" si="106">IF(AND(W141="Pay-on-time off bill",X141="Inclusive"),((Y141*1.1)-((Y141*1.1)*U141/100))/1.1,IF(AND(W141="Pay-on-time off usage",X141="Inclusive"),((Y141*1.1)-((P141*1.1)*V141/100))/1.1,IF(AND(W141="Pay-on-time off bill",X141="Exclusive"),Y141-(Y141*U141/100),IF(AND(W141="Pay-on-time off usage",X141="Exclusive"),Y141-(P141*V141/100),IF(X141="Inclusive",((Y141*1.1))/1.1,Y141)))))</f>
        <v>1299.2180272727269</v>
      </c>
      <c r="AA141" s="542">
        <f t="shared" si="78"/>
        <v>1429.1398299999996</v>
      </c>
      <c r="AB141" s="542">
        <f t="shared" si="78"/>
        <v>1429.1398299999996</v>
      </c>
      <c r="AC141" s="274">
        <f>'Tariffs Jan2021'!AZ135</f>
        <v>0</v>
      </c>
      <c r="AD141" s="274" t="str">
        <f>'Tariffs Jan2021'!BA135</f>
        <v>n</v>
      </c>
      <c r="AE141" s="275" t="str">
        <f>'Tariffs Jan2021'!BJ135</f>
        <v>N</v>
      </c>
      <c r="AF141" s="516"/>
      <c r="AG141" s="516"/>
      <c r="AH141" s="516"/>
      <c r="AI141" s="516"/>
      <c r="AJ141" s="516"/>
      <c r="AK141" s="516"/>
      <c r="AL141" s="516"/>
      <c r="AM141" s="516"/>
      <c r="AN141" s="516"/>
      <c r="AO141" s="516"/>
      <c r="AP141" s="516"/>
      <c r="AQ141" s="516"/>
      <c r="AR141" s="516"/>
      <c r="AS141" s="516"/>
      <c r="AT141" s="516"/>
      <c r="AU141" s="516"/>
      <c r="AV141" s="516"/>
      <c r="AW141" s="516"/>
      <c r="AX141" s="516"/>
      <c r="AY141" s="516"/>
      <c r="AZ141" s="516"/>
    </row>
    <row r="142" spans="1:52" ht="15" thickBot="1" x14ac:dyDescent="0.2">
      <c r="A142" s="286" t="str">
        <f>'Tariffs Jan2021'!F136</f>
        <v>Tango Energy</v>
      </c>
      <c r="B142" s="287" t="str">
        <f>'Tariffs Jan2021'!D136</f>
        <v>AusNet Services Central 1</v>
      </c>
      <c r="C142" s="287" t="str">
        <f>'Tariffs Jan2021'!G136</f>
        <v>Home Select</v>
      </c>
      <c r="D142" s="288">
        <f>365*'Tariffs Jan2021'!H136/100</f>
        <v>364.99999999999994</v>
      </c>
      <c r="E142" s="288">
        <f>IF($C$5*'Tariffs Jan2021'!AK136/'Tariffs Jan2021'!AI136&gt;='Tariffs Jan2021'!J136,( 'Tariffs Jan2021'!J136*'Tariffs Jan2021'!O136/100)* 'Tariffs Jan2021'!AI136,($C$5*'Tariffs Jan2021'!AK136/'Tariffs Jan2021'!AI136*'Tariffs Jan2021'!O136/100)* 'Tariffs Jan2021'!AI136)</f>
        <v>198.54545454545456</v>
      </c>
      <c r="F142" s="288">
        <f>IF($C$5*'Tariffs Jan2021'!AK136/'Tariffs Jan2021'!AI136&lt;'Tariffs Jan2021'!J136,0,IF($C$5*'Tariffs Jan2021'!AK136/'Tariffs Jan2021'!AI136&lt;='Tariffs Jan2021'!K136,($C$5*'Tariffs Jan2021'!AK136/'Tariffs Jan2021'!AI136-'Tariffs Jan2021'!J136)*('Tariffs Jan2021'!P136/100)*'Tariffs Jan2021'!AI136,('Tariffs Jan2021'!K136-'Tariffs Jan2021'!J136)*('Tariffs Jan2021'!P136/100)*'Tariffs Jan2021'!AI136))</f>
        <v>130.87854545454542</v>
      </c>
      <c r="G142" s="288">
        <f>IF($C$5*'Tariffs Jan2021'!AK136/'Tariffs Jan2021'!AI136&lt;'Tariffs Jan2021'!K136,0,IF($C$5*'Tariffs Jan2021'!AK136/'Tariffs Jan2021'!AI136&lt;='Tariffs Jan2021'!L136,($C$5*'Tariffs Jan2021'!AK136/'Tariffs Jan2021'!AI136-'Tariffs Jan2021'!K136)*('Tariffs Jan2021'!Q136/100)*'Tariffs Jan2021'!AI136,('Tariffs Jan2021'!L136-'Tariffs Jan2021'!K136)*('Tariffs Jan2021'!Q136/100)*'Tariffs Jan2021'!AI136))</f>
        <v>0</v>
      </c>
      <c r="H142" s="288">
        <f>IF($C$5*'Tariffs Jan2021'!AK136/'Tariffs Jan2021'!AI136&lt;'Tariffs Jan2021'!L136,0,IF($C$5*'Tariffs Jan2021'!AK136/'Tariffs Jan2021'!AI136&lt;='Tariffs Jan2021'!M136,($C$5*'Tariffs Jan2021'!AK136/'Tariffs Jan2021'!AI136-'Tariffs Jan2021'!L136)*('Tariffs Jan2021'!R136/100)*'Tariffs Jan2021'!AI136,('Tariffs Jan2021'!M136-'Tariffs Jan2021'!L136)*('Tariffs Jan2021'!R136/100)*'Tariffs Jan2021'!AI136))</f>
        <v>0</v>
      </c>
      <c r="I142" s="548">
        <f>IF(($C$5*'Tariffs Jan2021'!AK136/'Tariffs Jan2021'!AI136&gt;'Tariffs Jan2021'!M136),($C$5*'Tariffs Jan2021'!AK136/'Tariffs Jan2021'!AI136-'Tariffs Jan2021'!M136)*'Tariffs Jan2021'!S136/100*'Tariffs Jan2021'!AI136,0)</f>
        <v>0</v>
      </c>
      <c r="J142" s="548">
        <f>IF($C$5*'Tariffs Jan2021'!AL136/'Tariffs Jan2021'!AJ136&gt;='Tariffs Jan2021'!J136,('Tariffs Jan2021'!J136*'Tariffs Jan2021'!U136/100)* 'Tariffs Jan2021'!AJ136,($C$5*'Tariffs Jan2021'!AL136/'Tariffs Jan2021'!AJ136*'Tariffs Jan2021'!U136/100)* 'Tariffs Jan2021'!AJ136)</f>
        <v>311.99999999999994</v>
      </c>
      <c r="K142" s="548">
        <f>IF($C$5*'Tariffs Jan2021'!AL136/'Tariffs Jan2021'!AJ136&lt;'Tariffs Jan2021'!J136,0,IF($C$5*'Tariffs Jan2021'!AL136/'Tariffs Jan2021'!AJ136&lt;='Tariffs Jan2021'!K136,($C$5*'Tariffs Jan2021'!AL136/'Tariffs Jan2021'!AJ136-'Tariffs Jan2021'!J136)*('Tariffs Jan2021'!V136/100)*'Tariffs Jan2021'!AJ136,('Tariffs Jan2021'!K136-'Tariffs Jan2021'!J136)*('Tariffs Jan2021'!V136/100)*'Tariffs Jan2021'!AJ136))</f>
        <v>215.94959999999995</v>
      </c>
      <c r="L142" s="548">
        <f>IF($C$5*'Tariffs Jan2021'!AL136/'Tariffs Jan2021'!AJ136&lt;'Tariffs Jan2021'!K136,0,IF($C$5*'Tariffs Jan2021'!AL136/'Tariffs Jan2021'!AJ136&lt;='Tariffs Jan2021'!L136,($C$5*'Tariffs Jan2021'!AL136/'Tariffs Jan2021'!AJ136-'Tariffs Jan2021'!K136)*('Tariffs Jan2021'!W136/100)*'Tariffs Jan2021'!AJ136,('Tariffs Jan2021'!L136-'Tariffs Jan2021'!K136)*('Tariffs Jan2021'!W136/100)*'Tariffs Jan2021'!AJ136))</f>
        <v>0</v>
      </c>
      <c r="M142" s="548">
        <f>IF($C$5*'Tariffs Jan2021'!AL136/'Tariffs Jan2021'!AJ136&lt;'Tariffs Jan2021'!L136,0,IF($C$5*'Tariffs Jan2021'!AL136/'Tariffs Jan2021'!AJ136&lt;='Tariffs Jan2021'!M136,($C$5*'Tariffs Jan2021'!AL136/'Tariffs Jan2021'!AJ136-'Tariffs Jan2021'!L136)*('Tariffs Jan2021'!X136/100)*'Tariffs Jan2021'!AJ136,('Tariffs Jan2021'!M136-'Tariffs Jan2021'!L136)*('Tariffs Jan2021'!X136/100)*'Tariffs Jan2021'!AJ136))</f>
        <v>0</v>
      </c>
      <c r="N142" s="548">
        <f>IF(($C$5*'Tariffs Jan2021'!AL136/'Tariffs Jan2021'!AJ136&gt;'Tariffs Jan2021'!M136),($C$5*'Tariffs Jan2021'!AL136/'Tariffs Jan2021'!AJ136-'Tariffs Jan2021'!M136)*'Tariffs Jan2021'!Y136/100*'Tariffs Jan2021'!AJ136,0)</f>
        <v>0</v>
      </c>
      <c r="O142" s="288">
        <f t="shared" si="93"/>
        <v>857.3735999999999</v>
      </c>
      <c r="P142" s="505">
        <f t="shared" si="104"/>
        <v>943.11095999999998</v>
      </c>
      <c r="Q142" s="288">
        <f t="shared" si="94"/>
        <v>1222.3735999999999</v>
      </c>
      <c r="R142" s="290">
        <f t="shared" si="95"/>
        <v>1344.61096</v>
      </c>
      <c r="S142" s="287">
        <f>'Tariffs Jan2021'!AN136</f>
        <v>0</v>
      </c>
      <c r="T142" s="287">
        <f>'Tariffs Jan2021'!AO136</f>
        <v>0</v>
      </c>
      <c r="U142" s="287">
        <f>'Tariffs Jan2021'!AP136</f>
        <v>0</v>
      </c>
      <c r="V142" s="287">
        <f>'Tariffs Jan2021'!AQ136</f>
        <v>0</v>
      </c>
      <c r="W142" s="540" t="str">
        <f t="shared" si="91"/>
        <v>No discount</v>
      </c>
      <c r="X142" s="541" t="str">
        <f t="shared" si="92"/>
        <v>Exclusive</v>
      </c>
      <c r="Y142" s="543">
        <f t="shared" si="105"/>
        <v>1222.3735999999999</v>
      </c>
      <c r="Z142" s="544">
        <f t="shared" si="106"/>
        <v>1222.3735999999999</v>
      </c>
      <c r="AA142" s="545">
        <f t="shared" si="78"/>
        <v>1344.61096</v>
      </c>
      <c r="AB142" s="545">
        <f t="shared" si="78"/>
        <v>1344.61096</v>
      </c>
      <c r="AC142" s="292">
        <f>'Tariffs Jan2021'!AZ136</f>
        <v>0</v>
      </c>
      <c r="AD142" s="292" t="str">
        <f>'Tariffs Jan2021'!BA136</f>
        <v>n</v>
      </c>
      <c r="AE142" s="293" t="str">
        <f>'Tariffs Jan2021'!BJ136</f>
        <v>Y</v>
      </c>
      <c r="AF142" s="516"/>
      <c r="AG142" s="516"/>
      <c r="AH142" s="516"/>
      <c r="AI142" s="516"/>
      <c r="AJ142" s="516"/>
      <c r="AK142" s="516"/>
      <c r="AL142" s="516"/>
      <c r="AM142" s="516"/>
      <c r="AN142" s="516"/>
      <c r="AO142" s="516"/>
      <c r="AP142" s="516"/>
      <c r="AQ142" s="516"/>
      <c r="AR142" s="516"/>
      <c r="AS142" s="516"/>
      <c r="AT142" s="516"/>
      <c r="AU142" s="516"/>
      <c r="AV142" s="516"/>
      <c r="AW142" s="516"/>
      <c r="AX142" s="516"/>
      <c r="AY142" s="516"/>
      <c r="AZ142" s="516"/>
    </row>
    <row r="143" spans="1:52" ht="14" x14ac:dyDescent="0.15">
      <c r="A143" s="518"/>
      <c r="B143" s="518"/>
      <c r="C143" s="518"/>
      <c r="D143" s="518"/>
      <c r="E143" s="520"/>
      <c r="F143" s="520"/>
      <c r="G143" s="518"/>
      <c r="H143" s="518"/>
      <c r="I143" s="518"/>
      <c r="J143" s="518"/>
      <c r="K143" s="518"/>
      <c r="L143" s="518"/>
      <c r="M143" s="518"/>
      <c r="N143" s="518"/>
      <c r="O143" s="518"/>
      <c r="P143" s="518"/>
      <c r="Q143" s="518"/>
      <c r="R143" s="518"/>
      <c r="S143" s="518"/>
      <c r="T143" s="518"/>
      <c r="U143" s="518"/>
      <c r="V143" s="518"/>
      <c r="W143" s="518"/>
      <c r="X143" s="518"/>
      <c r="Y143" s="518"/>
      <c r="Z143" s="518"/>
      <c r="AA143" s="518"/>
      <c r="AB143" s="518"/>
      <c r="AC143" s="518"/>
      <c r="AD143" s="518"/>
      <c r="AE143" s="518"/>
      <c r="AF143" s="516"/>
      <c r="AG143" s="516"/>
      <c r="AH143" s="516"/>
      <c r="AI143" s="516"/>
      <c r="AJ143" s="516"/>
      <c r="AK143" s="516"/>
      <c r="AL143" s="516"/>
      <c r="AM143" s="516"/>
      <c r="AN143" s="516"/>
      <c r="AO143" s="516"/>
      <c r="AP143" s="516"/>
      <c r="AQ143" s="516"/>
      <c r="AR143" s="516"/>
      <c r="AS143" s="516"/>
      <c r="AT143" s="516"/>
      <c r="AU143" s="516"/>
      <c r="AV143" s="516"/>
      <c r="AW143" s="516"/>
      <c r="AX143" s="516"/>
      <c r="AY143" s="516"/>
      <c r="AZ143" s="516"/>
    </row>
    <row r="144" spans="1:52" ht="14" x14ac:dyDescent="0.15">
      <c r="A144" s="518"/>
      <c r="B144" s="518"/>
      <c r="C144" s="518"/>
      <c r="D144" s="518"/>
      <c r="E144" s="520"/>
      <c r="F144" s="520"/>
      <c r="G144" s="518"/>
      <c r="H144" s="518"/>
      <c r="I144" s="518"/>
      <c r="J144" s="518"/>
      <c r="K144" s="518"/>
      <c r="L144" s="518"/>
      <c r="M144" s="518"/>
      <c r="N144" s="518"/>
      <c r="O144" s="518"/>
      <c r="P144" s="518"/>
      <c r="Q144" s="518"/>
      <c r="R144" s="518"/>
      <c r="S144" s="518"/>
      <c r="T144" s="518"/>
      <c r="U144" s="518"/>
      <c r="V144" s="518"/>
      <c r="W144" s="518"/>
      <c r="X144" s="518"/>
      <c r="Y144" s="518"/>
      <c r="Z144" s="518"/>
      <c r="AA144" s="518"/>
      <c r="AB144" s="518"/>
      <c r="AC144" s="518"/>
      <c r="AD144" s="518"/>
      <c r="AE144" s="518"/>
      <c r="AF144" s="516"/>
      <c r="AG144" s="516"/>
      <c r="AH144" s="516"/>
      <c r="AI144" s="516"/>
      <c r="AJ144" s="516"/>
      <c r="AK144" s="516"/>
      <c r="AL144" s="516"/>
      <c r="AM144" s="516"/>
      <c r="AN144" s="516"/>
      <c r="AO144" s="516"/>
      <c r="AP144" s="516"/>
      <c r="AQ144" s="516"/>
      <c r="AR144" s="516"/>
      <c r="AS144" s="516"/>
      <c r="AT144" s="516"/>
      <c r="AU144" s="516"/>
      <c r="AV144" s="516"/>
      <c r="AW144" s="516"/>
      <c r="AX144" s="516"/>
      <c r="AY144" s="516"/>
      <c r="AZ144" s="516"/>
    </row>
    <row r="145" spans="1:52" ht="14" x14ac:dyDescent="0.15">
      <c r="A145" s="518"/>
      <c r="B145" s="518"/>
      <c r="C145" s="518"/>
      <c r="D145" s="518"/>
      <c r="E145" s="518"/>
      <c r="F145" s="518"/>
      <c r="G145" s="518"/>
      <c r="H145" s="518"/>
      <c r="I145" s="518"/>
      <c r="J145" s="518"/>
      <c r="K145" s="518"/>
      <c r="L145" s="518"/>
      <c r="M145" s="518"/>
      <c r="N145" s="518"/>
      <c r="O145" s="518"/>
      <c r="P145" s="518"/>
      <c r="Q145" s="518"/>
      <c r="R145" s="518"/>
      <c r="S145" s="518"/>
      <c r="T145" s="518"/>
      <c r="U145" s="518"/>
      <c r="V145" s="518"/>
      <c r="W145" s="518"/>
      <c r="X145" s="518"/>
      <c r="Y145" s="518"/>
      <c r="Z145" s="518"/>
      <c r="AA145" s="518"/>
      <c r="AB145" s="518"/>
      <c r="AC145" s="518"/>
      <c r="AD145" s="518"/>
      <c r="AE145" s="518"/>
      <c r="AF145" s="516"/>
      <c r="AG145" s="516"/>
      <c r="AH145" s="516"/>
      <c r="AI145" s="516"/>
      <c r="AJ145" s="516"/>
      <c r="AK145" s="516"/>
      <c r="AL145" s="516"/>
      <c r="AM145" s="516"/>
      <c r="AN145" s="516"/>
      <c r="AO145" s="516"/>
      <c r="AP145" s="516"/>
      <c r="AQ145" s="516"/>
      <c r="AR145" s="516"/>
      <c r="AS145" s="516"/>
      <c r="AT145" s="516"/>
      <c r="AU145" s="516"/>
      <c r="AV145" s="516"/>
      <c r="AW145" s="516"/>
      <c r="AX145" s="516"/>
      <c r="AY145" s="516"/>
      <c r="AZ145" s="516"/>
    </row>
    <row r="146" spans="1:52" ht="14" x14ac:dyDescent="0.15">
      <c r="A146" s="518"/>
      <c r="B146" s="518"/>
      <c r="C146" s="518"/>
      <c r="D146" s="518"/>
      <c r="E146" s="518"/>
      <c r="F146" s="518"/>
      <c r="G146" s="518"/>
      <c r="H146" s="518"/>
      <c r="I146" s="518"/>
      <c r="J146" s="518"/>
      <c r="K146" s="518"/>
      <c r="L146" s="518"/>
      <c r="M146" s="518"/>
      <c r="N146" s="518"/>
      <c r="O146" s="518"/>
      <c r="P146" s="518"/>
      <c r="Q146" s="518"/>
      <c r="R146" s="518"/>
      <c r="S146" s="518"/>
      <c r="T146" s="518"/>
      <c r="U146" s="518"/>
      <c r="V146" s="518"/>
      <c r="W146" s="518"/>
      <c r="X146" s="518"/>
      <c r="Y146" s="518"/>
      <c r="Z146" s="518"/>
      <c r="AA146" s="518"/>
      <c r="AB146" s="518"/>
      <c r="AC146" s="518"/>
      <c r="AD146" s="518"/>
      <c r="AE146" s="518"/>
      <c r="AF146" s="516"/>
      <c r="AG146" s="516"/>
      <c r="AH146" s="516"/>
      <c r="AI146" s="516"/>
      <c r="AJ146" s="516"/>
      <c r="AK146" s="516"/>
      <c r="AL146" s="516"/>
      <c r="AM146" s="516"/>
      <c r="AN146" s="516"/>
      <c r="AO146" s="516"/>
      <c r="AP146" s="516"/>
      <c r="AQ146" s="516"/>
      <c r="AR146" s="516"/>
      <c r="AS146" s="516"/>
      <c r="AT146" s="516"/>
      <c r="AU146" s="516"/>
      <c r="AV146" s="516"/>
      <c r="AW146" s="516"/>
      <c r="AX146" s="516"/>
      <c r="AY146" s="516"/>
      <c r="AZ146" s="516"/>
    </row>
    <row r="147" spans="1:52" ht="14" x14ac:dyDescent="0.15">
      <c r="A147" s="518"/>
      <c r="B147" s="518"/>
      <c r="C147" s="518"/>
      <c r="D147" s="518"/>
      <c r="E147" s="518"/>
      <c r="F147" s="518"/>
      <c r="G147" s="518"/>
      <c r="H147" s="518"/>
      <c r="I147" s="518"/>
      <c r="J147" s="518"/>
      <c r="K147" s="518"/>
      <c r="L147" s="518"/>
      <c r="M147" s="518"/>
      <c r="N147" s="518"/>
      <c r="O147" s="518"/>
      <c r="P147" s="518"/>
      <c r="Q147" s="518"/>
      <c r="R147" s="518"/>
      <c r="S147" s="518"/>
      <c r="T147" s="518"/>
      <c r="U147" s="518"/>
      <c r="V147" s="518"/>
      <c r="W147" s="518"/>
      <c r="X147" s="518"/>
      <c r="Y147" s="518"/>
      <c r="Z147" s="518"/>
      <c r="AA147" s="518"/>
      <c r="AB147" s="518"/>
      <c r="AC147" s="518"/>
      <c r="AD147" s="518"/>
      <c r="AE147" s="518"/>
      <c r="AF147" s="516"/>
      <c r="AG147" s="516"/>
      <c r="AH147" s="516"/>
      <c r="AI147" s="516"/>
      <c r="AJ147" s="516"/>
      <c r="AK147" s="516"/>
      <c r="AL147" s="516"/>
      <c r="AM147" s="516"/>
      <c r="AN147" s="516"/>
      <c r="AO147" s="516"/>
      <c r="AP147" s="516"/>
      <c r="AQ147" s="516"/>
      <c r="AR147" s="516"/>
      <c r="AS147" s="516"/>
      <c r="AT147" s="516"/>
      <c r="AU147" s="516"/>
      <c r="AV147" s="516"/>
      <c r="AW147" s="516"/>
      <c r="AX147" s="516"/>
      <c r="AY147" s="516"/>
      <c r="AZ147" s="516"/>
    </row>
    <row r="148" spans="1:52" ht="14" x14ac:dyDescent="0.15">
      <c r="A148" s="518"/>
      <c r="B148" s="518"/>
      <c r="C148" s="518"/>
      <c r="D148" s="518"/>
      <c r="E148" s="518"/>
      <c r="F148" s="518"/>
      <c r="G148" s="518"/>
      <c r="H148" s="518"/>
      <c r="I148" s="518"/>
      <c r="J148" s="518"/>
      <c r="K148" s="518"/>
      <c r="L148" s="518"/>
      <c r="M148" s="518"/>
      <c r="N148" s="518"/>
      <c r="O148" s="518"/>
      <c r="P148" s="518"/>
      <c r="Q148" s="518"/>
      <c r="R148" s="518"/>
      <c r="S148" s="518"/>
      <c r="T148" s="518"/>
      <c r="U148" s="518"/>
      <c r="V148" s="518"/>
      <c r="W148" s="518"/>
      <c r="X148" s="518"/>
      <c r="Y148" s="518"/>
      <c r="Z148" s="518"/>
      <c r="AA148" s="518"/>
      <c r="AB148" s="518"/>
      <c r="AC148" s="518"/>
      <c r="AD148" s="518"/>
      <c r="AE148" s="518"/>
      <c r="AF148" s="516"/>
      <c r="AG148" s="516"/>
      <c r="AH148" s="516"/>
      <c r="AI148" s="516"/>
      <c r="AJ148" s="516"/>
      <c r="AK148" s="516"/>
      <c r="AL148" s="516"/>
      <c r="AM148" s="516"/>
      <c r="AN148" s="516"/>
      <c r="AO148" s="516"/>
      <c r="AP148" s="516"/>
      <c r="AQ148" s="516"/>
      <c r="AR148" s="516"/>
      <c r="AS148" s="516"/>
      <c r="AT148" s="516"/>
      <c r="AU148" s="516"/>
      <c r="AV148" s="516"/>
      <c r="AW148" s="516"/>
      <c r="AX148" s="516"/>
      <c r="AY148" s="516"/>
      <c r="AZ148" s="516"/>
    </row>
    <row r="149" spans="1:52" ht="14" x14ac:dyDescent="0.15">
      <c r="A149" s="518"/>
      <c r="B149" s="518"/>
      <c r="C149" s="518"/>
      <c r="D149" s="518"/>
      <c r="E149" s="518"/>
      <c r="F149" s="518"/>
      <c r="G149" s="518"/>
      <c r="H149" s="518"/>
      <c r="I149" s="518"/>
      <c r="J149" s="518"/>
      <c r="K149" s="518"/>
      <c r="L149" s="518"/>
      <c r="M149" s="518"/>
      <c r="N149" s="518"/>
      <c r="O149" s="518"/>
      <c r="P149" s="518"/>
      <c r="Q149" s="518"/>
      <c r="R149" s="518"/>
      <c r="S149" s="518"/>
      <c r="T149" s="518"/>
      <c r="U149" s="518"/>
      <c r="V149" s="518"/>
      <c r="W149" s="518"/>
      <c r="X149" s="518"/>
      <c r="Y149" s="518"/>
      <c r="Z149" s="518"/>
      <c r="AA149" s="518"/>
      <c r="AB149" s="518"/>
      <c r="AC149" s="518"/>
      <c r="AD149" s="518"/>
      <c r="AE149" s="518"/>
      <c r="AF149" s="516"/>
      <c r="AG149" s="516"/>
      <c r="AH149" s="516"/>
      <c r="AI149" s="516"/>
      <c r="AJ149" s="516"/>
      <c r="AK149" s="516"/>
      <c r="AL149" s="516"/>
      <c r="AM149" s="516"/>
      <c r="AN149" s="516"/>
      <c r="AO149" s="516"/>
      <c r="AP149" s="516"/>
      <c r="AQ149" s="516"/>
      <c r="AR149" s="516"/>
      <c r="AS149" s="516"/>
      <c r="AT149" s="516"/>
      <c r="AU149" s="516"/>
      <c r="AV149" s="516"/>
      <c r="AW149" s="516"/>
      <c r="AX149" s="516"/>
      <c r="AY149" s="516"/>
      <c r="AZ149" s="516"/>
    </row>
    <row r="150" spans="1:52" x14ac:dyDescent="0.15">
      <c r="A150" s="518"/>
      <c r="B150" s="518"/>
      <c r="C150" s="518"/>
      <c r="D150" s="518"/>
      <c r="E150" s="518"/>
      <c r="F150" s="518"/>
      <c r="G150" s="518"/>
      <c r="H150" s="518"/>
      <c r="I150" s="518"/>
      <c r="J150" s="518"/>
      <c r="K150" s="518"/>
      <c r="L150" s="518"/>
      <c r="M150" s="518"/>
      <c r="N150" s="518"/>
      <c r="O150" s="518"/>
      <c r="P150" s="518"/>
      <c r="Q150" s="518"/>
      <c r="R150" s="518"/>
      <c r="S150" s="518"/>
      <c r="T150" s="518"/>
      <c r="U150" s="518"/>
      <c r="V150" s="518"/>
      <c r="W150" s="518"/>
      <c r="X150" s="518"/>
      <c r="Y150" s="518"/>
      <c r="Z150" s="518"/>
      <c r="AA150" s="518"/>
      <c r="AB150" s="518"/>
      <c r="AC150" s="518"/>
      <c r="AD150" s="518"/>
      <c r="AE150" s="518"/>
      <c r="AF150" s="518"/>
      <c r="AG150" s="518"/>
      <c r="AH150" s="518"/>
      <c r="AI150" s="518"/>
      <c r="AJ150" s="518"/>
      <c r="AK150" s="518"/>
      <c r="AL150" s="518"/>
      <c r="AM150" s="518"/>
      <c r="AN150" s="518"/>
      <c r="AO150" s="518"/>
      <c r="AP150" s="518"/>
      <c r="AQ150" s="518"/>
      <c r="AR150" s="518"/>
      <c r="AS150" s="518"/>
      <c r="AT150" s="518"/>
      <c r="AU150" s="518"/>
      <c r="AV150" s="518"/>
      <c r="AW150" s="518"/>
      <c r="AX150" s="518"/>
      <c r="AY150" s="518"/>
      <c r="AZ150" s="518"/>
    </row>
    <row r="151" spans="1:52" x14ac:dyDescent="0.15">
      <c r="A151" s="518"/>
      <c r="B151" s="518"/>
      <c r="C151" s="518"/>
      <c r="D151" s="518"/>
      <c r="E151" s="518"/>
      <c r="F151" s="518"/>
      <c r="G151" s="518"/>
      <c r="H151" s="518"/>
      <c r="I151" s="518"/>
      <c r="J151" s="518"/>
      <c r="K151" s="518"/>
      <c r="L151" s="518"/>
      <c r="M151" s="518"/>
      <c r="N151" s="518"/>
      <c r="O151" s="518"/>
      <c r="P151" s="518"/>
      <c r="Q151" s="518"/>
      <c r="R151" s="518"/>
      <c r="S151" s="518"/>
      <c r="T151" s="518"/>
      <c r="U151" s="518"/>
      <c r="V151" s="518"/>
      <c r="W151" s="518"/>
      <c r="X151" s="518"/>
      <c r="Y151" s="518"/>
      <c r="Z151" s="518"/>
      <c r="AA151" s="518"/>
      <c r="AB151" s="518"/>
      <c r="AC151" s="518"/>
      <c r="AD151" s="518"/>
      <c r="AE151" s="518"/>
      <c r="AF151" s="518"/>
      <c r="AG151" s="518"/>
      <c r="AH151" s="518"/>
      <c r="AI151" s="518"/>
      <c r="AJ151" s="518"/>
      <c r="AK151" s="518"/>
      <c r="AL151" s="518"/>
      <c r="AM151" s="518"/>
      <c r="AN151" s="518"/>
      <c r="AO151" s="518"/>
      <c r="AP151" s="518"/>
      <c r="AQ151" s="518"/>
      <c r="AR151" s="518"/>
      <c r="AS151" s="518"/>
      <c r="AT151" s="518"/>
      <c r="AU151" s="518"/>
      <c r="AV151" s="518"/>
      <c r="AW151" s="518"/>
      <c r="AX151" s="518"/>
      <c r="AY151" s="518"/>
      <c r="AZ151" s="518"/>
    </row>
    <row r="152" spans="1:52" x14ac:dyDescent="0.15">
      <c r="A152" s="518"/>
      <c r="B152" s="518"/>
      <c r="C152" s="518"/>
      <c r="D152" s="518"/>
      <c r="E152" s="518"/>
      <c r="F152" s="518"/>
      <c r="G152" s="518"/>
      <c r="H152" s="518"/>
      <c r="I152" s="518"/>
      <c r="J152" s="518"/>
      <c r="K152" s="518"/>
      <c r="L152" s="518"/>
      <c r="M152" s="518"/>
      <c r="N152" s="518"/>
      <c r="O152" s="518"/>
      <c r="P152" s="518"/>
      <c r="Q152" s="518"/>
      <c r="R152" s="518"/>
      <c r="S152" s="518"/>
      <c r="T152" s="518"/>
      <c r="U152" s="518"/>
      <c r="V152" s="518"/>
      <c r="W152" s="518"/>
      <c r="X152" s="518"/>
      <c r="Y152" s="518"/>
      <c r="Z152" s="518"/>
      <c r="AA152" s="518"/>
      <c r="AB152" s="518"/>
      <c r="AC152" s="518"/>
      <c r="AD152" s="518"/>
      <c r="AE152" s="518"/>
      <c r="AF152" s="518"/>
      <c r="AG152" s="518"/>
      <c r="AH152" s="518"/>
      <c r="AI152" s="518"/>
      <c r="AJ152" s="518"/>
      <c r="AK152" s="518"/>
      <c r="AL152" s="518"/>
      <c r="AM152" s="518"/>
      <c r="AN152" s="518"/>
      <c r="AO152" s="518"/>
      <c r="AP152" s="518"/>
      <c r="AQ152" s="518"/>
      <c r="AR152" s="518"/>
      <c r="AS152" s="518"/>
      <c r="AT152" s="518"/>
      <c r="AU152" s="518"/>
      <c r="AV152" s="518"/>
      <c r="AW152" s="518"/>
      <c r="AX152" s="518"/>
      <c r="AY152" s="518"/>
      <c r="AZ152" s="518"/>
    </row>
    <row r="153" spans="1:52" x14ac:dyDescent="0.15">
      <c r="A153" s="518"/>
      <c r="B153" s="518"/>
      <c r="C153" s="518"/>
      <c r="D153" s="518"/>
      <c r="E153" s="518"/>
      <c r="F153" s="518"/>
      <c r="G153" s="518"/>
      <c r="H153" s="518"/>
      <c r="I153" s="518"/>
      <c r="J153" s="518"/>
      <c r="K153" s="518"/>
      <c r="L153" s="518"/>
      <c r="M153" s="518"/>
      <c r="N153" s="518"/>
      <c r="O153" s="518"/>
      <c r="P153" s="518"/>
      <c r="Q153" s="518"/>
      <c r="R153" s="518"/>
      <c r="S153" s="518"/>
      <c r="T153" s="518"/>
      <c r="U153" s="518"/>
      <c r="V153" s="518"/>
      <c r="W153" s="518"/>
      <c r="X153" s="518"/>
      <c r="Y153" s="518"/>
      <c r="Z153" s="518"/>
      <c r="AA153" s="518"/>
      <c r="AB153" s="518"/>
      <c r="AC153" s="518"/>
      <c r="AD153" s="518"/>
      <c r="AE153" s="518"/>
      <c r="AF153" s="518"/>
      <c r="AG153" s="518"/>
      <c r="AH153" s="518"/>
      <c r="AI153" s="518"/>
      <c r="AJ153" s="518"/>
      <c r="AK153" s="518"/>
      <c r="AL153" s="518"/>
      <c r="AM153" s="518"/>
      <c r="AN153" s="518"/>
      <c r="AO153" s="518"/>
      <c r="AP153" s="518"/>
      <c r="AQ153" s="518"/>
      <c r="AR153" s="518"/>
      <c r="AS153" s="518"/>
      <c r="AT153" s="518"/>
      <c r="AU153" s="518"/>
      <c r="AV153" s="518"/>
      <c r="AW153" s="518"/>
      <c r="AX153" s="518"/>
      <c r="AY153" s="518"/>
      <c r="AZ153" s="518"/>
    </row>
    <row r="154" spans="1:52" x14ac:dyDescent="0.15">
      <c r="A154" s="518"/>
      <c r="B154" s="518"/>
      <c r="C154" s="518"/>
      <c r="D154" s="518"/>
      <c r="E154" s="518"/>
      <c r="F154" s="518"/>
      <c r="G154" s="518"/>
      <c r="H154" s="518"/>
      <c r="I154" s="518"/>
      <c r="J154" s="518"/>
      <c r="K154" s="518"/>
      <c r="L154" s="518"/>
      <c r="M154" s="518"/>
      <c r="N154" s="518"/>
      <c r="O154" s="518"/>
      <c r="P154" s="518"/>
      <c r="Q154" s="518"/>
      <c r="R154" s="518"/>
      <c r="S154" s="518"/>
      <c r="T154" s="518"/>
      <c r="U154" s="518"/>
      <c r="V154" s="518"/>
      <c r="W154" s="518"/>
      <c r="X154" s="518"/>
      <c r="Y154" s="518"/>
      <c r="Z154" s="518"/>
      <c r="AA154" s="518"/>
      <c r="AB154" s="518"/>
      <c r="AC154" s="518"/>
      <c r="AD154" s="518"/>
      <c r="AE154" s="518"/>
      <c r="AF154" s="518"/>
      <c r="AG154" s="518"/>
      <c r="AH154" s="518"/>
      <c r="AI154" s="518"/>
      <c r="AJ154" s="518"/>
      <c r="AK154" s="518"/>
      <c r="AL154" s="518"/>
      <c r="AM154" s="518"/>
      <c r="AN154" s="518"/>
      <c r="AO154" s="518"/>
      <c r="AP154" s="518"/>
      <c r="AQ154" s="518"/>
      <c r="AR154" s="518"/>
      <c r="AS154" s="518"/>
      <c r="AT154" s="518"/>
      <c r="AU154" s="518"/>
      <c r="AV154" s="518"/>
      <c r="AW154" s="518"/>
      <c r="AX154" s="518"/>
      <c r="AY154" s="518"/>
      <c r="AZ154" s="518"/>
    </row>
    <row r="155" spans="1:52" x14ac:dyDescent="0.15">
      <c r="A155" s="518"/>
      <c r="B155" s="518"/>
      <c r="C155" s="518"/>
      <c r="D155" s="518"/>
      <c r="E155" s="518"/>
      <c r="F155" s="518"/>
      <c r="G155" s="518"/>
      <c r="H155" s="518"/>
      <c r="I155" s="518"/>
      <c r="J155" s="518"/>
      <c r="K155" s="518"/>
      <c r="L155" s="518"/>
      <c r="M155" s="518"/>
      <c r="N155" s="518"/>
      <c r="O155" s="518"/>
      <c r="P155" s="518"/>
      <c r="Q155" s="518"/>
      <c r="R155" s="518"/>
      <c r="S155" s="518"/>
      <c r="T155" s="518"/>
      <c r="U155" s="518"/>
      <c r="V155" s="518"/>
      <c r="W155" s="518"/>
      <c r="X155" s="518"/>
      <c r="Y155" s="518"/>
      <c r="Z155" s="518"/>
      <c r="AA155" s="518"/>
      <c r="AB155" s="518"/>
      <c r="AC155" s="518"/>
      <c r="AD155" s="518"/>
      <c r="AE155" s="518"/>
      <c r="AF155" s="518"/>
      <c r="AG155" s="518"/>
      <c r="AH155" s="518"/>
      <c r="AI155" s="518"/>
      <c r="AJ155" s="518"/>
      <c r="AK155" s="518"/>
      <c r="AL155" s="518"/>
      <c r="AM155" s="518"/>
      <c r="AN155" s="518"/>
      <c r="AO155" s="518"/>
      <c r="AP155" s="518"/>
      <c r="AQ155" s="518"/>
      <c r="AR155" s="518"/>
      <c r="AS155" s="518"/>
      <c r="AT155" s="518"/>
      <c r="AU155" s="518"/>
      <c r="AV155" s="518"/>
      <c r="AW155" s="518"/>
      <c r="AX155" s="518"/>
      <c r="AY155" s="518"/>
      <c r="AZ155" s="518"/>
    </row>
    <row r="156" spans="1:52" x14ac:dyDescent="0.15">
      <c r="A156" s="518"/>
      <c r="B156" s="518"/>
      <c r="C156" s="518"/>
      <c r="D156" s="518"/>
      <c r="E156" s="518"/>
      <c r="F156" s="518"/>
      <c r="G156" s="518"/>
      <c r="H156" s="518"/>
      <c r="I156" s="518"/>
      <c r="J156" s="518"/>
      <c r="K156" s="518"/>
      <c r="L156" s="518"/>
      <c r="M156" s="518"/>
      <c r="N156" s="518"/>
      <c r="O156" s="518"/>
      <c r="P156" s="518"/>
      <c r="Q156" s="518"/>
      <c r="R156" s="518"/>
      <c r="S156" s="518"/>
      <c r="T156" s="518"/>
      <c r="U156" s="518"/>
      <c r="V156" s="518"/>
      <c r="W156" s="518"/>
      <c r="X156" s="518"/>
      <c r="Y156" s="518"/>
      <c r="Z156" s="518"/>
      <c r="AA156" s="518"/>
      <c r="AB156" s="518"/>
      <c r="AC156" s="518"/>
      <c r="AD156" s="518"/>
      <c r="AE156" s="518"/>
      <c r="AF156" s="518"/>
      <c r="AG156" s="518"/>
      <c r="AH156" s="518"/>
      <c r="AI156" s="518"/>
      <c r="AJ156" s="518"/>
      <c r="AK156" s="518"/>
      <c r="AL156" s="518"/>
      <c r="AM156" s="518"/>
      <c r="AN156" s="518"/>
      <c r="AO156" s="518"/>
      <c r="AP156" s="518"/>
      <c r="AQ156" s="518"/>
      <c r="AR156" s="518"/>
      <c r="AS156" s="518"/>
      <c r="AT156" s="518"/>
      <c r="AU156" s="518"/>
      <c r="AV156" s="518"/>
      <c r="AW156" s="518"/>
      <c r="AX156" s="518"/>
      <c r="AY156" s="518"/>
      <c r="AZ156" s="518"/>
    </row>
    <row r="157" spans="1:52" x14ac:dyDescent="0.15">
      <c r="A157" s="518"/>
      <c r="B157" s="518"/>
      <c r="C157" s="518"/>
      <c r="D157" s="518"/>
      <c r="E157" s="518"/>
      <c r="F157" s="518"/>
      <c r="G157" s="518"/>
      <c r="H157" s="518"/>
      <c r="I157" s="518"/>
      <c r="J157" s="518"/>
      <c r="K157" s="518"/>
      <c r="L157" s="518"/>
      <c r="M157" s="518"/>
      <c r="N157" s="518"/>
      <c r="O157" s="518"/>
      <c r="P157" s="518"/>
      <c r="Q157" s="518"/>
      <c r="R157" s="518"/>
      <c r="S157" s="518"/>
      <c r="T157" s="518"/>
      <c r="U157" s="518"/>
      <c r="V157" s="518"/>
      <c r="W157" s="518"/>
      <c r="X157" s="518"/>
      <c r="Y157" s="518"/>
      <c r="Z157" s="518"/>
      <c r="AA157" s="518"/>
      <c r="AB157" s="518"/>
      <c r="AC157" s="518"/>
      <c r="AD157" s="518"/>
      <c r="AE157" s="518"/>
      <c r="AF157" s="518"/>
      <c r="AG157" s="518"/>
      <c r="AH157" s="518"/>
      <c r="AI157" s="518"/>
      <c r="AJ157" s="518"/>
      <c r="AK157" s="518"/>
      <c r="AL157" s="518"/>
      <c r="AM157" s="518"/>
      <c r="AN157" s="518"/>
      <c r="AO157" s="518"/>
      <c r="AP157" s="518"/>
      <c r="AQ157" s="518"/>
      <c r="AR157" s="518"/>
      <c r="AS157" s="518"/>
      <c r="AT157" s="518"/>
      <c r="AU157" s="518"/>
      <c r="AV157" s="518"/>
      <c r="AW157" s="518"/>
      <c r="AX157" s="518"/>
      <c r="AY157" s="518"/>
      <c r="AZ157" s="518"/>
    </row>
    <row r="158" spans="1:52" x14ac:dyDescent="0.15">
      <c r="A158" s="518"/>
      <c r="B158" s="518"/>
      <c r="C158" s="518"/>
      <c r="D158" s="518"/>
      <c r="E158" s="518"/>
      <c r="F158" s="518"/>
      <c r="G158" s="518"/>
      <c r="H158" s="518"/>
      <c r="I158" s="518"/>
      <c r="J158" s="518"/>
      <c r="K158" s="518"/>
      <c r="L158" s="518"/>
      <c r="M158" s="518"/>
      <c r="N158" s="518"/>
      <c r="O158" s="518"/>
      <c r="P158" s="518"/>
      <c r="Q158" s="518"/>
      <c r="R158" s="518"/>
      <c r="S158" s="518"/>
      <c r="T158" s="518"/>
      <c r="U158" s="518"/>
      <c r="V158" s="518"/>
      <c r="W158" s="518"/>
      <c r="X158" s="518"/>
      <c r="Y158" s="518"/>
      <c r="Z158" s="518"/>
      <c r="AA158" s="518"/>
      <c r="AB158" s="518"/>
      <c r="AC158" s="518"/>
      <c r="AD158" s="518"/>
      <c r="AE158" s="518"/>
      <c r="AF158" s="518"/>
      <c r="AG158" s="518"/>
      <c r="AH158" s="518"/>
      <c r="AI158" s="518"/>
      <c r="AJ158" s="518"/>
      <c r="AK158" s="518"/>
      <c r="AL158" s="518"/>
      <c r="AM158" s="518"/>
      <c r="AN158" s="518"/>
      <c r="AO158" s="518"/>
      <c r="AP158" s="518"/>
      <c r="AQ158" s="518"/>
      <c r="AR158" s="518"/>
      <c r="AS158" s="518"/>
      <c r="AT158" s="518"/>
      <c r="AU158" s="518"/>
      <c r="AV158" s="518"/>
      <c r="AW158" s="518"/>
      <c r="AX158" s="518"/>
      <c r="AY158" s="518"/>
      <c r="AZ158" s="518"/>
    </row>
    <row r="159" spans="1:52" x14ac:dyDescent="0.15">
      <c r="A159" s="518"/>
      <c r="B159" s="518"/>
      <c r="C159" s="518"/>
      <c r="D159" s="518"/>
      <c r="E159" s="518"/>
      <c r="F159" s="518"/>
      <c r="G159" s="518"/>
      <c r="H159" s="518"/>
      <c r="I159" s="518"/>
      <c r="J159" s="518"/>
      <c r="K159" s="518"/>
      <c r="L159" s="518"/>
      <c r="M159" s="518"/>
      <c r="N159" s="518"/>
      <c r="O159" s="518"/>
      <c r="P159" s="518"/>
      <c r="Q159" s="518"/>
      <c r="R159" s="518"/>
      <c r="S159" s="518"/>
      <c r="T159" s="518"/>
      <c r="U159" s="518"/>
      <c r="V159" s="518"/>
      <c r="W159" s="518"/>
      <c r="X159" s="518"/>
      <c r="Y159" s="518"/>
      <c r="Z159" s="518"/>
      <c r="AA159" s="518"/>
      <c r="AB159" s="518"/>
      <c r="AC159" s="518"/>
      <c r="AD159" s="518"/>
      <c r="AE159" s="518"/>
      <c r="AF159" s="518"/>
      <c r="AG159" s="518"/>
      <c r="AH159" s="518"/>
      <c r="AI159" s="518"/>
      <c r="AJ159" s="518"/>
      <c r="AK159" s="518"/>
      <c r="AL159" s="518"/>
      <c r="AM159" s="518"/>
      <c r="AN159" s="518"/>
      <c r="AO159" s="518"/>
      <c r="AP159" s="518"/>
      <c r="AQ159" s="518"/>
      <c r="AR159" s="518"/>
      <c r="AS159" s="518"/>
      <c r="AT159" s="518"/>
      <c r="AU159" s="518"/>
      <c r="AV159" s="518"/>
      <c r="AW159" s="518"/>
      <c r="AX159" s="518"/>
      <c r="AY159" s="518"/>
      <c r="AZ159" s="518"/>
    </row>
    <row r="160" spans="1:52" x14ac:dyDescent="0.15">
      <c r="A160" s="518"/>
      <c r="B160" s="518"/>
      <c r="C160" s="518"/>
      <c r="D160" s="518"/>
      <c r="E160" s="518"/>
      <c r="F160" s="518"/>
      <c r="G160" s="518"/>
      <c r="H160" s="518"/>
      <c r="I160" s="518"/>
      <c r="J160" s="518"/>
      <c r="K160" s="518"/>
      <c r="L160" s="518"/>
      <c r="M160" s="518"/>
      <c r="N160" s="518"/>
      <c r="O160" s="518"/>
      <c r="P160" s="518"/>
      <c r="Q160" s="518"/>
      <c r="R160" s="518"/>
      <c r="S160" s="518"/>
      <c r="T160" s="518"/>
      <c r="U160" s="518"/>
      <c r="V160" s="518"/>
      <c r="W160" s="518"/>
      <c r="X160" s="518"/>
      <c r="Y160" s="518"/>
      <c r="Z160" s="518"/>
      <c r="AA160" s="518"/>
      <c r="AB160" s="518"/>
      <c r="AC160" s="518"/>
      <c r="AD160" s="518"/>
      <c r="AE160" s="518"/>
      <c r="AF160" s="518"/>
      <c r="AG160" s="518"/>
      <c r="AH160" s="518"/>
      <c r="AI160" s="518"/>
      <c r="AJ160" s="518"/>
      <c r="AK160" s="518"/>
      <c r="AL160" s="518"/>
      <c r="AM160" s="518"/>
      <c r="AN160" s="518"/>
      <c r="AO160" s="518"/>
      <c r="AP160" s="518"/>
      <c r="AQ160" s="518"/>
      <c r="AR160" s="518"/>
      <c r="AS160" s="518"/>
      <c r="AT160" s="518"/>
      <c r="AU160" s="518"/>
      <c r="AV160" s="518"/>
      <c r="AW160" s="518"/>
      <c r="AX160" s="518"/>
      <c r="AY160" s="518"/>
      <c r="AZ160" s="518"/>
    </row>
    <row r="161" spans="1:52" x14ac:dyDescent="0.15">
      <c r="A161" s="518"/>
      <c r="B161" s="518"/>
      <c r="C161" s="518"/>
      <c r="D161" s="518"/>
      <c r="E161" s="518"/>
      <c r="F161" s="518"/>
      <c r="G161" s="518"/>
      <c r="H161" s="518"/>
      <c r="I161" s="518"/>
      <c r="J161" s="518"/>
      <c r="K161" s="518"/>
      <c r="L161" s="518"/>
      <c r="M161" s="518"/>
      <c r="N161" s="518"/>
      <c r="O161" s="518"/>
      <c r="P161" s="518"/>
      <c r="Q161" s="518"/>
      <c r="R161" s="518"/>
      <c r="S161" s="518"/>
      <c r="T161" s="518"/>
      <c r="U161" s="518"/>
      <c r="V161" s="518"/>
      <c r="W161" s="518"/>
      <c r="X161" s="518"/>
      <c r="Y161" s="518"/>
      <c r="Z161" s="518"/>
      <c r="AA161" s="518"/>
      <c r="AB161" s="518"/>
      <c r="AC161" s="518"/>
      <c r="AD161" s="518"/>
      <c r="AE161" s="518"/>
      <c r="AF161" s="518"/>
      <c r="AG161" s="518"/>
      <c r="AH161" s="518"/>
      <c r="AI161" s="518"/>
      <c r="AJ161" s="518"/>
      <c r="AK161" s="518"/>
      <c r="AL161" s="518"/>
      <c r="AM161" s="518"/>
      <c r="AN161" s="518"/>
      <c r="AO161" s="518"/>
      <c r="AP161" s="518"/>
      <c r="AQ161" s="518"/>
      <c r="AR161" s="518"/>
      <c r="AS161" s="518"/>
      <c r="AT161" s="518"/>
      <c r="AU161" s="518"/>
      <c r="AV161" s="518"/>
      <c r="AW161" s="518"/>
      <c r="AX161" s="518"/>
      <c r="AY161" s="518"/>
      <c r="AZ161" s="518"/>
    </row>
    <row r="162" spans="1:52" x14ac:dyDescent="0.15">
      <c r="A162" s="518"/>
      <c r="B162" s="518"/>
      <c r="C162" s="518"/>
      <c r="D162" s="518"/>
      <c r="E162" s="518"/>
      <c r="F162" s="518"/>
      <c r="G162" s="518"/>
      <c r="H162" s="518"/>
      <c r="I162" s="518"/>
      <c r="J162" s="518"/>
      <c r="K162" s="518"/>
      <c r="L162" s="518"/>
      <c r="M162" s="518"/>
      <c r="N162" s="518"/>
      <c r="O162" s="518"/>
      <c r="P162" s="518"/>
      <c r="Q162" s="518"/>
      <c r="R162" s="518"/>
      <c r="S162" s="518"/>
      <c r="T162" s="518"/>
      <c r="U162" s="518"/>
      <c r="V162" s="518"/>
      <c r="W162" s="518"/>
      <c r="X162" s="518"/>
      <c r="Y162" s="518"/>
      <c r="Z162" s="518"/>
      <c r="AA162" s="518"/>
      <c r="AB162" s="518"/>
      <c r="AC162" s="518"/>
      <c r="AD162" s="518"/>
      <c r="AE162" s="518"/>
      <c r="AF162" s="518"/>
      <c r="AG162" s="518"/>
      <c r="AH162" s="518"/>
      <c r="AI162" s="518"/>
      <c r="AJ162" s="518"/>
      <c r="AK162" s="518"/>
      <c r="AL162" s="518"/>
      <c r="AM162" s="518"/>
      <c r="AN162" s="518"/>
      <c r="AO162" s="518"/>
      <c r="AP162" s="518"/>
      <c r="AQ162" s="518"/>
      <c r="AR162" s="518"/>
      <c r="AS162" s="518"/>
      <c r="AT162" s="518"/>
      <c r="AU162" s="518"/>
      <c r="AV162" s="518"/>
      <c r="AW162" s="518"/>
      <c r="AX162" s="518"/>
      <c r="AY162" s="518"/>
      <c r="AZ162" s="518"/>
    </row>
    <row r="163" spans="1:52" x14ac:dyDescent="0.15">
      <c r="A163" s="518"/>
      <c r="B163" s="518"/>
      <c r="C163" s="518"/>
      <c r="D163" s="518"/>
      <c r="E163" s="518"/>
      <c r="F163" s="518"/>
      <c r="G163" s="518"/>
      <c r="H163" s="518"/>
      <c r="I163" s="518"/>
      <c r="J163" s="518"/>
      <c r="K163" s="518"/>
      <c r="L163" s="518"/>
      <c r="M163" s="518"/>
      <c r="N163" s="518"/>
      <c r="O163" s="518"/>
      <c r="P163" s="518"/>
      <c r="Q163" s="518"/>
      <c r="R163" s="518"/>
      <c r="S163" s="518"/>
      <c r="T163" s="518"/>
      <c r="U163" s="518"/>
      <c r="V163" s="518"/>
      <c r="W163" s="518"/>
      <c r="X163" s="518"/>
      <c r="Y163" s="518"/>
      <c r="Z163" s="518"/>
      <c r="AA163" s="518"/>
      <c r="AB163" s="518"/>
      <c r="AC163" s="518"/>
      <c r="AD163" s="518"/>
      <c r="AE163" s="518"/>
      <c r="AF163" s="518"/>
      <c r="AG163" s="518"/>
      <c r="AH163" s="518"/>
      <c r="AI163" s="518"/>
      <c r="AJ163" s="518"/>
      <c r="AK163" s="518"/>
      <c r="AL163" s="518"/>
      <c r="AM163" s="518"/>
      <c r="AN163" s="518"/>
      <c r="AO163" s="518"/>
      <c r="AP163" s="518"/>
      <c r="AQ163" s="518"/>
      <c r="AR163" s="518"/>
      <c r="AS163" s="518"/>
      <c r="AT163" s="518"/>
      <c r="AU163" s="518"/>
      <c r="AV163" s="518"/>
      <c r="AW163" s="518"/>
      <c r="AX163" s="518"/>
      <c r="AY163" s="518"/>
      <c r="AZ163" s="518"/>
    </row>
    <row r="164" spans="1:52" x14ac:dyDescent="0.15">
      <c r="A164" s="518"/>
      <c r="B164" s="518"/>
      <c r="C164" s="518"/>
      <c r="D164" s="518"/>
      <c r="E164" s="518"/>
      <c r="F164" s="518"/>
      <c r="G164" s="518"/>
      <c r="H164" s="518"/>
      <c r="I164" s="518"/>
      <c r="J164" s="518"/>
      <c r="K164" s="518"/>
      <c r="L164" s="518"/>
      <c r="M164" s="518"/>
      <c r="N164" s="518"/>
      <c r="O164" s="518"/>
      <c r="P164" s="518"/>
      <c r="Q164" s="518"/>
      <c r="R164" s="518"/>
      <c r="S164" s="518"/>
      <c r="T164" s="518"/>
      <c r="U164" s="518"/>
      <c r="V164" s="518"/>
      <c r="W164" s="518"/>
      <c r="X164" s="518"/>
      <c r="Y164" s="518"/>
      <c r="Z164" s="518"/>
      <c r="AA164" s="518"/>
      <c r="AB164" s="518"/>
      <c r="AC164" s="518"/>
      <c r="AD164" s="518"/>
      <c r="AE164" s="518"/>
      <c r="AF164" s="518"/>
      <c r="AG164" s="518"/>
      <c r="AH164" s="518"/>
      <c r="AI164" s="518"/>
      <c r="AJ164" s="518"/>
      <c r="AK164" s="518"/>
      <c r="AL164" s="518"/>
      <c r="AM164" s="518"/>
      <c r="AN164" s="518"/>
      <c r="AO164" s="518"/>
      <c r="AP164" s="518"/>
      <c r="AQ164" s="518"/>
      <c r="AR164" s="518"/>
      <c r="AS164" s="518"/>
      <c r="AT164" s="518"/>
      <c r="AU164" s="518"/>
      <c r="AV164" s="518"/>
      <c r="AW164" s="518"/>
      <c r="AX164" s="518"/>
      <c r="AY164" s="518"/>
      <c r="AZ164" s="518"/>
    </row>
    <row r="165" spans="1:52" x14ac:dyDescent="0.15">
      <c r="A165" s="518"/>
      <c r="B165" s="518"/>
      <c r="C165" s="518"/>
      <c r="D165" s="518"/>
      <c r="E165" s="518"/>
      <c r="F165" s="518"/>
      <c r="G165" s="518"/>
      <c r="H165" s="518"/>
      <c r="I165" s="518"/>
      <c r="J165" s="518"/>
      <c r="K165" s="518"/>
      <c r="L165" s="518"/>
      <c r="M165" s="518"/>
      <c r="N165" s="518"/>
      <c r="O165" s="518"/>
      <c r="P165" s="518"/>
      <c r="Q165" s="518"/>
      <c r="R165" s="518"/>
      <c r="S165" s="518"/>
      <c r="T165" s="518"/>
      <c r="U165" s="518"/>
      <c r="V165" s="518"/>
      <c r="W165" s="518"/>
      <c r="X165" s="518"/>
      <c r="Y165" s="518"/>
      <c r="Z165" s="518"/>
      <c r="AA165" s="518"/>
      <c r="AB165" s="518"/>
      <c r="AC165" s="518"/>
      <c r="AD165" s="518"/>
      <c r="AE165" s="518"/>
      <c r="AF165" s="518"/>
      <c r="AG165" s="518"/>
      <c r="AH165" s="518"/>
      <c r="AI165" s="518"/>
      <c r="AJ165" s="518"/>
      <c r="AK165" s="518"/>
      <c r="AL165" s="518"/>
      <c r="AM165" s="518"/>
      <c r="AN165" s="518"/>
      <c r="AO165" s="518"/>
      <c r="AP165" s="518"/>
      <c r="AQ165" s="518"/>
      <c r="AR165" s="518"/>
      <c r="AS165" s="518"/>
      <c r="AT165" s="518"/>
      <c r="AU165" s="518"/>
      <c r="AV165" s="518"/>
      <c r="AW165" s="518"/>
      <c r="AX165" s="518"/>
      <c r="AY165" s="518"/>
      <c r="AZ165" s="518"/>
    </row>
    <row r="166" spans="1:52" x14ac:dyDescent="0.15">
      <c r="A166" s="518"/>
      <c r="B166" s="518"/>
      <c r="C166" s="518"/>
      <c r="D166" s="518"/>
      <c r="E166" s="518"/>
      <c r="F166" s="518"/>
      <c r="G166" s="518"/>
      <c r="H166" s="518"/>
      <c r="I166" s="518"/>
      <c r="J166" s="518"/>
      <c r="K166" s="518"/>
      <c r="L166" s="518"/>
      <c r="M166" s="518"/>
      <c r="N166" s="518"/>
      <c r="O166" s="518"/>
      <c r="P166" s="518"/>
      <c r="Q166" s="518"/>
      <c r="R166" s="518"/>
      <c r="S166" s="518"/>
      <c r="T166" s="518"/>
      <c r="U166" s="518"/>
      <c r="V166" s="518"/>
      <c r="W166" s="518"/>
      <c r="X166" s="518"/>
      <c r="Y166" s="518"/>
      <c r="Z166" s="518"/>
      <c r="AA166" s="518"/>
      <c r="AB166" s="518"/>
      <c r="AC166" s="518"/>
      <c r="AD166" s="518"/>
      <c r="AE166" s="518"/>
      <c r="AF166" s="518"/>
      <c r="AG166" s="518"/>
      <c r="AH166" s="518"/>
      <c r="AI166" s="518"/>
      <c r="AJ166" s="518"/>
      <c r="AK166" s="518"/>
      <c r="AL166" s="518"/>
      <c r="AM166" s="518"/>
      <c r="AN166" s="518"/>
      <c r="AO166" s="518"/>
      <c r="AP166" s="518"/>
      <c r="AQ166" s="518"/>
      <c r="AR166" s="518"/>
      <c r="AS166" s="518"/>
      <c r="AT166" s="518"/>
      <c r="AU166" s="518"/>
      <c r="AV166" s="518"/>
      <c r="AW166" s="518"/>
      <c r="AX166" s="518"/>
      <c r="AY166" s="518"/>
      <c r="AZ166" s="518"/>
    </row>
    <row r="167" spans="1:52" x14ac:dyDescent="0.15">
      <c r="A167" s="518"/>
      <c r="B167" s="518"/>
      <c r="C167" s="518"/>
      <c r="D167" s="518"/>
      <c r="E167" s="518"/>
      <c r="F167" s="518"/>
      <c r="G167" s="518"/>
      <c r="H167" s="518"/>
      <c r="I167" s="518"/>
      <c r="J167" s="518"/>
      <c r="K167" s="518"/>
      <c r="L167" s="518"/>
      <c r="M167" s="518"/>
      <c r="N167" s="518"/>
      <c r="O167" s="518"/>
      <c r="P167" s="518"/>
      <c r="Q167" s="518"/>
      <c r="R167" s="518"/>
      <c r="S167" s="518"/>
      <c r="T167" s="518"/>
      <c r="U167" s="518"/>
      <c r="V167" s="518"/>
      <c r="W167" s="518"/>
      <c r="X167" s="518"/>
      <c r="Y167" s="518"/>
      <c r="Z167" s="518"/>
      <c r="AA167" s="518"/>
      <c r="AB167" s="518"/>
      <c r="AC167" s="518"/>
      <c r="AD167" s="518"/>
      <c r="AE167" s="518"/>
      <c r="AF167" s="518"/>
      <c r="AG167" s="518"/>
      <c r="AH167" s="518"/>
      <c r="AI167" s="518"/>
      <c r="AJ167" s="518"/>
      <c r="AK167" s="518"/>
      <c r="AL167" s="518"/>
      <c r="AM167" s="518"/>
      <c r="AN167" s="518"/>
      <c r="AO167" s="518"/>
      <c r="AP167" s="518"/>
      <c r="AQ167" s="518"/>
      <c r="AR167" s="518"/>
      <c r="AS167" s="518"/>
      <c r="AT167" s="518"/>
      <c r="AU167" s="518"/>
      <c r="AV167" s="518"/>
      <c r="AW167" s="518"/>
      <c r="AX167" s="518"/>
      <c r="AY167" s="518"/>
      <c r="AZ167" s="518"/>
    </row>
    <row r="168" spans="1:52" x14ac:dyDescent="0.15">
      <c r="A168" s="518"/>
      <c r="B168" s="518"/>
      <c r="C168" s="518"/>
      <c r="D168" s="518"/>
      <c r="E168" s="518"/>
      <c r="F168" s="518"/>
      <c r="G168" s="518"/>
      <c r="H168" s="518"/>
      <c r="I168" s="518"/>
      <c r="J168" s="518"/>
      <c r="K168" s="518"/>
      <c r="L168" s="518"/>
      <c r="M168" s="518"/>
      <c r="N168" s="518"/>
      <c r="O168" s="518"/>
      <c r="P168" s="518"/>
      <c r="Q168" s="518"/>
      <c r="R168" s="518"/>
      <c r="S168" s="518"/>
      <c r="T168" s="518"/>
      <c r="U168" s="518"/>
      <c r="V168" s="518"/>
      <c r="W168" s="518"/>
      <c r="X168" s="518"/>
      <c r="Y168" s="518"/>
      <c r="Z168" s="518"/>
      <c r="AA168" s="518"/>
      <c r="AB168" s="518"/>
      <c r="AC168" s="518"/>
      <c r="AD168" s="518"/>
      <c r="AE168" s="518"/>
      <c r="AF168" s="518"/>
      <c r="AG168" s="518"/>
      <c r="AH168" s="518"/>
      <c r="AI168" s="518"/>
      <c r="AJ168" s="518"/>
      <c r="AK168" s="518"/>
      <c r="AL168" s="518"/>
      <c r="AM168" s="518"/>
      <c r="AN168" s="518"/>
      <c r="AO168" s="518"/>
      <c r="AP168" s="518"/>
      <c r="AQ168" s="518"/>
      <c r="AR168" s="518"/>
      <c r="AS168" s="518"/>
      <c r="AT168" s="518"/>
      <c r="AU168" s="518"/>
      <c r="AV168" s="518"/>
      <c r="AW168" s="518"/>
      <c r="AX168" s="518"/>
      <c r="AY168" s="518"/>
      <c r="AZ168" s="518"/>
    </row>
    <row r="169" spans="1:52" x14ac:dyDescent="0.15">
      <c r="A169" s="518"/>
      <c r="B169" s="518"/>
      <c r="C169" s="518"/>
      <c r="D169" s="518"/>
      <c r="E169" s="518"/>
      <c r="F169" s="518"/>
      <c r="G169" s="518"/>
      <c r="H169" s="518"/>
      <c r="I169" s="518"/>
      <c r="J169" s="518"/>
      <c r="K169" s="518"/>
      <c r="L169" s="518"/>
      <c r="M169" s="518"/>
      <c r="N169" s="518"/>
      <c r="O169" s="518"/>
      <c r="P169" s="518"/>
      <c r="Q169" s="518"/>
      <c r="R169" s="518"/>
      <c r="S169" s="518"/>
      <c r="T169" s="518"/>
      <c r="U169" s="518"/>
      <c r="V169" s="518"/>
      <c r="W169" s="518"/>
      <c r="X169" s="518"/>
      <c r="Y169" s="518"/>
      <c r="Z169" s="518"/>
      <c r="AA169" s="518"/>
      <c r="AB169" s="518"/>
      <c r="AC169" s="518"/>
      <c r="AD169" s="518"/>
      <c r="AE169" s="518"/>
      <c r="AF169" s="518"/>
      <c r="AG169" s="518"/>
      <c r="AH169" s="518"/>
      <c r="AI169" s="518"/>
      <c r="AJ169" s="518"/>
      <c r="AK169" s="518"/>
      <c r="AL169" s="518"/>
      <c r="AM169" s="518"/>
      <c r="AN169" s="518"/>
      <c r="AO169" s="518"/>
      <c r="AP169" s="518"/>
      <c r="AQ169" s="518"/>
      <c r="AR169" s="518"/>
      <c r="AS169" s="518"/>
      <c r="AT169" s="518"/>
      <c r="AU169" s="518"/>
      <c r="AV169" s="518"/>
      <c r="AW169" s="518"/>
      <c r="AX169" s="518"/>
      <c r="AY169" s="518"/>
      <c r="AZ169" s="518"/>
    </row>
    <row r="170" spans="1:52" x14ac:dyDescent="0.15">
      <c r="A170" s="518"/>
      <c r="B170" s="518"/>
      <c r="C170" s="518"/>
      <c r="D170" s="518"/>
      <c r="E170" s="518"/>
      <c r="F170" s="518"/>
      <c r="G170" s="518"/>
      <c r="H170" s="518"/>
      <c r="I170" s="518"/>
      <c r="J170" s="518"/>
      <c r="K170" s="518"/>
      <c r="L170" s="518"/>
      <c r="M170" s="518"/>
      <c r="N170" s="518"/>
      <c r="O170" s="518"/>
      <c r="P170" s="518"/>
      <c r="Q170" s="518"/>
      <c r="R170" s="518"/>
      <c r="S170" s="518"/>
      <c r="T170" s="518"/>
      <c r="U170" s="518"/>
      <c r="V170" s="518"/>
      <c r="W170" s="518"/>
      <c r="X170" s="518"/>
      <c r="Y170" s="518"/>
      <c r="Z170" s="518"/>
      <c r="AA170" s="518"/>
      <c r="AB170" s="518"/>
      <c r="AC170" s="518"/>
      <c r="AD170" s="518"/>
      <c r="AE170" s="518"/>
      <c r="AF170" s="518"/>
      <c r="AG170" s="518"/>
      <c r="AH170" s="518"/>
      <c r="AI170" s="518"/>
      <c r="AJ170" s="518"/>
      <c r="AK170" s="518"/>
      <c r="AL170" s="518"/>
      <c r="AM170" s="518"/>
      <c r="AN170" s="518"/>
      <c r="AO170" s="518"/>
      <c r="AP170" s="518"/>
      <c r="AQ170" s="518"/>
      <c r="AR170" s="518"/>
      <c r="AS170" s="518"/>
      <c r="AT170" s="518"/>
      <c r="AU170" s="518"/>
      <c r="AV170" s="518"/>
      <c r="AW170" s="518"/>
      <c r="AX170" s="518"/>
      <c r="AY170" s="518"/>
      <c r="AZ170" s="518"/>
    </row>
    <row r="171" spans="1:52" x14ac:dyDescent="0.15">
      <c r="A171" s="518"/>
      <c r="B171" s="518"/>
      <c r="C171" s="518"/>
      <c r="D171" s="518"/>
      <c r="E171" s="518"/>
      <c r="F171" s="518"/>
      <c r="G171" s="518"/>
      <c r="H171" s="518"/>
      <c r="I171" s="518"/>
      <c r="J171" s="518"/>
      <c r="K171" s="518"/>
      <c r="L171" s="518"/>
      <c r="M171" s="518"/>
      <c r="N171" s="518"/>
      <c r="O171" s="518"/>
      <c r="P171" s="518"/>
      <c r="Q171" s="518"/>
      <c r="R171" s="518"/>
      <c r="S171" s="518"/>
      <c r="T171" s="518"/>
      <c r="U171" s="518"/>
      <c r="V171" s="518"/>
      <c r="W171" s="518"/>
      <c r="X171" s="518"/>
      <c r="Y171" s="518"/>
      <c r="Z171" s="518"/>
      <c r="AA171" s="518"/>
      <c r="AB171" s="518"/>
      <c r="AC171" s="518"/>
      <c r="AD171" s="518"/>
      <c r="AE171" s="518"/>
      <c r="AF171" s="518"/>
      <c r="AG171" s="518"/>
      <c r="AH171" s="518"/>
      <c r="AI171" s="518"/>
      <c r="AJ171" s="518"/>
      <c r="AK171" s="518"/>
      <c r="AL171" s="518"/>
      <c r="AM171" s="518"/>
      <c r="AN171" s="518"/>
      <c r="AO171" s="518"/>
      <c r="AP171" s="518"/>
      <c r="AQ171" s="518"/>
      <c r="AR171" s="518"/>
      <c r="AS171" s="518"/>
      <c r="AT171" s="518"/>
      <c r="AU171" s="518"/>
      <c r="AV171" s="518"/>
      <c r="AW171" s="518"/>
      <c r="AX171" s="518"/>
      <c r="AY171" s="518"/>
      <c r="AZ171" s="518"/>
    </row>
    <row r="172" spans="1:52" x14ac:dyDescent="0.15">
      <c r="A172" s="518"/>
      <c r="B172" s="518"/>
      <c r="C172" s="518"/>
      <c r="D172" s="518"/>
      <c r="E172" s="518"/>
      <c r="F172" s="518"/>
      <c r="G172" s="518"/>
      <c r="H172" s="518"/>
      <c r="I172" s="518"/>
      <c r="J172" s="518"/>
      <c r="K172" s="518"/>
      <c r="L172" s="518"/>
      <c r="M172" s="518"/>
      <c r="N172" s="518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  <c r="Y172" s="518"/>
      <c r="Z172" s="518"/>
      <c r="AA172" s="518"/>
      <c r="AB172" s="518"/>
      <c r="AC172" s="518"/>
      <c r="AD172" s="518"/>
      <c r="AE172" s="518"/>
      <c r="AF172" s="518"/>
      <c r="AG172" s="518"/>
      <c r="AH172" s="518"/>
      <c r="AI172" s="518"/>
      <c r="AJ172" s="518"/>
      <c r="AK172" s="518"/>
      <c r="AL172" s="518"/>
      <c r="AM172" s="518"/>
      <c r="AN172" s="518"/>
      <c r="AO172" s="518"/>
      <c r="AP172" s="518"/>
      <c r="AQ172" s="518"/>
      <c r="AR172" s="518"/>
      <c r="AS172" s="518"/>
      <c r="AT172" s="518"/>
      <c r="AU172" s="518"/>
      <c r="AV172" s="518"/>
      <c r="AW172" s="518"/>
      <c r="AX172" s="518"/>
      <c r="AY172" s="518"/>
      <c r="AZ172" s="518"/>
    </row>
    <row r="173" spans="1:52" x14ac:dyDescent="0.15">
      <c r="A173" s="518"/>
      <c r="B173" s="518"/>
      <c r="C173" s="518"/>
      <c r="D173" s="518"/>
      <c r="E173" s="518"/>
      <c r="F173" s="518"/>
      <c r="G173" s="518"/>
      <c r="H173" s="518"/>
      <c r="I173" s="518"/>
      <c r="J173" s="518"/>
      <c r="K173" s="518"/>
      <c r="L173" s="518"/>
      <c r="M173" s="518"/>
      <c r="N173" s="518"/>
      <c r="O173" s="518"/>
      <c r="P173" s="518"/>
      <c r="Q173" s="518"/>
      <c r="R173" s="518"/>
      <c r="S173" s="518"/>
      <c r="T173" s="518"/>
      <c r="U173" s="518"/>
      <c r="V173" s="518"/>
      <c r="W173" s="518"/>
      <c r="X173" s="518"/>
      <c r="Y173" s="518"/>
      <c r="Z173" s="518"/>
      <c r="AA173" s="518"/>
      <c r="AB173" s="518"/>
      <c r="AC173" s="518"/>
      <c r="AD173" s="518"/>
      <c r="AE173" s="518"/>
      <c r="AF173" s="518"/>
      <c r="AG173" s="518"/>
      <c r="AH173" s="518"/>
      <c r="AI173" s="518"/>
      <c r="AJ173" s="518"/>
      <c r="AK173" s="518"/>
      <c r="AL173" s="518"/>
      <c r="AM173" s="518"/>
      <c r="AN173" s="518"/>
      <c r="AO173" s="518"/>
      <c r="AP173" s="518"/>
      <c r="AQ173" s="518"/>
      <c r="AR173" s="518"/>
      <c r="AS173" s="518"/>
      <c r="AT173" s="518"/>
      <c r="AU173" s="518"/>
      <c r="AV173" s="518"/>
      <c r="AW173" s="518"/>
      <c r="AX173" s="518"/>
      <c r="AY173" s="518"/>
      <c r="AZ173" s="518"/>
    </row>
    <row r="174" spans="1:52" x14ac:dyDescent="0.15">
      <c r="A174" s="518"/>
      <c r="B174" s="518"/>
      <c r="C174" s="518"/>
      <c r="D174" s="518"/>
      <c r="E174" s="518"/>
      <c r="F174" s="518"/>
      <c r="G174" s="518"/>
      <c r="H174" s="518"/>
      <c r="I174" s="518"/>
      <c r="J174" s="518"/>
      <c r="K174" s="518"/>
      <c r="L174" s="518"/>
      <c r="M174" s="518"/>
      <c r="N174" s="518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  <c r="Y174" s="518"/>
      <c r="Z174" s="518"/>
      <c r="AA174" s="518"/>
      <c r="AB174" s="518"/>
      <c r="AC174" s="518"/>
      <c r="AD174" s="518"/>
      <c r="AE174" s="518"/>
      <c r="AF174" s="518"/>
      <c r="AG174" s="518"/>
      <c r="AH174" s="518"/>
      <c r="AI174" s="518"/>
      <c r="AJ174" s="518"/>
      <c r="AK174" s="518"/>
      <c r="AL174" s="518"/>
      <c r="AM174" s="518"/>
      <c r="AN174" s="518"/>
      <c r="AO174" s="518"/>
      <c r="AP174" s="518"/>
      <c r="AQ174" s="518"/>
      <c r="AR174" s="518"/>
      <c r="AS174" s="518"/>
      <c r="AT174" s="518"/>
      <c r="AU174" s="518"/>
      <c r="AV174" s="518"/>
      <c r="AW174" s="518"/>
      <c r="AX174" s="518"/>
      <c r="AY174" s="518"/>
      <c r="AZ174" s="518"/>
    </row>
    <row r="175" spans="1:52" x14ac:dyDescent="0.15">
      <c r="A175" s="518"/>
      <c r="B175" s="518"/>
      <c r="C175" s="518"/>
      <c r="D175" s="518"/>
      <c r="E175" s="518"/>
      <c r="F175" s="518"/>
      <c r="G175" s="518"/>
      <c r="H175" s="518"/>
      <c r="I175" s="518"/>
      <c r="J175" s="518"/>
      <c r="K175" s="518"/>
      <c r="L175" s="518"/>
      <c r="M175" s="518"/>
      <c r="N175" s="518"/>
      <c r="O175" s="518"/>
      <c r="P175" s="518"/>
      <c r="Q175" s="518"/>
      <c r="R175" s="518"/>
      <c r="S175" s="518"/>
      <c r="T175" s="518"/>
      <c r="U175" s="518"/>
      <c r="V175" s="518"/>
      <c r="W175" s="518"/>
      <c r="X175" s="518"/>
      <c r="Y175" s="518"/>
      <c r="Z175" s="518"/>
      <c r="AA175" s="518"/>
      <c r="AB175" s="518"/>
      <c r="AC175" s="518"/>
      <c r="AD175" s="518"/>
      <c r="AE175" s="518"/>
      <c r="AF175" s="518"/>
      <c r="AG175" s="518"/>
      <c r="AH175" s="518"/>
      <c r="AI175" s="518"/>
      <c r="AJ175" s="518"/>
      <c r="AK175" s="518"/>
      <c r="AL175" s="518"/>
      <c r="AM175" s="518"/>
      <c r="AN175" s="518"/>
      <c r="AO175" s="518"/>
      <c r="AP175" s="518"/>
      <c r="AQ175" s="518"/>
      <c r="AR175" s="518"/>
      <c r="AS175" s="518"/>
      <c r="AT175" s="518"/>
      <c r="AU175" s="518"/>
      <c r="AV175" s="518"/>
      <c r="AW175" s="518"/>
      <c r="AX175" s="518"/>
      <c r="AY175" s="518"/>
      <c r="AZ175" s="518"/>
    </row>
    <row r="176" spans="1:52" x14ac:dyDescent="0.15">
      <c r="A176" s="518"/>
      <c r="B176" s="518"/>
      <c r="C176" s="518"/>
      <c r="D176" s="518"/>
      <c r="E176" s="518"/>
      <c r="F176" s="518"/>
      <c r="G176" s="518"/>
      <c r="H176" s="518"/>
      <c r="I176" s="518"/>
      <c r="J176" s="518"/>
      <c r="K176" s="518"/>
      <c r="L176" s="518"/>
      <c r="M176" s="518"/>
      <c r="N176" s="518"/>
      <c r="O176" s="518"/>
      <c r="P176" s="518"/>
      <c r="Q176" s="518"/>
      <c r="R176" s="518"/>
      <c r="S176" s="518"/>
      <c r="T176" s="518"/>
      <c r="U176" s="518"/>
      <c r="V176" s="518"/>
      <c r="W176" s="518"/>
      <c r="X176" s="518"/>
      <c r="Y176" s="518"/>
      <c r="Z176" s="518"/>
      <c r="AA176" s="518"/>
      <c r="AB176" s="518"/>
      <c r="AC176" s="518"/>
      <c r="AD176" s="518"/>
      <c r="AE176" s="518"/>
      <c r="AF176" s="518"/>
      <c r="AG176" s="518"/>
      <c r="AH176" s="518"/>
      <c r="AI176" s="518"/>
      <c r="AJ176" s="518"/>
      <c r="AK176" s="518"/>
      <c r="AL176" s="518"/>
      <c r="AM176" s="518"/>
      <c r="AN176" s="518"/>
      <c r="AO176" s="518"/>
      <c r="AP176" s="518"/>
      <c r="AQ176" s="518"/>
      <c r="AR176" s="518"/>
      <c r="AS176" s="518"/>
      <c r="AT176" s="518"/>
      <c r="AU176" s="518"/>
      <c r="AV176" s="518"/>
      <c r="AW176" s="518"/>
      <c r="AX176" s="518"/>
      <c r="AY176" s="518"/>
      <c r="AZ176" s="518"/>
    </row>
    <row r="177" spans="1:52" x14ac:dyDescent="0.15">
      <c r="A177" s="518"/>
      <c r="B177" s="518"/>
      <c r="C177" s="518"/>
      <c r="D177" s="518"/>
      <c r="E177" s="518"/>
      <c r="F177" s="518"/>
      <c r="G177" s="518"/>
      <c r="H177" s="518"/>
      <c r="I177" s="518"/>
      <c r="J177" s="518"/>
      <c r="K177" s="518"/>
      <c r="L177" s="518"/>
      <c r="M177" s="518"/>
      <c r="N177" s="518"/>
      <c r="O177" s="518"/>
      <c r="P177" s="518"/>
      <c r="Q177" s="518"/>
      <c r="R177" s="518"/>
      <c r="S177" s="518"/>
      <c r="T177" s="518"/>
      <c r="U177" s="518"/>
      <c r="V177" s="518"/>
      <c r="W177" s="518"/>
      <c r="X177" s="518"/>
      <c r="Y177" s="518"/>
      <c r="Z177" s="518"/>
      <c r="AA177" s="518"/>
      <c r="AB177" s="518"/>
      <c r="AC177" s="518"/>
      <c r="AD177" s="518"/>
      <c r="AE177" s="518"/>
      <c r="AF177" s="518"/>
      <c r="AG177" s="518"/>
      <c r="AH177" s="518"/>
      <c r="AI177" s="518"/>
      <c r="AJ177" s="518"/>
      <c r="AK177" s="518"/>
      <c r="AL177" s="518"/>
      <c r="AM177" s="518"/>
      <c r="AN177" s="518"/>
      <c r="AO177" s="518"/>
      <c r="AP177" s="518"/>
      <c r="AQ177" s="518"/>
      <c r="AR177" s="518"/>
      <c r="AS177" s="518"/>
      <c r="AT177" s="518"/>
      <c r="AU177" s="518"/>
      <c r="AV177" s="518"/>
      <c r="AW177" s="518"/>
      <c r="AX177" s="518"/>
      <c r="AY177" s="518"/>
      <c r="AZ177" s="518"/>
    </row>
    <row r="178" spans="1:52" x14ac:dyDescent="0.15">
      <c r="A178" s="518"/>
      <c r="B178" s="518"/>
      <c r="C178" s="518"/>
      <c r="D178" s="518"/>
      <c r="E178" s="518"/>
      <c r="F178" s="518"/>
      <c r="G178" s="518"/>
      <c r="H178" s="518"/>
      <c r="I178" s="518"/>
      <c r="J178" s="518"/>
      <c r="K178" s="518"/>
      <c r="L178" s="518"/>
      <c r="M178" s="518"/>
      <c r="N178" s="518"/>
      <c r="O178" s="518"/>
      <c r="P178" s="518"/>
      <c r="Q178" s="518"/>
      <c r="R178" s="518"/>
      <c r="S178" s="518"/>
      <c r="T178" s="518"/>
      <c r="U178" s="518"/>
      <c r="V178" s="518"/>
      <c r="W178" s="518"/>
      <c r="X178" s="518"/>
      <c r="Y178" s="518"/>
      <c r="Z178" s="518"/>
      <c r="AA178" s="518"/>
      <c r="AB178" s="518"/>
      <c r="AC178" s="518"/>
      <c r="AD178" s="518"/>
      <c r="AE178" s="518"/>
      <c r="AF178" s="518"/>
      <c r="AG178" s="518"/>
      <c r="AH178" s="518"/>
      <c r="AI178" s="518"/>
      <c r="AJ178" s="518"/>
      <c r="AK178" s="518"/>
      <c r="AL178" s="518"/>
      <c r="AM178" s="518"/>
      <c r="AN178" s="518"/>
      <c r="AO178" s="518"/>
      <c r="AP178" s="518"/>
      <c r="AQ178" s="518"/>
      <c r="AR178" s="518"/>
      <c r="AS178" s="518"/>
      <c r="AT178" s="518"/>
      <c r="AU178" s="518"/>
      <c r="AV178" s="518"/>
      <c r="AW178" s="518"/>
      <c r="AX178" s="518"/>
      <c r="AY178" s="518"/>
      <c r="AZ178" s="518"/>
    </row>
    <row r="179" spans="1:52" x14ac:dyDescent="0.15">
      <c r="A179" s="518"/>
      <c r="B179" s="518"/>
      <c r="C179" s="518"/>
      <c r="D179" s="518"/>
      <c r="E179" s="518"/>
      <c r="F179" s="518"/>
      <c r="G179" s="518"/>
      <c r="H179" s="518"/>
      <c r="I179" s="518"/>
      <c r="J179" s="518"/>
      <c r="K179" s="518"/>
      <c r="L179" s="518"/>
      <c r="M179" s="518"/>
      <c r="N179" s="518"/>
      <c r="O179" s="518"/>
      <c r="P179" s="518"/>
      <c r="Q179" s="518"/>
      <c r="R179" s="518"/>
      <c r="S179" s="518"/>
      <c r="T179" s="518"/>
      <c r="U179" s="518"/>
      <c r="V179" s="518"/>
      <c r="W179" s="518"/>
      <c r="X179" s="518"/>
      <c r="Y179" s="518"/>
      <c r="Z179" s="518"/>
      <c r="AA179" s="518"/>
      <c r="AB179" s="518"/>
      <c r="AC179" s="518"/>
      <c r="AD179" s="518"/>
      <c r="AE179" s="518"/>
      <c r="AF179" s="518"/>
      <c r="AG179" s="518"/>
      <c r="AH179" s="518"/>
      <c r="AI179" s="518"/>
      <c r="AJ179" s="518"/>
      <c r="AK179" s="518"/>
      <c r="AL179" s="518"/>
      <c r="AM179" s="518"/>
      <c r="AN179" s="518"/>
      <c r="AO179" s="518"/>
      <c r="AP179" s="518"/>
      <c r="AQ179" s="518"/>
      <c r="AR179" s="518"/>
      <c r="AS179" s="518"/>
      <c r="AT179" s="518"/>
      <c r="AU179" s="518"/>
      <c r="AV179" s="518"/>
      <c r="AW179" s="518"/>
      <c r="AX179" s="518"/>
      <c r="AY179" s="518"/>
      <c r="AZ179" s="518"/>
    </row>
    <row r="180" spans="1:52" x14ac:dyDescent="0.15">
      <c r="A180" s="518"/>
      <c r="B180" s="518"/>
      <c r="C180" s="518"/>
      <c r="D180" s="518"/>
      <c r="E180" s="518"/>
      <c r="F180" s="518"/>
      <c r="G180" s="518"/>
      <c r="H180" s="518"/>
      <c r="I180" s="518"/>
      <c r="J180" s="518"/>
      <c r="K180" s="518"/>
      <c r="L180" s="518"/>
      <c r="M180" s="518"/>
      <c r="N180" s="518"/>
      <c r="O180" s="518"/>
      <c r="P180" s="518"/>
      <c r="Q180" s="518"/>
      <c r="R180" s="518"/>
      <c r="S180" s="518"/>
      <c r="T180" s="518"/>
      <c r="U180" s="518"/>
      <c r="V180" s="518"/>
      <c r="W180" s="518"/>
      <c r="X180" s="518"/>
      <c r="Y180" s="518"/>
      <c r="Z180" s="518"/>
      <c r="AA180" s="518"/>
      <c r="AB180" s="518"/>
      <c r="AC180" s="518"/>
      <c r="AD180" s="518"/>
      <c r="AE180" s="518"/>
      <c r="AF180" s="518"/>
      <c r="AG180" s="518"/>
      <c r="AH180" s="518"/>
      <c r="AI180" s="518"/>
      <c r="AJ180" s="518"/>
      <c r="AK180" s="518"/>
      <c r="AL180" s="518"/>
      <c r="AM180" s="518"/>
      <c r="AN180" s="518"/>
      <c r="AO180" s="518"/>
      <c r="AP180" s="518"/>
      <c r="AQ180" s="518"/>
      <c r="AR180" s="518"/>
      <c r="AS180" s="518"/>
      <c r="AT180" s="518"/>
      <c r="AU180" s="518"/>
      <c r="AV180" s="518"/>
      <c r="AW180" s="518"/>
      <c r="AX180" s="518"/>
      <c r="AY180" s="518"/>
      <c r="AZ180" s="518"/>
    </row>
    <row r="181" spans="1:52" x14ac:dyDescent="0.15">
      <c r="A181" s="518"/>
      <c r="B181" s="518"/>
      <c r="C181" s="518"/>
      <c r="D181" s="518"/>
      <c r="E181" s="518"/>
      <c r="F181" s="518"/>
      <c r="G181" s="518"/>
      <c r="H181" s="518"/>
      <c r="I181" s="518"/>
      <c r="J181" s="518"/>
      <c r="K181" s="518"/>
      <c r="L181" s="518"/>
      <c r="M181" s="518"/>
      <c r="N181" s="518"/>
      <c r="O181" s="518"/>
      <c r="P181" s="518"/>
      <c r="Q181" s="518"/>
      <c r="R181" s="518"/>
      <c r="S181" s="518"/>
      <c r="T181" s="518"/>
      <c r="U181" s="518"/>
      <c r="V181" s="518"/>
      <c r="W181" s="518"/>
      <c r="X181" s="518"/>
      <c r="Y181" s="518"/>
      <c r="Z181" s="518"/>
      <c r="AA181" s="518"/>
      <c r="AB181" s="518"/>
      <c r="AC181" s="518"/>
      <c r="AD181" s="518"/>
      <c r="AE181" s="518"/>
      <c r="AF181" s="518"/>
      <c r="AG181" s="518"/>
      <c r="AH181" s="518"/>
      <c r="AI181" s="518"/>
      <c r="AJ181" s="518"/>
      <c r="AK181" s="518"/>
      <c r="AL181" s="518"/>
      <c r="AM181" s="518"/>
      <c r="AN181" s="518"/>
      <c r="AO181" s="518"/>
      <c r="AP181" s="518"/>
      <c r="AQ181" s="518"/>
      <c r="AR181" s="518"/>
      <c r="AS181" s="518"/>
      <c r="AT181" s="518"/>
      <c r="AU181" s="518"/>
      <c r="AV181" s="518"/>
      <c r="AW181" s="518"/>
      <c r="AX181" s="518"/>
      <c r="AY181" s="518"/>
      <c r="AZ181" s="518"/>
    </row>
    <row r="182" spans="1:52" x14ac:dyDescent="0.15">
      <c r="A182" s="518"/>
      <c r="B182" s="518"/>
      <c r="C182" s="518"/>
      <c r="D182" s="518"/>
      <c r="E182" s="518"/>
      <c r="F182" s="518"/>
      <c r="G182" s="518"/>
      <c r="H182" s="518"/>
      <c r="I182" s="518"/>
      <c r="J182" s="518"/>
      <c r="K182" s="518"/>
      <c r="L182" s="518"/>
      <c r="M182" s="518"/>
      <c r="N182" s="518"/>
      <c r="O182" s="518"/>
      <c r="P182" s="518"/>
      <c r="Q182" s="518"/>
      <c r="R182" s="518"/>
      <c r="S182" s="518"/>
      <c r="T182" s="518"/>
      <c r="U182" s="518"/>
      <c r="V182" s="518"/>
      <c r="W182" s="518"/>
      <c r="X182" s="518"/>
      <c r="Y182" s="518"/>
      <c r="Z182" s="518"/>
      <c r="AA182" s="518"/>
      <c r="AB182" s="518"/>
      <c r="AC182" s="518"/>
      <c r="AD182" s="518"/>
      <c r="AE182" s="518"/>
      <c r="AF182" s="518"/>
      <c r="AG182" s="518"/>
      <c r="AH182" s="518"/>
      <c r="AI182" s="518"/>
      <c r="AJ182" s="518"/>
      <c r="AK182" s="518"/>
      <c r="AL182" s="518"/>
      <c r="AM182" s="518"/>
      <c r="AN182" s="518"/>
      <c r="AO182" s="518"/>
      <c r="AP182" s="518"/>
      <c r="AQ182" s="518"/>
      <c r="AR182" s="518"/>
      <c r="AS182" s="518"/>
      <c r="AT182" s="518"/>
      <c r="AU182" s="518"/>
      <c r="AV182" s="518"/>
      <c r="AW182" s="518"/>
      <c r="AX182" s="518"/>
      <c r="AY182" s="518"/>
      <c r="AZ182" s="518"/>
    </row>
    <row r="183" spans="1:52" x14ac:dyDescent="0.15">
      <c r="A183" s="518"/>
      <c r="B183" s="518"/>
      <c r="C183" s="518"/>
      <c r="D183" s="518"/>
      <c r="E183" s="518"/>
      <c r="F183" s="518"/>
      <c r="G183" s="518"/>
      <c r="H183" s="518"/>
      <c r="I183" s="518"/>
      <c r="J183" s="518"/>
      <c r="K183" s="518"/>
      <c r="L183" s="518"/>
      <c r="M183" s="518"/>
      <c r="N183" s="518"/>
      <c r="O183" s="518"/>
      <c r="P183" s="518"/>
      <c r="Q183" s="518"/>
      <c r="R183" s="518"/>
      <c r="S183" s="518"/>
      <c r="T183" s="518"/>
      <c r="U183" s="518"/>
      <c r="V183" s="518"/>
      <c r="W183" s="518"/>
      <c r="X183" s="518"/>
      <c r="Y183" s="518"/>
      <c r="Z183" s="518"/>
      <c r="AA183" s="518"/>
      <c r="AB183" s="518"/>
      <c r="AC183" s="518"/>
      <c r="AD183" s="518"/>
      <c r="AE183" s="518"/>
      <c r="AF183" s="518"/>
      <c r="AG183" s="518"/>
      <c r="AH183" s="518"/>
      <c r="AI183" s="518"/>
      <c r="AJ183" s="518"/>
      <c r="AK183" s="518"/>
      <c r="AL183" s="518"/>
      <c r="AM183" s="518"/>
      <c r="AN183" s="518"/>
      <c r="AO183" s="518"/>
      <c r="AP183" s="518"/>
      <c r="AQ183" s="518"/>
      <c r="AR183" s="518"/>
      <c r="AS183" s="518"/>
      <c r="AT183" s="518"/>
      <c r="AU183" s="518"/>
      <c r="AV183" s="518"/>
      <c r="AW183" s="518"/>
      <c r="AX183" s="518"/>
      <c r="AY183" s="518"/>
      <c r="AZ183" s="518"/>
    </row>
  </sheetData>
  <sheetProtection algorithmName="SHA-512" hashValue="abjQF+QtQbLuwg5oiAY7js300zkOxLr4+xiXIqd/loAtUCSir0KQu5cUXxW6ohytSQF+tqoNcSXg6CjLvr7dXw==" saltValue="tnWZ1XUVY67whjuqoHHeQQ==" spinCount="100000" sheet="1" objects="1" scenarios="1"/>
  <pageMargins left="0.7" right="0.7" top="0.75" bottom="0.75" header="0.3" footer="0.3"/>
  <ignoredErrors>
    <ignoredError sqref="Q8 Q141" formula="1"/>
  </ignoredErrors>
  <legacy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/>
  <dimension ref="A1:K59"/>
  <sheetViews>
    <sheetView zoomScale="125" workbookViewId="0">
      <selection sqref="A1:J5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722</v>
      </c>
    </row>
    <row r="2" spans="1:11" x14ac:dyDescent="0.15">
      <c r="A2" s="30"/>
      <c r="B2" s="31"/>
      <c r="C2" s="31"/>
      <c r="D2" s="31"/>
      <c r="E2" s="31"/>
      <c r="F2" s="31"/>
      <c r="G2" s="31"/>
      <c r="H2" s="31"/>
      <c r="I2" s="31"/>
      <c r="J2" s="31"/>
    </row>
    <row r="3" spans="1:11" x14ac:dyDescent="0.15">
      <c r="A3" s="4" t="s">
        <v>87</v>
      </c>
      <c r="B3" s="5"/>
      <c r="C3" s="5"/>
      <c r="D3" s="6"/>
      <c r="E3" s="5"/>
      <c r="F3" s="5"/>
      <c r="G3" s="5"/>
      <c r="H3" s="5"/>
      <c r="I3" s="5"/>
      <c r="J3" s="5"/>
      <c r="K3" s="5"/>
    </row>
    <row r="4" spans="1:11" x14ac:dyDescent="0.15">
      <c r="D4" s="7"/>
      <c r="E4" s="8" t="s">
        <v>100</v>
      </c>
    </row>
    <row r="5" spans="1:11" x14ac:dyDescent="0.15">
      <c r="A5" s="9" t="s">
        <v>88</v>
      </c>
      <c r="D5" s="7"/>
    </row>
    <row r="6" spans="1:11" x14ac:dyDescent="0.15">
      <c r="A6" s="9" t="s">
        <v>1030</v>
      </c>
      <c r="D6" s="7"/>
      <c r="E6" s="10" t="s">
        <v>1044</v>
      </c>
      <c r="F6" s="23" t="s">
        <v>591</v>
      </c>
      <c r="G6" s="23" t="s">
        <v>555</v>
      </c>
      <c r="H6" s="23" t="s">
        <v>544</v>
      </c>
      <c r="I6" s="23" t="s">
        <v>615</v>
      </c>
      <c r="J6" s="23" t="s">
        <v>595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</row>
    <row r="11" spans="1:11" x14ac:dyDescent="0.15">
      <c r="A11" t="s">
        <v>67</v>
      </c>
      <c r="D11" s="7"/>
      <c r="E11" s="15">
        <v>6000</v>
      </c>
      <c r="F11" s="15">
        <v>3200</v>
      </c>
      <c r="G11" s="15">
        <v>3200</v>
      </c>
      <c r="H11" s="15">
        <v>3200</v>
      </c>
      <c r="I11" s="15">
        <v>3200</v>
      </c>
      <c r="J11" s="15">
        <v>3200</v>
      </c>
    </row>
    <row r="12" spans="1:11" x14ac:dyDescent="0.15">
      <c r="A12" s="11" t="s">
        <v>68</v>
      </c>
      <c r="B12" s="11"/>
      <c r="C12" s="11"/>
      <c r="D12" s="12"/>
      <c r="E12" s="11">
        <v>12000</v>
      </c>
      <c r="F12" s="11">
        <v>3200</v>
      </c>
      <c r="G12" s="32">
        <v>3200</v>
      </c>
      <c r="H12" s="11">
        <v>3200</v>
      </c>
      <c r="I12" s="11">
        <v>3200</v>
      </c>
      <c r="J12" s="11">
        <v>3200</v>
      </c>
    </row>
    <row r="13" spans="1:11" x14ac:dyDescent="0.15">
      <c r="A13" t="s">
        <v>71</v>
      </c>
      <c r="D13" s="7"/>
      <c r="E13">
        <v>1.7358</v>
      </c>
      <c r="F13">
        <v>1.8733</v>
      </c>
      <c r="G13">
        <v>1.8879300000000001</v>
      </c>
      <c r="H13">
        <v>1.83</v>
      </c>
      <c r="I13">
        <v>1.9679</v>
      </c>
      <c r="J13">
        <v>2.0372300000000001</v>
      </c>
    </row>
    <row r="14" spans="1:11" x14ac:dyDescent="0.15">
      <c r="A14" t="s">
        <v>72</v>
      </c>
      <c r="D14" s="7"/>
      <c r="E14">
        <v>1.6181000000000001</v>
      </c>
      <c r="F14">
        <v>0</v>
      </c>
      <c r="G14" s="15">
        <v>0</v>
      </c>
      <c r="H14">
        <v>0</v>
      </c>
      <c r="I14">
        <v>0</v>
      </c>
      <c r="J14">
        <v>0</v>
      </c>
    </row>
    <row r="15" spans="1:11" x14ac:dyDescent="0.15">
      <c r="A15" t="s">
        <v>75</v>
      </c>
      <c r="D15" s="7"/>
      <c r="E15">
        <v>1.4487000000000001</v>
      </c>
      <c r="F15">
        <v>1.6082000000000001</v>
      </c>
      <c r="G15">
        <v>1.6588000000000001</v>
      </c>
      <c r="H15">
        <v>1.67</v>
      </c>
      <c r="I15">
        <v>1.7358</v>
      </c>
      <c r="J15">
        <v>1.78904</v>
      </c>
    </row>
    <row r="16" spans="1:11" x14ac:dyDescent="0.15">
      <c r="A16" t="s">
        <v>76</v>
      </c>
      <c r="D16" s="7"/>
      <c r="E16">
        <v>1.452</v>
      </c>
      <c r="F16">
        <v>1.5267999999999999</v>
      </c>
      <c r="G16">
        <v>1.63856</v>
      </c>
      <c r="H16">
        <v>1.64</v>
      </c>
      <c r="I16">
        <v>1.6731</v>
      </c>
      <c r="J16">
        <v>1.8009900000000001</v>
      </c>
    </row>
    <row r="17" spans="1:10" x14ac:dyDescent="0.15">
      <c r="A17" t="s">
        <v>86</v>
      </c>
      <c r="D17" s="7"/>
      <c r="E17">
        <v>1.3002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15">
      <c r="A18" t="s">
        <v>80</v>
      </c>
      <c r="D18" s="7"/>
      <c r="E18">
        <v>1.2034</v>
      </c>
      <c r="F18">
        <v>1.3398000000000001</v>
      </c>
      <c r="G18">
        <v>1.40184</v>
      </c>
      <c r="H18">
        <v>1.44</v>
      </c>
      <c r="I18">
        <v>1.474</v>
      </c>
      <c r="J18">
        <v>1.5013399999999999</v>
      </c>
    </row>
    <row r="19" spans="1:10" x14ac:dyDescent="0.15">
      <c r="A19" t="s">
        <v>81</v>
      </c>
      <c r="D19" s="7"/>
      <c r="E19">
        <v>53.536999999999999</v>
      </c>
      <c r="F19">
        <v>49.543999999999997</v>
      </c>
      <c r="G19">
        <v>56.21</v>
      </c>
      <c r="H19">
        <v>55.17</v>
      </c>
      <c r="I19">
        <v>54.372999999999998</v>
      </c>
      <c r="J19">
        <v>56.435000000000002</v>
      </c>
    </row>
    <row r="20" spans="1:10" x14ac:dyDescent="0.15">
      <c r="D20" s="7"/>
    </row>
    <row r="21" spans="1:10" x14ac:dyDescent="0.15">
      <c r="A21" s="9" t="s">
        <v>89</v>
      </c>
      <c r="D21" s="7"/>
    </row>
    <row r="22" spans="1:10" x14ac:dyDescent="0.15">
      <c r="A22" s="9" t="s">
        <v>1032</v>
      </c>
      <c r="D22" s="7"/>
      <c r="E22" s="10" t="s">
        <v>1044</v>
      </c>
      <c r="F22" s="10" t="s">
        <v>591</v>
      </c>
      <c r="G22" s="10" t="s">
        <v>555</v>
      </c>
      <c r="H22" s="10" t="s">
        <v>544</v>
      </c>
      <c r="I22" s="10" t="s">
        <v>615</v>
      </c>
      <c r="J22" s="10" t="s">
        <v>546</v>
      </c>
    </row>
    <row r="23" spans="1:10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</row>
    <row r="24" spans="1:10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</row>
    <row r="25" spans="1:10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</row>
    <row r="26" spans="1:10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</row>
    <row r="27" spans="1:10" x14ac:dyDescent="0.15">
      <c r="A27" t="s">
        <v>67</v>
      </c>
      <c r="D27" s="7"/>
      <c r="E27" s="15">
        <v>6000</v>
      </c>
      <c r="F27" s="15">
        <v>3500</v>
      </c>
      <c r="G27" s="15">
        <v>3500</v>
      </c>
      <c r="H27" s="15">
        <v>3500</v>
      </c>
      <c r="I27" s="15">
        <v>3500</v>
      </c>
      <c r="J27" s="15">
        <v>3500</v>
      </c>
    </row>
    <row r="28" spans="1:10" x14ac:dyDescent="0.15">
      <c r="A28" s="11" t="s">
        <v>68</v>
      </c>
      <c r="B28" s="11"/>
      <c r="C28" s="11"/>
      <c r="D28" s="12"/>
      <c r="E28" s="11">
        <v>12000</v>
      </c>
      <c r="F28" s="11">
        <v>3500</v>
      </c>
      <c r="G28" s="32">
        <v>3500</v>
      </c>
      <c r="H28" s="11">
        <v>3500</v>
      </c>
      <c r="I28" s="11">
        <v>3500</v>
      </c>
      <c r="J28" s="11">
        <v>3500</v>
      </c>
    </row>
    <row r="29" spans="1:10" x14ac:dyDescent="0.15">
      <c r="A29" t="s">
        <v>71</v>
      </c>
      <c r="D29" s="7"/>
      <c r="E29">
        <v>1.8854</v>
      </c>
      <c r="F29">
        <v>2.0735000000000001</v>
      </c>
      <c r="G29">
        <v>1.9511799999999999</v>
      </c>
      <c r="H29">
        <v>1.96</v>
      </c>
      <c r="I29">
        <v>2.0735000000000001</v>
      </c>
      <c r="J29">
        <v>2.1375299999999999</v>
      </c>
    </row>
    <row r="30" spans="1:10" x14ac:dyDescent="0.15">
      <c r="A30" t="s">
        <v>72</v>
      </c>
      <c r="D30" s="7"/>
      <c r="E30">
        <v>1.6005</v>
      </c>
      <c r="F30">
        <v>0</v>
      </c>
      <c r="G30" s="15">
        <v>0</v>
      </c>
      <c r="H30">
        <v>0</v>
      </c>
      <c r="I30">
        <v>0</v>
      </c>
      <c r="J30">
        <v>0</v>
      </c>
    </row>
    <row r="31" spans="1:10" x14ac:dyDescent="0.15">
      <c r="A31" t="s">
        <v>75</v>
      </c>
      <c r="D31" s="7"/>
      <c r="E31">
        <v>1.3948</v>
      </c>
      <c r="F31">
        <v>1.65</v>
      </c>
      <c r="G31">
        <v>1.69312</v>
      </c>
      <c r="H31">
        <v>1.78</v>
      </c>
      <c r="I31">
        <v>1.8480000000000001</v>
      </c>
      <c r="J31">
        <v>1.91462</v>
      </c>
    </row>
    <row r="32" spans="1:10" x14ac:dyDescent="0.15">
      <c r="A32" t="s">
        <v>76</v>
      </c>
      <c r="D32" s="7"/>
      <c r="E32">
        <v>1.6642999999999999</v>
      </c>
      <c r="F32">
        <v>1.6291</v>
      </c>
      <c r="G32">
        <v>1.6365799999999999</v>
      </c>
      <c r="H32">
        <v>1.67</v>
      </c>
      <c r="I32">
        <v>1.7017</v>
      </c>
      <c r="J32">
        <v>1.93431</v>
      </c>
    </row>
    <row r="33" spans="1:10" x14ac:dyDescent="0.15">
      <c r="A33" t="s">
        <v>86</v>
      </c>
      <c r="D33" s="7"/>
      <c r="E33">
        <v>1.4079999999999999</v>
      </c>
      <c r="F33">
        <v>0</v>
      </c>
      <c r="G33">
        <v>0</v>
      </c>
      <c r="H33">
        <v>0</v>
      </c>
      <c r="I33">
        <v>0</v>
      </c>
      <c r="J33">
        <v>0</v>
      </c>
    </row>
    <row r="34" spans="1:10" x14ac:dyDescent="0.15">
      <c r="A34" t="s">
        <v>80</v>
      </c>
      <c r="D34" s="7"/>
      <c r="E34">
        <v>1.3145</v>
      </c>
      <c r="F34">
        <v>1.4014</v>
      </c>
      <c r="G34">
        <v>1.52295</v>
      </c>
      <c r="H34">
        <v>1.47</v>
      </c>
      <c r="I34">
        <v>1.6378999999999999</v>
      </c>
      <c r="J34">
        <v>1.73519</v>
      </c>
    </row>
    <row r="35" spans="1:10" x14ac:dyDescent="0.15">
      <c r="A35" t="s">
        <v>81</v>
      </c>
      <c r="D35" s="7"/>
      <c r="E35">
        <v>49.884999999999998</v>
      </c>
      <c r="F35">
        <v>48.850999999999999</v>
      </c>
      <c r="G35">
        <v>55.22</v>
      </c>
      <c r="H35">
        <v>53.57</v>
      </c>
      <c r="I35">
        <v>55.176000000000002</v>
      </c>
      <c r="J35">
        <v>55.091999999999999</v>
      </c>
    </row>
    <row r="36" spans="1:10" x14ac:dyDescent="0.15">
      <c r="D36" s="7"/>
    </row>
    <row r="37" spans="1:10" x14ac:dyDescent="0.15">
      <c r="A37" s="9" t="s">
        <v>89</v>
      </c>
      <c r="D37" s="7"/>
    </row>
    <row r="38" spans="1:10" x14ac:dyDescent="0.15">
      <c r="A38" s="9" t="s">
        <v>1034</v>
      </c>
      <c r="D38" s="7"/>
      <c r="E38" s="10" t="s">
        <v>1044</v>
      </c>
      <c r="F38" s="10" t="s">
        <v>591</v>
      </c>
      <c r="G38" s="10" t="s">
        <v>555</v>
      </c>
      <c r="H38" s="10" t="s">
        <v>544</v>
      </c>
      <c r="I38" s="10" t="s">
        <v>615</v>
      </c>
      <c r="J38" s="10" t="s">
        <v>546</v>
      </c>
    </row>
    <row r="39" spans="1:10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</row>
    <row r="40" spans="1:10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</row>
    <row r="41" spans="1:10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</row>
    <row r="42" spans="1:10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</row>
    <row r="43" spans="1:10" x14ac:dyDescent="0.15">
      <c r="A43" t="s">
        <v>67</v>
      </c>
      <c r="D43" s="7"/>
      <c r="E43" s="15">
        <v>6000</v>
      </c>
      <c r="F43" s="15">
        <v>3200</v>
      </c>
      <c r="G43" s="15">
        <v>3200</v>
      </c>
      <c r="H43" s="15">
        <v>3200</v>
      </c>
      <c r="I43" s="15">
        <v>3200</v>
      </c>
      <c r="J43" s="15">
        <v>3200</v>
      </c>
    </row>
    <row r="44" spans="1:10" x14ac:dyDescent="0.15">
      <c r="A44" s="11" t="s">
        <v>68</v>
      </c>
      <c r="B44" s="11"/>
      <c r="C44" s="11"/>
      <c r="D44" s="12"/>
      <c r="E44" s="11">
        <v>12000</v>
      </c>
      <c r="F44" s="11">
        <v>3200</v>
      </c>
      <c r="G44" s="32">
        <v>3200</v>
      </c>
      <c r="H44" s="11">
        <v>3200</v>
      </c>
      <c r="I44" s="11">
        <v>3200</v>
      </c>
      <c r="J44" s="11">
        <v>3200</v>
      </c>
    </row>
    <row r="45" spans="1:10" x14ac:dyDescent="0.15">
      <c r="A45" t="s">
        <v>71</v>
      </c>
      <c r="D45" s="7"/>
      <c r="E45">
        <v>1.8832</v>
      </c>
      <c r="F45">
        <v>2.0911</v>
      </c>
      <c r="G45">
        <v>2.1127699999999998</v>
      </c>
      <c r="H45">
        <v>2.0699999999999998</v>
      </c>
      <c r="I45">
        <v>2.1791</v>
      </c>
      <c r="J45">
        <v>2.30979</v>
      </c>
    </row>
    <row r="46" spans="1:10" x14ac:dyDescent="0.15">
      <c r="A46" t="s">
        <v>72</v>
      </c>
      <c r="D46" s="7"/>
      <c r="E46">
        <v>1.5576000000000001</v>
      </c>
      <c r="F46">
        <v>0</v>
      </c>
      <c r="G46" s="15">
        <v>0</v>
      </c>
      <c r="H46">
        <v>0</v>
      </c>
      <c r="I46">
        <v>0</v>
      </c>
      <c r="J46">
        <v>0</v>
      </c>
    </row>
    <row r="47" spans="1:10" x14ac:dyDescent="0.15">
      <c r="A47" t="s">
        <v>75</v>
      </c>
      <c r="D47" s="7"/>
      <c r="E47">
        <v>1.1560999999999999</v>
      </c>
      <c r="F47">
        <v>1.5818000000000001</v>
      </c>
      <c r="G47">
        <v>1.69103</v>
      </c>
      <c r="H47">
        <v>1.64</v>
      </c>
      <c r="I47">
        <v>1.738</v>
      </c>
      <c r="J47">
        <v>1.8285400000000001</v>
      </c>
    </row>
    <row r="48" spans="1:10" x14ac:dyDescent="0.15">
      <c r="A48" t="s">
        <v>76</v>
      </c>
      <c r="D48" s="7"/>
      <c r="E48">
        <v>1.6654</v>
      </c>
      <c r="F48">
        <v>1.782</v>
      </c>
      <c r="G48">
        <v>1.7964100000000001</v>
      </c>
      <c r="H48">
        <v>1.82</v>
      </c>
      <c r="I48">
        <v>1.8579000000000001</v>
      </c>
      <c r="J48">
        <v>2.1066799999999999</v>
      </c>
    </row>
    <row r="49" spans="1:10" x14ac:dyDescent="0.15">
      <c r="A49" t="s">
        <v>86</v>
      </c>
      <c r="D49" s="7"/>
      <c r="E49">
        <v>1.3288</v>
      </c>
      <c r="F49">
        <v>0</v>
      </c>
      <c r="G49">
        <v>0</v>
      </c>
      <c r="H49">
        <v>0</v>
      </c>
      <c r="I49">
        <v>0</v>
      </c>
      <c r="J49">
        <v>0</v>
      </c>
    </row>
    <row r="50" spans="1:10" x14ac:dyDescent="0.15">
      <c r="A50" t="s">
        <v>80</v>
      </c>
      <c r="D50" s="7"/>
      <c r="E50">
        <v>1.1231</v>
      </c>
      <c r="F50">
        <v>1.4278</v>
      </c>
      <c r="G50">
        <v>1.5558399999999999</v>
      </c>
      <c r="H50">
        <v>1.57</v>
      </c>
      <c r="I50">
        <v>1.6291</v>
      </c>
      <c r="J50">
        <v>1.64934</v>
      </c>
    </row>
    <row r="51" spans="1:10" x14ac:dyDescent="0.15">
      <c r="A51" t="s">
        <v>81</v>
      </c>
      <c r="D51" s="7"/>
      <c r="E51">
        <v>56.220999999999997</v>
      </c>
      <c r="F51">
        <v>50.875</v>
      </c>
      <c r="G51">
        <v>58.19</v>
      </c>
      <c r="H51">
        <v>56.63</v>
      </c>
      <c r="I51">
        <v>56.045000000000002</v>
      </c>
      <c r="J51">
        <v>56.709000000000003</v>
      </c>
    </row>
    <row r="52" spans="1:10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</row>
    <row r="53" spans="1:10" x14ac:dyDescent="0.15">
      <c r="A53" s="9" t="s">
        <v>490</v>
      </c>
      <c r="D53" s="7"/>
      <c r="E53" s="10" t="s">
        <v>1044</v>
      </c>
      <c r="F53" s="23" t="s">
        <v>591</v>
      </c>
      <c r="G53" s="23" t="s">
        <v>555</v>
      </c>
      <c r="H53" s="23" t="s">
        <v>544</v>
      </c>
      <c r="I53" s="23" t="s">
        <v>615</v>
      </c>
      <c r="J53" s="23" t="s">
        <v>595</v>
      </c>
    </row>
    <row r="54" spans="1:10" x14ac:dyDescent="0.15">
      <c r="A54" t="s">
        <v>491</v>
      </c>
      <c r="D54" s="7"/>
      <c r="E54" s="24" t="s">
        <v>560</v>
      </c>
      <c r="F54" s="25" t="s">
        <v>561</v>
      </c>
      <c r="G54" s="25" t="s">
        <v>540</v>
      </c>
      <c r="H54" s="25" t="s">
        <v>494</v>
      </c>
      <c r="I54" s="25" t="s">
        <v>494</v>
      </c>
      <c r="J54" s="25" t="s">
        <v>494</v>
      </c>
    </row>
    <row r="55" spans="1:10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493</v>
      </c>
      <c r="I55" s="25" t="s">
        <v>498</v>
      </c>
      <c r="J55" s="25" t="s">
        <v>498</v>
      </c>
    </row>
    <row r="56" spans="1:10" x14ac:dyDescent="0.15">
      <c r="A56" t="s">
        <v>499</v>
      </c>
      <c r="D56" s="7"/>
      <c r="E56" s="25" t="s">
        <v>557</v>
      </c>
      <c r="F56" s="37">
        <v>22</v>
      </c>
      <c r="G56" s="37">
        <v>22</v>
      </c>
      <c r="H56" s="25" t="s">
        <v>493</v>
      </c>
      <c r="I56" s="37">
        <v>20</v>
      </c>
      <c r="J56" s="37">
        <v>100</v>
      </c>
    </row>
    <row r="57" spans="1:10" x14ac:dyDescent="0.15">
      <c r="A57" t="s">
        <v>501</v>
      </c>
      <c r="D57" s="7"/>
      <c r="E57" s="25" t="s">
        <v>494</v>
      </c>
      <c r="F57" s="25" t="s">
        <v>562</v>
      </c>
      <c r="G57" s="24" t="s">
        <v>540</v>
      </c>
      <c r="H57" s="24" t="s">
        <v>558</v>
      </c>
      <c r="I57" s="24" t="s">
        <v>510</v>
      </c>
      <c r="J57" s="24" t="s">
        <v>506</v>
      </c>
    </row>
    <row r="58" spans="1:10" x14ac:dyDescent="0.15">
      <c r="A58" t="s">
        <v>442</v>
      </c>
      <c r="D58" s="7"/>
      <c r="E58" s="25" t="s">
        <v>512</v>
      </c>
      <c r="F58" s="25" t="s">
        <v>494</v>
      </c>
      <c r="G58" s="25" t="s">
        <v>494</v>
      </c>
      <c r="H58" s="25" t="s">
        <v>493</v>
      </c>
      <c r="I58" s="25" t="s">
        <v>494</v>
      </c>
      <c r="J58" s="25" t="s">
        <v>494</v>
      </c>
    </row>
    <row r="59" spans="1:10" x14ac:dyDescent="0.15">
      <c r="A59" s="30"/>
      <c r="B59" s="31"/>
      <c r="C59" s="31"/>
      <c r="D59" s="31"/>
      <c r="E59" s="31"/>
      <c r="F59" s="31"/>
      <c r="G59" s="31"/>
      <c r="H59" s="31"/>
      <c r="I59" s="31"/>
      <c r="J59" s="31"/>
    </row>
  </sheetData>
  <sheetProtection algorithmName="SHA-512" hashValue="YE0RjvUquT5tGCUkidL2IFgRC/rdq3uJGAAb4k0kFgzKHMflaHPVOialt/+B/lbho5PXwpQH2hi+vK23P3aRkA==" saltValue="sFyrb+VIj9ZlFLZuYO8JuA==" spinCount="100000" sheet="1" objects="1" scenarios="1"/>
  <phoneticPr fontId="20" type="noConversion"/>
  <pageMargins left="0.75" right="0.75" top="1" bottom="1" header="0.5" footer="0.5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/>
  <dimension ref="A1:K55"/>
  <sheetViews>
    <sheetView zoomScale="125" workbookViewId="0">
      <selection activeCell="L38" sqref="L38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101</v>
      </c>
    </row>
    <row r="2" spans="1:11" x14ac:dyDescent="0.15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x14ac:dyDescent="0.15">
      <c r="A3" s="4" t="s">
        <v>61</v>
      </c>
      <c r="B3" s="5"/>
      <c r="C3" s="5"/>
      <c r="D3" s="6"/>
      <c r="E3" s="5"/>
      <c r="F3" s="5"/>
      <c r="G3" s="5"/>
      <c r="H3" s="5"/>
      <c r="I3" s="5"/>
      <c r="J3" s="5"/>
      <c r="K3" s="5"/>
    </row>
    <row r="4" spans="1:11" x14ac:dyDescent="0.15">
      <c r="D4" s="7"/>
      <c r="E4" s="8" t="s">
        <v>102</v>
      </c>
    </row>
    <row r="5" spans="1:11" x14ac:dyDescent="0.15">
      <c r="D5" s="7"/>
    </row>
    <row r="6" spans="1:11" x14ac:dyDescent="0.15">
      <c r="A6" s="9" t="s">
        <v>1074</v>
      </c>
      <c r="D6" s="7"/>
      <c r="E6" s="10" t="s">
        <v>1044</v>
      </c>
      <c r="F6" s="10" t="s">
        <v>591</v>
      </c>
      <c r="G6" s="10" t="s">
        <v>555</v>
      </c>
      <c r="H6" s="10" t="s">
        <v>544</v>
      </c>
      <c r="I6" s="10" t="s">
        <v>514</v>
      </c>
      <c r="J6" s="10" t="s">
        <v>615</v>
      </c>
      <c r="K6" s="10" t="s">
        <v>515</v>
      </c>
    </row>
    <row r="7" spans="1:11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  <c r="K7" s="13">
        <v>0.5</v>
      </c>
    </row>
    <row r="8" spans="1:11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  <c r="K8" s="15">
        <v>3</v>
      </c>
    </row>
    <row r="9" spans="1:11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  <c r="K9" s="13">
        <v>0.5</v>
      </c>
    </row>
    <row r="10" spans="1:11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  <c r="K10" s="15">
        <v>3</v>
      </c>
    </row>
    <row r="11" spans="1:11" x14ac:dyDescent="0.15">
      <c r="A11" t="s">
        <v>67</v>
      </c>
      <c r="D11" s="7"/>
      <c r="E11" s="15">
        <v>3000</v>
      </c>
      <c r="F11" s="15">
        <v>6000</v>
      </c>
      <c r="G11" s="15">
        <v>6000</v>
      </c>
      <c r="H11">
        <v>6000</v>
      </c>
      <c r="I11" s="15">
        <v>6000</v>
      </c>
      <c r="J11" s="15">
        <v>6000</v>
      </c>
      <c r="K11" s="15">
        <v>6000</v>
      </c>
    </row>
    <row r="12" spans="1:11" x14ac:dyDescent="0.15">
      <c r="A12" t="s">
        <v>68</v>
      </c>
      <c r="D12" s="7"/>
      <c r="E12">
        <v>6000</v>
      </c>
      <c r="F12">
        <v>9000</v>
      </c>
      <c r="G12">
        <v>9000</v>
      </c>
      <c r="H12">
        <v>6000</v>
      </c>
      <c r="I12">
        <v>9000</v>
      </c>
      <c r="J12">
        <v>9000</v>
      </c>
      <c r="K12">
        <v>9000</v>
      </c>
    </row>
    <row r="13" spans="1:11" x14ac:dyDescent="0.15">
      <c r="A13" t="s">
        <v>69</v>
      </c>
      <c r="D13" s="7"/>
      <c r="E13">
        <v>9000</v>
      </c>
      <c r="F13" s="15">
        <v>9000</v>
      </c>
      <c r="G13" s="15">
        <v>9000</v>
      </c>
      <c r="H13">
        <v>6000</v>
      </c>
      <c r="I13" s="15">
        <v>9000</v>
      </c>
      <c r="J13" s="15">
        <v>9000</v>
      </c>
      <c r="K13" s="15">
        <v>9000</v>
      </c>
    </row>
    <row r="14" spans="1:11" x14ac:dyDescent="0.15">
      <c r="A14" s="11" t="s">
        <v>70</v>
      </c>
      <c r="B14" s="11"/>
      <c r="C14" s="11"/>
      <c r="D14" s="12"/>
      <c r="E14" s="11">
        <v>15000</v>
      </c>
      <c r="F14" s="11">
        <v>9000</v>
      </c>
      <c r="G14" s="11">
        <v>9000</v>
      </c>
      <c r="H14" s="11">
        <v>6000</v>
      </c>
      <c r="I14" s="11">
        <v>9000</v>
      </c>
      <c r="J14" s="11">
        <v>9000</v>
      </c>
      <c r="K14" s="11">
        <v>9000</v>
      </c>
    </row>
    <row r="15" spans="1:11" x14ac:dyDescent="0.15">
      <c r="A15" t="s">
        <v>71</v>
      </c>
      <c r="D15" s="7"/>
      <c r="E15">
        <v>1.6698</v>
      </c>
      <c r="F15">
        <v>1.6719999999999999</v>
      </c>
      <c r="G15">
        <v>1.6964999999999999</v>
      </c>
      <c r="H15">
        <v>1.72</v>
      </c>
      <c r="I15">
        <v>1.5190999999999999</v>
      </c>
      <c r="J15">
        <v>1.8084</v>
      </c>
      <c r="K15">
        <v>2.0121199999999999</v>
      </c>
    </row>
    <row r="16" spans="1:11" x14ac:dyDescent="0.15">
      <c r="A16" t="s">
        <v>72</v>
      </c>
      <c r="D16" s="7"/>
      <c r="E16">
        <v>1.4476</v>
      </c>
      <c r="F16">
        <v>1.3046</v>
      </c>
      <c r="G16">
        <v>1.2057</v>
      </c>
      <c r="H16">
        <v>0</v>
      </c>
      <c r="I16">
        <v>1.1286</v>
      </c>
      <c r="J16">
        <v>1.32</v>
      </c>
      <c r="K16">
        <v>1.30647</v>
      </c>
    </row>
    <row r="17" spans="1:11" x14ac:dyDescent="0.15">
      <c r="A17" t="s">
        <v>73</v>
      </c>
      <c r="D17" s="7"/>
      <c r="E17">
        <v>1.1209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74</v>
      </c>
      <c r="D18" s="7"/>
      <c r="E18">
        <v>0.93169999999999997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</row>
    <row r="19" spans="1:11" x14ac:dyDescent="0.15">
      <c r="A19" t="s">
        <v>75</v>
      </c>
      <c r="D19" s="7"/>
      <c r="E19">
        <v>0.80959999999999999</v>
      </c>
      <c r="F19">
        <v>0.85360000000000003</v>
      </c>
      <c r="G19">
        <v>0.85360000000000003</v>
      </c>
      <c r="H19">
        <v>1.25</v>
      </c>
      <c r="I19">
        <v>0.81399999999999995</v>
      </c>
      <c r="J19">
        <v>0.90529999999999999</v>
      </c>
      <c r="K19">
        <v>0.76053999999999999</v>
      </c>
    </row>
    <row r="20" spans="1:11" x14ac:dyDescent="0.15">
      <c r="A20" t="s">
        <v>76</v>
      </c>
      <c r="D20" s="7"/>
      <c r="E20">
        <v>1.5466</v>
      </c>
      <c r="F20">
        <v>1.5543</v>
      </c>
      <c r="G20">
        <v>1.6859</v>
      </c>
      <c r="H20">
        <v>1.65</v>
      </c>
      <c r="I20">
        <v>1.4178999999999999</v>
      </c>
      <c r="J20">
        <v>1.6808000000000001</v>
      </c>
      <c r="K20">
        <v>1.8459099999999999</v>
      </c>
    </row>
    <row r="21" spans="1:11" x14ac:dyDescent="0.15">
      <c r="A21" t="s">
        <v>77</v>
      </c>
      <c r="D21" s="7"/>
      <c r="E21">
        <v>1.3541000000000001</v>
      </c>
      <c r="F21">
        <v>1.1560999999999999</v>
      </c>
      <c r="G21">
        <v>1.1737</v>
      </c>
      <c r="H21">
        <v>0</v>
      </c>
      <c r="I21">
        <v>1.0384</v>
      </c>
      <c r="J21">
        <v>1.1462000000000001</v>
      </c>
      <c r="K21">
        <v>1.1941600000000001</v>
      </c>
    </row>
    <row r="22" spans="1:11" x14ac:dyDescent="0.15">
      <c r="A22" t="s">
        <v>78</v>
      </c>
      <c r="D22" s="7"/>
      <c r="E22">
        <v>1.0713999999999999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</row>
    <row r="23" spans="1:11" x14ac:dyDescent="0.15">
      <c r="A23" t="s">
        <v>79</v>
      </c>
      <c r="D23" s="7"/>
      <c r="E23">
        <v>0.90639999999999998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</row>
    <row r="24" spans="1:11" x14ac:dyDescent="0.15">
      <c r="A24" t="s">
        <v>80</v>
      </c>
      <c r="D24" s="7"/>
      <c r="E24">
        <v>0.79310000000000003</v>
      </c>
      <c r="F24">
        <v>0.82169999999999999</v>
      </c>
      <c r="G24">
        <v>0.85360000000000003</v>
      </c>
      <c r="H24">
        <v>1.2</v>
      </c>
      <c r="I24">
        <v>0.77990000000000004</v>
      </c>
      <c r="J24">
        <v>0.85580000000000001</v>
      </c>
      <c r="K24">
        <v>0.65130999999999994</v>
      </c>
    </row>
    <row r="25" spans="1:11" x14ac:dyDescent="0.15">
      <c r="A25" t="s">
        <v>81</v>
      </c>
      <c r="D25" s="7"/>
      <c r="E25">
        <v>53.481999999999999</v>
      </c>
      <c r="F25">
        <v>54.174999999999997</v>
      </c>
      <c r="G25">
        <v>52.68</v>
      </c>
      <c r="H25">
        <v>54.75</v>
      </c>
      <c r="I25">
        <v>48.4</v>
      </c>
      <c r="J25">
        <v>59.07</v>
      </c>
      <c r="K25">
        <v>69.135000000000005</v>
      </c>
    </row>
    <row r="26" spans="1:11" x14ac:dyDescent="0.15">
      <c r="D26" s="7"/>
    </row>
    <row r="27" spans="1:11" x14ac:dyDescent="0.15">
      <c r="D27" s="7"/>
    </row>
    <row r="28" spans="1:11" x14ac:dyDescent="0.15">
      <c r="A28" s="9" t="s">
        <v>1076</v>
      </c>
      <c r="D28" s="7"/>
      <c r="E28" s="10" t="s">
        <v>1044</v>
      </c>
      <c r="F28" s="10" t="s">
        <v>591</v>
      </c>
      <c r="G28" s="10" t="s">
        <v>555</v>
      </c>
      <c r="H28" s="10" t="s">
        <v>544</v>
      </c>
      <c r="I28" s="10" t="s">
        <v>514</v>
      </c>
      <c r="J28" s="10" t="s">
        <v>615</v>
      </c>
      <c r="K28" s="10" t="s">
        <v>515</v>
      </c>
    </row>
    <row r="29" spans="1:11" x14ac:dyDescent="0.15">
      <c r="A29" s="1" t="s">
        <v>63</v>
      </c>
      <c r="D29" s="7"/>
      <c r="E29" s="13">
        <v>0.5</v>
      </c>
      <c r="F29" s="13">
        <v>0.5</v>
      </c>
      <c r="G29" s="14">
        <v>0.33329999999999999</v>
      </c>
      <c r="H29" s="14">
        <v>0.33329999999999999</v>
      </c>
      <c r="I29" s="14">
        <v>0.33329999999999999</v>
      </c>
      <c r="J29" s="14">
        <v>0.33329999999999999</v>
      </c>
      <c r="K29" s="13">
        <v>0.5</v>
      </c>
    </row>
    <row r="30" spans="1:11" x14ac:dyDescent="0.15">
      <c r="A30" s="1" t="s">
        <v>64</v>
      </c>
      <c r="D30" s="7"/>
      <c r="E30" s="15">
        <v>3</v>
      </c>
      <c r="F30" s="15">
        <v>3</v>
      </c>
      <c r="G30" s="15">
        <v>2</v>
      </c>
      <c r="H30" s="15">
        <v>2</v>
      </c>
      <c r="I30" s="15">
        <v>2</v>
      </c>
      <c r="J30" s="15">
        <v>2</v>
      </c>
      <c r="K30" s="15">
        <v>3</v>
      </c>
    </row>
    <row r="31" spans="1:11" x14ac:dyDescent="0.15">
      <c r="A31" s="1" t="s">
        <v>65</v>
      </c>
      <c r="D31" s="7"/>
      <c r="E31" s="13">
        <v>0.5</v>
      </c>
      <c r="F31" s="13">
        <v>0.5</v>
      </c>
      <c r="G31" s="14">
        <v>0.66659999999999997</v>
      </c>
      <c r="H31" s="14">
        <v>0.66659999999999997</v>
      </c>
      <c r="I31" s="14">
        <v>0.66659999999999997</v>
      </c>
      <c r="J31" s="14">
        <v>0.66659999999999997</v>
      </c>
      <c r="K31" s="13">
        <v>0.5</v>
      </c>
    </row>
    <row r="32" spans="1:11" x14ac:dyDescent="0.15">
      <c r="A32" s="1" t="s">
        <v>66</v>
      </c>
      <c r="D32" s="7"/>
      <c r="E32" s="15">
        <v>3</v>
      </c>
      <c r="F32" s="15">
        <v>3</v>
      </c>
      <c r="G32" s="15">
        <v>4</v>
      </c>
      <c r="H32" s="15">
        <v>4</v>
      </c>
      <c r="I32" s="15">
        <v>4</v>
      </c>
      <c r="J32" s="15">
        <v>4</v>
      </c>
      <c r="K32" s="15">
        <v>3</v>
      </c>
    </row>
    <row r="33" spans="1:11" x14ac:dyDescent="0.15">
      <c r="A33" t="s">
        <v>67</v>
      </c>
      <c r="D33" s="7"/>
      <c r="E33" s="15">
        <v>3000</v>
      </c>
      <c r="F33" s="15">
        <v>3500</v>
      </c>
      <c r="G33" s="15">
        <v>3500</v>
      </c>
      <c r="H33" s="15">
        <v>3500</v>
      </c>
      <c r="I33" s="15">
        <v>3500</v>
      </c>
      <c r="J33" s="15">
        <v>3500</v>
      </c>
      <c r="K33" s="15">
        <v>3500</v>
      </c>
    </row>
    <row r="34" spans="1:11" x14ac:dyDescent="0.15">
      <c r="A34" t="s">
        <v>68</v>
      </c>
      <c r="D34" s="7"/>
      <c r="E34" s="15">
        <v>6000</v>
      </c>
      <c r="F34" s="15">
        <v>3500</v>
      </c>
      <c r="G34" s="15">
        <v>3500</v>
      </c>
      <c r="H34" s="15">
        <v>3500</v>
      </c>
      <c r="I34" s="15">
        <v>3500</v>
      </c>
      <c r="J34" s="15">
        <v>3500</v>
      </c>
      <c r="K34" s="15">
        <v>3500</v>
      </c>
    </row>
    <row r="35" spans="1:11" x14ac:dyDescent="0.15">
      <c r="A35" t="s">
        <v>69</v>
      </c>
      <c r="D35" s="7"/>
      <c r="E35" s="15">
        <v>9000</v>
      </c>
      <c r="F35" s="15">
        <v>3500</v>
      </c>
      <c r="G35" s="15">
        <v>3500</v>
      </c>
      <c r="H35" s="15">
        <v>3500</v>
      </c>
      <c r="I35" s="15">
        <v>3500</v>
      </c>
      <c r="J35" s="15">
        <v>3500</v>
      </c>
      <c r="K35" s="15">
        <v>3500</v>
      </c>
    </row>
    <row r="36" spans="1:11" x14ac:dyDescent="0.15">
      <c r="A36" s="11" t="s">
        <v>70</v>
      </c>
      <c r="B36" s="11"/>
      <c r="C36" s="11"/>
      <c r="D36" s="12"/>
      <c r="E36" s="11">
        <v>15000</v>
      </c>
      <c r="F36" s="11">
        <v>3500</v>
      </c>
      <c r="G36" s="11">
        <v>3500</v>
      </c>
      <c r="H36" s="11">
        <v>3500</v>
      </c>
      <c r="I36" s="11">
        <v>3500</v>
      </c>
      <c r="J36" s="11">
        <v>3500</v>
      </c>
      <c r="K36" s="11">
        <v>3500</v>
      </c>
    </row>
    <row r="37" spans="1:11" x14ac:dyDescent="0.15">
      <c r="A37" t="s">
        <v>71</v>
      </c>
      <c r="D37" s="7"/>
      <c r="E37">
        <v>1.6192</v>
      </c>
      <c r="F37">
        <v>1.6445000000000001</v>
      </c>
      <c r="G37">
        <v>1.5471999999999999</v>
      </c>
      <c r="H37">
        <v>1.63</v>
      </c>
      <c r="I37">
        <v>1.3871</v>
      </c>
      <c r="J37">
        <v>1.7181999999999999</v>
      </c>
      <c r="K37">
        <v>1.8001499999999999</v>
      </c>
    </row>
    <row r="38" spans="1:11" x14ac:dyDescent="0.15">
      <c r="A38" t="s">
        <v>72</v>
      </c>
      <c r="D38" s="7"/>
      <c r="E38" s="22">
        <v>1.4333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</row>
    <row r="39" spans="1:11" x14ac:dyDescent="0.15">
      <c r="A39" t="s">
        <v>73</v>
      </c>
      <c r="D39" s="7"/>
      <c r="E39" s="22">
        <v>1.2627999999999999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</row>
    <row r="40" spans="1:11" x14ac:dyDescent="0.15">
      <c r="A40" t="s">
        <v>74</v>
      </c>
      <c r="D40" s="7"/>
      <c r="E40" s="22">
        <v>1.2165999999999999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</row>
    <row r="41" spans="1:11" x14ac:dyDescent="0.15">
      <c r="A41" t="s">
        <v>75</v>
      </c>
      <c r="D41" s="7"/>
      <c r="E41" s="22">
        <v>1.1516999999999999</v>
      </c>
      <c r="F41">
        <v>1.2947</v>
      </c>
      <c r="G41">
        <v>1.3338000000000001</v>
      </c>
      <c r="H41">
        <v>1.34</v>
      </c>
      <c r="I41">
        <v>1.2056</v>
      </c>
      <c r="J41">
        <v>1.4839</v>
      </c>
      <c r="K41">
        <v>1.4468300000000001</v>
      </c>
    </row>
    <row r="42" spans="1:11" x14ac:dyDescent="0.15">
      <c r="A42" t="s">
        <v>76</v>
      </c>
      <c r="D42" s="7"/>
      <c r="E42" s="22">
        <v>1.5015000000000001</v>
      </c>
      <c r="F42">
        <v>1.5410999999999999</v>
      </c>
      <c r="G42">
        <v>1.4404999999999999</v>
      </c>
      <c r="H42">
        <v>1.54</v>
      </c>
      <c r="I42">
        <v>1.3189</v>
      </c>
      <c r="J42">
        <v>1.6412</v>
      </c>
      <c r="K42">
        <v>1.6503300000000001</v>
      </c>
    </row>
    <row r="43" spans="1:11" x14ac:dyDescent="0.15">
      <c r="A43" t="s">
        <v>77</v>
      </c>
      <c r="D43" s="7"/>
      <c r="E43" s="22">
        <v>1.3420000000000001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</row>
    <row r="44" spans="1:11" x14ac:dyDescent="0.15">
      <c r="A44" t="s">
        <v>78</v>
      </c>
      <c r="D44" s="7"/>
      <c r="E44" s="22">
        <v>1.2022999999999999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</row>
    <row r="45" spans="1:11" x14ac:dyDescent="0.15">
      <c r="A45" t="s">
        <v>79</v>
      </c>
      <c r="D45" s="7"/>
      <c r="E45" s="22">
        <v>1.1836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</row>
    <row r="46" spans="1:11" x14ac:dyDescent="0.15">
      <c r="A46" t="s">
        <v>80</v>
      </c>
      <c r="D46" s="7"/>
      <c r="E46" s="22">
        <v>1.1197999999999999</v>
      </c>
      <c r="F46">
        <v>1.1187</v>
      </c>
      <c r="G46">
        <v>1.1204000000000001</v>
      </c>
      <c r="H46">
        <v>1.2</v>
      </c>
      <c r="I46">
        <v>1.0494000000000001</v>
      </c>
      <c r="J46">
        <v>1.2837000000000001</v>
      </c>
      <c r="K46">
        <v>1.34398</v>
      </c>
    </row>
    <row r="47" spans="1:11" x14ac:dyDescent="0.15">
      <c r="A47" t="s">
        <v>81</v>
      </c>
      <c r="D47" s="7"/>
      <c r="E47" s="22">
        <v>45.363999999999997</v>
      </c>
      <c r="F47">
        <v>49.290999999999997</v>
      </c>
      <c r="G47">
        <v>49.45</v>
      </c>
      <c r="H47">
        <v>50.52</v>
      </c>
      <c r="I47">
        <v>42.9</v>
      </c>
      <c r="J47">
        <v>56.76</v>
      </c>
      <c r="K47">
        <v>60.313000000000002</v>
      </c>
    </row>
    <row r="48" spans="1:1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15">
      <c r="A49" s="9" t="s">
        <v>490</v>
      </c>
      <c r="D49" s="7"/>
      <c r="E49" s="23" t="s">
        <v>1044</v>
      </c>
      <c r="F49" s="23" t="s">
        <v>591</v>
      </c>
      <c r="G49" s="23" t="s">
        <v>555</v>
      </c>
      <c r="H49" s="23" t="s">
        <v>544</v>
      </c>
      <c r="I49" s="23" t="s">
        <v>514</v>
      </c>
      <c r="J49" s="23" t="s">
        <v>615</v>
      </c>
      <c r="K49" s="23" t="s">
        <v>595</v>
      </c>
    </row>
    <row r="50" spans="1:11" x14ac:dyDescent="0.15">
      <c r="A50" t="s">
        <v>491</v>
      </c>
      <c r="D50" s="7"/>
      <c r="E50" s="24" t="s">
        <v>560</v>
      </c>
      <c r="F50" s="25" t="s">
        <v>541</v>
      </c>
      <c r="G50" s="25" t="s">
        <v>492</v>
      </c>
      <c r="H50" s="25" t="s">
        <v>494</v>
      </c>
      <c r="I50" s="24" t="s">
        <v>560</v>
      </c>
      <c r="J50" s="25" t="s">
        <v>494</v>
      </c>
      <c r="K50" s="25" t="s">
        <v>494</v>
      </c>
    </row>
    <row r="51" spans="1:11" x14ac:dyDescent="0.15">
      <c r="A51" t="s">
        <v>496</v>
      </c>
      <c r="D51" s="7"/>
      <c r="E51" s="25" t="s">
        <v>498</v>
      </c>
      <c r="F51" s="25" t="s">
        <v>497</v>
      </c>
      <c r="G51" s="25" t="s">
        <v>526</v>
      </c>
      <c r="H51" s="25" t="s">
        <v>493</v>
      </c>
      <c r="I51" s="25" t="s">
        <v>498</v>
      </c>
      <c r="J51" s="25" t="s">
        <v>498</v>
      </c>
      <c r="K51" s="25" t="s">
        <v>498</v>
      </c>
    </row>
    <row r="52" spans="1:11" x14ac:dyDescent="0.15">
      <c r="A52" t="s">
        <v>499</v>
      </c>
      <c r="D52" s="7"/>
      <c r="E52" s="25" t="s">
        <v>512</v>
      </c>
      <c r="F52" s="25" t="s">
        <v>500</v>
      </c>
      <c r="G52" s="25" t="s">
        <v>512</v>
      </c>
      <c r="H52" s="25" t="s">
        <v>493</v>
      </c>
      <c r="I52" s="25" t="s">
        <v>512</v>
      </c>
      <c r="J52" s="25" t="s">
        <v>512</v>
      </c>
      <c r="K52" s="25" t="s">
        <v>512</v>
      </c>
    </row>
    <row r="53" spans="1:11" x14ac:dyDescent="0.15">
      <c r="A53" t="s">
        <v>501</v>
      </c>
      <c r="D53" s="7"/>
      <c r="E53" s="25" t="s">
        <v>494</v>
      </c>
      <c r="F53" s="25" t="s">
        <v>494</v>
      </c>
      <c r="G53" s="24" t="s">
        <v>540</v>
      </c>
      <c r="H53" s="24" t="s">
        <v>558</v>
      </c>
      <c r="I53" s="25" t="s">
        <v>494</v>
      </c>
      <c r="J53" s="24" t="s">
        <v>556</v>
      </c>
      <c r="K53" s="24" t="s">
        <v>436</v>
      </c>
    </row>
    <row r="54" spans="1:11" x14ac:dyDescent="0.15">
      <c r="A54" t="s">
        <v>442</v>
      </c>
      <c r="D54" s="7"/>
      <c r="E54" s="25" t="s">
        <v>512</v>
      </c>
      <c r="F54" s="25" t="s">
        <v>494</v>
      </c>
      <c r="G54" s="25" t="s">
        <v>494</v>
      </c>
      <c r="H54" s="25" t="s">
        <v>493</v>
      </c>
      <c r="I54" s="25" t="s">
        <v>494</v>
      </c>
      <c r="J54" s="25" t="s">
        <v>494</v>
      </c>
      <c r="K54" s="25" t="s">
        <v>494</v>
      </c>
    </row>
    <row r="55" spans="1:11" x14ac:dyDescent="0.15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</row>
  </sheetData>
  <sheetProtection algorithmName="SHA-512" hashValue="Zj6lIu4zzTSU4SaUQGQ2ysN0exdjHY/Hyta2uNlxqPoJ9QYDqH6YbsxXtDTwi6f4lelSts6Qb+/Rw0tIbqfLNg==" saltValue="ltueu3lluh2nVpv8mfAdD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/>
  <dimension ref="A1:K59"/>
  <sheetViews>
    <sheetView topLeftCell="A5" zoomScale="125" workbookViewId="0">
      <selection activeCell="A5" sqref="A5:D5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101</v>
      </c>
    </row>
    <row r="2" spans="1:11" x14ac:dyDescent="0.15">
      <c r="A2" s="26"/>
      <c r="B2" s="27"/>
      <c r="C2" s="27"/>
      <c r="D2" s="27"/>
      <c r="E2" s="28"/>
      <c r="F2" s="28"/>
      <c r="G2" s="28"/>
      <c r="H2" s="28"/>
      <c r="I2" s="28"/>
      <c r="J2" s="28"/>
      <c r="K2" s="28"/>
    </row>
    <row r="3" spans="1:11" x14ac:dyDescent="0.15">
      <c r="A3" s="4" t="s">
        <v>103</v>
      </c>
      <c r="B3" s="5"/>
      <c r="C3" s="5"/>
      <c r="D3" s="6"/>
    </row>
    <row r="4" spans="1:11" x14ac:dyDescent="0.15">
      <c r="D4" s="7"/>
      <c r="E4" s="8" t="s">
        <v>102</v>
      </c>
    </row>
    <row r="5" spans="1:11" x14ac:dyDescent="0.15">
      <c r="A5" s="9" t="s">
        <v>83</v>
      </c>
      <c r="D5" s="7"/>
    </row>
    <row r="6" spans="1:11" x14ac:dyDescent="0.15">
      <c r="A6" s="9" t="s">
        <v>1024</v>
      </c>
      <c r="D6" s="7"/>
      <c r="E6" s="10" t="s">
        <v>1044</v>
      </c>
      <c r="F6" s="10" t="s">
        <v>591</v>
      </c>
      <c r="G6" s="10" t="s">
        <v>555</v>
      </c>
      <c r="H6" s="10" t="s">
        <v>544</v>
      </c>
      <c r="I6" s="10" t="s">
        <v>514</v>
      </c>
      <c r="J6" s="10" t="s">
        <v>615</v>
      </c>
      <c r="K6" s="10" t="s">
        <v>515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t="s">
        <v>67</v>
      </c>
      <c r="D11" s="7"/>
      <c r="E11" s="15">
        <v>6000</v>
      </c>
      <c r="F11">
        <v>4000</v>
      </c>
      <c r="G11">
        <v>4000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1" t="s">
        <v>84</v>
      </c>
      <c r="B12" s="11"/>
      <c r="C12" s="11"/>
      <c r="D12" s="12"/>
      <c r="E12" s="11">
        <v>12000</v>
      </c>
      <c r="F12" s="11">
        <v>12000</v>
      </c>
      <c r="G12" s="11">
        <v>12000</v>
      </c>
      <c r="H12" s="11">
        <v>4000</v>
      </c>
      <c r="I12" s="11">
        <v>12000</v>
      </c>
      <c r="J12" s="11">
        <v>12000</v>
      </c>
      <c r="K12" s="11">
        <v>12000</v>
      </c>
    </row>
    <row r="13" spans="1:11" x14ac:dyDescent="0.15">
      <c r="A13" t="s">
        <v>71</v>
      </c>
      <c r="D13" s="7"/>
      <c r="E13">
        <v>1.5872999999999999</v>
      </c>
      <c r="F13">
        <v>1.5818000000000001</v>
      </c>
      <c r="G13">
        <v>1.5898000000000001</v>
      </c>
      <c r="H13">
        <v>1.64</v>
      </c>
      <c r="I13">
        <v>1.5410999999999999</v>
      </c>
      <c r="J13">
        <v>1.7644</v>
      </c>
      <c r="K13">
        <v>1.7253499999999999</v>
      </c>
    </row>
    <row r="14" spans="1:11" x14ac:dyDescent="0.15">
      <c r="A14" t="s">
        <v>72</v>
      </c>
      <c r="D14" s="7"/>
      <c r="E14">
        <v>1.4256</v>
      </c>
      <c r="F14">
        <v>1.4926999999999999</v>
      </c>
      <c r="G14">
        <v>1.4938</v>
      </c>
      <c r="H14">
        <v>0</v>
      </c>
      <c r="I14">
        <v>1.4641</v>
      </c>
      <c r="J14">
        <v>1.6731</v>
      </c>
      <c r="K14">
        <v>1.5943400000000001</v>
      </c>
    </row>
    <row r="15" spans="1:11" x14ac:dyDescent="0.15">
      <c r="A15" t="s">
        <v>75</v>
      </c>
      <c r="D15" s="7"/>
      <c r="E15">
        <v>1.1715</v>
      </c>
      <c r="F15">
        <v>1.155</v>
      </c>
      <c r="G15">
        <v>1.1204000000000001</v>
      </c>
      <c r="H15">
        <v>1.53</v>
      </c>
      <c r="I15">
        <v>1.1318999999999999</v>
      </c>
      <c r="J15">
        <v>1.2947</v>
      </c>
      <c r="K15">
        <v>1.0775600000000001</v>
      </c>
    </row>
    <row r="16" spans="1:11" x14ac:dyDescent="0.15">
      <c r="A16" t="s">
        <v>76</v>
      </c>
      <c r="D16" s="7"/>
      <c r="E16">
        <v>1.518</v>
      </c>
      <c r="F16">
        <v>1.4762</v>
      </c>
      <c r="G16">
        <v>1.5258</v>
      </c>
      <c r="H16">
        <v>1.58</v>
      </c>
      <c r="I16">
        <v>1.4619</v>
      </c>
      <c r="J16">
        <v>1.6852</v>
      </c>
      <c r="K16">
        <v>1.69092</v>
      </c>
    </row>
    <row r="17" spans="1:11" x14ac:dyDescent="0.15">
      <c r="A17" t="s">
        <v>77</v>
      </c>
      <c r="D17" s="7"/>
      <c r="E17">
        <v>1.3794</v>
      </c>
      <c r="F17">
        <v>1.4729000000000001</v>
      </c>
      <c r="G17">
        <v>1.4511000000000001</v>
      </c>
      <c r="H17">
        <v>0</v>
      </c>
      <c r="I17">
        <v>1.3958999999999999</v>
      </c>
      <c r="J17">
        <v>1.6214</v>
      </c>
      <c r="K17">
        <v>1.54484</v>
      </c>
    </row>
    <row r="18" spans="1:11" x14ac:dyDescent="0.15">
      <c r="A18" t="s">
        <v>80</v>
      </c>
      <c r="D18" s="7"/>
      <c r="E18">
        <v>1.1197999999999999</v>
      </c>
      <c r="F18" s="22">
        <v>1.1175999999999999</v>
      </c>
      <c r="G18">
        <v>1.0883</v>
      </c>
      <c r="H18">
        <v>1.51</v>
      </c>
      <c r="I18">
        <v>1.0989</v>
      </c>
      <c r="J18">
        <v>1.2551000000000001</v>
      </c>
      <c r="K18">
        <v>1.0270699999999999</v>
      </c>
    </row>
    <row r="19" spans="1:11" x14ac:dyDescent="0.15">
      <c r="A19" t="s">
        <v>81</v>
      </c>
      <c r="D19" s="7"/>
      <c r="E19">
        <v>51.04</v>
      </c>
      <c r="F19">
        <v>50.49</v>
      </c>
      <c r="G19">
        <v>51.5</v>
      </c>
      <c r="H19">
        <v>54.75</v>
      </c>
      <c r="I19">
        <v>47.3</v>
      </c>
      <c r="J19">
        <v>56.65</v>
      </c>
      <c r="K19">
        <v>69.135000000000005</v>
      </c>
    </row>
    <row r="20" spans="1:11" x14ac:dyDescent="0.15">
      <c r="D20" s="7"/>
    </row>
    <row r="21" spans="1:11" x14ac:dyDescent="0.15">
      <c r="A21" s="9" t="s">
        <v>85</v>
      </c>
      <c r="D21" s="7"/>
    </row>
    <row r="22" spans="1:11" x14ac:dyDescent="0.15">
      <c r="A22" s="9" t="s">
        <v>488</v>
      </c>
      <c r="D22" s="7"/>
      <c r="E22" s="10" t="s">
        <v>1044</v>
      </c>
      <c r="F22" s="10" t="s">
        <v>591</v>
      </c>
      <c r="G22" s="10" t="s">
        <v>555</v>
      </c>
      <c r="H22" s="10" t="s">
        <v>544</v>
      </c>
      <c r="I22" s="10" t="s">
        <v>514</v>
      </c>
      <c r="J22" s="10" t="s">
        <v>615</v>
      </c>
      <c r="K22" s="10" t="s">
        <v>515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</row>
    <row r="27" spans="1:11" x14ac:dyDescent="0.15">
      <c r="A27" t="s">
        <v>67</v>
      </c>
      <c r="D27" s="7"/>
      <c r="E27" s="15">
        <v>6000</v>
      </c>
      <c r="F27" s="15">
        <v>3200</v>
      </c>
      <c r="G27" s="15">
        <v>3200</v>
      </c>
      <c r="H27" s="15">
        <v>3200</v>
      </c>
      <c r="I27" s="15">
        <v>3200</v>
      </c>
      <c r="J27" s="15">
        <v>3200</v>
      </c>
      <c r="K27" s="15">
        <v>3200</v>
      </c>
    </row>
    <row r="28" spans="1:11" x14ac:dyDescent="0.15">
      <c r="A28" s="11" t="s">
        <v>68</v>
      </c>
      <c r="B28" s="11"/>
      <c r="C28" s="11"/>
      <c r="D28" s="12"/>
      <c r="E28" s="11">
        <v>12000</v>
      </c>
      <c r="F28" s="11">
        <v>3200</v>
      </c>
      <c r="G28" s="11">
        <v>3200</v>
      </c>
      <c r="H28" s="11">
        <v>3200</v>
      </c>
      <c r="I28" s="11">
        <v>3200</v>
      </c>
      <c r="J28" s="11">
        <v>3200</v>
      </c>
      <c r="K28" s="11">
        <v>3200</v>
      </c>
    </row>
    <row r="29" spans="1:11" x14ac:dyDescent="0.15">
      <c r="A29" t="s">
        <v>71</v>
      </c>
      <c r="D29" s="7"/>
      <c r="E29">
        <v>1.5213000000000001</v>
      </c>
      <c r="F29">
        <v>1.6335</v>
      </c>
      <c r="G29">
        <v>1.5471999999999999</v>
      </c>
      <c r="H29">
        <v>1.61</v>
      </c>
      <c r="I29">
        <v>1.4069</v>
      </c>
      <c r="J29">
        <v>1.6973</v>
      </c>
      <c r="K29">
        <v>1.78376</v>
      </c>
    </row>
    <row r="30" spans="1:11" x14ac:dyDescent="0.15">
      <c r="A30" t="s">
        <v>72</v>
      </c>
      <c r="D30" s="7"/>
      <c r="E30">
        <v>1.3156000000000001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75</v>
      </c>
      <c r="D31" s="7"/>
      <c r="E31">
        <v>1.2407999999999999</v>
      </c>
      <c r="F31">
        <v>1.3288</v>
      </c>
      <c r="G31">
        <v>1.3764000000000001</v>
      </c>
      <c r="H31">
        <v>1.4</v>
      </c>
      <c r="I31">
        <v>1.2528999999999999</v>
      </c>
      <c r="J31">
        <v>1.4971000000000001</v>
      </c>
      <c r="K31">
        <v>1.51756</v>
      </c>
    </row>
    <row r="32" spans="1:11" x14ac:dyDescent="0.15">
      <c r="A32" t="s">
        <v>76</v>
      </c>
      <c r="D32" s="7"/>
      <c r="E32">
        <v>1.4729000000000001</v>
      </c>
      <c r="F32">
        <v>1.5345</v>
      </c>
      <c r="G32">
        <v>1.4511000000000001</v>
      </c>
      <c r="H32">
        <v>1.54</v>
      </c>
      <c r="I32">
        <v>1.3012999999999999</v>
      </c>
      <c r="J32">
        <v>1.5906</v>
      </c>
      <c r="K32">
        <v>1.7441599999999999</v>
      </c>
    </row>
    <row r="33" spans="1:11" x14ac:dyDescent="0.15">
      <c r="A33" t="s">
        <v>86</v>
      </c>
      <c r="D33" s="7"/>
      <c r="E33">
        <v>1.2748999999999999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80</v>
      </c>
      <c r="D34" s="7"/>
      <c r="E34">
        <v>1.1990000000000001</v>
      </c>
      <c r="F34">
        <v>1.2990999999999999</v>
      </c>
      <c r="G34">
        <v>1.2910999999999999</v>
      </c>
      <c r="H34">
        <v>1.35</v>
      </c>
      <c r="I34">
        <v>1.1693</v>
      </c>
      <c r="J34">
        <v>1.4200999999999999</v>
      </c>
      <c r="K34">
        <v>1.4752099999999999</v>
      </c>
    </row>
    <row r="35" spans="1:11" x14ac:dyDescent="0.15">
      <c r="A35" t="s">
        <v>81</v>
      </c>
      <c r="D35" s="7"/>
      <c r="E35">
        <v>51.029000000000003</v>
      </c>
      <c r="F35">
        <v>49.093000000000004</v>
      </c>
      <c r="G35">
        <v>49.75</v>
      </c>
      <c r="H35">
        <v>52.43</v>
      </c>
      <c r="I35">
        <v>46.2</v>
      </c>
      <c r="J35">
        <v>53.46</v>
      </c>
      <c r="K35">
        <v>62.029000000000003</v>
      </c>
    </row>
    <row r="36" spans="1:11" x14ac:dyDescent="0.15">
      <c r="D36" s="7"/>
    </row>
    <row r="37" spans="1:11" x14ac:dyDescent="0.15">
      <c r="A37" s="9" t="s">
        <v>85</v>
      </c>
      <c r="D37" s="7"/>
    </row>
    <row r="38" spans="1:11" x14ac:dyDescent="0.15">
      <c r="A38" s="9" t="s">
        <v>1028</v>
      </c>
      <c r="D38" s="7"/>
      <c r="E38" s="10" t="s">
        <v>1044</v>
      </c>
      <c r="F38" s="10" t="s">
        <v>591</v>
      </c>
      <c r="G38" s="10" t="s">
        <v>555</v>
      </c>
      <c r="H38" s="10" t="s">
        <v>544</v>
      </c>
      <c r="I38" s="10" t="s">
        <v>514</v>
      </c>
      <c r="J38" s="10" t="s">
        <v>615</v>
      </c>
      <c r="K38" s="10" t="s">
        <v>515</v>
      </c>
    </row>
    <row r="39" spans="1:11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</row>
    <row r="40" spans="1:11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</row>
    <row r="41" spans="1:11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</row>
    <row r="42" spans="1:11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</row>
    <row r="43" spans="1:11" x14ac:dyDescent="0.15">
      <c r="A43" t="s">
        <v>67</v>
      </c>
      <c r="D43" s="7"/>
      <c r="E43" s="15">
        <v>6000</v>
      </c>
      <c r="F43">
        <v>4000</v>
      </c>
      <c r="G43">
        <v>4000</v>
      </c>
      <c r="H43">
        <v>4000</v>
      </c>
      <c r="I43">
        <v>4000</v>
      </c>
      <c r="J43">
        <v>4000</v>
      </c>
      <c r="K43">
        <v>4000</v>
      </c>
    </row>
    <row r="44" spans="1:11" x14ac:dyDescent="0.15">
      <c r="A44" s="11" t="s">
        <v>84</v>
      </c>
      <c r="B44" s="11"/>
      <c r="C44" s="11"/>
      <c r="D44" s="12"/>
      <c r="E44" s="11">
        <v>12000</v>
      </c>
      <c r="F44" s="11">
        <v>12000</v>
      </c>
      <c r="G44" s="11">
        <v>12000</v>
      </c>
      <c r="H44" s="11">
        <v>4000</v>
      </c>
      <c r="I44" s="11">
        <v>12000</v>
      </c>
      <c r="J44" s="11">
        <v>12000</v>
      </c>
      <c r="K44" s="11">
        <v>12000</v>
      </c>
    </row>
    <row r="45" spans="1:11" x14ac:dyDescent="0.15">
      <c r="A45" t="s">
        <v>71</v>
      </c>
      <c r="D45" s="7"/>
      <c r="E45">
        <v>1.5587</v>
      </c>
      <c r="F45">
        <v>1.6093</v>
      </c>
      <c r="G45">
        <v>1.6217999999999999</v>
      </c>
      <c r="H45">
        <v>1.63</v>
      </c>
      <c r="I45">
        <v>1.4399</v>
      </c>
      <c r="J45">
        <v>1.7281</v>
      </c>
      <c r="K45">
        <v>1.78904</v>
      </c>
    </row>
    <row r="46" spans="1:11" x14ac:dyDescent="0.15">
      <c r="A46" t="s">
        <v>72</v>
      </c>
      <c r="D46" s="7"/>
      <c r="E46">
        <v>1.3101</v>
      </c>
      <c r="F46">
        <v>1.4212</v>
      </c>
      <c r="G46">
        <v>1.4404999999999999</v>
      </c>
      <c r="H46">
        <v>0</v>
      </c>
      <c r="I46">
        <v>1.2748999999999999</v>
      </c>
      <c r="J46">
        <v>1.5301</v>
      </c>
      <c r="K46">
        <v>1.5011699999999999</v>
      </c>
    </row>
    <row r="47" spans="1:11" x14ac:dyDescent="0.15">
      <c r="A47" t="s">
        <v>75</v>
      </c>
      <c r="D47" s="7"/>
      <c r="E47">
        <v>1.1659999999999999</v>
      </c>
      <c r="F47">
        <v>1.1979</v>
      </c>
      <c r="G47">
        <v>1.2057</v>
      </c>
      <c r="H47">
        <v>1.45</v>
      </c>
      <c r="I47">
        <v>1.0592999999999999</v>
      </c>
      <c r="J47">
        <v>1.2958000000000001</v>
      </c>
      <c r="K47">
        <v>1.1757899999999999</v>
      </c>
    </row>
    <row r="48" spans="1:11" x14ac:dyDescent="0.15">
      <c r="A48" t="s">
        <v>76</v>
      </c>
      <c r="D48" s="7"/>
      <c r="E48">
        <v>1.5257000000000001</v>
      </c>
      <c r="F48">
        <v>1.5928</v>
      </c>
      <c r="G48">
        <v>1.5791999999999999</v>
      </c>
      <c r="H48">
        <v>1.58</v>
      </c>
      <c r="I48">
        <v>1.4003000000000001</v>
      </c>
      <c r="J48">
        <v>1.6995</v>
      </c>
      <c r="K48">
        <v>1.1757899999999999</v>
      </c>
    </row>
    <row r="49" spans="1:11" x14ac:dyDescent="0.15">
      <c r="A49" t="s">
        <v>77</v>
      </c>
      <c r="D49" s="7"/>
      <c r="E49">
        <v>1.2627999999999999</v>
      </c>
      <c r="F49">
        <v>1.3783000000000001</v>
      </c>
      <c r="G49">
        <v>1.3764000000000001</v>
      </c>
      <c r="H49">
        <v>0</v>
      </c>
      <c r="I49">
        <v>1.2242999999999999</v>
      </c>
      <c r="J49">
        <v>1.5125</v>
      </c>
      <c r="K49">
        <v>1.75318</v>
      </c>
    </row>
    <row r="50" spans="1:11" x14ac:dyDescent="0.15">
      <c r="A50" t="s">
        <v>80</v>
      </c>
      <c r="D50" s="7"/>
      <c r="E50">
        <v>1.1296999999999999</v>
      </c>
      <c r="F50">
        <v>1.1417999999999999</v>
      </c>
      <c r="G50">
        <v>1.1416999999999999</v>
      </c>
      <c r="H50">
        <v>1.42</v>
      </c>
      <c r="I50">
        <v>1.0263</v>
      </c>
      <c r="J50">
        <v>1.2286999999999999</v>
      </c>
      <c r="K50">
        <v>1.4504600000000001</v>
      </c>
    </row>
    <row r="51" spans="1:11" x14ac:dyDescent="0.15">
      <c r="A51" t="s">
        <v>81</v>
      </c>
      <c r="D51" s="7"/>
      <c r="E51">
        <v>50.875</v>
      </c>
      <c r="F51">
        <v>49.511000000000003</v>
      </c>
      <c r="G51">
        <v>51.16</v>
      </c>
      <c r="H51">
        <v>53.45</v>
      </c>
      <c r="I51">
        <v>47.3</v>
      </c>
      <c r="J51">
        <v>54.56</v>
      </c>
      <c r="K51">
        <v>69.135000000000005</v>
      </c>
    </row>
    <row r="52" spans="1:11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15">
      <c r="A53" s="9" t="s">
        <v>490</v>
      </c>
      <c r="D53" s="7"/>
      <c r="E53" s="23" t="s">
        <v>1044</v>
      </c>
      <c r="F53" s="23" t="s">
        <v>591</v>
      </c>
      <c r="G53" s="23" t="s">
        <v>555</v>
      </c>
      <c r="H53" s="23" t="s">
        <v>544</v>
      </c>
      <c r="I53" s="23" t="s">
        <v>514</v>
      </c>
      <c r="J53" s="23" t="s">
        <v>615</v>
      </c>
      <c r="K53" s="23" t="s">
        <v>595</v>
      </c>
    </row>
    <row r="54" spans="1:11" x14ac:dyDescent="0.15">
      <c r="A54" t="s">
        <v>491</v>
      </c>
      <c r="D54" s="7"/>
      <c r="E54" s="24" t="s">
        <v>560</v>
      </c>
      <c r="F54" s="25" t="s">
        <v>541</v>
      </c>
      <c r="G54" s="25" t="s">
        <v>492</v>
      </c>
      <c r="H54" s="25" t="s">
        <v>494</v>
      </c>
      <c r="I54" s="24" t="s">
        <v>560</v>
      </c>
      <c r="J54" s="25" t="s">
        <v>494</v>
      </c>
      <c r="K54" s="25" t="s">
        <v>494</v>
      </c>
    </row>
    <row r="55" spans="1:11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493</v>
      </c>
      <c r="I55" s="25" t="s">
        <v>498</v>
      </c>
      <c r="J55" s="25" t="s">
        <v>498</v>
      </c>
      <c r="K55" s="25" t="s">
        <v>498</v>
      </c>
    </row>
    <row r="56" spans="1:11" x14ac:dyDescent="0.15">
      <c r="A56" t="s">
        <v>499</v>
      </c>
      <c r="D56" s="7"/>
      <c r="E56" s="25" t="s">
        <v>512</v>
      </c>
      <c r="F56" s="25" t="s">
        <v>500</v>
      </c>
      <c r="G56" s="25" t="s">
        <v>512</v>
      </c>
      <c r="H56" s="25" t="s">
        <v>493</v>
      </c>
      <c r="I56" s="25" t="s">
        <v>512</v>
      </c>
      <c r="J56" s="25" t="s">
        <v>512</v>
      </c>
      <c r="K56" s="25" t="s">
        <v>512</v>
      </c>
    </row>
    <row r="57" spans="1:11" x14ac:dyDescent="0.15">
      <c r="A57" t="s">
        <v>501</v>
      </c>
      <c r="D57" s="7"/>
      <c r="E57" s="25" t="s">
        <v>494</v>
      </c>
      <c r="F57" s="25" t="s">
        <v>494</v>
      </c>
      <c r="G57" s="24" t="s">
        <v>540</v>
      </c>
      <c r="H57" s="24" t="s">
        <v>558</v>
      </c>
      <c r="I57" s="25" t="s">
        <v>494</v>
      </c>
      <c r="J57" s="24" t="s">
        <v>556</v>
      </c>
      <c r="K57" s="24" t="s">
        <v>436</v>
      </c>
    </row>
    <row r="58" spans="1:11" x14ac:dyDescent="0.15">
      <c r="A58" t="s">
        <v>442</v>
      </c>
      <c r="D58" s="7"/>
      <c r="E58" s="25" t="s">
        <v>512</v>
      </c>
      <c r="F58" s="25" t="s">
        <v>494</v>
      </c>
      <c r="G58" s="25" t="s">
        <v>494</v>
      </c>
      <c r="H58" s="25" t="s">
        <v>493</v>
      </c>
      <c r="I58" s="25" t="s">
        <v>494</v>
      </c>
      <c r="J58" s="25" t="s">
        <v>494</v>
      </c>
      <c r="K58" s="25" t="s">
        <v>494</v>
      </c>
    </row>
    <row r="59" spans="1:11" x14ac:dyDescent="0.15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</row>
  </sheetData>
  <sheetProtection algorithmName="SHA-512" hashValue="D3OTw5nrSjibP4tnuHPnYpZCIxWwdm71m9kakf0OLmVeeV+Hm4I/LjA1tbBGTcp/7VzO8oZT77kT4nuKp4Vjuw==" saltValue="aP/Y7v3AZ/BEku/hAK/RJw==" spinCount="100000" sheet="1" objects="1" scenarios="1"/>
  <phoneticPr fontId="20" type="noConversion"/>
  <pageMargins left="0.75" right="0.75" top="1" bottom="1" header="0.5" footer="0.5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/>
  <dimension ref="A1:K59"/>
  <sheetViews>
    <sheetView zoomScale="125" workbookViewId="0">
      <selection activeCell="C6" sqref="C6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101</v>
      </c>
    </row>
    <row r="2" spans="1:11" x14ac:dyDescent="0.15">
      <c r="A2" s="29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spans="1:11" x14ac:dyDescent="0.15">
      <c r="A3" s="4" t="s">
        <v>104</v>
      </c>
      <c r="B3" s="5"/>
      <c r="C3" s="5"/>
      <c r="D3" s="6"/>
      <c r="E3" s="5"/>
      <c r="F3" s="5"/>
    </row>
    <row r="4" spans="1:11" x14ac:dyDescent="0.15">
      <c r="D4" s="7"/>
      <c r="E4" s="8" t="s">
        <v>102</v>
      </c>
    </row>
    <row r="5" spans="1:11" x14ac:dyDescent="0.15">
      <c r="A5" s="9" t="s">
        <v>88</v>
      </c>
      <c r="D5" s="7"/>
    </row>
    <row r="6" spans="1:11" x14ac:dyDescent="0.15">
      <c r="A6" s="9" t="s">
        <v>1030</v>
      </c>
      <c r="D6" s="7"/>
      <c r="E6" s="10" t="s">
        <v>1044</v>
      </c>
      <c r="F6" s="10" t="s">
        <v>591</v>
      </c>
      <c r="G6" s="10" t="s">
        <v>555</v>
      </c>
      <c r="H6" s="10" t="s">
        <v>544</v>
      </c>
      <c r="I6" s="10" t="s">
        <v>514</v>
      </c>
      <c r="J6" s="10" t="s">
        <v>615</v>
      </c>
      <c r="K6" s="10" t="s">
        <v>515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t="s">
        <v>67</v>
      </c>
      <c r="D11" s="7"/>
      <c r="E11" s="15">
        <v>6000</v>
      </c>
      <c r="F11" s="15">
        <v>3200</v>
      </c>
      <c r="G11" s="15">
        <v>3200</v>
      </c>
      <c r="H11" s="15">
        <v>3200</v>
      </c>
      <c r="I11" s="15">
        <v>3200</v>
      </c>
      <c r="J11" s="15">
        <v>3200</v>
      </c>
      <c r="K11" s="15">
        <v>3200</v>
      </c>
    </row>
    <row r="12" spans="1:11" x14ac:dyDescent="0.15">
      <c r="A12" s="11" t="s">
        <v>68</v>
      </c>
      <c r="B12" s="11"/>
      <c r="C12" s="11"/>
      <c r="D12" s="12"/>
      <c r="E12" s="11">
        <v>12000</v>
      </c>
      <c r="F12" s="11">
        <v>3200</v>
      </c>
      <c r="G12" s="11">
        <v>3200</v>
      </c>
      <c r="H12" s="11">
        <v>3200</v>
      </c>
      <c r="I12" s="11">
        <v>3200</v>
      </c>
      <c r="J12" s="11">
        <v>3200</v>
      </c>
      <c r="K12" s="11">
        <v>3200</v>
      </c>
    </row>
    <row r="13" spans="1:11" x14ac:dyDescent="0.15">
      <c r="A13" t="s">
        <v>71</v>
      </c>
      <c r="D13" s="7"/>
      <c r="E13">
        <v>1.6620999999999999</v>
      </c>
      <c r="F13">
        <v>1.7302999999999999</v>
      </c>
      <c r="G13">
        <v>1.7072000000000001</v>
      </c>
      <c r="H13">
        <v>1.73</v>
      </c>
      <c r="I13">
        <v>1.5719000000000001</v>
      </c>
      <c r="J13">
        <v>1.8270999999999999</v>
      </c>
      <c r="K13">
        <v>1.9309400000000001</v>
      </c>
    </row>
    <row r="14" spans="1:11" x14ac:dyDescent="0.15">
      <c r="A14" t="s">
        <v>72</v>
      </c>
      <c r="D14" s="7"/>
      <c r="E14">
        <v>1.5267999999999999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</row>
    <row r="15" spans="1:11" x14ac:dyDescent="0.15">
      <c r="A15" t="s">
        <v>75</v>
      </c>
      <c r="D15" s="7"/>
      <c r="E15">
        <v>1.4420999999999999</v>
      </c>
      <c r="F15">
        <v>1.4850000000000001</v>
      </c>
      <c r="G15">
        <v>1.5150999999999999</v>
      </c>
      <c r="H15">
        <v>1.57</v>
      </c>
      <c r="I15">
        <v>1.4036</v>
      </c>
      <c r="J15">
        <v>1.6114999999999999</v>
      </c>
      <c r="K15">
        <v>1.6256900000000001</v>
      </c>
    </row>
    <row r="16" spans="1:11" x14ac:dyDescent="0.15">
      <c r="A16" t="s">
        <v>76</v>
      </c>
      <c r="D16" s="7"/>
      <c r="E16">
        <v>1.3904000000000001</v>
      </c>
      <c r="F16">
        <v>1.4718</v>
      </c>
      <c r="G16">
        <v>1.4618</v>
      </c>
      <c r="H16">
        <v>1.54</v>
      </c>
      <c r="I16">
        <v>1.331</v>
      </c>
      <c r="J16">
        <v>1.5531999999999999</v>
      </c>
      <c r="K16">
        <v>1.6402099999999999</v>
      </c>
    </row>
    <row r="17" spans="1:11" x14ac:dyDescent="0.15">
      <c r="A17" t="s">
        <v>86</v>
      </c>
      <c r="D17" s="7"/>
      <c r="E17">
        <v>1.2683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80</v>
      </c>
      <c r="D18" s="7"/>
      <c r="E18">
        <v>1.1979</v>
      </c>
      <c r="F18">
        <v>1.2903</v>
      </c>
      <c r="G18">
        <v>1.2804</v>
      </c>
      <c r="H18">
        <v>1.35</v>
      </c>
      <c r="I18">
        <v>1.1516999999999999</v>
      </c>
      <c r="J18">
        <v>1.3684000000000001</v>
      </c>
      <c r="K18">
        <v>1.6402099999999999</v>
      </c>
    </row>
    <row r="19" spans="1:11" x14ac:dyDescent="0.15">
      <c r="A19" t="s">
        <v>81</v>
      </c>
      <c r="D19" s="7"/>
      <c r="E19">
        <v>48.674999999999997</v>
      </c>
      <c r="F19">
        <v>47.728999999999999</v>
      </c>
      <c r="G19">
        <v>48.03</v>
      </c>
      <c r="H19">
        <v>50.6</v>
      </c>
      <c r="I19">
        <v>44</v>
      </c>
      <c r="J19">
        <v>50.49</v>
      </c>
      <c r="K19">
        <v>1.2729200000000001</v>
      </c>
    </row>
    <row r="20" spans="1:11" x14ac:dyDescent="0.15">
      <c r="D20" s="7"/>
    </row>
    <row r="21" spans="1:11" x14ac:dyDescent="0.15">
      <c r="A21" s="9" t="s">
        <v>89</v>
      </c>
      <c r="D21" s="7"/>
    </row>
    <row r="22" spans="1:11" x14ac:dyDescent="0.15">
      <c r="A22" s="9" t="s">
        <v>1032</v>
      </c>
      <c r="D22" s="7"/>
      <c r="E22" s="10" t="s">
        <v>1044</v>
      </c>
      <c r="F22" s="10" t="s">
        <v>591</v>
      </c>
      <c r="G22" s="10" t="s">
        <v>555</v>
      </c>
      <c r="H22" s="10" t="s">
        <v>544</v>
      </c>
      <c r="I22" s="10" t="s">
        <v>514</v>
      </c>
      <c r="J22" s="10" t="s">
        <v>615</v>
      </c>
      <c r="K22" s="10" t="s">
        <v>515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</row>
    <row r="27" spans="1:11" x14ac:dyDescent="0.15">
      <c r="A27" t="s">
        <v>67</v>
      </c>
      <c r="D27" s="7"/>
      <c r="E27" s="15">
        <v>6000</v>
      </c>
      <c r="F27" s="15">
        <v>3500</v>
      </c>
      <c r="G27" s="15">
        <v>3500</v>
      </c>
      <c r="H27" s="15">
        <v>3500</v>
      </c>
      <c r="I27" s="15">
        <v>3500</v>
      </c>
      <c r="J27" s="15">
        <v>3500</v>
      </c>
      <c r="K27" s="15">
        <v>3500</v>
      </c>
    </row>
    <row r="28" spans="1:11" x14ac:dyDescent="0.15">
      <c r="A28" s="11" t="s">
        <v>68</v>
      </c>
      <c r="B28" s="11"/>
      <c r="C28" s="11"/>
      <c r="D28" s="12"/>
      <c r="E28" s="11">
        <v>12000</v>
      </c>
      <c r="F28" s="11">
        <v>3500</v>
      </c>
      <c r="G28" s="11">
        <v>3500</v>
      </c>
      <c r="H28" s="11">
        <v>3500</v>
      </c>
      <c r="I28" s="11">
        <v>3500</v>
      </c>
      <c r="J28" s="11">
        <v>3500</v>
      </c>
      <c r="K28" s="11">
        <v>3500</v>
      </c>
    </row>
    <row r="29" spans="1:11" x14ac:dyDescent="0.15">
      <c r="A29" t="s">
        <v>71</v>
      </c>
      <c r="D29" s="7"/>
      <c r="E29">
        <v>1.7875000000000001</v>
      </c>
      <c r="F29">
        <v>1.9151</v>
      </c>
      <c r="G29">
        <v>1.7605999999999999</v>
      </c>
      <c r="H29">
        <v>1.85</v>
      </c>
      <c r="I29">
        <v>1.5807</v>
      </c>
      <c r="J29">
        <v>2.0097</v>
      </c>
      <c r="K29">
        <v>1.99936</v>
      </c>
    </row>
    <row r="30" spans="1:11" x14ac:dyDescent="0.15">
      <c r="A30" t="s">
        <v>72</v>
      </c>
      <c r="D30" s="7"/>
      <c r="E30">
        <v>1.5466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75</v>
      </c>
      <c r="D31" s="7"/>
      <c r="E31">
        <v>1.3815999999999999</v>
      </c>
      <c r="F31">
        <v>1.5246</v>
      </c>
      <c r="G31">
        <v>1.5791999999999999</v>
      </c>
      <c r="H31">
        <v>1.67</v>
      </c>
      <c r="I31">
        <v>1.4432</v>
      </c>
      <c r="J31">
        <v>1.7907999999999999</v>
      </c>
      <c r="K31">
        <v>1.7310700000000001</v>
      </c>
    </row>
    <row r="32" spans="1:11" x14ac:dyDescent="0.15">
      <c r="A32" t="s">
        <v>76</v>
      </c>
      <c r="D32" s="7"/>
      <c r="E32">
        <v>1.5630999999999999</v>
      </c>
      <c r="F32">
        <v>1.5697000000000001</v>
      </c>
      <c r="G32">
        <v>1.4618</v>
      </c>
      <c r="H32">
        <v>1.57</v>
      </c>
      <c r="I32">
        <v>1.3254999999999999</v>
      </c>
      <c r="J32">
        <v>1.6489</v>
      </c>
      <c r="K32">
        <v>1.7547200000000001</v>
      </c>
    </row>
    <row r="33" spans="1:11" x14ac:dyDescent="0.15">
      <c r="A33" t="s">
        <v>86</v>
      </c>
      <c r="D33" s="7"/>
      <c r="E33">
        <v>1.3738999999999999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80</v>
      </c>
      <c r="D34" s="7"/>
      <c r="E34">
        <v>1.3024</v>
      </c>
      <c r="F34">
        <v>1.3496999999999999</v>
      </c>
      <c r="G34">
        <v>1.3871</v>
      </c>
      <c r="H34">
        <v>1.39</v>
      </c>
      <c r="I34">
        <v>1.2419</v>
      </c>
      <c r="J34">
        <v>1.5872999999999999</v>
      </c>
      <c r="K34">
        <v>1.52911</v>
      </c>
    </row>
    <row r="35" spans="1:11" x14ac:dyDescent="0.15">
      <c r="A35" t="s">
        <v>81</v>
      </c>
      <c r="D35" s="7"/>
      <c r="E35">
        <v>45.363999999999997</v>
      </c>
      <c r="F35">
        <v>47.069000000000003</v>
      </c>
      <c r="G35">
        <v>47.06</v>
      </c>
      <c r="H35">
        <v>49.15</v>
      </c>
      <c r="I35">
        <v>44</v>
      </c>
      <c r="J35">
        <v>53.46</v>
      </c>
      <c r="K35">
        <v>60.313000000000002</v>
      </c>
    </row>
    <row r="36" spans="1:11" x14ac:dyDescent="0.15">
      <c r="D36" s="7"/>
    </row>
    <row r="37" spans="1:11" x14ac:dyDescent="0.15">
      <c r="A37" s="9" t="s">
        <v>89</v>
      </c>
      <c r="D37" s="7"/>
    </row>
    <row r="38" spans="1:11" x14ac:dyDescent="0.15">
      <c r="A38" s="9" t="s">
        <v>1034</v>
      </c>
      <c r="D38" s="7"/>
      <c r="E38" s="10" t="s">
        <v>1044</v>
      </c>
      <c r="F38" s="10" t="s">
        <v>591</v>
      </c>
      <c r="G38" s="10" t="s">
        <v>555</v>
      </c>
      <c r="H38" s="10" t="s">
        <v>544</v>
      </c>
      <c r="I38" s="10" t="s">
        <v>514</v>
      </c>
      <c r="J38" s="10" t="s">
        <v>615</v>
      </c>
      <c r="K38" s="10" t="s">
        <v>515</v>
      </c>
    </row>
    <row r="39" spans="1:11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</row>
    <row r="40" spans="1:11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</row>
    <row r="41" spans="1:11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</row>
    <row r="42" spans="1:11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</row>
    <row r="43" spans="1:11" x14ac:dyDescent="0.15">
      <c r="A43" t="s">
        <v>67</v>
      </c>
      <c r="D43" s="7"/>
      <c r="E43" s="15">
        <v>6000</v>
      </c>
      <c r="F43" s="15">
        <v>3200</v>
      </c>
      <c r="G43" s="15">
        <v>3200</v>
      </c>
      <c r="H43" s="15">
        <v>3200</v>
      </c>
      <c r="I43" s="15">
        <v>3200</v>
      </c>
      <c r="J43" s="15">
        <v>3200</v>
      </c>
      <c r="K43" s="15">
        <v>3200</v>
      </c>
    </row>
    <row r="44" spans="1:11" x14ac:dyDescent="0.15">
      <c r="A44" s="11" t="s">
        <v>68</v>
      </c>
      <c r="B44" s="11"/>
      <c r="C44" s="11"/>
      <c r="D44" s="12"/>
      <c r="E44" s="11">
        <v>12000</v>
      </c>
      <c r="F44" s="11">
        <v>3200</v>
      </c>
      <c r="G44" s="11">
        <v>3200</v>
      </c>
      <c r="H44" s="11">
        <v>3200</v>
      </c>
      <c r="I44" s="11">
        <v>3200</v>
      </c>
      <c r="J44" s="11">
        <v>3200</v>
      </c>
      <c r="K44" s="11">
        <v>3200</v>
      </c>
    </row>
    <row r="45" spans="1:11" x14ac:dyDescent="0.15">
      <c r="A45" t="s">
        <v>71</v>
      </c>
      <c r="D45" s="7"/>
      <c r="E45">
        <v>1.8249</v>
      </c>
      <c r="F45">
        <v>1.9316</v>
      </c>
      <c r="G45">
        <v>1.9098999999999999</v>
      </c>
      <c r="H45">
        <v>1.95</v>
      </c>
      <c r="I45">
        <v>1.7336</v>
      </c>
      <c r="J45">
        <v>2.0911</v>
      </c>
      <c r="K45">
        <v>2.2121</v>
      </c>
    </row>
    <row r="46" spans="1:11" x14ac:dyDescent="0.15">
      <c r="A46" t="s">
        <v>72</v>
      </c>
      <c r="D46" s="7"/>
      <c r="E46">
        <v>1.4938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</row>
    <row r="47" spans="1:11" x14ac:dyDescent="0.15">
      <c r="A47" t="s">
        <v>75</v>
      </c>
      <c r="D47" s="7"/>
      <c r="E47">
        <v>1.1451</v>
      </c>
      <c r="F47">
        <v>1.4608000000000001</v>
      </c>
      <c r="G47">
        <v>1.5258</v>
      </c>
      <c r="H47">
        <v>1.54</v>
      </c>
      <c r="I47">
        <v>1.4101999999999999</v>
      </c>
      <c r="J47">
        <v>1.6676</v>
      </c>
      <c r="K47">
        <v>1.6320699999999999</v>
      </c>
    </row>
    <row r="48" spans="1:11" x14ac:dyDescent="0.15">
      <c r="A48" t="s">
        <v>76</v>
      </c>
      <c r="D48" s="7"/>
      <c r="E48">
        <v>1.5939000000000001</v>
      </c>
      <c r="F48">
        <v>1.716</v>
      </c>
      <c r="G48">
        <v>1.6217999999999999</v>
      </c>
      <c r="H48">
        <v>1.72</v>
      </c>
      <c r="I48">
        <v>1.5125</v>
      </c>
      <c r="J48">
        <v>1.7830999999999999</v>
      </c>
      <c r="K48">
        <v>1.9658100000000001</v>
      </c>
    </row>
    <row r="49" spans="1:11" x14ac:dyDescent="0.15">
      <c r="A49" t="s">
        <v>86</v>
      </c>
      <c r="D49" s="7"/>
      <c r="E49">
        <v>1.2903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</row>
    <row r="50" spans="1:11" x14ac:dyDescent="0.15">
      <c r="A50" t="s">
        <v>80</v>
      </c>
      <c r="D50" s="7"/>
      <c r="E50">
        <v>1.1121000000000001</v>
      </c>
      <c r="F50">
        <v>1.375</v>
      </c>
      <c r="G50">
        <v>1.4298</v>
      </c>
      <c r="H50">
        <v>1.47</v>
      </c>
      <c r="I50">
        <v>1.2968999999999999</v>
      </c>
      <c r="J50">
        <v>1.5630999999999999</v>
      </c>
      <c r="K50">
        <v>1.4142699999999999</v>
      </c>
    </row>
    <row r="51" spans="1:11" x14ac:dyDescent="0.15">
      <c r="A51" t="s">
        <v>81</v>
      </c>
      <c r="D51" s="7"/>
      <c r="E51">
        <v>51.116999999999997</v>
      </c>
      <c r="F51">
        <v>49.015999999999998</v>
      </c>
      <c r="G51">
        <v>49.23</v>
      </c>
      <c r="H51">
        <v>51.95</v>
      </c>
      <c r="I51">
        <v>46.2</v>
      </c>
      <c r="J51">
        <v>53.79</v>
      </c>
      <c r="K51">
        <v>62.029000000000003</v>
      </c>
    </row>
    <row r="52" spans="1:11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15">
      <c r="A53" s="9" t="s">
        <v>490</v>
      </c>
      <c r="D53" s="7"/>
      <c r="E53" s="23" t="s">
        <v>1044</v>
      </c>
      <c r="F53" s="23" t="s">
        <v>591</v>
      </c>
      <c r="G53" s="23" t="s">
        <v>555</v>
      </c>
      <c r="H53" s="23" t="s">
        <v>544</v>
      </c>
      <c r="I53" s="23" t="s">
        <v>514</v>
      </c>
      <c r="J53" s="23" t="s">
        <v>615</v>
      </c>
      <c r="K53" s="23" t="s">
        <v>595</v>
      </c>
    </row>
    <row r="54" spans="1:11" x14ac:dyDescent="0.15">
      <c r="A54" t="s">
        <v>491</v>
      </c>
      <c r="D54" s="7"/>
      <c r="E54" s="24" t="s">
        <v>560</v>
      </c>
      <c r="F54" s="25" t="s">
        <v>541</v>
      </c>
      <c r="G54" s="25" t="s">
        <v>492</v>
      </c>
      <c r="H54" s="25" t="s">
        <v>494</v>
      </c>
      <c r="I54" s="24" t="s">
        <v>560</v>
      </c>
      <c r="J54" s="25" t="s">
        <v>494</v>
      </c>
      <c r="K54" s="25" t="s">
        <v>494</v>
      </c>
    </row>
    <row r="55" spans="1:11" x14ac:dyDescent="0.15">
      <c r="A55" t="s">
        <v>496</v>
      </c>
      <c r="D55" s="7"/>
      <c r="E55" s="25" t="s">
        <v>498</v>
      </c>
      <c r="F55" s="25" t="s">
        <v>497</v>
      </c>
      <c r="G55" s="25" t="s">
        <v>526</v>
      </c>
      <c r="H55" s="25" t="s">
        <v>493</v>
      </c>
      <c r="I55" s="25" t="s">
        <v>498</v>
      </c>
      <c r="J55" s="25" t="s">
        <v>498</v>
      </c>
      <c r="K55" s="25" t="s">
        <v>498</v>
      </c>
    </row>
    <row r="56" spans="1:11" x14ac:dyDescent="0.15">
      <c r="A56" t="s">
        <v>499</v>
      </c>
      <c r="D56" s="7"/>
      <c r="E56" s="25" t="s">
        <v>512</v>
      </c>
      <c r="F56" s="25" t="s">
        <v>500</v>
      </c>
      <c r="G56" s="25" t="s">
        <v>512</v>
      </c>
      <c r="H56" s="25" t="s">
        <v>493</v>
      </c>
      <c r="I56" s="25" t="s">
        <v>512</v>
      </c>
      <c r="J56" s="25" t="s">
        <v>512</v>
      </c>
      <c r="K56" s="25" t="s">
        <v>512</v>
      </c>
    </row>
    <row r="57" spans="1:11" x14ac:dyDescent="0.15">
      <c r="A57" t="s">
        <v>501</v>
      </c>
      <c r="D57" s="7"/>
      <c r="E57" s="25" t="s">
        <v>494</v>
      </c>
      <c r="F57" s="25" t="s">
        <v>494</v>
      </c>
      <c r="G57" s="24" t="s">
        <v>540</v>
      </c>
      <c r="H57" s="24" t="s">
        <v>558</v>
      </c>
      <c r="I57" s="25" t="s">
        <v>494</v>
      </c>
      <c r="J57" s="24" t="s">
        <v>556</v>
      </c>
      <c r="K57" s="24" t="s">
        <v>436</v>
      </c>
    </row>
    <row r="58" spans="1:11" x14ac:dyDescent="0.15">
      <c r="A58" t="s">
        <v>442</v>
      </c>
      <c r="D58" s="7"/>
      <c r="E58" s="25" t="s">
        <v>512</v>
      </c>
      <c r="F58" s="25" t="s">
        <v>494</v>
      </c>
      <c r="G58" s="25" t="s">
        <v>494</v>
      </c>
      <c r="H58" s="25" t="s">
        <v>493</v>
      </c>
      <c r="I58" s="25" t="s">
        <v>494</v>
      </c>
      <c r="J58" s="25" t="s">
        <v>494</v>
      </c>
      <c r="K58" s="25" t="s">
        <v>494</v>
      </c>
    </row>
    <row r="59" spans="1:11" x14ac:dyDescent="0.15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</row>
  </sheetData>
  <sheetProtection algorithmName="SHA-512" hashValue="q1fCv417d6B6da2GwCy9k0GwOPizD9thS5esSZoynpqHIPXi0atG62FoqiruGm191plUZGDTw7EiCIkB4cuoMQ==" saltValue="d/yTRX7+JR/uRCwcs9heeQ==" spinCount="100000" sheet="1" objects="1" scenarios="1"/>
  <phoneticPr fontId="20" type="noConversion"/>
  <pageMargins left="0.75" right="0.75" top="1" bottom="1" header="0.5" footer="0.5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/>
  <dimension ref="A1:K55"/>
  <sheetViews>
    <sheetView topLeftCell="A14" zoomScale="125" workbookViewId="0">
      <selection activeCell="M60" sqref="M60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101</v>
      </c>
    </row>
    <row r="2" spans="1:11" x14ac:dyDescent="0.15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</row>
    <row r="3" spans="1:11" x14ac:dyDescent="0.15">
      <c r="A3" s="4" t="s">
        <v>61</v>
      </c>
      <c r="B3" s="5"/>
      <c r="C3" s="5"/>
      <c r="D3" s="6"/>
      <c r="E3" s="5"/>
      <c r="F3" s="5"/>
      <c r="G3" s="5"/>
      <c r="H3" s="5"/>
      <c r="I3" s="5"/>
      <c r="J3" s="5"/>
      <c r="K3" s="5"/>
    </row>
    <row r="4" spans="1:11" x14ac:dyDescent="0.15">
      <c r="D4" s="7"/>
      <c r="E4" s="8" t="s">
        <v>105</v>
      </c>
    </row>
    <row r="5" spans="1:11" x14ac:dyDescent="0.15">
      <c r="D5" s="7"/>
    </row>
    <row r="6" spans="1:11" x14ac:dyDescent="0.15">
      <c r="A6" s="9" t="s">
        <v>1074</v>
      </c>
      <c r="D6" s="7"/>
      <c r="E6" s="10" t="s">
        <v>1044</v>
      </c>
      <c r="F6" s="10" t="s">
        <v>591</v>
      </c>
      <c r="G6" s="10" t="s">
        <v>555</v>
      </c>
      <c r="H6" s="10" t="s">
        <v>544</v>
      </c>
      <c r="I6" s="10" t="s">
        <v>514</v>
      </c>
      <c r="J6" s="10" t="s">
        <v>615</v>
      </c>
      <c r="K6" s="10" t="s">
        <v>515</v>
      </c>
    </row>
    <row r="7" spans="1:11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  <c r="K7" s="13">
        <v>0.5</v>
      </c>
    </row>
    <row r="8" spans="1:11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  <c r="K8" s="15">
        <v>3</v>
      </c>
    </row>
    <row r="9" spans="1:11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  <c r="K9" s="13">
        <v>0.5</v>
      </c>
    </row>
    <row r="10" spans="1:11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  <c r="K10" s="15">
        <v>3</v>
      </c>
    </row>
    <row r="11" spans="1:11" x14ac:dyDescent="0.15">
      <c r="A11" t="s">
        <v>67</v>
      </c>
      <c r="D11" s="7"/>
      <c r="E11" s="15">
        <v>3000</v>
      </c>
      <c r="F11" s="15">
        <v>6000</v>
      </c>
      <c r="G11" s="15">
        <v>6000</v>
      </c>
      <c r="H11">
        <v>6000</v>
      </c>
      <c r="I11" s="15">
        <v>6000</v>
      </c>
      <c r="J11" s="15">
        <v>6000</v>
      </c>
      <c r="K11" s="15">
        <v>6000</v>
      </c>
    </row>
    <row r="12" spans="1:11" x14ac:dyDescent="0.15">
      <c r="A12" t="s">
        <v>68</v>
      </c>
      <c r="D12" s="7"/>
      <c r="E12">
        <v>6000</v>
      </c>
      <c r="F12">
        <v>9000</v>
      </c>
      <c r="G12">
        <v>9000</v>
      </c>
      <c r="H12">
        <v>6000</v>
      </c>
      <c r="I12">
        <v>9000</v>
      </c>
      <c r="J12">
        <v>9000</v>
      </c>
      <c r="K12">
        <v>9000</v>
      </c>
    </row>
    <row r="13" spans="1:11" x14ac:dyDescent="0.15">
      <c r="A13" t="s">
        <v>69</v>
      </c>
      <c r="D13" s="7"/>
      <c r="E13">
        <v>9000</v>
      </c>
      <c r="F13" s="15">
        <v>9000</v>
      </c>
      <c r="G13" s="15">
        <v>9000</v>
      </c>
      <c r="H13">
        <v>6000</v>
      </c>
      <c r="I13" s="15">
        <v>9000</v>
      </c>
      <c r="J13" s="15">
        <v>9000</v>
      </c>
      <c r="K13" s="15">
        <v>9000</v>
      </c>
    </row>
    <row r="14" spans="1:11" x14ac:dyDescent="0.15">
      <c r="A14" s="11" t="s">
        <v>70</v>
      </c>
      <c r="B14" s="11"/>
      <c r="C14" s="11"/>
      <c r="D14" s="12"/>
      <c r="E14" s="11">
        <v>15000</v>
      </c>
      <c r="F14" s="11">
        <v>9000</v>
      </c>
      <c r="G14" s="11">
        <v>9000</v>
      </c>
      <c r="H14" s="11">
        <v>6000</v>
      </c>
      <c r="I14" s="11">
        <v>9000</v>
      </c>
      <c r="J14" s="11">
        <v>9000</v>
      </c>
      <c r="K14" s="11">
        <v>9000</v>
      </c>
    </row>
    <row r="15" spans="1:11" x14ac:dyDescent="0.15">
      <c r="A15" t="s">
        <v>71</v>
      </c>
      <c r="D15" s="7"/>
      <c r="E15">
        <v>1.6698</v>
      </c>
      <c r="F15">
        <v>1.6313</v>
      </c>
      <c r="G15">
        <v>1.6964999999999999</v>
      </c>
      <c r="H15">
        <v>1.65</v>
      </c>
      <c r="I15">
        <v>1.5190999999999999</v>
      </c>
      <c r="J15">
        <v>1.7457</v>
      </c>
      <c r="K15">
        <v>2.0121199999999999</v>
      </c>
    </row>
    <row r="16" spans="1:11" x14ac:dyDescent="0.15">
      <c r="A16" t="s">
        <v>72</v>
      </c>
      <c r="D16" s="7"/>
      <c r="E16">
        <v>1.4476</v>
      </c>
      <c r="F16">
        <v>1.2726999999999999</v>
      </c>
      <c r="G16">
        <v>1.2057</v>
      </c>
      <c r="H16">
        <v>0</v>
      </c>
      <c r="I16">
        <v>1.1286</v>
      </c>
      <c r="J16">
        <v>1.2738</v>
      </c>
      <c r="K16">
        <v>1.30647</v>
      </c>
    </row>
    <row r="17" spans="1:11" x14ac:dyDescent="0.15">
      <c r="A17" t="s">
        <v>73</v>
      </c>
      <c r="D17" s="7"/>
      <c r="E17">
        <v>1.1209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74</v>
      </c>
      <c r="D18" s="7"/>
      <c r="E18">
        <v>0.93169999999999997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</row>
    <row r="19" spans="1:11" x14ac:dyDescent="0.15">
      <c r="A19" t="s">
        <v>75</v>
      </c>
      <c r="D19" s="7"/>
      <c r="E19">
        <v>0.80959999999999999</v>
      </c>
      <c r="F19">
        <v>0.8327</v>
      </c>
      <c r="G19">
        <v>0.85360000000000003</v>
      </c>
      <c r="H19">
        <v>1.21</v>
      </c>
      <c r="I19">
        <v>0.81399999999999995</v>
      </c>
      <c r="J19">
        <v>0.87339999999999995</v>
      </c>
      <c r="K19">
        <v>0.76053999999999999</v>
      </c>
    </row>
    <row r="20" spans="1:11" x14ac:dyDescent="0.15">
      <c r="A20" t="s">
        <v>76</v>
      </c>
      <c r="D20" s="7"/>
      <c r="E20">
        <v>1.5466</v>
      </c>
      <c r="F20">
        <v>1.5158</v>
      </c>
      <c r="G20">
        <v>1.6859</v>
      </c>
      <c r="H20">
        <v>1.6</v>
      </c>
      <c r="I20">
        <v>1.4178999999999999</v>
      </c>
      <c r="J20">
        <v>1.6225000000000001</v>
      </c>
      <c r="K20">
        <v>1.8459099999999999</v>
      </c>
    </row>
    <row r="21" spans="1:11" x14ac:dyDescent="0.15">
      <c r="A21" t="s">
        <v>77</v>
      </c>
      <c r="D21" s="7"/>
      <c r="E21">
        <v>1.3541000000000001</v>
      </c>
      <c r="F21">
        <v>1.1274999999999999</v>
      </c>
      <c r="G21">
        <v>1.1737</v>
      </c>
      <c r="H21">
        <v>0</v>
      </c>
      <c r="I21">
        <v>1.0384</v>
      </c>
      <c r="J21">
        <v>1.1066</v>
      </c>
      <c r="K21">
        <v>1.1941600000000001</v>
      </c>
    </row>
    <row r="22" spans="1:11" x14ac:dyDescent="0.15">
      <c r="A22" t="s">
        <v>78</v>
      </c>
      <c r="D22" s="7"/>
      <c r="E22">
        <v>1.0713999999999999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</row>
    <row r="23" spans="1:11" x14ac:dyDescent="0.15">
      <c r="A23" t="s">
        <v>79</v>
      </c>
      <c r="D23" s="7"/>
      <c r="E23">
        <v>0.90639999999999998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</row>
    <row r="24" spans="1:11" x14ac:dyDescent="0.15">
      <c r="A24" t="s">
        <v>80</v>
      </c>
      <c r="D24" s="7"/>
      <c r="E24">
        <v>0.79310000000000003</v>
      </c>
      <c r="F24">
        <v>0.80189999999999995</v>
      </c>
      <c r="G24">
        <v>0.85360000000000003</v>
      </c>
      <c r="H24">
        <v>1.1599999999999999</v>
      </c>
      <c r="I24">
        <v>0.77990000000000004</v>
      </c>
      <c r="J24">
        <v>0.82609999999999995</v>
      </c>
      <c r="K24">
        <v>0.65130999999999994</v>
      </c>
    </row>
    <row r="25" spans="1:11" x14ac:dyDescent="0.15">
      <c r="A25" t="s">
        <v>81</v>
      </c>
      <c r="D25" s="7"/>
      <c r="E25">
        <v>53.481999999999999</v>
      </c>
      <c r="F25">
        <v>52.854999999999997</v>
      </c>
      <c r="G25">
        <v>52.68</v>
      </c>
      <c r="H25">
        <v>54.31</v>
      </c>
      <c r="I25">
        <v>48.4</v>
      </c>
      <c r="J25">
        <v>57</v>
      </c>
      <c r="K25">
        <v>69.135000000000005</v>
      </c>
    </row>
    <row r="26" spans="1:11" x14ac:dyDescent="0.15">
      <c r="D26" s="7"/>
    </row>
    <row r="27" spans="1:11" x14ac:dyDescent="0.15">
      <c r="D27" s="7"/>
    </row>
    <row r="28" spans="1:11" x14ac:dyDescent="0.15">
      <c r="A28" s="9" t="s">
        <v>1076</v>
      </c>
      <c r="D28" s="7"/>
      <c r="E28" s="10" t="s">
        <v>1044</v>
      </c>
      <c r="F28" s="10" t="s">
        <v>591</v>
      </c>
      <c r="G28" s="10" t="s">
        <v>555</v>
      </c>
      <c r="H28" s="10" t="s">
        <v>544</v>
      </c>
      <c r="I28" s="10" t="s">
        <v>514</v>
      </c>
      <c r="J28" s="10" t="s">
        <v>615</v>
      </c>
      <c r="K28" s="10" t="s">
        <v>515</v>
      </c>
    </row>
    <row r="29" spans="1:11" x14ac:dyDescent="0.15">
      <c r="A29" s="1" t="s">
        <v>63</v>
      </c>
      <c r="D29" s="7"/>
      <c r="E29" s="13">
        <v>0.5</v>
      </c>
      <c r="F29" s="13">
        <v>0.5</v>
      </c>
      <c r="G29" s="14">
        <v>0.33329999999999999</v>
      </c>
      <c r="H29" s="14">
        <v>0.33329999999999999</v>
      </c>
      <c r="I29" s="14">
        <v>0.33329999999999999</v>
      </c>
      <c r="J29" s="14">
        <v>0.33329999999999999</v>
      </c>
      <c r="K29" s="13">
        <v>0.5</v>
      </c>
    </row>
    <row r="30" spans="1:11" x14ac:dyDescent="0.15">
      <c r="A30" s="1" t="s">
        <v>64</v>
      </c>
      <c r="D30" s="7"/>
      <c r="E30" s="15">
        <v>3</v>
      </c>
      <c r="F30" s="15">
        <v>3</v>
      </c>
      <c r="G30" s="15">
        <v>2</v>
      </c>
      <c r="H30" s="15">
        <v>2</v>
      </c>
      <c r="I30" s="15">
        <v>2</v>
      </c>
      <c r="J30" s="15">
        <v>2</v>
      </c>
      <c r="K30" s="15">
        <v>3</v>
      </c>
    </row>
    <row r="31" spans="1:11" x14ac:dyDescent="0.15">
      <c r="A31" s="1" t="s">
        <v>65</v>
      </c>
      <c r="D31" s="7"/>
      <c r="E31" s="13">
        <v>0.5</v>
      </c>
      <c r="F31" s="13">
        <v>0.5</v>
      </c>
      <c r="G31" s="14">
        <v>0.66659999999999997</v>
      </c>
      <c r="H31" s="14">
        <v>0.66659999999999997</v>
      </c>
      <c r="I31" s="14">
        <v>0.66659999999999997</v>
      </c>
      <c r="J31" s="14">
        <v>0.66659999999999997</v>
      </c>
      <c r="K31" s="13">
        <v>0.5</v>
      </c>
    </row>
    <row r="32" spans="1:11" x14ac:dyDescent="0.15">
      <c r="A32" s="1" t="s">
        <v>66</v>
      </c>
      <c r="D32" s="7"/>
      <c r="E32" s="15">
        <v>3</v>
      </c>
      <c r="F32" s="15">
        <v>3</v>
      </c>
      <c r="G32" s="15">
        <v>4</v>
      </c>
      <c r="H32" s="15">
        <v>4</v>
      </c>
      <c r="I32" s="15">
        <v>4</v>
      </c>
      <c r="J32" s="15">
        <v>4</v>
      </c>
      <c r="K32" s="15">
        <v>3</v>
      </c>
    </row>
    <row r="33" spans="1:11" x14ac:dyDescent="0.15">
      <c r="A33" t="s">
        <v>67</v>
      </c>
      <c r="D33" s="7"/>
      <c r="E33" s="15">
        <v>3000</v>
      </c>
      <c r="F33" s="15">
        <v>3500</v>
      </c>
      <c r="G33" s="15">
        <v>3500</v>
      </c>
      <c r="H33" s="15">
        <v>3500</v>
      </c>
      <c r="I33" s="15">
        <v>3500</v>
      </c>
      <c r="J33" s="15">
        <v>3500</v>
      </c>
      <c r="K33" s="15">
        <v>3500</v>
      </c>
    </row>
    <row r="34" spans="1:11" x14ac:dyDescent="0.15">
      <c r="A34" t="s">
        <v>68</v>
      </c>
      <c r="D34" s="7"/>
      <c r="E34" s="15">
        <v>6000</v>
      </c>
      <c r="F34" s="15">
        <v>3500</v>
      </c>
      <c r="G34" s="15">
        <v>3500</v>
      </c>
      <c r="H34" s="15">
        <v>3500</v>
      </c>
      <c r="I34" s="15">
        <v>3500</v>
      </c>
      <c r="J34" s="15">
        <v>3500</v>
      </c>
      <c r="K34" s="15">
        <v>3500</v>
      </c>
    </row>
    <row r="35" spans="1:11" x14ac:dyDescent="0.15">
      <c r="A35" t="s">
        <v>69</v>
      </c>
      <c r="D35" s="7"/>
      <c r="E35" s="15">
        <v>9000</v>
      </c>
      <c r="F35" s="15">
        <v>3500</v>
      </c>
      <c r="G35" s="15">
        <v>3500</v>
      </c>
      <c r="H35" s="15">
        <v>3500</v>
      </c>
      <c r="I35" s="15">
        <v>3500</v>
      </c>
      <c r="J35" s="15">
        <v>3500</v>
      </c>
      <c r="K35" s="15">
        <v>3500</v>
      </c>
    </row>
    <row r="36" spans="1:11" x14ac:dyDescent="0.15">
      <c r="A36" s="11" t="s">
        <v>70</v>
      </c>
      <c r="B36" s="11"/>
      <c r="C36" s="11"/>
      <c r="D36" s="12"/>
      <c r="E36" s="11">
        <v>15000</v>
      </c>
      <c r="F36" s="11">
        <v>3500</v>
      </c>
      <c r="G36" s="11">
        <v>3500</v>
      </c>
      <c r="H36" s="11">
        <v>3500</v>
      </c>
      <c r="I36" s="11">
        <v>3500</v>
      </c>
      <c r="J36" s="11">
        <v>3500</v>
      </c>
      <c r="K36" s="11">
        <v>3500</v>
      </c>
    </row>
    <row r="37" spans="1:11" x14ac:dyDescent="0.15">
      <c r="A37" t="s">
        <v>71</v>
      </c>
      <c r="D37" s="7"/>
      <c r="E37">
        <v>1.6192</v>
      </c>
      <c r="F37">
        <v>1.6037999999999999</v>
      </c>
      <c r="G37">
        <v>1.5471999999999999</v>
      </c>
      <c r="H37">
        <v>1.57</v>
      </c>
      <c r="I37">
        <v>1.3871</v>
      </c>
      <c r="J37">
        <v>1.5323</v>
      </c>
      <c r="K37">
        <v>1.8001499999999999</v>
      </c>
    </row>
    <row r="38" spans="1:11" x14ac:dyDescent="0.15">
      <c r="A38" t="s">
        <v>72</v>
      </c>
      <c r="D38" s="7"/>
      <c r="E38" s="22">
        <v>1.4333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</row>
    <row r="39" spans="1:11" x14ac:dyDescent="0.15">
      <c r="A39" t="s">
        <v>73</v>
      </c>
      <c r="D39" s="7"/>
      <c r="E39" s="22">
        <v>1.2627999999999999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</row>
    <row r="40" spans="1:11" x14ac:dyDescent="0.15">
      <c r="A40" t="s">
        <v>74</v>
      </c>
      <c r="D40" s="7"/>
      <c r="E40" s="22">
        <v>1.2165999999999999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</row>
    <row r="41" spans="1:11" x14ac:dyDescent="0.15">
      <c r="A41" t="s">
        <v>75</v>
      </c>
      <c r="D41" s="7"/>
      <c r="E41" s="22">
        <v>1.1516999999999999</v>
      </c>
      <c r="F41">
        <v>1.2627999999999999</v>
      </c>
      <c r="G41">
        <v>1.3338000000000001</v>
      </c>
      <c r="H41">
        <v>1.3</v>
      </c>
      <c r="I41">
        <v>1.2056</v>
      </c>
      <c r="J41">
        <v>1.3232999999999999</v>
      </c>
      <c r="K41">
        <v>1.4468300000000001</v>
      </c>
    </row>
    <row r="42" spans="1:11" x14ac:dyDescent="0.15">
      <c r="A42" t="s">
        <v>76</v>
      </c>
      <c r="D42" s="7"/>
      <c r="E42" s="22">
        <v>1.5015000000000001</v>
      </c>
      <c r="F42">
        <v>1.5037</v>
      </c>
      <c r="G42">
        <v>1.4404999999999999</v>
      </c>
      <c r="H42">
        <v>1.49</v>
      </c>
      <c r="I42">
        <v>1.3189</v>
      </c>
      <c r="J42">
        <v>1.4641</v>
      </c>
      <c r="K42">
        <v>1.6503300000000001</v>
      </c>
    </row>
    <row r="43" spans="1:11" x14ac:dyDescent="0.15">
      <c r="A43" t="s">
        <v>77</v>
      </c>
      <c r="D43" s="7"/>
      <c r="E43" s="22">
        <v>1.3420000000000001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</row>
    <row r="44" spans="1:11" x14ac:dyDescent="0.15">
      <c r="A44" t="s">
        <v>78</v>
      </c>
      <c r="D44" s="7"/>
      <c r="E44" s="22">
        <v>1.2022999999999999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</row>
    <row r="45" spans="1:11" x14ac:dyDescent="0.15">
      <c r="A45" t="s">
        <v>79</v>
      </c>
      <c r="D45" s="7"/>
      <c r="E45" s="22">
        <v>1.1836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</row>
    <row r="46" spans="1:11" x14ac:dyDescent="0.15">
      <c r="A46" t="s">
        <v>80</v>
      </c>
      <c r="D46" s="7"/>
      <c r="E46" s="22">
        <v>1.1197999999999999</v>
      </c>
      <c r="F46">
        <v>1.0911999999999999</v>
      </c>
      <c r="G46">
        <v>1.1204000000000001</v>
      </c>
      <c r="H46">
        <v>1.1599999999999999</v>
      </c>
      <c r="I46">
        <v>1.0494000000000001</v>
      </c>
      <c r="J46">
        <v>1.1451</v>
      </c>
      <c r="K46">
        <v>1.34398</v>
      </c>
    </row>
    <row r="47" spans="1:11" x14ac:dyDescent="0.15">
      <c r="A47" t="s">
        <v>81</v>
      </c>
      <c r="D47" s="7"/>
      <c r="E47" s="22">
        <v>45.363999999999997</v>
      </c>
      <c r="F47">
        <v>48.091999999999999</v>
      </c>
      <c r="G47">
        <v>49.45</v>
      </c>
      <c r="H47">
        <v>48.63</v>
      </c>
      <c r="I47">
        <v>42.9</v>
      </c>
      <c r="J47">
        <v>51</v>
      </c>
      <c r="K47">
        <v>60.313000000000002</v>
      </c>
    </row>
    <row r="48" spans="1:1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15">
      <c r="A49" s="9" t="s">
        <v>490</v>
      </c>
      <c r="D49" s="7"/>
      <c r="E49" s="23" t="s">
        <v>1044</v>
      </c>
      <c r="F49" s="23" t="s">
        <v>591</v>
      </c>
      <c r="G49" s="23" t="s">
        <v>555</v>
      </c>
      <c r="H49" s="23" t="s">
        <v>544</v>
      </c>
      <c r="I49" s="23" t="s">
        <v>514</v>
      </c>
      <c r="J49" s="23" t="s">
        <v>615</v>
      </c>
      <c r="K49" s="23" t="s">
        <v>595</v>
      </c>
    </row>
    <row r="50" spans="1:11" x14ac:dyDescent="0.15">
      <c r="A50" t="s">
        <v>491</v>
      </c>
      <c r="D50" s="7"/>
      <c r="E50" s="24" t="s">
        <v>560</v>
      </c>
      <c r="F50" s="25" t="s">
        <v>494</v>
      </c>
      <c r="G50" s="25" t="s">
        <v>492</v>
      </c>
      <c r="H50" s="25" t="s">
        <v>494</v>
      </c>
      <c r="I50" s="24" t="s">
        <v>560</v>
      </c>
      <c r="J50" s="25" t="s">
        <v>494</v>
      </c>
      <c r="K50" s="25" t="s">
        <v>494</v>
      </c>
    </row>
    <row r="51" spans="1:11" x14ac:dyDescent="0.15">
      <c r="A51" t="s">
        <v>496</v>
      </c>
      <c r="D51" s="7"/>
      <c r="E51" s="25" t="s">
        <v>498</v>
      </c>
      <c r="F51" s="25" t="s">
        <v>494</v>
      </c>
      <c r="G51" s="25" t="s">
        <v>526</v>
      </c>
      <c r="H51" s="25" t="s">
        <v>526</v>
      </c>
      <c r="I51" s="25" t="s">
        <v>498</v>
      </c>
      <c r="J51" s="25" t="s">
        <v>498</v>
      </c>
      <c r="K51" s="25" t="s">
        <v>498</v>
      </c>
    </row>
    <row r="52" spans="1:11" x14ac:dyDescent="0.15">
      <c r="A52" t="s">
        <v>499</v>
      </c>
      <c r="D52" s="7"/>
      <c r="E52" s="25" t="s">
        <v>512</v>
      </c>
      <c r="F52" s="25" t="s">
        <v>494</v>
      </c>
      <c r="G52" s="25" t="s">
        <v>512</v>
      </c>
      <c r="H52" s="25" t="s">
        <v>512</v>
      </c>
      <c r="I52" s="25" t="s">
        <v>512</v>
      </c>
      <c r="J52" s="25" t="s">
        <v>512</v>
      </c>
      <c r="K52" s="25" t="s">
        <v>512</v>
      </c>
    </row>
    <row r="53" spans="1:11" x14ac:dyDescent="0.15">
      <c r="A53" t="s">
        <v>501</v>
      </c>
      <c r="D53" s="7"/>
      <c r="E53" s="25" t="s">
        <v>494</v>
      </c>
      <c r="F53" s="25" t="s">
        <v>494</v>
      </c>
      <c r="G53" s="24" t="s">
        <v>540</v>
      </c>
      <c r="H53" s="24" t="s">
        <v>560</v>
      </c>
      <c r="I53" s="25" t="s">
        <v>494</v>
      </c>
      <c r="J53" s="24" t="s">
        <v>560</v>
      </c>
      <c r="K53" s="24" t="s">
        <v>436</v>
      </c>
    </row>
    <row r="54" spans="1:11" x14ac:dyDescent="0.15">
      <c r="A54" t="s">
        <v>442</v>
      </c>
      <c r="D54" s="7"/>
      <c r="E54" s="25" t="s">
        <v>512</v>
      </c>
      <c r="F54" s="25" t="s">
        <v>494</v>
      </c>
      <c r="G54" s="25" t="s">
        <v>494</v>
      </c>
      <c r="H54" s="25" t="s">
        <v>512</v>
      </c>
      <c r="I54" s="25" t="s">
        <v>494</v>
      </c>
      <c r="J54" s="25" t="s">
        <v>494</v>
      </c>
      <c r="K54" s="25" t="s">
        <v>494</v>
      </c>
    </row>
    <row r="55" spans="1:11" x14ac:dyDescent="0.15">
      <c r="A55" s="18"/>
      <c r="B55" s="19"/>
      <c r="C55" s="19"/>
      <c r="D55" s="19"/>
      <c r="E55" s="19"/>
      <c r="F55" s="19"/>
      <c r="G55" s="19"/>
      <c r="H55" s="19"/>
      <c r="I55" s="19"/>
      <c r="J55" s="19"/>
      <c r="K55" s="19"/>
    </row>
  </sheetData>
  <sheetProtection algorithmName="SHA-512" hashValue="VYSbJssjdNol+b9yj34LYuiNlrw3enbCIe6n68fA2jpYah2523Br1f+3kLVCgGMJb/e3DYGfeuzPvQ+T4OZTDw==" saltValue="jhHye47L9CHv3S/ZfTSiJg==" spinCount="100000" sheet="1" objects="1" scenarios="1"/>
  <phoneticPr fontId="20" type="noConversion"/>
  <pageMargins left="0.75" right="0.75" top="1" bottom="1" header="0.5" footer="0.5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/>
  <dimension ref="A1:K59"/>
  <sheetViews>
    <sheetView zoomScale="125" workbookViewId="0">
      <selection sqref="A1:K59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101</v>
      </c>
    </row>
    <row r="2" spans="1:11" x14ac:dyDescent="0.15">
      <c r="A2" s="18"/>
      <c r="B2" s="19"/>
      <c r="C2" s="19"/>
      <c r="D2" s="19"/>
      <c r="E2" s="21"/>
      <c r="F2" s="21"/>
      <c r="G2" s="21"/>
      <c r="H2" s="21"/>
      <c r="I2" s="21"/>
      <c r="J2" s="21"/>
      <c r="K2" s="21"/>
    </row>
    <row r="3" spans="1:11" x14ac:dyDescent="0.15">
      <c r="A3" s="4" t="s">
        <v>103</v>
      </c>
      <c r="B3" s="5"/>
      <c r="C3" s="5"/>
      <c r="D3" s="6"/>
    </row>
    <row r="4" spans="1:11" x14ac:dyDescent="0.15">
      <c r="D4" s="7"/>
      <c r="E4" s="8" t="s">
        <v>105</v>
      </c>
    </row>
    <row r="5" spans="1:11" x14ac:dyDescent="0.15">
      <c r="A5" s="9" t="s">
        <v>83</v>
      </c>
      <c r="D5" s="7"/>
    </row>
    <row r="6" spans="1:11" x14ac:dyDescent="0.15">
      <c r="A6" s="9" t="s">
        <v>1024</v>
      </c>
      <c r="D6" s="7"/>
      <c r="E6" s="10" t="s">
        <v>1044</v>
      </c>
      <c r="F6" s="10" t="s">
        <v>591</v>
      </c>
      <c r="G6" s="10" t="s">
        <v>555</v>
      </c>
      <c r="H6" s="10" t="s">
        <v>544</v>
      </c>
      <c r="I6" s="10" t="s">
        <v>514</v>
      </c>
      <c r="J6" s="10" t="s">
        <v>615</v>
      </c>
      <c r="K6" s="10" t="s">
        <v>515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t="s">
        <v>67</v>
      </c>
      <c r="D11" s="7"/>
      <c r="E11" s="15">
        <v>6000</v>
      </c>
      <c r="F11">
        <v>4000</v>
      </c>
      <c r="G11">
        <v>4000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1" t="s">
        <v>84</v>
      </c>
      <c r="B12" s="11"/>
      <c r="C12" s="11"/>
      <c r="D12" s="12"/>
      <c r="E12" s="11">
        <v>12000</v>
      </c>
      <c r="F12" s="11">
        <v>12000</v>
      </c>
      <c r="G12" s="11">
        <v>12000</v>
      </c>
      <c r="H12" s="11">
        <v>4000</v>
      </c>
      <c r="I12" s="11">
        <v>12000</v>
      </c>
      <c r="J12" s="11">
        <v>12000</v>
      </c>
      <c r="K12" s="11">
        <v>12000</v>
      </c>
    </row>
    <row r="13" spans="1:11" x14ac:dyDescent="0.15">
      <c r="A13" t="s">
        <v>71</v>
      </c>
      <c r="D13" s="7"/>
      <c r="E13">
        <v>1.5872999999999999</v>
      </c>
      <c r="F13">
        <v>1.5422</v>
      </c>
      <c r="G13">
        <v>1.5898000000000001</v>
      </c>
      <c r="H13">
        <v>1.58</v>
      </c>
      <c r="I13">
        <v>1.5410999999999999</v>
      </c>
      <c r="J13">
        <v>1.6214</v>
      </c>
      <c r="K13">
        <v>1.7253499999999999</v>
      </c>
    </row>
    <row r="14" spans="1:11" x14ac:dyDescent="0.15">
      <c r="A14" t="s">
        <v>72</v>
      </c>
      <c r="D14" s="7"/>
      <c r="E14">
        <v>1.4256</v>
      </c>
      <c r="F14">
        <v>1.4553</v>
      </c>
      <c r="G14">
        <v>1.4938</v>
      </c>
      <c r="H14">
        <v>0</v>
      </c>
      <c r="I14">
        <v>1.4641</v>
      </c>
      <c r="J14">
        <v>1.5378000000000001</v>
      </c>
      <c r="K14">
        <v>1.5943400000000001</v>
      </c>
    </row>
    <row r="15" spans="1:11" x14ac:dyDescent="0.15">
      <c r="A15" t="s">
        <v>75</v>
      </c>
      <c r="D15" s="7"/>
      <c r="E15">
        <v>1.1715</v>
      </c>
      <c r="F15">
        <v>1.1274999999999999</v>
      </c>
      <c r="G15">
        <v>1.1204000000000001</v>
      </c>
      <c r="H15">
        <v>1.47</v>
      </c>
      <c r="I15">
        <v>1.1318999999999999</v>
      </c>
      <c r="J15">
        <v>1.1901999999999999</v>
      </c>
      <c r="K15">
        <v>1.0775600000000001</v>
      </c>
    </row>
    <row r="16" spans="1:11" x14ac:dyDescent="0.15">
      <c r="A16" t="s">
        <v>76</v>
      </c>
      <c r="D16" s="7"/>
      <c r="E16">
        <v>1.518</v>
      </c>
      <c r="F16">
        <v>1.4399</v>
      </c>
      <c r="G16">
        <v>1.5258</v>
      </c>
      <c r="H16">
        <v>1.55</v>
      </c>
      <c r="I16">
        <v>1.4619</v>
      </c>
      <c r="J16">
        <v>1.5488</v>
      </c>
      <c r="K16">
        <v>1.69092</v>
      </c>
    </row>
    <row r="17" spans="1:11" x14ac:dyDescent="0.15">
      <c r="A17" t="s">
        <v>77</v>
      </c>
      <c r="D17" s="7"/>
      <c r="E17">
        <v>1.3794</v>
      </c>
      <c r="F17">
        <v>1.4366000000000001</v>
      </c>
      <c r="G17">
        <v>1.4511000000000001</v>
      </c>
      <c r="H17">
        <v>0</v>
      </c>
      <c r="I17">
        <v>1.3958999999999999</v>
      </c>
      <c r="J17">
        <v>1.4904999999999999</v>
      </c>
      <c r="K17">
        <v>1.54484</v>
      </c>
    </row>
    <row r="18" spans="1:11" x14ac:dyDescent="0.15">
      <c r="A18" t="s">
        <v>80</v>
      </c>
      <c r="D18" s="7"/>
      <c r="E18">
        <v>1.1197999999999999</v>
      </c>
      <c r="F18" s="22">
        <v>1.0901000000000001</v>
      </c>
      <c r="G18">
        <v>1.0883</v>
      </c>
      <c r="H18">
        <v>1.45</v>
      </c>
      <c r="I18">
        <v>1.0989</v>
      </c>
      <c r="J18">
        <v>1.1538999999999999</v>
      </c>
      <c r="K18">
        <v>1.0270699999999999</v>
      </c>
    </row>
    <row r="19" spans="1:11" x14ac:dyDescent="0.15">
      <c r="A19" t="s">
        <v>81</v>
      </c>
      <c r="D19" s="7"/>
      <c r="E19">
        <v>51.04</v>
      </c>
      <c r="F19">
        <v>49.258000000000003</v>
      </c>
      <c r="G19">
        <v>51.5</v>
      </c>
      <c r="H19">
        <v>52.98</v>
      </c>
      <c r="I19">
        <v>47.3</v>
      </c>
      <c r="J19">
        <v>52</v>
      </c>
      <c r="K19">
        <v>69.135000000000005</v>
      </c>
    </row>
    <row r="20" spans="1:11" x14ac:dyDescent="0.15">
      <c r="D20" s="7"/>
    </row>
    <row r="21" spans="1:11" x14ac:dyDescent="0.15">
      <c r="A21" s="9" t="s">
        <v>85</v>
      </c>
      <c r="D21" s="7"/>
    </row>
    <row r="22" spans="1:11" x14ac:dyDescent="0.15">
      <c r="A22" s="9" t="s">
        <v>488</v>
      </c>
      <c r="D22" s="7"/>
      <c r="E22" s="10" t="s">
        <v>1044</v>
      </c>
      <c r="F22" s="10" t="s">
        <v>591</v>
      </c>
      <c r="G22" s="10" t="s">
        <v>555</v>
      </c>
      <c r="H22" s="10" t="s">
        <v>544</v>
      </c>
      <c r="I22" s="10" t="s">
        <v>514</v>
      </c>
      <c r="J22" s="10" t="s">
        <v>615</v>
      </c>
      <c r="K22" s="10" t="s">
        <v>515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</row>
    <row r="27" spans="1:11" x14ac:dyDescent="0.15">
      <c r="A27" t="s">
        <v>67</v>
      </c>
      <c r="D27" s="7"/>
      <c r="E27" s="15">
        <v>6000</v>
      </c>
      <c r="F27" s="15">
        <v>3200</v>
      </c>
      <c r="G27" s="15">
        <v>3200</v>
      </c>
      <c r="H27" s="15">
        <v>3200</v>
      </c>
      <c r="I27" s="15">
        <v>3200</v>
      </c>
      <c r="J27" s="15">
        <v>3200</v>
      </c>
      <c r="K27" s="15">
        <v>3200</v>
      </c>
    </row>
    <row r="28" spans="1:11" x14ac:dyDescent="0.15">
      <c r="A28" s="11" t="s">
        <v>68</v>
      </c>
      <c r="B28" s="11"/>
      <c r="C28" s="11"/>
      <c r="D28" s="12"/>
      <c r="E28" s="11">
        <v>12000</v>
      </c>
      <c r="F28" s="11">
        <v>3200</v>
      </c>
      <c r="G28" s="11">
        <v>3200</v>
      </c>
      <c r="H28" s="11">
        <v>3200</v>
      </c>
      <c r="I28" s="11">
        <v>3200</v>
      </c>
      <c r="J28" s="11">
        <v>3200</v>
      </c>
      <c r="K28" s="11">
        <v>3200</v>
      </c>
    </row>
    <row r="29" spans="1:11" x14ac:dyDescent="0.15">
      <c r="A29" t="s">
        <v>71</v>
      </c>
      <c r="D29" s="7"/>
      <c r="E29">
        <v>1.5213000000000001</v>
      </c>
      <c r="F29">
        <v>1.5939000000000001</v>
      </c>
      <c r="G29">
        <v>1.5471999999999999</v>
      </c>
      <c r="H29">
        <v>1.52</v>
      </c>
      <c r="I29">
        <v>1.4069</v>
      </c>
      <c r="J29">
        <v>1.5818000000000001</v>
      </c>
      <c r="K29">
        <v>1.78376</v>
      </c>
    </row>
    <row r="30" spans="1:11" x14ac:dyDescent="0.15">
      <c r="A30" t="s">
        <v>72</v>
      </c>
      <c r="D30" s="7"/>
      <c r="E30">
        <v>1.3156000000000001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75</v>
      </c>
      <c r="D31" s="7"/>
      <c r="E31">
        <v>1.2407999999999999</v>
      </c>
      <c r="F31">
        <v>1.2968999999999999</v>
      </c>
      <c r="G31">
        <v>1.3764000000000001</v>
      </c>
      <c r="H31">
        <v>1.34</v>
      </c>
      <c r="I31">
        <v>1.2528999999999999</v>
      </c>
      <c r="J31">
        <v>1.3948</v>
      </c>
      <c r="K31">
        <v>1.51756</v>
      </c>
    </row>
    <row r="32" spans="1:11" x14ac:dyDescent="0.15">
      <c r="A32" t="s">
        <v>76</v>
      </c>
      <c r="D32" s="7"/>
      <c r="E32">
        <v>1.4729000000000001</v>
      </c>
      <c r="F32">
        <v>1.4971000000000001</v>
      </c>
      <c r="G32">
        <v>1.4511000000000001</v>
      </c>
      <c r="H32">
        <v>1.49</v>
      </c>
      <c r="I32">
        <v>1.3012999999999999</v>
      </c>
      <c r="J32">
        <v>1.4827999999999999</v>
      </c>
      <c r="K32">
        <v>1.7441599999999999</v>
      </c>
    </row>
    <row r="33" spans="1:11" x14ac:dyDescent="0.15">
      <c r="A33" t="s">
        <v>86</v>
      </c>
      <c r="D33" s="7"/>
      <c r="E33">
        <v>1.2748999999999999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80</v>
      </c>
      <c r="D34" s="7"/>
      <c r="E34">
        <v>1.1990000000000001</v>
      </c>
      <c r="F34">
        <v>1.2683</v>
      </c>
      <c r="G34">
        <v>1.2910999999999999</v>
      </c>
      <c r="H34">
        <v>1.31</v>
      </c>
      <c r="I34">
        <v>1.1693</v>
      </c>
      <c r="J34">
        <v>1.3232999999999999</v>
      </c>
      <c r="K34">
        <v>1.4752099999999999</v>
      </c>
    </row>
    <row r="35" spans="1:11" x14ac:dyDescent="0.15">
      <c r="A35" t="s">
        <v>81</v>
      </c>
      <c r="D35" s="7"/>
      <c r="E35">
        <v>51.029000000000003</v>
      </c>
      <c r="F35">
        <v>47.893999999999998</v>
      </c>
      <c r="G35">
        <v>49.75</v>
      </c>
      <c r="H35">
        <v>51.25</v>
      </c>
      <c r="I35">
        <v>46.2</v>
      </c>
      <c r="J35">
        <v>50</v>
      </c>
      <c r="K35">
        <v>62.029000000000003</v>
      </c>
    </row>
    <row r="36" spans="1:11" x14ac:dyDescent="0.15">
      <c r="D36" s="7"/>
    </row>
    <row r="37" spans="1:11" x14ac:dyDescent="0.15">
      <c r="A37" s="9" t="s">
        <v>85</v>
      </c>
      <c r="D37" s="7"/>
    </row>
    <row r="38" spans="1:11" x14ac:dyDescent="0.15">
      <c r="A38" s="9" t="s">
        <v>1028</v>
      </c>
      <c r="D38" s="7"/>
      <c r="E38" s="10" t="s">
        <v>1044</v>
      </c>
      <c r="F38" s="10" t="s">
        <v>591</v>
      </c>
      <c r="G38" s="10" t="s">
        <v>555</v>
      </c>
      <c r="H38" s="10" t="s">
        <v>544</v>
      </c>
      <c r="I38" s="10" t="s">
        <v>514</v>
      </c>
      <c r="J38" s="10" t="s">
        <v>615</v>
      </c>
      <c r="K38" s="10" t="s">
        <v>515</v>
      </c>
    </row>
    <row r="39" spans="1:11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</row>
    <row r="40" spans="1:11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</row>
    <row r="41" spans="1:11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</row>
    <row r="42" spans="1:11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</row>
    <row r="43" spans="1:11" x14ac:dyDescent="0.15">
      <c r="A43" t="s">
        <v>67</v>
      </c>
      <c r="D43" s="7"/>
      <c r="E43" s="15">
        <v>6000</v>
      </c>
      <c r="F43">
        <v>4000</v>
      </c>
      <c r="G43">
        <v>4000</v>
      </c>
      <c r="H43">
        <v>4000</v>
      </c>
      <c r="I43">
        <v>4000</v>
      </c>
      <c r="J43">
        <v>4000</v>
      </c>
      <c r="K43">
        <v>4000</v>
      </c>
    </row>
    <row r="44" spans="1:11" x14ac:dyDescent="0.15">
      <c r="A44" s="11" t="s">
        <v>84</v>
      </c>
      <c r="B44" s="11"/>
      <c r="C44" s="11"/>
      <c r="D44" s="12"/>
      <c r="E44" s="11">
        <v>12000</v>
      </c>
      <c r="F44" s="11">
        <v>12000</v>
      </c>
      <c r="G44" s="11">
        <v>12000</v>
      </c>
      <c r="H44" s="11">
        <v>4000</v>
      </c>
      <c r="I44" s="11">
        <v>12000</v>
      </c>
      <c r="J44" s="11">
        <v>12000</v>
      </c>
      <c r="K44" s="11">
        <v>12000</v>
      </c>
    </row>
    <row r="45" spans="1:11" x14ac:dyDescent="0.15">
      <c r="A45" t="s">
        <v>71</v>
      </c>
      <c r="D45" s="7"/>
      <c r="E45">
        <v>1.5587</v>
      </c>
      <c r="F45">
        <v>1.5697000000000001</v>
      </c>
      <c r="G45">
        <v>1.6217999999999999</v>
      </c>
      <c r="H45">
        <v>1.56</v>
      </c>
      <c r="I45">
        <v>1.4399</v>
      </c>
      <c r="J45">
        <v>1.6489</v>
      </c>
      <c r="K45">
        <v>1.78904</v>
      </c>
    </row>
    <row r="46" spans="1:11" x14ac:dyDescent="0.15">
      <c r="A46" t="s">
        <v>72</v>
      </c>
      <c r="D46" s="7"/>
      <c r="E46">
        <v>1.3101</v>
      </c>
      <c r="F46">
        <v>1.3859999999999999</v>
      </c>
      <c r="G46">
        <v>1.4404999999999999</v>
      </c>
      <c r="H46">
        <v>0</v>
      </c>
      <c r="I46">
        <v>1.2748999999999999</v>
      </c>
      <c r="J46">
        <v>1.4597</v>
      </c>
      <c r="K46">
        <v>1.5011699999999999</v>
      </c>
    </row>
    <row r="47" spans="1:11" x14ac:dyDescent="0.15">
      <c r="A47" t="s">
        <v>75</v>
      </c>
      <c r="D47" s="7"/>
      <c r="E47">
        <v>1.1659999999999999</v>
      </c>
      <c r="F47">
        <v>1.1681999999999999</v>
      </c>
      <c r="G47">
        <v>1.2057</v>
      </c>
      <c r="H47">
        <v>1.4</v>
      </c>
      <c r="I47">
        <v>1.0592999999999999</v>
      </c>
      <c r="J47">
        <v>1.2363999999999999</v>
      </c>
      <c r="K47">
        <v>1.1757899999999999</v>
      </c>
    </row>
    <row r="48" spans="1:11" x14ac:dyDescent="0.15">
      <c r="A48" t="s">
        <v>76</v>
      </c>
      <c r="D48" s="7"/>
      <c r="E48">
        <v>1.5257000000000001</v>
      </c>
      <c r="F48">
        <v>1.5543</v>
      </c>
      <c r="G48">
        <v>1.5791999999999999</v>
      </c>
      <c r="H48">
        <v>1.53</v>
      </c>
      <c r="I48">
        <v>1.4003000000000001</v>
      </c>
      <c r="J48">
        <v>1.6214</v>
      </c>
      <c r="K48">
        <v>1.1757899999999999</v>
      </c>
    </row>
    <row r="49" spans="1:11" x14ac:dyDescent="0.15">
      <c r="A49" t="s">
        <v>77</v>
      </c>
      <c r="D49" s="7"/>
      <c r="E49">
        <v>1.2627999999999999</v>
      </c>
      <c r="F49">
        <v>1.3452999999999999</v>
      </c>
      <c r="G49">
        <v>1.3764000000000001</v>
      </c>
      <c r="H49">
        <v>0</v>
      </c>
      <c r="I49">
        <v>1.2242999999999999</v>
      </c>
      <c r="J49">
        <v>1.4432</v>
      </c>
      <c r="K49">
        <v>1.75318</v>
      </c>
    </row>
    <row r="50" spans="1:11" x14ac:dyDescent="0.15">
      <c r="A50" t="s">
        <v>80</v>
      </c>
      <c r="D50" s="7"/>
      <c r="E50">
        <v>1.1296999999999999</v>
      </c>
      <c r="F50">
        <v>1.1143000000000001</v>
      </c>
      <c r="G50">
        <v>1.1416999999999999</v>
      </c>
      <c r="H50">
        <v>1.38</v>
      </c>
      <c r="I50">
        <v>1.0263</v>
      </c>
      <c r="J50">
        <v>1.1726000000000001</v>
      </c>
      <c r="K50">
        <v>1.4504600000000001</v>
      </c>
    </row>
    <row r="51" spans="1:11" x14ac:dyDescent="0.15">
      <c r="A51" t="s">
        <v>81</v>
      </c>
      <c r="D51" s="7"/>
      <c r="E51">
        <v>50.875</v>
      </c>
      <c r="F51">
        <v>48.301000000000002</v>
      </c>
      <c r="G51">
        <v>51.16</v>
      </c>
      <c r="H51">
        <v>51.86</v>
      </c>
      <c r="I51">
        <v>47.3</v>
      </c>
      <c r="J51">
        <v>52</v>
      </c>
      <c r="K51">
        <v>69.135000000000005</v>
      </c>
    </row>
    <row r="52" spans="1:11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15">
      <c r="A53" s="9" t="s">
        <v>490</v>
      </c>
      <c r="D53" s="7"/>
      <c r="E53" s="23" t="s">
        <v>1044</v>
      </c>
      <c r="F53" s="23" t="s">
        <v>591</v>
      </c>
      <c r="G53" s="23" t="s">
        <v>555</v>
      </c>
      <c r="H53" s="23" t="s">
        <v>544</v>
      </c>
      <c r="I53" s="23" t="s">
        <v>514</v>
      </c>
      <c r="J53" s="23" t="s">
        <v>615</v>
      </c>
      <c r="K53" s="23" t="s">
        <v>595</v>
      </c>
    </row>
    <row r="54" spans="1:11" x14ac:dyDescent="0.15">
      <c r="A54" t="s">
        <v>491</v>
      </c>
      <c r="D54" s="7"/>
      <c r="E54" s="24" t="s">
        <v>560</v>
      </c>
      <c r="F54" s="25" t="s">
        <v>494</v>
      </c>
      <c r="G54" s="25" t="s">
        <v>492</v>
      </c>
      <c r="H54" s="25" t="s">
        <v>494</v>
      </c>
      <c r="I54" s="24" t="s">
        <v>560</v>
      </c>
      <c r="J54" s="25" t="s">
        <v>494</v>
      </c>
      <c r="K54" s="25" t="s">
        <v>494</v>
      </c>
    </row>
    <row r="55" spans="1:11" x14ac:dyDescent="0.15">
      <c r="A55" t="s">
        <v>496</v>
      </c>
      <c r="D55" s="7"/>
      <c r="E55" s="25" t="s">
        <v>498</v>
      </c>
      <c r="F55" s="25" t="s">
        <v>494</v>
      </c>
      <c r="G55" s="25" t="s">
        <v>526</v>
      </c>
      <c r="H55" s="25" t="s">
        <v>526</v>
      </c>
      <c r="I55" s="25" t="s">
        <v>498</v>
      </c>
      <c r="J55" s="25" t="s">
        <v>498</v>
      </c>
      <c r="K55" s="25" t="s">
        <v>498</v>
      </c>
    </row>
    <row r="56" spans="1:11" x14ac:dyDescent="0.15">
      <c r="A56" t="s">
        <v>499</v>
      </c>
      <c r="D56" s="7"/>
      <c r="E56" s="25" t="s">
        <v>512</v>
      </c>
      <c r="F56" s="25" t="s">
        <v>494</v>
      </c>
      <c r="G56" s="25" t="s">
        <v>512</v>
      </c>
      <c r="H56" s="25" t="s">
        <v>512</v>
      </c>
      <c r="I56" s="25" t="s">
        <v>512</v>
      </c>
      <c r="J56" s="25" t="s">
        <v>512</v>
      </c>
      <c r="K56" s="25" t="s">
        <v>512</v>
      </c>
    </row>
    <row r="57" spans="1:11" x14ac:dyDescent="0.15">
      <c r="A57" t="s">
        <v>501</v>
      </c>
      <c r="D57" s="7"/>
      <c r="E57" s="25" t="s">
        <v>494</v>
      </c>
      <c r="F57" s="25" t="s">
        <v>494</v>
      </c>
      <c r="G57" s="24" t="s">
        <v>540</v>
      </c>
      <c r="H57" s="24" t="s">
        <v>560</v>
      </c>
      <c r="I57" s="25" t="s">
        <v>494</v>
      </c>
      <c r="J57" s="24" t="s">
        <v>560</v>
      </c>
      <c r="K57" s="24" t="s">
        <v>436</v>
      </c>
    </row>
    <row r="58" spans="1:11" x14ac:dyDescent="0.15">
      <c r="A58" t="s">
        <v>442</v>
      </c>
      <c r="D58" s="7"/>
      <c r="E58" s="25" t="s">
        <v>512</v>
      </c>
      <c r="F58" s="25" t="s">
        <v>494</v>
      </c>
      <c r="G58" s="25" t="s">
        <v>494</v>
      </c>
      <c r="H58" s="25" t="s">
        <v>512</v>
      </c>
      <c r="I58" s="25" t="s">
        <v>494</v>
      </c>
      <c r="J58" s="25" t="s">
        <v>494</v>
      </c>
      <c r="K58" s="25" t="s">
        <v>494</v>
      </c>
    </row>
    <row r="59" spans="1:11" x14ac:dyDescent="0.15">
      <c r="A59" s="18"/>
      <c r="B59" s="19"/>
      <c r="C59" s="19"/>
      <c r="D59" s="19"/>
      <c r="E59" s="19"/>
      <c r="F59" s="19"/>
      <c r="G59" s="19"/>
      <c r="H59" s="19"/>
      <c r="I59" s="19"/>
      <c r="J59" s="19"/>
      <c r="K59" s="19"/>
    </row>
  </sheetData>
  <sheetProtection algorithmName="SHA-512" hashValue="jqgNytUR+qM9CJTSX5ymM2d2jGd7vI4hiJratwWQ1HX5X6ZO9jMpJqeWQR2HwbF7pk1Cx+yGP0JSXGsOgSli6A==" saltValue="8RB280aPbY5cpR0eWAdl7w==" spinCount="100000" sheet="1" objects="1" scenarios="1"/>
  <phoneticPr fontId="20" type="noConversion"/>
  <pageMargins left="0.75" right="0.75" top="1" bottom="1" header="0.5" footer="0.5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/>
  <dimension ref="A1:K59"/>
  <sheetViews>
    <sheetView zoomScale="125" workbookViewId="0">
      <selection activeCell="M30" sqref="M30"/>
    </sheetView>
  </sheetViews>
  <sheetFormatPr baseColWidth="10" defaultColWidth="11.5" defaultRowHeight="13" x14ac:dyDescent="0.15"/>
  <cols>
    <col min="1" max="1" width="13.33203125" customWidth="1"/>
    <col min="2" max="2" width="9.3320312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101</v>
      </c>
    </row>
    <row r="2" spans="1:11" x14ac:dyDescent="0.15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1" x14ac:dyDescent="0.15">
      <c r="A3" s="4" t="s">
        <v>104</v>
      </c>
      <c r="B3" s="5"/>
      <c r="C3" s="5"/>
      <c r="D3" s="6"/>
      <c r="E3" s="5"/>
      <c r="F3" s="5"/>
    </row>
    <row r="4" spans="1:11" x14ac:dyDescent="0.15">
      <c r="D4" s="7"/>
      <c r="E4" s="8" t="s">
        <v>105</v>
      </c>
    </row>
    <row r="5" spans="1:11" x14ac:dyDescent="0.15">
      <c r="A5" s="9" t="s">
        <v>88</v>
      </c>
      <c r="D5" s="7"/>
    </row>
    <row r="6" spans="1:11" x14ac:dyDescent="0.15">
      <c r="A6" s="9" t="s">
        <v>1030</v>
      </c>
      <c r="D6" s="7"/>
      <c r="E6" s="10" t="s">
        <v>1044</v>
      </c>
      <c r="F6" s="10" t="s">
        <v>591</v>
      </c>
      <c r="G6" s="10" t="s">
        <v>555</v>
      </c>
      <c r="H6" s="10" t="s">
        <v>544</v>
      </c>
      <c r="I6" s="10" t="s">
        <v>514</v>
      </c>
      <c r="J6" s="10" t="s">
        <v>615</v>
      </c>
      <c r="K6" s="10" t="s">
        <v>515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t="s">
        <v>67</v>
      </c>
      <c r="D11" s="7"/>
      <c r="E11" s="15">
        <v>6000</v>
      </c>
      <c r="F11" s="15">
        <v>3200</v>
      </c>
      <c r="G11" s="15">
        <v>3200</v>
      </c>
      <c r="H11" s="15">
        <v>3200</v>
      </c>
      <c r="I11" s="15">
        <v>3200</v>
      </c>
      <c r="J11" s="15">
        <v>3200</v>
      </c>
      <c r="K11" s="15">
        <v>3200</v>
      </c>
    </row>
    <row r="12" spans="1:11" x14ac:dyDescent="0.15">
      <c r="A12" s="11" t="s">
        <v>68</v>
      </c>
      <c r="B12" s="11"/>
      <c r="C12" s="11"/>
      <c r="D12" s="12"/>
      <c r="E12" s="11">
        <v>12000</v>
      </c>
      <c r="F12" s="11">
        <v>3200</v>
      </c>
      <c r="G12" s="11">
        <v>3200</v>
      </c>
      <c r="H12" s="11">
        <v>3200</v>
      </c>
      <c r="I12" s="11">
        <v>3200</v>
      </c>
      <c r="J12" s="11">
        <v>3200</v>
      </c>
      <c r="K12" s="11">
        <v>3200</v>
      </c>
    </row>
    <row r="13" spans="1:11" x14ac:dyDescent="0.15">
      <c r="A13" t="s">
        <v>71</v>
      </c>
      <c r="D13" s="7"/>
      <c r="E13">
        <v>1.6620999999999999</v>
      </c>
      <c r="F13">
        <v>1.6874</v>
      </c>
      <c r="G13">
        <v>1.7072000000000001</v>
      </c>
      <c r="H13">
        <v>1.65</v>
      </c>
      <c r="I13">
        <v>1.5719000000000001</v>
      </c>
      <c r="J13">
        <v>1.7094</v>
      </c>
      <c r="K13">
        <v>1.9309400000000001</v>
      </c>
    </row>
    <row r="14" spans="1:11" x14ac:dyDescent="0.15">
      <c r="A14" t="s">
        <v>72</v>
      </c>
      <c r="D14" s="7"/>
      <c r="E14">
        <v>1.5267999999999999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</row>
    <row r="15" spans="1:11" x14ac:dyDescent="0.15">
      <c r="A15" t="s">
        <v>75</v>
      </c>
      <c r="D15" s="7"/>
      <c r="E15">
        <v>1.4420999999999999</v>
      </c>
      <c r="F15">
        <v>1.4487000000000001</v>
      </c>
      <c r="G15">
        <v>1.5150999999999999</v>
      </c>
      <c r="H15">
        <v>1.52</v>
      </c>
      <c r="I15">
        <v>1.4036</v>
      </c>
      <c r="J15">
        <v>1.5069999999999999</v>
      </c>
      <c r="K15">
        <v>1.6256900000000001</v>
      </c>
    </row>
    <row r="16" spans="1:11" x14ac:dyDescent="0.15">
      <c r="A16" t="s">
        <v>76</v>
      </c>
      <c r="D16" s="7"/>
      <c r="E16">
        <v>1.3904000000000001</v>
      </c>
      <c r="F16">
        <v>1.4355</v>
      </c>
      <c r="G16">
        <v>1.4618</v>
      </c>
      <c r="H16">
        <v>1.49</v>
      </c>
      <c r="I16">
        <v>1.331</v>
      </c>
      <c r="J16">
        <v>1.4531000000000001</v>
      </c>
      <c r="K16">
        <v>1.6402099999999999</v>
      </c>
    </row>
    <row r="17" spans="1:11" x14ac:dyDescent="0.15">
      <c r="A17" t="s">
        <v>86</v>
      </c>
      <c r="D17" s="7"/>
      <c r="E17">
        <v>1.2683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80</v>
      </c>
      <c r="D18" s="7"/>
      <c r="E18">
        <v>1.1979</v>
      </c>
      <c r="F18">
        <v>1.2595000000000001</v>
      </c>
      <c r="G18">
        <v>1.2804</v>
      </c>
      <c r="H18">
        <v>1.31</v>
      </c>
      <c r="I18">
        <v>1.1516999999999999</v>
      </c>
      <c r="J18">
        <v>1.2804</v>
      </c>
      <c r="K18">
        <v>1.6402099999999999</v>
      </c>
    </row>
    <row r="19" spans="1:11" x14ac:dyDescent="0.15">
      <c r="A19" t="s">
        <v>81</v>
      </c>
      <c r="D19" s="7"/>
      <c r="E19">
        <v>48.674999999999997</v>
      </c>
      <c r="F19">
        <v>46.563000000000002</v>
      </c>
      <c r="G19">
        <v>48.03</v>
      </c>
      <c r="H19">
        <v>49.02</v>
      </c>
      <c r="I19">
        <v>44</v>
      </c>
      <c r="J19">
        <v>47</v>
      </c>
      <c r="K19">
        <v>1.2729200000000001</v>
      </c>
    </row>
    <row r="20" spans="1:11" x14ac:dyDescent="0.15">
      <c r="D20" s="7"/>
    </row>
    <row r="21" spans="1:11" x14ac:dyDescent="0.15">
      <c r="A21" s="9" t="s">
        <v>89</v>
      </c>
      <c r="D21" s="7"/>
    </row>
    <row r="22" spans="1:11" x14ac:dyDescent="0.15">
      <c r="A22" s="9" t="s">
        <v>1032</v>
      </c>
      <c r="D22" s="7"/>
      <c r="E22" s="10" t="s">
        <v>1044</v>
      </c>
      <c r="F22" s="10" t="s">
        <v>591</v>
      </c>
      <c r="G22" s="10" t="s">
        <v>555</v>
      </c>
      <c r="H22" s="10" t="s">
        <v>544</v>
      </c>
      <c r="I22" s="10" t="s">
        <v>514</v>
      </c>
      <c r="J22" s="10" t="s">
        <v>615</v>
      </c>
      <c r="K22" s="10" t="s">
        <v>515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</row>
    <row r="27" spans="1:11" x14ac:dyDescent="0.15">
      <c r="A27" t="s">
        <v>67</v>
      </c>
      <c r="D27" s="7"/>
      <c r="E27" s="15">
        <v>6000</v>
      </c>
      <c r="F27" s="15">
        <v>3500</v>
      </c>
      <c r="G27" s="15">
        <v>3500</v>
      </c>
      <c r="H27" s="15">
        <v>3500</v>
      </c>
      <c r="I27" s="15">
        <v>3500</v>
      </c>
      <c r="J27" s="15">
        <v>3500</v>
      </c>
      <c r="K27" s="15">
        <v>3500</v>
      </c>
    </row>
    <row r="28" spans="1:11" x14ac:dyDescent="0.15">
      <c r="A28" s="11" t="s">
        <v>68</v>
      </c>
      <c r="B28" s="11"/>
      <c r="C28" s="11"/>
      <c r="D28" s="12"/>
      <c r="E28" s="11">
        <v>12000</v>
      </c>
      <c r="F28" s="11">
        <v>3500</v>
      </c>
      <c r="G28" s="11">
        <v>3500</v>
      </c>
      <c r="H28" s="11">
        <v>3500</v>
      </c>
      <c r="I28" s="11">
        <v>3500</v>
      </c>
      <c r="J28" s="11">
        <v>3500</v>
      </c>
      <c r="K28" s="11">
        <v>3500</v>
      </c>
    </row>
    <row r="29" spans="1:11" x14ac:dyDescent="0.15">
      <c r="A29" t="s">
        <v>71</v>
      </c>
      <c r="D29" s="7"/>
      <c r="E29">
        <v>1.7875000000000001</v>
      </c>
      <c r="F29">
        <v>1.8689</v>
      </c>
      <c r="G29">
        <v>1.7605999999999999</v>
      </c>
      <c r="H29">
        <v>1.78</v>
      </c>
      <c r="I29">
        <v>1.5807</v>
      </c>
      <c r="J29">
        <v>1.8007</v>
      </c>
      <c r="K29">
        <v>1.99936</v>
      </c>
    </row>
    <row r="30" spans="1:11" x14ac:dyDescent="0.15">
      <c r="A30" t="s">
        <v>72</v>
      </c>
      <c r="D30" s="7"/>
      <c r="E30">
        <v>1.5466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75</v>
      </c>
      <c r="D31" s="7"/>
      <c r="E31">
        <v>1.3815999999999999</v>
      </c>
      <c r="F31">
        <v>1.4872000000000001</v>
      </c>
      <c r="G31">
        <v>1.5791999999999999</v>
      </c>
      <c r="H31">
        <v>1.62</v>
      </c>
      <c r="I31">
        <v>1.4432</v>
      </c>
      <c r="J31">
        <v>1.6049</v>
      </c>
      <c r="K31">
        <v>1.7310700000000001</v>
      </c>
    </row>
    <row r="32" spans="1:11" x14ac:dyDescent="0.15">
      <c r="A32" t="s">
        <v>76</v>
      </c>
      <c r="D32" s="7"/>
      <c r="E32">
        <v>1.5630999999999999</v>
      </c>
      <c r="F32">
        <v>1.5311999999999999</v>
      </c>
      <c r="G32">
        <v>1.4618</v>
      </c>
      <c r="H32">
        <v>1.5</v>
      </c>
      <c r="I32">
        <v>1.3254999999999999</v>
      </c>
      <c r="J32">
        <v>1.4773000000000001</v>
      </c>
      <c r="K32">
        <v>1.7547200000000001</v>
      </c>
    </row>
    <row r="33" spans="1:11" x14ac:dyDescent="0.15">
      <c r="A33" t="s">
        <v>86</v>
      </c>
      <c r="D33" s="7"/>
      <c r="E33">
        <v>1.3738999999999999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80</v>
      </c>
      <c r="D34" s="7"/>
      <c r="E34">
        <v>1.3024</v>
      </c>
      <c r="F34">
        <v>1.3178000000000001</v>
      </c>
      <c r="G34">
        <v>1.3871</v>
      </c>
      <c r="H34">
        <v>1.34</v>
      </c>
      <c r="I34">
        <v>1.2419</v>
      </c>
      <c r="J34">
        <v>1.4222999999999999</v>
      </c>
      <c r="K34">
        <v>1.52911</v>
      </c>
    </row>
    <row r="35" spans="1:11" x14ac:dyDescent="0.15">
      <c r="A35" t="s">
        <v>81</v>
      </c>
      <c r="D35" s="7"/>
      <c r="E35">
        <v>45.363999999999997</v>
      </c>
      <c r="F35">
        <v>45.914000000000001</v>
      </c>
      <c r="G35">
        <v>47.06</v>
      </c>
      <c r="H35">
        <v>47.9</v>
      </c>
      <c r="I35">
        <v>44</v>
      </c>
      <c r="J35">
        <v>48</v>
      </c>
      <c r="K35">
        <v>60.313000000000002</v>
      </c>
    </row>
    <row r="36" spans="1:11" x14ac:dyDescent="0.15">
      <c r="D36" s="7"/>
    </row>
    <row r="37" spans="1:11" x14ac:dyDescent="0.15">
      <c r="A37" s="9" t="s">
        <v>89</v>
      </c>
      <c r="D37" s="7"/>
    </row>
    <row r="38" spans="1:11" x14ac:dyDescent="0.15">
      <c r="A38" s="9" t="s">
        <v>1034</v>
      </c>
      <c r="D38" s="7"/>
      <c r="E38" s="10" t="s">
        <v>1044</v>
      </c>
      <c r="F38" s="10" t="s">
        <v>591</v>
      </c>
      <c r="G38" s="10" t="s">
        <v>555</v>
      </c>
      <c r="H38" s="10" t="s">
        <v>544</v>
      </c>
      <c r="I38" s="10" t="s">
        <v>514</v>
      </c>
      <c r="J38" s="10" t="s">
        <v>615</v>
      </c>
      <c r="K38" s="10" t="s">
        <v>515</v>
      </c>
    </row>
    <row r="39" spans="1:11" x14ac:dyDescent="0.15">
      <c r="A39" s="1" t="s">
        <v>63</v>
      </c>
      <c r="D39" s="7"/>
      <c r="E39" s="14">
        <v>0.33329999999999999</v>
      </c>
      <c r="F39" s="14">
        <v>0.33329999999999999</v>
      </c>
      <c r="G39" s="14">
        <v>0.33329999999999999</v>
      </c>
      <c r="H39" s="14">
        <v>0.33329999999999999</v>
      </c>
      <c r="I39" s="14">
        <v>0.33329999999999999</v>
      </c>
      <c r="J39" s="14">
        <v>0.33329999999999999</v>
      </c>
      <c r="K39" s="14">
        <v>0.33329999999999999</v>
      </c>
    </row>
    <row r="40" spans="1:11" x14ac:dyDescent="0.15">
      <c r="A40" s="1" t="s">
        <v>64</v>
      </c>
      <c r="D40" s="7"/>
      <c r="E40" s="15">
        <v>2</v>
      </c>
      <c r="F40" s="15">
        <v>2</v>
      </c>
      <c r="G40" s="15">
        <v>2</v>
      </c>
      <c r="H40" s="15">
        <v>2</v>
      </c>
      <c r="I40" s="15">
        <v>2</v>
      </c>
      <c r="J40" s="15">
        <v>2</v>
      </c>
      <c r="K40" s="15">
        <v>2</v>
      </c>
    </row>
    <row r="41" spans="1:11" x14ac:dyDescent="0.15">
      <c r="A41" s="1" t="s">
        <v>65</v>
      </c>
      <c r="D41" s="7"/>
      <c r="E41" s="14">
        <v>0.66659999999999997</v>
      </c>
      <c r="F41" s="14">
        <v>0.66659999999999997</v>
      </c>
      <c r="G41" s="14">
        <v>0.66659999999999997</v>
      </c>
      <c r="H41" s="14">
        <v>0.66659999999999997</v>
      </c>
      <c r="I41" s="14">
        <v>0.66659999999999997</v>
      </c>
      <c r="J41" s="14">
        <v>0.66659999999999997</v>
      </c>
      <c r="K41" s="14">
        <v>0.66659999999999997</v>
      </c>
    </row>
    <row r="42" spans="1:11" x14ac:dyDescent="0.15">
      <c r="A42" s="1" t="s">
        <v>66</v>
      </c>
      <c r="D42" s="7"/>
      <c r="E42" s="15">
        <v>4</v>
      </c>
      <c r="F42" s="15">
        <v>4</v>
      </c>
      <c r="G42" s="15">
        <v>4</v>
      </c>
      <c r="H42" s="15">
        <v>4</v>
      </c>
      <c r="I42" s="15">
        <v>4</v>
      </c>
      <c r="J42" s="15">
        <v>4</v>
      </c>
      <c r="K42" s="15">
        <v>4</v>
      </c>
    </row>
    <row r="43" spans="1:11" x14ac:dyDescent="0.15">
      <c r="A43" t="s">
        <v>67</v>
      </c>
      <c r="D43" s="7"/>
      <c r="E43" s="15">
        <v>6000</v>
      </c>
      <c r="F43" s="15">
        <v>3200</v>
      </c>
      <c r="G43" s="15">
        <v>3200</v>
      </c>
      <c r="H43" s="15">
        <v>3200</v>
      </c>
      <c r="I43" s="15">
        <v>3200</v>
      </c>
      <c r="J43" s="15">
        <v>3200</v>
      </c>
      <c r="K43" s="15">
        <v>3200</v>
      </c>
    </row>
    <row r="44" spans="1:11" x14ac:dyDescent="0.15">
      <c r="A44" s="11" t="s">
        <v>68</v>
      </c>
      <c r="B44" s="11"/>
      <c r="C44" s="11"/>
      <c r="D44" s="12"/>
      <c r="E44" s="11">
        <v>12000</v>
      </c>
      <c r="F44" s="11">
        <v>3200</v>
      </c>
      <c r="G44" s="11">
        <v>3200</v>
      </c>
      <c r="H44" s="11">
        <v>3200</v>
      </c>
      <c r="I44" s="11">
        <v>3200</v>
      </c>
      <c r="J44" s="11">
        <v>3200</v>
      </c>
      <c r="K44" s="11">
        <v>3200</v>
      </c>
    </row>
    <row r="45" spans="1:11" x14ac:dyDescent="0.15">
      <c r="A45" t="s">
        <v>71</v>
      </c>
      <c r="D45" s="7"/>
      <c r="E45">
        <v>1.8249</v>
      </c>
      <c r="F45">
        <v>1.8843000000000001</v>
      </c>
      <c r="G45">
        <v>1.9098999999999999</v>
      </c>
      <c r="H45">
        <v>1.89</v>
      </c>
      <c r="I45">
        <v>1.7336</v>
      </c>
      <c r="J45">
        <v>1.9282999999999999</v>
      </c>
      <c r="K45">
        <v>2.2121</v>
      </c>
    </row>
    <row r="46" spans="1:11" x14ac:dyDescent="0.15">
      <c r="A46" t="s">
        <v>72</v>
      </c>
      <c r="D46" s="7"/>
      <c r="E46">
        <v>1.4938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</row>
    <row r="47" spans="1:11" x14ac:dyDescent="0.15">
      <c r="A47" t="s">
        <v>75</v>
      </c>
      <c r="D47" s="7"/>
      <c r="E47">
        <v>1.1451</v>
      </c>
      <c r="F47">
        <v>1.4256</v>
      </c>
      <c r="G47">
        <v>1.5258</v>
      </c>
      <c r="H47">
        <v>1.47</v>
      </c>
      <c r="I47">
        <v>1.4101999999999999</v>
      </c>
      <c r="J47">
        <v>1.5378000000000001</v>
      </c>
      <c r="K47">
        <v>1.6320699999999999</v>
      </c>
    </row>
    <row r="48" spans="1:11" x14ac:dyDescent="0.15">
      <c r="A48" t="s">
        <v>76</v>
      </c>
      <c r="D48" s="7"/>
      <c r="E48">
        <v>1.5939000000000001</v>
      </c>
      <c r="F48">
        <v>1.6741999999999999</v>
      </c>
      <c r="G48">
        <v>1.6217999999999999</v>
      </c>
      <c r="H48">
        <v>1.66</v>
      </c>
      <c r="I48">
        <v>1.5125</v>
      </c>
      <c r="J48">
        <v>1.6445000000000001</v>
      </c>
      <c r="K48">
        <v>1.9658100000000001</v>
      </c>
    </row>
    <row r="49" spans="1:11" x14ac:dyDescent="0.15">
      <c r="A49" t="s">
        <v>86</v>
      </c>
      <c r="D49" s="7"/>
      <c r="E49">
        <v>1.2903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</row>
    <row r="50" spans="1:11" x14ac:dyDescent="0.15">
      <c r="A50" t="s">
        <v>80</v>
      </c>
      <c r="D50" s="7"/>
      <c r="E50">
        <v>1.1121000000000001</v>
      </c>
      <c r="F50">
        <v>1.3420000000000001</v>
      </c>
      <c r="G50">
        <v>1.4298</v>
      </c>
      <c r="H50">
        <v>1.42</v>
      </c>
      <c r="I50">
        <v>1.2968999999999999</v>
      </c>
      <c r="J50">
        <v>1.4410000000000001</v>
      </c>
      <c r="K50">
        <v>1.4142699999999999</v>
      </c>
    </row>
    <row r="51" spans="1:11" x14ac:dyDescent="0.15">
      <c r="A51" t="s">
        <v>81</v>
      </c>
      <c r="D51" s="7"/>
      <c r="E51">
        <v>51.116999999999997</v>
      </c>
      <c r="F51">
        <v>47.817</v>
      </c>
      <c r="G51">
        <v>49.23</v>
      </c>
      <c r="H51">
        <v>50.13</v>
      </c>
      <c r="I51">
        <v>46.2</v>
      </c>
      <c r="J51">
        <v>50</v>
      </c>
      <c r="K51">
        <v>62.029000000000003</v>
      </c>
    </row>
    <row r="52" spans="1:11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15">
      <c r="A53" s="9" t="s">
        <v>490</v>
      </c>
      <c r="D53" s="7"/>
      <c r="E53" s="23" t="s">
        <v>1044</v>
      </c>
      <c r="F53" s="23" t="s">
        <v>591</v>
      </c>
      <c r="G53" s="23" t="s">
        <v>555</v>
      </c>
      <c r="H53" s="23" t="s">
        <v>544</v>
      </c>
      <c r="I53" s="23" t="s">
        <v>514</v>
      </c>
      <c r="J53" s="23" t="s">
        <v>615</v>
      </c>
      <c r="K53" s="23" t="s">
        <v>595</v>
      </c>
    </row>
    <row r="54" spans="1:11" x14ac:dyDescent="0.15">
      <c r="A54" t="s">
        <v>491</v>
      </c>
      <c r="D54" s="7"/>
      <c r="E54" s="24" t="s">
        <v>560</v>
      </c>
      <c r="F54" s="25" t="s">
        <v>494</v>
      </c>
      <c r="G54" s="25" t="s">
        <v>492</v>
      </c>
      <c r="H54" s="25" t="s">
        <v>494</v>
      </c>
      <c r="I54" s="24" t="s">
        <v>560</v>
      </c>
      <c r="J54" s="25" t="s">
        <v>494</v>
      </c>
      <c r="K54" s="25" t="s">
        <v>494</v>
      </c>
    </row>
    <row r="55" spans="1:11" x14ac:dyDescent="0.15">
      <c r="A55" t="s">
        <v>496</v>
      </c>
      <c r="D55" s="7"/>
      <c r="E55" s="25" t="s">
        <v>498</v>
      </c>
      <c r="F55" s="25" t="s">
        <v>494</v>
      </c>
      <c r="G55" s="25" t="s">
        <v>526</v>
      </c>
      <c r="H55" s="25" t="s">
        <v>526</v>
      </c>
      <c r="I55" s="25" t="s">
        <v>498</v>
      </c>
      <c r="J55" s="25" t="s">
        <v>498</v>
      </c>
      <c r="K55" s="25" t="s">
        <v>498</v>
      </c>
    </row>
    <row r="56" spans="1:11" x14ac:dyDescent="0.15">
      <c r="A56" t="s">
        <v>499</v>
      </c>
      <c r="D56" s="7"/>
      <c r="E56" s="25" t="s">
        <v>512</v>
      </c>
      <c r="F56" s="25" t="s">
        <v>494</v>
      </c>
      <c r="G56" s="25" t="s">
        <v>512</v>
      </c>
      <c r="H56" s="25" t="s">
        <v>512</v>
      </c>
      <c r="I56" s="25" t="s">
        <v>512</v>
      </c>
      <c r="J56" s="25" t="s">
        <v>512</v>
      </c>
      <c r="K56" s="25" t="s">
        <v>512</v>
      </c>
    </row>
    <row r="57" spans="1:11" x14ac:dyDescent="0.15">
      <c r="A57" t="s">
        <v>501</v>
      </c>
      <c r="D57" s="7"/>
      <c r="E57" s="25" t="s">
        <v>494</v>
      </c>
      <c r="F57" s="25" t="s">
        <v>494</v>
      </c>
      <c r="G57" s="24" t="s">
        <v>540</v>
      </c>
      <c r="H57" s="24" t="s">
        <v>560</v>
      </c>
      <c r="I57" s="25" t="s">
        <v>494</v>
      </c>
      <c r="J57" s="24" t="s">
        <v>560</v>
      </c>
      <c r="K57" s="24" t="s">
        <v>436</v>
      </c>
    </row>
    <row r="58" spans="1:11" x14ac:dyDescent="0.15">
      <c r="A58" t="s">
        <v>442</v>
      </c>
      <c r="D58" s="7"/>
      <c r="E58" s="25" t="s">
        <v>512</v>
      </c>
      <c r="F58" s="25" t="s">
        <v>494</v>
      </c>
      <c r="G58" s="25" t="s">
        <v>494</v>
      </c>
      <c r="H58" s="25" t="s">
        <v>512</v>
      </c>
      <c r="I58" s="25" t="s">
        <v>494</v>
      </c>
      <c r="J58" s="25" t="s">
        <v>494</v>
      </c>
      <c r="K58" s="25" t="s">
        <v>494</v>
      </c>
    </row>
    <row r="59" spans="1:11" x14ac:dyDescent="0.15">
      <c r="A59" s="18"/>
      <c r="B59" s="19"/>
      <c r="C59" s="19"/>
      <c r="D59" s="19"/>
      <c r="E59" s="19"/>
      <c r="F59" s="19"/>
      <c r="G59" s="19"/>
      <c r="H59" s="19"/>
      <c r="I59" s="19"/>
      <c r="J59" s="19"/>
      <c r="K59" s="19"/>
    </row>
  </sheetData>
  <sheetProtection algorithmName="SHA-512" hashValue="bUq6x+OOC4u0oDD5wH5mlbeHTJmL6GzR4Wnx6CaePK0JWtfvWd945oe69xxr4ok/5VQ8D+66Y3z8YHu+VIFJ2Q==" saltValue="VAfdzCPc14g+EMyYWlYWhw==" spinCount="100000" sheet="1" objects="1" scenarios="1"/>
  <phoneticPr fontId="20" type="noConversion"/>
  <pageMargins left="0.75" right="0.75" top="1" bottom="1" header="0.5" footer="0.5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/>
  <dimension ref="A1:K40"/>
  <sheetViews>
    <sheetView workbookViewId="0">
      <pane xSplit="11" topLeftCell="L1" activePane="topRight" state="frozen"/>
      <selection pane="topRight"/>
    </sheetView>
  </sheetViews>
  <sheetFormatPr baseColWidth="10" defaultColWidth="8.83203125" defaultRowHeight="13" x14ac:dyDescent="0.15"/>
  <cols>
    <col min="1" max="1" width="27.33203125" customWidth="1"/>
    <col min="2" max="2" width="1.6640625" customWidth="1"/>
    <col min="3" max="3" width="1.83203125" customWidth="1"/>
    <col min="4" max="4" width="2" customWidth="1"/>
    <col min="5" max="11" width="11.6640625" customWidth="1"/>
  </cols>
  <sheetData>
    <row r="1" spans="1:11" x14ac:dyDescent="0.15">
      <c r="A1" s="1" t="s">
        <v>5</v>
      </c>
    </row>
    <row r="2" spans="1:11" x14ac:dyDescent="0.15">
      <c r="A2" s="2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x14ac:dyDescent="0.15">
      <c r="A3" s="4" t="s">
        <v>6</v>
      </c>
      <c r="B3" s="5"/>
      <c r="C3" s="5"/>
      <c r="D3" s="6"/>
      <c r="E3" s="5"/>
      <c r="F3" s="5"/>
      <c r="G3" s="5"/>
      <c r="H3" s="5"/>
      <c r="I3" s="5"/>
      <c r="J3" s="5"/>
      <c r="K3" s="5"/>
    </row>
    <row r="4" spans="1:11" x14ac:dyDescent="0.15">
      <c r="D4" s="7"/>
      <c r="E4" s="8" t="s">
        <v>7</v>
      </c>
    </row>
    <row r="5" spans="1:11" x14ac:dyDescent="0.15">
      <c r="D5" s="7"/>
    </row>
    <row r="6" spans="1:11" x14ac:dyDescent="0.15">
      <c r="A6" s="9" t="s">
        <v>1074</v>
      </c>
      <c r="D6" s="7"/>
      <c r="E6" s="10" t="s">
        <v>1044</v>
      </c>
      <c r="F6" s="10" t="s">
        <v>591</v>
      </c>
      <c r="G6" s="10" t="s">
        <v>555</v>
      </c>
      <c r="H6" s="10" t="s">
        <v>544</v>
      </c>
      <c r="I6" s="10" t="s">
        <v>514</v>
      </c>
      <c r="J6" s="10" t="s">
        <v>615</v>
      </c>
      <c r="K6" s="10" t="s">
        <v>441</v>
      </c>
    </row>
    <row r="7" spans="1:11" x14ac:dyDescent="0.15">
      <c r="A7" s="1" t="s">
        <v>63</v>
      </c>
      <c r="D7" s="7"/>
      <c r="E7" s="13">
        <v>0.5</v>
      </c>
      <c r="F7" s="13">
        <v>0.5</v>
      </c>
      <c r="G7" s="13">
        <v>0.5</v>
      </c>
      <c r="H7" s="13">
        <v>0.5</v>
      </c>
      <c r="I7" s="13">
        <v>0.5</v>
      </c>
      <c r="J7" s="13">
        <v>0.5</v>
      </c>
      <c r="K7" s="13">
        <v>0.5</v>
      </c>
    </row>
    <row r="8" spans="1:11" x14ac:dyDescent="0.15">
      <c r="A8" s="1" t="s">
        <v>64</v>
      </c>
      <c r="D8" s="7"/>
      <c r="E8" s="15">
        <v>3</v>
      </c>
      <c r="F8" s="15">
        <v>3</v>
      </c>
      <c r="G8" s="15">
        <v>3</v>
      </c>
      <c r="H8" s="15">
        <v>3</v>
      </c>
      <c r="I8" s="15">
        <v>3</v>
      </c>
      <c r="J8" s="15">
        <v>3</v>
      </c>
      <c r="K8" s="15">
        <v>3</v>
      </c>
    </row>
    <row r="9" spans="1:11" x14ac:dyDescent="0.15">
      <c r="A9" s="1" t="s">
        <v>65</v>
      </c>
      <c r="D9" s="7"/>
      <c r="E9" s="13">
        <v>0.5</v>
      </c>
      <c r="F9" s="13">
        <v>0.5</v>
      </c>
      <c r="G9" s="13">
        <v>0.5</v>
      </c>
      <c r="H9" s="13">
        <v>0.5</v>
      </c>
      <c r="I9" s="13">
        <v>0.5</v>
      </c>
      <c r="J9" s="13">
        <v>0.5</v>
      </c>
      <c r="K9" s="13">
        <v>0.5</v>
      </c>
    </row>
    <row r="10" spans="1:11" x14ac:dyDescent="0.15">
      <c r="A10" s="1" t="s">
        <v>66</v>
      </c>
      <c r="D10" s="7"/>
      <c r="E10" s="15">
        <v>3</v>
      </c>
      <c r="F10" s="15">
        <v>3</v>
      </c>
      <c r="G10" s="15">
        <v>3</v>
      </c>
      <c r="H10" s="15">
        <v>3</v>
      </c>
      <c r="I10" s="15">
        <v>3</v>
      </c>
      <c r="J10" s="15">
        <v>3</v>
      </c>
      <c r="K10" s="15">
        <v>3</v>
      </c>
    </row>
    <row r="11" spans="1:11" x14ac:dyDescent="0.15">
      <c r="A11" t="s">
        <v>67</v>
      </c>
      <c r="D11" s="7"/>
      <c r="E11">
        <v>6000</v>
      </c>
      <c r="F11">
        <v>6000</v>
      </c>
      <c r="G11">
        <v>6000</v>
      </c>
      <c r="H11">
        <v>6000</v>
      </c>
      <c r="I11">
        <v>6000</v>
      </c>
      <c r="J11">
        <v>6000</v>
      </c>
      <c r="K11">
        <v>6000</v>
      </c>
    </row>
    <row r="12" spans="1:11" x14ac:dyDescent="0.15">
      <c r="A12" s="11" t="s">
        <v>84</v>
      </c>
      <c r="B12" s="11"/>
      <c r="C12" s="11"/>
      <c r="D12" s="12"/>
      <c r="E12" s="11">
        <v>9000</v>
      </c>
      <c r="F12" s="11">
        <v>9000</v>
      </c>
      <c r="G12" s="11">
        <v>9000</v>
      </c>
      <c r="H12" s="11">
        <v>6000</v>
      </c>
      <c r="I12" s="11">
        <v>9000</v>
      </c>
      <c r="J12" s="11">
        <v>9000</v>
      </c>
      <c r="K12" s="11">
        <v>9000</v>
      </c>
    </row>
    <row r="13" spans="1:11" x14ac:dyDescent="0.15">
      <c r="A13" t="s">
        <v>71</v>
      </c>
      <c r="D13" s="7"/>
      <c r="E13">
        <v>1.5168999999999999</v>
      </c>
      <c r="F13">
        <v>1.6148</v>
      </c>
      <c r="G13">
        <v>1.5258</v>
      </c>
      <c r="H13">
        <v>1.49</v>
      </c>
      <c r="I13">
        <v>1.4850000000000001</v>
      </c>
      <c r="J13">
        <v>1.7457</v>
      </c>
      <c r="K13">
        <v>1.8633999999999999</v>
      </c>
    </row>
    <row r="14" spans="1:11" x14ac:dyDescent="0.15">
      <c r="A14" t="s">
        <v>72</v>
      </c>
      <c r="D14" s="7"/>
      <c r="E14">
        <v>1.0494000000000001</v>
      </c>
      <c r="F14">
        <v>1.1068199999999999</v>
      </c>
      <c r="G14">
        <v>1.099</v>
      </c>
      <c r="H14">
        <v>0</v>
      </c>
      <c r="I14">
        <v>1.1000000000000001</v>
      </c>
      <c r="J14">
        <v>1.2738</v>
      </c>
      <c r="K14">
        <v>1.2098899999999999</v>
      </c>
    </row>
    <row r="15" spans="1:11" x14ac:dyDescent="0.15">
      <c r="A15" t="s">
        <v>75</v>
      </c>
      <c r="D15" s="7"/>
      <c r="E15">
        <v>0.74250000000000005</v>
      </c>
      <c r="F15">
        <v>0.80101999999999995</v>
      </c>
      <c r="G15">
        <v>0.77890000000000004</v>
      </c>
      <c r="H15">
        <v>1.05</v>
      </c>
      <c r="I15">
        <v>0.79200000000000004</v>
      </c>
      <c r="J15">
        <v>0.87339999999999995</v>
      </c>
      <c r="K15">
        <v>0.70433000000000001</v>
      </c>
    </row>
    <row r="16" spans="1:11" x14ac:dyDescent="0.15">
      <c r="A16" t="s">
        <v>76</v>
      </c>
      <c r="D16" s="7"/>
      <c r="E16">
        <v>1.4091</v>
      </c>
      <c r="F16">
        <v>1.5011699999999999</v>
      </c>
      <c r="G16">
        <v>1.5791999999999999</v>
      </c>
      <c r="H16">
        <v>1.39</v>
      </c>
      <c r="I16">
        <v>1.3859999999999999</v>
      </c>
      <c r="J16">
        <v>1.6225000000000001</v>
      </c>
      <c r="K16">
        <v>1.7095100000000001</v>
      </c>
    </row>
    <row r="17" spans="1:11" x14ac:dyDescent="0.15">
      <c r="A17" t="s">
        <v>77</v>
      </c>
      <c r="D17" s="7"/>
      <c r="E17">
        <v>0.96360000000000001</v>
      </c>
      <c r="F17">
        <v>1.01607</v>
      </c>
      <c r="G17">
        <v>1.0777000000000001</v>
      </c>
      <c r="H17">
        <v>0</v>
      </c>
      <c r="I17">
        <v>1.012</v>
      </c>
      <c r="J17">
        <v>1.1066</v>
      </c>
      <c r="K17">
        <v>1.1059399999999999</v>
      </c>
    </row>
    <row r="18" spans="1:11" x14ac:dyDescent="0.15">
      <c r="A18" t="s">
        <v>80</v>
      </c>
      <c r="D18" s="7"/>
      <c r="E18">
        <v>0.70289999999999997</v>
      </c>
      <c r="F18">
        <v>0.75966</v>
      </c>
      <c r="G18">
        <v>0.77890000000000004</v>
      </c>
      <c r="H18">
        <v>0.97</v>
      </c>
      <c r="I18">
        <v>0.75900000000000001</v>
      </c>
      <c r="J18">
        <v>0.82609999999999995</v>
      </c>
      <c r="K18">
        <v>0.60313000000000005</v>
      </c>
    </row>
    <row r="19" spans="1:11" x14ac:dyDescent="0.15">
      <c r="A19" t="s">
        <v>81</v>
      </c>
      <c r="D19" s="7"/>
      <c r="E19">
        <v>48.631</v>
      </c>
      <c r="F19">
        <v>52.326999999999998</v>
      </c>
      <c r="G19">
        <v>50.9</v>
      </c>
      <c r="H19">
        <v>50.58</v>
      </c>
      <c r="I19">
        <v>46.673000000000002</v>
      </c>
      <c r="J19">
        <v>57</v>
      </c>
      <c r="K19">
        <v>65.218999999999994</v>
      </c>
    </row>
    <row r="20" spans="1:11" x14ac:dyDescent="0.15">
      <c r="D20" s="7"/>
    </row>
    <row r="21" spans="1:11" x14ac:dyDescent="0.15">
      <c r="D21" s="7"/>
    </row>
    <row r="22" spans="1:11" x14ac:dyDescent="0.15">
      <c r="A22" s="9" t="s">
        <v>1076</v>
      </c>
      <c r="D22" s="7"/>
      <c r="E22" s="10" t="s">
        <v>1044</v>
      </c>
      <c r="F22" s="10" t="s">
        <v>591</v>
      </c>
      <c r="G22" s="10" t="s">
        <v>555</v>
      </c>
      <c r="H22" s="10" t="s">
        <v>544</v>
      </c>
      <c r="I22" s="10" t="s">
        <v>514</v>
      </c>
      <c r="J22" s="10" t="s">
        <v>615</v>
      </c>
      <c r="K22" s="10" t="s">
        <v>441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3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5</v>
      </c>
    </row>
    <row r="27" spans="1:11" x14ac:dyDescent="0.15">
      <c r="A27" s="11" t="s">
        <v>67</v>
      </c>
      <c r="B27" s="11"/>
      <c r="C27" s="11"/>
      <c r="D27" s="12"/>
      <c r="E27" s="11">
        <v>3500</v>
      </c>
      <c r="F27" s="11">
        <v>3500</v>
      </c>
      <c r="G27" s="11">
        <v>3500</v>
      </c>
      <c r="H27" s="11">
        <v>3500</v>
      </c>
      <c r="I27" s="11">
        <v>3500</v>
      </c>
      <c r="J27" s="11">
        <v>3500</v>
      </c>
      <c r="K27" s="11">
        <v>3500</v>
      </c>
    </row>
    <row r="28" spans="1:11" x14ac:dyDescent="0.15">
      <c r="A28" t="s">
        <v>71</v>
      </c>
      <c r="D28" s="7"/>
      <c r="E28">
        <v>1.4597</v>
      </c>
      <c r="F28">
        <v>1.4321999999999999</v>
      </c>
      <c r="G28">
        <v>1.4191</v>
      </c>
      <c r="H28">
        <v>1.33</v>
      </c>
      <c r="I28">
        <v>1.353</v>
      </c>
      <c r="J28">
        <v>1.5323</v>
      </c>
      <c r="K28">
        <v>1.68872</v>
      </c>
    </row>
    <row r="29" spans="1:11" x14ac:dyDescent="0.15">
      <c r="A29" t="s">
        <v>75</v>
      </c>
      <c r="D29" s="7"/>
      <c r="E29">
        <v>1.2385999999999999</v>
      </c>
      <c r="F29">
        <v>1.23794</v>
      </c>
      <c r="G29">
        <v>1.2163999999999999</v>
      </c>
      <c r="H29">
        <v>1.1499999999999999</v>
      </c>
      <c r="I29">
        <v>1.177</v>
      </c>
      <c r="J29">
        <v>1.3232999999999999</v>
      </c>
      <c r="K29">
        <v>1.3572900000000001</v>
      </c>
    </row>
    <row r="30" spans="1:11" x14ac:dyDescent="0.15">
      <c r="A30" t="s">
        <v>76</v>
      </c>
      <c r="D30" s="7"/>
      <c r="E30">
        <v>1.4267000000000001</v>
      </c>
      <c r="F30">
        <v>1.3670800000000001</v>
      </c>
      <c r="G30">
        <v>1.3551</v>
      </c>
      <c r="H30">
        <v>1.27</v>
      </c>
      <c r="I30">
        <v>1.2869999999999999</v>
      </c>
      <c r="J30">
        <v>1.4641</v>
      </c>
      <c r="K30">
        <v>1.5481400000000001</v>
      </c>
    </row>
    <row r="31" spans="1:11" x14ac:dyDescent="0.15">
      <c r="A31" t="s">
        <v>80</v>
      </c>
      <c r="D31" s="7"/>
      <c r="E31">
        <v>1.1913</v>
      </c>
      <c r="F31">
        <v>1.06975</v>
      </c>
      <c r="G31">
        <v>1.0563</v>
      </c>
      <c r="H31">
        <v>0.99</v>
      </c>
      <c r="I31">
        <v>1.0229999999999999</v>
      </c>
      <c r="J31">
        <v>1.1451</v>
      </c>
      <c r="K31">
        <v>1.2608200000000001</v>
      </c>
    </row>
    <row r="32" spans="1:11" x14ac:dyDescent="0.15">
      <c r="A32" t="s">
        <v>81</v>
      </c>
      <c r="D32" s="7"/>
      <c r="E32">
        <v>41.25</v>
      </c>
      <c r="F32">
        <v>47.146000000000001</v>
      </c>
      <c r="G32">
        <v>45.8</v>
      </c>
      <c r="H32">
        <v>46</v>
      </c>
      <c r="I32">
        <v>40.534999999999997</v>
      </c>
      <c r="J32">
        <v>51</v>
      </c>
      <c r="K32">
        <v>56.902999999999999</v>
      </c>
    </row>
    <row r="33" spans="1:11" x14ac:dyDescent="0.1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 x14ac:dyDescent="0.15">
      <c r="A34" s="9" t="s">
        <v>490</v>
      </c>
      <c r="D34" s="7"/>
      <c r="E34" s="10" t="s">
        <v>1044</v>
      </c>
      <c r="F34" s="10" t="s">
        <v>591</v>
      </c>
      <c r="G34" s="10" t="s">
        <v>555</v>
      </c>
      <c r="H34" s="10" t="s">
        <v>544</v>
      </c>
      <c r="I34" s="10" t="s">
        <v>514</v>
      </c>
      <c r="J34" s="10" t="s">
        <v>615</v>
      </c>
      <c r="K34" s="10" t="s">
        <v>441</v>
      </c>
    </row>
    <row r="35" spans="1:11" x14ac:dyDescent="0.15">
      <c r="A35" t="s">
        <v>491</v>
      </c>
      <c r="D35" s="7"/>
      <c r="E35" s="16">
        <v>0.05</v>
      </c>
      <c r="F35" s="17" t="s">
        <v>494</v>
      </c>
      <c r="G35" s="17" t="s">
        <v>494</v>
      </c>
      <c r="H35" s="17" t="s">
        <v>494</v>
      </c>
      <c r="I35" s="16">
        <v>0.05</v>
      </c>
      <c r="J35" s="17" t="s">
        <v>494</v>
      </c>
      <c r="K35" s="17" t="s">
        <v>494</v>
      </c>
    </row>
    <row r="36" spans="1:11" x14ac:dyDescent="0.15">
      <c r="A36" t="s">
        <v>496</v>
      </c>
      <c r="D36" s="7"/>
      <c r="E36" s="17" t="s">
        <v>498</v>
      </c>
      <c r="F36" s="17" t="s">
        <v>494</v>
      </c>
      <c r="G36" s="17" t="s">
        <v>526</v>
      </c>
      <c r="H36" s="17" t="s">
        <v>526</v>
      </c>
      <c r="I36" s="17" t="s">
        <v>498</v>
      </c>
      <c r="J36" s="17" t="s">
        <v>498</v>
      </c>
      <c r="K36" s="17" t="s">
        <v>498</v>
      </c>
    </row>
    <row r="37" spans="1:11" x14ac:dyDescent="0.15">
      <c r="A37" t="s">
        <v>499</v>
      </c>
      <c r="D37" s="7"/>
      <c r="E37" s="17" t="s">
        <v>512</v>
      </c>
      <c r="F37" s="17" t="s">
        <v>494</v>
      </c>
      <c r="G37" s="17" t="s">
        <v>512</v>
      </c>
      <c r="H37" s="17" t="s">
        <v>512</v>
      </c>
      <c r="I37" s="17" t="s">
        <v>512</v>
      </c>
      <c r="J37" s="17" t="s">
        <v>512</v>
      </c>
      <c r="K37" s="17" t="s">
        <v>512</v>
      </c>
    </row>
    <row r="38" spans="1:11" x14ac:dyDescent="0.15">
      <c r="A38" t="s">
        <v>501</v>
      </c>
      <c r="D38" s="7"/>
      <c r="E38" s="17" t="s">
        <v>494</v>
      </c>
      <c r="F38" s="17" t="s">
        <v>494</v>
      </c>
      <c r="G38" s="16">
        <v>0.03</v>
      </c>
      <c r="H38" s="16">
        <v>0.05</v>
      </c>
      <c r="I38" s="17" t="s">
        <v>494</v>
      </c>
      <c r="J38" s="16">
        <v>0.05</v>
      </c>
      <c r="K38" s="16">
        <v>0.1</v>
      </c>
    </row>
    <row r="39" spans="1:11" x14ac:dyDescent="0.15">
      <c r="A39" t="s">
        <v>442</v>
      </c>
      <c r="D39" s="7"/>
      <c r="E39" s="17" t="s">
        <v>512</v>
      </c>
      <c r="F39" s="17" t="s">
        <v>494</v>
      </c>
      <c r="G39" s="17" t="s">
        <v>494</v>
      </c>
      <c r="H39" s="17" t="s">
        <v>512</v>
      </c>
      <c r="I39" s="17" t="s">
        <v>494</v>
      </c>
      <c r="J39" s="17" t="s">
        <v>494</v>
      </c>
      <c r="K39" s="17" t="s">
        <v>494</v>
      </c>
    </row>
    <row r="40" spans="1:11" x14ac:dyDescent="0.15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</row>
  </sheetData>
  <sheetProtection algorithmName="SHA-512" hashValue="zrTjAKfMuLdKf04awYqXIJP+N7H3HCrMSOKsOLxdVURlr8DmcrjM/UiPkv/aZD+m05djjp459s0R6w2kisb6AA==" saltValue="Q7bBQo5gwHbBvh376QUJ7w==" spinCount="100000" sheet="1" objects="1" scenarios="1"/>
  <phoneticPr fontId="9" type="noConversion"/>
  <pageMargins left="0.75" right="0.75" top="1" bottom="1" header="0.5" footer="0.5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/>
  <dimension ref="A1:K56"/>
  <sheetViews>
    <sheetView workbookViewId="0">
      <pane xSplit="11" topLeftCell="L1" activePane="topRight" state="frozen"/>
      <selection pane="topRight"/>
    </sheetView>
  </sheetViews>
  <sheetFormatPr baseColWidth="10" defaultColWidth="8.83203125" defaultRowHeight="13" x14ac:dyDescent="0.15"/>
  <cols>
    <col min="1" max="1" width="27.33203125" customWidth="1"/>
    <col min="2" max="3" width="1.83203125" customWidth="1"/>
    <col min="4" max="4" width="2" customWidth="1"/>
    <col min="5" max="11" width="11.6640625" customWidth="1"/>
  </cols>
  <sheetData>
    <row r="1" spans="1:11" x14ac:dyDescent="0.15">
      <c r="A1" s="1" t="s">
        <v>5</v>
      </c>
    </row>
    <row r="2" spans="1:11" x14ac:dyDescent="0.15">
      <c r="A2" s="2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x14ac:dyDescent="0.15">
      <c r="A3" s="4" t="s">
        <v>8</v>
      </c>
      <c r="B3" s="5"/>
      <c r="C3" s="5"/>
      <c r="D3" s="6"/>
      <c r="E3" s="5"/>
      <c r="F3" s="5"/>
      <c r="G3" s="5"/>
      <c r="H3" s="5"/>
      <c r="I3" s="5"/>
      <c r="J3" s="5"/>
      <c r="K3" s="5"/>
    </row>
    <row r="4" spans="1:11" x14ac:dyDescent="0.15">
      <c r="D4" s="7"/>
      <c r="E4" s="8" t="s">
        <v>7</v>
      </c>
    </row>
    <row r="5" spans="1:11" x14ac:dyDescent="0.15">
      <c r="A5" s="9" t="s">
        <v>83</v>
      </c>
      <c r="D5" s="7"/>
    </row>
    <row r="6" spans="1:11" x14ac:dyDescent="0.15">
      <c r="A6" s="9" t="s">
        <v>1024</v>
      </c>
      <c r="D6" s="7"/>
      <c r="E6" s="10" t="s">
        <v>1044</v>
      </c>
      <c r="F6" s="10" t="s">
        <v>591</v>
      </c>
      <c r="G6" s="10" t="s">
        <v>555</v>
      </c>
      <c r="H6" s="10" t="s">
        <v>544</v>
      </c>
      <c r="I6" s="10" t="s">
        <v>514</v>
      </c>
      <c r="J6" s="10" t="s">
        <v>615</v>
      </c>
      <c r="K6" s="10" t="s">
        <v>441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t="s">
        <v>67</v>
      </c>
      <c r="D11" s="7"/>
      <c r="E11">
        <v>4000</v>
      </c>
      <c r="F11">
        <v>4000</v>
      </c>
      <c r="G11">
        <v>4000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1" t="s">
        <v>84</v>
      </c>
      <c r="B12" s="11"/>
      <c r="C12" s="11"/>
      <c r="D12" s="12"/>
      <c r="E12" s="11">
        <v>12000</v>
      </c>
      <c r="F12" s="11">
        <v>12000</v>
      </c>
      <c r="G12" s="11">
        <v>12000</v>
      </c>
      <c r="H12" s="11">
        <v>4000</v>
      </c>
      <c r="I12" s="11">
        <v>12000</v>
      </c>
      <c r="J12" s="11">
        <v>12000</v>
      </c>
      <c r="K12" s="11">
        <v>12000</v>
      </c>
    </row>
    <row r="13" spans="1:11" x14ac:dyDescent="0.15">
      <c r="A13" t="s">
        <v>71</v>
      </c>
      <c r="D13" s="7"/>
      <c r="E13">
        <v>1.4608000000000001</v>
      </c>
      <c r="F13">
        <v>1.49776</v>
      </c>
      <c r="G13">
        <v>1.5044999999999999</v>
      </c>
      <c r="H13">
        <v>1.4</v>
      </c>
      <c r="I13">
        <v>1.4079999999999999</v>
      </c>
      <c r="J13">
        <v>1.6214</v>
      </c>
      <c r="K13">
        <v>1.60842</v>
      </c>
    </row>
    <row r="14" spans="1:11" x14ac:dyDescent="0.15">
      <c r="A14" t="s">
        <v>72</v>
      </c>
      <c r="D14" s="7"/>
      <c r="E14">
        <v>1.3716999999999999</v>
      </c>
      <c r="F14">
        <v>1.4133899999999999</v>
      </c>
      <c r="G14">
        <v>1.4191</v>
      </c>
      <c r="H14">
        <v>0</v>
      </c>
      <c r="I14">
        <v>1.331</v>
      </c>
      <c r="J14">
        <v>1.5378000000000001</v>
      </c>
      <c r="K14">
        <v>1.4863200000000001</v>
      </c>
    </row>
    <row r="15" spans="1:11" x14ac:dyDescent="0.15">
      <c r="A15" t="s">
        <v>75</v>
      </c>
      <c r="D15" s="7"/>
      <c r="E15">
        <v>1.0483</v>
      </c>
      <c r="F15">
        <v>1.09439</v>
      </c>
      <c r="G15">
        <v>1.0777000000000001</v>
      </c>
      <c r="H15">
        <v>1.32</v>
      </c>
      <c r="I15">
        <v>1.0229999999999999</v>
      </c>
      <c r="J15">
        <v>1.1901999999999999</v>
      </c>
      <c r="K15">
        <v>1.0045200000000001</v>
      </c>
    </row>
    <row r="16" spans="1:11" x14ac:dyDescent="0.15">
      <c r="A16" t="s">
        <v>76</v>
      </c>
      <c r="D16" s="7"/>
      <c r="E16">
        <v>1.397</v>
      </c>
      <c r="F16">
        <v>1.43319</v>
      </c>
      <c r="G16">
        <v>1.4404999999999999</v>
      </c>
      <c r="H16">
        <v>1.35</v>
      </c>
      <c r="I16">
        <v>1.353</v>
      </c>
      <c r="J16">
        <v>1.5488</v>
      </c>
      <c r="K16">
        <v>1.5763</v>
      </c>
    </row>
    <row r="17" spans="1:11" x14ac:dyDescent="0.15">
      <c r="A17" t="s">
        <v>77</v>
      </c>
      <c r="D17" s="7"/>
      <c r="E17">
        <v>1.3288</v>
      </c>
      <c r="F17">
        <v>1.3685099999999999</v>
      </c>
      <c r="G17">
        <v>1.3657999999999999</v>
      </c>
      <c r="H17">
        <v>0</v>
      </c>
      <c r="I17">
        <v>1.2869999999999999</v>
      </c>
      <c r="J17">
        <v>1.4904999999999999</v>
      </c>
      <c r="K17">
        <v>1.4401200000000001</v>
      </c>
    </row>
    <row r="18" spans="1:11" x14ac:dyDescent="0.15">
      <c r="A18" t="s">
        <v>80</v>
      </c>
      <c r="D18" s="7"/>
      <c r="E18">
        <v>1.0142</v>
      </c>
      <c r="F18">
        <v>1.05864</v>
      </c>
      <c r="G18">
        <v>1.0457000000000001</v>
      </c>
      <c r="H18">
        <v>1.29</v>
      </c>
      <c r="I18">
        <v>0.99</v>
      </c>
      <c r="J18">
        <v>1.1538999999999999</v>
      </c>
      <c r="K18">
        <v>0.95743999999999996</v>
      </c>
    </row>
    <row r="19" spans="1:11" x14ac:dyDescent="0.15">
      <c r="A19" t="s">
        <v>81</v>
      </c>
      <c r="D19" s="7"/>
      <c r="E19">
        <v>46.408999999999999</v>
      </c>
      <c r="F19">
        <v>47.828000000000003</v>
      </c>
      <c r="G19">
        <v>47.5</v>
      </c>
      <c r="H19">
        <v>46.39</v>
      </c>
      <c r="I19">
        <v>43.911999999999999</v>
      </c>
      <c r="J19">
        <v>52</v>
      </c>
      <c r="K19">
        <v>65.218999999999994</v>
      </c>
    </row>
    <row r="20" spans="1:11" x14ac:dyDescent="0.15">
      <c r="D20" s="7"/>
    </row>
    <row r="21" spans="1:11" x14ac:dyDescent="0.15">
      <c r="A21" s="9" t="s">
        <v>85</v>
      </c>
      <c r="D21" s="7"/>
    </row>
    <row r="22" spans="1:11" x14ac:dyDescent="0.15">
      <c r="A22" s="9" t="s">
        <v>488</v>
      </c>
      <c r="D22" s="7"/>
      <c r="E22" s="10" t="s">
        <v>1044</v>
      </c>
      <c r="F22" s="10" t="s">
        <v>591</v>
      </c>
      <c r="G22" s="10" t="s">
        <v>555</v>
      </c>
      <c r="H22" s="10" t="s">
        <v>544</v>
      </c>
      <c r="I22" s="10" t="s">
        <v>514</v>
      </c>
      <c r="J22" s="10" t="s">
        <v>615</v>
      </c>
      <c r="K22" s="10" t="s">
        <v>441</v>
      </c>
    </row>
    <row r="23" spans="1:11" x14ac:dyDescent="0.15">
      <c r="A23" s="1" t="s">
        <v>63</v>
      </c>
      <c r="D23" s="7"/>
      <c r="E23" s="14">
        <v>0.33329999999999999</v>
      </c>
      <c r="F23" s="14">
        <v>0.33329999999999999</v>
      </c>
      <c r="G23" s="14">
        <v>0.33329999999999999</v>
      </c>
      <c r="H23" s="14">
        <v>0.33329999999999999</v>
      </c>
      <c r="I23" s="14">
        <v>0.33329999999999999</v>
      </c>
      <c r="J23" s="14">
        <v>0.33329999999999999</v>
      </c>
      <c r="K23" s="14">
        <v>0.33329999999999999</v>
      </c>
    </row>
    <row r="24" spans="1:11" x14ac:dyDescent="0.15">
      <c r="A24" s="1" t="s">
        <v>64</v>
      </c>
      <c r="D24" s="7"/>
      <c r="E24" s="15">
        <v>2</v>
      </c>
      <c r="F24" s="15">
        <v>2</v>
      </c>
      <c r="G24" s="15">
        <v>2</v>
      </c>
      <c r="H24" s="15">
        <v>2</v>
      </c>
      <c r="I24" s="15">
        <v>2</v>
      </c>
      <c r="J24" s="15">
        <v>2</v>
      </c>
      <c r="K24" s="15">
        <v>2</v>
      </c>
    </row>
    <row r="25" spans="1:11" x14ac:dyDescent="0.15">
      <c r="A25" s="1" t="s">
        <v>65</v>
      </c>
      <c r="D25" s="7"/>
      <c r="E25" s="14">
        <v>0.66659999999999997</v>
      </c>
      <c r="F25" s="14">
        <v>0.66659999999999997</v>
      </c>
      <c r="G25" s="14">
        <v>0.66659999999999997</v>
      </c>
      <c r="H25" s="14">
        <v>0.66659999999999997</v>
      </c>
      <c r="I25" s="14">
        <v>0.66659999999999997</v>
      </c>
      <c r="J25" s="14">
        <v>0.66659999999999997</v>
      </c>
      <c r="K25" s="14">
        <v>0.66659999999999997</v>
      </c>
    </row>
    <row r="26" spans="1:11" x14ac:dyDescent="0.15">
      <c r="A26" s="1" t="s">
        <v>66</v>
      </c>
      <c r="D26" s="7"/>
      <c r="E26" s="15">
        <v>4</v>
      </c>
      <c r="F26" s="15">
        <v>4</v>
      </c>
      <c r="G26" s="15">
        <v>4</v>
      </c>
      <c r="H26" s="15">
        <v>4</v>
      </c>
      <c r="I26" s="15">
        <v>4</v>
      </c>
      <c r="J26" s="15">
        <v>4</v>
      </c>
      <c r="K26" s="15">
        <v>4</v>
      </c>
    </row>
    <row r="27" spans="1:11" x14ac:dyDescent="0.15">
      <c r="A27" s="11" t="s">
        <v>67</v>
      </c>
      <c r="B27" s="11"/>
      <c r="C27" s="11"/>
      <c r="D27" s="12"/>
      <c r="E27" s="11">
        <v>3200</v>
      </c>
      <c r="F27" s="11">
        <v>3200</v>
      </c>
      <c r="G27" s="11">
        <v>3200</v>
      </c>
      <c r="H27" s="11">
        <v>3200</v>
      </c>
      <c r="I27" s="11">
        <v>3200</v>
      </c>
      <c r="J27" s="11">
        <v>3200</v>
      </c>
      <c r="K27" s="11">
        <v>3200</v>
      </c>
    </row>
    <row r="28" spans="1:11" x14ac:dyDescent="0.15">
      <c r="A28" t="s">
        <v>71</v>
      </c>
      <c r="D28" s="7"/>
      <c r="E28">
        <v>1.4464999999999999</v>
      </c>
      <c r="F28">
        <v>1.4619</v>
      </c>
      <c r="G28">
        <v>1.4404999999999999</v>
      </c>
      <c r="H28">
        <v>1.36</v>
      </c>
      <c r="I28">
        <v>1.3640000000000001</v>
      </c>
      <c r="J28">
        <v>1.5818000000000001</v>
      </c>
      <c r="K28">
        <v>1.6562699999999999</v>
      </c>
    </row>
    <row r="29" spans="1:11" x14ac:dyDescent="0.15">
      <c r="A29" t="s">
        <v>75</v>
      </c>
      <c r="D29" s="7"/>
      <c r="E29">
        <v>1.2748999999999999</v>
      </c>
      <c r="F29">
        <v>1.2900799999999999</v>
      </c>
      <c r="G29">
        <v>1.2804</v>
      </c>
      <c r="H29">
        <v>1.2</v>
      </c>
      <c r="I29">
        <v>1.21</v>
      </c>
      <c r="J29">
        <v>1.3948</v>
      </c>
      <c r="K29">
        <v>1.4091</v>
      </c>
    </row>
    <row r="30" spans="1:11" x14ac:dyDescent="0.15">
      <c r="A30" t="s">
        <v>76</v>
      </c>
      <c r="D30" s="7"/>
      <c r="E30">
        <v>1.3563000000000001</v>
      </c>
      <c r="F30">
        <v>1.3730199999999999</v>
      </c>
      <c r="G30">
        <v>1.3551</v>
      </c>
      <c r="H30">
        <v>1.27</v>
      </c>
      <c r="I30">
        <v>1.2869999999999999</v>
      </c>
      <c r="J30">
        <v>1.4827999999999999</v>
      </c>
      <c r="K30">
        <v>1.6194200000000001</v>
      </c>
    </row>
    <row r="31" spans="1:11" x14ac:dyDescent="0.15">
      <c r="A31" t="s">
        <v>80</v>
      </c>
      <c r="D31" s="7"/>
      <c r="E31">
        <v>1.2111000000000001</v>
      </c>
      <c r="F31">
        <v>1.22496</v>
      </c>
      <c r="G31">
        <v>1.2057</v>
      </c>
      <c r="H31">
        <v>1.1399999999999999</v>
      </c>
      <c r="I31">
        <v>1.155</v>
      </c>
      <c r="J31">
        <v>1.3232999999999999</v>
      </c>
      <c r="K31">
        <v>1.36972</v>
      </c>
    </row>
    <row r="32" spans="1:11" x14ac:dyDescent="0.15">
      <c r="A32" t="s">
        <v>81</v>
      </c>
      <c r="D32" s="7"/>
      <c r="E32">
        <v>46.398000000000003</v>
      </c>
      <c r="F32">
        <v>46.277000000000001</v>
      </c>
      <c r="G32">
        <v>45.7</v>
      </c>
      <c r="H32">
        <v>45.16</v>
      </c>
      <c r="I32">
        <v>42.933</v>
      </c>
      <c r="J32">
        <v>50</v>
      </c>
      <c r="K32">
        <v>58.52</v>
      </c>
    </row>
    <row r="33" spans="1:11" x14ac:dyDescent="0.15">
      <c r="D33" s="7"/>
    </row>
    <row r="34" spans="1:11" x14ac:dyDescent="0.15">
      <c r="A34" s="9" t="s">
        <v>85</v>
      </c>
      <c r="D34" s="7"/>
    </row>
    <row r="35" spans="1:11" x14ac:dyDescent="0.15">
      <c r="A35" s="9" t="s">
        <v>1028</v>
      </c>
      <c r="D35" s="7"/>
      <c r="E35" s="10" t="s">
        <v>1044</v>
      </c>
      <c r="F35" s="10" t="s">
        <v>591</v>
      </c>
      <c r="G35" s="10" t="s">
        <v>555</v>
      </c>
      <c r="H35" s="10" t="s">
        <v>544</v>
      </c>
      <c r="I35" s="10" t="s">
        <v>514</v>
      </c>
      <c r="J35" s="10" t="s">
        <v>615</v>
      </c>
      <c r="K35" s="10" t="s">
        <v>441</v>
      </c>
    </row>
    <row r="36" spans="1:11" x14ac:dyDescent="0.15">
      <c r="A36" s="1" t="s">
        <v>63</v>
      </c>
      <c r="D36" s="7"/>
      <c r="E36" s="14">
        <v>0.33329999999999999</v>
      </c>
      <c r="F36" s="14">
        <v>0.33329999999999999</v>
      </c>
      <c r="G36" s="14">
        <v>0.33329999999999999</v>
      </c>
      <c r="H36" s="14">
        <v>0.33329999999999999</v>
      </c>
      <c r="I36" s="14">
        <v>0.33329999999999999</v>
      </c>
      <c r="J36" s="14">
        <v>0.33329999999999999</v>
      </c>
      <c r="K36" s="14">
        <v>0.33329999999999999</v>
      </c>
    </row>
    <row r="37" spans="1:11" x14ac:dyDescent="0.15">
      <c r="A37" s="1" t="s">
        <v>64</v>
      </c>
      <c r="D37" s="7"/>
      <c r="E37" s="15">
        <v>2</v>
      </c>
      <c r="F37" s="15">
        <v>2</v>
      </c>
      <c r="G37" s="15">
        <v>2</v>
      </c>
      <c r="H37" s="15">
        <v>2</v>
      </c>
      <c r="I37" s="15">
        <v>2</v>
      </c>
      <c r="J37" s="15">
        <v>2</v>
      </c>
      <c r="K37" s="15">
        <v>2</v>
      </c>
    </row>
    <row r="38" spans="1:11" x14ac:dyDescent="0.15">
      <c r="A38" s="1" t="s">
        <v>65</v>
      </c>
      <c r="D38" s="7"/>
      <c r="E38" s="14">
        <v>0.66659999999999997</v>
      </c>
      <c r="F38" s="14">
        <v>0.66659999999999997</v>
      </c>
      <c r="G38" s="14">
        <v>0.66659999999999997</v>
      </c>
      <c r="H38" s="14">
        <v>0.66659999999999997</v>
      </c>
      <c r="I38" s="14">
        <v>0.66659999999999997</v>
      </c>
      <c r="J38" s="14">
        <v>0.66659999999999997</v>
      </c>
      <c r="K38" s="14">
        <v>0.66659999999999997</v>
      </c>
    </row>
    <row r="39" spans="1:11" x14ac:dyDescent="0.15">
      <c r="A39" s="1" t="s">
        <v>66</v>
      </c>
      <c r="D39" s="7"/>
      <c r="E39" s="15">
        <v>4</v>
      </c>
      <c r="F39" s="15">
        <v>4</v>
      </c>
      <c r="G39" s="15">
        <v>4</v>
      </c>
      <c r="H39" s="15">
        <v>4</v>
      </c>
      <c r="I39" s="15">
        <v>4</v>
      </c>
      <c r="J39" s="15">
        <v>4</v>
      </c>
      <c r="K39" s="15">
        <v>4</v>
      </c>
    </row>
    <row r="40" spans="1:11" x14ac:dyDescent="0.15">
      <c r="A40" t="s">
        <v>67</v>
      </c>
      <c r="D40" s="7"/>
      <c r="E40">
        <v>4000</v>
      </c>
      <c r="F40">
        <v>4000</v>
      </c>
      <c r="G40">
        <v>4000</v>
      </c>
      <c r="H40">
        <v>4000</v>
      </c>
      <c r="I40">
        <v>4000</v>
      </c>
      <c r="J40">
        <v>4000</v>
      </c>
      <c r="K40">
        <v>4000</v>
      </c>
    </row>
    <row r="41" spans="1:11" x14ac:dyDescent="0.15">
      <c r="A41" s="11" t="s">
        <v>84</v>
      </c>
      <c r="B41" s="11"/>
      <c r="C41" s="11"/>
      <c r="D41" s="12"/>
      <c r="E41" s="11">
        <v>12000</v>
      </c>
      <c r="F41" s="11">
        <v>12000</v>
      </c>
      <c r="G41" s="11">
        <v>12000</v>
      </c>
      <c r="H41" s="11">
        <v>4000</v>
      </c>
      <c r="I41" s="11">
        <v>12000</v>
      </c>
      <c r="J41" s="11">
        <v>12000</v>
      </c>
      <c r="K41" s="11">
        <v>12000</v>
      </c>
    </row>
    <row r="42" spans="1:11" x14ac:dyDescent="0.15">
      <c r="A42" t="s">
        <v>71</v>
      </c>
      <c r="D42" s="7"/>
      <c r="E42">
        <v>1.4420999999999999</v>
      </c>
      <c r="F42">
        <v>1.5243800000000001</v>
      </c>
      <c r="G42">
        <v>1.5044999999999999</v>
      </c>
      <c r="H42">
        <v>1.39</v>
      </c>
      <c r="I42">
        <v>1.6489</v>
      </c>
      <c r="J42">
        <v>1.5125</v>
      </c>
      <c r="K42">
        <v>1.6633</v>
      </c>
    </row>
    <row r="43" spans="1:11" x14ac:dyDescent="0.15">
      <c r="A43" t="s">
        <v>72</v>
      </c>
      <c r="D43" s="7"/>
      <c r="E43">
        <v>1.2639</v>
      </c>
      <c r="F43">
        <v>1.3393600000000001</v>
      </c>
      <c r="G43">
        <v>1.3230999999999999</v>
      </c>
      <c r="H43">
        <v>0</v>
      </c>
      <c r="I43">
        <v>1.4597</v>
      </c>
      <c r="J43">
        <v>1.3387</v>
      </c>
      <c r="K43">
        <v>1.3956999999999999</v>
      </c>
    </row>
    <row r="44" spans="1:11" x14ac:dyDescent="0.15">
      <c r="A44" t="s">
        <v>75</v>
      </c>
      <c r="D44" s="7"/>
      <c r="E44">
        <v>1.0637000000000001</v>
      </c>
      <c r="F44">
        <v>1.13432</v>
      </c>
      <c r="G44">
        <v>1.1096999999999999</v>
      </c>
      <c r="H44">
        <v>1.21</v>
      </c>
      <c r="I44">
        <v>1.2363999999999999</v>
      </c>
      <c r="J44">
        <v>1.1341000000000001</v>
      </c>
      <c r="K44">
        <v>1.0931999999999999</v>
      </c>
    </row>
    <row r="45" spans="1:11" x14ac:dyDescent="0.15">
      <c r="A45" t="s">
        <v>76</v>
      </c>
      <c r="D45" s="7"/>
      <c r="E45">
        <v>1.4267000000000001</v>
      </c>
      <c r="F45">
        <v>1.5092000000000001</v>
      </c>
      <c r="G45">
        <v>1.4938</v>
      </c>
      <c r="H45">
        <v>1.38</v>
      </c>
      <c r="I45">
        <v>1.6214</v>
      </c>
      <c r="J45">
        <v>1.4872000000000001</v>
      </c>
      <c r="K45">
        <v>1.63</v>
      </c>
    </row>
    <row r="46" spans="1:11" x14ac:dyDescent="0.15">
      <c r="A46" t="s">
        <v>77</v>
      </c>
      <c r="D46" s="7"/>
      <c r="E46">
        <v>1.2407999999999999</v>
      </c>
      <c r="F46">
        <v>1.32528</v>
      </c>
      <c r="G46">
        <v>1.3017000000000001</v>
      </c>
      <c r="H46">
        <v>0</v>
      </c>
      <c r="I46">
        <v>1.4432</v>
      </c>
      <c r="J46">
        <v>1.3244</v>
      </c>
      <c r="K46">
        <v>1.3485</v>
      </c>
    </row>
    <row r="47" spans="1:11" x14ac:dyDescent="0.15">
      <c r="A47" t="s">
        <v>80</v>
      </c>
      <c r="D47" s="7"/>
      <c r="E47">
        <v>1.0274000000000001</v>
      </c>
      <c r="F47">
        <v>1.07657</v>
      </c>
      <c r="G47">
        <v>1.0777000000000001</v>
      </c>
      <c r="H47">
        <v>1.2</v>
      </c>
      <c r="I47">
        <v>1.1726000000000001</v>
      </c>
      <c r="J47">
        <v>1.0758000000000001</v>
      </c>
      <c r="K47">
        <v>1.0461</v>
      </c>
    </row>
    <row r="48" spans="1:11" x14ac:dyDescent="0.15">
      <c r="A48" t="s">
        <v>81</v>
      </c>
      <c r="D48" s="7"/>
      <c r="E48">
        <v>46.255000000000003</v>
      </c>
      <c r="F48">
        <v>47.828000000000003</v>
      </c>
      <c r="G48">
        <v>47.5</v>
      </c>
      <c r="H48">
        <v>46.68</v>
      </c>
      <c r="I48">
        <v>52</v>
      </c>
      <c r="J48">
        <v>47.74</v>
      </c>
      <c r="K48">
        <v>65.218999999999994</v>
      </c>
    </row>
    <row r="49" spans="1:1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15">
      <c r="A50" s="9" t="s">
        <v>490</v>
      </c>
      <c r="D50" s="7"/>
      <c r="E50" s="10" t="s">
        <v>1044</v>
      </c>
      <c r="F50" s="10" t="s">
        <v>591</v>
      </c>
      <c r="G50" s="10" t="s">
        <v>555</v>
      </c>
      <c r="H50" s="10" t="s">
        <v>544</v>
      </c>
      <c r="I50" s="10" t="s">
        <v>514</v>
      </c>
      <c r="J50" s="10" t="s">
        <v>615</v>
      </c>
      <c r="K50" s="10" t="s">
        <v>441</v>
      </c>
    </row>
    <row r="51" spans="1:11" x14ac:dyDescent="0.15">
      <c r="A51" t="s">
        <v>491</v>
      </c>
      <c r="D51" s="7"/>
      <c r="E51" s="16">
        <v>0.05</v>
      </c>
      <c r="F51" s="17" t="s">
        <v>494</v>
      </c>
      <c r="G51" s="17" t="s">
        <v>494</v>
      </c>
      <c r="H51" s="17" t="s">
        <v>494</v>
      </c>
      <c r="I51" s="16">
        <v>0.05</v>
      </c>
      <c r="J51" s="17" t="s">
        <v>494</v>
      </c>
      <c r="K51" s="17" t="s">
        <v>494</v>
      </c>
    </row>
    <row r="52" spans="1:11" x14ac:dyDescent="0.15">
      <c r="A52" t="s">
        <v>496</v>
      </c>
      <c r="D52" s="7"/>
      <c r="E52" s="17" t="s">
        <v>498</v>
      </c>
      <c r="F52" s="17" t="s">
        <v>494</v>
      </c>
      <c r="G52" s="17" t="s">
        <v>526</v>
      </c>
      <c r="H52" s="17" t="s">
        <v>526</v>
      </c>
      <c r="I52" s="17" t="s">
        <v>498</v>
      </c>
      <c r="J52" s="17" t="s">
        <v>498</v>
      </c>
      <c r="K52" s="17" t="s">
        <v>498</v>
      </c>
    </row>
    <row r="53" spans="1:11" x14ac:dyDescent="0.15">
      <c r="A53" t="s">
        <v>499</v>
      </c>
      <c r="D53" s="7"/>
      <c r="E53" s="17" t="s">
        <v>512</v>
      </c>
      <c r="F53" s="17" t="s">
        <v>494</v>
      </c>
      <c r="G53" s="17" t="s">
        <v>512</v>
      </c>
      <c r="H53" s="17" t="s">
        <v>512</v>
      </c>
      <c r="I53" s="17" t="s">
        <v>512</v>
      </c>
      <c r="J53" s="17" t="s">
        <v>512</v>
      </c>
      <c r="K53" s="17" t="s">
        <v>512</v>
      </c>
    </row>
    <row r="54" spans="1:11" x14ac:dyDescent="0.15">
      <c r="A54" t="s">
        <v>501</v>
      </c>
      <c r="D54" s="7"/>
      <c r="E54" s="17" t="s">
        <v>494</v>
      </c>
      <c r="F54" s="17" t="s">
        <v>494</v>
      </c>
      <c r="G54" s="16">
        <v>0.03</v>
      </c>
      <c r="H54" s="16">
        <v>0.05</v>
      </c>
      <c r="I54" s="17" t="s">
        <v>494</v>
      </c>
      <c r="J54" s="16">
        <v>0.05</v>
      </c>
      <c r="K54" s="16">
        <v>0.1</v>
      </c>
    </row>
    <row r="55" spans="1:11" x14ac:dyDescent="0.15">
      <c r="A55" t="s">
        <v>442</v>
      </c>
      <c r="D55" s="7"/>
      <c r="E55" s="17" t="s">
        <v>512</v>
      </c>
      <c r="F55" s="17" t="s">
        <v>494</v>
      </c>
      <c r="G55" s="17" t="s">
        <v>494</v>
      </c>
      <c r="H55" s="17" t="s">
        <v>512</v>
      </c>
      <c r="I55" s="17" t="s">
        <v>494</v>
      </c>
      <c r="J55" s="17" t="s">
        <v>494</v>
      </c>
      <c r="K55" s="17" t="s">
        <v>494</v>
      </c>
    </row>
    <row r="56" spans="1:11" x14ac:dyDescent="0.15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</row>
  </sheetData>
  <sheetProtection algorithmName="SHA-512" hashValue="2xTz8NjBIg0qSwr75WIGlT7EyMbPpeCagaQ/Yt1jzEHtaon8tAiZ5+uLTD+osj8pkKk/9QdDxH81tYkjnNJYMQ==" saltValue="0yyttviMsX4fszGzkGkZMw==" spinCount="100000" sheet="1" objects="1" scenarios="1"/>
  <phoneticPr fontId="9" type="noConversion"/>
  <pageMargins left="0.75" right="0.75" top="1" bottom="1" header="0.5" footer="0.5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5"/>
  <dimension ref="A1:K50"/>
  <sheetViews>
    <sheetView workbookViewId="0">
      <pane xSplit="11" topLeftCell="L1" activePane="topRight" state="frozen"/>
      <selection pane="topRight" activeCell="M9" sqref="M9"/>
    </sheetView>
  </sheetViews>
  <sheetFormatPr baseColWidth="10" defaultColWidth="8.83203125" defaultRowHeight="13" x14ac:dyDescent="0.15"/>
  <cols>
    <col min="1" max="1" width="27.33203125" customWidth="1"/>
    <col min="2" max="2" width="1.6640625" customWidth="1"/>
    <col min="3" max="4" width="2" customWidth="1"/>
    <col min="5" max="11" width="11.6640625" customWidth="1"/>
  </cols>
  <sheetData>
    <row r="1" spans="1:11" x14ac:dyDescent="0.15">
      <c r="A1" s="1" t="s">
        <v>5</v>
      </c>
    </row>
    <row r="2" spans="1:11" x14ac:dyDescent="0.15">
      <c r="A2" s="2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x14ac:dyDescent="0.15">
      <c r="A3" s="4" t="s">
        <v>9</v>
      </c>
      <c r="B3" s="5"/>
      <c r="C3" s="5"/>
      <c r="D3" s="6"/>
      <c r="E3" s="5"/>
      <c r="F3" s="5"/>
      <c r="G3" s="5"/>
      <c r="H3" s="5"/>
      <c r="I3" s="5"/>
      <c r="J3" s="5"/>
      <c r="K3" s="5"/>
    </row>
    <row r="4" spans="1:11" x14ac:dyDescent="0.15">
      <c r="D4" s="7"/>
      <c r="E4" s="8" t="s">
        <v>7</v>
      </c>
    </row>
    <row r="5" spans="1:11" x14ac:dyDescent="0.15">
      <c r="A5" s="9" t="s">
        <v>88</v>
      </c>
      <c r="D5" s="7"/>
    </row>
    <row r="6" spans="1:11" x14ac:dyDescent="0.15">
      <c r="A6" s="9" t="s">
        <v>1030</v>
      </c>
      <c r="D6" s="7"/>
      <c r="E6" s="10" t="s">
        <v>1044</v>
      </c>
      <c r="F6" s="10" t="s">
        <v>591</v>
      </c>
      <c r="G6" s="10" t="s">
        <v>555</v>
      </c>
      <c r="H6" s="10" t="s">
        <v>544</v>
      </c>
      <c r="I6" s="10" t="s">
        <v>514</v>
      </c>
      <c r="J6" s="10" t="s">
        <v>615</v>
      </c>
      <c r="K6" s="10" t="s">
        <v>441</v>
      </c>
    </row>
    <row r="7" spans="1:11" x14ac:dyDescent="0.15">
      <c r="A7" s="1" t="s">
        <v>63</v>
      </c>
      <c r="D7" s="7"/>
      <c r="E7" s="14">
        <v>0.33329999999999999</v>
      </c>
      <c r="F7" s="14">
        <v>0.33329999999999999</v>
      </c>
      <c r="G7" s="14">
        <v>0.33329999999999999</v>
      </c>
      <c r="H7" s="14">
        <v>0.33329999999999999</v>
      </c>
      <c r="I7" s="14">
        <v>0.33329999999999999</v>
      </c>
      <c r="J7" s="14">
        <v>0.33329999999999999</v>
      </c>
      <c r="K7" s="14">
        <v>0.33329999999999999</v>
      </c>
    </row>
    <row r="8" spans="1:11" x14ac:dyDescent="0.15">
      <c r="A8" s="1" t="s">
        <v>64</v>
      </c>
      <c r="D8" s="7"/>
      <c r="E8" s="15">
        <v>2</v>
      </c>
      <c r="F8" s="15">
        <v>2</v>
      </c>
      <c r="G8" s="15">
        <v>2</v>
      </c>
      <c r="H8" s="15">
        <v>2</v>
      </c>
      <c r="I8" s="15">
        <v>2</v>
      </c>
      <c r="J8" s="15">
        <v>2</v>
      </c>
      <c r="K8" s="15">
        <v>2</v>
      </c>
    </row>
    <row r="9" spans="1:11" x14ac:dyDescent="0.15">
      <c r="A9" s="1" t="s">
        <v>65</v>
      </c>
      <c r="D9" s="7"/>
      <c r="E9" s="14">
        <v>0.66659999999999997</v>
      </c>
      <c r="F9" s="14">
        <v>0.66659999999999997</v>
      </c>
      <c r="G9" s="14">
        <v>0.66659999999999997</v>
      </c>
      <c r="H9" s="14">
        <v>0.66659999999999997</v>
      </c>
      <c r="I9" s="14">
        <v>0.66659999999999997</v>
      </c>
      <c r="J9" s="14">
        <v>0.66659999999999997</v>
      </c>
      <c r="K9" s="14">
        <v>0.66659999999999997</v>
      </c>
    </row>
    <row r="10" spans="1:11" x14ac:dyDescent="0.15">
      <c r="A10" s="1" t="s">
        <v>66</v>
      </c>
      <c r="D10" s="7"/>
      <c r="E10" s="15">
        <v>4</v>
      </c>
      <c r="F10" s="15">
        <v>4</v>
      </c>
      <c r="G10" s="15">
        <v>4</v>
      </c>
      <c r="H10" s="15">
        <v>4</v>
      </c>
      <c r="I10" s="15">
        <v>4</v>
      </c>
      <c r="J10" s="15">
        <v>4</v>
      </c>
      <c r="K10" s="15">
        <v>4</v>
      </c>
    </row>
    <row r="11" spans="1:11" x14ac:dyDescent="0.15">
      <c r="A11" s="11" t="s">
        <v>67</v>
      </c>
      <c r="B11" s="11"/>
      <c r="C11" s="11"/>
      <c r="D11" s="12"/>
      <c r="E11" s="11">
        <v>3200</v>
      </c>
      <c r="F11" s="11">
        <v>3200</v>
      </c>
      <c r="G11" s="11">
        <v>3200</v>
      </c>
      <c r="H11" s="11">
        <v>3200</v>
      </c>
      <c r="I11" s="11">
        <v>3200</v>
      </c>
      <c r="J11" s="11">
        <v>3200</v>
      </c>
      <c r="K11" s="11">
        <v>3200</v>
      </c>
    </row>
    <row r="12" spans="1:11" x14ac:dyDescent="0.15">
      <c r="A12" t="s">
        <v>71</v>
      </c>
      <c r="D12" s="7"/>
      <c r="E12">
        <v>1.573</v>
      </c>
      <c r="F12">
        <v>1.62294</v>
      </c>
      <c r="G12">
        <v>1.6005</v>
      </c>
      <c r="H12">
        <v>1.5</v>
      </c>
      <c r="I12">
        <v>1.5509999999999999</v>
      </c>
      <c r="J12">
        <v>1.7094</v>
      </c>
      <c r="K12">
        <v>1.79036</v>
      </c>
    </row>
    <row r="13" spans="1:11" x14ac:dyDescent="0.15">
      <c r="A13" t="s">
        <v>75</v>
      </c>
      <c r="D13" s="7"/>
      <c r="E13">
        <v>1.3849</v>
      </c>
      <c r="F13">
        <v>1.42747</v>
      </c>
      <c r="G13">
        <v>1.4084000000000001</v>
      </c>
      <c r="H13">
        <v>1.34</v>
      </c>
      <c r="I13">
        <v>1.353</v>
      </c>
      <c r="J13">
        <v>1.5069999999999999</v>
      </c>
      <c r="K13">
        <v>1.5073300000000001</v>
      </c>
    </row>
    <row r="14" spans="1:11" x14ac:dyDescent="0.15">
      <c r="A14" t="s">
        <v>76</v>
      </c>
      <c r="D14" s="7"/>
      <c r="E14">
        <v>1.3375999999999999</v>
      </c>
      <c r="F14">
        <v>1.3801699999999999</v>
      </c>
      <c r="G14">
        <v>1.3657999999999999</v>
      </c>
      <c r="H14">
        <v>1.29</v>
      </c>
      <c r="I14">
        <v>1.32</v>
      </c>
      <c r="J14">
        <v>1.4531000000000001</v>
      </c>
      <c r="K14">
        <v>1.5208600000000001</v>
      </c>
    </row>
    <row r="15" spans="1:11" x14ac:dyDescent="0.15">
      <c r="A15" t="s">
        <v>80</v>
      </c>
      <c r="D15" s="7"/>
      <c r="E15">
        <v>1.1748000000000001</v>
      </c>
      <c r="F15">
        <v>1.2106600000000001</v>
      </c>
      <c r="G15">
        <v>1.1950000000000001</v>
      </c>
      <c r="H15">
        <v>1.1299999999999999</v>
      </c>
      <c r="I15">
        <v>1.1439999999999999</v>
      </c>
      <c r="J15">
        <v>1.2804</v>
      </c>
      <c r="K15">
        <v>1.1802999999999999</v>
      </c>
    </row>
    <row r="16" spans="1:11" x14ac:dyDescent="0.15">
      <c r="A16" t="s">
        <v>81</v>
      </c>
      <c r="D16" s="7"/>
      <c r="E16">
        <v>44.264000000000003</v>
      </c>
      <c r="F16">
        <v>44.99</v>
      </c>
      <c r="G16">
        <v>44.7</v>
      </c>
      <c r="H16">
        <v>43.9</v>
      </c>
      <c r="I16">
        <v>41.656999999999996</v>
      </c>
      <c r="J16">
        <v>47</v>
      </c>
      <c r="K16">
        <v>58.52</v>
      </c>
    </row>
    <row r="17" spans="1:11" x14ac:dyDescent="0.15">
      <c r="D17" s="7"/>
    </row>
    <row r="18" spans="1:11" x14ac:dyDescent="0.15">
      <c r="A18" s="9" t="s">
        <v>89</v>
      </c>
      <c r="D18" s="7"/>
    </row>
    <row r="19" spans="1:11" x14ac:dyDescent="0.15">
      <c r="A19" s="9" t="s">
        <v>1032</v>
      </c>
      <c r="D19" s="7"/>
      <c r="E19" s="10" t="s">
        <v>1044</v>
      </c>
      <c r="F19" s="10" t="s">
        <v>591</v>
      </c>
      <c r="G19" s="10" t="s">
        <v>555</v>
      </c>
      <c r="H19" s="10" t="s">
        <v>544</v>
      </c>
      <c r="I19" s="10" t="s">
        <v>514</v>
      </c>
      <c r="J19" s="10" t="s">
        <v>615</v>
      </c>
      <c r="K19" s="10" t="s">
        <v>441</v>
      </c>
    </row>
    <row r="20" spans="1:11" x14ac:dyDescent="0.15">
      <c r="A20" s="1" t="s">
        <v>63</v>
      </c>
      <c r="D20" s="7"/>
      <c r="E20" s="14">
        <v>0.33329999999999999</v>
      </c>
      <c r="F20" s="14">
        <v>0.33329999999999999</v>
      </c>
      <c r="G20" s="14">
        <v>0.33329999999999999</v>
      </c>
      <c r="H20" s="14">
        <v>0.33329999999999999</v>
      </c>
      <c r="I20" s="14">
        <v>0.33329999999999999</v>
      </c>
      <c r="J20" s="14">
        <v>0.33329999999999999</v>
      </c>
      <c r="K20" s="14">
        <v>0.33329999999999999</v>
      </c>
    </row>
    <row r="21" spans="1:11" x14ac:dyDescent="0.15">
      <c r="A21" s="1" t="s">
        <v>64</v>
      </c>
      <c r="D21" s="7"/>
      <c r="E21" s="15">
        <v>2</v>
      </c>
      <c r="F21" s="15">
        <v>2</v>
      </c>
      <c r="G21" s="15">
        <v>2</v>
      </c>
      <c r="H21" s="15">
        <v>2</v>
      </c>
      <c r="I21" s="15">
        <v>2</v>
      </c>
      <c r="J21" s="15">
        <v>2</v>
      </c>
      <c r="K21" s="15">
        <v>2</v>
      </c>
    </row>
    <row r="22" spans="1:11" x14ac:dyDescent="0.15">
      <c r="A22" s="1" t="s">
        <v>65</v>
      </c>
      <c r="D22" s="7"/>
      <c r="E22" s="14">
        <v>0.66659999999999997</v>
      </c>
      <c r="F22" s="14">
        <v>0.66659999999999997</v>
      </c>
      <c r="G22" s="14">
        <v>0.66659999999999997</v>
      </c>
      <c r="H22" s="14">
        <v>0.66659999999999997</v>
      </c>
      <c r="I22" s="14">
        <v>0.66659999999999997</v>
      </c>
      <c r="J22" s="14">
        <v>0.66659999999999997</v>
      </c>
      <c r="K22" s="14">
        <v>0.66659999999999997</v>
      </c>
    </row>
    <row r="23" spans="1:11" x14ac:dyDescent="0.15">
      <c r="A23" s="1" t="s">
        <v>66</v>
      </c>
      <c r="D23" s="7"/>
      <c r="E23" s="15">
        <v>4</v>
      </c>
      <c r="F23" s="15">
        <v>4</v>
      </c>
      <c r="G23" s="15">
        <v>4</v>
      </c>
      <c r="H23" s="15">
        <v>4</v>
      </c>
      <c r="I23" s="15">
        <v>4</v>
      </c>
      <c r="J23" s="15">
        <v>4</v>
      </c>
      <c r="K23" s="15">
        <v>4</v>
      </c>
    </row>
    <row r="24" spans="1:11" x14ac:dyDescent="0.15">
      <c r="A24" s="11" t="s">
        <v>67</v>
      </c>
      <c r="B24" s="11"/>
      <c r="C24" s="11"/>
      <c r="D24" s="12"/>
      <c r="E24" s="11">
        <v>3500</v>
      </c>
      <c r="F24" s="11">
        <v>3500</v>
      </c>
      <c r="G24" s="11">
        <v>3500</v>
      </c>
      <c r="H24" s="11">
        <v>3500</v>
      </c>
      <c r="I24" s="11">
        <v>3500</v>
      </c>
      <c r="J24" s="11">
        <v>3500</v>
      </c>
      <c r="K24" s="11">
        <v>3500</v>
      </c>
    </row>
    <row r="25" spans="1:11" x14ac:dyDescent="0.15">
      <c r="A25" t="s">
        <v>71</v>
      </c>
      <c r="D25" s="7"/>
      <c r="E25">
        <v>1.7094</v>
      </c>
      <c r="F25">
        <v>1.65385</v>
      </c>
      <c r="G25">
        <v>1.6005</v>
      </c>
      <c r="H25">
        <v>1.54</v>
      </c>
      <c r="I25">
        <v>1.5620000000000001</v>
      </c>
      <c r="J25">
        <v>1.8007</v>
      </c>
      <c r="K25">
        <v>1.8547100000000001</v>
      </c>
    </row>
    <row r="26" spans="1:11" x14ac:dyDescent="0.15">
      <c r="A26" t="s">
        <v>75</v>
      </c>
      <c r="D26" s="7"/>
      <c r="E26">
        <v>1.4608000000000001</v>
      </c>
      <c r="F26">
        <v>1.4725699999999999</v>
      </c>
      <c r="G26">
        <v>1.4404999999999999</v>
      </c>
      <c r="H26">
        <v>1.37</v>
      </c>
      <c r="I26">
        <v>1.397</v>
      </c>
      <c r="J26">
        <v>1.6049</v>
      </c>
      <c r="K26">
        <v>1.60578</v>
      </c>
    </row>
    <row r="27" spans="1:11" x14ac:dyDescent="0.15">
      <c r="A27" t="s">
        <v>76</v>
      </c>
      <c r="D27" s="7"/>
      <c r="E27">
        <v>1.4454</v>
      </c>
      <c r="F27">
        <v>1.3552</v>
      </c>
      <c r="G27">
        <v>1.3551</v>
      </c>
      <c r="H27">
        <v>1.41</v>
      </c>
      <c r="I27">
        <v>1.276</v>
      </c>
      <c r="J27">
        <v>1.4773000000000001</v>
      </c>
      <c r="K27">
        <v>1.62778</v>
      </c>
    </row>
    <row r="28" spans="1:11" x14ac:dyDescent="0.15">
      <c r="A28" t="s">
        <v>80</v>
      </c>
      <c r="D28" s="7"/>
      <c r="E28">
        <v>1.2782</v>
      </c>
      <c r="F28">
        <v>1.30427</v>
      </c>
      <c r="G28">
        <v>1.3017000000000001</v>
      </c>
      <c r="H28">
        <v>1.25</v>
      </c>
      <c r="I28">
        <v>1.232</v>
      </c>
      <c r="J28">
        <v>1.4222999999999999</v>
      </c>
      <c r="K28">
        <v>1.41845</v>
      </c>
    </row>
    <row r="29" spans="1:11" x14ac:dyDescent="0.15">
      <c r="A29" t="s">
        <v>81</v>
      </c>
      <c r="D29" s="7"/>
      <c r="E29">
        <v>41.25</v>
      </c>
      <c r="F29">
        <v>44.363</v>
      </c>
      <c r="G29">
        <v>43.8</v>
      </c>
      <c r="H29">
        <v>43.54</v>
      </c>
      <c r="I29">
        <v>41.228000000000002</v>
      </c>
      <c r="J29">
        <v>48</v>
      </c>
      <c r="K29">
        <v>56.902999999999999</v>
      </c>
    </row>
    <row r="30" spans="1:11" x14ac:dyDescent="0.15">
      <c r="D30" s="7"/>
    </row>
    <row r="31" spans="1:11" x14ac:dyDescent="0.15">
      <c r="A31" s="9" t="s">
        <v>89</v>
      </c>
      <c r="D31" s="7"/>
    </row>
    <row r="32" spans="1:11" x14ac:dyDescent="0.15">
      <c r="A32" s="9" t="s">
        <v>1034</v>
      </c>
      <c r="D32" s="7"/>
      <c r="E32" s="10" t="s">
        <v>1044</v>
      </c>
      <c r="F32" s="10" t="s">
        <v>591</v>
      </c>
      <c r="G32" s="10" t="s">
        <v>555</v>
      </c>
      <c r="H32" s="10" t="s">
        <v>544</v>
      </c>
      <c r="I32" s="10" t="s">
        <v>514</v>
      </c>
      <c r="J32" s="10" t="s">
        <v>615</v>
      </c>
      <c r="K32" s="10" t="s">
        <v>441</v>
      </c>
    </row>
    <row r="33" spans="1:11" x14ac:dyDescent="0.15">
      <c r="A33" s="1" t="s">
        <v>63</v>
      </c>
      <c r="D33" s="7"/>
      <c r="E33" s="14">
        <v>0.33329999999999999</v>
      </c>
      <c r="F33" s="14">
        <v>0.33329999999999999</v>
      </c>
      <c r="G33" s="14">
        <v>0.33329999999999999</v>
      </c>
      <c r="H33" s="14">
        <v>0.33329999999999999</v>
      </c>
      <c r="I33" s="14">
        <v>0.33329999999999999</v>
      </c>
      <c r="J33" s="14">
        <v>0.33329999999999999</v>
      </c>
      <c r="K33" s="14">
        <v>0.33329999999999999</v>
      </c>
    </row>
    <row r="34" spans="1:11" x14ac:dyDescent="0.15">
      <c r="A34" s="1" t="s">
        <v>64</v>
      </c>
      <c r="D34" s="7"/>
      <c r="E34" s="15">
        <v>2</v>
      </c>
      <c r="F34" s="15">
        <v>2</v>
      </c>
      <c r="G34" s="15">
        <v>2</v>
      </c>
      <c r="H34" s="15">
        <v>2</v>
      </c>
      <c r="I34" s="15">
        <v>2</v>
      </c>
      <c r="J34" s="15">
        <v>2</v>
      </c>
      <c r="K34" s="15">
        <v>2</v>
      </c>
    </row>
    <row r="35" spans="1:11" x14ac:dyDescent="0.15">
      <c r="A35" s="1" t="s">
        <v>65</v>
      </c>
      <c r="D35" s="7"/>
      <c r="E35" s="14">
        <v>0.66659999999999997</v>
      </c>
      <c r="F35" s="14">
        <v>0.66659999999999997</v>
      </c>
      <c r="G35" s="14">
        <v>0.66659999999999997</v>
      </c>
      <c r="H35" s="14">
        <v>0.66659999999999997</v>
      </c>
      <c r="I35" s="14">
        <v>0.66659999999999997</v>
      </c>
      <c r="J35" s="14">
        <v>0.66659999999999997</v>
      </c>
      <c r="K35" s="14">
        <v>0.66659999999999997</v>
      </c>
    </row>
    <row r="36" spans="1:11" x14ac:dyDescent="0.15">
      <c r="A36" s="1" t="s">
        <v>66</v>
      </c>
      <c r="D36" s="7"/>
      <c r="E36" s="15">
        <v>4</v>
      </c>
      <c r="F36" s="15">
        <v>4</v>
      </c>
      <c r="G36" s="15">
        <v>4</v>
      </c>
      <c r="H36" s="15">
        <v>4</v>
      </c>
      <c r="I36" s="15">
        <v>4</v>
      </c>
      <c r="J36" s="15">
        <v>4</v>
      </c>
      <c r="K36" s="15">
        <v>4</v>
      </c>
    </row>
    <row r="37" spans="1:11" x14ac:dyDescent="0.15">
      <c r="A37" s="11" t="s">
        <v>67</v>
      </c>
      <c r="B37" s="11"/>
      <c r="C37" s="11"/>
      <c r="D37" s="12"/>
      <c r="E37" s="11">
        <v>3200</v>
      </c>
      <c r="F37" s="11">
        <v>3200</v>
      </c>
      <c r="G37" s="11">
        <v>3200</v>
      </c>
      <c r="H37" s="11">
        <v>3200</v>
      </c>
      <c r="I37" s="11">
        <v>3200</v>
      </c>
      <c r="J37" s="11">
        <v>3200</v>
      </c>
      <c r="K37" s="11">
        <v>3200</v>
      </c>
    </row>
    <row r="38" spans="1:11" x14ac:dyDescent="0.15">
      <c r="A38" t="s">
        <v>71</v>
      </c>
      <c r="D38" s="7"/>
      <c r="E38">
        <v>1.7808999999999999</v>
      </c>
      <c r="F38">
        <v>1.7947599999999999</v>
      </c>
      <c r="G38">
        <v>1.7712000000000001</v>
      </c>
      <c r="H38">
        <v>1.7</v>
      </c>
      <c r="I38">
        <v>1.716</v>
      </c>
      <c r="J38">
        <v>1.9282999999999999</v>
      </c>
      <c r="K38">
        <v>2.0482</v>
      </c>
    </row>
    <row r="39" spans="1:11" x14ac:dyDescent="0.15">
      <c r="A39" t="s">
        <v>75</v>
      </c>
      <c r="D39" s="7"/>
      <c r="E39">
        <v>1.4146000000000001</v>
      </c>
      <c r="F39">
        <v>1.42516</v>
      </c>
      <c r="G39">
        <v>1.4084000000000001</v>
      </c>
      <c r="H39">
        <v>1.32</v>
      </c>
      <c r="I39">
        <v>1.3640000000000001</v>
      </c>
      <c r="J39">
        <v>1.5378000000000001</v>
      </c>
      <c r="K39">
        <v>1.51118</v>
      </c>
    </row>
    <row r="40" spans="1:11" x14ac:dyDescent="0.15">
      <c r="A40" t="s">
        <v>76</v>
      </c>
      <c r="D40" s="7"/>
      <c r="E40">
        <v>1.5114000000000001</v>
      </c>
      <c r="F40">
        <v>1.5222899999999999</v>
      </c>
      <c r="G40">
        <v>1.5044999999999999</v>
      </c>
      <c r="H40">
        <v>1.41</v>
      </c>
      <c r="I40">
        <v>1.4630000000000001</v>
      </c>
      <c r="J40">
        <v>1.6445000000000001</v>
      </c>
      <c r="K40">
        <v>1.8201700000000001</v>
      </c>
    </row>
    <row r="41" spans="1:11" x14ac:dyDescent="0.15">
      <c r="A41" t="s">
        <v>80</v>
      </c>
      <c r="D41" s="7"/>
      <c r="E41">
        <v>1.3244</v>
      </c>
      <c r="F41">
        <v>1.33507</v>
      </c>
      <c r="G41">
        <v>1.3230999999999999</v>
      </c>
      <c r="H41">
        <v>1.24</v>
      </c>
      <c r="I41">
        <v>1.2649999999999999</v>
      </c>
      <c r="J41">
        <v>1.4410000000000001</v>
      </c>
      <c r="K41">
        <v>1.30955</v>
      </c>
    </row>
    <row r="42" spans="1:11" x14ac:dyDescent="0.15">
      <c r="A42" t="s">
        <v>81</v>
      </c>
      <c r="D42" s="7"/>
      <c r="E42">
        <v>46.475000000000001</v>
      </c>
      <c r="F42">
        <v>46.2</v>
      </c>
      <c r="G42">
        <v>46.6</v>
      </c>
      <c r="H42">
        <v>45.08</v>
      </c>
      <c r="I42">
        <v>43.615000000000002</v>
      </c>
      <c r="J42">
        <v>50</v>
      </c>
      <c r="K42">
        <v>58.52</v>
      </c>
    </row>
    <row r="43" spans="1:11" x14ac:dyDescent="0.1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15">
      <c r="A44" s="9" t="s">
        <v>490</v>
      </c>
      <c r="D44" s="7"/>
      <c r="E44" s="10" t="s">
        <v>1044</v>
      </c>
      <c r="F44" s="10" t="s">
        <v>591</v>
      </c>
      <c r="G44" s="10" t="s">
        <v>555</v>
      </c>
      <c r="H44" s="10" t="s">
        <v>544</v>
      </c>
      <c r="I44" s="10" t="s">
        <v>514</v>
      </c>
      <c r="J44" s="10" t="s">
        <v>615</v>
      </c>
      <c r="K44" s="10" t="s">
        <v>441</v>
      </c>
    </row>
    <row r="45" spans="1:11" x14ac:dyDescent="0.15">
      <c r="A45" t="s">
        <v>491</v>
      </c>
      <c r="D45" s="7"/>
      <c r="E45" s="16">
        <v>0.05</v>
      </c>
      <c r="F45" s="17" t="s">
        <v>494</v>
      </c>
      <c r="G45" s="17" t="s">
        <v>494</v>
      </c>
      <c r="H45" s="17" t="s">
        <v>494</v>
      </c>
      <c r="I45" s="16">
        <v>0.05</v>
      </c>
      <c r="J45" s="17" t="s">
        <v>494</v>
      </c>
      <c r="K45" s="17" t="s">
        <v>494</v>
      </c>
    </row>
    <row r="46" spans="1:11" x14ac:dyDescent="0.15">
      <c r="A46" t="s">
        <v>496</v>
      </c>
      <c r="D46" s="7"/>
      <c r="E46" s="17" t="s">
        <v>498</v>
      </c>
      <c r="F46" s="17" t="s">
        <v>494</v>
      </c>
      <c r="G46" s="17" t="s">
        <v>526</v>
      </c>
      <c r="H46" s="17" t="s">
        <v>526</v>
      </c>
      <c r="I46" s="17" t="s">
        <v>498</v>
      </c>
      <c r="J46" s="17" t="s">
        <v>498</v>
      </c>
      <c r="K46" s="17" t="s">
        <v>498</v>
      </c>
    </row>
    <row r="47" spans="1:11" x14ac:dyDescent="0.15">
      <c r="A47" t="s">
        <v>499</v>
      </c>
      <c r="D47" s="7"/>
      <c r="E47" s="17" t="s">
        <v>512</v>
      </c>
      <c r="F47" s="17" t="s">
        <v>494</v>
      </c>
      <c r="G47" s="17" t="s">
        <v>512</v>
      </c>
      <c r="H47" s="17" t="s">
        <v>512</v>
      </c>
      <c r="I47" s="17" t="s">
        <v>512</v>
      </c>
      <c r="J47" s="17" t="s">
        <v>512</v>
      </c>
      <c r="K47" s="17" t="s">
        <v>512</v>
      </c>
    </row>
    <row r="48" spans="1:11" x14ac:dyDescent="0.15">
      <c r="A48" t="s">
        <v>501</v>
      </c>
      <c r="D48" s="7"/>
      <c r="E48" s="17" t="s">
        <v>494</v>
      </c>
      <c r="F48" s="17" t="s">
        <v>494</v>
      </c>
      <c r="G48" s="16">
        <v>0.03</v>
      </c>
      <c r="H48" s="16">
        <v>0.05</v>
      </c>
      <c r="I48" s="17" t="s">
        <v>494</v>
      </c>
      <c r="J48" s="16">
        <v>0.05</v>
      </c>
      <c r="K48" s="16">
        <v>0.1</v>
      </c>
    </row>
    <row r="49" spans="1:11" x14ac:dyDescent="0.15">
      <c r="A49" t="s">
        <v>442</v>
      </c>
      <c r="D49" s="7"/>
      <c r="E49" s="17" t="s">
        <v>512</v>
      </c>
      <c r="F49" s="17" t="s">
        <v>494</v>
      </c>
      <c r="G49" s="17" t="s">
        <v>494</v>
      </c>
      <c r="H49" s="17" t="s">
        <v>512</v>
      </c>
      <c r="I49" s="17" t="s">
        <v>494</v>
      </c>
      <c r="J49" s="17" t="s">
        <v>494</v>
      </c>
      <c r="K49" s="17" t="s">
        <v>494</v>
      </c>
    </row>
    <row r="50" spans="1:11" x14ac:dyDescent="0.15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</row>
  </sheetData>
  <sheetProtection algorithmName="SHA-512" hashValue="E0MPmF/bggGtslX7S2BW+tdKULp56jMJ0YUYQQS+CflCL3FovSuZ/d9LTDLzDKVTUXSWF2EfhHaV84dRA4BIAA==" saltValue="s8VEby008qNk08PultvWFw==" spinCount="100000" sheet="1" objects="1" scenarios="1"/>
  <phoneticPr fontId="9" type="noConversion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690C6-11F4-8F4B-846D-E326E62AE461}">
  <sheetPr codeName="Sheet70"/>
  <dimension ref="A1:AZ183"/>
  <sheetViews>
    <sheetView zoomScale="150" zoomScaleNormal="150" workbookViewId="0">
      <selection activeCell="Q1" sqref="Q1:Q1048576"/>
    </sheetView>
  </sheetViews>
  <sheetFormatPr baseColWidth="10" defaultRowHeight="13" x14ac:dyDescent="0.15"/>
  <cols>
    <col min="1" max="1" width="16.1640625" customWidth="1"/>
    <col min="2" max="2" width="21.6640625" bestFit="1" customWidth="1"/>
    <col min="3" max="3" width="20.1640625" bestFit="1" customWidth="1"/>
    <col min="15" max="17" width="0" hidden="1" customWidth="1"/>
    <col min="23" max="24" width="10.83203125" customWidth="1"/>
  </cols>
  <sheetData>
    <row r="1" spans="1:52" ht="14" x14ac:dyDescent="0.15">
      <c r="A1" s="511" t="s">
        <v>722</v>
      </c>
      <c r="B1" s="511"/>
      <c r="C1" s="511"/>
      <c r="D1" s="511"/>
      <c r="E1" s="512"/>
      <c r="F1" s="512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3"/>
      <c r="AG1" s="546"/>
      <c r="AH1" s="546"/>
      <c r="AI1" s="546"/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6"/>
      <c r="AU1" s="546"/>
      <c r="AV1" s="546"/>
      <c r="AW1" s="546"/>
      <c r="AX1" s="546"/>
      <c r="AY1" s="546"/>
      <c r="AZ1" s="546"/>
    </row>
    <row r="2" spans="1:52" ht="14" x14ac:dyDescent="0.15">
      <c r="A2" s="514" t="s">
        <v>723</v>
      </c>
      <c r="B2" s="514"/>
      <c r="C2" s="511"/>
      <c r="D2" s="511"/>
      <c r="E2" s="512"/>
      <c r="F2" s="512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3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</row>
    <row r="3" spans="1:52" ht="15" thickBot="1" x14ac:dyDescent="0.2">
      <c r="A3" s="511"/>
      <c r="B3" s="511"/>
      <c r="C3" s="511"/>
      <c r="D3" s="511"/>
      <c r="E3" s="512"/>
      <c r="F3" s="512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11"/>
      <c r="AB3" s="511"/>
      <c r="AC3" s="511"/>
      <c r="AD3" s="511"/>
      <c r="AE3" s="511"/>
      <c r="AF3" s="513"/>
      <c r="AG3" s="546"/>
      <c r="AH3" s="546"/>
      <c r="AI3" s="546"/>
      <c r="AJ3" s="546"/>
      <c r="AK3" s="546"/>
      <c r="AL3" s="546"/>
      <c r="AM3" s="546"/>
      <c r="AN3" s="546"/>
      <c r="AO3" s="546"/>
      <c r="AP3" s="546"/>
      <c r="AQ3" s="546"/>
      <c r="AR3" s="546"/>
      <c r="AS3" s="546"/>
      <c r="AT3" s="546"/>
      <c r="AU3" s="546"/>
      <c r="AV3" s="546"/>
      <c r="AW3" s="546"/>
      <c r="AX3" s="546"/>
      <c r="AY3" s="546"/>
      <c r="AZ3" s="546"/>
    </row>
    <row r="4" spans="1:52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410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6"/>
      <c r="AD4" s="511"/>
      <c r="AE4" s="511"/>
      <c r="AF4" s="513"/>
      <c r="AG4" s="546"/>
      <c r="AH4" s="546"/>
      <c r="AI4" s="546"/>
      <c r="AJ4" s="546"/>
      <c r="AK4" s="546"/>
      <c r="AL4" s="546"/>
      <c r="AM4" s="546"/>
      <c r="AN4" s="546"/>
      <c r="AO4" s="546"/>
      <c r="AP4" s="546"/>
      <c r="AQ4" s="546"/>
      <c r="AR4" s="546"/>
      <c r="AS4" s="546"/>
      <c r="AT4" s="546"/>
      <c r="AU4" s="546"/>
      <c r="AV4" s="546"/>
      <c r="AW4" s="546"/>
      <c r="AX4" s="546"/>
      <c r="AY4" s="546"/>
      <c r="AZ4" s="546"/>
    </row>
    <row r="5" spans="1:52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411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9"/>
      <c r="AD5" s="511"/>
      <c r="AE5" s="511"/>
      <c r="AF5" s="513"/>
      <c r="AG5" s="546"/>
      <c r="AH5" s="546"/>
      <c r="AI5" s="546"/>
      <c r="AJ5" s="546"/>
      <c r="AK5" s="546"/>
      <c r="AL5" s="546"/>
      <c r="AM5" s="546"/>
      <c r="AN5" s="546"/>
      <c r="AO5" s="546"/>
      <c r="AP5" s="546"/>
      <c r="AQ5" s="546"/>
      <c r="AR5" s="546"/>
      <c r="AS5" s="546"/>
      <c r="AT5" s="546"/>
      <c r="AU5" s="546"/>
      <c r="AV5" s="546"/>
      <c r="AW5" s="546"/>
      <c r="AX5" s="546"/>
      <c r="AY5" s="546"/>
      <c r="AZ5" s="546"/>
    </row>
    <row r="6" spans="1:52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411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9"/>
      <c r="AD6" s="511"/>
      <c r="AE6" s="511"/>
      <c r="AF6" s="513"/>
      <c r="AG6" s="546"/>
      <c r="AH6" s="546"/>
      <c r="AI6" s="546"/>
      <c r="AJ6" s="546"/>
      <c r="AK6" s="546"/>
      <c r="AL6" s="546"/>
      <c r="AM6" s="546"/>
      <c r="AN6" s="546"/>
      <c r="AO6" s="546"/>
      <c r="AP6" s="546"/>
      <c r="AQ6" s="546"/>
      <c r="AR6" s="546"/>
      <c r="AS6" s="546"/>
      <c r="AT6" s="546"/>
      <c r="AU6" s="546"/>
      <c r="AV6" s="546"/>
      <c r="AW6" s="546"/>
      <c r="AX6" s="546"/>
      <c r="AY6" s="546"/>
      <c r="AZ6" s="546"/>
    </row>
    <row r="7" spans="1:52" ht="90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501" t="s">
        <v>572</v>
      </c>
      <c r="P7" s="501" t="s">
        <v>1243</v>
      </c>
      <c r="Q7" s="494" t="s">
        <v>573</v>
      </c>
      <c r="R7" s="493" t="s">
        <v>574</v>
      </c>
      <c r="S7" s="495" t="s">
        <v>575</v>
      </c>
      <c r="T7" s="496" t="s">
        <v>576</v>
      </c>
      <c r="U7" s="496" t="s">
        <v>577</v>
      </c>
      <c r="V7" s="496" t="s">
        <v>578</v>
      </c>
      <c r="W7" s="502" t="s">
        <v>579</v>
      </c>
      <c r="X7" s="502" t="s">
        <v>580</v>
      </c>
      <c r="Y7" s="497" t="s">
        <v>581</v>
      </c>
      <c r="Z7" s="497" t="s">
        <v>582</v>
      </c>
      <c r="AA7" s="498" t="s">
        <v>583</v>
      </c>
      <c r="AB7" s="499" t="s">
        <v>584</v>
      </c>
      <c r="AC7" s="500" t="s">
        <v>585</v>
      </c>
      <c r="AD7" s="511"/>
      <c r="AE7" s="511"/>
      <c r="AF7" s="513"/>
      <c r="AG7" s="546"/>
      <c r="AH7" s="546"/>
      <c r="AI7" s="546"/>
      <c r="AJ7" s="546"/>
      <c r="AK7" s="546"/>
      <c r="AL7" s="546"/>
      <c r="AM7" s="546"/>
      <c r="AN7" s="546"/>
      <c r="AO7" s="546"/>
      <c r="AP7" s="546"/>
      <c r="AQ7" s="546"/>
      <c r="AR7" s="546"/>
      <c r="AS7" s="546"/>
      <c r="AT7" s="546"/>
      <c r="AU7" s="546"/>
      <c r="AV7" s="546"/>
      <c r="AW7" s="546"/>
      <c r="AX7" s="546"/>
      <c r="AY7" s="546"/>
      <c r="AZ7" s="546"/>
    </row>
    <row r="8" spans="1:52" ht="14" x14ac:dyDescent="0.15">
      <c r="A8" s="270" t="str">
        <f>'Tariffs Jul2020'!F2</f>
        <v>AGL</v>
      </c>
      <c r="B8" s="40" t="str">
        <f>'Tariffs Jul2020'!D2</f>
        <v>Multinet Metro 1</v>
      </c>
      <c r="C8" s="40" t="str">
        <f>'Tariffs Jul2020'!G2</f>
        <v>Essentials Saver</v>
      </c>
      <c r="D8" s="59">
        <f>365*'Tariffs Jul2020'!H2/100</f>
        <v>284.91900000000004</v>
      </c>
      <c r="E8" s="59">
        <f>IF($C$5*'Tariffs Jul2020'!AK2/'Tariffs Jul2020'!AI2&gt;='Tariffs Jul2020'!J2,( 'Tariffs Jul2020'!J2*'Tariffs Jul2020'!O2/100)* 'Tariffs Jul2020'!AI2,($C$5*'Tariffs Jul2020'!AK2/'Tariffs Jul2020'!AI2*'Tariffs Jul2020'!O2/100)* 'Tariffs Jul2020'!AI2)</f>
        <v>181.8</v>
      </c>
      <c r="F8" s="59">
        <f>IF($C$5*'Tariffs Jul2020'!AK2/'Tariffs Jul2020'!AI2&lt;'Tariffs Jul2020'!J2,0,IF($C$5*'Tariffs Jul2020'!AK2/'Tariffs Jul2020'!AI2&lt;='Tariffs Jul2020'!K2,($C$5*'Tariffs Jul2020'!AK2/'Tariffs Jul2020'!AI2-'Tariffs Jul2020'!J2)*('Tariffs Jul2020'!P2/100)*'Tariffs Jul2020'!AI2,('Tariffs Jul2020'!K2-'Tariffs Jul2020'!J2)*('Tariffs Jul2020'!P2/100)*'Tariffs Jul2020'!AI2))</f>
        <v>161.1</v>
      </c>
      <c r="G8" s="59">
        <f>IF($C$5*'Tariffs Jul2020'!AK2/'Tariffs Jul2020'!AI2&lt;'Tariffs Jul2020'!K2,0,IF($C$5*'Tariffs Jul2020'!AK2/'Tariffs Jul2020'!AI2&lt;='Tariffs Jul2020'!L2,($C$5*'Tariffs Jul2020'!AK2/'Tariffs Jul2020'!AI2-'Tariffs Jul2020'!K2)*('Tariffs Jul2020'!Q2/100)*'Tariffs Jul2020'!AI2,('Tariffs Jul2020'!L2-'Tariffs Jul2020'!K2)*('Tariffs Jul2020'!Q2/100)*'Tariffs Jul2020'!AI2))</f>
        <v>129.6</v>
      </c>
      <c r="H8" s="59">
        <f>IF($C$5*'Tariffs Jul2020'!AK2/'Tariffs Jul2020'!AI2&lt;'Tariffs Jul2020'!L2,0,IF($C$5*'Tariffs Jul2020'!AK2/'Tariffs Jul2020'!AI2&lt;='Tariffs Jul2020'!M2,($C$5*'Tariffs Jul2020'!AK2/'Tariffs Jul2020'!AI2-'Tariffs Jul2020'!L2)*('Tariffs Jul2020'!R2/100)*'Tariffs Jul2020'!AI2,('Tariffs Jul2020'!M2-'Tariffs Jul2020'!L2)*('Tariffs Jul2020'!R2/100)*'Tariffs Jul2020'!AI2))</f>
        <v>56.25</v>
      </c>
      <c r="I8" s="59">
        <f>IF(($C$5*'Tariffs Jul2020'!AK2/'Tariffs Jul2020'!AI2&gt;'Tariffs Jul2020'!M2),($C$5*'Tariffs Jul2020'!AK2/'Tariffs Jul2020'!AI2-'Tariffs Jul2020'!M2)*'Tariffs Jul2020'!S2/100*'Tariffs Jul2020'!AI2,0)</f>
        <v>0</v>
      </c>
      <c r="J8" s="59">
        <f>IF($C$5*'Tariffs Jul2020'!AL2/'Tariffs Jul2020'!AJ2&gt;='Tariffs Jul2020'!J2,('Tariffs Jul2020'!J2*'Tariffs Jul2020'!U2/100)* 'Tariffs Jul2020'!AJ2,($C$5*'Tariffs Jul2020'!AL2/'Tariffs Jul2020'!AJ2*'Tariffs Jul2020'!U2/100)* 'Tariffs Jul2020'!AJ2)</f>
        <v>172.8</v>
      </c>
      <c r="K8" s="59">
        <f>IF($C$5*'Tariffs Jul2020'!AL2/'Tariffs Jul2020'!AJ2&lt;'Tariffs Jul2020'!J2,0,IF($C$5*'Tariffs Jul2020'!AL2/'Tariffs Jul2020'!AJ2&lt;='Tariffs Jul2020'!K2,($C$5*'Tariffs Jul2020'!AL2/'Tariffs Jul2020'!AJ2-'Tariffs Jul2020'!J2)*('Tariffs Jul2020'!V2/100)*'Tariffs Jul2020'!AJ2,('Tariffs Jul2020'!K2-'Tariffs Jul2020'!J2)*('Tariffs Jul2020'!V2/100)*'Tariffs Jul2020'!AJ2))</f>
        <v>152.1</v>
      </c>
      <c r="L8" s="59">
        <f>IF($C$5*'Tariffs Jul2020'!AL2/'Tariffs Jul2020'!AJ2&lt;'Tariffs Jul2020'!K2,0,IF($C$5*'Tariffs Jul2020'!AL2/'Tariffs Jul2020'!AJ2&lt;='Tariffs Jul2020'!L2,($C$5*'Tariffs Jul2020'!AL2/'Tariffs Jul2020'!AJ2-'Tariffs Jul2020'!K2)*('Tariffs Jul2020'!W2/100)*'Tariffs Jul2020'!AJ2,('Tariffs Jul2020'!L2-'Tariffs Jul2020'!K2)*('Tariffs Jul2020'!W2/100)*'Tariffs Jul2020'!AJ2))</f>
        <v>125.1</v>
      </c>
      <c r="M8" s="59">
        <f>IF($C$5*'Tariffs Jul2020'!AL2/'Tariffs Jul2020'!AJ2&lt;'Tariffs Jul2020'!L2,0,IF($C$5*'Tariffs Jul2020'!AL2/'Tariffs Jul2020'!AJ2&lt;='Tariffs Jul2020'!M2,($C$5*'Tariffs Jul2020'!AL2/'Tariffs Jul2020'!AJ2-'Tariffs Jul2020'!L2)*('Tariffs Jul2020'!X2/100)*'Tariffs Jul2020'!AJ2,('Tariffs Jul2020'!M2-'Tariffs Jul2020'!L2)*('Tariffs Jul2020'!X2/100)*'Tariffs Jul2020'!AJ2))</f>
        <v>55.349999999999994</v>
      </c>
      <c r="N8" s="59">
        <f>IF(($C$5*'Tariffs Jul2020'!AL2/'Tariffs Jul2020'!AJ2&gt;'Tariffs Jul2020'!M2),($C$5*'Tariffs Jul2020'!AL2/'Tariffs Jul2020'!AJ2-'Tariffs Jul2020'!M2)*'Tariffs Jul2020'!Y2/100*'Tariffs Jul2020'!AJ2,0)</f>
        <v>0</v>
      </c>
      <c r="O8" s="59">
        <f>SUM(E8:N8)</f>
        <v>1034.0999999999999</v>
      </c>
      <c r="P8" s="503">
        <f>O8*1.1</f>
        <v>1137.51</v>
      </c>
      <c r="Q8" s="59">
        <f>D8+O8</f>
        <v>1319.019</v>
      </c>
      <c r="R8" s="272">
        <f>Q8*1.1</f>
        <v>1450.9209000000001</v>
      </c>
      <c r="S8" s="40">
        <f>'Tariffs Jul2020'!AN2</f>
        <v>0</v>
      </c>
      <c r="T8" s="40">
        <f>'Tariffs Jul2020'!AO2</f>
        <v>0</v>
      </c>
      <c r="U8" s="40">
        <f>'Tariffs Jul2020'!AP2</f>
        <v>0</v>
      </c>
      <c r="V8" s="40">
        <f>'Tariffs Jul2020'!AQ2</f>
        <v>0</v>
      </c>
      <c r="W8" s="284">
        <f>Q8</f>
        <v>1319.019</v>
      </c>
      <c r="X8" s="284">
        <f t="shared" ref="X8:X18" si="0">W8</f>
        <v>1319.019</v>
      </c>
      <c r="Y8" s="507">
        <f>W8*1.1</f>
        <v>1450.9209000000001</v>
      </c>
      <c r="Z8" s="507">
        <f>X8*1.1</f>
        <v>1450.9209000000001</v>
      </c>
      <c r="AA8" s="274">
        <f>'Tariffs Jul2020'!AZ2</f>
        <v>0</v>
      </c>
      <c r="AB8" s="274" t="str">
        <f>'Tariffs Jul2020'!BA2</f>
        <v>n</v>
      </c>
      <c r="AC8" s="275" t="str">
        <f>'Tariffs Jul2020'!BJ2</f>
        <v>N</v>
      </c>
      <c r="AD8" s="511"/>
      <c r="AE8" s="511"/>
      <c r="AF8" s="513"/>
      <c r="AG8" s="546"/>
      <c r="AH8" s="546"/>
      <c r="AI8" s="546"/>
      <c r="AJ8" s="546"/>
      <c r="AK8" s="546"/>
      <c r="AL8" s="546"/>
      <c r="AM8" s="546"/>
      <c r="AN8" s="546"/>
      <c r="AO8" s="546"/>
      <c r="AP8" s="546"/>
      <c r="AQ8" s="546"/>
      <c r="AR8" s="546"/>
      <c r="AS8" s="546"/>
      <c r="AT8" s="546"/>
      <c r="AU8" s="546"/>
      <c r="AV8" s="546"/>
      <c r="AW8" s="546"/>
      <c r="AX8" s="546"/>
      <c r="AY8" s="546"/>
      <c r="AZ8" s="546"/>
    </row>
    <row r="9" spans="1:52" ht="14" x14ac:dyDescent="0.15">
      <c r="A9" s="270" t="str">
        <f>'Tariffs Jul2020'!F3</f>
        <v>Alinta Energy</v>
      </c>
      <c r="B9" s="40" t="str">
        <f>'Tariffs Jul2020'!D3</f>
        <v>Multinet Metro 1</v>
      </c>
      <c r="C9" s="40" t="str">
        <f>'Tariffs Jul2020'!G3</f>
        <v>Home Deal</v>
      </c>
      <c r="D9" s="59">
        <f>365*'Tariffs Jul2020'!H3/100</f>
        <v>251.85</v>
      </c>
      <c r="E9" s="59">
        <f>IF($C$5*'Tariffs Jul2020'!AK3/'Tariffs Jul2020'!AI3&gt;='Tariffs Jul2020'!J3,( 'Tariffs Jul2020'!J3*'Tariffs Jul2020'!O3/100)* 'Tariffs Jul2020'!AI3,($C$5*'Tariffs Jul2020'!AK3/'Tariffs Jul2020'!AI3*'Tariffs Jul2020'!O3/100)* 'Tariffs Jul2020'!AI3)</f>
        <v>189</v>
      </c>
      <c r="F9" s="59">
        <f>IF($C$5*'Tariffs Jul2020'!AK3/'Tariffs Jul2020'!AI3&lt;'Tariffs Jul2020'!J3,0,IF($C$5*'Tariffs Jul2020'!AK3/'Tariffs Jul2020'!AI3&lt;='Tariffs Jul2020'!K3,($C$5*'Tariffs Jul2020'!AK3/'Tariffs Jul2020'!AI3-'Tariffs Jul2020'!J3)*('Tariffs Jul2020'!P3/100)*'Tariffs Jul2020'!AI3,('Tariffs Jul2020'!K3-'Tariffs Jul2020'!J3)*('Tariffs Jul2020'!P3/100)*'Tariffs Jul2020'!AI3))</f>
        <v>171</v>
      </c>
      <c r="G9" s="59">
        <f>IF($C$5*'Tariffs Jul2020'!AK3/'Tariffs Jul2020'!AI3&lt;'Tariffs Jul2020'!K3,0,IF($C$5*'Tariffs Jul2020'!AK3/'Tariffs Jul2020'!AI3&lt;='Tariffs Jul2020'!L3,($C$5*'Tariffs Jul2020'!AK3/'Tariffs Jul2020'!AI3-'Tariffs Jul2020'!K3)*('Tariffs Jul2020'!Q3/100)*'Tariffs Jul2020'!AI3,('Tariffs Jul2020'!L3-'Tariffs Jul2020'!K3)*('Tariffs Jul2020'!Q3/100)*'Tariffs Jul2020'!AI3))</f>
        <v>0</v>
      </c>
      <c r="H9" s="59">
        <f>IF($C$5*'Tariffs Jul2020'!AK3/'Tariffs Jul2020'!AI3&lt;'Tariffs Jul2020'!L3,0,IF($C$5*'Tariffs Jul2020'!AK3/'Tariffs Jul2020'!AI3&lt;='Tariffs Jul2020'!M3,($C$5*'Tariffs Jul2020'!AK3/'Tariffs Jul2020'!AI3-'Tariffs Jul2020'!L3)*('Tariffs Jul2020'!R3/100)*'Tariffs Jul2020'!AI3,('Tariffs Jul2020'!M3-'Tariffs Jul2020'!L3)*('Tariffs Jul2020'!R3/100)*'Tariffs Jul2020'!AI3))</f>
        <v>0</v>
      </c>
      <c r="I9" s="59">
        <f>IF(($C$5*'Tariffs Jul2020'!AK3/'Tariffs Jul2020'!AI3&gt;'Tariffs Jul2020'!M3),($C$5*'Tariffs Jul2020'!AK3/'Tariffs Jul2020'!AI3-'Tariffs Jul2020'!M3)*'Tariffs Jul2020'!S3/100*'Tariffs Jul2020'!AI3,0)</f>
        <v>202.5</v>
      </c>
      <c r="J9" s="59">
        <f>IF($C$5*'Tariffs Jul2020'!AL3/'Tariffs Jul2020'!AJ3&gt;='Tariffs Jul2020'!J3,('Tariffs Jul2020'!J3*'Tariffs Jul2020'!U3/100)* 'Tariffs Jul2020'!AJ3,($C$5*'Tariffs Jul2020'!AL3/'Tariffs Jul2020'!AJ3*'Tariffs Jul2020'!U3/100)* 'Tariffs Jul2020'!AJ3)</f>
        <v>189</v>
      </c>
      <c r="K9" s="59">
        <f>IF($C$5*'Tariffs Jul2020'!AL3/'Tariffs Jul2020'!AJ3&lt;'Tariffs Jul2020'!J3,0,IF($C$5*'Tariffs Jul2020'!AL3/'Tariffs Jul2020'!AJ3&lt;='Tariffs Jul2020'!K3,($C$5*'Tariffs Jul2020'!AL3/'Tariffs Jul2020'!AJ3-'Tariffs Jul2020'!J3)*('Tariffs Jul2020'!V3/100)*'Tariffs Jul2020'!AJ3,('Tariffs Jul2020'!K3-'Tariffs Jul2020'!J3)*('Tariffs Jul2020'!V3/100)*'Tariffs Jul2020'!AJ3))</f>
        <v>162.00000000000003</v>
      </c>
      <c r="L9" s="59">
        <f>IF($C$5*'Tariffs Jul2020'!AL3/'Tariffs Jul2020'!AJ3&lt;'Tariffs Jul2020'!K3,0,IF($C$5*'Tariffs Jul2020'!AL3/'Tariffs Jul2020'!AJ3&lt;='Tariffs Jul2020'!L3,($C$5*'Tariffs Jul2020'!AL3/'Tariffs Jul2020'!AJ3-'Tariffs Jul2020'!K3)*('Tariffs Jul2020'!W3/100)*'Tariffs Jul2020'!AJ3,('Tariffs Jul2020'!L3-'Tariffs Jul2020'!K3)*('Tariffs Jul2020'!W3/100)*'Tariffs Jul2020'!AJ3))</f>
        <v>0</v>
      </c>
      <c r="M9" s="59">
        <f>IF($C$5*'Tariffs Jul2020'!AL3/'Tariffs Jul2020'!AJ3&lt;'Tariffs Jul2020'!L3,0,IF($C$5*'Tariffs Jul2020'!AL3/'Tariffs Jul2020'!AJ3&lt;='Tariffs Jul2020'!M3,($C$5*'Tariffs Jul2020'!AL3/'Tariffs Jul2020'!AJ3-'Tariffs Jul2020'!L3)*('Tariffs Jul2020'!X3/100)*'Tariffs Jul2020'!AJ3,('Tariffs Jul2020'!M3-'Tariffs Jul2020'!L3)*('Tariffs Jul2020'!X3/100)*'Tariffs Jul2020'!AJ3))</f>
        <v>0</v>
      </c>
      <c r="N9" s="59">
        <f>IF(($C$5*'Tariffs Jul2020'!AL3/'Tariffs Jul2020'!AJ3&gt;'Tariffs Jul2020'!M3),($C$5*'Tariffs Jul2020'!AL3/'Tariffs Jul2020'!AJ3-'Tariffs Jul2020'!M3)*'Tariffs Jul2020'!Y3/100*'Tariffs Jul2020'!AJ3,0)</f>
        <v>202.5</v>
      </c>
      <c r="O9" s="59">
        <f t="shared" ref="O9:O92" si="1">SUM(E9:N9)</f>
        <v>1116</v>
      </c>
      <c r="P9" s="503">
        <f t="shared" ref="P9:P72" si="2">O9*1.1</f>
        <v>1227.6000000000001</v>
      </c>
      <c r="Q9" s="59">
        <f t="shared" ref="Q9:Q92" si="3">D9+O9</f>
        <v>1367.85</v>
      </c>
      <c r="R9" s="272">
        <f t="shared" ref="R9:R92" si="4">Q9*1.1</f>
        <v>1504.635</v>
      </c>
      <c r="S9" s="40">
        <f>'Tariffs Jul2020'!AN3</f>
        <v>0</v>
      </c>
      <c r="T9" s="40">
        <f>'Tariffs Jul2020'!AO3</f>
        <v>0</v>
      </c>
      <c r="U9" s="40">
        <f>'Tariffs Jul2020'!AP3</f>
        <v>0</v>
      </c>
      <c r="V9" s="40">
        <f>'Tariffs Jul2020'!AQ3</f>
        <v>0</v>
      </c>
      <c r="W9" s="284">
        <f>Q9</f>
        <v>1367.85</v>
      </c>
      <c r="X9" s="284">
        <f t="shared" si="0"/>
        <v>1367.85</v>
      </c>
      <c r="Y9" s="507">
        <f>W9*1.1</f>
        <v>1504.635</v>
      </c>
      <c r="Z9" s="507">
        <f t="shared" ref="Y9:Z24" si="5">X9*1.1</f>
        <v>1504.635</v>
      </c>
      <c r="AA9" s="274">
        <f>'Tariffs Jul2020'!AZ3</f>
        <v>0</v>
      </c>
      <c r="AB9" s="274" t="str">
        <f>'Tariffs Jul2020'!BA3</f>
        <v>n</v>
      </c>
      <c r="AC9" s="275" t="str">
        <f>'Tariffs Jul2020'!BJ3</f>
        <v>N</v>
      </c>
      <c r="AD9" s="511"/>
      <c r="AE9" s="511"/>
      <c r="AF9" s="513"/>
      <c r="AG9" s="546"/>
      <c r="AH9" s="546"/>
      <c r="AI9" s="546"/>
      <c r="AJ9" s="546"/>
      <c r="AK9" s="546"/>
      <c r="AL9" s="546"/>
      <c r="AM9" s="546"/>
      <c r="AN9" s="546"/>
      <c r="AO9" s="546"/>
      <c r="AP9" s="546"/>
      <c r="AQ9" s="546"/>
      <c r="AR9" s="546"/>
      <c r="AS9" s="546"/>
      <c r="AT9" s="546"/>
      <c r="AU9" s="546"/>
      <c r="AV9" s="546"/>
      <c r="AW9" s="546"/>
      <c r="AX9" s="546"/>
      <c r="AY9" s="546"/>
      <c r="AZ9" s="546"/>
    </row>
    <row r="10" spans="1:52" ht="14" x14ac:dyDescent="0.15">
      <c r="A10" s="270" t="str">
        <f>'Tariffs Jul2020'!F4</f>
        <v>Click Energy</v>
      </c>
      <c r="B10" s="40" t="str">
        <f>'Tariffs Jul2020'!D4</f>
        <v>Multinet Metro 1</v>
      </c>
      <c r="C10" s="40" t="str">
        <f>'Tariffs Jul2020'!G4</f>
        <v>Flora</v>
      </c>
      <c r="D10" s="59">
        <f>365*'Tariffs Jul2020'!H4/100</f>
        <v>182.42699999999996</v>
      </c>
      <c r="E10" s="59">
        <f>IF($C$5*'Tariffs Jul2020'!AK4/'Tariffs Jul2020'!AI4&gt;='Tariffs Jul2020'!J4,( 'Tariffs Jul2020'!J4*'Tariffs Jul2020'!O4/100)* 'Tariffs Jul2020'!AI4,($C$5*'Tariffs Jul2020'!AK4/'Tariffs Jul2020'!AI4*'Tariffs Jul2020'!O4/100)* 'Tariffs Jul2020'!AI4)</f>
        <v>193.5</v>
      </c>
      <c r="F10" s="59">
        <f>IF($C$5*'Tariffs Jul2020'!AK4/'Tariffs Jul2020'!AI4&lt;'Tariffs Jul2020'!J4,0,IF($C$5*'Tariffs Jul2020'!AK4/'Tariffs Jul2020'!AI4&lt;='Tariffs Jul2020'!K4,($C$5*'Tariffs Jul2020'!AK4/'Tariffs Jul2020'!AI4-'Tariffs Jul2020'!J4)*('Tariffs Jul2020'!P4/100)*'Tariffs Jul2020'!AI4,('Tariffs Jul2020'!K4-'Tariffs Jul2020'!J4)*('Tariffs Jul2020'!P4/100)*'Tariffs Jul2020'!AI4))</f>
        <v>166.50000000000003</v>
      </c>
      <c r="G10" s="59">
        <f>IF($C$5*'Tariffs Jul2020'!AK4/'Tariffs Jul2020'!AI4&lt;'Tariffs Jul2020'!K4,0,IF($C$5*'Tariffs Jul2020'!AK4/'Tariffs Jul2020'!AI4&lt;='Tariffs Jul2020'!L4,($C$5*'Tariffs Jul2020'!AK4/'Tariffs Jul2020'!AI4-'Tariffs Jul2020'!K4)*('Tariffs Jul2020'!Q4/100)*'Tariffs Jul2020'!AI4,('Tariffs Jul2020'!L4-'Tariffs Jul2020'!K4)*('Tariffs Jul2020'!Q4/100)*'Tariffs Jul2020'!AI4))</f>
        <v>144</v>
      </c>
      <c r="H10" s="59">
        <f>IF($C$5*'Tariffs Jul2020'!AK4/'Tariffs Jul2020'!AI4&lt;'Tariffs Jul2020'!L4,0,IF($C$5*'Tariffs Jul2020'!AK4/'Tariffs Jul2020'!AI4&lt;='Tariffs Jul2020'!M4,($C$5*'Tariffs Jul2020'!AK4/'Tariffs Jul2020'!AI4-'Tariffs Jul2020'!L4)*('Tariffs Jul2020'!R4/100)*'Tariffs Jul2020'!AI4,('Tariffs Jul2020'!M4-'Tariffs Jul2020'!L4)*('Tariffs Jul2020'!R4/100)*'Tariffs Jul2020'!AI4))</f>
        <v>67.5</v>
      </c>
      <c r="I10" s="59">
        <f>IF(($C$5*'Tariffs Jul2020'!AK4/'Tariffs Jul2020'!AI4&gt;'Tariffs Jul2020'!M4),($C$5*'Tariffs Jul2020'!AK4/'Tariffs Jul2020'!AI4-'Tariffs Jul2020'!M4)*'Tariffs Jul2020'!S4/100*'Tariffs Jul2020'!AI4,0)</f>
        <v>0</v>
      </c>
      <c r="J10" s="59">
        <f>IF($C$5*'Tariffs Jul2020'!AL4/'Tariffs Jul2020'!AJ4&gt;='Tariffs Jul2020'!J4,('Tariffs Jul2020'!J4*'Tariffs Jul2020'!U4/100)* 'Tariffs Jul2020'!AJ4,($C$5*'Tariffs Jul2020'!AL4/'Tariffs Jul2020'!AJ4*'Tariffs Jul2020'!U4/100)* 'Tariffs Jul2020'!AJ4)</f>
        <v>193.5</v>
      </c>
      <c r="K10" s="59">
        <f>IF($C$5*'Tariffs Jul2020'!AL4/'Tariffs Jul2020'!AJ4&lt;'Tariffs Jul2020'!J4,0,IF($C$5*'Tariffs Jul2020'!AL4/'Tariffs Jul2020'!AJ4&lt;='Tariffs Jul2020'!K4,($C$5*'Tariffs Jul2020'!AL4/'Tariffs Jul2020'!AJ4-'Tariffs Jul2020'!J4)*('Tariffs Jul2020'!V4/100)*'Tariffs Jul2020'!AJ4,('Tariffs Jul2020'!K4-'Tariffs Jul2020'!J4)*('Tariffs Jul2020'!V4/100)*'Tariffs Jul2020'!AJ4))</f>
        <v>170.10000000000002</v>
      </c>
      <c r="L10" s="59">
        <f>IF($C$5*'Tariffs Jul2020'!AL4/'Tariffs Jul2020'!AJ4&lt;'Tariffs Jul2020'!K4,0,IF($C$5*'Tariffs Jul2020'!AL4/'Tariffs Jul2020'!AJ4&lt;='Tariffs Jul2020'!L4,($C$5*'Tariffs Jul2020'!AL4/'Tariffs Jul2020'!AJ4-'Tariffs Jul2020'!K4)*('Tariffs Jul2020'!W4/100)*'Tariffs Jul2020'!AJ4,('Tariffs Jul2020'!L4-'Tariffs Jul2020'!K4)*('Tariffs Jul2020'!W4/100)*'Tariffs Jul2020'!AJ4))</f>
        <v>147.6</v>
      </c>
      <c r="M10" s="59">
        <f>IF($C$5*'Tariffs Jul2020'!AL4/'Tariffs Jul2020'!AJ4&lt;'Tariffs Jul2020'!L4,0,IF($C$5*'Tariffs Jul2020'!AL4/'Tariffs Jul2020'!AJ4&lt;='Tariffs Jul2020'!M4,($C$5*'Tariffs Jul2020'!AL4/'Tariffs Jul2020'!AJ4-'Tariffs Jul2020'!L4)*('Tariffs Jul2020'!X4/100)*'Tariffs Jul2020'!AJ4,('Tariffs Jul2020'!M4-'Tariffs Jul2020'!L4)*('Tariffs Jul2020'!X4/100)*'Tariffs Jul2020'!AJ4))</f>
        <v>67.5</v>
      </c>
      <c r="N10" s="59">
        <f>IF(($C$5*'Tariffs Jul2020'!AL4/'Tariffs Jul2020'!AJ4&gt;'Tariffs Jul2020'!M4),($C$5*'Tariffs Jul2020'!AL4/'Tariffs Jul2020'!AJ4-'Tariffs Jul2020'!M4)*'Tariffs Jul2020'!Y4/100*'Tariffs Jul2020'!AJ4,0)</f>
        <v>0</v>
      </c>
      <c r="O10" s="59">
        <f t="shared" si="1"/>
        <v>1150.2</v>
      </c>
      <c r="P10" s="503">
        <f t="shared" si="2"/>
        <v>1265.2200000000003</v>
      </c>
      <c r="Q10" s="59">
        <f t="shared" si="3"/>
        <v>1332.627</v>
      </c>
      <c r="R10" s="272">
        <f t="shared" si="4"/>
        <v>1465.8897000000002</v>
      </c>
      <c r="S10" s="40">
        <f>'Tariffs Jul2020'!AN4</f>
        <v>0</v>
      </c>
      <c r="T10" s="40">
        <f>'Tariffs Jul2020'!AO4</f>
        <v>0</v>
      </c>
      <c r="U10" s="40">
        <f>'Tariffs Jul2020'!AP4</f>
        <v>0</v>
      </c>
      <c r="V10" s="40">
        <f>'Tariffs Jul2020'!AQ4</f>
        <v>0</v>
      </c>
      <c r="W10" s="284">
        <f>Q10</f>
        <v>1332.627</v>
      </c>
      <c r="X10" s="284">
        <f t="shared" si="0"/>
        <v>1332.627</v>
      </c>
      <c r="Y10" s="507">
        <f t="shared" si="5"/>
        <v>1465.8897000000002</v>
      </c>
      <c r="Z10" s="507">
        <f t="shared" si="5"/>
        <v>1465.8897000000002</v>
      </c>
      <c r="AA10" s="274">
        <f>'Tariffs Jul2020'!AZ4</f>
        <v>0</v>
      </c>
      <c r="AB10" s="274" t="str">
        <f>'Tariffs Jul2020'!BA4</f>
        <v>n</v>
      </c>
      <c r="AC10" s="275" t="str">
        <f>'Tariffs Jul2020'!BJ4</f>
        <v>N</v>
      </c>
      <c r="AD10" s="511"/>
      <c r="AE10" s="511"/>
      <c r="AF10" s="513"/>
      <c r="AG10" s="546"/>
      <c r="AH10" s="546"/>
      <c r="AI10" s="546"/>
      <c r="AJ10" s="546"/>
      <c r="AK10" s="546"/>
      <c r="AL10" s="546"/>
      <c r="AM10" s="546"/>
      <c r="AN10" s="546"/>
      <c r="AO10" s="546"/>
      <c r="AP10" s="546"/>
      <c r="AQ10" s="546"/>
      <c r="AR10" s="546"/>
      <c r="AS10" s="546"/>
      <c r="AT10" s="546"/>
      <c r="AU10" s="546"/>
      <c r="AV10" s="546"/>
      <c r="AW10" s="546"/>
      <c r="AX10" s="546"/>
      <c r="AY10" s="546"/>
      <c r="AZ10" s="546"/>
    </row>
    <row r="11" spans="1:52" ht="14" x14ac:dyDescent="0.15">
      <c r="A11" s="270" t="str">
        <f>'Tariffs Jul2020'!F5</f>
        <v>Covau</v>
      </c>
      <c r="B11" s="40" t="str">
        <f>'Tariffs Jul2020'!D5</f>
        <v>Multinet Metro 1</v>
      </c>
      <c r="C11" s="40" t="str">
        <f>'Tariffs Jul2020'!G5</f>
        <v>Smart Saver</v>
      </c>
      <c r="D11" s="59">
        <f>365*'Tariffs Jul2020'!H5/100</f>
        <v>284.7</v>
      </c>
      <c r="E11" s="59">
        <f>IF($C$5*'Tariffs Jul2020'!AK5/'Tariffs Jul2020'!AI5&gt;='Tariffs Jul2020'!J5,( 'Tariffs Jul2020'!J5*'Tariffs Jul2020'!O5/100)* 'Tariffs Jul2020'!AI5,($C$5*'Tariffs Jul2020'!AK5/'Tariffs Jul2020'!AI5*'Tariffs Jul2020'!O5/100)* 'Tariffs Jul2020'!AI5)</f>
        <v>261</v>
      </c>
      <c r="F11" s="59">
        <f>IF($C$5*'Tariffs Jul2020'!AK5/'Tariffs Jul2020'!AI5&lt;'Tariffs Jul2020'!J5,0,IF($C$5*'Tariffs Jul2020'!AK5/'Tariffs Jul2020'!AI5&lt;='Tariffs Jul2020'!K5,($C$5*'Tariffs Jul2020'!AK5/'Tariffs Jul2020'!AI5-'Tariffs Jul2020'!J5)*('Tariffs Jul2020'!P5/100)*'Tariffs Jul2020'!AI5,('Tariffs Jul2020'!K5-'Tariffs Jul2020'!J5)*('Tariffs Jul2020'!P5/100)*'Tariffs Jul2020'!AI5))</f>
        <v>234.89999999999998</v>
      </c>
      <c r="G11" s="59">
        <f>IF($C$5*'Tariffs Jul2020'!AK5/'Tariffs Jul2020'!AI5&lt;'Tariffs Jul2020'!K5,0,IF($C$5*'Tariffs Jul2020'!AK5/'Tariffs Jul2020'!AI5&lt;='Tariffs Jul2020'!L5,($C$5*'Tariffs Jul2020'!AK5/'Tariffs Jul2020'!AI5-'Tariffs Jul2020'!K5)*('Tariffs Jul2020'!Q5/100)*'Tariffs Jul2020'!AI5,('Tariffs Jul2020'!L5-'Tariffs Jul2020'!K5)*('Tariffs Jul2020'!Q5/100)*'Tariffs Jul2020'!AI5))</f>
        <v>216</v>
      </c>
      <c r="H11" s="59">
        <f>IF($C$5*'Tariffs Jul2020'!AK5/'Tariffs Jul2020'!AI5&lt;'Tariffs Jul2020'!L5,0,IF($C$5*'Tariffs Jul2020'!AK5/'Tariffs Jul2020'!AI5&lt;='Tariffs Jul2020'!M5,($C$5*'Tariffs Jul2020'!AK5/'Tariffs Jul2020'!AI5-'Tariffs Jul2020'!L5)*('Tariffs Jul2020'!R5/100)*'Tariffs Jul2020'!AI5,('Tariffs Jul2020'!M5-'Tariffs Jul2020'!L5)*('Tariffs Jul2020'!R5/100)*'Tariffs Jul2020'!AI5))</f>
        <v>99</v>
      </c>
      <c r="I11" s="59">
        <f>IF(($C$5*'Tariffs Jul2020'!AK5/'Tariffs Jul2020'!AI5&gt;'Tariffs Jul2020'!M5),($C$5*'Tariffs Jul2020'!AK5/'Tariffs Jul2020'!AI5-'Tariffs Jul2020'!M5)*'Tariffs Jul2020'!S5/100*'Tariffs Jul2020'!AI5,0)</f>
        <v>0</v>
      </c>
      <c r="J11" s="59">
        <f>IF($C$5*'Tariffs Jul2020'!AL5/'Tariffs Jul2020'!AJ5&gt;='Tariffs Jul2020'!J5,('Tariffs Jul2020'!J5*'Tariffs Jul2020'!U5/100)* 'Tariffs Jul2020'!AJ5,($C$5*'Tariffs Jul2020'!AL5/'Tariffs Jul2020'!AJ5*'Tariffs Jul2020'!U5/100)* 'Tariffs Jul2020'!AJ5)</f>
        <v>243.00000000000006</v>
      </c>
      <c r="K11" s="59">
        <f>IF($C$5*'Tariffs Jul2020'!AL5/'Tariffs Jul2020'!AJ5&lt;'Tariffs Jul2020'!J5,0,IF($C$5*'Tariffs Jul2020'!AL5/'Tariffs Jul2020'!AJ5&lt;='Tariffs Jul2020'!K5,($C$5*'Tariffs Jul2020'!AL5/'Tariffs Jul2020'!AJ5-'Tariffs Jul2020'!J5)*('Tariffs Jul2020'!V5/100)*'Tariffs Jul2020'!AJ5,('Tariffs Jul2020'!K5-'Tariffs Jul2020'!J5)*('Tariffs Jul2020'!V5/100)*'Tariffs Jul2020'!AJ5))</f>
        <v>228.60000000000002</v>
      </c>
      <c r="L11" s="59">
        <f>IF($C$5*'Tariffs Jul2020'!AL5/'Tariffs Jul2020'!AJ5&lt;'Tariffs Jul2020'!K5,0,IF($C$5*'Tariffs Jul2020'!AL5/'Tariffs Jul2020'!AJ5&lt;='Tariffs Jul2020'!L5,($C$5*'Tariffs Jul2020'!AL5/'Tariffs Jul2020'!AJ5-'Tariffs Jul2020'!K5)*('Tariffs Jul2020'!W5/100)*'Tariffs Jul2020'!AJ5,('Tariffs Jul2020'!L5-'Tariffs Jul2020'!K5)*('Tariffs Jul2020'!W5/100)*'Tariffs Jul2020'!AJ5))</f>
        <v>189.00000000000003</v>
      </c>
      <c r="M11" s="59">
        <f>IF($C$5*'Tariffs Jul2020'!AL5/'Tariffs Jul2020'!AJ5&lt;'Tariffs Jul2020'!L5,0,IF($C$5*'Tariffs Jul2020'!AL5/'Tariffs Jul2020'!AJ5&lt;='Tariffs Jul2020'!M5,($C$5*'Tariffs Jul2020'!AL5/'Tariffs Jul2020'!AJ5-'Tariffs Jul2020'!L5)*('Tariffs Jul2020'!X5/100)*'Tariffs Jul2020'!AJ5,('Tariffs Jul2020'!M5-'Tariffs Jul2020'!L5)*('Tariffs Jul2020'!X5/100)*'Tariffs Jul2020'!AJ5))</f>
        <v>85.5</v>
      </c>
      <c r="N11" s="59">
        <f>IF(($C$5*'Tariffs Jul2020'!AL5/'Tariffs Jul2020'!AJ5&gt;'Tariffs Jul2020'!M5),($C$5*'Tariffs Jul2020'!AL5/'Tariffs Jul2020'!AJ5-'Tariffs Jul2020'!M5)*'Tariffs Jul2020'!Y5/100*'Tariffs Jul2020'!AJ5,0)</f>
        <v>0</v>
      </c>
      <c r="O11" s="59">
        <f t="shared" si="1"/>
        <v>1557</v>
      </c>
      <c r="P11" s="503">
        <f t="shared" si="2"/>
        <v>1712.7</v>
      </c>
      <c r="Q11" s="59">
        <f t="shared" si="3"/>
        <v>1841.7</v>
      </c>
      <c r="R11" s="272">
        <f t="shared" si="4"/>
        <v>2025.8700000000001</v>
      </c>
      <c r="S11" s="40">
        <f>'Tariffs Jul2020'!AN5</f>
        <v>0</v>
      </c>
      <c r="T11" s="40">
        <f>'Tariffs Jul2020'!AO5</f>
        <v>16</v>
      </c>
      <c r="U11" s="40">
        <f>'Tariffs Jul2020'!AP5</f>
        <v>0</v>
      </c>
      <c r="V11" s="40">
        <f>'Tariffs Jul2020'!AQ5</f>
        <v>0</v>
      </c>
      <c r="W11" s="284">
        <f>Q11-(O11*T11/100)</f>
        <v>1592.58</v>
      </c>
      <c r="X11" s="284">
        <f t="shared" si="0"/>
        <v>1592.58</v>
      </c>
      <c r="Y11" s="507">
        <f t="shared" si="5"/>
        <v>1751.838</v>
      </c>
      <c r="Z11" s="507">
        <f t="shared" si="5"/>
        <v>1751.838</v>
      </c>
      <c r="AA11" s="274">
        <f>'Tariffs Jul2020'!AZ5</f>
        <v>0</v>
      </c>
      <c r="AB11" s="274" t="str">
        <f>'Tariffs Jul2020'!BA5</f>
        <v>n</v>
      </c>
      <c r="AC11" s="275" t="str">
        <f>'Tariffs Jul2020'!BJ5</f>
        <v>N</v>
      </c>
      <c r="AD11" s="511"/>
      <c r="AE11" s="511"/>
      <c r="AF11" s="513"/>
      <c r="AG11" s="546"/>
      <c r="AH11" s="546"/>
      <c r="AI11" s="546"/>
      <c r="AJ11" s="546"/>
      <c r="AK11" s="546"/>
      <c r="AL11" s="546"/>
      <c r="AM11" s="546"/>
      <c r="AN11" s="546"/>
      <c r="AO11" s="546"/>
      <c r="AP11" s="546"/>
      <c r="AQ11" s="546"/>
      <c r="AR11" s="546"/>
      <c r="AS11" s="546"/>
      <c r="AT11" s="546"/>
      <c r="AU11" s="546"/>
      <c r="AV11" s="546"/>
      <c r="AW11" s="546"/>
      <c r="AX11" s="546"/>
      <c r="AY11" s="546"/>
      <c r="AZ11" s="546"/>
    </row>
    <row r="12" spans="1:52" ht="14" x14ac:dyDescent="0.15">
      <c r="A12" s="270" t="str">
        <f>'Tariffs Jul2020'!F6</f>
        <v>Dodo Power &amp; Gas</v>
      </c>
      <c r="B12" s="40" t="str">
        <f>'Tariffs Jul2020'!D6</f>
        <v>Multinet Metro 1</v>
      </c>
      <c r="C12" s="40" t="str">
        <f>'Tariffs Jul2020'!G6</f>
        <v>Market offer</v>
      </c>
      <c r="D12" s="59">
        <f>365*'Tariffs Jul2020'!H6/100</f>
        <v>191.7345</v>
      </c>
      <c r="E12" s="59">
        <f>IF($C$5*'Tariffs Jul2020'!AK6/'Tariffs Jul2020'!AI6&gt;='Tariffs Jul2020'!J6,( 'Tariffs Jul2020'!J6*'Tariffs Jul2020'!O6/100)* 'Tariffs Jul2020'!AI6,($C$5*'Tariffs Jul2020'!AK6/'Tariffs Jul2020'!AI6*'Tariffs Jul2020'!O6/100)* 'Tariffs Jul2020'!AI6)</f>
        <v>212.39999999999998</v>
      </c>
      <c r="F12" s="59">
        <f>IF($C$5*'Tariffs Jul2020'!AK6/'Tariffs Jul2020'!AI6&lt;'Tariffs Jul2020'!J6,0,IF($C$5*'Tariffs Jul2020'!AK6/'Tariffs Jul2020'!AI6&lt;='Tariffs Jul2020'!K6,($C$5*'Tariffs Jul2020'!AK6/'Tariffs Jul2020'!AI6-'Tariffs Jul2020'!J6)*('Tariffs Jul2020'!P6/100)*'Tariffs Jul2020'!AI6,('Tariffs Jul2020'!K6-'Tariffs Jul2020'!J6)*('Tariffs Jul2020'!P6/100)*'Tariffs Jul2020'!AI6))</f>
        <v>186.3</v>
      </c>
      <c r="G12" s="59">
        <f>IF($C$5*'Tariffs Jul2020'!AK6/'Tariffs Jul2020'!AI6&lt;'Tariffs Jul2020'!K6,0,IF($C$5*'Tariffs Jul2020'!AK6/'Tariffs Jul2020'!AI6&lt;='Tariffs Jul2020'!L6,($C$5*'Tariffs Jul2020'!AK6/'Tariffs Jul2020'!AI6-'Tariffs Jul2020'!K6)*('Tariffs Jul2020'!Q6/100)*'Tariffs Jul2020'!AI6,('Tariffs Jul2020'!L6-'Tariffs Jul2020'!K6)*('Tariffs Jul2020'!Q6/100)*'Tariffs Jul2020'!AI6))</f>
        <v>161.1</v>
      </c>
      <c r="H12" s="59">
        <f>IF($C$5*'Tariffs Jul2020'!AK6/'Tariffs Jul2020'!AI6&lt;'Tariffs Jul2020'!L6,0,IF($C$5*'Tariffs Jul2020'!AK6/'Tariffs Jul2020'!AI6&lt;='Tariffs Jul2020'!M6,($C$5*'Tariffs Jul2020'!AK6/'Tariffs Jul2020'!AI6-'Tariffs Jul2020'!L6)*('Tariffs Jul2020'!R6/100)*'Tariffs Jul2020'!AI6,('Tariffs Jul2020'!M6-'Tariffs Jul2020'!L6)*('Tariffs Jul2020'!R6/100)*'Tariffs Jul2020'!AI6))</f>
        <v>74.25</v>
      </c>
      <c r="I12" s="59">
        <f>IF(($C$5*'Tariffs Jul2020'!AK6/'Tariffs Jul2020'!AI6&gt;'Tariffs Jul2020'!M6),($C$5*'Tariffs Jul2020'!AK6/'Tariffs Jul2020'!AI6-'Tariffs Jul2020'!M6)*'Tariffs Jul2020'!S6/100*'Tariffs Jul2020'!AI6,0)</f>
        <v>0</v>
      </c>
      <c r="J12" s="59">
        <f>IF($C$5*'Tariffs Jul2020'!AL6/'Tariffs Jul2020'!AJ6&gt;='Tariffs Jul2020'!J6,('Tariffs Jul2020'!J6*'Tariffs Jul2020'!U6/100)* 'Tariffs Jul2020'!AJ6,($C$5*'Tariffs Jul2020'!AL6/'Tariffs Jul2020'!AJ6*'Tariffs Jul2020'!U6/100)* 'Tariffs Jul2020'!AJ6)</f>
        <v>201.60000000000002</v>
      </c>
      <c r="K12" s="59">
        <f>IF($C$5*'Tariffs Jul2020'!AL6/'Tariffs Jul2020'!AJ6&lt;'Tariffs Jul2020'!J6,0,IF($C$5*'Tariffs Jul2020'!AL6/'Tariffs Jul2020'!AJ6&lt;='Tariffs Jul2020'!K6,($C$5*'Tariffs Jul2020'!AL6/'Tariffs Jul2020'!AJ6-'Tariffs Jul2020'!J6)*('Tariffs Jul2020'!V6/100)*'Tariffs Jul2020'!AJ6,('Tariffs Jul2020'!K6-'Tariffs Jul2020'!J6)*('Tariffs Jul2020'!V6/100)*'Tariffs Jul2020'!AJ6))</f>
        <v>178.2</v>
      </c>
      <c r="L12" s="59">
        <f>IF($C$5*'Tariffs Jul2020'!AL6/'Tariffs Jul2020'!AJ6&lt;'Tariffs Jul2020'!K6,0,IF($C$5*'Tariffs Jul2020'!AL6/'Tariffs Jul2020'!AJ6&lt;='Tariffs Jul2020'!L6,($C$5*'Tariffs Jul2020'!AL6/'Tariffs Jul2020'!AJ6-'Tariffs Jul2020'!K6)*('Tariffs Jul2020'!W6/100)*'Tariffs Jul2020'!AJ6,('Tariffs Jul2020'!L6-'Tariffs Jul2020'!K6)*('Tariffs Jul2020'!W6/100)*'Tariffs Jul2020'!AJ6))</f>
        <v>157.50000000000003</v>
      </c>
      <c r="M12" s="59">
        <f>IF($C$5*'Tariffs Jul2020'!AL6/'Tariffs Jul2020'!AJ6&lt;'Tariffs Jul2020'!L6,0,IF($C$5*'Tariffs Jul2020'!AL6/'Tariffs Jul2020'!AJ6&lt;='Tariffs Jul2020'!M6,($C$5*'Tariffs Jul2020'!AL6/'Tariffs Jul2020'!AJ6-'Tariffs Jul2020'!L6)*('Tariffs Jul2020'!X6/100)*'Tariffs Jul2020'!AJ6,('Tariffs Jul2020'!M6-'Tariffs Jul2020'!L6)*('Tariffs Jul2020'!X6/100)*'Tariffs Jul2020'!AJ6))</f>
        <v>72.900000000000006</v>
      </c>
      <c r="N12" s="59">
        <f>IF(($C$5*'Tariffs Jul2020'!AL6/'Tariffs Jul2020'!AJ6&gt;'Tariffs Jul2020'!M6),($C$5*'Tariffs Jul2020'!AL6/'Tariffs Jul2020'!AJ6-'Tariffs Jul2020'!M6)*'Tariffs Jul2020'!Y6/100*'Tariffs Jul2020'!AJ6,0)</f>
        <v>0</v>
      </c>
      <c r="O12" s="59">
        <f t="shared" si="1"/>
        <v>1244.25</v>
      </c>
      <c r="P12" s="503">
        <f t="shared" si="2"/>
        <v>1368.6750000000002</v>
      </c>
      <c r="Q12" s="59">
        <f t="shared" si="3"/>
        <v>1435.9845</v>
      </c>
      <c r="R12" s="272">
        <f t="shared" si="4"/>
        <v>1579.5829500000002</v>
      </c>
      <c r="S12" s="40">
        <f>'Tariffs Jul2020'!AN6</f>
        <v>0</v>
      </c>
      <c r="T12" s="40">
        <f>'Tariffs Jul2020'!AO6</f>
        <v>0</v>
      </c>
      <c r="U12" s="40">
        <f>'Tariffs Jul2020'!AP6</f>
        <v>0</v>
      </c>
      <c r="V12" s="40">
        <f>'Tariffs Jul2020'!AQ6</f>
        <v>0</v>
      </c>
      <c r="W12" s="284">
        <f>Q12</f>
        <v>1435.9845</v>
      </c>
      <c r="X12" s="284">
        <f t="shared" si="0"/>
        <v>1435.9845</v>
      </c>
      <c r="Y12" s="507">
        <f t="shared" si="5"/>
        <v>1579.5829500000002</v>
      </c>
      <c r="Z12" s="507">
        <f t="shared" si="5"/>
        <v>1579.5829500000002</v>
      </c>
      <c r="AA12" s="274">
        <f>'Tariffs Jul2020'!AZ6</f>
        <v>0</v>
      </c>
      <c r="AB12" s="274" t="str">
        <f>'Tariffs Jul2020'!BA6</f>
        <v>n</v>
      </c>
      <c r="AC12" s="275" t="str">
        <f>'Tariffs Jul2020'!BJ6</f>
        <v>N</v>
      </c>
      <c r="AD12" s="511"/>
      <c r="AE12" s="511"/>
      <c r="AF12" s="513"/>
      <c r="AG12" s="546"/>
      <c r="AH12" s="546"/>
      <c r="AI12" s="546"/>
      <c r="AJ12" s="546"/>
      <c r="AK12" s="546"/>
      <c r="AL12" s="546"/>
      <c r="AM12" s="546"/>
      <c r="AN12" s="546"/>
      <c r="AO12" s="546"/>
      <c r="AP12" s="546"/>
      <c r="AQ12" s="546"/>
      <c r="AR12" s="546"/>
      <c r="AS12" s="546"/>
      <c r="AT12" s="546"/>
      <c r="AU12" s="546"/>
      <c r="AV12" s="546"/>
      <c r="AW12" s="546"/>
      <c r="AX12" s="546"/>
      <c r="AY12" s="546"/>
      <c r="AZ12" s="546"/>
    </row>
    <row r="13" spans="1:52" ht="14" x14ac:dyDescent="0.15">
      <c r="A13" s="270" t="str">
        <f>'Tariffs Jul2020'!F7</f>
        <v>EnergyAustralia</v>
      </c>
      <c r="B13" s="40" t="str">
        <f>'Tariffs Jul2020'!D7</f>
        <v>Multinet Metro 1</v>
      </c>
      <c r="C13" s="40" t="str">
        <f>'Tariffs Jul2020'!G7</f>
        <v>Total Plan</v>
      </c>
      <c r="D13" s="59">
        <f>365*'Tariffs Jul2020'!H7/100</f>
        <v>291.27</v>
      </c>
      <c r="E13" s="59">
        <f>IF($C$5*'Tariffs Jul2020'!AK7/'Tariffs Jul2020'!AI7&gt;='Tariffs Jul2020'!J7,( 'Tariffs Jul2020'!J7*'Tariffs Jul2020'!O7/100)* 'Tariffs Jul2020'!AI7,($C$5*'Tariffs Jul2020'!AK7/'Tariffs Jul2020'!AI7*'Tariffs Jul2020'!O7/100)* 'Tariffs Jul2020'!AI7)</f>
        <v>471.59999999999997</v>
      </c>
      <c r="F13" s="59">
        <f>IF($C$5*'Tariffs Jul2020'!AK7/'Tariffs Jul2020'!AI7&lt;'Tariffs Jul2020'!J7,0,IF($C$5*'Tariffs Jul2020'!AK7/'Tariffs Jul2020'!AI7&lt;='Tariffs Jul2020'!K7,($C$5*'Tariffs Jul2020'!AK7/'Tariffs Jul2020'!AI7-'Tariffs Jul2020'!J7)*('Tariffs Jul2020'!P7/100)*'Tariffs Jul2020'!AI7,('Tariffs Jul2020'!K7-'Tariffs Jul2020'!J7)*('Tariffs Jul2020'!P7/100)*'Tariffs Jul2020'!AI7))</f>
        <v>0</v>
      </c>
      <c r="G13" s="59">
        <f>IF($C$5*'Tariffs Jul2020'!AK7/'Tariffs Jul2020'!AI7&lt;'Tariffs Jul2020'!K7,0,IF($C$5*'Tariffs Jul2020'!AK7/'Tariffs Jul2020'!AI7&lt;='Tariffs Jul2020'!L7,($C$5*'Tariffs Jul2020'!AK7/'Tariffs Jul2020'!AI7-'Tariffs Jul2020'!K7)*('Tariffs Jul2020'!Q7/100)*'Tariffs Jul2020'!AI7,('Tariffs Jul2020'!L7-'Tariffs Jul2020'!K7)*('Tariffs Jul2020'!Q7/100)*'Tariffs Jul2020'!AI7))</f>
        <v>0</v>
      </c>
      <c r="H13" s="59">
        <f>IF($C$5*'Tariffs Jul2020'!AK7/'Tariffs Jul2020'!AI7&lt;'Tariffs Jul2020'!L7,0,IF($C$5*'Tariffs Jul2020'!AK7/'Tariffs Jul2020'!AI7&lt;='Tariffs Jul2020'!M7,($C$5*'Tariffs Jul2020'!AK7/'Tariffs Jul2020'!AI7-'Tariffs Jul2020'!L7)*('Tariffs Jul2020'!R7/100)*'Tariffs Jul2020'!AI7,('Tariffs Jul2020'!M7-'Tariffs Jul2020'!L7)*('Tariffs Jul2020'!R7/100)*'Tariffs Jul2020'!AI7))</f>
        <v>0</v>
      </c>
      <c r="I13" s="59">
        <f>IF(($C$5*'Tariffs Jul2020'!AK7/'Tariffs Jul2020'!AI7&gt;'Tariffs Jul2020'!M7),($C$5*'Tariffs Jul2020'!AK7/'Tariffs Jul2020'!AI7-'Tariffs Jul2020'!M7)*'Tariffs Jul2020'!S7/100*'Tariffs Jul2020'!AI7,0)</f>
        <v>255.14999999999998</v>
      </c>
      <c r="J13" s="59">
        <f>IF($C$5*'Tariffs Jul2020'!AL7/'Tariffs Jul2020'!AJ7&gt;='Tariffs Jul2020'!J7,('Tariffs Jul2020'!J7*'Tariffs Jul2020'!U7/100)* 'Tariffs Jul2020'!AJ7,($C$5*'Tariffs Jul2020'!AL7/'Tariffs Jul2020'!AJ7*'Tariffs Jul2020'!U7/100)* 'Tariffs Jul2020'!AJ7)</f>
        <v>471.59999999999997</v>
      </c>
      <c r="K13" s="59">
        <f>IF($C$5*'Tariffs Jul2020'!AL7/'Tariffs Jul2020'!AJ7&lt;'Tariffs Jul2020'!J7,0,IF($C$5*'Tariffs Jul2020'!AL7/'Tariffs Jul2020'!AJ7&lt;='Tariffs Jul2020'!K7,($C$5*'Tariffs Jul2020'!AL7/'Tariffs Jul2020'!AJ7-'Tariffs Jul2020'!J7)*('Tariffs Jul2020'!V7/100)*'Tariffs Jul2020'!AJ7,('Tariffs Jul2020'!K7-'Tariffs Jul2020'!J7)*('Tariffs Jul2020'!V7/100)*'Tariffs Jul2020'!AJ7))</f>
        <v>0</v>
      </c>
      <c r="L13" s="59">
        <f>IF($C$5*'Tariffs Jul2020'!AL7/'Tariffs Jul2020'!AJ7&lt;'Tariffs Jul2020'!K7,0,IF($C$5*'Tariffs Jul2020'!AL7/'Tariffs Jul2020'!AJ7&lt;='Tariffs Jul2020'!L7,($C$5*'Tariffs Jul2020'!AL7/'Tariffs Jul2020'!AJ7-'Tariffs Jul2020'!K7)*('Tariffs Jul2020'!W7/100)*'Tariffs Jul2020'!AJ7,('Tariffs Jul2020'!L7-'Tariffs Jul2020'!K7)*('Tariffs Jul2020'!W7/100)*'Tariffs Jul2020'!AJ7))</f>
        <v>0</v>
      </c>
      <c r="M13" s="59">
        <f>IF($C$5*'Tariffs Jul2020'!AL7/'Tariffs Jul2020'!AJ7&lt;'Tariffs Jul2020'!L7,0,IF($C$5*'Tariffs Jul2020'!AL7/'Tariffs Jul2020'!AJ7&lt;='Tariffs Jul2020'!M7,($C$5*'Tariffs Jul2020'!AL7/'Tariffs Jul2020'!AJ7-'Tariffs Jul2020'!L7)*('Tariffs Jul2020'!X7/100)*'Tariffs Jul2020'!AJ7,('Tariffs Jul2020'!M7-'Tariffs Jul2020'!L7)*('Tariffs Jul2020'!X7/100)*'Tariffs Jul2020'!AJ7))</f>
        <v>0</v>
      </c>
      <c r="N13" s="59">
        <f>IF(($C$5*'Tariffs Jul2020'!AL7/'Tariffs Jul2020'!AJ7&gt;'Tariffs Jul2020'!M7),($C$5*'Tariffs Jul2020'!AL7/'Tariffs Jul2020'!AJ7-'Tariffs Jul2020'!M7)*'Tariffs Jul2020'!Y7/100*'Tariffs Jul2020'!AJ7,0)</f>
        <v>255.14999999999998</v>
      </c>
      <c r="O13" s="59">
        <f>SUM(E13:N13)</f>
        <v>1453.5</v>
      </c>
      <c r="P13" s="503">
        <f t="shared" si="2"/>
        <v>1598.8500000000001</v>
      </c>
      <c r="Q13" s="59">
        <f>D13+O13</f>
        <v>1744.77</v>
      </c>
      <c r="R13" s="272">
        <f t="shared" si="4"/>
        <v>1919.2470000000001</v>
      </c>
      <c r="S13" s="40">
        <f>'Tariffs Jul2020'!AN7</f>
        <v>23</v>
      </c>
      <c r="T13" s="40">
        <f>'Tariffs Jul2020'!AO7</f>
        <v>0</v>
      </c>
      <c r="U13" s="40">
        <f>'Tariffs Jul2020'!AP7</f>
        <v>0</v>
      </c>
      <c r="V13" s="40">
        <f>'Tariffs Jul2020'!AQ7</f>
        <v>0</v>
      </c>
      <c r="W13" s="284">
        <f>Q13-(Q13*S13/100)</f>
        <v>1343.4729</v>
      </c>
      <c r="X13" s="284">
        <f t="shared" si="0"/>
        <v>1343.4729</v>
      </c>
      <c r="Y13" s="507">
        <f t="shared" si="5"/>
        <v>1477.8201900000001</v>
      </c>
      <c r="Z13" s="507">
        <f t="shared" si="5"/>
        <v>1477.8201900000001</v>
      </c>
      <c r="AA13" s="274">
        <f>'Tariffs Jul2020'!AZ7</f>
        <v>12</v>
      </c>
      <c r="AB13" s="274" t="str">
        <f>'Tariffs Jul2020'!BA7</f>
        <v>n</v>
      </c>
      <c r="AC13" s="275" t="str">
        <f>'Tariffs Jul2020'!BJ7</f>
        <v>N</v>
      </c>
      <c r="AD13" s="511"/>
      <c r="AE13" s="511"/>
      <c r="AF13" s="513"/>
      <c r="AG13" s="546"/>
      <c r="AH13" s="546"/>
      <c r="AI13" s="546"/>
      <c r="AJ13" s="546"/>
      <c r="AK13" s="546"/>
      <c r="AL13" s="546"/>
      <c r="AM13" s="546"/>
      <c r="AN13" s="546"/>
      <c r="AO13" s="546"/>
      <c r="AP13" s="546"/>
      <c r="AQ13" s="546"/>
      <c r="AR13" s="546"/>
      <c r="AS13" s="546"/>
      <c r="AT13" s="546"/>
      <c r="AU13" s="546"/>
      <c r="AV13" s="546"/>
      <c r="AW13" s="546"/>
      <c r="AX13" s="546"/>
      <c r="AY13" s="546"/>
      <c r="AZ13" s="546"/>
    </row>
    <row r="14" spans="1:52" ht="14" x14ac:dyDescent="0.15">
      <c r="A14" s="270" t="str">
        <f>'Tariffs Jul2020'!F8</f>
        <v>Lumo Energy</v>
      </c>
      <c r="B14" s="40" t="str">
        <f>'Tariffs Jul2020'!D8</f>
        <v>Multinet Metro 1</v>
      </c>
      <c r="C14" s="40" t="str">
        <f>'Tariffs Jul2020'!G8</f>
        <v>Basic</v>
      </c>
      <c r="D14" s="59">
        <f>365*'Tariffs Jul2020'!H8/100</f>
        <v>230.13249999999999</v>
      </c>
      <c r="E14" s="59">
        <f>IF($C$5*'Tariffs Jul2020'!AK8/'Tariffs Jul2020'!AI8&gt;='Tariffs Jul2020'!J8,( 'Tariffs Jul2020'!J8*'Tariffs Jul2020'!O8/100)* 'Tariffs Jul2020'!AI8,($C$5*'Tariffs Jul2020'!AK8/'Tariffs Jul2020'!AI8*'Tariffs Jul2020'!O8/100)* 'Tariffs Jul2020'!AI8)</f>
        <v>183.60000000000002</v>
      </c>
      <c r="F14" s="59">
        <f>IF($C$5*'Tariffs Jul2020'!AK8/'Tariffs Jul2020'!AI8&lt;'Tariffs Jul2020'!J8,0,IF($C$5*'Tariffs Jul2020'!AK8/'Tariffs Jul2020'!AI8&lt;='Tariffs Jul2020'!K8,($C$5*'Tariffs Jul2020'!AK8/'Tariffs Jul2020'!AI8-'Tariffs Jul2020'!J8)*('Tariffs Jul2020'!P8/100)*'Tariffs Jul2020'!AI8,('Tariffs Jul2020'!K8-'Tariffs Jul2020'!J8)*('Tariffs Jul2020'!P8/100)*'Tariffs Jul2020'!AI8))</f>
        <v>170.10000000000002</v>
      </c>
      <c r="G14" s="59">
        <f>IF($C$5*'Tariffs Jul2020'!AK8/'Tariffs Jul2020'!AI8&lt;'Tariffs Jul2020'!K8,0,IF($C$5*'Tariffs Jul2020'!AK8/'Tariffs Jul2020'!AI8&lt;='Tariffs Jul2020'!L8,($C$5*'Tariffs Jul2020'!AK8/'Tariffs Jul2020'!AI8-'Tariffs Jul2020'!K8)*('Tariffs Jul2020'!Q8/100)*'Tariffs Jul2020'!AI8,('Tariffs Jul2020'!L8-'Tariffs Jul2020'!K8)*('Tariffs Jul2020'!Q8/100)*'Tariffs Jul2020'!AI8))</f>
        <v>157.50000000000003</v>
      </c>
      <c r="H14" s="59">
        <f>IF($C$5*'Tariffs Jul2020'!AK8/'Tariffs Jul2020'!AI8&lt;'Tariffs Jul2020'!L8,0,IF($C$5*'Tariffs Jul2020'!AK8/'Tariffs Jul2020'!AI8&lt;='Tariffs Jul2020'!M8,($C$5*'Tariffs Jul2020'!AK8/'Tariffs Jul2020'!AI8-'Tariffs Jul2020'!L8)*('Tariffs Jul2020'!R8/100)*'Tariffs Jul2020'!AI8,('Tariffs Jul2020'!M8-'Tariffs Jul2020'!L8)*('Tariffs Jul2020'!R8/100)*'Tariffs Jul2020'!AI8))</f>
        <v>70.650000000000006</v>
      </c>
      <c r="I14" s="59">
        <f>IF(($C$5*'Tariffs Jul2020'!AK8/'Tariffs Jul2020'!AI8&gt;'Tariffs Jul2020'!M8),($C$5*'Tariffs Jul2020'!AK8/'Tariffs Jul2020'!AI8-'Tariffs Jul2020'!M8)*'Tariffs Jul2020'!S8/100*'Tariffs Jul2020'!AI8,0)</f>
        <v>0</v>
      </c>
      <c r="J14" s="59">
        <f>IF($C$5*'Tariffs Jul2020'!AL8/'Tariffs Jul2020'!AJ8&gt;='Tariffs Jul2020'!J8,('Tariffs Jul2020'!J8*'Tariffs Jul2020'!U8/100)* 'Tariffs Jul2020'!AJ8,($C$5*'Tariffs Jul2020'!AL8/'Tariffs Jul2020'!AJ8*'Tariffs Jul2020'!U8/100)* 'Tariffs Jul2020'!AJ8)</f>
        <v>169.2</v>
      </c>
      <c r="K14" s="59">
        <f>IF($C$5*'Tariffs Jul2020'!AL8/'Tariffs Jul2020'!AJ8&lt;'Tariffs Jul2020'!J8,0,IF($C$5*'Tariffs Jul2020'!AL8/'Tariffs Jul2020'!AJ8&lt;='Tariffs Jul2020'!K8,($C$5*'Tariffs Jul2020'!AL8/'Tariffs Jul2020'!AJ8-'Tariffs Jul2020'!J8)*('Tariffs Jul2020'!V8/100)*'Tariffs Jul2020'!AJ8,('Tariffs Jul2020'!K8-'Tariffs Jul2020'!J8)*('Tariffs Jul2020'!V8/100)*'Tariffs Jul2020'!AJ8))</f>
        <v>160.19999999999999</v>
      </c>
      <c r="L14" s="59">
        <f>IF($C$5*'Tariffs Jul2020'!AL8/'Tariffs Jul2020'!AJ8&lt;'Tariffs Jul2020'!K8,0,IF($C$5*'Tariffs Jul2020'!AL8/'Tariffs Jul2020'!AJ8&lt;='Tariffs Jul2020'!L8,($C$5*'Tariffs Jul2020'!AL8/'Tariffs Jul2020'!AJ8-'Tariffs Jul2020'!K8)*('Tariffs Jul2020'!W8/100)*'Tariffs Jul2020'!AJ8,('Tariffs Jul2020'!L8-'Tariffs Jul2020'!K8)*('Tariffs Jul2020'!W8/100)*'Tariffs Jul2020'!AJ8))</f>
        <v>148.5</v>
      </c>
      <c r="M14" s="59">
        <f>IF($C$5*'Tariffs Jul2020'!AL8/'Tariffs Jul2020'!AJ8&lt;'Tariffs Jul2020'!L8,0,IF($C$5*'Tariffs Jul2020'!AL8/'Tariffs Jul2020'!AJ8&lt;='Tariffs Jul2020'!M8,($C$5*'Tariffs Jul2020'!AL8/'Tariffs Jul2020'!AJ8-'Tariffs Jul2020'!L8)*('Tariffs Jul2020'!X8/100)*'Tariffs Jul2020'!AJ8,('Tariffs Jul2020'!M8-'Tariffs Jul2020'!L8)*('Tariffs Jul2020'!X8/100)*'Tariffs Jul2020'!AJ8))</f>
        <v>69.75</v>
      </c>
      <c r="N14" s="59">
        <f>IF(($C$5*'Tariffs Jul2020'!AL8/'Tariffs Jul2020'!AJ8&gt;'Tariffs Jul2020'!M8),($C$5*'Tariffs Jul2020'!AL8/'Tariffs Jul2020'!AJ8-'Tariffs Jul2020'!M8)*'Tariffs Jul2020'!Y8/100*'Tariffs Jul2020'!AJ8,0)</f>
        <v>0</v>
      </c>
      <c r="O14" s="59">
        <f t="shared" si="1"/>
        <v>1129.5</v>
      </c>
      <c r="P14" s="503">
        <f t="shared" si="2"/>
        <v>1242.45</v>
      </c>
      <c r="Q14" s="59">
        <f t="shared" si="3"/>
        <v>1359.6324999999999</v>
      </c>
      <c r="R14" s="272">
        <f t="shared" si="4"/>
        <v>1495.59575</v>
      </c>
      <c r="S14" s="40">
        <f>'Tariffs Jul2020'!AN8</f>
        <v>0</v>
      </c>
      <c r="T14" s="40">
        <f>'Tariffs Jul2020'!AO8</f>
        <v>0</v>
      </c>
      <c r="U14" s="40">
        <f>'Tariffs Jul2020'!AP8</f>
        <v>0</v>
      </c>
      <c r="V14" s="40">
        <f>'Tariffs Jul2020'!AQ8</f>
        <v>0</v>
      </c>
      <c r="W14" s="284">
        <f>Q14</f>
        <v>1359.6324999999999</v>
      </c>
      <c r="X14" s="284">
        <f t="shared" si="0"/>
        <v>1359.6324999999999</v>
      </c>
      <c r="Y14" s="507">
        <f t="shared" si="5"/>
        <v>1495.59575</v>
      </c>
      <c r="Z14" s="507">
        <f t="shared" si="5"/>
        <v>1495.59575</v>
      </c>
      <c r="AA14" s="274">
        <f>'Tariffs Jul2020'!AZ8</f>
        <v>0</v>
      </c>
      <c r="AB14" s="274" t="str">
        <f>'Tariffs Jul2020'!BA8</f>
        <v>n</v>
      </c>
      <c r="AC14" s="275" t="str">
        <f>'Tariffs Jul2020'!BJ8</f>
        <v>N</v>
      </c>
      <c r="AD14" s="511"/>
      <c r="AE14" s="511"/>
      <c r="AF14" s="513"/>
      <c r="AG14" s="546"/>
      <c r="AH14" s="546"/>
      <c r="AI14" s="546"/>
      <c r="AJ14" s="546"/>
      <c r="AK14" s="546"/>
      <c r="AL14" s="546"/>
      <c r="AM14" s="546"/>
      <c r="AN14" s="546"/>
      <c r="AO14" s="546"/>
      <c r="AP14" s="546"/>
      <c r="AQ14" s="546"/>
      <c r="AR14" s="546"/>
      <c r="AS14" s="546"/>
      <c r="AT14" s="546"/>
      <c r="AU14" s="546"/>
      <c r="AV14" s="546"/>
      <c r="AW14" s="546"/>
      <c r="AX14" s="546"/>
      <c r="AY14" s="546"/>
      <c r="AZ14" s="546"/>
    </row>
    <row r="15" spans="1:52" ht="14" x14ac:dyDescent="0.15">
      <c r="A15" s="270" t="str">
        <f>'Tariffs Jul2020'!F9</f>
        <v>Momentum Energy</v>
      </c>
      <c r="B15" s="40" t="str">
        <f>'Tariffs Jul2020'!D9</f>
        <v>Multinet Metro 1</v>
      </c>
      <c r="C15" s="40" t="str">
        <f>'Tariffs Jul2020'!G9</f>
        <v>Market offer</v>
      </c>
      <c r="D15" s="59">
        <f>365*'Tariffs Jul2020'!H9/100</f>
        <v>296.52600000000001</v>
      </c>
      <c r="E15" s="59">
        <f>IF($C$5*'Tariffs Jul2020'!AK9/'Tariffs Jul2020'!AI9&gt;='Tariffs Jul2020'!J9,( 'Tariffs Jul2020'!J9*'Tariffs Jul2020'!O9/100)* 'Tariffs Jul2020'!AI9,($C$5*'Tariffs Jul2020'!AK9/'Tariffs Jul2020'!AI9*'Tariffs Jul2020'!O9/100)* 'Tariffs Jul2020'!AI9)</f>
        <v>207.89999999999998</v>
      </c>
      <c r="F15" s="59">
        <f>IF($C$5*'Tariffs Jul2020'!AK9/'Tariffs Jul2020'!AI9&lt;'Tariffs Jul2020'!J9,0,IF($C$5*'Tariffs Jul2020'!AK9/'Tariffs Jul2020'!AI9&lt;='Tariffs Jul2020'!K9,($C$5*'Tariffs Jul2020'!AK9/'Tariffs Jul2020'!AI9-'Tariffs Jul2020'!J9)*('Tariffs Jul2020'!P9/100)*'Tariffs Jul2020'!AI9,('Tariffs Jul2020'!K9-'Tariffs Jul2020'!J9)*('Tariffs Jul2020'!P9/100)*'Tariffs Jul2020'!AI9))</f>
        <v>189.89999999999998</v>
      </c>
      <c r="G15" s="59">
        <f>IF($C$5*'Tariffs Jul2020'!AK9/'Tariffs Jul2020'!AI9&lt;'Tariffs Jul2020'!K9,0,IF($C$5*'Tariffs Jul2020'!AK9/'Tariffs Jul2020'!AI9&lt;='Tariffs Jul2020'!L9,($C$5*'Tariffs Jul2020'!AK9/'Tariffs Jul2020'!AI9-'Tariffs Jul2020'!K9)*('Tariffs Jul2020'!Q9/100)*'Tariffs Jul2020'!AI9,('Tariffs Jul2020'!L9-'Tariffs Jul2020'!K9)*('Tariffs Jul2020'!Q9/100)*'Tariffs Jul2020'!AI9))</f>
        <v>167.4</v>
      </c>
      <c r="H15" s="59">
        <f>IF($C$5*'Tariffs Jul2020'!AK9/'Tariffs Jul2020'!AI9&lt;'Tariffs Jul2020'!L9,0,IF($C$5*'Tariffs Jul2020'!AK9/'Tariffs Jul2020'!AI9&lt;='Tariffs Jul2020'!M9,($C$5*'Tariffs Jul2020'!AK9/'Tariffs Jul2020'!AI9-'Tariffs Jul2020'!L9)*('Tariffs Jul2020'!R9/100)*'Tariffs Jul2020'!AI9,('Tariffs Jul2020'!M9-'Tariffs Jul2020'!L9)*('Tariffs Jul2020'!R9/100)*'Tariffs Jul2020'!AI9))</f>
        <v>78.3</v>
      </c>
      <c r="I15" s="59">
        <f>IF(($C$5*'Tariffs Jul2020'!AK9/'Tariffs Jul2020'!AI9&gt;'Tariffs Jul2020'!M9),($C$5*'Tariffs Jul2020'!AK9/'Tariffs Jul2020'!AI9-'Tariffs Jul2020'!M9)*'Tariffs Jul2020'!S9/100*'Tariffs Jul2020'!AI9,0)</f>
        <v>0</v>
      </c>
      <c r="J15" s="59">
        <f>IF($C$5*'Tariffs Jul2020'!AL9/'Tariffs Jul2020'!AJ9&gt;='Tariffs Jul2020'!J9,('Tariffs Jul2020'!J9*'Tariffs Jul2020'!U9/100)* 'Tariffs Jul2020'!AJ9,($C$5*'Tariffs Jul2020'!AL9/'Tariffs Jul2020'!AJ9*'Tariffs Jul2020'!U9/100)* 'Tariffs Jul2020'!AJ9)</f>
        <v>193.5</v>
      </c>
      <c r="K15" s="59">
        <f>IF($C$5*'Tariffs Jul2020'!AL9/'Tariffs Jul2020'!AJ9&lt;'Tariffs Jul2020'!J9,0,IF($C$5*'Tariffs Jul2020'!AL9/'Tariffs Jul2020'!AJ9&lt;='Tariffs Jul2020'!K9,($C$5*'Tariffs Jul2020'!AL9/'Tariffs Jul2020'!AJ9-'Tariffs Jul2020'!J9)*('Tariffs Jul2020'!V9/100)*'Tariffs Jul2020'!AJ9,('Tariffs Jul2020'!K9-'Tariffs Jul2020'!J9)*('Tariffs Jul2020'!V9/100)*'Tariffs Jul2020'!AJ9))</f>
        <v>177.29999999999998</v>
      </c>
      <c r="L15" s="59">
        <f>IF($C$5*'Tariffs Jul2020'!AL9/'Tariffs Jul2020'!AJ9&lt;'Tariffs Jul2020'!K9,0,IF($C$5*'Tariffs Jul2020'!AL9/'Tariffs Jul2020'!AJ9&lt;='Tariffs Jul2020'!L9,($C$5*'Tariffs Jul2020'!AL9/'Tariffs Jul2020'!AJ9-'Tariffs Jul2020'!K9)*('Tariffs Jul2020'!W9/100)*'Tariffs Jul2020'!AJ9,('Tariffs Jul2020'!L9-'Tariffs Jul2020'!K9)*('Tariffs Jul2020'!W9/100)*'Tariffs Jul2020'!AJ9))</f>
        <v>159.30000000000001</v>
      </c>
      <c r="M15" s="59">
        <f>IF($C$5*'Tariffs Jul2020'!AL9/'Tariffs Jul2020'!AJ9&lt;'Tariffs Jul2020'!L9,0,IF($C$5*'Tariffs Jul2020'!AL9/'Tariffs Jul2020'!AJ9&lt;='Tariffs Jul2020'!M9,($C$5*'Tariffs Jul2020'!AL9/'Tariffs Jul2020'!AJ9-'Tariffs Jul2020'!L9)*('Tariffs Jul2020'!X9/100)*'Tariffs Jul2020'!AJ9,('Tariffs Jul2020'!M9-'Tariffs Jul2020'!L9)*('Tariffs Jul2020'!X9/100)*'Tariffs Jul2020'!AJ9))</f>
        <v>74.699999999999989</v>
      </c>
      <c r="N15" s="59">
        <f>IF(($C$5*'Tariffs Jul2020'!AL9/'Tariffs Jul2020'!AJ9&gt;'Tariffs Jul2020'!M9),($C$5*'Tariffs Jul2020'!AL9/'Tariffs Jul2020'!AJ9-'Tariffs Jul2020'!M9)*'Tariffs Jul2020'!Y9/100*'Tariffs Jul2020'!AJ9,0)</f>
        <v>0</v>
      </c>
      <c r="O15" s="59">
        <f t="shared" si="1"/>
        <v>1248.3</v>
      </c>
      <c r="P15" s="503">
        <f t="shared" si="2"/>
        <v>1373.13</v>
      </c>
      <c r="Q15" s="59">
        <f t="shared" si="3"/>
        <v>1544.826</v>
      </c>
      <c r="R15" s="272">
        <f t="shared" si="4"/>
        <v>1699.3086000000001</v>
      </c>
      <c r="S15" s="40">
        <f>'Tariffs Jul2020'!AN9</f>
        <v>0</v>
      </c>
      <c r="T15" s="40">
        <f>'Tariffs Jul2020'!AO9</f>
        <v>0</v>
      </c>
      <c r="U15" s="40">
        <f>'Tariffs Jul2020'!AP9</f>
        <v>0</v>
      </c>
      <c r="V15" s="40">
        <f>'Tariffs Jul2020'!AQ9</f>
        <v>0</v>
      </c>
      <c r="W15" s="284">
        <f t="shared" ref="W15:W19" si="6">Q15</f>
        <v>1544.826</v>
      </c>
      <c r="X15" s="284">
        <f t="shared" si="0"/>
        <v>1544.826</v>
      </c>
      <c r="Y15" s="507">
        <f t="shared" si="5"/>
        <v>1699.3086000000001</v>
      </c>
      <c r="Z15" s="507">
        <f t="shared" si="5"/>
        <v>1699.3086000000001</v>
      </c>
      <c r="AA15" s="274">
        <f>'Tariffs Jul2020'!AZ9</f>
        <v>0</v>
      </c>
      <c r="AB15" s="274" t="str">
        <f>'Tariffs Jul2020'!BA9</f>
        <v>n</v>
      </c>
      <c r="AC15" s="275" t="str">
        <f>'Tariffs Jul2020'!BJ9</f>
        <v>N</v>
      </c>
      <c r="AD15" s="511"/>
      <c r="AE15" s="511"/>
      <c r="AF15" s="513"/>
      <c r="AG15" s="546"/>
      <c r="AH15" s="546"/>
      <c r="AI15" s="546"/>
      <c r="AJ15" s="546"/>
      <c r="AK15" s="546"/>
      <c r="AL15" s="546"/>
      <c r="AM15" s="546"/>
      <c r="AN15" s="546"/>
      <c r="AO15" s="546"/>
      <c r="AP15" s="546"/>
      <c r="AQ15" s="546"/>
      <c r="AR15" s="546"/>
      <c r="AS15" s="546"/>
      <c r="AT15" s="546"/>
      <c r="AU15" s="546"/>
      <c r="AV15" s="546"/>
      <c r="AW15" s="546"/>
      <c r="AX15" s="546"/>
      <c r="AY15" s="546"/>
      <c r="AZ15" s="546"/>
    </row>
    <row r="16" spans="1:52" ht="14" x14ac:dyDescent="0.15">
      <c r="A16" s="270" t="str">
        <f>'Tariffs Jul2020'!F10</f>
        <v>Origin Energy</v>
      </c>
      <c r="B16" s="40" t="str">
        <f>'Tariffs Jul2020'!D10</f>
        <v>Multinet Metro 1</v>
      </c>
      <c r="C16" s="40" t="str">
        <f>'Tariffs Jul2020'!G10</f>
        <v>Flexi</v>
      </c>
      <c r="D16" s="59">
        <f>365*'Tariffs Jul2020'!H10/100</f>
        <v>255.5</v>
      </c>
      <c r="E16" s="59">
        <f>IF($C$5*'Tariffs Jul2020'!AK10/'Tariffs Jul2020'!AI10&gt;='Tariffs Jul2020'!J10,( 'Tariffs Jul2020'!J10*'Tariffs Jul2020'!O10/100)* 'Tariffs Jul2020'!AI10,($C$5*'Tariffs Jul2020'!AK10/'Tariffs Jul2020'!AI10*'Tariffs Jul2020'!O10/100)* 'Tariffs Jul2020'!AI10)</f>
        <v>432</v>
      </c>
      <c r="F16" s="59">
        <f>IF($C$5*'Tariffs Jul2020'!AK10/'Tariffs Jul2020'!AI10&lt;'Tariffs Jul2020'!J10,0,IF($C$5*'Tariffs Jul2020'!AK10/'Tariffs Jul2020'!AI10&lt;='Tariffs Jul2020'!K10,($C$5*'Tariffs Jul2020'!AK10/'Tariffs Jul2020'!AI10-'Tariffs Jul2020'!J10)*('Tariffs Jul2020'!P10/100)*'Tariffs Jul2020'!AI10,('Tariffs Jul2020'!K10-'Tariffs Jul2020'!J10)*('Tariffs Jul2020'!P10/100)*'Tariffs Jul2020'!AI10))</f>
        <v>175.5</v>
      </c>
      <c r="G16" s="59">
        <f>IF($C$5*'Tariffs Jul2020'!AK10/'Tariffs Jul2020'!AI10&lt;'Tariffs Jul2020'!K10,0,IF($C$5*'Tariffs Jul2020'!AK10/'Tariffs Jul2020'!AI10&lt;='Tariffs Jul2020'!L10,($C$5*'Tariffs Jul2020'!AK10/'Tariffs Jul2020'!AI10-'Tariffs Jul2020'!K10)*('Tariffs Jul2020'!Q10/100)*'Tariffs Jul2020'!AI10,('Tariffs Jul2020'!L10-'Tariffs Jul2020'!K10)*('Tariffs Jul2020'!Q10/100)*'Tariffs Jul2020'!AI10))</f>
        <v>0</v>
      </c>
      <c r="H16" s="59">
        <f>IF($C$5*'Tariffs Jul2020'!AK10/'Tariffs Jul2020'!AI10&lt;'Tariffs Jul2020'!L10,0,IF($C$5*'Tariffs Jul2020'!AK10/'Tariffs Jul2020'!AI10&lt;='Tariffs Jul2020'!M10,($C$5*'Tariffs Jul2020'!AK10/'Tariffs Jul2020'!AI10-'Tariffs Jul2020'!L10)*('Tariffs Jul2020'!R10/100)*'Tariffs Jul2020'!AI10,('Tariffs Jul2020'!M10-'Tariffs Jul2020'!L10)*('Tariffs Jul2020'!R10/100)*'Tariffs Jul2020'!AI10))</f>
        <v>0</v>
      </c>
      <c r="I16" s="59">
        <f>IF(($C$5*'Tariffs Jul2020'!AK10/'Tariffs Jul2020'!AI10&gt;'Tariffs Jul2020'!M10),($C$5*'Tariffs Jul2020'!AK10/'Tariffs Jul2020'!AI10-'Tariffs Jul2020'!M10)*'Tariffs Jul2020'!S10/100*'Tariffs Jul2020'!AI10,0)</f>
        <v>65.25</v>
      </c>
      <c r="J16" s="59">
        <f>IF($C$5*'Tariffs Jul2020'!AL10/'Tariffs Jul2020'!AJ10&gt;='Tariffs Jul2020'!J10,('Tariffs Jul2020'!J10*'Tariffs Jul2020'!U10/100)* 'Tariffs Jul2020'!AJ10,($C$5*'Tariffs Jul2020'!AL10/'Tariffs Jul2020'!AJ10*'Tariffs Jul2020'!U10/100)* 'Tariffs Jul2020'!AJ10)</f>
        <v>396.00000000000011</v>
      </c>
      <c r="K16" s="59">
        <f>IF($C$5*'Tariffs Jul2020'!AL10/'Tariffs Jul2020'!AJ10&lt;'Tariffs Jul2020'!J10,0,IF($C$5*'Tariffs Jul2020'!AL10/'Tariffs Jul2020'!AJ10&lt;='Tariffs Jul2020'!K10,($C$5*'Tariffs Jul2020'!AL10/'Tariffs Jul2020'!AJ10-'Tariffs Jul2020'!J10)*('Tariffs Jul2020'!V10/100)*'Tariffs Jul2020'!AJ10,('Tariffs Jul2020'!K10-'Tariffs Jul2020'!J10)*('Tariffs Jul2020'!V10/100)*'Tariffs Jul2020'!AJ10))</f>
        <v>157.50000000000003</v>
      </c>
      <c r="L16" s="59">
        <f>IF($C$5*'Tariffs Jul2020'!AL10/'Tariffs Jul2020'!AJ10&lt;'Tariffs Jul2020'!K10,0,IF($C$5*'Tariffs Jul2020'!AL10/'Tariffs Jul2020'!AJ10&lt;='Tariffs Jul2020'!L10,($C$5*'Tariffs Jul2020'!AL10/'Tariffs Jul2020'!AJ10-'Tariffs Jul2020'!K10)*('Tariffs Jul2020'!W10/100)*'Tariffs Jul2020'!AJ10,('Tariffs Jul2020'!L10-'Tariffs Jul2020'!K10)*('Tariffs Jul2020'!W10/100)*'Tariffs Jul2020'!AJ10))</f>
        <v>0</v>
      </c>
      <c r="M16" s="59">
        <f>IF($C$5*'Tariffs Jul2020'!AL10/'Tariffs Jul2020'!AJ10&lt;'Tariffs Jul2020'!L10,0,IF($C$5*'Tariffs Jul2020'!AL10/'Tariffs Jul2020'!AJ10&lt;='Tariffs Jul2020'!M10,($C$5*'Tariffs Jul2020'!AL10/'Tariffs Jul2020'!AJ10-'Tariffs Jul2020'!L10)*('Tariffs Jul2020'!X10/100)*'Tariffs Jul2020'!AJ10,('Tariffs Jul2020'!M10-'Tariffs Jul2020'!L10)*('Tariffs Jul2020'!X10/100)*'Tariffs Jul2020'!AJ10))</f>
        <v>0</v>
      </c>
      <c r="N16" s="59">
        <f>IF(($C$5*'Tariffs Jul2020'!AL10/'Tariffs Jul2020'!AJ10&gt;'Tariffs Jul2020'!M10),($C$5*'Tariffs Jul2020'!AL10/'Tariffs Jul2020'!AJ10-'Tariffs Jul2020'!M10)*'Tariffs Jul2020'!Y10/100*'Tariffs Jul2020'!AJ10,0)</f>
        <v>60.750000000000014</v>
      </c>
      <c r="O16" s="59">
        <f t="shared" si="1"/>
        <v>1287</v>
      </c>
      <c r="P16" s="503">
        <f t="shared" si="2"/>
        <v>1415.7</v>
      </c>
      <c r="Q16" s="59">
        <f t="shared" si="3"/>
        <v>1542.5</v>
      </c>
      <c r="R16" s="272">
        <f t="shared" si="4"/>
        <v>1696.7500000000002</v>
      </c>
      <c r="S16" s="40">
        <f>'Tariffs Jul2020'!AN10</f>
        <v>11</v>
      </c>
      <c r="T16" s="40">
        <f>'Tariffs Jul2020'!AO10</f>
        <v>0</v>
      </c>
      <c r="U16" s="40">
        <f>'Tariffs Jul2020'!AP10</f>
        <v>0</v>
      </c>
      <c r="V16" s="40">
        <f>'Tariffs Jul2020'!AQ10</f>
        <v>0</v>
      </c>
      <c r="W16" s="284">
        <f>R16-(R16*S16/100)</f>
        <v>1510.1075000000001</v>
      </c>
      <c r="X16" s="284">
        <f t="shared" si="0"/>
        <v>1510.1075000000001</v>
      </c>
      <c r="Y16" s="507">
        <f>W16</f>
        <v>1510.1075000000001</v>
      </c>
      <c r="Z16" s="507">
        <f>X16</f>
        <v>1510.1075000000001</v>
      </c>
      <c r="AA16" s="274">
        <f>'Tariffs Jul2020'!AZ10</f>
        <v>0</v>
      </c>
      <c r="AB16" s="274" t="str">
        <f>'Tariffs Jul2020'!BA10</f>
        <v>n</v>
      </c>
      <c r="AC16" s="275" t="str">
        <f>'Tariffs Jul2020'!BJ10</f>
        <v>N</v>
      </c>
      <c r="AD16" s="511"/>
      <c r="AE16" s="511"/>
      <c r="AF16" s="513"/>
      <c r="AG16" s="546"/>
      <c r="AH16" s="546"/>
      <c r="AI16" s="546"/>
      <c r="AJ16" s="546"/>
      <c r="AK16" s="546"/>
      <c r="AL16" s="546"/>
      <c r="AM16" s="546"/>
      <c r="AN16" s="546"/>
      <c r="AO16" s="546"/>
      <c r="AP16" s="546"/>
      <c r="AQ16" s="546"/>
      <c r="AR16" s="546"/>
      <c r="AS16" s="546"/>
      <c r="AT16" s="546"/>
      <c r="AU16" s="546"/>
      <c r="AV16" s="546"/>
      <c r="AW16" s="546"/>
      <c r="AX16" s="546"/>
      <c r="AY16" s="546"/>
      <c r="AZ16" s="546"/>
    </row>
    <row r="17" spans="1:52" ht="14" x14ac:dyDescent="0.15">
      <c r="A17" s="270" t="str">
        <f>'Tariffs Jul2020'!F11</f>
        <v>Red Energy</v>
      </c>
      <c r="B17" s="40" t="str">
        <f>'Tariffs Jul2020'!D11</f>
        <v>Multinet Metro 1</v>
      </c>
      <c r="C17" s="40" t="str">
        <f>'Tariffs Jul2020'!G11</f>
        <v>Living Energy Saver</v>
      </c>
      <c r="D17" s="59">
        <f>365*'Tariffs Jul2020'!H11/100</f>
        <v>239.148</v>
      </c>
      <c r="E17" s="59">
        <f>IF($C$5*'Tariffs Jul2020'!AK11/'Tariffs Jul2020'!AI11&gt;='Tariffs Jul2020'!J11,( 'Tariffs Jul2020'!J11*'Tariffs Jul2020'!O11/100)* 'Tariffs Jul2020'!AI11,($C$5*'Tariffs Jul2020'!AK11/'Tariffs Jul2020'!AI11*'Tariffs Jul2020'!O11/100)* 'Tariffs Jul2020'!AI11)</f>
        <v>185.39999999999998</v>
      </c>
      <c r="F17" s="59">
        <f>IF($C$5*'Tariffs Jul2020'!AK11/'Tariffs Jul2020'!AI11&lt;'Tariffs Jul2020'!J11,0,IF($C$5*'Tariffs Jul2020'!AK11/'Tariffs Jul2020'!AI11&lt;='Tariffs Jul2020'!K11,($C$5*'Tariffs Jul2020'!AK11/'Tariffs Jul2020'!AI11-'Tariffs Jul2020'!J11)*('Tariffs Jul2020'!P11/100)*'Tariffs Jul2020'!AI11,('Tariffs Jul2020'!K11-'Tariffs Jul2020'!J11)*('Tariffs Jul2020'!P11/100)*'Tariffs Jul2020'!AI11))</f>
        <v>174.60000000000002</v>
      </c>
      <c r="G17" s="59">
        <f>IF($C$5*'Tariffs Jul2020'!AK11/'Tariffs Jul2020'!AI11&lt;'Tariffs Jul2020'!K11,0,IF($C$5*'Tariffs Jul2020'!AK11/'Tariffs Jul2020'!AI11&lt;='Tariffs Jul2020'!L11,($C$5*'Tariffs Jul2020'!AK11/'Tariffs Jul2020'!AI11-'Tariffs Jul2020'!K11)*('Tariffs Jul2020'!Q11/100)*'Tariffs Jul2020'!AI11,('Tariffs Jul2020'!L11-'Tariffs Jul2020'!K11)*('Tariffs Jul2020'!Q11/100)*'Tariffs Jul2020'!AI11))</f>
        <v>153.9</v>
      </c>
      <c r="H17" s="59">
        <f>IF($C$5*'Tariffs Jul2020'!AK11/'Tariffs Jul2020'!AI11&lt;'Tariffs Jul2020'!L11,0,IF($C$5*'Tariffs Jul2020'!AK11/'Tariffs Jul2020'!AI11&lt;='Tariffs Jul2020'!M11,($C$5*'Tariffs Jul2020'!AK11/'Tariffs Jul2020'!AI11-'Tariffs Jul2020'!L11)*('Tariffs Jul2020'!R11/100)*'Tariffs Jul2020'!AI11,('Tariffs Jul2020'!M11-'Tariffs Jul2020'!L11)*('Tariffs Jul2020'!R11/100)*'Tariffs Jul2020'!AI11))</f>
        <v>72.900000000000006</v>
      </c>
      <c r="I17" s="59">
        <f>IF(($C$5*'Tariffs Jul2020'!AK11/'Tariffs Jul2020'!AI11&gt;'Tariffs Jul2020'!M11),($C$5*'Tariffs Jul2020'!AK11/'Tariffs Jul2020'!AI11-'Tariffs Jul2020'!M11)*'Tariffs Jul2020'!S11/100*'Tariffs Jul2020'!AI11,0)</f>
        <v>0</v>
      </c>
      <c r="J17" s="59">
        <f>IF($C$5*'Tariffs Jul2020'!AL11/'Tariffs Jul2020'!AJ11&gt;='Tariffs Jul2020'!J11,('Tariffs Jul2020'!J11*'Tariffs Jul2020'!U11/100)* 'Tariffs Jul2020'!AJ11,($C$5*'Tariffs Jul2020'!AL11/'Tariffs Jul2020'!AJ11*'Tariffs Jul2020'!U11/100)* 'Tariffs Jul2020'!AJ11)</f>
        <v>176.39999999999998</v>
      </c>
      <c r="K17" s="59">
        <f>IF($C$5*'Tariffs Jul2020'!AL11/'Tariffs Jul2020'!AJ11&lt;'Tariffs Jul2020'!J11,0,IF($C$5*'Tariffs Jul2020'!AL11/'Tariffs Jul2020'!AJ11&lt;='Tariffs Jul2020'!K11,($C$5*'Tariffs Jul2020'!AL11/'Tariffs Jul2020'!AJ11-'Tariffs Jul2020'!J11)*('Tariffs Jul2020'!V11/100)*'Tariffs Jul2020'!AJ11,('Tariffs Jul2020'!K11-'Tariffs Jul2020'!J11)*('Tariffs Jul2020'!V11/100)*'Tariffs Jul2020'!AJ11))</f>
        <v>162.00000000000003</v>
      </c>
      <c r="L17" s="59">
        <f>IF($C$5*'Tariffs Jul2020'!AL11/'Tariffs Jul2020'!AJ11&lt;'Tariffs Jul2020'!K11,0,IF($C$5*'Tariffs Jul2020'!AL11/'Tariffs Jul2020'!AJ11&lt;='Tariffs Jul2020'!L11,($C$5*'Tariffs Jul2020'!AL11/'Tariffs Jul2020'!AJ11-'Tariffs Jul2020'!K11)*('Tariffs Jul2020'!W11/100)*'Tariffs Jul2020'!AJ11,('Tariffs Jul2020'!L11-'Tariffs Jul2020'!K11)*('Tariffs Jul2020'!W11/100)*'Tariffs Jul2020'!AJ11))</f>
        <v>145.80000000000001</v>
      </c>
      <c r="M17" s="59">
        <f>IF($C$5*'Tariffs Jul2020'!AL11/'Tariffs Jul2020'!AJ11&lt;'Tariffs Jul2020'!L11,0,IF($C$5*'Tariffs Jul2020'!AL11/'Tariffs Jul2020'!AJ11&lt;='Tariffs Jul2020'!M11,($C$5*'Tariffs Jul2020'!AL11/'Tariffs Jul2020'!AJ11-'Tariffs Jul2020'!L11)*('Tariffs Jul2020'!X11/100)*'Tariffs Jul2020'!AJ11,('Tariffs Jul2020'!M11-'Tariffs Jul2020'!L11)*('Tariffs Jul2020'!X11/100)*'Tariffs Jul2020'!AJ11))</f>
        <v>68.850000000000009</v>
      </c>
      <c r="N17" s="59">
        <f>IF(($C$5*'Tariffs Jul2020'!AL11/'Tariffs Jul2020'!AJ11&gt;'Tariffs Jul2020'!M11),($C$5*'Tariffs Jul2020'!AL11/'Tariffs Jul2020'!AJ11-'Tariffs Jul2020'!M11)*'Tariffs Jul2020'!Y11/100*'Tariffs Jul2020'!AJ11,0)</f>
        <v>0</v>
      </c>
      <c r="O17" s="59">
        <f t="shared" si="1"/>
        <v>1139.8499999999999</v>
      </c>
      <c r="P17" s="503">
        <f t="shared" si="2"/>
        <v>1253.835</v>
      </c>
      <c r="Q17" s="59">
        <f t="shared" si="3"/>
        <v>1378.9979999999998</v>
      </c>
      <c r="R17" s="272">
        <f t="shared" si="4"/>
        <v>1516.8978</v>
      </c>
      <c r="S17" s="40">
        <f>'Tariffs Jul2020'!AN11</f>
        <v>0</v>
      </c>
      <c r="T17" s="40">
        <f>'Tariffs Jul2020'!AO11</f>
        <v>0</v>
      </c>
      <c r="U17" s="40">
        <f>'Tariffs Jul2020'!AP11</f>
        <v>0</v>
      </c>
      <c r="V17" s="40">
        <f>'Tariffs Jul2020'!AQ11</f>
        <v>0</v>
      </c>
      <c r="W17" s="284">
        <f>Q17</f>
        <v>1378.9979999999998</v>
      </c>
      <c r="X17" s="284">
        <f t="shared" si="0"/>
        <v>1378.9979999999998</v>
      </c>
      <c r="Y17" s="507">
        <f t="shared" ref="Y17:Z17" si="7">W17*1.1</f>
        <v>1516.8978</v>
      </c>
      <c r="Z17" s="507">
        <f t="shared" si="7"/>
        <v>1516.8978</v>
      </c>
      <c r="AA17" s="274">
        <f>'Tariffs Jul2020'!AZ11</f>
        <v>0</v>
      </c>
      <c r="AB17" s="274" t="str">
        <f>'Tariffs Jul2020'!BA11</f>
        <v>n</v>
      </c>
      <c r="AC17" s="275" t="str">
        <f>'Tariffs Jul2020'!BJ11</f>
        <v>N</v>
      </c>
      <c r="AD17" s="511"/>
      <c r="AE17" s="511"/>
      <c r="AF17" s="513"/>
      <c r="AG17" s="546"/>
      <c r="AH17" s="546"/>
      <c r="AI17" s="546"/>
      <c r="AJ17" s="546"/>
      <c r="AK17" s="546"/>
      <c r="AL17" s="546"/>
      <c r="AM17" s="546"/>
      <c r="AN17" s="546"/>
      <c r="AO17" s="546"/>
      <c r="AP17" s="546"/>
      <c r="AQ17" s="546"/>
      <c r="AR17" s="546"/>
      <c r="AS17" s="546"/>
      <c r="AT17" s="546"/>
      <c r="AU17" s="546"/>
      <c r="AV17" s="546"/>
      <c r="AW17" s="546"/>
      <c r="AX17" s="546"/>
      <c r="AY17" s="546"/>
      <c r="AZ17" s="546"/>
    </row>
    <row r="18" spans="1:52" ht="14" x14ac:dyDescent="0.15">
      <c r="A18" s="270" t="str">
        <f>'Tariffs Jul2020'!F12</f>
        <v>Simply Energy</v>
      </c>
      <c r="B18" s="40" t="str">
        <f>'Tariffs Jul2020'!D12</f>
        <v>Multinet Metro 1</v>
      </c>
      <c r="C18" s="40" t="str">
        <f>'Tariffs Jul2020'!G12</f>
        <v>Saver</v>
      </c>
      <c r="D18" s="59">
        <f>365*'Tariffs Jul2020'!H12/100</f>
        <v>305.39549999999997</v>
      </c>
      <c r="E18" s="59">
        <f>IF($C$5*'Tariffs Jul2020'!AK12/'Tariffs Jul2020'!AI12&gt;='Tariffs Jul2020'!J12,( 'Tariffs Jul2020'!J12*'Tariffs Jul2020'!O12/100)* 'Tariffs Jul2020'!AI12,($C$5*'Tariffs Jul2020'!AK12/'Tariffs Jul2020'!AI12*'Tariffs Jul2020'!O12/100)* 'Tariffs Jul2020'!AI12)</f>
        <v>224.10000000000002</v>
      </c>
      <c r="F18" s="59">
        <f>IF($C$5*'Tariffs Jul2020'!AK12/'Tariffs Jul2020'!AI12&lt;'Tariffs Jul2020'!J12,0,IF($C$5*'Tariffs Jul2020'!AK12/'Tariffs Jul2020'!AI12&lt;='Tariffs Jul2020'!K12,($C$5*'Tariffs Jul2020'!AK12/'Tariffs Jul2020'!AI12-'Tariffs Jul2020'!J12)*('Tariffs Jul2020'!P12/100)*'Tariffs Jul2020'!AI12,('Tariffs Jul2020'!K12-'Tariffs Jul2020'!J12)*('Tariffs Jul2020'!P12/100)*'Tariffs Jul2020'!AI12))</f>
        <v>193.5</v>
      </c>
      <c r="G18" s="59">
        <f>IF($C$5*'Tariffs Jul2020'!AK12/'Tariffs Jul2020'!AI12&lt;'Tariffs Jul2020'!K12,0,IF($C$5*'Tariffs Jul2020'!AK12/'Tariffs Jul2020'!AI12&lt;='Tariffs Jul2020'!L12,($C$5*'Tariffs Jul2020'!AK12/'Tariffs Jul2020'!AI12-'Tariffs Jul2020'!K12)*('Tariffs Jul2020'!Q12/100)*'Tariffs Jul2020'!AI12,('Tariffs Jul2020'!L12-'Tariffs Jul2020'!K12)*('Tariffs Jul2020'!Q12/100)*'Tariffs Jul2020'!AI12))</f>
        <v>163.80000000000001</v>
      </c>
      <c r="H18" s="59">
        <f>IF($C$5*'Tariffs Jul2020'!AK12/'Tariffs Jul2020'!AI12&lt;'Tariffs Jul2020'!L12,0,IF($C$5*'Tariffs Jul2020'!AK12/'Tariffs Jul2020'!AI12&lt;='Tariffs Jul2020'!M12,($C$5*'Tariffs Jul2020'!AK12/'Tariffs Jul2020'!AI12-'Tariffs Jul2020'!L12)*('Tariffs Jul2020'!R12/100)*'Tariffs Jul2020'!AI12,('Tariffs Jul2020'!M12-'Tariffs Jul2020'!L12)*('Tariffs Jul2020'!R12/100)*'Tariffs Jul2020'!AI12))</f>
        <v>73.8</v>
      </c>
      <c r="I18" s="59">
        <f>IF(($C$5*'Tariffs Jul2020'!AK12/'Tariffs Jul2020'!AI12&gt;'Tariffs Jul2020'!M12),($C$5*'Tariffs Jul2020'!AK12/'Tariffs Jul2020'!AI12-'Tariffs Jul2020'!M12)*'Tariffs Jul2020'!S12/100*'Tariffs Jul2020'!AI12,0)</f>
        <v>0</v>
      </c>
      <c r="J18" s="59">
        <f>IF($C$5*'Tariffs Jul2020'!AL12/'Tariffs Jul2020'!AJ12&gt;='Tariffs Jul2020'!J12,('Tariffs Jul2020'!J12*'Tariffs Jul2020'!U12/100)* 'Tariffs Jul2020'!AJ12,($C$5*'Tariffs Jul2020'!AL12/'Tariffs Jul2020'!AJ12*'Tariffs Jul2020'!U12/100)* 'Tariffs Jul2020'!AJ12)</f>
        <v>210.60000000000002</v>
      </c>
      <c r="K18" s="59">
        <f>IF($C$5*'Tariffs Jul2020'!AL12/'Tariffs Jul2020'!AJ12&lt;'Tariffs Jul2020'!J12,0,IF($C$5*'Tariffs Jul2020'!AL12/'Tariffs Jul2020'!AJ12&lt;='Tariffs Jul2020'!K12,($C$5*'Tariffs Jul2020'!AL12/'Tariffs Jul2020'!AJ12-'Tariffs Jul2020'!J12)*('Tariffs Jul2020'!V12/100)*'Tariffs Jul2020'!AJ12,('Tariffs Jul2020'!K12-'Tariffs Jul2020'!J12)*('Tariffs Jul2020'!V12/100)*'Tariffs Jul2020'!AJ12))</f>
        <v>183.60000000000002</v>
      </c>
      <c r="L18" s="59">
        <f>IF($C$5*'Tariffs Jul2020'!AL12/'Tariffs Jul2020'!AJ12&lt;'Tariffs Jul2020'!K12,0,IF($C$5*'Tariffs Jul2020'!AL12/'Tariffs Jul2020'!AJ12&lt;='Tariffs Jul2020'!L12,($C$5*'Tariffs Jul2020'!AL12/'Tariffs Jul2020'!AJ12-'Tariffs Jul2020'!K12)*('Tariffs Jul2020'!W12/100)*'Tariffs Jul2020'!AJ12,('Tariffs Jul2020'!L12-'Tariffs Jul2020'!K12)*('Tariffs Jul2020'!W12/100)*'Tariffs Jul2020'!AJ12))</f>
        <v>158.4</v>
      </c>
      <c r="M18" s="59">
        <f>IF($C$5*'Tariffs Jul2020'!AL12/'Tariffs Jul2020'!AJ12&lt;'Tariffs Jul2020'!L12,0,IF($C$5*'Tariffs Jul2020'!AL12/'Tariffs Jul2020'!AJ12&lt;='Tariffs Jul2020'!M12,($C$5*'Tariffs Jul2020'!AL12/'Tariffs Jul2020'!AJ12-'Tariffs Jul2020'!L12)*('Tariffs Jul2020'!X12/100)*'Tariffs Jul2020'!AJ12,('Tariffs Jul2020'!M12-'Tariffs Jul2020'!L12)*('Tariffs Jul2020'!X12/100)*'Tariffs Jul2020'!AJ12))</f>
        <v>72.449999999999989</v>
      </c>
      <c r="N18" s="59">
        <f>IF(($C$5*'Tariffs Jul2020'!AL12/'Tariffs Jul2020'!AJ12&gt;'Tariffs Jul2020'!M12),($C$5*'Tariffs Jul2020'!AL12/'Tariffs Jul2020'!AJ12-'Tariffs Jul2020'!M12)*'Tariffs Jul2020'!Y12/100*'Tariffs Jul2020'!AJ12,0)</f>
        <v>0</v>
      </c>
      <c r="O18" s="59">
        <f t="shared" si="1"/>
        <v>1280.2500000000002</v>
      </c>
      <c r="P18" s="503">
        <f t="shared" si="2"/>
        <v>1408.2750000000003</v>
      </c>
      <c r="Q18" s="59">
        <f t="shared" si="3"/>
        <v>1585.6455000000001</v>
      </c>
      <c r="R18" s="272">
        <f t="shared" si="4"/>
        <v>1744.2100500000001</v>
      </c>
      <c r="S18" s="40">
        <f>'Tariffs Jul2020'!AN12</f>
        <v>20</v>
      </c>
      <c r="T18" s="40">
        <f>'Tariffs Jul2020'!AO12</f>
        <v>0</v>
      </c>
      <c r="U18" s="40">
        <f>'Tariffs Jul2020'!AP12</f>
        <v>0</v>
      </c>
      <c r="V18" s="40">
        <f>'Tariffs Jul2020'!AQ12</f>
        <v>0</v>
      </c>
      <c r="W18" s="284">
        <f>Q18-(Q18*S18/100)</f>
        <v>1268.5164</v>
      </c>
      <c r="X18" s="284">
        <f t="shared" si="0"/>
        <v>1268.5164</v>
      </c>
      <c r="Y18" s="507">
        <f t="shared" si="5"/>
        <v>1395.3680400000001</v>
      </c>
      <c r="Z18" s="507">
        <f t="shared" si="5"/>
        <v>1395.3680400000001</v>
      </c>
      <c r="AA18" s="274">
        <f>'Tariffs Jul2020'!AZ12</f>
        <v>0</v>
      </c>
      <c r="AB18" s="274" t="str">
        <f>'Tariffs Jul2020'!BA12</f>
        <v>n</v>
      </c>
      <c r="AC18" s="275" t="str">
        <f>'Tariffs Jul2020'!BJ12</f>
        <v>N</v>
      </c>
      <c r="AD18" s="511"/>
      <c r="AE18" s="511"/>
      <c r="AF18" s="513"/>
      <c r="AG18" s="546"/>
      <c r="AH18" s="546"/>
      <c r="AI18" s="546"/>
      <c r="AJ18" s="546"/>
      <c r="AK18" s="546"/>
      <c r="AL18" s="546"/>
      <c r="AM18" s="546"/>
      <c r="AN18" s="546"/>
      <c r="AO18" s="546"/>
      <c r="AP18" s="546"/>
      <c r="AQ18" s="546"/>
      <c r="AR18" s="546"/>
      <c r="AS18" s="546"/>
      <c r="AT18" s="546"/>
      <c r="AU18" s="546"/>
      <c r="AV18" s="546"/>
      <c r="AW18" s="546"/>
      <c r="AX18" s="546"/>
      <c r="AY18" s="546"/>
      <c r="AZ18" s="546"/>
    </row>
    <row r="19" spans="1:52" ht="14" x14ac:dyDescent="0.15">
      <c r="A19" s="270" t="str">
        <f>'Tariffs Jul2020'!F13</f>
        <v>Sumo Power</v>
      </c>
      <c r="B19" s="40" t="str">
        <f>'Tariffs Jul2020'!D13</f>
        <v>Multinet Metro 1</v>
      </c>
      <c r="C19" s="40" t="str">
        <f>'Tariffs Jul2020'!G13</f>
        <v>Select</v>
      </c>
      <c r="D19" s="59">
        <f>365*'Tariffs Jul2020'!H13/100</f>
        <v>273.75</v>
      </c>
      <c r="E19" s="59">
        <f>IF($C$5*'Tariffs Jul2020'!AK13/'Tariffs Jul2020'!AI13&gt;='Tariffs Jul2020'!J13,( 'Tariffs Jul2020'!J13*'Tariffs Jul2020'!O13/100)* 'Tariffs Jul2020'!AI13,($C$5*'Tariffs Jul2020'!AK13/'Tariffs Jul2020'!AI13*'Tariffs Jul2020'!O13/100)* 'Tariffs Jul2020'!AI13)</f>
        <v>205.2</v>
      </c>
      <c r="F19" s="59">
        <f>IF($C$5*'Tariffs Jul2020'!AK13/'Tariffs Jul2020'!AI13&lt;'Tariffs Jul2020'!J13,0,IF($C$5*'Tariffs Jul2020'!AK13/'Tariffs Jul2020'!AI13&lt;='Tariffs Jul2020'!K13,($C$5*'Tariffs Jul2020'!AK13/'Tariffs Jul2020'!AI13-'Tariffs Jul2020'!J13)*('Tariffs Jul2020'!P13/100)*'Tariffs Jul2020'!AI13,('Tariffs Jul2020'!K13-'Tariffs Jul2020'!J13)*('Tariffs Jul2020'!P13/100)*'Tariffs Jul2020'!AI13))</f>
        <v>177.29999999999998</v>
      </c>
      <c r="G19" s="59">
        <f>IF($C$5*'Tariffs Jul2020'!AK13/'Tariffs Jul2020'!AI13&lt;'Tariffs Jul2020'!K13,0,IF($C$5*'Tariffs Jul2020'!AK13/'Tariffs Jul2020'!AI13&lt;='Tariffs Jul2020'!L13,($C$5*'Tariffs Jul2020'!AK13/'Tariffs Jul2020'!AI13-'Tariffs Jul2020'!K13)*('Tariffs Jul2020'!Q13/100)*'Tariffs Jul2020'!AI13,('Tariffs Jul2020'!L13-'Tariffs Jul2020'!K13)*('Tariffs Jul2020'!Q13/100)*'Tariffs Jul2020'!AI13))</f>
        <v>145.80000000000001</v>
      </c>
      <c r="H19" s="59">
        <f>IF($C$5*'Tariffs Jul2020'!AK13/'Tariffs Jul2020'!AI13&lt;'Tariffs Jul2020'!L13,0,IF($C$5*'Tariffs Jul2020'!AK13/'Tariffs Jul2020'!AI13&lt;='Tariffs Jul2020'!M13,($C$5*'Tariffs Jul2020'!AK13/'Tariffs Jul2020'!AI13-'Tariffs Jul2020'!L13)*('Tariffs Jul2020'!R13/100)*'Tariffs Jul2020'!AI13,('Tariffs Jul2020'!M13-'Tariffs Jul2020'!L13)*('Tariffs Jul2020'!R13/100)*'Tariffs Jul2020'!AI13))</f>
        <v>63.449999999999996</v>
      </c>
      <c r="I19" s="59">
        <f>IF(($C$5*'Tariffs Jul2020'!AK13/'Tariffs Jul2020'!AI13&gt;'Tariffs Jul2020'!M13),($C$5*'Tariffs Jul2020'!AK13/'Tariffs Jul2020'!AI13-'Tariffs Jul2020'!M13)*'Tariffs Jul2020'!S13/100*'Tariffs Jul2020'!AI13,0)</f>
        <v>0</v>
      </c>
      <c r="J19" s="59">
        <f>IF($C$5*'Tariffs Jul2020'!AL13/'Tariffs Jul2020'!AJ13&gt;='Tariffs Jul2020'!J13,('Tariffs Jul2020'!J13*'Tariffs Jul2020'!U13/100)* 'Tariffs Jul2020'!AJ13,($C$5*'Tariffs Jul2020'!AL13/'Tariffs Jul2020'!AJ13*'Tariffs Jul2020'!U13/100)* 'Tariffs Jul2020'!AJ13)</f>
        <v>181.8</v>
      </c>
      <c r="K19" s="59">
        <f>IF($C$5*'Tariffs Jul2020'!AL13/'Tariffs Jul2020'!AJ13&lt;'Tariffs Jul2020'!J13,0,IF($C$5*'Tariffs Jul2020'!AL13/'Tariffs Jul2020'!AJ13&lt;='Tariffs Jul2020'!K13,($C$5*'Tariffs Jul2020'!AL13/'Tariffs Jul2020'!AJ13-'Tariffs Jul2020'!J13)*('Tariffs Jul2020'!V13/100)*'Tariffs Jul2020'!AJ13,('Tariffs Jul2020'!K13-'Tariffs Jul2020'!J13)*('Tariffs Jul2020'!V13/100)*'Tariffs Jul2020'!AJ13))</f>
        <v>159.30000000000001</v>
      </c>
      <c r="L19" s="59">
        <f>IF($C$5*'Tariffs Jul2020'!AL13/'Tariffs Jul2020'!AJ13&lt;'Tariffs Jul2020'!K13,0,IF($C$5*'Tariffs Jul2020'!AL13/'Tariffs Jul2020'!AJ13&lt;='Tariffs Jul2020'!L13,($C$5*'Tariffs Jul2020'!AL13/'Tariffs Jul2020'!AJ13-'Tariffs Jul2020'!K13)*('Tariffs Jul2020'!W13/100)*'Tariffs Jul2020'!AJ13,('Tariffs Jul2020'!L13-'Tariffs Jul2020'!K13)*('Tariffs Jul2020'!W13/100)*'Tariffs Jul2020'!AJ13))</f>
        <v>126.89999999999999</v>
      </c>
      <c r="M19" s="59">
        <f>IF($C$5*'Tariffs Jul2020'!AL13/'Tariffs Jul2020'!AJ13&lt;'Tariffs Jul2020'!L13,0,IF($C$5*'Tariffs Jul2020'!AL13/'Tariffs Jul2020'!AJ13&lt;='Tariffs Jul2020'!M13,($C$5*'Tariffs Jul2020'!AL13/'Tariffs Jul2020'!AJ13-'Tariffs Jul2020'!L13)*('Tariffs Jul2020'!X13/100)*'Tariffs Jul2020'!AJ13,('Tariffs Jul2020'!M13-'Tariffs Jul2020'!L13)*('Tariffs Jul2020'!X13/100)*'Tariffs Jul2020'!AJ13))</f>
        <v>58.5</v>
      </c>
      <c r="N19" s="59">
        <f>IF(($C$5*'Tariffs Jul2020'!AL13/'Tariffs Jul2020'!AJ13&gt;'Tariffs Jul2020'!M13),($C$5*'Tariffs Jul2020'!AL13/'Tariffs Jul2020'!AJ13-'Tariffs Jul2020'!M13)*'Tariffs Jul2020'!Y13/100*'Tariffs Jul2020'!AJ13,0)</f>
        <v>0</v>
      </c>
      <c r="O19" s="59">
        <f t="shared" si="1"/>
        <v>1118.25</v>
      </c>
      <c r="P19" s="503">
        <f t="shared" si="2"/>
        <v>1230.075</v>
      </c>
      <c r="Q19" s="59">
        <f t="shared" si="3"/>
        <v>1392</v>
      </c>
      <c r="R19" s="272">
        <f t="shared" si="4"/>
        <v>1531.2</v>
      </c>
      <c r="S19" s="40">
        <f>'Tariffs Jul2020'!AN13</f>
        <v>0</v>
      </c>
      <c r="T19" s="40">
        <f>'Tariffs Jul2020'!AO13</f>
        <v>0</v>
      </c>
      <c r="U19" s="40">
        <f>'Tariffs Jul2020'!AP13</f>
        <v>5</v>
      </c>
      <c r="V19" s="40">
        <f>'Tariffs Jul2020'!AQ13</f>
        <v>0</v>
      </c>
      <c r="W19" s="284">
        <f t="shared" si="6"/>
        <v>1392</v>
      </c>
      <c r="X19" s="284">
        <f>W19-(Q19*U19/100)</f>
        <v>1322.4</v>
      </c>
      <c r="Y19" s="507">
        <f t="shared" si="5"/>
        <v>1531.2</v>
      </c>
      <c r="Z19" s="507">
        <f t="shared" si="5"/>
        <v>1454.6400000000003</v>
      </c>
      <c r="AA19" s="274">
        <f>'Tariffs Jul2020'!AZ13</f>
        <v>0</v>
      </c>
      <c r="AB19" s="274" t="str">
        <f>'Tariffs Jul2020'!BA13</f>
        <v>n</v>
      </c>
      <c r="AC19" s="275" t="str">
        <f>'Tariffs Jul2020'!BJ13</f>
        <v>Y</v>
      </c>
      <c r="AD19" s="511"/>
      <c r="AE19" s="511"/>
      <c r="AF19" s="513"/>
      <c r="AG19" s="546"/>
      <c r="AH19" s="546"/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  <c r="AU19" s="546"/>
      <c r="AV19" s="546"/>
      <c r="AW19" s="546"/>
      <c r="AX19" s="546"/>
      <c r="AY19" s="546"/>
      <c r="AZ19" s="546"/>
    </row>
    <row r="20" spans="1:52" ht="14" x14ac:dyDescent="0.15">
      <c r="A20" s="270" t="str">
        <f>'Tariffs Jul2020'!F14</f>
        <v>Amaysim</v>
      </c>
      <c r="B20" s="40" t="str">
        <f>'Tariffs Jul2020'!D14</f>
        <v>Multinet Metro 1</v>
      </c>
      <c r="C20" s="40" t="str">
        <f>'Tariffs Jul2020'!G14</f>
        <v>Gas as you go</v>
      </c>
      <c r="D20" s="59">
        <f>365*'Tariffs Jul2020'!H14/100</f>
        <v>193.85150000000002</v>
      </c>
      <c r="E20" s="59">
        <f>IF($C$5*'Tariffs Jul2020'!AK14/'Tariffs Jul2020'!AI14&gt;='Tariffs Jul2020'!J14,( 'Tariffs Jul2020'!J14*'Tariffs Jul2020'!O14/100)* 'Tariffs Jul2020'!AI14,($C$5*'Tariffs Jul2020'!AK14/'Tariffs Jul2020'!AI14*'Tariffs Jul2020'!O14/100)* 'Tariffs Jul2020'!AI14)</f>
        <v>205.2</v>
      </c>
      <c r="F20" s="59">
        <f>IF($C$5*'Tariffs Jul2020'!AK14/'Tariffs Jul2020'!AI14&lt;'Tariffs Jul2020'!J14,0,IF($C$5*'Tariffs Jul2020'!AK14/'Tariffs Jul2020'!AI14&lt;='Tariffs Jul2020'!K14,($C$5*'Tariffs Jul2020'!AK14/'Tariffs Jul2020'!AI14-'Tariffs Jul2020'!J14)*('Tariffs Jul2020'!P14/100)*'Tariffs Jul2020'!AI14,('Tariffs Jul2020'!K14-'Tariffs Jul2020'!J14)*('Tariffs Jul2020'!P14/100)*'Tariffs Jul2020'!AI14))</f>
        <v>180.89999999999998</v>
      </c>
      <c r="G20" s="59">
        <f>IF($C$5*'Tariffs Jul2020'!AK14/'Tariffs Jul2020'!AI14&lt;'Tariffs Jul2020'!K14,0,IF($C$5*'Tariffs Jul2020'!AK14/'Tariffs Jul2020'!AI14&lt;='Tariffs Jul2020'!L14,($C$5*'Tariffs Jul2020'!AK14/'Tariffs Jul2020'!AI14-'Tariffs Jul2020'!K14)*('Tariffs Jul2020'!Q14/100)*'Tariffs Jul2020'!AI14,('Tariffs Jul2020'!L14-'Tariffs Jul2020'!K14)*('Tariffs Jul2020'!Q14/100)*'Tariffs Jul2020'!AI14))</f>
        <v>155.69999999999999</v>
      </c>
      <c r="H20" s="59">
        <f>IF($C$5*'Tariffs Jul2020'!AK14/'Tariffs Jul2020'!AI14&lt;'Tariffs Jul2020'!L14,0,IF($C$5*'Tariffs Jul2020'!AK14/'Tariffs Jul2020'!AI14&lt;='Tariffs Jul2020'!M14,($C$5*'Tariffs Jul2020'!AK14/'Tariffs Jul2020'!AI14-'Tariffs Jul2020'!L14)*('Tariffs Jul2020'!R14/100)*'Tariffs Jul2020'!AI14,('Tariffs Jul2020'!M14-'Tariffs Jul2020'!L14)*('Tariffs Jul2020'!R14/100)*'Tariffs Jul2020'!AI14))</f>
        <v>72</v>
      </c>
      <c r="I20" s="59">
        <f>IF(($C$5*'Tariffs Jul2020'!AK14/'Tariffs Jul2020'!AI14&gt;'Tariffs Jul2020'!M14),($C$5*'Tariffs Jul2020'!AK14/'Tariffs Jul2020'!AI14-'Tariffs Jul2020'!M14)*'Tariffs Jul2020'!S14/100*'Tariffs Jul2020'!AI14,0)</f>
        <v>0</v>
      </c>
      <c r="J20" s="59">
        <f>IF($C$5*'Tariffs Jul2020'!AL14/'Tariffs Jul2020'!AJ14&gt;='Tariffs Jul2020'!J14,('Tariffs Jul2020'!J14*'Tariffs Jul2020'!U14/100)* 'Tariffs Jul2020'!AJ14,($C$5*'Tariffs Jul2020'!AL14/'Tariffs Jul2020'!AJ14*'Tariffs Jul2020'!U14/100)* 'Tariffs Jul2020'!AJ14)</f>
        <v>198.89999999999998</v>
      </c>
      <c r="K20" s="59">
        <f>IF($C$5*'Tariffs Jul2020'!AL14/'Tariffs Jul2020'!AJ14&lt;'Tariffs Jul2020'!J14,0,IF($C$5*'Tariffs Jul2020'!AL14/'Tariffs Jul2020'!AJ14&lt;='Tariffs Jul2020'!K14,($C$5*'Tariffs Jul2020'!AL14/'Tariffs Jul2020'!AJ14-'Tariffs Jul2020'!J14)*('Tariffs Jul2020'!V14/100)*'Tariffs Jul2020'!AJ14,('Tariffs Jul2020'!K14-'Tariffs Jul2020'!J14)*('Tariffs Jul2020'!V14/100)*'Tariffs Jul2020'!AJ14))</f>
        <v>177.29999999999998</v>
      </c>
      <c r="L20" s="59">
        <f>IF($C$5*'Tariffs Jul2020'!AL14/'Tariffs Jul2020'!AJ14&lt;'Tariffs Jul2020'!K14,0,IF($C$5*'Tariffs Jul2020'!AL14/'Tariffs Jul2020'!AJ14&lt;='Tariffs Jul2020'!L14,($C$5*'Tariffs Jul2020'!AL14/'Tariffs Jul2020'!AJ14-'Tariffs Jul2020'!K14)*('Tariffs Jul2020'!W14/100)*'Tariffs Jul2020'!AJ14,('Tariffs Jul2020'!L14-'Tariffs Jul2020'!K14)*('Tariffs Jul2020'!W14/100)*'Tariffs Jul2020'!AJ14))</f>
        <v>153.00000000000003</v>
      </c>
      <c r="M20" s="59">
        <f>IF($C$5*'Tariffs Jul2020'!AL14/'Tariffs Jul2020'!AJ14&lt;'Tariffs Jul2020'!L14,0,IF($C$5*'Tariffs Jul2020'!AL14/'Tariffs Jul2020'!AJ14&lt;='Tariffs Jul2020'!M14,($C$5*'Tariffs Jul2020'!AL14/'Tariffs Jul2020'!AJ14-'Tariffs Jul2020'!L14)*('Tariffs Jul2020'!X14/100)*'Tariffs Jul2020'!AJ14,('Tariffs Jul2020'!M14-'Tariffs Jul2020'!L14)*('Tariffs Jul2020'!X14/100)*'Tariffs Jul2020'!AJ14))</f>
        <v>72</v>
      </c>
      <c r="N20" s="59">
        <f>IF(($C$5*'Tariffs Jul2020'!AL14/'Tariffs Jul2020'!AJ14&gt;'Tariffs Jul2020'!M14),($C$5*'Tariffs Jul2020'!AL14/'Tariffs Jul2020'!AJ14-'Tariffs Jul2020'!M14)*'Tariffs Jul2020'!Y14/100*'Tariffs Jul2020'!AJ14,0)</f>
        <v>0</v>
      </c>
      <c r="O20" s="59">
        <f>SUM(E20:N20)</f>
        <v>1215</v>
      </c>
      <c r="P20" s="503">
        <f t="shared" si="2"/>
        <v>1336.5</v>
      </c>
      <c r="Q20" s="59">
        <f>D20+O20</f>
        <v>1408.8515</v>
      </c>
      <c r="R20" s="272">
        <f t="shared" si="4"/>
        <v>1549.7366500000001</v>
      </c>
      <c r="S20" s="40">
        <f>'Tariffs Jul2020'!AN14</f>
        <v>0</v>
      </c>
      <c r="T20" s="40">
        <f>'Tariffs Jul2020'!AO14</f>
        <v>0</v>
      </c>
      <c r="U20" s="40">
        <f>'Tariffs Jul2020'!AP14</f>
        <v>0</v>
      </c>
      <c r="V20" s="40">
        <f>'Tariffs Jul2020'!AQ14</f>
        <v>0</v>
      </c>
      <c r="W20" s="284">
        <f>Q20</f>
        <v>1408.8515</v>
      </c>
      <c r="X20" s="284">
        <f>W20</f>
        <v>1408.8515</v>
      </c>
      <c r="Y20" s="507">
        <f t="shared" si="5"/>
        <v>1549.7366500000001</v>
      </c>
      <c r="Z20" s="507">
        <f t="shared" si="5"/>
        <v>1549.7366500000001</v>
      </c>
      <c r="AA20" s="274">
        <f>'Tariffs Jul2020'!AZ14</f>
        <v>0</v>
      </c>
      <c r="AB20" s="274" t="str">
        <f>'Tariffs Jul2020'!BA14</f>
        <v>n</v>
      </c>
      <c r="AC20" s="275" t="str">
        <f>'Tariffs Jul2020'!BJ14</f>
        <v>N</v>
      </c>
      <c r="AD20" s="511"/>
      <c r="AE20" s="511"/>
      <c r="AF20" s="513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6"/>
      <c r="AV20" s="546"/>
      <c r="AW20" s="546"/>
      <c r="AX20" s="546"/>
      <c r="AY20" s="546"/>
      <c r="AZ20" s="546"/>
    </row>
    <row r="21" spans="1:52" ht="14" x14ac:dyDescent="0.15">
      <c r="A21" s="270" t="str">
        <f>'Tariffs Jul2020'!F15</f>
        <v>GloBird Energy</v>
      </c>
      <c r="B21" s="40" t="str">
        <f>'Tariffs Jul2020'!D15</f>
        <v>Multinet Metro 1</v>
      </c>
      <c r="C21" s="40" t="str">
        <f>'Tariffs Jul2020'!G15</f>
        <v>GloSave</v>
      </c>
      <c r="D21" s="59">
        <f>365*'Tariffs Jul2020'!H15/100</f>
        <v>226.3</v>
      </c>
      <c r="E21" s="59">
        <f>IF($C$5*'Tariffs Jul2020'!AK15/'Tariffs Jul2020'!AI15&gt;='Tariffs Jul2020'!J15,( 'Tariffs Jul2020'!J15*'Tariffs Jul2020'!O15/100)* 'Tariffs Jul2020'!AI15,($C$5*'Tariffs Jul2020'!AK15/'Tariffs Jul2020'!AI15*'Tariffs Jul2020'!O15/100)* 'Tariffs Jul2020'!AI15)</f>
        <v>225.6</v>
      </c>
      <c r="F21" s="59">
        <f>IF($C$5*'Tariffs Jul2020'!AK15/'Tariffs Jul2020'!AI15&lt;'Tariffs Jul2020'!J15,0,IF($C$5*'Tariffs Jul2020'!AK15/'Tariffs Jul2020'!AI15&lt;='Tariffs Jul2020'!K15,($C$5*'Tariffs Jul2020'!AK15/'Tariffs Jul2020'!AI15-'Tariffs Jul2020'!J15)*('Tariffs Jul2020'!P15/100)*'Tariffs Jul2020'!AI15,('Tariffs Jul2020'!K15-'Tariffs Jul2020'!J15)*('Tariffs Jul2020'!P15/100)*'Tariffs Jul2020'!AI15))</f>
        <v>0</v>
      </c>
      <c r="G21" s="59">
        <f>IF($C$5*'Tariffs Jul2020'!AK15/'Tariffs Jul2020'!AI15&lt;'Tariffs Jul2020'!K15,0,IF($C$5*'Tariffs Jul2020'!AK15/'Tariffs Jul2020'!AI15&lt;='Tariffs Jul2020'!L15,($C$5*'Tariffs Jul2020'!AK15/'Tariffs Jul2020'!AI15-'Tariffs Jul2020'!K15)*('Tariffs Jul2020'!Q15/100)*'Tariffs Jul2020'!AI15,('Tariffs Jul2020'!L15-'Tariffs Jul2020'!K15)*('Tariffs Jul2020'!Q15/100)*'Tariffs Jul2020'!AI15))</f>
        <v>0</v>
      </c>
      <c r="H21" s="59">
        <f>IF($C$5*'Tariffs Jul2020'!AK15/'Tariffs Jul2020'!AI15&lt;'Tariffs Jul2020'!L15,0,IF($C$5*'Tariffs Jul2020'!AK15/'Tariffs Jul2020'!AI15&lt;='Tariffs Jul2020'!M15,($C$5*'Tariffs Jul2020'!AK15/'Tariffs Jul2020'!AI15-'Tariffs Jul2020'!L15)*('Tariffs Jul2020'!R15/100)*'Tariffs Jul2020'!AI15,('Tariffs Jul2020'!M15-'Tariffs Jul2020'!L15)*('Tariffs Jul2020'!R15/100)*'Tariffs Jul2020'!AI15))</f>
        <v>0</v>
      </c>
      <c r="I21" s="59">
        <f>IF(($C$5*'Tariffs Jul2020'!AK15/'Tariffs Jul2020'!AI15&gt;'Tariffs Jul2020'!M15),($C$5*'Tariffs Jul2020'!AK15/'Tariffs Jul2020'!AI15-'Tariffs Jul2020'!M15)*'Tariffs Jul2020'!S15/100*'Tariffs Jul2020'!AI15,0)</f>
        <v>124.17101999999996</v>
      </c>
      <c r="J21" s="59">
        <f>IF($C$5*'Tariffs Jul2020'!AL15/'Tariffs Jul2020'!AJ15&gt;='Tariffs Jul2020'!J15,('Tariffs Jul2020'!J15*'Tariffs Jul2020'!U15/100)* 'Tariffs Jul2020'!AJ15,($C$5*'Tariffs Jul2020'!AL15/'Tariffs Jul2020'!AJ15*'Tariffs Jul2020'!U15/100)* 'Tariffs Jul2020'!AJ15)</f>
        <v>408</v>
      </c>
      <c r="K21" s="59">
        <f>IF($C$5*'Tariffs Jul2020'!AL15/'Tariffs Jul2020'!AJ15&lt;'Tariffs Jul2020'!J15,0,IF($C$5*'Tariffs Jul2020'!AL15/'Tariffs Jul2020'!AJ15&lt;='Tariffs Jul2020'!K15,($C$5*'Tariffs Jul2020'!AL15/'Tariffs Jul2020'!AJ15-'Tariffs Jul2020'!J15)*('Tariffs Jul2020'!V15/100)*'Tariffs Jul2020'!AJ15,('Tariffs Jul2020'!K15-'Tariffs Jul2020'!J15)*('Tariffs Jul2020'!V15/100)*'Tariffs Jul2020'!AJ15))</f>
        <v>0</v>
      </c>
      <c r="L21" s="59">
        <f>IF($C$5*'Tariffs Jul2020'!AL15/'Tariffs Jul2020'!AJ15&lt;'Tariffs Jul2020'!K15,0,IF($C$5*'Tariffs Jul2020'!AL15/'Tariffs Jul2020'!AJ15&lt;='Tariffs Jul2020'!L15,($C$5*'Tariffs Jul2020'!AL15/'Tariffs Jul2020'!AJ15-'Tariffs Jul2020'!K15)*('Tariffs Jul2020'!W15/100)*'Tariffs Jul2020'!AJ15,('Tariffs Jul2020'!L15-'Tariffs Jul2020'!K15)*('Tariffs Jul2020'!W15/100)*'Tariffs Jul2020'!AJ15))</f>
        <v>0</v>
      </c>
      <c r="M21" s="59">
        <f>IF($C$5*'Tariffs Jul2020'!AL15/'Tariffs Jul2020'!AJ15&lt;'Tariffs Jul2020'!L15,0,IF($C$5*'Tariffs Jul2020'!AL15/'Tariffs Jul2020'!AJ15&lt;='Tariffs Jul2020'!M15,($C$5*'Tariffs Jul2020'!AL15/'Tariffs Jul2020'!AJ15-'Tariffs Jul2020'!L15)*('Tariffs Jul2020'!X15/100)*'Tariffs Jul2020'!AJ15,('Tariffs Jul2020'!M15-'Tariffs Jul2020'!L15)*('Tariffs Jul2020'!X15/100)*'Tariffs Jul2020'!AJ15))</f>
        <v>0</v>
      </c>
      <c r="N21" s="59">
        <f>IF(($C$5*'Tariffs Jul2020'!AL15/'Tariffs Jul2020'!AJ15&gt;'Tariffs Jul2020'!M15),($C$5*'Tariffs Jul2020'!AL15/'Tariffs Jul2020'!AJ15-'Tariffs Jul2020'!M15)*'Tariffs Jul2020'!Y15/100*'Tariffs Jul2020'!AJ15,0)</f>
        <v>248.34203999999991</v>
      </c>
      <c r="O21" s="59">
        <f>SUM(E21:N21)</f>
        <v>1006.1130599999998</v>
      </c>
      <c r="P21" s="503">
        <f t="shared" si="2"/>
        <v>1106.7243659999999</v>
      </c>
      <c r="Q21" s="59">
        <f>D21+O21</f>
        <v>1232.4130599999999</v>
      </c>
      <c r="R21" s="272">
        <f t="shared" si="4"/>
        <v>1355.654366</v>
      </c>
      <c r="S21" s="40">
        <f>'Tariffs Jul2020'!AN15</f>
        <v>0</v>
      </c>
      <c r="T21" s="40">
        <f>'Tariffs Jul2020'!AO15</f>
        <v>0</v>
      </c>
      <c r="U21" s="40">
        <f>'Tariffs Jul2020'!AP15</f>
        <v>0</v>
      </c>
      <c r="V21" s="40">
        <f>'Tariffs Jul2020'!AQ15</f>
        <v>0</v>
      </c>
      <c r="W21" s="284">
        <f>Q21</f>
        <v>1232.4130599999999</v>
      </c>
      <c r="X21" s="284">
        <f>W21</f>
        <v>1232.4130599999999</v>
      </c>
      <c r="Y21" s="507">
        <f t="shared" si="5"/>
        <v>1355.654366</v>
      </c>
      <c r="Z21" s="507">
        <f t="shared" si="5"/>
        <v>1355.654366</v>
      </c>
      <c r="AA21" s="274">
        <f>'Tariffs Jul2020'!AZ15</f>
        <v>0</v>
      </c>
      <c r="AB21" s="274" t="str">
        <f>'Tariffs Jul2020'!BA15</f>
        <v>n</v>
      </c>
      <c r="AC21" s="275" t="str">
        <f>'Tariffs Jul2020'!BJ15</f>
        <v>N</v>
      </c>
      <c r="AD21" s="511"/>
      <c r="AE21" s="511"/>
      <c r="AF21" s="513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</row>
    <row r="22" spans="1:52" ht="14" x14ac:dyDescent="0.15">
      <c r="A22" s="270" t="str">
        <f>'Tariffs Jul2020'!F16</f>
        <v>Powershop</v>
      </c>
      <c r="B22" s="40" t="str">
        <f>'Tariffs Jul2020'!D16</f>
        <v>Multinet Metro 1</v>
      </c>
      <c r="C22" s="40" t="str">
        <f>'Tariffs Jul2020'!G16</f>
        <v>Shopper with Gas Saver</v>
      </c>
      <c r="D22" s="59">
        <f>365*'Tariffs Jul2020'!H16/100</f>
        <v>258.05500000000001</v>
      </c>
      <c r="E22" s="59">
        <f>((C$5*'Tariffs Jul2020'!AK16/'Tariffs Jul2020'!AI16)*('Tariffs Jul2020'!O16/100))*'Tariffs Jul2020'!AI16</f>
        <v>595.34999999999991</v>
      </c>
      <c r="F22" s="59">
        <v>0</v>
      </c>
      <c r="G22" s="59">
        <v>0</v>
      </c>
      <c r="H22" s="59">
        <v>0</v>
      </c>
      <c r="I22" s="59">
        <v>0</v>
      </c>
      <c r="J22" s="59">
        <f>((C$5*'Tariffs Jul2020'!AL16/'Tariffs Jul2020'!AJ16)*('Tariffs Jul2020'!U16/100))*'Tariffs Jul2020'!AJ16</f>
        <v>535.5</v>
      </c>
      <c r="K22" s="59">
        <v>0</v>
      </c>
      <c r="L22" s="59">
        <v>0</v>
      </c>
      <c r="M22" s="59">
        <v>0</v>
      </c>
      <c r="N22" s="59">
        <v>0</v>
      </c>
      <c r="O22" s="59">
        <f>SUM(E22:N22)</f>
        <v>1130.8499999999999</v>
      </c>
      <c r="P22" s="503">
        <f t="shared" si="2"/>
        <v>1243.9349999999999</v>
      </c>
      <c r="Q22" s="59">
        <f>D22+O22</f>
        <v>1388.905</v>
      </c>
      <c r="R22" s="272">
        <f t="shared" si="4"/>
        <v>1527.7955000000002</v>
      </c>
      <c r="S22" s="40">
        <f>'Tariffs Jul2020'!AN16</f>
        <v>0</v>
      </c>
      <c r="T22" s="40">
        <f>'Tariffs Jul2020'!AO16</f>
        <v>0</v>
      </c>
      <c r="U22" s="40">
        <f>'Tariffs Jul2020'!AP16</f>
        <v>5</v>
      </c>
      <c r="V22" s="40">
        <f>'Tariffs Jul2020'!AQ16</f>
        <v>0</v>
      </c>
      <c r="W22" s="284">
        <f>R22</f>
        <v>1527.7955000000002</v>
      </c>
      <c r="X22" s="284">
        <f>W22-(W22*U22/100)</f>
        <v>1451.4057250000001</v>
      </c>
      <c r="Y22" s="507">
        <f>W22</f>
        <v>1527.7955000000002</v>
      </c>
      <c r="Z22" s="507">
        <f>X22</f>
        <v>1451.4057250000001</v>
      </c>
      <c r="AA22" s="274">
        <f>'Tariffs Jul2020'!AZ16</f>
        <v>0</v>
      </c>
      <c r="AB22" s="274" t="str">
        <f>'Tariffs Jul2020'!BA16</f>
        <v>n</v>
      </c>
      <c r="AC22" s="275" t="str">
        <f>'Tariffs Jul2020'!BJ16</f>
        <v>Y</v>
      </c>
      <c r="AD22" s="511"/>
      <c r="AE22" s="511"/>
      <c r="AF22" s="513"/>
      <c r="AG22" s="546"/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6"/>
      <c r="AT22" s="546"/>
      <c r="AU22" s="546"/>
      <c r="AV22" s="546"/>
      <c r="AW22" s="546"/>
      <c r="AX22" s="546"/>
      <c r="AY22" s="546"/>
      <c r="AZ22" s="546"/>
    </row>
    <row r="23" spans="1:52" ht="14" x14ac:dyDescent="0.15">
      <c r="A23" s="270" t="str">
        <f>'Tariffs Jul2020'!F17</f>
        <v>1st Energy</v>
      </c>
      <c r="B23" s="40" t="str">
        <f>'Tariffs Jul2020'!D17</f>
        <v>Multinet Metro 1</v>
      </c>
      <c r="C23" s="40" t="str">
        <f>'Tariffs Jul2020'!G17</f>
        <v>1st Saver</v>
      </c>
      <c r="D23" s="59">
        <f>365*'Tariffs Jul2020'!H17/100</f>
        <v>259.14999999999998</v>
      </c>
      <c r="E23" s="59">
        <f>IF($C$5*'Tariffs Jul2020'!AK17/'Tariffs Jul2020'!AI17&gt;='Tariffs Jul2020'!J17,( 'Tariffs Jul2020'!J17*'Tariffs Jul2020'!O17/100)* 'Tariffs Jul2020'!AI17,($C$5*'Tariffs Jul2020'!AK17/'Tariffs Jul2020'!AI17*'Tariffs Jul2020'!O17/100)* 'Tariffs Jul2020'!AI17)</f>
        <v>221.39999999999998</v>
      </c>
      <c r="F23" s="59">
        <f>IF($C$5*'Tariffs Jul2020'!AK17/'Tariffs Jul2020'!AI17&lt;'Tariffs Jul2020'!J17,0,IF($C$5*'Tariffs Jul2020'!AK17/'Tariffs Jul2020'!AI17&lt;='Tariffs Jul2020'!K17,($C$5*'Tariffs Jul2020'!AK17/'Tariffs Jul2020'!AI17-'Tariffs Jul2020'!J17)*('Tariffs Jul2020'!P17/100)*'Tariffs Jul2020'!AI17,('Tariffs Jul2020'!K17-'Tariffs Jul2020'!J17)*('Tariffs Jul2020'!P17/100)*'Tariffs Jul2020'!AI17))</f>
        <v>194.39999999999998</v>
      </c>
      <c r="G23" s="59">
        <f>IF($C$5*'Tariffs Jul2020'!AK17/'Tariffs Jul2020'!AI17&lt;'Tariffs Jul2020'!K17,0,IF($C$5*'Tariffs Jul2020'!AK17/'Tariffs Jul2020'!AI17&lt;='Tariffs Jul2020'!L17,($C$5*'Tariffs Jul2020'!AK17/'Tariffs Jul2020'!AI17-'Tariffs Jul2020'!K17)*('Tariffs Jul2020'!Q17/100)*'Tariffs Jul2020'!AI17,('Tariffs Jul2020'!L17-'Tariffs Jul2020'!K17)*('Tariffs Jul2020'!Q17/100)*'Tariffs Jul2020'!AI17))</f>
        <v>0</v>
      </c>
      <c r="H23" s="59">
        <f>IF($C$5*'Tariffs Jul2020'!AK17/'Tariffs Jul2020'!AI17&lt;'Tariffs Jul2020'!L17,0,IF($C$5*'Tariffs Jul2020'!AK17/'Tariffs Jul2020'!AI17&lt;='Tariffs Jul2020'!M17,($C$5*'Tariffs Jul2020'!AK17/'Tariffs Jul2020'!AI17-'Tariffs Jul2020'!L17)*('Tariffs Jul2020'!R17/100)*'Tariffs Jul2020'!AI17,('Tariffs Jul2020'!M17-'Tariffs Jul2020'!L17)*('Tariffs Jul2020'!R17/100)*'Tariffs Jul2020'!AI17))</f>
        <v>0</v>
      </c>
      <c r="I23" s="59">
        <f>IF(($C$5*'Tariffs Jul2020'!AK17/'Tariffs Jul2020'!AI17&gt;'Tariffs Jul2020'!M17),($C$5*'Tariffs Jul2020'!AK17/'Tariffs Jul2020'!AI17-'Tariffs Jul2020'!M17)*'Tariffs Jul2020'!S17/100*'Tariffs Jul2020'!AI17,0)</f>
        <v>245.70000000000002</v>
      </c>
      <c r="J23" s="59">
        <f>IF($C$5*'Tariffs Jul2020'!AL17/'Tariffs Jul2020'!AJ17&gt;='Tariffs Jul2020'!J17,('Tariffs Jul2020'!J17*'Tariffs Jul2020'!U17/100)* 'Tariffs Jul2020'!AJ17,($C$5*'Tariffs Jul2020'!AL17/'Tariffs Jul2020'!AJ17*'Tariffs Jul2020'!U17/100)* 'Tariffs Jul2020'!AJ17)</f>
        <v>221.39999999999998</v>
      </c>
      <c r="K23" s="59">
        <f>IF($C$5*'Tariffs Jul2020'!AL17/'Tariffs Jul2020'!AJ17&lt;'Tariffs Jul2020'!J17,0,IF($C$5*'Tariffs Jul2020'!AL17/'Tariffs Jul2020'!AJ17&lt;='Tariffs Jul2020'!K17,($C$5*'Tariffs Jul2020'!AL17/'Tariffs Jul2020'!AJ17-'Tariffs Jul2020'!J17)*('Tariffs Jul2020'!V17/100)*'Tariffs Jul2020'!AJ17,('Tariffs Jul2020'!K17-'Tariffs Jul2020'!J17)*('Tariffs Jul2020'!V17/100)*'Tariffs Jul2020'!AJ17))</f>
        <v>194.39999999999998</v>
      </c>
      <c r="L23" s="59">
        <f>IF($C$5*'Tariffs Jul2020'!AL17/'Tariffs Jul2020'!AJ17&lt;'Tariffs Jul2020'!K17,0,IF($C$5*'Tariffs Jul2020'!AL17/'Tariffs Jul2020'!AJ17&lt;='Tariffs Jul2020'!L17,($C$5*'Tariffs Jul2020'!AL17/'Tariffs Jul2020'!AJ17-'Tariffs Jul2020'!K17)*('Tariffs Jul2020'!W17/100)*'Tariffs Jul2020'!AJ17,('Tariffs Jul2020'!L17-'Tariffs Jul2020'!K17)*('Tariffs Jul2020'!W17/100)*'Tariffs Jul2020'!AJ17))</f>
        <v>0</v>
      </c>
      <c r="M23" s="59">
        <f>IF($C$5*'Tariffs Jul2020'!AL17/'Tariffs Jul2020'!AJ17&lt;'Tariffs Jul2020'!L17,0,IF($C$5*'Tariffs Jul2020'!AL17/'Tariffs Jul2020'!AJ17&lt;='Tariffs Jul2020'!M17,($C$5*'Tariffs Jul2020'!AL17/'Tariffs Jul2020'!AJ17-'Tariffs Jul2020'!L17)*('Tariffs Jul2020'!X17/100)*'Tariffs Jul2020'!AJ17,('Tariffs Jul2020'!M17-'Tariffs Jul2020'!L17)*('Tariffs Jul2020'!X17/100)*'Tariffs Jul2020'!AJ17))</f>
        <v>0</v>
      </c>
      <c r="N23" s="59">
        <f>IF(($C$5*'Tariffs Jul2020'!AL17/'Tariffs Jul2020'!AJ17&gt;'Tariffs Jul2020'!M17),($C$5*'Tariffs Jul2020'!AL17/'Tariffs Jul2020'!AJ17-'Tariffs Jul2020'!M17)*'Tariffs Jul2020'!Y17/100*'Tariffs Jul2020'!AJ17,0)</f>
        <v>245.70000000000002</v>
      </c>
      <c r="O23" s="59">
        <f t="shared" si="1"/>
        <v>1323</v>
      </c>
      <c r="P23" s="503">
        <f t="shared" si="2"/>
        <v>1455.3000000000002</v>
      </c>
      <c r="Q23" s="59">
        <f t="shared" si="3"/>
        <v>1582.15</v>
      </c>
      <c r="R23" s="272">
        <f t="shared" si="4"/>
        <v>1740.3650000000002</v>
      </c>
      <c r="S23" s="40">
        <f>'Tariffs Jul2020'!AN17</f>
        <v>0</v>
      </c>
      <c r="T23" s="40">
        <f>'Tariffs Jul2020'!AO17</f>
        <v>0</v>
      </c>
      <c r="U23" s="40">
        <f>'Tariffs Jul2020'!AP17</f>
        <v>0</v>
      </c>
      <c r="V23" s="40">
        <f>'Tariffs Jul2020'!AQ17</f>
        <v>15</v>
      </c>
      <c r="W23" s="284">
        <f>Q23</f>
        <v>1582.15</v>
      </c>
      <c r="X23" s="284">
        <f>W23-(O23*V23/100)</f>
        <v>1383.7</v>
      </c>
      <c r="Y23" s="507">
        <f t="shared" si="5"/>
        <v>1740.3650000000002</v>
      </c>
      <c r="Z23" s="507">
        <f t="shared" si="5"/>
        <v>1522.0700000000002</v>
      </c>
      <c r="AA23" s="274">
        <f>'Tariffs Jul2020'!AZ17</f>
        <v>0</v>
      </c>
      <c r="AB23" s="274" t="str">
        <f>'Tariffs Jul2020'!BA17</f>
        <v>n</v>
      </c>
      <c r="AC23" s="275" t="str">
        <f>'Tariffs Jul2020'!BJ17</f>
        <v>Y</v>
      </c>
      <c r="AD23" s="511"/>
      <c r="AE23" s="511"/>
      <c r="AF23" s="513"/>
      <c r="AG23" s="546"/>
      <c r="AH23" s="546"/>
      <c r="AI23" s="546"/>
      <c r="AJ23" s="546"/>
      <c r="AK23" s="546"/>
      <c r="AL23" s="546"/>
      <c r="AM23" s="546"/>
      <c r="AN23" s="546"/>
      <c r="AO23" s="546"/>
      <c r="AP23" s="546"/>
      <c r="AQ23" s="546"/>
      <c r="AR23" s="546"/>
      <c r="AS23" s="546"/>
      <c r="AT23" s="546"/>
      <c r="AU23" s="546"/>
      <c r="AV23" s="546"/>
      <c r="AW23" s="546"/>
      <c r="AX23" s="546"/>
      <c r="AY23" s="546"/>
      <c r="AZ23" s="546"/>
    </row>
    <row r="24" spans="1:52" ht="15" thickBot="1" x14ac:dyDescent="0.2">
      <c r="A24" s="276" t="str">
        <f>'Tariffs Jul2020'!F18</f>
        <v>Kogan Energy</v>
      </c>
      <c r="B24" s="277" t="str">
        <f>'Tariffs Jul2020'!D18</f>
        <v>Multinet Metro 1</v>
      </c>
      <c r="C24" s="277" t="str">
        <f>'Tariffs Jul2020'!G18</f>
        <v>Market offer</v>
      </c>
      <c r="D24" s="278">
        <f>365*'Tariffs Jul2020'!H18/100</f>
        <v>251.01049999999998</v>
      </c>
      <c r="E24" s="278">
        <f>((C$5*'Tariffs Jul2020'!AK18/'Tariffs Jul2020'!AI18)*('Tariffs Jul2020'!O18/100))*'Tariffs Jul2020'!AI18</f>
        <v>655.19999999999993</v>
      </c>
      <c r="F24" s="278">
        <v>0</v>
      </c>
      <c r="G24" s="278">
        <v>0</v>
      </c>
      <c r="H24" s="278">
        <v>0</v>
      </c>
      <c r="I24" s="278">
        <v>0</v>
      </c>
      <c r="J24" s="278">
        <f>((C$5*'Tariffs Jul2020'!AL18/'Tariffs Jul2020'!AJ18)*('Tariffs Jul2020'!U18/100))*'Tariffs Jul2020'!AJ18</f>
        <v>570.15000000000009</v>
      </c>
      <c r="K24" s="278">
        <v>0</v>
      </c>
      <c r="L24" s="278">
        <v>0</v>
      </c>
      <c r="M24" s="278">
        <v>0</v>
      </c>
      <c r="N24" s="278">
        <v>0</v>
      </c>
      <c r="O24" s="278">
        <f t="shared" si="1"/>
        <v>1225.3499999999999</v>
      </c>
      <c r="P24" s="504">
        <f t="shared" si="2"/>
        <v>1347.885</v>
      </c>
      <c r="Q24" s="278">
        <f t="shared" si="3"/>
        <v>1476.3604999999998</v>
      </c>
      <c r="R24" s="280">
        <f t="shared" si="4"/>
        <v>1623.9965499999998</v>
      </c>
      <c r="S24" s="277">
        <f>'Tariffs Jul2020'!AN18</f>
        <v>0</v>
      </c>
      <c r="T24" s="277">
        <f>'Tariffs Jul2020'!AO18</f>
        <v>0</v>
      </c>
      <c r="U24" s="277">
        <f>'Tariffs Jul2020'!AP18</f>
        <v>0</v>
      </c>
      <c r="V24" s="277">
        <f>'Tariffs Jul2020'!AQ18</f>
        <v>0</v>
      </c>
      <c r="W24" s="285">
        <f t="shared" ref="W24" si="8">Q24</f>
        <v>1476.3604999999998</v>
      </c>
      <c r="X24" s="285">
        <f t="shared" ref="X24:X35" si="9">W24</f>
        <v>1476.3604999999998</v>
      </c>
      <c r="Y24" s="508">
        <f t="shared" si="5"/>
        <v>1623.9965499999998</v>
      </c>
      <c r="Z24" s="508">
        <f t="shared" si="5"/>
        <v>1623.9965499999998</v>
      </c>
      <c r="AA24" s="282">
        <f>'Tariffs Jul2020'!AZ18</f>
        <v>0</v>
      </c>
      <c r="AB24" s="282" t="str">
        <f>'Tariffs Jul2020'!BA18</f>
        <v>n</v>
      </c>
      <c r="AC24" s="283" t="str">
        <f>'Tariffs Jul2020'!BJ18</f>
        <v>N</v>
      </c>
      <c r="AD24" s="511"/>
      <c r="AE24" s="511"/>
      <c r="AF24" s="513"/>
      <c r="AG24" s="546"/>
      <c r="AH24" s="546"/>
      <c r="AI24" s="546"/>
      <c r="AJ24" s="546"/>
      <c r="AK24" s="546"/>
      <c r="AL24" s="546"/>
      <c r="AM24" s="546"/>
      <c r="AN24" s="546"/>
      <c r="AO24" s="546"/>
      <c r="AP24" s="546"/>
      <c r="AQ24" s="546"/>
      <c r="AR24" s="546"/>
      <c r="AS24" s="546"/>
      <c r="AT24" s="546"/>
      <c r="AU24" s="546"/>
      <c r="AV24" s="546"/>
      <c r="AW24" s="546"/>
      <c r="AX24" s="546"/>
      <c r="AY24" s="546"/>
      <c r="AZ24" s="546"/>
    </row>
    <row r="25" spans="1:52" ht="15" thickTop="1" x14ac:dyDescent="0.15">
      <c r="A25" s="270" t="str">
        <f>'Tariffs Jul2020'!F19</f>
        <v>AGL</v>
      </c>
      <c r="B25" s="40" t="str">
        <f>'Tariffs Jul2020'!D19</f>
        <v>Multinet Metro 2</v>
      </c>
      <c r="C25" s="40" t="str">
        <f>'Tariffs Jul2020'!G19</f>
        <v>Essentials Saver</v>
      </c>
      <c r="D25" s="59">
        <f>365*'Tariffs Jul2020'!H19/100</f>
        <v>303.42449999999997</v>
      </c>
      <c r="E25" s="59">
        <f>IF($C$5*'Tariffs Jul2020'!AK19/'Tariffs Jul2020'!AI19&gt;='Tariffs Jul2020'!J19,( 'Tariffs Jul2020'!J19*'Tariffs Jul2020'!O19/100)* 'Tariffs Jul2020'!AI19,($C$5*'Tariffs Jul2020'!AK19/'Tariffs Jul2020'!AI19*'Tariffs Jul2020'!O19/100)* 'Tariffs Jul2020'!AI19)</f>
        <v>178.2</v>
      </c>
      <c r="F25" s="59">
        <f>IF($C$5*'Tariffs Jul2020'!AK19/'Tariffs Jul2020'!AI19&lt;'Tariffs Jul2020'!J19,0,IF($C$5*'Tariffs Jul2020'!AK19/'Tariffs Jul2020'!AI19&lt;='Tariffs Jul2020'!K19,($C$5*'Tariffs Jul2020'!AK19/'Tariffs Jul2020'!AI19-'Tariffs Jul2020'!J19)*('Tariffs Jul2020'!P19/100)*'Tariffs Jul2020'!AI19,('Tariffs Jul2020'!K19-'Tariffs Jul2020'!J19)*('Tariffs Jul2020'!P19/100)*'Tariffs Jul2020'!AI19))</f>
        <v>159.30000000000001</v>
      </c>
      <c r="G25" s="59">
        <f>IF($C$5*'Tariffs Jul2020'!AK19/'Tariffs Jul2020'!AI19&lt;'Tariffs Jul2020'!K19,0,IF($C$5*'Tariffs Jul2020'!AK19/'Tariffs Jul2020'!AI19&lt;='Tariffs Jul2020'!L19,($C$5*'Tariffs Jul2020'!AK19/'Tariffs Jul2020'!AI19-'Tariffs Jul2020'!K19)*('Tariffs Jul2020'!Q19/100)*'Tariffs Jul2020'!AI19,('Tariffs Jul2020'!L19-'Tariffs Jul2020'!K19)*('Tariffs Jul2020'!Q19/100)*'Tariffs Jul2020'!AI19))</f>
        <v>129.6</v>
      </c>
      <c r="H25" s="59">
        <f>IF($C$5*'Tariffs Jul2020'!AK19/'Tariffs Jul2020'!AI19&lt;'Tariffs Jul2020'!L19,0,IF($C$5*'Tariffs Jul2020'!AK19/'Tariffs Jul2020'!AI19&lt;='Tariffs Jul2020'!M19,($C$5*'Tariffs Jul2020'!AK19/'Tariffs Jul2020'!AI19-'Tariffs Jul2020'!L19)*('Tariffs Jul2020'!R19/100)*'Tariffs Jul2020'!AI19,('Tariffs Jul2020'!M19-'Tariffs Jul2020'!L19)*('Tariffs Jul2020'!R19/100)*'Tariffs Jul2020'!AI19))</f>
        <v>56.25</v>
      </c>
      <c r="I25" s="59">
        <f>IF(($C$5*'Tariffs Jul2020'!AK19/'Tariffs Jul2020'!AI19&gt;'Tariffs Jul2020'!M19),($C$5*'Tariffs Jul2020'!AK19/'Tariffs Jul2020'!AI19-'Tariffs Jul2020'!M19)*'Tariffs Jul2020'!S19/100*'Tariffs Jul2020'!AI19,0)</f>
        <v>0</v>
      </c>
      <c r="J25" s="59">
        <f>IF($C$5*'Tariffs Jul2020'!AL19/'Tariffs Jul2020'!AJ19&gt;='Tariffs Jul2020'!J19,('Tariffs Jul2020'!J19*'Tariffs Jul2020'!U19/100)* 'Tariffs Jul2020'!AJ19,($C$5*'Tariffs Jul2020'!AL19/'Tariffs Jul2020'!AJ19*'Tariffs Jul2020'!U19/100)* 'Tariffs Jul2020'!AJ19)</f>
        <v>170.10000000000002</v>
      </c>
      <c r="K25" s="59">
        <f>IF($C$5*'Tariffs Jul2020'!AL19/'Tariffs Jul2020'!AJ19&lt;'Tariffs Jul2020'!J19,0,IF($C$5*'Tariffs Jul2020'!AL19/'Tariffs Jul2020'!AJ19&lt;='Tariffs Jul2020'!K19,($C$5*'Tariffs Jul2020'!AL19/'Tariffs Jul2020'!AJ19-'Tariffs Jul2020'!J19)*('Tariffs Jul2020'!V19/100)*'Tariffs Jul2020'!AJ19,('Tariffs Jul2020'!K19-'Tariffs Jul2020'!J19)*('Tariffs Jul2020'!V19/100)*'Tariffs Jul2020'!AJ19))</f>
        <v>150.30000000000001</v>
      </c>
      <c r="L25" s="59">
        <f>IF($C$5*'Tariffs Jul2020'!AL19/'Tariffs Jul2020'!AJ19&lt;'Tariffs Jul2020'!K19,0,IF($C$5*'Tariffs Jul2020'!AL19/'Tariffs Jul2020'!AJ19&lt;='Tariffs Jul2020'!L19,($C$5*'Tariffs Jul2020'!AL19/'Tariffs Jul2020'!AJ19-'Tariffs Jul2020'!K19)*('Tariffs Jul2020'!W19/100)*'Tariffs Jul2020'!AJ19,('Tariffs Jul2020'!L19-'Tariffs Jul2020'!K19)*('Tariffs Jul2020'!W19/100)*'Tariffs Jul2020'!AJ19))</f>
        <v>124.19999999999999</v>
      </c>
      <c r="M25" s="59">
        <f>IF($C$5*'Tariffs Jul2020'!AL19/'Tariffs Jul2020'!AJ19&lt;'Tariffs Jul2020'!L19,0,IF($C$5*'Tariffs Jul2020'!AL19/'Tariffs Jul2020'!AJ19&lt;='Tariffs Jul2020'!M19,($C$5*'Tariffs Jul2020'!AL19/'Tariffs Jul2020'!AJ19-'Tariffs Jul2020'!L19)*('Tariffs Jul2020'!X19/100)*'Tariffs Jul2020'!AJ19,('Tariffs Jul2020'!M19-'Tariffs Jul2020'!L19)*('Tariffs Jul2020'!X19/100)*'Tariffs Jul2020'!AJ19))</f>
        <v>55.349999999999994</v>
      </c>
      <c r="N25" s="59">
        <f>IF(($C$5*'Tariffs Jul2020'!AL19/'Tariffs Jul2020'!AJ19&gt;'Tariffs Jul2020'!M19),($C$5*'Tariffs Jul2020'!AL19/'Tariffs Jul2020'!AJ19-'Tariffs Jul2020'!M19)*'Tariffs Jul2020'!Y19/100*'Tariffs Jul2020'!AJ19,0)</f>
        <v>0</v>
      </c>
      <c r="O25" s="59">
        <f t="shared" si="1"/>
        <v>1023.3000000000001</v>
      </c>
      <c r="P25" s="503">
        <f t="shared" si="2"/>
        <v>1125.6300000000001</v>
      </c>
      <c r="Q25" s="59">
        <f t="shared" si="3"/>
        <v>1326.7245</v>
      </c>
      <c r="R25" s="272">
        <f t="shared" si="4"/>
        <v>1459.3969500000001</v>
      </c>
      <c r="S25" s="40">
        <f>'Tariffs Jul2020'!AN19</f>
        <v>0</v>
      </c>
      <c r="T25" s="40">
        <f>'Tariffs Jul2020'!AO19</f>
        <v>0</v>
      </c>
      <c r="U25" s="40">
        <f>'Tariffs Jul2020'!AP19</f>
        <v>0</v>
      </c>
      <c r="V25" s="40">
        <f>'Tariffs Jul2020'!AQ19</f>
        <v>0</v>
      </c>
      <c r="W25" s="284">
        <f>Q25</f>
        <v>1326.7245</v>
      </c>
      <c r="X25" s="284">
        <f t="shared" si="9"/>
        <v>1326.7245</v>
      </c>
      <c r="Y25" s="507">
        <f>W25*1.1</f>
        <v>1459.3969500000001</v>
      </c>
      <c r="Z25" s="507">
        <f>X25*1.1</f>
        <v>1459.3969500000001</v>
      </c>
      <c r="AA25" s="274">
        <f>'Tariffs Jul2020'!AZ19</f>
        <v>0</v>
      </c>
      <c r="AB25" s="274" t="str">
        <f>'Tariffs Jul2020'!BA19</f>
        <v>n</v>
      </c>
      <c r="AC25" s="275" t="str">
        <f>'Tariffs Jul2020'!BJ19</f>
        <v>N</v>
      </c>
      <c r="AD25" s="511"/>
      <c r="AE25" s="511"/>
      <c r="AF25" s="513"/>
      <c r="AG25" s="546"/>
      <c r="AH25" s="546"/>
      <c r="AI25" s="546"/>
      <c r="AJ25" s="546"/>
      <c r="AK25" s="546"/>
      <c r="AL25" s="546"/>
      <c r="AM25" s="546"/>
      <c r="AN25" s="546"/>
      <c r="AO25" s="546"/>
      <c r="AP25" s="546"/>
      <c r="AQ25" s="546"/>
      <c r="AR25" s="546"/>
      <c r="AS25" s="546"/>
      <c r="AT25" s="546"/>
      <c r="AU25" s="546"/>
      <c r="AV25" s="546"/>
      <c r="AW25" s="546"/>
      <c r="AX25" s="546"/>
      <c r="AY25" s="546"/>
      <c r="AZ25" s="546"/>
    </row>
    <row r="26" spans="1:52" ht="14" x14ac:dyDescent="0.15">
      <c r="A26" s="270" t="str">
        <f>'Tariffs Jul2020'!F20</f>
        <v>Alinta Energy</v>
      </c>
      <c r="B26" s="40" t="str">
        <f>'Tariffs Jul2020'!D20</f>
        <v>Multinet Metro 2</v>
      </c>
      <c r="C26" s="40" t="str">
        <f>'Tariffs Jul2020'!G20</f>
        <v>Home Deal</v>
      </c>
      <c r="D26" s="59">
        <f>365*'Tariffs Jul2020'!H20/100</f>
        <v>251.85</v>
      </c>
      <c r="E26" s="59">
        <f>IF($C$5*'Tariffs Jul2020'!AK20/'Tariffs Jul2020'!AI20&gt;='Tariffs Jul2020'!J20,( 'Tariffs Jul2020'!J20*'Tariffs Jul2020'!O20/100)* 'Tariffs Jul2020'!AI20,($C$5*'Tariffs Jul2020'!AK20/'Tariffs Jul2020'!AI20*'Tariffs Jul2020'!O20/100)* 'Tariffs Jul2020'!AI20)</f>
        <v>189</v>
      </c>
      <c r="F26" s="59">
        <f>IF($C$5*'Tariffs Jul2020'!AK20/'Tariffs Jul2020'!AI20&lt;'Tariffs Jul2020'!J20,0,IF($C$5*'Tariffs Jul2020'!AK20/'Tariffs Jul2020'!AI20&lt;='Tariffs Jul2020'!K20,($C$5*'Tariffs Jul2020'!AK20/'Tariffs Jul2020'!AI20-'Tariffs Jul2020'!J20)*('Tariffs Jul2020'!P20/100)*'Tariffs Jul2020'!AI20,('Tariffs Jul2020'!K20-'Tariffs Jul2020'!J20)*('Tariffs Jul2020'!P20/100)*'Tariffs Jul2020'!AI20))</f>
        <v>171</v>
      </c>
      <c r="G26" s="59">
        <f>IF($C$5*'Tariffs Jul2020'!AK20/'Tariffs Jul2020'!AI20&lt;'Tariffs Jul2020'!K20,0,IF($C$5*'Tariffs Jul2020'!AK20/'Tariffs Jul2020'!AI20&lt;='Tariffs Jul2020'!L20,($C$5*'Tariffs Jul2020'!AK20/'Tariffs Jul2020'!AI20-'Tariffs Jul2020'!K20)*('Tariffs Jul2020'!Q20/100)*'Tariffs Jul2020'!AI20,('Tariffs Jul2020'!L20-'Tariffs Jul2020'!K20)*('Tariffs Jul2020'!Q20/100)*'Tariffs Jul2020'!AI20))</f>
        <v>0</v>
      </c>
      <c r="H26" s="59">
        <f>IF($C$5*'Tariffs Jul2020'!AK20/'Tariffs Jul2020'!AI20&lt;'Tariffs Jul2020'!L20,0,IF($C$5*'Tariffs Jul2020'!AK20/'Tariffs Jul2020'!AI20&lt;='Tariffs Jul2020'!M20,($C$5*'Tariffs Jul2020'!AK20/'Tariffs Jul2020'!AI20-'Tariffs Jul2020'!L20)*('Tariffs Jul2020'!R20/100)*'Tariffs Jul2020'!AI20,('Tariffs Jul2020'!M20-'Tariffs Jul2020'!L20)*('Tariffs Jul2020'!R20/100)*'Tariffs Jul2020'!AI20))</f>
        <v>0</v>
      </c>
      <c r="I26" s="59">
        <f>IF(($C$5*'Tariffs Jul2020'!AK20/'Tariffs Jul2020'!AI20&gt;'Tariffs Jul2020'!M20),($C$5*'Tariffs Jul2020'!AK20/'Tariffs Jul2020'!AI20-'Tariffs Jul2020'!M20)*'Tariffs Jul2020'!S20/100*'Tariffs Jul2020'!AI20,0)</f>
        <v>202.5</v>
      </c>
      <c r="J26" s="59">
        <f>IF($C$5*'Tariffs Jul2020'!AL20/'Tariffs Jul2020'!AJ20&gt;='Tariffs Jul2020'!J20,('Tariffs Jul2020'!J20*'Tariffs Jul2020'!U20/100)* 'Tariffs Jul2020'!AJ20,($C$5*'Tariffs Jul2020'!AL20/'Tariffs Jul2020'!AJ20*'Tariffs Jul2020'!U20/100)* 'Tariffs Jul2020'!AJ20)</f>
        <v>189</v>
      </c>
      <c r="K26" s="59">
        <f>IF($C$5*'Tariffs Jul2020'!AL20/'Tariffs Jul2020'!AJ20&lt;'Tariffs Jul2020'!J20,0,IF($C$5*'Tariffs Jul2020'!AL20/'Tariffs Jul2020'!AJ20&lt;='Tariffs Jul2020'!K20,($C$5*'Tariffs Jul2020'!AL20/'Tariffs Jul2020'!AJ20-'Tariffs Jul2020'!J20)*('Tariffs Jul2020'!V20/100)*'Tariffs Jul2020'!AJ20,('Tariffs Jul2020'!K20-'Tariffs Jul2020'!J20)*('Tariffs Jul2020'!V20/100)*'Tariffs Jul2020'!AJ20))</f>
        <v>162.00000000000003</v>
      </c>
      <c r="L26" s="59">
        <f>IF($C$5*'Tariffs Jul2020'!AL20/'Tariffs Jul2020'!AJ20&lt;'Tariffs Jul2020'!K20,0,IF($C$5*'Tariffs Jul2020'!AL20/'Tariffs Jul2020'!AJ20&lt;='Tariffs Jul2020'!L20,($C$5*'Tariffs Jul2020'!AL20/'Tariffs Jul2020'!AJ20-'Tariffs Jul2020'!K20)*('Tariffs Jul2020'!W20/100)*'Tariffs Jul2020'!AJ20,('Tariffs Jul2020'!L20-'Tariffs Jul2020'!K20)*('Tariffs Jul2020'!W20/100)*'Tariffs Jul2020'!AJ20))</f>
        <v>0</v>
      </c>
      <c r="M26" s="59">
        <f>IF($C$5*'Tariffs Jul2020'!AL20/'Tariffs Jul2020'!AJ20&lt;'Tariffs Jul2020'!L20,0,IF($C$5*'Tariffs Jul2020'!AL20/'Tariffs Jul2020'!AJ20&lt;='Tariffs Jul2020'!M20,($C$5*'Tariffs Jul2020'!AL20/'Tariffs Jul2020'!AJ20-'Tariffs Jul2020'!L20)*('Tariffs Jul2020'!X20/100)*'Tariffs Jul2020'!AJ20,('Tariffs Jul2020'!M20-'Tariffs Jul2020'!L20)*('Tariffs Jul2020'!X20/100)*'Tariffs Jul2020'!AJ20))</f>
        <v>0</v>
      </c>
      <c r="N26" s="59">
        <f>IF(($C$5*'Tariffs Jul2020'!AL20/'Tariffs Jul2020'!AJ20&gt;'Tariffs Jul2020'!M20),($C$5*'Tariffs Jul2020'!AL20/'Tariffs Jul2020'!AJ20-'Tariffs Jul2020'!M20)*'Tariffs Jul2020'!Y20/100*'Tariffs Jul2020'!AJ20,0)</f>
        <v>202.5</v>
      </c>
      <c r="O26" s="59">
        <f t="shared" si="1"/>
        <v>1116</v>
      </c>
      <c r="P26" s="503">
        <f t="shared" si="2"/>
        <v>1227.6000000000001</v>
      </c>
      <c r="Q26" s="59">
        <f t="shared" si="3"/>
        <v>1367.85</v>
      </c>
      <c r="R26" s="272">
        <f t="shared" si="4"/>
        <v>1504.635</v>
      </c>
      <c r="S26" s="40">
        <f>'Tariffs Jul2020'!AN20</f>
        <v>0</v>
      </c>
      <c r="T26" s="40">
        <f>'Tariffs Jul2020'!AO20</f>
        <v>0</v>
      </c>
      <c r="U26" s="40">
        <f>'Tariffs Jul2020'!AP20</f>
        <v>0</v>
      </c>
      <c r="V26" s="40">
        <f>'Tariffs Jul2020'!AQ20</f>
        <v>0</v>
      </c>
      <c r="W26" s="284">
        <f>Q26</f>
        <v>1367.85</v>
      </c>
      <c r="X26" s="284">
        <f t="shared" si="9"/>
        <v>1367.85</v>
      </c>
      <c r="Y26" s="507">
        <f>W26*1.1</f>
        <v>1504.635</v>
      </c>
      <c r="Z26" s="507">
        <f t="shared" ref="Z26:Z32" si="10">X26*1.1</f>
        <v>1504.635</v>
      </c>
      <c r="AA26" s="274">
        <f>'Tariffs Jul2020'!AZ20</f>
        <v>0</v>
      </c>
      <c r="AB26" s="274" t="str">
        <f>'Tariffs Jul2020'!BA20</f>
        <v>n</v>
      </c>
      <c r="AC26" s="275" t="str">
        <f>'Tariffs Jul2020'!BJ20</f>
        <v>N</v>
      </c>
      <c r="AD26" s="511"/>
      <c r="AE26" s="511"/>
      <c r="AF26" s="513"/>
      <c r="AG26" s="546"/>
      <c r="AH26" s="546"/>
      <c r="AI26" s="546"/>
      <c r="AJ26" s="546"/>
      <c r="AK26" s="546"/>
      <c r="AL26" s="546"/>
      <c r="AM26" s="546"/>
      <c r="AN26" s="546"/>
      <c r="AO26" s="546"/>
      <c r="AP26" s="546"/>
      <c r="AQ26" s="546"/>
      <c r="AR26" s="546"/>
      <c r="AS26" s="546"/>
      <c r="AT26" s="546"/>
      <c r="AU26" s="546"/>
      <c r="AV26" s="546"/>
      <c r="AW26" s="546"/>
      <c r="AX26" s="546"/>
      <c r="AY26" s="546"/>
      <c r="AZ26" s="546"/>
    </row>
    <row r="27" spans="1:52" ht="14" x14ac:dyDescent="0.15">
      <c r="A27" s="270" t="str">
        <f>'Tariffs Jul2020'!F21</f>
        <v>Click Energy</v>
      </c>
      <c r="B27" s="40" t="str">
        <f>'Tariffs Jul2020'!D21</f>
        <v>Multinet Metro 2</v>
      </c>
      <c r="C27" s="40" t="str">
        <f>'Tariffs Jul2020'!G21</f>
        <v>Flora</v>
      </c>
      <c r="D27" s="59">
        <f>365*'Tariffs Jul2020'!H21/100</f>
        <v>182.42699999999996</v>
      </c>
      <c r="E27" s="59">
        <f>IF($C$5*'Tariffs Jul2020'!AK21/'Tariffs Jul2020'!AI21&gt;='Tariffs Jul2020'!J21,( 'Tariffs Jul2020'!J21*'Tariffs Jul2020'!O21/100)* 'Tariffs Jul2020'!AI21,($C$5*'Tariffs Jul2020'!AK21/'Tariffs Jul2020'!AI21*'Tariffs Jul2020'!O21/100)* 'Tariffs Jul2020'!AI21)</f>
        <v>193.5</v>
      </c>
      <c r="F27" s="59">
        <f>IF($C$5*'Tariffs Jul2020'!AK21/'Tariffs Jul2020'!AI21&lt;'Tariffs Jul2020'!J21,0,IF($C$5*'Tariffs Jul2020'!AK21/'Tariffs Jul2020'!AI21&lt;='Tariffs Jul2020'!K21,($C$5*'Tariffs Jul2020'!AK21/'Tariffs Jul2020'!AI21-'Tariffs Jul2020'!J21)*('Tariffs Jul2020'!P21/100)*'Tariffs Jul2020'!AI21,('Tariffs Jul2020'!K21-'Tariffs Jul2020'!J21)*('Tariffs Jul2020'!P21/100)*'Tariffs Jul2020'!AI21))</f>
        <v>166.50000000000003</v>
      </c>
      <c r="G27" s="59">
        <f>IF($C$5*'Tariffs Jul2020'!AK21/'Tariffs Jul2020'!AI21&lt;'Tariffs Jul2020'!K21,0,IF($C$5*'Tariffs Jul2020'!AK21/'Tariffs Jul2020'!AI21&lt;='Tariffs Jul2020'!L21,($C$5*'Tariffs Jul2020'!AK21/'Tariffs Jul2020'!AI21-'Tariffs Jul2020'!K21)*('Tariffs Jul2020'!Q21/100)*'Tariffs Jul2020'!AI21,('Tariffs Jul2020'!L21-'Tariffs Jul2020'!K21)*('Tariffs Jul2020'!Q21/100)*'Tariffs Jul2020'!AI21))</f>
        <v>144</v>
      </c>
      <c r="H27" s="59">
        <f>IF($C$5*'Tariffs Jul2020'!AK21/'Tariffs Jul2020'!AI21&lt;'Tariffs Jul2020'!L21,0,IF($C$5*'Tariffs Jul2020'!AK21/'Tariffs Jul2020'!AI21&lt;='Tariffs Jul2020'!M21,($C$5*'Tariffs Jul2020'!AK21/'Tariffs Jul2020'!AI21-'Tariffs Jul2020'!L21)*('Tariffs Jul2020'!R21/100)*'Tariffs Jul2020'!AI21,('Tariffs Jul2020'!M21-'Tariffs Jul2020'!L21)*('Tariffs Jul2020'!R21/100)*'Tariffs Jul2020'!AI21))</f>
        <v>67.5</v>
      </c>
      <c r="I27" s="59">
        <f>IF(($C$5*'Tariffs Jul2020'!AK21/'Tariffs Jul2020'!AI21&gt;'Tariffs Jul2020'!M21),($C$5*'Tariffs Jul2020'!AK21/'Tariffs Jul2020'!AI21-'Tariffs Jul2020'!M21)*'Tariffs Jul2020'!S21/100*'Tariffs Jul2020'!AI21,0)</f>
        <v>0</v>
      </c>
      <c r="J27" s="59">
        <f>IF($C$5*'Tariffs Jul2020'!AL21/'Tariffs Jul2020'!AJ21&gt;='Tariffs Jul2020'!J21,('Tariffs Jul2020'!J21*'Tariffs Jul2020'!U21/100)* 'Tariffs Jul2020'!AJ21,($C$5*'Tariffs Jul2020'!AL21/'Tariffs Jul2020'!AJ21*'Tariffs Jul2020'!U21/100)* 'Tariffs Jul2020'!AJ21)</f>
        <v>193.5</v>
      </c>
      <c r="K27" s="59">
        <f>IF($C$5*'Tariffs Jul2020'!AL21/'Tariffs Jul2020'!AJ21&lt;'Tariffs Jul2020'!J21,0,IF($C$5*'Tariffs Jul2020'!AL21/'Tariffs Jul2020'!AJ21&lt;='Tariffs Jul2020'!K21,($C$5*'Tariffs Jul2020'!AL21/'Tariffs Jul2020'!AJ21-'Tariffs Jul2020'!J21)*('Tariffs Jul2020'!V21/100)*'Tariffs Jul2020'!AJ21,('Tariffs Jul2020'!K21-'Tariffs Jul2020'!J21)*('Tariffs Jul2020'!V21/100)*'Tariffs Jul2020'!AJ21))</f>
        <v>170.10000000000002</v>
      </c>
      <c r="L27" s="59">
        <f>IF($C$5*'Tariffs Jul2020'!AL21/'Tariffs Jul2020'!AJ21&lt;'Tariffs Jul2020'!K21,0,IF($C$5*'Tariffs Jul2020'!AL21/'Tariffs Jul2020'!AJ21&lt;='Tariffs Jul2020'!L21,($C$5*'Tariffs Jul2020'!AL21/'Tariffs Jul2020'!AJ21-'Tariffs Jul2020'!K21)*('Tariffs Jul2020'!W21/100)*'Tariffs Jul2020'!AJ21,('Tariffs Jul2020'!L21-'Tariffs Jul2020'!K21)*('Tariffs Jul2020'!W21/100)*'Tariffs Jul2020'!AJ21))</f>
        <v>147.6</v>
      </c>
      <c r="M27" s="59">
        <f>IF($C$5*'Tariffs Jul2020'!AL21/'Tariffs Jul2020'!AJ21&lt;'Tariffs Jul2020'!L21,0,IF($C$5*'Tariffs Jul2020'!AL21/'Tariffs Jul2020'!AJ21&lt;='Tariffs Jul2020'!M21,($C$5*'Tariffs Jul2020'!AL21/'Tariffs Jul2020'!AJ21-'Tariffs Jul2020'!L21)*('Tariffs Jul2020'!X21/100)*'Tariffs Jul2020'!AJ21,('Tariffs Jul2020'!M21-'Tariffs Jul2020'!L21)*('Tariffs Jul2020'!X21/100)*'Tariffs Jul2020'!AJ21))</f>
        <v>67.5</v>
      </c>
      <c r="N27" s="59">
        <f>IF(($C$5*'Tariffs Jul2020'!AL21/'Tariffs Jul2020'!AJ21&gt;'Tariffs Jul2020'!M21),($C$5*'Tariffs Jul2020'!AL21/'Tariffs Jul2020'!AJ21-'Tariffs Jul2020'!M21)*'Tariffs Jul2020'!Y21/100*'Tariffs Jul2020'!AJ21,0)</f>
        <v>0</v>
      </c>
      <c r="O27" s="59">
        <f t="shared" si="1"/>
        <v>1150.2</v>
      </c>
      <c r="P27" s="503">
        <f t="shared" si="2"/>
        <v>1265.2200000000003</v>
      </c>
      <c r="Q27" s="59">
        <f t="shared" si="3"/>
        <v>1332.627</v>
      </c>
      <c r="R27" s="272">
        <f t="shared" si="4"/>
        <v>1465.8897000000002</v>
      </c>
      <c r="S27" s="40">
        <f>'Tariffs Jul2020'!AN21</f>
        <v>0</v>
      </c>
      <c r="T27" s="40">
        <f>'Tariffs Jul2020'!AO21</f>
        <v>0</v>
      </c>
      <c r="U27" s="40">
        <f>'Tariffs Jul2020'!AP21</f>
        <v>0</v>
      </c>
      <c r="V27" s="40">
        <f>'Tariffs Jul2020'!AQ21</f>
        <v>0</v>
      </c>
      <c r="W27" s="284">
        <f>Q27</f>
        <v>1332.627</v>
      </c>
      <c r="X27" s="284">
        <f t="shared" si="9"/>
        <v>1332.627</v>
      </c>
      <c r="Y27" s="507">
        <f t="shared" ref="Y27:Y32" si="11">W27*1.1</f>
        <v>1465.8897000000002</v>
      </c>
      <c r="Z27" s="507">
        <f t="shared" si="10"/>
        <v>1465.8897000000002</v>
      </c>
      <c r="AA27" s="274">
        <f>'Tariffs Jul2020'!AZ21</f>
        <v>0</v>
      </c>
      <c r="AB27" s="274" t="str">
        <f>'Tariffs Jul2020'!BA21</f>
        <v>n</v>
      </c>
      <c r="AC27" s="275" t="str">
        <f>'Tariffs Jul2020'!BJ21</f>
        <v>N</v>
      </c>
      <c r="AD27" s="511"/>
      <c r="AE27" s="511"/>
      <c r="AF27" s="513"/>
      <c r="AG27" s="546"/>
      <c r="AH27" s="546"/>
      <c r="AI27" s="546"/>
      <c r="AJ27" s="546"/>
      <c r="AK27" s="546"/>
      <c r="AL27" s="546"/>
      <c r="AM27" s="546"/>
      <c r="AN27" s="546"/>
      <c r="AO27" s="546"/>
      <c r="AP27" s="546"/>
      <c r="AQ27" s="546"/>
      <c r="AR27" s="546"/>
      <c r="AS27" s="546"/>
      <c r="AT27" s="546"/>
      <c r="AU27" s="546"/>
      <c r="AV27" s="546"/>
      <c r="AW27" s="546"/>
      <c r="AX27" s="546"/>
      <c r="AY27" s="546"/>
      <c r="AZ27" s="546"/>
    </row>
    <row r="28" spans="1:52" ht="14" x14ac:dyDescent="0.15">
      <c r="A28" s="270" t="str">
        <f>'Tariffs Jul2020'!F22</f>
        <v>Covau</v>
      </c>
      <c r="B28" s="40" t="str">
        <f>'Tariffs Jul2020'!D22</f>
        <v>Multinet Metro 2</v>
      </c>
      <c r="C28" s="40" t="str">
        <f>'Tariffs Jul2020'!G22</f>
        <v>Smart Saver</v>
      </c>
      <c r="D28" s="59">
        <f>365*'Tariffs Jul2020'!H22/100</f>
        <v>284.7</v>
      </c>
      <c r="E28" s="59">
        <f>IF($C$5*'Tariffs Jul2020'!AK22/'Tariffs Jul2020'!AI22&gt;='Tariffs Jul2020'!J22,( 'Tariffs Jul2020'!J22*'Tariffs Jul2020'!O22/100)* 'Tariffs Jul2020'!AI22,($C$5*'Tariffs Jul2020'!AK22/'Tariffs Jul2020'!AI22*'Tariffs Jul2020'!O22/100)* 'Tariffs Jul2020'!AI22)</f>
        <v>261</v>
      </c>
      <c r="F28" s="59">
        <f>IF($C$5*'Tariffs Jul2020'!AK22/'Tariffs Jul2020'!AI22&lt;'Tariffs Jul2020'!J22,0,IF($C$5*'Tariffs Jul2020'!AK22/'Tariffs Jul2020'!AI22&lt;='Tariffs Jul2020'!K22,($C$5*'Tariffs Jul2020'!AK22/'Tariffs Jul2020'!AI22-'Tariffs Jul2020'!J22)*('Tariffs Jul2020'!P22/100)*'Tariffs Jul2020'!AI22,('Tariffs Jul2020'!K22-'Tariffs Jul2020'!J22)*('Tariffs Jul2020'!P22/100)*'Tariffs Jul2020'!AI22))</f>
        <v>234.89999999999998</v>
      </c>
      <c r="G28" s="59">
        <f>IF($C$5*'Tariffs Jul2020'!AK22/'Tariffs Jul2020'!AI22&lt;'Tariffs Jul2020'!K22,0,IF($C$5*'Tariffs Jul2020'!AK22/'Tariffs Jul2020'!AI22&lt;='Tariffs Jul2020'!L22,($C$5*'Tariffs Jul2020'!AK22/'Tariffs Jul2020'!AI22-'Tariffs Jul2020'!K22)*('Tariffs Jul2020'!Q22/100)*'Tariffs Jul2020'!AI22,('Tariffs Jul2020'!L22-'Tariffs Jul2020'!K22)*('Tariffs Jul2020'!Q22/100)*'Tariffs Jul2020'!AI22))</f>
        <v>216</v>
      </c>
      <c r="H28" s="59">
        <f>IF($C$5*'Tariffs Jul2020'!AK22/'Tariffs Jul2020'!AI22&lt;'Tariffs Jul2020'!L22,0,IF($C$5*'Tariffs Jul2020'!AK22/'Tariffs Jul2020'!AI22&lt;='Tariffs Jul2020'!M22,($C$5*'Tariffs Jul2020'!AK22/'Tariffs Jul2020'!AI22-'Tariffs Jul2020'!L22)*('Tariffs Jul2020'!R22/100)*'Tariffs Jul2020'!AI22,('Tariffs Jul2020'!M22-'Tariffs Jul2020'!L22)*('Tariffs Jul2020'!R22/100)*'Tariffs Jul2020'!AI22))</f>
        <v>99</v>
      </c>
      <c r="I28" s="59">
        <f>IF(($C$5*'Tariffs Jul2020'!AK22/'Tariffs Jul2020'!AI22&gt;'Tariffs Jul2020'!M22),($C$5*'Tariffs Jul2020'!AK22/'Tariffs Jul2020'!AI22-'Tariffs Jul2020'!M22)*'Tariffs Jul2020'!S22/100*'Tariffs Jul2020'!AI22,0)</f>
        <v>0</v>
      </c>
      <c r="J28" s="59">
        <f>IF($C$5*'Tariffs Jul2020'!AL22/'Tariffs Jul2020'!AJ22&gt;='Tariffs Jul2020'!J22,('Tariffs Jul2020'!J22*'Tariffs Jul2020'!U22/100)* 'Tariffs Jul2020'!AJ22,($C$5*'Tariffs Jul2020'!AL22/'Tariffs Jul2020'!AJ22*'Tariffs Jul2020'!U22/100)* 'Tariffs Jul2020'!AJ22)</f>
        <v>243.00000000000006</v>
      </c>
      <c r="K28" s="59">
        <f>IF($C$5*'Tariffs Jul2020'!AL22/'Tariffs Jul2020'!AJ22&lt;'Tariffs Jul2020'!J22,0,IF($C$5*'Tariffs Jul2020'!AL22/'Tariffs Jul2020'!AJ22&lt;='Tariffs Jul2020'!K22,($C$5*'Tariffs Jul2020'!AL22/'Tariffs Jul2020'!AJ22-'Tariffs Jul2020'!J22)*('Tariffs Jul2020'!V22/100)*'Tariffs Jul2020'!AJ22,('Tariffs Jul2020'!K22-'Tariffs Jul2020'!J22)*('Tariffs Jul2020'!V22/100)*'Tariffs Jul2020'!AJ22))</f>
        <v>228.60000000000002</v>
      </c>
      <c r="L28" s="59">
        <f>IF($C$5*'Tariffs Jul2020'!AL22/'Tariffs Jul2020'!AJ22&lt;'Tariffs Jul2020'!K22,0,IF($C$5*'Tariffs Jul2020'!AL22/'Tariffs Jul2020'!AJ22&lt;='Tariffs Jul2020'!L22,($C$5*'Tariffs Jul2020'!AL22/'Tariffs Jul2020'!AJ22-'Tariffs Jul2020'!K22)*('Tariffs Jul2020'!W22/100)*'Tariffs Jul2020'!AJ22,('Tariffs Jul2020'!L22-'Tariffs Jul2020'!K22)*('Tariffs Jul2020'!W22/100)*'Tariffs Jul2020'!AJ22))</f>
        <v>189.00000000000003</v>
      </c>
      <c r="M28" s="59">
        <f>IF($C$5*'Tariffs Jul2020'!AL22/'Tariffs Jul2020'!AJ22&lt;'Tariffs Jul2020'!L22,0,IF($C$5*'Tariffs Jul2020'!AL22/'Tariffs Jul2020'!AJ22&lt;='Tariffs Jul2020'!M22,($C$5*'Tariffs Jul2020'!AL22/'Tariffs Jul2020'!AJ22-'Tariffs Jul2020'!L22)*('Tariffs Jul2020'!X22/100)*'Tariffs Jul2020'!AJ22,('Tariffs Jul2020'!M22-'Tariffs Jul2020'!L22)*('Tariffs Jul2020'!X22/100)*'Tariffs Jul2020'!AJ22))</f>
        <v>85.5</v>
      </c>
      <c r="N28" s="59">
        <f>IF(($C$5*'Tariffs Jul2020'!AL22/'Tariffs Jul2020'!AJ22&gt;'Tariffs Jul2020'!M22),($C$5*'Tariffs Jul2020'!AL22/'Tariffs Jul2020'!AJ22-'Tariffs Jul2020'!M22)*'Tariffs Jul2020'!Y22/100*'Tariffs Jul2020'!AJ22,0)</f>
        <v>0</v>
      </c>
      <c r="O28" s="59">
        <f t="shared" si="1"/>
        <v>1557</v>
      </c>
      <c r="P28" s="503">
        <f t="shared" si="2"/>
        <v>1712.7</v>
      </c>
      <c r="Q28" s="59">
        <f t="shared" si="3"/>
        <v>1841.7</v>
      </c>
      <c r="R28" s="272">
        <f t="shared" si="4"/>
        <v>2025.8700000000001</v>
      </c>
      <c r="S28" s="40">
        <f>'Tariffs Jul2020'!AN22</f>
        <v>0</v>
      </c>
      <c r="T28" s="40">
        <f>'Tariffs Jul2020'!AO22</f>
        <v>16</v>
      </c>
      <c r="U28" s="40">
        <f>'Tariffs Jul2020'!AP22</f>
        <v>0</v>
      </c>
      <c r="V28" s="40">
        <f>'Tariffs Jul2020'!AQ22</f>
        <v>0</v>
      </c>
      <c r="W28" s="284">
        <f>Q28-(O28*T28/100)</f>
        <v>1592.58</v>
      </c>
      <c r="X28" s="284">
        <f t="shared" si="9"/>
        <v>1592.58</v>
      </c>
      <c r="Y28" s="507">
        <f t="shared" si="11"/>
        <v>1751.838</v>
      </c>
      <c r="Z28" s="507">
        <f t="shared" si="10"/>
        <v>1751.838</v>
      </c>
      <c r="AA28" s="274">
        <f>'Tariffs Jul2020'!AZ22</f>
        <v>0</v>
      </c>
      <c r="AB28" s="274" t="str">
        <f>'Tariffs Jul2020'!BA22</f>
        <v>n</v>
      </c>
      <c r="AC28" s="275" t="str">
        <f>'Tariffs Jul2020'!BJ22</f>
        <v>N</v>
      </c>
      <c r="AD28" s="511"/>
      <c r="AE28" s="511"/>
      <c r="AF28" s="513"/>
      <c r="AG28" s="546"/>
      <c r="AH28" s="546"/>
      <c r="AI28" s="546"/>
      <c r="AJ28" s="546"/>
      <c r="AK28" s="546"/>
      <c r="AL28" s="546"/>
      <c r="AM28" s="546"/>
      <c r="AN28" s="546"/>
      <c r="AO28" s="546"/>
      <c r="AP28" s="546"/>
      <c r="AQ28" s="546"/>
      <c r="AR28" s="546"/>
      <c r="AS28" s="546"/>
      <c r="AT28" s="546"/>
      <c r="AU28" s="546"/>
      <c r="AV28" s="546"/>
      <c r="AW28" s="546"/>
      <c r="AX28" s="546"/>
      <c r="AY28" s="546"/>
      <c r="AZ28" s="546"/>
    </row>
    <row r="29" spans="1:52" ht="14" x14ac:dyDescent="0.15">
      <c r="A29" s="270" t="str">
        <f>'Tariffs Jul2020'!F23</f>
        <v>Dodo Power &amp; Gas</v>
      </c>
      <c r="B29" s="40" t="str">
        <f>'Tariffs Jul2020'!D23</f>
        <v>Multinet Metro 2</v>
      </c>
      <c r="C29" s="40" t="str">
        <f>'Tariffs Jul2020'!G23</f>
        <v>Market offer</v>
      </c>
      <c r="D29" s="59">
        <f>365*'Tariffs Jul2020'!H23/100</f>
        <v>191.7345</v>
      </c>
      <c r="E29" s="59">
        <f>IF($C$5*'Tariffs Jul2020'!AK23/'Tariffs Jul2020'!AI23&gt;='Tariffs Jul2020'!J23,( 'Tariffs Jul2020'!J23*'Tariffs Jul2020'!O23/100)* 'Tariffs Jul2020'!AI23,($C$5*'Tariffs Jul2020'!AK23/'Tariffs Jul2020'!AI23*'Tariffs Jul2020'!O23/100)* 'Tariffs Jul2020'!AI23)</f>
        <v>237.60000000000002</v>
      </c>
      <c r="F29" s="59">
        <f>IF($C$5*'Tariffs Jul2020'!AK23/'Tariffs Jul2020'!AI23&lt;'Tariffs Jul2020'!J23,0,IF($C$5*'Tariffs Jul2020'!AK23/'Tariffs Jul2020'!AI23&lt;='Tariffs Jul2020'!K23,($C$5*'Tariffs Jul2020'!AK23/'Tariffs Jul2020'!AI23-'Tariffs Jul2020'!J23)*('Tariffs Jul2020'!P23/100)*'Tariffs Jul2020'!AI23,('Tariffs Jul2020'!K23-'Tariffs Jul2020'!J23)*('Tariffs Jul2020'!P23/100)*'Tariffs Jul2020'!AI23))</f>
        <v>211.5</v>
      </c>
      <c r="G29" s="59">
        <f>IF($C$5*'Tariffs Jul2020'!AK23/'Tariffs Jul2020'!AI23&lt;'Tariffs Jul2020'!K23,0,IF($C$5*'Tariffs Jul2020'!AK23/'Tariffs Jul2020'!AI23&lt;='Tariffs Jul2020'!L23,($C$5*'Tariffs Jul2020'!AK23/'Tariffs Jul2020'!AI23-'Tariffs Jul2020'!K23)*('Tariffs Jul2020'!Q23/100)*'Tariffs Jul2020'!AI23,('Tariffs Jul2020'!L23-'Tariffs Jul2020'!K23)*('Tariffs Jul2020'!Q23/100)*'Tariffs Jul2020'!AI23))</f>
        <v>190.8</v>
      </c>
      <c r="H29" s="59">
        <f>IF($C$5*'Tariffs Jul2020'!AK23/'Tariffs Jul2020'!AI23&lt;'Tariffs Jul2020'!L23,0,IF($C$5*'Tariffs Jul2020'!AK23/'Tariffs Jul2020'!AI23&lt;='Tariffs Jul2020'!M23,($C$5*'Tariffs Jul2020'!AK23/'Tariffs Jul2020'!AI23-'Tariffs Jul2020'!L23)*('Tariffs Jul2020'!R23/100)*'Tariffs Jul2020'!AI23,('Tariffs Jul2020'!M23-'Tariffs Jul2020'!L23)*('Tariffs Jul2020'!R23/100)*'Tariffs Jul2020'!AI23))</f>
        <v>90</v>
      </c>
      <c r="I29" s="59">
        <f>IF(($C$5*'Tariffs Jul2020'!AK23/'Tariffs Jul2020'!AI23&gt;'Tariffs Jul2020'!M23),($C$5*'Tariffs Jul2020'!AK23/'Tariffs Jul2020'!AI23-'Tariffs Jul2020'!M23)*'Tariffs Jul2020'!S23/100*'Tariffs Jul2020'!AI23,0)</f>
        <v>0</v>
      </c>
      <c r="J29" s="59">
        <f>IF($C$5*'Tariffs Jul2020'!AL23/'Tariffs Jul2020'!AJ23&gt;='Tariffs Jul2020'!J23,('Tariffs Jul2020'!J23*'Tariffs Jul2020'!U23/100)* 'Tariffs Jul2020'!AJ23,($C$5*'Tariffs Jul2020'!AL23/'Tariffs Jul2020'!AJ23*'Tariffs Jul2020'!U23/100)* 'Tariffs Jul2020'!AJ23)</f>
        <v>226.79999999999998</v>
      </c>
      <c r="K29" s="59">
        <f>IF($C$5*'Tariffs Jul2020'!AL23/'Tariffs Jul2020'!AJ23&lt;'Tariffs Jul2020'!J23,0,IF($C$5*'Tariffs Jul2020'!AL23/'Tariffs Jul2020'!AJ23&lt;='Tariffs Jul2020'!K23,($C$5*'Tariffs Jul2020'!AL23/'Tariffs Jul2020'!AJ23-'Tariffs Jul2020'!J23)*('Tariffs Jul2020'!V23/100)*'Tariffs Jul2020'!AJ23,('Tariffs Jul2020'!K23-'Tariffs Jul2020'!J23)*('Tariffs Jul2020'!V23/100)*'Tariffs Jul2020'!AJ23))</f>
        <v>205.2</v>
      </c>
      <c r="L29" s="59">
        <f>IF($C$5*'Tariffs Jul2020'!AL23/'Tariffs Jul2020'!AJ23&lt;'Tariffs Jul2020'!K23,0,IF($C$5*'Tariffs Jul2020'!AL23/'Tariffs Jul2020'!AJ23&lt;='Tariffs Jul2020'!L23,($C$5*'Tariffs Jul2020'!AL23/'Tariffs Jul2020'!AJ23-'Tariffs Jul2020'!K23)*('Tariffs Jul2020'!W23/100)*'Tariffs Jul2020'!AJ23,('Tariffs Jul2020'!L23-'Tariffs Jul2020'!K23)*('Tariffs Jul2020'!W23/100)*'Tariffs Jul2020'!AJ23))</f>
        <v>187.2</v>
      </c>
      <c r="M29" s="59">
        <f>IF($C$5*'Tariffs Jul2020'!AL23/'Tariffs Jul2020'!AJ23&lt;'Tariffs Jul2020'!L23,0,IF($C$5*'Tariffs Jul2020'!AL23/'Tariffs Jul2020'!AJ23&lt;='Tariffs Jul2020'!M23,($C$5*'Tariffs Jul2020'!AL23/'Tariffs Jul2020'!AJ23-'Tariffs Jul2020'!L23)*('Tariffs Jul2020'!X23/100)*'Tariffs Jul2020'!AJ23,('Tariffs Jul2020'!M23-'Tariffs Jul2020'!L23)*('Tariffs Jul2020'!X23/100)*'Tariffs Jul2020'!AJ23))</f>
        <v>88.649999999999991</v>
      </c>
      <c r="N29" s="59">
        <f>IF(($C$5*'Tariffs Jul2020'!AL23/'Tariffs Jul2020'!AJ23&gt;'Tariffs Jul2020'!M23),($C$5*'Tariffs Jul2020'!AL23/'Tariffs Jul2020'!AJ23-'Tariffs Jul2020'!M23)*'Tariffs Jul2020'!Y23/100*'Tariffs Jul2020'!AJ23,0)</f>
        <v>0</v>
      </c>
      <c r="O29" s="59">
        <f t="shared" si="1"/>
        <v>1437.7500000000002</v>
      </c>
      <c r="P29" s="503">
        <f t="shared" si="2"/>
        <v>1581.5250000000003</v>
      </c>
      <c r="Q29" s="59">
        <f t="shared" si="3"/>
        <v>1629.4845000000003</v>
      </c>
      <c r="R29" s="272">
        <f t="shared" si="4"/>
        <v>1792.4329500000003</v>
      </c>
      <c r="S29" s="40">
        <f>'Tariffs Jul2020'!AN23</f>
        <v>0</v>
      </c>
      <c r="T29" s="40">
        <f>'Tariffs Jul2020'!AO23</f>
        <v>0</v>
      </c>
      <c r="U29" s="40">
        <f>'Tariffs Jul2020'!AP23</f>
        <v>0</v>
      </c>
      <c r="V29" s="40">
        <f>'Tariffs Jul2020'!AQ23</f>
        <v>0</v>
      </c>
      <c r="W29" s="284">
        <f>Q29</f>
        <v>1629.4845000000003</v>
      </c>
      <c r="X29" s="284">
        <f t="shared" si="9"/>
        <v>1629.4845000000003</v>
      </c>
      <c r="Y29" s="507">
        <f t="shared" si="11"/>
        <v>1792.4329500000003</v>
      </c>
      <c r="Z29" s="507">
        <f t="shared" si="10"/>
        <v>1792.4329500000003</v>
      </c>
      <c r="AA29" s="274">
        <f>'Tariffs Jul2020'!AZ23</f>
        <v>0</v>
      </c>
      <c r="AB29" s="274" t="str">
        <f>'Tariffs Jul2020'!BA23</f>
        <v>n</v>
      </c>
      <c r="AC29" s="275" t="str">
        <f>'Tariffs Jul2020'!BJ23</f>
        <v>N</v>
      </c>
      <c r="AD29" s="511"/>
      <c r="AE29" s="511"/>
      <c r="AF29" s="513"/>
      <c r="AG29" s="546"/>
      <c r="AH29" s="546"/>
      <c r="AI29" s="546"/>
      <c r="AJ29" s="546"/>
      <c r="AK29" s="546"/>
      <c r="AL29" s="546"/>
      <c r="AM29" s="546"/>
      <c r="AN29" s="546"/>
      <c r="AO29" s="546"/>
      <c r="AP29" s="546"/>
      <c r="AQ29" s="546"/>
      <c r="AR29" s="546"/>
      <c r="AS29" s="546"/>
      <c r="AT29" s="546"/>
      <c r="AU29" s="546"/>
      <c r="AV29" s="546"/>
      <c r="AW29" s="546"/>
      <c r="AX29" s="546"/>
      <c r="AY29" s="546"/>
      <c r="AZ29" s="546"/>
    </row>
    <row r="30" spans="1:52" ht="14" x14ac:dyDescent="0.15">
      <c r="A30" s="270" t="str">
        <f>'Tariffs Jul2020'!F24</f>
        <v>EnergyAustralia</v>
      </c>
      <c r="B30" s="40" t="str">
        <f>'Tariffs Jul2020'!D24</f>
        <v>Multinet Metro 2</v>
      </c>
      <c r="C30" s="40" t="str">
        <f>'Tariffs Jul2020'!G24</f>
        <v>Total Plan</v>
      </c>
      <c r="D30" s="59">
        <f>365*'Tariffs Jul2020'!H24/100</f>
        <v>291.27</v>
      </c>
      <c r="E30" s="59">
        <f>IF($C$5*'Tariffs Jul2020'!AK24/'Tariffs Jul2020'!AI24&gt;='Tariffs Jul2020'!J24,( 'Tariffs Jul2020'!J24*'Tariffs Jul2020'!O24/100)* 'Tariffs Jul2020'!AI24,($C$5*'Tariffs Jul2020'!AK24/'Tariffs Jul2020'!AI24*'Tariffs Jul2020'!O24/100)* 'Tariffs Jul2020'!AI24)</f>
        <v>471.59999999999997</v>
      </c>
      <c r="F30" s="59">
        <f>IF($C$5*'Tariffs Jul2020'!AK24/'Tariffs Jul2020'!AI24&lt;'Tariffs Jul2020'!J24,0,IF($C$5*'Tariffs Jul2020'!AK24/'Tariffs Jul2020'!AI24&lt;='Tariffs Jul2020'!K24,($C$5*'Tariffs Jul2020'!AK24/'Tariffs Jul2020'!AI24-'Tariffs Jul2020'!J24)*('Tariffs Jul2020'!P24/100)*'Tariffs Jul2020'!AI24,('Tariffs Jul2020'!K24-'Tariffs Jul2020'!J24)*('Tariffs Jul2020'!P24/100)*'Tariffs Jul2020'!AI24))</f>
        <v>0</v>
      </c>
      <c r="G30" s="59">
        <f>IF($C$5*'Tariffs Jul2020'!AK24/'Tariffs Jul2020'!AI24&lt;'Tariffs Jul2020'!K24,0,IF($C$5*'Tariffs Jul2020'!AK24/'Tariffs Jul2020'!AI24&lt;='Tariffs Jul2020'!L24,($C$5*'Tariffs Jul2020'!AK24/'Tariffs Jul2020'!AI24-'Tariffs Jul2020'!K24)*('Tariffs Jul2020'!Q24/100)*'Tariffs Jul2020'!AI24,('Tariffs Jul2020'!L24-'Tariffs Jul2020'!K24)*('Tariffs Jul2020'!Q24/100)*'Tariffs Jul2020'!AI24))</f>
        <v>0</v>
      </c>
      <c r="H30" s="59">
        <f>IF($C$5*'Tariffs Jul2020'!AK24/'Tariffs Jul2020'!AI24&lt;'Tariffs Jul2020'!L24,0,IF($C$5*'Tariffs Jul2020'!AK24/'Tariffs Jul2020'!AI24&lt;='Tariffs Jul2020'!M24,($C$5*'Tariffs Jul2020'!AK24/'Tariffs Jul2020'!AI24-'Tariffs Jul2020'!L24)*('Tariffs Jul2020'!R24/100)*'Tariffs Jul2020'!AI24,('Tariffs Jul2020'!M24-'Tariffs Jul2020'!L24)*('Tariffs Jul2020'!R24/100)*'Tariffs Jul2020'!AI24))</f>
        <v>0</v>
      </c>
      <c r="I30" s="59">
        <f>IF(($C$5*'Tariffs Jul2020'!AK24/'Tariffs Jul2020'!AI24&gt;'Tariffs Jul2020'!M24),($C$5*'Tariffs Jul2020'!AK24/'Tariffs Jul2020'!AI24-'Tariffs Jul2020'!M24)*'Tariffs Jul2020'!S24/100*'Tariffs Jul2020'!AI24,0)</f>
        <v>255.14999999999998</v>
      </c>
      <c r="J30" s="59">
        <f>IF($C$5*'Tariffs Jul2020'!AL24/'Tariffs Jul2020'!AJ24&gt;='Tariffs Jul2020'!J24,('Tariffs Jul2020'!J24*'Tariffs Jul2020'!U24/100)* 'Tariffs Jul2020'!AJ24,($C$5*'Tariffs Jul2020'!AL24/'Tariffs Jul2020'!AJ24*'Tariffs Jul2020'!U24/100)* 'Tariffs Jul2020'!AJ24)</f>
        <v>471.59999999999997</v>
      </c>
      <c r="K30" s="59">
        <f>IF($C$5*'Tariffs Jul2020'!AL24/'Tariffs Jul2020'!AJ24&lt;'Tariffs Jul2020'!J24,0,IF($C$5*'Tariffs Jul2020'!AL24/'Tariffs Jul2020'!AJ24&lt;='Tariffs Jul2020'!K24,($C$5*'Tariffs Jul2020'!AL24/'Tariffs Jul2020'!AJ24-'Tariffs Jul2020'!J24)*('Tariffs Jul2020'!V24/100)*'Tariffs Jul2020'!AJ24,('Tariffs Jul2020'!K24-'Tariffs Jul2020'!J24)*('Tariffs Jul2020'!V24/100)*'Tariffs Jul2020'!AJ24))</f>
        <v>0</v>
      </c>
      <c r="L30" s="59">
        <f>IF($C$5*'Tariffs Jul2020'!AL24/'Tariffs Jul2020'!AJ24&lt;'Tariffs Jul2020'!K24,0,IF($C$5*'Tariffs Jul2020'!AL24/'Tariffs Jul2020'!AJ24&lt;='Tariffs Jul2020'!L24,($C$5*'Tariffs Jul2020'!AL24/'Tariffs Jul2020'!AJ24-'Tariffs Jul2020'!K24)*('Tariffs Jul2020'!W24/100)*'Tariffs Jul2020'!AJ24,('Tariffs Jul2020'!L24-'Tariffs Jul2020'!K24)*('Tariffs Jul2020'!W24/100)*'Tariffs Jul2020'!AJ24))</f>
        <v>0</v>
      </c>
      <c r="M30" s="59">
        <f>IF($C$5*'Tariffs Jul2020'!AL24/'Tariffs Jul2020'!AJ24&lt;'Tariffs Jul2020'!L24,0,IF($C$5*'Tariffs Jul2020'!AL24/'Tariffs Jul2020'!AJ24&lt;='Tariffs Jul2020'!M24,($C$5*'Tariffs Jul2020'!AL24/'Tariffs Jul2020'!AJ24-'Tariffs Jul2020'!L24)*('Tariffs Jul2020'!X24/100)*'Tariffs Jul2020'!AJ24,('Tariffs Jul2020'!M24-'Tariffs Jul2020'!L24)*('Tariffs Jul2020'!X24/100)*'Tariffs Jul2020'!AJ24))</f>
        <v>0</v>
      </c>
      <c r="N30" s="59">
        <f>IF(($C$5*'Tariffs Jul2020'!AL24/'Tariffs Jul2020'!AJ24&gt;'Tariffs Jul2020'!M24),($C$5*'Tariffs Jul2020'!AL24/'Tariffs Jul2020'!AJ24-'Tariffs Jul2020'!M24)*'Tariffs Jul2020'!Y24/100*'Tariffs Jul2020'!AJ24,0)</f>
        <v>255.14999999999998</v>
      </c>
      <c r="O30" s="59">
        <f t="shared" si="1"/>
        <v>1453.5</v>
      </c>
      <c r="P30" s="503">
        <f t="shared" si="2"/>
        <v>1598.8500000000001</v>
      </c>
      <c r="Q30" s="59">
        <f t="shared" si="3"/>
        <v>1744.77</v>
      </c>
      <c r="R30" s="272">
        <f t="shared" si="4"/>
        <v>1919.2470000000001</v>
      </c>
      <c r="S30" s="40">
        <f>'Tariffs Jul2020'!AN24</f>
        <v>23</v>
      </c>
      <c r="T30" s="40">
        <f>'Tariffs Jul2020'!AO24</f>
        <v>0</v>
      </c>
      <c r="U30" s="40">
        <f>'Tariffs Jul2020'!AP24</f>
        <v>0</v>
      </c>
      <c r="V30" s="40">
        <f>'Tariffs Jul2020'!AQ24</f>
        <v>0</v>
      </c>
      <c r="W30" s="284">
        <f>Q30-(Q30*S30/100)</f>
        <v>1343.4729</v>
      </c>
      <c r="X30" s="284">
        <f t="shared" si="9"/>
        <v>1343.4729</v>
      </c>
      <c r="Y30" s="507">
        <f t="shared" si="11"/>
        <v>1477.8201900000001</v>
      </c>
      <c r="Z30" s="507">
        <f t="shared" si="10"/>
        <v>1477.8201900000001</v>
      </c>
      <c r="AA30" s="274">
        <f>'Tariffs Jul2020'!AZ24</f>
        <v>12</v>
      </c>
      <c r="AB30" s="274" t="str">
        <f>'Tariffs Jul2020'!BA24</f>
        <v>n</v>
      </c>
      <c r="AC30" s="275" t="str">
        <f>'Tariffs Jul2020'!BJ24</f>
        <v>N</v>
      </c>
      <c r="AD30" s="511"/>
      <c r="AE30" s="511"/>
      <c r="AF30" s="513"/>
      <c r="AG30" s="546"/>
      <c r="AH30" s="546"/>
      <c r="AI30" s="546"/>
      <c r="AJ30" s="546"/>
      <c r="AK30" s="546"/>
      <c r="AL30" s="546"/>
      <c r="AM30" s="546"/>
      <c r="AN30" s="546"/>
      <c r="AO30" s="546"/>
      <c r="AP30" s="546"/>
      <c r="AQ30" s="546"/>
      <c r="AR30" s="546"/>
      <c r="AS30" s="546"/>
      <c r="AT30" s="546"/>
      <c r="AU30" s="546"/>
      <c r="AV30" s="546"/>
      <c r="AW30" s="546"/>
      <c r="AX30" s="546"/>
      <c r="AY30" s="546"/>
      <c r="AZ30" s="546"/>
    </row>
    <row r="31" spans="1:52" ht="14" x14ac:dyDescent="0.15">
      <c r="A31" s="270" t="str">
        <f>'Tariffs Jul2020'!F25</f>
        <v>Lumo Energy</v>
      </c>
      <c r="B31" s="40" t="str">
        <f>'Tariffs Jul2020'!D25</f>
        <v>Multinet Metro 2</v>
      </c>
      <c r="C31" s="40" t="str">
        <f>'Tariffs Jul2020'!G25</f>
        <v>Basic</v>
      </c>
      <c r="D31" s="59">
        <f>365*'Tariffs Jul2020'!H25/100</f>
        <v>230.13249999999999</v>
      </c>
      <c r="E31" s="59">
        <f>IF($C$5*'Tariffs Jul2020'!AK25/'Tariffs Jul2020'!AI25&gt;='Tariffs Jul2020'!J25,( 'Tariffs Jul2020'!J25*'Tariffs Jul2020'!O25/100)* 'Tariffs Jul2020'!AI25,($C$5*'Tariffs Jul2020'!AK25/'Tariffs Jul2020'!AI25*'Tariffs Jul2020'!O25/100)* 'Tariffs Jul2020'!AI25)</f>
        <v>183.60000000000002</v>
      </c>
      <c r="F31" s="59">
        <f>IF($C$5*'Tariffs Jul2020'!AK25/'Tariffs Jul2020'!AI25&lt;'Tariffs Jul2020'!J25,0,IF($C$5*'Tariffs Jul2020'!AK25/'Tariffs Jul2020'!AI25&lt;='Tariffs Jul2020'!K25,($C$5*'Tariffs Jul2020'!AK25/'Tariffs Jul2020'!AI25-'Tariffs Jul2020'!J25)*('Tariffs Jul2020'!P25/100)*'Tariffs Jul2020'!AI25,('Tariffs Jul2020'!K25-'Tariffs Jul2020'!J25)*('Tariffs Jul2020'!P25/100)*'Tariffs Jul2020'!AI25))</f>
        <v>170.10000000000002</v>
      </c>
      <c r="G31" s="59">
        <f>IF($C$5*'Tariffs Jul2020'!AK25/'Tariffs Jul2020'!AI25&lt;'Tariffs Jul2020'!K25,0,IF($C$5*'Tariffs Jul2020'!AK25/'Tariffs Jul2020'!AI25&lt;='Tariffs Jul2020'!L25,($C$5*'Tariffs Jul2020'!AK25/'Tariffs Jul2020'!AI25-'Tariffs Jul2020'!K25)*('Tariffs Jul2020'!Q25/100)*'Tariffs Jul2020'!AI25,('Tariffs Jul2020'!L25-'Tariffs Jul2020'!K25)*('Tariffs Jul2020'!Q25/100)*'Tariffs Jul2020'!AI25))</f>
        <v>157.50000000000003</v>
      </c>
      <c r="H31" s="59">
        <f>IF($C$5*'Tariffs Jul2020'!AK25/'Tariffs Jul2020'!AI25&lt;'Tariffs Jul2020'!L25,0,IF($C$5*'Tariffs Jul2020'!AK25/'Tariffs Jul2020'!AI25&lt;='Tariffs Jul2020'!M25,($C$5*'Tariffs Jul2020'!AK25/'Tariffs Jul2020'!AI25-'Tariffs Jul2020'!L25)*('Tariffs Jul2020'!R25/100)*'Tariffs Jul2020'!AI25,('Tariffs Jul2020'!M25-'Tariffs Jul2020'!L25)*('Tariffs Jul2020'!R25/100)*'Tariffs Jul2020'!AI25))</f>
        <v>70.650000000000006</v>
      </c>
      <c r="I31" s="59">
        <f>IF(($C$5*'Tariffs Jul2020'!AK25/'Tariffs Jul2020'!AI25&gt;'Tariffs Jul2020'!M25),($C$5*'Tariffs Jul2020'!AK25/'Tariffs Jul2020'!AI25-'Tariffs Jul2020'!M25)*'Tariffs Jul2020'!S25/100*'Tariffs Jul2020'!AI25,0)</f>
        <v>0</v>
      </c>
      <c r="J31" s="59">
        <f>IF($C$5*'Tariffs Jul2020'!AL25/'Tariffs Jul2020'!AJ25&gt;='Tariffs Jul2020'!J25,('Tariffs Jul2020'!J25*'Tariffs Jul2020'!U25/100)* 'Tariffs Jul2020'!AJ25,($C$5*'Tariffs Jul2020'!AL25/'Tariffs Jul2020'!AJ25*'Tariffs Jul2020'!U25/100)* 'Tariffs Jul2020'!AJ25)</f>
        <v>169.2</v>
      </c>
      <c r="K31" s="59">
        <f>IF($C$5*'Tariffs Jul2020'!AL25/'Tariffs Jul2020'!AJ25&lt;'Tariffs Jul2020'!J25,0,IF($C$5*'Tariffs Jul2020'!AL25/'Tariffs Jul2020'!AJ25&lt;='Tariffs Jul2020'!K25,($C$5*'Tariffs Jul2020'!AL25/'Tariffs Jul2020'!AJ25-'Tariffs Jul2020'!J25)*('Tariffs Jul2020'!V25/100)*'Tariffs Jul2020'!AJ25,('Tariffs Jul2020'!K25-'Tariffs Jul2020'!J25)*('Tariffs Jul2020'!V25/100)*'Tariffs Jul2020'!AJ25))</f>
        <v>160.19999999999999</v>
      </c>
      <c r="L31" s="59">
        <f>IF($C$5*'Tariffs Jul2020'!AL25/'Tariffs Jul2020'!AJ25&lt;'Tariffs Jul2020'!K25,0,IF($C$5*'Tariffs Jul2020'!AL25/'Tariffs Jul2020'!AJ25&lt;='Tariffs Jul2020'!L25,($C$5*'Tariffs Jul2020'!AL25/'Tariffs Jul2020'!AJ25-'Tariffs Jul2020'!K25)*('Tariffs Jul2020'!W25/100)*'Tariffs Jul2020'!AJ25,('Tariffs Jul2020'!L25-'Tariffs Jul2020'!K25)*('Tariffs Jul2020'!W25/100)*'Tariffs Jul2020'!AJ25))</f>
        <v>148.5</v>
      </c>
      <c r="M31" s="59">
        <f>IF($C$5*'Tariffs Jul2020'!AL25/'Tariffs Jul2020'!AJ25&lt;'Tariffs Jul2020'!L25,0,IF($C$5*'Tariffs Jul2020'!AL25/'Tariffs Jul2020'!AJ25&lt;='Tariffs Jul2020'!M25,($C$5*'Tariffs Jul2020'!AL25/'Tariffs Jul2020'!AJ25-'Tariffs Jul2020'!L25)*('Tariffs Jul2020'!X25/100)*'Tariffs Jul2020'!AJ25,('Tariffs Jul2020'!M25-'Tariffs Jul2020'!L25)*('Tariffs Jul2020'!X25/100)*'Tariffs Jul2020'!AJ25))</f>
        <v>69.75</v>
      </c>
      <c r="N31" s="59">
        <f>IF(($C$5*'Tariffs Jul2020'!AL25/'Tariffs Jul2020'!AJ25&gt;'Tariffs Jul2020'!M25),($C$5*'Tariffs Jul2020'!AL25/'Tariffs Jul2020'!AJ25-'Tariffs Jul2020'!M25)*'Tariffs Jul2020'!Y25/100*'Tariffs Jul2020'!AJ25,0)</f>
        <v>0</v>
      </c>
      <c r="O31" s="59">
        <f t="shared" si="1"/>
        <v>1129.5</v>
      </c>
      <c r="P31" s="503">
        <f t="shared" si="2"/>
        <v>1242.45</v>
      </c>
      <c r="Q31" s="59">
        <f t="shared" si="3"/>
        <v>1359.6324999999999</v>
      </c>
      <c r="R31" s="272">
        <f t="shared" si="4"/>
        <v>1495.59575</v>
      </c>
      <c r="S31" s="40">
        <f>'Tariffs Jul2020'!AN25</f>
        <v>0</v>
      </c>
      <c r="T31" s="40">
        <f>'Tariffs Jul2020'!AO25</f>
        <v>0</v>
      </c>
      <c r="U31" s="40">
        <f>'Tariffs Jul2020'!AP25</f>
        <v>0</v>
      </c>
      <c r="V31" s="40">
        <f>'Tariffs Jul2020'!AQ25</f>
        <v>0</v>
      </c>
      <c r="W31" s="284">
        <f>Q31</f>
        <v>1359.6324999999999</v>
      </c>
      <c r="X31" s="284">
        <f t="shared" si="9"/>
        <v>1359.6324999999999</v>
      </c>
      <c r="Y31" s="507">
        <f t="shared" si="11"/>
        <v>1495.59575</v>
      </c>
      <c r="Z31" s="507">
        <f t="shared" si="10"/>
        <v>1495.59575</v>
      </c>
      <c r="AA31" s="274">
        <f>'Tariffs Jul2020'!AZ25</f>
        <v>0</v>
      </c>
      <c r="AB31" s="274" t="str">
        <f>'Tariffs Jul2020'!BA25</f>
        <v>n</v>
      </c>
      <c r="AC31" s="275" t="str">
        <f>'Tariffs Jul2020'!BJ25</f>
        <v>N</v>
      </c>
      <c r="AD31" s="511"/>
      <c r="AE31" s="511"/>
      <c r="AF31" s="513"/>
      <c r="AG31" s="546"/>
      <c r="AH31" s="546"/>
      <c r="AI31" s="546"/>
      <c r="AJ31" s="546"/>
      <c r="AK31" s="546"/>
      <c r="AL31" s="546"/>
      <c r="AM31" s="546"/>
      <c r="AN31" s="546"/>
      <c r="AO31" s="546"/>
      <c r="AP31" s="546"/>
      <c r="AQ31" s="546"/>
      <c r="AR31" s="546"/>
      <c r="AS31" s="546"/>
      <c r="AT31" s="546"/>
      <c r="AU31" s="546"/>
      <c r="AV31" s="546"/>
      <c r="AW31" s="546"/>
      <c r="AX31" s="546"/>
      <c r="AY31" s="546"/>
      <c r="AZ31" s="546"/>
    </row>
    <row r="32" spans="1:52" ht="14" x14ac:dyDescent="0.15">
      <c r="A32" s="270" t="str">
        <f>'Tariffs Jul2020'!F26</f>
        <v>Momentum Energy</v>
      </c>
      <c r="B32" s="40" t="str">
        <f>'Tariffs Jul2020'!D26</f>
        <v>Multinet Metro 2</v>
      </c>
      <c r="C32" s="40" t="str">
        <f>'Tariffs Jul2020'!G26</f>
        <v>Market offer</v>
      </c>
      <c r="D32" s="59">
        <f>365*'Tariffs Jul2020'!H26/100</f>
        <v>296.52600000000001</v>
      </c>
      <c r="E32" s="59">
        <f>IF($C$5*'Tariffs Jul2020'!AK26/'Tariffs Jul2020'!AI26&gt;='Tariffs Jul2020'!J26,( 'Tariffs Jul2020'!J26*'Tariffs Jul2020'!O26/100)* 'Tariffs Jul2020'!AI26,($C$5*'Tariffs Jul2020'!AK26/'Tariffs Jul2020'!AI26*'Tariffs Jul2020'!O26/100)* 'Tariffs Jul2020'!AI26)</f>
        <v>207.89999999999998</v>
      </c>
      <c r="F32" s="59">
        <f>IF($C$5*'Tariffs Jul2020'!AK26/'Tariffs Jul2020'!AI26&lt;'Tariffs Jul2020'!J26,0,IF($C$5*'Tariffs Jul2020'!AK26/'Tariffs Jul2020'!AI26&lt;='Tariffs Jul2020'!K26,($C$5*'Tariffs Jul2020'!AK26/'Tariffs Jul2020'!AI26-'Tariffs Jul2020'!J26)*('Tariffs Jul2020'!P26/100)*'Tariffs Jul2020'!AI26,('Tariffs Jul2020'!K26-'Tariffs Jul2020'!J26)*('Tariffs Jul2020'!P26/100)*'Tariffs Jul2020'!AI26))</f>
        <v>189.89999999999998</v>
      </c>
      <c r="G32" s="59">
        <f>IF($C$5*'Tariffs Jul2020'!AK26/'Tariffs Jul2020'!AI26&lt;'Tariffs Jul2020'!K26,0,IF($C$5*'Tariffs Jul2020'!AK26/'Tariffs Jul2020'!AI26&lt;='Tariffs Jul2020'!L26,($C$5*'Tariffs Jul2020'!AK26/'Tariffs Jul2020'!AI26-'Tariffs Jul2020'!K26)*('Tariffs Jul2020'!Q26/100)*'Tariffs Jul2020'!AI26,('Tariffs Jul2020'!L26-'Tariffs Jul2020'!K26)*('Tariffs Jul2020'!Q26/100)*'Tariffs Jul2020'!AI26))</f>
        <v>167.4</v>
      </c>
      <c r="H32" s="59">
        <f>IF($C$5*'Tariffs Jul2020'!AK26/'Tariffs Jul2020'!AI26&lt;'Tariffs Jul2020'!L26,0,IF($C$5*'Tariffs Jul2020'!AK26/'Tariffs Jul2020'!AI26&lt;='Tariffs Jul2020'!M26,($C$5*'Tariffs Jul2020'!AK26/'Tariffs Jul2020'!AI26-'Tariffs Jul2020'!L26)*('Tariffs Jul2020'!R26/100)*'Tariffs Jul2020'!AI26,('Tariffs Jul2020'!M26-'Tariffs Jul2020'!L26)*('Tariffs Jul2020'!R26/100)*'Tariffs Jul2020'!AI26))</f>
        <v>78.3</v>
      </c>
      <c r="I32" s="59">
        <f>IF(($C$5*'Tariffs Jul2020'!AK26/'Tariffs Jul2020'!AI26&gt;'Tariffs Jul2020'!M26),($C$5*'Tariffs Jul2020'!AK26/'Tariffs Jul2020'!AI26-'Tariffs Jul2020'!M26)*'Tariffs Jul2020'!S26/100*'Tariffs Jul2020'!AI26,0)</f>
        <v>0</v>
      </c>
      <c r="J32" s="59">
        <f>IF($C$5*'Tariffs Jul2020'!AL26/'Tariffs Jul2020'!AJ26&gt;='Tariffs Jul2020'!J26,('Tariffs Jul2020'!J26*'Tariffs Jul2020'!U26/100)* 'Tariffs Jul2020'!AJ26,($C$5*'Tariffs Jul2020'!AL26/'Tariffs Jul2020'!AJ26*'Tariffs Jul2020'!U26/100)* 'Tariffs Jul2020'!AJ26)</f>
        <v>193.5</v>
      </c>
      <c r="K32" s="59">
        <f>IF($C$5*'Tariffs Jul2020'!AL26/'Tariffs Jul2020'!AJ26&lt;'Tariffs Jul2020'!J26,0,IF($C$5*'Tariffs Jul2020'!AL26/'Tariffs Jul2020'!AJ26&lt;='Tariffs Jul2020'!K26,($C$5*'Tariffs Jul2020'!AL26/'Tariffs Jul2020'!AJ26-'Tariffs Jul2020'!J26)*('Tariffs Jul2020'!V26/100)*'Tariffs Jul2020'!AJ26,('Tariffs Jul2020'!K26-'Tariffs Jul2020'!J26)*('Tariffs Jul2020'!V26/100)*'Tariffs Jul2020'!AJ26))</f>
        <v>177.29999999999998</v>
      </c>
      <c r="L32" s="59">
        <f>IF($C$5*'Tariffs Jul2020'!AL26/'Tariffs Jul2020'!AJ26&lt;'Tariffs Jul2020'!K26,0,IF($C$5*'Tariffs Jul2020'!AL26/'Tariffs Jul2020'!AJ26&lt;='Tariffs Jul2020'!L26,($C$5*'Tariffs Jul2020'!AL26/'Tariffs Jul2020'!AJ26-'Tariffs Jul2020'!K26)*('Tariffs Jul2020'!W26/100)*'Tariffs Jul2020'!AJ26,('Tariffs Jul2020'!L26-'Tariffs Jul2020'!K26)*('Tariffs Jul2020'!W26/100)*'Tariffs Jul2020'!AJ26))</f>
        <v>159.30000000000001</v>
      </c>
      <c r="M32" s="59">
        <f>IF($C$5*'Tariffs Jul2020'!AL26/'Tariffs Jul2020'!AJ26&lt;'Tariffs Jul2020'!L26,0,IF($C$5*'Tariffs Jul2020'!AL26/'Tariffs Jul2020'!AJ26&lt;='Tariffs Jul2020'!M26,($C$5*'Tariffs Jul2020'!AL26/'Tariffs Jul2020'!AJ26-'Tariffs Jul2020'!L26)*('Tariffs Jul2020'!X26/100)*'Tariffs Jul2020'!AJ26,('Tariffs Jul2020'!M26-'Tariffs Jul2020'!L26)*('Tariffs Jul2020'!X26/100)*'Tariffs Jul2020'!AJ26))</f>
        <v>74.699999999999989</v>
      </c>
      <c r="N32" s="59">
        <f>IF(($C$5*'Tariffs Jul2020'!AL26/'Tariffs Jul2020'!AJ26&gt;'Tariffs Jul2020'!M26),($C$5*'Tariffs Jul2020'!AL26/'Tariffs Jul2020'!AJ26-'Tariffs Jul2020'!M26)*'Tariffs Jul2020'!Y26/100*'Tariffs Jul2020'!AJ26,0)</f>
        <v>0</v>
      </c>
      <c r="O32" s="59">
        <f t="shared" si="1"/>
        <v>1248.3</v>
      </c>
      <c r="P32" s="503">
        <f t="shared" si="2"/>
        <v>1373.13</v>
      </c>
      <c r="Q32" s="59">
        <f t="shared" si="3"/>
        <v>1544.826</v>
      </c>
      <c r="R32" s="272">
        <f t="shared" si="4"/>
        <v>1699.3086000000001</v>
      </c>
      <c r="S32" s="40">
        <f>'Tariffs Jul2020'!AN26</f>
        <v>0</v>
      </c>
      <c r="T32" s="40">
        <f>'Tariffs Jul2020'!AO26</f>
        <v>0</v>
      </c>
      <c r="U32" s="40">
        <f>'Tariffs Jul2020'!AP26</f>
        <v>0</v>
      </c>
      <c r="V32" s="40">
        <f>'Tariffs Jul2020'!AQ26</f>
        <v>0</v>
      </c>
      <c r="W32" s="284">
        <f t="shared" ref="W32" si="12">Q32</f>
        <v>1544.826</v>
      </c>
      <c r="X32" s="284">
        <f t="shared" si="9"/>
        <v>1544.826</v>
      </c>
      <c r="Y32" s="507">
        <f t="shared" si="11"/>
        <v>1699.3086000000001</v>
      </c>
      <c r="Z32" s="507">
        <f t="shared" si="10"/>
        <v>1699.3086000000001</v>
      </c>
      <c r="AA32" s="274">
        <f>'Tariffs Jul2020'!AZ26</f>
        <v>0</v>
      </c>
      <c r="AB32" s="274" t="str">
        <f>'Tariffs Jul2020'!BA26</f>
        <v>n</v>
      </c>
      <c r="AC32" s="275" t="str">
        <f>'Tariffs Jul2020'!BJ26</f>
        <v>N</v>
      </c>
      <c r="AD32" s="511"/>
      <c r="AE32" s="511"/>
      <c r="AF32" s="513"/>
      <c r="AG32" s="546"/>
      <c r="AH32" s="546"/>
      <c r="AI32" s="546"/>
      <c r="AJ32" s="546"/>
      <c r="AK32" s="546"/>
      <c r="AL32" s="546"/>
      <c r="AM32" s="546"/>
      <c r="AN32" s="546"/>
      <c r="AO32" s="546"/>
      <c r="AP32" s="546"/>
      <c r="AQ32" s="546"/>
      <c r="AR32" s="546"/>
      <c r="AS32" s="546"/>
      <c r="AT32" s="546"/>
      <c r="AU32" s="546"/>
      <c r="AV32" s="546"/>
      <c r="AW32" s="546"/>
      <c r="AX32" s="546"/>
      <c r="AY32" s="546"/>
      <c r="AZ32" s="546"/>
    </row>
    <row r="33" spans="1:52" ht="14" x14ac:dyDescent="0.15">
      <c r="A33" s="270" t="str">
        <f>'Tariffs Jul2020'!F27</f>
        <v>Origin Energy</v>
      </c>
      <c r="B33" s="40" t="str">
        <f>'Tariffs Jul2020'!D27</f>
        <v>Multinet Metro 2</v>
      </c>
      <c r="C33" s="40" t="str">
        <f>'Tariffs Jul2020'!G27</f>
        <v>Flexi</v>
      </c>
      <c r="D33" s="59">
        <f>365*'Tariffs Jul2020'!H27/100</f>
        <v>255.5</v>
      </c>
      <c r="E33" s="59">
        <f>IF($C$5*'Tariffs Jul2020'!AK27/'Tariffs Jul2020'!AI27&gt;='Tariffs Jul2020'!J27,( 'Tariffs Jul2020'!J27*'Tariffs Jul2020'!O27/100)* 'Tariffs Jul2020'!AI27,($C$5*'Tariffs Jul2020'!AK27/'Tariffs Jul2020'!AI27*'Tariffs Jul2020'!O27/100)* 'Tariffs Jul2020'!AI27)</f>
        <v>432</v>
      </c>
      <c r="F33" s="59">
        <f>IF($C$5*'Tariffs Jul2020'!AK27/'Tariffs Jul2020'!AI27&lt;'Tariffs Jul2020'!J27,0,IF($C$5*'Tariffs Jul2020'!AK27/'Tariffs Jul2020'!AI27&lt;='Tariffs Jul2020'!K27,($C$5*'Tariffs Jul2020'!AK27/'Tariffs Jul2020'!AI27-'Tariffs Jul2020'!J27)*('Tariffs Jul2020'!P27/100)*'Tariffs Jul2020'!AI27,('Tariffs Jul2020'!K27-'Tariffs Jul2020'!J27)*('Tariffs Jul2020'!P27/100)*'Tariffs Jul2020'!AI27))</f>
        <v>175.5</v>
      </c>
      <c r="G33" s="59">
        <f>IF($C$5*'Tariffs Jul2020'!AK27/'Tariffs Jul2020'!AI27&lt;'Tariffs Jul2020'!K27,0,IF($C$5*'Tariffs Jul2020'!AK27/'Tariffs Jul2020'!AI27&lt;='Tariffs Jul2020'!L27,($C$5*'Tariffs Jul2020'!AK27/'Tariffs Jul2020'!AI27-'Tariffs Jul2020'!K27)*('Tariffs Jul2020'!Q27/100)*'Tariffs Jul2020'!AI27,('Tariffs Jul2020'!L27-'Tariffs Jul2020'!K27)*('Tariffs Jul2020'!Q27/100)*'Tariffs Jul2020'!AI27))</f>
        <v>0</v>
      </c>
      <c r="H33" s="59">
        <f>IF($C$5*'Tariffs Jul2020'!AK27/'Tariffs Jul2020'!AI27&lt;'Tariffs Jul2020'!L27,0,IF($C$5*'Tariffs Jul2020'!AK27/'Tariffs Jul2020'!AI27&lt;='Tariffs Jul2020'!M27,($C$5*'Tariffs Jul2020'!AK27/'Tariffs Jul2020'!AI27-'Tariffs Jul2020'!L27)*('Tariffs Jul2020'!R27/100)*'Tariffs Jul2020'!AI27,('Tariffs Jul2020'!M27-'Tariffs Jul2020'!L27)*('Tariffs Jul2020'!R27/100)*'Tariffs Jul2020'!AI27))</f>
        <v>0</v>
      </c>
      <c r="I33" s="59">
        <f>IF(($C$5*'Tariffs Jul2020'!AK27/'Tariffs Jul2020'!AI27&gt;'Tariffs Jul2020'!M27),($C$5*'Tariffs Jul2020'!AK27/'Tariffs Jul2020'!AI27-'Tariffs Jul2020'!M27)*'Tariffs Jul2020'!S27/100*'Tariffs Jul2020'!AI27,0)</f>
        <v>65.25</v>
      </c>
      <c r="J33" s="59">
        <f>IF($C$5*'Tariffs Jul2020'!AL27/'Tariffs Jul2020'!AJ27&gt;='Tariffs Jul2020'!J27,('Tariffs Jul2020'!J27*'Tariffs Jul2020'!U27/100)* 'Tariffs Jul2020'!AJ27,($C$5*'Tariffs Jul2020'!AL27/'Tariffs Jul2020'!AJ27*'Tariffs Jul2020'!U27/100)* 'Tariffs Jul2020'!AJ27)</f>
        <v>396.00000000000011</v>
      </c>
      <c r="K33" s="59">
        <f>IF($C$5*'Tariffs Jul2020'!AL27/'Tariffs Jul2020'!AJ27&lt;'Tariffs Jul2020'!J27,0,IF($C$5*'Tariffs Jul2020'!AL27/'Tariffs Jul2020'!AJ27&lt;='Tariffs Jul2020'!K27,($C$5*'Tariffs Jul2020'!AL27/'Tariffs Jul2020'!AJ27-'Tariffs Jul2020'!J27)*('Tariffs Jul2020'!V27/100)*'Tariffs Jul2020'!AJ27,('Tariffs Jul2020'!K27-'Tariffs Jul2020'!J27)*('Tariffs Jul2020'!V27/100)*'Tariffs Jul2020'!AJ27))</f>
        <v>157.50000000000003</v>
      </c>
      <c r="L33" s="59">
        <f>IF($C$5*'Tariffs Jul2020'!AL27/'Tariffs Jul2020'!AJ27&lt;'Tariffs Jul2020'!K27,0,IF($C$5*'Tariffs Jul2020'!AL27/'Tariffs Jul2020'!AJ27&lt;='Tariffs Jul2020'!L27,($C$5*'Tariffs Jul2020'!AL27/'Tariffs Jul2020'!AJ27-'Tariffs Jul2020'!K27)*('Tariffs Jul2020'!W27/100)*'Tariffs Jul2020'!AJ27,('Tariffs Jul2020'!L27-'Tariffs Jul2020'!K27)*('Tariffs Jul2020'!W27/100)*'Tariffs Jul2020'!AJ27))</f>
        <v>0</v>
      </c>
      <c r="M33" s="59">
        <f>IF($C$5*'Tariffs Jul2020'!AL27/'Tariffs Jul2020'!AJ27&lt;'Tariffs Jul2020'!L27,0,IF($C$5*'Tariffs Jul2020'!AL27/'Tariffs Jul2020'!AJ27&lt;='Tariffs Jul2020'!M27,($C$5*'Tariffs Jul2020'!AL27/'Tariffs Jul2020'!AJ27-'Tariffs Jul2020'!L27)*('Tariffs Jul2020'!X27/100)*'Tariffs Jul2020'!AJ27,('Tariffs Jul2020'!M27-'Tariffs Jul2020'!L27)*('Tariffs Jul2020'!X27/100)*'Tariffs Jul2020'!AJ27))</f>
        <v>0</v>
      </c>
      <c r="N33" s="59">
        <f>IF(($C$5*'Tariffs Jul2020'!AL27/'Tariffs Jul2020'!AJ27&gt;'Tariffs Jul2020'!M27),($C$5*'Tariffs Jul2020'!AL27/'Tariffs Jul2020'!AJ27-'Tariffs Jul2020'!M27)*'Tariffs Jul2020'!Y27/100*'Tariffs Jul2020'!AJ27,0)</f>
        <v>60.750000000000014</v>
      </c>
      <c r="O33" s="59">
        <f t="shared" si="1"/>
        <v>1287</v>
      </c>
      <c r="P33" s="503">
        <f t="shared" si="2"/>
        <v>1415.7</v>
      </c>
      <c r="Q33" s="59">
        <f t="shared" si="3"/>
        <v>1542.5</v>
      </c>
      <c r="R33" s="272">
        <f t="shared" si="4"/>
        <v>1696.7500000000002</v>
      </c>
      <c r="S33" s="40">
        <f>'Tariffs Jul2020'!AN27</f>
        <v>11</v>
      </c>
      <c r="T33" s="40">
        <f>'Tariffs Jul2020'!AO27</f>
        <v>0</v>
      </c>
      <c r="U33" s="40">
        <f>'Tariffs Jul2020'!AP27</f>
        <v>0</v>
      </c>
      <c r="V33" s="40">
        <f>'Tariffs Jul2020'!AQ27</f>
        <v>0</v>
      </c>
      <c r="W33" s="284">
        <f>R33-(R33*S33/100)</f>
        <v>1510.1075000000001</v>
      </c>
      <c r="X33" s="284">
        <f t="shared" si="9"/>
        <v>1510.1075000000001</v>
      </c>
      <c r="Y33" s="507">
        <f>W33</f>
        <v>1510.1075000000001</v>
      </c>
      <c r="Z33" s="507">
        <f>X33</f>
        <v>1510.1075000000001</v>
      </c>
      <c r="AA33" s="274">
        <f>'Tariffs Jul2020'!AZ27</f>
        <v>0</v>
      </c>
      <c r="AB33" s="274" t="str">
        <f>'Tariffs Jul2020'!BA27</f>
        <v>n</v>
      </c>
      <c r="AC33" s="275" t="str">
        <f>'Tariffs Jul2020'!BJ27</f>
        <v>N</v>
      </c>
      <c r="AD33" s="511"/>
      <c r="AE33" s="511"/>
      <c r="AF33" s="513"/>
      <c r="AG33" s="546"/>
      <c r="AH33" s="546"/>
      <c r="AI33" s="546"/>
      <c r="AJ33" s="546"/>
      <c r="AK33" s="546"/>
      <c r="AL33" s="546"/>
      <c r="AM33" s="546"/>
      <c r="AN33" s="546"/>
      <c r="AO33" s="546"/>
      <c r="AP33" s="546"/>
      <c r="AQ33" s="546"/>
      <c r="AR33" s="546"/>
      <c r="AS33" s="546"/>
      <c r="AT33" s="546"/>
      <c r="AU33" s="546"/>
      <c r="AV33" s="546"/>
      <c r="AW33" s="546"/>
      <c r="AX33" s="546"/>
      <c r="AY33" s="546"/>
      <c r="AZ33" s="546"/>
    </row>
    <row r="34" spans="1:52" ht="14" x14ac:dyDescent="0.15">
      <c r="A34" s="270" t="str">
        <f>'Tariffs Jul2020'!F28</f>
        <v>Red Energy</v>
      </c>
      <c r="B34" s="40" t="str">
        <f>'Tariffs Jul2020'!D28</f>
        <v>Multinet Metro 2</v>
      </c>
      <c r="C34" s="40" t="str">
        <f>'Tariffs Jul2020'!G28</f>
        <v>Living Energy Saver</v>
      </c>
      <c r="D34" s="59">
        <f>365*'Tariffs Jul2020'!H28/100</f>
        <v>239.148</v>
      </c>
      <c r="E34" s="59">
        <f>IF($C$5*'Tariffs Jul2020'!AK28/'Tariffs Jul2020'!AI28&gt;='Tariffs Jul2020'!J28,( 'Tariffs Jul2020'!J28*'Tariffs Jul2020'!O28/100)* 'Tariffs Jul2020'!AI28,($C$5*'Tariffs Jul2020'!AK28/'Tariffs Jul2020'!AI28*'Tariffs Jul2020'!O28/100)* 'Tariffs Jul2020'!AI28)</f>
        <v>185.39999999999998</v>
      </c>
      <c r="F34" s="59">
        <f>IF($C$5*'Tariffs Jul2020'!AK28/'Tariffs Jul2020'!AI28&lt;'Tariffs Jul2020'!J28,0,IF($C$5*'Tariffs Jul2020'!AK28/'Tariffs Jul2020'!AI28&lt;='Tariffs Jul2020'!K28,($C$5*'Tariffs Jul2020'!AK28/'Tariffs Jul2020'!AI28-'Tariffs Jul2020'!J28)*('Tariffs Jul2020'!P28/100)*'Tariffs Jul2020'!AI28,('Tariffs Jul2020'!K28-'Tariffs Jul2020'!J28)*('Tariffs Jul2020'!P28/100)*'Tariffs Jul2020'!AI28))</f>
        <v>174.60000000000002</v>
      </c>
      <c r="G34" s="59">
        <f>IF($C$5*'Tariffs Jul2020'!AK28/'Tariffs Jul2020'!AI28&lt;'Tariffs Jul2020'!K28,0,IF($C$5*'Tariffs Jul2020'!AK28/'Tariffs Jul2020'!AI28&lt;='Tariffs Jul2020'!L28,($C$5*'Tariffs Jul2020'!AK28/'Tariffs Jul2020'!AI28-'Tariffs Jul2020'!K28)*('Tariffs Jul2020'!Q28/100)*'Tariffs Jul2020'!AI28,('Tariffs Jul2020'!L28-'Tariffs Jul2020'!K28)*('Tariffs Jul2020'!Q28/100)*'Tariffs Jul2020'!AI28))</f>
        <v>153.9</v>
      </c>
      <c r="H34" s="59">
        <f>IF($C$5*'Tariffs Jul2020'!AK28/'Tariffs Jul2020'!AI28&lt;'Tariffs Jul2020'!L28,0,IF($C$5*'Tariffs Jul2020'!AK28/'Tariffs Jul2020'!AI28&lt;='Tariffs Jul2020'!M28,($C$5*'Tariffs Jul2020'!AK28/'Tariffs Jul2020'!AI28-'Tariffs Jul2020'!L28)*('Tariffs Jul2020'!R28/100)*'Tariffs Jul2020'!AI28,('Tariffs Jul2020'!M28-'Tariffs Jul2020'!L28)*('Tariffs Jul2020'!R28/100)*'Tariffs Jul2020'!AI28))</f>
        <v>72.900000000000006</v>
      </c>
      <c r="I34" s="59">
        <f>IF(($C$5*'Tariffs Jul2020'!AK28/'Tariffs Jul2020'!AI28&gt;'Tariffs Jul2020'!M28),($C$5*'Tariffs Jul2020'!AK28/'Tariffs Jul2020'!AI28-'Tariffs Jul2020'!M28)*'Tariffs Jul2020'!S28/100*'Tariffs Jul2020'!AI28,0)</f>
        <v>0</v>
      </c>
      <c r="J34" s="59">
        <f>IF($C$5*'Tariffs Jul2020'!AL28/'Tariffs Jul2020'!AJ28&gt;='Tariffs Jul2020'!J28,('Tariffs Jul2020'!J28*'Tariffs Jul2020'!U28/100)* 'Tariffs Jul2020'!AJ28,($C$5*'Tariffs Jul2020'!AL28/'Tariffs Jul2020'!AJ28*'Tariffs Jul2020'!U28/100)* 'Tariffs Jul2020'!AJ28)</f>
        <v>176.39999999999998</v>
      </c>
      <c r="K34" s="59">
        <f>IF($C$5*'Tariffs Jul2020'!AL28/'Tariffs Jul2020'!AJ28&lt;'Tariffs Jul2020'!J28,0,IF($C$5*'Tariffs Jul2020'!AL28/'Tariffs Jul2020'!AJ28&lt;='Tariffs Jul2020'!K28,($C$5*'Tariffs Jul2020'!AL28/'Tariffs Jul2020'!AJ28-'Tariffs Jul2020'!J28)*('Tariffs Jul2020'!V28/100)*'Tariffs Jul2020'!AJ28,('Tariffs Jul2020'!K28-'Tariffs Jul2020'!J28)*('Tariffs Jul2020'!V28/100)*'Tariffs Jul2020'!AJ28))</f>
        <v>162.00000000000003</v>
      </c>
      <c r="L34" s="59">
        <f>IF($C$5*'Tariffs Jul2020'!AL28/'Tariffs Jul2020'!AJ28&lt;'Tariffs Jul2020'!K28,0,IF($C$5*'Tariffs Jul2020'!AL28/'Tariffs Jul2020'!AJ28&lt;='Tariffs Jul2020'!L28,($C$5*'Tariffs Jul2020'!AL28/'Tariffs Jul2020'!AJ28-'Tariffs Jul2020'!K28)*('Tariffs Jul2020'!W28/100)*'Tariffs Jul2020'!AJ28,('Tariffs Jul2020'!L28-'Tariffs Jul2020'!K28)*('Tariffs Jul2020'!W28/100)*'Tariffs Jul2020'!AJ28))</f>
        <v>145.80000000000001</v>
      </c>
      <c r="M34" s="59">
        <f>IF($C$5*'Tariffs Jul2020'!AL28/'Tariffs Jul2020'!AJ28&lt;'Tariffs Jul2020'!L28,0,IF($C$5*'Tariffs Jul2020'!AL28/'Tariffs Jul2020'!AJ28&lt;='Tariffs Jul2020'!M28,($C$5*'Tariffs Jul2020'!AL28/'Tariffs Jul2020'!AJ28-'Tariffs Jul2020'!L28)*('Tariffs Jul2020'!X28/100)*'Tariffs Jul2020'!AJ28,('Tariffs Jul2020'!M28-'Tariffs Jul2020'!L28)*('Tariffs Jul2020'!X28/100)*'Tariffs Jul2020'!AJ28))</f>
        <v>68.850000000000009</v>
      </c>
      <c r="N34" s="59">
        <f>IF(($C$5*'Tariffs Jul2020'!AL28/'Tariffs Jul2020'!AJ28&gt;'Tariffs Jul2020'!M28),($C$5*'Tariffs Jul2020'!AL28/'Tariffs Jul2020'!AJ28-'Tariffs Jul2020'!M28)*'Tariffs Jul2020'!Y28/100*'Tariffs Jul2020'!AJ28,0)</f>
        <v>0</v>
      </c>
      <c r="O34" s="59">
        <f t="shared" si="1"/>
        <v>1139.8499999999999</v>
      </c>
      <c r="P34" s="503">
        <f t="shared" si="2"/>
        <v>1253.835</v>
      </c>
      <c r="Q34" s="59">
        <f t="shared" si="3"/>
        <v>1378.9979999999998</v>
      </c>
      <c r="R34" s="272">
        <f t="shared" si="4"/>
        <v>1516.8978</v>
      </c>
      <c r="S34" s="40">
        <f>'Tariffs Jul2020'!AN28</f>
        <v>0</v>
      </c>
      <c r="T34" s="40">
        <f>'Tariffs Jul2020'!AO28</f>
        <v>0</v>
      </c>
      <c r="U34" s="40">
        <f>'Tariffs Jul2020'!AP28</f>
        <v>0</v>
      </c>
      <c r="V34" s="40">
        <f>'Tariffs Jul2020'!AQ28</f>
        <v>0</v>
      </c>
      <c r="W34" s="284">
        <f>Q34</f>
        <v>1378.9979999999998</v>
      </c>
      <c r="X34" s="284">
        <f t="shared" si="9"/>
        <v>1378.9979999999998</v>
      </c>
      <c r="Y34" s="507">
        <f t="shared" ref="Y34:Z38" si="13">W34*1.1</f>
        <v>1516.8978</v>
      </c>
      <c r="Z34" s="507">
        <f t="shared" si="13"/>
        <v>1516.8978</v>
      </c>
      <c r="AA34" s="274">
        <f>'Tariffs Jul2020'!AZ28</f>
        <v>0</v>
      </c>
      <c r="AB34" s="274" t="str">
        <f>'Tariffs Jul2020'!BA28</f>
        <v>n</v>
      </c>
      <c r="AC34" s="275" t="str">
        <f>'Tariffs Jul2020'!BJ28</f>
        <v>N</v>
      </c>
      <c r="AD34" s="511"/>
      <c r="AE34" s="511"/>
      <c r="AF34" s="513"/>
      <c r="AG34" s="546"/>
      <c r="AH34" s="546"/>
      <c r="AI34" s="546"/>
      <c r="AJ34" s="546"/>
      <c r="AK34" s="546"/>
      <c r="AL34" s="546"/>
      <c r="AM34" s="546"/>
      <c r="AN34" s="546"/>
      <c r="AO34" s="546"/>
      <c r="AP34" s="546"/>
      <c r="AQ34" s="546"/>
      <c r="AR34" s="546"/>
      <c r="AS34" s="546"/>
      <c r="AT34" s="546"/>
      <c r="AU34" s="546"/>
      <c r="AV34" s="546"/>
      <c r="AW34" s="546"/>
      <c r="AX34" s="546"/>
      <c r="AY34" s="546"/>
      <c r="AZ34" s="546"/>
    </row>
    <row r="35" spans="1:52" ht="14" x14ac:dyDescent="0.15">
      <c r="A35" s="270" t="str">
        <f>'Tariffs Jul2020'!F29</f>
        <v>Simply Energy</v>
      </c>
      <c r="B35" s="40" t="str">
        <f>'Tariffs Jul2020'!D29</f>
        <v>Multinet Metro 2</v>
      </c>
      <c r="C35" s="40" t="str">
        <f>'Tariffs Jul2020'!G29</f>
        <v>Saver</v>
      </c>
      <c r="D35" s="59">
        <f>365*'Tariffs Jul2020'!H29/100</f>
        <v>305.39549999999997</v>
      </c>
      <c r="E35" s="59">
        <f>IF($C$5*'Tariffs Jul2020'!AK29/'Tariffs Jul2020'!AI29&gt;='Tariffs Jul2020'!J29,( 'Tariffs Jul2020'!J29*'Tariffs Jul2020'!O29/100)* 'Tariffs Jul2020'!AI29,($C$5*'Tariffs Jul2020'!AK29/'Tariffs Jul2020'!AI29*'Tariffs Jul2020'!O29/100)* 'Tariffs Jul2020'!AI29)</f>
        <v>224.10000000000002</v>
      </c>
      <c r="F35" s="59">
        <f>IF($C$5*'Tariffs Jul2020'!AK29/'Tariffs Jul2020'!AI29&lt;'Tariffs Jul2020'!J29,0,IF($C$5*'Tariffs Jul2020'!AK29/'Tariffs Jul2020'!AI29&lt;='Tariffs Jul2020'!K29,($C$5*'Tariffs Jul2020'!AK29/'Tariffs Jul2020'!AI29-'Tariffs Jul2020'!J29)*('Tariffs Jul2020'!P29/100)*'Tariffs Jul2020'!AI29,('Tariffs Jul2020'!K29-'Tariffs Jul2020'!J29)*('Tariffs Jul2020'!P29/100)*'Tariffs Jul2020'!AI29))</f>
        <v>193.5</v>
      </c>
      <c r="G35" s="59">
        <f>IF($C$5*'Tariffs Jul2020'!AK29/'Tariffs Jul2020'!AI29&lt;'Tariffs Jul2020'!K29,0,IF($C$5*'Tariffs Jul2020'!AK29/'Tariffs Jul2020'!AI29&lt;='Tariffs Jul2020'!L29,($C$5*'Tariffs Jul2020'!AK29/'Tariffs Jul2020'!AI29-'Tariffs Jul2020'!K29)*('Tariffs Jul2020'!Q29/100)*'Tariffs Jul2020'!AI29,('Tariffs Jul2020'!L29-'Tariffs Jul2020'!K29)*('Tariffs Jul2020'!Q29/100)*'Tariffs Jul2020'!AI29))</f>
        <v>163.80000000000001</v>
      </c>
      <c r="H35" s="59">
        <f>IF($C$5*'Tariffs Jul2020'!AK29/'Tariffs Jul2020'!AI29&lt;'Tariffs Jul2020'!L29,0,IF($C$5*'Tariffs Jul2020'!AK29/'Tariffs Jul2020'!AI29&lt;='Tariffs Jul2020'!M29,($C$5*'Tariffs Jul2020'!AK29/'Tariffs Jul2020'!AI29-'Tariffs Jul2020'!L29)*('Tariffs Jul2020'!R29/100)*'Tariffs Jul2020'!AI29,('Tariffs Jul2020'!M29-'Tariffs Jul2020'!L29)*('Tariffs Jul2020'!R29/100)*'Tariffs Jul2020'!AI29))</f>
        <v>73.8</v>
      </c>
      <c r="I35" s="59">
        <f>IF(($C$5*'Tariffs Jul2020'!AK29/'Tariffs Jul2020'!AI29&gt;'Tariffs Jul2020'!M29),($C$5*'Tariffs Jul2020'!AK29/'Tariffs Jul2020'!AI29-'Tariffs Jul2020'!M29)*'Tariffs Jul2020'!S29/100*'Tariffs Jul2020'!AI29,0)</f>
        <v>0</v>
      </c>
      <c r="J35" s="59">
        <f>IF($C$5*'Tariffs Jul2020'!AL29/'Tariffs Jul2020'!AJ29&gt;='Tariffs Jul2020'!J29,('Tariffs Jul2020'!J29*'Tariffs Jul2020'!U29/100)* 'Tariffs Jul2020'!AJ29,($C$5*'Tariffs Jul2020'!AL29/'Tariffs Jul2020'!AJ29*'Tariffs Jul2020'!U29/100)* 'Tariffs Jul2020'!AJ29)</f>
        <v>210.60000000000002</v>
      </c>
      <c r="K35" s="59">
        <f>IF($C$5*'Tariffs Jul2020'!AL29/'Tariffs Jul2020'!AJ29&lt;'Tariffs Jul2020'!J29,0,IF($C$5*'Tariffs Jul2020'!AL29/'Tariffs Jul2020'!AJ29&lt;='Tariffs Jul2020'!K29,($C$5*'Tariffs Jul2020'!AL29/'Tariffs Jul2020'!AJ29-'Tariffs Jul2020'!J29)*('Tariffs Jul2020'!V29/100)*'Tariffs Jul2020'!AJ29,('Tariffs Jul2020'!K29-'Tariffs Jul2020'!J29)*('Tariffs Jul2020'!V29/100)*'Tariffs Jul2020'!AJ29))</f>
        <v>183.60000000000002</v>
      </c>
      <c r="L35" s="59">
        <f>IF($C$5*'Tariffs Jul2020'!AL29/'Tariffs Jul2020'!AJ29&lt;'Tariffs Jul2020'!K29,0,IF($C$5*'Tariffs Jul2020'!AL29/'Tariffs Jul2020'!AJ29&lt;='Tariffs Jul2020'!L29,($C$5*'Tariffs Jul2020'!AL29/'Tariffs Jul2020'!AJ29-'Tariffs Jul2020'!K29)*('Tariffs Jul2020'!W29/100)*'Tariffs Jul2020'!AJ29,('Tariffs Jul2020'!L29-'Tariffs Jul2020'!K29)*('Tariffs Jul2020'!W29/100)*'Tariffs Jul2020'!AJ29))</f>
        <v>158.4</v>
      </c>
      <c r="M35" s="59">
        <f>IF($C$5*'Tariffs Jul2020'!AL29/'Tariffs Jul2020'!AJ29&lt;'Tariffs Jul2020'!L29,0,IF($C$5*'Tariffs Jul2020'!AL29/'Tariffs Jul2020'!AJ29&lt;='Tariffs Jul2020'!M29,($C$5*'Tariffs Jul2020'!AL29/'Tariffs Jul2020'!AJ29-'Tariffs Jul2020'!L29)*('Tariffs Jul2020'!X29/100)*'Tariffs Jul2020'!AJ29,('Tariffs Jul2020'!M29-'Tariffs Jul2020'!L29)*('Tariffs Jul2020'!X29/100)*'Tariffs Jul2020'!AJ29))</f>
        <v>72.449999999999989</v>
      </c>
      <c r="N35" s="59">
        <f>IF(($C$5*'Tariffs Jul2020'!AL29/'Tariffs Jul2020'!AJ29&gt;'Tariffs Jul2020'!M29),($C$5*'Tariffs Jul2020'!AL29/'Tariffs Jul2020'!AJ29-'Tariffs Jul2020'!M29)*'Tariffs Jul2020'!Y29/100*'Tariffs Jul2020'!AJ29,0)</f>
        <v>0</v>
      </c>
      <c r="O35" s="59">
        <f t="shared" si="1"/>
        <v>1280.2500000000002</v>
      </c>
      <c r="P35" s="503">
        <f t="shared" si="2"/>
        <v>1408.2750000000003</v>
      </c>
      <c r="Q35" s="59">
        <f t="shared" si="3"/>
        <v>1585.6455000000001</v>
      </c>
      <c r="R35" s="272">
        <f t="shared" si="4"/>
        <v>1744.2100500000001</v>
      </c>
      <c r="S35" s="40">
        <f>'Tariffs Jul2020'!AN29</f>
        <v>20</v>
      </c>
      <c r="T35" s="40">
        <f>'Tariffs Jul2020'!AO29</f>
        <v>0</v>
      </c>
      <c r="U35" s="40">
        <f>'Tariffs Jul2020'!AP29</f>
        <v>0</v>
      </c>
      <c r="V35" s="40">
        <f>'Tariffs Jul2020'!AQ29</f>
        <v>0</v>
      </c>
      <c r="W35" s="284">
        <f>Q35-(Q35*S35/100)</f>
        <v>1268.5164</v>
      </c>
      <c r="X35" s="284">
        <f t="shared" si="9"/>
        <v>1268.5164</v>
      </c>
      <c r="Y35" s="507">
        <f t="shared" si="13"/>
        <v>1395.3680400000001</v>
      </c>
      <c r="Z35" s="507">
        <f t="shared" si="13"/>
        <v>1395.3680400000001</v>
      </c>
      <c r="AA35" s="274">
        <f>'Tariffs Jul2020'!AZ29</f>
        <v>0</v>
      </c>
      <c r="AB35" s="274" t="str">
        <f>'Tariffs Jul2020'!BA29</f>
        <v>n</v>
      </c>
      <c r="AC35" s="275" t="str">
        <f>'Tariffs Jul2020'!BJ29</f>
        <v>N</v>
      </c>
      <c r="AD35" s="511"/>
      <c r="AE35" s="511"/>
      <c r="AF35" s="513"/>
      <c r="AG35" s="546"/>
      <c r="AH35" s="546"/>
      <c r="AI35" s="546"/>
      <c r="AJ35" s="546"/>
      <c r="AK35" s="546"/>
      <c r="AL35" s="546"/>
      <c r="AM35" s="546"/>
      <c r="AN35" s="546"/>
      <c r="AO35" s="546"/>
      <c r="AP35" s="546"/>
      <c r="AQ35" s="546"/>
      <c r="AR35" s="546"/>
      <c r="AS35" s="546"/>
      <c r="AT35" s="546"/>
      <c r="AU35" s="546"/>
      <c r="AV35" s="546"/>
      <c r="AW35" s="546"/>
      <c r="AX35" s="546"/>
      <c r="AY35" s="546"/>
      <c r="AZ35" s="546"/>
    </row>
    <row r="36" spans="1:52" ht="14" x14ac:dyDescent="0.15">
      <c r="A36" s="270" t="str">
        <f>'Tariffs Jul2020'!F30</f>
        <v>Sumo Power</v>
      </c>
      <c r="B36" s="40" t="str">
        <f>'Tariffs Jul2020'!D30</f>
        <v>Multinet Metro 2</v>
      </c>
      <c r="C36" s="40" t="str">
        <f>'Tariffs Jul2020'!G30</f>
        <v>Select</v>
      </c>
      <c r="D36" s="59">
        <f>365*'Tariffs Jul2020'!H30/100</f>
        <v>237.25</v>
      </c>
      <c r="E36" s="59">
        <f>IF($C$5*'Tariffs Jul2020'!AK30/'Tariffs Jul2020'!AI30&gt;='Tariffs Jul2020'!J30,( 'Tariffs Jul2020'!J30*'Tariffs Jul2020'!O30/100)* 'Tariffs Jul2020'!AI30,($C$5*'Tariffs Jul2020'!AK30/'Tariffs Jul2020'!AI30*'Tariffs Jul2020'!O30/100)* 'Tariffs Jul2020'!AI30)</f>
        <v>209.70000000000002</v>
      </c>
      <c r="F36" s="59">
        <f>IF($C$5*'Tariffs Jul2020'!AK30/'Tariffs Jul2020'!AI30&lt;'Tariffs Jul2020'!J30,0,IF($C$5*'Tariffs Jul2020'!AK30/'Tariffs Jul2020'!AI30&lt;='Tariffs Jul2020'!K30,($C$5*'Tariffs Jul2020'!AK30/'Tariffs Jul2020'!AI30-'Tariffs Jul2020'!J30)*('Tariffs Jul2020'!P30/100)*'Tariffs Jul2020'!AI30,('Tariffs Jul2020'!K30-'Tariffs Jul2020'!J30)*('Tariffs Jul2020'!P30/100)*'Tariffs Jul2020'!AI30))</f>
        <v>182.7</v>
      </c>
      <c r="G36" s="59">
        <f>IF($C$5*'Tariffs Jul2020'!AK30/'Tariffs Jul2020'!AI30&lt;'Tariffs Jul2020'!K30,0,IF($C$5*'Tariffs Jul2020'!AK30/'Tariffs Jul2020'!AI30&lt;='Tariffs Jul2020'!L30,($C$5*'Tariffs Jul2020'!AK30/'Tariffs Jul2020'!AI30-'Tariffs Jul2020'!K30)*('Tariffs Jul2020'!Q30/100)*'Tariffs Jul2020'!AI30,('Tariffs Jul2020'!L30-'Tariffs Jul2020'!K30)*('Tariffs Jul2020'!Q30/100)*'Tariffs Jul2020'!AI30))</f>
        <v>159.30000000000001</v>
      </c>
      <c r="H36" s="59">
        <f>IF($C$5*'Tariffs Jul2020'!AK30/'Tariffs Jul2020'!AI30&lt;'Tariffs Jul2020'!L30,0,IF($C$5*'Tariffs Jul2020'!AK30/'Tariffs Jul2020'!AI30&lt;='Tariffs Jul2020'!M30,($C$5*'Tariffs Jul2020'!AK30/'Tariffs Jul2020'!AI30-'Tariffs Jul2020'!L30)*('Tariffs Jul2020'!R30/100)*'Tariffs Jul2020'!AI30,('Tariffs Jul2020'!M30-'Tariffs Jul2020'!L30)*('Tariffs Jul2020'!R30/100)*'Tariffs Jul2020'!AI30))</f>
        <v>63.449999999999996</v>
      </c>
      <c r="I36" s="59">
        <f>IF(($C$5*'Tariffs Jul2020'!AK30/'Tariffs Jul2020'!AI30&gt;'Tariffs Jul2020'!M30),($C$5*'Tariffs Jul2020'!AK30/'Tariffs Jul2020'!AI30-'Tariffs Jul2020'!M30)*'Tariffs Jul2020'!S30/100*'Tariffs Jul2020'!AI30,0)</f>
        <v>0</v>
      </c>
      <c r="J36" s="59">
        <f>IF($C$5*'Tariffs Jul2020'!AL30/'Tariffs Jul2020'!AJ30&gt;='Tariffs Jul2020'!J30,('Tariffs Jul2020'!J30*'Tariffs Jul2020'!U30/100)* 'Tariffs Jul2020'!AJ30,($C$5*'Tariffs Jul2020'!AL30/'Tariffs Jul2020'!AJ30*'Tariffs Jul2020'!U30/100)* 'Tariffs Jul2020'!AJ30)</f>
        <v>182.7</v>
      </c>
      <c r="K36" s="59">
        <f>IF($C$5*'Tariffs Jul2020'!AL30/'Tariffs Jul2020'!AJ30&lt;'Tariffs Jul2020'!J30,0,IF($C$5*'Tariffs Jul2020'!AL30/'Tariffs Jul2020'!AJ30&lt;='Tariffs Jul2020'!K30,($C$5*'Tariffs Jul2020'!AL30/'Tariffs Jul2020'!AJ30-'Tariffs Jul2020'!J30)*('Tariffs Jul2020'!V30/100)*'Tariffs Jul2020'!AJ30,('Tariffs Jul2020'!K30-'Tariffs Jul2020'!J30)*('Tariffs Jul2020'!V30/100)*'Tariffs Jul2020'!AJ30))</f>
        <v>154.80000000000001</v>
      </c>
      <c r="L36" s="59">
        <f>IF($C$5*'Tariffs Jul2020'!AL30/'Tariffs Jul2020'!AJ30&lt;'Tariffs Jul2020'!K30,0,IF($C$5*'Tariffs Jul2020'!AL30/'Tariffs Jul2020'!AJ30&lt;='Tariffs Jul2020'!L30,($C$5*'Tariffs Jul2020'!AL30/'Tariffs Jul2020'!AJ30-'Tariffs Jul2020'!K30)*('Tariffs Jul2020'!W30/100)*'Tariffs Jul2020'!AJ30,('Tariffs Jul2020'!L30-'Tariffs Jul2020'!K30)*('Tariffs Jul2020'!W30/100)*'Tariffs Jul2020'!AJ30))</f>
        <v>141.30000000000001</v>
      </c>
      <c r="M36" s="59">
        <f>IF($C$5*'Tariffs Jul2020'!AL30/'Tariffs Jul2020'!AJ30&lt;'Tariffs Jul2020'!L30,0,IF($C$5*'Tariffs Jul2020'!AL30/'Tariffs Jul2020'!AJ30&lt;='Tariffs Jul2020'!M30,($C$5*'Tariffs Jul2020'!AL30/'Tariffs Jul2020'!AJ30-'Tariffs Jul2020'!L30)*('Tariffs Jul2020'!X30/100)*'Tariffs Jul2020'!AJ30,('Tariffs Jul2020'!M30-'Tariffs Jul2020'!L30)*('Tariffs Jul2020'!X30/100)*'Tariffs Jul2020'!AJ30))</f>
        <v>58.95</v>
      </c>
      <c r="N36" s="59">
        <f>IF(($C$5*'Tariffs Jul2020'!AL30/'Tariffs Jul2020'!AJ30&gt;'Tariffs Jul2020'!M30),($C$5*'Tariffs Jul2020'!AL30/'Tariffs Jul2020'!AJ30-'Tariffs Jul2020'!M30)*'Tariffs Jul2020'!Y30/100*'Tariffs Jul2020'!AJ30,0)</f>
        <v>0</v>
      </c>
      <c r="O36" s="59">
        <f t="shared" si="1"/>
        <v>1152.9000000000001</v>
      </c>
      <c r="P36" s="503">
        <f t="shared" si="2"/>
        <v>1268.1900000000003</v>
      </c>
      <c r="Q36" s="59">
        <f t="shared" si="3"/>
        <v>1390.15</v>
      </c>
      <c r="R36" s="272">
        <f t="shared" si="4"/>
        <v>1529.1650000000002</v>
      </c>
      <c r="S36" s="40">
        <f>'Tariffs Jul2020'!AN30</f>
        <v>0</v>
      </c>
      <c r="T36" s="40">
        <f>'Tariffs Jul2020'!AO30</f>
        <v>0</v>
      </c>
      <c r="U36" s="40">
        <f>'Tariffs Jul2020'!AP30</f>
        <v>5</v>
      </c>
      <c r="V36" s="40">
        <f>'Tariffs Jul2020'!AQ30</f>
        <v>0</v>
      </c>
      <c r="W36" s="284">
        <f t="shared" ref="W36" si="14">Q36</f>
        <v>1390.15</v>
      </c>
      <c r="X36" s="284">
        <f>W36-(Q36*U36/100)</f>
        <v>1320.6425000000002</v>
      </c>
      <c r="Y36" s="507">
        <f t="shared" si="13"/>
        <v>1529.1650000000002</v>
      </c>
      <c r="Z36" s="507">
        <f t="shared" si="13"/>
        <v>1452.7067500000003</v>
      </c>
      <c r="AA36" s="274">
        <f>'Tariffs Jul2020'!AZ30</f>
        <v>0</v>
      </c>
      <c r="AB36" s="274" t="str">
        <f>'Tariffs Jul2020'!BA30</f>
        <v>n</v>
      </c>
      <c r="AC36" s="275" t="str">
        <f>'Tariffs Jul2020'!BJ30</f>
        <v>Y</v>
      </c>
      <c r="AD36" s="511"/>
      <c r="AE36" s="511"/>
      <c r="AF36" s="513"/>
      <c r="AG36" s="546"/>
      <c r="AH36" s="546"/>
      <c r="AI36" s="546"/>
      <c r="AJ36" s="546"/>
      <c r="AK36" s="546"/>
      <c r="AL36" s="546"/>
      <c r="AM36" s="546"/>
      <c r="AN36" s="546"/>
      <c r="AO36" s="546"/>
      <c r="AP36" s="546"/>
      <c r="AQ36" s="546"/>
      <c r="AR36" s="546"/>
      <c r="AS36" s="546"/>
      <c r="AT36" s="546"/>
      <c r="AU36" s="546"/>
      <c r="AV36" s="546"/>
      <c r="AW36" s="546"/>
      <c r="AX36" s="546"/>
      <c r="AY36" s="546"/>
      <c r="AZ36" s="546"/>
    </row>
    <row r="37" spans="1:52" ht="14" x14ac:dyDescent="0.15">
      <c r="A37" s="270" t="str">
        <f>'Tariffs Jul2020'!F31</f>
        <v>Amaysim</v>
      </c>
      <c r="B37" s="40" t="str">
        <f>'Tariffs Jul2020'!D31</f>
        <v>Multinet Metro 2</v>
      </c>
      <c r="C37" s="40" t="str">
        <f>'Tariffs Jul2020'!G31</f>
        <v>Gas as you go</v>
      </c>
      <c r="D37" s="59">
        <f>365*'Tariffs Jul2020'!H31/100</f>
        <v>193.85150000000002</v>
      </c>
      <c r="E37" s="59">
        <f>IF($C$5*'Tariffs Jul2020'!AK31/'Tariffs Jul2020'!AI31&gt;='Tariffs Jul2020'!J31,( 'Tariffs Jul2020'!J31*'Tariffs Jul2020'!O31/100)* 'Tariffs Jul2020'!AI31,($C$5*'Tariffs Jul2020'!AK31/'Tariffs Jul2020'!AI31*'Tariffs Jul2020'!O31/100)* 'Tariffs Jul2020'!AI31)</f>
        <v>205.2</v>
      </c>
      <c r="F37" s="59">
        <f>IF($C$5*'Tariffs Jul2020'!AK31/'Tariffs Jul2020'!AI31&lt;'Tariffs Jul2020'!J31,0,IF($C$5*'Tariffs Jul2020'!AK31/'Tariffs Jul2020'!AI31&lt;='Tariffs Jul2020'!K31,($C$5*'Tariffs Jul2020'!AK31/'Tariffs Jul2020'!AI31-'Tariffs Jul2020'!J31)*('Tariffs Jul2020'!P31/100)*'Tariffs Jul2020'!AI31,('Tariffs Jul2020'!K31-'Tariffs Jul2020'!J31)*('Tariffs Jul2020'!P31/100)*'Tariffs Jul2020'!AI31))</f>
        <v>180.89999999999998</v>
      </c>
      <c r="G37" s="59">
        <f>IF($C$5*'Tariffs Jul2020'!AK31/'Tariffs Jul2020'!AI31&lt;'Tariffs Jul2020'!K31,0,IF($C$5*'Tariffs Jul2020'!AK31/'Tariffs Jul2020'!AI31&lt;='Tariffs Jul2020'!L31,($C$5*'Tariffs Jul2020'!AK31/'Tariffs Jul2020'!AI31-'Tariffs Jul2020'!K31)*('Tariffs Jul2020'!Q31/100)*'Tariffs Jul2020'!AI31,('Tariffs Jul2020'!L31-'Tariffs Jul2020'!K31)*('Tariffs Jul2020'!Q31/100)*'Tariffs Jul2020'!AI31))</f>
        <v>155.69999999999999</v>
      </c>
      <c r="H37" s="59">
        <f>IF($C$5*'Tariffs Jul2020'!AK31/'Tariffs Jul2020'!AI31&lt;'Tariffs Jul2020'!L31,0,IF($C$5*'Tariffs Jul2020'!AK31/'Tariffs Jul2020'!AI31&lt;='Tariffs Jul2020'!M31,($C$5*'Tariffs Jul2020'!AK31/'Tariffs Jul2020'!AI31-'Tariffs Jul2020'!L31)*('Tariffs Jul2020'!R31/100)*'Tariffs Jul2020'!AI31,('Tariffs Jul2020'!M31-'Tariffs Jul2020'!L31)*('Tariffs Jul2020'!R31/100)*'Tariffs Jul2020'!AI31))</f>
        <v>72</v>
      </c>
      <c r="I37" s="59">
        <f>IF(($C$5*'Tariffs Jul2020'!AK31/'Tariffs Jul2020'!AI31&gt;'Tariffs Jul2020'!M31),($C$5*'Tariffs Jul2020'!AK31/'Tariffs Jul2020'!AI31-'Tariffs Jul2020'!M31)*'Tariffs Jul2020'!S31/100*'Tariffs Jul2020'!AI31,0)</f>
        <v>0</v>
      </c>
      <c r="J37" s="59">
        <f>IF($C$5*'Tariffs Jul2020'!AL31/'Tariffs Jul2020'!AJ31&gt;='Tariffs Jul2020'!J31,('Tariffs Jul2020'!J31*'Tariffs Jul2020'!U31/100)* 'Tariffs Jul2020'!AJ31,($C$5*'Tariffs Jul2020'!AL31/'Tariffs Jul2020'!AJ31*'Tariffs Jul2020'!U31/100)* 'Tariffs Jul2020'!AJ31)</f>
        <v>198.89999999999998</v>
      </c>
      <c r="K37" s="59">
        <f>IF($C$5*'Tariffs Jul2020'!AL31/'Tariffs Jul2020'!AJ31&lt;'Tariffs Jul2020'!J31,0,IF($C$5*'Tariffs Jul2020'!AL31/'Tariffs Jul2020'!AJ31&lt;='Tariffs Jul2020'!K31,($C$5*'Tariffs Jul2020'!AL31/'Tariffs Jul2020'!AJ31-'Tariffs Jul2020'!J31)*('Tariffs Jul2020'!V31/100)*'Tariffs Jul2020'!AJ31,('Tariffs Jul2020'!K31-'Tariffs Jul2020'!J31)*('Tariffs Jul2020'!V31/100)*'Tariffs Jul2020'!AJ31))</f>
        <v>177.29999999999998</v>
      </c>
      <c r="L37" s="59">
        <f>IF($C$5*'Tariffs Jul2020'!AL31/'Tariffs Jul2020'!AJ31&lt;'Tariffs Jul2020'!K31,0,IF($C$5*'Tariffs Jul2020'!AL31/'Tariffs Jul2020'!AJ31&lt;='Tariffs Jul2020'!L31,($C$5*'Tariffs Jul2020'!AL31/'Tariffs Jul2020'!AJ31-'Tariffs Jul2020'!K31)*('Tariffs Jul2020'!W31/100)*'Tariffs Jul2020'!AJ31,('Tariffs Jul2020'!L31-'Tariffs Jul2020'!K31)*('Tariffs Jul2020'!W31/100)*'Tariffs Jul2020'!AJ31))</f>
        <v>153.00000000000003</v>
      </c>
      <c r="M37" s="59">
        <f>IF($C$5*'Tariffs Jul2020'!AL31/'Tariffs Jul2020'!AJ31&lt;'Tariffs Jul2020'!L31,0,IF($C$5*'Tariffs Jul2020'!AL31/'Tariffs Jul2020'!AJ31&lt;='Tariffs Jul2020'!M31,($C$5*'Tariffs Jul2020'!AL31/'Tariffs Jul2020'!AJ31-'Tariffs Jul2020'!L31)*('Tariffs Jul2020'!X31/100)*'Tariffs Jul2020'!AJ31,('Tariffs Jul2020'!M31-'Tariffs Jul2020'!L31)*('Tariffs Jul2020'!X31/100)*'Tariffs Jul2020'!AJ31))</f>
        <v>72</v>
      </c>
      <c r="N37" s="59">
        <f>IF(($C$5*'Tariffs Jul2020'!AL31/'Tariffs Jul2020'!AJ31&gt;'Tariffs Jul2020'!M31),($C$5*'Tariffs Jul2020'!AL31/'Tariffs Jul2020'!AJ31-'Tariffs Jul2020'!M31)*'Tariffs Jul2020'!Y31/100*'Tariffs Jul2020'!AJ31,0)</f>
        <v>0</v>
      </c>
      <c r="O37" s="59">
        <f t="shared" si="1"/>
        <v>1215</v>
      </c>
      <c r="P37" s="503">
        <f t="shared" si="2"/>
        <v>1336.5</v>
      </c>
      <c r="Q37" s="59">
        <f t="shared" si="3"/>
        <v>1408.8515</v>
      </c>
      <c r="R37" s="272">
        <f t="shared" si="4"/>
        <v>1549.7366500000001</v>
      </c>
      <c r="S37" s="40">
        <f>'Tariffs Jul2020'!AN31</f>
        <v>0</v>
      </c>
      <c r="T37" s="40">
        <f>'Tariffs Jul2020'!AO31</f>
        <v>0</v>
      </c>
      <c r="U37" s="40">
        <f>'Tariffs Jul2020'!AP31</f>
        <v>0</v>
      </c>
      <c r="V37" s="40">
        <f>'Tariffs Jul2020'!AQ31</f>
        <v>0</v>
      </c>
      <c r="W37" s="284">
        <f>Q37</f>
        <v>1408.8515</v>
      </c>
      <c r="X37" s="284">
        <f>W37</f>
        <v>1408.8515</v>
      </c>
      <c r="Y37" s="507">
        <f t="shared" si="13"/>
        <v>1549.7366500000001</v>
      </c>
      <c r="Z37" s="507">
        <f t="shared" si="13"/>
        <v>1549.7366500000001</v>
      </c>
      <c r="AA37" s="274">
        <f>'Tariffs Jul2020'!AZ31</f>
        <v>0</v>
      </c>
      <c r="AB37" s="274" t="str">
        <f>'Tariffs Jul2020'!BA31</f>
        <v>n</v>
      </c>
      <c r="AC37" s="275" t="str">
        <f>'Tariffs Jul2020'!BJ31</f>
        <v>N</v>
      </c>
      <c r="AD37" s="511"/>
      <c r="AE37" s="511"/>
      <c r="AF37" s="513"/>
      <c r="AG37" s="546"/>
      <c r="AH37" s="546"/>
      <c r="AI37" s="546"/>
      <c r="AJ37" s="546"/>
      <c r="AK37" s="546"/>
      <c r="AL37" s="546"/>
      <c r="AM37" s="546"/>
      <c r="AN37" s="546"/>
      <c r="AO37" s="546"/>
      <c r="AP37" s="546"/>
      <c r="AQ37" s="546"/>
      <c r="AR37" s="546"/>
      <c r="AS37" s="546"/>
      <c r="AT37" s="546"/>
      <c r="AU37" s="546"/>
      <c r="AV37" s="546"/>
      <c r="AW37" s="546"/>
      <c r="AX37" s="546"/>
      <c r="AY37" s="546"/>
      <c r="AZ37" s="546"/>
    </row>
    <row r="38" spans="1:52" ht="14" x14ac:dyDescent="0.15">
      <c r="A38" s="270" t="str">
        <f>'Tariffs Jul2020'!F32</f>
        <v>GloBird Energy</v>
      </c>
      <c r="B38" s="40" t="str">
        <f>'Tariffs Jul2020'!D32</f>
        <v>Multinet Metro 2</v>
      </c>
      <c r="C38" s="40" t="str">
        <f>'Tariffs Jul2020'!G32</f>
        <v>GloSave</v>
      </c>
      <c r="D38" s="59">
        <f>365*'Tariffs Jul2020'!H32/100</f>
        <v>226.3</v>
      </c>
      <c r="E38" s="59">
        <f>IF($C$5*'Tariffs Jul2020'!AK32/'Tariffs Jul2020'!AI32&gt;='Tariffs Jul2020'!J32,( 'Tariffs Jul2020'!J32*'Tariffs Jul2020'!O32/100)* 'Tariffs Jul2020'!AI32,($C$5*'Tariffs Jul2020'!AK32/'Tariffs Jul2020'!AI32*'Tariffs Jul2020'!O32/100)* 'Tariffs Jul2020'!AI32)</f>
        <v>225.6</v>
      </c>
      <c r="F38" s="59">
        <f>IF($C$5*'Tariffs Jul2020'!AK32/'Tariffs Jul2020'!AI32&lt;'Tariffs Jul2020'!J32,0,IF($C$5*'Tariffs Jul2020'!AK32/'Tariffs Jul2020'!AI32&lt;='Tariffs Jul2020'!K32,($C$5*'Tariffs Jul2020'!AK32/'Tariffs Jul2020'!AI32-'Tariffs Jul2020'!J32)*('Tariffs Jul2020'!P32/100)*'Tariffs Jul2020'!AI32,('Tariffs Jul2020'!K32-'Tariffs Jul2020'!J32)*('Tariffs Jul2020'!P32/100)*'Tariffs Jul2020'!AI32))</f>
        <v>0</v>
      </c>
      <c r="G38" s="59">
        <f>IF($C$5*'Tariffs Jul2020'!AK32/'Tariffs Jul2020'!AI32&lt;'Tariffs Jul2020'!K32,0,IF($C$5*'Tariffs Jul2020'!AK32/'Tariffs Jul2020'!AI32&lt;='Tariffs Jul2020'!L32,($C$5*'Tariffs Jul2020'!AK32/'Tariffs Jul2020'!AI32-'Tariffs Jul2020'!K32)*('Tariffs Jul2020'!Q32/100)*'Tariffs Jul2020'!AI32,('Tariffs Jul2020'!L32-'Tariffs Jul2020'!K32)*('Tariffs Jul2020'!Q32/100)*'Tariffs Jul2020'!AI32))</f>
        <v>0</v>
      </c>
      <c r="H38" s="59">
        <f>IF($C$5*'Tariffs Jul2020'!AK32/'Tariffs Jul2020'!AI32&lt;'Tariffs Jul2020'!L32,0,IF($C$5*'Tariffs Jul2020'!AK32/'Tariffs Jul2020'!AI32&lt;='Tariffs Jul2020'!M32,($C$5*'Tariffs Jul2020'!AK32/'Tariffs Jul2020'!AI32-'Tariffs Jul2020'!L32)*('Tariffs Jul2020'!R32/100)*'Tariffs Jul2020'!AI32,('Tariffs Jul2020'!M32-'Tariffs Jul2020'!L32)*('Tariffs Jul2020'!R32/100)*'Tariffs Jul2020'!AI32))</f>
        <v>0</v>
      </c>
      <c r="I38" s="59">
        <f>IF(($C$5*'Tariffs Jul2020'!AK32/'Tariffs Jul2020'!AI32&gt;'Tariffs Jul2020'!M32),($C$5*'Tariffs Jul2020'!AK32/'Tariffs Jul2020'!AI32-'Tariffs Jul2020'!M32)*'Tariffs Jul2020'!S32/100*'Tariffs Jul2020'!AI32,0)</f>
        <v>124.17101999999996</v>
      </c>
      <c r="J38" s="59">
        <f>IF($C$5*'Tariffs Jul2020'!AL32/'Tariffs Jul2020'!AJ32&gt;='Tariffs Jul2020'!J32,('Tariffs Jul2020'!J32*'Tariffs Jul2020'!U32/100)* 'Tariffs Jul2020'!AJ32,($C$5*'Tariffs Jul2020'!AL32/'Tariffs Jul2020'!AJ32*'Tariffs Jul2020'!U32/100)* 'Tariffs Jul2020'!AJ32)</f>
        <v>408</v>
      </c>
      <c r="K38" s="59">
        <f>IF($C$5*'Tariffs Jul2020'!AL32/'Tariffs Jul2020'!AJ32&lt;'Tariffs Jul2020'!J32,0,IF($C$5*'Tariffs Jul2020'!AL32/'Tariffs Jul2020'!AJ32&lt;='Tariffs Jul2020'!K32,($C$5*'Tariffs Jul2020'!AL32/'Tariffs Jul2020'!AJ32-'Tariffs Jul2020'!J32)*('Tariffs Jul2020'!V32/100)*'Tariffs Jul2020'!AJ32,('Tariffs Jul2020'!K32-'Tariffs Jul2020'!J32)*('Tariffs Jul2020'!V32/100)*'Tariffs Jul2020'!AJ32))</f>
        <v>0</v>
      </c>
      <c r="L38" s="59">
        <f>IF($C$5*'Tariffs Jul2020'!AL32/'Tariffs Jul2020'!AJ32&lt;'Tariffs Jul2020'!K32,0,IF($C$5*'Tariffs Jul2020'!AL32/'Tariffs Jul2020'!AJ32&lt;='Tariffs Jul2020'!L32,($C$5*'Tariffs Jul2020'!AL32/'Tariffs Jul2020'!AJ32-'Tariffs Jul2020'!K32)*('Tariffs Jul2020'!W32/100)*'Tariffs Jul2020'!AJ32,('Tariffs Jul2020'!L32-'Tariffs Jul2020'!K32)*('Tariffs Jul2020'!W32/100)*'Tariffs Jul2020'!AJ32))</f>
        <v>0</v>
      </c>
      <c r="M38" s="59">
        <f>IF($C$5*'Tariffs Jul2020'!AL32/'Tariffs Jul2020'!AJ32&lt;'Tariffs Jul2020'!L32,0,IF($C$5*'Tariffs Jul2020'!AL32/'Tariffs Jul2020'!AJ32&lt;='Tariffs Jul2020'!M32,($C$5*'Tariffs Jul2020'!AL32/'Tariffs Jul2020'!AJ32-'Tariffs Jul2020'!L32)*('Tariffs Jul2020'!X32/100)*'Tariffs Jul2020'!AJ32,('Tariffs Jul2020'!M32-'Tariffs Jul2020'!L32)*('Tariffs Jul2020'!X32/100)*'Tariffs Jul2020'!AJ32))</f>
        <v>0</v>
      </c>
      <c r="N38" s="59">
        <f>IF(($C$5*'Tariffs Jul2020'!AL32/'Tariffs Jul2020'!AJ32&gt;'Tariffs Jul2020'!M32),($C$5*'Tariffs Jul2020'!AL32/'Tariffs Jul2020'!AJ32-'Tariffs Jul2020'!M32)*'Tariffs Jul2020'!Y32/100*'Tariffs Jul2020'!AJ32,0)</f>
        <v>248.34203999999991</v>
      </c>
      <c r="O38" s="59">
        <f>SUM(E38:N38)</f>
        <v>1006.1130599999998</v>
      </c>
      <c r="P38" s="503">
        <f t="shared" si="2"/>
        <v>1106.7243659999999</v>
      </c>
      <c r="Q38" s="59">
        <f>D38+O38</f>
        <v>1232.4130599999999</v>
      </c>
      <c r="R38" s="272">
        <f>Q38*1.1</f>
        <v>1355.654366</v>
      </c>
      <c r="S38" s="40">
        <f>'Tariffs Jul2020'!AN32</f>
        <v>0</v>
      </c>
      <c r="T38" s="40">
        <f>'Tariffs Jul2020'!AO32</f>
        <v>0</v>
      </c>
      <c r="U38" s="40">
        <f>'Tariffs Jul2020'!AP32</f>
        <v>0</v>
      </c>
      <c r="V38" s="40">
        <f>'Tariffs Jul2020'!AQ32</f>
        <v>0</v>
      </c>
      <c r="W38" s="284">
        <f>Q38</f>
        <v>1232.4130599999999</v>
      </c>
      <c r="X38" s="284">
        <f>W38</f>
        <v>1232.4130599999999</v>
      </c>
      <c r="Y38" s="507">
        <f t="shared" si="13"/>
        <v>1355.654366</v>
      </c>
      <c r="Z38" s="507">
        <f t="shared" si="13"/>
        <v>1355.654366</v>
      </c>
      <c r="AA38" s="274">
        <f>'Tariffs Jul2020'!AZ32</f>
        <v>0</v>
      </c>
      <c r="AB38" s="274" t="str">
        <f>'Tariffs Jul2020'!BA32</f>
        <v>n</v>
      </c>
      <c r="AC38" s="275" t="str">
        <f>'Tariffs Jul2020'!BJ32</f>
        <v>N</v>
      </c>
      <c r="AD38" s="511"/>
      <c r="AE38" s="511"/>
      <c r="AF38" s="513"/>
      <c r="AG38" s="546"/>
      <c r="AH38" s="546"/>
      <c r="AI38" s="546"/>
      <c r="AJ38" s="546"/>
      <c r="AK38" s="546"/>
      <c r="AL38" s="546"/>
      <c r="AM38" s="546"/>
      <c r="AN38" s="546"/>
      <c r="AO38" s="546"/>
      <c r="AP38" s="546"/>
      <c r="AQ38" s="546"/>
      <c r="AR38" s="546"/>
      <c r="AS38" s="546"/>
      <c r="AT38" s="546"/>
      <c r="AU38" s="546"/>
      <c r="AV38" s="546"/>
      <c r="AW38" s="546"/>
      <c r="AX38" s="546"/>
      <c r="AY38" s="546"/>
      <c r="AZ38" s="546"/>
    </row>
    <row r="39" spans="1:52" ht="14" x14ac:dyDescent="0.15">
      <c r="A39" s="270" t="str">
        <f>'Tariffs Jul2020'!F33</f>
        <v>Powershop</v>
      </c>
      <c r="B39" s="40" t="str">
        <f>'Tariffs Jul2020'!D33</f>
        <v>Multinet Metro 2</v>
      </c>
      <c r="C39" s="40" t="str">
        <f>'Tariffs Jul2020'!G33</f>
        <v>Shopper with Gas Saver</v>
      </c>
      <c r="D39" s="59">
        <f>365*'Tariffs Jul2020'!H33/100</f>
        <v>258.05500000000001</v>
      </c>
      <c r="E39" s="59">
        <f>((C$5*'Tariffs Jul2020'!AK33/'Tariffs Jul2020'!AI33)*('Tariffs Jul2020'!O33/100))*'Tariffs Jul2020'!AI33</f>
        <v>595.34999999999991</v>
      </c>
      <c r="F39" s="59">
        <v>0</v>
      </c>
      <c r="G39" s="59">
        <v>0</v>
      </c>
      <c r="H39" s="59">
        <v>0</v>
      </c>
      <c r="I39" s="59">
        <v>0</v>
      </c>
      <c r="J39" s="59">
        <f>((C$5*'Tariffs Jul2020'!AL33/'Tariffs Jul2020'!AJ33)*('Tariffs Jul2020'!U33/100))*'Tariffs Jul2020'!AJ33</f>
        <v>535.5</v>
      </c>
      <c r="K39" s="59">
        <v>0</v>
      </c>
      <c r="L39" s="59">
        <v>0</v>
      </c>
      <c r="M39" s="59">
        <v>0</v>
      </c>
      <c r="N39" s="59">
        <v>0</v>
      </c>
      <c r="O39" s="59">
        <f t="shared" si="1"/>
        <v>1130.8499999999999</v>
      </c>
      <c r="P39" s="503">
        <f t="shared" si="2"/>
        <v>1243.9349999999999</v>
      </c>
      <c r="Q39" s="59">
        <f t="shared" si="3"/>
        <v>1388.905</v>
      </c>
      <c r="R39" s="272">
        <f t="shared" si="4"/>
        <v>1527.7955000000002</v>
      </c>
      <c r="S39" s="40">
        <f>'Tariffs Jul2020'!AN33</f>
        <v>0</v>
      </c>
      <c r="T39" s="40">
        <f>'Tariffs Jul2020'!AO33</f>
        <v>0</v>
      </c>
      <c r="U39" s="40">
        <f>'Tariffs Jul2020'!AP33</f>
        <v>5</v>
      </c>
      <c r="V39" s="40">
        <f>'Tariffs Jul2020'!AQ33</f>
        <v>0</v>
      </c>
      <c r="W39" s="284">
        <f>R39</f>
        <v>1527.7955000000002</v>
      </c>
      <c r="X39" s="284">
        <f>W39-(W39*U39/100)</f>
        <v>1451.4057250000001</v>
      </c>
      <c r="Y39" s="507">
        <f>W39</f>
        <v>1527.7955000000002</v>
      </c>
      <c r="Z39" s="507">
        <f>X39</f>
        <v>1451.4057250000001</v>
      </c>
      <c r="AA39" s="274">
        <f>'Tariffs Jul2020'!AZ33</f>
        <v>0</v>
      </c>
      <c r="AB39" s="274" t="str">
        <f>'Tariffs Jul2020'!BA33</f>
        <v>n</v>
      </c>
      <c r="AC39" s="275" t="str">
        <f>'Tariffs Jul2020'!BJ33</f>
        <v>Y</v>
      </c>
      <c r="AD39" s="511"/>
      <c r="AE39" s="511"/>
      <c r="AF39" s="513"/>
      <c r="AG39" s="546"/>
      <c r="AH39" s="546"/>
      <c r="AI39" s="546"/>
      <c r="AJ39" s="546"/>
      <c r="AK39" s="546"/>
      <c r="AL39" s="546"/>
      <c r="AM39" s="546"/>
      <c r="AN39" s="546"/>
      <c r="AO39" s="546"/>
      <c r="AP39" s="546"/>
      <c r="AQ39" s="546"/>
      <c r="AR39" s="546"/>
      <c r="AS39" s="546"/>
      <c r="AT39" s="546"/>
      <c r="AU39" s="546"/>
      <c r="AV39" s="546"/>
      <c r="AW39" s="546"/>
      <c r="AX39" s="546"/>
      <c r="AY39" s="546"/>
      <c r="AZ39" s="546"/>
    </row>
    <row r="40" spans="1:52" ht="14" x14ac:dyDescent="0.15">
      <c r="A40" s="270" t="str">
        <f>'Tariffs Jul2020'!F34</f>
        <v>1st Energy</v>
      </c>
      <c r="B40" s="40" t="str">
        <f>'Tariffs Jul2020'!D34</f>
        <v>Multinet Metro 2</v>
      </c>
      <c r="C40" s="40" t="str">
        <f>'Tariffs Jul2020'!G34</f>
        <v>1st Saver</v>
      </c>
      <c r="D40" s="59">
        <f>365*'Tariffs Jul2020'!H34/100</f>
        <v>259.14999999999998</v>
      </c>
      <c r="E40" s="59">
        <f>IF($C$5*'Tariffs Jul2020'!AK34/'Tariffs Jul2020'!AI34&gt;='Tariffs Jul2020'!J34,( 'Tariffs Jul2020'!J34*'Tariffs Jul2020'!O34/100)* 'Tariffs Jul2020'!AI34,($C$5*'Tariffs Jul2020'!AK34/'Tariffs Jul2020'!AI34*'Tariffs Jul2020'!O34/100)* 'Tariffs Jul2020'!AI34)</f>
        <v>221.39999999999998</v>
      </c>
      <c r="F40" s="59">
        <f>IF($C$5*'Tariffs Jul2020'!AK34/'Tariffs Jul2020'!AI34&lt;'Tariffs Jul2020'!J34,0,IF($C$5*'Tariffs Jul2020'!AK34/'Tariffs Jul2020'!AI34&lt;='Tariffs Jul2020'!K34,($C$5*'Tariffs Jul2020'!AK34/'Tariffs Jul2020'!AI34-'Tariffs Jul2020'!J34)*('Tariffs Jul2020'!P34/100)*'Tariffs Jul2020'!AI34,('Tariffs Jul2020'!K34-'Tariffs Jul2020'!J34)*('Tariffs Jul2020'!P34/100)*'Tariffs Jul2020'!AI34))</f>
        <v>194.39999999999998</v>
      </c>
      <c r="G40" s="59">
        <f>IF($C$5*'Tariffs Jul2020'!AK34/'Tariffs Jul2020'!AI34&lt;'Tariffs Jul2020'!K34,0,IF($C$5*'Tariffs Jul2020'!AK34/'Tariffs Jul2020'!AI34&lt;='Tariffs Jul2020'!L34,($C$5*'Tariffs Jul2020'!AK34/'Tariffs Jul2020'!AI34-'Tariffs Jul2020'!K34)*('Tariffs Jul2020'!Q34/100)*'Tariffs Jul2020'!AI34,('Tariffs Jul2020'!L34-'Tariffs Jul2020'!K34)*('Tariffs Jul2020'!Q34/100)*'Tariffs Jul2020'!AI34))</f>
        <v>0</v>
      </c>
      <c r="H40" s="59">
        <f>IF($C$5*'Tariffs Jul2020'!AK34/'Tariffs Jul2020'!AI34&lt;'Tariffs Jul2020'!L34,0,IF($C$5*'Tariffs Jul2020'!AK34/'Tariffs Jul2020'!AI34&lt;='Tariffs Jul2020'!M34,($C$5*'Tariffs Jul2020'!AK34/'Tariffs Jul2020'!AI34-'Tariffs Jul2020'!L34)*('Tariffs Jul2020'!R34/100)*'Tariffs Jul2020'!AI34,('Tariffs Jul2020'!M34-'Tariffs Jul2020'!L34)*('Tariffs Jul2020'!R34/100)*'Tariffs Jul2020'!AI34))</f>
        <v>0</v>
      </c>
      <c r="I40" s="59">
        <f>IF(($C$5*'Tariffs Jul2020'!AK34/'Tariffs Jul2020'!AI34&gt;'Tariffs Jul2020'!M34),($C$5*'Tariffs Jul2020'!AK34/'Tariffs Jul2020'!AI34-'Tariffs Jul2020'!M34)*'Tariffs Jul2020'!S34/100*'Tariffs Jul2020'!AI34,0)</f>
        <v>245.70000000000002</v>
      </c>
      <c r="J40" s="59">
        <f>IF($C$5*'Tariffs Jul2020'!AL34/'Tariffs Jul2020'!AJ34&gt;='Tariffs Jul2020'!J34,('Tariffs Jul2020'!J34*'Tariffs Jul2020'!U34/100)* 'Tariffs Jul2020'!AJ34,($C$5*'Tariffs Jul2020'!AL34/'Tariffs Jul2020'!AJ34*'Tariffs Jul2020'!U34/100)* 'Tariffs Jul2020'!AJ34)</f>
        <v>221.39999999999998</v>
      </c>
      <c r="K40" s="59">
        <f>IF($C$5*'Tariffs Jul2020'!AL34/'Tariffs Jul2020'!AJ34&lt;'Tariffs Jul2020'!J34,0,IF($C$5*'Tariffs Jul2020'!AL34/'Tariffs Jul2020'!AJ34&lt;='Tariffs Jul2020'!K34,($C$5*'Tariffs Jul2020'!AL34/'Tariffs Jul2020'!AJ34-'Tariffs Jul2020'!J34)*('Tariffs Jul2020'!V34/100)*'Tariffs Jul2020'!AJ34,('Tariffs Jul2020'!K34-'Tariffs Jul2020'!J34)*('Tariffs Jul2020'!V34/100)*'Tariffs Jul2020'!AJ34))</f>
        <v>194.39999999999998</v>
      </c>
      <c r="L40" s="59">
        <f>IF($C$5*'Tariffs Jul2020'!AL34/'Tariffs Jul2020'!AJ34&lt;'Tariffs Jul2020'!K34,0,IF($C$5*'Tariffs Jul2020'!AL34/'Tariffs Jul2020'!AJ34&lt;='Tariffs Jul2020'!L34,($C$5*'Tariffs Jul2020'!AL34/'Tariffs Jul2020'!AJ34-'Tariffs Jul2020'!K34)*('Tariffs Jul2020'!W34/100)*'Tariffs Jul2020'!AJ34,('Tariffs Jul2020'!L34-'Tariffs Jul2020'!K34)*('Tariffs Jul2020'!W34/100)*'Tariffs Jul2020'!AJ34))</f>
        <v>0</v>
      </c>
      <c r="M40" s="59">
        <f>IF($C$5*'Tariffs Jul2020'!AL34/'Tariffs Jul2020'!AJ34&lt;'Tariffs Jul2020'!L34,0,IF($C$5*'Tariffs Jul2020'!AL34/'Tariffs Jul2020'!AJ34&lt;='Tariffs Jul2020'!M34,($C$5*'Tariffs Jul2020'!AL34/'Tariffs Jul2020'!AJ34-'Tariffs Jul2020'!L34)*('Tariffs Jul2020'!X34/100)*'Tariffs Jul2020'!AJ34,('Tariffs Jul2020'!M34-'Tariffs Jul2020'!L34)*('Tariffs Jul2020'!X34/100)*'Tariffs Jul2020'!AJ34))</f>
        <v>0</v>
      </c>
      <c r="N40" s="59">
        <f>IF(($C$5*'Tariffs Jul2020'!AL34/'Tariffs Jul2020'!AJ34&gt;'Tariffs Jul2020'!M34),($C$5*'Tariffs Jul2020'!AL34/'Tariffs Jul2020'!AJ34-'Tariffs Jul2020'!M34)*'Tariffs Jul2020'!Y34/100*'Tariffs Jul2020'!AJ34,0)</f>
        <v>245.70000000000002</v>
      </c>
      <c r="O40" s="59">
        <f t="shared" si="1"/>
        <v>1323</v>
      </c>
      <c r="P40" s="503">
        <f t="shared" si="2"/>
        <v>1455.3000000000002</v>
      </c>
      <c r="Q40" s="59">
        <f t="shared" si="3"/>
        <v>1582.15</v>
      </c>
      <c r="R40" s="272">
        <f t="shared" si="4"/>
        <v>1740.3650000000002</v>
      </c>
      <c r="S40" s="40">
        <f>'Tariffs Jul2020'!AN34</f>
        <v>0</v>
      </c>
      <c r="T40" s="40">
        <f>'Tariffs Jul2020'!AO34</f>
        <v>0</v>
      </c>
      <c r="U40" s="40">
        <f>'Tariffs Jul2020'!AP34</f>
        <v>0</v>
      </c>
      <c r="V40" s="40">
        <f>'Tariffs Jul2020'!AQ34</f>
        <v>15</v>
      </c>
      <c r="W40" s="284">
        <f>Q40</f>
        <v>1582.15</v>
      </c>
      <c r="X40" s="284">
        <f>W40-(O40*V40/100)</f>
        <v>1383.7</v>
      </c>
      <c r="Y40" s="507">
        <f t="shared" ref="Y40:Z41" si="15">W40*1.1</f>
        <v>1740.3650000000002</v>
      </c>
      <c r="Z40" s="507">
        <f t="shared" si="15"/>
        <v>1522.0700000000002</v>
      </c>
      <c r="AA40" s="274">
        <f>'Tariffs Jul2020'!AZ34</f>
        <v>0</v>
      </c>
      <c r="AB40" s="274" t="str">
        <f>'Tariffs Jul2020'!BA34</f>
        <v>n</v>
      </c>
      <c r="AC40" s="275" t="str">
        <f>'Tariffs Jul2020'!BJ34</f>
        <v>Y</v>
      </c>
      <c r="AD40" s="511"/>
      <c r="AE40" s="511"/>
      <c r="AF40" s="513"/>
      <c r="AG40" s="546"/>
      <c r="AH40" s="546"/>
      <c r="AI40" s="546"/>
      <c r="AJ40" s="546"/>
      <c r="AK40" s="546"/>
      <c r="AL40" s="546"/>
      <c r="AM40" s="546"/>
      <c r="AN40" s="546"/>
      <c r="AO40" s="546"/>
      <c r="AP40" s="546"/>
      <c r="AQ40" s="546"/>
      <c r="AR40" s="546"/>
      <c r="AS40" s="546"/>
      <c r="AT40" s="546"/>
      <c r="AU40" s="546"/>
      <c r="AV40" s="546"/>
      <c r="AW40" s="546"/>
      <c r="AX40" s="546"/>
      <c r="AY40" s="546"/>
      <c r="AZ40" s="546"/>
    </row>
    <row r="41" spans="1:52" ht="15" thickBot="1" x14ac:dyDescent="0.2">
      <c r="A41" s="276" t="str">
        <f>'Tariffs Jul2020'!F35</f>
        <v>Kogan Energy</v>
      </c>
      <c r="B41" s="277" t="str">
        <f>'Tariffs Jul2020'!D35</f>
        <v>Multinet Metro 2</v>
      </c>
      <c r="C41" s="277" t="str">
        <f>'Tariffs Jul2020'!G35</f>
        <v>Market offer</v>
      </c>
      <c r="D41" s="278">
        <f>365*'Tariffs Jul2020'!H35/100</f>
        <v>251.01049999999998</v>
      </c>
      <c r="E41" s="278">
        <f>((C$5*'Tariffs Jul2020'!AK35/'Tariffs Jul2020'!AI35)*('Tariffs Jul2020'!O35/100))*'Tariffs Jul2020'!AI35</f>
        <v>655.19999999999993</v>
      </c>
      <c r="F41" s="278">
        <v>0</v>
      </c>
      <c r="G41" s="278">
        <v>0</v>
      </c>
      <c r="H41" s="278">
        <v>0</v>
      </c>
      <c r="I41" s="278">
        <v>0</v>
      </c>
      <c r="J41" s="278">
        <f>((C$5*'Tariffs Jul2020'!AL35/'Tariffs Jul2020'!AJ35)*('Tariffs Jul2020'!U35/100))*'Tariffs Jul2020'!AJ35</f>
        <v>570.15000000000009</v>
      </c>
      <c r="K41" s="278">
        <v>0</v>
      </c>
      <c r="L41" s="278">
        <v>0</v>
      </c>
      <c r="M41" s="278">
        <v>0</v>
      </c>
      <c r="N41" s="278">
        <v>0</v>
      </c>
      <c r="O41" s="278">
        <f t="shared" si="1"/>
        <v>1225.3499999999999</v>
      </c>
      <c r="P41" s="504">
        <f t="shared" si="2"/>
        <v>1347.885</v>
      </c>
      <c r="Q41" s="278">
        <f t="shared" si="3"/>
        <v>1476.3604999999998</v>
      </c>
      <c r="R41" s="280">
        <f t="shared" si="4"/>
        <v>1623.9965499999998</v>
      </c>
      <c r="S41" s="277">
        <f>'Tariffs Jul2020'!AN35</f>
        <v>0</v>
      </c>
      <c r="T41" s="277">
        <f>'Tariffs Jul2020'!AO35</f>
        <v>0</v>
      </c>
      <c r="U41" s="277">
        <f>'Tariffs Jul2020'!AP35</f>
        <v>0</v>
      </c>
      <c r="V41" s="277">
        <f>'Tariffs Jul2020'!AQ35</f>
        <v>0</v>
      </c>
      <c r="W41" s="285">
        <f t="shared" ref="W41" si="16">Q41</f>
        <v>1476.3604999999998</v>
      </c>
      <c r="X41" s="285">
        <f t="shared" ref="X41:X52" si="17">W41</f>
        <v>1476.3604999999998</v>
      </c>
      <c r="Y41" s="508">
        <f t="shared" si="15"/>
        <v>1623.9965499999998</v>
      </c>
      <c r="Z41" s="508">
        <f t="shared" si="15"/>
        <v>1623.9965499999998</v>
      </c>
      <c r="AA41" s="282">
        <f>'Tariffs Jul2020'!AZ35</f>
        <v>0</v>
      </c>
      <c r="AB41" s="282" t="str">
        <f>'Tariffs Jul2020'!BA35</f>
        <v>n</v>
      </c>
      <c r="AC41" s="283" t="str">
        <f>'Tariffs Jul2020'!BJ35</f>
        <v>N</v>
      </c>
      <c r="AD41" s="511"/>
      <c r="AE41" s="511"/>
      <c r="AF41" s="513"/>
      <c r="AG41" s="546"/>
      <c r="AH41" s="546"/>
      <c r="AI41" s="546"/>
      <c r="AJ41" s="546"/>
      <c r="AK41" s="546"/>
      <c r="AL41" s="546"/>
      <c r="AM41" s="546"/>
      <c r="AN41" s="546"/>
      <c r="AO41" s="546"/>
      <c r="AP41" s="546"/>
      <c r="AQ41" s="546"/>
      <c r="AR41" s="546"/>
      <c r="AS41" s="546"/>
      <c r="AT41" s="546"/>
      <c r="AU41" s="546"/>
      <c r="AV41" s="546"/>
      <c r="AW41" s="546"/>
      <c r="AX41" s="546"/>
      <c r="AY41" s="546"/>
      <c r="AZ41" s="546"/>
    </row>
    <row r="42" spans="1:52" ht="15" thickTop="1" x14ac:dyDescent="0.15">
      <c r="A42" s="270" t="str">
        <f>'Tariffs Jul2020'!F36</f>
        <v>AGL</v>
      </c>
      <c r="B42" s="40" t="str">
        <f>'Tariffs Jul2020'!D36</f>
        <v>AGN North</v>
      </c>
      <c r="C42" s="40" t="str">
        <f>'Tariffs Jul2020'!G36</f>
        <v>Essentials Saver</v>
      </c>
      <c r="D42" s="59">
        <f>365*'Tariffs Jul2020'!H36/100</f>
        <v>277.23409090909087</v>
      </c>
      <c r="E42" s="59">
        <f>IF($C$5*'Tariffs Jul2020'!AK36/'Tariffs Jul2020'!AI36&gt;='Tariffs Jul2020'!J36,( 'Tariffs Jul2020'!J36*'Tariffs Jul2020'!O36/100)* 'Tariffs Jul2020'!AI36,($C$5*'Tariffs Jul2020'!AK36/'Tariffs Jul2020'!AI36*'Tariffs Jul2020'!O36/100)* 'Tariffs Jul2020'!AI36)</f>
        <v>100.94318181818181</v>
      </c>
      <c r="F42" s="59">
        <f>IF($C$5*'Tariffs Jul2020'!AK36/'Tariffs Jul2020'!AI36&lt;'Tariffs Jul2020'!J36,0,IF($C$5*'Tariffs Jul2020'!AK36/'Tariffs Jul2020'!AI36&lt;='Tariffs Jul2020'!K36,($C$5*'Tariffs Jul2020'!AK36/'Tariffs Jul2020'!AI36-'Tariffs Jul2020'!J36)*('Tariffs Jul2020'!P36/100)*'Tariffs Jul2020'!AI36,('Tariffs Jul2020'!K36-'Tariffs Jul2020'!J36)*('Tariffs Jul2020'!P36/100)*'Tariffs Jul2020'!AI36))</f>
        <v>76.865454545454554</v>
      </c>
      <c r="G42" s="59">
        <f>IF($C$5*'Tariffs Jul2020'!AK36/'Tariffs Jul2020'!AI36&lt;'Tariffs Jul2020'!K36,0,IF($C$5*'Tariffs Jul2020'!AK36/'Tariffs Jul2020'!AI36&lt;='Tariffs Jul2020'!L36,($C$5*'Tariffs Jul2020'!AK36/'Tariffs Jul2020'!AI36-'Tariffs Jul2020'!K36)*('Tariffs Jul2020'!Q36/100)*'Tariffs Jul2020'!AI36,('Tariffs Jul2020'!L36-'Tariffs Jul2020'!K36)*('Tariffs Jul2020'!Q36/100)*'Tariffs Jul2020'!AI36))</f>
        <v>0</v>
      </c>
      <c r="H42" s="59">
        <f>IF($C$5*'Tariffs Jul2020'!AK36/'Tariffs Jul2020'!AI36&lt;'Tariffs Jul2020'!L36,0,IF($C$5*'Tariffs Jul2020'!AK36/'Tariffs Jul2020'!AI36&lt;='Tariffs Jul2020'!M36,($C$5*'Tariffs Jul2020'!AK36/'Tariffs Jul2020'!AI36-'Tariffs Jul2020'!L36)*('Tariffs Jul2020'!R36/100)*'Tariffs Jul2020'!AI36,('Tariffs Jul2020'!M36-'Tariffs Jul2020'!L36)*('Tariffs Jul2020'!R36/100)*'Tariffs Jul2020'!AI36))</f>
        <v>0</v>
      </c>
      <c r="I42" s="59">
        <f>IF(($C$5*'Tariffs Jul2020'!AK36/'Tariffs Jul2020'!AI36&gt;'Tariffs Jul2020'!M36),($C$5*'Tariffs Jul2020'!AK36/'Tariffs Jul2020'!AI36-'Tariffs Jul2020'!M36)*'Tariffs Jul2020'!S36/100*'Tariffs Jul2020'!AI36,0)</f>
        <v>355.90909090909093</v>
      </c>
      <c r="J42" s="59">
        <f>IF($C$5*'Tariffs Jul2020'!AL36/'Tariffs Jul2020'!AJ36&gt;='Tariffs Jul2020'!J36,('Tariffs Jul2020'!J36*'Tariffs Jul2020'!U36/100)* 'Tariffs Jul2020'!AJ36,($C$5*'Tariffs Jul2020'!AL36/'Tariffs Jul2020'!AJ36*'Tariffs Jul2020'!U36/100)* 'Tariffs Jul2020'!AJ36)</f>
        <v>100.94318181818181</v>
      </c>
      <c r="K42" s="59">
        <f>IF($C$5*'Tariffs Jul2020'!AL36/'Tariffs Jul2020'!AJ36&lt;'Tariffs Jul2020'!J36,0,IF($C$5*'Tariffs Jul2020'!AL36/'Tariffs Jul2020'!AJ36&lt;='Tariffs Jul2020'!K36,($C$5*'Tariffs Jul2020'!AL36/'Tariffs Jul2020'!AJ36-'Tariffs Jul2020'!J36)*('Tariffs Jul2020'!V36/100)*'Tariffs Jul2020'!AJ36,('Tariffs Jul2020'!K36-'Tariffs Jul2020'!J36)*('Tariffs Jul2020'!V36/100)*'Tariffs Jul2020'!AJ36))</f>
        <v>76.865454545454554</v>
      </c>
      <c r="L42" s="59">
        <f>IF($C$5*'Tariffs Jul2020'!AL36/'Tariffs Jul2020'!AJ36&lt;'Tariffs Jul2020'!K36,0,IF($C$5*'Tariffs Jul2020'!AL36/'Tariffs Jul2020'!AJ36&lt;='Tariffs Jul2020'!L36,($C$5*'Tariffs Jul2020'!AL36/'Tariffs Jul2020'!AJ36-'Tariffs Jul2020'!K36)*('Tariffs Jul2020'!W36/100)*'Tariffs Jul2020'!AJ36,('Tariffs Jul2020'!L36-'Tariffs Jul2020'!K36)*('Tariffs Jul2020'!W36/100)*'Tariffs Jul2020'!AJ36))</f>
        <v>0</v>
      </c>
      <c r="M42" s="59">
        <f>IF($C$5*'Tariffs Jul2020'!AL36/'Tariffs Jul2020'!AJ36&lt;'Tariffs Jul2020'!L36,0,IF($C$5*'Tariffs Jul2020'!AL36/'Tariffs Jul2020'!AJ36&lt;='Tariffs Jul2020'!M36,($C$5*'Tariffs Jul2020'!AL36/'Tariffs Jul2020'!AJ36-'Tariffs Jul2020'!L36)*('Tariffs Jul2020'!X36/100)*'Tariffs Jul2020'!AJ36,('Tariffs Jul2020'!M36-'Tariffs Jul2020'!L36)*('Tariffs Jul2020'!X36/100)*'Tariffs Jul2020'!AJ36))</f>
        <v>0</v>
      </c>
      <c r="N42" s="59">
        <f>IF(($C$5*'Tariffs Jul2020'!AL36/'Tariffs Jul2020'!AJ36&gt;'Tariffs Jul2020'!M36),($C$5*'Tariffs Jul2020'!AL36/'Tariffs Jul2020'!AJ36-'Tariffs Jul2020'!M36)*'Tariffs Jul2020'!Y36/100*'Tariffs Jul2020'!AJ36,0)</f>
        <v>355.90909090909093</v>
      </c>
      <c r="O42" s="59">
        <f t="shared" si="1"/>
        <v>1067.4354545454546</v>
      </c>
      <c r="P42" s="503">
        <f t="shared" si="2"/>
        <v>1174.1790000000001</v>
      </c>
      <c r="Q42" s="59">
        <f t="shared" si="3"/>
        <v>1344.6695454545454</v>
      </c>
      <c r="R42" s="272">
        <f t="shared" si="4"/>
        <v>1479.1365000000001</v>
      </c>
      <c r="S42" s="40">
        <f>'Tariffs Jul2020'!AN36</f>
        <v>0</v>
      </c>
      <c r="T42" s="40">
        <f>'Tariffs Jul2020'!AO36</f>
        <v>0</v>
      </c>
      <c r="U42" s="40">
        <f>'Tariffs Jul2020'!AP36</f>
        <v>0</v>
      </c>
      <c r="V42" s="40">
        <f>'Tariffs Jul2020'!AQ36</f>
        <v>0</v>
      </c>
      <c r="W42" s="284">
        <f>Q42</f>
        <v>1344.6695454545454</v>
      </c>
      <c r="X42" s="284">
        <f t="shared" si="17"/>
        <v>1344.6695454545454</v>
      </c>
      <c r="Y42" s="507">
        <f>W42*1.1</f>
        <v>1479.1365000000001</v>
      </c>
      <c r="Z42" s="507">
        <f>X42*1.1</f>
        <v>1479.1365000000001</v>
      </c>
      <c r="AA42" s="274">
        <f>'Tariffs Jul2020'!AZ36</f>
        <v>0</v>
      </c>
      <c r="AB42" s="274" t="str">
        <f>'Tariffs Jul2020'!BA36</f>
        <v>n</v>
      </c>
      <c r="AC42" s="275" t="str">
        <f>'Tariffs Jul2020'!BJ36</f>
        <v>N</v>
      </c>
      <c r="AD42" s="511"/>
      <c r="AE42" s="511"/>
      <c r="AF42" s="513"/>
      <c r="AG42" s="546"/>
      <c r="AH42" s="546"/>
      <c r="AI42" s="546"/>
      <c r="AJ42" s="546"/>
      <c r="AK42" s="546"/>
      <c r="AL42" s="546"/>
      <c r="AM42" s="546"/>
      <c r="AN42" s="546"/>
      <c r="AO42" s="546"/>
      <c r="AP42" s="546"/>
      <c r="AQ42" s="546"/>
      <c r="AR42" s="546"/>
      <c r="AS42" s="546"/>
      <c r="AT42" s="546"/>
      <c r="AU42" s="546"/>
      <c r="AV42" s="546"/>
      <c r="AW42" s="546"/>
      <c r="AX42" s="546"/>
      <c r="AY42" s="546"/>
      <c r="AZ42" s="546"/>
    </row>
    <row r="43" spans="1:52" ht="14" x14ac:dyDescent="0.15">
      <c r="A43" s="270" t="str">
        <f>'Tariffs Jul2020'!F37</f>
        <v>Alinta Energy</v>
      </c>
      <c r="B43" s="40" t="str">
        <f>'Tariffs Jul2020'!D37</f>
        <v>AGN North</v>
      </c>
      <c r="C43" s="40" t="str">
        <f>'Tariffs Jul2020'!G37</f>
        <v>Home Deal</v>
      </c>
      <c r="D43" s="59">
        <f>365*'Tariffs Jul2020'!H37/100</f>
        <v>244.55</v>
      </c>
      <c r="E43" s="59">
        <f>IF($C$5*'Tariffs Jul2020'!AK37/'Tariffs Jul2020'!AI37&gt;='Tariffs Jul2020'!J37,( 'Tariffs Jul2020'!J37*'Tariffs Jul2020'!O37/100)* 'Tariffs Jul2020'!AI37,($C$5*'Tariffs Jul2020'!AK37/'Tariffs Jul2020'!AI37*'Tariffs Jul2020'!O37/100)* 'Tariffs Jul2020'!AI37)</f>
        <v>103.63500000000001</v>
      </c>
      <c r="F43" s="59">
        <f>IF($C$5*'Tariffs Jul2020'!AK37/'Tariffs Jul2020'!AI37&lt;'Tariffs Jul2020'!J37,0,IF($C$5*'Tariffs Jul2020'!AK37/'Tariffs Jul2020'!AI37&lt;='Tariffs Jul2020'!K37,($C$5*'Tariffs Jul2020'!AK37/'Tariffs Jul2020'!AI37-'Tariffs Jul2020'!J37)*('Tariffs Jul2020'!P37/100)*'Tariffs Jul2020'!AI37,('Tariffs Jul2020'!K37-'Tariffs Jul2020'!J37)*('Tariffs Jul2020'!P37/100)*'Tariffs Jul2020'!AI37))</f>
        <v>85.365000000000009</v>
      </c>
      <c r="G43" s="59">
        <f>IF($C$5*'Tariffs Jul2020'!AK37/'Tariffs Jul2020'!AI37&lt;'Tariffs Jul2020'!K37,0,IF($C$5*'Tariffs Jul2020'!AK37/'Tariffs Jul2020'!AI37&lt;='Tariffs Jul2020'!L37,($C$5*'Tariffs Jul2020'!AK37/'Tariffs Jul2020'!AI37-'Tariffs Jul2020'!K37)*('Tariffs Jul2020'!Q37/100)*'Tariffs Jul2020'!AI37,('Tariffs Jul2020'!L37-'Tariffs Jul2020'!K37)*('Tariffs Jul2020'!Q37/100)*'Tariffs Jul2020'!AI37))</f>
        <v>0</v>
      </c>
      <c r="H43" s="59">
        <f>IF($C$5*'Tariffs Jul2020'!AK37/'Tariffs Jul2020'!AI37&lt;'Tariffs Jul2020'!L37,0,IF($C$5*'Tariffs Jul2020'!AK37/'Tariffs Jul2020'!AI37&lt;='Tariffs Jul2020'!M37,($C$5*'Tariffs Jul2020'!AK37/'Tariffs Jul2020'!AI37-'Tariffs Jul2020'!L37)*('Tariffs Jul2020'!R37/100)*'Tariffs Jul2020'!AI37,('Tariffs Jul2020'!M37-'Tariffs Jul2020'!L37)*('Tariffs Jul2020'!R37/100)*'Tariffs Jul2020'!AI37))</f>
        <v>0</v>
      </c>
      <c r="I43" s="59">
        <f>IF(($C$5*'Tariffs Jul2020'!AK37/'Tariffs Jul2020'!AI37&gt;'Tariffs Jul2020'!M37),($C$5*'Tariffs Jul2020'!AK37/'Tariffs Jul2020'!AI37-'Tariffs Jul2020'!M37)*'Tariffs Jul2020'!S37/100*'Tariffs Jul2020'!AI37,0)</f>
        <v>404.99999999999989</v>
      </c>
      <c r="J43" s="59">
        <f>IF($C$5*'Tariffs Jul2020'!AL37/'Tariffs Jul2020'!AJ37&gt;='Tariffs Jul2020'!J37,('Tariffs Jul2020'!J37*'Tariffs Jul2020'!U37/100)* 'Tariffs Jul2020'!AJ37,($C$5*'Tariffs Jul2020'!AL37/'Tariffs Jul2020'!AJ37*'Tariffs Jul2020'!U37/100)* 'Tariffs Jul2020'!AJ37)</f>
        <v>103.63500000000001</v>
      </c>
      <c r="K43" s="59">
        <f>IF($C$5*'Tariffs Jul2020'!AL37/'Tariffs Jul2020'!AJ37&lt;'Tariffs Jul2020'!J37,0,IF($C$5*'Tariffs Jul2020'!AL37/'Tariffs Jul2020'!AJ37&lt;='Tariffs Jul2020'!K37,($C$5*'Tariffs Jul2020'!AL37/'Tariffs Jul2020'!AJ37-'Tariffs Jul2020'!J37)*('Tariffs Jul2020'!V37/100)*'Tariffs Jul2020'!AJ37,('Tariffs Jul2020'!K37-'Tariffs Jul2020'!J37)*('Tariffs Jul2020'!V37/100)*'Tariffs Jul2020'!AJ37))</f>
        <v>85.365000000000009</v>
      </c>
      <c r="L43" s="59">
        <f>IF($C$5*'Tariffs Jul2020'!AL37/'Tariffs Jul2020'!AJ37&lt;'Tariffs Jul2020'!K37,0,IF($C$5*'Tariffs Jul2020'!AL37/'Tariffs Jul2020'!AJ37&lt;='Tariffs Jul2020'!L37,($C$5*'Tariffs Jul2020'!AL37/'Tariffs Jul2020'!AJ37-'Tariffs Jul2020'!K37)*('Tariffs Jul2020'!W37/100)*'Tariffs Jul2020'!AJ37,('Tariffs Jul2020'!L37-'Tariffs Jul2020'!K37)*('Tariffs Jul2020'!W37/100)*'Tariffs Jul2020'!AJ37))</f>
        <v>0</v>
      </c>
      <c r="M43" s="59">
        <f>IF($C$5*'Tariffs Jul2020'!AL37/'Tariffs Jul2020'!AJ37&lt;'Tariffs Jul2020'!L37,0,IF($C$5*'Tariffs Jul2020'!AL37/'Tariffs Jul2020'!AJ37&lt;='Tariffs Jul2020'!M37,($C$5*'Tariffs Jul2020'!AL37/'Tariffs Jul2020'!AJ37-'Tariffs Jul2020'!L37)*('Tariffs Jul2020'!X37/100)*'Tariffs Jul2020'!AJ37,('Tariffs Jul2020'!M37-'Tariffs Jul2020'!L37)*('Tariffs Jul2020'!X37/100)*'Tariffs Jul2020'!AJ37))</f>
        <v>0</v>
      </c>
      <c r="N43" s="59">
        <f>IF(($C$5*'Tariffs Jul2020'!AL37/'Tariffs Jul2020'!AJ37&gt;'Tariffs Jul2020'!M37),($C$5*'Tariffs Jul2020'!AL37/'Tariffs Jul2020'!AJ37-'Tariffs Jul2020'!M37)*'Tariffs Jul2020'!Y37/100*'Tariffs Jul2020'!AJ37,0)</f>
        <v>404.99999999999989</v>
      </c>
      <c r="O43" s="59">
        <f t="shared" si="1"/>
        <v>1187.9999999999998</v>
      </c>
      <c r="P43" s="503">
        <f t="shared" si="2"/>
        <v>1306.8</v>
      </c>
      <c r="Q43" s="59">
        <f t="shared" si="3"/>
        <v>1432.5499999999997</v>
      </c>
      <c r="R43" s="272">
        <f t="shared" si="4"/>
        <v>1575.8049999999998</v>
      </c>
      <c r="S43" s="40">
        <f>'Tariffs Jul2020'!AN37</f>
        <v>0</v>
      </c>
      <c r="T43" s="40">
        <f>'Tariffs Jul2020'!AO37</f>
        <v>0</v>
      </c>
      <c r="U43" s="40">
        <f>'Tariffs Jul2020'!AP37</f>
        <v>0</v>
      </c>
      <c r="V43" s="40">
        <f>'Tariffs Jul2020'!AQ37</f>
        <v>0</v>
      </c>
      <c r="W43" s="284">
        <f>Q43</f>
        <v>1432.5499999999997</v>
      </c>
      <c r="X43" s="284">
        <f t="shared" si="17"/>
        <v>1432.5499999999997</v>
      </c>
      <c r="Y43" s="507">
        <f>W43*1.1</f>
        <v>1575.8049999999998</v>
      </c>
      <c r="Z43" s="507">
        <f t="shared" ref="Z43:Z49" si="18">X43*1.1</f>
        <v>1575.8049999999998</v>
      </c>
      <c r="AA43" s="274">
        <f>'Tariffs Jul2020'!AZ37</f>
        <v>0</v>
      </c>
      <c r="AB43" s="274" t="str">
        <f>'Tariffs Jul2020'!BA37</f>
        <v>n</v>
      </c>
      <c r="AC43" s="275" t="str">
        <f>'Tariffs Jul2020'!BJ37</f>
        <v>N</v>
      </c>
      <c r="AD43" s="511"/>
      <c r="AE43" s="511"/>
      <c r="AF43" s="513"/>
      <c r="AG43" s="546"/>
      <c r="AH43" s="546"/>
      <c r="AI43" s="546"/>
      <c r="AJ43" s="546"/>
      <c r="AK43" s="546"/>
      <c r="AL43" s="546"/>
      <c r="AM43" s="546"/>
      <c r="AN43" s="546"/>
      <c r="AO43" s="546"/>
      <c r="AP43" s="546"/>
      <c r="AQ43" s="546"/>
      <c r="AR43" s="546"/>
      <c r="AS43" s="546"/>
      <c r="AT43" s="546"/>
      <c r="AU43" s="546"/>
      <c r="AV43" s="546"/>
      <c r="AW43" s="546"/>
      <c r="AX43" s="546"/>
      <c r="AY43" s="546"/>
      <c r="AZ43" s="546"/>
    </row>
    <row r="44" spans="1:52" ht="14" x14ac:dyDescent="0.15">
      <c r="A44" s="270" t="str">
        <f>'Tariffs Jul2020'!F38</f>
        <v>Click Energy</v>
      </c>
      <c r="B44" s="40" t="str">
        <f>'Tariffs Jul2020'!D38</f>
        <v>AGN North</v>
      </c>
      <c r="C44" s="40" t="str">
        <f>'Tariffs Jul2020'!G38</f>
        <v>Flora</v>
      </c>
      <c r="D44" s="59">
        <f>365*'Tariffs Jul2020'!H38/100</f>
        <v>187.34454545454545</v>
      </c>
      <c r="E44" s="59">
        <f>IF($C$5*'Tariffs Jul2020'!AK38/'Tariffs Jul2020'!AI38&gt;='Tariffs Jul2020'!J38,( 'Tariffs Jul2020'!J38*'Tariffs Jul2020'!O38/100)* 'Tariffs Jul2020'!AI38,($C$5*'Tariffs Jul2020'!AK38/'Tariffs Jul2020'!AI38*'Tariffs Jul2020'!O38/100)* 'Tariffs Jul2020'!AI38)</f>
        <v>118.44</v>
      </c>
      <c r="F44" s="59">
        <f>IF($C$5*'Tariffs Jul2020'!AK38/'Tariffs Jul2020'!AI38&lt;'Tariffs Jul2020'!J38,0,IF($C$5*'Tariffs Jul2020'!AK38/'Tariffs Jul2020'!AI38&lt;='Tariffs Jul2020'!K38,($C$5*'Tariffs Jul2020'!AK38/'Tariffs Jul2020'!AI38-'Tariffs Jul2020'!J38)*('Tariffs Jul2020'!P38/100)*'Tariffs Jul2020'!AI38,('Tariffs Jul2020'!K38-'Tariffs Jul2020'!J38)*('Tariffs Jul2020'!P38/100)*'Tariffs Jul2020'!AI38))</f>
        <v>83.147727272727266</v>
      </c>
      <c r="G44" s="59">
        <f>IF($C$5*'Tariffs Jul2020'!AK38/'Tariffs Jul2020'!AI38&lt;'Tariffs Jul2020'!K38,0,IF($C$5*'Tariffs Jul2020'!AK38/'Tariffs Jul2020'!AI38&lt;='Tariffs Jul2020'!L38,($C$5*'Tariffs Jul2020'!AK38/'Tariffs Jul2020'!AI38-'Tariffs Jul2020'!K38)*('Tariffs Jul2020'!Q38/100)*'Tariffs Jul2020'!AI38,('Tariffs Jul2020'!L38-'Tariffs Jul2020'!K38)*('Tariffs Jul2020'!Q38/100)*'Tariffs Jul2020'!AI38))</f>
        <v>0</v>
      </c>
      <c r="H44" s="59">
        <f>IF($C$5*'Tariffs Jul2020'!AK38/'Tariffs Jul2020'!AI38&lt;'Tariffs Jul2020'!L38,0,IF($C$5*'Tariffs Jul2020'!AK38/'Tariffs Jul2020'!AI38&lt;='Tariffs Jul2020'!M38,($C$5*'Tariffs Jul2020'!AK38/'Tariffs Jul2020'!AI38-'Tariffs Jul2020'!L38)*('Tariffs Jul2020'!R38/100)*'Tariffs Jul2020'!AI38,('Tariffs Jul2020'!M38-'Tariffs Jul2020'!L38)*('Tariffs Jul2020'!R38/100)*'Tariffs Jul2020'!AI38))</f>
        <v>0</v>
      </c>
      <c r="I44" s="59">
        <f>IF(($C$5*'Tariffs Jul2020'!AK38/'Tariffs Jul2020'!AI38&gt;'Tariffs Jul2020'!M38),($C$5*'Tariffs Jul2020'!AK38/'Tariffs Jul2020'!AI38-'Tariffs Jul2020'!M38)*'Tariffs Jul2020'!S38/100*'Tariffs Jul2020'!AI38,0)</f>
        <v>402.95454545454544</v>
      </c>
      <c r="J44" s="59">
        <f>IF($C$5*'Tariffs Jul2020'!AL38/'Tariffs Jul2020'!AJ38&gt;='Tariffs Jul2020'!J38,('Tariffs Jul2020'!J38*'Tariffs Jul2020'!U38/100)* 'Tariffs Jul2020'!AJ38,($C$5*'Tariffs Jul2020'!AL38/'Tariffs Jul2020'!AJ38*'Tariffs Jul2020'!U38/100)* 'Tariffs Jul2020'!AJ38)</f>
        <v>118.44</v>
      </c>
      <c r="K44" s="59">
        <f>IF($C$5*'Tariffs Jul2020'!AL38/'Tariffs Jul2020'!AJ38&lt;'Tariffs Jul2020'!J38,0,IF($C$5*'Tariffs Jul2020'!AL38/'Tariffs Jul2020'!AJ38&lt;='Tariffs Jul2020'!K38,($C$5*'Tariffs Jul2020'!AL38/'Tariffs Jul2020'!AJ38-'Tariffs Jul2020'!J38)*('Tariffs Jul2020'!V38/100)*'Tariffs Jul2020'!AJ38,('Tariffs Jul2020'!K38-'Tariffs Jul2020'!J38)*('Tariffs Jul2020'!V38/100)*'Tariffs Jul2020'!AJ38))</f>
        <v>83.147727272727266</v>
      </c>
      <c r="L44" s="59">
        <f>IF($C$5*'Tariffs Jul2020'!AL38/'Tariffs Jul2020'!AJ38&lt;'Tariffs Jul2020'!K38,0,IF($C$5*'Tariffs Jul2020'!AL38/'Tariffs Jul2020'!AJ38&lt;='Tariffs Jul2020'!L38,($C$5*'Tariffs Jul2020'!AL38/'Tariffs Jul2020'!AJ38-'Tariffs Jul2020'!K38)*('Tariffs Jul2020'!W38/100)*'Tariffs Jul2020'!AJ38,('Tariffs Jul2020'!L38-'Tariffs Jul2020'!K38)*('Tariffs Jul2020'!W38/100)*'Tariffs Jul2020'!AJ38))</f>
        <v>0</v>
      </c>
      <c r="M44" s="59">
        <f>IF($C$5*'Tariffs Jul2020'!AL38/'Tariffs Jul2020'!AJ38&lt;'Tariffs Jul2020'!L38,0,IF($C$5*'Tariffs Jul2020'!AL38/'Tariffs Jul2020'!AJ38&lt;='Tariffs Jul2020'!M38,($C$5*'Tariffs Jul2020'!AL38/'Tariffs Jul2020'!AJ38-'Tariffs Jul2020'!L38)*('Tariffs Jul2020'!X38/100)*'Tariffs Jul2020'!AJ38,('Tariffs Jul2020'!M38-'Tariffs Jul2020'!L38)*('Tariffs Jul2020'!X38/100)*'Tariffs Jul2020'!AJ38))</f>
        <v>0</v>
      </c>
      <c r="N44" s="59">
        <f>IF(($C$5*'Tariffs Jul2020'!AL38/'Tariffs Jul2020'!AJ38&gt;'Tariffs Jul2020'!M38),($C$5*'Tariffs Jul2020'!AL38/'Tariffs Jul2020'!AJ38-'Tariffs Jul2020'!M38)*'Tariffs Jul2020'!Y38/100*'Tariffs Jul2020'!AJ38,0)</f>
        <v>402.95454545454544</v>
      </c>
      <c r="O44" s="59">
        <f t="shared" si="1"/>
        <v>1209.0845454545454</v>
      </c>
      <c r="P44" s="503">
        <f t="shared" si="2"/>
        <v>1329.9929999999999</v>
      </c>
      <c r="Q44" s="59">
        <f t="shared" si="3"/>
        <v>1396.4290909090907</v>
      </c>
      <c r="R44" s="272">
        <f t="shared" si="4"/>
        <v>1536.0719999999999</v>
      </c>
      <c r="S44" s="40">
        <f>'Tariffs Jul2020'!AN38</f>
        <v>0</v>
      </c>
      <c r="T44" s="40">
        <f>'Tariffs Jul2020'!AO38</f>
        <v>0</v>
      </c>
      <c r="U44" s="40">
        <f>'Tariffs Jul2020'!AP38</f>
        <v>0</v>
      </c>
      <c r="V44" s="40">
        <f>'Tariffs Jul2020'!AQ38</f>
        <v>0</v>
      </c>
      <c r="W44" s="284">
        <f>Q44</f>
        <v>1396.4290909090907</v>
      </c>
      <c r="X44" s="284">
        <f t="shared" si="17"/>
        <v>1396.4290909090907</v>
      </c>
      <c r="Y44" s="507">
        <f t="shared" ref="Y44:Y49" si="19">W44*1.1</f>
        <v>1536.0719999999999</v>
      </c>
      <c r="Z44" s="507">
        <f t="shared" si="18"/>
        <v>1536.0719999999999</v>
      </c>
      <c r="AA44" s="274">
        <f>'Tariffs Jul2020'!AZ38</f>
        <v>0</v>
      </c>
      <c r="AB44" s="274" t="str">
        <f>'Tariffs Jul2020'!BA38</f>
        <v>n</v>
      </c>
      <c r="AC44" s="275" t="str">
        <f>'Tariffs Jul2020'!BJ38</f>
        <v>N</v>
      </c>
      <c r="AD44" s="511"/>
      <c r="AE44" s="511"/>
      <c r="AF44" s="513"/>
      <c r="AG44" s="546"/>
      <c r="AH44" s="546"/>
      <c r="AI44" s="546"/>
      <c r="AJ44" s="546"/>
      <c r="AK44" s="546"/>
      <c r="AL44" s="546"/>
      <c r="AM44" s="546"/>
      <c r="AN44" s="546"/>
      <c r="AO44" s="546"/>
      <c r="AP44" s="546"/>
      <c r="AQ44" s="546"/>
      <c r="AR44" s="546"/>
      <c r="AS44" s="546"/>
      <c r="AT44" s="546"/>
      <c r="AU44" s="546"/>
      <c r="AV44" s="546"/>
      <c r="AW44" s="546"/>
      <c r="AX44" s="546"/>
      <c r="AY44" s="546"/>
      <c r="AZ44" s="546"/>
    </row>
    <row r="45" spans="1:52" ht="14" x14ac:dyDescent="0.15">
      <c r="A45" s="270" t="str">
        <f>'Tariffs Jul2020'!F39</f>
        <v>Covau</v>
      </c>
      <c r="B45" s="40" t="str">
        <f>'Tariffs Jul2020'!D39</f>
        <v>AGN North</v>
      </c>
      <c r="C45" s="40" t="str">
        <f>'Tariffs Jul2020'!G39</f>
        <v>Smart Saver</v>
      </c>
      <c r="D45" s="59">
        <f>365*'Tariffs Jul2020'!H39/100</f>
        <v>273.75</v>
      </c>
      <c r="E45" s="59">
        <f>IF($C$5*'Tariffs Jul2020'!AK39/'Tariffs Jul2020'!AI39&gt;='Tariffs Jul2020'!J39,( 'Tariffs Jul2020'!J39*'Tariffs Jul2020'!O39/100)* 'Tariffs Jul2020'!AI39,($C$5*'Tariffs Jul2020'!AK39/'Tariffs Jul2020'!AI39*'Tariffs Jul2020'!O39/100)* 'Tariffs Jul2020'!AI39)</f>
        <v>147.60136363636363</v>
      </c>
      <c r="F45" s="59">
        <f>IF($C$5*'Tariffs Jul2020'!AK39/'Tariffs Jul2020'!AI39&lt;'Tariffs Jul2020'!J39,0,IF($C$5*'Tariffs Jul2020'!AK39/'Tariffs Jul2020'!AI39&lt;='Tariffs Jul2020'!K39,($C$5*'Tariffs Jul2020'!AK39/'Tariffs Jul2020'!AI39-'Tariffs Jul2020'!J39)*('Tariffs Jul2020'!P39/100)*'Tariffs Jul2020'!AI39,('Tariffs Jul2020'!K39-'Tariffs Jul2020'!J39)*('Tariffs Jul2020'!P39/100)*'Tariffs Jul2020'!AI39))</f>
        <v>107.9072727272727</v>
      </c>
      <c r="G45" s="59">
        <f>IF($C$5*'Tariffs Jul2020'!AK39/'Tariffs Jul2020'!AI39&lt;'Tariffs Jul2020'!K39,0,IF($C$5*'Tariffs Jul2020'!AK39/'Tariffs Jul2020'!AI39&lt;='Tariffs Jul2020'!L39,($C$5*'Tariffs Jul2020'!AK39/'Tariffs Jul2020'!AI39-'Tariffs Jul2020'!K39)*('Tariffs Jul2020'!Q39/100)*'Tariffs Jul2020'!AI39,('Tariffs Jul2020'!L39-'Tariffs Jul2020'!K39)*('Tariffs Jul2020'!Q39/100)*'Tariffs Jul2020'!AI39))</f>
        <v>0</v>
      </c>
      <c r="H45" s="59">
        <f>IF($C$5*'Tariffs Jul2020'!AK39/'Tariffs Jul2020'!AI39&lt;'Tariffs Jul2020'!L39,0,IF($C$5*'Tariffs Jul2020'!AK39/'Tariffs Jul2020'!AI39&lt;='Tariffs Jul2020'!M39,($C$5*'Tariffs Jul2020'!AK39/'Tariffs Jul2020'!AI39-'Tariffs Jul2020'!L39)*('Tariffs Jul2020'!R39/100)*'Tariffs Jul2020'!AI39,('Tariffs Jul2020'!M39-'Tariffs Jul2020'!L39)*('Tariffs Jul2020'!R39/100)*'Tariffs Jul2020'!AI39))</f>
        <v>0</v>
      </c>
      <c r="I45" s="59">
        <f>IF(($C$5*'Tariffs Jul2020'!AK39/'Tariffs Jul2020'!AI39&gt;'Tariffs Jul2020'!M39),($C$5*'Tariffs Jul2020'!AK39/'Tariffs Jul2020'!AI39-'Tariffs Jul2020'!M39)*'Tariffs Jul2020'!S39/100*'Tariffs Jul2020'!AI39,0)</f>
        <v>499.09090909090895</v>
      </c>
      <c r="J45" s="59">
        <f>IF($C$5*'Tariffs Jul2020'!AL39/'Tariffs Jul2020'!AJ39&gt;='Tariffs Jul2020'!J39,('Tariffs Jul2020'!J39*'Tariffs Jul2020'!U39/100)* 'Tariffs Jul2020'!AJ39,($C$5*'Tariffs Jul2020'!AL39/'Tariffs Jul2020'!AJ39*'Tariffs Jul2020'!U39/100)* 'Tariffs Jul2020'!AJ39)</f>
        <v>147.60136363636363</v>
      </c>
      <c r="K45" s="59">
        <f>IF($C$5*'Tariffs Jul2020'!AL39/'Tariffs Jul2020'!AJ39&lt;'Tariffs Jul2020'!J39,0,IF($C$5*'Tariffs Jul2020'!AL39/'Tariffs Jul2020'!AJ39&lt;='Tariffs Jul2020'!K39,($C$5*'Tariffs Jul2020'!AL39/'Tariffs Jul2020'!AJ39-'Tariffs Jul2020'!J39)*('Tariffs Jul2020'!V39/100)*'Tariffs Jul2020'!AJ39,('Tariffs Jul2020'!K39-'Tariffs Jul2020'!J39)*('Tariffs Jul2020'!V39/100)*'Tariffs Jul2020'!AJ39))</f>
        <v>107.9072727272727</v>
      </c>
      <c r="L45" s="59">
        <f>IF($C$5*'Tariffs Jul2020'!AL39/'Tariffs Jul2020'!AJ39&lt;'Tariffs Jul2020'!K39,0,IF($C$5*'Tariffs Jul2020'!AL39/'Tariffs Jul2020'!AJ39&lt;='Tariffs Jul2020'!L39,($C$5*'Tariffs Jul2020'!AL39/'Tariffs Jul2020'!AJ39-'Tariffs Jul2020'!K39)*('Tariffs Jul2020'!W39/100)*'Tariffs Jul2020'!AJ39,('Tariffs Jul2020'!L39-'Tariffs Jul2020'!K39)*('Tariffs Jul2020'!W39/100)*'Tariffs Jul2020'!AJ39))</f>
        <v>0</v>
      </c>
      <c r="M45" s="59">
        <f>IF($C$5*'Tariffs Jul2020'!AL39/'Tariffs Jul2020'!AJ39&lt;'Tariffs Jul2020'!L39,0,IF($C$5*'Tariffs Jul2020'!AL39/'Tariffs Jul2020'!AJ39&lt;='Tariffs Jul2020'!M39,($C$5*'Tariffs Jul2020'!AL39/'Tariffs Jul2020'!AJ39-'Tariffs Jul2020'!L39)*('Tariffs Jul2020'!X39/100)*'Tariffs Jul2020'!AJ39,('Tariffs Jul2020'!M39-'Tariffs Jul2020'!L39)*('Tariffs Jul2020'!X39/100)*'Tariffs Jul2020'!AJ39))</f>
        <v>0</v>
      </c>
      <c r="N45" s="59">
        <f>IF(($C$5*'Tariffs Jul2020'!AL39/'Tariffs Jul2020'!AJ39&gt;'Tariffs Jul2020'!M39),($C$5*'Tariffs Jul2020'!AL39/'Tariffs Jul2020'!AJ39-'Tariffs Jul2020'!M39)*'Tariffs Jul2020'!Y39/100*'Tariffs Jul2020'!AJ39,0)</f>
        <v>499.09090909090895</v>
      </c>
      <c r="O45" s="59">
        <f t="shared" si="1"/>
        <v>1509.1990909090905</v>
      </c>
      <c r="P45" s="503">
        <f t="shared" si="2"/>
        <v>1660.1189999999997</v>
      </c>
      <c r="Q45" s="59">
        <f t="shared" si="3"/>
        <v>1782.9490909090905</v>
      </c>
      <c r="R45" s="272">
        <f t="shared" si="4"/>
        <v>1961.2439999999997</v>
      </c>
      <c r="S45" s="40">
        <f>'Tariffs Jul2020'!AN39</f>
        <v>0</v>
      </c>
      <c r="T45" s="40">
        <f>'Tariffs Jul2020'!AO39</f>
        <v>16</v>
      </c>
      <c r="U45" s="40">
        <f>'Tariffs Jul2020'!AP39</f>
        <v>0</v>
      </c>
      <c r="V45" s="40">
        <f>'Tariffs Jul2020'!AQ39</f>
        <v>0</v>
      </c>
      <c r="W45" s="284">
        <f>Q45-(O45*T45/100)</f>
        <v>1541.4772363636359</v>
      </c>
      <c r="X45" s="284">
        <f t="shared" si="17"/>
        <v>1541.4772363636359</v>
      </c>
      <c r="Y45" s="507">
        <f t="shared" si="19"/>
        <v>1695.6249599999996</v>
      </c>
      <c r="Z45" s="507">
        <f t="shared" si="18"/>
        <v>1695.6249599999996</v>
      </c>
      <c r="AA45" s="274">
        <f>'Tariffs Jul2020'!AZ39</f>
        <v>0</v>
      </c>
      <c r="AB45" s="274" t="str">
        <f>'Tariffs Jul2020'!BA39</f>
        <v>n</v>
      </c>
      <c r="AC45" s="275" t="str">
        <f>'Tariffs Jul2020'!BJ39</f>
        <v>N</v>
      </c>
      <c r="AD45" s="511"/>
      <c r="AE45" s="511"/>
      <c r="AF45" s="513"/>
      <c r="AG45" s="546"/>
      <c r="AH45" s="546"/>
      <c r="AI45" s="546"/>
      <c r="AJ45" s="546"/>
      <c r="AK45" s="546"/>
      <c r="AL45" s="546"/>
      <c r="AM45" s="546"/>
      <c r="AN45" s="546"/>
      <c r="AO45" s="546"/>
      <c r="AP45" s="546"/>
      <c r="AQ45" s="546"/>
      <c r="AR45" s="546"/>
      <c r="AS45" s="546"/>
      <c r="AT45" s="546"/>
      <c r="AU45" s="546"/>
      <c r="AV45" s="546"/>
      <c r="AW45" s="546"/>
      <c r="AX45" s="546"/>
      <c r="AY45" s="546"/>
      <c r="AZ45" s="546"/>
    </row>
    <row r="46" spans="1:52" ht="14" x14ac:dyDescent="0.15">
      <c r="A46" s="270" t="str">
        <f>'Tariffs Jul2020'!F40</f>
        <v>Dodo Power &amp; Gas</v>
      </c>
      <c r="B46" s="40" t="str">
        <f>'Tariffs Jul2020'!D40</f>
        <v>AGN North</v>
      </c>
      <c r="C46" s="40" t="str">
        <f>'Tariffs Jul2020'!G40</f>
        <v>Market offer</v>
      </c>
      <c r="D46" s="59">
        <f>365*'Tariffs Jul2020'!H40/100</f>
        <v>200.58409090909092</v>
      </c>
      <c r="E46" s="59">
        <f>IF($C$5*'Tariffs Jul2020'!AK40/'Tariffs Jul2020'!AI40&gt;='Tariffs Jul2020'!J40,( 'Tariffs Jul2020'!J40*'Tariffs Jul2020'!O40/100)* 'Tariffs Jul2020'!AI40,($C$5*'Tariffs Jul2020'!AK40/'Tariffs Jul2020'!AI40*'Tariffs Jul2020'!O40/100)* 'Tariffs Jul2020'!AI40)</f>
        <v>126.06681818181816</v>
      </c>
      <c r="F46" s="59">
        <f>IF($C$5*'Tariffs Jul2020'!AK40/'Tariffs Jul2020'!AI40&lt;'Tariffs Jul2020'!J40,0,IF($C$5*'Tariffs Jul2020'!AK40/'Tariffs Jul2020'!AI40&lt;='Tariffs Jul2020'!K40,($C$5*'Tariffs Jul2020'!AK40/'Tariffs Jul2020'!AI40-'Tariffs Jul2020'!J40)*('Tariffs Jul2020'!P40/100)*'Tariffs Jul2020'!AI40,('Tariffs Jul2020'!K40-'Tariffs Jul2020'!J40)*('Tariffs Jul2020'!P40/100)*'Tariffs Jul2020'!AI40))</f>
        <v>86.1040909090909</v>
      </c>
      <c r="G46" s="59">
        <f>IF($C$5*'Tariffs Jul2020'!AK40/'Tariffs Jul2020'!AI40&lt;'Tariffs Jul2020'!K40,0,IF($C$5*'Tariffs Jul2020'!AK40/'Tariffs Jul2020'!AI40&lt;='Tariffs Jul2020'!L40,($C$5*'Tariffs Jul2020'!AK40/'Tariffs Jul2020'!AI40-'Tariffs Jul2020'!K40)*('Tariffs Jul2020'!Q40/100)*'Tariffs Jul2020'!AI40,('Tariffs Jul2020'!L40-'Tariffs Jul2020'!K40)*('Tariffs Jul2020'!Q40/100)*'Tariffs Jul2020'!AI40))</f>
        <v>0</v>
      </c>
      <c r="H46" s="59">
        <f>IF($C$5*'Tariffs Jul2020'!AK40/'Tariffs Jul2020'!AI40&lt;'Tariffs Jul2020'!L40,0,IF($C$5*'Tariffs Jul2020'!AK40/'Tariffs Jul2020'!AI40&lt;='Tariffs Jul2020'!M40,($C$5*'Tariffs Jul2020'!AK40/'Tariffs Jul2020'!AI40-'Tariffs Jul2020'!L40)*('Tariffs Jul2020'!R40/100)*'Tariffs Jul2020'!AI40,('Tariffs Jul2020'!M40-'Tariffs Jul2020'!L40)*('Tariffs Jul2020'!R40/100)*'Tariffs Jul2020'!AI40))</f>
        <v>0</v>
      </c>
      <c r="I46" s="59">
        <f>IF(($C$5*'Tariffs Jul2020'!AK40/'Tariffs Jul2020'!AI40&gt;'Tariffs Jul2020'!M40),($C$5*'Tariffs Jul2020'!AK40/'Tariffs Jul2020'!AI40-'Tariffs Jul2020'!M40)*'Tariffs Jul2020'!S40/100*'Tariffs Jul2020'!AI40,0)</f>
        <v>415.22727272727275</v>
      </c>
      <c r="J46" s="59">
        <f>IF($C$5*'Tariffs Jul2020'!AL40/'Tariffs Jul2020'!AJ40&gt;='Tariffs Jul2020'!J40,('Tariffs Jul2020'!J40*'Tariffs Jul2020'!U40/100)* 'Tariffs Jul2020'!AJ40,($C$5*'Tariffs Jul2020'!AL40/'Tariffs Jul2020'!AJ40*'Tariffs Jul2020'!U40/100)* 'Tariffs Jul2020'!AJ40)</f>
        <v>126.06681818181816</v>
      </c>
      <c r="K46" s="59">
        <f>IF($C$5*'Tariffs Jul2020'!AL40/'Tariffs Jul2020'!AJ40&lt;'Tariffs Jul2020'!J40,0,IF($C$5*'Tariffs Jul2020'!AL40/'Tariffs Jul2020'!AJ40&lt;='Tariffs Jul2020'!K40,($C$5*'Tariffs Jul2020'!AL40/'Tariffs Jul2020'!AJ40-'Tariffs Jul2020'!J40)*('Tariffs Jul2020'!V40/100)*'Tariffs Jul2020'!AJ40,('Tariffs Jul2020'!K40-'Tariffs Jul2020'!J40)*('Tariffs Jul2020'!V40/100)*'Tariffs Jul2020'!AJ40))</f>
        <v>86.1040909090909</v>
      </c>
      <c r="L46" s="59">
        <f>IF($C$5*'Tariffs Jul2020'!AL40/'Tariffs Jul2020'!AJ40&lt;'Tariffs Jul2020'!K40,0,IF($C$5*'Tariffs Jul2020'!AL40/'Tariffs Jul2020'!AJ40&lt;='Tariffs Jul2020'!L40,($C$5*'Tariffs Jul2020'!AL40/'Tariffs Jul2020'!AJ40-'Tariffs Jul2020'!K40)*('Tariffs Jul2020'!W40/100)*'Tariffs Jul2020'!AJ40,('Tariffs Jul2020'!L40-'Tariffs Jul2020'!K40)*('Tariffs Jul2020'!W40/100)*'Tariffs Jul2020'!AJ40))</f>
        <v>0</v>
      </c>
      <c r="M46" s="59">
        <f>IF($C$5*'Tariffs Jul2020'!AL40/'Tariffs Jul2020'!AJ40&lt;'Tariffs Jul2020'!L40,0,IF($C$5*'Tariffs Jul2020'!AL40/'Tariffs Jul2020'!AJ40&lt;='Tariffs Jul2020'!M40,($C$5*'Tariffs Jul2020'!AL40/'Tariffs Jul2020'!AJ40-'Tariffs Jul2020'!L40)*('Tariffs Jul2020'!X40/100)*'Tariffs Jul2020'!AJ40,('Tariffs Jul2020'!M40-'Tariffs Jul2020'!L40)*('Tariffs Jul2020'!X40/100)*'Tariffs Jul2020'!AJ40))</f>
        <v>0</v>
      </c>
      <c r="N46" s="59">
        <f>IF(($C$5*'Tariffs Jul2020'!AL40/'Tariffs Jul2020'!AJ40&gt;'Tariffs Jul2020'!M40),($C$5*'Tariffs Jul2020'!AL40/'Tariffs Jul2020'!AJ40-'Tariffs Jul2020'!M40)*'Tariffs Jul2020'!Y40/100*'Tariffs Jul2020'!AJ40,0)</f>
        <v>415.22727272727275</v>
      </c>
      <c r="O46" s="59">
        <f t="shared" si="1"/>
        <v>1254.7963636363636</v>
      </c>
      <c r="P46" s="503">
        <f t="shared" si="2"/>
        <v>1380.2760000000001</v>
      </c>
      <c r="Q46" s="59">
        <f t="shared" si="3"/>
        <v>1455.3804545454545</v>
      </c>
      <c r="R46" s="272">
        <f t="shared" si="4"/>
        <v>1600.9185000000002</v>
      </c>
      <c r="S46" s="40">
        <f>'Tariffs Jul2020'!AN40</f>
        <v>0</v>
      </c>
      <c r="T46" s="40">
        <f>'Tariffs Jul2020'!AO40</f>
        <v>0</v>
      </c>
      <c r="U46" s="40">
        <f>'Tariffs Jul2020'!AP40</f>
        <v>0</v>
      </c>
      <c r="V46" s="40">
        <f>'Tariffs Jul2020'!AQ40</f>
        <v>0</v>
      </c>
      <c r="W46" s="284">
        <f>Q46</f>
        <v>1455.3804545454545</v>
      </c>
      <c r="X46" s="284">
        <f t="shared" si="17"/>
        <v>1455.3804545454545</v>
      </c>
      <c r="Y46" s="507">
        <f t="shared" si="19"/>
        <v>1600.9185000000002</v>
      </c>
      <c r="Z46" s="507">
        <f t="shared" si="18"/>
        <v>1600.9185000000002</v>
      </c>
      <c r="AA46" s="274">
        <f>'Tariffs Jul2020'!AZ40</f>
        <v>0</v>
      </c>
      <c r="AB46" s="274" t="str">
        <f>'Tariffs Jul2020'!BA40</f>
        <v>n</v>
      </c>
      <c r="AC46" s="275" t="str">
        <f>'Tariffs Jul2020'!BJ40</f>
        <v>N</v>
      </c>
      <c r="AD46" s="511"/>
      <c r="AE46" s="511"/>
      <c r="AF46" s="513"/>
      <c r="AG46" s="546"/>
      <c r="AH46" s="546"/>
      <c r="AI46" s="546"/>
      <c r="AJ46" s="546"/>
      <c r="AK46" s="546"/>
      <c r="AL46" s="546"/>
      <c r="AM46" s="546"/>
      <c r="AN46" s="546"/>
      <c r="AO46" s="546"/>
      <c r="AP46" s="546"/>
      <c r="AQ46" s="546"/>
      <c r="AR46" s="546"/>
      <c r="AS46" s="546"/>
      <c r="AT46" s="546"/>
      <c r="AU46" s="546"/>
      <c r="AV46" s="546"/>
      <c r="AW46" s="546"/>
      <c r="AX46" s="546"/>
      <c r="AY46" s="546"/>
      <c r="AZ46" s="546"/>
    </row>
    <row r="47" spans="1:52" ht="14" x14ac:dyDescent="0.15">
      <c r="A47" s="270" t="str">
        <f>'Tariffs Jul2020'!F41</f>
        <v>EnergyAustralia</v>
      </c>
      <c r="B47" s="40" t="str">
        <f>'Tariffs Jul2020'!D41</f>
        <v>AGN North</v>
      </c>
      <c r="C47" s="40" t="str">
        <f>'Tariffs Jul2020'!G41</f>
        <v>Total Plan</v>
      </c>
      <c r="D47" s="59">
        <f>365*'Tariffs Jul2020'!H41/100</f>
        <v>301.125</v>
      </c>
      <c r="E47" s="59">
        <f>IF($C$5*'Tariffs Jul2020'!AK41/'Tariffs Jul2020'!AI41&gt;='Tariffs Jul2020'!J41,( 'Tariffs Jul2020'!J41*'Tariffs Jul2020'!O41/100)* 'Tariffs Jul2020'!AI41,($C$5*'Tariffs Jul2020'!AK41/'Tariffs Jul2020'!AI41*'Tariffs Jul2020'!O41/100)* 'Tariffs Jul2020'!AI41)</f>
        <v>272.45454545454538</v>
      </c>
      <c r="F47" s="59">
        <f>IF($C$5*'Tariffs Jul2020'!AK41/'Tariffs Jul2020'!AI41&lt;'Tariffs Jul2020'!J41,0,IF($C$5*'Tariffs Jul2020'!AK41/'Tariffs Jul2020'!AI41&lt;='Tariffs Jul2020'!K41,($C$5*'Tariffs Jul2020'!AK41/'Tariffs Jul2020'!AI41-'Tariffs Jul2020'!J41)*('Tariffs Jul2020'!P41/100)*'Tariffs Jul2020'!AI41,('Tariffs Jul2020'!K41-'Tariffs Jul2020'!J41)*('Tariffs Jul2020'!P41/100)*'Tariffs Jul2020'!AI41))</f>
        <v>0</v>
      </c>
      <c r="G47" s="59">
        <f>IF($C$5*'Tariffs Jul2020'!AK41/'Tariffs Jul2020'!AI41&lt;'Tariffs Jul2020'!K41,0,IF($C$5*'Tariffs Jul2020'!AK41/'Tariffs Jul2020'!AI41&lt;='Tariffs Jul2020'!L41,($C$5*'Tariffs Jul2020'!AK41/'Tariffs Jul2020'!AI41-'Tariffs Jul2020'!K41)*('Tariffs Jul2020'!Q41/100)*'Tariffs Jul2020'!AI41,('Tariffs Jul2020'!L41-'Tariffs Jul2020'!K41)*('Tariffs Jul2020'!Q41/100)*'Tariffs Jul2020'!AI41))</f>
        <v>0</v>
      </c>
      <c r="H47" s="59">
        <f>IF($C$5*'Tariffs Jul2020'!AK41/'Tariffs Jul2020'!AI41&lt;'Tariffs Jul2020'!L41,0,IF($C$5*'Tariffs Jul2020'!AK41/'Tariffs Jul2020'!AI41&lt;='Tariffs Jul2020'!M41,($C$5*'Tariffs Jul2020'!AK41/'Tariffs Jul2020'!AI41-'Tariffs Jul2020'!L41)*('Tariffs Jul2020'!R41/100)*'Tariffs Jul2020'!AI41,('Tariffs Jul2020'!M41-'Tariffs Jul2020'!L41)*('Tariffs Jul2020'!R41/100)*'Tariffs Jul2020'!AI41))</f>
        <v>0</v>
      </c>
      <c r="I47" s="59">
        <f>IF(($C$5*'Tariffs Jul2020'!AK41/'Tariffs Jul2020'!AI41&gt;'Tariffs Jul2020'!M41),($C$5*'Tariffs Jul2020'!AK41/'Tariffs Jul2020'!AI41-'Tariffs Jul2020'!M41)*'Tariffs Jul2020'!S41/100*'Tariffs Jul2020'!AI41,0)</f>
        <v>456.13636363636363</v>
      </c>
      <c r="J47" s="59">
        <f>IF($C$5*'Tariffs Jul2020'!AL41/'Tariffs Jul2020'!AJ41&gt;='Tariffs Jul2020'!J41,('Tariffs Jul2020'!J41*'Tariffs Jul2020'!U41/100)* 'Tariffs Jul2020'!AJ41,($C$5*'Tariffs Jul2020'!AL41/'Tariffs Jul2020'!AJ41*'Tariffs Jul2020'!U41/100)* 'Tariffs Jul2020'!AJ41)</f>
        <v>272.45454545454538</v>
      </c>
      <c r="K47" s="59">
        <f>IF($C$5*'Tariffs Jul2020'!AL41/'Tariffs Jul2020'!AJ41&lt;'Tariffs Jul2020'!J41,0,IF($C$5*'Tariffs Jul2020'!AL41/'Tariffs Jul2020'!AJ41&lt;='Tariffs Jul2020'!K41,($C$5*'Tariffs Jul2020'!AL41/'Tariffs Jul2020'!AJ41-'Tariffs Jul2020'!J41)*('Tariffs Jul2020'!V41/100)*'Tariffs Jul2020'!AJ41,('Tariffs Jul2020'!K41-'Tariffs Jul2020'!J41)*('Tariffs Jul2020'!V41/100)*'Tariffs Jul2020'!AJ41))</f>
        <v>0</v>
      </c>
      <c r="L47" s="59">
        <f>IF($C$5*'Tariffs Jul2020'!AL41/'Tariffs Jul2020'!AJ41&lt;'Tariffs Jul2020'!K41,0,IF($C$5*'Tariffs Jul2020'!AL41/'Tariffs Jul2020'!AJ41&lt;='Tariffs Jul2020'!L41,($C$5*'Tariffs Jul2020'!AL41/'Tariffs Jul2020'!AJ41-'Tariffs Jul2020'!K41)*('Tariffs Jul2020'!W41/100)*'Tariffs Jul2020'!AJ41,('Tariffs Jul2020'!L41-'Tariffs Jul2020'!K41)*('Tariffs Jul2020'!W41/100)*'Tariffs Jul2020'!AJ41))</f>
        <v>0</v>
      </c>
      <c r="M47" s="59">
        <f>IF($C$5*'Tariffs Jul2020'!AL41/'Tariffs Jul2020'!AJ41&lt;'Tariffs Jul2020'!L41,0,IF($C$5*'Tariffs Jul2020'!AL41/'Tariffs Jul2020'!AJ41&lt;='Tariffs Jul2020'!M41,($C$5*'Tariffs Jul2020'!AL41/'Tariffs Jul2020'!AJ41-'Tariffs Jul2020'!L41)*('Tariffs Jul2020'!X41/100)*'Tariffs Jul2020'!AJ41,('Tariffs Jul2020'!M41-'Tariffs Jul2020'!L41)*('Tariffs Jul2020'!X41/100)*'Tariffs Jul2020'!AJ41))</f>
        <v>0</v>
      </c>
      <c r="N47" s="59">
        <f>IF(($C$5*'Tariffs Jul2020'!AL41/'Tariffs Jul2020'!AJ41&gt;'Tariffs Jul2020'!M41),($C$5*'Tariffs Jul2020'!AL41/'Tariffs Jul2020'!AJ41-'Tariffs Jul2020'!M41)*'Tariffs Jul2020'!Y41/100*'Tariffs Jul2020'!AJ41,0)</f>
        <v>456.13636363636363</v>
      </c>
      <c r="O47" s="59">
        <f t="shared" si="1"/>
        <v>1457.181818181818</v>
      </c>
      <c r="P47" s="503">
        <f t="shared" si="2"/>
        <v>1602.8999999999999</v>
      </c>
      <c r="Q47" s="59">
        <f t="shared" si="3"/>
        <v>1758.306818181818</v>
      </c>
      <c r="R47" s="272">
        <f t="shared" si="4"/>
        <v>1934.1375</v>
      </c>
      <c r="S47" s="40">
        <f>'Tariffs Jul2020'!AN41</f>
        <v>23</v>
      </c>
      <c r="T47" s="40">
        <f>'Tariffs Jul2020'!AO41</f>
        <v>0</v>
      </c>
      <c r="U47" s="40">
        <f>'Tariffs Jul2020'!AP41</f>
        <v>0</v>
      </c>
      <c r="V47" s="40">
        <f>'Tariffs Jul2020'!AQ41</f>
        <v>0</v>
      </c>
      <c r="W47" s="284">
        <f>Q47-(Q47*S47/100)</f>
        <v>1353.8962499999998</v>
      </c>
      <c r="X47" s="284">
        <f t="shared" si="17"/>
        <v>1353.8962499999998</v>
      </c>
      <c r="Y47" s="507">
        <f t="shared" si="19"/>
        <v>1489.2858749999998</v>
      </c>
      <c r="Z47" s="507">
        <f t="shared" si="18"/>
        <v>1489.2858749999998</v>
      </c>
      <c r="AA47" s="274">
        <f>'Tariffs Jul2020'!AZ41</f>
        <v>12</v>
      </c>
      <c r="AB47" s="274" t="str">
        <f>'Tariffs Jul2020'!BA41</f>
        <v>n</v>
      </c>
      <c r="AC47" s="275" t="str">
        <f>'Tariffs Jul2020'!BJ41</f>
        <v>N</v>
      </c>
      <c r="AD47" s="511"/>
      <c r="AE47" s="511"/>
      <c r="AF47" s="513"/>
      <c r="AG47" s="546"/>
      <c r="AH47" s="546"/>
      <c r="AI47" s="546"/>
      <c r="AJ47" s="546"/>
      <c r="AK47" s="546"/>
      <c r="AL47" s="546"/>
      <c r="AM47" s="546"/>
      <c r="AN47" s="546"/>
      <c r="AO47" s="546"/>
      <c r="AP47" s="546"/>
      <c r="AQ47" s="546"/>
      <c r="AR47" s="546"/>
      <c r="AS47" s="546"/>
      <c r="AT47" s="546"/>
      <c r="AU47" s="546"/>
      <c r="AV47" s="546"/>
      <c r="AW47" s="546"/>
      <c r="AX47" s="546"/>
      <c r="AY47" s="546"/>
      <c r="AZ47" s="546"/>
    </row>
    <row r="48" spans="1:52" ht="14" x14ac:dyDescent="0.15">
      <c r="A48" s="270" t="str">
        <f>'Tariffs Jul2020'!F42</f>
        <v>Lumo Energy</v>
      </c>
      <c r="B48" s="40" t="str">
        <f>'Tariffs Jul2020'!D42</f>
        <v>AGN North</v>
      </c>
      <c r="C48" s="40" t="str">
        <f>'Tariffs Jul2020'!G42</f>
        <v>Basic</v>
      </c>
      <c r="D48" s="59">
        <f>365*'Tariffs Jul2020'!H42/100</f>
        <v>247.83499999999995</v>
      </c>
      <c r="E48" s="59">
        <f>IF($C$5*'Tariffs Jul2020'!AK42/'Tariffs Jul2020'!AI42&gt;='Tariffs Jul2020'!J42,( 'Tariffs Jul2020'!J42*'Tariffs Jul2020'!O42/100)* 'Tariffs Jul2020'!AI42,($C$5*'Tariffs Jul2020'!AK42/'Tariffs Jul2020'!AI42*'Tariffs Jul2020'!O42/100)* 'Tariffs Jul2020'!AI42)</f>
        <v>76.567272727272723</v>
      </c>
      <c r="F48" s="59">
        <f>IF($C$5*'Tariffs Jul2020'!AK42/'Tariffs Jul2020'!AI42&lt;'Tariffs Jul2020'!J42,0,IF($C$5*'Tariffs Jul2020'!AK42/'Tariffs Jul2020'!AI42&lt;='Tariffs Jul2020'!K42,($C$5*'Tariffs Jul2020'!AK42/'Tariffs Jul2020'!AI42-'Tariffs Jul2020'!J42)*('Tariffs Jul2020'!P42/100)*'Tariffs Jul2020'!AI42,('Tariffs Jul2020'!K42-'Tariffs Jul2020'!J42)*('Tariffs Jul2020'!P42/100)*'Tariffs Jul2020'!AI42))</f>
        <v>55.185454545454547</v>
      </c>
      <c r="G48" s="59">
        <f>IF($C$5*'Tariffs Jul2020'!AK42/'Tariffs Jul2020'!AI42&lt;'Tariffs Jul2020'!K42,0,IF($C$5*'Tariffs Jul2020'!AK42/'Tariffs Jul2020'!AI42&lt;='Tariffs Jul2020'!L42,($C$5*'Tariffs Jul2020'!AK42/'Tariffs Jul2020'!AI42-'Tariffs Jul2020'!K42)*('Tariffs Jul2020'!Q42/100)*'Tariffs Jul2020'!AI42,('Tariffs Jul2020'!L42-'Tariffs Jul2020'!K42)*('Tariffs Jul2020'!Q42/100)*'Tariffs Jul2020'!AI42))</f>
        <v>0</v>
      </c>
      <c r="H48" s="59">
        <f>IF($C$5*'Tariffs Jul2020'!AK42/'Tariffs Jul2020'!AI42&lt;'Tariffs Jul2020'!L42,0,IF($C$5*'Tariffs Jul2020'!AK42/'Tariffs Jul2020'!AI42&lt;='Tariffs Jul2020'!M42,($C$5*'Tariffs Jul2020'!AK42/'Tariffs Jul2020'!AI42-'Tariffs Jul2020'!L42)*('Tariffs Jul2020'!R42/100)*'Tariffs Jul2020'!AI42,('Tariffs Jul2020'!M42-'Tariffs Jul2020'!L42)*('Tariffs Jul2020'!R42/100)*'Tariffs Jul2020'!AI42))</f>
        <v>0</v>
      </c>
      <c r="I48" s="59">
        <f>IF(($C$5*'Tariffs Jul2020'!AK42/'Tariffs Jul2020'!AI42&gt;'Tariffs Jul2020'!M42),($C$5*'Tariffs Jul2020'!AK42/'Tariffs Jul2020'!AI42-'Tariffs Jul2020'!M42)*'Tariffs Jul2020'!S42/100*'Tariffs Jul2020'!AI42,0)</f>
        <v>261.7815272727272</v>
      </c>
      <c r="J48" s="59">
        <f>IF($C$5*'Tariffs Jul2020'!AL42/'Tariffs Jul2020'!AJ42&gt;='Tariffs Jul2020'!J42,('Tariffs Jul2020'!J42*'Tariffs Jul2020'!U42/100)* 'Tariffs Jul2020'!AJ42,($C$5*'Tariffs Jul2020'!AL42/'Tariffs Jul2020'!AJ42*'Tariffs Jul2020'!U42/100)* 'Tariffs Jul2020'!AJ42)</f>
        <v>153.13454545454545</v>
      </c>
      <c r="K48" s="59">
        <f>IF($C$5*'Tariffs Jul2020'!AL42/'Tariffs Jul2020'!AJ42&lt;'Tariffs Jul2020'!J42,0,IF($C$5*'Tariffs Jul2020'!AL42/'Tariffs Jul2020'!AJ42&lt;='Tariffs Jul2020'!K42,($C$5*'Tariffs Jul2020'!AL42/'Tariffs Jul2020'!AJ42-'Tariffs Jul2020'!J42)*('Tariffs Jul2020'!V42/100)*'Tariffs Jul2020'!AJ42,('Tariffs Jul2020'!K42-'Tariffs Jul2020'!J42)*('Tariffs Jul2020'!V42/100)*'Tariffs Jul2020'!AJ42))</f>
        <v>110.37090909090909</v>
      </c>
      <c r="L48" s="59">
        <f>IF($C$5*'Tariffs Jul2020'!AL42/'Tariffs Jul2020'!AJ42&lt;'Tariffs Jul2020'!K42,0,IF($C$5*'Tariffs Jul2020'!AL42/'Tariffs Jul2020'!AJ42&lt;='Tariffs Jul2020'!L42,($C$5*'Tariffs Jul2020'!AL42/'Tariffs Jul2020'!AJ42-'Tariffs Jul2020'!K42)*('Tariffs Jul2020'!W42/100)*'Tariffs Jul2020'!AJ42,('Tariffs Jul2020'!L42-'Tariffs Jul2020'!K42)*('Tariffs Jul2020'!W42/100)*'Tariffs Jul2020'!AJ42))</f>
        <v>0</v>
      </c>
      <c r="M48" s="59">
        <f>IF($C$5*'Tariffs Jul2020'!AL42/'Tariffs Jul2020'!AJ42&lt;'Tariffs Jul2020'!L42,0,IF($C$5*'Tariffs Jul2020'!AL42/'Tariffs Jul2020'!AJ42&lt;='Tariffs Jul2020'!M42,($C$5*'Tariffs Jul2020'!AL42/'Tariffs Jul2020'!AJ42-'Tariffs Jul2020'!L42)*('Tariffs Jul2020'!X42/100)*'Tariffs Jul2020'!AJ42,('Tariffs Jul2020'!M42-'Tariffs Jul2020'!L42)*('Tariffs Jul2020'!X42/100)*'Tariffs Jul2020'!AJ42))</f>
        <v>0</v>
      </c>
      <c r="N48" s="59">
        <f>IF(($C$5*'Tariffs Jul2020'!AL42/'Tariffs Jul2020'!AJ42&gt;'Tariffs Jul2020'!M42),($C$5*'Tariffs Jul2020'!AL42/'Tariffs Jul2020'!AJ42-'Tariffs Jul2020'!M42)*'Tariffs Jul2020'!Y42/100*'Tariffs Jul2020'!AJ42,0)</f>
        <v>523.56305454545441</v>
      </c>
      <c r="O48" s="59">
        <f t="shared" si="1"/>
        <v>1180.6027636363633</v>
      </c>
      <c r="P48" s="503">
        <f t="shared" si="2"/>
        <v>1298.6630399999997</v>
      </c>
      <c r="Q48" s="59">
        <f t="shared" si="3"/>
        <v>1428.4377636363633</v>
      </c>
      <c r="R48" s="272">
        <f t="shared" si="4"/>
        <v>1571.2815399999997</v>
      </c>
      <c r="S48" s="40">
        <f>'Tariffs Jul2020'!AN42</f>
        <v>0</v>
      </c>
      <c r="T48" s="40">
        <f>'Tariffs Jul2020'!AO42</f>
        <v>0</v>
      </c>
      <c r="U48" s="40">
        <f>'Tariffs Jul2020'!AP42</f>
        <v>0</v>
      </c>
      <c r="V48" s="40">
        <f>'Tariffs Jul2020'!AQ42</f>
        <v>0</v>
      </c>
      <c r="W48" s="284">
        <f>Q48</f>
        <v>1428.4377636363633</v>
      </c>
      <c r="X48" s="284">
        <f t="shared" si="17"/>
        <v>1428.4377636363633</v>
      </c>
      <c r="Y48" s="507">
        <f t="shared" si="19"/>
        <v>1571.2815399999997</v>
      </c>
      <c r="Z48" s="507">
        <f t="shared" si="18"/>
        <v>1571.2815399999997</v>
      </c>
      <c r="AA48" s="274">
        <f>'Tariffs Jul2020'!AZ42</f>
        <v>0</v>
      </c>
      <c r="AB48" s="274" t="str">
        <f>'Tariffs Jul2020'!BA42</f>
        <v>n</v>
      </c>
      <c r="AC48" s="275" t="str">
        <f>'Tariffs Jul2020'!BJ42</f>
        <v>N</v>
      </c>
      <c r="AD48" s="511"/>
      <c r="AE48" s="511"/>
      <c r="AF48" s="513"/>
      <c r="AG48" s="546"/>
      <c r="AH48" s="546"/>
      <c r="AI48" s="546"/>
      <c r="AJ48" s="546"/>
      <c r="AK48" s="546"/>
      <c r="AL48" s="546"/>
      <c r="AM48" s="546"/>
      <c r="AN48" s="546"/>
      <c r="AO48" s="546"/>
      <c r="AP48" s="546"/>
      <c r="AQ48" s="546"/>
      <c r="AR48" s="546"/>
      <c r="AS48" s="546"/>
      <c r="AT48" s="546"/>
      <c r="AU48" s="546"/>
      <c r="AV48" s="546"/>
      <c r="AW48" s="546"/>
      <c r="AX48" s="546"/>
      <c r="AY48" s="546"/>
      <c r="AZ48" s="546"/>
    </row>
    <row r="49" spans="1:52" ht="14" x14ac:dyDescent="0.15">
      <c r="A49" s="270" t="str">
        <f>'Tariffs Jul2020'!F43</f>
        <v>Momentum Energy</v>
      </c>
      <c r="B49" s="40" t="str">
        <f>'Tariffs Jul2020'!D43</f>
        <v>AGN North</v>
      </c>
      <c r="C49" s="40" t="str">
        <f>'Tariffs Jul2020'!G43</f>
        <v>Market offer</v>
      </c>
      <c r="D49" s="59">
        <f>365*'Tariffs Jul2020'!H43/100</f>
        <v>284.40136363636361</v>
      </c>
      <c r="E49" s="59">
        <f>IF($C$5*'Tariffs Jul2020'!AK43/'Tariffs Jul2020'!AI43&gt;='Tariffs Jul2020'!J43,( 'Tariffs Jul2020'!J43*'Tariffs Jul2020'!O43/100)* 'Tariffs Jul2020'!AI43,($C$5*'Tariffs Jul2020'!AK43/'Tariffs Jul2020'!AI43*'Tariffs Jul2020'!O43/100)* 'Tariffs Jul2020'!AI43)</f>
        <v>80.455454545454543</v>
      </c>
      <c r="F49" s="59">
        <f>IF($C$5*'Tariffs Jul2020'!AK43/'Tariffs Jul2020'!AI43&lt;'Tariffs Jul2020'!J43,0,IF($C$5*'Tariffs Jul2020'!AK43/'Tariffs Jul2020'!AI43&lt;='Tariffs Jul2020'!K43,($C$5*'Tariffs Jul2020'!AK43/'Tariffs Jul2020'!AI43-'Tariffs Jul2020'!J43)*('Tariffs Jul2020'!P43/100)*'Tariffs Jul2020'!AI43,('Tariffs Jul2020'!K43-'Tariffs Jul2020'!J43)*('Tariffs Jul2020'!P43/100)*'Tariffs Jul2020'!AI43))</f>
        <v>57.402727272727269</v>
      </c>
      <c r="G49" s="59">
        <f>IF($C$5*'Tariffs Jul2020'!AK43/'Tariffs Jul2020'!AI43&lt;'Tariffs Jul2020'!K43,0,IF($C$5*'Tariffs Jul2020'!AK43/'Tariffs Jul2020'!AI43&lt;='Tariffs Jul2020'!L43,($C$5*'Tariffs Jul2020'!AK43/'Tariffs Jul2020'!AI43-'Tariffs Jul2020'!K43)*('Tariffs Jul2020'!Q43/100)*'Tariffs Jul2020'!AI43,('Tariffs Jul2020'!L43-'Tariffs Jul2020'!K43)*('Tariffs Jul2020'!Q43/100)*'Tariffs Jul2020'!AI43))</f>
        <v>0</v>
      </c>
      <c r="H49" s="59">
        <f>IF($C$5*'Tariffs Jul2020'!AK43/'Tariffs Jul2020'!AI43&lt;'Tariffs Jul2020'!L43,0,IF($C$5*'Tariffs Jul2020'!AK43/'Tariffs Jul2020'!AI43&lt;='Tariffs Jul2020'!M43,($C$5*'Tariffs Jul2020'!AK43/'Tariffs Jul2020'!AI43-'Tariffs Jul2020'!L43)*('Tariffs Jul2020'!R43/100)*'Tariffs Jul2020'!AI43,('Tariffs Jul2020'!M43-'Tariffs Jul2020'!L43)*('Tariffs Jul2020'!R43/100)*'Tariffs Jul2020'!AI43))</f>
        <v>0</v>
      </c>
      <c r="I49" s="59">
        <f>IF(($C$5*'Tariffs Jul2020'!AK43/'Tariffs Jul2020'!AI43&gt;'Tariffs Jul2020'!M43),($C$5*'Tariffs Jul2020'!AK43/'Tariffs Jul2020'!AI43-'Tariffs Jul2020'!M43)*'Tariffs Jul2020'!S43/100*'Tariffs Jul2020'!AI43,0)</f>
        <v>280.86976363636359</v>
      </c>
      <c r="J49" s="59">
        <f>IF($C$5*'Tariffs Jul2020'!AL43/'Tariffs Jul2020'!AJ43&gt;='Tariffs Jul2020'!J43,('Tariffs Jul2020'!J43*'Tariffs Jul2020'!U43/100)* 'Tariffs Jul2020'!AJ43,($C$5*'Tariffs Jul2020'!AL43/'Tariffs Jul2020'!AJ43*'Tariffs Jul2020'!U43/100)* 'Tariffs Jul2020'!AJ43)</f>
        <v>144.76</v>
      </c>
      <c r="K49" s="59">
        <f>IF($C$5*'Tariffs Jul2020'!AL43/'Tariffs Jul2020'!AJ43&lt;'Tariffs Jul2020'!J43,0,IF($C$5*'Tariffs Jul2020'!AL43/'Tariffs Jul2020'!AJ43&lt;='Tariffs Jul2020'!K43,($C$5*'Tariffs Jul2020'!AL43/'Tariffs Jul2020'!AJ43-'Tariffs Jul2020'!J43)*('Tariffs Jul2020'!V43/100)*'Tariffs Jul2020'!AJ43,('Tariffs Jul2020'!K43-'Tariffs Jul2020'!J43)*('Tariffs Jul2020'!V43/100)*'Tariffs Jul2020'!AJ43))</f>
        <v>102.97999999999998</v>
      </c>
      <c r="L49" s="59">
        <f>IF($C$5*'Tariffs Jul2020'!AL43/'Tariffs Jul2020'!AJ43&lt;'Tariffs Jul2020'!K43,0,IF($C$5*'Tariffs Jul2020'!AL43/'Tariffs Jul2020'!AJ43&lt;='Tariffs Jul2020'!L43,($C$5*'Tariffs Jul2020'!AL43/'Tariffs Jul2020'!AJ43-'Tariffs Jul2020'!K43)*('Tariffs Jul2020'!W43/100)*'Tariffs Jul2020'!AJ43,('Tariffs Jul2020'!L43-'Tariffs Jul2020'!K43)*('Tariffs Jul2020'!W43/100)*'Tariffs Jul2020'!AJ43))</f>
        <v>0</v>
      </c>
      <c r="M49" s="59">
        <f>IF($C$5*'Tariffs Jul2020'!AL43/'Tariffs Jul2020'!AJ43&lt;'Tariffs Jul2020'!L43,0,IF($C$5*'Tariffs Jul2020'!AL43/'Tariffs Jul2020'!AJ43&lt;='Tariffs Jul2020'!M43,($C$5*'Tariffs Jul2020'!AL43/'Tariffs Jul2020'!AJ43-'Tariffs Jul2020'!L43)*('Tariffs Jul2020'!X43/100)*'Tariffs Jul2020'!AJ43,('Tariffs Jul2020'!M43-'Tariffs Jul2020'!L43)*('Tariffs Jul2020'!X43/100)*'Tariffs Jul2020'!AJ43))</f>
        <v>0</v>
      </c>
      <c r="N49" s="59">
        <f>IF(($C$5*'Tariffs Jul2020'!AL43/'Tariffs Jul2020'!AJ43&gt;'Tariffs Jul2020'!M43),($C$5*'Tariffs Jul2020'!AL43/'Tariffs Jul2020'!AJ43-'Tariffs Jul2020'!M43)*'Tariffs Jul2020'!Y43/100*'Tariffs Jul2020'!AJ43,0)</f>
        <v>501.74792727272717</v>
      </c>
      <c r="O49" s="59">
        <f t="shared" si="1"/>
        <v>1168.2158727272727</v>
      </c>
      <c r="P49" s="503">
        <f t="shared" si="2"/>
        <v>1285.03746</v>
      </c>
      <c r="Q49" s="59">
        <f t="shared" si="3"/>
        <v>1452.6172363636363</v>
      </c>
      <c r="R49" s="272">
        <f t="shared" si="4"/>
        <v>1597.87896</v>
      </c>
      <c r="S49" s="40">
        <f>'Tariffs Jul2020'!AN43</f>
        <v>0</v>
      </c>
      <c r="T49" s="40">
        <f>'Tariffs Jul2020'!AO43</f>
        <v>0</v>
      </c>
      <c r="U49" s="40">
        <f>'Tariffs Jul2020'!AP43</f>
        <v>0</v>
      </c>
      <c r="V49" s="40">
        <f>'Tariffs Jul2020'!AQ43</f>
        <v>0</v>
      </c>
      <c r="W49" s="284">
        <f t="shared" ref="W49" si="20">Q49</f>
        <v>1452.6172363636363</v>
      </c>
      <c r="X49" s="284">
        <f t="shared" si="17"/>
        <v>1452.6172363636363</v>
      </c>
      <c r="Y49" s="507">
        <f t="shared" si="19"/>
        <v>1597.87896</v>
      </c>
      <c r="Z49" s="507">
        <f t="shared" si="18"/>
        <v>1597.87896</v>
      </c>
      <c r="AA49" s="274">
        <f>'Tariffs Jul2020'!AZ43</f>
        <v>0</v>
      </c>
      <c r="AB49" s="274" t="str">
        <f>'Tariffs Jul2020'!BA43</f>
        <v>n</v>
      </c>
      <c r="AC49" s="275" t="str">
        <f>'Tariffs Jul2020'!BJ43</f>
        <v>N</v>
      </c>
      <c r="AD49" s="511"/>
      <c r="AE49" s="511"/>
      <c r="AF49" s="513"/>
      <c r="AG49" s="546"/>
      <c r="AH49" s="546"/>
      <c r="AI49" s="546"/>
      <c r="AJ49" s="546"/>
      <c r="AK49" s="546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46"/>
      <c r="AW49" s="546"/>
      <c r="AX49" s="546"/>
      <c r="AY49" s="546"/>
      <c r="AZ49" s="546"/>
    </row>
    <row r="50" spans="1:52" ht="14" x14ac:dyDescent="0.15">
      <c r="A50" s="270" t="str">
        <f>'Tariffs Jul2020'!F44</f>
        <v>Origin Energy</v>
      </c>
      <c r="B50" s="40" t="str">
        <f>'Tariffs Jul2020'!D44</f>
        <v>AGN North</v>
      </c>
      <c r="C50" s="40" t="str">
        <f>'Tariffs Jul2020'!G44</f>
        <v>Flexi</v>
      </c>
      <c r="D50" s="59">
        <f>365*'Tariffs Jul2020'!H44/100</f>
        <v>251.85</v>
      </c>
      <c r="E50" s="59">
        <f>IF($C$5*'Tariffs Jul2020'!AK44/'Tariffs Jul2020'!AI44&gt;='Tariffs Jul2020'!J44,( 'Tariffs Jul2020'!J44*'Tariffs Jul2020'!O44/100)* 'Tariffs Jul2020'!AI44,($C$5*'Tariffs Jul2020'!AK44/'Tariffs Jul2020'!AI44*'Tariffs Jul2020'!O44/100)* 'Tariffs Jul2020'!AI44)</f>
        <v>396.00000000000011</v>
      </c>
      <c r="F50" s="59">
        <f>IF($C$5*'Tariffs Jul2020'!AK44/'Tariffs Jul2020'!AI44&lt;'Tariffs Jul2020'!J44,0,IF($C$5*'Tariffs Jul2020'!AK44/'Tariffs Jul2020'!AI44&lt;='Tariffs Jul2020'!K44,($C$5*'Tariffs Jul2020'!AK44/'Tariffs Jul2020'!AI44-'Tariffs Jul2020'!J44)*('Tariffs Jul2020'!P44/100)*'Tariffs Jul2020'!AI44,('Tariffs Jul2020'!K44-'Tariffs Jul2020'!J44)*('Tariffs Jul2020'!P44/100)*'Tariffs Jul2020'!AI44))</f>
        <v>283.5</v>
      </c>
      <c r="G50" s="59">
        <f>IF($C$5*'Tariffs Jul2020'!AK44/'Tariffs Jul2020'!AI44&lt;'Tariffs Jul2020'!K44,0,IF($C$5*'Tariffs Jul2020'!AK44/'Tariffs Jul2020'!AI44&lt;='Tariffs Jul2020'!L44,($C$5*'Tariffs Jul2020'!AK44/'Tariffs Jul2020'!AI44-'Tariffs Jul2020'!K44)*('Tariffs Jul2020'!Q44/100)*'Tariffs Jul2020'!AI44,('Tariffs Jul2020'!L44-'Tariffs Jul2020'!K44)*('Tariffs Jul2020'!Q44/100)*'Tariffs Jul2020'!AI44))</f>
        <v>0</v>
      </c>
      <c r="H50" s="59">
        <f>IF($C$5*'Tariffs Jul2020'!AK44/'Tariffs Jul2020'!AI44&lt;'Tariffs Jul2020'!L44,0,IF($C$5*'Tariffs Jul2020'!AK44/'Tariffs Jul2020'!AI44&lt;='Tariffs Jul2020'!M44,($C$5*'Tariffs Jul2020'!AK44/'Tariffs Jul2020'!AI44-'Tariffs Jul2020'!L44)*('Tariffs Jul2020'!R44/100)*'Tariffs Jul2020'!AI44,('Tariffs Jul2020'!M44-'Tariffs Jul2020'!L44)*('Tariffs Jul2020'!R44/100)*'Tariffs Jul2020'!AI44))</f>
        <v>0</v>
      </c>
      <c r="I50" s="59">
        <f>IF(($C$5*'Tariffs Jul2020'!AK44/'Tariffs Jul2020'!AI44&gt;'Tariffs Jul2020'!M44),($C$5*'Tariffs Jul2020'!AK44/'Tariffs Jul2020'!AI44-'Tariffs Jul2020'!M44)*'Tariffs Jul2020'!S44/100*'Tariffs Jul2020'!AI44,0)</f>
        <v>0</v>
      </c>
      <c r="J50" s="59">
        <f>IF($C$5*'Tariffs Jul2020'!AL44/'Tariffs Jul2020'!AJ44&gt;='Tariffs Jul2020'!J44,('Tariffs Jul2020'!J44*'Tariffs Jul2020'!U44/100)* 'Tariffs Jul2020'!AJ44,($C$5*'Tariffs Jul2020'!AL44/'Tariffs Jul2020'!AJ44*'Tariffs Jul2020'!U44/100)* 'Tariffs Jul2020'!AJ44)</f>
        <v>396.00000000000011</v>
      </c>
      <c r="K50" s="59">
        <f>IF($C$5*'Tariffs Jul2020'!AL44/'Tariffs Jul2020'!AJ44&lt;'Tariffs Jul2020'!J44,0,IF($C$5*'Tariffs Jul2020'!AL44/'Tariffs Jul2020'!AJ44&lt;='Tariffs Jul2020'!K44,($C$5*'Tariffs Jul2020'!AL44/'Tariffs Jul2020'!AJ44-'Tariffs Jul2020'!J44)*('Tariffs Jul2020'!V44/100)*'Tariffs Jul2020'!AJ44,('Tariffs Jul2020'!K44-'Tariffs Jul2020'!J44)*('Tariffs Jul2020'!V44/100)*'Tariffs Jul2020'!AJ44))</f>
        <v>283.5</v>
      </c>
      <c r="L50" s="59">
        <f>IF($C$5*'Tariffs Jul2020'!AL44/'Tariffs Jul2020'!AJ44&lt;'Tariffs Jul2020'!K44,0,IF($C$5*'Tariffs Jul2020'!AL44/'Tariffs Jul2020'!AJ44&lt;='Tariffs Jul2020'!L44,($C$5*'Tariffs Jul2020'!AL44/'Tariffs Jul2020'!AJ44-'Tariffs Jul2020'!K44)*('Tariffs Jul2020'!W44/100)*'Tariffs Jul2020'!AJ44,('Tariffs Jul2020'!L44-'Tariffs Jul2020'!K44)*('Tariffs Jul2020'!W44/100)*'Tariffs Jul2020'!AJ44))</f>
        <v>0</v>
      </c>
      <c r="M50" s="59">
        <f>IF($C$5*'Tariffs Jul2020'!AL44/'Tariffs Jul2020'!AJ44&lt;'Tariffs Jul2020'!L44,0,IF($C$5*'Tariffs Jul2020'!AL44/'Tariffs Jul2020'!AJ44&lt;='Tariffs Jul2020'!M44,($C$5*'Tariffs Jul2020'!AL44/'Tariffs Jul2020'!AJ44-'Tariffs Jul2020'!L44)*('Tariffs Jul2020'!X44/100)*'Tariffs Jul2020'!AJ44,('Tariffs Jul2020'!M44-'Tariffs Jul2020'!L44)*('Tariffs Jul2020'!X44/100)*'Tariffs Jul2020'!AJ44))</f>
        <v>0</v>
      </c>
      <c r="N50" s="59">
        <f>IF(($C$5*'Tariffs Jul2020'!AL44/'Tariffs Jul2020'!AJ44&gt;'Tariffs Jul2020'!M44),($C$5*'Tariffs Jul2020'!AL44/'Tariffs Jul2020'!AJ44-'Tariffs Jul2020'!M44)*'Tariffs Jul2020'!Y44/100*'Tariffs Jul2020'!AJ44,0)</f>
        <v>0</v>
      </c>
      <c r="O50" s="59">
        <f t="shared" si="1"/>
        <v>1359.0000000000002</v>
      </c>
      <c r="P50" s="503">
        <f t="shared" si="2"/>
        <v>1494.9000000000003</v>
      </c>
      <c r="Q50" s="59">
        <f t="shared" si="3"/>
        <v>1610.8500000000001</v>
      </c>
      <c r="R50" s="272">
        <f t="shared" si="4"/>
        <v>1771.9350000000004</v>
      </c>
      <c r="S50" s="40">
        <f>'Tariffs Jul2020'!AN44</f>
        <v>11</v>
      </c>
      <c r="T50" s="40">
        <f>'Tariffs Jul2020'!AO44</f>
        <v>0</v>
      </c>
      <c r="U50" s="40">
        <f>'Tariffs Jul2020'!AP44</f>
        <v>0</v>
      </c>
      <c r="V50" s="40">
        <f>'Tariffs Jul2020'!AQ44</f>
        <v>0</v>
      </c>
      <c r="W50" s="284">
        <f>R50-(R50*S50/100)</f>
        <v>1577.0221500000002</v>
      </c>
      <c r="X50" s="284">
        <f t="shared" si="17"/>
        <v>1577.0221500000002</v>
      </c>
      <c r="Y50" s="507">
        <f>W50</f>
        <v>1577.0221500000002</v>
      </c>
      <c r="Z50" s="507">
        <f>X50</f>
        <v>1577.0221500000002</v>
      </c>
      <c r="AA50" s="274">
        <f>'Tariffs Jul2020'!AZ44</f>
        <v>0</v>
      </c>
      <c r="AB50" s="274" t="str">
        <f>'Tariffs Jul2020'!BA44</f>
        <v>n</v>
      </c>
      <c r="AC50" s="275" t="str">
        <f>'Tariffs Jul2020'!BJ44</f>
        <v>N</v>
      </c>
      <c r="AD50" s="511"/>
      <c r="AE50" s="511"/>
      <c r="AF50" s="513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</row>
    <row r="51" spans="1:52" ht="14" x14ac:dyDescent="0.15">
      <c r="A51" s="270" t="str">
        <f>'Tariffs Jul2020'!F45</f>
        <v>Red Energy</v>
      </c>
      <c r="B51" s="40" t="str">
        <f>'Tariffs Jul2020'!D45</f>
        <v>AGN North</v>
      </c>
      <c r="C51" s="40" t="str">
        <f>'Tariffs Jul2020'!G45</f>
        <v>Living Energy Saver</v>
      </c>
      <c r="D51" s="59">
        <f>365*'Tariffs Jul2020'!H45/100</f>
        <v>239.14136363636356</v>
      </c>
      <c r="E51" s="59">
        <f>IF($C$5*'Tariffs Jul2020'!AK45/'Tariffs Jul2020'!AI45&gt;='Tariffs Jul2020'!J45,( 'Tariffs Jul2020'!J45*'Tariffs Jul2020'!O45/100)* 'Tariffs Jul2020'!AI45,($C$5*'Tariffs Jul2020'!AK45/'Tariffs Jul2020'!AI45*'Tariffs Jul2020'!O45/100)* 'Tariffs Jul2020'!AI45)</f>
        <v>118.88863636363635</v>
      </c>
      <c r="F51" s="59">
        <f>IF($C$5*'Tariffs Jul2020'!AK45/'Tariffs Jul2020'!AI45&lt;'Tariffs Jul2020'!J45,0,IF($C$5*'Tariffs Jul2020'!AK45/'Tariffs Jul2020'!AI45&lt;='Tariffs Jul2020'!K45,($C$5*'Tariffs Jul2020'!AK45/'Tariffs Jul2020'!AI45-'Tariffs Jul2020'!J45)*('Tariffs Jul2020'!P45/100)*'Tariffs Jul2020'!AI45,('Tariffs Jul2020'!K45-'Tariffs Jul2020'!J45)*('Tariffs Jul2020'!P45/100)*'Tariffs Jul2020'!AI45))</f>
        <v>93.125454545454545</v>
      </c>
      <c r="G51" s="59">
        <f>IF($C$5*'Tariffs Jul2020'!AK45/'Tariffs Jul2020'!AI45&lt;'Tariffs Jul2020'!K45,0,IF($C$5*'Tariffs Jul2020'!AK45/'Tariffs Jul2020'!AI45&lt;='Tariffs Jul2020'!L45,($C$5*'Tariffs Jul2020'!AK45/'Tariffs Jul2020'!AI45-'Tariffs Jul2020'!K45)*('Tariffs Jul2020'!Q45/100)*'Tariffs Jul2020'!AI45,('Tariffs Jul2020'!L45-'Tariffs Jul2020'!K45)*('Tariffs Jul2020'!Q45/100)*'Tariffs Jul2020'!AI45))</f>
        <v>0</v>
      </c>
      <c r="H51" s="59">
        <f>IF($C$5*'Tariffs Jul2020'!AK45/'Tariffs Jul2020'!AI45&lt;'Tariffs Jul2020'!L45,0,IF($C$5*'Tariffs Jul2020'!AK45/'Tariffs Jul2020'!AI45&lt;='Tariffs Jul2020'!M45,($C$5*'Tariffs Jul2020'!AK45/'Tariffs Jul2020'!AI45-'Tariffs Jul2020'!L45)*('Tariffs Jul2020'!R45/100)*'Tariffs Jul2020'!AI45,('Tariffs Jul2020'!M45-'Tariffs Jul2020'!L45)*('Tariffs Jul2020'!R45/100)*'Tariffs Jul2020'!AI45))</f>
        <v>0</v>
      </c>
      <c r="I51" s="59">
        <f>IF(($C$5*'Tariffs Jul2020'!AK45/'Tariffs Jul2020'!AI45&gt;'Tariffs Jul2020'!M45),($C$5*'Tariffs Jul2020'!AK45/'Tariffs Jul2020'!AI45-'Tariffs Jul2020'!M45)*'Tariffs Jul2020'!S45/100*'Tariffs Jul2020'!AI45,0)</f>
        <v>384.5454545454545</v>
      </c>
      <c r="J51" s="59">
        <f>IF($C$5*'Tariffs Jul2020'!AL45/'Tariffs Jul2020'!AJ45&gt;='Tariffs Jul2020'!J45,('Tariffs Jul2020'!J45*'Tariffs Jul2020'!U45/100)* 'Tariffs Jul2020'!AJ45,($C$5*'Tariffs Jul2020'!AL45/'Tariffs Jul2020'!AJ45*'Tariffs Jul2020'!U45/100)* 'Tariffs Jul2020'!AJ45)</f>
        <v>118.88863636363635</v>
      </c>
      <c r="K51" s="59">
        <f>IF($C$5*'Tariffs Jul2020'!AL45/'Tariffs Jul2020'!AJ45&lt;'Tariffs Jul2020'!J45,0,IF($C$5*'Tariffs Jul2020'!AL45/'Tariffs Jul2020'!AJ45&lt;='Tariffs Jul2020'!K45,($C$5*'Tariffs Jul2020'!AL45/'Tariffs Jul2020'!AJ45-'Tariffs Jul2020'!J45)*('Tariffs Jul2020'!V45/100)*'Tariffs Jul2020'!AJ45,('Tariffs Jul2020'!K45-'Tariffs Jul2020'!J45)*('Tariffs Jul2020'!V45/100)*'Tariffs Jul2020'!AJ45))</f>
        <v>93.125454545454545</v>
      </c>
      <c r="L51" s="59">
        <f>IF($C$5*'Tariffs Jul2020'!AL45/'Tariffs Jul2020'!AJ45&lt;'Tariffs Jul2020'!K45,0,IF($C$5*'Tariffs Jul2020'!AL45/'Tariffs Jul2020'!AJ45&lt;='Tariffs Jul2020'!L45,($C$5*'Tariffs Jul2020'!AL45/'Tariffs Jul2020'!AJ45-'Tariffs Jul2020'!K45)*('Tariffs Jul2020'!W45/100)*'Tariffs Jul2020'!AJ45,('Tariffs Jul2020'!L45-'Tariffs Jul2020'!K45)*('Tariffs Jul2020'!W45/100)*'Tariffs Jul2020'!AJ45))</f>
        <v>0</v>
      </c>
      <c r="M51" s="59">
        <f>IF($C$5*'Tariffs Jul2020'!AL45/'Tariffs Jul2020'!AJ45&lt;'Tariffs Jul2020'!L45,0,IF($C$5*'Tariffs Jul2020'!AL45/'Tariffs Jul2020'!AJ45&lt;='Tariffs Jul2020'!M45,($C$5*'Tariffs Jul2020'!AL45/'Tariffs Jul2020'!AJ45-'Tariffs Jul2020'!L45)*('Tariffs Jul2020'!X45/100)*'Tariffs Jul2020'!AJ45,('Tariffs Jul2020'!M45-'Tariffs Jul2020'!L45)*('Tariffs Jul2020'!X45/100)*'Tariffs Jul2020'!AJ45))</f>
        <v>0</v>
      </c>
      <c r="N51" s="59">
        <f>IF(($C$5*'Tariffs Jul2020'!AL45/'Tariffs Jul2020'!AJ45&gt;'Tariffs Jul2020'!M45),($C$5*'Tariffs Jul2020'!AL45/'Tariffs Jul2020'!AJ45-'Tariffs Jul2020'!M45)*'Tariffs Jul2020'!Y45/100*'Tariffs Jul2020'!AJ45,0)</f>
        <v>384.5454545454545</v>
      </c>
      <c r="O51" s="59">
        <f t="shared" si="1"/>
        <v>1193.1190909090908</v>
      </c>
      <c r="P51" s="503">
        <f t="shared" si="2"/>
        <v>1312.431</v>
      </c>
      <c r="Q51" s="59">
        <f t="shared" si="3"/>
        <v>1432.2604545454544</v>
      </c>
      <c r="R51" s="272">
        <f t="shared" si="4"/>
        <v>1575.4865</v>
      </c>
      <c r="S51" s="40">
        <f>'Tariffs Jul2020'!AN45</f>
        <v>0</v>
      </c>
      <c r="T51" s="40">
        <f>'Tariffs Jul2020'!AO45</f>
        <v>0</v>
      </c>
      <c r="U51" s="40">
        <f>'Tariffs Jul2020'!AP45</f>
        <v>0</v>
      </c>
      <c r="V51" s="40">
        <f>'Tariffs Jul2020'!AQ45</f>
        <v>0</v>
      </c>
      <c r="W51" s="284">
        <f>Q51</f>
        <v>1432.2604545454544</v>
      </c>
      <c r="X51" s="284">
        <f t="shared" si="17"/>
        <v>1432.2604545454544</v>
      </c>
      <c r="Y51" s="507">
        <f t="shared" ref="Y51:Z55" si="21">W51*1.1</f>
        <v>1575.4865</v>
      </c>
      <c r="Z51" s="507">
        <f t="shared" si="21"/>
        <v>1575.4865</v>
      </c>
      <c r="AA51" s="274">
        <f>'Tariffs Jul2020'!AZ45</f>
        <v>0</v>
      </c>
      <c r="AB51" s="274" t="str">
        <f>'Tariffs Jul2020'!BA45</f>
        <v>n</v>
      </c>
      <c r="AC51" s="275" t="str">
        <f>'Tariffs Jul2020'!BJ45</f>
        <v>N</v>
      </c>
      <c r="AD51" s="511"/>
      <c r="AE51" s="511"/>
      <c r="AF51" s="513"/>
      <c r="AG51" s="546"/>
      <c r="AH51" s="546"/>
      <c r="AI51" s="546"/>
      <c r="AJ51" s="546"/>
      <c r="AK51" s="546"/>
      <c r="AL51" s="546"/>
      <c r="AM51" s="546"/>
      <c r="AN51" s="546"/>
      <c r="AO51" s="546"/>
      <c r="AP51" s="546"/>
      <c r="AQ51" s="546"/>
      <c r="AR51" s="546"/>
      <c r="AS51" s="546"/>
      <c r="AT51" s="546"/>
      <c r="AU51" s="546"/>
      <c r="AV51" s="546"/>
      <c r="AW51" s="546"/>
      <c r="AX51" s="546"/>
      <c r="AY51" s="546"/>
      <c r="AZ51" s="546"/>
    </row>
    <row r="52" spans="1:52" ht="14" x14ac:dyDescent="0.15">
      <c r="A52" s="270" t="str">
        <f>'Tariffs Jul2020'!F46</f>
        <v>Simply Energy</v>
      </c>
      <c r="B52" s="40" t="str">
        <f>'Tariffs Jul2020'!D46</f>
        <v>AGN North</v>
      </c>
      <c r="C52" s="40" t="str">
        <f>'Tariffs Jul2020'!G46</f>
        <v>Saver</v>
      </c>
      <c r="D52" s="59">
        <f>365*'Tariffs Jul2020'!H46/100</f>
        <v>296.31363636363631</v>
      </c>
      <c r="E52" s="59">
        <f>IF($C$5*'Tariffs Jul2020'!AK46/'Tariffs Jul2020'!AI46&gt;='Tariffs Jul2020'!J46,( 'Tariffs Jul2020'!J46*'Tariffs Jul2020'!O46/100)* 'Tariffs Jul2020'!AI46,($C$5*'Tariffs Jul2020'!AK46/'Tariffs Jul2020'!AI46*'Tariffs Jul2020'!O46/100)* 'Tariffs Jul2020'!AI46)</f>
        <v>133.245</v>
      </c>
      <c r="F52" s="59">
        <f>IF($C$5*'Tariffs Jul2020'!AK46/'Tariffs Jul2020'!AI46&lt;'Tariffs Jul2020'!J46,0,IF($C$5*'Tariffs Jul2020'!AK46/'Tariffs Jul2020'!AI46&lt;='Tariffs Jul2020'!K46,($C$5*'Tariffs Jul2020'!AK46/'Tariffs Jul2020'!AI46-'Tariffs Jul2020'!J46)*('Tariffs Jul2020'!P46/100)*'Tariffs Jul2020'!AI46,('Tariffs Jul2020'!K46-'Tariffs Jul2020'!J46)*('Tariffs Jul2020'!P46/100)*'Tariffs Jul2020'!AI46))</f>
        <v>89.060454545454547</v>
      </c>
      <c r="G52" s="59">
        <f>IF($C$5*'Tariffs Jul2020'!AK46/'Tariffs Jul2020'!AI46&lt;'Tariffs Jul2020'!K46,0,IF($C$5*'Tariffs Jul2020'!AK46/'Tariffs Jul2020'!AI46&lt;='Tariffs Jul2020'!L46,($C$5*'Tariffs Jul2020'!AK46/'Tariffs Jul2020'!AI46-'Tariffs Jul2020'!K46)*('Tariffs Jul2020'!Q46/100)*'Tariffs Jul2020'!AI46,('Tariffs Jul2020'!L46-'Tariffs Jul2020'!K46)*('Tariffs Jul2020'!Q46/100)*'Tariffs Jul2020'!AI46))</f>
        <v>0</v>
      </c>
      <c r="H52" s="59">
        <f>IF($C$5*'Tariffs Jul2020'!AK46/'Tariffs Jul2020'!AI46&lt;'Tariffs Jul2020'!L46,0,IF($C$5*'Tariffs Jul2020'!AK46/'Tariffs Jul2020'!AI46&lt;='Tariffs Jul2020'!M46,($C$5*'Tariffs Jul2020'!AK46/'Tariffs Jul2020'!AI46-'Tariffs Jul2020'!L46)*('Tariffs Jul2020'!R46/100)*'Tariffs Jul2020'!AI46,('Tariffs Jul2020'!M46-'Tariffs Jul2020'!L46)*('Tariffs Jul2020'!R46/100)*'Tariffs Jul2020'!AI46))</f>
        <v>0</v>
      </c>
      <c r="I52" s="59">
        <f>IF(($C$5*'Tariffs Jul2020'!AK46/'Tariffs Jul2020'!AI46&gt;'Tariffs Jul2020'!M46),($C$5*'Tariffs Jul2020'!AK46/'Tariffs Jul2020'!AI46-'Tariffs Jul2020'!M46)*'Tariffs Jul2020'!S46/100*'Tariffs Jul2020'!AI46,0)</f>
        <v>419.31818181818176</v>
      </c>
      <c r="J52" s="59">
        <f>IF($C$5*'Tariffs Jul2020'!AL46/'Tariffs Jul2020'!AJ46&gt;='Tariffs Jul2020'!J46,('Tariffs Jul2020'!J46*'Tariffs Jul2020'!U46/100)* 'Tariffs Jul2020'!AJ46,($C$5*'Tariffs Jul2020'!AL46/'Tariffs Jul2020'!AJ46*'Tariffs Jul2020'!U46/100)* 'Tariffs Jul2020'!AJ46)</f>
        <v>133.245</v>
      </c>
      <c r="K52" s="59">
        <f>IF($C$5*'Tariffs Jul2020'!AL46/'Tariffs Jul2020'!AJ46&lt;'Tariffs Jul2020'!J46,0,IF($C$5*'Tariffs Jul2020'!AL46/'Tariffs Jul2020'!AJ46&lt;='Tariffs Jul2020'!K46,($C$5*'Tariffs Jul2020'!AL46/'Tariffs Jul2020'!AJ46-'Tariffs Jul2020'!J46)*('Tariffs Jul2020'!V46/100)*'Tariffs Jul2020'!AJ46,('Tariffs Jul2020'!K46-'Tariffs Jul2020'!J46)*('Tariffs Jul2020'!V46/100)*'Tariffs Jul2020'!AJ46))</f>
        <v>89.060454545454547</v>
      </c>
      <c r="L52" s="59">
        <f>IF($C$5*'Tariffs Jul2020'!AL46/'Tariffs Jul2020'!AJ46&lt;'Tariffs Jul2020'!K46,0,IF($C$5*'Tariffs Jul2020'!AL46/'Tariffs Jul2020'!AJ46&lt;='Tariffs Jul2020'!L46,($C$5*'Tariffs Jul2020'!AL46/'Tariffs Jul2020'!AJ46-'Tariffs Jul2020'!K46)*('Tariffs Jul2020'!W46/100)*'Tariffs Jul2020'!AJ46,('Tariffs Jul2020'!L46-'Tariffs Jul2020'!K46)*('Tariffs Jul2020'!W46/100)*'Tariffs Jul2020'!AJ46))</f>
        <v>0</v>
      </c>
      <c r="M52" s="59">
        <f>IF($C$5*'Tariffs Jul2020'!AL46/'Tariffs Jul2020'!AJ46&lt;'Tariffs Jul2020'!L46,0,IF($C$5*'Tariffs Jul2020'!AL46/'Tariffs Jul2020'!AJ46&lt;='Tariffs Jul2020'!M46,($C$5*'Tariffs Jul2020'!AL46/'Tariffs Jul2020'!AJ46-'Tariffs Jul2020'!L46)*('Tariffs Jul2020'!X46/100)*'Tariffs Jul2020'!AJ46,('Tariffs Jul2020'!M46-'Tariffs Jul2020'!L46)*('Tariffs Jul2020'!X46/100)*'Tariffs Jul2020'!AJ46))</f>
        <v>0</v>
      </c>
      <c r="N52" s="59">
        <f>IF(($C$5*'Tariffs Jul2020'!AL46/'Tariffs Jul2020'!AJ46&gt;'Tariffs Jul2020'!M46),($C$5*'Tariffs Jul2020'!AL46/'Tariffs Jul2020'!AJ46-'Tariffs Jul2020'!M46)*'Tariffs Jul2020'!Y46/100*'Tariffs Jul2020'!AJ46,0)</f>
        <v>419.31818181818176</v>
      </c>
      <c r="O52" s="59">
        <f t="shared" si="1"/>
        <v>1283.2472727272725</v>
      </c>
      <c r="P52" s="503">
        <f t="shared" si="2"/>
        <v>1411.5719999999999</v>
      </c>
      <c r="Q52" s="59">
        <f t="shared" si="3"/>
        <v>1579.5609090909088</v>
      </c>
      <c r="R52" s="272">
        <f t="shared" si="4"/>
        <v>1737.5169999999998</v>
      </c>
      <c r="S52" s="40">
        <f>'Tariffs Jul2020'!AN46</f>
        <v>20</v>
      </c>
      <c r="T52" s="40">
        <f>'Tariffs Jul2020'!AO46</f>
        <v>0</v>
      </c>
      <c r="U52" s="40">
        <f>'Tariffs Jul2020'!AP46</f>
        <v>0</v>
      </c>
      <c r="V52" s="40">
        <f>'Tariffs Jul2020'!AQ46</f>
        <v>0</v>
      </c>
      <c r="W52" s="284">
        <f>Q52-(Q52*S52/100)</f>
        <v>1263.648727272727</v>
      </c>
      <c r="X52" s="284">
        <f t="shared" si="17"/>
        <v>1263.648727272727</v>
      </c>
      <c r="Y52" s="507">
        <f t="shared" si="21"/>
        <v>1390.0135999999998</v>
      </c>
      <c r="Z52" s="507">
        <f t="shared" si="21"/>
        <v>1390.0135999999998</v>
      </c>
      <c r="AA52" s="274">
        <f>'Tariffs Jul2020'!AZ46</f>
        <v>0</v>
      </c>
      <c r="AB52" s="274" t="str">
        <f>'Tariffs Jul2020'!BA46</f>
        <v>n</v>
      </c>
      <c r="AC52" s="275" t="str">
        <f>'Tariffs Jul2020'!BJ46</f>
        <v>N</v>
      </c>
      <c r="AD52" s="511"/>
      <c r="AE52" s="511"/>
      <c r="AF52" s="513"/>
      <c r="AG52" s="546"/>
      <c r="AH52" s="546"/>
      <c r="AI52" s="546"/>
      <c r="AJ52" s="546"/>
      <c r="AK52" s="546"/>
      <c r="AL52" s="546"/>
      <c r="AM52" s="546"/>
      <c r="AN52" s="546"/>
      <c r="AO52" s="546"/>
      <c r="AP52" s="546"/>
      <c r="AQ52" s="546"/>
      <c r="AR52" s="546"/>
      <c r="AS52" s="546"/>
      <c r="AT52" s="546"/>
      <c r="AU52" s="546"/>
      <c r="AV52" s="546"/>
      <c r="AW52" s="546"/>
      <c r="AX52" s="546"/>
      <c r="AY52" s="546"/>
      <c r="AZ52" s="546"/>
    </row>
    <row r="53" spans="1:52" ht="14" x14ac:dyDescent="0.15">
      <c r="A53" s="270" t="str">
        <f>'Tariffs Jul2020'!F47</f>
        <v>Sumo Power</v>
      </c>
      <c r="B53" s="40" t="str">
        <f>'Tariffs Jul2020'!D47</f>
        <v>AGN North</v>
      </c>
      <c r="C53" s="40" t="str">
        <f>'Tariffs Jul2020'!G47</f>
        <v>Select</v>
      </c>
      <c r="D53" s="59">
        <f>365*'Tariffs Jul2020'!H47/100</f>
        <v>237.25</v>
      </c>
      <c r="E53" s="59">
        <f>IF($C$5*'Tariffs Jul2020'!AK47/'Tariffs Jul2020'!AI47&gt;='Tariffs Jul2020'!J47,( 'Tariffs Jul2020'!J47*'Tariffs Jul2020'!O47/100)* 'Tariffs Jul2020'!AI47,($C$5*'Tariffs Jul2020'!AK47/'Tariffs Jul2020'!AI47*'Tariffs Jul2020'!O47/100)* 'Tariffs Jul2020'!AI47)</f>
        <v>114.85090909090908</v>
      </c>
      <c r="F53" s="59">
        <f>IF($C$5*'Tariffs Jul2020'!AK47/'Tariffs Jul2020'!AI47&lt;'Tariffs Jul2020'!J47,0,IF($C$5*'Tariffs Jul2020'!AK47/'Tariffs Jul2020'!AI47&lt;='Tariffs Jul2020'!K47,($C$5*'Tariffs Jul2020'!AK47/'Tariffs Jul2020'!AI47-'Tariffs Jul2020'!J47)*('Tariffs Jul2020'!P47/100)*'Tariffs Jul2020'!AI47,('Tariffs Jul2020'!K47-'Tariffs Jul2020'!J47)*('Tariffs Jul2020'!P47/100)*'Tariffs Jul2020'!AI47))</f>
        <v>82.039090909090902</v>
      </c>
      <c r="G53" s="59">
        <f>IF($C$5*'Tariffs Jul2020'!AK47/'Tariffs Jul2020'!AI47&lt;'Tariffs Jul2020'!K47,0,IF($C$5*'Tariffs Jul2020'!AK47/'Tariffs Jul2020'!AI47&lt;='Tariffs Jul2020'!L47,($C$5*'Tariffs Jul2020'!AK47/'Tariffs Jul2020'!AI47-'Tariffs Jul2020'!K47)*('Tariffs Jul2020'!Q47/100)*'Tariffs Jul2020'!AI47,('Tariffs Jul2020'!L47-'Tariffs Jul2020'!K47)*('Tariffs Jul2020'!Q47/100)*'Tariffs Jul2020'!AI47))</f>
        <v>0</v>
      </c>
      <c r="H53" s="59">
        <f>IF($C$5*'Tariffs Jul2020'!AK47/'Tariffs Jul2020'!AI47&lt;'Tariffs Jul2020'!L47,0,IF($C$5*'Tariffs Jul2020'!AK47/'Tariffs Jul2020'!AI47&lt;='Tariffs Jul2020'!M47,($C$5*'Tariffs Jul2020'!AK47/'Tariffs Jul2020'!AI47-'Tariffs Jul2020'!L47)*('Tariffs Jul2020'!R47/100)*'Tariffs Jul2020'!AI47,('Tariffs Jul2020'!M47-'Tariffs Jul2020'!L47)*('Tariffs Jul2020'!R47/100)*'Tariffs Jul2020'!AI47))</f>
        <v>0</v>
      </c>
      <c r="I53" s="59">
        <f>IF(($C$5*'Tariffs Jul2020'!AK47/'Tariffs Jul2020'!AI47&gt;'Tariffs Jul2020'!M47),($C$5*'Tariffs Jul2020'!AK47/'Tariffs Jul2020'!AI47-'Tariffs Jul2020'!M47)*'Tariffs Jul2020'!S47/100*'Tariffs Jul2020'!AI47,0)</f>
        <v>386.59090909090912</v>
      </c>
      <c r="J53" s="59">
        <f>IF($C$5*'Tariffs Jul2020'!AL47/'Tariffs Jul2020'!AJ47&gt;='Tariffs Jul2020'!J47,('Tariffs Jul2020'!J47*'Tariffs Jul2020'!U47/100)* 'Tariffs Jul2020'!AJ47,($C$5*'Tariffs Jul2020'!AL47/'Tariffs Jul2020'!AJ47*'Tariffs Jul2020'!U47/100)* 'Tariffs Jul2020'!AJ47)</f>
        <v>114.85090909090908</v>
      </c>
      <c r="K53" s="59">
        <f>IF($C$5*'Tariffs Jul2020'!AL47/'Tariffs Jul2020'!AJ47&lt;'Tariffs Jul2020'!J47,0,IF($C$5*'Tariffs Jul2020'!AL47/'Tariffs Jul2020'!AJ47&lt;='Tariffs Jul2020'!K47,($C$5*'Tariffs Jul2020'!AL47/'Tariffs Jul2020'!AJ47-'Tariffs Jul2020'!J47)*('Tariffs Jul2020'!V47/100)*'Tariffs Jul2020'!AJ47,('Tariffs Jul2020'!K47-'Tariffs Jul2020'!J47)*('Tariffs Jul2020'!V47/100)*'Tariffs Jul2020'!AJ47))</f>
        <v>82.039090909090902</v>
      </c>
      <c r="L53" s="59">
        <f>IF($C$5*'Tariffs Jul2020'!AL47/'Tariffs Jul2020'!AJ47&lt;'Tariffs Jul2020'!K47,0,IF($C$5*'Tariffs Jul2020'!AL47/'Tariffs Jul2020'!AJ47&lt;='Tariffs Jul2020'!L47,($C$5*'Tariffs Jul2020'!AL47/'Tariffs Jul2020'!AJ47-'Tariffs Jul2020'!K47)*('Tariffs Jul2020'!W47/100)*'Tariffs Jul2020'!AJ47,('Tariffs Jul2020'!L47-'Tariffs Jul2020'!K47)*('Tariffs Jul2020'!W47/100)*'Tariffs Jul2020'!AJ47))</f>
        <v>0</v>
      </c>
      <c r="M53" s="59">
        <f>IF($C$5*'Tariffs Jul2020'!AL47/'Tariffs Jul2020'!AJ47&lt;'Tariffs Jul2020'!L47,0,IF($C$5*'Tariffs Jul2020'!AL47/'Tariffs Jul2020'!AJ47&lt;='Tariffs Jul2020'!M47,($C$5*'Tariffs Jul2020'!AL47/'Tariffs Jul2020'!AJ47-'Tariffs Jul2020'!L47)*('Tariffs Jul2020'!X47/100)*'Tariffs Jul2020'!AJ47,('Tariffs Jul2020'!M47-'Tariffs Jul2020'!L47)*('Tariffs Jul2020'!X47/100)*'Tariffs Jul2020'!AJ47))</f>
        <v>0</v>
      </c>
      <c r="N53" s="59">
        <f>IF(($C$5*'Tariffs Jul2020'!AL47/'Tariffs Jul2020'!AJ47&gt;'Tariffs Jul2020'!M47),($C$5*'Tariffs Jul2020'!AL47/'Tariffs Jul2020'!AJ47-'Tariffs Jul2020'!M47)*'Tariffs Jul2020'!Y47/100*'Tariffs Jul2020'!AJ47,0)</f>
        <v>386.59090909090912</v>
      </c>
      <c r="O53" s="59">
        <f>SUM(E53:N53)</f>
        <v>1166.9618181818182</v>
      </c>
      <c r="P53" s="503">
        <f t="shared" si="2"/>
        <v>1283.6580000000001</v>
      </c>
      <c r="Q53" s="59">
        <f>D53+O53</f>
        <v>1404.2118181818182</v>
      </c>
      <c r="R53" s="272">
        <f>Q53*1.1</f>
        <v>1544.6330000000003</v>
      </c>
      <c r="S53" s="40">
        <f>'Tariffs Jul2020'!AN47</f>
        <v>0</v>
      </c>
      <c r="T53" s="40">
        <f>'Tariffs Jul2020'!AO47</f>
        <v>0</v>
      </c>
      <c r="U53" s="40">
        <f>'Tariffs Jul2020'!AP47</f>
        <v>5</v>
      </c>
      <c r="V53" s="40">
        <f>'Tariffs Jul2020'!AQ47</f>
        <v>0</v>
      </c>
      <c r="W53" s="284">
        <f t="shared" ref="W53" si="22">Q53</f>
        <v>1404.2118181818182</v>
      </c>
      <c r="X53" s="284">
        <f>W53-(Q53*U53/100)</f>
        <v>1334.0012272727272</v>
      </c>
      <c r="Y53" s="507">
        <f t="shared" si="21"/>
        <v>1544.6330000000003</v>
      </c>
      <c r="Z53" s="507">
        <f t="shared" si="21"/>
        <v>1467.4013500000001</v>
      </c>
      <c r="AA53" s="274">
        <f>'Tariffs Jul2020'!AZ47</f>
        <v>0</v>
      </c>
      <c r="AB53" s="274" t="str">
        <f>'Tariffs Jul2020'!BA47</f>
        <v>n</v>
      </c>
      <c r="AC53" s="275" t="str">
        <f>'Tariffs Jul2020'!BJ47</f>
        <v>Y</v>
      </c>
      <c r="AD53" s="511"/>
      <c r="AE53" s="511"/>
      <c r="AF53" s="513"/>
      <c r="AG53" s="546"/>
      <c r="AH53" s="546"/>
      <c r="AI53" s="546"/>
      <c r="AJ53" s="546"/>
      <c r="AK53" s="546"/>
      <c r="AL53" s="546"/>
      <c r="AM53" s="546"/>
      <c r="AN53" s="546"/>
      <c r="AO53" s="546"/>
      <c r="AP53" s="546"/>
      <c r="AQ53" s="546"/>
      <c r="AR53" s="546"/>
      <c r="AS53" s="546"/>
      <c r="AT53" s="546"/>
      <c r="AU53" s="546"/>
      <c r="AV53" s="546"/>
      <c r="AW53" s="546"/>
      <c r="AX53" s="546"/>
      <c r="AY53" s="546"/>
      <c r="AZ53" s="546"/>
    </row>
    <row r="54" spans="1:52" ht="14" x14ac:dyDescent="0.15">
      <c r="A54" s="270" t="str">
        <f>'Tariffs Jul2020'!F48</f>
        <v>Amaysim</v>
      </c>
      <c r="B54" s="40" t="str">
        <f>'Tariffs Jul2020'!D48</f>
        <v>AGN North</v>
      </c>
      <c r="C54" s="40" t="str">
        <f>'Tariffs Jul2020'!G48</f>
        <v>Gas as you go</v>
      </c>
      <c r="D54" s="59">
        <f>365*'Tariffs Jul2020'!H48/100</f>
        <v>199.0564</v>
      </c>
      <c r="E54" s="59">
        <f>IF($C$5*'Tariffs Jul2020'!AK48/'Tariffs Jul2020'!AI48&gt;='Tariffs Jul2020'!J48,( 'Tariffs Jul2020'!J48*'Tariffs Jul2020'!O48/100)* 'Tariffs Jul2020'!AI48,($C$5*'Tariffs Jul2020'!AK48/'Tariffs Jul2020'!AI48*'Tariffs Jul2020'!O48/100)* 'Tariffs Jul2020'!AI48)</f>
        <v>125.8425</v>
      </c>
      <c r="F54" s="59">
        <f>IF($C$5*'Tariffs Jul2020'!AK48/'Tariffs Jul2020'!AI48&lt;'Tariffs Jul2020'!J48,0,IF($C$5*'Tariffs Jul2020'!AK48/'Tariffs Jul2020'!AI48&lt;='Tariffs Jul2020'!K48,($C$5*'Tariffs Jul2020'!AK48/'Tariffs Jul2020'!AI48-'Tariffs Jul2020'!J48)*('Tariffs Jul2020'!P48/100)*'Tariffs Jul2020'!AI48,('Tariffs Jul2020'!K48-'Tariffs Jul2020'!J48)*('Tariffs Jul2020'!P48/100)*'Tariffs Jul2020'!AI48))</f>
        <v>88.454400000000007</v>
      </c>
      <c r="G54" s="59">
        <f>IF($C$5*'Tariffs Jul2020'!AK48/'Tariffs Jul2020'!AI48&lt;'Tariffs Jul2020'!K48,0,IF($C$5*'Tariffs Jul2020'!AK48/'Tariffs Jul2020'!AI48&lt;='Tariffs Jul2020'!L48,($C$5*'Tariffs Jul2020'!AK48/'Tariffs Jul2020'!AI48-'Tariffs Jul2020'!K48)*('Tariffs Jul2020'!Q48/100)*'Tariffs Jul2020'!AI48,('Tariffs Jul2020'!L48-'Tariffs Jul2020'!K48)*('Tariffs Jul2020'!Q48/100)*'Tariffs Jul2020'!AI48))</f>
        <v>0</v>
      </c>
      <c r="H54" s="59">
        <f>IF($C$5*'Tariffs Jul2020'!AK48/'Tariffs Jul2020'!AI48&lt;'Tariffs Jul2020'!L48,0,IF($C$5*'Tariffs Jul2020'!AK48/'Tariffs Jul2020'!AI48&lt;='Tariffs Jul2020'!M48,($C$5*'Tariffs Jul2020'!AK48/'Tariffs Jul2020'!AI48-'Tariffs Jul2020'!L48)*('Tariffs Jul2020'!R48/100)*'Tariffs Jul2020'!AI48,('Tariffs Jul2020'!M48-'Tariffs Jul2020'!L48)*('Tariffs Jul2020'!R48/100)*'Tariffs Jul2020'!AI48))</f>
        <v>0</v>
      </c>
      <c r="I54" s="59">
        <f>IF(($C$5*'Tariffs Jul2020'!AK48/'Tariffs Jul2020'!AI48&gt;'Tariffs Jul2020'!M48),($C$5*'Tariffs Jul2020'!AK48/'Tariffs Jul2020'!AI48-'Tariffs Jul2020'!M48)*'Tariffs Jul2020'!S48/100*'Tariffs Jul2020'!AI48,0)</f>
        <v>428.40000000000003</v>
      </c>
      <c r="J54" s="59">
        <f>IF($C$5*'Tariffs Jul2020'!AL48/'Tariffs Jul2020'!AJ48&gt;='Tariffs Jul2020'!J48,('Tariffs Jul2020'!J48*'Tariffs Jul2020'!U48/100)* 'Tariffs Jul2020'!AJ48,($C$5*'Tariffs Jul2020'!AL48/'Tariffs Jul2020'!AJ48*'Tariffs Jul2020'!U48/100)* 'Tariffs Jul2020'!AJ48)</f>
        <v>125.8425</v>
      </c>
      <c r="K54" s="59">
        <f>IF($C$5*'Tariffs Jul2020'!AL48/'Tariffs Jul2020'!AJ48&lt;'Tariffs Jul2020'!J48,0,IF($C$5*'Tariffs Jul2020'!AL48/'Tariffs Jul2020'!AJ48&lt;='Tariffs Jul2020'!K48,($C$5*'Tariffs Jul2020'!AL48/'Tariffs Jul2020'!AJ48-'Tariffs Jul2020'!J48)*('Tariffs Jul2020'!V48/100)*'Tariffs Jul2020'!AJ48,('Tariffs Jul2020'!K48-'Tariffs Jul2020'!J48)*('Tariffs Jul2020'!V48/100)*'Tariffs Jul2020'!AJ48))</f>
        <v>88.454400000000007</v>
      </c>
      <c r="L54" s="59">
        <f>IF($C$5*'Tariffs Jul2020'!AL48/'Tariffs Jul2020'!AJ48&lt;'Tariffs Jul2020'!K48,0,IF($C$5*'Tariffs Jul2020'!AL48/'Tariffs Jul2020'!AJ48&lt;='Tariffs Jul2020'!L48,($C$5*'Tariffs Jul2020'!AL48/'Tariffs Jul2020'!AJ48-'Tariffs Jul2020'!K48)*('Tariffs Jul2020'!W48/100)*'Tariffs Jul2020'!AJ48,('Tariffs Jul2020'!L48-'Tariffs Jul2020'!K48)*('Tariffs Jul2020'!W48/100)*'Tariffs Jul2020'!AJ48))</f>
        <v>0</v>
      </c>
      <c r="M54" s="59">
        <f>IF($C$5*'Tariffs Jul2020'!AL48/'Tariffs Jul2020'!AJ48&lt;'Tariffs Jul2020'!L48,0,IF($C$5*'Tariffs Jul2020'!AL48/'Tariffs Jul2020'!AJ48&lt;='Tariffs Jul2020'!M48,($C$5*'Tariffs Jul2020'!AL48/'Tariffs Jul2020'!AJ48-'Tariffs Jul2020'!L48)*('Tariffs Jul2020'!X48/100)*'Tariffs Jul2020'!AJ48,('Tariffs Jul2020'!M48-'Tariffs Jul2020'!L48)*('Tariffs Jul2020'!X48/100)*'Tariffs Jul2020'!AJ48))</f>
        <v>0</v>
      </c>
      <c r="N54" s="59">
        <f>IF(($C$5*'Tariffs Jul2020'!AL48/'Tariffs Jul2020'!AJ48&gt;'Tariffs Jul2020'!M48),($C$5*'Tariffs Jul2020'!AL48/'Tariffs Jul2020'!AJ48-'Tariffs Jul2020'!M48)*'Tariffs Jul2020'!Y48/100*'Tariffs Jul2020'!AJ48,0)</f>
        <v>428.40000000000003</v>
      </c>
      <c r="O54" s="59">
        <f t="shared" si="1"/>
        <v>1285.3938000000001</v>
      </c>
      <c r="P54" s="503">
        <f t="shared" si="2"/>
        <v>1413.9331800000002</v>
      </c>
      <c r="Q54" s="59">
        <f t="shared" si="3"/>
        <v>1484.4502</v>
      </c>
      <c r="R54" s="272">
        <f t="shared" si="4"/>
        <v>1632.8952200000001</v>
      </c>
      <c r="S54" s="40">
        <f>'Tariffs Jul2020'!AN48</f>
        <v>0</v>
      </c>
      <c r="T54" s="40">
        <f>'Tariffs Jul2020'!AO48</f>
        <v>0</v>
      </c>
      <c r="U54" s="40">
        <f>'Tariffs Jul2020'!AP48</f>
        <v>0</v>
      </c>
      <c r="V54" s="40">
        <f>'Tariffs Jul2020'!AQ48</f>
        <v>0</v>
      </c>
      <c r="W54" s="284">
        <f>Q54</f>
        <v>1484.4502</v>
      </c>
      <c r="X54" s="284">
        <f>W54</f>
        <v>1484.4502</v>
      </c>
      <c r="Y54" s="507">
        <f t="shared" si="21"/>
        <v>1632.8952200000001</v>
      </c>
      <c r="Z54" s="507">
        <f t="shared" si="21"/>
        <v>1632.8952200000001</v>
      </c>
      <c r="AA54" s="274">
        <f>'Tariffs Jul2020'!AZ48</f>
        <v>0</v>
      </c>
      <c r="AB54" s="274" t="str">
        <f>'Tariffs Jul2020'!BA48</f>
        <v>n</v>
      </c>
      <c r="AC54" s="275" t="str">
        <f>'Tariffs Jul2020'!BJ48</f>
        <v>N</v>
      </c>
      <c r="AD54" s="511"/>
      <c r="AE54" s="511"/>
      <c r="AF54" s="513"/>
      <c r="AG54" s="546"/>
      <c r="AH54" s="546"/>
      <c r="AI54" s="546"/>
      <c r="AJ54" s="546"/>
      <c r="AK54" s="546"/>
      <c r="AL54" s="546"/>
      <c r="AM54" s="546"/>
      <c r="AN54" s="546"/>
      <c r="AO54" s="546"/>
      <c r="AP54" s="546"/>
      <c r="AQ54" s="546"/>
      <c r="AR54" s="546"/>
      <c r="AS54" s="546"/>
      <c r="AT54" s="546"/>
      <c r="AU54" s="546"/>
      <c r="AV54" s="546"/>
      <c r="AW54" s="546"/>
      <c r="AX54" s="546"/>
      <c r="AY54" s="546"/>
      <c r="AZ54" s="546"/>
    </row>
    <row r="55" spans="1:52" ht="14" x14ac:dyDescent="0.15">
      <c r="A55" s="270" t="str">
        <f>'Tariffs Jul2020'!F49</f>
        <v>GloBird Energy</v>
      </c>
      <c r="B55" s="40" t="str">
        <f>'Tariffs Jul2020'!D49</f>
        <v>AGN North</v>
      </c>
      <c r="C55" s="40" t="str">
        <f>'Tariffs Jul2020'!G49</f>
        <v>GloSave</v>
      </c>
      <c r="D55" s="59">
        <f>365*'Tariffs Jul2020'!H49/100</f>
        <v>208.05</v>
      </c>
      <c r="E55" s="59">
        <f>IF($C$5*'Tariffs Jul2020'!AK49/'Tariffs Jul2020'!AI49&gt;='Tariffs Jul2020'!J49,( 'Tariffs Jul2020'!J49*'Tariffs Jul2020'!O49/100)* 'Tariffs Jul2020'!AI49,($C$5*'Tariffs Jul2020'!AK49/'Tariffs Jul2020'!AI49*'Tariffs Jul2020'!O49/100)* 'Tariffs Jul2020'!AI49)</f>
        <v>155.45454545454544</v>
      </c>
      <c r="F55" s="59">
        <f>IF($C$5*'Tariffs Jul2020'!AK49/'Tariffs Jul2020'!AI49&lt;'Tariffs Jul2020'!J49,0,IF($C$5*'Tariffs Jul2020'!AK49/'Tariffs Jul2020'!AI49&lt;='Tariffs Jul2020'!K49,($C$5*'Tariffs Jul2020'!AK49/'Tariffs Jul2020'!AI49-'Tariffs Jul2020'!J49)*('Tariffs Jul2020'!P49/100)*'Tariffs Jul2020'!AI49,('Tariffs Jul2020'!K49-'Tariffs Jul2020'!J49)*('Tariffs Jul2020'!P49/100)*'Tariffs Jul2020'!AI49))</f>
        <v>0</v>
      </c>
      <c r="G55" s="59">
        <f>IF($C$5*'Tariffs Jul2020'!AK49/'Tariffs Jul2020'!AI49&lt;'Tariffs Jul2020'!K49,0,IF($C$5*'Tariffs Jul2020'!AK49/'Tariffs Jul2020'!AI49&lt;='Tariffs Jul2020'!L49,($C$5*'Tariffs Jul2020'!AK49/'Tariffs Jul2020'!AI49-'Tariffs Jul2020'!K49)*('Tariffs Jul2020'!Q49/100)*'Tariffs Jul2020'!AI49,('Tariffs Jul2020'!L49-'Tariffs Jul2020'!K49)*('Tariffs Jul2020'!Q49/100)*'Tariffs Jul2020'!AI49))</f>
        <v>0</v>
      </c>
      <c r="H55" s="59">
        <f>IF($C$5*'Tariffs Jul2020'!AK49/'Tariffs Jul2020'!AI49&lt;'Tariffs Jul2020'!L49,0,IF($C$5*'Tariffs Jul2020'!AK49/'Tariffs Jul2020'!AI49&lt;='Tariffs Jul2020'!M49,($C$5*'Tariffs Jul2020'!AK49/'Tariffs Jul2020'!AI49-'Tariffs Jul2020'!L49)*('Tariffs Jul2020'!R49/100)*'Tariffs Jul2020'!AI49,('Tariffs Jul2020'!M49-'Tariffs Jul2020'!L49)*('Tariffs Jul2020'!R49/100)*'Tariffs Jul2020'!AI49))</f>
        <v>0</v>
      </c>
      <c r="I55" s="59">
        <f>IF(($C$5*'Tariffs Jul2020'!AK49/'Tariffs Jul2020'!AI49&gt;'Tariffs Jul2020'!M49),($C$5*'Tariffs Jul2020'!AK49/'Tariffs Jul2020'!AI49-'Tariffs Jul2020'!M49)*'Tariffs Jul2020'!S49/100*'Tariffs Jul2020'!AI49,0)</f>
        <v>388.63636363636363</v>
      </c>
      <c r="J55" s="59">
        <f>IF($C$5*'Tariffs Jul2020'!AL49/'Tariffs Jul2020'!AJ49&gt;='Tariffs Jul2020'!J49,('Tariffs Jul2020'!J49*'Tariffs Jul2020'!U49/100)* 'Tariffs Jul2020'!AJ49,($C$5*'Tariffs Jul2020'!AL49/'Tariffs Jul2020'!AJ49*'Tariffs Jul2020'!U49/100)* 'Tariffs Jul2020'!AJ49)</f>
        <v>155.45454545454544</v>
      </c>
      <c r="K55" s="59">
        <f>IF($C$5*'Tariffs Jul2020'!AL49/'Tariffs Jul2020'!AJ49&lt;'Tariffs Jul2020'!J49,0,IF($C$5*'Tariffs Jul2020'!AL49/'Tariffs Jul2020'!AJ49&lt;='Tariffs Jul2020'!K49,($C$5*'Tariffs Jul2020'!AL49/'Tariffs Jul2020'!AJ49-'Tariffs Jul2020'!J49)*('Tariffs Jul2020'!V49/100)*'Tariffs Jul2020'!AJ49,('Tariffs Jul2020'!K49-'Tariffs Jul2020'!J49)*('Tariffs Jul2020'!V49/100)*'Tariffs Jul2020'!AJ49))</f>
        <v>0</v>
      </c>
      <c r="L55" s="59">
        <f>IF($C$5*'Tariffs Jul2020'!AL49/'Tariffs Jul2020'!AJ49&lt;'Tariffs Jul2020'!K49,0,IF($C$5*'Tariffs Jul2020'!AL49/'Tariffs Jul2020'!AJ49&lt;='Tariffs Jul2020'!L49,($C$5*'Tariffs Jul2020'!AL49/'Tariffs Jul2020'!AJ49-'Tariffs Jul2020'!K49)*('Tariffs Jul2020'!W49/100)*'Tariffs Jul2020'!AJ49,('Tariffs Jul2020'!L49-'Tariffs Jul2020'!K49)*('Tariffs Jul2020'!W49/100)*'Tariffs Jul2020'!AJ49))</f>
        <v>0</v>
      </c>
      <c r="M55" s="59">
        <f>IF($C$5*'Tariffs Jul2020'!AL49/'Tariffs Jul2020'!AJ49&lt;'Tariffs Jul2020'!L49,0,IF($C$5*'Tariffs Jul2020'!AL49/'Tariffs Jul2020'!AJ49&lt;='Tariffs Jul2020'!M49,($C$5*'Tariffs Jul2020'!AL49/'Tariffs Jul2020'!AJ49-'Tariffs Jul2020'!L49)*('Tariffs Jul2020'!X49/100)*'Tariffs Jul2020'!AJ49,('Tariffs Jul2020'!M49-'Tariffs Jul2020'!L49)*('Tariffs Jul2020'!X49/100)*'Tariffs Jul2020'!AJ49))</f>
        <v>0</v>
      </c>
      <c r="N55" s="59">
        <f>IF(($C$5*'Tariffs Jul2020'!AL49/'Tariffs Jul2020'!AJ49&gt;'Tariffs Jul2020'!M49),($C$5*'Tariffs Jul2020'!AL49/'Tariffs Jul2020'!AJ49-'Tariffs Jul2020'!M49)*'Tariffs Jul2020'!Y49/100*'Tariffs Jul2020'!AJ49,0)</f>
        <v>388.63636363636363</v>
      </c>
      <c r="O55" s="59">
        <f t="shared" si="1"/>
        <v>1088.181818181818</v>
      </c>
      <c r="P55" s="503">
        <f t="shared" si="2"/>
        <v>1197</v>
      </c>
      <c r="Q55" s="59">
        <f t="shared" si="3"/>
        <v>1296.231818181818</v>
      </c>
      <c r="R55" s="272">
        <f t="shared" si="4"/>
        <v>1425.8549999999998</v>
      </c>
      <c r="S55" s="40">
        <f>'Tariffs Jul2020'!AN49</f>
        <v>0</v>
      </c>
      <c r="T55" s="40">
        <f>'Tariffs Jul2020'!AO49</f>
        <v>0</v>
      </c>
      <c r="U55" s="40">
        <f>'Tariffs Jul2020'!AP49</f>
        <v>0</v>
      </c>
      <c r="V55" s="40">
        <f>'Tariffs Jul2020'!AQ49</f>
        <v>0</v>
      </c>
      <c r="W55" s="284">
        <f>Q55</f>
        <v>1296.231818181818</v>
      </c>
      <c r="X55" s="284">
        <f>W55</f>
        <v>1296.231818181818</v>
      </c>
      <c r="Y55" s="507">
        <f t="shared" si="21"/>
        <v>1425.8549999999998</v>
      </c>
      <c r="Z55" s="507">
        <f t="shared" si="21"/>
        <v>1425.8549999999998</v>
      </c>
      <c r="AA55" s="274">
        <f>'Tariffs Jul2020'!AZ49</f>
        <v>0</v>
      </c>
      <c r="AB55" s="274" t="str">
        <f>'Tariffs Jul2020'!BA49</f>
        <v>n</v>
      </c>
      <c r="AC55" s="275" t="str">
        <f>'Tariffs Jul2020'!BJ49</f>
        <v>N</v>
      </c>
      <c r="AD55" s="511"/>
      <c r="AE55" s="511"/>
      <c r="AF55" s="513"/>
      <c r="AG55" s="546"/>
      <c r="AH55" s="546"/>
      <c r="AI55" s="546"/>
      <c r="AJ55" s="546"/>
      <c r="AK55" s="546"/>
      <c r="AL55" s="546"/>
      <c r="AM55" s="546"/>
      <c r="AN55" s="546"/>
      <c r="AO55" s="546"/>
      <c r="AP55" s="546"/>
      <c r="AQ55" s="546"/>
      <c r="AR55" s="546"/>
      <c r="AS55" s="546"/>
      <c r="AT55" s="546"/>
      <c r="AU55" s="546"/>
      <c r="AV55" s="546"/>
      <c r="AW55" s="546"/>
      <c r="AX55" s="546"/>
      <c r="AY55" s="546"/>
      <c r="AZ55" s="546"/>
    </row>
    <row r="56" spans="1:52" ht="14" x14ac:dyDescent="0.15">
      <c r="A56" s="270" t="str">
        <f>'Tariffs Jul2020'!F50</f>
        <v>Powershop</v>
      </c>
      <c r="B56" s="40" t="str">
        <f>'Tariffs Jul2020'!D50</f>
        <v>AGN North</v>
      </c>
      <c r="C56" s="40" t="str">
        <f>'Tariffs Jul2020'!G50</f>
        <v>Shopper with Gas Saver</v>
      </c>
      <c r="D56" s="59">
        <f>365*'Tariffs Jul2020'!H50/100</f>
        <v>265.18909090909091</v>
      </c>
      <c r="E56" s="59">
        <f>((C$5*'Tariffs Jul2020'!AK50/'Tariffs Jul2020'!AI50)*('Tariffs Jul2020'!O50/100))*'Tariffs Jul2020'!AI50</f>
        <v>598.49999999999989</v>
      </c>
      <c r="F56" s="59">
        <v>0</v>
      </c>
      <c r="G56" s="59">
        <v>0</v>
      </c>
      <c r="H56" s="59">
        <v>0</v>
      </c>
      <c r="I56" s="59">
        <v>0</v>
      </c>
      <c r="J56" s="59">
        <f>((C$5*'Tariffs Jul2020'!AL50/'Tariffs Jul2020'!AJ50)*('Tariffs Jul2020'!U50/100))*'Tariffs Jul2020'!AJ50</f>
        <v>598.49999999999989</v>
      </c>
      <c r="K56" s="59">
        <v>0</v>
      </c>
      <c r="L56" s="59">
        <v>0</v>
      </c>
      <c r="M56" s="59">
        <v>0</v>
      </c>
      <c r="N56" s="59">
        <v>0</v>
      </c>
      <c r="O56" s="59">
        <f t="shared" si="1"/>
        <v>1196.9999999999998</v>
      </c>
      <c r="P56" s="503">
        <f t="shared" si="2"/>
        <v>1316.6999999999998</v>
      </c>
      <c r="Q56" s="59">
        <f t="shared" si="3"/>
        <v>1462.1890909090907</v>
      </c>
      <c r="R56" s="272">
        <f t="shared" si="4"/>
        <v>1608.4079999999999</v>
      </c>
      <c r="S56" s="40">
        <f>'Tariffs Jul2020'!AN50</f>
        <v>0</v>
      </c>
      <c r="T56" s="40">
        <f>'Tariffs Jul2020'!AO50</f>
        <v>0</v>
      </c>
      <c r="U56" s="40">
        <f>'Tariffs Jul2020'!AP50</f>
        <v>5</v>
      </c>
      <c r="V56" s="40">
        <f>'Tariffs Jul2020'!AQ50</f>
        <v>0</v>
      </c>
      <c r="W56" s="284">
        <f>R56</f>
        <v>1608.4079999999999</v>
      </c>
      <c r="X56" s="284">
        <f>W56-(W56*U56/100)</f>
        <v>1527.9875999999999</v>
      </c>
      <c r="Y56" s="507">
        <f>W56</f>
        <v>1608.4079999999999</v>
      </c>
      <c r="Z56" s="507">
        <f>X56</f>
        <v>1527.9875999999999</v>
      </c>
      <c r="AA56" s="274">
        <f>'Tariffs Jul2020'!AZ50</f>
        <v>0</v>
      </c>
      <c r="AB56" s="274" t="str">
        <f>'Tariffs Jul2020'!BA50</f>
        <v>n</v>
      </c>
      <c r="AC56" s="275" t="str">
        <f>'Tariffs Jul2020'!BJ50</f>
        <v>Y</v>
      </c>
      <c r="AD56" s="511"/>
      <c r="AE56" s="511"/>
      <c r="AF56" s="513"/>
      <c r="AG56" s="546"/>
      <c r="AH56" s="546"/>
      <c r="AI56" s="546"/>
      <c r="AJ56" s="546"/>
      <c r="AK56" s="546"/>
      <c r="AL56" s="546"/>
      <c r="AM56" s="546"/>
      <c r="AN56" s="546"/>
      <c r="AO56" s="546"/>
      <c r="AP56" s="546"/>
      <c r="AQ56" s="546"/>
      <c r="AR56" s="546"/>
      <c r="AS56" s="546"/>
      <c r="AT56" s="546"/>
      <c r="AU56" s="546"/>
      <c r="AV56" s="546"/>
      <c r="AW56" s="546"/>
      <c r="AX56" s="546"/>
      <c r="AY56" s="546"/>
      <c r="AZ56" s="546"/>
    </row>
    <row r="57" spans="1:52" ht="14" x14ac:dyDescent="0.15">
      <c r="A57" s="270" t="str">
        <f>'Tariffs Jul2020'!F51</f>
        <v>1st Energy</v>
      </c>
      <c r="B57" s="40" t="str">
        <f>'Tariffs Jul2020'!D51</f>
        <v>AGN North</v>
      </c>
      <c r="C57" s="40" t="str">
        <f>'Tariffs Jul2020'!G51</f>
        <v>1st Saver</v>
      </c>
      <c r="D57" s="59">
        <f>365*'Tariffs Jul2020'!H51/100</f>
        <v>266.45</v>
      </c>
      <c r="E57" s="59">
        <f>IF($C$5*'Tariffs Jul2020'!AK51/'Tariffs Jul2020'!AI51&gt;='Tariffs Jul2020'!J51,( 'Tariffs Jul2020'!J51*'Tariffs Jul2020'!O51/100)* 'Tariffs Jul2020'!AI51,($C$5*'Tariffs Jul2020'!AK51/'Tariffs Jul2020'!AI51*'Tariffs Jul2020'!O51/100)* 'Tariffs Jul2020'!AI51)</f>
        <v>135.03954545454545</v>
      </c>
      <c r="F57" s="59">
        <f>IF($C$5*'Tariffs Jul2020'!AK51/'Tariffs Jul2020'!AI51&lt;'Tariffs Jul2020'!J51,0,IF($C$5*'Tariffs Jul2020'!AK51/'Tariffs Jul2020'!AI51&lt;='Tariffs Jul2020'!K51,($C$5*'Tariffs Jul2020'!AK51/'Tariffs Jul2020'!AI51-'Tariffs Jul2020'!J51)*('Tariffs Jul2020'!P51/100)*'Tariffs Jul2020'!AI51,('Tariffs Jul2020'!K51-'Tariffs Jul2020'!J51)*('Tariffs Jul2020'!P51/100)*'Tariffs Jul2020'!AI51))</f>
        <v>98.299090909090907</v>
      </c>
      <c r="G57" s="59">
        <f>IF($C$5*'Tariffs Jul2020'!AK51/'Tariffs Jul2020'!AI51&lt;'Tariffs Jul2020'!K51,0,IF($C$5*'Tariffs Jul2020'!AK51/'Tariffs Jul2020'!AI51&lt;='Tariffs Jul2020'!L51,($C$5*'Tariffs Jul2020'!AK51/'Tariffs Jul2020'!AI51-'Tariffs Jul2020'!K51)*('Tariffs Jul2020'!Q51/100)*'Tariffs Jul2020'!AI51,('Tariffs Jul2020'!L51-'Tariffs Jul2020'!K51)*('Tariffs Jul2020'!Q51/100)*'Tariffs Jul2020'!AI51))</f>
        <v>0</v>
      </c>
      <c r="H57" s="59">
        <f>IF($C$5*'Tariffs Jul2020'!AK51/'Tariffs Jul2020'!AI51&lt;'Tariffs Jul2020'!L51,0,IF($C$5*'Tariffs Jul2020'!AK51/'Tariffs Jul2020'!AI51&lt;='Tariffs Jul2020'!M51,($C$5*'Tariffs Jul2020'!AK51/'Tariffs Jul2020'!AI51-'Tariffs Jul2020'!L51)*('Tariffs Jul2020'!R51/100)*'Tariffs Jul2020'!AI51,('Tariffs Jul2020'!M51-'Tariffs Jul2020'!L51)*('Tariffs Jul2020'!R51/100)*'Tariffs Jul2020'!AI51))</f>
        <v>0</v>
      </c>
      <c r="I57" s="59">
        <f>IF(($C$5*'Tariffs Jul2020'!AK51/'Tariffs Jul2020'!AI51&gt;'Tariffs Jul2020'!M51),($C$5*'Tariffs Jul2020'!AK51/'Tariffs Jul2020'!AI51-'Tariffs Jul2020'!M51)*'Tariffs Jul2020'!S51/100*'Tariffs Jul2020'!AI51,0)</f>
        <v>466.36363636363626</v>
      </c>
      <c r="J57" s="59">
        <f>IF($C$5*'Tariffs Jul2020'!AL51/'Tariffs Jul2020'!AJ51&gt;='Tariffs Jul2020'!J51,('Tariffs Jul2020'!J51*'Tariffs Jul2020'!U51/100)* 'Tariffs Jul2020'!AJ51,($C$5*'Tariffs Jul2020'!AL51/'Tariffs Jul2020'!AJ51*'Tariffs Jul2020'!U51/100)* 'Tariffs Jul2020'!AJ51)</f>
        <v>135.03954545454545</v>
      </c>
      <c r="K57" s="59">
        <f>IF($C$5*'Tariffs Jul2020'!AL51/'Tariffs Jul2020'!AJ51&lt;'Tariffs Jul2020'!J51,0,IF($C$5*'Tariffs Jul2020'!AL51/'Tariffs Jul2020'!AJ51&lt;='Tariffs Jul2020'!K51,($C$5*'Tariffs Jul2020'!AL51/'Tariffs Jul2020'!AJ51-'Tariffs Jul2020'!J51)*('Tariffs Jul2020'!V51/100)*'Tariffs Jul2020'!AJ51,('Tariffs Jul2020'!K51-'Tariffs Jul2020'!J51)*('Tariffs Jul2020'!V51/100)*'Tariffs Jul2020'!AJ51))</f>
        <v>98.299090909090907</v>
      </c>
      <c r="L57" s="59">
        <f>IF($C$5*'Tariffs Jul2020'!AL51/'Tariffs Jul2020'!AJ51&lt;'Tariffs Jul2020'!K51,0,IF($C$5*'Tariffs Jul2020'!AL51/'Tariffs Jul2020'!AJ51&lt;='Tariffs Jul2020'!L51,($C$5*'Tariffs Jul2020'!AL51/'Tariffs Jul2020'!AJ51-'Tariffs Jul2020'!K51)*('Tariffs Jul2020'!W51/100)*'Tariffs Jul2020'!AJ51,('Tariffs Jul2020'!L51-'Tariffs Jul2020'!K51)*('Tariffs Jul2020'!W51/100)*'Tariffs Jul2020'!AJ51))</f>
        <v>0</v>
      </c>
      <c r="M57" s="59">
        <f>IF($C$5*'Tariffs Jul2020'!AL51/'Tariffs Jul2020'!AJ51&lt;'Tariffs Jul2020'!L51,0,IF($C$5*'Tariffs Jul2020'!AL51/'Tariffs Jul2020'!AJ51&lt;='Tariffs Jul2020'!M51,($C$5*'Tariffs Jul2020'!AL51/'Tariffs Jul2020'!AJ51-'Tariffs Jul2020'!L51)*('Tariffs Jul2020'!X51/100)*'Tariffs Jul2020'!AJ51,('Tariffs Jul2020'!M51-'Tariffs Jul2020'!L51)*('Tariffs Jul2020'!X51/100)*'Tariffs Jul2020'!AJ51))</f>
        <v>0</v>
      </c>
      <c r="N57" s="59">
        <f>IF(($C$5*'Tariffs Jul2020'!AL51/'Tariffs Jul2020'!AJ51&gt;'Tariffs Jul2020'!M51),($C$5*'Tariffs Jul2020'!AL51/'Tariffs Jul2020'!AJ51-'Tariffs Jul2020'!M51)*'Tariffs Jul2020'!Y51/100*'Tariffs Jul2020'!AJ51,0)</f>
        <v>466.36363636363626</v>
      </c>
      <c r="O57" s="59">
        <f t="shared" si="1"/>
        <v>1399.4045454545453</v>
      </c>
      <c r="P57" s="503">
        <f t="shared" si="2"/>
        <v>1539.345</v>
      </c>
      <c r="Q57" s="59">
        <f t="shared" si="3"/>
        <v>1665.8545454545454</v>
      </c>
      <c r="R57" s="272">
        <f t="shared" si="4"/>
        <v>1832.44</v>
      </c>
      <c r="S57" s="40">
        <f>'Tariffs Jul2020'!AN51</f>
        <v>0</v>
      </c>
      <c r="T57" s="40">
        <f>'Tariffs Jul2020'!AO51</f>
        <v>0</v>
      </c>
      <c r="U57" s="40">
        <f>'Tariffs Jul2020'!AP51</f>
        <v>0</v>
      </c>
      <c r="V57" s="40">
        <f>'Tariffs Jul2020'!AQ51</f>
        <v>15</v>
      </c>
      <c r="W57" s="284">
        <f>Q57</f>
        <v>1665.8545454545454</v>
      </c>
      <c r="X57" s="284">
        <f>W57-(O57*V57/100)</f>
        <v>1455.9438636363636</v>
      </c>
      <c r="Y57" s="507">
        <f t="shared" ref="Y57:Z58" si="23">W57*1.1</f>
        <v>1832.44</v>
      </c>
      <c r="Z57" s="507">
        <f t="shared" si="23"/>
        <v>1601.5382500000001</v>
      </c>
      <c r="AA57" s="274">
        <f>'Tariffs Jul2020'!AZ51</f>
        <v>0</v>
      </c>
      <c r="AB57" s="274" t="str">
        <f>'Tariffs Jul2020'!BA51</f>
        <v>n</v>
      </c>
      <c r="AC57" s="275" t="str">
        <f>'Tariffs Jul2020'!BJ51</f>
        <v>Y</v>
      </c>
      <c r="AD57" s="511"/>
      <c r="AE57" s="511"/>
      <c r="AF57" s="513"/>
      <c r="AG57" s="546"/>
      <c r="AH57" s="546"/>
      <c r="AI57" s="546"/>
      <c r="AJ57" s="546"/>
      <c r="AK57" s="546"/>
      <c r="AL57" s="546"/>
      <c r="AM57" s="546"/>
      <c r="AN57" s="546"/>
      <c r="AO57" s="546"/>
      <c r="AP57" s="546"/>
      <c r="AQ57" s="546"/>
      <c r="AR57" s="546"/>
      <c r="AS57" s="546"/>
      <c r="AT57" s="546"/>
      <c r="AU57" s="546"/>
      <c r="AV57" s="546"/>
      <c r="AW57" s="546"/>
      <c r="AX57" s="546"/>
      <c r="AY57" s="546"/>
      <c r="AZ57" s="546"/>
    </row>
    <row r="58" spans="1:52" ht="15" thickBot="1" x14ac:dyDescent="0.2">
      <c r="A58" s="276" t="str">
        <f>'Tariffs Jul2020'!F52</f>
        <v>Kogan Energy</v>
      </c>
      <c r="B58" s="277" t="str">
        <f>'Tariffs Jul2020'!D52</f>
        <v>AGN North</v>
      </c>
      <c r="C58" s="277" t="str">
        <f>'Tariffs Jul2020'!G52</f>
        <v>Market offer</v>
      </c>
      <c r="D58" s="278">
        <f>365*'Tariffs Jul2020'!H52/100</f>
        <v>224.77363636363631</v>
      </c>
      <c r="E58" s="278">
        <f>((C$5*'Tariffs Jul2020'!AK52/'Tariffs Jul2020'!AI52)*('Tariffs Jul2020'!O52/100))*'Tariffs Jul2020'!AI52</f>
        <v>601.36363636363626</v>
      </c>
      <c r="F58" s="278">
        <v>0</v>
      </c>
      <c r="G58" s="278">
        <v>0</v>
      </c>
      <c r="H58" s="278">
        <v>0</v>
      </c>
      <c r="I58" s="278">
        <v>0</v>
      </c>
      <c r="J58" s="278">
        <f>((C$5*'Tariffs Jul2020'!AL52/'Tariffs Jul2020'!AJ52)*('Tariffs Jul2020'!U52/100))*'Tariffs Jul2020'!AJ52</f>
        <v>601.36363636363626</v>
      </c>
      <c r="K58" s="278">
        <v>0</v>
      </c>
      <c r="L58" s="278">
        <v>0</v>
      </c>
      <c r="M58" s="278">
        <v>0</v>
      </c>
      <c r="N58" s="278">
        <v>0</v>
      </c>
      <c r="O58" s="278">
        <f t="shared" si="1"/>
        <v>1202.7272727272725</v>
      </c>
      <c r="P58" s="504">
        <f t="shared" si="2"/>
        <v>1322.9999999999998</v>
      </c>
      <c r="Q58" s="278">
        <f t="shared" si="3"/>
        <v>1427.5009090909089</v>
      </c>
      <c r="R58" s="280">
        <f t="shared" si="4"/>
        <v>1570.251</v>
      </c>
      <c r="S58" s="277">
        <f>'Tariffs Jul2020'!AN52</f>
        <v>0</v>
      </c>
      <c r="T58" s="277">
        <f>'Tariffs Jul2020'!AO52</f>
        <v>0</v>
      </c>
      <c r="U58" s="277">
        <f>'Tariffs Jul2020'!AP52</f>
        <v>0</v>
      </c>
      <c r="V58" s="277">
        <f>'Tariffs Jul2020'!AQ52</f>
        <v>0</v>
      </c>
      <c r="W58" s="285">
        <f t="shared" ref="W58" si="24">Q58</f>
        <v>1427.5009090909089</v>
      </c>
      <c r="X58" s="285">
        <f t="shared" ref="X58:X69" si="25">W58</f>
        <v>1427.5009090909089</v>
      </c>
      <c r="Y58" s="508">
        <f t="shared" si="23"/>
        <v>1570.251</v>
      </c>
      <c r="Z58" s="508">
        <f t="shared" si="23"/>
        <v>1570.251</v>
      </c>
      <c r="AA58" s="282">
        <f>'Tariffs Jul2020'!AZ52</f>
        <v>0</v>
      </c>
      <c r="AB58" s="282" t="str">
        <f>'Tariffs Jul2020'!BA52</f>
        <v>n</v>
      </c>
      <c r="AC58" s="283" t="str">
        <f>'Tariffs Jul2020'!BJ52</f>
        <v>N</v>
      </c>
      <c r="AD58" s="511"/>
      <c r="AE58" s="511"/>
      <c r="AF58" s="513"/>
      <c r="AG58" s="546"/>
      <c r="AH58" s="546"/>
      <c r="AI58" s="546"/>
      <c r="AJ58" s="546"/>
      <c r="AK58" s="546"/>
      <c r="AL58" s="546"/>
      <c r="AM58" s="546"/>
      <c r="AN58" s="546"/>
      <c r="AO58" s="546"/>
      <c r="AP58" s="546"/>
      <c r="AQ58" s="546"/>
      <c r="AR58" s="546"/>
      <c r="AS58" s="546"/>
      <c r="AT58" s="546"/>
      <c r="AU58" s="546"/>
      <c r="AV58" s="546"/>
      <c r="AW58" s="546"/>
      <c r="AX58" s="546"/>
      <c r="AY58" s="546"/>
      <c r="AZ58" s="546"/>
    </row>
    <row r="59" spans="1:52" ht="15" thickTop="1" x14ac:dyDescent="0.15">
      <c r="A59" s="270" t="str">
        <f>'Tariffs Jul2020'!F53</f>
        <v>AGL</v>
      </c>
      <c r="B59" s="40" t="str">
        <f>'Tariffs Jul2020'!D53</f>
        <v>AGN Central 2</v>
      </c>
      <c r="C59" s="40" t="str">
        <f>'Tariffs Jul2020'!G53</f>
        <v>Essentials Saver</v>
      </c>
      <c r="D59" s="59">
        <f>365*'Tariffs Jul2020'!H53/100</f>
        <v>277.23409090909087</v>
      </c>
      <c r="E59" s="59">
        <f>IF($C$5*'Tariffs Jul2020'!AK53/'Tariffs Jul2020'!AI53&gt;='Tariffs Jul2020'!J53,( 'Tariffs Jul2020'!J53*'Tariffs Jul2020'!O53/100)* 'Tariffs Jul2020'!AI53,($C$5*'Tariffs Jul2020'!AK53/'Tariffs Jul2020'!AI53*'Tariffs Jul2020'!O53/100)* 'Tariffs Jul2020'!AI53)</f>
        <v>104.53227272727273</v>
      </c>
      <c r="F59" s="59">
        <f>IF($C$5*'Tariffs Jul2020'!AK53/'Tariffs Jul2020'!AI53&lt;'Tariffs Jul2020'!J53,0,IF($C$5*'Tariffs Jul2020'!AK53/'Tariffs Jul2020'!AI53&lt;='Tariffs Jul2020'!K53,($C$5*'Tariffs Jul2020'!AK53/'Tariffs Jul2020'!AI53-'Tariffs Jul2020'!J53)*('Tariffs Jul2020'!P53/100)*'Tariffs Jul2020'!AI53,('Tariffs Jul2020'!K53-'Tariffs Jul2020'!J53)*('Tariffs Jul2020'!P53/100)*'Tariffs Jul2020'!AI53))</f>
        <v>83.517272727272712</v>
      </c>
      <c r="G59" s="59">
        <f>IF($C$5*'Tariffs Jul2020'!AK53/'Tariffs Jul2020'!AI53&lt;'Tariffs Jul2020'!K53,0,IF($C$5*'Tariffs Jul2020'!AK53/'Tariffs Jul2020'!AI53&lt;='Tariffs Jul2020'!L53,($C$5*'Tariffs Jul2020'!AK53/'Tariffs Jul2020'!AI53-'Tariffs Jul2020'!K53)*('Tariffs Jul2020'!Q53/100)*'Tariffs Jul2020'!AI53,('Tariffs Jul2020'!L53-'Tariffs Jul2020'!K53)*('Tariffs Jul2020'!Q53/100)*'Tariffs Jul2020'!AI53))</f>
        <v>0</v>
      </c>
      <c r="H59" s="59">
        <f>IF($C$5*'Tariffs Jul2020'!AK53/'Tariffs Jul2020'!AI53&lt;'Tariffs Jul2020'!L53,0,IF($C$5*'Tariffs Jul2020'!AK53/'Tariffs Jul2020'!AI53&lt;='Tariffs Jul2020'!M53,($C$5*'Tariffs Jul2020'!AK53/'Tariffs Jul2020'!AI53-'Tariffs Jul2020'!L53)*('Tariffs Jul2020'!R53/100)*'Tariffs Jul2020'!AI53,('Tariffs Jul2020'!M53-'Tariffs Jul2020'!L53)*('Tariffs Jul2020'!R53/100)*'Tariffs Jul2020'!AI53))</f>
        <v>0</v>
      </c>
      <c r="I59" s="59">
        <f>IF(($C$5*'Tariffs Jul2020'!AK53/'Tariffs Jul2020'!AI53&gt;'Tariffs Jul2020'!M53),($C$5*'Tariffs Jul2020'!AK53/'Tariffs Jul2020'!AI53-'Tariffs Jul2020'!M53)*'Tariffs Jul2020'!S53/100*'Tariffs Jul2020'!AI53,0)</f>
        <v>315</v>
      </c>
      <c r="J59" s="59">
        <f>IF($C$5*'Tariffs Jul2020'!AL53/'Tariffs Jul2020'!AJ53&gt;='Tariffs Jul2020'!J53,('Tariffs Jul2020'!J53*'Tariffs Jul2020'!U53/100)* 'Tariffs Jul2020'!AJ53,($C$5*'Tariffs Jul2020'!AL53/'Tariffs Jul2020'!AJ53*'Tariffs Jul2020'!U53/100)* 'Tariffs Jul2020'!AJ53)</f>
        <v>104.53227272727273</v>
      </c>
      <c r="K59" s="59">
        <f>IF($C$5*'Tariffs Jul2020'!AL53/'Tariffs Jul2020'!AJ53&lt;'Tariffs Jul2020'!J53,0,IF($C$5*'Tariffs Jul2020'!AL53/'Tariffs Jul2020'!AJ53&lt;='Tariffs Jul2020'!K53,($C$5*'Tariffs Jul2020'!AL53/'Tariffs Jul2020'!AJ53-'Tariffs Jul2020'!J53)*('Tariffs Jul2020'!V53/100)*'Tariffs Jul2020'!AJ53,('Tariffs Jul2020'!K53-'Tariffs Jul2020'!J53)*('Tariffs Jul2020'!V53/100)*'Tariffs Jul2020'!AJ53))</f>
        <v>83.517272727272712</v>
      </c>
      <c r="L59" s="59">
        <f>IF($C$5*'Tariffs Jul2020'!AL53/'Tariffs Jul2020'!AJ53&lt;'Tariffs Jul2020'!K53,0,IF($C$5*'Tariffs Jul2020'!AL53/'Tariffs Jul2020'!AJ53&lt;='Tariffs Jul2020'!L53,($C$5*'Tariffs Jul2020'!AL53/'Tariffs Jul2020'!AJ53-'Tariffs Jul2020'!K53)*('Tariffs Jul2020'!W53/100)*'Tariffs Jul2020'!AJ53,('Tariffs Jul2020'!L53-'Tariffs Jul2020'!K53)*('Tariffs Jul2020'!W53/100)*'Tariffs Jul2020'!AJ53))</f>
        <v>0</v>
      </c>
      <c r="M59" s="59">
        <f>IF($C$5*'Tariffs Jul2020'!AL53/'Tariffs Jul2020'!AJ53&lt;'Tariffs Jul2020'!L53,0,IF($C$5*'Tariffs Jul2020'!AL53/'Tariffs Jul2020'!AJ53&lt;='Tariffs Jul2020'!M53,($C$5*'Tariffs Jul2020'!AL53/'Tariffs Jul2020'!AJ53-'Tariffs Jul2020'!L53)*('Tariffs Jul2020'!X53/100)*'Tariffs Jul2020'!AJ53,('Tariffs Jul2020'!M53-'Tariffs Jul2020'!L53)*('Tariffs Jul2020'!X53/100)*'Tariffs Jul2020'!AJ53))</f>
        <v>0</v>
      </c>
      <c r="N59" s="59">
        <f>IF(($C$5*'Tariffs Jul2020'!AL53/'Tariffs Jul2020'!AJ53&gt;'Tariffs Jul2020'!M53),($C$5*'Tariffs Jul2020'!AL53/'Tariffs Jul2020'!AJ53-'Tariffs Jul2020'!M53)*'Tariffs Jul2020'!Y53/100*'Tariffs Jul2020'!AJ53,0)</f>
        <v>315</v>
      </c>
      <c r="O59" s="59">
        <f t="shared" si="1"/>
        <v>1006.0990909090908</v>
      </c>
      <c r="P59" s="503">
        <f t="shared" si="2"/>
        <v>1106.7090000000001</v>
      </c>
      <c r="Q59" s="59">
        <f t="shared" si="3"/>
        <v>1283.3331818181816</v>
      </c>
      <c r="R59" s="272">
        <f t="shared" si="4"/>
        <v>1411.6664999999998</v>
      </c>
      <c r="S59" s="40">
        <f>'Tariffs Jul2020'!AN53</f>
        <v>0</v>
      </c>
      <c r="T59" s="40">
        <f>'Tariffs Jul2020'!AO53</f>
        <v>0</v>
      </c>
      <c r="U59" s="40">
        <f>'Tariffs Jul2020'!AP53</f>
        <v>0</v>
      </c>
      <c r="V59" s="40">
        <f>'Tariffs Jul2020'!AQ53</f>
        <v>0</v>
      </c>
      <c r="W59" s="284">
        <f>Q59</f>
        <v>1283.3331818181816</v>
      </c>
      <c r="X59" s="284">
        <f t="shared" si="25"/>
        <v>1283.3331818181816</v>
      </c>
      <c r="Y59" s="507">
        <f>W59*1.1</f>
        <v>1411.6664999999998</v>
      </c>
      <c r="Z59" s="507">
        <f>X59*1.1</f>
        <v>1411.6664999999998</v>
      </c>
      <c r="AA59" s="274">
        <f>'Tariffs Jul2020'!AZ53</f>
        <v>0</v>
      </c>
      <c r="AB59" s="274" t="str">
        <f>'Tariffs Jul2020'!BA53</f>
        <v>n</v>
      </c>
      <c r="AC59" s="275" t="str">
        <f>'Tariffs Jul2020'!BJ53</f>
        <v>N</v>
      </c>
      <c r="AD59" s="511"/>
      <c r="AE59" s="511"/>
      <c r="AF59" s="513"/>
      <c r="AG59" s="546"/>
      <c r="AH59" s="546"/>
      <c r="AI59" s="546"/>
      <c r="AJ59" s="546"/>
      <c r="AK59" s="546"/>
      <c r="AL59" s="546"/>
      <c r="AM59" s="546"/>
      <c r="AN59" s="546"/>
      <c r="AO59" s="546"/>
      <c r="AP59" s="546"/>
      <c r="AQ59" s="546"/>
      <c r="AR59" s="546"/>
      <c r="AS59" s="546"/>
      <c r="AT59" s="546"/>
      <c r="AU59" s="546"/>
      <c r="AV59" s="546"/>
      <c r="AW59" s="546"/>
      <c r="AX59" s="546"/>
      <c r="AY59" s="546"/>
      <c r="AZ59" s="546"/>
    </row>
    <row r="60" spans="1:52" ht="14" x14ac:dyDescent="0.15">
      <c r="A60" s="270" t="str">
        <f>'Tariffs Jul2020'!F54</f>
        <v>Alinta Energy</v>
      </c>
      <c r="B60" s="40" t="str">
        <f>'Tariffs Jul2020'!D54</f>
        <v>AGN Central 2</v>
      </c>
      <c r="C60" s="40" t="str">
        <f>'Tariffs Jul2020'!G54</f>
        <v>Home Deal</v>
      </c>
      <c r="D60" s="59">
        <f>365*'Tariffs Jul2020'!H54/100</f>
        <v>229.94999999999996</v>
      </c>
      <c r="E60" s="59">
        <f>IF($C$5*'Tariffs Jul2020'!AK54/'Tariffs Jul2020'!AI54&gt;='Tariffs Jul2020'!J54,( 'Tariffs Jul2020'!J54*'Tariffs Jul2020'!O54/100)* 'Tariffs Jul2020'!AI54,($C$5*'Tariffs Jul2020'!AK54/'Tariffs Jul2020'!AI54*'Tariffs Jul2020'!O54/100)* 'Tariffs Jul2020'!AI54)</f>
        <v>128.30999999999997</v>
      </c>
      <c r="F60" s="59">
        <f>IF($C$5*'Tariffs Jul2020'!AK54/'Tariffs Jul2020'!AI54&lt;'Tariffs Jul2020'!J54,0,IF($C$5*'Tariffs Jul2020'!AK54/'Tariffs Jul2020'!AI54&lt;='Tariffs Jul2020'!K54,($C$5*'Tariffs Jul2020'!AK54/'Tariffs Jul2020'!AI54-'Tariffs Jul2020'!J54)*('Tariffs Jul2020'!P54/100)*'Tariffs Jul2020'!AI54,('Tariffs Jul2020'!K54-'Tariffs Jul2020'!J54)*('Tariffs Jul2020'!P54/100)*'Tariffs Jul2020'!AI54))</f>
        <v>89.429999999999993</v>
      </c>
      <c r="G60" s="59">
        <f>IF($C$5*'Tariffs Jul2020'!AK54/'Tariffs Jul2020'!AI54&lt;'Tariffs Jul2020'!K54,0,IF($C$5*'Tariffs Jul2020'!AK54/'Tariffs Jul2020'!AI54&lt;='Tariffs Jul2020'!L54,($C$5*'Tariffs Jul2020'!AK54/'Tariffs Jul2020'!AI54-'Tariffs Jul2020'!K54)*('Tariffs Jul2020'!Q54/100)*'Tariffs Jul2020'!AI54,('Tariffs Jul2020'!L54-'Tariffs Jul2020'!K54)*('Tariffs Jul2020'!Q54/100)*'Tariffs Jul2020'!AI54))</f>
        <v>0</v>
      </c>
      <c r="H60" s="59">
        <f>IF($C$5*'Tariffs Jul2020'!AK54/'Tariffs Jul2020'!AI54&lt;'Tariffs Jul2020'!L54,0,IF($C$5*'Tariffs Jul2020'!AK54/'Tariffs Jul2020'!AI54&lt;='Tariffs Jul2020'!M54,($C$5*'Tariffs Jul2020'!AK54/'Tariffs Jul2020'!AI54-'Tariffs Jul2020'!L54)*('Tariffs Jul2020'!R54/100)*'Tariffs Jul2020'!AI54,('Tariffs Jul2020'!M54-'Tariffs Jul2020'!L54)*('Tariffs Jul2020'!R54/100)*'Tariffs Jul2020'!AI54))</f>
        <v>0</v>
      </c>
      <c r="I60" s="59">
        <f>IF(($C$5*'Tariffs Jul2020'!AK54/'Tariffs Jul2020'!AI54&gt;'Tariffs Jul2020'!M54),($C$5*'Tariffs Jul2020'!AK54/'Tariffs Jul2020'!AI54-'Tariffs Jul2020'!M54)*'Tariffs Jul2020'!S54/100*'Tariffs Jul2020'!AI54,0)</f>
        <v>382.5</v>
      </c>
      <c r="J60" s="59">
        <f>IF($C$5*'Tariffs Jul2020'!AL54/'Tariffs Jul2020'!AJ54&gt;='Tariffs Jul2020'!J54,('Tariffs Jul2020'!J54*'Tariffs Jul2020'!U54/100)* 'Tariffs Jul2020'!AJ54,($C$5*'Tariffs Jul2020'!AL54/'Tariffs Jul2020'!AJ54*'Tariffs Jul2020'!U54/100)* 'Tariffs Jul2020'!AJ54)</f>
        <v>128.30999999999997</v>
      </c>
      <c r="K60" s="59">
        <f>IF($C$5*'Tariffs Jul2020'!AL54/'Tariffs Jul2020'!AJ54&lt;'Tariffs Jul2020'!J54,0,IF($C$5*'Tariffs Jul2020'!AL54/'Tariffs Jul2020'!AJ54&lt;='Tariffs Jul2020'!K54,($C$5*'Tariffs Jul2020'!AL54/'Tariffs Jul2020'!AJ54-'Tariffs Jul2020'!J54)*('Tariffs Jul2020'!V54/100)*'Tariffs Jul2020'!AJ54,('Tariffs Jul2020'!K54-'Tariffs Jul2020'!J54)*('Tariffs Jul2020'!V54/100)*'Tariffs Jul2020'!AJ54))</f>
        <v>89.429999999999993</v>
      </c>
      <c r="L60" s="59">
        <f>IF($C$5*'Tariffs Jul2020'!AL54/'Tariffs Jul2020'!AJ54&lt;'Tariffs Jul2020'!K54,0,IF($C$5*'Tariffs Jul2020'!AL54/'Tariffs Jul2020'!AJ54&lt;='Tariffs Jul2020'!L54,($C$5*'Tariffs Jul2020'!AL54/'Tariffs Jul2020'!AJ54-'Tariffs Jul2020'!K54)*('Tariffs Jul2020'!W54/100)*'Tariffs Jul2020'!AJ54,('Tariffs Jul2020'!L54-'Tariffs Jul2020'!K54)*('Tariffs Jul2020'!W54/100)*'Tariffs Jul2020'!AJ54))</f>
        <v>0</v>
      </c>
      <c r="M60" s="59">
        <f>IF($C$5*'Tariffs Jul2020'!AL54/'Tariffs Jul2020'!AJ54&lt;'Tariffs Jul2020'!L54,0,IF($C$5*'Tariffs Jul2020'!AL54/'Tariffs Jul2020'!AJ54&lt;='Tariffs Jul2020'!M54,($C$5*'Tariffs Jul2020'!AL54/'Tariffs Jul2020'!AJ54-'Tariffs Jul2020'!L54)*('Tariffs Jul2020'!X54/100)*'Tariffs Jul2020'!AJ54,('Tariffs Jul2020'!M54-'Tariffs Jul2020'!L54)*('Tariffs Jul2020'!X54/100)*'Tariffs Jul2020'!AJ54))</f>
        <v>0</v>
      </c>
      <c r="N60" s="59">
        <f>IF(($C$5*'Tariffs Jul2020'!AL54/'Tariffs Jul2020'!AJ54&gt;'Tariffs Jul2020'!M54),($C$5*'Tariffs Jul2020'!AL54/'Tariffs Jul2020'!AJ54-'Tariffs Jul2020'!M54)*'Tariffs Jul2020'!Y54/100*'Tariffs Jul2020'!AJ54,0)</f>
        <v>382.5</v>
      </c>
      <c r="O60" s="59">
        <f t="shared" si="1"/>
        <v>1200.48</v>
      </c>
      <c r="P60" s="503">
        <f t="shared" si="2"/>
        <v>1320.528</v>
      </c>
      <c r="Q60" s="59">
        <f t="shared" si="3"/>
        <v>1430.43</v>
      </c>
      <c r="R60" s="272">
        <f t="shared" si="4"/>
        <v>1573.4730000000002</v>
      </c>
      <c r="S60" s="40">
        <f>'Tariffs Jul2020'!AN54</f>
        <v>0</v>
      </c>
      <c r="T60" s="40">
        <f>'Tariffs Jul2020'!AO54</f>
        <v>0</v>
      </c>
      <c r="U60" s="40">
        <f>'Tariffs Jul2020'!AP54</f>
        <v>0</v>
      </c>
      <c r="V60" s="40">
        <f>'Tariffs Jul2020'!AQ54</f>
        <v>0</v>
      </c>
      <c r="W60" s="284">
        <f>Q60</f>
        <v>1430.43</v>
      </c>
      <c r="X60" s="284">
        <f t="shared" si="25"/>
        <v>1430.43</v>
      </c>
      <c r="Y60" s="507">
        <f>W60*1.1</f>
        <v>1573.4730000000002</v>
      </c>
      <c r="Z60" s="507">
        <f t="shared" ref="Z60:Z66" si="26">X60*1.1</f>
        <v>1573.4730000000002</v>
      </c>
      <c r="AA60" s="274">
        <f>'Tariffs Jul2020'!AZ54</f>
        <v>0</v>
      </c>
      <c r="AB60" s="274" t="str">
        <f>'Tariffs Jul2020'!BA54</f>
        <v>n</v>
      </c>
      <c r="AC60" s="275" t="str">
        <f>'Tariffs Jul2020'!BJ54</f>
        <v>N</v>
      </c>
      <c r="AD60" s="511"/>
      <c r="AE60" s="511"/>
      <c r="AF60" s="513"/>
      <c r="AG60" s="546"/>
      <c r="AH60" s="546"/>
      <c r="AI60" s="546"/>
      <c r="AJ60" s="546"/>
      <c r="AK60" s="546"/>
      <c r="AL60" s="546"/>
      <c r="AM60" s="546"/>
      <c r="AN60" s="546"/>
      <c r="AO60" s="546"/>
      <c r="AP60" s="546"/>
      <c r="AQ60" s="546"/>
      <c r="AR60" s="546"/>
      <c r="AS60" s="546"/>
      <c r="AT60" s="546"/>
      <c r="AU60" s="546"/>
      <c r="AV60" s="546"/>
      <c r="AW60" s="546"/>
      <c r="AX60" s="546"/>
      <c r="AY60" s="546"/>
      <c r="AZ60" s="546"/>
    </row>
    <row r="61" spans="1:52" ht="14" x14ac:dyDescent="0.15">
      <c r="A61" s="270" t="str">
        <f>'Tariffs Jul2020'!F55</f>
        <v>Click Energy</v>
      </c>
      <c r="B61" s="40" t="str">
        <f>'Tariffs Jul2020'!D55</f>
        <v>AGN Central 2</v>
      </c>
      <c r="C61" s="40" t="str">
        <f>'Tariffs Jul2020'!G55</f>
        <v>Flora</v>
      </c>
      <c r="D61" s="59">
        <f>365*'Tariffs Jul2020'!H55/100</f>
        <v>187.34454545454545</v>
      </c>
      <c r="E61" s="59">
        <f>IF($C$5*'Tariffs Jul2020'!AK55/'Tariffs Jul2020'!AI55&gt;='Tariffs Jul2020'!J55,( 'Tariffs Jul2020'!J55*'Tariffs Jul2020'!O55/100)* 'Tariffs Jul2020'!AI55,($C$5*'Tariffs Jul2020'!AK55/'Tariffs Jul2020'!AI55*'Tariffs Jul2020'!O55/100)* 'Tariffs Jul2020'!AI55)</f>
        <v>118.44</v>
      </c>
      <c r="F61" s="59">
        <f>IF($C$5*'Tariffs Jul2020'!AK55/'Tariffs Jul2020'!AI55&lt;'Tariffs Jul2020'!J55,0,IF($C$5*'Tariffs Jul2020'!AK55/'Tariffs Jul2020'!AI55&lt;='Tariffs Jul2020'!K55,($C$5*'Tariffs Jul2020'!AK55/'Tariffs Jul2020'!AI55-'Tariffs Jul2020'!J55)*('Tariffs Jul2020'!P55/100)*'Tariffs Jul2020'!AI55,('Tariffs Jul2020'!K55-'Tariffs Jul2020'!J55)*('Tariffs Jul2020'!P55/100)*'Tariffs Jul2020'!AI55))</f>
        <v>83.147727272727266</v>
      </c>
      <c r="G61" s="59">
        <f>IF($C$5*'Tariffs Jul2020'!AK55/'Tariffs Jul2020'!AI55&lt;'Tariffs Jul2020'!K55,0,IF($C$5*'Tariffs Jul2020'!AK55/'Tariffs Jul2020'!AI55&lt;='Tariffs Jul2020'!L55,($C$5*'Tariffs Jul2020'!AK55/'Tariffs Jul2020'!AI55-'Tariffs Jul2020'!K55)*('Tariffs Jul2020'!Q55/100)*'Tariffs Jul2020'!AI55,('Tariffs Jul2020'!L55-'Tariffs Jul2020'!K55)*('Tariffs Jul2020'!Q55/100)*'Tariffs Jul2020'!AI55))</f>
        <v>0</v>
      </c>
      <c r="H61" s="59">
        <f>IF($C$5*'Tariffs Jul2020'!AK55/'Tariffs Jul2020'!AI55&lt;'Tariffs Jul2020'!L55,0,IF($C$5*'Tariffs Jul2020'!AK55/'Tariffs Jul2020'!AI55&lt;='Tariffs Jul2020'!M55,($C$5*'Tariffs Jul2020'!AK55/'Tariffs Jul2020'!AI55-'Tariffs Jul2020'!L55)*('Tariffs Jul2020'!R55/100)*'Tariffs Jul2020'!AI55,('Tariffs Jul2020'!M55-'Tariffs Jul2020'!L55)*('Tariffs Jul2020'!R55/100)*'Tariffs Jul2020'!AI55))</f>
        <v>0</v>
      </c>
      <c r="I61" s="59">
        <f>IF(($C$5*'Tariffs Jul2020'!AK55/'Tariffs Jul2020'!AI55&gt;'Tariffs Jul2020'!M55),($C$5*'Tariffs Jul2020'!AK55/'Tariffs Jul2020'!AI55-'Tariffs Jul2020'!M55)*'Tariffs Jul2020'!S55/100*'Tariffs Jul2020'!AI55,0)</f>
        <v>396.81818181818176</v>
      </c>
      <c r="J61" s="59">
        <f>IF($C$5*'Tariffs Jul2020'!AL55/'Tariffs Jul2020'!AJ55&gt;='Tariffs Jul2020'!J55,('Tariffs Jul2020'!J55*'Tariffs Jul2020'!U55/100)* 'Tariffs Jul2020'!AJ55,($C$5*'Tariffs Jul2020'!AL55/'Tariffs Jul2020'!AJ55*'Tariffs Jul2020'!U55/100)* 'Tariffs Jul2020'!AJ55)</f>
        <v>118.44</v>
      </c>
      <c r="K61" s="59">
        <f>IF($C$5*'Tariffs Jul2020'!AL55/'Tariffs Jul2020'!AJ55&lt;'Tariffs Jul2020'!J55,0,IF($C$5*'Tariffs Jul2020'!AL55/'Tariffs Jul2020'!AJ55&lt;='Tariffs Jul2020'!K55,($C$5*'Tariffs Jul2020'!AL55/'Tariffs Jul2020'!AJ55-'Tariffs Jul2020'!J55)*('Tariffs Jul2020'!V55/100)*'Tariffs Jul2020'!AJ55,('Tariffs Jul2020'!K55-'Tariffs Jul2020'!J55)*('Tariffs Jul2020'!V55/100)*'Tariffs Jul2020'!AJ55))</f>
        <v>83.147727272727266</v>
      </c>
      <c r="L61" s="59">
        <f>IF($C$5*'Tariffs Jul2020'!AL55/'Tariffs Jul2020'!AJ55&lt;'Tariffs Jul2020'!K55,0,IF($C$5*'Tariffs Jul2020'!AL55/'Tariffs Jul2020'!AJ55&lt;='Tariffs Jul2020'!L55,($C$5*'Tariffs Jul2020'!AL55/'Tariffs Jul2020'!AJ55-'Tariffs Jul2020'!K55)*('Tariffs Jul2020'!W55/100)*'Tariffs Jul2020'!AJ55,('Tariffs Jul2020'!L55-'Tariffs Jul2020'!K55)*('Tariffs Jul2020'!W55/100)*'Tariffs Jul2020'!AJ55))</f>
        <v>0</v>
      </c>
      <c r="M61" s="59">
        <f>IF($C$5*'Tariffs Jul2020'!AL55/'Tariffs Jul2020'!AJ55&lt;'Tariffs Jul2020'!L55,0,IF($C$5*'Tariffs Jul2020'!AL55/'Tariffs Jul2020'!AJ55&lt;='Tariffs Jul2020'!M55,($C$5*'Tariffs Jul2020'!AL55/'Tariffs Jul2020'!AJ55-'Tariffs Jul2020'!L55)*('Tariffs Jul2020'!X55/100)*'Tariffs Jul2020'!AJ55,('Tariffs Jul2020'!M55-'Tariffs Jul2020'!L55)*('Tariffs Jul2020'!X55/100)*'Tariffs Jul2020'!AJ55))</f>
        <v>0</v>
      </c>
      <c r="N61" s="59">
        <f>IF(($C$5*'Tariffs Jul2020'!AL55/'Tariffs Jul2020'!AJ55&gt;'Tariffs Jul2020'!M55),($C$5*'Tariffs Jul2020'!AL55/'Tariffs Jul2020'!AJ55-'Tariffs Jul2020'!M55)*'Tariffs Jul2020'!Y55/100*'Tariffs Jul2020'!AJ55,0)</f>
        <v>396.81818181818176</v>
      </c>
      <c r="O61" s="59">
        <f t="shared" si="1"/>
        <v>1196.8118181818181</v>
      </c>
      <c r="P61" s="503">
        <f t="shared" si="2"/>
        <v>1316.4929999999999</v>
      </c>
      <c r="Q61" s="59">
        <f t="shared" si="3"/>
        <v>1384.1563636363635</v>
      </c>
      <c r="R61" s="272">
        <f t="shared" si="4"/>
        <v>1522.5719999999999</v>
      </c>
      <c r="S61" s="40">
        <f>'Tariffs Jul2020'!AN55</f>
        <v>0</v>
      </c>
      <c r="T61" s="40">
        <f>'Tariffs Jul2020'!AO55</f>
        <v>0</v>
      </c>
      <c r="U61" s="40">
        <f>'Tariffs Jul2020'!AP55</f>
        <v>0</v>
      </c>
      <c r="V61" s="40">
        <f>'Tariffs Jul2020'!AQ55</f>
        <v>0</v>
      </c>
      <c r="W61" s="284">
        <f>Q61</f>
        <v>1384.1563636363635</v>
      </c>
      <c r="X61" s="284">
        <f t="shared" si="25"/>
        <v>1384.1563636363635</v>
      </c>
      <c r="Y61" s="507">
        <f t="shared" ref="Y61:Y66" si="27">W61*1.1</f>
        <v>1522.5719999999999</v>
      </c>
      <c r="Z61" s="507">
        <f t="shared" si="26"/>
        <v>1522.5719999999999</v>
      </c>
      <c r="AA61" s="274">
        <f>'Tariffs Jul2020'!AZ55</f>
        <v>0</v>
      </c>
      <c r="AB61" s="274" t="str">
        <f>'Tariffs Jul2020'!BA55</f>
        <v>n</v>
      </c>
      <c r="AC61" s="275" t="str">
        <f>'Tariffs Jul2020'!BJ55</f>
        <v>N</v>
      </c>
      <c r="AD61" s="511"/>
      <c r="AE61" s="511"/>
      <c r="AF61" s="513"/>
      <c r="AG61" s="546"/>
      <c r="AH61" s="546"/>
      <c r="AI61" s="546"/>
      <c r="AJ61" s="546"/>
      <c r="AK61" s="546"/>
      <c r="AL61" s="546"/>
      <c r="AM61" s="546"/>
      <c r="AN61" s="546"/>
      <c r="AO61" s="546"/>
      <c r="AP61" s="546"/>
      <c r="AQ61" s="546"/>
      <c r="AR61" s="546"/>
      <c r="AS61" s="546"/>
      <c r="AT61" s="546"/>
      <c r="AU61" s="546"/>
      <c r="AV61" s="546"/>
      <c r="AW61" s="546"/>
      <c r="AX61" s="546"/>
      <c r="AY61" s="546"/>
      <c r="AZ61" s="546"/>
    </row>
    <row r="62" spans="1:52" ht="14" x14ac:dyDescent="0.15">
      <c r="A62" s="270" t="str">
        <f>'Tariffs Jul2020'!F56</f>
        <v>Covau</v>
      </c>
      <c r="B62" s="40" t="str">
        <f>'Tariffs Jul2020'!D56</f>
        <v>AGN Central 2</v>
      </c>
      <c r="C62" s="40" t="str">
        <f>'Tariffs Jul2020'!G56</f>
        <v>Smart Saver</v>
      </c>
      <c r="D62" s="59">
        <f>365*'Tariffs Jul2020'!H56/100</f>
        <v>273.75</v>
      </c>
      <c r="E62" s="59">
        <f>IF($C$5*'Tariffs Jul2020'!AK56/'Tariffs Jul2020'!AI56&gt;='Tariffs Jul2020'!J56,( 'Tariffs Jul2020'!J56*'Tariffs Jul2020'!O56/100)* 'Tariffs Jul2020'!AI56,($C$5*'Tariffs Jul2020'!AK56/'Tariffs Jul2020'!AI56*'Tariffs Jul2020'!O56/100)* 'Tariffs Jul2020'!AI56)</f>
        <v>156.57409090909093</v>
      </c>
      <c r="F62" s="59">
        <f>IF($C$5*'Tariffs Jul2020'!AK56/'Tariffs Jul2020'!AI56&lt;'Tariffs Jul2020'!J56,0,IF($C$5*'Tariffs Jul2020'!AK56/'Tariffs Jul2020'!AI56&lt;='Tariffs Jul2020'!K56,($C$5*'Tariffs Jul2020'!AK56/'Tariffs Jul2020'!AI56-'Tariffs Jul2020'!J56)*('Tariffs Jul2020'!P56/100)*'Tariffs Jul2020'!AI56,('Tariffs Jul2020'!K56-'Tariffs Jul2020'!J56)*('Tariffs Jul2020'!P56/100)*'Tariffs Jul2020'!AI56))</f>
        <v>101.625</v>
      </c>
      <c r="G62" s="59">
        <f>IF($C$5*'Tariffs Jul2020'!AK56/'Tariffs Jul2020'!AI56&lt;'Tariffs Jul2020'!K56,0,IF($C$5*'Tariffs Jul2020'!AK56/'Tariffs Jul2020'!AI56&lt;='Tariffs Jul2020'!L56,($C$5*'Tariffs Jul2020'!AK56/'Tariffs Jul2020'!AI56-'Tariffs Jul2020'!K56)*('Tariffs Jul2020'!Q56/100)*'Tariffs Jul2020'!AI56,('Tariffs Jul2020'!L56-'Tariffs Jul2020'!K56)*('Tariffs Jul2020'!Q56/100)*'Tariffs Jul2020'!AI56))</f>
        <v>0</v>
      </c>
      <c r="H62" s="59">
        <f>IF($C$5*'Tariffs Jul2020'!AK56/'Tariffs Jul2020'!AI56&lt;'Tariffs Jul2020'!L56,0,IF($C$5*'Tariffs Jul2020'!AK56/'Tariffs Jul2020'!AI56&lt;='Tariffs Jul2020'!M56,($C$5*'Tariffs Jul2020'!AK56/'Tariffs Jul2020'!AI56-'Tariffs Jul2020'!L56)*('Tariffs Jul2020'!R56/100)*'Tariffs Jul2020'!AI56,('Tariffs Jul2020'!M56-'Tariffs Jul2020'!L56)*('Tariffs Jul2020'!R56/100)*'Tariffs Jul2020'!AI56))</f>
        <v>0</v>
      </c>
      <c r="I62" s="59">
        <f>IF(($C$5*'Tariffs Jul2020'!AK56/'Tariffs Jul2020'!AI56&gt;'Tariffs Jul2020'!M56),($C$5*'Tariffs Jul2020'!AK56/'Tariffs Jul2020'!AI56-'Tariffs Jul2020'!M56)*'Tariffs Jul2020'!S56/100*'Tariffs Jul2020'!AI56,0)</f>
        <v>507.27272727272725</v>
      </c>
      <c r="J62" s="59">
        <f>IF($C$5*'Tariffs Jul2020'!AL56/'Tariffs Jul2020'!AJ56&gt;='Tariffs Jul2020'!J56,('Tariffs Jul2020'!J56*'Tariffs Jul2020'!U56/100)* 'Tariffs Jul2020'!AJ56,($C$5*'Tariffs Jul2020'!AL56/'Tariffs Jul2020'!AJ56*'Tariffs Jul2020'!U56/100)* 'Tariffs Jul2020'!AJ56)</f>
        <v>156.57409090909093</v>
      </c>
      <c r="K62" s="59">
        <f>IF($C$5*'Tariffs Jul2020'!AL56/'Tariffs Jul2020'!AJ56&lt;'Tariffs Jul2020'!J56,0,IF($C$5*'Tariffs Jul2020'!AL56/'Tariffs Jul2020'!AJ56&lt;='Tariffs Jul2020'!K56,($C$5*'Tariffs Jul2020'!AL56/'Tariffs Jul2020'!AJ56-'Tariffs Jul2020'!J56)*('Tariffs Jul2020'!V56/100)*'Tariffs Jul2020'!AJ56,('Tariffs Jul2020'!K56-'Tariffs Jul2020'!J56)*('Tariffs Jul2020'!V56/100)*'Tariffs Jul2020'!AJ56))</f>
        <v>101.625</v>
      </c>
      <c r="L62" s="59">
        <f>IF($C$5*'Tariffs Jul2020'!AL56/'Tariffs Jul2020'!AJ56&lt;'Tariffs Jul2020'!K56,0,IF($C$5*'Tariffs Jul2020'!AL56/'Tariffs Jul2020'!AJ56&lt;='Tariffs Jul2020'!L56,($C$5*'Tariffs Jul2020'!AL56/'Tariffs Jul2020'!AJ56-'Tariffs Jul2020'!K56)*('Tariffs Jul2020'!W56/100)*'Tariffs Jul2020'!AJ56,('Tariffs Jul2020'!L56-'Tariffs Jul2020'!K56)*('Tariffs Jul2020'!W56/100)*'Tariffs Jul2020'!AJ56))</f>
        <v>0</v>
      </c>
      <c r="M62" s="59">
        <f>IF($C$5*'Tariffs Jul2020'!AL56/'Tariffs Jul2020'!AJ56&lt;'Tariffs Jul2020'!L56,0,IF($C$5*'Tariffs Jul2020'!AL56/'Tariffs Jul2020'!AJ56&lt;='Tariffs Jul2020'!M56,($C$5*'Tariffs Jul2020'!AL56/'Tariffs Jul2020'!AJ56-'Tariffs Jul2020'!L56)*('Tariffs Jul2020'!X56/100)*'Tariffs Jul2020'!AJ56,('Tariffs Jul2020'!M56-'Tariffs Jul2020'!L56)*('Tariffs Jul2020'!X56/100)*'Tariffs Jul2020'!AJ56))</f>
        <v>0</v>
      </c>
      <c r="N62" s="59">
        <f>IF(($C$5*'Tariffs Jul2020'!AL56/'Tariffs Jul2020'!AJ56&gt;'Tariffs Jul2020'!M56),($C$5*'Tariffs Jul2020'!AL56/'Tariffs Jul2020'!AJ56-'Tariffs Jul2020'!M56)*'Tariffs Jul2020'!Y56/100*'Tariffs Jul2020'!AJ56,0)</f>
        <v>507.27272727272725</v>
      </c>
      <c r="O62" s="59">
        <f t="shared" si="1"/>
        <v>1530.9436363636364</v>
      </c>
      <c r="P62" s="503">
        <f t="shared" si="2"/>
        <v>1684.0380000000002</v>
      </c>
      <c r="Q62" s="59">
        <f t="shared" si="3"/>
        <v>1804.6936363636364</v>
      </c>
      <c r="R62" s="272">
        <f t="shared" si="4"/>
        <v>1985.1630000000002</v>
      </c>
      <c r="S62" s="40">
        <f>'Tariffs Jul2020'!AN56</f>
        <v>0</v>
      </c>
      <c r="T62" s="40">
        <f>'Tariffs Jul2020'!AO56</f>
        <v>16</v>
      </c>
      <c r="U62" s="40">
        <f>'Tariffs Jul2020'!AP56</f>
        <v>0</v>
      </c>
      <c r="V62" s="40">
        <f>'Tariffs Jul2020'!AQ56</f>
        <v>0</v>
      </c>
      <c r="W62" s="284">
        <f>Q62-(O62*T62/100)</f>
        <v>1559.7426545454546</v>
      </c>
      <c r="X62" s="284">
        <f t="shared" si="25"/>
        <v>1559.7426545454546</v>
      </c>
      <c r="Y62" s="507">
        <f t="shared" si="27"/>
        <v>1715.7169200000001</v>
      </c>
      <c r="Z62" s="507">
        <f t="shared" si="26"/>
        <v>1715.7169200000001</v>
      </c>
      <c r="AA62" s="274">
        <f>'Tariffs Jul2020'!AZ56</f>
        <v>0</v>
      </c>
      <c r="AB62" s="274" t="str">
        <f>'Tariffs Jul2020'!BA56</f>
        <v>n</v>
      </c>
      <c r="AC62" s="275" t="str">
        <f>'Tariffs Jul2020'!BJ56</f>
        <v>N</v>
      </c>
      <c r="AD62" s="511"/>
      <c r="AE62" s="511"/>
      <c r="AF62" s="513"/>
      <c r="AG62" s="546"/>
      <c r="AH62" s="546"/>
      <c r="AI62" s="546"/>
      <c r="AJ62" s="546"/>
      <c r="AK62" s="546"/>
      <c r="AL62" s="546"/>
      <c r="AM62" s="546"/>
      <c r="AN62" s="546"/>
      <c r="AO62" s="546"/>
      <c r="AP62" s="546"/>
      <c r="AQ62" s="546"/>
      <c r="AR62" s="546"/>
      <c r="AS62" s="546"/>
      <c r="AT62" s="546"/>
      <c r="AU62" s="546"/>
      <c r="AV62" s="546"/>
      <c r="AW62" s="546"/>
      <c r="AX62" s="546"/>
      <c r="AY62" s="546"/>
      <c r="AZ62" s="546"/>
    </row>
    <row r="63" spans="1:52" ht="14" x14ac:dyDescent="0.15">
      <c r="A63" s="270" t="str">
        <f>'Tariffs Jul2020'!F57</f>
        <v>Dodo Power &amp; Gas</v>
      </c>
      <c r="B63" s="40" t="str">
        <f>'Tariffs Jul2020'!D57</f>
        <v>AGN Central 2</v>
      </c>
      <c r="C63" s="40" t="str">
        <f>'Tariffs Jul2020'!G57</f>
        <v>Market offer</v>
      </c>
      <c r="D63" s="59">
        <f>365*'Tariffs Jul2020'!H57/100</f>
        <v>200.58409090909092</v>
      </c>
      <c r="E63" s="59">
        <f>IF($C$5*'Tariffs Jul2020'!AK57/'Tariffs Jul2020'!AI57&gt;='Tariffs Jul2020'!J57,( 'Tariffs Jul2020'!J57*'Tariffs Jul2020'!O57/100)* 'Tariffs Jul2020'!AI57,($C$5*'Tariffs Jul2020'!AK57/'Tariffs Jul2020'!AI57*'Tariffs Jul2020'!O57/100)* 'Tariffs Jul2020'!AI57)</f>
        <v>133.245</v>
      </c>
      <c r="F63" s="59">
        <f>IF($C$5*'Tariffs Jul2020'!AK57/'Tariffs Jul2020'!AI57&lt;'Tariffs Jul2020'!J57,0,IF($C$5*'Tariffs Jul2020'!AK57/'Tariffs Jul2020'!AI57&lt;='Tariffs Jul2020'!K57,($C$5*'Tariffs Jul2020'!AK57/'Tariffs Jul2020'!AI57-'Tariffs Jul2020'!J57)*('Tariffs Jul2020'!P57/100)*'Tariffs Jul2020'!AI57,('Tariffs Jul2020'!K57-'Tariffs Jul2020'!J57)*('Tariffs Jul2020'!P57/100)*'Tariffs Jul2020'!AI57))</f>
        <v>89.060454545454547</v>
      </c>
      <c r="G63" s="59">
        <f>IF($C$5*'Tariffs Jul2020'!AK57/'Tariffs Jul2020'!AI57&lt;'Tariffs Jul2020'!K57,0,IF($C$5*'Tariffs Jul2020'!AK57/'Tariffs Jul2020'!AI57&lt;='Tariffs Jul2020'!L57,($C$5*'Tariffs Jul2020'!AK57/'Tariffs Jul2020'!AI57-'Tariffs Jul2020'!K57)*('Tariffs Jul2020'!Q57/100)*'Tariffs Jul2020'!AI57,('Tariffs Jul2020'!L57-'Tariffs Jul2020'!K57)*('Tariffs Jul2020'!Q57/100)*'Tariffs Jul2020'!AI57))</f>
        <v>0</v>
      </c>
      <c r="H63" s="59">
        <f>IF($C$5*'Tariffs Jul2020'!AK57/'Tariffs Jul2020'!AI57&lt;'Tariffs Jul2020'!L57,0,IF($C$5*'Tariffs Jul2020'!AK57/'Tariffs Jul2020'!AI57&lt;='Tariffs Jul2020'!M57,($C$5*'Tariffs Jul2020'!AK57/'Tariffs Jul2020'!AI57-'Tariffs Jul2020'!L57)*('Tariffs Jul2020'!R57/100)*'Tariffs Jul2020'!AI57,('Tariffs Jul2020'!M57-'Tariffs Jul2020'!L57)*('Tariffs Jul2020'!R57/100)*'Tariffs Jul2020'!AI57))</f>
        <v>0</v>
      </c>
      <c r="I63" s="59">
        <f>IF(($C$5*'Tariffs Jul2020'!AK57/'Tariffs Jul2020'!AI57&gt;'Tariffs Jul2020'!M57),($C$5*'Tariffs Jul2020'!AK57/'Tariffs Jul2020'!AI57-'Tariffs Jul2020'!M57)*'Tariffs Jul2020'!S57/100*'Tariffs Jul2020'!AI57,0)</f>
        <v>423.40909090909088</v>
      </c>
      <c r="J63" s="59">
        <f>IF($C$5*'Tariffs Jul2020'!AL57/'Tariffs Jul2020'!AJ57&gt;='Tariffs Jul2020'!J57,('Tariffs Jul2020'!J57*'Tariffs Jul2020'!U57/100)* 'Tariffs Jul2020'!AJ57,($C$5*'Tariffs Jul2020'!AL57/'Tariffs Jul2020'!AJ57*'Tariffs Jul2020'!U57/100)* 'Tariffs Jul2020'!AJ57)</f>
        <v>133.245</v>
      </c>
      <c r="K63" s="59">
        <f>IF($C$5*'Tariffs Jul2020'!AL57/'Tariffs Jul2020'!AJ57&lt;'Tariffs Jul2020'!J57,0,IF($C$5*'Tariffs Jul2020'!AL57/'Tariffs Jul2020'!AJ57&lt;='Tariffs Jul2020'!K57,($C$5*'Tariffs Jul2020'!AL57/'Tariffs Jul2020'!AJ57-'Tariffs Jul2020'!J57)*('Tariffs Jul2020'!V57/100)*'Tariffs Jul2020'!AJ57,('Tariffs Jul2020'!K57-'Tariffs Jul2020'!J57)*('Tariffs Jul2020'!V57/100)*'Tariffs Jul2020'!AJ57))</f>
        <v>89.060454545454547</v>
      </c>
      <c r="L63" s="59">
        <f>IF($C$5*'Tariffs Jul2020'!AL57/'Tariffs Jul2020'!AJ57&lt;'Tariffs Jul2020'!K57,0,IF($C$5*'Tariffs Jul2020'!AL57/'Tariffs Jul2020'!AJ57&lt;='Tariffs Jul2020'!L57,($C$5*'Tariffs Jul2020'!AL57/'Tariffs Jul2020'!AJ57-'Tariffs Jul2020'!K57)*('Tariffs Jul2020'!W57/100)*'Tariffs Jul2020'!AJ57,('Tariffs Jul2020'!L57-'Tariffs Jul2020'!K57)*('Tariffs Jul2020'!W57/100)*'Tariffs Jul2020'!AJ57))</f>
        <v>0</v>
      </c>
      <c r="M63" s="59">
        <f>IF($C$5*'Tariffs Jul2020'!AL57/'Tariffs Jul2020'!AJ57&lt;'Tariffs Jul2020'!L57,0,IF($C$5*'Tariffs Jul2020'!AL57/'Tariffs Jul2020'!AJ57&lt;='Tariffs Jul2020'!M57,($C$5*'Tariffs Jul2020'!AL57/'Tariffs Jul2020'!AJ57-'Tariffs Jul2020'!L57)*('Tariffs Jul2020'!X57/100)*'Tariffs Jul2020'!AJ57,('Tariffs Jul2020'!M57-'Tariffs Jul2020'!L57)*('Tariffs Jul2020'!X57/100)*'Tariffs Jul2020'!AJ57))</f>
        <v>0</v>
      </c>
      <c r="N63" s="59">
        <f>IF(($C$5*'Tariffs Jul2020'!AL57/'Tariffs Jul2020'!AJ57&gt;'Tariffs Jul2020'!M57),($C$5*'Tariffs Jul2020'!AL57/'Tariffs Jul2020'!AJ57-'Tariffs Jul2020'!M57)*'Tariffs Jul2020'!Y57/100*'Tariffs Jul2020'!AJ57,0)</f>
        <v>423.40909090909088</v>
      </c>
      <c r="O63" s="59">
        <f t="shared" si="1"/>
        <v>1291.429090909091</v>
      </c>
      <c r="P63" s="503">
        <f t="shared" si="2"/>
        <v>1420.5720000000001</v>
      </c>
      <c r="Q63" s="59">
        <f t="shared" si="3"/>
        <v>1492.0131818181819</v>
      </c>
      <c r="R63" s="272">
        <f t="shared" si="4"/>
        <v>1641.2145000000003</v>
      </c>
      <c r="S63" s="40">
        <f>'Tariffs Jul2020'!AN57</f>
        <v>0</v>
      </c>
      <c r="T63" s="40">
        <f>'Tariffs Jul2020'!AO57</f>
        <v>0</v>
      </c>
      <c r="U63" s="40">
        <f>'Tariffs Jul2020'!AP57</f>
        <v>0</v>
      </c>
      <c r="V63" s="40">
        <f>'Tariffs Jul2020'!AQ57</f>
        <v>0</v>
      </c>
      <c r="W63" s="284">
        <f>Q63</f>
        <v>1492.0131818181819</v>
      </c>
      <c r="X63" s="284">
        <f t="shared" si="25"/>
        <v>1492.0131818181819</v>
      </c>
      <c r="Y63" s="507">
        <f t="shared" si="27"/>
        <v>1641.2145000000003</v>
      </c>
      <c r="Z63" s="507">
        <f t="shared" si="26"/>
        <v>1641.2145000000003</v>
      </c>
      <c r="AA63" s="274">
        <f>'Tariffs Jul2020'!AZ57</f>
        <v>0</v>
      </c>
      <c r="AB63" s="274" t="str">
        <f>'Tariffs Jul2020'!BA57</f>
        <v>n</v>
      </c>
      <c r="AC63" s="275" t="str">
        <f>'Tariffs Jul2020'!BJ57</f>
        <v>N</v>
      </c>
      <c r="AD63" s="511"/>
      <c r="AE63" s="511"/>
      <c r="AF63" s="513"/>
      <c r="AG63" s="546"/>
      <c r="AH63" s="546"/>
      <c r="AI63" s="546"/>
      <c r="AJ63" s="546"/>
      <c r="AK63" s="546"/>
      <c r="AL63" s="546"/>
      <c r="AM63" s="546"/>
      <c r="AN63" s="546"/>
      <c r="AO63" s="546"/>
      <c r="AP63" s="546"/>
      <c r="AQ63" s="546"/>
      <c r="AR63" s="546"/>
      <c r="AS63" s="546"/>
      <c r="AT63" s="546"/>
      <c r="AU63" s="546"/>
      <c r="AV63" s="546"/>
      <c r="AW63" s="546"/>
      <c r="AX63" s="546"/>
      <c r="AY63" s="546"/>
      <c r="AZ63" s="546"/>
    </row>
    <row r="64" spans="1:52" ht="14" x14ac:dyDescent="0.15">
      <c r="A64" s="270" t="str">
        <f>'Tariffs Jul2020'!F58</f>
        <v>EnergyAustralia</v>
      </c>
      <c r="B64" s="40" t="str">
        <f>'Tariffs Jul2020'!D58</f>
        <v>AGN Central 2</v>
      </c>
      <c r="C64" s="40" t="str">
        <f>'Tariffs Jul2020'!G58</f>
        <v>Total Plan</v>
      </c>
      <c r="D64" s="59">
        <f>365*'Tariffs Jul2020'!H58/100</f>
        <v>301.125</v>
      </c>
      <c r="E64" s="59">
        <f>IF($C$5*'Tariffs Jul2020'!AK58/'Tariffs Jul2020'!AI58&gt;='Tariffs Jul2020'!J58,( 'Tariffs Jul2020'!J58*'Tariffs Jul2020'!O58/100)* 'Tariffs Jul2020'!AI58,($C$5*'Tariffs Jul2020'!AK58/'Tariffs Jul2020'!AI58*'Tariffs Jul2020'!O58/100)* 'Tariffs Jul2020'!AI58)</f>
        <v>272.45454545454538</v>
      </c>
      <c r="F64" s="59">
        <f>IF($C$5*'Tariffs Jul2020'!AK58/'Tariffs Jul2020'!AI58&lt;'Tariffs Jul2020'!J58,0,IF($C$5*'Tariffs Jul2020'!AK58/'Tariffs Jul2020'!AI58&lt;='Tariffs Jul2020'!K58,($C$5*'Tariffs Jul2020'!AK58/'Tariffs Jul2020'!AI58-'Tariffs Jul2020'!J58)*('Tariffs Jul2020'!P58/100)*'Tariffs Jul2020'!AI58,('Tariffs Jul2020'!K58-'Tariffs Jul2020'!J58)*('Tariffs Jul2020'!P58/100)*'Tariffs Jul2020'!AI58))</f>
        <v>0</v>
      </c>
      <c r="G64" s="59">
        <f>IF($C$5*'Tariffs Jul2020'!AK58/'Tariffs Jul2020'!AI58&lt;'Tariffs Jul2020'!K58,0,IF($C$5*'Tariffs Jul2020'!AK58/'Tariffs Jul2020'!AI58&lt;='Tariffs Jul2020'!L58,($C$5*'Tariffs Jul2020'!AK58/'Tariffs Jul2020'!AI58-'Tariffs Jul2020'!K58)*('Tariffs Jul2020'!Q58/100)*'Tariffs Jul2020'!AI58,('Tariffs Jul2020'!L58-'Tariffs Jul2020'!K58)*('Tariffs Jul2020'!Q58/100)*'Tariffs Jul2020'!AI58))</f>
        <v>0</v>
      </c>
      <c r="H64" s="59">
        <f>IF($C$5*'Tariffs Jul2020'!AK58/'Tariffs Jul2020'!AI58&lt;'Tariffs Jul2020'!L58,0,IF($C$5*'Tariffs Jul2020'!AK58/'Tariffs Jul2020'!AI58&lt;='Tariffs Jul2020'!M58,($C$5*'Tariffs Jul2020'!AK58/'Tariffs Jul2020'!AI58-'Tariffs Jul2020'!L58)*('Tariffs Jul2020'!R58/100)*'Tariffs Jul2020'!AI58,('Tariffs Jul2020'!M58-'Tariffs Jul2020'!L58)*('Tariffs Jul2020'!R58/100)*'Tariffs Jul2020'!AI58))</f>
        <v>0</v>
      </c>
      <c r="I64" s="59">
        <f>IF(($C$5*'Tariffs Jul2020'!AK58/'Tariffs Jul2020'!AI58&gt;'Tariffs Jul2020'!M58),($C$5*'Tariffs Jul2020'!AK58/'Tariffs Jul2020'!AI58-'Tariffs Jul2020'!M58)*'Tariffs Jul2020'!S58/100*'Tariffs Jul2020'!AI58,0)</f>
        <v>456.13636363636363</v>
      </c>
      <c r="J64" s="59">
        <f>IF($C$5*'Tariffs Jul2020'!AL58/'Tariffs Jul2020'!AJ58&gt;='Tariffs Jul2020'!J58,('Tariffs Jul2020'!J58*'Tariffs Jul2020'!U58/100)* 'Tariffs Jul2020'!AJ58,($C$5*'Tariffs Jul2020'!AL58/'Tariffs Jul2020'!AJ58*'Tariffs Jul2020'!U58/100)* 'Tariffs Jul2020'!AJ58)</f>
        <v>272.45454545454538</v>
      </c>
      <c r="K64" s="59">
        <f>IF($C$5*'Tariffs Jul2020'!AL58/'Tariffs Jul2020'!AJ58&lt;'Tariffs Jul2020'!J58,0,IF($C$5*'Tariffs Jul2020'!AL58/'Tariffs Jul2020'!AJ58&lt;='Tariffs Jul2020'!K58,($C$5*'Tariffs Jul2020'!AL58/'Tariffs Jul2020'!AJ58-'Tariffs Jul2020'!J58)*('Tariffs Jul2020'!V58/100)*'Tariffs Jul2020'!AJ58,('Tariffs Jul2020'!K58-'Tariffs Jul2020'!J58)*('Tariffs Jul2020'!V58/100)*'Tariffs Jul2020'!AJ58))</f>
        <v>0</v>
      </c>
      <c r="L64" s="59">
        <f>IF($C$5*'Tariffs Jul2020'!AL58/'Tariffs Jul2020'!AJ58&lt;'Tariffs Jul2020'!K58,0,IF($C$5*'Tariffs Jul2020'!AL58/'Tariffs Jul2020'!AJ58&lt;='Tariffs Jul2020'!L58,($C$5*'Tariffs Jul2020'!AL58/'Tariffs Jul2020'!AJ58-'Tariffs Jul2020'!K58)*('Tariffs Jul2020'!W58/100)*'Tariffs Jul2020'!AJ58,('Tariffs Jul2020'!L58-'Tariffs Jul2020'!K58)*('Tariffs Jul2020'!W58/100)*'Tariffs Jul2020'!AJ58))</f>
        <v>0</v>
      </c>
      <c r="M64" s="59">
        <f>IF($C$5*'Tariffs Jul2020'!AL58/'Tariffs Jul2020'!AJ58&lt;'Tariffs Jul2020'!L58,0,IF($C$5*'Tariffs Jul2020'!AL58/'Tariffs Jul2020'!AJ58&lt;='Tariffs Jul2020'!M58,($C$5*'Tariffs Jul2020'!AL58/'Tariffs Jul2020'!AJ58-'Tariffs Jul2020'!L58)*('Tariffs Jul2020'!X58/100)*'Tariffs Jul2020'!AJ58,('Tariffs Jul2020'!M58-'Tariffs Jul2020'!L58)*('Tariffs Jul2020'!X58/100)*'Tariffs Jul2020'!AJ58))</f>
        <v>0</v>
      </c>
      <c r="N64" s="59">
        <f>IF(($C$5*'Tariffs Jul2020'!AL58/'Tariffs Jul2020'!AJ58&gt;'Tariffs Jul2020'!M58),($C$5*'Tariffs Jul2020'!AL58/'Tariffs Jul2020'!AJ58-'Tariffs Jul2020'!M58)*'Tariffs Jul2020'!Y58/100*'Tariffs Jul2020'!AJ58,0)</f>
        <v>456.13636363636363</v>
      </c>
      <c r="O64" s="59">
        <f t="shared" si="1"/>
        <v>1457.181818181818</v>
      </c>
      <c r="P64" s="503">
        <f t="shared" si="2"/>
        <v>1602.8999999999999</v>
      </c>
      <c r="Q64" s="59">
        <f t="shared" si="3"/>
        <v>1758.306818181818</v>
      </c>
      <c r="R64" s="272">
        <f t="shared" si="4"/>
        <v>1934.1375</v>
      </c>
      <c r="S64" s="40">
        <f>'Tariffs Jul2020'!AN58</f>
        <v>23</v>
      </c>
      <c r="T64" s="40">
        <f>'Tariffs Jul2020'!AO58</f>
        <v>0</v>
      </c>
      <c r="U64" s="40">
        <f>'Tariffs Jul2020'!AP58</f>
        <v>0</v>
      </c>
      <c r="V64" s="40">
        <f>'Tariffs Jul2020'!AQ58</f>
        <v>0</v>
      </c>
      <c r="W64" s="284">
        <f>Q64-(Q64*S64/100)</f>
        <v>1353.8962499999998</v>
      </c>
      <c r="X64" s="284">
        <f t="shared" si="25"/>
        <v>1353.8962499999998</v>
      </c>
      <c r="Y64" s="507">
        <f t="shared" si="27"/>
        <v>1489.2858749999998</v>
      </c>
      <c r="Z64" s="507">
        <f t="shared" si="26"/>
        <v>1489.2858749999998</v>
      </c>
      <c r="AA64" s="274">
        <f>'Tariffs Jul2020'!AZ58</f>
        <v>12</v>
      </c>
      <c r="AB64" s="274" t="str">
        <f>'Tariffs Jul2020'!BA58</f>
        <v>n</v>
      </c>
      <c r="AC64" s="275" t="str">
        <f>'Tariffs Jul2020'!BJ58</f>
        <v>N</v>
      </c>
      <c r="AD64" s="511"/>
      <c r="AE64" s="511"/>
      <c r="AF64" s="513"/>
      <c r="AG64" s="546"/>
      <c r="AH64" s="546"/>
      <c r="AI64" s="546"/>
      <c r="AJ64" s="546"/>
      <c r="AK64" s="546"/>
      <c r="AL64" s="546"/>
      <c r="AM64" s="546"/>
      <c r="AN64" s="546"/>
      <c r="AO64" s="546"/>
      <c r="AP64" s="546"/>
      <c r="AQ64" s="546"/>
      <c r="AR64" s="546"/>
      <c r="AS64" s="546"/>
      <c r="AT64" s="546"/>
      <c r="AU64" s="546"/>
      <c r="AV64" s="546"/>
      <c r="AW64" s="546"/>
      <c r="AX64" s="546"/>
      <c r="AY64" s="546"/>
      <c r="AZ64" s="546"/>
    </row>
    <row r="65" spans="1:52" ht="14" x14ac:dyDescent="0.15">
      <c r="A65" s="270" t="str">
        <f>'Tariffs Jul2020'!F59</f>
        <v>Lumo Energy</v>
      </c>
      <c r="B65" s="40" t="str">
        <f>'Tariffs Jul2020'!D59</f>
        <v>AGN Central 2</v>
      </c>
      <c r="C65" s="40" t="str">
        <f>'Tariffs Jul2020'!G59</f>
        <v>Basic</v>
      </c>
      <c r="D65" s="59">
        <f>365*'Tariffs Jul2020'!H59/100</f>
        <v>247.83499999999995</v>
      </c>
      <c r="E65" s="59">
        <f>IF($C$5*'Tariffs Jul2020'!AK59/'Tariffs Jul2020'!AI59&gt;='Tariffs Jul2020'!J59,( 'Tariffs Jul2020'!J59*'Tariffs Jul2020'!O59/100)* 'Tariffs Jul2020'!AI59,($C$5*'Tariffs Jul2020'!AK59/'Tariffs Jul2020'!AI59*'Tariffs Jul2020'!O59/100)* 'Tariffs Jul2020'!AI59)</f>
        <v>76.567272727272723</v>
      </c>
      <c r="F65" s="59">
        <f>IF($C$5*'Tariffs Jul2020'!AK59/'Tariffs Jul2020'!AI59&lt;'Tariffs Jul2020'!J59,0,IF($C$5*'Tariffs Jul2020'!AK59/'Tariffs Jul2020'!AI59&lt;='Tariffs Jul2020'!K59,($C$5*'Tariffs Jul2020'!AK59/'Tariffs Jul2020'!AI59-'Tariffs Jul2020'!J59)*('Tariffs Jul2020'!P59/100)*'Tariffs Jul2020'!AI59,('Tariffs Jul2020'!K59-'Tariffs Jul2020'!J59)*('Tariffs Jul2020'!P59/100)*'Tariffs Jul2020'!AI59))</f>
        <v>55.185454545454547</v>
      </c>
      <c r="G65" s="59">
        <f>IF($C$5*'Tariffs Jul2020'!AK59/'Tariffs Jul2020'!AI59&lt;'Tariffs Jul2020'!K59,0,IF($C$5*'Tariffs Jul2020'!AK59/'Tariffs Jul2020'!AI59&lt;='Tariffs Jul2020'!L59,($C$5*'Tariffs Jul2020'!AK59/'Tariffs Jul2020'!AI59-'Tariffs Jul2020'!K59)*('Tariffs Jul2020'!Q59/100)*'Tariffs Jul2020'!AI59,('Tariffs Jul2020'!L59-'Tariffs Jul2020'!K59)*('Tariffs Jul2020'!Q59/100)*'Tariffs Jul2020'!AI59))</f>
        <v>0</v>
      </c>
      <c r="H65" s="59">
        <f>IF($C$5*'Tariffs Jul2020'!AK59/'Tariffs Jul2020'!AI59&lt;'Tariffs Jul2020'!L59,0,IF($C$5*'Tariffs Jul2020'!AK59/'Tariffs Jul2020'!AI59&lt;='Tariffs Jul2020'!M59,($C$5*'Tariffs Jul2020'!AK59/'Tariffs Jul2020'!AI59-'Tariffs Jul2020'!L59)*('Tariffs Jul2020'!R59/100)*'Tariffs Jul2020'!AI59,('Tariffs Jul2020'!M59-'Tariffs Jul2020'!L59)*('Tariffs Jul2020'!R59/100)*'Tariffs Jul2020'!AI59))</f>
        <v>0</v>
      </c>
      <c r="I65" s="59">
        <f>IF(($C$5*'Tariffs Jul2020'!AK59/'Tariffs Jul2020'!AI59&gt;'Tariffs Jul2020'!M59),($C$5*'Tariffs Jul2020'!AK59/'Tariffs Jul2020'!AI59-'Tariffs Jul2020'!M59)*'Tariffs Jul2020'!S59/100*'Tariffs Jul2020'!AI59,0)</f>
        <v>261.7815272727272</v>
      </c>
      <c r="J65" s="59">
        <f>IF($C$5*'Tariffs Jul2020'!AL59/'Tariffs Jul2020'!AJ59&gt;='Tariffs Jul2020'!J59,('Tariffs Jul2020'!J59*'Tariffs Jul2020'!U59/100)* 'Tariffs Jul2020'!AJ59,($C$5*'Tariffs Jul2020'!AL59/'Tariffs Jul2020'!AJ59*'Tariffs Jul2020'!U59/100)* 'Tariffs Jul2020'!AJ59)</f>
        <v>153.13454545454545</v>
      </c>
      <c r="K65" s="59">
        <f>IF($C$5*'Tariffs Jul2020'!AL59/'Tariffs Jul2020'!AJ59&lt;'Tariffs Jul2020'!J59,0,IF($C$5*'Tariffs Jul2020'!AL59/'Tariffs Jul2020'!AJ59&lt;='Tariffs Jul2020'!K59,($C$5*'Tariffs Jul2020'!AL59/'Tariffs Jul2020'!AJ59-'Tariffs Jul2020'!J59)*('Tariffs Jul2020'!V59/100)*'Tariffs Jul2020'!AJ59,('Tariffs Jul2020'!K59-'Tariffs Jul2020'!J59)*('Tariffs Jul2020'!V59/100)*'Tariffs Jul2020'!AJ59))</f>
        <v>110.37090909090909</v>
      </c>
      <c r="L65" s="59">
        <f>IF($C$5*'Tariffs Jul2020'!AL59/'Tariffs Jul2020'!AJ59&lt;'Tariffs Jul2020'!K59,0,IF($C$5*'Tariffs Jul2020'!AL59/'Tariffs Jul2020'!AJ59&lt;='Tariffs Jul2020'!L59,($C$5*'Tariffs Jul2020'!AL59/'Tariffs Jul2020'!AJ59-'Tariffs Jul2020'!K59)*('Tariffs Jul2020'!W59/100)*'Tariffs Jul2020'!AJ59,('Tariffs Jul2020'!L59-'Tariffs Jul2020'!K59)*('Tariffs Jul2020'!W59/100)*'Tariffs Jul2020'!AJ59))</f>
        <v>0</v>
      </c>
      <c r="M65" s="59">
        <f>IF($C$5*'Tariffs Jul2020'!AL59/'Tariffs Jul2020'!AJ59&lt;'Tariffs Jul2020'!L59,0,IF($C$5*'Tariffs Jul2020'!AL59/'Tariffs Jul2020'!AJ59&lt;='Tariffs Jul2020'!M59,($C$5*'Tariffs Jul2020'!AL59/'Tariffs Jul2020'!AJ59-'Tariffs Jul2020'!L59)*('Tariffs Jul2020'!X59/100)*'Tariffs Jul2020'!AJ59,('Tariffs Jul2020'!M59-'Tariffs Jul2020'!L59)*('Tariffs Jul2020'!X59/100)*'Tariffs Jul2020'!AJ59))</f>
        <v>0</v>
      </c>
      <c r="N65" s="59">
        <f>IF(($C$5*'Tariffs Jul2020'!AL59/'Tariffs Jul2020'!AJ59&gt;'Tariffs Jul2020'!M59),($C$5*'Tariffs Jul2020'!AL59/'Tariffs Jul2020'!AJ59-'Tariffs Jul2020'!M59)*'Tariffs Jul2020'!Y59/100*'Tariffs Jul2020'!AJ59,0)</f>
        <v>523.56305454545441</v>
      </c>
      <c r="O65" s="59">
        <f t="shared" si="1"/>
        <v>1180.6027636363633</v>
      </c>
      <c r="P65" s="503">
        <f t="shared" si="2"/>
        <v>1298.6630399999997</v>
      </c>
      <c r="Q65" s="59">
        <f t="shared" si="3"/>
        <v>1428.4377636363633</v>
      </c>
      <c r="R65" s="272">
        <f t="shared" si="4"/>
        <v>1571.2815399999997</v>
      </c>
      <c r="S65" s="40">
        <f>'Tariffs Jul2020'!AN59</f>
        <v>0</v>
      </c>
      <c r="T65" s="40">
        <f>'Tariffs Jul2020'!AO59</f>
        <v>0</v>
      </c>
      <c r="U65" s="40">
        <f>'Tariffs Jul2020'!AP59</f>
        <v>0</v>
      </c>
      <c r="V65" s="40">
        <f>'Tariffs Jul2020'!AQ59</f>
        <v>0</v>
      </c>
      <c r="W65" s="284">
        <f>Q65</f>
        <v>1428.4377636363633</v>
      </c>
      <c r="X65" s="284">
        <f t="shared" si="25"/>
        <v>1428.4377636363633</v>
      </c>
      <c r="Y65" s="507">
        <f t="shared" si="27"/>
        <v>1571.2815399999997</v>
      </c>
      <c r="Z65" s="507">
        <f t="shared" si="26"/>
        <v>1571.2815399999997</v>
      </c>
      <c r="AA65" s="274">
        <f>'Tariffs Jul2020'!AZ59</f>
        <v>0</v>
      </c>
      <c r="AB65" s="274" t="str">
        <f>'Tariffs Jul2020'!BA59</f>
        <v>n</v>
      </c>
      <c r="AC65" s="275" t="str">
        <f>'Tariffs Jul2020'!BJ59</f>
        <v>N</v>
      </c>
      <c r="AD65" s="511"/>
      <c r="AE65" s="511"/>
      <c r="AF65" s="513"/>
      <c r="AG65" s="546"/>
      <c r="AH65" s="546"/>
      <c r="AI65" s="546"/>
      <c r="AJ65" s="546"/>
      <c r="AK65" s="546"/>
      <c r="AL65" s="546"/>
      <c r="AM65" s="546"/>
      <c r="AN65" s="546"/>
      <c r="AO65" s="546"/>
      <c r="AP65" s="546"/>
      <c r="AQ65" s="546"/>
      <c r="AR65" s="546"/>
      <c r="AS65" s="546"/>
      <c r="AT65" s="546"/>
      <c r="AU65" s="546"/>
      <c r="AV65" s="546"/>
      <c r="AW65" s="546"/>
      <c r="AX65" s="546"/>
      <c r="AY65" s="546"/>
      <c r="AZ65" s="546"/>
    </row>
    <row r="66" spans="1:52" ht="14" x14ac:dyDescent="0.15">
      <c r="A66" s="270" t="str">
        <f>'Tariffs Jul2020'!F60</f>
        <v>Momentum Energy</v>
      </c>
      <c r="B66" s="40" t="str">
        <f>'Tariffs Jul2020'!D60</f>
        <v>AGN Central 2</v>
      </c>
      <c r="C66" s="40" t="str">
        <f>'Tariffs Jul2020'!G60</f>
        <v>Market offer</v>
      </c>
      <c r="D66" s="59">
        <f>365*'Tariffs Jul2020'!H60/100</f>
        <v>289.04681818181814</v>
      </c>
      <c r="E66" s="59">
        <f>IF($C$5*'Tariffs Jul2020'!AK60/'Tariffs Jul2020'!AI60&gt;='Tariffs Jul2020'!J60,( 'Tariffs Jul2020'!J60*'Tariffs Jul2020'!O60/100)* 'Tariffs Jul2020'!AI60,($C$5*'Tariffs Jul2020'!AK60/'Tariffs Jul2020'!AI60*'Tariffs Jul2020'!O60/100)* 'Tariffs Jul2020'!AI60)</f>
        <v>79.558181818181808</v>
      </c>
      <c r="F66" s="59">
        <f>IF($C$5*'Tariffs Jul2020'!AK60/'Tariffs Jul2020'!AI60&lt;'Tariffs Jul2020'!J60,0,IF($C$5*'Tariffs Jul2020'!AK60/'Tariffs Jul2020'!AI60&lt;='Tariffs Jul2020'!K60,($C$5*'Tariffs Jul2020'!AK60/'Tariffs Jul2020'!AI60-'Tariffs Jul2020'!J60)*('Tariffs Jul2020'!P60/100)*'Tariffs Jul2020'!AI60,('Tariffs Jul2020'!K60-'Tariffs Jul2020'!J60)*('Tariffs Jul2020'!P60/100)*'Tariffs Jul2020'!AI60))</f>
        <v>55.678181818181812</v>
      </c>
      <c r="G66" s="59">
        <f>IF($C$5*'Tariffs Jul2020'!AK60/'Tariffs Jul2020'!AI60&lt;'Tariffs Jul2020'!K60,0,IF($C$5*'Tariffs Jul2020'!AK60/'Tariffs Jul2020'!AI60&lt;='Tariffs Jul2020'!L60,($C$5*'Tariffs Jul2020'!AK60/'Tariffs Jul2020'!AI60-'Tariffs Jul2020'!K60)*('Tariffs Jul2020'!Q60/100)*'Tariffs Jul2020'!AI60,('Tariffs Jul2020'!L60-'Tariffs Jul2020'!K60)*('Tariffs Jul2020'!Q60/100)*'Tariffs Jul2020'!AI60))</f>
        <v>0</v>
      </c>
      <c r="H66" s="59">
        <f>IF($C$5*'Tariffs Jul2020'!AK60/'Tariffs Jul2020'!AI60&lt;'Tariffs Jul2020'!L60,0,IF($C$5*'Tariffs Jul2020'!AK60/'Tariffs Jul2020'!AI60&lt;='Tariffs Jul2020'!M60,($C$5*'Tariffs Jul2020'!AK60/'Tariffs Jul2020'!AI60-'Tariffs Jul2020'!L60)*('Tariffs Jul2020'!R60/100)*'Tariffs Jul2020'!AI60,('Tariffs Jul2020'!M60-'Tariffs Jul2020'!L60)*('Tariffs Jul2020'!R60/100)*'Tariffs Jul2020'!AI60))</f>
        <v>0</v>
      </c>
      <c r="I66" s="59">
        <f>IF(($C$5*'Tariffs Jul2020'!AK60/'Tariffs Jul2020'!AI60&gt;'Tariffs Jul2020'!M60),($C$5*'Tariffs Jul2020'!AK60/'Tariffs Jul2020'!AI60-'Tariffs Jul2020'!M60)*'Tariffs Jul2020'!S60/100*'Tariffs Jul2020'!AI60,0)</f>
        <v>268.59875454545448</v>
      </c>
      <c r="J66" s="59">
        <f>IF($C$5*'Tariffs Jul2020'!AL60/'Tariffs Jul2020'!AJ60&gt;='Tariffs Jul2020'!J60,('Tariffs Jul2020'!J60*'Tariffs Jul2020'!U60/100)* 'Tariffs Jul2020'!AJ60,($C$5*'Tariffs Jul2020'!AL60/'Tariffs Jul2020'!AJ60*'Tariffs Jul2020'!U60/100)* 'Tariffs Jul2020'!AJ60)</f>
        <v>144.76</v>
      </c>
      <c r="K66" s="59">
        <f>IF($C$5*'Tariffs Jul2020'!AL60/'Tariffs Jul2020'!AJ60&lt;'Tariffs Jul2020'!J60,0,IF($C$5*'Tariffs Jul2020'!AL60/'Tariffs Jul2020'!AJ60&lt;='Tariffs Jul2020'!K60,($C$5*'Tariffs Jul2020'!AL60/'Tariffs Jul2020'!AJ60-'Tariffs Jul2020'!J60)*('Tariffs Jul2020'!V60/100)*'Tariffs Jul2020'!AJ60,('Tariffs Jul2020'!K60-'Tariffs Jul2020'!J60)*('Tariffs Jul2020'!V60/100)*'Tariffs Jul2020'!AJ60))</f>
        <v>100.51636363636364</v>
      </c>
      <c r="L66" s="59">
        <f>IF($C$5*'Tariffs Jul2020'!AL60/'Tariffs Jul2020'!AJ60&lt;'Tariffs Jul2020'!K60,0,IF($C$5*'Tariffs Jul2020'!AL60/'Tariffs Jul2020'!AJ60&lt;='Tariffs Jul2020'!L60,($C$5*'Tariffs Jul2020'!AL60/'Tariffs Jul2020'!AJ60-'Tariffs Jul2020'!K60)*('Tariffs Jul2020'!W60/100)*'Tariffs Jul2020'!AJ60,('Tariffs Jul2020'!L60-'Tariffs Jul2020'!K60)*('Tariffs Jul2020'!W60/100)*'Tariffs Jul2020'!AJ60))</f>
        <v>0</v>
      </c>
      <c r="M66" s="59">
        <f>IF($C$5*'Tariffs Jul2020'!AL60/'Tariffs Jul2020'!AJ60&lt;'Tariffs Jul2020'!L60,0,IF($C$5*'Tariffs Jul2020'!AL60/'Tariffs Jul2020'!AJ60&lt;='Tariffs Jul2020'!M60,($C$5*'Tariffs Jul2020'!AL60/'Tariffs Jul2020'!AJ60-'Tariffs Jul2020'!L60)*('Tariffs Jul2020'!X60/100)*'Tariffs Jul2020'!AJ60,('Tariffs Jul2020'!M60-'Tariffs Jul2020'!L60)*('Tariffs Jul2020'!X60/100)*'Tariffs Jul2020'!AJ60))</f>
        <v>0</v>
      </c>
      <c r="N66" s="59">
        <f>IF(($C$5*'Tariffs Jul2020'!AL60/'Tariffs Jul2020'!AJ60&gt;'Tariffs Jul2020'!M60),($C$5*'Tariffs Jul2020'!AL60/'Tariffs Jul2020'!AJ60-'Tariffs Jul2020'!M60)*'Tariffs Jul2020'!Y60/100*'Tariffs Jul2020'!AJ60,0)</f>
        <v>482.65969090909078</v>
      </c>
      <c r="O66" s="59">
        <f t="shared" si="1"/>
        <v>1131.7711727272724</v>
      </c>
      <c r="P66" s="503">
        <f t="shared" si="2"/>
        <v>1244.9482899999998</v>
      </c>
      <c r="Q66" s="59">
        <f t="shared" si="3"/>
        <v>1420.8179909090904</v>
      </c>
      <c r="R66" s="272">
        <f t="shared" si="4"/>
        <v>1562.8997899999997</v>
      </c>
      <c r="S66" s="40">
        <f>'Tariffs Jul2020'!AN60</f>
        <v>0</v>
      </c>
      <c r="T66" s="40">
        <f>'Tariffs Jul2020'!AO60</f>
        <v>0</v>
      </c>
      <c r="U66" s="40">
        <f>'Tariffs Jul2020'!AP60</f>
        <v>0</v>
      </c>
      <c r="V66" s="40">
        <f>'Tariffs Jul2020'!AQ60</f>
        <v>0</v>
      </c>
      <c r="W66" s="284">
        <f t="shared" ref="W66" si="28">Q66</f>
        <v>1420.8179909090904</v>
      </c>
      <c r="X66" s="284">
        <f t="shared" si="25"/>
        <v>1420.8179909090904</v>
      </c>
      <c r="Y66" s="507">
        <f t="shared" si="27"/>
        <v>1562.8997899999997</v>
      </c>
      <c r="Z66" s="507">
        <f t="shared" si="26"/>
        <v>1562.8997899999997</v>
      </c>
      <c r="AA66" s="274">
        <f>'Tariffs Jul2020'!AZ60</f>
        <v>0</v>
      </c>
      <c r="AB66" s="274" t="str">
        <f>'Tariffs Jul2020'!BA60</f>
        <v>n</v>
      </c>
      <c r="AC66" s="275" t="str">
        <f>'Tariffs Jul2020'!BJ60</f>
        <v>N</v>
      </c>
      <c r="AD66" s="511"/>
      <c r="AE66" s="511"/>
      <c r="AF66" s="513"/>
      <c r="AG66" s="546"/>
      <c r="AH66" s="546"/>
      <c r="AI66" s="546"/>
      <c r="AJ66" s="546"/>
      <c r="AK66" s="546"/>
      <c r="AL66" s="546"/>
      <c r="AM66" s="546"/>
      <c r="AN66" s="546"/>
      <c r="AO66" s="546"/>
      <c r="AP66" s="546"/>
      <c r="AQ66" s="546"/>
      <c r="AR66" s="546"/>
      <c r="AS66" s="546"/>
      <c r="AT66" s="546"/>
      <c r="AU66" s="546"/>
      <c r="AV66" s="546"/>
      <c r="AW66" s="546"/>
      <c r="AX66" s="546"/>
      <c r="AY66" s="546"/>
      <c r="AZ66" s="546"/>
    </row>
    <row r="67" spans="1:52" ht="14" x14ac:dyDescent="0.15">
      <c r="A67" s="270" t="str">
        <f>'Tariffs Jul2020'!F61</f>
        <v>Origin Energy</v>
      </c>
      <c r="B67" s="40" t="str">
        <f>'Tariffs Jul2020'!D61</f>
        <v>AGN Central 2</v>
      </c>
      <c r="C67" s="40" t="str">
        <f>'Tariffs Jul2020'!G61</f>
        <v>Flexi</v>
      </c>
      <c r="D67" s="59">
        <f>365*'Tariffs Jul2020'!H61/100</f>
        <v>251.85</v>
      </c>
      <c r="E67" s="59">
        <f>IF($C$5*'Tariffs Jul2020'!AK61/'Tariffs Jul2020'!AI61&gt;='Tariffs Jul2020'!J61,( 'Tariffs Jul2020'!J61*'Tariffs Jul2020'!O61/100)* 'Tariffs Jul2020'!AI61,($C$5*'Tariffs Jul2020'!AK61/'Tariffs Jul2020'!AI61*'Tariffs Jul2020'!O61/100)* 'Tariffs Jul2020'!AI61)</f>
        <v>396.00000000000011</v>
      </c>
      <c r="F67" s="59">
        <f>IF($C$5*'Tariffs Jul2020'!AK61/'Tariffs Jul2020'!AI61&lt;'Tariffs Jul2020'!J61,0,IF($C$5*'Tariffs Jul2020'!AK61/'Tariffs Jul2020'!AI61&lt;='Tariffs Jul2020'!K61,($C$5*'Tariffs Jul2020'!AK61/'Tariffs Jul2020'!AI61-'Tariffs Jul2020'!J61)*('Tariffs Jul2020'!P61/100)*'Tariffs Jul2020'!AI61,('Tariffs Jul2020'!K61-'Tariffs Jul2020'!J61)*('Tariffs Jul2020'!P61/100)*'Tariffs Jul2020'!AI61))</f>
        <v>283.5</v>
      </c>
      <c r="G67" s="59">
        <f>IF($C$5*'Tariffs Jul2020'!AK61/'Tariffs Jul2020'!AI61&lt;'Tariffs Jul2020'!K61,0,IF($C$5*'Tariffs Jul2020'!AK61/'Tariffs Jul2020'!AI61&lt;='Tariffs Jul2020'!L61,($C$5*'Tariffs Jul2020'!AK61/'Tariffs Jul2020'!AI61-'Tariffs Jul2020'!K61)*('Tariffs Jul2020'!Q61/100)*'Tariffs Jul2020'!AI61,('Tariffs Jul2020'!L61-'Tariffs Jul2020'!K61)*('Tariffs Jul2020'!Q61/100)*'Tariffs Jul2020'!AI61))</f>
        <v>0</v>
      </c>
      <c r="H67" s="59">
        <f>IF($C$5*'Tariffs Jul2020'!AK61/'Tariffs Jul2020'!AI61&lt;'Tariffs Jul2020'!L61,0,IF($C$5*'Tariffs Jul2020'!AK61/'Tariffs Jul2020'!AI61&lt;='Tariffs Jul2020'!M61,($C$5*'Tariffs Jul2020'!AK61/'Tariffs Jul2020'!AI61-'Tariffs Jul2020'!L61)*('Tariffs Jul2020'!R61/100)*'Tariffs Jul2020'!AI61,('Tariffs Jul2020'!M61-'Tariffs Jul2020'!L61)*('Tariffs Jul2020'!R61/100)*'Tariffs Jul2020'!AI61))</f>
        <v>0</v>
      </c>
      <c r="I67" s="59">
        <f>IF(($C$5*'Tariffs Jul2020'!AK61/'Tariffs Jul2020'!AI61&gt;'Tariffs Jul2020'!M61),($C$5*'Tariffs Jul2020'!AK61/'Tariffs Jul2020'!AI61-'Tariffs Jul2020'!M61)*'Tariffs Jul2020'!S61/100*'Tariffs Jul2020'!AI61,0)</f>
        <v>0</v>
      </c>
      <c r="J67" s="59">
        <f>IF($C$5*'Tariffs Jul2020'!AL61/'Tariffs Jul2020'!AJ61&gt;='Tariffs Jul2020'!J61,('Tariffs Jul2020'!J61*'Tariffs Jul2020'!U61/100)* 'Tariffs Jul2020'!AJ61,($C$5*'Tariffs Jul2020'!AL61/'Tariffs Jul2020'!AJ61*'Tariffs Jul2020'!U61/100)* 'Tariffs Jul2020'!AJ61)</f>
        <v>396.00000000000011</v>
      </c>
      <c r="K67" s="59">
        <f>IF($C$5*'Tariffs Jul2020'!AL61/'Tariffs Jul2020'!AJ61&lt;'Tariffs Jul2020'!J61,0,IF($C$5*'Tariffs Jul2020'!AL61/'Tariffs Jul2020'!AJ61&lt;='Tariffs Jul2020'!K61,($C$5*'Tariffs Jul2020'!AL61/'Tariffs Jul2020'!AJ61-'Tariffs Jul2020'!J61)*('Tariffs Jul2020'!V61/100)*'Tariffs Jul2020'!AJ61,('Tariffs Jul2020'!K61-'Tariffs Jul2020'!J61)*('Tariffs Jul2020'!V61/100)*'Tariffs Jul2020'!AJ61))</f>
        <v>283.5</v>
      </c>
      <c r="L67" s="59">
        <f>IF($C$5*'Tariffs Jul2020'!AL61/'Tariffs Jul2020'!AJ61&lt;'Tariffs Jul2020'!K61,0,IF($C$5*'Tariffs Jul2020'!AL61/'Tariffs Jul2020'!AJ61&lt;='Tariffs Jul2020'!L61,($C$5*'Tariffs Jul2020'!AL61/'Tariffs Jul2020'!AJ61-'Tariffs Jul2020'!K61)*('Tariffs Jul2020'!W61/100)*'Tariffs Jul2020'!AJ61,('Tariffs Jul2020'!L61-'Tariffs Jul2020'!K61)*('Tariffs Jul2020'!W61/100)*'Tariffs Jul2020'!AJ61))</f>
        <v>0</v>
      </c>
      <c r="M67" s="59">
        <f>IF($C$5*'Tariffs Jul2020'!AL61/'Tariffs Jul2020'!AJ61&lt;'Tariffs Jul2020'!L61,0,IF($C$5*'Tariffs Jul2020'!AL61/'Tariffs Jul2020'!AJ61&lt;='Tariffs Jul2020'!M61,($C$5*'Tariffs Jul2020'!AL61/'Tariffs Jul2020'!AJ61-'Tariffs Jul2020'!L61)*('Tariffs Jul2020'!X61/100)*'Tariffs Jul2020'!AJ61,('Tariffs Jul2020'!M61-'Tariffs Jul2020'!L61)*('Tariffs Jul2020'!X61/100)*'Tariffs Jul2020'!AJ61))</f>
        <v>0</v>
      </c>
      <c r="N67" s="59">
        <f>IF(($C$5*'Tariffs Jul2020'!AL61/'Tariffs Jul2020'!AJ61&gt;'Tariffs Jul2020'!M61),($C$5*'Tariffs Jul2020'!AL61/'Tariffs Jul2020'!AJ61-'Tariffs Jul2020'!M61)*'Tariffs Jul2020'!Y61/100*'Tariffs Jul2020'!AJ61,0)</f>
        <v>0</v>
      </c>
      <c r="O67" s="59">
        <f t="shared" si="1"/>
        <v>1359.0000000000002</v>
      </c>
      <c r="P67" s="503">
        <f t="shared" si="2"/>
        <v>1494.9000000000003</v>
      </c>
      <c r="Q67" s="59">
        <f t="shared" si="3"/>
        <v>1610.8500000000001</v>
      </c>
      <c r="R67" s="272">
        <f t="shared" si="4"/>
        <v>1771.9350000000004</v>
      </c>
      <c r="S67" s="40">
        <f>'Tariffs Jul2020'!AN61</f>
        <v>11</v>
      </c>
      <c r="T67" s="40">
        <f>'Tariffs Jul2020'!AO61</f>
        <v>0</v>
      </c>
      <c r="U67" s="40">
        <f>'Tariffs Jul2020'!AP61</f>
        <v>0</v>
      </c>
      <c r="V67" s="40">
        <f>'Tariffs Jul2020'!AQ61</f>
        <v>0</v>
      </c>
      <c r="W67" s="284">
        <f>R67-(R67*S67/100)</f>
        <v>1577.0221500000002</v>
      </c>
      <c r="X67" s="284">
        <f t="shared" si="25"/>
        <v>1577.0221500000002</v>
      </c>
      <c r="Y67" s="507">
        <f>W67</f>
        <v>1577.0221500000002</v>
      </c>
      <c r="Z67" s="507">
        <f>X67</f>
        <v>1577.0221500000002</v>
      </c>
      <c r="AA67" s="274">
        <f>'Tariffs Jul2020'!AZ61</f>
        <v>0</v>
      </c>
      <c r="AB67" s="274" t="str">
        <f>'Tariffs Jul2020'!BA61</f>
        <v>n</v>
      </c>
      <c r="AC67" s="275" t="str">
        <f>'Tariffs Jul2020'!BJ61</f>
        <v>N</v>
      </c>
      <c r="AD67" s="511"/>
      <c r="AE67" s="511"/>
      <c r="AF67" s="513"/>
      <c r="AG67" s="546"/>
      <c r="AH67" s="546"/>
      <c r="AI67" s="546"/>
      <c r="AJ67" s="546"/>
      <c r="AK67" s="546"/>
      <c r="AL67" s="546"/>
      <c r="AM67" s="546"/>
      <c r="AN67" s="546"/>
      <c r="AO67" s="546"/>
      <c r="AP67" s="546"/>
      <c r="AQ67" s="546"/>
      <c r="AR67" s="546"/>
      <c r="AS67" s="546"/>
      <c r="AT67" s="546"/>
      <c r="AU67" s="546"/>
      <c r="AV67" s="546"/>
      <c r="AW67" s="546"/>
      <c r="AX67" s="546"/>
      <c r="AY67" s="546"/>
      <c r="AZ67" s="546"/>
    </row>
    <row r="68" spans="1:52" ht="14" x14ac:dyDescent="0.15">
      <c r="A68" s="270" t="str">
        <f>'Tariffs Jul2020'!F62</f>
        <v>Red Energy</v>
      </c>
      <c r="B68" s="40" t="str">
        <f>'Tariffs Jul2020'!D62</f>
        <v>AGN Central 2</v>
      </c>
      <c r="C68" s="40" t="str">
        <f>'Tariffs Jul2020'!G62</f>
        <v>Living Energy Saver</v>
      </c>
      <c r="D68" s="59">
        <f>365*'Tariffs Jul2020'!H62/100</f>
        <v>239.14136363636356</v>
      </c>
      <c r="E68" s="59">
        <f>IF($C$5*'Tariffs Jul2020'!AK62/'Tariffs Jul2020'!AI62&gt;='Tariffs Jul2020'!J62,( 'Tariffs Jul2020'!J62*'Tariffs Jul2020'!O62/100)* 'Tariffs Jul2020'!AI62,($C$5*'Tariffs Jul2020'!AK62/'Tariffs Jul2020'!AI62*'Tariffs Jul2020'!O62/100)* 'Tariffs Jul2020'!AI62)</f>
        <v>118.88863636363635</v>
      </c>
      <c r="F68" s="59">
        <f>IF($C$5*'Tariffs Jul2020'!AK62/'Tariffs Jul2020'!AI62&lt;'Tariffs Jul2020'!J62,0,IF($C$5*'Tariffs Jul2020'!AK62/'Tariffs Jul2020'!AI62&lt;='Tariffs Jul2020'!K62,($C$5*'Tariffs Jul2020'!AK62/'Tariffs Jul2020'!AI62-'Tariffs Jul2020'!J62)*('Tariffs Jul2020'!P62/100)*'Tariffs Jul2020'!AI62,('Tariffs Jul2020'!K62-'Tariffs Jul2020'!J62)*('Tariffs Jul2020'!P62/100)*'Tariffs Jul2020'!AI62))</f>
        <v>93.125454545454545</v>
      </c>
      <c r="G68" s="59">
        <f>IF($C$5*'Tariffs Jul2020'!AK62/'Tariffs Jul2020'!AI62&lt;'Tariffs Jul2020'!K62,0,IF($C$5*'Tariffs Jul2020'!AK62/'Tariffs Jul2020'!AI62&lt;='Tariffs Jul2020'!L62,($C$5*'Tariffs Jul2020'!AK62/'Tariffs Jul2020'!AI62-'Tariffs Jul2020'!K62)*('Tariffs Jul2020'!Q62/100)*'Tariffs Jul2020'!AI62,('Tariffs Jul2020'!L62-'Tariffs Jul2020'!K62)*('Tariffs Jul2020'!Q62/100)*'Tariffs Jul2020'!AI62))</f>
        <v>0</v>
      </c>
      <c r="H68" s="59">
        <f>IF($C$5*'Tariffs Jul2020'!AK62/'Tariffs Jul2020'!AI62&lt;'Tariffs Jul2020'!L62,0,IF($C$5*'Tariffs Jul2020'!AK62/'Tariffs Jul2020'!AI62&lt;='Tariffs Jul2020'!M62,($C$5*'Tariffs Jul2020'!AK62/'Tariffs Jul2020'!AI62-'Tariffs Jul2020'!L62)*('Tariffs Jul2020'!R62/100)*'Tariffs Jul2020'!AI62,('Tariffs Jul2020'!M62-'Tariffs Jul2020'!L62)*('Tariffs Jul2020'!R62/100)*'Tariffs Jul2020'!AI62))</f>
        <v>0</v>
      </c>
      <c r="I68" s="59">
        <f>IF(($C$5*'Tariffs Jul2020'!AK62/'Tariffs Jul2020'!AI62&gt;'Tariffs Jul2020'!M62),($C$5*'Tariffs Jul2020'!AK62/'Tariffs Jul2020'!AI62-'Tariffs Jul2020'!M62)*'Tariffs Jul2020'!S62/100*'Tariffs Jul2020'!AI62,0)</f>
        <v>370.22727272727275</v>
      </c>
      <c r="J68" s="59">
        <f>IF($C$5*'Tariffs Jul2020'!AL62/'Tariffs Jul2020'!AJ62&gt;='Tariffs Jul2020'!J62,('Tariffs Jul2020'!J62*'Tariffs Jul2020'!U62/100)* 'Tariffs Jul2020'!AJ62,($C$5*'Tariffs Jul2020'!AL62/'Tariffs Jul2020'!AJ62*'Tariffs Jul2020'!U62/100)* 'Tariffs Jul2020'!AJ62)</f>
        <v>118.88863636363635</v>
      </c>
      <c r="K68" s="59">
        <f>IF($C$5*'Tariffs Jul2020'!AL62/'Tariffs Jul2020'!AJ62&lt;'Tariffs Jul2020'!J62,0,IF($C$5*'Tariffs Jul2020'!AL62/'Tariffs Jul2020'!AJ62&lt;='Tariffs Jul2020'!K62,($C$5*'Tariffs Jul2020'!AL62/'Tariffs Jul2020'!AJ62-'Tariffs Jul2020'!J62)*('Tariffs Jul2020'!V62/100)*'Tariffs Jul2020'!AJ62,('Tariffs Jul2020'!K62-'Tariffs Jul2020'!J62)*('Tariffs Jul2020'!V62/100)*'Tariffs Jul2020'!AJ62))</f>
        <v>93.125454545454545</v>
      </c>
      <c r="L68" s="59">
        <f>IF($C$5*'Tariffs Jul2020'!AL62/'Tariffs Jul2020'!AJ62&lt;'Tariffs Jul2020'!K62,0,IF($C$5*'Tariffs Jul2020'!AL62/'Tariffs Jul2020'!AJ62&lt;='Tariffs Jul2020'!L62,($C$5*'Tariffs Jul2020'!AL62/'Tariffs Jul2020'!AJ62-'Tariffs Jul2020'!K62)*('Tariffs Jul2020'!W62/100)*'Tariffs Jul2020'!AJ62,('Tariffs Jul2020'!L62-'Tariffs Jul2020'!K62)*('Tariffs Jul2020'!W62/100)*'Tariffs Jul2020'!AJ62))</f>
        <v>0</v>
      </c>
      <c r="M68" s="59">
        <f>IF($C$5*'Tariffs Jul2020'!AL62/'Tariffs Jul2020'!AJ62&lt;'Tariffs Jul2020'!L62,0,IF($C$5*'Tariffs Jul2020'!AL62/'Tariffs Jul2020'!AJ62&lt;='Tariffs Jul2020'!M62,($C$5*'Tariffs Jul2020'!AL62/'Tariffs Jul2020'!AJ62-'Tariffs Jul2020'!L62)*('Tariffs Jul2020'!X62/100)*'Tariffs Jul2020'!AJ62,('Tariffs Jul2020'!M62-'Tariffs Jul2020'!L62)*('Tariffs Jul2020'!X62/100)*'Tariffs Jul2020'!AJ62))</f>
        <v>0</v>
      </c>
      <c r="N68" s="59">
        <f>IF(($C$5*'Tariffs Jul2020'!AL62/'Tariffs Jul2020'!AJ62&gt;'Tariffs Jul2020'!M62),($C$5*'Tariffs Jul2020'!AL62/'Tariffs Jul2020'!AJ62-'Tariffs Jul2020'!M62)*'Tariffs Jul2020'!Y62/100*'Tariffs Jul2020'!AJ62,0)</f>
        <v>370.22727272727275</v>
      </c>
      <c r="O68" s="59">
        <f>SUM(E68:N68)</f>
        <v>1164.4827272727273</v>
      </c>
      <c r="P68" s="503">
        <f t="shared" si="2"/>
        <v>1280.931</v>
      </c>
      <c r="Q68" s="59">
        <f>D68+O68</f>
        <v>1403.6240909090909</v>
      </c>
      <c r="R68" s="272">
        <f>Q68*1.1</f>
        <v>1543.9865000000002</v>
      </c>
      <c r="S68" s="40">
        <f>'Tariffs Jul2020'!AN62</f>
        <v>0</v>
      </c>
      <c r="T68" s="40">
        <f>'Tariffs Jul2020'!AO62</f>
        <v>0</v>
      </c>
      <c r="U68" s="40">
        <f>'Tariffs Jul2020'!AP62</f>
        <v>0</v>
      </c>
      <c r="V68" s="40">
        <f>'Tariffs Jul2020'!AQ62</f>
        <v>0</v>
      </c>
      <c r="W68" s="284">
        <f>Q68</f>
        <v>1403.6240909090909</v>
      </c>
      <c r="X68" s="284">
        <f t="shared" si="25"/>
        <v>1403.6240909090909</v>
      </c>
      <c r="Y68" s="507">
        <f t="shared" ref="Y68:Z72" si="29">W68*1.1</f>
        <v>1543.9865000000002</v>
      </c>
      <c r="Z68" s="507">
        <f t="shared" si="29"/>
        <v>1543.9865000000002</v>
      </c>
      <c r="AA68" s="274">
        <f>'Tariffs Jul2020'!AZ62</f>
        <v>0</v>
      </c>
      <c r="AB68" s="274" t="str">
        <f>'Tariffs Jul2020'!BA62</f>
        <v>n</v>
      </c>
      <c r="AC68" s="275" t="str">
        <f>'Tariffs Jul2020'!BJ62</f>
        <v>N</v>
      </c>
      <c r="AD68" s="511"/>
      <c r="AE68" s="511"/>
      <c r="AF68" s="513"/>
      <c r="AG68" s="546"/>
      <c r="AH68" s="546"/>
      <c r="AI68" s="546"/>
      <c r="AJ68" s="546"/>
      <c r="AK68" s="546"/>
      <c r="AL68" s="546"/>
      <c r="AM68" s="546"/>
      <c r="AN68" s="546"/>
      <c r="AO68" s="546"/>
      <c r="AP68" s="546"/>
      <c r="AQ68" s="546"/>
      <c r="AR68" s="546"/>
      <c r="AS68" s="546"/>
      <c r="AT68" s="546"/>
      <c r="AU68" s="546"/>
      <c r="AV68" s="546"/>
      <c r="AW68" s="546"/>
      <c r="AX68" s="546"/>
      <c r="AY68" s="546"/>
      <c r="AZ68" s="546"/>
    </row>
    <row r="69" spans="1:52" ht="14" x14ac:dyDescent="0.15">
      <c r="A69" s="270" t="str">
        <f>'Tariffs Jul2020'!F63</f>
        <v>Simply Energy</v>
      </c>
      <c r="B69" s="40" t="str">
        <f>'Tariffs Jul2020'!D63</f>
        <v>AGN Central 2</v>
      </c>
      <c r="C69" s="40" t="str">
        <f>'Tariffs Jul2020'!G63</f>
        <v>Saver</v>
      </c>
      <c r="D69" s="59">
        <f>365*'Tariffs Jul2020'!H63/100</f>
        <v>255.13499999999996</v>
      </c>
      <c r="E69" s="59">
        <f>IF($C$5*'Tariffs Jul2020'!AK63/'Tariffs Jul2020'!AI63&gt;='Tariffs Jul2020'!J63,( 'Tariffs Jul2020'!J63*'Tariffs Jul2020'!O63/100)* 'Tariffs Jul2020'!AI63,($C$5*'Tariffs Jul2020'!AK63/'Tariffs Jul2020'!AI63*'Tariffs Jul2020'!O63/100)* 'Tariffs Jul2020'!AI63)</f>
        <v>146.70409090909092</v>
      </c>
      <c r="F69" s="59">
        <f>IF($C$5*'Tariffs Jul2020'!AK63/'Tariffs Jul2020'!AI63&lt;'Tariffs Jul2020'!J63,0,IF($C$5*'Tariffs Jul2020'!AK63/'Tariffs Jul2020'!AI63&lt;='Tariffs Jul2020'!K63,($C$5*'Tariffs Jul2020'!AK63/'Tariffs Jul2020'!AI63-'Tariffs Jul2020'!J63)*('Tariffs Jul2020'!P63/100)*'Tariffs Jul2020'!AI63,('Tariffs Jul2020'!K63-'Tariffs Jul2020'!J63)*('Tariffs Jul2020'!P63/100)*'Tariffs Jul2020'!AI63))</f>
        <v>95.712272727272705</v>
      </c>
      <c r="G69" s="59">
        <f>IF($C$5*'Tariffs Jul2020'!AK63/'Tariffs Jul2020'!AI63&lt;'Tariffs Jul2020'!K63,0,IF($C$5*'Tariffs Jul2020'!AK63/'Tariffs Jul2020'!AI63&lt;='Tariffs Jul2020'!L63,($C$5*'Tariffs Jul2020'!AK63/'Tariffs Jul2020'!AI63-'Tariffs Jul2020'!K63)*('Tariffs Jul2020'!Q63/100)*'Tariffs Jul2020'!AI63,('Tariffs Jul2020'!L63-'Tariffs Jul2020'!K63)*('Tariffs Jul2020'!Q63/100)*'Tariffs Jul2020'!AI63))</f>
        <v>0</v>
      </c>
      <c r="H69" s="59">
        <f>IF($C$5*'Tariffs Jul2020'!AK63/'Tariffs Jul2020'!AI63&lt;'Tariffs Jul2020'!L63,0,IF($C$5*'Tariffs Jul2020'!AK63/'Tariffs Jul2020'!AI63&lt;='Tariffs Jul2020'!M63,($C$5*'Tariffs Jul2020'!AK63/'Tariffs Jul2020'!AI63-'Tariffs Jul2020'!L63)*('Tariffs Jul2020'!R63/100)*'Tariffs Jul2020'!AI63,('Tariffs Jul2020'!M63-'Tariffs Jul2020'!L63)*('Tariffs Jul2020'!R63/100)*'Tariffs Jul2020'!AI63))</f>
        <v>0</v>
      </c>
      <c r="I69" s="59">
        <f>IF(($C$5*'Tariffs Jul2020'!AK63/'Tariffs Jul2020'!AI63&gt;'Tariffs Jul2020'!M63),($C$5*'Tariffs Jul2020'!AK63/'Tariffs Jul2020'!AI63-'Tariffs Jul2020'!M63)*'Tariffs Jul2020'!S63/100*'Tariffs Jul2020'!AI63,0)</f>
        <v>445.90909090909088</v>
      </c>
      <c r="J69" s="59">
        <f>IF($C$5*'Tariffs Jul2020'!AL63/'Tariffs Jul2020'!AJ63&gt;='Tariffs Jul2020'!J63,('Tariffs Jul2020'!J63*'Tariffs Jul2020'!U63/100)* 'Tariffs Jul2020'!AJ63,($C$5*'Tariffs Jul2020'!AL63/'Tariffs Jul2020'!AJ63*'Tariffs Jul2020'!U63/100)* 'Tariffs Jul2020'!AJ63)</f>
        <v>146.70409090909092</v>
      </c>
      <c r="K69" s="59">
        <f>IF($C$5*'Tariffs Jul2020'!AL63/'Tariffs Jul2020'!AJ63&lt;'Tariffs Jul2020'!J63,0,IF($C$5*'Tariffs Jul2020'!AL63/'Tariffs Jul2020'!AJ63&lt;='Tariffs Jul2020'!K63,($C$5*'Tariffs Jul2020'!AL63/'Tariffs Jul2020'!AJ63-'Tariffs Jul2020'!J63)*('Tariffs Jul2020'!V63/100)*'Tariffs Jul2020'!AJ63,('Tariffs Jul2020'!K63-'Tariffs Jul2020'!J63)*('Tariffs Jul2020'!V63/100)*'Tariffs Jul2020'!AJ63))</f>
        <v>95.712272727272705</v>
      </c>
      <c r="L69" s="59">
        <f>IF($C$5*'Tariffs Jul2020'!AL63/'Tariffs Jul2020'!AJ63&lt;'Tariffs Jul2020'!K63,0,IF($C$5*'Tariffs Jul2020'!AL63/'Tariffs Jul2020'!AJ63&lt;='Tariffs Jul2020'!L63,($C$5*'Tariffs Jul2020'!AL63/'Tariffs Jul2020'!AJ63-'Tariffs Jul2020'!K63)*('Tariffs Jul2020'!W63/100)*'Tariffs Jul2020'!AJ63,('Tariffs Jul2020'!L63-'Tariffs Jul2020'!K63)*('Tariffs Jul2020'!W63/100)*'Tariffs Jul2020'!AJ63))</f>
        <v>0</v>
      </c>
      <c r="M69" s="59">
        <f>IF($C$5*'Tariffs Jul2020'!AL63/'Tariffs Jul2020'!AJ63&lt;'Tariffs Jul2020'!L63,0,IF($C$5*'Tariffs Jul2020'!AL63/'Tariffs Jul2020'!AJ63&lt;='Tariffs Jul2020'!M63,($C$5*'Tariffs Jul2020'!AL63/'Tariffs Jul2020'!AJ63-'Tariffs Jul2020'!L63)*('Tariffs Jul2020'!X63/100)*'Tariffs Jul2020'!AJ63,('Tariffs Jul2020'!M63-'Tariffs Jul2020'!L63)*('Tariffs Jul2020'!X63/100)*'Tariffs Jul2020'!AJ63))</f>
        <v>0</v>
      </c>
      <c r="N69" s="59">
        <f>IF(($C$5*'Tariffs Jul2020'!AL63/'Tariffs Jul2020'!AJ63&gt;'Tariffs Jul2020'!M63),($C$5*'Tariffs Jul2020'!AL63/'Tariffs Jul2020'!AJ63-'Tariffs Jul2020'!M63)*'Tariffs Jul2020'!Y63/100*'Tariffs Jul2020'!AJ63,0)</f>
        <v>445.90909090909088</v>
      </c>
      <c r="O69" s="59">
        <f t="shared" si="1"/>
        <v>1376.650909090909</v>
      </c>
      <c r="P69" s="503">
        <f t="shared" si="2"/>
        <v>1514.316</v>
      </c>
      <c r="Q69" s="59">
        <f t="shared" si="3"/>
        <v>1631.7859090909089</v>
      </c>
      <c r="R69" s="272">
        <f t="shared" si="4"/>
        <v>1794.9645</v>
      </c>
      <c r="S69" s="40">
        <f>'Tariffs Jul2020'!AN63</f>
        <v>20</v>
      </c>
      <c r="T69" s="40">
        <f>'Tariffs Jul2020'!AO63</f>
        <v>0</v>
      </c>
      <c r="U69" s="40">
        <f>'Tariffs Jul2020'!AP63</f>
        <v>0</v>
      </c>
      <c r="V69" s="40">
        <f>'Tariffs Jul2020'!AQ63</f>
        <v>0</v>
      </c>
      <c r="W69" s="284">
        <f>Q69-(Q69*S69/100)</f>
        <v>1305.4287272727272</v>
      </c>
      <c r="X69" s="284">
        <f t="shared" si="25"/>
        <v>1305.4287272727272</v>
      </c>
      <c r="Y69" s="507">
        <f t="shared" si="29"/>
        <v>1435.9716000000001</v>
      </c>
      <c r="Z69" s="507">
        <f t="shared" si="29"/>
        <v>1435.9716000000001</v>
      </c>
      <c r="AA69" s="274">
        <f>'Tariffs Jul2020'!AZ63</f>
        <v>0</v>
      </c>
      <c r="AB69" s="274" t="str">
        <f>'Tariffs Jul2020'!BA63</f>
        <v>n</v>
      </c>
      <c r="AC69" s="275" t="str">
        <f>'Tariffs Jul2020'!BJ63</f>
        <v>N</v>
      </c>
      <c r="AD69" s="511"/>
      <c r="AE69" s="511"/>
      <c r="AF69" s="513"/>
      <c r="AG69" s="546"/>
      <c r="AH69" s="546"/>
      <c r="AI69" s="546"/>
      <c r="AJ69" s="546"/>
      <c r="AK69" s="546"/>
      <c r="AL69" s="546"/>
      <c r="AM69" s="546"/>
      <c r="AN69" s="546"/>
      <c r="AO69" s="546"/>
      <c r="AP69" s="546"/>
      <c r="AQ69" s="546"/>
      <c r="AR69" s="546"/>
      <c r="AS69" s="546"/>
      <c r="AT69" s="546"/>
      <c r="AU69" s="546"/>
      <c r="AV69" s="546"/>
      <c r="AW69" s="546"/>
      <c r="AX69" s="546"/>
      <c r="AY69" s="546"/>
      <c r="AZ69" s="546"/>
    </row>
    <row r="70" spans="1:52" ht="14" x14ac:dyDescent="0.15">
      <c r="A70" s="270" t="str">
        <f>'Tariffs Jul2020'!F64</f>
        <v>Sumo Power</v>
      </c>
      <c r="B70" s="40" t="str">
        <f>'Tariffs Jul2020'!D64</f>
        <v>AGN Central 2</v>
      </c>
      <c r="C70" s="40" t="str">
        <f>'Tariffs Jul2020'!G64</f>
        <v>Select</v>
      </c>
      <c r="D70" s="59">
        <f>365*'Tariffs Jul2020'!H64/100</f>
        <v>273.75</v>
      </c>
      <c r="E70" s="59">
        <f>IF($C$5*'Tariffs Jul2020'!AK64/'Tariffs Jul2020'!AI64&gt;='Tariffs Jul2020'!J64,( 'Tariffs Jul2020'!J64*'Tariffs Jul2020'!O64/100)* 'Tariffs Jul2020'!AI64,($C$5*'Tariffs Jul2020'!AK64/'Tariffs Jul2020'!AI64*'Tariffs Jul2020'!O64/100)* 'Tariffs Jul2020'!AI64)</f>
        <v>112.60772727272723</v>
      </c>
      <c r="F70" s="59">
        <f>IF($C$5*'Tariffs Jul2020'!AK64/'Tariffs Jul2020'!AI64&lt;'Tariffs Jul2020'!J64,0,IF($C$5*'Tariffs Jul2020'!AK64/'Tariffs Jul2020'!AI64&lt;='Tariffs Jul2020'!K64,($C$5*'Tariffs Jul2020'!AK64/'Tariffs Jul2020'!AI64-'Tariffs Jul2020'!J64)*('Tariffs Jul2020'!P64/100)*'Tariffs Jul2020'!AI64,('Tariffs Jul2020'!K64-'Tariffs Jul2020'!J64)*('Tariffs Jul2020'!P64/100)*'Tariffs Jul2020'!AI64))</f>
        <v>90.169090909090897</v>
      </c>
      <c r="G70" s="59">
        <f>IF($C$5*'Tariffs Jul2020'!AK64/'Tariffs Jul2020'!AI64&lt;'Tariffs Jul2020'!K64,0,IF($C$5*'Tariffs Jul2020'!AK64/'Tariffs Jul2020'!AI64&lt;='Tariffs Jul2020'!L64,($C$5*'Tariffs Jul2020'!AK64/'Tariffs Jul2020'!AI64-'Tariffs Jul2020'!K64)*('Tariffs Jul2020'!Q64/100)*'Tariffs Jul2020'!AI64,('Tariffs Jul2020'!L64-'Tariffs Jul2020'!K64)*('Tariffs Jul2020'!Q64/100)*'Tariffs Jul2020'!AI64))</f>
        <v>0</v>
      </c>
      <c r="H70" s="59">
        <f>IF($C$5*'Tariffs Jul2020'!AK64/'Tariffs Jul2020'!AI64&lt;'Tariffs Jul2020'!L64,0,IF($C$5*'Tariffs Jul2020'!AK64/'Tariffs Jul2020'!AI64&lt;='Tariffs Jul2020'!M64,($C$5*'Tariffs Jul2020'!AK64/'Tariffs Jul2020'!AI64-'Tariffs Jul2020'!L64)*('Tariffs Jul2020'!R64/100)*'Tariffs Jul2020'!AI64,('Tariffs Jul2020'!M64-'Tariffs Jul2020'!L64)*('Tariffs Jul2020'!R64/100)*'Tariffs Jul2020'!AI64))</f>
        <v>0</v>
      </c>
      <c r="I70" s="59">
        <f>IF(($C$5*'Tariffs Jul2020'!AK64/'Tariffs Jul2020'!AI64&gt;'Tariffs Jul2020'!M64),($C$5*'Tariffs Jul2020'!AK64/'Tariffs Jul2020'!AI64-'Tariffs Jul2020'!M64)*'Tariffs Jul2020'!S64/100*'Tariffs Jul2020'!AI64,0)</f>
        <v>364.09090909090907</v>
      </c>
      <c r="J70" s="59">
        <f>IF($C$5*'Tariffs Jul2020'!AL64/'Tariffs Jul2020'!AJ64&gt;='Tariffs Jul2020'!J64,('Tariffs Jul2020'!J64*'Tariffs Jul2020'!U64/100)* 'Tariffs Jul2020'!AJ64,($C$5*'Tariffs Jul2020'!AL64/'Tariffs Jul2020'!AJ64*'Tariffs Jul2020'!U64/100)* 'Tariffs Jul2020'!AJ64)</f>
        <v>112.60772727272723</v>
      </c>
      <c r="K70" s="59">
        <f>IF($C$5*'Tariffs Jul2020'!AL64/'Tariffs Jul2020'!AJ64&lt;'Tariffs Jul2020'!J64,0,IF($C$5*'Tariffs Jul2020'!AL64/'Tariffs Jul2020'!AJ64&lt;='Tariffs Jul2020'!K64,($C$5*'Tariffs Jul2020'!AL64/'Tariffs Jul2020'!AJ64-'Tariffs Jul2020'!J64)*('Tariffs Jul2020'!V64/100)*'Tariffs Jul2020'!AJ64,('Tariffs Jul2020'!K64-'Tariffs Jul2020'!J64)*('Tariffs Jul2020'!V64/100)*'Tariffs Jul2020'!AJ64))</f>
        <v>90.169090909090897</v>
      </c>
      <c r="L70" s="59">
        <f>IF($C$5*'Tariffs Jul2020'!AL64/'Tariffs Jul2020'!AJ64&lt;'Tariffs Jul2020'!K64,0,IF($C$5*'Tariffs Jul2020'!AL64/'Tariffs Jul2020'!AJ64&lt;='Tariffs Jul2020'!L64,($C$5*'Tariffs Jul2020'!AL64/'Tariffs Jul2020'!AJ64-'Tariffs Jul2020'!K64)*('Tariffs Jul2020'!W64/100)*'Tariffs Jul2020'!AJ64,('Tariffs Jul2020'!L64-'Tariffs Jul2020'!K64)*('Tariffs Jul2020'!W64/100)*'Tariffs Jul2020'!AJ64))</f>
        <v>0</v>
      </c>
      <c r="M70" s="59">
        <f>IF($C$5*'Tariffs Jul2020'!AL64/'Tariffs Jul2020'!AJ64&lt;'Tariffs Jul2020'!L64,0,IF($C$5*'Tariffs Jul2020'!AL64/'Tariffs Jul2020'!AJ64&lt;='Tariffs Jul2020'!M64,($C$5*'Tariffs Jul2020'!AL64/'Tariffs Jul2020'!AJ64-'Tariffs Jul2020'!L64)*('Tariffs Jul2020'!X64/100)*'Tariffs Jul2020'!AJ64,('Tariffs Jul2020'!M64-'Tariffs Jul2020'!L64)*('Tariffs Jul2020'!X64/100)*'Tariffs Jul2020'!AJ64))</f>
        <v>0</v>
      </c>
      <c r="N70" s="59">
        <f>IF(($C$5*'Tariffs Jul2020'!AL64/'Tariffs Jul2020'!AJ64&gt;'Tariffs Jul2020'!M64),($C$5*'Tariffs Jul2020'!AL64/'Tariffs Jul2020'!AJ64-'Tariffs Jul2020'!M64)*'Tariffs Jul2020'!Y64/100*'Tariffs Jul2020'!AJ64,0)</f>
        <v>364.09090909090907</v>
      </c>
      <c r="O70" s="59">
        <f t="shared" si="1"/>
        <v>1133.7354545454543</v>
      </c>
      <c r="P70" s="503">
        <f t="shared" si="2"/>
        <v>1247.1089999999999</v>
      </c>
      <c r="Q70" s="59">
        <f t="shared" si="3"/>
        <v>1407.4854545454543</v>
      </c>
      <c r="R70" s="272">
        <f t="shared" si="4"/>
        <v>1548.2339999999999</v>
      </c>
      <c r="S70" s="40">
        <f>'Tariffs Jul2020'!AN64</f>
        <v>0</v>
      </c>
      <c r="T70" s="40">
        <f>'Tariffs Jul2020'!AO64</f>
        <v>0</v>
      </c>
      <c r="U70" s="40">
        <f>'Tariffs Jul2020'!AP64</f>
        <v>5</v>
      </c>
      <c r="V70" s="40">
        <f>'Tariffs Jul2020'!AQ64</f>
        <v>0</v>
      </c>
      <c r="W70" s="284">
        <f t="shared" ref="W70" si="30">Q70</f>
        <v>1407.4854545454543</v>
      </c>
      <c r="X70" s="284">
        <f>W70-(Q70*U70/100)</f>
        <v>1337.1111818181816</v>
      </c>
      <c r="Y70" s="507">
        <f t="shared" si="29"/>
        <v>1548.2339999999999</v>
      </c>
      <c r="Z70" s="507">
        <f t="shared" si="29"/>
        <v>1470.8223</v>
      </c>
      <c r="AA70" s="274">
        <f>'Tariffs Jul2020'!AZ64</f>
        <v>0</v>
      </c>
      <c r="AB70" s="274" t="str">
        <f>'Tariffs Jul2020'!BA64</f>
        <v>n</v>
      </c>
      <c r="AC70" s="275" t="str">
        <f>'Tariffs Jul2020'!BJ64</f>
        <v>Y</v>
      </c>
      <c r="AD70" s="511"/>
      <c r="AE70" s="511"/>
      <c r="AF70" s="513"/>
      <c r="AG70" s="546"/>
      <c r="AH70" s="546"/>
      <c r="AI70" s="546"/>
      <c r="AJ70" s="546"/>
      <c r="AK70" s="546"/>
      <c r="AL70" s="546"/>
      <c r="AM70" s="546"/>
      <c r="AN70" s="546"/>
      <c r="AO70" s="546"/>
      <c r="AP70" s="546"/>
      <c r="AQ70" s="546"/>
      <c r="AR70" s="546"/>
      <c r="AS70" s="546"/>
      <c r="AT70" s="546"/>
      <c r="AU70" s="546"/>
      <c r="AV70" s="546"/>
      <c r="AW70" s="546"/>
      <c r="AX70" s="546"/>
      <c r="AY70" s="546"/>
      <c r="AZ70" s="546"/>
    </row>
    <row r="71" spans="1:52" ht="14" x14ac:dyDescent="0.15">
      <c r="A71" s="270" t="str">
        <f>'Tariffs Jul2020'!F65</f>
        <v>Amaysim</v>
      </c>
      <c r="B71" s="40" t="str">
        <f>'Tariffs Jul2020'!D65</f>
        <v>AGN Central 2</v>
      </c>
      <c r="C71" s="40" t="str">
        <f>'Tariffs Jul2020'!G65</f>
        <v>Gas as you go</v>
      </c>
      <c r="D71" s="59">
        <f>365*'Tariffs Jul2020'!H65/100</f>
        <v>199.0564</v>
      </c>
      <c r="E71" s="59">
        <f>IF($C$5*'Tariffs Jul2020'!AK65/'Tariffs Jul2020'!AI65&gt;='Tariffs Jul2020'!J65,( 'Tariffs Jul2020'!J65*'Tariffs Jul2020'!O65/100)* 'Tariffs Jul2020'!AI65,($C$5*'Tariffs Jul2020'!AK65/'Tariffs Jul2020'!AI65*'Tariffs Jul2020'!O65/100)* 'Tariffs Jul2020'!AI65)</f>
        <v>125.8425</v>
      </c>
      <c r="F71" s="59">
        <f>IF($C$5*'Tariffs Jul2020'!AK65/'Tariffs Jul2020'!AI65&lt;'Tariffs Jul2020'!J65,0,IF($C$5*'Tariffs Jul2020'!AK65/'Tariffs Jul2020'!AI65&lt;='Tariffs Jul2020'!K65,($C$5*'Tariffs Jul2020'!AK65/'Tariffs Jul2020'!AI65-'Tariffs Jul2020'!J65)*('Tariffs Jul2020'!P65/100)*'Tariffs Jul2020'!AI65,('Tariffs Jul2020'!K65-'Tariffs Jul2020'!J65)*('Tariffs Jul2020'!P65/100)*'Tariffs Jul2020'!AI65))</f>
        <v>88.454400000000007</v>
      </c>
      <c r="G71" s="59">
        <f>IF($C$5*'Tariffs Jul2020'!AK65/'Tariffs Jul2020'!AI65&lt;'Tariffs Jul2020'!K65,0,IF($C$5*'Tariffs Jul2020'!AK65/'Tariffs Jul2020'!AI65&lt;='Tariffs Jul2020'!L65,($C$5*'Tariffs Jul2020'!AK65/'Tariffs Jul2020'!AI65-'Tariffs Jul2020'!K65)*('Tariffs Jul2020'!Q65/100)*'Tariffs Jul2020'!AI65,('Tariffs Jul2020'!L65-'Tariffs Jul2020'!K65)*('Tariffs Jul2020'!Q65/100)*'Tariffs Jul2020'!AI65))</f>
        <v>0</v>
      </c>
      <c r="H71" s="59">
        <f>IF($C$5*'Tariffs Jul2020'!AK65/'Tariffs Jul2020'!AI65&lt;'Tariffs Jul2020'!L65,0,IF($C$5*'Tariffs Jul2020'!AK65/'Tariffs Jul2020'!AI65&lt;='Tariffs Jul2020'!M65,($C$5*'Tariffs Jul2020'!AK65/'Tariffs Jul2020'!AI65-'Tariffs Jul2020'!L65)*('Tariffs Jul2020'!R65/100)*'Tariffs Jul2020'!AI65,('Tariffs Jul2020'!M65-'Tariffs Jul2020'!L65)*('Tariffs Jul2020'!R65/100)*'Tariffs Jul2020'!AI65))</f>
        <v>0</v>
      </c>
      <c r="I71" s="59">
        <f>IF(($C$5*'Tariffs Jul2020'!AK65/'Tariffs Jul2020'!AI65&gt;'Tariffs Jul2020'!M65),($C$5*'Tariffs Jul2020'!AK65/'Tariffs Jul2020'!AI65-'Tariffs Jul2020'!M65)*'Tariffs Jul2020'!S65/100*'Tariffs Jul2020'!AI65,0)</f>
        <v>420.75</v>
      </c>
      <c r="J71" s="59">
        <f>IF($C$5*'Tariffs Jul2020'!AL65/'Tariffs Jul2020'!AJ65&gt;='Tariffs Jul2020'!J65,('Tariffs Jul2020'!J65*'Tariffs Jul2020'!U65/100)* 'Tariffs Jul2020'!AJ65,($C$5*'Tariffs Jul2020'!AL65/'Tariffs Jul2020'!AJ65*'Tariffs Jul2020'!U65/100)* 'Tariffs Jul2020'!AJ65)</f>
        <v>125.8425</v>
      </c>
      <c r="K71" s="59">
        <f>IF($C$5*'Tariffs Jul2020'!AL65/'Tariffs Jul2020'!AJ65&lt;'Tariffs Jul2020'!J65,0,IF($C$5*'Tariffs Jul2020'!AL65/'Tariffs Jul2020'!AJ65&lt;='Tariffs Jul2020'!K65,($C$5*'Tariffs Jul2020'!AL65/'Tariffs Jul2020'!AJ65-'Tariffs Jul2020'!J65)*('Tariffs Jul2020'!V65/100)*'Tariffs Jul2020'!AJ65,('Tariffs Jul2020'!K65-'Tariffs Jul2020'!J65)*('Tariffs Jul2020'!V65/100)*'Tariffs Jul2020'!AJ65))</f>
        <v>88.454400000000007</v>
      </c>
      <c r="L71" s="59">
        <f>IF($C$5*'Tariffs Jul2020'!AL65/'Tariffs Jul2020'!AJ65&lt;'Tariffs Jul2020'!K65,0,IF($C$5*'Tariffs Jul2020'!AL65/'Tariffs Jul2020'!AJ65&lt;='Tariffs Jul2020'!L65,($C$5*'Tariffs Jul2020'!AL65/'Tariffs Jul2020'!AJ65-'Tariffs Jul2020'!K65)*('Tariffs Jul2020'!W65/100)*'Tariffs Jul2020'!AJ65,('Tariffs Jul2020'!L65-'Tariffs Jul2020'!K65)*('Tariffs Jul2020'!W65/100)*'Tariffs Jul2020'!AJ65))</f>
        <v>0</v>
      </c>
      <c r="M71" s="59">
        <f>IF($C$5*'Tariffs Jul2020'!AL65/'Tariffs Jul2020'!AJ65&lt;'Tariffs Jul2020'!L65,0,IF($C$5*'Tariffs Jul2020'!AL65/'Tariffs Jul2020'!AJ65&lt;='Tariffs Jul2020'!M65,($C$5*'Tariffs Jul2020'!AL65/'Tariffs Jul2020'!AJ65-'Tariffs Jul2020'!L65)*('Tariffs Jul2020'!X65/100)*'Tariffs Jul2020'!AJ65,('Tariffs Jul2020'!M65-'Tariffs Jul2020'!L65)*('Tariffs Jul2020'!X65/100)*'Tariffs Jul2020'!AJ65))</f>
        <v>0</v>
      </c>
      <c r="N71" s="59">
        <f>IF(($C$5*'Tariffs Jul2020'!AL65/'Tariffs Jul2020'!AJ65&gt;'Tariffs Jul2020'!M65),($C$5*'Tariffs Jul2020'!AL65/'Tariffs Jul2020'!AJ65-'Tariffs Jul2020'!M65)*'Tariffs Jul2020'!Y65/100*'Tariffs Jul2020'!AJ65,0)</f>
        <v>420.75</v>
      </c>
      <c r="O71" s="59">
        <f t="shared" si="1"/>
        <v>1270.0938000000001</v>
      </c>
      <c r="P71" s="503">
        <f t="shared" si="2"/>
        <v>1397.1031800000003</v>
      </c>
      <c r="Q71" s="59">
        <f t="shared" si="3"/>
        <v>1469.1502</v>
      </c>
      <c r="R71" s="272">
        <f t="shared" si="4"/>
        <v>1616.0652200000002</v>
      </c>
      <c r="S71" s="40">
        <f>'Tariffs Jul2020'!AN65</f>
        <v>0</v>
      </c>
      <c r="T71" s="40">
        <f>'Tariffs Jul2020'!AO65</f>
        <v>0</v>
      </c>
      <c r="U71" s="40">
        <f>'Tariffs Jul2020'!AP65</f>
        <v>0</v>
      </c>
      <c r="V71" s="40">
        <f>'Tariffs Jul2020'!AQ65</f>
        <v>0</v>
      </c>
      <c r="W71" s="284">
        <f>Q71</f>
        <v>1469.1502</v>
      </c>
      <c r="X71" s="284">
        <f>W71</f>
        <v>1469.1502</v>
      </c>
      <c r="Y71" s="507">
        <f t="shared" si="29"/>
        <v>1616.0652200000002</v>
      </c>
      <c r="Z71" s="507">
        <f t="shared" si="29"/>
        <v>1616.0652200000002</v>
      </c>
      <c r="AA71" s="274">
        <f>'Tariffs Jul2020'!AZ65</f>
        <v>0</v>
      </c>
      <c r="AB71" s="274" t="str">
        <f>'Tariffs Jul2020'!BA65</f>
        <v>n</v>
      </c>
      <c r="AC71" s="275" t="str">
        <f>'Tariffs Jul2020'!BJ65</f>
        <v>N</v>
      </c>
      <c r="AD71" s="511"/>
      <c r="AE71" s="511"/>
      <c r="AF71" s="513"/>
      <c r="AG71" s="546"/>
      <c r="AH71" s="546"/>
      <c r="AI71" s="546"/>
      <c r="AJ71" s="546"/>
      <c r="AK71" s="546"/>
      <c r="AL71" s="546"/>
      <c r="AM71" s="546"/>
      <c r="AN71" s="546"/>
      <c r="AO71" s="546"/>
      <c r="AP71" s="546"/>
      <c r="AQ71" s="546"/>
      <c r="AR71" s="546"/>
      <c r="AS71" s="546"/>
      <c r="AT71" s="546"/>
      <c r="AU71" s="546"/>
      <c r="AV71" s="546"/>
      <c r="AW71" s="546"/>
      <c r="AX71" s="546"/>
      <c r="AY71" s="546"/>
      <c r="AZ71" s="546"/>
    </row>
    <row r="72" spans="1:52" ht="14" x14ac:dyDescent="0.15">
      <c r="A72" s="270" t="str">
        <f>'Tariffs Jul2020'!F66</f>
        <v>GloBird Energy</v>
      </c>
      <c r="B72" s="40" t="str">
        <f>'Tariffs Jul2020'!D66</f>
        <v>AGN Central 2</v>
      </c>
      <c r="C72" s="40" t="str">
        <f>'Tariffs Jul2020'!G66</f>
        <v>GloSave</v>
      </c>
      <c r="D72" s="59">
        <f>365*'Tariffs Jul2020'!H66/100</f>
        <v>208.05</v>
      </c>
      <c r="E72" s="59">
        <f>IF($C$5*'Tariffs Jul2020'!AK66/'Tariffs Jul2020'!AI66&gt;='Tariffs Jul2020'!J66,( 'Tariffs Jul2020'!J66*'Tariffs Jul2020'!O66/100)* 'Tariffs Jul2020'!AI66,($C$5*'Tariffs Jul2020'!AK66/'Tariffs Jul2020'!AI66*'Tariffs Jul2020'!O66/100)* 'Tariffs Jul2020'!AI66)</f>
        <v>155.45454545454544</v>
      </c>
      <c r="F72" s="59">
        <f>IF($C$5*'Tariffs Jul2020'!AK66/'Tariffs Jul2020'!AI66&lt;'Tariffs Jul2020'!J66,0,IF($C$5*'Tariffs Jul2020'!AK66/'Tariffs Jul2020'!AI66&lt;='Tariffs Jul2020'!K66,($C$5*'Tariffs Jul2020'!AK66/'Tariffs Jul2020'!AI66-'Tariffs Jul2020'!J66)*('Tariffs Jul2020'!P66/100)*'Tariffs Jul2020'!AI66,('Tariffs Jul2020'!K66-'Tariffs Jul2020'!J66)*('Tariffs Jul2020'!P66/100)*'Tariffs Jul2020'!AI66))</f>
        <v>0</v>
      </c>
      <c r="G72" s="59">
        <f>IF($C$5*'Tariffs Jul2020'!AK66/'Tariffs Jul2020'!AI66&lt;'Tariffs Jul2020'!K66,0,IF($C$5*'Tariffs Jul2020'!AK66/'Tariffs Jul2020'!AI66&lt;='Tariffs Jul2020'!L66,($C$5*'Tariffs Jul2020'!AK66/'Tariffs Jul2020'!AI66-'Tariffs Jul2020'!K66)*('Tariffs Jul2020'!Q66/100)*'Tariffs Jul2020'!AI66,('Tariffs Jul2020'!L66-'Tariffs Jul2020'!K66)*('Tariffs Jul2020'!Q66/100)*'Tariffs Jul2020'!AI66))</f>
        <v>0</v>
      </c>
      <c r="H72" s="59">
        <f>IF($C$5*'Tariffs Jul2020'!AK66/'Tariffs Jul2020'!AI66&lt;'Tariffs Jul2020'!L66,0,IF($C$5*'Tariffs Jul2020'!AK66/'Tariffs Jul2020'!AI66&lt;='Tariffs Jul2020'!M66,($C$5*'Tariffs Jul2020'!AK66/'Tariffs Jul2020'!AI66-'Tariffs Jul2020'!L66)*('Tariffs Jul2020'!R66/100)*'Tariffs Jul2020'!AI66,('Tariffs Jul2020'!M66-'Tariffs Jul2020'!L66)*('Tariffs Jul2020'!R66/100)*'Tariffs Jul2020'!AI66))</f>
        <v>0</v>
      </c>
      <c r="I72" s="59">
        <f>IF(($C$5*'Tariffs Jul2020'!AK66/'Tariffs Jul2020'!AI66&gt;'Tariffs Jul2020'!M66),($C$5*'Tariffs Jul2020'!AK66/'Tariffs Jul2020'!AI66-'Tariffs Jul2020'!M66)*'Tariffs Jul2020'!S66/100*'Tariffs Jul2020'!AI66,0)</f>
        <v>388.63636363636363</v>
      </c>
      <c r="J72" s="59">
        <f>IF($C$5*'Tariffs Jul2020'!AL66/'Tariffs Jul2020'!AJ66&gt;='Tariffs Jul2020'!J66,('Tariffs Jul2020'!J66*'Tariffs Jul2020'!U66/100)* 'Tariffs Jul2020'!AJ66,($C$5*'Tariffs Jul2020'!AL66/'Tariffs Jul2020'!AJ66*'Tariffs Jul2020'!U66/100)* 'Tariffs Jul2020'!AJ66)</f>
        <v>155.45454545454544</v>
      </c>
      <c r="K72" s="59">
        <f>IF($C$5*'Tariffs Jul2020'!AL66/'Tariffs Jul2020'!AJ66&lt;'Tariffs Jul2020'!J66,0,IF($C$5*'Tariffs Jul2020'!AL66/'Tariffs Jul2020'!AJ66&lt;='Tariffs Jul2020'!K66,($C$5*'Tariffs Jul2020'!AL66/'Tariffs Jul2020'!AJ66-'Tariffs Jul2020'!J66)*('Tariffs Jul2020'!V66/100)*'Tariffs Jul2020'!AJ66,('Tariffs Jul2020'!K66-'Tariffs Jul2020'!J66)*('Tariffs Jul2020'!V66/100)*'Tariffs Jul2020'!AJ66))</f>
        <v>0</v>
      </c>
      <c r="L72" s="59">
        <f>IF($C$5*'Tariffs Jul2020'!AL66/'Tariffs Jul2020'!AJ66&lt;'Tariffs Jul2020'!K66,0,IF($C$5*'Tariffs Jul2020'!AL66/'Tariffs Jul2020'!AJ66&lt;='Tariffs Jul2020'!L66,($C$5*'Tariffs Jul2020'!AL66/'Tariffs Jul2020'!AJ66-'Tariffs Jul2020'!K66)*('Tariffs Jul2020'!W66/100)*'Tariffs Jul2020'!AJ66,('Tariffs Jul2020'!L66-'Tariffs Jul2020'!K66)*('Tariffs Jul2020'!W66/100)*'Tariffs Jul2020'!AJ66))</f>
        <v>0</v>
      </c>
      <c r="M72" s="59">
        <f>IF($C$5*'Tariffs Jul2020'!AL66/'Tariffs Jul2020'!AJ66&lt;'Tariffs Jul2020'!L66,0,IF($C$5*'Tariffs Jul2020'!AL66/'Tariffs Jul2020'!AJ66&lt;='Tariffs Jul2020'!M66,($C$5*'Tariffs Jul2020'!AL66/'Tariffs Jul2020'!AJ66-'Tariffs Jul2020'!L66)*('Tariffs Jul2020'!X66/100)*'Tariffs Jul2020'!AJ66,('Tariffs Jul2020'!M66-'Tariffs Jul2020'!L66)*('Tariffs Jul2020'!X66/100)*'Tariffs Jul2020'!AJ66))</f>
        <v>0</v>
      </c>
      <c r="N72" s="59">
        <f>IF(($C$5*'Tariffs Jul2020'!AL66/'Tariffs Jul2020'!AJ66&gt;'Tariffs Jul2020'!M66),($C$5*'Tariffs Jul2020'!AL66/'Tariffs Jul2020'!AJ66-'Tariffs Jul2020'!M66)*'Tariffs Jul2020'!Y66/100*'Tariffs Jul2020'!AJ66,0)</f>
        <v>388.63636363636363</v>
      </c>
      <c r="O72" s="59">
        <f t="shared" si="1"/>
        <v>1088.181818181818</v>
      </c>
      <c r="P72" s="503">
        <f t="shared" si="2"/>
        <v>1197</v>
      </c>
      <c r="Q72" s="59">
        <f t="shared" si="3"/>
        <v>1296.231818181818</v>
      </c>
      <c r="R72" s="272">
        <f t="shared" si="4"/>
        <v>1425.8549999999998</v>
      </c>
      <c r="S72" s="40">
        <f>'Tariffs Jul2020'!AN66</f>
        <v>0</v>
      </c>
      <c r="T72" s="40">
        <f>'Tariffs Jul2020'!AO66</f>
        <v>0</v>
      </c>
      <c r="U72" s="40">
        <f>'Tariffs Jul2020'!AP66</f>
        <v>0</v>
      </c>
      <c r="V72" s="40">
        <f>'Tariffs Jul2020'!AQ66</f>
        <v>0</v>
      </c>
      <c r="W72" s="284">
        <f>Q72</f>
        <v>1296.231818181818</v>
      </c>
      <c r="X72" s="284">
        <f>W72</f>
        <v>1296.231818181818</v>
      </c>
      <c r="Y72" s="507">
        <f t="shared" si="29"/>
        <v>1425.8549999999998</v>
      </c>
      <c r="Z72" s="507">
        <f t="shared" si="29"/>
        <v>1425.8549999999998</v>
      </c>
      <c r="AA72" s="274">
        <f>'Tariffs Jul2020'!AZ66</f>
        <v>0</v>
      </c>
      <c r="AB72" s="274" t="str">
        <f>'Tariffs Jul2020'!BA66</f>
        <v>n</v>
      </c>
      <c r="AC72" s="275" t="str">
        <f>'Tariffs Jul2020'!BJ66</f>
        <v>N</v>
      </c>
      <c r="AD72" s="511"/>
      <c r="AE72" s="511"/>
      <c r="AF72" s="513"/>
      <c r="AG72" s="546"/>
      <c r="AH72" s="546"/>
      <c r="AI72" s="546"/>
      <c r="AJ72" s="546"/>
      <c r="AK72" s="546"/>
      <c r="AL72" s="546"/>
      <c r="AM72" s="546"/>
      <c r="AN72" s="546"/>
      <c r="AO72" s="546"/>
      <c r="AP72" s="546"/>
      <c r="AQ72" s="546"/>
      <c r="AR72" s="546"/>
      <c r="AS72" s="546"/>
      <c r="AT72" s="546"/>
      <c r="AU72" s="546"/>
      <c r="AV72" s="546"/>
      <c r="AW72" s="546"/>
      <c r="AX72" s="546"/>
      <c r="AY72" s="546"/>
      <c r="AZ72" s="546"/>
    </row>
    <row r="73" spans="1:52" ht="14" x14ac:dyDescent="0.15">
      <c r="A73" s="270" t="str">
        <f>'Tariffs Jul2020'!F67</f>
        <v>Powershop</v>
      </c>
      <c r="B73" s="40" t="str">
        <f>'Tariffs Jul2020'!D67</f>
        <v>AGN Central 2</v>
      </c>
      <c r="C73" s="40" t="str">
        <f>'Tariffs Jul2020'!G67</f>
        <v>Shopper with Gas Saver</v>
      </c>
      <c r="D73" s="59">
        <f>365*'Tariffs Jul2020'!H67/100</f>
        <v>265.18909090909091</v>
      </c>
      <c r="E73" s="59">
        <f>((C$5*'Tariffs Jul2020'!AK67/'Tariffs Jul2020'!AI67)*('Tariffs Jul2020'!O67/100))*'Tariffs Jul2020'!AI67</f>
        <v>609.95454545454538</v>
      </c>
      <c r="F73" s="59">
        <v>0</v>
      </c>
      <c r="G73" s="59">
        <v>0</v>
      </c>
      <c r="H73" s="59">
        <v>0</v>
      </c>
      <c r="I73" s="59">
        <v>0</v>
      </c>
      <c r="J73" s="59">
        <f>((C$5*'Tariffs Jul2020'!AL67/'Tariffs Jul2020'!AJ67)*('Tariffs Jul2020'!U67/100))*'Tariffs Jul2020'!AJ67</f>
        <v>609.95454545454538</v>
      </c>
      <c r="K73" s="59">
        <v>0</v>
      </c>
      <c r="L73" s="59">
        <v>0</v>
      </c>
      <c r="M73" s="59">
        <v>0</v>
      </c>
      <c r="N73" s="59">
        <v>0</v>
      </c>
      <c r="O73" s="59">
        <f t="shared" si="1"/>
        <v>1219.9090909090908</v>
      </c>
      <c r="P73" s="503">
        <f t="shared" ref="P73:P136" si="31">O73*1.1</f>
        <v>1341.8999999999999</v>
      </c>
      <c r="Q73" s="59">
        <f t="shared" si="3"/>
        <v>1485.0981818181817</v>
      </c>
      <c r="R73" s="272">
        <f t="shared" si="4"/>
        <v>1633.6079999999999</v>
      </c>
      <c r="S73" s="40">
        <f>'Tariffs Jul2020'!AN67</f>
        <v>0</v>
      </c>
      <c r="T73" s="40">
        <f>'Tariffs Jul2020'!AO67</f>
        <v>0</v>
      </c>
      <c r="U73" s="40">
        <f>'Tariffs Jul2020'!AP67</f>
        <v>5</v>
      </c>
      <c r="V73" s="40">
        <f>'Tariffs Jul2020'!AQ67</f>
        <v>0</v>
      </c>
      <c r="W73" s="284">
        <f>R73</f>
        <v>1633.6079999999999</v>
      </c>
      <c r="X73" s="284">
        <f>W73-(W73*U73/100)</f>
        <v>1551.9276</v>
      </c>
      <c r="Y73" s="507">
        <f>W73</f>
        <v>1633.6079999999999</v>
      </c>
      <c r="Z73" s="507">
        <f>X73</f>
        <v>1551.9276</v>
      </c>
      <c r="AA73" s="274">
        <f>'Tariffs Jul2020'!AZ67</f>
        <v>0</v>
      </c>
      <c r="AB73" s="274" t="str">
        <f>'Tariffs Jul2020'!BA67</f>
        <v>n</v>
      </c>
      <c r="AC73" s="275" t="str">
        <f>'Tariffs Jul2020'!BJ67</f>
        <v>Y</v>
      </c>
      <c r="AD73" s="511"/>
      <c r="AE73" s="511"/>
      <c r="AF73" s="513"/>
      <c r="AG73" s="546"/>
      <c r="AH73" s="546"/>
      <c r="AI73" s="546"/>
      <c r="AJ73" s="546"/>
      <c r="AK73" s="546"/>
      <c r="AL73" s="546"/>
      <c r="AM73" s="546"/>
      <c r="AN73" s="546"/>
      <c r="AO73" s="546"/>
      <c r="AP73" s="546"/>
      <c r="AQ73" s="546"/>
      <c r="AR73" s="546"/>
      <c r="AS73" s="546"/>
      <c r="AT73" s="546"/>
      <c r="AU73" s="546"/>
      <c r="AV73" s="546"/>
      <c r="AW73" s="546"/>
      <c r="AX73" s="546"/>
      <c r="AY73" s="546"/>
      <c r="AZ73" s="546"/>
    </row>
    <row r="74" spans="1:52" ht="14" x14ac:dyDescent="0.15">
      <c r="A74" s="270" t="str">
        <f>'Tariffs Jul2020'!F68</f>
        <v>1st Energy</v>
      </c>
      <c r="B74" s="40" t="str">
        <f>'Tariffs Jul2020'!D68</f>
        <v>AGN Central 2</v>
      </c>
      <c r="C74" s="40" t="str">
        <f>'Tariffs Jul2020'!G68</f>
        <v>1st Saver</v>
      </c>
      <c r="D74" s="59">
        <f>365*'Tariffs Jul2020'!H68/100</f>
        <v>266.45</v>
      </c>
      <c r="E74" s="59">
        <f>IF($C$5*'Tariffs Jul2020'!AK68/'Tariffs Jul2020'!AI68&gt;='Tariffs Jul2020'!J68,( 'Tariffs Jul2020'!J68*'Tariffs Jul2020'!O68/100)* 'Tariffs Jul2020'!AI68,($C$5*'Tariffs Jul2020'!AK68/'Tariffs Jul2020'!AI68*'Tariffs Jul2020'!O68/100)* 'Tariffs Jul2020'!AI68)</f>
        <v>135.03954545454545</v>
      </c>
      <c r="F74" s="59">
        <f>IF($C$5*'Tariffs Jul2020'!AK68/'Tariffs Jul2020'!AI68&lt;'Tariffs Jul2020'!J68,0,IF($C$5*'Tariffs Jul2020'!AK68/'Tariffs Jul2020'!AI68&lt;='Tariffs Jul2020'!K68,($C$5*'Tariffs Jul2020'!AK68/'Tariffs Jul2020'!AI68-'Tariffs Jul2020'!J68)*('Tariffs Jul2020'!P68/100)*'Tariffs Jul2020'!AI68,('Tariffs Jul2020'!K68-'Tariffs Jul2020'!J68)*('Tariffs Jul2020'!P68/100)*'Tariffs Jul2020'!AI68))</f>
        <v>98.299090909090907</v>
      </c>
      <c r="G74" s="59">
        <f>IF($C$5*'Tariffs Jul2020'!AK68/'Tariffs Jul2020'!AI68&lt;'Tariffs Jul2020'!K68,0,IF($C$5*'Tariffs Jul2020'!AK68/'Tariffs Jul2020'!AI68&lt;='Tariffs Jul2020'!L68,($C$5*'Tariffs Jul2020'!AK68/'Tariffs Jul2020'!AI68-'Tariffs Jul2020'!K68)*('Tariffs Jul2020'!Q68/100)*'Tariffs Jul2020'!AI68,('Tariffs Jul2020'!L68-'Tariffs Jul2020'!K68)*('Tariffs Jul2020'!Q68/100)*'Tariffs Jul2020'!AI68))</f>
        <v>0</v>
      </c>
      <c r="H74" s="59">
        <f>IF($C$5*'Tariffs Jul2020'!AK68/'Tariffs Jul2020'!AI68&lt;'Tariffs Jul2020'!L68,0,IF($C$5*'Tariffs Jul2020'!AK68/'Tariffs Jul2020'!AI68&lt;='Tariffs Jul2020'!M68,($C$5*'Tariffs Jul2020'!AK68/'Tariffs Jul2020'!AI68-'Tariffs Jul2020'!L68)*('Tariffs Jul2020'!R68/100)*'Tariffs Jul2020'!AI68,('Tariffs Jul2020'!M68-'Tariffs Jul2020'!L68)*('Tariffs Jul2020'!R68/100)*'Tariffs Jul2020'!AI68))</f>
        <v>0</v>
      </c>
      <c r="I74" s="59">
        <f>IF(($C$5*'Tariffs Jul2020'!AK68/'Tariffs Jul2020'!AI68&gt;'Tariffs Jul2020'!M68),($C$5*'Tariffs Jul2020'!AK68/'Tariffs Jul2020'!AI68-'Tariffs Jul2020'!M68)*'Tariffs Jul2020'!S68/100*'Tariffs Jul2020'!AI68,0)</f>
        <v>466.36363636363626</v>
      </c>
      <c r="J74" s="59">
        <f>IF($C$5*'Tariffs Jul2020'!AL68/'Tariffs Jul2020'!AJ68&gt;='Tariffs Jul2020'!J68,('Tariffs Jul2020'!J68*'Tariffs Jul2020'!U68/100)* 'Tariffs Jul2020'!AJ68,($C$5*'Tariffs Jul2020'!AL68/'Tariffs Jul2020'!AJ68*'Tariffs Jul2020'!U68/100)* 'Tariffs Jul2020'!AJ68)</f>
        <v>135.03954545454545</v>
      </c>
      <c r="K74" s="59">
        <f>IF($C$5*'Tariffs Jul2020'!AL68/'Tariffs Jul2020'!AJ68&lt;'Tariffs Jul2020'!J68,0,IF($C$5*'Tariffs Jul2020'!AL68/'Tariffs Jul2020'!AJ68&lt;='Tariffs Jul2020'!K68,($C$5*'Tariffs Jul2020'!AL68/'Tariffs Jul2020'!AJ68-'Tariffs Jul2020'!J68)*('Tariffs Jul2020'!V68/100)*'Tariffs Jul2020'!AJ68,('Tariffs Jul2020'!K68-'Tariffs Jul2020'!J68)*('Tariffs Jul2020'!V68/100)*'Tariffs Jul2020'!AJ68))</f>
        <v>98.299090909090907</v>
      </c>
      <c r="L74" s="59">
        <f>IF($C$5*'Tariffs Jul2020'!AL68/'Tariffs Jul2020'!AJ68&lt;'Tariffs Jul2020'!K68,0,IF($C$5*'Tariffs Jul2020'!AL68/'Tariffs Jul2020'!AJ68&lt;='Tariffs Jul2020'!L68,($C$5*'Tariffs Jul2020'!AL68/'Tariffs Jul2020'!AJ68-'Tariffs Jul2020'!K68)*('Tariffs Jul2020'!W68/100)*'Tariffs Jul2020'!AJ68,('Tariffs Jul2020'!L68-'Tariffs Jul2020'!K68)*('Tariffs Jul2020'!W68/100)*'Tariffs Jul2020'!AJ68))</f>
        <v>0</v>
      </c>
      <c r="M74" s="59">
        <f>IF($C$5*'Tariffs Jul2020'!AL68/'Tariffs Jul2020'!AJ68&lt;'Tariffs Jul2020'!L68,0,IF($C$5*'Tariffs Jul2020'!AL68/'Tariffs Jul2020'!AJ68&lt;='Tariffs Jul2020'!M68,($C$5*'Tariffs Jul2020'!AL68/'Tariffs Jul2020'!AJ68-'Tariffs Jul2020'!L68)*('Tariffs Jul2020'!X68/100)*'Tariffs Jul2020'!AJ68,('Tariffs Jul2020'!M68-'Tariffs Jul2020'!L68)*('Tariffs Jul2020'!X68/100)*'Tariffs Jul2020'!AJ68))</f>
        <v>0</v>
      </c>
      <c r="N74" s="59">
        <f>IF(($C$5*'Tariffs Jul2020'!AL68/'Tariffs Jul2020'!AJ68&gt;'Tariffs Jul2020'!M68),($C$5*'Tariffs Jul2020'!AL68/'Tariffs Jul2020'!AJ68-'Tariffs Jul2020'!M68)*'Tariffs Jul2020'!Y68/100*'Tariffs Jul2020'!AJ68,0)</f>
        <v>466.36363636363626</v>
      </c>
      <c r="O74" s="59">
        <f t="shared" si="1"/>
        <v>1399.4045454545453</v>
      </c>
      <c r="P74" s="503">
        <f t="shared" si="31"/>
        <v>1539.345</v>
      </c>
      <c r="Q74" s="59">
        <f t="shared" si="3"/>
        <v>1665.8545454545454</v>
      </c>
      <c r="R74" s="272">
        <f t="shared" si="4"/>
        <v>1832.44</v>
      </c>
      <c r="S74" s="40">
        <f>'Tariffs Jul2020'!AN68</f>
        <v>0</v>
      </c>
      <c r="T74" s="40">
        <f>'Tariffs Jul2020'!AO68</f>
        <v>0</v>
      </c>
      <c r="U74" s="40">
        <f>'Tariffs Jul2020'!AP68</f>
        <v>0</v>
      </c>
      <c r="V74" s="40">
        <f>'Tariffs Jul2020'!AQ68</f>
        <v>15</v>
      </c>
      <c r="W74" s="284">
        <f>Q74</f>
        <v>1665.8545454545454</v>
      </c>
      <c r="X74" s="284">
        <f>W74-(O74*V74/100)</f>
        <v>1455.9438636363636</v>
      </c>
      <c r="Y74" s="507">
        <f t="shared" ref="Y74:Z75" si="32">W74*1.1</f>
        <v>1832.44</v>
      </c>
      <c r="Z74" s="507">
        <f t="shared" si="32"/>
        <v>1601.5382500000001</v>
      </c>
      <c r="AA74" s="274">
        <f>'Tariffs Jul2020'!AZ68</f>
        <v>0</v>
      </c>
      <c r="AB74" s="274" t="str">
        <f>'Tariffs Jul2020'!BA68</f>
        <v>n</v>
      </c>
      <c r="AC74" s="275" t="str">
        <f>'Tariffs Jul2020'!BJ68</f>
        <v>Y</v>
      </c>
      <c r="AD74" s="511"/>
      <c r="AE74" s="511"/>
      <c r="AF74" s="513"/>
      <c r="AG74" s="546"/>
      <c r="AH74" s="546"/>
      <c r="AI74" s="546"/>
      <c r="AJ74" s="546"/>
      <c r="AK74" s="546"/>
      <c r="AL74" s="546"/>
      <c r="AM74" s="546"/>
      <c r="AN74" s="546"/>
      <c r="AO74" s="546"/>
      <c r="AP74" s="546"/>
      <c r="AQ74" s="546"/>
      <c r="AR74" s="546"/>
      <c r="AS74" s="546"/>
      <c r="AT74" s="546"/>
      <c r="AU74" s="546"/>
      <c r="AV74" s="546"/>
      <c r="AW74" s="546"/>
      <c r="AX74" s="546"/>
      <c r="AY74" s="546"/>
      <c r="AZ74" s="546"/>
    </row>
    <row r="75" spans="1:52" ht="15" thickBot="1" x14ac:dyDescent="0.2">
      <c r="A75" s="276" t="str">
        <f>'Tariffs Jul2020'!F69</f>
        <v>Kogan Energy</v>
      </c>
      <c r="B75" s="277" t="str">
        <f>'Tariffs Jul2020'!D69</f>
        <v>AGN Central 2</v>
      </c>
      <c r="C75" s="277" t="str">
        <f>'Tariffs Jul2020'!G69</f>
        <v>Market offer</v>
      </c>
      <c r="D75" s="278">
        <f>365*'Tariffs Jul2020'!H69/100</f>
        <v>224.77363636363631</v>
      </c>
      <c r="E75" s="278">
        <f>((C$5*'Tariffs Jul2020'!AK69/'Tariffs Jul2020'!AI69)*('Tariffs Jul2020'!O69/100))*'Tariffs Jul2020'!AI69</f>
        <v>664.36363636363626</v>
      </c>
      <c r="F75" s="278">
        <v>0</v>
      </c>
      <c r="G75" s="278">
        <v>0</v>
      </c>
      <c r="H75" s="278">
        <v>0</v>
      </c>
      <c r="I75" s="278">
        <v>0</v>
      </c>
      <c r="J75" s="278">
        <f>((C$5*'Tariffs Jul2020'!AL69/'Tariffs Jul2020'!AJ69)*('Tariffs Jul2020'!U69/100))*'Tariffs Jul2020'!AJ69</f>
        <v>664.36363636363626</v>
      </c>
      <c r="K75" s="278">
        <v>0</v>
      </c>
      <c r="L75" s="278">
        <v>0</v>
      </c>
      <c r="M75" s="278">
        <v>0</v>
      </c>
      <c r="N75" s="278">
        <v>0</v>
      </c>
      <c r="O75" s="278">
        <f t="shared" si="1"/>
        <v>1328.7272727272725</v>
      </c>
      <c r="P75" s="504">
        <f t="shared" si="31"/>
        <v>1461.6</v>
      </c>
      <c r="Q75" s="278">
        <f t="shared" si="3"/>
        <v>1553.5009090909089</v>
      </c>
      <c r="R75" s="280">
        <f t="shared" si="4"/>
        <v>1708.8509999999999</v>
      </c>
      <c r="S75" s="277">
        <f>'Tariffs Jul2020'!AN69</f>
        <v>0</v>
      </c>
      <c r="T75" s="277">
        <f>'Tariffs Jul2020'!AO69</f>
        <v>0</v>
      </c>
      <c r="U75" s="277">
        <f>'Tariffs Jul2020'!AP69</f>
        <v>0</v>
      </c>
      <c r="V75" s="277">
        <f>'Tariffs Jul2020'!AQ69</f>
        <v>0</v>
      </c>
      <c r="W75" s="285">
        <f t="shared" ref="W75" si="33">Q75</f>
        <v>1553.5009090909089</v>
      </c>
      <c r="X75" s="285">
        <f t="shared" ref="X75:X86" si="34">W75</f>
        <v>1553.5009090909089</v>
      </c>
      <c r="Y75" s="508">
        <f t="shared" si="32"/>
        <v>1708.8509999999999</v>
      </c>
      <c r="Z75" s="508">
        <f t="shared" si="32"/>
        <v>1708.8509999999999</v>
      </c>
      <c r="AA75" s="282">
        <f>'Tariffs Jul2020'!AZ69</f>
        <v>0</v>
      </c>
      <c r="AB75" s="282" t="str">
        <f>'Tariffs Jul2020'!BA69</f>
        <v>n</v>
      </c>
      <c r="AC75" s="283" t="str">
        <f>'Tariffs Jul2020'!BJ69</f>
        <v>N</v>
      </c>
      <c r="AD75" s="511"/>
      <c r="AE75" s="511"/>
      <c r="AF75" s="513"/>
      <c r="AG75" s="546"/>
      <c r="AH75" s="546"/>
      <c r="AI75" s="546"/>
      <c r="AJ75" s="546"/>
      <c r="AK75" s="546"/>
      <c r="AL75" s="546"/>
      <c r="AM75" s="546"/>
      <c r="AN75" s="546"/>
      <c r="AO75" s="546"/>
      <c r="AP75" s="546"/>
      <c r="AQ75" s="546"/>
      <c r="AR75" s="546"/>
      <c r="AS75" s="546"/>
      <c r="AT75" s="546"/>
      <c r="AU75" s="546"/>
      <c r="AV75" s="546"/>
      <c r="AW75" s="546"/>
      <c r="AX75" s="546"/>
      <c r="AY75" s="546"/>
      <c r="AZ75" s="546"/>
    </row>
    <row r="76" spans="1:52" ht="15" thickTop="1" x14ac:dyDescent="0.15">
      <c r="A76" s="270" t="str">
        <f>'Tariffs Jul2020'!F70</f>
        <v>AGL</v>
      </c>
      <c r="B76" s="40" t="str">
        <f>'Tariffs Jul2020'!D70</f>
        <v>AGN Central 1</v>
      </c>
      <c r="C76" s="40" t="str">
        <f>'Tariffs Jul2020'!G70</f>
        <v>Essentials Saver</v>
      </c>
      <c r="D76" s="59">
        <f>365*'Tariffs Jul2020'!H70/100</f>
        <v>280.38636363636363</v>
      </c>
      <c r="E76" s="59">
        <f>IF($C$5*'Tariffs Jul2020'!AK70/'Tariffs Jul2020'!AI70&gt;='Tariffs Jul2020'!J70,( 'Tariffs Jul2020'!J70*'Tariffs Jul2020'!O70/100)* 'Tariffs Jul2020'!AI70,($C$5*'Tariffs Jul2020'!AK70/'Tariffs Jul2020'!AI70*'Tariffs Jul2020'!O70/100)* 'Tariffs Jul2020'!AI70)</f>
        <v>105.87818181818179</v>
      </c>
      <c r="F76" s="59">
        <f>IF($C$5*'Tariffs Jul2020'!AK70/'Tariffs Jul2020'!AI70&lt;'Tariffs Jul2020'!J70,0,IF($C$5*'Tariffs Jul2020'!AK70/'Tariffs Jul2020'!AI70&lt;='Tariffs Jul2020'!K70,($C$5*'Tariffs Jul2020'!AK70/'Tariffs Jul2020'!AI70-'Tariffs Jul2020'!J70)*('Tariffs Jul2020'!P70/100)*'Tariffs Jul2020'!AI70,('Tariffs Jul2020'!K70-'Tariffs Jul2020'!J70)*('Tariffs Jul2020'!P70/100)*'Tariffs Jul2020'!AI70))</f>
        <v>76.126363636363621</v>
      </c>
      <c r="G76" s="59">
        <f>IF($C$5*'Tariffs Jul2020'!AK70/'Tariffs Jul2020'!AI70&lt;'Tariffs Jul2020'!K70,0,IF($C$5*'Tariffs Jul2020'!AK70/'Tariffs Jul2020'!AI70&lt;='Tariffs Jul2020'!L70,($C$5*'Tariffs Jul2020'!AK70/'Tariffs Jul2020'!AI70-'Tariffs Jul2020'!K70)*('Tariffs Jul2020'!Q70/100)*'Tariffs Jul2020'!AI70,('Tariffs Jul2020'!L70-'Tariffs Jul2020'!K70)*('Tariffs Jul2020'!Q70/100)*'Tariffs Jul2020'!AI70))</f>
        <v>0</v>
      </c>
      <c r="H76" s="59">
        <f>IF($C$5*'Tariffs Jul2020'!AK70/'Tariffs Jul2020'!AI70&lt;'Tariffs Jul2020'!L70,0,IF($C$5*'Tariffs Jul2020'!AK70/'Tariffs Jul2020'!AI70&lt;='Tariffs Jul2020'!M70,($C$5*'Tariffs Jul2020'!AK70/'Tariffs Jul2020'!AI70-'Tariffs Jul2020'!L70)*('Tariffs Jul2020'!R70/100)*'Tariffs Jul2020'!AI70,('Tariffs Jul2020'!M70-'Tariffs Jul2020'!L70)*('Tariffs Jul2020'!R70/100)*'Tariffs Jul2020'!AI70))</f>
        <v>0</v>
      </c>
      <c r="I76" s="59">
        <f>IF(($C$5*'Tariffs Jul2020'!AK70/'Tariffs Jul2020'!AI70&gt;'Tariffs Jul2020'!M70),($C$5*'Tariffs Jul2020'!AK70/'Tariffs Jul2020'!AI70-'Tariffs Jul2020'!M70)*'Tariffs Jul2020'!S70/100*'Tariffs Jul2020'!AI70,0)</f>
        <v>335.45454545454538</v>
      </c>
      <c r="J76" s="59">
        <f>IF($C$5*'Tariffs Jul2020'!AL70/'Tariffs Jul2020'!AJ70&gt;='Tariffs Jul2020'!J70,('Tariffs Jul2020'!J70*'Tariffs Jul2020'!U70/100)* 'Tariffs Jul2020'!AJ70,($C$5*'Tariffs Jul2020'!AL70/'Tariffs Jul2020'!AJ70*'Tariffs Jul2020'!U70/100)* 'Tariffs Jul2020'!AJ70)</f>
        <v>105.87818181818179</v>
      </c>
      <c r="K76" s="59">
        <f>IF($C$5*'Tariffs Jul2020'!AL70/'Tariffs Jul2020'!AJ70&lt;'Tariffs Jul2020'!J70,0,IF($C$5*'Tariffs Jul2020'!AL70/'Tariffs Jul2020'!AJ70&lt;='Tariffs Jul2020'!K70,($C$5*'Tariffs Jul2020'!AL70/'Tariffs Jul2020'!AJ70-'Tariffs Jul2020'!J70)*('Tariffs Jul2020'!V70/100)*'Tariffs Jul2020'!AJ70,('Tariffs Jul2020'!K70-'Tariffs Jul2020'!J70)*('Tariffs Jul2020'!V70/100)*'Tariffs Jul2020'!AJ70))</f>
        <v>76.126363636363621</v>
      </c>
      <c r="L76" s="59">
        <f>IF($C$5*'Tariffs Jul2020'!AL70/'Tariffs Jul2020'!AJ70&lt;'Tariffs Jul2020'!K70,0,IF($C$5*'Tariffs Jul2020'!AL70/'Tariffs Jul2020'!AJ70&lt;='Tariffs Jul2020'!L70,($C$5*'Tariffs Jul2020'!AL70/'Tariffs Jul2020'!AJ70-'Tariffs Jul2020'!K70)*('Tariffs Jul2020'!W70/100)*'Tariffs Jul2020'!AJ70,('Tariffs Jul2020'!L70-'Tariffs Jul2020'!K70)*('Tariffs Jul2020'!W70/100)*'Tariffs Jul2020'!AJ70))</f>
        <v>0</v>
      </c>
      <c r="M76" s="59">
        <f>IF($C$5*'Tariffs Jul2020'!AL70/'Tariffs Jul2020'!AJ70&lt;'Tariffs Jul2020'!L70,0,IF($C$5*'Tariffs Jul2020'!AL70/'Tariffs Jul2020'!AJ70&lt;='Tariffs Jul2020'!M70,($C$5*'Tariffs Jul2020'!AL70/'Tariffs Jul2020'!AJ70-'Tariffs Jul2020'!L70)*('Tariffs Jul2020'!X70/100)*'Tariffs Jul2020'!AJ70,('Tariffs Jul2020'!M70-'Tariffs Jul2020'!L70)*('Tariffs Jul2020'!X70/100)*'Tariffs Jul2020'!AJ70))</f>
        <v>0</v>
      </c>
      <c r="N76" s="59">
        <f>IF(($C$5*'Tariffs Jul2020'!AL70/'Tariffs Jul2020'!AJ70&gt;'Tariffs Jul2020'!M70),($C$5*'Tariffs Jul2020'!AL70/'Tariffs Jul2020'!AJ70-'Tariffs Jul2020'!M70)*'Tariffs Jul2020'!Y70/100*'Tariffs Jul2020'!AJ70,0)</f>
        <v>335.45454545454538</v>
      </c>
      <c r="O76" s="59">
        <f t="shared" si="1"/>
        <v>1034.9181818181814</v>
      </c>
      <c r="P76" s="503">
        <f t="shared" si="31"/>
        <v>1138.4099999999996</v>
      </c>
      <c r="Q76" s="59">
        <f t="shared" si="3"/>
        <v>1315.304545454545</v>
      </c>
      <c r="R76" s="272">
        <f t="shared" si="4"/>
        <v>1446.8349999999996</v>
      </c>
      <c r="S76" s="40">
        <f>'Tariffs Jul2020'!AN70</f>
        <v>0</v>
      </c>
      <c r="T76" s="40">
        <f>'Tariffs Jul2020'!AO70</f>
        <v>0</v>
      </c>
      <c r="U76" s="40">
        <f>'Tariffs Jul2020'!AP70</f>
        <v>0</v>
      </c>
      <c r="V76" s="40">
        <f>'Tariffs Jul2020'!AQ70</f>
        <v>0</v>
      </c>
      <c r="W76" s="284">
        <f>Q76</f>
        <v>1315.304545454545</v>
      </c>
      <c r="X76" s="284">
        <f t="shared" si="34"/>
        <v>1315.304545454545</v>
      </c>
      <c r="Y76" s="507">
        <f>W76*1.1</f>
        <v>1446.8349999999996</v>
      </c>
      <c r="Z76" s="507">
        <f>X76*1.1</f>
        <v>1446.8349999999996</v>
      </c>
      <c r="AA76" s="274">
        <f>'Tariffs Jul2020'!AZ70</f>
        <v>0</v>
      </c>
      <c r="AB76" s="274" t="str">
        <f>'Tariffs Jul2020'!BA70</f>
        <v>n</v>
      </c>
      <c r="AC76" s="275" t="str">
        <f>'Tariffs Jul2020'!BJ70</f>
        <v>N</v>
      </c>
      <c r="AD76" s="511"/>
      <c r="AE76" s="511"/>
      <c r="AF76" s="513"/>
      <c r="AG76" s="546"/>
      <c r="AH76" s="546"/>
      <c r="AI76" s="546"/>
      <c r="AJ76" s="546"/>
      <c r="AK76" s="546"/>
      <c r="AL76" s="546"/>
      <c r="AM76" s="546"/>
      <c r="AN76" s="546"/>
      <c r="AO76" s="546"/>
      <c r="AP76" s="546"/>
      <c r="AQ76" s="546"/>
      <c r="AR76" s="546"/>
      <c r="AS76" s="546"/>
      <c r="AT76" s="546"/>
      <c r="AU76" s="546"/>
      <c r="AV76" s="546"/>
      <c r="AW76" s="546"/>
      <c r="AX76" s="546"/>
      <c r="AY76" s="546"/>
      <c r="AZ76" s="546"/>
    </row>
    <row r="77" spans="1:52" ht="14" x14ac:dyDescent="0.15">
      <c r="A77" s="270" t="str">
        <f>'Tariffs Jul2020'!F71</f>
        <v>Alinta Energy</v>
      </c>
      <c r="B77" s="40" t="str">
        <f>'Tariffs Jul2020'!D71</f>
        <v>AGN Central 1</v>
      </c>
      <c r="C77" s="40" t="str">
        <f>'Tariffs Jul2020'!G71</f>
        <v>Home Deal</v>
      </c>
      <c r="D77" s="59">
        <f>365*'Tariffs Jul2020'!H71/100</f>
        <v>229.94999999999996</v>
      </c>
      <c r="E77" s="59">
        <f>IF($C$5*'Tariffs Jul2020'!AK71/'Tariffs Jul2020'!AI71&gt;='Tariffs Jul2020'!J71,( 'Tariffs Jul2020'!J71*'Tariffs Jul2020'!O71/100)* 'Tariffs Jul2020'!AI71,($C$5*'Tariffs Jul2020'!AK71/'Tariffs Jul2020'!AI71*'Tariffs Jul2020'!O71/100)* 'Tariffs Jul2020'!AI71)</f>
        <v>128.30999999999997</v>
      </c>
      <c r="F77" s="59">
        <f>IF($C$5*'Tariffs Jul2020'!AK71/'Tariffs Jul2020'!AI71&lt;'Tariffs Jul2020'!J71,0,IF($C$5*'Tariffs Jul2020'!AK71/'Tariffs Jul2020'!AI71&lt;='Tariffs Jul2020'!K71,($C$5*'Tariffs Jul2020'!AK71/'Tariffs Jul2020'!AI71-'Tariffs Jul2020'!J71)*('Tariffs Jul2020'!P71/100)*'Tariffs Jul2020'!AI71,('Tariffs Jul2020'!K71-'Tariffs Jul2020'!J71)*('Tariffs Jul2020'!P71/100)*'Tariffs Jul2020'!AI71))</f>
        <v>89.429999999999993</v>
      </c>
      <c r="G77" s="59">
        <f>IF($C$5*'Tariffs Jul2020'!AK71/'Tariffs Jul2020'!AI71&lt;'Tariffs Jul2020'!K71,0,IF($C$5*'Tariffs Jul2020'!AK71/'Tariffs Jul2020'!AI71&lt;='Tariffs Jul2020'!L71,($C$5*'Tariffs Jul2020'!AK71/'Tariffs Jul2020'!AI71-'Tariffs Jul2020'!K71)*('Tariffs Jul2020'!Q71/100)*'Tariffs Jul2020'!AI71,('Tariffs Jul2020'!L71-'Tariffs Jul2020'!K71)*('Tariffs Jul2020'!Q71/100)*'Tariffs Jul2020'!AI71))</f>
        <v>0</v>
      </c>
      <c r="H77" s="59">
        <f>IF($C$5*'Tariffs Jul2020'!AK71/'Tariffs Jul2020'!AI71&lt;'Tariffs Jul2020'!L71,0,IF($C$5*'Tariffs Jul2020'!AK71/'Tariffs Jul2020'!AI71&lt;='Tariffs Jul2020'!M71,($C$5*'Tariffs Jul2020'!AK71/'Tariffs Jul2020'!AI71-'Tariffs Jul2020'!L71)*('Tariffs Jul2020'!R71/100)*'Tariffs Jul2020'!AI71,('Tariffs Jul2020'!M71-'Tariffs Jul2020'!L71)*('Tariffs Jul2020'!R71/100)*'Tariffs Jul2020'!AI71))</f>
        <v>0</v>
      </c>
      <c r="I77" s="59">
        <f>IF(($C$5*'Tariffs Jul2020'!AK71/'Tariffs Jul2020'!AI71&gt;'Tariffs Jul2020'!M71),($C$5*'Tariffs Jul2020'!AK71/'Tariffs Jul2020'!AI71-'Tariffs Jul2020'!M71)*'Tariffs Jul2020'!S71/100*'Tariffs Jul2020'!AI71,0)</f>
        <v>382.5</v>
      </c>
      <c r="J77" s="59">
        <f>IF($C$5*'Tariffs Jul2020'!AL71/'Tariffs Jul2020'!AJ71&gt;='Tariffs Jul2020'!J71,('Tariffs Jul2020'!J71*'Tariffs Jul2020'!U71/100)* 'Tariffs Jul2020'!AJ71,($C$5*'Tariffs Jul2020'!AL71/'Tariffs Jul2020'!AJ71*'Tariffs Jul2020'!U71/100)* 'Tariffs Jul2020'!AJ71)</f>
        <v>128.30999999999997</v>
      </c>
      <c r="K77" s="59">
        <f>IF($C$5*'Tariffs Jul2020'!AL71/'Tariffs Jul2020'!AJ71&lt;'Tariffs Jul2020'!J71,0,IF($C$5*'Tariffs Jul2020'!AL71/'Tariffs Jul2020'!AJ71&lt;='Tariffs Jul2020'!K71,($C$5*'Tariffs Jul2020'!AL71/'Tariffs Jul2020'!AJ71-'Tariffs Jul2020'!J71)*('Tariffs Jul2020'!V71/100)*'Tariffs Jul2020'!AJ71,('Tariffs Jul2020'!K71-'Tariffs Jul2020'!J71)*('Tariffs Jul2020'!V71/100)*'Tariffs Jul2020'!AJ71))</f>
        <v>89.429999999999993</v>
      </c>
      <c r="L77" s="59">
        <f>IF($C$5*'Tariffs Jul2020'!AL71/'Tariffs Jul2020'!AJ71&lt;'Tariffs Jul2020'!K71,0,IF($C$5*'Tariffs Jul2020'!AL71/'Tariffs Jul2020'!AJ71&lt;='Tariffs Jul2020'!L71,($C$5*'Tariffs Jul2020'!AL71/'Tariffs Jul2020'!AJ71-'Tariffs Jul2020'!K71)*('Tariffs Jul2020'!W71/100)*'Tariffs Jul2020'!AJ71,('Tariffs Jul2020'!L71-'Tariffs Jul2020'!K71)*('Tariffs Jul2020'!W71/100)*'Tariffs Jul2020'!AJ71))</f>
        <v>0</v>
      </c>
      <c r="M77" s="59">
        <f>IF($C$5*'Tariffs Jul2020'!AL71/'Tariffs Jul2020'!AJ71&lt;'Tariffs Jul2020'!L71,0,IF($C$5*'Tariffs Jul2020'!AL71/'Tariffs Jul2020'!AJ71&lt;='Tariffs Jul2020'!M71,($C$5*'Tariffs Jul2020'!AL71/'Tariffs Jul2020'!AJ71-'Tariffs Jul2020'!L71)*('Tariffs Jul2020'!X71/100)*'Tariffs Jul2020'!AJ71,('Tariffs Jul2020'!M71-'Tariffs Jul2020'!L71)*('Tariffs Jul2020'!X71/100)*'Tariffs Jul2020'!AJ71))</f>
        <v>0</v>
      </c>
      <c r="N77" s="59">
        <f>IF(($C$5*'Tariffs Jul2020'!AL71/'Tariffs Jul2020'!AJ71&gt;'Tariffs Jul2020'!M71),($C$5*'Tariffs Jul2020'!AL71/'Tariffs Jul2020'!AJ71-'Tariffs Jul2020'!M71)*'Tariffs Jul2020'!Y71/100*'Tariffs Jul2020'!AJ71,0)</f>
        <v>382.5</v>
      </c>
      <c r="O77" s="59">
        <f t="shared" si="1"/>
        <v>1200.48</v>
      </c>
      <c r="P77" s="503">
        <f t="shared" si="31"/>
        <v>1320.528</v>
      </c>
      <c r="Q77" s="59">
        <f t="shared" si="3"/>
        <v>1430.43</v>
      </c>
      <c r="R77" s="272">
        <f t="shared" si="4"/>
        <v>1573.4730000000002</v>
      </c>
      <c r="S77" s="40">
        <f>'Tariffs Jul2020'!AN71</f>
        <v>0</v>
      </c>
      <c r="T77" s="40">
        <f>'Tariffs Jul2020'!AO71</f>
        <v>0</v>
      </c>
      <c r="U77" s="40">
        <f>'Tariffs Jul2020'!AP71</f>
        <v>0</v>
      </c>
      <c r="V77" s="40">
        <f>'Tariffs Jul2020'!AQ71</f>
        <v>0</v>
      </c>
      <c r="W77" s="284">
        <f>Q77</f>
        <v>1430.43</v>
      </c>
      <c r="X77" s="284">
        <f t="shared" si="34"/>
        <v>1430.43</v>
      </c>
      <c r="Y77" s="507">
        <f>W77*1.1</f>
        <v>1573.4730000000002</v>
      </c>
      <c r="Z77" s="507">
        <f t="shared" ref="Z77:Z83" si="35">X77*1.1</f>
        <v>1573.4730000000002</v>
      </c>
      <c r="AA77" s="274">
        <f>'Tariffs Jul2020'!AZ71</f>
        <v>0</v>
      </c>
      <c r="AB77" s="274" t="str">
        <f>'Tariffs Jul2020'!BA71</f>
        <v>n</v>
      </c>
      <c r="AC77" s="275" t="str">
        <f>'Tariffs Jul2020'!BJ71</f>
        <v>N</v>
      </c>
      <c r="AD77" s="511"/>
      <c r="AE77" s="511"/>
      <c r="AF77" s="513"/>
      <c r="AG77" s="546"/>
      <c r="AH77" s="546"/>
      <c r="AI77" s="546"/>
      <c r="AJ77" s="546"/>
      <c r="AK77" s="546"/>
      <c r="AL77" s="546"/>
      <c r="AM77" s="546"/>
      <c r="AN77" s="546"/>
      <c r="AO77" s="546"/>
      <c r="AP77" s="546"/>
      <c r="AQ77" s="546"/>
      <c r="AR77" s="546"/>
      <c r="AS77" s="546"/>
      <c r="AT77" s="546"/>
      <c r="AU77" s="546"/>
      <c r="AV77" s="546"/>
      <c r="AW77" s="546"/>
      <c r="AX77" s="546"/>
      <c r="AY77" s="546"/>
      <c r="AZ77" s="546"/>
    </row>
    <row r="78" spans="1:52" ht="14" x14ac:dyDescent="0.15">
      <c r="A78" s="270" t="str">
        <f>'Tariffs Jul2020'!F72</f>
        <v>Click Energy</v>
      </c>
      <c r="B78" s="40" t="str">
        <f>'Tariffs Jul2020'!D72</f>
        <v>AGN Central 1</v>
      </c>
      <c r="C78" s="40" t="str">
        <f>'Tariffs Jul2020'!G72</f>
        <v>Flora</v>
      </c>
      <c r="D78" s="59">
        <f>365*'Tariffs Jul2020'!H72/100</f>
        <v>187.34454545454545</v>
      </c>
      <c r="E78" s="59">
        <f>IF($C$5*'Tariffs Jul2020'!AK72/'Tariffs Jul2020'!AI72&gt;='Tariffs Jul2020'!J72,( 'Tariffs Jul2020'!J72*'Tariffs Jul2020'!O72/100)* 'Tariffs Jul2020'!AI72,($C$5*'Tariffs Jul2020'!AK72/'Tariffs Jul2020'!AI72*'Tariffs Jul2020'!O72/100)* 'Tariffs Jul2020'!AI72)</f>
        <v>118.44</v>
      </c>
      <c r="F78" s="59">
        <f>IF($C$5*'Tariffs Jul2020'!AK72/'Tariffs Jul2020'!AI72&lt;'Tariffs Jul2020'!J72,0,IF($C$5*'Tariffs Jul2020'!AK72/'Tariffs Jul2020'!AI72&lt;='Tariffs Jul2020'!K72,($C$5*'Tariffs Jul2020'!AK72/'Tariffs Jul2020'!AI72-'Tariffs Jul2020'!J72)*('Tariffs Jul2020'!P72/100)*'Tariffs Jul2020'!AI72,('Tariffs Jul2020'!K72-'Tariffs Jul2020'!J72)*('Tariffs Jul2020'!P72/100)*'Tariffs Jul2020'!AI72))</f>
        <v>83.147727272727266</v>
      </c>
      <c r="G78" s="59">
        <f>IF($C$5*'Tariffs Jul2020'!AK72/'Tariffs Jul2020'!AI72&lt;'Tariffs Jul2020'!K72,0,IF($C$5*'Tariffs Jul2020'!AK72/'Tariffs Jul2020'!AI72&lt;='Tariffs Jul2020'!L72,($C$5*'Tariffs Jul2020'!AK72/'Tariffs Jul2020'!AI72-'Tariffs Jul2020'!K72)*('Tariffs Jul2020'!Q72/100)*'Tariffs Jul2020'!AI72,('Tariffs Jul2020'!L72-'Tariffs Jul2020'!K72)*('Tariffs Jul2020'!Q72/100)*'Tariffs Jul2020'!AI72))</f>
        <v>0</v>
      </c>
      <c r="H78" s="59">
        <f>IF($C$5*'Tariffs Jul2020'!AK72/'Tariffs Jul2020'!AI72&lt;'Tariffs Jul2020'!L72,0,IF($C$5*'Tariffs Jul2020'!AK72/'Tariffs Jul2020'!AI72&lt;='Tariffs Jul2020'!M72,($C$5*'Tariffs Jul2020'!AK72/'Tariffs Jul2020'!AI72-'Tariffs Jul2020'!L72)*('Tariffs Jul2020'!R72/100)*'Tariffs Jul2020'!AI72,('Tariffs Jul2020'!M72-'Tariffs Jul2020'!L72)*('Tariffs Jul2020'!R72/100)*'Tariffs Jul2020'!AI72))</f>
        <v>0</v>
      </c>
      <c r="I78" s="59">
        <f>IF(($C$5*'Tariffs Jul2020'!AK72/'Tariffs Jul2020'!AI72&gt;'Tariffs Jul2020'!M72),($C$5*'Tariffs Jul2020'!AK72/'Tariffs Jul2020'!AI72-'Tariffs Jul2020'!M72)*'Tariffs Jul2020'!S72/100*'Tariffs Jul2020'!AI72,0)</f>
        <v>396.81818181818176</v>
      </c>
      <c r="J78" s="59">
        <f>IF($C$5*'Tariffs Jul2020'!AL72/'Tariffs Jul2020'!AJ72&gt;='Tariffs Jul2020'!J72,('Tariffs Jul2020'!J72*'Tariffs Jul2020'!U72/100)* 'Tariffs Jul2020'!AJ72,($C$5*'Tariffs Jul2020'!AL72/'Tariffs Jul2020'!AJ72*'Tariffs Jul2020'!U72/100)* 'Tariffs Jul2020'!AJ72)</f>
        <v>118.44</v>
      </c>
      <c r="K78" s="59">
        <f>IF($C$5*'Tariffs Jul2020'!AL72/'Tariffs Jul2020'!AJ72&lt;'Tariffs Jul2020'!J72,0,IF($C$5*'Tariffs Jul2020'!AL72/'Tariffs Jul2020'!AJ72&lt;='Tariffs Jul2020'!K72,($C$5*'Tariffs Jul2020'!AL72/'Tariffs Jul2020'!AJ72-'Tariffs Jul2020'!J72)*('Tariffs Jul2020'!V72/100)*'Tariffs Jul2020'!AJ72,('Tariffs Jul2020'!K72-'Tariffs Jul2020'!J72)*('Tariffs Jul2020'!V72/100)*'Tariffs Jul2020'!AJ72))</f>
        <v>83.147727272727266</v>
      </c>
      <c r="L78" s="59">
        <f>IF($C$5*'Tariffs Jul2020'!AL72/'Tariffs Jul2020'!AJ72&lt;'Tariffs Jul2020'!K72,0,IF($C$5*'Tariffs Jul2020'!AL72/'Tariffs Jul2020'!AJ72&lt;='Tariffs Jul2020'!L72,($C$5*'Tariffs Jul2020'!AL72/'Tariffs Jul2020'!AJ72-'Tariffs Jul2020'!K72)*('Tariffs Jul2020'!W72/100)*'Tariffs Jul2020'!AJ72,('Tariffs Jul2020'!L72-'Tariffs Jul2020'!K72)*('Tariffs Jul2020'!W72/100)*'Tariffs Jul2020'!AJ72))</f>
        <v>0</v>
      </c>
      <c r="M78" s="59">
        <f>IF($C$5*'Tariffs Jul2020'!AL72/'Tariffs Jul2020'!AJ72&lt;'Tariffs Jul2020'!L72,0,IF($C$5*'Tariffs Jul2020'!AL72/'Tariffs Jul2020'!AJ72&lt;='Tariffs Jul2020'!M72,($C$5*'Tariffs Jul2020'!AL72/'Tariffs Jul2020'!AJ72-'Tariffs Jul2020'!L72)*('Tariffs Jul2020'!X72/100)*'Tariffs Jul2020'!AJ72,('Tariffs Jul2020'!M72-'Tariffs Jul2020'!L72)*('Tariffs Jul2020'!X72/100)*'Tariffs Jul2020'!AJ72))</f>
        <v>0</v>
      </c>
      <c r="N78" s="59">
        <f>IF(($C$5*'Tariffs Jul2020'!AL72/'Tariffs Jul2020'!AJ72&gt;'Tariffs Jul2020'!M72),($C$5*'Tariffs Jul2020'!AL72/'Tariffs Jul2020'!AJ72-'Tariffs Jul2020'!M72)*'Tariffs Jul2020'!Y72/100*'Tariffs Jul2020'!AJ72,0)</f>
        <v>396.81818181818176</v>
      </c>
      <c r="O78" s="59">
        <f t="shared" si="1"/>
        <v>1196.8118181818181</v>
      </c>
      <c r="P78" s="503">
        <f t="shared" si="31"/>
        <v>1316.4929999999999</v>
      </c>
      <c r="Q78" s="59">
        <f t="shared" si="3"/>
        <v>1384.1563636363635</v>
      </c>
      <c r="R78" s="272">
        <f t="shared" si="4"/>
        <v>1522.5719999999999</v>
      </c>
      <c r="S78" s="40">
        <f>'Tariffs Jul2020'!AN72</f>
        <v>0</v>
      </c>
      <c r="T78" s="40">
        <f>'Tariffs Jul2020'!AO72</f>
        <v>0</v>
      </c>
      <c r="U78" s="40">
        <f>'Tariffs Jul2020'!AP72</f>
        <v>0</v>
      </c>
      <c r="V78" s="40">
        <f>'Tariffs Jul2020'!AQ72</f>
        <v>0</v>
      </c>
      <c r="W78" s="284">
        <f>Q78</f>
        <v>1384.1563636363635</v>
      </c>
      <c r="X78" s="284">
        <f t="shared" si="34"/>
        <v>1384.1563636363635</v>
      </c>
      <c r="Y78" s="507">
        <f t="shared" ref="Y78:Y83" si="36">W78*1.1</f>
        <v>1522.5719999999999</v>
      </c>
      <c r="Z78" s="507">
        <f t="shared" si="35"/>
        <v>1522.5719999999999</v>
      </c>
      <c r="AA78" s="274">
        <f>'Tariffs Jul2020'!AZ72</f>
        <v>0</v>
      </c>
      <c r="AB78" s="274" t="str">
        <f>'Tariffs Jul2020'!BA72</f>
        <v>n</v>
      </c>
      <c r="AC78" s="275" t="str">
        <f>'Tariffs Jul2020'!BJ72</f>
        <v>N</v>
      </c>
      <c r="AD78" s="511"/>
      <c r="AE78" s="511"/>
      <c r="AF78" s="513"/>
      <c r="AG78" s="546"/>
      <c r="AH78" s="546"/>
      <c r="AI78" s="546"/>
      <c r="AJ78" s="546"/>
      <c r="AK78" s="546"/>
      <c r="AL78" s="546"/>
      <c r="AM78" s="546"/>
      <c r="AN78" s="546"/>
      <c r="AO78" s="546"/>
      <c r="AP78" s="546"/>
      <c r="AQ78" s="546"/>
      <c r="AR78" s="546"/>
      <c r="AS78" s="546"/>
      <c r="AT78" s="546"/>
      <c r="AU78" s="546"/>
      <c r="AV78" s="546"/>
      <c r="AW78" s="546"/>
      <c r="AX78" s="546"/>
      <c r="AY78" s="546"/>
      <c r="AZ78" s="546"/>
    </row>
    <row r="79" spans="1:52" ht="14" x14ac:dyDescent="0.15">
      <c r="A79" s="270" t="str">
        <f>'Tariffs Jul2020'!F73</f>
        <v>Covau</v>
      </c>
      <c r="B79" s="40" t="str">
        <f>'Tariffs Jul2020'!D73</f>
        <v>AGN Central 1</v>
      </c>
      <c r="C79" s="40" t="str">
        <f>'Tariffs Jul2020'!G73</f>
        <v>Smart Saver</v>
      </c>
      <c r="D79" s="59">
        <f>365*'Tariffs Jul2020'!H73/100</f>
        <v>273.75</v>
      </c>
      <c r="E79" s="59">
        <f>IF($C$5*'Tariffs Jul2020'!AK73/'Tariffs Jul2020'!AI73&gt;='Tariffs Jul2020'!J73,( 'Tariffs Jul2020'!J73*'Tariffs Jul2020'!O73/100)* 'Tariffs Jul2020'!AI73,($C$5*'Tariffs Jul2020'!AK73/'Tariffs Jul2020'!AI73*'Tariffs Jul2020'!O73/100)* 'Tariffs Jul2020'!AI73)</f>
        <v>156.57409090909093</v>
      </c>
      <c r="F79" s="59">
        <f>IF($C$5*'Tariffs Jul2020'!AK73/'Tariffs Jul2020'!AI73&lt;'Tariffs Jul2020'!J73,0,IF($C$5*'Tariffs Jul2020'!AK73/'Tariffs Jul2020'!AI73&lt;='Tariffs Jul2020'!K73,($C$5*'Tariffs Jul2020'!AK73/'Tariffs Jul2020'!AI73-'Tariffs Jul2020'!J73)*('Tariffs Jul2020'!P73/100)*'Tariffs Jul2020'!AI73,('Tariffs Jul2020'!K73-'Tariffs Jul2020'!J73)*('Tariffs Jul2020'!P73/100)*'Tariffs Jul2020'!AI73))</f>
        <v>101.625</v>
      </c>
      <c r="G79" s="59">
        <f>IF($C$5*'Tariffs Jul2020'!AK73/'Tariffs Jul2020'!AI73&lt;'Tariffs Jul2020'!K73,0,IF($C$5*'Tariffs Jul2020'!AK73/'Tariffs Jul2020'!AI73&lt;='Tariffs Jul2020'!L73,($C$5*'Tariffs Jul2020'!AK73/'Tariffs Jul2020'!AI73-'Tariffs Jul2020'!K73)*('Tariffs Jul2020'!Q73/100)*'Tariffs Jul2020'!AI73,('Tariffs Jul2020'!L73-'Tariffs Jul2020'!K73)*('Tariffs Jul2020'!Q73/100)*'Tariffs Jul2020'!AI73))</f>
        <v>0</v>
      </c>
      <c r="H79" s="59">
        <f>IF($C$5*'Tariffs Jul2020'!AK73/'Tariffs Jul2020'!AI73&lt;'Tariffs Jul2020'!L73,0,IF($C$5*'Tariffs Jul2020'!AK73/'Tariffs Jul2020'!AI73&lt;='Tariffs Jul2020'!M73,($C$5*'Tariffs Jul2020'!AK73/'Tariffs Jul2020'!AI73-'Tariffs Jul2020'!L73)*('Tariffs Jul2020'!R73/100)*'Tariffs Jul2020'!AI73,('Tariffs Jul2020'!M73-'Tariffs Jul2020'!L73)*('Tariffs Jul2020'!R73/100)*'Tariffs Jul2020'!AI73))</f>
        <v>0</v>
      </c>
      <c r="I79" s="59">
        <f>IF(($C$5*'Tariffs Jul2020'!AK73/'Tariffs Jul2020'!AI73&gt;'Tariffs Jul2020'!M73),($C$5*'Tariffs Jul2020'!AK73/'Tariffs Jul2020'!AI73-'Tariffs Jul2020'!M73)*'Tariffs Jul2020'!S73/100*'Tariffs Jul2020'!AI73,0)</f>
        <v>507.27272727272725</v>
      </c>
      <c r="J79" s="59">
        <f>IF($C$5*'Tariffs Jul2020'!AL73/'Tariffs Jul2020'!AJ73&gt;='Tariffs Jul2020'!J73,('Tariffs Jul2020'!J73*'Tariffs Jul2020'!U73/100)* 'Tariffs Jul2020'!AJ73,($C$5*'Tariffs Jul2020'!AL73/'Tariffs Jul2020'!AJ73*'Tariffs Jul2020'!U73/100)* 'Tariffs Jul2020'!AJ73)</f>
        <v>156.57409090909093</v>
      </c>
      <c r="K79" s="59">
        <f>IF($C$5*'Tariffs Jul2020'!AL73/'Tariffs Jul2020'!AJ73&lt;'Tariffs Jul2020'!J73,0,IF($C$5*'Tariffs Jul2020'!AL73/'Tariffs Jul2020'!AJ73&lt;='Tariffs Jul2020'!K73,($C$5*'Tariffs Jul2020'!AL73/'Tariffs Jul2020'!AJ73-'Tariffs Jul2020'!J73)*('Tariffs Jul2020'!V73/100)*'Tariffs Jul2020'!AJ73,('Tariffs Jul2020'!K73-'Tariffs Jul2020'!J73)*('Tariffs Jul2020'!V73/100)*'Tariffs Jul2020'!AJ73))</f>
        <v>101.625</v>
      </c>
      <c r="L79" s="59">
        <f>IF($C$5*'Tariffs Jul2020'!AL73/'Tariffs Jul2020'!AJ73&lt;'Tariffs Jul2020'!K73,0,IF($C$5*'Tariffs Jul2020'!AL73/'Tariffs Jul2020'!AJ73&lt;='Tariffs Jul2020'!L73,($C$5*'Tariffs Jul2020'!AL73/'Tariffs Jul2020'!AJ73-'Tariffs Jul2020'!K73)*('Tariffs Jul2020'!W73/100)*'Tariffs Jul2020'!AJ73,('Tariffs Jul2020'!L73-'Tariffs Jul2020'!K73)*('Tariffs Jul2020'!W73/100)*'Tariffs Jul2020'!AJ73))</f>
        <v>0</v>
      </c>
      <c r="M79" s="59">
        <f>IF($C$5*'Tariffs Jul2020'!AL73/'Tariffs Jul2020'!AJ73&lt;'Tariffs Jul2020'!L73,0,IF($C$5*'Tariffs Jul2020'!AL73/'Tariffs Jul2020'!AJ73&lt;='Tariffs Jul2020'!M73,($C$5*'Tariffs Jul2020'!AL73/'Tariffs Jul2020'!AJ73-'Tariffs Jul2020'!L73)*('Tariffs Jul2020'!X73/100)*'Tariffs Jul2020'!AJ73,('Tariffs Jul2020'!M73-'Tariffs Jul2020'!L73)*('Tariffs Jul2020'!X73/100)*'Tariffs Jul2020'!AJ73))</f>
        <v>0</v>
      </c>
      <c r="N79" s="59">
        <f>IF(($C$5*'Tariffs Jul2020'!AL73/'Tariffs Jul2020'!AJ73&gt;'Tariffs Jul2020'!M73),($C$5*'Tariffs Jul2020'!AL73/'Tariffs Jul2020'!AJ73-'Tariffs Jul2020'!M73)*'Tariffs Jul2020'!Y73/100*'Tariffs Jul2020'!AJ73,0)</f>
        <v>507.27272727272725</v>
      </c>
      <c r="O79" s="59">
        <f t="shared" si="1"/>
        <v>1530.9436363636364</v>
      </c>
      <c r="P79" s="503">
        <f t="shared" si="31"/>
        <v>1684.0380000000002</v>
      </c>
      <c r="Q79" s="59">
        <f t="shared" si="3"/>
        <v>1804.6936363636364</v>
      </c>
      <c r="R79" s="272">
        <f t="shared" si="4"/>
        <v>1985.1630000000002</v>
      </c>
      <c r="S79" s="40">
        <f>'Tariffs Jul2020'!AN73</f>
        <v>0</v>
      </c>
      <c r="T79" s="40">
        <f>'Tariffs Jul2020'!AO73</f>
        <v>16</v>
      </c>
      <c r="U79" s="40">
        <f>'Tariffs Jul2020'!AP73</f>
        <v>0</v>
      </c>
      <c r="V79" s="40">
        <f>'Tariffs Jul2020'!AQ73</f>
        <v>0</v>
      </c>
      <c r="W79" s="284">
        <f>Q79-(O79*T79/100)</f>
        <v>1559.7426545454546</v>
      </c>
      <c r="X79" s="284">
        <f t="shared" si="34"/>
        <v>1559.7426545454546</v>
      </c>
      <c r="Y79" s="507">
        <f t="shared" si="36"/>
        <v>1715.7169200000001</v>
      </c>
      <c r="Z79" s="507">
        <f t="shared" si="35"/>
        <v>1715.7169200000001</v>
      </c>
      <c r="AA79" s="274">
        <f>'Tariffs Jul2020'!AZ73</f>
        <v>0</v>
      </c>
      <c r="AB79" s="274" t="str">
        <f>'Tariffs Jul2020'!BA73</f>
        <v>n</v>
      </c>
      <c r="AC79" s="275" t="str">
        <f>'Tariffs Jul2020'!BJ73</f>
        <v>N</v>
      </c>
      <c r="AD79" s="511"/>
      <c r="AE79" s="511"/>
      <c r="AF79" s="513"/>
      <c r="AG79" s="546"/>
      <c r="AH79" s="546"/>
      <c r="AI79" s="546"/>
      <c r="AJ79" s="546"/>
      <c r="AK79" s="546"/>
      <c r="AL79" s="546"/>
      <c r="AM79" s="546"/>
      <c r="AN79" s="546"/>
      <c r="AO79" s="546"/>
      <c r="AP79" s="546"/>
      <c r="AQ79" s="546"/>
      <c r="AR79" s="546"/>
      <c r="AS79" s="546"/>
      <c r="AT79" s="546"/>
      <c r="AU79" s="546"/>
      <c r="AV79" s="546"/>
      <c r="AW79" s="546"/>
      <c r="AX79" s="546"/>
      <c r="AY79" s="546"/>
      <c r="AZ79" s="546"/>
    </row>
    <row r="80" spans="1:52" ht="14" x14ac:dyDescent="0.15">
      <c r="A80" s="270" t="str">
        <f>'Tariffs Jul2020'!F74</f>
        <v>Dodo Power &amp; Gas</v>
      </c>
      <c r="B80" s="40" t="str">
        <f>'Tariffs Jul2020'!D74</f>
        <v>AGN Central 1</v>
      </c>
      <c r="C80" s="40" t="str">
        <f>'Tariffs Jul2020'!G74</f>
        <v>Market offer</v>
      </c>
      <c r="D80" s="59">
        <f>365*'Tariffs Jul2020'!H74/100</f>
        <v>200.58409090909092</v>
      </c>
      <c r="E80" s="59">
        <f>IF($C$5*'Tariffs Jul2020'!AK74/'Tariffs Jul2020'!AI74&gt;='Tariffs Jul2020'!J74,( 'Tariffs Jul2020'!J74*'Tariffs Jul2020'!O74/100)* 'Tariffs Jul2020'!AI74,($C$5*'Tariffs Jul2020'!AK74/'Tariffs Jul2020'!AI74*'Tariffs Jul2020'!O74/100)* 'Tariffs Jul2020'!AI74)</f>
        <v>133.245</v>
      </c>
      <c r="F80" s="59">
        <f>IF($C$5*'Tariffs Jul2020'!AK74/'Tariffs Jul2020'!AI74&lt;'Tariffs Jul2020'!J74,0,IF($C$5*'Tariffs Jul2020'!AK74/'Tariffs Jul2020'!AI74&lt;='Tariffs Jul2020'!K74,($C$5*'Tariffs Jul2020'!AK74/'Tariffs Jul2020'!AI74-'Tariffs Jul2020'!J74)*('Tariffs Jul2020'!P74/100)*'Tariffs Jul2020'!AI74,('Tariffs Jul2020'!K74-'Tariffs Jul2020'!J74)*('Tariffs Jul2020'!P74/100)*'Tariffs Jul2020'!AI74))</f>
        <v>89.060454545454547</v>
      </c>
      <c r="G80" s="59">
        <f>IF($C$5*'Tariffs Jul2020'!AK74/'Tariffs Jul2020'!AI74&lt;'Tariffs Jul2020'!K74,0,IF($C$5*'Tariffs Jul2020'!AK74/'Tariffs Jul2020'!AI74&lt;='Tariffs Jul2020'!L74,($C$5*'Tariffs Jul2020'!AK74/'Tariffs Jul2020'!AI74-'Tariffs Jul2020'!K74)*('Tariffs Jul2020'!Q74/100)*'Tariffs Jul2020'!AI74,('Tariffs Jul2020'!L74-'Tariffs Jul2020'!K74)*('Tariffs Jul2020'!Q74/100)*'Tariffs Jul2020'!AI74))</f>
        <v>0</v>
      </c>
      <c r="H80" s="59">
        <f>IF($C$5*'Tariffs Jul2020'!AK74/'Tariffs Jul2020'!AI74&lt;'Tariffs Jul2020'!L74,0,IF($C$5*'Tariffs Jul2020'!AK74/'Tariffs Jul2020'!AI74&lt;='Tariffs Jul2020'!M74,($C$5*'Tariffs Jul2020'!AK74/'Tariffs Jul2020'!AI74-'Tariffs Jul2020'!L74)*('Tariffs Jul2020'!R74/100)*'Tariffs Jul2020'!AI74,('Tariffs Jul2020'!M74-'Tariffs Jul2020'!L74)*('Tariffs Jul2020'!R74/100)*'Tariffs Jul2020'!AI74))</f>
        <v>0</v>
      </c>
      <c r="I80" s="59">
        <f>IF(($C$5*'Tariffs Jul2020'!AK74/'Tariffs Jul2020'!AI74&gt;'Tariffs Jul2020'!M74),($C$5*'Tariffs Jul2020'!AK74/'Tariffs Jul2020'!AI74-'Tariffs Jul2020'!M74)*'Tariffs Jul2020'!S74/100*'Tariffs Jul2020'!AI74,0)</f>
        <v>423.40909090909088</v>
      </c>
      <c r="J80" s="59">
        <f>IF($C$5*'Tariffs Jul2020'!AL74/'Tariffs Jul2020'!AJ74&gt;='Tariffs Jul2020'!J74,('Tariffs Jul2020'!J74*'Tariffs Jul2020'!U74/100)* 'Tariffs Jul2020'!AJ74,($C$5*'Tariffs Jul2020'!AL74/'Tariffs Jul2020'!AJ74*'Tariffs Jul2020'!U74/100)* 'Tariffs Jul2020'!AJ74)</f>
        <v>133.245</v>
      </c>
      <c r="K80" s="59">
        <f>IF($C$5*'Tariffs Jul2020'!AL74/'Tariffs Jul2020'!AJ74&lt;'Tariffs Jul2020'!J74,0,IF($C$5*'Tariffs Jul2020'!AL74/'Tariffs Jul2020'!AJ74&lt;='Tariffs Jul2020'!K74,($C$5*'Tariffs Jul2020'!AL74/'Tariffs Jul2020'!AJ74-'Tariffs Jul2020'!J74)*('Tariffs Jul2020'!V74/100)*'Tariffs Jul2020'!AJ74,('Tariffs Jul2020'!K74-'Tariffs Jul2020'!J74)*('Tariffs Jul2020'!V74/100)*'Tariffs Jul2020'!AJ74))</f>
        <v>89.060454545454547</v>
      </c>
      <c r="L80" s="59">
        <f>IF($C$5*'Tariffs Jul2020'!AL74/'Tariffs Jul2020'!AJ74&lt;'Tariffs Jul2020'!K74,0,IF($C$5*'Tariffs Jul2020'!AL74/'Tariffs Jul2020'!AJ74&lt;='Tariffs Jul2020'!L74,($C$5*'Tariffs Jul2020'!AL74/'Tariffs Jul2020'!AJ74-'Tariffs Jul2020'!K74)*('Tariffs Jul2020'!W74/100)*'Tariffs Jul2020'!AJ74,('Tariffs Jul2020'!L74-'Tariffs Jul2020'!K74)*('Tariffs Jul2020'!W74/100)*'Tariffs Jul2020'!AJ74))</f>
        <v>0</v>
      </c>
      <c r="M80" s="59">
        <f>IF($C$5*'Tariffs Jul2020'!AL74/'Tariffs Jul2020'!AJ74&lt;'Tariffs Jul2020'!L74,0,IF($C$5*'Tariffs Jul2020'!AL74/'Tariffs Jul2020'!AJ74&lt;='Tariffs Jul2020'!M74,($C$5*'Tariffs Jul2020'!AL74/'Tariffs Jul2020'!AJ74-'Tariffs Jul2020'!L74)*('Tariffs Jul2020'!X74/100)*'Tariffs Jul2020'!AJ74,('Tariffs Jul2020'!M74-'Tariffs Jul2020'!L74)*('Tariffs Jul2020'!X74/100)*'Tariffs Jul2020'!AJ74))</f>
        <v>0</v>
      </c>
      <c r="N80" s="59">
        <f>IF(($C$5*'Tariffs Jul2020'!AL74/'Tariffs Jul2020'!AJ74&gt;'Tariffs Jul2020'!M74),($C$5*'Tariffs Jul2020'!AL74/'Tariffs Jul2020'!AJ74-'Tariffs Jul2020'!M74)*'Tariffs Jul2020'!Y74/100*'Tariffs Jul2020'!AJ74,0)</f>
        <v>423.40909090909088</v>
      </c>
      <c r="O80" s="59">
        <f t="shared" si="1"/>
        <v>1291.429090909091</v>
      </c>
      <c r="P80" s="503">
        <f t="shared" si="31"/>
        <v>1420.5720000000001</v>
      </c>
      <c r="Q80" s="59">
        <f t="shared" si="3"/>
        <v>1492.0131818181819</v>
      </c>
      <c r="R80" s="272">
        <f t="shared" si="4"/>
        <v>1641.2145000000003</v>
      </c>
      <c r="S80" s="40">
        <f>'Tariffs Jul2020'!AN74</f>
        <v>0</v>
      </c>
      <c r="T80" s="40">
        <f>'Tariffs Jul2020'!AO74</f>
        <v>0</v>
      </c>
      <c r="U80" s="40">
        <f>'Tariffs Jul2020'!AP74</f>
        <v>0</v>
      </c>
      <c r="V80" s="40">
        <f>'Tariffs Jul2020'!AQ74</f>
        <v>0</v>
      </c>
      <c r="W80" s="284">
        <f>Q80</f>
        <v>1492.0131818181819</v>
      </c>
      <c r="X80" s="284">
        <f t="shared" si="34"/>
        <v>1492.0131818181819</v>
      </c>
      <c r="Y80" s="507">
        <f t="shared" si="36"/>
        <v>1641.2145000000003</v>
      </c>
      <c r="Z80" s="507">
        <f t="shared" si="35"/>
        <v>1641.2145000000003</v>
      </c>
      <c r="AA80" s="274">
        <f>'Tariffs Jul2020'!AZ74</f>
        <v>0</v>
      </c>
      <c r="AB80" s="274" t="str">
        <f>'Tariffs Jul2020'!BA74</f>
        <v>n</v>
      </c>
      <c r="AC80" s="275" t="str">
        <f>'Tariffs Jul2020'!BJ74</f>
        <v>N</v>
      </c>
      <c r="AD80" s="511"/>
      <c r="AE80" s="511"/>
      <c r="AF80" s="513"/>
      <c r="AG80" s="546"/>
      <c r="AH80" s="546"/>
      <c r="AI80" s="546"/>
      <c r="AJ80" s="546"/>
      <c r="AK80" s="546"/>
      <c r="AL80" s="546"/>
      <c r="AM80" s="546"/>
      <c r="AN80" s="546"/>
      <c r="AO80" s="546"/>
      <c r="AP80" s="546"/>
      <c r="AQ80" s="546"/>
      <c r="AR80" s="546"/>
      <c r="AS80" s="546"/>
      <c r="AT80" s="546"/>
      <c r="AU80" s="546"/>
      <c r="AV80" s="546"/>
      <c r="AW80" s="546"/>
      <c r="AX80" s="546"/>
      <c r="AY80" s="546"/>
      <c r="AZ80" s="546"/>
    </row>
    <row r="81" spans="1:52" ht="14" x14ac:dyDescent="0.15">
      <c r="A81" s="270" t="str">
        <f>'Tariffs Jul2020'!F75</f>
        <v>EnergyAustralia</v>
      </c>
      <c r="B81" s="40" t="str">
        <f>'Tariffs Jul2020'!D75</f>
        <v>AGN Central 1</v>
      </c>
      <c r="C81" s="40" t="str">
        <f>'Tariffs Jul2020'!G75</f>
        <v>Total Plan</v>
      </c>
      <c r="D81" s="59">
        <f>365*'Tariffs Jul2020'!H75/100</f>
        <v>301.125</v>
      </c>
      <c r="E81" s="59">
        <f>IF($C$5*'Tariffs Jul2020'!AK75/'Tariffs Jul2020'!AI75&gt;='Tariffs Jul2020'!J75,( 'Tariffs Jul2020'!J75*'Tariffs Jul2020'!O75/100)* 'Tariffs Jul2020'!AI75,($C$5*'Tariffs Jul2020'!AK75/'Tariffs Jul2020'!AI75*'Tariffs Jul2020'!O75/100)* 'Tariffs Jul2020'!AI75)</f>
        <v>272.45454545454538</v>
      </c>
      <c r="F81" s="59">
        <f>IF($C$5*'Tariffs Jul2020'!AK75/'Tariffs Jul2020'!AI75&lt;'Tariffs Jul2020'!J75,0,IF($C$5*'Tariffs Jul2020'!AK75/'Tariffs Jul2020'!AI75&lt;='Tariffs Jul2020'!K75,($C$5*'Tariffs Jul2020'!AK75/'Tariffs Jul2020'!AI75-'Tariffs Jul2020'!J75)*('Tariffs Jul2020'!P75/100)*'Tariffs Jul2020'!AI75,('Tariffs Jul2020'!K75-'Tariffs Jul2020'!J75)*('Tariffs Jul2020'!P75/100)*'Tariffs Jul2020'!AI75))</f>
        <v>0</v>
      </c>
      <c r="G81" s="59">
        <f>IF($C$5*'Tariffs Jul2020'!AK75/'Tariffs Jul2020'!AI75&lt;'Tariffs Jul2020'!K75,0,IF($C$5*'Tariffs Jul2020'!AK75/'Tariffs Jul2020'!AI75&lt;='Tariffs Jul2020'!L75,($C$5*'Tariffs Jul2020'!AK75/'Tariffs Jul2020'!AI75-'Tariffs Jul2020'!K75)*('Tariffs Jul2020'!Q75/100)*'Tariffs Jul2020'!AI75,('Tariffs Jul2020'!L75-'Tariffs Jul2020'!K75)*('Tariffs Jul2020'!Q75/100)*'Tariffs Jul2020'!AI75))</f>
        <v>0</v>
      </c>
      <c r="H81" s="59">
        <f>IF($C$5*'Tariffs Jul2020'!AK75/'Tariffs Jul2020'!AI75&lt;'Tariffs Jul2020'!L75,0,IF($C$5*'Tariffs Jul2020'!AK75/'Tariffs Jul2020'!AI75&lt;='Tariffs Jul2020'!M75,($C$5*'Tariffs Jul2020'!AK75/'Tariffs Jul2020'!AI75-'Tariffs Jul2020'!L75)*('Tariffs Jul2020'!R75/100)*'Tariffs Jul2020'!AI75,('Tariffs Jul2020'!M75-'Tariffs Jul2020'!L75)*('Tariffs Jul2020'!R75/100)*'Tariffs Jul2020'!AI75))</f>
        <v>0</v>
      </c>
      <c r="I81" s="59">
        <f>IF(($C$5*'Tariffs Jul2020'!AK75/'Tariffs Jul2020'!AI75&gt;'Tariffs Jul2020'!M75),($C$5*'Tariffs Jul2020'!AK75/'Tariffs Jul2020'!AI75-'Tariffs Jul2020'!M75)*'Tariffs Jul2020'!S75/100*'Tariffs Jul2020'!AI75,0)</f>
        <v>456.13636363636363</v>
      </c>
      <c r="J81" s="59">
        <f>IF($C$5*'Tariffs Jul2020'!AL75/'Tariffs Jul2020'!AJ75&gt;='Tariffs Jul2020'!J75,('Tariffs Jul2020'!J75*'Tariffs Jul2020'!U75/100)* 'Tariffs Jul2020'!AJ75,($C$5*'Tariffs Jul2020'!AL75/'Tariffs Jul2020'!AJ75*'Tariffs Jul2020'!U75/100)* 'Tariffs Jul2020'!AJ75)</f>
        <v>272.45454545454538</v>
      </c>
      <c r="K81" s="59">
        <f>IF($C$5*'Tariffs Jul2020'!AL75/'Tariffs Jul2020'!AJ75&lt;'Tariffs Jul2020'!J75,0,IF($C$5*'Tariffs Jul2020'!AL75/'Tariffs Jul2020'!AJ75&lt;='Tariffs Jul2020'!K75,($C$5*'Tariffs Jul2020'!AL75/'Tariffs Jul2020'!AJ75-'Tariffs Jul2020'!J75)*('Tariffs Jul2020'!V75/100)*'Tariffs Jul2020'!AJ75,('Tariffs Jul2020'!K75-'Tariffs Jul2020'!J75)*('Tariffs Jul2020'!V75/100)*'Tariffs Jul2020'!AJ75))</f>
        <v>0</v>
      </c>
      <c r="L81" s="59">
        <f>IF($C$5*'Tariffs Jul2020'!AL75/'Tariffs Jul2020'!AJ75&lt;'Tariffs Jul2020'!K75,0,IF($C$5*'Tariffs Jul2020'!AL75/'Tariffs Jul2020'!AJ75&lt;='Tariffs Jul2020'!L75,($C$5*'Tariffs Jul2020'!AL75/'Tariffs Jul2020'!AJ75-'Tariffs Jul2020'!K75)*('Tariffs Jul2020'!W75/100)*'Tariffs Jul2020'!AJ75,('Tariffs Jul2020'!L75-'Tariffs Jul2020'!K75)*('Tariffs Jul2020'!W75/100)*'Tariffs Jul2020'!AJ75))</f>
        <v>0</v>
      </c>
      <c r="M81" s="59">
        <f>IF($C$5*'Tariffs Jul2020'!AL75/'Tariffs Jul2020'!AJ75&lt;'Tariffs Jul2020'!L75,0,IF($C$5*'Tariffs Jul2020'!AL75/'Tariffs Jul2020'!AJ75&lt;='Tariffs Jul2020'!M75,($C$5*'Tariffs Jul2020'!AL75/'Tariffs Jul2020'!AJ75-'Tariffs Jul2020'!L75)*('Tariffs Jul2020'!X75/100)*'Tariffs Jul2020'!AJ75,('Tariffs Jul2020'!M75-'Tariffs Jul2020'!L75)*('Tariffs Jul2020'!X75/100)*'Tariffs Jul2020'!AJ75))</f>
        <v>0</v>
      </c>
      <c r="N81" s="59">
        <f>IF(($C$5*'Tariffs Jul2020'!AL75/'Tariffs Jul2020'!AJ75&gt;'Tariffs Jul2020'!M75),($C$5*'Tariffs Jul2020'!AL75/'Tariffs Jul2020'!AJ75-'Tariffs Jul2020'!M75)*'Tariffs Jul2020'!Y75/100*'Tariffs Jul2020'!AJ75,0)</f>
        <v>456.13636363636363</v>
      </c>
      <c r="O81" s="59">
        <f t="shared" si="1"/>
        <v>1457.181818181818</v>
      </c>
      <c r="P81" s="503">
        <f t="shared" si="31"/>
        <v>1602.8999999999999</v>
      </c>
      <c r="Q81" s="59">
        <f t="shared" si="3"/>
        <v>1758.306818181818</v>
      </c>
      <c r="R81" s="272">
        <f t="shared" si="4"/>
        <v>1934.1375</v>
      </c>
      <c r="S81" s="40">
        <f>'Tariffs Jul2020'!AN75</f>
        <v>23</v>
      </c>
      <c r="T81" s="40">
        <f>'Tariffs Jul2020'!AO75</f>
        <v>0</v>
      </c>
      <c r="U81" s="40">
        <f>'Tariffs Jul2020'!AP75</f>
        <v>0</v>
      </c>
      <c r="V81" s="40">
        <f>'Tariffs Jul2020'!AQ75</f>
        <v>0</v>
      </c>
      <c r="W81" s="284">
        <f>Q81-(Q81*S81/100)</f>
        <v>1353.8962499999998</v>
      </c>
      <c r="X81" s="284">
        <f t="shared" si="34"/>
        <v>1353.8962499999998</v>
      </c>
      <c r="Y81" s="507">
        <f t="shared" si="36"/>
        <v>1489.2858749999998</v>
      </c>
      <c r="Z81" s="507">
        <f t="shared" si="35"/>
        <v>1489.2858749999998</v>
      </c>
      <c r="AA81" s="274">
        <f>'Tariffs Jul2020'!AZ75</f>
        <v>12</v>
      </c>
      <c r="AB81" s="274" t="str">
        <f>'Tariffs Jul2020'!BA75</f>
        <v>n</v>
      </c>
      <c r="AC81" s="275" t="str">
        <f>'Tariffs Jul2020'!BJ75</f>
        <v>N</v>
      </c>
      <c r="AD81" s="511"/>
      <c r="AE81" s="511"/>
      <c r="AF81" s="513"/>
      <c r="AG81" s="546"/>
      <c r="AH81" s="546"/>
      <c r="AI81" s="546"/>
      <c r="AJ81" s="546"/>
      <c r="AK81" s="546"/>
      <c r="AL81" s="546"/>
      <c r="AM81" s="546"/>
      <c r="AN81" s="546"/>
      <c r="AO81" s="546"/>
      <c r="AP81" s="546"/>
      <c r="AQ81" s="546"/>
      <c r="AR81" s="546"/>
      <c r="AS81" s="546"/>
      <c r="AT81" s="546"/>
      <c r="AU81" s="546"/>
      <c r="AV81" s="546"/>
      <c r="AW81" s="546"/>
      <c r="AX81" s="546"/>
      <c r="AY81" s="546"/>
      <c r="AZ81" s="546"/>
    </row>
    <row r="82" spans="1:52" ht="14" x14ac:dyDescent="0.15">
      <c r="A82" s="270" t="str">
        <f>'Tariffs Jul2020'!F76</f>
        <v>Lumo Energy</v>
      </c>
      <c r="B82" s="40" t="str">
        <f>'Tariffs Jul2020'!D76</f>
        <v>AGN Central 1</v>
      </c>
      <c r="C82" s="40" t="str">
        <f>'Tariffs Jul2020'!G76</f>
        <v>Basic</v>
      </c>
      <c r="D82" s="59">
        <f>365*'Tariffs Jul2020'!H76/100</f>
        <v>247.83499999999995</v>
      </c>
      <c r="E82" s="59">
        <f>IF($C$5*'Tariffs Jul2020'!AK76/'Tariffs Jul2020'!AI76&gt;='Tariffs Jul2020'!J76,( 'Tariffs Jul2020'!J76*'Tariffs Jul2020'!O76/100)* 'Tariffs Jul2020'!AI76,($C$5*'Tariffs Jul2020'!AK76/'Tariffs Jul2020'!AI76*'Tariffs Jul2020'!O76/100)* 'Tariffs Jul2020'!AI76)</f>
        <v>76.567272727272723</v>
      </c>
      <c r="F82" s="59">
        <f>IF($C$5*'Tariffs Jul2020'!AK76/'Tariffs Jul2020'!AI76&lt;'Tariffs Jul2020'!J76,0,IF($C$5*'Tariffs Jul2020'!AK76/'Tariffs Jul2020'!AI76&lt;='Tariffs Jul2020'!K76,($C$5*'Tariffs Jul2020'!AK76/'Tariffs Jul2020'!AI76-'Tariffs Jul2020'!J76)*('Tariffs Jul2020'!P76/100)*'Tariffs Jul2020'!AI76,('Tariffs Jul2020'!K76-'Tariffs Jul2020'!J76)*('Tariffs Jul2020'!P76/100)*'Tariffs Jul2020'!AI76))</f>
        <v>55.185454545454547</v>
      </c>
      <c r="G82" s="59">
        <f>IF($C$5*'Tariffs Jul2020'!AK76/'Tariffs Jul2020'!AI76&lt;'Tariffs Jul2020'!K76,0,IF($C$5*'Tariffs Jul2020'!AK76/'Tariffs Jul2020'!AI76&lt;='Tariffs Jul2020'!L76,($C$5*'Tariffs Jul2020'!AK76/'Tariffs Jul2020'!AI76-'Tariffs Jul2020'!K76)*('Tariffs Jul2020'!Q76/100)*'Tariffs Jul2020'!AI76,('Tariffs Jul2020'!L76-'Tariffs Jul2020'!K76)*('Tariffs Jul2020'!Q76/100)*'Tariffs Jul2020'!AI76))</f>
        <v>0</v>
      </c>
      <c r="H82" s="59">
        <f>IF($C$5*'Tariffs Jul2020'!AK76/'Tariffs Jul2020'!AI76&lt;'Tariffs Jul2020'!L76,0,IF($C$5*'Tariffs Jul2020'!AK76/'Tariffs Jul2020'!AI76&lt;='Tariffs Jul2020'!M76,($C$5*'Tariffs Jul2020'!AK76/'Tariffs Jul2020'!AI76-'Tariffs Jul2020'!L76)*('Tariffs Jul2020'!R76/100)*'Tariffs Jul2020'!AI76,('Tariffs Jul2020'!M76-'Tariffs Jul2020'!L76)*('Tariffs Jul2020'!R76/100)*'Tariffs Jul2020'!AI76))</f>
        <v>0</v>
      </c>
      <c r="I82" s="59">
        <f>IF(($C$5*'Tariffs Jul2020'!AK76/'Tariffs Jul2020'!AI76&gt;'Tariffs Jul2020'!M76),($C$5*'Tariffs Jul2020'!AK76/'Tariffs Jul2020'!AI76-'Tariffs Jul2020'!M76)*'Tariffs Jul2020'!S76/100*'Tariffs Jul2020'!AI76,0)</f>
        <v>261.7815272727272</v>
      </c>
      <c r="J82" s="59">
        <f>IF($C$5*'Tariffs Jul2020'!AL76/'Tariffs Jul2020'!AJ76&gt;='Tariffs Jul2020'!J76,('Tariffs Jul2020'!J76*'Tariffs Jul2020'!U76/100)* 'Tariffs Jul2020'!AJ76,($C$5*'Tariffs Jul2020'!AL76/'Tariffs Jul2020'!AJ76*'Tariffs Jul2020'!U76/100)* 'Tariffs Jul2020'!AJ76)</f>
        <v>153.13454545454545</v>
      </c>
      <c r="K82" s="59">
        <f>IF($C$5*'Tariffs Jul2020'!AL76/'Tariffs Jul2020'!AJ76&lt;'Tariffs Jul2020'!J76,0,IF($C$5*'Tariffs Jul2020'!AL76/'Tariffs Jul2020'!AJ76&lt;='Tariffs Jul2020'!K76,($C$5*'Tariffs Jul2020'!AL76/'Tariffs Jul2020'!AJ76-'Tariffs Jul2020'!J76)*('Tariffs Jul2020'!V76/100)*'Tariffs Jul2020'!AJ76,('Tariffs Jul2020'!K76-'Tariffs Jul2020'!J76)*('Tariffs Jul2020'!V76/100)*'Tariffs Jul2020'!AJ76))</f>
        <v>110.37090909090909</v>
      </c>
      <c r="L82" s="59">
        <f>IF($C$5*'Tariffs Jul2020'!AL76/'Tariffs Jul2020'!AJ76&lt;'Tariffs Jul2020'!K76,0,IF($C$5*'Tariffs Jul2020'!AL76/'Tariffs Jul2020'!AJ76&lt;='Tariffs Jul2020'!L76,($C$5*'Tariffs Jul2020'!AL76/'Tariffs Jul2020'!AJ76-'Tariffs Jul2020'!K76)*('Tariffs Jul2020'!W76/100)*'Tariffs Jul2020'!AJ76,('Tariffs Jul2020'!L76-'Tariffs Jul2020'!K76)*('Tariffs Jul2020'!W76/100)*'Tariffs Jul2020'!AJ76))</f>
        <v>0</v>
      </c>
      <c r="M82" s="59">
        <f>IF($C$5*'Tariffs Jul2020'!AL76/'Tariffs Jul2020'!AJ76&lt;'Tariffs Jul2020'!L76,0,IF($C$5*'Tariffs Jul2020'!AL76/'Tariffs Jul2020'!AJ76&lt;='Tariffs Jul2020'!M76,($C$5*'Tariffs Jul2020'!AL76/'Tariffs Jul2020'!AJ76-'Tariffs Jul2020'!L76)*('Tariffs Jul2020'!X76/100)*'Tariffs Jul2020'!AJ76,('Tariffs Jul2020'!M76-'Tariffs Jul2020'!L76)*('Tariffs Jul2020'!X76/100)*'Tariffs Jul2020'!AJ76))</f>
        <v>0</v>
      </c>
      <c r="N82" s="59">
        <f>IF(($C$5*'Tariffs Jul2020'!AL76/'Tariffs Jul2020'!AJ76&gt;'Tariffs Jul2020'!M76),($C$5*'Tariffs Jul2020'!AL76/'Tariffs Jul2020'!AJ76-'Tariffs Jul2020'!M76)*'Tariffs Jul2020'!Y76/100*'Tariffs Jul2020'!AJ76,0)</f>
        <v>523.56305454545441</v>
      </c>
      <c r="O82" s="59">
        <f t="shared" si="1"/>
        <v>1180.6027636363633</v>
      </c>
      <c r="P82" s="503">
        <f t="shared" si="31"/>
        <v>1298.6630399999997</v>
      </c>
      <c r="Q82" s="59">
        <f t="shared" si="3"/>
        <v>1428.4377636363633</v>
      </c>
      <c r="R82" s="272">
        <f t="shared" si="4"/>
        <v>1571.2815399999997</v>
      </c>
      <c r="S82" s="40">
        <f>'Tariffs Jul2020'!AN76</f>
        <v>0</v>
      </c>
      <c r="T82" s="40">
        <f>'Tariffs Jul2020'!AO76</f>
        <v>0</v>
      </c>
      <c r="U82" s="40">
        <f>'Tariffs Jul2020'!AP76</f>
        <v>0</v>
      </c>
      <c r="V82" s="40">
        <f>'Tariffs Jul2020'!AQ76</f>
        <v>0</v>
      </c>
      <c r="W82" s="284">
        <f>Q82</f>
        <v>1428.4377636363633</v>
      </c>
      <c r="X82" s="284">
        <f t="shared" si="34"/>
        <v>1428.4377636363633</v>
      </c>
      <c r="Y82" s="507">
        <f t="shared" si="36"/>
        <v>1571.2815399999997</v>
      </c>
      <c r="Z82" s="507">
        <f t="shared" si="35"/>
        <v>1571.2815399999997</v>
      </c>
      <c r="AA82" s="274">
        <f>'Tariffs Jul2020'!AZ76</f>
        <v>0</v>
      </c>
      <c r="AB82" s="274" t="str">
        <f>'Tariffs Jul2020'!BA76</f>
        <v>n</v>
      </c>
      <c r="AC82" s="275" t="str">
        <f>'Tariffs Jul2020'!BJ76</f>
        <v>N</v>
      </c>
      <c r="AD82" s="511"/>
      <c r="AE82" s="511"/>
      <c r="AF82" s="513"/>
      <c r="AG82" s="546"/>
      <c r="AH82" s="546"/>
      <c r="AI82" s="546"/>
      <c r="AJ82" s="546"/>
      <c r="AK82" s="546"/>
      <c r="AL82" s="546"/>
      <c r="AM82" s="546"/>
      <c r="AN82" s="546"/>
      <c r="AO82" s="546"/>
      <c r="AP82" s="546"/>
      <c r="AQ82" s="546"/>
      <c r="AR82" s="546"/>
      <c r="AS82" s="546"/>
      <c r="AT82" s="546"/>
      <c r="AU82" s="546"/>
      <c r="AV82" s="546"/>
      <c r="AW82" s="546"/>
      <c r="AX82" s="546"/>
      <c r="AY82" s="546"/>
      <c r="AZ82" s="546"/>
    </row>
    <row r="83" spans="1:52" ht="14" x14ac:dyDescent="0.15">
      <c r="A83" s="270" t="str">
        <f>'Tariffs Jul2020'!F77</f>
        <v>Momentum Energy</v>
      </c>
      <c r="B83" s="40" t="str">
        <f>'Tariffs Jul2020'!D77</f>
        <v>AGN Central 1</v>
      </c>
      <c r="C83" s="40" t="str">
        <f>'Tariffs Jul2020'!G77</f>
        <v>Market offer</v>
      </c>
      <c r="D83" s="59">
        <f>365*'Tariffs Jul2020'!H77/100</f>
        <v>289.04681818181814</v>
      </c>
      <c r="E83" s="59">
        <f>IF($C$5*'Tariffs Jul2020'!AK77/'Tariffs Jul2020'!AI77&gt;='Tariffs Jul2020'!J77,( 'Tariffs Jul2020'!J77*'Tariffs Jul2020'!O77/100)* 'Tariffs Jul2020'!AI77,($C$5*'Tariffs Jul2020'!AK77/'Tariffs Jul2020'!AI77*'Tariffs Jul2020'!O77/100)* 'Tariffs Jul2020'!AI77)</f>
        <v>79.558181818181808</v>
      </c>
      <c r="F83" s="59">
        <f>IF($C$5*'Tariffs Jul2020'!AK77/'Tariffs Jul2020'!AI77&lt;'Tariffs Jul2020'!J77,0,IF($C$5*'Tariffs Jul2020'!AK77/'Tariffs Jul2020'!AI77&lt;='Tariffs Jul2020'!K77,($C$5*'Tariffs Jul2020'!AK77/'Tariffs Jul2020'!AI77-'Tariffs Jul2020'!J77)*('Tariffs Jul2020'!P77/100)*'Tariffs Jul2020'!AI77,('Tariffs Jul2020'!K77-'Tariffs Jul2020'!J77)*('Tariffs Jul2020'!P77/100)*'Tariffs Jul2020'!AI77))</f>
        <v>55.678181818181812</v>
      </c>
      <c r="G83" s="59">
        <f>IF($C$5*'Tariffs Jul2020'!AK77/'Tariffs Jul2020'!AI77&lt;'Tariffs Jul2020'!K77,0,IF($C$5*'Tariffs Jul2020'!AK77/'Tariffs Jul2020'!AI77&lt;='Tariffs Jul2020'!L77,($C$5*'Tariffs Jul2020'!AK77/'Tariffs Jul2020'!AI77-'Tariffs Jul2020'!K77)*('Tariffs Jul2020'!Q77/100)*'Tariffs Jul2020'!AI77,('Tariffs Jul2020'!L77-'Tariffs Jul2020'!K77)*('Tariffs Jul2020'!Q77/100)*'Tariffs Jul2020'!AI77))</f>
        <v>0</v>
      </c>
      <c r="H83" s="59">
        <f>IF($C$5*'Tariffs Jul2020'!AK77/'Tariffs Jul2020'!AI77&lt;'Tariffs Jul2020'!L77,0,IF($C$5*'Tariffs Jul2020'!AK77/'Tariffs Jul2020'!AI77&lt;='Tariffs Jul2020'!M77,($C$5*'Tariffs Jul2020'!AK77/'Tariffs Jul2020'!AI77-'Tariffs Jul2020'!L77)*('Tariffs Jul2020'!R77/100)*'Tariffs Jul2020'!AI77,('Tariffs Jul2020'!M77-'Tariffs Jul2020'!L77)*('Tariffs Jul2020'!R77/100)*'Tariffs Jul2020'!AI77))</f>
        <v>0</v>
      </c>
      <c r="I83" s="59">
        <f>IF(($C$5*'Tariffs Jul2020'!AK77/'Tariffs Jul2020'!AI77&gt;'Tariffs Jul2020'!M77),($C$5*'Tariffs Jul2020'!AK77/'Tariffs Jul2020'!AI77-'Tariffs Jul2020'!M77)*'Tariffs Jul2020'!S77/100*'Tariffs Jul2020'!AI77,0)</f>
        <v>268.59875454545448</v>
      </c>
      <c r="J83" s="59">
        <f>IF($C$5*'Tariffs Jul2020'!AL77/'Tariffs Jul2020'!AJ77&gt;='Tariffs Jul2020'!J77,('Tariffs Jul2020'!J77*'Tariffs Jul2020'!U77/100)* 'Tariffs Jul2020'!AJ77,($C$5*'Tariffs Jul2020'!AL77/'Tariffs Jul2020'!AJ77*'Tariffs Jul2020'!U77/100)* 'Tariffs Jul2020'!AJ77)</f>
        <v>144.76</v>
      </c>
      <c r="K83" s="59">
        <f>IF($C$5*'Tariffs Jul2020'!AL77/'Tariffs Jul2020'!AJ77&lt;'Tariffs Jul2020'!J77,0,IF($C$5*'Tariffs Jul2020'!AL77/'Tariffs Jul2020'!AJ77&lt;='Tariffs Jul2020'!K77,($C$5*'Tariffs Jul2020'!AL77/'Tariffs Jul2020'!AJ77-'Tariffs Jul2020'!J77)*('Tariffs Jul2020'!V77/100)*'Tariffs Jul2020'!AJ77,('Tariffs Jul2020'!K77-'Tariffs Jul2020'!J77)*('Tariffs Jul2020'!V77/100)*'Tariffs Jul2020'!AJ77))</f>
        <v>100.51636363636364</v>
      </c>
      <c r="L83" s="59">
        <f>IF($C$5*'Tariffs Jul2020'!AL77/'Tariffs Jul2020'!AJ77&lt;'Tariffs Jul2020'!K77,0,IF($C$5*'Tariffs Jul2020'!AL77/'Tariffs Jul2020'!AJ77&lt;='Tariffs Jul2020'!L77,($C$5*'Tariffs Jul2020'!AL77/'Tariffs Jul2020'!AJ77-'Tariffs Jul2020'!K77)*('Tariffs Jul2020'!W77/100)*'Tariffs Jul2020'!AJ77,('Tariffs Jul2020'!L77-'Tariffs Jul2020'!K77)*('Tariffs Jul2020'!W77/100)*'Tariffs Jul2020'!AJ77))</f>
        <v>0</v>
      </c>
      <c r="M83" s="59">
        <f>IF($C$5*'Tariffs Jul2020'!AL77/'Tariffs Jul2020'!AJ77&lt;'Tariffs Jul2020'!L77,0,IF($C$5*'Tariffs Jul2020'!AL77/'Tariffs Jul2020'!AJ77&lt;='Tariffs Jul2020'!M77,($C$5*'Tariffs Jul2020'!AL77/'Tariffs Jul2020'!AJ77-'Tariffs Jul2020'!L77)*('Tariffs Jul2020'!X77/100)*'Tariffs Jul2020'!AJ77,('Tariffs Jul2020'!M77-'Tariffs Jul2020'!L77)*('Tariffs Jul2020'!X77/100)*'Tariffs Jul2020'!AJ77))</f>
        <v>0</v>
      </c>
      <c r="N83" s="59">
        <f>IF(($C$5*'Tariffs Jul2020'!AL77/'Tariffs Jul2020'!AJ77&gt;'Tariffs Jul2020'!M77),($C$5*'Tariffs Jul2020'!AL77/'Tariffs Jul2020'!AJ77-'Tariffs Jul2020'!M77)*'Tariffs Jul2020'!Y77/100*'Tariffs Jul2020'!AJ77,0)</f>
        <v>482.65969090909078</v>
      </c>
      <c r="O83" s="59">
        <f>SUM(E83:N83)</f>
        <v>1131.7711727272724</v>
      </c>
      <c r="P83" s="503">
        <f t="shared" si="31"/>
        <v>1244.9482899999998</v>
      </c>
      <c r="Q83" s="59">
        <f>D83+O83</f>
        <v>1420.8179909090904</v>
      </c>
      <c r="R83" s="272">
        <f>Q83*1.1</f>
        <v>1562.8997899999997</v>
      </c>
      <c r="S83" s="40">
        <f>'Tariffs Jul2020'!AN77</f>
        <v>0</v>
      </c>
      <c r="T83" s="40">
        <f>'Tariffs Jul2020'!AO77</f>
        <v>0</v>
      </c>
      <c r="U83" s="40">
        <f>'Tariffs Jul2020'!AP77</f>
        <v>0</v>
      </c>
      <c r="V83" s="40">
        <f>'Tariffs Jul2020'!AQ77</f>
        <v>0</v>
      </c>
      <c r="W83" s="284">
        <f t="shared" ref="W83" si="37">Q83</f>
        <v>1420.8179909090904</v>
      </c>
      <c r="X83" s="284">
        <f t="shared" si="34"/>
        <v>1420.8179909090904</v>
      </c>
      <c r="Y83" s="507">
        <f t="shared" si="36"/>
        <v>1562.8997899999997</v>
      </c>
      <c r="Z83" s="507">
        <f t="shared" si="35"/>
        <v>1562.8997899999997</v>
      </c>
      <c r="AA83" s="274">
        <f>'Tariffs Jul2020'!AZ77</f>
        <v>0</v>
      </c>
      <c r="AB83" s="274" t="str">
        <f>'Tariffs Jul2020'!BA77</f>
        <v>n</v>
      </c>
      <c r="AC83" s="275" t="str">
        <f>'Tariffs Jul2020'!BJ77</f>
        <v>N</v>
      </c>
      <c r="AD83" s="511"/>
      <c r="AE83" s="511"/>
      <c r="AF83" s="513"/>
      <c r="AG83" s="546"/>
      <c r="AH83" s="546"/>
      <c r="AI83" s="546"/>
      <c r="AJ83" s="546"/>
      <c r="AK83" s="546"/>
      <c r="AL83" s="546"/>
      <c r="AM83" s="546"/>
      <c r="AN83" s="546"/>
      <c r="AO83" s="546"/>
      <c r="AP83" s="546"/>
      <c r="AQ83" s="546"/>
      <c r="AR83" s="546"/>
      <c r="AS83" s="546"/>
      <c r="AT83" s="546"/>
      <c r="AU83" s="546"/>
      <c r="AV83" s="546"/>
      <c r="AW83" s="546"/>
      <c r="AX83" s="546"/>
      <c r="AY83" s="546"/>
      <c r="AZ83" s="546"/>
    </row>
    <row r="84" spans="1:52" ht="14" x14ac:dyDescent="0.15">
      <c r="A84" s="270" t="str">
        <f>'Tariffs Jul2020'!F78</f>
        <v>Origin Energy</v>
      </c>
      <c r="B84" s="40" t="str">
        <f>'Tariffs Jul2020'!D78</f>
        <v>AGN Central 1</v>
      </c>
      <c r="C84" s="40" t="str">
        <f>'Tariffs Jul2020'!G78</f>
        <v>Flexi</v>
      </c>
      <c r="D84" s="59">
        <f>365*'Tariffs Jul2020'!H78/100</f>
        <v>251.85</v>
      </c>
      <c r="E84" s="59">
        <f>IF($C$5*'Tariffs Jul2020'!AK78/'Tariffs Jul2020'!AI78&gt;='Tariffs Jul2020'!J78,( 'Tariffs Jul2020'!J78*'Tariffs Jul2020'!O78/100)* 'Tariffs Jul2020'!AI78,($C$5*'Tariffs Jul2020'!AK78/'Tariffs Jul2020'!AI78*'Tariffs Jul2020'!O78/100)* 'Tariffs Jul2020'!AI78)</f>
        <v>396.00000000000011</v>
      </c>
      <c r="F84" s="59">
        <f>IF($C$5*'Tariffs Jul2020'!AK78/'Tariffs Jul2020'!AI78&lt;'Tariffs Jul2020'!J78,0,IF($C$5*'Tariffs Jul2020'!AK78/'Tariffs Jul2020'!AI78&lt;='Tariffs Jul2020'!K78,($C$5*'Tariffs Jul2020'!AK78/'Tariffs Jul2020'!AI78-'Tariffs Jul2020'!J78)*('Tariffs Jul2020'!P78/100)*'Tariffs Jul2020'!AI78,('Tariffs Jul2020'!K78-'Tariffs Jul2020'!J78)*('Tariffs Jul2020'!P78/100)*'Tariffs Jul2020'!AI78))</f>
        <v>283.5</v>
      </c>
      <c r="G84" s="59">
        <f>IF($C$5*'Tariffs Jul2020'!AK78/'Tariffs Jul2020'!AI78&lt;'Tariffs Jul2020'!K78,0,IF($C$5*'Tariffs Jul2020'!AK78/'Tariffs Jul2020'!AI78&lt;='Tariffs Jul2020'!L78,($C$5*'Tariffs Jul2020'!AK78/'Tariffs Jul2020'!AI78-'Tariffs Jul2020'!K78)*('Tariffs Jul2020'!Q78/100)*'Tariffs Jul2020'!AI78,('Tariffs Jul2020'!L78-'Tariffs Jul2020'!K78)*('Tariffs Jul2020'!Q78/100)*'Tariffs Jul2020'!AI78))</f>
        <v>0</v>
      </c>
      <c r="H84" s="59">
        <f>IF($C$5*'Tariffs Jul2020'!AK78/'Tariffs Jul2020'!AI78&lt;'Tariffs Jul2020'!L78,0,IF($C$5*'Tariffs Jul2020'!AK78/'Tariffs Jul2020'!AI78&lt;='Tariffs Jul2020'!M78,($C$5*'Tariffs Jul2020'!AK78/'Tariffs Jul2020'!AI78-'Tariffs Jul2020'!L78)*('Tariffs Jul2020'!R78/100)*'Tariffs Jul2020'!AI78,('Tariffs Jul2020'!M78-'Tariffs Jul2020'!L78)*('Tariffs Jul2020'!R78/100)*'Tariffs Jul2020'!AI78))</f>
        <v>0</v>
      </c>
      <c r="I84" s="59">
        <f>IF(($C$5*'Tariffs Jul2020'!AK78/'Tariffs Jul2020'!AI78&gt;'Tariffs Jul2020'!M78),($C$5*'Tariffs Jul2020'!AK78/'Tariffs Jul2020'!AI78-'Tariffs Jul2020'!M78)*'Tariffs Jul2020'!S78/100*'Tariffs Jul2020'!AI78,0)</f>
        <v>0</v>
      </c>
      <c r="J84" s="59">
        <f>IF($C$5*'Tariffs Jul2020'!AL78/'Tariffs Jul2020'!AJ78&gt;='Tariffs Jul2020'!J78,('Tariffs Jul2020'!J78*'Tariffs Jul2020'!U78/100)* 'Tariffs Jul2020'!AJ78,($C$5*'Tariffs Jul2020'!AL78/'Tariffs Jul2020'!AJ78*'Tariffs Jul2020'!U78/100)* 'Tariffs Jul2020'!AJ78)</f>
        <v>396.00000000000011</v>
      </c>
      <c r="K84" s="59">
        <f>IF($C$5*'Tariffs Jul2020'!AL78/'Tariffs Jul2020'!AJ78&lt;'Tariffs Jul2020'!J78,0,IF($C$5*'Tariffs Jul2020'!AL78/'Tariffs Jul2020'!AJ78&lt;='Tariffs Jul2020'!K78,($C$5*'Tariffs Jul2020'!AL78/'Tariffs Jul2020'!AJ78-'Tariffs Jul2020'!J78)*('Tariffs Jul2020'!V78/100)*'Tariffs Jul2020'!AJ78,('Tariffs Jul2020'!K78-'Tariffs Jul2020'!J78)*('Tariffs Jul2020'!V78/100)*'Tariffs Jul2020'!AJ78))</f>
        <v>283.5</v>
      </c>
      <c r="L84" s="59">
        <f>IF($C$5*'Tariffs Jul2020'!AL78/'Tariffs Jul2020'!AJ78&lt;'Tariffs Jul2020'!K78,0,IF($C$5*'Tariffs Jul2020'!AL78/'Tariffs Jul2020'!AJ78&lt;='Tariffs Jul2020'!L78,($C$5*'Tariffs Jul2020'!AL78/'Tariffs Jul2020'!AJ78-'Tariffs Jul2020'!K78)*('Tariffs Jul2020'!W78/100)*'Tariffs Jul2020'!AJ78,('Tariffs Jul2020'!L78-'Tariffs Jul2020'!K78)*('Tariffs Jul2020'!W78/100)*'Tariffs Jul2020'!AJ78))</f>
        <v>0</v>
      </c>
      <c r="M84" s="59">
        <f>IF($C$5*'Tariffs Jul2020'!AL78/'Tariffs Jul2020'!AJ78&lt;'Tariffs Jul2020'!L78,0,IF($C$5*'Tariffs Jul2020'!AL78/'Tariffs Jul2020'!AJ78&lt;='Tariffs Jul2020'!M78,($C$5*'Tariffs Jul2020'!AL78/'Tariffs Jul2020'!AJ78-'Tariffs Jul2020'!L78)*('Tariffs Jul2020'!X78/100)*'Tariffs Jul2020'!AJ78,('Tariffs Jul2020'!M78-'Tariffs Jul2020'!L78)*('Tariffs Jul2020'!X78/100)*'Tariffs Jul2020'!AJ78))</f>
        <v>0</v>
      </c>
      <c r="N84" s="59">
        <f>IF(($C$5*'Tariffs Jul2020'!AL78/'Tariffs Jul2020'!AJ78&gt;'Tariffs Jul2020'!M78),($C$5*'Tariffs Jul2020'!AL78/'Tariffs Jul2020'!AJ78-'Tariffs Jul2020'!M78)*'Tariffs Jul2020'!Y78/100*'Tariffs Jul2020'!AJ78,0)</f>
        <v>0</v>
      </c>
      <c r="O84" s="59">
        <f t="shared" si="1"/>
        <v>1359.0000000000002</v>
      </c>
      <c r="P84" s="503">
        <f t="shared" si="31"/>
        <v>1494.9000000000003</v>
      </c>
      <c r="Q84" s="59">
        <f t="shared" si="3"/>
        <v>1610.8500000000001</v>
      </c>
      <c r="R84" s="272">
        <f t="shared" si="4"/>
        <v>1771.9350000000004</v>
      </c>
      <c r="S84" s="40">
        <f>'Tariffs Jul2020'!AN78</f>
        <v>11</v>
      </c>
      <c r="T84" s="40">
        <f>'Tariffs Jul2020'!AO78</f>
        <v>0</v>
      </c>
      <c r="U84" s="40">
        <f>'Tariffs Jul2020'!AP78</f>
        <v>0</v>
      </c>
      <c r="V84" s="40">
        <f>'Tariffs Jul2020'!AQ78</f>
        <v>0</v>
      </c>
      <c r="W84" s="284">
        <f>R84-(R84*S84/100)</f>
        <v>1577.0221500000002</v>
      </c>
      <c r="X84" s="284">
        <f t="shared" si="34"/>
        <v>1577.0221500000002</v>
      </c>
      <c r="Y84" s="507">
        <f>W84</f>
        <v>1577.0221500000002</v>
      </c>
      <c r="Z84" s="507">
        <f>X84</f>
        <v>1577.0221500000002</v>
      </c>
      <c r="AA84" s="274">
        <f>'Tariffs Jul2020'!AZ78</f>
        <v>0</v>
      </c>
      <c r="AB84" s="274" t="str">
        <f>'Tariffs Jul2020'!BA78</f>
        <v>n</v>
      </c>
      <c r="AC84" s="275" t="str">
        <f>'Tariffs Jul2020'!BJ78</f>
        <v>N</v>
      </c>
      <c r="AD84" s="511"/>
      <c r="AE84" s="511"/>
      <c r="AF84" s="513"/>
      <c r="AG84" s="546"/>
      <c r="AH84" s="546"/>
      <c r="AI84" s="546"/>
      <c r="AJ84" s="546"/>
      <c r="AK84" s="546"/>
      <c r="AL84" s="546"/>
      <c r="AM84" s="546"/>
      <c r="AN84" s="546"/>
      <c r="AO84" s="546"/>
      <c r="AP84" s="546"/>
      <c r="AQ84" s="546"/>
      <c r="AR84" s="546"/>
      <c r="AS84" s="546"/>
      <c r="AT84" s="546"/>
      <c r="AU84" s="546"/>
      <c r="AV84" s="546"/>
      <c r="AW84" s="546"/>
      <c r="AX84" s="546"/>
      <c r="AY84" s="546"/>
      <c r="AZ84" s="546"/>
    </row>
    <row r="85" spans="1:52" ht="14" x14ac:dyDescent="0.15">
      <c r="A85" s="270" t="str">
        <f>'Tariffs Jul2020'!F79</f>
        <v>Red Energy</v>
      </c>
      <c r="B85" s="40" t="str">
        <f>'Tariffs Jul2020'!D79</f>
        <v>AGN Central 1</v>
      </c>
      <c r="C85" s="40" t="str">
        <f>'Tariffs Jul2020'!G79</f>
        <v>Living Energy Saver</v>
      </c>
      <c r="D85" s="59">
        <f>365*'Tariffs Jul2020'!H79/100</f>
        <v>239.14136363636356</v>
      </c>
      <c r="E85" s="59">
        <f>IF($C$5*'Tariffs Jul2020'!AK79/'Tariffs Jul2020'!AI79&gt;='Tariffs Jul2020'!J79,( 'Tariffs Jul2020'!J79*'Tariffs Jul2020'!O79/100)* 'Tariffs Jul2020'!AI79,($C$5*'Tariffs Jul2020'!AK79/'Tariffs Jul2020'!AI79*'Tariffs Jul2020'!O79/100)* 'Tariffs Jul2020'!AI79)</f>
        <v>118.88863636363635</v>
      </c>
      <c r="F85" s="59">
        <f>IF($C$5*'Tariffs Jul2020'!AK79/'Tariffs Jul2020'!AI79&lt;'Tariffs Jul2020'!J79,0,IF($C$5*'Tariffs Jul2020'!AK79/'Tariffs Jul2020'!AI79&lt;='Tariffs Jul2020'!K79,($C$5*'Tariffs Jul2020'!AK79/'Tariffs Jul2020'!AI79-'Tariffs Jul2020'!J79)*('Tariffs Jul2020'!P79/100)*'Tariffs Jul2020'!AI79,('Tariffs Jul2020'!K79-'Tariffs Jul2020'!J79)*('Tariffs Jul2020'!P79/100)*'Tariffs Jul2020'!AI79))</f>
        <v>93.125454545454545</v>
      </c>
      <c r="G85" s="59">
        <f>IF($C$5*'Tariffs Jul2020'!AK79/'Tariffs Jul2020'!AI79&lt;'Tariffs Jul2020'!K79,0,IF($C$5*'Tariffs Jul2020'!AK79/'Tariffs Jul2020'!AI79&lt;='Tariffs Jul2020'!L79,($C$5*'Tariffs Jul2020'!AK79/'Tariffs Jul2020'!AI79-'Tariffs Jul2020'!K79)*('Tariffs Jul2020'!Q79/100)*'Tariffs Jul2020'!AI79,('Tariffs Jul2020'!L79-'Tariffs Jul2020'!K79)*('Tariffs Jul2020'!Q79/100)*'Tariffs Jul2020'!AI79))</f>
        <v>0</v>
      </c>
      <c r="H85" s="59">
        <f>IF($C$5*'Tariffs Jul2020'!AK79/'Tariffs Jul2020'!AI79&lt;'Tariffs Jul2020'!L79,0,IF($C$5*'Tariffs Jul2020'!AK79/'Tariffs Jul2020'!AI79&lt;='Tariffs Jul2020'!M79,($C$5*'Tariffs Jul2020'!AK79/'Tariffs Jul2020'!AI79-'Tariffs Jul2020'!L79)*('Tariffs Jul2020'!R79/100)*'Tariffs Jul2020'!AI79,('Tariffs Jul2020'!M79-'Tariffs Jul2020'!L79)*('Tariffs Jul2020'!R79/100)*'Tariffs Jul2020'!AI79))</f>
        <v>0</v>
      </c>
      <c r="I85" s="59">
        <f>IF(($C$5*'Tariffs Jul2020'!AK79/'Tariffs Jul2020'!AI79&gt;'Tariffs Jul2020'!M79),($C$5*'Tariffs Jul2020'!AK79/'Tariffs Jul2020'!AI79-'Tariffs Jul2020'!M79)*'Tariffs Jul2020'!S79/100*'Tariffs Jul2020'!AI79,0)</f>
        <v>370.22727272727275</v>
      </c>
      <c r="J85" s="59">
        <f>IF($C$5*'Tariffs Jul2020'!AL79/'Tariffs Jul2020'!AJ79&gt;='Tariffs Jul2020'!J79,('Tariffs Jul2020'!J79*'Tariffs Jul2020'!U79/100)* 'Tariffs Jul2020'!AJ79,($C$5*'Tariffs Jul2020'!AL79/'Tariffs Jul2020'!AJ79*'Tariffs Jul2020'!U79/100)* 'Tariffs Jul2020'!AJ79)</f>
        <v>118.88863636363635</v>
      </c>
      <c r="K85" s="59">
        <f>IF($C$5*'Tariffs Jul2020'!AL79/'Tariffs Jul2020'!AJ79&lt;'Tariffs Jul2020'!J79,0,IF($C$5*'Tariffs Jul2020'!AL79/'Tariffs Jul2020'!AJ79&lt;='Tariffs Jul2020'!K79,($C$5*'Tariffs Jul2020'!AL79/'Tariffs Jul2020'!AJ79-'Tariffs Jul2020'!J79)*('Tariffs Jul2020'!V79/100)*'Tariffs Jul2020'!AJ79,('Tariffs Jul2020'!K79-'Tariffs Jul2020'!J79)*('Tariffs Jul2020'!V79/100)*'Tariffs Jul2020'!AJ79))</f>
        <v>93.125454545454545</v>
      </c>
      <c r="L85" s="59">
        <f>IF($C$5*'Tariffs Jul2020'!AL79/'Tariffs Jul2020'!AJ79&lt;'Tariffs Jul2020'!K79,0,IF($C$5*'Tariffs Jul2020'!AL79/'Tariffs Jul2020'!AJ79&lt;='Tariffs Jul2020'!L79,($C$5*'Tariffs Jul2020'!AL79/'Tariffs Jul2020'!AJ79-'Tariffs Jul2020'!K79)*('Tariffs Jul2020'!W79/100)*'Tariffs Jul2020'!AJ79,('Tariffs Jul2020'!L79-'Tariffs Jul2020'!K79)*('Tariffs Jul2020'!W79/100)*'Tariffs Jul2020'!AJ79))</f>
        <v>0</v>
      </c>
      <c r="M85" s="59">
        <f>IF($C$5*'Tariffs Jul2020'!AL79/'Tariffs Jul2020'!AJ79&lt;'Tariffs Jul2020'!L79,0,IF($C$5*'Tariffs Jul2020'!AL79/'Tariffs Jul2020'!AJ79&lt;='Tariffs Jul2020'!M79,($C$5*'Tariffs Jul2020'!AL79/'Tariffs Jul2020'!AJ79-'Tariffs Jul2020'!L79)*('Tariffs Jul2020'!X79/100)*'Tariffs Jul2020'!AJ79,('Tariffs Jul2020'!M79-'Tariffs Jul2020'!L79)*('Tariffs Jul2020'!X79/100)*'Tariffs Jul2020'!AJ79))</f>
        <v>0</v>
      </c>
      <c r="N85" s="59">
        <f>IF(($C$5*'Tariffs Jul2020'!AL79/'Tariffs Jul2020'!AJ79&gt;'Tariffs Jul2020'!M79),($C$5*'Tariffs Jul2020'!AL79/'Tariffs Jul2020'!AJ79-'Tariffs Jul2020'!M79)*'Tariffs Jul2020'!Y79/100*'Tariffs Jul2020'!AJ79,0)</f>
        <v>370.22727272727275</v>
      </c>
      <c r="O85" s="59">
        <f t="shared" si="1"/>
        <v>1164.4827272727273</v>
      </c>
      <c r="P85" s="503">
        <f t="shared" si="31"/>
        <v>1280.931</v>
      </c>
      <c r="Q85" s="59">
        <f t="shared" si="3"/>
        <v>1403.6240909090909</v>
      </c>
      <c r="R85" s="272">
        <f t="shared" si="4"/>
        <v>1543.9865000000002</v>
      </c>
      <c r="S85" s="40">
        <f>'Tariffs Jul2020'!AN79</f>
        <v>0</v>
      </c>
      <c r="T85" s="40">
        <f>'Tariffs Jul2020'!AO79</f>
        <v>0</v>
      </c>
      <c r="U85" s="40">
        <f>'Tariffs Jul2020'!AP79</f>
        <v>0</v>
      </c>
      <c r="V85" s="40">
        <f>'Tariffs Jul2020'!AQ79</f>
        <v>0</v>
      </c>
      <c r="W85" s="284">
        <f>Q85</f>
        <v>1403.6240909090909</v>
      </c>
      <c r="X85" s="284">
        <f t="shared" si="34"/>
        <v>1403.6240909090909</v>
      </c>
      <c r="Y85" s="507">
        <f t="shared" ref="Y85:Z89" si="38">W85*1.1</f>
        <v>1543.9865000000002</v>
      </c>
      <c r="Z85" s="507">
        <f t="shared" si="38"/>
        <v>1543.9865000000002</v>
      </c>
      <c r="AA85" s="274">
        <f>'Tariffs Jul2020'!AZ79</f>
        <v>0</v>
      </c>
      <c r="AB85" s="274" t="str">
        <f>'Tariffs Jul2020'!BA79</f>
        <v>n</v>
      </c>
      <c r="AC85" s="275" t="str">
        <f>'Tariffs Jul2020'!BJ79</f>
        <v>N</v>
      </c>
      <c r="AD85" s="511"/>
      <c r="AE85" s="511"/>
      <c r="AF85" s="513"/>
      <c r="AG85" s="546"/>
      <c r="AH85" s="546"/>
      <c r="AI85" s="546"/>
      <c r="AJ85" s="546"/>
      <c r="AK85" s="546"/>
      <c r="AL85" s="546"/>
      <c r="AM85" s="546"/>
      <c r="AN85" s="546"/>
      <c r="AO85" s="546"/>
      <c r="AP85" s="546"/>
      <c r="AQ85" s="546"/>
      <c r="AR85" s="546"/>
      <c r="AS85" s="546"/>
      <c r="AT85" s="546"/>
      <c r="AU85" s="546"/>
      <c r="AV85" s="546"/>
      <c r="AW85" s="546"/>
      <c r="AX85" s="546"/>
      <c r="AY85" s="546"/>
      <c r="AZ85" s="546"/>
    </row>
    <row r="86" spans="1:52" ht="14" x14ac:dyDescent="0.15">
      <c r="A86" s="270" t="str">
        <f>'Tariffs Jul2020'!F80</f>
        <v>Simply Energy</v>
      </c>
      <c r="B86" s="40" t="str">
        <f>'Tariffs Jul2020'!D80</f>
        <v>AGN Central 1</v>
      </c>
      <c r="C86" s="40" t="str">
        <f>'Tariffs Jul2020'!G80</f>
        <v>Saver</v>
      </c>
      <c r="D86" s="59">
        <f>365*'Tariffs Jul2020'!H80/100</f>
        <v>255.13499999999996</v>
      </c>
      <c r="E86" s="59">
        <f>IF($C$5*'Tariffs Jul2020'!AK80/'Tariffs Jul2020'!AI80&gt;='Tariffs Jul2020'!J80,( 'Tariffs Jul2020'!J80*'Tariffs Jul2020'!O80/100)* 'Tariffs Jul2020'!AI80,($C$5*'Tariffs Jul2020'!AK80/'Tariffs Jul2020'!AI80*'Tariffs Jul2020'!O80/100)* 'Tariffs Jul2020'!AI80)</f>
        <v>146.70409090909092</v>
      </c>
      <c r="F86" s="59">
        <f>IF($C$5*'Tariffs Jul2020'!AK80/'Tariffs Jul2020'!AI80&lt;'Tariffs Jul2020'!J80,0,IF($C$5*'Tariffs Jul2020'!AK80/'Tariffs Jul2020'!AI80&lt;='Tariffs Jul2020'!K80,($C$5*'Tariffs Jul2020'!AK80/'Tariffs Jul2020'!AI80-'Tariffs Jul2020'!J80)*('Tariffs Jul2020'!P80/100)*'Tariffs Jul2020'!AI80,('Tariffs Jul2020'!K80-'Tariffs Jul2020'!J80)*('Tariffs Jul2020'!P80/100)*'Tariffs Jul2020'!AI80))</f>
        <v>95.712272727272705</v>
      </c>
      <c r="G86" s="59">
        <f>IF($C$5*'Tariffs Jul2020'!AK80/'Tariffs Jul2020'!AI80&lt;'Tariffs Jul2020'!K80,0,IF($C$5*'Tariffs Jul2020'!AK80/'Tariffs Jul2020'!AI80&lt;='Tariffs Jul2020'!L80,($C$5*'Tariffs Jul2020'!AK80/'Tariffs Jul2020'!AI80-'Tariffs Jul2020'!K80)*('Tariffs Jul2020'!Q80/100)*'Tariffs Jul2020'!AI80,('Tariffs Jul2020'!L80-'Tariffs Jul2020'!K80)*('Tariffs Jul2020'!Q80/100)*'Tariffs Jul2020'!AI80))</f>
        <v>0</v>
      </c>
      <c r="H86" s="59">
        <f>IF($C$5*'Tariffs Jul2020'!AK80/'Tariffs Jul2020'!AI80&lt;'Tariffs Jul2020'!L80,0,IF($C$5*'Tariffs Jul2020'!AK80/'Tariffs Jul2020'!AI80&lt;='Tariffs Jul2020'!M80,($C$5*'Tariffs Jul2020'!AK80/'Tariffs Jul2020'!AI80-'Tariffs Jul2020'!L80)*('Tariffs Jul2020'!R80/100)*'Tariffs Jul2020'!AI80,('Tariffs Jul2020'!M80-'Tariffs Jul2020'!L80)*('Tariffs Jul2020'!R80/100)*'Tariffs Jul2020'!AI80))</f>
        <v>0</v>
      </c>
      <c r="I86" s="59">
        <f>IF(($C$5*'Tariffs Jul2020'!AK80/'Tariffs Jul2020'!AI80&gt;'Tariffs Jul2020'!M80),($C$5*'Tariffs Jul2020'!AK80/'Tariffs Jul2020'!AI80-'Tariffs Jul2020'!M80)*'Tariffs Jul2020'!S80/100*'Tariffs Jul2020'!AI80,0)</f>
        <v>445.90909090909088</v>
      </c>
      <c r="J86" s="59">
        <f>IF($C$5*'Tariffs Jul2020'!AL80/'Tariffs Jul2020'!AJ80&gt;='Tariffs Jul2020'!J80,('Tariffs Jul2020'!J80*'Tariffs Jul2020'!U80/100)* 'Tariffs Jul2020'!AJ80,($C$5*'Tariffs Jul2020'!AL80/'Tariffs Jul2020'!AJ80*'Tariffs Jul2020'!U80/100)* 'Tariffs Jul2020'!AJ80)</f>
        <v>146.70409090909092</v>
      </c>
      <c r="K86" s="59">
        <f>IF($C$5*'Tariffs Jul2020'!AL80/'Tariffs Jul2020'!AJ80&lt;'Tariffs Jul2020'!J80,0,IF($C$5*'Tariffs Jul2020'!AL80/'Tariffs Jul2020'!AJ80&lt;='Tariffs Jul2020'!K80,($C$5*'Tariffs Jul2020'!AL80/'Tariffs Jul2020'!AJ80-'Tariffs Jul2020'!J80)*('Tariffs Jul2020'!V80/100)*'Tariffs Jul2020'!AJ80,('Tariffs Jul2020'!K80-'Tariffs Jul2020'!J80)*('Tariffs Jul2020'!V80/100)*'Tariffs Jul2020'!AJ80))</f>
        <v>95.712272727272705</v>
      </c>
      <c r="L86" s="59">
        <f>IF($C$5*'Tariffs Jul2020'!AL80/'Tariffs Jul2020'!AJ80&lt;'Tariffs Jul2020'!K80,0,IF($C$5*'Tariffs Jul2020'!AL80/'Tariffs Jul2020'!AJ80&lt;='Tariffs Jul2020'!L80,($C$5*'Tariffs Jul2020'!AL80/'Tariffs Jul2020'!AJ80-'Tariffs Jul2020'!K80)*('Tariffs Jul2020'!W80/100)*'Tariffs Jul2020'!AJ80,('Tariffs Jul2020'!L80-'Tariffs Jul2020'!K80)*('Tariffs Jul2020'!W80/100)*'Tariffs Jul2020'!AJ80))</f>
        <v>0</v>
      </c>
      <c r="M86" s="59">
        <f>IF($C$5*'Tariffs Jul2020'!AL80/'Tariffs Jul2020'!AJ80&lt;'Tariffs Jul2020'!L80,0,IF($C$5*'Tariffs Jul2020'!AL80/'Tariffs Jul2020'!AJ80&lt;='Tariffs Jul2020'!M80,($C$5*'Tariffs Jul2020'!AL80/'Tariffs Jul2020'!AJ80-'Tariffs Jul2020'!L80)*('Tariffs Jul2020'!X80/100)*'Tariffs Jul2020'!AJ80,('Tariffs Jul2020'!M80-'Tariffs Jul2020'!L80)*('Tariffs Jul2020'!X80/100)*'Tariffs Jul2020'!AJ80))</f>
        <v>0</v>
      </c>
      <c r="N86" s="59">
        <f>IF(($C$5*'Tariffs Jul2020'!AL80/'Tariffs Jul2020'!AJ80&gt;'Tariffs Jul2020'!M80),($C$5*'Tariffs Jul2020'!AL80/'Tariffs Jul2020'!AJ80-'Tariffs Jul2020'!M80)*'Tariffs Jul2020'!Y80/100*'Tariffs Jul2020'!AJ80,0)</f>
        <v>445.90909090909088</v>
      </c>
      <c r="O86" s="59">
        <f t="shared" si="1"/>
        <v>1376.650909090909</v>
      </c>
      <c r="P86" s="503">
        <f t="shared" si="31"/>
        <v>1514.316</v>
      </c>
      <c r="Q86" s="59">
        <f t="shared" si="3"/>
        <v>1631.7859090909089</v>
      </c>
      <c r="R86" s="272">
        <f t="shared" si="4"/>
        <v>1794.9645</v>
      </c>
      <c r="S86" s="40">
        <f>'Tariffs Jul2020'!AN80</f>
        <v>20</v>
      </c>
      <c r="T86" s="40">
        <f>'Tariffs Jul2020'!AO80</f>
        <v>0</v>
      </c>
      <c r="U86" s="40">
        <f>'Tariffs Jul2020'!AP80</f>
        <v>0</v>
      </c>
      <c r="V86" s="40">
        <f>'Tariffs Jul2020'!AQ80</f>
        <v>0</v>
      </c>
      <c r="W86" s="284">
        <f>Q86-(Q86*S86/100)</f>
        <v>1305.4287272727272</v>
      </c>
      <c r="X86" s="284">
        <f t="shared" si="34"/>
        <v>1305.4287272727272</v>
      </c>
      <c r="Y86" s="507">
        <f t="shared" si="38"/>
        <v>1435.9716000000001</v>
      </c>
      <c r="Z86" s="507">
        <f t="shared" si="38"/>
        <v>1435.9716000000001</v>
      </c>
      <c r="AA86" s="274">
        <f>'Tariffs Jul2020'!AZ80</f>
        <v>0</v>
      </c>
      <c r="AB86" s="274" t="str">
        <f>'Tariffs Jul2020'!BA80</f>
        <v>n</v>
      </c>
      <c r="AC86" s="275" t="str">
        <f>'Tariffs Jul2020'!BJ80</f>
        <v>N</v>
      </c>
      <c r="AD86" s="511"/>
      <c r="AE86" s="511"/>
      <c r="AF86" s="513"/>
      <c r="AG86" s="546"/>
      <c r="AH86" s="546"/>
      <c r="AI86" s="546"/>
      <c r="AJ86" s="546"/>
      <c r="AK86" s="546"/>
      <c r="AL86" s="546"/>
      <c r="AM86" s="546"/>
      <c r="AN86" s="546"/>
      <c r="AO86" s="546"/>
      <c r="AP86" s="546"/>
      <c r="AQ86" s="546"/>
      <c r="AR86" s="546"/>
      <c r="AS86" s="546"/>
      <c r="AT86" s="546"/>
      <c r="AU86" s="546"/>
      <c r="AV86" s="546"/>
      <c r="AW86" s="546"/>
      <c r="AX86" s="546"/>
      <c r="AY86" s="546"/>
      <c r="AZ86" s="546"/>
    </row>
    <row r="87" spans="1:52" ht="14" x14ac:dyDescent="0.15">
      <c r="A87" s="270" t="str">
        <f>'Tariffs Jul2020'!F81</f>
        <v>Sumo Power</v>
      </c>
      <c r="B87" s="40" t="str">
        <f>'Tariffs Jul2020'!D81</f>
        <v>AGN Central 1</v>
      </c>
      <c r="C87" s="40" t="str">
        <f>'Tariffs Jul2020'!G81</f>
        <v>Select</v>
      </c>
      <c r="D87" s="59">
        <f>365*'Tariffs Jul2020'!H81/100</f>
        <v>255.5</v>
      </c>
      <c r="E87" s="59">
        <f>IF($C$5*'Tariffs Jul2020'!AK81/'Tariffs Jul2020'!AI81&gt;='Tariffs Jul2020'!J81,( 'Tariffs Jul2020'!J81*'Tariffs Jul2020'!O81/100)* 'Tariffs Jul2020'!AI81,($C$5*'Tariffs Jul2020'!AK81/'Tariffs Jul2020'!AI81*'Tariffs Jul2020'!O81/100)* 'Tariffs Jul2020'!AI81)</f>
        <v>119.78590909090907</v>
      </c>
      <c r="F87" s="59">
        <f>IF($C$5*'Tariffs Jul2020'!AK81/'Tariffs Jul2020'!AI81&lt;'Tariffs Jul2020'!J81,0,IF($C$5*'Tariffs Jul2020'!AK81/'Tariffs Jul2020'!AI81&lt;='Tariffs Jul2020'!K81,($C$5*'Tariffs Jul2020'!AK81/'Tariffs Jul2020'!AI81-'Tariffs Jul2020'!J81)*('Tariffs Jul2020'!P81/100)*'Tariffs Jul2020'!AI81,('Tariffs Jul2020'!K81-'Tariffs Jul2020'!J81)*('Tariffs Jul2020'!P81/100)*'Tariffs Jul2020'!AI81))</f>
        <v>80.191363636363633</v>
      </c>
      <c r="G87" s="59">
        <f>IF($C$5*'Tariffs Jul2020'!AK81/'Tariffs Jul2020'!AI81&lt;'Tariffs Jul2020'!K81,0,IF($C$5*'Tariffs Jul2020'!AK81/'Tariffs Jul2020'!AI81&lt;='Tariffs Jul2020'!L81,($C$5*'Tariffs Jul2020'!AK81/'Tariffs Jul2020'!AI81-'Tariffs Jul2020'!K81)*('Tariffs Jul2020'!Q81/100)*'Tariffs Jul2020'!AI81,('Tariffs Jul2020'!L81-'Tariffs Jul2020'!K81)*('Tariffs Jul2020'!Q81/100)*'Tariffs Jul2020'!AI81))</f>
        <v>0</v>
      </c>
      <c r="H87" s="59">
        <f>IF($C$5*'Tariffs Jul2020'!AK81/'Tariffs Jul2020'!AI81&lt;'Tariffs Jul2020'!L81,0,IF($C$5*'Tariffs Jul2020'!AK81/'Tariffs Jul2020'!AI81&lt;='Tariffs Jul2020'!M81,($C$5*'Tariffs Jul2020'!AK81/'Tariffs Jul2020'!AI81-'Tariffs Jul2020'!L81)*('Tariffs Jul2020'!R81/100)*'Tariffs Jul2020'!AI81,('Tariffs Jul2020'!M81-'Tariffs Jul2020'!L81)*('Tariffs Jul2020'!R81/100)*'Tariffs Jul2020'!AI81))</f>
        <v>0</v>
      </c>
      <c r="I87" s="59">
        <f>IF(($C$5*'Tariffs Jul2020'!AK81/'Tariffs Jul2020'!AI81&gt;'Tariffs Jul2020'!M81),($C$5*'Tariffs Jul2020'!AK81/'Tariffs Jul2020'!AI81-'Tariffs Jul2020'!M81)*'Tariffs Jul2020'!S81/100*'Tariffs Jul2020'!AI81,0)</f>
        <v>386.59090909090912</v>
      </c>
      <c r="J87" s="59">
        <f>IF($C$5*'Tariffs Jul2020'!AL81/'Tariffs Jul2020'!AJ81&gt;='Tariffs Jul2020'!J81,('Tariffs Jul2020'!J81*'Tariffs Jul2020'!U81/100)* 'Tariffs Jul2020'!AJ81,($C$5*'Tariffs Jul2020'!AL81/'Tariffs Jul2020'!AJ81*'Tariffs Jul2020'!U81/100)* 'Tariffs Jul2020'!AJ81)</f>
        <v>119.78590909090907</v>
      </c>
      <c r="K87" s="59">
        <f>IF($C$5*'Tariffs Jul2020'!AL81/'Tariffs Jul2020'!AJ81&lt;'Tariffs Jul2020'!J81,0,IF($C$5*'Tariffs Jul2020'!AL81/'Tariffs Jul2020'!AJ81&lt;='Tariffs Jul2020'!K81,($C$5*'Tariffs Jul2020'!AL81/'Tariffs Jul2020'!AJ81-'Tariffs Jul2020'!J81)*('Tariffs Jul2020'!V81/100)*'Tariffs Jul2020'!AJ81,('Tariffs Jul2020'!K81-'Tariffs Jul2020'!J81)*('Tariffs Jul2020'!V81/100)*'Tariffs Jul2020'!AJ81))</f>
        <v>80.191363636363633</v>
      </c>
      <c r="L87" s="59">
        <f>IF($C$5*'Tariffs Jul2020'!AL81/'Tariffs Jul2020'!AJ81&lt;'Tariffs Jul2020'!K81,0,IF($C$5*'Tariffs Jul2020'!AL81/'Tariffs Jul2020'!AJ81&lt;='Tariffs Jul2020'!L81,($C$5*'Tariffs Jul2020'!AL81/'Tariffs Jul2020'!AJ81-'Tariffs Jul2020'!K81)*('Tariffs Jul2020'!W81/100)*'Tariffs Jul2020'!AJ81,('Tariffs Jul2020'!L81-'Tariffs Jul2020'!K81)*('Tariffs Jul2020'!W81/100)*'Tariffs Jul2020'!AJ81))</f>
        <v>0</v>
      </c>
      <c r="M87" s="59">
        <f>IF($C$5*'Tariffs Jul2020'!AL81/'Tariffs Jul2020'!AJ81&lt;'Tariffs Jul2020'!L81,0,IF($C$5*'Tariffs Jul2020'!AL81/'Tariffs Jul2020'!AJ81&lt;='Tariffs Jul2020'!M81,($C$5*'Tariffs Jul2020'!AL81/'Tariffs Jul2020'!AJ81-'Tariffs Jul2020'!L81)*('Tariffs Jul2020'!X81/100)*'Tariffs Jul2020'!AJ81,('Tariffs Jul2020'!M81-'Tariffs Jul2020'!L81)*('Tariffs Jul2020'!X81/100)*'Tariffs Jul2020'!AJ81))</f>
        <v>0</v>
      </c>
      <c r="N87" s="59">
        <f>IF(($C$5*'Tariffs Jul2020'!AL81/'Tariffs Jul2020'!AJ81&gt;'Tariffs Jul2020'!M81),($C$5*'Tariffs Jul2020'!AL81/'Tariffs Jul2020'!AJ81-'Tariffs Jul2020'!M81)*'Tariffs Jul2020'!Y81/100*'Tariffs Jul2020'!AJ81,0)</f>
        <v>386.59090909090912</v>
      </c>
      <c r="O87" s="59">
        <f t="shared" si="1"/>
        <v>1173.1363636363635</v>
      </c>
      <c r="P87" s="503">
        <f t="shared" si="31"/>
        <v>1290.45</v>
      </c>
      <c r="Q87" s="59">
        <f t="shared" si="3"/>
        <v>1428.6363636363635</v>
      </c>
      <c r="R87" s="272">
        <f t="shared" si="4"/>
        <v>1571.5</v>
      </c>
      <c r="S87" s="40">
        <f>'Tariffs Jul2020'!AN81</f>
        <v>0</v>
      </c>
      <c r="T87" s="40">
        <f>'Tariffs Jul2020'!AO81</f>
        <v>0</v>
      </c>
      <c r="U87" s="40">
        <f>'Tariffs Jul2020'!AP81</f>
        <v>5</v>
      </c>
      <c r="V87" s="40">
        <f>'Tariffs Jul2020'!AQ81</f>
        <v>0</v>
      </c>
      <c r="W87" s="284">
        <f t="shared" ref="W87" si="39">Q87</f>
        <v>1428.6363636363635</v>
      </c>
      <c r="X87" s="284">
        <f>W87-(Q87*U87/100)</f>
        <v>1357.2045454545453</v>
      </c>
      <c r="Y87" s="507">
        <f t="shared" si="38"/>
        <v>1571.5</v>
      </c>
      <c r="Z87" s="507">
        <f t="shared" si="38"/>
        <v>1492.925</v>
      </c>
      <c r="AA87" s="274">
        <f>'Tariffs Jul2020'!AZ81</f>
        <v>0</v>
      </c>
      <c r="AB87" s="274" t="str">
        <f>'Tariffs Jul2020'!BA81</f>
        <v>n</v>
      </c>
      <c r="AC87" s="275" t="str">
        <f>'Tariffs Jul2020'!BJ81</f>
        <v>Y</v>
      </c>
      <c r="AD87" s="511"/>
      <c r="AE87" s="511"/>
      <c r="AF87" s="513"/>
      <c r="AG87" s="546"/>
      <c r="AH87" s="546"/>
      <c r="AI87" s="546"/>
      <c r="AJ87" s="546"/>
      <c r="AK87" s="546"/>
      <c r="AL87" s="546"/>
      <c r="AM87" s="546"/>
      <c r="AN87" s="546"/>
      <c r="AO87" s="546"/>
      <c r="AP87" s="546"/>
      <c r="AQ87" s="546"/>
      <c r="AR87" s="546"/>
      <c r="AS87" s="546"/>
      <c r="AT87" s="546"/>
      <c r="AU87" s="546"/>
      <c r="AV87" s="546"/>
      <c r="AW87" s="546"/>
      <c r="AX87" s="546"/>
      <c r="AY87" s="546"/>
      <c r="AZ87" s="546"/>
    </row>
    <row r="88" spans="1:52" ht="14" x14ac:dyDescent="0.15">
      <c r="A88" s="270" t="str">
        <f>'Tariffs Jul2020'!F82</f>
        <v>Amaysim</v>
      </c>
      <c r="B88" s="40" t="str">
        <f>'Tariffs Jul2020'!D82</f>
        <v>AGN Central 1</v>
      </c>
      <c r="C88" s="40" t="str">
        <f>'Tariffs Jul2020'!G82</f>
        <v>Gas as you go</v>
      </c>
      <c r="D88" s="59">
        <f>365*'Tariffs Jul2020'!H82/100</f>
        <v>199.0564</v>
      </c>
      <c r="E88" s="59">
        <f>IF($C$5*'Tariffs Jul2020'!AK82/'Tariffs Jul2020'!AI82&gt;='Tariffs Jul2020'!J82,( 'Tariffs Jul2020'!J82*'Tariffs Jul2020'!O82/100)* 'Tariffs Jul2020'!AI82,($C$5*'Tariffs Jul2020'!AK82/'Tariffs Jul2020'!AI82*'Tariffs Jul2020'!O82/100)* 'Tariffs Jul2020'!AI82)</f>
        <v>125.8425</v>
      </c>
      <c r="F88" s="59">
        <f>IF($C$5*'Tariffs Jul2020'!AK82/'Tariffs Jul2020'!AI82&lt;'Tariffs Jul2020'!J82,0,IF($C$5*'Tariffs Jul2020'!AK82/'Tariffs Jul2020'!AI82&lt;='Tariffs Jul2020'!K82,($C$5*'Tariffs Jul2020'!AK82/'Tariffs Jul2020'!AI82-'Tariffs Jul2020'!J82)*('Tariffs Jul2020'!P82/100)*'Tariffs Jul2020'!AI82,('Tariffs Jul2020'!K82-'Tariffs Jul2020'!J82)*('Tariffs Jul2020'!P82/100)*'Tariffs Jul2020'!AI82))</f>
        <v>88.454400000000007</v>
      </c>
      <c r="G88" s="59">
        <f>IF($C$5*'Tariffs Jul2020'!AK82/'Tariffs Jul2020'!AI82&lt;'Tariffs Jul2020'!K82,0,IF($C$5*'Tariffs Jul2020'!AK82/'Tariffs Jul2020'!AI82&lt;='Tariffs Jul2020'!L82,($C$5*'Tariffs Jul2020'!AK82/'Tariffs Jul2020'!AI82-'Tariffs Jul2020'!K82)*('Tariffs Jul2020'!Q82/100)*'Tariffs Jul2020'!AI82,('Tariffs Jul2020'!L82-'Tariffs Jul2020'!K82)*('Tariffs Jul2020'!Q82/100)*'Tariffs Jul2020'!AI82))</f>
        <v>0</v>
      </c>
      <c r="H88" s="59">
        <f>IF($C$5*'Tariffs Jul2020'!AK82/'Tariffs Jul2020'!AI82&lt;'Tariffs Jul2020'!L82,0,IF($C$5*'Tariffs Jul2020'!AK82/'Tariffs Jul2020'!AI82&lt;='Tariffs Jul2020'!M82,($C$5*'Tariffs Jul2020'!AK82/'Tariffs Jul2020'!AI82-'Tariffs Jul2020'!L82)*('Tariffs Jul2020'!R82/100)*'Tariffs Jul2020'!AI82,('Tariffs Jul2020'!M82-'Tariffs Jul2020'!L82)*('Tariffs Jul2020'!R82/100)*'Tariffs Jul2020'!AI82))</f>
        <v>0</v>
      </c>
      <c r="I88" s="59">
        <f>IF(($C$5*'Tariffs Jul2020'!AK82/'Tariffs Jul2020'!AI82&gt;'Tariffs Jul2020'!M82),($C$5*'Tariffs Jul2020'!AK82/'Tariffs Jul2020'!AI82-'Tariffs Jul2020'!M82)*'Tariffs Jul2020'!S82/100*'Tariffs Jul2020'!AI82,0)</f>
        <v>420.75</v>
      </c>
      <c r="J88" s="59">
        <f>IF($C$5*'Tariffs Jul2020'!AL82/'Tariffs Jul2020'!AJ82&gt;='Tariffs Jul2020'!J82,('Tariffs Jul2020'!J82*'Tariffs Jul2020'!U82/100)* 'Tariffs Jul2020'!AJ82,($C$5*'Tariffs Jul2020'!AL82/'Tariffs Jul2020'!AJ82*'Tariffs Jul2020'!U82/100)* 'Tariffs Jul2020'!AJ82)</f>
        <v>125.8425</v>
      </c>
      <c r="K88" s="59">
        <f>IF($C$5*'Tariffs Jul2020'!AL82/'Tariffs Jul2020'!AJ82&lt;'Tariffs Jul2020'!J82,0,IF($C$5*'Tariffs Jul2020'!AL82/'Tariffs Jul2020'!AJ82&lt;='Tariffs Jul2020'!K82,($C$5*'Tariffs Jul2020'!AL82/'Tariffs Jul2020'!AJ82-'Tariffs Jul2020'!J82)*('Tariffs Jul2020'!V82/100)*'Tariffs Jul2020'!AJ82,('Tariffs Jul2020'!K82-'Tariffs Jul2020'!J82)*('Tariffs Jul2020'!V82/100)*'Tariffs Jul2020'!AJ82))</f>
        <v>88.454400000000007</v>
      </c>
      <c r="L88" s="59">
        <f>IF($C$5*'Tariffs Jul2020'!AL82/'Tariffs Jul2020'!AJ82&lt;'Tariffs Jul2020'!K82,0,IF($C$5*'Tariffs Jul2020'!AL82/'Tariffs Jul2020'!AJ82&lt;='Tariffs Jul2020'!L82,($C$5*'Tariffs Jul2020'!AL82/'Tariffs Jul2020'!AJ82-'Tariffs Jul2020'!K82)*('Tariffs Jul2020'!W82/100)*'Tariffs Jul2020'!AJ82,('Tariffs Jul2020'!L82-'Tariffs Jul2020'!K82)*('Tariffs Jul2020'!W82/100)*'Tariffs Jul2020'!AJ82))</f>
        <v>0</v>
      </c>
      <c r="M88" s="59">
        <f>IF($C$5*'Tariffs Jul2020'!AL82/'Tariffs Jul2020'!AJ82&lt;'Tariffs Jul2020'!L82,0,IF($C$5*'Tariffs Jul2020'!AL82/'Tariffs Jul2020'!AJ82&lt;='Tariffs Jul2020'!M82,($C$5*'Tariffs Jul2020'!AL82/'Tariffs Jul2020'!AJ82-'Tariffs Jul2020'!L82)*('Tariffs Jul2020'!X82/100)*'Tariffs Jul2020'!AJ82,('Tariffs Jul2020'!M82-'Tariffs Jul2020'!L82)*('Tariffs Jul2020'!X82/100)*'Tariffs Jul2020'!AJ82))</f>
        <v>0</v>
      </c>
      <c r="N88" s="59">
        <f>IF(($C$5*'Tariffs Jul2020'!AL82/'Tariffs Jul2020'!AJ82&gt;'Tariffs Jul2020'!M82),($C$5*'Tariffs Jul2020'!AL82/'Tariffs Jul2020'!AJ82-'Tariffs Jul2020'!M82)*'Tariffs Jul2020'!Y82/100*'Tariffs Jul2020'!AJ82,0)</f>
        <v>420.75</v>
      </c>
      <c r="O88" s="59">
        <f t="shared" si="1"/>
        <v>1270.0938000000001</v>
      </c>
      <c r="P88" s="503">
        <f t="shared" si="31"/>
        <v>1397.1031800000003</v>
      </c>
      <c r="Q88" s="59">
        <f t="shared" si="3"/>
        <v>1469.1502</v>
      </c>
      <c r="R88" s="272">
        <f t="shared" si="4"/>
        <v>1616.0652200000002</v>
      </c>
      <c r="S88" s="40">
        <f>'Tariffs Jul2020'!AN82</f>
        <v>0</v>
      </c>
      <c r="T88" s="40">
        <f>'Tariffs Jul2020'!AO82</f>
        <v>0</v>
      </c>
      <c r="U88" s="40">
        <f>'Tariffs Jul2020'!AP82</f>
        <v>0</v>
      </c>
      <c r="V88" s="40">
        <f>'Tariffs Jul2020'!AQ82</f>
        <v>0</v>
      </c>
      <c r="W88" s="284">
        <f>Q88</f>
        <v>1469.1502</v>
      </c>
      <c r="X88" s="284">
        <f>W88</f>
        <v>1469.1502</v>
      </c>
      <c r="Y88" s="507">
        <f t="shared" si="38"/>
        <v>1616.0652200000002</v>
      </c>
      <c r="Z88" s="507">
        <f t="shared" si="38"/>
        <v>1616.0652200000002</v>
      </c>
      <c r="AA88" s="274">
        <f>'Tariffs Jul2020'!AZ82</f>
        <v>0</v>
      </c>
      <c r="AB88" s="274" t="str">
        <f>'Tariffs Jul2020'!BA82</f>
        <v>n</v>
      </c>
      <c r="AC88" s="275" t="str">
        <f>'Tariffs Jul2020'!BJ82</f>
        <v>N</v>
      </c>
      <c r="AD88" s="511"/>
      <c r="AE88" s="511"/>
      <c r="AF88" s="513"/>
      <c r="AG88" s="546"/>
      <c r="AH88" s="546"/>
      <c r="AI88" s="546"/>
      <c r="AJ88" s="546"/>
      <c r="AK88" s="546"/>
      <c r="AL88" s="546"/>
      <c r="AM88" s="546"/>
      <c r="AN88" s="546"/>
      <c r="AO88" s="546"/>
      <c r="AP88" s="546"/>
      <c r="AQ88" s="546"/>
      <c r="AR88" s="546"/>
      <c r="AS88" s="546"/>
      <c r="AT88" s="546"/>
      <c r="AU88" s="546"/>
      <c r="AV88" s="546"/>
      <c r="AW88" s="546"/>
      <c r="AX88" s="546"/>
      <c r="AY88" s="546"/>
      <c r="AZ88" s="546"/>
    </row>
    <row r="89" spans="1:52" ht="14" x14ac:dyDescent="0.15">
      <c r="A89" s="270" t="str">
        <f>'Tariffs Jul2020'!F83</f>
        <v>GloBird Energy</v>
      </c>
      <c r="B89" s="40" t="str">
        <f>'Tariffs Jul2020'!D83</f>
        <v>AGN Central 1</v>
      </c>
      <c r="C89" s="40" t="str">
        <f>'Tariffs Jul2020'!G83</f>
        <v>GloSave</v>
      </c>
      <c r="D89" s="59">
        <f>365*'Tariffs Jul2020'!H83/100</f>
        <v>208.05</v>
      </c>
      <c r="E89" s="59">
        <f>IF($C$5*'Tariffs Jul2020'!AK83/'Tariffs Jul2020'!AI83&gt;='Tariffs Jul2020'!J83,( 'Tariffs Jul2020'!J83*'Tariffs Jul2020'!O83/100)* 'Tariffs Jul2020'!AI83,($C$5*'Tariffs Jul2020'!AK83/'Tariffs Jul2020'!AI83*'Tariffs Jul2020'!O83/100)* 'Tariffs Jul2020'!AI83)</f>
        <v>155.45454545454544</v>
      </c>
      <c r="F89" s="59">
        <f>IF($C$5*'Tariffs Jul2020'!AK83/'Tariffs Jul2020'!AI83&lt;'Tariffs Jul2020'!J83,0,IF($C$5*'Tariffs Jul2020'!AK83/'Tariffs Jul2020'!AI83&lt;='Tariffs Jul2020'!K83,($C$5*'Tariffs Jul2020'!AK83/'Tariffs Jul2020'!AI83-'Tariffs Jul2020'!J83)*('Tariffs Jul2020'!P83/100)*'Tariffs Jul2020'!AI83,('Tariffs Jul2020'!K83-'Tariffs Jul2020'!J83)*('Tariffs Jul2020'!P83/100)*'Tariffs Jul2020'!AI83))</f>
        <v>0</v>
      </c>
      <c r="G89" s="59">
        <f>IF($C$5*'Tariffs Jul2020'!AK83/'Tariffs Jul2020'!AI83&lt;'Tariffs Jul2020'!K83,0,IF($C$5*'Tariffs Jul2020'!AK83/'Tariffs Jul2020'!AI83&lt;='Tariffs Jul2020'!L83,($C$5*'Tariffs Jul2020'!AK83/'Tariffs Jul2020'!AI83-'Tariffs Jul2020'!K83)*('Tariffs Jul2020'!Q83/100)*'Tariffs Jul2020'!AI83,('Tariffs Jul2020'!L83-'Tariffs Jul2020'!K83)*('Tariffs Jul2020'!Q83/100)*'Tariffs Jul2020'!AI83))</f>
        <v>0</v>
      </c>
      <c r="H89" s="59">
        <f>IF($C$5*'Tariffs Jul2020'!AK83/'Tariffs Jul2020'!AI83&lt;'Tariffs Jul2020'!L83,0,IF($C$5*'Tariffs Jul2020'!AK83/'Tariffs Jul2020'!AI83&lt;='Tariffs Jul2020'!M83,($C$5*'Tariffs Jul2020'!AK83/'Tariffs Jul2020'!AI83-'Tariffs Jul2020'!L83)*('Tariffs Jul2020'!R83/100)*'Tariffs Jul2020'!AI83,('Tariffs Jul2020'!M83-'Tariffs Jul2020'!L83)*('Tariffs Jul2020'!R83/100)*'Tariffs Jul2020'!AI83))</f>
        <v>0</v>
      </c>
      <c r="I89" s="59">
        <f>IF(($C$5*'Tariffs Jul2020'!AK83/'Tariffs Jul2020'!AI83&gt;'Tariffs Jul2020'!M83),($C$5*'Tariffs Jul2020'!AK83/'Tariffs Jul2020'!AI83-'Tariffs Jul2020'!M83)*'Tariffs Jul2020'!S83/100*'Tariffs Jul2020'!AI83,0)</f>
        <v>388.63636363636363</v>
      </c>
      <c r="J89" s="59">
        <f>IF($C$5*'Tariffs Jul2020'!AL83/'Tariffs Jul2020'!AJ83&gt;='Tariffs Jul2020'!J83,('Tariffs Jul2020'!J83*'Tariffs Jul2020'!U83/100)* 'Tariffs Jul2020'!AJ83,($C$5*'Tariffs Jul2020'!AL83/'Tariffs Jul2020'!AJ83*'Tariffs Jul2020'!U83/100)* 'Tariffs Jul2020'!AJ83)</f>
        <v>155.45454545454544</v>
      </c>
      <c r="K89" s="59">
        <f>IF($C$5*'Tariffs Jul2020'!AL83/'Tariffs Jul2020'!AJ83&lt;'Tariffs Jul2020'!J83,0,IF($C$5*'Tariffs Jul2020'!AL83/'Tariffs Jul2020'!AJ83&lt;='Tariffs Jul2020'!K83,($C$5*'Tariffs Jul2020'!AL83/'Tariffs Jul2020'!AJ83-'Tariffs Jul2020'!J83)*('Tariffs Jul2020'!V83/100)*'Tariffs Jul2020'!AJ83,('Tariffs Jul2020'!K83-'Tariffs Jul2020'!J83)*('Tariffs Jul2020'!V83/100)*'Tariffs Jul2020'!AJ83))</f>
        <v>0</v>
      </c>
      <c r="L89" s="59">
        <f>IF($C$5*'Tariffs Jul2020'!AL83/'Tariffs Jul2020'!AJ83&lt;'Tariffs Jul2020'!K83,0,IF($C$5*'Tariffs Jul2020'!AL83/'Tariffs Jul2020'!AJ83&lt;='Tariffs Jul2020'!L83,($C$5*'Tariffs Jul2020'!AL83/'Tariffs Jul2020'!AJ83-'Tariffs Jul2020'!K83)*('Tariffs Jul2020'!W83/100)*'Tariffs Jul2020'!AJ83,('Tariffs Jul2020'!L83-'Tariffs Jul2020'!K83)*('Tariffs Jul2020'!W83/100)*'Tariffs Jul2020'!AJ83))</f>
        <v>0</v>
      </c>
      <c r="M89" s="59">
        <f>IF($C$5*'Tariffs Jul2020'!AL83/'Tariffs Jul2020'!AJ83&lt;'Tariffs Jul2020'!L83,0,IF($C$5*'Tariffs Jul2020'!AL83/'Tariffs Jul2020'!AJ83&lt;='Tariffs Jul2020'!M83,($C$5*'Tariffs Jul2020'!AL83/'Tariffs Jul2020'!AJ83-'Tariffs Jul2020'!L83)*('Tariffs Jul2020'!X83/100)*'Tariffs Jul2020'!AJ83,('Tariffs Jul2020'!M83-'Tariffs Jul2020'!L83)*('Tariffs Jul2020'!X83/100)*'Tariffs Jul2020'!AJ83))</f>
        <v>0</v>
      </c>
      <c r="N89" s="59">
        <f>IF(($C$5*'Tariffs Jul2020'!AL83/'Tariffs Jul2020'!AJ83&gt;'Tariffs Jul2020'!M83),($C$5*'Tariffs Jul2020'!AL83/'Tariffs Jul2020'!AJ83-'Tariffs Jul2020'!M83)*'Tariffs Jul2020'!Y83/100*'Tariffs Jul2020'!AJ83,0)</f>
        <v>388.63636363636363</v>
      </c>
      <c r="O89" s="59">
        <f t="shared" si="1"/>
        <v>1088.181818181818</v>
      </c>
      <c r="P89" s="503">
        <f t="shared" si="31"/>
        <v>1197</v>
      </c>
      <c r="Q89" s="59">
        <f t="shared" si="3"/>
        <v>1296.231818181818</v>
      </c>
      <c r="R89" s="272">
        <f t="shared" si="4"/>
        <v>1425.8549999999998</v>
      </c>
      <c r="S89" s="40">
        <f>'Tariffs Jul2020'!AN83</f>
        <v>0</v>
      </c>
      <c r="T89" s="40">
        <f>'Tariffs Jul2020'!AO83</f>
        <v>0</v>
      </c>
      <c r="U89" s="40">
        <f>'Tariffs Jul2020'!AP83</f>
        <v>0</v>
      </c>
      <c r="V89" s="40">
        <f>'Tariffs Jul2020'!AQ83</f>
        <v>0</v>
      </c>
      <c r="W89" s="284">
        <f>Q89</f>
        <v>1296.231818181818</v>
      </c>
      <c r="X89" s="284">
        <f>W89</f>
        <v>1296.231818181818</v>
      </c>
      <c r="Y89" s="507">
        <f t="shared" si="38"/>
        <v>1425.8549999999998</v>
      </c>
      <c r="Z89" s="507">
        <f t="shared" si="38"/>
        <v>1425.8549999999998</v>
      </c>
      <c r="AA89" s="274">
        <f>'Tariffs Jul2020'!AZ83</f>
        <v>0</v>
      </c>
      <c r="AB89" s="274" t="str">
        <f>'Tariffs Jul2020'!BA83</f>
        <v>n</v>
      </c>
      <c r="AC89" s="275" t="str">
        <f>'Tariffs Jul2020'!BJ83</f>
        <v>N</v>
      </c>
      <c r="AD89" s="511"/>
      <c r="AE89" s="511"/>
      <c r="AF89" s="513"/>
      <c r="AG89" s="546"/>
      <c r="AH89" s="546"/>
      <c r="AI89" s="546"/>
      <c r="AJ89" s="546"/>
      <c r="AK89" s="546"/>
      <c r="AL89" s="546"/>
      <c r="AM89" s="546"/>
      <c r="AN89" s="546"/>
      <c r="AO89" s="546"/>
      <c r="AP89" s="546"/>
      <c r="AQ89" s="546"/>
      <c r="AR89" s="546"/>
      <c r="AS89" s="546"/>
      <c r="AT89" s="546"/>
      <c r="AU89" s="546"/>
      <c r="AV89" s="546"/>
      <c r="AW89" s="546"/>
      <c r="AX89" s="546"/>
      <c r="AY89" s="546"/>
      <c r="AZ89" s="546"/>
    </row>
    <row r="90" spans="1:52" ht="14" x14ac:dyDescent="0.15">
      <c r="A90" s="270" t="str">
        <f>'Tariffs Jul2020'!F84</f>
        <v>Powershop</v>
      </c>
      <c r="B90" s="40" t="str">
        <f>'Tariffs Jul2020'!D84</f>
        <v>AGN Central 1</v>
      </c>
      <c r="C90" s="40" t="str">
        <f>'Tariffs Jul2020'!G84</f>
        <v>Shopper with Gas Saver</v>
      </c>
      <c r="D90" s="59">
        <f>365*'Tariffs Jul2020'!H84/100</f>
        <v>265.18909090909091</v>
      </c>
      <c r="E90" s="59">
        <f>((C$5*'Tariffs Jul2020'!AK84/'Tariffs Jul2020'!AI84)*('Tariffs Jul2020'!O84/100))*'Tariffs Jul2020'!AI84</f>
        <v>609.95454545454538</v>
      </c>
      <c r="F90" s="59">
        <v>0</v>
      </c>
      <c r="G90" s="59">
        <v>0</v>
      </c>
      <c r="H90" s="59">
        <v>0</v>
      </c>
      <c r="I90" s="59">
        <v>0</v>
      </c>
      <c r="J90" s="59">
        <f>((C$5*'Tariffs Jul2020'!AL84/'Tariffs Jul2020'!AJ84)*('Tariffs Jul2020'!U84/100))*'Tariffs Jul2020'!AJ84</f>
        <v>609.95454545454538</v>
      </c>
      <c r="K90" s="59">
        <v>0</v>
      </c>
      <c r="L90" s="59">
        <v>0</v>
      </c>
      <c r="M90" s="59">
        <v>0</v>
      </c>
      <c r="N90" s="59">
        <v>0</v>
      </c>
      <c r="O90" s="59">
        <f t="shared" si="1"/>
        <v>1219.9090909090908</v>
      </c>
      <c r="P90" s="503">
        <f t="shared" si="31"/>
        <v>1341.8999999999999</v>
      </c>
      <c r="Q90" s="59">
        <f t="shared" si="3"/>
        <v>1485.0981818181817</v>
      </c>
      <c r="R90" s="272">
        <f t="shared" si="4"/>
        <v>1633.6079999999999</v>
      </c>
      <c r="S90" s="40">
        <f>'Tariffs Jul2020'!AN84</f>
        <v>0</v>
      </c>
      <c r="T90" s="40">
        <f>'Tariffs Jul2020'!AO84</f>
        <v>0</v>
      </c>
      <c r="U90" s="40">
        <f>'Tariffs Jul2020'!AP84</f>
        <v>5</v>
      </c>
      <c r="V90" s="40">
        <f>'Tariffs Jul2020'!AQ84</f>
        <v>0</v>
      </c>
      <c r="W90" s="284">
        <f>R90</f>
        <v>1633.6079999999999</v>
      </c>
      <c r="X90" s="284">
        <f>W90-(W90*U90/100)</f>
        <v>1551.9276</v>
      </c>
      <c r="Y90" s="507">
        <f>W90</f>
        <v>1633.6079999999999</v>
      </c>
      <c r="Z90" s="507">
        <f>X90</f>
        <v>1551.9276</v>
      </c>
      <c r="AA90" s="274">
        <f>'Tariffs Jul2020'!AZ84</f>
        <v>0</v>
      </c>
      <c r="AB90" s="274" t="str">
        <f>'Tariffs Jul2020'!BA84</f>
        <v>n</v>
      </c>
      <c r="AC90" s="275" t="str">
        <f>'Tariffs Jul2020'!BJ84</f>
        <v>Y</v>
      </c>
      <c r="AD90" s="511"/>
      <c r="AE90" s="511"/>
      <c r="AF90" s="513"/>
      <c r="AG90" s="546"/>
      <c r="AH90" s="546"/>
      <c r="AI90" s="546"/>
      <c r="AJ90" s="546"/>
      <c r="AK90" s="546"/>
      <c r="AL90" s="546"/>
      <c r="AM90" s="546"/>
      <c r="AN90" s="546"/>
      <c r="AO90" s="546"/>
      <c r="AP90" s="546"/>
      <c r="AQ90" s="546"/>
      <c r="AR90" s="546"/>
      <c r="AS90" s="546"/>
      <c r="AT90" s="546"/>
      <c r="AU90" s="546"/>
      <c r="AV90" s="546"/>
      <c r="AW90" s="546"/>
      <c r="AX90" s="546"/>
      <c r="AY90" s="546"/>
      <c r="AZ90" s="546"/>
    </row>
    <row r="91" spans="1:52" ht="14" x14ac:dyDescent="0.15">
      <c r="A91" s="270" t="str">
        <f>'Tariffs Jul2020'!F85</f>
        <v>1st Energy</v>
      </c>
      <c r="B91" s="40" t="str">
        <f>'Tariffs Jul2020'!D85</f>
        <v>AGN Central 1</v>
      </c>
      <c r="C91" s="40" t="str">
        <f>'Tariffs Jul2020'!G85</f>
        <v>1st Saver</v>
      </c>
      <c r="D91" s="59">
        <f>365*'Tariffs Jul2020'!H85/100</f>
        <v>266.45</v>
      </c>
      <c r="E91" s="59">
        <f>IF($C$5*'Tariffs Jul2020'!AK85/'Tariffs Jul2020'!AI85&gt;='Tariffs Jul2020'!J85,( 'Tariffs Jul2020'!J85*'Tariffs Jul2020'!O85/100)* 'Tariffs Jul2020'!AI85,($C$5*'Tariffs Jul2020'!AK85/'Tariffs Jul2020'!AI85*'Tariffs Jul2020'!O85/100)* 'Tariffs Jul2020'!AI85)</f>
        <v>135.03954545454545</v>
      </c>
      <c r="F91" s="59">
        <f>IF($C$5*'Tariffs Jul2020'!AK85/'Tariffs Jul2020'!AI85&lt;'Tariffs Jul2020'!J85,0,IF($C$5*'Tariffs Jul2020'!AK85/'Tariffs Jul2020'!AI85&lt;='Tariffs Jul2020'!K85,($C$5*'Tariffs Jul2020'!AK85/'Tariffs Jul2020'!AI85-'Tariffs Jul2020'!J85)*('Tariffs Jul2020'!P85/100)*'Tariffs Jul2020'!AI85,('Tariffs Jul2020'!K85-'Tariffs Jul2020'!J85)*('Tariffs Jul2020'!P85/100)*'Tariffs Jul2020'!AI85))</f>
        <v>98.299090909090907</v>
      </c>
      <c r="G91" s="59">
        <f>IF($C$5*'Tariffs Jul2020'!AK85/'Tariffs Jul2020'!AI85&lt;'Tariffs Jul2020'!K85,0,IF($C$5*'Tariffs Jul2020'!AK85/'Tariffs Jul2020'!AI85&lt;='Tariffs Jul2020'!L85,($C$5*'Tariffs Jul2020'!AK85/'Tariffs Jul2020'!AI85-'Tariffs Jul2020'!K85)*('Tariffs Jul2020'!Q85/100)*'Tariffs Jul2020'!AI85,('Tariffs Jul2020'!L85-'Tariffs Jul2020'!K85)*('Tariffs Jul2020'!Q85/100)*'Tariffs Jul2020'!AI85))</f>
        <v>0</v>
      </c>
      <c r="H91" s="59">
        <f>IF($C$5*'Tariffs Jul2020'!AK85/'Tariffs Jul2020'!AI85&lt;'Tariffs Jul2020'!L85,0,IF($C$5*'Tariffs Jul2020'!AK85/'Tariffs Jul2020'!AI85&lt;='Tariffs Jul2020'!M85,($C$5*'Tariffs Jul2020'!AK85/'Tariffs Jul2020'!AI85-'Tariffs Jul2020'!L85)*('Tariffs Jul2020'!R85/100)*'Tariffs Jul2020'!AI85,('Tariffs Jul2020'!M85-'Tariffs Jul2020'!L85)*('Tariffs Jul2020'!R85/100)*'Tariffs Jul2020'!AI85))</f>
        <v>0</v>
      </c>
      <c r="I91" s="59">
        <f>IF(($C$5*'Tariffs Jul2020'!AK85/'Tariffs Jul2020'!AI85&gt;'Tariffs Jul2020'!M85),($C$5*'Tariffs Jul2020'!AK85/'Tariffs Jul2020'!AI85-'Tariffs Jul2020'!M85)*'Tariffs Jul2020'!S85/100*'Tariffs Jul2020'!AI85,0)</f>
        <v>466.36363636363626</v>
      </c>
      <c r="J91" s="59">
        <f>IF($C$5*'Tariffs Jul2020'!AL85/'Tariffs Jul2020'!AJ85&gt;='Tariffs Jul2020'!J85,('Tariffs Jul2020'!J85*'Tariffs Jul2020'!U85/100)* 'Tariffs Jul2020'!AJ85,($C$5*'Tariffs Jul2020'!AL85/'Tariffs Jul2020'!AJ85*'Tariffs Jul2020'!U85/100)* 'Tariffs Jul2020'!AJ85)</f>
        <v>135.03954545454545</v>
      </c>
      <c r="K91" s="59">
        <f>IF($C$5*'Tariffs Jul2020'!AL85/'Tariffs Jul2020'!AJ85&lt;'Tariffs Jul2020'!J85,0,IF($C$5*'Tariffs Jul2020'!AL85/'Tariffs Jul2020'!AJ85&lt;='Tariffs Jul2020'!K85,($C$5*'Tariffs Jul2020'!AL85/'Tariffs Jul2020'!AJ85-'Tariffs Jul2020'!J85)*('Tariffs Jul2020'!V85/100)*'Tariffs Jul2020'!AJ85,('Tariffs Jul2020'!K85-'Tariffs Jul2020'!J85)*('Tariffs Jul2020'!V85/100)*'Tariffs Jul2020'!AJ85))</f>
        <v>98.299090909090907</v>
      </c>
      <c r="L91" s="59">
        <f>IF($C$5*'Tariffs Jul2020'!AL85/'Tariffs Jul2020'!AJ85&lt;'Tariffs Jul2020'!K85,0,IF($C$5*'Tariffs Jul2020'!AL85/'Tariffs Jul2020'!AJ85&lt;='Tariffs Jul2020'!L85,($C$5*'Tariffs Jul2020'!AL85/'Tariffs Jul2020'!AJ85-'Tariffs Jul2020'!K85)*('Tariffs Jul2020'!W85/100)*'Tariffs Jul2020'!AJ85,('Tariffs Jul2020'!L85-'Tariffs Jul2020'!K85)*('Tariffs Jul2020'!W85/100)*'Tariffs Jul2020'!AJ85))</f>
        <v>0</v>
      </c>
      <c r="M91" s="59">
        <f>IF($C$5*'Tariffs Jul2020'!AL85/'Tariffs Jul2020'!AJ85&lt;'Tariffs Jul2020'!L85,0,IF($C$5*'Tariffs Jul2020'!AL85/'Tariffs Jul2020'!AJ85&lt;='Tariffs Jul2020'!M85,($C$5*'Tariffs Jul2020'!AL85/'Tariffs Jul2020'!AJ85-'Tariffs Jul2020'!L85)*('Tariffs Jul2020'!X85/100)*'Tariffs Jul2020'!AJ85,('Tariffs Jul2020'!M85-'Tariffs Jul2020'!L85)*('Tariffs Jul2020'!X85/100)*'Tariffs Jul2020'!AJ85))</f>
        <v>0</v>
      </c>
      <c r="N91" s="59">
        <f>IF(($C$5*'Tariffs Jul2020'!AL85/'Tariffs Jul2020'!AJ85&gt;'Tariffs Jul2020'!M85),($C$5*'Tariffs Jul2020'!AL85/'Tariffs Jul2020'!AJ85-'Tariffs Jul2020'!M85)*'Tariffs Jul2020'!Y85/100*'Tariffs Jul2020'!AJ85,0)</f>
        <v>466.36363636363626</v>
      </c>
      <c r="O91" s="59">
        <f t="shared" si="1"/>
        <v>1399.4045454545453</v>
      </c>
      <c r="P91" s="503">
        <f t="shared" si="31"/>
        <v>1539.345</v>
      </c>
      <c r="Q91" s="59">
        <f t="shared" si="3"/>
        <v>1665.8545454545454</v>
      </c>
      <c r="R91" s="272">
        <f t="shared" si="4"/>
        <v>1832.44</v>
      </c>
      <c r="S91" s="40">
        <f>'Tariffs Jul2020'!AN85</f>
        <v>0</v>
      </c>
      <c r="T91" s="40">
        <f>'Tariffs Jul2020'!AO85</f>
        <v>0</v>
      </c>
      <c r="U91" s="40">
        <f>'Tariffs Jul2020'!AP85</f>
        <v>0</v>
      </c>
      <c r="V91" s="40">
        <f>'Tariffs Jul2020'!AQ85</f>
        <v>15</v>
      </c>
      <c r="W91" s="284">
        <f>Q91</f>
        <v>1665.8545454545454</v>
      </c>
      <c r="X91" s="284">
        <f>W91-(O91*V91/100)</f>
        <v>1455.9438636363636</v>
      </c>
      <c r="Y91" s="507">
        <f t="shared" ref="Y91:Z92" si="40">W91*1.1</f>
        <v>1832.44</v>
      </c>
      <c r="Z91" s="507">
        <f t="shared" si="40"/>
        <v>1601.5382500000001</v>
      </c>
      <c r="AA91" s="274">
        <f>'Tariffs Jul2020'!AZ85</f>
        <v>0</v>
      </c>
      <c r="AB91" s="274" t="str">
        <f>'Tariffs Jul2020'!BA85</f>
        <v>n</v>
      </c>
      <c r="AC91" s="275" t="str">
        <f>'Tariffs Jul2020'!BJ85</f>
        <v>Y</v>
      </c>
      <c r="AD91" s="511"/>
      <c r="AE91" s="511"/>
      <c r="AF91" s="513"/>
      <c r="AG91" s="546"/>
      <c r="AH91" s="546"/>
      <c r="AI91" s="546"/>
      <c r="AJ91" s="546"/>
      <c r="AK91" s="546"/>
      <c r="AL91" s="546"/>
      <c r="AM91" s="546"/>
      <c r="AN91" s="546"/>
      <c r="AO91" s="546"/>
      <c r="AP91" s="546"/>
      <c r="AQ91" s="546"/>
      <c r="AR91" s="546"/>
      <c r="AS91" s="546"/>
      <c r="AT91" s="546"/>
      <c r="AU91" s="546"/>
      <c r="AV91" s="546"/>
      <c r="AW91" s="546"/>
      <c r="AX91" s="546"/>
      <c r="AY91" s="546"/>
      <c r="AZ91" s="546"/>
    </row>
    <row r="92" spans="1:52" ht="15" thickBot="1" x14ac:dyDescent="0.2">
      <c r="A92" s="276" t="str">
        <f>'Tariffs Jul2020'!F86</f>
        <v>Kogan Energy</v>
      </c>
      <c r="B92" s="277" t="str">
        <f>'Tariffs Jul2020'!D86</f>
        <v>AGN Central 1</v>
      </c>
      <c r="C92" s="277" t="str">
        <f>'Tariffs Jul2020'!G86</f>
        <v>Market offer</v>
      </c>
      <c r="D92" s="278">
        <f>365*'Tariffs Jul2020'!H86/100</f>
        <v>224.77363636363631</v>
      </c>
      <c r="E92" s="278">
        <f>((C$5*'Tariffs Jul2020'!AK86/'Tariffs Jul2020'!AI86)*('Tariffs Jul2020'!O86/100))*'Tariffs Jul2020'!AI86</f>
        <v>664.36363636363626</v>
      </c>
      <c r="F92" s="278">
        <v>0</v>
      </c>
      <c r="G92" s="278">
        <v>0</v>
      </c>
      <c r="H92" s="278">
        <v>0</v>
      </c>
      <c r="I92" s="278">
        <v>0</v>
      </c>
      <c r="J92" s="278">
        <f>((C$5*'Tariffs Jul2020'!AL86/'Tariffs Jul2020'!AJ86)*('Tariffs Jul2020'!U86/100))*'Tariffs Jul2020'!AJ86</f>
        <v>664.36363636363626</v>
      </c>
      <c r="K92" s="278">
        <v>0</v>
      </c>
      <c r="L92" s="278">
        <v>0</v>
      </c>
      <c r="M92" s="278">
        <v>0</v>
      </c>
      <c r="N92" s="278">
        <v>0</v>
      </c>
      <c r="O92" s="278">
        <f t="shared" si="1"/>
        <v>1328.7272727272725</v>
      </c>
      <c r="P92" s="504">
        <f t="shared" si="31"/>
        <v>1461.6</v>
      </c>
      <c r="Q92" s="278">
        <f t="shared" si="3"/>
        <v>1553.5009090909089</v>
      </c>
      <c r="R92" s="280">
        <f t="shared" si="4"/>
        <v>1708.8509999999999</v>
      </c>
      <c r="S92" s="277">
        <f>'Tariffs Jul2020'!AN86</f>
        <v>0</v>
      </c>
      <c r="T92" s="277">
        <f>'Tariffs Jul2020'!AO86</f>
        <v>0</v>
      </c>
      <c r="U92" s="277">
        <f>'Tariffs Jul2020'!AP86</f>
        <v>0</v>
      </c>
      <c r="V92" s="277">
        <f>'Tariffs Jul2020'!AQ86</f>
        <v>0</v>
      </c>
      <c r="W92" s="285">
        <f t="shared" ref="W92" si="41">Q92</f>
        <v>1553.5009090909089</v>
      </c>
      <c r="X92" s="285">
        <f t="shared" ref="X92:X102" si="42">W92</f>
        <v>1553.5009090909089</v>
      </c>
      <c r="Y92" s="508">
        <f t="shared" si="40"/>
        <v>1708.8509999999999</v>
      </c>
      <c r="Z92" s="508">
        <f t="shared" si="40"/>
        <v>1708.8509999999999</v>
      </c>
      <c r="AA92" s="282">
        <f>'Tariffs Jul2020'!AZ86</f>
        <v>0</v>
      </c>
      <c r="AB92" s="282" t="str">
        <f>'Tariffs Jul2020'!BA86</f>
        <v>n</v>
      </c>
      <c r="AC92" s="283" t="str">
        <f>'Tariffs Jul2020'!BJ86</f>
        <v>N</v>
      </c>
      <c r="AD92" s="511"/>
      <c r="AE92" s="511"/>
      <c r="AF92" s="513"/>
      <c r="AG92" s="546"/>
      <c r="AH92" s="546"/>
      <c r="AI92" s="546"/>
      <c r="AJ92" s="546"/>
      <c r="AK92" s="546"/>
      <c r="AL92" s="546"/>
      <c r="AM92" s="546"/>
      <c r="AN92" s="546"/>
      <c r="AO92" s="546"/>
      <c r="AP92" s="546"/>
      <c r="AQ92" s="546"/>
      <c r="AR92" s="546"/>
      <c r="AS92" s="546"/>
      <c r="AT92" s="546"/>
      <c r="AU92" s="546"/>
      <c r="AV92" s="546"/>
      <c r="AW92" s="546"/>
      <c r="AX92" s="546"/>
      <c r="AY92" s="546"/>
      <c r="AZ92" s="546"/>
    </row>
    <row r="93" spans="1:52" ht="15" thickTop="1" x14ac:dyDescent="0.15">
      <c r="A93" s="270" t="str">
        <f>'Tariffs Jul2020'!F87</f>
        <v>AGL</v>
      </c>
      <c r="B93" s="40" t="str">
        <f>'Tariffs Jul2020'!D87</f>
        <v>AusNet Services West</v>
      </c>
      <c r="C93" s="40" t="str">
        <f>'Tariffs Jul2020'!G87</f>
        <v>Essentials Saver</v>
      </c>
      <c r="D93" s="59">
        <f>365*'Tariffs Jul2020'!H87/100</f>
        <v>308.39181818181817</v>
      </c>
      <c r="E93" s="59">
        <f>IF($C$5*'Tariffs Jul2020'!AK87/'Tariffs Jul2020'!AI87&gt;='Tariffs Jul2020'!J87,( 'Tariffs Jul2020'!J87*'Tariffs Jul2020'!O87/100)* 'Tariffs Jul2020'!AI87,($C$5*'Tariffs Jul2020'!AK87/'Tariffs Jul2020'!AI87*'Tariffs Jul2020'!O87/100)* 'Tariffs Jul2020'!AI87)</f>
        <v>201.81818181818181</v>
      </c>
      <c r="F93" s="59">
        <f>IF($C$5*'Tariffs Jul2020'!AK87/'Tariffs Jul2020'!AI87&lt;'Tariffs Jul2020'!J87,0,IF($C$5*'Tariffs Jul2020'!AK87/'Tariffs Jul2020'!AI87&lt;='Tariffs Jul2020'!K87,($C$5*'Tariffs Jul2020'!AK87/'Tariffs Jul2020'!AI87-'Tariffs Jul2020'!J87)*('Tariffs Jul2020'!P87/100)*'Tariffs Jul2020'!AI87,('Tariffs Jul2020'!K87-'Tariffs Jul2020'!J87)*('Tariffs Jul2020'!P87/100)*'Tariffs Jul2020'!AI87))</f>
        <v>148.87434545454539</v>
      </c>
      <c r="G93" s="59">
        <f>IF($C$5*'Tariffs Jul2020'!AK87/'Tariffs Jul2020'!AI87&lt;'Tariffs Jul2020'!K87,0,IF($C$5*'Tariffs Jul2020'!AK87/'Tariffs Jul2020'!AI87&lt;='Tariffs Jul2020'!L87,($C$5*'Tariffs Jul2020'!AK87/'Tariffs Jul2020'!AI87-'Tariffs Jul2020'!K87)*('Tariffs Jul2020'!Q87/100)*'Tariffs Jul2020'!AI87,('Tariffs Jul2020'!L87-'Tariffs Jul2020'!K87)*('Tariffs Jul2020'!Q87/100)*'Tariffs Jul2020'!AI87))</f>
        <v>0</v>
      </c>
      <c r="H93" s="59">
        <f>IF($C$5*'Tariffs Jul2020'!AK87/'Tariffs Jul2020'!AI87&lt;'Tariffs Jul2020'!L87,0,IF($C$5*'Tariffs Jul2020'!AK87/'Tariffs Jul2020'!AI87&lt;='Tariffs Jul2020'!M87,($C$5*'Tariffs Jul2020'!AK87/'Tariffs Jul2020'!AI87-'Tariffs Jul2020'!L87)*('Tariffs Jul2020'!R87/100)*'Tariffs Jul2020'!AI87,('Tariffs Jul2020'!M87-'Tariffs Jul2020'!L87)*('Tariffs Jul2020'!R87/100)*'Tariffs Jul2020'!AI87))</f>
        <v>0</v>
      </c>
      <c r="I93" s="59">
        <f>IF(($C$5*'Tariffs Jul2020'!AK87/'Tariffs Jul2020'!AI87&gt;'Tariffs Jul2020'!M87),($C$5*'Tariffs Jul2020'!AK87/'Tariffs Jul2020'!AI87-'Tariffs Jul2020'!M87)*'Tariffs Jul2020'!S87/100*'Tariffs Jul2020'!AI87,0)</f>
        <v>0</v>
      </c>
      <c r="J93" s="59">
        <f>IF($C$5*'Tariffs Jul2020'!AL87/'Tariffs Jul2020'!AJ87&gt;='Tariffs Jul2020'!J87,('Tariffs Jul2020'!J87*'Tariffs Jul2020'!U87/100)* 'Tariffs Jul2020'!AJ87,($C$5*'Tariffs Jul2020'!AL87/'Tariffs Jul2020'!AJ87*'Tariffs Jul2020'!U87/100)* 'Tariffs Jul2020'!AJ87)</f>
        <v>368.72727272727263</v>
      </c>
      <c r="K93" s="59">
        <f>IF($C$5*'Tariffs Jul2020'!AL87/'Tariffs Jul2020'!AJ87&lt;'Tariffs Jul2020'!J87,0,IF($C$5*'Tariffs Jul2020'!AL87/'Tariffs Jul2020'!AJ87&lt;='Tariffs Jul2020'!K87,($C$5*'Tariffs Jul2020'!AL87/'Tariffs Jul2020'!AJ87-'Tariffs Jul2020'!J87)*('Tariffs Jul2020'!V87/100)*'Tariffs Jul2020'!AJ87,('Tariffs Jul2020'!K87-'Tariffs Jul2020'!J87)*('Tariffs Jul2020'!V87/100)*'Tariffs Jul2020'!AJ87))</f>
        <v>229.03745454545444</v>
      </c>
      <c r="L93" s="59">
        <f>IF($C$5*'Tariffs Jul2020'!AL87/'Tariffs Jul2020'!AJ87&lt;'Tariffs Jul2020'!K87,0,IF($C$5*'Tariffs Jul2020'!AL87/'Tariffs Jul2020'!AJ87&lt;='Tariffs Jul2020'!L87,($C$5*'Tariffs Jul2020'!AL87/'Tariffs Jul2020'!AJ87-'Tariffs Jul2020'!K87)*('Tariffs Jul2020'!W87/100)*'Tariffs Jul2020'!AJ87,('Tariffs Jul2020'!L87-'Tariffs Jul2020'!K87)*('Tariffs Jul2020'!W87/100)*'Tariffs Jul2020'!AJ87))</f>
        <v>0</v>
      </c>
      <c r="M93" s="59">
        <f>IF($C$5*'Tariffs Jul2020'!AL87/'Tariffs Jul2020'!AJ87&lt;'Tariffs Jul2020'!L87,0,IF($C$5*'Tariffs Jul2020'!AL87/'Tariffs Jul2020'!AJ87&lt;='Tariffs Jul2020'!M87,($C$5*'Tariffs Jul2020'!AL87/'Tariffs Jul2020'!AJ87-'Tariffs Jul2020'!L87)*('Tariffs Jul2020'!X87/100)*'Tariffs Jul2020'!AJ87,('Tariffs Jul2020'!M87-'Tariffs Jul2020'!L87)*('Tariffs Jul2020'!X87/100)*'Tariffs Jul2020'!AJ87))</f>
        <v>0</v>
      </c>
      <c r="N93" s="59">
        <f>IF(($C$5*'Tariffs Jul2020'!AL87/'Tariffs Jul2020'!AJ87&gt;'Tariffs Jul2020'!M87),($C$5*'Tariffs Jul2020'!AL87/'Tariffs Jul2020'!AJ87-'Tariffs Jul2020'!M87)*'Tariffs Jul2020'!Y87/100*'Tariffs Jul2020'!AJ87,0)</f>
        <v>0</v>
      </c>
      <c r="O93" s="59">
        <f t="shared" ref="O93:O126" si="43">SUM(E93:N93)</f>
        <v>948.45725454545436</v>
      </c>
      <c r="P93" s="503">
        <f t="shared" si="31"/>
        <v>1043.3029799999999</v>
      </c>
      <c r="Q93" s="59">
        <f t="shared" ref="Q93:Q126" si="44">D93+O93</f>
        <v>1256.8490727272724</v>
      </c>
      <c r="R93" s="272">
        <f t="shared" ref="R93:R126" si="45">Q93*1.1</f>
        <v>1382.5339799999997</v>
      </c>
      <c r="S93" s="40">
        <f>'Tariffs Jul2020'!AN87</f>
        <v>0</v>
      </c>
      <c r="T93" s="40">
        <f>'Tariffs Jul2020'!AO87</f>
        <v>0</v>
      </c>
      <c r="U93" s="40">
        <f>'Tariffs Jul2020'!AP87</f>
        <v>0</v>
      </c>
      <c r="V93" s="40">
        <f>'Tariffs Jul2020'!AQ87</f>
        <v>0</v>
      </c>
      <c r="W93" s="284">
        <f>Q93</f>
        <v>1256.8490727272724</v>
      </c>
      <c r="X93" s="284">
        <f t="shared" si="42"/>
        <v>1256.8490727272724</v>
      </c>
      <c r="Y93" s="507">
        <f>W93*1.1</f>
        <v>1382.5339799999997</v>
      </c>
      <c r="Z93" s="507">
        <f>X93*1.1</f>
        <v>1382.5339799999997</v>
      </c>
      <c r="AA93" s="274">
        <f>'Tariffs Jul2020'!AZ87</f>
        <v>0</v>
      </c>
      <c r="AB93" s="274" t="str">
        <f>'Tariffs Jul2020'!BA87</f>
        <v>n</v>
      </c>
      <c r="AC93" s="275" t="str">
        <f>'Tariffs Jul2020'!BJ87</f>
        <v>N</v>
      </c>
      <c r="AD93" s="511"/>
      <c r="AE93" s="511"/>
      <c r="AF93" s="513"/>
      <c r="AG93" s="546"/>
      <c r="AH93" s="546"/>
      <c r="AI93" s="546"/>
      <c r="AJ93" s="546"/>
      <c r="AK93" s="546"/>
      <c r="AL93" s="546"/>
      <c r="AM93" s="546"/>
      <c r="AN93" s="546"/>
      <c r="AO93" s="546"/>
      <c r="AP93" s="546"/>
      <c r="AQ93" s="546"/>
      <c r="AR93" s="546"/>
      <c r="AS93" s="546"/>
      <c r="AT93" s="546"/>
      <c r="AU93" s="546"/>
      <c r="AV93" s="546"/>
      <c r="AW93" s="546"/>
      <c r="AX93" s="546"/>
      <c r="AY93" s="546"/>
      <c r="AZ93" s="546"/>
    </row>
    <row r="94" spans="1:52" ht="14" x14ac:dyDescent="0.15">
      <c r="A94" s="270" t="str">
        <f>'Tariffs Jul2020'!F88</f>
        <v>Alinta Energy</v>
      </c>
      <c r="B94" s="40" t="str">
        <f>'Tariffs Jul2020'!D88</f>
        <v>AusNet Services West</v>
      </c>
      <c r="C94" s="40" t="str">
        <f>'Tariffs Jul2020'!G88</f>
        <v>Home Deal</v>
      </c>
      <c r="D94" s="59">
        <f>365*'Tariffs Jul2020'!H88/100</f>
        <v>292</v>
      </c>
      <c r="E94" s="59">
        <f>IF($C$5*'Tariffs Jul2020'!AK88/'Tariffs Jul2020'!AI88&gt;='Tariffs Jul2020'!J88,( 'Tariffs Jul2020'!J88*'Tariffs Jul2020'!O88/100)* 'Tariffs Jul2020'!AI88,($C$5*'Tariffs Jul2020'!AK88/'Tariffs Jul2020'!AI88*'Tariffs Jul2020'!O88/100)* 'Tariffs Jul2020'!AI88)</f>
        <v>240</v>
      </c>
      <c r="F94" s="59">
        <f>IF($C$5*'Tariffs Jul2020'!AK88/'Tariffs Jul2020'!AI88&lt;'Tariffs Jul2020'!J88,0,IF($C$5*'Tariffs Jul2020'!AK88/'Tariffs Jul2020'!AI88&lt;='Tariffs Jul2020'!K88,($C$5*'Tariffs Jul2020'!AK88/'Tariffs Jul2020'!AI88-'Tariffs Jul2020'!J88)*('Tariffs Jul2020'!P88/100)*'Tariffs Jul2020'!AI88,('Tariffs Jul2020'!K88-'Tariffs Jul2020'!J88)*('Tariffs Jul2020'!P88/100)*'Tariffs Jul2020'!AI88))</f>
        <v>0</v>
      </c>
      <c r="G94" s="59">
        <f>IF($C$5*'Tariffs Jul2020'!AK88/'Tariffs Jul2020'!AI88&lt;'Tariffs Jul2020'!K88,0,IF($C$5*'Tariffs Jul2020'!AK88/'Tariffs Jul2020'!AI88&lt;='Tariffs Jul2020'!L88,($C$5*'Tariffs Jul2020'!AK88/'Tariffs Jul2020'!AI88-'Tariffs Jul2020'!K88)*('Tariffs Jul2020'!Q88/100)*'Tariffs Jul2020'!AI88,('Tariffs Jul2020'!L88-'Tariffs Jul2020'!K88)*('Tariffs Jul2020'!Q88/100)*'Tariffs Jul2020'!AI88))</f>
        <v>0</v>
      </c>
      <c r="H94" s="59">
        <f>IF($C$5*'Tariffs Jul2020'!AK88/'Tariffs Jul2020'!AI88&lt;'Tariffs Jul2020'!L88,0,IF($C$5*'Tariffs Jul2020'!AK88/'Tariffs Jul2020'!AI88&lt;='Tariffs Jul2020'!M88,($C$5*'Tariffs Jul2020'!AK88/'Tariffs Jul2020'!AI88-'Tariffs Jul2020'!L88)*('Tariffs Jul2020'!R88/100)*'Tariffs Jul2020'!AI88,('Tariffs Jul2020'!M88-'Tariffs Jul2020'!L88)*('Tariffs Jul2020'!R88/100)*'Tariffs Jul2020'!AI88))</f>
        <v>0</v>
      </c>
      <c r="I94" s="59">
        <f>IF(($C$5*'Tariffs Jul2020'!AK88/'Tariffs Jul2020'!AI88&gt;'Tariffs Jul2020'!M88),($C$5*'Tariffs Jul2020'!AK88/'Tariffs Jul2020'!AI88-'Tariffs Jul2020'!M88)*'Tariffs Jul2020'!S88/100*'Tariffs Jul2020'!AI88,0)</f>
        <v>161.96219999999994</v>
      </c>
      <c r="J94" s="59">
        <f>IF($C$5*'Tariffs Jul2020'!AL88/'Tariffs Jul2020'!AJ88&gt;='Tariffs Jul2020'!J88,('Tariffs Jul2020'!J88*'Tariffs Jul2020'!U88/100)* 'Tariffs Jul2020'!AJ88,($C$5*'Tariffs Jul2020'!AL88/'Tariffs Jul2020'!AJ88*'Tariffs Jul2020'!U88/100)* 'Tariffs Jul2020'!AJ88)</f>
        <v>408</v>
      </c>
      <c r="K94" s="59">
        <f>IF($C$5*'Tariffs Jul2020'!AL88/'Tariffs Jul2020'!AJ88&lt;'Tariffs Jul2020'!J88,0,IF($C$5*'Tariffs Jul2020'!AL88/'Tariffs Jul2020'!AJ88&lt;='Tariffs Jul2020'!K88,($C$5*'Tariffs Jul2020'!AL88/'Tariffs Jul2020'!AJ88-'Tariffs Jul2020'!J88)*('Tariffs Jul2020'!V88/100)*'Tariffs Jul2020'!AJ88,('Tariffs Jul2020'!K88-'Tariffs Jul2020'!J88)*('Tariffs Jul2020'!V88/100)*'Tariffs Jul2020'!AJ88))</f>
        <v>0</v>
      </c>
      <c r="L94" s="59">
        <f>IF($C$5*'Tariffs Jul2020'!AL88/'Tariffs Jul2020'!AJ88&lt;'Tariffs Jul2020'!K88,0,IF($C$5*'Tariffs Jul2020'!AL88/'Tariffs Jul2020'!AJ88&lt;='Tariffs Jul2020'!L88,($C$5*'Tariffs Jul2020'!AL88/'Tariffs Jul2020'!AJ88-'Tariffs Jul2020'!K88)*('Tariffs Jul2020'!W88/100)*'Tariffs Jul2020'!AJ88,('Tariffs Jul2020'!L88-'Tariffs Jul2020'!K88)*('Tariffs Jul2020'!W88/100)*'Tariffs Jul2020'!AJ88))</f>
        <v>0</v>
      </c>
      <c r="M94" s="59">
        <f>IF($C$5*'Tariffs Jul2020'!AL88/'Tariffs Jul2020'!AJ88&lt;'Tariffs Jul2020'!L88,0,IF($C$5*'Tariffs Jul2020'!AL88/'Tariffs Jul2020'!AJ88&lt;='Tariffs Jul2020'!M88,($C$5*'Tariffs Jul2020'!AL88/'Tariffs Jul2020'!AJ88-'Tariffs Jul2020'!L88)*('Tariffs Jul2020'!X88/100)*'Tariffs Jul2020'!AJ88,('Tariffs Jul2020'!M88-'Tariffs Jul2020'!L88)*('Tariffs Jul2020'!X88/100)*'Tariffs Jul2020'!AJ88))</f>
        <v>0</v>
      </c>
      <c r="N94" s="59">
        <f>IF(($C$5*'Tariffs Jul2020'!AL88/'Tariffs Jul2020'!AJ88&gt;'Tariffs Jul2020'!M88),($C$5*'Tariffs Jul2020'!AL88/'Tariffs Jul2020'!AJ88-'Tariffs Jul2020'!M88)*'Tariffs Jul2020'!Y88/100*'Tariffs Jul2020'!AJ88,0)</f>
        <v>269.9369999999999</v>
      </c>
      <c r="O94" s="59">
        <f t="shared" si="43"/>
        <v>1079.8991999999998</v>
      </c>
      <c r="P94" s="503">
        <f t="shared" si="31"/>
        <v>1187.8891199999998</v>
      </c>
      <c r="Q94" s="59">
        <f t="shared" si="44"/>
        <v>1371.8991999999998</v>
      </c>
      <c r="R94" s="272">
        <f t="shared" si="45"/>
        <v>1509.0891199999999</v>
      </c>
      <c r="S94" s="40">
        <f>'Tariffs Jul2020'!AN88</f>
        <v>0</v>
      </c>
      <c r="T94" s="40">
        <f>'Tariffs Jul2020'!AO88</f>
        <v>0</v>
      </c>
      <c r="U94" s="40">
        <f>'Tariffs Jul2020'!AP88</f>
        <v>0</v>
      </c>
      <c r="V94" s="40">
        <f>'Tariffs Jul2020'!AQ88</f>
        <v>0</v>
      </c>
      <c r="W94" s="284">
        <f>Q94</f>
        <v>1371.8991999999998</v>
      </c>
      <c r="X94" s="284">
        <f t="shared" si="42"/>
        <v>1371.8991999999998</v>
      </c>
      <c r="Y94" s="507">
        <f>W94*1.1</f>
        <v>1509.0891199999999</v>
      </c>
      <c r="Z94" s="507">
        <f t="shared" ref="Z94:Z99" si="46">X94*1.1</f>
        <v>1509.0891199999999</v>
      </c>
      <c r="AA94" s="274">
        <f>'Tariffs Jul2020'!AZ88</f>
        <v>0</v>
      </c>
      <c r="AB94" s="274" t="str">
        <f>'Tariffs Jul2020'!BA88</f>
        <v>n</v>
      </c>
      <c r="AC94" s="275" t="str">
        <f>'Tariffs Jul2020'!BJ89</f>
        <v>N</v>
      </c>
      <c r="AD94" s="511"/>
      <c r="AE94" s="511"/>
      <c r="AF94" s="513"/>
      <c r="AG94" s="546"/>
      <c r="AH94" s="546"/>
      <c r="AI94" s="546"/>
      <c r="AJ94" s="546"/>
      <c r="AK94" s="546"/>
      <c r="AL94" s="546"/>
      <c r="AM94" s="546"/>
      <c r="AN94" s="546"/>
      <c r="AO94" s="546"/>
      <c r="AP94" s="546"/>
      <c r="AQ94" s="546"/>
      <c r="AR94" s="546"/>
      <c r="AS94" s="546"/>
      <c r="AT94" s="546"/>
      <c r="AU94" s="546"/>
      <c r="AV94" s="546"/>
      <c r="AW94" s="546"/>
      <c r="AX94" s="546"/>
      <c r="AY94" s="546"/>
      <c r="AZ94" s="546"/>
    </row>
    <row r="95" spans="1:52" ht="14" x14ac:dyDescent="0.15">
      <c r="A95" s="270" t="str">
        <f>'Tariffs Jul2020'!F89</f>
        <v>Click Energy</v>
      </c>
      <c r="B95" s="40" t="str">
        <f>'Tariffs Jul2020'!D89</f>
        <v>AusNet Services West</v>
      </c>
      <c r="C95" s="40" t="str">
        <f>'Tariffs Jul2020'!G89</f>
        <v>Flora</v>
      </c>
      <c r="D95" s="59">
        <f>365*'Tariffs Jul2020'!H89/100</f>
        <v>226.13409090909093</v>
      </c>
      <c r="E95" s="59">
        <f>IF($C$5*'Tariffs Jul2020'!AK89/'Tariffs Jul2020'!AI89&gt;='Tariffs Jul2020'!J89,( 'Tariffs Jul2020'!J89*'Tariffs Jul2020'!O89/100)* 'Tariffs Jul2020'!AI89,($C$5*'Tariffs Jul2020'!AK89/'Tariffs Jul2020'!AI89*'Tariffs Jul2020'!O89/100)* 'Tariffs Jul2020'!AI89)</f>
        <v>234.54545454545453</v>
      </c>
      <c r="F95" s="59">
        <f>IF($C$5*'Tariffs Jul2020'!AK89/'Tariffs Jul2020'!AI89&lt;'Tariffs Jul2020'!J89,0,IF($C$5*'Tariffs Jul2020'!AK89/'Tariffs Jul2020'!AI89&lt;='Tariffs Jul2020'!K89,($C$5*'Tariffs Jul2020'!AK89/'Tariffs Jul2020'!AI89-'Tariffs Jul2020'!J89)*('Tariffs Jul2020'!P89/100)*'Tariffs Jul2020'!AI89,('Tariffs Jul2020'!K89-'Tariffs Jul2020'!J89)*('Tariffs Jul2020'!P89/100)*'Tariffs Jul2020'!AI89))</f>
        <v>166.87014545454542</v>
      </c>
      <c r="G95" s="59">
        <f>IF($C$5*'Tariffs Jul2020'!AK89/'Tariffs Jul2020'!AI89&lt;'Tariffs Jul2020'!K89,0,IF($C$5*'Tariffs Jul2020'!AK89/'Tariffs Jul2020'!AI89&lt;='Tariffs Jul2020'!L89,($C$5*'Tariffs Jul2020'!AK89/'Tariffs Jul2020'!AI89-'Tariffs Jul2020'!K89)*('Tariffs Jul2020'!Q89/100)*'Tariffs Jul2020'!AI89,('Tariffs Jul2020'!L89-'Tariffs Jul2020'!K89)*('Tariffs Jul2020'!Q89/100)*'Tariffs Jul2020'!AI89))</f>
        <v>0</v>
      </c>
      <c r="H95" s="59">
        <f>IF($C$5*'Tariffs Jul2020'!AK89/'Tariffs Jul2020'!AI89&lt;'Tariffs Jul2020'!L89,0,IF($C$5*'Tariffs Jul2020'!AK89/'Tariffs Jul2020'!AI89&lt;='Tariffs Jul2020'!M89,($C$5*'Tariffs Jul2020'!AK89/'Tariffs Jul2020'!AI89-'Tariffs Jul2020'!L89)*('Tariffs Jul2020'!R89/100)*'Tariffs Jul2020'!AI89,('Tariffs Jul2020'!M89-'Tariffs Jul2020'!L89)*('Tariffs Jul2020'!R89/100)*'Tariffs Jul2020'!AI89))</f>
        <v>0</v>
      </c>
      <c r="I95" s="59">
        <f>IF(($C$5*'Tariffs Jul2020'!AK89/'Tariffs Jul2020'!AI89&gt;'Tariffs Jul2020'!M89),($C$5*'Tariffs Jul2020'!AK89/'Tariffs Jul2020'!AI89-'Tariffs Jul2020'!M89)*'Tariffs Jul2020'!S89/100*'Tariffs Jul2020'!AI89,0)</f>
        <v>0</v>
      </c>
      <c r="J95" s="59">
        <f>IF($C$5*'Tariffs Jul2020'!AL89/'Tariffs Jul2020'!AJ89&gt;='Tariffs Jul2020'!J89,('Tariffs Jul2020'!J89*'Tariffs Jul2020'!U89/100)* 'Tariffs Jul2020'!AJ89,($C$5*'Tariffs Jul2020'!AL89/'Tariffs Jul2020'!AJ89*'Tariffs Jul2020'!U89/100)* 'Tariffs Jul2020'!AJ89)</f>
        <v>384</v>
      </c>
      <c r="K95" s="59">
        <f>IF($C$5*'Tariffs Jul2020'!AL89/'Tariffs Jul2020'!AJ89&lt;'Tariffs Jul2020'!J89,0,IF($C$5*'Tariffs Jul2020'!AL89/'Tariffs Jul2020'!AJ89&lt;='Tariffs Jul2020'!K89,($C$5*'Tariffs Jul2020'!AL89/'Tariffs Jul2020'!AJ89-'Tariffs Jul2020'!J89)*('Tariffs Jul2020'!V89/100)*'Tariffs Jul2020'!AJ89,('Tariffs Jul2020'!K89-'Tariffs Jul2020'!J89)*('Tariffs Jul2020'!V89/100)*'Tariffs Jul2020'!AJ89))</f>
        <v>281.38887272727266</v>
      </c>
      <c r="L95" s="59">
        <f>IF($C$5*'Tariffs Jul2020'!AL89/'Tariffs Jul2020'!AJ89&lt;'Tariffs Jul2020'!K89,0,IF($C$5*'Tariffs Jul2020'!AL89/'Tariffs Jul2020'!AJ89&lt;='Tariffs Jul2020'!L89,($C$5*'Tariffs Jul2020'!AL89/'Tariffs Jul2020'!AJ89-'Tariffs Jul2020'!K89)*('Tariffs Jul2020'!W89/100)*'Tariffs Jul2020'!AJ89,('Tariffs Jul2020'!L89-'Tariffs Jul2020'!K89)*('Tariffs Jul2020'!W89/100)*'Tariffs Jul2020'!AJ89))</f>
        <v>0</v>
      </c>
      <c r="M95" s="59">
        <f>IF($C$5*'Tariffs Jul2020'!AL89/'Tariffs Jul2020'!AJ89&lt;'Tariffs Jul2020'!L89,0,IF($C$5*'Tariffs Jul2020'!AL89/'Tariffs Jul2020'!AJ89&lt;='Tariffs Jul2020'!M89,($C$5*'Tariffs Jul2020'!AL89/'Tariffs Jul2020'!AJ89-'Tariffs Jul2020'!L89)*('Tariffs Jul2020'!X89/100)*'Tariffs Jul2020'!AJ89,('Tariffs Jul2020'!M89-'Tariffs Jul2020'!L89)*('Tariffs Jul2020'!X89/100)*'Tariffs Jul2020'!AJ89))</f>
        <v>0</v>
      </c>
      <c r="N95" s="59">
        <f>IF(($C$5*'Tariffs Jul2020'!AL89/'Tariffs Jul2020'!AJ89&gt;'Tariffs Jul2020'!M89),($C$5*'Tariffs Jul2020'!AL89/'Tariffs Jul2020'!AJ89-'Tariffs Jul2020'!M89)*'Tariffs Jul2020'!Y89/100*'Tariffs Jul2020'!AJ89,0)</f>
        <v>0</v>
      </c>
      <c r="O95" s="59">
        <f t="shared" si="43"/>
        <v>1066.8044727272727</v>
      </c>
      <c r="P95" s="503">
        <f t="shared" si="31"/>
        <v>1173.4849200000001</v>
      </c>
      <c r="Q95" s="59">
        <f t="shared" si="44"/>
        <v>1292.9385636363636</v>
      </c>
      <c r="R95" s="272">
        <f t="shared" si="45"/>
        <v>1422.23242</v>
      </c>
      <c r="S95" s="40">
        <f>'Tariffs Jul2020'!AN89</f>
        <v>0</v>
      </c>
      <c r="T95" s="40">
        <f>'Tariffs Jul2020'!AO89</f>
        <v>0</v>
      </c>
      <c r="U95" s="40">
        <f>'Tariffs Jul2020'!AP89</f>
        <v>0</v>
      </c>
      <c r="V95" s="40">
        <f>'Tariffs Jul2020'!AQ89</f>
        <v>0</v>
      </c>
      <c r="W95" s="284">
        <f>Q95</f>
        <v>1292.9385636363636</v>
      </c>
      <c r="X95" s="284">
        <f t="shared" si="42"/>
        <v>1292.9385636363636</v>
      </c>
      <c r="Y95" s="507">
        <f t="shared" ref="Y95:Y99" si="47">W95*1.1</f>
        <v>1422.23242</v>
      </c>
      <c r="Z95" s="507">
        <f t="shared" si="46"/>
        <v>1422.23242</v>
      </c>
      <c r="AA95" s="274">
        <f>'Tariffs Jul2020'!AZ89</f>
        <v>0</v>
      </c>
      <c r="AB95" s="274" t="str">
        <f>'Tariffs Jul2020'!BA89</f>
        <v>n</v>
      </c>
      <c r="AC95" s="275" t="str">
        <f>'Tariffs Jul2020'!BJ90</f>
        <v>N</v>
      </c>
      <c r="AD95" s="511"/>
      <c r="AE95" s="511"/>
      <c r="AF95" s="513"/>
      <c r="AG95" s="546"/>
      <c r="AH95" s="546"/>
      <c r="AI95" s="546"/>
      <c r="AJ95" s="546"/>
      <c r="AK95" s="546"/>
      <c r="AL95" s="546"/>
      <c r="AM95" s="546"/>
      <c r="AN95" s="546"/>
      <c r="AO95" s="546"/>
      <c r="AP95" s="546"/>
      <c r="AQ95" s="546"/>
      <c r="AR95" s="546"/>
      <c r="AS95" s="546"/>
      <c r="AT95" s="546"/>
      <c r="AU95" s="546"/>
      <c r="AV95" s="546"/>
      <c r="AW95" s="546"/>
      <c r="AX95" s="546"/>
      <c r="AY95" s="546"/>
      <c r="AZ95" s="546"/>
    </row>
    <row r="96" spans="1:52" ht="14" x14ac:dyDescent="0.15">
      <c r="A96" s="270" t="str">
        <f>'Tariffs Jul2020'!F90</f>
        <v>Covau</v>
      </c>
      <c r="B96" s="40" t="str">
        <f>'Tariffs Jul2020'!D90</f>
        <v>AusNet Services West</v>
      </c>
      <c r="C96" s="40" t="str">
        <f>'Tariffs Jul2020'!G90</f>
        <v>Smart Saver</v>
      </c>
      <c r="D96" s="59">
        <f>365*'Tariffs Jul2020'!H90/100</f>
        <v>310.25</v>
      </c>
      <c r="E96" s="59">
        <f>IF($C$5*'Tariffs Jul2020'!AK90/'Tariffs Jul2020'!AI90&gt;='Tariffs Jul2020'!J90,( 'Tariffs Jul2020'!J90*'Tariffs Jul2020'!O90/100)* 'Tariffs Jul2020'!AI90,($C$5*'Tariffs Jul2020'!AK90/'Tariffs Jul2020'!AI90*'Tariffs Jul2020'!O90/100)* 'Tariffs Jul2020'!AI90)</f>
        <v>288</v>
      </c>
      <c r="F96" s="59">
        <f>IF($C$5*'Tariffs Jul2020'!AK90/'Tariffs Jul2020'!AI90&lt;'Tariffs Jul2020'!J90,0,IF($C$5*'Tariffs Jul2020'!AK90/'Tariffs Jul2020'!AI90&lt;='Tariffs Jul2020'!K90,($C$5*'Tariffs Jul2020'!AK90/'Tariffs Jul2020'!AI90-'Tariffs Jul2020'!J90)*('Tariffs Jul2020'!P90/100)*'Tariffs Jul2020'!AI90,('Tariffs Jul2020'!K90-'Tariffs Jul2020'!J90)*('Tariffs Jul2020'!P90/100)*'Tariffs Jul2020'!AI90))</f>
        <v>202.8617454545454</v>
      </c>
      <c r="G96" s="59">
        <f>IF($C$5*'Tariffs Jul2020'!AK90/'Tariffs Jul2020'!AI90&lt;'Tariffs Jul2020'!K90,0,IF($C$5*'Tariffs Jul2020'!AK90/'Tariffs Jul2020'!AI90&lt;='Tariffs Jul2020'!L90,($C$5*'Tariffs Jul2020'!AK90/'Tariffs Jul2020'!AI90-'Tariffs Jul2020'!K90)*('Tariffs Jul2020'!Q90/100)*'Tariffs Jul2020'!AI90,('Tariffs Jul2020'!L90-'Tariffs Jul2020'!K90)*('Tariffs Jul2020'!Q90/100)*'Tariffs Jul2020'!AI90))</f>
        <v>0</v>
      </c>
      <c r="H96" s="59">
        <f>IF($C$5*'Tariffs Jul2020'!AK90/'Tariffs Jul2020'!AI90&lt;'Tariffs Jul2020'!L90,0,IF($C$5*'Tariffs Jul2020'!AK90/'Tariffs Jul2020'!AI90&lt;='Tariffs Jul2020'!M90,($C$5*'Tariffs Jul2020'!AK90/'Tariffs Jul2020'!AI90-'Tariffs Jul2020'!L90)*('Tariffs Jul2020'!R90/100)*'Tariffs Jul2020'!AI90,('Tariffs Jul2020'!M90-'Tariffs Jul2020'!L90)*('Tariffs Jul2020'!R90/100)*'Tariffs Jul2020'!AI90))</f>
        <v>0</v>
      </c>
      <c r="I96" s="59">
        <f>IF(($C$5*'Tariffs Jul2020'!AK90/'Tariffs Jul2020'!AI90&gt;'Tariffs Jul2020'!M90),($C$5*'Tariffs Jul2020'!AK90/'Tariffs Jul2020'!AI90-'Tariffs Jul2020'!M90)*'Tariffs Jul2020'!S90/100*'Tariffs Jul2020'!AI90,0)</f>
        <v>0</v>
      </c>
      <c r="J96" s="59">
        <f>IF($C$5*'Tariffs Jul2020'!AL90/'Tariffs Jul2020'!AJ90&gt;='Tariffs Jul2020'!J90,('Tariffs Jul2020'!J90*'Tariffs Jul2020'!U90/100)* 'Tariffs Jul2020'!AJ90,($C$5*'Tariffs Jul2020'!AL90/'Tariffs Jul2020'!AJ90*'Tariffs Jul2020'!U90/100)* 'Tariffs Jul2020'!AJ90)</f>
        <v>501.8181818181817</v>
      </c>
      <c r="K96" s="59">
        <f>IF($C$5*'Tariffs Jul2020'!AL90/'Tariffs Jul2020'!AJ90&lt;'Tariffs Jul2020'!J90,0,IF($C$5*'Tariffs Jul2020'!AL90/'Tariffs Jul2020'!AJ90&lt;='Tariffs Jul2020'!K90,($C$5*'Tariffs Jul2020'!AL90/'Tariffs Jul2020'!AJ90-'Tariffs Jul2020'!J90)*('Tariffs Jul2020'!V90/100)*'Tariffs Jul2020'!AJ90,('Tariffs Jul2020'!K90-'Tariffs Jul2020'!J90)*('Tariffs Jul2020'!V90/100)*'Tariffs Jul2020'!AJ90))</f>
        <v>348.46412727272713</v>
      </c>
      <c r="L96" s="59">
        <f>IF($C$5*'Tariffs Jul2020'!AL90/'Tariffs Jul2020'!AJ90&lt;'Tariffs Jul2020'!K90,0,IF($C$5*'Tariffs Jul2020'!AL90/'Tariffs Jul2020'!AJ90&lt;='Tariffs Jul2020'!L90,($C$5*'Tariffs Jul2020'!AL90/'Tariffs Jul2020'!AJ90-'Tariffs Jul2020'!K90)*('Tariffs Jul2020'!W90/100)*'Tariffs Jul2020'!AJ90,('Tariffs Jul2020'!L90-'Tariffs Jul2020'!K90)*('Tariffs Jul2020'!W90/100)*'Tariffs Jul2020'!AJ90))</f>
        <v>0</v>
      </c>
      <c r="M96" s="59">
        <f>IF($C$5*'Tariffs Jul2020'!AL90/'Tariffs Jul2020'!AJ90&lt;'Tariffs Jul2020'!L90,0,IF($C$5*'Tariffs Jul2020'!AL90/'Tariffs Jul2020'!AJ90&lt;='Tariffs Jul2020'!M90,($C$5*'Tariffs Jul2020'!AL90/'Tariffs Jul2020'!AJ90-'Tariffs Jul2020'!L90)*('Tariffs Jul2020'!X90/100)*'Tariffs Jul2020'!AJ90,('Tariffs Jul2020'!M90-'Tariffs Jul2020'!L90)*('Tariffs Jul2020'!X90/100)*'Tariffs Jul2020'!AJ90))</f>
        <v>0</v>
      </c>
      <c r="N96" s="59">
        <f>IF(($C$5*'Tariffs Jul2020'!AL90/'Tariffs Jul2020'!AJ90&gt;'Tariffs Jul2020'!M90),($C$5*'Tariffs Jul2020'!AL90/'Tariffs Jul2020'!AJ90-'Tariffs Jul2020'!M90)*'Tariffs Jul2020'!Y90/100*'Tariffs Jul2020'!AJ90,0)</f>
        <v>0</v>
      </c>
      <c r="O96" s="59">
        <f t="shared" si="43"/>
        <v>1341.1440545454543</v>
      </c>
      <c r="P96" s="503">
        <f t="shared" si="31"/>
        <v>1475.2584599999998</v>
      </c>
      <c r="Q96" s="59">
        <f t="shared" si="44"/>
        <v>1651.3940545454543</v>
      </c>
      <c r="R96" s="272">
        <f t="shared" si="45"/>
        <v>1816.5334599999999</v>
      </c>
      <c r="S96" s="40">
        <f>'Tariffs Jul2020'!AN90</f>
        <v>0</v>
      </c>
      <c r="T96" s="40">
        <f>'Tariffs Jul2020'!AO90</f>
        <v>16</v>
      </c>
      <c r="U96" s="40">
        <f>'Tariffs Jul2020'!AP90</f>
        <v>0</v>
      </c>
      <c r="V96" s="40">
        <f>'Tariffs Jul2020'!AQ90</f>
        <v>0</v>
      </c>
      <c r="W96" s="284">
        <f>Q96-(O96*T96/100)</f>
        <v>1436.8110058181817</v>
      </c>
      <c r="X96" s="284">
        <f t="shared" si="42"/>
        <v>1436.8110058181817</v>
      </c>
      <c r="Y96" s="507">
        <f t="shared" si="47"/>
        <v>1580.4921064</v>
      </c>
      <c r="Z96" s="507">
        <f t="shared" si="46"/>
        <v>1580.4921064</v>
      </c>
      <c r="AA96" s="274">
        <f>'Tariffs Jul2020'!AZ90</f>
        <v>0</v>
      </c>
      <c r="AB96" s="274" t="str">
        <f>'Tariffs Jul2020'!BA90</f>
        <v>n</v>
      </c>
      <c r="AC96" s="275" t="str">
        <f>'Tariffs Jul2020'!BJ90</f>
        <v>N</v>
      </c>
      <c r="AD96" s="511"/>
      <c r="AE96" s="511"/>
      <c r="AF96" s="513"/>
      <c r="AG96" s="546"/>
      <c r="AH96" s="546"/>
      <c r="AI96" s="546"/>
      <c r="AJ96" s="546"/>
      <c r="AK96" s="546"/>
      <c r="AL96" s="546"/>
      <c r="AM96" s="546"/>
      <c r="AN96" s="546"/>
      <c r="AO96" s="546"/>
      <c r="AP96" s="546"/>
      <c r="AQ96" s="546"/>
      <c r="AR96" s="546"/>
      <c r="AS96" s="546"/>
      <c r="AT96" s="546"/>
      <c r="AU96" s="546"/>
      <c r="AV96" s="546"/>
      <c r="AW96" s="546"/>
      <c r="AX96" s="546"/>
      <c r="AY96" s="546"/>
      <c r="AZ96" s="546"/>
    </row>
    <row r="97" spans="1:52" ht="14" x14ac:dyDescent="0.15">
      <c r="A97" s="270" t="str">
        <f>'Tariffs Jul2020'!F91</f>
        <v>EnergyAustralia</v>
      </c>
      <c r="B97" s="40" t="str">
        <f>'Tariffs Jul2020'!D91</f>
        <v>AusNet Services West</v>
      </c>
      <c r="C97" s="40" t="str">
        <f>'Tariffs Jul2020'!G91</f>
        <v>Total Plan</v>
      </c>
      <c r="D97" s="59">
        <f>365*'Tariffs Jul2020'!H91/100</f>
        <v>349.6699999999999</v>
      </c>
      <c r="E97" s="59">
        <f>IF($C$5*'Tariffs Jul2020'!AK91/'Tariffs Jul2020'!AI91&gt;='Tariffs Jul2020'!J91,( 'Tariffs Jul2020'!J91*'Tariffs Jul2020'!O91/100)* 'Tariffs Jul2020'!AI91,($C$5*'Tariffs Jul2020'!AK91/'Tariffs Jul2020'!AI91*'Tariffs Jul2020'!O91/100)* 'Tariffs Jul2020'!AI91)</f>
        <v>526.85639999999989</v>
      </c>
      <c r="F97" s="59">
        <f>IF($C$5*'Tariffs Jul2020'!AK91/'Tariffs Jul2020'!AI91&lt;'Tariffs Jul2020'!J91,0,IF($C$5*'Tariffs Jul2020'!AK91/'Tariffs Jul2020'!AI91&lt;='Tariffs Jul2020'!K91,($C$5*'Tariffs Jul2020'!AK91/'Tariffs Jul2020'!AI91-'Tariffs Jul2020'!J91)*('Tariffs Jul2020'!P91/100)*'Tariffs Jul2020'!AI91,('Tariffs Jul2020'!K91-'Tariffs Jul2020'!J91)*('Tariffs Jul2020'!P91/100)*'Tariffs Jul2020'!AI91))</f>
        <v>0</v>
      </c>
      <c r="G97" s="59">
        <f>IF($C$5*'Tariffs Jul2020'!AK91/'Tariffs Jul2020'!AI91&lt;'Tariffs Jul2020'!K91,0,IF($C$5*'Tariffs Jul2020'!AK91/'Tariffs Jul2020'!AI91&lt;='Tariffs Jul2020'!L91,($C$5*'Tariffs Jul2020'!AK91/'Tariffs Jul2020'!AI91-'Tariffs Jul2020'!K91)*('Tariffs Jul2020'!Q91/100)*'Tariffs Jul2020'!AI91,('Tariffs Jul2020'!L91-'Tariffs Jul2020'!K91)*('Tariffs Jul2020'!Q91/100)*'Tariffs Jul2020'!AI91))</f>
        <v>0</v>
      </c>
      <c r="H97" s="59">
        <f>IF($C$5*'Tariffs Jul2020'!AK91/'Tariffs Jul2020'!AI91&lt;'Tariffs Jul2020'!L91,0,IF($C$5*'Tariffs Jul2020'!AK91/'Tariffs Jul2020'!AI91&lt;='Tariffs Jul2020'!M91,($C$5*'Tariffs Jul2020'!AK91/'Tariffs Jul2020'!AI91-'Tariffs Jul2020'!L91)*('Tariffs Jul2020'!R91/100)*'Tariffs Jul2020'!AI91,('Tariffs Jul2020'!M91-'Tariffs Jul2020'!L91)*('Tariffs Jul2020'!R91/100)*'Tariffs Jul2020'!AI91))</f>
        <v>0</v>
      </c>
      <c r="I97" s="59">
        <f>IF(($C$5*'Tariffs Jul2020'!AK91/'Tariffs Jul2020'!AI91&gt;'Tariffs Jul2020'!M91),($C$5*'Tariffs Jul2020'!AK91/'Tariffs Jul2020'!AI91-'Tariffs Jul2020'!M91)*'Tariffs Jul2020'!S91/100*'Tariffs Jul2020'!AI91,0)</f>
        <v>0</v>
      </c>
      <c r="J97" s="59">
        <f>((C$5*'Tariffs Jul2020'!AL91/'Tariffs Jul2020'!AJ91)*('Tariffs Jul2020'!U91/100))*'Tariffs Jul2020'!AJ91</f>
        <v>794.10239999999999</v>
      </c>
      <c r="K97" s="59">
        <f>IF($C$5*'Tariffs Jul2020'!AL91/'Tariffs Jul2020'!AJ91&lt;'Tariffs Jul2020'!J91,0,IF($C$5*'Tariffs Jul2020'!AL91/'Tariffs Jul2020'!AJ91&lt;='Tariffs Jul2020'!K91,($C$5*'Tariffs Jul2020'!AL91/'Tariffs Jul2020'!AJ91-'Tariffs Jul2020'!J91)*('Tariffs Jul2020'!V91/100)*'Tariffs Jul2020'!AJ91,('Tariffs Jul2020'!K91-'Tariffs Jul2020'!J91)*('Tariffs Jul2020'!V91/100)*'Tariffs Jul2020'!AJ91))</f>
        <v>0</v>
      </c>
      <c r="L97" s="59">
        <f>IF($C$5*'Tariffs Jul2020'!AL91/'Tariffs Jul2020'!AJ91&lt;'Tariffs Jul2020'!K91,0,IF($C$5*'Tariffs Jul2020'!AL91/'Tariffs Jul2020'!AJ91&lt;='Tariffs Jul2020'!L91,($C$5*'Tariffs Jul2020'!AL91/'Tariffs Jul2020'!AJ91-'Tariffs Jul2020'!K91)*('Tariffs Jul2020'!W91/100)*'Tariffs Jul2020'!AJ91,('Tariffs Jul2020'!L91-'Tariffs Jul2020'!K91)*('Tariffs Jul2020'!W91/100)*'Tariffs Jul2020'!AJ91))</f>
        <v>0</v>
      </c>
      <c r="M97" s="59">
        <f>IF($C$5*'Tariffs Jul2020'!AL91/'Tariffs Jul2020'!AJ91&lt;'Tariffs Jul2020'!L91,0,IF($C$5*'Tariffs Jul2020'!AL91/'Tariffs Jul2020'!AJ91&lt;='Tariffs Jul2020'!M91,($C$5*'Tariffs Jul2020'!AL91/'Tariffs Jul2020'!AJ91-'Tariffs Jul2020'!L91)*('Tariffs Jul2020'!X91/100)*'Tariffs Jul2020'!AJ91,('Tariffs Jul2020'!M91-'Tariffs Jul2020'!L91)*('Tariffs Jul2020'!X91/100)*'Tariffs Jul2020'!AJ91))</f>
        <v>0</v>
      </c>
      <c r="N97" s="59">
        <f>IF(($C$5*'Tariffs Jul2020'!AL91/'Tariffs Jul2020'!AJ91&gt;'Tariffs Jul2020'!M91),($C$5*'Tariffs Jul2020'!AL91/'Tariffs Jul2020'!AJ91-'Tariffs Jul2020'!M91)*'Tariffs Jul2020'!Y91/100*'Tariffs Jul2020'!AJ91,0)</f>
        <v>0</v>
      </c>
      <c r="O97" s="59">
        <f>SUM(E97:N97)</f>
        <v>1320.9587999999999</v>
      </c>
      <c r="P97" s="503">
        <f t="shared" si="31"/>
        <v>1453.05468</v>
      </c>
      <c r="Q97" s="59">
        <f>D97+O97</f>
        <v>1670.6287999999997</v>
      </c>
      <c r="R97" s="272">
        <f>Q97*1.1</f>
        <v>1837.6916799999999</v>
      </c>
      <c r="S97" s="40">
        <f>'Tariffs Jul2020'!AN91</f>
        <v>23</v>
      </c>
      <c r="T97" s="40">
        <f>'Tariffs Jul2020'!AO91</f>
        <v>0</v>
      </c>
      <c r="U97" s="40">
        <f>'Tariffs Jul2020'!AP91</f>
        <v>0</v>
      </c>
      <c r="V97" s="40">
        <f>'Tariffs Jul2020'!AQ91</f>
        <v>0</v>
      </c>
      <c r="W97" s="284">
        <f>Q97-(Q97*S97/100)</f>
        <v>1286.3841759999998</v>
      </c>
      <c r="X97" s="284">
        <f t="shared" si="42"/>
        <v>1286.3841759999998</v>
      </c>
      <c r="Y97" s="507">
        <f t="shared" si="47"/>
        <v>1415.0225935999999</v>
      </c>
      <c r="Z97" s="507">
        <f t="shared" si="46"/>
        <v>1415.0225935999999</v>
      </c>
      <c r="AA97" s="274">
        <f>'Tariffs Jul2020'!AZ91</f>
        <v>12</v>
      </c>
      <c r="AB97" s="274" t="str">
        <f>'Tariffs Jul2020'!BA91</f>
        <v>n</v>
      </c>
      <c r="AC97" s="275" t="str">
        <f>'Tariffs Jul2020'!BJ91</f>
        <v>N</v>
      </c>
      <c r="AD97" s="511"/>
      <c r="AE97" s="511"/>
      <c r="AF97" s="513"/>
      <c r="AG97" s="546"/>
      <c r="AH97" s="546"/>
      <c r="AI97" s="546"/>
      <c r="AJ97" s="546"/>
      <c r="AK97" s="546"/>
      <c r="AL97" s="546"/>
      <c r="AM97" s="546"/>
      <c r="AN97" s="546"/>
      <c r="AO97" s="546"/>
      <c r="AP97" s="546"/>
      <c r="AQ97" s="546"/>
      <c r="AR97" s="546"/>
      <c r="AS97" s="546"/>
      <c r="AT97" s="546"/>
      <c r="AU97" s="546"/>
      <c r="AV97" s="546"/>
      <c r="AW97" s="546"/>
      <c r="AX97" s="546"/>
      <c r="AY97" s="546"/>
      <c r="AZ97" s="546"/>
    </row>
    <row r="98" spans="1:52" ht="14" x14ac:dyDescent="0.15">
      <c r="A98" s="270" t="str">
        <f>'Tariffs Jul2020'!F92</f>
        <v>Lumo Energy</v>
      </c>
      <c r="B98" s="40" t="str">
        <f>'Tariffs Jul2020'!D92</f>
        <v>AusNet Services West</v>
      </c>
      <c r="C98" s="40" t="str">
        <f>'Tariffs Jul2020'!G92</f>
        <v>Basic</v>
      </c>
      <c r="D98" s="59">
        <f>365*'Tariffs Jul2020'!H92/100</f>
        <v>283.23999999999995</v>
      </c>
      <c r="E98" s="59">
        <f>IF($C$5*'Tariffs Jul2020'!AK92/'Tariffs Jul2020'!AI92&gt;='Tariffs Jul2020'!J92,( 'Tariffs Jul2020'!J92*'Tariffs Jul2020'!O92/100)* 'Tariffs Jul2020'!AI92,($C$5*'Tariffs Jul2020'!AK92/'Tariffs Jul2020'!AI92*'Tariffs Jul2020'!O92/100)* 'Tariffs Jul2020'!AI92)</f>
        <v>214.90909090909088</v>
      </c>
      <c r="F98" s="59">
        <f>IF($C$5*'Tariffs Jul2020'!AK92/'Tariffs Jul2020'!AI92&lt;'Tariffs Jul2020'!J92,0,IF($C$5*'Tariffs Jul2020'!AK92/'Tariffs Jul2020'!AI92&lt;='Tariffs Jul2020'!K92,($C$5*'Tariffs Jul2020'!AK92/'Tariffs Jul2020'!AI92-'Tariffs Jul2020'!J92)*('Tariffs Jul2020'!P92/100)*'Tariffs Jul2020'!AI92,('Tariffs Jul2020'!K92-'Tariffs Jul2020'!J92)*('Tariffs Jul2020'!P92/100)*'Tariffs Jul2020'!AI92))</f>
        <v>157.05425454545448</v>
      </c>
      <c r="G98" s="59">
        <f>IF($C$5*'Tariffs Jul2020'!AK92/'Tariffs Jul2020'!AI92&lt;'Tariffs Jul2020'!K92,0,IF($C$5*'Tariffs Jul2020'!AK92/'Tariffs Jul2020'!AI92&lt;='Tariffs Jul2020'!L92,($C$5*'Tariffs Jul2020'!AK92/'Tariffs Jul2020'!AI92-'Tariffs Jul2020'!K92)*('Tariffs Jul2020'!Q92/100)*'Tariffs Jul2020'!AI92,('Tariffs Jul2020'!L92-'Tariffs Jul2020'!K92)*('Tariffs Jul2020'!Q92/100)*'Tariffs Jul2020'!AI92))</f>
        <v>0</v>
      </c>
      <c r="H98" s="59">
        <f>IF($C$5*'Tariffs Jul2020'!AK92/'Tariffs Jul2020'!AI92&lt;'Tariffs Jul2020'!L92,0,IF($C$5*'Tariffs Jul2020'!AK92/'Tariffs Jul2020'!AI92&lt;='Tariffs Jul2020'!M92,($C$5*'Tariffs Jul2020'!AK92/'Tariffs Jul2020'!AI92-'Tariffs Jul2020'!L92)*('Tariffs Jul2020'!R92/100)*'Tariffs Jul2020'!AI92,('Tariffs Jul2020'!M92-'Tariffs Jul2020'!L92)*('Tariffs Jul2020'!R92/100)*'Tariffs Jul2020'!AI92))</f>
        <v>0</v>
      </c>
      <c r="I98" s="59">
        <f>IF(($C$5*'Tariffs Jul2020'!AK92/'Tariffs Jul2020'!AI92&gt;'Tariffs Jul2020'!M92),($C$5*'Tariffs Jul2020'!AK92/'Tariffs Jul2020'!AI92-'Tariffs Jul2020'!M92)*'Tariffs Jul2020'!S92/100*'Tariffs Jul2020'!AI92,0)</f>
        <v>0</v>
      </c>
      <c r="J98" s="59">
        <f>IF($C$5*'Tariffs Jul2020'!AL92/'Tariffs Jul2020'!AJ92&gt;='Tariffs Jul2020'!J92,('Tariffs Jul2020'!J92*'Tariffs Jul2020'!U92/100)* 'Tariffs Jul2020'!AJ92,($C$5*'Tariffs Jul2020'!AL92/'Tariffs Jul2020'!AJ92*'Tariffs Jul2020'!U92/100)* 'Tariffs Jul2020'!AJ92)</f>
        <v>394.90909090909088</v>
      </c>
      <c r="K98" s="59">
        <f>IF($C$5*'Tariffs Jul2020'!AL92/'Tariffs Jul2020'!AJ92&lt;'Tariffs Jul2020'!J92,0,IF($C$5*'Tariffs Jul2020'!AL92/'Tariffs Jul2020'!AJ92&lt;='Tariffs Jul2020'!K92,($C$5*'Tariffs Jul2020'!AL92/'Tariffs Jul2020'!AJ92-'Tariffs Jul2020'!J92)*('Tariffs Jul2020'!V92/100)*'Tariffs Jul2020'!AJ92,('Tariffs Jul2020'!K92-'Tariffs Jul2020'!J92)*('Tariffs Jul2020'!V92/100)*'Tariffs Jul2020'!AJ92))</f>
        <v>279.75289090909081</v>
      </c>
      <c r="L98" s="59">
        <f>IF($C$5*'Tariffs Jul2020'!AL92/'Tariffs Jul2020'!AJ92&lt;'Tariffs Jul2020'!K92,0,IF($C$5*'Tariffs Jul2020'!AL92/'Tariffs Jul2020'!AJ92&lt;='Tariffs Jul2020'!L92,($C$5*'Tariffs Jul2020'!AL92/'Tariffs Jul2020'!AJ92-'Tariffs Jul2020'!K92)*('Tariffs Jul2020'!W92/100)*'Tariffs Jul2020'!AJ92,('Tariffs Jul2020'!L92-'Tariffs Jul2020'!K92)*('Tariffs Jul2020'!W92/100)*'Tariffs Jul2020'!AJ92))</f>
        <v>0</v>
      </c>
      <c r="M98" s="59">
        <f>IF($C$5*'Tariffs Jul2020'!AL92/'Tariffs Jul2020'!AJ92&lt;'Tariffs Jul2020'!L92,0,IF($C$5*'Tariffs Jul2020'!AL92/'Tariffs Jul2020'!AJ92&lt;='Tariffs Jul2020'!M92,($C$5*'Tariffs Jul2020'!AL92/'Tariffs Jul2020'!AJ92-'Tariffs Jul2020'!L92)*('Tariffs Jul2020'!X92/100)*'Tariffs Jul2020'!AJ92,('Tariffs Jul2020'!M92-'Tariffs Jul2020'!L92)*('Tariffs Jul2020'!X92/100)*'Tariffs Jul2020'!AJ92))</f>
        <v>0</v>
      </c>
      <c r="N98" s="59">
        <f>IF(($C$5*'Tariffs Jul2020'!AL92/'Tariffs Jul2020'!AJ92&gt;'Tariffs Jul2020'!M92),($C$5*'Tariffs Jul2020'!AL92/'Tariffs Jul2020'!AJ92-'Tariffs Jul2020'!M92)*'Tariffs Jul2020'!Y92/100*'Tariffs Jul2020'!AJ92,0)</f>
        <v>0</v>
      </c>
      <c r="O98" s="59">
        <f t="shared" si="43"/>
        <v>1046.625327272727</v>
      </c>
      <c r="P98" s="503">
        <f t="shared" si="31"/>
        <v>1151.2878599999997</v>
      </c>
      <c r="Q98" s="59">
        <f t="shared" si="44"/>
        <v>1329.865327272727</v>
      </c>
      <c r="R98" s="272">
        <f t="shared" si="45"/>
        <v>1462.8518599999998</v>
      </c>
      <c r="S98" s="40">
        <f>'Tariffs Jul2020'!AN92</f>
        <v>0</v>
      </c>
      <c r="T98" s="40">
        <f>'Tariffs Jul2020'!AO92</f>
        <v>0</v>
      </c>
      <c r="U98" s="40">
        <f>'Tariffs Jul2020'!AP92</f>
        <v>0</v>
      </c>
      <c r="V98" s="40">
        <f>'Tariffs Jul2020'!AQ92</f>
        <v>0</v>
      </c>
      <c r="W98" s="284">
        <f>Q98</f>
        <v>1329.865327272727</v>
      </c>
      <c r="X98" s="284">
        <f t="shared" si="42"/>
        <v>1329.865327272727</v>
      </c>
      <c r="Y98" s="507">
        <f t="shared" si="47"/>
        <v>1462.8518599999998</v>
      </c>
      <c r="Z98" s="507">
        <f t="shared" si="46"/>
        <v>1462.8518599999998</v>
      </c>
      <c r="AA98" s="274">
        <f>'Tariffs Jul2020'!AZ92</f>
        <v>0</v>
      </c>
      <c r="AB98" s="274" t="str">
        <f>'Tariffs Jul2020'!BA92</f>
        <v>n</v>
      </c>
      <c r="AC98" s="275" t="str">
        <f>'Tariffs Jul2020'!BJ92</f>
        <v>N</v>
      </c>
      <c r="AD98" s="511"/>
      <c r="AE98" s="511"/>
      <c r="AF98" s="513"/>
      <c r="AG98" s="546"/>
      <c r="AH98" s="546"/>
      <c r="AI98" s="546"/>
      <c r="AJ98" s="546"/>
      <c r="AK98" s="546"/>
      <c r="AL98" s="546"/>
      <c r="AM98" s="546"/>
      <c r="AN98" s="546"/>
      <c r="AO98" s="546"/>
      <c r="AP98" s="546"/>
      <c r="AQ98" s="546"/>
      <c r="AR98" s="546"/>
      <c r="AS98" s="546"/>
      <c r="AT98" s="546"/>
      <c r="AU98" s="546"/>
      <c r="AV98" s="546"/>
      <c r="AW98" s="546"/>
      <c r="AX98" s="546"/>
      <c r="AY98" s="546"/>
      <c r="AZ98" s="546"/>
    </row>
    <row r="99" spans="1:52" ht="14" x14ac:dyDescent="0.15">
      <c r="A99" s="270" t="str">
        <f>'Tariffs Jul2020'!F93</f>
        <v>Momentum Energy</v>
      </c>
      <c r="B99" s="40" t="str">
        <f>'Tariffs Jul2020'!D93</f>
        <v>AusNet Services West</v>
      </c>
      <c r="C99" s="40" t="str">
        <f>'Tariffs Jul2020'!G93</f>
        <v>Market offer</v>
      </c>
      <c r="D99" s="59">
        <f>365*'Tariffs Jul2020'!H93/100</f>
        <v>357.16909090909087</v>
      </c>
      <c r="E99" s="59">
        <f>IF($C$5*'Tariffs Jul2020'!AK93/'Tariffs Jul2020'!AI93&gt;='Tariffs Jul2020'!J93,( 'Tariffs Jul2020'!J93*'Tariffs Jul2020'!O93/100)* 'Tariffs Jul2020'!AI93,($C$5*'Tariffs Jul2020'!AK93/'Tariffs Jul2020'!AI93*'Tariffs Jul2020'!O93/100)* 'Tariffs Jul2020'!AI93)</f>
        <v>237.81818181818181</v>
      </c>
      <c r="F99" s="59">
        <f>IF($C$5*'Tariffs Jul2020'!AK93/'Tariffs Jul2020'!AI93&lt;'Tariffs Jul2020'!J93,0,IF($C$5*'Tariffs Jul2020'!AK93/'Tariffs Jul2020'!AI93&lt;='Tariffs Jul2020'!K93,($C$5*'Tariffs Jul2020'!AK93/'Tariffs Jul2020'!AI93-'Tariffs Jul2020'!J93)*('Tariffs Jul2020'!P93/100)*'Tariffs Jul2020'!AI93,('Tariffs Jul2020'!K93-'Tariffs Jul2020'!J93)*('Tariffs Jul2020'!P93/100)*'Tariffs Jul2020'!AI93))</f>
        <v>168.50612727272721</v>
      </c>
      <c r="G99" s="59">
        <f>IF($C$5*'Tariffs Jul2020'!AK93/'Tariffs Jul2020'!AI93&lt;'Tariffs Jul2020'!K93,0,IF($C$5*'Tariffs Jul2020'!AK93/'Tariffs Jul2020'!AI93&lt;='Tariffs Jul2020'!L93,($C$5*'Tariffs Jul2020'!AK93/'Tariffs Jul2020'!AI93-'Tariffs Jul2020'!K93)*('Tariffs Jul2020'!Q93/100)*'Tariffs Jul2020'!AI93,('Tariffs Jul2020'!L93-'Tariffs Jul2020'!K93)*('Tariffs Jul2020'!Q93/100)*'Tariffs Jul2020'!AI93))</f>
        <v>0</v>
      </c>
      <c r="H99" s="59">
        <f>IF($C$5*'Tariffs Jul2020'!AK93/'Tariffs Jul2020'!AI93&lt;'Tariffs Jul2020'!L93,0,IF($C$5*'Tariffs Jul2020'!AK93/'Tariffs Jul2020'!AI93&lt;='Tariffs Jul2020'!M93,($C$5*'Tariffs Jul2020'!AK93/'Tariffs Jul2020'!AI93-'Tariffs Jul2020'!L93)*('Tariffs Jul2020'!R93/100)*'Tariffs Jul2020'!AI93,('Tariffs Jul2020'!M93-'Tariffs Jul2020'!L93)*('Tariffs Jul2020'!R93/100)*'Tariffs Jul2020'!AI93))</f>
        <v>0</v>
      </c>
      <c r="I99" s="59">
        <f>IF(($C$5*'Tariffs Jul2020'!AK93/'Tariffs Jul2020'!AI93&gt;'Tariffs Jul2020'!M93),($C$5*'Tariffs Jul2020'!AK93/'Tariffs Jul2020'!AI93-'Tariffs Jul2020'!M93)*'Tariffs Jul2020'!S93/100*'Tariffs Jul2020'!AI93,0)</f>
        <v>0</v>
      </c>
      <c r="J99" s="59">
        <f>IF($C$5*'Tariffs Jul2020'!AL93/'Tariffs Jul2020'!AJ93&gt;='Tariffs Jul2020'!J93,('Tariffs Jul2020'!J93*'Tariffs Jul2020'!U93/100)* 'Tariffs Jul2020'!AJ93,($C$5*'Tariffs Jul2020'!AL93/'Tariffs Jul2020'!AJ93*'Tariffs Jul2020'!U93/100)* 'Tariffs Jul2020'!AJ93)</f>
        <v>366.5454545454545</v>
      </c>
      <c r="K99" s="59">
        <f>IF($C$5*'Tariffs Jul2020'!AL93/'Tariffs Jul2020'!AJ93&lt;'Tariffs Jul2020'!J93,0,IF($C$5*'Tariffs Jul2020'!AL93/'Tariffs Jul2020'!AJ93&lt;='Tariffs Jul2020'!K93,($C$5*'Tariffs Jul2020'!AL93/'Tariffs Jul2020'!AJ93-'Tariffs Jul2020'!J93)*('Tariffs Jul2020'!V93/100)*'Tariffs Jul2020'!AJ93,('Tariffs Jul2020'!K93-'Tariffs Jul2020'!J93)*('Tariffs Jul2020'!V93/100)*'Tariffs Jul2020'!AJ93))</f>
        <v>271.57298181818169</v>
      </c>
      <c r="L99" s="59">
        <f>IF($C$5*'Tariffs Jul2020'!AL93/'Tariffs Jul2020'!AJ93&lt;'Tariffs Jul2020'!K93,0,IF($C$5*'Tariffs Jul2020'!AL93/'Tariffs Jul2020'!AJ93&lt;='Tariffs Jul2020'!L93,($C$5*'Tariffs Jul2020'!AL93/'Tariffs Jul2020'!AJ93-'Tariffs Jul2020'!K93)*('Tariffs Jul2020'!W93/100)*'Tariffs Jul2020'!AJ93,('Tariffs Jul2020'!L93-'Tariffs Jul2020'!K93)*('Tariffs Jul2020'!W93/100)*'Tariffs Jul2020'!AJ93))</f>
        <v>0</v>
      </c>
      <c r="M99" s="59">
        <f>IF($C$5*'Tariffs Jul2020'!AL93/'Tariffs Jul2020'!AJ93&lt;'Tariffs Jul2020'!L93,0,IF($C$5*'Tariffs Jul2020'!AL93/'Tariffs Jul2020'!AJ93&lt;='Tariffs Jul2020'!M93,($C$5*'Tariffs Jul2020'!AL93/'Tariffs Jul2020'!AJ93-'Tariffs Jul2020'!L93)*('Tariffs Jul2020'!X93/100)*'Tariffs Jul2020'!AJ93,('Tariffs Jul2020'!M93-'Tariffs Jul2020'!L93)*('Tariffs Jul2020'!X93/100)*'Tariffs Jul2020'!AJ93))</f>
        <v>0</v>
      </c>
      <c r="N99" s="59">
        <f>IF(($C$5*'Tariffs Jul2020'!AL93/'Tariffs Jul2020'!AJ93&gt;'Tariffs Jul2020'!M93),($C$5*'Tariffs Jul2020'!AL93/'Tariffs Jul2020'!AJ93-'Tariffs Jul2020'!M93)*'Tariffs Jul2020'!Y93/100*'Tariffs Jul2020'!AJ93,0)</f>
        <v>0</v>
      </c>
      <c r="O99" s="59">
        <f t="shared" si="43"/>
        <v>1044.4427454545453</v>
      </c>
      <c r="P99" s="503">
        <f t="shared" si="31"/>
        <v>1148.8870199999999</v>
      </c>
      <c r="Q99" s="59">
        <f t="shared" si="44"/>
        <v>1401.611836363636</v>
      </c>
      <c r="R99" s="272">
        <f t="shared" si="45"/>
        <v>1541.7730199999999</v>
      </c>
      <c r="S99" s="40">
        <f>'Tariffs Jul2020'!AN93</f>
        <v>0</v>
      </c>
      <c r="T99" s="40">
        <f>'Tariffs Jul2020'!AO93</f>
        <v>0</v>
      </c>
      <c r="U99" s="40">
        <f>'Tariffs Jul2020'!AP93</f>
        <v>0</v>
      </c>
      <c r="V99" s="40">
        <f>'Tariffs Jul2020'!AQ93</f>
        <v>0</v>
      </c>
      <c r="W99" s="284">
        <f t="shared" ref="W99" si="48">Q99</f>
        <v>1401.611836363636</v>
      </c>
      <c r="X99" s="284">
        <f t="shared" si="42"/>
        <v>1401.611836363636</v>
      </c>
      <c r="Y99" s="507">
        <f t="shared" si="47"/>
        <v>1541.7730199999999</v>
      </c>
      <c r="Z99" s="507">
        <f t="shared" si="46"/>
        <v>1541.7730199999999</v>
      </c>
      <c r="AA99" s="274">
        <f>'Tariffs Jul2020'!AZ93</f>
        <v>0</v>
      </c>
      <c r="AB99" s="274" t="str">
        <f>'Tariffs Jul2020'!BA93</f>
        <v>n</v>
      </c>
      <c r="AC99" s="275" t="str">
        <f>'Tariffs Jul2020'!BJ93</f>
        <v>N</v>
      </c>
      <c r="AD99" s="511"/>
      <c r="AE99" s="511"/>
      <c r="AF99" s="513"/>
      <c r="AG99" s="546"/>
      <c r="AH99" s="546"/>
      <c r="AI99" s="546"/>
      <c r="AJ99" s="546"/>
      <c r="AK99" s="546"/>
      <c r="AL99" s="546"/>
      <c r="AM99" s="546"/>
      <c r="AN99" s="546"/>
      <c r="AO99" s="546"/>
      <c r="AP99" s="546"/>
      <c r="AQ99" s="546"/>
      <c r="AR99" s="546"/>
      <c r="AS99" s="546"/>
      <c r="AT99" s="546"/>
      <c r="AU99" s="546"/>
      <c r="AV99" s="546"/>
      <c r="AW99" s="546"/>
      <c r="AX99" s="546"/>
      <c r="AY99" s="546"/>
      <c r="AZ99" s="546"/>
    </row>
    <row r="100" spans="1:52" ht="14" x14ac:dyDescent="0.15">
      <c r="A100" s="270" t="str">
        <f>'Tariffs Jul2020'!F94</f>
        <v>Origin Energy</v>
      </c>
      <c r="B100" s="40" t="str">
        <f>'Tariffs Jul2020'!D94</f>
        <v>AusNet Services West</v>
      </c>
      <c r="C100" s="40" t="str">
        <f>'Tariffs Jul2020'!G94</f>
        <v>Flexi</v>
      </c>
      <c r="D100" s="59">
        <f>365*'Tariffs Jul2020'!H94/100</f>
        <v>288.35000000000002</v>
      </c>
      <c r="E100" s="59">
        <f>IF($C$5*'Tariffs Jul2020'!AK94/'Tariffs Jul2020'!AI94&gt;='Tariffs Jul2020'!J94,( 'Tariffs Jul2020'!J94*'Tariffs Jul2020'!O94/100)* 'Tariffs Jul2020'!AI94,($C$5*'Tariffs Jul2020'!AK94/'Tariffs Jul2020'!AI94*'Tariffs Jul2020'!O94/100)* 'Tariffs Jul2020'!AI94)</f>
        <v>144</v>
      </c>
      <c r="F100" s="59">
        <f>IF($C$5*'Tariffs Jul2020'!AK94/'Tariffs Jul2020'!AI94&lt;'Tariffs Jul2020'!J94,0,IF($C$5*'Tariffs Jul2020'!AK94/'Tariffs Jul2020'!AI94&lt;='Tariffs Jul2020'!K94,($C$5*'Tariffs Jul2020'!AK94/'Tariffs Jul2020'!AI94-'Tariffs Jul2020'!J94)*('Tariffs Jul2020'!P94/100)*'Tariffs Jul2020'!AI94,('Tariffs Jul2020'!K94-'Tariffs Jul2020'!J94)*('Tariffs Jul2020'!P94/100)*'Tariffs Jul2020'!AI94))</f>
        <v>0</v>
      </c>
      <c r="G100" s="59">
        <f>IF($C$5*'Tariffs Jul2020'!AK94/'Tariffs Jul2020'!AI94&lt;'Tariffs Jul2020'!K94,0,IF($C$5*'Tariffs Jul2020'!AK94/'Tariffs Jul2020'!AI94&lt;='Tariffs Jul2020'!L94,($C$5*'Tariffs Jul2020'!AK94/'Tariffs Jul2020'!AI94-'Tariffs Jul2020'!K94)*('Tariffs Jul2020'!Q94/100)*'Tariffs Jul2020'!AI94,('Tariffs Jul2020'!L94-'Tariffs Jul2020'!K94)*('Tariffs Jul2020'!Q94/100)*'Tariffs Jul2020'!AI94))</f>
        <v>0</v>
      </c>
      <c r="H100" s="59">
        <f>IF($C$5*'Tariffs Jul2020'!AK94/'Tariffs Jul2020'!AI94&lt;'Tariffs Jul2020'!L94,0,IF($C$5*'Tariffs Jul2020'!AK94/'Tariffs Jul2020'!AI94&lt;='Tariffs Jul2020'!M94,($C$5*'Tariffs Jul2020'!AK94/'Tariffs Jul2020'!AI94-'Tariffs Jul2020'!L94)*('Tariffs Jul2020'!R94/100)*'Tariffs Jul2020'!AI94,('Tariffs Jul2020'!M94-'Tariffs Jul2020'!L94)*('Tariffs Jul2020'!R94/100)*'Tariffs Jul2020'!AI94))</f>
        <v>0</v>
      </c>
      <c r="I100" s="59">
        <f>IF(($C$5*'Tariffs Jul2020'!AK94/'Tariffs Jul2020'!AI94&gt;'Tariffs Jul2020'!M94),($C$5*'Tariffs Jul2020'!AK94/'Tariffs Jul2020'!AI94-'Tariffs Jul2020'!M94)*'Tariffs Jul2020'!S94/100*'Tariffs Jul2020'!AI94,0)</f>
        <v>314.95589999999999</v>
      </c>
      <c r="J100" s="59">
        <f>IF($C$5*'Tariffs Jul2020'!AL94/'Tariffs Jul2020'!AJ94&gt;='Tariffs Jul2020'!J94,('Tariffs Jul2020'!J94*'Tariffs Jul2020'!U94/100)* 'Tariffs Jul2020'!AJ94,($C$5*'Tariffs Jul2020'!AL94/'Tariffs Jul2020'!AJ94*'Tariffs Jul2020'!U94/100)* 'Tariffs Jul2020'!AJ94)</f>
        <v>210</v>
      </c>
      <c r="K100" s="59">
        <f>IF($C$5*'Tariffs Jul2020'!AL94/'Tariffs Jul2020'!AJ94&lt;'Tariffs Jul2020'!J94,0,IF($C$5*'Tariffs Jul2020'!AL94/'Tariffs Jul2020'!AJ94&lt;='Tariffs Jul2020'!K94,($C$5*'Tariffs Jul2020'!AL94/'Tariffs Jul2020'!AJ94-'Tariffs Jul2020'!J94)*('Tariffs Jul2020'!V94/100)*'Tariffs Jul2020'!AJ94,('Tariffs Jul2020'!K94-'Tariffs Jul2020'!J94)*('Tariffs Jul2020'!V94/100)*'Tariffs Jul2020'!AJ94))</f>
        <v>0</v>
      </c>
      <c r="L100" s="59">
        <f>IF($C$5*'Tariffs Jul2020'!AL94/'Tariffs Jul2020'!AJ94&lt;'Tariffs Jul2020'!K94,0,IF($C$5*'Tariffs Jul2020'!AL94/'Tariffs Jul2020'!AJ94&lt;='Tariffs Jul2020'!L94,($C$5*'Tariffs Jul2020'!AL94/'Tariffs Jul2020'!AJ94-'Tariffs Jul2020'!K94)*('Tariffs Jul2020'!W94/100)*'Tariffs Jul2020'!AJ94,('Tariffs Jul2020'!L94-'Tariffs Jul2020'!K94)*('Tariffs Jul2020'!W94/100)*'Tariffs Jul2020'!AJ94))</f>
        <v>0</v>
      </c>
      <c r="M100" s="59">
        <f>IF($C$5*'Tariffs Jul2020'!AL94/'Tariffs Jul2020'!AJ94&lt;'Tariffs Jul2020'!L94,0,IF($C$5*'Tariffs Jul2020'!AL94/'Tariffs Jul2020'!AJ94&lt;='Tariffs Jul2020'!M94,($C$5*'Tariffs Jul2020'!AL94/'Tariffs Jul2020'!AJ94-'Tariffs Jul2020'!L94)*('Tariffs Jul2020'!X94/100)*'Tariffs Jul2020'!AJ94,('Tariffs Jul2020'!M94-'Tariffs Jul2020'!L94)*('Tariffs Jul2020'!X94/100)*'Tariffs Jul2020'!AJ94))</f>
        <v>0</v>
      </c>
      <c r="N100" s="59">
        <f>IF(($C$5*'Tariffs Jul2020'!AL94/'Tariffs Jul2020'!AJ94&gt;'Tariffs Jul2020'!M94),($C$5*'Tariffs Jul2020'!AL94/'Tariffs Jul2020'!AJ94-'Tariffs Jul2020'!M94)*'Tariffs Jul2020'!Y94/100*'Tariffs Jul2020'!AJ94,0)</f>
        <v>479.93279999999999</v>
      </c>
      <c r="O100" s="59">
        <f t="shared" si="43"/>
        <v>1148.8887</v>
      </c>
      <c r="P100" s="503">
        <f t="shared" si="31"/>
        <v>1263.77757</v>
      </c>
      <c r="Q100" s="59">
        <f t="shared" si="44"/>
        <v>1437.2386999999999</v>
      </c>
      <c r="R100" s="272">
        <f t="shared" si="45"/>
        <v>1580.9625699999999</v>
      </c>
      <c r="S100" s="40">
        <f>'Tariffs Jul2020'!AN94</f>
        <v>11</v>
      </c>
      <c r="T100" s="40">
        <f>'Tariffs Jul2020'!AO94</f>
        <v>0</v>
      </c>
      <c r="U100" s="40">
        <f>'Tariffs Jul2020'!AP94</f>
        <v>0</v>
      </c>
      <c r="V100" s="40">
        <f>'Tariffs Jul2020'!AQ94</f>
        <v>0</v>
      </c>
      <c r="W100" s="284">
        <f>R100-(R100*S100/100)</f>
        <v>1407.0566872999998</v>
      </c>
      <c r="X100" s="284">
        <f t="shared" si="42"/>
        <v>1407.0566872999998</v>
      </c>
      <c r="Y100" s="507">
        <f>W100</f>
        <v>1407.0566872999998</v>
      </c>
      <c r="Z100" s="507">
        <f>X100</f>
        <v>1407.0566872999998</v>
      </c>
      <c r="AA100" s="274">
        <f>'Tariffs Jul2020'!AZ94</f>
        <v>0</v>
      </c>
      <c r="AB100" s="274" t="str">
        <f>'Tariffs Jul2020'!BA94</f>
        <v>n</v>
      </c>
      <c r="AC100" s="275" t="str">
        <f>'Tariffs Jul2020'!BJ94</f>
        <v>N</v>
      </c>
      <c r="AD100" s="511"/>
      <c r="AE100" s="511"/>
      <c r="AF100" s="513"/>
      <c r="AG100" s="546"/>
      <c r="AH100" s="546"/>
      <c r="AI100" s="546"/>
      <c r="AJ100" s="546"/>
      <c r="AK100" s="546"/>
      <c r="AL100" s="546"/>
      <c r="AM100" s="546"/>
      <c r="AN100" s="546"/>
      <c r="AO100" s="546"/>
      <c r="AP100" s="546"/>
      <c r="AQ100" s="546"/>
      <c r="AR100" s="546"/>
      <c r="AS100" s="546"/>
      <c r="AT100" s="546"/>
      <c r="AU100" s="546"/>
      <c r="AV100" s="546"/>
      <c r="AW100" s="546"/>
      <c r="AX100" s="546"/>
      <c r="AY100" s="546"/>
      <c r="AZ100" s="546"/>
    </row>
    <row r="101" spans="1:52" ht="14" x14ac:dyDescent="0.15">
      <c r="A101" s="270" t="str">
        <f>'Tariffs Jul2020'!F95</f>
        <v>Red Energy</v>
      </c>
      <c r="B101" s="40" t="str">
        <f>'Tariffs Jul2020'!D95</f>
        <v>AusNet Services West</v>
      </c>
      <c r="C101" s="40" t="str">
        <f>'Tariffs Jul2020'!G95</f>
        <v>Living Energy Saver</v>
      </c>
      <c r="D101" s="59">
        <f>365*'Tariffs Jul2020'!H95/100</f>
        <v>271.02909090909088</v>
      </c>
      <c r="E101" s="59">
        <f>IF($C$5*'Tariffs Jul2020'!AK95/'Tariffs Jul2020'!AI95&gt;='Tariffs Jul2020'!J95,( 'Tariffs Jul2020'!J95*'Tariffs Jul2020'!O95/100)* 'Tariffs Jul2020'!AI95,($C$5*'Tariffs Jul2020'!AK95/'Tariffs Jul2020'!AI95*'Tariffs Jul2020'!O95/100)* 'Tariffs Jul2020'!AI95)</f>
        <v>232.36363636363632</v>
      </c>
      <c r="F101" s="59">
        <f>IF($C$5*'Tariffs Jul2020'!AK95/'Tariffs Jul2020'!AI95&lt;'Tariffs Jul2020'!J95,0,IF($C$5*'Tariffs Jul2020'!AK95/'Tariffs Jul2020'!AI95&lt;='Tariffs Jul2020'!K95,($C$5*'Tariffs Jul2020'!AK95/'Tariffs Jul2020'!AI95-'Tariffs Jul2020'!J95)*('Tariffs Jul2020'!P95/100)*'Tariffs Jul2020'!AI95,('Tariffs Jul2020'!K95-'Tariffs Jul2020'!J95)*('Tariffs Jul2020'!P95/100)*'Tariffs Jul2020'!AI95))</f>
        <v>161.96219999999994</v>
      </c>
      <c r="G101" s="59">
        <f>IF($C$5*'Tariffs Jul2020'!AK95/'Tariffs Jul2020'!AI95&lt;'Tariffs Jul2020'!K95,0,IF($C$5*'Tariffs Jul2020'!AK95/'Tariffs Jul2020'!AI95&lt;='Tariffs Jul2020'!L95,($C$5*'Tariffs Jul2020'!AK95/'Tariffs Jul2020'!AI95-'Tariffs Jul2020'!K95)*('Tariffs Jul2020'!Q95/100)*'Tariffs Jul2020'!AI95,('Tariffs Jul2020'!L95-'Tariffs Jul2020'!K95)*('Tariffs Jul2020'!Q95/100)*'Tariffs Jul2020'!AI95))</f>
        <v>0</v>
      </c>
      <c r="H101" s="59">
        <f>IF($C$5*'Tariffs Jul2020'!AK95/'Tariffs Jul2020'!AI95&lt;'Tariffs Jul2020'!L95,0,IF($C$5*'Tariffs Jul2020'!AK95/'Tariffs Jul2020'!AI95&lt;='Tariffs Jul2020'!M95,($C$5*'Tariffs Jul2020'!AK95/'Tariffs Jul2020'!AI95-'Tariffs Jul2020'!L95)*('Tariffs Jul2020'!R95/100)*'Tariffs Jul2020'!AI95,('Tariffs Jul2020'!M95-'Tariffs Jul2020'!L95)*('Tariffs Jul2020'!R95/100)*'Tariffs Jul2020'!AI95))</f>
        <v>0</v>
      </c>
      <c r="I101" s="59">
        <f>IF(($C$5*'Tariffs Jul2020'!AK95/'Tariffs Jul2020'!AI95&gt;'Tariffs Jul2020'!M95),($C$5*'Tariffs Jul2020'!AK95/'Tariffs Jul2020'!AI95-'Tariffs Jul2020'!M95)*'Tariffs Jul2020'!S95/100*'Tariffs Jul2020'!AI95,0)</f>
        <v>0</v>
      </c>
      <c r="J101" s="59">
        <f>IF($C$5*'Tariffs Jul2020'!AL95/'Tariffs Jul2020'!AJ95&gt;='Tariffs Jul2020'!J95,('Tariffs Jul2020'!J95*'Tariffs Jul2020'!U95/100)* 'Tariffs Jul2020'!AJ95,($C$5*'Tariffs Jul2020'!AL95/'Tariffs Jul2020'!AJ95*'Tariffs Jul2020'!U95/100)* 'Tariffs Jul2020'!AJ95)</f>
        <v>431.99999999999994</v>
      </c>
      <c r="K101" s="59">
        <f>IF($C$5*'Tariffs Jul2020'!AL95/'Tariffs Jul2020'!AJ95&lt;'Tariffs Jul2020'!J95,0,IF($C$5*'Tariffs Jul2020'!AL95/'Tariffs Jul2020'!AJ95&lt;='Tariffs Jul2020'!K95,($C$5*'Tariffs Jul2020'!AL95/'Tariffs Jul2020'!AJ95-'Tariffs Jul2020'!J95)*('Tariffs Jul2020'!V95/100)*'Tariffs Jul2020'!AJ95,('Tariffs Jul2020'!K95-'Tariffs Jul2020'!J95)*('Tariffs Jul2020'!V95/100)*'Tariffs Jul2020'!AJ95))</f>
        <v>315.74449090909081</v>
      </c>
      <c r="L101" s="59">
        <f>IF($C$5*'Tariffs Jul2020'!AL95/'Tariffs Jul2020'!AJ95&lt;'Tariffs Jul2020'!K95,0,IF($C$5*'Tariffs Jul2020'!AL95/'Tariffs Jul2020'!AJ95&lt;='Tariffs Jul2020'!L95,($C$5*'Tariffs Jul2020'!AL95/'Tariffs Jul2020'!AJ95-'Tariffs Jul2020'!K95)*('Tariffs Jul2020'!W95/100)*'Tariffs Jul2020'!AJ95,('Tariffs Jul2020'!L95-'Tariffs Jul2020'!K95)*('Tariffs Jul2020'!W95/100)*'Tariffs Jul2020'!AJ95))</f>
        <v>0</v>
      </c>
      <c r="M101" s="59">
        <f>IF($C$5*'Tariffs Jul2020'!AL95/'Tariffs Jul2020'!AJ95&lt;'Tariffs Jul2020'!L95,0,IF($C$5*'Tariffs Jul2020'!AL95/'Tariffs Jul2020'!AJ95&lt;='Tariffs Jul2020'!M95,($C$5*'Tariffs Jul2020'!AL95/'Tariffs Jul2020'!AJ95-'Tariffs Jul2020'!L95)*('Tariffs Jul2020'!X95/100)*'Tariffs Jul2020'!AJ95,('Tariffs Jul2020'!M95-'Tariffs Jul2020'!L95)*('Tariffs Jul2020'!X95/100)*'Tariffs Jul2020'!AJ95))</f>
        <v>0</v>
      </c>
      <c r="N101" s="59">
        <f>IF(($C$5*'Tariffs Jul2020'!AL95/'Tariffs Jul2020'!AJ95&gt;'Tariffs Jul2020'!M95),($C$5*'Tariffs Jul2020'!AL95/'Tariffs Jul2020'!AJ95-'Tariffs Jul2020'!M95)*'Tariffs Jul2020'!Y95/100*'Tariffs Jul2020'!AJ95,0)</f>
        <v>0</v>
      </c>
      <c r="O101" s="59">
        <f t="shared" si="43"/>
        <v>1142.0703272727269</v>
      </c>
      <c r="P101" s="503">
        <f t="shared" si="31"/>
        <v>1256.2773599999996</v>
      </c>
      <c r="Q101" s="59">
        <f t="shared" si="44"/>
        <v>1413.0994181818178</v>
      </c>
      <c r="R101" s="272">
        <f t="shared" si="45"/>
        <v>1554.4093599999997</v>
      </c>
      <c r="S101" s="40">
        <f>'Tariffs Jul2020'!AN95</f>
        <v>0</v>
      </c>
      <c r="T101" s="40">
        <f>'Tariffs Jul2020'!AO95</f>
        <v>0</v>
      </c>
      <c r="U101" s="40">
        <f>'Tariffs Jul2020'!AP95</f>
        <v>0</v>
      </c>
      <c r="V101" s="40">
        <f>'Tariffs Jul2020'!AQ95</f>
        <v>0</v>
      </c>
      <c r="W101" s="284">
        <f>Q101</f>
        <v>1413.0994181818178</v>
      </c>
      <c r="X101" s="284">
        <f t="shared" si="42"/>
        <v>1413.0994181818178</v>
      </c>
      <c r="Y101" s="507">
        <f t="shared" ref="Y101:Z105" si="49">W101*1.1</f>
        <v>1554.4093599999997</v>
      </c>
      <c r="Z101" s="507">
        <f t="shared" si="49"/>
        <v>1554.4093599999997</v>
      </c>
      <c r="AA101" s="274">
        <f>'Tariffs Jul2020'!AZ95</f>
        <v>0</v>
      </c>
      <c r="AB101" s="274" t="str">
        <f>'Tariffs Jul2020'!BA95</f>
        <v>n</v>
      </c>
      <c r="AC101" s="275" t="str">
        <f>'Tariffs Jul2020'!BJ95</f>
        <v>N</v>
      </c>
      <c r="AD101" s="511"/>
      <c r="AE101" s="511"/>
      <c r="AF101" s="513"/>
      <c r="AG101" s="546"/>
      <c r="AH101" s="546"/>
      <c r="AI101" s="546"/>
      <c r="AJ101" s="546"/>
      <c r="AK101" s="546"/>
      <c r="AL101" s="546"/>
      <c r="AM101" s="546"/>
      <c r="AN101" s="546"/>
      <c r="AO101" s="546"/>
      <c r="AP101" s="546"/>
      <c r="AQ101" s="546"/>
      <c r="AR101" s="546"/>
      <c r="AS101" s="546"/>
      <c r="AT101" s="546"/>
      <c r="AU101" s="546"/>
      <c r="AV101" s="546"/>
      <c r="AW101" s="546"/>
      <c r="AX101" s="546"/>
      <c r="AY101" s="546"/>
      <c r="AZ101" s="546"/>
    </row>
    <row r="102" spans="1:52" ht="14" x14ac:dyDescent="0.15">
      <c r="A102" s="270" t="str">
        <f>'Tariffs Jul2020'!F96</f>
        <v>Simply Energy</v>
      </c>
      <c r="B102" s="40" t="str">
        <f>'Tariffs Jul2020'!D96</f>
        <v>AusNet Services West</v>
      </c>
      <c r="C102" s="40" t="str">
        <f>'Tariffs Jul2020'!G96</f>
        <v>Saver</v>
      </c>
      <c r="D102" s="59">
        <f>365*'Tariffs Jul2020'!H96/100</f>
        <v>333.17863636363631</v>
      </c>
      <c r="E102" s="59">
        <f>IF($C$5*'Tariffs Jul2020'!AK96/'Tariffs Jul2020'!AI96&gt;='Tariffs Jul2020'!J96,( 'Tariffs Jul2020'!J96*'Tariffs Jul2020'!O96/100)* 'Tariffs Jul2020'!AI96,($C$5*'Tariffs Jul2020'!AK96/'Tariffs Jul2020'!AI96*'Tariffs Jul2020'!O96/100)* 'Tariffs Jul2020'!AI96)</f>
        <v>244.3636363636364</v>
      </c>
      <c r="F102" s="59">
        <f>IF($C$5*'Tariffs Jul2020'!AK96/'Tariffs Jul2020'!AI96&lt;'Tariffs Jul2020'!J96,0,IF($C$5*'Tariffs Jul2020'!AK96/'Tariffs Jul2020'!AI96&lt;='Tariffs Jul2020'!K96,($C$5*'Tariffs Jul2020'!AK96/'Tariffs Jul2020'!AI96-'Tariffs Jul2020'!J96)*('Tariffs Jul2020'!P96/100)*'Tariffs Jul2020'!AI96,('Tariffs Jul2020'!K96-'Tariffs Jul2020'!J96)*('Tariffs Jul2020'!P96/100)*'Tariffs Jul2020'!AI96))</f>
        <v>170.96009999999993</v>
      </c>
      <c r="G102" s="59">
        <f>IF($C$5*'Tariffs Jul2020'!AK96/'Tariffs Jul2020'!AI96&lt;'Tariffs Jul2020'!K96,0,IF($C$5*'Tariffs Jul2020'!AK96/'Tariffs Jul2020'!AI96&lt;='Tariffs Jul2020'!L96,($C$5*'Tariffs Jul2020'!AK96/'Tariffs Jul2020'!AI96-'Tariffs Jul2020'!K96)*('Tariffs Jul2020'!Q96/100)*'Tariffs Jul2020'!AI96,('Tariffs Jul2020'!L96-'Tariffs Jul2020'!K96)*('Tariffs Jul2020'!Q96/100)*'Tariffs Jul2020'!AI96))</f>
        <v>0</v>
      </c>
      <c r="H102" s="59">
        <f>IF($C$5*'Tariffs Jul2020'!AK96/'Tariffs Jul2020'!AI96&lt;'Tariffs Jul2020'!L96,0,IF($C$5*'Tariffs Jul2020'!AK96/'Tariffs Jul2020'!AI96&lt;='Tariffs Jul2020'!M96,($C$5*'Tariffs Jul2020'!AK96/'Tariffs Jul2020'!AI96-'Tariffs Jul2020'!L96)*('Tariffs Jul2020'!R96/100)*'Tariffs Jul2020'!AI96,('Tariffs Jul2020'!M96-'Tariffs Jul2020'!L96)*('Tariffs Jul2020'!R96/100)*'Tariffs Jul2020'!AI96))</f>
        <v>0</v>
      </c>
      <c r="I102" s="59">
        <f>IF(($C$5*'Tariffs Jul2020'!AK96/'Tariffs Jul2020'!AI96&gt;'Tariffs Jul2020'!M96),($C$5*'Tariffs Jul2020'!AK96/'Tariffs Jul2020'!AI96-'Tariffs Jul2020'!M96)*'Tariffs Jul2020'!S96/100*'Tariffs Jul2020'!AI96,0)</f>
        <v>0</v>
      </c>
      <c r="J102" s="59">
        <f>IF($C$5*'Tariffs Jul2020'!AL96/'Tariffs Jul2020'!AJ96&gt;='Tariffs Jul2020'!J96,('Tariffs Jul2020'!J96*'Tariffs Jul2020'!U96/100)* 'Tariffs Jul2020'!AJ96,($C$5*'Tariffs Jul2020'!AL96/'Tariffs Jul2020'!AJ96*'Tariffs Jul2020'!U96/100)* 'Tariffs Jul2020'!AJ96)</f>
        <v>405.81818181818181</v>
      </c>
      <c r="K102" s="59">
        <f>IF($C$5*'Tariffs Jul2020'!AL96/'Tariffs Jul2020'!AJ96&lt;'Tariffs Jul2020'!J96,0,IF($C$5*'Tariffs Jul2020'!AL96/'Tariffs Jul2020'!AJ96&lt;='Tariffs Jul2020'!K96,($C$5*'Tariffs Jul2020'!AL96/'Tariffs Jul2020'!AJ96-'Tariffs Jul2020'!J96)*('Tariffs Jul2020'!V96/100)*'Tariffs Jul2020'!AJ96,('Tariffs Jul2020'!K96-'Tariffs Jul2020'!J96)*('Tariffs Jul2020'!V96/100)*'Tariffs Jul2020'!AJ96))</f>
        <v>302.65663636363627</v>
      </c>
      <c r="L102" s="59">
        <f>IF($C$5*'Tariffs Jul2020'!AL96/'Tariffs Jul2020'!AJ96&lt;'Tariffs Jul2020'!K96,0,IF($C$5*'Tariffs Jul2020'!AL96/'Tariffs Jul2020'!AJ96&lt;='Tariffs Jul2020'!L96,($C$5*'Tariffs Jul2020'!AL96/'Tariffs Jul2020'!AJ96-'Tariffs Jul2020'!K96)*('Tariffs Jul2020'!W96/100)*'Tariffs Jul2020'!AJ96,('Tariffs Jul2020'!L96-'Tariffs Jul2020'!K96)*('Tariffs Jul2020'!W96/100)*'Tariffs Jul2020'!AJ96))</f>
        <v>0</v>
      </c>
      <c r="M102" s="59">
        <f>IF($C$5*'Tariffs Jul2020'!AL96/'Tariffs Jul2020'!AJ96&lt;'Tariffs Jul2020'!L96,0,IF($C$5*'Tariffs Jul2020'!AL96/'Tariffs Jul2020'!AJ96&lt;='Tariffs Jul2020'!M96,($C$5*'Tariffs Jul2020'!AL96/'Tariffs Jul2020'!AJ96-'Tariffs Jul2020'!L96)*('Tariffs Jul2020'!X96/100)*'Tariffs Jul2020'!AJ96,('Tariffs Jul2020'!M96-'Tariffs Jul2020'!L96)*('Tariffs Jul2020'!X96/100)*'Tariffs Jul2020'!AJ96))</f>
        <v>0</v>
      </c>
      <c r="N102" s="59">
        <f>IF(($C$5*'Tariffs Jul2020'!AL96/'Tariffs Jul2020'!AJ96&gt;'Tariffs Jul2020'!M96),($C$5*'Tariffs Jul2020'!AL96/'Tariffs Jul2020'!AJ96-'Tariffs Jul2020'!M96)*'Tariffs Jul2020'!Y96/100*'Tariffs Jul2020'!AJ96,0)</f>
        <v>0</v>
      </c>
      <c r="O102" s="59">
        <f t="shared" si="43"/>
        <v>1123.7985545454544</v>
      </c>
      <c r="P102" s="503">
        <f t="shared" si="31"/>
        <v>1236.17841</v>
      </c>
      <c r="Q102" s="59">
        <f t="shared" si="44"/>
        <v>1456.9771909090907</v>
      </c>
      <c r="R102" s="272">
        <f t="shared" si="45"/>
        <v>1602.67491</v>
      </c>
      <c r="S102" s="40">
        <f>'Tariffs Jul2020'!AN96</f>
        <v>20</v>
      </c>
      <c r="T102" s="40">
        <f>'Tariffs Jul2020'!AO96</f>
        <v>0</v>
      </c>
      <c r="U102" s="40">
        <f>'Tariffs Jul2020'!AP96</f>
        <v>0</v>
      </c>
      <c r="V102" s="40">
        <f>'Tariffs Jul2020'!AQ96</f>
        <v>0</v>
      </c>
      <c r="W102" s="284">
        <f>Q102-(Q102*S102/100)</f>
        <v>1165.5817527272725</v>
      </c>
      <c r="X102" s="284">
        <f t="shared" si="42"/>
        <v>1165.5817527272725</v>
      </c>
      <c r="Y102" s="507">
        <f t="shared" si="49"/>
        <v>1282.1399279999998</v>
      </c>
      <c r="Z102" s="507">
        <f t="shared" si="49"/>
        <v>1282.1399279999998</v>
      </c>
      <c r="AA102" s="274">
        <f>'Tariffs Jul2020'!AZ96</f>
        <v>0</v>
      </c>
      <c r="AB102" s="274" t="str">
        <f>'Tariffs Jul2020'!BA96</f>
        <v>n</v>
      </c>
      <c r="AC102" s="275" t="str">
        <f>'Tariffs Jul2020'!BJ96</f>
        <v>N</v>
      </c>
      <c r="AD102" s="511"/>
      <c r="AE102" s="511"/>
      <c r="AF102" s="513"/>
      <c r="AG102" s="546"/>
      <c r="AH102" s="546"/>
      <c r="AI102" s="546"/>
      <c r="AJ102" s="546"/>
      <c r="AK102" s="546"/>
      <c r="AL102" s="546"/>
      <c r="AM102" s="546"/>
      <c r="AN102" s="546"/>
      <c r="AO102" s="546"/>
      <c r="AP102" s="546"/>
      <c r="AQ102" s="546"/>
      <c r="AR102" s="546"/>
      <c r="AS102" s="546"/>
      <c r="AT102" s="546"/>
      <c r="AU102" s="546"/>
      <c r="AV102" s="546"/>
      <c r="AW102" s="546"/>
      <c r="AX102" s="546"/>
      <c r="AY102" s="546"/>
      <c r="AZ102" s="546"/>
    </row>
    <row r="103" spans="1:52" ht="14" x14ac:dyDescent="0.15">
      <c r="A103" s="270" t="str">
        <f>'Tariffs Jul2020'!F97</f>
        <v>Sumo Power</v>
      </c>
      <c r="B103" s="40" t="str">
        <f>'Tariffs Jul2020'!D97</f>
        <v>AusNet Services West</v>
      </c>
      <c r="C103" s="40" t="str">
        <f>'Tariffs Jul2020'!G97</f>
        <v>Select</v>
      </c>
      <c r="D103" s="59">
        <f>365*'Tariffs Jul2020'!H97/100</f>
        <v>310.25</v>
      </c>
      <c r="E103" s="59">
        <f>IF($C$5*'Tariffs Jul2020'!AK97/'Tariffs Jul2020'!AI97&gt;='Tariffs Jul2020'!J97,( 'Tariffs Jul2020'!J97*'Tariffs Jul2020'!O97/100)* 'Tariffs Jul2020'!AI97,($C$5*'Tariffs Jul2020'!AK97/'Tariffs Jul2020'!AI97*'Tariffs Jul2020'!O97/100)* 'Tariffs Jul2020'!AI97)</f>
        <v>218.18181818181816</v>
      </c>
      <c r="F103" s="59">
        <f>IF($C$5*'Tariffs Jul2020'!AK97/'Tariffs Jul2020'!AI97&lt;'Tariffs Jul2020'!J97,0,IF($C$5*'Tariffs Jul2020'!AK97/'Tariffs Jul2020'!AI97&lt;='Tariffs Jul2020'!K97,($C$5*'Tariffs Jul2020'!AK97/'Tariffs Jul2020'!AI97-'Tariffs Jul2020'!J97)*('Tariffs Jul2020'!P97/100)*'Tariffs Jul2020'!AI97,('Tariffs Jul2020'!K97-'Tariffs Jul2020'!J97)*('Tariffs Jul2020'!P97/100)*'Tariffs Jul2020'!AI97))</f>
        <v>154.60028181818177</v>
      </c>
      <c r="G103" s="59">
        <f>IF($C$5*'Tariffs Jul2020'!AK97/'Tariffs Jul2020'!AI97&lt;'Tariffs Jul2020'!K97,0,IF($C$5*'Tariffs Jul2020'!AK97/'Tariffs Jul2020'!AI97&lt;='Tariffs Jul2020'!L97,($C$5*'Tariffs Jul2020'!AK97/'Tariffs Jul2020'!AI97-'Tariffs Jul2020'!K97)*('Tariffs Jul2020'!Q97/100)*'Tariffs Jul2020'!AI97,('Tariffs Jul2020'!L97-'Tariffs Jul2020'!K97)*('Tariffs Jul2020'!Q97/100)*'Tariffs Jul2020'!AI97))</f>
        <v>0</v>
      </c>
      <c r="H103" s="59">
        <f>IF($C$5*'Tariffs Jul2020'!AK97/'Tariffs Jul2020'!AI97&lt;'Tariffs Jul2020'!L97,0,IF($C$5*'Tariffs Jul2020'!AK97/'Tariffs Jul2020'!AI97&lt;='Tariffs Jul2020'!M97,($C$5*'Tariffs Jul2020'!AK97/'Tariffs Jul2020'!AI97-'Tariffs Jul2020'!L97)*('Tariffs Jul2020'!R97/100)*'Tariffs Jul2020'!AI97,('Tariffs Jul2020'!M97-'Tariffs Jul2020'!L97)*('Tariffs Jul2020'!R97/100)*'Tariffs Jul2020'!AI97))</f>
        <v>0</v>
      </c>
      <c r="I103" s="59">
        <f>IF(($C$5*'Tariffs Jul2020'!AK97/'Tariffs Jul2020'!AI97&gt;'Tariffs Jul2020'!M97),($C$5*'Tariffs Jul2020'!AK97/'Tariffs Jul2020'!AI97-'Tariffs Jul2020'!M97)*'Tariffs Jul2020'!S97/100*'Tariffs Jul2020'!AI97,0)</f>
        <v>0</v>
      </c>
      <c r="J103" s="59">
        <f>IF($C$5*'Tariffs Jul2020'!AL97/'Tariffs Jul2020'!AJ97&gt;='Tariffs Jul2020'!J97,('Tariffs Jul2020'!J97*'Tariffs Jul2020'!U97/100)* 'Tariffs Jul2020'!AJ97,($C$5*'Tariffs Jul2020'!AL97/'Tariffs Jul2020'!AJ97*'Tariffs Jul2020'!U97/100)* 'Tariffs Jul2020'!AJ97)</f>
        <v>401.45454545454544</v>
      </c>
      <c r="K103" s="59">
        <f>IF($C$5*'Tariffs Jul2020'!AL97/'Tariffs Jul2020'!AJ97&lt;'Tariffs Jul2020'!J97,0,IF($C$5*'Tariffs Jul2020'!AL97/'Tariffs Jul2020'!AJ97&lt;='Tariffs Jul2020'!K97,($C$5*'Tariffs Jul2020'!AL97/'Tariffs Jul2020'!AJ97-'Tariffs Jul2020'!J97)*('Tariffs Jul2020'!V97/100)*'Tariffs Jul2020'!AJ97,('Tariffs Jul2020'!K97-'Tariffs Jul2020'!J97)*('Tariffs Jul2020'!V97/100)*'Tariffs Jul2020'!AJ97))</f>
        <v>245.39727272727265</v>
      </c>
      <c r="L103" s="59">
        <f>IF($C$5*'Tariffs Jul2020'!AL97/'Tariffs Jul2020'!AJ97&lt;'Tariffs Jul2020'!K97,0,IF($C$5*'Tariffs Jul2020'!AL97/'Tariffs Jul2020'!AJ97&lt;='Tariffs Jul2020'!L97,($C$5*'Tariffs Jul2020'!AL97/'Tariffs Jul2020'!AJ97-'Tariffs Jul2020'!K97)*('Tariffs Jul2020'!W97/100)*'Tariffs Jul2020'!AJ97,('Tariffs Jul2020'!L97-'Tariffs Jul2020'!K97)*('Tariffs Jul2020'!W97/100)*'Tariffs Jul2020'!AJ97))</f>
        <v>0</v>
      </c>
      <c r="M103" s="59">
        <f>IF($C$5*'Tariffs Jul2020'!AL97/'Tariffs Jul2020'!AJ97&lt;'Tariffs Jul2020'!L97,0,IF($C$5*'Tariffs Jul2020'!AL97/'Tariffs Jul2020'!AJ97&lt;='Tariffs Jul2020'!M97,($C$5*'Tariffs Jul2020'!AL97/'Tariffs Jul2020'!AJ97-'Tariffs Jul2020'!L97)*('Tariffs Jul2020'!X97/100)*'Tariffs Jul2020'!AJ97,('Tariffs Jul2020'!M97-'Tariffs Jul2020'!L97)*('Tariffs Jul2020'!X97/100)*'Tariffs Jul2020'!AJ97))</f>
        <v>0</v>
      </c>
      <c r="N103" s="59">
        <f>IF(($C$5*'Tariffs Jul2020'!AL97/'Tariffs Jul2020'!AJ97&gt;'Tariffs Jul2020'!M97),($C$5*'Tariffs Jul2020'!AL97/'Tariffs Jul2020'!AJ97-'Tariffs Jul2020'!M97)*'Tariffs Jul2020'!Y97/100*'Tariffs Jul2020'!AJ97,0)</f>
        <v>0</v>
      </c>
      <c r="O103" s="59">
        <f t="shared" si="43"/>
        <v>1019.633918181818</v>
      </c>
      <c r="P103" s="503">
        <f t="shared" si="31"/>
        <v>1121.5973099999999</v>
      </c>
      <c r="Q103" s="59">
        <f t="shared" si="44"/>
        <v>1329.883918181818</v>
      </c>
      <c r="R103" s="272">
        <f t="shared" si="45"/>
        <v>1462.87231</v>
      </c>
      <c r="S103" s="40">
        <f>'Tariffs Jul2020'!AN97</f>
        <v>0</v>
      </c>
      <c r="T103" s="40">
        <f>'Tariffs Jul2020'!AO97</f>
        <v>0</v>
      </c>
      <c r="U103" s="40">
        <f>'Tariffs Jul2020'!AP97</f>
        <v>5</v>
      </c>
      <c r="V103" s="40">
        <f>'Tariffs Jul2020'!AQ97</f>
        <v>0</v>
      </c>
      <c r="W103" s="284">
        <f t="shared" ref="W103" si="50">Q103</f>
        <v>1329.883918181818</v>
      </c>
      <c r="X103" s="284">
        <f>W103-(Q103*U103/100)</f>
        <v>1263.3897222727271</v>
      </c>
      <c r="Y103" s="507">
        <f t="shared" si="49"/>
        <v>1462.87231</v>
      </c>
      <c r="Z103" s="507">
        <f t="shared" si="49"/>
        <v>1389.7286944999998</v>
      </c>
      <c r="AA103" s="274">
        <f>'Tariffs Jul2020'!AZ97</f>
        <v>0</v>
      </c>
      <c r="AB103" s="274" t="str">
        <f>'Tariffs Jul2020'!BA97</f>
        <v>n</v>
      </c>
      <c r="AC103" s="275" t="str">
        <f>'Tariffs Jul2020'!BJ97</f>
        <v>Y</v>
      </c>
      <c r="AD103" s="511"/>
      <c r="AE103" s="511"/>
      <c r="AF103" s="513"/>
      <c r="AG103" s="546"/>
      <c r="AH103" s="546"/>
      <c r="AI103" s="546"/>
      <c r="AJ103" s="546"/>
      <c r="AK103" s="546"/>
      <c r="AL103" s="546"/>
      <c r="AM103" s="546"/>
      <c r="AN103" s="546"/>
      <c r="AO103" s="546"/>
      <c r="AP103" s="546"/>
      <c r="AQ103" s="546"/>
      <c r="AR103" s="546"/>
      <c r="AS103" s="546"/>
      <c r="AT103" s="546"/>
      <c r="AU103" s="546"/>
      <c r="AV103" s="546"/>
      <c r="AW103" s="546"/>
      <c r="AX103" s="546"/>
      <c r="AY103" s="546"/>
      <c r="AZ103" s="546"/>
    </row>
    <row r="104" spans="1:52" ht="14" x14ac:dyDescent="0.15">
      <c r="A104" s="270" t="str">
        <f>'Tariffs Jul2020'!F98</f>
        <v>Amaysim</v>
      </c>
      <c r="B104" s="40" t="str">
        <f>'Tariffs Jul2020'!D98</f>
        <v>AusNet Services West</v>
      </c>
      <c r="C104" s="40" t="str">
        <f>'Tariffs Jul2020'!G98</f>
        <v>Gas as you go</v>
      </c>
      <c r="D104" s="59">
        <f>365*'Tariffs Jul2020'!H98/100</f>
        <v>240.2576</v>
      </c>
      <c r="E104" s="59">
        <f>IF($C$5*'Tariffs Jul2020'!AK98/'Tariffs Jul2020'!AI98&gt;='Tariffs Jul2020'!J98,( 'Tariffs Jul2020'!J98*'Tariffs Jul2020'!O98/100)* 'Tariffs Jul2020'!AI98,($C$5*'Tariffs Jul2020'!AK98/'Tariffs Jul2020'!AI98*'Tariffs Jul2020'!O98/100)* 'Tariffs Jul2020'!AI98)</f>
        <v>248.87999999999997</v>
      </c>
      <c r="F104" s="59">
        <f>IF($C$5*'Tariffs Jul2020'!AK98/'Tariffs Jul2020'!AI98&lt;'Tariffs Jul2020'!J98,0,IF($C$5*'Tariffs Jul2020'!AK98/'Tariffs Jul2020'!AI98&lt;='Tariffs Jul2020'!K98,($C$5*'Tariffs Jul2020'!AK98/'Tariffs Jul2020'!AI98-'Tariffs Jul2020'!J98)*('Tariffs Jul2020'!P98/100)*'Tariffs Jul2020'!AI98,('Tariffs Jul2020'!K98-'Tariffs Jul2020'!J98)*('Tariffs Jul2020'!P98/100)*'Tariffs Jul2020'!AI98))</f>
        <v>177.43858799999992</v>
      </c>
      <c r="G104" s="59">
        <f>IF($C$5*'Tariffs Jul2020'!AK98/'Tariffs Jul2020'!AI98&lt;'Tariffs Jul2020'!K98,0,IF($C$5*'Tariffs Jul2020'!AK98/'Tariffs Jul2020'!AI98&lt;='Tariffs Jul2020'!L98,($C$5*'Tariffs Jul2020'!AK98/'Tariffs Jul2020'!AI98-'Tariffs Jul2020'!K98)*('Tariffs Jul2020'!Q98/100)*'Tariffs Jul2020'!AI98,('Tariffs Jul2020'!L98-'Tariffs Jul2020'!K98)*('Tariffs Jul2020'!Q98/100)*'Tariffs Jul2020'!AI98))</f>
        <v>0</v>
      </c>
      <c r="H104" s="59">
        <f>IF($C$5*'Tariffs Jul2020'!AK98/'Tariffs Jul2020'!AI98&lt;'Tariffs Jul2020'!L98,0,IF($C$5*'Tariffs Jul2020'!AK98/'Tariffs Jul2020'!AI98&lt;='Tariffs Jul2020'!M98,($C$5*'Tariffs Jul2020'!AK98/'Tariffs Jul2020'!AI98-'Tariffs Jul2020'!L98)*('Tariffs Jul2020'!R98/100)*'Tariffs Jul2020'!AI98,('Tariffs Jul2020'!M98-'Tariffs Jul2020'!L98)*('Tariffs Jul2020'!R98/100)*'Tariffs Jul2020'!AI98))</f>
        <v>0</v>
      </c>
      <c r="I104" s="59">
        <f>IF(($C$5*'Tariffs Jul2020'!AK98/'Tariffs Jul2020'!AI98&gt;'Tariffs Jul2020'!M98),($C$5*'Tariffs Jul2020'!AK98/'Tariffs Jul2020'!AI98-'Tariffs Jul2020'!M98)*'Tariffs Jul2020'!S98/100*'Tariffs Jul2020'!AI98,0)</f>
        <v>0</v>
      </c>
      <c r="J104" s="59">
        <f>IF($C$5*'Tariffs Jul2020'!AL98/'Tariffs Jul2020'!AJ98&gt;='Tariffs Jul2020'!J98,('Tariffs Jul2020'!J98*'Tariffs Jul2020'!U98/100)* 'Tariffs Jul2020'!AJ98,($C$5*'Tariffs Jul2020'!AL98/'Tariffs Jul2020'!AJ98*'Tariffs Jul2020'!U98/100)* 'Tariffs Jul2020'!AJ98)</f>
        <v>408</v>
      </c>
      <c r="K104" s="59">
        <f>IF($C$5*'Tariffs Jul2020'!AL98/'Tariffs Jul2020'!AJ98&lt;'Tariffs Jul2020'!J98,0,IF($C$5*'Tariffs Jul2020'!AL98/'Tariffs Jul2020'!AJ98&lt;='Tariffs Jul2020'!K98,($C$5*'Tariffs Jul2020'!AL98/'Tariffs Jul2020'!AJ98-'Tariffs Jul2020'!J98)*('Tariffs Jul2020'!V98/100)*'Tariffs Jul2020'!AJ98,('Tariffs Jul2020'!K98-'Tariffs Jul2020'!J98)*('Tariffs Jul2020'!V98/100)*'Tariffs Jul2020'!AJ98))</f>
        <v>299.81002799999987</v>
      </c>
      <c r="L104" s="59">
        <f>IF($C$5*'Tariffs Jul2020'!AL98/'Tariffs Jul2020'!AJ98&lt;'Tariffs Jul2020'!K98,0,IF($C$5*'Tariffs Jul2020'!AL98/'Tariffs Jul2020'!AJ98&lt;='Tariffs Jul2020'!L98,($C$5*'Tariffs Jul2020'!AL98/'Tariffs Jul2020'!AJ98-'Tariffs Jul2020'!K98)*('Tariffs Jul2020'!W98/100)*'Tariffs Jul2020'!AJ98,('Tariffs Jul2020'!L98-'Tariffs Jul2020'!K98)*('Tariffs Jul2020'!W98/100)*'Tariffs Jul2020'!AJ98))</f>
        <v>0</v>
      </c>
      <c r="M104" s="59">
        <f>IF($C$5*'Tariffs Jul2020'!AL98/'Tariffs Jul2020'!AJ98&lt;'Tariffs Jul2020'!L98,0,IF($C$5*'Tariffs Jul2020'!AL98/'Tariffs Jul2020'!AJ98&lt;='Tariffs Jul2020'!M98,($C$5*'Tariffs Jul2020'!AL98/'Tariffs Jul2020'!AJ98-'Tariffs Jul2020'!L98)*('Tariffs Jul2020'!X98/100)*'Tariffs Jul2020'!AJ98,('Tariffs Jul2020'!M98-'Tariffs Jul2020'!L98)*('Tariffs Jul2020'!X98/100)*'Tariffs Jul2020'!AJ98))</f>
        <v>0</v>
      </c>
      <c r="N104" s="59">
        <f>IF(($C$5*'Tariffs Jul2020'!AL98/'Tariffs Jul2020'!AJ98&gt;'Tariffs Jul2020'!M98),($C$5*'Tariffs Jul2020'!AL98/'Tariffs Jul2020'!AJ98-'Tariffs Jul2020'!M98)*'Tariffs Jul2020'!Y98/100*'Tariffs Jul2020'!AJ98,0)</f>
        <v>0</v>
      </c>
      <c r="O104" s="59">
        <f t="shared" si="43"/>
        <v>1134.1286159999997</v>
      </c>
      <c r="P104" s="503">
        <f t="shared" si="31"/>
        <v>1247.5414775999998</v>
      </c>
      <c r="Q104" s="59">
        <f t="shared" si="44"/>
        <v>1374.3862159999996</v>
      </c>
      <c r="R104" s="272">
        <f t="shared" si="45"/>
        <v>1511.8248375999997</v>
      </c>
      <c r="S104" s="40">
        <f>'Tariffs Jul2020'!AN98</f>
        <v>0</v>
      </c>
      <c r="T104" s="40">
        <f>'Tariffs Jul2020'!AO98</f>
        <v>0</v>
      </c>
      <c r="U104" s="40">
        <f>'Tariffs Jul2020'!AP98</f>
        <v>0</v>
      </c>
      <c r="V104" s="40">
        <f>'Tariffs Jul2020'!AQ98</f>
        <v>0</v>
      </c>
      <c r="W104" s="284">
        <f>Q104</f>
        <v>1374.3862159999996</v>
      </c>
      <c r="X104" s="284">
        <f>W104</f>
        <v>1374.3862159999996</v>
      </c>
      <c r="Y104" s="507">
        <f t="shared" si="49"/>
        <v>1511.8248375999997</v>
      </c>
      <c r="Z104" s="507">
        <f t="shared" si="49"/>
        <v>1511.8248375999997</v>
      </c>
      <c r="AA104" s="274">
        <f>'Tariffs Jul2020'!AZ98</f>
        <v>0</v>
      </c>
      <c r="AB104" s="274" t="str">
        <f>'Tariffs Jul2020'!BA98</f>
        <v>n</v>
      </c>
      <c r="AC104" s="275" t="str">
        <f>'Tariffs Jul2020'!BJ98</f>
        <v>N</v>
      </c>
      <c r="AD104" s="511"/>
      <c r="AE104" s="511"/>
      <c r="AF104" s="513"/>
      <c r="AG104" s="546"/>
      <c r="AH104" s="546"/>
      <c r="AI104" s="546"/>
      <c r="AJ104" s="546"/>
      <c r="AK104" s="546"/>
      <c r="AL104" s="546"/>
      <c r="AM104" s="546"/>
      <c r="AN104" s="546"/>
      <c r="AO104" s="546"/>
      <c r="AP104" s="546"/>
      <c r="AQ104" s="546"/>
      <c r="AR104" s="546"/>
      <c r="AS104" s="546"/>
      <c r="AT104" s="546"/>
      <c r="AU104" s="546"/>
      <c r="AV104" s="546"/>
      <c r="AW104" s="546"/>
      <c r="AX104" s="546"/>
      <c r="AY104" s="546"/>
      <c r="AZ104" s="546"/>
    </row>
    <row r="105" spans="1:52" ht="14" x14ac:dyDescent="0.15">
      <c r="A105" s="270" t="str">
        <f>'Tariffs Jul2020'!F99</f>
        <v>GloBird Energy</v>
      </c>
      <c r="B105" s="40" t="str">
        <f>'Tariffs Jul2020'!D99</f>
        <v>AusNet Services West</v>
      </c>
      <c r="C105" s="40" t="str">
        <f>'Tariffs Jul2020'!G99</f>
        <v>GloSave</v>
      </c>
      <c r="D105" s="59">
        <f>365*'Tariffs Jul2020'!H99/100</f>
        <v>277.39999999999998</v>
      </c>
      <c r="E105" s="59">
        <f>IF($C$5*'Tariffs Jul2020'!AK99/'Tariffs Jul2020'!AI99&gt;='Tariffs Jul2020'!J99,( 'Tariffs Jul2020'!J99*'Tariffs Jul2020'!O99/100)* 'Tariffs Jul2020'!AI99,($C$5*'Tariffs Jul2020'!AK99/'Tariffs Jul2020'!AI99*'Tariffs Jul2020'!O99/100)* 'Tariffs Jul2020'!AI99)</f>
        <v>179.99999999999997</v>
      </c>
      <c r="F105" s="59">
        <f>IF($C$5*'Tariffs Jul2020'!AK99/'Tariffs Jul2020'!AI99&lt;'Tariffs Jul2020'!J99,0,IF($C$5*'Tariffs Jul2020'!AK99/'Tariffs Jul2020'!AI99&lt;='Tariffs Jul2020'!K99,($C$5*'Tariffs Jul2020'!AK99/'Tariffs Jul2020'!AI99-'Tariffs Jul2020'!J99)*('Tariffs Jul2020'!P99/100)*'Tariffs Jul2020'!AI99,('Tariffs Jul2020'!K99-'Tariffs Jul2020'!J99)*('Tariffs Jul2020'!P99/100)*'Tariffs Jul2020'!AI99))</f>
        <v>0</v>
      </c>
      <c r="G105" s="59">
        <f>IF($C$5*'Tariffs Jul2020'!AK99/'Tariffs Jul2020'!AI99&lt;'Tariffs Jul2020'!K99,0,IF($C$5*'Tariffs Jul2020'!AK99/'Tariffs Jul2020'!AI99&lt;='Tariffs Jul2020'!L99,($C$5*'Tariffs Jul2020'!AK99/'Tariffs Jul2020'!AI99-'Tariffs Jul2020'!K99)*('Tariffs Jul2020'!Q99/100)*'Tariffs Jul2020'!AI99,('Tariffs Jul2020'!L99-'Tariffs Jul2020'!K99)*('Tariffs Jul2020'!Q99/100)*'Tariffs Jul2020'!AI99))</f>
        <v>0</v>
      </c>
      <c r="H105" s="59">
        <f>IF($C$5*'Tariffs Jul2020'!AK99/'Tariffs Jul2020'!AI99&lt;'Tariffs Jul2020'!L99,0,IF($C$5*'Tariffs Jul2020'!AK99/'Tariffs Jul2020'!AI99&lt;='Tariffs Jul2020'!M99,($C$5*'Tariffs Jul2020'!AK99/'Tariffs Jul2020'!AI99-'Tariffs Jul2020'!L99)*('Tariffs Jul2020'!R99/100)*'Tariffs Jul2020'!AI99,('Tariffs Jul2020'!M99-'Tariffs Jul2020'!L99)*('Tariffs Jul2020'!R99/100)*'Tariffs Jul2020'!AI99))</f>
        <v>0</v>
      </c>
      <c r="I105" s="59">
        <f>IF(($C$5*'Tariffs Jul2020'!AK99/'Tariffs Jul2020'!AI99&gt;'Tariffs Jul2020'!M99),($C$5*'Tariffs Jul2020'!AK99/'Tariffs Jul2020'!AI99-'Tariffs Jul2020'!M99)*'Tariffs Jul2020'!S99/100*'Tariffs Jul2020'!AI99,0)</f>
        <v>129.2425636363636</v>
      </c>
      <c r="J105" s="59">
        <f>IF($C$5*'Tariffs Jul2020'!AL99/'Tariffs Jul2020'!AJ99&gt;='Tariffs Jul2020'!J99,('Tariffs Jul2020'!J99*'Tariffs Jul2020'!U99/100)* 'Tariffs Jul2020'!AJ99,($C$5*'Tariffs Jul2020'!AL99/'Tariffs Jul2020'!AJ99*'Tariffs Jul2020'!U99/100)* 'Tariffs Jul2020'!AJ99)</f>
        <v>301.09090909090907</v>
      </c>
      <c r="K105" s="59">
        <f>IF($C$5*'Tariffs Jul2020'!AL99/'Tariffs Jul2020'!AJ99&lt;'Tariffs Jul2020'!J99,0,IF($C$5*'Tariffs Jul2020'!AL99/'Tariffs Jul2020'!AJ99&lt;='Tariffs Jul2020'!K99,($C$5*'Tariffs Jul2020'!AL99/'Tariffs Jul2020'!AJ99-'Tariffs Jul2020'!J99)*('Tariffs Jul2020'!V99/100)*'Tariffs Jul2020'!AJ99,('Tariffs Jul2020'!K99-'Tariffs Jul2020'!J99)*('Tariffs Jul2020'!V99/100)*'Tariffs Jul2020'!AJ99))</f>
        <v>0</v>
      </c>
      <c r="L105" s="59">
        <f>IF($C$5*'Tariffs Jul2020'!AL99/'Tariffs Jul2020'!AJ99&lt;'Tariffs Jul2020'!K99,0,IF($C$5*'Tariffs Jul2020'!AL99/'Tariffs Jul2020'!AJ99&lt;='Tariffs Jul2020'!L99,($C$5*'Tariffs Jul2020'!AL99/'Tariffs Jul2020'!AJ99-'Tariffs Jul2020'!K99)*('Tariffs Jul2020'!W99/100)*'Tariffs Jul2020'!AJ99,('Tariffs Jul2020'!L99-'Tariffs Jul2020'!K99)*('Tariffs Jul2020'!W99/100)*'Tariffs Jul2020'!AJ99))</f>
        <v>0</v>
      </c>
      <c r="M105" s="59">
        <f>IF($C$5*'Tariffs Jul2020'!AL99/'Tariffs Jul2020'!AJ99&lt;'Tariffs Jul2020'!L99,0,IF($C$5*'Tariffs Jul2020'!AL99/'Tariffs Jul2020'!AJ99&lt;='Tariffs Jul2020'!M99,($C$5*'Tariffs Jul2020'!AL99/'Tariffs Jul2020'!AJ99-'Tariffs Jul2020'!L99)*('Tariffs Jul2020'!X99/100)*'Tariffs Jul2020'!AJ99,('Tariffs Jul2020'!M99-'Tariffs Jul2020'!L99)*('Tariffs Jul2020'!X99/100)*'Tariffs Jul2020'!AJ99))</f>
        <v>0</v>
      </c>
      <c r="N105" s="59">
        <f>IF(($C$5*'Tariffs Jul2020'!AL99/'Tariffs Jul2020'!AJ99&gt;'Tariffs Jul2020'!M99),($C$5*'Tariffs Jul2020'!AL99/'Tariffs Jul2020'!AJ99-'Tariffs Jul2020'!M99)*'Tariffs Jul2020'!Y99/100*'Tariffs Jul2020'!AJ99,0)</f>
        <v>225.76549090909083</v>
      </c>
      <c r="O105" s="59">
        <f t="shared" si="43"/>
        <v>836.09896363636358</v>
      </c>
      <c r="P105" s="503">
        <f t="shared" si="31"/>
        <v>919.70885999999996</v>
      </c>
      <c r="Q105" s="59">
        <f t="shared" si="44"/>
        <v>1113.4989636363634</v>
      </c>
      <c r="R105" s="272">
        <f t="shared" si="45"/>
        <v>1224.8488599999998</v>
      </c>
      <c r="S105" s="40">
        <f>'Tariffs Jul2020'!AN99</f>
        <v>0</v>
      </c>
      <c r="T105" s="40">
        <f>'Tariffs Jul2020'!AO99</f>
        <v>0</v>
      </c>
      <c r="U105" s="40">
        <f>'Tariffs Jul2020'!AP99</f>
        <v>0</v>
      </c>
      <c r="V105" s="40">
        <f>'Tariffs Jul2020'!AQ99</f>
        <v>0</v>
      </c>
      <c r="W105" s="284">
        <f>Q105</f>
        <v>1113.4989636363634</v>
      </c>
      <c r="X105" s="284">
        <f>W105</f>
        <v>1113.4989636363634</v>
      </c>
      <c r="Y105" s="507">
        <f t="shared" si="49"/>
        <v>1224.8488599999998</v>
      </c>
      <c r="Z105" s="507">
        <f t="shared" si="49"/>
        <v>1224.8488599999998</v>
      </c>
      <c r="AA105" s="274">
        <f>'Tariffs Jul2020'!AZ99</f>
        <v>0</v>
      </c>
      <c r="AB105" s="274" t="str">
        <f>'Tariffs Jul2020'!BA99</f>
        <v>n</v>
      </c>
      <c r="AC105" s="275" t="str">
        <f>'Tariffs Jul2020'!BJ99</f>
        <v>N</v>
      </c>
      <c r="AD105" s="511"/>
      <c r="AE105" s="511"/>
      <c r="AF105" s="513"/>
      <c r="AG105" s="546"/>
      <c r="AH105" s="546"/>
      <c r="AI105" s="546"/>
      <c r="AJ105" s="546"/>
      <c r="AK105" s="546"/>
      <c r="AL105" s="546"/>
      <c r="AM105" s="546"/>
      <c r="AN105" s="546"/>
      <c r="AO105" s="546"/>
      <c r="AP105" s="546"/>
      <c r="AQ105" s="546"/>
      <c r="AR105" s="546"/>
      <c r="AS105" s="546"/>
      <c r="AT105" s="546"/>
      <c r="AU105" s="546"/>
      <c r="AV105" s="546"/>
      <c r="AW105" s="546"/>
      <c r="AX105" s="546"/>
      <c r="AY105" s="546"/>
      <c r="AZ105" s="546"/>
    </row>
    <row r="106" spans="1:52" ht="14" x14ac:dyDescent="0.15">
      <c r="A106" s="270" t="str">
        <f>'Tariffs Jul2020'!F100</f>
        <v>Powershop</v>
      </c>
      <c r="B106" s="40" t="str">
        <f>'Tariffs Jul2020'!D100</f>
        <v>AusNet Services West</v>
      </c>
      <c r="C106" s="40" t="str">
        <f>'Tariffs Jul2020'!G100</f>
        <v>Shopper with Gas Saver</v>
      </c>
      <c r="D106" s="59">
        <f>365*'Tariffs Jul2020'!H100/100</f>
        <v>294.18999999999994</v>
      </c>
      <c r="E106" s="59">
        <f>((C$5*'Tariffs Jul2020'!AK100/'Tariffs Jul2020'!AI100)*('Tariffs Jul2020'!O100/100))*'Tariffs Jul2020'!AI100</f>
        <v>376.05329999999998</v>
      </c>
      <c r="F106" s="59">
        <v>0</v>
      </c>
      <c r="G106" s="59">
        <v>0</v>
      </c>
      <c r="H106" s="59">
        <v>0</v>
      </c>
      <c r="I106" s="59">
        <v>0</v>
      </c>
      <c r="J106" s="59">
        <f>((C$5*'Tariffs Jul2020'!AL100/'Tariffs Jul2020'!AJ100)*('Tariffs Jul2020'!U100/100))*'Tariffs Jul2020'!AJ100</f>
        <v>675.75059999999985</v>
      </c>
      <c r="K106" s="59">
        <v>0</v>
      </c>
      <c r="L106" s="59">
        <v>0</v>
      </c>
      <c r="M106" s="59">
        <v>0</v>
      </c>
      <c r="N106" s="59">
        <v>0</v>
      </c>
      <c r="O106" s="59">
        <f t="shared" si="43"/>
        <v>1051.8038999999999</v>
      </c>
      <c r="P106" s="503">
        <f t="shared" si="31"/>
        <v>1156.9842899999999</v>
      </c>
      <c r="Q106" s="59">
        <f t="shared" si="44"/>
        <v>1345.9938999999999</v>
      </c>
      <c r="R106" s="272">
        <f t="shared" si="45"/>
        <v>1480.59329</v>
      </c>
      <c r="S106" s="40">
        <f>'Tariffs Jul2020'!AN100</f>
        <v>0</v>
      </c>
      <c r="T106" s="40">
        <f>'Tariffs Jul2020'!AO100</f>
        <v>0</v>
      </c>
      <c r="U106" s="40">
        <f>'Tariffs Jul2020'!AP100</f>
        <v>5</v>
      </c>
      <c r="V106" s="40">
        <f>'Tariffs Jul2020'!AQ100</f>
        <v>0</v>
      </c>
      <c r="W106" s="284">
        <f>R106</f>
        <v>1480.59329</v>
      </c>
      <c r="X106" s="284">
        <f>W106-(W106*U106/100)</f>
        <v>1406.5636254999999</v>
      </c>
      <c r="Y106" s="507">
        <f>W106</f>
        <v>1480.59329</v>
      </c>
      <c r="Z106" s="507">
        <f>X106</f>
        <v>1406.5636254999999</v>
      </c>
      <c r="AA106" s="274">
        <f>'Tariffs Jul2020'!AZ100</f>
        <v>0</v>
      </c>
      <c r="AB106" s="274" t="str">
        <f>'Tariffs Jul2020'!BA100</f>
        <v>n</v>
      </c>
      <c r="AC106" s="275" t="str">
        <f>'Tariffs Jul2020'!BJ100</f>
        <v>Y</v>
      </c>
      <c r="AD106" s="511"/>
      <c r="AE106" s="511"/>
      <c r="AF106" s="513"/>
      <c r="AG106" s="546"/>
      <c r="AH106" s="546"/>
      <c r="AI106" s="546"/>
      <c r="AJ106" s="546"/>
      <c r="AK106" s="546"/>
      <c r="AL106" s="546"/>
      <c r="AM106" s="546"/>
      <c r="AN106" s="546"/>
      <c r="AO106" s="546"/>
      <c r="AP106" s="546"/>
      <c r="AQ106" s="546"/>
      <c r="AR106" s="546"/>
      <c r="AS106" s="546"/>
      <c r="AT106" s="546"/>
      <c r="AU106" s="546"/>
      <c r="AV106" s="546"/>
      <c r="AW106" s="546"/>
      <c r="AX106" s="546"/>
      <c r="AY106" s="546"/>
      <c r="AZ106" s="546"/>
    </row>
    <row r="107" spans="1:52" ht="14" x14ac:dyDescent="0.15">
      <c r="A107" s="270" t="str">
        <f>'Tariffs Jul2020'!F101</f>
        <v>1st Energy</v>
      </c>
      <c r="B107" s="40" t="str">
        <f>'Tariffs Jul2020'!D101</f>
        <v>AusNet Services West</v>
      </c>
      <c r="C107" s="40" t="str">
        <f>'Tariffs Jul2020'!G101</f>
        <v>1st Saver</v>
      </c>
      <c r="D107" s="59">
        <f>365*'Tariffs Jul2020'!H101/100</f>
        <v>313.89999999999998</v>
      </c>
      <c r="E107" s="59">
        <f>IF($C$5*'Tariffs Jul2020'!AK101/'Tariffs Jul2020'!AI101&gt;='Tariffs Jul2020'!J101,( 'Tariffs Jul2020'!J101*'Tariffs Jul2020'!O101/100)* 'Tariffs Jul2020'!AI101,($C$5*'Tariffs Jul2020'!AK101/'Tariffs Jul2020'!AI101*'Tariffs Jul2020'!O101/100)* 'Tariffs Jul2020'!AI101)</f>
        <v>356.72727272727275</v>
      </c>
      <c r="F107" s="59">
        <f>IF($C$5*'Tariffs Jul2020'!AK101/'Tariffs Jul2020'!AI101&lt;'Tariffs Jul2020'!J101,0,IF($C$5*'Tariffs Jul2020'!AK101/'Tariffs Jul2020'!AI101&lt;='Tariffs Jul2020'!K101,($C$5*'Tariffs Jul2020'!AK101/'Tariffs Jul2020'!AI101-'Tariffs Jul2020'!J101)*('Tariffs Jul2020'!P101/100)*'Tariffs Jul2020'!AI101,('Tariffs Jul2020'!K101-'Tariffs Jul2020'!J101)*('Tariffs Jul2020'!P101/100)*'Tariffs Jul2020'!AI101))</f>
        <v>258.95454545454538</v>
      </c>
      <c r="G107" s="59">
        <f>IF($C$5*'Tariffs Jul2020'!AK101/'Tariffs Jul2020'!AI101&lt;'Tariffs Jul2020'!K101,0,IF($C$5*'Tariffs Jul2020'!AK101/'Tariffs Jul2020'!AI101&lt;='Tariffs Jul2020'!L101,($C$5*'Tariffs Jul2020'!AK101/'Tariffs Jul2020'!AI101-'Tariffs Jul2020'!K101)*('Tariffs Jul2020'!Q101/100)*'Tariffs Jul2020'!AI101,('Tariffs Jul2020'!L101-'Tariffs Jul2020'!K101)*('Tariffs Jul2020'!Q101/100)*'Tariffs Jul2020'!AI101))</f>
        <v>0</v>
      </c>
      <c r="H107" s="59">
        <f>IF($C$5*'Tariffs Jul2020'!AK101/'Tariffs Jul2020'!AI101&lt;'Tariffs Jul2020'!L101,0,IF($C$5*'Tariffs Jul2020'!AK101/'Tariffs Jul2020'!AI101&lt;='Tariffs Jul2020'!M101,($C$5*'Tariffs Jul2020'!AK101/'Tariffs Jul2020'!AI101-'Tariffs Jul2020'!L101)*('Tariffs Jul2020'!R101/100)*'Tariffs Jul2020'!AI101,('Tariffs Jul2020'!M101-'Tariffs Jul2020'!L101)*('Tariffs Jul2020'!R101/100)*'Tariffs Jul2020'!AI101))</f>
        <v>0</v>
      </c>
      <c r="I107" s="59">
        <f>IF(($C$5*'Tariffs Jul2020'!AK101/'Tariffs Jul2020'!AI101&gt;'Tariffs Jul2020'!M101),($C$5*'Tariffs Jul2020'!AK101/'Tariffs Jul2020'!AI101-'Tariffs Jul2020'!M101)*'Tariffs Jul2020'!S101/100*'Tariffs Jul2020'!AI101,0)</f>
        <v>0</v>
      </c>
      <c r="J107" s="59">
        <f>IF($C$5*'Tariffs Jul2020'!AL101/'Tariffs Jul2020'!AJ101&gt;='Tariffs Jul2020'!J101,('Tariffs Jul2020'!J101*'Tariffs Jul2020'!U101/100)* 'Tariffs Jul2020'!AJ101,($C$5*'Tariffs Jul2020'!AL101/'Tariffs Jul2020'!AJ101*'Tariffs Jul2020'!U101/100)* 'Tariffs Jul2020'!AJ101)</f>
        <v>356.72727272727275</v>
      </c>
      <c r="K107" s="59">
        <f>IF($C$5*'Tariffs Jul2020'!AL101/'Tariffs Jul2020'!AJ101&lt;'Tariffs Jul2020'!J101,0,IF($C$5*'Tariffs Jul2020'!AL101/'Tariffs Jul2020'!AJ101&lt;='Tariffs Jul2020'!K101,($C$5*'Tariffs Jul2020'!AL101/'Tariffs Jul2020'!AJ101-'Tariffs Jul2020'!J101)*('Tariffs Jul2020'!V101/100)*'Tariffs Jul2020'!AJ101,('Tariffs Jul2020'!K101-'Tariffs Jul2020'!J101)*('Tariffs Jul2020'!V101/100)*'Tariffs Jul2020'!AJ101))</f>
        <v>258.95454545454538</v>
      </c>
      <c r="L107" s="59">
        <f>IF($C$5*'Tariffs Jul2020'!AL101/'Tariffs Jul2020'!AJ101&lt;'Tariffs Jul2020'!K101,0,IF($C$5*'Tariffs Jul2020'!AL101/'Tariffs Jul2020'!AJ101&lt;='Tariffs Jul2020'!L101,($C$5*'Tariffs Jul2020'!AL101/'Tariffs Jul2020'!AJ101-'Tariffs Jul2020'!K101)*('Tariffs Jul2020'!W101/100)*'Tariffs Jul2020'!AJ101,('Tariffs Jul2020'!L101-'Tariffs Jul2020'!K101)*('Tariffs Jul2020'!W101/100)*'Tariffs Jul2020'!AJ101))</f>
        <v>0</v>
      </c>
      <c r="M107" s="59">
        <f>IF($C$5*'Tariffs Jul2020'!AL101/'Tariffs Jul2020'!AJ101&lt;'Tariffs Jul2020'!L101,0,IF($C$5*'Tariffs Jul2020'!AL101/'Tariffs Jul2020'!AJ101&lt;='Tariffs Jul2020'!M101,($C$5*'Tariffs Jul2020'!AL101/'Tariffs Jul2020'!AJ101-'Tariffs Jul2020'!L101)*('Tariffs Jul2020'!X101/100)*'Tariffs Jul2020'!AJ101,('Tariffs Jul2020'!M101-'Tariffs Jul2020'!L101)*('Tariffs Jul2020'!X101/100)*'Tariffs Jul2020'!AJ101))</f>
        <v>0</v>
      </c>
      <c r="N107" s="59">
        <f>IF(($C$5*'Tariffs Jul2020'!AL101/'Tariffs Jul2020'!AJ101&gt;'Tariffs Jul2020'!M101),($C$5*'Tariffs Jul2020'!AL101/'Tariffs Jul2020'!AJ101-'Tariffs Jul2020'!M101)*'Tariffs Jul2020'!Y101/100*'Tariffs Jul2020'!AJ101,0)</f>
        <v>0</v>
      </c>
      <c r="O107" s="59">
        <f t="shared" si="43"/>
        <v>1231.3636363636363</v>
      </c>
      <c r="P107" s="503">
        <f t="shared" si="31"/>
        <v>1354.5</v>
      </c>
      <c r="Q107" s="59">
        <f t="shared" si="44"/>
        <v>1545.2636363636361</v>
      </c>
      <c r="R107" s="272">
        <f t="shared" si="45"/>
        <v>1699.79</v>
      </c>
      <c r="S107" s="40">
        <f>'Tariffs Jul2020'!AN101</f>
        <v>0</v>
      </c>
      <c r="T107" s="40">
        <f>'Tariffs Jul2020'!AO101</f>
        <v>0</v>
      </c>
      <c r="U107" s="40">
        <f>'Tariffs Jul2020'!AP101</f>
        <v>0</v>
      </c>
      <c r="V107" s="40">
        <f>'Tariffs Jul2020'!AQ101</f>
        <v>15</v>
      </c>
      <c r="W107" s="284">
        <f>Q107</f>
        <v>1545.2636363636361</v>
      </c>
      <c r="X107" s="284">
        <f>W107-(O107*V107/100)</f>
        <v>1360.5590909090906</v>
      </c>
      <c r="Y107" s="507">
        <f t="shared" ref="Y107:Z108" si="51">W107*1.1</f>
        <v>1699.79</v>
      </c>
      <c r="Z107" s="507">
        <f t="shared" si="51"/>
        <v>1496.6149999999998</v>
      </c>
      <c r="AA107" s="274">
        <f>'Tariffs Jul2020'!AZ101</f>
        <v>0</v>
      </c>
      <c r="AB107" s="274" t="str">
        <f>'Tariffs Jul2020'!BA101</f>
        <v>n</v>
      </c>
      <c r="AC107" s="275" t="str">
        <f>'Tariffs Jul2020'!BJ101</f>
        <v>Y</v>
      </c>
      <c r="AD107" s="511"/>
      <c r="AE107" s="511"/>
      <c r="AF107" s="513"/>
      <c r="AG107" s="546"/>
      <c r="AH107" s="546"/>
      <c r="AI107" s="546"/>
      <c r="AJ107" s="546"/>
      <c r="AK107" s="546"/>
      <c r="AL107" s="546"/>
      <c r="AM107" s="546"/>
      <c r="AN107" s="546"/>
      <c r="AO107" s="546"/>
      <c r="AP107" s="546"/>
      <c r="AQ107" s="546"/>
      <c r="AR107" s="546"/>
      <c r="AS107" s="546"/>
      <c r="AT107" s="546"/>
      <c r="AU107" s="546"/>
      <c r="AV107" s="546"/>
      <c r="AW107" s="546"/>
      <c r="AX107" s="546"/>
      <c r="AY107" s="546"/>
      <c r="AZ107" s="546"/>
    </row>
    <row r="108" spans="1:52" ht="15" thickBot="1" x14ac:dyDescent="0.2">
      <c r="A108" s="276" t="str">
        <f>'Tariffs Jul2020'!F102</f>
        <v>Kogan Energy</v>
      </c>
      <c r="B108" s="277" t="str">
        <f>'Tariffs Jul2020'!D102</f>
        <v>AusNet Services West</v>
      </c>
      <c r="C108" s="277" t="str">
        <f>'Tariffs Jul2020'!G102</f>
        <v>Market offer</v>
      </c>
      <c r="D108" s="278">
        <f>365*'Tariffs Jul2020'!H102/100</f>
        <v>281.68045454545455</v>
      </c>
      <c r="E108" s="278">
        <f>((C$5*'Tariffs Jul2020'!AK102/'Tariffs Jul2020'!AI102)*('Tariffs Jul2020'!O102/100))*'Tariffs Jul2020'!AI102</f>
        <v>356.96429999999998</v>
      </c>
      <c r="F108" s="278">
        <v>0</v>
      </c>
      <c r="G108" s="278">
        <v>0</v>
      </c>
      <c r="H108" s="278">
        <v>0</v>
      </c>
      <c r="I108" s="278">
        <v>0</v>
      </c>
      <c r="J108" s="278">
        <f>((C$5*'Tariffs Jul2020'!AL102/'Tariffs Jul2020'!AJ102)*('Tariffs Jul2020'!U102/100))*'Tariffs Jul2020'!AJ102</f>
        <v>668.1149999999999</v>
      </c>
      <c r="K108" s="278">
        <v>0</v>
      </c>
      <c r="L108" s="278">
        <v>0</v>
      </c>
      <c r="M108" s="278">
        <v>0</v>
      </c>
      <c r="N108" s="278">
        <v>0</v>
      </c>
      <c r="O108" s="278">
        <f t="shared" si="43"/>
        <v>1025.0792999999999</v>
      </c>
      <c r="P108" s="504">
        <f t="shared" si="31"/>
        <v>1127.5872299999999</v>
      </c>
      <c r="Q108" s="278">
        <f t="shared" si="44"/>
        <v>1306.7597545454544</v>
      </c>
      <c r="R108" s="280">
        <f t="shared" si="45"/>
        <v>1437.4357299999999</v>
      </c>
      <c r="S108" s="277">
        <f>'Tariffs Jul2020'!AN102</f>
        <v>0</v>
      </c>
      <c r="T108" s="277">
        <f>'Tariffs Jul2020'!AO102</f>
        <v>0</v>
      </c>
      <c r="U108" s="277">
        <f>'Tariffs Jul2020'!AP102</f>
        <v>0</v>
      </c>
      <c r="V108" s="277">
        <f>'Tariffs Jul2020'!AQ102</f>
        <v>0</v>
      </c>
      <c r="W108" s="285">
        <f t="shared" ref="W108" si="52">Q108</f>
        <v>1306.7597545454544</v>
      </c>
      <c r="X108" s="285">
        <f t="shared" ref="X108:X119" si="53">W108</f>
        <v>1306.7597545454544</v>
      </c>
      <c r="Y108" s="508">
        <f t="shared" si="51"/>
        <v>1437.4357299999999</v>
      </c>
      <c r="Z108" s="508">
        <f t="shared" si="51"/>
        <v>1437.4357299999999</v>
      </c>
      <c r="AA108" s="282">
        <f>'Tariffs Jul2020'!AZ102</f>
        <v>0</v>
      </c>
      <c r="AB108" s="282" t="str">
        <f>'Tariffs Jul2020'!BA102</f>
        <v>n</v>
      </c>
      <c r="AC108" s="283" t="str">
        <f>'Tariffs Jul2020'!BJ102</f>
        <v>N</v>
      </c>
      <c r="AD108" s="511"/>
      <c r="AE108" s="511"/>
      <c r="AF108" s="513"/>
      <c r="AG108" s="546"/>
      <c r="AH108" s="546"/>
      <c r="AI108" s="546"/>
      <c r="AJ108" s="546"/>
      <c r="AK108" s="546"/>
      <c r="AL108" s="546"/>
      <c r="AM108" s="546"/>
      <c r="AN108" s="546"/>
      <c r="AO108" s="546"/>
      <c r="AP108" s="546"/>
      <c r="AQ108" s="546"/>
      <c r="AR108" s="546"/>
      <c r="AS108" s="546"/>
      <c r="AT108" s="546"/>
      <c r="AU108" s="546"/>
      <c r="AV108" s="546"/>
      <c r="AW108" s="546"/>
      <c r="AX108" s="546"/>
      <c r="AY108" s="546"/>
      <c r="AZ108" s="546"/>
    </row>
    <row r="109" spans="1:52" ht="15" thickTop="1" x14ac:dyDescent="0.15">
      <c r="A109" s="270" t="str">
        <f>'Tariffs Jul2020'!F103</f>
        <v>AGL</v>
      </c>
      <c r="B109" s="40" t="str">
        <f>'Tariffs Jul2020'!D103</f>
        <v>AusNet Services Central 2</v>
      </c>
      <c r="C109" s="40" t="str">
        <f>'Tariffs Jul2020'!G103</f>
        <v>Essentials Saver</v>
      </c>
      <c r="D109" s="59">
        <f>365*'Tariffs Jul2020'!H103/100</f>
        <v>315.45954545454538</v>
      </c>
      <c r="E109" s="59">
        <f>IF($C$5*'Tariffs Jul2020'!AK103/'Tariffs Jul2020'!AI103&gt;='Tariffs Jul2020'!J103,( 'Tariffs Jul2020'!J103*'Tariffs Jul2020'!O103/100)* 'Tariffs Jul2020'!AI103,($C$5*'Tariffs Jul2020'!AK103/'Tariffs Jul2020'!AI103*'Tariffs Jul2020'!O103/100)* 'Tariffs Jul2020'!AI103)</f>
        <v>222.54545454545453</v>
      </c>
      <c r="F109" s="59">
        <f>IF($C$5*'Tariffs Jul2020'!AK103/'Tariffs Jul2020'!AI103&lt;'Tariffs Jul2020'!J103,0,IF($C$5*'Tariffs Jul2020'!AK103/'Tariffs Jul2020'!AI103&lt;='Tariffs Jul2020'!K103,($C$5*'Tariffs Jul2020'!AK103/'Tariffs Jul2020'!AI103-'Tariffs Jul2020'!J103)*('Tariffs Jul2020'!P103/100)*'Tariffs Jul2020'!AI103,('Tariffs Jul2020'!K103-'Tariffs Jul2020'!J103)*('Tariffs Jul2020'!P103/100)*'Tariffs Jul2020'!AI103))</f>
        <v>162.78019090909083</v>
      </c>
      <c r="G109" s="59">
        <f>IF($C$5*'Tariffs Jul2020'!AK103/'Tariffs Jul2020'!AI103&lt;'Tariffs Jul2020'!K103,0,IF($C$5*'Tariffs Jul2020'!AK103/'Tariffs Jul2020'!AI103&lt;='Tariffs Jul2020'!L103,($C$5*'Tariffs Jul2020'!AK103/'Tariffs Jul2020'!AI103-'Tariffs Jul2020'!K103)*('Tariffs Jul2020'!Q103/100)*'Tariffs Jul2020'!AI103,('Tariffs Jul2020'!L103-'Tariffs Jul2020'!K103)*('Tariffs Jul2020'!Q103/100)*'Tariffs Jul2020'!AI103))</f>
        <v>0</v>
      </c>
      <c r="H109" s="59">
        <f>IF($C$5*'Tariffs Jul2020'!AK103/'Tariffs Jul2020'!AI103&lt;'Tariffs Jul2020'!L103,0,IF($C$5*'Tariffs Jul2020'!AK103/'Tariffs Jul2020'!AI103&lt;='Tariffs Jul2020'!M103,($C$5*'Tariffs Jul2020'!AK103/'Tariffs Jul2020'!AI103-'Tariffs Jul2020'!L103)*('Tariffs Jul2020'!R103/100)*'Tariffs Jul2020'!AI103,('Tariffs Jul2020'!M103-'Tariffs Jul2020'!L103)*('Tariffs Jul2020'!R103/100)*'Tariffs Jul2020'!AI103))</f>
        <v>0</v>
      </c>
      <c r="I109" s="59">
        <f>IF(($C$5*'Tariffs Jul2020'!AK103/'Tariffs Jul2020'!AI103&gt;'Tariffs Jul2020'!M103),($C$5*'Tariffs Jul2020'!AK103/'Tariffs Jul2020'!AI103-'Tariffs Jul2020'!M103)*'Tariffs Jul2020'!S103/100*'Tariffs Jul2020'!AI103,0)</f>
        <v>0</v>
      </c>
      <c r="J109" s="59">
        <f>IF($C$5*'Tariffs Jul2020'!AL103/'Tariffs Jul2020'!AJ103&gt;='Tariffs Jul2020'!J103,('Tariffs Jul2020'!J103*'Tariffs Jul2020'!U103/100)* 'Tariffs Jul2020'!AJ103,($C$5*'Tariffs Jul2020'!AL103/'Tariffs Jul2020'!AJ103*'Tariffs Jul2020'!U103/100)* 'Tariffs Jul2020'!AJ103)</f>
        <v>384</v>
      </c>
      <c r="K109" s="59">
        <f>IF($C$5*'Tariffs Jul2020'!AL103/'Tariffs Jul2020'!AJ103&lt;'Tariffs Jul2020'!J103,0,IF($C$5*'Tariffs Jul2020'!AL103/'Tariffs Jul2020'!AJ103&lt;='Tariffs Jul2020'!K103,($C$5*'Tariffs Jul2020'!AL103/'Tariffs Jul2020'!AJ103-'Tariffs Jul2020'!J103)*('Tariffs Jul2020'!V103/100)*'Tariffs Jul2020'!AJ103,('Tariffs Jul2020'!K103-'Tariffs Jul2020'!J103)*('Tariffs Jul2020'!V103/100)*'Tariffs Jul2020'!AJ103))</f>
        <v>256.84914545454535</v>
      </c>
      <c r="L109" s="59">
        <f>IF($C$5*'Tariffs Jul2020'!AL103/'Tariffs Jul2020'!AJ103&lt;'Tariffs Jul2020'!K103,0,IF($C$5*'Tariffs Jul2020'!AL103/'Tariffs Jul2020'!AJ103&lt;='Tariffs Jul2020'!L103,($C$5*'Tariffs Jul2020'!AL103/'Tariffs Jul2020'!AJ103-'Tariffs Jul2020'!K103)*('Tariffs Jul2020'!W103/100)*'Tariffs Jul2020'!AJ103,('Tariffs Jul2020'!L103-'Tariffs Jul2020'!K103)*('Tariffs Jul2020'!W103/100)*'Tariffs Jul2020'!AJ103))</f>
        <v>0</v>
      </c>
      <c r="M109" s="59">
        <f>IF($C$5*'Tariffs Jul2020'!AL103/'Tariffs Jul2020'!AJ103&lt;'Tariffs Jul2020'!L103,0,IF($C$5*'Tariffs Jul2020'!AL103/'Tariffs Jul2020'!AJ103&lt;='Tariffs Jul2020'!M103,($C$5*'Tariffs Jul2020'!AL103/'Tariffs Jul2020'!AJ103-'Tariffs Jul2020'!L103)*('Tariffs Jul2020'!X103/100)*'Tariffs Jul2020'!AJ103,('Tariffs Jul2020'!M103-'Tariffs Jul2020'!L103)*('Tariffs Jul2020'!X103/100)*'Tariffs Jul2020'!AJ103))</f>
        <v>0</v>
      </c>
      <c r="N109" s="59">
        <f>IF(($C$5*'Tariffs Jul2020'!AL103/'Tariffs Jul2020'!AJ103&gt;'Tariffs Jul2020'!M103),($C$5*'Tariffs Jul2020'!AL103/'Tariffs Jul2020'!AJ103-'Tariffs Jul2020'!M103)*'Tariffs Jul2020'!Y103/100*'Tariffs Jul2020'!AJ103,0)</f>
        <v>0</v>
      </c>
      <c r="O109" s="59">
        <f t="shared" si="43"/>
        <v>1026.1747909090907</v>
      </c>
      <c r="P109" s="503">
        <f t="shared" si="31"/>
        <v>1128.7922699999999</v>
      </c>
      <c r="Q109" s="59">
        <f t="shared" si="44"/>
        <v>1341.6343363636361</v>
      </c>
      <c r="R109" s="272">
        <f t="shared" si="45"/>
        <v>1475.7977699999999</v>
      </c>
      <c r="S109" s="40">
        <f>'Tariffs Jul2020'!AN103</f>
        <v>0</v>
      </c>
      <c r="T109" s="40">
        <f>'Tariffs Jul2020'!AO103</f>
        <v>0</v>
      </c>
      <c r="U109" s="40">
        <f>'Tariffs Jul2020'!AP103</f>
        <v>0</v>
      </c>
      <c r="V109" s="40">
        <f>'Tariffs Jul2020'!AQ103</f>
        <v>0</v>
      </c>
      <c r="W109" s="284">
        <f>Q109</f>
        <v>1341.6343363636361</v>
      </c>
      <c r="X109" s="284">
        <f t="shared" si="53"/>
        <v>1341.6343363636361</v>
      </c>
      <c r="Y109" s="507">
        <f>W109*1.1</f>
        <v>1475.7977699999999</v>
      </c>
      <c r="Z109" s="507">
        <f>X109*1.1</f>
        <v>1475.7977699999999</v>
      </c>
      <c r="AA109" s="274">
        <f>'Tariffs Jul2020'!AZ103</f>
        <v>0</v>
      </c>
      <c r="AB109" s="274" t="str">
        <f>'Tariffs Jul2020'!BA103</f>
        <v>n</v>
      </c>
      <c r="AC109" s="275" t="str">
        <f>'Tariffs Jul2020'!BJ103</f>
        <v>N</v>
      </c>
      <c r="AD109" s="511"/>
      <c r="AE109" s="511"/>
      <c r="AF109" s="513"/>
      <c r="AG109" s="546"/>
      <c r="AH109" s="546"/>
      <c r="AI109" s="546"/>
      <c r="AJ109" s="546"/>
      <c r="AK109" s="546"/>
      <c r="AL109" s="546"/>
      <c r="AM109" s="546"/>
      <c r="AN109" s="546"/>
      <c r="AO109" s="546"/>
      <c r="AP109" s="546"/>
      <c r="AQ109" s="546"/>
      <c r="AR109" s="546"/>
      <c r="AS109" s="546"/>
      <c r="AT109" s="546"/>
      <c r="AU109" s="546"/>
      <c r="AV109" s="546"/>
      <c r="AW109" s="546"/>
      <c r="AX109" s="546"/>
      <c r="AY109" s="546"/>
      <c r="AZ109" s="546"/>
    </row>
    <row r="110" spans="1:52" ht="14" x14ac:dyDescent="0.15">
      <c r="A110" s="270" t="str">
        <f>'Tariffs Jul2020'!F104</f>
        <v>Alinta Energy</v>
      </c>
      <c r="B110" s="40" t="str">
        <f>'Tariffs Jul2020'!D104</f>
        <v>AusNet Services Central 2</v>
      </c>
      <c r="C110" s="40" t="str">
        <f>'Tariffs Jul2020'!G104</f>
        <v>Home Deal</v>
      </c>
      <c r="D110" s="59">
        <f>365*'Tariffs Jul2020'!H104/100</f>
        <v>266.45</v>
      </c>
      <c r="E110" s="59">
        <f>IF($C$5*'Tariffs Jul2020'!AK104/'Tariffs Jul2020'!AI104&gt;='Tariffs Jul2020'!J104,( 'Tariffs Jul2020'!J104*'Tariffs Jul2020'!O104/100)* 'Tariffs Jul2020'!AI104,($C$5*'Tariffs Jul2020'!AK104/'Tariffs Jul2020'!AI104*'Tariffs Jul2020'!O104/100)* 'Tariffs Jul2020'!AI104)</f>
        <v>275.99999999999994</v>
      </c>
      <c r="F110" s="59">
        <f>IF($C$5*'Tariffs Jul2020'!AK104/'Tariffs Jul2020'!AI104&lt;'Tariffs Jul2020'!J104,0,IF($C$5*'Tariffs Jul2020'!AK104/'Tariffs Jul2020'!AI104&lt;='Tariffs Jul2020'!K104,($C$5*'Tariffs Jul2020'!AK104/'Tariffs Jul2020'!AI104-'Tariffs Jul2020'!J104)*('Tariffs Jul2020'!P104/100)*'Tariffs Jul2020'!AI104,('Tariffs Jul2020'!K104-'Tariffs Jul2020'!J104)*('Tariffs Jul2020'!P104/100)*'Tariffs Jul2020'!AI104))</f>
        <v>0</v>
      </c>
      <c r="G110" s="59">
        <f>IF($C$5*'Tariffs Jul2020'!AK104/'Tariffs Jul2020'!AI104&lt;'Tariffs Jul2020'!K104,0,IF($C$5*'Tariffs Jul2020'!AK104/'Tariffs Jul2020'!AI104&lt;='Tariffs Jul2020'!L104,($C$5*'Tariffs Jul2020'!AK104/'Tariffs Jul2020'!AI104-'Tariffs Jul2020'!K104)*('Tariffs Jul2020'!Q104/100)*'Tariffs Jul2020'!AI104,('Tariffs Jul2020'!L104-'Tariffs Jul2020'!K104)*('Tariffs Jul2020'!Q104/100)*'Tariffs Jul2020'!AI104))</f>
        <v>0</v>
      </c>
      <c r="H110" s="59">
        <f>IF($C$5*'Tariffs Jul2020'!AK104/'Tariffs Jul2020'!AI104&lt;'Tariffs Jul2020'!L104,0,IF($C$5*'Tariffs Jul2020'!AK104/'Tariffs Jul2020'!AI104&lt;='Tariffs Jul2020'!M104,($C$5*'Tariffs Jul2020'!AK104/'Tariffs Jul2020'!AI104-'Tariffs Jul2020'!L104)*('Tariffs Jul2020'!R104/100)*'Tariffs Jul2020'!AI104,('Tariffs Jul2020'!M104-'Tariffs Jul2020'!L104)*('Tariffs Jul2020'!R104/100)*'Tariffs Jul2020'!AI104))</f>
        <v>0</v>
      </c>
      <c r="I110" s="59">
        <f>IF(($C$5*'Tariffs Jul2020'!AK104/'Tariffs Jul2020'!AI104&gt;'Tariffs Jul2020'!M104),($C$5*'Tariffs Jul2020'!AK104/'Tariffs Jul2020'!AI104-'Tariffs Jul2020'!M104)*'Tariffs Jul2020'!S104/100*'Tariffs Jul2020'!AI104,0)</f>
        <v>152.96429999999998</v>
      </c>
      <c r="J110" s="59">
        <f>IF($C$5*'Tariffs Jul2020'!AL104/'Tariffs Jul2020'!AJ104&gt;='Tariffs Jul2020'!J104,('Tariffs Jul2020'!J104*'Tariffs Jul2020'!U104/100)* 'Tariffs Jul2020'!AJ104,($C$5*'Tariffs Jul2020'!AL104/'Tariffs Jul2020'!AJ104*'Tariffs Jul2020'!U104/100)* 'Tariffs Jul2020'!AJ104)</f>
        <v>504</v>
      </c>
      <c r="K110" s="59">
        <f>IF($C$5*'Tariffs Jul2020'!AL104/'Tariffs Jul2020'!AJ104&lt;'Tariffs Jul2020'!J104,0,IF($C$5*'Tariffs Jul2020'!AL104/'Tariffs Jul2020'!AJ104&lt;='Tariffs Jul2020'!K104,($C$5*'Tariffs Jul2020'!AL104/'Tariffs Jul2020'!AJ104-'Tariffs Jul2020'!J104)*('Tariffs Jul2020'!V104/100)*'Tariffs Jul2020'!AJ104,('Tariffs Jul2020'!K104-'Tariffs Jul2020'!J104)*('Tariffs Jul2020'!V104/100)*'Tariffs Jul2020'!AJ104))</f>
        <v>0</v>
      </c>
      <c r="L110" s="59">
        <f>IF($C$5*'Tariffs Jul2020'!AL104/'Tariffs Jul2020'!AJ104&lt;'Tariffs Jul2020'!K104,0,IF($C$5*'Tariffs Jul2020'!AL104/'Tariffs Jul2020'!AJ104&lt;='Tariffs Jul2020'!L104,($C$5*'Tariffs Jul2020'!AL104/'Tariffs Jul2020'!AJ104-'Tariffs Jul2020'!K104)*('Tariffs Jul2020'!W104/100)*'Tariffs Jul2020'!AJ104,('Tariffs Jul2020'!L104-'Tariffs Jul2020'!K104)*('Tariffs Jul2020'!W104/100)*'Tariffs Jul2020'!AJ104))</f>
        <v>0</v>
      </c>
      <c r="M110" s="59">
        <f>IF($C$5*'Tariffs Jul2020'!AL104/'Tariffs Jul2020'!AJ104&lt;'Tariffs Jul2020'!L104,0,IF($C$5*'Tariffs Jul2020'!AL104/'Tariffs Jul2020'!AJ104&lt;='Tariffs Jul2020'!M104,($C$5*'Tariffs Jul2020'!AL104/'Tariffs Jul2020'!AJ104-'Tariffs Jul2020'!L104)*('Tariffs Jul2020'!X104/100)*'Tariffs Jul2020'!AJ104,('Tariffs Jul2020'!M104-'Tariffs Jul2020'!L104)*('Tariffs Jul2020'!X104/100)*'Tariffs Jul2020'!AJ104))</f>
        <v>0</v>
      </c>
      <c r="N110" s="59">
        <f>IF(($C$5*'Tariffs Jul2020'!AL104/'Tariffs Jul2020'!AJ104&gt;'Tariffs Jul2020'!M104),($C$5*'Tariffs Jul2020'!AL104/'Tariffs Jul2020'!AJ104-'Tariffs Jul2020'!M104)*'Tariffs Jul2020'!Y104/100*'Tariffs Jul2020'!AJ104,0)</f>
        <v>305.92859999999996</v>
      </c>
      <c r="O110" s="59">
        <f t="shared" si="43"/>
        <v>1238.8928999999998</v>
      </c>
      <c r="P110" s="503">
        <f t="shared" si="31"/>
        <v>1362.7821899999999</v>
      </c>
      <c r="Q110" s="59">
        <f t="shared" si="44"/>
        <v>1505.3428999999999</v>
      </c>
      <c r="R110" s="272">
        <f t="shared" si="45"/>
        <v>1655.8771899999999</v>
      </c>
      <c r="S110" s="40">
        <f>'Tariffs Jul2020'!AN104</f>
        <v>0</v>
      </c>
      <c r="T110" s="40">
        <f>'Tariffs Jul2020'!AO104</f>
        <v>0</v>
      </c>
      <c r="U110" s="40">
        <f>'Tariffs Jul2020'!AP104</f>
        <v>0</v>
      </c>
      <c r="V110" s="40">
        <f>'Tariffs Jul2020'!AQ104</f>
        <v>0</v>
      </c>
      <c r="W110" s="284">
        <f>Q110</f>
        <v>1505.3428999999999</v>
      </c>
      <c r="X110" s="284">
        <f t="shared" si="53"/>
        <v>1505.3428999999999</v>
      </c>
      <c r="Y110" s="507">
        <f>W110*1.1</f>
        <v>1655.8771899999999</v>
      </c>
      <c r="Z110" s="507">
        <f t="shared" ref="Z110:Z116" si="54">X110*1.1</f>
        <v>1655.8771899999999</v>
      </c>
      <c r="AA110" s="274">
        <f>'Tariffs Jul2020'!AZ104</f>
        <v>0</v>
      </c>
      <c r="AB110" s="274" t="str">
        <f>'Tariffs Jul2020'!BA104</f>
        <v>n</v>
      </c>
      <c r="AC110" s="275" t="str">
        <f>'Tariffs Jul2020'!BJ104</f>
        <v>N</v>
      </c>
      <c r="AD110" s="511"/>
      <c r="AE110" s="511"/>
      <c r="AF110" s="513"/>
      <c r="AG110" s="546"/>
      <c r="AH110" s="546"/>
      <c r="AI110" s="546"/>
      <c r="AJ110" s="546"/>
      <c r="AK110" s="546"/>
      <c r="AL110" s="546"/>
      <c r="AM110" s="546"/>
      <c r="AN110" s="546"/>
      <c r="AO110" s="546"/>
      <c r="AP110" s="546"/>
      <c r="AQ110" s="546"/>
      <c r="AR110" s="546"/>
      <c r="AS110" s="546"/>
      <c r="AT110" s="546"/>
      <c r="AU110" s="546"/>
      <c r="AV110" s="546"/>
      <c r="AW110" s="546"/>
      <c r="AX110" s="546"/>
      <c r="AY110" s="546"/>
      <c r="AZ110" s="546"/>
    </row>
    <row r="111" spans="1:52" ht="14" x14ac:dyDescent="0.15">
      <c r="A111" s="270" t="str">
        <f>'Tariffs Jul2020'!F105</f>
        <v>Click Energy</v>
      </c>
      <c r="B111" s="40" t="str">
        <f>'Tariffs Jul2020'!D105</f>
        <v>AusNet Services Central 2</v>
      </c>
      <c r="C111" s="40" t="str">
        <f>'Tariffs Jul2020'!G105</f>
        <v>Flora</v>
      </c>
      <c r="D111" s="59">
        <f>365*'Tariffs Jul2020'!H105/100</f>
        <v>226.13409090909093</v>
      </c>
      <c r="E111" s="59">
        <f>IF($C$5*'Tariffs Jul2020'!AK105/'Tariffs Jul2020'!AI105&gt;='Tariffs Jul2020'!J105,( 'Tariffs Jul2020'!J105*'Tariffs Jul2020'!O105/100)* 'Tariffs Jul2020'!AI105,($C$5*'Tariffs Jul2020'!AK105/'Tariffs Jul2020'!AI105*'Tariffs Jul2020'!O105/100)* 'Tariffs Jul2020'!AI105)</f>
        <v>272.72727272727269</v>
      </c>
      <c r="F111" s="59">
        <f>IF($C$5*'Tariffs Jul2020'!AK105/'Tariffs Jul2020'!AI105&lt;'Tariffs Jul2020'!J105,0,IF($C$5*'Tariffs Jul2020'!AK105/'Tariffs Jul2020'!AI105&lt;='Tariffs Jul2020'!K105,($C$5*'Tariffs Jul2020'!AK105/'Tariffs Jul2020'!AI105-'Tariffs Jul2020'!J105)*('Tariffs Jul2020'!P105/100)*'Tariffs Jul2020'!AI105,('Tariffs Jul2020'!K105-'Tariffs Jul2020'!J105)*('Tariffs Jul2020'!P105/100)*'Tariffs Jul2020'!AI105))</f>
        <v>175.86804545454538</v>
      </c>
      <c r="G111" s="59">
        <f>IF($C$5*'Tariffs Jul2020'!AK105/'Tariffs Jul2020'!AI105&lt;'Tariffs Jul2020'!K105,0,IF($C$5*'Tariffs Jul2020'!AK105/'Tariffs Jul2020'!AI105&lt;='Tariffs Jul2020'!L105,($C$5*'Tariffs Jul2020'!AK105/'Tariffs Jul2020'!AI105-'Tariffs Jul2020'!K105)*('Tariffs Jul2020'!Q105/100)*'Tariffs Jul2020'!AI105,('Tariffs Jul2020'!L105-'Tariffs Jul2020'!K105)*('Tariffs Jul2020'!Q105/100)*'Tariffs Jul2020'!AI105))</f>
        <v>0</v>
      </c>
      <c r="H111" s="59">
        <f>IF($C$5*'Tariffs Jul2020'!AK105/'Tariffs Jul2020'!AI105&lt;'Tariffs Jul2020'!L105,0,IF($C$5*'Tariffs Jul2020'!AK105/'Tariffs Jul2020'!AI105&lt;='Tariffs Jul2020'!M105,($C$5*'Tariffs Jul2020'!AK105/'Tariffs Jul2020'!AI105-'Tariffs Jul2020'!L105)*('Tariffs Jul2020'!R105/100)*'Tariffs Jul2020'!AI105,('Tariffs Jul2020'!M105-'Tariffs Jul2020'!L105)*('Tariffs Jul2020'!R105/100)*'Tariffs Jul2020'!AI105))</f>
        <v>0</v>
      </c>
      <c r="I111" s="59">
        <f>IF(($C$5*'Tariffs Jul2020'!AK105/'Tariffs Jul2020'!AI105&gt;'Tariffs Jul2020'!M105),($C$5*'Tariffs Jul2020'!AK105/'Tariffs Jul2020'!AI105-'Tariffs Jul2020'!M105)*'Tariffs Jul2020'!S105/100*'Tariffs Jul2020'!AI105,0)</f>
        <v>0</v>
      </c>
      <c r="J111" s="59">
        <f>IF($C$5*'Tariffs Jul2020'!AL105/'Tariffs Jul2020'!AJ105&gt;='Tariffs Jul2020'!J105,('Tariffs Jul2020'!J105*'Tariffs Jul2020'!U105/100)* 'Tariffs Jul2020'!AJ105,($C$5*'Tariffs Jul2020'!AL105/'Tariffs Jul2020'!AJ105*'Tariffs Jul2020'!U105/100)* 'Tariffs Jul2020'!AJ105)</f>
        <v>384</v>
      </c>
      <c r="K111" s="59">
        <f>IF($C$5*'Tariffs Jul2020'!AL105/'Tariffs Jul2020'!AJ105&lt;'Tariffs Jul2020'!J105,0,IF($C$5*'Tariffs Jul2020'!AL105/'Tariffs Jul2020'!AJ105&lt;='Tariffs Jul2020'!K105,($C$5*'Tariffs Jul2020'!AL105/'Tariffs Jul2020'!AJ105-'Tariffs Jul2020'!J105)*('Tariffs Jul2020'!V105/100)*'Tariffs Jul2020'!AJ105,('Tariffs Jul2020'!K105-'Tariffs Jul2020'!J105)*('Tariffs Jul2020'!V105/100)*'Tariffs Jul2020'!AJ105))</f>
        <v>281.38887272727266</v>
      </c>
      <c r="L111" s="59">
        <f>IF($C$5*'Tariffs Jul2020'!AL105/'Tariffs Jul2020'!AJ105&lt;'Tariffs Jul2020'!K105,0,IF($C$5*'Tariffs Jul2020'!AL105/'Tariffs Jul2020'!AJ105&lt;='Tariffs Jul2020'!L105,($C$5*'Tariffs Jul2020'!AL105/'Tariffs Jul2020'!AJ105-'Tariffs Jul2020'!K105)*('Tariffs Jul2020'!W105/100)*'Tariffs Jul2020'!AJ105,('Tariffs Jul2020'!L105-'Tariffs Jul2020'!K105)*('Tariffs Jul2020'!W105/100)*'Tariffs Jul2020'!AJ105))</f>
        <v>0</v>
      </c>
      <c r="M111" s="59">
        <f>IF($C$5*'Tariffs Jul2020'!AL105/'Tariffs Jul2020'!AJ105&lt;'Tariffs Jul2020'!L105,0,IF($C$5*'Tariffs Jul2020'!AL105/'Tariffs Jul2020'!AJ105&lt;='Tariffs Jul2020'!M105,($C$5*'Tariffs Jul2020'!AL105/'Tariffs Jul2020'!AJ105-'Tariffs Jul2020'!L105)*('Tariffs Jul2020'!X105/100)*'Tariffs Jul2020'!AJ105,('Tariffs Jul2020'!M105-'Tariffs Jul2020'!L105)*('Tariffs Jul2020'!X105/100)*'Tariffs Jul2020'!AJ105))</f>
        <v>0</v>
      </c>
      <c r="N111" s="59">
        <f>IF(($C$5*'Tariffs Jul2020'!AL105/'Tariffs Jul2020'!AJ105&gt;'Tariffs Jul2020'!M105),($C$5*'Tariffs Jul2020'!AL105/'Tariffs Jul2020'!AJ105-'Tariffs Jul2020'!M105)*'Tariffs Jul2020'!Y105/100*'Tariffs Jul2020'!AJ105,0)</f>
        <v>0</v>
      </c>
      <c r="O111" s="59">
        <f t="shared" si="43"/>
        <v>1113.9841909090908</v>
      </c>
      <c r="P111" s="503">
        <f t="shared" si="31"/>
        <v>1225.3826099999999</v>
      </c>
      <c r="Q111" s="59">
        <f t="shared" si="44"/>
        <v>1340.1182818181817</v>
      </c>
      <c r="R111" s="272">
        <f t="shared" si="45"/>
        <v>1474.1301100000001</v>
      </c>
      <c r="S111" s="40">
        <f>'Tariffs Jul2020'!AN105</f>
        <v>0</v>
      </c>
      <c r="T111" s="40">
        <f>'Tariffs Jul2020'!AO105</f>
        <v>0</v>
      </c>
      <c r="U111" s="40">
        <f>'Tariffs Jul2020'!AP105</f>
        <v>0</v>
      </c>
      <c r="V111" s="40">
        <f>'Tariffs Jul2020'!AQ105</f>
        <v>0</v>
      </c>
      <c r="W111" s="284">
        <f>Q111</f>
        <v>1340.1182818181817</v>
      </c>
      <c r="X111" s="284">
        <f t="shared" si="53"/>
        <v>1340.1182818181817</v>
      </c>
      <c r="Y111" s="507">
        <f t="shared" ref="Y111:Y116" si="55">W111*1.1</f>
        <v>1474.1301100000001</v>
      </c>
      <c r="Z111" s="507">
        <f t="shared" si="54"/>
        <v>1474.1301100000001</v>
      </c>
      <c r="AA111" s="274">
        <f>'Tariffs Jul2020'!AZ105</f>
        <v>0</v>
      </c>
      <c r="AB111" s="274" t="str">
        <f>'Tariffs Jul2020'!BA105</f>
        <v>n</v>
      </c>
      <c r="AC111" s="275" t="str">
        <f>'Tariffs Jul2020'!BJ105</f>
        <v>N</v>
      </c>
      <c r="AD111" s="511"/>
      <c r="AE111" s="511"/>
      <c r="AF111" s="513"/>
      <c r="AG111" s="546"/>
      <c r="AH111" s="546"/>
      <c r="AI111" s="546"/>
      <c r="AJ111" s="546"/>
      <c r="AK111" s="546"/>
      <c r="AL111" s="546"/>
      <c r="AM111" s="546"/>
      <c r="AN111" s="546"/>
      <c r="AO111" s="546"/>
      <c r="AP111" s="546"/>
      <c r="AQ111" s="546"/>
      <c r="AR111" s="546"/>
      <c r="AS111" s="546"/>
      <c r="AT111" s="546"/>
      <c r="AU111" s="546"/>
      <c r="AV111" s="546"/>
      <c r="AW111" s="546"/>
      <c r="AX111" s="546"/>
      <c r="AY111" s="546"/>
      <c r="AZ111" s="546"/>
    </row>
    <row r="112" spans="1:52" ht="14" x14ac:dyDescent="0.15">
      <c r="A112" s="270" t="str">
        <f>'Tariffs Jul2020'!F106</f>
        <v>Covau</v>
      </c>
      <c r="B112" s="40" t="str">
        <f>'Tariffs Jul2020'!D106</f>
        <v>AusNet Services Central 2</v>
      </c>
      <c r="C112" s="40" t="str">
        <f>'Tariffs Jul2020'!G106</f>
        <v>Smart Saver</v>
      </c>
      <c r="D112" s="59">
        <f>365*'Tariffs Jul2020'!H106/100</f>
        <v>310.25</v>
      </c>
      <c r="E112" s="59">
        <f>IF($C$5*'Tariffs Jul2020'!AK106/'Tariffs Jul2020'!AI106&gt;='Tariffs Jul2020'!J106,( 'Tariffs Jul2020'!J106*'Tariffs Jul2020'!O106/100)* 'Tariffs Jul2020'!AI106,($C$5*'Tariffs Jul2020'!AK106/'Tariffs Jul2020'!AI106*'Tariffs Jul2020'!O106/100)* 'Tariffs Jul2020'!AI106)</f>
        <v>344.72727272727275</v>
      </c>
      <c r="F112" s="59">
        <f>IF($C$5*'Tariffs Jul2020'!AK106/'Tariffs Jul2020'!AI106&lt;'Tariffs Jul2020'!J106,0,IF($C$5*'Tariffs Jul2020'!AK106/'Tariffs Jul2020'!AI106&lt;='Tariffs Jul2020'!K106,($C$5*'Tariffs Jul2020'!AK106/'Tariffs Jul2020'!AI106-'Tariffs Jul2020'!J106)*('Tariffs Jul2020'!P106/100)*'Tariffs Jul2020'!AI106,('Tariffs Jul2020'!K106-'Tariffs Jul2020'!J106)*('Tariffs Jul2020'!P106/100)*'Tariffs Jul2020'!AI106))</f>
        <v>229.85544545454536</v>
      </c>
      <c r="G112" s="59">
        <f>IF($C$5*'Tariffs Jul2020'!AK106/'Tariffs Jul2020'!AI106&lt;'Tariffs Jul2020'!K106,0,IF($C$5*'Tariffs Jul2020'!AK106/'Tariffs Jul2020'!AI106&lt;='Tariffs Jul2020'!L106,($C$5*'Tariffs Jul2020'!AK106/'Tariffs Jul2020'!AI106-'Tariffs Jul2020'!K106)*('Tariffs Jul2020'!Q106/100)*'Tariffs Jul2020'!AI106,('Tariffs Jul2020'!L106-'Tariffs Jul2020'!K106)*('Tariffs Jul2020'!Q106/100)*'Tariffs Jul2020'!AI106))</f>
        <v>0</v>
      </c>
      <c r="H112" s="59">
        <f>IF($C$5*'Tariffs Jul2020'!AK106/'Tariffs Jul2020'!AI106&lt;'Tariffs Jul2020'!L106,0,IF($C$5*'Tariffs Jul2020'!AK106/'Tariffs Jul2020'!AI106&lt;='Tariffs Jul2020'!M106,($C$5*'Tariffs Jul2020'!AK106/'Tariffs Jul2020'!AI106-'Tariffs Jul2020'!L106)*('Tariffs Jul2020'!R106/100)*'Tariffs Jul2020'!AI106,('Tariffs Jul2020'!M106-'Tariffs Jul2020'!L106)*('Tariffs Jul2020'!R106/100)*'Tariffs Jul2020'!AI106))</f>
        <v>0</v>
      </c>
      <c r="I112" s="59">
        <f>IF(($C$5*'Tariffs Jul2020'!AK106/'Tariffs Jul2020'!AI106&gt;'Tariffs Jul2020'!M106),($C$5*'Tariffs Jul2020'!AK106/'Tariffs Jul2020'!AI106-'Tariffs Jul2020'!M106)*'Tariffs Jul2020'!S106/100*'Tariffs Jul2020'!AI106,0)</f>
        <v>0</v>
      </c>
      <c r="J112" s="59">
        <f>IF($C$5*'Tariffs Jul2020'!AL106/'Tariffs Jul2020'!AJ106&gt;='Tariffs Jul2020'!J106,('Tariffs Jul2020'!J106*'Tariffs Jul2020'!U106/100)* 'Tariffs Jul2020'!AJ106,($C$5*'Tariffs Jul2020'!AL106/'Tariffs Jul2020'!AJ106*'Tariffs Jul2020'!U106/100)* 'Tariffs Jul2020'!AJ106)</f>
        <v>576</v>
      </c>
      <c r="K112" s="59">
        <f>IF($C$5*'Tariffs Jul2020'!AL106/'Tariffs Jul2020'!AJ106&lt;'Tariffs Jul2020'!J106,0,IF($C$5*'Tariffs Jul2020'!AL106/'Tariffs Jul2020'!AJ106&lt;='Tariffs Jul2020'!K106,($C$5*'Tariffs Jul2020'!AL106/'Tariffs Jul2020'!AJ106-'Tariffs Jul2020'!J106)*('Tariffs Jul2020'!V106/100)*'Tariffs Jul2020'!AJ106,('Tariffs Jul2020'!K106-'Tariffs Jul2020'!J106)*('Tariffs Jul2020'!V106/100)*'Tariffs Jul2020'!AJ106))</f>
        <v>395.90759999999989</v>
      </c>
      <c r="L112" s="59">
        <f>IF($C$5*'Tariffs Jul2020'!AL106/'Tariffs Jul2020'!AJ106&lt;'Tariffs Jul2020'!K106,0,IF($C$5*'Tariffs Jul2020'!AL106/'Tariffs Jul2020'!AJ106&lt;='Tariffs Jul2020'!L106,($C$5*'Tariffs Jul2020'!AL106/'Tariffs Jul2020'!AJ106-'Tariffs Jul2020'!K106)*('Tariffs Jul2020'!W106/100)*'Tariffs Jul2020'!AJ106,('Tariffs Jul2020'!L106-'Tariffs Jul2020'!K106)*('Tariffs Jul2020'!W106/100)*'Tariffs Jul2020'!AJ106))</f>
        <v>0</v>
      </c>
      <c r="M112" s="59">
        <f>IF($C$5*'Tariffs Jul2020'!AL106/'Tariffs Jul2020'!AJ106&lt;'Tariffs Jul2020'!L106,0,IF($C$5*'Tariffs Jul2020'!AL106/'Tariffs Jul2020'!AJ106&lt;='Tariffs Jul2020'!M106,($C$5*'Tariffs Jul2020'!AL106/'Tariffs Jul2020'!AJ106-'Tariffs Jul2020'!L106)*('Tariffs Jul2020'!X106/100)*'Tariffs Jul2020'!AJ106,('Tariffs Jul2020'!M106-'Tariffs Jul2020'!L106)*('Tariffs Jul2020'!X106/100)*'Tariffs Jul2020'!AJ106))</f>
        <v>0</v>
      </c>
      <c r="N112" s="59">
        <f>IF(($C$5*'Tariffs Jul2020'!AL106/'Tariffs Jul2020'!AJ106&gt;'Tariffs Jul2020'!M106),($C$5*'Tariffs Jul2020'!AL106/'Tariffs Jul2020'!AJ106-'Tariffs Jul2020'!M106)*'Tariffs Jul2020'!Y106/100*'Tariffs Jul2020'!AJ106,0)</f>
        <v>0</v>
      </c>
      <c r="O112" s="59">
        <f>SUM(E112:N112)</f>
        <v>1546.4903181818181</v>
      </c>
      <c r="P112" s="503">
        <f t="shared" si="31"/>
        <v>1701.1393500000001</v>
      </c>
      <c r="Q112" s="59">
        <f>D112+O112</f>
        <v>1856.7403181818181</v>
      </c>
      <c r="R112" s="272">
        <f>Q112*1.1</f>
        <v>2042.41435</v>
      </c>
      <c r="S112" s="40">
        <f>'Tariffs Jul2020'!AN106</f>
        <v>0</v>
      </c>
      <c r="T112" s="40">
        <f>'Tariffs Jul2020'!AO106</f>
        <v>16</v>
      </c>
      <c r="U112" s="40">
        <f>'Tariffs Jul2020'!AP106</f>
        <v>0</v>
      </c>
      <c r="V112" s="40">
        <f>'Tariffs Jul2020'!AQ106</f>
        <v>0</v>
      </c>
      <c r="W112" s="284">
        <f>Q112-(O112*T112/100)</f>
        <v>1609.3018672727271</v>
      </c>
      <c r="X112" s="284">
        <f t="shared" si="53"/>
        <v>1609.3018672727271</v>
      </c>
      <c r="Y112" s="507">
        <f t="shared" si="55"/>
        <v>1770.2320540000001</v>
      </c>
      <c r="Z112" s="507">
        <f t="shared" si="54"/>
        <v>1770.2320540000001</v>
      </c>
      <c r="AA112" s="274">
        <f>'Tariffs Jul2020'!AZ106</f>
        <v>0</v>
      </c>
      <c r="AB112" s="274" t="str">
        <f>'Tariffs Jul2020'!BA106</f>
        <v>n</v>
      </c>
      <c r="AC112" s="275" t="str">
        <f>'Tariffs Jul2020'!BJ106</f>
        <v>N</v>
      </c>
      <c r="AD112" s="511"/>
      <c r="AE112" s="511"/>
      <c r="AF112" s="513"/>
      <c r="AG112" s="546"/>
      <c r="AH112" s="546"/>
      <c r="AI112" s="546"/>
      <c r="AJ112" s="546"/>
      <c r="AK112" s="546"/>
      <c r="AL112" s="546"/>
      <c r="AM112" s="546"/>
      <c r="AN112" s="546"/>
      <c r="AO112" s="546"/>
      <c r="AP112" s="546"/>
      <c r="AQ112" s="546"/>
      <c r="AR112" s="546"/>
      <c r="AS112" s="546"/>
      <c r="AT112" s="546"/>
      <c r="AU112" s="546"/>
      <c r="AV112" s="546"/>
      <c r="AW112" s="546"/>
      <c r="AX112" s="546"/>
      <c r="AY112" s="546"/>
      <c r="AZ112" s="546"/>
    </row>
    <row r="113" spans="1:52" ht="14" x14ac:dyDescent="0.15">
      <c r="A113" s="270" t="str">
        <f>'Tariffs Jul2020'!F107</f>
        <v>Dodo Power &amp; Gas</v>
      </c>
      <c r="B113" s="40" t="str">
        <f>'Tariffs Jul2020'!D107</f>
        <v>AusNet Services Central 2</v>
      </c>
      <c r="C113" s="40" t="str">
        <f>'Tariffs Jul2020'!G107</f>
        <v>Market offer</v>
      </c>
      <c r="D113" s="59">
        <f>365*'Tariffs Jul2020'!H107/100</f>
        <v>274.67909090909086</v>
      </c>
      <c r="E113" s="59">
        <f>IF($C$5*'Tariffs Jul2020'!AK107/'Tariffs Jul2020'!AI107&gt;='Tariffs Jul2020'!J107,( 'Tariffs Jul2020'!J107*'Tariffs Jul2020'!O107/100)* 'Tariffs Jul2020'!AI107,($C$5*'Tariffs Jul2020'!AK107/'Tariffs Jul2020'!AI107*'Tariffs Jul2020'!O107/100)* 'Tariffs Jul2020'!AI107)</f>
        <v>268.36363636363637</v>
      </c>
      <c r="F113" s="59">
        <f>IF($C$5*'Tariffs Jul2020'!AK107/'Tariffs Jul2020'!AI107&lt;'Tariffs Jul2020'!J107,0,IF($C$5*'Tariffs Jul2020'!AK107/'Tariffs Jul2020'!AI107&lt;='Tariffs Jul2020'!K107,($C$5*'Tariffs Jul2020'!AK107/'Tariffs Jul2020'!AI107-'Tariffs Jul2020'!J107)*('Tariffs Jul2020'!P107/100)*'Tariffs Jul2020'!AI107,('Tariffs Jul2020'!K107-'Tariffs Jul2020'!J107)*('Tariffs Jul2020'!P107/100)*'Tariffs Jul2020'!AI107))</f>
        <v>174.23206363636356</v>
      </c>
      <c r="G113" s="59">
        <f>IF($C$5*'Tariffs Jul2020'!AK107/'Tariffs Jul2020'!AI107&lt;'Tariffs Jul2020'!K107,0,IF($C$5*'Tariffs Jul2020'!AK107/'Tariffs Jul2020'!AI107&lt;='Tariffs Jul2020'!L107,($C$5*'Tariffs Jul2020'!AK107/'Tariffs Jul2020'!AI107-'Tariffs Jul2020'!K107)*('Tariffs Jul2020'!Q107/100)*'Tariffs Jul2020'!AI107,('Tariffs Jul2020'!L107-'Tariffs Jul2020'!K107)*('Tariffs Jul2020'!Q107/100)*'Tariffs Jul2020'!AI107))</f>
        <v>0</v>
      </c>
      <c r="H113" s="59">
        <f>IF($C$5*'Tariffs Jul2020'!AK107/'Tariffs Jul2020'!AI107&lt;'Tariffs Jul2020'!L107,0,IF($C$5*'Tariffs Jul2020'!AK107/'Tariffs Jul2020'!AI107&lt;='Tariffs Jul2020'!M107,($C$5*'Tariffs Jul2020'!AK107/'Tariffs Jul2020'!AI107-'Tariffs Jul2020'!L107)*('Tariffs Jul2020'!R107/100)*'Tariffs Jul2020'!AI107,('Tariffs Jul2020'!M107-'Tariffs Jul2020'!L107)*('Tariffs Jul2020'!R107/100)*'Tariffs Jul2020'!AI107))</f>
        <v>0</v>
      </c>
      <c r="I113" s="59">
        <f>IF(($C$5*'Tariffs Jul2020'!AK107/'Tariffs Jul2020'!AI107&gt;'Tariffs Jul2020'!M107),($C$5*'Tariffs Jul2020'!AK107/'Tariffs Jul2020'!AI107-'Tariffs Jul2020'!M107)*'Tariffs Jul2020'!S107/100*'Tariffs Jul2020'!AI107,0)</f>
        <v>0</v>
      </c>
      <c r="J113" s="59">
        <f>IF($C$5*'Tariffs Jul2020'!AL107/'Tariffs Jul2020'!AJ107&gt;='Tariffs Jul2020'!J107,('Tariffs Jul2020'!J107*'Tariffs Jul2020'!U107/100)* 'Tariffs Jul2020'!AJ107,($C$5*'Tariffs Jul2020'!AL107/'Tariffs Jul2020'!AJ107*'Tariffs Jul2020'!U107/100)* 'Tariffs Jul2020'!AJ107)</f>
        <v>418.90909090909082</v>
      </c>
      <c r="K113" s="59">
        <f>IF($C$5*'Tariffs Jul2020'!AL107/'Tariffs Jul2020'!AJ107&lt;'Tariffs Jul2020'!J107,0,IF($C$5*'Tariffs Jul2020'!AL107/'Tariffs Jul2020'!AJ107&lt;='Tariffs Jul2020'!K107,($C$5*'Tariffs Jul2020'!AL107/'Tariffs Jul2020'!AJ107-'Tariffs Jul2020'!J107)*('Tariffs Jul2020'!V107/100)*'Tariffs Jul2020'!AJ107,('Tariffs Jul2020'!K107-'Tariffs Jul2020'!J107)*('Tariffs Jul2020'!V107/100)*'Tariffs Jul2020'!AJ107))</f>
        <v>304.29261818181811</v>
      </c>
      <c r="L113" s="59">
        <f>IF($C$5*'Tariffs Jul2020'!AL107/'Tariffs Jul2020'!AJ107&lt;'Tariffs Jul2020'!K107,0,IF($C$5*'Tariffs Jul2020'!AL107/'Tariffs Jul2020'!AJ107&lt;='Tariffs Jul2020'!L107,($C$5*'Tariffs Jul2020'!AL107/'Tariffs Jul2020'!AJ107-'Tariffs Jul2020'!K107)*('Tariffs Jul2020'!W107/100)*'Tariffs Jul2020'!AJ107,('Tariffs Jul2020'!L107-'Tariffs Jul2020'!K107)*('Tariffs Jul2020'!W107/100)*'Tariffs Jul2020'!AJ107))</f>
        <v>0</v>
      </c>
      <c r="M113" s="59">
        <f>IF($C$5*'Tariffs Jul2020'!AL107/'Tariffs Jul2020'!AJ107&lt;'Tariffs Jul2020'!L107,0,IF($C$5*'Tariffs Jul2020'!AL107/'Tariffs Jul2020'!AJ107&lt;='Tariffs Jul2020'!M107,($C$5*'Tariffs Jul2020'!AL107/'Tariffs Jul2020'!AJ107-'Tariffs Jul2020'!L107)*('Tariffs Jul2020'!X107/100)*'Tariffs Jul2020'!AJ107,('Tariffs Jul2020'!M107-'Tariffs Jul2020'!L107)*('Tariffs Jul2020'!X107/100)*'Tariffs Jul2020'!AJ107))</f>
        <v>0</v>
      </c>
      <c r="N113" s="59">
        <f>IF(($C$5*'Tariffs Jul2020'!AL107/'Tariffs Jul2020'!AJ107&gt;'Tariffs Jul2020'!M107),($C$5*'Tariffs Jul2020'!AL107/'Tariffs Jul2020'!AJ107-'Tariffs Jul2020'!M107)*'Tariffs Jul2020'!Y107/100*'Tariffs Jul2020'!AJ107,0)</f>
        <v>0</v>
      </c>
      <c r="O113" s="59">
        <f t="shared" si="43"/>
        <v>1165.797409090909</v>
      </c>
      <c r="P113" s="503">
        <f t="shared" si="31"/>
        <v>1282.37715</v>
      </c>
      <c r="Q113" s="59">
        <f t="shared" si="44"/>
        <v>1440.4764999999998</v>
      </c>
      <c r="R113" s="272">
        <f t="shared" si="45"/>
        <v>1584.52415</v>
      </c>
      <c r="S113" s="40">
        <f>'Tariffs Jul2020'!AN107</f>
        <v>0</v>
      </c>
      <c r="T113" s="40">
        <f>'Tariffs Jul2020'!AO107</f>
        <v>0</v>
      </c>
      <c r="U113" s="40">
        <f>'Tariffs Jul2020'!AP107</f>
        <v>0</v>
      </c>
      <c r="V113" s="40">
        <f>'Tariffs Jul2020'!AQ107</f>
        <v>0</v>
      </c>
      <c r="W113" s="284">
        <f>Q113</f>
        <v>1440.4764999999998</v>
      </c>
      <c r="X113" s="284">
        <f t="shared" si="53"/>
        <v>1440.4764999999998</v>
      </c>
      <c r="Y113" s="507">
        <f t="shared" si="55"/>
        <v>1584.52415</v>
      </c>
      <c r="Z113" s="507">
        <f t="shared" si="54"/>
        <v>1584.52415</v>
      </c>
      <c r="AA113" s="274">
        <f>'Tariffs Jul2020'!AZ107</f>
        <v>0</v>
      </c>
      <c r="AB113" s="274" t="str">
        <f>'Tariffs Jul2020'!BA107</f>
        <v>n</v>
      </c>
      <c r="AC113" s="275" t="str">
        <f>'Tariffs Jul2020'!BJ107</f>
        <v>N</v>
      </c>
      <c r="AD113" s="511"/>
      <c r="AE113" s="511"/>
      <c r="AF113" s="513"/>
      <c r="AG113" s="546"/>
      <c r="AH113" s="546"/>
      <c r="AI113" s="546"/>
      <c r="AJ113" s="546"/>
      <c r="AK113" s="546"/>
      <c r="AL113" s="546"/>
      <c r="AM113" s="546"/>
      <c r="AN113" s="546"/>
      <c r="AO113" s="546"/>
      <c r="AP113" s="546"/>
      <c r="AQ113" s="546"/>
      <c r="AR113" s="546"/>
      <c r="AS113" s="546"/>
      <c r="AT113" s="546"/>
      <c r="AU113" s="546"/>
      <c r="AV113" s="546"/>
      <c r="AW113" s="546"/>
      <c r="AX113" s="546"/>
      <c r="AY113" s="546"/>
      <c r="AZ113" s="546"/>
    </row>
    <row r="114" spans="1:52" ht="14" x14ac:dyDescent="0.15">
      <c r="A114" s="270" t="str">
        <f>'Tariffs Jul2020'!F108</f>
        <v>EnergyAustralia</v>
      </c>
      <c r="B114" s="40" t="str">
        <f>'Tariffs Jul2020'!D108</f>
        <v>AusNet Services Central 2</v>
      </c>
      <c r="C114" s="40" t="str">
        <f>'Tariffs Jul2020'!G108</f>
        <v>Total Plan</v>
      </c>
      <c r="D114" s="59">
        <f>365*'Tariffs Jul2020'!H108/100</f>
        <v>349.6699999999999</v>
      </c>
      <c r="E114" s="59">
        <f>IF($C$5*'Tariffs Jul2020'!AK108/'Tariffs Jul2020'!AI108&gt;='Tariffs Jul2020'!J108,( 'Tariffs Jul2020'!J108*'Tariffs Jul2020'!O108/100)* 'Tariffs Jul2020'!AI108,($C$5*'Tariffs Jul2020'!AK108/'Tariffs Jul2020'!AI108*'Tariffs Jul2020'!O108/100)* 'Tariffs Jul2020'!AI108)</f>
        <v>584.12339999999995</v>
      </c>
      <c r="F114" s="59">
        <f>IF($C$5*'Tariffs Jul2020'!AK108/'Tariffs Jul2020'!AI108&lt;'Tariffs Jul2020'!J108,0,IF($C$5*'Tariffs Jul2020'!AK108/'Tariffs Jul2020'!AI108&lt;='Tariffs Jul2020'!K108,($C$5*'Tariffs Jul2020'!AK108/'Tariffs Jul2020'!AI108-'Tariffs Jul2020'!J108)*('Tariffs Jul2020'!P108/100)*'Tariffs Jul2020'!AI108,('Tariffs Jul2020'!K108-'Tariffs Jul2020'!J108)*('Tariffs Jul2020'!P108/100)*'Tariffs Jul2020'!AI108))</f>
        <v>0</v>
      </c>
      <c r="G114" s="59">
        <f>IF($C$5*'Tariffs Jul2020'!AK108/'Tariffs Jul2020'!AI108&lt;'Tariffs Jul2020'!K108,0,IF($C$5*'Tariffs Jul2020'!AK108/'Tariffs Jul2020'!AI108&lt;='Tariffs Jul2020'!L108,($C$5*'Tariffs Jul2020'!AK108/'Tariffs Jul2020'!AI108-'Tariffs Jul2020'!K108)*('Tariffs Jul2020'!Q108/100)*'Tariffs Jul2020'!AI108,('Tariffs Jul2020'!L108-'Tariffs Jul2020'!K108)*('Tariffs Jul2020'!Q108/100)*'Tariffs Jul2020'!AI108))</f>
        <v>0</v>
      </c>
      <c r="H114" s="59">
        <f>IF($C$5*'Tariffs Jul2020'!AK108/'Tariffs Jul2020'!AI108&lt;'Tariffs Jul2020'!L108,0,IF($C$5*'Tariffs Jul2020'!AK108/'Tariffs Jul2020'!AI108&lt;='Tariffs Jul2020'!M108,($C$5*'Tariffs Jul2020'!AK108/'Tariffs Jul2020'!AI108-'Tariffs Jul2020'!L108)*('Tariffs Jul2020'!R108/100)*'Tariffs Jul2020'!AI108,('Tariffs Jul2020'!M108-'Tariffs Jul2020'!L108)*('Tariffs Jul2020'!R108/100)*'Tariffs Jul2020'!AI108))</f>
        <v>0</v>
      </c>
      <c r="I114" s="59">
        <f>IF(($C$5*'Tariffs Jul2020'!AK108/'Tariffs Jul2020'!AI108&gt;'Tariffs Jul2020'!M108),($C$5*'Tariffs Jul2020'!AK108/'Tariffs Jul2020'!AI108-'Tariffs Jul2020'!M108)*'Tariffs Jul2020'!S108/100*'Tariffs Jul2020'!AI108,0)</f>
        <v>0</v>
      </c>
      <c r="J114" s="59">
        <f>((C$5*'Tariffs Jul2020'!AL108/'Tariffs Jul2020'!AJ108)*('Tariffs Jul2020'!U108/100))*'Tariffs Jul2020'!AJ108</f>
        <v>855.18719999999996</v>
      </c>
      <c r="K114" s="59">
        <v>0</v>
      </c>
      <c r="L114" s="59">
        <v>0</v>
      </c>
      <c r="M114" s="59">
        <v>0</v>
      </c>
      <c r="N114" s="59">
        <v>0</v>
      </c>
      <c r="O114" s="59">
        <f t="shared" si="43"/>
        <v>1439.3105999999998</v>
      </c>
      <c r="P114" s="503">
        <f t="shared" si="31"/>
        <v>1583.2416599999999</v>
      </c>
      <c r="Q114" s="59">
        <f t="shared" si="44"/>
        <v>1788.9805999999996</v>
      </c>
      <c r="R114" s="272">
        <f t="shared" si="45"/>
        <v>1967.8786599999999</v>
      </c>
      <c r="S114" s="40">
        <f>'Tariffs Jul2020'!AN108</f>
        <v>23</v>
      </c>
      <c r="T114" s="40">
        <f>'Tariffs Jul2020'!AO108</f>
        <v>0</v>
      </c>
      <c r="U114" s="40">
        <f>'Tariffs Jul2020'!AP108</f>
        <v>0</v>
      </c>
      <c r="V114" s="40">
        <f>'Tariffs Jul2020'!AQ108</f>
        <v>0</v>
      </c>
      <c r="W114" s="284">
        <f>Q114-(Q114*S114/100)</f>
        <v>1377.5150619999997</v>
      </c>
      <c r="X114" s="284">
        <f t="shared" si="53"/>
        <v>1377.5150619999997</v>
      </c>
      <c r="Y114" s="507">
        <f t="shared" si="55"/>
        <v>1515.2665681999997</v>
      </c>
      <c r="Z114" s="507">
        <f t="shared" si="54"/>
        <v>1515.2665681999997</v>
      </c>
      <c r="AA114" s="274">
        <f>'Tariffs Jul2020'!AZ108</f>
        <v>12</v>
      </c>
      <c r="AB114" s="274" t="str">
        <f>'Tariffs Jul2020'!BA108</f>
        <v>n</v>
      </c>
      <c r="AC114" s="275" t="str">
        <f>'Tariffs Jul2020'!BJ108</f>
        <v>N</v>
      </c>
      <c r="AD114" s="511"/>
      <c r="AE114" s="511"/>
      <c r="AF114" s="513"/>
      <c r="AG114" s="546"/>
      <c r="AH114" s="546"/>
      <c r="AI114" s="546"/>
      <c r="AJ114" s="546"/>
      <c r="AK114" s="546"/>
      <c r="AL114" s="546"/>
      <c r="AM114" s="546"/>
      <c r="AN114" s="546"/>
      <c r="AO114" s="546"/>
      <c r="AP114" s="546"/>
      <c r="AQ114" s="546"/>
      <c r="AR114" s="546"/>
      <c r="AS114" s="546"/>
      <c r="AT114" s="546"/>
      <c r="AU114" s="546"/>
      <c r="AV114" s="546"/>
      <c r="AW114" s="546"/>
      <c r="AX114" s="546"/>
      <c r="AY114" s="546"/>
      <c r="AZ114" s="546"/>
    </row>
    <row r="115" spans="1:52" ht="14" x14ac:dyDescent="0.15">
      <c r="A115" s="270" t="str">
        <f>'Tariffs Jul2020'!F109</f>
        <v>Lumo Energy</v>
      </c>
      <c r="B115" s="40" t="str">
        <f>'Tariffs Jul2020'!D109</f>
        <v>AusNet Services Central 2</v>
      </c>
      <c r="C115" s="40" t="str">
        <f>'Tariffs Jul2020'!G109</f>
        <v>Basic</v>
      </c>
      <c r="D115" s="59">
        <f>365*'Tariffs Jul2020'!H109/100</f>
        <v>283.23999999999995</v>
      </c>
      <c r="E115" s="59">
        <f>IF($C$5*'Tariffs Jul2020'!AK109/'Tariffs Jul2020'!AI109&gt;='Tariffs Jul2020'!J109,( 'Tariffs Jul2020'!J109*'Tariffs Jul2020'!O109/100)* 'Tariffs Jul2020'!AI109,($C$5*'Tariffs Jul2020'!AK109/'Tariffs Jul2020'!AI109*'Tariffs Jul2020'!O109/100)* 'Tariffs Jul2020'!AI109)</f>
        <v>249.81818181818181</v>
      </c>
      <c r="F115" s="59">
        <f>IF($C$5*'Tariffs Jul2020'!AK109/'Tariffs Jul2020'!AI109&lt;'Tariffs Jul2020'!J109,0,IF($C$5*'Tariffs Jul2020'!AK109/'Tariffs Jul2020'!AI109&lt;='Tariffs Jul2020'!K109,($C$5*'Tariffs Jul2020'!AK109/'Tariffs Jul2020'!AI109-'Tariffs Jul2020'!J109)*('Tariffs Jul2020'!P109/100)*'Tariffs Jul2020'!AI109,('Tariffs Jul2020'!K109-'Tariffs Jul2020'!J109)*('Tariffs Jul2020'!P109/100)*'Tariffs Jul2020'!AI109))</f>
        <v>170.14210909090906</v>
      </c>
      <c r="G115" s="59">
        <f>IF($C$5*'Tariffs Jul2020'!AK109/'Tariffs Jul2020'!AI109&lt;'Tariffs Jul2020'!K109,0,IF($C$5*'Tariffs Jul2020'!AK109/'Tariffs Jul2020'!AI109&lt;='Tariffs Jul2020'!L109,($C$5*'Tariffs Jul2020'!AK109/'Tariffs Jul2020'!AI109-'Tariffs Jul2020'!K109)*('Tariffs Jul2020'!Q109/100)*'Tariffs Jul2020'!AI109,('Tariffs Jul2020'!L109-'Tariffs Jul2020'!K109)*('Tariffs Jul2020'!Q109/100)*'Tariffs Jul2020'!AI109))</f>
        <v>0</v>
      </c>
      <c r="H115" s="59">
        <f>IF($C$5*'Tariffs Jul2020'!AK109/'Tariffs Jul2020'!AI109&lt;'Tariffs Jul2020'!L109,0,IF($C$5*'Tariffs Jul2020'!AK109/'Tariffs Jul2020'!AI109&lt;='Tariffs Jul2020'!M109,($C$5*'Tariffs Jul2020'!AK109/'Tariffs Jul2020'!AI109-'Tariffs Jul2020'!L109)*('Tariffs Jul2020'!R109/100)*'Tariffs Jul2020'!AI109,('Tariffs Jul2020'!M109-'Tariffs Jul2020'!L109)*('Tariffs Jul2020'!R109/100)*'Tariffs Jul2020'!AI109))</f>
        <v>0</v>
      </c>
      <c r="I115" s="59">
        <f>IF(($C$5*'Tariffs Jul2020'!AK109/'Tariffs Jul2020'!AI109&gt;'Tariffs Jul2020'!M109),($C$5*'Tariffs Jul2020'!AK109/'Tariffs Jul2020'!AI109-'Tariffs Jul2020'!M109)*'Tariffs Jul2020'!S109/100*'Tariffs Jul2020'!AI109,0)</f>
        <v>0</v>
      </c>
      <c r="J115" s="59">
        <f>IF($C$5*'Tariffs Jul2020'!AL109/'Tariffs Jul2020'!AJ109&gt;='Tariffs Jul2020'!J109,('Tariffs Jul2020'!J109*'Tariffs Jul2020'!U109/100)* 'Tariffs Jul2020'!AJ109,($C$5*'Tariffs Jul2020'!AL109/'Tariffs Jul2020'!AJ109*'Tariffs Jul2020'!U109/100)* 'Tariffs Jul2020'!AJ109)</f>
        <v>399.27272727272725</v>
      </c>
      <c r="K115" s="59">
        <f>IF($C$5*'Tariffs Jul2020'!AL109/'Tariffs Jul2020'!AJ109&lt;'Tariffs Jul2020'!J109,0,IF($C$5*'Tariffs Jul2020'!AL109/'Tariffs Jul2020'!AJ109&lt;='Tariffs Jul2020'!K109,($C$5*'Tariffs Jul2020'!AL109/'Tariffs Jul2020'!AJ109-'Tariffs Jul2020'!J109)*('Tariffs Jul2020'!V109/100)*'Tariffs Jul2020'!AJ109,('Tariffs Jul2020'!K109-'Tariffs Jul2020'!J109)*('Tariffs Jul2020'!V109/100)*'Tariffs Jul2020'!AJ109))</f>
        <v>284.66083636363629</v>
      </c>
      <c r="L115" s="59">
        <f>IF($C$5*'Tariffs Jul2020'!AL109/'Tariffs Jul2020'!AJ109&lt;'Tariffs Jul2020'!K109,0,IF($C$5*'Tariffs Jul2020'!AL109/'Tariffs Jul2020'!AJ109&lt;='Tariffs Jul2020'!L109,($C$5*'Tariffs Jul2020'!AL109/'Tariffs Jul2020'!AJ109-'Tariffs Jul2020'!K109)*('Tariffs Jul2020'!W109/100)*'Tariffs Jul2020'!AJ109,('Tariffs Jul2020'!L109-'Tariffs Jul2020'!K109)*('Tariffs Jul2020'!W109/100)*'Tariffs Jul2020'!AJ109))</f>
        <v>0</v>
      </c>
      <c r="M115" s="59">
        <f>IF($C$5*'Tariffs Jul2020'!AL109/'Tariffs Jul2020'!AJ109&lt;'Tariffs Jul2020'!L109,0,IF($C$5*'Tariffs Jul2020'!AL109/'Tariffs Jul2020'!AJ109&lt;='Tariffs Jul2020'!M109,($C$5*'Tariffs Jul2020'!AL109/'Tariffs Jul2020'!AJ109-'Tariffs Jul2020'!L109)*('Tariffs Jul2020'!X109/100)*'Tariffs Jul2020'!AJ109,('Tariffs Jul2020'!M109-'Tariffs Jul2020'!L109)*('Tariffs Jul2020'!X109/100)*'Tariffs Jul2020'!AJ109))</f>
        <v>0</v>
      </c>
      <c r="N115" s="59">
        <f>IF(($C$5*'Tariffs Jul2020'!AL109/'Tariffs Jul2020'!AJ109&gt;'Tariffs Jul2020'!M109),($C$5*'Tariffs Jul2020'!AL109/'Tariffs Jul2020'!AJ109-'Tariffs Jul2020'!M109)*'Tariffs Jul2020'!Y109/100*'Tariffs Jul2020'!AJ109,0)</f>
        <v>0</v>
      </c>
      <c r="O115" s="59">
        <f t="shared" si="43"/>
        <v>1103.8938545454544</v>
      </c>
      <c r="P115" s="503">
        <f t="shared" si="31"/>
        <v>1214.28324</v>
      </c>
      <c r="Q115" s="59">
        <f t="shared" si="44"/>
        <v>1387.1338545454544</v>
      </c>
      <c r="R115" s="272">
        <f t="shared" si="45"/>
        <v>1525.8472399999998</v>
      </c>
      <c r="S115" s="40">
        <f>'Tariffs Jul2020'!AN109</f>
        <v>0</v>
      </c>
      <c r="T115" s="40">
        <f>'Tariffs Jul2020'!AO109</f>
        <v>0</v>
      </c>
      <c r="U115" s="40">
        <f>'Tariffs Jul2020'!AP109</f>
        <v>0</v>
      </c>
      <c r="V115" s="40">
        <f>'Tariffs Jul2020'!AQ109</f>
        <v>0</v>
      </c>
      <c r="W115" s="284">
        <f>Q115</f>
        <v>1387.1338545454544</v>
      </c>
      <c r="X115" s="284">
        <f t="shared" si="53"/>
        <v>1387.1338545454544</v>
      </c>
      <c r="Y115" s="507">
        <f t="shared" si="55"/>
        <v>1525.8472399999998</v>
      </c>
      <c r="Z115" s="507">
        <f t="shared" si="54"/>
        <v>1525.8472399999998</v>
      </c>
      <c r="AA115" s="274">
        <f>'Tariffs Jul2020'!AZ109</f>
        <v>0</v>
      </c>
      <c r="AB115" s="274" t="str">
        <f>'Tariffs Jul2020'!BA109</f>
        <v>n</v>
      </c>
      <c r="AC115" s="275" t="str">
        <f>'Tariffs Jul2020'!BJ109</f>
        <v>N</v>
      </c>
      <c r="AD115" s="511"/>
      <c r="AE115" s="511"/>
      <c r="AF115" s="513"/>
      <c r="AG115" s="546"/>
      <c r="AH115" s="546"/>
      <c r="AI115" s="546"/>
      <c r="AJ115" s="546"/>
      <c r="AK115" s="546"/>
      <c r="AL115" s="546"/>
      <c r="AM115" s="546"/>
      <c r="AN115" s="546"/>
      <c r="AO115" s="546"/>
      <c r="AP115" s="546"/>
      <c r="AQ115" s="546"/>
      <c r="AR115" s="546"/>
      <c r="AS115" s="546"/>
      <c r="AT115" s="546"/>
      <c r="AU115" s="546"/>
      <c r="AV115" s="546"/>
      <c r="AW115" s="546"/>
      <c r="AX115" s="546"/>
      <c r="AY115" s="546"/>
      <c r="AZ115" s="546"/>
    </row>
    <row r="116" spans="1:52" ht="14" x14ac:dyDescent="0.15">
      <c r="A116" s="270" t="str">
        <f>'Tariffs Jul2020'!F110</f>
        <v>Momentum Energy</v>
      </c>
      <c r="B116" s="40" t="str">
        <f>'Tariffs Jul2020'!D110</f>
        <v>AusNet Services Central 2</v>
      </c>
      <c r="C116" s="40" t="str">
        <f>'Tariffs Jul2020'!G110</f>
        <v>Market offer</v>
      </c>
      <c r="D116" s="59">
        <f>365*'Tariffs Jul2020'!H110/100</f>
        <v>362.27909090909088</v>
      </c>
      <c r="E116" s="59">
        <f>IF($C$5*'Tariffs Jul2020'!AK110/'Tariffs Jul2020'!AI110&gt;='Tariffs Jul2020'!J110,( 'Tariffs Jul2020'!J110*'Tariffs Jul2020'!O110/100)* 'Tariffs Jul2020'!AI110,($C$5*'Tariffs Jul2020'!AK110/'Tariffs Jul2020'!AI110*'Tariffs Jul2020'!O110/100)* 'Tariffs Jul2020'!AI110)</f>
        <v>269.4545454545455</v>
      </c>
      <c r="F116" s="59">
        <f>IF($C$5*'Tariffs Jul2020'!AK110/'Tariffs Jul2020'!AI110&lt;'Tariffs Jul2020'!J110,0,IF($C$5*'Tariffs Jul2020'!AK110/'Tariffs Jul2020'!AI110&lt;='Tariffs Jul2020'!K110,($C$5*'Tariffs Jul2020'!AK110/'Tariffs Jul2020'!AI110-'Tariffs Jul2020'!J110)*('Tariffs Jul2020'!P110/100)*'Tariffs Jul2020'!AI110,('Tariffs Jul2020'!K110-'Tariffs Jul2020'!J110)*('Tariffs Jul2020'!P110/100)*'Tariffs Jul2020'!AI110))</f>
        <v>176.6860363636363</v>
      </c>
      <c r="G116" s="59">
        <f>IF($C$5*'Tariffs Jul2020'!AK110/'Tariffs Jul2020'!AI110&lt;'Tariffs Jul2020'!K110,0,IF($C$5*'Tariffs Jul2020'!AK110/'Tariffs Jul2020'!AI110&lt;='Tariffs Jul2020'!L110,($C$5*'Tariffs Jul2020'!AK110/'Tariffs Jul2020'!AI110-'Tariffs Jul2020'!K110)*('Tariffs Jul2020'!Q110/100)*'Tariffs Jul2020'!AI110,('Tariffs Jul2020'!L110-'Tariffs Jul2020'!K110)*('Tariffs Jul2020'!Q110/100)*'Tariffs Jul2020'!AI110))</f>
        <v>0</v>
      </c>
      <c r="H116" s="59">
        <f>IF($C$5*'Tariffs Jul2020'!AK110/'Tariffs Jul2020'!AI110&lt;'Tariffs Jul2020'!L110,0,IF($C$5*'Tariffs Jul2020'!AK110/'Tariffs Jul2020'!AI110&lt;='Tariffs Jul2020'!M110,($C$5*'Tariffs Jul2020'!AK110/'Tariffs Jul2020'!AI110-'Tariffs Jul2020'!L110)*('Tariffs Jul2020'!R110/100)*'Tariffs Jul2020'!AI110,('Tariffs Jul2020'!M110-'Tariffs Jul2020'!L110)*('Tariffs Jul2020'!R110/100)*'Tariffs Jul2020'!AI110))</f>
        <v>0</v>
      </c>
      <c r="I116" s="59">
        <f>IF(($C$5*'Tariffs Jul2020'!AK110/'Tariffs Jul2020'!AI110&gt;'Tariffs Jul2020'!M110),($C$5*'Tariffs Jul2020'!AK110/'Tariffs Jul2020'!AI110-'Tariffs Jul2020'!M110)*'Tariffs Jul2020'!S110/100*'Tariffs Jul2020'!AI110,0)</f>
        <v>0</v>
      </c>
      <c r="J116" s="59">
        <f>IF($C$5*'Tariffs Jul2020'!AL110/'Tariffs Jul2020'!AJ110&gt;='Tariffs Jul2020'!J110,('Tariffs Jul2020'!J110*'Tariffs Jul2020'!U110/100)* 'Tariffs Jul2020'!AJ110,($C$5*'Tariffs Jul2020'!AL110/'Tariffs Jul2020'!AJ110*'Tariffs Jul2020'!U110/100)* 'Tariffs Jul2020'!AJ110)</f>
        <v>408</v>
      </c>
      <c r="K116" s="59">
        <f>IF($C$5*'Tariffs Jul2020'!AL110/'Tariffs Jul2020'!AJ110&lt;'Tariffs Jul2020'!J110,0,IF($C$5*'Tariffs Jul2020'!AL110/'Tariffs Jul2020'!AJ110&lt;='Tariffs Jul2020'!K110,($C$5*'Tariffs Jul2020'!AL110/'Tariffs Jul2020'!AJ110-'Tariffs Jul2020'!J110)*('Tariffs Jul2020'!V110/100)*'Tariffs Jul2020'!AJ110,('Tariffs Jul2020'!K110-'Tariffs Jul2020'!J110)*('Tariffs Jul2020'!V110/100)*'Tariffs Jul2020'!AJ110))</f>
        <v>299.38467272727269</v>
      </c>
      <c r="L116" s="59">
        <f>IF($C$5*'Tariffs Jul2020'!AL110/'Tariffs Jul2020'!AJ110&lt;'Tariffs Jul2020'!K110,0,IF($C$5*'Tariffs Jul2020'!AL110/'Tariffs Jul2020'!AJ110&lt;='Tariffs Jul2020'!L110,($C$5*'Tariffs Jul2020'!AL110/'Tariffs Jul2020'!AJ110-'Tariffs Jul2020'!K110)*('Tariffs Jul2020'!W110/100)*'Tariffs Jul2020'!AJ110,('Tariffs Jul2020'!L110-'Tariffs Jul2020'!K110)*('Tariffs Jul2020'!W110/100)*'Tariffs Jul2020'!AJ110))</f>
        <v>0</v>
      </c>
      <c r="M116" s="59">
        <f>IF($C$5*'Tariffs Jul2020'!AL110/'Tariffs Jul2020'!AJ110&lt;'Tariffs Jul2020'!L110,0,IF($C$5*'Tariffs Jul2020'!AL110/'Tariffs Jul2020'!AJ110&lt;='Tariffs Jul2020'!M110,($C$5*'Tariffs Jul2020'!AL110/'Tariffs Jul2020'!AJ110-'Tariffs Jul2020'!L110)*('Tariffs Jul2020'!X110/100)*'Tariffs Jul2020'!AJ110,('Tariffs Jul2020'!M110-'Tariffs Jul2020'!L110)*('Tariffs Jul2020'!X110/100)*'Tariffs Jul2020'!AJ110))</f>
        <v>0</v>
      </c>
      <c r="N116" s="59">
        <f>IF(($C$5*'Tariffs Jul2020'!AL110/'Tariffs Jul2020'!AJ110&gt;'Tariffs Jul2020'!M110),($C$5*'Tariffs Jul2020'!AL110/'Tariffs Jul2020'!AJ110-'Tariffs Jul2020'!M110)*'Tariffs Jul2020'!Y110/100*'Tariffs Jul2020'!AJ110,0)</f>
        <v>0</v>
      </c>
      <c r="O116" s="59">
        <f t="shared" si="43"/>
        <v>1153.5252545454546</v>
      </c>
      <c r="P116" s="503">
        <f t="shared" si="31"/>
        <v>1268.87778</v>
      </c>
      <c r="Q116" s="59">
        <f t="shared" si="44"/>
        <v>1515.8043454545455</v>
      </c>
      <c r="R116" s="272">
        <f t="shared" si="45"/>
        <v>1667.3847800000001</v>
      </c>
      <c r="S116" s="40">
        <f>'Tariffs Jul2020'!AN110</f>
        <v>0</v>
      </c>
      <c r="T116" s="40">
        <f>'Tariffs Jul2020'!AO110</f>
        <v>0</v>
      </c>
      <c r="U116" s="40">
        <f>'Tariffs Jul2020'!AP110</f>
        <v>0</v>
      </c>
      <c r="V116" s="40">
        <f>'Tariffs Jul2020'!AQ110</f>
        <v>0</v>
      </c>
      <c r="W116" s="284">
        <f t="shared" ref="W116" si="56">Q116</f>
        <v>1515.8043454545455</v>
      </c>
      <c r="X116" s="284">
        <f t="shared" si="53"/>
        <v>1515.8043454545455</v>
      </c>
      <c r="Y116" s="507">
        <f t="shared" si="55"/>
        <v>1667.3847800000001</v>
      </c>
      <c r="Z116" s="507">
        <f t="shared" si="54"/>
        <v>1667.3847800000001</v>
      </c>
      <c r="AA116" s="274">
        <f>'Tariffs Jul2020'!AZ110</f>
        <v>0</v>
      </c>
      <c r="AB116" s="274" t="str">
        <f>'Tariffs Jul2020'!BA110</f>
        <v>n</v>
      </c>
      <c r="AC116" s="275" t="str">
        <f>'Tariffs Jul2020'!BJ110</f>
        <v>N</v>
      </c>
      <c r="AD116" s="511"/>
      <c r="AE116" s="511"/>
      <c r="AF116" s="513"/>
      <c r="AG116" s="546"/>
      <c r="AH116" s="546"/>
      <c r="AI116" s="546"/>
      <c r="AJ116" s="546"/>
      <c r="AK116" s="546"/>
      <c r="AL116" s="546"/>
      <c r="AM116" s="546"/>
      <c r="AN116" s="546"/>
      <c r="AO116" s="546"/>
      <c r="AP116" s="546"/>
      <c r="AQ116" s="546"/>
      <c r="AR116" s="546"/>
      <c r="AS116" s="546"/>
      <c r="AT116" s="546"/>
      <c r="AU116" s="546"/>
      <c r="AV116" s="546"/>
      <c r="AW116" s="546"/>
      <c r="AX116" s="546"/>
      <c r="AY116" s="546"/>
      <c r="AZ116" s="546"/>
    </row>
    <row r="117" spans="1:52" ht="14" x14ac:dyDescent="0.15">
      <c r="A117" s="270" t="str">
        <f>'Tariffs Jul2020'!F111</f>
        <v>Origin Energy</v>
      </c>
      <c r="B117" s="40" t="str">
        <f>'Tariffs Jul2020'!D111</f>
        <v>AusNet Services Central 2</v>
      </c>
      <c r="C117" s="40" t="str">
        <f>'Tariffs Jul2020'!G111</f>
        <v>Flexi</v>
      </c>
      <c r="D117" s="59">
        <f>365*'Tariffs Jul2020'!H111/100</f>
        <v>284.7</v>
      </c>
      <c r="E117" s="59">
        <f>IF($C$5*'Tariffs Jul2020'!AK111/'Tariffs Jul2020'!AI111&gt;='Tariffs Jul2020'!J111,( 'Tariffs Jul2020'!J111*'Tariffs Jul2020'!O111/100)* 'Tariffs Jul2020'!AI111,($C$5*'Tariffs Jul2020'!AK111/'Tariffs Jul2020'!AI111*'Tariffs Jul2020'!O111/100)* 'Tariffs Jul2020'!AI111)</f>
        <v>168</v>
      </c>
      <c r="F117" s="59">
        <f>IF($C$5*'Tariffs Jul2020'!AK111/'Tariffs Jul2020'!AI111&lt;'Tariffs Jul2020'!J111,0,IF($C$5*'Tariffs Jul2020'!AK111/'Tariffs Jul2020'!AI111&lt;='Tariffs Jul2020'!K111,($C$5*'Tariffs Jul2020'!AK111/'Tariffs Jul2020'!AI111-'Tariffs Jul2020'!J111)*('Tariffs Jul2020'!P111/100)*'Tariffs Jul2020'!AI111,('Tariffs Jul2020'!K111-'Tariffs Jul2020'!J111)*('Tariffs Jul2020'!P111/100)*'Tariffs Jul2020'!AI111))</f>
        <v>0</v>
      </c>
      <c r="G117" s="59">
        <f>IF($C$5*'Tariffs Jul2020'!AK111/'Tariffs Jul2020'!AI111&lt;'Tariffs Jul2020'!K111,0,IF($C$5*'Tariffs Jul2020'!AK111/'Tariffs Jul2020'!AI111&lt;='Tariffs Jul2020'!L111,($C$5*'Tariffs Jul2020'!AK111/'Tariffs Jul2020'!AI111-'Tariffs Jul2020'!K111)*('Tariffs Jul2020'!Q111/100)*'Tariffs Jul2020'!AI111,('Tariffs Jul2020'!L111-'Tariffs Jul2020'!K111)*('Tariffs Jul2020'!Q111/100)*'Tariffs Jul2020'!AI111))</f>
        <v>0</v>
      </c>
      <c r="H117" s="59">
        <f>IF($C$5*'Tariffs Jul2020'!AK111/'Tariffs Jul2020'!AI111&lt;'Tariffs Jul2020'!L111,0,IF($C$5*'Tariffs Jul2020'!AK111/'Tariffs Jul2020'!AI111&lt;='Tariffs Jul2020'!M111,($C$5*'Tariffs Jul2020'!AK111/'Tariffs Jul2020'!AI111-'Tariffs Jul2020'!L111)*('Tariffs Jul2020'!R111/100)*'Tariffs Jul2020'!AI111,('Tariffs Jul2020'!M111-'Tariffs Jul2020'!L111)*('Tariffs Jul2020'!R111/100)*'Tariffs Jul2020'!AI111))</f>
        <v>0</v>
      </c>
      <c r="I117" s="59">
        <f>IF(($C$5*'Tariffs Jul2020'!AK111/'Tariffs Jul2020'!AI111&gt;'Tariffs Jul2020'!M111),($C$5*'Tariffs Jul2020'!AK111/'Tariffs Jul2020'!AI111-'Tariffs Jul2020'!M111)*'Tariffs Jul2020'!S111/100*'Tariffs Jul2020'!AI111,0)</f>
        <v>329.9538</v>
      </c>
      <c r="J117" s="59">
        <f>IF($C$5*'Tariffs Jul2020'!AL111/'Tariffs Jul2020'!AJ111&gt;='Tariffs Jul2020'!J111,('Tariffs Jul2020'!J111*'Tariffs Jul2020'!U111/100)* 'Tariffs Jul2020'!AJ111,($C$5*'Tariffs Jul2020'!AL111/'Tariffs Jul2020'!AJ111*'Tariffs Jul2020'!U111/100)* 'Tariffs Jul2020'!AJ111)</f>
        <v>240</v>
      </c>
      <c r="K117" s="59">
        <f>IF($C$5*'Tariffs Jul2020'!AL111/'Tariffs Jul2020'!AJ111&lt;'Tariffs Jul2020'!J111,0,IF($C$5*'Tariffs Jul2020'!AL111/'Tariffs Jul2020'!AJ111&lt;='Tariffs Jul2020'!K111,($C$5*'Tariffs Jul2020'!AL111/'Tariffs Jul2020'!AJ111-'Tariffs Jul2020'!J111)*('Tariffs Jul2020'!V111/100)*'Tariffs Jul2020'!AJ111,('Tariffs Jul2020'!K111-'Tariffs Jul2020'!J111)*('Tariffs Jul2020'!V111/100)*'Tariffs Jul2020'!AJ111))</f>
        <v>0</v>
      </c>
      <c r="L117" s="59">
        <f>IF($C$5*'Tariffs Jul2020'!AL111/'Tariffs Jul2020'!AJ111&lt;'Tariffs Jul2020'!K111,0,IF($C$5*'Tariffs Jul2020'!AL111/'Tariffs Jul2020'!AJ111&lt;='Tariffs Jul2020'!L111,($C$5*'Tariffs Jul2020'!AL111/'Tariffs Jul2020'!AJ111-'Tariffs Jul2020'!K111)*('Tariffs Jul2020'!W111/100)*'Tariffs Jul2020'!AJ111,('Tariffs Jul2020'!L111-'Tariffs Jul2020'!K111)*('Tariffs Jul2020'!W111/100)*'Tariffs Jul2020'!AJ111))</f>
        <v>0</v>
      </c>
      <c r="M117" s="59">
        <f>IF($C$5*'Tariffs Jul2020'!AL111/'Tariffs Jul2020'!AJ111&lt;'Tariffs Jul2020'!L111,0,IF($C$5*'Tariffs Jul2020'!AL111/'Tariffs Jul2020'!AJ111&lt;='Tariffs Jul2020'!M111,($C$5*'Tariffs Jul2020'!AL111/'Tariffs Jul2020'!AJ111-'Tariffs Jul2020'!L111)*('Tariffs Jul2020'!X111/100)*'Tariffs Jul2020'!AJ111,('Tariffs Jul2020'!M111-'Tariffs Jul2020'!L111)*('Tariffs Jul2020'!X111/100)*'Tariffs Jul2020'!AJ111))</f>
        <v>0</v>
      </c>
      <c r="N117" s="59">
        <f>IF(($C$5*'Tariffs Jul2020'!AL111/'Tariffs Jul2020'!AJ111&gt;'Tariffs Jul2020'!M111),($C$5*'Tariffs Jul2020'!AL111/'Tariffs Jul2020'!AJ111-'Tariffs Jul2020'!M111)*'Tariffs Jul2020'!Y111/100*'Tariffs Jul2020'!AJ111,0)</f>
        <v>479.93279999999999</v>
      </c>
      <c r="O117" s="59">
        <f t="shared" si="43"/>
        <v>1217.8866</v>
      </c>
      <c r="P117" s="503">
        <f t="shared" si="31"/>
        <v>1339.6752600000002</v>
      </c>
      <c r="Q117" s="59">
        <f t="shared" si="44"/>
        <v>1502.5866000000001</v>
      </c>
      <c r="R117" s="272">
        <f t="shared" si="45"/>
        <v>1652.8452600000003</v>
      </c>
      <c r="S117" s="40">
        <f>'Tariffs Jul2020'!AN111</f>
        <v>11</v>
      </c>
      <c r="T117" s="40">
        <f>'Tariffs Jul2020'!AO111</f>
        <v>0</v>
      </c>
      <c r="U117" s="40">
        <f>'Tariffs Jul2020'!AP111</f>
        <v>0</v>
      </c>
      <c r="V117" s="40">
        <f>'Tariffs Jul2020'!AQ111</f>
        <v>0</v>
      </c>
      <c r="W117" s="284">
        <f>R117-(R117*S117/100)</f>
        <v>1471.0322814000003</v>
      </c>
      <c r="X117" s="284">
        <f t="shared" si="53"/>
        <v>1471.0322814000003</v>
      </c>
      <c r="Y117" s="507">
        <f>W117</f>
        <v>1471.0322814000003</v>
      </c>
      <c r="Z117" s="507">
        <f>X117</f>
        <v>1471.0322814000003</v>
      </c>
      <c r="AA117" s="274">
        <f>'Tariffs Jul2020'!AZ111</f>
        <v>0</v>
      </c>
      <c r="AB117" s="274" t="str">
        <f>'Tariffs Jul2020'!BA111</f>
        <v>n</v>
      </c>
      <c r="AC117" s="275" t="str">
        <f>'Tariffs Jul2020'!BJ111</f>
        <v>N</v>
      </c>
      <c r="AD117" s="511"/>
      <c r="AE117" s="511"/>
      <c r="AF117" s="513"/>
      <c r="AG117" s="546"/>
      <c r="AH117" s="546"/>
      <c r="AI117" s="546"/>
      <c r="AJ117" s="546"/>
      <c r="AK117" s="546"/>
      <c r="AL117" s="546"/>
      <c r="AM117" s="546"/>
      <c r="AN117" s="546"/>
      <c r="AO117" s="546"/>
      <c r="AP117" s="546"/>
      <c r="AQ117" s="546"/>
      <c r="AR117" s="546"/>
      <c r="AS117" s="546"/>
      <c r="AT117" s="546"/>
      <c r="AU117" s="546"/>
      <c r="AV117" s="546"/>
      <c r="AW117" s="546"/>
      <c r="AX117" s="546"/>
      <c r="AY117" s="546"/>
      <c r="AZ117" s="546"/>
    </row>
    <row r="118" spans="1:52" ht="14" x14ac:dyDescent="0.15">
      <c r="A118" s="270" t="str">
        <f>'Tariffs Jul2020'!F112</f>
        <v>Red Energy</v>
      </c>
      <c r="B118" s="40" t="str">
        <f>'Tariffs Jul2020'!D112</f>
        <v>AusNet Services Central 2</v>
      </c>
      <c r="C118" s="40" t="str">
        <f>'Tariffs Jul2020'!G112</f>
        <v>Living Energy Saver</v>
      </c>
      <c r="D118" s="59">
        <f>365*'Tariffs Jul2020'!H112/100</f>
        <v>271.02909090909088</v>
      </c>
      <c r="E118" s="59">
        <f>IF($C$5*'Tariffs Jul2020'!AK112/'Tariffs Jul2020'!AI112&gt;='Tariffs Jul2020'!J112,( 'Tariffs Jul2020'!J112*'Tariffs Jul2020'!O112/100)* 'Tariffs Jul2020'!AI112,($C$5*'Tariffs Jul2020'!AK112/'Tariffs Jul2020'!AI112*'Tariffs Jul2020'!O112/100)* 'Tariffs Jul2020'!AI112)</f>
        <v>259.63636363636363</v>
      </c>
      <c r="F118" s="59">
        <f>IF($C$5*'Tariffs Jul2020'!AK112/'Tariffs Jul2020'!AI112&lt;'Tariffs Jul2020'!J112,0,IF($C$5*'Tariffs Jul2020'!AK112/'Tariffs Jul2020'!AI112&lt;='Tariffs Jul2020'!K112,($C$5*'Tariffs Jul2020'!AK112/'Tariffs Jul2020'!AI112-'Tariffs Jul2020'!J112)*('Tariffs Jul2020'!P112/100)*'Tariffs Jul2020'!AI112,('Tariffs Jul2020'!K112-'Tariffs Jul2020'!J112)*('Tariffs Jul2020'!P112/100)*'Tariffs Jul2020'!AI112))</f>
        <v>174.23206363636356</v>
      </c>
      <c r="G118" s="59">
        <f>IF($C$5*'Tariffs Jul2020'!AK112/'Tariffs Jul2020'!AI112&lt;'Tariffs Jul2020'!K112,0,IF($C$5*'Tariffs Jul2020'!AK112/'Tariffs Jul2020'!AI112&lt;='Tariffs Jul2020'!L112,($C$5*'Tariffs Jul2020'!AK112/'Tariffs Jul2020'!AI112-'Tariffs Jul2020'!K112)*('Tariffs Jul2020'!Q112/100)*'Tariffs Jul2020'!AI112,('Tariffs Jul2020'!L112-'Tariffs Jul2020'!K112)*('Tariffs Jul2020'!Q112/100)*'Tariffs Jul2020'!AI112))</f>
        <v>0</v>
      </c>
      <c r="H118" s="59">
        <f>IF($C$5*'Tariffs Jul2020'!AK112/'Tariffs Jul2020'!AI112&lt;'Tariffs Jul2020'!L112,0,IF($C$5*'Tariffs Jul2020'!AK112/'Tariffs Jul2020'!AI112&lt;='Tariffs Jul2020'!M112,($C$5*'Tariffs Jul2020'!AK112/'Tariffs Jul2020'!AI112-'Tariffs Jul2020'!L112)*('Tariffs Jul2020'!R112/100)*'Tariffs Jul2020'!AI112,('Tariffs Jul2020'!M112-'Tariffs Jul2020'!L112)*('Tariffs Jul2020'!R112/100)*'Tariffs Jul2020'!AI112))</f>
        <v>0</v>
      </c>
      <c r="I118" s="59">
        <f>IF(($C$5*'Tariffs Jul2020'!AK112/'Tariffs Jul2020'!AI112&gt;'Tariffs Jul2020'!M112),($C$5*'Tariffs Jul2020'!AK112/'Tariffs Jul2020'!AI112-'Tariffs Jul2020'!M112)*'Tariffs Jul2020'!S112/100*'Tariffs Jul2020'!AI112,0)</f>
        <v>0</v>
      </c>
      <c r="J118" s="59">
        <f>IF($C$5*'Tariffs Jul2020'!AL112/'Tariffs Jul2020'!AJ112&gt;='Tariffs Jul2020'!J112,('Tariffs Jul2020'!J112*'Tariffs Jul2020'!U112/100)* 'Tariffs Jul2020'!AJ112,($C$5*'Tariffs Jul2020'!AL112/'Tariffs Jul2020'!AJ112*'Tariffs Jul2020'!U112/100)* 'Tariffs Jul2020'!AJ112)</f>
        <v>421.09090909090907</v>
      </c>
      <c r="K118" s="59">
        <f>IF($C$5*'Tariffs Jul2020'!AL112/'Tariffs Jul2020'!AJ112&lt;'Tariffs Jul2020'!J112,0,IF($C$5*'Tariffs Jul2020'!AL112/'Tariffs Jul2020'!AJ112&lt;='Tariffs Jul2020'!K112,($C$5*'Tariffs Jul2020'!AL112/'Tariffs Jul2020'!AJ112-'Tariffs Jul2020'!J112)*('Tariffs Jul2020'!V112/100)*'Tariffs Jul2020'!AJ112,('Tariffs Jul2020'!K112-'Tariffs Jul2020'!J112)*('Tariffs Jul2020'!V112/100)*'Tariffs Jul2020'!AJ112))</f>
        <v>307.56458181818169</v>
      </c>
      <c r="L118" s="59">
        <f>IF($C$5*'Tariffs Jul2020'!AL112/'Tariffs Jul2020'!AJ112&lt;'Tariffs Jul2020'!K112,0,IF($C$5*'Tariffs Jul2020'!AL112/'Tariffs Jul2020'!AJ112&lt;='Tariffs Jul2020'!L112,($C$5*'Tariffs Jul2020'!AL112/'Tariffs Jul2020'!AJ112-'Tariffs Jul2020'!K112)*('Tariffs Jul2020'!W112/100)*'Tariffs Jul2020'!AJ112,('Tariffs Jul2020'!L112-'Tariffs Jul2020'!K112)*('Tariffs Jul2020'!W112/100)*'Tariffs Jul2020'!AJ112))</f>
        <v>0</v>
      </c>
      <c r="M118" s="59">
        <f>IF($C$5*'Tariffs Jul2020'!AL112/'Tariffs Jul2020'!AJ112&lt;'Tariffs Jul2020'!L112,0,IF($C$5*'Tariffs Jul2020'!AL112/'Tariffs Jul2020'!AJ112&lt;='Tariffs Jul2020'!M112,($C$5*'Tariffs Jul2020'!AL112/'Tariffs Jul2020'!AJ112-'Tariffs Jul2020'!L112)*('Tariffs Jul2020'!X112/100)*'Tariffs Jul2020'!AJ112,('Tariffs Jul2020'!M112-'Tariffs Jul2020'!L112)*('Tariffs Jul2020'!X112/100)*'Tariffs Jul2020'!AJ112))</f>
        <v>0</v>
      </c>
      <c r="N118" s="59">
        <f>IF(($C$5*'Tariffs Jul2020'!AL112/'Tariffs Jul2020'!AJ112&gt;'Tariffs Jul2020'!M112),($C$5*'Tariffs Jul2020'!AL112/'Tariffs Jul2020'!AJ112-'Tariffs Jul2020'!M112)*'Tariffs Jul2020'!Y112/100*'Tariffs Jul2020'!AJ112,0)</f>
        <v>0</v>
      </c>
      <c r="O118" s="59">
        <f t="shared" si="43"/>
        <v>1162.5239181818181</v>
      </c>
      <c r="P118" s="503">
        <f t="shared" si="31"/>
        <v>1278.77631</v>
      </c>
      <c r="Q118" s="59">
        <f t="shared" si="44"/>
        <v>1433.553009090909</v>
      </c>
      <c r="R118" s="272">
        <f t="shared" si="45"/>
        <v>1576.90831</v>
      </c>
      <c r="S118" s="40">
        <f>'Tariffs Jul2020'!AN112</f>
        <v>0</v>
      </c>
      <c r="T118" s="40">
        <f>'Tariffs Jul2020'!AO112</f>
        <v>0</v>
      </c>
      <c r="U118" s="40">
        <f>'Tariffs Jul2020'!AP112</f>
        <v>0</v>
      </c>
      <c r="V118" s="40">
        <f>'Tariffs Jul2020'!AQ112</f>
        <v>0</v>
      </c>
      <c r="W118" s="284">
        <f>Q118</f>
        <v>1433.553009090909</v>
      </c>
      <c r="X118" s="284">
        <f t="shared" si="53"/>
        <v>1433.553009090909</v>
      </c>
      <c r="Y118" s="507">
        <f t="shared" ref="Y118:Z122" si="57">W118*1.1</f>
        <v>1576.90831</v>
      </c>
      <c r="Z118" s="507">
        <f t="shared" si="57"/>
        <v>1576.90831</v>
      </c>
      <c r="AA118" s="274">
        <f>'Tariffs Jul2020'!AZ112</f>
        <v>0</v>
      </c>
      <c r="AB118" s="274" t="str">
        <f>'Tariffs Jul2020'!BA112</f>
        <v>n</v>
      </c>
      <c r="AC118" s="275" t="str">
        <f>'Tariffs Jul2020'!BJ112</f>
        <v>N</v>
      </c>
      <c r="AD118" s="511"/>
      <c r="AE118" s="511"/>
      <c r="AF118" s="513"/>
      <c r="AG118" s="546"/>
      <c r="AH118" s="546"/>
      <c r="AI118" s="546"/>
      <c r="AJ118" s="546"/>
      <c r="AK118" s="546"/>
      <c r="AL118" s="546"/>
      <c r="AM118" s="546"/>
      <c r="AN118" s="546"/>
      <c r="AO118" s="546"/>
      <c r="AP118" s="546"/>
      <c r="AQ118" s="546"/>
      <c r="AR118" s="546"/>
      <c r="AS118" s="546"/>
      <c r="AT118" s="546"/>
      <c r="AU118" s="546"/>
      <c r="AV118" s="546"/>
      <c r="AW118" s="546"/>
      <c r="AX118" s="546"/>
      <c r="AY118" s="546"/>
      <c r="AZ118" s="546"/>
    </row>
    <row r="119" spans="1:52" ht="14" x14ac:dyDescent="0.15">
      <c r="A119" s="270" t="str">
        <f>'Tariffs Jul2020'!F113</f>
        <v>Simply Energy</v>
      </c>
      <c r="B119" s="40" t="str">
        <f>'Tariffs Jul2020'!D113</f>
        <v>AusNet Services Central 2</v>
      </c>
      <c r="C119" s="40" t="str">
        <f>'Tariffs Jul2020'!G113</f>
        <v>Saver</v>
      </c>
      <c r="D119" s="59">
        <f>365*'Tariffs Jul2020'!H113/100</f>
        <v>338.05636363636359</v>
      </c>
      <c r="E119" s="59">
        <f>IF($C$5*'Tariffs Jul2020'!AK113/'Tariffs Jul2020'!AI113&gt;='Tariffs Jul2020'!J113,( 'Tariffs Jul2020'!J113*'Tariffs Jul2020'!O113/100)* 'Tariffs Jul2020'!AI113,($C$5*'Tariffs Jul2020'!AK113/'Tariffs Jul2020'!AI113*'Tariffs Jul2020'!O113/100)* 'Tariffs Jul2020'!AI113)</f>
        <v>289.09090909090907</v>
      </c>
      <c r="F119" s="59">
        <f>IF($C$5*'Tariffs Jul2020'!AK113/'Tariffs Jul2020'!AI113&lt;'Tariffs Jul2020'!J113,0,IF($C$5*'Tariffs Jul2020'!AK113/'Tariffs Jul2020'!AI113&lt;='Tariffs Jul2020'!K113,($C$5*'Tariffs Jul2020'!AK113/'Tariffs Jul2020'!AI113-'Tariffs Jul2020'!J113)*('Tariffs Jul2020'!P113/100)*'Tariffs Jul2020'!AI113,('Tariffs Jul2020'!K113-'Tariffs Jul2020'!J113)*('Tariffs Jul2020'!P113/100)*'Tariffs Jul2020'!AI113))</f>
        <v>184.8659454545454</v>
      </c>
      <c r="G119" s="59">
        <f>IF($C$5*'Tariffs Jul2020'!AK113/'Tariffs Jul2020'!AI113&lt;'Tariffs Jul2020'!K113,0,IF($C$5*'Tariffs Jul2020'!AK113/'Tariffs Jul2020'!AI113&lt;='Tariffs Jul2020'!L113,($C$5*'Tariffs Jul2020'!AK113/'Tariffs Jul2020'!AI113-'Tariffs Jul2020'!K113)*('Tariffs Jul2020'!Q113/100)*'Tariffs Jul2020'!AI113,('Tariffs Jul2020'!L113-'Tariffs Jul2020'!K113)*('Tariffs Jul2020'!Q113/100)*'Tariffs Jul2020'!AI113))</f>
        <v>0</v>
      </c>
      <c r="H119" s="59">
        <f>IF($C$5*'Tariffs Jul2020'!AK113/'Tariffs Jul2020'!AI113&lt;'Tariffs Jul2020'!L113,0,IF($C$5*'Tariffs Jul2020'!AK113/'Tariffs Jul2020'!AI113&lt;='Tariffs Jul2020'!M113,($C$5*'Tariffs Jul2020'!AK113/'Tariffs Jul2020'!AI113-'Tariffs Jul2020'!L113)*('Tariffs Jul2020'!R113/100)*'Tariffs Jul2020'!AI113,('Tariffs Jul2020'!M113-'Tariffs Jul2020'!L113)*('Tariffs Jul2020'!R113/100)*'Tariffs Jul2020'!AI113))</f>
        <v>0</v>
      </c>
      <c r="I119" s="59">
        <f>IF(($C$5*'Tariffs Jul2020'!AK113/'Tariffs Jul2020'!AI113&gt;'Tariffs Jul2020'!M113),($C$5*'Tariffs Jul2020'!AK113/'Tariffs Jul2020'!AI113-'Tariffs Jul2020'!M113)*'Tariffs Jul2020'!S113/100*'Tariffs Jul2020'!AI113,0)</f>
        <v>0</v>
      </c>
      <c r="J119" s="59">
        <f>IF($C$5*'Tariffs Jul2020'!AL113/'Tariffs Jul2020'!AJ113&gt;='Tariffs Jul2020'!J113,('Tariffs Jul2020'!J113*'Tariffs Jul2020'!U113/100)* 'Tariffs Jul2020'!AJ113,($C$5*'Tariffs Jul2020'!AL113/'Tariffs Jul2020'!AJ113*'Tariffs Jul2020'!U113/100)* 'Tariffs Jul2020'!AJ113)</f>
        <v>436.36363636363632</v>
      </c>
      <c r="K119" s="59">
        <f>IF($C$5*'Tariffs Jul2020'!AL113/'Tariffs Jul2020'!AJ113&lt;'Tariffs Jul2020'!J113,0,IF($C$5*'Tariffs Jul2020'!AL113/'Tariffs Jul2020'!AJ113&lt;='Tariffs Jul2020'!K113,($C$5*'Tariffs Jul2020'!AL113/'Tariffs Jul2020'!AJ113-'Tariffs Jul2020'!J113)*('Tariffs Jul2020'!V113/100)*'Tariffs Jul2020'!AJ113,('Tariffs Jul2020'!K113-'Tariffs Jul2020'!J113)*('Tariffs Jul2020'!V113/100)*'Tariffs Jul2020'!AJ113))</f>
        <v>317.3804727272726</v>
      </c>
      <c r="L119" s="59">
        <f>IF($C$5*'Tariffs Jul2020'!AL113/'Tariffs Jul2020'!AJ113&lt;'Tariffs Jul2020'!K113,0,IF($C$5*'Tariffs Jul2020'!AL113/'Tariffs Jul2020'!AJ113&lt;='Tariffs Jul2020'!L113,($C$5*'Tariffs Jul2020'!AL113/'Tariffs Jul2020'!AJ113-'Tariffs Jul2020'!K113)*('Tariffs Jul2020'!W113/100)*'Tariffs Jul2020'!AJ113,('Tariffs Jul2020'!L113-'Tariffs Jul2020'!K113)*('Tariffs Jul2020'!W113/100)*'Tariffs Jul2020'!AJ113))</f>
        <v>0</v>
      </c>
      <c r="M119" s="59">
        <f>IF($C$5*'Tariffs Jul2020'!AL113/'Tariffs Jul2020'!AJ113&lt;'Tariffs Jul2020'!L113,0,IF($C$5*'Tariffs Jul2020'!AL113/'Tariffs Jul2020'!AJ113&lt;='Tariffs Jul2020'!M113,($C$5*'Tariffs Jul2020'!AL113/'Tariffs Jul2020'!AJ113-'Tariffs Jul2020'!L113)*('Tariffs Jul2020'!X113/100)*'Tariffs Jul2020'!AJ113,('Tariffs Jul2020'!M113-'Tariffs Jul2020'!L113)*('Tariffs Jul2020'!X113/100)*'Tariffs Jul2020'!AJ113))</f>
        <v>0</v>
      </c>
      <c r="N119" s="59">
        <f>IF(($C$5*'Tariffs Jul2020'!AL113/'Tariffs Jul2020'!AJ113&gt;'Tariffs Jul2020'!M113),($C$5*'Tariffs Jul2020'!AL113/'Tariffs Jul2020'!AJ113-'Tariffs Jul2020'!M113)*'Tariffs Jul2020'!Y113/100*'Tariffs Jul2020'!AJ113,0)</f>
        <v>0</v>
      </c>
      <c r="O119" s="59">
        <f t="shared" si="43"/>
        <v>1227.7009636363632</v>
      </c>
      <c r="P119" s="503">
        <f t="shared" si="31"/>
        <v>1350.4710599999996</v>
      </c>
      <c r="Q119" s="59">
        <f t="shared" si="44"/>
        <v>1565.7573272727268</v>
      </c>
      <c r="R119" s="272">
        <f t="shared" si="45"/>
        <v>1722.3330599999997</v>
      </c>
      <c r="S119" s="40">
        <f>'Tariffs Jul2020'!AN113</f>
        <v>20</v>
      </c>
      <c r="T119" s="40">
        <f>'Tariffs Jul2020'!AO113</f>
        <v>0</v>
      </c>
      <c r="U119" s="40">
        <f>'Tariffs Jul2020'!AP113</f>
        <v>0</v>
      </c>
      <c r="V119" s="40">
        <f>'Tariffs Jul2020'!AQ113</f>
        <v>0</v>
      </c>
      <c r="W119" s="284">
        <f>Q119-(Q119*S119/100)</f>
        <v>1252.6058618181814</v>
      </c>
      <c r="X119" s="284">
        <f t="shared" si="53"/>
        <v>1252.6058618181814</v>
      </c>
      <c r="Y119" s="507">
        <f t="shared" si="57"/>
        <v>1377.8664479999998</v>
      </c>
      <c r="Z119" s="507">
        <f t="shared" si="57"/>
        <v>1377.8664479999998</v>
      </c>
      <c r="AA119" s="274">
        <f>'Tariffs Jul2020'!AZ113</f>
        <v>0</v>
      </c>
      <c r="AB119" s="274" t="str">
        <f>'Tariffs Jul2020'!BA113</f>
        <v>n</v>
      </c>
      <c r="AC119" s="275" t="str">
        <f>'Tariffs Jul2020'!BJ113</f>
        <v>N</v>
      </c>
      <c r="AD119" s="511"/>
      <c r="AE119" s="511"/>
      <c r="AF119" s="513"/>
      <c r="AG119" s="546"/>
      <c r="AH119" s="546"/>
      <c r="AI119" s="546"/>
      <c r="AJ119" s="546"/>
      <c r="AK119" s="546"/>
      <c r="AL119" s="546"/>
      <c r="AM119" s="546"/>
      <c r="AN119" s="546"/>
      <c r="AO119" s="546"/>
      <c r="AP119" s="546"/>
      <c r="AQ119" s="546"/>
      <c r="AR119" s="546"/>
      <c r="AS119" s="546"/>
      <c r="AT119" s="546"/>
      <c r="AU119" s="546"/>
      <c r="AV119" s="546"/>
      <c r="AW119" s="546"/>
      <c r="AX119" s="546"/>
      <c r="AY119" s="546"/>
      <c r="AZ119" s="546"/>
    </row>
    <row r="120" spans="1:52" ht="14" x14ac:dyDescent="0.15">
      <c r="A120" s="270" t="str">
        <f>'Tariffs Jul2020'!F114</f>
        <v>Sumo Power</v>
      </c>
      <c r="B120" s="40" t="str">
        <f>'Tariffs Jul2020'!D114</f>
        <v>AusNet Services Central 2</v>
      </c>
      <c r="C120" s="40" t="str">
        <f>'Tariffs Jul2020'!G114</f>
        <v>Select</v>
      </c>
      <c r="D120" s="59">
        <f>365*'Tariffs Jul2020'!H114/100</f>
        <v>292</v>
      </c>
      <c r="E120" s="59">
        <f>IF($C$5*'Tariffs Jul2020'!AK114/'Tariffs Jul2020'!AI114&gt;='Tariffs Jul2020'!J114,( 'Tariffs Jul2020'!J114*'Tariffs Jul2020'!O114/100)* 'Tariffs Jul2020'!AI114,($C$5*'Tariffs Jul2020'!AK114/'Tariffs Jul2020'!AI114*'Tariffs Jul2020'!O114/100)* 'Tariffs Jul2020'!AI114)</f>
        <v>232.36363636363632</v>
      </c>
      <c r="F120" s="59">
        <f>IF($C$5*'Tariffs Jul2020'!AK114/'Tariffs Jul2020'!AI114&lt;'Tariffs Jul2020'!J114,0,IF($C$5*'Tariffs Jul2020'!AK114/'Tariffs Jul2020'!AI114&lt;='Tariffs Jul2020'!K114,($C$5*'Tariffs Jul2020'!AK114/'Tariffs Jul2020'!AI114-'Tariffs Jul2020'!J114)*('Tariffs Jul2020'!P114/100)*'Tariffs Jul2020'!AI114,('Tariffs Jul2020'!K114-'Tariffs Jul2020'!J114)*('Tariffs Jul2020'!P114/100)*'Tariffs Jul2020'!AI114))</f>
        <v>173.41407272727267</v>
      </c>
      <c r="G120" s="59">
        <f>IF($C$5*'Tariffs Jul2020'!AK114/'Tariffs Jul2020'!AI114&lt;'Tariffs Jul2020'!K114,0,IF($C$5*'Tariffs Jul2020'!AK114/'Tariffs Jul2020'!AI114&lt;='Tariffs Jul2020'!L114,($C$5*'Tariffs Jul2020'!AK114/'Tariffs Jul2020'!AI114-'Tariffs Jul2020'!K114)*('Tariffs Jul2020'!Q114/100)*'Tariffs Jul2020'!AI114,('Tariffs Jul2020'!L114-'Tariffs Jul2020'!K114)*('Tariffs Jul2020'!Q114/100)*'Tariffs Jul2020'!AI114))</f>
        <v>0</v>
      </c>
      <c r="H120" s="59">
        <f>IF($C$5*'Tariffs Jul2020'!AK114/'Tariffs Jul2020'!AI114&lt;'Tariffs Jul2020'!L114,0,IF($C$5*'Tariffs Jul2020'!AK114/'Tariffs Jul2020'!AI114&lt;='Tariffs Jul2020'!M114,($C$5*'Tariffs Jul2020'!AK114/'Tariffs Jul2020'!AI114-'Tariffs Jul2020'!L114)*('Tariffs Jul2020'!R114/100)*'Tariffs Jul2020'!AI114,('Tariffs Jul2020'!M114-'Tariffs Jul2020'!L114)*('Tariffs Jul2020'!R114/100)*'Tariffs Jul2020'!AI114))</f>
        <v>0</v>
      </c>
      <c r="I120" s="59">
        <f>IF(($C$5*'Tariffs Jul2020'!AK114/'Tariffs Jul2020'!AI114&gt;'Tariffs Jul2020'!M114),($C$5*'Tariffs Jul2020'!AK114/'Tariffs Jul2020'!AI114-'Tariffs Jul2020'!M114)*'Tariffs Jul2020'!S114/100*'Tariffs Jul2020'!AI114,0)</f>
        <v>0</v>
      </c>
      <c r="J120" s="59">
        <f>IF($C$5*'Tariffs Jul2020'!AL114/'Tariffs Jul2020'!AJ114&gt;='Tariffs Jul2020'!J114,('Tariffs Jul2020'!J114*'Tariffs Jul2020'!U114/100)* 'Tariffs Jul2020'!AJ114,($C$5*'Tariffs Jul2020'!AL114/'Tariffs Jul2020'!AJ114*'Tariffs Jul2020'!U114/100)* 'Tariffs Jul2020'!AJ114)</f>
        <v>425.45454545454538</v>
      </c>
      <c r="K120" s="59">
        <f>IF($C$5*'Tariffs Jul2020'!AL114/'Tariffs Jul2020'!AJ114&lt;'Tariffs Jul2020'!J114,0,IF($C$5*'Tariffs Jul2020'!AL114/'Tariffs Jul2020'!AJ114&lt;='Tariffs Jul2020'!K114,($C$5*'Tariffs Jul2020'!AL114/'Tariffs Jul2020'!AJ114-'Tariffs Jul2020'!J114)*('Tariffs Jul2020'!V114/100)*'Tariffs Jul2020'!AJ114,('Tariffs Jul2020'!K114-'Tariffs Jul2020'!J114)*('Tariffs Jul2020'!V114/100)*'Tariffs Jul2020'!AJ114))</f>
        <v>315.74449090909081</v>
      </c>
      <c r="L120" s="59">
        <f>IF($C$5*'Tariffs Jul2020'!AL114/'Tariffs Jul2020'!AJ114&lt;'Tariffs Jul2020'!K114,0,IF($C$5*'Tariffs Jul2020'!AL114/'Tariffs Jul2020'!AJ114&lt;='Tariffs Jul2020'!L114,($C$5*'Tariffs Jul2020'!AL114/'Tariffs Jul2020'!AJ114-'Tariffs Jul2020'!K114)*('Tariffs Jul2020'!W114/100)*'Tariffs Jul2020'!AJ114,('Tariffs Jul2020'!L114-'Tariffs Jul2020'!K114)*('Tariffs Jul2020'!W114/100)*'Tariffs Jul2020'!AJ114))</f>
        <v>0</v>
      </c>
      <c r="M120" s="59">
        <f>IF($C$5*'Tariffs Jul2020'!AL114/'Tariffs Jul2020'!AJ114&lt;'Tariffs Jul2020'!L114,0,IF($C$5*'Tariffs Jul2020'!AL114/'Tariffs Jul2020'!AJ114&lt;='Tariffs Jul2020'!M114,($C$5*'Tariffs Jul2020'!AL114/'Tariffs Jul2020'!AJ114-'Tariffs Jul2020'!L114)*('Tariffs Jul2020'!X114/100)*'Tariffs Jul2020'!AJ114,('Tariffs Jul2020'!M114-'Tariffs Jul2020'!L114)*('Tariffs Jul2020'!X114/100)*'Tariffs Jul2020'!AJ114))</f>
        <v>0</v>
      </c>
      <c r="N120" s="59">
        <f>IF(($C$5*'Tariffs Jul2020'!AL114/'Tariffs Jul2020'!AJ114&gt;'Tariffs Jul2020'!M114),($C$5*'Tariffs Jul2020'!AL114/'Tariffs Jul2020'!AJ114-'Tariffs Jul2020'!M114)*'Tariffs Jul2020'!Y114/100*'Tariffs Jul2020'!AJ114,0)</f>
        <v>0</v>
      </c>
      <c r="O120" s="59">
        <f t="shared" si="43"/>
        <v>1146.9767454545452</v>
      </c>
      <c r="P120" s="503">
        <f t="shared" si="31"/>
        <v>1261.6744199999998</v>
      </c>
      <c r="Q120" s="59">
        <f t="shared" si="44"/>
        <v>1438.9767454545452</v>
      </c>
      <c r="R120" s="272">
        <f t="shared" si="45"/>
        <v>1582.8744199999999</v>
      </c>
      <c r="S120" s="40">
        <f>'Tariffs Jul2020'!AN114</f>
        <v>0</v>
      </c>
      <c r="T120" s="40">
        <f>'Tariffs Jul2020'!AO114</f>
        <v>0</v>
      </c>
      <c r="U120" s="40">
        <f>'Tariffs Jul2020'!AP114</f>
        <v>5</v>
      </c>
      <c r="V120" s="40">
        <f>'Tariffs Jul2020'!AQ114</f>
        <v>0</v>
      </c>
      <c r="W120" s="284">
        <f t="shared" ref="W120" si="58">Q120</f>
        <v>1438.9767454545452</v>
      </c>
      <c r="X120" s="284">
        <f>W120-(Q120*U120/100)</f>
        <v>1367.0279081818178</v>
      </c>
      <c r="Y120" s="507">
        <f t="shared" si="57"/>
        <v>1582.8744199999999</v>
      </c>
      <c r="Z120" s="507">
        <f t="shared" si="57"/>
        <v>1503.7306989999997</v>
      </c>
      <c r="AA120" s="274">
        <f>'Tariffs Jul2020'!AZ114</f>
        <v>0</v>
      </c>
      <c r="AB120" s="274" t="str">
        <f>'Tariffs Jul2020'!BA114</f>
        <v>n</v>
      </c>
      <c r="AC120" s="275" t="str">
        <f>'Tariffs Jul2020'!BJ114</f>
        <v>Y</v>
      </c>
      <c r="AD120" s="511"/>
      <c r="AE120" s="511"/>
      <c r="AF120" s="513"/>
      <c r="AG120" s="546"/>
      <c r="AH120" s="546"/>
      <c r="AI120" s="546"/>
      <c r="AJ120" s="546"/>
      <c r="AK120" s="546"/>
      <c r="AL120" s="546"/>
      <c r="AM120" s="546"/>
      <c r="AN120" s="546"/>
      <c r="AO120" s="546"/>
      <c r="AP120" s="546"/>
      <c r="AQ120" s="546"/>
      <c r="AR120" s="546"/>
      <c r="AS120" s="546"/>
      <c r="AT120" s="546"/>
      <c r="AU120" s="546"/>
      <c r="AV120" s="546"/>
      <c r="AW120" s="546"/>
      <c r="AX120" s="546"/>
      <c r="AY120" s="546"/>
      <c r="AZ120" s="546"/>
    </row>
    <row r="121" spans="1:52" ht="14" x14ac:dyDescent="0.15">
      <c r="A121" s="270" t="str">
        <f>'Tariffs Jul2020'!F115</f>
        <v>Amaysim</v>
      </c>
      <c r="B121" s="40" t="str">
        <f>'Tariffs Jul2020'!D115</f>
        <v>AusNet Services Central 2</v>
      </c>
      <c r="C121" s="40" t="str">
        <f>'Tariffs Jul2020'!G115</f>
        <v>Gas as you go</v>
      </c>
      <c r="D121" s="59">
        <f>365*'Tariffs Jul2020'!H115/100</f>
        <v>240.2576</v>
      </c>
      <c r="E121" s="59">
        <f>IF($C$5*'Tariffs Jul2020'!AK115/'Tariffs Jul2020'!AI115&gt;='Tariffs Jul2020'!J115,( 'Tariffs Jul2020'!J115*'Tariffs Jul2020'!O115/100)* 'Tariffs Jul2020'!AI115,($C$5*'Tariffs Jul2020'!AK115/'Tariffs Jul2020'!AI115*'Tariffs Jul2020'!O115/100)* 'Tariffs Jul2020'!AI115)</f>
        <v>289.68</v>
      </c>
      <c r="F121" s="59">
        <f>IF($C$5*'Tariffs Jul2020'!AK115/'Tariffs Jul2020'!AI115&lt;'Tariffs Jul2020'!J115,0,IF($C$5*'Tariffs Jul2020'!AK115/'Tariffs Jul2020'!AI115&lt;='Tariffs Jul2020'!K115,($C$5*'Tariffs Jul2020'!AK115/'Tariffs Jul2020'!AI115-'Tariffs Jul2020'!J115)*('Tariffs Jul2020'!P115/100)*'Tariffs Jul2020'!AI115,('Tariffs Jul2020'!K115-'Tariffs Jul2020'!J115)*('Tariffs Jul2020'!P115/100)*'Tariffs Jul2020'!AI115))</f>
        <v>186.61644599999994</v>
      </c>
      <c r="G121" s="59">
        <f>IF($C$5*'Tariffs Jul2020'!AK115/'Tariffs Jul2020'!AI115&lt;'Tariffs Jul2020'!K115,0,IF($C$5*'Tariffs Jul2020'!AK115/'Tariffs Jul2020'!AI115&lt;='Tariffs Jul2020'!L115,($C$5*'Tariffs Jul2020'!AK115/'Tariffs Jul2020'!AI115-'Tariffs Jul2020'!K115)*('Tariffs Jul2020'!Q115/100)*'Tariffs Jul2020'!AI115,('Tariffs Jul2020'!L115-'Tariffs Jul2020'!K115)*('Tariffs Jul2020'!Q115/100)*'Tariffs Jul2020'!AI115))</f>
        <v>0</v>
      </c>
      <c r="H121" s="59">
        <f>IF($C$5*'Tariffs Jul2020'!AK115/'Tariffs Jul2020'!AI115&lt;'Tariffs Jul2020'!L115,0,IF($C$5*'Tariffs Jul2020'!AK115/'Tariffs Jul2020'!AI115&lt;='Tariffs Jul2020'!M115,($C$5*'Tariffs Jul2020'!AK115/'Tariffs Jul2020'!AI115-'Tariffs Jul2020'!L115)*('Tariffs Jul2020'!R115/100)*'Tariffs Jul2020'!AI115,('Tariffs Jul2020'!M115-'Tariffs Jul2020'!L115)*('Tariffs Jul2020'!R115/100)*'Tariffs Jul2020'!AI115))</f>
        <v>0</v>
      </c>
      <c r="I121" s="59">
        <f>IF(($C$5*'Tariffs Jul2020'!AK115/'Tariffs Jul2020'!AI115&gt;'Tariffs Jul2020'!M115),($C$5*'Tariffs Jul2020'!AK115/'Tariffs Jul2020'!AI115-'Tariffs Jul2020'!M115)*'Tariffs Jul2020'!S115/100*'Tariffs Jul2020'!AI115,0)</f>
        <v>0</v>
      </c>
      <c r="J121" s="59">
        <f>IF($C$5*'Tariffs Jul2020'!AL115/'Tariffs Jul2020'!AJ115&gt;='Tariffs Jul2020'!J115,('Tariffs Jul2020'!J115*'Tariffs Jul2020'!U115/100)* 'Tariffs Jul2020'!AJ115,($C$5*'Tariffs Jul2020'!AL115/'Tariffs Jul2020'!AJ115*'Tariffs Jul2020'!U115/100)* 'Tariffs Jul2020'!AJ115)</f>
        <v>408</v>
      </c>
      <c r="K121" s="59">
        <f>IF($C$5*'Tariffs Jul2020'!AL115/'Tariffs Jul2020'!AJ115&lt;'Tariffs Jul2020'!J115,0,IF($C$5*'Tariffs Jul2020'!AL115/'Tariffs Jul2020'!AJ115&lt;='Tariffs Jul2020'!K115,($C$5*'Tariffs Jul2020'!AL115/'Tariffs Jul2020'!AJ115-'Tariffs Jul2020'!J115)*('Tariffs Jul2020'!V115/100)*'Tariffs Jul2020'!AJ115,('Tariffs Jul2020'!K115-'Tariffs Jul2020'!J115)*('Tariffs Jul2020'!V115/100)*'Tariffs Jul2020'!AJ115))</f>
        <v>299.81002799999987</v>
      </c>
      <c r="L121" s="59">
        <f>IF($C$5*'Tariffs Jul2020'!AL115/'Tariffs Jul2020'!AJ115&lt;'Tariffs Jul2020'!K115,0,IF($C$5*'Tariffs Jul2020'!AL115/'Tariffs Jul2020'!AJ115&lt;='Tariffs Jul2020'!L115,($C$5*'Tariffs Jul2020'!AL115/'Tariffs Jul2020'!AJ115-'Tariffs Jul2020'!K115)*('Tariffs Jul2020'!W115/100)*'Tariffs Jul2020'!AJ115,('Tariffs Jul2020'!L115-'Tariffs Jul2020'!K115)*('Tariffs Jul2020'!W115/100)*'Tariffs Jul2020'!AJ115))</f>
        <v>0</v>
      </c>
      <c r="M121" s="59">
        <f>IF($C$5*'Tariffs Jul2020'!AL115/'Tariffs Jul2020'!AJ115&lt;'Tariffs Jul2020'!L115,0,IF($C$5*'Tariffs Jul2020'!AL115/'Tariffs Jul2020'!AJ115&lt;='Tariffs Jul2020'!M115,($C$5*'Tariffs Jul2020'!AL115/'Tariffs Jul2020'!AJ115-'Tariffs Jul2020'!L115)*('Tariffs Jul2020'!X115/100)*'Tariffs Jul2020'!AJ115,('Tariffs Jul2020'!M115-'Tariffs Jul2020'!L115)*('Tariffs Jul2020'!X115/100)*'Tariffs Jul2020'!AJ115))</f>
        <v>0</v>
      </c>
      <c r="N121" s="59">
        <f>IF(($C$5*'Tariffs Jul2020'!AL115/'Tariffs Jul2020'!AJ115&gt;'Tariffs Jul2020'!M115),($C$5*'Tariffs Jul2020'!AL115/'Tariffs Jul2020'!AJ115-'Tariffs Jul2020'!M115)*'Tariffs Jul2020'!Y115/100*'Tariffs Jul2020'!AJ115,0)</f>
        <v>0</v>
      </c>
      <c r="O121" s="59">
        <f t="shared" si="43"/>
        <v>1184.1064739999997</v>
      </c>
      <c r="P121" s="503">
        <f t="shared" si="31"/>
        <v>1302.5171213999997</v>
      </c>
      <c r="Q121" s="59">
        <f t="shared" si="44"/>
        <v>1424.3640739999996</v>
      </c>
      <c r="R121" s="272">
        <f t="shared" si="45"/>
        <v>1566.8004813999996</v>
      </c>
      <c r="S121" s="40">
        <f>'Tariffs Jul2020'!AN115</f>
        <v>0</v>
      </c>
      <c r="T121" s="40">
        <f>'Tariffs Jul2020'!AO115</f>
        <v>0</v>
      </c>
      <c r="U121" s="40">
        <f>'Tariffs Jul2020'!AP115</f>
        <v>0</v>
      </c>
      <c r="V121" s="40">
        <f>'Tariffs Jul2020'!AQ115</f>
        <v>0</v>
      </c>
      <c r="W121" s="284">
        <f>Q121</f>
        <v>1424.3640739999996</v>
      </c>
      <c r="X121" s="284">
        <f>W121</f>
        <v>1424.3640739999996</v>
      </c>
      <c r="Y121" s="507">
        <f t="shared" si="57"/>
        <v>1566.8004813999996</v>
      </c>
      <c r="Z121" s="507">
        <f t="shared" si="57"/>
        <v>1566.8004813999996</v>
      </c>
      <c r="AA121" s="274">
        <f>'Tariffs Jul2020'!AZ115</f>
        <v>0</v>
      </c>
      <c r="AB121" s="274" t="str">
        <f>'Tariffs Jul2020'!BA115</f>
        <v>n</v>
      </c>
      <c r="AC121" s="275" t="str">
        <f>'Tariffs Jul2020'!BJ115</f>
        <v>N</v>
      </c>
      <c r="AD121" s="511"/>
      <c r="AE121" s="511"/>
      <c r="AF121" s="513"/>
      <c r="AG121" s="546"/>
      <c r="AH121" s="546"/>
      <c r="AI121" s="546"/>
      <c r="AJ121" s="546"/>
      <c r="AK121" s="546"/>
      <c r="AL121" s="546"/>
      <c r="AM121" s="546"/>
      <c r="AN121" s="546"/>
      <c r="AO121" s="546"/>
      <c r="AP121" s="546"/>
      <c r="AQ121" s="546"/>
      <c r="AR121" s="546"/>
      <c r="AS121" s="546"/>
      <c r="AT121" s="546"/>
      <c r="AU121" s="546"/>
      <c r="AV121" s="546"/>
      <c r="AW121" s="546"/>
      <c r="AX121" s="546"/>
      <c r="AY121" s="546"/>
      <c r="AZ121" s="546"/>
    </row>
    <row r="122" spans="1:52" ht="14" x14ac:dyDescent="0.15">
      <c r="A122" s="270" t="str">
        <f>'Tariffs Jul2020'!F116</f>
        <v>GloBird Energy</v>
      </c>
      <c r="B122" s="40" t="str">
        <f>'Tariffs Jul2020'!D116</f>
        <v>AusNet Services Central 2</v>
      </c>
      <c r="C122" s="40" t="str">
        <f>'Tariffs Jul2020'!G116</f>
        <v>GloSave</v>
      </c>
      <c r="D122" s="59">
        <f>365*'Tariffs Jul2020'!H116/100</f>
        <v>277.39999999999998</v>
      </c>
      <c r="E122" s="59">
        <f>IF($C$5*'Tariffs Jul2020'!AK116/'Tariffs Jul2020'!AI116&gt;='Tariffs Jul2020'!J116,( 'Tariffs Jul2020'!J116*'Tariffs Jul2020'!O116/100)* 'Tariffs Jul2020'!AI116,($C$5*'Tariffs Jul2020'!AK116/'Tariffs Jul2020'!AI116*'Tariffs Jul2020'!O116/100)* 'Tariffs Jul2020'!AI116)</f>
        <v>222.54545454545453</v>
      </c>
      <c r="F122" s="59">
        <f>IF($C$5*'Tariffs Jul2020'!AK116/'Tariffs Jul2020'!AI116&lt;'Tariffs Jul2020'!J116,0,IF($C$5*'Tariffs Jul2020'!AK116/'Tariffs Jul2020'!AI116&lt;='Tariffs Jul2020'!K116,($C$5*'Tariffs Jul2020'!AK116/'Tariffs Jul2020'!AI116-'Tariffs Jul2020'!J116)*('Tariffs Jul2020'!P116/100)*'Tariffs Jul2020'!AI116,('Tariffs Jul2020'!K116-'Tariffs Jul2020'!J116)*('Tariffs Jul2020'!P116/100)*'Tariffs Jul2020'!AI116))</f>
        <v>0</v>
      </c>
      <c r="G122" s="59">
        <f>IF($C$5*'Tariffs Jul2020'!AK116/'Tariffs Jul2020'!AI116&lt;'Tariffs Jul2020'!K116,0,IF($C$5*'Tariffs Jul2020'!AK116/'Tariffs Jul2020'!AI116&lt;='Tariffs Jul2020'!L116,($C$5*'Tariffs Jul2020'!AK116/'Tariffs Jul2020'!AI116-'Tariffs Jul2020'!K116)*('Tariffs Jul2020'!Q116/100)*'Tariffs Jul2020'!AI116,('Tariffs Jul2020'!L116-'Tariffs Jul2020'!K116)*('Tariffs Jul2020'!Q116/100)*'Tariffs Jul2020'!AI116))</f>
        <v>0</v>
      </c>
      <c r="H122" s="59">
        <f>IF($C$5*'Tariffs Jul2020'!AK116/'Tariffs Jul2020'!AI116&lt;'Tariffs Jul2020'!L116,0,IF($C$5*'Tariffs Jul2020'!AK116/'Tariffs Jul2020'!AI116&lt;='Tariffs Jul2020'!M116,($C$5*'Tariffs Jul2020'!AK116/'Tariffs Jul2020'!AI116-'Tariffs Jul2020'!L116)*('Tariffs Jul2020'!R116/100)*'Tariffs Jul2020'!AI116,('Tariffs Jul2020'!M116-'Tariffs Jul2020'!L116)*('Tariffs Jul2020'!R116/100)*'Tariffs Jul2020'!AI116))</f>
        <v>0</v>
      </c>
      <c r="I122" s="59">
        <f>IF(($C$5*'Tariffs Jul2020'!AK116/'Tariffs Jul2020'!AI116&gt;'Tariffs Jul2020'!M116),($C$5*'Tariffs Jul2020'!AK116/'Tariffs Jul2020'!AI116-'Tariffs Jul2020'!M116)*'Tariffs Jul2020'!S116/100*'Tariffs Jul2020'!AI116,0)</f>
        <v>134.96849999999995</v>
      </c>
      <c r="J122" s="59">
        <f>IF($C$5*'Tariffs Jul2020'!AL116/'Tariffs Jul2020'!AJ116&gt;='Tariffs Jul2020'!J116,('Tariffs Jul2020'!J116*'Tariffs Jul2020'!U116/100)* 'Tariffs Jul2020'!AJ116,($C$5*'Tariffs Jul2020'!AL116/'Tariffs Jul2020'!AJ116*'Tariffs Jul2020'!U116/100)* 'Tariffs Jul2020'!AJ116)</f>
        <v>331.63636363636363</v>
      </c>
      <c r="K122" s="59">
        <f>IF($C$5*'Tariffs Jul2020'!AL116/'Tariffs Jul2020'!AJ116&lt;'Tariffs Jul2020'!J116,0,IF($C$5*'Tariffs Jul2020'!AL116/'Tariffs Jul2020'!AJ116&lt;='Tariffs Jul2020'!K116,($C$5*'Tariffs Jul2020'!AL116/'Tariffs Jul2020'!AJ116-'Tariffs Jul2020'!J116)*('Tariffs Jul2020'!V116/100)*'Tariffs Jul2020'!AJ116,('Tariffs Jul2020'!K116-'Tariffs Jul2020'!J116)*('Tariffs Jul2020'!V116/100)*'Tariffs Jul2020'!AJ116))</f>
        <v>0</v>
      </c>
      <c r="L122" s="59">
        <f>IF($C$5*'Tariffs Jul2020'!AL116/'Tariffs Jul2020'!AJ116&lt;'Tariffs Jul2020'!K116,0,IF($C$5*'Tariffs Jul2020'!AL116/'Tariffs Jul2020'!AJ116&lt;='Tariffs Jul2020'!L116,($C$5*'Tariffs Jul2020'!AL116/'Tariffs Jul2020'!AJ116-'Tariffs Jul2020'!K116)*('Tariffs Jul2020'!W116/100)*'Tariffs Jul2020'!AJ116,('Tariffs Jul2020'!L116-'Tariffs Jul2020'!K116)*('Tariffs Jul2020'!W116/100)*'Tariffs Jul2020'!AJ116))</f>
        <v>0</v>
      </c>
      <c r="M122" s="59">
        <f>IF($C$5*'Tariffs Jul2020'!AL116/'Tariffs Jul2020'!AJ116&lt;'Tariffs Jul2020'!L116,0,IF($C$5*'Tariffs Jul2020'!AL116/'Tariffs Jul2020'!AJ116&lt;='Tariffs Jul2020'!M116,($C$5*'Tariffs Jul2020'!AL116/'Tariffs Jul2020'!AJ116-'Tariffs Jul2020'!L116)*('Tariffs Jul2020'!X116/100)*'Tariffs Jul2020'!AJ116,('Tariffs Jul2020'!M116-'Tariffs Jul2020'!L116)*('Tariffs Jul2020'!X116/100)*'Tariffs Jul2020'!AJ116))</f>
        <v>0</v>
      </c>
      <c r="N122" s="59">
        <f>IF(($C$5*'Tariffs Jul2020'!AL116/'Tariffs Jul2020'!AJ116&gt;'Tariffs Jul2020'!M116),($C$5*'Tariffs Jul2020'!AL116/'Tariffs Jul2020'!AJ116-'Tariffs Jul2020'!M116)*'Tariffs Jul2020'!Y116/100*'Tariffs Jul2020'!AJ116,0)</f>
        <v>248.66923636363626</v>
      </c>
      <c r="O122" s="59">
        <f t="shared" si="43"/>
        <v>937.81955454545437</v>
      </c>
      <c r="P122" s="503">
        <f t="shared" si="31"/>
        <v>1031.60151</v>
      </c>
      <c r="Q122" s="59">
        <f t="shared" si="44"/>
        <v>1215.2195545454542</v>
      </c>
      <c r="R122" s="272">
        <f t="shared" si="45"/>
        <v>1336.7415099999998</v>
      </c>
      <c r="S122" s="40">
        <f>'Tariffs Jul2020'!AN116</f>
        <v>0</v>
      </c>
      <c r="T122" s="40">
        <f>'Tariffs Jul2020'!AO116</f>
        <v>0</v>
      </c>
      <c r="U122" s="40">
        <f>'Tariffs Jul2020'!AP116</f>
        <v>0</v>
      </c>
      <c r="V122" s="40">
        <f>'Tariffs Jul2020'!AQ116</f>
        <v>0</v>
      </c>
      <c r="W122" s="284">
        <f>Q122</f>
        <v>1215.2195545454542</v>
      </c>
      <c r="X122" s="284">
        <f>W122</f>
        <v>1215.2195545454542</v>
      </c>
      <c r="Y122" s="507">
        <f t="shared" si="57"/>
        <v>1336.7415099999998</v>
      </c>
      <c r="Z122" s="507">
        <f t="shared" si="57"/>
        <v>1336.7415099999998</v>
      </c>
      <c r="AA122" s="274">
        <f>'Tariffs Jul2020'!AZ116</f>
        <v>0</v>
      </c>
      <c r="AB122" s="274" t="str">
        <f>'Tariffs Jul2020'!BA116</f>
        <v>n</v>
      </c>
      <c r="AC122" s="275" t="str">
        <f>'Tariffs Jul2020'!BJ116</f>
        <v>N</v>
      </c>
      <c r="AD122" s="511"/>
      <c r="AE122" s="511"/>
      <c r="AF122" s="513"/>
      <c r="AG122" s="546"/>
      <c r="AH122" s="546"/>
      <c r="AI122" s="546"/>
      <c r="AJ122" s="546"/>
      <c r="AK122" s="546"/>
      <c r="AL122" s="546"/>
      <c r="AM122" s="546"/>
      <c r="AN122" s="546"/>
      <c r="AO122" s="546"/>
      <c r="AP122" s="546"/>
      <c r="AQ122" s="546"/>
      <c r="AR122" s="546"/>
      <c r="AS122" s="546"/>
      <c r="AT122" s="546"/>
      <c r="AU122" s="546"/>
      <c r="AV122" s="546"/>
      <c r="AW122" s="546"/>
      <c r="AX122" s="546"/>
      <c r="AY122" s="546"/>
      <c r="AZ122" s="546"/>
    </row>
    <row r="123" spans="1:52" ht="14" x14ac:dyDescent="0.15">
      <c r="A123" s="270" t="str">
        <f>'Tariffs Jul2020'!F117</f>
        <v>Powershop</v>
      </c>
      <c r="B123" s="40" t="str">
        <f>'Tariffs Jul2020'!D117</f>
        <v>AusNet Services Central 2</v>
      </c>
      <c r="C123" s="40" t="str">
        <f>'Tariffs Jul2020'!G117</f>
        <v>Shopper with Gas Saver</v>
      </c>
      <c r="D123" s="59">
        <f>365*'Tariffs Jul2020'!H117/100</f>
        <v>294.18999999999994</v>
      </c>
      <c r="E123" s="59">
        <f>((C$5*'Tariffs Jul2020'!AK117/'Tariffs Jul2020'!AI117)*('Tariffs Jul2020'!O117/100))*'Tariffs Jul2020'!AI117</f>
        <v>404.68679999999995</v>
      </c>
      <c r="F123" s="59">
        <v>0</v>
      </c>
      <c r="G123" s="59">
        <v>0</v>
      </c>
      <c r="H123" s="59">
        <v>0</v>
      </c>
      <c r="I123" s="59">
        <v>0</v>
      </c>
      <c r="J123" s="59">
        <f>((C$5*'Tariffs Jul2020'!AL117/'Tariffs Jul2020'!AJ117)*('Tariffs Jul2020'!U117/100))*'Tariffs Jul2020'!AJ117</f>
        <v>679.5684</v>
      </c>
      <c r="K123" s="59">
        <v>0</v>
      </c>
      <c r="L123" s="59">
        <v>0</v>
      </c>
      <c r="M123" s="59">
        <v>0</v>
      </c>
      <c r="N123" s="59">
        <v>0</v>
      </c>
      <c r="O123" s="59">
        <f t="shared" si="43"/>
        <v>1084.2552000000001</v>
      </c>
      <c r="P123" s="503">
        <f t="shared" si="31"/>
        <v>1192.6807200000001</v>
      </c>
      <c r="Q123" s="59">
        <f t="shared" si="44"/>
        <v>1378.4452000000001</v>
      </c>
      <c r="R123" s="272">
        <f t="shared" si="45"/>
        <v>1516.2897200000002</v>
      </c>
      <c r="S123" s="40">
        <f>'Tariffs Jul2020'!AN117</f>
        <v>0</v>
      </c>
      <c r="T123" s="40">
        <f>'Tariffs Jul2020'!AO117</f>
        <v>0</v>
      </c>
      <c r="U123" s="40">
        <f>'Tariffs Jul2020'!AP117</f>
        <v>5</v>
      </c>
      <c r="V123" s="40">
        <f>'Tariffs Jul2020'!AQ117</f>
        <v>0</v>
      </c>
      <c r="W123" s="284">
        <f>R123</f>
        <v>1516.2897200000002</v>
      </c>
      <c r="X123" s="284">
        <f>W123-(W123*U123/100)</f>
        <v>1440.4752340000002</v>
      </c>
      <c r="Y123" s="507">
        <f>W123</f>
        <v>1516.2897200000002</v>
      </c>
      <c r="Z123" s="507">
        <f>X123</f>
        <v>1440.4752340000002</v>
      </c>
      <c r="AA123" s="274">
        <f>'Tariffs Jul2020'!AZ117</f>
        <v>0</v>
      </c>
      <c r="AB123" s="274" t="str">
        <f>'Tariffs Jul2020'!BA117</f>
        <v>n</v>
      </c>
      <c r="AC123" s="275" t="str">
        <f>'Tariffs Jul2020'!BJ117</f>
        <v>Y</v>
      </c>
      <c r="AD123" s="511"/>
      <c r="AE123" s="511"/>
      <c r="AF123" s="513"/>
      <c r="AG123" s="546"/>
      <c r="AH123" s="546"/>
      <c r="AI123" s="546"/>
      <c r="AJ123" s="546"/>
      <c r="AK123" s="546"/>
      <c r="AL123" s="546"/>
      <c r="AM123" s="546"/>
      <c r="AN123" s="546"/>
      <c r="AO123" s="546"/>
      <c r="AP123" s="546"/>
      <c r="AQ123" s="546"/>
      <c r="AR123" s="546"/>
      <c r="AS123" s="546"/>
      <c r="AT123" s="546"/>
      <c r="AU123" s="546"/>
      <c r="AV123" s="546"/>
      <c r="AW123" s="546"/>
      <c r="AX123" s="546"/>
      <c r="AY123" s="546"/>
      <c r="AZ123" s="546"/>
    </row>
    <row r="124" spans="1:52" ht="14" x14ac:dyDescent="0.15">
      <c r="A124" s="270" t="str">
        <f>'Tariffs Jul2020'!F118</f>
        <v>1st Energy</v>
      </c>
      <c r="B124" s="40" t="str">
        <f>'Tariffs Jul2020'!D118</f>
        <v>AusNet Services Central 2</v>
      </c>
      <c r="C124" s="40" t="str">
        <f>'Tariffs Jul2020'!G118</f>
        <v>1st Saver</v>
      </c>
      <c r="D124" s="59">
        <f>365*'Tariffs Jul2020'!H118/100</f>
        <v>313.89999999999998</v>
      </c>
      <c r="E124" s="59">
        <f>IF($C$5*'Tariffs Jul2020'!AK118/'Tariffs Jul2020'!AI118&gt;='Tariffs Jul2020'!J118,( 'Tariffs Jul2020'!J118*'Tariffs Jul2020'!O118/100)* 'Tariffs Jul2020'!AI118,($C$5*'Tariffs Jul2020'!AK118/'Tariffs Jul2020'!AI118*'Tariffs Jul2020'!O118/100)* 'Tariffs Jul2020'!AI118)</f>
        <v>382.90909090909088</v>
      </c>
      <c r="F124" s="59">
        <f>IF($C$5*'Tariffs Jul2020'!AK118/'Tariffs Jul2020'!AI118&lt;'Tariffs Jul2020'!J118,0,IF($C$5*'Tariffs Jul2020'!AK118/'Tariffs Jul2020'!AI118&lt;='Tariffs Jul2020'!K118,($C$5*'Tariffs Jul2020'!AK118/'Tariffs Jul2020'!AI118-'Tariffs Jul2020'!J118)*('Tariffs Jul2020'!P118/100)*'Tariffs Jul2020'!AI118,('Tariffs Jul2020'!K118-'Tariffs Jul2020'!J118)*('Tariffs Jul2020'!P118/100)*'Tariffs Jul2020'!AI118))</f>
        <v>263.86363636363632</v>
      </c>
      <c r="G124" s="59">
        <f>IF($C$5*'Tariffs Jul2020'!AK118/'Tariffs Jul2020'!AI118&lt;'Tariffs Jul2020'!K118,0,IF($C$5*'Tariffs Jul2020'!AK118/'Tariffs Jul2020'!AI118&lt;='Tariffs Jul2020'!L118,($C$5*'Tariffs Jul2020'!AK118/'Tariffs Jul2020'!AI118-'Tariffs Jul2020'!K118)*('Tariffs Jul2020'!Q118/100)*'Tariffs Jul2020'!AI118,('Tariffs Jul2020'!L118-'Tariffs Jul2020'!K118)*('Tariffs Jul2020'!Q118/100)*'Tariffs Jul2020'!AI118))</f>
        <v>0</v>
      </c>
      <c r="H124" s="59">
        <f>IF($C$5*'Tariffs Jul2020'!AK118/'Tariffs Jul2020'!AI118&lt;'Tariffs Jul2020'!L118,0,IF($C$5*'Tariffs Jul2020'!AK118/'Tariffs Jul2020'!AI118&lt;='Tariffs Jul2020'!M118,($C$5*'Tariffs Jul2020'!AK118/'Tariffs Jul2020'!AI118-'Tariffs Jul2020'!L118)*('Tariffs Jul2020'!R118/100)*'Tariffs Jul2020'!AI118,('Tariffs Jul2020'!M118-'Tariffs Jul2020'!L118)*('Tariffs Jul2020'!R118/100)*'Tariffs Jul2020'!AI118))</f>
        <v>0</v>
      </c>
      <c r="I124" s="59">
        <f>IF(($C$5*'Tariffs Jul2020'!AK118/'Tariffs Jul2020'!AI118&gt;'Tariffs Jul2020'!M118),($C$5*'Tariffs Jul2020'!AK118/'Tariffs Jul2020'!AI118-'Tariffs Jul2020'!M118)*'Tariffs Jul2020'!S118/100*'Tariffs Jul2020'!AI118,0)</f>
        <v>0</v>
      </c>
      <c r="J124" s="59">
        <f>IF($C$5*'Tariffs Jul2020'!AL118/'Tariffs Jul2020'!AJ118&gt;='Tariffs Jul2020'!J118,('Tariffs Jul2020'!J118*'Tariffs Jul2020'!U118/100)* 'Tariffs Jul2020'!AJ118,($C$5*'Tariffs Jul2020'!AL118/'Tariffs Jul2020'!AJ118*'Tariffs Jul2020'!U118/100)* 'Tariffs Jul2020'!AJ118)</f>
        <v>382.90909090909088</v>
      </c>
      <c r="K124" s="59">
        <f>IF($C$5*'Tariffs Jul2020'!AL118/'Tariffs Jul2020'!AJ118&lt;'Tariffs Jul2020'!J118,0,IF($C$5*'Tariffs Jul2020'!AL118/'Tariffs Jul2020'!AJ118&lt;='Tariffs Jul2020'!K118,($C$5*'Tariffs Jul2020'!AL118/'Tariffs Jul2020'!AJ118-'Tariffs Jul2020'!J118)*('Tariffs Jul2020'!V118/100)*'Tariffs Jul2020'!AJ118,('Tariffs Jul2020'!K118-'Tariffs Jul2020'!J118)*('Tariffs Jul2020'!V118/100)*'Tariffs Jul2020'!AJ118))</f>
        <v>263.86363636363632</v>
      </c>
      <c r="L124" s="59">
        <f>IF($C$5*'Tariffs Jul2020'!AL118/'Tariffs Jul2020'!AJ118&lt;'Tariffs Jul2020'!K118,0,IF($C$5*'Tariffs Jul2020'!AL118/'Tariffs Jul2020'!AJ118&lt;='Tariffs Jul2020'!L118,($C$5*'Tariffs Jul2020'!AL118/'Tariffs Jul2020'!AJ118-'Tariffs Jul2020'!K118)*('Tariffs Jul2020'!W118/100)*'Tariffs Jul2020'!AJ118,('Tariffs Jul2020'!L118-'Tariffs Jul2020'!K118)*('Tariffs Jul2020'!W118/100)*'Tariffs Jul2020'!AJ118))</f>
        <v>0</v>
      </c>
      <c r="M124" s="59">
        <f>IF($C$5*'Tariffs Jul2020'!AL118/'Tariffs Jul2020'!AJ118&lt;'Tariffs Jul2020'!L118,0,IF($C$5*'Tariffs Jul2020'!AL118/'Tariffs Jul2020'!AJ118&lt;='Tariffs Jul2020'!M118,($C$5*'Tariffs Jul2020'!AL118/'Tariffs Jul2020'!AJ118-'Tariffs Jul2020'!L118)*('Tariffs Jul2020'!X118/100)*'Tariffs Jul2020'!AJ118,('Tariffs Jul2020'!M118-'Tariffs Jul2020'!L118)*('Tariffs Jul2020'!X118/100)*'Tariffs Jul2020'!AJ118))</f>
        <v>0</v>
      </c>
      <c r="N124" s="59">
        <f>IF(($C$5*'Tariffs Jul2020'!AL118/'Tariffs Jul2020'!AJ118&gt;'Tariffs Jul2020'!M118),($C$5*'Tariffs Jul2020'!AL118/'Tariffs Jul2020'!AJ118-'Tariffs Jul2020'!M118)*'Tariffs Jul2020'!Y118/100*'Tariffs Jul2020'!AJ118,0)</f>
        <v>0</v>
      </c>
      <c r="O124" s="59">
        <f t="shared" si="43"/>
        <v>1293.5454545454543</v>
      </c>
      <c r="P124" s="503">
        <f t="shared" si="31"/>
        <v>1422.8999999999999</v>
      </c>
      <c r="Q124" s="59">
        <f t="shared" si="44"/>
        <v>1607.4454545454541</v>
      </c>
      <c r="R124" s="272">
        <f t="shared" si="45"/>
        <v>1768.1899999999996</v>
      </c>
      <c r="S124" s="40">
        <f>'Tariffs Jul2020'!AN118</f>
        <v>0</v>
      </c>
      <c r="T124" s="40">
        <f>'Tariffs Jul2020'!AO118</f>
        <v>0</v>
      </c>
      <c r="U124" s="40">
        <f>'Tariffs Jul2020'!AP118</f>
        <v>0</v>
      </c>
      <c r="V124" s="40">
        <f>'Tariffs Jul2020'!AQ118</f>
        <v>15</v>
      </c>
      <c r="W124" s="284">
        <f>Q124</f>
        <v>1607.4454545454541</v>
      </c>
      <c r="X124" s="284">
        <f>W124-(O124*V124/100)</f>
        <v>1413.413636363636</v>
      </c>
      <c r="Y124" s="507">
        <f t="shared" ref="Y124:Z125" si="59">W124*1.1</f>
        <v>1768.1899999999996</v>
      </c>
      <c r="Z124" s="507">
        <f t="shared" si="59"/>
        <v>1554.7549999999997</v>
      </c>
      <c r="AA124" s="274">
        <f>'Tariffs Jul2020'!AZ118</f>
        <v>0</v>
      </c>
      <c r="AB124" s="274" t="str">
        <f>'Tariffs Jul2020'!BA118</f>
        <v>n</v>
      </c>
      <c r="AC124" s="275" t="str">
        <f>'Tariffs Jul2020'!BJ118</f>
        <v>Y</v>
      </c>
      <c r="AD124" s="511"/>
      <c r="AE124" s="511"/>
      <c r="AF124" s="513"/>
      <c r="AG124" s="546"/>
      <c r="AH124" s="546"/>
      <c r="AI124" s="546"/>
      <c r="AJ124" s="546"/>
      <c r="AK124" s="546"/>
      <c r="AL124" s="546"/>
      <c r="AM124" s="546"/>
      <c r="AN124" s="546"/>
      <c r="AO124" s="546"/>
      <c r="AP124" s="546"/>
      <c r="AQ124" s="546"/>
      <c r="AR124" s="546"/>
      <c r="AS124" s="546"/>
      <c r="AT124" s="546"/>
      <c r="AU124" s="546"/>
      <c r="AV124" s="546"/>
      <c r="AW124" s="546"/>
      <c r="AX124" s="546"/>
      <c r="AY124" s="546"/>
      <c r="AZ124" s="546"/>
    </row>
    <row r="125" spans="1:52" ht="15" thickBot="1" x14ac:dyDescent="0.2">
      <c r="A125" s="276" t="str">
        <f>'Tariffs Jul2020'!F119</f>
        <v>Kogan Energy</v>
      </c>
      <c r="B125" s="277" t="str">
        <f>'Tariffs Jul2020'!D119</f>
        <v>AusNet Services Central 2</v>
      </c>
      <c r="C125" s="277" t="str">
        <f>'Tariffs Jul2020'!G119</f>
        <v>Market offer</v>
      </c>
      <c r="D125" s="278">
        <f>365*'Tariffs Jul2020'!H119/100</f>
        <v>281.68045454545455</v>
      </c>
      <c r="E125" s="278">
        <f>((C$5*'Tariffs Jul2020'!AK119/'Tariffs Jul2020'!AI119)*('Tariffs Jul2020'!O119/100))*'Tariffs Jul2020'!AI119</f>
        <v>402.77789999999987</v>
      </c>
      <c r="F125" s="278">
        <v>0</v>
      </c>
      <c r="G125" s="278">
        <v>0</v>
      </c>
      <c r="H125" s="278">
        <v>0</v>
      </c>
      <c r="I125" s="278">
        <v>0</v>
      </c>
      <c r="J125" s="278">
        <f>((C$5*'Tariffs Jul2020'!AL119/'Tariffs Jul2020'!AJ119)*('Tariffs Jul2020'!U119/100))*'Tariffs Jul2020'!AJ119</f>
        <v>729.19979999999987</v>
      </c>
      <c r="K125" s="278">
        <v>0</v>
      </c>
      <c r="L125" s="278">
        <v>0</v>
      </c>
      <c r="M125" s="278">
        <v>0</v>
      </c>
      <c r="N125" s="278">
        <v>0</v>
      </c>
      <c r="O125" s="278">
        <f t="shared" si="43"/>
        <v>1131.9776999999997</v>
      </c>
      <c r="P125" s="504">
        <f t="shared" si="31"/>
        <v>1245.1754699999997</v>
      </c>
      <c r="Q125" s="278">
        <f t="shared" si="44"/>
        <v>1413.6581545454542</v>
      </c>
      <c r="R125" s="280">
        <f t="shared" si="45"/>
        <v>1555.0239699999997</v>
      </c>
      <c r="S125" s="277">
        <f>'Tariffs Jul2020'!AN119</f>
        <v>0</v>
      </c>
      <c r="T125" s="277">
        <f>'Tariffs Jul2020'!AO119</f>
        <v>0</v>
      </c>
      <c r="U125" s="277">
        <f>'Tariffs Jul2020'!AP119</f>
        <v>0</v>
      </c>
      <c r="V125" s="277">
        <f>'Tariffs Jul2020'!AQ119</f>
        <v>0</v>
      </c>
      <c r="W125" s="285">
        <f t="shared" ref="W125" si="60">Q125</f>
        <v>1413.6581545454542</v>
      </c>
      <c r="X125" s="285">
        <f t="shared" ref="X125:X136" si="61">W125</f>
        <v>1413.6581545454542</v>
      </c>
      <c r="Y125" s="508">
        <f t="shared" si="59"/>
        <v>1555.0239699999997</v>
      </c>
      <c r="Z125" s="508">
        <f t="shared" si="59"/>
        <v>1555.0239699999997</v>
      </c>
      <c r="AA125" s="282">
        <f>'Tariffs Jul2020'!AZ119</f>
        <v>0</v>
      </c>
      <c r="AB125" s="282" t="str">
        <f>'Tariffs Jul2020'!BA119</f>
        <v>n</v>
      </c>
      <c r="AC125" s="283" t="str">
        <f>'Tariffs Jul2020'!BJ119</f>
        <v>N</v>
      </c>
      <c r="AD125" s="511"/>
      <c r="AE125" s="511"/>
      <c r="AF125" s="513"/>
      <c r="AG125" s="546"/>
      <c r="AH125" s="546"/>
      <c r="AI125" s="546"/>
      <c r="AJ125" s="546"/>
      <c r="AK125" s="546"/>
      <c r="AL125" s="546"/>
      <c r="AM125" s="546"/>
      <c r="AN125" s="546"/>
      <c r="AO125" s="546"/>
      <c r="AP125" s="546"/>
      <c r="AQ125" s="546"/>
      <c r="AR125" s="546"/>
      <c r="AS125" s="546"/>
      <c r="AT125" s="546"/>
      <c r="AU125" s="546"/>
      <c r="AV125" s="546"/>
      <c r="AW125" s="546"/>
      <c r="AX125" s="546"/>
      <c r="AY125" s="546"/>
      <c r="AZ125" s="546"/>
    </row>
    <row r="126" spans="1:52" ht="15" thickTop="1" x14ac:dyDescent="0.15">
      <c r="A126" s="270" t="str">
        <f>'Tariffs Jul2020'!F120</f>
        <v>AGL</v>
      </c>
      <c r="B126" s="40" t="str">
        <f>'Tariffs Jul2020'!D120</f>
        <v>AusNet Services Central 1</v>
      </c>
      <c r="C126" s="40" t="str">
        <f>'Tariffs Jul2020'!G120</f>
        <v>Essentials Saver</v>
      </c>
      <c r="D126" s="59">
        <f>365*'Tariffs Jul2020'!H120/100</f>
        <v>308.39181818181817</v>
      </c>
      <c r="E126" s="59">
        <f>IF($C$5*'Tariffs Jul2020'!AK120/'Tariffs Jul2020'!AI120&gt;='Tariffs Jul2020'!J120,( 'Tariffs Jul2020'!J120*'Tariffs Jul2020'!O120/100)* 'Tariffs Jul2020'!AI120,($C$5*'Tariffs Jul2020'!AK120/'Tariffs Jul2020'!AI120*'Tariffs Jul2020'!O120/100)* 'Tariffs Jul2020'!AI120)</f>
        <v>223.6363636363636</v>
      </c>
      <c r="F126" s="59">
        <f>IF($C$5*'Tariffs Jul2020'!AK120/'Tariffs Jul2020'!AI120&lt;'Tariffs Jul2020'!J120,0,IF($C$5*'Tariffs Jul2020'!AK120/'Tariffs Jul2020'!AI120&lt;='Tariffs Jul2020'!K120,($C$5*'Tariffs Jul2020'!AK120/'Tariffs Jul2020'!AI120-'Tariffs Jul2020'!J120)*('Tariffs Jul2020'!P120/100)*'Tariffs Jul2020'!AI120,('Tariffs Jul2020'!K120-'Tariffs Jul2020'!J120)*('Tariffs Jul2020'!P120/100)*'Tariffs Jul2020'!AI120))</f>
        <v>162.78019090909083</v>
      </c>
      <c r="G126" s="59">
        <f>IF($C$5*'Tariffs Jul2020'!AK120/'Tariffs Jul2020'!AI120&lt;'Tariffs Jul2020'!K120,0,IF($C$5*'Tariffs Jul2020'!AK120/'Tariffs Jul2020'!AI120&lt;='Tariffs Jul2020'!L120,($C$5*'Tariffs Jul2020'!AK120/'Tariffs Jul2020'!AI120-'Tariffs Jul2020'!K120)*('Tariffs Jul2020'!Q120/100)*'Tariffs Jul2020'!AI120,('Tariffs Jul2020'!L120-'Tariffs Jul2020'!K120)*('Tariffs Jul2020'!Q120/100)*'Tariffs Jul2020'!AI120))</f>
        <v>0</v>
      </c>
      <c r="H126" s="59">
        <f>IF($C$5*'Tariffs Jul2020'!AK120/'Tariffs Jul2020'!AI120&lt;'Tariffs Jul2020'!L120,0,IF($C$5*'Tariffs Jul2020'!AK120/'Tariffs Jul2020'!AI120&lt;='Tariffs Jul2020'!M120,($C$5*'Tariffs Jul2020'!AK120/'Tariffs Jul2020'!AI120-'Tariffs Jul2020'!L120)*('Tariffs Jul2020'!R120/100)*'Tariffs Jul2020'!AI120,('Tariffs Jul2020'!M120-'Tariffs Jul2020'!L120)*('Tariffs Jul2020'!R120/100)*'Tariffs Jul2020'!AI120))</f>
        <v>0</v>
      </c>
      <c r="I126" s="59">
        <f>IF(($C$5*'Tariffs Jul2020'!AK120/'Tariffs Jul2020'!AI120&gt;'Tariffs Jul2020'!M120),($C$5*'Tariffs Jul2020'!AK120/'Tariffs Jul2020'!AI120-'Tariffs Jul2020'!M120)*'Tariffs Jul2020'!S120/100*'Tariffs Jul2020'!AI120,0)</f>
        <v>0</v>
      </c>
      <c r="J126" s="59">
        <f>IF($C$5*'Tariffs Jul2020'!AL120/'Tariffs Jul2020'!AJ120&gt;='Tariffs Jul2020'!J120,('Tariffs Jul2020'!J120*'Tariffs Jul2020'!U120/100)* 'Tariffs Jul2020'!AJ120,($C$5*'Tariffs Jul2020'!AL120/'Tariffs Jul2020'!AJ120*'Tariffs Jul2020'!U120/100)* 'Tariffs Jul2020'!AJ120)</f>
        <v>410.18181818181807</v>
      </c>
      <c r="K126" s="59">
        <f>IF($C$5*'Tariffs Jul2020'!AL120/'Tariffs Jul2020'!AJ120&lt;'Tariffs Jul2020'!J120,0,IF($C$5*'Tariffs Jul2020'!AL120/'Tariffs Jul2020'!AJ120&lt;='Tariffs Jul2020'!K120,($C$5*'Tariffs Jul2020'!AL120/'Tariffs Jul2020'!AJ120-'Tariffs Jul2020'!J120)*('Tariffs Jul2020'!V120/100)*'Tariffs Jul2020'!AJ120,('Tariffs Jul2020'!K120-'Tariffs Jul2020'!J120)*('Tariffs Jul2020'!V120/100)*'Tariffs Jul2020'!AJ120))</f>
        <v>242.12530909090898</v>
      </c>
      <c r="L126" s="59">
        <f>IF($C$5*'Tariffs Jul2020'!AL120/'Tariffs Jul2020'!AJ120&lt;'Tariffs Jul2020'!K120,0,IF($C$5*'Tariffs Jul2020'!AL120/'Tariffs Jul2020'!AJ120&lt;='Tariffs Jul2020'!L120,($C$5*'Tariffs Jul2020'!AL120/'Tariffs Jul2020'!AJ120-'Tariffs Jul2020'!K120)*('Tariffs Jul2020'!W120/100)*'Tariffs Jul2020'!AJ120,('Tariffs Jul2020'!L120-'Tariffs Jul2020'!K120)*('Tariffs Jul2020'!W120/100)*'Tariffs Jul2020'!AJ120))</f>
        <v>0</v>
      </c>
      <c r="M126" s="59">
        <f>IF($C$5*'Tariffs Jul2020'!AL120/'Tariffs Jul2020'!AJ120&lt;'Tariffs Jul2020'!L120,0,IF($C$5*'Tariffs Jul2020'!AL120/'Tariffs Jul2020'!AJ120&lt;='Tariffs Jul2020'!M120,($C$5*'Tariffs Jul2020'!AL120/'Tariffs Jul2020'!AJ120-'Tariffs Jul2020'!L120)*('Tariffs Jul2020'!X120/100)*'Tariffs Jul2020'!AJ120,('Tariffs Jul2020'!M120-'Tariffs Jul2020'!L120)*('Tariffs Jul2020'!X120/100)*'Tariffs Jul2020'!AJ120))</f>
        <v>0</v>
      </c>
      <c r="N126" s="59">
        <f>IF(($C$5*'Tariffs Jul2020'!AL120/'Tariffs Jul2020'!AJ120&gt;'Tariffs Jul2020'!M120),($C$5*'Tariffs Jul2020'!AL120/'Tariffs Jul2020'!AJ120-'Tariffs Jul2020'!M120)*'Tariffs Jul2020'!Y120/100*'Tariffs Jul2020'!AJ120,0)</f>
        <v>0</v>
      </c>
      <c r="O126" s="59">
        <f t="shared" si="43"/>
        <v>1038.7236818181816</v>
      </c>
      <c r="P126" s="503">
        <f t="shared" si="31"/>
        <v>1142.5960499999999</v>
      </c>
      <c r="Q126" s="59">
        <f t="shared" si="44"/>
        <v>1347.1154999999999</v>
      </c>
      <c r="R126" s="272">
        <f t="shared" si="45"/>
        <v>1481.8270500000001</v>
      </c>
      <c r="S126" s="40">
        <f>'Tariffs Jul2020'!AN120</f>
        <v>0</v>
      </c>
      <c r="T126" s="40">
        <f>'Tariffs Jul2020'!AO120</f>
        <v>0</v>
      </c>
      <c r="U126" s="40">
        <f>'Tariffs Jul2020'!AP120</f>
        <v>0</v>
      </c>
      <c r="V126" s="40">
        <f>'Tariffs Jul2020'!AQ120</f>
        <v>0</v>
      </c>
      <c r="W126" s="284">
        <f>Q126</f>
        <v>1347.1154999999999</v>
      </c>
      <c r="X126" s="284">
        <f t="shared" si="61"/>
        <v>1347.1154999999999</v>
      </c>
      <c r="Y126" s="507">
        <f>W126*1.1</f>
        <v>1481.8270500000001</v>
      </c>
      <c r="Z126" s="507">
        <f>X126*1.1</f>
        <v>1481.8270500000001</v>
      </c>
      <c r="AA126" s="274">
        <f>'Tariffs Jul2020'!AZ120</f>
        <v>0</v>
      </c>
      <c r="AB126" s="274" t="str">
        <f>'Tariffs Jul2020'!BA120</f>
        <v>n</v>
      </c>
      <c r="AC126" s="275" t="str">
        <f>'Tariffs Jul2020'!BJ120</f>
        <v>N</v>
      </c>
      <c r="AD126" s="511"/>
      <c r="AE126" s="511"/>
      <c r="AF126" s="513"/>
      <c r="AG126" s="546"/>
      <c r="AH126" s="546"/>
      <c r="AI126" s="546"/>
      <c r="AJ126" s="546"/>
      <c r="AK126" s="546"/>
      <c r="AL126" s="546"/>
      <c r="AM126" s="546"/>
      <c r="AN126" s="546"/>
      <c r="AO126" s="546"/>
      <c r="AP126" s="546"/>
      <c r="AQ126" s="546"/>
      <c r="AR126" s="546"/>
      <c r="AS126" s="546"/>
      <c r="AT126" s="546"/>
      <c r="AU126" s="546"/>
      <c r="AV126" s="546"/>
      <c r="AW126" s="546"/>
      <c r="AX126" s="546"/>
      <c r="AY126" s="546"/>
      <c r="AZ126" s="546"/>
    </row>
    <row r="127" spans="1:52" ht="14" x14ac:dyDescent="0.15">
      <c r="A127" s="270" t="str">
        <f>'Tariffs Jul2020'!F121</f>
        <v>Alinta Energy</v>
      </c>
      <c r="B127" s="40" t="str">
        <f>'Tariffs Jul2020'!D121</f>
        <v>AusNet Services Central 1</v>
      </c>
      <c r="C127" s="40" t="str">
        <f>'Tariffs Jul2020'!G121</f>
        <v>Home Deal</v>
      </c>
      <c r="D127" s="59">
        <f>365*'Tariffs Jul2020'!H121/100</f>
        <v>266.45</v>
      </c>
      <c r="E127" s="59">
        <f>IF($C$5*'Tariffs Jul2020'!AK121/'Tariffs Jul2020'!AI121&gt;='Tariffs Jul2020'!J121,( 'Tariffs Jul2020'!J121*'Tariffs Jul2020'!O121/100)* 'Tariffs Jul2020'!AI121,($C$5*'Tariffs Jul2020'!AK121/'Tariffs Jul2020'!AI121*'Tariffs Jul2020'!O121/100)* 'Tariffs Jul2020'!AI121)</f>
        <v>275.99999999999994</v>
      </c>
      <c r="F127" s="59">
        <f>IF($C$5*'Tariffs Jul2020'!AK121/'Tariffs Jul2020'!AI121&lt;'Tariffs Jul2020'!J121,0,IF($C$5*'Tariffs Jul2020'!AK121/'Tariffs Jul2020'!AI121&lt;='Tariffs Jul2020'!K121,($C$5*'Tariffs Jul2020'!AK121/'Tariffs Jul2020'!AI121-'Tariffs Jul2020'!J121)*('Tariffs Jul2020'!P121/100)*'Tariffs Jul2020'!AI121,('Tariffs Jul2020'!K121-'Tariffs Jul2020'!J121)*('Tariffs Jul2020'!P121/100)*'Tariffs Jul2020'!AI121))</f>
        <v>0</v>
      </c>
      <c r="G127" s="59">
        <f>IF($C$5*'Tariffs Jul2020'!AK121/'Tariffs Jul2020'!AI121&lt;'Tariffs Jul2020'!K121,0,IF($C$5*'Tariffs Jul2020'!AK121/'Tariffs Jul2020'!AI121&lt;='Tariffs Jul2020'!L121,($C$5*'Tariffs Jul2020'!AK121/'Tariffs Jul2020'!AI121-'Tariffs Jul2020'!K121)*('Tariffs Jul2020'!Q121/100)*'Tariffs Jul2020'!AI121,('Tariffs Jul2020'!L121-'Tariffs Jul2020'!K121)*('Tariffs Jul2020'!Q121/100)*'Tariffs Jul2020'!AI121))</f>
        <v>0</v>
      </c>
      <c r="H127" s="59">
        <f>IF($C$5*'Tariffs Jul2020'!AK121/'Tariffs Jul2020'!AI121&lt;'Tariffs Jul2020'!L121,0,IF($C$5*'Tariffs Jul2020'!AK121/'Tariffs Jul2020'!AI121&lt;='Tariffs Jul2020'!M121,($C$5*'Tariffs Jul2020'!AK121/'Tariffs Jul2020'!AI121-'Tariffs Jul2020'!L121)*('Tariffs Jul2020'!R121/100)*'Tariffs Jul2020'!AI121,('Tariffs Jul2020'!M121-'Tariffs Jul2020'!L121)*('Tariffs Jul2020'!R121/100)*'Tariffs Jul2020'!AI121))</f>
        <v>0</v>
      </c>
      <c r="I127" s="59">
        <f>IF(($C$5*'Tariffs Jul2020'!AK121/'Tariffs Jul2020'!AI121&gt;'Tariffs Jul2020'!M121),($C$5*'Tariffs Jul2020'!AK121/'Tariffs Jul2020'!AI121-'Tariffs Jul2020'!M121)*'Tariffs Jul2020'!S121/100*'Tariffs Jul2020'!AI121,0)</f>
        <v>152.96429999999998</v>
      </c>
      <c r="J127" s="59">
        <f>IF($C$5*'Tariffs Jul2020'!AL121/'Tariffs Jul2020'!AJ121&gt;='Tariffs Jul2020'!J121,('Tariffs Jul2020'!J121*'Tariffs Jul2020'!U121/100)* 'Tariffs Jul2020'!AJ121,($C$5*'Tariffs Jul2020'!AL121/'Tariffs Jul2020'!AJ121*'Tariffs Jul2020'!U121/100)* 'Tariffs Jul2020'!AJ121)</f>
        <v>504</v>
      </c>
      <c r="K127" s="59">
        <f>IF($C$5*'Tariffs Jul2020'!AL121/'Tariffs Jul2020'!AJ121&lt;'Tariffs Jul2020'!J121,0,IF($C$5*'Tariffs Jul2020'!AL121/'Tariffs Jul2020'!AJ121&lt;='Tariffs Jul2020'!K121,($C$5*'Tariffs Jul2020'!AL121/'Tariffs Jul2020'!AJ121-'Tariffs Jul2020'!J121)*('Tariffs Jul2020'!V121/100)*'Tariffs Jul2020'!AJ121,('Tariffs Jul2020'!K121-'Tariffs Jul2020'!J121)*('Tariffs Jul2020'!V121/100)*'Tariffs Jul2020'!AJ121))</f>
        <v>0</v>
      </c>
      <c r="L127" s="59">
        <f>IF($C$5*'Tariffs Jul2020'!AL121/'Tariffs Jul2020'!AJ121&lt;'Tariffs Jul2020'!K121,0,IF($C$5*'Tariffs Jul2020'!AL121/'Tariffs Jul2020'!AJ121&lt;='Tariffs Jul2020'!L121,($C$5*'Tariffs Jul2020'!AL121/'Tariffs Jul2020'!AJ121-'Tariffs Jul2020'!K121)*('Tariffs Jul2020'!W121/100)*'Tariffs Jul2020'!AJ121,('Tariffs Jul2020'!L121-'Tariffs Jul2020'!K121)*('Tariffs Jul2020'!W121/100)*'Tariffs Jul2020'!AJ121))</f>
        <v>0</v>
      </c>
      <c r="M127" s="59">
        <f>IF($C$5*'Tariffs Jul2020'!AL121/'Tariffs Jul2020'!AJ121&lt;'Tariffs Jul2020'!L121,0,IF($C$5*'Tariffs Jul2020'!AL121/'Tariffs Jul2020'!AJ121&lt;='Tariffs Jul2020'!M121,($C$5*'Tariffs Jul2020'!AL121/'Tariffs Jul2020'!AJ121-'Tariffs Jul2020'!L121)*('Tariffs Jul2020'!X121/100)*'Tariffs Jul2020'!AJ121,('Tariffs Jul2020'!M121-'Tariffs Jul2020'!L121)*('Tariffs Jul2020'!X121/100)*'Tariffs Jul2020'!AJ121))</f>
        <v>0</v>
      </c>
      <c r="N127" s="59">
        <f>IF(($C$5*'Tariffs Jul2020'!AL121/'Tariffs Jul2020'!AJ121&gt;'Tariffs Jul2020'!M121),($C$5*'Tariffs Jul2020'!AL121/'Tariffs Jul2020'!AJ121-'Tariffs Jul2020'!M121)*'Tariffs Jul2020'!Y121/100*'Tariffs Jul2020'!AJ121,0)</f>
        <v>305.92859999999996</v>
      </c>
      <c r="O127" s="59">
        <f>SUM(E127:N127)</f>
        <v>1238.8928999999998</v>
      </c>
      <c r="P127" s="503">
        <f t="shared" si="31"/>
        <v>1362.7821899999999</v>
      </c>
      <c r="Q127" s="59">
        <f>D127+O127</f>
        <v>1505.3428999999999</v>
      </c>
      <c r="R127" s="272">
        <f>Q127*1.1</f>
        <v>1655.8771899999999</v>
      </c>
      <c r="S127" s="40">
        <f>'Tariffs Jul2020'!AN121</f>
        <v>0</v>
      </c>
      <c r="T127" s="40">
        <f>'Tariffs Jul2020'!AO121</f>
        <v>0</v>
      </c>
      <c r="U127" s="40">
        <f>'Tariffs Jul2020'!AP121</f>
        <v>0</v>
      </c>
      <c r="V127" s="40">
        <f>'Tariffs Jul2020'!AQ121</f>
        <v>0</v>
      </c>
      <c r="W127" s="284">
        <f>Q127</f>
        <v>1505.3428999999999</v>
      </c>
      <c r="X127" s="284">
        <f t="shared" si="61"/>
        <v>1505.3428999999999</v>
      </c>
      <c r="Y127" s="507">
        <f>W127*1.1</f>
        <v>1655.8771899999999</v>
      </c>
      <c r="Z127" s="507">
        <f t="shared" ref="Z127:Z133" si="62">X127*1.1</f>
        <v>1655.8771899999999</v>
      </c>
      <c r="AA127" s="274">
        <f>'Tariffs Jul2020'!AZ121</f>
        <v>0</v>
      </c>
      <c r="AB127" s="274" t="str">
        <f>'Tariffs Jul2020'!BA121</f>
        <v>n</v>
      </c>
      <c r="AC127" s="275" t="str">
        <f>'Tariffs Jul2020'!BJ121</f>
        <v>N</v>
      </c>
      <c r="AD127" s="511"/>
      <c r="AE127" s="511"/>
      <c r="AF127" s="513"/>
      <c r="AG127" s="546"/>
      <c r="AH127" s="546"/>
      <c r="AI127" s="546"/>
      <c r="AJ127" s="546"/>
      <c r="AK127" s="546"/>
      <c r="AL127" s="546"/>
      <c r="AM127" s="546"/>
      <c r="AN127" s="546"/>
      <c r="AO127" s="546"/>
      <c r="AP127" s="546"/>
      <c r="AQ127" s="546"/>
      <c r="AR127" s="546"/>
      <c r="AS127" s="546"/>
      <c r="AT127" s="546"/>
      <c r="AU127" s="546"/>
      <c r="AV127" s="546"/>
      <c r="AW127" s="546"/>
      <c r="AX127" s="546"/>
      <c r="AY127" s="546"/>
      <c r="AZ127" s="546"/>
    </row>
    <row r="128" spans="1:52" ht="14" x14ac:dyDescent="0.15">
      <c r="A128" s="270" t="str">
        <f>'Tariffs Jul2020'!F122</f>
        <v>Click Energy</v>
      </c>
      <c r="B128" s="40" t="str">
        <f>'Tariffs Jul2020'!D122</f>
        <v>AusNet Services Central 1</v>
      </c>
      <c r="C128" s="40" t="str">
        <f>'Tariffs Jul2020'!G122</f>
        <v>Flora</v>
      </c>
      <c r="D128" s="59">
        <f>365*'Tariffs Jul2020'!H122/100</f>
        <v>226.13409090909093</v>
      </c>
      <c r="E128" s="59">
        <f>IF($C$5*'Tariffs Jul2020'!AK122/'Tariffs Jul2020'!AI122&gt;='Tariffs Jul2020'!J122,( 'Tariffs Jul2020'!J122*'Tariffs Jul2020'!O122/100)* 'Tariffs Jul2020'!AI122,($C$5*'Tariffs Jul2020'!AK122/'Tariffs Jul2020'!AI122*'Tariffs Jul2020'!O122/100)* 'Tariffs Jul2020'!AI122)</f>
        <v>272.72727272727269</v>
      </c>
      <c r="F128" s="59">
        <f>IF($C$5*'Tariffs Jul2020'!AK122/'Tariffs Jul2020'!AI122&lt;'Tariffs Jul2020'!J122,0,IF($C$5*'Tariffs Jul2020'!AK122/'Tariffs Jul2020'!AI122&lt;='Tariffs Jul2020'!K122,($C$5*'Tariffs Jul2020'!AK122/'Tariffs Jul2020'!AI122-'Tariffs Jul2020'!J122)*('Tariffs Jul2020'!P122/100)*'Tariffs Jul2020'!AI122,('Tariffs Jul2020'!K122-'Tariffs Jul2020'!J122)*('Tariffs Jul2020'!P122/100)*'Tariffs Jul2020'!AI122))</f>
        <v>175.86804545454538</v>
      </c>
      <c r="G128" s="59">
        <f>IF($C$5*'Tariffs Jul2020'!AK122/'Tariffs Jul2020'!AI122&lt;'Tariffs Jul2020'!K122,0,IF($C$5*'Tariffs Jul2020'!AK122/'Tariffs Jul2020'!AI122&lt;='Tariffs Jul2020'!L122,($C$5*'Tariffs Jul2020'!AK122/'Tariffs Jul2020'!AI122-'Tariffs Jul2020'!K122)*('Tariffs Jul2020'!Q122/100)*'Tariffs Jul2020'!AI122,('Tariffs Jul2020'!L122-'Tariffs Jul2020'!K122)*('Tariffs Jul2020'!Q122/100)*'Tariffs Jul2020'!AI122))</f>
        <v>0</v>
      </c>
      <c r="H128" s="59">
        <f>IF($C$5*'Tariffs Jul2020'!AK122/'Tariffs Jul2020'!AI122&lt;'Tariffs Jul2020'!L122,0,IF($C$5*'Tariffs Jul2020'!AK122/'Tariffs Jul2020'!AI122&lt;='Tariffs Jul2020'!M122,($C$5*'Tariffs Jul2020'!AK122/'Tariffs Jul2020'!AI122-'Tariffs Jul2020'!L122)*('Tariffs Jul2020'!R122/100)*'Tariffs Jul2020'!AI122,('Tariffs Jul2020'!M122-'Tariffs Jul2020'!L122)*('Tariffs Jul2020'!R122/100)*'Tariffs Jul2020'!AI122))</f>
        <v>0</v>
      </c>
      <c r="I128" s="59">
        <f>IF(($C$5*'Tariffs Jul2020'!AK122/'Tariffs Jul2020'!AI122&gt;'Tariffs Jul2020'!M122),($C$5*'Tariffs Jul2020'!AK122/'Tariffs Jul2020'!AI122-'Tariffs Jul2020'!M122)*'Tariffs Jul2020'!S122/100*'Tariffs Jul2020'!AI122,0)</f>
        <v>0</v>
      </c>
      <c r="J128" s="59">
        <f>IF($C$5*'Tariffs Jul2020'!AL122/'Tariffs Jul2020'!AJ122&gt;='Tariffs Jul2020'!J122,('Tariffs Jul2020'!J122*'Tariffs Jul2020'!U122/100)* 'Tariffs Jul2020'!AJ122,($C$5*'Tariffs Jul2020'!AL122/'Tariffs Jul2020'!AJ122*'Tariffs Jul2020'!U122/100)* 'Tariffs Jul2020'!AJ122)</f>
        <v>384</v>
      </c>
      <c r="K128" s="59">
        <f>IF($C$5*'Tariffs Jul2020'!AL122/'Tariffs Jul2020'!AJ122&lt;'Tariffs Jul2020'!J122,0,IF($C$5*'Tariffs Jul2020'!AL122/'Tariffs Jul2020'!AJ122&lt;='Tariffs Jul2020'!K122,($C$5*'Tariffs Jul2020'!AL122/'Tariffs Jul2020'!AJ122-'Tariffs Jul2020'!J122)*('Tariffs Jul2020'!V122/100)*'Tariffs Jul2020'!AJ122,('Tariffs Jul2020'!K122-'Tariffs Jul2020'!J122)*('Tariffs Jul2020'!V122/100)*'Tariffs Jul2020'!AJ122))</f>
        <v>281.38887272727266</v>
      </c>
      <c r="L128" s="59">
        <f>IF($C$5*'Tariffs Jul2020'!AL122/'Tariffs Jul2020'!AJ122&lt;'Tariffs Jul2020'!K122,0,IF($C$5*'Tariffs Jul2020'!AL122/'Tariffs Jul2020'!AJ122&lt;='Tariffs Jul2020'!L122,($C$5*'Tariffs Jul2020'!AL122/'Tariffs Jul2020'!AJ122-'Tariffs Jul2020'!K122)*('Tariffs Jul2020'!W122/100)*'Tariffs Jul2020'!AJ122,('Tariffs Jul2020'!L122-'Tariffs Jul2020'!K122)*('Tariffs Jul2020'!W122/100)*'Tariffs Jul2020'!AJ122))</f>
        <v>0</v>
      </c>
      <c r="M128" s="59">
        <f>IF($C$5*'Tariffs Jul2020'!AL122/'Tariffs Jul2020'!AJ122&lt;'Tariffs Jul2020'!L122,0,IF($C$5*'Tariffs Jul2020'!AL122/'Tariffs Jul2020'!AJ122&lt;='Tariffs Jul2020'!M122,($C$5*'Tariffs Jul2020'!AL122/'Tariffs Jul2020'!AJ122-'Tariffs Jul2020'!L122)*('Tariffs Jul2020'!X122/100)*'Tariffs Jul2020'!AJ122,('Tariffs Jul2020'!M122-'Tariffs Jul2020'!L122)*('Tariffs Jul2020'!X122/100)*'Tariffs Jul2020'!AJ122))</f>
        <v>0</v>
      </c>
      <c r="N128" s="59">
        <f>IF(($C$5*'Tariffs Jul2020'!AL122/'Tariffs Jul2020'!AJ122&gt;'Tariffs Jul2020'!M122),($C$5*'Tariffs Jul2020'!AL122/'Tariffs Jul2020'!AJ122-'Tariffs Jul2020'!M122)*'Tariffs Jul2020'!Y122/100*'Tariffs Jul2020'!AJ122,0)</f>
        <v>0</v>
      </c>
      <c r="O128" s="59">
        <f t="shared" ref="O128:O142" si="63">SUM(E128:N128)</f>
        <v>1113.9841909090908</v>
      </c>
      <c r="P128" s="503">
        <f t="shared" si="31"/>
        <v>1225.3826099999999</v>
      </c>
      <c r="Q128" s="59">
        <f t="shared" ref="Q128:Q142" si="64">D128+O128</f>
        <v>1340.1182818181817</v>
      </c>
      <c r="R128" s="272">
        <f t="shared" ref="R128:R142" si="65">Q128*1.1</f>
        <v>1474.1301100000001</v>
      </c>
      <c r="S128" s="40">
        <f>'Tariffs Jul2020'!AN122</f>
        <v>0</v>
      </c>
      <c r="T128" s="40">
        <f>'Tariffs Jul2020'!AO122</f>
        <v>0</v>
      </c>
      <c r="U128" s="40">
        <f>'Tariffs Jul2020'!AP122</f>
        <v>0</v>
      </c>
      <c r="V128" s="40">
        <f>'Tariffs Jul2020'!AQ122</f>
        <v>0</v>
      </c>
      <c r="W128" s="284">
        <f>Q128</f>
        <v>1340.1182818181817</v>
      </c>
      <c r="X128" s="284">
        <f t="shared" si="61"/>
        <v>1340.1182818181817</v>
      </c>
      <c r="Y128" s="507">
        <f t="shared" ref="Y128:Y133" si="66">W128*1.1</f>
        <v>1474.1301100000001</v>
      </c>
      <c r="Z128" s="507">
        <f t="shared" si="62"/>
        <v>1474.1301100000001</v>
      </c>
      <c r="AA128" s="274">
        <f>'Tariffs Jul2020'!AZ122</f>
        <v>0</v>
      </c>
      <c r="AB128" s="274" t="str">
        <f>'Tariffs Jul2020'!BA122</f>
        <v>n</v>
      </c>
      <c r="AC128" s="275" t="str">
        <f>'Tariffs Jul2020'!BJ122</f>
        <v>N</v>
      </c>
      <c r="AD128" s="511"/>
      <c r="AE128" s="511"/>
      <c r="AF128" s="513"/>
      <c r="AG128" s="546"/>
      <c r="AH128" s="546"/>
      <c r="AI128" s="546"/>
      <c r="AJ128" s="546"/>
      <c r="AK128" s="546"/>
      <c r="AL128" s="546"/>
      <c r="AM128" s="546"/>
      <c r="AN128" s="546"/>
      <c r="AO128" s="546"/>
      <c r="AP128" s="546"/>
      <c r="AQ128" s="546"/>
      <c r="AR128" s="546"/>
      <c r="AS128" s="546"/>
      <c r="AT128" s="546"/>
      <c r="AU128" s="546"/>
      <c r="AV128" s="546"/>
      <c r="AW128" s="546"/>
      <c r="AX128" s="546"/>
      <c r="AY128" s="546"/>
      <c r="AZ128" s="546"/>
    </row>
    <row r="129" spans="1:52" ht="14" x14ac:dyDescent="0.15">
      <c r="A129" s="270" t="str">
        <f>'Tariffs Jul2020'!F123</f>
        <v>Covau</v>
      </c>
      <c r="B129" s="40" t="str">
        <f>'Tariffs Jul2020'!D123</f>
        <v>AusNet Services Central 1</v>
      </c>
      <c r="C129" s="40" t="str">
        <f>'Tariffs Jul2020'!G123</f>
        <v>Smart Saver</v>
      </c>
      <c r="D129" s="59">
        <f>365*'Tariffs Jul2020'!H123/100</f>
        <v>310.25</v>
      </c>
      <c r="E129" s="59">
        <f>IF($C$5*'Tariffs Jul2020'!AK123/'Tariffs Jul2020'!AI123&gt;='Tariffs Jul2020'!J123,( 'Tariffs Jul2020'!J123*'Tariffs Jul2020'!O123/100)* 'Tariffs Jul2020'!AI123,($C$5*'Tariffs Jul2020'!AK123/'Tariffs Jul2020'!AI123*'Tariffs Jul2020'!O123/100)* 'Tariffs Jul2020'!AI123)</f>
        <v>344.72727272727275</v>
      </c>
      <c r="F129" s="59">
        <f>IF($C$5*'Tariffs Jul2020'!AK123/'Tariffs Jul2020'!AI123&lt;'Tariffs Jul2020'!J123,0,IF($C$5*'Tariffs Jul2020'!AK123/'Tariffs Jul2020'!AI123&lt;='Tariffs Jul2020'!K123,($C$5*'Tariffs Jul2020'!AK123/'Tariffs Jul2020'!AI123-'Tariffs Jul2020'!J123)*('Tariffs Jul2020'!P123/100)*'Tariffs Jul2020'!AI123,('Tariffs Jul2020'!K123-'Tariffs Jul2020'!J123)*('Tariffs Jul2020'!P123/100)*'Tariffs Jul2020'!AI123))</f>
        <v>229.85544545454536</v>
      </c>
      <c r="G129" s="59">
        <f>IF($C$5*'Tariffs Jul2020'!AK123/'Tariffs Jul2020'!AI123&lt;'Tariffs Jul2020'!K123,0,IF($C$5*'Tariffs Jul2020'!AK123/'Tariffs Jul2020'!AI123&lt;='Tariffs Jul2020'!L123,($C$5*'Tariffs Jul2020'!AK123/'Tariffs Jul2020'!AI123-'Tariffs Jul2020'!K123)*('Tariffs Jul2020'!Q123/100)*'Tariffs Jul2020'!AI123,('Tariffs Jul2020'!L123-'Tariffs Jul2020'!K123)*('Tariffs Jul2020'!Q123/100)*'Tariffs Jul2020'!AI123))</f>
        <v>0</v>
      </c>
      <c r="H129" s="59">
        <f>IF($C$5*'Tariffs Jul2020'!AK123/'Tariffs Jul2020'!AI123&lt;'Tariffs Jul2020'!L123,0,IF($C$5*'Tariffs Jul2020'!AK123/'Tariffs Jul2020'!AI123&lt;='Tariffs Jul2020'!M123,($C$5*'Tariffs Jul2020'!AK123/'Tariffs Jul2020'!AI123-'Tariffs Jul2020'!L123)*('Tariffs Jul2020'!R123/100)*'Tariffs Jul2020'!AI123,('Tariffs Jul2020'!M123-'Tariffs Jul2020'!L123)*('Tariffs Jul2020'!R123/100)*'Tariffs Jul2020'!AI123))</f>
        <v>0</v>
      </c>
      <c r="I129" s="59">
        <f>IF(($C$5*'Tariffs Jul2020'!AK123/'Tariffs Jul2020'!AI123&gt;'Tariffs Jul2020'!M123),($C$5*'Tariffs Jul2020'!AK123/'Tariffs Jul2020'!AI123-'Tariffs Jul2020'!M123)*'Tariffs Jul2020'!S123/100*'Tariffs Jul2020'!AI123,0)</f>
        <v>0</v>
      </c>
      <c r="J129" s="59">
        <f>IF($C$5*'Tariffs Jul2020'!AL123/'Tariffs Jul2020'!AJ123&gt;='Tariffs Jul2020'!J123,('Tariffs Jul2020'!J123*'Tariffs Jul2020'!U123/100)* 'Tariffs Jul2020'!AJ123,($C$5*'Tariffs Jul2020'!AL123/'Tariffs Jul2020'!AJ123*'Tariffs Jul2020'!U123/100)* 'Tariffs Jul2020'!AJ123)</f>
        <v>576</v>
      </c>
      <c r="K129" s="59">
        <f>IF($C$5*'Tariffs Jul2020'!AL123/'Tariffs Jul2020'!AJ123&lt;'Tariffs Jul2020'!J123,0,IF($C$5*'Tariffs Jul2020'!AL123/'Tariffs Jul2020'!AJ123&lt;='Tariffs Jul2020'!K123,($C$5*'Tariffs Jul2020'!AL123/'Tariffs Jul2020'!AJ123-'Tariffs Jul2020'!J123)*('Tariffs Jul2020'!V123/100)*'Tariffs Jul2020'!AJ123,('Tariffs Jul2020'!K123-'Tariffs Jul2020'!J123)*('Tariffs Jul2020'!V123/100)*'Tariffs Jul2020'!AJ123))</f>
        <v>395.90759999999989</v>
      </c>
      <c r="L129" s="59">
        <f>IF($C$5*'Tariffs Jul2020'!AL123/'Tariffs Jul2020'!AJ123&lt;'Tariffs Jul2020'!K123,0,IF($C$5*'Tariffs Jul2020'!AL123/'Tariffs Jul2020'!AJ123&lt;='Tariffs Jul2020'!L123,($C$5*'Tariffs Jul2020'!AL123/'Tariffs Jul2020'!AJ123-'Tariffs Jul2020'!K123)*('Tariffs Jul2020'!W123/100)*'Tariffs Jul2020'!AJ123,('Tariffs Jul2020'!L123-'Tariffs Jul2020'!K123)*('Tariffs Jul2020'!W123/100)*'Tariffs Jul2020'!AJ123))</f>
        <v>0</v>
      </c>
      <c r="M129" s="59">
        <f>IF($C$5*'Tariffs Jul2020'!AL123/'Tariffs Jul2020'!AJ123&lt;'Tariffs Jul2020'!L123,0,IF($C$5*'Tariffs Jul2020'!AL123/'Tariffs Jul2020'!AJ123&lt;='Tariffs Jul2020'!M123,($C$5*'Tariffs Jul2020'!AL123/'Tariffs Jul2020'!AJ123-'Tariffs Jul2020'!L123)*('Tariffs Jul2020'!X123/100)*'Tariffs Jul2020'!AJ123,('Tariffs Jul2020'!M123-'Tariffs Jul2020'!L123)*('Tariffs Jul2020'!X123/100)*'Tariffs Jul2020'!AJ123))</f>
        <v>0</v>
      </c>
      <c r="N129" s="59">
        <f>IF(($C$5*'Tariffs Jul2020'!AL123/'Tariffs Jul2020'!AJ123&gt;'Tariffs Jul2020'!M123),($C$5*'Tariffs Jul2020'!AL123/'Tariffs Jul2020'!AJ123-'Tariffs Jul2020'!M123)*'Tariffs Jul2020'!Y123/100*'Tariffs Jul2020'!AJ123,0)</f>
        <v>0</v>
      </c>
      <c r="O129" s="59">
        <f t="shared" si="63"/>
        <v>1546.4903181818181</v>
      </c>
      <c r="P129" s="503">
        <f t="shared" si="31"/>
        <v>1701.1393500000001</v>
      </c>
      <c r="Q129" s="59">
        <f t="shared" si="64"/>
        <v>1856.7403181818181</v>
      </c>
      <c r="R129" s="272">
        <f t="shared" si="65"/>
        <v>2042.41435</v>
      </c>
      <c r="S129" s="40">
        <f>'Tariffs Jul2020'!AN123</f>
        <v>0</v>
      </c>
      <c r="T129" s="40">
        <f>'Tariffs Jul2020'!AO123</f>
        <v>16</v>
      </c>
      <c r="U129" s="40">
        <f>'Tariffs Jul2020'!AP123</f>
        <v>0</v>
      </c>
      <c r="V129" s="40">
        <f>'Tariffs Jul2020'!AQ123</f>
        <v>0</v>
      </c>
      <c r="W129" s="284">
        <f>Q129-(O129*T129/100)</f>
        <v>1609.3018672727271</v>
      </c>
      <c r="X129" s="284">
        <f t="shared" si="61"/>
        <v>1609.3018672727271</v>
      </c>
      <c r="Y129" s="507">
        <f t="shared" si="66"/>
        <v>1770.2320540000001</v>
      </c>
      <c r="Z129" s="507">
        <f t="shared" si="62"/>
        <v>1770.2320540000001</v>
      </c>
      <c r="AA129" s="274">
        <f>'Tariffs Jul2020'!AZ123</f>
        <v>0</v>
      </c>
      <c r="AB129" s="274" t="str">
        <f>'Tariffs Jul2020'!BA123</f>
        <v>n</v>
      </c>
      <c r="AC129" s="275" t="str">
        <f>'Tariffs Jul2020'!BJ123</f>
        <v>N</v>
      </c>
      <c r="AD129" s="511"/>
      <c r="AE129" s="511"/>
      <c r="AF129" s="513"/>
      <c r="AG129" s="546"/>
      <c r="AH129" s="546"/>
      <c r="AI129" s="546"/>
      <c r="AJ129" s="546"/>
      <c r="AK129" s="546"/>
      <c r="AL129" s="546"/>
      <c r="AM129" s="546"/>
      <c r="AN129" s="546"/>
      <c r="AO129" s="546"/>
      <c r="AP129" s="546"/>
      <c r="AQ129" s="546"/>
      <c r="AR129" s="546"/>
      <c r="AS129" s="546"/>
      <c r="AT129" s="546"/>
      <c r="AU129" s="546"/>
      <c r="AV129" s="546"/>
      <c r="AW129" s="546"/>
      <c r="AX129" s="546"/>
      <c r="AY129" s="546"/>
      <c r="AZ129" s="546"/>
    </row>
    <row r="130" spans="1:52" ht="14" x14ac:dyDescent="0.15">
      <c r="A130" s="270" t="str">
        <f>'Tariffs Jul2020'!F124</f>
        <v>Dodo Power &amp; Gas</v>
      </c>
      <c r="B130" s="40" t="str">
        <f>'Tariffs Jul2020'!D124</f>
        <v>AusNet Services Central 1</v>
      </c>
      <c r="C130" s="40" t="str">
        <f>'Tariffs Jul2020'!G124</f>
        <v>Market offer</v>
      </c>
      <c r="D130" s="59">
        <f>365*'Tariffs Jul2020'!H124/100</f>
        <v>274.67909090909086</v>
      </c>
      <c r="E130" s="59">
        <f>IF($C$5*'Tariffs Jul2020'!AK124/'Tariffs Jul2020'!AI124&gt;='Tariffs Jul2020'!J124,( 'Tariffs Jul2020'!J124*'Tariffs Jul2020'!O124/100)* 'Tariffs Jul2020'!AI124,($C$5*'Tariffs Jul2020'!AK124/'Tariffs Jul2020'!AI124*'Tariffs Jul2020'!O124/100)* 'Tariffs Jul2020'!AI124)</f>
        <v>268.36363636363637</v>
      </c>
      <c r="F130" s="59">
        <f>IF($C$5*'Tariffs Jul2020'!AK124/'Tariffs Jul2020'!AI124&lt;'Tariffs Jul2020'!J124,0,IF($C$5*'Tariffs Jul2020'!AK124/'Tariffs Jul2020'!AI124&lt;='Tariffs Jul2020'!K124,($C$5*'Tariffs Jul2020'!AK124/'Tariffs Jul2020'!AI124-'Tariffs Jul2020'!J124)*('Tariffs Jul2020'!P124/100)*'Tariffs Jul2020'!AI124,('Tariffs Jul2020'!K124-'Tariffs Jul2020'!J124)*('Tariffs Jul2020'!P124/100)*'Tariffs Jul2020'!AI124))</f>
        <v>174.23206363636356</v>
      </c>
      <c r="G130" s="59">
        <f>IF($C$5*'Tariffs Jul2020'!AK124/'Tariffs Jul2020'!AI124&lt;'Tariffs Jul2020'!K124,0,IF($C$5*'Tariffs Jul2020'!AK124/'Tariffs Jul2020'!AI124&lt;='Tariffs Jul2020'!L124,($C$5*'Tariffs Jul2020'!AK124/'Tariffs Jul2020'!AI124-'Tariffs Jul2020'!K124)*('Tariffs Jul2020'!Q124/100)*'Tariffs Jul2020'!AI124,('Tariffs Jul2020'!L124-'Tariffs Jul2020'!K124)*('Tariffs Jul2020'!Q124/100)*'Tariffs Jul2020'!AI124))</f>
        <v>0</v>
      </c>
      <c r="H130" s="59">
        <f>IF($C$5*'Tariffs Jul2020'!AK124/'Tariffs Jul2020'!AI124&lt;'Tariffs Jul2020'!L124,0,IF($C$5*'Tariffs Jul2020'!AK124/'Tariffs Jul2020'!AI124&lt;='Tariffs Jul2020'!M124,($C$5*'Tariffs Jul2020'!AK124/'Tariffs Jul2020'!AI124-'Tariffs Jul2020'!L124)*('Tariffs Jul2020'!R124/100)*'Tariffs Jul2020'!AI124,('Tariffs Jul2020'!M124-'Tariffs Jul2020'!L124)*('Tariffs Jul2020'!R124/100)*'Tariffs Jul2020'!AI124))</f>
        <v>0</v>
      </c>
      <c r="I130" s="59">
        <f>IF(($C$5*'Tariffs Jul2020'!AK124/'Tariffs Jul2020'!AI124&gt;'Tariffs Jul2020'!M124),($C$5*'Tariffs Jul2020'!AK124/'Tariffs Jul2020'!AI124-'Tariffs Jul2020'!M124)*'Tariffs Jul2020'!S124/100*'Tariffs Jul2020'!AI124,0)</f>
        <v>0</v>
      </c>
      <c r="J130" s="59">
        <f>IF($C$5*'Tariffs Jul2020'!AL124/'Tariffs Jul2020'!AJ124&gt;='Tariffs Jul2020'!J124,('Tariffs Jul2020'!J124*'Tariffs Jul2020'!U124/100)* 'Tariffs Jul2020'!AJ124,($C$5*'Tariffs Jul2020'!AL124/'Tariffs Jul2020'!AJ124*'Tariffs Jul2020'!U124/100)* 'Tariffs Jul2020'!AJ124)</f>
        <v>418.90909090909082</v>
      </c>
      <c r="K130" s="59">
        <f>IF($C$5*'Tariffs Jul2020'!AL124/'Tariffs Jul2020'!AJ124&lt;'Tariffs Jul2020'!J124,0,IF($C$5*'Tariffs Jul2020'!AL124/'Tariffs Jul2020'!AJ124&lt;='Tariffs Jul2020'!K124,($C$5*'Tariffs Jul2020'!AL124/'Tariffs Jul2020'!AJ124-'Tariffs Jul2020'!J124)*('Tariffs Jul2020'!V124/100)*'Tariffs Jul2020'!AJ124,('Tariffs Jul2020'!K124-'Tariffs Jul2020'!J124)*('Tariffs Jul2020'!V124/100)*'Tariffs Jul2020'!AJ124))</f>
        <v>304.29261818181811</v>
      </c>
      <c r="L130" s="59">
        <f>IF($C$5*'Tariffs Jul2020'!AL124/'Tariffs Jul2020'!AJ124&lt;'Tariffs Jul2020'!K124,0,IF($C$5*'Tariffs Jul2020'!AL124/'Tariffs Jul2020'!AJ124&lt;='Tariffs Jul2020'!L124,($C$5*'Tariffs Jul2020'!AL124/'Tariffs Jul2020'!AJ124-'Tariffs Jul2020'!K124)*('Tariffs Jul2020'!W124/100)*'Tariffs Jul2020'!AJ124,('Tariffs Jul2020'!L124-'Tariffs Jul2020'!K124)*('Tariffs Jul2020'!W124/100)*'Tariffs Jul2020'!AJ124))</f>
        <v>0</v>
      </c>
      <c r="M130" s="59">
        <f>IF($C$5*'Tariffs Jul2020'!AL124/'Tariffs Jul2020'!AJ124&lt;'Tariffs Jul2020'!L124,0,IF($C$5*'Tariffs Jul2020'!AL124/'Tariffs Jul2020'!AJ124&lt;='Tariffs Jul2020'!M124,($C$5*'Tariffs Jul2020'!AL124/'Tariffs Jul2020'!AJ124-'Tariffs Jul2020'!L124)*('Tariffs Jul2020'!X124/100)*'Tariffs Jul2020'!AJ124,('Tariffs Jul2020'!M124-'Tariffs Jul2020'!L124)*('Tariffs Jul2020'!X124/100)*'Tariffs Jul2020'!AJ124))</f>
        <v>0</v>
      </c>
      <c r="N130" s="59">
        <f>IF(($C$5*'Tariffs Jul2020'!AL124/'Tariffs Jul2020'!AJ124&gt;'Tariffs Jul2020'!M124),($C$5*'Tariffs Jul2020'!AL124/'Tariffs Jul2020'!AJ124-'Tariffs Jul2020'!M124)*'Tariffs Jul2020'!Y124/100*'Tariffs Jul2020'!AJ124,0)</f>
        <v>0</v>
      </c>
      <c r="O130" s="59">
        <f t="shared" si="63"/>
        <v>1165.797409090909</v>
      </c>
      <c r="P130" s="503">
        <f t="shared" si="31"/>
        <v>1282.37715</v>
      </c>
      <c r="Q130" s="59">
        <f t="shared" si="64"/>
        <v>1440.4764999999998</v>
      </c>
      <c r="R130" s="272">
        <f t="shared" si="65"/>
        <v>1584.52415</v>
      </c>
      <c r="S130" s="40">
        <f>'Tariffs Jul2020'!AN124</f>
        <v>0</v>
      </c>
      <c r="T130" s="40">
        <f>'Tariffs Jul2020'!AO124</f>
        <v>0</v>
      </c>
      <c r="U130" s="40">
        <f>'Tariffs Jul2020'!AP124</f>
        <v>0</v>
      </c>
      <c r="V130" s="40">
        <f>'Tariffs Jul2020'!AQ124</f>
        <v>0</v>
      </c>
      <c r="W130" s="284">
        <f>Q130</f>
        <v>1440.4764999999998</v>
      </c>
      <c r="X130" s="284">
        <f t="shared" si="61"/>
        <v>1440.4764999999998</v>
      </c>
      <c r="Y130" s="507">
        <f t="shared" si="66"/>
        <v>1584.52415</v>
      </c>
      <c r="Z130" s="507">
        <f t="shared" si="62"/>
        <v>1584.52415</v>
      </c>
      <c r="AA130" s="274">
        <f>'Tariffs Jul2020'!AZ124</f>
        <v>0</v>
      </c>
      <c r="AB130" s="274" t="str">
        <f>'Tariffs Jul2020'!BA124</f>
        <v>n</v>
      </c>
      <c r="AC130" s="275" t="str">
        <f>'Tariffs Jul2020'!BJ124</f>
        <v>N</v>
      </c>
      <c r="AD130" s="511"/>
      <c r="AE130" s="511"/>
      <c r="AF130" s="513"/>
      <c r="AG130" s="546"/>
      <c r="AH130" s="546"/>
      <c r="AI130" s="546"/>
      <c r="AJ130" s="546"/>
      <c r="AK130" s="546"/>
      <c r="AL130" s="546"/>
      <c r="AM130" s="546"/>
      <c r="AN130" s="546"/>
      <c r="AO130" s="546"/>
      <c r="AP130" s="546"/>
      <c r="AQ130" s="546"/>
      <c r="AR130" s="546"/>
      <c r="AS130" s="546"/>
      <c r="AT130" s="546"/>
      <c r="AU130" s="546"/>
      <c r="AV130" s="546"/>
      <c r="AW130" s="546"/>
      <c r="AX130" s="546"/>
      <c r="AY130" s="546"/>
      <c r="AZ130" s="546"/>
    </row>
    <row r="131" spans="1:52" ht="14" x14ac:dyDescent="0.15">
      <c r="A131" s="270" t="str">
        <f>'Tariffs Jul2020'!F125</f>
        <v>EnergyAustralia</v>
      </c>
      <c r="B131" s="40" t="str">
        <f>'Tariffs Jul2020'!D125</f>
        <v>AusNet Services Central 1</v>
      </c>
      <c r="C131" s="40" t="str">
        <f>'Tariffs Jul2020'!G125</f>
        <v>Total Plan</v>
      </c>
      <c r="D131" s="59">
        <f>365*'Tariffs Jul2020'!H125/100</f>
        <v>349.6699999999999</v>
      </c>
      <c r="E131" s="59">
        <f>IF($C$5*'Tariffs Jul2020'!AK125/'Tariffs Jul2020'!AI125&gt;='Tariffs Jul2020'!J125,( 'Tariffs Jul2020'!J125*'Tariffs Jul2020'!O125/100)* 'Tariffs Jul2020'!AI125,($C$5*'Tariffs Jul2020'!AK125/'Tariffs Jul2020'!AI125*'Tariffs Jul2020'!O125/100)* 'Tariffs Jul2020'!AI125)</f>
        <v>584.12339999999995</v>
      </c>
      <c r="F131" s="59">
        <f>IF($C$5*'Tariffs Jul2020'!AK125/'Tariffs Jul2020'!AI125&lt;'Tariffs Jul2020'!J125,0,IF($C$5*'Tariffs Jul2020'!AK125/'Tariffs Jul2020'!AI125&lt;='Tariffs Jul2020'!K125,($C$5*'Tariffs Jul2020'!AK125/'Tariffs Jul2020'!AI125-'Tariffs Jul2020'!J125)*('Tariffs Jul2020'!P125/100)*'Tariffs Jul2020'!AI125,('Tariffs Jul2020'!K125-'Tariffs Jul2020'!J125)*('Tariffs Jul2020'!P125/100)*'Tariffs Jul2020'!AI125))</f>
        <v>0</v>
      </c>
      <c r="G131" s="59">
        <f>IF($C$5*'Tariffs Jul2020'!AK125/'Tariffs Jul2020'!AI125&lt;'Tariffs Jul2020'!K125,0,IF($C$5*'Tariffs Jul2020'!AK125/'Tariffs Jul2020'!AI125&lt;='Tariffs Jul2020'!L125,($C$5*'Tariffs Jul2020'!AK125/'Tariffs Jul2020'!AI125-'Tariffs Jul2020'!K125)*('Tariffs Jul2020'!Q125/100)*'Tariffs Jul2020'!AI125,('Tariffs Jul2020'!L125-'Tariffs Jul2020'!K125)*('Tariffs Jul2020'!Q125/100)*'Tariffs Jul2020'!AI125))</f>
        <v>0</v>
      </c>
      <c r="H131" s="59">
        <f>IF($C$5*'Tariffs Jul2020'!AK125/'Tariffs Jul2020'!AI125&lt;'Tariffs Jul2020'!L125,0,IF($C$5*'Tariffs Jul2020'!AK125/'Tariffs Jul2020'!AI125&lt;='Tariffs Jul2020'!M125,($C$5*'Tariffs Jul2020'!AK125/'Tariffs Jul2020'!AI125-'Tariffs Jul2020'!L125)*('Tariffs Jul2020'!R125/100)*'Tariffs Jul2020'!AI125,('Tariffs Jul2020'!M125-'Tariffs Jul2020'!L125)*('Tariffs Jul2020'!R125/100)*'Tariffs Jul2020'!AI125))</f>
        <v>0</v>
      </c>
      <c r="I131" s="59">
        <f>IF(($C$5*'Tariffs Jul2020'!AK125/'Tariffs Jul2020'!AI125&gt;'Tariffs Jul2020'!M125),($C$5*'Tariffs Jul2020'!AK125/'Tariffs Jul2020'!AI125-'Tariffs Jul2020'!M125)*'Tariffs Jul2020'!S125/100*'Tariffs Jul2020'!AI125,0)</f>
        <v>0</v>
      </c>
      <c r="J131" s="59">
        <f>((C$5*'Tariffs Jul2020'!AL125/'Tariffs Jul2020'!AJ125)*('Tariffs Jul2020'!U125/100))*'Tariffs Jul2020'!AJ125</f>
        <v>855.18719999999996</v>
      </c>
      <c r="K131" s="59">
        <v>0</v>
      </c>
      <c r="L131" s="59">
        <v>0</v>
      </c>
      <c r="M131" s="59">
        <v>0</v>
      </c>
      <c r="N131" s="59">
        <v>0</v>
      </c>
      <c r="O131" s="59">
        <f t="shared" si="63"/>
        <v>1439.3105999999998</v>
      </c>
      <c r="P131" s="503">
        <f t="shared" si="31"/>
        <v>1583.2416599999999</v>
      </c>
      <c r="Q131" s="59">
        <f t="shared" si="64"/>
        <v>1788.9805999999996</v>
      </c>
      <c r="R131" s="272">
        <f t="shared" si="65"/>
        <v>1967.8786599999999</v>
      </c>
      <c r="S131" s="40">
        <f>'Tariffs Jul2020'!AN125</f>
        <v>23</v>
      </c>
      <c r="T131" s="40">
        <f>'Tariffs Jul2020'!AO125</f>
        <v>0</v>
      </c>
      <c r="U131" s="40">
        <f>'Tariffs Jul2020'!AP125</f>
        <v>0</v>
      </c>
      <c r="V131" s="40">
        <f>'Tariffs Jul2020'!AQ125</f>
        <v>0</v>
      </c>
      <c r="W131" s="284">
        <f>Q131-(Q131*S131/100)</f>
        <v>1377.5150619999997</v>
      </c>
      <c r="X131" s="284">
        <f t="shared" si="61"/>
        <v>1377.5150619999997</v>
      </c>
      <c r="Y131" s="507">
        <f t="shared" si="66"/>
        <v>1515.2665681999997</v>
      </c>
      <c r="Z131" s="507">
        <f t="shared" si="62"/>
        <v>1515.2665681999997</v>
      </c>
      <c r="AA131" s="274">
        <f>'Tariffs Jul2020'!AZ125</f>
        <v>12</v>
      </c>
      <c r="AB131" s="274" t="str">
        <f>'Tariffs Jul2020'!BA125</f>
        <v>n</v>
      </c>
      <c r="AC131" s="275" t="str">
        <f>'Tariffs Jul2020'!BJ125</f>
        <v>N</v>
      </c>
      <c r="AD131" s="511"/>
      <c r="AE131" s="511"/>
      <c r="AF131" s="513"/>
      <c r="AG131" s="546"/>
      <c r="AH131" s="546"/>
      <c r="AI131" s="546"/>
      <c r="AJ131" s="546"/>
      <c r="AK131" s="546"/>
      <c r="AL131" s="546"/>
      <c r="AM131" s="546"/>
      <c r="AN131" s="546"/>
      <c r="AO131" s="546"/>
      <c r="AP131" s="546"/>
      <c r="AQ131" s="546"/>
      <c r="AR131" s="546"/>
      <c r="AS131" s="546"/>
      <c r="AT131" s="546"/>
      <c r="AU131" s="546"/>
      <c r="AV131" s="546"/>
      <c r="AW131" s="546"/>
      <c r="AX131" s="546"/>
      <c r="AY131" s="546"/>
      <c r="AZ131" s="546"/>
    </row>
    <row r="132" spans="1:52" ht="14" x14ac:dyDescent="0.15">
      <c r="A132" s="270" t="str">
        <f>'Tariffs Jul2020'!F126</f>
        <v>Lumo Energy</v>
      </c>
      <c r="B132" s="40" t="str">
        <f>'Tariffs Jul2020'!D126</f>
        <v>AusNet Services Central 1</v>
      </c>
      <c r="C132" s="40" t="str">
        <f>'Tariffs Jul2020'!G126</f>
        <v>Basic</v>
      </c>
      <c r="D132" s="59">
        <f>365*'Tariffs Jul2020'!H126/100</f>
        <v>283.23999999999995</v>
      </c>
      <c r="E132" s="59">
        <f>IF($C$5*'Tariffs Jul2020'!AK126/'Tariffs Jul2020'!AI126&gt;='Tariffs Jul2020'!J126,( 'Tariffs Jul2020'!J126*'Tariffs Jul2020'!O126/100)* 'Tariffs Jul2020'!AI126,($C$5*'Tariffs Jul2020'!AK126/'Tariffs Jul2020'!AI126*'Tariffs Jul2020'!O126/100)* 'Tariffs Jul2020'!AI126)</f>
        <v>249.81818181818181</v>
      </c>
      <c r="F132" s="59">
        <f>IF($C$5*'Tariffs Jul2020'!AK126/'Tariffs Jul2020'!AI126&lt;'Tariffs Jul2020'!J126,0,IF($C$5*'Tariffs Jul2020'!AK126/'Tariffs Jul2020'!AI126&lt;='Tariffs Jul2020'!K126,($C$5*'Tariffs Jul2020'!AK126/'Tariffs Jul2020'!AI126-'Tariffs Jul2020'!J126)*('Tariffs Jul2020'!P126/100)*'Tariffs Jul2020'!AI126,('Tariffs Jul2020'!K126-'Tariffs Jul2020'!J126)*('Tariffs Jul2020'!P126/100)*'Tariffs Jul2020'!AI126))</f>
        <v>170.14210909090906</v>
      </c>
      <c r="G132" s="59">
        <f>IF($C$5*'Tariffs Jul2020'!AK126/'Tariffs Jul2020'!AI126&lt;'Tariffs Jul2020'!K126,0,IF($C$5*'Tariffs Jul2020'!AK126/'Tariffs Jul2020'!AI126&lt;='Tariffs Jul2020'!L126,($C$5*'Tariffs Jul2020'!AK126/'Tariffs Jul2020'!AI126-'Tariffs Jul2020'!K126)*('Tariffs Jul2020'!Q126/100)*'Tariffs Jul2020'!AI126,('Tariffs Jul2020'!L126-'Tariffs Jul2020'!K126)*('Tariffs Jul2020'!Q126/100)*'Tariffs Jul2020'!AI126))</f>
        <v>0</v>
      </c>
      <c r="H132" s="59">
        <f>IF($C$5*'Tariffs Jul2020'!AK126/'Tariffs Jul2020'!AI126&lt;'Tariffs Jul2020'!L126,0,IF($C$5*'Tariffs Jul2020'!AK126/'Tariffs Jul2020'!AI126&lt;='Tariffs Jul2020'!M126,($C$5*'Tariffs Jul2020'!AK126/'Tariffs Jul2020'!AI126-'Tariffs Jul2020'!L126)*('Tariffs Jul2020'!R126/100)*'Tariffs Jul2020'!AI126,('Tariffs Jul2020'!M126-'Tariffs Jul2020'!L126)*('Tariffs Jul2020'!R126/100)*'Tariffs Jul2020'!AI126))</f>
        <v>0</v>
      </c>
      <c r="I132" s="59">
        <f>IF(($C$5*'Tariffs Jul2020'!AK126/'Tariffs Jul2020'!AI126&gt;'Tariffs Jul2020'!M126),($C$5*'Tariffs Jul2020'!AK126/'Tariffs Jul2020'!AI126-'Tariffs Jul2020'!M126)*'Tariffs Jul2020'!S126/100*'Tariffs Jul2020'!AI126,0)</f>
        <v>0</v>
      </c>
      <c r="J132" s="59">
        <f>IF($C$5*'Tariffs Jul2020'!AL126/'Tariffs Jul2020'!AJ126&gt;='Tariffs Jul2020'!J126,('Tariffs Jul2020'!J126*'Tariffs Jul2020'!U126/100)* 'Tariffs Jul2020'!AJ126,($C$5*'Tariffs Jul2020'!AL126/'Tariffs Jul2020'!AJ126*'Tariffs Jul2020'!U126/100)* 'Tariffs Jul2020'!AJ126)</f>
        <v>399.27272727272725</v>
      </c>
      <c r="K132" s="59">
        <f>IF($C$5*'Tariffs Jul2020'!AL126/'Tariffs Jul2020'!AJ126&lt;'Tariffs Jul2020'!J126,0,IF($C$5*'Tariffs Jul2020'!AL126/'Tariffs Jul2020'!AJ126&lt;='Tariffs Jul2020'!K126,($C$5*'Tariffs Jul2020'!AL126/'Tariffs Jul2020'!AJ126-'Tariffs Jul2020'!J126)*('Tariffs Jul2020'!V126/100)*'Tariffs Jul2020'!AJ126,('Tariffs Jul2020'!K126-'Tariffs Jul2020'!J126)*('Tariffs Jul2020'!V126/100)*'Tariffs Jul2020'!AJ126))</f>
        <v>284.66083636363629</v>
      </c>
      <c r="L132" s="59">
        <f>IF($C$5*'Tariffs Jul2020'!AL126/'Tariffs Jul2020'!AJ126&lt;'Tariffs Jul2020'!K126,0,IF($C$5*'Tariffs Jul2020'!AL126/'Tariffs Jul2020'!AJ126&lt;='Tariffs Jul2020'!L126,($C$5*'Tariffs Jul2020'!AL126/'Tariffs Jul2020'!AJ126-'Tariffs Jul2020'!K126)*('Tariffs Jul2020'!W126/100)*'Tariffs Jul2020'!AJ126,('Tariffs Jul2020'!L126-'Tariffs Jul2020'!K126)*('Tariffs Jul2020'!W126/100)*'Tariffs Jul2020'!AJ126))</f>
        <v>0</v>
      </c>
      <c r="M132" s="59">
        <f>IF($C$5*'Tariffs Jul2020'!AL126/'Tariffs Jul2020'!AJ126&lt;'Tariffs Jul2020'!L126,0,IF($C$5*'Tariffs Jul2020'!AL126/'Tariffs Jul2020'!AJ126&lt;='Tariffs Jul2020'!M126,($C$5*'Tariffs Jul2020'!AL126/'Tariffs Jul2020'!AJ126-'Tariffs Jul2020'!L126)*('Tariffs Jul2020'!X126/100)*'Tariffs Jul2020'!AJ126,('Tariffs Jul2020'!M126-'Tariffs Jul2020'!L126)*('Tariffs Jul2020'!X126/100)*'Tariffs Jul2020'!AJ126))</f>
        <v>0</v>
      </c>
      <c r="N132" s="59">
        <f>IF(($C$5*'Tariffs Jul2020'!AL126/'Tariffs Jul2020'!AJ126&gt;'Tariffs Jul2020'!M126),($C$5*'Tariffs Jul2020'!AL126/'Tariffs Jul2020'!AJ126-'Tariffs Jul2020'!M126)*'Tariffs Jul2020'!Y126/100*'Tariffs Jul2020'!AJ126,0)</f>
        <v>0</v>
      </c>
      <c r="O132" s="59">
        <f t="shared" si="63"/>
        <v>1103.8938545454544</v>
      </c>
      <c r="P132" s="503">
        <f t="shared" si="31"/>
        <v>1214.28324</v>
      </c>
      <c r="Q132" s="59">
        <f t="shared" si="64"/>
        <v>1387.1338545454544</v>
      </c>
      <c r="R132" s="272">
        <f t="shared" si="65"/>
        <v>1525.8472399999998</v>
      </c>
      <c r="S132" s="40">
        <f>'Tariffs Jul2020'!AN126</f>
        <v>0</v>
      </c>
      <c r="T132" s="40">
        <f>'Tariffs Jul2020'!AO126</f>
        <v>0</v>
      </c>
      <c r="U132" s="40">
        <f>'Tariffs Jul2020'!AP126</f>
        <v>0</v>
      </c>
      <c r="V132" s="40">
        <f>'Tariffs Jul2020'!AQ126</f>
        <v>0</v>
      </c>
      <c r="W132" s="284">
        <f>Q132</f>
        <v>1387.1338545454544</v>
      </c>
      <c r="X132" s="284">
        <f t="shared" si="61"/>
        <v>1387.1338545454544</v>
      </c>
      <c r="Y132" s="507">
        <f t="shared" si="66"/>
        <v>1525.8472399999998</v>
      </c>
      <c r="Z132" s="507">
        <f t="shared" si="62"/>
        <v>1525.8472399999998</v>
      </c>
      <c r="AA132" s="274">
        <f>'Tariffs Jul2020'!AZ126</f>
        <v>0</v>
      </c>
      <c r="AB132" s="274" t="str">
        <f>'Tariffs Jul2020'!BA126</f>
        <v>n</v>
      </c>
      <c r="AC132" s="275" t="str">
        <f>'Tariffs Jul2020'!BJ126</f>
        <v>N</v>
      </c>
      <c r="AD132" s="511"/>
      <c r="AE132" s="511"/>
      <c r="AF132" s="513"/>
      <c r="AG132" s="546"/>
      <c r="AH132" s="546"/>
      <c r="AI132" s="546"/>
      <c r="AJ132" s="546"/>
      <c r="AK132" s="546"/>
      <c r="AL132" s="546"/>
      <c r="AM132" s="546"/>
      <c r="AN132" s="546"/>
      <c r="AO132" s="546"/>
      <c r="AP132" s="546"/>
      <c r="AQ132" s="546"/>
      <c r="AR132" s="546"/>
      <c r="AS132" s="546"/>
      <c r="AT132" s="546"/>
      <c r="AU132" s="546"/>
      <c r="AV132" s="546"/>
      <c r="AW132" s="546"/>
      <c r="AX132" s="546"/>
      <c r="AY132" s="546"/>
      <c r="AZ132" s="546"/>
    </row>
    <row r="133" spans="1:52" ht="14" x14ac:dyDescent="0.15">
      <c r="A133" s="270" t="str">
        <f>'Tariffs Jul2020'!F127</f>
        <v>Momentum Energy</v>
      </c>
      <c r="B133" s="40" t="str">
        <f>'Tariffs Jul2020'!D127</f>
        <v>AusNet Services Central 1</v>
      </c>
      <c r="C133" s="40" t="str">
        <f>'Tariffs Jul2020'!G127</f>
        <v>Market offer</v>
      </c>
      <c r="D133" s="59">
        <f>365*'Tariffs Jul2020'!H127/100</f>
        <v>362.27909090909088</v>
      </c>
      <c r="E133" s="59">
        <f>IF($C$5*'Tariffs Jul2020'!AK127/'Tariffs Jul2020'!AI127&gt;='Tariffs Jul2020'!J127,( 'Tariffs Jul2020'!J127*'Tariffs Jul2020'!O127/100)* 'Tariffs Jul2020'!AI127,($C$5*'Tariffs Jul2020'!AK127/'Tariffs Jul2020'!AI127*'Tariffs Jul2020'!O127/100)* 'Tariffs Jul2020'!AI127)</f>
        <v>269.4545454545455</v>
      </c>
      <c r="F133" s="59">
        <f>IF($C$5*'Tariffs Jul2020'!AK127/'Tariffs Jul2020'!AI127&lt;'Tariffs Jul2020'!J127,0,IF($C$5*'Tariffs Jul2020'!AK127/'Tariffs Jul2020'!AI127&lt;='Tariffs Jul2020'!K127,($C$5*'Tariffs Jul2020'!AK127/'Tariffs Jul2020'!AI127-'Tariffs Jul2020'!J127)*('Tariffs Jul2020'!P127/100)*'Tariffs Jul2020'!AI127,('Tariffs Jul2020'!K127-'Tariffs Jul2020'!J127)*('Tariffs Jul2020'!P127/100)*'Tariffs Jul2020'!AI127))</f>
        <v>176.6860363636363</v>
      </c>
      <c r="G133" s="59">
        <f>IF($C$5*'Tariffs Jul2020'!AK127/'Tariffs Jul2020'!AI127&lt;'Tariffs Jul2020'!K127,0,IF($C$5*'Tariffs Jul2020'!AK127/'Tariffs Jul2020'!AI127&lt;='Tariffs Jul2020'!L127,($C$5*'Tariffs Jul2020'!AK127/'Tariffs Jul2020'!AI127-'Tariffs Jul2020'!K127)*('Tariffs Jul2020'!Q127/100)*'Tariffs Jul2020'!AI127,('Tariffs Jul2020'!L127-'Tariffs Jul2020'!K127)*('Tariffs Jul2020'!Q127/100)*'Tariffs Jul2020'!AI127))</f>
        <v>0</v>
      </c>
      <c r="H133" s="59">
        <f>IF($C$5*'Tariffs Jul2020'!AK127/'Tariffs Jul2020'!AI127&lt;'Tariffs Jul2020'!L127,0,IF($C$5*'Tariffs Jul2020'!AK127/'Tariffs Jul2020'!AI127&lt;='Tariffs Jul2020'!M127,($C$5*'Tariffs Jul2020'!AK127/'Tariffs Jul2020'!AI127-'Tariffs Jul2020'!L127)*('Tariffs Jul2020'!R127/100)*'Tariffs Jul2020'!AI127,('Tariffs Jul2020'!M127-'Tariffs Jul2020'!L127)*('Tariffs Jul2020'!R127/100)*'Tariffs Jul2020'!AI127))</f>
        <v>0</v>
      </c>
      <c r="I133" s="59">
        <f>IF(($C$5*'Tariffs Jul2020'!AK127/'Tariffs Jul2020'!AI127&gt;'Tariffs Jul2020'!M127),($C$5*'Tariffs Jul2020'!AK127/'Tariffs Jul2020'!AI127-'Tariffs Jul2020'!M127)*'Tariffs Jul2020'!S127/100*'Tariffs Jul2020'!AI127,0)</f>
        <v>0</v>
      </c>
      <c r="J133" s="59">
        <f>IF($C$5*'Tariffs Jul2020'!AL127/'Tariffs Jul2020'!AJ127&gt;='Tariffs Jul2020'!J127,('Tariffs Jul2020'!J127*'Tariffs Jul2020'!U127/100)* 'Tariffs Jul2020'!AJ127,($C$5*'Tariffs Jul2020'!AL127/'Tariffs Jul2020'!AJ127*'Tariffs Jul2020'!U127/100)* 'Tariffs Jul2020'!AJ127)</f>
        <v>408</v>
      </c>
      <c r="K133" s="59">
        <f>IF($C$5*'Tariffs Jul2020'!AL127/'Tariffs Jul2020'!AJ127&lt;'Tariffs Jul2020'!J127,0,IF($C$5*'Tariffs Jul2020'!AL127/'Tariffs Jul2020'!AJ127&lt;='Tariffs Jul2020'!K127,($C$5*'Tariffs Jul2020'!AL127/'Tariffs Jul2020'!AJ127-'Tariffs Jul2020'!J127)*('Tariffs Jul2020'!V127/100)*'Tariffs Jul2020'!AJ127,('Tariffs Jul2020'!K127-'Tariffs Jul2020'!J127)*('Tariffs Jul2020'!V127/100)*'Tariffs Jul2020'!AJ127))</f>
        <v>299.38467272727269</v>
      </c>
      <c r="L133" s="59">
        <f>IF($C$5*'Tariffs Jul2020'!AL127/'Tariffs Jul2020'!AJ127&lt;'Tariffs Jul2020'!K127,0,IF($C$5*'Tariffs Jul2020'!AL127/'Tariffs Jul2020'!AJ127&lt;='Tariffs Jul2020'!L127,($C$5*'Tariffs Jul2020'!AL127/'Tariffs Jul2020'!AJ127-'Tariffs Jul2020'!K127)*('Tariffs Jul2020'!W127/100)*'Tariffs Jul2020'!AJ127,('Tariffs Jul2020'!L127-'Tariffs Jul2020'!K127)*('Tariffs Jul2020'!W127/100)*'Tariffs Jul2020'!AJ127))</f>
        <v>0</v>
      </c>
      <c r="M133" s="59">
        <f>IF($C$5*'Tariffs Jul2020'!AL127/'Tariffs Jul2020'!AJ127&lt;'Tariffs Jul2020'!L127,0,IF($C$5*'Tariffs Jul2020'!AL127/'Tariffs Jul2020'!AJ127&lt;='Tariffs Jul2020'!M127,($C$5*'Tariffs Jul2020'!AL127/'Tariffs Jul2020'!AJ127-'Tariffs Jul2020'!L127)*('Tariffs Jul2020'!X127/100)*'Tariffs Jul2020'!AJ127,('Tariffs Jul2020'!M127-'Tariffs Jul2020'!L127)*('Tariffs Jul2020'!X127/100)*'Tariffs Jul2020'!AJ127))</f>
        <v>0</v>
      </c>
      <c r="N133" s="59">
        <f>IF(($C$5*'Tariffs Jul2020'!AL127/'Tariffs Jul2020'!AJ127&gt;'Tariffs Jul2020'!M127),($C$5*'Tariffs Jul2020'!AL127/'Tariffs Jul2020'!AJ127-'Tariffs Jul2020'!M127)*'Tariffs Jul2020'!Y127/100*'Tariffs Jul2020'!AJ127,0)</f>
        <v>0</v>
      </c>
      <c r="O133" s="59">
        <f t="shared" si="63"/>
        <v>1153.5252545454546</v>
      </c>
      <c r="P133" s="503">
        <f t="shared" si="31"/>
        <v>1268.87778</v>
      </c>
      <c r="Q133" s="59">
        <f t="shared" si="64"/>
        <v>1515.8043454545455</v>
      </c>
      <c r="R133" s="272">
        <f t="shared" si="65"/>
        <v>1667.3847800000001</v>
      </c>
      <c r="S133" s="40">
        <f>'Tariffs Jul2020'!AN127</f>
        <v>0</v>
      </c>
      <c r="T133" s="40">
        <f>'Tariffs Jul2020'!AO127</f>
        <v>0</v>
      </c>
      <c r="U133" s="40">
        <f>'Tariffs Jul2020'!AP127</f>
        <v>0</v>
      </c>
      <c r="V133" s="40">
        <f>'Tariffs Jul2020'!AQ127</f>
        <v>0</v>
      </c>
      <c r="W133" s="284">
        <f t="shared" ref="W133" si="67">Q133</f>
        <v>1515.8043454545455</v>
      </c>
      <c r="X133" s="284">
        <f t="shared" si="61"/>
        <v>1515.8043454545455</v>
      </c>
      <c r="Y133" s="507">
        <f t="shared" si="66"/>
        <v>1667.3847800000001</v>
      </c>
      <c r="Z133" s="507">
        <f t="shared" si="62"/>
        <v>1667.3847800000001</v>
      </c>
      <c r="AA133" s="274">
        <f>'Tariffs Jul2020'!AZ127</f>
        <v>0</v>
      </c>
      <c r="AB133" s="274" t="str">
        <f>'Tariffs Jul2020'!BA127</f>
        <v>n</v>
      </c>
      <c r="AC133" s="275" t="str">
        <f>'Tariffs Jul2020'!BJ127</f>
        <v>N</v>
      </c>
      <c r="AD133" s="511"/>
      <c r="AE133" s="511"/>
      <c r="AF133" s="513"/>
      <c r="AG133" s="546"/>
      <c r="AH133" s="546"/>
      <c r="AI133" s="546"/>
      <c r="AJ133" s="546"/>
      <c r="AK133" s="546"/>
      <c r="AL133" s="546"/>
      <c r="AM133" s="546"/>
      <c r="AN133" s="546"/>
      <c r="AO133" s="546"/>
      <c r="AP133" s="546"/>
      <c r="AQ133" s="546"/>
      <c r="AR133" s="546"/>
      <c r="AS133" s="546"/>
      <c r="AT133" s="546"/>
      <c r="AU133" s="546"/>
      <c r="AV133" s="546"/>
      <c r="AW133" s="546"/>
      <c r="AX133" s="546"/>
      <c r="AY133" s="546"/>
      <c r="AZ133" s="546"/>
    </row>
    <row r="134" spans="1:52" ht="14" x14ac:dyDescent="0.15">
      <c r="A134" s="270" t="str">
        <f>'Tariffs Jul2020'!F128</f>
        <v>Origin Energy</v>
      </c>
      <c r="B134" s="40" t="str">
        <f>'Tariffs Jul2020'!D128</f>
        <v>AusNet Services Central 1</v>
      </c>
      <c r="C134" s="40" t="str">
        <f>'Tariffs Jul2020'!G128</f>
        <v>Flexi</v>
      </c>
      <c r="D134" s="59">
        <f>365*'Tariffs Jul2020'!H128/100</f>
        <v>284.7</v>
      </c>
      <c r="E134" s="59">
        <f>IF($C$5*'Tariffs Jul2020'!AK128/'Tariffs Jul2020'!AI128&gt;='Tariffs Jul2020'!J128,( 'Tariffs Jul2020'!J128*'Tariffs Jul2020'!O128/100)* 'Tariffs Jul2020'!AI128,($C$5*'Tariffs Jul2020'!AK128/'Tariffs Jul2020'!AI128*'Tariffs Jul2020'!O128/100)* 'Tariffs Jul2020'!AI128)</f>
        <v>168</v>
      </c>
      <c r="F134" s="59">
        <f>IF($C$5*'Tariffs Jul2020'!AK128/'Tariffs Jul2020'!AI128&lt;'Tariffs Jul2020'!J128,0,IF($C$5*'Tariffs Jul2020'!AK128/'Tariffs Jul2020'!AI128&lt;='Tariffs Jul2020'!K128,($C$5*'Tariffs Jul2020'!AK128/'Tariffs Jul2020'!AI128-'Tariffs Jul2020'!J128)*('Tariffs Jul2020'!P128/100)*'Tariffs Jul2020'!AI128,('Tariffs Jul2020'!K128-'Tariffs Jul2020'!J128)*('Tariffs Jul2020'!P128/100)*'Tariffs Jul2020'!AI128))</f>
        <v>0</v>
      </c>
      <c r="G134" s="59">
        <f>IF($C$5*'Tariffs Jul2020'!AK128/'Tariffs Jul2020'!AI128&lt;'Tariffs Jul2020'!K128,0,IF($C$5*'Tariffs Jul2020'!AK128/'Tariffs Jul2020'!AI128&lt;='Tariffs Jul2020'!L128,($C$5*'Tariffs Jul2020'!AK128/'Tariffs Jul2020'!AI128-'Tariffs Jul2020'!K128)*('Tariffs Jul2020'!Q128/100)*'Tariffs Jul2020'!AI128,('Tariffs Jul2020'!L128-'Tariffs Jul2020'!K128)*('Tariffs Jul2020'!Q128/100)*'Tariffs Jul2020'!AI128))</f>
        <v>0</v>
      </c>
      <c r="H134" s="59">
        <f>IF($C$5*'Tariffs Jul2020'!AK128/'Tariffs Jul2020'!AI128&lt;'Tariffs Jul2020'!L128,0,IF($C$5*'Tariffs Jul2020'!AK128/'Tariffs Jul2020'!AI128&lt;='Tariffs Jul2020'!M128,($C$5*'Tariffs Jul2020'!AK128/'Tariffs Jul2020'!AI128-'Tariffs Jul2020'!L128)*('Tariffs Jul2020'!R128/100)*'Tariffs Jul2020'!AI128,('Tariffs Jul2020'!M128-'Tariffs Jul2020'!L128)*('Tariffs Jul2020'!R128/100)*'Tariffs Jul2020'!AI128))</f>
        <v>0</v>
      </c>
      <c r="I134" s="59">
        <f>IF(($C$5*'Tariffs Jul2020'!AK128/'Tariffs Jul2020'!AI128&gt;'Tariffs Jul2020'!M128),($C$5*'Tariffs Jul2020'!AK128/'Tariffs Jul2020'!AI128-'Tariffs Jul2020'!M128)*'Tariffs Jul2020'!S128/100*'Tariffs Jul2020'!AI128,0)</f>
        <v>329.9538</v>
      </c>
      <c r="J134" s="59">
        <f>IF($C$5*'Tariffs Jul2020'!AL128/'Tariffs Jul2020'!AJ128&gt;='Tariffs Jul2020'!J128,('Tariffs Jul2020'!J128*'Tariffs Jul2020'!U128/100)* 'Tariffs Jul2020'!AJ128,($C$5*'Tariffs Jul2020'!AL128/'Tariffs Jul2020'!AJ128*'Tariffs Jul2020'!U128/100)* 'Tariffs Jul2020'!AJ128)</f>
        <v>240</v>
      </c>
      <c r="K134" s="59">
        <f>IF($C$5*'Tariffs Jul2020'!AL128/'Tariffs Jul2020'!AJ128&lt;'Tariffs Jul2020'!J128,0,IF($C$5*'Tariffs Jul2020'!AL128/'Tariffs Jul2020'!AJ128&lt;='Tariffs Jul2020'!K128,($C$5*'Tariffs Jul2020'!AL128/'Tariffs Jul2020'!AJ128-'Tariffs Jul2020'!J128)*('Tariffs Jul2020'!V128/100)*'Tariffs Jul2020'!AJ128,('Tariffs Jul2020'!K128-'Tariffs Jul2020'!J128)*('Tariffs Jul2020'!V128/100)*'Tariffs Jul2020'!AJ128))</f>
        <v>0</v>
      </c>
      <c r="L134" s="59">
        <f>IF($C$5*'Tariffs Jul2020'!AL128/'Tariffs Jul2020'!AJ128&lt;'Tariffs Jul2020'!K128,0,IF($C$5*'Tariffs Jul2020'!AL128/'Tariffs Jul2020'!AJ128&lt;='Tariffs Jul2020'!L128,($C$5*'Tariffs Jul2020'!AL128/'Tariffs Jul2020'!AJ128-'Tariffs Jul2020'!K128)*('Tariffs Jul2020'!W128/100)*'Tariffs Jul2020'!AJ128,('Tariffs Jul2020'!L128-'Tariffs Jul2020'!K128)*('Tariffs Jul2020'!W128/100)*'Tariffs Jul2020'!AJ128))</f>
        <v>0</v>
      </c>
      <c r="M134" s="59">
        <f>IF($C$5*'Tariffs Jul2020'!AL128/'Tariffs Jul2020'!AJ128&lt;'Tariffs Jul2020'!L128,0,IF($C$5*'Tariffs Jul2020'!AL128/'Tariffs Jul2020'!AJ128&lt;='Tariffs Jul2020'!M128,($C$5*'Tariffs Jul2020'!AL128/'Tariffs Jul2020'!AJ128-'Tariffs Jul2020'!L128)*('Tariffs Jul2020'!X128/100)*'Tariffs Jul2020'!AJ128,('Tariffs Jul2020'!M128-'Tariffs Jul2020'!L128)*('Tariffs Jul2020'!X128/100)*'Tariffs Jul2020'!AJ128))</f>
        <v>0</v>
      </c>
      <c r="N134" s="59">
        <f>IF(($C$5*'Tariffs Jul2020'!AL128/'Tariffs Jul2020'!AJ128&gt;'Tariffs Jul2020'!M128),($C$5*'Tariffs Jul2020'!AL128/'Tariffs Jul2020'!AJ128-'Tariffs Jul2020'!M128)*'Tariffs Jul2020'!Y128/100*'Tariffs Jul2020'!AJ128,0)</f>
        <v>479.93279999999999</v>
      </c>
      <c r="O134" s="59">
        <f t="shared" si="63"/>
        <v>1217.8866</v>
      </c>
      <c r="P134" s="503">
        <f t="shared" si="31"/>
        <v>1339.6752600000002</v>
      </c>
      <c r="Q134" s="59">
        <f t="shared" si="64"/>
        <v>1502.5866000000001</v>
      </c>
      <c r="R134" s="272">
        <f t="shared" si="65"/>
        <v>1652.8452600000003</v>
      </c>
      <c r="S134" s="40">
        <f>'Tariffs Jul2020'!AN128</f>
        <v>11</v>
      </c>
      <c r="T134" s="40">
        <f>'Tariffs Jul2020'!AO128</f>
        <v>0</v>
      </c>
      <c r="U134" s="40">
        <f>'Tariffs Jul2020'!AP128</f>
        <v>0</v>
      </c>
      <c r="V134" s="40">
        <f>'Tariffs Jul2020'!AQ128</f>
        <v>0</v>
      </c>
      <c r="W134" s="284">
        <f>R134-(R134*S134/100)</f>
        <v>1471.0322814000003</v>
      </c>
      <c r="X134" s="284">
        <f t="shared" si="61"/>
        <v>1471.0322814000003</v>
      </c>
      <c r="Y134" s="507">
        <f>W134</f>
        <v>1471.0322814000003</v>
      </c>
      <c r="Z134" s="507">
        <f>X134</f>
        <v>1471.0322814000003</v>
      </c>
      <c r="AA134" s="274">
        <f>'Tariffs Jul2020'!AZ128</f>
        <v>0</v>
      </c>
      <c r="AB134" s="274" t="str">
        <f>'Tariffs Jul2020'!BA128</f>
        <v>n</v>
      </c>
      <c r="AC134" s="275" t="str">
        <f>'Tariffs Jul2020'!BJ128</f>
        <v>N</v>
      </c>
      <c r="AD134" s="511"/>
      <c r="AE134" s="511"/>
      <c r="AF134" s="513"/>
      <c r="AG134" s="546"/>
      <c r="AH134" s="546"/>
      <c r="AI134" s="546"/>
      <c r="AJ134" s="546"/>
      <c r="AK134" s="546"/>
      <c r="AL134" s="546"/>
      <c r="AM134" s="546"/>
      <c r="AN134" s="546"/>
      <c r="AO134" s="546"/>
      <c r="AP134" s="546"/>
      <c r="AQ134" s="546"/>
      <c r="AR134" s="546"/>
      <c r="AS134" s="546"/>
      <c r="AT134" s="546"/>
      <c r="AU134" s="546"/>
      <c r="AV134" s="546"/>
      <c r="AW134" s="546"/>
      <c r="AX134" s="546"/>
      <c r="AY134" s="546"/>
      <c r="AZ134" s="546"/>
    </row>
    <row r="135" spans="1:52" ht="14" x14ac:dyDescent="0.15">
      <c r="A135" s="270" t="str">
        <f>'Tariffs Jul2020'!F129</f>
        <v>Red Energy</v>
      </c>
      <c r="B135" s="40" t="str">
        <f>'Tariffs Jul2020'!D129</f>
        <v>AusNet Services Central 1</v>
      </c>
      <c r="C135" s="40" t="str">
        <f>'Tariffs Jul2020'!G129</f>
        <v>Living Energy Saver</v>
      </c>
      <c r="D135" s="59">
        <f>365*'Tariffs Jul2020'!H129/100</f>
        <v>271.02909090909088</v>
      </c>
      <c r="E135" s="59">
        <f>IF($C$5*'Tariffs Jul2020'!AK129/'Tariffs Jul2020'!AI129&gt;='Tariffs Jul2020'!J129,( 'Tariffs Jul2020'!J129*'Tariffs Jul2020'!O129/100)* 'Tariffs Jul2020'!AI129,($C$5*'Tariffs Jul2020'!AK129/'Tariffs Jul2020'!AI129*'Tariffs Jul2020'!O129/100)* 'Tariffs Jul2020'!AI129)</f>
        <v>259.63636363636363</v>
      </c>
      <c r="F135" s="59">
        <f>IF($C$5*'Tariffs Jul2020'!AK129/'Tariffs Jul2020'!AI129&lt;'Tariffs Jul2020'!J129,0,IF($C$5*'Tariffs Jul2020'!AK129/'Tariffs Jul2020'!AI129&lt;='Tariffs Jul2020'!K129,($C$5*'Tariffs Jul2020'!AK129/'Tariffs Jul2020'!AI129-'Tariffs Jul2020'!J129)*('Tariffs Jul2020'!P129/100)*'Tariffs Jul2020'!AI129,('Tariffs Jul2020'!K129-'Tariffs Jul2020'!J129)*('Tariffs Jul2020'!P129/100)*'Tariffs Jul2020'!AI129))</f>
        <v>174.23206363636356</v>
      </c>
      <c r="G135" s="59">
        <f>IF($C$5*'Tariffs Jul2020'!AK129/'Tariffs Jul2020'!AI129&lt;'Tariffs Jul2020'!K129,0,IF($C$5*'Tariffs Jul2020'!AK129/'Tariffs Jul2020'!AI129&lt;='Tariffs Jul2020'!L129,($C$5*'Tariffs Jul2020'!AK129/'Tariffs Jul2020'!AI129-'Tariffs Jul2020'!K129)*('Tariffs Jul2020'!Q129/100)*'Tariffs Jul2020'!AI129,('Tariffs Jul2020'!L129-'Tariffs Jul2020'!K129)*('Tariffs Jul2020'!Q129/100)*'Tariffs Jul2020'!AI129))</f>
        <v>0</v>
      </c>
      <c r="H135" s="59">
        <f>IF($C$5*'Tariffs Jul2020'!AK129/'Tariffs Jul2020'!AI129&lt;'Tariffs Jul2020'!L129,0,IF($C$5*'Tariffs Jul2020'!AK129/'Tariffs Jul2020'!AI129&lt;='Tariffs Jul2020'!M129,($C$5*'Tariffs Jul2020'!AK129/'Tariffs Jul2020'!AI129-'Tariffs Jul2020'!L129)*('Tariffs Jul2020'!R129/100)*'Tariffs Jul2020'!AI129,('Tariffs Jul2020'!M129-'Tariffs Jul2020'!L129)*('Tariffs Jul2020'!R129/100)*'Tariffs Jul2020'!AI129))</f>
        <v>0</v>
      </c>
      <c r="I135" s="59">
        <f>IF(($C$5*'Tariffs Jul2020'!AK129/'Tariffs Jul2020'!AI129&gt;'Tariffs Jul2020'!M129),($C$5*'Tariffs Jul2020'!AK129/'Tariffs Jul2020'!AI129-'Tariffs Jul2020'!M129)*'Tariffs Jul2020'!S129/100*'Tariffs Jul2020'!AI129,0)</f>
        <v>0</v>
      </c>
      <c r="J135" s="59">
        <f>IF($C$5*'Tariffs Jul2020'!AL129/'Tariffs Jul2020'!AJ129&gt;='Tariffs Jul2020'!J129,('Tariffs Jul2020'!J129*'Tariffs Jul2020'!U129/100)* 'Tariffs Jul2020'!AJ129,($C$5*'Tariffs Jul2020'!AL129/'Tariffs Jul2020'!AJ129*'Tariffs Jul2020'!U129/100)* 'Tariffs Jul2020'!AJ129)</f>
        <v>421.09090909090907</v>
      </c>
      <c r="K135" s="59">
        <f>IF($C$5*'Tariffs Jul2020'!AL129/'Tariffs Jul2020'!AJ129&lt;'Tariffs Jul2020'!J129,0,IF($C$5*'Tariffs Jul2020'!AL129/'Tariffs Jul2020'!AJ129&lt;='Tariffs Jul2020'!K129,($C$5*'Tariffs Jul2020'!AL129/'Tariffs Jul2020'!AJ129-'Tariffs Jul2020'!J129)*('Tariffs Jul2020'!V129/100)*'Tariffs Jul2020'!AJ129,('Tariffs Jul2020'!K129-'Tariffs Jul2020'!J129)*('Tariffs Jul2020'!V129/100)*'Tariffs Jul2020'!AJ129))</f>
        <v>307.56458181818169</v>
      </c>
      <c r="L135" s="59">
        <f>IF($C$5*'Tariffs Jul2020'!AL129/'Tariffs Jul2020'!AJ129&lt;'Tariffs Jul2020'!K129,0,IF($C$5*'Tariffs Jul2020'!AL129/'Tariffs Jul2020'!AJ129&lt;='Tariffs Jul2020'!L129,($C$5*'Tariffs Jul2020'!AL129/'Tariffs Jul2020'!AJ129-'Tariffs Jul2020'!K129)*('Tariffs Jul2020'!W129/100)*'Tariffs Jul2020'!AJ129,('Tariffs Jul2020'!L129-'Tariffs Jul2020'!K129)*('Tariffs Jul2020'!W129/100)*'Tariffs Jul2020'!AJ129))</f>
        <v>0</v>
      </c>
      <c r="M135" s="59">
        <f>IF($C$5*'Tariffs Jul2020'!AL129/'Tariffs Jul2020'!AJ129&lt;'Tariffs Jul2020'!L129,0,IF($C$5*'Tariffs Jul2020'!AL129/'Tariffs Jul2020'!AJ129&lt;='Tariffs Jul2020'!M129,($C$5*'Tariffs Jul2020'!AL129/'Tariffs Jul2020'!AJ129-'Tariffs Jul2020'!L129)*('Tariffs Jul2020'!X129/100)*'Tariffs Jul2020'!AJ129,('Tariffs Jul2020'!M129-'Tariffs Jul2020'!L129)*('Tariffs Jul2020'!X129/100)*'Tariffs Jul2020'!AJ129))</f>
        <v>0</v>
      </c>
      <c r="N135" s="59">
        <f>IF(($C$5*'Tariffs Jul2020'!AL129/'Tariffs Jul2020'!AJ129&gt;'Tariffs Jul2020'!M129),($C$5*'Tariffs Jul2020'!AL129/'Tariffs Jul2020'!AJ129-'Tariffs Jul2020'!M129)*'Tariffs Jul2020'!Y129/100*'Tariffs Jul2020'!AJ129,0)</f>
        <v>0</v>
      </c>
      <c r="O135" s="59">
        <f t="shared" si="63"/>
        <v>1162.5239181818181</v>
      </c>
      <c r="P135" s="503">
        <f t="shared" si="31"/>
        <v>1278.77631</v>
      </c>
      <c r="Q135" s="59">
        <f t="shared" si="64"/>
        <v>1433.553009090909</v>
      </c>
      <c r="R135" s="272">
        <f t="shared" si="65"/>
        <v>1576.90831</v>
      </c>
      <c r="S135" s="40">
        <f>'Tariffs Jul2020'!AN129</f>
        <v>0</v>
      </c>
      <c r="T135" s="40">
        <f>'Tariffs Jul2020'!AO129</f>
        <v>0</v>
      </c>
      <c r="U135" s="40">
        <f>'Tariffs Jul2020'!AP129</f>
        <v>0</v>
      </c>
      <c r="V135" s="40">
        <f>'Tariffs Jul2020'!AQ129</f>
        <v>0</v>
      </c>
      <c r="W135" s="284">
        <f>Q135</f>
        <v>1433.553009090909</v>
      </c>
      <c r="X135" s="284">
        <f t="shared" si="61"/>
        <v>1433.553009090909</v>
      </c>
      <c r="Y135" s="507">
        <f t="shared" ref="Y135:Z139" si="68">W135*1.1</f>
        <v>1576.90831</v>
      </c>
      <c r="Z135" s="507">
        <f t="shared" si="68"/>
        <v>1576.90831</v>
      </c>
      <c r="AA135" s="274">
        <f>'Tariffs Jul2020'!AZ129</f>
        <v>0</v>
      </c>
      <c r="AB135" s="274" t="str">
        <f>'Tariffs Jul2020'!BA129</f>
        <v>n</v>
      </c>
      <c r="AC135" s="275" t="str">
        <f>'Tariffs Jul2020'!BJ129</f>
        <v>N</v>
      </c>
      <c r="AD135" s="511"/>
      <c r="AE135" s="511"/>
      <c r="AF135" s="513"/>
      <c r="AG135" s="546"/>
      <c r="AH135" s="546"/>
      <c r="AI135" s="546"/>
      <c r="AJ135" s="546"/>
      <c r="AK135" s="546"/>
      <c r="AL135" s="546"/>
      <c r="AM135" s="546"/>
      <c r="AN135" s="546"/>
      <c r="AO135" s="546"/>
      <c r="AP135" s="546"/>
      <c r="AQ135" s="546"/>
      <c r="AR135" s="546"/>
      <c r="AS135" s="546"/>
      <c r="AT135" s="546"/>
      <c r="AU135" s="546"/>
      <c r="AV135" s="546"/>
      <c r="AW135" s="546"/>
      <c r="AX135" s="546"/>
      <c r="AY135" s="546"/>
      <c r="AZ135" s="546"/>
    </row>
    <row r="136" spans="1:52" ht="14" x14ac:dyDescent="0.15">
      <c r="A136" s="270" t="str">
        <f>'Tariffs Jul2020'!F130</f>
        <v>Simply Energy</v>
      </c>
      <c r="B136" s="40" t="str">
        <f>'Tariffs Jul2020'!D130</f>
        <v>AusNet Services Central 1</v>
      </c>
      <c r="C136" s="40" t="str">
        <f>'Tariffs Jul2020'!G130</f>
        <v>Saver</v>
      </c>
      <c r="D136" s="59">
        <f>365*'Tariffs Jul2020'!H130/100</f>
        <v>338.05636363636359</v>
      </c>
      <c r="E136" s="59">
        <f>IF($C$5*'Tariffs Jul2020'!AK130/'Tariffs Jul2020'!AI130&gt;='Tariffs Jul2020'!J130,( 'Tariffs Jul2020'!J130*'Tariffs Jul2020'!O130/100)* 'Tariffs Jul2020'!AI130,($C$5*'Tariffs Jul2020'!AK130/'Tariffs Jul2020'!AI130*'Tariffs Jul2020'!O130/100)* 'Tariffs Jul2020'!AI130)</f>
        <v>289.09090909090907</v>
      </c>
      <c r="F136" s="59">
        <f>IF($C$5*'Tariffs Jul2020'!AK130/'Tariffs Jul2020'!AI130&lt;'Tariffs Jul2020'!J130,0,IF($C$5*'Tariffs Jul2020'!AK130/'Tariffs Jul2020'!AI130&lt;='Tariffs Jul2020'!K130,($C$5*'Tariffs Jul2020'!AK130/'Tariffs Jul2020'!AI130-'Tariffs Jul2020'!J130)*('Tariffs Jul2020'!P130/100)*'Tariffs Jul2020'!AI130,('Tariffs Jul2020'!K130-'Tariffs Jul2020'!J130)*('Tariffs Jul2020'!P130/100)*'Tariffs Jul2020'!AI130))</f>
        <v>184.8659454545454</v>
      </c>
      <c r="G136" s="59">
        <f>IF($C$5*'Tariffs Jul2020'!AK130/'Tariffs Jul2020'!AI130&lt;'Tariffs Jul2020'!K130,0,IF($C$5*'Tariffs Jul2020'!AK130/'Tariffs Jul2020'!AI130&lt;='Tariffs Jul2020'!L130,($C$5*'Tariffs Jul2020'!AK130/'Tariffs Jul2020'!AI130-'Tariffs Jul2020'!K130)*('Tariffs Jul2020'!Q130/100)*'Tariffs Jul2020'!AI130,('Tariffs Jul2020'!L130-'Tariffs Jul2020'!K130)*('Tariffs Jul2020'!Q130/100)*'Tariffs Jul2020'!AI130))</f>
        <v>0</v>
      </c>
      <c r="H136" s="59">
        <f>IF($C$5*'Tariffs Jul2020'!AK130/'Tariffs Jul2020'!AI130&lt;'Tariffs Jul2020'!L130,0,IF($C$5*'Tariffs Jul2020'!AK130/'Tariffs Jul2020'!AI130&lt;='Tariffs Jul2020'!M130,($C$5*'Tariffs Jul2020'!AK130/'Tariffs Jul2020'!AI130-'Tariffs Jul2020'!L130)*('Tariffs Jul2020'!R130/100)*'Tariffs Jul2020'!AI130,('Tariffs Jul2020'!M130-'Tariffs Jul2020'!L130)*('Tariffs Jul2020'!R130/100)*'Tariffs Jul2020'!AI130))</f>
        <v>0</v>
      </c>
      <c r="I136" s="59">
        <f>IF(($C$5*'Tariffs Jul2020'!AK130/'Tariffs Jul2020'!AI130&gt;'Tariffs Jul2020'!M130),($C$5*'Tariffs Jul2020'!AK130/'Tariffs Jul2020'!AI130-'Tariffs Jul2020'!M130)*'Tariffs Jul2020'!S130/100*'Tariffs Jul2020'!AI130,0)</f>
        <v>0</v>
      </c>
      <c r="J136" s="59">
        <f>IF($C$5*'Tariffs Jul2020'!AL130/'Tariffs Jul2020'!AJ130&gt;='Tariffs Jul2020'!J130,('Tariffs Jul2020'!J130*'Tariffs Jul2020'!U130/100)* 'Tariffs Jul2020'!AJ130,($C$5*'Tariffs Jul2020'!AL130/'Tariffs Jul2020'!AJ130*'Tariffs Jul2020'!U130/100)* 'Tariffs Jul2020'!AJ130)</f>
        <v>436.36363636363632</v>
      </c>
      <c r="K136" s="59">
        <f>IF($C$5*'Tariffs Jul2020'!AL130/'Tariffs Jul2020'!AJ130&lt;'Tariffs Jul2020'!J130,0,IF($C$5*'Tariffs Jul2020'!AL130/'Tariffs Jul2020'!AJ130&lt;='Tariffs Jul2020'!K130,($C$5*'Tariffs Jul2020'!AL130/'Tariffs Jul2020'!AJ130-'Tariffs Jul2020'!J130)*('Tariffs Jul2020'!V130/100)*'Tariffs Jul2020'!AJ130,('Tariffs Jul2020'!K130-'Tariffs Jul2020'!J130)*('Tariffs Jul2020'!V130/100)*'Tariffs Jul2020'!AJ130))</f>
        <v>317.3804727272726</v>
      </c>
      <c r="L136" s="59">
        <f>IF($C$5*'Tariffs Jul2020'!AL130/'Tariffs Jul2020'!AJ130&lt;'Tariffs Jul2020'!K130,0,IF($C$5*'Tariffs Jul2020'!AL130/'Tariffs Jul2020'!AJ130&lt;='Tariffs Jul2020'!L130,($C$5*'Tariffs Jul2020'!AL130/'Tariffs Jul2020'!AJ130-'Tariffs Jul2020'!K130)*('Tariffs Jul2020'!W130/100)*'Tariffs Jul2020'!AJ130,('Tariffs Jul2020'!L130-'Tariffs Jul2020'!K130)*('Tariffs Jul2020'!W130/100)*'Tariffs Jul2020'!AJ130))</f>
        <v>0</v>
      </c>
      <c r="M136" s="59">
        <f>IF($C$5*'Tariffs Jul2020'!AL130/'Tariffs Jul2020'!AJ130&lt;'Tariffs Jul2020'!L130,0,IF($C$5*'Tariffs Jul2020'!AL130/'Tariffs Jul2020'!AJ130&lt;='Tariffs Jul2020'!M130,($C$5*'Tariffs Jul2020'!AL130/'Tariffs Jul2020'!AJ130-'Tariffs Jul2020'!L130)*('Tariffs Jul2020'!X130/100)*'Tariffs Jul2020'!AJ130,('Tariffs Jul2020'!M130-'Tariffs Jul2020'!L130)*('Tariffs Jul2020'!X130/100)*'Tariffs Jul2020'!AJ130))</f>
        <v>0</v>
      </c>
      <c r="N136" s="59">
        <f>IF(($C$5*'Tariffs Jul2020'!AL130/'Tariffs Jul2020'!AJ130&gt;'Tariffs Jul2020'!M130),($C$5*'Tariffs Jul2020'!AL130/'Tariffs Jul2020'!AJ130-'Tariffs Jul2020'!M130)*'Tariffs Jul2020'!Y130/100*'Tariffs Jul2020'!AJ130,0)</f>
        <v>0</v>
      </c>
      <c r="O136" s="59">
        <f t="shared" si="63"/>
        <v>1227.7009636363632</v>
      </c>
      <c r="P136" s="503">
        <f t="shared" si="31"/>
        <v>1350.4710599999996</v>
      </c>
      <c r="Q136" s="59">
        <f t="shared" si="64"/>
        <v>1565.7573272727268</v>
      </c>
      <c r="R136" s="272">
        <f t="shared" si="65"/>
        <v>1722.3330599999997</v>
      </c>
      <c r="S136" s="40">
        <f>'Tariffs Jul2020'!AN130</f>
        <v>20</v>
      </c>
      <c r="T136" s="40">
        <f>'Tariffs Jul2020'!AO130</f>
        <v>0</v>
      </c>
      <c r="U136" s="40">
        <f>'Tariffs Jul2020'!AP130</f>
        <v>0</v>
      </c>
      <c r="V136" s="40">
        <f>'Tariffs Jul2020'!AQ130</f>
        <v>0</v>
      </c>
      <c r="W136" s="284">
        <f>Q136-(Q136*S136/100)</f>
        <v>1252.6058618181814</v>
      </c>
      <c r="X136" s="284">
        <f t="shared" si="61"/>
        <v>1252.6058618181814</v>
      </c>
      <c r="Y136" s="507">
        <f t="shared" si="68"/>
        <v>1377.8664479999998</v>
      </c>
      <c r="Z136" s="507">
        <f t="shared" si="68"/>
        <v>1377.8664479999998</v>
      </c>
      <c r="AA136" s="274">
        <f>'Tariffs Jul2020'!AZ130</f>
        <v>0</v>
      </c>
      <c r="AB136" s="274" t="str">
        <f>'Tariffs Jul2020'!BA130</f>
        <v>n</v>
      </c>
      <c r="AC136" s="275" t="str">
        <f>'Tariffs Jul2020'!BJ130</f>
        <v>N</v>
      </c>
      <c r="AD136" s="511"/>
      <c r="AE136" s="511"/>
      <c r="AF136" s="513"/>
      <c r="AG136" s="546"/>
      <c r="AH136" s="546"/>
      <c r="AI136" s="546"/>
      <c r="AJ136" s="546"/>
      <c r="AK136" s="546"/>
      <c r="AL136" s="546"/>
      <c r="AM136" s="546"/>
      <c r="AN136" s="546"/>
      <c r="AO136" s="546"/>
      <c r="AP136" s="546"/>
      <c r="AQ136" s="546"/>
      <c r="AR136" s="546"/>
      <c r="AS136" s="546"/>
      <c r="AT136" s="546"/>
      <c r="AU136" s="546"/>
      <c r="AV136" s="546"/>
      <c r="AW136" s="546"/>
      <c r="AX136" s="546"/>
      <c r="AY136" s="546"/>
      <c r="AZ136" s="546"/>
    </row>
    <row r="137" spans="1:52" ht="14" x14ac:dyDescent="0.15">
      <c r="A137" s="270" t="str">
        <f>'Tariffs Jul2020'!F131</f>
        <v>Sumo Power</v>
      </c>
      <c r="B137" s="40" t="str">
        <f>'Tariffs Jul2020'!D131</f>
        <v>AusNet Services Central 1</v>
      </c>
      <c r="C137" s="40" t="str">
        <f>'Tariffs Jul2020'!G131</f>
        <v>Select</v>
      </c>
      <c r="D137" s="59">
        <f>365*'Tariffs Jul2020'!H131/100</f>
        <v>248.19999999999996</v>
      </c>
      <c r="E137" s="59">
        <f>IF($C$5*'Tariffs Jul2020'!AK131/'Tariffs Jul2020'!AI131&gt;='Tariffs Jul2020'!J131,( 'Tariffs Jul2020'!J131*'Tariffs Jul2020'!O131/100)* 'Tariffs Jul2020'!AI131,($C$5*'Tariffs Jul2020'!AK131/'Tariffs Jul2020'!AI131*'Tariffs Jul2020'!O131/100)* 'Tariffs Jul2020'!AI131)</f>
        <v>266.18181818181813</v>
      </c>
      <c r="F137" s="59">
        <f>IF($C$5*'Tariffs Jul2020'!AK131/'Tariffs Jul2020'!AI131&lt;'Tariffs Jul2020'!J131,0,IF($C$5*'Tariffs Jul2020'!AK131/'Tariffs Jul2020'!AI131&lt;='Tariffs Jul2020'!K131,($C$5*'Tariffs Jul2020'!AK131/'Tariffs Jul2020'!AI131-'Tariffs Jul2020'!J131)*('Tariffs Jul2020'!P131/100)*'Tariffs Jul2020'!AI131,('Tariffs Jul2020'!K131-'Tariffs Jul2020'!J131)*('Tariffs Jul2020'!P131/100)*'Tariffs Jul2020'!AI131))</f>
        <v>181.59398181818176</v>
      </c>
      <c r="G137" s="59">
        <f>IF($C$5*'Tariffs Jul2020'!AK131/'Tariffs Jul2020'!AI131&lt;'Tariffs Jul2020'!K131,0,IF($C$5*'Tariffs Jul2020'!AK131/'Tariffs Jul2020'!AI131&lt;='Tariffs Jul2020'!L131,($C$5*'Tariffs Jul2020'!AK131/'Tariffs Jul2020'!AI131-'Tariffs Jul2020'!K131)*('Tariffs Jul2020'!Q131/100)*'Tariffs Jul2020'!AI131,('Tariffs Jul2020'!L131-'Tariffs Jul2020'!K131)*('Tariffs Jul2020'!Q131/100)*'Tariffs Jul2020'!AI131))</f>
        <v>0</v>
      </c>
      <c r="H137" s="59">
        <f>IF($C$5*'Tariffs Jul2020'!AK131/'Tariffs Jul2020'!AI131&lt;'Tariffs Jul2020'!L131,0,IF($C$5*'Tariffs Jul2020'!AK131/'Tariffs Jul2020'!AI131&lt;='Tariffs Jul2020'!M131,($C$5*'Tariffs Jul2020'!AK131/'Tariffs Jul2020'!AI131-'Tariffs Jul2020'!L131)*('Tariffs Jul2020'!R131/100)*'Tariffs Jul2020'!AI131,('Tariffs Jul2020'!M131-'Tariffs Jul2020'!L131)*('Tariffs Jul2020'!R131/100)*'Tariffs Jul2020'!AI131))</f>
        <v>0</v>
      </c>
      <c r="I137" s="59">
        <f>IF(($C$5*'Tariffs Jul2020'!AK131/'Tariffs Jul2020'!AI131&gt;'Tariffs Jul2020'!M131),($C$5*'Tariffs Jul2020'!AK131/'Tariffs Jul2020'!AI131-'Tariffs Jul2020'!M131)*'Tariffs Jul2020'!S131/100*'Tariffs Jul2020'!AI131,0)</f>
        <v>0</v>
      </c>
      <c r="J137" s="59">
        <f>IF($C$5*'Tariffs Jul2020'!AL131/'Tariffs Jul2020'!AJ131&gt;='Tariffs Jul2020'!J131,('Tariffs Jul2020'!J131*'Tariffs Jul2020'!U131/100)* 'Tariffs Jul2020'!AJ131,($C$5*'Tariffs Jul2020'!AL131/'Tariffs Jul2020'!AJ131*'Tariffs Jul2020'!U131/100)* 'Tariffs Jul2020'!AJ131)</f>
        <v>421.09090909090907</v>
      </c>
      <c r="K137" s="59">
        <f>IF($C$5*'Tariffs Jul2020'!AL131/'Tariffs Jul2020'!AJ131&lt;'Tariffs Jul2020'!J131,0,IF($C$5*'Tariffs Jul2020'!AL131/'Tariffs Jul2020'!AJ131&lt;='Tariffs Jul2020'!K131,($C$5*'Tariffs Jul2020'!AL131/'Tariffs Jul2020'!AJ131-'Tariffs Jul2020'!J131)*('Tariffs Jul2020'!V131/100)*'Tariffs Jul2020'!AJ131,('Tariffs Jul2020'!K131-'Tariffs Jul2020'!J131)*('Tariffs Jul2020'!V131/100)*'Tariffs Jul2020'!AJ131))</f>
        <v>273.20896363636353</v>
      </c>
      <c r="L137" s="59">
        <f>IF($C$5*'Tariffs Jul2020'!AL131/'Tariffs Jul2020'!AJ131&lt;'Tariffs Jul2020'!K131,0,IF($C$5*'Tariffs Jul2020'!AL131/'Tariffs Jul2020'!AJ131&lt;='Tariffs Jul2020'!L131,($C$5*'Tariffs Jul2020'!AL131/'Tariffs Jul2020'!AJ131-'Tariffs Jul2020'!K131)*('Tariffs Jul2020'!W131/100)*'Tariffs Jul2020'!AJ131,('Tariffs Jul2020'!L131-'Tariffs Jul2020'!K131)*('Tariffs Jul2020'!W131/100)*'Tariffs Jul2020'!AJ131))</f>
        <v>0</v>
      </c>
      <c r="M137" s="59">
        <f>IF($C$5*'Tariffs Jul2020'!AL131/'Tariffs Jul2020'!AJ131&lt;'Tariffs Jul2020'!L131,0,IF($C$5*'Tariffs Jul2020'!AL131/'Tariffs Jul2020'!AJ131&lt;='Tariffs Jul2020'!M131,($C$5*'Tariffs Jul2020'!AL131/'Tariffs Jul2020'!AJ131-'Tariffs Jul2020'!L131)*('Tariffs Jul2020'!X131/100)*'Tariffs Jul2020'!AJ131,('Tariffs Jul2020'!M131-'Tariffs Jul2020'!L131)*('Tariffs Jul2020'!X131/100)*'Tariffs Jul2020'!AJ131))</f>
        <v>0</v>
      </c>
      <c r="N137" s="59">
        <f>IF(($C$5*'Tariffs Jul2020'!AL131/'Tariffs Jul2020'!AJ131&gt;'Tariffs Jul2020'!M131),($C$5*'Tariffs Jul2020'!AL131/'Tariffs Jul2020'!AJ131-'Tariffs Jul2020'!M131)*'Tariffs Jul2020'!Y131/100*'Tariffs Jul2020'!AJ131,0)</f>
        <v>0</v>
      </c>
      <c r="O137" s="59">
        <f t="shared" si="63"/>
        <v>1142.0756727272724</v>
      </c>
      <c r="P137" s="503">
        <f t="shared" ref="P137:P142" si="69">O137*1.1</f>
        <v>1256.2832399999998</v>
      </c>
      <c r="Q137" s="59">
        <f t="shared" si="64"/>
        <v>1390.2756727272724</v>
      </c>
      <c r="R137" s="272">
        <f t="shared" si="65"/>
        <v>1529.3032399999997</v>
      </c>
      <c r="S137" s="40">
        <f>'Tariffs Jul2020'!AN131</f>
        <v>0</v>
      </c>
      <c r="T137" s="40">
        <f>'Tariffs Jul2020'!AO131</f>
        <v>0</v>
      </c>
      <c r="U137" s="40">
        <f>'Tariffs Jul2020'!AP131</f>
        <v>5</v>
      </c>
      <c r="V137" s="40">
        <f>'Tariffs Jul2020'!AQ131</f>
        <v>0</v>
      </c>
      <c r="W137" s="284">
        <f t="shared" ref="W137" si="70">Q137</f>
        <v>1390.2756727272724</v>
      </c>
      <c r="X137" s="284">
        <f>W137-(Q137*U137/100)</f>
        <v>1320.7618890909089</v>
      </c>
      <c r="Y137" s="507">
        <f t="shared" si="68"/>
        <v>1529.3032399999997</v>
      </c>
      <c r="Z137" s="507">
        <f t="shared" si="68"/>
        <v>1452.838078</v>
      </c>
      <c r="AA137" s="274">
        <f>'Tariffs Jul2020'!AZ131</f>
        <v>0</v>
      </c>
      <c r="AB137" s="274" t="str">
        <f>'Tariffs Jul2020'!BA131</f>
        <v>n</v>
      </c>
      <c r="AC137" s="275" t="str">
        <f>'Tariffs Jul2020'!BJ131</f>
        <v>Y</v>
      </c>
      <c r="AD137" s="511"/>
      <c r="AE137" s="511"/>
      <c r="AF137" s="513"/>
      <c r="AG137" s="546"/>
      <c r="AH137" s="546"/>
      <c r="AI137" s="546"/>
      <c r="AJ137" s="546"/>
      <c r="AK137" s="546"/>
      <c r="AL137" s="546"/>
      <c r="AM137" s="546"/>
      <c r="AN137" s="546"/>
      <c r="AO137" s="546"/>
      <c r="AP137" s="546"/>
      <c r="AQ137" s="546"/>
      <c r="AR137" s="546"/>
      <c r="AS137" s="546"/>
      <c r="AT137" s="546"/>
      <c r="AU137" s="546"/>
      <c r="AV137" s="546"/>
      <c r="AW137" s="546"/>
      <c r="AX137" s="546"/>
      <c r="AY137" s="546"/>
      <c r="AZ137" s="546"/>
    </row>
    <row r="138" spans="1:52" ht="14" x14ac:dyDescent="0.15">
      <c r="A138" s="270" t="str">
        <f>'Tariffs Jul2020'!F132</f>
        <v>Amaysim</v>
      </c>
      <c r="B138" s="40" t="str">
        <f>'Tariffs Jul2020'!D132</f>
        <v>AusNet Services Central 1</v>
      </c>
      <c r="C138" s="40" t="str">
        <f>'Tariffs Jul2020'!G132</f>
        <v>Gas as you go</v>
      </c>
      <c r="D138" s="59">
        <f>365*'Tariffs Jul2020'!H132/100</f>
        <v>240.2576</v>
      </c>
      <c r="E138" s="59">
        <f>IF($C$5*'Tariffs Jul2020'!AK132/'Tariffs Jul2020'!AI132&gt;='Tariffs Jul2020'!J132,( 'Tariffs Jul2020'!J132*'Tariffs Jul2020'!O132/100)* 'Tariffs Jul2020'!AI132,($C$5*'Tariffs Jul2020'!AK132/'Tariffs Jul2020'!AI132*'Tariffs Jul2020'!O132/100)* 'Tariffs Jul2020'!AI132)</f>
        <v>289.68</v>
      </c>
      <c r="F138" s="59">
        <f>IF($C$5*'Tariffs Jul2020'!AK132/'Tariffs Jul2020'!AI132&lt;'Tariffs Jul2020'!J132,0,IF($C$5*'Tariffs Jul2020'!AK132/'Tariffs Jul2020'!AI132&lt;='Tariffs Jul2020'!K132,($C$5*'Tariffs Jul2020'!AK132/'Tariffs Jul2020'!AI132-'Tariffs Jul2020'!J132)*('Tariffs Jul2020'!P132/100)*'Tariffs Jul2020'!AI132,('Tariffs Jul2020'!K132-'Tariffs Jul2020'!J132)*('Tariffs Jul2020'!P132/100)*'Tariffs Jul2020'!AI132))</f>
        <v>186.61644599999994</v>
      </c>
      <c r="G138" s="59">
        <f>IF($C$5*'Tariffs Jul2020'!AK132/'Tariffs Jul2020'!AI132&lt;'Tariffs Jul2020'!K132,0,IF($C$5*'Tariffs Jul2020'!AK132/'Tariffs Jul2020'!AI132&lt;='Tariffs Jul2020'!L132,($C$5*'Tariffs Jul2020'!AK132/'Tariffs Jul2020'!AI132-'Tariffs Jul2020'!K132)*('Tariffs Jul2020'!Q132/100)*'Tariffs Jul2020'!AI132,('Tariffs Jul2020'!L132-'Tariffs Jul2020'!K132)*('Tariffs Jul2020'!Q132/100)*'Tariffs Jul2020'!AI132))</f>
        <v>0</v>
      </c>
      <c r="H138" s="59">
        <f>IF($C$5*'Tariffs Jul2020'!AK132/'Tariffs Jul2020'!AI132&lt;'Tariffs Jul2020'!L132,0,IF($C$5*'Tariffs Jul2020'!AK132/'Tariffs Jul2020'!AI132&lt;='Tariffs Jul2020'!M132,($C$5*'Tariffs Jul2020'!AK132/'Tariffs Jul2020'!AI132-'Tariffs Jul2020'!L132)*('Tariffs Jul2020'!R132/100)*'Tariffs Jul2020'!AI132,('Tariffs Jul2020'!M132-'Tariffs Jul2020'!L132)*('Tariffs Jul2020'!R132/100)*'Tariffs Jul2020'!AI132))</f>
        <v>0</v>
      </c>
      <c r="I138" s="59">
        <f>IF(($C$5*'Tariffs Jul2020'!AK132/'Tariffs Jul2020'!AI132&gt;'Tariffs Jul2020'!M132),($C$5*'Tariffs Jul2020'!AK132/'Tariffs Jul2020'!AI132-'Tariffs Jul2020'!M132)*'Tariffs Jul2020'!S132/100*'Tariffs Jul2020'!AI132,0)</f>
        <v>0</v>
      </c>
      <c r="J138" s="59">
        <f>IF($C$5*'Tariffs Jul2020'!AL132/'Tariffs Jul2020'!AJ132&gt;='Tariffs Jul2020'!J132,('Tariffs Jul2020'!J132*'Tariffs Jul2020'!U132/100)* 'Tariffs Jul2020'!AJ132,($C$5*'Tariffs Jul2020'!AL132/'Tariffs Jul2020'!AJ132*'Tariffs Jul2020'!U132/100)* 'Tariffs Jul2020'!AJ132)</f>
        <v>408</v>
      </c>
      <c r="K138" s="59">
        <f>IF($C$5*'Tariffs Jul2020'!AL132/'Tariffs Jul2020'!AJ132&lt;'Tariffs Jul2020'!J132,0,IF($C$5*'Tariffs Jul2020'!AL132/'Tariffs Jul2020'!AJ132&lt;='Tariffs Jul2020'!K132,($C$5*'Tariffs Jul2020'!AL132/'Tariffs Jul2020'!AJ132-'Tariffs Jul2020'!J132)*('Tariffs Jul2020'!V132/100)*'Tariffs Jul2020'!AJ132,('Tariffs Jul2020'!K132-'Tariffs Jul2020'!J132)*('Tariffs Jul2020'!V132/100)*'Tariffs Jul2020'!AJ132))</f>
        <v>299.81002799999987</v>
      </c>
      <c r="L138" s="59">
        <f>IF($C$5*'Tariffs Jul2020'!AL132/'Tariffs Jul2020'!AJ132&lt;'Tariffs Jul2020'!K132,0,IF($C$5*'Tariffs Jul2020'!AL132/'Tariffs Jul2020'!AJ132&lt;='Tariffs Jul2020'!L132,($C$5*'Tariffs Jul2020'!AL132/'Tariffs Jul2020'!AJ132-'Tariffs Jul2020'!K132)*('Tariffs Jul2020'!W132/100)*'Tariffs Jul2020'!AJ132,('Tariffs Jul2020'!L132-'Tariffs Jul2020'!K132)*('Tariffs Jul2020'!W132/100)*'Tariffs Jul2020'!AJ132))</f>
        <v>0</v>
      </c>
      <c r="M138" s="59">
        <f>IF($C$5*'Tariffs Jul2020'!AL132/'Tariffs Jul2020'!AJ132&lt;'Tariffs Jul2020'!L132,0,IF($C$5*'Tariffs Jul2020'!AL132/'Tariffs Jul2020'!AJ132&lt;='Tariffs Jul2020'!M132,($C$5*'Tariffs Jul2020'!AL132/'Tariffs Jul2020'!AJ132-'Tariffs Jul2020'!L132)*('Tariffs Jul2020'!X132/100)*'Tariffs Jul2020'!AJ132,('Tariffs Jul2020'!M132-'Tariffs Jul2020'!L132)*('Tariffs Jul2020'!X132/100)*'Tariffs Jul2020'!AJ132))</f>
        <v>0</v>
      </c>
      <c r="N138" s="59">
        <f>IF(($C$5*'Tariffs Jul2020'!AL132/'Tariffs Jul2020'!AJ132&gt;'Tariffs Jul2020'!M132),($C$5*'Tariffs Jul2020'!AL132/'Tariffs Jul2020'!AJ132-'Tariffs Jul2020'!M132)*'Tariffs Jul2020'!Y132/100*'Tariffs Jul2020'!AJ132,0)</f>
        <v>0</v>
      </c>
      <c r="O138" s="59">
        <f t="shared" si="63"/>
        <v>1184.1064739999997</v>
      </c>
      <c r="P138" s="503">
        <f t="shared" si="69"/>
        <v>1302.5171213999997</v>
      </c>
      <c r="Q138" s="59">
        <f t="shared" si="64"/>
        <v>1424.3640739999996</v>
      </c>
      <c r="R138" s="272">
        <f t="shared" si="65"/>
        <v>1566.8004813999996</v>
      </c>
      <c r="S138" s="40">
        <f>'Tariffs Jul2020'!AN132</f>
        <v>0</v>
      </c>
      <c r="T138" s="40">
        <f>'Tariffs Jul2020'!AO132</f>
        <v>0</v>
      </c>
      <c r="U138" s="40">
        <f>'Tariffs Jul2020'!AP132</f>
        <v>0</v>
      </c>
      <c r="V138" s="40">
        <f>'Tariffs Jul2020'!AQ132</f>
        <v>0</v>
      </c>
      <c r="W138" s="284">
        <f>Q138</f>
        <v>1424.3640739999996</v>
      </c>
      <c r="X138" s="284">
        <f>W138</f>
        <v>1424.3640739999996</v>
      </c>
      <c r="Y138" s="507">
        <f t="shared" si="68"/>
        <v>1566.8004813999996</v>
      </c>
      <c r="Z138" s="507">
        <f t="shared" si="68"/>
        <v>1566.8004813999996</v>
      </c>
      <c r="AA138" s="274">
        <f>'Tariffs Jul2020'!AZ132</f>
        <v>0</v>
      </c>
      <c r="AB138" s="274" t="str">
        <f>'Tariffs Jul2020'!BA132</f>
        <v>n</v>
      </c>
      <c r="AC138" s="275" t="str">
        <f>'Tariffs Jul2020'!BJ132</f>
        <v>N</v>
      </c>
      <c r="AD138" s="511"/>
      <c r="AE138" s="511"/>
      <c r="AF138" s="513"/>
      <c r="AG138" s="546"/>
      <c r="AH138" s="546"/>
      <c r="AI138" s="546"/>
      <c r="AJ138" s="546"/>
      <c r="AK138" s="546"/>
      <c r="AL138" s="546"/>
      <c r="AM138" s="546"/>
      <c r="AN138" s="546"/>
      <c r="AO138" s="546"/>
      <c r="AP138" s="546"/>
      <c r="AQ138" s="546"/>
      <c r="AR138" s="546"/>
      <c r="AS138" s="546"/>
      <c r="AT138" s="546"/>
      <c r="AU138" s="546"/>
      <c r="AV138" s="546"/>
      <c r="AW138" s="546"/>
      <c r="AX138" s="546"/>
      <c r="AY138" s="546"/>
      <c r="AZ138" s="546"/>
    </row>
    <row r="139" spans="1:52" ht="14" x14ac:dyDescent="0.15">
      <c r="A139" s="270" t="str">
        <f>'Tariffs Jul2020'!F133</f>
        <v>GloBird Energy</v>
      </c>
      <c r="B139" s="40" t="str">
        <f>'Tariffs Jul2020'!D133</f>
        <v>AusNet Services Central 1</v>
      </c>
      <c r="C139" s="40" t="str">
        <f>'Tariffs Jul2020'!G133</f>
        <v>GloSave</v>
      </c>
      <c r="D139" s="59">
        <f>365*'Tariffs Jul2020'!H133/100</f>
        <v>277.39999999999998</v>
      </c>
      <c r="E139" s="59">
        <f>IF($C$5*'Tariffs Jul2020'!AK133/'Tariffs Jul2020'!AI133&gt;='Tariffs Jul2020'!J133,( 'Tariffs Jul2020'!J133*'Tariffs Jul2020'!O133/100)* 'Tariffs Jul2020'!AI133,($C$5*'Tariffs Jul2020'!AK133/'Tariffs Jul2020'!AI133*'Tariffs Jul2020'!O133/100)* 'Tariffs Jul2020'!AI133)</f>
        <v>222.54545454545453</v>
      </c>
      <c r="F139" s="59">
        <f>IF($C$5*'Tariffs Jul2020'!AK133/'Tariffs Jul2020'!AI133&lt;'Tariffs Jul2020'!J133,0,IF($C$5*'Tariffs Jul2020'!AK133/'Tariffs Jul2020'!AI133&lt;='Tariffs Jul2020'!K133,($C$5*'Tariffs Jul2020'!AK133/'Tariffs Jul2020'!AI133-'Tariffs Jul2020'!J133)*('Tariffs Jul2020'!P133/100)*'Tariffs Jul2020'!AI133,('Tariffs Jul2020'!K133-'Tariffs Jul2020'!J133)*('Tariffs Jul2020'!P133/100)*'Tariffs Jul2020'!AI133))</f>
        <v>0</v>
      </c>
      <c r="G139" s="59">
        <f>IF($C$5*'Tariffs Jul2020'!AK133/'Tariffs Jul2020'!AI133&lt;'Tariffs Jul2020'!K133,0,IF($C$5*'Tariffs Jul2020'!AK133/'Tariffs Jul2020'!AI133&lt;='Tariffs Jul2020'!L133,($C$5*'Tariffs Jul2020'!AK133/'Tariffs Jul2020'!AI133-'Tariffs Jul2020'!K133)*('Tariffs Jul2020'!Q133/100)*'Tariffs Jul2020'!AI133,('Tariffs Jul2020'!L133-'Tariffs Jul2020'!K133)*('Tariffs Jul2020'!Q133/100)*'Tariffs Jul2020'!AI133))</f>
        <v>0</v>
      </c>
      <c r="H139" s="59">
        <f>IF($C$5*'Tariffs Jul2020'!AK133/'Tariffs Jul2020'!AI133&lt;'Tariffs Jul2020'!L133,0,IF($C$5*'Tariffs Jul2020'!AK133/'Tariffs Jul2020'!AI133&lt;='Tariffs Jul2020'!M133,($C$5*'Tariffs Jul2020'!AK133/'Tariffs Jul2020'!AI133-'Tariffs Jul2020'!L133)*('Tariffs Jul2020'!R133/100)*'Tariffs Jul2020'!AI133,('Tariffs Jul2020'!M133-'Tariffs Jul2020'!L133)*('Tariffs Jul2020'!R133/100)*'Tariffs Jul2020'!AI133))</f>
        <v>0</v>
      </c>
      <c r="I139" s="59">
        <f>IF(($C$5*'Tariffs Jul2020'!AK133/'Tariffs Jul2020'!AI133&gt;'Tariffs Jul2020'!M133),($C$5*'Tariffs Jul2020'!AK133/'Tariffs Jul2020'!AI133-'Tariffs Jul2020'!M133)*'Tariffs Jul2020'!S133/100*'Tariffs Jul2020'!AI133,0)</f>
        <v>134.96849999999995</v>
      </c>
      <c r="J139" s="59">
        <f>IF($C$5*'Tariffs Jul2020'!AL133/'Tariffs Jul2020'!AJ133&gt;='Tariffs Jul2020'!J133,('Tariffs Jul2020'!J133*'Tariffs Jul2020'!U133/100)* 'Tariffs Jul2020'!AJ133,($C$5*'Tariffs Jul2020'!AL133/'Tariffs Jul2020'!AJ133*'Tariffs Jul2020'!U133/100)* 'Tariffs Jul2020'!AJ133)</f>
        <v>331.63636363636363</v>
      </c>
      <c r="K139" s="59">
        <f>IF($C$5*'Tariffs Jul2020'!AL133/'Tariffs Jul2020'!AJ133&lt;'Tariffs Jul2020'!J133,0,IF($C$5*'Tariffs Jul2020'!AL133/'Tariffs Jul2020'!AJ133&lt;='Tariffs Jul2020'!K133,($C$5*'Tariffs Jul2020'!AL133/'Tariffs Jul2020'!AJ133-'Tariffs Jul2020'!J133)*('Tariffs Jul2020'!V133/100)*'Tariffs Jul2020'!AJ133,('Tariffs Jul2020'!K133-'Tariffs Jul2020'!J133)*('Tariffs Jul2020'!V133/100)*'Tariffs Jul2020'!AJ133))</f>
        <v>0</v>
      </c>
      <c r="L139" s="59">
        <f>IF($C$5*'Tariffs Jul2020'!AL133/'Tariffs Jul2020'!AJ133&lt;'Tariffs Jul2020'!K133,0,IF($C$5*'Tariffs Jul2020'!AL133/'Tariffs Jul2020'!AJ133&lt;='Tariffs Jul2020'!L133,($C$5*'Tariffs Jul2020'!AL133/'Tariffs Jul2020'!AJ133-'Tariffs Jul2020'!K133)*('Tariffs Jul2020'!W133/100)*'Tariffs Jul2020'!AJ133,('Tariffs Jul2020'!L133-'Tariffs Jul2020'!K133)*('Tariffs Jul2020'!W133/100)*'Tariffs Jul2020'!AJ133))</f>
        <v>0</v>
      </c>
      <c r="M139" s="59">
        <f>IF($C$5*'Tariffs Jul2020'!AL133/'Tariffs Jul2020'!AJ133&lt;'Tariffs Jul2020'!L133,0,IF($C$5*'Tariffs Jul2020'!AL133/'Tariffs Jul2020'!AJ133&lt;='Tariffs Jul2020'!M133,($C$5*'Tariffs Jul2020'!AL133/'Tariffs Jul2020'!AJ133-'Tariffs Jul2020'!L133)*('Tariffs Jul2020'!X133/100)*'Tariffs Jul2020'!AJ133,('Tariffs Jul2020'!M133-'Tariffs Jul2020'!L133)*('Tariffs Jul2020'!X133/100)*'Tariffs Jul2020'!AJ133))</f>
        <v>0</v>
      </c>
      <c r="N139" s="59">
        <f>IF(($C$5*'Tariffs Jul2020'!AL133/'Tariffs Jul2020'!AJ133&gt;'Tariffs Jul2020'!M133),($C$5*'Tariffs Jul2020'!AL133/'Tariffs Jul2020'!AJ133-'Tariffs Jul2020'!M133)*'Tariffs Jul2020'!Y133/100*'Tariffs Jul2020'!AJ133,0)</f>
        <v>248.66923636363626</v>
      </c>
      <c r="O139" s="59">
        <f t="shared" si="63"/>
        <v>937.81955454545437</v>
      </c>
      <c r="P139" s="503">
        <f t="shared" si="69"/>
        <v>1031.60151</v>
      </c>
      <c r="Q139" s="59">
        <f t="shared" si="64"/>
        <v>1215.2195545454542</v>
      </c>
      <c r="R139" s="272">
        <f t="shared" si="65"/>
        <v>1336.7415099999998</v>
      </c>
      <c r="S139" s="40">
        <f>'Tariffs Jul2020'!AN133</f>
        <v>0</v>
      </c>
      <c r="T139" s="40">
        <f>'Tariffs Jul2020'!AO133</f>
        <v>0</v>
      </c>
      <c r="U139" s="40">
        <f>'Tariffs Jul2020'!AP133</f>
        <v>0</v>
      </c>
      <c r="V139" s="40">
        <f>'Tariffs Jul2020'!AQ133</f>
        <v>0</v>
      </c>
      <c r="W139" s="284">
        <f>Q139</f>
        <v>1215.2195545454542</v>
      </c>
      <c r="X139" s="284">
        <f>W139</f>
        <v>1215.2195545454542</v>
      </c>
      <c r="Y139" s="507">
        <f t="shared" si="68"/>
        <v>1336.7415099999998</v>
      </c>
      <c r="Z139" s="507">
        <f t="shared" si="68"/>
        <v>1336.7415099999998</v>
      </c>
      <c r="AA139" s="274">
        <f>'Tariffs Jul2020'!AZ133</f>
        <v>0</v>
      </c>
      <c r="AB139" s="274" t="str">
        <f>'Tariffs Jul2020'!BA133</f>
        <v>n</v>
      </c>
      <c r="AC139" s="275" t="str">
        <f>'Tariffs Jul2020'!BJ133</f>
        <v>N</v>
      </c>
      <c r="AD139" s="511"/>
      <c r="AE139" s="511"/>
      <c r="AF139" s="513"/>
      <c r="AG139" s="546"/>
      <c r="AH139" s="546"/>
      <c r="AI139" s="546"/>
      <c r="AJ139" s="546"/>
      <c r="AK139" s="546"/>
      <c r="AL139" s="546"/>
      <c r="AM139" s="546"/>
      <c r="AN139" s="546"/>
      <c r="AO139" s="546"/>
      <c r="AP139" s="546"/>
      <c r="AQ139" s="546"/>
      <c r="AR139" s="546"/>
      <c r="AS139" s="546"/>
      <c r="AT139" s="546"/>
      <c r="AU139" s="546"/>
      <c r="AV139" s="546"/>
      <c r="AW139" s="546"/>
      <c r="AX139" s="546"/>
      <c r="AY139" s="546"/>
      <c r="AZ139" s="546"/>
    </row>
    <row r="140" spans="1:52" ht="14" x14ac:dyDescent="0.15">
      <c r="A140" s="270" t="str">
        <f>'Tariffs Jul2020'!F134</f>
        <v>Powershop</v>
      </c>
      <c r="B140" s="40" t="str">
        <f>'Tariffs Jul2020'!D134</f>
        <v>AusNet Services Central 1</v>
      </c>
      <c r="C140" s="40" t="str">
        <f>'Tariffs Jul2020'!G134</f>
        <v>Shopper with Gas Saver</v>
      </c>
      <c r="D140" s="59">
        <f>365*'Tariffs Jul2020'!H134/100</f>
        <v>294.18999999999994</v>
      </c>
      <c r="E140" s="59">
        <f>((C$5*'Tariffs Jul2020'!AK134/'Tariffs Jul2020'!AI134)*('Tariffs Jul2020'!O134/100))*'Tariffs Jul2020'!AI134</f>
        <v>404.68679999999995</v>
      </c>
      <c r="F140" s="59">
        <v>0</v>
      </c>
      <c r="G140" s="59">
        <v>0</v>
      </c>
      <c r="H140" s="59">
        <v>0</v>
      </c>
      <c r="I140" s="59">
        <v>0</v>
      </c>
      <c r="J140" s="59">
        <f>((C$5*'Tariffs Jul2020'!AL134/'Tariffs Jul2020'!AJ134)*('Tariffs Jul2020'!U134/100))*'Tariffs Jul2020'!AJ134</f>
        <v>679.5684</v>
      </c>
      <c r="K140" s="59">
        <v>0</v>
      </c>
      <c r="L140" s="59">
        <v>0</v>
      </c>
      <c r="M140" s="59">
        <v>0</v>
      </c>
      <c r="N140" s="59">
        <v>0</v>
      </c>
      <c r="O140" s="59">
        <f t="shared" si="63"/>
        <v>1084.2552000000001</v>
      </c>
      <c r="P140" s="503">
        <f t="shared" si="69"/>
        <v>1192.6807200000001</v>
      </c>
      <c r="Q140" s="59">
        <f t="shared" si="64"/>
        <v>1378.4452000000001</v>
      </c>
      <c r="R140" s="272">
        <f t="shared" si="65"/>
        <v>1516.2897200000002</v>
      </c>
      <c r="S140" s="40">
        <f>'Tariffs Jul2020'!AN134</f>
        <v>0</v>
      </c>
      <c r="T140" s="40">
        <f>'Tariffs Jul2020'!AO134</f>
        <v>0</v>
      </c>
      <c r="U140" s="40">
        <f>'Tariffs Jul2020'!AP134</f>
        <v>5</v>
      </c>
      <c r="V140" s="40">
        <f>'Tariffs Jul2020'!AQ134</f>
        <v>0</v>
      </c>
      <c r="W140" s="284">
        <f>R140</f>
        <v>1516.2897200000002</v>
      </c>
      <c r="X140" s="284">
        <f>W140-(W140*U140/100)</f>
        <v>1440.4752340000002</v>
      </c>
      <c r="Y140" s="507">
        <f>W140</f>
        <v>1516.2897200000002</v>
      </c>
      <c r="Z140" s="507">
        <f>X140</f>
        <v>1440.4752340000002</v>
      </c>
      <c r="AA140" s="274">
        <f>'Tariffs Jul2020'!AZ134</f>
        <v>0</v>
      </c>
      <c r="AB140" s="274" t="str">
        <f>'Tariffs Jul2020'!BA134</f>
        <v>n</v>
      </c>
      <c r="AC140" s="275" t="str">
        <f>'Tariffs Jul2020'!BJ134</f>
        <v>Y</v>
      </c>
      <c r="AD140" s="511"/>
      <c r="AE140" s="511"/>
      <c r="AF140" s="513"/>
      <c r="AG140" s="546"/>
      <c r="AH140" s="546"/>
      <c r="AI140" s="546"/>
      <c r="AJ140" s="546"/>
      <c r="AK140" s="546"/>
      <c r="AL140" s="546"/>
      <c r="AM140" s="546"/>
      <c r="AN140" s="546"/>
      <c r="AO140" s="546"/>
      <c r="AP140" s="546"/>
      <c r="AQ140" s="546"/>
      <c r="AR140" s="546"/>
      <c r="AS140" s="546"/>
      <c r="AT140" s="546"/>
      <c r="AU140" s="546"/>
      <c r="AV140" s="546"/>
      <c r="AW140" s="546"/>
      <c r="AX140" s="546"/>
      <c r="AY140" s="546"/>
      <c r="AZ140" s="546"/>
    </row>
    <row r="141" spans="1:52" ht="14" x14ac:dyDescent="0.15">
      <c r="A141" s="270" t="str">
        <f>'Tariffs Jul2020'!F135</f>
        <v>1st Energy</v>
      </c>
      <c r="B141" s="40" t="str">
        <f>'Tariffs Jul2020'!D135</f>
        <v>AusNet Services Central 1</v>
      </c>
      <c r="C141" s="40" t="str">
        <f>'Tariffs Jul2020'!G135</f>
        <v>1st Saver</v>
      </c>
      <c r="D141" s="59">
        <f>365*'Tariffs Jul2020'!H135/100</f>
        <v>313.89999999999998</v>
      </c>
      <c r="E141" s="59">
        <f>IF($C$5*'Tariffs Jul2020'!AK135/'Tariffs Jul2020'!AI135&gt;='Tariffs Jul2020'!J135,( 'Tariffs Jul2020'!J135*'Tariffs Jul2020'!O135/100)* 'Tariffs Jul2020'!AI135,($C$5*'Tariffs Jul2020'!AK135/'Tariffs Jul2020'!AI135*'Tariffs Jul2020'!O135/100)* 'Tariffs Jul2020'!AI135)</f>
        <v>382.90909090909088</v>
      </c>
      <c r="F141" s="59">
        <f>IF($C$5*'Tariffs Jul2020'!AK135/'Tariffs Jul2020'!AI135&lt;'Tariffs Jul2020'!J135,0,IF($C$5*'Tariffs Jul2020'!AK135/'Tariffs Jul2020'!AI135&lt;='Tariffs Jul2020'!K135,($C$5*'Tariffs Jul2020'!AK135/'Tariffs Jul2020'!AI135-'Tariffs Jul2020'!J135)*('Tariffs Jul2020'!P135/100)*'Tariffs Jul2020'!AI135,('Tariffs Jul2020'!K135-'Tariffs Jul2020'!J135)*('Tariffs Jul2020'!P135/100)*'Tariffs Jul2020'!AI135))</f>
        <v>263.86363636363632</v>
      </c>
      <c r="G141" s="59">
        <f>IF($C$5*'Tariffs Jul2020'!AK135/'Tariffs Jul2020'!AI135&lt;'Tariffs Jul2020'!K135,0,IF($C$5*'Tariffs Jul2020'!AK135/'Tariffs Jul2020'!AI135&lt;='Tariffs Jul2020'!L135,($C$5*'Tariffs Jul2020'!AK135/'Tariffs Jul2020'!AI135-'Tariffs Jul2020'!K135)*('Tariffs Jul2020'!Q135/100)*'Tariffs Jul2020'!AI135,('Tariffs Jul2020'!L135-'Tariffs Jul2020'!K135)*('Tariffs Jul2020'!Q135/100)*'Tariffs Jul2020'!AI135))</f>
        <v>0</v>
      </c>
      <c r="H141" s="59">
        <f>IF($C$5*'Tariffs Jul2020'!AK135/'Tariffs Jul2020'!AI135&lt;'Tariffs Jul2020'!L135,0,IF($C$5*'Tariffs Jul2020'!AK135/'Tariffs Jul2020'!AI135&lt;='Tariffs Jul2020'!M135,($C$5*'Tariffs Jul2020'!AK135/'Tariffs Jul2020'!AI135-'Tariffs Jul2020'!L135)*('Tariffs Jul2020'!R135/100)*'Tariffs Jul2020'!AI135,('Tariffs Jul2020'!M135-'Tariffs Jul2020'!L135)*('Tariffs Jul2020'!R135/100)*'Tariffs Jul2020'!AI135))</f>
        <v>0</v>
      </c>
      <c r="I141" s="59">
        <f>IF(($C$5*'Tariffs Jul2020'!AK135/'Tariffs Jul2020'!AI135&gt;'Tariffs Jul2020'!M135),($C$5*'Tariffs Jul2020'!AK135/'Tariffs Jul2020'!AI135-'Tariffs Jul2020'!M135)*'Tariffs Jul2020'!S135/100*'Tariffs Jul2020'!AI135,0)</f>
        <v>0</v>
      </c>
      <c r="J141" s="59">
        <f>IF($C$5*'Tariffs Jul2020'!AL135/'Tariffs Jul2020'!AJ135&gt;='Tariffs Jul2020'!J135,('Tariffs Jul2020'!J135*'Tariffs Jul2020'!U135/100)* 'Tariffs Jul2020'!AJ135,($C$5*'Tariffs Jul2020'!AL135/'Tariffs Jul2020'!AJ135*'Tariffs Jul2020'!U135/100)* 'Tariffs Jul2020'!AJ135)</f>
        <v>382.90909090909088</v>
      </c>
      <c r="K141" s="59">
        <f>IF($C$5*'Tariffs Jul2020'!AL135/'Tariffs Jul2020'!AJ135&lt;'Tariffs Jul2020'!J135,0,IF($C$5*'Tariffs Jul2020'!AL135/'Tariffs Jul2020'!AJ135&lt;='Tariffs Jul2020'!K135,($C$5*'Tariffs Jul2020'!AL135/'Tariffs Jul2020'!AJ135-'Tariffs Jul2020'!J135)*('Tariffs Jul2020'!V135/100)*'Tariffs Jul2020'!AJ135,('Tariffs Jul2020'!K135-'Tariffs Jul2020'!J135)*('Tariffs Jul2020'!V135/100)*'Tariffs Jul2020'!AJ135))</f>
        <v>263.86363636363632</v>
      </c>
      <c r="L141" s="59">
        <f>IF($C$5*'Tariffs Jul2020'!AL135/'Tariffs Jul2020'!AJ135&lt;'Tariffs Jul2020'!K135,0,IF($C$5*'Tariffs Jul2020'!AL135/'Tariffs Jul2020'!AJ135&lt;='Tariffs Jul2020'!L135,($C$5*'Tariffs Jul2020'!AL135/'Tariffs Jul2020'!AJ135-'Tariffs Jul2020'!K135)*('Tariffs Jul2020'!W135/100)*'Tariffs Jul2020'!AJ135,('Tariffs Jul2020'!L135-'Tariffs Jul2020'!K135)*('Tariffs Jul2020'!W135/100)*'Tariffs Jul2020'!AJ135))</f>
        <v>0</v>
      </c>
      <c r="M141" s="59">
        <f>IF($C$5*'Tariffs Jul2020'!AL135/'Tariffs Jul2020'!AJ135&lt;'Tariffs Jul2020'!L135,0,IF($C$5*'Tariffs Jul2020'!AL135/'Tariffs Jul2020'!AJ135&lt;='Tariffs Jul2020'!M135,($C$5*'Tariffs Jul2020'!AL135/'Tariffs Jul2020'!AJ135-'Tariffs Jul2020'!L135)*('Tariffs Jul2020'!X135/100)*'Tariffs Jul2020'!AJ135,('Tariffs Jul2020'!M135-'Tariffs Jul2020'!L135)*('Tariffs Jul2020'!X135/100)*'Tariffs Jul2020'!AJ135))</f>
        <v>0</v>
      </c>
      <c r="N141" s="59">
        <f>IF(($C$5*'Tariffs Jul2020'!AL135/'Tariffs Jul2020'!AJ135&gt;'Tariffs Jul2020'!M135),($C$5*'Tariffs Jul2020'!AL135/'Tariffs Jul2020'!AJ135-'Tariffs Jul2020'!M135)*'Tariffs Jul2020'!Y135/100*'Tariffs Jul2020'!AJ135,0)</f>
        <v>0</v>
      </c>
      <c r="O141" s="59">
        <f t="shared" si="63"/>
        <v>1293.5454545454543</v>
      </c>
      <c r="P141" s="503">
        <f t="shared" si="69"/>
        <v>1422.8999999999999</v>
      </c>
      <c r="Q141" s="59">
        <f t="shared" si="64"/>
        <v>1607.4454545454541</v>
      </c>
      <c r="R141" s="272">
        <f t="shared" si="65"/>
        <v>1768.1899999999996</v>
      </c>
      <c r="S141" s="40">
        <f>'Tariffs Jul2020'!AN135</f>
        <v>0</v>
      </c>
      <c r="T141" s="40">
        <f>'Tariffs Jul2020'!AO135</f>
        <v>0</v>
      </c>
      <c r="U141" s="40">
        <f>'Tariffs Jul2020'!AP135</f>
        <v>0</v>
      </c>
      <c r="V141" s="40">
        <f>'Tariffs Jul2020'!AQ135</f>
        <v>15</v>
      </c>
      <c r="W141" s="284">
        <f>Q141</f>
        <v>1607.4454545454541</v>
      </c>
      <c r="X141" s="284">
        <f>W141-(O141*V141/100)</f>
        <v>1413.413636363636</v>
      </c>
      <c r="Y141" s="507">
        <f t="shared" ref="Y141:Z142" si="71">W141*1.1</f>
        <v>1768.1899999999996</v>
      </c>
      <c r="Z141" s="507">
        <f t="shared" si="71"/>
        <v>1554.7549999999997</v>
      </c>
      <c r="AA141" s="274">
        <f>'Tariffs Jul2020'!AZ135</f>
        <v>0</v>
      </c>
      <c r="AB141" s="274" t="str">
        <f>'Tariffs Jul2020'!BA135</f>
        <v>n</v>
      </c>
      <c r="AC141" s="275" t="str">
        <f>'Tariffs Jul2020'!BJ135</f>
        <v>Y</v>
      </c>
      <c r="AD141" s="511"/>
      <c r="AE141" s="511"/>
      <c r="AF141" s="513"/>
      <c r="AG141" s="546"/>
      <c r="AH141" s="546"/>
      <c r="AI141" s="546"/>
      <c r="AJ141" s="546"/>
      <c r="AK141" s="546"/>
      <c r="AL141" s="546"/>
      <c r="AM141" s="546"/>
      <c r="AN141" s="546"/>
      <c r="AO141" s="546"/>
      <c r="AP141" s="546"/>
      <c r="AQ141" s="546"/>
      <c r="AR141" s="546"/>
      <c r="AS141" s="546"/>
      <c r="AT141" s="546"/>
      <c r="AU141" s="546"/>
      <c r="AV141" s="546"/>
      <c r="AW141" s="546"/>
      <c r="AX141" s="546"/>
      <c r="AY141" s="546"/>
      <c r="AZ141" s="546"/>
    </row>
    <row r="142" spans="1:52" ht="15" thickBot="1" x14ac:dyDescent="0.2">
      <c r="A142" s="286" t="str">
        <f>'Tariffs Jul2020'!F136</f>
        <v>Kogan Energy</v>
      </c>
      <c r="B142" s="287" t="str">
        <f>'Tariffs Jul2020'!D136</f>
        <v>AusNet Services Central 1</v>
      </c>
      <c r="C142" s="287" t="str">
        <f>'Tariffs Jul2020'!G136</f>
        <v>Market offer</v>
      </c>
      <c r="D142" s="288">
        <f>365*'Tariffs Jul2020'!H136/100</f>
        <v>281.68045454545455</v>
      </c>
      <c r="E142" s="288">
        <f>((C$5*'Tariffs Jul2020'!AK136/'Tariffs Jul2020'!AI136)*('Tariffs Jul2020'!O136/100))*'Tariffs Jul2020'!AI136</f>
        <v>402.77789999999987</v>
      </c>
      <c r="F142" s="288">
        <v>0</v>
      </c>
      <c r="G142" s="288">
        <v>0</v>
      </c>
      <c r="H142" s="288">
        <v>0</v>
      </c>
      <c r="I142" s="288">
        <v>0</v>
      </c>
      <c r="J142" s="288">
        <f>((C$5*'Tariffs Jul2020'!AL136/'Tariffs Jul2020'!AJ136)*('Tariffs Jul2020'!U136/100))*'Tariffs Jul2020'!AJ136</f>
        <v>729.19979999999987</v>
      </c>
      <c r="K142" s="288">
        <v>0</v>
      </c>
      <c r="L142" s="288">
        <v>0</v>
      </c>
      <c r="M142" s="288">
        <v>0</v>
      </c>
      <c r="N142" s="288">
        <v>0</v>
      </c>
      <c r="O142" s="288">
        <f t="shared" si="63"/>
        <v>1131.9776999999997</v>
      </c>
      <c r="P142" s="505">
        <f t="shared" si="69"/>
        <v>1245.1754699999997</v>
      </c>
      <c r="Q142" s="288">
        <f t="shared" si="64"/>
        <v>1413.6581545454542</v>
      </c>
      <c r="R142" s="290">
        <f t="shared" si="65"/>
        <v>1555.0239699999997</v>
      </c>
      <c r="S142" s="287">
        <f>'Tariffs Jul2020'!AN136</f>
        <v>0</v>
      </c>
      <c r="T142" s="287">
        <f>'Tariffs Jul2020'!AO136</f>
        <v>0</v>
      </c>
      <c r="U142" s="287">
        <f>'Tariffs Jul2020'!AP136</f>
        <v>0</v>
      </c>
      <c r="V142" s="287">
        <f>'Tariffs Jul2020'!AQ136</f>
        <v>0</v>
      </c>
      <c r="W142" s="506">
        <f t="shared" ref="W142" si="72">Q142</f>
        <v>1413.6581545454542</v>
      </c>
      <c r="X142" s="506">
        <f>W142</f>
        <v>1413.6581545454542</v>
      </c>
      <c r="Y142" s="509">
        <f t="shared" si="71"/>
        <v>1555.0239699999997</v>
      </c>
      <c r="Z142" s="509">
        <f t="shared" si="71"/>
        <v>1555.0239699999997</v>
      </c>
      <c r="AA142" s="292">
        <f>'Tariffs Jul2020'!AZ136</f>
        <v>0</v>
      </c>
      <c r="AB142" s="292" t="str">
        <f>'Tariffs Jul2020'!BA136</f>
        <v>n</v>
      </c>
      <c r="AC142" s="293" t="str">
        <f>'Tariffs Jul2020'!BJ136</f>
        <v>N</v>
      </c>
      <c r="AD142" s="511"/>
      <c r="AE142" s="511"/>
      <c r="AF142" s="513"/>
      <c r="AG142" s="546"/>
      <c r="AH142" s="546"/>
      <c r="AI142" s="546"/>
      <c r="AJ142" s="546"/>
      <c r="AK142" s="546"/>
      <c r="AL142" s="546"/>
      <c r="AM142" s="546"/>
      <c r="AN142" s="546"/>
      <c r="AO142" s="546"/>
      <c r="AP142" s="546"/>
      <c r="AQ142" s="546"/>
      <c r="AR142" s="546"/>
      <c r="AS142" s="546"/>
      <c r="AT142" s="546"/>
      <c r="AU142" s="546"/>
      <c r="AV142" s="546"/>
      <c r="AW142" s="546"/>
      <c r="AX142" s="546"/>
      <c r="AY142" s="546"/>
      <c r="AZ142" s="546"/>
    </row>
    <row r="143" spans="1:52" ht="14" x14ac:dyDescent="0.15">
      <c r="A143" s="513"/>
      <c r="B143" s="513"/>
      <c r="C143" s="513"/>
      <c r="D143" s="513"/>
      <c r="E143" s="515"/>
      <c r="F143" s="515"/>
      <c r="G143" s="513"/>
      <c r="H143" s="513"/>
      <c r="I143" s="513"/>
      <c r="J143" s="513"/>
      <c r="K143" s="513"/>
      <c r="L143" s="513"/>
      <c r="M143" s="513"/>
      <c r="N143" s="513"/>
      <c r="O143" s="513"/>
      <c r="P143" s="513"/>
      <c r="Q143" s="513"/>
      <c r="R143" s="513"/>
      <c r="S143" s="513"/>
      <c r="T143" s="513"/>
      <c r="U143" s="513"/>
      <c r="V143" s="513"/>
      <c r="W143" s="513"/>
      <c r="X143" s="513"/>
      <c r="Y143" s="513"/>
      <c r="Z143" s="513"/>
      <c r="AA143" s="513"/>
      <c r="AB143" s="513"/>
      <c r="AC143" s="513"/>
      <c r="AD143" s="511"/>
      <c r="AE143" s="511"/>
      <c r="AF143" s="513"/>
      <c r="AG143" s="546"/>
      <c r="AH143" s="546"/>
      <c r="AI143" s="546"/>
      <c r="AJ143" s="546"/>
      <c r="AK143" s="546"/>
      <c r="AL143" s="546"/>
      <c r="AM143" s="546"/>
      <c r="AN143" s="546"/>
      <c r="AO143" s="546"/>
      <c r="AP143" s="546"/>
      <c r="AQ143" s="546"/>
      <c r="AR143" s="546"/>
      <c r="AS143" s="546"/>
      <c r="AT143" s="546"/>
      <c r="AU143" s="546"/>
      <c r="AV143" s="546"/>
      <c r="AW143" s="546"/>
      <c r="AX143" s="546"/>
      <c r="AY143" s="546"/>
      <c r="AZ143" s="546"/>
    </row>
    <row r="144" spans="1:52" ht="14" x14ac:dyDescent="0.15">
      <c r="A144" s="513"/>
      <c r="B144" s="513"/>
      <c r="C144" s="513"/>
      <c r="D144" s="513"/>
      <c r="E144" s="515"/>
      <c r="F144" s="515"/>
      <c r="G144" s="513"/>
      <c r="H144" s="513"/>
      <c r="I144" s="513"/>
      <c r="J144" s="513"/>
      <c r="K144" s="513"/>
      <c r="L144" s="513"/>
      <c r="M144" s="513"/>
      <c r="N144" s="513"/>
      <c r="O144" s="513"/>
      <c r="P144" s="513"/>
      <c r="Q144" s="513"/>
      <c r="R144" s="513"/>
      <c r="S144" s="513"/>
      <c r="T144" s="513"/>
      <c r="U144" s="513"/>
      <c r="V144" s="513"/>
      <c r="W144" s="513"/>
      <c r="X144" s="513"/>
      <c r="Y144" s="513"/>
      <c r="Z144" s="513"/>
      <c r="AA144" s="513"/>
      <c r="AB144" s="513"/>
      <c r="AC144" s="513"/>
      <c r="AD144" s="511"/>
      <c r="AE144" s="511"/>
      <c r="AF144" s="513"/>
      <c r="AG144" s="546"/>
      <c r="AH144" s="546"/>
      <c r="AI144" s="546"/>
      <c r="AJ144" s="546"/>
      <c r="AK144" s="546"/>
      <c r="AL144" s="546"/>
      <c r="AM144" s="546"/>
      <c r="AN144" s="546"/>
      <c r="AO144" s="546"/>
      <c r="AP144" s="546"/>
      <c r="AQ144" s="546"/>
      <c r="AR144" s="546"/>
      <c r="AS144" s="546"/>
      <c r="AT144" s="546"/>
      <c r="AU144" s="546"/>
      <c r="AV144" s="546"/>
      <c r="AW144" s="546"/>
      <c r="AX144" s="546"/>
      <c r="AY144" s="546"/>
      <c r="AZ144" s="546"/>
    </row>
    <row r="145" spans="1:52" ht="14" x14ac:dyDescent="0.15">
      <c r="A145" s="513"/>
      <c r="B145" s="513"/>
      <c r="C145" s="513"/>
      <c r="D145" s="513"/>
      <c r="E145" s="515"/>
      <c r="F145" s="515"/>
      <c r="G145" s="513"/>
      <c r="H145" s="513"/>
      <c r="I145" s="513"/>
      <c r="J145" s="513"/>
      <c r="K145" s="513"/>
      <c r="L145" s="513"/>
      <c r="M145" s="513"/>
      <c r="N145" s="513"/>
      <c r="O145" s="513"/>
      <c r="P145" s="513"/>
      <c r="Q145" s="513"/>
      <c r="R145" s="513"/>
      <c r="S145" s="513"/>
      <c r="T145" s="513"/>
      <c r="U145" s="513"/>
      <c r="V145" s="513"/>
      <c r="W145" s="513"/>
      <c r="X145" s="513"/>
      <c r="Y145" s="513"/>
      <c r="Z145" s="513"/>
      <c r="AA145" s="513"/>
      <c r="AB145" s="513"/>
      <c r="AC145" s="513"/>
      <c r="AD145" s="511"/>
      <c r="AE145" s="511"/>
      <c r="AF145" s="513"/>
      <c r="AG145" s="546"/>
      <c r="AH145" s="546"/>
      <c r="AI145" s="546"/>
      <c r="AJ145" s="546"/>
      <c r="AK145" s="546"/>
      <c r="AL145" s="546"/>
      <c r="AM145" s="546"/>
      <c r="AN145" s="546"/>
      <c r="AO145" s="546"/>
      <c r="AP145" s="546"/>
      <c r="AQ145" s="546"/>
      <c r="AR145" s="546"/>
      <c r="AS145" s="546"/>
      <c r="AT145" s="546"/>
      <c r="AU145" s="546"/>
      <c r="AV145" s="546"/>
      <c r="AW145" s="546"/>
      <c r="AX145" s="546"/>
      <c r="AY145" s="546"/>
      <c r="AZ145" s="546"/>
    </row>
    <row r="146" spans="1:52" ht="14" x14ac:dyDescent="0.15">
      <c r="A146" s="513"/>
      <c r="B146" s="513"/>
      <c r="C146" s="513"/>
      <c r="D146" s="513"/>
      <c r="E146" s="515"/>
      <c r="F146" s="515"/>
      <c r="G146" s="513"/>
      <c r="H146" s="513"/>
      <c r="I146" s="513"/>
      <c r="J146" s="513"/>
      <c r="K146" s="513"/>
      <c r="L146" s="513"/>
      <c r="M146" s="513"/>
      <c r="N146" s="513"/>
      <c r="O146" s="513"/>
      <c r="P146" s="513"/>
      <c r="Q146" s="513"/>
      <c r="R146" s="513"/>
      <c r="S146" s="513"/>
      <c r="T146" s="513"/>
      <c r="U146" s="513"/>
      <c r="V146" s="513"/>
      <c r="W146" s="513"/>
      <c r="X146" s="513"/>
      <c r="Y146" s="513"/>
      <c r="Z146" s="513"/>
      <c r="AA146" s="513"/>
      <c r="AB146" s="513"/>
      <c r="AC146" s="513"/>
      <c r="AD146" s="511"/>
      <c r="AE146" s="511"/>
      <c r="AF146" s="513"/>
      <c r="AG146" s="546"/>
      <c r="AH146" s="546"/>
      <c r="AI146" s="546"/>
      <c r="AJ146" s="546"/>
      <c r="AK146" s="546"/>
      <c r="AL146" s="546"/>
      <c r="AM146" s="546"/>
      <c r="AN146" s="546"/>
      <c r="AO146" s="546"/>
      <c r="AP146" s="546"/>
      <c r="AQ146" s="546"/>
      <c r="AR146" s="546"/>
      <c r="AS146" s="546"/>
      <c r="AT146" s="546"/>
      <c r="AU146" s="546"/>
      <c r="AV146" s="546"/>
      <c r="AW146" s="546"/>
      <c r="AX146" s="546"/>
      <c r="AY146" s="546"/>
      <c r="AZ146" s="546"/>
    </row>
    <row r="147" spans="1:52" ht="14" x14ac:dyDescent="0.15">
      <c r="A147" s="513"/>
      <c r="B147" s="513"/>
      <c r="C147" s="513"/>
      <c r="D147" s="513"/>
      <c r="E147" s="515"/>
      <c r="F147" s="515"/>
      <c r="G147" s="513"/>
      <c r="H147" s="513"/>
      <c r="I147" s="513"/>
      <c r="J147" s="513"/>
      <c r="K147" s="513"/>
      <c r="L147" s="513"/>
      <c r="M147" s="513"/>
      <c r="N147" s="513"/>
      <c r="O147" s="513"/>
      <c r="P147" s="513"/>
      <c r="Q147" s="513"/>
      <c r="R147" s="513"/>
      <c r="S147" s="513"/>
      <c r="T147" s="513"/>
      <c r="U147" s="513"/>
      <c r="V147" s="513"/>
      <c r="W147" s="513"/>
      <c r="X147" s="513"/>
      <c r="Y147" s="513"/>
      <c r="Z147" s="513"/>
      <c r="AA147" s="513"/>
      <c r="AB147" s="513"/>
      <c r="AC147" s="513"/>
      <c r="AD147" s="511"/>
      <c r="AE147" s="511"/>
      <c r="AF147" s="513"/>
      <c r="AG147" s="546"/>
      <c r="AH147" s="546"/>
      <c r="AI147" s="546"/>
      <c r="AJ147" s="546"/>
      <c r="AK147" s="546"/>
      <c r="AL147" s="546"/>
      <c r="AM147" s="546"/>
      <c r="AN147" s="546"/>
      <c r="AO147" s="546"/>
      <c r="AP147" s="546"/>
      <c r="AQ147" s="546"/>
      <c r="AR147" s="546"/>
      <c r="AS147" s="546"/>
      <c r="AT147" s="546"/>
      <c r="AU147" s="546"/>
      <c r="AV147" s="546"/>
      <c r="AW147" s="546"/>
      <c r="AX147" s="546"/>
      <c r="AY147" s="546"/>
      <c r="AZ147" s="546"/>
    </row>
    <row r="148" spans="1:52" ht="14" x14ac:dyDescent="0.15">
      <c r="A148" s="513"/>
      <c r="B148" s="513"/>
      <c r="C148" s="513"/>
      <c r="D148" s="513"/>
      <c r="E148" s="515"/>
      <c r="F148" s="515"/>
      <c r="G148" s="513"/>
      <c r="H148" s="513"/>
      <c r="I148" s="513"/>
      <c r="J148" s="513"/>
      <c r="K148" s="513"/>
      <c r="L148" s="513"/>
      <c r="M148" s="513"/>
      <c r="N148" s="513"/>
      <c r="O148" s="513"/>
      <c r="P148" s="513"/>
      <c r="Q148" s="513"/>
      <c r="R148" s="513"/>
      <c r="S148" s="513"/>
      <c r="T148" s="513"/>
      <c r="U148" s="513"/>
      <c r="V148" s="513"/>
      <c r="W148" s="513"/>
      <c r="X148" s="513"/>
      <c r="Y148" s="513"/>
      <c r="Z148" s="513"/>
      <c r="AA148" s="513"/>
      <c r="AB148" s="513"/>
      <c r="AC148" s="513"/>
      <c r="AD148" s="511"/>
      <c r="AE148" s="511"/>
      <c r="AF148" s="513"/>
      <c r="AG148" s="546"/>
      <c r="AH148" s="546"/>
      <c r="AI148" s="546"/>
      <c r="AJ148" s="546"/>
      <c r="AK148" s="546"/>
      <c r="AL148" s="546"/>
      <c r="AM148" s="546"/>
      <c r="AN148" s="546"/>
      <c r="AO148" s="546"/>
      <c r="AP148" s="546"/>
      <c r="AQ148" s="546"/>
      <c r="AR148" s="546"/>
      <c r="AS148" s="546"/>
      <c r="AT148" s="546"/>
      <c r="AU148" s="546"/>
      <c r="AV148" s="546"/>
      <c r="AW148" s="546"/>
      <c r="AX148" s="546"/>
      <c r="AY148" s="546"/>
      <c r="AZ148" s="546"/>
    </row>
    <row r="149" spans="1:52" ht="14" x14ac:dyDescent="0.15">
      <c r="A149" s="513"/>
      <c r="B149" s="513"/>
      <c r="C149" s="513"/>
      <c r="D149" s="513"/>
      <c r="E149" s="515"/>
      <c r="F149" s="515"/>
      <c r="G149" s="513"/>
      <c r="H149" s="513"/>
      <c r="I149" s="513"/>
      <c r="J149" s="513"/>
      <c r="K149" s="513"/>
      <c r="L149" s="513"/>
      <c r="M149" s="513"/>
      <c r="N149" s="513"/>
      <c r="O149" s="513"/>
      <c r="P149" s="513"/>
      <c r="Q149" s="513"/>
      <c r="R149" s="513"/>
      <c r="S149" s="513"/>
      <c r="T149" s="513"/>
      <c r="U149" s="513"/>
      <c r="V149" s="513"/>
      <c r="W149" s="513"/>
      <c r="X149" s="513"/>
      <c r="Y149" s="513"/>
      <c r="Z149" s="513"/>
      <c r="AA149" s="513"/>
      <c r="AB149" s="513"/>
      <c r="AC149" s="513"/>
      <c r="AD149" s="511"/>
      <c r="AE149" s="511"/>
      <c r="AF149" s="513"/>
      <c r="AG149" s="546"/>
      <c r="AH149" s="546"/>
      <c r="AI149" s="546"/>
      <c r="AJ149" s="546"/>
      <c r="AK149" s="546"/>
      <c r="AL149" s="546"/>
      <c r="AM149" s="546"/>
      <c r="AN149" s="546"/>
      <c r="AO149" s="546"/>
      <c r="AP149" s="546"/>
      <c r="AQ149" s="546"/>
      <c r="AR149" s="546"/>
      <c r="AS149" s="546"/>
      <c r="AT149" s="546"/>
      <c r="AU149" s="546"/>
      <c r="AV149" s="546"/>
      <c r="AW149" s="546"/>
      <c r="AX149" s="546"/>
      <c r="AY149" s="546"/>
      <c r="AZ149" s="546"/>
    </row>
    <row r="150" spans="1:52" ht="14" x14ac:dyDescent="0.15">
      <c r="A150" s="513"/>
      <c r="B150" s="513"/>
      <c r="C150" s="513"/>
      <c r="D150" s="513"/>
      <c r="E150" s="515"/>
      <c r="F150" s="515"/>
      <c r="G150" s="513"/>
      <c r="H150" s="513"/>
      <c r="I150" s="513"/>
      <c r="J150" s="513"/>
      <c r="K150" s="513"/>
      <c r="L150" s="513"/>
      <c r="M150" s="513"/>
      <c r="N150" s="513"/>
      <c r="O150" s="513"/>
      <c r="P150" s="513"/>
      <c r="Q150" s="513"/>
      <c r="R150" s="513"/>
      <c r="S150" s="513"/>
      <c r="T150" s="513"/>
      <c r="U150" s="513"/>
      <c r="V150" s="513"/>
      <c r="W150" s="513"/>
      <c r="X150" s="513"/>
      <c r="Y150" s="513"/>
      <c r="Z150" s="513"/>
      <c r="AA150" s="513"/>
      <c r="AB150" s="513"/>
      <c r="AC150" s="513"/>
      <c r="AD150" s="511"/>
      <c r="AE150" s="511"/>
      <c r="AF150" s="513"/>
      <c r="AG150" s="546"/>
      <c r="AH150" s="546"/>
      <c r="AI150" s="546"/>
      <c r="AJ150" s="546"/>
      <c r="AK150" s="546"/>
      <c r="AL150" s="546"/>
      <c r="AM150" s="546"/>
      <c r="AN150" s="546"/>
      <c r="AO150" s="546"/>
      <c r="AP150" s="546"/>
      <c r="AQ150" s="546"/>
      <c r="AR150" s="546"/>
      <c r="AS150" s="546"/>
      <c r="AT150" s="546"/>
      <c r="AU150" s="546"/>
      <c r="AV150" s="546"/>
      <c r="AW150" s="546"/>
      <c r="AX150" s="546"/>
      <c r="AY150" s="546"/>
      <c r="AZ150" s="546"/>
    </row>
    <row r="151" spans="1:52" ht="14" x14ac:dyDescent="0.15">
      <c r="A151" s="513"/>
      <c r="B151" s="513"/>
      <c r="C151" s="513"/>
      <c r="D151" s="513"/>
      <c r="E151" s="515"/>
      <c r="F151" s="515"/>
      <c r="G151" s="513"/>
      <c r="H151" s="513"/>
      <c r="I151" s="513"/>
      <c r="J151" s="513"/>
      <c r="K151" s="513"/>
      <c r="L151" s="513"/>
      <c r="M151" s="513"/>
      <c r="N151" s="513"/>
      <c r="O151" s="513"/>
      <c r="P151" s="513"/>
      <c r="Q151" s="513"/>
      <c r="R151" s="513"/>
      <c r="S151" s="513"/>
      <c r="T151" s="513"/>
      <c r="U151" s="513"/>
      <c r="V151" s="513"/>
      <c r="W151" s="513"/>
      <c r="X151" s="513"/>
      <c r="Y151" s="513"/>
      <c r="Z151" s="513"/>
      <c r="AA151" s="513"/>
      <c r="AB151" s="513"/>
      <c r="AC151" s="513"/>
      <c r="AD151" s="511"/>
      <c r="AE151" s="511"/>
      <c r="AF151" s="513"/>
      <c r="AG151" s="546"/>
      <c r="AH151" s="546"/>
      <c r="AI151" s="546"/>
      <c r="AJ151" s="546"/>
      <c r="AK151" s="546"/>
      <c r="AL151" s="546"/>
      <c r="AM151" s="546"/>
      <c r="AN151" s="546"/>
      <c r="AO151" s="546"/>
      <c r="AP151" s="546"/>
      <c r="AQ151" s="546"/>
      <c r="AR151" s="546"/>
      <c r="AS151" s="546"/>
      <c r="AT151" s="546"/>
      <c r="AU151" s="546"/>
      <c r="AV151" s="546"/>
      <c r="AW151" s="546"/>
      <c r="AX151" s="546"/>
      <c r="AY151" s="546"/>
      <c r="AZ151" s="546"/>
    </row>
    <row r="152" spans="1:52" ht="14" x14ac:dyDescent="0.15">
      <c r="A152" s="513"/>
      <c r="B152" s="513"/>
      <c r="C152" s="513"/>
      <c r="D152" s="513"/>
      <c r="E152" s="515"/>
      <c r="F152" s="515"/>
      <c r="G152" s="513"/>
      <c r="H152" s="513"/>
      <c r="I152" s="513"/>
      <c r="J152" s="513"/>
      <c r="K152" s="513"/>
      <c r="L152" s="513"/>
      <c r="M152" s="513"/>
      <c r="N152" s="513"/>
      <c r="O152" s="513"/>
      <c r="P152" s="513"/>
      <c r="Q152" s="513"/>
      <c r="R152" s="513"/>
      <c r="S152" s="513"/>
      <c r="T152" s="513"/>
      <c r="U152" s="513"/>
      <c r="V152" s="513"/>
      <c r="W152" s="513"/>
      <c r="X152" s="513"/>
      <c r="Y152" s="513"/>
      <c r="Z152" s="513"/>
      <c r="AA152" s="513"/>
      <c r="AB152" s="513"/>
      <c r="AC152" s="513"/>
      <c r="AD152" s="511"/>
      <c r="AE152" s="511"/>
      <c r="AF152" s="513"/>
      <c r="AG152" s="546"/>
      <c r="AH152" s="546"/>
      <c r="AI152" s="546"/>
      <c r="AJ152" s="546"/>
      <c r="AK152" s="546"/>
      <c r="AL152" s="546"/>
      <c r="AM152" s="546"/>
      <c r="AN152" s="546"/>
      <c r="AO152" s="546"/>
      <c r="AP152" s="546"/>
      <c r="AQ152" s="546"/>
      <c r="AR152" s="546"/>
      <c r="AS152" s="546"/>
      <c r="AT152" s="546"/>
      <c r="AU152" s="546"/>
      <c r="AV152" s="546"/>
      <c r="AW152" s="546"/>
      <c r="AX152" s="546"/>
      <c r="AY152" s="546"/>
      <c r="AZ152" s="546"/>
    </row>
    <row r="153" spans="1:52" ht="14" x14ac:dyDescent="0.15">
      <c r="A153" s="513"/>
      <c r="B153" s="513"/>
      <c r="C153" s="513"/>
      <c r="D153" s="513"/>
      <c r="E153" s="515"/>
      <c r="F153" s="515"/>
      <c r="G153" s="513"/>
      <c r="H153" s="513"/>
      <c r="I153" s="513"/>
      <c r="J153" s="513"/>
      <c r="K153" s="513"/>
      <c r="L153" s="513"/>
      <c r="M153" s="513"/>
      <c r="N153" s="513"/>
      <c r="O153" s="513"/>
      <c r="P153" s="513"/>
      <c r="Q153" s="513"/>
      <c r="R153" s="513"/>
      <c r="S153" s="513"/>
      <c r="T153" s="513"/>
      <c r="U153" s="513"/>
      <c r="V153" s="513"/>
      <c r="W153" s="513"/>
      <c r="X153" s="513"/>
      <c r="Y153" s="513"/>
      <c r="Z153" s="513"/>
      <c r="AA153" s="513"/>
      <c r="AB153" s="513"/>
      <c r="AC153" s="513"/>
      <c r="AD153" s="511"/>
      <c r="AE153" s="511"/>
      <c r="AF153" s="513"/>
      <c r="AG153" s="546"/>
      <c r="AH153" s="546"/>
      <c r="AI153" s="546"/>
      <c r="AJ153" s="546"/>
      <c r="AK153" s="546"/>
      <c r="AL153" s="546"/>
      <c r="AM153" s="546"/>
      <c r="AN153" s="546"/>
      <c r="AO153" s="546"/>
      <c r="AP153" s="546"/>
      <c r="AQ153" s="546"/>
      <c r="AR153" s="546"/>
      <c r="AS153" s="546"/>
      <c r="AT153" s="546"/>
      <c r="AU153" s="546"/>
      <c r="AV153" s="546"/>
      <c r="AW153" s="546"/>
      <c r="AX153" s="546"/>
      <c r="AY153" s="546"/>
      <c r="AZ153" s="546"/>
    </row>
    <row r="154" spans="1:52" ht="14" x14ac:dyDescent="0.15">
      <c r="A154" s="513"/>
      <c r="B154" s="513"/>
      <c r="C154" s="513"/>
      <c r="D154" s="513"/>
      <c r="E154" s="515"/>
      <c r="F154" s="515"/>
      <c r="G154" s="513"/>
      <c r="H154" s="513"/>
      <c r="I154" s="513"/>
      <c r="J154" s="513"/>
      <c r="K154" s="513"/>
      <c r="L154" s="513"/>
      <c r="M154" s="513"/>
      <c r="N154" s="513"/>
      <c r="O154" s="513"/>
      <c r="P154" s="513"/>
      <c r="Q154" s="513"/>
      <c r="R154" s="513"/>
      <c r="S154" s="513"/>
      <c r="T154" s="513"/>
      <c r="U154" s="513"/>
      <c r="V154" s="513"/>
      <c r="W154" s="513"/>
      <c r="X154" s="513"/>
      <c r="Y154" s="513"/>
      <c r="Z154" s="513"/>
      <c r="AA154" s="513"/>
      <c r="AB154" s="513"/>
      <c r="AC154" s="513"/>
      <c r="AD154" s="511"/>
      <c r="AE154" s="511"/>
      <c r="AF154" s="513"/>
      <c r="AG154" s="546"/>
      <c r="AH154" s="546"/>
      <c r="AI154" s="546"/>
      <c r="AJ154" s="546"/>
      <c r="AK154" s="546"/>
      <c r="AL154" s="546"/>
      <c r="AM154" s="546"/>
      <c r="AN154" s="546"/>
      <c r="AO154" s="546"/>
      <c r="AP154" s="546"/>
      <c r="AQ154" s="546"/>
      <c r="AR154" s="546"/>
      <c r="AS154" s="546"/>
      <c r="AT154" s="546"/>
      <c r="AU154" s="546"/>
      <c r="AV154" s="546"/>
      <c r="AW154" s="546"/>
      <c r="AX154" s="546"/>
      <c r="AY154" s="546"/>
      <c r="AZ154" s="546"/>
    </row>
    <row r="155" spans="1:52" ht="14" x14ac:dyDescent="0.15">
      <c r="A155" s="513"/>
      <c r="B155" s="513"/>
      <c r="C155" s="513"/>
      <c r="D155" s="513"/>
      <c r="E155" s="515"/>
      <c r="F155" s="515"/>
      <c r="G155" s="513"/>
      <c r="H155" s="513"/>
      <c r="I155" s="513"/>
      <c r="J155" s="513"/>
      <c r="K155" s="513"/>
      <c r="L155" s="513"/>
      <c r="M155" s="513"/>
      <c r="N155" s="513"/>
      <c r="O155" s="513"/>
      <c r="P155" s="513"/>
      <c r="Q155" s="513"/>
      <c r="R155" s="513"/>
      <c r="S155" s="513"/>
      <c r="T155" s="513"/>
      <c r="U155" s="513"/>
      <c r="V155" s="513"/>
      <c r="W155" s="513"/>
      <c r="X155" s="513"/>
      <c r="Y155" s="513"/>
      <c r="Z155" s="513"/>
      <c r="AA155" s="513"/>
      <c r="AB155" s="513"/>
      <c r="AC155" s="513"/>
      <c r="AD155" s="511"/>
      <c r="AE155" s="511"/>
      <c r="AF155" s="513"/>
      <c r="AG155" s="546"/>
      <c r="AH155" s="546"/>
      <c r="AI155" s="546"/>
      <c r="AJ155" s="546"/>
      <c r="AK155" s="546"/>
      <c r="AL155" s="546"/>
      <c r="AM155" s="546"/>
      <c r="AN155" s="546"/>
      <c r="AO155" s="546"/>
      <c r="AP155" s="546"/>
      <c r="AQ155" s="546"/>
      <c r="AR155" s="546"/>
      <c r="AS155" s="546"/>
      <c r="AT155" s="546"/>
      <c r="AU155" s="546"/>
      <c r="AV155" s="546"/>
      <c r="AW155" s="546"/>
      <c r="AX155" s="546"/>
      <c r="AY155" s="546"/>
      <c r="AZ155" s="546"/>
    </row>
    <row r="156" spans="1:52" ht="14" x14ac:dyDescent="0.15">
      <c r="A156" s="513"/>
      <c r="B156" s="513"/>
      <c r="C156" s="513"/>
      <c r="D156" s="513"/>
      <c r="E156" s="515"/>
      <c r="F156" s="515"/>
      <c r="G156" s="513"/>
      <c r="H156" s="513"/>
      <c r="I156" s="513"/>
      <c r="J156" s="513"/>
      <c r="K156" s="513"/>
      <c r="L156" s="513"/>
      <c r="M156" s="513"/>
      <c r="N156" s="513"/>
      <c r="O156" s="513"/>
      <c r="P156" s="513"/>
      <c r="Q156" s="513"/>
      <c r="R156" s="513"/>
      <c r="S156" s="513"/>
      <c r="T156" s="513"/>
      <c r="U156" s="513"/>
      <c r="V156" s="513"/>
      <c r="W156" s="513"/>
      <c r="X156" s="513"/>
      <c r="Y156" s="513"/>
      <c r="Z156" s="513"/>
      <c r="AA156" s="513"/>
      <c r="AB156" s="513"/>
      <c r="AC156" s="513"/>
      <c r="AD156" s="511"/>
      <c r="AE156" s="511"/>
      <c r="AF156" s="513"/>
      <c r="AG156" s="546"/>
      <c r="AH156" s="546"/>
      <c r="AI156" s="546"/>
      <c r="AJ156" s="546"/>
      <c r="AK156" s="546"/>
      <c r="AL156" s="546"/>
      <c r="AM156" s="546"/>
      <c r="AN156" s="546"/>
      <c r="AO156" s="546"/>
      <c r="AP156" s="546"/>
      <c r="AQ156" s="546"/>
      <c r="AR156" s="546"/>
      <c r="AS156" s="546"/>
      <c r="AT156" s="546"/>
      <c r="AU156" s="546"/>
      <c r="AV156" s="546"/>
      <c r="AW156" s="546"/>
      <c r="AX156" s="546"/>
      <c r="AY156" s="546"/>
      <c r="AZ156" s="546"/>
    </row>
    <row r="157" spans="1:52" ht="14" x14ac:dyDescent="0.15">
      <c r="A157" s="513"/>
      <c r="B157" s="513"/>
      <c r="C157" s="513"/>
      <c r="D157" s="513"/>
      <c r="E157" s="515"/>
      <c r="F157" s="515"/>
      <c r="G157" s="513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  <c r="R157" s="513"/>
      <c r="S157" s="513"/>
      <c r="T157" s="513"/>
      <c r="U157" s="513"/>
      <c r="V157" s="513"/>
      <c r="W157" s="513"/>
      <c r="X157" s="513"/>
      <c r="Y157" s="513"/>
      <c r="Z157" s="513"/>
      <c r="AA157" s="513"/>
      <c r="AB157" s="513"/>
      <c r="AC157" s="513"/>
      <c r="AD157" s="511"/>
      <c r="AE157" s="511"/>
      <c r="AF157" s="513"/>
      <c r="AG157" s="546"/>
      <c r="AH157" s="546"/>
      <c r="AI157" s="546"/>
      <c r="AJ157" s="546"/>
      <c r="AK157" s="546"/>
      <c r="AL157" s="546"/>
      <c r="AM157" s="546"/>
      <c r="AN157" s="546"/>
      <c r="AO157" s="546"/>
      <c r="AP157" s="546"/>
      <c r="AQ157" s="546"/>
      <c r="AR157" s="546"/>
      <c r="AS157" s="546"/>
      <c r="AT157" s="546"/>
      <c r="AU157" s="546"/>
      <c r="AV157" s="546"/>
      <c r="AW157" s="546"/>
      <c r="AX157" s="546"/>
      <c r="AY157" s="546"/>
      <c r="AZ157" s="546"/>
    </row>
    <row r="158" spans="1:52" ht="14" x14ac:dyDescent="0.15">
      <c r="A158" s="513"/>
      <c r="B158" s="513"/>
      <c r="C158" s="513"/>
      <c r="D158" s="513"/>
      <c r="E158" s="515"/>
      <c r="F158" s="515"/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  <c r="R158" s="513"/>
      <c r="S158" s="513"/>
      <c r="T158" s="513"/>
      <c r="U158" s="513"/>
      <c r="V158" s="513"/>
      <c r="W158" s="513"/>
      <c r="X158" s="513"/>
      <c r="Y158" s="513"/>
      <c r="Z158" s="513"/>
      <c r="AA158" s="513"/>
      <c r="AB158" s="513"/>
      <c r="AC158" s="513"/>
      <c r="AD158" s="511"/>
      <c r="AE158" s="511"/>
      <c r="AF158" s="513"/>
      <c r="AG158" s="546"/>
      <c r="AH158" s="546"/>
      <c r="AI158" s="546"/>
      <c r="AJ158" s="546"/>
      <c r="AK158" s="546"/>
      <c r="AL158" s="546"/>
      <c r="AM158" s="546"/>
      <c r="AN158" s="546"/>
      <c r="AO158" s="546"/>
      <c r="AP158" s="546"/>
      <c r="AQ158" s="546"/>
      <c r="AR158" s="546"/>
      <c r="AS158" s="546"/>
      <c r="AT158" s="546"/>
      <c r="AU158" s="546"/>
      <c r="AV158" s="546"/>
      <c r="AW158" s="546"/>
      <c r="AX158" s="546"/>
      <c r="AY158" s="546"/>
      <c r="AZ158" s="546"/>
    </row>
    <row r="159" spans="1:52" ht="14" x14ac:dyDescent="0.15">
      <c r="A159" s="513"/>
      <c r="B159" s="513"/>
      <c r="C159" s="513"/>
      <c r="D159" s="513"/>
      <c r="E159" s="515"/>
      <c r="F159" s="515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  <c r="R159" s="513"/>
      <c r="S159" s="513"/>
      <c r="T159" s="513"/>
      <c r="U159" s="513"/>
      <c r="V159" s="513"/>
      <c r="W159" s="513"/>
      <c r="X159" s="513"/>
      <c r="Y159" s="513"/>
      <c r="Z159" s="513"/>
      <c r="AA159" s="513"/>
      <c r="AB159" s="513"/>
      <c r="AC159" s="513"/>
      <c r="AD159" s="511"/>
      <c r="AE159" s="511"/>
      <c r="AF159" s="513"/>
      <c r="AG159" s="546"/>
      <c r="AH159" s="546"/>
      <c r="AI159" s="546"/>
      <c r="AJ159" s="546"/>
      <c r="AK159" s="546"/>
      <c r="AL159" s="546"/>
      <c r="AM159" s="546"/>
      <c r="AN159" s="546"/>
      <c r="AO159" s="546"/>
      <c r="AP159" s="546"/>
      <c r="AQ159" s="546"/>
      <c r="AR159" s="546"/>
      <c r="AS159" s="546"/>
      <c r="AT159" s="546"/>
      <c r="AU159" s="546"/>
      <c r="AV159" s="546"/>
      <c r="AW159" s="546"/>
      <c r="AX159" s="546"/>
      <c r="AY159" s="546"/>
      <c r="AZ159" s="546"/>
    </row>
    <row r="160" spans="1:52" ht="14" x14ac:dyDescent="0.15">
      <c r="A160" s="513"/>
      <c r="B160" s="513"/>
      <c r="C160" s="513"/>
      <c r="D160" s="513"/>
      <c r="E160" s="515"/>
      <c r="F160" s="515"/>
      <c r="G160" s="513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1"/>
      <c r="AE160" s="511"/>
      <c r="AF160" s="513"/>
      <c r="AG160" s="546"/>
      <c r="AH160" s="546"/>
      <c r="AI160" s="546"/>
      <c r="AJ160" s="546"/>
      <c r="AK160" s="546"/>
      <c r="AL160" s="546"/>
      <c r="AM160" s="546"/>
      <c r="AN160" s="546"/>
      <c r="AO160" s="546"/>
      <c r="AP160" s="546"/>
      <c r="AQ160" s="546"/>
      <c r="AR160" s="546"/>
      <c r="AS160" s="546"/>
      <c r="AT160" s="546"/>
      <c r="AU160" s="546"/>
      <c r="AV160" s="546"/>
      <c r="AW160" s="546"/>
      <c r="AX160" s="546"/>
      <c r="AY160" s="546"/>
      <c r="AZ160" s="546"/>
    </row>
    <row r="161" spans="1:52" ht="14" x14ac:dyDescent="0.15">
      <c r="A161" s="513"/>
      <c r="B161" s="513"/>
      <c r="C161" s="513"/>
      <c r="D161" s="513"/>
      <c r="E161" s="515"/>
      <c r="F161" s="515"/>
      <c r="G161" s="513"/>
      <c r="H161" s="513"/>
      <c r="I161" s="513"/>
      <c r="J161" s="513"/>
      <c r="K161" s="513"/>
      <c r="L161" s="513"/>
      <c r="M161" s="513"/>
      <c r="N161" s="513"/>
      <c r="O161" s="513"/>
      <c r="P161" s="513"/>
      <c r="Q161" s="513"/>
      <c r="R161" s="513"/>
      <c r="S161" s="513"/>
      <c r="T161" s="513"/>
      <c r="U161" s="513"/>
      <c r="V161" s="513"/>
      <c r="W161" s="513"/>
      <c r="X161" s="513"/>
      <c r="Y161" s="513"/>
      <c r="Z161" s="513"/>
      <c r="AA161" s="513"/>
      <c r="AB161" s="513"/>
      <c r="AC161" s="513"/>
      <c r="AD161" s="511"/>
      <c r="AE161" s="511"/>
      <c r="AF161" s="513"/>
      <c r="AG161" s="546"/>
      <c r="AH161" s="546"/>
      <c r="AI161" s="546"/>
      <c r="AJ161" s="546"/>
      <c r="AK161" s="546"/>
      <c r="AL161" s="546"/>
      <c r="AM161" s="546"/>
      <c r="AN161" s="546"/>
      <c r="AO161" s="546"/>
      <c r="AP161" s="546"/>
      <c r="AQ161" s="546"/>
      <c r="AR161" s="546"/>
      <c r="AS161" s="546"/>
      <c r="AT161" s="546"/>
      <c r="AU161" s="546"/>
      <c r="AV161" s="546"/>
      <c r="AW161" s="546"/>
      <c r="AX161" s="546"/>
      <c r="AY161" s="546"/>
      <c r="AZ161" s="546"/>
    </row>
    <row r="162" spans="1:52" ht="14" x14ac:dyDescent="0.15">
      <c r="A162" s="513"/>
      <c r="B162" s="513"/>
      <c r="C162" s="513"/>
      <c r="D162" s="513"/>
      <c r="E162" s="515"/>
      <c r="F162" s="515"/>
      <c r="G162" s="513"/>
      <c r="H162" s="513"/>
      <c r="I162" s="513"/>
      <c r="J162" s="513"/>
      <c r="K162" s="513"/>
      <c r="L162" s="513"/>
      <c r="M162" s="513"/>
      <c r="N162" s="513"/>
      <c r="O162" s="513"/>
      <c r="P162" s="513"/>
      <c r="Q162" s="513"/>
      <c r="R162" s="513"/>
      <c r="S162" s="513"/>
      <c r="T162" s="513"/>
      <c r="U162" s="513"/>
      <c r="V162" s="513"/>
      <c r="W162" s="513"/>
      <c r="X162" s="513"/>
      <c r="Y162" s="513"/>
      <c r="Z162" s="513"/>
      <c r="AA162" s="513"/>
      <c r="AB162" s="513"/>
      <c r="AC162" s="513"/>
      <c r="AD162" s="511"/>
      <c r="AE162" s="511"/>
      <c r="AF162" s="513"/>
      <c r="AG162" s="546"/>
      <c r="AH162" s="546"/>
      <c r="AI162" s="546"/>
      <c r="AJ162" s="546"/>
      <c r="AK162" s="546"/>
      <c r="AL162" s="546"/>
      <c r="AM162" s="546"/>
      <c r="AN162" s="546"/>
      <c r="AO162" s="546"/>
      <c r="AP162" s="546"/>
      <c r="AQ162" s="546"/>
      <c r="AR162" s="546"/>
      <c r="AS162" s="546"/>
      <c r="AT162" s="546"/>
      <c r="AU162" s="546"/>
      <c r="AV162" s="546"/>
      <c r="AW162" s="546"/>
      <c r="AX162" s="546"/>
      <c r="AY162" s="546"/>
      <c r="AZ162" s="546"/>
    </row>
    <row r="163" spans="1:52" ht="14" x14ac:dyDescent="0.15">
      <c r="A163" s="513"/>
      <c r="B163" s="513"/>
      <c r="C163" s="513"/>
      <c r="D163" s="513"/>
      <c r="E163" s="515"/>
      <c r="F163" s="515"/>
      <c r="G163" s="513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  <c r="R163" s="513"/>
      <c r="S163" s="513"/>
      <c r="T163" s="513"/>
      <c r="U163" s="513"/>
      <c r="V163" s="513"/>
      <c r="W163" s="513"/>
      <c r="X163" s="513"/>
      <c r="Y163" s="513"/>
      <c r="Z163" s="513"/>
      <c r="AA163" s="513"/>
      <c r="AB163" s="513"/>
      <c r="AC163" s="513"/>
      <c r="AD163" s="511"/>
      <c r="AE163" s="511"/>
      <c r="AF163" s="513"/>
      <c r="AG163" s="546"/>
      <c r="AH163" s="546"/>
      <c r="AI163" s="546"/>
      <c r="AJ163" s="546"/>
      <c r="AK163" s="546"/>
      <c r="AL163" s="546"/>
      <c r="AM163" s="546"/>
      <c r="AN163" s="546"/>
      <c r="AO163" s="546"/>
      <c r="AP163" s="546"/>
      <c r="AQ163" s="546"/>
      <c r="AR163" s="546"/>
      <c r="AS163" s="546"/>
      <c r="AT163" s="546"/>
      <c r="AU163" s="546"/>
      <c r="AV163" s="546"/>
      <c r="AW163" s="546"/>
      <c r="AX163" s="546"/>
      <c r="AY163" s="546"/>
      <c r="AZ163" s="546"/>
    </row>
    <row r="164" spans="1:52" ht="14" x14ac:dyDescent="0.15">
      <c r="A164" s="513"/>
      <c r="B164" s="513"/>
      <c r="C164" s="513"/>
      <c r="D164" s="513"/>
      <c r="E164" s="515"/>
      <c r="F164" s="515"/>
      <c r="G164" s="513"/>
      <c r="H164" s="513"/>
      <c r="I164" s="513"/>
      <c r="J164" s="513"/>
      <c r="K164" s="513"/>
      <c r="L164" s="513"/>
      <c r="M164" s="513"/>
      <c r="N164" s="513"/>
      <c r="O164" s="513"/>
      <c r="P164" s="513"/>
      <c r="Q164" s="513"/>
      <c r="R164" s="513"/>
      <c r="S164" s="513"/>
      <c r="T164" s="513"/>
      <c r="U164" s="513"/>
      <c r="V164" s="513"/>
      <c r="W164" s="513"/>
      <c r="X164" s="513"/>
      <c r="Y164" s="513"/>
      <c r="Z164" s="513"/>
      <c r="AA164" s="513"/>
      <c r="AB164" s="513"/>
      <c r="AC164" s="513"/>
      <c r="AD164" s="511"/>
      <c r="AE164" s="511"/>
      <c r="AF164" s="513"/>
      <c r="AG164" s="546"/>
      <c r="AH164" s="546"/>
      <c r="AI164" s="546"/>
      <c r="AJ164" s="546"/>
      <c r="AK164" s="546"/>
      <c r="AL164" s="546"/>
      <c r="AM164" s="546"/>
      <c r="AN164" s="546"/>
      <c r="AO164" s="546"/>
      <c r="AP164" s="546"/>
      <c r="AQ164" s="546"/>
      <c r="AR164" s="546"/>
      <c r="AS164" s="546"/>
      <c r="AT164" s="546"/>
      <c r="AU164" s="546"/>
      <c r="AV164" s="546"/>
      <c r="AW164" s="546"/>
      <c r="AX164" s="546"/>
      <c r="AY164" s="546"/>
      <c r="AZ164" s="546"/>
    </row>
    <row r="165" spans="1:52" ht="14" x14ac:dyDescent="0.15">
      <c r="A165" s="513"/>
      <c r="B165" s="513"/>
      <c r="C165" s="513"/>
      <c r="D165" s="513"/>
      <c r="E165" s="515"/>
      <c r="F165" s="515"/>
      <c r="G165" s="513"/>
      <c r="H165" s="513"/>
      <c r="I165" s="513"/>
      <c r="J165" s="513"/>
      <c r="K165" s="513"/>
      <c r="L165" s="513"/>
      <c r="M165" s="513"/>
      <c r="N165" s="513"/>
      <c r="O165" s="513"/>
      <c r="P165" s="513"/>
      <c r="Q165" s="513"/>
      <c r="R165" s="513"/>
      <c r="S165" s="513"/>
      <c r="T165" s="513"/>
      <c r="U165" s="513"/>
      <c r="V165" s="513"/>
      <c r="W165" s="513"/>
      <c r="X165" s="513"/>
      <c r="Y165" s="513"/>
      <c r="Z165" s="513"/>
      <c r="AA165" s="513"/>
      <c r="AB165" s="513"/>
      <c r="AC165" s="513"/>
      <c r="AD165" s="511"/>
      <c r="AE165" s="511"/>
      <c r="AF165" s="513"/>
      <c r="AG165" s="546"/>
      <c r="AH165" s="546"/>
      <c r="AI165" s="546"/>
      <c r="AJ165" s="546"/>
      <c r="AK165" s="546"/>
      <c r="AL165" s="546"/>
      <c r="AM165" s="546"/>
      <c r="AN165" s="546"/>
      <c r="AO165" s="546"/>
      <c r="AP165" s="546"/>
      <c r="AQ165" s="546"/>
      <c r="AR165" s="546"/>
      <c r="AS165" s="546"/>
      <c r="AT165" s="546"/>
      <c r="AU165" s="546"/>
      <c r="AV165" s="546"/>
      <c r="AW165" s="546"/>
      <c r="AX165" s="546"/>
      <c r="AY165" s="546"/>
      <c r="AZ165" s="546"/>
    </row>
    <row r="166" spans="1:52" ht="14" x14ac:dyDescent="0.15">
      <c r="A166" s="513"/>
      <c r="B166" s="513"/>
      <c r="C166" s="513"/>
      <c r="D166" s="513"/>
      <c r="E166" s="515"/>
      <c r="F166" s="515"/>
      <c r="G166" s="513"/>
      <c r="H166" s="513"/>
      <c r="I166" s="513"/>
      <c r="J166" s="513"/>
      <c r="K166" s="513"/>
      <c r="L166" s="513"/>
      <c r="M166" s="513"/>
      <c r="N166" s="513"/>
      <c r="O166" s="513"/>
      <c r="P166" s="513"/>
      <c r="Q166" s="513"/>
      <c r="R166" s="513"/>
      <c r="S166" s="513"/>
      <c r="T166" s="513"/>
      <c r="U166" s="513"/>
      <c r="V166" s="513"/>
      <c r="W166" s="513"/>
      <c r="X166" s="513"/>
      <c r="Y166" s="513"/>
      <c r="Z166" s="513"/>
      <c r="AA166" s="513"/>
      <c r="AB166" s="513"/>
      <c r="AC166" s="513"/>
      <c r="AD166" s="511"/>
      <c r="AE166" s="511"/>
      <c r="AF166" s="513"/>
      <c r="AG166" s="546"/>
      <c r="AH166" s="546"/>
      <c r="AI166" s="546"/>
      <c r="AJ166" s="546"/>
      <c r="AK166" s="546"/>
      <c r="AL166" s="546"/>
      <c r="AM166" s="546"/>
      <c r="AN166" s="546"/>
      <c r="AO166" s="546"/>
      <c r="AP166" s="546"/>
      <c r="AQ166" s="546"/>
      <c r="AR166" s="546"/>
      <c r="AS166" s="546"/>
      <c r="AT166" s="546"/>
      <c r="AU166" s="546"/>
      <c r="AV166" s="546"/>
      <c r="AW166" s="546"/>
      <c r="AX166" s="546"/>
      <c r="AY166" s="546"/>
      <c r="AZ166" s="546"/>
    </row>
    <row r="167" spans="1:52" ht="14" x14ac:dyDescent="0.15">
      <c r="A167" s="513"/>
      <c r="B167" s="513"/>
      <c r="C167" s="513"/>
      <c r="D167" s="513"/>
      <c r="E167" s="515"/>
      <c r="F167" s="515"/>
      <c r="G167" s="513"/>
      <c r="H167" s="513"/>
      <c r="I167" s="513"/>
      <c r="J167" s="513"/>
      <c r="K167" s="513"/>
      <c r="L167" s="513"/>
      <c r="M167" s="513"/>
      <c r="N167" s="513"/>
      <c r="O167" s="513"/>
      <c r="P167" s="513"/>
      <c r="Q167" s="513"/>
      <c r="R167" s="513"/>
      <c r="S167" s="513"/>
      <c r="T167" s="513"/>
      <c r="U167" s="513"/>
      <c r="V167" s="513"/>
      <c r="W167" s="513"/>
      <c r="X167" s="513"/>
      <c r="Y167" s="513"/>
      <c r="Z167" s="513"/>
      <c r="AA167" s="513"/>
      <c r="AB167" s="513"/>
      <c r="AC167" s="513"/>
      <c r="AD167" s="511"/>
      <c r="AE167" s="511"/>
      <c r="AF167" s="513"/>
      <c r="AG167" s="546"/>
      <c r="AH167" s="546"/>
      <c r="AI167" s="546"/>
      <c r="AJ167" s="546"/>
      <c r="AK167" s="546"/>
      <c r="AL167" s="546"/>
      <c r="AM167" s="546"/>
      <c r="AN167" s="546"/>
      <c r="AO167" s="546"/>
      <c r="AP167" s="546"/>
      <c r="AQ167" s="546"/>
      <c r="AR167" s="546"/>
      <c r="AS167" s="546"/>
      <c r="AT167" s="546"/>
      <c r="AU167" s="546"/>
      <c r="AV167" s="546"/>
      <c r="AW167" s="546"/>
      <c r="AX167" s="546"/>
      <c r="AY167" s="546"/>
      <c r="AZ167" s="546"/>
    </row>
    <row r="168" spans="1:52" ht="14" x14ac:dyDescent="0.15">
      <c r="A168" s="513"/>
      <c r="B168" s="513"/>
      <c r="C168" s="513"/>
      <c r="D168" s="513"/>
      <c r="E168" s="515"/>
      <c r="F168" s="515"/>
      <c r="G168" s="513"/>
      <c r="H168" s="513"/>
      <c r="I168" s="513"/>
      <c r="J168" s="513"/>
      <c r="K168" s="513"/>
      <c r="L168" s="513"/>
      <c r="M168" s="513"/>
      <c r="N168" s="513"/>
      <c r="O168" s="513"/>
      <c r="P168" s="513"/>
      <c r="Q168" s="513"/>
      <c r="R168" s="513"/>
      <c r="S168" s="513"/>
      <c r="T168" s="513"/>
      <c r="U168" s="513"/>
      <c r="V168" s="513"/>
      <c r="W168" s="513"/>
      <c r="X168" s="513"/>
      <c r="Y168" s="513"/>
      <c r="Z168" s="513"/>
      <c r="AA168" s="513"/>
      <c r="AB168" s="513"/>
      <c r="AC168" s="513"/>
      <c r="AD168" s="511"/>
      <c r="AE168" s="511"/>
      <c r="AF168" s="513"/>
      <c r="AG168" s="546"/>
      <c r="AH168" s="546"/>
      <c r="AI168" s="546"/>
      <c r="AJ168" s="546"/>
      <c r="AK168" s="546"/>
      <c r="AL168" s="546"/>
      <c r="AM168" s="546"/>
      <c r="AN168" s="546"/>
      <c r="AO168" s="546"/>
      <c r="AP168" s="546"/>
      <c r="AQ168" s="546"/>
      <c r="AR168" s="546"/>
      <c r="AS168" s="546"/>
      <c r="AT168" s="546"/>
      <c r="AU168" s="546"/>
      <c r="AV168" s="546"/>
      <c r="AW168" s="546"/>
      <c r="AX168" s="546"/>
      <c r="AY168" s="546"/>
      <c r="AZ168" s="546"/>
    </row>
    <row r="169" spans="1:52" ht="14" x14ac:dyDescent="0.15">
      <c r="A169" s="513"/>
      <c r="B169" s="513"/>
      <c r="C169" s="513"/>
      <c r="D169" s="513"/>
      <c r="E169" s="515"/>
      <c r="F169" s="515"/>
      <c r="G169" s="513"/>
      <c r="H169" s="513"/>
      <c r="I169" s="513"/>
      <c r="J169" s="513"/>
      <c r="K169" s="513"/>
      <c r="L169" s="513"/>
      <c r="M169" s="513"/>
      <c r="N169" s="513"/>
      <c r="O169" s="513"/>
      <c r="P169" s="513"/>
      <c r="Q169" s="513"/>
      <c r="R169" s="513"/>
      <c r="S169" s="513"/>
      <c r="T169" s="513"/>
      <c r="U169" s="513"/>
      <c r="V169" s="513"/>
      <c r="W169" s="513"/>
      <c r="X169" s="513"/>
      <c r="Y169" s="513"/>
      <c r="Z169" s="513"/>
      <c r="AA169" s="513"/>
      <c r="AB169" s="513"/>
      <c r="AC169" s="513"/>
      <c r="AD169" s="511"/>
      <c r="AE169" s="511"/>
      <c r="AF169" s="513"/>
      <c r="AG169" s="546"/>
      <c r="AH169" s="546"/>
      <c r="AI169" s="546"/>
      <c r="AJ169" s="546"/>
      <c r="AK169" s="546"/>
      <c r="AL169" s="546"/>
      <c r="AM169" s="546"/>
      <c r="AN169" s="546"/>
      <c r="AO169" s="546"/>
      <c r="AP169" s="546"/>
      <c r="AQ169" s="546"/>
      <c r="AR169" s="546"/>
      <c r="AS169" s="546"/>
      <c r="AT169" s="546"/>
      <c r="AU169" s="546"/>
      <c r="AV169" s="546"/>
      <c r="AW169" s="546"/>
      <c r="AX169" s="546"/>
      <c r="AY169" s="546"/>
      <c r="AZ169" s="546"/>
    </row>
    <row r="170" spans="1:52" ht="14" x14ac:dyDescent="0.15">
      <c r="A170" s="513"/>
      <c r="B170" s="513"/>
      <c r="C170" s="513"/>
      <c r="D170" s="513"/>
      <c r="E170" s="515"/>
      <c r="F170" s="515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  <c r="Q170" s="513"/>
      <c r="R170" s="513"/>
      <c r="S170" s="513"/>
      <c r="T170" s="513"/>
      <c r="U170" s="513"/>
      <c r="V170" s="513"/>
      <c r="W170" s="513"/>
      <c r="X170" s="513"/>
      <c r="Y170" s="513"/>
      <c r="Z170" s="513"/>
      <c r="AA170" s="513"/>
      <c r="AB170" s="513"/>
      <c r="AC170" s="513"/>
      <c r="AD170" s="511"/>
      <c r="AE170" s="511"/>
      <c r="AF170" s="513"/>
      <c r="AG170" s="546"/>
      <c r="AH170" s="546"/>
      <c r="AI170" s="546"/>
      <c r="AJ170" s="546"/>
      <c r="AK170" s="546"/>
      <c r="AL170" s="546"/>
      <c r="AM170" s="546"/>
      <c r="AN170" s="546"/>
      <c r="AO170" s="546"/>
      <c r="AP170" s="546"/>
      <c r="AQ170" s="546"/>
      <c r="AR170" s="546"/>
      <c r="AS170" s="546"/>
      <c r="AT170" s="546"/>
      <c r="AU170" s="546"/>
      <c r="AV170" s="546"/>
      <c r="AW170" s="546"/>
      <c r="AX170" s="546"/>
      <c r="AY170" s="546"/>
      <c r="AZ170" s="546"/>
    </row>
    <row r="171" spans="1:52" ht="14" x14ac:dyDescent="0.15">
      <c r="A171" s="513"/>
      <c r="B171" s="513"/>
      <c r="C171" s="513"/>
      <c r="D171" s="513"/>
      <c r="E171" s="515"/>
      <c r="F171" s="515"/>
      <c r="G171" s="513"/>
      <c r="H171" s="513"/>
      <c r="I171" s="513"/>
      <c r="J171" s="513"/>
      <c r="K171" s="513"/>
      <c r="L171" s="513"/>
      <c r="M171" s="513"/>
      <c r="N171" s="513"/>
      <c r="O171" s="513"/>
      <c r="P171" s="513"/>
      <c r="Q171" s="513"/>
      <c r="R171" s="513"/>
      <c r="S171" s="513"/>
      <c r="T171" s="513"/>
      <c r="U171" s="513"/>
      <c r="V171" s="513"/>
      <c r="W171" s="513"/>
      <c r="X171" s="513"/>
      <c r="Y171" s="513"/>
      <c r="Z171" s="513"/>
      <c r="AA171" s="513"/>
      <c r="AB171" s="513"/>
      <c r="AC171" s="513"/>
      <c r="AD171" s="511"/>
      <c r="AE171" s="511"/>
      <c r="AF171" s="513"/>
      <c r="AG171" s="546"/>
      <c r="AH171" s="546"/>
      <c r="AI171" s="546"/>
      <c r="AJ171" s="546"/>
      <c r="AK171" s="546"/>
      <c r="AL171" s="546"/>
      <c r="AM171" s="546"/>
      <c r="AN171" s="546"/>
      <c r="AO171" s="546"/>
      <c r="AP171" s="546"/>
      <c r="AQ171" s="546"/>
      <c r="AR171" s="546"/>
      <c r="AS171" s="546"/>
      <c r="AT171" s="546"/>
      <c r="AU171" s="546"/>
      <c r="AV171" s="546"/>
      <c r="AW171" s="546"/>
      <c r="AX171" s="546"/>
      <c r="AY171" s="546"/>
      <c r="AZ171" s="546"/>
    </row>
    <row r="172" spans="1:52" ht="14" x14ac:dyDescent="0.15">
      <c r="A172" s="513"/>
      <c r="B172" s="513"/>
      <c r="C172" s="513"/>
      <c r="D172" s="513"/>
      <c r="E172" s="515"/>
      <c r="F172" s="515"/>
      <c r="G172" s="513"/>
      <c r="H172" s="513"/>
      <c r="I172" s="513"/>
      <c r="J172" s="513"/>
      <c r="K172" s="513"/>
      <c r="L172" s="513"/>
      <c r="M172" s="513"/>
      <c r="N172" s="513"/>
      <c r="O172" s="513"/>
      <c r="P172" s="513"/>
      <c r="Q172" s="513"/>
      <c r="R172" s="513"/>
      <c r="S172" s="513"/>
      <c r="T172" s="513"/>
      <c r="U172" s="513"/>
      <c r="V172" s="513"/>
      <c r="W172" s="513"/>
      <c r="X172" s="513"/>
      <c r="Y172" s="513"/>
      <c r="Z172" s="513"/>
      <c r="AA172" s="513"/>
      <c r="AB172" s="513"/>
      <c r="AC172" s="513"/>
      <c r="AD172" s="511"/>
      <c r="AE172" s="511"/>
      <c r="AF172" s="513"/>
      <c r="AG172" s="546"/>
      <c r="AH172" s="546"/>
      <c r="AI172" s="546"/>
      <c r="AJ172" s="546"/>
      <c r="AK172" s="546"/>
      <c r="AL172" s="546"/>
      <c r="AM172" s="546"/>
      <c r="AN172" s="546"/>
      <c r="AO172" s="546"/>
      <c r="AP172" s="546"/>
      <c r="AQ172" s="546"/>
      <c r="AR172" s="546"/>
      <c r="AS172" s="546"/>
      <c r="AT172" s="546"/>
      <c r="AU172" s="546"/>
      <c r="AV172" s="546"/>
      <c r="AW172" s="546"/>
      <c r="AX172" s="546"/>
      <c r="AY172" s="546"/>
      <c r="AZ172" s="546"/>
    </row>
    <row r="173" spans="1:52" ht="14" x14ac:dyDescent="0.15">
      <c r="A173" s="513"/>
      <c r="B173" s="513"/>
      <c r="C173" s="513"/>
      <c r="D173" s="513"/>
      <c r="E173" s="515"/>
      <c r="F173" s="515"/>
      <c r="G173" s="513"/>
      <c r="H173" s="513"/>
      <c r="I173" s="513"/>
      <c r="J173" s="513"/>
      <c r="K173" s="513"/>
      <c r="L173" s="513"/>
      <c r="M173" s="513"/>
      <c r="N173" s="513"/>
      <c r="O173" s="513"/>
      <c r="P173" s="513"/>
      <c r="Q173" s="513"/>
      <c r="R173" s="513"/>
      <c r="S173" s="513"/>
      <c r="T173" s="513"/>
      <c r="U173" s="513"/>
      <c r="V173" s="513"/>
      <c r="W173" s="513"/>
      <c r="X173" s="513"/>
      <c r="Y173" s="513"/>
      <c r="Z173" s="513"/>
      <c r="AA173" s="513"/>
      <c r="AB173" s="513"/>
      <c r="AC173" s="513"/>
      <c r="AD173" s="511"/>
      <c r="AE173" s="511"/>
      <c r="AF173" s="513"/>
      <c r="AG173" s="546"/>
      <c r="AH173" s="546"/>
      <c r="AI173" s="546"/>
      <c r="AJ173" s="546"/>
      <c r="AK173" s="546"/>
      <c r="AL173" s="546"/>
      <c r="AM173" s="546"/>
      <c r="AN173" s="546"/>
      <c r="AO173" s="546"/>
      <c r="AP173" s="546"/>
      <c r="AQ173" s="546"/>
      <c r="AR173" s="546"/>
      <c r="AS173" s="546"/>
      <c r="AT173" s="546"/>
      <c r="AU173" s="546"/>
      <c r="AV173" s="546"/>
      <c r="AW173" s="546"/>
      <c r="AX173" s="546"/>
      <c r="AY173" s="546"/>
      <c r="AZ173" s="546"/>
    </row>
    <row r="174" spans="1:52" ht="14" x14ac:dyDescent="0.15">
      <c r="A174" s="513"/>
      <c r="B174" s="513"/>
      <c r="C174" s="513"/>
      <c r="D174" s="513"/>
      <c r="E174" s="515"/>
      <c r="F174" s="515"/>
      <c r="G174" s="513"/>
      <c r="H174" s="513"/>
      <c r="I174" s="513"/>
      <c r="J174" s="513"/>
      <c r="K174" s="513"/>
      <c r="L174" s="513"/>
      <c r="M174" s="513"/>
      <c r="N174" s="513"/>
      <c r="O174" s="513"/>
      <c r="P174" s="513"/>
      <c r="Q174" s="513"/>
      <c r="R174" s="513"/>
      <c r="S174" s="513"/>
      <c r="T174" s="513"/>
      <c r="U174" s="513"/>
      <c r="V174" s="513"/>
      <c r="W174" s="513"/>
      <c r="X174" s="513"/>
      <c r="Y174" s="513"/>
      <c r="Z174" s="513"/>
      <c r="AA174" s="513"/>
      <c r="AB174" s="513"/>
      <c r="AC174" s="513"/>
      <c r="AD174" s="511"/>
      <c r="AE174" s="511"/>
      <c r="AF174" s="513"/>
      <c r="AG174" s="546"/>
      <c r="AH174" s="546"/>
      <c r="AI174" s="546"/>
      <c r="AJ174" s="546"/>
      <c r="AK174" s="546"/>
      <c r="AL174" s="546"/>
      <c r="AM174" s="546"/>
      <c r="AN174" s="546"/>
      <c r="AO174" s="546"/>
      <c r="AP174" s="546"/>
      <c r="AQ174" s="546"/>
      <c r="AR174" s="546"/>
      <c r="AS174" s="546"/>
      <c r="AT174" s="546"/>
      <c r="AU174" s="546"/>
      <c r="AV174" s="546"/>
      <c r="AW174" s="546"/>
      <c r="AX174" s="546"/>
      <c r="AY174" s="546"/>
      <c r="AZ174" s="546"/>
    </row>
    <row r="175" spans="1:52" ht="14" x14ac:dyDescent="0.15">
      <c r="A175" s="513"/>
      <c r="B175" s="513"/>
      <c r="C175" s="513"/>
      <c r="D175" s="513"/>
      <c r="E175" s="515"/>
      <c r="F175" s="515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  <c r="R175" s="513"/>
      <c r="S175" s="513"/>
      <c r="T175" s="513"/>
      <c r="U175" s="513"/>
      <c r="V175" s="513"/>
      <c r="W175" s="513"/>
      <c r="X175" s="513"/>
      <c r="Y175" s="513"/>
      <c r="Z175" s="513"/>
      <c r="AA175" s="513"/>
      <c r="AB175" s="513"/>
      <c r="AC175" s="513"/>
      <c r="AD175" s="511"/>
      <c r="AE175" s="511"/>
      <c r="AF175" s="513"/>
      <c r="AG175" s="546"/>
      <c r="AH175" s="546"/>
      <c r="AI175" s="546"/>
      <c r="AJ175" s="546"/>
      <c r="AK175" s="546"/>
      <c r="AL175" s="546"/>
      <c r="AM175" s="546"/>
      <c r="AN175" s="546"/>
      <c r="AO175" s="546"/>
      <c r="AP175" s="546"/>
      <c r="AQ175" s="546"/>
      <c r="AR175" s="546"/>
      <c r="AS175" s="546"/>
      <c r="AT175" s="546"/>
      <c r="AU175" s="546"/>
      <c r="AV175" s="546"/>
      <c r="AW175" s="546"/>
      <c r="AX175" s="546"/>
      <c r="AY175" s="546"/>
      <c r="AZ175" s="546"/>
    </row>
    <row r="176" spans="1:52" ht="14" x14ac:dyDescent="0.15">
      <c r="A176" s="513"/>
      <c r="B176" s="513"/>
      <c r="C176" s="513"/>
      <c r="D176" s="513"/>
      <c r="E176" s="515"/>
      <c r="F176" s="515"/>
      <c r="G176" s="513"/>
      <c r="H176" s="513"/>
      <c r="I176" s="513"/>
      <c r="J176" s="513"/>
      <c r="K176" s="513"/>
      <c r="L176" s="513"/>
      <c r="M176" s="513"/>
      <c r="N176" s="513"/>
      <c r="O176" s="513"/>
      <c r="P176" s="513"/>
      <c r="Q176" s="513"/>
      <c r="R176" s="513"/>
      <c r="S176" s="513"/>
      <c r="T176" s="513"/>
      <c r="U176" s="513"/>
      <c r="V176" s="513"/>
      <c r="W176" s="513"/>
      <c r="X176" s="513"/>
      <c r="Y176" s="513"/>
      <c r="Z176" s="513"/>
      <c r="AA176" s="513"/>
      <c r="AB176" s="513"/>
      <c r="AC176" s="513"/>
      <c r="AD176" s="511"/>
      <c r="AE176" s="511"/>
      <c r="AF176" s="513"/>
      <c r="AG176" s="546"/>
      <c r="AH176" s="546"/>
      <c r="AI176" s="546"/>
      <c r="AJ176" s="546"/>
      <c r="AK176" s="546"/>
      <c r="AL176" s="546"/>
      <c r="AM176" s="546"/>
      <c r="AN176" s="546"/>
      <c r="AO176" s="546"/>
      <c r="AP176" s="546"/>
      <c r="AQ176" s="546"/>
      <c r="AR176" s="546"/>
      <c r="AS176" s="546"/>
      <c r="AT176" s="546"/>
      <c r="AU176" s="546"/>
      <c r="AV176" s="546"/>
      <c r="AW176" s="546"/>
      <c r="AX176" s="546"/>
      <c r="AY176" s="546"/>
      <c r="AZ176" s="546"/>
    </row>
    <row r="177" spans="1:52" ht="14" x14ac:dyDescent="0.15">
      <c r="A177" s="513"/>
      <c r="B177" s="513"/>
      <c r="C177" s="513"/>
      <c r="D177" s="513"/>
      <c r="E177" s="515"/>
      <c r="F177" s="515"/>
      <c r="G177" s="513"/>
      <c r="H177" s="513"/>
      <c r="I177" s="513"/>
      <c r="J177" s="513"/>
      <c r="K177" s="513"/>
      <c r="L177" s="513"/>
      <c r="M177" s="513"/>
      <c r="N177" s="513"/>
      <c r="O177" s="513"/>
      <c r="P177" s="513"/>
      <c r="Q177" s="513"/>
      <c r="R177" s="513"/>
      <c r="S177" s="513"/>
      <c r="T177" s="513"/>
      <c r="U177" s="513"/>
      <c r="V177" s="513"/>
      <c r="W177" s="513"/>
      <c r="X177" s="513"/>
      <c r="Y177" s="513"/>
      <c r="Z177" s="513"/>
      <c r="AA177" s="513"/>
      <c r="AB177" s="513"/>
      <c r="AC177" s="513"/>
      <c r="AD177" s="511"/>
      <c r="AE177" s="511"/>
      <c r="AF177" s="513"/>
      <c r="AG177" s="546"/>
      <c r="AH177" s="546"/>
      <c r="AI177" s="546"/>
      <c r="AJ177" s="546"/>
      <c r="AK177" s="546"/>
      <c r="AL177" s="546"/>
      <c r="AM177" s="546"/>
      <c r="AN177" s="546"/>
      <c r="AO177" s="546"/>
      <c r="AP177" s="546"/>
      <c r="AQ177" s="546"/>
      <c r="AR177" s="546"/>
      <c r="AS177" s="546"/>
      <c r="AT177" s="546"/>
      <c r="AU177" s="546"/>
      <c r="AV177" s="546"/>
      <c r="AW177" s="546"/>
      <c r="AX177" s="546"/>
      <c r="AY177" s="546"/>
      <c r="AZ177" s="546"/>
    </row>
    <row r="178" spans="1:52" ht="14" x14ac:dyDescent="0.15">
      <c r="A178" s="513"/>
      <c r="B178" s="513"/>
      <c r="C178" s="513"/>
      <c r="D178" s="513"/>
      <c r="E178" s="515"/>
      <c r="F178" s="515"/>
      <c r="G178" s="513"/>
      <c r="H178" s="513"/>
      <c r="I178" s="513"/>
      <c r="J178" s="513"/>
      <c r="K178" s="513"/>
      <c r="L178" s="513"/>
      <c r="M178" s="513"/>
      <c r="N178" s="513"/>
      <c r="O178" s="513"/>
      <c r="P178" s="513"/>
      <c r="Q178" s="513"/>
      <c r="R178" s="513"/>
      <c r="S178" s="513"/>
      <c r="T178" s="513"/>
      <c r="U178" s="513"/>
      <c r="V178" s="513"/>
      <c r="W178" s="513"/>
      <c r="X178" s="513"/>
      <c r="Y178" s="513"/>
      <c r="Z178" s="513"/>
      <c r="AA178" s="513"/>
      <c r="AB178" s="513"/>
      <c r="AC178" s="513"/>
      <c r="AD178" s="511"/>
      <c r="AE178" s="511"/>
      <c r="AF178" s="513"/>
      <c r="AG178" s="546"/>
      <c r="AH178" s="546"/>
      <c r="AI178" s="546"/>
      <c r="AJ178" s="546"/>
      <c r="AK178" s="546"/>
      <c r="AL178" s="546"/>
      <c r="AM178" s="546"/>
      <c r="AN178" s="546"/>
      <c r="AO178" s="546"/>
      <c r="AP178" s="546"/>
      <c r="AQ178" s="546"/>
      <c r="AR178" s="546"/>
      <c r="AS178" s="546"/>
      <c r="AT178" s="546"/>
      <c r="AU178" s="546"/>
      <c r="AV178" s="546"/>
      <c r="AW178" s="546"/>
      <c r="AX178" s="546"/>
      <c r="AY178" s="546"/>
      <c r="AZ178" s="546"/>
    </row>
    <row r="179" spans="1:52" ht="14" x14ac:dyDescent="0.15">
      <c r="A179" s="513"/>
      <c r="B179" s="513"/>
      <c r="C179" s="513"/>
      <c r="D179" s="513"/>
      <c r="E179" s="515"/>
      <c r="F179" s="515"/>
      <c r="G179" s="513"/>
      <c r="H179" s="513"/>
      <c r="I179" s="513"/>
      <c r="J179" s="513"/>
      <c r="K179" s="513"/>
      <c r="L179" s="513"/>
      <c r="M179" s="513"/>
      <c r="N179" s="513"/>
      <c r="O179" s="513"/>
      <c r="P179" s="513"/>
      <c r="Q179" s="513"/>
      <c r="R179" s="513"/>
      <c r="S179" s="513"/>
      <c r="T179" s="513"/>
      <c r="U179" s="513"/>
      <c r="V179" s="513"/>
      <c r="W179" s="513"/>
      <c r="X179" s="513"/>
      <c r="Y179" s="513"/>
      <c r="Z179" s="513"/>
      <c r="AA179" s="513"/>
      <c r="AB179" s="513"/>
      <c r="AC179" s="513"/>
      <c r="AD179" s="511"/>
      <c r="AE179" s="511"/>
      <c r="AF179" s="513"/>
      <c r="AG179" s="546"/>
      <c r="AH179" s="546"/>
      <c r="AI179" s="546"/>
      <c r="AJ179" s="546"/>
      <c r="AK179" s="546"/>
      <c r="AL179" s="546"/>
      <c r="AM179" s="546"/>
      <c r="AN179" s="546"/>
      <c r="AO179" s="546"/>
      <c r="AP179" s="546"/>
      <c r="AQ179" s="546"/>
      <c r="AR179" s="546"/>
      <c r="AS179" s="546"/>
      <c r="AT179" s="546"/>
      <c r="AU179" s="546"/>
      <c r="AV179" s="546"/>
      <c r="AW179" s="546"/>
      <c r="AX179" s="546"/>
      <c r="AY179" s="546"/>
      <c r="AZ179" s="546"/>
    </row>
    <row r="180" spans="1:52" ht="14" x14ac:dyDescent="0.15">
      <c r="A180" s="513"/>
      <c r="B180" s="513"/>
      <c r="C180" s="513"/>
      <c r="D180" s="513"/>
      <c r="E180" s="515"/>
      <c r="F180" s="515"/>
      <c r="G180" s="513"/>
      <c r="H180" s="513"/>
      <c r="I180" s="513"/>
      <c r="J180" s="513"/>
      <c r="K180" s="513"/>
      <c r="L180" s="513"/>
      <c r="M180" s="513"/>
      <c r="N180" s="513"/>
      <c r="O180" s="513"/>
      <c r="P180" s="513"/>
      <c r="Q180" s="513"/>
      <c r="R180" s="513"/>
      <c r="S180" s="513"/>
      <c r="T180" s="513"/>
      <c r="U180" s="513"/>
      <c r="V180" s="513"/>
      <c r="W180" s="513"/>
      <c r="X180" s="513"/>
      <c r="Y180" s="513"/>
      <c r="Z180" s="513"/>
      <c r="AA180" s="513"/>
      <c r="AB180" s="513"/>
      <c r="AC180" s="513"/>
      <c r="AD180" s="511"/>
      <c r="AE180" s="511"/>
      <c r="AF180" s="513"/>
      <c r="AG180" s="546"/>
      <c r="AH180" s="546"/>
      <c r="AI180" s="546"/>
      <c r="AJ180" s="546"/>
      <c r="AK180" s="546"/>
      <c r="AL180" s="546"/>
      <c r="AM180" s="546"/>
      <c r="AN180" s="546"/>
      <c r="AO180" s="546"/>
      <c r="AP180" s="546"/>
      <c r="AQ180" s="546"/>
      <c r="AR180" s="546"/>
      <c r="AS180" s="546"/>
      <c r="AT180" s="546"/>
      <c r="AU180" s="546"/>
      <c r="AV180" s="546"/>
      <c r="AW180" s="546"/>
      <c r="AX180" s="546"/>
      <c r="AY180" s="546"/>
      <c r="AZ180" s="546"/>
    </row>
    <row r="181" spans="1:52" ht="14" x14ac:dyDescent="0.15">
      <c r="A181" s="513"/>
      <c r="B181" s="513"/>
      <c r="C181" s="513"/>
      <c r="D181" s="513"/>
      <c r="E181" s="515"/>
      <c r="F181" s="515"/>
      <c r="G181" s="513"/>
      <c r="H181" s="513"/>
      <c r="I181" s="513"/>
      <c r="J181" s="513"/>
      <c r="K181" s="513"/>
      <c r="L181" s="513"/>
      <c r="M181" s="513"/>
      <c r="N181" s="513"/>
      <c r="O181" s="513"/>
      <c r="P181" s="513"/>
      <c r="Q181" s="513"/>
      <c r="R181" s="513"/>
      <c r="S181" s="513"/>
      <c r="T181" s="513"/>
      <c r="U181" s="513"/>
      <c r="V181" s="513"/>
      <c r="W181" s="513"/>
      <c r="X181" s="513"/>
      <c r="Y181" s="513"/>
      <c r="Z181" s="513"/>
      <c r="AA181" s="513"/>
      <c r="AB181" s="513"/>
      <c r="AC181" s="513"/>
      <c r="AD181" s="511"/>
      <c r="AE181" s="511"/>
      <c r="AF181" s="513"/>
      <c r="AG181" s="546"/>
      <c r="AH181" s="546"/>
      <c r="AI181" s="546"/>
      <c r="AJ181" s="546"/>
      <c r="AK181" s="546"/>
      <c r="AL181" s="546"/>
      <c r="AM181" s="546"/>
      <c r="AN181" s="546"/>
      <c r="AO181" s="546"/>
      <c r="AP181" s="546"/>
      <c r="AQ181" s="546"/>
      <c r="AR181" s="546"/>
      <c r="AS181" s="546"/>
      <c r="AT181" s="546"/>
      <c r="AU181" s="546"/>
      <c r="AV181" s="546"/>
      <c r="AW181" s="546"/>
      <c r="AX181" s="546"/>
      <c r="AY181" s="546"/>
      <c r="AZ181" s="546"/>
    </row>
    <row r="182" spans="1:52" ht="14" x14ac:dyDescent="0.15">
      <c r="A182" s="513"/>
      <c r="B182" s="513"/>
      <c r="C182" s="513"/>
      <c r="D182" s="513"/>
      <c r="E182" s="515"/>
      <c r="F182" s="515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  <c r="R182" s="513"/>
      <c r="S182" s="513"/>
      <c r="T182" s="513"/>
      <c r="U182" s="513"/>
      <c r="V182" s="513"/>
      <c r="W182" s="513"/>
      <c r="X182" s="513"/>
      <c r="Y182" s="513"/>
      <c r="Z182" s="513"/>
      <c r="AA182" s="513"/>
      <c r="AB182" s="513"/>
      <c r="AC182" s="513"/>
      <c r="AD182" s="511"/>
      <c r="AE182" s="511"/>
      <c r="AF182" s="513"/>
      <c r="AG182" s="546"/>
      <c r="AH182" s="546"/>
      <c r="AI182" s="546"/>
      <c r="AJ182" s="546"/>
      <c r="AK182" s="546"/>
      <c r="AL182" s="546"/>
      <c r="AM182" s="546"/>
      <c r="AN182" s="546"/>
      <c r="AO182" s="546"/>
      <c r="AP182" s="546"/>
      <c r="AQ182" s="546"/>
      <c r="AR182" s="546"/>
      <c r="AS182" s="546"/>
      <c r="AT182" s="546"/>
      <c r="AU182" s="546"/>
      <c r="AV182" s="546"/>
      <c r="AW182" s="546"/>
      <c r="AX182" s="546"/>
      <c r="AY182" s="546"/>
      <c r="AZ182" s="546"/>
    </row>
    <row r="183" spans="1:52" ht="14" x14ac:dyDescent="0.15">
      <c r="A183" s="513"/>
      <c r="B183" s="513"/>
      <c r="C183" s="513"/>
      <c r="D183" s="513"/>
      <c r="E183" s="515"/>
      <c r="F183" s="515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  <c r="R183" s="513"/>
      <c r="S183" s="513"/>
      <c r="T183" s="513"/>
      <c r="U183" s="513"/>
      <c r="V183" s="513"/>
      <c r="W183" s="513"/>
      <c r="X183" s="513"/>
      <c r="Y183" s="513"/>
      <c r="Z183" s="513"/>
      <c r="AA183" s="513"/>
      <c r="AB183" s="513"/>
      <c r="AC183" s="513"/>
      <c r="AD183" s="511"/>
      <c r="AE183" s="511"/>
      <c r="AF183" s="513"/>
      <c r="AG183" s="546"/>
      <c r="AH183" s="546"/>
      <c r="AI183" s="546"/>
      <c r="AJ183" s="546"/>
      <c r="AK183" s="546"/>
      <c r="AL183" s="546"/>
      <c r="AM183" s="546"/>
      <c r="AN183" s="546"/>
      <c r="AO183" s="546"/>
      <c r="AP183" s="546"/>
      <c r="AQ183" s="546"/>
      <c r="AR183" s="546"/>
      <c r="AS183" s="546"/>
      <c r="AT183" s="546"/>
      <c r="AU183" s="546"/>
      <c r="AV183" s="546"/>
      <c r="AW183" s="546"/>
      <c r="AX183" s="546"/>
      <c r="AY183" s="546"/>
      <c r="AZ183" s="546"/>
    </row>
  </sheetData>
  <sheetProtection algorithmName="SHA-512" hashValue="qj01XltpnVoV/SQn+s47mEs9wLtqlkvhstqu6m5RLTHWYZgRjzF7rVXF/6e15BSTLnQbBviz17pdRIxLoWGKdA==" saltValue="euOBvaLRB4pkNyKd2HFGsQ==" spinCount="100000" sheet="1" objects="1" scenarios="1"/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EF44F-63DF-E540-B40D-3C8D3938A657}">
  <sheetPr codeName="Sheet22"/>
  <dimension ref="A1:AN170"/>
  <sheetViews>
    <sheetView zoomScale="90" zoomScaleNormal="90" workbookViewId="0">
      <selection activeCell="C1" sqref="C1"/>
    </sheetView>
  </sheetViews>
  <sheetFormatPr baseColWidth="10" defaultColWidth="10.83203125" defaultRowHeight="13" x14ac:dyDescent="0.15"/>
  <cols>
    <col min="1" max="1" width="17.33203125" customWidth="1"/>
    <col min="2" max="2" width="21.6640625" bestFit="1" customWidth="1"/>
    <col min="3" max="3" width="22.1640625" customWidth="1"/>
    <col min="4" max="14" width="14.1640625" customWidth="1"/>
    <col min="15" max="16" width="12.33203125" hidden="1" customWidth="1"/>
    <col min="17" max="17" width="14.1640625" hidden="1" customWidth="1"/>
    <col min="18" max="22" width="14.1640625" customWidth="1"/>
    <col min="23" max="24" width="12.33203125" hidden="1" customWidth="1"/>
    <col min="25" max="28" width="14.1640625" customWidth="1"/>
    <col min="29" max="39" width="12.33203125" customWidth="1"/>
  </cols>
  <sheetData>
    <row r="1" spans="1:40" ht="14" x14ac:dyDescent="0.15">
      <c r="A1" s="425" t="s">
        <v>722</v>
      </c>
      <c r="B1" s="425"/>
      <c r="C1" s="425"/>
      <c r="D1" s="425"/>
      <c r="E1" s="426"/>
      <c r="F1" s="426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25"/>
      <c r="AD1" s="425"/>
      <c r="AE1" s="425"/>
      <c r="AF1" s="427"/>
      <c r="AG1" s="427"/>
      <c r="AH1" s="427"/>
      <c r="AI1" s="427"/>
      <c r="AJ1" s="427"/>
      <c r="AK1" s="427"/>
      <c r="AL1" s="427"/>
      <c r="AM1" s="427"/>
      <c r="AN1" s="427"/>
    </row>
    <row r="2" spans="1:40" ht="14" x14ac:dyDescent="0.15">
      <c r="A2" s="428" t="s">
        <v>723</v>
      </c>
      <c r="B2" s="428"/>
      <c r="C2" s="425"/>
      <c r="D2" s="425"/>
      <c r="E2" s="426"/>
      <c r="F2" s="426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  <c r="AC2" s="425"/>
      <c r="AD2" s="425"/>
      <c r="AE2" s="425"/>
      <c r="AF2" s="427"/>
      <c r="AG2" s="427"/>
      <c r="AH2" s="427"/>
      <c r="AI2" s="427"/>
      <c r="AJ2" s="427"/>
      <c r="AK2" s="427"/>
      <c r="AL2" s="427"/>
      <c r="AM2" s="427"/>
      <c r="AN2" s="427"/>
    </row>
    <row r="3" spans="1:40" ht="15" thickBot="1" x14ac:dyDescent="0.2">
      <c r="A3" s="425"/>
      <c r="B3" s="425"/>
      <c r="C3" s="425"/>
      <c r="D3" s="425"/>
      <c r="E3" s="426"/>
      <c r="F3" s="426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5"/>
      <c r="W3" s="425"/>
      <c r="X3" s="425"/>
      <c r="Y3" s="425"/>
      <c r="Z3" s="425"/>
      <c r="AA3" s="425"/>
      <c r="AB3" s="425"/>
      <c r="AC3" s="425"/>
      <c r="AD3" s="425"/>
      <c r="AE3" s="425"/>
      <c r="AF3" s="427"/>
      <c r="AG3" s="427"/>
      <c r="AH3" s="427"/>
      <c r="AI3" s="427"/>
      <c r="AJ3" s="427"/>
      <c r="AK3" s="427"/>
      <c r="AL3" s="427"/>
      <c r="AM3" s="427"/>
      <c r="AN3" s="427"/>
    </row>
    <row r="4" spans="1:40" ht="14" x14ac:dyDescent="0.15">
      <c r="A4" s="263" t="s">
        <v>724</v>
      </c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410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6"/>
      <c r="AD4" s="425"/>
      <c r="AE4" s="425"/>
      <c r="AF4" s="427"/>
      <c r="AG4" s="427"/>
      <c r="AH4" s="427"/>
      <c r="AI4" s="427"/>
      <c r="AJ4" s="427"/>
      <c r="AK4" s="427"/>
      <c r="AL4" s="427"/>
      <c r="AM4" s="427"/>
      <c r="AN4" s="427"/>
    </row>
    <row r="5" spans="1:40" ht="14" x14ac:dyDescent="0.15">
      <c r="A5" s="267" t="s">
        <v>1394</v>
      </c>
      <c r="B5" s="268"/>
      <c r="C5" s="66">
        <v>63000</v>
      </c>
      <c r="D5" s="40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411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9"/>
      <c r="AD5" s="425"/>
      <c r="AE5" s="425"/>
      <c r="AF5" s="427"/>
      <c r="AG5" s="427"/>
      <c r="AH5" s="427"/>
      <c r="AI5" s="427"/>
      <c r="AJ5" s="427"/>
      <c r="AK5" s="427"/>
      <c r="AL5" s="427"/>
      <c r="AM5" s="427"/>
      <c r="AN5" s="427"/>
    </row>
    <row r="6" spans="1:40" ht="14" x14ac:dyDescent="0.15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411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9"/>
      <c r="AD6" s="425"/>
      <c r="AE6" s="425"/>
      <c r="AF6" s="427"/>
      <c r="AG6" s="427"/>
      <c r="AH6" s="427"/>
      <c r="AI6" s="427"/>
      <c r="AJ6" s="427"/>
      <c r="AK6" s="427"/>
      <c r="AL6" s="427"/>
      <c r="AM6" s="427"/>
      <c r="AN6" s="427"/>
    </row>
    <row r="7" spans="1:40" ht="75" x14ac:dyDescent="0.15">
      <c r="A7" s="489" t="s">
        <v>725</v>
      </c>
      <c r="B7" s="490" t="s">
        <v>726</v>
      </c>
      <c r="C7" s="490" t="s">
        <v>727</v>
      </c>
      <c r="D7" s="491" t="s">
        <v>563</v>
      </c>
      <c r="E7" s="491" t="s">
        <v>564</v>
      </c>
      <c r="F7" s="492" t="s">
        <v>565</v>
      </c>
      <c r="G7" s="492" t="s">
        <v>566</v>
      </c>
      <c r="H7" s="492" t="s">
        <v>1463</v>
      </c>
      <c r="I7" s="492" t="s">
        <v>567</v>
      </c>
      <c r="J7" s="491" t="s">
        <v>568</v>
      </c>
      <c r="K7" s="492" t="s">
        <v>569</v>
      </c>
      <c r="L7" s="492" t="s">
        <v>570</v>
      </c>
      <c r="M7" s="492" t="s">
        <v>1462</v>
      </c>
      <c r="N7" s="492" t="s">
        <v>571</v>
      </c>
      <c r="O7" s="501" t="s">
        <v>572</v>
      </c>
      <c r="P7" s="501" t="s">
        <v>1243</v>
      </c>
      <c r="Q7" s="510" t="s">
        <v>573</v>
      </c>
      <c r="R7" s="493" t="s">
        <v>574</v>
      </c>
      <c r="S7" s="495" t="s">
        <v>575</v>
      </c>
      <c r="T7" s="496" t="s">
        <v>576</v>
      </c>
      <c r="U7" s="496" t="s">
        <v>577</v>
      </c>
      <c r="V7" s="496" t="s">
        <v>578</v>
      </c>
      <c r="W7" s="502" t="s">
        <v>579</v>
      </c>
      <c r="X7" s="502" t="s">
        <v>580</v>
      </c>
      <c r="Y7" s="497" t="s">
        <v>581</v>
      </c>
      <c r="Z7" s="497" t="s">
        <v>582</v>
      </c>
      <c r="AA7" s="498" t="s">
        <v>583</v>
      </c>
      <c r="AB7" s="499" t="s">
        <v>584</v>
      </c>
      <c r="AC7" s="500" t="s">
        <v>585</v>
      </c>
      <c r="AD7" s="425"/>
      <c r="AE7" s="425"/>
      <c r="AF7" s="427"/>
      <c r="AG7" s="427"/>
      <c r="AH7" s="427"/>
      <c r="AI7" s="427"/>
      <c r="AJ7" s="427"/>
      <c r="AK7" s="427"/>
      <c r="AL7" s="427"/>
      <c r="AM7" s="427"/>
      <c r="AN7" s="427"/>
    </row>
    <row r="8" spans="1:40" ht="14" x14ac:dyDescent="0.15">
      <c r="A8" s="270" t="str">
        <f>'Tariffs Jan2020'!F2</f>
        <v>AGL</v>
      </c>
      <c r="B8" s="40" t="str">
        <f>'Tariffs Jan2020'!D2</f>
        <v>Multinet Metro 1</v>
      </c>
      <c r="C8" s="40" t="str">
        <f>'Tariffs Jan2020'!G2</f>
        <v>Essentials Saver</v>
      </c>
      <c r="D8" s="59">
        <f>365*'Tariffs Jan2020'!H2/100</f>
        <v>277.96409090909083</v>
      </c>
      <c r="E8" s="59">
        <f>IF($C$5*'Tariffs Jan2020'!AK2/'Tariffs Jan2020'!AI2&gt;='Tariffs Jan2020'!J2,( 'Tariffs Jan2020'!J2*'Tariffs Jan2020'!O2/100)* 'Tariffs Jan2020'!AI2,($C$5*'Tariffs Jan2020'!AK2/'Tariffs Jan2020'!AI2*'Tariffs Jan2020'!O2/100)* 'Tariffs Jan2020'!AI2)</f>
        <v>170.99999999999997</v>
      </c>
      <c r="F8" s="59">
        <f>IF($C$5*'Tariffs Jan2020'!AK2/'Tariffs Jan2020'!AI2&lt;'Tariffs Jan2020'!J2,0,IF($C$5*'Tariffs Jan2020'!AK2/'Tariffs Jan2020'!AI2&lt;='Tariffs Jan2020'!K2,($C$5*'Tariffs Jan2020'!AK2/'Tariffs Jan2020'!AI2-'Tariffs Jan2020'!J2)*('Tariffs Jan2020'!P2/100)*'Tariffs Jan2020'!AI2,('Tariffs Jan2020'!K2-'Tariffs Jan2020'!J2)*('Tariffs Jan2020'!P2/100)*'Tariffs Jan2020'!AI2))</f>
        <v>153.00000000000003</v>
      </c>
      <c r="G8" s="59">
        <f>IF($C$5*'Tariffs Jan2020'!AK2/'Tariffs Jan2020'!AI2&lt;'Tariffs Jan2020'!K2,0,IF($C$5*'Tariffs Jan2020'!AK2/'Tariffs Jan2020'!AI2&lt;='Tariffs Jan2020'!L2,($C$5*'Tariffs Jan2020'!AK2/'Tariffs Jan2020'!AI2-'Tariffs Jan2020'!K2)*('Tariffs Jan2020'!Q2/100)*'Tariffs Jan2020'!AI2,('Tariffs Jan2020'!L2-'Tariffs Jan2020'!K2)*('Tariffs Jan2020'!Q2/100)*'Tariffs Jan2020'!AI2))</f>
        <v>121.90909090909091</v>
      </c>
      <c r="H8" s="59">
        <f>IF($C$5*'Tariffs Jan2020'!AK2/'Tariffs Jan2020'!AI2&lt;'Tariffs Jan2020'!L2,0,IF($C$5*'Tariffs Jan2020'!AK2/'Tariffs Jan2020'!AI2&lt;='Tariffs Jan2020'!M2,($C$5*'Tariffs Jan2020'!AK2/'Tariffs Jan2020'!AI2-'Tariffs Jan2020'!L2)*('Tariffs Jan2020'!R2/100)*'Tariffs Jan2020'!AI2,('Tariffs Jan2020'!M2-'Tariffs Jan2020'!L2)*('Tariffs Jan2020'!R2/100)*'Tariffs Jan2020'!AI2))</f>
        <v>52.772727272727266</v>
      </c>
      <c r="I8" s="59">
        <f>IF(($C$5*'Tariffs Jan2020'!AK2/'Tariffs Jan2020'!AI2&gt;'Tariffs Jan2020'!M2),($C$5*'Tariffs Jan2020'!AK2/'Tariffs Jan2020'!AI2-'Tariffs Jan2020'!M2)*'Tariffs Jan2020'!S2/100*'Tariffs Jan2020'!AI2,0)</f>
        <v>0</v>
      </c>
      <c r="J8" s="59">
        <f>IF($C$5*'Tariffs Jan2020'!AL2/'Tariffs Jan2020'!AJ2&gt;='Tariffs Jan2020'!J2,('Tariffs Jan2020'!J2*'Tariffs Jan2020'!U2/100)* 'Tariffs Jan2020'!AJ2,($C$5*'Tariffs Jan2020'!AL2/'Tariffs Jan2020'!AJ2*'Tariffs Jan2020'!U2/100)* 'Tariffs Jan2020'!AJ2)</f>
        <v>161.99999999999997</v>
      </c>
      <c r="K8" s="59">
        <f>IF($C$5*'Tariffs Jan2020'!AL2/'Tariffs Jan2020'!AJ2&lt;'Tariffs Jan2020'!J2,0,IF($C$5*'Tariffs Jan2020'!AL2/'Tariffs Jan2020'!AJ2&lt;='Tariffs Jan2020'!K2,($C$5*'Tariffs Jan2020'!AL2/'Tariffs Jan2020'!AJ2-'Tariffs Jan2020'!J2)*('Tariffs Jan2020'!V2/100)*'Tariffs Jan2020'!AJ2,('Tariffs Jan2020'!K2-'Tariffs Jan2020'!J2)*('Tariffs Jan2020'!V2/100)*'Tariffs Jan2020'!AJ2))</f>
        <v>144</v>
      </c>
      <c r="L8" s="59">
        <f>IF($C$5*'Tariffs Jan2020'!AL2/'Tariffs Jan2020'!AJ2&lt;'Tariffs Jan2020'!K2,0,IF($C$5*'Tariffs Jan2020'!AL2/'Tariffs Jan2020'!AJ2&lt;='Tariffs Jan2020'!L2,($C$5*'Tariffs Jan2020'!AL2/'Tariffs Jan2020'!AJ2-'Tariffs Jan2020'!K2)*('Tariffs Jan2020'!W2/100)*'Tariffs Jan2020'!AJ2,('Tariffs Jan2020'!L2-'Tariffs Jan2020'!K2)*('Tariffs Jan2020'!W2/100)*'Tariffs Jan2020'!AJ2))</f>
        <v>117.8181818181818</v>
      </c>
      <c r="M8" s="59">
        <f>IF($C$5*'Tariffs Jan2020'!AL2/'Tariffs Jan2020'!AJ2&lt;'Tariffs Jan2020'!L2,0,IF($C$5*'Tariffs Jan2020'!AL2/'Tariffs Jan2020'!AJ2&lt;='Tariffs Jan2020'!M2,($C$5*'Tariffs Jan2020'!AL2/'Tariffs Jan2020'!AJ2-'Tariffs Jan2020'!L2)*('Tariffs Jan2020'!X2/100)*'Tariffs Jan2020'!AJ2,('Tariffs Jan2020'!M2-'Tariffs Jan2020'!L2)*('Tariffs Jan2020'!X2/100)*'Tariffs Jan2020'!AJ2))</f>
        <v>51.95454545454546</v>
      </c>
      <c r="N8" s="59">
        <f>IF(($C$5*'Tariffs Jan2020'!AL2/'Tariffs Jan2020'!AJ2&gt;'Tariffs Jan2020'!M2),($C$5*'Tariffs Jan2020'!AL2/'Tariffs Jan2020'!AJ2-'Tariffs Jan2020'!M2)*'Tariffs Jan2020'!Y2/100*'Tariffs Jan2020'!AJ2,0)</f>
        <v>0</v>
      </c>
      <c r="O8" s="59">
        <f>SUM(E8:N8)</f>
        <v>974.45454545454538</v>
      </c>
      <c r="P8" s="503">
        <f>O8*1.1</f>
        <v>1071.9000000000001</v>
      </c>
      <c r="Q8" s="59">
        <f>D8+O8</f>
        <v>1252.4186363636363</v>
      </c>
      <c r="R8" s="272">
        <f>Q8*1.1</f>
        <v>1377.6605</v>
      </c>
      <c r="S8" s="40">
        <f>'Tariffs Jan2020'!AN2</f>
        <v>0</v>
      </c>
      <c r="T8" s="40">
        <f>'Tariffs Jan2020'!AO2</f>
        <v>0</v>
      </c>
      <c r="U8" s="40">
        <f>'Tariffs Jan2020'!AP2</f>
        <v>0</v>
      </c>
      <c r="V8" s="40">
        <f>'Tariffs Jan2020'!AQ2</f>
        <v>0</v>
      </c>
      <c r="W8" s="284">
        <f>Q8</f>
        <v>1252.4186363636363</v>
      </c>
      <c r="X8" s="284">
        <f>W8</f>
        <v>1252.4186363636363</v>
      </c>
      <c r="Y8" s="507">
        <f>W8*1.1</f>
        <v>1377.6605</v>
      </c>
      <c r="Z8" s="507">
        <f>X8*1.1</f>
        <v>1377.6605</v>
      </c>
      <c r="AA8" s="274">
        <f>'Tariffs Jan2020'!AZ2</f>
        <v>0</v>
      </c>
      <c r="AB8" s="274" t="str">
        <f>'Tariffs Jan2020'!BA2</f>
        <v>n</v>
      </c>
      <c r="AC8" s="275" t="str">
        <f>'Tariffs Jan2020'!BJ2</f>
        <v>N</v>
      </c>
      <c r="AD8" s="425"/>
      <c r="AE8" s="425"/>
      <c r="AF8" s="427"/>
      <c r="AG8" s="427"/>
      <c r="AH8" s="427"/>
      <c r="AI8" s="427"/>
      <c r="AJ8" s="427"/>
      <c r="AK8" s="427"/>
      <c r="AL8" s="427"/>
      <c r="AM8" s="427"/>
      <c r="AN8" s="427"/>
    </row>
    <row r="9" spans="1:40" ht="14" x14ac:dyDescent="0.15">
      <c r="A9" s="270" t="str">
        <f>'Tariffs Jan2020'!F3</f>
        <v>Alinta Energy</v>
      </c>
      <c r="B9" s="40" t="str">
        <f>'Tariffs Jan2020'!D3</f>
        <v>Multinet Metro 1</v>
      </c>
      <c r="C9" s="40" t="str">
        <f>'Tariffs Jan2020'!G3</f>
        <v>Home Deal</v>
      </c>
      <c r="D9" s="59">
        <f>365*'Tariffs Jan2020'!H3/100</f>
        <v>251.85</v>
      </c>
      <c r="E9" s="59">
        <f>IF($C$5*'Tariffs Jan2020'!AK3/'Tariffs Jan2020'!AI3&gt;='Tariffs Jan2020'!J3,( 'Tariffs Jan2020'!J3*'Tariffs Jan2020'!O3/100)* 'Tariffs Jan2020'!AI3,($C$5*'Tariffs Jan2020'!AK3/'Tariffs Jan2020'!AI3*'Tariffs Jan2020'!O3/100)* 'Tariffs Jan2020'!AI3)</f>
        <v>189</v>
      </c>
      <c r="F9" s="59">
        <f>IF($C$5*'Tariffs Jan2020'!AK3/'Tariffs Jan2020'!AI3&lt;'Tariffs Jan2020'!J3,0,IF($C$5*'Tariffs Jan2020'!AK3/'Tariffs Jan2020'!AI3&lt;='Tariffs Jan2020'!K3,($C$5*'Tariffs Jan2020'!AK3/'Tariffs Jan2020'!AI3-'Tariffs Jan2020'!J3)*('Tariffs Jan2020'!P3/100)*'Tariffs Jan2020'!AI3,('Tariffs Jan2020'!K3-'Tariffs Jan2020'!J3)*('Tariffs Jan2020'!P3/100)*'Tariffs Jan2020'!AI3))</f>
        <v>170.99999999999994</v>
      </c>
      <c r="G9" s="59">
        <f>IF($C$5*'Tariffs Jan2020'!AK3/'Tariffs Jan2020'!AI3&lt;'Tariffs Jan2020'!K3,0,IF($C$5*'Tariffs Jan2020'!AK3/'Tariffs Jan2020'!AI3&lt;='Tariffs Jan2020'!L3,($C$5*'Tariffs Jan2020'!AK3/'Tariffs Jan2020'!AI3-'Tariffs Jan2020'!K3)*('Tariffs Jan2020'!Q3/100)*'Tariffs Jan2020'!AI3,('Tariffs Jan2020'!L3-'Tariffs Jan2020'!K3)*('Tariffs Jan2020'!Q3/100)*'Tariffs Jan2020'!AI3))</f>
        <v>0</v>
      </c>
      <c r="H9" s="59">
        <f>IF($C$5*'Tariffs Jan2020'!AK3/'Tariffs Jan2020'!AI3&lt;'Tariffs Jan2020'!L3,0,IF($C$5*'Tariffs Jan2020'!AK3/'Tariffs Jan2020'!AI3&lt;='Tariffs Jan2020'!M3,($C$5*'Tariffs Jan2020'!AK3/'Tariffs Jan2020'!AI3-'Tariffs Jan2020'!L3)*('Tariffs Jan2020'!R3/100)*'Tariffs Jan2020'!AI3,('Tariffs Jan2020'!M3-'Tariffs Jan2020'!L3)*('Tariffs Jan2020'!R3/100)*'Tariffs Jan2020'!AI3))</f>
        <v>0</v>
      </c>
      <c r="I9" s="59">
        <f>IF(($C$5*'Tariffs Jan2020'!AK3/'Tariffs Jan2020'!AI3&gt;'Tariffs Jan2020'!M3),($C$5*'Tariffs Jan2020'!AK3/'Tariffs Jan2020'!AI3-'Tariffs Jan2020'!M3)*'Tariffs Jan2020'!S3/100*'Tariffs Jan2020'!AI3,0)</f>
        <v>202.49999999999994</v>
      </c>
      <c r="J9" s="59">
        <f>IF($C$5*'Tariffs Jan2020'!AL3/'Tariffs Jan2020'!AJ3&gt;='Tariffs Jan2020'!J3,('Tariffs Jan2020'!J3*'Tariffs Jan2020'!U3/100)* 'Tariffs Jan2020'!AJ3,($C$5*'Tariffs Jan2020'!AL3/'Tariffs Jan2020'!AJ3*'Tariffs Jan2020'!U3/100)* 'Tariffs Jan2020'!AJ3)</f>
        <v>189</v>
      </c>
      <c r="K9" s="59">
        <f>IF($C$5*'Tariffs Jan2020'!AL3/'Tariffs Jan2020'!AJ3&lt;'Tariffs Jan2020'!J3,0,IF($C$5*'Tariffs Jan2020'!AL3/'Tariffs Jan2020'!AJ3&lt;='Tariffs Jan2020'!K3,($C$5*'Tariffs Jan2020'!AL3/'Tariffs Jan2020'!AJ3-'Tariffs Jan2020'!J3)*('Tariffs Jan2020'!V3/100)*'Tariffs Jan2020'!AJ3,('Tariffs Jan2020'!K3-'Tariffs Jan2020'!J3)*('Tariffs Jan2020'!V3/100)*'Tariffs Jan2020'!AJ3))</f>
        <v>161.99999999999997</v>
      </c>
      <c r="L9" s="59">
        <f>IF($C$5*'Tariffs Jan2020'!AL3/'Tariffs Jan2020'!AJ3&lt;'Tariffs Jan2020'!K3,0,IF($C$5*'Tariffs Jan2020'!AL3/'Tariffs Jan2020'!AJ3&lt;='Tariffs Jan2020'!L3,($C$5*'Tariffs Jan2020'!AL3/'Tariffs Jan2020'!AJ3-'Tariffs Jan2020'!K3)*('Tariffs Jan2020'!W3/100)*'Tariffs Jan2020'!AJ3,('Tariffs Jan2020'!L3-'Tariffs Jan2020'!K3)*('Tariffs Jan2020'!W3/100)*'Tariffs Jan2020'!AJ3))</f>
        <v>0</v>
      </c>
      <c r="M9" s="59">
        <f>IF($C$5*'Tariffs Jan2020'!AL3/'Tariffs Jan2020'!AJ3&lt;'Tariffs Jan2020'!L3,0,IF($C$5*'Tariffs Jan2020'!AL3/'Tariffs Jan2020'!AJ3&lt;='Tariffs Jan2020'!M3,($C$5*'Tariffs Jan2020'!AL3/'Tariffs Jan2020'!AJ3-'Tariffs Jan2020'!L3)*('Tariffs Jan2020'!X3/100)*'Tariffs Jan2020'!AJ3,('Tariffs Jan2020'!M3-'Tariffs Jan2020'!L3)*('Tariffs Jan2020'!X3/100)*'Tariffs Jan2020'!AJ3))</f>
        <v>0</v>
      </c>
      <c r="N9" s="59">
        <f>IF(($C$5*'Tariffs Jan2020'!AL3/'Tariffs Jan2020'!AJ3&gt;'Tariffs Jan2020'!M3),($C$5*'Tariffs Jan2020'!AL3/'Tariffs Jan2020'!AJ3-'Tariffs Jan2020'!M3)*'Tariffs Jan2020'!Y3/100*'Tariffs Jan2020'!AJ3,0)</f>
        <v>202.49999999999994</v>
      </c>
      <c r="O9" s="59">
        <f t="shared" ref="O9:O97" si="0">SUM(E9:N9)</f>
        <v>1115.9999999999998</v>
      </c>
      <c r="P9" s="503">
        <f t="shared" ref="P9:P72" si="1">O9*1.1</f>
        <v>1227.5999999999999</v>
      </c>
      <c r="Q9" s="59">
        <f t="shared" ref="Q9:Q97" si="2">D9+O9</f>
        <v>1367.8499999999997</v>
      </c>
      <c r="R9" s="272">
        <f t="shared" ref="R9:R97" si="3">Q9*1.1</f>
        <v>1504.6349999999998</v>
      </c>
      <c r="S9" s="40">
        <f>'Tariffs Jan2020'!AN3</f>
        <v>0</v>
      </c>
      <c r="T9" s="40">
        <f>'Tariffs Jan2020'!AO3</f>
        <v>0</v>
      </c>
      <c r="U9" s="40">
        <f>'Tariffs Jan2020'!AP3</f>
        <v>0</v>
      </c>
      <c r="V9" s="40">
        <f>'Tariffs Jan2020'!AQ3</f>
        <v>0</v>
      </c>
      <c r="W9" s="284">
        <f>Q9</f>
        <v>1367.8499999999997</v>
      </c>
      <c r="X9" s="284">
        <f>W9</f>
        <v>1367.8499999999997</v>
      </c>
      <c r="Y9" s="507">
        <f>W9*1.1</f>
        <v>1504.6349999999998</v>
      </c>
      <c r="Z9" s="507">
        <f t="shared" ref="Y9:Z43" si="4">X9*1.1</f>
        <v>1504.6349999999998</v>
      </c>
      <c r="AA9" s="274">
        <f>'Tariffs Jan2020'!AZ3</f>
        <v>0</v>
      </c>
      <c r="AB9" s="274" t="str">
        <f>'Tariffs Jan2020'!BA3</f>
        <v>n</v>
      </c>
      <c r="AC9" s="275" t="str">
        <f>'Tariffs Jan2020'!BJ3</f>
        <v>N</v>
      </c>
      <c r="AD9" s="425"/>
      <c r="AE9" s="425"/>
      <c r="AF9" s="427"/>
      <c r="AG9" s="427"/>
      <c r="AH9" s="427"/>
      <c r="AI9" s="427"/>
      <c r="AJ9" s="427"/>
      <c r="AK9" s="427"/>
      <c r="AL9" s="427"/>
      <c r="AM9" s="427"/>
      <c r="AN9" s="427"/>
    </row>
    <row r="10" spans="1:40" ht="14" x14ac:dyDescent="0.15">
      <c r="A10" s="270" t="str">
        <f>'Tariffs Jan2020'!F4</f>
        <v>Click Energy</v>
      </c>
      <c r="B10" s="40" t="str">
        <f>'Tariffs Jan2020'!D4</f>
        <v>Multinet Metro 1</v>
      </c>
      <c r="C10" s="40" t="str">
        <f>'Tariffs Jan2020'!G4</f>
        <v>Hibiscus</v>
      </c>
      <c r="D10" s="59">
        <f>365*'Tariffs Jan2020'!H4/100</f>
        <v>210.93681818181815</v>
      </c>
      <c r="E10" s="59">
        <f>IF($C$5*'Tariffs Jan2020'!AK4/'Tariffs Jan2020'!AI4&gt;='Tariffs Jan2020'!J4,( 'Tariffs Jan2020'!J4*'Tariffs Jan2020'!O4/100)* 'Tariffs Jan2020'!AI4,($C$5*'Tariffs Jan2020'!AK4/'Tariffs Jan2020'!AI4*'Tariffs Jan2020'!O4/100)* 'Tariffs Jan2020'!AI4)</f>
        <v>223.36363636363632</v>
      </c>
      <c r="F10" s="59">
        <f>IF($C$5*'Tariffs Jan2020'!AK4/'Tariffs Jan2020'!AI4&lt;'Tariffs Jan2020'!J4,0,IF($C$5*'Tariffs Jan2020'!AK4/'Tariffs Jan2020'!AI4&lt;='Tariffs Jan2020'!K4,($C$5*'Tariffs Jan2020'!AK4/'Tariffs Jan2020'!AI4-'Tariffs Jan2020'!J4)*('Tariffs Jan2020'!P4/100)*'Tariffs Jan2020'!AI4,('Tariffs Jan2020'!K4-'Tariffs Jan2020'!J4)*('Tariffs Jan2020'!P4/100)*'Tariffs Jan2020'!AI4))</f>
        <v>196.36363636363637</v>
      </c>
      <c r="G10" s="59">
        <f>IF($C$5*'Tariffs Jan2020'!AK4/'Tariffs Jan2020'!AI4&lt;'Tariffs Jan2020'!K4,0,IF($C$5*'Tariffs Jan2020'!AK4/'Tariffs Jan2020'!AI4&lt;='Tariffs Jan2020'!L4,($C$5*'Tariffs Jan2020'!AK4/'Tariffs Jan2020'!AI4-'Tariffs Jan2020'!K4)*('Tariffs Jan2020'!Q4/100)*'Tariffs Jan2020'!AI4,('Tariffs Jan2020'!L4-'Tariffs Jan2020'!K4)*('Tariffs Jan2020'!Q4/100)*'Tariffs Jan2020'!AI4))</f>
        <v>170.18181818181819</v>
      </c>
      <c r="H10" s="59">
        <f>IF($C$5*'Tariffs Jan2020'!AK4/'Tariffs Jan2020'!AI4&lt;'Tariffs Jan2020'!L4,0,IF($C$5*'Tariffs Jan2020'!AK4/'Tariffs Jan2020'!AI4&lt;='Tariffs Jan2020'!M4,($C$5*'Tariffs Jan2020'!AK4/'Tariffs Jan2020'!AI4-'Tariffs Jan2020'!L4)*('Tariffs Jan2020'!R4/100)*'Tariffs Jan2020'!AI4,('Tariffs Jan2020'!M4-'Tariffs Jan2020'!L4)*('Tariffs Jan2020'!R4/100)*'Tariffs Jan2020'!AI4))</f>
        <v>78.136363636363626</v>
      </c>
      <c r="I10" s="59">
        <f>IF(($C$5*'Tariffs Jan2020'!AK4/'Tariffs Jan2020'!AI4&gt;'Tariffs Jan2020'!M4),($C$5*'Tariffs Jan2020'!AK4/'Tariffs Jan2020'!AI4-'Tariffs Jan2020'!M4)*'Tariffs Jan2020'!S4/100*'Tariffs Jan2020'!AI4,0)</f>
        <v>0</v>
      </c>
      <c r="J10" s="59">
        <f>IF($C$5*'Tariffs Jan2020'!AL4/'Tariffs Jan2020'!AJ4&gt;='Tariffs Jan2020'!J4,('Tariffs Jan2020'!J4*'Tariffs Jan2020'!U4/100)* 'Tariffs Jan2020'!AJ4,($C$5*'Tariffs Jan2020'!AL4/'Tariffs Jan2020'!AJ4*'Tariffs Jan2020'!U4/100)* 'Tariffs Jan2020'!AJ4)</f>
        <v>216.81818181818181</v>
      </c>
      <c r="K10" s="59">
        <f>IF($C$5*'Tariffs Jan2020'!AL4/'Tariffs Jan2020'!AJ4&lt;'Tariffs Jan2020'!J4,0,IF($C$5*'Tariffs Jan2020'!AL4/'Tariffs Jan2020'!AJ4&lt;='Tariffs Jan2020'!K4,($C$5*'Tariffs Jan2020'!AL4/'Tariffs Jan2020'!AJ4-'Tariffs Jan2020'!J4)*('Tariffs Jan2020'!V4/100)*'Tariffs Jan2020'!AJ4,('Tariffs Jan2020'!K4-'Tariffs Jan2020'!J4)*('Tariffs Jan2020'!V4/100)*'Tariffs Jan2020'!AJ4))</f>
        <v>193.09090909090907</v>
      </c>
      <c r="L10" s="59">
        <f>IF($C$5*'Tariffs Jan2020'!AL4/'Tariffs Jan2020'!AJ4&lt;'Tariffs Jan2020'!K4,0,IF($C$5*'Tariffs Jan2020'!AL4/'Tariffs Jan2020'!AJ4&lt;='Tariffs Jan2020'!L4,($C$5*'Tariffs Jan2020'!AL4/'Tariffs Jan2020'!AJ4-'Tariffs Jan2020'!K4)*('Tariffs Jan2020'!W4/100)*'Tariffs Jan2020'!AJ4,('Tariffs Jan2020'!L4-'Tariffs Jan2020'!K4)*('Tariffs Jan2020'!W4/100)*'Tariffs Jan2020'!AJ4))</f>
        <v>166.90909090909091</v>
      </c>
      <c r="M10" s="59">
        <f>IF($C$5*'Tariffs Jan2020'!AL4/'Tariffs Jan2020'!AJ4&lt;'Tariffs Jan2020'!L4,0,IF($C$5*'Tariffs Jan2020'!AL4/'Tariffs Jan2020'!AJ4&lt;='Tariffs Jan2020'!M4,($C$5*'Tariffs Jan2020'!AL4/'Tariffs Jan2020'!AJ4-'Tariffs Jan2020'!L4)*('Tariffs Jan2020'!X4/100)*'Tariffs Jan2020'!AJ4,('Tariffs Jan2020'!M4-'Tariffs Jan2020'!L4)*('Tariffs Jan2020'!X4/100)*'Tariffs Jan2020'!AJ4))</f>
        <v>78.136363636363626</v>
      </c>
      <c r="N10" s="59">
        <f>IF(($C$5*'Tariffs Jan2020'!AL4/'Tariffs Jan2020'!AJ4&gt;'Tariffs Jan2020'!M4),($C$5*'Tariffs Jan2020'!AL4/'Tariffs Jan2020'!AJ4-'Tariffs Jan2020'!M4)*'Tariffs Jan2020'!Y4/100*'Tariffs Jan2020'!AJ4,0)</f>
        <v>0</v>
      </c>
      <c r="O10" s="59">
        <f t="shared" si="0"/>
        <v>1323</v>
      </c>
      <c r="P10" s="503">
        <f t="shared" si="1"/>
        <v>1455.3000000000002</v>
      </c>
      <c r="Q10" s="59">
        <f t="shared" si="2"/>
        <v>1533.9368181818181</v>
      </c>
      <c r="R10" s="272">
        <f t="shared" si="3"/>
        <v>1687.3305</v>
      </c>
      <c r="S10" s="40">
        <f>'Tariffs Jan2020'!AN4</f>
        <v>0</v>
      </c>
      <c r="T10" s="40">
        <f>'Tariffs Jan2020'!AO4</f>
        <v>0</v>
      </c>
      <c r="U10" s="40">
        <f>'Tariffs Jan2020'!AP4</f>
        <v>0</v>
      </c>
      <c r="V10" s="40">
        <f>'Tariffs Jan2020'!AQ4</f>
        <v>0</v>
      </c>
      <c r="W10" s="284">
        <f>Q10</f>
        <v>1533.9368181818181</v>
      </c>
      <c r="X10" s="284">
        <f>W10</f>
        <v>1533.9368181818181</v>
      </c>
      <c r="Y10" s="507">
        <f t="shared" si="4"/>
        <v>1687.3305</v>
      </c>
      <c r="Z10" s="507">
        <f t="shared" si="4"/>
        <v>1687.3305</v>
      </c>
      <c r="AA10" s="274">
        <f>'Tariffs Jan2020'!AZ4</f>
        <v>0</v>
      </c>
      <c r="AB10" s="274" t="str">
        <f>'Tariffs Jan2020'!BA4</f>
        <v>n</v>
      </c>
      <c r="AC10" s="275" t="str">
        <f>'Tariffs Jan2020'!BJ4</f>
        <v>N</v>
      </c>
      <c r="AD10" s="425"/>
      <c r="AE10" s="425"/>
      <c r="AF10" s="427"/>
      <c r="AG10" s="427"/>
      <c r="AH10" s="427"/>
      <c r="AI10" s="427"/>
      <c r="AJ10" s="427"/>
      <c r="AK10" s="427"/>
      <c r="AL10" s="427"/>
      <c r="AM10" s="427"/>
      <c r="AN10" s="427"/>
    </row>
    <row r="11" spans="1:40" ht="14" x14ac:dyDescent="0.15">
      <c r="A11" s="270" t="str">
        <f>'Tariffs Jan2020'!F5</f>
        <v>Covau</v>
      </c>
      <c r="B11" s="40" t="str">
        <f>'Tariffs Jan2020'!D5</f>
        <v>Multinet Metro 1</v>
      </c>
      <c r="C11" s="40" t="str">
        <f>'Tariffs Jan2020'!G5</f>
        <v>Smart Saver</v>
      </c>
      <c r="D11" s="59">
        <f>365*'Tariffs Jan2020'!H5/100</f>
        <v>284.7</v>
      </c>
      <c r="E11" s="59">
        <f>IF($C$5*'Tariffs Jan2020'!AK5/'Tariffs Jan2020'!AI5&gt;='Tariffs Jan2020'!J5,( 'Tariffs Jan2020'!J5*'Tariffs Jan2020'!O5/100)* 'Tariffs Jan2020'!AI5,($C$5*'Tariffs Jan2020'!AK5/'Tariffs Jan2020'!AI5*'Tariffs Jan2020'!O5/100)* 'Tariffs Jan2020'!AI5)</f>
        <v>261</v>
      </c>
      <c r="F11" s="59">
        <f>IF($C$5*'Tariffs Jan2020'!AK5/'Tariffs Jan2020'!AI5&lt;'Tariffs Jan2020'!J5,0,IF($C$5*'Tariffs Jan2020'!AK5/'Tariffs Jan2020'!AI5&lt;='Tariffs Jan2020'!K5,($C$5*'Tariffs Jan2020'!AK5/'Tariffs Jan2020'!AI5-'Tariffs Jan2020'!J5)*('Tariffs Jan2020'!P5/100)*'Tariffs Jan2020'!AI5,('Tariffs Jan2020'!K5-'Tariffs Jan2020'!J5)*('Tariffs Jan2020'!P5/100)*'Tariffs Jan2020'!AI5))</f>
        <v>234.81818181818181</v>
      </c>
      <c r="G11" s="59">
        <f>IF($C$5*'Tariffs Jan2020'!AK5/'Tariffs Jan2020'!AI5&lt;'Tariffs Jan2020'!K5,0,IF($C$5*'Tariffs Jan2020'!AK5/'Tariffs Jan2020'!AI5&lt;='Tariffs Jan2020'!L5,($C$5*'Tariffs Jan2020'!AK5/'Tariffs Jan2020'!AI5-'Tariffs Jan2020'!K5)*('Tariffs Jan2020'!Q5/100)*'Tariffs Jan2020'!AI5,('Tariffs Jan2020'!L5-'Tariffs Jan2020'!K5)*('Tariffs Jan2020'!Q5/100)*'Tariffs Jan2020'!AI5))</f>
        <v>216</v>
      </c>
      <c r="H11" s="59">
        <f>IF($C$5*'Tariffs Jan2020'!AK5/'Tariffs Jan2020'!AI5&lt;'Tariffs Jan2020'!L5,0,IF($C$5*'Tariffs Jan2020'!AK5/'Tariffs Jan2020'!AI5&lt;='Tariffs Jan2020'!M5,($C$5*'Tariffs Jan2020'!AK5/'Tariffs Jan2020'!AI5-'Tariffs Jan2020'!L5)*('Tariffs Jan2020'!R5/100)*'Tariffs Jan2020'!AI5,('Tariffs Jan2020'!M5-'Tariffs Jan2020'!L5)*('Tariffs Jan2020'!R5/100)*'Tariffs Jan2020'!AI5))</f>
        <v>99</v>
      </c>
      <c r="I11" s="59">
        <f>IF(($C$5*'Tariffs Jan2020'!AK5/'Tariffs Jan2020'!AI5&gt;'Tariffs Jan2020'!M5),($C$5*'Tariffs Jan2020'!AK5/'Tariffs Jan2020'!AI5-'Tariffs Jan2020'!M5)*'Tariffs Jan2020'!S5/100*'Tariffs Jan2020'!AI5,0)</f>
        <v>0</v>
      </c>
      <c r="J11" s="59">
        <f>IF($C$5*'Tariffs Jan2020'!AL5/'Tariffs Jan2020'!AJ5&gt;='Tariffs Jan2020'!J5,('Tariffs Jan2020'!J5*'Tariffs Jan2020'!U5/100)* 'Tariffs Jan2020'!AJ5,($C$5*'Tariffs Jan2020'!AL5/'Tariffs Jan2020'!AJ5*'Tariffs Jan2020'!U5/100)* 'Tariffs Jan2020'!AJ5)</f>
        <v>243.00000000000006</v>
      </c>
      <c r="K11" s="59">
        <f>IF($C$5*'Tariffs Jan2020'!AL5/'Tariffs Jan2020'!AJ5&lt;'Tariffs Jan2020'!J5,0,IF($C$5*'Tariffs Jan2020'!AL5/'Tariffs Jan2020'!AJ5&lt;='Tariffs Jan2020'!K5,($C$5*'Tariffs Jan2020'!AL5/'Tariffs Jan2020'!AJ5-'Tariffs Jan2020'!J5)*('Tariffs Jan2020'!V5/100)*'Tariffs Jan2020'!AJ5,('Tariffs Jan2020'!K5-'Tariffs Jan2020'!J5)*('Tariffs Jan2020'!V5/100)*'Tariffs Jan2020'!AJ5))</f>
        <v>228.27272727272728</v>
      </c>
      <c r="L11" s="59">
        <f>IF($C$5*'Tariffs Jan2020'!AL5/'Tariffs Jan2020'!AJ5&lt;'Tariffs Jan2020'!K5,0,IF($C$5*'Tariffs Jan2020'!AL5/'Tariffs Jan2020'!AJ5&lt;='Tariffs Jan2020'!L5,($C$5*'Tariffs Jan2020'!AL5/'Tariffs Jan2020'!AJ5-'Tariffs Jan2020'!K5)*('Tariffs Jan2020'!W5/100)*'Tariffs Jan2020'!AJ5,('Tariffs Jan2020'!L5-'Tariffs Jan2020'!K5)*('Tariffs Jan2020'!W5/100)*'Tariffs Jan2020'!AJ5))</f>
        <v>189.00000000000003</v>
      </c>
      <c r="M11" s="59">
        <f>IF($C$5*'Tariffs Jan2020'!AL5/'Tariffs Jan2020'!AJ5&lt;'Tariffs Jan2020'!L5,0,IF($C$5*'Tariffs Jan2020'!AL5/'Tariffs Jan2020'!AJ5&lt;='Tariffs Jan2020'!M5,($C$5*'Tariffs Jan2020'!AL5/'Tariffs Jan2020'!AJ5-'Tariffs Jan2020'!L5)*('Tariffs Jan2020'!X5/100)*'Tariffs Jan2020'!AJ5,('Tariffs Jan2020'!M5-'Tariffs Jan2020'!L5)*('Tariffs Jan2020'!X5/100)*'Tariffs Jan2020'!AJ5))</f>
        <v>85.499999999999972</v>
      </c>
      <c r="N11" s="59">
        <f>IF(($C$5*'Tariffs Jan2020'!AL5/'Tariffs Jan2020'!AJ5&gt;'Tariffs Jan2020'!M5),($C$5*'Tariffs Jan2020'!AL5/'Tariffs Jan2020'!AJ5-'Tariffs Jan2020'!M5)*'Tariffs Jan2020'!Y5/100*'Tariffs Jan2020'!AJ5,0)</f>
        <v>0</v>
      </c>
      <c r="O11" s="59">
        <f t="shared" si="0"/>
        <v>1556.590909090909</v>
      </c>
      <c r="P11" s="503">
        <f t="shared" si="1"/>
        <v>1712.25</v>
      </c>
      <c r="Q11" s="59">
        <f t="shared" si="2"/>
        <v>1841.2909090909091</v>
      </c>
      <c r="R11" s="272">
        <f t="shared" si="3"/>
        <v>2025.42</v>
      </c>
      <c r="S11" s="40">
        <f>'Tariffs Jan2020'!AN5</f>
        <v>0</v>
      </c>
      <c r="T11" s="40">
        <f>'Tariffs Jan2020'!AO5</f>
        <v>16</v>
      </c>
      <c r="U11" s="40">
        <f>'Tariffs Jan2020'!AP5</f>
        <v>0</v>
      </c>
      <c r="V11" s="40">
        <f>'Tariffs Jan2020'!AQ5</f>
        <v>0</v>
      </c>
      <c r="W11" s="284">
        <f>Q11-(O11*T11/100)</f>
        <v>1592.2363636363636</v>
      </c>
      <c r="X11" s="284">
        <f>W11</f>
        <v>1592.2363636363636</v>
      </c>
      <c r="Y11" s="507">
        <f t="shared" si="4"/>
        <v>1751.4600000000003</v>
      </c>
      <c r="Z11" s="507">
        <f t="shared" si="4"/>
        <v>1751.4600000000003</v>
      </c>
      <c r="AA11" s="274">
        <f>'Tariffs Jan2020'!AZ5</f>
        <v>0</v>
      </c>
      <c r="AB11" s="274" t="str">
        <f>'Tariffs Jan2020'!BA5</f>
        <v>n</v>
      </c>
      <c r="AC11" s="275" t="str">
        <f>'Tariffs Jan2020'!BJ5</f>
        <v>N</v>
      </c>
      <c r="AD11" s="425"/>
      <c r="AE11" s="425"/>
      <c r="AF11" s="427"/>
      <c r="AG11" s="427"/>
      <c r="AH11" s="427"/>
      <c r="AI11" s="427"/>
      <c r="AJ11" s="427"/>
      <c r="AK11" s="427"/>
      <c r="AL11" s="427"/>
      <c r="AM11" s="427"/>
      <c r="AN11" s="427"/>
    </row>
    <row r="12" spans="1:40" ht="14" x14ac:dyDescent="0.15">
      <c r="A12" s="270" t="str">
        <f>'Tariffs Jan2020'!F6</f>
        <v>Dodo Power &amp; Gas</v>
      </c>
      <c r="B12" s="40" t="str">
        <f>'Tariffs Jan2020'!D6</f>
        <v>Multinet Metro 1</v>
      </c>
      <c r="C12" s="40" t="str">
        <f>'Tariffs Jan2020'!G6</f>
        <v>Market offer</v>
      </c>
      <c r="D12" s="59">
        <f>365*'Tariffs Jan2020'!H6/100</f>
        <v>220.2775</v>
      </c>
      <c r="E12" s="59">
        <f>IF($C$5*'Tariffs Jan2020'!AK6/'Tariffs Jan2020'!AI6&gt;='Tariffs Jan2020'!J6,( 'Tariffs Jan2020'!J6*'Tariffs Jan2020'!O6/100)* 'Tariffs Jan2020'!AI6,($C$5*'Tariffs Jan2020'!AK6/'Tariffs Jan2020'!AI6*'Tariffs Jan2020'!O6/100)* 'Tariffs Jan2020'!AI6)</f>
        <v>225</v>
      </c>
      <c r="F12" s="59">
        <f>IF($C$5*'Tariffs Jan2020'!AK6/'Tariffs Jan2020'!AI6&lt;'Tariffs Jan2020'!J6,0,IF($C$5*'Tariffs Jan2020'!AK6/'Tariffs Jan2020'!AI6&lt;='Tariffs Jan2020'!K6,($C$5*'Tariffs Jan2020'!AK6/'Tariffs Jan2020'!AI6-'Tariffs Jan2020'!J6)*('Tariffs Jan2020'!P6/100)*'Tariffs Jan2020'!AI6,('Tariffs Jan2020'!K6-'Tariffs Jan2020'!J6)*('Tariffs Jan2020'!P6/100)*'Tariffs Jan2020'!AI6))</f>
        <v>198</v>
      </c>
      <c r="G12" s="59">
        <f>IF($C$5*'Tariffs Jan2020'!AK6/'Tariffs Jan2020'!AI6&lt;'Tariffs Jan2020'!K6,0,IF($C$5*'Tariffs Jan2020'!AK6/'Tariffs Jan2020'!AI6&lt;='Tariffs Jan2020'!L6,($C$5*'Tariffs Jan2020'!AK6/'Tariffs Jan2020'!AI6-'Tariffs Jan2020'!K6)*('Tariffs Jan2020'!Q6/100)*'Tariffs Jan2020'!AI6,('Tariffs Jan2020'!L6-'Tariffs Jan2020'!K6)*('Tariffs Jan2020'!Q6/100)*'Tariffs Jan2020'!AI6))</f>
        <v>166.50000000000003</v>
      </c>
      <c r="H12" s="59">
        <f>IF($C$5*'Tariffs Jan2020'!AK6/'Tariffs Jan2020'!AI6&lt;'Tariffs Jan2020'!L6,0,IF($C$5*'Tariffs Jan2020'!AK6/'Tariffs Jan2020'!AI6&lt;='Tariffs Jan2020'!M6,($C$5*'Tariffs Jan2020'!AK6/'Tariffs Jan2020'!AI6-'Tariffs Jan2020'!L6)*('Tariffs Jan2020'!R6/100)*'Tariffs Jan2020'!AI6,('Tariffs Jan2020'!M6-'Tariffs Jan2020'!L6)*('Tariffs Jan2020'!R6/100)*'Tariffs Jan2020'!AI6))</f>
        <v>81.000000000000014</v>
      </c>
      <c r="I12" s="59">
        <f>IF(($C$5*'Tariffs Jan2020'!AK6/'Tariffs Jan2020'!AI6&gt;'Tariffs Jan2020'!M6),($C$5*'Tariffs Jan2020'!AK6/'Tariffs Jan2020'!AI6-'Tariffs Jan2020'!M6)*'Tariffs Jan2020'!S6/100*'Tariffs Jan2020'!AI6,0)</f>
        <v>0</v>
      </c>
      <c r="J12" s="59">
        <f>IF($C$5*'Tariffs Jan2020'!AL6/'Tariffs Jan2020'!AJ6&gt;='Tariffs Jan2020'!J6,('Tariffs Jan2020'!J6*'Tariffs Jan2020'!U6/100)* 'Tariffs Jan2020'!AJ6,($C$5*'Tariffs Jan2020'!AL6/'Tariffs Jan2020'!AJ6*'Tariffs Jan2020'!U6/100)* 'Tariffs Jan2020'!AJ6)</f>
        <v>211.5</v>
      </c>
      <c r="K12" s="59">
        <f>IF($C$5*'Tariffs Jan2020'!AL6/'Tariffs Jan2020'!AJ6&lt;'Tariffs Jan2020'!J6,0,IF($C$5*'Tariffs Jan2020'!AL6/'Tariffs Jan2020'!AJ6&lt;='Tariffs Jan2020'!K6,($C$5*'Tariffs Jan2020'!AL6/'Tariffs Jan2020'!AJ6-'Tariffs Jan2020'!J6)*('Tariffs Jan2020'!V6/100)*'Tariffs Jan2020'!AJ6,('Tariffs Jan2020'!K6-'Tariffs Jan2020'!J6)*('Tariffs Jan2020'!V6/100)*'Tariffs Jan2020'!AJ6))</f>
        <v>189.00000000000003</v>
      </c>
      <c r="L12" s="59">
        <f>IF($C$5*'Tariffs Jan2020'!AL6/'Tariffs Jan2020'!AJ6&lt;'Tariffs Jan2020'!K6,0,IF($C$5*'Tariffs Jan2020'!AL6/'Tariffs Jan2020'!AJ6&lt;='Tariffs Jan2020'!L6,($C$5*'Tariffs Jan2020'!AL6/'Tariffs Jan2020'!AJ6-'Tariffs Jan2020'!K6)*('Tariffs Jan2020'!W6/100)*'Tariffs Jan2020'!AJ6,('Tariffs Jan2020'!L6-'Tariffs Jan2020'!K6)*('Tariffs Jan2020'!W6/100)*'Tariffs Jan2020'!AJ6))</f>
        <v>166.50000000000003</v>
      </c>
      <c r="M12" s="59">
        <f>IF($C$5*'Tariffs Jan2020'!AL6/'Tariffs Jan2020'!AJ6&lt;'Tariffs Jan2020'!L6,0,IF($C$5*'Tariffs Jan2020'!AL6/'Tariffs Jan2020'!AJ6&lt;='Tariffs Jan2020'!M6,($C$5*'Tariffs Jan2020'!AL6/'Tariffs Jan2020'!AJ6-'Tariffs Jan2020'!L6)*('Tariffs Jan2020'!X6/100)*'Tariffs Jan2020'!AJ6,('Tariffs Jan2020'!M6-'Tariffs Jan2020'!L6)*('Tariffs Jan2020'!X6/100)*'Tariffs Jan2020'!AJ6))</f>
        <v>81.000000000000014</v>
      </c>
      <c r="N12" s="59">
        <f>IF(($C$5*'Tariffs Jan2020'!AL6/'Tariffs Jan2020'!AJ6&gt;'Tariffs Jan2020'!M6),($C$5*'Tariffs Jan2020'!AL6/'Tariffs Jan2020'!AJ6-'Tariffs Jan2020'!M6)*'Tariffs Jan2020'!Y6/100*'Tariffs Jan2020'!AJ6,0)</f>
        <v>0</v>
      </c>
      <c r="O12" s="59">
        <f t="shared" si="0"/>
        <v>1318.5</v>
      </c>
      <c r="P12" s="503">
        <f t="shared" si="1"/>
        <v>1450.3500000000001</v>
      </c>
      <c r="Q12" s="59">
        <f t="shared" si="2"/>
        <v>1538.7774999999999</v>
      </c>
      <c r="R12" s="272">
        <f t="shared" si="3"/>
        <v>1692.65525</v>
      </c>
      <c r="S12" s="40">
        <f>'Tariffs Jan2020'!AN6</f>
        <v>0</v>
      </c>
      <c r="T12" s="40">
        <f>'Tariffs Jan2020'!AO6</f>
        <v>0</v>
      </c>
      <c r="U12" s="40">
        <f>'Tariffs Jan2020'!AP6</f>
        <v>0</v>
      </c>
      <c r="V12" s="40">
        <f>'Tariffs Jan2020'!AQ6</f>
        <v>20</v>
      </c>
      <c r="W12" s="284">
        <f>Q12</f>
        <v>1538.7774999999999</v>
      </c>
      <c r="X12" s="284">
        <f>W12-(O12*V12/100)</f>
        <v>1275.0774999999999</v>
      </c>
      <c r="Y12" s="507">
        <f t="shared" si="4"/>
        <v>1692.65525</v>
      </c>
      <c r="Z12" s="507">
        <f t="shared" si="4"/>
        <v>1402.5852499999999</v>
      </c>
      <c r="AA12" s="274">
        <f>'Tariffs Jan2020'!AZ6</f>
        <v>0</v>
      </c>
      <c r="AB12" s="274" t="str">
        <f>'Tariffs Jan2020'!BA6</f>
        <v>n</v>
      </c>
      <c r="AC12" s="275" t="str">
        <f>'Tariffs Jan2020'!BJ6</f>
        <v>N</v>
      </c>
      <c r="AD12" s="425"/>
      <c r="AE12" s="425"/>
      <c r="AF12" s="427"/>
      <c r="AG12" s="427"/>
      <c r="AH12" s="427"/>
      <c r="AI12" s="427"/>
      <c r="AJ12" s="427"/>
      <c r="AK12" s="427"/>
      <c r="AL12" s="427"/>
      <c r="AM12" s="427"/>
      <c r="AN12" s="427"/>
    </row>
    <row r="13" spans="1:40" ht="14" x14ac:dyDescent="0.15">
      <c r="A13" s="270" t="str">
        <f>'Tariffs Jan2020'!F7</f>
        <v>EnergyAustralia</v>
      </c>
      <c r="B13" s="40" t="str">
        <f>'Tariffs Jan2020'!D7</f>
        <v>Multinet Metro 1</v>
      </c>
      <c r="C13" s="40" t="str">
        <f>'Tariffs Jan2020'!G7</f>
        <v>Total Plan</v>
      </c>
      <c r="D13" s="59">
        <f>365*'Tariffs Jan2020'!H7/100</f>
        <v>291.27</v>
      </c>
      <c r="E13" s="59">
        <f>IF($C$5*'Tariffs Jan2020'!AK7/'Tariffs Jan2020'!AI7&gt;='Tariffs Jan2020'!J7,( 'Tariffs Jan2020'!J7*'Tariffs Jan2020'!O7/100)* 'Tariffs Jan2020'!AI7,($C$5*'Tariffs Jan2020'!AK7/'Tariffs Jan2020'!AI7*'Tariffs Jan2020'!O7/100)* 'Tariffs Jan2020'!AI7)</f>
        <v>471.2727272727272</v>
      </c>
      <c r="F13" s="59">
        <f>IF($C$5*'Tariffs Jan2020'!AK7/'Tariffs Jan2020'!AI7&lt;'Tariffs Jan2020'!J7,0,IF($C$5*'Tariffs Jan2020'!AK7/'Tariffs Jan2020'!AI7&lt;='Tariffs Jan2020'!K7,($C$5*'Tariffs Jan2020'!AK7/'Tariffs Jan2020'!AI7-'Tariffs Jan2020'!J7)*('Tariffs Jan2020'!P7/100)*'Tariffs Jan2020'!AI7,('Tariffs Jan2020'!K7-'Tariffs Jan2020'!J7)*('Tariffs Jan2020'!P7/100)*'Tariffs Jan2020'!AI7))</f>
        <v>0</v>
      </c>
      <c r="G13" s="59">
        <f>IF($C$5*'Tariffs Jan2020'!AK7/'Tariffs Jan2020'!AI7&lt;'Tariffs Jan2020'!K7,0,IF($C$5*'Tariffs Jan2020'!AK7/'Tariffs Jan2020'!AI7&lt;='Tariffs Jan2020'!L7,($C$5*'Tariffs Jan2020'!AK7/'Tariffs Jan2020'!AI7-'Tariffs Jan2020'!K7)*('Tariffs Jan2020'!Q7/100)*'Tariffs Jan2020'!AI7,('Tariffs Jan2020'!L7-'Tariffs Jan2020'!K7)*('Tariffs Jan2020'!Q7/100)*'Tariffs Jan2020'!AI7))</f>
        <v>0</v>
      </c>
      <c r="H13" s="59">
        <f>IF($C$5*'Tariffs Jan2020'!AK7/'Tariffs Jan2020'!AI7&lt;'Tariffs Jan2020'!L7,0,IF($C$5*'Tariffs Jan2020'!AK7/'Tariffs Jan2020'!AI7&lt;='Tariffs Jan2020'!M7,($C$5*'Tariffs Jan2020'!AK7/'Tariffs Jan2020'!AI7-'Tariffs Jan2020'!L7)*('Tariffs Jan2020'!R7/100)*'Tariffs Jan2020'!AI7,('Tariffs Jan2020'!M7-'Tariffs Jan2020'!L7)*('Tariffs Jan2020'!R7/100)*'Tariffs Jan2020'!AI7))</f>
        <v>0</v>
      </c>
      <c r="I13" s="59">
        <f>IF(($C$5*'Tariffs Jan2020'!AK7/'Tariffs Jan2020'!AI7&gt;'Tariffs Jan2020'!M7),($C$5*'Tariffs Jan2020'!AK7/'Tariffs Jan2020'!AI7-'Tariffs Jan2020'!M7)*'Tariffs Jan2020'!S7/100*'Tariffs Jan2020'!AI7,0)</f>
        <v>255.27272727272725</v>
      </c>
      <c r="J13" s="59">
        <f>IF($C$5*'Tariffs Jan2020'!AL7/'Tariffs Jan2020'!AJ7&gt;='Tariffs Jan2020'!J7,('Tariffs Jan2020'!J7*'Tariffs Jan2020'!U7/100)* 'Tariffs Jan2020'!AJ7,($C$5*'Tariffs Jan2020'!AL7/'Tariffs Jan2020'!AJ7*'Tariffs Jan2020'!U7/100)* 'Tariffs Jan2020'!AJ7)</f>
        <v>471.2727272727272</v>
      </c>
      <c r="K13" s="59">
        <f>IF($C$5*'Tariffs Jan2020'!AL7/'Tariffs Jan2020'!AJ7&lt;'Tariffs Jan2020'!J7,0,IF($C$5*'Tariffs Jan2020'!AL7/'Tariffs Jan2020'!AJ7&lt;='Tariffs Jan2020'!K7,($C$5*'Tariffs Jan2020'!AL7/'Tariffs Jan2020'!AJ7-'Tariffs Jan2020'!J7)*('Tariffs Jan2020'!V7/100)*'Tariffs Jan2020'!AJ7,('Tariffs Jan2020'!K7-'Tariffs Jan2020'!J7)*('Tariffs Jan2020'!V7/100)*'Tariffs Jan2020'!AJ7))</f>
        <v>0</v>
      </c>
      <c r="L13" s="59">
        <f>IF($C$5*'Tariffs Jan2020'!AL7/'Tariffs Jan2020'!AJ7&lt;'Tariffs Jan2020'!K7,0,IF($C$5*'Tariffs Jan2020'!AL7/'Tariffs Jan2020'!AJ7&lt;='Tariffs Jan2020'!L7,($C$5*'Tariffs Jan2020'!AL7/'Tariffs Jan2020'!AJ7-'Tariffs Jan2020'!K7)*('Tariffs Jan2020'!W7/100)*'Tariffs Jan2020'!AJ7,('Tariffs Jan2020'!L7-'Tariffs Jan2020'!K7)*('Tariffs Jan2020'!W7/100)*'Tariffs Jan2020'!AJ7))</f>
        <v>0</v>
      </c>
      <c r="M13" s="59">
        <f>IF($C$5*'Tariffs Jan2020'!AL7/'Tariffs Jan2020'!AJ7&lt;'Tariffs Jan2020'!L7,0,IF($C$5*'Tariffs Jan2020'!AL7/'Tariffs Jan2020'!AJ7&lt;='Tariffs Jan2020'!M7,($C$5*'Tariffs Jan2020'!AL7/'Tariffs Jan2020'!AJ7-'Tariffs Jan2020'!L7)*('Tariffs Jan2020'!X7/100)*'Tariffs Jan2020'!AJ7,('Tariffs Jan2020'!M7-'Tariffs Jan2020'!L7)*('Tariffs Jan2020'!X7/100)*'Tariffs Jan2020'!AJ7))</f>
        <v>0</v>
      </c>
      <c r="N13" s="59">
        <f>IF(($C$5*'Tariffs Jan2020'!AL7/'Tariffs Jan2020'!AJ7&gt;'Tariffs Jan2020'!M7),($C$5*'Tariffs Jan2020'!AL7/'Tariffs Jan2020'!AJ7-'Tariffs Jan2020'!M7)*'Tariffs Jan2020'!Y7/100*'Tariffs Jan2020'!AJ7,0)</f>
        <v>255.27272727272725</v>
      </c>
      <c r="O13" s="59">
        <f>SUM(E13:N13)</f>
        <v>1453.090909090909</v>
      </c>
      <c r="P13" s="503">
        <f t="shared" si="1"/>
        <v>1598.4</v>
      </c>
      <c r="Q13" s="59">
        <f>D13+O13</f>
        <v>1744.360909090909</v>
      </c>
      <c r="R13" s="272">
        <f t="shared" si="3"/>
        <v>1918.797</v>
      </c>
      <c r="S13" s="40">
        <f>'Tariffs Jan2020'!AN7</f>
        <v>23</v>
      </c>
      <c r="T13" s="40">
        <f>'Tariffs Jan2020'!AO7</f>
        <v>0</v>
      </c>
      <c r="U13" s="40">
        <f>'Tariffs Jan2020'!AP7</f>
        <v>0</v>
      </c>
      <c r="V13" s="40">
        <f>'Tariffs Jan2020'!AQ7</f>
        <v>0</v>
      </c>
      <c r="W13" s="284">
        <f>Q13-(Q13*S13/100)</f>
        <v>1343.1578999999999</v>
      </c>
      <c r="X13" s="284">
        <f>W13</f>
        <v>1343.1578999999999</v>
      </c>
      <c r="Y13" s="507">
        <f t="shared" si="4"/>
        <v>1477.47369</v>
      </c>
      <c r="Z13" s="507">
        <f t="shared" si="4"/>
        <v>1477.47369</v>
      </c>
      <c r="AA13" s="274">
        <f>'Tariffs Jan2020'!AZ7</f>
        <v>12</v>
      </c>
      <c r="AB13" s="274" t="str">
        <f>'Tariffs Jan2020'!BA7</f>
        <v>n</v>
      </c>
      <c r="AC13" s="275" t="str">
        <f>'Tariffs Jan2020'!BJ7</f>
        <v>N</v>
      </c>
      <c r="AD13" s="425"/>
      <c r="AE13" s="425"/>
      <c r="AF13" s="427"/>
      <c r="AG13" s="427"/>
      <c r="AH13" s="427"/>
      <c r="AI13" s="427"/>
      <c r="AJ13" s="427"/>
      <c r="AK13" s="427"/>
      <c r="AL13" s="427"/>
      <c r="AM13" s="427"/>
      <c r="AN13" s="427"/>
    </row>
    <row r="14" spans="1:40" ht="14" x14ac:dyDescent="0.15">
      <c r="A14" s="270" t="str">
        <f>'Tariffs Jan2020'!F8</f>
        <v>Lumo Energy</v>
      </c>
      <c r="B14" s="40" t="str">
        <f>'Tariffs Jan2020'!D8</f>
        <v>Multinet Metro 1</v>
      </c>
      <c r="C14" s="40" t="str">
        <f>'Tariffs Jan2020'!G8</f>
        <v>Value</v>
      </c>
      <c r="D14" s="59">
        <f>365*'Tariffs Jan2020'!H8/100</f>
        <v>237.25</v>
      </c>
      <c r="E14" s="59">
        <f>IF($C$5*'Tariffs Jan2020'!AK8/'Tariffs Jan2020'!AI8&gt;='Tariffs Jan2020'!J8,( 'Tariffs Jan2020'!J8*'Tariffs Jan2020'!O8/100)* 'Tariffs Jan2020'!AI8,($C$5*'Tariffs Jan2020'!AK8/'Tariffs Jan2020'!AI8*'Tariffs Jan2020'!O8/100)* 'Tariffs Jan2020'!AI8)</f>
        <v>189</v>
      </c>
      <c r="F14" s="59">
        <f>IF($C$5*'Tariffs Jan2020'!AK8/'Tariffs Jan2020'!AI8&lt;'Tariffs Jan2020'!J8,0,IF($C$5*'Tariffs Jan2020'!AK8/'Tariffs Jan2020'!AI8&lt;='Tariffs Jan2020'!K8,($C$5*'Tariffs Jan2020'!AK8/'Tariffs Jan2020'!AI8-'Tariffs Jan2020'!J8)*('Tariffs Jan2020'!P8/100)*'Tariffs Jan2020'!AI8,('Tariffs Jan2020'!K8-'Tariffs Jan2020'!J8)*('Tariffs Jan2020'!P8/100)*'Tariffs Jan2020'!AI8))</f>
        <v>175.5</v>
      </c>
      <c r="G14" s="59">
        <f>IF($C$5*'Tariffs Jan2020'!AK8/'Tariffs Jan2020'!AI8&lt;'Tariffs Jan2020'!K8,0,IF($C$5*'Tariffs Jan2020'!AK8/'Tariffs Jan2020'!AI8&lt;='Tariffs Jan2020'!L8,($C$5*'Tariffs Jan2020'!AK8/'Tariffs Jan2020'!AI8-'Tariffs Jan2020'!K8)*('Tariffs Jan2020'!Q8/100)*'Tariffs Jan2020'!AI8,('Tariffs Jan2020'!L8-'Tariffs Jan2020'!K8)*('Tariffs Jan2020'!Q8/100)*'Tariffs Jan2020'!AI8))</f>
        <v>152.1</v>
      </c>
      <c r="H14" s="59">
        <f>IF($C$5*'Tariffs Jan2020'!AK8/'Tariffs Jan2020'!AI8&lt;'Tariffs Jan2020'!L8,0,IF($C$5*'Tariffs Jan2020'!AK8/'Tariffs Jan2020'!AI8&lt;='Tariffs Jan2020'!M8,($C$5*'Tariffs Jan2020'!AK8/'Tariffs Jan2020'!AI8-'Tariffs Jan2020'!L8)*('Tariffs Jan2020'!R8/100)*'Tariffs Jan2020'!AI8,('Tariffs Jan2020'!M8-'Tariffs Jan2020'!L8)*('Tariffs Jan2020'!R8/100)*'Tariffs Jan2020'!AI8))</f>
        <v>69.75</v>
      </c>
      <c r="I14" s="59">
        <f>IF(($C$5*'Tariffs Jan2020'!AK8/'Tariffs Jan2020'!AI8&gt;'Tariffs Jan2020'!M8),($C$5*'Tariffs Jan2020'!AK8/'Tariffs Jan2020'!AI8-'Tariffs Jan2020'!M8)*'Tariffs Jan2020'!S8/100*'Tariffs Jan2020'!AI8,0)</f>
        <v>0</v>
      </c>
      <c r="J14" s="59">
        <f>IF($C$5*'Tariffs Jan2020'!AL8/'Tariffs Jan2020'!AJ8&gt;='Tariffs Jan2020'!J8,('Tariffs Jan2020'!J8*'Tariffs Jan2020'!U8/100)* 'Tariffs Jan2020'!AJ8,($C$5*'Tariffs Jan2020'!AL8/'Tariffs Jan2020'!AJ8*'Tariffs Jan2020'!U8/100)* 'Tariffs Jan2020'!AJ8)</f>
        <v>180</v>
      </c>
      <c r="K14" s="59">
        <f>IF($C$5*'Tariffs Jan2020'!AL8/'Tariffs Jan2020'!AJ8&lt;'Tariffs Jan2020'!J8,0,IF($C$5*'Tariffs Jan2020'!AL8/'Tariffs Jan2020'!AJ8&lt;='Tariffs Jan2020'!K8,($C$5*'Tariffs Jan2020'!AL8/'Tariffs Jan2020'!AJ8-'Tariffs Jan2020'!J8)*('Tariffs Jan2020'!V8/100)*'Tariffs Jan2020'!AJ8,('Tariffs Jan2020'!K8-'Tariffs Jan2020'!J8)*('Tariffs Jan2020'!V8/100)*'Tariffs Jan2020'!AJ8))</f>
        <v>165.60000000000002</v>
      </c>
      <c r="L14" s="59">
        <f>IF($C$5*'Tariffs Jan2020'!AL8/'Tariffs Jan2020'!AJ8&lt;'Tariffs Jan2020'!K8,0,IF($C$5*'Tariffs Jan2020'!AL8/'Tariffs Jan2020'!AJ8&lt;='Tariffs Jan2020'!L8,($C$5*'Tariffs Jan2020'!AL8/'Tariffs Jan2020'!AJ8-'Tariffs Jan2020'!K8)*('Tariffs Jan2020'!W8/100)*'Tariffs Jan2020'!AJ8,('Tariffs Jan2020'!L8-'Tariffs Jan2020'!K8)*('Tariffs Jan2020'!W8/100)*'Tariffs Jan2020'!AJ8))</f>
        <v>145.80000000000001</v>
      </c>
      <c r="M14" s="59">
        <f>IF($C$5*'Tariffs Jan2020'!AL8/'Tariffs Jan2020'!AJ8&lt;'Tariffs Jan2020'!L8,0,IF($C$5*'Tariffs Jan2020'!AL8/'Tariffs Jan2020'!AJ8&lt;='Tariffs Jan2020'!M8,($C$5*'Tariffs Jan2020'!AL8/'Tariffs Jan2020'!AJ8-'Tariffs Jan2020'!L8)*('Tariffs Jan2020'!X8/100)*'Tariffs Jan2020'!AJ8,('Tariffs Jan2020'!M8-'Tariffs Jan2020'!L8)*('Tariffs Jan2020'!X8/100)*'Tariffs Jan2020'!AJ8))</f>
        <v>69.300000000000011</v>
      </c>
      <c r="N14" s="59">
        <f>IF(($C$5*'Tariffs Jan2020'!AL8/'Tariffs Jan2020'!AJ8&gt;'Tariffs Jan2020'!M8),($C$5*'Tariffs Jan2020'!AL8/'Tariffs Jan2020'!AJ8-'Tariffs Jan2020'!M8)*'Tariffs Jan2020'!Y8/100*'Tariffs Jan2020'!AJ8,0)</f>
        <v>0</v>
      </c>
      <c r="O14" s="59">
        <f t="shared" si="0"/>
        <v>1147.05</v>
      </c>
      <c r="P14" s="503">
        <f t="shared" si="1"/>
        <v>1261.7550000000001</v>
      </c>
      <c r="Q14" s="59">
        <f t="shared" si="2"/>
        <v>1384.3</v>
      </c>
      <c r="R14" s="272">
        <f t="shared" si="3"/>
        <v>1522.73</v>
      </c>
      <c r="S14" s="40">
        <f>'Tariffs Jan2020'!AN8</f>
        <v>0</v>
      </c>
      <c r="T14" s="40">
        <f>'Tariffs Jan2020'!AO8</f>
        <v>0</v>
      </c>
      <c r="U14" s="40">
        <f>'Tariffs Jan2020'!AP8</f>
        <v>3</v>
      </c>
      <c r="V14" s="40">
        <f>'Tariffs Jan2020'!AQ8</f>
        <v>0</v>
      </c>
      <c r="W14" s="284">
        <f t="shared" ref="W14:W19" si="5">Q14</f>
        <v>1384.3</v>
      </c>
      <c r="X14" s="284">
        <f>W14-(Q14*U14/100)</f>
        <v>1342.771</v>
      </c>
      <c r="Y14" s="507">
        <f t="shared" si="4"/>
        <v>1522.73</v>
      </c>
      <c r="Z14" s="507">
        <f t="shared" si="4"/>
        <v>1477.0481</v>
      </c>
      <c r="AA14" s="274">
        <f>'Tariffs Jan2020'!AZ8</f>
        <v>0</v>
      </c>
      <c r="AB14" s="274" t="str">
        <f>'Tariffs Jan2020'!BA8</f>
        <v>n</v>
      </c>
      <c r="AC14" s="275" t="str">
        <f>'Tariffs Jan2020'!BJ8</f>
        <v>N</v>
      </c>
      <c r="AD14" s="425"/>
      <c r="AE14" s="425"/>
      <c r="AF14" s="427"/>
      <c r="AG14" s="427"/>
      <c r="AH14" s="427"/>
      <c r="AI14" s="427"/>
      <c r="AJ14" s="427"/>
      <c r="AK14" s="427"/>
      <c r="AL14" s="427"/>
      <c r="AM14" s="427"/>
      <c r="AN14" s="427"/>
    </row>
    <row r="15" spans="1:40" ht="14" x14ac:dyDescent="0.15">
      <c r="A15" s="270" t="str">
        <f>'Tariffs Jan2020'!F9</f>
        <v>Momentum Energy</v>
      </c>
      <c r="B15" s="40" t="str">
        <f>'Tariffs Jan2020'!D9</f>
        <v>Multinet Metro 1</v>
      </c>
      <c r="C15" s="40" t="str">
        <f>'Tariffs Jan2020'!G9</f>
        <v>Market offer</v>
      </c>
      <c r="D15" s="59">
        <f>365*'Tariffs Jan2020'!H9/100</f>
        <v>296.51272727272726</v>
      </c>
      <c r="E15" s="59">
        <f>IF($C$5*'Tariffs Jan2020'!AK9/'Tariffs Jan2020'!AI9&gt;='Tariffs Jan2020'!J9,( 'Tariffs Jan2020'!J9*'Tariffs Jan2020'!O9/100)* 'Tariffs Jan2020'!AI9,($C$5*'Tariffs Jan2020'!AK9/'Tariffs Jan2020'!AI9*'Tariffs Jan2020'!O9/100)* 'Tariffs Jan2020'!AI9)</f>
        <v>199.6363636363636</v>
      </c>
      <c r="F15" s="59">
        <f>IF($C$5*'Tariffs Jan2020'!AK9/'Tariffs Jan2020'!AI9&lt;'Tariffs Jan2020'!J9,0,IF($C$5*'Tariffs Jan2020'!AK9/'Tariffs Jan2020'!AI9&lt;='Tariffs Jan2020'!K9,($C$5*'Tariffs Jan2020'!AK9/'Tariffs Jan2020'!AI9-'Tariffs Jan2020'!J9)*('Tariffs Jan2020'!P9/100)*'Tariffs Jan2020'!AI9,('Tariffs Jan2020'!K9-'Tariffs Jan2020'!J9)*('Tariffs Jan2020'!P9/100)*'Tariffs Jan2020'!AI9))</f>
        <v>182.45454545454541</v>
      </c>
      <c r="G15" s="59">
        <f>IF($C$5*'Tariffs Jan2020'!AK9/'Tariffs Jan2020'!AI9&lt;'Tariffs Jan2020'!K9,0,IF($C$5*'Tariffs Jan2020'!AK9/'Tariffs Jan2020'!AI9&lt;='Tariffs Jan2020'!L9,($C$5*'Tariffs Jan2020'!AK9/'Tariffs Jan2020'!AI9-'Tariffs Jan2020'!K9)*('Tariffs Jan2020'!Q9/100)*'Tariffs Jan2020'!AI9,('Tariffs Jan2020'!L9-'Tariffs Jan2020'!K9)*('Tariffs Jan2020'!Q9/100)*'Tariffs Jan2020'!AI9))</f>
        <v>161.18181818181819</v>
      </c>
      <c r="H15" s="59">
        <f>IF($C$5*'Tariffs Jan2020'!AK9/'Tariffs Jan2020'!AI9&lt;'Tariffs Jan2020'!L9,0,IF($C$5*'Tariffs Jan2020'!AK9/'Tariffs Jan2020'!AI9&lt;='Tariffs Jan2020'!M9,($C$5*'Tariffs Jan2020'!AK9/'Tariffs Jan2020'!AI9-'Tariffs Jan2020'!L9)*('Tariffs Jan2020'!R9/100)*'Tariffs Jan2020'!AI9,('Tariffs Jan2020'!M9-'Tariffs Jan2020'!L9)*('Tariffs Jan2020'!R9/100)*'Tariffs Jan2020'!AI9))</f>
        <v>75.272727272727266</v>
      </c>
      <c r="I15" s="59">
        <f>IF(($C$5*'Tariffs Jan2020'!AK9/'Tariffs Jan2020'!AI9&gt;'Tariffs Jan2020'!M9),($C$5*'Tariffs Jan2020'!AK9/'Tariffs Jan2020'!AI9-'Tariffs Jan2020'!M9)*'Tariffs Jan2020'!S9/100*'Tariffs Jan2020'!AI9,0)</f>
        <v>0</v>
      </c>
      <c r="J15" s="59">
        <f>IF($C$5*'Tariffs Jan2020'!AL9/'Tariffs Jan2020'!AJ9&gt;='Tariffs Jan2020'!J9,('Tariffs Jan2020'!J9*'Tariffs Jan2020'!U9/100)* 'Tariffs Jan2020'!AJ9,($C$5*'Tariffs Jan2020'!AL9/'Tariffs Jan2020'!AJ9*'Tariffs Jan2020'!U9/100)* 'Tariffs Jan2020'!AJ9)</f>
        <v>185.72727272727269</v>
      </c>
      <c r="K15" s="59">
        <f>IF($C$5*'Tariffs Jan2020'!AL9/'Tariffs Jan2020'!AJ9&lt;'Tariffs Jan2020'!J9,0,IF($C$5*'Tariffs Jan2020'!AL9/'Tariffs Jan2020'!AJ9&lt;='Tariffs Jan2020'!K9,($C$5*'Tariffs Jan2020'!AL9/'Tariffs Jan2020'!AJ9-'Tariffs Jan2020'!J9)*('Tariffs Jan2020'!V9/100)*'Tariffs Jan2020'!AJ9,('Tariffs Jan2020'!K9-'Tariffs Jan2020'!J9)*('Tariffs Jan2020'!V9/100)*'Tariffs Jan2020'!AJ9))</f>
        <v>170.99999999999994</v>
      </c>
      <c r="L15" s="59">
        <f>IF($C$5*'Tariffs Jan2020'!AL9/'Tariffs Jan2020'!AJ9&lt;'Tariffs Jan2020'!K9,0,IF($C$5*'Tariffs Jan2020'!AL9/'Tariffs Jan2020'!AJ9&lt;='Tariffs Jan2020'!L9,($C$5*'Tariffs Jan2020'!AL9/'Tariffs Jan2020'!AJ9-'Tariffs Jan2020'!K9)*('Tariffs Jan2020'!W9/100)*'Tariffs Jan2020'!AJ9,('Tariffs Jan2020'!L9-'Tariffs Jan2020'!K9)*('Tariffs Jan2020'!W9/100)*'Tariffs Jan2020'!AJ9))</f>
        <v>153.00000000000003</v>
      </c>
      <c r="M15" s="59">
        <f>IF($C$5*'Tariffs Jan2020'!AL9/'Tariffs Jan2020'!AJ9&lt;'Tariffs Jan2020'!L9,0,IF($C$5*'Tariffs Jan2020'!AL9/'Tariffs Jan2020'!AJ9&lt;='Tariffs Jan2020'!M9,($C$5*'Tariffs Jan2020'!AL9/'Tariffs Jan2020'!AJ9-'Tariffs Jan2020'!L9)*('Tariffs Jan2020'!X9/100)*'Tariffs Jan2020'!AJ9,('Tariffs Jan2020'!M9-'Tariffs Jan2020'!L9)*('Tariffs Jan2020'!X9/100)*'Tariffs Jan2020'!AJ9))</f>
        <v>72</v>
      </c>
      <c r="N15" s="59">
        <f>IF(($C$5*'Tariffs Jan2020'!AL9/'Tariffs Jan2020'!AJ9&gt;'Tariffs Jan2020'!M9),($C$5*'Tariffs Jan2020'!AL9/'Tariffs Jan2020'!AJ9-'Tariffs Jan2020'!M9)*'Tariffs Jan2020'!Y9/100*'Tariffs Jan2020'!AJ9,0)</f>
        <v>0</v>
      </c>
      <c r="O15" s="59">
        <f t="shared" si="0"/>
        <v>1200.2727272727273</v>
      </c>
      <c r="P15" s="503">
        <f t="shared" si="1"/>
        <v>1320.3000000000002</v>
      </c>
      <c r="Q15" s="59">
        <f t="shared" si="2"/>
        <v>1496.7854545454545</v>
      </c>
      <c r="R15" s="272">
        <f t="shared" si="3"/>
        <v>1646.4640000000002</v>
      </c>
      <c r="S15" s="40">
        <f>'Tariffs Jan2020'!AN9</f>
        <v>0</v>
      </c>
      <c r="T15" s="40">
        <f>'Tariffs Jan2020'!AO9</f>
        <v>0</v>
      </c>
      <c r="U15" s="40">
        <f>'Tariffs Jan2020'!AP9</f>
        <v>0</v>
      </c>
      <c r="V15" s="40">
        <f>'Tariffs Jan2020'!AQ9</f>
        <v>0</v>
      </c>
      <c r="W15" s="284">
        <f t="shared" si="5"/>
        <v>1496.7854545454545</v>
      </c>
      <c r="X15" s="284">
        <f>W15</f>
        <v>1496.7854545454545</v>
      </c>
      <c r="Y15" s="507">
        <f t="shared" si="4"/>
        <v>1646.4640000000002</v>
      </c>
      <c r="Z15" s="507">
        <f t="shared" si="4"/>
        <v>1646.4640000000002</v>
      </c>
      <c r="AA15" s="274">
        <f>'Tariffs Jan2020'!AZ9</f>
        <v>0</v>
      </c>
      <c r="AB15" s="274" t="str">
        <f>'Tariffs Jan2020'!BA9</f>
        <v>n</v>
      </c>
      <c r="AC15" s="275" t="str">
        <f>'Tariffs Jan2020'!BJ9</f>
        <v>Y</v>
      </c>
      <c r="AD15" s="425"/>
      <c r="AE15" s="425"/>
      <c r="AF15" s="427"/>
      <c r="AG15" s="427"/>
      <c r="AH15" s="427"/>
      <c r="AI15" s="427"/>
      <c r="AJ15" s="427"/>
      <c r="AK15" s="427"/>
      <c r="AL15" s="427"/>
      <c r="AM15" s="427"/>
      <c r="AN15" s="427"/>
    </row>
    <row r="16" spans="1:40" ht="14" x14ac:dyDescent="0.15">
      <c r="A16" s="270" t="str">
        <f>'Tariffs Jan2020'!F10</f>
        <v>Origin Energy</v>
      </c>
      <c r="B16" s="40" t="str">
        <f>'Tariffs Jan2020'!D10</f>
        <v>Multinet Metro 1</v>
      </c>
      <c r="C16" s="40" t="str">
        <f>'Tariffs Jan2020'!G10</f>
        <v>Flexi</v>
      </c>
      <c r="D16" s="59">
        <f>365*'Tariffs Jan2020'!H10/100</f>
        <v>255.5</v>
      </c>
      <c r="E16" s="59">
        <f>IF($C$5*'Tariffs Jan2020'!AK10/'Tariffs Jan2020'!AI10&gt;='Tariffs Jan2020'!J10,( 'Tariffs Jan2020'!J10*'Tariffs Jan2020'!O10/100)* 'Tariffs Jan2020'!AI10,($C$5*'Tariffs Jan2020'!AK10/'Tariffs Jan2020'!AI10*'Tariffs Jan2020'!O10/100)* 'Tariffs Jan2020'!AI10)</f>
        <v>432</v>
      </c>
      <c r="F16" s="59">
        <f>IF($C$5*'Tariffs Jan2020'!AK10/'Tariffs Jan2020'!AI10&lt;'Tariffs Jan2020'!J10,0,IF($C$5*'Tariffs Jan2020'!AK10/'Tariffs Jan2020'!AI10&lt;='Tariffs Jan2020'!K10,($C$5*'Tariffs Jan2020'!AK10/'Tariffs Jan2020'!AI10-'Tariffs Jan2020'!J10)*('Tariffs Jan2020'!P10/100)*'Tariffs Jan2020'!AI10,('Tariffs Jan2020'!K10-'Tariffs Jan2020'!J10)*('Tariffs Jan2020'!P10/100)*'Tariffs Jan2020'!AI10))</f>
        <v>175.5</v>
      </c>
      <c r="G16" s="59">
        <f>IF($C$5*'Tariffs Jan2020'!AK10/'Tariffs Jan2020'!AI10&lt;'Tariffs Jan2020'!K10,0,IF($C$5*'Tariffs Jan2020'!AK10/'Tariffs Jan2020'!AI10&lt;='Tariffs Jan2020'!L10,($C$5*'Tariffs Jan2020'!AK10/'Tariffs Jan2020'!AI10-'Tariffs Jan2020'!K10)*('Tariffs Jan2020'!Q10/100)*'Tariffs Jan2020'!AI10,('Tariffs Jan2020'!L10-'Tariffs Jan2020'!K10)*('Tariffs Jan2020'!Q10/100)*'Tariffs Jan2020'!AI10))</f>
        <v>0</v>
      </c>
      <c r="H16" s="59">
        <f>IF($C$5*'Tariffs Jan2020'!AK10/'Tariffs Jan2020'!AI10&lt;'Tariffs Jan2020'!L10,0,IF($C$5*'Tariffs Jan2020'!AK10/'Tariffs Jan2020'!AI10&lt;='Tariffs Jan2020'!M10,($C$5*'Tariffs Jan2020'!AK10/'Tariffs Jan2020'!AI10-'Tariffs Jan2020'!L10)*('Tariffs Jan2020'!R10/100)*'Tariffs Jan2020'!AI10,('Tariffs Jan2020'!M10-'Tariffs Jan2020'!L10)*('Tariffs Jan2020'!R10/100)*'Tariffs Jan2020'!AI10))</f>
        <v>0</v>
      </c>
      <c r="I16" s="59">
        <f>IF(($C$5*'Tariffs Jan2020'!AK10/'Tariffs Jan2020'!AI10&gt;'Tariffs Jan2020'!M10),($C$5*'Tariffs Jan2020'!AK10/'Tariffs Jan2020'!AI10-'Tariffs Jan2020'!M10)*'Tariffs Jan2020'!S10/100*'Tariffs Jan2020'!AI10,0)</f>
        <v>65.25</v>
      </c>
      <c r="J16" s="59">
        <f>IF($C$5*'Tariffs Jan2020'!AL10/'Tariffs Jan2020'!AJ10&gt;='Tariffs Jan2020'!J10,('Tariffs Jan2020'!J10*'Tariffs Jan2020'!U10/100)* 'Tariffs Jan2020'!AJ10,($C$5*'Tariffs Jan2020'!AL10/'Tariffs Jan2020'!AJ10*'Tariffs Jan2020'!U10/100)* 'Tariffs Jan2020'!AJ10)</f>
        <v>396.00000000000011</v>
      </c>
      <c r="K16" s="59">
        <f>IF($C$5*'Tariffs Jan2020'!AL10/'Tariffs Jan2020'!AJ10&lt;'Tariffs Jan2020'!J10,0,IF($C$5*'Tariffs Jan2020'!AL10/'Tariffs Jan2020'!AJ10&lt;='Tariffs Jan2020'!K10,($C$5*'Tariffs Jan2020'!AL10/'Tariffs Jan2020'!AJ10-'Tariffs Jan2020'!J10)*('Tariffs Jan2020'!V10/100)*'Tariffs Jan2020'!AJ10,('Tariffs Jan2020'!K10-'Tariffs Jan2020'!J10)*('Tariffs Jan2020'!V10/100)*'Tariffs Jan2020'!AJ10))</f>
        <v>157.50000000000003</v>
      </c>
      <c r="L16" s="59">
        <f>IF($C$5*'Tariffs Jan2020'!AL10/'Tariffs Jan2020'!AJ10&lt;'Tariffs Jan2020'!K10,0,IF($C$5*'Tariffs Jan2020'!AL10/'Tariffs Jan2020'!AJ10&lt;='Tariffs Jan2020'!L10,($C$5*'Tariffs Jan2020'!AL10/'Tariffs Jan2020'!AJ10-'Tariffs Jan2020'!K10)*('Tariffs Jan2020'!W10/100)*'Tariffs Jan2020'!AJ10,('Tariffs Jan2020'!L10-'Tariffs Jan2020'!K10)*('Tariffs Jan2020'!W10/100)*'Tariffs Jan2020'!AJ10))</f>
        <v>0</v>
      </c>
      <c r="M16" s="59">
        <f>IF($C$5*'Tariffs Jan2020'!AL10/'Tariffs Jan2020'!AJ10&lt;'Tariffs Jan2020'!L10,0,IF($C$5*'Tariffs Jan2020'!AL10/'Tariffs Jan2020'!AJ10&lt;='Tariffs Jan2020'!M10,($C$5*'Tariffs Jan2020'!AL10/'Tariffs Jan2020'!AJ10-'Tariffs Jan2020'!L10)*('Tariffs Jan2020'!X10/100)*'Tariffs Jan2020'!AJ10,('Tariffs Jan2020'!M10-'Tariffs Jan2020'!L10)*('Tariffs Jan2020'!X10/100)*'Tariffs Jan2020'!AJ10))</f>
        <v>0</v>
      </c>
      <c r="N16" s="59">
        <f>IF(($C$5*'Tariffs Jan2020'!AL10/'Tariffs Jan2020'!AJ10&gt;'Tariffs Jan2020'!M10),($C$5*'Tariffs Jan2020'!AL10/'Tariffs Jan2020'!AJ10-'Tariffs Jan2020'!M10)*'Tariffs Jan2020'!Y10/100*'Tariffs Jan2020'!AJ10,0)</f>
        <v>60.750000000000014</v>
      </c>
      <c r="O16" s="59">
        <f t="shared" si="0"/>
        <v>1287</v>
      </c>
      <c r="P16" s="503">
        <f t="shared" si="1"/>
        <v>1415.7</v>
      </c>
      <c r="Q16" s="59">
        <f t="shared" si="2"/>
        <v>1542.5</v>
      </c>
      <c r="R16" s="272">
        <f t="shared" si="3"/>
        <v>1696.7500000000002</v>
      </c>
      <c r="S16" s="40">
        <f>'Tariffs Jan2020'!AN10</f>
        <v>10</v>
      </c>
      <c r="T16" s="40">
        <f>'Tariffs Jan2020'!AO10</f>
        <v>0</v>
      </c>
      <c r="U16" s="40">
        <f>'Tariffs Jan2020'!AP10</f>
        <v>0</v>
      </c>
      <c r="V16" s="40">
        <f>'Tariffs Jan2020'!AQ10</f>
        <v>0</v>
      </c>
      <c r="W16" s="284">
        <f>R16-(R16*S16/100)</f>
        <v>1527.0750000000003</v>
      </c>
      <c r="X16" s="284">
        <f>W16</f>
        <v>1527.0750000000003</v>
      </c>
      <c r="Y16" s="507">
        <f>W16</f>
        <v>1527.0750000000003</v>
      </c>
      <c r="Z16" s="507">
        <f>X16</f>
        <v>1527.0750000000003</v>
      </c>
      <c r="AA16" s="274">
        <f>'Tariffs Jan2020'!AZ10</f>
        <v>0</v>
      </c>
      <c r="AB16" s="274" t="str">
        <f>'Tariffs Jan2020'!BA10</f>
        <v>n</v>
      </c>
      <c r="AC16" s="275" t="str">
        <f>'Tariffs Jan2020'!BJ10</f>
        <v>N</v>
      </c>
      <c r="AD16" s="425"/>
      <c r="AE16" s="425"/>
      <c r="AF16" s="427"/>
      <c r="AG16" s="427"/>
      <c r="AH16" s="427"/>
      <c r="AI16" s="427"/>
      <c r="AJ16" s="427"/>
      <c r="AK16" s="427"/>
      <c r="AL16" s="427"/>
      <c r="AM16" s="427"/>
      <c r="AN16" s="427"/>
    </row>
    <row r="17" spans="1:40" ht="14" x14ac:dyDescent="0.15">
      <c r="A17" s="270" t="str">
        <f>'Tariffs Jan2020'!F11</f>
        <v>Red Energy</v>
      </c>
      <c r="B17" s="40" t="str">
        <f>'Tariffs Jan2020'!D11</f>
        <v>Multinet Metro 1</v>
      </c>
      <c r="C17" s="40" t="str">
        <f>'Tariffs Jan2020'!G11</f>
        <v>Living Energy Saver</v>
      </c>
      <c r="D17" s="59">
        <f>365*'Tariffs Jan2020'!H11/100</f>
        <v>259.14999999999998</v>
      </c>
      <c r="E17" s="59">
        <f>IF($C$5*'Tariffs Jan2020'!AK11/'Tariffs Jan2020'!AI11&gt;='Tariffs Jan2020'!J11,( 'Tariffs Jan2020'!J11*'Tariffs Jan2020'!O11/100)* 'Tariffs Jan2020'!AI11,($C$5*'Tariffs Jan2020'!AK11/'Tariffs Jan2020'!AI11*'Tariffs Jan2020'!O11/100)* 'Tariffs Jan2020'!AI11)</f>
        <v>202.90909090909088</v>
      </c>
      <c r="F17" s="59">
        <f>IF($C$5*'Tariffs Jan2020'!AK11/'Tariffs Jan2020'!AI11&lt;'Tariffs Jan2020'!J11,0,IF($C$5*'Tariffs Jan2020'!AK11/'Tariffs Jan2020'!AI11&lt;='Tariffs Jan2020'!K11,($C$5*'Tariffs Jan2020'!AK11/'Tariffs Jan2020'!AI11-'Tariffs Jan2020'!J11)*('Tariffs Jan2020'!P11/100)*'Tariffs Jan2020'!AI11,('Tariffs Jan2020'!K11-'Tariffs Jan2020'!J11)*('Tariffs Jan2020'!P11/100)*'Tariffs Jan2020'!AI11))</f>
        <v>189.00000000000003</v>
      </c>
      <c r="G17" s="59">
        <f>IF($C$5*'Tariffs Jan2020'!AK11/'Tariffs Jan2020'!AI11&lt;'Tariffs Jan2020'!K11,0,IF($C$5*'Tariffs Jan2020'!AK11/'Tariffs Jan2020'!AI11&lt;='Tariffs Jan2020'!L11,($C$5*'Tariffs Jan2020'!AK11/'Tariffs Jan2020'!AI11-'Tariffs Jan2020'!K11)*('Tariffs Jan2020'!Q11/100)*'Tariffs Jan2020'!AI11,('Tariffs Jan2020'!L11-'Tariffs Jan2020'!K11)*('Tariffs Jan2020'!Q11/100)*'Tariffs Jan2020'!AI11))</f>
        <v>170.99999999999994</v>
      </c>
      <c r="H17" s="59">
        <f>IF($C$5*'Tariffs Jan2020'!AK11/'Tariffs Jan2020'!AI11&lt;'Tariffs Jan2020'!L11,0,IF($C$5*'Tariffs Jan2020'!AK11/'Tariffs Jan2020'!AI11&lt;='Tariffs Jan2020'!M11,($C$5*'Tariffs Jan2020'!AK11/'Tariffs Jan2020'!AI11-'Tariffs Jan2020'!L11)*('Tariffs Jan2020'!R11/100)*'Tariffs Jan2020'!AI11,('Tariffs Jan2020'!M11-'Tariffs Jan2020'!L11)*('Tariffs Jan2020'!R11/100)*'Tariffs Jan2020'!AI11))</f>
        <v>80.999999999999986</v>
      </c>
      <c r="I17" s="59">
        <f>IF(($C$5*'Tariffs Jan2020'!AK11/'Tariffs Jan2020'!AI11&gt;'Tariffs Jan2020'!M11),($C$5*'Tariffs Jan2020'!AK11/'Tariffs Jan2020'!AI11-'Tariffs Jan2020'!M11)*'Tariffs Jan2020'!S11/100*'Tariffs Jan2020'!AI11,0)</f>
        <v>0</v>
      </c>
      <c r="J17" s="59">
        <f>IF($C$5*'Tariffs Jan2020'!AL11/'Tariffs Jan2020'!AJ11&gt;='Tariffs Jan2020'!J11,('Tariffs Jan2020'!J11*'Tariffs Jan2020'!U11/100)* 'Tariffs Jan2020'!AJ11,($C$5*'Tariffs Jan2020'!AL11/'Tariffs Jan2020'!AJ11*'Tariffs Jan2020'!U11/100)* 'Tariffs Jan2020'!AJ11)</f>
        <v>193.90909090909088</v>
      </c>
      <c r="K17" s="59">
        <f>IF($C$5*'Tariffs Jan2020'!AL11/'Tariffs Jan2020'!AJ11&lt;'Tariffs Jan2020'!J11,0,IF($C$5*'Tariffs Jan2020'!AL11/'Tariffs Jan2020'!AJ11&lt;='Tariffs Jan2020'!K11,($C$5*'Tariffs Jan2020'!AL11/'Tariffs Jan2020'!AJ11-'Tariffs Jan2020'!J11)*('Tariffs Jan2020'!V11/100)*'Tariffs Jan2020'!AJ11,('Tariffs Jan2020'!K11-'Tariffs Jan2020'!J11)*('Tariffs Jan2020'!V11/100)*'Tariffs Jan2020'!AJ11))</f>
        <v>175.90909090909088</v>
      </c>
      <c r="L17" s="59">
        <f>IF($C$5*'Tariffs Jan2020'!AL11/'Tariffs Jan2020'!AJ11&lt;'Tariffs Jan2020'!K11,0,IF($C$5*'Tariffs Jan2020'!AL11/'Tariffs Jan2020'!AJ11&lt;='Tariffs Jan2020'!L11,($C$5*'Tariffs Jan2020'!AL11/'Tariffs Jan2020'!AJ11-'Tariffs Jan2020'!K11)*('Tariffs Jan2020'!W11/100)*'Tariffs Jan2020'!AJ11,('Tariffs Jan2020'!L11-'Tariffs Jan2020'!K11)*('Tariffs Jan2020'!W11/100)*'Tariffs Jan2020'!AJ11))</f>
        <v>161.99999999999997</v>
      </c>
      <c r="M17" s="59">
        <f>IF($C$5*'Tariffs Jan2020'!AL11/'Tariffs Jan2020'!AJ11&lt;'Tariffs Jan2020'!L11,0,IF($C$5*'Tariffs Jan2020'!AL11/'Tariffs Jan2020'!AJ11&lt;='Tariffs Jan2020'!M11,($C$5*'Tariffs Jan2020'!AL11/'Tariffs Jan2020'!AJ11-'Tariffs Jan2020'!L11)*('Tariffs Jan2020'!X11/100)*'Tariffs Jan2020'!AJ11,('Tariffs Jan2020'!M11-'Tariffs Jan2020'!L11)*('Tariffs Jan2020'!X11/100)*'Tariffs Jan2020'!AJ11))</f>
        <v>76.500000000000014</v>
      </c>
      <c r="N17" s="59">
        <f>IF(($C$5*'Tariffs Jan2020'!AL11/'Tariffs Jan2020'!AJ11&gt;'Tariffs Jan2020'!M11),($C$5*'Tariffs Jan2020'!AL11/'Tariffs Jan2020'!AJ11-'Tariffs Jan2020'!M11)*'Tariffs Jan2020'!Y11/100*'Tariffs Jan2020'!AJ11,0)</f>
        <v>0</v>
      </c>
      <c r="O17" s="59">
        <f t="shared" si="0"/>
        <v>1252.2272727272725</v>
      </c>
      <c r="P17" s="503">
        <f t="shared" si="1"/>
        <v>1377.4499999999998</v>
      </c>
      <c r="Q17" s="59">
        <f t="shared" si="2"/>
        <v>1511.3772727272726</v>
      </c>
      <c r="R17" s="272">
        <f t="shared" si="3"/>
        <v>1662.5150000000001</v>
      </c>
      <c r="S17" s="40">
        <f>'Tariffs Jan2020'!AN11</f>
        <v>0</v>
      </c>
      <c r="T17" s="40">
        <f>'Tariffs Jan2020'!AO11</f>
        <v>0</v>
      </c>
      <c r="U17" s="40">
        <f>'Tariffs Jan2020'!AP11</f>
        <v>10</v>
      </c>
      <c r="V17" s="40">
        <f>'Tariffs Jan2020'!AQ11</f>
        <v>0</v>
      </c>
      <c r="W17" s="284">
        <f>R17</f>
        <v>1662.5150000000001</v>
      </c>
      <c r="X17" s="284">
        <f>W17-(W17*U17/100)</f>
        <v>1496.2635</v>
      </c>
      <c r="Y17" s="507">
        <f>W17</f>
        <v>1662.5150000000001</v>
      </c>
      <c r="Z17" s="507">
        <f>X17</f>
        <v>1496.2635</v>
      </c>
      <c r="AA17" s="274">
        <f>'Tariffs Jan2020'!AZ11</f>
        <v>0</v>
      </c>
      <c r="AB17" s="274" t="str">
        <f>'Tariffs Jan2020'!BA11</f>
        <v>n</v>
      </c>
      <c r="AC17" s="275" t="str">
        <f>'Tariffs Jan2020'!BJ11</f>
        <v>N</v>
      </c>
      <c r="AD17" s="425"/>
      <c r="AE17" s="425"/>
      <c r="AF17" s="427"/>
      <c r="AG17" s="427"/>
      <c r="AH17" s="427"/>
      <c r="AI17" s="427"/>
      <c r="AJ17" s="427"/>
      <c r="AK17" s="427"/>
      <c r="AL17" s="427"/>
      <c r="AM17" s="427"/>
      <c r="AN17" s="427"/>
    </row>
    <row r="18" spans="1:40" ht="14" x14ac:dyDescent="0.15">
      <c r="A18" s="270" t="str">
        <f>'Tariffs Jan2020'!F12</f>
        <v>Simply Energy</v>
      </c>
      <c r="B18" s="40" t="str">
        <f>'Tariffs Jan2020'!D12</f>
        <v>Multinet Metro 1</v>
      </c>
      <c r="C18" s="40" t="str">
        <f>'Tariffs Jan2020'!G12</f>
        <v>Plus</v>
      </c>
      <c r="D18" s="59">
        <f>365*'Tariffs Jan2020'!H12/100</f>
        <v>305.40545454545457</v>
      </c>
      <c r="E18" s="59">
        <f>IF($C$5*'Tariffs Jan2020'!AK12/'Tariffs Jan2020'!AI12&gt;='Tariffs Jan2020'!J12,( 'Tariffs Jan2020'!J12*'Tariffs Jan2020'!O12/100)* 'Tariffs Jan2020'!AI12,($C$5*'Tariffs Jan2020'!AK12/'Tariffs Jan2020'!AI12*'Tariffs Jan2020'!O12/100)* 'Tariffs Jan2020'!AI12)</f>
        <v>219.60000000000002</v>
      </c>
      <c r="F18" s="59">
        <f>IF($C$5*'Tariffs Jan2020'!AK12/'Tariffs Jan2020'!AI12&lt;'Tariffs Jan2020'!J12,0,IF($C$5*'Tariffs Jan2020'!AK12/'Tariffs Jan2020'!AI12&lt;='Tariffs Jan2020'!K12,($C$5*'Tariffs Jan2020'!AK12/'Tariffs Jan2020'!AI12-'Tariffs Jan2020'!J12)*('Tariffs Jan2020'!P12/100)*'Tariffs Jan2020'!AI12,('Tariffs Jan2020'!K12-'Tariffs Jan2020'!J12)*('Tariffs Jan2020'!P12/100)*'Tariffs Jan2020'!AI12))</f>
        <v>190.17000000000002</v>
      </c>
      <c r="G18" s="59">
        <f>IF($C$5*'Tariffs Jan2020'!AK12/'Tariffs Jan2020'!AI12&lt;'Tariffs Jan2020'!K12,0,IF($C$5*'Tariffs Jan2020'!AK12/'Tariffs Jan2020'!AI12&lt;='Tariffs Jan2020'!L12,($C$5*'Tariffs Jan2020'!AK12/'Tariffs Jan2020'!AI12-'Tariffs Jan2020'!K12)*('Tariffs Jan2020'!Q12/100)*'Tariffs Jan2020'!AI12,('Tariffs Jan2020'!L12-'Tariffs Jan2020'!K12)*('Tariffs Jan2020'!Q12/100)*'Tariffs Jan2020'!AI12))</f>
        <v>162.00000000000003</v>
      </c>
      <c r="H18" s="59">
        <f>IF($C$5*'Tariffs Jan2020'!AK12/'Tariffs Jan2020'!AI12&lt;'Tariffs Jan2020'!L12,0,IF($C$5*'Tariffs Jan2020'!AK12/'Tariffs Jan2020'!AI12&lt;='Tariffs Jan2020'!M12,($C$5*'Tariffs Jan2020'!AK12/'Tariffs Jan2020'!AI12-'Tariffs Jan2020'!L12)*('Tariffs Jan2020'!R12/100)*'Tariffs Jan2020'!AI12,('Tariffs Jan2020'!M12-'Tariffs Jan2020'!L12)*('Tariffs Jan2020'!R12/100)*'Tariffs Jan2020'!AI12))</f>
        <v>73.349999999999994</v>
      </c>
      <c r="I18" s="59">
        <f>IF(($C$5*'Tariffs Jan2020'!AK12/'Tariffs Jan2020'!AI12&gt;'Tariffs Jan2020'!M12),($C$5*'Tariffs Jan2020'!AK12/'Tariffs Jan2020'!AI12-'Tariffs Jan2020'!M12)*'Tariffs Jan2020'!S12/100*'Tariffs Jan2020'!AI12,0)</f>
        <v>0</v>
      </c>
      <c r="J18" s="59">
        <f>IF($C$5*'Tariffs Jan2020'!AL12/'Tariffs Jan2020'!AJ12&gt;='Tariffs Jan2020'!J12,('Tariffs Jan2020'!J12*'Tariffs Jan2020'!U12/100)* 'Tariffs Jan2020'!AJ12,($C$5*'Tariffs Jan2020'!AL12/'Tariffs Jan2020'!AJ12*'Tariffs Jan2020'!U12/100)* 'Tariffs Jan2020'!AJ12)</f>
        <v>219.27272727272728</v>
      </c>
      <c r="K18" s="59">
        <f>IF($C$5*'Tariffs Jan2020'!AL12/'Tariffs Jan2020'!AJ12&lt;'Tariffs Jan2020'!J12,0,IF($C$5*'Tariffs Jan2020'!AL12/'Tariffs Jan2020'!AJ12&lt;='Tariffs Jan2020'!K12,($C$5*'Tariffs Jan2020'!AL12/'Tariffs Jan2020'!AJ12-'Tariffs Jan2020'!J12)*('Tariffs Jan2020'!V12/100)*'Tariffs Jan2020'!AJ12,('Tariffs Jan2020'!K12-'Tariffs Jan2020'!J12)*('Tariffs Jan2020'!V12/100)*'Tariffs Jan2020'!AJ12))</f>
        <v>189.81818181818181</v>
      </c>
      <c r="L18" s="59">
        <f>IF($C$5*'Tariffs Jan2020'!AL12/'Tariffs Jan2020'!AJ12&lt;'Tariffs Jan2020'!K12,0,IF($C$5*'Tariffs Jan2020'!AL12/'Tariffs Jan2020'!AJ12&lt;='Tariffs Jan2020'!L12,($C$5*'Tariffs Jan2020'!AL12/'Tariffs Jan2020'!AJ12-'Tariffs Jan2020'!K12)*('Tariffs Jan2020'!W12/100)*'Tariffs Jan2020'!AJ12,('Tariffs Jan2020'!L12-'Tariffs Jan2020'!K12)*('Tariffs Jan2020'!W12/100)*'Tariffs Jan2020'!AJ12))</f>
        <v>161.99999999999997</v>
      </c>
      <c r="M18" s="59">
        <f>IF($C$5*'Tariffs Jan2020'!AL12/'Tariffs Jan2020'!AJ12&lt;'Tariffs Jan2020'!L12,0,IF($C$5*'Tariffs Jan2020'!AL12/'Tariffs Jan2020'!AJ12&lt;='Tariffs Jan2020'!M12,($C$5*'Tariffs Jan2020'!AL12/'Tariffs Jan2020'!AJ12-'Tariffs Jan2020'!L12)*('Tariffs Jan2020'!X12/100)*'Tariffs Jan2020'!AJ12,('Tariffs Jan2020'!M12-'Tariffs Jan2020'!L12)*('Tariffs Jan2020'!X12/100)*'Tariffs Jan2020'!AJ12))</f>
        <v>73.22727272727272</v>
      </c>
      <c r="N18" s="59">
        <f>IF(($C$5*'Tariffs Jan2020'!AL12/'Tariffs Jan2020'!AJ12&gt;'Tariffs Jan2020'!M12),($C$5*'Tariffs Jan2020'!AL12/'Tariffs Jan2020'!AJ12-'Tariffs Jan2020'!M12)*'Tariffs Jan2020'!Y12/100*'Tariffs Jan2020'!AJ12,0)</f>
        <v>0</v>
      </c>
      <c r="O18" s="59">
        <f t="shared" si="0"/>
        <v>1289.4381818181819</v>
      </c>
      <c r="P18" s="503">
        <f t="shared" si="1"/>
        <v>1418.3820000000003</v>
      </c>
      <c r="Q18" s="59">
        <f t="shared" si="2"/>
        <v>1594.8436363636365</v>
      </c>
      <c r="R18" s="272">
        <f t="shared" si="3"/>
        <v>1754.3280000000002</v>
      </c>
      <c r="S18" s="40">
        <f>'Tariffs Jan2020'!AN12</f>
        <v>0</v>
      </c>
      <c r="T18" s="40">
        <f>'Tariffs Jan2020'!AO12</f>
        <v>0</v>
      </c>
      <c r="U18" s="40">
        <f>'Tariffs Jan2020'!AP12</f>
        <v>12</v>
      </c>
      <c r="V18" s="40">
        <f>'Tariffs Jan2020'!AQ12</f>
        <v>0</v>
      </c>
      <c r="W18" s="284">
        <f t="shared" ref="W18" si="6">Q18</f>
        <v>1594.8436363636365</v>
      </c>
      <c r="X18" s="284">
        <f>W18-(Q18*U18/100)</f>
        <v>1403.4624000000001</v>
      </c>
      <c r="Y18" s="507">
        <f t="shared" si="4"/>
        <v>1754.3280000000002</v>
      </c>
      <c r="Z18" s="507">
        <f t="shared" si="4"/>
        <v>1543.8086400000002</v>
      </c>
      <c r="AA18" s="274">
        <f>'Tariffs Jan2020'!AZ12</f>
        <v>0</v>
      </c>
      <c r="AB18" s="274" t="str">
        <f>'Tariffs Jan2020'!BA12</f>
        <v>n</v>
      </c>
      <c r="AC18" s="275" t="str">
        <f>'Tariffs Jan2020'!BJ12</f>
        <v>Y</v>
      </c>
      <c r="AD18" s="425"/>
      <c r="AE18" s="425"/>
      <c r="AF18" s="427"/>
      <c r="AG18" s="427"/>
      <c r="AH18" s="427"/>
      <c r="AI18" s="427"/>
      <c r="AJ18" s="427"/>
      <c r="AK18" s="427"/>
      <c r="AL18" s="427"/>
      <c r="AM18" s="427"/>
      <c r="AN18" s="427"/>
    </row>
    <row r="19" spans="1:40" ht="14" x14ac:dyDescent="0.15">
      <c r="A19" s="270" t="str">
        <f>'Tariffs Jan2020'!F13</f>
        <v>Sumo Power</v>
      </c>
      <c r="B19" s="40" t="str">
        <f>'Tariffs Jan2020'!D13</f>
        <v>Multinet Metro 1</v>
      </c>
      <c r="C19" s="40" t="str">
        <f>'Tariffs Jan2020'!G13</f>
        <v>Select</v>
      </c>
      <c r="D19" s="59">
        <f>365*'Tariffs Jan2020'!H13/100</f>
        <v>273.75</v>
      </c>
      <c r="E19" s="59">
        <f>IF($C$5*'Tariffs Jan2020'!AK13/'Tariffs Jan2020'!AI13&gt;='Tariffs Jan2020'!J13,( 'Tariffs Jan2020'!J13*'Tariffs Jan2020'!O13/100)* 'Tariffs Jan2020'!AI13,($C$5*'Tariffs Jan2020'!AK13/'Tariffs Jan2020'!AI13*'Tariffs Jan2020'!O13/100)* 'Tariffs Jan2020'!AI13)</f>
        <v>205.36363636363632</v>
      </c>
      <c r="F19" s="59">
        <f>IF($C$5*'Tariffs Jan2020'!AK13/'Tariffs Jan2020'!AI13&lt;'Tariffs Jan2020'!J13,0,IF($C$5*'Tariffs Jan2020'!AK13/'Tariffs Jan2020'!AI13&lt;='Tariffs Jan2020'!K13,($C$5*'Tariffs Jan2020'!AK13/'Tariffs Jan2020'!AI13-'Tariffs Jan2020'!J13)*('Tariffs Jan2020'!P13/100)*'Tariffs Jan2020'!AI13,('Tariffs Jan2020'!K13-'Tariffs Jan2020'!J13)*('Tariffs Jan2020'!P13/100)*'Tariffs Jan2020'!AI13))</f>
        <v>177.5454545454545</v>
      </c>
      <c r="G19" s="59">
        <f>IF($C$5*'Tariffs Jan2020'!AK13/'Tariffs Jan2020'!AI13&lt;'Tariffs Jan2020'!K13,0,IF($C$5*'Tariffs Jan2020'!AK13/'Tariffs Jan2020'!AI13&lt;='Tariffs Jan2020'!L13,($C$5*'Tariffs Jan2020'!AK13/'Tariffs Jan2020'!AI13-'Tariffs Jan2020'!K13)*('Tariffs Jan2020'!Q13/100)*'Tariffs Jan2020'!AI13,('Tariffs Jan2020'!L13-'Tariffs Jan2020'!K13)*('Tariffs Jan2020'!Q13/100)*'Tariffs Jan2020'!AI13))</f>
        <v>145.63636363636363</v>
      </c>
      <c r="H19" s="59">
        <f>IF($C$5*'Tariffs Jan2020'!AK13/'Tariffs Jan2020'!AI13&lt;'Tariffs Jan2020'!L13,0,IF($C$5*'Tariffs Jan2020'!AK13/'Tariffs Jan2020'!AI13&lt;='Tariffs Jan2020'!M13,($C$5*'Tariffs Jan2020'!AK13/'Tariffs Jan2020'!AI13-'Tariffs Jan2020'!L13)*('Tariffs Jan2020'!R13/100)*'Tariffs Jan2020'!AI13,('Tariffs Jan2020'!M13-'Tariffs Jan2020'!L13)*('Tariffs Jan2020'!R13/100)*'Tariffs Jan2020'!AI13))</f>
        <v>63.409090909090899</v>
      </c>
      <c r="I19" s="59">
        <f>IF(($C$5*'Tariffs Jan2020'!AK13/'Tariffs Jan2020'!AI13&gt;'Tariffs Jan2020'!M13),($C$5*'Tariffs Jan2020'!AK13/'Tariffs Jan2020'!AI13-'Tariffs Jan2020'!M13)*'Tariffs Jan2020'!S13/100*'Tariffs Jan2020'!AI13,0)</f>
        <v>0</v>
      </c>
      <c r="J19" s="59">
        <f>IF($C$5*'Tariffs Jan2020'!AL13/'Tariffs Jan2020'!AJ13&gt;='Tariffs Jan2020'!J13,('Tariffs Jan2020'!J13*'Tariffs Jan2020'!U13/100)* 'Tariffs Jan2020'!AJ13,($C$5*'Tariffs Jan2020'!AL13/'Tariffs Jan2020'!AJ13*'Tariffs Jan2020'!U13/100)* 'Tariffs Jan2020'!AJ13)</f>
        <v>181.63636363636363</v>
      </c>
      <c r="K19" s="59">
        <f>IF($C$5*'Tariffs Jan2020'!AL13/'Tariffs Jan2020'!AJ13&lt;'Tariffs Jan2020'!J13,0,IF($C$5*'Tariffs Jan2020'!AL13/'Tariffs Jan2020'!AJ13&lt;='Tariffs Jan2020'!K13,($C$5*'Tariffs Jan2020'!AL13/'Tariffs Jan2020'!AJ13-'Tariffs Jan2020'!J13)*('Tariffs Jan2020'!V13/100)*'Tariffs Jan2020'!AJ13,('Tariffs Jan2020'!K13-'Tariffs Jan2020'!J13)*('Tariffs Jan2020'!V13/100)*'Tariffs Jan2020'!AJ13))</f>
        <v>159.5454545454545</v>
      </c>
      <c r="L19" s="59">
        <f>IF($C$5*'Tariffs Jan2020'!AL13/'Tariffs Jan2020'!AJ13&lt;'Tariffs Jan2020'!K13,0,IF($C$5*'Tariffs Jan2020'!AL13/'Tariffs Jan2020'!AJ13&lt;='Tariffs Jan2020'!L13,($C$5*'Tariffs Jan2020'!AL13/'Tariffs Jan2020'!AJ13-'Tariffs Jan2020'!K13)*('Tariffs Jan2020'!W13/100)*'Tariffs Jan2020'!AJ13,('Tariffs Jan2020'!L13-'Tariffs Jan2020'!K13)*('Tariffs Jan2020'!W13/100)*'Tariffs Jan2020'!AJ13))</f>
        <v>126.8181818181818</v>
      </c>
      <c r="M19" s="59">
        <f>IF($C$5*'Tariffs Jan2020'!AL13/'Tariffs Jan2020'!AJ13&lt;'Tariffs Jan2020'!L13,0,IF($C$5*'Tariffs Jan2020'!AL13/'Tariffs Jan2020'!AJ13&lt;='Tariffs Jan2020'!M13,($C$5*'Tariffs Jan2020'!AL13/'Tariffs Jan2020'!AJ13-'Tariffs Jan2020'!L13)*('Tariffs Jan2020'!X13/100)*'Tariffs Jan2020'!AJ13,('Tariffs Jan2020'!M13-'Tariffs Jan2020'!L13)*('Tariffs Jan2020'!X13/100)*'Tariffs Jan2020'!AJ13))</f>
        <v>58.499999999999986</v>
      </c>
      <c r="N19" s="59">
        <f>IF(($C$5*'Tariffs Jan2020'!AL13/'Tariffs Jan2020'!AJ13&gt;'Tariffs Jan2020'!M13),($C$5*'Tariffs Jan2020'!AL13/'Tariffs Jan2020'!AJ13-'Tariffs Jan2020'!M13)*'Tariffs Jan2020'!Y13/100*'Tariffs Jan2020'!AJ13,0)</f>
        <v>0</v>
      </c>
      <c r="O19" s="59">
        <f t="shared" si="0"/>
        <v>1118.4545454545453</v>
      </c>
      <c r="P19" s="503">
        <f t="shared" si="1"/>
        <v>1230.3</v>
      </c>
      <c r="Q19" s="59">
        <f t="shared" si="2"/>
        <v>1392.2045454545453</v>
      </c>
      <c r="R19" s="272">
        <f t="shared" si="3"/>
        <v>1531.425</v>
      </c>
      <c r="S19" s="40">
        <f>'Tariffs Jan2020'!AN13</f>
        <v>0</v>
      </c>
      <c r="T19" s="40">
        <f>'Tariffs Jan2020'!AO13</f>
        <v>0</v>
      </c>
      <c r="U19" s="40">
        <f>'Tariffs Jan2020'!AP13</f>
        <v>5</v>
      </c>
      <c r="V19" s="40">
        <f>'Tariffs Jan2020'!AQ13</f>
        <v>0</v>
      </c>
      <c r="W19" s="284">
        <f t="shared" si="5"/>
        <v>1392.2045454545453</v>
      </c>
      <c r="X19" s="284">
        <f>W19-(Q19*U19/100)</f>
        <v>1322.5943181818179</v>
      </c>
      <c r="Y19" s="507">
        <f t="shared" si="4"/>
        <v>1531.425</v>
      </c>
      <c r="Z19" s="507">
        <f t="shared" si="4"/>
        <v>1454.8537499999998</v>
      </c>
      <c r="AA19" s="274">
        <f>'Tariffs Jan2020'!AZ13</f>
        <v>0</v>
      </c>
      <c r="AB19" s="274" t="str">
        <f>'Tariffs Jan2020'!BA13</f>
        <v>n</v>
      </c>
      <c r="AC19" s="275" t="str">
        <f>'Tariffs Jan2020'!BJ13</f>
        <v>Y</v>
      </c>
      <c r="AD19" s="425"/>
      <c r="AE19" s="425"/>
      <c r="AF19" s="427"/>
      <c r="AG19" s="427"/>
      <c r="AH19" s="427"/>
      <c r="AI19" s="427"/>
      <c r="AJ19" s="427"/>
      <c r="AK19" s="427"/>
      <c r="AL19" s="427"/>
      <c r="AM19" s="427"/>
      <c r="AN19" s="427"/>
    </row>
    <row r="20" spans="1:40" ht="14" x14ac:dyDescent="0.15">
      <c r="A20" s="270" t="str">
        <f>'Tariffs Jan2020'!F14</f>
        <v>Amaysim</v>
      </c>
      <c r="B20" s="40" t="str">
        <f>'Tariffs Jan2020'!D14</f>
        <v>Multinet Metro 1</v>
      </c>
      <c r="C20" s="40" t="str">
        <f>'Tariffs Jan2020'!G14</f>
        <v>Gas as you go</v>
      </c>
      <c r="D20" s="59">
        <f>365*'Tariffs Jan2020'!H14/100</f>
        <v>193.84419999999997</v>
      </c>
      <c r="E20" s="59">
        <f>IF($C$5*'Tariffs Jan2020'!AK14/'Tariffs Jan2020'!AI14&gt;='Tariffs Jan2020'!J14,( 'Tariffs Jan2020'!J14*'Tariffs Jan2020'!O14/100)* 'Tariffs Jan2020'!AI14,($C$5*'Tariffs Jan2020'!AK14/'Tariffs Jan2020'!AI14*'Tariffs Jan2020'!O14/100)* 'Tariffs Jan2020'!AI14)</f>
        <v>205.02</v>
      </c>
      <c r="F20" s="59">
        <f>IF($C$5*'Tariffs Jan2020'!AK14/'Tariffs Jan2020'!AI14&lt;'Tariffs Jan2020'!J14,0,IF($C$5*'Tariffs Jan2020'!AK14/'Tariffs Jan2020'!AI14&lt;='Tariffs Jan2020'!K14,($C$5*'Tariffs Jan2020'!AK14/'Tariffs Jan2020'!AI14-'Tariffs Jan2020'!J14)*('Tariffs Jan2020'!P14/100)*'Tariffs Jan2020'!AI14,('Tariffs Jan2020'!K14-'Tariffs Jan2020'!J14)*('Tariffs Jan2020'!P14/100)*'Tariffs Jan2020'!AI14))</f>
        <v>180.53999999999996</v>
      </c>
      <c r="G20" s="59">
        <f>IF($C$5*'Tariffs Jan2020'!AK14/'Tariffs Jan2020'!AI14&lt;'Tariffs Jan2020'!K14,0,IF($C$5*'Tariffs Jan2020'!AK14/'Tariffs Jan2020'!AI14&lt;='Tariffs Jan2020'!L14,($C$5*'Tariffs Jan2020'!AK14/'Tariffs Jan2020'!AI14-'Tariffs Jan2020'!K14)*('Tariffs Jan2020'!Q14/100)*'Tariffs Jan2020'!AI14,('Tariffs Jan2020'!L14-'Tariffs Jan2020'!K14)*('Tariffs Jan2020'!Q14/100)*'Tariffs Jan2020'!AI14))</f>
        <v>156.06</v>
      </c>
      <c r="H20" s="59">
        <f>IF($C$5*'Tariffs Jan2020'!AK14/'Tariffs Jan2020'!AI14&lt;'Tariffs Jan2020'!L14,0,IF($C$5*'Tariffs Jan2020'!AK14/'Tariffs Jan2020'!AI14&lt;='Tariffs Jan2020'!M14,($C$5*'Tariffs Jan2020'!AK14/'Tariffs Jan2020'!AI14-'Tariffs Jan2020'!L14)*('Tariffs Jan2020'!R14/100)*'Tariffs Jan2020'!AI14,('Tariffs Jan2020'!M14-'Tariffs Jan2020'!L14)*('Tariffs Jan2020'!R14/100)*'Tariffs Jan2020'!AI14))</f>
        <v>71.910000000000011</v>
      </c>
      <c r="I20" s="59">
        <f>IF(($C$5*'Tariffs Jan2020'!AK14/'Tariffs Jan2020'!AI14&gt;'Tariffs Jan2020'!M14),($C$5*'Tariffs Jan2020'!AK14/'Tariffs Jan2020'!AI14-'Tariffs Jan2020'!M14)*'Tariffs Jan2020'!S14/100*'Tariffs Jan2020'!AI14,0)</f>
        <v>0</v>
      </c>
      <c r="J20" s="59">
        <f>IF($C$5*'Tariffs Jan2020'!AL14/'Tariffs Jan2020'!AJ14&gt;='Tariffs Jan2020'!J14,('Tariffs Jan2020'!J14*'Tariffs Jan2020'!U14/100)* 'Tariffs Jan2020'!AJ14,($C$5*'Tariffs Jan2020'!AL14/'Tariffs Jan2020'!AJ14*'Tariffs Jan2020'!U14/100)* 'Tariffs Jan2020'!AJ14)</f>
        <v>198.89999999999998</v>
      </c>
      <c r="K20" s="59">
        <f>IF($C$5*'Tariffs Jan2020'!AL14/'Tariffs Jan2020'!AJ14&lt;'Tariffs Jan2020'!J14,0,IF($C$5*'Tariffs Jan2020'!AL14/'Tariffs Jan2020'!AJ14&lt;='Tariffs Jan2020'!K14,($C$5*'Tariffs Jan2020'!AL14/'Tariffs Jan2020'!AJ14-'Tariffs Jan2020'!J14)*('Tariffs Jan2020'!V14/100)*'Tariffs Jan2020'!AJ14,('Tariffs Jan2020'!K14-'Tariffs Jan2020'!J14)*('Tariffs Jan2020'!V14/100)*'Tariffs Jan2020'!AJ14))</f>
        <v>177.48</v>
      </c>
      <c r="L20" s="59">
        <f>IF($C$5*'Tariffs Jan2020'!AL14/'Tariffs Jan2020'!AJ14&lt;'Tariffs Jan2020'!K14,0,IF($C$5*'Tariffs Jan2020'!AL14/'Tariffs Jan2020'!AJ14&lt;='Tariffs Jan2020'!L14,($C$5*'Tariffs Jan2020'!AL14/'Tariffs Jan2020'!AJ14-'Tariffs Jan2020'!K14)*('Tariffs Jan2020'!W14/100)*'Tariffs Jan2020'!AJ14,('Tariffs Jan2020'!L14-'Tariffs Jan2020'!K14)*('Tariffs Jan2020'!W14/100)*'Tariffs Jan2020'!AJ14))</f>
        <v>153.00000000000003</v>
      </c>
      <c r="M20" s="59">
        <f>IF($C$5*'Tariffs Jan2020'!AL14/'Tariffs Jan2020'!AJ14&lt;'Tariffs Jan2020'!L14,0,IF($C$5*'Tariffs Jan2020'!AL14/'Tariffs Jan2020'!AJ14&lt;='Tariffs Jan2020'!M14,($C$5*'Tariffs Jan2020'!AL14/'Tariffs Jan2020'!AJ14-'Tariffs Jan2020'!L14)*('Tariffs Jan2020'!X14/100)*'Tariffs Jan2020'!AJ14,('Tariffs Jan2020'!M14-'Tariffs Jan2020'!L14)*('Tariffs Jan2020'!X14/100)*'Tariffs Jan2020'!AJ14))</f>
        <v>71.910000000000011</v>
      </c>
      <c r="N20" s="59">
        <f>IF(($C$5*'Tariffs Jan2020'!AL14/'Tariffs Jan2020'!AJ14&gt;'Tariffs Jan2020'!M14),($C$5*'Tariffs Jan2020'!AL14/'Tariffs Jan2020'!AJ14-'Tariffs Jan2020'!M14)*'Tariffs Jan2020'!Y14/100*'Tariffs Jan2020'!AJ14,0)</f>
        <v>0</v>
      </c>
      <c r="O20" s="59">
        <f>SUM(E20:N20)</f>
        <v>1214.82</v>
      </c>
      <c r="P20" s="503">
        <f t="shared" si="1"/>
        <v>1336.3020000000001</v>
      </c>
      <c r="Q20" s="59">
        <f>D20+O20</f>
        <v>1408.6641999999999</v>
      </c>
      <c r="R20" s="272">
        <f t="shared" si="3"/>
        <v>1549.53062</v>
      </c>
      <c r="S20" s="40">
        <f>'Tariffs Jan2020'!AN14</f>
        <v>0</v>
      </c>
      <c r="T20" s="40">
        <f>'Tariffs Jan2020'!AO14</f>
        <v>0</v>
      </c>
      <c r="U20" s="40">
        <f>'Tariffs Jan2020'!AP14</f>
        <v>0</v>
      </c>
      <c r="V20" s="40">
        <f>'Tariffs Jan2020'!AQ14</f>
        <v>0</v>
      </c>
      <c r="W20" s="284">
        <f>Q20</f>
        <v>1408.6641999999999</v>
      </c>
      <c r="X20" s="284">
        <f>W20</f>
        <v>1408.6641999999999</v>
      </c>
      <c r="Y20" s="507">
        <f t="shared" si="4"/>
        <v>1549.53062</v>
      </c>
      <c r="Z20" s="507">
        <f t="shared" si="4"/>
        <v>1549.53062</v>
      </c>
      <c r="AA20" s="274">
        <f>'Tariffs Jan2020'!AZ14</f>
        <v>0</v>
      </c>
      <c r="AB20" s="274" t="str">
        <f>'Tariffs Jan2020'!BA14</f>
        <v>n</v>
      </c>
      <c r="AC20" s="275" t="str">
        <f>'Tariffs Jan2020'!BJ14</f>
        <v>N</v>
      </c>
      <c r="AD20" s="425"/>
      <c r="AE20" s="425"/>
      <c r="AF20" s="427"/>
      <c r="AG20" s="427"/>
      <c r="AH20" s="427"/>
      <c r="AI20" s="427"/>
      <c r="AJ20" s="427"/>
      <c r="AK20" s="427"/>
      <c r="AL20" s="427"/>
      <c r="AM20" s="427"/>
      <c r="AN20" s="427"/>
    </row>
    <row r="21" spans="1:40" ht="14" x14ac:dyDescent="0.15">
      <c r="A21" s="270" t="str">
        <f>'Tariffs Jan2020'!F15</f>
        <v>GloBird Energy</v>
      </c>
      <c r="B21" s="40" t="str">
        <f>'Tariffs Jan2020'!D15</f>
        <v>Multinet Metro 1</v>
      </c>
      <c r="C21" s="40" t="str">
        <f>'Tariffs Jan2020'!G15</f>
        <v>GloSave</v>
      </c>
      <c r="D21" s="59">
        <f>365*'Tariffs Jan2020'!H15/100</f>
        <v>237.25</v>
      </c>
      <c r="E21" s="59">
        <f>IF($C$5*'Tariffs Jan2020'!AK15/'Tariffs Jan2020'!AI15&gt;='Tariffs Jan2020'!J15,( 'Tariffs Jan2020'!J15*'Tariffs Jan2020'!O15/100)* 'Tariffs Jan2020'!AI15,($C$5*'Tariffs Jan2020'!AK15/'Tariffs Jan2020'!AI15*'Tariffs Jan2020'!O15/100)* 'Tariffs Jan2020'!AI15)</f>
        <v>247.6363636363636</v>
      </c>
      <c r="F21" s="59">
        <f>IF($C$5*'Tariffs Jan2020'!AK15/'Tariffs Jan2020'!AI15&lt;'Tariffs Jan2020'!J15,0,IF($C$5*'Tariffs Jan2020'!AK15/'Tariffs Jan2020'!AI15&lt;='Tariffs Jan2020'!K15,($C$5*'Tariffs Jan2020'!AK15/'Tariffs Jan2020'!AI15-'Tariffs Jan2020'!J15)*('Tariffs Jan2020'!P15/100)*'Tariffs Jan2020'!AI15,('Tariffs Jan2020'!K15-'Tariffs Jan2020'!J15)*('Tariffs Jan2020'!P15/100)*'Tariffs Jan2020'!AI15))</f>
        <v>0</v>
      </c>
      <c r="G21" s="59">
        <f>IF($C$5*'Tariffs Jan2020'!AK15/'Tariffs Jan2020'!AI15&lt;'Tariffs Jan2020'!K15,0,IF($C$5*'Tariffs Jan2020'!AK15/'Tariffs Jan2020'!AI15&lt;='Tariffs Jan2020'!L15,($C$5*'Tariffs Jan2020'!AK15/'Tariffs Jan2020'!AI15-'Tariffs Jan2020'!K15)*('Tariffs Jan2020'!Q15/100)*'Tariffs Jan2020'!AI15,('Tariffs Jan2020'!L15-'Tariffs Jan2020'!K15)*('Tariffs Jan2020'!Q15/100)*'Tariffs Jan2020'!AI15))</f>
        <v>0</v>
      </c>
      <c r="H21" s="59">
        <f>IF($C$5*'Tariffs Jan2020'!AK15/'Tariffs Jan2020'!AI15&lt;'Tariffs Jan2020'!L15,0,IF($C$5*'Tariffs Jan2020'!AK15/'Tariffs Jan2020'!AI15&lt;='Tariffs Jan2020'!M15,($C$5*'Tariffs Jan2020'!AK15/'Tariffs Jan2020'!AI15-'Tariffs Jan2020'!L15)*('Tariffs Jan2020'!R15/100)*'Tariffs Jan2020'!AI15,('Tariffs Jan2020'!M15-'Tariffs Jan2020'!L15)*('Tariffs Jan2020'!R15/100)*'Tariffs Jan2020'!AI15))</f>
        <v>0</v>
      </c>
      <c r="I21" s="59">
        <f>IF(($C$5*'Tariffs Jan2020'!AK15/'Tariffs Jan2020'!AI15&gt;'Tariffs Jan2020'!M15),($C$5*'Tariffs Jan2020'!AK15/'Tariffs Jan2020'!AI15-'Tariffs Jan2020'!M15)*'Tariffs Jan2020'!S15/100*'Tariffs Jan2020'!AI15,0)</f>
        <v>137.42247272727269</v>
      </c>
      <c r="J21" s="59">
        <f>IF($C$5*'Tariffs Jan2020'!AL15/'Tariffs Jan2020'!AJ15&gt;='Tariffs Jan2020'!J15,('Tariffs Jan2020'!J15*'Tariffs Jan2020'!U15/100)* 'Tariffs Jan2020'!AJ15,($C$5*'Tariffs Jan2020'!AL15/'Tariffs Jan2020'!AJ15*'Tariffs Jan2020'!U15/100)* 'Tariffs Jan2020'!AJ15)</f>
        <v>495.2727272727272</v>
      </c>
      <c r="K21" s="59">
        <f>IF($C$5*'Tariffs Jan2020'!AL15/'Tariffs Jan2020'!AJ15&lt;'Tariffs Jan2020'!J15,0,IF($C$5*'Tariffs Jan2020'!AL15/'Tariffs Jan2020'!AJ15&lt;='Tariffs Jan2020'!K15,($C$5*'Tariffs Jan2020'!AL15/'Tariffs Jan2020'!AJ15-'Tariffs Jan2020'!J15)*('Tariffs Jan2020'!V15/100)*'Tariffs Jan2020'!AJ15,('Tariffs Jan2020'!K15-'Tariffs Jan2020'!J15)*('Tariffs Jan2020'!V15/100)*'Tariffs Jan2020'!AJ15))</f>
        <v>0</v>
      </c>
      <c r="L21" s="59">
        <f>IF($C$5*'Tariffs Jan2020'!AL15/'Tariffs Jan2020'!AJ15&lt;'Tariffs Jan2020'!K15,0,IF($C$5*'Tariffs Jan2020'!AL15/'Tariffs Jan2020'!AJ15&lt;='Tariffs Jan2020'!L15,($C$5*'Tariffs Jan2020'!AL15/'Tariffs Jan2020'!AJ15-'Tariffs Jan2020'!K15)*('Tariffs Jan2020'!W15/100)*'Tariffs Jan2020'!AJ15,('Tariffs Jan2020'!L15-'Tariffs Jan2020'!K15)*('Tariffs Jan2020'!W15/100)*'Tariffs Jan2020'!AJ15))</f>
        <v>0</v>
      </c>
      <c r="M21" s="59">
        <f>IF($C$5*'Tariffs Jan2020'!AL15/'Tariffs Jan2020'!AJ15&lt;'Tariffs Jan2020'!L15,0,IF($C$5*'Tariffs Jan2020'!AL15/'Tariffs Jan2020'!AJ15&lt;='Tariffs Jan2020'!M15,($C$5*'Tariffs Jan2020'!AL15/'Tariffs Jan2020'!AJ15-'Tariffs Jan2020'!L15)*('Tariffs Jan2020'!X15/100)*'Tariffs Jan2020'!AJ15,('Tariffs Jan2020'!M15-'Tariffs Jan2020'!L15)*('Tariffs Jan2020'!X15/100)*'Tariffs Jan2020'!AJ15))</f>
        <v>0</v>
      </c>
      <c r="N21" s="59">
        <f>IF(($C$5*'Tariffs Jan2020'!AL15/'Tariffs Jan2020'!AJ15&gt;'Tariffs Jan2020'!M15),($C$5*'Tariffs Jan2020'!AL15/'Tariffs Jan2020'!AJ15-'Tariffs Jan2020'!M15)*'Tariffs Jan2020'!Y15/100*'Tariffs Jan2020'!AJ15,0)</f>
        <v>274.84494545454538</v>
      </c>
      <c r="O21" s="59">
        <f>SUM(E21:N21)</f>
        <v>1155.1765090909089</v>
      </c>
      <c r="P21" s="503">
        <f t="shared" si="1"/>
        <v>1270.6941599999998</v>
      </c>
      <c r="Q21" s="59">
        <f>D21+O21</f>
        <v>1392.4265090909089</v>
      </c>
      <c r="R21" s="272">
        <f t="shared" si="3"/>
        <v>1531.6691599999999</v>
      </c>
      <c r="S21" s="40">
        <f>'Tariffs Jan2020'!AN15</f>
        <v>0</v>
      </c>
      <c r="T21" s="40">
        <f>'Tariffs Jan2020'!AO15</f>
        <v>0</v>
      </c>
      <c r="U21" s="40">
        <f>'Tariffs Jan2020'!AP15</f>
        <v>5</v>
      </c>
      <c r="V21" s="40">
        <f>'Tariffs Jan2020'!AQ15</f>
        <v>0</v>
      </c>
      <c r="W21" s="284">
        <f>Q21</f>
        <v>1392.4265090909089</v>
      </c>
      <c r="X21" s="284">
        <f>W21-(Q21*U21/100)</f>
        <v>1322.8051836363634</v>
      </c>
      <c r="Y21" s="507">
        <f t="shared" si="4"/>
        <v>1531.6691599999999</v>
      </c>
      <c r="Z21" s="507">
        <f t="shared" si="4"/>
        <v>1455.0857019999999</v>
      </c>
      <c r="AA21" s="274">
        <f>'Tariffs Jan2020'!AZ15</f>
        <v>0</v>
      </c>
      <c r="AB21" s="274" t="str">
        <f>'Tariffs Jan2020'!BA15</f>
        <v>n</v>
      </c>
      <c r="AC21" s="275" t="str">
        <f>'Tariffs Jan2020'!BJ15</f>
        <v>N</v>
      </c>
      <c r="AD21" s="425"/>
      <c r="AE21" s="425"/>
      <c r="AF21" s="427"/>
      <c r="AG21" s="427"/>
      <c r="AH21" s="427"/>
      <c r="AI21" s="427"/>
      <c r="AJ21" s="427"/>
      <c r="AK21" s="427"/>
      <c r="AL21" s="427"/>
      <c r="AM21" s="427"/>
      <c r="AN21" s="427"/>
    </row>
    <row r="22" spans="1:40" ht="14" x14ac:dyDescent="0.15">
      <c r="A22" s="270" t="str">
        <f>'Tariffs Jan2020'!F16</f>
        <v>Powershop</v>
      </c>
      <c r="B22" s="40" t="str">
        <f>'Tariffs Jan2020'!D16</f>
        <v>Multinet Metro 1</v>
      </c>
      <c r="C22" s="40" t="str">
        <f>'Tariffs Jan2020'!G16</f>
        <v>Shopper with Gas Saver</v>
      </c>
      <c r="D22" s="59">
        <f>365*'Tariffs Jan2020'!H16/100</f>
        <v>258.05499999999995</v>
      </c>
      <c r="E22" s="59">
        <f>((C$5*'Tariffs Jan2020'!AK16/'Tariffs Jan2020'!AI16)*('Tariffs Jan2020'!O16/100))*'Tariffs Jan2020'!AI16</f>
        <v>595.63636363636374</v>
      </c>
      <c r="F22" s="59">
        <v>0</v>
      </c>
      <c r="G22" s="59">
        <v>0</v>
      </c>
      <c r="H22" s="59">
        <v>0</v>
      </c>
      <c r="I22" s="59">
        <v>0</v>
      </c>
      <c r="J22" s="59">
        <f>((C$5*'Tariffs Jan2020'!AL16/'Tariffs Jan2020'!AJ16)*('Tariffs Jan2020'!U16/100))*'Tariffs Jan2020'!AJ16</f>
        <v>535.5</v>
      </c>
      <c r="K22" s="59">
        <v>0</v>
      </c>
      <c r="L22" s="59">
        <v>0</v>
      </c>
      <c r="M22" s="59">
        <v>0</v>
      </c>
      <c r="N22" s="59">
        <v>0</v>
      </c>
      <c r="O22" s="59">
        <f>SUM(E22:N22)</f>
        <v>1131.1363636363637</v>
      </c>
      <c r="P22" s="503">
        <f t="shared" si="1"/>
        <v>1244.2500000000002</v>
      </c>
      <c r="Q22" s="59">
        <f>D22+O22</f>
        <v>1389.1913636363638</v>
      </c>
      <c r="R22" s="272">
        <f t="shared" si="3"/>
        <v>1528.1105000000002</v>
      </c>
      <c r="S22" s="40">
        <f>'Tariffs Jan2020'!AN16</f>
        <v>0</v>
      </c>
      <c r="T22" s="40">
        <f>'Tariffs Jan2020'!AO16</f>
        <v>0</v>
      </c>
      <c r="U22" s="40">
        <f>'Tariffs Jan2020'!AP16</f>
        <v>5</v>
      </c>
      <c r="V22" s="40">
        <f>'Tariffs Jan2020'!AQ16</f>
        <v>0</v>
      </c>
      <c r="W22" s="284">
        <f>R22</f>
        <v>1528.1105000000002</v>
      </c>
      <c r="X22" s="284">
        <f>W22-(W22*U22/100)</f>
        <v>1451.7049750000001</v>
      </c>
      <c r="Y22" s="507">
        <f>W22</f>
        <v>1528.1105000000002</v>
      </c>
      <c r="Z22" s="507">
        <f>X22</f>
        <v>1451.7049750000001</v>
      </c>
      <c r="AA22" s="274">
        <f>'Tariffs Jan2020'!AZ16</f>
        <v>0</v>
      </c>
      <c r="AB22" s="274" t="str">
        <f>'Tariffs Jan2020'!BA16</f>
        <v>n</v>
      </c>
      <c r="AC22" s="275" t="str">
        <f>'Tariffs Jan2020'!BJ16</f>
        <v>Y</v>
      </c>
      <c r="AD22" s="425"/>
      <c r="AE22" s="425"/>
      <c r="AF22" s="427"/>
      <c r="AG22" s="427"/>
      <c r="AH22" s="427"/>
      <c r="AI22" s="427"/>
      <c r="AJ22" s="427"/>
      <c r="AK22" s="427"/>
      <c r="AL22" s="427"/>
      <c r="AM22" s="427"/>
      <c r="AN22" s="427"/>
    </row>
    <row r="23" spans="1:40" ht="14" x14ac:dyDescent="0.15">
      <c r="A23" s="270" t="str">
        <f>'Tariffs Jan2020'!F17</f>
        <v>DC Power Co</v>
      </c>
      <c r="B23" s="40" t="str">
        <f>'Tariffs Jan2020'!D17</f>
        <v>Multinet Metro 1</v>
      </c>
      <c r="C23" s="40" t="str">
        <f>'Tariffs Jan2020'!G17</f>
        <v>Market offer</v>
      </c>
      <c r="D23" s="59">
        <f>365*'Tariffs Jan2020'!H17/100</f>
        <v>271.92500000000001</v>
      </c>
      <c r="E23" s="59">
        <f>((C$5*'Tariffs Jan2020'!AK17/'Tariffs Jan2020'!AI17)*('Tariffs Jan2020'!O17/100))*'Tariffs Jan2020'!AI17</f>
        <v>575.59090909090901</v>
      </c>
      <c r="F23" s="59">
        <v>0</v>
      </c>
      <c r="G23" s="59">
        <v>0</v>
      </c>
      <c r="H23" s="59">
        <v>0</v>
      </c>
      <c r="I23" s="59">
        <v>0</v>
      </c>
      <c r="J23" s="59">
        <f>((C$5*'Tariffs Jan2020'!AL17/'Tariffs Jan2020'!AJ17)*('Tariffs Jan2020'!U17/100))*'Tariffs Jan2020'!AJ17</f>
        <v>515.45454545454538</v>
      </c>
      <c r="K23" s="59">
        <v>0</v>
      </c>
      <c r="L23" s="59">
        <v>0</v>
      </c>
      <c r="M23" s="59">
        <v>0</v>
      </c>
      <c r="N23" s="59">
        <v>0</v>
      </c>
      <c r="O23" s="59">
        <f>SUM(E23:N23)</f>
        <v>1091.0454545454545</v>
      </c>
      <c r="P23" s="503">
        <f t="shared" si="1"/>
        <v>1200.1500000000001</v>
      </c>
      <c r="Q23" s="59">
        <f>D23+O23</f>
        <v>1362.9704545454545</v>
      </c>
      <c r="R23" s="272">
        <f>Q23*1.1</f>
        <v>1499.2674999999999</v>
      </c>
      <c r="S23" s="40">
        <f>'Tariffs Jan2020'!AN17</f>
        <v>0</v>
      </c>
      <c r="T23" s="40">
        <f>'Tariffs Jan2020'!AO17</f>
        <v>0</v>
      </c>
      <c r="U23" s="40">
        <f>'Tariffs Jan2020'!AP17</f>
        <v>0</v>
      </c>
      <c r="V23" s="40">
        <f>'Tariffs Jan2020'!AQ17</f>
        <v>0</v>
      </c>
      <c r="W23" s="284">
        <f t="shared" ref="W23:W25" si="7">Q23</f>
        <v>1362.9704545454545</v>
      </c>
      <c r="X23" s="284">
        <f>W23</f>
        <v>1362.9704545454545</v>
      </c>
      <c r="Y23" s="507">
        <f>W23*1.1</f>
        <v>1499.2674999999999</v>
      </c>
      <c r="Z23" s="507">
        <f>X23*1.1</f>
        <v>1499.2674999999999</v>
      </c>
      <c r="AA23" s="274">
        <f>'Tariffs Jan2020'!AZ17</f>
        <v>0</v>
      </c>
      <c r="AB23" s="274" t="str">
        <f>'Tariffs Jan2020'!BA17</f>
        <v>n</v>
      </c>
      <c r="AC23" s="275" t="str">
        <f>'Tariffs Jan2020'!BJ17</f>
        <v>Y</v>
      </c>
      <c r="AD23" s="425"/>
      <c r="AE23" s="425"/>
      <c r="AF23" s="427"/>
      <c r="AG23" s="427"/>
      <c r="AH23" s="427"/>
      <c r="AI23" s="427"/>
      <c r="AJ23" s="427"/>
      <c r="AK23" s="427"/>
      <c r="AL23" s="427"/>
      <c r="AM23" s="427"/>
      <c r="AN23" s="427"/>
    </row>
    <row r="24" spans="1:40" ht="14" x14ac:dyDescent="0.15">
      <c r="A24" s="270" t="str">
        <f>'Tariffs Jan2020'!F18</f>
        <v>1st Energy</v>
      </c>
      <c r="B24" s="40" t="str">
        <f>'Tariffs Jan2020'!D18</f>
        <v>Multinet Metro 1</v>
      </c>
      <c r="C24" s="40" t="str">
        <f>'Tariffs Jan2020'!G18</f>
        <v>1st Saver</v>
      </c>
      <c r="D24" s="59">
        <f>365*'Tariffs Jan2020'!H18/100</f>
        <v>259.14999999999998</v>
      </c>
      <c r="E24" s="59">
        <f>IF($C$5*'Tariffs Jan2020'!AK18/'Tariffs Jan2020'!AI18&gt;='Tariffs Jan2020'!J18,( 'Tariffs Jan2020'!J18*'Tariffs Jan2020'!O18/100)* 'Tariffs Jan2020'!AI18,($C$5*'Tariffs Jan2020'!AK18/'Tariffs Jan2020'!AI18*'Tariffs Jan2020'!O18/100)* 'Tariffs Jan2020'!AI18)</f>
        <v>214.36363636363637</v>
      </c>
      <c r="F24" s="59">
        <f>IF($C$5*'Tariffs Jan2020'!AK18/'Tariffs Jan2020'!AI18&lt;'Tariffs Jan2020'!J18,0,IF($C$5*'Tariffs Jan2020'!AK18/'Tariffs Jan2020'!AI18&lt;='Tariffs Jan2020'!K18,($C$5*'Tariffs Jan2020'!AK18/'Tariffs Jan2020'!AI18-'Tariffs Jan2020'!J18)*('Tariffs Jan2020'!P18/100)*'Tariffs Jan2020'!AI18,('Tariffs Jan2020'!K18-'Tariffs Jan2020'!J18)*('Tariffs Jan2020'!P18/100)*'Tariffs Jan2020'!AI18))</f>
        <v>187.36363636363635</v>
      </c>
      <c r="G24" s="59">
        <f>IF($C$5*'Tariffs Jan2020'!AK18/'Tariffs Jan2020'!AI18&lt;'Tariffs Jan2020'!K18,0,IF($C$5*'Tariffs Jan2020'!AK18/'Tariffs Jan2020'!AI18&lt;='Tariffs Jan2020'!L18,($C$5*'Tariffs Jan2020'!AK18/'Tariffs Jan2020'!AI18-'Tariffs Jan2020'!K18)*('Tariffs Jan2020'!Q18/100)*'Tariffs Jan2020'!AI18,('Tariffs Jan2020'!L18-'Tariffs Jan2020'!K18)*('Tariffs Jan2020'!Q18/100)*'Tariffs Jan2020'!AI18))</f>
        <v>0</v>
      </c>
      <c r="H24" s="59">
        <f>IF($C$5*'Tariffs Jan2020'!AK18/'Tariffs Jan2020'!AI18&lt;'Tariffs Jan2020'!L18,0,IF($C$5*'Tariffs Jan2020'!AK18/'Tariffs Jan2020'!AI18&lt;='Tariffs Jan2020'!M18,($C$5*'Tariffs Jan2020'!AK18/'Tariffs Jan2020'!AI18-'Tariffs Jan2020'!L18)*('Tariffs Jan2020'!R18/100)*'Tariffs Jan2020'!AI18,('Tariffs Jan2020'!M18-'Tariffs Jan2020'!L18)*('Tariffs Jan2020'!R18/100)*'Tariffs Jan2020'!AI18))</f>
        <v>0</v>
      </c>
      <c r="I24" s="59">
        <f>IF(($C$5*'Tariffs Jan2020'!AK18/'Tariffs Jan2020'!AI18&gt;'Tariffs Jan2020'!M18),($C$5*'Tariffs Jan2020'!AK18/'Tariffs Jan2020'!AI18-'Tariffs Jan2020'!M18)*'Tariffs Jan2020'!S18/100*'Tariffs Jan2020'!AI18,0)</f>
        <v>234.40909090909088</v>
      </c>
      <c r="J24" s="59">
        <f>IF($C$5*'Tariffs Jan2020'!AL18/'Tariffs Jan2020'!AJ18&gt;='Tariffs Jan2020'!J18,('Tariffs Jan2020'!J18*'Tariffs Jan2020'!U18/100)* 'Tariffs Jan2020'!AJ18,($C$5*'Tariffs Jan2020'!AL18/'Tariffs Jan2020'!AJ18*'Tariffs Jan2020'!U18/100)* 'Tariffs Jan2020'!AJ18)</f>
        <v>214.36363636363637</v>
      </c>
      <c r="K24" s="59">
        <f>IF($C$5*'Tariffs Jan2020'!AL18/'Tariffs Jan2020'!AJ18&lt;'Tariffs Jan2020'!J18,0,IF($C$5*'Tariffs Jan2020'!AL18/'Tariffs Jan2020'!AJ18&lt;='Tariffs Jan2020'!K18,($C$5*'Tariffs Jan2020'!AL18/'Tariffs Jan2020'!AJ18-'Tariffs Jan2020'!J18)*('Tariffs Jan2020'!V18/100)*'Tariffs Jan2020'!AJ18,('Tariffs Jan2020'!K18-'Tariffs Jan2020'!J18)*('Tariffs Jan2020'!V18/100)*'Tariffs Jan2020'!AJ18))</f>
        <v>187.36363636363635</v>
      </c>
      <c r="L24" s="59">
        <f>IF($C$5*'Tariffs Jan2020'!AL18/'Tariffs Jan2020'!AJ18&lt;'Tariffs Jan2020'!K18,0,IF($C$5*'Tariffs Jan2020'!AL18/'Tariffs Jan2020'!AJ18&lt;='Tariffs Jan2020'!L18,($C$5*'Tariffs Jan2020'!AL18/'Tariffs Jan2020'!AJ18-'Tariffs Jan2020'!K18)*('Tariffs Jan2020'!W18/100)*'Tariffs Jan2020'!AJ18,('Tariffs Jan2020'!L18-'Tariffs Jan2020'!K18)*('Tariffs Jan2020'!W18/100)*'Tariffs Jan2020'!AJ18))</f>
        <v>0</v>
      </c>
      <c r="M24" s="59">
        <f>IF($C$5*'Tariffs Jan2020'!AL18/'Tariffs Jan2020'!AJ18&lt;'Tariffs Jan2020'!L18,0,IF($C$5*'Tariffs Jan2020'!AL18/'Tariffs Jan2020'!AJ18&lt;='Tariffs Jan2020'!M18,($C$5*'Tariffs Jan2020'!AL18/'Tariffs Jan2020'!AJ18-'Tariffs Jan2020'!L18)*('Tariffs Jan2020'!X18/100)*'Tariffs Jan2020'!AJ18,('Tariffs Jan2020'!M18-'Tariffs Jan2020'!L18)*('Tariffs Jan2020'!X18/100)*'Tariffs Jan2020'!AJ18))</f>
        <v>0</v>
      </c>
      <c r="N24" s="59">
        <f>IF(($C$5*'Tariffs Jan2020'!AL18/'Tariffs Jan2020'!AJ18&gt;'Tariffs Jan2020'!M18),($C$5*'Tariffs Jan2020'!AL18/'Tariffs Jan2020'!AJ18-'Tariffs Jan2020'!M18)*'Tariffs Jan2020'!Y18/100*'Tariffs Jan2020'!AJ18,0)</f>
        <v>234.40909090909088</v>
      </c>
      <c r="O24" s="59">
        <f t="shared" si="0"/>
        <v>1272.272727272727</v>
      </c>
      <c r="P24" s="503">
        <f t="shared" si="1"/>
        <v>1399.4999999999998</v>
      </c>
      <c r="Q24" s="59">
        <f t="shared" si="2"/>
        <v>1531.4227272727271</v>
      </c>
      <c r="R24" s="272">
        <f t="shared" si="3"/>
        <v>1684.5650000000001</v>
      </c>
      <c r="S24" s="40">
        <f>'Tariffs Jan2020'!AN18</f>
        <v>0</v>
      </c>
      <c r="T24" s="40">
        <f>'Tariffs Jan2020'!AO18</f>
        <v>0</v>
      </c>
      <c r="U24" s="40">
        <f>'Tariffs Jan2020'!AP18</f>
        <v>0</v>
      </c>
      <c r="V24" s="40">
        <f>'Tariffs Jan2020'!AQ18</f>
        <v>15</v>
      </c>
      <c r="W24" s="284">
        <f>Q24</f>
        <v>1531.4227272727271</v>
      </c>
      <c r="X24" s="284">
        <f>W24-(O24*V24/100)</f>
        <v>1340.5818181818181</v>
      </c>
      <c r="Y24" s="507">
        <f t="shared" si="4"/>
        <v>1684.5650000000001</v>
      </c>
      <c r="Z24" s="507">
        <f t="shared" si="4"/>
        <v>1474.64</v>
      </c>
      <c r="AA24" s="274">
        <f>'Tariffs Jan2020'!AZ18</f>
        <v>0</v>
      </c>
      <c r="AB24" s="274" t="str">
        <f>'Tariffs Jan2020'!BA18</f>
        <v>n</v>
      </c>
      <c r="AC24" s="275" t="str">
        <f>'Tariffs Jan2020'!BJ18</f>
        <v>Y</v>
      </c>
      <c r="AD24" s="425"/>
      <c r="AE24" s="425"/>
      <c r="AF24" s="427"/>
      <c r="AG24" s="427"/>
      <c r="AH24" s="427"/>
      <c r="AI24" s="427"/>
      <c r="AJ24" s="427"/>
      <c r="AK24" s="427"/>
      <c r="AL24" s="427"/>
      <c r="AM24" s="427"/>
      <c r="AN24" s="427"/>
    </row>
    <row r="25" spans="1:40" ht="15" thickBot="1" x14ac:dyDescent="0.2">
      <c r="A25" s="276" t="str">
        <f>'Tariffs Jan2020'!F19</f>
        <v>Kogan Energy</v>
      </c>
      <c r="B25" s="277" t="str">
        <f>'Tariffs Jan2020'!D19</f>
        <v>Multinet Metro 1</v>
      </c>
      <c r="C25" s="277" t="str">
        <f>'Tariffs Jan2020'!G19</f>
        <v>Market offer</v>
      </c>
      <c r="D25" s="278">
        <f>365*'Tariffs Jan2020'!H19/100</f>
        <v>251.02045454545453</v>
      </c>
      <c r="E25" s="278">
        <f>((C$5*'Tariffs Jan2020'!AK19/'Tariffs Jan2020'!AI19)*('Tariffs Jan2020'!O19/100))*'Tariffs Jan2020'!AI19</f>
        <v>655.77272727272725</v>
      </c>
      <c r="F25" s="278">
        <v>0</v>
      </c>
      <c r="G25" s="278">
        <v>0</v>
      </c>
      <c r="H25" s="278">
        <v>0</v>
      </c>
      <c r="I25" s="278">
        <v>0</v>
      </c>
      <c r="J25" s="278">
        <f>((C$5*'Tariffs Jan2020'!AL19/'Tariffs Jan2020'!AJ19)*('Tariffs Jan2020'!U19/100))*'Tariffs Jan2020'!AJ19</f>
        <v>569.86363636363626</v>
      </c>
      <c r="K25" s="278">
        <v>0</v>
      </c>
      <c r="L25" s="278">
        <v>0</v>
      </c>
      <c r="M25" s="278">
        <v>0</v>
      </c>
      <c r="N25" s="278">
        <v>0</v>
      </c>
      <c r="O25" s="278">
        <f t="shared" si="0"/>
        <v>1225.6363636363635</v>
      </c>
      <c r="P25" s="504">
        <f t="shared" si="1"/>
        <v>1348.2</v>
      </c>
      <c r="Q25" s="278">
        <f t="shared" si="2"/>
        <v>1476.6568181818179</v>
      </c>
      <c r="R25" s="280">
        <f t="shared" si="3"/>
        <v>1624.3224999999998</v>
      </c>
      <c r="S25" s="277">
        <f>'Tariffs Jan2020'!AN19</f>
        <v>0</v>
      </c>
      <c r="T25" s="277">
        <f>'Tariffs Jan2020'!AO19</f>
        <v>0</v>
      </c>
      <c r="U25" s="277">
        <f>'Tariffs Jan2020'!AP19</f>
        <v>0</v>
      </c>
      <c r="V25" s="277">
        <f>'Tariffs Jan2020'!AQ19</f>
        <v>0</v>
      </c>
      <c r="W25" s="285">
        <f t="shared" si="7"/>
        <v>1476.6568181818179</v>
      </c>
      <c r="X25" s="285">
        <f>W25</f>
        <v>1476.6568181818179</v>
      </c>
      <c r="Y25" s="508">
        <f t="shared" si="4"/>
        <v>1624.3224999999998</v>
      </c>
      <c r="Z25" s="508">
        <f t="shared" si="4"/>
        <v>1624.3224999999998</v>
      </c>
      <c r="AA25" s="282">
        <f>'Tariffs Jan2020'!AZ19</f>
        <v>0</v>
      </c>
      <c r="AB25" s="282" t="str">
        <f>'Tariffs Jan2020'!BA19</f>
        <v>n</v>
      </c>
      <c r="AC25" s="283" t="str">
        <f>'Tariffs Jan2020'!BJ19</f>
        <v>N</v>
      </c>
      <c r="AD25" s="425"/>
      <c r="AE25" s="425"/>
      <c r="AF25" s="427"/>
      <c r="AG25" s="427"/>
      <c r="AH25" s="427"/>
      <c r="AI25" s="427"/>
      <c r="AJ25" s="427"/>
      <c r="AK25" s="427"/>
      <c r="AL25" s="427"/>
      <c r="AM25" s="427"/>
      <c r="AN25" s="427"/>
    </row>
    <row r="26" spans="1:40" ht="15" thickTop="1" x14ac:dyDescent="0.15">
      <c r="A26" s="270" t="str">
        <f>'Tariffs Jan2020'!F20</f>
        <v>AGL</v>
      </c>
      <c r="B26" s="40" t="str">
        <f>'Tariffs Jan2020'!D20</f>
        <v>Multinet Metro 2</v>
      </c>
      <c r="C26" s="40" t="str">
        <f>'Tariffs Jan2020'!G20</f>
        <v>Essentials Saver</v>
      </c>
      <c r="D26" s="59">
        <f>365*'Tariffs Jan2020'!H20/100</f>
        <v>295.64999999999998</v>
      </c>
      <c r="E26" s="59">
        <f>IF($C$5*'Tariffs Jan2020'!AK20/'Tariffs Jan2020'!AI20&gt;='Tariffs Jan2020'!J20,( 'Tariffs Jan2020'!J20*'Tariffs Jan2020'!O20/100)* 'Tariffs Jan2020'!AI20,($C$5*'Tariffs Jan2020'!AK20/'Tariffs Jan2020'!AI20*'Tariffs Jan2020'!O20/100)* 'Tariffs Jan2020'!AI20)</f>
        <v>167.72727272727269</v>
      </c>
      <c r="F26" s="59">
        <f>IF($C$5*'Tariffs Jan2020'!AK20/'Tariffs Jan2020'!AI20&lt;'Tariffs Jan2020'!J20,0,IF($C$5*'Tariffs Jan2020'!AK20/'Tariffs Jan2020'!AI20&lt;='Tariffs Jan2020'!K20,($C$5*'Tariffs Jan2020'!AK20/'Tariffs Jan2020'!AI20-'Tariffs Jan2020'!J20)*('Tariffs Jan2020'!P20/100)*'Tariffs Jan2020'!AI20,('Tariffs Jan2020'!K20-'Tariffs Jan2020'!J20)*('Tariffs Jan2020'!P20/100)*'Tariffs Jan2020'!AI20))</f>
        <v>151.36363636363635</v>
      </c>
      <c r="G26" s="59">
        <f>IF($C$5*'Tariffs Jan2020'!AK20/'Tariffs Jan2020'!AI20&lt;'Tariffs Jan2020'!K20,0,IF($C$5*'Tariffs Jan2020'!AK20/'Tariffs Jan2020'!AI20&lt;='Tariffs Jan2020'!L20,($C$5*'Tariffs Jan2020'!AK20/'Tariffs Jan2020'!AI20-'Tariffs Jan2020'!K20)*('Tariffs Jan2020'!Q20/100)*'Tariffs Jan2020'!AI20,('Tariffs Jan2020'!L20-'Tariffs Jan2020'!K20)*('Tariffs Jan2020'!Q20/100)*'Tariffs Jan2020'!AI20))</f>
        <v>121.90909090909091</v>
      </c>
      <c r="H26" s="59">
        <f>IF($C$5*'Tariffs Jan2020'!AK20/'Tariffs Jan2020'!AI20&lt;'Tariffs Jan2020'!L20,0,IF($C$5*'Tariffs Jan2020'!AK20/'Tariffs Jan2020'!AI20&lt;='Tariffs Jan2020'!M20,($C$5*'Tariffs Jan2020'!AK20/'Tariffs Jan2020'!AI20-'Tariffs Jan2020'!L20)*('Tariffs Jan2020'!R20/100)*'Tariffs Jan2020'!AI20,('Tariffs Jan2020'!M20-'Tariffs Jan2020'!L20)*('Tariffs Jan2020'!R20/100)*'Tariffs Jan2020'!AI20))</f>
        <v>53.181818181818173</v>
      </c>
      <c r="I26" s="59">
        <f>IF(($C$5*'Tariffs Jan2020'!AK20/'Tariffs Jan2020'!AI20&gt;'Tariffs Jan2020'!M20),($C$5*'Tariffs Jan2020'!AK20/'Tariffs Jan2020'!AI20-'Tariffs Jan2020'!M20)*'Tariffs Jan2020'!S20/100*'Tariffs Jan2020'!AI20,0)</f>
        <v>0</v>
      </c>
      <c r="J26" s="59">
        <f>IF($C$5*'Tariffs Jan2020'!AL20/'Tariffs Jan2020'!AJ20&gt;='Tariffs Jan2020'!J20,('Tariffs Jan2020'!J20*'Tariffs Jan2020'!U20/100)* 'Tariffs Jan2020'!AJ20,($C$5*'Tariffs Jan2020'!AL20/'Tariffs Jan2020'!AJ20*'Tariffs Jan2020'!U20/100)* 'Tariffs Jan2020'!AJ20)</f>
        <v>159.5454545454545</v>
      </c>
      <c r="K26" s="59">
        <f>IF($C$5*'Tariffs Jan2020'!AL20/'Tariffs Jan2020'!AJ20&lt;'Tariffs Jan2020'!J20,0,IF($C$5*'Tariffs Jan2020'!AL20/'Tariffs Jan2020'!AJ20&lt;='Tariffs Jan2020'!K20,($C$5*'Tariffs Jan2020'!AL20/'Tariffs Jan2020'!AJ20-'Tariffs Jan2020'!J20)*('Tariffs Jan2020'!V20/100)*'Tariffs Jan2020'!AJ20,('Tariffs Jan2020'!K20-'Tariffs Jan2020'!J20)*('Tariffs Jan2020'!V20/100)*'Tariffs Jan2020'!AJ20))</f>
        <v>142.36363636363637</v>
      </c>
      <c r="L26" s="59">
        <f>IF($C$5*'Tariffs Jan2020'!AL20/'Tariffs Jan2020'!AJ20&lt;'Tariffs Jan2020'!K20,0,IF($C$5*'Tariffs Jan2020'!AL20/'Tariffs Jan2020'!AJ20&lt;='Tariffs Jan2020'!L20,($C$5*'Tariffs Jan2020'!AL20/'Tariffs Jan2020'!AJ20-'Tariffs Jan2020'!K20)*('Tariffs Jan2020'!W20/100)*'Tariffs Jan2020'!AJ20,('Tariffs Jan2020'!L20-'Tariffs Jan2020'!K20)*('Tariffs Jan2020'!W20/100)*'Tariffs Jan2020'!AJ20))</f>
        <v>116.99999999999997</v>
      </c>
      <c r="M26" s="59">
        <f>IF($C$5*'Tariffs Jan2020'!AL20/'Tariffs Jan2020'!AJ20&lt;'Tariffs Jan2020'!L20,0,IF($C$5*'Tariffs Jan2020'!AL20/'Tariffs Jan2020'!AJ20&lt;='Tariffs Jan2020'!M20,($C$5*'Tariffs Jan2020'!AL20/'Tariffs Jan2020'!AJ20-'Tariffs Jan2020'!L20)*('Tariffs Jan2020'!X20/100)*'Tariffs Jan2020'!AJ20,('Tariffs Jan2020'!M20-'Tariffs Jan2020'!L20)*('Tariffs Jan2020'!X20/100)*'Tariffs Jan2020'!AJ20))</f>
        <v>51.95454545454546</v>
      </c>
      <c r="N26" s="59">
        <f>IF(($C$5*'Tariffs Jan2020'!AL20/'Tariffs Jan2020'!AJ20&gt;'Tariffs Jan2020'!M20),($C$5*'Tariffs Jan2020'!AL20/'Tariffs Jan2020'!AJ20-'Tariffs Jan2020'!M20)*'Tariffs Jan2020'!Y20/100*'Tariffs Jan2020'!AJ20,0)</f>
        <v>0</v>
      </c>
      <c r="O26" s="59">
        <f t="shared" si="0"/>
        <v>965.04545454545439</v>
      </c>
      <c r="P26" s="503">
        <f t="shared" si="1"/>
        <v>1061.55</v>
      </c>
      <c r="Q26" s="59">
        <f t="shared" si="2"/>
        <v>1260.6954545454544</v>
      </c>
      <c r="R26" s="272">
        <f t="shared" si="3"/>
        <v>1386.7649999999999</v>
      </c>
      <c r="S26" s="40">
        <f>'Tariffs Jan2020'!AN20</f>
        <v>0</v>
      </c>
      <c r="T26" s="40">
        <f>'Tariffs Jan2020'!AO20</f>
        <v>0</v>
      </c>
      <c r="U26" s="40">
        <f>'Tariffs Jan2020'!AP20</f>
        <v>0</v>
      </c>
      <c r="V26" s="40">
        <f>'Tariffs Jan2020'!AQ20</f>
        <v>0</v>
      </c>
      <c r="W26" s="284">
        <f>Q26</f>
        <v>1260.6954545454544</v>
      </c>
      <c r="X26" s="284">
        <f>W26</f>
        <v>1260.6954545454544</v>
      </c>
      <c r="Y26" s="507">
        <f t="shared" si="4"/>
        <v>1386.7649999999999</v>
      </c>
      <c r="Z26" s="507">
        <f t="shared" si="4"/>
        <v>1386.7649999999999</v>
      </c>
      <c r="AA26" s="274">
        <f>'Tariffs Jan2020'!AZ20</f>
        <v>0</v>
      </c>
      <c r="AB26" s="274" t="str">
        <f>'Tariffs Jan2020'!BA20</f>
        <v>n</v>
      </c>
      <c r="AC26" s="275" t="str">
        <f>'Tariffs Jan2020'!BJ20</f>
        <v>N</v>
      </c>
      <c r="AD26" s="425"/>
      <c r="AE26" s="425"/>
      <c r="AF26" s="427"/>
      <c r="AG26" s="427"/>
      <c r="AH26" s="427"/>
      <c r="AI26" s="427"/>
      <c r="AJ26" s="427"/>
      <c r="AK26" s="427"/>
      <c r="AL26" s="427"/>
      <c r="AM26" s="427"/>
      <c r="AN26" s="427"/>
    </row>
    <row r="27" spans="1:40" ht="14" x14ac:dyDescent="0.15">
      <c r="A27" s="270" t="str">
        <f>'Tariffs Jan2020'!F21</f>
        <v>Alinta Energy</v>
      </c>
      <c r="B27" s="40" t="str">
        <f>'Tariffs Jan2020'!D21</f>
        <v>Multinet Metro 2</v>
      </c>
      <c r="C27" s="40" t="str">
        <f>'Tariffs Jan2020'!G21</f>
        <v>Home Deal</v>
      </c>
      <c r="D27" s="59">
        <f>365*'Tariffs Jan2020'!H21/100</f>
        <v>251.85</v>
      </c>
      <c r="E27" s="59">
        <f>IF($C$5*'Tariffs Jan2020'!AK21/'Tariffs Jan2020'!AI21&gt;='Tariffs Jan2020'!J21,( 'Tariffs Jan2020'!J21*'Tariffs Jan2020'!O21/100)* 'Tariffs Jan2020'!AI21,($C$5*'Tariffs Jan2020'!AK21/'Tariffs Jan2020'!AI21*'Tariffs Jan2020'!O21/100)* 'Tariffs Jan2020'!AI21)</f>
        <v>189</v>
      </c>
      <c r="F27" s="59">
        <f>IF($C$5*'Tariffs Jan2020'!AK21/'Tariffs Jan2020'!AI21&lt;'Tariffs Jan2020'!J21,0,IF($C$5*'Tariffs Jan2020'!AK21/'Tariffs Jan2020'!AI21&lt;='Tariffs Jan2020'!K21,($C$5*'Tariffs Jan2020'!AK21/'Tariffs Jan2020'!AI21-'Tariffs Jan2020'!J21)*('Tariffs Jan2020'!P21/100)*'Tariffs Jan2020'!AI21,('Tariffs Jan2020'!K21-'Tariffs Jan2020'!J21)*('Tariffs Jan2020'!P21/100)*'Tariffs Jan2020'!AI21))</f>
        <v>170.99999999999994</v>
      </c>
      <c r="G27" s="59">
        <f>IF($C$5*'Tariffs Jan2020'!AK21/'Tariffs Jan2020'!AI21&lt;'Tariffs Jan2020'!K21,0,IF($C$5*'Tariffs Jan2020'!AK21/'Tariffs Jan2020'!AI21&lt;='Tariffs Jan2020'!L21,($C$5*'Tariffs Jan2020'!AK21/'Tariffs Jan2020'!AI21-'Tariffs Jan2020'!K21)*('Tariffs Jan2020'!Q21/100)*'Tariffs Jan2020'!AI21,('Tariffs Jan2020'!L21-'Tariffs Jan2020'!K21)*('Tariffs Jan2020'!Q21/100)*'Tariffs Jan2020'!AI21))</f>
        <v>0</v>
      </c>
      <c r="H27" s="59">
        <f>IF($C$5*'Tariffs Jan2020'!AK21/'Tariffs Jan2020'!AI21&lt;'Tariffs Jan2020'!L21,0,IF($C$5*'Tariffs Jan2020'!AK21/'Tariffs Jan2020'!AI21&lt;='Tariffs Jan2020'!M21,($C$5*'Tariffs Jan2020'!AK21/'Tariffs Jan2020'!AI21-'Tariffs Jan2020'!L21)*('Tariffs Jan2020'!R21/100)*'Tariffs Jan2020'!AI21,('Tariffs Jan2020'!M21-'Tariffs Jan2020'!L21)*('Tariffs Jan2020'!R21/100)*'Tariffs Jan2020'!AI21))</f>
        <v>0</v>
      </c>
      <c r="I27" s="59">
        <f>IF(($C$5*'Tariffs Jan2020'!AK21/'Tariffs Jan2020'!AI21&gt;'Tariffs Jan2020'!M21),($C$5*'Tariffs Jan2020'!AK21/'Tariffs Jan2020'!AI21-'Tariffs Jan2020'!M21)*'Tariffs Jan2020'!S21/100*'Tariffs Jan2020'!AI21,0)</f>
        <v>202.49999999999994</v>
      </c>
      <c r="J27" s="59">
        <f>IF($C$5*'Tariffs Jan2020'!AL21/'Tariffs Jan2020'!AJ21&gt;='Tariffs Jan2020'!J21,('Tariffs Jan2020'!J21*'Tariffs Jan2020'!U21/100)* 'Tariffs Jan2020'!AJ21,($C$5*'Tariffs Jan2020'!AL21/'Tariffs Jan2020'!AJ21*'Tariffs Jan2020'!U21/100)* 'Tariffs Jan2020'!AJ21)</f>
        <v>189</v>
      </c>
      <c r="K27" s="59">
        <f>IF($C$5*'Tariffs Jan2020'!AL21/'Tariffs Jan2020'!AJ21&lt;'Tariffs Jan2020'!J21,0,IF($C$5*'Tariffs Jan2020'!AL21/'Tariffs Jan2020'!AJ21&lt;='Tariffs Jan2020'!K21,($C$5*'Tariffs Jan2020'!AL21/'Tariffs Jan2020'!AJ21-'Tariffs Jan2020'!J21)*('Tariffs Jan2020'!V21/100)*'Tariffs Jan2020'!AJ21,('Tariffs Jan2020'!K21-'Tariffs Jan2020'!J21)*('Tariffs Jan2020'!V21/100)*'Tariffs Jan2020'!AJ21))</f>
        <v>161.99999999999997</v>
      </c>
      <c r="L27" s="59">
        <f>IF($C$5*'Tariffs Jan2020'!AL21/'Tariffs Jan2020'!AJ21&lt;'Tariffs Jan2020'!K21,0,IF($C$5*'Tariffs Jan2020'!AL21/'Tariffs Jan2020'!AJ21&lt;='Tariffs Jan2020'!L21,($C$5*'Tariffs Jan2020'!AL21/'Tariffs Jan2020'!AJ21-'Tariffs Jan2020'!K21)*('Tariffs Jan2020'!W21/100)*'Tariffs Jan2020'!AJ21,('Tariffs Jan2020'!L21-'Tariffs Jan2020'!K21)*('Tariffs Jan2020'!W21/100)*'Tariffs Jan2020'!AJ21))</f>
        <v>0</v>
      </c>
      <c r="M27" s="59">
        <f>IF($C$5*'Tariffs Jan2020'!AL21/'Tariffs Jan2020'!AJ21&lt;'Tariffs Jan2020'!L21,0,IF($C$5*'Tariffs Jan2020'!AL21/'Tariffs Jan2020'!AJ21&lt;='Tariffs Jan2020'!M21,($C$5*'Tariffs Jan2020'!AL21/'Tariffs Jan2020'!AJ21-'Tariffs Jan2020'!L21)*('Tariffs Jan2020'!X21/100)*'Tariffs Jan2020'!AJ21,('Tariffs Jan2020'!M21-'Tariffs Jan2020'!L21)*('Tariffs Jan2020'!X21/100)*'Tariffs Jan2020'!AJ21))</f>
        <v>0</v>
      </c>
      <c r="N27" s="59">
        <f>IF(($C$5*'Tariffs Jan2020'!AL21/'Tariffs Jan2020'!AJ21&gt;'Tariffs Jan2020'!M21),($C$5*'Tariffs Jan2020'!AL21/'Tariffs Jan2020'!AJ21-'Tariffs Jan2020'!M21)*'Tariffs Jan2020'!Y21/100*'Tariffs Jan2020'!AJ21,0)</f>
        <v>202.49999999999994</v>
      </c>
      <c r="O27" s="59">
        <f t="shared" si="0"/>
        <v>1115.9999999999998</v>
      </c>
      <c r="P27" s="503">
        <f t="shared" si="1"/>
        <v>1227.5999999999999</v>
      </c>
      <c r="Q27" s="59">
        <f t="shared" si="2"/>
        <v>1367.8499999999997</v>
      </c>
      <c r="R27" s="272">
        <f t="shared" si="3"/>
        <v>1504.6349999999998</v>
      </c>
      <c r="S27" s="40">
        <f>'Tariffs Jan2020'!AN21</f>
        <v>0</v>
      </c>
      <c r="T27" s="40">
        <f>'Tariffs Jan2020'!AO21</f>
        <v>0</v>
      </c>
      <c r="U27" s="40">
        <f>'Tariffs Jan2020'!AP21</f>
        <v>0</v>
      </c>
      <c r="V27" s="40">
        <f>'Tariffs Jan2020'!AQ21</f>
        <v>0</v>
      </c>
      <c r="W27" s="284">
        <f>Q27</f>
        <v>1367.8499999999997</v>
      </c>
      <c r="X27" s="284">
        <f>W27</f>
        <v>1367.8499999999997</v>
      </c>
      <c r="Y27" s="507">
        <f t="shared" si="4"/>
        <v>1504.6349999999998</v>
      </c>
      <c r="Z27" s="507">
        <f t="shared" si="4"/>
        <v>1504.6349999999998</v>
      </c>
      <c r="AA27" s="274">
        <f>'Tariffs Jan2020'!AZ21</f>
        <v>0</v>
      </c>
      <c r="AB27" s="274" t="str">
        <f>'Tariffs Jan2020'!BA21</f>
        <v>n</v>
      </c>
      <c r="AC27" s="275" t="str">
        <f>'Tariffs Jan2020'!BJ21</f>
        <v>N</v>
      </c>
      <c r="AD27" s="425"/>
      <c r="AE27" s="425"/>
      <c r="AF27" s="427"/>
      <c r="AG27" s="427"/>
      <c r="AH27" s="427"/>
      <c r="AI27" s="427"/>
      <c r="AJ27" s="427"/>
      <c r="AK27" s="427"/>
      <c r="AL27" s="427"/>
      <c r="AM27" s="427"/>
      <c r="AN27" s="427"/>
    </row>
    <row r="28" spans="1:40" ht="14" x14ac:dyDescent="0.15">
      <c r="A28" s="270" t="str">
        <f>'Tariffs Jan2020'!F22</f>
        <v>Click Energy</v>
      </c>
      <c r="B28" s="40" t="str">
        <f>'Tariffs Jan2020'!D22</f>
        <v>Multinet Metro 2</v>
      </c>
      <c r="C28" s="40" t="str">
        <f>'Tariffs Jan2020'!G22</f>
        <v>Hibiscus</v>
      </c>
      <c r="D28" s="59">
        <f>365*'Tariffs Jan2020'!H22/100</f>
        <v>210.93681818181815</v>
      </c>
      <c r="E28" s="59">
        <f>IF($C$5*'Tariffs Jan2020'!AK22/'Tariffs Jan2020'!AI22&gt;='Tariffs Jan2020'!J22,( 'Tariffs Jan2020'!J22*'Tariffs Jan2020'!O22/100)* 'Tariffs Jan2020'!AI22,($C$5*'Tariffs Jan2020'!AK22/'Tariffs Jan2020'!AI22*'Tariffs Jan2020'!O22/100)* 'Tariffs Jan2020'!AI22)</f>
        <v>223.36363636363632</v>
      </c>
      <c r="F28" s="59">
        <f>IF($C$5*'Tariffs Jan2020'!AK22/'Tariffs Jan2020'!AI22&lt;'Tariffs Jan2020'!J22,0,IF($C$5*'Tariffs Jan2020'!AK22/'Tariffs Jan2020'!AI22&lt;='Tariffs Jan2020'!K22,($C$5*'Tariffs Jan2020'!AK22/'Tariffs Jan2020'!AI22-'Tariffs Jan2020'!J22)*('Tariffs Jan2020'!P22/100)*'Tariffs Jan2020'!AI22,('Tariffs Jan2020'!K22-'Tariffs Jan2020'!J22)*('Tariffs Jan2020'!P22/100)*'Tariffs Jan2020'!AI22))</f>
        <v>196.36363636363637</v>
      </c>
      <c r="G28" s="59">
        <f>IF($C$5*'Tariffs Jan2020'!AK22/'Tariffs Jan2020'!AI22&lt;'Tariffs Jan2020'!K22,0,IF($C$5*'Tariffs Jan2020'!AK22/'Tariffs Jan2020'!AI22&lt;='Tariffs Jan2020'!L22,($C$5*'Tariffs Jan2020'!AK22/'Tariffs Jan2020'!AI22-'Tariffs Jan2020'!K22)*('Tariffs Jan2020'!Q22/100)*'Tariffs Jan2020'!AI22,('Tariffs Jan2020'!L22-'Tariffs Jan2020'!K22)*('Tariffs Jan2020'!Q22/100)*'Tariffs Jan2020'!AI22))</f>
        <v>170.18181818181819</v>
      </c>
      <c r="H28" s="59">
        <f>IF($C$5*'Tariffs Jan2020'!AK22/'Tariffs Jan2020'!AI22&lt;'Tariffs Jan2020'!L22,0,IF($C$5*'Tariffs Jan2020'!AK22/'Tariffs Jan2020'!AI22&lt;='Tariffs Jan2020'!M22,($C$5*'Tariffs Jan2020'!AK22/'Tariffs Jan2020'!AI22-'Tariffs Jan2020'!L22)*('Tariffs Jan2020'!R22/100)*'Tariffs Jan2020'!AI22,('Tariffs Jan2020'!M22-'Tariffs Jan2020'!L22)*('Tariffs Jan2020'!R22/100)*'Tariffs Jan2020'!AI22))</f>
        <v>78.136363636363626</v>
      </c>
      <c r="I28" s="59">
        <f>IF(($C$5*'Tariffs Jan2020'!AK22/'Tariffs Jan2020'!AI22&gt;'Tariffs Jan2020'!M22),($C$5*'Tariffs Jan2020'!AK22/'Tariffs Jan2020'!AI22-'Tariffs Jan2020'!M22)*'Tariffs Jan2020'!S22/100*'Tariffs Jan2020'!AI22,0)</f>
        <v>0</v>
      </c>
      <c r="J28" s="59">
        <f>IF($C$5*'Tariffs Jan2020'!AL22/'Tariffs Jan2020'!AJ22&gt;='Tariffs Jan2020'!J22,('Tariffs Jan2020'!J22*'Tariffs Jan2020'!U22/100)* 'Tariffs Jan2020'!AJ22,($C$5*'Tariffs Jan2020'!AL22/'Tariffs Jan2020'!AJ22*'Tariffs Jan2020'!U22/100)* 'Tariffs Jan2020'!AJ22)</f>
        <v>216.81818181818181</v>
      </c>
      <c r="K28" s="59">
        <f>IF($C$5*'Tariffs Jan2020'!AL22/'Tariffs Jan2020'!AJ22&lt;'Tariffs Jan2020'!J22,0,IF($C$5*'Tariffs Jan2020'!AL22/'Tariffs Jan2020'!AJ22&lt;='Tariffs Jan2020'!K22,($C$5*'Tariffs Jan2020'!AL22/'Tariffs Jan2020'!AJ22-'Tariffs Jan2020'!J22)*('Tariffs Jan2020'!V22/100)*'Tariffs Jan2020'!AJ22,('Tariffs Jan2020'!K22-'Tariffs Jan2020'!J22)*('Tariffs Jan2020'!V22/100)*'Tariffs Jan2020'!AJ22))</f>
        <v>193.09090909090907</v>
      </c>
      <c r="L28" s="59">
        <f>IF($C$5*'Tariffs Jan2020'!AL22/'Tariffs Jan2020'!AJ22&lt;'Tariffs Jan2020'!K22,0,IF($C$5*'Tariffs Jan2020'!AL22/'Tariffs Jan2020'!AJ22&lt;='Tariffs Jan2020'!L22,($C$5*'Tariffs Jan2020'!AL22/'Tariffs Jan2020'!AJ22-'Tariffs Jan2020'!K22)*('Tariffs Jan2020'!W22/100)*'Tariffs Jan2020'!AJ22,('Tariffs Jan2020'!L22-'Tariffs Jan2020'!K22)*('Tariffs Jan2020'!W22/100)*'Tariffs Jan2020'!AJ22))</f>
        <v>166.90909090909091</v>
      </c>
      <c r="M28" s="59">
        <f>IF($C$5*'Tariffs Jan2020'!AL22/'Tariffs Jan2020'!AJ22&lt;'Tariffs Jan2020'!L22,0,IF($C$5*'Tariffs Jan2020'!AL22/'Tariffs Jan2020'!AJ22&lt;='Tariffs Jan2020'!M22,($C$5*'Tariffs Jan2020'!AL22/'Tariffs Jan2020'!AJ22-'Tariffs Jan2020'!L22)*('Tariffs Jan2020'!X22/100)*'Tariffs Jan2020'!AJ22,('Tariffs Jan2020'!M22-'Tariffs Jan2020'!L22)*('Tariffs Jan2020'!X22/100)*'Tariffs Jan2020'!AJ22))</f>
        <v>78.136363636363626</v>
      </c>
      <c r="N28" s="59">
        <f>IF(($C$5*'Tariffs Jan2020'!AL22/'Tariffs Jan2020'!AJ22&gt;'Tariffs Jan2020'!M22),($C$5*'Tariffs Jan2020'!AL22/'Tariffs Jan2020'!AJ22-'Tariffs Jan2020'!M22)*'Tariffs Jan2020'!Y22/100*'Tariffs Jan2020'!AJ22,0)</f>
        <v>0</v>
      </c>
      <c r="O28" s="59">
        <f t="shared" si="0"/>
        <v>1323</v>
      </c>
      <c r="P28" s="503">
        <f t="shared" si="1"/>
        <v>1455.3000000000002</v>
      </c>
      <c r="Q28" s="59">
        <f t="shared" si="2"/>
        <v>1533.9368181818181</v>
      </c>
      <c r="R28" s="272">
        <f t="shared" si="3"/>
        <v>1687.3305</v>
      </c>
      <c r="S28" s="40">
        <f>'Tariffs Jan2020'!AN22</f>
        <v>0</v>
      </c>
      <c r="T28" s="40">
        <f>'Tariffs Jan2020'!AO22</f>
        <v>0</v>
      </c>
      <c r="U28" s="40">
        <f>'Tariffs Jan2020'!AP22</f>
        <v>0</v>
      </c>
      <c r="V28" s="40">
        <f>'Tariffs Jan2020'!AQ22</f>
        <v>0</v>
      </c>
      <c r="W28" s="284">
        <f>Q28</f>
        <v>1533.9368181818181</v>
      </c>
      <c r="X28" s="284">
        <f>W28</f>
        <v>1533.9368181818181</v>
      </c>
      <c r="Y28" s="507">
        <f t="shared" si="4"/>
        <v>1687.3305</v>
      </c>
      <c r="Z28" s="507">
        <f t="shared" si="4"/>
        <v>1687.3305</v>
      </c>
      <c r="AA28" s="274">
        <f>'Tariffs Jan2020'!AZ22</f>
        <v>0</v>
      </c>
      <c r="AB28" s="274" t="str">
        <f>'Tariffs Jan2020'!BA22</f>
        <v>n</v>
      </c>
      <c r="AC28" s="275" t="str">
        <f>'Tariffs Jan2020'!BJ22</f>
        <v>N</v>
      </c>
      <c r="AD28" s="425"/>
      <c r="AE28" s="425"/>
      <c r="AF28" s="427"/>
      <c r="AG28" s="427"/>
      <c r="AH28" s="427"/>
      <c r="AI28" s="427"/>
      <c r="AJ28" s="427"/>
      <c r="AK28" s="427"/>
      <c r="AL28" s="427"/>
      <c r="AM28" s="427"/>
      <c r="AN28" s="427"/>
    </row>
    <row r="29" spans="1:40" ht="14" x14ac:dyDescent="0.15">
      <c r="A29" s="270" t="str">
        <f>'Tariffs Jan2020'!F23</f>
        <v>Covau</v>
      </c>
      <c r="B29" s="40" t="str">
        <f>'Tariffs Jan2020'!D23</f>
        <v>Multinet Metro 2</v>
      </c>
      <c r="C29" s="40" t="str">
        <f>'Tariffs Jan2020'!G23</f>
        <v>Smart Saver</v>
      </c>
      <c r="D29" s="59">
        <f>365*'Tariffs Jan2020'!H23/100</f>
        <v>284.7</v>
      </c>
      <c r="E29" s="59">
        <f>IF($C$5*'Tariffs Jan2020'!AK23/'Tariffs Jan2020'!AI23&gt;='Tariffs Jan2020'!J23,( 'Tariffs Jan2020'!J23*'Tariffs Jan2020'!O23/100)* 'Tariffs Jan2020'!AI23,($C$5*'Tariffs Jan2020'!AK23/'Tariffs Jan2020'!AI23*'Tariffs Jan2020'!O23/100)* 'Tariffs Jan2020'!AI23)</f>
        <v>261</v>
      </c>
      <c r="F29" s="59">
        <f>IF($C$5*'Tariffs Jan2020'!AK23/'Tariffs Jan2020'!AI23&lt;'Tariffs Jan2020'!J23,0,IF($C$5*'Tariffs Jan2020'!AK23/'Tariffs Jan2020'!AI23&lt;='Tariffs Jan2020'!K23,($C$5*'Tariffs Jan2020'!AK23/'Tariffs Jan2020'!AI23-'Tariffs Jan2020'!J23)*('Tariffs Jan2020'!P23/100)*'Tariffs Jan2020'!AI23,('Tariffs Jan2020'!K23-'Tariffs Jan2020'!J23)*('Tariffs Jan2020'!P23/100)*'Tariffs Jan2020'!AI23))</f>
        <v>234.81818181818181</v>
      </c>
      <c r="G29" s="59">
        <f>IF($C$5*'Tariffs Jan2020'!AK23/'Tariffs Jan2020'!AI23&lt;'Tariffs Jan2020'!K23,0,IF($C$5*'Tariffs Jan2020'!AK23/'Tariffs Jan2020'!AI23&lt;='Tariffs Jan2020'!L23,($C$5*'Tariffs Jan2020'!AK23/'Tariffs Jan2020'!AI23-'Tariffs Jan2020'!K23)*('Tariffs Jan2020'!Q23/100)*'Tariffs Jan2020'!AI23,('Tariffs Jan2020'!L23-'Tariffs Jan2020'!K23)*('Tariffs Jan2020'!Q23/100)*'Tariffs Jan2020'!AI23))</f>
        <v>216</v>
      </c>
      <c r="H29" s="59">
        <f>IF($C$5*'Tariffs Jan2020'!AK23/'Tariffs Jan2020'!AI23&lt;'Tariffs Jan2020'!L23,0,IF($C$5*'Tariffs Jan2020'!AK23/'Tariffs Jan2020'!AI23&lt;='Tariffs Jan2020'!M23,($C$5*'Tariffs Jan2020'!AK23/'Tariffs Jan2020'!AI23-'Tariffs Jan2020'!L23)*('Tariffs Jan2020'!R23/100)*'Tariffs Jan2020'!AI23,('Tariffs Jan2020'!M23-'Tariffs Jan2020'!L23)*('Tariffs Jan2020'!R23/100)*'Tariffs Jan2020'!AI23))</f>
        <v>99</v>
      </c>
      <c r="I29" s="59">
        <f>IF(($C$5*'Tariffs Jan2020'!AK23/'Tariffs Jan2020'!AI23&gt;'Tariffs Jan2020'!M23),($C$5*'Tariffs Jan2020'!AK23/'Tariffs Jan2020'!AI23-'Tariffs Jan2020'!M23)*'Tariffs Jan2020'!S23/100*'Tariffs Jan2020'!AI23,0)</f>
        <v>0</v>
      </c>
      <c r="J29" s="59">
        <f>IF($C$5*'Tariffs Jan2020'!AL23/'Tariffs Jan2020'!AJ23&gt;='Tariffs Jan2020'!J23,('Tariffs Jan2020'!J23*'Tariffs Jan2020'!U23/100)* 'Tariffs Jan2020'!AJ23,($C$5*'Tariffs Jan2020'!AL23/'Tariffs Jan2020'!AJ23*'Tariffs Jan2020'!U23/100)* 'Tariffs Jan2020'!AJ23)</f>
        <v>243.00000000000006</v>
      </c>
      <c r="K29" s="59">
        <f>IF($C$5*'Tariffs Jan2020'!AL23/'Tariffs Jan2020'!AJ23&lt;'Tariffs Jan2020'!J23,0,IF($C$5*'Tariffs Jan2020'!AL23/'Tariffs Jan2020'!AJ23&lt;='Tariffs Jan2020'!K23,($C$5*'Tariffs Jan2020'!AL23/'Tariffs Jan2020'!AJ23-'Tariffs Jan2020'!J23)*('Tariffs Jan2020'!V23/100)*'Tariffs Jan2020'!AJ23,('Tariffs Jan2020'!K23-'Tariffs Jan2020'!J23)*('Tariffs Jan2020'!V23/100)*'Tariffs Jan2020'!AJ23))</f>
        <v>228.27272727272728</v>
      </c>
      <c r="L29" s="59">
        <f>IF($C$5*'Tariffs Jan2020'!AL23/'Tariffs Jan2020'!AJ23&lt;'Tariffs Jan2020'!K23,0,IF($C$5*'Tariffs Jan2020'!AL23/'Tariffs Jan2020'!AJ23&lt;='Tariffs Jan2020'!L23,($C$5*'Tariffs Jan2020'!AL23/'Tariffs Jan2020'!AJ23-'Tariffs Jan2020'!K23)*('Tariffs Jan2020'!W23/100)*'Tariffs Jan2020'!AJ23,('Tariffs Jan2020'!L23-'Tariffs Jan2020'!K23)*('Tariffs Jan2020'!W23/100)*'Tariffs Jan2020'!AJ23))</f>
        <v>189.00000000000003</v>
      </c>
      <c r="M29" s="59">
        <f>IF($C$5*'Tariffs Jan2020'!AL23/'Tariffs Jan2020'!AJ23&lt;'Tariffs Jan2020'!L23,0,IF($C$5*'Tariffs Jan2020'!AL23/'Tariffs Jan2020'!AJ23&lt;='Tariffs Jan2020'!M23,($C$5*'Tariffs Jan2020'!AL23/'Tariffs Jan2020'!AJ23-'Tariffs Jan2020'!L23)*('Tariffs Jan2020'!X23/100)*'Tariffs Jan2020'!AJ23,('Tariffs Jan2020'!M23-'Tariffs Jan2020'!L23)*('Tariffs Jan2020'!X23/100)*'Tariffs Jan2020'!AJ23))</f>
        <v>85.499999999999972</v>
      </c>
      <c r="N29" s="59">
        <f>IF(($C$5*'Tariffs Jan2020'!AL23/'Tariffs Jan2020'!AJ23&gt;'Tariffs Jan2020'!M23),($C$5*'Tariffs Jan2020'!AL23/'Tariffs Jan2020'!AJ23-'Tariffs Jan2020'!M23)*'Tariffs Jan2020'!Y23/100*'Tariffs Jan2020'!AJ23,0)</f>
        <v>0</v>
      </c>
      <c r="O29" s="59">
        <f t="shared" si="0"/>
        <v>1556.590909090909</v>
      </c>
      <c r="P29" s="503">
        <f t="shared" si="1"/>
        <v>1712.25</v>
      </c>
      <c r="Q29" s="59">
        <f t="shared" si="2"/>
        <v>1841.2909090909091</v>
      </c>
      <c r="R29" s="272">
        <f t="shared" si="3"/>
        <v>2025.42</v>
      </c>
      <c r="S29" s="40">
        <f>'Tariffs Jan2020'!AN23</f>
        <v>0</v>
      </c>
      <c r="T29" s="40">
        <f>'Tariffs Jan2020'!AO23</f>
        <v>16</v>
      </c>
      <c r="U29" s="40">
        <f>'Tariffs Jan2020'!AP23</f>
        <v>0</v>
      </c>
      <c r="V29" s="40">
        <f>'Tariffs Jan2020'!AQ23</f>
        <v>0</v>
      </c>
      <c r="W29" s="284">
        <f>Q29-(O29*T29/100)</f>
        <v>1592.2363636363636</v>
      </c>
      <c r="X29" s="284">
        <f>W29</f>
        <v>1592.2363636363636</v>
      </c>
      <c r="Y29" s="507">
        <f t="shared" si="4"/>
        <v>1751.4600000000003</v>
      </c>
      <c r="Z29" s="507">
        <f t="shared" si="4"/>
        <v>1751.4600000000003</v>
      </c>
      <c r="AA29" s="274">
        <f>'Tariffs Jan2020'!AZ23</f>
        <v>0</v>
      </c>
      <c r="AB29" s="274" t="str">
        <f>'Tariffs Jan2020'!BA23</f>
        <v>n</v>
      </c>
      <c r="AC29" s="275" t="str">
        <f>'Tariffs Jan2020'!BJ23</f>
        <v>N</v>
      </c>
      <c r="AD29" s="425"/>
      <c r="AE29" s="425"/>
      <c r="AF29" s="427"/>
      <c r="AG29" s="427"/>
      <c r="AH29" s="427"/>
      <c r="AI29" s="427"/>
      <c r="AJ29" s="427"/>
      <c r="AK29" s="427"/>
      <c r="AL29" s="427"/>
      <c r="AM29" s="427"/>
      <c r="AN29" s="427"/>
    </row>
    <row r="30" spans="1:40" ht="14" x14ac:dyDescent="0.15">
      <c r="A30" s="270" t="str">
        <f>'Tariffs Jan2020'!F24</f>
        <v>Dodo Power &amp; Gas</v>
      </c>
      <c r="B30" s="40" t="str">
        <f>'Tariffs Jan2020'!D24</f>
        <v>Multinet Metro 2</v>
      </c>
      <c r="C30" s="40" t="str">
        <f>'Tariffs Jan2020'!G24</f>
        <v>Market offer</v>
      </c>
      <c r="D30" s="59">
        <f>365*'Tariffs Jan2020'!H24/100</f>
        <v>220.29409090909087</v>
      </c>
      <c r="E30" s="59">
        <f>IF($C$5*'Tariffs Jan2020'!AK24/'Tariffs Jan2020'!AI24&gt;='Tariffs Jan2020'!J24,( 'Tariffs Jan2020'!J24*'Tariffs Jan2020'!O24/100)* 'Tariffs Jan2020'!AI24,($C$5*'Tariffs Jan2020'!AK24/'Tariffs Jan2020'!AI24*'Tariffs Jan2020'!O24/100)* 'Tariffs Jan2020'!AI24)</f>
        <v>252</v>
      </c>
      <c r="F30" s="59">
        <f>IF($C$5*'Tariffs Jan2020'!AK24/'Tariffs Jan2020'!AI24&lt;'Tariffs Jan2020'!J24,0,IF($C$5*'Tariffs Jan2020'!AK24/'Tariffs Jan2020'!AI24&lt;='Tariffs Jan2020'!K24,($C$5*'Tariffs Jan2020'!AK24/'Tariffs Jan2020'!AI24-'Tariffs Jan2020'!J24)*('Tariffs Jan2020'!P24/100)*'Tariffs Jan2020'!AI24,('Tariffs Jan2020'!K24-'Tariffs Jan2020'!J24)*('Tariffs Jan2020'!P24/100)*'Tariffs Jan2020'!AI24))</f>
        <v>225</v>
      </c>
      <c r="G30" s="59">
        <f>IF($C$5*'Tariffs Jan2020'!AK24/'Tariffs Jan2020'!AI24&lt;'Tariffs Jan2020'!K24,0,IF($C$5*'Tariffs Jan2020'!AK24/'Tariffs Jan2020'!AI24&lt;='Tariffs Jan2020'!L24,($C$5*'Tariffs Jan2020'!AK24/'Tariffs Jan2020'!AI24-'Tariffs Jan2020'!K24)*('Tariffs Jan2020'!Q24/100)*'Tariffs Jan2020'!AI24,('Tariffs Jan2020'!L24-'Tariffs Jan2020'!K24)*('Tariffs Jan2020'!Q24/100)*'Tariffs Jan2020'!AI24))</f>
        <v>202.90909090909093</v>
      </c>
      <c r="H30" s="59">
        <f>IF($C$5*'Tariffs Jan2020'!AK24/'Tariffs Jan2020'!AI24&lt;'Tariffs Jan2020'!L24,0,IF($C$5*'Tariffs Jan2020'!AK24/'Tariffs Jan2020'!AI24&lt;='Tariffs Jan2020'!M24,($C$5*'Tariffs Jan2020'!AK24/'Tariffs Jan2020'!AI24-'Tariffs Jan2020'!L24)*('Tariffs Jan2020'!R24/100)*'Tariffs Jan2020'!AI24,('Tariffs Jan2020'!M24-'Tariffs Jan2020'!L24)*('Tariffs Jan2020'!R24/100)*'Tariffs Jan2020'!AI24))</f>
        <v>99</v>
      </c>
      <c r="I30" s="59">
        <f>IF(($C$5*'Tariffs Jan2020'!AK24/'Tariffs Jan2020'!AI24&gt;'Tariffs Jan2020'!M24),($C$5*'Tariffs Jan2020'!AK24/'Tariffs Jan2020'!AI24-'Tariffs Jan2020'!M24)*'Tariffs Jan2020'!S24/100*'Tariffs Jan2020'!AI24,0)</f>
        <v>0</v>
      </c>
      <c r="J30" s="59">
        <f>IF($C$5*'Tariffs Jan2020'!AL24/'Tariffs Jan2020'!AJ24&gt;='Tariffs Jan2020'!J24,('Tariffs Jan2020'!J24*'Tariffs Jan2020'!U24/100)* 'Tariffs Jan2020'!AJ24,($C$5*'Tariffs Jan2020'!AL24/'Tariffs Jan2020'!AJ24*'Tariffs Jan2020'!U24/100)* 'Tariffs Jan2020'!AJ24)</f>
        <v>238.90909090909088</v>
      </c>
      <c r="K30" s="59">
        <f>IF($C$5*'Tariffs Jan2020'!AL24/'Tariffs Jan2020'!AJ24&lt;'Tariffs Jan2020'!J24,0,IF($C$5*'Tariffs Jan2020'!AL24/'Tariffs Jan2020'!AJ24&lt;='Tariffs Jan2020'!K24,($C$5*'Tariffs Jan2020'!AL24/'Tariffs Jan2020'!AJ24-'Tariffs Jan2020'!J24)*('Tariffs Jan2020'!V24/100)*'Tariffs Jan2020'!AJ24,('Tariffs Jan2020'!K24-'Tariffs Jan2020'!J24)*('Tariffs Jan2020'!V24/100)*'Tariffs Jan2020'!AJ24))</f>
        <v>216</v>
      </c>
      <c r="L30" s="59">
        <f>IF($C$5*'Tariffs Jan2020'!AL24/'Tariffs Jan2020'!AJ24&lt;'Tariffs Jan2020'!K24,0,IF($C$5*'Tariffs Jan2020'!AL24/'Tariffs Jan2020'!AJ24&lt;='Tariffs Jan2020'!L24,($C$5*'Tariffs Jan2020'!AL24/'Tariffs Jan2020'!AJ24-'Tariffs Jan2020'!K24)*('Tariffs Jan2020'!W24/100)*'Tariffs Jan2020'!AJ24,('Tariffs Jan2020'!L24-'Tariffs Jan2020'!K24)*('Tariffs Jan2020'!W24/100)*'Tariffs Jan2020'!AJ24))</f>
        <v>198</v>
      </c>
      <c r="M30" s="59">
        <f>IF($C$5*'Tariffs Jan2020'!AL24/'Tariffs Jan2020'!AJ24&lt;'Tariffs Jan2020'!L24,0,IF($C$5*'Tariffs Jan2020'!AL24/'Tariffs Jan2020'!AJ24&lt;='Tariffs Jan2020'!M24,($C$5*'Tariffs Jan2020'!AL24/'Tariffs Jan2020'!AJ24-'Tariffs Jan2020'!L24)*('Tariffs Jan2020'!X24/100)*'Tariffs Jan2020'!AJ24,('Tariffs Jan2020'!M24-'Tariffs Jan2020'!L24)*('Tariffs Jan2020'!X24/100)*'Tariffs Jan2020'!AJ24))</f>
        <v>96.954545454545467</v>
      </c>
      <c r="N30" s="59">
        <f>IF(($C$5*'Tariffs Jan2020'!AL24/'Tariffs Jan2020'!AJ24&gt;'Tariffs Jan2020'!M24),($C$5*'Tariffs Jan2020'!AL24/'Tariffs Jan2020'!AJ24-'Tariffs Jan2020'!M24)*'Tariffs Jan2020'!Y24/100*'Tariffs Jan2020'!AJ24,0)</f>
        <v>0</v>
      </c>
      <c r="O30" s="59">
        <f t="shared" si="0"/>
        <v>1528.7727272727275</v>
      </c>
      <c r="P30" s="503">
        <f t="shared" si="1"/>
        <v>1681.6500000000003</v>
      </c>
      <c r="Q30" s="59">
        <f t="shared" si="2"/>
        <v>1749.0668181818182</v>
      </c>
      <c r="R30" s="272">
        <f t="shared" si="3"/>
        <v>1923.9735000000003</v>
      </c>
      <c r="S30" s="40">
        <f>'Tariffs Jan2020'!AN24</f>
        <v>0</v>
      </c>
      <c r="T30" s="40">
        <f>'Tariffs Jan2020'!AO24</f>
        <v>0</v>
      </c>
      <c r="U30" s="40">
        <f>'Tariffs Jan2020'!AP24</f>
        <v>0</v>
      </c>
      <c r="V30" s="40">
        <f>'Tariffs Jan2020'!AQ24</f>
        <v>20</v>
      </c>
      <c r="W30" s="284">
        <f>Q30</f>
        <v>1749.0668181818182</v>
      </c>
      <c r="X30" s="284">
        <f>W30-(O30*V30/100)</f>
        <v>1443.3122727272728</v>
      </c>
      <c r="Y30" s="507">
        <f t="shared" si="4"/>
        <v>1923.9735000000003</v>
      </c>
      <c r="Z30" s="507">
        <f t="shared" si="4"/>
        <v>1587.6435000000001</v>
      </c>
      <c r="AA30" s="274">
        <f>'Tariffs Jan2020'!AZ24</f>
        <v>0</v>
      </c>
      <c r="AB30" s="274" t="str">
        <f>'Tariffs Jan2020'!BA24</f>
        <v>n</v>
      </c>
      <c r="AC30" s="275" t="str">
        <f>'Tariffs Jan2020'!BJ24</f>
        <v>N</v>
      </c>
      <c r="AD30" s="425"/>
      <c r="AE30" s="425"/>
      <c r="AF30" s="427"/>
      <c r="AG30" s="427"/>
      <c r="AH30" s="427"/>
      <c r="AI30" s="427"/>
      <c r="AJ30" s="427"/>
      <c r="AK30" s="427"/>
      <c r="AL30" s="427"/>
      <c r="AM30" s="427"/>
      <c r="AN30" s="427"/>
    </row>
    <row r="31" spans="1:40" ht="14" x14ac:dyDescent="0.15">
      <c r="A31" s="270" t="str">
        <f>'Tariffs Jan2020'!F25</f>
        <v>EnergyAustralia</v>
      </c>
      <c r="B31" s="40" t="str">
        <f>'Tariffs Jan2020'!D25</f>
        <v>Multinet Metro 2</v>
      </c>
      <c r="C31" s="40" t="str">
        <f>'Tariffs Jan2020'!G25</f>
        <v>Total Plan</v>
      </c>
      <c r="D31" s="59">
        <f>365*'Tariffs Jan2020'!H25/100</f>
        <v>291.27</v>
      </c>
      <c r="E31" s="59">
        <f>IF($C$5*'Tariffs Jan2020'!AK25/'Tariffs Jan2020'!AI25&gt;='Tariffs Jan2020'!J25,( 'Tariffs Jan2020'!J25*'Tariffs Jan2020'!O25/100)* 'Tariffs Jan2020'!AI25,($C$5*'Tariffs Jan2020'!AK25/'Tariffs Jan2020'!AI25*'Tariffs Jan2020'!O25/100)* 'Tariffs Jan2020'!AI25)</f>
        <v>471.2727272727272</v>
      </c>
      <c r="F31" s="59">
        <f>IF($C$5*'Tariffs Jan2020'!AK25/'Tariffs Jan2020'!AI25&lt;'Tariffs Jan2020'!J25,0,IF($C$5*'Tariffs Jan2020'!AK25/'Tariffs Jan2020'!AI25&lt;='Tariffs Jan2020'!K25,($C$5*'Tariffs Jan2020'!AK25/'Tariffs Jan2020'!AI25-'Tariffs Jan2020'!J25)*('Tariffs Jan2020'!P25/100)*'Tariffs Jan2020'!AI25,('Tariffs Jan2020'!K25-'Tariffs Jan2020'!J25)*('Tariffs Jan2020'!P25/100)*'Tariffs Jan2020'!AI25))</f>
        <v>0</v>
      </c>
      <c r="G31" s="59">
        <f>IF($C$5*'Tariffs Jan2020'!AK25/'Tariffs Jan2020'!AI25&lt;'Tariffs Jan2020'!K25,0,IF($C$5*'Tariffs Jan2020'!AK25/'Tariffs Jan2020'!AI25&lt;='Tariffs Jan2020'!L25,($C$5*'Tariffs Jan2020'!AK25/'Tariffs Jan2020'!AI25-'Tariffs Jan2020'!K25)*('Tariffs Jan2020'!Q25/100)*'Tariffs Jan2020'!AI25,('Tariffs Jan2020'!L25-'Tariffs Jan2020'!K25)*('Tariffs Jan2020'!Q25/100)*'Tariffs Jan2020'!AI25))</f>
        <v>0</v>
      </c>
      <c r="H31" s="59">
        <f>IF($C$5*'Tariffs Jan2020'!AK25/'Tariffs Jan2020'!AI25&lt;'Tariffs Jan2020'!L25,0,IF($C$5*'Tariffs Jan2020'!AK25/'Tariffs Jan2020'!AI25&lt;='Tariffs Jan2020'!M25,($C$5*'Tariffs Jan2020'!AK25/'Tariffs Jan2020'!AI25-'Tariffs Jan2020'!L25)*('Tariffs Jan2020'!R25/100)*'Tariffs Jan2020'!AI25,('Tariffs Jan2020'!M25-'Tariffs Jan2020'!L25)*('Tariffs Jan2020'!R25/100)*'Tariffs Jan2020'!AI25))</f>
        <v>0</v>
      </c>
      <c r="I31" s="59">
        <f>IF(($C$5*'Tariffs Jan2020'!AK25/'Tariffs Jan2020'!AI25&gt;'Tariffs Jan2020'!M25),($C$5*'Tariffs Jan2020'!AK25/'Tariffs Jan2020'!AI25-'Tariffs Jan2020'!M25)*'Tariffs Jan2020'!S25/100*'Tariffs Jan2020'!AI25,0)</f>
        <v>255.27272727272725</v>
      </c>
      <c r="J31" s="59">
        <f>IF($C$5*'Tariffs Jan2020'!AL25/'Tariffs Jan2020'!AJ25&gt;='Tariffs Jan2020'!J25,('Tariffs Jan2020'!J25*'Tariffs Jan2020'!U25/100)* 'Tariffs Jan2020'!AJ25,($C$5*'Tariffs Jan2020'!AL25/'Tariffs Jan2020'!AJ25*'Tariffs Jan2020'!U25/100)* 'Tariffs Jan2020'!AJ25)</f>
        <v>471.2727272727272</v>
      </c>
      <c r="K31" s="59">
        <f>IF($C$5*'Tariffs Jan2020'!AL25/'Tariffs Jan2020'!AJ25&lt;'Tariffs Jan2020'!J25,0,IF($C$5*'Tariffs Jan2020'!AL25/'Tariffs Jan2020'!AJ25&lt;='Tariffs Jan2020'!K25,($C$5*'Tariffs Jan2020'!AL25/'Tariffs Jan2020'!AJ25-'Tariffs Jan2020'!J25)*('Tariffs Jan2020'!V25/100)*'Tariffs Jan2020'!AJ25,('Tariffs Jan2020'!K25-'Tariffs Jan2020'!J25)*('Tariffs Jan2020'!V25/100)*'Tariffs Jan2020'!AJ25))</f>
        <v>0</v>
      </c>
      <c r="L31" s="59">
        <f>IF($C$5*'Tariffs Jan2020'!AL25/'Tariffs Jan2020'!AJ25&lt;'Tariffs Jan2020'!K25,0,IF($C$5*'Tariffs Jan2020'!AL25/'Tariffs Jan2020'!AJ25&lt;='Tariffs Jan2020'!L25,($C$5*'Tariffs Jan2020'!AL25/'Tariffs Jan2020'!AJ25-'Tariffs Jan2020'!K25)*('Tariffs Jan2020'!W25/100)*'Tariffs Jan2020'!AJ25,('Tariffs Jan2020'!L25-'Tariffs Jan2020'!K25)*('Tariffs Jan2020'!W25/100)*'Tariffs Jan2020'!AJ25))</f>
        <v>0</v>
      </c>
      <c r="M31" s="59">
        <f>IF($C$5*'Tariffs Jan2020'!AL25/'Tariffs Jan2020'!AJ25&lt;'Tariffs Jan2020'!L25,0,IF($C$5*'Tariffs Jan2020'!AL25/'Tariffs Jan2020'!AJ25&lt;='Tariffs Jan2020'!M25,($C$5*'Tariffs Jan2020'!AL25/'Tariffs Jan2020'!AJ25-'Tariffs Jan2020'!L25)*('Tariffs Jan2020'!X25/100)*'Tariffs Jan2020'!AJ25,('Tariffs Jan2020'!M25-'Tariffs Jan2020'!L25)*('Tariffs Jan2020'!X25/100)*'Tariffs Jan2020'!AJ25))</f>
        <v>0</v>
      </c>
      <c r="N31" s="59">
        <f>IF(($C$5*'Tariffs Jan2020'!AL25/'Tariffs Jan2020'!AJ25&gt;'Tariffs Jan2020'!M25),($C$5*'Tariffs Jan2020'!AL25/'Tariffs Jan2020'!AJ25-'Tariffs Jan2020'!M25)*'Tariffs Jan2020'!Y25/100*'Tariffs Jan2020'!AJ25,0)</f>
        <v>255.27272727272725</v>
      </c>
      <c r="O31" s="59">
        <f t="shared" si="0"/>
        <v>1453.090909090909</v>
      </c>
      <c r="P31" s="503">
        <f t="shared" si="1"/>
        <v>1598.4</v>
      </c>
      <c r="Q31" s="59">
        <f t="shared" si="2"/>
        <v>1744.360909090909</v>
      </c>
      <c r="R31" s="272">
        <f t="shared" si="3"/>
        <v>1918.797</v>
      </c>
      <c r="S31" s="40">
        <f>'Tariffs Jan2020'!AN25</f>
        <v>23</v>
      </c>
      <c r="T31" s="40">
        <f>'Tariffs Jan2020'!AO25</f>
        <v>0</v>
      </c>
      <c r="U31" s="40">
        <f>'Tariffs Jan2020'!AP25</f>
        <v>0</v>
      </c>
      <c r="V31" s="40">
        <f>'Tariffs Jan2020'!AQ25</f>
        <v>0</v>
      </c>
      <c r="W31" s="284">
        <f>Q31-(Q31*S31/100)</f>
        <v>1343.1578999999999</v>
      </c>
      <c r="X31" s="284">
        <f>W31</f>
        <v>1343.1578999999999</v>
      </c>
      <c r="Y31" s="507">
        <f t="shared" si="4"/>
        <v>1477.47369</v>
      </c>
      <c r="Z31" s="507">
        <f t="shared" si="4"/>
        <v>1477.47369</v>
      </c>
      <c r="AA31" s="274">
        <f>'Tariffs Jan2020'!AZ25</f>
        <v>12</v>
      </c>
      <c r="AB31" s="274" t="str">
        <f>'Tariffs Jan2020'!BA25</f>
        <v>n</v>
      </c>
      <c r="AC31" s="275" t="str">
        <f>'Tariffs Jan2020'!BJ25</f>
        <v>N</v>
      </c>
      <c r="AD31" s="425"/>
      <c r="AE31" s="425"/>
      <c r="AF31" s="427"/>
      <c r="AG31" s="427"/>
      <c r="AH31" s="427"/>
      <c r="AI31" s="427"/>
      <c r="AJ31" s="427"/>
      <c r="AK31" s="427"/>
      <c r="AL31" s="427"/>
      <c r="AM31" s="427"/>
      <c r="AN31" s="427"/>
    </row>
    <row r="32" spans="1:40" ht="14" x14ac:dyDescent="0.15">
      <c r="A32" s="270" t="str">
        <f>'Tariffs Jan2020'!F26</f>
        <v>Lumo Energy</v>
      </c>
      <c r="B32" s="40" t="str">
        <f>'Tariffs Jan2020'!D26</f>
        <v>Multinet Metro 2</v>
      </c>
      <c r="C32" s="40" t="str">
        <f>'Tariffs Jan2020'!G26</f>
        <v>Value</v>
      </c>
      <c r="D32" s="59">
        <f>365*'Tariffs Jan2020'!H26/100</f>
        <v>237.25</v>
      </c>
      <c r="E32" s="59">
        <f>IF($C$5*'Tariffs Jan2020'!AK26/'Tariffs Jan2020'!AI26&gt;='Tariffs Jan2020'!J26,( 'Tariffs Jan2020'!J26*'Tariffs Jan2020'!O26/100)* 'Tariffs Jan2020'!AI26,($C$5*'Tariffs Jan2020'!AK26/'Tariffs Jan2020'!AI26*'Tariffs Jan2020'!O26/100)* 'Tariffs Jan2020'!AI26)</f>
        <v>189</v>
      </c>
      <c r="F32" s="59">
        <f>IF($C$5*'Tariffs Jan2020'!AK26/'Tariffs Jan2020'!AI26&lt;'Tariffs Jan2020'!J26,0,IF($C$5*'Tariffs Jan2020'!AK26/'Tariffs Jan2020'!AI26&lt;='Tariffs Jan2020'!K26,($C$5*'Tariffs Jan2020'!AK26/'Tariffs Jan2020'!AI26-'Tariffs Jan2020'!J26)*('Tariffs Jan2020'!P26/100)*'Tariffs Jan2020'!AI26,('Tariffs Jan2020'!K26-'Tariffs Jan2020'!J26)*('Tariffs Jan2020'!P26/100)*'Tariffs Jan2020'!AI26))</f>
        <v>175.5</v>
      </c>
      <c r="G32" s="59">
        <f>IF($C$5*'Tariffs Jan2020'!AK26/'Tariffs Jan2020'!AI26&lt;'Tariffs Jan2020'!K26,0,IF($C$5*'Tariffs Jan2020'!AK26/'Tariffs Jan2020'!AI26&lt;='Tariffs Jan2020'!L26,($C$5*'Tariffs Jan2020'!AK26/'Tariffs Jan2020'!AI26-'Tariffs Jan2020'!K26)*('Tariffs Jan2020'!Q26/100)*'Tariffs Jan2020'!AI26,('Tariffs Jan2020'!L26-'Tariffs Jan2020'!K26)*('Tariffs Jan2020'!Q26/100)*'Tariffs Jan2020'!AI26))</f>
        <v>162.00000000000003</v>
      </c>
      <c r="H32" s="59">
        <f>IF($C$5*'Tariffs Jan2020'!AK26/'Tariffs Jan2020'!AI26&lt;'Tariffs Jan2020'!L26,0,IF($C$5*'Tariffs Jan2020'!AK26/'Tariffs Jan2020'!AI26&lt;='Tariffs Jan2020'!M26,($C$5*'Tariffs Jan2020'!AK26/'Tariffs Jan2020'!AI26-'Tariffs Jan2020'!L26)*('Tariffs Jan2020'!R26/100)*'Tariffs Jan2020'!AI26,('Tariffs Jan2020'!M26-'Tariffs Jan2020'!L26)*('Tariffs Jan2020'!R26/100)*'Tariffs Jan2020'!AI26))</f>
        <v>72</v>
      </c>
      <c r="I32" s="59">
        <f>IF(($C$5*'Tariffs Jan2020'!AK26/'Tariffs Jan2020'!AI26&gt;'Tariffs Jan2020'!M26),($C$5*'Tariffs Jan2020'!AK26/'Tariffs Jan2020'!AI26-'Tariffs Jan2020'!M26)*'Tariffs Jan2020'!S26/100*'Tariffs Jan2020'!AI26,0)</f>
        <v>0</v>
      </c>
      <c r="J32" s="59">
        <f>IF($C$5*'Tariffs Jan2020'!AL26/'Tariffs Jan2020'!AJ26&gt;='Tariffs Jan2020'!J26,('Tariffs Jan2020'!J26*'Tariffs Jan2020'!U26/100)* 'Tariffs Jan2020'!AJ26,($C$5*'Tariffs Jan2020'!AL26/'Tariffs Jan2020'!AJ26*'Tariffs Jan2020'!U26/100)* 'Tariffs Jan2020'!AJ26)</f>
        <v>180</v>
      </c>
      <c r="K32" s="59">
        <f>IF($C$5*'Tariffs Jan2020'!AL26/'Tariffs Jan2020'!AJ26&lt;'Tariffs Jan2020'!J26,0,IF($C$5*'Tariffs Jan2020'!AL26/'Tariffs Jan2020'!AJ26&lt;='Tariffs Jan2020'!K26,($C$5*'Tariffs Jan2020'!AL26/'Tariffs Jan2020'!AJ26-'Tariffs Jan2020'!J26)*('Tariffs Jan2020'!V26/100)*'Tariffs Jan2020'!AJ26,('Tariffs Jan2020'!K26-'Tariffs Jan2020'!J26)*('Tariffs Jan2020'!V26/100)*'Tariffs Jan2020'!AJ26))</f>
        <v>162.00000000000003</v>
      </c>
      <c r="L32" s="59">
        <f>IF($C$5*'Tariffs Jan2020'!AL26/'Tariffs Jan2020'!AJ26&lt;'Tariffs Jan2020'!K26,0,IF($C$5*'Tariffs Jan2020'!AL26/'Tariffs Jan2020'!AJ26&lt;='Tariffs Jan2020'!L26,($C$5*'Tariffs Jan2020'!AL26/'Tariffs Jan2020'!AJ26-'Tariffs Jan2020'!K26)*('Tariffs Jan2020'!W26/100)*'Tariffs Jan2020'!AJ26,('Tariffs Jan2020'!L26-'Tariffs Jan2020'!K26)*('Tariffs Jan2020'!W26/100)*'Tariffs Jan2020'!AJ26))</f>
        <v>153.00000000000003</v>
      </c>
      <c r="M32" s="59">
        <f>IF($C$5*'Tariffs Jan2020'!AL26/'Tariffs Jan2020'!AJ26&lt;'Tariffs Jan2020'!L26,0,IF($C$5*'Tariffs Jan2020'!AL26/'Tariffs Jan2020'!AJ26&lt;='Tariffs Jan2020'!M26,($C$5*'Tariffs Jan2020'!AL26/'Tariffs Jan2020'!AJ26-'Tariffs Jan2020'!L26)*('Tariffs Jan2020'!X26/100)*'Tariffs Jan2020'!AJ26,('Tariffs Jan2020'!M26-'Tariffs Jan2020'!L26)*('Tariffs Jan2020'!X26/100)*'Tariffs Jan2020'!AJ26))</f>
        <v>67.5</v>
      </c>
      <c r="N32" s="59">
        <f>IF(($C$5*'Tariffs Jan2020'!AL26/'Tariffs Jan2020'!AJ26&gt;'Tariffs Jan2020'!M26),($C$5*'Tariffs Jan2020'!AL26/'Tariffs Jan2020'!AJ26-'Tariffs Jan2020'!M26)*'Tariffs Jan2020'!Y26/100*'Tariffs Jan2020'!AJ26,0)</f>
        <v>0</v>
      </c>
      <c r="O32" s="59">
        <f t="shared" si="0"/>
        <v>1161</v>
      </c>
      <c r="P32" s="503">
        <f t="shared" si="1"/>
        <v>1277.1000000000001</v>
      </c>
      <c r="Q32" s="59">
        <f t="shared" si="2"/>
        <v>1398.25</v>
      </c>
      <c r="R32" s="272">
        <f t="shared" si="3"/>
        <v>1538.075</v>
      </c>
      <c r="S32" s="40">
        <f>'Tariffs Jan2020'!AN26</f>
        <v>0</v>
      </c>
      <c r="T32" s="40">
        <f>'Tariffs Jan2020'!AO26</f>
        <v>0</v>
      </c>
      <c r="U32" s="40">
        <f>'Tariffs Jan2020'!AP26</f>
        <v>3</v>
      </c>
      <c r="V32" s="40">
        <f>'Tariffs Jan2020'!AQ26</f>
        <v>0</v>
      </c>
      <c r="W32" s="284">
        <f t="shared" ref="W32:W33" si="8">Q32</f>
        <v>1398.25</v>
      </c>
      <c r="X32" s="284">
        <f>W32-(Q32*U32/100)</f>
        <v>1356.3025</v>
      </c>
      <c r="Y32" s="507">
        <f t="shared" ref="Y32:Y33" si="9">W32*1.1</f>
        <v>1538.075</v>
      </c>
      <c r="Z32" s="507">
        <f t="shared" ref="Z32:Z33" si="10">X32*1.1</f>
        <v>1491.9327500000002</v>
      </c>
      <c r="AA32" s="274">
        <f>'Tariffs Jan2020'!AZ26</f>
        <v>0</v>
      </c>
      <c r="AB32" s="274" t="str">
        <f>'Tariffs Jan2020'!BA26</f>
        <v>n</v>
      </c>
      <c r="AC32" s="275" t="str">
        <f>'Tariffs Jan2020'!BJ26</f>
        <v>N</v>
      </c>
      <c r="AD32" s="425"/>
      <c r="AE32" s="425"/>
      <c r="AF32" s="427"/>
      <c r="AG32" s="427"/>
      <c r="AH32" s="427"/>
      <c r="AI32" s="427"/>
      <c r="AJ32" s="427"/>
      <c r="AK32" s="427"/>
      <c r="AL32" s="427"/>
      <c r="AM32" s="427"/>
      <c r="AN32" s="427"/>
    </row>
    <row r="33" spans="1:40" ht="14" x14ac:dyDescent="0.15">
      <c r="A33" s="270" t="str">
        <f>'Tariffs Jan2020'!F27</f>
        <v>Momentum Energy</v>
      </c>
      <c r="B33" s="40" t="str">
        <f>'Tariffs Jan2020'!D27</f>
        <v>Multinet Metro 2</v>
      </c>
      <c r="C33" s="40" t="str">
        <f>'Tariffs Jan2020'!G27</f>
        <v>Market offer</v>
      </c>
      <c r="D33" s="59">
        <f>365*'Tariffs Jan2020'!H27/100</f>
        <v>296.51272727272726</v>
      </c>
      <c r="E33" s="59">
        <f>IF($C$5*'Tariffs Jan2020'!AK27/'Tariffs Jan2020'!AI27&gt;='Tariffs Jan2020'!J27,( 'Tariffs Jan2020'!J27*'Tariffs Jan2020'!O27/100)* 'Tariffs Jan2020'!AI27,($C$5*'Tariffs Jan2020'!AK27/'Tariffs Jan2020'!AI27*'Tariffs Jan2020'!O27/100)* 'Tariffs Jan2020'!AI27)</f>
        <v>199.6363636363636</v>
      </c>
      <c r="F33" s="59">
        <f>IF($C$5*'Tariffs Jan2020'!AK27/'Tariffs Jan2020'!AI27&lt;'Tariffs Jan2020'!J27,0,IF($C$5*'Tariffs Jan2020'!AK27/'Tariffs Jan2020'!AI27&lt;='Tariffs Jan2020'!K27,($C$5*'Tariffs Jan2020'!AK27/'Tariffs Jan2020'!AI27-'Tariffs Jan2020'!J27)*('Tariffs Jan2020'!P27/100)*'Tariffs Jan2020'!AI27,('Tariffs Jan2020'!K27-'Tariffs Jan2020'!J27)*('Tariffs Jan2020'!P27/100)*'Tariffs Jan2020'!AI27))</f>
        <v>182.45454545454541</v>
      </c>
      <c r="G33" s="59">
        <f>IF($C$5*'Tariffs Jan2020'!AK27/'Tariffs Jan2020'!AI27&lt;'Tariffs Jan2020'!K27,0,IF($C$5*'Tariffs Jan2020'!AK27/'Tariffs Jan2020'!AI27&lt;='Tariffs Jan2020'!L27,($C$5*'Tariffs Jan2020'!AK27/'Tariffs Jan2020'!AI27-'Tariffs Jan2020'!K27)*('Tariffs Jan2020'!Q27/100)*'Tariffs Jan2020'!AI27,('Tariffs Jan2020'!L27-'Tariffs Jan2020'!K27)*('Tariffs Jan2020'!Q27/100)*'Tariffs Jan2020'!AI27))</f>
        <v>161.18181818181819</v>
      </c>
      <c r="H33" s="59">
        <f>IF($C$5*'Tariffs Jan2020'!AK27/'Tariffs Jan2020'!AI27&lt;'Tariffs Jan2020'!L27,0,IF($C$5*'Tariffs Jan2020'!AK27/'Tariffs Jan2020'!AI27&lt;='Tariffs Jan2020'!M27,($C$5*'Tariffs Jan2020'!AK27/'Tariffs Jan2020'!AI27-'Tariffs Jan2020'!L27)*('Tariffs Jan2020'!R27/100)*'Tariffs Jan2020'!AI27,('Tariffs Jan2020'!M27-'Tariffs Jan2020'!L27)*('Tariffs Jan2020'!R27/100)*'Tariffs Jan2020'!AI27))</f>
        <v>75.272727272727266</v>
      </c>
      <c r="I33" s="59">
        <f>IF(($C$5*'Tariffs Jan2020'!AK27/'Tariffs Jan2020'!AI27&gt;'Tariffs Jan2020'!M27),($C$5*'Tariffs Jan2020'!AK27/'Tariffs Jan2020'!AI27-'Tariffs Jan2020'!M27)*'Tariffs Jan2020'!S27/100*'Tariffs Jan2020'!AI27,0)</f>
        <v>0</v>
      </c>
      <c r="J33" s="59">
        <f>IF($C$5*'Tariffs Jan2020'!AL27/'Tariffs Jan2020'!AJ27&gt;='Tariffs Jan2020'!J27,('Tariffs Jan2020'!J27*'Tariffs Jan2020'!U27/100)* 'Tariffs Jan2020'!AJ27,($C$5*'Tariffs Jan2020'!AL27/'Tariffs Jan2020'!AJ27*'Tariffs Jan2020'!U27/100)* 'Tariffs Jan2020'!AJ27)</f>
        <v>185.72727272727269</v>
      </c>
      <c r="K33" s="59">
        <f>IF($C$5*'Tariffs Jan2020'!AL27/'Tariffs Jan2020'!AJ27&lt;'Tariffs Jan2020'!J27,0,IF($C$5*'Tariffs Jan2020'!AL27/'Tariffs Jan2020'!AJ27&lt;='Tariffs Jan2020'!K27,($C$5*'Tariffs Jan2020'!AL27/'Tariffs Jan2020'!AJ27-'Tariffs Jan2020'!J27)*('Tariffs Jan2020'!V27/100)*'Tariffs Jan2020'!AJ27,('Tariffs Jan2020'!K27-'Tariffs Jan2020'!J27)*('Tariffs Jan2020'!V27/100)*'Tariffs Jan2020'!AJ27))</f>
        <v>170.99999999999994</v>
      </c>
      <c r="L33" s="59">
        <f>IF($C$5*'Tariffs Jan2020'!AL27/'Tariffs Jan2020'!AJ27&lt;'Tariffs Jan2020'!K27,0,IF($C$5*'Tariffs Jan2020'!AL27/'Tariffs Jan2020'!AJ27&lt;='Tariffs Jan2020'!L27,($C$5*'Tariffs Jan2020'!AL27/'Tariffs Jan2020'!AJ27-'Tariffs Jan2020'!K27)*('Tariffs Jan2020'!W27/100)*'Tariffs Jan2020'!AJ27,('Tariffs Jan2020'!L27-'Tariffs Jan2020'!K27)*('Tariffs Jan2020'!W27/100)*'Tariffs Jan2020'!AJ27))</f>
        <v>153.00000000000003</v>
      </c>
      <c r="M33" s="59">
        <f>IF($C$5*'Tariffs Jan2020'!AL27/'Tariffs Jan2020'!AJ27&lt;'Tariffs Jan2020'!L27,0,IF($C$5*'Tariffs Jan2020'!AL27/'Tariffs Jan2020'!AJ27&lt;='Tariffs Jan2020'!M27,($C$5*'Tariffs Jan2020'!AL27/'Tariffs Jan2020'!AJ27-'Tariffs Jan2020'!L27)*('Tariffs Jan2020'!X27/100)*'Tariffs Jan2020'!AJ27,('Tariffs Jan2020'!M27-'Tariffs Jan2020'!L27)*('Tariffs Jan2020'!X27/100)*'Tariffs Jan2020'!AJ27))</f>
        <v>72</v>
      </c>
      <c r="N33" s="59">
        <f>IF(($C$5*'Tariffs Jan2020'!AL27/'Tariffs Jan2020'!AJ27&gt;'Tariffs Jan2020'!M27),($C$5*'Tariffs Jan2020'!AL27/'Tariffs Jan2020'!AJ27-'Tariffs Jan2020'!M27)*'Tariffs Jan2020'!Y27/100*'Tariffs Jan2020'!AJ27,0)</f>
        <v>0</v>
      </c>
      <c r="O33" s="59">
        <f t="shared" si="0"/>
        <v>1200.2727272727273</v>
      </c>
      <c r="P33" s="503">
        <f t="shared" si="1"/>
        <v>1320.3000000000002</v>
      </c>
      <c r="Q33" s="59">
        <f t="shared" si="2"/>
        <v>1496.7854545454545</v>
      </c>
      <c r="R33" s="272">
        <f t="shared" si="3"/>
        <v>1646.4640000000002</v>
      </c>
      <c r="S33" s="40">
        <f>'Tariffs Jan2020'!AN27</f>
        <v>0</v>
      </c>
      <c r="T33" s="40">
        <f>'Tariffs Jan2020'!AO27</f>
        <v>0</v>
      </c>
      <c r="U33" s="40">
        <f>'Tariffs Jan2020'!AP27</f>
        <v>0</v>
      </c>
      <c r="V33" s="40">
        <f>'Tariffs Jan2020'!AQ27</f>
        <v>0</v>
      </c>
      <c r="W33" s="284">
        <f t="shared" si="8"/>
        <v>1496.7854545454545</v>
      </c>
      <c r="X33" s="284">
        <f>W33</f>
        <v>1496.7854545454545</v>
      </c>
      <c r="Y33" s="507">
        <f t="shared" si="9"/>
        <v>1646.4640000000002</v>
      </c>
      <c r="Z33" s="507">
        <f t="shared" si="10"/>
        <v>1646.4640000000002</v>
      </c>
      <c r="AA33" s="274">
        <f>'Tariffs Jan2020'!AZ27</f>
        <v>0</v>
      </c>
      <c r="AB33" s="274" t="str">
        <f>'Tariffs Jan2020'!BA27</f>
        <v>n</v>
      </c>
      <c r="AC33" s="275" t="str">
        <f>'Tariffs Jan2020'!BJ27</f>
        <v>Y</v>
      </c>
      <c r="AD33" s="425"/>
      <c r="AE33" s="425"/>
      <c r="AF33" s="427"/>
      <c r="AG33" s="427"/>
      <c r="AH33" s="427"/>
      <c r="AI33" s="427"/>
      <c r="AJ33" s="427"/>
      <c r="AK33" s="427"/>
      <c r="AL33" s="427"/>
      <c r="AM33" s="427"/>
      <c r="AN33" s="427"/>
    </row>
    <row r="34" spans="1:40" ht="14" x14ac:dyDescent="0.15">
      <c r="A34" s="270" t="str">
        <f>'Tariffs Jan2020'!F28</f>
        <v>Origin Energy</v>
      </c>
      <c r="B34" s="40" t="str">
        <f>'Tariffs Jan2020'!D28</f>
        <v>Multinet Metro 2</v>
      </c>
      <c r="C34" s="40" t="str">
        <f>'Tariffs Jan2020'!G28</f>
        <v>Flexi</v>
      </c>
      <c r="D34" s="59">
        <f>365*'Tariffs Jan2020'!H28/100</f>
        <v>255.5</v>
      </c>
      <c r="E34" s="59">
        <f>IF($C$5*'Tariffs Jan2020'!AK28/'Tariffs Jan2020'!AI28&gt;='Tariffs Jan2020'!J28,( 'Tariffs Jan2020'!J28*'Tariffs Jan2020'!O28/100)* 'Tariffs Jan2020'!AI28,($C$5*'Tariffs Jan2020'!AK28/'Tariffs Jan2020'!AI28*'Tariffs Jan2020'!O28/100)* 'Tariffs Jan2020'!AI28)</f>
        <v>432</v>
      </c>
      <c r="F34" s="59">
        <f>IF($C$5*'Tariffs Jan2020'!AK28/'Tariffs Jan2020'!AI28&lt;'Tariffs Jan2020'!J28,0,IF($C$5*'Tariffs Jan2020'!AK28/'Tariffs Jan2020'!AI28&lt;='Tariffs Jan2020'!K28,($C$5*'Tariffs Jan2020'!AK28/'Tariffs Jan2020'!AI28-'Tariffs Jan2020'!J28)*('Tariffs Jan2020'!P28/100)*'Tariffs Jan2020'!AI28,('Tariffs Jan2020'!K28-'Tariffs Jan2020'!J28)*('Tariffs Jan2020'!P28/100)*'Tariffs Jan2020'!AI28))</f>
        <v>175.5</v>
      </c>
      <c r="G34" s="59">
        <f>IF($C$5*'Tariffs Jan2020'!AK28/'Tariffs Jan2020'!AI28&lt;'Tariffs Jan2020'!K28,0,IF($C$5*'Tariffs Jan2020'!AK28/'Tariffs Jan2020'!AI28&lt;='Tariffs Jan2020'!L28,($C$5*'Tariffs Jan2020'!AK28/'Tariffs Jan2020'!AI28-'Tariffs Jan2020'!K28)*('Tariffs Jan2020'!Q28/100)*'Tariffs Jan2020'!AI28,('Tariffs Jan2020'!L28-'Tariffs Jan2020'!K28)*('Tariffs Jan2020'!Q28/100)*'Tariffs Jan2020'!AI28))</f>
        <v>0</v>
      </c>
      <c r="H34" s="59">
        <f>IF($C$5*'Tariffs Jan2020'!AK28/'Tariffs Jan2020'!AI28&lt;'Tariffs Jan2020'!L28,0,IF($C$5*'Tariffs Jan2020'!AK28/'Tariffs Jan2020'!AI28&lt;='Tariffs Jan2020'!M28,($C$5*'Tariffs Jan2020'!AK28/'Tariffs Jan2020'!AI28-'Tariffs Jan2020'!L28)*('Tariffs Jan2020'!R28/100)*'Tariffs Jan2020'!AI28,('Tariffs Jan2020'!M28-'Tariffs Jan2020'!L28)*('Tariffs Jan2020'!R28/100)*'Tariffs Jan2020'!AI28))</f>
        <v>0</v>
      </c>
      <c r="I34" s="59">
        <f>IF(($C$5*'Tariffs Jan2020'!AK28/'Tariffs Jan2020'!AI28&gt;'Tariffs Jan2020'!M28),($C$5*'Tariffs Jan2020'!AK28/'Tariffs Jan2020'!AI28-'Tariffs Jan2020'!M28)*'Tariffs Jan2020'!S28/100*'Tariffs Jan2020'!AI28,0)</f>
        <v>65.25</v>
      </c>
      <c r="J34" s="59">
        <f>IF($C$5*'Tariffs Jan2020'!AL28/'Tariffs Jan2020'!AJ28&gt;='Tariffs Jan2020'!J28,('Tariffs Jan2020'!J28*'Tariffs Jan2020'!U28/100)* 'Tariffs Jan2020'!AJ28,($C$5*'Tariffs Jan2020'!AL28/'Tariffs Jan2020'!AJ28*'Tariffs Jan2020'!U28/100)* 'Tariffs Jan2020'!AJ28)</f>
        <v>396.00000000000011</v>
      </c>
      <c r="K34" s="59">
        <f>IF($C$5*'Tariffs Jan2020'!AL28/'Tariffs Jan2020'!AJ28&lt;'Tariffs Jan2020'!J28,0,IF($C$5*'Tariffs Jan2020'!AL28/'Tariffs Jan2020'!AJ28&lt;='Tariffs Jan2020'!K28,($C$5*'Tariffs Jan2020'!AL28/'Tariffs Jan2020'!AJ28-'Tariffs Jan2020'!J28)*('Tariffs Jan2020'!V28/100)*'Tariffs Jan2020'!AJ28,('Tariffs Jan2020'!K28-'Tariffs Jan2020'!J28)*('Tariffs Jan2020'!V28/100)*'Tariffs Jan2020'!AJ28))</f>
        <v>157.50000000000003</v>
      </c>
      <c r="L34" s="59">
        <f>IF($C$5*'Tariffs Jan2020'!AL28/'Tariffs Jan2020'!AJ28&lt;'Tariffs Jan2020'!K28,0,IF($C$5*'Tariffs Jan2020'!AL28/'Tariffs Jan2020'!AJ28&lt;='Tariffs Jan2020'!L28,($C$5*'Tariffs Jan2020'!AL28/'Tariffs Jan2020'!AJ28-'Tariffs Jan2020'!K28)*('Tariffs Jan2020'!W28/100)*'Tariffs Jan2020'!AJ28,('Tariffs Jan2020'!L28-'Tariffs Jan2020'!K28)*('Tariffs Jan2020'!W28/100)*'Tariffs Jan2020'!AJ28))</f>
        <v>0</v>
      </c>
      <c r="M34" s="59">
        <f>IF($C$5*'Tariffs Jan2020'!AL28/'Tariffs Jan2020'!AJ28&lt;'Tariffs Jan2020'!L28,0,IF($C$5*'Tariffs Jan2020'!AL28/'Tariffs Jan2020'!AJ28&lt;='Tariffs Jan2020'!M28,($C$5*'Tariffs Jan2020'!AL28/'Tariffs Jan2020'!AJ28-'Tariffs Jan2020'!L28)*('Tariffs Jan2020'!X28/100)*'Tariffs Jan2020'!AJ28,('Tariffs Jan2020'!M28-'Tariffs Jan2020'!L28)*('Tariffs Jan2020'!X28/100)*'Tariffs Jan2020'!AJ28))</f>
        <v>0</v>
      </c>
      <c r="N34" s="59">
        <f>IF(($C$5*'Tariffs Jan2020'!AL28/'Tariffs Jan2020'!AJ28&gt;'Tariffs Jan2020'!M28),($C$5*'Tariffs Jan2020'!AL28/'Tariffs Jan2020'!AJ28-'Tariffs Jan2020'!M28)*'Tariffs Jan2020'!Y28/100*'Tariffs Jan2020'!AJ28,0)</f>
        <v>60.750000000000014</v>
      </c>
      <c r="O34" s="59">
        <f t="shared" si="0"/>
        <v>1287</v>
      </c>
      <c r="P34" s="503">
        <f t="shared" si="1"/>
        <v>1415.7</v>
      </c>
      <c r="Q34" s="59">
        <f t="shared" si="2"/>
        <v>1542.5</v>
      </c>
      <c r="R34" s="272">
        <f t="shared" si="3"/>
        <v>1696.7500000000002</v>
      </c>
      <c r="S34" s="40">
        <f>'Tariffs Jan2020'!AN28</f>
        <v>10</v>
      </c>
      <c r="T34" s="40">
        <f>'Tariffs Jan2020'!AO28</f>
        <v>0</v>
      </c>
      <c r="U34" s="40">
        <f>'Tariffs Jan2020'!AP28</f>
        <v>0</v>
      </c>
      <c r="V34" s="40">
        <f>'Tariffs Jan2020'!AQ28</f>
        <v>0</v>
      </c>
      <c r="W34" s="284">
        <f>R34-(R34*S34/100)</f>
        <v>1527.0750000000003</v>
      </c>
      <c r="X34" s="284">
        <f>W34</f>
        <v>1527.0750000000003</v>
      </c>
      <c r="Y34" s="507">
        <f>W34</f>
        <v>1527.0750000000003</v>
      </c>
      <c r="Z34" s="507">
        <f>X34</f>
        <v>1527.0750000000003</v>
      </c>
      <c r="AA34" s="274">
        <f>'Tariffs Jan2020'!AZ28</f>
        <v>0</v>
      </c>
      <c r="AB34" s="274" t="str">
        <f>'Tariffs Jan2020'!BA28</f>
        <v>n</v>
      </c>
      <c r="AC34" s="275" t="str">
        <f>'Tariffs Jan2020'!BJ28</f>
        <v>N</v>
      </c>
      <c r="AD34" s="425"/>
      <c r="AE34" s="425"/>
      <c r="AF34" s="427"/>
      <c r="AG34" s="427"/>
      <c r="AH34" s="427"/>
      <c r="AI34" s="427"/>
      <c r="AJ34" s="427"/>
      <c r="AK34" s="427"/>
      <c r="AL34" s="427"/>
      <c r="AM34" s="427"/>
      <c r="AN34" s="427"/>
    </row>
    <row r="35" spans="1:40" ht="14" x14ac:dyDescent="0.15">
      <c r="A35" s="270" t="str">
        <f>'Tariffs Jan2020'!F29</f>
        <v>Red Energy</v>
      </c>
      <c r="B35" s="40" t="str">
        <f>'Tariffs Jan2020'!D29</f>
        <v>Multinet Metro 2</v>
      </c>
      <c r="C35" s="40" t="str">
        <f>'Tariffs Jan2020'!G29</f>
        <v>Living Energy Saver</v>
      </c>
      <c r="D35" s="59">
        <f>365*'Tariffs Jan2020'!H29/100</f>
        <v>259.14999999999998</v>
      </c>
      <c r="E35" s="59">
        <f>IF($C$5*'Tariffs Jan2020'!AK29/'Tariffs Jan2020'!AI29&gt;='Tariffs Jan2020'!J29,( 'Tariffs Jan2020'!J29*'Tariffs Jan2020'!O29/100)* 'Tariffs Jan2020'!AI29,($C$5*'Tariffs Jan2020'!AK29/'Tariffs Jan2020'!AI29*'Tariffs Jan2020'!O29/100)* 'Tariffs Jan2020'!AI29)</f>
        <v>202.90909090909088</v>
      </c>
      <c r="F35" s="59">
        <f>IF($C$5*'Tariffs Jan2020'!AK29/'Tariffs Jan2020'!AI29&lt;'Tariffs Jan2020'!J29,0,IF($C$5*'Tariffs Jan2020'!AK29/'Tariffs Jan2020'!AI29&lt;='Tariffs Jan2020'!K29,($C$5*'Tariffs Jan2020'!AK29/'Tariffs Jan2020'!AI29-'Tariffs Jan2020'!J29)*('Tariffs Jan2020'!P29/100)*'Tariffs Jan2020'!AI29,('Tariffs Jan2020'!K29-'Tariffs Jan2020'!J29)*('Tariffs Jan2020'!P29/100)*'Tariffs Jan2020'!AI29))</f>
        <v>189.00000000000003</v>
      </c>
      <c r="G35" s="59">
        <f>IF($C$5*'Tariffs Jan2020'!AK29/'Tariffs Jan2020'!AI29&lt;'Tariffs Jan2020'!K29,0,IF($C$5*'Tariffs Jan2020'!AK29/'Tariffs Jan2020'!AI29&lt;='Tariffs Jan2020'!L29,($C$5*'Tariffs Jan2020'!AK29/'Tariffs Jan2020'!AI29-'Tariffs Jan2020'!K29)*('Tariffs Jan2020'!Q29/100)*'Tariffs Jan2020'!AI29,('Tariffs Jan2020'!L29-'Tariffs Jan2020'!K29)*('Tariffs Jan2020'!Q29/100)*'Tariffs Jan2020'!AI29))</f>
        <v>170.99999999999994</v>
      </c>
      <c r="H35" s="59">
        <f>IF($C$5*'Tariffs Jan2020'!AK29/'Tariffs Jan2020'!AI29&lt;'Tariffs Jan2020'!L29,0,IF($C$5*'Tariffs Jan2020'!AK29/'Tariffs Jan2020'!AI29&lt;='Tariffs Jan2020'!M29,($C$5*'Tariffs Jan2020'!AK29/'Tariffs Jan2020'!AI29-'Tariffs Jan2020'!L29)*('Tariffs Jan2020'!R29/100)*'Tariffs Jan2020'!AI29,('Tariffs Jan2020'!M29-'Tariffs Jan2020'!L29)*('Tariffs Jan2020'!R29/100)*'Tariffs Jan2020'!AI29))</f>
        <v>80.999999999999986</v>
      </c>
      <c r="I35" s="59">
        <f>IF(($C$5*'Tariffs Jan2020'!AK29/'Tariffs Jan2020'!AI29&gt;'Tariffs Jan2020'!M29),($C$5*'Tariffs Jan2020'!AK29/'Tariffs Jan2020'!AI29-'Tariffs Jan2020'!M29)*'Tariffs Jan2020'!S29/100*'Tariffs Jan2020'!AI29,0)</f>
        <v>0</v>
      </c>
      <c r="J35" s="59">
        <f>IF($C$5*'Tariffs Jan2020'!AL29/'Tariffs Jan2020'!AJ29&gt;='Tariffs Jan2020'!J29,('Tariffs Jan2020'!J29*'Tariffs Jan2020'!U29/100)* 'Tariffs Jan2020'!AJ29,($C$5*'Tariffs Jan2020'!AL29/'Tariffs Jan2020'!AJ29*'Tariffs Jan2020'!U29/100)* 'Tariffs Jan2020'!AJ29)</f>
        <v>193.90909090909088</v>
      </c>
      <c r="K35" s="59">
        <f>IF($C$5*'Tariffs Jan2020'!AL29/'Tariffs Jan2020'!AJ29&lt;'Tariffs Jan2020'!J29,0,IF($C$5*'Tariffs Jan2020'!AL29/'Tariffs Jan2020'!AJ29&lt;='Tariffs Jan2020'!K29,($C$5*'Tariffs Jan2020'!AL29/'Tariffs Jan2020'!AJ29-'Tariffs Jan2020'!J29)*('Tariffs Jan2020'!V29/100)*'Tariffs Jan2020'!AJ29,('Tariffs Jan2020'!K29-'Tariffs Jan2020'!J29)*('Tariffs Jan2020'!V29/100)*'Tariffs Jan2020'!AJ29))</f>
        <v>175.90909090909088</v>
      </c>
      <c r="L35" s="59">
        <f>IF($C$5*'Tariffs Jan2020'!AL29/'Tariffs Jan2020'!AJ29&lt;'Tariffs Jan2020'!K29,0,IF($C$5*'Tariffs Jan2020'!AL29/'Tariffs Jan2020'!AJ29&lt;='Tariffs Jan2020'!L29,($C$5*'Tariffs Jan2020'!AL29/'Tariffs Jan2020'!AJ29-'Tariffs Jan2020'!K29)*('Tariffs Jan2020'!W29/100)*'Tariffs Jan2020'!AJ29,('Tariffs Jan2020'!L29-'Tariffs Jan2020'!K29)*('Tariffs Jan2020'!W29/100)*'Tariffs Jan2020'!AJ29))</f>
        <v>161.99999999999997</v>
      </c>
      <c r="M35" s="59">
        <f>IF($C$5*'Tariffs Jan2020'!AL29/'Tariffs Jan2020'!AJ29&lt;'Tariffs Jan2020'!L29,0,IF($C$5*'Tariffs Jan2020'!AL29/'Tariffs Jan2020'!AJ29&lt;='Tariffs Jan2020'!M29,($C$5*'Tariffs Jan2020'!AL29/'Tariffs Jan2020'!AJ29-'Tariffs Jan2020'!L29)*('Tariffs Jan2020'!X29/100)*'Tariffs Jan2020'!AJ29,('Tariffs Jan2020'!M29-'Tariffs Jan2020'!L29)*('Tariffs Jan2020'!X29/100)*'Tariffs Jan2020'!AJ29))</f>
        <v>76.500000000000014</v>
      </c>
      <c r="N35" s="59">
        <f>IF(($C$5*'Tariffs Jan2020'!AL29/'Tariffs Jan2020'!AJ29&gt;'Tariffs Jan2020'!M29),($C$5*'Tariffs Jan2020'!AL29/'Tariffs Jan2020'!AJ29-'Tariffs Jan2020'!M29)*'Tariffs Jan2020'!Y29/100*'Tariffs Jan2020'!AJ29,0)</f>
        <v>0</v>
      </c>
      <c r="O35" s="59">
        <f t="shared" si="0"/>
        <v>1252.2272727272725</v>
      </c>
      <c r="P35" s="503">
        <f t="shared" si="1"/>
        <v>1377.4499999999998</v>
      </c>
      <c r="Q35" s="59">
        <f t="shared" si="2"/>
        <v>1511.3772727272726</v>
      </c>
      <c r="R35" s="272">
        <f t="shared" si="3"/>
        <v>1662.5150000000001</v>
      </c>
      <c r="S35" s="40">
        <f>'Tariffs Jan2020'!AN29</f>
        <v>0</v>
      </c>
      <c r="T35" s="40">
        <f>'Tariffs Jan2020'!AO29</f>
        <v>0</v>
      </c>
      <c r="U35" s="40">
        <f>'Tariffs Jan2020'!AP29</f>
        <v>10</v>
      </c>
      <c r="V35" s="40">
        <f>'Tariffs Jan2020'!AQ29</f>
        <v>0</v>
      </c>
      <c r="W35" s="284">
        <f>R35</f>
        <v>1662.5150000000001</v>
      </c>
      <c r="X35" s="284">
        <f>W35-(W35*U35/100)</f>
        <v>1496.2635</v>
      </c>
      <c r="Y35" s="507">
        <f>W35</f>
        <v>1662.5150000000001</v>
      </c>
      <c r="Z35" s="507">
        <f>X35</f>
        <v>1496.2635</v>
      </c>
      <c r="AA35" s="274">
        <f>'Tariffs Jan2020'!AZ29</f>
        <v>0</v>
      </c>
      <c r="AB35" s="274" t="str">
        <f>'Tariffs Jan2020'!BA29</f>
        <v>n</v>
      </c>
      <c r="AC35" s="275" t="str">
        <f>'Tariffs Jan2020'!BJ29</f>
        <v>N</v>
      </c>
      <c r="AD35" s="425"/>
      <c r="AE35" s="425"/>
      <c r="AF35" s="427"/>
      <c r="AG35" s="427"/>
      <c r="AH35" s="427"/>
      <c r="AI35" s="427"/>
      <c r="AJ35" s="427"/>
      <c r="AK35" s="427"/>
      <c r="AL35" s="427"/>
      <c r="AM35" s="427"/>
      <c r="AN35" s="427"/>
    </row>
    <row r="36" spans="1:40" ht="14" x14ac:dyDescent="0.15">
      <c r="A36" s="270" t="str">
        <f>'Tariffs Jan2020'!F30</f>
        <v>Simply Energy</v>
      </c>
      <c r="B36" s="40" t="str">
        <f>'Tariffs Jan2020'!D30</f>
        <v>Multinet Metro 2</v>
      </c>
      <c r="C36" s="40" t="str">
        <f>'Tariffs Jan2020'!G30</f>
        <v>Plus</v>
      </c>
      <c r="D36" s="59">
        <f>365*'Tariffs Jan2020'!H30/100</f>
        <v>305.40545454545457</v>
      </c>
      <c r="E36" s="59">
        <f>IF($C$5*'Tariffs Jan2020'!AK30/'Tariffs Jan2020'!AI30&gt;='Tariffs Jan2020'!J30,( 'Tariffs Jan2020'!J30*'Tariffs Jan2020'!O30/100)* 'Tariffs Jan2020'!AI30,($C$5*'Tariffs Jan2020'!AK30/'Tariffs Jan2020'!AI30*'Tariffs Jan2020'!O30/100)* 'Tariffs Jan2020'!AI30)</f>
        <v>219.60000000000002</v>
      </c>
      <c r="F36" s="59">
        <f>IF($C$5*'Tariffs Jan2020'!AK30/'Tariffs Jan2020'!AI30&lt;'Tariffs Jan2020'!J30,0,IF($C$5*'Tariffs Jan2020'!AK30/'Tariffs Jan2020'!AI30&lt;='Tariffs Jan2020'!K30,($C$5*'Tariffs Jan2020'!AK30/'Tariffs Jan2020'!AI30-'Tariffs Jan2020'!J30)*('Tariffs Jan2020'!P30/100)*'Tariffs Jan2020'!AI30,('Tariffs Jan2020'!K30-'Tariffs Jan2020'!J30)*('Tariffs Jan2020'!P30/100)*'Tariffs Jan2020'!AI30))</f>
        <v>190.17000000000002</v>
      </c>
      <c r="G36" s="59">
        <f>IF($C$5*'Tariffs Jan2020'!AK30/'Tariffs Jan2020'!AI30&lt;'Tariffs Jan2020'!K30,0,IF($C$5*'Tariffs Jan2020'!AK30/'Tariffs Jan2020'!AI30&lt;='Tariffs Jan2020'!L30,($C$5*'Tariffs Jan2020'!AK30/'Tariffs Jan2020'!AI30-'Tariffs Jan2020'!K30)*('Tariffs Jan2020'!Q30/100)*'Tariffs Jan2020'!AI30,('Tariffs Jan2020'!L30-'Tariffs Jan2020'!K30)*('Tariffs Jan2020'!Q30/100)*'Tariffs Jan2020'!AI30))</f>
        <v>162.00000000000003</v>
      </c>
      <c r="H36" s="59">
        <f>IF($C$5*'Tariffs Jan2020'!AK30/'Tariffs Jan2020'!AI30&lt;'Tariffs Jan2020'!L30,0,IF($C$5*'Tariffs Jan2020'!AK30/'Tariffs Jan2020'!AI30&lt;='Tariffs Jan2020'!M30,($C$5*'Tariffs Jan2020'!AK30/'Tariffs Jan2020'!AI30-'Tariffs Jan2020'!L30)*('Tariffs Jan2020'!R30/100)*'Tariffs Jan2020'!AI30,('Tariffs Jan2020'!M30-'Tariffs Jan2020'!L30)*('Tariffs Jan2020'!R30/100)*'Tariffs Jan2020'!AI30))</f>
        <v>73.349999999999994</v>
      </c>
      <c r="I36" s="59">
        <f>IF(($C$5*'Tariffs Jan2020'!AK30/'Tariffs Jan2020'!AI30&gt;'Tariffs Jan2020'!M30),($C$5*'Tariffs Jan2020'!AK30/'Tariffs Jan2020'!AI30-'Tariffs Jan2020'!M30)*'Tariffs Jan2020'!S30/100*'Tariffs Jan2020'!AI30,0)</f>
        <v>0</v>
      </c>
      <c r="J36" s="59">
        <f>IF($C$5*'Tariffs Jan2020'!AL30/'Tariffs Jan2020'!AJ30&gt;='Tariffs Jan2020'!J30,('Tariffs Jan2020'!J30*'Tariffs Jan2020'!U30/100)* 'Tariffs Jan2020'!AJ30,($C$5*'Tariffs Jan2020'!AL30/'Tariffs Jan2020'!AJ30*'Tariffs Jan2020'!U30/100)* 'Tariffs Jan2020'!AJ30)</f>
        <v>219.27272727272728</v>
      </c>
      <c r="K36" s="59">
        <f>IF($C$5*'Tariffs Jan2020'!AL30/'Tariffs Jan2020'!AJ30&lt;'Tariffs Jan2020'!J30,0,IF($C$5*'Tariffs Jan2020'!AL30/'Tariffs Jan2020'!AJ30&lt;='Tariffs Jan2020'!K30,($C$5*'Tariffs Jan2020'!AL30/'Tariffs Jan2020'!AJ30-'Tariffs Jan2020'!J30)*('Tariffs Jan2020'!V30/100)*'Tariffs Jan2020'!AJ30,('Tariffs Jan2020'!K30-'Tariffs Jan2020'!J30)*('Tariffs Jan2020'!V30/100)*'Tariffs Jan2020'!AJ30))</f>
        <v>189.81818181818181</v>
      </c>
      <c r="L36" s="59">
        <f>IF($C$5*'Tariffs Jan2020'!AL30/'Tariffs Jan2020'!AJ30&lt;'Tariffs Jan2020'!K30,0,IF($C$5*'Tariffs Jan2020'!AL30/'Tariffs Jan2020'!AJ30&lt;='Tariffs Jan2020'!L30,($C$5*'Tariffs Jan2020'!AL30/'Tariffs Jan2020'!AJ30-'Tariffs Jan2020'!K30)*('Tariffs Jan2020'!W30/100)*'Tariffs Jan2020'!AJ30,('Tariffs Jan2020'!L30-'Tariffs Jan2020'!K30)*('Tariffs Jan2020'!W30/100)*'Tariffs Jan2020'!AJ30))</f>
        <v>161.99999999999997</v>
      </c>
      <c r="M36" s="59">
        <f>IF($C$5*'Tariffs Jan2020'!AL30/'Tariffs Jan2020'!AJ30&lt;'Tariffs Jan2020'!L30,0,IF($C$5*'Tariffs Jan2020'!AL30/'Tariffs Jan2020'!AJ30&lt;='Tariffs Jan2020'!M30,($C$5*'Tariffs Jan2020'!AL30/'Tariffs Jan2020'!AJ30-'Tariffs Jan2020'!L30)*('Tariffs Jan2020'!X30/100)*'Tariffs Jan2020'!AJ30,('Tariffs Jan2020'!M30-'Tariffs Jan2020'!L30)*('Tariffs Jan2020'!X30/100)*'Tariffs Jan2020'!AJ30))</f>
        <v>73.22727272727272</v>
      </c>
      <c r="N36" s="59">
        <f>IF(($C$5*'Tariffs Jan2020'!AL30/'Tariffs Jan2020'!AJ30&gt;'Tariffs Jan2020'!M30),($C$5*'Tariffs Jan2020'!AL30/'Tariffs Jan2020'!AJ30-'Tariffs Jan2020'!M30)*'Tariffs Jan2020'!Y30/100*'Tariffs Jan2020'!AJ30,0)</f>
        <v>0</v>
      </c>
      <c r="O36" s="59">
        <f t="shared" si="0"/>
        <v>1289.4381818181819</v>
      </c>
      <c r="P36" s="503">
        <f t="shared" si="1"/>
        <v>1418.3820000000003</v>
      </c>
      <c r="Q36" s="59">
        <f t="shared" si="2"/>
        <v>1594.8436363636365</v>
      </c>
      <c r="R36" s="272">
        <f t="shared" si="3"/>
        <v>1754.3280000000002</v>
      </c>
      <c r="S36" s="40">
        <f>'Tariffs Jan2020'!AN30</f>
        <v>0</v>
      </c>
      <c r="T36" s="40">
        <f>'Tariffs Jan2020'!AO30</f>
        <v>0</v>
      </c>
      <c r="U36" s="40">
        <f>'Tariffs Jan2020'!AP30</f>
        <v>12</v>
      </c>
      <c r="V36" s="40">
        <f>'Tariffs Jan2020'!AQ30</f>
        <v>0</v>
      </c>
      <c r="W36" s="284">
        <f t="shared" ref="W36:W37" si="11">Q36</f>
        <v>1594.8436363636365</v>
      </c>
      <c r="X36" s="284">
        <f>W36-(Q36*U36/100)</f>
        <v>1403.4624000000001</v>
      </c>
      <c r="Y36" s="507">
        <f t="shared" si="4"/>
        <v>1754.3280000000002</v>
      </c>
      <c r="Z36" s="507">
        <f t="shared" si="4"/>
        <v>1543.8086400000002</v>
      </c>
      <c r="AA36" s="274">
        <f>'Tariffs Jan2020'!AZ30</f>
        <v>0</v>
      </c>
      <c r="AB36" s="274" t="str">
        <f>'Tariffs Jan2020'!BA30</f>
        <v>n</v>
      </c>
      <c r="AC36" s="275" t="str">
        <f>'Tariffs Jan2020'!BJ30</f>
        <v>Y</v>
      </c>
      <c r="AD36" s="425"/>
      <c r="AE36" s="425"/>
      <c r="AF36" s="427"/>
      <c r="AG36" s="427"/>
      <c r="AH36" s="427"/>
      <c r="AI36" s="427"/>
      <c r="AJ36" s="427"/>
      <c r="AK36" s="427"/>
      <c r="AL36" s="427"/>
      <c r="AM36" s="427"/>
      <c r="AN36" s="427"/>
    </row>
    <row r="37" spans="1:40" ht="14" x14ac:dyDescent="0.15">
      <c r="A37" s="270" t="str">
        <f>'Tariffs Jan2020'!F31</f>
        <v>Sumo Power</v>
      </c>
      <c r="B37" s="40" t="str">
        <f>'Tariffs Jan2020'!D31</f>
        <v>Multinet Metro 2</v>
      </c>
      <c r="C37" s="40" t="str">
        <f>'Tariffs Jan2020'!G31</f>
        <v>Select</v>
      </c>
      <c r="D37" s="59">
        <f>365*'Tariffs Jan2020'!H31/100</f>
        <v>237.25</v>
      </c>
      <c r="E37" s="59">
        <f>IF($C$5*'Tariffs Jan2020'!AK31/'Tariffs Jan2020'!AI31&gt;='Tariffs Jan2020'!J31,( 'Tariffs Jan2020'!J31*'Tariffs Jan2020'!O31/100)* 'Tariffs Jan2020'!AI31,($C$5*'Tariffs Jan2020'!AK31/'Tariffs Jan2020'!AI31*'Tariffs Jan2020'!O31/100)* 'Tariffs Jan2020'!AI31)</f>
        <v>209.45454545454544</v>
      </c>
      <c r="F37" s="59">
        <f>IF($C$5*'Tariffs Jan2020'!AK31/'Tariffs Jan2020'!AI31&lt;'Tariffs Jan2020'!J31,0,IF($C$5*'Tariffs Jan2020'!AK31/'Tariffs Jan2020'!AI31&lt;='Tariffs Jan2020'!K31,($C$5*'Tariffs Jan2020'!AK31/'Tariffs Jan2020'!AI31-'Tariffs Jan2020'!J31)*('Tariffs Jan2020'!P31/100)*'Tariffs Jan2020'!AI31,('Tariffs Jan2020'!K31-'Tariffs Jan2020'!J31)*('Tariffs Jan2020'!P31/100)*'Tariffs Jan2020'!AI31))</f>
        <v>182.45454545454541</v>
      </c>
      <c r="G37" s="59">
        <f>IF($C$5*'Tariffs Jan2020'!AK31/'Tariffs Jan2020'!AI31&lt;'Tariffs Jan2020'!K31,0,IF($C$5*'Tariffs Jan2020'!AK31/'Tariffs Jan2020'!AI31&lt;='Tariffs Jan2020'!L31,($C$5*'Tariffs Jan2020'!AK31/'Tariffs Jan2020'!AI31-'Tariffs Jan2020'!K31)*('Tariffs Jan2020'!Q31/100)*'Tariffs Jan2020'!AI31,('Tariffs Jan2020'!L31-'Tariffs Jan2020'!K31)*('Tariffs Jan2020'!Q31/100)*'Tariffs Jan2020'!AI31))</f>
        <v>159.5454545454545</v>
      </c>
      <c r="H37" s="59">
        <f>IF($C$5*'Tariffs Jan2020'!AK31/'Tariffs Jan2020'!AI31&lt;'Tariffs Jan2020'!L31,0,IF($C$5*'Tariffs Jan2020'!AK31/'Tariffs Jan2020'!AI31&lt;='Tariffs Jan2020'!M31,($C$5*'Tariffs Jan2020'!AK31/'Tariffs Jan2020'!AI31-'Tariffs Jan2020'!L31)*('Tariffs Jan2020'!R31/100)*'Tariffs Jan2020'!AI31,('Tariffs Jan2020'!M31-'Tariffs Jan2020'!L31)*('Tariffs Jan2020'!R31/100)*'Tariffs Jan2020'!AI31))</f>
        <v>63.409090909090899</v>
      </c>
      <c r="I37" s="59">
        <f>IF(($C$5*'Tariffs Jan2020'!AK31/'Tariffs Jan2020'!AI31&gt;'Tariffs Jan2020'!M31),($C$5*'Tariffs Jan2020'!AK31/'Tariffs Jan2020'!AI31-'Tariffs Jan2020'!M31)*'Tariffs Jan2020'!S31/100*'Tariffs Jan2020'!AI31,0)</f>
        <v>0</v>
      </c>
      <c r="J37" s="59">
        <f>IF($C$5*'Tariffs Jan2020'!AL31/'Tariffs Jan2020'!AJ31&gt;='Tariffs Jan2020'!J31,('Tariffs Jan2020'!J31*'Tariffs Jan2020'!U31/100)* 'Tariffs Jan2020'!AJ31,($C$5*'Tariffs Jan2020'!AL31/'Tariffs Jan2020'!AJ31*'Tariffs Jan2020'!U31/100)* 'Tariffs Jan2020'!AJ31)</f>
        <v>182.45454545454544</v>
      </c>
      <c r="K37" s="59">
        <f>IF($C$5*'Tariffs Jan2020'!AL31/'Tariffs Jan2020'!AJ31&lt;'Tariffs Jan2020'!J31,0,IF($C$5*'Tariffs Jan2020'!AL31/'Tariffs Jan2020'!AJ31&lt;='Tariffs Jan2020'!K31,($C$5*'Tariffs Jan2020'!AL31/'Tariffs Jan2020'!AJ31-'Tariffs Jan2020'!J31)*('Tariffs Jan2020'!V31/100)*'Tariffs Jan2020'!AJ31,('Tariffs Jan2020'!K31-'Tariffs Jan2020'!J31)*('Tariffs Jan2020'!V31/100)*'Tariffs Jan2020'!AJ31))</f>
        <v>154.63636363636363</v>
      </c>
      <c r="L37" s="59">
        <f>IF($C$5*'Tariffs Jan2020'!AL31/'Tariffs Jan2020'!AJ31&lt;'Tariffs Jan2020'!K31,0,IF($C$5*'Tariffs Jan2020'!AL31/'Tariffs Jan2020'!AJ31&lt;='Tariffs Jan2020'!L31,($C$5*'Tariffs Jan2020'!AL31/'Tariffs Jan2020'!AJ31-'Tariffs Jan2020'!K31)*('Tariffs Jan2020'!W31/100)*'Tariffs Jan2020'!AJ31,('Tariffs Jan2020'!L31-'Tariffs Jan2020'!K31)*('Tariffs Jan2020'!W31/100)*'Tariffs Jan2020'!AJ31))</f>
        <v>141.5454545454545</v>
      </c>
      <c r="M37" s="59">
        <f>IF($C$5*'Tariffs Jan2020'!AL31/'Tariffs Jan2020'!AJ31&lt;'Tariffs Jan2020'!L31,0,IF($C$5*'Tariffs Jan2020'!AL31/'Tariffs Jan2020'!AJ31&lt;='Tariffs Jan2020'!M31,($C$5*'Tariffs Jan2020'!AL31/'Tariffs Jan2020'!AJ31-'Tariffs Jan2020'!L31)*('Tariffs Jan2020'!X31/100)*'Tariffs Jan2020'!AJ31,('Tariffs Jan2020'!M31-'Tariffs Jan2020'!L31)*('Tariffs Jan2020'!X31/100)*'Tariffs Jan2020'!AJ31))</f>
        <v>58.909090909090899</v>
      </c>
      <c r="N37" s="59">
        <f>IF(($C$5*'Tariffs Jan2020'!AL31/'Tariffs Jan2020'!AJ31&gt;'Tariffs Jan2020'!M31),($C$5*'Tariffs Jan2020'!AL31/'Tariffs Jan2020'!AJ31-'Tariffs Jan2020'!M31)*'Tariffs Jan2020'!Y31/100*'Tariffs Jan2020'!AJ31,0)</f>
        <v>0</v>
      </c>
      <c r="O37" s="59">
        <f t="shared" si="0"/>
        <v>1152.409090909091</v>
      </c>
      <c r="P37" s="503">
        <f t="shared" si="1"/>
        <v>1267.6500000000001</v>
      </c>
      <c r="Q37" s="59">
        <f t="shared" si="2"/>
        <v>1389.659090909091</v>
      </c>
      <c r="R37" s="272">
        <f t="shared" si="3"/>
        <v>1528.6250000000002</v>
      </c>
      <c r="S37" s="40">
        <f>'Tariffs Jan2020'!AN31</f>
        <v>0</v>
      </c>
      <c r="T37" s="40">
        <f>'Tariffs Jan2020'!AO31</f>
        <v>0</v>
      </c>
      <c r="U37" s="40">
        <f>'Tariffs Jan2020'!AP31</f>
        <v>5</v>
      </c>
      <c r="V37" s="40">
        <f>'Tariffs Jan2020'!AQ31</f>
        <v>0</v>
      </c>
      <c r="W37" s="284">
        <f t="shared" si="11"/>
        <v>1389.659090909091</v>
      </c>
      <c r="X37" s="284">
        <f>W37-(Q37*U37/100)</f>
        <v>1320.1761363636365</v>
      </c>
      <c r="Y37" s="507">
        <f t="shared" si="4"/>
        <v>1528.6250000000002</v>
      </c>
      <c r="Z37" s="507">
        <f t="shared" si="4"/>
        <v>1452.1937500000004</v>
      </c>
      <c r="AA37" s="274">
        <f>'Tariffs Jan2020'!AZ31</f>
        <v>0</v>
      </c>
      <c r="AB37" s="274" t="str">
        <f>'Tariffs Jan2020'!BA31</f>
        <v>n</v>
      </c>
      <c r="AC37" s="275" t="str">
        <f>'Tariffs Jan2020'!BJ31</f>
        <v>Y</v>
      </c>
      <c r="AD37" s="425"/>
      <c r="AE37" s="425"/>
      <c r="AF37" s="427"/>
      <c r="AG37" s="427"/>
      <c r="AH37" s="427"/>
      <c r="AI37" s="427"/>
      <c r="AJ37" s="427"/>
      <c r="AK37" s="427"/>
      <c r="AL37" s="427"/>
      <c r="AM37" s="427"/>
      <c r="AN37" s="427"/>
    </row>
    <row r="38" spans="1:40" ht="14" x14ac:dyDescent="0.15">
      <c r="A38" s="270" t="str">
        <f>'Tariffs Jan2020'!F32</f>
        <v>Amaysim</v>
      </c>
      <c r="B38" s="40" t="str">
        <f>'Tariffs Jan2020'!D32</f>
        <v>Multinet Metro 2</v>
      </c>
      <c r="C38" s="40" t="str">
        <f>'Tariffs Jan2020'!G32</f>
        <v>Gas as you go</v>
      </c>
      <c r="D38" s="59">
        <f>365*'Tariffs Jan2020'!H32/100</f>
        <v>193.84419999999997</v>
      </c>
      <c r="E38" s="59">
        <f>IF($C$5*'Tariffs Jan2020'!AK32/'Tariffs Jan2020'!AI32&gt;='Tariffs Jan2020'!J32,( 'Tariffs Jan2020'!J32*'Tariffs Jan2020'!O32/100)* 'Tariffs Jan2020'!AI32,($C$5*'Tariffs Jan2020'!AK32/'Tariffs Jan2020'!AI32*'Tariffs Jan2020'!O32/100)* 'Tariffs Jan2020'!AI32)</f>
        <v>205.02</v>
      </c>
      <c r="F38" s="59">
        <f>IF($C$5*'Tariffs Jan2020'!AK32/'Tariffs Jan2020'!AI32&lt;'Tariffs Jan2020'!J32,0,IF($C$5*'Tariffs Jan2020'!AK32/'Tariffs Jan2020'!AI32&lt;='Tariffs Jan2020'!K32,($C$5*'Tariffs Jan2020'!AK32/'Tariffs Jan2020'!AI32-'Tariffs Jan2020'!J32)*('Tariffs Jan2020'!P32/100)*'Tariffs Jan2020'!AI32,('Tariffs Jan2020'!K32-'Tariffs Jan2020'!J32)*('Tariffs Jan2020'!P32/100)*'Tariffs Jan2020'!AI32))</f>
        <v>180.53999999999996</v>
      </c>
      <c r="G38" s="59">
        <f>IF($C$5*'Tariffs Jan2020'!AK32/'Tariffs Jan2020'!AI32&lt;'Tariffs Jan2020'!K32,0,IF($C$5*'Tariffs Jan2020'!AK32/'Tariffs Jan2020'!AI32&lt;='Tariffs Jan2020'!L32,($C$5*'Tariffs Jan2020'!AK32/'Tariffs Jan2020'!AI32-'Tariffs Jan2020'!K32)*('Tariffs Jan2020'!Q32/100)*'Tariffs Jan2020'!AI32,('Tariffs Jan2020'!L32-'Tariffs Jan2020'!K32)*('Tariffs Jan2020'!Q32/100)*'Tariffs Jan2020'!AI32))</f>
        <v>156.06</v>
      </c>
      <c r="H38" s="59">
        <f>IF($C$5*'Tariffs Jan2020'!AK32/'Tariffs Jan2020'!AI32&lt;'Tariffs Jan2020'!L32,0,IF($C$5*'Tariffs Jan2020'!AK32/'Tariffs Jan2020'!AI32&lt;='Tariffs Jan2020'!M32,($C$5*'Tariffs Jan2020'!AK32/'Tariffs Jan2020'!AI32-'Tariffs Jan2020'!L32)*('Tariffs Jan2020'!R32/100)*'Tariffs Jan2020'!AI32,('Tariffs Jan2020'!M32-'Tariffs Jan2020'!L32)*('Tariffs Jan2020'!R32/100)*'Tariffs Jan2020'!AI32))</f>
        <v>71.910000000000011</v>
      </c>
      <c r="I38" s="59">
        <f>IF(($C$5*'Tariffs Jan2020'!AK32/'Tariffs Jan2020'!AI32&gt;'Tariffs Jan2020'!M32),($C$5*'Tariffs Jan2020'!AK32/'Tariffs Jan2020'!AI32-'Tariffs Jan2020'!M32)*'Tariffs Jan2020'!S32/100*'Tariffs Jan2020'!AI32,0)</f>
        <v>0</v>
      </c>
      <c r="J38" s="59">
        <f>IF($C$5*'Tariffs Jan2020'!AL32/'Tariffs Jan2020'!AJ32&gt;='Tariffs Jan2020'!J32,('Tariffs Jan2020'!J32*'Tariffs Jan2020'!U32/100)* 'Tariffs Jan2020'!AJ32,($C$5*'Tariffs Jan2020'!AL32/'Tariffs Jan2020'!AJ32*'Tariffs Jan2020'!U32/100)* 'Tariffs Jan2020'!AJ32)</f>
        <v>198.89999999999998</v>
      </c>
      <c r="K38" s="59">
        <f>IF($C$5*'Tariffs Jan2020'!AL32/'Tariffs Jan2020'!AJ32&lt;'Tariffs Jan2020'!J32,0,IF($C$5*'Tariffs Jan2020'!AL32/'Tariffs Jan2020'!AJ32&lt;='Tariffs Jan2020'!K32,($C$5*'Tariffs Jan2020'!AL32/'Tariffs Jan2020'!AJ32-'Tariffs Jan2020'!J32)*('Tariffs Jan2020'!V32/100)*'Tariffs Jan2020'!AJ32,('Tariffs Jan2020'!K32-'Tariffs Jan2020'!J32)*('Tariffs Jan2020'!V32/100)*'Tariffs Jan2020'!AJ32))</f>
        <v>177.48</v>
      </c>
      <c r="L38" s="59">
        <f>IF($C$5*'Tariffs Jan2020'!AL32/'Tariffs Jan2020'!AJ32&lt;'Tariffs Jan2020'!K32,0,IF($C$5*'Tariffs Jan2020'!AL32/'Tariffs Jan2020'!AJ32&lt;='Tariffs Jan2020'!L32,($C$5*'Tariffs Jan2020'!AL32/'Tariffs Jan2020'!AJ32-'Tariffs Jan2020'!K32)*('Tariffs Jan2020'!W32/100)*'Tariffs Jan2020'!AJ32,('Tariffs Jan2020'!L32-'Tariffs Jan2020'!K32)*('Tariffs Jan2020'!W32/100)*'Tariffs Jan2020'!AJ32))</f>
        <v>153.00000000000003</v>
      </c>
      <c r="M38" s="59">
        <f>IF($C$5*'Tariffs Jan2020'!AL32/'Tariffs Jan2020'!AJ32&lt;'Tariffs Jan2020'!L32,0,IF($C$5*'Tariffs Jan2020'!AL32/'Tariffs Jan2020'!AJ32&lt;='Tariffs Jan2020'!M32,($C$5*'Tariffs Jan2020'!AL32/'Tariffs Jan2020'!AJ32-'Tariffs Jan2020'!L32)*('Tariffs Jan2020'!X32/100)*'Tariffs Jan2020'!AJ32,('Tariffs Jan2020'!M32-'Tariffs Jan2020'!L32)*('Tariffs Jan2020'!X32/100)*'Tariffs Jan2020'!AJ32))</f>
        <v>71.910000000000011</v>
      </c>
      <c r="N38" s="59">
        <f>IF(($C$5*'Tariffs Jan2020'!AL32/'Tariffs Jan2020'!AJ32&gt;'Tariffs Jan2020'!M32),($C$5*'Tariffs Jan2020'!AL32/'Tariffs Jan2020'!AJ32-'Tariffs Jan2020'!M32)*'Tariffs Jan2020'!Y32/100*'Tariffs Jan2020'!AJ32,0)</f>
        <v>0</v>
      </c>
      <c r="O38" s="59">
        <f t="shared" si="0"/>
        <v>1214.82</v>
      </c>
      <c r="P38" s="503">
        <f t="shared" si="1"/>
        <v>1336.3020000000001</v>
      </c>
      <c r="Q38" s="59">
        <f t="shared" si="2"/>
        <v>1408.6641999999999</v>
      </c>
      <c r="R38" s="272">
        <f t="shared" si="3"/>
        <v>1549.53062</v>
      </c>
      <c r="S38" s="40">
        <f>'Tariffs Jan2020'!AN32</f>
        <v>0</v>
      </c>
      <c r="T38" s="40">
        <f>'Tariffs Jan2020'!AO32</f>
        <v>0</v>
      </c>
      <c r="U38" s="40">
        <f>'Tariffs Jan2020'!AP32</f>
        <v>0</v>
      </c>
      <c r="V38" s="40">
        <f>'Tariffs Jan2020'!AQ32</f>
        <v>0</v>
      </c>
      <c r="W38" s="284">
        <f>Q38</f>
        <v>1408.6641999999999</v>
      </c>
      <c r="X38" s="284">
        <f>W38</f>
        <v>1408.6641999999999</v>
      </c>
      <c r="Y38" s="507">
        <f t="shared" ref="Y38" si="12">W38*1.1</f>
        <v>1549.53062</v>
      </c>
      <c r="Z38" s="507">
        <f t="shared" ref="Z38" si="13">X38*1.1</f>
        <v>1549.53062</v>
      </c>
      <c r="AA38" s="274">
        <f>'Tariffs Jan2020'!AZ32</f>
        <v>0</v>
      </c>
      <c r="AB38" s="274" t="str">
        <f>'Tariffs Jan2020'!BA32</f>
        <v>n</v>
      </c>
      <c r="AC38" s="275" t="str">
        <f>'Tariffs Jan2020'!BJ32</f>
        <v>N</v>
      </c>
      <c r="AD38" s="425"/>
      <c r="AE38" s="425"/>
      <c r="AF38" s="427"/>
      <c r="AG38" s="427"/>
      <c r="AH38" s="427"/>
      <c r="AI38" s="427"/>
      <c r="AJ38" s="427"/>
      <c r="AK38" s="427"/>
      <c r="AL38" s="427"/>
      <c r="AM38" s="427"/>
      <c r="AN38" s="427"/>
    </row>
    <row r="39" spans="1:40" ht="14" x14ac:dyDescent="0.15">
      <c r="A39" s="270" t="str">
        <f>'Tariffs Jan2020'!F33</f>
        <v>GloBird Energy</v>
      </c>
      <c r="B39" s="40" t="str">
        <f>'Tariffs Jan2020'!D33</f>
        <v>Multinet Metro 2</v>
      </c>
      <c r="C39" s="40" t="str">
        <f>'Tariffs Jan2020'!G33</f>
        <v>GloSave</v>
      </c>
      <c r="D39" s="59">
        <f>365*'Tariffs Jan2020'!H33/100</f>
        <v>237.25</v>
      </c>
      <c r="E39" s="59">
        <f>IF($C$5*'Tariffs Jan2020'!AK33/'Tariffs Jan2020'!AI33&gt;='Tariffs Jan2020'!J33,( 'Tariffs Jan2020'!J33*'Tariffs Jan2020'!O33/100)* 'Tariffs Jan2020'!AI33,($C$5*'Tariffs Jan2020'!AK33/'Tariffs Jan2020'!AI33*'Tariffs Jan2020'!O33/100)* 'Tariffs Jan2020'!AI33)</f>
        <v>247.6363636363636</v>
      </c>
      <c r="F39" s="59">
        <f>IF($C$5*'Tariffs Jan2020'!AK33/'Tariffs Jan2020'!AI33&lt;'Tariffs Jan2020'!J33,0,IF($C$5*'Tariffs Jan2020'!AK33/'Tariffs Jan2020'!AI33&lt;='Tariffs Jan2020'!K33,($C$5*'Tariffs Jan2020'!AK33/'Tariffs Jan2020'!AI33-'Tariffs Jan2020'!J33)*('Tariffs Jan2020'!P33/100)*'Tariffs Jan2020'!AI33,('Tariffs Jan2020'!K33-'Tariffs Jan2020'!J33)*('Tariffs Jan2020'!P33/100)*'Tariffs Jan2020'!AI33))</f>
        <v>0</v>
      </c>
      <c r="G39" s="59">
        <f>IF($C$5*'Tariffs Jan2020'!AK33/'Tariffs Jan2020'!AI33&lt;'Tariffs Jan2020'!K33,0,IF($C$5*'Tariffs Jan2020'!AK33/'Tariffs Jan2020'!AI33&lt;='Tariffs Jan2020'!L33,($C$5*'Tariffs Jan2020'!AK33/'Tariffs Jan2020'!AI33-'Tariffs Jan2020'!K33)*('Tariffs Jan2020'!Q33/100)*'Tariffs Jan2020'!AI33,('Tariffs Jan2020'!L33-'Tariffs Jan2020'!K33)*('Tariffs Jan2020'!Q33/100)*'Tariffs Jan2020'!AI33))</f>
        <v>0</v>
      </c>
      <c r="H39" s="59">
        <f>IF($C$5*'Tariffs Jan2020'!AK33/'Tariffs Jan2020'!AI33&lt;'Tariffs Jan2020'!L33,0,IF($C$5*'Tariffs Jan2020'!AK33/'Tariffs Jan2020'!AI33&lt;='Tariffs Jan2020'!M33,($C$5*'Tariffs Jan2020'!AK33/'Tariffs Jan2020'!AI33-'Tariffs Jan2020'!L33)*('Tariffs Jan2020'!R33/100)*'Tariffs Jan2020'!AI33,('Tariffs Jan2020'!M33-'Tariffs Jan2020'!L33)*('Tariffs Jan2020'!R33/100)*'Tariffs Jan2020'!AI33))</f>
        <v>0</v>
      </c>
      <c r="I39" s="59">
        <f>IF(($C$5*'Tariffs Jan2020'!AK33/'Tariffs Jan2020'!AI33&gt;'Tariffs Jan2020'!M33),($C$5*'Tariffs Jan2020'!AK33/'Tariffs Jan2020'!AI33-'Tariffs Jan2020'!M33)*'Tariffs Jan2020'!S33/100*'Tariffs Jan2020'!AI33,0)</f>
        <v>137.42247272727269</v>
      </c>
      <c r="J39" s="59">
        <f>IF($C$5*'Tariffs Jan2020'!AL33/'Tariffs Jan2020'!AJ33&gt;='Tariffs Jan2020'!J33,('Tariffs Jan2020'!J33*'Tariffs Jan2020'!U33/100)* 'Tariffs Jan2020'!AJ33,($C$5*'Tariffs Jan2020'!AL33/'Tariffs Jan2020'!AJ33*'Tariffs Jan2020'!U33/100)* 'Tariffs Jan2020'!AJ33)</f>
        <v>495.2727272727272</v>
      </c>
      <c r="K39" s="59">
        <f>IF($C$5*'Tariffs Jan2020'!AL33/'Tariffs Jan2020'!AJ33&lt;'Tariffs Jan2020'!J33,0,IF($C$5*'Tariffs Jan2020'!AL33/'Tariffs Jan2020'!AJ33&lt;='Tariffs Jan2020'!K33,($C$5*'Tariffs Jan2020'!AL33/'Tariffs Jan2020'!AJ33-'Tariffs Jan2020'!J33)*('Tariffs Jan2020'!V33/100)*'Tariffs Jan2020'!AJ33,('Tariffs Jan2020'!K33-'Tariffs Jan2020'!J33)*('Tariffs Jan2020'!V33/100)*'Tariffs Jan2020'!AJ33))</f>
        <v>0</v>
      </c>
      <c r="L39" s="59">
        <f>IF($C$5*'Tariffs Jan2020'!AL33/'Tariffs Jan2020'!AJ33&lt;'Tariffs Jan2020'!K33,0,IF($C$5*'Tariffs Jan2020'!AL33/'Tariffs Jan2020'!AJ33&lt;='Tariffs Jan2020'!L33,($C$5*'Tariffs Jan2020'!AL33/'Tariffs Jan2020'!AJ33-'Tariffs Jan2020'!K33)*('Tariffs Jan2020'!W33/100)*'Tariffs Jan2020'!AJ33,('Tariffs Jan2020'!L33-'Tariffs Jan2020'!K33)*('Tariffs Jan2020'!W33/100)*'Tariffs Jan2020'!AJ33))</f>
        <v>0</v>
      </c>
      <c r="M39" s="59">
        <f>IF($C$5*'Tariffs Jan2020'!AL33/'Tariffs Jan2020'!AJ33&lt;'Tariffs Jan2020'!L33,0,IF($C$5*'Tariffs Jan2020'!AL33/'Tariffs Jan2020'!AJ33&lt;='Tariffs Jan2020'!M33,($C$5*'Tariffs Jan2020'!AL33/'Tariffs Jan2020'!AJ33-'Tariffs Jan2020'!L33)*('Tariffs Jan2020'!X33/100)*'Tariffs Jan2020'!AJ33,('Tariffs Jan2020'!M33-'Tariffs Jan2020'!L33)*('Tariffs Jan2020'!X33/100)*'Tariffs Jan2020'!AJ33))</f>
        <v>0</v>
      </c>
      <c r="N39" s="59">
        <f>IF(($C$5*'Tariffs Jan2020'!AL33/'Tariffs Jan2020'!AJ33&gt;'Tariffs Jan2020'!M33),($C$5*'Tariffs Jan2020'!AL33/'Tariffs Jan2020'!AJ33-'Tariffs Jan2020'!M33)*'Tariffs Jan2020'!Y33/100*'Tariffs Jan2020'!AJ33,0)</f>
        <v>274.84494545454538</v>
      </c>
      <c r="O39" s="59">
        <f>SUM(E39:N39)</f>
        <v>1155.1765090909089</v>
      </c>
      <c r="P39" s="503">
        <f t="shared" si="1"/>
        <v>1270.6941599999998</v>
      </c>
      <c r="Q39" s="59">
        <f>D39+O39</f>
        <v>1392.4265090909089</v>
      </c>
      <c r="R39" s="272">
        <f>Q39*1.1</f>
        <v>1531.6691599999999</v>
      </c>
      <c r="S39" s="40">
        <f>'Tariffs Jan2020'!AN33</f>
        <v>0</v>
      </c>
      <c r="T39" s="40">
        <f>'Tariffs Jan2020'!AO33</f>
        <v>0</v>
      </c>
      <c r="U39" s="40">
        <f>'Tariffs Jan2020'!AP33</f>
        <v>5</v>
      </c>
      <c r="V39" s="40">
        <f>'Tariffs Jan2020'!AQ33</f>
        <v>0</v>
      </c>
      <c r="W39" s="284">
        <f>Q39</f>
        <v>1392.4265090909089</v>
      </c>
      <c r="X39" s="284">
        <f>W39-(Q39*U39/100)</f>
        <v>1322.8051836363634</v>
      </c>
      <c r="Y39" s="507">
        <f>W39*1.1</f>
        <v>1531.6691599999999</v>
      </c>
      <c r="Z39" s="507">
        <f>X39*1.1</f>
        <v>1455.0857019999999</v>
      </c>
      <c r="AA39" s="274">
        <f>'Tariffs Jan2020'!AZ33</f>
        <v>0</v>
      </c>
      <c r="AB39" s="274" t="str">
        <f>'Tariffs Jan2020'!BA33</f>
        <v>n</v>
      </c>
      <c r="AC39" s="275" t="str">
        <f>'Tariffs Jan2020'!BJ33</f>
        <v>N</v>
      </c>
      <c r="AD39" s="425"/>
      <c r="AE39" s="425"/>
      <c r="AF39" s="427"/>
      <c r="AG39" s="427"/>
      <c r="AH39" s="427"/>
      <c r="AI39" s="427"/>
      <c r="AJ39" s="427"/>
      <c r="AK39" s="427"/>
      <c r="AL39" s="427"/>
      <c r="AM39" s="427"/>
      <c r="AN39" s="427"/>
    </row>
    <row r="40" spans="1:40" ht="14" x14ac:dyDescent="0.15">
      <c r="A40" s="270" t="str">
        <f>'Tariffs Jan2020'!F34</f>
        <v>Powershop</v>
      </c>
      <c r="B40" s="40" t="str">
        <f>'Tariffs Jan2020'!D34</f>
        <v>Multinet Metro 2</v>
      </c>
      <c r="C40" s="40" t="str">
        <f>'Tariffs Jan2020'!G34</f>
        <v>Shopper with Gas Saver</v>
      </c>
      <c r="D40" s="59">
        <f>365*'Tariffs Jan2020'!H34/100</f>
        <v>258.05499999999995</v>
      </c>
      <c r="E40" s="59">
        <f>((C$5*'Tariffs Jan2020'!AK34/'Tariffs Jan2020'!AI34)*('Tariffs Jan2020'!O34/100))*'Tariffs Jan2020'!AI34</f>
        <v>595.63636363636374</v>
      </c>
      <c r="F40" s="59">
        <v>0</v>
      </c>
      <c r="G40" s="59">
        <v>0</v>
      </c>
      <c r="H40" s="59">
        <v>0</v>
      </c>
      <c r="I40" s="59">
        <v>0</v>
      </c>
      <c r="J40" s="59">
        <f>((C$5*'Tariffs Jan2020'!AL34/'Tariffs Jan2020'!AJ34)*('Tariffs Jan2020'!U34/100))*'Tariffs Jan2020'!AJ34</f>
        <v>535.5</v>
      </c>
      <c r="K40" s="59">
        <v>0</v>
      </c>
      <c r="L40" s="59">
        <v>0</v>
      </c>
      <c r="M40" s="59">
        <v>0</v>
      </c>
      <c r="N40" s="59">
        <v>0</v>
      </c>
      <c r="O40" s="59">
        <f t="shared" si="0"/>
        <v>1131.1363636363637</v>
      </c>
      <c r="P40" s="503">
        <f t="shared" si="1"/>
        <v>1244.2500000000002</v>
      </c>
      <c r="Q40" s="59">
        <f t="shared" si="2"/>
        <v>1389.1913636363638</v>
      </c>
      <c r="R40" s="272">
        <f t="shared" si="3"/>
        <v>1528.1105000000002</v>
      </c>
      <c r="S40" s="40">
        <f>'Tariffs Jan2020'!AN34</f>
        <v>0</v>
      </c>
      <c r="T40" s="40">
        <f>'Tariffs Jan2020'!AO34</f>
        <v>0</v>
      </c>
      <c r="U40" s="40">
        <f>'Tariffs Jan2020'!AP34</f>
        <v>5</v>
      </c>
      <c r="V40" s="40">
        <f>'Tariffs Jan2020'!AQ34</f>
        <v>0</v>
      </c>
      <c r="W40" s="284">
        <f>R40</f>
        <v>1528.1105000000002</v>
      </c>
      <c r="X40" s="284">
        <f>W40-(W40*U40/100)</f>
        <v>1451.7049750000001</v>
      </c>
      <c r="Y40" s="507">
        <f>W40</f>
        <v>1528.1105000000002</v>
      </c>
      <c r="Z40" s="507">
        <f>X40</f>
        <v>1451.7049750000001</v>
      </c>
      <c r="AA40" s="274">
        <f>'Tariffs Jan2020'!AZ34</f>
        <v>0</v>
      </c>
      <c r="AB40" s="274" t="str">
        <f>'Tariffs Jan2020'!BA34</f>
        <v>n</v>
      </c>
      <c r="AC40" s="275" t="str">
        <f>'Tariffs Jan2020'!BJ34</f>
        <v>Y</v>
      </c>
      <c r="AD40" s="425"/>
      <c r="AE40" s="425"/>
      <c r="AF40" s="427"/>
      <c r="AG40" s="427"/>
      <c r="AH40" s="427"/>
      <c r="AI40" s="427"/>
      <c r="AJ40" s="427"/>
      <c r="AK40" s="427"/>
      <c r="AL40" s="427"/>
      <c r="AM40" s="427"/>
      <c r="AN40" s="427"/>
    </row>
    <row r="41" spans="1:40" ht="14" x14ac:dyDescent="0.15">
      <c r="A41" s="270" t="str">
        <f>'Tariffs Jan2020'!F35</f>
        <v>DC Power Co</v>
      </c>
      <c r="B41" s="40" t="str">
        <f>'Tariffs Jan2020'!D35</f>
        <v>Multinet Metro 2</v>
      </c>
      <c r="C41" s="40" t="str">
        <f>'Tariffs Jan2020'!G35</f>
        <v>Market offer</v>
      </c>
      <c r="D41" s="59">
        <f>365*'Tariffs Jan2020'!H35/100</f>
        <v>271.92500000000001</v>
      </c>
      <c r="E41" s="59">
        <f>((C$5*'Tariffs Jan2020'!AK35/'Tariffs Jan2020'!AI35)*('Tariffs Jan2020'!O35/100))*'Tariffs Jan2020'!AI35</f>
        <v>575.59090909090901</v>
      </c>
      <c r="F41" s="59">
        <v>0</v>
      </c>
      <c r="G41" s="59">
        <v>0</v>
      </c>
      <c r="H41" s="59">
        <v>0</v>
      </c>
      <c r="I41" s="59">
        <v>0</v>
      </c>
      <c r="J41" s="59">
        <f>((C$5*'Tariffs Jan2020'!AL35/'Tariffs Jan2020'!AJ35)*('Tariffs Jan2020'!U35/100))*'Tariffs Jan2020'!AJ35</f>
        <v>515.45454545454538</v>
      </c>
      <c r="K41" s="59">
        <v>0</v>
      </c>
      <c r="L41" s="59">
        <v>0</v>
      </c>
      <c r="M41" s="59">
        <v>0</v>
      </c>
      <c r="N41" s="59">
        <v>0</v>
      </c>
      <c r="O41" s="59">
        <f t="shared" si="0"/>
        <v>1091.0454545454545</v>
      </c>
      <c r="P41" s="503">
        <f t="shared" si="1"/>
        <v>1200.1500000000001</v>
      </c>
      <c r="Q41" s="59">
        <f t="shared" si="2"/>
        <v>1362.9704545454545</v>
      </c>
      <c r="R41" s="272">
        <f t="shared" si="3"/>
        <v>1499.2674999999999</v>
      </c>
      <c r="S41" s="40">
        <f>'Tariffs Jan2020'!AN35</f>
        <v>0</v>
      </c>
      <c r="T41" s="40">
        <f>'Tariffs Jan2020'!AO35</f>
        <v>0</v>
      </c>
      <c r="U41" s="40">
        <f>'Tariffs Jan2020'!AP35</f>
        <v>0</v>
      </c>
      <c r="V41" s="40">
        <f>'Tariffs Jan2020'!AQ35</f>
        <v>0</v>
      </c>
      <c r="W41" s="284">
        <f t="shared" ref="W41" si="14">Q41</f>
        <v>1362.9704545454545</v>
      </c>
      <c r="X41" s="284">
        <f>W41</f>
        <v>1362.9704545454545</v>
      </c>
      <c r="Y41" s="507">
        <f t="shared" si="4"/>
        <v>1499.2674999999999</v>
      </c>
      <c r="Z41" s="507">
        <f t="shared" si="4"/>
        <v>1499.2674999999999</v>
      </c>
      <c r="AA41" s="274">
        <f>'Tariffs Jan2020'!AZ35</f>
        <v>0</v>
      </c>
      <c r="AB41" s="274" t="str">
        <f>'Tariffs Jan2020'!BA35</f>
        <v>n</v>
      </c>
      <c r="AC41" s="275" t="str">
        <f>'Tariffs Jan2020'!BJ35</f>
        <v>Y</v>
      </c>
      <c r="AD41" s="425"/>
      <c r="AE41" s="425"/>
      <c r="AF41" s="427"/>
      <c r="AG41" s="427"/>
      <c r="AH41" s="427"/>
      <c r="AI41" s="427"/>
      <c r="AJ41" s="427"/>
      <c r="AK41" s="427"/>
      <c r="AL41" s="427"/>
      <c r="AM41" s="427"/>
      <c r="AN41" s="427"/>
    </row>
    <row r="42" spans="1:40" ht="14" x14ac:dyDescent="0.15">
      <c r="A42" s="270" t="str">
        <f>'Tariffs Jan2020'!F36</f>
        <v>1st Energy</v>
      </c>
      <c r="B42" s="40" t="str">
        <f>'Tariffs Jan2020'!D36</f>
        <v>Multinet Metro 2</v>
      </c>
      <c r="C42" s="40" t="str">
        <f>'Tariffs Jan2020'!G36</f>
        <v>1st Saver</v>
      </c>
      <c r="D42" s="59">
        <f>365*'Tariffs Jan2020'!H36/100</f>
        <v>259.14999999999998</v>
      </c>
      <c r="E42" s="59">
        <f>IF($C$5*'Tariffs Jan2020'!AK36/'Tariffs Jan2020'!AI36&gt;='Tariffs Jan2020'!J36,( 'Tariffs Jan2020'!J36*'Tariffs Jan2020'!O36/100)* 'Tariffs Jan2020'!AI36,($C$5*'Tariffs Jan2020'!AK36/'Tariffs Jan2020'!AI36*'Tariffs Jan2020'!O36/100)* 'Tariffs Jan2020'!AI36)</f>
        <v>214.36363636363637</v>
      </c>
      <c r="F42" s="59">
        <f>IF($C$5*'Tariffs Jan2020'!AK36/'Tariffs Jan2020'!AI36&lt;'Tariffs Jan2020'!J36,0,IF($C$5*'Tariffs Jan2020'!AK36/'Tariffs Jan2020'!AI36&lt;='Tariffs Jan2020'!K36,($C$5*'Tariffs Jan2020'!AK36/'Tariffs Jan2020'!AI36-'Tariffs Jan2020'!J36)*('Tariffs Jan2020'!P36/100)*'Tariffs Jan2020'!AI36,('Tariffs Jan2020'!K36-'Tariffs Jan2020'!J36)*('Tariffs Jan2020'!P36/100)*'Tariffs Jan2020'!AI36))</f>
        <v>187.36363636363635</v>
      </c>
      <c r="G42" s="59">
        <f>IF($C$5*'Tariffs Jan2020'!AK36/'Tariffs Jan2020'!AI36&lt;'Tariffs Jan2020'!K36,0,IF($C$5*'Tariffs Jan2020'!AK36/'Tariffs Jan2020'!AI36&lt;='Tariffs Jan2020'!L36,($C$5*'Tariffs Jan2020'!AK36/'Tariffs Jan2020'!AI36-'Tariffs Jan2020'!K36)*('Tariffs Jan2020'!Q36/100)*'Tariffs Jan2020'!AI36,('Tariffs Jan2020'!L36-'Tariffs Jan2020'!K36)*('Tariffs Jan2020'!Q36/100)*'Tariffs Jan2020'!AI36))</f>
        <v>0</v>
      </c>
      <c r="H42" s="59">
        <f>IF($C$5*'Tariffs Jan2020'!AK36/'Tariffs Jan2020'!AI36&lt;'Tariffs Jan2020'!L36,0,IF($C$5*'Tariffs Jan2020'!AK36/'Tariffs Jan2020'!AI36&lt;='Tariffs Jan2020'!M36,($C$5*'Tariffs Jan2020'!AK36/'Tariffs Jan2020'!AI36-'Tariffs Jan2020'!L36)*('Tariffs Jan2020'!R36/100)*'Tariffs Jan2020'!AI36,('Tariffs Jan2020'!M36-'Tariffs Jan2020'!L36)*('Tariffs Jan2020'!R36/100)*'Tariffs Jan2020'!AI36))</f>
        <v>0</v>
      </c>
      <c r="I42" s="59">
        <f>IF(($C$5*'Tariffs Jan2020'!AK36/'Tariffs Jan2020'!AI36&gt;'Tariffs Jan2020'!M36),($C$5*'Tariffs Jan2020'!AK36/'Tariffs Jan2020'!AI36-'Tariffs Jan2020'!M36)*'Tariffs Jan2020'!S36/100*'Tariffs Jan2020'!AI36,0)</f>
        <v>234.40909090909088</v>
      </c>
      <c r="J42" s="59">
        <f>IF($C$5*'Tariffs Jan2020'!AL36/'Tariffs Jan2020'!AJ36&gt;='Tariffs Jan2020'!J36,('Tariffs Jan2020'!J36*'Tariffs Jan2020'!U36/100)* 'Tariffs Jan2020'!AJ36,($C$5*'Tariffs Jan2020'!AL36/'Tariffs Jan2020'!AJ36*'Tariffs Jan2020'!U36/100)* 'Tariffs Jan2020'!AJ36)</f>
        <v>214.36363636363637</v>
      </c>
      <c r="K42" s="59">
        <f>IF($C$5*'Tariffs Jan2020'!AL36/'Tariffs Jan2020'!AJ36&lt;'Tariffs Jan2020'!J36,0,IF($C$5*'Tariffs Jan2020'!AL36/'Tariffs Jan2020'!AJ36&lt;='Tariffs Jan2020'!K36,($C$5*'Tariffs Jan2020'!AL36/'Tariffs Jan2020'!AJ36-'Tariffs Jan2020'!J36)*('Tariffs Jan2020'!V36/100)*'Tariffs Jan2020'!AJ36,('Tariffs Jan2020'!K36-'Tariffs Jan2020'!J36)*('Tariffs Jan2020'!V36/100)*'Tariffs Jan2020'!AJ36))</f>
        <v>187.36363636363635</v>
      </c>
      <c r="L42" s="59">
        <f>IF($C$5*'Tariffs Jan2020'!AL36/'Tariffs Jan2020'!AJ36&lt;'Tariffs Jan2020'!K36,0,IF($C$5*'Tariffs Jan2020'!AL36/'Tariffs Jan2020'!AJ36&lt;='Tariffs Jan2020'!L36,($C$5*'Tariffs Jan2020'!AL36/'Tariffs Jan2020'!AJ36-'Tariffs Jan2020'!K36)*('Tariffs Jan2020'!W36/100)*'Tariffs Jan2020'!AJ36,('Tariffs Jan2020'!L36-'Tariffs Jan2020'!K36)*('Tariffs Jan2020'!W36/100)*'Tariffs Jan2020'!AJ36))</f>
        <v>0</v>
      </c>
      <c r="M42" s="59">
        <f>IF($C$5*'Tariffs Jan2020'!AL36/'Tariffs Jan2020'!AJ36&lt;'Tariffs Jan2020'!L36,0,IF($C$5*'Tariffs Jan2020'!AL36/'Tariffs Jan2020'!AJ36&lt;='Tariffs Jan2020'!M36,($C$5*'Tariffs Jan2020'!AL36/'Tariffs Jan2020'!AJ36-'Tariffs Jan2020'!L36)*('Tariffs Jan2020'!X36/100)*'Tariffs Jan2020'!AJ36,('Tariffs Jan2020'!M36-'Tariffs Jan2020'!L36)*('Tariffs Jan2020'!X36/100)*'Tariffs Jan2020'!AJ36))</f>
        <v>0</v>
      </c>
      <c r="N42" s="59">
        <f>IF(($C$5*'Tariffs Jan2020'!AL36/'Tariffs Jan2020'!AJ36&gt;'Tariffs Jan2020'!M36),($C$5*'Tariffs Jan2020'!AL36/'Tariffs Jan2020'!AJ36-'Tariffs Jan2020'!M36)*'Tariffs Jan2020'!Y36/100*'Tariffs Jan2020'!AJ36,0)</f>
        <v>234.40909090909088</v>
      </c>
      <c r="O42" s="59">
        <f t="shared" si="0"/>
        <v>1272.272727272727</v>
      </c>
      <c r="P42" s="503">
        <f t="shared" si="1"/>
        <v>1399.4999999999998</v>
      </c>
      <c r="Q42" s="59">
        <f t="shared" si="2"/>
        <v>1531.4227272727271</v>
      </c>
      <c r="R42" s="272">
        <f t="shared" si="3"/>
        <v>1684.5650000000001</v>
      </c>
      <c r="S42" s="40">
        <f>'Tariffs Jan2020'!AN36</f>
        <v>0</v>
      </c>
      <c r="T42" s="40">
        <f>'Tariffs Jan2020'!AO36</f>
        <v>0</v>
      </c>
      <c r="U42" s="40">
        <f>'Tariffs Jan2020'!AP36</f>
        <v>0</v>
      </c>
      <c r="V42" s="40">
        <f>'Tariffs Jan2020'!AQ36</f>
        <v>15</v>
      </c>
      <c r="W42" s="284">
        <f>Q42</f>
        <v>1531.4227272727271</v>
      </c>
      <c r="X42" s="284">
        <f>W42-(O42*V42/100)</f>
        <v>1340.5818181818181</v>
      </c>
      <c r="Y42" s="507">
        <f t="shared" si="4"/>
        <v>1684.5650000000001</v>
      </c>
      <c r="Z42" s="507">
        <f t="shared" si="4"/>
        <v>1474.64</v>
      </c>
      <c r="AA42" s="274">
        <f>'Tariffs Jan2020'!AZ36</f>
        <v>0</v>
      </c>
      <c r="AB42" s="274" t="str">
        <f>'Tariffs Jan2020'!BA36</f>
        <v>n</v>
      </c>
      <c r="AC42" s="275" t="str">
        <f>'Tariffs Jan2020'!BJ36</f>
        <v>Y</v>
      </c>
      <c r="AD42" s="425"/>
      <c r="AE42" s="425"/>
      <c r="AF42" s="427"/>
      <c r="AG42" s="427"/>
      <c r="AH42" s="427"/>
      <c r="AI42" s="427"/>
      <c r="AJ42" s="427"/>
      <c r="AK42" s="427"/>
      <c r="AL42" s="427"/>
      <c r="AM42" s="427"/>
      <c r="AN42" s="427"/>
    </row>
    <row r="43" spans="1:40" ht="15" thickBot="1" x14ac:dyDescent="0.2">
      <c r="A43" s="276" t="str">
        <f>'Tariffs Jan2020'!F37</f>
        <v>Kogan Energy</v>
      </c>
      <c r="B43" s="277" t="str">
        <f>'Tariffs Jan2020'!D37</f>
        <v>Multinet Metro 2</v>
      </c>
      <c r="C43" s="277" t="str">
        <f>'Tariffs Jan2020'!G37</f>
        <v>Market offer</v>
      </c>
      <c r="D43" s="278">
        <f>365*'Tariffs Jan2020'!H37/100</f>
        <v>251.02045454545453</v>
      </c>
      <c r="E43" s="278">
        <f>((C$5*'Tariffs Jan2020'!AK37/'Tariffs Jan2020'!AI37)*('Tariffs Jan2020'!O37/100))*'Tariffs Jan2020'!AI37</f>
        <v>655.77272727272725</v>
      </c>
      <c r="F43" s="278">
        <v>0</v>
      </c>
      <c r="G43" s="278">
        <v>0</v>
      </c>
      <c r="H43" s="278">
        <v>0</v>
      </c>
      <c r="I43" s="278">
        <v>0</v>
      </c>
      <c r="J43" s="278">
        <f>((C$5*'Tariffs Jan2020'!AL37/'Tariffs Jan2020'!AJ37)*('Tariffs Jan2020'!U37/100))*'Tariffs Jan2020'!AJ37</f>
        <v>569.86363636363626</v>
      </c>
      <c r="K43" s="278">
        <v>0</v>
      </c>
      <c r="L43" s="278">
        <v>0</v>
      </c>
      <c r="M43" s="278">
        <v>0</v>
      </c>
      <c r="N43" s="278">
        <v>0</v>
      </c>
      <c r="O43" s="278">
        <f t="shared" si="0"/>
        <v>1225.6363636363635</v>
      </c>
      <c r="P43" s="504">
        <f t="shared" si="1"/>
        <v>1348.2</v>
      </c>
      <c r="Q43" s="278">
        <f t="shared" si="2"/>
        <v>1476.6568181818179</v>
      </c>
      <c r="R43" s="280">
        <f t="shared" si="3"/>
        <v>1624.3224999999998</v>
      </c>
      <c r="S43" s="277">
        <f>'Tariffs Jan2020'!AN37</f>
        <v>0</v>
      </c>
      <c r="T43" s="277">
        <f>'Tariffs Jan2020'!AO37</f>
        <v>0</v>
      </c>
      <c r="U43" s="277">
        <f>'Tariffs Jan2020'!AP37</f>
        <v>0</v>
      </c>
      <c r="V43" s="277">
        <f>'Tariffs Jan2020'!AQ37</f>
        <v>0</v>
      </c>
      <c r="W43" s="285">
        <f t="shared" ref="W43" si="15">Q43</f>
        <v>1476.6568181818179</v>
      </c>
      <c r="X43" s="285">
        <f>W43</f>
        <v>1476.6568181818179</v>
      </c>
      <c r="Y43" s="508">
        <f t="shared" si="4"/>
        <v>1624.3224999999998</v>
      </c>
      <c r="Z43" s="508">
        <f t="shared" si="4"/>
        <v>1624.3224999999998</v>
      </c>
      <c r="AA43" s="282">
        <f>'Tariffs Jan2020'!AZ37</f>
        <v>0</v>
      </c>
      <c r="AB43" s="282" t="str">
        <f>'Tariffs Jan2020'!BA37</f>
        <v>n</v>
      </c>
      <c r="AC43" s="283" t="str">
        <f>'Tariffs Jan2020'!BJ37</f>
        <v>N</v>
      </c>
      <c r="AD43" s="425"/>
      <c r="AE43" s="425"/>
      <c r="AF43" s="427"/>
      <c r="AG43" s="427"/>
      <c r="AH43" s="427"/>
      <c r="AI43" s="427"/>
      <c r="AJ43" s="427"/>
      <c r="AK43" s="427"/>
      <c r="AL43" s="427"/>
      <c r="AM43" s="427"/>
      <c r="AN43" s="427"/>
    </row>
    <row r="44" spans="1:40" ht="15" thickTop="1" x14ac:dyDescent="0.15">
      <c r="A44" s="270" t="str">
        <f>'Tariffs Jan2020'!F38</f>
        <v>AGL</v>
      </c>
      <c r="B44" s="40" t="str">
        <f>'Tariffs Jan2020'!D38</f>
        <v>AGN North</v>
      </c>
      <c r="C44" s="40" t="str">
        <f>'Tariffs Jan2020'!G38</f>
        <v>Essentials Saver</v>
      </c>
      <c r="D44" s="59">
        <f>365*'Tariffs Jan2020'!H38/100</f>
        <v>271.19499999999999</v>
      </c>
      <c r="E44" s="59">
        <f>IF($C$5*'Tariffs Jan2020'!AK38/'Tariffs Jan2020'!AI38&gt;='Tariffs Jan2020'!J38,( 'Tariffs Jan2020'!J38*'Tariffs Jan2020'!O38/100)* 'Tariffs Jan2020'!AI38,($C$5*'Tariffs Jan2020'!AK38/'Tariffs Jan2020'!AI38*'Tariffs Jan2020'!O38/100)* 'Tariffs Jan2020'!AI38)</f>
        <v>94.662272727272722</v>
      </c>
      <c r="F44" s="59">
        <f>IF($C$5*'Tariffs Jan2020'!AK38/'Tariffs Jan2020'!AI38&lt;'Tariffs Jan2020'!J38,0,IF($C$5*'Tariffs Jan2020'!AK38/'Tariffs Jan2020'!AI38&lt;='Tariffs Jan2020'!K38,($C$5*'Tariffs Jan2020'!AK38/'Tariffs Jan2020'!AI38-'Tariffs Jan2020'!J38)*('Tariffs Jan2020'!P38/100)*'Tariffs Jan2020'!AI38,('Tariffs Jan2020'!K38-'Tariffs Jan2020'!J38)*('Tariffs Jan2020'!P38/100)*'Tariffs Jan2020'!AI38))</f>
        <v>72.800454545454542</v>
      </c>
      <c r="G44" s="59">
        <f>IF($C$5*'Tariffs Jan2020'!AK38/'Tariffs Jan2020'!AI38&lt;'Tariffs Jan2020'!K38,0,IF($C$5*'Tariffs Jan2020'!AK38/'Tariffs Jan2020'!AI38&lt;='Tariffs Jan2020'!L38,($C$5*'Tariffs Jan2020'!AK38/'Tariffs Jan2020'!AI38-'Tariffs Jan2020'!K38)*('Tariffs Jan2020'!Q38/100)*'Tariffs Jan2020'!AI38,('Tariffs Jan2020'!L38-'Tariffs Jan2020'!K38)*('Tariffs Jan2020'!Q38/100)*'Tariffs Jan2020'!AI38))</f>
        <v>0</v>
      </c>
      <c r="H44" s="59">
        <f>IF($C$5*'Tariffs Jan2020'!AK38/'Tariffs Jan2020'!AI38&lt;'Tariffs Jan2020'!L38,0,IF($C$5*'Tariffs Jan2020'!AK38/'Tariffs Jan2020'!AI38&lt;='Tariffs Jan2020'!M38,($C$5*'Tariffs Jan2020'!AK38/'Tariffs Jan2020'!AI38-'Tariffs Jan2020'!L38)*('Tariffs Jan2020'!R38/100)*'Tariffs Jan2020'!AI38,('Tariffs Jan2020'!M38-'Tariffs Jan2020'!L38)*('Tariffs Jan2020'!R38/100)*'Tariffs Jan2020'!AI38))</f>
        <v>0</v>
      </c>
      <c r="I44" s="59">
        <f>IF(($C$5*'Tariffs Jan2020'!AK38/'Tariffs Jan2020'!AI38&gt;'Tariffs Jan2020'!M38),($C$5*'Tariffs Jan2020'!AK38/'Tariffs Jan2020'!AI38-'Tariffs Jan2020'!M38)*'Tariffs Jan2020'!S38/100*'Tariffs Jan2020'!AI38,0)</f>
        <v>337.49999999999994</v>
      </c>
      <c r="J44" s="59">
        <f>IF($C$5*'Tariffs Jan2020'!AL38/'Tariffs Jan2020'!AJ38&gt;='Tariffs Jan2020'!J38,('Tariffs Jan2020'!J38*'Tariffs Jan2020'!U38/100)* 'Tariffs Jan2020'!AJ38,($C$5*'Tariffs Jan2020'!AL38/'Tariffs Jan2020'!AJ38*'Tariffs Jan2020'!U38/100)* 'Tariffs Jan2020'!AJ38)</f>
        <v>94.662272727272722</v>
      </c>
      <c r="K44" s="59">
        <f>IF($C$5*'Tariffs Jan2020'!AL38/'Tariffs Jan2020'!AJ38&lt;'Tariffs Jan2020'!J38,0,IF($C$5*'Tariffs Jan2020'!AL38/'Tariffs Jan2020'!AJ38&lt;='Tariffs Jan2020'!K38,($C$5*'Tariffs Jan2020'!AL38/'Tariffs Jan2020'!AJ38-'Tariffs Jan2020'!J38)*('Tariffs Jan2020'!V38/100)*'Tariffs Jan2020'!AJ38,('Tariffs Jan2020'!K38-'Tariffs Jan2020'!J38)*('Tariffs Jan2020'!V38/100)*'Tariffs Jan2020'!AJ38))</f>
        <v>72.800454545454542</v>
      </c>
      <c r="L44" s="59">
        <f>IF($C$5*'Tariffs Jan2020'!AL38/'Tariffs Jan2020'!AJ38&lt;'Tariffs Jan2020'!K38,0,IF($C$5*'Tariffs Jan2020'!AL38/'Tariffs Jan2020'!AJ38&lt;='Tariffs Jan2020'!L38,($C$5*'Tariffs Jan2020'!AL38/'Tariffs Jan2020'!AJ38-'Tariffs Jan2020'!K38)*('Tariffs Jan2020'!W38/100)*'Tariffs Jan2020'!AJ38,('Tariffs Jan2020'!L38-'Tariffs Jan2020'!K38)*('Tariffs Jan2020'!W38/100)*'Tariffs Jan2020'!AJ38))</f>
        <v>0</v>
      </c>
      <c r="M44" s="59">
        <f>IF($C$5*'Tariffs Jan2020'!AL38/'Tariffs Jan2020'!AJ38&lt;'Tariffs Jan2020'!L38,0,IF($C$5*'Tariffs Jan2020'!AL38/'Tariffs Jan2020'!AJ38&lt;='Tariffs Jan2020'!M38,($C$5*'Tariffs Jan2020'!AL38/'Tariffs Jan2020'!AJ38-'Tariffs Jan2020'!L38)*('Tariffs Jan2020'!X38/100)*'Tariffs Jan2020'!AJ38,('Tariffs Jan2020'!M38-'Tariffs Jan2020'!L38)*('Tariffs Jan2020'!X38/100)*'Tariffs Jan2020'!AJ38))</f>
        <v>0</v>
      </c>
      <c r="N44" s="59">
        <f>IF(($C$5*'Tariffs Jan2020'!AL38/'Tariffs Jan2020'!AJ38&gt;'Tariffs Jan2020'!M38),($C$5*'Tariffs Jan2020'!AL38/'Tariffs Jan2020'!AJ38-'Tariffs Jan2020'!M38)*'Tariffs Jan2020'!Y38/100*'Tariffs Jan2020'!AJ38,0)</f>
        <v>337.49999999999994</v>
      </c>
      <c r="O44" s="59">
        <f t="shared" si="0"/>
        <v>1009.9254545454544</v>
      </c>
      <c r="P44" s="503">
        <f t="shared" si="1"/>
        <v>1110.9179999999999</v>
      </c>
      <c r="Q44" s="59">
        <f t="shared" si="2"/>
        <v>1281.1204545454543</v>
      </c>
      <c r="R44" s="272">
        <f t="shared" si="3"/>
        <v>1409.2324999999998</v>
      </c>
      <c r="S44" s="40">
        <f>'Tariffs Jan2020'!AN38</f>
        <v>0</v>
      </c>
      <c r="T44" s="40">
        <f>'Tariffs Jan2020'!AO38</f>
        <v>0</v>
      </c>
      <c r="U44" s="40">
        <f>'Tariffs Jan2020'!AP38</f>
        <v>0</v>
      </c>
      <c r="V44" s="40">
        <f>'Tariffs Jan2020'!AQ38</f>
        <v>0</v>
      </c>
      <c r="W44" s="284">
        <f>Q44</f>
        <v>1281.1204545454543</v>
      </c>
      <c r="X44" s="284">
        <f>W44</f>
        <v>1281.1204545454543</v>
      </c>
      <c r="Y44" s="507">
        <f t="shared" ref="Y44:Y51" si="16">W44*1.1</f>
        <v>1409.2324999999998</v>
      </c>
      <c r="Z44" s="507">
        <f t="shared" ref="Z44:Z51" si="17">X44*1.1</f>
        <v>1409.2324999999998</v>
      </c>
      <c r="AA44" s="274">
        <f>'Tariffs Jan2020'!AZ38</f>
        <v>0</v>
      </c>
      <c r="AB44" s="274" t="str">
        <f>'Tariffs Jan2020'!BA38</f>
        <v>n</v>
      </c>
      <c r="AC44" s="275" t="str">
        <f>'Tariffs Jan2020'!BJ38</f>
        <v>N</v>
      </c>
      <c r="AD44" s="425"/>
      <c r="AE44" s="425"/>
      <c r="AF44" s="427"/>
      <c r="AG44" s="427"/>
      <c r="AH44" s="427"/>
      <c r="AI44" s="427"/>
      <c r="AJ44" s="427"/>
      <c r="AK44" s="427"/>
      <c r="AL44" s="427"/>
      <c r="AM44" s="427"/>
      <c r="AN44" s="427"/>
    </row>
    <row r="45" spans="1:40" ht="14" x14ac:dyDescent="0.15">
      <c r="A45" s="270" t="str">
        <f>'Tariffs Jan2020'!F39</f>
        <v>Alinta Energy</v>
      </c>
      <c r="B45" s="40" t="str">
        <f>'Tariffs Jan2020'!D39</f>
        <v>AGN North</v>
      </c>
      <c r="C45" s="40" t="str">
        <f>'Tariffs Jan2020'!G39</f>
        <v>Home Deal</v>
      </c>
      <c r="D45" s="59">
        <f>365*'Tariffs Jan2020'!H39/100</f>
        <v>244.55</v>
      </c>
      <c r="E45" s="59">
        <f>IF($C$5*'Tariffs Jan2020'!AK39/'Tariffs Jan2020'!AI39&gt;='Tariffs Jan2020'!J39,( 'Tariffs Jan2020'!J39*'Tariffs Jan2020'!O39/100)* 'Tariffs Jan2020'!AI39,($C$5*'Tariffs Jan2020'!AK39/'Tariffs Jan2020'!AI39*'Tariffs Jan2020'!O39/100)* 'Tariffs Jan2020'!AI39)</f>
        <v>103.63500000000001</v>
      </c>
      <c r="F45" s="59">
        <f>IF($C$5*'Tariffs Jan2020'!AK39/'Tariffs Jan2020'!AI39&lt;'Tariffs Jan2020'!J39,0,IF($C$5*'Tariffs Jan2020'!AK39/'Tariffs Jan2020'!AI39&lt;='Tariffs Jan2020'!K39,($C$5*'Tariffs Jan2020'!AK39/'Tariffs Jan2020'!AI39-'Tariffs Jan2020'!J39)*('Tariffs Jan2020'!P39/100)*'Tariffs Jan2020'!AI39,('Tariffs Jan2020'!K39-'Tariffs Jan2020'!J39)*('Tariffs Jan2020'!P39/100)*'Tariffs Jan2020'!AI39))</f>
        <v>85.365000000000009</v>
      </c>
      <c r="G45" s="59">
        <f>IF($C$5*'Tariffs Jan2020'!AK39/'Tariffs Jan2020'!AI39&lt;'Tariffs Jan2020'!K39,0,IF($C$5*'Tariffs Jan2020'!AK39/'Tariffs Jan2020'!AI39&lt;='Tariffs Jan2020'!L39,($C$5*'Tariffs Jan2020'!AK39/'Tariffs Jan2020'!AI39-'Tariffs Jan2020'!K39)*('Tariffs Jan2020'!Q39/100)*'Tariffs Jan2020'!AI39,('Tariffs Jan2020'!L39-'Tariffs Jan2020'!K39)*('Tariffs Jan2020'!Q39/100)*'Tariffs Jan2020'!AI39))</f>
        <v>0</v>
      </c>
      <c r="H45" s="59">
        <f>IF($C$5*'Tariffs Jan2020'!AK39/'Tariffs Jan2020'!AI39&lt;'Tariffs Jan2020'!L39,0,IF($C$5*'Tariffs Jan2020'!AK39/'Tariffs Jan2020'!AI39&lt;='Tariffs Jan2020'!M39,($C$5*'Tariffs Jan2020'!AK39/'Tariffs Jan2020'!AI39-'Tariffs Jan2020'!L39)*('Tariffs Jan2020'!R39/100)*'Tariffs Jan2020'!AI39,('Tariffs Jan2020'!M39-'Tariffs Jan2020'!L39)*('Tariffs Jan2020'!R39/100)*'Tariffs Jan2020'!AI39))</f>
        <v>0</v>
      </c>
      <c r="I45" s="59">
        <f>IF(($C$5*'Tariffs Jan2020'!AK39/'Tariffs Jan2020'!AI39&gt;'Tariffs Jan2020'!M39),($C$5*'Tariffs Jan2020'!AK39/'Tariffs Jan2020'!AI39-'Tariffs Jan2020'!M39)*'Tariffs Jan2020'!S39/100*'Tariffs Jan2020'!AI39,0)</f>
        <v>404.99999999999989</v>
      </c>
      <c r="J45" s="59">
        <f>IF($C$5*'Tariffs Jan2020'!AL39/'Tariffs Jan2020'!AJ39&gt;='Tariffs Jan2020'!J39,('Tariffs Jan2020'!J39*'Tariffs Jan2020'!U39/100)* 'Tariffs Jan2020'!AJ39,($C$5*'Tariffs Jan2020'!AL39/'Tariffs Jan2020'!AJ39*'Tariffs Jan2020'!U39/100)* 'Tariffs Jan2020'!AJ39)</f>
        <v>103.63500000000001</v>
      </c>
      <c r="K45" s="59">
        <f>IF($C$5*'Tariffs Jan2020'!AL39/'Tariffs Jan2020'!AJ39&lt;'Tariffs Jan2020'!J39,0,IF($C$5*'Tariffs Jan2020'!AL39/'Tariffs Jan2020'!AJ39&lt;='Tariffs Jan2020'!K39,($C$5*'Tariffs Jan2020'!AL39/'Tariffs Jan2020'!AJ39-'Tariffs Jan2020'!J39)*('Tariffs Jan2020'!V39/100)*'Tariffs Jan2020'!AJ39,('Tariffs Jan2020'!K39-'Tariffs Jan2020'!J39)*('Tariffs Jan2020'!V39/100)*'Tariffs Jan2020'!AJ39))</f>
        <v>85.365000000000009</v>
      </c>
      <c r="L45" s="59">
        <f>IF($C$5*'Tariffs Jan2020'!AL39/'Tariffs Jan2020'!AJ39&lt;'Tariffs Jan2020'!K39,0,IF($C$5*'Tariffs Jan2020'!AL39/'Tariffs Jan2020'!AJ39&lt;='Tariffs Jan2020'!L39,($C$5*'Tariffs Jan2020'!AL39/'Tariffs Jan2020'!AJ39-'Tariffs Jan2020'!K39)*('Tariffs Jan2020'!W39/100)*'Tariffs Jan2020'!AJ39,('Tariffs Jan2020'!L39-'Tariffs Jan2020'!K39)*('Tariffs Jan2020'!W39/100)*'Tariffs Jan2020'!AJ39))</f>
        <v>0</v>
      </c>
      <c r="M45" s="59">
        <f>IF($C$5*'Tariffs Jan2020'!AL39/'Tariffs Jan2020'!AJ39&lt;'Tariffs Jan2020'!L39,0,IF($C$5*'Tariffs Jan2020'!AL39/'Tariffs Jan2020'!AJ39&lt;='Tariffs Jan2020'!M39,($C$5*'Tariffs Jan2020'!AL39/'Tariffs Jan2020'!AJ39-'Tariffs Jan2020'!L39)*('Tariffs Jan2020'!X39/100)*'Tariffs Jan2020'!AJ39,('Tariffs Jan2020'!M39-'Tariffs Jan2020'!L39)*('Tariffs Jan2020'!X39/100)*'Tariffs Jan2020'!AJ39))</f>
        <v>0</v>
      </c>
      <c r="N45" s="59">
        <f>IF(($C$5*'Tariffs Jan2020'!AL39/'Tariffs Jan2020'!AJ39&gt;'Tariffs Jan2020'!M39),($C$5*'Tariffs Jan2020'!AL39/'Tariffs Jan2020'!AJ39-'Tariffs Jan2020'!M39)*'Tariffs Jan2020'!Y39/100*'Tariffs Jan2020'!AJ39,0)</f>
        <v>404.99999999999989</v>
      </c>
      <c r="O45" s="59">
        <f t="shared" si="0"/>
        <v>1187.9999999999998</v>
      </c>
      <c r="P45" s="503">
        <f t="shared" si="1"/>
        <v>1306.8</v>
      </c>
      <c r="Q45" s="59">
        <f t="shared" si="2"/>
        <v>1432.5499999999997</v>
      </c>
      <c r="R45" s="272">
        <f t="shared" si="3"/>
        <v>1575.8049999999998</v>
      </c>
      <c r="S45" s="40">
        <f>'Tariffs Jan2020'!AN39</f>
        <v>0</v>
      </c>
      <c r="T45" s="40">
        <f>'Tariffs Jan2020'!AO39</f>
        <v>0</v>
      </c>
      <c r="U45" s="40">
        <f>'Tariffs Jan2020'!AP39</f>
        <v>0</v>
      </c>
      <c r="V45" s="40">
        <f>'Tariffs Jan2020'!AQ39</f>
        <v>0</v>
      </c>
      <c r="W45" s="284">
        <f>Q45</f>
        <v>1432.5499999999997</v>
      </c>
      <c r="X45" s="284">
        <f>W45</f>
        <v>1432.5499999999997</v>
      </c>
      <c r="Y45" s="507">
        <f t="shared" si="16"/>
        <v>1575.8049999999998</v>
      </c>
      <c r="Z45" s="507">
        <f t="shared" si="17"/>
        <v>1575.8049999999998</v>
      </c>
      <c r="AA45" s="274">
        <f>'Tariffs Jan2020'!AZ39</f>
        <v>0</v>
      </c>
      <c r="AB45" s="274" t="str">
        <f>'Tariffs Jan2020'!BA39</f>
        <v>n</v>
      </c>
      <c r="AC45" s="275" t="str">
        <f>'Tariffs Jan2020'!BJ39</f>
        <v>N</v>
      </c>
      <c r="AD45" s="425"/>
      <c r="AE45" s="425"/>
      <c r="AF45" s="427"/>
      <c r="AG45" s="427"/>
      <c r="AH45" s="427"/>
      <c r="AI45" s="427"/>
      <c r="AJ45" s="427"/>
      <c r="AK45" s="427"/>
      <c r="AL45" s="427"/>
      <c r="AM45" s="427"/>
      <c r="AN45" s="427"/>
    </row>
    <row r="46" spans="1:40" ht="14" x14ac:dyDescent="0.15">
      <c r="A46" s="270" t="str">
        <f>'Tariffs Jan2020'!F40</f>
        <v>Click Energy</v>
      </c>
      <c r="B46" s="40" t="str">
        <f>'Tariffs Jan2020'!D40</f>
        <v>AGN North</v>
      </c>
      <c r="C46" s="40" t="str">
        <f>'Tariffs Jan2020'!G40</f>
        <v>Hibiscus</v>
      </c>
      <c r="D46" s="59">
        <f>365*'Tariffs Jan2020'!H40/100</f>
        <v>216.61090909090908</v>
      </c>
      <c r="E46" s="59">
        <f>IF($C$5*'Tariffs Jan2020'!AK40/'Tariffs Jan2020'!AI40&gt;='Tariffs Jan2020'!J40,( 'Tariffs Jan2020'!J40*'Tariffs Jan2020'!O40/100)* 'Tariffs Jan2020'!AI40,($C$5*'Tariffs Jan2020'!AK40/'Tariffs Jan2020'!AI40*'Tariffs Jan2020'!O40/100)* 'Tariffs Jan2020'!AI40)</f>
        <v>136.83409090909089</v>
      </c>
      <c r="F46" s="59">
        <f>IF($C$5*'Tariffs Jan2020'!AK40/'Tariffs Jan2020'!AI40&lt;'Tariffs Jan2020'!J40,0,IF($C$5*'Tariffs Jan2020'!AK40/'Tariffs Jan2020'!AI40&lt;='Tariffs Jan2020'!K40,($C$5*'Tariffs Jan2020'!AK40/'Tariffs Jan2020'!AI40-'Tariffs Jan2020'!J40)*('Tariffs Jan2020'!P40/100)*'Tariffs Jan2020'!AI40,('Tariffs Jan2020'!K40-'Tariffs Jan2020'!J40)*('Tariffs Jan2020'!P40/100)*'Tariffs Jan2020'!AI40))</f>
        <v>96.081818181818164</v>
      </c>
      <c r="G46" s="59">
        <f>IF($C$5*'Tariffs Jan2020'!AK40/'Tariffs Jan2020'!AI40&lt;'Tariffs Jan2020'!K40,0,IF($C$5*'Tariffs Jan2020'!AK40/'Tariffs Jan2020'!AI40&lt;='Tariffs Jan2020'!L40,($C$5*'Tariffs Jan2020'!AK40/'Tariffs Jan2020'!AI40-'Tariffs Jan2020'!K40)*('Tariffs Jan2020'!Q40/100)*'Tariffs Jan2020'!AI40,('Tariffs Jan2020'!L40-'Tariffs Jan2020'!K40)*('Tariffs Jan2020'!Q40/100)*'Tariffs Jan2020'!AI40))</f>
        <v>0</v>
      </c>
      <c r="H46" s="59">
        <f>IF($C$5*'Tariffs Jan2020'!AK40/'Tariffs Jan2020'!AI40&lt;'Tariffs Jan2020'!L40,0,IF($C$5*'Tariffs Jan2020'!AK40/'Tariffs Jan2020'!AI40&lt;='Tariffs Jan2020'!M40,($C$5*'Tariffs Jan2020'!AK40/'Tariffs Jan2020'!AI40-'Tariffs Jan2020'!L40)*('Tariffs Jan2020'!R40/100)*'Tariffs Jan2020'!AI40,('Tariffs Jan2020'!M40-'Tariffs Jan2020'!L40)*('Tariffs Jan2020'!R40/100)*'Tariffs Jan2020'!AI40))</f>
        <v>0</v>
      </c>
      <c r="I46" s="59">
        <f>IF(($C$5*'Tariffs Jan2020'!AK40/'Tariffs Jan2020'!AI40&gt;'Tariffs Jan2020'!M40),($C$5*'Tariffs Jan2020'!AK40/'Tariffs Jan2020'!AI40-'Tariffs Jan2020'!M40)*'Tariffs Jan2020'!S40/100*'Tariffs Jan2020'!AI40,0)</f>
        <v>466.36363636363626</v>
      </c>
      <c r="J46" s="59">
        <f>IF($C$5*'Tariffs Jan2020'!AL40/'Tariffs Jan2020'!AJ40&gt;='Tariffs Jan2020'!J40,('Tariffs Jan2020'!J40*'Tariffs Jan2020'!U40/100)* 'Tariffs Jan2020'!AJ40,($C$5*'Tariffs Jan2020'!AL40/'Tariffs Jan2020'!AJ40*'Tariffs Jan2020'!U40/100)* 'Tariffs Jan2020'!AJ40)</f>
        <v>136.83409090909089</v>
      </c>
      <c r="K46" s="59">
        <f>IF($C$5*'Tariffs Jan2020'!AL40/'Tariffs Jan2020'!AJ40&lt;'Tariffs Jan2020'!J40,0,IF($C$5*'Tariffs Jan2020'!AL40/'Tariffs Jan2020'!AJ40&lt;='Tariffs Jan2020'!K40,($C$5*'Tariffs Jan2020'!AL40/'Tariffs Jan2020'!AJ40-'Tariffs Jan2020'!J40)*('Tariffs Jan2020'!V40/100)*'Tariffs Jan2020'!AJ40,('Tariffs Jan2020'!K40-'Tariffs Jan2020'!J40)*('Tariffs Jan2020'!V40/100)*'Tariffs Jan2020'!AJ40))</f>
        <v>96.081818181818164</v>
      </c>
      <c r="L46" s="59">
        <f>IF($C$5*'Tariffs Jan2020'!AL40/'Tariffs Jan2020'!AJ40&lt;'Tariffs Jan2020'!K40,0,IF($C$5*'Tariffs Jan2020'!AL40/'Tariffs Jan2020'!AJ40&lt;='Tariffs Jan2020'!L40,($C$5*'Tariffs Jan2020'!AL40/'Tariffs Jan2020'!AJ40-'Tariffs Jan2020'!K40)*('Tariffs Jan2020'!W40/100)*'Tariffs Jan2020'!AJ40,('Tariffs Jan2020'!L40-'Tariffs Jan2020'!K40)*('Tariffs Jan2020'!W40/100)*'Tariffs Jan2020'!AJ40))</f>
        <v>0</v>
      </c>
      <c r="M46" s="59">
        <f>IF($C$5*'Tariffs Jan2020'!AL40/'Tariffs Jan2020'!AJ40&lt;'Tariffs Jan2020'!L40,0,IF($C$5*'Tariffs Jan2020'!AL40/'Tariffs Jan2020'!AJ40&lt;='Tariffs Jan2020'!M40,($C$5*'Tariffs Jan2020'!AL40/'Tariffs Jan2020'!AJ40-'Tariffs Jan2020'!L40)*('Tariffs Jan2020'!X40/100)*'Tariffs Jan2020'!AJ40,('Tariffs Jan2020'!M40-'Tariffs Jan2020'!L40)*('Tariffs Jan2020'!X40/100)*'Tariffs Jan2020'!AJ40))</f>
        <v>0</v>
      </c>
      <c r="N46" s="59">
        <f>IF(($C$5*'Tariffs Jan2020'!AL40/'Tariffs Jan2020'!AJ40&gt;'Tariffs Jan2020'!M40),($C$5*'Tariffs Jan2020'!AL40/'Tariffs Jan2020'!AJ40-'Tariffs Jan2020'!M40)*'Tariffs Jan2020'!Y40/100*'Tariffs Jan2020'!AJ40,0)</f>
        <v>466.36363636363626</v>
      </c>
      <c r="O46" s="59">
        <f t="shared" si="0"/>
        <v>1398.5590909090906</v>
      </c>
      <c r="P46" s="503">
        <f t="shared" si="1"/>
        <v>1538.4149999999997</v>
      </c>
      <c r="Q46" s="59">
        <f t="shared" si="2"/>
        <v>1615.1699999999996</v>
      </c>
      <c r="R46" s="272">
        <f t="shared" si="3"/>
        <v>1776.6869999999997</v>
      </c>
      <c r="S46" s="40">
        <f>'Tariffs Jan2020'!AN40</f>
        <v>0</v>
      </c>
      <c r="T46" s="40">
        <f>'Tariffs Jan2020'!AO40</f>
        <v>0</v>
      </c>
      <c r="U46" s="40">
        <f>'Tariffs Jan2020'!AP40</f>
        <v>0</v>
      </c>
      <c r="V46" s="40">
        <f>'Tariffs Jan2020'!AQ40</f>
        <v>0</v>
      </c>
      <c r="W46" s="284">
        <f>Q46</f>
        <v>1615.1699999999996</v>
      </c>
      <c r="X46" s="284">
        <f>W46</f>
        <v>1615.1699999999996</v>
      </c>
      <c r="Y46" s="507">
        <f t="shared" si="16"/>
        <v>1776.6869999999997</v>
      </c>
      <c r="Z46" s="507">
        <f t="shared" si="17"/>
        <v>1776.6869999999997</v>
      </c>
      <c r="AA46" s="274">
        <f>'Tariffs Jan2020'!AZ40</f>
        <v>0</v>
      </c>
      <c r="AB46" s="274" t="str">
        <f>'Tariffs Jan2020'!BA40</f>
        <v>n</v>
      </c>
      <c r="AC46" s="275" t="str">
        <f>'Tariffs Jan2020'!BJ40</f>
        <v>N</v>
      </c>
      <c r="AD46" s="425"/>
      <c r="AE46" s="425"/>
      <c r="AF46" s="427"/>
      <c r="AG46" s="427"/>
      <c r="AH46" s="427"/>
      <c r="AI46" s="427"/>
      <c r="AJ46" s="427"/>
      <c r="AK46" s="427"/>
      <c r="AL46" s="427"/>
      <c r="AM46" s="427"/>
      <c r="AN46" s="427"/>
    </row>
    <row r="47" spans="1:40" ht="14" x14ac:dyDescent="0.15">
      <c r="A47" s="270" t="str">
        <f>'Tariffs Jan2020'!F41</f>
        <v>Covau</v>
      </c>
      <c r="B47" s="40" t="str">
        <f>'Tariffs Jan2020'!D41</f>
        <v>AGN North</v>
      </c>
      <c r="C47" s="40" t="str">
        <f>'Tariffs Jan2020'!G41</f>
        <v>Smart Saver</v>
      </c>
      <c r="D47" s="59">
        <f>365*'Tariffs Jan2020'!H41/100</f>
        <v>273.75</v>
      </c>
      <c r="E47" s="59">
        <f>IF($C$5*'Tariffs Jan2020'!AK41/'Tariffs Jan2020'!AI41&gt;='Tariffs Jan2020'!J41,( 'Tariffs Jan2020'!J41*'Tariffs Jan2020'!O41/100)* 'Tariffs Jan2020'!AI41,($C$5*'Tariffs Jan2020'!AK41/'Tariffs Jan2020'!AI41*'Tariffs Jan2020'!O41/100)* 'Tariffs Jan2020'!AI41)</f>
        <v>147.60136363636363</v>
      </c>
      <c r="F47" s="59">
        <f>IF($C$5*'Tariffs Jan2020'!AK41/'Tariffs Jan2020'!AI41&lt;'Tariffs Jan2020'!J41,0,IF($C$5*'Tariffs Jan2020'!AK41/'Tariffs Jan2020'!AI41&lt;='Tariffs Jan2020'!K41,($C$5*'Tariffs Jan2020'!AK41/'Tariffs Jan2020'!AI41-'Tariffs Jan2020'!J41)*('Tariffs Jan2020'!P41/100)*'Tariffs Jan2020'!AI41,('Tariffs Jan2020'!K41-'Tariffs Jan2020'!J41)*('Tariffs Jan2020'!P41/100)*'Tariffs Jan2020'!AI41))</f>
        <v>107.9072727272727</v>
      </c>
      <c r="G47" s="59">
        <f>IF($C$5*'Tariffs Jan2020'!AK41/'Tariffs Jan2020'!AI41&lt;'Tariffs Jan2020'!K41,0,IF($C$5*'Tariffs Jan2020'!AK41/'Tariffs Jan2020'!AI41&lt;='Tariffs Jan2020'!L41,($C$5*'Tariffs Jan2020'!AK41/'Tariffs Jan2020'!AI41-'Tariffs Jan2020'!K41)*('Tariffs Jan2020'!Q41/100)*'Tariffs Jan2020'!AI41,('Tariffs Jan2020'!L41-'Tariffs Jan2020'!K41)*('Tariffs Jan2020'!Q41/100)*'Tariffs Jan2020'!AI41))</f>
        <v>0</v>
      </c>
      <c r="H47" s="59">
        <f>IF($C$5*'Tariffs Jan2020'!AK41/'Tariffs Jan2020'!AI41&lt;'Tariffs Jan2020'!L41,0,IF($C$5*'Tariffs Jan2020'!AK41/'Tariffs Jan2020'!AI41&lt;='Tariffs Jan2020'!M41,($C$5*'Tariffs Jan2020'!AK41/'Tariffs Jan2020'!AI41-'Tariffs Jan2020'!L41)*('Tariffs Jan2020'!R41/100)*'Tariffs Jan2020'!AI41,('Tariffs Jan2020'!M41-'Tariffs Jan2020'!L41)*('Tariffs Jan2020'!R41/100)*'Tariffs Jan2020'!AI41))</f>
        <v>0</v>
      </c>
      <c r="I47" s="59">
        <f>IF(($C$5*'Tariffs Jan2020'!AK41/'Tariffs Jan2020'!AI41&gt;'Tariffs Jan2020'!M41),($C$5*'Tariffs Jan2020'!AK41/'Tariffs Jan2020'!AI41-'Tariffs Jan2020'!M41)*'Tariffs Jan2020'!S41/100*'Tariffs Jan2020'!AI41,0)</f>
        <v>499.09090909090895</v>
      </c>
      <c r="J47" s="59">
        <f>IF($C$5*'Tariffs Jan2020'!AL41/'Tariffs Jan2020'!AJ41&gt;='Tariffs Jan2020'!J41,('Tariffs Jan2020'!J41*'Tariffs Jan2020'!U41/100)* 'Tariffs Jan2020'!AJ41,($C$5*'Tariffs Jan2020'!AL41/'Tariffs Jan2020'!AJ41*'Tariffs Jan2020'!U41/100)* 'Tariffs Jan2020'!AJ41)</f>
        <v>147.60136363636363</v>
      </c>
      <c r="K47" s="59">
        <f>IF($C$5*'Tariffs Jan2020'!AL41/'Tariffs Jan2020'!AJ41&lt;'Tariffs Jan2020'!J41,0,IF($C$5*'Tariffs Jan2020'!AL41/'Tariffs Jan2020'!AJ41&lt;='Tariffs Jan2020'!K41,($C$5*'Tariffs Jan2020'!AL41/'Tariffs Jan2020'!AJ41-'Tariffs Jan2020'!J41)*('Tariffs Jan2020'!V41/100)*'Tariffs Jan2020'!AJ41,('Tariffs Jan2020'!K41-'Tariffs Jan2020'!J41)*('Tariffs Jan2020'!V41/100)*'Tariffs Jan2020'!AJ41))</f>
        <v>107.9072727272727</v>
      </c>
      <c r="L47" s="59">
        <f>IF($C$5*'Tariffs Jan2020'!AL41/'Tariffs Jan2020'!AJ41&lt;'Tariffs Jan2020'!K41,0,IF($C$5*'Tariffs Jan2020'!AL41/'Tariffs Jan2020'!AJ41&lt;='Tariffs Jan2020'!L41,($C$5*'Tariffs Jan2020'!AL41/'Tariffs Jan2020'!AJ41-'Tariffs Jan2020'!K41)*('Tariffs Jan2020'!W41/100)*'Tariffs Jan2020'!AJ41,('Tariffs Jan2020'!L41-'Tariffs Jan2020'!K41)*('Tariffs Jan2020'!W41/100)*'Tariffs Jan2020'!AJ41))</f>
        <v>0</v>
      </c>
      <c r="M47" s="59">
        <f>IF($C$5*'Tariffs Jan2020'!AL41/'Tariffs Jan2020'!AJ41&lt;'Tariffs Jan2020'!L41,0,IF($C$5*'Tariffs Jan2020'!AL41/'Tariffs Jan2020'!AJ41&lt;='Tariffs Jan2020'!M41,($C$5*'Tariffs Jan2020'!AL41/'Tariffs Jan2020'!AJ41-'Tariffs Jan2020'!L41)*('Tariffs Jan2020'!X41/100)*'Tariffs Jan2020'!AJ41,('Tariffs Jan2020'!M41-'Tariffs Jan2020'!L41)*('Tariffs Jan2020'!X41/100)*'Tariffs Jan2020'!AJ41))</f>
        <v>0</v>
      </c>
      <c r="N47" s="59">
        <f>IF(($C$5*'Tariffs Jan2020'!AL41/'Tariffs Jan2020'!AJ41&gt;'Tariffs Jan2020'!M41),($C$5*'Tariffs Jan2020'!AL41/'Tariffs Jan2020'!AJ41-'Tariffs Jan2020'!M41)*'Tariffs Jan2020'!Y41/100*'Tariffs Jan2020'!AJ41,0)</f>
        <v>499.09090909090895</v>
      </c>
      <c r="O47" s="59">
        <f t="shared" si="0"/>
        <v>1509.1990909090905</v>
      </c>
      <c r="P47" s="503">
        <f t="shared" si="1"/>
        <v>1660.1189999999997</v>
      </c>
      <c r="Q47" s="59">
        <f t="shared" si="2"/>
        <v>1782.9490909090905</v>
      </c>
      <c r="R47" s="272">
        <f t="shared" si="3"/>
        <v>1961.2439999999997</v>
      </c>
      <c r="S47" s="40">
        <f>'Tariffs Jan2020'!AN41</f>
        <v>0</v>
      </c>
      <c r="T47" s="40">
        <f>'Tariffs Jan2020'!AO41</f>
        <v>16</v>
      </c>
      <c r="U47" s="40">
        <f>'Tariffs Jan2020'!AP41</f>
        <v>0</v>
      </c>
      <c r="V47" s="40">
        <f>'Tariffs Jan2020'!AQ41</f>
        <v>0</v>
      </c>
      <c r="W47" s="284">
        <f>Q47-(O47*T47/100)</f>
        <v>1541.4772363636359</v>
      </c>
      <c r="X47" s="284">
        <f>W47</f>
        <v>1541.4772363636359</v>
      </c>
      <c r="Y47" s="507">
        <f t="shared" si="16"/>
        <v>1695.6249599999996</v>
      </c>
      <c r="Z47" s="507">
        <f t="shared" si="17"/>
        <v>1695.6249599999996</v>
      </c>
      <c r="AA47" s="274">
        <f>'Tariffs Jan2020'!AZ41</f>
        <v>0</v>
      </c>
      <c r="AB47" s="274" t="str">
        <f>'Tariffs Jan2020'!BA41</f>
        <v>n</v>
      </c>
      <c r="AC47" s="275" t="str">
        <f>'Tariffs Jan2020'!BJ41</f>
        <v>N</v>
      </c>
      <c r="AD47" s="425"/>
      <c r="AE47" s="425"/>
      <c r="AF47" s="427"/>
      <c r="AG47" s="427"/>
      <c r="AH47" s="427"/>
      <c r="AI47" s="427"/>
      <c r="AJ47" s="427"/>
      <c r="AK47" s="427"/>
      <c r="AL47" s="427"/>
      <c r="AM47" s="427"/>
      <c r="AN47" s="427"/>
    </row>
    <row r="48" spans="1:40" ht="14" x14ac:dyDescent="0.15">
      <c r="A48" s="270" t="str">
        <f>'Tariffs Jan2020'!F42</f>
        <v>Dodo Power &amp; Gas</v>
      </c>
      <c r="B48" s="40" t="str">
        <f>'Tariffs Jan2020'!D42</f>
        <v>AGN North</v>
      </c>
      <c r="C48" s="40" t="str">
        <f>'Tariffs Jan2020'!G42</f>
        <v>Market offer</v>
      </c>
      <c r="D48" s="59">
        <f>365*'Tariffs Jan2020'!H42/100</f>
        <v>220.65909090909088</v>
      </c>
      <c r="E48" s="59">
        <f>IF($C$5*'Tariffs Jan2020'!AK42/'Tariffs Jan2020'!AI42&gt;='Tariffs Jan2020'!J42,( 'Tariffs Jan2020'!J42*'Tariffs Jan2020'!O42/100)* 'Tariffs Jan2020'!AI42,($C$5*'Tariffs Jan2020'!AK42/'Tariffs Jan2020'!AI42*'Tariffs Jan2020'!O42/100)* 'Tariffs Jan2020'!AI42)</f>
        <v>128.30999999999997</v>
      </c>
      <c r="F48" s="59">
        <f>IF($C$5*'Tariffs Jan2020'!AK42/'Tariffs Jan2020'!AI42&lt;'Tariffs Jan2020'!J42,0,IF($C$5*'Tariffs Jan2020'!AK42/'Tariffs Jan2020'!AI42&lt;='Tariffs Jan2020'!K42,($C$5*'Tariffs Jan2020'!AK42/'Tariffs Jan2020'!AI42-'Tariffs Jan2020'!J42)*('Tariffs Jan2020'!P42/100)*'Tariffs Jan2020'!AI42,('Tariffs Jan2020'!K42-'Tariffs Jan2020'!J42)*('Tariffs Jan2020'!P42/100)*'Tariffs Jan2020'!AI42))</f>
        <v>85.365000000000009</v>
      </c>
      <c r="G48" s="59">
        <f>IF($C$5*'Tariffs Jan2020'!AK42/'Tariffs Jan2020'!AI42&lt;'Tariffs Jan2020'!K42,0,IF($C$5*'Tariffs Jan2020'!AK42/'Tariffs Jan2020'!AI42&lt;='Tariffs Jan2020'!L42,($C$5*'Tariffs Jan2020'!AK42/'Tariffs Jan2020'!AI42-'Tariffs Jan2020'!K42)*('Tariffs Jan2020'!Q42/100)*'Tariffs Jan2020'!AI42,('Tariffs Jan2020'!L42-'Tariffs Jan2020'!K42)*('Tariffs Jan2020'!Q42/100)*'Tariffs Jan2020'!AI42))</f>
        <v>0</v>
      </c>
      <c r="H48" s="59">
        <f>IF($C$5*'Tariffs Jan2020'!AK42/'Tariffs Jan2020'!AI42&lt;'Tariffs Jan2020'!L42,0,IF($C$5*'Tariffs Jan2020'!AK42/'Tariffs Jan2020'!AI42&lt;='Tariffs Jan2020'!M42,($C$5*'Tariffs Jan2020'!AK42/'Tariffs Jan2020'!AI42-'Tariffs Jan2020'!L42)*('Tariffs Jan2020'!R42/100)*'Tariffs Jan2020'!AI42,('Tariffs Jan2020'!M42-'Tariffs Jan2020'!L42)*('Tariffs Jan2020'!R42/100)*'Tariffs Jan2020'!AI42))</f>
        <v>0</v>
      </c>
      <c r="I48" s="59">
        <f>IF(($C$5*'Tariffs Jan2020'!AK42/'Tariffs Jan2020'!AI42&gt;'Tariffs Jan2020'!M42),($C$5*'Tariffs Jan2020'!AK42/'Tariffs Jan2020'!AI42-'Tariffs Jan2020'!M42)*'Tariffs Jan2020'!S42/100*'Tariffs Jan2020'!AI42,0)</f>
        <v>450</v>
      </c>
      <c r="J48" s="59">
        <f>IF($C$5*'Tariffs Jan2020'!AL42/'Tariffs Jan2020'!AJ42&gt;='Tariffs Jan2020'!J42,('Tariffs Jan2020'!J42*'Tariffs Jan2020'!U42/100)* 'Tariffs Jan2020'!AJ42,($C$5*'Tariffs Jan2020'!AL42/'Tariffs Jan2020'!AJ42*'Tariffs Jan2020'!U42/100)* 'Tariffs Jan2020'!AJ42)</f>
        <v>128.30999999999997</v>
      </c>
      <c r="K48" s="59">
        <f>IF($C$5*'Tariffs Jan2020'!AL42/'Tariffs Jan2020'!AJ42&lt;'Tariffs Jan2020'!J42,0,IF($C$5*'Tariffs Jan2020'!AL42/'Tariffs Jan2020'!AJ42&lt;='Tariffs Jan2020'!K42,($C$5*'Tariffs Jan2020'!AL42/'Tariffs Jan2020'!AJ42-'Tariffs Jan2020'!J42)*('Tariffs Jan2020'!V42/100)*'Tariffs Jan2020'!AJ42,('Tariffs Jan2020'!K42-'Tariffs Jan2020'!J42)*('Tariffs Jan2020'!V42/100)*'Tariffs Jan2020'!AJ42))</f>
        <v>85.365000000000009</v>
      </c>
      <c r="L48" s="59">
        <f>IF($C$5*'Tariffs Jan2020'!AL42/'Tariffs Jan2020'!AJ42&lt;'Tariffs Jan2020'!K42,0,IF($C$5*'Tariffs Jan2020'!AL42/'Tariffs Jan2020'!AJ42&lt;='Tariffs Jan2020'!L42,($C$5*'Tariffs Jan2020'!AL42/'Tariffs Jan2020'!AJ42-'Tariffs Jan2020'!K42)*('Tariffs Jan2020'!W42/100)*'Tariffs Jan2020'!AJ42,('Tariffs Jan2020'!L42-'Tariffs Jan2020'!K42)*('Tariffs Jan2020'!W42/100)*'Tariffs Jan2020'!AJ42))</f>
        <v>0</v>
      </c>
      <c r="M48" s="59">
        <f>IF($C$5*'Tariffs Jan2020'!AL42/'Tariffs Jan2020'!AJ42&lt;'Tariffs Jan2020'!L42,0,IF($C$5*'Tariffs Jan2020'!AL42/'Tariffs Jan2020'!AJ42&lt;='Tariffs Jan2020'!M42,($C$5*'Tariffs Jan2020'!AL42/'Tariffs Jan2020'!AJ42-'Tariffs Jan2020'!L42)*('Tariffs Jan2020'!X42/100)*'Tariffs Jan2020'!AJ42,('Tariffs Jan2020'!M42-'Tariffs Jan2020'!L42)*('Tariffs Jan2020'!X42/100)*'Tariffs Jan2020'!AJ42))</f>
        <v>0</v>
      </c>
      <c r="N48" s="59">
        <f>IF(($C$5*'Tariffs Jan2020'!AL42/'Tariffs Jan2020'!AJ42&gt;'Tariffs Jan2020'!M42),($C$5*'Tariffs Jan2020'!AL42/'Tariffs Jan2020'!AJ42-'Tariffs Jan2020'!M42)*'Tariffs Jan2020'!Y42/100*'Tariffs Jan2020'!AJ42,0)</f>
        <v>450</v>
      </c>
      <c r="O48" s="59">
        <f t="shared" si="0"/>
        <v>1327.35</v>
      </c>
      <c r="P48" s="503">
        <f t="shared" si="1"/>
        <v>1460.085</v>
      </c>
      <c r="Q48" s="59">
        <f t="shared" si="2"/>
        <v>1548.0090909090909</v>
      </c>
      <c r="R48" s="272">
        <f t="shared" si="3"/>
        <v>1702.8100000000002</v>
      </c>
      <c r="S48" s="40">
        <f>'Tariffs Jan2020'!AN42</f>
        <v>0</v>
      </c>
      <c r="T48" s="40">
        <f>'Tariffs Jan2020'!AO42</f>
        <v>0</v>
      </c>
      <c r="U48" s="40">
        <f>'Tariffs Jan2020'!AP42</f>
        <v>0</v>
      </c>
      <c r="V48" s="40">
        <f>'Tariffs Jan2020'!AQ42</f>
        <v>20</v>
      </c>
      <c r="W48" s="284">
        <f>Q48</f>
        <v>1548.0090909090909</v>
      </c>
      <c r="X48" s="284">
        <f>W48-(O48*V48/100)</f>
        <v>1282.5390909090909</v>
      </c>
      <c r="Y48" s="507">
        <f t="shared" si="16"/>
        <v>1702.8100000000002</v>
      </c>
      <c r="Z48" s="507">
        <f t="shared" si="17"/>
        <v>1410.7930000000001</v>
      </c>
      <c r="AA48" s="274">
        <f>'Tariffs Jan2020'!AZ42</f>
        <v>0</v>
      </c>
      <c r="AB48" s="274" t="str">
        <f>'Tariffs Jan2020'!BA42</f>
        <v>n</v>
      </c>
      <c r="AC48" s="275" t="str">
        <f>'Tariffs Jan2020'!BJ42</f>
        <v>N</v>
      </c>
      <c r="AD48" s="425"/>
      <c r="AE48" s="425"/>
      <c r="AF48" s="427"/>
      <c r="AG48" s="427"/>
      <c r="AH48" s="427"/>
      <c r="AI48" s="427"/>
      <c r="AJ48" s="427"/>
      <c r="AK48" s="427"/>
      <c r="AL48" s="427"/>
      <c r="AM48" s="427"/>
      <c r="AN48" s="427"/>
    </row>
    <row r="49" spans="1:40" ht="14" x14ac:dyDescent="0.15">
      <c r="A49" s="270" t="str">
        <f>'Tariffs Jan2020'!F43</f>
        <v>EnergyAustralia</v>
      </c>
      <c r="B49" s="40" t="str">
        <f>'Tariffs Jan2020'!D43</f>
        <v>AGN North</v>
      </c>
      <c r="C49" s="40" t="str">
        <f>'Tariffs Jan2020'!G43</f>
        <v>Total Plan</v>
      </c>
      <c r="D49" s="59">
        <f>365*'Tariffs Jan2020'!H43/100</f>
        <v>301.125</v>
      </c>
      <c r="E49" s="59">
        <f>IF($C$5*'Tariffs Jan2020'!AK43/'Tariffs Jan2020'!AI43&gt;='Tariffs Jan2020'!J43,( 'Tariffs Jan2020'!J43*'Tariffs Jan2020'!O43/100)* 'Tariffs Jan2020'!AI43,($C$5*'Tariffs Jan2020'!AK43/'Tariffs Jan2020'!AI43*'Tariffs Jan2020'!O43/100)* 'Tariffs Jan2020'!AI43)</f>
        <v>272.45454545454538</v>
      </c>
      <c r="F49" s="59">
        <f>IF($C$5*'Tariffs Jan2020'!AK43/'Tariffs Jan2020'!AI43&lt;'Tariffs Jan2020'!J43,0,IF($C$5*'Tariffs Jan2020'!AK43/'Tariffs Jan2020'!AI43&lt;='Tariffs Jan2020'!K43,($C$5*'Tariffs Jan2020'!AK43/'Tariffs Jan2020'!AI43-'Tariffs Jan2020'!J43)*('Tariffs Jan2020'!P43/100)*'Tariffs Jan2020'!AI43,('Tariffs Jan2020'!K43-'Tariffs Jan2020'!J43)*('Tariffs Jan2020'!P43/100)*'Tariffs Jan2020'!AI43))</f>
        <v>0</v>
      </c>
      <c r="G49" s="59">
        <f>IF($C$5*'Tariffs Jan2020'!AK43/'Tariffs Jan2020'!AI43&lt;'Tariffs Jan2020'!K43,0,IF($C$5*'Tariffs Jan2020'!AK43/'Tariffs Jan2020'!AI43&lt;='Tariffs Jan2020'!L43,($C$5*'Tariffs Jan2020'!AK43/'Tariffs Jan2020'!AI43-'Tariffs Jan2020'!K43)*('Tariffs Jan2020'!Q43/100)*'Tariffs Jan2020'!AI43,('Tariffs Jan2020'!L43-'Tariffs Jan2020'!K43)*('Tariffs Jan2020'!Q43/100)*'Tariffs Jan2020'!AI43))</f>
        <v>0</v>
      </c>
      <c r="H49" s="59">
        <f>IF($C$5*'Tariffs Jan2020'!AK43/'Tariffs Jan2020'!AI43&lt;'Tariffs Jan2020'!L43,0,IF($C$5*'Tariffs Jan2020'!AK43/'Tariffs Jan2020'!AI43&lt;='Tariffs Jan2020'!M43,($C$5*'Tariffs Jan2020'!AK43/'Tariffs Jan2020'!AI43-'Tariffs Jan2020'!L43)*('Tariffs Jan2020'!R43/100)*'Tariffs Jan2020'!AI43,('Tariffs Jan2020'!M43-'Tariffs Jan2020'!L43)*('Tariffs Jan2020'!R43/100)*'Tariffs Jan2020'!AI43))</f>
        <v>0</v>
      </c>
      <c r="I49" s="59">
        <f>IF(($C$5*'Tariffs Jan2020'!AK43/'Tariffs Jan2020'!AI43&gt;'Tariffs Jan2020'!M43),($C$5*'Tariffs Jan2020'!AK43/'Tariffs Jan2020'!AI43-'Tariffs Jan2020'!M43)*'Tariffs Jan2020'!S43/100*'Tariffs Jan2020'!AI43,0)</f>
        <v>456.13636363636363</v>
      </c>
      <c r="J49" s="59">
        <f>IF($C$5*'Tariffs Jan2020'!AL43/'Tariffs Jan2020'!AJ43&gt;='Tariffs Jan2020'!J43,('Tariffs Jan2020'!J43*'Tariffs Jan2020'!U43/100)* 'Tariffs Jan2020'!AJ43,($C$5*'Tariffs Jan2020'!AL43/'Tariffs Jan2020'!AJ43*'Tariffs Jan2020'!U43/100)* 'Tariffs Jan2020'!AJ43)</f>
        <v>272.45454545454538</v>
      </c>
      <c r="K49" s="59">
        <f>IF($C$5*'Tariffs Jan2020'!AL43/'Tariffs Jan2020'!AJ43&lt;'Tariffs Jan2020'!J43,0,IF($C$5*'Tariffs Jan2020'!AL43/'Tariffs Jan2020'!AJ43&lt;='Tariffs Jan2020'!K43,($C$5*'Tariffs Jan2020'!AL43/'Tariffs Jan2020'!AJ43-'Tariffs Jan2020'!J43)*('Tariffs Jan2020'!V43/100)*'Tariffs Jan2020'!AJ43,('Tariffs Jan2020'!K43-'Tariffs Jan2020'!J43)*('Tariffs Jan2020'!V43/100)*'Tariffs Jan2020'!AJ43))</f>
        <v>0</v>
      </c>
      <c r="L49" s="59">
        <f>IF($C$5*'Tariffs Jan2020'!AL43/'Tariffs Jan2020'!AJ43&lt;'Tariffs Jan2020'!K43,0,IF($C$5*'Tariffs Jan2020'!AL43/'Tariffs Jan2020'!AJ43&lt;='Tariffs Jan2020'!L43,($C$5*'Tariffs Jan2020'!AL43/'Tariffs Jan2020'!AJ43-'Tariffs Jan2020'!K43)*('Tariffs Jan2020'!W43/100)*'Tariffs Jan2020'!AJ43,('Tariffs Jan2020'!L43-'Tariffs Jan2020'!K43)*('Tariffs Jan2020'!W43/100)*'Tariffs Jan2020'!AJ43))</f>
        <v>0</v>
      </c>
      <c r="M49" s="59">
        <f>IF($C$5*'Tariffs Jan2020'!AL43/'Tariffs Jan2020'!AJ43&lt;'Tariffs Jan2020'!L43,0,IF($C$5*'Tariffs Jan2020'!AL43/'Tariffs Jan2020'!AJ43&lt;='Tariffs Jan2020'!M43,($C$5*'Tariffs Jan2020'!AL43/'Tariffs Jan2020'!AJ43-'Tariffs Jan2020'!L43)*('Tariffs Jan2020'!X43/100)*'Tariffs Jan2020'!AJ43,('Tariffs Jan2020'!M43-'Tariffs Jan2020'!L43)*('Tariffs Jan2020'!X43/100)*'Tariffs Jan2020'!AJ43))</f>
        <v>0</v>
      </c>
      <c r="N49" s="59">
        <f>IF(($C$5*'Tariffs Jan2020'!AL43/'Tariffs Jan2020'!AJ43&gt;'Tariffs Jan2020'!M43),($C$5*'Tariffs Jan2020'!AL43/'Tariffs Jan2020'!AJ43-'Tariffs Jan2020'!M43)*'Tariffs Jan2020'!Y43/100*'Tariffs Jan2020'!AJ43,0)</f>
        <v>456.13636363636363</v>
      </c>
      <c r="O49" s="59">
        <f t="shared" si="0"/>
        <v>1457.181818181818</v>
      </c>
      <c r="P49" s="503">
        <f t="shared" si="1"/>
        <v>1602.8999999999999</v>
      </c>
      <c r="Q49" s="59">
        <f t="shared" si="2"/>
        <v>1758.306818181818</v>
      </c>
      <c r="R49" s="272">
        <f t="shared" si="3"/>
        <v>1934.1375</v>
      </c>
      <c r="S49" s="40">
        <f>'Tariffs Jan2020'!AN43</f>
        <v>23</v>
      </c>
      <c r="T49" s="40">
        <f>'Tariffs Jan2020'!AO43</f>
        <v>0</v>
      </c>
      <c r="U49" s="40">
        <f>'Tariffs Jan2020'!AP43</f>
        <v>0</v>
      </c>
      <c r="V49" s="40">
        <f>'Tariffs Jan2020'!AQ43</f>
        <v>0</v>
      </c>
      <c r="W49" s="284">
        <f>Q49-(Q49*S49/100)</f>
        <v>1353.8962499999998</v>
      </c>
      <c r="X49" s="284">
        <f>W49</f>
        <v>1353.8962499999998</v>
      </c>
      <c r="Y49" s="507">
        <f t="shared" si="16"/>
        <v>1489.2858749999998</v>
      </c>
      <c r="Z49" s="507">
        <f t="shared" si="17"/>
        <v>1489.2858749999998</v>
      </c>
      <c r="AA49" s="274">
        <f>'Tariffs Jan2020'!AZ43</f>
        <v>12</v>
      </c>
      <c r="AB49" s="274" t="str">
        <f>'Tariffs Jan2020'!BA43</f>
        <v>n</v>
      </c>
      <c r="AC49" s="275" t="str">
        <f>'Tariffs Jan2020'!BJ43</f>
        <v>N</v>
      </c>
      <c r="AD49" s="425"/>
      <c r="AE49" s="425"/>
      <c r="AF49" s="427"/>
      <c r="AG49" s="427"/>
      <c r="AH49" s="427"/>
      <c r="AI49" s="427"/>
      <c r="AJ49" s="427"/>
      <c r="AK49" s="427"/>
      <c r="AL49" s="427"/>
      <c r="AM49" s="427"/>
      <c r="AN49" s="427"/>
    </row>
    <row r="50" spans="1:40" ht="14" x14ac:dyDescent="0.15">
      <c r="A50" s="270" t="str">
        <f>'Tariffs Jan2020'!F44</f>
        <v>Lumo Energy</v>
      </c>
      <c r="B50" s="40" t="str">
        <f>'Tariffs Jan2020'!D44</f>
        <v>AGN North</v>
      </c>
      <c r="C50" s="40" t="str">
        <f>'Tariffs Jan2020'!G44</f>
        <v>Value</v>
      </c>
      <c r="D50" s="59">
        <f>365*'Tariffs Jan2020'!H44/100</f>
        <v>255.5</v>
      </c>
      <c r="E50" s="59">
        <f>IF($C$5*'Tariffs Jan2020'!AK44/'Tariffs Jan2020'!AI44&gt;='Tariffs Jan2020'!J44,( 'Tariffs Jan2020'!J44*'Tariffs Jan2020'!O44/100)* 'Tariffs Jan2020'!AI44,($C$5*'Tariffs Jan2020'!AK44/'Tariffs Jan2020'!AI44*'Tariffs Jan2020'!O44/100)* 'Tariffs Jan2020'!AI44)</f>
        <v>118.44</v>
      </c>
      <c r="F50" s="59">
        <f>IF($C$5*'Tariffs Jan2020'!AK44/'Tariffs Jan2020'!AI44&lt;'Tariffs Jan2020'!J44,0,IF($C$5*'Tariffs Jan2020'!AK44/'Tariffs Jan2020'!AI44&lt;='Tariffs Jan2020'!K44,($C$5*'Tariffs Jan2020'!AK44/'Tariffs Jan2020'!AI44-'Tariffs Jan2020'!J44)*('Tariffs Jan2020'!P44/100)*'Tariffs Jan2020'!AI44,('Tariffs Jan2020'!K44-'Tariffs Jan2020'!J44)*('Tariffs Jan2020'!P44/100)*'Tariffs Jan2020'!AI44))</f>
        <v>82.926000000000016</v>
      </c>
      <c r="G50" s="59">
        <f>IF($C$5*'Tariffs Jan2020'!AK44/'Tariffs Jan2020'!AI44&lt;'Tariffs Jan2020'!K44,0,IF($C$5*'Tariffs Jan2020'!AK44/'Tariffs Jan2020'!AI44&lt;='Tariffs Jan2020'!L44,($C$5*'Tariffs Jan2020'!AK44/'Tariffs Jan2020'!AI44-'Tariffs Jan2020'!K44)*('Tariffs Jan2020'!Q44/100)*'Tariffs Jan2020'!AI44,('Tariffs Jan2020'!L44-'Tariffs Jan2020'!K44)*('Tariffs Jan2020'!Q44/100)*'Tariffs Jan2020'!AI44))</f>
        <v>0</v>
      </c>
      <c r="H50" s="59">
        <f>IF($C$5*'Tariffs Jan2020'!AK44/'Tariffs Jan2020'!AI44&lt;'Tariffs Jan2020'!L44,0,IF($C$5*'Tariffs Jan2020'!AK44/'Tariffs Jan2020'!AI44&lt;='Tariffs Jan2020'!M44,($C$5*'Tariffs Jan2020'!AK44/'Tariffs Jan2020'!AI44-'Tariffs Jan2020'!L44)*('Tariffs Jan2020'!R44/100)*'Tariffs Jan2020'!AI44,('Tariffs Jan2020'!M44-'Tariffs Jan2020'!L44)*('Tariffs Jan2020'!R44/100)*'Tariffs Jan2020'!AI44))</f>
        <v>0</v>
      </c>
      <c r="I50" s="59">
        <f>IF(($C$5*'Tariffs Jan2020'!AK44/'Tariffs Jan2020'!AI44&gt;'Tariffs Jan2020'!M44),($C$5*'Tariffs Jan2020'!AK44/'Tariffs Jan2020'!AI44-'Tariffs Jan2020'!M44)*'Tariffs Jan2020'!S44/100*'Tariffs Jan2020'!AI44,0)</f>
        <v>405</v>
      </c>
      <c r="J50" s="59">
        <f>IF($C$5*'Tariffs Jan2020'!AL44/'Tariffs Jan2020'!AJ44&gt;='Tariffs Jan2020'!J44,('Tariffs Jan2020'!J44*'Tariffs Jan2020'!U44/100)* 'Tariffs Jan2020'!AJ44,($C$5*'Tariffs Jan2020'!AL44/'Tariffs Jan2020'!AJ44*'Tariffs Jan2020'!U44/100)* 'Tariffs Jan2020'!AJ44)</f>
        <v>118.44</v>
      </c>
      <c r="K50" s="59">
        <f>IF($C$5*'Tariffs Jan2020'!AL44/'Tariffs Jan2020'!AJ44&lt;'Tariffs Jan2020'!J44,0,IF($C$5*'Tariffs Jan2020'!AL44/'Tariffs Jan2020'!AJ44&lt;='Tariffs Jan2020'!K44,($C$5*'Tariffs Jan2020'!AL44/'Tariffs Jan2020'!AJ44-'Tariffs Jan2020'!J44)*('Tariffs Jan2020'!V44/100)*'Tariffs Jan2020'!AJ44,('Tariffs Jan2020'!K44-'Tariffs Jan2020'!J44)*('Tariffs Jan2020'!V44/100)*'Tariffs Jan2020'!AJ44))</f>
        <v>82.926000000000016</v>
      </c>
      <c r="L50" s="59">
        <f>IF($C$5*'Tariffs Jan2020'!AL44/'Tariffs Jan2020'!AJ44&lt;'Tariffs Jan2020'!K44,0,IF($C$5*'Tariffs Jan2020'!AL44/'Tariffs Jan2020'!AJ44&lt;='Tariffs Jan2020'!L44,($C$5*'Tariffs Jan2020'!AL44/'Tariffs Jan2020'!AJ44-'Tariffs Jan2020'!K44)*('Tariffs Jan2020'!W44/100)*'Tariffs Jan2020'!AJ44,('Tariffs Jan2020'!L44-'Tariffs Jan2020'!K44)*('Tariffs Jan2020'!W44/100)*'Tariffs Jan2020'!AJ44))</f>
        <v>0</v>
      </c>
      <c r="M50" s="59">
        <f>IF($C$5*'Tariffs Jan2020'!AL44/'Tariffs Jan2020'!AJ44&lt;'Tariffs Jan2020'!L44,0,IF($C$5*'Tariffs Jan2020'!AL44/'Tariffs Jan2020'!AJ44&lt;='Tariffs Jan2020'!M44,($C$5*'Tariffs Jan2020'!AL44/'Tariffs Jan2020'!AJ44-'Tariffs Jan2020'!L44)*('Tariffs Jan2020'!X44/100)*'Tariffs Jan2020'!AJ44,('Tariffs Jan2020'!M44-'Tariffs Jan2020'!L44)*('Tariffs Jan2020'!X44/100)*'Tariffs Jan2020'!AJ44))</f>
        <v>0</v>
      </c>
      <c r="N50" s="59">
        <f>IF(($C$5*'Tariffs Jan2020'!AL44/'Tariffs Jan2020'!AJ44&gt;'Tariffs Jan2020'!M44),($C$5*'Tariffs Jan2020'!AL44/'Tariffs Jan2020'!AJ44-'Tariffs Jan2020'!M44)*'Tariffs Jan2020'!Y44/100*'Tariffs Jan2020'!AJ44,0)</f>
        <v>405</v>
      </c>
      <c r="O50" s="59">
        <f t="shared" si="0"/>
        <v>1212.732</v>
      </c>
      <c r="P50" s="503">
        <f t="shared" si="1"/>
        <v>1334.0052000000001</v>
      </c>
      <c r="Q50" s="59">
        <f t="shared" si="2"/>
        <v>1468.232</v>
      </c>
      <c r="R50" s="272">
        <f t="shared" si="3"/>
        <v>1615.0552</v>
      </c>
      <c r="S50" s="40">
        <f>'Tariffs Jan2020'!AN44</f>
        <v>0</v>
      </c>
      <c r="T50" s="40">
        <f>'Tariffs Jan2020'!AO44</f>
        <v>0</v>
      </c>
      <c r="U50" s="40">
        <f>'Tariffs Jan2020'!AP44</f>
        <v>3</v>
      </c>
      <c r="V50" s="40">
        <f>'Tariffs Jan2020'!AQ44</f>
        <v>0</v>
      </c>
      <c r="W50" s="284">
        <f t="shared" ref="W50:W51" si="18">Q50</f>
        <v>1468.232</v>
      </c>
      <c r="X50" s="284">
        <f>W50-(Q50*U50/100)</f>
        <v>1424.1850400000001</v>
      </c>
      <c r="Y50" s="507">
        <f t="shared" si="16"/>
        <v>1615.0552</v>
      </c>
      <c r="Z50" s="507">
        <f t="shared" si="17"/>
        <v>1566.6035440000003</v>
      </c>
      <c r="AA50" s="274">
        <f>'Tariffs Jan2020'!AZ44</f>
        <v>0</v>
      </c>
      <c r="AB50" s="274" t="str">
        <f>'Tariffs Jan2020'!BA44</f>
        <v>n</v>
      </c>
      <c r="AC50" s="275" t="str">
        <f>'Tariffs Jan2020'!BJ44</f>
        <v>N</v>
      </c>
      <c r="AD50" s="425"/>
      <c r="AE50" s="425"/>
      <c r="AF50" s="427"/>
      <c r="AG50" s="427"/>
      <c r="AH50" s="427"/>
      <c r="AI50" s="427"/>
      <c r="AJ50" s="427"/>
      <c r="AK50" s="427"/>
      <c r="AL50" s="427"/>
      <c r="AM50" s="427"/>
      <c r="AN50" s="427"/>
    </row>
    <row r="51" spans="1:40" ht="14" x14ac:dyDescent="0.15">
      <c r="A51" s="270" t="str">
        <f>'Tariffs Jan2020'!F45</f>
        <v>Momentum Energy</v>
      </c>
      <c r="B51" s="40" t="str">
        <f>'Tariffs Jan2020'!D45</f>
        <v>AGN North</v>
      </c>
      <c r="C51" s="40" t="str">
        <f>'Tariffs Jan2020'!G45</f>
        <v>Market offer</v>
      </c>
      <c r="D51" s="59">
        <f>365*'Tariffs Jan2020'!H45/100</f>
        <v>284.40136363636361</v>
      </c>
      <c r="E51" s="59">
        <f>IF($C$5*'Tariffs Jan2020'!AK45/'Tariffs Jan2020'!AI45&gt;='Tariffs Jan2020'!J45,( 'Tariffs Jan2020'!J45*'Tariffs Jan2020'!O45/100)* 'Tariffs Jan2020'!AI45,($C$5*'Tariffs Jan2020'!AK45/'Tariffs Jan2020'!AI45*'Tariffs Jan2020'!O45/100)* 'Tariffs Jan2020'!AI45)</f>
        <v>78.660909090909087</v>
      </c>
      <c r="F51" s="59">
        <f>IF($C$5*'Tariffs Jan2020'!AK45/'Tariffs Jan2020'!AI45&lt;'Tariffs Jan2020'!J45,0,IF($C$5*'Tariffs Jan2020'!AK45/'Tariffs Jan2020'!AI45&lt;='Tariffs Jan2020'!K45,($C$5*'Tariffs Jan2020'!AK45/'Tariffs Jan2020'!AI45-'Tariffs Jan2020'!J45)*('Tariffs Jan2020'!P45/100)*'Tariffs Jan2020'!AI45,('Tariffs Jan2020'!K45-'Tariffs Jan2020'!J45)*('Tariffs Jan2020'!P45/100)*'Tariffs Jan2020'!AI45))</f>
        <v>56.170909090909078</v>
      </c>
      <c r="G51" s="59">
        <f>IF($C$5*'Tariffs Jan2020'!AK45/'Tariffs Jan2020'!AI45&lt;'Tariffs Jan2020'!K45,0,IF($C$5*'Tariffs Jan2020'!AK45/'Tariffs Jan2020'!AI45&lt;='Tariffs Jan2020'!L45,($C$5*'Tariffs Jan2020'!AK45/'Tariffs Jan2020'!AI45-'Tariffs Jan2020'!K45)*('Tariffs Jan2020'!Q45/100)*'Tariffs Jan2020'!AI45,('Tariffs Jan2020'!L45-'Tariffs Jan2020'!K45)*('Tariffs Jan2020'!Q45/100)*'Tariffs Jan2020'!AI45))</f>
        <v>0</v>
      </c>
      <c r="H51" s="59">
        <f>IF($C$5*'Tariffs Jan2020'!AK45/'Tariffs Jan2020'!AI45&lt;'Tariffs Jan2020'!L45,0,IF($C$5*'Tariffs Jan2020'!AK45/'Tariffs Jan2020'!AI45&lt;='Tariffs Jan2020'!M45,($C$5*'Tariffs Jan2020'!AK45/'Tariffs Jan2020'!AI45-'Tariffs Jan2020'!L45)*('Tariffs Jan2020'!R45/100)*'Tariffs Jan2020'!AI45,('Tariffs Jan2020'!M45-'Tariffs Jan2020'!L45)*('Tariffs Jan2020'!R45/100)*'Tariffs Jan2020'!AI45))</f>
        <v>0</v>
      </c>
      <c r="I51" s="59">
        <f>IF(($C$5*'Tariffs Jan2020'!AK45/'Tariffs Jan2020'!AI45&gt;'Tariffs Jan2020'!M45),($C$5*'Tariffs Jan2020'!AK45/'Tariffs Jan2020'!AI45-'Tariffs Jan2020'!M45)*'Tariffs Jan2020'!S45/100*'Tariffs Jan2020'!AI45,0)</f>
        <v>275.41598181818176</v>
      </c>
      <c r="J51" s="59">
        <f>IF($C$5*'Tariffs Jan2020'!AL45/'Tariffs Jan2020'!AJ45&gt;='Tariffs Jan2020'!J45,('Tariffs Jan2020'!J45*'Tariffs Jan2020'!U45/100)* 'Tariffs Jan2020'!AJ45,($C$5*'Tariffs Jan2020'!AL45/'Tariffs Jan2020'!AJ45*'Tariffs Jan2020'!U45/100)* 'Tariffs Jan2020'!AJ45)</f>
        <v>141.76909090909089</v>
      </c>
      <c r="K51" s="59">
        <f>IF($C$5*'Tariffs Jan2020'!AL45/'Tariffs Jan2020'!AJ45&lt;'Tariffs Jan2020'!J45,0,IF($C$5*'Tariffs Jan2020'!AL45/'Tariffs Jan2020'!AJ45&lt;='Tariffs Jan2020'!K45,($C$5*'Tariffs Jan2020'!AL45/'Tariffs Jan2020'!AJ45-'Tariffs Jan2020'!J45)*('Tariffs Jan2020'!V45/100)*'Tariffs Jan2020'!AJ45,('Tariffs Jan2020'!K45-'Tariffs Jan2020'!J45)*('Tariffs Jan2020'!V45/100)*'Tariffs Jan2020'!AJ45))</f>
        <v>100.51636363636364</v>
      </c>
      <c r="L51" s="59">
        <f>IF($C$5*'Tariffs Jan2020'!AL45/'Tariffs Jan2020'!AJ45&lt;'Tariffs Jan2020'!K45,0,IF($C$5*'Tariffs Jan2020'!AL45/'Tariffs Jan2020'!AJ45&lt;='Tariffs Jan2020'!L45,($C$5*'Tariffs Jan2020'!AL45/'Tariffs Jan2020'!AJ45-'Tariffs Jan2020'!K45)*('Tariffs Jan2020'!W45/100)*'Tariffs Jan2020'!AJ45,('Tariffs Jan2020'!L45-'Tariffs Jan2020'!K45)*('Tariffs Jan2020'!W45/100)*'Tariffs Jan2020'!AJ45))</f>
        <v>0</v>
      </c>
      <c r="M51" s="59">
        <f>IF($C$5*'Tariffs Jan2020'!AL45/'Tariffs Jan2020'!AJ45&lt;'Tariffs Jan2020'!L45,0,IF($C$5*'Tariffs Jan2020'!AL45/'Tariffs Jan2020'!AJ45&lt;='Tariffs Jan2020'!M45,($C$5*'Tariffs Jan2020'!AL45/'Tariffs Jan2020'!AJ45-'Tariffs Jan2020'!L45)*('Tariffs Jan2020'!X45/100)*'Tariffs Jan2020'!AJ45,('Tariffs Jan2020'!M45-'Tariffs Jan2020'!L45)*('Tariffs Jan2020'!X45/100)*'Tariffs Jan2020'!AJ45))</f>
        <v>0</v>
      </c>
      <c r="N51" s="59">
        <f>IF(($C$5*'Tariffs Jan2020'!AL45/'Tariffs Jan2020'!AJ45&gt;'Tariffs Jan2020'!M45),($C$5*'Tariffs Jan2020'!AL45/'Tariffs Jan2020'!AJ45-'Tariffs Jan2020'!M45)*'Tariffs Jan2020'!Y45/100*'Tariffs Jan2020'!AJ45,0)</f>
        <v>490.84036363636352</v>
      </c>
      <c r="O51" s="59">
        <f t="shared" si="0"/>
        <v>1143.3736181818178</v>
      </c>
      <c r="P51" s="503">
        <f t="shared" si="1"/>
        <v>1257.7109799999998</v>
      </c>
      <c r="Q51" s="59">
        <f t="shared" si="2"/>
        <v>1427.7749818181815</v>
      </c>
      <c r="R51" s="272">
        <f t="shared" si="3"/>
        <v>1570.5524799999998</v>
      </c>
      <c r="S51" s="40">
        <f>'Tariffs Jan2020'!AN45</f>
        <v>0</v>
      </c>
      <c r="T51" s="40">
        <f>'Tariffs Jan2020'!AO45</f>
        <v>0</v>
      </c>
      <c r="U51" s="40">
        <f>'Tariffs Jan2020'!AP45</f>
        <v>0</v>
      </c>
      <c r="V51" s="40">
        <f>'Tariffs Jan2020'!AQ45</f>
        <v>0</v>
      </c>
      <c r="W51" s="284">
        <f t="shared" si="18"/>
        <v>1427.7749818181815</v>
      </c>
      <c r="X51" s="284">
        <f>W51</f>
        <v>1427.7749818181815</v>
      </c>
      <c r="Y51" s="507">
        <f t="shared" si="16"/>
        <v>1570.5524799999998</v>
      </c>
      <c r="Z51" s="507">
        <f t="shared" si="17"/>
        <v>1570.5524799999998</v>
      </c>
      <c r="AA51" s="274">
        <f>'Tariffs Jan2020'!AZ45</f>
        <v>0</v>
      </c>
      <c r="AB51" s="274" t="str">
        <f>'Tariffs Jan2020'!BA45</f>
        <v>n</v>
      </c>
      <c r="AC51" s="275" t="str">
        <f>'Tariffs Jan2020'!BJ45</f>
        <v>Y</v>
      </c>
      <c r="AD51" s="425"/>
      <c r="AE51" s="425"/>
      <c r="AF51" s="427"/>
      <c r="AG51" s="427"/>
      <c r="AH51" s="427"/>
      <c r="AI51" s="427"/>
      <c r="AJ51" s="427"/>
      <c r="AK51" s="427"/>
      <c r="AL51" s="427"/>
      <c r="AM51" s="427"/>
      <c r="AN51" s="427"/>
    </row>
    <row r="52" spans="1:40" ht="14" x14ac:dyDescent="0.15">
      <c r="A52" s="270" t="str">
        <f>'Tariffs Jan2020'!F46</f>
        <v>Origin Energy</v>
      </c>
      <c r="B52" s="40" t="str">
        <f>'Tariffs Jan2020'!D46</f>
        <v>AGN North</v>
      </c>
      <c r="C52" s="40" t="str">
        <f>'Tariffs Jan2020'!G46</f>
        <v>Flexi</v>
      </c>
      <c r="D52" s="59">
        <f>365*'Tariffs Jan2020'!H46/100</f>
        <v>251.85</v>
      </c>
      <c r="E52" s="59">
        <f>IF($C$5*'Tariffs Jan2020'!AK46/'Tariffs Jan2020'!AI46&gt;='Tariffs Jan2020'!J46,( 'Tariffs Jan2020'!J46*'Tariffs Jan2020'!O46/100)* 'Tariffs Jan2020'!AI46,($C$5*'Tariffs Jan2020'!AK46/'Tariffs Jan2020'!AI46*'Tariffs Jan2020'!O46/100)* 'Tariffs Jan2020'!AI46)</f>
        <v>396.00000000000011</v>
      </c>
      <c r="F52" s="59">
        <f>IF($C$5*'Tariffs Jan2020'!AK46/'Tariffs Jan2020'!AI46&lt;'Tariffs Jan2020'!J46,0,IF($C$5*'Tariffs Jan2020'!AK46/'Tariffs Jan2020'!AI46&lt;='Tariffs Jan2020'!K46,($C$5*'Tariffs Jan2020'!AK46/'Tariffs Jan2020'!AI46-'Tariffs Jan2020'!J46)*('Tariffs Jan2020'!P46/100)*'Tariffs Jan2020'!AI46,('Tariffs Jan2020'!K46-'Tariffs Jan2020'!J46)*('Tariffs Jan2020'!P46/100)*'Tariffs Jan2020'!AI46))</f>
        <v>283.5</v>
      </c>
      <c r="G52" s="59">
        <f>IF($C$5*'Tariffs Jan2020'!AK46/'Tariffs Jan2020'!AI46&lt;'Tariffs Jan2020'!K46,0,IF($C$5*'Tariffs Jan2020'!AK46/'Tariffs Jan2020'!AI46&lt;='Tariffs Jan2020'!L46,($C$5*'Tariffs Jan2020'!AK46/'Tariffs Jan2020'!AI46-'Tariffs Jan2020'!K46)*('Tariffs Jan2020'!Q46/100)*'Tariffs Jan2020'!AI46,('Tariffs Jan2020'!L46-'Tariffs Jan2020'!K46)*('Tariffs Jan2020'!Q46/100)*'Tariffs Jan2020'!AI46))</f>
        <v>0</v>
      </c>
      <c r="H52" s="59">
        <f>IF($C$5*'Tariffs Jan2020'!AK46/'Tariffs Jan2020'!AI46&lt;'Tariffs Jan2020'!L46,0,IF($C$5*'Tariffs Jan2020'!AK46/'Tariffs Jan2020'!AI46&lt;='Tariffs Jan2020'!M46,($C$5*'Tariffs Jan2020'!AK46/'Tariffs Jan2020'!AI46-'Tariffs Jan2020'!L46)*('Tariffs Jan2020'!R46/100)*'Tariffs Jan2020'!AI46,('Tariffs Jan2020'!M46-'Tariffs Jan2020'!L46)*('Tariffs Jan2020'!R46/100)*'Tariffs Jan2020'!AI46))</f>
        <v>0</v>
      </c>
      <c r="I52" s="59">
        <f>IF(($C$5*'Tariffs Jan2020'!AK46/'Tariffs Jan2020'!AI46&gt;'Tariffs Jan2020'!M46),($C$5*'Tariffs Jan2020'!AK46/'Tariffs Jan2020'!AI46-'Tariffs Jan2020'!M46)*'Tariffs Jan2020'!S46/100*'Tariffs Jan2020'!AI46,0)</f>
        <v>0</v>
      </c>
      <c r="J52" s="59">
        <f>IF($C$5*'Tariffs Jan2020'!AL46/'Tariffs Jan2020'!AJ46&gt;='Tariffs Jan2020'!J46,('Tariffs Jan2020'!J46*'Tariffs Jan2020'!U46/100)* 'Tariffs Jan2020'!AJ46,($C$5*'Tariffs Jan2020'!AL46/'Tariffs Jan2020'!AJ46*'Tariffs Jan2020'!U46/100)* 'Tariffs Jan2020'!AJ46)</f>
        <v>396.00000000000011</v>
      </c>
      <c r="K52" s="59">
        <f>IF($C$5*'Tariffs Jan2020'!AL46/'Tariffs Jan2020'!AJ46&lt;'Tariffs Jan2020'!J46,0,IF($C$5*'Tariffs Jan2020'!AL46/'Tariffs Jan2020'!AJ46&lt;='Tariffs Jan2020'!K46,($C$5*'Tariffs Jan2020'!AL46/'Tariffs Jan2020'!AJ46-'Tariffs Jan2020'!J46)*('Tariffs Jan2020'!V46/100)*'Tariffs Jan2020'!AJ46,('Tariffs Jan2020'!K46-'Tariffs Jan2020'!J46)*('Tariffs Jan2020'!V46/100)*'Tariffs Jan2020'!AJ46))</f>
        <v>283.5</v>
      </c>
      <c r="L52" s="59">
        <f>IF($C$5*'Tariffs Jan2020'!AL46/'Tariffs Jan2020'!AJ46&lt;'Tariffs Jan2020'!K46,0,IF($C$5*'Tariffs Jan2020'!AL46/'Tariffs Jan2020'!AJ46&lt;='Tariffs Jan2020'!L46,($C$5*'Tariffs Jan2020'!AL46/'Tariffs Jan2020'!AJ46-'Tariffs Jan2020'!K46)*('Tariffs Jan2020'!W46/100)*'Tariffs Jan2020'!AJ46,('Tariffs Jan2020'!L46-'Tariffs Jan2020'!K46)*('Tariffs Jan2020'!W46/100)*'Tariffs Jan2020'!AJ46))</f>
        <v>0</v>
      </c>
      <c r="M52" s="59">
        <f>IF($C$5*'Tariffs Jan2020'!AL46/'Tariffs Jan2020'!AJ46&lt;'Tariffs Jan2020'!L46,0,IF($C$5*'Tariffs Jan2020'!AL46/'Tariffs Jan2020'!AJ46&lt;='Tariffs Jan2020'!M46,($C$5*'Tariffs Jan2020'!AL46/'Tariffs Jan2020'!AJ46-'Tariffs Jan2020'!L46)*('Tariffs Jan2020'!X46/100)*'Tariffs Jan2020'!AJ46,('Tariffs Jan2020'!M46-'Tariffs Jan2020'!L46)*('Tariffs Jan2020'!X46/100)*'Tariffs Jan2020'!AJ46))</f>
        <v>0</v>
      </c>
      <c r="N52" s="59">
        <f>IF(($C$5*'Tariffs Jan2020'!AL46/'Tariffs Jan2020'!AJ46&gt;'Tariffs Jan2020'!M46),($C$5*'Tariffs Jan2020'!AL46/'Tariffs Jan2020'!AJ46-'Tariffs Jan2020'!M46)*'Tariffs Jan2020'!Y46/100*'Tariffs Jan2020'!AJ46,0)</f>
        <v>0</v>
      </c>
      <c r="O52" s="59">
        <f t="shared" si="0"/>
        <v>1359.0000000000002</v>
      </c>
      <c r="P52" s="503">
        <f t="shared" si="1"/>
        <v>1494.9000000000003</v>
      </c>
      <c r="Q52" s="59">
        <f t="shared" si="2"/>
        <v>1610.8500000000001</v>
      </c>
      <c r="R52" s="272">
        <f t="shared" si="3"/>
        <v>1771.9350000000004</v>
      </c>
      <c r="S52" s="40">
        <f>'Tariffs Jan2020'!AN46</f>
        <v>10</v>
      </c>
      <c r="T52" s="40">
        <f>'Tariffs Jan2020'!AO46</f>
        <v>0</v>
      </c>
      <c r="U52" s="40">
        <f>'Tariffs Jan2020'!AP46</f>
        <v>0</v>
      </c>
      <c r="V52" s="40">
        <f>'Tariffs Jan2020'!AQ46</f>
        <v>0</v>
      </c>
      <c r="W52" s="284">
        <f>R52-(R52*S52/100)</f>
        <v>1594.7415000000003</v>
      </c>
      <c r="X52" s="284">
        <f>W52</f>
        <v>1594.7415000000003</v>
      </c>
      <c r="Y52" s="507">
        <f>W52</f>
        <v>1594.7415000000003</v>
      </c>
      <c r="Z52" s="507">
        <f>X52</f>
        <v>1594.7415000000003</v>
      </c>
      <c r="AA52" s="274">
        <f>'Tariffs Jan2020'!AZ46</f>
        <v>0</v>
      </c>
      <c r="AB52" s="274" t="str">
        <f>'Tariffs Jan2020'!BA46</f>
        <v>n</v>
      </c>
      <c r="AC52" s="275" t="str">
        <f>'Tariffs Jan2020'!BJ46</f>
        <v>N</v>
      </c>
      <c r="AD52" s="425"/>
      <c r="AE52" s="425"/>
      <c r="AF52" s="427"/>
      <c r="AG52" s="427"/>
      <c r="AH52" s="427"/>
      <c r="AI52" s="427"/>
      <c r="AJ52" s="427"/>
      <c r="AK52" s="427"/>
      <c r="AL52" s="427"/>
      <c r="AM52" s="427"/>
      <c r="AN52" s="427"/>
    </row>
    <row r="53" spans="1:40" ht="14" x14ac:dyDescent="0.15">
      <c r="A53" s="270" t="str">
        <f>'Tariffs Jan2020'!F47</f>
        <v>Red Energy</v>
      </c>
      <c r="B53" s="40" t="str">
        <f>'Tariffs Jan2020'!D47</f>
        <v>AGN North</v>
      </c>
      <c r="C53" s="40" t="str">
        <f>'Tariffs Jan2020'!G47</f>
        <v>Living Energy Saver</v>
      </c>
      <c r="D53" s="59">
        <f>365*'Tariffs Jan2020'!H47/100</f>
        <v>256.96000000000004</v>
      </c>
      <c r="E53" s="59">
        <f>IF($C$5*'Tariffs Jan2020'!AK47/'Tariffs Jan2020'!AI47&gt;='Tariffs Jan2020'!J47,( 'Tariffs Jan2020'!J47*'Tariffs Jan2020'!O47/100)* 'Tariffs Jan2020'!AI47,($C$5*'Tariffs Jan2020'!AK47/'Tariffs Jan2020'!AI47*'Tariffs Jan2020'!O47/100)* 'Tariffs Jan2020'!AI47)</f>
        <v>131.00181818181815</v>
      </c>
      <c r="F53" s="59">
        <f>IF($C$5*'Tariffs Jan2020'!AK47/'Tariffs Jan2020'!AI47&lt;'Tariffs Jan2020'!J47,0,IF($C$5*'Tariffs Jan2020'!AK47/'Tariffs Jan2020'!AI47&lt;='Tariffs Jan2020'!K47,($C$5*'Tariffs Jan2020'!AK47/'Tariffs Jan2020'!AI47-'Tariffs Jan2020'!J47)*('Tariffs Jan2020'!P47/100)*'Tariffs Jan2020'!AI47,('Tariffs Jan2020'!K47-'Tariffs Jan2020'!J47)*('Tariffs Jan2020'!P47/100)*'Tariffs Jan2020'!AI47))</f>
        <v>97.56</v>
      </c>
      <c r="G53" s="59">
        <f>IF($C$5*'Tariffs Jan2020'!AK47/'Tariffs Jan2020'!AI47&lt;'Tariffs Jan2020'!K47,0,IF($C$5*'Tariffs Jan2020'!AK47/'Tariffs Jan2020'!AI47&lt;='Tariffs Jan2020'!L47,($C$5*'Tariffs Jan2020'!AK47/'Tariffs Jan2020'!AI47-'Tariffs Jan2020'!K47)*('Tariffs Jan2020'!Q47/100)*'Tariffs Jan2020'!AI47,('Tariffs Jan2020'!L47-'Tariffs Jan2020'!K47)*('Tariffs Jan2020'!Q47/100)*'Tariffs Jan2020'!AI47))</f>
        <v>0</v>
      </c>
      <c r="H53" s="59">
        <f>IF($C$5*'Tariffs Jan2020'!AK47/'Tariffs Jan2020'!AI47&lt;'Tariffs Jan2020'!L47,0,IF($C$5*'Tariffs Jan2020'!AK47/'Tariffs Jan2020'!AI47&lt;='Tariffs Jan2020'!M47,($C$5*'Tariffs Jan2020'!AK47/'Tariffs Jan2020'!AI47-'Tariffs Jan2020'!L47)*('Tariffs Jan2020'!R47/100)*'Tariffs Jan2020'!AI47,('Tariffs Jan2020'!M47-'Tariffs Jan2020'!L47)*('Tariffs Jan2020'!R47/100)*'Tariffs Jan2020'!AI47))</f>
        <v>0</v>
      </c>
      <c r="I53" s="59">
        <f>IF(($C$5*'Tariffs Jan2020'!AK47/'Tariffs Jan2020'!AI47&gt;'Tariffs Jan2020'!M47),($C$5*'Tariffs Jan2020'!AK47/'Tariffs Jan2020'!AI47-'Tariffs Jan2020'!M47)*'Tariffs Jan2020'!S47/100*'Tariffs Jan2020'!AI47,0)</f>
        <v>427.49999999999989</v>
      </c>
      <c r="J53" s="59">
        <f>IF($C$5*'Tariffs Jan2020'!AL47/'Tariffs Jan2020'!AJ47&gt;='Tariffs Jan2020'!J47,('Tariffs Jan2020'!J47*'Tariffs Jan2020'!U47/100)* 'Tariffs Jan2020'!AJ47,($C$5*'Tariffs Jan2020'!AL47/'Tariffs Jan2020'!AJ47*'Tariffs Jan2020'!U47/100)* 'Tariffs Jan2020'!AJ47)</f>
        <v>131.00181818181815</v>
      </c>
      <c r="K53" s="59">
        <f>IF($C$5*'Tariffs Jan2020'!AL47/'Tariffs Jan2020'!AJ47&lt;'Tariffs Jan2020'!J47,0,IF($C$5*'Tariffs Jan2020'!AL47/'Tariffs Jan2020'!AJ47&lt;='Tariffs Jan2020'!K47,($C$5*'Tariffs Jan2020'!AL47/'Tariffs Jan2020'!AJ47-'Tariffs Jan2020'!J47)*('Tariffs Jan2020'!V47/100)*'Tariffs Jan2020'!AJ47,('Tariffs Jan2020'!K47-'Tariffs Jan2020'!J47)*('Tariffs Jan2020'!V47/100)*'Tariffs Jan2020'!AJ47))</f>
        <v>97.56</v>
      </c>
      <c r="L53" s="59">
        <f>IF($C$5*'Tariffs Jan2020'!AL47/'Tariffs Jan2020'!AJ47&lt;'Tariffs Jan2020'!K47,0,IF($C$5*'Tariffs Jan2020'!AL47/'Tariffs Jan2020'!AJ47&lt;='Tariffs Jan2020'!L47,($C$5*'Tariffs Jan2020'!AL47/'Tariffs Jan2020'!AJ47-'Tariffs Jan2020'!K47)*('Tariffs Jan2020'!W47/100)*'Tariffs Jan2020'!AJ47,('Tariffs Jan2020'!L47-'Tariffs Jan2020'!K47)*('Tariffs Jan2020'!W47/100)*'Tariffs Jan2020'!AJ47))</f>
        <v>0</v>
      </c>
      <c r="M53" s="59">
        <f>IF($C$5*'Tariffs Jan2020'!AL47/'Tariffs Jan2020'!AJ47&lt;'Tariffs Jan2020'!L47,0,IF($C$5*'Tariffs Jan2020'!AL47/'Tariffs Jan2020'!AJ47&lt;='Tariffs Jan2020'!M47,($C$5*'Tariffs Jan2020'!AL47/'Tariffs Jan2020'!AJ47-'Tariffs Jan2020'!L47)*('Tariffs Jan2020'!X47/100)*'Tariffs Jan2020'!AJ47,('Tariffs Jan2020'!M47-'Tariffs Jan2020'!L47)*('Tariffs Jan2020'!X47/100)*'Tariffs Jan2020'!AJ47))</f>
        <v>0</v>
      </c>
      <c r="N53" s="59">
        <f>IF(($C$5*'Tariffs Jan2020'!AL47/'Tariffs Jan2020'!AJ47&gt;'Tariffs Jan2020'!M47),($C$5*'Tariffs Jan2020'!AL47/'Tariffs Jan2020'!AJ47-'Tariffs Jan2020'!M47)*'Tariffs Jan2020'!Y47/100*'Tariffs Jan2020'!AJ47,0)</f>
        <v>427.49999999999989</v>
      </c>
      <c r="O53" s="59">
        <f t="shared" si="0"/>
        <v>1312.1236363636363</v>
      </c>
      <c r="P53" s="503">
        <f t="shared" si="1"/>
        <v>1443.336</v>
      </c>
      <c r="Q53" s="59">
        <f t="shared" si="2"/>
        <v>1569.0836363636363</v>
      </c>
      <c r="R53" s="272">
        <f t="shared" si="3"/>
        <v>1725.992</v>
      </c>
      <c r="S53" s="40">
        <f>'Tariffs Jan2020'!AN47</f>
        <v>0</v>
      </c>
      <c r="T53" s="40">
        <f>'Tariffs Jan2020'!AO47</f>
        <v>0</v>
      </c>
      <c r="U53" s="40">
        <f>'Tariffs Jan2020'!AP47</f>
        <v>10</v>
      </c>
      <c r="V53" s="40">
        <f>'Tariffs Jan2020'!AQ47</f>
        <v>0</v>
      </c>
      <c r="W53" s="284">
        <f>R53</f>
        <v>1725.992</v>
      </c>
      <c r="X53" s="284">
        <f>W53-(W53*U53/100)</f>
        <v>1553.3928000000001</v>
      </c>
      <c r="Y53" s="507">
        <f>W53</f>
        <v>1725.992</v>
      </c>
      <c r="Z53" s="507">
        <f>X53</f>
        <v>1553.3928000000001</v>
      </c>
      <c r="AA53" s="274">
        <f>'Tariffs Jan2020'!AZ47</f>
        <v>0</v>
      </c>
      <c r="AB53" s="274" t="str">
        <f>'Tariffs Jan2020'!BA47</f>
        <v>n</v>
      </c>
      <c r="AC53" s="275" t="str">
        <f>'Tariffs Jan2020'!BJ47</f>
        <v>N</v>
      </c>
      <c r="AD53" s="425"/>
      <c r="AE53" s="425"/>
      <c r="AF53" s="427"/>
      <c r="AG53" s="427"/>
      <c r="AH53" s="427"/>
      <c r="AI53" s="427"/>
      <c r="AJ53" s="427"/>
      <c r="AK53" s="427"/>
      <c r="AL53" s="427"/>
      <c r="AM53" s="427"/>
      <c r="AN53" s="427"/>
    </row>
    <row r="54" spans="1:40" ht="14" x14ac:dyDescent="0.15">
      <c r="A54" s="270" t="str">
        <f>'Tariffs Jan2020'!F48</f>
        <v>Simply Energy</v>
      </c>
      <c r="B54" s="40" t="str">
        <f>'Tariffs Jan2020'!D48</f>
        <v>AGN North</v>
      </c>
      <c r="C54" s="40" t="str">
        <f>'Tariffs Jan2020'!G48</f>
        <v>Plus</v>
      </c>
      <c r="D54" s="59">
        <f>365*'Tariffs Jan2020'!H48/100</f>
        <v>296.31363636363631</v>
      </c>
      <c r="E54" s="59">
        <f>IF($C$5*'Tariffs Jan2020'!AK48/'Tariffs Jan2020'!AI48&gt;='Tariffs Jan2020'!J48,( 'Tariffs Jan2020'!J48*'Tariffs Jan2020'!O48/100)* 'Tariffs Jan2020'!AI48,($C$5*'Tariffs Jan2020'!AK48/'Tariffs Jan2020'!AI48*'Tariffs Jan2020'!O48/100)* 'Tariffs Jan2020'!AI48)</f>
        <v>133.245</v>
      </c>
      <c r="F54" s="59">
        <f>IF($C$5*'Tariffs Jan2020'!AK48/'Tariffs Jan2020'!AI48&lt;'Tariffs Jan2020'!J48,0,IF($C$5*'Tariffs Jan2020'!AK48/'Tariffs Jan2020'!AI48&lt;='Tariffs Jan2020'!K48,($C$5*'Tariffs Jan2020'!AK48/'Tariffs Jan2020'!AI48-'Tariffs Jan2020'!J48)*('Tariffs Jan2020'!P48/100)*'Tariffs Jan2020'!AI48,('Tariffs Jan2020'!K48-'Tariffs Jan2020'!J48)*('Tariffs Jan2020'!P48/100)*'Tariffs Jan2020'!AI48))</f>
        <v>89.060454545454547</v>
      </c>
      <c r="G54" s="59">
        <f>IF($C$5*'Tariffs Jan2020'!AK48/'Tariffs Jan2020'!AI48&lt;'Tariffs Jan2020'!K48,0,IF($C$5*'Tariffs Jan2020'!AK48/'Tariffs Jan2020'!AI48&lt;='Tariffs Jan2020'!L48,($C$5*'Tariffs Jan2020'!AK48/'Tariffs Jan2020'!AI48-'Tariffs Jan2020'!K48)*('Tariffs Jan2020'!Q48/100)*'Tariffs Jan2020'!AI48,('Tariffs Jan2020'!L48-'Tariffs Jan2020'!K48)*('Tariffs Jan2020'!Q48/100)*'Tariffs Jan2020'!AI48))</f>
        <v>0</v>
      </c>
      <c r="H54" s="59">
        <f>IF($C$5*'Tariffs Jan2020'!AK48/'Tariffs Jan2020'!AI48&lt;'Tariffs Jan2020'!L48,0,IF($C$5*'Tariffs Jan2020'!AK48/'Tariffs Jan2020'!AI48&lt;='Tariffs Jan2020'!M48,($C$5*'Tariffs Jan2020'!AK48/'Tariffs Jan2020'!AI48-'Tariffs Jan2020'!L48)*('Tariffs Jan2020'!R48/100)*'Tariffs Jan2020'!AI48,('Tariffs Jan2020'!M48-'Tariffs Jan2020'!L48)*('Tariffs Jan2020'!R48/100)*'Tariffs Jan2020'!AI48))</f>
        <v>0</v>
      </c>
      <c r="I54" s="59">
        <f>IF(($C$5*'Tariffs Jan2020'!AK48/'Tariffs Jan2020'!AI48&gt;'Tariffs Jan2020'!M48),($C$5*'Tariffs Jan2020'!AK48/'Tariffs Jan2020'!AI48-'Tariffs Jan2020'!M48)*'Tariffs Jan2020'!S48/100*'Tariffs Jan2020'!AI48,0)</f>
        <v>419.31818181818176</v>
      </c>
      <c r="J54" s="59">
        <f>IF($C$5*'Tariffs Jan2020'!AL48/'Tariffs Jan2020'!AJ48&gt;='Tariffs Jan2020'!J48,('Tariffs Jan2020'!J48*'Tariffs Jan2020'!U48/100)* 'Tariffs Jan2020'!AJ48,($C$5*'Tariffs Jan2020'!AL48/'Tariffs Jan2020'!AJ48*'Tariffs Jan2020'!U48/100)* 'Tariffs Jan2020'!AJ48)</f>
        <v>133.245</v>
      </c>
      <c r="K54" s="59">
        <f>IF($C$5*'Tariffs Jan2020'!AL48/'Tariffs Jan2020'!AJ48&lt;'Tariffs Jan2020'!J48,0,IF($C$5*'Tariffs Jan2020'!AL48/'Tariffs Jan2020'!AJ48&lt;='Tariffs Jan2020'!K48,($C$5*'Tariffs Jan2020'!AL48/'Tariffs Jan2020'!AJ48-'Tariffs Jan2020'!J48)*('Tariffs Jan2020'!V48/100)*'Tariffs Jan2020'!AJ48,('Tariffs Jan2020'!K48-'Tariffs Jan2020'!J48)*('Tariffs Jan2020'!V48/100)*'Tariffs Jan2020'!AJ48))</f>
        <v>89.060454545454547</v>
      </c>
      <c r="L54" s="59">
        <f>IF($C$5*'Tariffs Jan2020'!AL48/'Tariffs Jan2020'!AJ48&lt;'Tariffs Jan2020'!K48,0,IF($C$5*'Tariffs Jan2020'!AL48/'Tariffs Jan2020'!AJ48&lt;='Tariffs Jan2020'!L48,($C$5*'Tariffs Jan2020'!AL48/'Tariffs Jan2020'!AJ48-'Tariffs Jan2020'!K48)*('Tariffs Jan2020'!W48/100)*'Tariffs Jan2020'!AJ48,('Tariffs Jan2020'!L48-'Tariffs Jan2020'!K48)*('Tariffs Jan2020'!W48/100)*'Tariffs Jan2020'!AJ48))</f>
        <v>0</v>
      </c>
      <c r="M54" s="59">
        <f>IF($C$5*'Tariffs Jan2020'!AL48/'Tariffs Jan2020'!AJ48&lt;'Tariffs Jan2020'!L48,0,IF($C$5*'Tariffs Jan2020'!AL48/'Tariffs Jan2020'!AJ48&lt;='Tariffs Jan2020'!M48,($C$5*'Tariffs Jan2020'!AL48/'Tariffs Jan2020'!AJ48-'Tariffs Jan2020'!L48)*('Tariffs Jan2020'!X48/100)*'Tariffs Jan2020'!AJ48,('Tariffs Jan2020'!M48-'Tariffs Jan2020'!L48)*('Tariffs Jan2020'!X48/100)*'Tariffs Jan2020'!AJ48))</f>
        <v>0</v>
      </c>
      <c r="N54" s="59">
        <f>IF(($C$5*'Tariffs Jan2020'!AL48/'Tariffs Jan2020'!AJ48&gt;'Tariffs Jan2020'!M48),($C$5*'Tariffs Jan2020'!AL48/'Tariffs Jan2020'!AJ48-'Tariffs Jan2020'!M48)*'Tariffs Jan2020'!Y48/100*'Tariffs Jan2020'!AJ48,0)</f>
        <v>419.31818181818176</v>
      </c>
      <c r="O54" s="59">
        <f t="shared" si="0"/>
        <v>1283.2472727272725</v>
      </c>
      <c r="P54" s="503">
        <f t="shared" si="1"/>
        <v>1411.5719999999999</v>
      </c>
      <c r="Q54" s="59">
        <f t="shared" si="2"/>
        <v>1579.5609090909088</v>
      </c>
      <c r="R54" s="272">
        <f t="shared" si="3"/>
        <v>1737.5169999999998</v>
      </c>
      <c r="S54" s="40">
        <f>'Tariffs Jan2020'!AN48</f>
        <v>0</v>
      </c>
      <c r="T54" s="40">
        <f>'Tariffs Jan2020'!AO48</f>
        <v>0</v>
      </c>
      <c r="U54" s="40">
        <f>'Tariffs Jan2020'!AP48</f>
        <v>12</v>
      </c>
      <c r="V54" s="40">
        <f>'Tariffs Jan2020'!AQ48</f>
        <v>0</v>
      </c>
      <c r="W54" s="284">
        <f t="shared" ref="W54:W55" si="19">Q54</f>
        <v>1579.5609090909088</v>
      </c>
      <c r="X54" s="284">
        <f>W54-(Q54*U54/100)</f>
        <v>1390.0135999999998</v>
      </c>
      <c r="Y54" s="507">
        <f t="shared" ref="Y54:Y56" si="20">W54*1.1</f>
        <v>1737.5169999999998</v>
      </c>
      <c r="Z54" s="507">
        <f t="shared" ref="Z54:Z56" si="21">X54*1.1</f>
        <v>1529.01496</v>
      </c>
      <c r="AA54" s="274">
        <f>'Tariffs Jan2020'!AZ48</f>
        <v>0</v>
      </c>
      <c r="AB54" s="274" t="str">
        <f>'Tariffs Jan2020'!BA48</f>
        <v>n</v>
      </c>
      <c r="AC54" s="275" t="str">
        <f>'Tariffs Jan2020'!BJ48</f>
        <v>Y</v>
      </c>
      <c r="AD54" s="425"/>
      <c r="AE54" s="425"/>
      <c r="AF54" s="427"/>
      <c r="AG54" s="427"/>
      <c r="AH54" s="427"/>
      <c r="AI54" s="427"/>
      <c r="AJ54" s="427"/>
      <c r="AK54" s="427"/>
      <c r="AL54" s="427"/>
      <c r="AM54" s="427"/>
      <c r="AN54" s="427"/>
    </row>
    <row r="55" spans="1:40" ht="14" x14ac:dyDescent="0.15">
      <c r="A55" s="270" t="str">
        <f>'Tariffs Jan2020'!F49</f>
        <v>Sumo Power</v>
      </c>
      <c r="B55" s="40" t="str">
        <f>'Tariffs Jan2020'!D49</f>
        <v>AGN North</v>
      </c>
      <c r="C55" s="40" t="str">
        <f>'Tariffs Jan2020'!G49</f>
        <v>Select</v>
      </c>
      <c r="D55" s="59">
        <f>365*'Tariffs Jan2020'!H49/100</f>
        <v>237.25</v>
      </c>
      <c r="E55" s="59">
        <f>IF($C$5*'Tariffs Jan2020'!AK49/'Tariffs Jan2020'!AI49&gt;='Tariffs Jan2020'!J49,( 'Tariffs Jan2020'!J49*'Tariffs Jan2020'!O49/100)* 'Tariffs Jan2020'!AI49,($C$5*'Tariffs Jan2020'!AK49/'Tariffs Jan2020'!AI49*'Tariffs Jan2020'!O49/100)* 'Tariffs Jan2020'!AI49)</f>
        <v>114.85090909090908</v>
      </c>
      <c r="F55" s="59">
        <f>IF($C$5*'Tariffs Jan2020'!AK49/'Tariffs Jan2020'!AI49&lt;'Tariffs Jan2020'!J49,0,IF($C$5*'Tariffs Jan2020'!AK49/'Tariffs Jan2020'!AI49&lt;='Tariffs Jan2020'!K49,($C$5*'Tariffs Jan2020'!AK49/'Tariffs Jan2020'!AI49-'Tariffs Jan2020'!J49)*('Tariffs Jan2020'!P49/100)*'Tariffs Jan2020'!AI49,('Tariffs Jan2020'!K49-'Tariffs Jan2020'!J49)*('Tariffs Jan2020'!P49/100)*'Tariffs Jan2020'!AI49))</f>
        <v>82.039090909090902</v>
      </c>
      <c r="G55" s="59">
        <f>IF($C$5*'Tariffs Jan2020'!AK49/'Tariffs Jan2020'!AI49&lt;'Tariffs Jan2020'!K49,0,IF($C$5*'Tariffs Jan2020'!AK49/'Tariffs Jan2020'!AI49&lt;='Tariffs Jan2020'!L49,($C$5*'Tariffs Jan2020'!AK49/'Tariffs Jan2020'!AI49-'Tariffs Jan2020'!K49)*('Tariffs Jan2020'!Q49/100)*'Tariffs Jan2020'!AI49,('Tariffs Jan2020'!L49-'Tariffs Jan2020'!K49)*('Tariffs Jan2020'!Q49/100)*'Tariffs Jan2020'!AI49))</f>
        <v>0</v>
      </c>
      <c r="H55" s="59">
        <f>IF($C$5*'Tariffs Jan2020'!AK49/'Tariffs Jan2020'!AI49&lt;'Tariffs Jan2020'!L49,0,IF($C$5*'Tariffs Jan2020'!AK49/'Tariffs Jan2020'!AI49&lt;='Tariffs Jan2020'!M49,($C$5*'Tariffs Jan2020'!AK49/'Tariffs Jan2020'!AI49-'Tariffs Jan2020'!L49)*('Tariffs Jan2020'!R49/100)*'Tariffs Jan2020'!AI49,('Tariffs Jan2020'!M49-'Tariffs Jan2020'!L49)*('Tariffs Jan2020'!R49/100)*'Tariffs Jan2020'!AI49))</f>
        <v>0</v>
      </c>
      <c r="I55" s="59">
        <f>IF(($C$5*'Tariffs Jan2020'!AK49/'Tariffs Jan2020'!AI49&gt;'Tariffs Jan2020'!M49),($C$5*'Tariffs Jan2020'!AK49/'Tariffs Jan2020'!AI49-'Tariffs Jan2020'!M49)*'Tariffs Jan2020'!S49/100*'Tariffs Jan2020'!AI49,0)</f>
        <v>386.59090909090912</v>
      </c>
      <c r="J55" s="59">
        <f>IF($C$5*'Tariffs Jan2020'!AL49/'Tariffs Jan2020'!AJ49&gt;='Tariffs Jan2020'!J49,('Tariffs Jan2020'!J49*'Tariffs Jan2020'!U49/100)* 'Tariffs Jan2020'!AJ49,($C$5*'Tariffs Jan2020'!AL49/'Tariffs Jan2020'!AJ49*'Tariffs Jan2020'!U49/100)* 'Tariffs Jan2020'!AJ49)</f>
        <v>114.85090909090908</v>
      </c>
      <c r="K55" s="59">
        <f>IF($C$5*'Tariffs Jan2020'!AL49/'Tariffs Jan2020'!AJ49&lt;'Tariffs Jan2020'!J49,0,IF($C$5*'Tariffs Jan2020'!AL49/'Tariffs Jan2020'!AJ49&lt;='Tariffs Jan2020'!K49,($C$5*'Tariffs Jan2020'!AL49/'Tariffs Jan2020'!AJ49-'Tariffs Jan2020'!J49)*('Tariffs Jan2020'!V49/100)*'Tariffs Jan2020'!AJ49,('Tariffs Jan2020'!K49-'Tariffs Jan2020'!J49)*('Tariffs Jan2020'!V49/100)*'Tariffs Jan2020'!AJ49))</f>
        <v>82.039090909090902</v>
      </c>
      <c r="L55" s="59">
        <f>IF($C$5*'Tariffs Jan2020'!AL49/'Tariffs Jan2020'!AJ49&lt;'Tariffs Jan2020'!K49,0,IF($C$5*'Tariffs Jan2020'!AL49/'Tariffs Jan2020'!AJ49&lt;='Tariffs Jan2020'!L49,($C$5*'Tariffs Jan2020'!AL49/'Tariffs Jan2020'!AJ49-'Tariffs Jan2020'!K49)*('Tariffs Jan2020'!W49/100)*'Tariffs Jan2020'!AJ49,('Tariffs Jan2020'!L49-'Tariffs Jan2020'!K49)*('Tariffs Jan2020'!W49/100)*'Tariffs Jan2020'!AJ49))</f>
        <v>0</v>
      </c>
      <c r="M55" s="59">
        <f>IF($C$5*'Tariffs Jan2020'!AL49/'Tariffs Jan2020'!AJ49&lt;'Tariffs Jan2020'!L49,0,IF($C$5*'Tariffs Jan2020'!AL49/'Tariffs Jan2020'!AJ49&lt;='Tariffs Jan2020'!M49,($C$5*'Tariffs Jan2020'!AL49/'Tariffs Jan2020'!AJ49-'Tariffs Jan2020'!L49)*('Tariffs Jan2020'!X49/100)*'Tariffs Jan2020'!AJ49,('Tariffs Jan2020'!M49-'Tariffs Jan2020'!L49)*('Tariffs Jan2020'!X49/100)*'Tariffs Jan2020'!AJ49))</f>
        <v>0</v>
      </c>
      <c r="N55" s="59">
        <f>IF(($C$5*'Tariffs Jan2020'!AL49/'Tariffs Jan2020'!AJ49&gt;'Tariffs Jan2020'!M49),($C$5*'Tariffs Jan2020'!AL49/'Tariffs Jan2020'!AJ49-'Tariffs Jan2020'!M49)*'Tariffs Jan2020'!Y49/100*'Tariffs Jan2020'!AJ49,0)</f>
        <v>386.59090909090912</v>
      </c>
      <c r="O55" s="59">
        <f>SUM(E55:N55)</f>
        <v>1166.9618181818182</v>
      </c>
      <c r="P55" s="503">
        <f t="shared" si="1"/>
        <v>1283.6580000000001</v>
      </c>
      <c r="Q55" s="59">
        <f>D55+O55</f>
        <v>1404.2118181818182</v>
      </c>
      <c r="R55" s="272">
        <f>Q55*1.1</f>
        <v>1544.6330000000003</v>
      </c>
      <c r="S55" s="40">
        <f>'Tariffs Jan2020'!AN49</f>
        <v>0</v>
      </c>
      <c r="T55" s="40">
        <f>'Tariffs Jan2020'!AO49</f>
        <v>0</v>
      </c>
      <c r="U55" s="40">
        <f>'Tariffs Jan2020'!AP49</f>
        <v>5</v>
      </c>
      <c r="V55" s="40">
        <f>'Tariffs Jan2020'!AQ49</f>
        <v>0</v>
      </c>
      <c r="W55" s="284">
        <f t="shared" si="19"/>
        <v>1404.2118181818182</v>
      </c>
      <c r="X55" s="284">
        <f>W55-(Q55*U55/100)</f>
        <v>1334.0012272727272</v>
      </c>
      <c r="Y55" s="507">
        <f t="shared" si="20"/>
        <v>1544.6330000000003</v>
      </c>
      <c r="Z55" s="507">
        <f t="shared" si="21"/>
        <v>1467.4013500000001</v>
      </c>
      <c r="AA55" s="274">
        <f>'Tariffs Jan2020'!AZ49</f>
        <v>0</v>
      </c>
      <c r="AB55" s="274" t="str">
        <f>'Tariffs Jan2020'!BA49</f>
        <v>n</v>
      </c>
      <c r="AC55" s="275" t="str">
        <f>'Tariffs Jan2020'!BJ49</f>
        <v>Y</v>
      </c>
      <c r="AD55" s="425"/>
      <c r="AE55" s="425"/>
      <c r="AF55" s="427"/>
      <c r="AG55" s="427"/>
      <c r="AH55" s="427"/>
      <c r="AI55" s="427"/>
      <c r="AJ55" s="427"/>
      <c r="AK55" s="427"/>
      <c r="AL55" s="427"/>
      <c r="AM55" s="427"/>
      <c r="AN55" s="427"/>
    </row>
    <row r="56" spans="1:40" ht="14" x14ac:dyDescent="0.15">
      <c r="A56" s="270" t="str">
        <f>'Tariffs Jan2020'!F50</f>
        <v>Amaysim</v>
      </c>
      <c r="B56" s="40" t="str">
        <f>'Tariffs Jan2020'!D50</f>
        <v>AGN North</v>
      </c>
      <c r="C56" s="40" t="str">
        <f>'Tariffs Jan2020'!G50</f>
        <v>Gas as you go</v>
      </c>
      <c r="D56" s="59">
        <f>365*'Tariffs Jan2020'!H50/100</f>
        <v>199.0564</v>
      </c>
      <c r="E56" s="59">
        <f>IF($C$5*'Tariffs Jan2020'!AK50/'Tariffs Jan2020'!AI50&gt;='Tariffs Jan2020'!J50,( 'Tariffs Jan2020'!J50*'Tariffs Jan2020'!O50/100)* 'Tariffs Jan2020'!AI50,($C$5*'Tariffs Jan2020'!AK50/'Tariffs Jan2020'!AI50*'Tariffs Jan2020'!O50/100)* 'Tariffs Jan2020'!AI50)</f>
        <v>125.8425</v>
      </c>
      <c r="F56" s="59">
        <f>IF($C$5*'Tariffs Jan2020'!AK50/'Tariffs Jan2020'!AI50&lt;'Tariffs Jan2020'!J50,0,IF($C$5*'Tariffs Jan2020'!AK50/'Tariffs Jan2020'!AI50&lt;='Tariffs Jan2020'!K50,($C$5*'Tariffs Jan2020'!AK50/'Tariffs Jan2020'!AI50-'Tariffs Jan2020'!J50)*('Tariffs Jan2020'!P50/100)*'Tariffs Jan2020'!AI50,('Tariffs Jan2020'!K50-'Tariffs Jan2020'!J50)*('Tariffs Jan2020'!P50/100)*'Tariffs Jan2020'!AI50))</f>
        <v>88.454400000000007</v>
      </c>
      <c r="G56" s="59">
        <f>IF($C$5*'Tariffs Jan2020'!AK50/'Tariffs Jan2020'!AI50&lt;'Tariffs Jan2020'!K50,0,IF($C$5*'Tariffs Jan2020'!AK50/'Tariffs Jan2020'!AI50&lt;='Tariffs Jan2020'!L50,($C$5*'Tariffs Jan2020'!AK50/'Tariffs Jan2020'!AI50-'Tariffs Jan2020'!K50)*('Tariffs Jan2020'!Q50/100)*'Tariffs Jan2020'!AI50,('Tariffs Jan2020'!L50-'Tariffs Jan2020'!K50)*('Tariffs Jan2020'!Q50/100)*'Tariffs Jan2020'!AI50))</f>
        <v>0</v>
      </c>
      <c r="H56" s="59">
        <f>IF($C$5*'Tariffs Jan2020'!AK50/'Tariffs Jan2020'!AI50&lt;'Tariffs Jan2020'!L50,0,IF($C$5*'Tariffs Jan2020'!AK50/'Tariffs Jan2020'!AI50&lt;='Tariffs Jan2020'!M50,($C$5*'Tariffs Jan2020'!AK50/'Tariffs Jan2020'!AI50-'Tariffs Jan2020'!L50)*('Tariffs Jan2020'!R50/100)*'Tariffs Jan2020'!AI50,('Tariffs Jan2020'!M50-'Tariffs Jan2020'!L50)*('Tariffs Jan2020'!R50/100)*'Tariffs Jan2020'!AI50))</f>
        <v>0</v>
      </c>
      <c r="I56" s="59">
        <f>IF(($C$5*'Tariffs Jan2020'!AK50/'Tariffs Jan2020'!AI50&gt;'Tariffs Jan2020'!M50),($C$5*'Tariffs Jan2020'!AK50/'Tariffs Jan2020'!AI50-'Tariffs Jan2020'!M50)*'Tariffs Jan2020'!S50/100*'Tariffs Jan2020'!AI50,0)</f>
        <v>428.40000000000003</v>
      </c>
      <c r="J56" s="59">
        <f>IF($C$5*'Tariffs Jan2020'!AL50/'Tariffs Jan2020'!AJ50&gt;='Tariffs Jan2020'!J50,('Tariffs Jan2020'!J50*'Tariffs Jan2020'!U50/100)* 'Tariffs Jan2020'!AJ50,($C$5*'Tariffs Jan2020'!AL50/'Tariffs Jan2020'!AJ50*'Tariffs Jan2020'!U50/100)* 'Tariffs Jan2020'!AJ50)</f>
        <v>125.8425</v>
      </c>
      <c r="K56" s="59">
        <f>IF($C$5*'Tariffs Jan2020'!AL50/'Tariffs Jan2020'!AJ50&lt;'Tariffs Jan2020'!J50,0,IF($C$5*'Tariffs Jan2020'!AL50/'Tariffs Jan2020'!AJ50&lt;='Tariffs Jan2020'!K50,($C$5*'Tariffs Jan2020'!AL50/'Tariffs Jan2020'!AJ50-'Tariffs Jan2020'!J50)*('Tariffs Jan2020'!V50/100)*'Tariffs Jan2020'!AJ50,('Tariffs Jan2020'!K50-'Tariffs Jan2020'!J50)*('Tariffs Jan2020'!V50/100)*'Tariffs Jan2020'!AJ50))</f>
        <v>88.454400000000007</v>
      </c>
      <c r="L56" s="59">
        <f>IF($C$5*'Tariffs Jan2020'!AL50/'Tariffs Jan2020'!AJ50&lt;'Tariffs Jan2020'!K50,0,IF($C$5*'Tariffs Jan2020'!AL50/'Tariffs Jan2020'!AJ50&lt;='Tariffs Jan2020'!L50,($C$5*'Tariffs Jan2020'!AL50/'Tariffs Jan2020'!AJ50-'Tariffs Jan2020'!K50)*('Tariffs Jan2020'!W50/100)*'Tariffs Jan2020'!AJ50,('Tariffs Jan2020'!L50-'Tariffs Jan2020'!K50)*('Tariffs Jan2020'!W50/100)*'Tariffs Jan2020'!AJ50))</f>
        <v>0</v>
      </c>
      <c r="M56" s="59">
        <f>IF($C$5*'Tariffs Jan2020'!AL50/'Tariffs Jan2020'!AJ50&lt;'Tariffs Jan2020'!L50,0,IF($C$5*'Tariffs Jan2020'!AL50/'Tariffs Jan2020'!AJ50&lt;='Tariffs Jan2020'!M50,($C$5*'Tariffs Jan2020'!AL50/'Tariffs Jan2020'!AJ50-'Tariffs Jan2020'!L50)*('Tariffs Jan2020'!X50/100)*'Tariffs Jan2020'!AJ50,('Tariffs Jan2020'!M50-'Tariffs Jan2020'!L50)*('Tariffs Jan2020'!X50/100)*'Tariffs Jan2020'!AJ50))</f>
        <v>0</v>
      </c>
      <c r="N56" s="59">
        <f>IF(($C$5*'Tariffs Jan2020'!AL50/'Tariffs Jan2020'!AJ50&gt;'Tariffs Jan2020'!M50),($C$5*'Tariffs Jan2020'!AL50/'Tariffs Jan2020'!AJ50-'Tariffs Jan2020'!M50)*'Tariffs Jan2020'!Y50/100*'Tariffs Jan2020'!AJ50,0)</f>
        <v>428.40000000000003</v>
      </c>
      <c r="O56" s="59">
        <f t="shared" si="0"/>
        <v>1285.3938000000001</v>
      </c>
      <c r="P56" s="503">
        <f t="shared" si="1"/>
        <v>1413.9331800000002</v>
      </c>
      <c r="Q56" s="59">
        <f t="shared" si="2"/>
        <v>1484.4502</v>
      </c>
      <c r="R56" s="272">
        <f t="shared" si="3"/>
        <v>1632.8952200000001</v>
      </c>
      <c r="S56" s="40">
        <f>'Tariffs Jan2020'!AN50</f>
        <v>0</v>
      </c>
      <c r="T56" s="40">
        <f>'Tariffs Jan2020'!AO50</f>
        <v>0</v>
      </c>
      <c r="U56" s="40">
        <f>'Tariffs Jan2020'!AP50</f>
        <v>0</v>
      </c>
      <c r="V56" s="40">
        <f>'Tariffs Jan2020'!AQ50</f>
        <v>0</v>
      </c>
      <c r="W56" s="284">
        <f>Q56</f>
        <v>1484.4502</v>
      </c>
      <c r="X56" s="284">
        <f>W56</f>
        <v>1484.4502</v>
      </c>
      <c r="Y56" s="507">
        <f t="shared" si="20"/>
        <v>1632.8952200000001</v>
      </c>
      <c r="Z56" s="507">
        <f t="shared" si="21"/>
        <v>1632.8952200000001</v>
      </c>
      <c r="AA56" s="274">
        <f>'Tariffs Jan2020'!AZ50</f>
        <v>0</v>
      </c>
      <c r="AB56" s="274" t="str">
        <f>'Tariffs Jan2020'!BA50</f>
        <v>n</v>
      </c>
      <c r="AC56" s="275" t="str">
        <f>'Tariffs Jan2020'!BJ50</f>
        <v>N</v>
      </c>
      <c r="AD56" s="425"/>
      <c r="AE56" s="425"/>
      <c r="AF56" s="427"/>
      <c r="AG56" s="427"/>
      <c r="AH56" s="427"/>
      <c r="AI56" s="427"/>
      <c r="AJ56" s="427"/>
      <c r="AK56" s="427"/>
      <c r="AL56" s="427"/>
      <c r="AM56" s="427"/>
      <c r="AN56" s="427"/>
    </row>
    <row r="57" spans="1:40" ht="14" x14ac:dyDescent="0.15">
      <c r="A57" s="270" t="str">
        <f>'Tariffs Jan2020'!F51</f>
        <v>GloBird Energy</v>
      </c>
      <c r="B57" s="40" t="str">
        <f>'Tariffs Jan2020'!D51</f>
        <v>AGN North</v>
      </c>
      <c r="C57" s="40" t="str">
        <f>'Tariffs Jan2020'!G51</f>
        <v>GloSave</v>
      </c>
      <c r="D57" s="59">
        <f>365*'Tariffs Jan2020'!H51/100</f>
        <v>211.69999999999996</v>
      </c>
      <c r="E57" s="59">
        <f>IF($C$5*'Tariffs Jan2020'!AK51/'Tariffs Jan2020'!AI51&gt;='Tariffs Jan2020'!J51,( 'Tariffs Jan2020'!J51*'Tariffs Jan2020'!O51/100)* 'Tariffs Jan2020'!AI51,($C$5*'Tariffs Jan2020'!AK51/'Tariffs Jan2020'!AI51*'Tariffs Jan2020'!O51/100)* 'Tariffs Jan2020'!AI51)</f>
        <v>215.18181818181816</v>
      </c>
      <c r="F57" s="59">
        <f>IF($C$5*'Tariffs Jan2020'!AK51/'Tariffs Jan2020'!AI51&lt;'Tariffs Jan2020'!J51,0,IF($C$5*'Tariffs Jan2020'!AK51/'Tariffs Jan2020'!AI51&lt;='Tariffs Jan2020'!K51,($C$5*'Tariffs Jan2020'!AK51/'Tariffs Jan2020'!AI51-'Tariffs Jan2020'!J51)*('Tariffs Jan2020'!P51/100)*'Tariffs Jan2020'!AI51,('Tariffs Jan2020'!K51-'Tariffs Jan2020'!J51)*('Tariffs Jan2020'!P51/100)*'Tariffs Jan2020'!AI51))</f>
        <v>0</v>
      </c>
      <c r="G57" s="59">
        <f>IF($C$5*'Tariffs Jan2020'!AK51/'Tariffs Jan2020'!AI51&lt;'Tariffs Jan2020'!K51,0,IF($C$5*'Tariffs Jan2020'!AK51/'Tariffs Jan2020'!AI51&lt;='Tariffs Jan2020'!L51,($C$5*'Tariffs Jan2020'!AK51/'Tariffs Jan2020'!AI51-'Tariffs Jan2020'!K51)*('Tariffs Jan2020'!Q51/100)*'Tariffs Jan2020'!AI51,('Tariffs Jan2020'!L51-'Tariffs Jan2020'!K51)*('Tariffs Jan2020'!Q51/100)*'Tariffs Jan2020'!AI51))</f>
        <v>0</v>
      </c>
      <c r="H57" s="59">
        <f>IF($C$5*'Tariffs Jan2020'!AK51/'Tariffs Jan2020'!AI51&lt;'Tariffs Jan2020'!L51,0,IF($C$5*'Tariffs Jan2020'!AK51/'Tariffs Jan2020'!AI51&lt;='Tariffs Jan2020'!M51,($C$5*'Tariffs Jan2020'!AK51/'Tariffs Jan2020'!AI51-'Tariffs Jan2020'!L51)*('Tariffs Jan2020'!R51/100)*'Tariffs Jan2020'!AI51,('Tariffs Jan2020'!M51-'Tariffs Jan2020'!L51)*('Tariffs Jan2020'!R51/100)*'Tariffs Jan2020'!AI51))</f>
        <v>0</v>
      </c>
      <c r="I57" s="59">
        <f>IF(($C$5*'Tariffs Jan2020'!AK51/'Tariffs Jan2020'!AI51&gt;'Tariffs Jan2020'!M51),($C$5*'Tariffs Jan2020'!AK51/'Tariffs Jan2020'!AI51-'Tariffs Jan2020'!M51)*'Tariffs Jan2020'!S51/100*'Tariffs Jan2020'!AI51,0)</f>
        <v>366.13636363636363</v>
      </c>
      <c r="J57" s="59">
        <f>IF($C$5*'Tariffs Jan2020'!AL51/'Tariffs Jan2020'!AJ51&gt;='Tariffs Jan2020'!J51,('Tariffs Jan2020'!J51*'Tariffs Jan2020'!U51/100)* 'Tariffs Jan2020'!AJ51,($C$5*'Tariffs Jan2020'!AL51/'Tariffs Jan2020'!AJ51*'Tariffs Jan2020'!U51/100)* 'Tariffs Jan2020'!AJ51)</f>
        <v>215.18181818181816</v>
      </c>
      <c r="K57" s="59">
        <f>IF($C$5*'Tariffs Jan2020'!AL51/'Tariffs Jan2020'!AJ51&lt;'Tariffs Jan2020'!J51,0,IF($C$5*'Tariffs Jan2020'!AL51/'Tariffs Jan2020'!AJ51&lt;='Tariffs Jan2020'!K51,($C$5*'Tariffs Jan2020'!AL51/'Tariffs Jan2020'!AJ51-'Tariffs Jan2020'!J51)*('Tariffs Jan2020'!V51/100)*'Tariffs Jan2020'!AJ51,('Tariffs Jan2020'!K51-'Tariffs Jan2020'!J51)*('Tariffs Jan2020'!V51/100)*'Tariffs Jan2020'!AJ51))</f>
        <v>0</v>
      </c>
      <c r="L57" s="59">
        <f>IF($C$5*'Tariffs Jan2020'!AL51/'Tariffs Jan2020'!AJ51&lt;'Tariffs Jan2020'!K51,0,IF($C$5*'Tariffs Jan2020'!AL51/'Tariffs Jan2020'!AJ51&lt;='Tariffs Jan2020'!L51,($C$5*'Tariffs Jan2020'!AL51/'Tariffs Jan2020'!AJ51-'Tariffs Jan2020'!K51)*('Tariffs Jan2020'!W51/100)*'Tariffs Jan2020'!AJ51,('Tariffs Jan2020'!L51-'Tariffs Jan2020'!K51)*('Tariffs Jan2020'!W51/100)*'Tariffs Jan2020'!AJ51))</f>
        <v>0</v>
      </c>
      <c r="M57" s="59">
        <f>IF($C$5*'Tariffs Jan2020'!AL51/'Tariffs Jan2020'!AJ51&lt;'Tariffs Jan2020'!L51,0,IF($C$5*'Tariffs Jan2020'!AL51/'Tariffs Jan2020'!AJ51&lt;='Tariffs Jan2020'!M51,($C$5*'Tariffs Jan2020'!AL51/'Tariffs Jan2020'!AJ51-'Tariffs Jan2020'!L51)*('Tariffs Jan2020'!X51/100)*'Tariffs Jan2020'!AJ51,('Tariffs Jan2020'!M51-'Tariffs Jan2020'!L51)*('Tariffs Jan2020'!X51/100)*'Tariffs Jan2020'!AJ51))</f>
        <v>0</v>
      </c>
      <c r="N57" s="59">
        <f>IF(($C$5*'Tariffs Jan2020'!AL51/'Tariffs Jan2020'!AJ51&gt;'Tariffs Jan2020'!M51),($C$5*'Tariffs Jan2020'!AL51/'Tariffs Jan2020'!AJ51-'Tariffs Jan2020'!M51)*'Tariffs Jan2020'!Y51/100*'Tariffs Jan2020'!AJ51,0)</f>
        <v>366.13636363636363</v>
      </c>
      <c r="O57" s="59">
        <f t="shared" si="0"/>
        <v>1162.6363636363635</v>
      </c>
      <c r="P57" s="503">
        <f t="shared" si="1"/>
        <v>1278.8999999999999</v>
      </c>
      <c r="Q57" s="59">
        <f t="shared" si="2"/>
        <v>1374.3363636363636</v>
      </c>
      <c r="R57" s="272">
        <f t="shared" si="3"/>
        <v>1511.77</v>
      </c>
      <c r="S57" s="40">
        <f>'Tariffs Jan2020'!AN51</f>
        <v>0</v>
      </c>
      <c r="T57" s="40">
        <f>'Tariffs Jan2020'!AO51</f>
        <v>0</v>
      </c>
      <c r="U57" s="40">
        <f>'Tariffs Jan2020'!AP51</f>
        <v>5</v>
      </c>
      <c r="V57" s="40">
        <f>'Tariffs Jan2020'!AQ51</f>
        <v>0</v>
      </c>
      <c r="W57" s="284">
        <f>Q57</f>
        <v>1374.3363636363636</v>
      </c>
      <c r="X57" s="284">
        <f>W57-(Q57*U57/100)</f>
        <v>1305.6195454545455</v>
      </c>
      <c r="Y57" s="507">
        <f>W57*1.1</f>
        <v>1511.77</v>
      </c>
      <c r="Z57" s="507">
        <f>X57*1.1</f>
        <v>1436.1815000000001</v>
      </c>
      <c r="AA57" s="274">
        <f>'Tariffs Jan2020'!AZ51</f>
        <v>0</v>
      </c>
      <c r="AB57" s="274" t="str">
        <f>'Tariffs Jan2020'!BA51</f>
        <v>n</v>
      </c>
      <c r="AC57" s="275" t="str">
        <f>'Tariffs Jan2020'!BJ51</f>
        <v>N</v>
      </c>
      <c r="AD57" s="425"/>
      <c r="AE57" s="425"/>
      <c r="AF57" s="427"/>
      <c r="AG57" s="427"/>
      <c r="AH57" s="427"/>
      <c r="AI57" s="427"/>
      <c r="AJ57" s="427"/>
      <c r="AK57" s="427"/>
      <c r="AL57" s="427"/>
      <c r="AM57" s="427"/>
      <c r="AN57" s="427"/>
    </row>
    <row r="58" spans="1:40" ht="14" x14ac:dyDescent="0.15">
      <c r="A58" s="270" t="str">
        <f>'Tariffs Jan2020'!F52</f>
        <v>Powershop</v>
      </c>
      <c r="B58" s="40" t="str">
        <f>'Tariffs Jan2020'!D52</f>
        <v>AGN North</v>
      </c>
      <c r="C58" s="40" t="str">
        <f>'Tariffs Jan2020'!G52</f>
        <v>Shopper with Gas Saver</v>
      </c>
      <c r="D58" s="59">
        <f>365*'Tariffs Jan2020'!H52/100</f>
        <v>265.18909090909091</v>
      </c>
      <c r="E58" s="59">
        <f>((C$5*'Tariffs Jan2020'!AK52/'Tariffs Jan2020'!AI52)*('Tariffs Jan2020'!O52/100))*'Tariffs Jan2020'!AI52</f>
        <v>598.49999999999989</v>
      </c>
      <c r="F58" s="59">
        <v>0</v>
      </c>
      <c r="G58" s="59">
        <v>0</v>
      </c>
      <c r="H58" s="59">
        <v>0</v>
      </c>
      <c r="I58" s="59">
        <v>0</v>
      </c>
      <c r="J58" s="59">
        <f>((C$5*'Tariffs Jan2020'!AL52/'Tariffs Jan2020'!AJ52)*('Tariffs Jan2020'!U52/100))*'Tariffs Jan2020'!AJ52</f>
        <v>598.49999999999989</v>
      </c>
      <c r="K58" s="59">
        <v>0</v>
      </c>
      <c r="L58" s="59">
        <v>0</v>
      </c>
      <c r="M58" s="59">
        <v>0</v>
      </c>
      <c r="N58" s="59">
        <v>0</v>
      </c>
      <c r="O58" s="59">
        <f t="shared" si="0"/>
        <v>1196.9999999999998</v>
      </c>
      <c r="P58" s="503">
        <f t="shared" si="1"/>
        <v>1316.6999999999998</v>
      </c>
      <c r="Q58" s="59">
        <f t="shared" si="2"/>
        <v>1462.1890909090907</v>
      </c>
      <c r="R58" s="272">
        <f t="shared" si="3"/>
        <v>1608.4079999999999</v>
      </c>
      <c r="S58" s="40">
        <f>'Tariffs Jan2020'!AN52</f>
        <v>0</v>
      </c>
      <c r="T58" s="40">
        <f>'Tariffs Jan2020'!AO52</f>
        <v>0</v>
      </c>
      <c r="U58" s="40">
        <f>'Tariffs Jan2020'!AP52</f>
        <v>5</v>
      </c>
      <c r="V58" s="40">
        <f>'Tariffs Jan2020'!AQ52</f>
        <v>0</v>
      </c>
      <c r="W58" s="284">
        <f>R58</f>
        <v>1608.4079999999999</v>
      </c>
      <c r="X58" s="284">
        <f>W58-(W58*U58/100)</f>
        <v>1527.9875999999999</v>
      </c>
      <c r="Y58" s="507">
        <f>W58</f>
        <v>1608.4079999999999</v>
      </c>
      <c r="Z58" s="507">
        <f>X58</f>
        <v>1527.9875999999999</v>
      </c>
      <c r="AA58" s="274">
        <f>'Tariffs Jan2020'!AZ52</f>
        <v>0</v>
      </c>
      <c r="AB58" s="274" t="str">
        <f>'Tariffs Jan2020'!BA52</f>
        <v>n</v>
      </c>
      <c r="AC58" s="275" t="str">
        <f>'Tariffs Jan2020'!BJ52</f>
        <v>Y</v>
      </c>
      <c r="AD58" s="425"/>
      <c r="AE58" s="425"/>
      <c r="AF58" s="427"/>
      <c r="AG58" s="427"/>
      <c r="AH58" s="427"/>
      <c r="AI58" s="427"/>
      <c r="AJ58" s="427"/>
      <c r="AK58" s="427"/>
      <c r="AL58" s="427"/>
      <c r="AM58" s="427"/>
      <c r="AN58" s="427"/>
    </row>
    <row r="59" spans="1:40" ht="14" x14ac:dyDescent="0.15">
      <c r="A59" s="270" t="str">
        <f>'Tariffs Jan2020'!F53</f>
        <v>DC Power Co</v>
      </c>
      <c r="B59" s="40" t="str">
        <f>'Tariffs Jan2020'!D53</f>
        <v>AGN North</v>
      </c>
      <c r="C59" s="40" t="str">
        <f>'Tariffs Jan2020'!G53</f>
        <v>Market offer</v>
      </c>
      <c r="D59" s="59">
        <f>365*'Tariffs Jan2020'!H53/100</f>
        <v>280.8840909090909</v>
      </c>
      <c r="E59" s="59">
        <f>((C$5*'Tariffs Jan2020'!AK53/'Tariffs Jan2020'!AI53)*('Tariffs Jan2020'!O53/100))*'Tariffs Jan2020'!AI53</f>
        <v>575.59090909090901</v>
      </c>
      <c r="F59" s="59">
        <v>0</v>
      </c>
      <c r="G59" s="59">
        <v>0</v>
      </c>
      <c r="H59" s="59">
        <v>0</v>
      </c>
      <c r="I59" s="59">
        <v>0</v>
      </c>
      <c r="J59" s="59">
        <f>((C$5*'Tariffs Jan2020'!AL53/'Tariffs Jan2020'!AJ53)*('Tariffs Jan2020'!U53/100))*'Tariffs Jan2020'!AJ53</f>
        <v>575.59090909090901</v>
      </c>
      <c r="K59" s="59">
        <v>0</v>
      </c>
      <c r="L59" s="59">
        <v>0</v>
      </c>
      <c r="M59" s="59">
        <v>0</v>
      </c>
      <c r="N59" s="59">
        <v>0</v>
      </c>
      <c r="O59" s="59">
        <f t="shared" si="0"/>
        <v>1151.181818181818</v>
      </c>
      <c r="P59" s="503">
        <f t="shared" si="1"/>
        <v>1266.3</v>
      </c>
      <c r="Q59" s="59">
        <f t="shared" si="2"/>
        <v>1432.0659090909089</v>
      </c>
      <c r="R59" s="272">
        <f t="shared" si="3"/>
        <v>1575.2725</v>
      </c>
      <c r="S59" s="40">
        <f>'Tariffs Jan2020'!AN53</f>
        <v>0</v>
      </c>
      <c r="T59" s="40">
        <f>'Tariffs Jan2020'!AO53</f>
        <v>0</v>
      </c>
      <c r="U59" s="40">
        <f>'Tariffs Jan2020'!AP53</f>
        <v>0</v>
      </c>
      <c r="V59" s="40">
        <f>'Tariffs Jan2020'!AQ53</f>
        <v>0</v>
      </c>
      <c r="W59" s="284">
        <f t="shared" ref="W59" si="22">Q59</f>
        <v>1432.0659090909089</v>
      </c>
      <c r="X59" s="284">
        <f>W59</f>
        <v>1432.0659090909089</v>
      </c>
      <c r="Y59" s="507">
        <f t="shared" ref="Y59:Y69" si="23">W59*1.1</f>
        <v>1575.2725</v>
      </c>
      <c r="Z59" s="507">
        <f t="shared" ref="Z59:Z69" si="24">X59*1.1</f>
        <v>1575.2725</v>
      </c>
      <c r="AA59" s="274">
        <f>'Tariffs Jan2020'!AZ53</f>
        <v>0</v>
      </c>
      <c r="AB59" s="274" t="str">
        <f>'Tariffs Jan2020'!BA53</f>
        <v>n</v>
      </c>
      <c r="AC59" s="275" t="str">
        <f>'Tariffs Jan2020'!BJ53</f>
        <v>Y</v>
      </c>
      <c r="AD59" s="425"/>
      <c r="AE59" s="425"/>
      <c r="AF59" s="427"/>
      <c r="AG59" s="427"/>
      <c r="AH59" s="427"/>
      <c r="AI59" s="427"/>
      <c r="AJ59" s="427"/>
      <c r="AK59" s="427"/>
      <c r="AL59" s="427"/>
      <c r="AM59" s="427"/>
      <c r="AN59" s="427"/>
    </row>
    <row r="60" spans="1:40" ht="14" x14ac:dyDescent="0.15">
      <c r="A60" s="270" t="str">
        <f>'Tariffs Jan2020'!F54</f>
        <v>1st Energy</v>
      </c>
      <c r="B60" s="40" t="str">
        <f>'Tariffs Jan2020'!D54</f>
        <v>AGN North</v>
      </c>
      <c r="C60" s="40" t="str">
        <f>'Tariffs Jan2020'!G54</f>
        <v>1st Saver</v>
      </c>
      <c r="D60" s="59">
        <f>365*'Tariffs Jan2020'!H54/100</f>
        <v>266.45</v>
      </c>
      <c r="E60" s="59">
        <f>IF($C$5*'Tariffs Jan2020'!AK54/'Tariffs Jan2020'!AI54&gt;='Tariffs Jan2020'!J54,( 'Tariffs Jan2020'!J54*'Tariffs Jan2020'!O54/100)* 'Tariffs Jan2020'!AI54,($C$5*'Tariffs Jan2020'!AK54/'Tariffs Jan2020'!AI54*'Tariffs Jan2020'!O54/100)* 'Tariffs Jan2020'!AI54)</f>
        <v>131.45045454545453</v>
      </c>
      <c r="F60" s="59">
        <f>IF($C$5*'Tariffs Jan2020'!AK54/'Tariffs Jan2020'!AI54&lt;'Tariffs Jan2020'!J54,0,IF($C$5*'Tariffs Jan2020'!AK54/'Tariffs Jan2020'!AI54&lt;='Tariffs Jan2020'!K54,($C$5*'Tariffs Jan2020'!AK54/'Tariffs Jan2020'!AI54-'Tariffs Jan2020'!J54)*('Tariffs Jan2020'!P54/100)*'Tariffs Jan2020'!AI54,('Tariffs Jan2020'!K54-'Tariffs Jan2020'!J54)*('Tariffs Jan2020'!P54/100)*'Tariffs Jan2020'!AI54))</f>
        <v>94.9731818181818</v>
      </c>
      <c r="G60" s="59">
        <f>IF($C$5*'Tariffs Jan2020'!AK54/'Tariffs Jan2020'!AI54&lt;'Tariffs Jan2020'!K54,0,IF($C$5*'Tariffs Jan2020'!AK54/'Tariffs Jan2020'!AI54&lt;='Tariffs Jan2020'!L54,($C$5*'Tariffs Jan2020'!AK54/'Tariffs Jan2020'!AI54-'Tariffs Jan2020'!K54)*('Tariffs Jan2020'!Q54/100)*'Tariffs Jan2020'!AI54,('Tariffs Jan2020'!L54-'Tariffs Jan2020'!K54)*('Tariffs Jan2020'!Q54/100)*'Tariffs Jan2020'!AI54))</f>
        <v>0</v>
      </c>
      <c r="H60" s="59">
        <f>IF($C$5*'Tariffs Jan2020'!AK54/'Tariffs Jan2020'!AI54&lt;'Tariffs Jan2020'!L54,0,IF($C$5*'Tariffs Jan2020'!AK54/'Tariffs Jan2020'!AI54&lt;='Tariffs Jan2020'!M54,($C$5*'Tariffs Jan2020'!AK54/'Tariffs Jan2020'!AI54-'Tariffs Jan2020'!L54)*('Tariffs Jan2020'!R54/100)*'Tariffs Jan2020'!AI54,('Tariffs Jan2020'!M54-'Tariffs Jan2020'!L54)*('Tariffs Jan2020'!R54/100)*'Tariffs Jan2020'!AI54))</f>
        <v>0</v>
      </c>
      <c r="I60" s="59">
        <f>IF(($C$5*'Tariffs Jan2020'!AK54/'Tariffs Jan2020'!AI54&gt;'Tariffs Jan2020'!M54),($C$5*'Tariffs Jan2020'!AK54/'Tariffs Jan2020'!AI54-'Tariffs Jan2020'!M54)*'Tariffs Jan2020'!S54/100*'Tariffs Jan2020'!AI54,0)</f>
        <v>447.95454545454544</v>
      </c>
      <c r="J60" s="59">
        <f>IF($C$5*'Tariffs Jan2020'!AL54/'Tariffs Jan2020'!AJ54&gt;='Tariffs Jan2020'!J54,('Tariffs Jan2020'!J54*'Tariffs Jan2020'!U54/100)* 'Tariffs Jan2020'!AJ54,($C$5*'Tariffs Jan2020'!AL54/'Tariffs Jan2020'!AJ54*'Tariffs Jan2020'!U54/100)* 'Tariffs Jan2020'!AJ54)</f>
        <v>131.45045454545453</v>
      </c>
      <c r="K60" s="59">
        <f>IF($C$5*'Tariffs Jan2020'!AL54/'Tariffs Jan2020'!AJ54&lt;'Tariffs Jan2020'!J54,0,IF($C$5*'Tariffs Jan2020'!AL54/'Tariffs Jan2020'!AJ54&lt;='Tariffs Jan2020'!K54,($C$5*'Tariffs Jan2020'!AL54/'Tariffs Jan2020'!AJ54-'Tariffs Jan2020'!J54)*('Tariffs Jan2020'!V54/100)*'Tariffs Jan2020'!AJ54,('Tariffs Jan2020'!K54-'Tariffs Jan2020'!J54)*('Tariffs Jan2020'!V54/100)*'Tariffs Jan2020'!AJ54))</f>
        <v>94.9731818181818</v>
      </c>
      <c r="L60" s="59">
        <f>IF($C$5*'Tariffs Jan2020'!AL54/'Tariffs Jan2020'!AJ54&lt;'Tariffs Jan2020'!K54,0,IF($C$5*'Tariffs Jan2020'!AL54/'Tariffs Jan2020'!AJ54&lt;='Tariffs Jan2020'!L54,($C$5*'Tariffs Jan2020'!AL54/'Tariffs Jan2020'!AJ54-'Tariffs Jan2020'!K54)*('Tariffs Jan2020'!W54/100)*'Tariffs Jan2020'!AJ54,('Tariffs Jan2020'!L54-'Tariffs Jan2020'!K54)*('Tariffs Jan2020'!W54/100)*'Tariffs Jan2020'!AJ54))</f>
        <v>0</v>
      </c>
      <c r="M60" s="59">
        <f>IF($C$5*'Tariffs Jan2020'!AL54/'Tariffs Jan2020'!AJ54&lt;'Tariffs Jan2020'!L54,0,IF($C$5*'Tariffs Jan2020'!AL54/'Tariffs Jan2020'!AJ54&lt;='Tariffs Jan2020'!M54,($C$5*'Tariffs Jan2020'!AL54/'Tariffs Jan2020'!AJ54-'Tariffs Jan2020'!L54)*('Tariffs Jan2020'!X54/100)*'Tariffs Jan2020'!AJ54,('Tariffs Jan2020'!M54-'Tariffs Jan2020'!L54)*('Tariffs Jan2020'!X54/100)*'Tariffs Jan2020'!AJ54))</f>
        <v>0</v>
      </c>
      <c r="N60" s="59">
        <f>IF(($C$5*'Tariffs Jan2020'!AL54/'Tariffs Jan2020'!AJ54&gt;'Tariffs Jan2020'!M54),($C$5*'Tariffs Jan2020'!AL54/'Tariffs Jan2020'!AJ54-'Tariffs Jan2020'!M54)*'Tariffs Jan2020'!Y54/100*'Tariffs Jan2020'!AJ54,0)</f>
        <v>447.95454545454544</v>
      </c>
      <c r="O60" s="59">
        <f t="shared" si="0"/>
        <v>1348.7563636363634</v>
      </c>
      <c r="P60" s="503">
        <f t="shared" si="1"/>
        <v>1483.6319999999998</v>
      </c>
      <c r="Q60" s="59">
        <f t="shared" si="2"/>
        <v>1615.2063636363634</v>
      </c>
      <c r="R60" s="272">
        <f t="shared" si="3"/>
        <v>1776.7269999999999</v>
      </c>
      <c r="S60" s="40">
        <f>'Tariffs Jan2020'!AN54</f>
        <v>0</v>
      </c>
      <c r="T60" s="40">
        <f>'Tariffs Jan2020'!AO54</f>
        <v>0</v>
      </c>
      <c r="U60" s="40">
        <f>'Tariffs Jan2020'!AP54</f>
        <v>0</v>
      </c>
      <c r="V60" s="40">
        <f>'Tariffs Jan2020'!AQ54</f>
        <v>15</v>
      </c>
      <c r="W60" s="284">
        <f>Q60</f>
        <v>1615.2063636363634</v>
      </c>
      <c r="X60" s="284">
        <f>W60-(O60*V60/100)</f>
        <v>1412.8929090909089</v>
      </c>
      <c r="Y60" s="507">
        <f t="shared" si="23"/>
        <v>1776.7269999999999</v>
      </c>
      <c r="Z60" s="507">
        <f t="shared" si="24"/>
        <v>1554.1822</v>
      </c>
      <c r="AA60" s="274">
        <f>'Tariffs Jan2020'!AZ54</f>
        <v>0</v>
      </c>
      <c r="AB60" s="274" t="str">
        <f>'Tariffs Jan2020'!BA54</f>
        <v>n</v>
      </c>
      <c r="AC60" s="275" t="str">
        <f>'Tariffs Jan2020'!BJ54</f>
        <v>Y</v>
      </c>
      <c r="AD60" s="425"/>
      <c r="AE60" s="425"/>
      <c r="AF60" s="427"/>
      <c r="AG60" s="427"/>
      <c r="AH60" s="427"/>
      <c r="AI60" s="427"/>
      <c r="AJ60" s="427"/>
      <c r="AK60" s="427"/>
      <c r="AL60" s="427"/>
      <c r="AM60" s="427"/>
      <c r="AN60" s="427"/>
    </row>
    <row r="61" spans="1:40" ht="15" thickBot="1" x14ac:dyDescent="0.2">
      <c r="A61" s="276" t="str">
        <f>'Tariffs Jan2020'!F55</f>
        <v>Kogan Energy</v>
      </c>
      <c r="B61" s="277" t="str">
        <f>'Tariffs Jan2020'!D55</f>
        <v>AGN North</v>
      </c>
      <c r="C61" s="277" t="str">
        <f>'Tariffs Jan2020'!G55</f>
        <v>Market offer</v>
      </c>
      <c r="D61" s="278">
        <f>365*'Tariffs Jan2020'!H55/100</f>
        <v>224.77363636363631</v>
      </c>
      <c r="E61" s="278">
        <f>((C$5*'Tariffs Jan2020'!AK55/'Tariffs Jan2020'!AI55)*('Tariffs Jan2020'!O55/100))*'Tariffs Jan2020'!AI55</f>
        <v>601.36363636363626</v>
      </c>
      <c r="F61" s="278">
        <v>0</v>
      </c>
      <c r="G61" s="278">
        <v>0</v>
      </c>
      <c r="H61" s="278">
        <v>0</v>
      </c>
      <c r="I61" s="278">
        <v>0</v>
      </c>
      <c r="J61" s="278">
        <f>((C$5*'Tariffs Jan2020'!AL55/'Tariffs Jan2020'!AJ55)*('Tariffs Jan2020'!U55/100))*'Tariffs Jan2020'!AJ55</f>
        <v>601.36363636363626</v>
      </c>
      <c r="K61" s="278">
        <v>0</v>
      </c>
      <c r="L61" s="278">
        <v>0</v>
      </c>
      <c r="M61" s="278">
        <v>0</v>
      </c>
      <c r="N61" s="278">
        <v>0</v>
      </c>
      <c r="O61" s="278">
        <f t="shared" si="0"/>
        <v>1202.7272727272725</v>
      </c>
      <c r="P61" s="504">
        <f t="shared" si="1"/>
        <v>1322.9999999999998</v>
      </c>
      <c r="Q61" s="278">
        <f t="shared" si="2"/>
        <v>1427.5009090909089</v>
      </c>
      <c r="R61" s="280">
        <f t="shared" si="3"/>
        <v>1570.251</v>
      </c>
      <c r="S61" s="277">
        <f>'Tariffs Jan2020'!AN55</f>
        <v>0</v>
      </c>
      <c r="T61" s="277">
        <f>'Tariffs Jan2020'!AO55</f>
        <v>0</v>
      </c>
      <c r="U61" s="277">
        <f>'Tariffs Jan2020'!AP55</f>
        <v>0</v>
      </c>
      <c r="V61" s="277">
        <f>'Tariffs Jan2020'!AQ55</f>
        <v>0</v>
      </c>
      <c r="W61" s="285">
        <f t="shared" ref="W61" si="25">Q61</f>
        <v>1427.5009090909089</v>
      </c>
      <c r="X61" s="285">
        <f>W61</f>
        <v>1427.5009090909089</v>
      </c>
      <c r="Y61" s="508">
        <f t="shared" si="23"/>
        <v>1570.251</v>
      </c>
      <c r="Z61" s="508">
        <f t="shared" si="24"/>
        <v>1570.251</v>
      </c>
      <c r="AA61" s="282">
        <f>'Tariffs Jan2020'!AZ55</f>
        <v>0</v>
      </c>
      <c r="AB61" s="282" t="str">
        <f>'Tariffs Jan2020'!BA55</f>
        <v>n</v>
      </c>
      <c r="AC61" s="283" t="str">
        <f>'Tariffs Jan2020'!BJ55</f>
        <v>N</v>
      </c>
      <c r="AD61" s="425"/>
      <c r="AE61" s="425"/>
      <c r="AF61" s="427"/>
      <c r="AG61" s="427"/>
      <c r="AH61" s="427"/>
      <c r="AI61" s="427"/>
      <c r="AJ61" s="427"/>
      <c r="AK61" s="427"/>
      <c r="AL61" s="427"/>
      <c r="AM61" s="427"/>
      <c r="AN61" s="427"/>
    </row>
    <row r="62" spans="1:40" ht="15" thickTop="1" x14ac:dyDescent="0.15">
      <c r="A62" s="270" t="str">
        <f>'Tariffs Jan2020'!F56</f>
        <v>AGL</v>
      </c>
      <c r="B62" s="40" t="str">
        <f>'Tariffs Jan2020'!D56</f>
        <v>AGN Central 2</v>
      </c>
      <c r="C62" s="40" t="str">
        <f>'Tariffs Jan2020'!G56</f>
        <v>Essentials Saver</v>
      </c>
      <c r="D62" s="59">
        <f>365*'Tariffs Jan2020'!H56/100</f>
        <v>271.19499999999999</v>
      </c>
      <c r="E62" s="59">
        <f>IF($C$5*'Tariffs Jan2020'!AK56/'Tariffs Jan2020'!AI56&gt;='Tariffs Jan2020'!J56,( 'Tariffs Jan2020'!J56*'Tariffs Jan2020'!O56/100)* 'Tariffs Jan2020'!AI56,($C$5*'Tariffs Jan2020'!AK56/'Tariffs Jan2020'!AI56*'Tariffs Jan2020'!O56/100)* 'Tariffs Jan2020'!AI56)</f>
        <v>98.251363636363607</v>
      </c>
      <c r="F62" s="59">
        <f>IF($C$5*'Tariffs Jan2020'!AK56/'Tariffs Jan2020'!AI56&lt;'Tariffs Jan2020'!J56,0,IF($C$5*'Tariffs Jan2020'!AK56/'Tariffs Jan2020'!AI56&lt;='Tariffs Jan2020'!K56,($C$5*'Tariffs Jan2020'!AK56/'Tariffs Jan2020'!AI56-'Tariffs Jan2020'!J56)*('Tariffs Jan2020'!P56/100)*'Tariffs Jan2020'!AI56,('Tariffs Jan2020'!K56-'Tariffs Jan2020'!J56)*('Tariffs Jan2020'!P56/100)*'Tariffs Jan2020'!AI56))</f>
        <v>78.713181818181809</v>
      </c>
      <c r="G62" s="59">
        <f>IF($C$5*'Tariffs Jan2020'!AK56/'Tariffs Jan2020'!AI56&lt;'Tariffs Jan2020'!K56,0,IF($C$5*'Tariffs Jan2020'!AK56/'Tariffs Jan2020'!AI56&lt;='Tariffs Jan2020'!L56,($C$5*'Tariffs Jan2020'!AK56/'Tariffs Jan2020'!AI56-'Tariffs Jan2020'!K56)*('Tariffs Jan2020'!Q56/100)*'Tariffs Jan2020'!AI56,('Tariffs Jan2020'!L56-'Tariffs Jan2020'!K56)*('Tariffs Jan2020'!Q56/100)*'Tariffs Jan2020'!AI56))</f>
        <v>0</v>
      </c>
      <c r="H62" s="59">
        <f>IF($C$5*'Tariffs Jan2020'!AK56/'Tariffs Jan2020'!AI56&lt;'Tariffs Jan2020'!L56,0,IF($C$5*'Tariffs Jan2020'!AK56/'Tariffs Jan2020'!AI56&lt;='Tariffs Jan2020'!M56,($C$5*'Tariffs Jan2020'!AK56/'Tariffs Jan2020'!AI56-'Tariffs Jan2020'!L56)*('Tariffs Jan2020'!R56/100)*'Tariffs Jan2020'!AI56,('Tariffs Jan2020'!M56-'Tariffs Jan2020'!L56)*('Tariffs Jan2020'!R56/100)*'Tariffs Jan2020'!AI56))</f>
        <v>0</v>
      </c>
      <c r="I62" s="59">
        <f>IF(($C$5*'Tariffs Jan2020'!AK56/'Tariffs Jan2020'!AI56&gt;'Tariffs Jan2020'!M56),($C$5*'Tariffs Jan2020'!AK56/'Tariffs Jan2020'!AI56-'Tariffs Jan2020'!M56)*'Tariffs Jan2020'!S56/100*'Tariffs Jan2020'!AI56,0)</f>
        <v>296.59090909090907</v>
      </c>
      <c r="J62" s="59">
        <f>IF($C$5*'Tariffs Jan2020'!AL56/'Tariffs Jan2020'!AJ56&gt;='Tariffs Jan2020'!J56,('Tariffs Jan2020'!J56*'Tariffs Jan2020'!U56/100)* 'Tariffs Jan2020'!AJ56,($C$5*'Tariffs Jan2020'!AL56/'Tariffs Jan2020'!AJ56*'Tariffs Jan2020'!U56/100)* 'Tariffs Jan2020'!AJ56)</f>
        <v>98.251363636363607</v>
      </c>
      <c r="K62" s="59">
        <f>IF($C$5*'Tariffs Jan2020'!AL56/'Tariffs Jan2020'!AJ56&lt;'Tariffs Jan2020'!J56,0,IF($C$5*'Tariffs Jan2020'!AL56/'Tariffs Jan2020'!AJ56&lt;='Tariffs Jan2020'!K56,($C$5*'Tariffs Jan2020'!AL56/'Tariffs Jan2020'!AJ56-'Tariffs Jan2020'!J56)*('Tariffs Jan2020'!V56/100)*'Tariffs Jan2020'!AJ56,('Tariffs Jan2020'!K56-'Tariffs Jan2020'!J56)*('Tariffs Jan2020'!V56/100)*'Tariffs Jan2020'!AJ56))</f>
        <v>78.713181818181809</v>
      </c>
      <c r="L62" s="59">
        <f>IF($C$5*'Tariffs Jan2020'!AL56/'Tariffs Jan2020'!AJ56&lt;'Tariffs Jan2020'!K56,0,IF($C$5*'Tariffs Jan2020'!AL56/'Tariffs Jan2020'!AJ56&lt;='Tariffs Jan2020'!L56,($C$5*'Tariffs Jan2020'!AL56/'Tariffs Jan2020'!AJ56-'Tariffs Jan2020'!K56)*('Tariffs Jan2020'!W56/100)*'Tariffs Jan2020'!AJ56,('Tariffs Jan2020'!L56-'Tariffs Jan2020'!K56)*('Tariffs Jan2020'!W56/100)*'Tariffs Jan2020'!AJ56))</f>
        <v>0</v>
      </c>
      <c r="M62" s="59">
        <f>IF($C$5*'Tariffs Jan2020'!AL56/'Tariffs Jan2020'!AJ56&lt;'Tariffs Jan2020'!L56,0,IF($C$5*'Tariffs Jan2020'!AL56/'Tariffs Jan2020'!AJ56&lt;='Tariffs Jan2020'!M56,($C$5*'Tariffs Jan2020'!AL56/'Tariffs Jan2020'!AJ56-'Tariffs Jan2020'!L56)*('Tariffs Jan2020'!X56/100)*'Tariffs Jan2020'!AJ56,('Tariffs Jan2020'!M56-'Tariffs Jan2020'!L56)*('Tariffs Jan2020'!X56/100)*'Tariffs Jan2020'!AJ56))</f>
        <v>0</v>
      </c>
      <c r="N62" s="59">
        <f>IF(($C$5*'Tariffs Jan2020'!AL56/'Tariffs Jan2020'!AJ56&gt;'Tariffs Jan2020'!M56),($C$5*'Tariffs Jan2020'!AL56/'Tariffs Jan2020'!AJ56-'Tariffs Jan2020'!M56)*'Tariffs Jan2020'!Y56/100*'Tariffs Jan2020'!AJ56,0)</f>
        <v>296.59090909090907</v>
      </c>
      <c r="O62" s="59">
        <f t="shared" si="0"/>
        <v>947.11090909090899</v>
      </c>
      <c r="P62" s="503">
        <f t="shared" si="1"/>
        <v>1041.8219999999999</v>
      </c>
      <c r="Q62" s="59">
        <f t="shared" si="2"/>
        <v>1218.3059090909089</v>
      </c>
      <c r="R62" s="272">
        <f t="shared" si="3"/>
        <v>1340.1364999999998</v>
      </c>
      <c r="S62" s="40">
        <f>'Tariffs Jan2020'!AN56</f>
        <v>0</v>
      </c>
      <c r="T62" s="40">
        <f>'Tariffs Jan2020'!AO56</f>
        <v>0</v>
      </c>
      <c r="U62" s="40">
        <f>'Tariffs Jan2020'!AP56</f>
        <v>0</v>
      </c>
      <c r="V62" s="40">
        <f>'Tariffs Jan2020'!AQ56</f>
        <v>0</v>
      </c>
      <c r="W62" s="284">
        <f>Q62</f>
        <v>1218.3059090909089</v>
      </c>
      <c r="X62" s="284">
        <f>W62</f>
        <v>1218.3059090909089</v>
      </c>
      <c r="Y62" s="507">
        <f t="shared" si="23"/>
        <v>1340.1364999999998</v>
      </c>
      <c r="Z62" s="507">
        <f t="shared" si="24"/>
        <v>1340.1364999999998</v>
      </c>
      <c r="AA62" s="274">
        <f>'Tariffs Jan2020'!AZ56</f>
        <v>0</v>
      </c>
      <c r="AB62" s="274" t="str">
        <f>'Tariffs Jan2020'!BA56</f>
        <v>n</v>
      </c>
      <c r="AC62" s="275" t="str">
        <f>'Tariffs Jan2020'!BJ56</f>
        <v>N</v>
      </c>
      <c r="AD62" s="425"/>
      <c r="AE62" s="425"/>
      <c r="AF62" s="427"/>
      <c r="AG62" s="427"/>
      <c r="AH62" s="427"/>
      <c r="AI62" s="427"/>
      <c r="AJ62" s="427"/>
      <c r="AK62" s="427"/>
      <c r="AL62" s="427"/>
      <c r="AM62" s="427"/>
      <c r="AN62" s="427"/>
    </row>
    <row r="63" spans="1:40" ht="14" x14ac:dyDescent="0.15">
      <c r="A63" s="270" t="str">
        <f>'Tariffs Jan2020'!F57</f>
        <v>Alinta Energy</v>
      </c>
      <c r="B63" s="40" t="str">
        <f>'Tariffs Jan2020'!D57</f>
        <v>AGN Central 2</v>
      </c>
      <c r="C63" s="40" t="str">
        <f>'Tariffs Jan2020'!G57</f>
        <v>Home Deal</v>
      </c>
      <c r="D63" s="59">
        <f>365*'Tariffs Jan2020'!H57/100</f>
        <v>229.94999999999996</v>
      </c>
      <c r="E63" s="59">
        <f>IF($C$5*'Tariffs Jan2020'!AK57/'Tariffs Jan2020'!AI57&gt;='Tariffs Jan2020'!J57,( 'Tariffs Jan2020'!J57*'Tariffs Jan2020'!O57/100)* 'Tariffs Jan2020'!AI57,($C$5*'Tariffs Jan2020'!AK57/'Tariffs Jan2020'!AI57*'Tariffs Jan2020'!O57/100)* 'Tariffs Jan2020'!AI57)</f>
        <v>128.30999999999997</v>
      </c>
      <c r="F63" s="59">
        <f>IF($C$5*'Tariffs Jan2020'!AK57/'Tariffs Jan2020'!AI57&lt;'Tariffs Jan2020'!J57,0,IF($C$5*'Tariffs Jan2020'!AK57/'Tariffs Jan2020'!AI57&lt;='Tariffs Jan2020'!K57,($C$5*'Tariffs Jan2020'!AK57/'Tariffs Jan2020'!AI57-'Tariffs Jan2020'!J57)*('Tariffs Jan2020'!P57/100)*'Tariffs Jan2020'!AI57,('Tariffs Jan2020'!K57-'Tariffs Jan2020'!J57)*('Tariffs Jan2020'!P57/100)*'Tariffs Jan2020'!AI57))</f>
        <v>89.429999999999993</v>
      </c>
      <c r="G63" s="59">
        <f>IF($C$5*'Tariffs Jan2020'!AK57/'Tariffs Jan2020'!AI57&lt;'Tariffs Jan2020'!K57,0,IF($C$5*'Tariffs Jan2020'!AK57/'Tariffs Jan2020'!AI57&lt;='Tariffs Jan2020'!L57,($C$5*'Tariffs Jan2020'!AK57/'Tariffs Jan2020'!AI57-'Tariffs Jan2020'!K57)*('Tariffs Jan2020'!Q57/100)*'Tariffs Jan2020'!AI57,('Tariffs Jan2020'!L57-'Tariffs Jan2020'!K57)*('Tariffs Jan2020'!Q57/100)*'Tariffs Jan2020'!AI57))</f>
        <v>0</v>
      </c>
      <c r="H63" s="59">
        <f>IF($C$5*'Tariffs Jan2020'!AK57/'Tariffs Jan2020'!AI57&lt;'Tariffs Jan2020'!L57,0,IF($C$5*'Tariffs Jan2020'!AK57/'Tariffs Jan2020'!AI57&lt;='Tariffs Jan2020'!M57,($C$5*'Tariffs Jan2020'!AK57/'Tariffs Jan2020'!AI57-'Tariffs Jan2020'!L57)*('Tariffs Jan2020'!R57/100)*'Tariffs Jan2020'!AI57,('Tariffs Jan2020'!M57-'Tariffs Jan2020'!L57)*('Tariffs Jan2020'!R57/100)*'Tariffs Jan2020'!AI57))</f>
        <v>0</v>
      </c>
      <c r="I63" s="59">
        <f>IF(($C$5*'Tariffs Jan2020'!AK57/'Tariffs Jan2020'!AI57&gt;'Tariffs Jan2020'!M57),($C$5*'Tariffs Jan2020'!AK57/'Tariffs Jan2020'!AI57-'Tariffs Jan2020'!M57)*'Tariffs Jan2020'!S57/100*'Tariffs Jan2020'!AI57,0)</f>
        <v>382.5</v>
      </c>
      <c r="J63" s="59">
        <f>IF($C$5*'Tariffs Jan2020'!AL57/'Tariffs Jan2020'!AJ57&gt;='Tariffs Jan2020'!J57,('Tariffs Jan2020'!J57*'Tariffs Jan2020'!U57/100)* 'Tariffs Jan2020'!AJ57,($C$5*'Tariffs Jan2020'!AL57/'Tariffs Jan2020'!AJ57*'Tariffs Jan2020'!U57/100)* 'Tariffs Jan2020'!AJ57)</f>
        <v>128.30999999999997</v>
      </c>
      <c r="K63" s="59">
        <f>IF($C$5*'Tariffs Jan2020'!AL57/'Tariffs Jan2020'!AJ57&lt;'Tariffs Jan2020'!J57,0,IF($C$5*'Tariffs Jan2020'!AL57/'Tariffs Jan2020'!AJ57&lt;='Tariffs Jan2020'!K57,($C$5*'Tariffs Jan2020'!AL57/'Tariffs Jan2020'!AJ57-'Tariffs Jan2020'!J57)*('Tariffs Jan2020'!V57/100)*'Tariffs Jan2020'!AJ57,('Tariffs Jan2020'!K57-'Tariffs Jan2020'!J57)*('Tariffs Jan2020'!V57/100)*'Tariffs Jan2020'!AJ57))</f>
        <v>89.429999999999993</v>
      </c>
      <c r="L63" s="59">
        <f>IF($C$5*'Tariffs Jan2020'!AL57/'Tariffs Jan2020'!AJ57&lt;'Tariffs Jan2020'!K57,0,IF($C$5*'Tariffs Jan2020'!AL57/'Tariffs Jan2020'!AJ57&lt;='Tariffs Jan2020'!L57,($C$5*'Tariffs Jan2020'!AL57/'Tariffs Jan2020'!AJ57-'Tariffs Jan2020'!K57)*('Tariffs Jan2020'!W57/100)*'Tariffs Jan2020'!AJ57,('Tariffs Jan2020'!L57-'Tariffs Jan2020'!K57)*('Tariffs Jan2020'!W57/100)*'Tariffs Jan2020'!AJ57))</f>
        <v>0</v>
      </c>
      <c r="M63" s="59">
        <f>IF($C$5*'Tariffs Jan2020'!AL57/'Tariffs Jan2020'!AJ57&lt;'Tariffs Jan2020'!L57,0,IF($C$5*'Tariffs Jan2020'!AL57/'Tariffs Jan2020'!AJ57&lt;='Tariffs Jan2020'!M57,($C$5*'Tariffs Jan2020'!AL57/'Tariffs Jan2020'!AJ57-'Tariffs Jan2020'!L57)*('Tariffs Jan2020'!X57/100)*'Tariffs Jan2020'!AJ57,('Tariffs Jan2020'!M57-'Tariffs Jan2020'!L57)*('Tariffs Jan2020'!X57/100)*'Tariffs Jan2020'!AJ57))</f>
        <v>0</v>
      </c>
      <c r="N63" s="59">
        <f>IF(($C$5*'Tariffs Jan2020'!AL57/'Tariffs Jan2020'!AJ57&gt;'Tariffs Jan2020'!M57),($C$5*'Tariffs Jan2020'!AL57/'Tariffs Jan2020'!AJ57-'Tariffs Jan2020'!M57)*'Tariffs Jan2020'!Y57/100*'Tariffs Jan2020'!AJ57,0)</f>
        <v>382.5</v>
      </c>
      <c r="O63" s="59">
        <f t="shared" si="0"/>
        <v>1200.48</v>
      </c>
      <c r="P63" s="503">
        <f t="shared" si="1"/>
        <v>1320.528</v>
      </c>
      <c r="Q63" s="59">
        <f t="shared" si="2"/>
        <v>1430.43</v>
      </c>
      <c r="R63" s="272">
        <f t="shared" si="3"/>
        <v>1573.4730000000002</v>
      </c>
      <c r="S63" s="40">
        <f>'Tariffs Jan2020'!AN57</f>
        <v>0</v>
      </c>
      <c r="T63" s="40">
        <f>'Tariffs Jan2020'!AO57</f>
        <v>0</v>
      </c>
      <c r="U63" s="40">
        <f>'Tariffs Jan2020'!AP57</f>
        <v>0</v>
      </c>
      <c r="V63" s="40">
        <f>'Tariffs Jan2020'!AQ57</f>
        <v>0</v>
      </c>
      <c r="W63" s="284">
        <f>Q63</f>
        <v>1430.43</v>
      </c>
      <c r="X63" s="284">
        <f>W63</f>
        <v>1430.43</v>
      </c>
      <c r="Y63" s="507">
        <f t="shared" si="23"/>
        <v>1573.4730000000002</v>
      </c>
      <c r="Z63" s="507">
        <f t="shared" si="24"/>
        <v>1573.4730000000002</v>
      </c>
      <c r="AA63" s="274">
        <f>'Tariffs Jan2020'!AZ57</f>
        <v>0</v>
      </c>
      <c r="AB63" s="274" t="str">
        <f>'Tariffs Jan2020'!BA57</f>
        <v>n</v>
      </c>
      <c r="AC63" s="275" t="str">
        <f>'Tariffs Jan2020'!BJ57</f>
        <v>N</v>
      </c>
      <c r="AD63" s="425"/>
      <c r="AE63" s="425"/>
      <c r="AF63" s="427"/>
      <c r="AG63" s="427"/>
      <c r="AH63" s="427"/>
      <c r="AI63" s="427"/>
      <c r="AJ63" s="427"/>
      <c r="AK63" s="427"/>
      <c r="AL63" s="427"/>
      <c r="AM63" s="427"/>
      <c r="AN63" s="427"/>
    </row>
    <row r="64" spans="1:40" ht="14" x14ac:dyDescent="0.15">
      <c r="A64" s="270" t="str">
        <f>'Tariffs Jan2020'!F58</f>
        <v>Click Energy</v>
      </c>
      <c r="B64" s="40" t="str">
        <f>'Tariffs Jan2020'!D58</f>
        <v>AGN Central 2</v>
      </c>
      <c r="C64" s="40" t="str">
        <f>'Tariffs Jan2020'!G58</f>
        <v>Hibiscus</v>
      </c>
      <c r="D64" s="59">
        <f>365*'Tariffs Jan2020'!H58/100</f>
        <v>216.61090909090908</v>
      </c>
      <c r="E64" s="59">
        <f>IF($C$5*'Tariffs Jan2020'!AK58/'Tariffs Jan2020'!AI58&gt;='Tariffs Jan2020'!J58,( 'Tariffs Jan2020'!J58*'Tariffs Jan2020'!O58/100)* 'Tariffs Jan2020'!AI58,($C$5*'Tariffs Jan2020'!AK58/'Tariffs Jan2020'!AI58*'Tariffs Jan2020'!O58/100)* 'Tariffs Jan2020'!AI58)</f>
        <v>136.83409090909089</v>
      </c>
      <c r="F64" s="59">
        <f>IF($C$5*'Tariffs Jan2020'!AK58/'Tariffs Jan2020'!AI58&lt;'Tariffs Jan2020'!J58,0,IF($C$5*'Tariffs Jan2020'!AK58/'Tariffs Jan2020'!AI58&lt;='Tariffs Jan2020'!K58,($C$5*'Tariffs Jan2020'!AK58/'Tariffs Jan2020'!AI58-'Tariffs Jan2020'!J58)*('Tariffs Jan2020'!P58/100)*'Tariffs Jan2020'!AI58,('Tariffs Jan2020'!K58-'Tariffs Jan2020'!J58)*('Tariffs Jan2020'!P58/100)*'Tariffs Jan2020'!AI58))</f>
        <v>96.081818181818164</v>
      </c>
      <c r="G64" s="59">
        <f>IF($C$5*'Tariffs Jan2020'!AK58/'Tariffs Jan2020'!AI58&lt;'Tariffs Jan2020'!K58,0,IF($C$5*'Tariffs Jan2020'!AK58/'Tariffs Jan2020'!AI58&lt;='Tariffs Jan2020'!L58,($C$5*'Tariffs Jan2020'!AK58/'Tariffs Jan2020'!AI58-'Tariffs Jan2020'!K58)*('Tariffs Jan2020'!Q58/100)*'Tariffs Jan2020'!AI58,('Tariffs Jan2020'!L58-'Tariffs Jan2020'!K58)*('Tariffs Jan2020'!Q58/100)*'Tariffs Jan2020'!AI58))</f>
        <v>0</v>
      </c>
      <c r="H64" s="59">
        <f>IF($C$5*'Tariffs Jan2020'!AK58/'Tariffs Jan2020'!AI58&lt;'Tariffs Jan2020'!L58,0,IF($C$5*'Tariffs Jan2020'!AK58/'Tariffs Jan2020'!AI58&lt;='Tariffs Jan2020'!M58,($C$5*'Tariffs Jan2020'!AK58/'Tariffs Jan2020'!AI58-'Tariffs Jan2020'!L58)*('Tariffs Jan2020'!R58/100)*'Tariffs Jan2020'!AI58,('Tariffs Jan2020'!M58-'Tariffs Jan2020'!L58)*('Tariffs Jan2020'!R58/100)*'Tariffs Jan2020'!AI58))</f>
        <v>0</v>
      </c>
      <c r="I64" s="59">
        <f>IF(($C$5*'Tariffs Jan2020'!AK58/'Tariffs Jan2020'!AI58&gt;'Tariffs Jan2020'!M58),($C$5*'Tariffs Jan2020'!AK58/'Tariffs Jan2020'!AI58-'Tariffs Jan2020'!M58)*'Tariffs Jan2020'!S58/100*'Tariffs Jan2020'!AI58,0)</f>
        <v>458.18181818181824</v>
      </c>
      <c r="J64" s="59">
        <f>IF($C$5*'Tariffs Jan2020'!AL58/'Tariffs Jan2020'!AJ58&gt;='Tariffs Jan2020'!J58,('Tariffs Jan2020'!J58*'Tariffs Jan2020'!U58/100)* 'Tariffs Jan2020'!AJ58,($C$5*'Tariffs Jan2020'!AL58/'Tariffs Jan2020'!AJ58*'Tariffs Jan2020'!U58/100)* 'Tariffs Jan2020'!AJ58)</f>
        <v>136.83409090909089</v>
      </c>
      <c r="K64" s="59">
        <f>IF($C$5*'Tariffs Jan2020'!AL58/'Tariffs Jan2020'!AJ58&lt;'Tariffs Jan2020'!J58,0,IF($C$5*'Tariffs Jan2020'!AL58/'Tariffs Jan2020'!AJ58&lt;='Tariffs Jan2020'!K58,($C$5*'Tariffs Jan2020'!AL58/'Tariffs Jan2020'!AJ58-'Tariffs Jan2020'!J58)*('Tariffs Jan2020'!V58/100)*'Tariffs Jan2020'!AJ58,('Tariffs Jan2020'!K58-'Tariffs Jan2020'!J58)*('Tariffs Jan2020'!V58/100)*'Tariffs Jan2020'!AJ58))</f>
        <v>96.081818181818164</v>
      </c>
      <c r="L64" s="59">
        <f>IF($C$5*'Tariffs Jan2020'!AL58/'Tariffs Jan2020'!AJ58&lt;'Tariffs Jan2020'!K58,0,IF($C$5*'Tariffs Jan2020'!AL58/'Tariffs Jan2020'!AJ58&lt;='Tariffs Jan2020'!L58,($C$5*'Tariffs Jan2020'!AL58/'Tariffs Jan2020'!AJ58-'Tariffs Jan2020'!K58)*('Tariffs Jan2020'!W58/100)*'Tariffs Jan2020'!AJ58,('Tariffs Jan2020'!L58-'Tariffs Jan2020'!K58)*('Tariffs Jan2020'!W58/100)*'Tariffs Jan2020'!AJ58))</f>
        <v>0</v>
      </c>
      <c r="M64" s="59">
        <f>IF($C$5*'Tariffs Jan2020'!AL58/'Tariffs Jan2020'!AJ58&lt;'Tariffs Jan2020'!L58,0,IF($C$5*'Tariffs Jan2020'!AL58/'Tariffs Jan2020'!AJ58&lt;='Tariffs Jan2020'!M58,($C$5*'Tariffs Jan2020'!AL58/'Tariffs Jan2020'!AJ58-'Tariffs Jan2020'!L58)*('Tariffs Jan2020'!X58/100)*'Tariffs Jan2020'!AJ58,('Tariffs Jan2020'!M58-'Tariffs Jan2020'!L58)*('Tariffs Jan2020'!X58/100)*'Tariffs Jan2020'!AJ58))</f>
        <v>0</v>
      </c>
      <c r="N64" s="59">
        <f>IF(($C$5*'Tariffs Jan2020'!AL58/'Tariffs Jan2020'!AJ58&gt;'Tariffs Jan2020'!M58),($C$5*'Tariffs Jan2020'!AL58/'Tariffs Jan2020'!AJ58-'Tariffs Jan2020'!M58)*'Tariffs Jan2020'!Y58/100*'Tariffs Jan2020'!AJ58,0)</f>
        <v>458.18181818181824</v>
      </c>
      <c r="O64" s="59">
        <f t="shared" si="0"/>
        <v>1382.1954545454546</v>
      </c>
      <c r="P64" s="503">
        <f t="shared" si="1"/>
        <v>1520.4150000000002</v>
      </c>
      <c r="Q64" s="59">
        <f t="shared" si="2"/>
        <v>1598.8063636363636</v>
      </c>
      <c r="R64" s="272">
        <f t="shared" si="3"/>
        <v>1758.6870000000001</v>
      </c>
      <c r="S64" s="40">
        <f>'Tariffs Jan2020'!AN58</f>
        <v>0</v>
      </c>
      <c r="T64" s="40">
        <f>'Tariffs Jan2020'!AO58</f>
        <v>0</v>
      </c>
      <c r="U64" s="40">
        <f>'Tariffs Jan2020'!AP58</f>
        <v>0</v>
      </c>
      <c r="V64" s="40">
        <f>'Tariffs Jan2020'!AQ58</f>
        <v>0</v>
      </c>
      <c r="W64" s="284">
        <f>Q64</f>
        <v>1598.8063636363636</v>
      </c>
      <c r="X64" s="284">
        <f>W64</f>
        <v>1598.8063636363636</v>
      </c>
      <c r="Y64" s="507">
        <f t="shared" si="23"/>
        <v>1758.6870000000001</v>
      </c>
      <c r="Z64" s="507">
        <f t="shared" si="24"/>
        <v>1758.6870000000001</v>
      </c>
      <c r="AA64" s="274">
        <f>'Tariffs Jan2020'!AZ58</f>
        <v>0</v>
      </c>
      <c r="AB64" s="274" t="str">
        <f>'Tariffs Jan2020'!BA58</f>
        <v>n</v>
      </c>
      <c r="AC64" s="275" t="str">
        <f>'Tariffs Jan2020'!BJ58</f>
        <v>N</v>
      </c>
      <c r="AD64" s="425"/>
      <c r="AE64" s="425"/>
      <c r="AF64" s="427"/>
      <c r="AG64" s="427"/>
      <c r="AH64" s="427"/>
      <c r="AI64" s="427"/>
      <c r="AJ64" s="427"/>
      <c r="AK64" s="427"/>
      <c r="AL64" s="427"/>
      <c r="AM64" s="427"/>
      <c r="AN64" s="427"/>
    </row>
    <row r="65" spans="1:40" ht="14" x14ac:dyDescent="0.15">
      <c r="A65" s="270" t="str">
        <f>'Tariffs Jan2020'!F59</f>
        <v>Covau</v>
      </c>
      <c r="B65" s="40" t="str">
        <f>'Tariffs Jan2020'!D59</f>
        <v>AGN Central 2</v>
      </c>
      <c r="C65" s="40" t="str">
        <f>'Tariffs Jan2020'!G59</f>
        <v>Smart Saver</v>
      </c>
      <c r="D65" s="59">
        <f>365*'Tariffs Jan2020'!H59/100</f>
        <v>273.75</v>
      </c>
      <c r="E65" s="59">
        <f>IF($C$5*'Tariffs Jan2020'!AK59/'Tariffs Jan2020'!AI59&gt;='Tariffs Jan2020'!J59,( 'Tariffs Jan2020'!J59*'Tariffs Jan2020'!O59/100)* 'Tariffs Jan2020'!AI59,($C$5*'Tariffs Jan2020'!AK59/'Tariffs Jan2020'!AI59*'Tariffs Jan2020'!O59/100)* 'Tariffs Jan2020'!AI59)</f>
        <v>156.57409090909093</v>
      </c>
      <c r="F65" s="59">
        <f>IF($C$5*'Tariffs Jan2020'!AK59/'Tariffs Jan2020'!AI59&lt;'Tariffs Jan2020'!J59,0,IF($C$5*'Tariffs Jan2020'!AK59/'Tariffs Jan2020'!AI59&lt;='Tariffs Jan2020'!K59,($C$5*'Tariffs Jan2020'!AK59/'Tariffs Jan2020'!AI59-'Tariffs Jan2020'!J59)*('Tariffs Jan2020'!P59/100)*'Tariffs Jan2020'!AI59,('Tariffs Jan2020'!K59-'Tariffs Jan2020'!J59)*('Tariffs Jan2020'!P59/100)*'Tariffs Jan2020'!AI59))</f>
        <v>101.625</v>
      </c>
      <c r="G65" s="59">
        <f>IF($C$5*'Tariffs Jan2020'!AK59/'Tariffs Jan2020'!AI59&lt;'Tariffs Jan2020'!K59,0,IF($C$5*'Tariffs Jan2020'!AK59/'Tariffs Jan2020'!AI59&lt;='Tariffs Jan2020'!L59,($C$5*'Tariffs Jan2020'!AK59/'Tariffs Jan2020'!AI59-'Tariffs Jan2020'!K59)*('Tariffs Jan2020'!Q59/100)*'Tariffs Jan2020'!AI59,('Tariffs Jan2020'!L59-'Tariffs Jan2020'!K59)*('Tariffs Jan2020'!Q59/100)*'Tariffs Jan2020'!AI59))</f>
        <v>0</v>
      </c>
      <c r="H65" s="59">
        <f>IF($C$5*'Tariffs Jan2020'!AK59/'Tariffs Jan2020'!AI59&lt;'Tariffs Jan2020'!L59,0,IF($C$5*'Tariffs Jan2020'!AK59/'Tariffs Jan2020'!AI59&lt;='Tariffs Jan2020'!M59,($C$5*'Tariffs Jan2020'!AK59/'Tariffs Jan2020'!AI59-'Tariffs Jan2020'!L59)*('Tariffs Jan2020'!R59/100)*'Tariffs Jan2020'!AI59,('Tariffs Jan2020'!M59-'Tariffs Jan2020'!L59)*('Tariffs Jan2020'!R59/100)*'Tariffs Jan2020'!AI59))</f>
        <v>0</v>
      </c>
      <c r="I65" s="59">
        <f>IF(($C$5*'Tariffs Jan2020'!AK59/'Tariffs Jan2020'!AI59&gt;'Tariffs Jan2020'!M59),($C$5*'Tariffs Jan2020'!AK59/'Tariffs Jan2020'!AI59-'Tariffs Jan2020'!M59)*'Tariffs Jan2020'!S59/100*'Tariffs Jan2020'!AI59,0)</f>
        <v>507.27272727272725</v>
      </c>
      <c r="J65" s="59">
        <f>IF($C$5*'Tariffs Jan2020'!AL59/'Tariffs Jan2020'!AJ59&gt;='Tariffs Jan2020'!J59,('Tariffs Jan2020'!J59*'Tariffs Jan2020'!U59/100)* 'Tariffs Jan2020'!AJ59,($C$5*'Tariffs Jan2020'!AL59/'Tariffs Jan2020'!AJ59*'Tariffs Jan2020'!U59/100)* 'Tariffs Jan2020'!AJ59)</f>
        <v>156.57409090909093</v>
      </c>
      <c r="K65" s="59">
        <f>IF($C$5*'Tariffs Jan2020'!AL59/'Tariffs Jan2020'!AJ59&lt;'Tariffs Jan2020'!J59,0,IF($C$5*'Tariffs Jan2020'!AL59/'Tariffs Jan2020'!AJ59&lt;='Tariffs Jan2020'!K59,($C$5*'Tariffs Jan2020'!AL59/'Tariffs Jan2020'!AJ59-'Tariffs Jan2020'!J59)*('Tariffs Jan2020'!V59/100)*'Tariffs Jan2020'!AJ59,('Tariffs Jan2020'!K59-'Tariffs Jan2020'!J59)*('Tariffs Jan2020'!V59/100)*'Tariffs Jan2020'!AJ59))</f>
        <v>101.625</v>
      </c>
      <c r="L65" s="59">
        <f>IF($C$5*'Tariffs Jan2020'!AL59/'Tariffs Jan2020'!AJ59&lt;'Tariffs Jan2020'!K59,0,IF($C$5*'Tariffs Jan2020'!AL59/'Tariffs Jan2020'!AJ59&lt;='Tariffs Jan2020'!L59,($C$5*'Tariffs Jan2020'!AL59/'Tariffs Jan2020'!AJ59-'Tariffs Jan2020'!K59)*('Tariffs Jan2020'!W59/100)*'Tariffs Jan2020'!AJ59,('Tariffs Jan2020'!L59-'Tariffs Jan2020'!K59)*('Tariffs Jan2020'!W59/100)*'Tariffs Jan2020'!AJ59))</f>
        <v>0</v>
      </c>
      <c r="M65" s="59">
        <f>IF($C$5*'Tariffs Jan2020'!AL59/'Tariffs Jan2020'!AJ59&lt;'Tariffs Jan2020'!L59,0,IF($C$5*'Tariffs Jan2020'!AL59/'Tariffs Jan2020'!AJ59&lt;='Tariffs Jan2020'!M59,($C$5*'Tariffs Jan2020'!AL59/'Tariffs Jan2020'!AJ59-'Tariffs Jan2020'!L59)*('Tariffs Jan2020'!X59/100)*'Tariffs Jan2020'!AJ59,('Tariffs Jan2020'!M59-'Tariffs Jan2020'!L59)*('Tariffs Jan2020'!X59/100)*'Tariffs Jan2020'!AJ59))</f>
        <v>0</v>
      </c>
      <c r="N65" s="59">
        <f>IF(($C$5*'Tariffs Jan2020'!AL59/'Tariffs Jan2020'!AJ59&gt;'Tariffs Jan2020'!M59),($C$5*'Tariffs Jan2020'!AL59/'Tariffs Jan2020'!AJ59-'Tariffs Jan2020'!M59)*'Tariffs Jan2020'!Y59/100*'Tariffs Jan2020'!AJ59,0)</f>
        <v>507.27272727272725</v>
      </c>
      <c r="O65" s="59">
        <f t="shared" si="0"/>
        <v>1530.9436363636364</v>
      </c>
      <c r="P65" s="503">
        <f t="shared" si="1"/>
        <v>1684.0380000000002</v>
      </c>
      <c r="Q65" s="59">
        <f t="shared" si="2"/>
        <v>1804.6936363636364</v>
      </c>
      <c r="R65" s="272">
        <f t="shared" si="3"/>
        <v>1985.1630000000002</v>
      </c>
      <c r="S65" s="40">
        <f>'Tariffs Jan2020'!AN59</f>
        <v>0</v>
      </c>
      <c r="T65" s="40">
        <f>'Tariffs Jan2020'!AO59</f>
        <v>16</v>
      </c>
      <c r="U65" s="40">
        <f>'Tariffs Jan2020'!AP59</f>
        <v>0</v>
      </c>
      <c r="V65" s="40">
        <f>'Tariffs Jan2020'!AQ59</f>
        <v>0</v>
      </c>
      <c r="W65" s="284">
        <f>Q65-(O65*T65/100)</f>
        <v>1559.7426545454546</v>
      </c>
      <c r="X65" s="284">
        <f>W65</f>
        <v>1559.7426545454546</v>
      </c>
      <c r="Y65" s="507">
        <f t="shared" si="23"/>
        <v>1715.7169200000001</v>
      </c>
      <c r="Z65" s="507">
        <f t="shared" si="24"/>
        <v>1715.7169200000001</v>
      </c>
      <c r="AA65" s="274">
        <f>'Tariffs Jan2020'!AZ59</f>
        <v>0</v>
      </c>
      <c r="AB65" s="274" t="str">
        <f>'Tariffs Jan2020'!BA59</f>
        <v>n</v>
      </c>
      <c r="AC65" s="275" t="str">
        <f>'Tariffs Jan2020'!BJ59</f>
        <v>N</v>
      </c>
      <c r="AD65" s="425"/>
      <c r="AE65" s="425"/>
      <c r="AF65" s="427"/>
      <c r="AG65" s="427"/>
      <c r="AH65" s="427"/>
      <c r="AI65" s="427"/>
      <c r="AJ65" s="427"/>
      <c r="AK65" s="427"/>
      <c r="AL65" s="427"/>
      <c r="AM65" s="427"/>
      <c r="AN65" s="427"/>
    </row>
    <row r="66" spans="1:40" ht="14" x14ac:dyDescent="0.15">
      <c r="A66" s="270" t="str">
        <f>'Tariffs Jan2020'!F60</f>
        <v>Dodo Power &amp; Gas</v>
      </c>
      <c r="B66" s="40" t="str">
        <f>'Tariffs Jan2020'!D60</f>
        <v>AGN Central 2</v>
      </c>
      <c r="C66" s="40" t="str">
        <f>'Tariffs Jan2020'!G60</f>
        <v>Market offer</v>
      </c>
      <c r="D66" s="59">
        <f>365*'Tariffs Jan2020'!H60/100</f>
        <v>220.65909090909088</v>
      </c>
      <c r="E66" s="59">
        <f>IF($C$5*'Tariffs Jan2020'!AK60/'Tariffs Jan2020'!AI60&gt;='Tariffs Jan2020'!J60,( 'Tariffs Jan2020'!J60*'Tariffs Jan2020'!O60/100)* 'Tariffs Jan2020'!AI60,($C$5*'Tariffs Jan2020'!AK60/'Tariffs Jan2020'!AI60*'Tariffs Jan2020'!O60/100)* 'Tariffs Jan2020'!AI60)</f>
        <v>135.93681818181815</v>
      </c>
      <c r="F66" s="59">
        <f>IF($C$5*'Tariffs Jan2020'!AK60/'Tariffs Jan2020'!AI60&lt;'Tariffs Jan2020'!J60,0,IF($C$5*'Tariffs Jan2020'!AK60/'Tariffs Jan2020'!AI60&lt;='Tariffs Jan2020'!K60,($C$5*'Tariffs Jan2020'!AK60/'Tariffs Jan2020'!AI60-'Tariffs Jan2020'!J60)*('Tariffs Jan2020'!P60/100)*'Tariffs Jan2020'!AI60,('Tariffs Jan2020'!K60-'Tariffs Jan2020'!J60)*('Tariffs Jan2020'!P60/100)*'Tariffs Jan2020'!AI60))</f>
        <v>89.429999999999993</v>
      </c>
      <c r="G66" s="59">
        <f>IF($C$5*'Tariffs Jan2020'!AK60/'Tariffs Jan2020'!AI60&lt;'Tariffs Jan2020'!K60,0,IF($C$5*'Tariffs Jan2020'!AK60/'Tariffs Jan2020'!AI60&lt;='Tariffs Jan2020'!L60,($C$5*'Tariffs Jan2020'!AK60/'Tariffs Jan2020'!AI60-'Tariffs Jan2020'!K60)*('Tariffs Jan2020'!Q60/100)*'Tariffs Jan2020'!AI60,('Tariffs Jan2020'!L60-'Tariffs Jan2020'!K60)*('Tariffs Jan2020'!Q60/100)*'Tariffs Jan2020'!AI60))</f>
        <v>0</v>
      </c>
      <c r="H66" s="59">
        <f>IF($C$5*'Tariffs Jan2020'!AK60/'Tariffs Jan2020'!AI60&lt;'Tariffs Jan2020'!L60,0,IF($C$5*'Tariffs Jan2020'!AK60/'Tariffs Jan2020'!AI60&lt;='Tariffs Jan2020'!M60,($C$5*'Tariffs Jan2020'!AK60/'Tariffs Jan2020'!AI60-'Tariffs Jan2020'!L60)*('Tariffs Jan2020'!R60/100)*'Tariffs Jan2020'!AI60,('Tariffs Jan2020'!M60-'Tariffs Jan2020'!L60)*('Tariffs Jan2020'!R60/100)*'Tariffs Jan2020'!AI60))</f>
        <v>0</v>
      </c>
      <c r="I66" s="59">
        <f>IF(($C$5*'Tariffs Jan2020'!AK60/'Tariffs Jan2020'!AI60&gt;'Tariffs Jan2020'!M60),($C$5*'Tariffs Jan2020'!AK60/'Tariffs Jan2020'!AI60-'Tariffs Jan2020'!M60)*'Tariffs Jan2020'!S60/100*'Tariffs Jan2020'!AI60,0)</f>
        <v>462.2727272727272</v>
      </c>
      <c r="J66" s="59">
        <f>IF($C$5*'Tariffs Jan2020'!AL60/'Tariffs Jan2020'!AJ60&gt;='Tariffs Jan2020'!J60,('Tariffs Jan2020'!J60*'Tariffs Jan2020'!U60/100)* 'Tariffs Jan2020'!AJ60,($C$5*'Tariffs Jan2020'!AL60/'Tariffs Jan2020'!AJ60*'Tariffs Jan2020'!U60/100)* 'Tariffs Jan2020'!AJ60)</f>
        <v>135.93681818181815</v>
      </c>
      <c r="K66" s="59">
        <f>IF($C$5*'Tariffs Jan2020'!AL60/'Tariffs Jan2020'!AJ60&lt;'Tariffs Jan2020'!J60,0,IF($C$5*'Tariffs Jan2020'!AL60/'Tariffs Jan2020'!AJ60&lt;='Tariffs Jan2020'!K60,($C$5*'Tariffs Jan2020'!AL60/'Tariffs Jan2020'!AJ60-'Tariffs Jan2020'!J60)*('Tariffs Jan2020'!V60/100)*'Tariffs Jan2020'!AJ60,('Tariffs Jan2020'!K60-'Tariffs Jan2020'!J60)*('Tariffs Jan2020'!V60/100)*'Tariffs Jan2020'!AJ60))</f>
        <v>89.429999999999993</v>
      </c>
      <c r="L66" s="59">
        <f>IF($C$5*'Tariffs Jan2020'!AL60/'Tariffs Jan2020'!AJ60&lt;'Tariffs Jan2020'!K60,0,IF($C$5*'Tariffs Jan2020'!AL60/'Tariffs Jan2020'!AJ60&lt;='Tariffs Jan2020'!L60,($C$5*'Tariffs Jan2020'!AL60/'Tariffs Jan2020'!AJ60-'Tariffs Jan2020'!K60)*('Tariffs Jan2020'!W60/100)*'Tariffs Jan2020'!AJ60,('Tariffs Jan2020'!L60-'Tariffs Jan2020'!K60)*('Tariffs Jan2020'!W60/100)*'Tariffs Jan2020'!AJ60))</f>
        <v>0</v>
      </c>
      <c r="M66" s="59">
        <f>IF($C$5*'Tariffs Jan2020'!AL60/'Tariffs Jan2020'!AJ60&lt;'Tariffs Jan2020'!L60,0,IF($C$5*'Tariffs Jan2020'!AL60/'Tariffs Jan2020'!AJ60&lt;='Tariffs Jan2020'!M60,($C$5*'Tariffs Jan2020'!AL60/'Tariffs Jan2020'!AJ60-'Tariffs Jan2020'!L60)*('Tariffs Jan2020'!X60/100)*'Tariffs Jan2020'!AJ60,('Tariffs Jan2020'!M60-'Tariffs Jan2020'!L60)*('Tariffs Jan2020'!X60/100)*'Tariffs Jan2020'!AJ60))</f>
        <v>0</v>
      </c>
      <c r="N66" s="59">
        <f>IF(($C$5*'Tariffs Jan2020'!AL60/'Tariffs Jan2020'!AJ60&gt;'Tariffs Jan2020'!M60),($C$5*'Tariffs Jan2020'!AL60/'Tariffs Jan2020'!AJ60-'Tariffs Jan2020'!M60)*'Tariffs Jan2020'!Y60/100*'Tariffs Jan2020'!AJ60,0)</f>
        <v>462.2727272727272</v>
      </c>
      <c r="O66" s="59">
        <f t="shared" si="0"/>
        <v>1375.2790909090907</v>
      </c>
      <c r="P66" s="503">
        <f t="shared" si="1"/>
        <v>1512.8069999999998</v>
      </c>
      <c r="Q66" s="59">
        <f t="shared" si="2"/>
        <v>1595.9381818181814</v>
      </c>
      <c r="R66" s="272">
        <f t="shared" si="3"/>
        <v>1755.5319999999997</v>
      </c>
      <c r="S66" s="40">
        <f>'Tariffs Jan2020'!AN60</f>
        <v>0</v>
      </c>
      <c r="T66" s="40">
        <f>'Tariffs Jan2020'!AO60</f>
        <v>0</v>
      </c>
      <c r="U66" s="40">
        <f>'Tariffs Jan2020'!AP60</f>
        <v>0</v>
      </c>
      <c r="V66" s="40">
        <f>'Tariffs Jan2020'!AQ60</f>
        <v>20</v>
      </c>
      <c r="W66" s="284">
        <f>Q66</f>
        <v>1595.9381818181814</v>
      </c>
      <c r="X66" s="284">
        <f>W66-(O66*V66/100)</f>
        <v>1320.8823636363632</v>
      </c>
      <c r="Y66" s="507">
        <f t="shared" si="23"/>
        <v>1755.5319999999997</v>
      </c>
      <c r="Z66" s="507">
        <f t="shared" si="24"/>
        <v>1452.9705999999996</v>
      </c>
      <c r="AA66" s="274">
        <f>'Tariffs Jan2020'!AZ60</f>
        <v>0</v>
      </c>
      <c r="AB66" s="274" t="str">
        <f>'Tariffs Jan2020'!BA60</f>
        <v>n</v>
      </c>
      <c r="AC66" s="275" t="str">
        <f>'Tariffs Jan2020'!BJ60</f>
        <v>N</v>
      </c>
      <c r="AD66" s="425"/>
      <c r="AE66" s="425"/>
      <c r="AF66" s="427"/>
      <c r="AG66" s="427"/>
      <c r="AH66" s="427"/>
      <c r="AI66" s="427"/>
      <c r="AJ66" s="427"/>
      <c r="AK66" s="427"/>
      <c r="AL66" s="427"/>
      <c r="AM66" s="427"/>
      <c r="AN66" s="427"/>
    </row>
    <row r="67" spans="1:40" ht="14" x14ac:dyDescent="0.15">
      <c r="A67" s="270" t="str">
        <f>'Tariffs Jan2020'!F61</f>
        <v>EnergyAustralia</v>
      </c>
      <c r="B67" s="40" t="str">
        <f>'Tariffs Jan2020'!D61</f>
        <v>AGN Central 2</v>
      </c>
      <c r="C67" s="40" t="str">
        <f>'Tariffs Jan2020'!G61</f>
        <v>Total Plan</v>
      </c>
      <c r="D67" s="59">
        <f>365*'Tariffs Jan2020'!H61/100</f>
        <v>301.125</v>
      </c>
      <c r="E67" s="59">
        <f>IF($C$5*'Tariffs Jan2020'!AK61/'Tariffs Jan2020'!AI61&gt;='Tariffs Jan2020'!J61,( 'Tariffs Jan2020'!J61*'Tariffs Jan2020'!O61/100)* 'Tariffs Jan2020'!AI61,($C$5*'Tariffs Jan2020'!AK61/'Tariffs Jan2020'!AI61*'Tariffs Jan2020'!O61/100)* 'Tariffs Jan2020'!AI61)</f>
        <v>272.45454545454538</v>
      </c>
      <c r="F67" s="59">
        <f>IF($C$5*'Tariffs Jan2020'!AK61/'Tariffs Jan2020'!AI61&lt;'Tariffs Jan2020'!J61,0,IF($C$5*'Tariffs Jan2020'!AK61/'Tariffs Jan2020'!AI61&lt;='Tariffs Jan2020'!K61,($C$5*'Tariffs Jan2020'!AK61/'Tariffs Jan2020'!AI61-'Tariffs Jan2020'!J61)*('Tariffs Jan2020'!P61/100)*'Tariffs Jan2020'!AI61,('Tariffs Jan2020'!K61-'Tariffs Jan2020'!J61)*('Tariffs Jan2020'!P61/100)*'Tariffs Jan2020'!AI61))</f>
        <v>0</v>
      </c>
      <c r="G67" s="59">
        <f>IF($C$5*'Tariffs Jan2020'!AK61/'Tariffs Jan2020'!AI61&lt;'Tariffs Jan2020'!K61,0,IF($C$5*'Tariffs Jan2020'!AK61/'Tariffs Jan2020'!AI61&lt;='Tariffs Jan2020'!L61,($C$5*'Tariffs Jan2020'!AK61/'Tariffs Jan2020'!AI61-'Tariffs Jan2020'!K61)*('Tariffs Jan2020'!Q61/100)*'Tariffs Jan2020'!AI61,('Tariffs Jan2020'!L61-'Tariffs Jan2020'!K61)*('Tariffs Jan2020'!Q61/100)*'Tariffs Jan2020'!AI61))</f>
        <v>0</v>
      </c>
      <c r="H67" s="59">
        <f>IF($C$5*'Tariffs Jan2020'!AK61/'Tariffs Jan2020'!AI61&lt;'Tariffs Jan2020'!L61,0,IF($C$5*'Tariffs Jan2020'!AK61/'Tariffs Jan2020'!AI61&lt;='Tariffs Jan2020'!M61,($C$5*'Tariffs Jan2020'!AK61/'Tariffs Jan2020'!AI61-'Tariffs Jan2020'!L61)*('Tariffs Jan2020'!R61/100)*'Tariffs Jan2020'!AI61,('Tariffs Jan2020'!M61-'Tariffs Jan2020'!L61)*('Tariffs Jan2020'!R61/100)*'Tariffs Jan2020'!AI61))</f>
        <v>0</v>
      </c>
      <c r="I67" s="59">
        <f>IF(($C$5*'Tariffs Jan2020'!AK61/'Tariffs Jan2020'!AI61&gt;'Tariffs Jan2020'!M61),($C$5*'Tariffs Jan2020'!AK61/'Tariffs Jan2020'!AI61-'Tariffs Jan2020'!M61)*'Tariffs Jan2020'!S61/100*'Tariffs Jan2020'!AI61,0)</f>
        <v>456.13636363636363</v>
      </c>
      <c r="J67" s="59">
        <f>IF($C$5*'Tariffs Jan2020'!AL61/'Tariffs Jan2020'!AJ61&gt;='Tariffs Jan2020'!J61,('Tariffs Jan2020'!J61*'Tariffs Jan2020'!U61/100)* 'Tariffs Jan2020'!AJ61,($C$5*'Tariffs Jan2020'!AL61/'Tariffs Jan2020'!AJ61*'Tariffs Jan2020'!U61/100)* 'Tariffs Jan2020'!AJ61)</f>
        <v>272.45454545454538</v>
      </c>
      <c r="K67" s="59">
        <f>IF($C$5*'Tariffs Jan2020'!AL61/'Tariffs Jan2020'!AJ61&lt;'Tariffs Jan2020'!J61,0,IF($C$5*'Tariffs Jan2020'!AL61/'Tariffs Jan2020'!AJ61&lt;='Tariffs Jan2020'!K61,($C$5*'Tariffs Jan2020'!AL61/'Tariffs Jan2020'!AJ61-'Tariffs Jan2020'!J61)*('Tariffs Jan2020'!V61/100)*'Tariffs Jan2020'!AJ61,('Tariffs Jan2020'!K61-'Tariffs Jan2020'!J61)*('Tariffs Jan2020'!V61/100)*'Tariffs Jan2020'!AJ61))</f>
        <v>0</v>
      </c>
      <c r="L67" s="59">
        <f>IF($C$5*'Tariffs Jan2020'!AL61/'Tariffs Jan2020'!AJ61&lt;'Tariffs Jan2020'!K61,0,IF($C$5*'Tariffs Jan2020'!AL61/'Tariffs Jan2020'!AJ61&lt;='Tariffs Jan2020'!L61,($C$5*'Tariffs Jan2020'!AL61/'Tariffs Jan2020'!AJ61-'Tariffs Jan2020'!K61)*('Tariffs Jan2020'!W61/100)*'Tariffs Jan2020'!AJ61,('Tariffs Jan2020'!L61-'Tariffs Jan2020'!K61)*('Tariffs Jan2020'!W61/100)*'Tariffs Jan2020'!AJ61))</f>
        <v>0</v>
      </c>
      <c r="M67" s="59">
        <f>IF($C$5*'Tariffs Jan2020'!AL61/'Tariffs Jan2020'!AJ61&lt;'Tariffs Jan2020'!L61,0,IF($C$5*'Tariffs Jan2020'!AL61/'Tariffs Jan2020'!AJ61&lt;='Tariffs Jan2020'!M61,($C$5*'Tariffs Jan2020'!AL61/'Tariffs Jan2020'!AJ61-'Tariffs Jan2020'!L61)*('Tariffs Jan2020'!X61/100)*'Tariffs Jan2020'!AJ61,('Tariffs Jan2020'!M61-'Tariffs Jan2020'!L61)*('Tariffs Jan2020'!X61/100)*'Tariffs Jan2020'!AJ61))</f>
        <v>0</v>
      </c>
      <c r="N67" s="59">
        <f>IF(($C$5*'Tariffs Jan2020'!AL61/'Tariffs Jan2020'!AJ61&gt;'Tariffs Jan2020'!M61),($C$5*'Tariffs Jan2020'!AL61/'Tariffs Jan2020'!AJ61-'Tariffs Jan2020'!M61)*'Tariffs Jan2020'!Y61/100*'Tariffs Jan2020'!AJ61,0)</f>
        <v>456.13636363636363</v>
      </c>
      <c r="O67" s="59">
        <f t="shared" si="0"/>
        <v>1457.181818181818</v>
      </c>
      <c r="P67" s="503">
        <f t="shared" si="1"/>
        <v>1602.8999999999999</v>
      </c>
      <c r="Q67" s="59">
        <f t="shared" si="2"/>
        <v>1758.306818181818</v>
      </c>
      <c r="R67" s="272">
        <f t="shared" si="3"/>
        <v>1934.1375</v>
      </c>
      <c r="S67" s="40">
        <f>'Tariffs Jan2020'!AN61</f>
        <v>23</v>
      </c>
      <c r="T67" s="40">
        <f>'Tariffs Jan2020'!AO61</f>
        <v>0</v>
      </c>
      <c r="U67" s="40">
        <f>'Tariffs Jan2020'!AP61</f>
        <v>0</v>
      </c>
      <c r="V67" s="40">
        <f>'Tariffs Jan2020'!AQ61</f>
        <v>0</v>
      </c>
      <c r="W67" s="284">
        <f>Q67-(Q67*S67/100)</f>
        <v>1353.8962499999998</v>
      </c>
      <c r="X67" s="284">
        <f>W67</f>
        <v>1353.8962499999998</v>
      </c>
      <c r="Y67" s="507">
        <f t="shared" si="23"/>
        <v>1489.2858749999998</v>
      </c>
      <c r="Z67" s="507">
        <f t="shared" si="24"/>
        <v>1489.2858749999998</v>
      </c>
      <c r="AA67" s="274">
        <f>'Tariffs Jan2020'!AZ61</f>
        <v>12</v>
      </c>
      <c r="AB67" s="274" t="str">
        <f>'Tariffs Jan2020'!BA61</f>
        <v>n</v>
      </c>
      <c r="AC67" s="275" t="str">
        <f>'Tariffs Jan2020'!BJ61</f>
        <v>N</v>
      </c>
      <c r="AD67" s="425"/>
      <c r="AE67" s="425"/>
      <c r="AF67" s="427"/>
      <c r="AG67" s="427"/>
      <c r="AH67" s="427"/>
      <c r="AI67" s="427"/>
      <c r="AJ67" s="427"/>
      <c r="AK67" s="427"/>
      <c r="AL67" s="427"/>
      <c r="AM67" s="427"/>
      <c r="AN67" s="427"/>
    </row>
    <row r="68" spans="1:40" ht="14" x14ac:dyDescent="0.15">
      <c r="A68" s="270" t="str">
        <f>'Tariffs Jan2020'!F62</f>
        <v>Lumo Energy</v>
      </c>
      <c r="B68" s="40" t="str">
        <f>'Tariffs Jan2020'!D62</f>
        <v>AGN Central 2</v>
      </c>
      <c r="C68" s="40" t="str">
        <f>'Tariffs Jan2020'!G62</f>
        <v>Value</v>
      </c>
      <c r="D68" s="59">
        <f>365*'Tariffs Jan2020'!H62/100</f>
        <v>237.25</v>
      </c>
      <c r="E68" s="59">
        <f>IF($C$5*'Tariffs Jan2020'!AK62/'Tariffs Jan2020'!AI62&gt;='Tariffs Jan2020'!J62,( 'Tariffs Jan2020'!J62*'Tariffs Jan2020'!O62/100)* 'Tariffs Jan2020'!AI62,($C$5*'Tariffs Jan2020'!AK62/'Tariffs Jan2020'!AI62*'Tariffs Jan2020'!O62/100)* 'Tariffs Jan2020'!AI62)</f>
        <v>123.375</v>
      </c>
      <c r="F68" s="59">
        <f>IF($C$5*'Tariffs Jan2020'!AK62/'Tariffs Jan2020'!AI62&lt;'Tariffs Jan2020'!J62,0,IF($C$5*'Tariffs Jan2020'!AK62/'Tariffs Jan2020'!AI62&lt;='Tariffs Jan2020'!K62,($C$5*'Tariffs Jan2020'!AK62/'Tariffs Jan2020'!AI62-'Tariffs Jan2020'!J62)*('Tariffs Jan2020'!P62/100)*'Tariffs Jan2020'!AI62,('Tariffs Jan2020'!K62-'Tariffs Jan2020'!J62)*('Tariffs Jan2020'!P62/100)*'Tariffs Jan2020'!AI62))</f>
        <v>85.365000000000009</v>
      </c>
      <c r="G68" s="59">
        <f>IF($C$5*'Tariffs Jan2020'!AK62/'Tariffs Jan2020'!AI62&lt;'Tariffs Jan2020'!K62,0,IF($C$5*'Tariffs Jan2020'!AK62/'Tariffs Jan2020'!AI62&lt;='Tariffs Jan2020'!L62,($C$5*'Tariffs Jan2020'!AK62/'Tariffs Jan2020'!AI62-'Tariffs Jan2020'!K62)*('Tariffs Jan2020'!Q62/100)*'Tariffs Jan2020'!AI62,('Tariffs Jan2020'!L62-'Tariffs Jan2020'!K62)*('Tariffs Jan2020'!Q62/100)*'Tariffs Jan2020'!AI62))</f>
        <v>0</v>
      </c>
      <c r="H68" s="59">
        <f>IF($C$5*'Tariffs Jan2020'!AK62/'Tariffs Jan2020'!AI62&lt;'Tariffs Jan2020'!L62,0,IF($C$5*'Tariffs Jan2020'!AK62/'Tariffs Jan2020'!AI62&lt;='Tariffs Jan2020'!M62,($C$5*'Tariffs Jan2020'!AK62/'Tariffs Jan2020'!AI62-'Tariffs Jan2020'!L62)*('Tariffs Jan2020'!R62/100)*'Tariffs Jan2020'!AI62,('Tariffs Jan2020'!M62-'Tariffs Jan2020'!L62)*('Tariffs Jan2020'!R62/100)*'Tariffs Jan2020'!AI62))</f>
        <v>0</v>
      </c>
      <c r="I68" s="59">
        <f>IF(($C$5*'Tariffs Jan2020'!AK62/'Tariffs Jan2020'!AI62&gt;'Tariffs Jan2020'!M62),($C$5*'Tariffs Jan2020'!AK62/'Tariffs Jan2020'!AI62-'Tariffs Jan2020'!M62)*'Tariffs Jan2020'!S62/100*'Tariffs Jan2020'!AI62,0)</f>
        <v>405</v>
      </c>
      <c r="J68" s="59">
        <f>IF($C$5*'Tariffs Jan2020'!AL62/'Tariffs Jan2020'!AJ62&gt;='Tariffs Jan2020'!J62,('Tariffs Jan2020'!J62*'Tariffs Jan2020'!U62/100)* 'Tariffs Jan2020'!AJ62,($C$5*'Tariffs Jan2020'!AL62/'Tariffs Jan2020'!AJ62*'Tariffs Jan2020'!U62/100)* 'Tariffs Jan2020'!AJ62)</f>
        <v>123.375</v>
      </c>
      <c r="K68" s="59">
        <f>IF($C$5*'Tariffs Jan2020'!AL62/'Tariffs Jan2020'!AJ62&lt;'Tariffs Jan2020'!J62,0,IF($C$5*'Tariffs Jan2020'!AL62/'Tariffs Jan2020'!AJ62&lt;='Tariffs Jan2020'!K62,($C$5*'Tariffs Jan2020'!AL62/'Tariffs Jan2020'!AJ62-'Tariffs Jan2020'!J62)*('Tariffs Jan2020'!V62/100)*'Tariffs Jan2020'!AJ62,('Tariffs Jan2020'!K62-'Tariffs Jan2020'!J62)*('Tariffs Jan2020'!V62/100)*'Tariffs Jan2020'!AJ62))</f>
        <v>85.365000000000009</v>
      </c>
      <c r="L68" s="59">
        <f>IF($C$5*'Tariffs Jan2020'!AL62/'Tariffs Jan2020'!AJ62&lt;'Tariffs Jan2020'!K62,0,IF($C$5*'Tariffs Jan2020'!AL62/'Tariffs Jan2020'!AJ62&lt;='Tariffs Jan2020'!L62,($C$5*'Tariffs Jan2020'!AL62/'Tariffs Jan2020'!AJ62-'Tariffs Jan2020'!K62)*('Tariffs Jan2020'!W62/100)*'Tariffs Jan2020'!AJ62,('Tariffs Jan2020'!L62-'Tariffs Jan2020'!K62)*('Tariffs Jan2020'!W62/100)*'Tariffs Jan2020'!AJ62))</f>
        <v>0</v>
      </c>
      <c r="M68" s="59">
        <f>IF($C$5*'Tariffs Jan2020'!AL62/'Tariffs Jan2020'!AJ62&lt;'Tariffs Jan2020'!L62,0,IF($C$5*'Tariffs Jan2020'!AL62/'Tariffs Jan2020'!AJ62&lt;='Tariffs Jan2020'!M62,($C$5*'Tariffs Jan2020'!AL62/'Tariffs Jan2020'!AJ62-'Tariffs Jan2020'!L62)*('Tariffs Jan2020'!X62/100)*'Tariffs Jan2020'!AJ62,('Tariffs Jan2020'!M62-'Tariffs Jan2020'!L62)*('Tariffs Jan2020'!X62/100)*'Tariffs Jan2020'!AJ62))</f>
        <v>0</v>
      </c>
      <c r="N68" s="59">
        <f>IF(($C$5*'Tariffs Jan2020'!AL62/'Tariffs Jan2020'!AJ62&gt;'Tariffs Jan2020'!M62),($C$5*'Tariffs Jan2020'!AL62/'Tariffs Jan2020'!AJ62-'Tariffs Jan2020'!M62)*'Tariffs Jan2020'!Y62/100*'Tariffs Jan2020'!AJ62,0)</f>
        <v>405</v>
      </c>
      <c r="O68" s="59">
        <f t="shared" si="0"/>
        <v>1227.48</v>
      </c>
      <c r="P68" s="503">
        <f t="shared" si="1"/>
        <v>1350.2280000000001</v>
      </c>
      <c r="Q68" s="59">
        <f t="shared" si="2"/>
        <v>1464.73</v>
      </c>
      <c r="R68" s="272">
        <f t="shared" si="3"/>
        <v>1611.2030000000002</v>
      </c>
      <c r="S68" s="40">
        <f>'Tariffs Jan2020'!AN62</f>
        <v>0</v>
      </c>
      <c r="T68" s="40">
        <f>'Tariffs Jan2020'!AO62</f>
        <v>0</v>
      </c>
      <c r="U68" s="40">
        <f>'Tariffs Jan2020'!AP62</f>
        <v>3</v>
      </c>
      <c r="V68" s="40">
        <f>'Tariffs Jan2020'!AQ62</f>
        <v>0</v>
      </c>
      <c r="W68" s="284">
        <f t="shared" ref="W68:W69" si="26">Q68</f>
        <v>1464.73</v>
      </c>
      <c r="X68" s="284">
        <f>W68-(Q68*U68/100)</f>
        <v>1420.7881</v>
      </c>
      <c r="Y68" s="507">
        <f t="shared" si="23"/>
        <v>1611.2030000000002</v>
      </c>
      <c r="Z68" s="507">
        <f t="shared" si="24"/>
        <v>1562.8669100000002</v>
      </c>
      <c r="AA68" s="274">
        <f>'Tariffs Jan2020'!AZ62</f>
        <v>0</v>
      </c>
      <c r="AB68" s="274" t="str">
        <f>'Tariffs Jan2020'!BA62</f>
        <v>n</v>
      </c>
      <c r="AC68" s="275" t="str">
        <f>'Tariffs Jan2020'!BJ62</f>
        <v>N</v>
      </c>
      <c r="AD68" s="425"/>
      <c r="AE68" s="425"/>
      <c r="AF68" s="427"/>
      <c r="AG68" s="427"/>
      <c r="AH68" s="427"/>
      <c r="AI68" s="427"/>
      <c r="AJ68" s="427"/>
      <c r="AK68" s="427"/>
      <c r="AL68" s="427"/>
      <c r="AM68" s="427"/>
      <c r="AN68" s="427"/>
    </row>
    <row r="69" spans="1:40" ht="14" x14ac:dyDescent="0.15">
      <c r="A69" s="270" t="str">
        <f>'Tariffs Jan2020'!F63</f>
        <v>Momentum Energy</v>
      </c>
      <c r="B69" s="40" t="str">
        <f>'Tariffs Jan2020'!D63</f>
        <v>AGN Central 2</v>
      </c>
      <c r="C69" s="40" t="str">
        <f>'Tariffs Jan2020'!G63</f>
        <v>Market offer</v>
      </c>
      <c r="D69" s="59">
        <f>365*'Tariffs Jan2020'!H63/100</f>
        <v>289.04681818181814</v>
      </c>
      <c r="E69" s="59">
        <f>IF($C$5*'Tariffs Jan2020'!AK63/'Tariffs Jan2020'!AI63&gt;='Tariffs Jan2020'!J63,( 'Tariffs Jan2020'!J63*'Tariffs Jan2020'!O63/100)* 'Tariffs Jan2020'!AI63,($C$5*'Tariffs Jan2020'!AK63/'Tariffs Jan2020'!AI63*'Tariffs Jan2020'!O63/100)* 'Tariffs Jan2020'!AI63)</f>
        <v>83.147272727272721</v>
      </c>
      <c r="F69" s="59">
        <f>IF($C$5*'Tariffs Jan2020'!AK63/'Tariffs Jan2020'!AI63&lt;'Tariffs Jan2020'!J63,0,IF($C$5*'Tariffs Jan2020'!AK63/'Tariffs Jan2020'!AI63&lt;='Tariffs Jan2020'!K63,($C$5*'Tariffs Jan2020'!AK63/'Tariffs Jan2020'!AI63-'Tariffs Jan2020'!J63)*('Tariffs Jan2020'!P63/100)*'Tariffs Jan2020'!AI63,('Tariffs Jan2020'!K63-'Tariffs Jan2020'!J63)*('Tariffs Jan2020'!P63/100)*'Tariffs Jan2020'!AI63))</f>
        <v>58.141818181818174</v>
      </c>
      <c r="G69" s="59">
        <f>IF($C$5*'Tariffs Jan2020'!AK63/'Tariffs Jan2020'!AI63&lt;'Tariffs Jan2020'!K63,0,IF($C$5*'Tariffs Jan2020'!AK63/'Tariffs Jan2020'!AI63&lt;='Tariffs Jan2020'!L63,($C$5*'Tariffs Jan2020'!AK63/'Tariffs Jan2020'!AI63-'Tariffs Jan2020'!K63)*('Tariffs Jan2020'!Q63/100)*'Tariffs Jan2020'!AI63,('Tariffs Jan2020'!L63-'Tariffs Jan2020'!K63)*('Tariffs Jan2020'!Q63/100)*'Tariffs Jan2020'!AI63))</f>
        <v>0</v>
      </c>
      <c r="H69" s="59">
        <f>IF($C$5*'Tariffs Jan2020'!AK63/'Tariffs Jan2020'!AI63&lt;'Tariffs Jan2020'!L63,0,IF($C$5*'Tariffs Jan2020'!AK63/'Tariffs Jan2020'!AI63&lt;='Tariffs Jan2020'!M63,($C$5*'Tariffs Jan2020'!AK63/'Tariffs Jan2020'!AI63-'Tariffs Jan2020'!L63)*('Tariffs Jan2020'!R63/100)*'Tariffs Jan2020'!AI63,('Tariffs Jan2020'!M63-'Tariffs Jan2020'!L63)*('Tariffs Jan2020'!R63/100)*'Tariffs Jan2020'!AI63))</f>
        <v>0</v>
      </c>
      <c r="I69" s="59">
        <f>IF(($C$5*'Tariffs Jan2020'!AK63/'Tariffs Jan2020'!AI63&gt;'Tariffs Jan2020'!M63),($C$5*'Tariffs Jan2020'!AK63/'Tariffs Jan2020'!AI63-'Tariffs Jan2020'!M63)*'Tariffs Jan2020'!S63/100*'Tariffs Jan2020'!AI63,0)</f>
        <v>279.50631818181807</v>
      </c>
      <c r="J69" s="59">
        <f>IF($C$5*'Tariffs Jan2020'!AL63/'Tariffs Jan2020'!AJ63&gt;='Tariffs Jan2020'!J63,('Tariffs Jan2020'!J63*'Tariffs Jan2020'!U63/100)* 'Tariffs Jan2020'!AJ63,($C$5*'Tariffs Jan2020'!AL63/'Tariffs Jan2020'!AJ63*'Tariffs Jan2020'!U63/100)* 'Tariffs Jan2020'!AJ63)</f>
        <v>150.74181818181816</v>
      </c>
      <c r="K69" s="59">
        <f>IF($C$5*'Tariffs Jan2020'!AL63/'Tariffs Jan2020'!AJ63&lt;'Tariffs Jan2020'!J63,0,IF($C$5*'Tariffs Jan2020'!AL63/'Tariffs Jan2020'!AJ63&lt;='Tariffs Jan2020'!K63,($C$5*'Tariffs Jan2020'!AL63/'Tariffs Jan2020'!AJ63-'Tariffs Jan2020'!J63)*('Tariffs Jan2020'!V63/100)*'Tariffs Jan2020'!AJ63,('Tariffs Jan2020'!K63-'Tariffs Jan2020'!J63)*('Tariffs Jan2020'!V63/100)*'Tariffs Jan2020'!AJ63))</f>
        <v>104.95090909090908</v>
      </c>
      <c r="L69" s="59">
        <f>IF($C$5*'Tariffs Jan2020'!AL63/'Tariffs Jan2020'!AJ63&lt;'Tariffs Jan2020'!K63,0,IF($C$5*'Tariffs Jan2020'!AL63/'Tariffs Jan2020'!AJ63&lt;='Tariffs Jan2020'!L63,($C$5*'Tariffs Jan2020'!AL63/'Tariffs Jan2020'!AJ63-'Tariffs Jan2020'!K63)*('Tariffs Jan2020'!W63/100)*'Tariffs Jan2020'!AJ63,('Tariffs Jan2020'!L63-'Tariffs Jan2020'!K63)*('Tariffs Jan2020'!W63/100)*'Tariffs Jan2020'!AJ63))</f>
        <v>0</v>
      </c>
      <c r="M69" s="59">
        <f>IF($C$5*'Tariffs Jan2020'!AL63/'Tariffs Jan2020'!AJ63&lt;'Tariffs Jan2020'!L63,0,IF($C$5*'Tariffs Jan2020'!AL63/'Tariffs Jan2020'!AJ63&lt;='Tariffs Jan2020'!M63,($C$5*'Tariffs Jan2020'!AL63/'Tariffs Jan2020'!AJ63-'Tariffs Jan2020'!L63)*('Tariffs Jan2020'!X63/100)*'Tariffs Jan2020'!AJ63,('Tariffs Jan2020'!M63-'Tariffs Jan2020'!L63)*('Tariffs Jan2020'!X63/100)*'Tariffs Jan2020'!AJ63))</f>
        <v>0</v>
      </c>
      <c r="N69" s="59">
        <f>IF(($C$5*'Tariffs Jan2020'!AL63/'Tariffs Jan2020'!AJ63&gt;'Tariffs Jan2020'!M63),($C$5*'Tariffs Jan2020'!AL63/'Tariffs Jan2020'!AJ63-'Tariffs Jan2020'!M63)*'Tariffs Jan2020'!Y63/100*'Tariffs Jan2020'!AJ63,0)</f>
        <v>504.47481818181802</v>
      </c>
      <c r="O69" s="59">
        <f t="shared" si="0"/>
        <v>1180.9629545454541</v>
      </c>
      <c r="P69" s="503">
        <f t="shared" si="1"/>
        <v>1299.0592499999996</v>
      </c>
      <c r="Q69" s="59">
        <f t="shared" si="2"/>
        <v>1470.0097727272723</v>
      </c>
      <c r="R69" s="272">
        <f t="shared" si="3"/>
        <v>1617.0107499999997</v>
      </c>
      <c r="S69" s="40">
        <f>'Tariffs Jan2020'!AN63</f>
        <v>0</v>
      </c>
      <c r="T69" s="40">
        <f>'Tariffs Jan2020'!AO63</f>
        <v>0</v>
      </c>
      <c r="U69" s="40">
        <f>'Tariffs Jan2020'!AP63</f>
        <v>0</v>
      </c>
      <c r="V69" s="40">
        <f>'Tariffs Jan2020'!AQ63</f>
        <v>0</v>
      </c>
      <c r="W69" s="284">
        <f t="shared" si="26"/>
        <v>1470.0097727272723</v>
      </c>
      <c r="X69" s="284">
        <f>W69</f>
        <v>1470.0097727272723</v>
      </c>
      <c r="Y69" s="507">
        <f t="shared" si="23"/>
        <v>1617.0107499999997</v>
      </c>
      <c r="Z69" s="507">
        <f t="shared" si="24"/>
        <v>1617.0107499999997</v>
      </c>
      <c r="AA69" s="274">
        <f>'Tariffs Jan2020'!AZ63</f>
        <v>0</v>
      </c>
      <c r="AB69" s="274" t="str">
        <f>'Tariffs Jan2020'!BA63</f>
        <v>n</v>
      </c>
      <c r="AC69" s="275" t="str">
        <f>'Tariffs Jan2020'!BJ63</f>
        <v>Y</v>
      </c>
      <c r="AD69" s="425"/>
      <c r="AE69" s="425"/>
      <c r="AF69" s="427"/>
      <c r="AG69" s="427"/>
      <c r="AH69" s="427"/>
      <c r="AI69" s="427"/>
      <c r="AJ69" s="427"/>
      <c r="AK69" s="427"/>
      <c r="AL69" s="427"/>
      <c r="AM69" s="427"/>
      <c r="AN69" s="427"/>
    </row>
    <row r="70" spans="1:40" ht="14" x14ac:dyDescent="0.15">
      <c r="A70" s="270" t="str">
        <f>'Tariffs Jan2020'!F64</f>
        <v>Origin Energy</v>
      </c>
      <c r="B70" s="40" t="str">
        <f>'Tariffs Jan2020'!D64</f>
        <v>AGN Central 2</v>
      </c>
      <c r="C70" s="40" t="str">
        <f>'Tariffs Jan2020'!G64</f>
        <v>Flexi</v>
      </c>
      <c r="D70" s="59">
        <f>365*'Tariffs Jan2020'!H64/100</f>
        <v>251.85</v>
      </c>
      <c r="E70" s="59">
        <f>IF($C$5*'Tariffs Jan2020'!AK64/'Tariffs Jan2020'!AI64&gt;='Tariffs Jan2020'!J64,( 'Tariffs Jan2020'!J64*'Tariffs Jan2020'!O64/100)* 'Tariffs Jan2020'!AI64,($C$5*'Tariffs Jan2020'!AK64/'Tariffs Jan2020'!AI64*'Tariffs Jan2020'!O64/100)* 'Tariffs Jan2020'!AI64)</f>
        <v>396.00000000000011</v>
      </c>
      <c r="F70" s="59">
        <f>IF($C$5*'Tariffs Jan2020'!AK64/'Tariffs Jan2020'!AI64&lt;'Tariffs Jan2020'!J64,0,IF($C$5*'Tariffs Jan2020'!AK64/'Tariffs Jan2020'!AI64&lt;='Tariffs Jan2020'!K64,($C$5*'Tariffs Jan2020'!AK64/'Tariffs Jan2020'!AI64-'Tariffs Jan2020'!J64)*('Tariffs Jan2020'!P64/100)*'Tariffs Jan2020'!AI64,('Tariffs Jan2020'!K64-'Tariffs Jan2020'!J64)*('Tariffs Jan2020'!P64/100)*'Tariffs Jan2020'!AI64))</f>
        <v>283.5</v>
      </c>
      <c r="G70" s="59">
        <f>IF($C$5*'Tariffs Jan2020'!AK64/'Tariffs Jan2020'!AI64&lt;'Tariffs Jan2020'!K64,0,IF($C$5*'Tariffs Jan2020'!AK64/'Tariffs Jan2020'!AI64&lt;='Tariffs Jan2020'!L64,($C$5*'Tariffs Jan2020'!AK64/'Tariffs Jan2020'!AI64-'Tariffs Jan2020'!K64)*('Tariffs Jan2020'!Q64/100)*'Tariffs Jan2020'!AI64,('Tariffs Jan2020'!L64-'Tariffs Jan2020'!K64)*('Tariffs Jan2020'!Q64/100)*'Tariffs Jan2020'!AI64))</f>
        <v>0</v>
      </c>
      <c r="H70" s="59">
        <f>IF($C$5*'Tariffs Jan2020'!AK64/'Tariffs Jan2020'!AI64&lt;'Tariffs Jan2020'!L64,0,IF($C$5*'Tariffs Jan2020'!AK64/'Tariffs Jan2020'!AI64&lt;='Tariffs Jan2020'!M64,($C$5*'Tariffs Jan2020'!AK64/'Tariffs Jan2020'!AI64-'Tariffs Jan2020'!L64)*('Tariffs Jan2020'!R64/100)*'Tariffs Jan2020'!AI64,('Tariffs Jan2020'!M64-'Tariffs Jan2020'!L64)*('Tariffs Jan2020'!R64/100)*'Tariffs Jan2020'!AI64))</f>
        <v>0</v>
      </c>
      <c r="I70" s="59">
        <f>IF(($C$5*'Tariffs Jan2020'!AK64/'Tariffs Jan2020'!AI64&gt;'Tariffs Jan2020'!M64),($C$5*'Tariffs Jan2020'!AK64/'Tariffs Jan2020'!AI64-'Tariffs Jan2020'!M64)*'Tariffs Jan2020'!S64/100*'Tariffs Jan2020'!AI64,0)</f>
        <v>0</v>
      </c>
      <c r="J70" s="59">
        <f>IF($C$5*'Tariffs Jan2020'!AL64/'Tariffs Jan2020'!AJ64&gt;='Tariffs Jan2020'!J64,('Tariffs Jan2020'!J64*'Tariffs Jan2020'!U64/100)* 'Tariffs Jan2020'!AJ64,($C$5*'Tariffs Jan2020'!AL64/'Tariffs Jan2020'!AJ64*'Tariffs Jan2020'!U64/100)* 'Tariffs Jan2020'!AJ64)</f>
        <v>396.00000000000011</v>
      </c>
      <c r="K70" s="59">
        <f>IF($C$5*'Tariffs Jan2020'!AL64/'Tariffs Jan2020'!AJ64&lt;'Tariffs Jan2020'!J64,0,IF($C$5*'Tariffs Jan2020'!AL64/'Tariffs Jan2020'!AJ64&lt;='Tariffs Jan2020'!K64,($C$5*'Tariffs Jan2020'!AL64/'Tariffs Jan2020'!AJ64-'Tariffs Jan2020'!J64)*('Tariffs Jan2020'!V64/100)*'Tariffs Jan2020'!AJ64,('Tariffs Jan2020'!K64-'Tariffs Jan2020'!J64)*('Tariffs Jan2020'!V64/100)*'Tariffs Jan2020'!AJ64))</f>
        <v>283.5</v>
      </c>
      <c r="L70" s="59">
        <f>IF($C$5*'Tariffs Jan2020'!AL64/'Tariffs Jan2020'!AJ64&lt;'Tariffs Jan2020'!K64,0,IF($C$5*'Tariffs Jan2020'!AL64/'Tariffs Jan2020'!AJ64&lt;='Tariffs Jan2020'!L64,($C$5*'Tariffs Jan2020'!AL64/'Tariffs Jan2020'!AJ64-'Tariffs Jan2020'!K64)*('Tariffs Jan2020'!W64/100)*'Tariffs Jan2020'!AJ64,('Tariffs Jan2020'!L64-'Tariffs Jan2020'!K64)*('Tariffs Jan2020'!W64/100)*'Tariffs Jan2020'!AJ64))</f>
        <v>0</v>
      </c>
      <c r="M70" s="59">
        <f>IF($C$5*'Tariffs Jan2020'!AL64/'Tariffs Jan2020'!AJ64&lt;'Tariffs Jan2020'!L64,0,IF($C$5*'Tariffs Jan2020'!AL64/'Tariffs Jan2020'!AJ64&lt;='Tariffs Jan2020'!M64,($C$5*'Tariffs Jan2020'!AL64/'Tariffs Jan2020'!AJ64-'Tariffs Jan2020'!L64)*('Tariffs Jan2020'!X64/100)*'Tariffs Jan2020'!AJ64,('Tariffs Jan2020'!M64-'Tariffs Jan2020'!L64)*('Tariffs Jan2020'!X64/100)*'Tariffs Jan2020'!AJ64))</f>
        <v>0</v>
      </c>
      <c r="N70" s="59">
        <f>IF(($C$5*'Tariffs Jan2020'!AL64/'Tariffs Jan2020'!AJ64&gt;'Tariffs Jan2020'!M64),($C$5*'Tariffs Jan2020'!AL64/'Tariffs Jan2020'!AJ64-'Tariffs Jan2020'!M64)*'Tariffs Jan2020'!Y64/100*'Tariffs Jan2020'!AJ64,0)</f>
        <v>0</v>
      </c>
      <c r="O70" s="59">
        <f t="shared" si="0"/>
        <v>1359.0000000000002</v>
      </c>
      <c r="P70" s="503">
        <f t="shared" si="1"/>
        <v>1494.9000000000003</v>
      </c>
      <c r="Q70" s="59">
        <f t="shared" si="2"/>
        <v>1610.8500000000001</v>
      </c>
      <c r="R70" s="272">
        <f t="shared" si="3"/>
        <v>1771.9350000000004</v>
      </c>
      <c r="S70" s="40">
        <f>'Tariffs Jan2020'!AN64</f>
        <v>10</v>
      </c>
      <c r="T70" s="40">
        <f>'Tariffs Jan2020'!AO64</f>
        <v>0</v>
      </c>
      <c r="U70" s="40">
        <f>'Tariffs Jan2020'!AP64</f>
        <v>0</v>
      </c>
      <c r="V70" s="40">
        <f>'Tariffs Jan2020'!AQ64</f>
        <v>0</v>
      </c>
      <c r="W70" s="284">
        <f>R70-(R70*S70/100)</f>
        <v>1594.7415000000003</v>
      </c>
      <c r="X70" s="284">
        <f>W70</f>
        <v>1594.7415000000003</v>
      </c>
      <c r="Y70" s="507">
        <f>W70</f>
        <v>1594.7415000000003</v>
      </c>
      <c r="Z70" s="507">
        <f>X70</f>
        <v>1594.7415000000003</v>
      </c>
      <c r="AA70" s="274">
        <f>'Tariffs Jan2020'!AZ64</f>
        <v>0</v>
      </c>
      <c r="AB70" s="274" t="str">
        <f>'Tariffs Jan2020'!BA64</f>
        <v>n</v>
      </c>
      <c r="AC70" s="275" t="str">
        <f>'Tariffs Jan2020'!BJ64</f>
        <v>N</v>
      </c>
      <c r="AD70" s="425"/>
      <c r="AE70" s="425"/>
      <c r="AF70" s="427"/>
      <c r="AG70" s="427"/>
      <c r="AH70" s="427"/>
      <c r="AI70" s="427"/>
      <c r="AJ70" s="427"/>
      <c r="AK70" s="427"/>
      <c r="AL70" s="427"/>
      <c r="AM70" s="427"/>
      <c r="AN70" s="427"/>
    </row>
    <row r="71" spans="1:40" ht="14" x14ac:dyDescent="0.15">
      <c r="A71" s="270" t="str">
        <f>'Tariffs Jan2020'!F65</f>
        <v>Red Energy</v>
      </c>
      <c r="B71" s="40" t="str">
        <f>'Tariffs Jan2020'!D65</f>
        <v>AGN Central 2</v>
      </c>
      <c r="C71" s="40" t="str">
        <f>'Tariffs Jan2020'!G65</f>
        <v>Living Energy Saver</v>
      </c>
      <c r="D71" s="59">
        <f>365*'Tariffs Jan2020'!H65/100</f>
        <v>256.96000000000004</v>
      </c>
      <c r="E71" s="59">
        <f>IF($C$5*'Tariffs Jan2020'!AK65/'Tariffs Jan2020'!AI65&gt;='Tariffs Jan2020'!J65,( 'Tariffs Jan2020'!J65*'Tariffs Jan2020'!O65/100)* 'Tariffs Jan2020'!AI65,($C$5*'Tariffs Jan2020'!AK65/'Tariffs Jan2020'!AI65*'Tariffs Jan2020'!O65/100)* 'Tariffs Jan2020'!AI65)</f>
        <v>131.00181818181815</v>
      </c>
      <c r="F71" s="59">
        <f>IF($C$5*'Tariffs Jan2020'!AK65/'Tariffs Jan2020'!AI65&lt;'Tariffs Jan2020'!J65,0,IF($C$5*'Tariffs Jan2020'!AK65/'Tariffs Jan2020'!AI65&lt;='Tariffs Jan2020'!K65,($C$5*'Tariffs Jan2020'!AK65/'Tariffs Jan2020'!AI65-'Tariffs Jan2020'!J65)*('Tariffs Jan2020'!P65/100)*'Tariffs Jan2020'!AI65,('Tariffs Jan2020'!K65-'Tariffs Jan2020'!J65)*('Tariffs Jan2020'!P65/100)*'Tariffs Jan2020'!AI65))</f>
        <v>97.56</v>
      </c>
      <c r="G71" s="59">
        <f>IF($C$5*'Tariffs Jan2020'!AK65/'Tariffs Jan2020'!AI65&lt;'Tariffs Jan2020'!K65,0,IF($C$5*'Tariffs Jan2020'!AK65/'Tariffs Jan2020'!AI65&lt;='Tariffs Jan2020'!L65,($C$5*'Tariffs Jan2020'!AK65/'Tariffs Jan2020'!AI65-'Tariffs Jan2020'!K65)*('Tariffs Jan2020'!Q65/100)*'Tariffs Jan2020'!AI65,('Tariffs Jan2020'!L65-'Tariffs Jan2020'!K65)*('Tariffs Jan2020'!Q65/100)*'Tariffs Jan2020'!AI65))</f>
        <v>0</v>
      </c>
      <c r="H71" s="59">
        <f>IF($C$5*'Tariffs Jan2020'!AK65/'Tariffs Jan2020'!AI65&lt;'Tariffs Jan2020'!L65,0,IF($C$5*'Tariffs Jan2020'!AK65/'Tariffs Jan2020'!AI65&lt;='Tariffs Jan2020'!M65,($C$5*'Tariffs Jan2020'!AK65/'Tariffs Jan2020'!AI65-'Tariffs Jan2020'!L65)*('Tariffs Jan2020'!R65/100)*'Tariffs Jan2020'!AI65,('Tariffs Jan2020'!M65-'Tariffs Jan2020'!L65)*('Tariffs Jan2020'!R65/100)*'Tariffs Jan2020'!AI65))</f>
        <v>0</v>
      </c>
      <c r="I71" s="59">
        <f>IF(($C$5*'Tariffs Jan2020'!AK65/'Tariffs Jan2020'!AI65&gt;'Tariffs Jan2020'!M65),($C$5*'Tariffs Jan2020'!AK65/'Tariffs Jan2020'!AI65-'Tariffs Jan2020'!M65)*'Tariffs Jan2020'!S65/100*'Tariffs Jan2020'!AI65,0)</f>
        <v>411.13636363636363</v>
      </c>
      <c r="J71" s="59">
        <f>IF($C$5*'Tariffs Jan2020'!AL65/'Tariffs Jan2020'!AJ65&gt;='Tariffs Jan2020'!J65,('Tariffs Jan2020'!J65*'Tariffs Jan2020'!U65/100)* 'Tariffs Jan2020'!AJ65,($C$5*'Tariffs Jan2020'!AL65/'Tariffs Jan2020'!AJ65*'Tariffs Jan2020'!U65/100)* 'Tariffs Jan2020'!AJ65)</f>
        <v>131.00181818181815</v>
      </c>
      <c r="K71" s="59">
        <f>IF($C$5*'Tariffs Jan2020'!AL65/'Tariffs Jan2020'!AJ65&lt;'Tariffs Jan2020'!J65,0,IF($C$5*'Tariffs Jan2020'!AL65/'Tariffs Jan2020'!AJ65&lt;='Tariffs Jan2020'!K65,($C$5*'Tariffs Jan2020'!AL65/'Tariffs Jan2020'!AJ65-'Tariffs Jan2020'!J65)*('Tariffs Jan2020'!V65/100)*'Tariffs Jan2020'!AJ65,('Tariffs Jan2020'!K65-'Tariffs Jan2020'!J65)*('Tariffs Jan2020'!V65/100)*'Tariffs Jan2020'!AJ65))</f>
        <v>97.56</v>
      </c>
      <c r="L71" s="59">
        <f>IF($C$5*'Tariffs Jan2020'!AL65/'Tariffs Jan2020'!AJ65&lt;'Tariffs Jan2020'!K65,0,IF($C$5*'Tariffs Jan2020'!AL65/'Tariffs Jan2020'!AJ65&lt;='Tariffs Jan2020'!L65,($C$5*'Tariffs Jan2020'!AL65/'Tariffs Jan2020'!AJ65-'Tariffs Jan2020'!K65)*('Tariffs Jan2020'!W65/100)*'Tariffs Jan2020'!AJ65,('Tariffs Jan2020'!L65-'Tariffs Jan2020'!K65)*('Tariffs Jan2020'!W65/100)*'Tariffs Jan2020'!AJ65))</f>
        <v>0</v>
      </c>
      <c r="M71" s="59">
        <f>IF($C$5*'Tariffs Jan2020'!AL65/'Tariffs Jan2020'!AJ65&lt;'Tariffs Jan2020'!L65,0,IF($C$5*'Tariffs Jan2020'!AL65/'Tariffs Jan2020'!AJ65&lt;='Tariffs Jan2020'!M65,($C$5*'Tariffs Jan2020'!AL65/'Tariffs Jan2020'!AJ65-'Tariffs Jan2020'!L65)*('Tariffs Jan2020'!X65/100)*'Tariffs Jan2020'!AJ65,('Tariffs Jan2020'!M65-'Tariffs Jan2020'!L65)*('Tariffs Jan2020'!X65/100)*'Tariffs Jan2020'!AJ65))</f>
        <v>0</v>
      </c>
      <c r="N71" s="59">
        <f>IF(($C$5*'Tariffs Jan2020'!AL65/'Tariffs Jan2020'!AJ65&gt;'Tariffs Jan2020'!M65),($C$5*'Tariffs Jan2020'!AL65/'Tariffs Jan2020'!AJ65-'Tariffs Jan2020'!M65)*'Tariffs Jan2020'!Y65/100*'Tariffs Jan2020'!AJ65,0)</f>
        <v>411.13636363636363</v>
      </c>
      <c r="O71" s="59">
        <f>SUM(E71:N71)</f>
        <v>1279.3963636363637</v>
      </c>
      <c r="P71" s="503">
        <f t="shared" si="1"/>
        <v>1407.3360000000002</v>
      </c>
      <c r="Q71" s="59">
        <f>D71+O71</f>
        <v>1536.3563636363638</v>
      </c>
      <c r="R71" s="272">
        <f>Q71*1.1</f>
        <v>1689.9920000000002</v>
      </c>
      <c r="S71" s="40">
        <f>'Tariffs Jan2020'!AN65</f>
        <v>0</v>
      </c>
      <c r="T71" s="40">
        <f>'Tariffs Jan2020'!AO65</f>
        <v>0</v>
      </c>
      <c r="U71" s="40">
        <f>'Tariffs Jan2020'!AP65</f>
        <v>10</v>
      </c>
      <c r="V71" s="40">
        <f>'Tariffs Jan2020'!AQ65</f>
        <v>0</v>
      </c>
      <c r="W71" s="284">
        <f>R71</f>
        <v>1689.9920000000002</v>
      </c>
      <c r="X71" s="284">
        <f>W71-(W71*U71/100)</f>
        <v>1520.9928000000002</v>
      </c>
      <c r="Y71" s="507">
        <f>W71</f>
        <v>1689.9920000000002</v>
      </c>
      <c r="Z71" s="507">
        <f>X71</f>
        <v>1520.9928000000002</v>
      </c>
      <c r="AA71" s="274">
        <f>'Tariffs Jan2020'!AZ65</f>
        <v>0</v>
      </c>
      <c r="AB71" s="274" t="str">
        <f>'Tariffs Jan2020'!BA65</f>
        <v>n</v>
      </c>
      <c r="AC71" s="275" t="str">
        <f>'Tariffs Jan2020'!BJ65</f>
        <v>N</v>
      </c>
      <c r="AD71" s="425"/>
      <c r="AE71" s="425"/>
      <c r="AF71" s="427"/>
      <c r="AG71" s="427"/>
      <c r="AH71" s="427"/>
      <c r="AI71" s="427"/>
      <c r="AJ71" s="427"/>
      <c r="AK71" s="427"/>
      <c r="AL71" s="427"/>
      <c r="AM71" s="427"/>
      <c r="AN71" s="427"/>
    </row>
    <row r="72" spans="1:40" ht="14" x14ac:dyDescent="0.15">
      <c r="A72" s="270" t="str">
        <f>'Tariffs Jan2020'!F66</f>
        <v>Simply Energy</v>
      </c>
      <c r="B72" s="40" t="str">
        <f>'Tariffs Jan2020'!D66</f>
        <v>AGN Central 2</v>
      </c>
      <c r="C72" s="40" t="str">
        <f>'Tariffs Jan2020'!G66</f>
        <v>Plus</v>
      </c>
      <c r="D72" s="59">
        <f>365*'Tariffs Jan2020'!H66/100</f>
        <v>255.13499999999996</v>
      </c>
      <c r="E72" s="59">
        <f>IF($C$5*'Tariffs Jan2020'!AK66/'Tariffs Jan2020'!AI66&gt;='Tariffs Jan2020'!J66,( 'Tariffs Jan2020'!J66*'Tariffs Jan2020'!O66/100)* 'Tariffs Jan2020'!AI66,($C$5*'Tariffs Jan2020'!AK66/'Tariffs Jan2020'!AI66*'Tariffs Jan2020'!O66/100)* 'Tariffs Jan2020'!AI66)</f>
        <v>146.70409090909092</v>
      </c>
      <c r="F72" s="59">
        <f>IF($C$5*'Tariffs Jan2020'!AK66/'Tariffs Jan2020'!AI66&lt;'Tariffs Jan2020'!J66,0,IF($C$5*'Tariffs Jan2020'!AK66/'Tariffs Jan2020'!AI66&lt;='Tariffs Jan2020'!K66,($C$5*'Tariffs Jan2020'!AK66/'Tariffs Jan2020'!AI66-'Tariffs Jan2020'!J66)*('Tariffs Jan2020'!P66/100)*'Tariffs Jan2020'!AI66,('Tariffs Jan2020'!K66-'Tariffs Jan2020'!J66)*('Tariffs Jan2020'!P66/100)*'Tariffs Jan2020'!AI66))</f>
        <v>95.712272727272705</v>
      </c>
      <c r="G72" s="59">
        <f>IF($C$5*'Tariffs Jan2020'!AK66/'Tariffs Jan2020'!AI66&lt;'Tariffs Jan2020'!K66,0,IF($C$5*'Tariffs Jan2020'!AK66/'Tariffs Jan2020'!AI66&lt;='Tariffs Jan2020'!L66,($C$5*'Tariffs Jan2020'!AK66/'Tariffs Jan2020'!AI66-'Tariffs Jan2020'!K66)*('Tariffs Jan2020'!Q66/100)*'Tariffs Jan2020'!AI66,('Tariffs Jan2020'!L66-'Tariffs Jan2020'!K66)*('Tariffs Jan2020'!Q66/100)*'Tariffs Jan2020'!AI66))</f>
        <v>0</v>
      </c>
      <c r="H72" s="59">
        <f>IF($C$5*'Tariffs Jan2020'!AK66/'Tariffs Jan2020'!AI66&lt;'Tariffs Jan2020'!L66,0,IF($C$5*'Tariffs Jan2020'!AK66/'Tariffs Jan2020'!AI66&lt;='Tariffs Jan2020'!M66,($C$5*'Tariffs Jan2020'!AK66/'Tariffs Jan2020'!AI66-'Tariffs Jan2020'!L66)*('Tariffs Jan2020'!R66/100)*'Tariffs Jan2020'!AI66,('Tariffs Jan2020'!M66-'Tariffs Jan2020'!L66)*('Tariffs Jan2020'!R66/100)*'Tariffs Jan2020'!AI66))</f>
        <v>0</v>
      </c>
      <c r="I72" s="59">
        <f>IF(($C$5*'Tariffs Jan2020'!AK66/'Tariffs Jan2020'!AI66&gt;'Tariffs Jan2020'!M66),($C$5*'Tariffs Jan2020'!AK66/'Tariffs Jan2020'!AI66-'Tariffs Jan2020'!M66)*'Tariffs Jan2020'!S66/100*'Tariffs Jan2020'!AI66,0)</f>
        <v>445.90909090909088</v>
      </c>
      <c r="J72" s="59">
        <f>IF($C$5*'Tariffs Jan2020'!AL66/'Tariffs Jan2020'!AJ66&gt;='Tariffs Jan2020'!J66,('Tariffs Jan2020'!J66*'Tariffs Jan2020'!U66/100)* 'Tariffs Jan2020'!AJ66,($C$5*'Tariffs Jan2020'!AL66/'Tariffs Jan2020'!AJ66*'Tariffs Jan2020'!U66/100)* 'Tariffs Jan2020'!AJ66)</f>
        <v>146.70409090909092</v>
      </c>
      <c r="K72" s="59">
        <f>IF($C$5*'Tariffs Jan2020'!AL66/'Tariffs Jan2020'!AJ66&lt;'Tariffs Jan2020'!J66,0,IF($C$5*'Tariffs Jan2020'!AL66/'Tariffs Jan2020'!AJ66&lt;='Tariffs Jan2020'!K66,($C$5*'Tariffs Jan2020'!AL66/'Tariffs Jan2020'!AJ66-'Tariffs Jan2020'!J66)*('Tariffs Jan2020'!V66/100)*'Tariffs Jan2020'!AJ66,('Tariffs Jan2020'!K66-'Tariffs Jan2020'!J66)*('Tariffs Jan2020'!V66/100)*'Tariffs Jan2020'!AJ66))</f>
        <v>95.712272727272705</v>
      </c>
      <c r="L72" s="59">
        <f>IF($C$5*'Tariffs Jan2020'!AL66/'Tariffs Jan2020'!AJ66&lt;'Tariffs Jan2020'!K66,0,IF($C$5*'Tariffs Jan2020'!AL66/'Tariffs Jan2020'!AJ66&lt;='Tariffs Jan2020'!L66,($C$5*'Tariffs Jan2020'!AL66/'Tariffs Jan2020'!AJ66-'Tariffs Jan2020'!K66)*('Tariffs Jan2020'!W66/100)*'Tariffs Jan2020'!AJ66,('Tariffs Jan2020'!L66-'Tariffs Jan2020'!K66)*('Tariffs Jan2020'!W66/100)*'Tariffs Jan2020'!AJ66))</f>
        <v>0</v>
      </c>
      <c r="M72" s="59">
        <f>IF($C$5*'Tariffs Jan2020'!AL66/'Tariffs Jan2020'!AJ66&lt;'Tariffs Jan2020'!L66,0,IF($C$5*'Tariffs Jan2020'!AL66/'Tariffs Jan2020'!AJ66&lt;='Tariffs Jan2020'!M66,($C$5*'Tariffs Jan2020'!AL66/'Tariffs Jan2020'!AJ66-'Tariffs Jan2020'!L66)*('Tariffs Jan2020'!X66/100)*'Tariffs Jan2020'!AJ66,('Tariffs Jan2020'!M66-'Tariffs Jan2020'!L66)*('Tariffs Jan2020'!X66/100)*'Tariffs Jan2020'!AJ66))</f>
        <v>0</v>
      </c>
      <c r="N72" s="59">
        <f>IF(($C$5*'Tariffs Jan2020'!AL66/'Tariffs Jan2020'!AJ66&gt;'Tariffs Jan2020'!M66),($C$5*'Tariffs Jan2020'!AL66/'Tariffs Jan2020'!AJ66-'Tariffs Jan2020'!M66)*'Tariffs Jan2020'!Y66/100*'Tariffs Jan2020'!AJ66,0)</f>
        <v>445.90909090909088</v>
      </c>
      <c r="O72" s="59">
        <f t="shared" si="0"/>
        <v>1376.650909090909</v>
      </c>
      <c r="P72" s="503">
        <f t="shared" si="1"/>
        <v>1514.316</v>
      </c>
      <c r="Q72" s="59">
        <f t="shared" si="2"/>
        <v>1631.7859090909089</v>
      </c>
      <c r="R72" s="272">
        <f t="shared" si="3"/>
        <v>1794.9645</v>
      </c>
      <c r="S72" s="40">
        <f>'Tariffs Jan2020'!AN66</f>
        <v>0</v>
      </c>
      <c r="T72" s="40">
        <f>'Tariffs Jan2020'!AO66</f>
        <v>0</v>
      </c>
      <c r="U72" s="40">
        <f>'Tariffs Jan2020'!AP66</f>
        <v>12</v>
      </c>
      <c r="V72" s="40">
        <f>'Tariffs Jan2020'!AQ66</f>
        <v>0</v>
      </c>
      <c r="W72" s="284">
        <f t="shared" ref="W72:W73" si="27">Q72</f>
        <v>1631.7859090909089</v>
      </c>
      <c r="X72" s="284">
        <f>W72-(Q72*U72/100)</f>
        <v>1435.9715999999999</v>
      </c>
      <c r="Y72" s="507">
        <f t="shared" ref="Y72:Y74" si="28">W72*1.1</f>
        <v>1794.9645</v>
      </c>
      <c r="Z72" s="507">
        <f t="shared" ref="Z72:Z74" si="29">X72*1.1</f>
        <v>1579.5687599999999</v>
      </c>
      <c r="AA72" s="274">
        <f>'Tariffs Jan2020'!AZ66</f>
        <v>0</v>
      </c>
      <c r="AB72" s="274" t="str">
        <f>'Tariffs Jan2020'!BA66</f>
        <v>n</v>
      </c>
      <c r="AC72" s="275" t="str">
        <f>'Tariffs Jan2020'!BJ66</f>
        <v>Y</v>
      </c>
      <c r="AD72" s="425"/>
      <c r="AE72" s="425"/>
      <c r="AF72" s="427"/>
      <c r="AG72" s="427"/>
      <c r="AH72" s="427"/>
      <c r="AI72" s="427"/>
      <c r="AJ72" s="427"/>
      <c r="AK72" s="427"/>
      <c r="AL72" s="427"/>
      <c r="AM72" s="427"/>
      <c r="AN72" s="427"/>
    </row>
    <row r="73" spans="1:40" ht="14" x14ac:dyDescent="0.15">
      <c r="A73" s="270" t="str">
        <f>'Tariffs Jan2020'!F67</f>
        <v>Sumo Power</v>
      </c>
      <c r="B73" s="40" t="str">
        <f>'Tariffs Jan2020'!D67</f>
        <v>AGN Central 2</v>
      </c>
      <c r="C73" s="40" t="str">
        <f>'Tariffs Jan2020'!G67</f>
        <v>Select</v>
      </c>
      <c r="D73" s="59">
        <f>365*'Tariffs Jan2020'!H67/100</f>
        <v>273.75</v>
      </c>
      <c r="E73" s="59">
        <f>IF($C$5*'Tariffs Jan2020'!AK67/'Tariffs Jan2020'!AI67&gt;='Tariffs Jan2020'!J67,( 'Tariffs Jan2020'!J67*'Tariffs Jan2020'!O67/100)* 'Tariffs Jan2020'!AI67,($C$5*'Tariffs Jan2020'!AK67/'Tariffs Jan2020'!AI67*'Tariffs Jan2020'!O67/100)* 'Tariffs Jan2020'!AI67)</f>
        <v>112.60772727272723</v>
      </c>
      <c r="F73" s="59">
        <f>IF($C$5*'Tariffs Jan2020'!AK67/'Tariffs Jan2020'!AI67&lt;'Tariffs Jan2020'!J67,0,IF($C$5*'Tariffs Jan2020'!AK67/'Tariffs Jan2020'!AI67&lt;='Tariffs Jan2020'!K67,($C$5*'Tariffs Jan2020'!AK67/'Tariffs Jan2020'!AI67-'Tariffs Jan2020'!J67)*('Tariffs Jan2020'!P67/100)*'Tariffs Jan2020'!AI67,('Tariffs Jan2020'!K67-'Tariffs Jan2020'!J67)*('Tariffs Jan2020'!P67/100)*'Tariffs Jan2020'!AI67))</f>
        <v>90.169090909090897</v>
      </c>
      <c r="G73" s="59">
        <f>IF($C$5*'Tariffs Jan2020'!AK67/'Tariffs Jan2020'!AI67&lt;'Tariffs Jan2020'!K67,0,IF($C$5*'Tariffs Jan2020'!AK67/'Tariffs Jan2020'!AI67&lt;='Tariffs Jan2020'!L67,($C$5*'Tariffs Jan2020'!AK67/'Tariffs Jan2020'!AI67-'Tariffs Jan2020'!K67)*('Tariffs Jan2020'!Q67/100)*'Tariffs Jan2020'!AI67,('Tariffs Jan2020'!L67-'Tariffs Jan2020'!K67)*('Tariffs Jan2020'!Q67/100)*'Tariffs Jan2020'!AI67))</f>
        <v>0</v>
      </c>
      <c r="H73" s="59">
        <f>IF($C$5*'Tariffs Jan2020'!AK67/'Tariffs Jan2020'!AI67&lt;'Tariffs Jan2020'!L67,0,IF($C$5*'Tariffs Jan2020'!AK67/'Tariffs Jan2020'!AI67&lt;='Tariffs Jan2020'!M67,($C$5*'Tariffs Jan2020'!AK67/'Tariffs Jan2020'!AI67-'Tariffs Jan2020'!L67)*('Tariffs Jan2020'!R67/100)*'Tariffs Jan2020'!AI67,('Tariffs Jan2020'!M67-'Tariffs Jan2020'!L67)*('Tariffs Jan2020'!R67/100)*'Tariffs Jan2020'!AI67))</f>
        <v>0</v>
      </c>
      <c r="I73" s="59">
        <f>IF(($C$5*'Tariffs Jan2020'!AK67/'Tariffs Jan2020'!AI67&gt;'Tariffs Jan2020'!M67),($C$5*'Tariffs Jan2020'!AK67/'Tariffs Jan2020'!AI67-'Tariffs Jan2020'!M67)*'Tariffs Jan2020'!S67/100*'Tariffs Jan2020'!AI67,0)</f>
        <v>364.09090909090907</v>
      </c>
      <c r="J73" s="59">
        <f>IF($C$5*'Tariffs Jan2020'!AL67/'Tariffs Jan2020'!AJ67&gt;='Tariffs Jan2020'!J67,('Tariffs Jan2020'!J67*'Tariffs Jan2020'!U67/100)* 'Tariffs Jan2020'!AJ67,($C$5*'Tariffs Jan2020'!AL67/'Tariffs Jan2020'!AJ67*'Tariffs Jan2020'!U67/100)* 'Tariffs Jan2020'!AJ67)</f>
        <v>112.60772727272723</v>
      </c>
      <c r="K73" s="59">
        <f>IF($C$5*'Tariffs Jan2020'!AL67/'Tariffs Jan2020'!AJ67&lt;'Tariffs Jan2020'!J67,0,IF($C$5*'Tariffs Jan2020'!AL67/'Tariffs Jan2020'!AJ67&lt;='Tariffs Jan2020'!K67,($C$5*'Tariffs Jan2020'!AL67/'Tariffs Jan2020'!AJ67-'Tariffs Jan2020'!J67)*('Tariffs Jan2020'!V67/100)*'Tariffs Jan2020'!AJ67,('Tariffs Jan2020'!K67-'Tariffs Jan2020'!J67)*('Tariffs Jan2020'!V67/100)*'Tariffs Jan2020'!AJ67))</f>
        <v>90.169090909090897</v>
      </c>
      <c r="L73" s="59">
        <f>IF($C$5*'Tariffs Jan2020'!AL67/'Tariffs Jan2020'!AJ67&lt;'Tariffs Jan2020'!K67,0,IF($C$5*'Tariffs Jan2020'!AL67/'Tariffs Jan2020'!AJ67&lt;='Tariffs Jan2020'!L67,($C$5*'Tariffs Jan2020'!AL67/'Tariffs Jan2020'!AJ67-'Tariffs Jan2020'!K67)*('Tariffs Jan2020'!W67/100)*'Tariffs Jan2020'!AJ67,('Tariffs Jan2020'!L67-'Tariffs Jan2020'!K67)*('Tariffs Jan2020'!W67/100)*'Tariffs Jan2020'!AJ67))</f>
        <v>0</v>
      </c>
      <c r="M73" s="59">
        <f>IF($C$5*'Tariffs Jan2020'!AL67/'Tariffs Jan2020'!AJ67&lt;'Tariffs Jan2020'!L67,0,IF($C$5*'Tariffs Jan2020'!AL67/'Tariffs Jan2020'!AJ67&lt;='Tariffs Jan2020'!M67,($C$5*'Tariffs Jan2020'!AL67/'Tariffs Jan2020'!AJ67-'Tariffs Jan2020'!L67)*('Tariffs Jan2020'!X67/100)*'Tariffs Jan2020'!AJ67,('Tariffs Jan2020'!M67-'Tariffs Jan2020'!L67)*('Tariffs Jan2020'!X67/100)*'Tariffs Jan2020'!AJ67))</f>
        <v>0</v>
      </c>
      <c r="N73" s="59">
        <f>IF(($C$5*'Tariffs Jan2020'!AL67/'Tariffs Jan2020'!AJ67&gt;'Tariffs Jan2020'!M67),($C$5*'Tariffs Jan2020'!AL67/'Tariffs Jan2020'!AJ67-'Tariffs Jan2020'!M67)*'Tariffs Jan2020'!Y67/100*'Tariffs Jan2020'!AJ67,0)</f>
        <v>364.09090909090907</v>
      </c>
      <c r="O73" s="59">
        <f t="shared" si="0"/>
        <v>1133.7354545454543</v>
      </c>
      <c r="P73" s="503">
        <f t="shared" ref="P73:P134" si="30">O73*1.1</f>
        <v>1247.1089999999999</v>
      </c>
      <c r="Q73" s="59">
        <f t="shared" si="2"/>
        <v>1407.4854545454543</v>
      </c>
      <c r="R73" s="272">
        <f t="shared" si="3"/>
        <v>1548.2339999999999</v>
      </c>
      <c r="S73" s="40">
        <f>'Tariffs Jan2020'!AN67</f>
        <v>0</v>
      </c>
      <c r="T73" s="40">
        <f>'Tariffs Jan2020'!AO67</f>
        <v>0</v>
      </c>
      <c r="U73" s="40">
        <f>'Tariffs Jan2020'!AP67</f>
        <v>5</v>
      </c>
      <c r="V73" s="40">
        <f>'Tariffs Jan2020'!AQ67</f>
        <v>0</v>
      </c>
      <c r="W73" s="284">
        <f t="shared" si="27"/>
        <v>1407.4854545454543</v>
      </c>
      <c r="X73" s="284">
        <f>W73-(Q73*U73/100)</f>
        <v>1337.1111818181816</v>
      </c>
      <c r="Y73" s="507">
        <f t="shared" si="28"/>
        <v>1548.2339999999999</v>
      </c>
      <c r="Z73" s="507">
        <f t="shared" si="29"/>
        <v>1470.8223</v>
      </c>
      <c r="AA73" s="274">
        <f>'Tariffs Jan2020'!AZ67</f>
        <v>0</v>
      </c>
      <c r="AB73" s="274" t="str">
        <f>'Tariffs Jan2020'!BA67</f>
        <v>n</v>
      </c>
      <c r="AC73" s="275" t="str">
        <f>'Tariffs Jan2020'!BJ67</f>
        <v>Y</v>
      </c>
      <c r="AD73" s="425"/>
      <c r="AE73" s="425"/>
      <c r="AF73" s="427"/>
      <c r="AG73" s="427"/>
      <c r="AH73" s="427"/>
      <c r="AI73" s="427"/>
      <c r="AJ73" s="427"/>
      <c r="AK73" s="427"/>
      <c r="AL73" s="427"/>
      <c r="AM73" s="427"/>
      <c r="AN73" s="427"/>
    </row>
    <row r="74" spans="1:40" ht="14" x14ac:dyDescent="0.15">
      <c r="A74" s="270" t="str">
        <f>'Tariffs Jan2020'!F68</f>
        <v>Amaysim</v>
      </c>
      <c r="B74" s="40" t="str">
        <f>'Tariffs Jan2020'!D68</f>
        <v>AGN Central 2</v>
      </c>
      <c r="C74" s="40" t="str">
        <f>'Tariffs Jan2020'!G68</f>
        <v>Gas as you go</v>
      </c>
      <c r="D74" s="59">
        <f>365*'Tariffs Jan2020'!H68/100</f>
        <v>199.0564</v>
      </c>
      <c r="E74" s="59">
        <f>IF($C$5*'Tariffs Jan2020'!AK68/'Tariffs Jan2020'!AI68&gt;='Tariffs Jan2020'!J68,( 'Tariffs Jan2020'!J68*'Tariffs Jan2020'!O68/100)* 'Tariffs Jan2020'!AI68,($C$5*'Tariffs Jan2020'!AK68/'Tariffs Jan2020'!AI68*'Tariffs Jan2020'!O68/100)* 'Tariffs Jan2020'!AI68)</f>
        <v>125.8425</v>
      </c>
      <c r="F74" s="59">
        <f>IF($C$5*'Tariffs Jan2020'!AK68/'Tariffs Jan2020'!AI68&lt;'Tariffs Jan2020'!J68,0,IF($C$5*'Tariffs Jan2020'!AK68/'Tariffs Jan2020'!AI68&lt;='Tariffs Jan2020'!K68,($C$5*'Tariffs Jan2020'!AK68/'Tariffs Jan2020'!AI68-'Tariffs Jan2020'!J68)*('Tariffs Jan2020'!P68/100)*'Tariffs Jan2020'!AI68,('Tariffs Jan2020'!K68-'Tariffs Jan2020'!J68)*('Tariffs Jan2020'!P68/100)*'Tariffs Jan2020'!AI68))</f>
        <v>88.454400000000007</v>
      </c>
      <c r="G74" s="59">
        <f>IF($C$5*'Tariffs Jan2020'!AK68/'Tariffs Jan2020'!AI68&lt;'Tariffs Jan2020'!K68,0,IF($C$5*'Tariffs Jan2020'!AK68/'Tariffs Jan2020'!AI68&lt;='Tariffs Jan2020'!L68,($C$5*'Tariffs Jan2020'!AK68/'Tariffs Jan2020'!AI68-'Tariffs Jan2020'!K68)*('Tariffs Jan2020'!Q68/100)*'Tariffs Jan2020'!AI68,('Tariffs Jan2020'!L68-'Tariffs Jan2020'!K68)*('Tariffs Jan2020'!Q68/100)*'Tariffs Jan2020'!AI68))</f>
        <v>0</v>
      </c>
      <c r="H74" s="59">
        <f>IF($C$5*'Tariffs Jan2020'!AK68/'Tariffs Jan2020'!AI68&lt;'Tariffs Jan2020'!L68,0,IF($C$5*'Tariffs Jan2020'!AK68/'Tariffs Jan2020'!AI68&lt;='Tariffs Jan2020'!M68,($C$5*'Tariffs Jan2020'!AK68/'Tariffs Jan2020'!AI68-'Tariffs Jan2020'!L68)*('Tariffs Jan2020'!R68/100)*'Tariffs Jan2020'!AI68,('Tariffs Jan2020'!M68-'Tariffs Jan2020'!L68)*('Tariffs Jan2020'!R68/100)*'Tariffs Jan2020'!AI68))</f>
        <v>0</v>
      </c>
      <c r="I74" s="59">
        <f>IF(($C$5*'Tariffs Jan2020'!AK68/'Tariffs Jan2020'!AI68&gt;'Tariffs Jan2020'!M68),($C$5*'Tariffs Jan2020'!AK68/'Tariffs Jan2020'!AI68-'Tariffs Jan2020'!M68)*'Tariffs Jan2020'!S68/100*'Tariffs Jan2020'!AI68,0)</f>
        <v>420.75</v>
      </c>
      <c r="J74" s="59">
        <f>IF($C$5*'Tariffs Jan2020'!AL68/'Tariffs Jan2020'!AJ68&gt;='Tariffs Jan2020'!J68,('Tariffs Jan2020'!J68*'Tariffs Jan2020'!U68/100)* 'Tariffs Jan2020'!AJ68,($C$5*'Tariffs Jan2020'!AL68/'Tariffs Jan2020'!AJ68*'Tariffs Jan2020'!U68/100)* 'Tariffs Jan2020'!AJ68)</f>
        <v>125.8425</v>
      </c>
      <c r="K74" s="59">
        <f>IF($C$5*'Tariffs Jan2020'!AL68/'Tariffs Jan2020'!AJ68&lt;'Tariffs Jan2020'!J68,0,IF($C$5*'Tariffs Jan2020'!AL68/'Tariffs Jan2020'!AJ68&lt;='Tariffs Jan2020'!K68,($C$5*'Tariffs Jan2020'!AL68/'Tariffs Jan2020'!AJ68-'Tariffs Jan2020'!J68)*('Tariffs Jan2020'!V68/100)*'Tariffs Jan2020'!AJ68,('Tariffs Jan2020'!K68-'Tariffs Jan2020'!J68)*('Tariffs Jan2020'!V68/100)*'Tariffs Jan2020'!AJ68))</f>
        <v>88.454400000000007</v>
      </c>
      <c r="L74" s="59">
        <f>IF($C$5*'Tariffs Jan2020'!AL68/'Tariffs Jan2020'!AJ68&lt;'Tariffs Jan2020'!K68,0,IF($C$5*'Tariffs Jan2020'!AL68/'Tariffs Jan2020'!AJ68&lt;='Tariffs Jan2020'!L68,($C$5*'Tariffs Jan2020'!AL68/'Tariffs Jan2020'!AJ68-'Tariffs Jan2020'!K68)*('Tariffs Jan2020'!W68/100)*'Tariffs Jan2020'!AJ68,('Tariffs Jan2020'!L68-'Tariffs Jan2020'!K68)*('Tariffs Jan2020'!W68/100)*'Tariffs Jan2020'!AJ68))</f>
        <v>0</v>
      </c>
      <c r="M74" s="59">
        <f>IF($C$5*'Tariffs Jan2020'!AL68/'Tariffs Jan2020'!AJ68&lt;'Tariffs Jan2020'!L68,0,IF($C$5*'Tariffs Jan2020'!AL68/'Tariffs Jan2020'!AJ68&lt;='Tariffs Jan2020'!M68,($C$5*'Tariffs Jan2020'!AL68/'Tariffs Jan2020'!AJ68-'Tariffs Jan2020'!L68)*('Tariffs Jan2020'!X68/100)*'Tariffs Jan2020'!AJ68,('Tariffs Jan2020'!M68-'Tariffs Jan2020'!L68)*('Tariffs Jan2020'!X68/100)*'Tariffs Jan2020'!AJ68))</f>
        <v>0</v>
      </c>
      <c r="N74" s="59">
        <f>IF(($C$5*'Tariffs Jan2020'!AL68/'Tariffs Jan2020'!AJ68&gt;'Tariffs Jan2020'!M68),($C$5*'Tariffs Jan2020'!AL68/'Tariffs Jan2020'!AJ68-'Tariffs Jan2020'!M68)*'Tariffs Jan2020'!Y68/100*'Tariffs Jan2020'!AJ68,0)</f>
        <v>420.75</v>
      </c>
      <c r="O74" s="59">
        <f t="shared" si="0"/>
        <v>1270.0938000000001</v>
      </c>
      <c r="P74" s="503">
        <f t="shared" si="30"/>
        <v>1397.1031800000003</v>
      </c>
      <c r="Q74" s="59">
        <f t="shared" si="2"/>
        <v>1469.1502</v>
      </c>
      <c r="R74" s="272">
        <f t="shared" si="3"/>
        <v>1616.0652200000002</v>
      </c>
      <c r="S74" s="40">
        <f>'Tariffs Jan2020'!AN68</f>
        <v>0</v>
      </c>
      <c r="T74" s="40">
        <f>'Tariffs Jan2020'!AO68</f>
        <v>0</v>
      </c>
      <c r="U74" s="40">
        <f>'Tariffs Jan2020'!AP68</f>
        <v>0</v>
      </c>
      <c r="V74" s="40">
        <f>'Tariffs Jan2020'!AQ68</f>
        <v>0</v>
      </c>
      <c r="W74" s="284">
        <f>Q74</f>
        <v>1469.1502</v>
      </c>
      <c r="X74" s="284">
        <f>W74</f>
        <v>1469.1502</v>
      </c>
      <c r="Y74" s="507">
        <f t="shared" si="28"/>
        <v>1616.0652200000002</v>
      </c>
      <c r="Z74" s="507">
        <f t="shared" si="29"/>
        <v>1616.0652200000002</v>
      </c>
      <c r="AA74" s="274">
        <f>'Tariffs Jan2020'!AZ68</f>
        <v>0</v>
      </c>
      <c r="AB74" s="274" t="str">
        <f>'Tariffs Jan2020'!BA68</f>
        <v>n</v>
      </c>
      <c r="AC74" s="275" t="str">
        <f>'Tariffs Jan2020'!BJ68</f>
        <v>N</v>
      </c>
      <c r="AD74" s="425"/>
      <c r="AE74" s="425"/>
      <c r="AF74" s="427"/>
      <c r="AG74" s="427"/>
      <c r="AH74" s="427"/>
      <c r="AI74" s="427"/>
      <c r="AJ74" s="427"/>
      <c r="AK74" s="427"/>
      <c r="AL74" s="427"/>
      <c r="AM74" s="427"/>
      <c r="AN74" s="427"/>
    </row>
    <row r="75" spans="1:40" ht="14" x14ac:dyDescent="0.15">
      <c r="A75" s="270" t="str">
        <f>'Tariffs Jan2020'!F69</f>
        <v>GloBird Energy</v>
      </c>
      <c r="B75" s="40" t="str">
        <f>'Tariffs Jan2020'!D69</f>
        <v>AGN Central 2</v>
      </c>
      <c r="C75" s="40" t="str">
        <f>'Tariffs Jan2020'!G69</f>
        <v>GloSave</v>
      </c>
      <c r="D75" s="59">
        <f>365*'Tariffs Jan2020'!H69/100</f>
        <v>211.69999999999996</v>
      </c>
      <c r="E75" s="59">
        <f>IF($C$5*'Tariffs Jan2020'!AK69/'Tariffs Jan2020'!AI69&gt;='Tariffs Jan2020'!J69,( 'Tariffs Jan2020'!J69*'Tariffs Jan2020'!O69/100)* 'Tariffs Jan2020'!AI69,($C$5*'Tariffs Jan2020'!AK69/'Tariffs Jan2020'!AI69*'Tariffs Jan2020'!O69/100)* 'Tariffs Jan2020'!AI69)</f>
        <v>215.18181818181816</v>
      </c>
      <c r="F75" s="59">
        <f>IF($C$5*'Tariffs Jan2020'!AK69/'Tariffs Jan2020'!AI69&lt;'Tariffs Jan2020'!J69,0,IF($C$5*'Tariffs Jan2020'!AK69/'Tariffs Jan2020'!AI69&lt;='Tariffs Jan2020'!K69,($C$5*'Tariffs Jan2020'!AK69/'Tariffs Jan2020'!AI69-'Tariffs Jan2020'!J69)*('Tariffs Jan2020'!P69/100)*'Tariffs Jan2020'!AI69,('Tariffs Jan2020'!K69-'Tariffs Jan2020'!J69)*('Tariffs Jan2020'!P69/100)*'Tariffs Jan2020'!AI69))</f>
        <v>0</v>
      </c>
      <c r="G75" s="59">
        <f>IF($C$5*'Tariffs Jan2020'!AK69/'Tariffs Jan2020'!AI69&lt;'Tariffs Jan2020'!K69,0,IF($C$5*'Tariffs Jan2020'!AK69/'Tariffs Jan2020'!AI69&lt;='Tariffs Jan2020'!L69,($C$5*'Tariffs Jan2020'!AK69/'Tariffs Jan2020'!AI69-'Tariffs Jan2020'!K69)*('Tariffs Jan2020'!Q69/100)*'Tariffs Jan2020'!AI69,('Tariffs Jan2020'!L69-'Tariffs Jan2020'!K69)*('Tariffs Jan2020'!Q69/100)*'Tariffs Jan2020'!AI69))</f>
        <v>0</v>
      </c>
      <c r="H75" s="59">
        <f>IF($C$5*'Tariffs Jan2020'!AK69/'Tariffs Jan2020'!AI69&lt;'Tariffs Jan2020'!L69,0,IF($C$5*'Tariffs Jan2020'!AK69/'Tariffs Jan2020'!AI69&lt;='Tariffs Jan2020'!M69,($C$5*'Tariffs Jan2020'!AK69/'Tariffs Jan2020'!AI69-'Tariffs Jan2020'!L69)*('Tariffs Jan2020'!R69/100)*'Tariffs Jan2020'!AI69,('Tariffs Jan2020'!M69-'Tariffs Jan2020'!L69)*('Tariffs Jan2020'!R69/100)*'Tariffs Jan2020'!AI69))</f>
        <v>0</v>
      </c>
      <c r="I75" s="59">
        <f>IF(($C$5*'Tariffs Jan2020'!AK69/'Tariffs Jan2020'!AI69&gt;'Tariffs Jan2020'!M69),($C$5*'Tariffs Jan2020'!AK69/'Tariffs Jan2020'!AI69-'Tariffs Jan2020'!M69)*'Tariffs Jan2020'!S69/100*'Tariffs Jan2020'!AI69,0)</f>
        <v>366.13636363636363</v>
      </c>
      <c r="J75" s="59">
        <f>IF($C$5*'Tariffs Jan2020'!AL69/'Tariffs Jan2020'!AJ69&gt;='Tariffs Jan2020'!J69,('Tariffs Jan2020'!J69*'Tariffs Jan2020'!U69/100)* 'Tariffs Jan2020'!AJ69,($C$5*'Tariffs Jan2020'!AL69/'Tariffs Jan2020'!AJ69*'Tariffs Jan2020'!U69/100)* 'Tariffs Jan2020'!AJ69)</f>
        <v>215.18181818181816</v>
      </c>
      <c r="K75" s="59">
        <f>IF($C$5*'Tariffs Jan2020'!AL69/'Tariffs Jan2020'!AJ69&lt;'Tariffs Jan2020'!J69,0,IF($C$5*'Tariffs Jan2020'!AL69/'Tariffs Jan2020'!AJ69&lt;='Tariffs Jan2020'!K69,($C$5*'Tariffs Jan2020'!AL69/'Tariffs Jan2020'!AJ69-'Tariffs Jan2020'!J69)*('Tariffs Jan2020'!V69/100)*'Tariffs Jan2020'!AJ69,('Tariffs Jan2020'!K69-'Tariffs Jan2020'!J69)*('Tariffs Jan2020'!V69/100)*'Tariffs Jan2020'!AJ69))</f>
        <v>0</v>
      </c>
      <c r="L75" s="59">
        <f>IF($C$5*'Tariffs Jan2020'!AL69/'Tariffs Jan2020'!AJ69&lt;'Tariffs Jan2020'!K69,0,IF($C$5*'Tariffs Jan2020'!AL69/'Tariffs Jan2020'!AJ69&lt;='Tariffs Jan2020'!L69,($C$5*'Tariffs Jan2020'!AL69/'Tariffs Jan2020'!AJ69-'Tariffs Jan2020'!K69)*('Tariffs Jan2020'!W69/100)*'Tariffs Jan2020'!AJ69,('Tariffs Jan2020'!L69-'Tariffs Jan2020'!K69)*('Tariffs Jan2020'!W69/100)*'Tariffs Jan2020'!AJ69))</f>
        <v>0</v>
      </c>
      <c r="M75" s="59">
        <f>IF($C$5*'Tariffs Jan2020'!AL69/'Tariffs Jan2020'!AJ69&lt;'Tariffs Jan2020'!L69,0,IF($C$5*'Tariffs Jan2020'!AL69/'Tariffs Jan2020'!AJ69&lt;='Tariffs Jan2020'!M69,($C$5*'Tariffs Jan2020'!AL69/'Tariffs Jan2020'!AJ69-'Tariffs Jan2020'!L69)*('Tariffs Jan2020'!X69/100)*'Tariffs Jan2020'!AJ69,('Tariffs Jan2020'!M69-'Tariffs Jan2020'!L69)*('Tariffs Jan2020'!X69/100)*'Tariffs Jan2020'!AJ69))</f>
        <v>0</v>
      </c>
      <c r="N75" s="59">
        <f>IF(($C$5*'Tariffs Jan2020'!AL69/'Tariffs Jan2020'!AJ69&gt;'Tariffs Jan2020'!M69),($C$5*'Tariffs Jan2020'!AL69/'Tariffs Jan2020'!AJ69-'Tariffs Jan2020'!M69)*'Tariffs Jan2020'!Y69/100*'Tariffs Jan2020'!AJ69,0)</f>
        <v>366.13636363636363</v>
      </c>
      <c r="O75" s="59">
        <f t="shared" si="0"/>
        <v>1162.6363636363635</v>
      </c>
      <c r="P75" s="503">
        <f t="shared" si="30"/>
        <v>1278.8999999999999</v>
      </c>
      <c r="Q75" s="59">
        <f t="shared" si="2"/>
        <v>1374.3363636363636</v>
      </c>
      <c r="R75" s="272">
        <f t="shared" si="3"/>
        <v>1511.77</v>
      </c>
      <c r="S75" s="40">
        <f>'Tariffs Jan2020'!AN69</f>
        <v>0</v>
      </c>
      <c r="T75" s="40">
        <f>'Tariffs Jan2020'!AO69</f>
        <v>0</v>
      </c>
      <c r="U75" s="40">
        <f>'Tariffs Jan2020'!AP69</f>
        <v>5</v>
      </c>
      <c r="V75" s="40">
        <f>'Tariffs Jan2020'!AQ69</f>
        <v>0</v>
      </c>
      <c r="W75" s="284">
        <f>Q75</f>
        <v>1374.3363636363636</v>
      </c>
      <c r="X75" s="284">
        <f>W75-(Q75*U75/100)</f>
        <v>1305.6195454545455</v>
      </c>
      <c r="Y75" s="507">
        <f>W75*1.1</f>
        <v>1511.77</v>
      </c>
      <c r="Z75" s="507">
        <f>X75*1.1</f>
        <v>1436.1815000000001</v>
      </c>
      <c r="AA75" s="274">
        <f>'Tariffs Jan2020'!AZ69</f>
        <v>0</v>
      </c>
      <c r="AB75" s="274" t="str">
        <f>'Tariffs Jan2020'!BA69</f>
        <v>n</v>
      </c>
      <c r="AC75" s="275" t="str">
        <f>'Tariffs Jan2020'!BJ69</f>
        <v>N</v>
      </c>
      <c r="AD75" s="425"/>
      <c r="AE75" s="425"/>
      <c r="AF75" s="427"/>
      <c r="AG75" s="427"/>
      <c r="AH75" s="427"/>
      <c r="AI75" s="427"/>
      <c r="AJ75" s="427"/>
      <c r="AK75" s="427"/>
      <c r="AL75" s="427"/>
      <c r="AM75" s="427"/>
      <c r="AN75" s="427"/>
    </row>
    <row r="76" spans="1:40" ht="14" x14ac:dyDescent="0.15">
      <c r="A76" s="270" t="str">
        <f>'Tariffs Jan2020'!F70</f>
        <v>Powershop</v>
      </c>
      <c r="B76" s="40" t="str">
        <f>'Tariffs Jan2020'!D70</f>
        <v>AGN Central 2</v>
      </c>
      <c r="C76" s="40" t="str">
        <f>'Tariffs Jan2020'!G70</f>
        <v>Shopper with Gas Saver</v>
      </c>
      <c r="D76" s="59">
        <f>365*'Tariffs Jan2020'!H70/100</f>
        <v>265.18909090909091</v>
      </c>
      <c r="E76" s="59">
        <f>((C$5*'Tariffs Jan2020'!AK70/'Tariffs Jan2020'!AI70)*('Tariffs Jan2020'!O70/100))*'Tariffs Jan2020'!AI70</f>
        <v>609.95454545454538</v>
      </c>
      <c r="F76" s="59">
        <v>0</v>
      </c>
      <c r="G76" s="59">
        <v>0</v>
      </c>
      <c r="H76" s="59">
        <v>0</v>
      </c>
      <c r="I76" s="59">
        <v>0</v>
      </c>
      <c r="J76" s="59">
        <f>((C$5*'Tariffs Jan2020'!AL70/'Tariffs Jan2020'!AJ70)*('Tariffs Jan2020'!U70/100))*'Tariffs Jan2020'!AJ70</f>
        <v>609.95454545454538</v>
      </c>
      <c r="K76" s="59">
        <v>0</v>
      </c>
      <c r="L76" s="59">
        <v>0</v>
      </c>
      <c r="M76" s="59">
        <v>0</v>
      </c>
      <c r="N76" s="59">
        <v>0</v>
      </c>
      <c r="O76" s="59">
        <f t="shared" si="0"/>
        <v>1219.9090909090908</v>
      </c>
      <c r="P76" s="503">
        <f t="shared" si="30"/>
        <v>1341.8999999999999</v>
      </c>
      <c r="Q76" s="59">
        <f t="shared" si="2"/>
        <v>1485.0981818181817</v>
      </c>
      <c r="R76" s="272">
        <f t="shared" si="3"/>
        <v>1633.6079999999999</v>
      </c>
      <c r="S76" s="40">
        <f>'Tariffs Jan2020'!AN70</f>
        <v>0</v>
      </c>
      <c r="T76" s="40">
        <f>'Tariffs Jan2020'!AO70</f>
        <v>0</v>
      </c>
      <c r="U76" s="40">
        <f>'Tariffs Jan2020'!AP70</f>
        <v>5</v>
      </c>
      <c r="V76" s="40">
        <f>'Tariffs Jan2020'!AQ70</f>
        <v>0</v>
      </c>
      <c r="W76" s="284">
        <f>R76</f>
        <v>1633.6079999999999</v>
      </c>
      <c r="X76" s="284">
        <f>W76-(W76*U76/100)</f>
        <v>1551.9276</v>
      </c>
      <c r="Y76" s="507">
        <f>W76</f>
        <v>1633.6079999999999</v>
      </c>
      <c r="Z76" s="507">
        <f>X76</f>
        <v>1551.9276</v>
      </c>
      <c r="AA76" s="274">
        <f>'Tariffs Jan2020'!AZ70</f>
        <v>0</v>
      </c>
      <c r="AB76" s="274" t="str">
        <f>'Tariffs Jan2020'!BA70</f>
        <v>n</v>
      </c>
      <c r="AC76" s="275" t="str">
        <f>'Tariffs Jan2020'!BJ70</f>
        <v>Y</v>
      </c>
      <c r="AD76" s="425"/>
      <c r="AE76" s="425"/>
      <c r="AF76" s="427"/>
      <c r="AG76" s="427"/>
      <c r="AH76" s="427"/>
      <c r="AI76" s="427"/>
      <c r="AJ76" s="427"/>
      <c r="AK76" s="427"/>
      <c r="AL76" s="427"/>
      <c r="AM76" s="427"/>
      <c r="AN76" s="427"/>
    </row>
    <row r="77" spans="1:40" ht="14" x14ac:dyDescent="0.15">
      <c r="A77" s="270" t="str">
        <f>'Tariffs Jan2020'!F71</f>
        <v>DC Power Co</v>
      </c>
      <c r="B77" s="40" t="str">
        <f>'Tariffs Jan2020'!D71</f>
        <v>AGN Central 2</v>
      </c>
      <c r="C77" s="40" t="str">
        <f>'Tariffs Jan2020'!G71</f>
        <v>Market offer</v>
      </c>
      <c r="D77" s="59">
        <f>365*'Tariffs Jan2020'!H71/100</f>
        <v>280.8840909090909</v>
      </c>
      <c r="E77" s="59">
        <f>((C$5*'Tariffs Jan2020'!AK71/'Tariffs Jan2020'!AI71)*('Tariffs Jan2020'!O71/100))*'Tariffs Jan2020'!AI71</f>
        <v>587.04545454545439</v>
      </c>
      <c r="F77" s="59">
        <v>0</v>
      </c>
      <c r="G77" s="59">
        <v>0</v>
      </c>
      <c r="H77" s="59">
        <v>0</v>
      </c>
      <c r="I77" s="59">
        <v>0</v>
      </c>
      <c r="J77" s="59">
        <f>((C$5*'Tariffs Jan2020'!AL71/'Tariffs Jan2020'!AJ71)*('Tariffs Jan2020'!U71/100))*'Tariffs Jan2020'!AJ71</f>
        <v>587.04545454545439</v>
      </c>
      <c r="K77" s="59">
        <v>0</v>
      </c>
      <c r="L77" s="59">
        <v>0</v>
      </c>
      <c r="M77" s="59">
        <v>0</v>
      </c>
      <c r="N77" s="59">
        <v>0</v>
      </c>
      <c r="O77" s="59">
        <f t="shared" si="0"/>
        <v>1174.0909090909088</v>
      </c>
      <c r="P77" s="503">
        <f t="shared" si="30"/>
        <v>1291.4999999999998</v>
      </c>
      <c r="Q77" s="59">
        <f t="shared" si="2"/>
        <v>1454.9749999999997</v>
      </c>
      <c r="R77" s="272">
        <f t="shared" si="3"/>
        <v>1600.4724999999999</v>
      </c>
      <c r="S77" s="40">
        <f>'Tariffs Jan2020'!AN71</f>
        <v>0</v>
      </c>
      <c r="T77" s="40">
        <f>'Tariffs Jan2020'!AO71</f>
        <v>0</v>
      </c>
      <c r="U77" s="40">
        <f>'Tariffs Jan2020'!AP71</f>
        <v>0</v>
      </c>
      <c r="V77" s="40">
        <f>'Tariffs Jan2020'!AQ71</f>
        <v>0</v>
      </c>
      <c r="W77" s="284">
        <f t="shared" ref="W77" si="31">Q77</f>
        <v>1454.9749999999997</v>
      </c>
      <c r="X77" s="284">
        <f>W77</f>
        <v>1454.9749999999997</v>
      </c>
      <c r="Y77" s="507">
        <f t="shared" ref="Y77:Y87" si="32">W77*1.1</f>
        <v>1600.4724999999999</v>
      </c>
      <c r="Z77" s="507">
        <f t="shared" ref="Z77:Z87" si="33">X77*1.1</f>
        <v>1600.4724999999999</v>
      </c>
      <c r="AA77" s="274">
        <f>'Tariffs Jan2020'!AZ71</f>
        <v>0</v>
      </c>
      <c r="AB77" s="274" t="str">
        <f>'Tariffs Jan2020'!BA71</f>
        <v>n</v>
      </c>
      <c r="AC77" s="275" t="str">
        <f>'Tariffs Jan2020'!BJ71</f>
        <v>Y</v>
      </c>
      <c r="AD77" s="425"/>
      <c r="AE77" s="425"/>
      <c r="AF77" s="427"/>
      <c r="AG77" s="427"/>
      <c r="AH77" s="427"/>
      <c r="AI77" s="427"/>
      <c r="AJ77" s="427"/>
      <c r="AK77" s="427"/>
      <c r="AL77" s="427"/>
      <c r="AM77" s="427"/>
      <c r="AN77" s="427"/>
    </row>
    <row r="78" spans="1:40" ht="14" x14ac:dyDescent="0.15">
      <c r="A78" s="270" t="str">
        <f>'Tariffs Jan2020'!F72</f>
        <v>1st Energy</v>
      </c>
      <c r="B78" s="40" t="str">
        <f>'Tariffs Jan2020'!D72</f>
        <v>AGN Central 2</v>
      </c>
      <c r="C78" s="40" t="str">
        <f>'Tariffs Jan2020'!G72</f>
        <v>1st Saver</v>
      </c>
      <c r="D78" s="59">
        <f>365*'Tariffs Jan2020'!H72/100</f>
        <v>266.45</v>
      </c>
      <c r="E78" s="59">
        <f>IF($C$5*'Tariffs Jan2020'!AK72/'Tariffs Jan2020'!AI72&gt;='Tariffs Jan2020'!J72,( 'Tariffs Jan2020'!J72*'Tariffs Jan2020'!O72/100)* 'Tariffs Jan2020'!AI72,($C$5*'Tariffs Jan2020'!AK72/'Tariffs Jan2020'!AI72*'Tariffs Jan2020'!O72/100)* 'Tariffs Jan2020'!AI72)</f>
        <v>131.45045454545453</v>
      </c>
      <c r="F78" s="59">
        <f>IF($C$5*'Tariffs Jan2020'!AK72/'Tariffs Jan2020'!AI72&lt;'Tariffs Jan2020'!J72,0,IF($C$5*'Tariffs Jan2020'!AK72/'Tariffs Jan2020'!AI72&lt;='Tariffs Jan2020'!K72,($C$5*'Tariffs Jan2020'!AK72/'Tariffs Jan2020'!AI72-'Tariffs Jan2020'!J72)*('Tariffs Jan2020'!P72/100)*'Tariffs Jan2020'!AI72,('Tariffs Jan2020'!K72-'Tariffs Jan2020'!J72)*('Tariffs Jan2020'!P72/100)*'Tariffs Jan2020'!AI72))</f>
        <v>94.9731818181818</v>
      </c>
      <c r="G78" s="59">
        <f>IF($C$5*'Tariffs Jan2020'!AK72/'Tariffs Jan2020'!AI72&lt;'Tariffs Jan2020'!K72,0,IF($C$5*'Tariffs Jan2020'!AK72/'Tariffs Jan2020'!AI72&lt;='Tariffs Jan2020'!L72,($C$5*'Tariffs Jan2020'!AK72/'Tariffs Jan2020'!AI72-'Tariffs Jan2020'!K72)*('Tariffs Jan2020'!Q72/100)*'Tariffs Jan2020'!AI72,('Tariffs Jan2020'!L72-'Tariffs Jan2020'!K72)*('Tariffs Jan2020'!Q72/100)*'Tariffs Jan2020'!AI72))</f>
        <v>0</v>
      </c>
      <c r="H78" s="59">
        <f>IF($C$5*'Tariffs Jan2020'!AK72/'Tariffs Jan2020'!AI72&lt;'Tariffs Jan2020'!L72,0,IF($C$5*'Tariffs Jan2020'!AK72/'Tariffs Jan2020'!AI72&lt;='Tariffs Jan2020'!M72,($C$5*'Tariffs Jan2020'!AK72/'Tariffs Jan2020'!AI72-'Tariffs Jan2020'!L72)*('Tariffs Jan2020'!R72/100)*'Tariffs Jan2020'!AI72,('Tariffs Jan2020'!M72-'Tariffs Jan2020'!L72)*('Tariffs Jan2020'!R72/100)*'Tariffs Jan2020'!AI72))</f>
        <v>0</v>
      </c>
      <c r="I78" s="59">
        <f>IF(($C$5*'Tariffs Jan2020'!AK72/'Tariffs Jan2020'!AI72&gt;'Tariffs Jan2020'!M72),($C$5*'Tariffs Jan2020'!AK72/'Tariffs Jan2020'!AI72-'Tariffs Jan2020'!M72)*'Tariffs Jan2020'!S72/100*'Tariffs Jan2020'!AI72,0)</f>
        <v>447.95454545454544</v>
      </c>
      <c r="J78" s="59">
        <f>IF($C$5*'Tariffs Jan2020'!AL72/'Tariffs Jan2020'!AJ72&gt;='Tariffs Jan2020'!J72,('Tariffs Jan2020'!J72*'Tariffs Jan2020'!U72/100)* 'Tariffs Jan2020'!AJ72,($C$5*'Tariffs Jan2020'!AL72/'Tariffs Jan2020'!AJ72*'Tariffs Jan2020'!U72/100)* 'Tariffs Jan2020'!AJ72)</f>
        <v>131.45045454545453</v>
      </c>
      <c r="K78" s="59">
        <f>IF($C$5*'Tariffs Jan2020'!AL72/'Tariffs Jan2020'!AJ72&lt;'Tariffs Jan2020'!J72,0,IF($C$5*'Tariffs Jan2020'!AL72/'Tariffs Jan2020'!AJ72&lt;='Tariffs Jan2020'!K72,($C$5*'Tariffs Jan2020'!AL72/'Tariffs Jan2020'!AJ72-'Tariffs Jan2020'!J72)*('Tariffs Jan2020'!V72/100)*'Tariffs Jan2020'!AJ72,('Tariffs Jan2020'!K72-'Tariffs Jan2020'!J72)*('Tariffs Jan2020'!V72/100)*'Tariffs Jan2020'!AJ72))</f>
        <v>94.9731818181818</v>
      </c>
      <c r="L78" s="59">
        <f>IF($C$5*'Tariffs Jan2020'!AL72/'Tariffs Jan2020'!AJ72&lt;'Tariffs Jan2020'!K72,0,IF($C$5*'Tariffs Jan2020'!AL72/'Tariffs Jan2020'!AJ72&lt;='Tariffs Jan2020'!L72,($C$5*'Tariffs Jan2020'!AL72/'Tariffs Jan2020'!AJ72-'Tariffs Jan2020'!K72)*('Tariffs Jan2020'!W72/100)*'Tariffs Jan2020'!AJ72,('Tariffs Jan2020'!L72-'Tariffs Jan2020'!K72)*('Tariffs Jan2020'!W72/100)*'Tariffs Jan2020'!AJ72))</f>
        <v>0</v>
      </c>
      <c r="M78" s="59">
        <f>IF($C$5*'Tariffs Jan2020'!AL72/'Tariffs Jan2020'!AJ72&lt;'Tariffs Jan2020'!L72,0,IF($C$5*'Tariffs Jan2020'!AL72/'Tariffs Jan2020'!AJ72&lt;='Tariffs Jan2020'!M72,($C$5*'Tariffs Jan2020'!AL72/'Tariffs Jan2020'!AJ72-'Tariffs Jan2020'!L72)*('Tariffs Jan2020'!X72/100)*'Tariffs Jan2020'!AJ72,('Tariffs Jan2020'!M72-'Tariffs Jan2020'!L72)*('Tariffs Jan2020'!X72/100)*'Tariffs Jan2020'!AJ72))</f>
        <v>0</v>
      </c>
      <c r="N78" s="59">
        <f>IF(($C$5*'Tariffs Jan2020'!AL72/'Tariffs Jan2020'!AJ72&gt;'Tariffs Jan2020'!M72),($C$5*'Tariffs Jan2020'!AL72/'Tariffs Jan2020'!AJ72-'Tariffs Jan2020'!M72)*'Tariffs Jan2020'!Y72/100*'Tariffs Jan2020'!AJ72,0)</f>
        <v>447.95454545454544</v>
      </c>
      <c r="O78" s="59">
        <f t="shared" si="0"/>
        <v>1348.7563636363634</v>
      </c>
      <c r="P78" s="503">
        <f t="shared" si="30"/>
        <v>1483.6319999999998</v>
      </c>
      <c r="Q78" s="59">
        <f t="shared" si="2"/>
        <v>1615.2063636363634</v>
      </c>
      <c r="R78" s="272">
        <f t="shared" si="3"/>
        <v>1776.7269999999999</v>
      </c>
      <c r="S78" s="40">
        <f>'Tariffs Jan2020'!AN72</f>
        <v>0</v>
      </c>
      <c r="T78" s="40">
        <f>'Tariffs Jan2020'!AO72</f>
        <v>0</v>
      </c>
      <c r="U78" s="40">
        <f>'Tariffs Jan2020'!AP72</f>
        <v>0</v>
      </c>
      <c r="V78" s="40">
        <f>'Tariffs Jan2020'!AQ72</f>
        <v>15</v>
      </c>
      <c r="W78" s="284">
        <f>Q78</f>
        <v>1615.2063636363634</v>
      </c>
      <c r="X78" s="284">
        <f>W78-(O78*V78/100)</f>
        <v>1412.8929090909089</v>
      </c>
      <c r="Y78" s="507">
        <f t="shared" si="32"/>
        <v>1776.7269999999999</v>
      </c>
      <c r="Z78" s="507">
        <f t="shared" si="33"/>
        <v>1554.1822</v>
      </c>
      <c r="AA78" s="274">
        <f>'Tariffs Jan2020'!AZ72</f>
        <v>0</v>
      </c>
      <c r="AB78" s="274" t="str">
        <f>'Tariffs Jan2020'!BA72</f>
        <v>n</v>
      </c>
      <c r="AC78" s="275" t="str">
        <f>'Tariffs Jan2020'!BJ72</f>
        <v>Y</v>
      </c>
      <c r="AD78" s="425"/>
      <c r="AE78" s="425"/>
      <c r="AF78" s="427"/>
      <c r="AG78" s="427"/>
      <c r="AH78" s="427"/>
      <c r="AI78" s="427"/>
      <c r="AJ78" s="427"/>
      <c r="AK78" s="427"/>
      <c r="AL78" s="427"/>
      <c r="AM78" s="427"/>
      <c r="AN78" s="427"/>
    </row>
    <row r="79" spans="1:40" ht="15" thickBot="1" x14ac:dyDescent="0.2">
      <c r="A79" s="276" t="str">
        <f>'Tariffs Jan2020'!F73</f>
        <v>Kogan Energy</v>
      </c>
      <c r="B79" s="277" t="str">
        <f>'Tariffs Jan2020'!D73</f>
        <v>AGN Central 2</v>
      </c>
      <c r="C79" s="277" t="str">
        <f>'Tariffs Jan2020'!G73</f>
        <v>Market offer</v>
      </c>
      <c r="D79" s="278">
        <f>365*'Tariffs Jan2020'!H73/100</f>
        <v>224.77363636363631</v>
      </c>
      <c r="E79" s="278">
        <f>((C$5*'Tariffs Jan2020'!AK73/'Tariffs Jan2020'!AI73)*('Tariffs Jan2020'!O73/100))*'Tariffs Jan2020'!AI73</f>
        <v>664.36363636363626</v>
      </c>
      <c r="F79" s="278">
        <v>0</v>
      </c>
      <c r="G79" s="278">
        <v>0</v>
      </c>
      <c r="H79" s="278">
        <v>0</v>
      </c>
      <c r="I79" s="278">
        <v>0</v>
      </c>
      <c r="J79" s="278">
        <f>((C$5*'Tariffs Jan2020'!AL73/'Tariffs Jan2020'!AJ73)*('Tariffs Jan2020'!U73/100))*'Tariffs Jan2020'!AJ73</f>
        <v>664.36363636363626</v>
      </c>
      <c r="K79" s="278">
        <v>0</v>
      </c>
      <c r="L79" s="278">
        <v>0</v>
      </c>
      <c r="M79" s="278">
        <v>0</v>
      </c>
      <c r="N79" s="278">
        <v>0</v>
      </c>
      <c r="O79" s="278">
        <f t="shared" si="0"/>
        <v>1328.7272727272725</v>
      </c>
      <c r="P79" s="504">
        <f t="shared" si="30"/>
        <v>1461.6</v>
      </c>
      <c r="Q79" s="278">
        <f t="shared" si="2"/>
        <v>1553.5009090909089</v>
      </c>
      <c r="R79" s="280">
        <f t="shared" si="3"/>
        <v>1708.8509999999999</v>
      </c>
      <c r="S79" s="277">
        <f>'Tariffs Jan2020'!AN73</f>
        <v>0</v>
      </c>
      <c r="T79" s="277">
        <f>'Tariffs Jan2020'!AO73</f>
        <v>0</v>
      </c>
      <c r="U79" s="277">
        <f>'Tariffs Jan2020'!AP73</f>
        <v>0</v>
      </c>
      <c r="V79" s="277">
        <f>'Tariffs Jan2020'!AQ73</f>
        <v>0</v>
      </c>
      <c r="W79" s="285">
        <f t="shared" ref="W79" si="34">Q79</f>
        <v>1553.5009090909089</v>
      </c>
      <c r="X79" s="285">
        <f>W79</f>
        <v>1553.5009090909089</v>
      </c>
      <c r="Y79" s="508">
        <f t="shared" si="32"/>
        <v>1708.8509999999999</v>
      </c>
      <c r="Z79" s="508">
        <f t="shared" si="33"/>
        <v>1708.8509999999999</v>
      </c>
      <c r="AA79" s="282">
        <f>'Tariffs Jan2020'!AZ73</f>
        <v>0</v>
      </c>
      <c r="AB79" s="282" t="str">
        <f>'Tariffs Jan2020'!BA73</f>
        <v>n</v>
      </c>
      <c r="AC79" s="283" t="str">
        <f>'Tariffs Jan2020'!BJ73</f>
        <v>N</v>
      </c>
      <c r="AD79" s="425"/>
      <c r="AE79" s="425"/>
      <c r="AF79" s="427"/>
      <c r="AG79" s="427"/>
      <c r="AH79" s="427"/>
      <c r="AI79" s="427"/>
      <c r="AJ79" s="427"/>
      <c r="AK79" s="427"/>
      <c r="AL79" s="427"/>
      <c r="AM79" s="427"/>
      <c r="AN79" s="427"/>
    </row>
    <row r="80" spans="1:40" ht="15" thickTop="1" x14ac:dyDescent="0.15">
      <c r="A80" s="270" t="str">
        <f>'Tariffs Jan2020'!F74</f>
        <v>AGL</v>
      </c>
      <c r="B80" s="40" t="str">
        <f>'Tariffs Jan2020'!D74</f>
        <v>AGN Central 1</v>
      </c>
      <c r="C80" s="40" t="str">
        <f>'Tariffs Jan2020'!G74</f>
        <v>Essentials Saver</v>
      </c>
      <c r="D80" s="59">
        <f>365*'Tariffs Jan2020'!H74/100</f>
        <v>277.96409090909083</v>
      </c>
      <c r="E80" s="59">
        <f>IF($C$5*'Tariffs Jan2020'!AK74/'Tariffs Jan2020'!AI74&gt;='Tariffs Jan2020'!J74,( 'Tariffs Jan2020'!J74*'Tariffs Jan2020'!O74/100)* 'Tariffs Jan2020'!AI74,($C$5*'Tariffs Jan2020'!AK74/'Tariffs Jan2020'!AI74*'Tariffs Jan2020'!O74/100)* 'Tariffs Jan2020'!AI74)</f>
        <v>99.597272727272724</v>
      </c>
      <c r="F80" s="59">
        <f>IF($C$5*'Tariffs Jan2020'!AK74/'Tariffs Jan2020'!AI74&lt;'Tariffs Jan2020'!J74,0,IF($C$5*'Tariffs Jan2020'!AK74/'Tariffs Jan2020'!AI74&lt;='Tariffs Jan2020'!K74,($C$5*'Tariffs Jan2020'!AK74/'Tariffs Jan2020'!AI74-'Tariffs Jan2020'!J74)*('Tariffs Jan2020'!P74/100)*'Tariffs Jan2020'!AI74,('Tariffs Jan2020'!K74-'Tariffs Jan2020'!J74)*('Tariffs Jan2020'!P74/100)*'Tariffs Jan2020'!AI74))</f>
        <v>72.061363636363623</v>
      </c>
      <c r="G80" s="59">
        <f>IF($C$5*'Tariffs Jan2020'!AK74/'Tariffs Jan2020'!AI74&lt;'Tariffs Jan2020'!K74,0,IF($C$5*'Tariffs Jan2020'!AK74/'Tariffs Jan2020'!AI74&lt;='Tariffs Jan2020'!L74,($C$5*'Tariffs Jan2020'!AK74/'Tariffs Jan2020'!AI74-'Tariffs Jan2020'!K74)*('Tariffs Jan2020'!Q74/100)*'Tariffs Jan2020'!AI74,('Tariffs Jan2020'!L74-'Tariffs Jan2020'!K74)*('Tariffs Jan2020'!Q74/100)*'Tariffs Jan2020'!AI74))</f>
        <v>0</v>
      </c>
      <c r="H80" s="59">
        <f>IF($C$5*'Tariffs Jan2020'!AK74/'Tariffs Jan2020'!AI74&lt;'Tariffs Jan2020'!L74,0,IF($C$5*'Tariffs Jan2020'!AK74/'Tariffs Jan2020'!AI74&lt;='Tariffs Jan2020'!M74,($C$5*'Tariffs Jan2020'!AK74/'Tariffs Jan2020'!AI74-'Tariffs Jan2020'!L74)*('Tariffs Jan2020'!R74/100)*'Tariffs Jan2020'!AI74,('Tariffs Jan2020'!M74-'Tariffs Jan2020'!L74)*('Tariffs Jan2020'!R74/100)*'Tariffs Jan2020'!AI74))</f>
        <v>0</v>
      </c>
      <c r="I80" s="59">
        <f>IF(($C$5*'Tariffs Jan2020'!AK74/'Tariffs Jan2020'!AI74&gt;'Tariffs Jan2020'!M74),($C$5*'Tariffs Jan2020'!AK74/'Tariffs Jan2020'!AI74-'Tariffs Jan2020'!M74)*'Tariffs Jan2020'!S74/100*'Tariffs Jan2020'!AI74,0)</f>
        <v>317.04545454545456</v>
      </c>
      <c r="J80" s="59">
        <f>IF($C$5*'Tariffs Jan2020'!AL74/'Tariffs Jan2020'!AJ74&gt;='Tariffs Jan2020'!J74,('Tariffs Jan2020'!J74*'Tariffs Jan2020'!U74/100)* 'Tariffs Jan2020'!AJ74,($C$5*'Tariffs Jan2020'!AL74/'Tariffs Jan2020'!AJ74*'Tariffs Jan2020'!U74/100)* 'Tariffs Jan2020'!AJ74)</f>
        <v>99.597272727272724</v>
      </c>
      <c r="K80" s="59">
        <f>IF($C$5*'Tariffs Jan2020'!AL74/'Tariffs Jan2020'!AJ74&lt;'Tariffs Jan2020'!J74,0,IF($C$5*'Tariffs Jan2020'!AL74/'Tariffs Jan2020'!AJ74&lt;='Tariffs Jan2020'!K74,($C$5*'Tariffs Jan2020'!AL74/'Tariffs Jan2020'!AJ74-'Tariffs Jan2020'!J74)*('Tariffs Jan2020'!V74/100)*'Tariffs Jan2020'!AJ74,('Tariffs Jan2020'!K74-'Tariffs Jan2020'!J74)*('Tariffs Jan2020'!V74/100)*'Tariffs Jan2020'!AJ74))</f>
        <v>72.061363636363623</v>
      </c>
      <c r="L80" s="59">
        <f>IF($C$5*'Tariffs Jan2020'!AL74/'Tariffs Jan2020'!AJ74&lt;'Tariffs Jan2020'!K74,0,IF($C$5*'Tariffs Jan2020'!AL74/'Tariffs Jan2020'!AJ74&lt;='Tariffs Jan2020'!L74,($C$5*'Tariffs Jan2020'!AL74/'Tariffs Jan2020'!AJ74-'Tariffs Jan2020'!K74)*('Tariffs Jan2020'!W74/100)*'Tariffs Jan2020'!AJ74,('Tariffs Jan2020'!L74-'Tariffs Jan2020'!K74)*('Tariffs Jan2020'!W74/100)*'Tariffs Jan2020'!AJ74))</f>
        <v>0</v>
      </c>
      <c r="M80" s="59">
        <f>IF($C$5*'Tariffs Jan2020'!AL74/'Tariffs Jan2020'!AJ74&lt;'Tariffs Jan2020'!L74,0,IF($C$5*'Tariffs Jan2020'!AL74/'Tariffs Jan2020'!AJ74&lt;='Tariffs Jan2020'!M74,($C$5*'Tariffs Jan2020'!AL74/'Tariffs Jan2020'!AJ74-'Tariffs Jan2020'!L74)*('Tariffs Jan2020'!X74/100)*'Tariffs Jan2020'!AJ74,('Tariffs Jan2020'!M74-'Tariffs Jan2020'!L74)*('Tariffs Jan2020'!X74/100)*'Tariffs Jan2020'!AJ74))</f>
        <v>0</v>
      </c>
      <c r="N80" s="59">
        <f>IF(($C$5*'Tariffs Jan2020'!AL74/'Tariffs Jan2020'!AJ74&gt;'Tariffs Jan2020'!M74),($C$5*'Tariffs Jan2020'!AL74/'Tariffs Jan2020'!AJ74-'Tariffs Jan2020'!M74)*'Tariffs Jan2020'!Y74/100*'Tariffs Jan2020'!AJ74,0)</f>
        <v>317.04545454545456</v>
      </c>
      <c r="O80" s="59">
        <f t="shared" si="0"/>
        <v>977.40818181818167</v>
      </c>
      <c r="P80" s="503">
        <f t="shared" si="30"/>
        <v>1075.1489999999999</v>
      </c>
      <c r="Q80" s="59">
        <f t="shared" si="2"/>
        <v>1255.3722727272725</v>
      </c>
      <c r="R80" s="272">
        <f t="shared" si="3"/>
        <v>1380.9094999999998</v>
      </c>
      <c r="S80" s="40">
        <f>'Tariffs Jan2020'!AN74</f>
        <v>0</v>
      </c>
      <c r="T80" s="40">
        <f>'Tariffs Jan2020'!AO74</f>
        <v>0</v>
      </c>
      <c r="U80" s="40">
        <f>'Tariffs Jan2020'!AP74</f>
        <v>0</v>
      </c>
      <c r="V80" s="40">
        <f>'Tariffs Jan2020'!AQ74</f>
        <v>0</v>
      </c>
      <c r="W80" s="284">
        <f>Q80</f>
        <v>1255.3722727272725</v>
      </c>
      <c r="X80" s="284">
        <f>W80</f>
        <v>1255.3722727272725</v>
      </c>
      <c r="Y80" s="507">
        <f t="shared" si="32"/>
        <v>1380.9094999999998</v>
      </c>
      <c r="Z80" s="507">
        <f t="shared" si="33"/>
        <v>1380.9094999999998</v>
      </c>
      <c r="AA80" s="274">
        <f>'Tariffs Jan2020'!AZ74</f>
        <v>0</v>
      </c>
      <c r="AB80" s="274" t="str">
        <f>'Tariffs Jan2020'!BA74</f>
        <v>n</v>
      </c>
      <c r="AC80" s="275" t="str">
        <f>'Tariffs Jan2020'!BJ74</f>
        <v>N</v>
      </c>
      <c r="AD80" s="425"/>
      <c r="AE80" s="425"/>
      <c r="AF80" s="427"/>
      <c r="AG80" s="427"/>
      <c r="AH80" s="427"/>
      <c r="AI80" s="427"/>
      <c r="AJ80" s="427"/>
      <c r="AK80" s="427"/>
      <c r="AL80" s="427"/>
      <c r="AM80" s="427"/>
      <c r="AN80" s="427"/>
    </row>
    <row r="81" spans="1:40" ht="14" x14ac:dyDescent="0.15">
      <c r="A81" s="270" t="str">
        <f>'Tariffs Jan2020'!F75</f>
        <v>Alinta Energy</v>
      </c>
      <c r="B81" s="40" t="str">
        <f>'Tariffs Jan2020'!D75</f>
        <v>AGN Central 1</v>
      </c>
      <c r="C81" s="40" t="str">
        <f>'Tariffs Jan2020'!G75</f>
        <v>Home Deal</v>
      </c>
      <c r="D81" s="59">
        <f>365*'Tariffs Jan2020'!H75/100</f>
        <v>229.94999999999996</v>
      </c>
      <c r="E81" s="59">
        <f>IF($C$5*'Tariffs Jan2020'!AK75/'Tariffs Jan2020'!AI75&gt;='Tariffs Jan2020'!J75,( 'Tariffs Jan2020'!J75*'Tariffs Jan2020'!O75/100)* 'Tariffs Jan2020'!AI75,($C$5*'Tariffs Jan2020'!AK75/'Tariffs Jan2020'!AI75*'Tariffs Jan2020'!O75/100)* 'Tariffs Jan2020'!AI75)</f>
        <v>128.30999999999997</v>
      </c>
      <c r="F81" s="59">
        <f>IF($C$5*'Tariffs Jan2020'!AK75/'Tariffs Jan2020'!AI75&lt;'Tariffs Jan2020'!J75,0,IF($C$5*'Tariffs Jan2020'!AK75/'Tariffs Jan2020'!AI75&lt;='Tariffs Jan2020'!K75,($C$5*'Tariffs Jan2020'!AK75/'Tariffs Jan2020'!AI75-'Tariffs Jan2020'!J75)*('Tariffs Jan2020'!P75/100)*'Tariffs Jan2020'!AI75,('Tariffs Jan2020'!K75-'Tariffs Jan2020'!J75)*('Tariffs Jan2020'!P75/100)*'Tariffs Jan2020'!AI75))</f>
        <v>89.429999999999993</v>
      </c>
      <c r="G81" s="59">
        <f>IF($C$5*'Tariffs Jan2020'!AK75/'Tariffs Jan2020'!AI75&lt;'Tariffs Jan2020'!K75,0,IF($C$5*'Tariffs Jan2020'!AK75/'Tariffs Jan2020'!AI75&lt;='Tariffs Jan2020'!L75,($C$5*'Tariffs Jan2020'!AK75/'Tariffs Jan2020'!AI75-'Tariffs Jan2020'!K75)*('Tariffs Jan2020'!Q75/100)*'Tariffs Jan2020'!AI75,('Tariffs Jan2020'!L75-'Tariffs Jan2020'!K75)*('Tariffs Jan2020'!Q75/100)*'Tariffs Jan2020'!AI75))</f>
        <v>0</v>
      </c>
      <c r="H81" s="59">
        <f>IF($C$5*'Tariffs Jan2020'!AK75/'Tariffs Jan2020'!AI75&lt;'Tariffs Jan2020'!L75,0,IF($C$5*'Tariffs Jan2020'!AK75/'Tariffs Jan2020'!AI75&lt;='Tariffs Jan2020'!M75,($C$5*'Tariffs Jan2020'!AK75/'Tariffs Jan2020'!AI75-'Tariffs Jan2020'!L75)*('Tariffs Jan2020'!R75/100)*'Tariffs Jan2020'!AI75,('Tariffs Jan2020'!M75-'Tariffs Jan2020'!L75)*('Tariffs Jan2020'!R75/100)*'Tariffs Jan2020'!AI75))</f>
        <v>0</v>
      </c>
      <c r="I81" s="59">
        <f>IF(($C$5*'Tariffs Jan2020'!AK75/'Tariffs Jan2020'!AI75&gt;'Tariffs Jan2020'!M75),($C$5*'Tariffs Jan2020'!AK75/'Tariffs Jan2020'!AI75-'Tariffs Jan2020'!M75)*'Tariffs Jan2020'!S75/100*'Tariffs Jan2020'!AI75,0)</f>
        <v>382.5</v>
      </c>
      <c r="J81" s="59">
        <f>IF($C$5*'Tariffs Jan2020'!AL75/'Tariffs Jan2020'!AJ75&gt;='Tariffs Jan2020'!J75,('Tariffs Jan2020'!J75*'Tariffs Jan2020'!U75/100)* 'Tariffs Jan2020'!AJ75,($C$5*'Tariffs Jan2020'!AL75/'Tariffs Jan2020'!AJ75*'Tariffs Jan2020'!U75/100)* 'Tariffs Jan2020'!AJ75)</f>
        <v>128.30999999999997</v>
      </c>
      <c r="K81" s="59">
        <f>IF($C$5*'Tariffs Jan2020'!AL75/'Tariffs Jan2020'!AJ75&lt;'Tariffs Jan2020'!J75,0,IF($C$5*'Tariffs Jan2020'!AL75/'Tariffs Jan2020'!AJ75&lt;='Tariffs Jan2020'!K75,($C$5*'Tariffs Jan2020'!AL75/'Tariffs Jan2020'!AJ75-'Tariffs Jan2020'!J75)*('Tariffs Jan2020'!V75/100)*'Tariffs Jan2020'!AJ75,('Tariffs Jan2020'!K75-'Tariffs Jan2020'!J75)*('Tariffs Jan2020'!V75/100)*'Tariffs Jan2020'!AJ75))</f>
        <v>89.429999999999993</v>
      </c>
      <c r="L81" s="59">
        <f>IF($C$5*'Tariffs Jan2020'!AL75/'Tariffs Jan2020'!AJ75&lt;'Tariffs Jan2020'!K75,0,IF($C$5*'Tariffs Jan2020'!AL75/'Tariffs Jan2020'!AJ75&lt;='Tariffs Jan2020'!L75,($C$5*'Tariffs Jan2020'!AL75/'Tariffs Jan2020'!AJ75-'Tariffs Jan2020'!K75)*('Tariffs Jan2020'!W75/100)*'Tariffs Jan2020'!AJ75,('Tariffs Jan2020'!L75-'Tariffs Jan2020'!K75)*('Tariffs Jan2020'!W75/100)*'Tariffs Jan2020'!AJ75))</f>
        <v>0</v>
      </c>
      <c r="M81" s="59">
        <f>IF($C$5*'Tariffs Jan2020'!AL75/'Tariffs Jan2020'!AJ75&lt;'Tariffs Jan2020'!L75,0,IF($C$5*'Tariffs Jan2020'!AL75/'Tariffs Jan2020'!AJ75&lt;='Tariffs Jan2020'!M75,($C$5*'Tariffs Jan2020'!AL75/'Tariffs Jan2020'!AJ75-'Tariffs Jan2020'!L75)*('Tariffs Jan2020'!X75/100)*'Tariffs Jan2020'!AJ75,('Tariffs Jan2020'!M75-'Tariffs Jan2020'!L75)*('Tariffs Jan2020'!X75/100)*'Tariffs Jan2020'!AJ75))</f>
        <v>0</v>
      </c>
      <c r="N81" s="59">
        <f>IF(($C$5*'Tariffs Jan2020'!AL75/'Tariffs Jan2020'!AJ75&gt;'Tariffs Jan2020'!M75),($C$5*'Tariffs Jan2020'!AL75/'Tariffs Jan2020'!AJ75-'Tariffs Jan2020'!M75)*'Tariffs Jan2020'!Y75/100*'Tariffs Jan2020'!AJ75,0)</f>
        <v>382.5</v>
      </c>
      <c r="O81" s="59">
        <f t="shared" si="0"/>
        <v>1200.48</v>
      </c>
      <c r="P81" s="503">
        <f t="shared" si="30"/>
        <v>1320.528</v>
      </c>
      <c r="Q81" s="59">
        <f t="shared" si="2"/>
        <v>1430.43</v>
      </c>
      <c r="R81" s="272">
        <f t="shared" si="3"/>
        <v>1573.4730000000002</v>
      </c>
      <c r="S81" s="40">
        <f>'Tariffs Jan2020'!AN75</f>
        <v>0</v>
      </c>
      <c r="T81" s="40">
        <f>'Tariffs Jan2020'!AO75</f>
        <v>0</v>
      </c>
      <c r="U81" s="40">
        <f>'Tariffs Jan2020'!AP75</f>
        <v>0</v>
      </c>
      <c r="V81" s="40">
        <f>'Tariffs Jan2020'!AQ75</f>
        <v>0</v>
      </c>
      <c r="W81" s="284">
        <f>Q81</f>
        <v>1430.43</v>
      </c>
      <c r="X81" s="284">
        <f>W81</f>
        <v>1430.43</v>
      </c>
      <c r="Y81" s="507">
        <f t="shared" si="32"/>
        <v>1573.4730000000002</v>
      </c>
      <c r="Z81" s="507">
        <f t="shared" si="33"/>
        <v>1573.4730000000002</v>
      </c>
      <c r="AA81" s="274">
        <f>'Tariffs Jan2020'!AZ75</f>
        <v>0</v>
      </c>
      <c r="AB81" s="274" t="str">
        <f>'Tariffs Jan2020'!BA75</f>
        <v>n</v>
      </c>
      <c r="AC81" s="275" t="str">
        <f>'Tariffs Jan2020'!BJ75</f>
        <v>N</v>
      </c>
      <c r="AD81" s="425"/>
      <c r="AE81" s="425"/>
      <c r="AF81" s="427"/>
      <c r="AG81" s="427"/>
      <c r="AH81" s="427"/>
      <c r="AI81" s="427"/>
      <c r="AJ81" s="427"/>
      <c r="AK81" s="427"/>
      <c r="AL81" s="427"/>
      <c r="AM81" s="427"/>
      <c r="AN81" s="427"/>
    </row>
    <row r="82" spans="1:40" ht="14" x14ac:dyDescent="0.15">
      <c r="A82" s="270" t="str">
        <f>'Tariffs Jan2020'!F76</f>
        <v>Click Energy</v>
      </c>
      <c r="B82" s="40" t="str">
        <f>'Tariffs Jan2020'!D76</f>
        <v>AGN Central 1</v>
      </c>
      <c r="C82" s="40" t="str">
        <f>'Tariffs Jan2020'!G76</f>
        <v>Hibiscus</v>
      </c>
      <c r="D82" s="59">
        <f>365*'Tariffs Jan2020'!H76/100</f>
        <v>216.61090909090908</v>
      </c>
      <c r="E82" s="59">
        <f>IF($C$5*'Tariffs Jan2020'!AK76/'Tariffs Jan2020'!AI76&gt;='Tariffs Jan2020'!J76,( 'Tariffs Jan2020'!J76*'Tariffs Jan2020'!O76/100)* 'Tariffs Jan2020'!AI76,($C$5*'Tariffs Jan2020'!AK76/'Tariffs Jan2020'!AI76*'Tariffs Jan2020'!O76/100)* 'Tariffs Jan2020'!AI76)</f>
        <v>136.83409090909089</v>
      </c>
      <c r="F82" s="59">
        <f>IF($C$5*'Tariffs Jan2020'!AK76/'Tariffs Jan2020'!AI76&lt;'Tariffs Jan2020'!J76,0,IF($C$5*'Tariffs Jan2020'!AK76/'Tariffs Jan2020'!AI76&lt;='Tariffs Jan2020'!K76,($C$5*'Tariffs Jan2020'!AK76/'Tariffs Jan2020'!AI76-'Tariffs Jan2020'!J76)*('Tariffs Jan2020'!P76/100)*'Tariffs Jan2020'!AI76,('Tariffs Jan2020'!K76-'Tariffs Jan2020'!J76)*('Tariffs Jan2020'!P76/100)*'Tariffs Jan2020'!AI76))</f>
        <v>96.081818181818164</v>
      </c>
      <c r="G82" s="59">
        <f>IF($C$5*'Tariffs Jan2020'!AK76/'Tariffs Jan2020'!AI76&lt;'Tariffs Jan2020'!K76,0,IF($C$5*'Tariffs Jan2020'!AK76/'Tariffs Jan2020'!AI76&lt;='Tariffs Jan2020'!L76,($C$5*'Tariffs Jan2020'!AK76/'Tariffs Jan2020'!AI76-'Tariffs Jan2020'!K76)*('Tariffs Jan2020'!Q76/100)*'Tariffs Jan2020'!AI76,('Tariffs Jan2020'!L76-'Tariffs Jan2020'!K76)*('Tariffs Jan2020'!Q76/100)*'Tariffs Jan2020'!AI76))</f>
        <v>0</v>
      </c>
      <c r="H82" s="59">
        <f>IF($C$5*'Tariffs Jan2020'!AK76/'Tariffs Jan2020'!AI76&lt;'Tariffs Jan2020'!L76,0,IF($C$5*'Tariffs Jan2020'!AK76/'Tariffs Jan2020'!AI76&lt;='Tariffs Jan2020'!M76,($C$5*'Tariffs Jan2020'!AK76/'Tariffs Jan2020'!AI76-'Tariffs Jan2020'!L76)*('Tariffs Jan2020'!R76/100)*'Tariffs Jan2020'!AI76,('Tariffs Jan2020'!M76-'Tariffs Jan2020'!L76)*('Tariffs Jan2020'!R76/100)*'Tariffs Jan2020'!AI76))</f>
        <v>0</v>
      </c>
      <c r="I82" s="59">
        <f>IF(($C$5*'Tariffs Jan2020'!AK76/'Tariffs Jan2020'!AI76&gt;'Tariffs Jan2020'!M76),($C$5*'Tariffs Jan2020'!AK76/'Tariffs Jan2020'!AI76-'Tariffs Jan2020'!M76)*'Tariffs Jan2020'!S76/100*'Tariffs Jan2020'!AI76,0)</f>
        <v>458.18181818181824</v>
      </c>
      <c r="J82" s="59">
        <f>IF($C$5*'Tariffs Jan2020'!AL76/'Tariffs Jan2020'!AJ76&gt;='Tariffs Jan2020'!J76,('Tariffs Jan2020'!J76*'Tariffs Jan2020'!U76/100)* 'Tariffs Jan2020'!AJ76,($C$5*'Tariffs Jan2020'!AL76/'Tariffs Jan2020'!AJ76*'Tariffs Jan2020'!U76/100)* 'Tariffs Jan2020'!AJ76)</f>
        <v>136.83409090909089</v>
      </c>
      <c r="K82" s="59">
        <f>IF($C$5*'Tariffs Jan2020'!AL76/'Tariffs Jan2020'!AJ76&lt;'Tariffs Jan2020'!J76,0,IF($C$5*'Tariffs Jan2020'!AL76/'Tariffs Jan2020'!AJ76&lt;='Tariffs Jan2020'!K76,($C$5*'Tariffs Jan2020'!AL76/'Tariffs Jan2020'!AJ76-'Tariffs Jan2020'!J76)*('Tariffs Jan2020'!V76/100)*'Tariffs Jan2020'!AJ76,('Tariffs Jan2020'!K76-'Tariffs Jan2020'!J76)*('Tariffs Jan2020'!V76/100)*'Tariffs Jan2020'!AJ76))</f>
        <v>96.081818181818164</v>
      </c>
      <c r="L82" s="59">
        <f>IF($C$5*'Tariffs Jan2020'!AL76/'Tariffs Jan2020'!AJ76&lt;'Tariffs Jan2020'!K76,0,IF($C$5*'Tariffs Jan2020'!AL76/'Tariffs Jan2020'!AJ76&lt;='Tariffs Jan2020'!L76,($C$5*'Tariffs Jan2020'!AL76/'Tariffs Jan2020'!AJ76-'Tariffs Jan2020'!K76)*('Tariffs Jan2020'!W76/100)*'Tariffs Jan2020'!AJ76,('Tariffs Jan2020'!L76-'Tariffs Jan2020'!K76)*('Tariffs Jan2020'!W76/100)*'Tariffs Jan2020'!AJ76))</f>
        <v>0</v>
      </c>
      <c r="M82" s="59">
        <f>IF($C$5*'Tariffs Jan2020'!AL76/'Tariffs Jan2020'!AJ76&lt;'Tariffs Jan2020'!L76,0,IF($C$5*'Tariffs Jan2020'!AL76/'Tariffs Jan2020'!AJ76&lt;='Tariffs Jan2020'!M76,($C$5*'Tariffs Jan2020'!AL76/'Tariffs Jan2020'!AJ76-'Tariffs Jan2020'!L76)*('Tariffs Jan2020'!X76/100)*'Tariffs Jan2020'!AJ76,('Tariffs Jan2020'!M76-'Tariffs Jan2020'!L76)*('Tariffs Jan2020'!X76/100)*'Tariffs Jan2020'!AJ76))</f>
        <v>0</v>
      </c>
      <c r="N82" s="59">
        <f>IF(($C$5*'Tariffs Jan2020'!AL76/'Tariffs Jan2020'!AJ76&gt;'Tariffs Jan2020'!M76),($C$5*'Tariffs Jan2020'!AL76/'Tariffs Jan2020'!AJ76-'Tariffs Jan2020'!M76)*'Tariffs Jan2020'!Y76/100*'Tariffs Jan2020'!AJ76,0)</f>
        <v>458.18181818181824</v>
      </c>
      <c r="O82" s="59">
        <f t="shared" si="0"/>
        <v>1382.1954545454546</v>
      </c>
      <c r="P82" s="503">
        <f t="shared" si="30"/>
        <v>1520.4150000000002</v>
      </c>
      <c r="Q82" s="59">
        <f t="shared" si="2"/>
        <v>1598.8063636363636</v>
      </c>
      <c r="R82" s="272">
        <f t="shared" si="3"/>
        <v>1758.6870000000001</v>
      </c>
      <c r="S82" s="40">
        <f>'Tariffs Jan2020'!AN76</f>
        <v>0</v>
      </c>
      <c r="T82" s="40">
        <f>'Tariffs Jan2020'!AO76</f>
        <v>0</v>
      </c>
      <c r="U82" s="40">
        <f>'Tariffs Jan2020'!AP76</f>
        <v>0</v>
      </c>
      <c r="V82" s="40">
        <f>'Tariffs Jan2020'!AQ76</f>
        <v>0</v>
      </c>
      <c r="W82" s="284">
        <f>Q82</f>
        <v>1598.8063636363636</v>
      </c>
      <c r="X82" s="284">
        <f>W82</f>
        <v>1598.8063636363636</v>
      </c>
      <c r="Y82" s="507">
        <f t="shared" si="32"/>
        <v>1758.6870000000001</v>
      </c>
      <c r="Z82" s="507">
        <f t="shared" si="33"/>
        <v>1758.6870000000001</v>
      </c>
      <c r="AA82" s="274">
        <f>'Tariffs Jan2020'!AZ76</f>
        <v>0</v>
      </c>
      <c r="AB82" s="274" t="str">
        <f>'Tariffs Jan2020'!BA76</f>
        <v>n</v>
      </c>
      <c r="AC82" s="275" t="str">
        <f>'Tariffs Jan2020'!BJ76</f>
        <v>N</v>
      </c>
      <c r="AD82" s="425"/>
      <c r="AE82" s="425"/>
      <c r="AF82" s="427"/>
      <c r="AG82" s="427"/>
      <c r="AH82" s="427"/>
      <c r="AI82" s="427"/>
      <c r="AJ82" s="427"/>
      <c r="AK82" s="427"/>
      <c r="AL82" s="427"/>
      <c r="AM82" s="427"/>
      <c r="AN82" s="427"/>
    </row>
    <row r="83" spans="1:40" ht="14" x14ac:dyDescent="0.15">
      <c r="A83" s="270" t="str">
        <f>'Tariffs Jan2020'!F77</f>
        <v>Covau</v>
      </c>
      <c r="B83" s="40" t="str">
        <f>'Tariffs Jan2020'!D77</f>
        <v>AGN Central 1</v>
      </c>
      <c r="C83" s="40" t="str">
        <f>'Tariffs Jan2020'!G77</f>
        <v>Smart Saver</v>
      </c>
      <c r="D83" s="59">
        <f>365*'Tariffs Jan2020'!H77/100</f>
        <v>273.75</v>
      </c>
      <c r="E83" s="59">
        <f>IF($C$5*'Tariffs Jan2020'!AK77/'Tariffs Jan2020'!AI77&gt;='Tariffs Jan2020'!J77,( 'Tariffs Jan2020'!J77*'Tariffs Jan2020'!O77/100)* 'Tariffs Jan2020'!AI77,($C$5*'Tariffs Jan2020'!AK77/'Tariffs Jan2020'!AI77*'Tariffs Jan2020'!O77/100)* 'Tariffs Jan2020'!AI77)</f>
        <v>156.57409090909093</v>
      </c>
      <c r="F83" s="59">
        <f>IF($C$5*'Tariffs Jan2020'!AK77/'Tariffs Jan2020'!AI77&lt;'Tariffs Jan2020'!J77,0,IF($C$5*'Tariffs Jan2020'!AK77/'Tariffs Jan2020'!AI77&lt;='Tariffs Jan2020'!K77,($C$5*'Tariffs Jan2020'!AK77/'Tariffs Jan2020'!AI77-'Tariffs Jan2020'!J77)*('Tariffs Jan2020'!P77/100)*'Tariffs Jan2020'!AI77,('Tariffs Jan2020'!K77-'Tariffs Jan2020'!J77)*('Tariffs Jan2020'!P77/100)*'Tariffs Jan2020'!AI77))</f>
        <v>101.625</v>
      </c>
      <c r="G83" s="59">
        <f>IF($C$5*'Tariffs Jan2020'!AK77/'Tariffs Jan2020'!AI77&lt;'Tariffs Jan2020'!K77,0,IF($C$5*'Tariffs Jan2020'!AK77/'Tariffs Jan2020'!AI77&lt;='Tariffs Jan2020'!L77,($C$5*'Tariffs Jan2020'!AK77/'Tariffs Jan2020'!AI77-'Tariffs Jan2020'!K77)*('Tariffs Jan2020'!Q77/100)*'Tariffs Jan2020'!AI77,('Tariffs Jan2020'!L77-'Tariffs Jan2020'!K77)*('Tariffs Jan2020'!Q77/100)*'Tariffs Jan2020'!AI77))</f>
        <v>0</v>
      </c>
      <c r="H83" s="59">
        <f>IF($C$5*'Tariffs Jan2020'!AK77/'Tariffs Jan2020'!AI77&lt;'Tariffs Jan2020'!L77,0,IF($C$5*'Tariffs Jan2020'!AK77/'Tariffs Jan2020'!AI77&lt;='Tariffs Jan2020'!M77,($C$5*'Tariffs Jan2020'!AK77/'Tariffs Jan2020'!AI77-'Tariffs Jan2020'!L77)*('Tariffs Jan2020'!R77/100)*'Tariffs Jan2020'!AI77,('Tariffs Jan2020'!M77-'Tariffs Jan2020'!L77)*('Tariffs Jan2020'!R77/100)*'Tariffs Jan2020'!AI77))</f>
        <v>0</v>
      </c>
      <c r="I83" s="59">
        <f>IF(($C$5*'Tariffs Jan2020'!AK77/'Tariffs Jan2020'!AI77&gt;'Tariffs Jan2020'!M77),($C$5*'Tariffs Jan2020'!AK77/'Tariffs Jan2020'!AI77-'Tariffs Jan2020'!M77)*'Tariffs Jan2020'!S77/100*'Tariffs Jan2020'!AI77,0)</f>
        <v>507.27272727272725</v>
      </c>
      <c r="J83" s="59">
        <f>IF($C$5*'Tariffs Jan2020'!AL77/'Tariffs Jan2020'!AJ77&gt;='Tariffs Jan2020'!J77,('Tariffs Jan2020'!J77*'Tariffs Jan2020'!U77/100)* 'Tariffs Jan2020'!AJ77,($C$5*'Tariffs Jan2020'!AL77/'Tariffs Jan2020'!AJ77*'Tariffs Jan2020'!U77/100)* 'Tariffs Jan2020'!AJ77)</f>
        <v>156.57409090909093</v>
      </c>
      <c r="K83" s="59">
        <f>IF($C$5*'Tariffs Jan2020'!AL77/'Tariffs Jan2020'!AJ77&lt;'Tariffs Jan2020'!J77,0,IF($C$5*'Tariffs Jan2020'!AL77/'Tariffs Jan2020'!AJ77&lt;='Tariffs Jan2020'!K77,($C$5*'Tariffs Jan2020'!AL77/'Tariffs Jan2020'!AJ77-'Tariffs Jan2020'!J77)*('Tariffs Jan2020'!V77/100)*'Tariffs Jan2020'!AJ77,('Tariffs Jan2020'!K77-'Tariffs Jan2020'!J77)*('Tariffs Jan2020'!V77/100)*'Tariffs Jan2020'!AJ77))</f>
        <v>101.625</v>
      </c>
      <c r="L83" s="59">
        <f>IF($C$5*'Tariffs Jan2020'!AL77/'Tariffs Jan2020'!AJ77&lt;'Tariffs Jan2020'!K77,0,IF($C$5*'Tariffs Jan2020'!AL77/'Tariffs Jan2020'!AJ77&lt;='Tariffs Jan2020'!L77,($C$5*'Tariffs Jan2020'!AL77/'Tariffs Jan2020'!AJ77-'Tariffs Jan2020'!K77)*('Tariffs Jan2020'!W77/100)*'Tariffs Jan2020'!AJ77,('Tariffs Jan2020'!L77-'Tariffs Jan2020'!K77)*('Tariffs Jan2020'!W77/100)*'Tariffs Jan2020'!AJ77))</f>
        <v>0</v>
      </c>
      <c r="M83" s="59">
        <f>IF($C$5*'Tariffs Jan2020'!AL77/'Tariffs Jan2020'!AJ77&lt;'Tariffs Jan2020'!L77,0,IF($C$5*'Tariffs Jan2020'!AL77/'Tariffs Jan2020'!AJ77&lt;='Tariffs Jan2020'!M77,($C$5*'Tariffs Jan2020'!AL77/'Tariffs Jan2020'!AJ77-'Tariffs Jan2020'!L77)*('Tariffs Jan2020'!X77/100)*'Tariffs Jan2020'!AJ77,('Tariffs Jan2020'!M77-'Tariffs Jan2020'!L77)*('Tariffs Jan2020'!X77/100)*'Tariffs Jan2020'!AJ77))</f>
        <v>0</v>
      </c>
      <c r="N83" s="59">
        <f>IF(($C$5*'Tariffs Jan2020'!AL77/'Tariffs Jan2020'!AJ77&gt;'Tariffs Jan2020'!M77),($C$5*'Tariffs Jan2020'!AL77/'Tariffs Jan2020'!AJ77-'Tariffs Jan2020'!M77)*'Tariffs Jan2020'!Y77/100*'Tariffs Jan2020'!AJ77,0)</f>
        <v>507.27272727272725</v>
      </c>
      <c r="O83" s="59">
        <f t="shared" si="0"/>
        <v>1530.9436363636364</v>
      </c>
      <c r="P83" s="503">
        <f t="shared" si="30"/>
        <v>1684.0380000000002</v>
      </c>
      <c r="Q83" s="59">
        <f t="shared" si="2"/>
        <v>1804.6936363636364</v>
      </c>
      <c r="R83" s="272">
        <f t="shared" si="3"/>
        <v>1985.1630000000002</v>
      </c>
      <c r="S83" s="40">
        <f>'Tariffs Jan2020'!AN77</f>
        <v>0</v>
      </c>
      <c r="T83" s="40">
        <f>'Tariffs Jan2020'!AO77</f>
        <v>16</v>
      </c>
      <c r="U83" s="40">
        <f>'Tariffs Jan2020'!AP77</f>
        <v>0</v>
      </c>
      <c r="V83" s="40">
        <f>'Tariffs Jan2020'!AQ77</f>
        <v>0</v>
      </c>
      <c r="W83" s="284">
        <f>Q83-(O83*T83/100)</f>
        <v>1559.7426545454546</v>
      </c>
      <c r="X83" s="284">
        <f>W83</f>
        <v>1559.7426545454546</v>
      </c>
      <c r="Y83" s="507">
        <f t="shared" si="32"/>
        <v>1715.7169200000001</v>
      </c>
      <c r="Z83" s="507">
        <f t="shared" si="33"/>
        <v>1715.7169200000001</v>
      </c>
      <c r="AA83" s="274">
        <f>'Tariffs Jan2020'!AZ77</f>
        <v>0</v>
      </c>
      <c r="AB83" s="274" t="str">
        <f>'Tariffs Jan2020'!BA77</f>
        <v>n</v>
      </c>
      <c r="AC83" s="275" t="str">
        <f>'Tariffs Jan2020'!BJ77</f>
        <v>N</v>
      </c>
      <c r="AD83" s="425"/>
      <c r="AE83" s="425"/>
      <c r="AF83" s="427"/>
      <c r="AG83" s="427"/>
      <c r="AH83" s="427"/>
      <c r="AI83" s="427"/>
      <c r="AJ83" s="427"/>
      <c r="AK83" s="427"/>
      <c r="AL83" s="427"/>
      <c r="AM83" s="427"/>
      <c r="AN83" s="427"/>
    </row>
    <row r="84" spans="1:40" ht="14" x14ac:dyDescent="0.15">
      <c r="A84" s="270" t="str">
        <f>'Tariffs Jan2020'!F78</f>
        <v>Dodo Power &amp; Gas</v>
      </c>
      <c r="B84" s="40" t="str">
        <f>'Tariffs Jan2020'!D78</f>
        <v>AGN Central 1</v>
      </c>
      <c r="C84" s="40" t="str">
        <f>'Tariffs Jan2020'!G78</f>
        <v>Market offer</v>
      </c>
      <c r="D84" s="59">
        <f>365*'Tariffs Jan2020'!H78/100</f>
        <v>220.65909090909088</v>
      </c>
      <c r="E84" s="59">
        <f>IF($C$5*'Tariffs Jan2020'!AK78/'Tariffs Jan2020'!AI78&gt;='Tariffs Jan2020'!J78,( 'Tariffs Jan2020'!J78*'Tariffs Jan2020'!O78/100)* 'Tariffs Jan2020'!AI78,($C$5*'Tariffs Jan2020'!AK78/'Tariffs Jan2020'!AI78*'Tariffs Jan2020'!O78/100)* 'Tariffs Jan2020'!AI78)</f>
        <v>135.93681818181815</v>
      </c>
      <c r="F84" s="59">
        <f>IF($C$5*'Tariffs Jan2020'!AK78/'Tariffs Jan2020'!AI78&lt;'Tariffs Jan2020'!J78,0,IF($C$5*'Tariffs Jan2020'!AK78/'Tariffs Jan2020'!AI78&lt;='Tariffs Jan2020'!K78,($C$5*'Tariffs Jan2020'!AK78/'Tariffs Jan2020'!AI78-'Tariffs Jan2020'!J78)*('Tariffs Jan2020'!P78/100)*'Tariffs Jan2020'!AI78,('Tariffs Jan2020'!K78-'Tariffs Jan2020'!J78)*('Tariffs Jan2020'!P78/100)*'Tariffs Jan2020'!AI78))</f>
        <v>89.429999999999993</v>
      </c>
      <c r="G84" s="59">
        <f>IF($C$5*'Tariffs Jan2020'!AK78/'Tariffs Jan2020'!AI78&lt;'Tariffs Jan2020'!K78,0,IF($C$5*'Tariffs Jan2020'!AK78/'Tariffs Jan2020'!AI78&lt;='Tariffs Jan2020'!L78,($C$5*'Tariffs Jan2020'!AK78/'Tariffs Jan2020'!AI78-'Tariffs Jan2020'!K78)*('Tariffs Jan2020'!Q78/100)*'Tariffs Jan2020'!AI78,('Tariffs Jan2020'!L78-'Tariffs Jan2020'!K78)*('Tariffs Jan2020'!Q78/100)*'Tariffs Jan2020'!AI78))</f>
        <v>0</v>
      </c>
      <c r="H84" s="59">
        <f>IF($C$5*'Tariffs Jan2020'!AK78/'Tariffs Jan2020'!AI78&lt;'Tariffs Jan2020'!L78,0,IF($C$5*'Tariffs Jan2020'!AK78/'Tariffs Jan2020'!AI78&lt;='Tariffs Jan2020'!M78,($C$5*'Tariffs Jan2020'!AK78/'Tariffs Jan2020'!AI78-'Tariffs Jan2020'!L78)*('Tariffs Jan2020'!R78/100)*'Tariffs Jan2020'!AI78,('Tariffs Jan2020'!M78-'Tariffs Jan2020'!L78)*('Tariffs Jan2020'!R78/100)*'Tariffs Jan2020'!AI78))</f>
        <v>0</v>
      </c>
      <c r="I84" s="59">
        <f>IF(($C$5*'Tariffs Jan2020'!AK78/'Tariffs Jan2020'!AI78&gt;'Tariffs Jan2020'!M78),($C$5*'Tariffs Jan2020'!AK78/'Tariffs Jan2020'!AI78-'Tariffs Jan2020'!M78)*'Tariffs Jan2020'!S78/100*'Tariffs Jan2020'!AI78,0)</f>
        <v>462.2727272727272</v>
      </c>
      <c r="J84" s="59">
        <f>IF($C$5*'Tariffs Jan2020'!AL78/'Tariffs Jan2020'!AJ78&gt;='Tariffs Jan2020'!J78,('Tariffs Jan2020'!J78*'Tariffs Jan2020'!U78/100)* 'Tariffs Jan2020'!AJ78,($C$5*'Tariffs Jan2020'!AL78/'Tariffs Jan2020'!AJ78*'Tariffs Jan2020'!U78/100)* 'Tariffs Jan2020'!AJ78)</f>
        <v>135.93681818181815</v>
      </c>
      <c r="K84" s="59">
        <f>IF($C$5*'Tariffs Jan2020'!AL78/'Tariffs Jan2020'!AJ78&lt;'Tariffs Jan2020'!J78,0,IF($C$5*'Tariffs Jan2020'!AL78/'Tariffs Jan2020'!AJ78&lt;='Tariffs Jan2020'!K78,($C$5*'Tariffs Jan2020'!AL78/'Tariffs Jan2020'!AJ78-'Tariffs Jan2020'!J78)*('Tariffs Jan2020'!V78/100)*'Tariffs Jan2020'!AJ78,('Tariffs Jan2020'!K78-'Tariffs Jan2020'!J78)*('Tariffs Jan2020'!V78/100)*'Tariffs Jan2020'!AJ78))</f>
        <v>89.429999999999993</v>
      </c>
      <c r="L84" s="59">
        <f>IF($C$5*'Tariffs Jan2020'!AL78/'Tariffs Jan2020'!AJ78&lt;'Tariffs Jan2020'!K78,0,IF($C$5*'Tariffs Jan2020'!AL78/'Tariffs Jan2020'!AJ78&lt;='Tariffs Jan2020'!L78,($C$5*'Tariffs Jan2020'!AL78/'Tariffs Jan2020'!AJ78-'Tariffs Jan2020'!K78)*('Tariffs Jan2020'!W78/100)*'Tariffs Jan2020'!AJ78,('Tariffs Jan2020'!L78-'Tariffs Jan2020'!K78)*('Tariffs Jan2020'!W78/100)*'Tariffs Jan2020'!AJ78))</f>
        <v>0</v>
      </c>
      <c r="M84" s="59">
        <f>IF($C$5*'Tariffs Jan2020'!AL78/'Tariffs Jan2020'!AJ78&lt;'Tariffs Jan2020'!L78,0,IF($C$5*'Tariffs Jan2020'!AL78/'Tariffs Jan2020'!AJ78&lt;='Tariffs Jan2020'!M78,($C$5*'Tariffs Jan2020'!AL78/'Tariffs Jan2020'!AJ78-'Tariffs Jan2020'!L78)*('Tariffs Jan2020'!X78/100)*'Tariffs Jan2020'!AJ78,('Tariffs Jan2020'!M78-'Tariffs Jan2020'!L78)*('Tariffs Jan2020'!X78/100)*'Tariffs Jan2020'!AJ78))</f>
        <v>0</v>
      </c>
      <c r="N84" s="59">
        <f>IF(($C$5*'Tariffs Jan2020'!AL78/'Tariffs Jan2020'!AJ78&gt;'Tariffs Jan2020'!M78),($C$5*'Tariffs Jan2020'!AL78/'Tariffs Jan2020'!AJ78-'Tariffs Jan2020'!M78)*'Tariffs Jan2020'!Y78/100*'Tariffs Jan2020'!AJ78,0)</f>
        <v>462.2727272727272</v>
      </c>
      <c r="O84" s="59">
        <f t="shared" si="0"/>
        <v>1375.2790909090907</v>
      </c>
      <c r="P84" s="503">
        <f t="shared" si="30"/>
        <v>1512.8069999999998</v>
      </c>
      <c r="Q84" s="59">
        <f t="shared" si="2"/>
        <v>1595.9381818181814</v>
      </c>
      <c r="R84" s="272">
        <f t="shared" si="3"/>
        <v>1755.5319999999997</v>
      </c>
      <c r="S84" s="40">
        <f>'Tariffs Jan2020'!AN78</f>
        <v>0</v>
      </c>
      <c r="T84" s="40">
        <f>'Tariffs Jan2020'!AO78</f>
        <v>0</v>
      </c>
      <c r="U84" s="40">
        <f>'Tariffs Jan2020'!AP78</f>
        <v>0</v>
      </c>
      <c r="V84" s="40">
        <f>'Tariffs Jan2020'!AQ78</f>
        <v>20</v>
      </c>
      <c r="W84" s="284">
        <f>Q84</f>
        <v>1595.9381818181814</v>
      </c>
      <c r="X84" s="284">
        <f>W84-(O84*V84/100)</f>
        <v>1320.8823636363632</v>
      </c>
      <c r="Y84" s="507">
        <f t="shared" si="32"/>
        <v>1755.5319999999997</v>
      </c>
      <c r="Z84" s="507">
        <f t="shared" si="33"/>
        <v>1452.9705999999996</v>
      </c>
      <c r="AA84" s="274">
        <f>'Tariffs Jan2020'!AZ78</f>
        <v>0</v>
      </c>
      <c r="AB84" s="274" t="str">
        <f>'Tariffs Jan2020'!BA78</f>
        <v>n</v>
      </c>
      <c r="AC84" s="275" t="str">
        <f>'Tariffs Jan2020'!BJ78</f>
        <v>N</v>
      </c>
      <c r="AD84" s="425"/>
      <c r="AE84" s="425"/>
      <c r="AF84" s="427"/>
      <c r="AG84" s="427"/>
      <c r="AH84" s="427"/>
      <c r="AI84" s="427"/>
      <c r="AJ84" s="427"/>
      <c r="AK84" s="427"/>
      <c r="AL84" s="427"/>
      <c r="AM84" s="427"/>
      <c r="AN84" s="427"/>
    </row>
    <row r="85" spans="1:40" ht="14" x14ac:dyDescent="0.15">
      <c r="A85" s="270" t="str">
        <f>'Tariffs Jan2020'!F79</f>
        <v>EnergyAustralia</v>
      </c>
      <c r="B85" s="40" t="str">
        <f>'Tariffs Jan2020'!D79</f>
        <v>AGN Central 1</v>
      </c>
      <c r="C85" s="40" t="str">
        <f>'Tariffs Jan2020'!G79</f>
        <v>Total Plan</v>
      </c>
      <c r="D85" s="59">
        <f>365*'Tariffs Jan2020'!H79/100</f>
        <v>301.125</v>
      </c>
      <c r="E85" s="59">
        <f>IF($C$5*'Tariffs Jan2020'!AK79/'Tariffs Jan2020'!AI79&gt;='Tariffs Jan2020'!J79,( 'Tariffs Jan2020'!J79*'Tariffs Jan2020'!O79/100)* 'Tariffs Jan2020'!AI79,($C$5*'Tariffs Jan2020'!AK79/'Tariffs Jan2020'!AI79*'Tariffs Jan2020'!O79/100)* 'Tariffs Jan2020'!AI79)</f>
        <v>272.45454545454538</v>
      </c>
      <c r="F85" s="59">
        <f>IF($C$5*'Tariffs Jan2020'!AK79/'Tariffs Jan2020'!AI79&lt;'Tariffs Jan2020'!J79,0,IF($C$5*'Tariffs Jan2020'!AK79/'Tariffs Jan2020'!AI79&lt;='Tariffs Jan2020'!K79,($C$5*'Tariffs Jan2020'!AK79/'Tariffs Jan2020'!AI79-'Tariffs Jan2020'!J79)*('Tariffs Jan2020'!P79/100)*'Tariffs Jan2020'!AI79,('Tariffs Jan2020'!K79-'Tariffs Jan2020'!J79)*('Tariffs Jan2020'!P79/100)*'Tariffs Jan2020'!AI79))</f>
        <v>0</v>
      </c>
      <c r="G85" s="59">
        <f>IF($C$5*'Tariffs Jan2020'!AK79/'Tariffs Jan2020'!AI79&lt;'Tariffs Jan2020'!K79,0,IF($C$5*'Tariffs Jan2020'!AK79/'Tariffs Jan2020'!AI79&lt;='Tariffs Jan2020'!L79,($C$5*'Tariffs Jan2020'!AK79/'Tariffs Jan2020'!AI79-'Tariffs Jan2020'!K79)*('Tariffs Jan2020'!Q79/100)*'Tariffs Jan2020'!AI79,('Tariffs Jan2020'!L79-'Tariffs Jan2020'!K79)*('Tariffs Jan2020'!Q79/100)*'Tariffs Jan2020'!AI79))</f>
        <v>0</v>
      </c>
      <c r="H85" s="59">
        <f>IF($C$5*'Tariffs Jan2020'!AK79/'Tariffs Jan2020'!AI79&lt;'Tariffs Jan2020'!L79,0,IF($C$5*'Tariffs Jan2020'!AK79/'Tariffs Jan2020'!AI79&lt;='Tariffs Jan2020'!M79,($C$5*'Tariffs Jan2020'!AK79/'Tariffs Jan2020'!AI79-'Tariffs Jan2020'!L79)*('Tariffs Jan2020'!R79/100)*'Tariffs Jan2020'!AI79,('Tariffs Jan2020'!M79-'Tariffs Jan2020'!L79)*('Tariffs Jan2020'!R79/100)*'Tariffs Jan2020'!AI79))</f>
        <v>0</v>
      </c>
      <c r="I85" s="59">
        <f>IF(($C$5*'Tariffs Jan2020'!AK79/'Tariffs Jan2020'!AI79&gt;'Tariffs Jan2020'!M79),($C$5*'Tariffs Jan2020'!AK79/'Tariffs Jan2020'!AI79-'Tariffs Jan2020'!M79)*'Tariffs Jan2020'!S79/100*'Tariffs Jan2020'!AI79,0)</f>
        <v>456.13636363636363</v>
      </c>
      <c r="J85" s="59">
        <f>IF($C$5*'Tariffs Jan2020'!AL79/'Tariffs Jan2020'!AJ79&gt;='Tariffs Jan2020'!J79,('Tariffs Jan2020'!J79*'Tariffs Jan2020'!U79/100)* 'Tariffs Jan2020'!AJ79,($C$5*'Tariffs Jan2020'!AL79/'Tariffs Jan2020'!AJ79*'Tariffs Jan2020'!U79/100)* 'Tariffs Jan2020'!AJ79)</f>
        <v>272.45454545454538</v>
      </c>
      <c r="K85" s="59">
        <f>IF($C$5*'Tariffs Jan2020'!AL79/'Tariffs Jan2020'!AJ79&lt;'Tariffs Jan2020'!J79,0,IF($C$5*'Tariffs Jan2020'!AL79/'Tariffs Jan2020'!AJ79&lt;='Tariffs Jan2020'!K79,($C$5*'Tariffs Jan2020'!AL79/'Tariffs Jan2020'!AJ79-'Tariffs Jan2020'!J79)*('Tariffs Jan2020'!V79/100)*'Tariffs Jan2020'!AJ79,('Tariffs Jan2020'!K79-'Tariffs Jan2020'!J79)*('Tariffs Jan2020'!V79/100)*'Tariffs Jan2020'!AJ79))</f>
        <v>0</v>
      </c>
      <c r="L85" s="59">
        <f>IF($C$5*'Tariffs Jan2020'!AL79/'Tariffs Jan2020'!AJ79&lt;'Tariffs Jan2020'!K79,0,IF($C$5*'Tariffs Jan2020'!AL79/'Tariffs Jan2020'!AJ79&lt;='Tariffs Jan2020'!L79,($C$5*'Tariffs Jan2020'!AL79/'Tariffs Jan2020'!AJ79-'Tariffs Jan2020'!K79)*('Tariffs Jan2020'!W79/100)*'Tariffs Jan2020'!AJ79,('Tariffs Jan2020'!L79-'Tariffs Jan2020'!K79)*('Tariffs Jan2020'!W79/100)*'Tariffs Jan2020'!AJ79))</f>
        <v>0</v>
      </c>
      <c r="M85" s="59">
        <f>IF($C$5*'Tariffs Jan2020'!AL79/'Tariffs Jan2020'!AJ79&lt;'Tariffs Jan2020'!L79,0,IF($C$5*'Tariffs Jan2020'!AL79/'Tariffs Jan2020'!AJ79&lt;='Tariffs Jan2020'!M79,($C$5*'Tariffs Jan2020'!AL79/'Tariffs Jan2020'!AJ79-'Tariffs Jan2020'!L79)*('Tariffs Jan2020'!X79/100)*'Tariffs Jan2020'!AJ79,('Tariffs Jan2020'!M79-'Tariffs Jan2020'!L79)*('Tariffs Jan2020'!X79/100)*'Tariffs Jan2020'!AJ79))</f>
        <v>0</v>
      </c>
      <c r="N85" s="59">
        <f>IF(($C$5*'Tariffs Jan2020'!AL79/'Tariffs Jan2020'!AJ79&gt;'Tariffs Jan2020'!M79),($C$5*'Tariffs Jan2020'!AL79/'Tariffs Jan2020'!AJ79-'Tariffs Jan2020'!M79)*'Tariffs Jan2020'!Y79/100*'Tariffs Jan2020'!AJ79,0)</f>
        <v>456.13636363636363</v>
      </c>
      <c r="O85" s="59">
        <f t="shared" si="0"/>
        <v>1457.181818181818</v>
      </c>
      <c r="P85" s="503">
        <f t="shared" si="30"/>
        <v>1602.8999999999999</v>
      </c>
      <c r="Q85" s="59">
        <f t="shared" si="2"/>
        <v>1758.306818181818</v>
      </c>
      <c r="R85" s="272">
        <f t="shared" si="3"/>
        <v>1934.1375</v>
      </c>
      <c r="S85" s="40">
        <f>'Tariffs Jan2020'!AN79</f>
        <v>23</v>
      </c>
      <c r="T85" s="40">
        <f>'Tariffs Jan2020'!AO79</f>
        <v>0</v>
      </c>
      <c r="U85" s="40">
        <f>'Tariffs Jan2020'!AP79</f>
        <v>0</v>
      </c>
      <c r="V85" s="40">
        <f>'Tariffs Jan2020'!AQ79</f>
        <v>0</v>
      </c>
      <c r="W85" s="284">
        <f>Q85-(Q85*S85/100)</f>
        <v>1353.8962499999998</v>
      </c>
      <c r="X85" s="284">
        <f>W85</f>
        <v>1353.8962499999998</v>
      </c>
      <c r="Y85" s="507">
        <f t="shared" si="32"/>
        <v>1489.2858749999998</v>
      </c>
      <c r="Z85" s="507">
        <f t="shared" si="33"/>
        <v>1489.2858749999998</v>
      </c>
      <c r="AA85" s="274">
        <f>'Tariffs Jan2020'!AZ79</f>
        <v>12</v>
      </c>
      <c r="AB85" s="274" t="str">
        <f>'Tariffs Jan2020'!BA79</f>
        <v>n</v>
      </c>
      <c r="AC85" s="275" t="str">
        <f>'Tariffs Jan2020'!BJ79</f>
        <v>N</v>
      </c>
      <c r="AD85" s="425"/>
      <c r="AE85" s="425"/>
      <c r="AF85" s="427"/>
      <c r="AG85" s="427"/>
      <c r="AH85" s="427"/>
      <c r="AI85" s="427"/>
      <c r="AJ85" s="427"/>
      <c r="AK85" s="427"/>
      <c r="AL85" s="427"/>
      <c r="AM85" s="427"/>
      <c r="AN85" s="427"/>
    </row>
    <row r="86" spans="1:40" ht="14" x14ac:dyDescent="0.15">
      <c r="A86" s="270" t="str">
        <f>'Tariffs Jan2020'!F80</f>
        <v>Lumo Energy</v>
      </c>
      <c r="B86" s="40" t="str">
        <f>'Tariffs Jan2020'!D80</f>
        <v>AGN Central 1</v>
      </c>
      <c r="C86" s="40" t="str">
        <f>'Tariffs Jan2020'!G80</f>
        <v>Value</v>
      </c>
      <c r="D86" s="59">
        <f>365*'Tariffs Jan2020'!H80/100</f>
        <v>237.25</v>
      </c>
      <c r="E86" s="59">
        <f>IF($C$5*'Tariffs Jan2020'!AK80/'Tariffs Jan2020'!AI80&gt;='Tariffs Jan2020'!J80,( 'Tariffs Jan2020'!J80*'Tariffs Jan2020'!O80/100)* 'Tariffs Jan2020'!AI80,($C$5*'Tariffs Jan2020'!AK80/'Tariffs Jan2020'!AI80*'Tariffs Jan2020'!O80/100)* 'Tariffs Jan2020'!AI80)</f>
        <v>123.375</v>
      </c>
      <c r="F86" s="59">
        <f>IF($C$5*'Tariffs Jan2020'!AK80/'Tariffs Jan2020'!AI80&lt;'Tariffs Jan2020'!J80,0,IF($C$5*'Tariffs Jan2020'!AK80/'Tariffs Jan2020'!AI80&lt;='Tariffs Jan2020'!K80,($C$5*'Tariffs Jan2020'!AK80/'Tariffs Jan2020'!AI80-'Tariffs Jan2020'!J80)*('Tariffs Jan2020'!P80/100)*'Tariffs Jan2020'!AI80,('Tariffs Jan2020'!K80-'Tariffs Jan2020'!J80)*('Tariffs Jan2020'!P80/100)*'Tariffs Jan2020'!AI80))</f>
        <v>81.300000000000011</v>
      </c>
      <c r="G86" s="59">
        <f>IF($C$5*'Tariffs Jan2020'!AK80/'Tariffs Jan2020'!AI80&lt;'Tariffs Jan2020'!K80,0,IF($C$5*'Tariffs Jan2020'!AK80/'Tariffs Jan2020'!AI80&lt;='Tariffs Jan2020'!L80,($C$5*'Tariffs Jan2020'!AK80/'Tariffs Jan2020'!AI80-'Tariffs Jan2020'!K80)*('Tariffs Jan2020'!Q80/100)*'Tariffs Jan2020'!AI80,('Tariffs Jan2020'!L80-'Tariffs Jan2020'!K80)*('Tariffs Jan2020'!Q80/100)*'Tariffs Jan2020'!AI80))</f>
        <v>0</v>
      </c>
      <c r="H86" s="59">
        <f>IF($C$5*'Tariffs Jan2020'!AK80/'Tariffs Jan2020'!AI80&lt;'Tariffs Jan2020'!L80,0,IF($C$5*'Tariffs Jan2020'!AK80/'Tariffs Jan2020'!AI80&lt;='Tariffs Jan2020'!M80,($C$5*'Tariffs Jan2020'!AK80/'Tariffs Jan2020'!AI80-'Tariffs Jan2020'!L80)*('Tariffs Jan2020'!R80/100)*'Tariffs Jan2020'!AI80,('Tariffs Jan2020'!M80-'Tariffs Jan2020'!L80)*('Tariffs Jan2020'!R80/100)*'Tariffs Jan2020'!AI80))</f>
        <v>0</v>
      </c>
      <c r="I86" s="59">
        <f>IF(($C$5*'Tariffs Jan2020'!AK80/'Tariffs Jan2020'!AI80&gt;'Tariffs Jan2020'!M80),($C$5*'Tariffs Jan2020'!AK80/'Tariffs Jan2020'!AI80-'Tariffs Jan2020'!M80)*'Tariffs Jan2020'!S80/100*'Tariffs Jan2020'!AI80,0)</f>
        <v>405</v>
      </c>
      <c r="J86" s="59">
        <f>IF($C$5*'Tariffs Jan2020'!AL80/'Tariffs Jan2020'!AJ80&gt;='Tariffs Jan2020'!J80,('Tariffs Jan2020'!J80*'Tariffs Jan2020'!U80/100)* 'Tariffs Jan2020'!AJ80,($C$5*'Tariffs Jan2020'!AL80/'Tariffs Jan2020'!AJ80*'Tariffs Jan2020'!U80/100)* 'Tariffs Jan2020'!AJ80)</f>
        <v>123.375</v>
      </c>
      <c r="K86" s="59">
        <f>IF($C$5*'Tariffs Jan2020'!AL80/'Tariffs Jan2020'!AJ80&lt;'Tariffs Jan2020'!J80,0,IF($C$5*'Tariffs Jan2020'!AL80/'Tariffs Jan2020'!AJ80&lt;='Tariffs Jan2020'!K80,($C$5*'Tariffs Jan2020'!AL80/'Tariffs Jan2020'!AJ80-'Tariffs Jan2020'!J80)*('Tariffs Jan2020'!V80/100)*'Tariffs Jan2020'!AJ80,('Tariffs Jan2020'!K80-'Tariffs Jan2020'!J80)*('Tariffs Jan2020'!V80/100)*'Tariffs Jan2020'!AJ80))</f>
        <v>81.300000000000011</v>
      </c>
      <c r="L86" s="59">
        <f>IF($C$5*'Tariffs Jan2020'!AL80/'Tariffs Jan2020'!AJ80&lt;'Tariffs Jan2020'!K80,0,IF($C$5*'Tariffs Jan2020'!AL80/'Tariffs Jan2020'!AJ80&lt;='Tariffs Jan2020'!L80,($C$5*'Tariffs Jan2020'!AL80/'Tariffs Jan2020'!AJ80-'Tariffs Jan2020'!K80)*('Tariffs Jan2020'!W80/100)*'Tariffs Jan2020'!AJ80,('Tariffs Jan2020'!L80-'Tariffs Jan2020'!K80)*('Tariffs Jan2020'!W80/100)*'Tariffs Jan2020'!AJ80))</f>
        <v>0</v>
      </c>
      <c r="M86" s="59">
        <f>IF($C$5*'Tariffs Jan2020'!AL80/'Tariffs Jan2020'!AJ80&lt;'Tariffs Jan2020'!L80,0,IF($C$5*'Tariffs Jan2020'!AL80/'Tariffs Jan2020'!AJ80&lt;='Tariffs Jan2020'!M80,($C$5*'Tariffs Jan2020'!AL80/'Tariffs Jan2020'!AJ80-'Tariffs Jan2020'!L80)*('Tariffs Jan2020'!X80/100)*'Tariffs Jan2020'!AJ80,('Tariffs Jan2020'!M80-'Tariffs Jan2020'!L80)*('Tariffs Jan2020'!X80/100)*'Tariffs Jan2020'!AJ80))</f>
        <v>0</v>
      </c>
      <c r="N86" s="59">
        <f>IF(($C$5*'Tariffs Jan2020'!AL80/'Tariffs Jan2020'!AJ80&gt;'Tariffs Jan2020'!M80),($C$5*'Tariffs Jan2020'!AL80/'Tariffs Jan2020'!AJ80-'Tariffs Jan2020'!M80)*'Tariffs Jan2020'!Y80/100*'Tariffs Jan2020'!AJ80,0)</f>
        <v>405</v>
      </c>
      <c r="O86" s="59">
        <f t="shared" si="0"/>
        <v>1219.3499999999999</v>
      </c>
      <c r="P86" s="503">
        <f t="shared" si="30"/>
        <v>1341.2850000000001</v>
      </c>
      <c r="Q86" s="59">
        <f t="shared" si="2"/>
        <v>1456.6</v>
      </c>
      <c r="R86" s="272">
        <f t="shared" si="3"/>
        <v>1602.26</v>
      </c>
      <c r="S86" s="40">
        <f>'Tariffs Jan2020'!AN80</f>
        <v>0</v>
      </c>
      <c r="T86" s="40">
        <f>'Tariffs Jan2020'!AO80</f>
        <v>0</v>
      </c>
      <c r="U86" s="40">
        <f>'Tariffs Jan2020'!AP80</f>
        <v>3</v>
      </c>
      <c r="V86" s="40">
        <f>'Tariffs Jan2020'!AQ80</f>
        <v>0</v>
      </c>
      <c r="W86" s="284">
        <f t="shared" ref="W86:W87" si="35">Q86</f>
        <v>1456.6</v>
      </c>
      <c r="X86" s="284">
        <f>W86-(Q86*U86/100)</f>
        <v>1412.9019999999998</v>
      </c>
      <c r="Y86" s="507">
        <f t="shared" si="32"/>
        <v>1602.26</v>
      </c>
      <c r="Z86" s="507">
        <f t="shared" si="33"/>
        <v>1554.1922</v>
      </c>
      <c r="AA86" s="274">
        <f>'Tariffs Jan2020'!AZ80</f>
        <v>0</v>
      </c>
      <c r="AB86" s="274" t="str">
        <f>'Tariffs Jan2020'!BA80</f>
        <v>n</v>
      </c>
      <c r="AC86" s="275" t="str">
        <f>'Tariffs Jan2020'!BJ80</f>
        <v>N</v>
      </c>
      <c r="AD86" s="425"/>
      <c r="AE86" s="425"/>
      <c r="AF86" s="427"/>
      <c r="AG86" s="427"/>
      <c r="AH86" s="427"/>
      <c r="AI86" s="427"/>
      <c r="AJ86" s="427"/>
      <c r="AK86" s="427"/>
      <c r="AL86" s="427"/>
      <c r="AM86" s="427"/>
      <c r="AN86" s="427"/>
    </row>
    <row r="87" spans="1:40" ht="14" x14ac:dyDescent="0.15">
      <c r="A87" s="270" t="str">
        <f>'Tariffs Jan2020'!F81</f>
        <v>Momentum Energy</v>
      </c>
      <c r="B87" s="40" t="str">
        <f>'Tariffs Jan2020'!D81</f>
        <v>AGN Central 1</v>
      </c>
      <c r="C87" s="40" t="str">
        <f>'Tariffs Jan2020'!G81</f>
        <v>Market offer</v>
      </c>
      <c r="D87" s="59">
        <f>365*'Tariffs Jan2020'!H81/100</f>
        <v>289.04681818181814</v>
      </c>
      <c r="E87" s="59">
        <f>IF($C$5*'Tariffs Jan2020'!AK81/'Tariffs Jan2020'!AI81&gt;='Tariffs Jan2020'!J81,( 'Tariffs Jan2020'!J81*'Tariffs Jan2020'!O81/100)* 'Tariffs Jan2020'!AI81,($C$5*'Tariffs Jan2020'!AK81/'Tariffs Jan2020'!AI81*'Tariffs Jan2020'!O81/100)* 'Tariffs Jan2020'!AI81)</f>
        <v>83.147272727272721</v>
      </c>
      <c r="F87" s="59">
        <f>IF($C$5*'Tariffs Jan2020'!AK81/'Tariffs Jan2020'!AI81&lt;'Tariffs Jan2020'!J81,0,IF($C$5*'Tariffs Jan2020'!AK81/'Tariffs Jan2020'!AI81&lt;='Tariffs Jan2020'!K81,($C$5*'Tariffs Jan2020'!AK81/'Tariffs Jan2020'!AI81-'Tariffs Jan2020'!J81)*('Tariffs Jan2020'!P81/100)*'Tariffs Jan2020'!AI81,('Tariffs Jan2020'!K81-'Tariffs Jan2020'!J81)*('Tariffs Jan2020'!P81/100)*'Tariffs Jan2020'!AI81))</f>
        <v>58.141818181818174</v>
      </c>
      <c r="G87" s="59">
        <f>IF($C$5*'Tariffs Jan2020'!AK81/'Tariffs Jan2020'!AI81&lt;'Tariffs Jan2020'!K81,0,IF($C$5*'Tariffs Jan2020'!AK81/'Tariffs Jan2020'!AI81&lt;='Tariffs Jan2020'!L81,($C$5*'Tariffs Jan2020'!AK81/'Tariffs Jan2020'!AI81-'Tariffs Jan2020'!K81)*('Tariffs Jan2020'!Q81/100)*'Tariffs Jan2020'!AI81,('Tariffs Jan2020'!L81-'Tariffs Jan2020'!K81)*('Tariffs Jan2020'!Q81/100)*'Tariffs Jan2020'!AI81))</f>
        <v>0</v>
      </c>
      <c r="H87" s="59">
        <f>IF($C$5*'Tariffs Jan2020'!AK81/'Tariffs Jan2020'!AI81&lt;'Tariffs Jan2020'!L81,0,IF($C$5*'Tariffs Jan2020'!AK81/'Tariffs Jan2020'!AI81&lt;='Tariffs Jan2020'!M81,($C$5*'Tariffs Jan2020'!AK81/'Tariffs Jan2020'!AI81-'Tariffs Jan2020'!L81)*('Tariffs Jan2020'!R81/100)*'Tariffs Jan2020'!AI81,('Tariffs Jan2020'!M81-'Tariffs Jan2020'!L81)*('Tariffs Jan2020'!R81/100)*'Tariffs Jan2020'!AI81))</f>
        <v>0</v>
      </c>
      <c r="I87" s="59">
        <f>IF(($C$5*'Tariffs Jan2020'!AK81/'Tariffs Jan2020'!AI81&gt;'Tariffs Jan2020'!M81),($C$5*'Tariffs Jan2020'!AK81/'Tariffs Jan2020'!AI81-'Tariffs Jan2020'!M81)*'Tariffs Jan2020'!S81/100*'Tariffs Jan2020'!AI81,0)</f>
        <v>279.50631818181807</v>
      </c>
      <c r="J87" s="59">
        <f>IF($C$5*'Tariffs Jan2020'!AL81/'Tariffs Jan2020'!AJ81&gt;='Tariffs Jan2020'!J81,('Tariffs Jan2020'!J81*'Tariffs Jan2020'!U81/100)* 'Tariffs Jan2020'!AJ81,($C$5*'Tariffs Jan2020'!AL81/'Tariffs Jan2020'!AJ81*'Tariffs Jan2020'!U81/100)* 'Tariffs Jan2020'!AJ81)</f>
        <v>150.74181818181816</v>
      </c>
      <c r="K87" s="59">
        <f>IF($C$5*'Tariffs Jan2020'!AL81/'Tariffs Jan2020'!AJ81&lt;'Tariffs Jan2020'!J81,0,IF($C$5*'Tariffs Jan2020'!AL81/'Tariffs Jan2020'!AJ81&lt;='Tariffs Jan2020'!K81,($C$5*'Tariffs Jan2020'!AL81/'Tariffs Jan2020'!AJ81-'Tariffs Jan2020'!J81)*('Tariffs Jan2020'!V81/100)*'Tariffs Jan2020'!AJ81,('Tariffs Jan2020'!K81-'Tariffs Jan2020'!J81)*('Tariffs Jan2020'!V81/100)*'Tariffs Jan2020'!AJ81))</f>
        <v>104.95090909090908</v>
      </c>
      <c r="L87" s="59">
        <f>IF($C$5*'Tariffs Jan2020'!AL81/'Tariffs Jan2020'!AJ81&lt;'Tariffs Jan2020'!K81,0,IF($C$5*'Tariffs Jan2020'!AL81/'Tariffs Jan2020'!AJ81&lt;='Tariffs Jan2020'!L81,($C$5*'Tariffs Jan2020'!AL81/'Tariffs Jan2020'!AJ81-'Tariffs Jan2020'!K81)*('Tariffs Jan2020'!W81/100)*'Tariffs Jan2020'!AJ81,('Tariffs Jan2020'!L81-'Tariffs Jan2020'!K81)*('Tariffs Jan2020'!W81/100)*'Tariffs Jan2020'!AJ81))</f>
        <v>0</v>
      </c>
      <c r="M87" s="59">
        <f>IF($C$5*'Tariffs Jan2020'!AL81/'Tariffs Jan2020'!AJ81&lt;'Tariffs Jan2020'!L81,0,IF($C$5*'Tariffs Jan2020'!AL81/'Tariffs Jan2020'!AJ81&lt;='Tariffs Jan2020'!M81,($C$5*'Tariffs Jan2020'!AL81/'Tariffs Jan2020'!AJ81-'Tariffs Jan2020'!L81)*('Tariffs Jan2020'!X81/100)*'Tariffs Jan2020'!AJ81,('Tariffs Jan2020'!M81-'Tariffs Jan2020'!L81)*('Tariffs Jan2020'!X81/100)*'Tariffs Jan2020'!AJ81))</f>
        <v>0</v>
      </c>
      <c r="N87" s="59">
        <f>IF(($C$5*'Tariffs Jan2020'!AL81/'Tariffs Jan2020'!AJ81&gt;'Tariffs Jan2020'!M81),($C$5*'Tariffs Jan2020'!AL81/'Tariffs Jan2020'!AJ81-'Tariffs Jan2020'!M81)*'Tariffs Jan2020'!Y81/100*'Tariffs Jan2020'!AJ81,0)</f>
        <v>504.47481818181802</v>
      </c>
      <c r="O87" s="59">
        <f>SUM(E87:N87)</f>
        <v>1180.9629545454541</v>
      </c>
      <c r="P87" s="503">
        <f t="shared" si="30"/>
        <v>1299.0592499999996</v>
      </c>
      <c r="Q87" s="59">
        <f>D87+O87</f>
        <v>1470.0097727272723</v>
      </c>
      <c r="R87" s="272">
        <f>Q87*1.1</f>
        <v>1617.0107499999997</v>
      </c>
      <c r="S87" s="40">
        <f>'Tariffs Jan2020'!AN81</f>
        <v>0</v>
      </c>
      <c r="T87" s="40">
        <f>'Tariffs Jan2020'!AO81</f>
        <v>0</v>
      </c>
      <c r="U87" s="40">
        <f>'Tariffs Jan2020'!AP81</f>
        <v>0</v>
      </c>
      <c r="V87" s="40">
        <f>'Tariffs Jan2020'!AQ81</f>
        <v>0</v>
      </c>
      <c r="W87" s="284">
        <f t="shared" si="35"/>
        <v>1470.0097727272723</v>
      </c>
      <c r="X87" s="284">
        <f>W87</f>
        <v>1470.0097727272723</v>
      </c>
      <c r="Y87" s="507">
        <f t="shared" si="32"/>
        <v>1617.0107499999997</v>
      </c>
      <c r="Z87" s="507">
        <f t="shared" si="33"/>
        <v>1617.0107499999997</v>
      </c>
      <c r="AA87" s="274">
        <f>'Tariffs Jan2020'!AZ81</f>
        <v>0</v>
      </c>
      <c r="AB87" s="274" t="str">
        <f>'Tariffs Jan2020'!BA81</f>
        <v>n</v>
      </c>
      <c r="AC87" s="275" t="str">
        <f>'Tariffs Jan2020'!BJ81</f>
        <v>Y</v>
      </c>
      <c r="AD87" s="425"/>
      <c r="AE87" s="425"/>
      <c r="AF87" s="427"/>
      <c r="AG87" s="427"/>
      <c r="AH87" s="427"/>
      <c r="AI87" s="427"/>
      <c r="AJ87" s="427"/>
      <c r="AK87" s="427"/>
      <c r="AL87" s="427"/>
      <c r="AM87" s="427"/>
      <c r="AN87" s="427"/>
    </row>
    <row r="88" spans="1:40" ht="14" x14ac:dyDescent="0.15">
      <c r="A88" s="270" t="str">
        <f>'Tariffs Jan2020'!F82</f>
        <v>Origin Energy</v>
      </c>
      <c r="B88" s="40" t="str">
        <f>'Tariffs Jan2020'!D82</f>
        <v>AGN Central 1</v>
      </c>
      <c r="C88" s="40" t="str">
        <f>'Tariffs Jan2020'!G82</f>
        <v>Flexi</v>
      </c>
      <c r="D88" s="59">
        <f>365*'Tariffs Jan2020'!H82/100</f>
        <v>251.85</v>
      </c>
      <c r="E88" s="59">
        <f>IF($C$5*'Tariffs Jan2020'!AK82/'Tariffs Jan2020'!AI82&gt;='Tariffs Jan2020'!J82,( 'Tariffs Jan2020'!J82*'Tariffs Jan2020'!O82/100)* 'Tariffs Jan2020'!AI82,($C$5*'Tariffs Jan2020'!AK82/'Tariffs Jan2020'!AI82*'Tariffs Jan2020'!O82/100)* 'Tariffs Jan2020'!AI82)</f>
        <v>396.00000000000011</v>
      </c>
      <c r="F88" s="59">
        <f>IF($C$5*'Tariffs Jan2020'!AK82/'Tariffs Jan2020'!AI82&lt;'Tariffs Jan2020'!J82,0,IF($C$5*'Tariffs Jan2020'!AK82/'Tariffs Jan2020'!AI82&lt;='Tariffs Jan2020'!K82,($C$5*'Tariffs Jan2020'!AK82/'Tariffs Jan2020'!AI82-'Tariffs Jan2020'!J82)*('Tariffs Jan2020'!P82/100)*'Tariffs Jan2020'!AI82,('Tariffs Jan2020'!K82-'Tariffs Jan2020'!J82)*('Tariffs Jan2020'!P82/100)*'Tariffs Jan2020'!AI82))</f>
        <v>283.5</v>
      </c>
      <c r="G88" s="59">
        <f>IF($C$5*'Tariffs Jan2020'!AK82/'Tariffs Jan2020'!AI82&lt;'Tariffs Jan2020'!K82,0,IF($C$5*'Tariffs Jan2020'!AK82/'Tariffs Jan2020'!AI82&lt;='Tariffs Jan2020'!L82,($C$5*'Tariffs Jan2020'!AK82/'Tariffs Jan2020'!AI82-'Tariffs Jan2020'!K82)*('Tariffs Jan2020'!Q82/100)*'Tariffs Jan2020'!AI82,('Tariffs Jan2020'!L82-'Tariffs Jan2020'!K82)*('Tariffs Jan2020'!Q82/100)*'Tariffs Jan2020'!AI82))</f>
        <v>0</v>
      </c>
      <c r="H88" s="59">
        <f>IF($C$5*'Tariffs Jan2020'!AK82/'Tariffs Jan2020'!AI82&lt;'Tariffs Jan2020'!L82,0,IF($C$5*'Tariffs Jan2020'!AK82/'Tariffs Jan2020'!AI82&lt;='Tariffs Jan2020'!M82,($C$5*'Tariffs Jan2020'!AK82/'Tariffs Jan2020'!AI82-'Tariffs Jan2020'!L82)*('Tariffs Jan2020'!R82/100)*'Tariffs Jan2020'!AI82,('Tariffs Jan2020'!M82-'Tariffs Jan2020'!L82)*('Tariffs Jan2020'!R82/100)*'Tariffs Jan2020'!AI82))</f>
        <v>0</v>
      </c>
      <c r="I88" s="59">
        <f>IF(($C$5*'Tariffs Jan2020'!AK82/'Tariffs Jan2020'!AI82&gt;'Tariffs Jan2020'!M82),($C$5*'Tariffs Jan2020'!AK82/'Tariffs Jan2020'!AI82-'Tariffs Jan2020'!M82)*'Tariffs Jan2020'!S82/100*'Tariffs Jan2020'!AI82,0)</f>
        <v>0</v>
      </c>
      <c r="J88" s="59">
        <f>IF($C$5*'Tariffs Jan2020'!AL82/'Tariffs Jan2020'!AJ82&gt;='Tariffs Jan2020'!J82,('Tariffs Jan2020'!J82*'Tariffs Jan2020'!U82/100)* 'Tariffs Jan2020'!AJ82,($C$5*'Tariffs Jan2020'!AL82/'Tariffs Jan2020'!AJ82*'Tariffs Jan2020'!U82/100)* 'Tariffs Jan2020'!AJ82)</f>
        <v>396.00000000000011</v>
      </c>
      <c r="K88" s="59">
        <f>IF($C$5*'Tariffs Jan2020'!AL82/'Tariffs Jan2020'!AJ82&lt;'Tariffs Jan2020'!J82,0,IF($C$5*'Tariffs Jan2020'!AL82/'Tariffs Jan2020'!AJ82&lt;='Tariffs Jan2020'!K82,($C$5*'Tariffs Jan2020'!AL82/'Tariffs Jan2020'!AJ82-'Tariffs Jan2020'!J82)*('Tariffs Jan2020'!V82/100)*'Tariffs Jan2020'!AJ82,('Tariffs Jan2020'!K82-'Tariffs Jan2020'!J82)*('Tariffs Jan2020'!V82/100)*'Tariffs Jan2020'!AJ82))</f>
        <v>283.5</v>
      </c>
      <c r="L88" s="59">
        <f>IF($C$5*'Tariffs Jan2020'!AL82/'Tariffs Jan2020'!AJ82&lt;'Tariffs Jan2020'!K82,0,IF($C$5*'Tariffs Jan2020'!AL82/'Tariffs Jan2020'!AJ82&lt;='Tariffs Jan2020'!L82,($C$5*'Tariffs Jan2020'!AL82/'Tariffs Jan2020'!AJ82-'Tariffs Jan2020'!K82)*('Tariffs Jan2020'!W82/100)*'Tariffs Jan2020'!AJ82,('Tariffs Jan2020'!L82-'Tariffs Jan2020'!K82)*('Tariffs Jan2020'!W82/100)*'Tariffs Jan2020'!AJ82))</f>
        <v>0</v>
      </c>
      <c r="M88" s="59">
        <f>IF($C$5*'Tariffs Jan2020'!AL82/'Tariffs Jan2020'!AJ82&lt;'Tariffs Jan2020'!L82,0,IF($C$5*'Tariffs Jan2020'!AL82/'Tariffs Jan2020'!AJ82&lt;='Tariffs Jan2020'!M82,($C$5*'Tariffs Jan2020'!AL82/'Tariffs Jan2020'!AJ82-'Tariffs Jan2020'!L82)*('Tariffs Jan2020'!X82/100)*'Tariffs Jan2020'!AJ82,('Tariffs Jan2020'!M82-'Tariffs Jan2020'!L82)*('Tariffs Jan2020'!X82/100)*'Tariffs Jan2020'!AJ82))</f>
        <v>0</v>
      </c>
      <c r="N88" s="59">
        <f>IF(($C$5*'Tariffs Jan2020'!AL82/'Tariffs Jan2020'!AJ82&gt;'Tariffs Jan2020'!M82),($C$5*'Tariffs Jan2020'!AL82/'Tariffs Jan2020'!AJ82-'Tariffs Jan2020'!M82)*'Tariffs Jan2020'!Y82/100*'Tariffs Jan2020'!AJ82,0)</f>
        <v>0</v>
      </c>
      <c r="O88" s="59">
        <f t="shared" si="0"/>
        <v>1359.0000000000002</v>
      </c>
      <c r="P88" s="503">
        <f t="shared" si="30"/>
        <v>1494.9000000000003</v>
      </c>
      <c r="Q88" s="59">
        <f t="shared" si="2"/>
        <v>1610.8500000000001</v>
      </c>
      <c r="R88" s="272">
        <f t="shared" si="3"/>
        <v>1771.9350000000004</v>
      </c>
      <c r="S88" s="40">
        <f>'Tariffs Jan2020'!AN82</f>
        <v>10</v>
      </c>
      <c r="T88" s="40">
        <f>'Tariffs Jan2020'!AO82</f>
        <v>0</v>
      </c>
      <c r="U88" s="40">
        <f>'Tariffs Jan2020'!AP82</f>
        <v>0</v>
      </c>
      <c r="V88" s="40">
        <f>'Tariffs Jan2020'!AQ82</f>
        <v>0</v>
      </c>
      <c r="W88" s="284">
        <f>R88-(R88*S88/100)</f>
        <v>1594.7415000000003</v>
      </c>
      <c r="X88" s="284">
        <f>W88</f>
        <v>1594.7415000000003</v>
      </c>
      <c r="Y88" s="507">
        <f>W88</f>
        <v>1594.7415000000003</v>
      </c>
      <c r="Z88" s="507">
        <f>X88</f>
        <v>1594.7415000000003</v>
      </c>
      <c r="AA88" s="274">
        <f>'Tariffs Jan2020'!AZ82</f>
        <v>0</v>
      </c>
      <c r="AB88" s="274" t="str">
        <f>'Tariffs Jan2020'!BA82</f>
        <v>n</v>
      </c>
      <c r="AC88" s="275" t="str">
        <f>'Tariffs Jan2020'!BJ82</f>
        <v>N</v>
      </c>
      <c r="AD88" s="425"/>
      <c r="AE88" s="425"/>
      <c r="AF88" s="427"/>
      <c r="AG88" s="427"/>
      <c r="AH88" s="427"/>
      <c r="AI88" s="427"/>
      <c r="AJ88" s="427"/>
      <c r="AK88" s="427"/>
      <c r="AL88" s="427"/>
      <c r="AM88" s="427"/>
      <c r="AN88" s="427"/>
    </row>
    <row r="89" spans="1:40" ht="14" x14ac:dyDescent="0.15">
      <c r="A89" s="270" t="str">
        <f>'Tariffs Jan2020'!F83</f>
        <v>Red Energy</v>
      </c>
      <c r="B89" s="40" t="str">
        <f>'Tariffs Jan2020'!D83</f>
        <v>AGN Central 1</v>
      </c>
      <c r="C89" s="40" t="str">
        <f>'Tariffs Jan2020'!G83</f>
        <v>Living Energy Saver</v>
      </c>
      <c r="D89" s="59">
        <f>365*'Tariffs Jan2020'!H83/100</f>
        <v>256.96000000000004</v>
      </c>
      <c r="E89" s="59">
        <f>IF($C$5*'Tariffs Jan2020'!AK83/'Tariffs Jan2020'!AI83&gt;='Tariffs Jan2020'!J83,( 'Tariffs Jan2020'!J83*'Tariffs Jan2020'!O83/100)* 'Tariffs Jan2020'!AI83,($C$5*'Tariffs Jan2020'!AK83/'Tariffs Jan2020'!AI83*'Tariffs Jan2020'!O83/100)* 'Tariffs Jan2020'!AI83)</f>
        <v>131.00181818181815</v>
      </c>
      <c r="F89" s="59">
        <f>IF($C$5*'Tariffs Jan2020'!AK83/'Tariffs Jan2020'!AI83&lt;'Tariffs Jan2020'!J83,0,IF($C$5*'Tariffs Jan2020'!AK83/'Tariffs Jan2020'!AI83&lt;='Tariffs Jan2020'!K83,($C$5*'Tariffs Jan2020'!AK83/'Tariffs Jan2020'!AI83-'Tariffs Jan2020'!J83)*('Tariffs Jan2020'!P83/100)*'Tariffs Jan2020'!AI83,('Tariffs Jan2020'!K83-'Tariffs Jan2020'!J83)*('Tariffs Jan2020'!P83/100)*'Tariffs Jan2020'!AI83))</f>
        <v>97.56</v>
      </c>
      <c r="G89" s="59">
        <f>IF($C$5*'Tariffs Jan2020'!AK83/'Tariffs Jan2020'!AI83&lt;'Tariffs Jan2020'!K83,0,IF($C$5*'Tariffs Jan2020'!AK83/'Tariffs Jan2020'!AI83&lt;='Tariffs Jan2020'!L83,($C$5*'Tariffs Jan2020'!AK83/'Tariffs Jan2020'!AI83-'Tariffs Jan2020'!K83)*('Tariffs Jan2020'!Q83/100)*'Tariffs Jan2020'!AI83,('Tariffs Jan2020'!L83-'Tariffs Jan2020'!K83)*('Tariffs Jan2020'!Q83/100)*'Tariffs Jan2020'!AI83))</f>
        <v>0</v>
      </c>
      <c r="H89" s="59">
        <f>IF($C$5*'Tariffs Jan2020'!AK83/'Tariffs Jan2020'!AI83&lt;'Tariffs Jan2020'!L83,0,IF($C$5*'Tariffs Jan2020'!AK83/'Tariffs Jan2020'!AI83&lt;='Tariffs Jan2020'!M83,($C$5*'Tariffs Jan2020'!AK83/'Tariffs Jan2020'!AI83-'Tariffs Jan2020'!L83)*('Tariffs Jan2020'!R83/100)*'Tariffs Jan2020'!AI83,('Tariffs Jan2020'!M83-'Tariffs Jan2020'!L83)*('Tariffs Jan2020'!R83/100)*'Tariffs Jan2020'!AI83))</f>
        <v>0</v>
      </c>
      <c r="I89" s="59">
        <f>IF(($C$5*'Tariffs Jan2020'!AK83/'Tariffs Jan2020'!AI83&gt;'Tariffs Jan2020'!M83),($C$5*'Tariffs Jan2020'!AK83/'Tariffs Jan2020'!AI83-'Tariffs Jan2020'!M83)*'Tariffs Jan2020'!S83/100*'Tariffs Jan2020'!AI83,0)</f>
        <v>411.13636363636363</v>
      </c>
      <c r="J89" s="59">
        <f>IF($C$5*'Tariffs Jan2020'!AL83/'Tariffs Jan2020'!AJ83&gt;='Tariffs Jan2020'!J83,('Tariffs Jan2020'!J83*'Tariffs Jan2020'!U83/100)* 'Tariffs Jan2020'!AJ83,($C$5*'Tariffs Jan2020'!AL83/'Tariffs Jan2020'!AJ83*'Tariffs Jan2020'!U83/100)* 'Tariffs Jan2020'!AJ83)</f>
        <v>131.00181818181815</v>
      </c>
      <c r="K89" s="59">
        <f>IF($C$5*'Tariffs Jan2020'!AL83/'Tariffs Jan2020'!AJ83&lt;'Tariffs Jan2020'!J83,0,IF($C$5*'Tariffs Jan2020'!AL83/'Tariffs Jan2020'!AJ83&lt;='Tariffs Jan2020'!K83,($C$5*'Tariffs Jan2020'!AL83/'Tariffs Jan2020'!AJ83-'Tariffs Jan2020'!J83)*('Tariffs Jan2020'!V83/100)*'Tariffs Jan2020'!AJ83,('Tariffs Jan2020'!K83-'Tariffs Jan2020'!J83)*('Tariffs Jan2020'!V83/100)*'Tariffs Jan2020'!AJ83))</f>
        <v>97.56</v>
      </c>
      <c r="L89" s="59">
        <f>IF($C$5*'Tariffs Jan2020'!AL83/'Tariffs Jan2020'!AJ83&lt;'Tariffs Jan2020'!K83,0,IF($C$5*'Tariffs Jan2020'!AL83/'Tariffs Jan2020'!AJ83&lt;='Tariffs Jan2020'!L83,($C$5*'Tariffs Jan2020'!AL83/'Tariffs Jan2020'!AJ83-'Tariffs Jan2020'!K83)*('Tariffs Jan2020'!W83/100)*'Tariffs Jan2020'!AJ83,('Tariffs Jan2020'!L83-'Tariffs Jan2020'!K83)*('Tariffs Jan2020'!W83/100)*'Tariffs Jan2020'!AJ83))</f>
        <v>0</v>
      </c>
      <c r="M89" s="59">
        <f>IF($C$5*'Tariffs Jan2020'!AL83/'Tariffs Jan2020'!AJ83&lt;'Tariffs Jan2020'!L83,0,IF($C$5*'Tariffs Jan2020'!AL83/'Tariffs Jan2020'!AJ83&lt;='Tariffs Jan2020'!M83,($C$5*'Tariffs Jan2020'!AL83/'Tariffs Jan2020'!AJ83-'Tariffs Jan2020'!L83)*('Tariffs Jan2020'!X83/100)*'Tariffs Jan2020'!AJ83,('Tariffs Jan2020'!M83-'Tariffs Jan2020'!L83)*('Tariffs Jan2020'!X83/100)*'Tariffs Jan2020'!AJ83))</f>
        <v>0</v>
      </c>
      <c r="N89" s="59">
        <f>IF(($C$5*'Tariffs Jan2020'!AL83/'Tariffs Jan2020'!AJ83&gt;'Tariffs Jan2020'!M83),($C$5*'Tariffs Jan2020'!AL83/'Tariffs Jan2020'!AJ83-'Tariffs Jan2020'!M83)*'Tariffs Jan2020'!Y83/100*'Tariffs Jan2020'!AJ83,0)</f>
        <v>411.13636363636363</v>
      </c>
      <c r="O89" s="59">
        <f t="shared" si="0"/>
        <v>1279.3963636363637</v>
      </c>
      <c r="P89" s="503">
        <f t="shared" si="30"/>
        <v>1407.3360000000002</v>
      </c>
      <c r="Q89" s="59">
        <f t="shared" si="2"/>
        <v>1536.3563636363638</v>
      </c>
      <c r="R89" s="272">
        <f t="shared" si="3"/>
        <v>1689.9920000000002</v>
      </c>
      <c r="S89" s="40">
        <f>'Tariffs Jan2020'!AN83</f>
        <v>0</v>
      </c>
      <c r="T89" s="40">
        <f>'Tariffs Jan2020'!AO83</f>
        <v>0</v>
      </c>
      <c r="U89" s="40">
        <f>'Tariffs Jan2020'!AP83</f>
        <v>10</v>
      </c>
      <c r="V89" s="40">
        <f>'Tariffs Jan2020'!AQ83</f>
        <v>0</v>
      </c>
      <c r="W89" s="284">
        <f>R89</f>
        <v>1689.9920000000002</v>
      </c>
      <c r="X89" s="284">
        <f>W89-(W89*U89/100)</f>
        <v>1520.9928000000002</v>
      </c>
      <c r="Y89" s="507">
        <f>W89</f>
        <v>1689.9920000000002</v>
      </c>
      <c r="Z89" s="507">
        <f>X89</f>
        <v>1520.9928000000002</v>
      </c>
      <c r="AA89" s="274">
        <f>'Tariffs Jan2020'!AZ83</f>
        <v>0</v>
      </c>
      <c r="AB89" s="274" t="str">
        <f>'Tariffs Jan2020'!BA83</f>
        <v>n</v>
      </c>
      <c r="AC89" s="275" t="str">
        <f>'Tariffs Jan2020'!BJ83</f>
        <v>N</v>
      </c>
      <c r="AD89" s="425"/>
      <c r="AE89" s="425"/>
      <c r="AF89" s="427"/>
      <c r="AG89" s="427"/>
      <c r="AH89" s="427"/>
      <c r="AI89" s="427"/>
      <c r="AJ89" s="427"/>
      <c r="AK89" s="427"/>
      <c r="AL89" s="427"/>
      <c r="AM89" s="427"/>
      <c r="AN89" s="427"/>
    </row>
    <row r="90" spans="1:40" ht="14" x14ac:dyDescent="0.15">
      <c r="A90" s="270" t="str">
        <f>'Tariffs Jan2020'!F84</f>
        <v>Simply Energy</v>
      </c>
      <c r="B90" s="40" t="str">
        <f>'Tariffs Jan2020'!D84</f>
        <v>AGN Central 1</v>
      </c>
      <c r="C90" s="40" t="str">
        <f>'Tariffs Jan2020'!G84</f>
        <v>Plus</v>
      </c>
      <c r="D90" s="59">
        <f>365*'Tariffs Jan2020'!H84/100</f>
        <v>255.13499999999996</v>
      </c>
      <c r="E90" s="59">
        <f>IF($C$5*'Tariffs Jan2020'!AK84/'Tariffs Jan2020'!AI84&gt;='Tariffs Jan2020'!J84,( 'Tariffs Jan2020'!J84*'Tariffs Jan2020'!O84/100)* 'Tariffs Jan2020'!AI84,($C$5*'Tariffs Jan2020'!AK84/'Tariffs Jan2020'!AI84*'Tariffs Jan2020'!O84/100)* 'Tariffs Jan2020'!AI84)</f>
        <v>146.70409090909092</v>
      </c>
      <c r="F90" s="59">
        <f>IF($C$5*'Tariffs Jan2020'!AK84/'Tariffs Jan2020'!AI84&lt;'Tariffs Jan2020'!J84,0,IF($C$5*'Tariffs Jan2020'!AK84/'Tariffs Jan2020'!AI84&lt;='Tariffs Jan2020'!K84,($C$5*'Tariffs Jan2020'!AK84/'Tariffs Jan2020'!AI84-'Tariffs Jan2020'!J84)*('Tariffs Jan2020'!P84/100)*'Tariffs Jan2020'!AI84,('Tariffs Jan2020'!K84-'Tariffs Jan2020'!J84)*('Tariffs Jan2020'!P84/100)*'Tariffs Jan2020'!AI84))</f>
        <v>95.712272727272705</v>
      </c>
      <c r="G90" s="59">
        <f>IF($C$5*'Tariffs Jan2020'!AK84/'Tariffs Jan2020'!AI84&lt;'Tariffs Jan2020'!K84,0,IF($C$5*'Tariffs Jan2020'!AK84/'Tariffs Jan2020'!AI84&lt;='Tariffs Jan2020'!L84,($C$5*'Tariffs Jan2020'!AK84/'Tariffs Jan2020'!AI84-'Tariffs Jan2020'!K84)*('Tariffs Jan2020'!Q84/100)*'Tariffs Jan2020'!AI84,('Tariffs Jan2020'!L84-'Tariffs Jan2020'!K84)*('Tariffs Jan2020'!Q84/100)*'Tariffs Jan2020'!AI84))</f>
        <v>0</v>
      </c>
      <c r="H90" s="59">
        <f>IF($C$5*'Tariffs Jan2020'!AK84/'Tariffs Jan2020'!AI84&lt;'Tariffs Jan2020'!L84,0,IF($C$5*'Tariffs Jan2020'!AK84/'Tariffs Jan2020'!AI84&lt;='Tariffs Jan2020'!M84,($C$5*'Tariffs Jan2020'!AK84/'Tariffs Jan2020'!AI84-'Tariffs Jan2020'!L84)*('Tariffs Jan2020'!R84/100)*'Tariffs Jan2020'!AI84,('Tariffs Jan2020'!M84-'Tariffs Jan2020'!L84)*('Tariffs Jan2020'!R84/100)*'Tariffs Jan2020'!AI84))</f>
        <v>0</v>
      </c>
      <c r="I90" s="59">
        <f>IF(($C$5*'Tariffs Jan2020'!AK84/'Tariffs Jan2020'!AI84&gt;'Tariffs Jan2020'!M84),($C$5*'Tariffs Jan2020'!AK84/'Tariffs Jan2020'!AI84-'Tariffs Jan2020'!M84)*'Tariffs Jan2020'!S84/100*'Tariffs Jan2020'!AI84,0)</f>
        <v>445.90909090909088</v>
      </c>
      <c r="J90" s="59">
        <f>IF($C$5*'Tariffs Jan2020'!AL84/'Tariffs Jan2020'!AJ84&gt;='Tariffs Jan2020'!J84,('Tariffs Jan2020'!J84*'Tariffs Jan2020'!U84/100)* 'Tariffs Jan2020'!AJ84,($C$5*'Tariffs Jan2020'!AL84/'Tariffs Jan2020'!AJ84*'Tariffs Jan2020'!U84/100)* 'Tariffs Jan2020'!AJ84)</f>
        <v>146.70409090909092</v>
      </c>
      <c r="K90" s="59">
        <f>IF($C$5*'Tariffs Jan2020'!AL84/'Tariffs Jan2020'!AJ84&lt;'Tariffs Jan2020'!J84,0,IF($C$5*'Tariffs Jan2020'!AL84/'Tariffs Jan2020'!AJ84&lt;='Tariffs Jan2020'!K84,($C$5*'Tariffs Jan2020'!AL84/'Tariffs Jan2020'!AJ84-'Tariffs Jan2020'!J84)*('Tariffs Jan2020'!V84/100)*'Tariffs Jan2020'!AJ84,('Tariffs Jan2020'!K84-'Tariffs Jan2020'!J84)*('Tariffs Jan2020'!V84/100)*'Tariffs Jan2020'!AJ84))</f>
        <v>95.712272727272705</v>
      </c>
      <c r="L90" s="59">
        <f>IF($C$5*'Tariffs Jan2020'!AL84/'Tariffs Jan2020'!AJ84&lt;'Tariffs Jan2020'!K84,0,IF($C$5*'Tariffs Jan2020'!AL84/'Tariffs Jan2020'!AJ84&lt;='Tariffs Jan2020'!L84,($C$5*'Tariffs Jan2020'!AL84/'Tariffs Jan2020'!AJ84-'Tariffs Jan2020'!K84)*('Tariffs Jan2020'!W84/100)*'Tariffs Jan2020'!AJ84,('Tariffs Jan2020'!L84-'Tariffs Jan2020'!K84)*('Tariffs Jan2020'!W84/100)*'Tariffs Jan2020'!AJ84))</f>
        <v>0</v>
      </c>
      <c r="M90" s="59">
        <f>IF($C$5*'Tariffs Jan2020'!AL84/'Tariffs Jan2020'!AJ84&lt;'Tariffs Jan2020'!L84,0,IF($C$5*'Tariffs Jan2020'!AL84/'Tariffs Jan2020'!AJ84&lt;='Tariffs Jan2020'!M84,($C$5*'Tariffs Jan2020'!AL84/'Tariffs Jan2020'!AJ84-'Tariffs Jan2020'!L84)*('Tariffs Jan2020'!X84/100)*'Tariffs Jan2020'!AJ84,('Tariffs Jan2020'!M84-'Tariffs Jan2020'!L84)*('Tariffs Jan2020'!X84/100)*'Tariffs Jan2020'!AJ84))</f>
        <v>0</v>
      </c>
      <c r="N90" s="59">
        <f>IF(($C$5*'Tariffs Jan2020'!AL84/'Tariffs Jan2020'!AJ84&gt;'Tariffs Jan2020'!M84),($C$5*'Tariffs Jan2020'!AL84/'Tariffs Jan2020'!AJ84-'Tariffs Jan2020'!M84)*'Tariffs Jan2020'!Y84/100*'Tariffs Jan2020'!AJ84,0)</f>
        <v>445.90909090909088</v>
      </c>
      <c r="O90" s="59">
        <f t="shared" si="0"/>
        <v>1376.650909090909</v>
      </c>
      <c r="P90" s="503">
        <f t="shared" si="30"/>
        <v>1514.316</v>
      </c>
      <c r="Q90" s="59">
        <f t="shared" si="2"/>
        <v>1631.7859090909089</v>
      </c>
      <c r="R90" s="272">
        <f t="shared" si="3"/>
        <v>1794.9645</v>
      </c>
      <c r="S90" s="40">
        <f>'Tariffs Jan2020'!AN84</f>
        <v>0</v>
      </c>
      <c r="T90" s="40">
        <f>'Tariffs Jan2020'!AO84</f>
        <v>0</v>
      </c>
      <c r="U90" s="40">
        <f>'Tariffs Jan2020'!AP84</f>
        <v>12</v>
      </c>
      <c r="V90" s="40">
        <f>'Tariffs Jan2020'!AQ84</f>
        <v>0</v>
      </c>
      <c r="W90" s="284">
        <f t="shared" ref="W90:W91" si="36">Q90</f>
        <v>1631.7859090909089</v>
      </c>
      <c r="X90" s="284">
        <f>W90-(Q90*U90/100)</f>
        <v>1435.9715999999999</v>
      </c>
      <c r="Y90" s="507">
        <f t="shared" ref="Y90:Y92" si="37">W90*1.1</f>
        <v>1794.9645</v>
      </c>
      <c r="Z90" s="507">
        <f t="shared" ref="Z90:Z92" si="38">X90*1.1</f>
        <v>1579.5687599999999</v>
      </c>
      <c r="AA90" s="274">
        <f>'Tariffs Jan2020'!AZ84</f>
        <v>0</v>
      </c>
      <c r="AB90" s="274" t="str">
        <f>'Tariffs Jan2020'!BA84</f>
        <v>n</v>
      </c>
      <c r="AC90" s="275" t="str">
        <f>'Tariffs Jan2020'!BJ84</f>
        <v>Y</v>
      </c>
      <c r="AD90" s="425"/>
      <c r="AE90" s="425"/>
      <c r="AF90" s="427"/>
      <c r="AG90" s="427"/>
      <c r="AH90" s="427"/>
      <c r="AI90" s="427"/>
      <c r="AJ90" s="427"/>
      <c r="AK90" s="427"/>
      <c r="AL90" s="427"/>
      <c r="AM90" s="427"/>
      <c r="AN90" s="427"/>
    </row>
    <row r="91" spans="1:40" ht="14" x14ac:dyDescent="0.15">
      <c r="A91" s="270" t="str">
        <f>'Tariffs Jan2020'!F85</f>
        <v>Sumo Power</v>
      </c>
      <c r="B91" s="40" t="str">
        <f>'Tariffs Jan2020'!D85</f>
        <v>AGN Central 1</v>
      </c>
      <c r="C91" s="40" t="str">
        <f>'Tariffs Jan2020'!G85</f>
        <v>Select</v>
      </c>
      <c r="D91" s="59">
        <f>365*'Tariffs Jan2020'!H85/100</f>
        <v>255.5</v>
      </c>
      <c r="E91" s="59">
        <f>IF($C$5*'Tariffs Jan2020'!AK85/'Tariffs Jan2020'!AI85&gt;='Tariffs Jan2020'!J85,( 'Tariffs Jan2020'!J85*'Tariffs Jan2020'!O85/100)* 'Tariffs Jan2020'!AI85,($C$5*'Tariffs Jan2020'!AK85/'Tariffs Jan2020'!AI85*'Tariffs Jan2020'!O85/100)* 'Tariffs Jan2020'!AI85)</f>
        <v>119.78590909090907</v>
      </c>
      <c r="F91" s="59">
        <f>IF($C$5*'Tariffs Jan2020'!AK85/'Tariffs Jan2020'!AI85&lt;'Tariffs Jan2020'!J85,0,IF($C$5*'Tariffs Jan2020'!AK85/'Tariffs Jan2020'!AI85&lt;='Tariffs Jan2020'!K85,($C$5*'Tariffs Jan2020'!AK85/'Tariffs Jan2020'!AI85-'Tariffs Jan2020'!J85)*('Tariffs Jan2020'!P85/100)*'Tariffs Jan2020'!AI85,('Tariffs Jan2020'!K85-'Tariffs Jan2020'!J85)*('Tariffs Jan2020'!P85/100)*'Tariffs Jan2020'!AI85))</f>
        <v>80.191363636363633</v>
      </c>
      <c r="G91" s="59">
        <f>IF($C$5*'Tariffs Jan2020'!AK85/'Tariffs Jan2020'!AI85&lt;'Tariffs Jan2020'!K85,0,IF($C$5*'Tariffs Jan2020'!AK85/'Tariffs Jan2020'!AI85&lt;='Tariffs Jan2020'!L85,($C$5*'Tariffs Jan2020'!AK85/'Tariffs Jan2020'!AI85-'Tariffs Jan2020'!K85)*('Tariffs Jan2020'!Q85/100)*'Tariffs Jan2020'!AI85,('Tariffs Jan2020'!L85-'Tariffs Jan2020'!K85)*('Tariffs Jan2020'!Q85/100)*'Tariffs Jan2020'!AI85))</f>
        <v>0</v>
      </c>
      <c r="H91" s="59">
        <f>IF($C$5*'Tariffs Jan2020'!AK85/'Tariffs Jan2020'!AI85&lt;'Tariffs Jan2020'!L85,0,IF($C$5*'Tariffs Jan2020'!AK85/'Tariffs Jan2020'!AI85&lt;='Tariffs Jan2020'!M85,($C$5*'Tariffs Jan2020'!AK85/'Tariffs Jan2020'!AI85-'Tariffs Jan2020'!L85)*('Tariffs Jan2020'!R85/100)*'Tariffs Jan2020'!AI85,('Tariffs Jan2020'!M85-'Tariffs Jan2020'!L85)*('Tariffs Jan2020'!R85/100)*'Tariffs Jan2020'!AI85))</f>
        <v>0</v>
      </c>
      <c r="I91" s="59">
        <f>IF(($C$5*'Tariffs Jan2020'!AK85/'Tariffs Jan2020'!AI85&gt;'Tariffs Jan2020'!M85),($C$5*'Tariffs Jan2020'!AK85/'Tariffs Jan2020'!AI85-'Tariffs Jan2020'!M85)*'Tariffs Jan2020'!S85/100*'Tariffs Jan2020'!AI85,0)</f>
        <v>386.59090909090912</v>
      </c>
      <c r="J91" s="59">
        <f>IF($C$5*'Tariffs Jan2020'!AL85/'Tariffs Jan2020'!AJ85&gt;='Tariffs Jan2020'!J85,('Tariffs Jan2020'!J85*'Tariffs Jan2020'!U85/100)* 'Tariffs Jan2020'!AJ85,($C$5*'Tariffs Jan2020'!AL85/'Tariffs Jan2020'!AJ85*'Tariffs Jan2020'!U85/100)* 'Tariffs Jan2020'!AJ85)</f>
        <v>119.78590909090907</v>
      </c>
      <c r="K91" s="59">
        <f>IF($C$5*'Tariffs Jan2020'!AL85/'Tariffs Jan2020'!AJ85&lt;'Tariffs Jan2020'!J85,0,IF($C$5*'Tariffs Jan2020'!AL85/'Tariffs Jan2020'!AJ85&lt;='Tariffs Jan2020'!K85,($C$5*'Tariffs Jan2020'!AL85/'Tariffs Jan2020'!AJ85-'Tariffs Jan2020'!J85)*('Tariffs Jan2020'!V85/100)*'Tariffs Jan2020'!AJ85,('Tariffs Jan2020'!K85-'Tariffs Jan2020'!J85)*('Tariffs Jan2020'!V85/100)*'Tariffs Jan2020'!AJ85))</f>
        <v>80.191363636363633</v>
      </c>
      <c r="L91" s="59">
        <f>IF($C$5*'Tariffs Jan2020'!AL85/'Tariffs Jan2020'!AJ85&lt;'Tariffs Jan2020'!K85,0,IF($C$5*'Tariffs Jan2020'!AL85/'Tariffs Jan2020'!AJ85&lt;='Tariffs Jan2020'!L85,($C$5*'Tariffs Jan2020'!AL85/'Tariffs Jan2020'!AJ85-'Tariffs Jan2020'!K85)*('Tariffs Jan2020'!W85/100)*'Tariffs Jan2020'!AJ85,('Tariffs Jan2020'!L85-'Tariffs Jan2020'!K85)*('Tariffs Jan2020'!W85/100)*'Tariffs Jan2020'!AJ85))</f>
        <v>0</v>
      </c>
      <c r="M91" s="59">
        <f>IF($C$5*'Tariffs Jan2020'!AL85/'Tariffs Jan2020'!AJ85&lt;'Tariffs Jan2020'!L85,0,IF($C$5*'Tariffs Jan2020'!AL85/'Tariffs Jan2020'!AJ85&lt;='Tariffs Jan2020'!M85,($C$5*'Tariffs Jan2020'!AL85/'Tariffs Jan2020'!AJ85-'Tariffs Jan2020'!L85)*('Tariffs Jan2020'!X85/100)*'Tariffs Jan2020'!AJ85,('Tariffs Jan2020'!M85-'Tariffs Jan2020'!L85)*('Tariffs Jan2020'!X85/100)*'Tariffs Jan2020'!AJ85))</f>
        <v>0</v>
      </c>
      <c r="N91" s="59">
        <f>IF(($C$5*'Tariffs Jan2020'!AL85/'Tariffs Jan2020'!AJ85&gt;'Tariffs Jan2020'!M85),($C$5*'Tariffs Jan2020'!AL85/'Tariffs Jan2020'!AJ85-'Tariffs Jan2020'!M85)*'Tariffs Jan2020'!Y85/100*'Tariffs Jan2020'!AJ85,0)</f>
        <v>386.59090909090912</v>
      </c>
      <c r="O91" s="59">
        <f t="shared" si="0"/>
        <v>1173.1363636363635</v>
      </c>
      <c r="P91" s="503">
        <f t="shared" si="30"/>
        <v>1290.45</v>
      </c>
      <c r="Q91" s="59">
        <f t="shared" si="2"/>
        <v>1428.6363636363635</v>
      </c>
      <c r="R91" s="272">
        <f t="shared" si="3"/>
        <v>1571.5</v>
      </c>
      <c r="S91" s="40">
        <f>'Tariffs Jan2020'!AN85</f>
        <v>0</v>
      </c>
      <c r="T91" s="40">
        <f>'Tariffs Jan2020'!AO85</f>
        <v>0</v>
      </c>
      <c r="U91" s="40">
        <f>'Tariffs Jan2020'!AP85</f>
        <v>5</v>
      </c>
      <c r="V91" s="40">
        <f>'Tariffs Jan2020'!AQ85</f>
        <v>0</v>
      </c>
      <c r="W91" s="284">
        <f t="shared" si="36"/>
        <v>1428.6363636363635</v>
      </c>
      <c r="X91" s="284">
        <f>W91-(Q91*U91/100)</f>
        <v>1357.2045454545453</v>
      </c>
      <c r="Y91" s="507">
        <f t="shared" si="37"/>
        <v>1571.5</v>
      </c>
      <c r="Z91" s="507">
        <f t="shared" si="38"/>
        <v>1492.925</v>
      </c>
      <c r="AA91" s="274">
        <f>'Tariffs Jan2020'!AZ85</f>
        <v>0</v>
      </c>
      <c r="AB91" s="274" t="str">
        <f>'Tariffs Jan2020'!BA85</f>
        <v>n</v>
      </c>
      <c r="AC91" s="275" t="str">
        <f>'Tariffs Jan2020'!BJ85</f>
        <v>Y</v>
      </c>
      <c r="AD91" s="425"/>
      <c r="AE91" s="425"/>
      <c r="AF91" s="427"/>
      <c r="AG91" s="427"/>
      <c r="AH91" s="427"/>
      <c r="AI91" s="427"/>
      <c r="AJ91" s="427"/>
      <c r="AK91" s="427"/>
      <c r="AL91" s="427"/>
      <c r="AM91" s="427"/>
      <c r="AN91" s="427"/>
    </row>
    <row r="92" spans="1:40" ht="14" x14ac:dyDescent="0.15">
      <c r="A92" s="270" t="str">
        <f>'Tariffs Jan2020'!F86</f>
        <v>Amaysim</v>
      </c>
      <c r="B92" s="40" t="str">
        <f>'Tariffs Jan2020'!D86</f>
        <v>AGN Central 1</v>
      </c>
      <c r="C92" s="40" t="str">
        <f>'Tariffs Jan2020'!G86</f>
        <v>Gas as you go</v>
      </c>
      <c r="D92" s="59">
        <f>365*'Tariffs Jan2020'!H86/100</f>
        <v>199.0564</v>
      </c>
      <c r="E92" s="59">
        <f>IF($C$5*'Tariffs Jan2020'!AK86/'Tariffs Jan2020'!AI86&gt;='Tariffs Jan2020'!J86,( 'Tariffs Jan2020'!J86*'Tariffs Jan2020'!O86/100)* 'Tariffs Jan2020'!AI86,($C$5*'Tariffs Jan2020'!AK86/'Tariffs Jan2020'!AI86*'Tariffs Jan2020'!O86/100)* 'Tariffs Jan2020'!AI86)</f>
        <v>125.8425</v>
      </c>
      <c r="F92" s="59">
        <f>IF($C$5*'Tariffs Jan2020'!AK86/'Tariffs Jan2020'!AI86&lt;'Tariffs Jan2020'!J86,0,IF($C$5*'Tariffs Jan2020'!AK86/'Tariffs Jan2020'!AI86&lt;='Tariffs Jan2020'!K86,($C$5*'Tariffs Jan2020'!AK86/'Tariffs Jan2020'!AI86-'Tariffs Jan2020'!J86)*('Tariffs Jan2020'!P86/100)*'Tariffs Jan2020'!AI86,('Tariffs Jan2020'!K86-'Tariffs Jan2020'!J86)*('Tariffs Jan2020'!P86/100)*'Tariffs Jan2020'!AI86))</f>
        <v>88.454400000000007</v>
      </c>
      <c r="G92" s="59">
        <f>IF($C$5*'Tariffs Jan2020'!AK86/'Tariffs Jan2020'!AI86&lt;'Tariffs Jan2020'!K86,0,IF($C$5*'Tariffs Jan2020'!AK86/'Tariffs Jan2020'!AI86&lt;='Tariffs Jan2020'!L86,($C$5*'Tariffs Jan2020'!AK86/'Tariffs Jan2020'!AI86-'Tariffs Jan2020'!K86)*('Tariffs Jan2020'!Q86/100)*'Tariffs Jan2020'!AI86,('Tariffs Jan2020'!L86-'Tariffs Jan2020'!K86)*('Tariffs Jan2020'!Q86/100)*'Tariffs Jan2020'!AI86))</f>
        <v>0</v>
      </c>
      <c r="H92" s="59">
        <f>IF($C$5*'Tariffs Jan2020'!AK86/'Tariffs Jan2020'!AI86&lt;'Tariffs Jan2020'!L86,0,IF($C$5*'Tariffs Jan2020'!AK86/'Tariffs Jan2020'!AI86&lt;='Tariffs Jan2020'!M86,($C$5*'Tariffs Jan2020'!AK86/'Tariffs Jan2020'!AI86-'Tariffs Jan2020'!L86)*('Tariffs Jan2020'!R86/100)*'Tariffs Jan2020'!AI86,('Tariffs Jan2020'!M86-'Tariffs Jan2020'!L86)*('Tariffs Jan2020'!R86/100)*'Tariffs Jan2020'!AI86))</f>
        <v>0</v>
      </c>
      <c r="I92" s="59">
        <f>IF(($C$5*'Tariffs Jan2020'!AK86/'Tariffs Jan2020'!AI86&gt;'Tariffs Jan2020'!M86),($C$5*'Tariffs Jan2020'!AK86/'Tariffs Jan2020'!AI86-'Tariffs Jan2020'!M86)*'Tariffs Jan2020'!S86/100*'Tariffs Jan2020'!AI86,0)</f>
        <v>420.75</v>
      </c>
      <c r="J92" s="59">
        <f>IF($C$5*'Tariffs Jan2020'!AL86/'Tariffs Jan2020'!AJ86&gt;='Tariffs Jan2020'!J86,('Tariffs Jan2020'!J86*'Tariffs Jan2020'!U86/100)* 'Tariffs Jan2020'!AJ86,($C$5*'Tariffs Jan2020'!AL86/'Tariffs Jan2020'!AJ86*'Tariffs Jan2020'!U86/100)* 'Tariffs Jan2020'!AJ86)</f>
        <v>125.8425</v>
      </c>
      <c r="K92" s="59">
        <f>IF($C$5*'Tariffs Jan2020'!AL86/'Tariffs Jan2020'!AJ86&lt;'Tariffs Jan2020'!J86,0,IF($C$5*'Tariffs Jan2020'!AL86/'Tariffs Jan2020'!AJ86&lt;='Tariffs Jan2020'!K86,($C$5*'Tariffs Jan2020'!AL86/'Tariffs Jan2020'!AJ86-'Tariffs Jan2020'!J86)*('Tariffs Jan2020'!V86/100)*'Tariffs Jan2020'!AJ86,('Tariffs Jan2020'!K86-'Tariffs Jan2020'!J86)*('Tariffs Jan2020'!V86/100)*'Tariffs Jan2020'!AJ86))</f>
        <v>88.454400000000007</v>
      </c>
      <c r="L92" s="59">
        <f>IF($C$5*'Tariffs Jan2020'!AL86/'Tariffs Jan2020'!AJ86&lt;'Tariffs Jan2020'!K86,0,IF($C$5*'Tariffs Jan2020'!AL86/'Tariffs Jan2020'!AJ86&lt;='Tariffs Jan2020'!L86,($C$5*'Tariffs Jan2020'!AL86/'Tariffs Jan2020'!AJ86-'Tariffs Jan2020'!K86)*('Tariffs Jan2020'!W86/100)*'Tariffs Jan2020'!AJ86,('Tariffs Jan2020'!L86-'Tariffs Jan2020'!K86)*('Tariffs Jan2020'!W86/100)*'Tariffs Jan2020'!AJ86))</f>
        <v>0</v>
      </c>
      <c r="M92" s="59">
        <f>IF($C$5*'Tariffs Jan2020'!AL86/'Tariffs Jan2020'!AJ86&lt;'Tariffs Jan2020'!L86,0,IF($C$5*'Tariffs Jan2020'!AL86/'Tariffs Jan2020'!AJ86&lt;='Tariffs Jan2020'!M86,($C$5*'Tariffs Jan2020'!AL86/'Tariffs Jan2020'!AJ86-'Tariffs Jan2020'!L86)*('Tariffs Jan2020'!X86/100)*'Tariffs Jan2020'!AJ86,('Tariffs Jan2020'!M86-'Tariffs Jan2020'!L86)*('Tariffs Jan2020'!X86/100)*'Tariffs Jan2020'!AJ86))</f>
        <v>0</v>
      </c>
      <c r="N92" s="59">
        <f>IF(($C$5*'Tariffs Jan2020'!AL86/'Tariffs Jan2020'!AJ86&gt;'Tariffs Jan2020'!M86),($C$5*'Tariffs Jan2020'!AL86/'Tariffs Jan2020'!AJ86-'Tariffs Jan2020'!M86)*'Tariffs Jan2020'!Y86/100*'Tariffs Jan2020'!AJ86,0)</f>
        <v>420.75</v>
      </c>
      <c r="O92" s="59">
        <f t="shared" si="0"/>
        <v>1270.0938000000001</v>
      </c>
      <c r="P92" s="503">
        <f t="shared" si="30"/>
        <v>1397.1031800000003</v>
      </c>
      <c r="Q92" s="59">
        <f t="shared" si="2"/>
        <v>1469.1502</v>
      </c>
      <c r="R92" s="272">
        <f t="shared" si="3"/>
        <v>1616.0652200000002</v>
      </c>
      <c r="S92" s="40">
        <f>'Tariffs Jan2020'!AN86</f>
        <v>0</v>
      </c>
      <c r="T92" s="40">
        <f>'Tariffs Jan2020'!AO86</f>
        <v>0</v>
      </c>
      <c r="U92" s="40">
        <f>'Tariffs Jan2020'!AP86</f>
        <v>0</v>
      </c>
      <c r="V92" s="40">
        <f>'Tariffs Jan2020'!AQ86</f>
        <v>0</v>
      </c>
      <c r="W92" s="284">
        <f>Q92</f>
        <v>1469.1502</v>
      </c>
      <c r="X92" s="284">
        <f>W92</f>
        <v>1469.1502</v>
      </c>
      <c r="Y92" s="507">
        <f t="shared" si="37"/>
        <v>1616.0652200000002</v>
      </c>
      <c r="Z92" s="507">
        <f t="shared" si="38"/>
        <v>1616.0652200000002</v>
      </c>
      <c r="AA92" s="274">
        <f>'Tariffs Jan2020'!AZ86</f>
        <v>0</v>
      </c>
      <c r="AB92" s="274" t="str">
        <f>'Tariffs Jan2020'!BA86</f>
        <v>n</v>
      </c>
      <c r="AC92" s="275" t="str">
        <f>'Tariffs Jan2020'!BJ86</f>
        <v>N</v>
      </c>
      <c r="AD92" s="425"/>
      <c r="AE92" s="425"/>
      <c r="AF92" s="427"/>
      <c r="AG92" s="427"/>
      <c r="AH92" s="427"/>
      <c r="AI92" s="427"/>
      <c r="AJ92" s="427"/>
      <c r="AK92" s="427"/>
      <c r="AL92" s="427"/>
      <c r="AM92" s="427"/>
      <c r="AN92" s="427"/>
    </row>
    <row r="93" spans="1:40" ht="14" x14ac:dyDescent="0.15">
      <c r="A93" s="270" t="str">
        <f>'Tariffs Jan2020'!F87</f>
        <v>GloBird Energy</v>
      </c>
      <c r="B93" s="40" t="str">
        <f>'Tariffs Jan2020'!D87</f>
        <v>AGN Central 1</v>
      </c>
      <c r="C93" s="40" t="str">
        <f>'Tariffs Jan2020'!G87</f>
        <v>GloSave</v>
      </c>
      <c r="D93" s="59">
        <f>365*'Tariffs Jan2020'!H87/100</f>
        <v>211.69999999999996</v>
      </c>
      <c r="E93" s="59">
        <f>IF($C$5*'Tariffs Jan2020'!AK87/'Tariffs Jan2020'!AI87&gt;='Tariffs Jan2020'!J87,( 'Tariffs Jan2020'!J87*'Tariffs Jan2020'!O87/100)* 'Tariffs Jan2020'!AI87,($C$5*'Tariffs Jan2020'!AK87/'Tariffs Jan2020'!AI87*'Tariffs Jan2020'!O87/100)* 'Tariffs Jan2020'!AI87)</f>
        <v>215.18181818181816</v>
      </c>
      <c r="F93" s="59">
        <f>IF($C$5*'Tariffs Jan2020'!AK87/'Tariffs Jan2020'!AI87&lt;'Tariffs Jan2020'!J87,0,IF($C$5*'Tariffs Jan2020'!AK87/'Tariffs Jan2020'!AI87&lt;='Tariffs Jan2020'!K87,($C$5*'Tariffs Jan2020'!AK87/'Tariffs Jan2020'!AI87-'Tariffs Jan2020'!J87)*('Tariffs Jan2020'!P87/100)*'Tariffs Jan2020'!AI87,('Tariffs Jan2020'!K87-'Tariffs Jan2020'!J87)*('Tariffs Jan2020'!P87/100)*'Tariffs Jan2020'!AI87))</f>
        <v>0</v>
      </c>
      <c r="G93" s="59">
        <f>IF($C$5*'Tariffs Jan2020'!AK87/'Tariffs Jan2020'!AI87&lt;'Tariffs Jan2020'!K87,0,IF($C$5*'Tariffs Jan2020'!AK87/'Tariffs Jan2020'!AI87&lt;='Tariffs Jan2020'!L87,($C$5*'Tariffs Jan2020'!AK87/'Tariffs Jan2020'!AI87-'Tariffs Jan2020'!K87)*('Tariffs Jan2020'!Q87/100)*'Tariffs Jan2020'!AI87,('Tariffs Jan2020'!L87-'Tariffs Jan2020'!K87)*('Tariffs Jan2020'!Q87/100)*'Tariffs Jan2020'!AI87))</f>
        <v>0</v>
      </c>
      <c r="H93" s="59">
        <f>IF($C$5*'Tariffs Jan2020'!AK87/'Tariffs Jan2020'!AI87&lt;'Tariffs Jan2020'!L87,0,IF($C$5*'Tariffs Jan2020'!AK87/'Tariffs Jan2020'!AI87&lt;='Tariffs Jan2020'!M87,($C$5*'Tariffs Jan2020'!AK87/'Tariffs Jan2020'!AI87-'Tariffs Jan2020'!L87)*('Tariffs Jan2020'!R87/100)*'Tariffs Jan2020'!AI87,('Tariffs Jan2020'!M87-'Tariffs Jan2020'!L87)*('Tariffs Jan2020'!R87/100)*'Tariffs Jan2020'!AI87))</f>
        <v>0</v>
      </c>
      <c r="I93" s="59">
        <f>IF(($C$5*'Tariffs Jan2020'!AK87/'Tariffs Jan2020'!AI87&gt;'Tariffs Jan2020'!M87),($C$5*'Tariffs Jan2020'!AK87/'Tariffs Jan2020'!AI87-'Tariffs Jan2020'!M87)*'Tariffs Jan2020'!S87/100*'Tariffs Jan2020'!AI87,0)</f>
        <v>366.13636363636363</v>
      </c>
      <c r="J93" s="59">
        <f>IF($C$5*'Tariffs Jan2020'!AL87/'Tariffs Jan2020'!AJ87&gt;='Tariffs Jan2020'!J87,('Tariffs Jan2020'!J87*'Tariffs Jan2020'!U87/100)* 'Tariffs Jan2020'!AJ87,($C$5*'Tariffs Jan2020'!AL87/'Tariffs Jan2020'!AJ87*'Tariffs Jan2020'!U87/100)* 'Tariffs Jan2020'!AJ87)</f>
        <v>215.18181818181816</v>
      </c>
      <c r="K93" s="59">
        <f>IF($C$5*'Tariffs Jan2020'!AL87/'Tariffs Jan2020'!AJ87&lt;'Tariffs Jan2020'!J87,0,IF($C$5*'Tariffs Jan2020'!AL87/'Tariffs Jan2020'!AJ87&lt;='Tariffs Jan2020'!K87,($C$5*'Tariffs Jan2020'!AL87/'Tariffs Jan2020'!AJ87-'Tariffs Jan2020'!J87)*('Tariffs Jan2020'!V87/100)*'Tariffs Jan2020'!AJ87,('Tariffs Jan2020'!K87-'Tariffs Jan2020'!J87)*('Tariffs Jan2020'!V87/100)*'Tariffs Jan2020'!AJ87))</f>
        <v>0</v>
      </c>
      <c r="L93" s="59">
        <f>IF($C$5*'Tariffs Jan2020'!AL87/'Tariffs Jan2020'!AJ87&lt;'Tariffs Jan2020'!K87,0,IF($C$5*'Tariffs Jan2020'!AL87/'Tariffs Jan2020'!AJ87&lt;='Tariffs Jan2020'!L87,($C$5*'Tariffs Jan2020'!AL87/'Tariffs Jan2020'!AJ87-'Tariffs Jan2020'!K87)*('Tariffs Jan2020'!W87/100)*'Tariffs Jan2020'!AJ87,('Tariffs Jan2020'!L87-'Tariffs Jan2020'!K87)*('Tariffs Jan2020'!W87/100)*'Tariffs Jan2020'!AJ87))</f>
        <v>0</v>
      </c>
      <c r="M93" s="59">
        <f>IF($C$5*'Tariffs Jan2020'!AL87/'Tariffs Jan2020'!AJ87&lt;'Tariffs Jan2020'!L87,0,IF($C$5*'Tariffs Jan2020'!AL87/'Tariffs Jan2020'!AJ87&lt;='Tariffs Jan2020'!M87,($C$5*'Tariffs Jan2020'!AL87/'Tariffs Jan2020'!AJ87-'Tariffs Jan2020'!L87)*('Tariffs Jan2020'!X87/100)*'Tariffs Jan2020'!AJ87,('Tariffs Jan2020'!M87-'Tariffs Jan2020'!L87)*('Tariffs Jan2020'!X87/100)*'Tariffs Jan2020'!AJ87))</f>
        <v>0</v>
      </c>
      <c r="N93" s="59">
        <f>IF(($C$5*'Tariffs Jan2020'!AL87/'Tariffs Jan2020'!AJ87&gt;'Tariffs Jan2020'!M87),($C$5*'Tariffs Jan2020'!AL87/'Tariffs Jan2020'!AJ87-'Tariffs Jan2020'!M87)*'Tariffs Jan2020'!Y87/100*'Tariffs Jan2020'!AJ87,0)</f>
        <v>366.13636363636363</v>
      </c>
      <c r="O93" s="59">
        <f t="shared" si="0"/>
        <v>1162.6363636363635</v>
      </c>
      <c r="P93" s="503">
        <f t="shared" si="30"/>
        <v>1278.8999999999999</v>
      </c>
      <c r="Q93" s="59">
        <f t="shared" si="2"/>
        <v>1374.3363636363636</v>
      </c>
      <c r="R93" s="272">
        <f t="shared" si="3"/>
        <v>1511.77</v>
      </c>
      <c r="S93" s="40">
        <f>'Tariffs Jan2020'!AN87</f>
        <v>0</v>
      </c>
      <c r="T93" s="40">
        <f>'Tariffs Jan2020'!AO87</f>
        <v>0</v>
      </c>
      <c r="U93" s="40">
        <f>'Tariffs Jan2020'!AP87</f>
        <v>5</v>
      </c>
      <c r="V93" s="40">
        <f>'Tariffs Jan2020'!AQ87</f>
        <v>0</v>
      </c>
      <c r="W93" s="284">
        <f>Q93</f>
        <v>1374.3363636363636</v>
      </c>
      <c r="X93" s="284">
        <f>W93-(Q93*U93/100)</f>
        <v>1305.6195454545455</v>
      </c>
      <c r="Y93" s="507">
        <f>W93*1.1</f>
        <v>1511.77</v>
      </c>
      <c r="Z93" s="507">
        <f>X93*1.1</f>
        <v>1436.1815000000001</v>
      </c>
      <c r="AA93" s="274">
        <f>'Tariffs Jan2020'!AZ87</f>
        <v>0</v>
      </c>
      <c r="AB93" s="274" t="str">
        <f>'Tariffs Jan2020'!BA87</f>
        <v>n</v>
      </c>
      <c r="AC93" s="275" t="str">
        <f>'Tariffs Jan2020'!BJ87</f>
        <v>N</v>
      </c>
      <c r="AD93" s="425"/>
      <c r="AE93" s="425"/>
      <c r="AF93" s="427"/>
      <c r="AG93" s="427"/>
      <c r="AH93" s="427"/>
      <c r="AI93" s="427"/>
      <c r="AJ93" s="427"/>
      <c r="AK93" s="427"/>
      <c r="AL93" s="427"/>
      <c r="AM93" s="427"/>
      <c r="AN93" s="427"/>
    </row>
    <row r="94" spans="1:40" ht="14" x14ac:dyDescent="0.15">
      <c r="A94" s="270" t="str">
        <f>'Tariffs Jan2020'!F88</f>
        <v>Powershop</v>
      </c>
      <c r="B94" s="40" t="str">
        <f>'Tariffs Jan2020'!D88</f>
        <v>AGN Central 1</v>
      </c>
      <c r="C94" s="40" t="str">
        <f>'Tariffs Jan2020'!G88</f>
        <v>Shopper with Gas Saver</v>
      </c>
      <c r="D94" s="59">
        <f>365*'Tariffs Jan2020'!H88/100</f>
        <v>265.18909090909091</v>
      </c>
      <c r="E94" s="59">
        <f>((C$5*'Tariffs Jan2020'!AK88/'Tariffs Jan2020'!AI88)*('Tariffs Jan2020'!O88/100))*'Tariffs Jan2020'!AI88</f>
        <v>609.95454545454538</v>
      </c>
      <c r="F94" s="59">
        <v>0</v>
      </c>
      <c r="G94" s="59">
        <v>0</v>
      </c>
      <c r="H94" s="59">
        <v>0</v>
      </c>
      <c r="I94" s="59">
        <v>0</v>
      </c>
      <c r="J94" s="59">
        <f>((C$5*'Tariffs Jan2020'!AL88/'Tariffs Jan2020'!AJ88)*('Tariffs Jan2020'!U88/100))*'Tariffs Jan2020'!AJ88</f>
        <v>609.95454545454538</v>
      </c>
      <c r="K94" s="59">
        <v>0</v>
      </c>
      <c r="L94" s="59">
        <v>0</v>
      </c>
      <c r="M94" s="59">
        <v>0</v>
      </c>
      <c r="N94" s="59">
        <v>0</v>
      </c>
      <c r="O94" s="59">
        <f t="shared" si="0"/>
        <v>1219.9090909090908</v>
      </c>
      <c r="P94" s="503">
        <f t="shared" si="30"/>
        <v>1341.8999999999999</v>
      </c>
      <c r="Q94" s="59">
        <f t="shared" si="2"/>
        <v>1485.0981818181817</v>
      </c>
      <c r="R94" s="272">
        <f t="shared" si="3"/>
        <v>1633.6079999999999</v>
      </c>
      <c r="S94" s="40">
        <f>'Tariffs Jan2020'!AN88</f>
        <v>0</v>
      </c>
      <c r="T94" s="40">
        <f>'Tariffs Jan2020'!AO88</f>
        <v>0</v>
      </c>
      <c r="U94" s="40">
        <f>'Tariffs Jan2020'!AP88</f>
        <v>5</v>
      </c>
      <c r="V94" s="40">
        <f>'Tariffs Jan2020'!AQ88</f>
        <v>0</v>
      </c>
      <c r="W94" s="284">
        <f>R94</f>
        <v>1633.6079999999999</v>
      </c>
      <c r="X94" s="284">
        <f>W94-(W94*U94/100)</f>
        <v>1551.9276</v>
      </c>
      <c r="Y94" s="507">
        <f>W94</f>
        <v>1633.6079999999999</v>
      </c>
      <c r="Z94" s="507">
        <f>X94</f>
        <v>1551.9276</v>
      </c>
      <c r="AA94" s="274">
        <f>'Tariffs Jan2020'!AZ88</f>
        <v>0</v>
      </c>
      <c r="AB94" s="274" t="str">
        <f>'Tariffs Jan2020'!BA88</f>
        <v>n</v>
      </c>
      <c r="AC94" s="275" t="str">
        <f>'Tariffs Jan2020'!BJ88</f>
        <v>Y</v>
      </c>
      <c r="AD94" s="425"/>
      <c r="AE94" s="425"/>
      <c r="AF94" s="427"/>
      <c r="AG94" s="427"/>
      <c r="AH94" s="427"/>
      <c r="AI94" s="427"/>
      <c r="AJ94" s="427"/>
      <c r="AK94" s="427"/>
      <c r="AL94" s="427"/>
      <c r="AM94" s="427"/>
      <c r="AN94" s="427"/>
    </row>
    <row r="95" spans="1:40" ht="14" x14ac:dyDescent="0.15">
      <c r="A95" s="270" t="str">
        <f>'Tariffs Jan2020'!F89</f>
        <v>DC Power Co</v>
      </c>
      <c r="B95" s="40" t="str">
        <f>'Tariffs Jan2020'!D89</f>
        <v>AGN Central 1</v>
      </c>
      <c r="C95" s="40" t="str">
        <f>'Tariffs Jan2020'!G89</f>
        <v>Market offer</v>
      </c>
      <c r="D95" s="59">
        <f>365*'Tariffs Jan2020'!H89/100</f>
        <v>280.8840909090909</v>
      </c>
      <c r="E95" s="59">
        <f>((C$5*'Tariffs Jan2020'!AK89/'Tariffs Jan2020'!AI89)*('Tariffs Jan2020'!O89/100))*'Tariffs Jan2020'!AI89</f>
        <v>587.04545454545439</v>
      </c>
      <c r="F95" s="59">
        <v>0</v>
      </c>
      <c r="G95" s="59">
        <v>0</v>
      </c>
      <c r="H95" s="59">
        <v>0</v>
      </c>
      <c r="I95" s="59">
        <v>0</v>
      </c>
      <c r="J95" s="59">
        <f>((C$5*'Tariffs Jan2020'!AL89/'Tariffs Jan2020'!AJ89)*('Tariffs Jan2020'!U89/100))*'Tariffs Jan2020'!AJ89</f>
        <v>587.04545454545439</v>
      </c>
      <c r="K95" s="59">
        <v>0</v>
      </c>
      <c r="L95" s="59">
        <v>0</v>
      </c>
      <c r="M95" s="59">
        <v>0</v>
      </c>
      <c r="N95" s="59">
        <v>0</v>
      </c>
      <c r="O95" s="59">
        <f t="shared" si="0"/>
        <v>1174.0909090909088</v>
      </c>
      <c r="P95" s="503">
        <f t="shared" si="30"/>
        <v>1291.4999999999998</v>
      </c>
      <c r="Q95" s="59">
        <f t="shared" si="2"/>
        <v>1454.9749999999997</v>
      </c>
      <c r="R95" s="272">
        <f t="shared" si="3"/>
        <v>1600.4724999999999</v>
      </c>
      <c r="S95" s="40">
        <f>'Tariffs Jan2020'!AN89</f>
        <v>0</v>
      </c>
      <c r="T95" s="40">
        <f>'Tariffs Jan2020'!AO89</f>
        <v>0</v>
      </c>
      <c r="U95" s="40">
        <f>'Tariffs Jan2020'!AP89</f>
        <v>0</v>
      </c>
      <c r="V95" s="40">
        <f>'Tariffs Jan2020'!AQ89</f>
        <v>0</v>
      </c>
      <c r="W95" s="284">
        <f t="shared" ref="W95" si="39">Q95</f>
        <v>1454.9749999999997</v>
      </c>
      <c r="X95" s="284">
        <f>W95</f>
        <v>1454.9749999999997</v>
      </c>
      <c r="Y95" s="507">
        <f t="shared" ref="Y95:Y104" si="40">W95*1.1</f>
        <v>1600.4724999999999</v>
      </c>
      <c r="Z95" s="507">
        <f t="shared" ref="Z95:Z104" si="41">X95*1.1</f>
        <v>1600.4724999999999</v>
      </c>
      <c r="AA95" s="274">
        <f>'Tariffs Jan2020'!AZ89</f>
        <v>0</v>
      </c>
      <c r="AB95" s="274" t="str">
        <f>'Tariffs Jan2020'!BA89</f>
        <v>n</v>
      </c>
      <c r="AC95" s="275" t="str">
        <f>'Tariffs Jan2020'!BJ89</f>
        <v>Y</v>
      </c>
      <c r="AD95" s="425"/>
      <c r="AE95" s="425"/>
      <c r="AF95" s="427"/>
      <c r="AG95" s="427"/>
      <c r="AH95" s="427"/>
      <c r="AI95" s="427"/>
      <c r="AJ95" s="427"/>
      <c r="AK95" s="427"/>
      <c r="AL95" s="427"/>
      <c r="AM95" s="427"/>
      <c r="AN95" s="427"/>
    </row>
    <row r="96" spans="1:40" ht="14" x14ac:dyDescent="0.15">
      <c r="A96" s="270" t="str">
        <f>'Tariffs Jan2020'!F90</f>
        <v>1st Energy</v>
      </c>
      <c r="B96" s="40" t="str">
        <f>'Tariffs Jan2020'!D90</f>
        <v>AGN Central 1</v>
      </c>
      <c r="C96" s="40" t="str">
        <f>'Tariffs Jan2020'!G90</f>
        <v>1st Saver</v>
      </c>
      <c r="D96" s="59">
        <f>365*'Tariffs Jan2020'!H90/100</f>
        <v>266.45</v>
      </c>
      <c r="E96" s="59">
        <f>IF($C$5*'Tariffs Jan2020'!AK90/'Tariffs Jan2020'!AI90&gt;='Tariffs Jan2020'!J90,( 'Tariffs Jan2020'!J90*'Tariffs Jan2020'!O90/100)* 'Tariffs Jan2020'!AI90,($C$5*'Tariffs Jan2020'!AK90/'Tariffs Jan2020'!AI90*'Tariffs Jan2020'!O90/100)* 'Tariffs Jan2020'!AI90)</f>
        <v>131.45045454545453</v>
      </c>
      <c r="F96" s="59">
        <f>IF($C$5*'Tariffs Jan2020'!AK90/'Tariffs Jan2020'!AI90&lt;'Tariffs Jan2020'!J90,0,IF($C$5*'Tariffs Jan2020'!AK90/'Tariffs Jan2020'!AI90&lt;='Tariffs Jan2020'!K90,($C$5*'Tariffs Jan2020'!AK90/'Tariffs Jan2020'!AI90-'Tariffs Jan2020'!J90)*('Tariffs Jan2020'!P90/100)*'Tariffs Jan2020'!AI90,('Tariffs Jan2020'!K90-'Tariffs Jan2020'!J90)*('Tariffs Jan2020'!P90/100)*'Tariffs Jan2020'!AI90))</f>
        <v>94.9731818181818</v>
      </c>
      <c r="G96" s="59">
        <f>IF($C$5*'Tariffs Jan2020'!AK90/'Tariffs Jan2020'!AI90&lt;'Tariffs Jan2020'!K90,0,IF($C$5*'Tariffs Jan2020'!AK90/'Tariffs Jan2020'!AI90&lt;='Tariffs Jan2020'!L90,($C$5*'Tariffs Jan2020'!AK90/'Tariffs Jan2020'!AI90-'Tariffs Jan2020'!K90)*('Tariffs Jan2020'!Q90/100)*'Tariffs Jan2020'!AI90,('Tariffs Jan2020'!L90-'Tariffs Jan2020'!K90)*('Tariffs Jan2020'!Q90/100)*'Tariffs Jan2020'!AI90))</f>
        <v>0</v>
      </c>
      <c r="H96" s="59">
        <f>IF($C$5*'Tariffs Jan2020'!AK90/'Tariffs Jan2020'!AI90&lt;'Tariffs Jan2020'!L90,0,IF($C$5*'Tariffs Jan2020'!AK90/'Tariffs Jan2020'!AI90&lt;='Tariffs Jan2020'!M90,($C$5*'Tariffs Jan2020'!AK90/'Tariffs Jan2020'!AI90-'Tariffs Jan2020'!L90)*('Tariffs Jan2020'!R90/100)*'Tariffs Jan2020'!AI90,('Tariffs Jan2020'!M90-'Tariffs Jan2020'!L90)*('Tariffs Jan2020'!R90/100)*'Tariffs Jan2020'!AI90))</f>
        <v>0</v>
      </c>
      <c r="I96" s="59">
        <f>IF(($C$5*'Tariffs Jan2020'!AK90/'Tariffs Jan2020'!AI90&gt;'Tariffs Jan2020'!M90),($C$5*'Tariffs Jan2020'!AK90/'Tariffs Jan2020'!AI90-'Tariffs Jan2020'!M90)*'Tariffs Jan2020'!S90/100*'Tariffs Jan2020'!AI90,0)</f>
        <v>447.95454545454544</v>
      </c>
      <c r="J96" s="59">
        <f>IF($C$5*'Tariffs Jan2020'!AL90/'Tariffs Jan2020'!AJ90&gt;='Tariffs Jan2020'!J90,('Tariffs Jan2020'!J90*'Tariffs Jan2020'!U90/100)* 'Tariffs Jan2020'!AJ90,($C$5*'Tariffs Jan2020'!AL90/'Tariffs Jan2020'!AJ90*'Tariffs Jan2020'!U90/100)* 'Tariffs Jan2020'!AJ90)</f>
        <v>131.45045454545453</v>
      </c>
      <c r="K96" s="59">
        <f>IF($C$5*'Tariffs Jan2020'!AL90/'Tariffs Jan2020'!AJ90&lt;'Tariffs Jan2020'!J90,0,IF($C$5*'Tariffs Jan2020'!AL90/'Tariffs Jan2020'!AJ90&lt;='Tariffs Jan2020'!K90,($C$5*'Tariffs Jan2020'!AL90/'Tariffs Jan2020'!AJ90-'Tariffs Jan2020'!J90)*('Tariffs Jan2020'!V90/100)*'Tariffs Jan2020'!AJ90,('Tariffs Jan2020'!K90-'Tariffs Jan2020'!J90)*('Tariffs Jan2020'!V90/100)*'Tariffs Jan2020'!AJ90))</f>
        <v>94.9731818181818</v>
      </c>
      <c r="L96" s="59">
        <f>IF($C$5*'Tariffs Jan2020'!AL90/'Tariffs Jan2020'!AJ90&lt;'Tariffs Jan2020'!K90,0,IF($C$5*'Tariffs Jan2020'!AL90/'Tariffs Jan2020'!AJ90&lt;='Tariffs Jan2020'!L90,($C$5*'Tariffs Jan2020'!AL90/'Tariffs Jan2020'!AJ90-'Tariffs Jan2020'!K90)*('Tariffs Jan2020'!W90/100)*'Tariffs Jan2020'!AJ90,('Tariffs Jan2020'!L90-'Tariffs Jan2020'!K90)*('Tariffs Jan2020'!W90/100)*'Tariffs Jan2020'!AJ90))</f>
        <v>0</v>
      </c>
      <c r="M96" s="59">
        <f>IF($C$5*'Tariffs Jan2020'!AL90/'Tariffs Jan2020'!AJ90&lt;'Tariffs Jan2020'!L90,0,IF($C$5*'Tariffs Jan2020'!AL90/'Tariffs Jan2020'!AJ90&lt;='Tariffs Jan2020'!M90,($C$5*'Tariffs Jan2020'!AL90/'Tariffs Jan2020'!AJ90-'Tariffs Jan2020'!L90)*('Tariffs Jan2020'!X90/100)*'Tariffs Jan2020'!AJ90,('Tariffs Jan2020'!M90-'Tariffs Jan2020'!L90)*('Tariffs Jan2020'!X90/100)*'Tariffs Jan2020'!AJ90))</f>
        <v>0</v>
      </c>
      <c r="N96" s="59">
        <f>IF(($C$5*'Tariffs Jan2020'!AL90/'Tariffs Jan2020'!AJ90&gt;'Tariffs Jan2020'!M90),($C$5*'Tariffs Jan2020'!AL90/'Tariffs Jan2020'!AJ90-'Tariffs Jan2020'!M90)*'Tariffs Jan2020'!Y90/100*'Tariffs Jan2020'!AJ90,0)</f>
        <v>447.95454545454544</v>
      </c>
      <c r="O96" s="59">
        <f t="shared" si="0"/>
        <v>1348.7563636363634</v>
      </c>
      <c r="P96" s="503">
        <f t="shared" si="30"/>
        <v>1483.6319999999998</v>
      </c>
      <c r="Q96" s="59">
        <f t="shared" si="2"/>
        <v>1615.2063636363634</v>
      </c>
      <c r="R96" s="272">
        <f t="shared" si="3"/>
        <v>1776.7269999999999</v>
      </c>
      <c r="S96" s="40">
        <f>'Tariffs Jan2020'!AN90</f>
        <v>0</v>
      </c>
      <c r="T96" s="40">
        <f>'Tariffs Jan2020'!AO90</f>
        <v>0</v>
      </c>
      <c r="U96" s="40">
        <f>'Tariffs Jan2020'!AP90</f>
        <v>0</v>
      </c>
      <c r="V96" s="40">
        <f>'Tariffs Jan2020'!AQ90</f>
        <v>15</v>
      </c>
      <c r="W96" s="284">
        <f>Q96</f>
        <v>1615.2063636363634</v>
      </c>
      <c r="X96" s="284">
        <f>W96-(O96*V96/100)</f>
        <v>1412.8929090909089</v>
      </c>
      <c r="Y96" s="507">
        <f t="shared" si="40"/>
        <v>1776.7269999999999</v>
      </c>
      <c r="Z96" s="507">
        <f t="shared" si="41"/>
        <v>1554.1822</v>
      </c>
      <c r="AA96" s="274">
        <f>'Tariffs Jan2020'!AZ90</f>
        <v>0</v>
      </c>
      <c r="AB96" s="274" t="str">
        <f>'Tariffs Jan2020'!BA90</f>
        <v>n</v>
      </c>
      <c r="AC96" s="275" t="str">
        <f>'Tariffs Jan2020'!BJ90</f>
        <v>Y</v>
      </c>
      <c r="AD96" s="425"/>
      <c r="AE96" s="425"/>
      <c r="AF96" s="427"/>
      <c r="AG96" s="427"/>
      <c r="AH96" s="427"/>
      <c r="AI96" s="427"/>
      <c r="AJ96" s="427"/>
      <c r="AK96" s="427"/>
      <c r="AL96" s="427"/>
      <c r="AM96" s="427"/>
      <c r="AN96" s="427"/>
    </row>
    <row r="97" spans="1:40" ht="15" thickBot="1" x14ac:dyDescent="0.2">
      <c r="A97" s="276" t="str">
        <f>'Tariffs Jan2020'!F91</f>
        <v>Kogan Energy</v>
      </c>
      <c r="B97" s="277" t="str">
        <f>'Tariffs Jan2020'!D91</f>
        <v>AGN Central 1</v>
      </c>
      <c r="C97" s="277" t="str">
        <f>'Tariffs Jan2020'!G91</f>
        <v>Market offer</v>
      </c>
      <c r="D97" s="278">
        <f>365*'Tariffs Jan2020'!H91/100</f>
        <v>224.77363636363631</v>
      </c>
      <c r="E97" s="278">
        <f>((C$5*'Tariffs Jan2020'!AK91/'Tariffs Jan2020'!AI91)*('Tariffs Jan2020'!O91/100))*'Tariffs Jan2020'!AI91</f>
        <v>664.36363636363626</v>
      </c>
      <c r="F97" s="278">
        <v>0</v>
      </c>
      <c r="G97" s="278">
        <v>0</v>
      </c>
      <c r="H97" s="278">
        <v>0</v>
      </c>
      <c r="I97" s="278">
        <v>0</v>
      </c>
      <c r="J97" s="278">
        <f>((C$5*'Tariffs Jan2020'!AL91/'Tariffs Jan2020'!AJ91)*('Tariffs Jan2020'!U91/100))*'Tariffs Jan2020'!AJ91</f>
        <v>664.36363636363626</v>
      </c>
      <c r="K97" s="278">
        <v>0</v>
      </c>
      <c r="L97" s="278">
        <v>0</v>
      </c>
      <c r="M97" s="278">
        <v>0</v>
      </c>
      <c r="N97" s="278">
        <v>0</v>
      </c>
      <c r="O97" s="278">
        <f t="shared" si="0"/>
        <v>1328.7272727272725</v>
      </c>
      <c r="P97" s="504">
        <f t="shared" si="30"/>
        <v>1461.6</v>
      </c>
      <c r="Q97" s="278">
        <f t="shared" si="2"/>
        <v>1553.5009090909089</v>
      </c>
      <c r="R97" s="280">
        <f t="shared" si="3"/>
        <v>1708.8509999999999</v>
      </c>
      <c r="S97" s="277">
        <f>'Tariffs Jan2020'!AN91</f>
        <v>0</v>
      </c>
      <c r="T97" s="277">
        <f>'Tariffs Jan2020'!AO91</f>
        <v>0</v>
      </c>
      <c r="U97" s="277">
        <f>'Tariffs Jan2020'!AP91</f>
        <v>0</v>
      </c>
      <c r="V97" s="277">
        <f>'Tariffs Jan2020'!AQ91</f>
        <v>0</v>
      </c>
      <c r="W97" s="285">
        <f t="shared" ref="W97" si="42">Q97</f>
        <v>1553.5009090909089</v>
      </c>
      <c r="X97" s="285">
        <f t="shared" ref="X97:X102" si="43">W97</f>
        <v>1553.5009090909089</v>
      </c>
      <c r="Y97" s="508">
        <f t="shared" si="40"/>
        <v>1708.8509999999999</v>
      </c>
      <c r="Z97" s="508">
        <f t="shared" si="41"/>
        <v>1708.8509999999999</v>
      </c>
      <c r="AA97" s="282">
        <f>'Tariffs Jan2020'!AZ91</f>
        <v>0</v>
      </c>
      <c r="AB97" s="282" t="str">
        <f>'Tariffs Jan2020'!BA91</f>
        <v>n</v>
      </c>
      <c r="AC97" s="283" t="str">
        <f>'Tariffs Jan2020'!BJ91</f>
        <v>N</v>
      </c>
      <c r="AD97" s="425"/>
      <c r="AE97" s="425"/>
      <c r="AF97" s="427"/>
      <c r="AG97" s="427"/>
      <c r="AH97" s="427"/>
      <c r="AI97" s="427"/>
      <c r="AJ97" s="427"/>
      <c r="AK97" s="427"/>
      <c r="AL97" s="427"/>
      <c r="AM97" s="427"/>
      <c r="AN97" s="427"/>
    </row>
    <row r="98" spans="1:40" ht="15" thickTop="1" x14ac:dyDescent="0.15">
      <c r="A98" s="270" t="str">
        <f>'Tariffs Jan2020'!F92</f>
        <v>AGL</v>
      </c>
      <c r="B98" s="40" t="str">
        <f>'Tariffs Jan2020'!D92</f>
        <v>AusNet Services West</v>
      </c>
      <c r="C98" s="40" t="str">
        <f>'Tariffs Jan2020'!G92</f>
        <v>Essentials Saver</v>
      </c>
      <c r="D98" s="59">
        <f>365*'Tariffs Jan2020'!H92/100</f>
        <v>302.7177272727273</v>
      </c>
      <c r="E98" s="59">
        <f>IF($C$5*'Tariffs Jan2020'!AK92/'Tariffs Jan2020'!AI92&gt;='Tariffs Jan2020'!J92,( 'Tariffs Jan2020'!J92*'Tariffs Jan2020'!O92/100)* 'Tariffs Jan2020'!AI92,($C$5*'Tariffs Jan2020'!AK92/'Tariffs Jan2020'!AI92*'Tariffs Jan2020'!O92/100)* 'Tariffs Jan2020'!AI92)</f>
        <v>190.90909090909088</v>
      </c>
      <c r="F98" s="59">
        <f>IF($C$5*'Tariffs Jan2020'!AK92/'Tariffs Jan2020'!AI92&lt;'Tariffs Jan2020'!J92,0,IF($C$5*'Tariffs Jan2020'!AK92/'Tariffs Jan2020'!AI92&lt;='Tariffs Jan2020'!K92,($C$5*'Tariffs Jan2020'!AK92/'Tariffs Jan2020'!AI92-'Tariffs Jan2020'!J92)*('Tariffs Jan2020'!P92/100)*'Tariffs Jan2020'!AI92,('Tariffs Jan2020'!K92-'Tariffs Jan2020'!J92)*('Tariffs Jan2020'!P92/100)*'Tariffs Jan2020'!AI92))</f>
        <v>141.51242727272722</v>
      </c>
      <c r="G98" s="59">
        <f>IF($C$5*'Tariffs Jan2020'!AK92/'Tariffs Jan2020'!AI92&lt;'Tariffs Jan2020'!K92,0,IF($C$5*'Tariffs Jan2020'!AK92/'Tariffs Jan2020'!AI92&lt;='Tariffs Jan2020'!L92,($C$5*'Tariffs Jan2020'!AK92/'Tariffs Jan2020'!AI92-'Tariffs Jan2020'!K92)*('Tariffs Jan2020'!Q92/100)*'Tariffs Jan2020'!AI92,('Tariffs Jan2020'!L92-'Tariffs Jan2020'!K92)*('Tariffs Jan2020'!Q92/100)*'Tariffs Jan2020'!AI92))</f>
        <v>0</v>
      </c>
      <c r="H98" s="59">
        <f>IF($C$5*'Tariffs Jan2020'!AK92/'Tariffs Jan2020'!AI92&lt;'Tariffs Jan2020'!L92,0,IF($C$5*'Tariffs Jan2020'!AK92/'Tariffs Jan2020'!AI92&lt;='Tariffs Jan2020'!M92,($C$5*'Tariffs Jan2020'!AK92/'Tariffs Jan2020'!AI92-'Tariffs Jan2020'!L92)*('Tariffs Jan2020'!R92/100)*'Tariffs Jan2020'!AI92,('Tariffs Jan2020'!M92-'Tariffs Jan2020'!L92)*('Tariffs Jan2020'!R92/100)*'Tariffs Jan2020'!AI92))</f>
        <v>0</v>
      </c>
      <c r="I98" s="59">
        <f>IF(($C$5*'Tariffs Jan2020'!AK92/'Tariffs Jan2020'!AI92&gt;'Tariffs Jan2020'!M92),($C$5*'Tariffs Jan2020'!AK92/'Tariffs Jan2020'!AI92-'Tariffs Jan2020'!M92)*'Tariffs Jan2020'!S92/100*'Tariffs Jan2020'!AI92,0)</f>
        <v>0</v>
      </c>
      <c r="J98" s="59">
        <f>IF($C$5*'Tariffs Jan2020'!AL92/'Tariffs Jan2020'!AJ92&gt;='Tariffs Jan2020'!J92,('Tariffs Jan2020'!J92*'Tariffs Jan2020'!U92/100)* 'Tariffs Jan2020'!AJ92,($C$5*'Tariffs Jan2020'!AL92/'Tariffs Jan2020'!AJ92*'Tariffs Jan2020'!U92/100)* 'Tariffs Jan2020'!AJ92)</f>
        <v>349.09090909090912</v>
      </c>
      <c r="K98" s="59">
        <f>IF($C$5*'Tariffs Jan2020'!AL92/'Tariffs Jan2020'!AJ92&lt;'Tariffs Jan2020'!J92,0,IF($C$5*'Tariffs Jan2020'!AL92/'Tariffs Jan2020'!AJ92&lt;='Tariffs Jan2020'!K92,($C$5*'Tariffs Jan2020'!AL92/'Tariffs Jan2020'!AJ92-'Tariffs Jan2020'!J92)*('Tariffs Jan2020'!V92/100)*'Tariffs Jan2020'!AJ92,('Tariffs Jan2020'!K92-'Tariffs Jan2020'!J92)*('Tariffs Jan2020'!V92/100)*'Tariffs Jan2020'!AJ92))</f>
        <v>215.94959999999995</v>
      </c>
      <c r="L98" s="59">
        <f>IF($C$5*'Tariffs Jan2020'!AL92/'Tariffs Jan2020'!AJ92&lt;'Tariffs Jan2020'!K92,0,IF($C$5*'Tariffs Jan2020'!AL92/'Tariffs Jan2020'!AJ92&lt;='Tariffs Jan2020'!L92,($C$5*'Tariffs Jan2020'!AL92/'Tariffs Jan2020'!AJ92-'Tariffs Jan2020'!K92)*('Tariffs Jan2020'!W92/100)*'Tariffs Jan2020'!AJ92,('Tariffs Jan2020'!L92-'Tariffs Jan2020'!K92)*('Tariffs Jan2020'!W92/100)*'Tariffs Jan2020'!AJ92))</f>
        <v>0</v>
      </c>
      <c r="M98" s="59">
        <f>IF($C$5*'Tariffs Jan2020'!AL92/'Tariffs Jan2020'!AJ92&lt;'Tariffs Jan2020'!L92,0,IF($C$5*'Tariffs Jan2020'!AL92/'Tariffs Jan2020'!AJ92&lt;='Tariffs Jan2020'!M92,($C$5*'Tariffs Jan2020'!AL92/'Tariffs Jan2020'!AJ92-'Tariffs Jan2020'!L92)*('Tariffs Jan2020'!X92/100)*'Tariffs Jan2020'!AJ92,('Tariffs Jan2020'!M92-'Tariffs Jan2020'!L92)*('Tariffs Jan2020'!X92/100)*'Tariffs Jan2020'!AJ92))</f>
        <v>0</v>
      </c>
      <c r="N98" s="59">
        <f>IF(($C$5*'Tariffs Jan2020'!AL92/'Tariffs Jan2020'!AJ92&gt;'Tariffs Jan2020'!M92),($C$5*'Tariffs Jan2020'!AL92/'Tariffs Jan2020'!AJ92-'Tariffs Jan2020'!M92)*'Tariffs Jan2020'!Y92/100*'Tariffs Jan2020'!AJ92,0)</f>
        <v>0</v>
      </c>
      <c r="O98" s="59">
        <f t="shared" ref="O98:O133" si="44">SUM(E98:N98)</f>
        <v>897.46202727272714</v>
      </c>
      <c r="P98" s="503">
        <f t="shared" si="30"/>
        <v>987.20822999999996</v>
      </c>
      <c r="Q98" s="59">
        <f t="shared" ref="Q98:Q133" si="45">D98+O98</f>
        <v>1200.1797545454544</v>
      </c>
      <c r="R98" s="272">
        <f t="shared" ref="R98:R133" si="46">Q98*1.1</f>
        <v>1320.1977300000001</v>
      </c>
      <c r="S98" s="40">
        <f>'Tariffs Jan2020'!AN92</f>
        <v>0</v>
      </c>
      <c r="T98" s="40">
        <f>'Tariffs Jan2020'!AO92</f>
        <v>0</v>
      </c>
      <c r="U98" s="40">
        <f>'Tariffs Jan2020'!AP92</f>
        <v>0</v>
      </c>
      <c r="V98" s="40">
        <f>'Tariffs Jan2020'!AQ92</f>
        <v>0</v>
      </c>
      <c r="W98" s="284">
        <f>Q98</f>
        <v>1200.1797545454544</v>
      </c>
      <c r="X98" s="284">
        <f t="shared" si="43"/>
        <v>1200.1797545454544</v>
      </c>
      <c r="Y98" s="507">
        <f t="shared" si="40"/>
        <v>1320.1977300000001</v>
      </c>
      <c r="Z98" s="507">
        <f t="shared" si="41"/>
        <v>1320.1977300000001</v>
      </c>
      <c r="AA98" s="274">
        <f>'Tariffs Jan2020'!AZ92</f>
        <v>0</v>
      </c>
      <c r="AB98" s="274" t="str">
        <f>'Tariffs Jan2020'!BA92</f>
        <v>n</v>
      </c>
      <c r="AC98" s="275" t="str">
        <f>'Tariffs Jan2020'!BJ92</f>
        <v>N</v>
      </c>
      <c r="AD98" s="425"/>
      <c r="AE98" s="425"/>
      <c r="AF98" s="427"/>
      <c r="AG98" s="427"/>
      <c r="AH98" s="427"/>
      <c r="AI98" s="427"/>
      <c r="AJ98" s="427"/>
      <c r="AK98" s="427"/>
      <c r="AL98" s="427"/>
      <c r="AM98" s="427"/>
      <c r="AN98" s="427"/>
    </row>
    <row r="99" spans="1:40" ht="14" x14ac:dyDescent="0.15">
      <c r="A99" s="270" t="str">
        <f>'Tariffs Jan2020'!F93</f>
        <v>Alinta Energy</v>
      </c>
      <c r="B99" s="40" t="str">
        <f>'Tariffs Jan2020'!D93</f>
        <v>AusNet Services West</v>
      </c>
      <c r="C99" s="40" t="str">
        <f>'Tariffs Jan2020'!G93</f>
        <v>Home Deal</v>
      </c>
      <c r="D99" s="59">
        <f>365*'Tariffs Jan2020'!H93/100</f>
        <v>292</v>
      </c>
      <c r="E99" s="59">
        <f>IF($C$5*'Tariffs Jan2020'!AK93/'Tariffs Jan2020'!AI93&gt;='Tariffs Jan2020'!J93,( 'Tariffs Jan2020'!J93*'Tariffs Jan2020'!O93/100)* 'Tariffs Jan2020'!AI93,($C$5*'Tariffs Jan2020'!AK93/'Tariffs Jan2020'!AI93*'Tariffs Jan2020'!O93/100)* 'Tariffs Jan2020'!AI93)</f>
        <v>240</v>
      </c>
      <c r="F99" s="59">
        <f>IF($C$5*'Tariffs Jan2020'!AK93/'Tariffs Jan2020'!AI93&lt;'Tariffs Jan2020'!J93,0,IF($C$5*'Tariffs Jan2020'!AK93/'Tariffs Jan2020'!AI93&lt;='Tariffs Jan2020'!K93,($C$5*'Tariffs Jan2020'!AK93/'Tariffs Jan2020'!AI93-'Tariffs Jan2020'!J93)*('Tariffs Jan2020'!P93/100)*'Tariffs Jan2020'!AI93,('Tariffs Jan2020'!K93-'Tariffs Jan2020'!J93)*('Tariffs Jan2020'!P93/100)*'Tariffs Jan2020'!AI93))</f>
        <v>0</v>
      </c>
      <c r="G99" s="59">
        <f>IF($C$5*'Tariffs Jan2020'!AK93/'Tariffs Jan2020'!AI93&lt;'Tariffs Jan2020'!K93,0,IF($C$5*'Tariffs Jan2020'!AK93/'Tariffs Jan2020'!AI93&lt;='Tariffs Jan2020'!L93,($C$5*'Tariffs Jan2020'!AK93/'Tariffs Jan2020'!AI93-'Tariffs Jan2020'!K93)*('Tariffs Jan2020'!Q93/100)*'Tariffs Jan2020'!AI93,('Tariffs Jan2020'!L93-'Tariffs Jan2020'!K93)*('Tariffs Jan2020'!Q93/100)*'Tariffs Jan2020'!AI93))</f>
        <v>0</v>
      </c>
      <c r="H99" s="59">
        <f>IF($C$5*'Tariffs Jan2020'!AK93/'Tariffs Jan2020'!AI93&lt;'Tariffs Jan2020'!L93,0,IF($C$5*'Tariffs Jan2020'!AK93/'Tariffs Jan2020'!AI93&lt;='Tariffs Jan2020'!M93,($C$5*'Tariffs Jan2020'!AK93/'Tariffs Jan2020'!AI93-'Tariffs Jan2020'!L93)*('Tariffs Jan2020'!R93/100)*'Tariffs Jan2020'!AI93,('Tariffs Jan2020'!M93-'Tariffs Jan2020'!L93)*('Tariffs Jan2020'!R93/100)*'Tariffs Jan2020'!AI93))</f>
        <v>0</v>
      </c>
      <c r="I99" s="59">
        <f>IF(($C$5*'Tariffs Jan2020'!AK93/'Tariffs Jan2020'!AI93&gt;'Tariffs Jan2020'!M93),($C$5*'Tariffs Jan2020'!AK93/'Tariffs Jan2020'!AI93-'Tariffs Jan2020'!M93)*'Tariffs Jan2020'!S93/100*'Tariffs Jan2020'!AI93,0)</f>
        <v>161.96219999999994</v>
      </c>
      <c r="J99" s="59">
        <f>IF($C$5*'Tariffs Jan2020'!AL93/'Tariffs Jan2020'!AJ93&gt;='Tariffs Jan2020'!J93,('Tariffs Jan2020'!J93*'Tariffs Jan2020'!U93/100)* 'Tariffs Jan2020'!AJ93,($C$5*'Tariffs Jan2020'!AL93/'Tariffs Jan2020'!AJ93*'Tariffs Jan2020'!U93/100)* 'Tariffs Jan2020'!AJ93)</f>
        <v>408</v>
      </c>
      <c r="K99" s="59">
        <f>IF($C$5*'Tariffs Jan2020'!AL93/'Tariffs Jan2020'!AJ93&lt;'Tariffs Jan2020'!J93,0,IF($C$5*'Tariffs Jan2020'!AL93/'Tariffs Jan2020'!AJ93&lt;='Tariffs Jan2020'!K93,($C$5*'Tariffs Jan2020'!AL93/'Tariffs Jan2020'!AJ93-'Tariffs Jan2020'!J93)*('Tariffs Jan2020'!V93/100)*'Tariffs Jan2020'!AJ93,('Tariffs Jan2020'!K93-'Tariffs Jan2020'!J93)*('Tariffs Jan2020'!V93/100)*'Tariffs Jan2020'!AJ93))</f>
        <v>0</v>
      </c>
      <c r="L99" s="59">
        <f>IF($C$5*'Tariffs Jan2020'!AL93/'Tariffs Jan2020'!AJ93&lt;'Tariffs Jan2020'!K93,0,IF($C$5*'Tariffs Jan2020'!AL93/'Tariffs Jan2020'!AJ93&lt;='Tariffs Jan2020'!L93,($C$5*'Tariffs Jan2020'!AL93/'Tariffs Jan2020'!AJ93-'Tariffs Jan2020'!K93)*('Tariffs Jan2020'!W93/100)*'Tariffs Jan2020'!AJ93,('Tariffs Jan2020'!L93-'Tariffs Jan2020'!K93)*('Tariffs Jan2020'!W93/100)*'Tariffs Jan2020'!AJ93))</f>
        <v>0</v>
      </c>
      <c r="M99" s="59">
        <f>IF($C$5*'Tariffs Jan2020'!AL93/'Tariffs Jan2020'!AJ93&lt;'Tariffs Jan2020'!L93,0,IF($C$5*'Tariffs Jan2020'!AL93/'Tariffs Jan2020'!AJ93&lt;='Tariffs Jan2020'!M93,($C$5*'Tariffs Jan2020'!AL93/'Tariffs Jan2020'!AJ93-'Tariffs Jan2020'!L93)*('Tariffs Jan2020'!X93/100)*'Tariffs Jan2020'!AJ93,('Tariffs Jan2020'!M93-'Tariffs Jan2020'!L93)*('Tariffs Jan2020'!X93/100)*'Tariffs Jan2020'!AJ93))</f>
        <v>0</v>
      </c>
      <c r="N99" s="59">
        <f>IF(($C$5*'Tariffs Jan2020'!AL93/'Tariffs Jan2020'!AJ93&gt;'Tariffs Jan2020'!M93),($C$5*'Tariffs Jan2020'!AL93/'Tariffs Jan2020'!AJ93-'Tariffs Jan2020'!M93)*'Tariffs Jan2020'!Y93/100*'Tariffs Jan2020'!AJ93,0)</f>
        <v>269.9369999999999</v>
      </c>
      <c r="O99" s="59">
        <f t="shared" si="44"/>
        <v>1079.8991999999998</v>
      </c>
      <c r="P99" s="503">
        <f t="shared" si="30"/>
        <v>1187.8891199999998</v>
      </c>
      <c r="Q99" s="59">
        <f t="shared" si="45"/>
        <v>1371.8991999999998</v>
      </c>
      <c r="R99" s="272">
        <f t="shared" si="46"/>
        <v>1509.0891199999999</v>
      </c>
      <c r="S99" s="40">
        <f>'Tariffs Jan2020'!AN93</f>
        <v>0</v>
      </c>
      <c r="T99" s="40">
        <f>'Tariffs Jan2020'!AO93</f>
        <v>0</v>
      </c>
      <c r="U99" s="40">
        <f>'Tariffs Jan2020'!AP93</f>
        <v>0</v>
      </c>
      <c r="V99" s="40">
        <f>'Tariffs Jan2020'!AQ93</f>
        <v>0</v>
      </c>
      <c r="W99" s="284">
        <f>Q99</f>
        <v>1371.8991999999998</v>
      </c>
      <c r="X99" s="284">
        <f t="shared" si="43"/>
        <v>1371.8991999999998</v>
      </c>
      <c r="Y99" s="507">
        <f t="shared" si="40"/>
        <v>1509.0891199999999</v>
      </c>
      <c r="Z99" s="507">
        <f t="shared" si="41"/>
        <v>1509.0891199999999</v>
      </c>
      <c r="AA99" s="274">
        <f>'Tariffs Jan2020'!AZ93</f>
        <v>0</v>
      </c>
      <c r="AB99" s="274" t="str">
        <f>'Tariffs Jan2020'!BA93</f>
        <v>n</v>
      </c>
      <c r="AC99" s="275" t="str">
        <f>'Tariffs Jan2020'!BJ94</f>
        <v>N</v>
      </c>
      <c r="AD99" s="425"/>
      <c r="AE99" s="425"/>
      <c r="AF99" s="427"/>
      <c r="AG99" s="427"/>
      <c r="AH99" s="427"/>
      <c r="AI99" s="427"/>
      <c r="AJ99" s="427"/>
      <c r="AK99" s="427"/>
      <c r="AL99" s="427"/>
      <c r="AM99" s="427"/>
      <c r="AN99" s="427"/>
    </row>
    <row r="100" spans="1:40" ht="14" x14ac:dyDescent="0.15">
      <c r="A100" s="270" t="str">
        <f>'Tariffs Jan2020'!F94</f>
        <v>Click Energy</v>
      </c>
      <c r="B100" s="40" t="str">
        <f>'Tariffs Jan2020'!D94</f>
        <v>AusNet Services West</v>
      </c>
      <c r="C100" s="40" t="str">
        <f>'Tariffs Jan2020'!G94</f>
        <v>Hibiscus</v>
      </c>
      <c r="D100" s="59">
        <f>365*'Tariffs Jan2020'!H94/100</f>
        <v>261.47272727272724</v>
      </c>
      <c r="E100" s="59">
        <f>IF($C$5*'Tariffs Jan2020'!AK94/'Tariffs Jan2020'!AI94&gt;='Tariffs Jan2020'!J94,( 'Tariffs Jan2020'!J94*'Tariffs Jan2020'!O94/100)* 'Tariffs Jan2020'!AI94,($C$5*'Tariffs Jan2020'!AK94/'Tariffs Jan2020'!AI94*'Tariffs Jan2020'!O94/100)* 'Tariffs Jan2020'!AI94)</f>
        <v>270.5454545454545</v>
      </c>
      <c r="F100" s="59">
        <f>IF($C$5*'Tariffs Jan2020'!AK94/'Tariffs Jan2020'!AI94&lt;'Tariffs Jan2020'!J94,0,IF($C$5*'Tariffs Jan2020'!AK94/'Tariffs Jan2020'!AI94&lt;='Tariffs Jan2020'!K94,($C$5*'Tariffs Jan2020'!AK94/'Tariffs Jan2020'!AI94-'Tariffs Jan2020'!J94)*('Tariffs Jan2020'!P94/100)*'Tariffs Jan2020'!AI94,('Tariffs Jan2020'!K94-'Tariffs Jan2020'!J94)*('Tariffs Jan2020'!P94/100)*'Tariffs Jan2020'!AI94))</f>
        <v>193.04585454545446</v>
      </c>
      <c r="G100" s="59">
        <f>IF($C$5*'Tariffs Jan2020'!AK94/'Tariffs Jan2020'!AI94&lt;'Tariffs Jan2020'!K94,0,IF($C$5*'Tariffs Jan2020'!AK94/'Tariffs Jan2020'!AI94&lt;='Tariffs Jan2020'!L94,($C$5*'Tariffs Jan2020'!AK94/'Tariffs Jan2020'!AI94-'Tariffs Jan2020'!K94)*('Tariffs Jan2020'!Q94/100)*'Tariffs Jan2020'!AI94,('Tariffs Jan2020'!L94-'Tariffs Jan2020'!K94)*('Tariffs Jan2020'!Q94/100)*'Tariffs Jan2020'!AI94))</f>
        <v>0</v>
      </c>
      <c r="H100" s="59">
        <f>IF($C$5*'Tariffs Jan2020'!AK94/'Tariffs Jan2020'!AI94&lt;'Tariffs Jan2020'!L94,0,IF($C$5*'Tariffs Jan2020'!AK94/'Tariffs Jan2020'!AI94&lt;='Tariffs Jan2020'!M94,($C$5*'Tariffs Jan2020'!AK94/'Tariffs Jan2020'!AI94-'Tariffs Jan2020'!L94)*('Tariffs Jan2020'!R94/100)*'Tariffs Jan2020'!AI94,('Tariffs Jan2020'!M94-'Tariffs Jan2020'!L94)*('Tariffs Jan2020'!R94/100)*'Tariffs Jan2020'!AI94))</f>
        <v>0</v>
      </c>
      <c r="I100" s="59">
        <f>IF(($C$5*'Tariffs Jan2020'!AK94/'Tariffs Jan2020'!AI94&gt;'Tariffs Jan2020'!M94),($C$5*'Tariffs Jan2020'!AK94/'Tariffs Jan2020'!AI94-'Tariffs Jan2020'!M94)*'Tariffs Jan2020'!S94/100*'Tariffs Jan2020'!AI94,0)</f>
        <v>0</v>
      </c>
      <c r="J100" s="59">
        <f>IF($C$5*'Tariffs Jan2020'!AL94/'Tariffs Jan2020'!AJ94&gt;='Tariffs Jan2020'!J94,('Tariffs Jan2020'!J94*'Tariffs Jan2020'!U94/100)* 'Tariffs Jan2020'!AJ94,($C$5*'Tariffs Jan2020'!AL94/'Tariffs Jan2020'!AJ94*'Tariffs Jan2020'!U94/100)* 'Tariffs Jan2020'!AJ94)</f>
        <v>445.09090909090907</v>
      </c>
      <c r="K100" s="59">
        <f>IF($C$5*'Tariffs Jan2020'!AL94/'Tariffs Jan2020'!AJ94&lt;'Tariffs Jan2020'!J94,0,IF($C$5*'Tariffs Jan2020'!AL94/'Tariffs Jan2020'!AJ94&lt;='Tariffs Jan2020'!K94,($C$5*'Tariffs Jan2020'!AL94/'Tariffs Jan2020'!AJ94-'Tariffs Jan2020'!J94)*('Tariffs Jan2020'!V94/100)*'Tariffs Jan2020'!AJ94,('Tariffs Jan2020'!K94-'Tariffs Jan2020'!J94)*('Tariffs Jan2020'!V94/100)*'Tariffs Jan2020'!AJ94))</f>
        <v>325.56038181818167</v>
      </c>
      <c r="L100" s="59">
        <f>IF($C$5*'Tariffs Jan2020'!AL94/'Tariffs Jan2020'!AJ94&lt;'Tariffs Jan2020'!K94,0,IF($C$5*'Tariffs Jan2020'!AL94/'Tariffs Jan2020'!AJ94&lt;='Tariffs Jan2020'!L94,($C$5*'Tariffs Jan2020'!AL94/'Tariffs Jan2020'!AJ94-'Tariffs Jan2020'!K94)*('Tariffs Jan2020'!W94/100)*'Tariffs Jan2020'!AJ94,('Tariffs Jan2020'!L94-'Tariffs Jan2020'!K94)*('Tariffs Jan2020'!W94/100)*'Tariffs Jan2020'!AJ94))</f>
        <v>0</v>
      </c>
      <c r="M100" s="59">
        <f>IF($C$5*'Tariffs Jan2020'!AL94/'Tariffs Jan2020'!AJ94&lt;'Tariffs Jan2020'!L94,0,IF($C$5*'Tariffs Jan2020'!AL94/'Tariffs Jan2020'!AJ94&lt;='Tariffs Jan2020'!M94,($C$5*'Tariffs Jan2020'!AL94/'Tariffs Jan2020'!AJ94-'Tariffs Jan2020'!L94)*('Tariffs Jan2020'!X94/100)*'Tariffs Jan2020'!AJ94,('Tariffs Jan2020'!M94-'Tariffs Jan2020'!L94)*('Tariffs Jan2020'!X94/100)*'Tariffs Jan2020'!AJ94))</f>
        <v>0</v>
      </c>
      <c r="N100" s="59">
        <f>IF(($C$5*'Tariffs Jan2020'!AL94/'Tariffs Jan2020'!AJ94&gt;'Tariffs Jan2020'!M94),($C$5*'Tariffs Jan2020'!AL94/'Tariffs Jan2020'!AJ94-'Tariffs Jan2020'!M94)*'Tariffs Jan2020'!Y94/100*'Tariffs Jan2020'!AJ94,0)</f>
        <v>0</v>
      </c>
      <c r="O100" s="59">
        <f t="shared" si="44"/>
        <v>1234.2425999999996</v>
      </c>
      <c r="P100" s="503">
        <f t="shared" si="30"/>
        <v>1357.6668599999996</v>
      </c>
      <c r="Q100" s="59">
        <f t="shared" si="45"/>
        <v>1495.7153272727269</v>
      </c>
      <c r="R100" s="272">
        <f t="shared" si="46"/>
        <v>1645.2868599999997</v>
      </c>
      <c r="S100" s="40">
        <f>'Tariffs Jan2020'!AN94</f>
        <v>0</v>
      </c>
      <c r="T100" s="40">
        <f>'Tariffs Jan2020'!AO94</f>
        <v>0</v>
      </c>
      <c r="U100" s="40">
        <f>'Tariffs Jan2020'!AP94</f>
        <v>0</v>
      </c>
      <c r="V100" s="40">
        <f>'Tariffs Jan2020'!AQ94</f>
        <v>0</v>
      </c>
      <c r="W100" s="284">
        <f>Q100</f>
        <v>1495.7153272727269</v>
      </c>
      <c r="X100" s="284">
        <f t="shared" si="43"/>
        <v>1495.7153272727269</v>
      </c>
      <c r="Y100" s="507">
        <f t="shared" si="40"/>
        <v>1645.2868599999997</v>
      </c>
      <c r="Z100" s="507">
        <f t="shared" si="41"/>
        <v>1645.2868599999997</v>
      </c>
      <c r="AA100" s="274">
        <f>'Tariffs Jan2020'!AZ94</f>
        <v>0</v>
      </c>
      <c r="AB100" s="274" t="str">
        <f>'Tariffs Jan2020'!BA94</f>
        <v>n</v>
      </c>
      <c r="AC100" s="275" t="str">
        <f>'Tariffs Jan2020'!BJ95</f>
        <v>N</v>
      </c>
      <c r="AD100" s="425"/>
      <c r="AE100" s="425"/>
      <c r="AF100" s="427"/>
      <c r="AG100" s="427"/>
      <c r="AH100" s="427"/>
      <c r="AI100" s="427"/>
      <c r="AJ100" s="427"/>
      <c r="AK100" s="427"/>
      <c r="AL100" s="427"/>
      <c r="AM100" s="427"/>
      <c r="AN100" s="427"/>
    </row>
    <row r="101" spans="1:40" ht="14" x14ac:dyDescent="0.15">
      <c r="A101" s="270" t="str">
        <f>'Tariffs Jan2020'!F95</f>
        <v>Covau</v>
      </c>
      <c r="B101" s="40" t="str">
        <f>'Tariffs Jan2020'!D95</f>
        <v>AusNet Services West</v>
      </c>
      <c r="C101" s="40" t="str">
        <f>'Tariffs Jan2020'!G95</f>
        <v>Smart Saver</v>
      </c>
      <c r="D101" s="59">
        <f>365*'Tariffs Jan2020'!H95/100</f>
        <v>310.25</v>
      </c>
      <c r="E101" s="59">
        <f>IF($C$5*'Tariffs Jan2020'!AK95/'Tariffs Jan2020'!AI95&gt;='Tariffs Jan2020'!J95,( 'Tariffs Jan2020'!J95*'Tariffs Jan2020'!O95/100)* 'Tariffs Jan2020'!AI95,($C$5*'Tariffs Jan2020'!AK95/'Tariffs Jan2020'!AI95*'Tariffs Jan2020'!O95/100)* 'Tariffs Jan2020'!AI95)</f>
        <v>288</v>
      </c>
      <c r="F101" s="59">
        <f>IF($C$5*'Tariffs Jan2020'!AK95/'Tariffs Jan2020'!AI95&lt;'Tariffs Jan2020'!J95,0,IF($C$5*'Tariffs Jan2020'!AK95/'Tariffs Jan2020'!AI95&lt;='Tariffs Jan2020'!K95,($C$5*'Tariffs Jan2020'!AK95/'Tariffs Jan2020'!AI95-'Tariffs Jan2020'!J95)*('Tariffs Jan2020'!P95/100)*'Tariffs Jan2020'!AI95,('Tariffs Jan2020'!K95-'Tariffs Jan2020'!J95)*('Tariffs Jan2020'!P95/100)*'Tariffs Jan2020'!AI95))</f>
        <v>202.8617454545454</v>
      </c>
      <c r="G101" s="59">
        <f>IF($C$5*'Tariffs Jan2020'!AK95/'Tariffs Jan2020'!AI95&lt;'Tariffs Jan2020'!K95,0,IF($C$5*'Tariffs Jan2020'!AK95/'Tariffs Jan2020'!AI95&lt;='Tariffs Jan2020'!L95,($C$5*'Tariffs Jan2020'!AK95/'Tariffs Jan2020'!AI95-'Tariffs Jan2020'!K95)*('Tariffs Jan2020'!Q95/100)*'Tariffs Jan2020'!AI95,('Tariffs Jan2020'!L95-'Tariffs Jan2020'!K95)*('Tariffs Jan2020'!Q95/100)*'Tariffs Jan2020'!AI95))</f>
        <v>0</v>
      </c>
      <c r="H101" s="59">
        <f>IF($C$5*'Tariffs Jan2020'!AK95/'Tariffs Jan2020'!AI95&lt;'Tariffs Jan2020'!L95,0,IF($C$5*'Tariffs Jan2020'!AK95/'Tariffs Jan2020'!AI95&lt;='Tariffs Jan2020'!M95,($C$5*'Tariffs Jan2020'!AK95/'Tariffs Jan2020'!AI95-'Tariffs Jan2020'!L95)*('Tariffs Jan2020'!R95/100)*'Tariffs Jan2020'!AI95,('Tariffs Jan2020'!M95-'Tariffs Jan2020'!L95)*('Tariffs Jan2020'!R95/100)*'Tariffs Jan2020'!AI95))</f>
        <v>0</v>
      </c>
      <c r="I101" s="59">
        <f>IF(($C$5*'Tariffs Jan2020'!AK95/'Tariffs Jan2020'!AI95&gt;'Tariffs Jan2020'!M95),($C$5*'Tariffs Jan2020'!AK95/'Tariffs Jan2020'!AI95-'Tariffs Jan2020'!M95)*'Tariffs Jan2020'!S95/100*'Tariffs Jan2020'!AI95,0)</f>
        <v>0</v>
      </c>
      <c r="J101" s="59">
        <f>IF($C$5*'Tariffs Jan2020'!AL95/'Tariffs Jan2020'!AJ95&gt;='Tariffs Jan2020'!J95,('Tariffs Jan2020'!J95*'Tariffs Jan2020'!U95/100)* 'Tariffs Jan2020'!AJ95,($C$5*'Tariffs Jan2020'!AL95/'Tariffs Jan2020'!AJ95*'Tariffs Jan2020'!U95/100)* 'Tariffs Jan2020'!AJ95)</f>
        <v>501.8181818181817</v>
      </c>
      <c r="K101" s="59">
        <f>IF($C$5*'Tariffs Jan2020'!AL95/'Tariffs Jan2020'!AJ95&lt;'Tariffs Jan2020'!J95,0,IF($C$5*'Tariffs Jan2020'!AL95/'Tariffs Jan2020'!AJ95&lt;='Tariffs Jan2020'!K95,($C$5*'Tariffs Jan2020'!AL95/'Tariffs Jan2020'!AJ95-'Tariffs Jan2020'!J95)*('Tariffs Jan2020'!V95/100)*'Tariffs Jan2020'!AJ95,('Tariffs Jan2020'!K95-'Tariffs Jan2020'!J95)*('Tariffs Jan2020'!V95/100)*'Tariffs Jan2020'!AJ95))</f>
        <v>348.46412727272713</v>
      </c>
      <c r="L101" s="59">
        <f>IF($C$5*'Tariffs Jan2020'!AL95/'Tariffs Jan2020'!AJ95&lt;'Tariffs Jan2020'!K95,0,IF($C$5*'Tariffs Jan2020'!AL95/'Tariffs Jan2020'!AJ95&lt;='Tariffs Jan2020'!L95,($C$5*'Tariffs Jan2020'!AL95/'Tariffs Jan2020'!AJ95-'Tariffs Jan2020'!K95)*('Tariffs Jan2020'!W95/100)*'Tariffs Jan2020'!AJ95,('Tariffs Jan2020'!L95-'Tariffs Jan2020'!K95)*('Tariffs Jan2020'!W95/100)*'Tariffs Jan2020'!AJ95))</f>
        <v>0</v>
      </c>
      <c r="M101" s="59">
        <f>IF($C$5*'Tariffs Jan2020'!AL95/'Tariffs Jan2020'!AJ95&lt;'Tariffs Jan2020'!L95,0,IF($C$5*'Tariffs Jan2020'!AL95/'Tariffs Jan2020'!AJ95&lt;='Tariffs Jan2020'!M95,($C$5*'Tariffs Jan2020'!AL95/'Tariffs Jan2020'!AJ95-'Tariffs Jan2020'!L95)*('Tariffs Jan2020'!X95/100)*'Tariffs Jan2020'!AJ95,('Tariffs Jan2020'!M95-'Tariffs Jan2020'!L95)*('Tariffs Jan2020'!X95/100)*'Tariffs Jan2020'!AJ95))</f>
        <v>0</v>
      </c>
      <c r="N101" s="59">
        <f>IF(($C$5*'Tariffs Jan2020'!AL95/'Tariffs Jan2020'!AJ95&gt;'Tariffs Jan2020'!M95),($C$5*'Tariffs Jan2020'!AL95/'Tariffs Jan2020'!AJ95-'Tariffs Jan2020'!M95)*'Tariffs Jan2020'!Y95/100*'Tariffs Jan2020'!AJ95,0)</f>
        <v>0</v>
      </c>
      <c r="O101" s="59">
        <f t="shared" si="44"/>
        <v>1341.1440545454543</v>
      </c>
      <c r="P101" s="503">
        <f t="shared" si="30"/>
        <v>1475.2584599999998</v>
      </c>
      <c r="Q101" s="59">
        <f t="shared" si="45"/>
        <v>1651.3940545454543</v>
      </c>
      <c r="R101" s="272">
        <f t="shared" si="46"/>
        <v>1816.5334599999999</v>
      </c>
      <c r="S101" s="40">
        <f>'Tariffs Jan2020'!AN95</f>
        <v>0</v>
      </c>
      <c r="T101" s="40">
        <f>'Tariffs Jan2020'!AO95</f>
        <v>16</v>
      </c>
      <c r="U101" s="40">
        <f>'Tariffs Jan2020'!AP95</f>
        <v>0</v>
      </c>
      <c r="V101" s="40">
        <f>'Tariffs Jan2020'!AQ95</f>
        <v>0</v>
      </c>
      <c r="W101" s="284">
        <f>Q101-(O101*T101/100)</f>
        <v>1436.8110058181817</v>
      </c>
      <c r="X101" s="284">
        <f t="shared" si="43"/>
        <v>1436.8110058181817</v>
      </c>
      <c r="Y101" s="507">
        <f t="shared" si="40"/>
        <v>1580.4921064</v>
      </c>
      <c r="Z101" s="507">
        <f t="shared" si="41"/>
        <v>1580.4921064</v>
      </c>
      <c r="AA101" s="274">
        <f>'Tariffs Jan2020'!AZ95</f>
        <v>0</v>
      </c>
      <c r="AB101" s="274" t="str">
        <f>'Tariffs Jan2020'!BA95</f>
        <v>n</v>
      </c>
      <c r="AC101" s="275" t="str">
        <f>'Tariffs Jan2020'!BJ95</f>
        <v>N</v>
      </c>
      <c r="AD101" s="425"/>
      <c r="AE101" s="425"/>
      <c r="AF101" s="427"/>
      <c r="AG101" s="427"/>
      <c r="AH101" s="427"/>
      <c r="AI101" s="427"/>
      <c r="AJ101" s="427"/>
      <c r="AK101" s="427"/>
      <c r="AL101" s="427"/>
      <c r="AM101" s="427"/>
      <c r="AN101" s="427"/>
    </row>
    <row r="102" spans="1:40" ht="14" x14ac:dyDescent="0.15">
      <c r="A102" s="270" t="str">
        <f>'Tariffs Jan2020'!F96</f>
        <v>EnergyAustralia</v>
      </c>
      <c r="B102" s="40" t="str">
        <f>'Tariffs Jan2020'!D96</f>
        <v>AusNet Services West</v>
      </c>
      <c r="C102" s="40" t="str">
        <f>'Tariffs Jan2020'!G96</f>
        <v>Total Plan</v>
      </c>
      <c r="D102" s="59">
        <f>365*'Tariffs Jan2020'!H96/100</f>
        <v>349.6699999999999</v>
      </c>
      <c r="E102" s="59">
        <f>IF($C$5*'Tariffs Jan2020'!AK96/'Tariffs Jan2020'!AI96&gt;='Tariffs Jan2020'!J96,( 'Tariffs Jan2020'!J96*'Tariffs Jan2020'!O96/100)* 'Tariffs Jan2020'!AI96,($C$5*'Tariffs Jan2020'!AK96/'Tariffs Jan2020'!AI96*'Tariffs Jan2020'!O96/100)* 'Tariffs Jan2020'!AI96)</f>
        <v>526.85639999999989</v>
      </c>
      <c r="F102" s="59">
        <f>IF($C$5*'Tariffs Jan2020'!AK96/'Tariffs Jan2020'!AI96&lt;'Tariffs Jan2020'!J96,0,IF($C$5*'Tariffs Jan2020'!AK96/'Tariffs Jan2020'!AI96&lt;='Tariffs Jan2020'!K96,($C$5*'Tariffs Jan2020'!AK96/'Tariffs Jan2020'!AI96-'Tariffs Jan2020'!J96)*('Tariffs Jan2020'!P96/100)*'Tariffs Jan2020'!AI96,('Tariffs Jan2020'!K96-'Tariffs Jan2020'!J96)*('Tariffs Jan2020'!P96/100)*'Tariffs Jan2020'!AI96))</f>
        <v>0</v>
      </c>
      <c r="G102" s="59">
        <f>IF($C$5*'Tariffs Jan2020'!AK96/'Tariffs Jan2020'!AI96&lt;'Tariffs Jan2020'!K96,0,IF($C$5*'Tariffs Jan2020'!AK96/'Tariffs Jan2020'!AI96&lt;='Tariffs Jan2020'!L96,($C$5*'Tariffs Jan2020'!AK96/'Tariffs Jan2020'!AI96-'Tariffs Jan2020'!K96)*('Tariffs Jan2020'!Q96/100)*'Tariffs Jan2020'!AI96,('Tariffs Jan2020'!L96-'Tariffs Jan2020'!K96)*('Tariffs Jan2020'!Q96/100)*'Tariffs Jan2020'!AI96))</f>
        <v>0</v>
      </c>
      <c r="H102" s="59">
        <f>IF($C$5*'Tariffs Jan2020'!AK96/'Tariffs Jan2020'!AI96&lt;'Tariffs Jan2020'!L96,0,IF($C$5*'Tariffs Jan2020'!AK96/'Tariffs Jan2020'!AI96&lt;='Tariffs Jan2020'!M96,($C$5*'Tariffs Jan2020'!AK96/'Tariffs Jan2020'!AI96-'Tariffs Jan2020'!L96)*('Tariffs Jan2020'!R96/100)*'Tariffs Jan2020'!AI96,('Tariffs Jan2020'!M96-'Tariffs Jan2020'!L96)*('Tariffs Jan2020'!R96/100)*'Tariffs Jan2020'!AI96))</f>
        <v>0</v>
      </c>
      <c r="I102" s="59">
        <f>IF(($C$5*'Tariffs Jan2020'!AK96/'Tariffs Jan2020'!AI96&gt;'Tariffs Jan2020'!M96),($C$5*'Tariffs Jan2020'!AK96/'Tariffs Jan2020'!AI96-'Tariffs Jan2020'!M96)*'Tariffs Jan2020'!S96/100*'Tariffs Jan2020'!AI96,0)</f>
        <v>0</v>
      </c>
      <c r="J102" s="59">
        <f>IF($C$5*'Tariffs Jan2020'!AL96/'Tariffs Jan2020'!AJ96&gt;='Tariffs Jan2020'!J96,('Tariffs Jan2020'!J96*'Tariffs Jan2020'!U96/100)* 'Tariffs Jan2020'!AJ96,($C$5*'Tariffs Jan2020'!AL96/'Tariffs Jan2020'!AJ96*'Tariffs Jan2020'!U96/100)* 'Tariffs Jan2020'!AJ96)</f>
        <v>794.10239999999988</v>
      </c>
      <c r="K102" s="59">
        <f>IF($C$5*'Tariffs Jan2020'!AL96/'Tariffs Jan2020'!AJ96&lt;'Tariffs Jan2020'!J96,0,IF($C$5*'Tariffs Jan2020'!AL96/'Tariffs Jan2020'!AJ96&lt;='Tariffs Jan2020'!K96,($C$5*'Tariffs Jan2020'!AL96/'Tariffs Jan2020'!AJ96-'Tariffs Jan2020'!J96)*('Tariffs Jan2020'!V96/100)*'Tariffs Jan2020'!AJ96,('Tariffs Jan2020'!K96-'Tariffs Jan2020'!J96)*('Tariffs Jan2020'!V96/100)*'Tariffs Jan2020'!AJ96))</f>
        <v>0</v>
      </c>
      <c r="L102" s="59">
        <f>IF($C$5*'Tariffs Jan2020'!AL96/'Tariffs Jan2020'!AJ96&lt;'Tariffs Jan2020'!K96,0,IF($C$5*'Tariffs Jan2020'!AL96/'Tariffs Jan2020'!AJ96&lt;='Tariffs Jan2020'!L96,($C$5*'Tariffs Jan2020'!AL96/'Tariffs Jan2020'!AJ96-'Tariffs Jan2020'!K96)*('Tariffs Jan2020'!W96/100)*'Tariffs Jan2020'!AJ96,('Tariffs Jan2020'!L96-'Tariffs Jan2020'!K96)*('Tariffs Jan2020'!W96/100)*'Tariffs Jan2020'!AJ96))</f>
        <v>0</v>
      </c>
      <c r="M102" s="59">
        <f>IF($C$5*'Tariffs Jan2020'!AL96/'Tariffs Jan2020'!AJ96&lt;'Tariffs Jan2020'!L96,0,IF($C$5*'Tariffs Jan2020'!AL96/'Tariffs Jan2020'!AJ96&lt;='Tariffs Jan2020'!M96,($C$5*'Tariffs Jan2020'!AL96/'Tariffs Jan2020'!AJ96-'Tariffs Jan2020'!L96)*('Tariffs Jan2020'!X96/100)*'Tariffs Jan2020'!AJ96,('Tariffs Jan2020'!M96-'Tariffs Jan2020'!L96)*('Tariffs Jan2020'!X96/100)*'Tariffs Jan2020'!AJ96))</f>
        <v>0</v>
      </c>
      <c r="N102" s="59">
        <f>IF(($C$5*'Tariffs Jan2020'!AL96/'Tariffs Jan2020'!AJ96&gt;'Tariffs Jan2020'!M96),($C$5*'Tariffs Jan2020'!AL96/'Tariffs Jan2020'!AJ96-'Tariffs Jan2020'!M96)*'Tariffs Jan2020'!Y96/100*'Tariffs Jan2020'!AJ96,0)</f>
        <v>0</v>
      </c>
      <c r="O102" s="59">
        <f>SUM(E102:N102)</f>
        <v>1320.9587999999999</v>
      </c>
      <c r="P102" s="503">
        <f t="shared" si="30"/>
        <v>1453.05468</v>
      </c>
      <c r="Q102" s="59">
        <f>D102+O102</f>
        <v>1670.6287999999997</v>
      </c>
      <c r="R102" s="272">
        <f>Q102*1.1</f>
        <v>1837.6916799999999</v>
      </c>
      <c r="S102" s="40">
        <f>'Tariffs Jan2020'!AN96</f>
        <v>23</v>
      </c>
      <c r="T102" s="40">
        <f>'Tariffs Jan2020'!AO96</f>
        <v>0</v>
      </c>
      <c r="U102" s="40">
        <f>'Tariffs Jan2020'!AP96</f>
        <v>0</v>
      </c>
      <c r="V102" s="40">
        <f>'Tariffs Jan2020'!AQ96</f>
        <v>0</v>
      </c>
      <c r="W102" s="284">
        <f>Q102-(Q102*S102/100)</f>
        <v>1286.3841759999998</v>
      </c>
      <c r="X102" s="284">
        <f t="shared" si="43"/>
        <v>1286.3841759999998</v>
      </c>
      <c r="Y102" s="507">
        <f t="shared" si="40"/>
        <v>1415.0225935999999</v>
      </c>
      <c r="Z102" s="507">
        <f t="shared" si="41"/>
        <v>1415.0225935999999</v>
      </c>
      <c r="AA102" s="274">
        <f>'Tariffs Jan2020'!AZ96</f>
        <v>12</v>
      </c>
      <c r="AB102" s="274" t="str">
        <f>'Tariffs Jan2020'!BA96</f>
        <v>n</v>
      </c>
      <c r="AC102" s="275" t="str">
        <f>'Tariffs Jan2020'!BJ96</f>
        <v>N</v>
      </c>
      <c r="AD102" s="425"/>
      <c r="AE102" s="425"/>
      <c r="AF102" s="427"/>
      <c r="AG102" s="427"/>
      <c r="AH102" s="427"/>
      <c r="AI102" s="427"/>
      <c r="AJ102" s="427"/>
      <c r="AK102" s="427"/>
      <c r="AL102" s="427"/>
      <c r="AM102" s="427"/>
      <c r="AN102" s="427"/>
    </row>
    <row r="103" spans="1:40" ht="14" x14ac:dyDescent="0.15">
      <c r="A103" s="270" t="str">
        <f>'Tariffs Jan2020'!F97</f>
        <v>Lumo Energy</v>
      </c>
      <c r="B103" s="40" t="str">
        <f>'Tariffs Jan2020'!D97</f>
        <v>AusNet Services West</v>
      </c>
      <c r="C103" s="40" t="str">
        <f>'Tariffs Jan2020'!G97</f>
        <v>Value</v>
      </c>
      <c r="D103" s="59">
        <f>365*'Tariffs Jan2020'!H97/100</f>
        <v>255.5</v>
      </c>
      <c r="E103" s="59">
        <f>IF($C$5*'Tariffs Jan2020'!AK97/'Tariffs Jan2020'!AI97&gt;='Tariffs Jan2020'!J97,( 'Tariffs Jan2020'!J97*'Tariffs Jan2020'!O97/100)* 'Tariffs Jan2020'!AI97,($C$5*'Tariffs Jan2020'!AK97/'Tariffs Jan2020'!AI97*'Tariffs Jan2020'!O97/100)* 'Tariffs Jan2020'!AI97)</f>
        <v>228</v>
      </c>
      <c r="F103" s="59">
        <f>IF($C$5*'Tariffs Jan2020'!AK97/'Tariffs Jan2020'!AI97&lt;'Tariffs Jan2020'!J97,0,IF($C$5*'Tariffs Jan2020'!AK97/'Tariffs Jan2020'!AI97&lt;='Tariffs Jan2020'!K97,($C$5*'Tariffs Jan2020'!AK97/'Tariffs Jan2020'!AI97-'Tariffs Jan2020'!J97)*('Tariffs Jan2020'!P97/100)*'Tariffs Jan2020'!AI97,('Tariffs Jan2020'!K97-'Tariffs Jan2020'!J97)*('Tariffs Jan2020'!P97/100)*'Tariffs Jan2020'!AI97))</f>
        <v>161.96219999999997</v>
      </c>
      <c r="G103" s="59">
        <f>IF($C$5*'Tariffs Jan2020'!AK97/'Tariffs Jan2020'!AI97&lt;'Tariffs Jan2020'!K97,0,IF($C$5*'Tariffs Jan2020'!AK97/'Tariffs Jan2020'!AI97&lt;='Tariffs Jan2020'!L97,($C$5*'Tariffs Jan2020'!AK97/'Tariffs Jan2020'!AI97-'Tariffs Jan2020'!K97)*('Tariffs Jan2020'!Q97/100)*'Tariffs Jan2020'!AI97,('Tariffs Jan2020'!L97-'Tariffs Jan2020'!K97)*('Tariffs Jan2020'!Q97/100)*'Tariffs Jan2020'!AI97))</f>
        <v>0</v>
      </c>
      <c r="H103" s="59">
        <f>IF($C$5*'Tariffs Jan2020'!AK97/'Tariffs Jan2020'!AI97&lt;'Tariffs Jan2020'!L97,0,IF($C$5*'Tariffs Jan2020'!AK97/'Tariffs Jan2020'!AI97&lt;='Tariffs Jan2020'!M97,($C$5*'Tariffs Jan2020'!AK97/'Tariffs Jan2020'!AI97-'Tariffs Jan2020'!L97)*('Tariffs Jan2020'!R97/100)*'Tariffs Jan2020'!AI97,('Tariffs Jan2020'!M97-'Tariffs Jan2020'!L97)*('Tariffs Jan2020'!R97/100)*'Tariffs Jan2020'!AI97))</f>
        <v>0</v>
      </c>
      <c r="I103" s="59">
        <f>IF(($C$5*'Tariffs Jan2020'!AK97/'Tariffs Jan2020'!AI97&gt;'Tariffs Jan2020'!M97),($C$5*'Tariffs Jan2020'!AK97/'Tariffs Jan2020'!AI97-'Tariffs Jan2020'!M97)*'Tariffs Jan2020'!S97/100*'Tariffs Jan2020'!AI97,0)</f>
        <v>0</v>
      </c>
      <c r="J103" s="59">
        <f>IF($C$5*'Tariffs Jan2020'!AL97/'Tariffs Jan2020'!AJ97&gt;='Tariffs Jan2020'!J97,('Tariffs Jan2020'!J97*'Tariffs Jan2020'!U97/100)* 'Tariffs Jan2020'!AJ97,($C$5*'Tariffs Jan2020'!AL97/'Tariffs Jan2020'!AJ97*'Tariffs Jan2020'!U97/100)* 'Tariffs Jan2020'!AJ97)</f>
        <v>408</v>
      </c>
      <c r="K103" s="59">
        <f>IF($C$5*'Tariffs Jan2020'!AL97/'Tariffs Jan2020'!AJ97&lt;'Tariffs Jan2020'!J97,0,IF($C$5*'Tariffs Jan2020'!AL97/'Tariffs Jan2020'!AJ97&lt;='Tariffs Jan2020'!K97,($C$5*'Tariffs Jan2020'!AL97/'Tariffs Jan2020'!AJ97-'Tariffs Jan2020'!J97)*('Tariffs Jan2020'!V97/100)*'Tariffs Jan2020'!AJ97,('Tariffs Jan2020'!K97-'Tariffs Jan2020'!J97)*('Tariffs Jan2020'!V97/100)*'Tariffs Jan2020'!AJ97))</f>
        <v>287.93279999999993</v>
      </c>
      <c r="L103" s="59">
        <f>IF($C$5*'Tariffs Jan2020'!AL97/'Tariffs Jan2020'!AJ97&lt;'Tariffs Jan2020'!K97,0,IF($C$5*'Tariffs Jan2020'!AL97/'Tariffs Jan2020'!AJ97&lt;='Tariffs Jan2020'!L97,($C$5*'Tariffs Jan2020'!AL97/'Tariffs Jan2020'!AJ97-'Tariffs Jan2020'!K97)*('Tariffs Jan2020'!W97/100)*'Tariffs Jan2020'!AJ97,('Tariffs Jan2020'!L97-'Tariffs Jan2020'!K97)*('Tariffs Jan2020'!W97/100)*'Tariffs Jan2020'!AJ97))</f>
        <v>0</v>
      </c>
      <c r="M103" s="59">
        <f>IF($C$5*'Tariffs Jan2020'!AL97/'Tariffs Jan2020'!AJ97&lt;'Tariffs Jan2020'!L97,0,IF($C$5*'Tariffs Jan2020'!AL97/'Tariffs Jan2020'!AJ97&lt;='Tariffs Jan2020'!M97,($C$5*'Tariffs Jan2020'!AL97/'Tariffs Jan2020'!AJ97-'Tariffs Jan2020'!L97)*('Tariffs Jan2020'!X97/100)*'Tariffs Jan2020'!AJ97,('Tariffs Jan2020'!M97-'Tariffs Jan2020'!L97)*('Tariffs Jan2020'!X97/100)*'Tariffs Jan2020'!AJ97))</f>
        <v>0</v>
      </c>
      <c r="N103" s="59">
        <f>IF(($C$5*'Tariffs Jan2020'!AL97/'Tariffs Jan2020'!AJ97&gt;'Tariffs Jan2020'!M97),($C$5*'Tariffs Jan2020'!AL97/'Tariffs Jan2020'!AJ97-'Tariffs Jan2020'!M97)*'Tariffs Jan2020'!Y97/100*'Tariffs Jan2020'!AJ97,0)</f>
        <v>0</v>
      </c>
      <c r="O103" s="59">
        <f t="shared" si="44"/>
        <v>1085.895</v>
      </c>
      <c r="P103" s="503">
        <f t="shared" si="30"/>
        <v>1194.4845</v>
      </c>
      <c r="Q103" s="59">
        <f t="shared" si="45"/>
        <v>1341.395</v>
      </c>
      <c r="R103" s="272">
        <f t="shared" si="46"/>
        <v>1475.5345000000002</v>
      </c>
      <c r="S103" s="40">
        <f>'Tariffs Jan2020'!AN97</f>
        <v>0</v>
      </c>
      <c r="T103" s="40">
        <f>'Tariffs Jan2020'!AO97</f>
        <v>0</v>
      </c>
      <c r="U103" s="40">
        <f>'Tariffs Jan2020'!AP97</f>
        <v>3</v>
      </c>
      <c r="V103" s="40">
        <f>'Tariffs Jan2020'!AQ97</f>
        <v>0</v>
      </c>
      <c r="W103" s="284">
        <f t="shared" ref="W103:W104" si="47">Q103</f>
        <v>1341.395</v>
      </c>
      <c r="X103" s="284">
        <f>W103-(Q103*U103/100)</f>
        <v>1301.1531500000001</v>
      </c>
      <c r="Y103" s="507">
        <f t="shared" si="40"/>
        <v>1475.5345000000002</v>
      </c>
      <c r="Z103" s="507">
        <f t="shared" si="41"/>
        <v>1431.2684650000003</v>
      </c>
      <c r="AA103" s="274">
        <f>'Tariffs Jan2020'!AZ97</f>
        <v>0</v>
      </c>
      <c r="AB103" s="274" t="str">
        <f>'Tariffs Jan2020'!BA97</f>
        <v>n</v>
      </c>
      <c r="AC103" s="275" t="str">
        <f>'Tariffs Jan2020'!BJ97</f>
        <v>N</v>
      </c>
      <c r="AD103" s="425"/>
      <c r="AE103" s="425"/>
      <c r="AF103" s="427"/>
      <c r="AG103" s="427"/>
      <c r="AH103" s="427"/>
      <c r="AI103" s="427"/>
      <c r="AJ103" s="427"/>
      <c r="AK103" s="427"/>
      <c r="AL103" s="427"/>
      <c r="AM103" s="427"/>
      <c r="AN103" s="427"/>
    </row>
    <row r="104" spans="1:40" ht="14" x14ac:dyDescent="0.15">
      <c r="A104" s="270" t="str">
        <f>'Tariffs Jan2020'!F98</f>
        <v>Momentum Energy</v>
      </c>
      <c r="B104" s="40" t="str">
        <f>'Tariffs Jan2020'!D98</f>
        <v>AusNet Services West</v>
      </c>
      <c r="C104" s="40" t="str">
        <f>'Tariffs Jan2020'!G98</f>
        <v>Market offer</v>
      </c>
      <c r="D104" s="59">
        <f>365*'Tariffs Jan2020'!H98/100</f>
        <v>357.16909090909087</v>
      </c>
      <c r="E104" s="59">
        <f>IF($C$5*'Tariffs Jan2020'!AK98/'Tariffs Jan2020'!AI98&gt;='Tariffs Jan2020'!J98,( 'Tariffs Jan2020'!J98*'Tariffs Jan2020'!O98/100)* 'Tariffs Jan2020'!AI98,($C$5*'Tariffs Jan2020'!AK98/'Tariffs Jan2020'!AI98*'Tariffs Jan2020'!O98/100)* 'Tariffs Jan2020'!AI98)</f>
        <v>215.99999999999997</v>
      </c>
      <c r="F104" s="59">
        <f>IF($C$5*'Tariffs Jan2020'!AK98/'Tariffs Jan2020'!AI98&lt;'Tariffs Jan2020'!J98,0,IF($C$5*'Tariffs Jan2020'!AK98/'Tariffs Jan2020'!AI98&lt;='Tariffs Jan2020'!K98,($C$5*'Tariffs Jan2020'!AK98/'Tariffs Jan2020'!AI98-'Tariffs Jan2020'!J98)*('Tariffs Jan2020'!P98/100)*'Tariffs Jan2020'!AI98,('Tariffs Jan2020'!K98-'Tariffs Jan2020'!J98)*('Tariffs Jan2020'!P98/100)*'Tariffs Jan2020'!AI98))</f>
        <v>152.96429999999998</v>
      </c>
      <c r="G104" s="59">
        <f>IF($C$5*'Tariffs Jan2020'!AK98/'Tariffs Jan2020'!AI98&lt;'Tariffs Jan2020'!K98,0,IF($C$5*'Tariffs Jan2020'!AK98/'Tariffs Jan2020'!AI98&lt;='Tariffs Jan2020'!L98,($C$5*'Tariffs Jan2020'!AK98/'Tariffs Jan2020'!AI98-'Tariffs Jan2020'!K98)*('Tariffs Jan2020'!Q98/100)*'Tariffs Jan2020'!AI98,('Tariffs Jan2020'!L98-'Tariffs Jan2020'!K98)*('Tariffs Jan2020'!Q98/100)*'Tariffs Jan2020'!AI98))</f>
        <v>0</v>
      </c>
      <c r="H104" s="59">
        <f>IF($C$5*'Tariffs Jan2020'!AK98/'Tariffs Jan2020'!AI98&lt;'Tariffs Jan2020'!L98,0,IF($C$5*'Tariffs Jan2020'!AK98/'Tariffs Jan2020'!AI98&lt;='Tariffs Jan2020'!M98,($C$5*'Tariffs Jan2020'!AK98/'Tariffs Jan2020'!AI98-'Tariffs Jan2020'!L98)*('Tariffs Jan2020'!R98/100)*'Tariffs Jan2020'!AI98,('Tariffs Jan2020'!M98-'Tariffs Jan2020'!L98)*('Tariffs Jan2020'!R98/100)*'Tariffs Jan2020'!AI98))</f>
        <v>0</v>
      </c>
      <c r="I104" s="59">
        <f>IF(($C$5*'Tariffs Jan2020'!AK98/'Tariffs Jan2020'!AI98&gt;'Tariffs Jan2020'!M98),($C$5*'Tariffs Jan2020'!AK98/'Tariffs Jan2020'!AI98-'Tariffs Jan2020'!M98)*'Tariffs Jan2020'!S98/100*'Tariffs Jan2020'!AI98,0)</f>
        <v>0</v>
      </c>
      <c r="J104" s="59">
        <f>IF($C$5*'Tariffs Jan2020'!AL98/'Tariffs Jan2020'!AJ98&gt;='Tariffs Jan2020'!J98,('Tariffs Jan2020'!J98*'Tariffs Jan2020'!U98/100)* 'Tariffs Jan2020'!AJ98,($C$5*'Tariffs Jan2020'!AL98/'Tariffs Jan2020'!AJ98*'Tariffs Jan2020'!U98/100)* 'Tariffs Jan2020'!AJ98)</f>
        <v>331.63636363636363</v>
      </c>
      <c r="K104" s="59">
        <f>IF($C$5*'Tariffs Jan2020'!AL98/'Tariffs Jan2020'!AJ98&lt;'Tariffs Jan2020'!J98,0,IF($C$5*'Tariffs Jan2020'!AL98/'Tariffs Jan2020'!AJ98&lt;='Tariffs Jan2020'!K98,($C$5*'Tariffs Jan2020'!AL98/'Tariffs Jan2020'!AJ98-'Tariffs Jan2020'!J98)*('Tariffs Jan2020'!V98/100)*'Tariffs Jan2020'!AJ98,('Tariffs Jan2020'!K98-'Tariffs Jan2020'!J98)*('Tariffs Jan2020'!V98/100)*'Tariffs Jan2020'!AJ98))</f>
        <v>247.03325454545444</v>
      </c>
      <c r="L104" s="59">
        <f>IF($C$5*'Tariffs Jan2020'!AL98/'Tariffs Jan2020'!AJ98&lt;'Tariffs Jan2020'!K98,0,IF($C$5*'Tariffs Jan2020'!AL98/'Tariffs Jan2020'!AJ98&lt;='Tariffs Jan2020'!L98,($C$5*'Tariffs Jan2020'!AL98/'Tariffs Jan2020'!AJ98-'Tariffs Jan2020'!K98)*('Tariffs Jan2020'!W98/100)*'Tariffs Jan2020'!AJ98,('Tariffs Jan2020'!L98-'Tariffs Jan2020'!K98)*('Tariffs Jan2020'!W98/100)*'Tariffs Jan2020'!AJ98))</f>
        <v>0</v>
      </c>
      <c r="M104" s="59">
        <f>IF($C$5*'Tariffs Jan2020'!AL98/'Tariffs Jan2020'!AJ98&lt;'Tariffs Jan2020'!L98,0,IF($C$5*'Tariffs Jan2020'!AL98/'Tariffs Jan2020'!AJ98&lt;='Tariffs Jan2020'!M98,($C$5*'Tariffs Jan2020'!AL98/'Tariffs Jan2020'!AJ98-'Tariffs Jan2020'!L98)*('Tariffs Jan2020'!X98/100)*'Tariffs Jan2020'!AJ98,('Tariffs Jan2020'!M98-'Tariffs Jan2020'!L98)*('Tariffs Jan2020'!X98/100)*'Tariffs Jan2020'!AJ98))</f>
        <v>0</v>
      </c>
      <c r="N104" s="59">
        <f>IF(($C$5*'Tariffs Jan2020'!AL98/'Tariffs Jan2020'!AJ98&gt;'Tariffs Jan2020'!M98),($C$5*'Tariffs Jan2020'!AL98/'Tariffs Jan2020'!AJ98-'Tariffs Jan2020'!M98)*'Tariffs Jan2020'!Y98/100*'Tariffs Jan2020'!AJ98,0)</f>
        <v>0</v>
      </c>
      <c r="O104" s="59">
        <f t="shared" si="44"/>
        <v>947.63391818181799</v>
      </c>
      <c r="P104" s="503">
        <f t="shared" si="30"/>
        <v>1042.3973099999998</v>
      </c>
      <c r="Q104" s="59">
        <f t="shared" si="45"/>
        <v>1304.8030090909087</v>
      </c>
      <c r="R104" s="272">
        <f t="shared" si="46"/>
        <v>1435.2833099999998</v>
      </c>
      <c r="S104" s="40">
        <f>'Tariffs Jan2020'!AN98</f>
        <v>0</v>
      </c>
      <c r="T104" s="40">
        <f>'Tariffs Jan2020'!AO98</f>
        <v>0</v>
      </c>
      <c r="U104" s="40">
        <f>'Tariffs Jan2020'!AP98</f>
        <v>0</v>
      </c>
      <c r="V104" s="40">
        <f>'Tariffs Jan2020'!AQ98</f>
        <v>0</v>
      </c>
      <c r="W104" s="284">
        <f t="shared" si="47"/>
        <v>1304.8030090909087</v>
      </c>
      <c r="X104" s="284">
        <f>W104</f>
        <v>1304.8030090909087</v>
      </c>
      <c r="Y104" s="507">
        <f t="shared" si="40"/>
        <v>1435.2833099999998</v>
      </c>
      <c r="Z104" s="507">
        <f t="shared" si="41"/>
        <v>1435.2833099999998</v>
      </c>
      <c r="AA104" s="274">
        <f>'Tariffs Jan2020'!AZ98</f>
        <v>0</v>
      </c>
      <c r="AB104" s="274" t="str">
        <f>'Tariffs Jan2020'!BA98</f>
        <v>n</v>
      </c>
      <c r="AC104" s="275" t="str">
        <f>'Tariffs Jan2020'!BJ98</f>
        <v>Y</v>
      </c>
      <c r="AD104" s="425"/>
      <c r="AE104" s="425"/>
      <c r="AF104" s="427"/>
      <c r="AG104" s="427"/>
      <c r="AH104" s="427"/>
      <c r="AI104" s="427"/>
      <c r="AJ104" s="427"/>
      <c r="AK104" s="427"/>
      <c r="AL104" s="427"/>
      <c r="AM104" s="427"/>
      <c r="AN104" s="427"/>
    </row>
    <row r="105" spans="1:40" ht="14" x14ac:dyDescent="0.15">
      <c r="A105" s="270" t="str">
        <f>'Tariffs Jan2020'!F99</f>
        <v>Origin Energy</v>
      </c>
      <c r="B105" s="40" t="str">
        <f>'Tariffs Jan2020'!D99</f>
        <v>AusNet Services West</v>
      </c>
      <c r="C105" s="40" t="str">
        <f>'Tariffs Jan2020'!G99</f>
        <v>Flexi</v>
      </c>
      <c r="D105" s="59">
        <f>365*'Tariffs Jan2020'!H99/100</f>
        <v>288.35000000000002</v>
      </c>
      <c r="E105" s="59">
        <f>IF($C$5*'Tariffs Jan2020'!AK99/'Tariffs Jan2020'!AI99&gt;='Tariffs Jan2020'!J99,( 'Tariffs Jan2020'!J99*'Tariffs Jan2020'!O99/100)* 'Tariffs Jan2020'!AI99,($C$5*'Tariffs Jan2020'!AK99/'Tariffs Jan2020'!AI99*'Tariffs Jan2020'!O99/100)* 'Tariffs Jan2020'!AI99)</f>
        <v>144</v>
      </c>
      <c r="F105" s="59">
        <f>IF($C$5*'Tariffs Jan2020'!AK99/'Tariffs Jan2020'!AI99&lt;'Tariffs Jan2020'!J99,0,IF($C$5*'Tariffs Jan2020'!AK99/'Tariffs Jan2020'!AI99&lt;='Tariffs Jan2020'!K99,($C$5*'Tariffs Jan2020'!AK99/'Tariffs Jan2020'!AI99-'Tariffs Jan2020'!J99)*('Tariffs Jan2020'!P99/100)*'Tariffs Jan2020'!AI99,('Tariffs Jan2020'!K99-'Tariffs Jan2020'!J99)*('Tariffs Jan2020'!P99/100)*'Tariffs Jan2020'!AI99))</f>
        <v>0</v>
      </c>
      <c r="G105" s="59">
        <f>IF($C$5*'Tariffs Jan2020'!AK99/'Tariffs Jan2020'!AI99&lt;'Tariffs Jan2020'!K99,0,IF($C$5*'Tariffs Jan2020'!AK99/'Tariffs Jan2020'!AI99&lt;='Tariffs Jan2020'!L99,($C$5*'Tariffs Jan2020'!AK99/'Tariffs Jan2020'!AI99-'Tariffs Jan2020'!K99)*('Tariffs Jan2020'!Q99/100)*'Tariffs Jan2020'!AI99,('Tariffs Jan2020'!L99-'Tariffs Jan2020'!K99)*('Tariffs Jan2020'!Q99/100)*'Tariffs Jan2020'!AI99))</f>
        <v>0</v>
      </c>
      <c r="H105" s="59">
        <f>IF($C$5*'Tariffs Jan2020'!AK99/'Tariffs Jan2020'!AI99&lt;'Tariffs Jan2020'!L99,0,IF($C$5*'Tariffs Jan2020'!AK99/'Tariffs Jan2020'!AI99&lt;='Tariffs Jan2020'!M99,($C$5*'Tariffs Jan2020'!AK99/'Tariffs Jan2020'!AI99-'Tariffs Jan2020'!L99)*('Tariffs Jan2020'!R99/100)*'Tariffs Jan2020'!AI99,('Tariffs Jan2020'!M99-'Tariffs Jan2020'!L99)*('Tariffs Jan2020'!R99/100)*'Tariffs Jan2020'!AI99))</f>
        <v>0</v>
      </c>
      <c r="I105" s="59">
        <f>IF(($C$5*'Tariffs Jan2020'!AK99/'Tariffs Jan2020'!AI99&gt;'Tariffs Jan2020'!M99),($C$5*'Tariffs Jan2020'!AK99/'Tariffs Jan2020'!AI99-'Tariffs Jan2020'!M99)*'Tariffs Jan2020'!S99/100*'Tariffs Jan2020'!AI99,0)</f>
        <v>314.95589999999999</v>
      </c>
      <c r="J105" s="59">
        <f>IF($C$5*'Tariffs Jan2020'!AL99/'Tariffs Jan2020'!AJ99&gt;='Tariffs Jan2020'!J99,('Tariffs Jan2020'!J99*'Tariffs Jan2020'!U99/100)* 'Tariffs Jan2020'!AJ99,($C$5*'Tariffs Jan2020'!AL99/'Tariffs Jan2020'!AJ99*'Tariffs Jan2020'!U99/100)* 'Tariffs Jan2020'!AJ99)</f>
        <v>210</v>
      </c>
      <c r="K105" s="59">
        <f>IF($C$5*'Tariffs Jan2020'!AL99/'Tariffs Jan2020'!AJ99&lt;'Tariffs Jan2020'!J99,0,IF($C$5*'Tariffs Jan2020'!AL99/'Tariffs Jan2020'!AJ99&lt;='Tariffs Jan2020'!K99,($C$5*'Tariffs Jan2020'!AL99/'Tariffs Jan2020'!AJ99-'Tariffs Jan2020'!J99)*('Tariffs Jan2020'!V99/100)*'Tariffs Jan2020'!AJ99,('Tariffs Jan2020'!K99-'Tariffs Jan2020'!J99)*('Tariffs Jan2020'!V99/100)*'Tariffs Jan2020'!AJ99))</f>
        <v>0</v>
      </c>
      <c r="L105" s="59">
        <f>IF($C$5*'Tariffs Jan2020'!AL99/'Tariffs Jan2020'!AJ99&lt;'Tariffs Jan2020'!K99,0,IF($C$5*'Tariffs Jan2020'!AL99/'Tariffs Jan2020'!AJ99&lt;='Tariffs Jan2020'!L99,($C$5*'Tariffs Jan2020'!AL99/'Tariffs Jan2020'!AJ99-'Tariffs Jan2020'!K99)*('Tariffs Jan2020'!W99/100)*'Tariffs Jan2020'!AJ99,('Tariffs Jan2020'!L99-'Tariffs Jan2020'!K99)*('Tariffs Jan2020'!W99/100)*'Tariffs Jan2020'!AJ99))</f>
        <v>0</v>
      </c>
      <c r="M105" s="59">
        <f>IF($C$5*'Tariffs Jan2020'!AL99/'Tariffs Jan2020'!AJ99&lt;'Tariffs Jan2020'!L99,0,IF($C$5*'Tariffs Jan2020'!AL99/'Tariffs Jan2020'!AJ99&lt;='Tariffs Jan2020'!M99,($C$5*'Tariffs Jan2020'!AL99/'Tariffs Jan2020'!AJ99-'Tariffs Jan2020'!L99)*('Tariffs Jan2020'!X99/100)*'Tariffs Jan2020'!AJ99,('Tariffs Jan2020'!M99-'Tariffs Jan2020'!L99)*('Tariffs Jan2020'!X99/100)*'Tariffs Jan2020'!AJ99))</f>
        <v>0</v>
      </c>
      <c r="N105" s="59">
        <f>IF(($C$5*'Tariffs Jan2020'!AL99/'Tariffs Jan2020'!AJ99&gt;'Tariffs Jan2020'!M99),($C$5*'Tariffs Jan2020'!AL99/'Tariffs Jan2020'!AJ99-'Tariffs Jan2020'!M99)*'Tariffs Jan2020'!Y99/100*'Tariffs Jan2020'!AJ99,0)</f>
        <v>479.93279999999999</v>
      </c>
      <c r="O105" s="59">
        <f t="shared" si="44"/>
        <v>1148.8887</v>
      </c>
      <c r="P105" s="503">
        <f t="shared" si="30"/>
        <v>1263.77757</v>
      </c>
      <c r="Q105" s="59">
        <f t="shared" si="45"/>
        <v>1437.2386999999999</v>
      </c>
      <c r="R105" s="272">
        <f t="shared" si="46"/>
        <v>1580.9625699999999</v>
      </c>
      <c r="S105" s="40">
        <f>'Tariffs Jan2020'!AN99</f>
        <v>10</v>
      </c>
      <c r="T105" s="40">
        <f>'Tariffs Jan2020'!AO99</f>
        <v>0</v>
      </c>
      <c r="U105" s="40">
        <f>'Tariffs Jan2020'!AP99</f>
        <v>0</v>
      </c>
      <c r="V105" s="40">
        <f>'Tariffs Jan2020'!AQ99</f>
        <v>0</v>
      </c>
      <c r="W105" s="284">
        <f>R105-(R105*S105/100)</f>
        <v>1422.866313</v>
      </c>
      <c r="X105" s="284">
        <f>W105</f>
        <v>1422.866313</v>
      </c>
      <c r="Y105" s="507">
        <f>W105</f>
        <v>1422.866313</v>
      </c>
      <c r="Z105" s="507">
        <f>X105</f>
        <v>1422.866313</v>
      </c>
      <c r="AA105" s="274">
        <f>'Tariffs Jan2020'!AZ99</f>
        <v>0</v>
      </c>
      <c r="AB105" s="274" t="str">
        <f>'Tariffs Jan2020'!BA99</f>
        <v>n</v>
      </c>
      <c r="AC105" s="275" t="str">
        <f>'Tariffs Jan2020'!BJ99</f>
        <v>N</v>
      </c>
      <c r="AD105" s="425"/>
      <c r="AE105" s="425"/>
      <c r="AF105" s="427"/>
      <c r="AG105" s="427"/>
      <c r="AH105" s="427"/>
      <c r="AI105" s="427"/>
      <c r="AJ105" s="427"/>
      <c r="AK105" s="427"/>
      <c r="AL105" s="427"/>
      <c r="AM105" s="427"/>
      <c r="AN105" s="427"/>
    </row>
    <row r="106" spans="1:40" ht="14" x14ac:dyDescent="0.15">
      <c r="A106" s="270" t="str">
        <f>'Tariffs Jan2020'!F100</f>
        <v>Red Energy</v>
      </c>
      <c r="B106" s="40" t="str">
        <f>'Tariffs Jan2020'!D100</f>
        <v>AusNet Services West</v>
      </c>
      <c r="C106" s="40" t="str">
        <f>'Tariffs Jan2020'!G100</f>
        <v>Living Energy Saver</v>
      </c>
      <c r="D106" s="59">
        <f>365*'Tariffs Jan2020'!H100/100</f>
        <v>293.46000000000004</v>
      </c>
      <c r="E106" s="59">
        <f>IF($C$5*'Tariffs Jan2020'!AK100/'Tariffs Jan2020'!AI100&gt;='Tariffs Jan2020'!J100,( 'Tariffs Jan2020'!J100*'Tariffs Jan2020'!O100/100)* 'Tariffs Jan2020'!AI100,($C$5*'Tariffs Jan2020'!AK100/'Tariffs Jan2020'!AI100*'Tariffs Jan2020'!O100/100)* 'Tariffs Jan2020'!AI100)</f>
        <v>252</v>
      </c>
      <c r="F106" s="59">
        <f>IF($C$5*'Tariffs Jan2020'!AK100/'Tariffs Jan2020'!AI100&lt;'Tariffs Jan2020'!J100,0,IF($C$5*'Tariffs Jan2020'!AK100/'Tariffs Jan2020'!AI100&lt;='Tariffs Jan2020'!K100,($C$5*'Tariffs Jan2020'!AK100/'Tariffs Jan2020'!AI100-'Tariffs Jan2020'!J100)*('Tariffs Jan2020'!P100/100)*'Tariffs Jan2020'!AI100,('Tariffs Jan2020'!K100-'Tariffs Jan2020'!J100)*('Tariffs Jan2020'!P100/100)*'Tariffs Jan2020'!AI100))</f>
        <v>179.95799999999997</v>
      </c>
      <c r="G106" s="59">
        <f>IF($C$5*'Tariffs Jan2020'!AK100/'Tariffs Jan2020'!AI100&lt;'Tariffs Jan2020'!K100,0,IF($C$5*'Tariffs Jan2020'!AK100/'Tariffs Jan2020'!AI100&lt;='Tariffs Jan2020'!L100,($C$5*'Tariffs Jan2020'!AK100/'Tariffs Jan2020'!AI100-'Tariffs Jan2020'!K100)*('Tariffs Jan2020'!Q100/100)*'Tariffs Jan2020'!AI100,('Tariffs Jan2020'!L100-'Tariffs Jan2020'!K100)*('Tariffs Jan2020'!Q100/100)*'Tariffs Jan2020'!AI100))</f>
        <v>0</v>
      </c>
      <c r="H106" s="59">
        <f>IF($C$5*'Tariffs Jan2020'!AK100/'Tariffs Jan2020'!AI100&lt;'Tariffs Jan2020'!L100,0,IF($C$5*'Tariffs Jan2020'!AK100/'Tariffs Jan2020'!AI100&lt;='Tariffs Jan2020'!M100,($C$5*'Tariffs Jan2020'!AK100/'Tariffs Jan2020'!AI100-'Tariffs Jan2020'!L100)*('Tariffs Jan2020'!R100/100)*'Tariffs Jan2020'!AI100,('Tariffs Jan2020'!M100-'Tariffs Jan2020'!L100)*('Tariffs Jan2020'!R100/100)*'Tariffs Jan2020'!AI100))</f>
        <v>0</v>
      </c>
      <c r="I106" s="59">
        <f>IF(($C$5*'Tariffs Jan2020'!AK100/'Tariffs Jan2020'!AI100&gt;'Tariffs Jan2020'!M100),($C$5*'Tariffs Jan2020'!AK100/'Tariffs Jan2020'!AI100-'Tariffs Jan2020'!M100)*'Tariffs Jan2020'!S100/100*'Tariffs Jan2020'!AI100,0)</f>
        <v>0</v>
      </c>
      <c r="J106" s="59">
        <f>IF($C$5*'Tariffs Jan2020'!AL100/'Tariffs Jan2020'!AJ100&gt;='Tariffs Jan2020'!J100,('Tariffs Jan2020'!J100*'Tariffs Jan2020'!U100/100)* 'Tariffs Jan2020'!AJ100,($C$5*'Tariffs Jan2020'!AL100/'Tariffs Jan2020'!AJ100*'Tariffs Jan2020'!U100/100)* 'Tariffs Jan2020'!AJ100)</f>
        <v>493.09090909090907</v>
      </c>
      <c r="K106" s="59">
        <f>IF($C$5*'Tariffs Jan2020'!AL100/'Tariffs Jan2020'!AJ100&lt;'Tariffs Jan2020'!J100,0,IF($C$5*'Tariffs Jan2020'!AL100/'Tariffs Jan2020'!AJ100&lt;='Tariffs Jan2020'!K100,($C$5*'Tariffs Jan2020'!AL100/'Tariffs Jan2020'!AJ100-'Tariffs Jan2020'!J100)*('Tariffs Jan2020'!V100/100)*'Tariffs Jan2020'!AJ100,('Tariffs Jan2020'!K100-'Tariffs Jan2020'!J100)*('Tariffs Jan2020'!V100/100)*'Tariffs Jan2020'!AJ100))</f>
        <v>351.73609090909076</v>
      </c>
      <c r="L106" s="59">
        <f>IF($C$5*'Tariffs Jan2020'!AL100/'Tariffs Jan2020'!AJ100&lt;'Tariffs Jan2020'!K100,0,IF($C$5*'Tariffs Jan2020'!AL100/'Tariffs Jan2020'!AJ100&lt;='Tariffs Jan2020'!L100,($C$5*'Tariffs Jan2020'!AL100/'Tariffs Jan2020'!AJ100-'Tariffs Jan2020'!K100)*('Tariffs Jan2020'!W100/100)*'Tariffs Jan2020'!AJ100,('Tariffs Jan2020'!L100-'Tariffs Jan2020'!K100)*('Tariffs Jan2020'!W100/100)*'Tariffs Jan2020'!AJ100))</f>
        <v>0</v>
      </c>
      <c r="M106" s="59">
        <f>IF($C$5*'Tariffs Jan2020'!AL100/'Tariffs Jan2020'!AJ100&lt;'Tariffs Jan2020'!L100,0,IF($C$5*'Tariffs Jan2020'!AL100/'Tariffs Jan2020'!AJ100&lt;='Tariffs Jan2020'!M100,($C$5*'Tariffs Jan2020'!AL100/'Tariffs Jan2020'!AJ100-'Tariffs Jan2020'!L100)*('Tariffs Jan2020'!X100/100)*'Tariffs Jan2020'!AJ100,('Tariffs Jan2020'!M100-'Tariffs Jan2020'!L100)*('Tariffs Jan2020'!X100/100)*'Tariffs Jan2020'!AJ100))</f>
        <v>0</v>
      </c>
      <c r="N106" s="59">
        <f>IF(($C$5*'Tariffs Jan2020'!AL100/'Tariffs Jan2020'!AJ100&gt;'Tariffs Jan2020'!M100),($C$5*'Tariffs Jan2020'!AL100/'Tariffs Jan2020'!AJ100-'Tariffs Jan2020'!M100)*'Tariffs Jan2020'!Y100/100*'Tariffs Jan2020'!AJ100,0)</f>
        <v>0</v>
      </c>
      <c r="O106" s="59">
        <f t="shared" si="44"/>
        <v>1276.7849999999999</v>
      </c>
      <c r="P106" s="503">
        <f t="shared" si="30"/>
        <v>1404.4634999999998</v>
      </c>
      <c r="Q106" s="59">
        <f t="shared" si="45"/>
        <v>1570.2449999999999</v>
      </c>
      <c r="R106" s="272">
        <f t="shared" si="46"/>
        <v>1727.2695000000001</v>
      </c>
      <c r="S106" s="40">
        <f>'Tariffs Jan2020'!AN100</f>
        <v>0</v>
      </c>
      <c r="T106" s="40">
        <f>'Tariffs Jan2020'!AO100</f>
        <v>0</v>
      </c>
      <c r="U106" s="40">
        <f>'Tariffs Jan2020'!AP100</f>
        <v>10</v>
      </c>
      <c r="V106" s="40">
        <f>'Tariffs Jan2020'!AQ100</f>
        <v>0</v>
      </c>
      <c r="W106" s="284">
        <f>R106</f>
        <v>1727.2695000000001</v>
      </c>
      <c r="X106" s="284">
        <f>W106-(W106*U106/100)</f>
        <v>1554.5425500000001</v>
      </c>
      <c r="Y106" s="507">
        <f>W106</f>
        <v>1727.2695000000001</v>
      </c>
      <c r="Z106" s="507">
        <f>X106</f>
        <v>1554.5425500000001</v>
      </c>
      <c r="AA106" s="274">
        <f>'Tariffs Jan2020'!AZ100</f>
        <v>0</v>
      </c>
      <c r="AB106" s="274" t="str">
        <f>'Tariffs Jan2020'!BA100</f>
        <v>n</v>
      </c>
      <c r="AC106" s="275" t="str">
        <f>'Tariffs Jan2020'!BJ100</f>
        <v>N</v>
      </c>
      <c r="AD106" s="425"/>
      <c r="AE106" s="425"/>
      <c r="AF106" s="427"/>
      <c r="AG106" s="427"/>
      <c r="AH106" s="427"/>
      <c r="AI106" s="427"/>
      <c r="AJ106" s="427"/>
      <c r="AK106" s="427"/>
      <c r="AL106" s="427"/>
      <c r="AM106" s="427"/>
      <c r="AN106" s="427"/>
    </row>
    <row r="107" spans="1:40" ht="14" x14ac:dyDescent="0.15">
      <c r="A107" s="270" t="str">
        <f>'Tariffs Jan2020'!F101</f>
        <v>Simply Energy</v>
      </c>
      <c r="B107" s="40" t="str">
        <f>'Tariffs Jan2020'!D101</f>
        <v>AusNet Services West</v>
      </c>
      <c r="C107" s="40" t="str">
        <f>'Tariffs Jan2020'!G101</f>
        <v>Plus</v>
      </c>
      <c r="D107" s="59">
        <f>365*'Tariffs Jan2020'!H101/100</f>
        <v>333.17863636363631</v>
      </c>
      <c r="E107" s="59">
        <f>IF($C$5*'Tariffs Jan2020'!AK101/'Tariffs Jan2020'!AI101&gt;='Tariffs Jan2020'!J101,( 'Tariffs Jan2020'!J101*'Tariffs Jan2020'!O101/100)* 'Tariffs Jan2020'!AI101,($C$5*'Tariffs Jan2020'!AK101/'Tariffs Jan2020'!AI101*'Tariffs Jan2020'!O101/100)* 'Tariffs Jan2020'!AI101)</f>
        <v>244.3636363636364</v>
      </c>
      <c r="F107" s="59">
        <f>IF($C$5*'Tariffs Jan2020'!AK101/'Tariffs Jan2020'!AI101&lt;'Tariffs Jan2020'!J101,0,IF($C$5*'Tariffs Jan2020'!AK101/'Tariffs Jan2020'!AI101&lt;='Tariffs Jan2020'!K101,($C$5*'Tariffs Jan2020'!AK101/'Tariffs Jan2020'!AI101-'Tariffs Jan2020'!J101)*('Tariffs Jan2020'!P101/100)*'Tariffs Jan2020'!AI101,('Tariffs Jan2020'!K101-'Tariffs Jan2020'!J101)*('Tariffs Jan2020'!P101/100)*'Tariffs Jan2020'!AI101))</f>
        <v>170.96009999999993</v>
      </c>
      <c r="G107" s="59">
        <f>IF($C$5*'Tariffs Jan2020'!AK101/'Tariffs Jan2020'!AI101&lt;'Tariffs Jan2020'!K101,0,IF($C$5*'Tariffs Jan2020'!AK101/'Tariffs Jan2020'!AI101&lt;='Tariffs Jan2020'!L101,($C$5*'Tariffs Jan2020'!AK101/'Tariffs Jan2020'!AI101-'Tariffs Jan2020'!K101)*('Tariffs Jan2020'!Q101/100)*'Tariffs Jan2020'!AI101,('Tariffs Jan2020'!L101-'Tariffs Jan2020'!K101)*('Tariffs Jan2020'!Q101/100)*'Tariffs Jan2020'!AI101))</f>
        <v>0</v>
      </c>
      <c r="H107" s="59">
        <f>IF($C$5*'Tariffs Jan2020'!AK101/'Tariffs Jan2020'!AI101&lt;'Tariffs Jan2020'!L101,0,IF($C$5*'Tariffs Jan2020'!AK101/'Tariffs Jan2020'!AI101&lt;='Tariffs Jan2020'!M101,($C$5*'Tariffs Jan2020'!AK101/'Tariffs Jan2020'!AI101-'Tariffs Jan2020'!L101)*('Tariffs Jan2020'!R101/100)*'Tariffs Jan2020'!AI101,('Tariffs Jan2020'!M101-'Tariffs Jan2020'!L101)*('Tariffs Jan2020'!R101/100)*'Tariffs Jan2020'!AI101))</f>
        <v>0</v>
      </c>
      <c r="I107" s="59">
        <f>IF(($C$5*'Tariffs Jan2020'!AK101/'Tariffs Jan2020'!AI101&gt;'Tariffs Jan2020'!M101),($C$5*'Tariffs Jan2020'!AK101/'Tariffs Jan2020'!AI101-'Tariffs Jan2020'!M101)*'Tariffs Jan2020'!S101/100*'Tariffs Jan2020'!AI101,0)</f>
        <v>0</v>
      </c>
      <c r="J107" s="59">
        <f>IF($C$5*'Tariffs Jan2020'!AL101/'Tariffs Jan2020'!AJ101&gt;='Tariffs Jan2020'!J101,('Tariffs Jan2020'!J101*'Tariffs Jan2020'!U101/100)* 'Tariffs Jan2020'!AJ101,($C$5*'Tariffs Jan2020'!AL101/'Tariffs Jan2020'!AJ101*'Tariffs Jan2020'!U101/100)* 'Tariffs Jan2020'!AJ101)</f>
        <v>405.81818181818181</v>
      </c>
      <c r="K107" s="59">
        <f>IF($C$5*'Tariffs Jan2020'!AL101/'Tariffs Jan2020'!AJ101&lt;'Tariffs Jan2020'!J101,0,IF($C$5*'Tariffs Jan2020'!AL101/'Tariffs Jan2020'!AJ101&lt;='Tariffs Jan2020'!K101,($C$5*'Tariffs Jan2020'!AL101/'Tariffs Jan2020'!AJ101-'Tariffs Jan2020'!J101)*('Tariffs Jan2020'!V101/100)*'Tariffs Jan2020'!AJ101,('Tariffs Jan2020'!K101-'Tariffs Jan2020'!J101)*('Tariffs Jan2020'!V101/100)*'Tariffs Jan2020'!AJ101))</f>
        <v>302.65663636363627</v>
      </c>
      <c r="L107" s="59">
        <f>IF($C$5*'Tariffs Jan2020'!AL101/'Tariffs Jan2020'!AJ101&lt;'Tariffs Jan2020'!K101,0,IF($C$5*'Tariffs Jan2020'!AL101/'Tariffs Jan2020'!AJ101&lt;='Tariffs Jan2020'!L101,($C$5*'Tariffs Jan2020'!AL101/'Tariffs Jan2020'!AJ101-'Tariffs Jan2020'!K101)*('Tariffs Jan2020'!W101/100)*'Tariffs Jan2020'!AJ101,('Tariffs Jan2020'!L101-'Tariffs Jan2020'!K101)*('Tariffs Jan2020'!W101/100)*'Tariffs Jan2020'!AJ101))</f>
        <v>0</v>
      </c>
      <c r="M107" s="59">
        <f>IF($C$5*'Tariffs Jan2020'!AL101/'Tariffs Jan2020'!AJ101&lt;'Tariffs Jan2020'!L101,0,IF($C$5*'Tariffs Jan2020'!AL101/'Tariffs Jan2020'!AJ101&lt;='Tariffs Jan2020'!M101,($C$5*'Tariffs Jan2020'!AL101/'Tariffs Jan2020'!AJ101-'Tariffs Jan2020'!L101)*('Tariffs Jan2020'!X101/100)*'Tariffs Jan2020'!AJ101,('Tariffs Jan2020'!M101-'Tariffs Jan2020'!L101)*('Tariffs Jan2020'!X101/100)*'Tariffs Jan2020'!AJ101))</f>
        <v>0</v>
      </c>
      <c r="N107" s="59">
        <f>IF(($C$5*'Tariffs Jan2020'!AL101/'Tariffs Jan2020'!AJ101&gt;'Tariffs Jan2020'!M101),($C$5*'Tariffs Jan2020'!AL101/'Tariffs Jan2020'!AJ101-'Tariffs Jan2020'!M101)*'Tariffs Jan2020'!Y101/100*'Tariffs Jan2020'!AJ101,0)</f>
        <v>0</v>
      </c>
      <c r="O107" s="59">
        <f t="shared" si="44"/>
        <v>1123.7985545454544</v>
      </c>
      <c r="P107" s="503">
        <f t="shared" si="30"/>
        <v>1236.17841</v>
      </c>
      <c r="Q107" s="59">
        <f t="shared" si="45"/>
        <v>1456.9771909090907</v>
      </c>
      <c r="R107" s="272">
        <f t="shared" si="46"/>
        <v>1602.67491</v>
      </c>
      <c r="S107" s="40">
        <f>'Tariffs Jan2020'!AN101</f>
        <v>0</v>
      </c>
      <c r="T107" s="40">
        <f>'Tariffs Jan2020'!AO101</f>
        <v>0</v>
      </c>
      <c r="U107" s="40">
        <f>'Tariffs Jan2020'!AP101</f>
        <v>12</v>
      </c>
      <c r="V107" s="40">
        <f>'Tariffs Jan2020'!AQ101</f>
        <v>0</v>
      </c>
      <c r="W107" s="284">
        <f t="shared" ref="W107:W108" si="48">Q107</f>
        <v>1456.9771909090907</v>
      </c>
      <c r="X107" s="284">
        <f>W107-(Q107*U107/100)</f>
        <v>1282.1399279999998</v>
      </c>
      <c r="Y107" s="507">
        <f t="shared" ref="Y107:Y109" si="49">W107*1.1</f>
        <v>1602.67491</v>
      </c>
      <c r="Z107" s="507">
        <f t="shared" ref="Z107:Z109" si="50">X107*1.1</f>
        <v>1410.3539208</v>
      </c>
      <c r="AA107" s="274">
        <f>'Tariffs Jan2020'!AZ101</f>
        <v>0</v>
      </c>
      <c r="AB107" s="274" t="str">
        <f>'Tariffs Jan2020'!BA101</f>
        <v>n</v>
      </c>
      <c r="AC107" s="275" t="str">
        <f>'Tariffs Jan2020'!BJ101</f>
        <v>Y</v>
      </c>
      <c r="AD107" s="425"/>
      <c r="AE107" s="425"/>
      <c r="AF107" s="427"/>
      <c r="AG107" s="427"/>
      <c r="AH107" s="427"/>
      <c r="AI107" s="427"/>
      <c r="AJ107" s="427"/>
      <c r="AK107" s="427"/>
      <c r="AL107" s="427"/>
      <c r="AM107" s="427"/>
      <c r="AN107" s="427"/>
    </row>
    <row r="108" spans="1:40" ht="14" x14ac:dyDescent="0.15">
      <c r="A108" s="270" t="str">
        <f>'Tariffs Jan2020'!F102</f>
        <v>Sumo Power</v>
      </c>
      <c r="B108" s="40" t="str">
        <f>'Tariffs Jan2020'!D102</f>
        <v>AusNet Services West</v>
      </c>
      <c r="C108" s="40" t="str">
        <f>'Tariffs Jan2020'!G102</f>
        <v>Select</v>
      </c>
      <c r="D108" s="59">
        <f>365*'Tariffs Jan2020'!H102/100</f>
        <v>310.25</v>
      </c>
      <c r="E108" s="59">
        <f>IF($C$5*'Tariffs Jan2020'!AK102/'Tariffs Jan2020'!AI102&gt;='Tariffs Jan2020'!J102,( 'Tariffs Jan2020'!J102*'Tariffs Jan2020'!O102/100)* 'Tariffs Jan2020'!AI102,($C$5*'Tariffs Jan2020'!AK102/'Tariffs Jan2020'!AI102*'Tariffs Jan2020'!O102/100)* 'Tariffs Jan2020'!AI102)</f>
        <v>218.18181818181816</v>
      </c>
      <c r="F108" s="59">
        <f>IF($C$5*'Tariffs Jan2020'!AK102/'Tariffs Jan2020'!AI102&lt;'Tariffs Jan2020'!J102,0,IF($C$5*'Tariffs Jan2020'!AK102/'Tariffs Jan2020'!AI102&lt;='Tariffs Jan2020'!K102,($C$5*'Tariffs Jan2020'!AK102/'Tariffs Jan2020'!AI102-'Tariffs Jan2020'!J102)*('Tariffs Jan2020'!P102/100)*'Tariffs Jan2020'!AI102,('Tariffs Jan2020'!K102-'Tariffs Jan2020'!J102)*('Tariffs Jan2020'!P102/100)*'Tariffs Jan2020'!AI102))</f>
        <v>154.60028181818177</v>
      </c>
      <c r="G108" s="59">
        <f>IF($C$5*'Tariffs Jan2020'!AK102/'Tariffs Jan2020'!AI102&lt;'Tariffs Jan2020'!K102,0,IF($C$5*'Tariffs Jan2020'!AK102/'Tariffs Jan2020'!AI102&lt;='Tariffs Jan2020'!L102,($C$5*'Tariffs Jan2020'!AK102/'Tariffs Jan2020'!AI102-'Tariffs Jan2020'!K102)*('Tariffs Jan2020'!Q102/100)*'Tariffs Jan2020'!AI102,('Tariffs Jan2020'!L102-'Tariffs Jan2020'!K102)*('Tariffs Jan2020'!Q102/100)*'Tariffs Jan2020'!AI102))</f>
        <v>0</v>
      </c>
      <c r="H108" s="59">
        <f>IF($C$5*'Tariffs Jan2020'!AK102/'Tariffs Jan2020'!AI102&lt;'Tariffs Jan2020'!L102,0,IF($C$5*'Tariffs Jan2020'!AK102/'Tariffs Jan2020'!AI102&lt;='Tariffs Jan2020'!M102,($C$5*'Tariffs Jan2020'!AK102/'Tariffs Jan2020'!AI102-'Tariffs Jan2020'!L102)*('Tariffs Jan2020'!R102/100)*'Tariffs Jan2020'!AI102,('Tariffs Jan2020'!M102-'Tariffs Jan2020'!L102)*('Tariffs Jan2020'!R102/100)*'Tariffs Jan2020'!AI102))</f>
        <v>0</v>
      </c>
      <c r="I108" s="59">
        <f>IF(($C$5*'Tariffs Jan2020'!AK102/'Tariffs Jan2020'!AI102&gt;'Tariffs Jan2020'!M102),($C$5*'Tariffs Jan2020'!AK102/'Tariffs Jan2020'!AI102-'Tariffs Jan2020'!M102)*'Tariffs Jan2020'!S102/100*'Tariffs Jan2020'!AI102,0)</f>
        <v>0</v>
      </c>
      <c r="J108" s="59">
        <f>IF($C$5*'Tariffs Jan2020'!AL102/'Tariffs Jan2020'!AJ102&gt;='Tariffs Jan2020'!J102,('Tariffs Jan2020'!J102*'Tariffs Jan2020'!U102/100)* 'Tariffs Jan2020'!AJ102,($C$5*'Tariffs Jan2020'!AL102/'Tariffs Jan2020'!AJ102*'Tariffs Jan2020'!U102/100)* 'Tariffs Jan2020'!AJ102)</f>
        <v>401.45454545454544</v>
      </c>
      <c r="K108" s="59">
        <f>IF($C$5*'Tariffs Jan2020'!AL102/'Tariffs Jan2020'!AJ102&lt;'Tariffs Jan2020'!J102,0,IF($C$5*'Tariffs Jan2020'!AL102/'Tariffs Jan2020'!AJ102&lt;='Tariffs Jan2020'!K102,($C$5*'Tariffs Jan2020'!AL102/'Tariffs Jan2020'!AJ102-'Tariffs Jan2020'!J102)*('Tariffs Jan2020'!V102/100)*'Tariffs Jan2020'!AJ102,('Tariffs Jan2020'!K102-'Tariffs Jan2020'!J102)*('Tariffs Jan2020'!V102/100)*'Tariffs Jan2020'!AJ102))</f>
        <v>245.39727272727265</v>
      </c>
      <c r="L108" s="59">
        <f>IF($C$5*'Tariffs Jan2020'!AL102/'Tariffs Jan2020'!AJ102&lt;'Tariffs Jan2020'!K102,0,IF($C$5*'Tariffs Jan2020'!AL102/'Tariffs Jan2020'!AJ102&lt;='Tariffs Jan2020'!L102,($C$5*'Tariffs Jan2020'!AL102/'Tariffs Jan2020'!AJ102-'Tariffs Jan2020'!K102)*('Tariffs Jan2020'!W102/100)*'Tariffs Jan2020'!AJ102,('Tariffs Jan2020'!L102-'Tariffs Jan2020'!K102)*('Tariffs Jan2020'!W102/100)*'Tariffs Jan2020'!AJ102))</f>
        <v>0</v>
      </c>
      <c r="M108" s="59">
        <f>IF($C$5*'Tariffs Jan2020'!AL102/'Tariffs Jan2020'!AJ102&lt;'Tariffs Jan2020'!L102,0,IF($C$5*'Tariffs Jan2020'!AL102/'Tariffs Jan2020'!AJ102&lt;='Tariffs Jan2020'!M102,($C$5*'Tariffs Jan2020'!AL102/'Tariffs Jan2020'!AJ102-'Tariffs Jan2020'!L102)*('Tariffs Jan2020'!X102/100)*'Tariffs Jan2020'!AJ102,('Tariffs Jan2020'!M102-'Tariffs Jan2020'!L102)*('Tariffs Jan2020'!X102/100)*'Tariffs Jan2020'!AJ102))</f>
        <v>0</v>
      </c>
      <c r="N108" s="59">
        <f>IF(($C$5*'Tariffs Jan2020'!AL102/'Tariffs Jan2020'!AJ102&gt;'Tariffs Jan2020'!M102),($C$5*'Tariffs Jan2020'!AL102/'Tariffs Jan2020'!AJ102-'Tariffs Jan2020'!M102)*'Tariffs Jan2020'!Y102/100*'Tariffs Jan2020'!AJ102,0)</f>
        <v>0</v>
      </c>
      <c r="O108" s="59">
        <f t="shared" si="44"/>
        <v>1019.633918181818</v>
      </c>
      <c r="P108" s="503">
        <f t="shared" si="30"/>
        <v>1121.5973099999999</v>
      </c>
      <c r="Q108" s="59">
        <f t="shared" si="45"/>
        <v>1329.883918181818</v>
      </c>
      <c r="R108" s="272">
        <f t="shared" si="46"/>
        <v>1462.87231</v>
      </c>
      <c r="S108" s="40">
        <f>'Tariffs Jan2020'!AN102</f>
        <v>0</v>
      </c>
      <c r="T108" s="40">
        <f>'Tariffs Jan2020'!AO102</f>
        <v>0</v>
      </c>
      <c r="U108" s="40">
        <f>'Tariffs Jan2020'!AP102</f>
        <v>5</v>
      </c>
      <c r="V108" s="40">
        <f>'Tariffs Jan2020'!AQ102</f>
        <v>0</v>
      </c>
      <c r="W108" s="284">
        <f t="shared" si="48"/>
        <v>1329.883918181818</v>
      </c>
      <c r="X108" s="284">
        <f>W108-(Q108*U108/100)</f>
        <v>1263.3897222727271</v>
      </c>
      <c r="Y108" s="507">
        <f t="shared" si="49"/>
        <v>1462.87231</v>
      </c>
      <c r="Z108" s="507">
        <f t="shared" si="50"/>
        <v>1389.7286944999998</v>
      </c>
      <c r="AA108" s="274">
        <f>'Tariffs Jan2020'!AZ102</f>
        <v>0</v>
      </c>
      <c r="AB108" s="274" t="str">
        <f>'Tariffs Jan2020'!BA102</f>
        <v>n</v>
      </c>
      <c r="AC108" s="275" t="str">
        <f>'Tariffs Jan2020'!BJ102</f>
        <v>Y</v>
      </c>
      <c r="AD108" s="425"/>
      <c r="AE108" s="425"/>
      <c r="AF108" s="427"/>
      <c r="AG108" s="427"/>
      <c r="AH108" s="427"/>
      <c r="AI108" s="427"/>
      <c r="AJ108" s="427"/>
      <c r="AK108" s="427"/>
      <c r="AL108" s="427"/>
      <c r="AM108" s="427"/>
      <c r="AN108" s="427"/>
    </row>
    <row r="109" spans="1:40" ht="14" x14ac:dyDescent="0.15">
      <c r="A109" s="270" t="str">
        <f>'Tariffs Jan2020'!F103</f>
        <v>Amaysim</v>
      </c>
      <c r="B109" s="40" t="str">
        <f>'Tariffs Jan2020'!D103</f>
        <v>AusNet Services West</v>
      </c>
      <c r="C109" s="40" t="str">
        <f>'Tariffs Jan2020'!G103</f>
        <v>Gas as you go</v>
      </c>
      <c r="D109" s="59">
        <f>365*'Tariffs Jan2020'!H103/100</f>
        <v>240.2576</v>
      </c>
      <c r="E109" s="59">
        <f>IF($C$5*'Tariffs Jan2020'!AK103/'Tariffs Jan2020'!AI103&gt;='Tariffs Jan2020'!J103,( 'Tariffs Jan2020'!J103*'Tariffs Jan2020'!O103/100)* 'Tariffs Jan2020'!AI103,($C$5*'Tariffs Jan2020'!AK103/'Tariffs Jan2020'!AI103*'Tariffs Jan2020'!O103/100)* 'Tariffs Jan2020'!AI103)</f>
        <v>248.87999999999997</v>
      </c>
      <c r="F109" s="59">
        <f>IF($C$5*'Tariffs Jan2020'!AK103/'Tariffs Jan2020'!AI103&lt;'Tariffs Jan2020'!J103,0,IF($C$5*'Tariffs Jan2020'!AK103/'Tariffs Jan2020'!AI103&lt;='Tariffs Jan2020'!K103,($C$5*'Tariffs Jan2020'!AK103/'Tariffs Jan2020'!AI103-'Tariffs Jan2020'!J103)*('Tariffs Jan2020'!P103/100)*'Tariffs Jan2020'!AI103,('Tariffs Jan2020'!K103-'Tariffs Jan2020'!J103)*('Tariffs Jan2020'!P103/100)*'Tariffs Jan2020'!AI103))</f>
        <v>177.43858799999992</v>
      </c>
      <c r="G109" s="59">
        <f>IF($C$5*'Tariffs Jan2020'!AK103/'Tariffs Jan2020'!AI103&lt;'Tariffs Jan2020'!K103,0,IF($C$5*'Tariffs Jan2020'!AK103/'Tariffs Jan2020'!AI103&lt;='Tariffs Jan2020'!L103,($C$5*'Tariffs Jan2020'!AK103/'Tariffs Jan2020'!AI103-'Tariffs Jan2020'!K103)*('Tariffs Jan2020'!Q103/100)*'Tariffs Jan2020'!AI103,('Tariffs Jan2020'!L103-'Tariffs Jan2020'!K103)*('Tariffs Jan2020'!Q103/100)*'Tariffs Jan2020'!AI103))</f>
        <v>0</v>
      </c>
      <c r="H109" s="59">
        <f>IF($C$5*'Tariffs Jan2020'!AK103/'Tariffs Jan2020'!AI103&lt;'Tariffs Jan2020'!L103,0,IF($C$5*'Tariffs Jan2020'!AK103/'Tariffs Jan2020'!AI103&lt;='Tariffs Jan2020'!M103,($C$5*'Tariffs Jan2020'!AK103/'Tariffs Jan2020'!AI103-'Tariffs Jan2020'!L103)*('Tariffs Jan2020'!R103/100)*'Tariffs Jan2020'!AI103,('Tariffs Jan2020'!M103-'Tariffs Jan2020'!L103)*('Tariffs Jan2020'!R103/100)*'Tariffs Jan2020'!AI103))</f>
        <v>0</v>
      </c>
      <c r="I109" s="59">
        <f>IF(($C$5*'Tariffs Jan2020'!AK103/'Tariffs Jan2020'!AI103&gt;'Tariffs Jan2020'!M103),($C$5*'Tariffs Jan2020'!AK103/'Tariffs Jan2020'!AI103-'Tariffs Jan2020'!M103)*'Tariffs Jan2020'!S103/100*'Tariffs Jan2020'!AI103,0)</f>
        <v>0</v>
      </c>
      <c r="J109" s="59">
        <f>IF($C$5*'Tariffs Jan2020'!AL103/'Tariffs Jan2020'!AJ103&gt;='Tariffs Jan2020'!J103,('Tariffs Jan2020'!J103*'Tariffs Jan2020'!U103/100)* 'Tariffs Jan2020'!AJ103,($C$5*'Tariffs Jan2020'!AL103/'Tariffs Jan2020'!AJ103*'Tariffs Jan2020'!U103/100)* 'Tariffs Jan2020'!AJ103)</f>
        <v>408</v>
      </c>
      <c r="K109" s="59">
        <f>IF($C$5*'Tariffs Jan2020'!AL103/'Tariffs Jan2020'!AJ103&lt;'Tariffs Jan2020'!J103,0,IF($C$5*'Tariffs Jan2020'!AL103/'Tariffs Jan2020'!AJ103&lt;='Tariffs Jan2020'!K103,($C$5*'Tariffs Jan2020'!AL103/'Tariffs Jan2020'!AJ103-'Tariffs Jan2020'!J103)*('Tariffs Jan2020'!V103/100)*'Tariffs Jan2020'!AJ103,('Tariffs Jan2020'!K103-'Tariffs Jan2020'!J103)*('Tariffs Jan2020'!V103/100)*'Tariffs Jan2020'!AJ103))</f>
        <v>299.81002799999987</v>
      </c>
      <c r="L109" s="59">
        <f>IF($C$5*'Tariffs Jan2020'!AL103/'Tariffs Jan2020'!AJ103&lt;'Tariffs Jan2020'!K103,0,IF($C$5*'Tariffs Jan2020'!AL103/'Tariffs Jan2020'!AJ103&lt;='Tariffs Jan2020'!L103,($C$5*'Tariffs Jan2020'!AL103/'Tariffs Jan2020'!AJ103-'Tariffs Jan2020'!K103)*('Tariffs Jan2020'!W103/100)*'Tariffs Jan2020'!AJ103,('Tariffs Jan2020'!L103-'Tariffs Jan2020'!K103)*('Tariffs Jan2020'!W103/100)*'Tariffs Jan2020'!AJ103))</f>
        <v>0</v>
      </c>
      <c r="M109" s="59">
        <f>IF($C$5*'Tariffs Jan2020'!AL103/'Tariffs Jan2020'!AJ103&lt;'Tariffs Jan2020'!L103,0,IF($C$5*'Tariffs Jan2020'!AL103/'Tariffs Jan2020'!AJ103&lt;='Tariffs Jan2020'!M103,($C$5*'Tariffs Jan2020'!AL103/'Tariffs Jan2020'!AJ103-'Tariffs Jan2020'!L103)*('Tariffs Jan2020'!X103/100)*'Tariffs Jan2020'!AJ103,('Tariffs Jan2020'!M103-'Tariffs Jan2020'!L103)*('Tariffs Jan2020'!X103/100)*'Tariffs Jan2020'!AJ103))</f>
        <v>0</v>
      </c>
      <c r="N109" s="59">
        <f>IF(($C$5*'Tariffs Jan2020'!AL103/'Tariffs Jan2020'!AJ103&gt;'Tariffs Jan2020'!M103),($C$5*'Tariffs Jan2020'!AL103/'Tariffs Jan2020'!AJ103-'Tariffs Jan2020'!M103)*'Tariffs Jan2020'!Y103/100*'Tariffs Jan2020'!AJ103,0)</f>
        <v>0</v>
      </c>
      <c r="O109" s="59">
        <f t="shared" si="44"/>
        <v>1134.1286159999997</v>
      </c>
      <c r="P109" s="503">
        <f t="shared" si="30"/>
        <v>1247.5414775999998</v>
      </c>
      <c r="Q109" s="59">
        <f t="shared" si="45"/>
        <v>1374.3862159999996</v>
      </c>
      <c r="R109" s="272">
        <f t="shared" si="46"/>
        <v>1511.8248375999997</v>
      </c>
      <c r="S109" s="40">
        <f>'Tariffs Jan2020'!AN103</f>
        <v>0</v>
      </c>
      <c r="T109" s="40">
        <f>'Tariffs Jan2020'!AO103</f>
        <v>0</v>
      </c>
      <c r="U109" s="40">
        <f>'Tariffs Jan2020'!AP103</f>
        <v>0</v>
      </c>
      <c r="V109" s="40">
        <f>'Tariffs Jan2020'!AQ103</f>
        <v>0</v>
      </c>
      <c r="W109" s="284">
        <f>Q109</f>
        <v>1374.3862159999996</v>
      </c>
      <c r="X109" s="284">
        <f>W109</f>
        <v>1374.3862159999996</v>
      </c>
      <c r="Y109" s="507">
        <f t="shared" si="49"/>
        <v>1511.8248375999997</v>
      </c>
      <c r="Z109" s="507">
        <f t="shared" si="50"/>
        <v>1511.8248375999997</v>
      </c>
      <c r="AA109" s="274">
        <f>'Tariffs Jan2020'!AZ103</f>
        <v>0</v>
      </c>
      <c r="AB109" s="274" t="str">
        <f>'Tariffs Jan2020'!BA103</f>
        <v>n</v>
      </c>
      <c r="AC109" s="275" t="str">
        <f>'Tariffs Jan2020'!BJ103</f>
        <v>N</v>
      </c>
      <c r="AD109" s="425"/>
      <c r="AE109" s="425"/>
      <c r="AF109" s="427"/>
      <c r="AG109" s="427"/>
      <c r="AH109" s="427"/>
      <c r="AI109" s="427"/>
      <c r="AJ109" s="427"/>
      <c r="AK109" s="427"/>
      <c r="AL109" s="427"/>
      <c r="AM109" s="427"/>
      <c r="AN109" s="427"/>
    </row>
    <row r="110" spans="1:40" ht="14" x14ac:dyDescent="0.15">
      <c r="A110" s="270" t="str">
        <f>'Tariffs Jan2020'!F104</f>
        <v>GloBird Energy</v>
      </c>
      <c r="B110" s="40" t="str">
        <f>'Tariffs Jan2020'!D104</f>
        <v>AusNet Services West</v>
      </c>
      <c r="C110" s="40" t="str">
        <f>'Tariffs Jan2020'!G104</f>
        <v>GloSave</v>
      </c>
      <c r="D110" s="59">
        <f>365*'Tariffs Jan2020'!H104/100</f>
        <v>292</v>
      </c>
      <c r="E110" s="59">
        <f>IF($C$5*'Tariffs Jan2020'!AK104/'Tariffs Jan2020'!AI104&gt;='Tariffs Jan2020'!J104,( 'Tariffs Jan2020'!J104*'Tariffs Jan2020'!O104/100)* 'Tariffs Jan2020'!AI104,($C$5*'Tariffs Jan2020'!AK104/'Tariffs Jan2020'!AI104*'Tariffs Jan2020'!O104/100)* 'Tariffs Jan2020'!AI104)</f>
        <v>105.27272727272727</v>
      </c>
      <c r="F110" s="59">
        <f>IF($C$5*'Tariffs Jan2020'!AK104/'Tariffs Jan2020'!AI104&lt;'Tariffs Jan2020'!J104,0,IF($C$5*'Tariffs Jan2020'!AK104/'Tariffs Jan2020'!AI104&lt;='Tariffs Jan2020'!K104,($C$5*'Tariffs Jan2020'!AK104/'Tariffs Jan2020'!AI104-'Tariffs Jan2020'!J104)*('Tariffs Jan2020'!P104/100)*'Tariffs Jan2020'!AI104,('Tariffs Jan2020'!K104-'Tariffs Jan2020'!J104)*('Tariffs Jan2020'!P104/100)*'Tariffs Jan2020'!AI104))</f>
        <v>0</v>
      </c>
      <c r="G110" s="59">
        <f>IF($C$5*'Tariffs Jan2020'!AK104/'Tariffs Jan2020'!AI104&lt;'Tariffs Jan2020'!K104,0,IF($C$5*'Tariffs Jan2020'!AK104/'Tariffs Jan2020'!AI104&lt;='Tariffs Jan2020'!L104,($C$5*'Tariffs Jan2020'!AK104/'Tariffs Jan2020'!AI104-'Tariffs Jan2020'!K104)*('Tariffs Jan2020'!Q104/100)*'Tariffs Jan2020'!AI104,('Tariffs Jan2020'!L104-'Tariffs Jan2020'!K104)*('Tariffs Jan2020'!Q104/100)*'Tariffs Jan2020'!AI104))</f>
        <v>0</v>
      </c>
      <c r="H110" s="59">
        <f>IF($C$5*'Tariffs Jan2020'!AK104/'Tariffs Jan2020'!AI104&lt;'Tariffs Jan2020'!L104,0,IF($C$5*'Tariffs Jan2020'!AK104/'Tariffs Jan2020'!AI104&lt;='Tariffs Jan2020'!M104,($C$5*'Tariffs Jan2020'!AK104/'Tariffs Jan2020'!AI104-'Tariffs Jan2020'!L104)*('Tariffs Jan2020'!R104/100)*'Tariffs Jan2020'!AI104,('Tariffs Jan2020'!M104-'Tariffs Jan2020'!L104)*('Tariffs Jan2020'!R104/100)*'Tariffs Jan2020'!AI104))</f>
        <v>0</v>
      </c>
      <c r="I110" s="59">
        <f>IF(($C$5*'Tariffs Jan2020'!AK104/'Tariffs Jan2020'!AI104&gt;'Tariffs Jan2020'!M104),($C$5*'Tariffs Jan2020'!AK104/'Tariffs Jan2020'!AI104-'Tariffs Jan2020'!M104)*'Tariffs Jan2020'!S104/100*'Tariffs Jan2020'!AI104,0)</f>
        <v>263.14497272727266</v>
      </c>
      <c r="J110" s="59">
        <f>IF($C$5*'Tariffs Jan2020'!AL104/'Tariffs Jan2020'!AJ104&gt;='Tariffs Jan2020'!J104,('Tariffs Jan2020'!J104*'Tariffs Jan2020'!U104/100)* 'Tariffs Jan2020'!AJ104,($C$5*'Tariffs Jan2020'!AL104/'Tariffs Jan2020'!AJ104*'Tariffs Jan2020'!U104/100)* 'Tariffs Jan2020'!AJ104)</f>
        <v>175.63636363636363</v>
      </c>
      <c r="K110" s="59">
        <f>IF($C$5*'Tariffs Jan2020'!AL104/'Tariffs Jan2020'!AJ104&lt;'Tariffs Jan2020'!J104,0,IF($C$5*'Tariffs Jan2020'!AL104/'Tariffs Jan2020'!AJ104&lt;='Tariffs Jan2020'!K104,($C$5*'Tariffs Jan2020'!AL104/'Tariffs Jan2020'!AJ104-'Tariffs Jan2020'!J104)*('Tariffs Jan2020'!V104/100)*'Tariffs Jan2020'!AJ104,('Tariffs Jan2020'!K104-'Tariffs Jan2020'!J104)*('Tariffs Jan2020'!V104/100)*'Tariffs Jan2020'!AJ104))</f>
        <v>0</v>
      </c>
      <c r="L110" s="59">
        <f>IF($C$5*'Tariffs Jan2020'!AL104/'Tariffs Jan2020'!AJ104&lt;'Tariffs Jan2020'!K104,0,IF($C$5*'Tariffs Jan2020'!AL104/'Tariffs Jan2020'!AJ104&lt;='Tariffs Jan2020'!L104,($C$5*'Tariffs Jan2020'!AL104/'Tariffs Jan2020'!AJ104-'Tariffs Jan2020'!K104)*('Tariffs Jan2020'!W104/100)*'Tariffs Jan2020'!AJ104,('Tariffs Jan2020'!L104-'Tariffs Jan2020'!K104)*('Tariffs Jan2020'!W104/100)*'Tariffs Jan2020'!AJ104))</f>
        <v>0</v>
      </c>
      <c r="M110" s="59">
        <f>IF($C$5*'Tariffs Jan2020'!AL104/'Tariffs Jan2020'!AJ104&lt;'Tariffs Jan2020'!L104,0,IF($C$5*'Tariffs Jan2020'!AL104/'Tariffs Jan2020'!AJ104&lt;='Tariffs Jan2020'!M104,($C$5*'Tariffs Jan2020'!AL104/'Tariffs Jan2020'!AJ104-'Tariffs Jan2020'!L104)*('Tariffs Jan2020'!X104/100)*'Tariffs Jan2020'!AJ104,('Tariffs Jan2020'!M104-'Tariffs Jan2020'!L104)*('Tariffs Jan2020'!X104/100)*'Tariffs Jan2020'!AJ104))</f>
        <v>0</v>
      </c>
      <c r="N110" s="59">
        <f>IF(($C$5*'Tariffs Jan2020'!AL104/'Tariffs Jan2020'!AJ104&gt;'Tariffs Jan2020'!M104),($C$5*'Tariffs Jan2020'!AL104/'Tariffs Jan2020'!AJ104-'Tariffs Jan2020'!M104)*'Tariffs Jan2020'!Y104/100*'Tariffs Jan2020'!AJ104,0)</f>
        <v>409.03363636363628</v>
      </c>
      <c r="O110" s="59">
        <f t="shared" si="44"/>
        <v>953.08769999999981</v>
      </c>
      <c r="P110" s="503">
        <f t="shared" si="30"/>
        <v>1048.3964699999999</v>
      </c>
      <c r="Q110" s="59">
        <f t="shared" si="45"/>
        <v>1245.0876999999998</v>
      </c>
      <c r="R110" s="272">
        <f t="shared" si="46"/>
        <v>1369.59647</v>
      </c>
      <c r="S110" s="40">
        <f>'Tariffs Jan2020'!AN104</f>
        <v>0</v>
      </c>
      <c r="T110" s="40">
        <f>'Tariffs Jan2020'!AO104</f>
        <v>0</v>
      </c>
      <c r="U110" s="40">
        <f>'Tariffs Jan2020'!AP104</f>
        <v>5</v>
      </c>
      <c r="V110" s="40">
        <f>'Tariffs Jan2020'!AQ104</f>
        <v>0</v>
      </c>
      <c r="W110" s="284">
        <f>Q110</f>
        <v>1245.0876999999998</v>
      </c>
      <c r="X110" s="284">
        <f>W110-(Q110*U110/100)</f>
        <v>1182.8333149999999</v>
      </c>
      <c r="Y110" s="507">
        <f>W110*1.1</f>
        <v>1369.59647</v>
      </c>
      <c r="Z110" s="507">
        <f>X110*1.1</f>
        <v>1301.1166464999999</v>
      </c>
      <c r="AA110" s="274">
        <f>'Tariffs Jan2020'!AZ104</f>
        <v>0</v>
      </c>
      <c r="AB110" s="274" t="str">
        <f>'Tariffs Jan2020'!BA104</f>
        <v>n</v>
      </c>
      <c r="AC110" s="275" t="str">
        <f>'Tariffs Jan2020'!BJ104</f>
        <v>N</v>
      </c>
      <c r="AD110" s="425"/>
      <c r="AE110" s="425"/>
      <c r="AF110" s="427"/>
      <c r="AG110" s="427"/>
      <c r="AH110" s="427"/>
      <c r="AI110" s="427"/>
      <c r="AJ110" s="427"/>
      <c r="AK110" s="427"/>
      <c r="AL110" s="427"/>
      <c r="AM110" s="427"/>
      <c r="AN110" s="427"/>
    </row>
    <row r="111" spans="1:40" ht="14" x14ac:dyDescent="0.15">
      <c r="A111" s="270" t="str">
        <f>'Tariffs Jan2020'!F105</f>
        <v>Powershop</v>
      </c>
      <c r="B111" s="40" t="str">
        <f>'Tariffs Jan2020'!D105</f>
        <v>AusNet Services West</v>
      </c>
      <c r="C111" s="40" t="str">
        <f>'Tariffs Jan2020'!G105</f>
        <v>Shopper with Gas Saver</v>
      </c>
      <c r="D111" s="59">
        <f>365*'Tariffs Jan2020'!H105/100</f>
        <v>294.18999999999994</v>
      </c>
      <c r="E111" s="59">
        <f>((C$5*'Tariffs Jan2020'!AK105/'Tariffs Jan2020'!AI105)*('Tariffs Jan2020'!O105/100))*'Tariffs Jan2020'!AI105</f>
        <v>376.05329999999998</v>
      </c>
      <c r="F111" s="59">
        <v>0</v>
      </c>
      <c r="G111" s="59">
        <v>0</v>
      </c>
      <c r="H111" s="59">
        <v>0</v>
      </c>
      <c r="I111" s="59">
        <v>0</v>
      </c>
      <c r="J111" s="59">
        <f>((C$5*'Tariffs Jan2020'!AL105/'Tariffs Jan2020'!AJ105)*('Tariffs Jan2020'!U105/100))*'Tariffs Jan2020'!AJ105</f>
        <v>675.75059999999985</v>
      </c>
      <c r="K111" s="59">
        <v>0</v>
      </c>
      <c r="L111" s="59">
        <v>0</v>
      </c>
      <c r="M111" s="59">
        <v>0</v>
      </c>
      <c r="N111" s="59">
        <v>0</v>
      </c>
      <c r="O111" s="59">
        <f t="shared" si="44"/>
        <v>1051.8038999999999</v>
      </c>
      <c r="P111" s="503">
        <f t="shared" si="30"/>
        <v>1156.9842899999999</v>
      </c>
      <c r="Q111" s="59">
        <f t="shared" si="45"/>
        <v>1345.9938999999999</v>
      </c>
      <c r="R111" s="272">
        <f t="shared" si="46"/>
        <v>1480.59329</v>
      </c>
      <c r="S111" s="40">
        <f>'Tariffs Jan2020'!AN105</f>
        <v>0</v>
      </c>
      <c r="T111" s="40">
        <f>'Tariffs Jan2020'!AO105</f>
        <v>0</v>
      </c>
      <c r="U111" s="40">
        <f>'Tariffs Jan2020'!AP105</f>
        <v>5</v>
      </c>
      <c r="V111" s="40">
        <f>'Tariffs Jan2020'!AQ105</f>
        <v>0</v>
      </c>
      <c r="W111" s="284">
        <f>R111</f>
        <v>1480.59329</v>
      </c>
      <c r="X111" s="284">
        <f>W111-(W111*U111/100)</f>
        <v>1406.5636254999999</v>
      </c>
      <c r="Y111" s="507">
        <f>W111</f>
        <v>1480.59329</v>
      </c>
      <c r="Z111" s="507">
        <f>X111</f>
        <v>1406.5636254999999</v>
      </c>
      <c r="AA111" s="274">
        <f>'Tariffs Jan2020'!AZ105</f>
        <v>0</v>
      </c>
      <c r="AB111" s="274" t="str">
        <f>'Tariffs Jan2020'!BA105</f>
        <v>n</v>
      </c>
      <c r="AC111" s="275" t="str">
        <f>'Tariffs Jan2020'!BJ105</f>
        <v>Y</v>
      </c>
      <c r="AD111" s="425"/>
      <c r="AE111" s="425"/>
      <c r="AF111" s="427"/>
      <c r="AG111" s="427"/>
      <c r="AH111" s="427"/>
      <c r="AI111" s="427"/>
      <c r="AJ111" s="427"/>
      <c r="AK111" s="427"/>
      <c r="AL111" s="427"/>
      <c r="AM111" s="427"/>
      <c r="AN111" s="427"/>
    </row>
    <row r="112" spans="1:40" ht="14" x14ac:dyDescent="0.15">
      <c r="A112" s="270" t="str">
        <f>'Tariffs Jan2020'!F106</f>
        <v>DC Power Co</v>
      </c>
      <c r="B112" s="40" t="str">
        <f>'Tariffs Jan2020'!D106</f>
        <v>AusNet Services West</v>
      </c>
      <c r="C112" s="40" t="str">
        <f>'Tariffs Jan2020'!G106</f>
        <v>Market offer</v>
      </c>
      <c r="D112" s="59">
        <f>365*'Tariffs Jan2020'!H106/100</f>
        <v>306.2681818181818</v>
      </c>
      <c r="E112" s="59">
        <f>((C$5*'Tariffs Jan2020'!AK106/'Tariffs Jan2020'!AI106)*('Tariffs Jan2020'!O106/100))*'Tariffs Jan2020'!AI106</f>
        <v>358.87319999999988</v>
      </c>
      <c r="F112" s="59">
        <v>0</v>
      </c>
      <c r="G112" s="59">
        <v>0</v>
      </c>
      <c r="H112" s="59">
        <v>0</v>
      </c>
      <c r="I112" s="59">
        <v>0</v>
      </c>
      <c r="J112" s="59">
        <f>((C$5*'Tariffs Jan2020'!AL106/'Tariffs Jan2020'!AJ106)*('Tariffs Jan2020'!U106/100))*'Tariffs Jan2020'!AJ106</f>
        <v>645.20819999999992</v>
      </c>
      <c r="K112" s="59">
        <v>0</v>
      </c>
      <c r="L112" s="59">
        <v>0</v>
      </c>
      <c r="M112" s="59">
        <v>0</v>
      </c>
      <c r="N112" s="59">
        <v>0</v>
      </c>
      <c r="O112" s="59">
        <f t="shared" si="44"/>
        <v>1004.0813999999998</v>
      </c>
      <c r="P112" s="503">
        <f t="shared" si="30"/>
        <v>1104.4895399999998</v>
      </c>
      <c r="Q112" s="59">
        <f t="shared" si="45"/>
        <v>1310.3495818181816</v>
      </c>
      <c r="R112" s="272">
        <f t="shared" si="46"/>
        <v>1441.3845399999998</v>
      </c>
      <c r="S112" s="40">
        <f>'Tariffs Jan2020'!AN106</f>
        <v>0</v>
      </c>
      <c r="T112" s="40">
        <f>'Tariffs Jan2020'!AO106</f>
        <v>0</v>
      </c>
      <c r="U112" s="40">
        <f>'Tariffs Jan2020'!AP106</f>
        <v>0</v>
      </c>
      <c r="V112" s="40">
        <f>'Tariffs Jan2020'!AQ106</f>
        <v>0</v>
      </c>
      <c r="W112" s="284">
        <f t="shared" ref="W112" si="51">Q112</f>
        <v>1310.3495818181816</v>
      </c>
      <c r="X112" s="284">
        <f>W112</f>
        <v>1310.3495818181816</v>
      </c>
      <c r="Y112" s="507">
        <f t="shared" ref="Y112:Y122" si="52">W112*1.1</f>
        <v>1441.3845399999998</v>
      </c>
      <c r="Z112" s="507">
        <f t="shared" ref="Z112:Z122" si="53">X112*1.1</f>
        <v>1441.3845399999998</v>
      </c>
      <c r="AA112" s="274">
        <f>'Tariffs Jan2020'!AZ106</f>
        <v>0</v>
      </c>
      <c r="AB112" s="274" t="str">
        <f>'Tariffs Jan2020'!BA106</f>
        <v>n</v>
      </c>
      <c r="AC112" s="275" t="str">
        <f>'Tariffs Jan2020'!BJ106</f>
        <v>Y</v>
      </c>
      <c r="AD112" s="425"/>
      <c r="AE112" s="425"/>
      <c r="AF112" s="427"/>
      <c r="AG112" s="427"/>
      <c r="AH112" s="427"/>
      <c r="AI112" s="427"/>
      <c r="AJ112" s="427"/>
      <c r="AK112" s="427"/>
      <c r="AL112" s="427"/>
      <c r="AM112" s="427"/>
      <c r="AN112" s="427"/>
    </row>
    <row r="113" spans="1:40" ht="14" x14ac:dyDescent="0.15">
      <c r="A113" s="270" t="str">
        <f>'Tariffs Jan2020'!F107</f>
        <v>1st Energy</v>
      </c>
      <c r="B113" s="40" t="str">
        <f>'Tariffs Jan2020'!D107</f>
        <v>AusNet Services West</v>
      </c>
      <c r="C113" s="40" t="str">
        <f>'Tariffs Jan2020'!G107</f>
        <v>1st Saver</v>
      </c>
      <c r="D113" s="59">
        <f>365*'Tariffs Jan2020'!H107/100</f>
        <v>313.89999999999998</v>
      </c>
      <c r="E113" s="59">
        <f>IF($C$5*'Tariffs Jan2020'!AK107/'Tariffs Jan2020'!AI107&gt;='Tariffs Jan2020'!J107,( 'Tariffs Jan2020'!J107*'Tariffs Jan2020'!O107/100)* 'Tariffs Jan2020'!AI107,($C$5*'Tariffs Jan2020'!AK107/'Tariffs Jan2020'!AI107*'Tariffs Jan2020'!O107/100)* 'Tariffs Jan2020'!AI107)</f>
        <v>341.99999999999994</v>
      </c>
      <c r="F113" s="59">
        <f>IF($C$5*'Tariffs Jan2020'!AK107/'Tariffs Jan2020'!AI107&lt;'Tariffs Jan2020'!J107,0,IF($C$5*'Tariffs Jan2020'!AK107/'Tariffs Jan2020'!AI107&lt;='Tariffs Jan2020'!K107,($C$5*'Tariffs Jan2020'!AK107/'Tariffs Jan2020'!AI107-'Tariffs Jan2020'!J107)*('Tariffs Jan2020'!P107/100)*'Tariffs Jan2020'!AI107,('Tariffs Jan2020'!K107-'Tariffs Jan2020'!J107)*('Tariffs Jan2020'!P107/100)*'Tariffs Jan2020'!AI107))</f>
        <v>247.90909090909093</v>
      </c>
      <c r="G113" s="59">
        <f>IF($C$5*'Tariffs Jan2020'!AK107/'Tariffs Jan2020'!AI107&lt;'Tariffs Jan2020'!K107,0,IF($C$5*'Tariffs Jan2020'!AK107/'Tariffs Jan2020'!AI107&lt;='Tariffs Jan2020'!L107,($C$5*'Tariffs Jan2020'!AK107/'Tariffs Jan2020'!AI107-'Tariffs Jan2020'!K107)*('Tariffs Jan2020'!Q107/100)*'Tariffs Jan2020'!AI107,('Tariffs Jan2020'!L107-'Tariffs Jan2020'!K107)*('Tariffs Jan2020'!Q107/100)*'Tariffs Jan2020'!AI107))</f>
        <v>0</v>
      </c>
      <c r="H113" s="59">
        <f>IF($C$5*'Tariffs Jan2020'!AK107/'Tariffs Jan2020'!AI107&lt;'Tariffs Jan2020'!L107,0,IF($C$5*'Tariffs Jan2020'!AK107/'Tariffs Jan2020'!AI107&lt;='Tariffs Jan2020'!M107,($C$5*'Tariffs Jan2020'!AK107/'Tariffs Jan2020'!AI107-'Tariffs Jan2020'!L107)*('Tariffs Jan2020'!R107/100)*'Tariffs Jan2020'!AI107,('Tariffs Jan2020'!M107-'Tariffs Jan2020'!L107)*('Tariffs Jan2020'!R107/100)*'Tariffs Jan2020'!AI107))</f>
        <v>0</v>
      </c>
      <c r="I113" s="59">
        <f>IF(($C$5*'Tariffs Jan2020'!AK107/'Tariffs Jan2020'!AI107&gt;'Tariffs Jan2020'!M107),($C$5*'Tariffs Jan2020'!AK107/'Tariffs Jan2020'!AI107-'Tariffs Jan2020'!M107)*'Tariffs Jan2020'!S107/100*'Tariffs Jan2020'!AI107,0)</f>
        <v>0</v>
      </c>
      <c r="J113" s="59">
        <f>IF($C$5*'Tariffs Jan2020'!AL107/'Tariffs Jan2020'!AJ107&gt;='Tariffs Jan2020'!J107,('Tariffs Jan2020'!J107*'Tariffs Jan2020'!U107/100)* 'Tariffs Jan2020'!AJ107,($C$5*'Tariffs Jan2020'!AL107/'Tariffs Jan2020'!AJ107*'Tariffs Jan2020'!U107/100)* 'Tariffs Jan2020'!AJ107)</f>
        <v>341.99999999999994</v>
      </c>
      <c r="K113" s="59">
        <f>IF($C$5*'Tariffs Jan2020'!AL107/'Tariffs Jan2020'!AJ107&lt;'Tariffs Jan2020'!J107,0,IF($C$5*'Tariffs Jan2020'!AL107/'Tariffs Jan2020'!AJ107&lt;='Tariffs Jan2020'!K107,($C$5*'Tariffs Jan2020'!AL107/'Tariffs Jan2020'!AJ107-'Tariffs Jan2020'!J107)*('Tariffs Jan2020'!V107/100)*'Tariffs Jan2020'!AJ107,('Tariffs Jan2020'!K107-'Tariffs Jan2020'!J107)*('Tariffs Jan2020'!V107/100)*'Tariffs Jan2020'!AJ107))</f>
        <v>247.90909090909093</v>
      </c>
      <c r="L113" s="59">
        <f>IF($C$5*'Tariffs Jan2020'!AL107/'Tariffs Jan2020'!AJ107&lt;'Tariffs Jan2020'!K107,0,IF($C$5*'Tariffs Jan2020'!AL107/'Tariffs Jan2020'!AJ107&lt;='Tariffs Jan2020'!L107,($C$5*'Tariffs Jan2020'!AL107/'Tariffs Jan2020'!AJ107-'Tariffs Jan2020'!K107)*('Tariffs Jan2020'!W107/100)*'Tariffs Jan2020'!AJ107,('Tariffs Jan2020'!L107-'Tariffs Jan2020'!K107)*('Tariffs Jan2020'!W107/100)*'Tariffs Jan2020'!AJ107))</f>
        <v>0</v>
      </c>
      <c r="M113" s="59">
        <f>IF($C$5*'Tariffs Jan2020'!AL107/'Tariffs Jan2020'!AJ107&lt;'Tariffs Jan2020'!L107,0,IF($C$5*'Tariffs Jan2020'!AL107/'Tariffs Jan2020'!AJ107&lt;='Tariffs Jan2020'!M107,($C$5*'Tariffs Jan2020'!AL107/'Tariffs Jan2020'!AJ107-'Tariffs Jan2020'!L107)*('Tariffs Jan2020'!X107/100)*'Tariffs Jan2020'!AJ107,('Tariffs Jan2020'!M107-'Tariffs Jan2020'!L107)*('Tariffs Jan2020'!X107/100)*'Tariffs Jan2020'!AJ107))</f>
        <v>0</v>
      </c>
      <c r="N113" s="59">
        <f>IF(($C$5*'Tariffs Jan2020'!AL107/'Tariffs Jan2020'!AJ107&gt;'Tariffs Jan2020'!M107),($C$5*'Tariffs Jan2020'!AL107/'Tariffs Jan2020'!AJ107-'Tariffs Jan2020'!M107)*'Tariffs Jan2020'!Y107/100*'Tariffs Jan2020'!AJ107,0)</f>
        <v>0</v>
      </c>
      <c r="O113" s="59">
        <f t="shared" si="44"/>
        <v>1179.8181818181818</v>
      </c>
      <c r="P113" s="503">
        <f t="shared" si="30"/>
        <v>1297.8</v>
      </c>
      <c r="Q113" s="59">
        <f t="shared" si="45"/>
        <v>1493.7181818181816</v>
      </c>
      <c r="R113" s="272">
        <f t="shared" si="46"/>
        <v>1643.09</v>
      </c>
      <c r="S113" s="40">
        <f>'Tariffs Jan2020'!AN107</f>
        <v>0</v>
      </c>
      <c r="T113" s="40">
        <f>'Tariffs Jan2020'!AO107</f>
        <v>0</v>
      </c>
      <c r="U113" s="40">
        <f>'Tariffs Jan2020'!AP107</f>
        <v>0</v>
      </c>
      <c r="V113" s="40">
        <f>'Tariffs Jan2020'!AQ107</f>
        <v>15</v>
      </c>
      <c r="W113" s="284">
        <f>Q113</f>
        <v>1493.7181818181816</v>
      </c>
      <c r="X113" s="284">
        <f>W113-(O113*V113/100)</f>
        <v>1316.7454545454543</v>
      </c>
      <c r="Y113" s="507">
        <f t="shared" si="52"/>
        <v>1643.09</v>
      </c>
      <c r="Z113" s="507">
        <f t="shared" si="53"/>
        <v>1448.4199999999998</v>
      </c>
      <c r="AA113" s="274">
        <f>'Tariffs Jan2020'!AZ107</f>
        <v>0</v>
      </c>
      <c r="AB113" s="274" t="str">
        <f>'Tariffs Jan2020'!BA107</f>
        <v>n</v>
      </c>
      <c r="AC113" s="275" t="str">
        <f>'Tariffs Jan2020'!BJ107</f>
        <v>Y</v>
      </c>
      <c r="AD113" s="425"/>
      <c r="AE113" s="425"/>
      <c r="AF113" s="427"/>
      <c r="AG113" s="427"/>
      <c r="AH113" s="427"/>
      <c r="AI113" s="427"/>
      <c r="AJ113" s="427"/>
      <c r="AK113" s="427"/>
      <c r="AL113" s="427"/>
      <c r="AM113" s="427"/>
      <c r="AN113" s="427"/>
    </row>
    <row r="114" spans="1:40" ht="15" thickBot="1" x14ac:dyDescent="0.2">
      <c r="A114" s="276" t="str">
        <f>'Tariffs Jan2020'!F108</f>
        <v>Kogan Energy</v>
      </c>
      <c r="B114" s="277" t="str">
        <f>'Tariffs Jan2020'!D108</f>
        <v>AusNet Services West</v>
      </c>
      <c r="C114" s="277" t="str">
        <f>'Tariffs Jan2020'!G108</f>
        <v>Market offer</v>
      </c>
      <c r="D114" s="278">
        <f>365*'Tariffs Jan2020'!H108/100</f>
        <v>281.68045454545455</v>
      </c>
      <c r="E114" s="278">
        <f>((C$5*'Tariffs Jan2020'!AK108/'Tariffs Jan2020'!AI108)*('Tariffs Jan2020'!O108/100))*'Tariffs Jan2020'!AI108</f>
        <v>356.96429999999998</v>
      </c>
      <c r="F114" s="278">
        <v>0</v>
      </c>
      <c r="G114" s="278">
        <v>0</v>
      </c>
      <c r="H114" s="278">
        <v>0</v>
      </c>
      <c r="I114" s="278">
        <v>0</v>
      </c>
      <c r="J114" s="278">
        <f>((C$5*'Tariffs Jan2020'!AL108/'Tariffs Jan2020'!AJ108)*('Tariffs Jan2020'!U108/100))*'Tariffs Jan2020'!AJ108</f>
        <v>668.1149999999999</v>
      </c>
      <c r="K114" s="278">
        <v>0</v>
      </c>
      <c r="L114" s="278">
        <v>0</v>
      </c>
      <c r="M114" s="278">
        <v>0</v>
      </c>
      <c r="N114" s="278">
        <v>0</v>
      </c>
      <c r="O114" s="278">
        <f t="shared" si="44"/>
        <v>1025.0792999999999</v>
      </c>
      <c r="P114" s="504">
        <f t="shared" si="30"/>
        <v>1127.5872299999999</v>
      </c>
      <c r="Q114" s="278">
        <f t="shared" si="45"/>
        <v>1306.7597545454544</v>
      </c>
      <c r="R114" s="280">
        <f t="shared" si="46"/>
        <v>1437.4357299999999</v>
      </c>
      <c r="S114" s="277">
        <f>'Tariffs Jan2020'!AN108</f>
        <v>0</v>
      </c>
      <c r="T114" s="277">
        <f>'Tariffs Jan2020'!AO108</f>
        <v>0</v>
      </c>
      <c r="U114" s="277">
        <f>'Tariffs Jan2020'!AP108</f>
        <v>0</v>
      </c>
      <c r="V114" s="277">
        <f>'Tariffs Jan2020'!AQ108</f>
        <v>0</v>
      </c>
      <c r="W114" s="285">
        <f t="shared" ref="W114" si="54">Q114</f>
        <v>1306.7597545454544</v>
      </c>
      <c r="X114" s="285">
        <f>W114</f>
        <v>1306.7597545454544</v>
      </c>
      <c r="Y114" s="508">
        <f t="shared" si="52"/>
        <v>1437.4357299999999</v>
      </c>
      <c r="Z114" s="508">
        <f t="shared" si="53"/>
        <v>1437.4357299999999</v>
      </c>
      <c r="AA114" s="282">
        <f>'Tariffs Jan2020'!AZ108</f>
        <v>0</v>
      </c>
      <c r="AB114" s="282" t="str">
        <f>'Tariffs Jan2020'!BA108</f>
        <v>n</v>
      </c>
      <c r="AC114" s="283" t="str">
        <f>'Tariffs Jan2020'!BJ108</f>
        <v>N</v>
      </c>
      <c r="AD114" s="425"/>
      <c r="AE114" s="425"/>
      <c r="AF114" s="427"/>
      <c r="AG114" s="427"/>
      <c r="AH114" s="427"/>
      <c r="AI114" s="427"/>
      <c r="AJ114" s="427"/>
      <c r="AK114" s="427"/>
      <c r="AL114" s="427"/>
      <c r="AM114" s="427"/>
      <c r="AN114" s="427"/>
    </row>
    <row r="115" spans="1:40" ht="15" thickTop="1" x14ac:dyDescent="0.15">
      <c r="A115" s="270" t="str">
        <f>'Tariffs Jan2020'!F109</f>
        <v>AGL</v>
      </c>
      <c r="B115" s="40" t="str">
        <f>'Tariffs Jan2020'!D109</f>
        <v>AusNet Services Central 2</v>
      </c>
      <c r="C115" s="40" t="str">
        <f>'Tariffs Jan2020'!G109</f>
        <v>Essentials Saver</v>
      </c>
      <c r="D115" s="59">
        <f>365*'Tariffs Jan2020'!H109/100</f>
        <v>309.8186363636363</v>
      </c>
      <c r="E115" s="59">
        <f>IF($C$5*'Tariffs Jan2020'!AK109/'Tariffs Jan2020'!AI109&gt;='Tariffs Jan2020'!J109,( 'Tariffs Jan2020'!J109*'Tariffs Jan2020'!O109/100)* 'Tariffs Jan2020'!AI109,($C$5*'Tariffs Jan2020'!AK109/'Tariffs Jan2020'!AI109*'Tariffs Jan2020'!O109/100)* 'Tariffs Jan2020'!AI109)</f>
        <v>212.72727272727269</v>
      </c>
      <c r="F115" s="59">
        <f>IF($C$5*'Tariffs Jan2020'!AK109/'Tariffs Jan2020'!AI109&lt;'Tariffs Jan2020'!J109,0,IF($C$5*'Tariffs Jan2020'!AK109/'Tariffs Jan2020'!AI109&lt;='Tariffs Jan2020'!K109,($C$5*'Tariffs Jan2020'!AK109/'Tariffs Jan2020'!AI109-'Tariffs Jan2020'!J109)*('Tariffs Jan2020'!P109/100)*'Tariffs Jan2020'!AI109,('Tariffs Jan2020'!K109-'Tariffs Jan2020'!J109)*('Tariffs Jan2020'!P109/100)*'Tariffs Jan2020'!AI109))</f>
        <v>155.41827272727267</v>
      </c>
      <c r="G115" s="59">
        <f>IF($C$5*'Tariffs Jan2020'!AK109/'Tariffs Jan2020'!AI109&lt;'Tariffs Jan2020'!K109,0,IF($C$5*'Tariffs Jan2020'!AK109/'Tariffs Jan2020'!AI109&lt;='Tariffs Jan2020'!L109,($C$5*'Tariffs Jan2020'!AK109/'Tariffs Jan2020'!AI109-'Tariffs Jan2020'!K109)*('Tariffs Jan2020'!Q109/100)*'Tariffs Jan2020'!AI109,('Tariffs Jan2020'!L109-'Tariffs Jan2020'!K109)*('Tariffs Jan2020'!Q109/100)*'Tariffs Jan2020'!AI109))</f>
        <v>0</v>
      </c>
      <c r="H115" s="59">
        <f>IF($C$5*'Tariffs Jan2020'!AK109/'Tariffs Jan2020'!AI109&lt;'Tariffs Jan2020'!L109,0,IF($C$5*'Tariffs Jan2020'!AK109/'Tariffs Jan2020'!AI109&lt;='Tariffs Jan2020'!M109,($C$5*'Tariffs Jan2020'!AK109/'Tariffs Jan2020'!AI109-'Tariffs Jan2020'!L109)*('Tariffs Jan2020'!R109/100)*'Tariffs Jan2020'!AI109,('Tariffs Jan2020'!M109-'Tariffs Jan2020'!L109)*('Tariffs Jan2020'!R109/100)*'Tariffs Jan2020'!AI109))</f>
        <v>0</v>
      </c>
      <c r="I115" s="59">
        <f>IF(($C$5*'Tariffs Jan2020'!AK109/'Tariffs Jan2020'!AI109&gt;'Tariffs Jan2020'!M109),($C$5*'Tariffs Jan2020'!AK109/'Tariffs Jan2020'!AI109-'Tariffs Jan2020'!M109)*'Tariffs Jan2020'!S109/100*'Tariffs Jan2020'!AI109,0)</f>
        <v>0</v>
      </c>
      <c r="J115" s="59">
        <f>IF($C$5*'Tariffs Jan2020'!AL109/'Tariffs Jan2020'!AJ109&gt;='Tariffs Jan2020'!J109,('Tariffs Jan2020'!J109*'Tariffs Jan2020'!U109/100)* 'Tariffs Jan2020'!AJ109,($C$5*'Tariffs Jan2020'!AL109/'Tariffs Jan2020'!AJ109*'Tariffs Jan2020'!U109/100)* 'Tariffs Jan2020'!AJ109)</f>
        <v>364.36363636363632</v>
      </c>
      <c r="K115" s="59">
        <f>IF($C$5*'Tariffs Jan2020'!AL109/'Tariffs Jan2020'!AJ109&lt;'Tariffs Jan2020'!J109,0,IF($C$5*'Tariffs Jan2020'!AL109/'Tariffs Jan2020'!AJ109&lt;='Tariffs Jan2020'!K109,($C$5*'Tariffs Jan2020'!AL109/'Tariffs Jan2020'!AJ109-'Tariffs Jan2020'!J109)*('Tariffs Jan2020'!V109/100)*'Tariffs Jan2020'!AJ109,('Tariffs Jan2020'!K109-'Tariffs Jan2020'!J109)*('Tariffs Jan2020'!V109/100)*'Tariffs Jan2020'!AJ109))</f>
        <v>243.76129090909083</v>
      </c>
      <c r="L115" s="59">
        <f>IF($C$5*'Tariffs Jan2020'!AL109/'Tariffs Jan2020'!AJ109&lt;'Tariffs Jan2020'!K109,0,IF($C$5*'Tariffs Jan2020'!AL109/'Tariffs Jan2020'!AJ109&lt;='Tariffs Jan2020'!L109,($C$5*'Tariffs Jan2020'!AL109/'Tariffs Jan2020'!AJ109-'Tariffs Jan2020'!K109)*('Tariffs Jan2020'!W109/100)*'Tariffs Jan2020'!AJ109,('Tariffs Jan2020'!L109-'Tariffs Jan2020'!K109)*('Tariffs Jan2020'!W109/100)*'Tariffs Jan2020'!AJ109))</f>
        <v>0</v>
      </c>
      <c r="M115" s="59">
        <f>IF($C$5*'Tariffs Jan2020'!AL109/'Tariffs Jan2020'!AJ109&lt;'Tariffs Jan2020'!L109,0,IF($C$5*'Tariffs Jan2020'!AL109/'Tariffs Jan2020'!AJ109&lt;='Tariffs Jan2020'!M109,($C$5*'Tariffs Jan2020'!AL109/'Tariffs Jan2020'!AJ109-'Tariffs Jan2020'!L109)*('Tariffs Jan2020'!X109/100)*'Tariffs Jan2020'!AJ109,('Tariffs Jan2020'!M109-'Tariffs Jan2020'!L109)*('Tariffs Jan2020'!X109/100)*'Tariffs Jan2020'!AJ109))</f>
        <v>0</v>
      </c>
      <c r="N115" s="59">
        <f>IF(($C$5*'Tariffs Jan2020'!AL109/'Tariffs Jan2020'!AJ109&gt;'Tariffs Jan2020'!M109),($C$5*'Tariffs Jan2020'!AL109/'Tariffs Jan2020'!AJ109-'Tariffs Jan2020'!M109)*'Tariffs Jan2020'!Y109/100*'Tariffs Jan2020'!AJ109,0)</f>
        <v>0</v>
      </c>
      <c r="O115" s="59">
        <f t="shared" si="44"/>
        <v>976.27047272727248</v>
      </c>
      <c r="P115" s="503">
        <f t="shared" si="30"/>
        <v>1073.8975199999998</v>
      </c>
      <c r="Q115" s="59">
        <f t="shared" si="45"/>
        <v>1286.0891090909088</v>
      </c>
      <c r="R115" s="272">
        <f t="shared" si="46"/>
        <v>1414.6980199999998</v>
      </c>
      <c r="S115" s="40">
        <f>'Tariffs Jan2020'!AN109</f>
        <v>0</v>
      </c>
      <c r="T115" s="40">
        <f>'Tariffs Jan2020'!AO109</f>
        <v>0</v>
      </c>
      <c r="U115" s="40">
        <f>'Tariffs Jan2020'!AP109</f>
        <v>0</v>
      </c>
      <c r="V115" s="40">
        <f>'Tariffs Jan2020'!AQ109</f>
        <v>0</v>
      </c>
      <c r="W115" s="284">
        <f>Q115</f>
        <v>1286.0891090909088</v>
      </c>
      <c r="X115" s="284">
        <f>W115</f>
        <v>1286.0891090909088</v>
      </c>
      <c r="Y115" s="507">
        <f t="shared" si="52"/>
        <v>1414.6980199999998</v>
      </c>
      <c r="Z115" s="507">
        <f t="shared" si="53"/>
        <v>1414.6980199999998</v>
      </c>
      <c r="AA115" s="274">
        <f>'Tariffs Jan2020'!AZ109</f>
        <v>0</v>
      </c>
      <c r="AB115" s="274" t="str">
        <f>'Tariffs Jan2020'!BA109</f>
        <v>n</v>
      </c>
      <c r="AC115" s="275" t="str">
        <f>'Tariffs Jan2020'!BJ109</f>
        <v>N</v>
      </c>
      <c r="AD115" s="425"/>
      <c r="AE115" s="425"/>
      <c r="AF115" s="427"/>
      <c r="AG115" s="427"/>
      <c r="AH115" s="427"/>
      <c r="AI115" s="427"/>
      <c r="AJ115" s="427"/>
      <c r="AK115" s="427"/>
      <c r="AL115" s="427"/>
      <c r="AM115" s="427"/>
      <c r="AN115" s="427"/>
    </row>
    <row r="116" spans="1:40" ht="14" x14ac:dyDescent="0.15">
      <c r="A116" s="270" t="str">
        <f>'Tariffs Jan2020'!F110</f>
        <v>Alinta Energy</v>
      </c>
      <c r="B116" s="40" t="str">
        <f>'Tariffs Jan2020'!D110</f>
        <v>AusNet Services Central 2</v>
      </c>
      <c r="C116" s="40" t="str">
        <f>'Tariffs Jan2020'!G110</f>
        <v>Home Deal</v>
      </c>
      <c r="D116" s="59">
        <f>365*'Tariffs Jan2020'!H110/100</f>
        <v>266.45</v>
      </c>
      <c r="E116" s="59">
        <f>IF($C$5*'Tariffs Jan2020'!AK110/'Tariffs Jan2020'!AI110&gt;='Tariffs Jan2020'!J110,( 'Tariffs Jan2020'!J110*'Tariffs Jan2020'!O110/100)* 'Tariffs Jan2020'!AI110,($C$5*'Tariffs Jan2020'!AK110/'Tariffs Jan2020'!AI110*'Tariffs Jan2020'!O110/100)* 'Tariffs Jan2020'!AI110)</f>
        <v>275.99999999999994</v>
      </c>
      <c r="F116" s="59">
        <f>IF($C$5*'Tariffs Jan2020'!AK110/'Tariffs Jan2020'!AI110&lt;'Tariffs Jan2020'!J110,0,IF($C$5*'Tariffs Jan2020'!AK110/'Tariffs Jan2020'!AI110&lt;='Tariffs Jan2020'!K110,($C$5*'Tariffs Jan2020'!AK110/'Tariffs Jan2020'!AI110-'Tariffs Jan2020'!J110)*('Tariffs Jan2020'!P110/100)*'Tariffs Jan2020'!AI110,('Tariffs Jan2020'!K110-'Tariffs Jan2020'!J110)*('Tariffs Jan2020'!P110/100)*'Tariffs Jan2020'!AI110))</f>
        <v>0</v>
      </c>
      <c r="G116" s="59">
        <f>IF($C$5*'Tariffs Jan2020'!AK110/'Tariffs Jan2020'!AI110&lt;'Tariffs Jan2020'!K110,0,IF($C$5*'Tariffs Jan2020'!AK110/'Tariffs Jan2020'!AI110&lt;='Tariffs Jan2020'!L110,($C$5*'Tariffs Jan2020'!AK110/'Tariffs Jan2020'!AI110-'Tariffs Jan2020'!K110)*('Tariffs Jan2020'!Q110/100)*'Tariffs Jan2020'!AI110,('Tariffs Jan2020'!L110-'Tariffs Jan2020'!K110)*('Tariffs Jan2020'!Q110/100)*'Tariffs Jan2020'!AI110))</f>
        <v>0</v>
      </c>
      <c r="H116" s="59">
        <f>IF($C$5*'Tariffs Jan2020'!AK110/'Tariffs Jan2020'!AI110&lt;'Tariffs Jan2020'!L110,0,IF($C$5*'Tariffs Jan2020'!AK110/'Tariffs Jan2020'!AI110&lt;='Tariffs Jan2020'!M110,($C$5*'Tariffs Jan2020'!AK110/'Tariffs Jan2020'!AI110-'Tariffs Jan2020'!L110)*('Tariffs Jan2020'!R110/100)*'Tariffs Jan2020'!AI110,('Tariffs Jan2020'!M110-'Tariffs Jan2020'!L110)*('Tariffs Jan2020'!R110/100)*'Tariffs Jan2020'!AI110))</f>
        <v>0</v>
      </c>
      <c r="I116" s="59">
        <f>IF(($C$5*'Tariffs Jan2020'!AK110/'Tariffs Jan2020'!AI110&gt;'Tariffs Jan2020'!M110),($C$5*'Tariffs Jan2020'!AK110/'Tariffs Jan2020'!AI110-'Tariffs Jan2020'!M110)*'Tariffs Jan2020'!S110/100*'Tariffs Jan2020'!AI110,0)</f>
        <v>152.96429999999998</v>
      </c>
      <c r="J116" s="59">
        <f>IF($C$5*'Tariffs Jan2020'!AL110/'Tariffs Jan2020'!AJ110&gt;='Tariffs Jan2020'!J110,('Tariffs Jan2020'!J110*'Tariffs Jan2020'!U110/100)* 'Tariffs Jan2020'!AJ110,($C$5*'Tariffs Jan2020'!AL110/'Tariffs Jan2020'!AJ110*'Tariffs Jan2020'!U110/100)* 'Tariffs Jan2020'!AJ110)</f>
        <v>504</v>
      </c>
      <c r="K116" s="59">
        <f>IF($C$5*'Tariffs Jan2020'!AL110/'Tariffs Jan2020'!AJ110&lt;'Tariffs Jan2020'!J110,0,IF($C$5*'Tariffs Jan2020'!AL110/'Tariffs Jan2020'!AJ110&lt;='Tariffs Jan2020'!K110,($C$5*'Tariffs Jan2020'!AL110/'Tariffs Jan2020'!AJ110-'Tariffs Jan2020'!J110)*('Tariffs Jan2020'!V110/100)*'Tariffs Jan2020'!AJ110,('Tariffs Jan2020'!K110-'Tariffs Jan2020'!J110)*('Tariffs Jan2020'!V110/100)*'Tariffs Jan2020'!AJ110))</f>
        <v>0</v>
      </c>
      <c r="L116" s="59">
        <f>IF($C$5*'Tariffs Jan2020'!AL110/'Tariffs Jan2020'!AJ110&lt;'Tariffs Jan2020'!K110,0,IF($C$5*'Tariffs Jan2020'!AL110/'Tariffs Jan2020'!AJ110&lt;='Tariffs Jan2020'!L110,($C$5*'Tariffs Jan2020'!AL110/'Tariffs Jan2020'!AJ110-'Tariffs Jan2020'!K110)*('Tariffs Jan2020'!W110/100)*'Tariffs Jan2020'!AJ110,('Tariffs Jan2020'!L110-'Tariffs Jan2020'!K110)*('Tariffs Jan2020'!W110/100)*'Tariffs Jan2020'!AJ110))</f>
        <v>0</v>
      </c>
      <c r="M116" s="59">
        <f>IF($C$5*'Tariffs Jan2020'!AL110/'Tariffs Jan2020'!AJ110&lt;'Tariffs Jan2020'!L110,0,IF($C$5*'Tariffs Jan2020'!AL110/'Tariffs Jan2020'!AJ110&lt;='Tariffs Jan2020'!M110,($C$5*'Tariffs Jan2020'!AL110/'Tariffs Jan2020'!AJ110-'Tariffs Jan2020'!L110)*('Tariffs Jan2020'!X110/100)*'Tariffs Jan2020'!AJ110,('Tariffs Jan2020'!M110-'Tariffs Jan2020'!L110)*('Tariffs Jan2020'!X110/100)*'Tariffs Jan2020'!AJ110))</f>
        <v>0</v>
      </c>
      <c r="N116" s="59">
        <f>IF(($C$5*'Tariffs Jan2020'!AL110/'Tariffs Jan2020'!AJ110&gt;'Tariffs Jan2020'!M110),($C$5*'Tariffs Jan2020'!AL110/'Tariffs Jan2020'!AJ110-'Tariffs Jan2020'!M110)*'Tariffs Jan2020'!Y110/100*'Tariffs Jan2020'!AJ110,0)</f>
        <v>305.92859999999996</v>
      </c>
      <c r="O116" s="59">
        <f t="shared" si="44"/>
        <v>1238.8928999999998</v>
      </c>
      <c r="P116" s="503">
        <f t="shared" si="30"/>
        <v>1362.7821899999999</v>
      </c>
      <c r="Q116" s="59">
        <f t="shared" si="45"/>
        <v>1505.3428999999999</v>
      </c>
      <c r="R116" s="272">
        <f t="shared" si="46"/>
        <v>1655.8771899999999</v>
      </c>
      <c r="S116" s="40">
        <f>'Tariffs Jan2020'!AN110</f>
        <v>0</v>
      </c>
      <c r="T116" s="40">
        <f>'Tariffs Jan2020'!AO110</f>
        <v>0</v>
      </c>
      <c r="U116" s="40">
        <f>'Tariffs Jan2020'!AP110</f>
        <v>0</v>
      </c>
      <c r="V116" s="40">
        <f>'Tariffs Jan2020'!AQ110</f>
        <v>0</v>
      </c>
      <c r="W116" s="284">
        <f>Q116</f>
        <v>1505.3428999999999</v>
      </c>
      <c r="X116" s="284">
        <f>W116</f>
        <v>1505.3428999999999</v>
      </c>
      <c r="Y116" s="507">
        <f t="shared" si="52"/>
        <v>1655.8771899999999</v>
      </c>
      <c r="Z116" s="507">
        <f t="shared" si="53"/>
        <v>1655.8771899999999</v>
      </c>
      <c r="AA116" s="274">
        <f>'Tariffs Jan2020'!AZ110</f>
        <v>0</v>
      </c>
      <c r="AB116" s="274" t="str">
        <f>'Tariffs Jan2020'!BA110</f>
        <v>n</v>
      </c>
      <c r="AC116" s="275" t="str">
        <f>'Tariffs Jan2020'!BJ110</f>
        <v>N</v>
      </c>
      <c r="AD116" s="425"/>
      <c r="AE116" s="425"/>
      <c r="AF116" s="427"/>
      <c r="AG116" s="427"/>
      <c r="AH116" s="427"/>
      <c r="AI116" s="427"/>
      <c r="AJ116" s="427"/>
      <c r="AK116" s="427"/>
      <c r="AL116" s="427"/>
      <c r="AM116" s="427"/>
      <c r="AN116" s="427"/>
    </row>
    <row r="117" spans="1:40" ht="14" x14ac:dyDescent="0.15">
      <c r="A117" s="270" t="str">
        <f>'Tariffs Jan2020'!F111</f>
        <v>Click Energy</v>
      </c>
      <c r="B117" s="40" t="str">
        <f>'Tariffs Jan2020'!D111</f>
        <v>AusNet Services Central 2</v>
      </c>
      <c r="C117" s="40" t="str">
        <f>'Tariffs Jan2020'!G111</f>
        <v>Hibiscus</v>
      </c>
      <c r="D117" s="59">
        <f>365*'Tariffs Jan2020'!H111/100</f>
        <v>261.47272727272724</v>
      </c>
      <c r="E117" s="59">
        <f>IF($C$5*'Tariffs Jan2020'!AK111/'Tariffs Jan2020'!AI111&gt;='Tariffs Jan2020'!J111,( 'Tariffs Jan2020'!J111*'Tariffs Jan2020'!O111/100)* 'Tariffs Jan2020'!AI111,($C$5*'Tariffs Jan2020'!AK111/'Tariffs Jan2020'!AI111*'Tariffs Jan2020'!O111/100)* 'Tariffs Jan2020'!AI111)</f>
        <v>315.27272727272725</v>
      </c>
      <c r="F117" s="59">
        <f>IF($C$5*'Tariffs Jan2020'!AK111/'Tariffs Jan2020'!AI111&lt;'Tariffs Jan2020'!J111,0,IF($C$5*'Tariffs Jan2020'!AK111/'Tariffs Jan2020'!AI111&lt;='Tariffs Jan2020'!K111,($C$5*'Tariffs Jan2020'!AK111/'Tariffs Jan2020'!AI111-'Tariffs Jan2020'!J111)*('Tariffs Jan2020'!P111/100)*'Tariffs Jan2020'!AI111,('Tariffs Jan2020'!K111-'Tariffs Jan2020'!J111)*('Tariffs Jan2020'!P111/100)*'Tariffs Jan2020'!AI111))</f>
        <v>202.8617454545454</v>
      </c>
      <c r="G117" s="59">
        <f>IF($C$5*'Tariffs Jan2020'!AK111/'Tariffs Jan2020'!AI111&lt;'Tariffs Jan2020'!K111,0,IF($C$5*'Tariffs Jan2020'!AK111/'Tariffs Jan2020'!AI111&lt;='Tariffs Jan2020'!L111,($C$5*'Tariffs Jan2020'!AK111/'Tariffs Jan2020'!AI111-'Tariffs Jan2020'!K111)*('Tariffs Jan2020'!Q111/100)*'Tariffs Jan2020'!AI111,('Tariffs Jan2020'!L111-'Tariffs Jan2020'!K111)*('Tariffs Jan2020'!Q111/100)*'Tariffs Jan2020'!AI111))</f>
        <v>0</v>
      </c>
      <c r="H117" s="59">
        <f>IF($C$5*'Tariffs Jan2020'!AK111/'Tariffs Jan2020'!AI111&lt;'Tariffs Jan2020'!L111,0,IF($C$5*'Tariffs Jan2020'!AK111/'Tariffs Jan2020'!AI111&lt;='Tariffs Jan2020'!M111,($C$5*'Tariffs Jan2020'!AK111/'Tariffs Jan2020'!AI111-'Tariffs Jan2020'!L111)*('Tariffs Jan2020'!R111/100)*'Tariffs Jan2020'!AI111,('Tariffs Jan2020'!M111-'Tariffs Jan2020'!L111)*('Tariffs Jan2020'!R111/100)*'Tariffs Jan2020'!AI111))</f>
        <v>0</v>
      </c>
      <c r="I117" s="59">
        <f>IF(($C$5*'Tariffs Jan2020'!AK111/'Tariffs Jan2020'!AI111&gt;'Tariffs Jan2020'!M111),($C$5*'Tariffs Jan2020'!AK111/'Tariffs Jan2020'!AI111-'Tariffs Jan2020'!M111)*'Tariffs Jan2020'!S111/100*'Tariffs Jan2020'!AI111,0)</f>
        <v>0</v>
      </c>
      <c r="J117" s="59">
        <f>IF($C$5*'Tariffs Jan2020'!AL111/'Tariffs Jan2020'!AJ111&gt;='Tariffs Jan2020'!J111,('Tariffs Jan2020'!J111*'Tariffs Jan2020'!U111/100)* 'Tariffs Jan2020'!AJ111,($C$5*'Tariffs Jan2020'!AL111/'Tariffs Jan2020'!AJ111*'Tariffs Jan2020'!U111/100)* 'Tariffs Jan2020'!AJ111)</f>
        <v>445.09090909090907</v>
      </c>
      <c r="K117" s="59">
        <f>IF($C$5*'Tariffs Jan2020'!AL111/'Tariffs Jan2020'!AJ111&lt;'Tariffs Jan2020'!J111,0,IF($C$5*'Tariffs Jan2020'!AL111/'Tariffs Jan2020'!AJ111&lt;='Tariffs Jan2020'!K111,($C$5*'Tariffs Jan2020'!AL111/'Tariffs Jan2020'!AJ111-'Tariffs Jan2020'!J111)*('Tariffs Jan2020'!V111/100)*'Tariffs Jan2020'!AJ111,('Tariffs Jan2020'!K111-'Tariffs Jan2020'!J111)*('Tariffs Jan2020'!V111/100)*'Tariffs Jan2020'!AJ111))</f>
        <v>325.56038181818167</v>
      </c>
      <c r="L117" s="59">
        <f>IF($C$5*'Tariffs Jan2020'!AL111/'Tariffs Jan2020'!AJ111&lt;'Tariffs Jan2020'!K111,0,IF($C$5*'Tariffs Jan2020'!AL111/'Tariffs Jan2020'!AJ111&lt;='Tariffs Jan2020'!L111,($C$5*'Tariffs Jan2020'!AL111/'Tariffs Jan2020'!AJ111-'Tariffs Jan2020'!K111)*('Tariffs Jan2020'!W111/100)*'Tariffs Jan2020'!AJ111,('Tariffs Jan2020'!L111-'Tariffs Jan2020'!K111)*('Tariffs Jan2020'!W111/100)*'Tariffs Jan2020'!AJ111))</f>
        <v>0</v>
      </c>
      <c r="M117" s="59">
        <f>IF($C$5*'Tariffs Jan2020'!AL111/'Tariffs Jan2020'!AJ111&lt;'Tariffs Jan2020'!L111,0,IF($C$5*'Tariffs Jan2020'!AL111/'Tariffs Jan2020'!AJ111&lt;='Tariffs Jan2020'!M111,($C$5*'Tariffs Jan2020'!AL111/'Tariffs Jan2020'!AJ111-'Tariffs Jan2020'!L111)*('Tariffs Jan2020'!X111/100)*'Tariffs Jan2020'!AJ111,('Tariffs Jan2020'!M111-'Tariffs Jan2020'!L111)*('Tariffs Jan2020'!X111/100)*'Tariffs Jan2020'!AJ111))</f>
        <v>0</v>
      </c>
      <c r="N117" s="59">
        <f>IF(($C$5*'Tariffs Jan2020'!AL111/'Tariffs Jan2020'!AJ111&gt;'Tariffs Jan2020'!M111),($C$5*'Tariffs Jan2020'!AL111/'Tariffs Jan2020'!AJ111-'Tariffs Jan2020'!M111)*'Tariffs Jan2020'!Y111/100*'Tariffs Jan2020'!AJ111,0)</f>
        <v>0</v>
      </c>
      <c r="O117" s="59">
        <f t="shared" si="44"/>
        <v>1288.7857636363633</v>
      </c>
      <c r="P117" s="503">
        <f t="shared" si="30"/>
        <v>1417.6643399999998</v>
      </c>
      <c r="Q117" s="59">
        <f t="shared" si="45"/>
        <v>1550.2584909090906</v>
      </c>
      <c r="R117" s="272">
        <f t="shared" si="46"/>
        <v>1705.2843399999997</v>
      </c>
      <c r="S117" s="40">
        <f>'Tariffs Jan2020'!AN111</f>
        <v>0</v>
      </c>
      <c r="T117" s="40">
        <f>'Tariffs Jan2020'!AO111</f>
        <v>0</v>
      </c>
      <c r="U117" s="40">
        <f>'Tariffs Jan2020'!AP111</f>
        <v>0</v>
      </c>
      <c r="V117" s="40">
        <f>'Tariffs Jan2020'!AQ111</f>
        <v>0</v>
      </c>
      <c r="W117" s="284">
        <f>Q117</f>
        <v>1550.2584909090906</v>
      </c>
      <c r="X117" s="284">
        <f>W117</f>
        <v>1550.2584909090906</v>
      </c>
      <c r="Y117" s="507">
        <f t="shared" si="52"/>
        <v>1705.2843399999997</v>
      </c>
      <c r="Z117" s="507">
        <f t="shared" si="53"/>
        <v>1705.2843399999997</v>
      </c>
      <c r="AA117" s="274">
        <f>'Tariffs Jan2020'!AZ111</f>
        <v>0</v>
      </c>
      <c r="AB117" s="274" t="str">
        <f>'Tariffs Jan2020'!BA111</f>
        <v>n</v>
      </c>
      <c r="AC117" s="275" t="str">
        <f>'Tariffs Jan2020'!BJ111</f>
        <v>N</v>
      </c>
      <c r="AD117" s="425"/>
      <c r="AE117" s="425"/>
      <c r="AF117" s="427"/>
      <c r="AG117" s="427"/>
      <c r="AH117" s="427"/>
      <c r="AI117" s="427"/>
      <c r="AJ117" s="427"/>
      <c r="AK117" s="427"/>
      <c r="AL117" s="427"/>
      <c r="AM117" s="427"/>
      <c r="AN117" s="427"/>
    </row>
    <row r="118" spans="1:40" ht="14" x14ac:dyDescent="0.15">
      <c r="A118" s="270" t="str">
        <f>'Tariffs Jan2020'!F112</f>
        <v>Covau</v>
      </c>
      <c r="B118" s="40" t="str">
        <f>'Tariffs Jan2020'!D112</f>
        <v>AusNet Services Central 2</v>
      </c>
      <c r="C118" s="40" t="str">
        <f>'Tariffs Jan2020'!G112</f>
        <v>Smart Saver</v>
      </c>
      <c r="D118" s="59">
        <f>365*'Tariffs Jan2020'!H112/100</f>
        <v>310.25</v>
      </c>
      <c r="E118" s="59">
        <f>IF($C$5*'Tariffs Jan2020'!AK112/'Tariffs Jan2020'!AI112&gt;='Tariffs Jan2020'!J112,( 'Tariffs Jan2020'!J112*'Tariffs Jan2020'!O112/100)* 'Tariffs Jan2020'!AI112,($C$5*'Tariffs Jan2020'!AK112/'Tariffs Jan2020'!AI112*'Tariffs Jan2020'!O112/100)* 'Tariffs Jan2020'!AI112)</f>
        <v>344.72727272727275</v>
      </c>
      <c r="F118" s="59">
        <f>IF($C$5*'Tariffs Jan2020'!AK112/'Tariffs Jan2020'!AI112&lt;'Tariffs Jan2020'!J112,0,IF($C$5*'Tariffs Jan2020'!AK112/'Tariffs Jan2020'!AI112&lt;='Tariffs Jan2020'!K112,($C$5*'Tariffs Jan2020'!AK112/'Tariffs Jan2020'!AI112-'Tariffs Jan2020'!J112)*('Tariffs Jan2020'!P112/100)*'Tariffs Jan2020'!AI112,('Tariffs Jan2020'!K112-'Tariffs Jan2020'!J112)*('Tariffs Jan2020'!P112/100)*'Tariffs Jan2020'!AI112))</f>
        <v>229.85544545454536</v>
      </c>
      <c r="G118" s="59">
        <f>IF($C$5*'Tariffs Jan2020'!AK112/'Tariffs Jan2020'!AI112&lt;'Tariffs Jan2020'!K112,0,IF($C$5*'Tariffs Jan2020'!AK112/'Tariffs Jan2020'!AI112&lt;='Tariffs Jan2020'!L112,($C$5*'Tariffs Jan2020'!AK112/'Tariffs Jan2020'!AI112-'Tariffs Jan2020'!K112)*('Tariffs Jan2020'!Q112/100)*'Tariffs Jan2020'!AI112,('Tariffs Jan2020'!L112-'Tariffs Jan2020'!K112)*('Tariffs Jan2020'!Q112/100)*'Tariffs Jan2020'!AI112))</f>
        <v>0</v>
      </c>
      <c r="H118" s="59">
        <f>IF($C$5*'Tariffs Jan2020'!AK112/'Tariffs Jan2020'!AI112&lt;'Tariffs Jan2020'!L112,0,IF($C$5*'Tariffs Jan2020'!AK112/'Tariffs Jan2020'!AI112&lt;='Tariffs Jan2020'!M112,($C$5*'Tariffs Jan2020'!AK112/'Tariffs Jan2020'!AI112-'Tariffs Jan2020'!L112)*('Tariffs Jan2020'!R112/100)*'Tariffs Jan2020'!AI112,('Tariffs Jan2020'!M112-'Tariffs Jan2020'!L112)*('Tariffs Jan2020'!R112/100)*'Tariffs Jan2020'!AI112))</f>
        <v>0</v>
      </c>
      <c r="I118" s="59">
        <f>IF(($C$5*'Tariffs Jan2020'!AK112/'Tariffs Jan2020'!AI112&gt;'Tariffs Jan2020'!M112),($C$5*'Tariffs Jan2020'!AK112/'Tariffs Jan2020'!AI112-'Tariffs Jan2020'!M112)*'Tariffs Jan2020'!S112/100*'Tariffs Jan2020'!AI112,0)</f>
        <v>0</v>
      </c>
      <c r="J118" s="59">
        <f>IF($C$5*'Tariffs Jan2020'!AL112/'Tariffs Jan2020'!AJ112&gt;='Tariffs Jan2020'!J112,('Tariffs Jan2020'!J112*'Tariffs Jan2020'!U112/100)* 'Tariffs Jan2020'!AJ112,($C$5*'Tariffs Jan2020'!AL112/'Tariffs Jan2020'!AJ112*'Tariffs Jan2020'!U112/100)* 'Tariffs Jan2020'!AJ112)</f>
        <v>576</v>
      </c>
      <c r="K118" s="59">
        <f>IF($C$5*'Tariffs Jan2020'!AL112/'Tariffs Jan2020'!AJ112&lt;'Tariffs Jan2020'!J112,0,IF($C$5*'Tariffs Jan2020'!AL112/'Tariffs Jan2020'!AJ112&lt;='Tariffs Jan2020'!K112,($C$5*'Tariffs Jan2020'!AL112/'Tariffs Jan2020'!AJ112-'Tariffs Jan2020'!J112)*('Tariffs Jan2020'!V112/100)*'Tariffs Jan2020'!AJ112,('Tariffs Jan2020'!K112-'Tariffs Jan2020'!J112)*('Tariffs Jan2020'!V112/100)*'Tariffs Jan2020'!AJ112))</f>
        <v>395.90759999999989</v>
      </c>
      <c r="L118" s="59">
        <f>IF($C$5*'Tariffs Jan2020'!AL112/'Tariffs Jan2020'!AJ112&lt;'Tariffs Jan2020'!K112,0,IF($C$5*'Tariffs Jan2020'!AL112/'Tariffs Jan2020'!AJ112&lt;='Tariffs Jan2020'!L112,($C$5*'Tariffs Jan2020'!AL112/'Tariffs Jan2020'!AJ112-'Tariffs Jan2020'!K112)*('Tariffs Jan2020'!W112/100)*'Tariffs Jan2020'!AJ112,('Tariffs Jan2020'!L112-'Tariffs Jan2020'!K112)*('Tariffs Jan2020'!W112/100)*'Tariffs Jan2020'!AJ112))</f>
        <v>0</v>
      </c>
      <c r="M118" s="59">
        <f>IF($C$5*'Tariffs Jan2020'!AL112/'Tariffs Jan2020'!AJ112&lt;'Tariffs Jan2020'!L112,0,IF($C$5*'Tariffs Jan2020'!AL112/'Tariffs Jan2020'!AJ112&lt;='Tariffs Jan2020'!M112,($C$5*'Tariffs Jan2020'!AL112/'Tariffs Jan2020'!AJ112-'Tariffs Jan2020'!L112)*('Tariffs Jan2020'!X112/100)*'Tariffs Jan2020'!AJ112,('Tariffs Jan2020'!M112-'Tariffs Jan2020'!L112)*('Tariffs Jan2020'!X112/100)*'Tariffs Jan2020'!AJ112))</f>
        <v>0</v>
      </c>
      <c r="N118" s="59">
        <f>IF(($C$5*'Tariffs Jan2020'!AL112/'Tariffs Jan2020'!AJ112&gt;'Tariffs Jan2020'!M112),($C$5*'Tariffs Jan2020'!AL112/'Tariffs Jan2020'!AJ112-'Tariffs Jan2020'!M112)*'Tariffs Jan2020'!Y112/100*'Tariffs Jan2020'!AJ112,0)</f>
        <v>0</v>
      </c>
      <c r="O118" s="59">
        <f>SUM(E118:N118)</f>
        <v>1546.4903181818181</v>
      </c>
      <c r="P118" s="503">
        <f t="shared" si="30"/>
        <v>1701.1393500000001</v>
      </c>
      <c r="Q118" s="59">
        <f>D118+O118</f>
        <v>1856.7403181818181</v>
      </c>
      <c r="R118" s="272">
        <f>Q118*1.1</f>
        <v>2042.41435</v>
      </c>
      <c r="S118" s="40">
        <f>'Tariffs Jan2020'!AN112</f>
        <v>0</v>
      </c>
      <c r="T118" s="40">
        <f>'Tariffs Jan2020'!AO112</f>
        <v>16</v>
      </c>
      <c r="U118" s="40">
        <f>'Tariffs Jan2020'!AP112</f>
        <v>0</v>
      </c>
      <c r="V118" s="40">
        <f>'Tariffs Jan2020'!AQ112</f>
        <v>0</v>
      </c>
      <c r="W118" s="284">
        <f>Q118-(O118*T118/100)</f>
        <v>1609.3018672727271</v>
      </c>
      <c r="X118" s="284">
        <f>W118</f>
        <v>1609.3018672727271</v>
      </c>
      <c r="Y118" s="507">
        <f t="shared" si="52"/>
        <v>1770.2320540000001</v>
      </c>
      <c r="Z118" s="507">
        <f t="shared" si="53"/>
        <v>1770.2320540000001</v>
      </c>
      <c r="AA118" s="274">
        <f>'Tariffs Jan2020'!AZ112</f>
        <v>0</v>
      </c>
      <c r="AB118" s="274" t="str">
        <f>'Tariffs Jan2020'!BA112</f>
        <v>n</v>
      </c>
      <c r="AC118" s="275" t="str">
        <f>'Tariffs Jan2020'!BJ112</f>
        <v>N</v>
      </c>
      <c r="AD118" s="425"/>
      <c r="AE118" s="425"/>
      <c r="AF118" s="427"/>
      <c r="AG118" s="427"/>
      <c r="AH118" s="427"/>
      <c r="AI118" s="427"/>
      <c r="AJ118" s="427"/>
      <c r="AK118" s="427"/>
      <c r="AL118" s="427"/>
      <c r="AM118" s="427"/>
      <c r="AN118" s="427"/>
    </row>
    <row r="119" spans="1:40" ht="14" x14ac:dyDescent="0.15">
      <c r="A119" s="270" t="str">
        <f>'Tariffs Jan2020'!F113</f>
        <v>Dodo Power &amp; Gas</v>
      </c>
      <c r="B119" s="40" t="str">
        <f>'Tariffs Jan2020'!D113</f>
        <v>AusNet Services Central 2</v>
      </c>
      <c r="C119" s="40" t="str">
        <f>'Tariffs Jan2020'!G113</f>
        <v>Market offer</v>
      </c>
      <c r="D119" s="59">
        <f>365*'Tariffs Jan2020'!H113/100</f>
        <v>264.8240909090909</v>
      </c>
      <c r="E119" s="59">
        <f>IF($C$5*'Tariffs Jan2020'!AK113/'Tariffs Jan2020'!AI113&gt;='Tariffs Jan2020'!J113,( 'Tariffs Jan2020'!J113*'Tariffs Jan2020'!O113/100)* 'Tariffs Jan2020'!AI113,($C$5*'Tariffs Jan2020'!AK113/'Tariffs Jan2020'!AI113*'Tariffs Jan2020'!O113/100)* 'Tariffs Jan2020'!AI113)</f>
        <v>240</v>
      </c>
      <c r="F119" s="59">
        <f>IF($C$5*'Tariffs Jan2020'!AK113/'Tariffs Jan2020'!AI113&lt;'Tariffs Jan2020'!J113,0,IF($C$5*'Tariffs Jan2020'!AK113/'Tariffs Jan2020'!AI113&lt;='Tariffs Jan2020'!K113,($C$5*'Tariffs Jan2020'!AK113/'Tariffs Jan2020'!AI113-'Tariffs Jan2020'!J113)*('Tariffs Jan2020'!P113/100)*'Tariffs Jan2020'!AI113,('Tariffs Jan2020'!K113-'Tariffs Jan2020'!J113)*('Tariffs Jan2020'!P113/100)*'Tariffs Jan2020'!AI113))</f>
        <v>175.86804545454538</v>
      </c>
      <c r="G119" s="59">
        <f>IF($C$5*'Tariffs Jan2020'!AK113/'Tariffs Jan2020'!AI113&lt;'Tariffs Jan2020'!K113,0,IF($C$5*'Tariffs Jan2020'!AK113/'Tariffs Jan2020'!AI113&lt;='Tariffs Jan2020'!L113,($C$5*'Tariffs Jan2020'!AK113/'Tariffs Jan2020'!AI113-'Tariffs Jan2020'!K113)*('Tariffs Jan2020'!Q113/100)*'Tariffs Jan2020'!AI113,('Tariffs Jan2020'!L113-'Tariffs Jan2020'!K113)*('Tariffs Jan2020'!Q113/100)*'Tariffs Jan2020'!AI113))</f>
        <v>0</v>
      </c>
      <c r="H119" s="59">
        <f>IF($C$5*'Tariffs Jan2020'!AK113/'Tariffs Jan2020'!AI113&lt;'Tariffs Jan2020'!L113,0,IF($C$5*'Tariffs Jan2020'!AK113/'Tariffs Jan2020'!AI113&lt;='Tariffs Jan2020'!M113,($C$5*'Tariffs Jan2020'!AK113/'Tariffs Jan2020'!AI113-'Tariffs Jan2020'!L113)*('Tariffs Jan2020'!R113/100)*'Tariffs Jan2020'!AI113,('Tariffs Jan2020'!M113-'Tariffs Jan2020'!L113)*('Tariffs Jan2020'!R113/100)*'Tariffs Jan2020'!AI113))</f>
        <v>0</v>
      </c>
      <c r="I119" s="59">
        <f>IF(($C$5*'Tariffs Jan2020'!AK113/'Tariffs Jan2020'!AI113&gt;'Tariffs Jan2020'!M113),($C$5*'Tariffs Jan2020'!AK113/'Tariffs Jan2020'!AI113-'Tariffs Jan2020'!M113)*'Tariffs Jan2020'!S113/100*'Tariffs Jan2020'!AI113,0)</f>
        <v>0</v>
      </c>
      <c r="J119" s="59">
        <f>IF($C$5*'Tariffs Jan2020'!AL113/'Tariffs Jan2020'!AJ113&gt;='Tariffs Jan2020'!J113,('Tariffs Jan2020'!J113*'Tariffs Jan2020'!U113/100)* 'Tariffs Jan2020'!AJ113,($C$5*'Tariffs Jan2020'!AL113/'Tariffs Jan2020'!AJ113*'Tariffs Jan2020'!U113/100)* 'Tariffs Jan2020'!AJ113)</f>
        <v>637.09090909090901</v>
      </c>
      <c r="K119" s="59">
        <f>IF($C$5*'Tariffs Jan2020'!AL113/'Tariffs Jan2020'!AJ113&lt;'Tariffs Jan2020'!J113,0,IF($C$5*'Tariffs Jan2020'!AL113/'Tariffs Jan2020'!AJ113&lt;='Tariffs Jan2020'!K113,($C$5*'Tariffs Jan2020'!AL113/'Tariffs Jan2020'!AJ113-'Tariffs Jan2020'!J113)*('Tariffs Jan2020'!V113/100)*'Tariffs Jan2020'!AJ113,('Tariffs Jan2020'!K113-'Tariffs Jan2020'!J113)*('Tariffs Jan2020'!V113/100)*'Tariffs Jan2020'!AJ113))</f>
        <v>413.90339999999992</v>
      </c>
      <c r="L119" s="59">
        <f>IF($C$5*'Tariffs Jan2020'!AL113/'Tariffs Jan2020'!AJ113&lt;'Tariffs Jan2020'!K113,0,IF($C$5*'Tariffs Jan2020'!AL113/'Tariffs Jan2020'!AJ113&lt;='Tariffs Jan2020'!L113,($C$5*'Tariffs Jan2020'!AL113/'Tariffs Jan2020'!AJ113-'Tariffs Jan2020'!K113)*('Tariffs Jan2020'!W113/100)*'Tariffs Jan2020'!AJ113,('Tariffs Jan2020'!L113-'Tariffs Jan2020'!K113)*('Tariffs Jan2020'!W113/100)*'Tariffs Jan2020'!AJ113))</f>
        <v>0</v>
      </c>
      <c r="M119" s="59">
        <f>IF($C$5*'Tariffs Jan2020'!AL113/'Tariffs Jan2020'!AJ113&lt;'Tariffs Jan2020'!L113,0,IF($C$5*'Tariffs Jan2020'!AL113/'Tariffs Jan2020'!AJ113&lt;='Tariffs Jan2020'!M113,($C$5*'Tariffs Jan2020'!AL113/'Tariffs Jan2020'!AJ113-'Tariffs Jan2020'!L113)*('Tariffs Jan2020'!X113/100)*'Tariffs Jan2020'!AJ113,('Tariffs Jan2020'!M113-'Tariffs Jan2020'!L113)*('Tariffs Jan2020'!X113/100)*'Tariffs Jan2020'!AJ113))</f>
        <v>0</v>
      </c>
      <c r="N119" s="59">
        <f>IF(($C$5*'Tariffs Jan2020'!AL113/'Tariffs Jan2020'!AJ113&gt;'Tariffs Jan2020'!M113),($C$5*'Tariffs Jan2020'!AL113/'Tariffs Jan2020'!AJ113-'Tariffs Jan2020'!M113)*'Tariffs Jan2020'!Y113/100*'Tariffs Jan2020'!AJ113,0)</f>
        <v>0</v>
      </c>
      <c r="O119" s="59">
        <f t="shared" si="44"/>
        <v>1466.8623545454543</v>
      </c>
      <c r="P119" s="503">
        <f t="shared" si="30"/>
        <v>1613.5485899999999</v>
      </c>
      <c r="Q119" s="59">
        <f t="shared" si="45"/>
        <v>1731.6864454545453</v>
      </c>
      <c r="R119" s="272">
        <f t="shared" si="46"/>
        <v>1904.85509</v>
      </c>
      <c r="S119" s="40">
        <f>'Tariffs Jan2020'!AN113</f>
        <v>0</v>
      </c>
      <c r="T119" s="40">
        <f>'Tariffs Jan2020'!AO113</f>
        <v>0</v>
      </c>
      <c r="U119" s="40">
        <f>'Tariffs Jan2020'!AP113</f>
        <v>0</v>
      </c>
      <c r="V119" s="40">
        <f>'Tariffs Jan2020'!AQ113</f>
        <v>20</v>
      </c>
      <c r="W119" s="284">
        <f>Q119</f>
        <v>1731.6864454545453</v>
      </c>
      <c r="X119" s="284">
        <f>W119-(O119*V119/100)</f>
        <v>1438.3139745454544</v>
      </c>
      <c r="Y119" s="507">
        <f t="shared" si="52"/>
        <v>1904.85509</v>
      </c>
      <c r="Z119" s="507">
        <f t="shared" si="53"/>
        <v>1582.145372</v>
      </c>
      <c r="AA119" s="274">
        <f>'Tariffs Jan2020'!AZ113</f>
        <v>0</v>
      </c>
      <c r="AB119" s="274" t="str">
        <f>'Tariffs Jan2020'!BA113</f>
        <v>n</v>
      </c>
      <c r="AC119" s="275" t="str">
        <f>'Tariffs Jan2020'!BJ113</f>
        <v>N</v>
      </c>
      <c r="AD119" s="425"/>
      <c r="AE119" s="425"/>
      <c r="AF119" s="427"/>
      <c r="AG119" s="427"/>
      <c r="AH119" s="427"/>
      <c r="AI119" s="427"/>
      <c r="AJ119" s="427"/>
      <c r="AK119" s="427"/>
      <c r="AL119" s="427"/>
      <c r="AM119" s="427"/>
      <c r="AN119" s="427"/>
    </row>
    <row r="120" spans="1:40" ht="14" x14ac:dyDescent="0.15">
      <c r="A120" s="270" t="str">
        <f>'Tariffs Jan2020'!F114</f>
        <v>EnergyAustralia</v>
      </c>
      <c r="B120" s="40" t="str">
        <f>'Tariffs Jan2020'!D114</f>
        <v>AusNet Services Central 2</v>
      </c>
      <c r="C120" s="40" t="str">
        <f>'Tariffs Jan2020'!G114</f>
        <v>Total Plan</v>
      </c>
      <c r="D120" s="59">
        <f>365*'Tariffs Jan2020'!H114/100</f>
        <v>349.6699999999999</v>
      </c>
      <c r="E120" s="59">
        <f>IF($C$5*'Tariffs Jan2020'!AK114/'Tariffs Jan2020'!AI114&gt;='Tariffs Jan2020'!J114,( 'Tariffs Jan2020'!J114*'Tariffs Jan2020'!O114/100)* 'Tariffs Jan2020'!AI114,($C$5*'Tariffs Jan2020'!AK114/'Tariffs Jan2020'!AI114*'Tariffs Jan2020'!O114/100)* 'Tariffs Jan2020'!AI114)</f>
        <v>584.12339999999995</v>
      </c>
      <c r="F120" s="59">
        <f>IF($C$5*'Tariffs Jan2020'!AK114/'Tariffs Jan2020'!AI114&lt;'Tariffs Jan2020'!J114,0,IF($C$5*'Tariffs Jan2020'!AK114/'Tariffs Jan2020'!AI114&lt;='Tariffs Jan2020'!K114,($C$5*'Tariffs Jan2020'!AK114/'Tariffs Jan2020'!AI114-'Tariffs Jan2020'!J114)*('Tariffs Jan2020'!P114/100)*'Tariffs Jan2020'!AI114,('Tariffs Jan2020'!K114-'Tariffs Jan2020'!J114)*('Tariffs Jan2020'!P114/100)*'Tariffs Jan2020'!AI114))</f>
        <v>0</v>
      </c>
      <c r="G120" s="59">
        <f>IF($C$5*'Tariffs Jan2020'!AK114/'Tariffs Jan2020'!AI114&lt;'Tariffs Jan2020'!K114,0,IF($C$5*'Tariffs Jan2020'!AK114/'Tariffs Jan2020'!AI114&lt;='Tariffs Jan2020'!L114,($C$5*'Tariffs Jan2020'!AK114/'Tariffs Jan2020'!AI114-'Tariffs Jan2020'!K114)*('Tariffs Jan2020'!Q114/100)*'Tariffs Jan2020'!AI114,('Tariffs Jan2020'!L114-'Tariffs Jan2020'!K114)*('Tariffs Jan2020'!Q114/100)*'Tariffs Jan2020'!AI114))</f>
        <v>0</v>
      </c>
      <c r="H120" s="59">
        <f>IF($C$5*'Tariffs Jan2020'!AK114/'Tariffs Jan2020'!AI114&lt;'Tariffs Jan2020'!L114,0,IF($C$5*'Tariffs Jan2020'!AK114/'Tariffs Jan2020'!AI114&lt;='Tariffs Jan2020'!M114,($C$5*'Tariffs Jan2020'!AK114/'Tariffs Jan2020'!AI114-'Tariffs Jan2020'!L114)*('Tariffs Jan2020'!R114/100)*'Tariffs Jan2020'!AI114,('Tariffs Jan2020'!M114-'Tariffs Jan2020'!L114)*('Tariffs Jan2020'!R114/100)*'Tariffs Jan2020'!AI114))</f>
        <v>0</v>
      </c>
      <c r="I120" s="59">
        <f>IF(($C$5*'Tariffs Jan2020'!AK114/'Tariffs Jan2020'!AI114&gt;'Tariffs Jan2020'!M114),($C$5*'Tariffs Jan2020'!AK114/'Tariffs Jan2020'!AI114-'Tariffs Jan2020'!M114)*'Tariffs Jan2020'!S114/100*'Tariffs Jan2020'!AI114,0)</f>
        <v>0</v>
      </c>
      <c r="J120" s="59">
        <f>IF($C$5*'Tariffs Jan2020'!AL114/'Tariffs Jan2020'!AJ114&gt;='Tariffs Jan2020'!J114,('Tariffs Jan2020'!J114*'Tariffs Jan2020'!U114/100)* 'Tariffs Jan2020'!AJ114,($C$5*'Tariffs Jan2020'!AL114/'Tariffs Jan2020'!AJ114*'Tariffs Jan2020'!U114/100)* 'Tariffs Jan2020'!AJ114)</f>
        <v>855.18719999999996</v>
      </c>
      <c r="K120" s="59">
        <f>IF($C$5*'Tariffs Jan2020'!AL114/'Tariffs Jan2020'!AJ114&lt;'Tariffs Jan2020'!J114,0,IF($C$5*'Tariffs Jan2020'!AL114/'Tariffs Jan2020'!AJ114&lt;='Tariffs Jan2020'!K114,($C$5*'Tariffs Jan2020'!AL114/'Tariffs Jan2020'!AJ114-'Tariffs Jan2020'!J114)*('Tariffs Jan2020'!V114/100)*'Tariffs Jan2020'!AJ114,('Tariffs Jan2020'!K114-'Tariffs Jan2020'!J114)*('Tariffs Jan2020'!V114/100)*'Tariffs Jan2020'!AJ114))</f>
        <v>0</v>
      </c>
      <c r="L120" s="59">
        <f>IF($C$5*'Tariffs Jan2020'!AL114/'Tariffs Jan2020'!AJ114&lt;'Tariffs Jan2020'!K114,0,IF($C$5*'Tariffs Jan2020'!AL114/'Tariffs Jan2020'!AJ114&lt;='Tariffs Jan2020'!L114,($C$5*'Tariffs Jan2020'!AL114/'Tariffs Jan2020'!AJ114-'Tariffs Jan2020'!K114)*('Tariffs Jan2020'!W114/100)*'Tariffs Jan2020'!AJ114,('Tariffs Jan2020'!L114-'Tariffs Jan2020'!K114)*('Tariffs Jan2020'!W114/100)*'Tariffs Jan2020'!AJ114))</f>
        <v>0</v>
      </c>
      <c r="M120" s="59">
        <f>IF($C$5*'Tariffs Jan2020'!AL114/'Tariffs Jan2020'!AJ114&lt;'Tariffs Jan2020'!L114,0,IF($C$5*'Tariffs Jan2020'!AL114/'Tariffs Jan2020'!AJ114&lt;='Tariffs Jan2020'!M114,($C$5*'Tariffs Jan2020'!AL114/'Tariffs Jan2020'!AJ114-'Tariffs Jan2020'!L114)*('Tariffs Jan2020'!X114/100)*'Tariffs Jan2020'!AJ114,('Tariffs Jan2020'!M114-'Tariffs Jan2020'!L114)*('Tariffs Jan2020'!X114/100)*'Tariffs Jan2020'!AJ114))</f>
        <v>0</v>
      </c>
      <c r="N120" s="59">
        <f>IF(($C$5*'Tariffs Jan2020'!AL114/'Tariffs Jan2020'!AJ114&gt;'Tariffs Jan2020'!M114),($C$5*'Tariffs Jan2020'!AL114/'Tariffs Jan2020'!AJ114-'Tariffs Jan2020'!M114)*'Tariffs Jan2020'!Y114/100*'Tariffs Jan2020'!AJ114,0)</f>
        <v>0</v>
      </c>
      <c r="O120" s="59">
        <f t="shared" si="44"/>
        <v>1439.3105999999998</v>
      </c>
      <c r="P120" s="503">
        <f t="shared" si="30"/>
        <v>1583.2416599999999</v>
      </c>
      <c r="Q120" s="59">
        <f t="shared" si="45"/>
        <v>1788.9805999999996</v>
      </c>
      <c r="R120" s="272">
        <f t="shared" si="46"/>
        <v>1967.8786599999999</v>
      </c>
      <c r="S120" s="40">
        <f>'Tariffs Jan2020'!AN114</f>
        <v>23</v>
      </c>
      <c r="T120" s="40">
        <f>'Tariffs Jan2020'!AO114</f>
        <v>0</v>
      </c>
      <c r="U120" s="40">
        <f>'Tariffs Jan2020'!AP114</f>
        <v>0</v>
      </c>
      <c r="V120" s="40">
        <f>'Tariffs Jan2020'!AQ114</f>
        <v>0</v>
      </c>
      <c r="W120" s="284">
        <f>Q120-(Q120*S120/100)</f>
        <v>1377.5150619999997</v>
      </c>
      <c r="X120" s="284">
        <f>W120</f>
        <v>1377.5150619999997</v>
      </c>
      <c r="Y120" s="507">
        <f t="shared" si="52"/>
        <v>1515.2665681999997</v>
      </c>
      <c r="Z120" s="507">
        <f t="shared" si="53"/>
        <v>1515.2665681999997</v>
      </c>
      <c r="AA120" s="274">
        <f>'Tariffs Jan2020'!AZ114</f>
        <v>12</v>
      </c>
      <c r="AB120" s="274" t="str">
        <f>'Tariffs Jan2020'!BA114</f>
        <v>n</v>
      </c>
      <c r="AC120" s="275" t="str">
        <f>'Tariffs Jan2020'!BJ114</f>
        <v>N</v>
      </c>
      <c r="AD120" s="425"/>
      <c r="AE120" s="425"/>
      <c r="AF120" s="427"/>
      <c r="AG120" s="427"/>
      <c r="AH120" s="427"/>
      <c r="AI120" s="427"/>
      <c r="AJ120" s="427"/>
      <c r="AK120" s="427"/>
      <c r="AL120" s="427"/>
      <c r="AM120" s="427"/>
      <c r="AN120" s="427"/>
    </row>
    <row r="121" spans="1:40" ht="14" x14ac:dyDescent="0.15">
      <c r="A121" s="270" t="str">
        <f>'Tariffs Jan2020'!F115</f>
        <v>Lumo Energy</v>
      </c>
      <c r="B121" s="40" t="str">
        <f>'Tariffs Jan2020'!D115</f>
        <v>AusNet Services Central 2</v>
      </c>
      <c r="C121" s="40" t="str">
        <f>'Tariffs Jan2020'!G115</f>
        <v>Value</v>
      </c>
      <c r="D121" s="59">
        <f>365*'Tariffs Jan2020'!H115/100</f>
        <v>255.5</v>
      </c>
      <c r="E121" s="59">
        <f>IF($C$5*'Tariffs Jan2020'!AK115/'Tariffs Jan2020'!AI115&gt;='Tariffs Jan2020'!J115,( 'Tariffs Jan2020'!J115*'Tariffs Jan2020'!O115/100)* 'Tariffs Jan2020'!AI115,($C$5*'Tariffs Jan2020'!AK115/'Tariffs Jan2020'!AI115*'Tariffs Jan2020'!O115/100)* 'Tariffs Jan2020'!AI115)</f>
        <v>264.00000000000006</v>
      </c>
      <c r="F121" s="59">
        <f>IF($C$5*'Tariffs Jan2020'!AK115/'Tariffs Jan2020'!AI115&lt;'Tariffs Jan2020'!J115,0,IF($C$5*'Tariffs Jan2020'!AK115/'Tariffs Jan2020'!AI115&lt;='Tariffs Jan2020'!K115,($C$5*'Tariffs Jan2020'!AK115/'Tariffs Jan2020'!AI115-'Tariffs Jan2020'!J115)*('Tariffs Jan2020'!P115/100)*'Tariffs Jan2020'!AI115,('Tariffs Jan2020'!K115-'Tariffs Jan2020'!J115)*('Tariffs Jan2020'!P115/100)*'Tariffs Jan2020'!AI115))</f>
        <v>179.95799999999997</v>
      </c>
      <c r="G121" s="59">
        <f>IF($C$5*'Tariffs Jan2020'!AK115/'Tariffs Jan2020'!AI115&lt;'Tariffs Jan2020'!K115,0,IF($C$5*'Tariffs Jan2020'!AK115/'Tariffs Jan2020'!AI115&lt;='Tariffs Jan2020'!L115,($C$5*'Tariffs Jan2020'!AK115/'Tariffs Jan2020'!AI115-'Tariffs Jan2020'!K115)*('Tariffs Jan2020'!Q115/100)*'Tariffs Jan2020'!AI115,('Tariffs Jan2020'!L115-'Tariffs Jan2020'!K115)*('Tariffs Jan2020'!Q115/100)*'Tariffs Jan2020'!AI115))</f>
        <v>0</v>
      </c>
      <c r="H121" s="59">
        <f>IF($C$5*'Tariffs Jan2020'!AK115/'Tariffs Jan2020'!AI115&lt;'Tariffs Jan2020'!L115,0,IF($C$5*'Tariffs Jan2020'!AK115/'Tariffs Jan2020'!AI115&lt;='Tariffs Jan2020'!M115,($C$5*'Tariffs Jan2020'!AK115/'Tariffs Jan2020'!AI115-'Tariffs Jan2020'!L115)*('Tariffs Jan2020'!R115/100)*'Tariffs Jan2020'!AI115,('Tariffs Jan2020'!M115-'Tariffs Jan2020'!L115)*('Tariffs Jan2020'!R115/100)*'Tariffs Jan2020'!AI115))</f>
        <v>0</v>
      </c>
      <c r="I121" s="59">
        <f>IF(($C$5*'Tariffs Jan2020'!AK115/'Tariffs Jan2020'!AI115&gt;'Tariffs Jan2020'!M115),($C$5*'Tariffs Jan2020'!AK115/'Tariffs Jan2020'!AI115-'Tariffs Jan2020'!M115)*'Tariffs Jan2020'!S115/100*'Tariffs Jan2020'!AI115,0)</f>
        <v>0</v>
      </c>
      <c r="J121" s="59">
        <f>IF($C$5*'Tariffs Jan2020'!AL115/'Tariffs Jan2020'!AJ115&gt;='Tariffs Jan2020'!J115,('Tariffs Jan2020'!J115*'Tariffs Jan2020'!U115/100)* 'Tariffs Jan2020'!AJ115,($C$5*'Tariffs Jan2020'!AL115/'Tariffs Jan2020'!AJ115*'Tariffs Jan2020'!U115/100)* 'Tariffs Jan2020'!AJ115)</f>
        <v>408</v>
      </c>
      <c r="K121" s="59">
        <f>IF($C$5*'Tariffs Jan2020'!AL115/'Tariffs Jan2020'!AJ115&lt;'Tariffs Jan2020'!J115,0,IF($C$5*'Tariffs Jan2020'!AL115/'Tariffs Jan2020'!AJ115&lt;='Tariffs Jan2020'!K115,($C$5*'Tariffs Jan2020'!AL115/'Tariffs Jan2020'!AJ115-'Tariffs Jan2020'!J115)*('Tariffs Jan2020'!V115/100)*'Tariffs Jan2020'!AJ115,('Tariffs Jan2020'!K115-'Tariffs Jan2020'!J115)*('Tariffs Jan2020'!V115/100)*'Tariffs Jan2020'!AJ115))</f>
        <v>293.3315399999999</v>
      </c>
      <c r="L121" s="59">
        <f>IF($C$5*'Tariffs Jan2020'!AL115/'Tariffs Jan2020'!AJ115&lt;'Tariffs Jan2020'!K115,0,IF($C$5*'Tariffs Jan2020'!AL115/'Tariffs Jan2020'!AJ115&lt;='Tariffs Jan2020'!L115,($C$5*'Tariffs Jan2020'!AL115/'Tariffs Jan2020'!AJ115-'Tariffs Jan2020'!K115)*('Tariffs Jan2020'!W115/100)*'Tariffs Jan2020'!AJ115,('Tariffs Jan2020'!L115-'Tariffs Jan2020'!K115)*('Tariffs Jan2020'!W115/100)*'Tariffs Jan2020'!AJ115))</f>
        <v>0</v>
      </c>
      <c r="M121" s="59">
        <f>IF($C$5*'Tariffs Jan2020'!AL115/'Tariffs Jan2020'!AJ115&lt;'Tariffs Jan2020'!L115,0,IF($C$5*'Tariffs Jan2020'!AL115/'Tariffs Jan2020'!AJ115&lt;='Tariffs Jan2020'!M115,($C$5*'Tariffs Jan2020'!AL115/'Tariffs Jan2020'!AJ115-'Tariffs Jan2020'!L115)*('Tariffs Jan2020'!X115/100)*'Tariffs Jan2020'!AJ115,('Tariffs Jan2020'!M115-'Tariffs Jan2020'!L115)*('Tariffs Jan2020'!X115/100)*'Tariffs Jan2020'!AJ115))</f>
        <v>0</v>
      </c>
      <c r="N121" s="59">
        <f>IF(($C$5*'Tariffs Jan2020'!AL115/'Tariffs Jan2020'!AJ115&gt;'Tariffs Jan2020'!M115),($C$5*'Tariffs Jan2020'!AL115/'Tariffs Jan2020'!AJ115-'Tariffs Jan2020'!M115)*'Tariffs Jan2020'!Y115/100*'Tariffs Jan2020'!AJ115,0)</f>
        <v>0</v>
      </c>
      <c r="O121" s="59">
        <f t="shared" si="44"/>
        <v>1145.28954</v>
      </c>
      <c r="P121" s="503">
        <f t="shared" si="30"/>
        <v>1259.8184940000001</v>
      </c>
      <c r="Q121" s="59">
        <f t="shared" si="45"/>
        <v>1400.78954</v>
      </c>
      <c r="R121" s="272">
        <f t="shared" si="46"/>
        <v>1540.8684940000001</v>
      </c>
      <c r="S121" s="40">
        <f>'Tariffs Jan2020'!AN115</f>
        <v>0</v>
      </c>
      <c r="T121" s="40">
        <f>'Tariffs Jan2020'!AO115</f>
        <v>0</v>
      </c>
      <c r="U121" s="40">
        <f>'Tariffs Jan2020'!AP115</f>
        <v>3</v>
      </c>
      <c r="V121" s="40">
        <f>'Tariffs Jan2020'!AQ115</f>
        <v>0</v>
      </c>
      <c r="W121" s="284">
        <f t="shared" ref="W121:W122" si="55">Q121</f>
        <v>1400.78954</v>
      </c>
      <c r="X121" s="284">
        <f>W121-(Q121*U121/100)</f>
        <v>1358.7658538000001</v>
      </c>
      <c r="Y121" s="507">
        <f t="shared" si="52"/>
        <v>1540.8684940000001</v>
      </c>
      <c r="Z121" s="507">
        <f t="shared" si="53"/>
        <v>1494.6424391800001</v>
      </c>
      <c r="AA121" s="274">
        <f>'Tariffs Jan2020'!AZ115</f>
        <v>0</v>
      </c>
      <c r="AB121" s="274" t="str">
        <f>'Tariffs Jan2020'!BA115</f>
        <v>n</v>
      </c>
      <c r="AC121" s="275" t="str">
        <f>'Tariffs Jan2020'!BJ115</f>
        <v>N</v>
      </c>
      <c r="AD121" s="425"/>
      <c r="AE121" s="425"/>
      <c r="AF121" s="427"/>
      <c r="AG121" s="427"/>
      <c r="AH121" s="427"/>
      <c r="AI121" s="427"/>
      <c r="AJ121" s="427"/>
      <c r="AK121" s="427"/>
      <c r="AL121" s="427"/>
      <c r="AM121" s="427"/>
      <c r="AN121" s="427"/>
    </row>
    <row r="122" spans="1:40" ht="14" x14ac:dyDescent="0.15">
      <c r="A122" s="270" t="str">
        <f>'Tariffs Jan2020'!F116</f>
        <v>Momentum Energy</v>
      </c>
      <c r="B122" s="40" t="str">
        <f>'Tariffs Jan2020'!D116</f>
        <v>AusNet Services Central 2</v>
      </c>
      <c r="C122" s="40" t="str">
        <f>'Tariffs Jan2020'!G116</f>
        <v>Market offer</v>
      </c>
      <c r="D122" s="59">
        <f>365*'Tariffs Jan2020'!H116/100</f>
        <v>362.27909090909088</v>
      </c>
      <c r="E122" s="59">
        <f>IF($C$5*'Tariffs Jan2020'!AK116/'Tariffs Jan2020'!AI116&gt;='Tariffs Jan2020'!J116,( 'Tariffs Jan2020'!J116*'Tariffs Jan2020'!O116/100)* 'Tariffs Jan2020'!AI116,($C$5*'Tariffs Jan2020'!AK116/'Tariffs Jan2020'!AI116*'Tariffs Jan2020'!O116/100)* 'Tariffs Jan2020'!AI116)</f>
        <v>252</v>
      </c>
      <c r="F122" s="59">
        <f>IF($C$5*'Tariffs Jan2020'!AK116/'Tariffs Jan2020'!AI116&lt;'Tariffs Jan2020'!J116,0,IF($C$5*'Tariffs Jan2020'!AK116/'Tariffs Jan2020'!AI116&lt;='Tariffs Jan2020'!K116,($C$5*'Tariffs Jan2020'!AK116/'Tariffs Jan2020'!AI116-'Tariffs Jan2020'!J116)*('Tariffs Jan2020'!P116/100)*'Tariffs Jan2020'!AI116,('Tariffs Jan2020'!K116-'Tariffs Jan2020'!J116)*('Tariffs Jan2020'!P116/100)*'Tariffs Jan2020'!AI116))</f>
        <v>165.2341636363636</v>
      </c>
      <c r="G122" s="59">
        <f>IF($C$5*'Tariffs Jan2020'!AK116/'Tariffs Jan2020'!AI116&lt;'Tariffs Jan2020'!K116,0,IF($C$5*'Tariffs Jan2020'!AK116/'Tariffs Jan2020'!AI116&lt;='Tariffs Jan2020'!L116,($C$5*'Tariffs Jan2020'!AK116/'Tariffs Jan2020'!AI116-'Tariffs Jan2020'!K116)*('Tariffs Jan2020'!Q116/100)*'Tariffs Jan2020'!AI116,('Tariffs Jan2020'!L116-'Tariffs Jan2020'!K116)*('Tariffs Jan2020'!Q116/100)*'Tariffs Jan2020'!AI116))</f>
        <v>0</v>
      </c>
      <c r="H122" s="59">
        <f>IF($C$5*'Tariffs Jan2020'!AK116/'Tariffs Jan2020'!AI116&lt;'Tariffs Jan2020'!L116,0,IF($C$5*'Tariffs Jan2020'!AK116/'Tariffs Jan2020'!AI116&lt;='Tariffs Jan2020'!M116,($C$5*'Tariffs Jan2020'!AK116/'Tariffs Jan2020'!AI116-'Tariffs Jan2020'!L116)*('Tariffs Jan2020'!R116/100)*'Tariffs Jan2020'!AI116,('Tariffs Jan2020'!M116-'Tariffs Jan2020'!L116)*('Tariffs Jan2020'!R116/100)*'Tariffs Jan2020'!AI116))</f>
        <v>0</v>
      </c>
      <c r="I122" s="59">
        <f>IF(($C$5*'Tariffs Jan2020'!AK116/'Tariffs Jan2020'!AI116&gt;'Tariffs Jan2020'!M116),($C$5*'Tariffs Jan2020'!AK116/'Tariffs Jan2020'!AI116-'Tariffs Jan2020'!M116)*'Tariffs Jan2020'!S116/100*'Tariffs Jan2020'!AI116,0)</f>
        <v>0</v>
      </c>
      <c r="J122" s="59">
        <f>IF($C$5*'Tariffs Jan2020'!AL116/'Tariffs Jan2020'!AJ116&gt;='Tariffs Jan2020'!J116,('Tariffs Jan2020'!J116*'Tariffs Jan2020'!U116/100)* 'Tariffs Jan2020'!AJ116,($C$5*'Tariffs Jan2020'!AL116/'Tariffs Jan2020'!AJ116*'Tariffs Jan2020'!U116/100)* 'Tariffs Jan2020'!AJ116)</f>
        <v>381.81818181818176</v>
      </c>
      <c r="K122" s="59">
        <f>IF($C$5*'Tariffs Jan2020'!AL116/'Tariffs Jan2020'!AJ116&lt;'Tariffs Jan2020'!J116,0,IF($C$5*'Tariffs Jan2020'!AL116/'Tariffs Jan2020'!AJ116&lt;='Tariffs Jan2020'!K116,($C$5*'Tariffs Jan2020'!AL116/'Tariffs Jan2020'!AJ116-'Tariffs Jan2020'!J116)*('Tariffs Jan2020'!V116/100)*'Tariffs Jan2020'!AJ116,('Tariffs Jan2020'!K116-'Tariffs Jan2020'!J116)*('Tariffs Jan2020'!V116/100)*'Tariffs Jan2020'!AJ116))</f>
        <v>281.38887272727266</v>
      </c>
      <c r="L122" s="59">
        <f>IF($C$5*'Tariffs Jan2020'!AL116/'Tariffs Jan2020'!AJ116&lt;'Tariffs Jan2020'!K116,0,IF($C$5*'Tariffs Jan2020'!AL116/'Tariffs Jan2020'!AJ116&lt;='Tariffs Jan2020'!L116,($C$5*'Tariffs Jan2020'!AL116/'Tariffs Jan2020'!AJ116-'Tariffs Jan2020'!K116)*('Tariffs Jan2020'!W116/100)*'Tariffs Jan2020'!AJ116,('Tariffs Jan2020'!L116-'Tariffs Jan2020'!K116)*('Tariffs Jan2020'!W116/100)*'Tariffs Jan2020'!AJ116))</f>
        <v>0</v>
      </c>
      <c r="M122" s="59">
        <f>IF($C$5*'Tariffs Jan2020'!AL116/'Tariffs Jan2020'!AJ116&lt;'Tariffs Jan2020'!L116,0,IF($C$5*'Tariffs Jan2020'!AL116/'Tariffs Jan2020'!AJ116&lt;='Tariffs Jan2020'!M116,($C$5*'Tariffs Jan2020'!AL116/'Tariffs Jan2020'!AJ116-'Tariffs Jan2020'!L116)*('Tariffs Jan2020'!X116/100)*'Tariffs Jan2020'!AJ116,('Tariffs Jan2020'!M116-'Tariffs Jan2020'!L116)*('Tariffs Jan2020'!X116/100)*'Tariffs Jan2020'!AJ116))</f>
        <v>0</v>
      </c>
      <c r="N122" s="59">
        <f>IF(($C$5*'Tariffs Jan2020'!AL116/'Tariffs Jan2020'!AJ116&gt;'Tariffs Jan2020'!M116),($C$5*'Tariffs Jan2020'!AL116/'Tariffs Jan2020'!AJ116-'Tariffs Jan2020'!M116)*'Tariffs Jan2020'!Y116/100*'Tariffs Jan2020'!AJ116,0)</f>
        <v>0</v>
      </c>
      <c r="O122" s="59">
        <f t="shared" si="44"/>
        <v>1080.4412181818179</v>
      </c>
      <c r="P122" s="503">
        <f t="shared" si="30"/>
        <v>1188.4853399999997</v>
      </c>
      <c r="Q122" s="59">
        <f t="shared" si="45"/>
        <v>1442.7203090909088</v>
      </c>
      <c r="R122" s="272">
        <f t="shared" si="46"/>
        <v>1586.9923399999998</v>
      </c>
      <c r="S122" s="40">
        <f>'Tariffs Jan2020'!AN116</f>
        <v>0</v>
      </c>
      <c r="T122" s="40">
        <f>'Tariffs Jan2020'!AO116</f>
        <v>0</v>
      </c>
      <c r="U122" s="40">
        <f>'Tariffs Jan2020'!AP116</f>
        <v>0</v>
      </c>
      <c r="V122" s="40">
        <f>'Tariffs Jan2020'!AQ116</f>
        <v>0</v>
      </c>
      <c r="W122" s="284">
        <f t="shared" si="55"/>
        <v>1442.7203090909088</v>
      </c>
      <c r="X122" s="284">
        <f>W122</f>
        <v>1442.7203090909088</v>
      </c>
      <c r="Y122" s="507">
        <f t="shared" si="52"/>
        <v>1586.9923399999998</v>
      </c>
      <c r="Z122" s="507">
        <f t="shared" si="53"/>
        <v>1586.9923399999998</v>
      </c>
      <c r="AA122" s="274">
        <f>'Tariffs Jan2020'!AZ116</f>
        <v>0</v>
      </c>
      <c r="AB122" s="274" t="str">
        <f>'Tariffs Jan2020'!BA116</f>
        <v>n</v>
      </c>
      <c r="AC122" s="275" t="str">
        <f>'Tariffs Jan2020'!BJ116</f>
        <v>Y</v>
      </c>
      <c r="AD122" s="425"/>
      <c r="AE122" s="425"/>
      <c r="AF122" s="427"/>
      <c r="AG122" s="427"/>
      <c r="AH122" s="427"/>
      <c r="AI122" s="427"/>
      <c r="AJ122" s="427"/>
      <c r="AK122" s="427"/>
      <c r="AL122" s="427"/>
      <c r="AM122" s="427"/>
      <c r="AN122" s="427"/>
    </row>
    <row r="123" spans="1:40" ht="14" x14ac:dyDescent="0.15">
      <c r="A123" s="270" t="str">
        <f>'Tariffs Jan2020'!F117</f>
        <v>Origin Energy</v>
      </c>
      <c r="B123" s="40" t="str">
        <f>'Tariffs Jan2020'!D117</f>
        <v>AusNet Services Central 2</v>
      </c>
      <c r="C123" s="40" t="str">
        <f>'Tariffs Jan2020'!G117</f>
        <v>Flexi</v>
      </c>
      <c r="D123" s="59">
        <f>365*'Tariffs Jan2020'!H117/100</f>
        <v>284.7</v>
      </c>
      <c r="E123" s="59">
        <f>IF($C$5*'Tariffs Jan2020'!AK117/'Tariffs Jan2020'!AI117&gt;='Tariffs Jan2020'!J117,( 'Tariffs Jan2020'!J117*'Tariffs Jan2020'!O117/100)* 'Tariffs Jan2020'!AI117,($C$5*'Tariffs Jan2020'!AK117/'Tariffs Jan2020'!AI117*'Tariffs Jan2020'!O117/100)* 'Tariffs Jan2020'!AI117)</f>
        <v>168</v>
      </c>
      <c r="F123" s="59">
        <f>IF($C$5*'Tariffs Jan2020'!AK117/'Tariffs Jan2020'!AI117&lt;'Tariffs Jan2020'!J117,0,IF($C$5*'Tariffs Jan2020'!AK117/'Tariffs Jan2020'!AI117&lt;='Tariffs Jan2020'!K117,($C$5*'Tariffs Jan2020'!AK117/'Tariffs Jan2020'!AI117-'Tariffs Jan2020'!J117)*('Tariffs Jan2020'!P117/100)*'Tariffs Jan2020'!AI117,('Tariffs Jan2020'!K117-'Tariffs Jan2020'!J117)*('Tariffs Jan2020'!P117/100)*'Tariffs Jan2020'!AI117))</f>
        <v>0</v>
      </c>
      <c r="G123" s="59">
        <f>IF($C$5*'Tariffs Jan2020'!AK117/'Tariffs Jan2020'!AI117&lt;'Tariffs Jan2020'!K117,0,IF($C$5*'Tariffs Jan2020'!AK117/'Tariffs Jan2020'!AI117&lt;='Tariffs Jan2020'!L117,($C$5*'Tariffs Jan2020'!AK117/'Tariffs Jan2020'!AI117-'Tariffs Jan2020'!K117)*('Tariffs Jan2020'!Q117/100)*'Tariffs Jan2020'!AI117,('Tariffs Jan2020'!L117-'Tariffs Jan2020'!K117)*('Tariffs Jan2020'!Q117/100)*'Tariffs Jan2020'!AI117))</f>
        <v>0</v>
      </c>
      <c r="H123" s="59">
        <f>IF($C$5*'Tariffs Jan2020'!AK117/'Tariffs Jan2020'!AI117&lt;'Tariffs Jan2020'!L117,0,IF($C$5*'Tariffs Jan2020'!AK117/'Tariffs Jan2020'!AI117&lt;='Tariffs Jan2020'!M117,($C$5*'Tariffs Jan2020'!AK117/'Tariffs Jan2020'!AI117-'Tariffs Jan2020'!L117)*('Tariffs Jan2020'!R117/100)*'Tariffs Jan2020'!AI117,('Tariffs Jan2020'!M117-'Tariffs Jan2020'!L117)*('Tariffs Jan2020'!R117/100)*'Tariffs Jan2020'!AI117))</f>
        <v>0</v>
      </c>
      <c r="I123" s="59">
        <f>IF(($C$5*'Tariffs Jan2020'!AK117/'Tariffs Jan2020'!AI117&gt;'Tariffs Jan2020'!M117),($C$5*'Tariffs Jan2020'!AK117/'Tariffs Jan2020'!AI117-'Tariffs Jan2020'!M117)*'Tariffs Jan2020'!S117/100*'Tariffs Jan2020'!AI117,0)</f>
        <v>329.9538</v>
      </c>
      <c r="J123" s="59">
        <f>IF($C$5*'Tariffs Jan2020'!AL117/'Tariffs Jan2020'!AJ117&gt;='Tariffs Jan2020'!J117,('Tariffs Jan2020'!J117*'Tariffs Jan2020'!U117/100)* 'Tariffs Jan2020'!AJ117,($C$5*'Tariffs Jan2020'!AL117/'Tariffs Jan2020'!AJ117*'Tariffs Jan2020'!U117/100)* 'Tariffs Jan2020'!AJ117)</f>
        <v>240</v>
      </c>
      <c r="K123" s="59">
        <f>IF($C$5*'Tariffs Jan2020'!AL117/'Tariffs Jan2020'!AJ117&lt;'Tariffs Jan2020'!J117,0,IF($C$5*'Tariffs Jan2020'!AL117/'Tariffs Jan2020'!AJ117&lt;='Tariffs Jan2020'!K117,($C$5*'Tariffs Jan2020'!AL117/'Tariffs Jan2020'!AJ117-'Tariffs Jan2020'!J117)*('Tariffs Jan2020'!V117/100)*'Tariffs Jan2020'!AJ117,('Tariffs Jan2020'!K117-'Tariffs Jan2020'!J117)*('Tariffs Jan2020'!V117/100)*'Tariffs Jan2020'!AJ117))</f>
        <v>0</v>
      </c>
      <c r="L123" s="59">
        <f>IF($C$5*'Tariffs Jan2020'!AL117/'Tariffs Jan2020'!AJ117&lt;'Tariffs Jan2020'!K117,0,IF($C$5*'Tariffs Jan2020'!AL117/'Tariffs Jan2020'!AJ117&lt;='Tariffs Jan2020'!L117,($C$5*'Tariffs Jan2020'!AL117/'Tariffs Jan2020'!AJ117-'Tariffs Jan2020'!K117)*('Tariffs Jan2020'!W117/100)*'Tariffs Jan2020'!AJ117,('Tariffs Jan2020'!L117-'Tariffs Jan2020'!K117)*('Tariffs Jan2020'!W117/100)*'Tariffs Jan2020'!AJ117))</f>
        <v>0</v>
      </c>
      <c r="M123" s="59">
        <f>IF($C$5*'Tariffs Jan2020'!AL117/'Tariffs Jan2020'!AJ117&lt;'Tariffs Jan2020'!L117,0,IF($C$5*'Tariffs Jan2020'!AL117/'Tariffs Jan2020'!AJ117&lt;='Tariffs Jan2020'!M117,($C$5*'Tariffs Jan2020'!AL117/'Tariffs Jan2020'!AJ117-'Tariffs Jan2020'!L117)*('Tariffs Jan2020'!X117/100)*'Tariffs Jan2020'!AJ117,('Tariffs Jan2020'!M117-'Tariffs Jan2020'!L117)*('Tariffs Jan2020'!X117/100)*'Tariffs Jan2020'!AJ117))</f>
        <v>0</v>
      </c>
      <c r="N123" s="59">
        <f>IF(($C$5*'Tariffs Jan2020'!AL117/'Tariffs Jan2020'!AJ117&gt;'Tariffs Jan2020'!M117),($C$5*'Tariffs Jan2020'!AL117/'Tariffs Jan2020'!AJ117-'Tariffs Jan2020'!M117)*'Tariffs Jan2020'!Y117/100*'Tariffs Jan2020'!AJ117,0)</f>
        <v>479.93279999999999</v>
      </c>
      <c r="O123" s="59">
        <f t="shared" si="44"/>
        <v>1217.8866</v>
      </c>
      <c r="P123" s="503">
        <f t="shared" si="30"/>
        <v>1339.6752600000002</v>
      </c>
      <c r="Q123" s="59">
        <f t="shared" si="45"/>
        <v>1502.5866000000001</v>
      </c>
      <c r="R123" s="272">
        <f t="shared" si="46"/>
        <v>1652.8452600000003</v>
      </c>
      <c r="S123" s="40">
        <f>'Tariffs Jan2020'!AN117</f>
        <v>10</v>
      </c>
      <c r="T123" s="40">
        <f>'Tariffs Jan2020'!AO117</f>
        <v>0</v>
      </c>
      <c r="U123" s="40">
        <f>'Tariffs Jan2020'!AP117</f>
        <v>0</v>
      </c>
      <c r="V123" s="40">
        <f>'Tariffs Jan2020'!AQ117</f>
        <v>0</v>
      </c>
      <c r="W123" s="284">
        <f>R123-(R123*S123/100)</f>
        <v>1487.5607340000001</v>
      </c>
      <c r="X123" s="284">
        <f>W123</f>
        <v>1487.5607340000001</v>
      </c>
      <c r="Y123" s="507">
        <f>W123</f>
        <v>1487.5607340000001</v>
      </c>
      <c r="Z123" s="507">
        <f>X123</f>
        <v>1487.5607340000001</v>
      </c>
      <c r="AA123" s="274">
        <f>'Tariffs Jan2020'!AZ117</f>
        <v>0</v>
      </c>
      <c r="AB123" s="274" t="str">
        <f>'Tariffs Jan2020'!BA117</f>
        <v>n</v>
      </c>
      <c r="AC123" s="275" t="str">
        <f>'Tariffs Jan2020'!BJ117</f>
        <v>N</v>
      </c>
      <c r="AD123" s="425"/>
      <c r="AE123" s="425"/>
      <c r="AF123" s="427"/>
      <c r="AG123" s="427"/>
      <c r="AH123" s="427"/>
      <c r="AI123" s="427"/>
      <c r="AJ123" s="427"/>
      <c r="AK123" s="427"/>
      <c r="AL123" s="427"/>
      <c r="AM123" s="427"/>
      <c r="AN123" s="427"/>
    </row>
    <row r="124" spans="1:40" ht="14" x14ac:dyDescent="0.15">
      <c r="A124" s="270" t="str">
        <f>'Tariffs Jan2020'!F118</f>
        <v>Red Energy</v>
      </c>
      <c r="B124" s="40" t="str">
        <f>'Tariffs Jan2020'!D118</f>
        <v>AusNet Services Central 2</v>
      </c>
      <c r="C124" s="40" t="str">
        <f>'Tariffs Jan2020'!G118</f>
        <v>Living Energy Saver</v>
      </c>
      <c r="D124" s="59">
        <f>365*'Tariffs Jan2020'!H118/100</f>
        <v>293.46000000000004</v>
      </c>
      <c r="E124" s="59">
        <f>IF($C$5*'Tariffs Jan2020'!AK118/'Tariffs Jan2020'!AI118&gt;='Tariffs Jan2020'!J118,( 'Tariffs Jan2020'!J118*'Tariffs Jan2020'!O118/100)* 'Tariffs Jan2020'!AI118,($C$5*'Tariffs Jan2020'!AK118/'Tariffs Jan2020'!AI118*'Tariffs Jan2020'!O118/100)* 'Tariffs Jan2020'!AI118)</f>
        <v>288</v>
      </c>
      <c r="F124" s="59">
        <f>IF($C$5*'Tariffs Jan2020'!AK118/'Tariffs Jan2020'!AI118&lt;'Tariffs Jan2020'!J118,0,IF($C$5*'Tariffs Jan2020'!AK118/'Tariffs Jan2020'!AI118&lt;='Tariffs Jan2020'!K118,($C$5*'Tariffs Jan2020'!AK118/'Tariffs Jan2020'!AI118-'Tariffs Jan2020'!J118)*('Tariffs Jan2020'!P118/100)*'Tariffs Jan2020'!AI118,('Tariffs Jan2020'!K118-'Tariffs Jan2020'!J118)*('Tariffs Jan2020'!P118/100)*'Tariffs Jan2020'!AI118))</f>
        <v>179.95799999999997</v>
      </c>
      <c r="G124" s="59">
        <f>IF($C$5*'Tariffs Jan2020'!AK118/'Tariffs Jan2020'!AI118&lt;'Tariffs Jan2020'!K118,0,IF($C$5*'Tariffs Jan2020'!AK118/'Tariffs Jan2020'!AI118&lt;='Tariffs Jan2020'!L118,($C$5*'Tariffs Jan2020'!AK118/'Tariffs Jan2020'!AI118-'Tariffs Jan2020'!K118)*('Tariffs Jan2020'!Q118/100)*'Tariffs Jan2020'!AI118,('Tariffs Jan2020'!L118-'Tariffs Jan2020'!K118)*('Tariffs Jan2020'!Q118/100)*'Tariffs Jan2020'!AI118))</f>
        <v>0</v>
      </c>
      <c r="H124" s="59">
        <f>IF($C$5*'Tariffs Jan2020'!AK118/'Tariffs Jan2020'!AI118&lt;'Tariffs Jan2020'!L118,0,IF($C$5*'Tariffs Jan2020'!AK118/'Tariffs Jan2020'!AI118&lt;='Tariffs Jan2020'!M118,($C$5*'Tariffs Jan2020'!AK118/'Tariffs Jan2020'!AI118-'Tariffs Jan2020'!L118)*('Tariffs Jan2020'!R118/100)*'Tariffs Jan2020'!AI118,('Tariffs Jan2020'!M118-'Tariffs Jan2020'!L118)*('Tariffs Jan2020'!R118/100)*'Tariffs Jan2020'!AI118))</f>
        <v>0</v>
      </c>
      <c r="I124" s="59">
        <f>IF(($C$5*'Tariffs Jan2020'!AK118/'Tariffs Jan2020'!AI118&gt;'Tariffs Jan2020'!M118),($C$5*'Tariffs Jan2020'!AK118/'Tariffs Jan2020'!AI118-'Tariffs Jan2020'!M118)*'Tariffs Jan2020'!S118/100*'Tariffs Jan2020'!AI118,0)</f>
        <v>0</v>
      </c>
      <c r="J124" s="59">
        <f>IF($C$5*'Tariffs Jan2020'!AL118/'Tariffs Jan2020'!AJ118&gt;='Tariffs Jan2020'!J118,('Tariffs Jan2020'!J118*'Tariffs Jan2020'!U118/100)* 'Tariffs Jan2020'!AJ118,($C$5*'Tariffs Jan2020'!AL118/'Tariffs Jan2020'!AJ118*'Tariffs Jan2020'!U118/100)* 'Tariffs Jan2020'!AJ118)</f>
        <v>469.09090909090907</v>
      </c>
      <c r="K124" s="59">
        <f>IF($C$5*'Tariffs Jan2020'!AL118/'Tariffs Jan2020'!AJ118&lt;'Tariffs Jan2020'!J118,0,IF($C$5*'Tariffs Jan2020'!AL118/'Tariffs Jan2020'!AJ118&lt;='Tariffs Jan2020'!K118,($C$5*'Tariffs Jan2020'!AL118/'Tariffs Jan2020'!AJ118-'Tariffs Jan2020'!J118)*('Tariffs Jan2020'!V118/100)*'Tariffs Jan2020'!AJ118,('Tariffs Jan2020'!K118-'Tariffs Jan2020'!J118)*('Tariffs Jan2020'!V118/100)*'Tariffs Jan2020'!AJ118))</f>
        <v>341.92019999999985</v>
      </c>
      <c r="L124" s="59">
        <f>IF($C$5*'Tariffs Jan2020'!AL118/'Tariffs Jan2020'!AJ118&lt;'Tariffs Jan2020'!K118,0,IF($C$5*'Tariffs Jan2020'!AL118/'Tariffs Jan2020'!AJ118&lt;='Tariffs Jan2020'!L118,($C$5*'Tariffs Jan2020'!AL118/'Tariffs Jan2020'!AJ118-'Tariffs Jan2020'!K118)*('Tariffs Jan2020'!W118/100)*'Tariffs Jan2020'!AJ118,('Tariffs Jan2020'!L118-'Tariffs Jan2020'!K118)*('Tariffs Jan2020'!W118/100)*'Tariffs Jan2020'!AJ118))</f>
        <v>0</v>
      </c>
      <c r="M124" s="59">
        <f>IF($C$5*'Tariffs Jan2020'!AL118/'Tariffs Jan2020'!AJ118&lt;'Tariffs Jan2020'!L118,0,IF($C$5*'Tariffs Jan2020'!AL118/'Tariffs Jan2020'!AJ118&lt;='Tariffs Jan2020'!M118,($C$5*'Tariffs Jan2020'!AL118/'Tariffs Jan2020'!AJ118-'Tariffs Jan2020'!L118)*('Tariffs Jan2020'!X118/100)*'Tariffs Jan2020'!AJ118,('Tariffs Jan2020'!M118-'Tariffs Jan2020'!L118)*('Tariffs Jan2020'!X118/100)*'Tariffs Jan2020'!AJ118))</f>
        <v>0</v>
      </c>
      <c r="N124" s="59">
        <f>IF(($C$5*'Tariffs Jan2020'!AL118/'Tariffs Jan2020'!AJ118&gt;'Tariffs Jan2020'!M118),($C$5*'Tariffs Jan2020'!AL118/'Tariffs Jan2020'!AJ118-'Tariffs Jan2020'!M118)*'Tariffs Jan2020'!Y118/100*'Tariffs Jan2020'!AJ118,0)</f>
        <v>0</v>
      </c>
      <c r="O124" s="59">
        <f t="shared" si="44"/>
        <v>1278.9691090909089</v>
      </c>
      <c r="P124" s="503">
        <f t="shared" si="30"/>
        <v>1406.8660199999999</v>
      </c>
      <c r="Q124" s="59">
        <f t="shared" si="45"/>
        <v>1572.4291090909089</v>
      </c>
      <c r="R124" s="272">
        <f t="shared" si="46"/>
        <v>1729.67202</v>
      </c>
      <c r="S124" s="40">
        <f>'Tariffs Jan2020'!AN118</f>
        <v>0</v>
      </c>
      <c r="T124" s="40">
        <f>'Tariffs Jan2020'!AO118</f>
        <v>0</v>
      </c>
      <c r="U124" s="40">
        <f>'Tariffs Jan2020'!AP118</f>
        <v>10</v>
      </c>
      <c r="V124" s="40">
        <f>'Tariffs Jan2020'!AQ118</f>
        <v>0</v>
      </c>
      <c r="W124" s="284">
        <f>R124</f>
        <v>1729.67202</v>
      </c>
      <c r="X124" s="284">
        <f>W124-(W124*U124/100)</f>
        <v>1556.7048179999999</v>
      </c>
      <c r="Y124" s="507">
        <f>W124</f>
        <v>1729.67202</v>
      </c>
      <c r="Z124" s="507">
        <f>X124</f>
        <v>1556.7048179999999</v>
      </c>
      <c r="AA124" s="274">
        <f>'Tariffs Jan2020'!AZ118</f>
        <v>0</v>
      </c>
      <c r="AB124" s="274" t="str">
        <f>'Tariffs Jan2020'!BA118</f>
        <v>n</v>
      </c>
      <c r="AC124" s="275" t="str">
        <f>'Tariffs Jan2020'!BJ118</f>
        <v>N</v>
      </c>
      <c r="AD124" s="425"/>
      <c r="AE124" s="425"/>
      <c r="AF124" s="427"/>
      <c r="AG124" s="427"/>
      <c r="AH124" s="427"/>
      <c r="AI124" s="427"/>
      <c r="AJ124" s="427"/>
      <c r="AK124" s="427"/>
      <c r="AL124" s="427"/>
      <c r="AM124" s="427"/>
      <c r="AN124" s="427"/>
    </row>
    <row r="125" spans="1:40" ht="14" x14ac:dyDescent="0.15">
      <c r="A125" s="270" t="str">
        <f>'Tariffs Jan2020'!F119</f>
        <v>Simply Energy</v>
      </c>
      <c r="B125" s="40" t="str">
        <f>'Tariffs Jan2020'!D119</f>
        <v>AusNet Services Central 2</v>
      </c>
      <c r="C125" s="40" t="str">
        <f>'Tariffs Jan2020'!G119</f>
        <v>Plus</v>
      </c>
      <c r="D125" s="59">
        <f>365*'Tariffs Jan2020'!H119/100</f>
        <v>338.05636363636359</v>
      </c>
      <c r="E125" s="59">
        <f>IF($C$5*'Tariffs Jan2020'!AK119/'Tariffs Jan2020'!AI119&gt;='Tariffs Jan2020'!J119,( 'Tariffs Jan2020'!J119*'Tariffs Jan2020'!O119/100)* 'Tariffs Jan2020'!AI119,($C$5*'Tariffs Jan2020'!AK119/'Tariffs Jan2020'!AI119*'Tariffs Jan2020'!O119/100)* 'Tariffs Jan2020'!AI119)</f>
        <v>289.09090909090907</v>
      </c>
      <c r="F125" s="59">
        <f>IF($C$5*'Tariffs Jan2020'!AK119/'Tariffs Jan2020'!AI119&lt;'Tariffs Jan2020'!J119,0,IF($C$5*'Tariffs Jan2020'!AK119/'Tariffs Jan2020'!AI119&lt;='Tariffs Jan2020'!K119,($C$5*'Tariffs Jan2020'!AK119/'Tariffs Jan2020'!AI119-'Tariffs Jan2020'!J119)*('Tariffs Jan2020'!P119/100)*'Tariffs Jan2020'!AI119,('Tariffs Jan2020'!K119-'Tariffs Jan2020'!J119)*('Tariffs Jan2020'!P119/100)*'Tariffs Jan2020'!AI119))</f>
        <v>184.8659454545454</v>
      </c>
      <c r="G125" s="59">
        <f>IF($C$5*'Tariffs Jan2020'!AK119/'Tariffs Jan2020'!AI119&lt;'Tariffs Jan2020'!K119,0,IF($C$5*'Tariffs Jan2020'!AK119/'Tariffs Jan2020'!AI119&lt;='Tariffs Jan2020'!L119,($C$5*'Tariffs Jan2020'!AK119/'Tariffs Jan2020'!AI119-'Tariffs Jan2020'!K119)*('Tariffs Jan2020'!Q119/100)*'Tariffs Jan2020'!AI119,('Tariffs Jan2020'!L119-'Tariffs Jan2020'!K119)*('Tariffs Jan2020'!Q119/100)*'Tariffs Jan2020'!AI119))</f>
        <v>0</v>
      </c>
      <c r="H125" s="59">
        <f>IF($C$5*'Tariffs Jan2020'!AK119/'Tariffs Jan2020'!AI119&lt;'Tariffs Jan2020'!L119,0,IF($C$5*'Tariffs Jan2020'!AK119/'Tariffs Jan2020'!AI119&lt;='Tariffs Jan2020'!M119,($C$5*'Tariffs Jan2020'!AK119/'Tariffs Jan2020'!AI119-'Tariffs Jan2020'!L119)*('Tariffs Jan2020'!R119/100)*'Tariffs Jan2020'!AI119,('Tariffs Jan2020'!M119-'Tariffs Jan2020'!L119)*('Tariffs Jan2020'!R119/100)*'Tariffs Jan2020'!AI119))</f>
        <v>0</v>
      </c>
      <c r="I125" s="59">
        <f>IF(($C$5*'Tariffs Jan2020'!AK119/'Tariffs Jan2020'!AI119&gt;'Tariffs Jan2020'!M119),($C$5*'Tariffs Jan2020'!AK119/'Tariffs Jan2020'!AI119-'Tariffs Jan2020'!M119)*'Tariffs Jan2020'!S119/100*'Tariffs Jan2020'!AI119,0)</f>
        <v>0</v>
      </c>
      <c r="J125" s="59">
        <f>IF($C$5*'Tariffs Jan2020'!AL119/'Tariffs Jan2020'!AJ119&gt;='Tariffs Jan2020'!J119,('Tariffs Jan2020'!J119*'Tariffs Jan2020'!U119/100)* 'Tariffs Jan2020'!AJ119,($C$5*'Tariffs Jan2020'!AL119/'Tariffs Jan2020'!AJ119*'Tariffs Jan2020'!U119/100)* 'Tariffs Jan2020'!AJ119)</f>
        <v>436.36363636363632</v>
      </c>
      <c r="K125" s="59">
        <f>IF($C$5*'Tariffs Jan2020'!AL119/'Tariffs Jan2020'!AJ119&lt;'Tariffs Jan2020'!J119,0,IF($C$5*'Tariffs Jan2020'!AL119/'Tariffs Jan2020'!AJ119&lt;='Tariffs Jan2020'!K119,($C$5*'Tariffs Jan2020'!AL119/'Tariffs Jan2020'!AJ119-'Tariffs Jan2020'!J119)*('Tariffs Jan2020'!V119/100)*'Tariffs Jan2020'!AJ119,('Tariffs Jan2020'!K119-'Tariffs Jan2020'!J119)*('Tariffs Jan2020'!V119/100)*'Tariffs Jan2020'!AJ119))</f>
        <v>317.3804727272726</v>
      </c>
      <c r="L125" s="59">
        <f>IF($C$5*'Tariffs Jan2020'!AL119/'Tariffs Jan2020'!AJ119&lt;'Tariffs Jan2020'!K119,0,IF($C$5*'Tariffs Jan2020'!AL119/'Tariffs Jan2020'!AJ119&lt;='Tariffs Jan2020'!L119,($C$5*'Tariffs Jan2020'!AL119/'Tariffs Jan2020'!AJ119-'Tariffs Jan2020'!K119)*('Tariffs Jan2020'!W119/100)*'Tariffs Jan2020'!AJ119,('Tariffs Jan2020'!L119-'Tariffs Jan2020'!K119)*('Tariffs Jan2020'!W119/100)*'Tariffs Jan2020'!AJ119))</f>
        <v>0</v>
      </c>
      <c r="M125" s="59">
        <f>IF($C$5*'Tariffs Jan2020'!AL119/'Tariffs Jan2020'!AJ119&lt;'Tariffs Jan2020'!L119,0,IF($C$5*'Tariffs Jan2020'!AL119/'Tariffs Jan2020'!AJ119&lt;='Tariffs Jan2020'!M119,($C$5*'Tariffs Jan2020'!AL119/'Tariffs Jan2020'!AJ119-'Tariffs Jan2020'!L119)*('Tariffs Jan2020'!X119/100)*'Tariffs Jan2020'!AJ119,('Tariffs Jan2020'!M119-'Tariffs Jan2020'!L119)*('Tariffs Jan2020'!X119/100)*'Tariffs Jan2020'!AJ119))</f>
        <v>0</v>
      </c>
      <c r="N125" s="59">
        <f>IF(($C$5*'Tariffs Jan2020'!AL119/'Tariffs Jan2020'!AJ119&gt;'Tariffs Jan2020'!M119),($C$5*'Tariffs Jan2020'!AL119/'Tariffs Jan2020'!AJ119-'Tariffs Jan2020'!M119)*'Tariffs Jan2020'!Y119/100*'Tariffs Jan2020'!AJ119,0)</f>
        <v>0</v>
      </c>
      <c r="O125" s="59">
        <f t="shared" si="44"/>
        <v>1227.7009636363632</v>
      </c>
      <c r="P125" s="503">
        <f t="shared" si="30"/>
        <v>1350.4710599999996</v>
      </c>
      <c r="Q125" s="59">
        <f t="shared" si="45"/>
        <v>1565.7573272727268</v>
      </c>
      <c r="R125" s="272">
        <f t="shared" si="46"/>
        <v>1722.3330599999997</v>
      </c>
      <c r="S125" s="40">
        <f>'Tariffs Jan2020'!AN119</f>
        <v>0</v>
      </c>
      <c r="T125" s="40">
        <f>'Tariffs Jan2020'!AO119</f>
        <v>0</v>
      </c>
      <c r="U125" s="40">
        <f>'Tariffs Jan2020'!AP119</f>
        <v>12</v>
      </c>
      <c r="V125" s="40">
        <f>'Tariffs Jan2020'!AQ119</f>
        <v>0</v>
      </c>
      <c r="W125" s="284">
        <f t="shared" ref="W125:W126" si="56">Q125</f>
        <v>1565.7573272727268</v>
      </c>
      <c r="X125" s="284">
        <f>W125-(Q125*U125/100)</f>
        <v>1377.8664479999995</v>
      </c>
      <c r="Y125" s="507">
        <f t="shared" ref="Y125:Y127" si="57">W125*1.1</f>
        <v>1722.3330599999997</v>
      </c>
      <c r="Z125" s="507">
        <f t="shared" ref="Z125:Z127" si="58">X125*1.1</f>
        <v>1515.6530927999995</v>
      </c>
      <c r="AA125" s="274">
        <f>'Tariffs Jan2020'!AZ119</f>
        <v>0</v>
      </c>
      <c r="AB125" s="274" t="str">
        <f>'Tariffs Jan2020'!BA119</f>
        <v>n</v>
      </c>
      <c r="AC125" s="275" t="str">
        <f>'Tariffs Jan2020'!BJ119</f>
        <v>Y</v>
      </c>
      <c r="AD125" s="425"/>
      <c r="AE125" s="425"/>
      <c r="AF125" s="427"/>
      <c r="AG125" s="427"/>
      <c r="AH125" s="427"/>
      <c r="AI125" s="427"/>
      <c r="AJ125" s="427"/>
      <c r="AK125" s="427"/>
      <c r="AL125" s="427"/>
      <c r="AM125" s="427"/>
      <c r="AN125" s="427"/>
    </row>
    <row r="126" spans="1:40" ht="14" x14ac:dyDescent="0.15">
      <c r="A126" s="270" t="str">
        <f>'Tariffs Jan2020'!F120</f>
        <v>Sumo Power</v>
      </c>
      <c r="B126" s="40" t="str">
        <f>'Tariffs Jan2020'!D120</f>
        <v>AusNet Services Central 2</v>
      </c>
      <c r="C126" s="40" t="str">
        <f>'Tariffs Jan2020'!G120</f>
        <v>Select</v>
      </c>
      <c r="D126" s="59">
        <f>365*'Tariffs Jan2020'!H120/100</f>
        <v>292</v>
      </c>
      <c r="E126" s="59">
        <f>IF($C$5*'Tariffs Jan2020'!AK120/'Tariffs Jan2020'!AI120&gt;='Tariffs Jan2020'!J120,( 'Tariffs Jan2020'!J120*'Tariffs Jan2020'!O120/100)* 'Tariffs Jan2020'!AI120,($C$5*'Tariffs Jan2020'!AK120/'Tariffs Jan2020'!AI120*'Tariffs Jan2020'!O120/100)* 'Tariffs Jan2020'!AI120)</f>
        <v>232.36363636363632</v>
      </c>
      <c r="F126" s="59">
        <f>IF($C$5*'Tariffs Jan2020'!AK120/'Tariffs Jan2020'!AI120&lt;'Tariffs Jan2020'!J120,0,IF($C$5*'Tariffs Jan2020'!AK120/'Tariffs Jan2020'!AI120&lt;='Tariffs Jan2020'!K120,($C$5*'Tariffs Jan2020'!AK120/'Tariffs Jan2020'!AI120-'Tariffs Jan2020'!J120)*('Tariffs Jan2020'!P120/100)*'Tariffs Jan2020'!AI120,('Tariffs Jan2020'!K120-'Tariffs Jan2020'!J120)*('Tariffs Jan2020'!P120/100)*'Tariffs Jan2020'!AI120))</f>
        <v>173.41407272727267</v>
      </c>
      <c r="G126" s="59">
        <f>IF($C$5*'Tariffs Jan2020'!AK120/'Tariffs Jan2020'!AI120&lt;'Tariffs Jan2020'!K120,0,IF($C$5*'Tariffs Jan2020'!AK120/'Tariffs Jan2020'!AI120&lt;='Tariffs Jan2020'!L120,($C$5*'Tariffs Jan2020'!AK120/'Tariffs Jan2020'!AI120-'Tariffs Jan2020'!K120)*('Tariffs Jan2020'!Q120/100)*'Tariffs Jan2020'!AI120,('Tariffs Jan2020'!L120-'Tariffs Jan2020'!K120)*('Tariffs Jan2020'!Q120/100)*'Tariffs Jan2020'!AI120))</f>
        <v>0</v>
      </c>
      <c r="H126" s="59">
        <f>IF($C$5*'Tariffs Jan2020'!AK120/'Tariffs Jan2020'!AI120&lt;'Tariffs Jan2020'!L120,0,IF($C$5*'Tariffs Jan2020'!AK120/'Tariffs Jan2020'!AI120&lt;='Tariffs Jan2020'!M120,($C$5*'Tariffs Jan2020'!AK120/'Tariffs Jan2020'!AI120-'Tariffs Jan2020'!L120)*('Tariffs Jan2020'!R120/100)*'Tariffs Jan2020'!AI120,('Tariffs Jan2020'!M120-'Tariffs Jan2020'!L120)*('Tariffs Jan2020'!R120/100)*'Tariffs Jan2020'!AI120))</f>
        <v>0</v>
      </c>
      <c r="I126" s="59">
        <f>IF(($C$5*'Tariffs Jan2020'!AK120/'Tariffs Jan2020'!AI120&gt;'Tariffs Jan2020'!M120),($C$5*'Tariffs Jan2020'!AK120/'Tariffs Jan2020'!AI120-'Tariffs Jan2020'!M120)*'Tariffs Jan2020'!S120/100*'Tariffs Jan2020'!AI120,0)</f>
        <v>0</v>
      </c>
      <c r="J126" s="59">
        <f>IF($C$5*'Tariffs Jan2020'!AL120/'Tariffs Jan2020'!AJ120&gt;='Tariffs Jan2020'!J120,('Tariffs Jan2020'!J120*'Tariffs Jan2020'!U120/100)* 'Tariffs Jan2020'!AJ120,($C$5*'Tariffs Jan2020'!AL120/'Tariffs Jan2020'!AJ120*'Tariffs Jan2020'!U120/100)* 'Tariffs Jan2020'!AJ120)</f>
        <v>425.45454545454538</v>
      </c>
      <c r="K126" s="59">
        <f>IF($C$5*'Tariffs Jan2020'!AL120/'Tariffs Jan2020'!AJ120&lt;'Tariffs Jan2020'!J120,0,IF($C$5*'Tariffs Jan2020'!AL120/'Tariffs Jan2020'!AJ120&lt;='Tariffs Jan2020'!K120,($C$5*'Tariffs Jan2020'!AL120/'Tariffs Jan2020'!AJ120-'Tariffs Jan2020'!J120)*('Tariffs Jan2020'!V120/100)*'Tariffs Jan2020'!AJ120,('Tariffs Jan2020'!K120-'Tariffs Jan2020'!J120)*('Tariffs Jan2020'!V120/100)*'Tariffs Jan2020'!AJ120))</f>
        <v>315.74449090909081</v>
      </c>
      <c r="L126" s="59">
        <f>IF($C$5*'Tariffs Jan2020'!AL120/'Tariffs Jan2020'!AJ120&lt;'Tariffs Jan2020'!K120,0,IF($C$5*'Tariffs Jan2020'!AL120/'Tariffs Jan2020'!AJ120&lt;='Tariffs Jan2020'!L120,($C$5*'Tariffs Jan2020'!AL120/'Tariffs Jan2020'!AJ120-'Tariffs Jan2020'!K120)*('Tariffs Jan2020'!W120/100)*'Tariffs Jan2020'!AJ120,('Tariffs Jan2020'!L120-'Tariffs Jan2020'!K120)*('Tariffs Jan2020'!W120/100)*'Tariffs Jan2020'!AJ120))</f>
        <v>0</v>
      </c>
      <c r="M126" s="59">
        <f>IF($C$5*'Tariffs Jan2020'!AL120/'Tariffs Jan2020'!AJ120&lt;'Tariffs Jan2020'!L120,0,IF($C$5*'Tariffs Jan2020'!AL120/'Tariffs Jan2020'!AJ120&lt;='Tariffs Jan2020'!M120,($C$5*'Tariffs Jan2020'!AL120/'Tariffs Jan2020'!AJ120-'Tariffs Jan2020'!L120)*('Tariffs Jan2020'!X120/100)*'Tariffs Jan2020'!AJ120,('Tariffs Jan2020'!M120-'Tariffs Jan2020'!L120)*('Tariffs Jan2020'!X120/100)*'Tariffs Jan2020'!AJ120))</f>
        <v>0</v>
      </c>
      <c r="N126" s="59">
        <f>IF(($C$5*'Tariffs Jan2020'!AL120/'Tariffs Jan2020'!AJ120&gt;'Tariffs Jan2020'!M120),($C$5*'Tariffs Jan2020'!AL120/'Tariffs Jan2020'!AJ120-'Tariffs Jan2020'!M120)*'Tariffs Jan2020'!Y120/100*'Tariffs Jan2020'!AJ120,0)</f>
        <v>0</v>
      </c>
      <c r="O126" s="59">
        <f t="shared" si="44"/>
        <v>1146.9767454545452</v>
      </c>
      <c r="P126" s="503">
        <f t="shared" si="30"/>
        <v>1261.6744199999998</v>
      </c>
      <c r="Q126" s="59">
        <f t="shared" si="45"/>
        <v>1438.9767454545452</v>
      </c>
      <c r="R126" s="272">
        <f t="shared" si="46"/>
        <v>1582.8744199999999</v>
      </c>
      <c r="S126" s="40">
        <f>'Tariffs Jan2020'!AN120</f>
        <v>0</v>
      </c>
      <c r="T126" s="40">
        <f>'Tariffs Jan2020'!AO120</f>
        <v>0</v>
      </c>
      <c r="U126" s="40">
        <f>'Tariffs Jan2020'!AP120</f>
        <v>5</v>
      </c>
      <c r="V126" s="40">
        <f>'Tariffs Jan2020'!AQ120</f>
        <v>0</v>
      </c>
      <c r="W126" s="284">
        <f t="shared" si="56"/>
        <v>1438.9767454545452</v>
      </c>
      <c r="X126" s="284">
        <f>W126-(Q126*U126/100)</f>
        <v>1367.0279081818178</v>
      </c>
      <c r="Y126" s="507">
        <f t="shared" si="57"/>
        <v>1582.8744199999999</v>
      </c>
      <c r="Z126" s="507">
        <f t="shared" si="58"/>
        <v>1503.7306989999997</v>
      </c>
      <c r="AA126" s="274">
        <f>'Tariffs Jan2020'!AZ120</f>
        <v>0</v>
      </c>
      <c r="AB126" s="274" t="str">
        <f>'Tariffs Jan2020'!BA120</f>
        <v>n</v>
      </c>
      <c r="AC126" s="275" t="str">
        <f>'Tariffs Jan2020'!BJ120</f>
        <v>Y</v>
      </c>
      <c r="AD126" s="425"/>
      <c r="AE126" s="425"/>
      <c r="AF126" s="427"/>
      <c r="AG126" s="427"/>
      <c r="AH126" s="427"/>
      <c r="AI126" s="427"/>
      <c r="AJ126" s="427"/>
      <c r="AK126" s="427"/>
      <c r="AL126" s="427"/>
      <c r="AM126" s="427"/>
      <c r="AN126" s="427"/>
    </row>
    <row r="127" spans="1:40" ht="14" x14ac:dyDescent="0.15">
      <c r="A127" s="270" t="str">
        <f>'Tariffs Jan2020'!F121</f>
        <v>Amaysim</v>
      </c>
      <c r="B127" s="40" t="str">
        <f>'Tariffs Jan2020'!D121</f>
        <v>AusNet Services Central 2</v>
      </c>
      <c r="C127" s="40" t="str">
        <f>'Tariffs Jan2020'!G121</f>
        <v>Gas as you go</v>
      </c>
      <c r="D127" s="59">
        <f>365*'Tariffs Jan2020'!H121/100</f>
        <v>240.2576</v>
      </c>
      <c r="E127" s="59">
        <f>IF($C$5*'Tariffs Jan2020'!AK121/'Tariffs Jan2020'!AI121&gt;='Tariffs Jan2020'!J121,( 'Tariffs Jan2020'!J121*'Tariffs Jan2020'!O121/100)* 'Tariffs Jan2020'!AI121,($C$5*'Tariffs Jan2020'!AK121/'Tariffs Jan2020'!AI121*'Tariffs Jan2020'!O121/100)* 'Tariffs Jan2020'!AI121)</f>
        <v>289.68</v>
      </c>
      <c r="F127" s="59">
        <f>IF($C$5*'Tariffs Jan2020'!AK121/'Tariffs Jan2020'!AI121&lt;'Tariffs Jan2020'!J121,0,IF($C$5*'Tariffs Jan2020'!AK121/'Tariffs Jan2020'!AI121&lt;='Tariffs Jan2020'!K121,($C$5*'Tariffs Jan2020'!AK121/'Tariffs Jan2020'!AI121-'Tariffs Jan2020'!J121)*('Tariffs Jan2020'!P121/100)*'Tariffs Jan2020'!AI121,('Tariffs Jan2020'!K121-'Tariffs Jan2020'!J121)*('Tariffs Jan2020'!P121/100)*'Tariffs Jan2020'!AI121))</f>
        <v>186.61644599999994</v>
      </c>
      <c r="G127" s="59">
        <f>IF($C$5*'Tariffs Jan2020'!AK121/'Tariffs Jan2020'!AI121&lt;'Tariffs Jan2020'!K121,0,IF($C$5*'Tariffs Jan2020'!AK121/'Tariffs Jan2020'!AI121&lt;='Tariffs Jan2020'!L121,($C$5*'Tariffs Jan2020'!AK121/'Tariffs Jan2020'!AI121-'Tariffs Jan2020'!K121)*('Tariffs Jan2020'!Q121/100)*'Tariffs Jan2020'!AI121,('Tariffs Jan2020'!L121-'Tariffs Jan2020'!K121)*('Tariffs Jan2020'!Q121/100)*'Tariffs Jan2020'!AI121))</f>
        <v>0</v>
      </c>
      <c r="H127" s="59">
        <f>IF($C$5*'Tariffs Jan2020'!AK121/'Tariffs Jan2020'!AI121&lt;'Tariffs Jan2020'!L121,0,IF($C$5*'Tariffs Jan2020'!AK121/'Tariffs Jan2020'!AI121&lt;='Tariffs Jan2020'!M121,($C$5*'Tariffs Jan2020'!AK121/'Tariffs Jan2020'!AI121-'Tariffs Jan2020'!L121)*('Tariffs Jan2020'!R121/100)*'Tariffs Jan2020'!AI121,('Tariffs Jan2020'!M121-'Tariffs Jan2020'!L121)*('Tariffs Jan2020'!R121/100)*'Tariffs Jan2020'!AI121))</f>
        <v>0</v>
      </c>
      <c r="I127" s="59">
        <f>IF(($C$5*'Tariffs Jan2020'!AK121/'Tariffs Jan2020'!AI121&gt;'Tariffs Jan2020'!M121),($C$5*'Tariffs Jan2020'!AK121/'Tariffs Jan2020'!AI121-'Tariffs Jan2020'!M121)*'Tariffs Jan2020'!S121/100*'Tariffs Jan2020'!AI121,0)</f>
        <v>0</v>
      </c>
      <c r="J127" s="59">
        <f>IF($C$5*'Tariffs Jan2020'!AL121/'Tariffs Jan2020'!AJ121&gt;='Tariffs Jan2020'!J121,('Tariffs Jan2020'!J121*'Tariffs Jan2020'!U121/100)* 'Tariffs Jan2020'!AJ121,($C$5*'Tariffs Jan2020'!AL121/'Tariffs Jan2020'!AJ121*'Tariffs Jan2020'!U121/100)* 'Tariffs Jan2020'!AJ121)</f>
        <v>408</v>
      </c>
      <c r="K127" s="59">
        <f>IF($C$5*'Tariffs Jan2020'!AL121/'Tariffs Jan2020'!AJ121&lt;'Tariffs Jan2020'!J121,0,IF($C$5*'Tariffs Jan2020'!AL121/'Tariffs Jan2020'!AJ121&lt;='Tariffs Jan2020'!K121,($C$5*'Tariffs Jan2020'!AL121/'Tariffs Jan2020'!AJ121-'Tariffs Jan2020'!J121)*('Tariffs Jan2020'!V121/100)*'Tariffs Jan2020'!AJ121,('Tariffs Jan2020'!K121-'Tariffs Jan2020'!J121)*('Tariffs Jan2020'!V121/100)*'Tariffs Jan2020'!AJ121))</f>
        <v>299.81002799999987</v>
      </c>
      <c r="L127" s="59">
        <f>IF($C$5*'Tariffs Jan2020'!AL121/'Tariffs Jan2020'!AJ121&lt;'Tariffs Jan2020'!K121,0,IF($C$5*'Tariffs Jan2020'!AL121/'Tariffs Jan2020'!AJ121&lt;='Tariffs Jan2020'!L121,($C$5*'Tariffs Jan2020'!AL121/'Tariffs Jan2020'!AJ121-'Tariffs Jan2020'!K121)*('Tariffs Jan2020'!W121/100)*'Tariffs Jan2020'!AJ121,('Tariffs Jan2020'!L121-'Tariffs Jan2020'!K121)*('Tariffs Jan2020'!W121/100)*'Tariffs Jan2020'!AJ121))</f>
        <v>0</v>
      </c>
      <c r="M127" s="59">
        <f>IF($C$5*'Tariffs Jan2020'!AL121/'Tariffs Jan2020'!AJ121&lt;'Tariffs Jan2020'!L121,0,IF($C$5*'Tariffs Jan2020'!AL121/'Tariffs Jan2020'!AJ121&lt;='Tariffs Jan2020'!M121,($C$5*'Tariffs Jan2020'!AL121/'Tariffs Jan2020'!AJ121-'Tariffs Jan2020'!L121)*('Tariffs Jan2020'!X121/100)*'Tariffs Jan2020'!AJ121,('Tariffs Jan2020'!M121-'Tariffs Jan2020'!L121)*('Tariffs Jan2020'!X121/100)*'Tariffs Jan2020'!AJ121))</f>
        <v>0</v>
      </c>
      <c r="N127" s="59">
        <f>IF(($C$5*'Tariffs Jan2020'!AL121/'Tariffs Jan2020'!AJ121&gt;'Tariffs Jan2020'!M121),($C$5*'Tariffs Jan2020'!AL121/'Tariffs Jan2020'!AJ121-'Tariffs Jan2020'!M121)*'Tariffs Jan2020'!Y121/100*'Tariffs Jan2020'!AJ121,0)</f>
        <v>0</v>
      </c>
      <c r="O127" s="59">
        <f t="shared" si="44"/>
        <v>1184.1064739999997</v>
      </c>
      <c r="P127" s="503">
        <f t="shared" si="30"/>
        <v>1302.5171213999997</v>
      </c>
      <c r="Q127" s="59">
        <f t="shared" si="45"/>
        <v>1424.3640739999996</v>
      </c>
      <c r="R127" s="272">
        <f t="shared" si="46"/>
        <v>1566.8004813999996</v>
      </c>
      <c r="S127" s="40">
        <f>'Tariffs Jan2020'!AN121</f>
        <v>0</v>
      </c>
      <c r="T127" s="40">
        <f>'Tariffs Jan2020'!AO121</f>
        <v>0</v>
      </c>
      <c r="U127" s="40">
        <f>'Tariffs Jan2020'!AP121</f>
        <v>0</v>
      </c>
      <c r="V127" s="40">
        <f>'Tariffs Jan2020'!AQ121</f>
        <v>0</v>
      </c>
      <c r="W127" s="284">
        <f>Q127</f>
        <v>1424.3640739999996</v>
      </c>
      <c r="X127" s="284">
        <f>W127</f>
        <v>1424.3640739999996</v>
      </c>
      <c r="Y127" s="507">
        <f t="shared" si="57"/>
        <v>1566.8004813999996</v>
      </c>
      <c r="Z127" s="507">
        <f t="shared" si="58"/>
        <v>1566.8004813999996</v>
      </c>
      <c r="AA127" s="274">
        <f>'Tariffs Jan2020'!AZ121</f>
        <v>0</v>
      </c>
      <c r="AB127" s="274" t="str">
        <f>'Tariffs Jan2020'!BA121</f>
        <v>n</v>
      </c>
      <c r="AC127" s="275" t="str">
        <f>'Tariffs Jan2020'!BJ121</f>
        <v>N</v>
      </c>
      <c r="AD127" s="425"/>
      <c r="AE127" s="425"/>
      <c r="AF127" s="427"/>
      <c r="AG127" s="427"/>
      <c r="AH127" s="427"/>
      <c r="AI127" s="427"/>
      <c r="AJ127" s="427"/>
      <c r="AK127" s="427"/>
      <c r="AL127" s="427"/>
      <c r="AM127" s="427"/>
      <c r="AN127" s="427"/>
    </row>
    <row r="128" spans="1:40" ht="14" x14ac:dyDescent="0.15">
      <c r="A128" s="270" t="str">
        <f>'Tariffs Jan2020'!F122</f>
        <v>GloBird Energy</v>
      </c>
      <c r="B128" s="40" t="str">
        <f>'Tariffs Jan2020'!D122</f>
        <v>AusNet Services Central 2</v>
      </c>
      <c r="C128" s="40" t="str">
        <f>'Tariffs Jan2020'!G122</f>
        <v>GloSave</v>
      </c>
      <c r="D128" s="59">
        <f>365*'Tariffs Jan2020'!H122/100</f>
        <v>292</v>
      </c>
      <c r="E128" s="59">
        <f>IF($C$5*'Tariffs Jan2020'!AK122/'Tariffs Jan2020'!AI122&gt;='Tariffs Jan2020'!J122,( 'Tariffs Jan2020'!J122*'Tariffs Jan2020'!O122/100)* 'Tariffs Jan2020'!AI122,($C$5*'Tariffs Jan2020'!AK122/'Tariffs Jan2020'!AI122*'Tariffs Jan2020'!O122/100)* 'Tariffs Jan2020'!AI122)</f>
        <v>121.09090909090908</v>
      </c>
      <c r="F128" s="59">
        <f>IF($C$5*'Tariffs Jan2020'!AK122/'Tariffs Jan2020'!AI122&lt;'Tariffs Jan2020'!J122,0,IF($C$5*'Tariffs Jan2020'!AK122/'Tariffs Jan2020'!AI122&lt;='Tariffs Jan2020'!K122,($C$5*'Tariffs Jan2020'!AK122/'Tariffs Jan2020'!AI122-'Tariffs Jan2020'!J122)*('Tariffs Jan2020'!P122/100)*'Tariffs Jan2020'!AI122,('Tariffs Jan2020'!K122-'Tariffs Jan2020'!J122)*('Tariffs Jan2020'!P122/100)*'Tariffs Jan2020'!AI122))</f>
        <v>0</v>
      </c>
      <c r="G128" s="59">
        <f>IF($C$5*'Tariffs Jan2020'!AK122/'Tariffs Jan2020'!AI122&lt;'Tariffs Jan2020'!K122,0,IF($C$5*'Tariffs Jan2020'!AK122/'Tariffs Jan2020'!AI122&lt;='Tariffs Jan2020'!L122,($C$5*'Tariffs Jan2020'!AK122/'Tariffs Jan2020'!AI122-'Tariffs Jan2020'!K122)*('Tariffs Jan2020'!Q122/100)*'Tariffs Jan2020'!AI122,('Tariffs Jan2020'!L122-'Tariffs Jan2020'!K122)*('Tariffs Jan2020'!Q122/100)*'Tariffs Jan2020'!AI122))</f>
        <v>0</v>
      </c>
      <c r="H128" s="59">
        <f>IF($C$5*'Tariffs Jan2020'!AK122/'Tariffs Jan2020'!AI122&lt;'Tariffs Jan2020'!L122,0,IF($C$5*'Tariffs Jan2020'!AK122/'Tariffs Jan2020'!AI122&lt;='Tariffs Jan2020'!M122,($C$5*'Tariffs Jan2020'!AK122/'Tariffs Jan2020'!AI122-'Tariffs Jan2020'!L122)*('Tariffs Jan2020'!R122/100)*'Tariffs Jan2020'!AI122,('Tariffs Jan2020'!M122-'Tariffs Jan2020'!L122)*('Tariffs Jan2020'!R122/100)*'Tariffs Jan2020'!AI122))</f>
        <v>0</v>
      </c>
      <c r="I128" s="59">
        <f>IF(($C$5*'Tariffs Jan2020'!AK122/'Tariffs Jan2020'!AI122&gt;'Tariffs Jan2020'!M122),($C$5*'Tariffs Jan2020'!AK122/'Tariffs Jan2020'!AI122-'Tariffs Jan2020'!M122)*'Tariffs Jan2020'!S122/100*'Tariffs Jan2020'!AI122,0)</f>
        <v>269.96219999999994</v>
      </c>
      <c r="J128" s="59">
        <f>IF($C$5*'Tariffs Jan2020'!AL122/'Tariffs Jan2020'!AJ122&gt;='Tariffs Jan2020'!J122,('Tariffs Jan2020'!J122*'Tariffs Jan2020'!U122/100)* 'Tariffs Jan2020'!AJ122,($C$5*'Tariffs Jan2020'!AL122/'Tariffs Jan2020'!AJ122*'Tariffs Jan2020'!U122/100)* 'Tariffs Jan2020'!AJ122)</f>
        <v>186.54545454545453</v>
      </c>
      <c r="K128" s="59">
        <f>IF($C$5*'Tariffs Jan2020'!AL122/'Tariffs Jan2020'!AJ122&lt;'Tariffs Jan2020'!J122,0,IF($C$5*'Tariffs Jan2020'!AL122/'Tariffs Jan2020'!AJ122&lt;='Tariffs Jan2020'!K122,($C$5*'Tariffs Jan2020'!AL122/'Tariffs Jan2020'!AJ122-'Tariffs Jan2020'!J122)*('Tariffs Jan2020'!V122/100)*'Tariffs Jan2020'!AJ122,('Tariffs Jan2020'!K122-'Tariffs Jan2020'!J122)*('Tariffs Jan2020'!V122/100)*'Tariffs Jan2020'!AJ122))</f>
        <v>0</v>
      </c>
      <c r="L128" s="59">
        <f>IF($C$5*'Tariffs Jan2020'!AL122/'Tariffs Jan2020'!AJ122&lt;'Tariffs Jan2020'!K122,0,IF($C$5*'Tariffs Jan2020'!AL122/'Tariffs Jan2020'!AJ122&lt;='Tariffs Jan2020'!L122,($C$5*'Tariffs Jan2020'!AL122/'Tariffs Jan2020'!AJ122-'Tariffs Jan2020'!K122)*('Tariffs Jan2020'!W122/100)*'Tariffs Jan2020'!AJ122,('Tariffs Jan2020'!L122-'Tariffs Jan2020'!K122)*('Tariffs Jan2020'!W122/100)*'Tariffs Jan2020'!AJ122))</f>
        <v>0</v>
      </c>
      <c r="M128" s="59">
        <f>IF($C$5*'Tariffs Jan2020'!AL122/'Tariffs Jan2020'!AJ122&lt;'Tariffs Jan2020'!L122,0,IF($C$5*'Tariffs Jan2020'!AL122/'Tariffs Jan2020'!AJ122&lt;='Tariffs Jan2020'!M122,($C$5*'Tariffs Jan2020'!AL122/'Tariffs Jan2020'!AJ122-'Tariffs Jan2020'!L122)*('Tariffs Jan2020'!X122/100)*'Tariffs Jan2020'!AJ122,('Tariffs Jan2020'!M122-'Tariffs Jan2020'!L122)*('Tariffs Jan2020'!X122/100)*'Tariffs Jan2020'!AJ122))</f>
        <v>0</v>
      </c>
      <c r="N128" s="59">
        <f>IF(($C$5*'Tariffs Jan2020'!AL122/'Tariffs Jan2020'!AJ122&gt;'Tariffs Jan2020'!M122),($C$5*'Tariffs Jan2020'!AL122/'Tariffs Jan2020'!AJ122-'Tariffs Jan2020'!M122)*'Tariffs Jan2020'!Y122/100*'Tariffs Jan2020'!AJ122,0)</f>
        <v>466.29834545454537</v>
      </c>
      <c r="O128" s="59">
        <f t="shared" si="44"/>
        <v>1043.896909090909</v>
      </c>
      <c r="P128" s="503">
        <f t="shared" si="30"/>
        <v>1148.2866000000001</v>
      </c>
      <c r="Q128" s="59">
        <f t="shared" si="45"/>
        <v>1335.896909090909</v>
      </c>
      <c r="R128" s="272">
        <f t="shared" si="46"/>
        <v>1469.4866000000002</v>
      </c>
      <c r="S128" s="40">
        <f>'Tariffs Jan2020'!AN122</f>
        <v>0</v>
      </c>
      <c r="T128" s="40">
        <f>'Tariffs Jan2020'!AO122</f>
        <v>0</v>
      </c>
      <c r="U128" s="40">
        <f>'Tariffs Jan2020'!AP122</f>
        <v>5</v>
      </c>
      <c r="V128" s="40">
        <f>'Tariffs Jan2020'!AQ122</f>
        <v>0</v>
      </c>
      <c r="W128" s="284">
        <f>Q128</f>
        <v>1335.896909090909</v>
      </c>
      <c r="X128" s="284">
        <f>W128-(Q128*U128/100)</f>
        <v>1269.1020636363637</v>
      </c>
      <c r="Y128" s="507">
        <f>W128*1.1</f>
        <v>1469.4866000000002</v>
      </c>
      <c r="Z128" s="507">
        <f>X128*1.1</f>
        <v>1396.0122700000002</v>
      </c>
      <c r="AA128" s="274">
        <f>'Tariffs Jan2020'!AZ122</f>
        <v>0</v>
      </c>
      <c r="AB128" s="274" t="str">
        <f>'Tariffs Jan2020'!BA122</f>
        <v>n</v>
      </c>
      <c r="AC128" s="275" t="str">
        <f>'Tariffs Jan2020'!BJ122</f>
        <v>N</v>
      </c>
      <c r="AD128" s="425"/>
      <c r="AE128" s="425"/>
      <c r="AF128" s="427"/>
      <c r="AG128" s="427"/>
      <c r="AH128" s="427"/>
      <c r="AI128" s="427"/>
      <c r="AJ128" s="427"/>
      <c r="AK128" s="427"/>
      <c r="AL128" s="427"/>
      <c r="AM128" s="427"/>
      <c r="AN128" s="427"/>
    </row>
    <row r="129" spans="1:40" ht="14" x14ac:dyDescent="0.15">
      <c r="A129" s="270" t="str">
        <f>'Tariffs Jan2020'!F123</f>
        <v>Powershop</v>
      </c>
      <c r="B129" s="40" t="str">
        <f>'Tariffs Jan2020'!D123</f>
        <v>AusNet Services Central 2</v>
      </c>
      <c r="C129" s="40" t="str">
        <f>'Tariffs Jan2020'!G123</f>
        <v>Shopper with Gas Saver</v>
      </c>
      <c r="D129" s="59">
        <f>365*'Tariffs Jan2020'!H123/100</f>
        <v>294.18999999999994</v>
      </c>
      <c r="E129" s="59">
        <f>((C$5*'Tariffs Jan2020'!AK123/'Tariffs Jan2020'!AI123)*('Tariffs Jan2020'!O123/100))*'Tariffs Jan2020'!AI123</f>
        <v>404.68679999999995</v>
      </c>
      <c r="F129" s="59">
        <v>0</v>
      </c>
      <c r="G129" s="59">
        <v>0</v>
      </c>
      <c r="H129" s="59">
        <v>0</v>
      </c>
      <c r="I129" s="59">
        <v>0</v>
      </c>
      <c r="J129" s="59">
        <f>((C$5*'Tariffs Jan2020'!AL123/'Tariffs Jan2020'!AJ123)*('Tariffs Jan2020'!U123/100))*'Tariffs Jan2020'!AJ123</f>
        <v>679.5684</v>
      </c>
      <c r="K129" s="59">
        <v>0</v>
      </c>
      <c r="L129" s="59">
        <v>0</v>
      </c>
      <c r="M129" s="59">
        <v>0</v>
      </c>
      <c r="N129" s="59">
        <v>0</v>
      </c>
      <c r="O129" s="59">
        <f t="shared" si="44"/>
        <v>1084.2552000000001</v>
      </c>
      <c r="P129" s="503">
        <f t="shared" si="30"/>
        <v>1192.6807200000001</v>
      </c>
      <c r="Q129" s="59">
        <f t="shared" si="45"/>
        <v>1378.4452000000001</v>
      </c>
      <c r="R129" s="272">
        <f t="shared" si="46"/>
        <v>1516.2897200000002</v>
      </c>
      <c r="S129" s="40">
        <f>'Tariffs Jan2020'!AN123</f>
        <v>0</v>
      </c>
      <c r="T129" s="40">
        <f>'Tariffs Jan2020'!AO123</f>
        <v>0</v>
      </c>
      <c r="U129" s="40">
        <f>'Tariffs Jan2020'!AP123</f>
        <v>5</v>
      </c>
      <c r="V129" s="40">
        <f>'Tariffs Jan2020'!AQ123</f>
        <v>0</v>
      </c>
      <c r="W129" s="284">
        <f>R129</f>
        <v>1516.2897200000002</v>
      </c>
      <c r="X129" s="284">
        <f>W129-(W129*U129/100)</f>
        <v>1440.4752340000002</v>
      </c>
      <c r="Y129" s="507">
        <f>W129</f>
        <v>1516.2897200000002</v>
      </c>
      <c r="Z129" s="507">
        <f>X129</f>
        <v>1440.4752340000002</v>
      </c>
      <c r="AA129" s="274">
        <f>'Tariffs Jan2020'!AZ123</f>
        <v>0</v>
      </c>
      <c r="AB129" s="274" t="str">
        <f>'Tariffs Jan2020'!BA123</f>
        <v>n</v>
      </c>
      <c r="AC129" s="275" t="str">
        <f>'Tariffs Jan2020'!BJ123</f>
        <v>Y</v>
      </c>
      <c r="AD129" s="425"/>
      <c r="AE129" s="425"/>
      <c r="AF129" s="427"/>
      <c r="AG129" s="427"/>
      <c r="AH129" s="427"/>
      <c r="AI129" s="427"/>
      <c r="AJ129" s="427"/>
      <c r="AK129" s="427"/>
      <c r="AL129" s="427"/>
      <c r="AM129" s="427"/>
      <c r="AN129" s="427"/>
    </row>
    <row r="130" spans="1:40" ht="14" x14ac:dyDescent="0.15">
      <c r="A130" s="270" t="str">
        <f>'Tariffs Jan2020'!F124</f>
        <v>DC Power Co</v>
      </c>
      <c r="B130" s="40" t="str">
        <f>'Tariffs Jan2020'!D124</f>
        <v>AusNet Services Central 2</v>
      </c>
      <c r="C130" s="40" t="str">
        <f>'Tariffs Jan2020'!G124</f>
        <v>Market offer</v>
      </c>
      <c r="D130" s="59">
        <f>365*'Tariffs Jan2020'!H124/100</f>
        <v>306.2681818181818</v>
      </c>
      <c r="E130" s="59">
        <f>((C$5*'Tariffs Jan2020'!AK124/'Tariffs Jan2020'!AI124)*('Tariffs Jan2020'!O124/100))*'Tariffs Jan2020'!AI124</f>
        <v>389.41559999999998</v>
      </c>
      <c r="F130" s="59">
        <v>0</v>
      </c>
      <c r="G130" s="59">
        <v>0</v>
      </c>
      <c r="H130" s="59">
        <v>0</v>
      </c>
      <c r="I130" s="59">
        <v>0</v>
      </c>
      <c r="J130" s="59">
        <f>((C$5*'Tariffs Jan2020'!AL124/'Tariffs Jan2020'!AJ124)*('Tariffs Jan2020'!U124/100))*'Tariffs Jan2020'!AJ124</f>
        <v>652.84379999999987</v>
      </c>
      <c r="K130" s="59">
        <v>0</v>
      </c>
      <c r="L130" s="59">
        <v>0</v>
      </c>
      <c r="M130" s="59">
        <v>0</v>
      </c>
      <c r="N130" s="59">
        <v>0</v>
      </c>
      <c r="O130" s="59">
        <f t="shared" si="44"/>
        <v>1042.2593999999999</v>
      </c>
      <c r="P130" s="503">
        <f t="shared" si="30"/>
        <v>1146.48534</v>
      </c>
      <c r="Q130" s="59">
        <f t="shared" si="45"/>
        <v>1348.5275818181817</v>
      </c>
      <c r="R130" s="272">
        <f t="shared" si="46"/>
        <v>1483.3803399999999</v>
      </c>
      <c r="S130" s="40">
        <f>'Tariffs Jan2020'!AN124</f>
        <v>0</v>
      </c>
      <c r="T130" s="40">
        <f>'Tariffs Jan2020'!AO124</f>
        <v>0</v>
      </c>
      <c r="U130" s="40">
        <f>'Tariffs Jan2020'!AP124</f>
        <v>0</v>
      </c>
      <c r="V130" s="40">
        <f>'Tariffs Jan2020'!AQ124</f>
        <v>0</v>
      </c>
      <c r="W130" s="284">
        <f t="shared" ref="W130" si="59">Q130</f>
        <v>1348.5275818181817</v>
      </c>
      <c r="X130" s="284">
        <f>W130</f>
        <v>1348.5275818181817</v>
      </c>
      <c r="Y130" s="507">
        <f t="shared" ref="Y130:Y140" si="60">W130*1.1</f>
        <v>1483.3803399999999</v>
      </c>
      <c r="Z130" s="507">
        <f t="shared" ref="Z130:Z140" si="61">X130*1.1</f>
        <v>1483.3803399999999</v>
      </c>
      <c r="AA130" s="274">
        <f>'Tariffs Jan2020'!AZ124</f>
        <v>0</v>
      </c>
      <c r="AB130" s="274" t="str">
        <f>'Tariffs Jan2020'!BA124</f>
        <v>n</v>
      </c>
      <c r="AC130" s="275" t="str">
        <f>'Tariffs Jan2020'!BJ124</f>
        <v>Y</v>
      </c>
      <c r="AD130" s="425"/>
      <c r="AE130" s="425"/>
      <c r="AF130" s="427"/>
      <c r="AG130" s="427"/>
      <c r="AH130" s="427"/>
      <c r="AI130" s="427"/>
      <c r="AJ130" s="427"/>
      <c r="AK130" s="427"/>
      <c r="AL130" s="427"/>
      <c r="AM130" s="427"/>
      <c r="AN130" s="427"/>
    </row>
    <row r="131" spans="1:40" ht="14" x14ac:dyDescent="0.15">
      <c r="A131" s="270" t="str">
        <f>'Tariffs Jan2020'!F125</f>
        <v>1st Energy</v>
      </c>
      <c r="B131" s="40" t="str">
        <f>'Tariffs Jan2020'!D125</f>
        <v>AusNet Services Central 2</v>
      </c>
      <c r="C131" s="40" t="str">
        <f>'Tariffs Jan2020'!G125</f>
        <v>1st Saver</v>
      </c>
      <c r="D131" s="59">
        <f>365*'Tariffs Jan2020'!H125/100</f>
        <v>313.89999999999998</v>
      </c>
      <c r="E131" s="59">
        <f>IF($C$5*'Tariffs Jan2020'!AK125/'Tariffs Jan2020'!AI125&gt;='Tariffs Jan2020'!J125,( 'Tariffs Jan2020'!J125*'Tariffs Jan2020'!O125/100)* 'Tariffs Jan2020'!AI125,($C$5*'Tariffs Jan2020'!AK125/'Tariffs Jan2020'!AI125*'Tariffs Jan2020'!O125/100)* 'Tariffs Jan2020'!AI125)</f>
        <v>369.81818181818181</v>
      </c>
      <c r="F131" s="59">
        <f>IF($C$5*'Tariffs Jan2020'!AK125/'Tariffs Jan2020'!AI125&lt;'Tariffs Jan2020'!J125,0,IF($C$5*'Tariffs Jan2020'!AK125/'Tariffs Jan2020'!AI125&lt;='Tariffs Jan2020'!K125,($C$5*'Tariffs Jan2020'!AK125/'Tariffs Jan2020'!AI125-'Tariffs Jan2020'!J125)*('Tariffs Jan2020'!P125/100)*'Tariffs Jan2020'!AI125,('Tariffs Jan2020'!K125-'Tariffs Jan2020'!J125)*('Tariffs Jan2020'!P125/100)*'Tariffs Jan2020'!AI125))</f>
        <v>252.81818181818181</v>
      </c>
      <c r="G131" s="59">
        <f>IF($C$5*'Tariffs Jan2020'!AK125/'Tariffs Jan2020'!AI125&lt;'Tariffs Jan2020'!K125,0,IF($C$5*'Tariffs Jan2020'!AK125/'Tariffs Jan2020'!AI125&lt;='Tariffs Jan2020'!L125,($C$5*'Tariffs Jan2020'!AK125/'Tariffs Jan2020'!AI125-'Tariffs Jan2020'!K125)*('Tariffs Jan2020'!Q125/100)*'Tariffs Jan2020'!AI125,('Tariffs Jan2020'!L125-'Tariffs Jan2020'!K125)*('Tariffs Jan2020'!Q125/100)*'Tariffs Jan2020'!AI125))</f>
        <v>0</v>
      </c>
      <c r="H131" s="59">
        <f>IF($C$5*'Tariffs Jan2020'!AK125/'Tariffs Jan2020'!AI125&lt;'Tariffs Jan2020'!L125,0,IF($C$5*'Tariffs Jan2020'!AK125/'Tariffs Jan2020'!AI125&lt;='Tariffs Jan2020'!M125,($C$5*'Tariffs Jan2020'!AK125/'Tariffs Jan2020'!AI125-'Tariffs Jan2020'!L125)*('Tariffs Jan2020'!R125/100)*'Tariffs Jan2020'!AI125,('Tariffs Jan2020'!M125-'Tariffs Jan2020'!L125)*('Tariffs Jan2020'!R125/100)*'Tariffs Jan2020'!AI125))</f>
        <v>0</v>
      </c>
      <c r="I131" s="59">
        <f>IF(($C$5*'Tariffs Jan2020'!AK125/'Tariffs Jan2020'!AI125&gt;'Tariffs Jan2020'!M125),($C$5*'Tariffs Jan2020'!AK125/'Tariffs Jan2020'!AI125-'Tariffs Jan2020'!M125)*'Tariffs Jan2020'!S125/100*'Tariffs Jan2020'!AI125,0)</f>
        <v>0</v>
      </c>
      <c r="J131" s="59">
        <f>IF($C$5*'Tariffs Jan2020'!AL125/'Tariffs Jan2020'!AJ125&gt;='Tariffs Jan2020'!J125,('Tariffs Jan2020'!J125*'Tariffs Jan2020'!U125/100)* 'Tariffs Jan2020'!AJ125,($C$5*'Tariffs Jan2020'!AL125/'Tariffs Jan2020'!AJ125*'Tariffs Jan2020'!U125/100)* 'Tariffs Jan2020'!AJ125)</f>
        <v>369.81818181818181</v>
      </c>
      <c r="K131" s="59">
        <f>IF($C$5*'Tariffs Jan2020'!AL125/'Tariffs Jan2020'!AJ125&lt;'Tariffs Jan2020'!J125,0,IF($C$5*'Tariffs Jan2020'!AL125/'Tariffs Jan2020'!AJ125&lt;='Tariffs Jan2020'!K125,($C$5*'Tariffs Jan2020'!AL125/'Tariffs Jan2020'!AJ125-'Tariffs Jan2020'!J125)*('Tariffs Jan2020'!V125/100)*'Tariffs Jan2020'!AJ125,('Tariffs Jan2020'!K125-'Tariffs Jan2020'!J125)*('Tariffs Jan2020'!V125/100)*'Tariffs Jan2020'!AJ125))</f>
        <v>252.81818181818181</v>
      </c>
      <c r="L131" s="59">
        <f>IF($C$5*'Tariffs Jan2020'!AL125/'Tariffs Jan2020'!AJ125&lt;'Tariffs Jan2020'!K125,0,IF($C$5*'Tariffs Jan2020'!AL125/'Tariffs Jan2020'!AJ125&lt;='Tariffs Jan2020'!L125,($C$5*'Tariffs Jan2020'!AL125/'Tariffs Jan2020'!AJ125-'Tariffs Jan2020'!K125)*('Tariffs Jan2020'!W125/100)*'Tariffs Jan2020'!AJ125,('Tariffs Jan2020'!L125-'Tariffs Jan2020'!K125)*('Tariffs Jan2020'!W125/100)*'Tariffs Jan2020'!AJ125))</f>
        <v>0</v>
      </c>
      <c r="M131" s="59">
        <f>IF($C$5*'Tariffs Jan2020'!AL125/'Tariffs Jan2020'!AJ125&lt;'Tariffs Jan2020'!L125,0,IF($C$5*'Tariffs Jan2020'!AL125/'Tariffs Jan2020'!AJ125&lt;='Tariffs Jan2020'!M125,($C$5*'Tariffs Jan2020'!AL125/'Tariffs Jan2020'!AJ125-'Tariffs Jan2020'!L125)*('Tariffs Jan2020'!X125/100)*'Tariffs Jan2020'!AJ125,('Tariffs Jan2020'!M125-'Tariffs Jan2020'!L125)*('Tariffs Jan2020'!X125/100)*'Tariffs Jan2020'!AJ125))</f>
        <v>0</v>
      </c>
      <c r="N131" s="59">
        <f>IF(($C$5*'Tariffs Jan2020'!AL125/'Tariffs Jan2020'!AJ125&gt;'Tariffs Jan2020'!M125),($C$5*'Tariffs Jan2020'!AL125/'Tariffs Jan2020'!AJ125-'Tariffs Jan2020'!M125)*'Tariffs Jan2020'!Y125/100*'Tariffs Jan2020'!AJ125,0)</f>
        <v>0</v>
      </c>
      <c r="O131" s="59">
        <f t="shared" si="44"/>
        <v>1245.2727272727273</v>
      </c>
      <c r="P131" s="503">
        <f t="shared" si="30"/>
        <v>1369.8000000000002</v>
      </c>
      <c r="Q131" s="59">
        <f t="shared" si="45"/>
        <v>1559.1727272727271</v>
      </c>
      <c r="R131" s="272">
        <f t="shared" si="46"/>
        <v>1715.09</v>
      </c>
      <c r="S131" s="40">
        <f>'Tariffs Jan2020'!AN125</f>
        <v>0</v>
      </c>
      <c r="T131" s="40">
        <f>'Tariffs Jan2020'!AO125</f>
        <v>0</v>
      </c>
      <c r="U131" s="40">
        <f>'Tariffs Jan2020'!AP125</f>
        <v>0</v>
      </c>
      <c r="V131" s="40">
        <f>'Tariffs Jan2020'!AQ125</f>
        <v>15</v>
      </c>
      <c r="W131" s="284">
        <f>Q131</f>
        <v>1559.1727272727271</v>
      </c>
      <c r="X131" s="284">
        <f>W131-(O131*V131/100)</f>
        <v>1372.3818181818181</v>
      </c>
      <c r="Y131" s="507">
        <f t="shared" si="60"/>
        <v>1715.09</v>
      </c>
      <c r="Z131" s="507">
        <f t="shared" si="61"/>
        <v>1509.62</v>
      </c>
      <c r="AA131" s="274">
        <f>'Tariffs Jan2020'!AZ125</f>
        <v>0</v>
      </c>
      <c r="AB131" s="274" t="str">
        <f>'Tariffs Jan2020'!BA125</f>
        <v>n</v>
      </c>
      <c r="AC131" s="275" t="str">
        <f>'Tariffs Jan2020'!BJ125</f>
        <v>Y</v>
      </c>
      <c r="AD131" s="425"/>
      <c r="AE131" s="425"/>
      <c r="AF131" s="427"/>
      <c r="AG131" s="427"/>
      <c r="AH131" s="427"/>
      <c r="AI131" s="427"/>
      <c r="AJ131" s="427"/>
      <c r="AK131" s="427"/>
      <c r="AL131" s="427"/>
      <c r="AM131" s="427"/>
      <c r="AN131" s="427"/>
    </row>
    <row r="132" spans="1:40" ht="15" thickBot="1" x14ac:dyDescent="0.2">
      <c r="A132" s="276" t="str">
        <f>'Tariffs Jan2020'!F126</f>
        <v>Kogan Energy</v>
      </c>
      <c r="B132" s="277" t="str">
        <f>'Tariffs Jan2020'!D126</f>
        <v>AusNet Services Central 2</v>
      </c>
      <c r="C132" s="277" t="str">
        <f>'Tariffs Jan2020'!G126</f>
        <v>Market offer</v>
      </c>
      <c r="D132" s="278">
        <f>365*'Tariffs Jan2020'!H126/100</f>
        <v>281.68045454545455</v>
      </c>
      <c r="E132" s="278">
        <f>((C$5*'Tariffs Jan2020'!AK126/'Tariffs Jan2020'!AI126)*('Tariffs Jan2020'!O126/100))*'Tariffs Jan2020'!AI126</f>
        <v>402.77789999999987</v>
      </c>
      <c r="F132" s="278">
        <v>0</v>
      </c>
      <c r="G132" s="278">
        <v>0</v>
      </c>
      <c r="H132" s="278">
        <v>0</v>
      </c>
      <c r="I132" s="278">
        <v>0</v>
      </c>
      <c r="J132" s="278">
        <f>((C$5*'Tariffs Jan2020'!AL126/'Tariffs Jan2020'!AJ126)*('Tariffs Jan2020'!U126/100))*'Tariffs Jan2020'!AJ126</f>
        <v>729.19979999999987</v>
      </c>
      <c r="K132" s="278">
        <v>0</v>
      </c>
      <c r="L132" s="278">
        <v>0</v>
      </c>
      <c r="M132" s="278">
        <v>0</v>
      </c>
      <c r="N132" s="278">
        <v>0</v>
      </c>
      <c r="O132" s="278">
        <f t="shared" si="44"/>
        <v>1131.9776999999997</v>
      </c>
      <c r="P132" s="504">
        <f t="shared" si="30"/>
        <v>1245.1754699999997</v>
      </c>
      <c r="Q132" s="278">
        <f t="shared" si="45"/>
        <v>1413.6581545454542</v>
      </c>
      <c r="R132" s="280">
        <f t="shared" si="46"/>
        <v>1555.0239699999997</v>
      </c>
      <c r="S132" s="277">
        <f>'Tariffs Jan2020'!AN126</f>
        <v>0</v>
      </c>
      <c r="T132" s="277">
        <f>'Tariffs Jan2020'!AO126</f>
        <v>0</v>
      </c>
      <c r="U132" s="277">
        <f>'Tariffs Jan2020'!AP126</f>
        <v>0</v>
      </c>
      <c r="V132" s="277">
        <f>'Tariffs Jan2020'!AQ126</f>
        <v>0</v>
      </c>
      <c r="W132" s="285">
        <f t="shared" ref="W132" si="62">Q132</f>
        <v>1413.6581545454542</v>
      </c>
      <c r="X132" s="285">
        <f>W132</f>
        <v>1413.6581545454542</v>
      </c>
      <c r="Y132" s="508">
        <f t="shared" si="60"/>
        <v>1555.0239699999997</v>
      </c>
      <c r="Z132" s="508">
        <f t="shared" si="61"/>
        <v>1555.0239699999997</v>
      </c>
      <c r="AA132" s="282">
        <f>'Tariffs Jan2020'!AZ126</f>
        <v>0</v>
      </c>
      <c r="AB132" s="282" t="str">
        <f>'Tariffs Jan2020'!BA126</f>
        <v>n</v>
      </c>
      <c r="AC132" s="283" t="str">
        <f>'Tariffs Jan2020'!BJ126</f>
        <v>N</v>
      </c>
      <c r="AD132" s="425"/>
      <c r="AE132" s="425"/>
      <c r="AF132" s="427"/>
      <c r="AG132" s="427"/>
      <c r="AH132" s="427"/>
      <c r="AI132" s="427"/>
      <c r="AJ132" s="427"/>
      <c r="AK132" s="427"/>
      <c r="AL132" s="427"/>
      <c r="AM132" s="427"/>
      <c r="AN132" s="427"/>
    </row>
    <row r="133" spans="1:40" ht="15" thickTop="1" x14ac:dyDescent="0.15">
      <c r="A133" s="270" t="str">
        <f>'Tariffs Jan2020'!F127</f>
        <v>AGL</v>
      </c>
      <c r="B133" s="40" t="str">
        <f>'Tariffs Jan2020'!D127</f>
        <v>AusNet Services Central 1</v>
      </c>
      <c r="C133" s="40" t="str">
        <f>'Tariffs Jan2020'!G127</f>
        <v>Essentials Saver</v>
      </c>
      <c r="D133" s="59">
        <f>365*'Tariffs Jan2020'!H127/100</f>
        <v>302.7177272727273</v>
      </c>
      <c r="E133" s="59">
        <f>IF($C$5*'Tariffs Jan2020'!AK127/'Tariffs Jan2020'!AI127&gt;='Tariffs Jan2020'!J127,( 'Tariffs Jan2020'!J127*'Tariffs Jan2020'!O127/100)* 'Tariffs Jan2020'!AI127,($C$5*'Tariffs Jan2020'!AK127/'Tariffs Jan2020'!AI127*'Tariffs Jan2020'!O127/100)* 'Tariffs Jan2020'!AI127)</f>
        <v>213.81818181818181</v>
      </c>
      <c r="F133" s="59">
        <f>IF($C$5*'Tariffs Jan2020'!AK127/'Tariffs Jan2020'!AI127&lt;'Tariffs Jan2020'!J127,0,IF($C$5*'Tariffs Jan2020'!AK127/'Tariffs Jan2020'!AI127&lt;='Tariffs Jan2020'!K127,($C$5*'Tariffs Jan2020'!AK127/'Tariffs Jan2020'!AI127-'Tariffs Jan2020'!J127)*('Tariffs Jan2020'!P127/100)*'Tariffs Jan2020'!AI127,('Tariffs Jan2020'!K127-'Tariffs Jan2020'!J127)*('Tariffs Jan2020'!P127/100)*'Tariffs Jan2020'!AI127))</f>
        <v>155.41827272727267</v>
      </c>
      <c r="G133" s="59">
        <f>IF($C$5*'Tariffs Jan2020'!AK127/'Tariffs Jan2020'!AI127&lt;'Tariffs Jan2020'!K127,0,IF($C$5*'Tariffs Jan2020'!AK127/'Tariffs Jan2020'!AI127&lt;='Tariffs Jan2020'!L127,($C$5*'Tariffs Jan2020'!AK127/'Tariffs Jan2020'!AI127-'Tariffs Jan2020'!K127)*('Tariffs Jan2020'!Q127/100)*'Tariffs Jan2020'!AI127,('Tariffs Jan2020'!L127-'Tariffs Jan2020'!K127)*('Tariffs Jan2020'!Q127/100)*'Tariffs Jan2020'!AI127))</f>
        <v>0</v>
      </c>
      <c r="H133" s="59">
        <f>IF($C$5*'Tariffs Jan2020'!AK127/'Tariffs Jan2020'!AI127&lt;'Tariffs Jan2020'!L127,0,IF($C$5*'Tariffs Jan2020'!AK127/'Tariffs Jan2020'!AI127&lt;='Tariffs Jan2020'!M127,($C$5*'Tariffs Jan2020'!AK127/'Tariffs Jan2020'!AI127-'Tariffs Jan2020'!L127)*('Tariffs Jan2020'!R127/100)*'Tariffs Jan2020'!AI127,('Tariffs Jan2020'!M127-'Tariffs Jan2020'!L127)*('Tariffs Jan2020'!R127/100)*'Tariffs Jan2020'!AI127))</f>
        <v>0</v>
      </c>
      <c r="I133" s="59">
        <f>IF(($C$5*'Tariffs Jan2020'!AK127/'Tariffs Jan2020'!AI127&gt;'Tariffs Jan2020'!M127),($C$5*'Tariffs Jan2020'!AK127/'Tariffs Jan2020'!AI127-'Tariffs Jan2020'!M127)*'Tariffs Jan2020'!S127/100*'Tariffs Jan2020'!AI127,0)</f>
        <v>0</v>
      </c>
      <c r="J133" s="59">
        <f>IF($C$5*'Tariffs Jan2020'!AL127/'Tariffs Jan2020'!AJ127&gt;='Tariffs Jan2020'!J127,('Tariffs Jan2020'!J127*'Tariffs Jan2020'!U127/100)* 'Tariffs Jan2020'!AJ127,($C$5*'Tariffs Jan2020'!AL127/'Tariffs Jan2020'!AJ127*'Tariffs Jan2020'!U127/100)* 'Tariffs Jan2020'!AJ127)</f>
        <v>390.54545454545456</v>
      </c>
      <c r="K133" s="59">
        <f>IF($C$5*'Tariffs Jan2020'!AL127/'Tariffs Jan2020'!AJ127&lt;'Tariffs Jan2020'!J127,0,IF($C$5*'Tariffs Jan2020'!AL127/'Tariffs Jan2020'!AJ127&lt;='Tariffs Jan2020'!K127,($C$5*'Tariffs Jan2020'!AL127/'Tariffs Jan2020'!AJ127-'Tariffs Jan2020'!J127)*('Tariffs Jan2020'!V127/100)*'Tariffs Jan2020'!AJ127,('Tariffs Jan2020'!K127-'Tariffs Jan2020'!J127)*('Tariffs Jan2020'!V127/100)*'Tariffs Jan2020'!AJ127))</f>
        <v>229.03745454545444</v>
      </c>
      <c r="L133" s="59">
        <f>IF($C$5*'Tariffs Jan2020'!AL127/'Tariffs Jan2020'!AJ127&lt;'Tariffs Jan2020'!K127,0,IF($C$5*'Tariffs Jan2020'!AL127/'Tariffs Jan2020'!AJ127&lt;='Tariffs Jan2020'!L127,($C$5*'Tariffs Jan2020'!AL127/'Tariffs Jan2020'!AJ127-'Tariffs Jan2020'!K127)*('Tariffs Jan2020'!W127/100)*'Tariffs Jan2020'!AJ127,('Tariffs Jan2020'!L127-'Tariffs Jan2020'!K127)*('Tariffs Jan2020'!W127/100)*'Tariffs Jan2020'!AJ127))</f>
        <v>0</v>
      </c>
      <c r="M133" s="59">
        <f>IF($C$5*'Tariffs Jan2020'!AL127/'Tariffs Jan2020'!AJ127&lt;'Tariffs Jan2020'!L127,0,IF($C$5*'Tariffs Jan2020'!AL127/'Tariffs Jan2020'!AJ127&lt;='Tariffs Jan2020'!M127,($C$5*'Tariffs Jan2020'!AL127/'Tariffs Jan2020'!AJ127-'Tariffs Jan2020'!L127)*('Tariffs Jan2020'!X127/100)*'Tariffs Jan2020'!AJ127,('Tariffs Jan2020'!M127-'Tariffs Jan2020'!L127)*('Tariffs Jan2020'!X127/100)*'Tariffs Jan2020'!AJ127))</f>
        <v>0</v>
      </c>
      <c r="N133" s="59">
        <f>IF(($C$5*'Tariffs Jan2020'!AL127/'Tariffs Jan2020'!AJ127&gt;'Tariffs Jan2020'!M127),($C$5*'Tariffs Jan2020'!AL127/'Tariffs Jan2020'!AJ127-'Tariffs Jan2020'!M127)*'Tariffs Jan2020'!Y127/100*'Tariffs Jan2020'!AJ127,0)</f>
        <v>0</v>
      </c>
      <c r="O133" s="59">
        <f t="shared" si="44"/>
        <v>988.81936363636351</v>
      </c>
      <c r="P133" s="503">
        <f t="shared" si="30"/>
        <v>1087.7012999999999</v>
      </c>
      <c r="Q133" s="59">
        <f t="shared" si="45"/>
        <v>1291.5370909090907</v>
      </c>
      <c r="R133" s="272">
        <f t="shared" si="46"/>
        <v>1420.6907999999999</v>
      </c>
      <c r="S133" s="40">
        <f>'Tariffs Jan2020'!AN127</f>
        <v>0</v>
      </c>
      <c r="T133" s="40">
        <f>'Tariffs Jan2020'!AO127</f>
        <v>0</v>
      </c>
      <c r="U133" s="40">
        <f>'Tariffs Jan2020'!AP127</f>
        <v>0</v>
      </c>
      <c r="V133" s="40">
        <f>'Tariffs Jan2020'!AQ127</f>
        <v>0</v>
      </c>
      <c r="W133" s="284">
        <f>Q133</f>
        <v>1291.5370909090907</v>
      </c>
      <c r="X133" s="284">
        <f>W133</f>
        <v>1291.5370909090907</v>
      </c>
      <c r="Y133" s="507">
        <f t="shared" si="60"/>
        <v>1420.6907999999999</v>
      </c>
      <c r="Z133" s="507">
        <f t="shared" si="61"/>
        <v>1420.6907999999999</v>
      </c>
      <c r="AA133" s="274">
        <f>'Tariffs Jan2020'!AZ127</f>
        <v>0</v>
      </c>
      <c r="AB133" s="274" t="str">
        <f>'Tariffs Jan2020'!BA127</f>
        <v>n</v>
      </c>
      <c r="AC133" s="275" t="str">
        <f>'Tariffs Jan2020'!BJ127</f>
        <v>N</v>
      </c>
      <c r="AD133" s="425"/>
      <c r="AE133" s="425"/>
      <c r="AF133" s="427"/>
      <c r="AG133" s="427"/>
      <c r="AH133" s="427"/>
      <c r="AI133" s="427"/>
      <c r="AJ133" s="427"/>
      <c r="AK133" s="427"/>
      <c r="AL133" s="427"/>
      <c r="AM133" s="427"/>
      <c r="AN133" s="427"/>
    </row>
    <row r="134" spans="1:40" ht="14" x14ac:dyDescent="0.15">
      <c r="A134" s="270" t="str">
        <f>'Tariffs Jan2020'!F128</f>
        <v>Alinta Energy</v>
      </c>
      <c r="B134" s="40" t="str">
        <f>'Tariffs Jan2020'!D128</f>
        <v>AusNet Services Central 1</v>
      </c>
      <c r="C134" s="40" t="str">
        <f>'Tariffs Jan2020'!G128</f>
        <v>Home Deal</v>
      </c>
      <c r="D134" s="59">
        <f>365*'Tariffs Jan2020'!H128/100</f>
        <v>266.45</v>
      </c>
      <c r="E134" s="59">
        <f>IF($C$5*'Tariffs Jan2020'!AK128/'Tariffs Jan2020'!AI128&gt;='Tariffs Jan2020'!J128,( 'Tariffs Jan2020'!J128*'Tariffs Jan2020'!O128/100)* 'Tariffs Jan2020'!AI128,($C$5*'Tariffs Jan2020'!AK128/'Tariffs Jan2020'!AI128*'Tariffs Jan2020'!O128/100)* 'Tariffs Jan2020'!AI128)</f>
        <v>275.99999999999994</v>
      </c>
      <c r="F134" s="59">
        <f>IF($C$5*'Tariffs Jan2020'!AK128/'Tariffs Jan2020'!AI128&lt;'Tariffs Jan2020'!J128,0,IF($C$5*'Tariffs Jan2020'!AK128/'Tariffs Jan2020'!AI128&lt;='Tariffs Jan2020'!K128,($C$5*'Tariffs Jan2020'!AK128/'Tariffs Jan2020'!AI128-'Tariffs Jan2020'!J128)*('Tariffs Jan2020'!P128/100)*'Tariffs Jan2020'!AI128,('Tariffs Jan2020'!K128-'Tariffs Jan2020'!J128)*('Tariffs Jan2020'!P128/100)*'Tariffs Jan2020'!AI128))</f>
        <v>0</v>
      </c>
      <c r="G134" s="59">
        <f>IF($C$5*'Tariffs Jan2020'!AK128/'Tariffs Jan2020'!AI128&lt;'Tariffs Jan2020'!K128,0,IF($C$5*'Tariffs Jan2020'!AK128/'Tariffs Jan2020'!AI128&lt;='Tariffs Jan2020'!L128,($C$5*'Tariffs Jan2020'!AK128/'Tariffs Jan2020'!AI128-'Tariffs Jan2020'!K128)*('Tariffs Jan2020'!Q128/100)*'Tariffs Jan2020'!AI128,('Tariffs Jan2020'!L128-'Tariffs Jan2020'!K128)*('Tariffs Jan2020'!Q128/100)*'Tariffs Jan2020'!AI128))</f>
        <v>0</v>
      </c>
      <c r="H134" s="59">
        <f>IF($C$5*'Tariffs Jan2020'!AK128/'Tariffs Jan2020'!AI128&lt;'Tariffs Jan2020'!L128,0,IF($C$5*'Tariffs Jan2020'!AK128/'Tariffs Jan2020'!AI128&lt;='Tariffs Jan2020'!M128,($C$5*'Tariffs Jan2020'!AK128/'Tariffs Jan2020'!AI128-'Tariffs Jan2020'!L128)*('Tariffs Jan2020'!R128/100)*'Tariffs Jan2020'!AI128,('Tariffs Jan2020'!M128-'Tariffs Jan2020'!L128)*('Tariffs Jan2020'!R128/100)*'Tariffs Jan2020'!AI128))</f>
        <v>0</v>
      </c>
      <c r="I134" s="59">
        <f>IF(($C$5*'Tariffs Jan2020'!AK128/'Tariffs Jan2020'!AI128&gt;'Tariffs Jan2020'!M128),($C$5*'Tariffs Jan2020'!AK128/'Tariffs Jan2020'!AI128-'Tariffs Jan2020'!M128)*'Tariffs Jan2020'!S128/100*'Tariffs Jan2020'!AI128,0)</f>
        <v>152.96429999999998</v>
      </c>
      <c r="J134" s="59">
        <f>IF($C$5*'Tariffs Jan2020'!AL128/'Tariffs Jan2020'!AJ128&gt;='Tariffs Jan2020'!J128,('Tariffs Jan2020'!J128*'Tariffs Jan2020'!U128/100)* 'Tariffs Jan2020'!AJ128,($C$5*'Tariffs Jan2020'!AL128/'Tariffs Jan2020'!AJ128*'Tariffs Jan2020'!U128/100)* 'Tariffs Jan2020'!AJ128)</f>
        <v>504</v>
      </c>
      <c r="K134" s="59">
        <f>IF($C$5*'Tariffs Jan2020'!AL128/'Tariffs Jan2020'!AJ128&lt;'Tariffs Jan2020'!J128,0,IF($C$5*'Tariffs Jan2020'!AL128/'Tariffs Jan2020'!AJ128&lt;='Tariffs Jan2020'!K128,($C$5*'Tariffs Jan2020'!AL128/'Tariffs Jan2020'!AJ128-'Tariffs Jan2020'!J128)*('Tariffs Jan2020'!V128/100)*'Tariffs Jan2020'!AJ128,('Tariffs Jan2020'!K128-'Tariffs Jan2020'!J128)*('Tariffs Jan2020'!V128/100)*'Tariffs Jan2020'!AJ128))</f>
        <v>0</v>
      </c>
      <c r="L134" s="59">
        <f>IF($C$5*'Tariffs Jan2020'!AL128/'Tariffs Jan2020'!AJ128&lt;'Tariffs Jan2020'!K128,0,IF($C$5*'Tariffs Jan2020'!AL128/'Tariffs Jan2020'!AJ128&lt;='Tariffs Jan2020'!L128,($C$5*'Tariffs Jan2020'!AL128/'Tariffs Jan2020'!AJ128-'Tariffs Jan2020'!K128)*('Tariffs Jan2020'!W128/100)*'Tariffs Jan2020'!AJ128,('Tariffs Jan2020'!L128-'Tariffs Jan2020'!K128)*('Tariffs Jan2020'!W128/100)*'Tariffs Jan2020'!AJ128))</f>
        <v>0</v>
      </c>
      <c r="M134" s="59">
        <f>IF($C$5*'Tariffs Jan2020'!AL128/'Tariffs Jan2020'!AJ128&lt;'Tariffs Jan2020'!L128,0,IF($C$5*'Tariffs Jan2020'!AL128/'Tariffs Jan2020'!AJ128&lt;='Tariffs Jan2020'!M128,($C$5*'Tariffs Jan2020'!AL128/'Tariffs Jan2020'!AJ128-'Tariffs Jan2020'!L128)*('Tariffs Jan2020'!X128/100)*'Tariffs Jan2020'!AJ128,('Tariffs Jan2020'!M128-'Tariffs Jan2020'!L128)*('Tariffs Jan2020'!X128/100)*'Tariffs Jan2020'!AJ128))</f>
        <v>0</v>
      </c>
      <c r="N134" s="59">
        <f>IF(($C$5*'Tariffs Jan2020'!AL128/'Tariffs Jan2020'!AJ128&gt;'Tariffs Jan2020'!M128),($C$5*'Tariffs Jan2020'!AL128/'Tariffs Jan2020'!AJ128-'Tariffs Jan2020'!M128)*'Tariffs Jan2020'!Y128/100*'Tariffs Jan2020'!AJ128,0)</f>
        <v>305.92859999999996</v>
      </c>
      <c r="O134" s="59">
        <f>SUM(E134:N134)</f>
        <v>1238.8928999999998</v>
      </c>
      <c r="P134" s="503">
        <f t="shared" si="30"/>
        <v>1362.7821899999999</v>
      </c>
      <c r="Q134" s="59">
        <f>D134+O134</f>
        <v>1505.3428999999999</v>
      </c>
      <c r="R134" s="272">
        <f>Q134*1.1</f>
        <v>1655.8771899999999</v>
      </c>
      <c r="S134" s="40">
        <f>'Tariffs Jan2020'!AN128</f>
        <v>0</v>
      </c>
      <c r="T134" s="40">
        <f>'Tariffs Jan2020'!AO128</f>
        <v>0</v>
      </c>
      <c r="U134" s="40">
        <f>'Tariffs Jan2020'!AP128</f>
        <v>0</v>
      </c>
      <c r="V134" s="40">
        <f>'Tariffs Jan2020'!AQ128</f>
        <v>0</v>
      </c>
      <c r="W134" s="284">
        <f>Q134</f>
        <v>1505.3428999999999</v>
      </c>
      <c r="X134" s="284">
        <f>W134</f>
        <v>1505.3428999999999</v>
      </c>
      <c r="Y134" s="507">
        <f t="shared" si="60"/>
        <v>1655.8771899999999</v>
      </c>
      <c r="Z134" s="507">
        <f t="shared" si="61"/>
        <v>1655.8771899999999</v>
      </c>
      <c r="AA134" s="274">
        <f>'Tariffs Jan2020'!AZ128</f>
        <v>0</v>
      </c>
      <c r="AB134" s="274" t="str">
        <f>'Tariffs Jan2020'!BA128</f>
        <v>n</v>
      </c>
      <c r="AC134" s="275" t="str">
        <f>'Tariffs Jan2020'!BJ128</f>
        <v>N</v>
      </c>
      <c r="AD134" s="425"/>
      <c r="AE134" s="425"/>
      <c r="AF134" s="427"/>
      <c r="AG134" s="427"/>
      <c r="AH134" s="427"/>
      <c r="AI134" s="427"/>
      <c r="AJ134" s="427"/>
      <c r="AK134" s="427"/>
      <c r="AL134" s="427"/>
      <c r="AM134" s="427"/>
      <c r="AN134" s="427"/>
    </row>
    <row r="135" spans="1:40" ht="14" x14ac:dyDescent="0.15">
      <c r="A135" s="270" t="str">
        <f>'Tariffs Jan2020'!F129</f>
        <v>Click Energy</v>
      </c>
      <c r="B135" s="40" t="str">
        <f>'Tariffs Jan2020'!D129</f>
        <v>AusNet Services Central 1</v>
      </c>
      <c r="C135" s="40" t="str">
        <f>'Tariffs Jan2020'!G129</f>
        <v>Hibiscus</v>
      </c>
      <c r="D135" s="59">
        <f>365*'Tariffs Jan2020'!H129/100</f>
        <v>261.47272727272724</v>
      </c>
      <c r="E135" s="59">
        <f>IF($C$5*'Tariffs Jan2020'!AK129/'Tariffs Jan2020'!AI129&gt;='Tariffs Jan2020'!J129,( 'Tariffs Jan2020'!J129*'Tariffs Jan2020'!O129/100)* 'Tariffs Jan2020'!AI129,($C$5*'Tariffs Jan2020'!AK129/'Tariffs Jan2020'!AI129*'Tariffs Jan2020'!O129/100)* 'Tariffs Jan2020'!AI129)</f>
        <v>315.27272727272725</v>
      </c>
      <c r="F135" s="59">
        <f>IF($C$5*'Tariffs Jan2020'!AK129/'Tariffs Jan2020'!AI129&lt;'Tariffs Jan2020'!J129,0,IF($C$5*'Tariffs Jan2020'!AK129/'Tariffs Jan2020'!AI129&lt;='Tariffs Jan2020'!K129,($C$5*'Tariffs Jan2020'!AK129/'Tariffs Jan2020'!AI129-'Tariffs Jan2020'!J129)*('Tariffs Jan2020'!P129/100)*'Tariffs Jan2020'!AI129,('Tariffs Jan2020'!K129-'Tariffs Jan2020'!J129)*('Tariffs Jan2020'!P129/100)*'Tariffs Jan2020'!AI129))</f>
        <v>202.8617454545454</v>
      </c>
      <c r="G135" s="59">
        <f>IF($C$5*'Tariffs Jan2020'!AK129/'Tariffs Jan2020'!AI129&lt;'Tariffs Jan2020'!K129,0,IF($C$5*'Tariffs Jan2020'!AK129/'Tariffs Jan2020'!AI129&lt;='Tariffs Jan2020'!L129,($C$5*'Tariffs Jan2020'!AK129/'Tariffs Jan2020'!AI129-'Tariffs Jan2020'!K129)*('Tariffs Jan2020'!Q129/100)*'Tariffs Jan2020'!AI129,('Tariffs Jan2020'!L129-'Tariffs Jan2020'!K129)*('Tariffs Jan2020'!Q129/100)*'Tariffs Jan2020'!AI129))</f>
        <v>0</v>
      </c>
      <c r="H135" s="59">
        <f>IF($C$5*'Tariffs Jan2020'!AK129/'Tariffs Jan2020'!AI129&lt;'Tariffs Jan2020'!L129,0,IF($C$5*'Tariffs Jan2020'!AK129/'Tariffs Jan2020'!AI129&lt;='Tariffs Jan2020'!M129,($C$5*'Tariffs Jan2020'!AK129/'Tariffs Jan2020'!AI129-'Tariffs Jan2020'!L129)*('Tariffs Jan2020'!R129/100)*'Tariffs Jan2020'!AI129,('Tariffs Jan2020'!M129-'Tariffs Jan2020'!L129)*('Tariffs Jan2020'!R129/100)*'Tariffs Jan2020'!AI129))</f>
        <v>0</v>
      </c>
      <c r="I135" s="59">
        <f>IF(($C$5*'Tariffs Jan2020'!AK129/'Tariffs Jan2020'!AI129&gt;'Tariffs Jan2020'!M129),($C$5*'Tariffs Jan2020'!AK129/'Tariffs Jan2020'!AI129-'Tariffs Jan2020'!M129)*'Tariffs Jan2020'!S129/100*'Tariffs Jan2020'!AI129,0)</f>
        <v>0</v>
      </c>
      <c r="J135" s="59">
        <f>IF($C$5*'Tariffs Jan2020'!AL129/'Tariffs Jan2020'!AJ129&gt;='Tariffs Jan2020'!J129,('Tariffs Jan2020'!J129*'Tariffs Jan2020'!U129/100)* 'Tariffs Jan2020'!AJ129,($C$5*'Tariffs Jan2020'!AL129/'Tariffs Jan2020'!AJ129*'Tariffs Jan2020'!U129/100)* 'Tariffs Jan2020'!AJ129)</f>
        <v>445.09090909090907</v>
      </c>
      <c r="K135" s="59">
        <f>IF($C$5*'Tariffs Jan2020'!AL129/'Tariffs Jan2020'!AJ129&lt;'Tariffs Jan2020'!J129,0,IF($C$5*'Tariffs Jan2020'!AL129/'Tariffs Jan2020'!AJ129&lt;='Tariffs Jan2020'!K129,($C$5*'Tariffs Jan2020'!AL129/'Tariffs Jan2020'!AJ129-'Tariffs Jan2020'!J129)*('Tariffs Jan2020'!V129/100)*'Tariffs Jan2020'!AJ129,('Tariffs Jan2020'!K129-'Tariffs Jan2020'!J129)*('Tariffs Jan2020'!V129/100)*'Tariffs Jan2020'!AJ129))</f>
        <v>325.56038181818167</v>
      </c>
      <c r="L135" s="59">
        <f>IF($C$5*'Tariffs Jan2020'!AL129/'Tariffs Jan2020'!AJ129&lt;'Tariffs Jan2020'!K129,0,IF($C$5*'Tariffs Jan2020'!AL129/'Tariffs Jan2020'!AJ129&lt;='Tariffs Jan2020'!L129,($C$5*'Tariffs Jan2020'!AL129/'Tariffs Jan2020'!AJ129-'Tariffs Jan2020'!K129)*('Tariffs Jan2020'!W129/100)*'Tariffs Jan2020'!AJ129,('Tariffs Jan2020'!L129-'Tariffs Jan2020'!K129)*('Tariffs Jan2020'!W129/100)*'Tariffs Jan2020'!AJ129))</f>
        <v>0</v>
      </c>
      <c r="M135" s="59">
        <f>IF($C$5*'Tariffs Jan2020'!AL129/'Tariffs Jan2020'!AJ129&lt;'Tariffs Jan2020'!L129,0,IF($C$5*'Tariffs Jan2020'!AL129/'Tariffs Jan2020'!AJ129&lt;='Tariffs Jan2020'!M129,($C$5*'Tariffs Jan2020'!AL129/'Tariffs Jan2020'!AJ129-'Tariffs Jan2020'!L129)*('Tariffs Jan2020'!X129/100)*'Tariffs Jan2020'!AJ129,('Tariffs Jan2020'!M129-'Tariffs Jan2020'!L129)*('Tariffs Jan2020'!X129/100)*'Tariffs Jan2020'!AJ129))</f>
        <v>0</v>
      </c>
      <c r="N135" s="59">
        <f>IF(($C$5*'Tariffs Jan2020'!AL129/'Tariffs Jan2020'!AJ129&gt;'Tariffs Jan2020'!M129),($C$5*'Tariffs Jan2020'!AL129/'Tariffs Jan2020'!AJ129-'Tariffs Jan2020'!M129)*'Tariffs Jan2020'!Y129/100*'Tariffs Jan2020'!AJ129,0)</f>
        <v>0</v>
      </c>
      <c r="O135" s="59">
        <f t="shared" ref="O135:O150" si="63">SUM(E135:N135)</f>
        <v>1288.7857636363633</v>
      </c>
      <c r="P135" s="503">
        <f t="shared" ref="P135:P150" si="64">O135*1.1</f>
        <v>1417.6643399999998</v>
      </c>
      <c r="Q135" s="59">
        <f t="shared" ref="Q135:Q150" si="65">D135+O135</f>
        <v>1550.2584909090906</v>
      </c>
      <c r="R135" s="272">
        <f t="shared" ref="R135:R150" si="66">Q135*1.1</f>
        <v>1705.2843399999997</v>
      </c>
      <c r="S135" s="40">
        <f>'Tariffs Jan2020'!AN129</f>
        <v>0</v>
      </c>
      <c r="T135" s="40">
        <f>'Tariffs Jan2020'!AO129</f>
        <v>0</v>
      </c>
      <c r="U135" s="40">
        <f>'Tariffs Jan2020'!AP129</f>
        <v>0</v>
      </c>
      <c r="V135" s="40">
        <f>'Tariffs Jan2020'!AQ129</f>
        <v>0</v>
      </c>
      <c r="W135" s="284">
        <f>Q135</f>
        <v>1550.2584909090906</v>
      </c>
      <c r="X135" s="284">
        <f>W135</f>
        <v>1550.2584909090906</v>
      </c>
      <c r="Y135" s="507">
        <f t="shared" si="60"/>
        <v>1705.2843399999997</v>
      </c>
      <c r="Z135" s="507">
        <f t="shared" si="61"/>
        <v>1705.2843399999997</v>
      </c>
      <c r="AA135" s="274">
        <f>'Tariffs Jan2020'!AZ129</f>
        <v>0</v>
      </c>
      <c r="AB135" s="274" t="str">
        <f>'Tariffs Jan2020'!BA129</f>
        <v>n</v>
      </c>
      <c r="AC135" s="275" t="str">
        <f>'Tariffs Jan2020'!BJ129</f>
        <v>N</v>
      </c>
      <c r="AD135" s="425"/>
      <c r="AE135" s="425"/>
      <c r="AF135" s="427"/>
      <c r="AG135" s="427"/>
      <c r="AH135" s="427"/>
      <c r="AI135" s="427"/>
      <c r="AJ135" s="427"/>
      <c r="AK135" s="427"/>
      <c r="AL135" s="427"/>
      <c r="AM135" s="427"/>
      <c r="AN135" s="427"/>
    </row>
    <row r="136" spans="1:40" ht="14" x14ac:dyDescent="0.15">
      <c r="A136" s="270" t="str">
        <f>'Tariffs Jan2020'!F130</f>
        <v>Covau</v>
      </c>
      <c r="B136" s="40" t="str">
        <f>'Tariffs Jan2020'!D130</f>
        <v>AusNet Services Central 1</v>
      </c>
      <c r="C136" s="40" t="str">
        <f>'Tariffs Jan2020'!G130</f>
        <v>Smart Saver</v>
      </c>
      <c r="D136" s="59">
        <f>365*'Tariffs Jan2020'!H130/100</f>
        <v>310.25</v>
      </c>
      <c r="E136" s="59">
        <f>IF($C$5*'Tariffs Jan2020'!AK130/'Tariffs Jan2020'!AI130&gt;='Tariffs Jan2020'!J130,( 'Tariffs Jan2020'!J130*'Tariffs Jan2020'!O130/100)* 'Tariffs Jan2020'!AI130,($C$5*'Tariffs Jan2020'!AK130/'Tariffs Jan2020'!AI130*'Tariffs Jan2020'!O130/100)* 'Tariffs Jan2020'!AI130)</f>
        <v>344.72727272727275</v>
      </c>
      <c r="F136" s="59">
        <f>IF($C$5*'Tariffs Jan2020'!AK130/'Tariffs Jan2020'!AI130&lt;'Tariffs Jan2020'!J130,0,IF($C$5*'Tariffs Jan2020'!AK130/'Tariffs Jan2020'!AI130&lt;='Tariffs Jan2020'!K130,($C$5*'Tariffs Jan2020'!AK130/'Tariffs Jan2020'!AI130-'Tariffs Jan2020'!J130)*('Tariffs Jan2020'!P130/100)*'Tariffs Jan2020'!AI130,('Tariffs Jan2020'!K130-'Tariffs Jan2020'!J130)*('Tariffs Jan2020'!P130/100)*'Tariffs Jan2020'!AI130))</f>
        <v>229.85544545454536</v>
      </c>
      <c r="G136" s="59">
        <f>IF($C$5*'Tariffs Jan2020'!AK130/'Tariffs Jan2020'!AI130&lt;'Tariffs Jan2020'!K130,0,IF($C$5*'Tariffs Jan2020'!AK130/'Tariffs Jan2020'!AI130&lt;='Tariffs Jan2020'!L130,($C$5*'Tariffs Jan2020'!AK130/'Tariffs Jan2020'!AI130-'Tariffs Jan2020'!K130)*('Tariffs Jan2020'!Q130/100)*'Tariffs Jan2020'!AI130,('Tariffs Jan2020'!L130-'Tariffs Jan2020'!K130)*('Tariffs Jan2020'!Q130/100)*'Tariffs Jan2020'!AI130))</f>
        <v>0</v>
      </c>
      <c r="H136" s="59">
        <f>IF($C$5*'Tariffs Jan2020'!AK130/'Tariffs Jan2020'!AI130&lt;'Tariffs Jan2020'!L130,0,IF($C$5*'Tariffs Jan2020'!AK130/'Tariffs Jan2020'!AI130&lt;='Tariffs Jan2020'!M130,($C$5*'Tariffs Jan2020'!AK130/'Tariffs Jan2020'!AI130-'Tariffs Jan2020'!L130)*('Tariffs Jan2020'!R130/100)*'Tariffs Jan2020'!AI130,('Tariffs Jan2020'!M130-'Tariffs Jan2020'!L130)*('Tariffs Jan2020'!R130/100)*'Tariffs Jan2020'!AI130))</f>
        <v>0</v>
      </c>
      <c r="I136" s="59">
        <f>IF(($C$5*'Tariffs Jan2020'!AK130/'Tariffs Jan2020'!AI130&gt;'Tariffs Jan2020'!M130),($C$5*'Tariffs Jan2020'!AK130/'Tariffs Jan2020'!AI130-'Tariffs Jan2020'!M130)*'Tariffs Jan2020'!S130/100*'Tariffs Jan2020'!AI130,0)</f>
        <v>0</v>
      </c>
      <c r="J136" s="59">
        <f>IF($C$5*'Tariffs Jan2020'!AL130/'Tariffs Jan2020'!AJ130&gt;='Tariffs Jan2020'!J130,('Tariffs Jan2020'!J130*'Tariffs Jan2020'!U130/100)* 'Tariffs Jan2020'!AJ130,($C$5*'Tariffs Jan2020'!AL130/'Tariffs Jan2020'!AJ130*'Tariffs Jan2020'!U130/100)* 'Tariffs Jan2020'!AJ130)</f>
        <v>576</v>
      </c>
      <c r="K136" s="59">
        <f>IF($C$5*'Tariffs Jan2020'!AL130/'Tariffs Jan2020'!AJ130&lt;'Tariffs Jan2020'!J130,0,IF($C$5*'Tariffs Jan2020'!AL130/'Tariffs Jan2020'!AJ130&lt;='Tariffs Jan2020'!K130,($C$5*'Tariffs Jan2020'!AL130/'Tariffs Jan2020'!AJ130-'Tariffs Jan2020'!J130)*('Tariffs Jan2020'!V130/100)*'Tariffs Jan2020'!AJ130,('Tariffs Jan2020'!K130-'Tariffs Jan2020'!J130)*('Tariffs Jan2020'!V130/100)*'Tariffs Jan2020'!AJ130))</f>
        <v>395.90759999999989</v>
      </c>
      <c r="L136" s="59">
        <f>IF($C$5*'Tariffs Jan2020'!AL130/'Tariffs Jan2020'!AJ130&lt;'Tariffs Jan2020'!K130,0,IF($C$5*'Tariffs Jan2020'!AL130/'Tariffs Jan2020'!AJ130&lt;='Tariffs Jan2020'!L130,($C$5*'Tariffs Jan2020'!AL130/'Tariffs Jan2020'!AJ130-'Tariffs Jan2020'!K130)*('Tariffs Jan2020'!W130/100)*'Tariffs Jan2020'!AJ130,('Tariffs Jan2020'!L130-'Tariffs Jan2020'!K130)*('Tariffs Jan2020'!W130/100)*'Tariffs Jan2020'!AJ130))</f>
        <v>0</v>
      </c>
      <c r="M136" s="59">
        <f>IF($C$5*'Tariffs Jan2020'!AL130/'Tariffs Jan2020'!AJ130&lt;'Tariffs Jan2020'!L130,0,IF($C$5*'Tariffs Jan2020'!AL130/'Tariffs Jan2020'!AJ130&lt;='Tariffs Jan2020'!M130,($C$5*'Tariffs Jan2020'!AL130/'Tariffs Jan2020'!AJ130-'Tariffs Jan2020'!L130)*('Tariffs Jan2020'!X130/100)*'Tariffs Jan2020'!AJ130,('Tariffs Jan2020'!M130-'Tariffs Jan2020'!L130)*('Tariffs Jan2020'!X130/100)*'Tariffs Jan2020'!AJ130))</f>
        <v>0</v>
      </c>
      <c r="N136" s="59">
        <f>IF(($C$5*'Tariffs Jan2020'!AL130/'Tariffs Jan2020'!AJ130&gt;'Tariffs Jan2020'!M130),($C$5*'Tariffs Jan2020'!AL130/'Tariffs Jan2020'!AJ130-'Tariffs Jan2020'!M130)*'Tariffs Jan2020'!Y130/100*'Tariffs Jan2020'!AJ130,0)</f>
        <v>0</v>
      </c>
      <c r="O136" s="59">
        <f t="shared" si="63"/>
        <v>1546.4903181818181</v>
      </c>
      <c r="P136" s="503">
        <f t="shared" si="64"/>
        <v>1701.1393500000001</v>
      </c>
      <c r="Q136" s="59">
        <f t="shared" si="65"/>
        <v>1856.7403181818181</v>
      </c>
      <c r="R136" s="272">
        <f t="shared" si="66"/>
        <v>2042.41435</v>
      </c>
      <c r="S136" s="40">
        <f>'Tariffs Jan2020'!AN130</f>
        <v>0</v>
      </c>
      <c r="T136" s="40">
        <f>'Tariffs Jan2020'!AO130</f>
        <v>16</v>
      </c>
      <c r="U136" s="40">
        <f>'Tariffs Jan2020'!AP130</f>
        <v>0</v>
      </c>
      <c r="V136" s="40">
        <f>'Tariffs Jan2020'!AQ130</f>
        <v>0</v>
      </c>
      <c r="W136" s="284">
        <f>Q136-(O136*T136/100)</f>
        <v>1609.3018672727271</v>
      </c>
      <c r="X136" s="284">
        <f>W136</f>
        <v>1609.3018672727271</v>
      </c>
      <c r="Y136" s="507">
        <f t="shared" si="60"/>
        <v>1770.2320540000001</v>
      </c>
      <c r="Z136" s="507">
        <f t="shared" si="61"/>
        <v>1770.2320540000001</v>
      </c>
      <c r="AA136" s="274">
        <f>'Tariffs Jan2020'!AZ130</f>
        <v>0</v>
      </c>
      <c r="AB136" s="274" t="str">
        <f>'Tariffs Jan2020'!BA130</f>
        <v>n</v>
      </c>
      <c r="AC136" s="275" t="str">
        <f>'Tariffs Jan2020'!BJ130</f>
        <v>N</v>
      </c>
      <c r="AD136" s="425"/>
      <c r="AE136" s="425"/>
      <c r="AF136" s="427"/>
      <c r="AG136" s="427"/>
      <c r="AH136" s="427"/>
      <c r="AI136" s="427"/>
      <c r="AJ136" s="427"/>
      <c r="AK136" s="427"/>
      <c r="AL136" s="427"/>
      <c r="AM136" s="427"/>
      <c r="AN136" s="427"/>
    </row>
    <row r="137" spans="1:40" ht="14" x14ac:dyDescent="0.15">
      <c r="A137" s="270" t="str">
        <f>'Tariffs Jan2020'!F131</f>
        <v>Dodo Power &amp; Gas</v>
      </c>
      <c r="B137" s="40" t="str">
        <f>'Tariffs Jan2020'!D131</f>
        <v>AusNet Services Central 1</v>
      </c>
      <c r="C137" s="40" t="str">
        <f>'Tariffs Jan2020'!G131</f>
        <v>Market offer</v>
      </c>
      <c r="D137" s="59">
        <f>365*'Tariffs Jan2020'!H131/100</f>
        <v>264.8240909090909</v>
      </c>
      <c r="E137" s="59">
        <f>IF($C$5*'Tariffs Jan2020'!AK131/'Tariffs Jan2020'!AI131&gt;='Tariffs Jan2020'!J131,( 'Tariffs Jan2020'!J131*'Tariffs Jan2020'!O131/100)* 'Tariffs Jan2020'!AI131,($C$5*'Tariffs Jan2020'!AK131/'Tariffs Jan2020'!AI131*'Tariffs Jan2020'!O131/100)* 'Tariffs Jan2020'!AI131)</f>
        <v>240</v>
      </c>
      <c r="F137" s="59">
        <f>IF($C$5*'Tariffs Jan2020'!AK131/'Tariffs Jan2020'!AI131&lt;'Tariffs Jan2020'!J131,0,IF($C$5*'Tariffs Jan2020'!AK131/'Tariffs Jan2020'!AI131&lt;='Tariffs Jan2020'!K131,($C$5*'Tariffs Jan2020'!AK131/'Tariffs Jan2020'!AI131-'Tariffs Jan2020'!J131)*('Tariffs Jan2020'!P131/100)*'Tariffs Jan2020'!AI131,('Tariffs Jan2020'!K131-'Tariffs Jan2020'!J131)*('Tariffs Jan2020'!P131/100)*'Tariffs Jan2020'!AI131))</f>
        <v>175.86804545454538</v>
      </c>
      <c r="G137" s="59">
        <f>IF($C$5*'Tariffs Jan2020'!AK131/'Tariffs Jan2020'!AI131&lt;'Tariffs Jan2020'!K131,0,IF($C$5*'Tariffs Jan2020'!AK131/'Tariffs Jan2020'!AI131&lt;='Tariffs Jan2020'!L131,($C$5*'Tariffs Jan2020'!AK131/'Tariffs Jan2020'!AI131-'Tariffs Jan2020'!K131)*('Tariffs Jan2020'!Q131/100)*'Tariffs Jan2020'!AI131,('Tariffs Jan2020'!L131-'Tariffs Jan2020'!K131)*('Tariffs Jan2020'!Q131/100)*'Tariffs Jan2020'!AI131))</f>
        <v>0</v>
      </c>
      <c r="H137" s="59">
        <f>IF($C$5*'Tariffs Jan2020'!AK131/'Tariffs Jan2020'!AI131&lt;'Tariffs Jan2020'!L131,0,IF($C$5*'Tariffs Jan2020'!AK131/'Tariffs Jan2020'!AI131&lt;='Tariffs Jan2020'!M131,($C$5*'Tariffs Jan2020'!AK131/'Tariffs Jan2020'!AI131-'Tariffs Jan2020'!L131)*('Tariffs Jan2020'!R131/100)*'Tariffs Jan2020'!AI131,('Tariffs Jan2020'!M131-'Tariffs Jan2020'!L131)*('Tariffs Jan2020'!R131/100)*'Tariffs Jan2020'!AI131))</f>
        <v>0</v>
      </c>
      <c r="I137" s="59">
        <f>IF(($C$5*'Tariffs Jan2020'!AK131/'Tariffs Jan2020'!AI131&gt;'Tariffs Jan2020'!M131),($C$5*'Tariffs Jan2020'!AK131/'Tariffs Jan2020'!AI131-'Tariffs Jan2020'!M131)*'Tariffs Jan2020'!S131/100*'Tariffs Jan2020'!AI131,0)</f>
        <v>0</v>
      </c>
      <c r="J137" s="59">
        <f>IF($C$5*'Tariffs Jan2020'!AL131/'Tariffs Jan2020'!AJ131&gt;='Tariffs Jan2020'!J131,('Tariffs Jan2020'!J131*'Tariffs Jan2020'!U131/100)* 'Tariffs Jan2020'!AJ131,($C$5*'Tariffs Jan2020'!AL131/'Tariffs Jan2020'!AJ131*'Tariffs Jan2020'!U131/100)* 'Tariffs Jan2020'!AJ131)</f>
        <v>637.09090909090901</v>
      </c>
      <c r="K137" s="59">
        <f>IF($C$5*'Tariffs Jan2020'!AL131/'Tariffs Jan2020'!AJ131&lt;'Tariffs Jan2020'!J131,0,IF($C$5*'Tariffs Jan2020'!AL131/'Tariffs Jan2020'!AJ131&lt;='Tariffs Jan2020'!K131,($C$5*'Tariffs Jan2020'!AL131/'Tariffs Jan2020'!AJ131-'Tariffs Jan2020'!J131)*('Tariffs Jan2020'!V131/100)*'Tariffs Jan2020'!AJ131,('Tariffs Jan2020'!K131-'Tariffs Jan2020'!J131)*('Tariffs Jan2020'!V131/100)*'Tariffs Jan2020'!AJ131))</f>
        <v>413.90339999999992</v>
      </c>
      <c r="L137" s="59">
        <f>IF($C$5*'Tariffs Jan2020'!AL131/'Tariffs Jan2020'!AJ131&lt;'Tariffs Jan2020'!K131,0,IF($C$5*'Tariffs Jan2020'!AL131/'Tariffs Jan2020'!AJ131&lt;='Tariffs Jan2020'!L131,($C$5*'Tariffs Jan2020'!AL131/'Tariffs Jan2020'!AJ131-'Tariffs Jan2020'!K131)*('Tariffs Jan2020'!W131/100)*'Tariffs Jan2020'!AJ131,('Tariffs Jan2020'!L131-'Tariffs Jan2020'!K131)*('Tariffs Jan2020'!W131/100)*'Tariffs Jan2020'!AJ131))</f>
        <v>0</v>
      </c>
      <c r="M137" s="59">
        <f>IF($C$5*'Tariffs Jan2020'!AL131/'Tariffs Jan2020'!AJ131&lt;'Tariffs Jan2020'!L131,0,IF($C$5*'Tariffs Jan2020'!AL131/'Tariffs Jan2020'!AJ131&lt;='Tariffs Jan2020'!M131,($C$5*'Tariffs Jan2020'!AL131/'Tariffs Jan2020'!AJ131-'Tariffs Jan2020'!L131)*('Tariffs Jan2020'!X131/100)*'Tariffs Jan2020'!AJ131,('Tariffs Jan2020'!M131-'Tariffs Jan2020'!L131)*('Tariffs Jan2020'!X131/100)*'Tariffs Jan2020'!AJ131))</f>
        <v>0</v>
      </c>
      <c r="N137" s="59">
        <f>IF(($C$5*'Tariffs Jan2020'!AL131/'Tariffs Jan2020'!AJ131&gt;'Tariffs Jan2020'!M131),($C$5*'Tariffs Jan2020'!AL131/'Tariffs Jan2020'!AJ131-'Tariffs Jan2020'!M131)*'Tariffs Jan2020'!Y131/100*'Tariffs Jan2020'!AJ131,0)</f>
        <v>0</v>
      </c>
      <c r="O137" s="59">
        <f t="shared" si="63"/>
        <v>1466.8623545454543</v>
      </c>
      <c r="P137" s="503">
        <f t="shared" si="64"/>
        <v>1613.5485899999999</v>
      </c>
      <c r="Q137" s="59">
        <f t="shared" si="65"/>
        <v>1731.6864454545453</v>
      </c>
      <c r="R137" s="272">
        <f t="shared" si="66"/>
        <v>1904.85509</v>
      </c>
      <c r="S137" s="40">
        <f>'Tariffs Jan2020'!AN131</f>
        <v>0</v>
      </c>
      <c r="T137" s="40">
        <f>'Tariffs Jan2020'!AO131</f>
        <v>0</v>
      </c>
      <c r="U137" s="40">
        <f>'Tariffs Jan2020'!AP131</f>
        <v>0</v>
      </c>
      <c r="V137" s="40">
        <f>'Tariffs Jan2020'!AQ131</f>
        <v>20</v>
      </c>
      <c r="W137" s="284">
        <f>Q137</f>
        <v>1731.6864454545453</v>
      </c>
      <c r="X137" s="284">
        <f>W137-(O137*V137/100)</f>
        <v>1438.3139745454544</v>
      </c>
      <c r="Y137" s="507">
        <f t="shared" si="60"/>
        <v>1904.85509</v>
      </c>
      <c r="Z137" s="507">
        <f t="shared" si="61"/>
        <v>1582.145372</v>
      </c>
      <c r="AA137" s="274">
        <f>'Tariffs Jan2020'!AZ131</f>
        <v>0</v>
      </c>
      <c r="AB137" s="274" t="str">
        <f>'Tariffs Jan2020'!BA131</f>
        <v>n</v>
      </c>
      <c r="AC137" s="275" t="str">
        <f>'Tariffs Jan2020'!BJ131</f>
        <v>N</v>
      </c>
      <c r="AD137" s="425"/>
      <c r="AE137" s="425"/>
      <c r="AF137" s="427"/>
      <c r="AG137" s="427"/>
      <c r="AH137" s="427"/>
      <c r="AI137" s="427"/>
      <c r="AJ137" s="427"/>
      <c r="AK137" s="427"/>
      <c r="AL137" s="427"/>
      <c r="AM137" s="427"/>
      <c r="AN137" s="427"/>
    </row>
    <row r="138" spans="1:40" ht="14" x14ac:dyDescent="0.15">
      <c r="A138" s="270" t="str">
        <f>'Tariffs Jan2020'!F132</f>
        <v>EnergyAustralia</v>
      </c>
      <c r="B138" s="40" t="str">
        <f>'Tariffs Jan2020'!D132</f>
        <v>AusNet Services Central 1</v>
      </c>
      <c r="C138" s="40" t="str">
        <f>'Tariffs Jan2020'!G132</f>
        <v>Total Plan</v>
      </c>
      <c r="D138" s="59">
        <f>365*'Tariffs Jan2020'!H132/100</f>
        <v>349.6699999999999</v>
      </c>
      <c r="E138" s="59">
        <f>IF($C$5*'Tariffs Jan2020'!AK132/'Tariffs Jan2020'!AI132&gt;='Tariffs Jan2020'!J132,( 'Tariffs Jan2020'!J132*'Tariffs Jan2020'!O132/100)* 'Tariffs Jan2020'!AI132,($C$5*'Tariffs Jan2020'!AK132/'Tariffs Jan2020'!AI132*'Tariffs Jan2020'!O132/100)* 'Tariffs Jan2020'!AI132)</f>
        <v>584.12339999999995</v>
      </c>
      <c r="F138" s="59">
        <f>IF($C$5*'Tariffs Jan2020'!AK132/'Tariffs Jan2020'!AI132&lt;'Tariffs Jan2020'!J132,0,IF($C$5*'Tariffs Jan2020'!AK132/'Tariffs Jan2020'!AI132&lt;='Tariffs Jan2020'!K132,($C$5*'Tariffs Jan2020'!AK132/'Tariffs Jan2020'!AI132-'Tariffs Jan2020'!J132)*('Tariffs Jan2020'!P132/100)*'Tariffs Jan2020'!AI132,('Tariffs Jan2020'!K132-'Tariffs Jan2020'!J132)*('Tariffs Jan2020'!P132/100)*'Tariffs Jan2020'!AI132))</f>
        <v>0</v>
      </c>
      <c r="G138" s="59">
        <f>IF($C$5*'Tariffs Jan2020'!AK132/'Tariffs Jan2020'!AI132&lt;'Tariffs Jan2020'!K132,0,IF($C$5*'Tariffs Jan2020'!AK132/'Tariffs Jan2020'!AI132&lt;='Tariffs Jan2020'!L132,($C$5*'Tariffs Jan2020'!AK132/'Tariffs Jan2020'!AI132-'Tariffs Jan2020'!K132)*('Tariffs Jan2020'!Q132/100)*'Tariffs Jan2020'!AI132,('Tariffs Jan2020'!L132-'Tariffs Jan2020'!K132)*('Tariffs Jan2020'!Q132/100)*'Tariffs Jan2020'!AI132))</f>
        <v>0</v>
      </c>
      <c r="H138" s="59">
        <f>IF($C$5*'Tariffs Jan2020'!AK132/'Tariffs Jan2020'!AI132&lt;'Tariffs Jan2020'!L132,0,IF($C$5*'Tariffs Jan2020'!AK132/'Tariffs Jan2020'!AI132&lt;='Tariffs Jan2020'!M132,($C$5*'Tariffs Jan2020'!AK132/'Tariffs Jan2020'!AI132-'Tariffs Jan2020'!L132)*('Tariffs Jan2020'!R132/100)*'Tariffs Jan2020'!AI132,('Tariffs Jan2020'!M132-'Tariffs Jan2020'!L132)*('Tariffs Jan2020'!R132/100)*'Tariffs Jan2020'!AI132))</f>
        <v>0</v>
      </c>
      <c r="I138" s="59">
        <f>IF(($C$5*'Tariffs Jan2020'!AK132/'Tariffs Jan2020'!AI132&gt;'Tariffs Jan2020'!M132),($C$5*'Tariffs Jan2020'!AK132/'Tariffs Jan2020'!AI132-'Tariffs Jan2020'!M132)*'Tariffs Jan2020'!S132/100*'Tariffs Jan2020'!AI132,0)</f>
        <v>0</v>
      </c>
      <c r="J138" s="59">
        <f>IF($C$5*'Tariffs Jan2020'!AL132/'Tariffs Jan2020'!AJ132&gt;='Tariffs Jan2020'!J132,('Tariffs Jan2020'!J132*'Tariffs Jan2020'!U132/100)* 'Tariffs Jan2020'!AJ132,($C$5*'Tariffs Jan2020'!AL132/'Tariffs Jan2020'!AJ132*'Tariffs Jan2020'!U132/100)* 'Tariffs Jan2020'!AJ132)</f>
        <v>855.18719999999996</v>
      </c>
      <c r="K138" s="59">
        <f>IF($C$5*'Tariffs Jan2020'!AL132/'Tariffs Jan2020'!AJ132&lt;'Tariffs Jan2020'!J132,0,IF($C$5*'Tariffs Jan2020'!AL132/'Tariffs Jan2020'!AJ132&lt;='Tariffs Jan2020'!K132,($C$5*'Tariffs Jan2020'!AL132/'Tariffs Jan2020'!AJ132-'Tariffs Jan2020'!J132)*('Tariffs Jan2020'!V132/100)*'Tariffs Jan2020'!AJ132,('Tariffs Jan2020'!K132-'Tariffs Jan2020'!J132)*('Tariffs Jan2020'!V132/100)*'Tariffs Jan2020'!AJ132))</f>
        <v>0</v>
      </c>
      <c r="L138" s="59">
        <f>IF($C$5*'Tariffs Jan2020'!AL132/'Tariffs Jan2020'!AJ132&lt;'Tariffs Jan2020'!K132,0,IF($C$5*'Tariffs Jan2020'!AL132/'Tariffs Jan2020'!AJ132&lt;='Tariffs Jan2020'!L132,($C$5*'Tariffs Jan2020'!AL132/'Tariffs Jan2020'!AJ132-'Tariffs Jan2020'!K132)*('Tariffs Jan2020'!W132/100)*'Tariffs Jan2020'!AJ132,('Tariffs Jan2020'!L132-'Tariffs Jan2020'!K132)*('Tariffs Jan2020'!W132/100)*'Tariffs Jan2020'!AJ132))</f>
        <v>0</v>
      </c>
      <c r="M138" s="59">
        <f>IF($C$5*'Tariffs Jan2020'!AL132/'Tariffs Jan2020'!AJ132&lt;'Tariffs Jan2020'!L132,0,IF($C$5*'Tariffs Jan2020'!AL132/'Tariffs Jan2020'!AJ132&lt;='Tariffs Jan2020'!M132,($C$5*'Tariffs Jan2020'!AL132/'Tariffs Jan2020'!AJ132-'Tariffs Jan2020'!L132)*('Tariffs Jan2020'!X132/100)*'Tariffs Jan2020'!AJ132,('Tariffs Jan2020'!M132-'Tariffs Jan2020'!L132)*('Tariffs Jan2020'!X132/100)*'Tariffs Jan2020'!AJ132))</f>
        <v>0</v>
      </c>
      <c r="N138" s="59">
        <f>IF(($C$5*'Tariffs Jan2020'!AL132/'Tariffs Jan2020'!AJ132&gt;'Tariffs Jan2020'!M132),($C$5*'Tariffs Jan2020'!AL132/'Tariffs Jan2020'!AJ132-'Tariffs Jan2020'!M132)*'Tariffs Jan2020'!Y132/100*'Tariffs Jan2020'!AJ132,0)</f>
        <v>0</v>
      </c>
      <c r="O138" s="59">
        <f t="shared" si="63"/>
        <v>1439.3105999999998</v>
      </c>
      <c r="P138" s="503">
        <f t="shared" si="64"/>
        <v>1583.2416599999999</v>
      </c>
      <c r="Q138" s="59">
        <f t="shared" si="65"/>
        <v>1788.9805999999996</v>
      </c>
      <c r="R138" s="272">
        <f t="shared" si="66"/>
        <v>1967.8786599999999</v>
      </c>
      <c r="S138" s="40">
        <f>'Tariffs Jan2020'!AN132</f>
        <v>23</v>
      </c>
      <c r="T138" s="40">
        <f>'Tariffs Jan2020'!AO132</f>
        <v>0</v>
      </c>
      <c r="U138" s="40">
        <f>'Tariffs Jan2020'!AP132</f>
        <v>0</v>
      </c>
      <c r="V138" s="40">
        <f>'Tariffs Jan2020'!AQ132</f>
        <v>0</v>
      </c>
      <c r="W138" s="284">
        <f>Q138-(Q138*S138/100)</f>
        <v>1377.5150619999997</v>
      </c>
      <c r="X138" s="284">
        <f>W138</f>
        <v>1377.5150619999997</v>
      </c>
      <c r="Y138" s="507">
        <f t="shared" si="60"/>
        <v>1515.2665681999997</v>
      </c>
      <c r="Z138" s="507">
        <f t="shared" si="61"/>
        <v>1515.2665681999997</v>
      </c>
      <c r="AA138" s="274">
        <f>'Tariffs Jan2020'!AZ132</f>
        <v>12</v>
      </c>
      <c r="AB138" s="274" t="str">
        <f>'Tariffs Jan2020'!BA132</f>
        <v>n</v>
      </c>
      <c r="AC138" s="275" t="str">
        <f>'Tariffs Jan2020'!BJ132</f>
        <v>N</v>
      </c>
      <c r="AD138" s="425"/>
      <c r="AE138" s="425"/>
      <c r="AF138" s="427"/>
      <c r="AG138" s="427"/>
      <c r="AH138" s="427"/>
      <c r="AI138" s="427"/>
      <c r="AJ138" s="427"/>
      <c r="AK138" s="427"/>
      <c r="AL138" s="427"/>
      <c r="AM138" s="427"/>
      <c r="AN138" s="427"/>
    </row>
    <row r="139" spans="1:40" ht="14" x14ac:dyDescent="0.15">
      <c r="A139" s="270" t="str">
        <f>'Tariffs Jan2020'!F133</f>
        <v>Lumo Energy</v>
      </c>
      <c r="B139" s="40" t="str">
        <f>'Tariffs Jan2020'!D133</f>
        <v>AusNet Services Central 1</v>
      </c>
      <c r="C139" s="40" t="str">
        <f>'Tariffs Jan2020'!G133</f>
        <v>Value</v>
      </c>
      <c r="D139" s="59">
        <f>365*'Tariffs Jan2020'!H133/100</f>
        <v>255.5</v>
      </c>
      <c r="E139" s="59">
        <f>IF($C$5*'Tariffs Jan2020'!AK133/'Tariffs Jan2020'!AI133&gt;='Tariffs Jan2020'!J133,( 'Tariffs Jan2020'!J133*'Tariffs Jan2020'!O133/100)* 'Tariffs Jan2020'!AI133,($C$5*'Tariffs Jan2020'!AK133/'Tariffs Jan2020'!AI133*'Tariffs Jan2020'!O133/100)* 'Tariffs Jan2020'!AI133)</f>
        <v>270</v>
      </c>
      <c r="F139" s="59">
        <f>IF($C$5*'Tariffs Jan2020'!AK133/'Tariffs Jan2020'!AI133&lt;'Tariffs Jan2020'!J133,0,IF($C$5*'Tariffs Jan2020'!AK133/'Tariffs Jan2020'!AI133&lt;='Tariffs Jan2020'!K133,($C$5*'Tariffs Jan2020'!AK133/'Tariffs Jan2020'!AI133-'Tariffs Jan2020'!J133)*('Tariffs Jan2020'!P133/100)*'Tariffs Jan2020'!AI133,('Tariffs Jan2020'!K133-'Tariffs Jan2020'!J133)*('Tariffs Jan2020'!P133/100)*'Tariffs Jan2020'!AI133))</f>
        <v>179.95799999999997</v>
      </c>
      <c r="G139" s="59">
        <f>IF($C$5*'Tariffs Jan2020'!AK133/'Tariffs Jan2020'!AI133&lt;'Tariffs Jan2020'!K133,0,IF($C$5*'Tariffs Jan2020'!AK133/'Tariffs Jan2020'!AI133&lt;='Tariffs Jan2020'!L133,($C$5*'Tariffs Jan2020'!AK133/'Tariffs Jan2020'!AI133-'Tariffs Jan2020'!K133)*('Tariffs Jan2020'!Q133/100)*'Tariffs Jan2020'!AI133,('Tariffs Jan2020'!L133-'Tariffs Jan2020'!K133)*('Tariffs Jan2020'!Q133/100)*'Tariffs Jan2020'!AI133))</f>
        <v>0</v>
      </c>
      <c r="H139" s="59">
        <f>IF($C$5*'Tariffs Jan2020'!AK133/'Tariffs Jan2020'!AI133&lt;'Tariffs Jan2020'!L133,0,IF($C$5*'Tariffs Jan2020'!AK133/'Tariffs Jan2020'!AI133&lt;='Tariffs Jan2020'!M133,($C$5*'Tariffs Jan2020'!AK133/'Tariffs Jan2020'!AI133-'Tariffs Jan2020'!L133)*('Tariffs Jan2020'!R133/100)*'Tariffs Jan2020'!AI133,('Tariffs Jan2020'!M133-'Tariffs Jan2020'!L133)*('Tariffs Jan2020'!R133/100)*'Tariffs Jan2020'!AI133))</f>
        <v>0</v>
      </c>
      <c r="I139" s="59">
        <f>IF(($C$5*'Tariffs Jan2020'!AK133/'Tariffs Jan2020'!AI133&gt;'Tariffs Jan2020'!M133),($C$5*'Tariffs Jan2020'!AK133/'Tariffs Jan2020'!AI133-'Tariffs Jan2020'!M133)*'Tariffs Jan2020'!S133/100*'Tariffs Jan2020'!AI133,0)</f>
        <v>0</v>
      </c>
      <c r="J139" s="59">
        <f>IF($C$5*'Tariffs Jan2020'!AL133/'Tariffs Jan2020'!AJ133&gt;='Tariffs Jan2020'!J133,('Tariffs Jan2020'!J133*'Tariffs Jan2020'!U133/100)* 'Tariffs Jan2020'!AJ133,($C$5*'Tariffs Jan2020'!AL133/'Tariffs Jan2020'!AJ133*'Tariffs Jan2020'!U133/100)* 'Tariffs Jan2020'!AJ133)</f>
        <v>415.2</v>
      </c>
      <c r="K139" s="59">
        <f>IF($C$5*'Tariffs Jan2020'!AL133/'Tariffs Jan2020'!AJ133&lt;'Tariffs Jan2020'!J133,0,IF($C$5*'Tariffs Jan2020'!AL133/'Tariffs Jan2020'!AJ133&lt;='Tariffs Jan2020'!K133,($C$5*'Tariffs Jan2020'!AL133/'Tariffs Jan2020'!AJ133-'Tariffs Jan2020'!J133)*('Tariffs Jan2020'!V133/100)*'Tariffs Jan2020'!AJ133,('Tariffs Jan2020'!K133-'Tariffs Jan2020'!J133)*('Tariffs Jan2020'!V133/100)*'Tariffs Jan2020'!AJ133))</f>
        <v>293.3315399999999</v>
      </c>
      <c r="L139" s="59">
        <f>IF($C$5*'Tariffs Jan2020'!AL133/'Tariffs Jan2020'!AJ133&lt;'Tariffs Jan2020'!K133,0,IF($C$5*'Tariffs Jan2020'!AL133/'Tariffs Jan2020'!AJ133&lt;='Tariffs Jan2020'!L133,($C$5*'Tariffs Jan2020'!AL133/'Tariffs Jan2020'!AJ133-'Tariffs Jan2020'!K133)*('Tariffs Jan2020'!W133/100)*'Tariffs Jan2020'!AJ133,('Tariffs Jan2020'!L133-'Tariffs Jan2020'!K133)*('Tariffs Jan2020'!W133/100)*'Tariffs Jan2020'!AJ133))</f>
        <v>0</v>
      </c>
      <c r="M139" s="59">
        <f>IF($C$5*'Tariffs Jan2020'!AL133/'Tariffs Jan2020'!AJ133&lt;'Tariffs Jan2020'!L133,0,IF($C$5*'Tariffs Jan2020'!AL133/'Tariffs Jan2020'!AJ133&lt;='Tariffs Jan2020'!M133,($C$5*'Tariffs Jan2020'!AL133/'Tariffs Jan2020'!AJ133-'Tariffs Jan2020'!L133)*('Tariffs Jan2020'!X133/100)*'Tariffs Jan2020'!AJ133,('Tariffs Jan2020'!M133-'Tariffs Jan2020'!L133)*('Tariffs Jan2020'!X133/100)*'Tariffs Jan2020'!AJ133))</f>
        <v>0</v>
      </c>
      <c r="N139" s="59">
        <f>IF(($C$5*'Tariffs Jan2020'!AL133/'Tariffs Jan2020'!AJ133&gt;'Tariffs Jan2020'!M133),($C$5*'Tariffs Jan2020'!AL133/'Tariffs Jan2020'!AJ133-'Tariffs Jan2020'!M133)*'Tariffs Jan2020'!Y133/100*'Tariffs Jan2020'!AJ133,0)</f>
        <v>0</v>
      </c>
      <c r="O139" s="59">
        <f t="shared" si="63"/>
        <v>1158.4895399999998</v>
      </c>
      <c r="P139" s="503">
        <f t="shared" si="64"/>
        <v>1274.3384939999999</v>
      </c>
      <c r="Q139" s="59">
        <f t="shared" si="65"/>
        <v>1413.9895399999998</v>
      </c>
      <c r="R139" s="272">
        <f t="shared" si="66"/>
        <v>1555.3884939999998</v>
      </c>
      <c r="S139" s="40">
        <f>'Tariffs Jan2020'!AN133</f>
        <v>0</v>
      </c>
      <c r="T139" s="40">
        <f>'Tariffs Jan2020'!AO133</f>
        <v>0</v>
      </c>
      <c r="U139" s="40">
        <f>'Tariffs Jan2020'!AP133</f>
        <v>3</v>
      </c>
      <c r="V139" s="40">
        <f>'Tariffs Jan2020'!AQ133</f>
        <v>0</v>
      </c>
      <c r="W139" s="284">
        <f t="shared" ref="W139:W140" si="67">Q139</f>
        <v>1413.9895399999998</v>
      </c>
      <c r="X139" s="284">
        <f>W139-(Q139*U139/100)</f>
        <v>1371.5698537999999</v>
      </c>
      <c r="Y139" s="507">
        <f t="shared" si="60"/>
        <v>1555.3884939999998</v>
      </c>
      <c r="Z139" s="507">
        <f t="shared" si="61"/>
        <v>1508.7268391800001</v>
      </c>
      <c r="AA139" s="274">
        <f>'Tariffs Jan2020'!AZ133</f>
        <v>0</v>
      </c>
      <c r="AB139" s="274" t="str">
        <f>'Tariffs Jan2020'!BA133</f>
        <v>n</v>
      </c>
      <c r="AC139" s="275" t="str">
        <f>'Tariffs Jan2020'!BJ133</f>
        <v>N</v>
      </c>
      <c r="AD139" s="425"/>
      <c r="AE139" s="425"/>
      <c r="AF139" s="427"/>
      <c r="AG139" s="427"/>
      <c r="AH139" s="427"/>
      <c r="AI139" s="427"/>
      <c r="AJ139" s="427"/>
      <c r="AK139" s="427"/>
      <c r="AL139" s="427"/>
      <c r="AM139" s="427"/>
      <c r="AN139" s="427"/>
    </row>
    <row r="140" spans="1:40" ht="14" x14ac:dyDescent="0.15">
      <c r="A140" s="270" t="str">
        <f>'Tariffs Jan2020'!F134</f>
        <v>Momentum Energy</v>
      </c>
      <c r="B140" s="40" t="str">
        <f>'Tariffs Jan2020'!D134</f>
        <v>AusNet Services Central 1</v>
      </c>
      <c r="C140" s="40" t="str">
        <f>'Tariffs Jan2020'!G134</f>
        <v>Market offer</v>
      </c>
      <c r="D140" s="59">
        <f>365*'Tariffs Jan2020'!H134/100</f>
        <v>362.27909090909088</v>
      </c>
      <c r="E140" s="59">
        <f>IF($C$5*'Tariffs Jan2020'!AK134/'Tariffs Jan2020'!AI134&gt;='Tariffs Jan2020'!J134,( 'Tariffs Jan2020'!J134*'Tariffs Jan2020'!O134/100)* 'Tariffs Jan2020'!AI134,($C$5*'Tariffs Jan2020'!AK134/'Tariffs Jan2020'!AI134*'Tariffs Jan2020'!O134/100)* 'Tariffs Jan2020'!AI134)</f>
        <v>252</v>
      </c>
      <c r="F140" s="59">
        <f>IF($C$5*'Tariffs Jan2020'!AK134/'Tariffs Jan2020'!AI134&lt;'Tariffs Jan2020'!J134,0,IF($C$5*'Tariffs Jan2020'!AK134/'Tariffs Jan2020'!AI134&lt;='Tariffs Jan2020'!K134,($C$5*'Tariffs Jan2020'!AK134/'Tariffs Jan2020'!AI134-'Tariffs Jan2020'!J134)*('Tariffs Jan2020'!P134/100)*'Tariffs Jan2020'!AI134,('Tariffs Jan2020'!K134-'Tariffs Jan2020'!J134)*('Tariffs Jan2020'!P134/100)*'Tariffs Jan2020'!AI134))</f>
        <v>165.2341636363636</v>
      </c>
      <c r="G140" s="59">
        <f>IF($C$5*'Tariffs Jan2020'!AK134/'Tariffs Jan2020'!AI134&lt;'Tariffs Jan2020'!K134,0,IF($C$5*'Tariffs Jan2020'!AK134/'Tariffs Jan2020'!AI134&lt;='Tariffs Jan2020'!L134,($C$5*'Tariffs Jan2020'!AK134/'Tariffs Jan2020'!AI134-'Tariffs Jan2020'!K134)*('Tariffs Jan2020'!Q134/100)*'Tariffs Jan2020'!AI134,('Tariffs Jan2020'!L134-'Tariffs Jan2020'!K134)*('Tariffs Jan2020'!Q134/100)*'Tariffs Jan2020'!AI134))</f>
        <v>0</v>
      </c>
      <c r="H140" s="59">
        <f>IF($C$5*'Tariffs Jan2020'!AK134/'Tariffs Jan2020'!AI134&lt;'Tariffs Jan2020'!L134,0,IF($C$5*'Tariffs Jan2020'!AK134/'Tariffs Jan2020'!AI134&lt;='Tariffs Jan2020'!M134,($C$5*'Tariffs Jan2020'!AK134/'Tariffs Jan2020'!AI134-'Tariffs Jan2020'!L134)*('Tariffs Jan2020'!R134/100)*'Tariffs Jan2020'!AI134,('Tariffs Jan2020'!M134-'Tariffs Jan2020'!L134)*('Tariffs Jan2020'!R134/100)*'Tariffs Jan2020'!AI134))</f>
        <v>0</v>
      </c>
      <c r="I140" s="59">
        <f>IF(($C$5*'Tariffs Jan2020'!AK134/'Tariffs Jan2020'!AI134&gt;'Tariffs Jan2020'!M134),($C$5*'Tariffs Jan2020'!AK134/'Tariffs Jan2020'!AI134-'Tariffs Jan2020'!M134)*'Tariffs Jan2020'!S134/100*'Tariffs Jan2020'!AI134,0)</f>
        <v>0</v>
      </c>
      <c r="J140" s="59">
        <f>IF($C$5*'Tariffs Jan2020'!AL134/'Tariffs Jan2020'!AJ134&gt;='Tariffs Jan2020'!J134,('Tariffs Jan2020'!J134*'Tariffs Jan2020'!U134/100)* 'Tariffs Jan2020'!AJ134,($C$5*'Tariffs Jan2020'!AL134/'Tariffs Jan2020'!AJ134*'Tariffs Jan2020'!U134/100)* 'Tariffs Jan2020'!AJ134)</f>
        <v>381.81818181818176</v>
      </c>
      <c r="K140" s="59">
        <f>IF($C$5*'Tariffs Jan2020'!AL134/'Tariffs Jan2020'!AJ134&lt;'Tariffs Jan2020'!J134,0,IF($C$5*'Tariffs Jan2020'!AL134/'Tariffs Jan2020'!AJ134&lt;='Tariffs Jan2020'!K134,($C$5*'Tariffs Jan2020'!AL134/'Tariffs Jan2020'!AJ134-'Tariffs Jan2020'!J134)*('Tariffs Jan2020'!V134/100)*'Tariffs Jan2020'!AJ134,('Tariffs Jan2020'!K134-'Tariffs Jan2020'!J134)*('Tariffs Jan2020'!V134/100)*'Tariffs Jan2020'!AJ134))</f>
        <v>281.38887272727266</v>
      </c>
      <c r="L140" s="59">
        <f>IF($C$5*'Tariffs Jan2020'!AL134/'Tariffs Jan2020'!AJ134&lt;'Tariffs Jan2020'!K134,0,IF($C$5*'Tariffs Jan2020'!AL134/'Tariffs Jan2020'!AJ134&lt;='Tariffs Jan2020'!L134,($C$5*'Tariffs Jan2020'!AL134/'Tariffs Jan2020'!AJ134-'Tariffs Jan2020'!K134)*('Tariffs Jan2020'!W134/100)*'Tariffs Jan2020'!AJ134,('Tariffs Jan2020'!L134-'Tariffs Jan2020'!K134)*('Tariffs Jan2020'!W134/100)*'Tariffs Jan2020'!AJ134))</f>
        <v>0</v>
      </c>
      <c r="M140" s="59">
        <f>IF($C$5*'Tariffs Jan2020'!AL134/'Tariffs Jan2020'!AJ134&lt;'Tariffs Jan2020'!L134,0,IF($C$5*'Tariffs Jan2020'!AL134/'Tariffs Jan2020'!AJ134&lt;='Tariffs Jan2020'!M134,($C$5*'Tariffs Jan2020'!AL134/'Tariffs Jan2020'!AJ134-'Tariffs Jan2020'!L134)*('Tariffs Jan2020'!X134/100)*'Tariffs Jan2020'!AJ134,('Tariffs Jan2020'!M134-'Tariffs Jan2020'!L134)*('Tariffs Jan2020'!X134/100)*'Tariffs Jan2020'!AJ134))</f>
        <v>0</v>
      </c>
      <c r="N140" s="59">
        <f>IF(($C$5*'Tariffs Jan2020'!AL134/'Tariffs Jan2020'!AJ134&gt;'Tariffs Jan2020'!M134),($C$5*'Tariffs Jan2020'!AL134/'Tariffs Jan2020'!AJ134-'Tariffs Jan2020'!M134)*'Tariffs Jan2020'!Y134/100*'Tariffs Jan2020'!AJ134,0)</f>
        <v>0</v>
      </c>
      <c r="O140" s="59">
        <f t="shared" si="63"/>
        <v>1080.4412181818179</v>
      </c>
      <c r="P140" s="503">
        <f t="shared" si="64"/>
        <v>1188.4853399999997</v>
      </c>
      <c r="Q140" s="59">
        <f t="shared" si="65"/>
        <v>1442.7203090909088</v>
      </c>
      <c r="R140" s="272">
        <f t="shared" si="66"/>
        <v>1586.9923399999998</v>
      </c>
      <c r="S140" s="40">
        <f>'Tariffs Jan2020'!AN134</f>
        <v>0</v>
      </c>
      <c r="T140" s="40">
        <f>'Tariffs Jan2020'!AO134</f>
        <v>0</v>
      </c>
      <c r="U140" s="40">
        <f>'Tariffs Jan2020'!AP134</f>
        <v>0</v>
      </c>
      <c r="V140" s="40">
        <f>'Tariffs Jan2020'!AQ134</f>
        <v>0</v>
      </c>
      <c r="W140" s="284">
        <f t="shared" si="67"/>
        <v>1442.7203090909088</v>
      </c>
      <c r="X140" s="284">
        <f>W140</f>
        <v>1442.7203090909088</v>
      </c>
      <c r="Y140" s="507">
        <f t="shared" si="60"/>
        <v>1586.9923399999998</v>
      </c>
      <c r="Z140" s="507">
        <f t="shared" si="61"/>
        <v>1586.9923399999998</v>
      </c>
      <c r="AA140" s="274">
        <f>'Tariffs Jan2020'!AZ134</f>
        <v>0</v>
      </c>
      <c r="AB140" s="274" t="str">
        <f>'Tariffs Jan2020'!BA134</f>
        <v>n</v>
      </c>
      <c r="AC140" s="275" t="str">
        <f>'Tariffs Jan2020'!BJ134</f>
        <v>Y</v>
      </c>
      <c r="AD140" s="425"/>
      <c r="AE140" s="425"/>
      <c r="AF140" s="427"/>
      <c r="AG140" s="427"/>
      <c r="AH140" s="427"/>
      <c r="AI140" s="427"/>
      <c r="AJ140" s="427"/>
      <c r="AK140" s="427"/>
      <c r="AL140" s="427"/>
      <c r="AM140" s="427"/>
      <c r="AN140" s="427"/>
    </row>
    <row r="141" spans="1:40" ht="14" x14ac:dyDescent="0.15">
      <c r="A141" s="270" t="str">
        <f>'Tariffs Jan2020'!F135</f>
        <v>Origin Energy</v>
      </c>
      <c r="B141" s="40" t="str">
        <f>'Tariffs Jan2020'!D135</f>
        <v>AusNet Services Central 1</v>
      </c>
      <c r="C141" s="40" t="str">
        <f>'Tariffs Jan2020'!G135</f>
        <v>Flexi</v>
      </c>
      <c r="D141" s="59">
        <f>365*'Tariffs Jan2020'!H135/100</f>
        <v>284.7</v>
      </c>
      <c r="E141" s="59">
        <f>IF($C$5*'Tariffs Jan2020'!AK135/'Tariffs Jan2020'!AI135&gt;='Tariffs Jan2020'!J135,( 'Tariffs Jan2020'!J135*'Tariffs Jan2020'!O135/100)* 'Tariffs Jan2020'!AI135,($C$5*'Tariffs Jan2020'!AK135/'Tariffs Jan2020'!AI135*'Tariffs Jan2020'!O135/100)* 'Tariffs Jan2020'!AI135)</f>
        <v>168</v>
      </c>
      <c r="F141" s="59">
        <f>IF($C$5*'Tariffs Jan2020'!AK135/'Tariffs Jan2020'!AI135&lt;'Tariffs Jan2020'!J135,0,IF($C$5*'Tariffs Jan2020'!AK135/'Tariffs Jan2020'!AI135&lt;='Tariffs Jan2020'!K135,($C$5*'Tariffs Jan2020'!AK135/'Tariffs Jan2020'!AI135-'Tariffs Jan2020'!J135)*('Tariffs Jan2020'!P135/100)*'Tariffs Jan2020'!AI135,('Tariffs Jan2020'!K135-'Tariffs Jan2020'!J135)*('Tariffs Jan2020'!P135/100)*'Tariffs Jan2020'!AI135))</f>
        <v>0</v>
      </c>
      <c r="G141" s="59">
        <f>IF($C$5*'Tariffs Jan2020'!AK135/'Tariffs Jan2020'!AI135&lt;'Tariffs Jan2020'!K135,0,IF($C$5*'Tariffs Jan2020'!AK135/'Tariffs Jan2020'!AI135&lt;='Tariffs Jan2020'!L135,($C$5*'Tariffs Jan2020'!AK135/'Tariffs Jan2020'!AI135-'Tariffs Jan2020'!K135)*('Tariffs Jan2020'!Q135/100)*'Tariffs Jan2020'!AI135,('Tariffs Jan2020'!L135-'Tariffs Jan2020'!K135)*('Tariffs Jan2020'!Q135/100)*'Tariffs Jan2020'!AI135))</f>
        <v>0</v>
      </c>
      <c r="H141" s="59">
        <f>IF($C$5*'Tariffs Jan2020'!AK135/'Tariffs Jan2020'!AI135&lt;'Tariffs Jan2020'!L135,0,IF($C$5*'Tariffs Jan2020'!AK135/'Tariffs Jan2020'!AI135&lt;='Tariffs Jan2020'!M135,($C$5*'Tariffs Jan2020'!AK135/'Tariffs Jan2020'!AI135-'Tariffs Jan2020'!L135)*('Tariffs Jan2020'!R135/100)*'Tariffs Jan2020'!AI135,('Tariffs Jan2020'!M135-'Tariffs Jan2020'!L135)*('Tariffs Jan2020'!R135/100)*'Tariffs Jan2020'!AI135))</f>
        <v>0</v>
      </c>
      <c r="I141" s="59">
        <f>IF(($C$5*'Tariffs Jan2020'!AK135/'Tariffs Jan2020'!AI135&gt;'Tariffs Jan2020'!M135),($C$5*'Tariffs Jan2020'!AK135/'Tariffs Jan2020'!AI135-'Tariffs Jan2020'!M135)*'Tariffs Jan2020'!S135/100*'Tariffs Jan2020'!AI135,0)</f>
        <v>329.9538</v>
      </c>
      <c r="J141" s="59">
        <f>IF($C$5*'Tariffs Jan2020'!AL135/'Tariffs Jan2020'!AJ135&gt;='Tariffs Jan2020'!J135,('Tariffs Jan2020'!J135*'Tariffs Jan2020'!U135/100)* 'Tariffs Jan2020'!AJ135,($C$5*'Tariffs Jan2020'!AL135/'Tariffs Jan2020'!AJ135*'Tariffs Jan2020'!U135/100)* 'Tariffs Jan2020'!AJ135)</f>
        <v>240</v>
      </c>
      <c r="K141" s="59">
        <f>IF($C$5*'Tariffs Jan2020'!AL135/'Tariffs Jan2020'!AJ135&lt;'Tariffs Jan2020'!J135,0,IF($C$5*'Tariffs Jan2020'!AL135/'Tariffs Jan2020'!AJ135&lt;='Tariffs Jan2020'!K135,($C$5*'Tariffs Jan2020'!AL135/'Tariffs Jan2020'!AJ135-'Tariffs Jan2020'!J135)*('Tariffs Jan2020'!V135/100)*'Tariffs Jan2020'!AJ135,('Tariffs Jan2020'!K135-'Tariffs Jan2020'!J135)*('Tariffs Jan2020'!V135/100)*'Tariffs Jan2020'!AJ135))</f>
        <v>0</v>
      </c>
      <c r="L141" s="59">
        <f>IF($C$5*'Tariffs Jan2020'!AL135/'Tariffs Jan2020'!AJ135&lt;'Tariffs Jan2020'!K135,0,IF($C$5*'Tariffs Jan2020'!AL135/'Tariffs Jan2020'!AJ135&lt;='Tariffs Jan2020'!L135,($C$5*'Tariffs Jan2020'!AL135/'Tariffs Jan2020'!AJ135-'Tariffs Jan2020'!K135)*('Tariffs Jan2020'!W135/100)*'Tariffs Jan2020'!AJ135,('Tariffs Jan2020'!L135-'Tariffs Jan2020'!K135)*('Tariffs Jan2020'!W135/100)*'Tariffs Jan2020'!AJ135))</f>
        <v>0</v>
      </c>
      <c r="M141" s="59">
        <f>IF($C$5*'Tariffs Jan2020'!AL135/'Tariffs Jan2020'!AJ135&lt;'Tariffs Jan2020'!L135,0,IF($C$5*'Tariffs Jan2020'!AL135/'Tariffs Jan2020'!AJ135&lt;='Tariffs Jan2020'!M135,($C$5*'Tariffs Jan2020'!AL135/'Tariffs Jan2020'!AJ135-'Tariffs Jan2020'!L135)*('Tariffs Jan2020'!X135/100)*'Tariffs Jan2020'!AJ135,('Tariffs Jan2020'!M135-'Tariffs Jan2020'!L135)*('Tariffs Jan2020'!X135/100)*'Tariffs Jan2020'!AJ135))</f>
        <v>0</v>
      </c>
      <c r="N141" s="59">
        <f>IF(($C$5*'Tariffs Jan2020'!AL135/'Tariffs Jan2020'!AJ135&gt;'Tariffs Jan2020'!M135),($C$5*'Tariffs Jan2020'!AL135/'Tariffs Jan2020'!AJ135-'Tariffs Jan2020'!M135)*'Tariffs Jan2020'!Y135/100*'Tariffs Jan2020'!AJ135,0)</f>
        <v>479.93279999999999</v>
      </c>
      <c r="O141" s="59">
        <f t="shared" si="63"/>
        <v>1217.8866</v>
      </c>
      <c r="P141" s="503">
        <f t="shared" si="64"/>
        <v>1339.6752600000002</v>
      </c>
      <c r="Q141" s="59">
        <f t="shared" si="65"/>
        <v>1502.5866000000001</v>
      </c>
      <c r="R141" s="272">
        <f t="shared" si="66"/>
        <v>1652.8452600000003</v>
      </c>
      <c r="S141" s="40">
        <f>'Tariffs Jan2020'!AN135</f>
        <v>10</v>
      </c>
      <c r="T141" s="40">
        <f>'Tariffs Jan2020'!AO135</f>
        <v>0</v>
      </c>
      <c r="U141" s="40">
        <f>'Tariffs Jan2020'!AP135</f>
        <v>0</v>
      </c>
      <c r="V141" s="40">
        <f>'Tariffs Jan2020'!AQ135</f>
        <v>0</v>
      </c>
      <c r="W141" s="284">
        <f>R141-(R141*S141/100)</f>
        <v>1487.5607340000001</v>
      </c>
      <c r="X141" s="284">
        <f>W141</f>
        <v>1487.5607340000001</v>
      </c>
      <c r="Y141" s="507">
        <f>W141</f>
        <v>1487.5607340000001</v>
      </c>
      <c r="Z141" s="507">
        <f>X141</f>
        <v>1487.5607340000001</v>
      </c>
      <c r="AA141" s="274">
        <f>'Tariffs Jan2020'!AZ135</f>
        <v>0</v>
      </c>
      <c r="AB141" s="274" t="str">
        <f>'Tariffs Jan2020'!BA135</f>
        <v>n</v>
      </c>
      <c r="AC141" s="275" t="str">
        <f>'Tariffs Jan2020'!BJ135</f>
        <v>N</v>
      </c>
      <c r="AD141" s="425"/>
      <c r="AE141" s="425"/>
      <c r="AF141" s="427"/>
      <c r="AG141" s="427"/>
      <c r="AH141" s="427"/>
      <c r="AI141" s="427"/>
      <c r="AJ141" s="427"/>
      <c r="AK141" s="427"/>
      <c r="AL141" s="427"/>
      <c r="AM141" s="427"/>
      <c r="AN141" s="427"/>
    </row>
    <row r="142" spans="1:40" ht="14" x14ac:dyDescent="0.15">
      <c r="A142" s="270" t="str">
        <f>'Tariffs Jan2020'!F136</f>
        <v>Red Energy</v>
      </c>
      <c r="B142" s="40" t="str">
        <f>'Tariffs Jan2020'!D136</f>
        <v>AusNet Services Central 1</v>
      </c>
      <c r="C142" s="40" t="str">
        <f>'Tariffs Jan2020'!G136</f>
        <v>Living Energy Saver</v>
      </c>
      <c r="D142" s="59">
        <f>365*'Tariffs Jan2020'!H136/100</f>
        <v>293.46000000000004</v>
      </c>
      <c r="E142" s="59">
        <f>IF($C$5*'Tariffs Jan2020'!AK136/'Tariffs Jan2020'!AI136&gt;='Tariffs Jan2020'!J136,( 'Tariffs Jan2020'!J136*'Tariffs Jan2020'!O136/100)* 'Tariffs Jan2020'!AI136,($C$5*'Tariffs Jan2020'!AK136/'Tariffs Jan2020'!AI136*'Tariffs Jan2020'!O136/100)* 'Tariffs Jan2020'!AI136)</f>
        <v>288</v>
      </c>
      <c r="F142" s="59">
        <f>IF($C$5*'Tariffs Jan2020'!AK136/'Tariffs Jan2020'!AI136&lt;'Tariffs Jan2020'!J136,0,IF($C$5*'Tariffs Jan2020'!AK136/'Tariffs Jan2020'!AI136&lt;='Tariffs Jan2020'!K136,($C$5*'Tariffs Jan2020'!AK136/'Tariffs Jan2020'!AI136-'Tariffs Jan2020'!J136)*('Tariffs Jan2020'!P136/100)*'Tariffs Jan2020'!AI136,('Tariffs Jan2020'!K136-'Tariffs Jan2020'!J136)*('Tariffs Jan2020'!P136/100)*'Tariffs Jan2020'!AI136))</f>
        <v>179.95799999999997</v>
      </c>
      <c r="G142" s="59">
        <f>IF($C$5*'Tariffs Jan2020'!AK136/'Tariffs Jan2020'!AI136&lt;'Tariffs Jan2020'!K136,0,IF($C$5*'Tariffs Jan2020'!AK136/'Tariffs Jan2020'!AI136&lt;='Tariffs Jan2020'!L136,($C$5*'Tariffs Jan2020'!AK136/'Tariffs Jan2020'!AI136-'Tariffs Jan2020'!K136)*('Tariffs Jan2020'!Q136/100)*'Tariffs Jan2020'!AI136,('Tariffs Jan2020'!L136-'Tariffs Jan2020'!K136)*('Tariffs Jan2020'!Q136/100)*'Tariffs Jan2020'!AI136))</f>
        <v>0</v>
      </c>
      <c r="H142" s="59">
        <f>IF($C$5*'Tariffs Jan2020'!AK136/'Tariffs Jan2020'!AI136&lt;'Tariffs Jan2020'!L136,0,IF($C$5*'Tariffs Jan2020'!AK136/'Tariffs Jan2020'!AI136&lt;='Tariffs Jan2020'!M136,($C$5*'Tariffs Jan2020'!AK136/'Tariffs Jan2020'!AI136-'Tariffs Jan2020'!L136)*('Tariffs Jan2020'!R136/100)*'Tariffs Jan2020'!AI136,('Tariffs Jan2020'!M136-'Tariffs Jan2020'!L136)*('Tariffs Jan2020'!R136/100)*'Tariffs Jan2020'!AI136))</f>
        <v>0</v>
      </c>
      <c r="I142" s="59">
        <f>IF(($C$5*'Tariffs Jan2020'!AK136/'Tariffs Jan2020'!AI136&gt;'Tariffs Jan2020'!M136),($C$5*'Tariffs Jan2020'!AK136/'Tariffs Jan2020'!AI136-'Tariffs Jan2020'!M136)*'Tariffs Jan2020'!S136/100*'Tariffs Jan2020'!AI136,0)</f>
        <v>0</v>
      </c>
      <c r="J142" s="59">
        <f>IF($C$5*'Tariffs Jan2020'!AL136/'Tariffs Jan2020'!AJ136&gt;='Tariffs Jan2020'!J136,('Tariffs Jan2020'!J136*'Tariffs Jan2020'!U136/100)* 'Tariffs Jan2020'!AJ136,($C$5*'Tariffs Jan2020'!AL136/'Tariffs Jan2020'!AJ136*'Tariffs Jan2020'!U136/100)* 'Tariffs Jan2020'!AJ136)</f>
        <v>469.09090909090907</v>
      </c>
      <c r="K142" s="59">
        <f>IF($C$5*'Tariffs Jan2020'!AL136/'Tariffs Jan2020'!AJ136&lt;'Tariffs Jan2020'!J136,0,IF($C$5*'Tariffs Jan2020'!AL136/'Tariffs Jan2020'!AJ136&lt;='Tariffs Jan2020'!K136,($C$5*'Tariffs Jan2020'!AL136/'Tariffs Jan2020'!AJ136-'Tariffs Jan2020'!J136)*('Tariffs Jan2020'!V136/100)*'Tariffs Jan2020'!AJ136,('Tariffs Jan2020'!K136-'Tariffs Jan2020'!J136)*('Tariffs Jan2020'!V136/100)*'Tariffs Jan2020'!AJ136))</f>
        <v>341.92019999999985</v>
      </c>
      <c r="L142" s="59">
        <f>IF($C$5*'Tariffs Jan2020'!AL136/'Tariffs Jan2020'!AJ136&lt;'Tariffs Jan2020'!K136,0,IF($C$5*'Tariffs Jan2020'!AL136/'Tariffs Jan2020'!AJ136&lt;='Tariffs Jan2020'!L136,($C$5*'Tariffs Jan2020'!AL136/'Tariffs Jan2020'!AJ136-'Tariffs Jan2020'!K136)*('Tariffs Jan2020'!W136/100)*'Tariffs Jan2020'!AJ136,('Tariffs Jan2020'!L136-'Tariffs Jan2020'!K136)*('Tariffs Jan2020'!W136/100)*'Tariffs Jan2020'!AJ136))</f>
        <v>0</v>
      </c>
      <c r="M142" s="59">
        <f>IF($C$5*'Tariffs Jan2020'!AL136/'Tariffs Jan2020'!AJ136&lt;'Tariffs Jan2020'!L136,0,IF($C$5*'Tariffs Jan2020'!AL136/'Tariffs Jan2020'!AJ136&lt;='Tariffs Jan2020'!M136,($C$5*'Tariffs Jan2020'!AL136/'Tariffs Jan2020'!AJ136-'Tariffs Jan2020'!L136)*('Tariffs Jan2020'!X136/100)*'Tariffs Jan2020'!AJ136,('Tariffs Jan2020'!M136-'Tariffs Jan2020'!L136)*('Tariffs Jan2020'!X136/100)*'Tariffs Jan2020'!AJ136))</f>
        <v>0</v>
      </c>
      <c r="N142" s="59">
        <f>IF(($C$5*'Tariffs Jan2020'!AL136/'Tariffs Jan2020'!AJ136&gt;'Tariffs Jan2020'!M136),($C$5*'Tariffs Jan2020'!AL136/'Tariffs Jan2020'!AJ136-'Tariffs Jan2020'!M136)*'Tariffs Jan2020'!Y136/100*'Tariffs Jan2020'!AJ136,0)</f>
        <v>0</v>
      </c>
      <c r="O142" s="59">
        <f t="shared" si="63"/>
        <v>1278.9691090909089</v>
      </c>
      <c r="P142" s="503">
        <f t="shared" si="64"/>
        <v>1406.8660199999999</v>
      </c>
      <c r="Q142" s="59">
        <f t="shared" si="65"/>
        <v>1572.4291090909089</v>
      </c>
      <c r="R142" s="272">
        <f t="shared" si="66"/>
        <v>1729.67202</v>
      </c>
      <c r="S142" s="40">
        <f>'Tariffs Jan2020'!AN136</f>
        <v>0</v>
      </c>
      <c r="T142" s="40">
        <f>'Tariffs Jan2020'!AO136</f>
        <v>0</v>
      </c>
      <c r="U142" s="40">
        <f>'Tariffs Jan2020'!AP136</f>
        <v>10</v>
      </c>
      <c r="V142" s="40">
        <f>'Tariffs Jan2020'!AQ136</f>
        <v>0</v>
      </c>
      <c r="W142" s="284">
        <f>R142</f>
        <v>1729.67202</v>
      </c>
      <c r="X142" s="284">
        <f>W142-(W142*U142/100)</f>
        <v>1556.7048179999999</v>
      </c>
      <c r="Y142" s="507">
        <f>W142</f>
        <v>1729.67202</v>
      </c>
      <c r="Z142" s="507">
        <f>X142</f>
        <v>1556.7048179999999</v>
      </c>
      <c r="AA142" s="274">
        <f>'Tariffs Jan2020'!AZ136</f>
        <v>0</v>
      </c>
      <c r="AB142" s="274" t="str">
        <f>'Tariffs Jan2020'!BA136</f>
        <v>n</v>
      </c>
      <c r="AC142" s="275" t="str">
        <f>'Tariffs Jan2020'!BJ136</f>
        <v>N</v>
      </c>
      <c r="AD142" s="425"/>
      <c r="AE142" s="425"/>
      <c r="AF142" s="427"/>
      <c r="AG142" s="427"/>
      <c r="AH142" s="427"/>
      <c r="AI142" s="427"/>
      <c r="AJ142" s="427"/>
      <c r="AK142" s="427"/>
      <c r="AL142" s="427"/>
      <c r="AM142" s="427"/>
      <c r="AN142" s="427"/>
    </row>
    <row r="143" spans="1:40" ht="14" x14ac:dyDescent="0.15">
      <c r="A143" s="270" t="str">
        <f>'Tariffs Jan2020'!F137</f>
        <v>Simply Energy</v>
      </c>
      <c r="B143" s="40" t="str">
        <f>'Tariffs Jan2020'!D137</f>
        <v>AusNet Services Central 1</v>
      </c>
      <c r="C143" s="40" t="str">
        <f>'Tariffs Jan2020'!G137</f>
        <v>Plus</v>
      </c>
      <c r="D143" s="59">
        <f>365*'Tariffs Jan2020'!H137/100</f>
        <v>338.05636363636359</v>
      </c>
      <c r="E143" s="59">
        <f>IF($C$5*'Tariffs Jan2020'!AK137/'Tariffs Jan2020'!AI137&gt;='Tariffs Jan2020'!J137,( 'Tariffs Jan2020'!J137*'Tariffs Jan2020'!O137/100)* 'Tariffs Jan2020'!AI137,($C$5*'Tariffs Jan2020'!AK137/'Tariffs Jan2020'!AI137*'Tariffs Jan2020'!O137/100)* 'Tariffs Jan2020'!AI137)</f>
        <v>289.09090909090907</v>
      </c>
      <c r="F143" s="59">
        <f>IF($C$5*'Tariffs Jan2020'!AK137/'Tariffs Jan2020'!AI137&lt;'Tariffs Jan2020'!J137,0,IF($C$5*'Tariffs Jan2020'!AK137/'Tariffs Jan2020'!AI137&lt;='Tariffs Jan2020'!K137,($C$5*'Tariffs Jan2020'!AK137/'Tariffs Jan2020'!AI137-'Tariffs Jan2020'!J137)*('Tariffs Jan2020'!P137/100)*'Tariffs Jan2020'!AI137,('Tariffs Jan2020'!K137-'Tariffs Jan2020'!J137)*('Tariffs Jan2020'!P137/100)*'Tariffs Jan2020'!AI137))</f>
        <v>184.8659454545454</v>
      </c>
      <c r="G143" s="59">
        <f>IF($C$5*'Tariffs Jan2020'!AK137/'Tariffs Jan2020'!AI137&lt;'Tariffs Jan2020'!K137,0,IF($C$5*'Tariffs Jan2020'!AK137/'Tariffs Jan2020'!AI137&lt;='Tariffs Jan2020'!L137,($C$5*'Tariffs Jan2020'!AK137/'Tariffs Jan2020'!AI137-'Tariffs Jan2020'!K137)*('Tariffs Jan2020'!Q137/100)*'Tariffs Jan2020'!AI137,('Tariffs Jan2020'!L137-'Tariffs Jan2020'!K137)*('Tariffs Jan2020'!Q137/100)*'Tariffs Jan2020'!AI137))</f>
        <v>0</v>
      </c>
      <c r="H143" s="59">
        <f>IF($C$5*'Tariffs Jan2020'!AK137/'Tariffs Jan2020'!AI137&lt;'Tariffs Jan2020'!L137,0,IF($C$5*'Tariffs Jan2020'!AK137/'Tariffs Jan2020'!AI137&lt;='Tariffs Jan2020'!M137,($C$5*'Tariffs Jan2020'!AK137/'Tariffs Jan2020'!AI137-'Tariffs Jan2020'!L137)*('Tariffs Jan2020'!R137/100)*'Tariffs Jan2020'!AI137,('Tariffs Jan2020'!M137-'Tariffs Jan2020'!L137)*('Tariffs Jan2020'!R137/100)*'Tariffs Jan2020'!AI137))</f>
        <v>0</v>
      </c>
      <c r="I143" s="59">
        <f>IF(($C$5*'Tariffs Jan2020'!AK137/'Tariffs Jan2020'!AI137&gt;'Tariffs Jan2020'!M137),($C$5*'Tariffs Jan2020'!AK137/'Tariffs Jan2020'!AI137-'Tariffs Jan2020'!M137)*'Tariffs Jan2020'!S137/100*'Tariffs Jan2020'!AI137,0)</f>
        <v>0</v>
      </c>
      <c r="J143" s="59">
        <f>IF($C$5*'Tariffs Jan2020'!AL137/'Tariffs Jan2020'!AJ137&gt;='Tariffs Jan2020'!J137,('Tariffs Jan2020'!J137*'Tariffs Jan2020'!U137/100)* 'Tariffs Jan2020'!AJ137,($C$5*'Tariffs Jan2020'!AL137/'Tariffs Jan2020'!AJ137*'Tariffs Jan2020'!U137/100)* 'Tariffs Jan2020'!AJ137)</f>
        <v>436.36363636363632</v>
      </c>
      <c r="K143" s="59">
        <f>IF($C$5*'Tariffs Jan2020'!AL137/'Tariffs Jan2020'!AJ137&lt;'Tariffs Jan2020'!J137,0,IF($C$5*'Tariffs Jan2020'!AL137/'Tariffs Jan2020'!AJ137&lt;='Tariffs Jan2020'!K137,($C$5*'Tariffs Jan2020'!AL137/'Tariffs Jan2020'!AJ137-'Tariffs Jan2020'!J137)*('Tariffs Jan2020'!V137/100)*'Tariffs Jan2020'!AJ137,('Tariffs Jan2020'!K137-'Tariffs Jan2020'!J137)*('Tariffs Jan2020'!V137/100)*'Tariffs Jan2020'!AJ137))</f>
        <v>317.3804727272726</v>
      </c>
      <c r="L143" s="59">
        <f>IF($C$5*'Tariffs Jan2020'!AL137/'Tariffs Jan2020'!AJ137&lt;'Tariffs Jan2020'!K137,0,IF($C$5*'Tariffs Jan2020'!AL137/'Tariffs Jan2020'!AJ137&lt;='Tariffs Jan2020'!L137,($C$5*'Tariffs Jan2020'!AL137/'Tariffs Jan2020'!AJ137-'Tariffs Jan2020'!K137)*('Tariffs Jan2020'!W137/100)*'Tariffs Jan2020'!AJ137,('Tariffs Jan2020'!L137-'Tariffs Jan2020'!K137)*('Tariffs Jan2020'!W137/100)*'Tariffs Jan2020'!AJ137))</f>
        <v>0</v>
      </c>
      <c r="M143" s="59">
        <f>IF($C$5*'Tariffs Jan2020'!AL137/'Tariffs Jan2020'!AJ137&lt;'Tariffs Jan2020'!L137,0,IF($C$5*'Tariffs Jan2020'!AL137/'Tariffs Jan2020'!AJ137&lt;='Tariffs Jan2020'!M137,($C$5*'Tariffs Jan2020'!AL137/'Tariffs Jan2020'!AJ137-'Tariffs Jan2020'!L137)*('Tariffs Jan2020'!X137/100)*'Tariffs Jan2020'!AJ137,('Tariffs Jan2020'!M137-'Tariffs Jan2020'!L137)*('Tariffs Jan2020'!X137/100)*'Tariffs Jan2020'!AJ137))</f>
        <v>0</v>
      </c>
      <c r="N143" s="59">
        <f>IF(($C$5*'Tariffs Jan2020'!AL137/'Tariffs Jan2020'!AJ137&gt;'Tariffs Jan2020'!M137),($C$5*'Tariffs Jan2020'!AL137/'Tariffs Jan2020'!AJ137-'Tariffs Jan2020'!M137)*'Tariffs Jan2020'!Y137/100*'Tariffs Jan2020'!AJ137,0)</f>
        <v>0</v>
      </c>
      <c r="O143" s="59">
        <f t="shared" si="63"/>
        <v>1227.7009636363632</v>
      </c>
      <c r="P143" s="503">
        <f t="shared" si="64"/>
        <v>1350.4710599999996</v>
      </c>
      <c r="Q143" s="59">
        <f t="shared" si="65"/>
        <v>1565.7573272727268</v>
      </c>
      <c r="R143" s="272">
        <f t="shared" si="66"/>
        <v>1722.3330599999997</v>
      </c>
      <c r="S143" s="40">
        <f>'Tariffs Jan2020'!AN137</f>
        <v>0</v>
      </c>
      <c r="T143" s="40">
        <f>'Tariffs Jan2020'!AO137</f>
        <v>0</v>
      </c>
      <c r="U143" s="40">
        <f>'Tariffs Jan2020'!AP137</f>
        <v>12</v>
      </c>
      <c r="V143" s="40">
        <f>'Tariffs Jan2020'!AQ137</f>
        <v>0</v>
      </c>
      <c r="W143" s="284">
        <f t="shared" ref="W143:W144" si="68">Q143</f>
        <v>1565.7573272727268</v>
      </c>
      <c r="X143" s="284">
        <f>W143-(Q143*U143/100)</f>
        <v>1377.8664479999995</v>
      </c>
      <c r="Y143" s="507">
        <f t="shared" ref="Y143:Y145" si="69">W143*1.1</f>
        <v>1722.3330599999997</v>
      </c>
      <c r="Z143" s="507">
        <f t="shared" ref="Z143:Z145" si="70">X143*1.1</f>
        <v>1515.6530927999995</v>
      </c>
      <c r="AA143" s="274">
        <f>'Tariffs Jan2020'!AZ137</f>
        <v>0</v>
      </c>
      <c r="AB143" s="274" t="str">
        <f>'Tariffs Jan2020'!BA137</f>
        <v>n</v>
      </c>
      <c r="AC143" s="275" t="str">
        <f>'Tariffs Jan2020'!BJ137</f>
        <v>Y</v>
      </c>
      <c r="AD143" s="425"/>
      <c r="AE143" s="425"/>
      <c r="AF143" s="427"/>
      <c r="AG143" s="427"/>
      <c r="AH143" s="427"/>
      <c r="AI143" s="427"/>
      <c r="AJ143" s="427"/>
      <c r="AK143" s="427"/>
      <c r="AL143" s="427"/>
      <c r="AM143" s="427"/>
      <c r="AN143" s="427"/>
    </row>
    <row r="144" spans="1:40" ht="14" x14ac:dyDescent="0.15">
      <c r="A144" s="270" t="str">
        <f>'Tariffs Jan2020'!F138</f>
        <v>Sumo Power</v>
      </c>
      <c r="B144" s="40" t="str">
        <f>'Tariffs Jan2020'!D138</f>
        <v>AusNet Services Central 1</v>
      </c>
      <c r="C144" s="40" t="str">
        <f>'Tariffs Jan2020'!G138</f>
        <v>Select</v>
      </c>
      <c r="D144" s="59">
        <f>365*'Tariffs Jan2020'!H138/100</f>
        <v>248.19999999999996</v>
      </c>
      <c r="E144" s="59">
        <f>IF($C$5*'Tariffs Jan2020'!AK138/'Tariffs Jan2020'!AI138&gt;='Tariffs Jan2020'!J138,( 'Tariffs Jan2020'!J138*'Tariffs Jan2020'!O138/100)* 'Tariffs Jan2020'!AI138,($C$5*'Tariffs Jan2020'!AK138/'Tariffs Jan2020'!AI138*'Tariffs Jan2020'!O138/100)* 'Tariffs Jan2020'!AI138)</f>
        <v>266.18181818181813</v>
      </c>
      <c r="F144" s="59">
        <f>IF($C$5*'Tariffs Jan2020'!AK138/'Tariffs Jan2020'!AI138&lt;'Tariffs Jan2020'!J138,0,IF($C$5*'Tariffs Jan2020'!AK138/'Tariffs Jan2020'!AI138&lt;='Tariffs Jan2020'!K138,($C$5*'Tariffs Jan2020'!AK138/'Tariffs Jan2020'!AI138-'Tariffs Jan2020'!J138)*('Tariffs Jan2020'!P138/100)*'Tariffs Jan2020'!AI138,('Tariffs Jan2020'!K138-'Tariffs Jan2020'!J138)*('Tariffs Jan2020'!P138/100)*'Tariffs Jan2020'!AI138))</f>
        <v>181.59398181818176</v>
      </c>
      <c r="G144" s="59">
        <f>IF($C$5*'Tariffs Jan2020'!AK138/'Tariffs Jan2020'!AI138&lt;'Tariffs Jan2020'!K138,0,IF($C$5*'Tariffs Jan2020'!AK138/'Tariffs Jan2020'!AI138&lt;='Tariffs Jan2020'!L138,($C$5*'Tariffs Jan2020'!AK138/'Tariffs Jan2020'!AI138-'Tariffs Jan2020'!K138)*('Tariffs Jan2020'!Q138/100)*'Tariffs Jan2020'!AI138,('Tariffs Jan2020'!L138-'Tariffs Jan2020'!K138)*('Tariffs Jan2020'!Q138/100)*'Tariffs Jan2020'!AI138))</f>
        <v>0</v>
      </c>
      <c r="H144" s="59">
        <f>IF($C$5*'Tariffs Jan2020'!AK138/'Tariffs Jan2020'!AI138&lt;'Tariffs Jan2020'!L138,0,IF($C$5*'Tariffs Jan2020'!AK138/'Tariffs Jan2020'!AI138&lt;='Tariffs Jan2020'!M138,($C$5*'Tariffs Jan2020'!AK138/'Tariffs Jan2020'!AI138-'Tariffs Jan2020'!L138)*('Tariffs Jan2020'!R138/100)*'Tariffs Jan2020'!AI138,('Tariffs Jan2020'!M138-'Tariffs Jan2020'!L138)*('Tariffs Jan2020'!R138/100)*'Tariffs Jan2020'!AI138))</f>
        <v>0</v>
      </c>
      <c r="I144" s="59">
        <f>IF(($C$5*'Tariffs Jan2020'!AK138/'Tariffs Jan2020'!AI138&gt;'Tariffs Jan2020'!M138),($C$5*'Tariffs Jan2020'!AK138/'Tariffs Jan2020'!AI138-'Tariffs Jan2020'!M138)*'Tariffs Jan2020'!S138/100*'Tariffs Jan2020'!AI138,0)</f>
        <v>0</v>
      </c>
      <c r="J144" s="59">
        <f>IF($C$5*'Tariffs Jan2020'!AL138/'Tariffs Jan2020'!AJ138&gt;='Tariffs Jan2020'!J138,('Tariffs Jan2020'!J138*'Tariffs Jan2020'!U138/100)* 'Tariffs Jan2020'!AJ138,($C$5*'Tariffs Jan2020'!AL138/'Tariffs Jan2020'!AJ138*'Tariffs Jan2020'!U138/100)* 'Tariffs Jan2020'!AJ138)</f>
        <v>421.09090909090907</v>
      </c>
      <c r="K144" s="59">
        <f>IF($C$5*'Tariffs Jan2020'!AL138/'Tariffs Jan2020'!AJ138&lt;'Tariffs Jan2020'!J138,0,IF($C$5*'Tariffs Jan2020'!AL138/'Tariffs Jan2020'!AJ138&lt;='Tariffs Jan2020'!K138,($C$5*'Tariffs Jan2020'!AL138/'Tariffs Jan2020'!AJ138-'Tariffs Jan2020'!J138)*('Tariffs Jan2020'!V138/100)*'Tariffs Jan2020'!AJ138,('Tariffs Jan2020'!K138-'Tariffs Jan2020'!J138)*('Tariffs Jan2020'!V138/100)*'Tariffs Jan2020'!AJ138))</f>
        <v>273.20896363636353</v>
      </c>
      <c r="L144" s="59">
        <f>IF($C$5*'Tariffs Jan2020'!AL138/'Tariffs Jan2020'!AJ138&lt;'Tariffs Jan2020'!K138,0,IF($C$5*'Tariffs Jan2020'!AL138/'Tariffs Jan2020'!AJ138&lt;='Tariffs Jan2020'!L138,($C$5*'Tariffs Jan2020'!AL138/'Tariffs Jan2020'!AJ138-'Tariffs Jan2020'!K138)*('Tariffs Jan2020'!W138/100)*'Tariffs Jan2020'!AJ138,('Tariffs Jan2020'!L138-'Tariffs Jan2020'!K138)*('Tariffs Jan2020'!W138/100)*'Tariffs Jan2020'!AJ138))</f>
        <v>0</v>
      </c>
      <c r="M144" s="59">
        <f>IF($C$5*'Tariffs Jan2020'!AL138/'Tariffs Jan2020'!AJ138&lt;'Tariffs Jan2020'!L138,0,IF($C$5*'Tariffs Jan2020'!AL138/'Tariffs Jan2020'!AJ138&lt;='Tariffs Jan2020'!M138,($C$5*'Tariffs Jan2020'!AL138/'Tariffs Jan2020'!AJ138-'Tariffs Jan2020'!L138)*('Tariffs Jan2020'!X138/100)*'Tariffs Jan2020'!AJ138,('Tariffs Jan2020'!M138-'Tariffs Jan2020'!L138)*('Tariffs Jan2020'!X138/100)*'Tariffs Jan2020'!AJ138))</f>
        <v>0</v>
      </c>
      <c r="N144" s="59">
        <f>IF(($C$5*'Tariffs Jan2020'!AL138/'Tariffs Jan2020'!AJ138&gt;'Tariffs Jan2020'!M138),($C$5*'Tariffs Jan2020'!AL138/'Tariffs Jan2020'!AJ138-'Tariffs Jan2020'!M138)*'Tariffs Jan2020'!Y138/100*'Tariffs Jan2020'!AJ138,0)</f>
        <v>0</v>
      </c>
      <c r="O144" s="59">
        <f t="shared" si="63"/>
        <v>1142.0756727272724</v>
      </c>
      <c r="P144" s="503">
        <f t="shared" si="64"/>
        <v>1256.2832399999998</v>
      </c>
      <c r="Q144" s="59">
        <f t="shared" si="65"/>
        <v>1390.2756727272724</v>
      </c>
      <c r="R144" s="272">
        <f t="shared" si="66"/>
        <v>1529.3032399999997</v>
      </c>
      <c r="S144" s="40">
        <f>'Tariffs Jan2020'!AN138</f>
        <v>0</v>
      </c>
      <c r="T144" s="40">
        <f>'Tariffs Jan2020'!AO138</f>
        <v>0</v>
      </c>
      <c r="U144" s="40">
        <f>'Tariffs Jan2020'!AP138</f>
        <v>5</v>
      </c>
      <c r="V144" s="40">
        <f>'Tariffs Jan2020'!AQ138</f>
        <v>0</v>
      </c>
      <c r="W144" s="284">
        <f t="shared" si="68"/>
        <v>1390.2756727272724</v>
      </c>
      <c r="X144" s="284">
        <f>W144-(Q144*U144/100)</f>
        <v>1320.7618890909089</v>
      </c>
      <c r="Y144" s="507">
        <f t="shared" si="69"/>
        <v>1529.3032399999997</v>
      </c>
      <c r="Z144" s="507">
        <f t="shared" si="70"/>
        <v>1452.838078</v>
      </c>
      <c r="AA144" s="274">
        <f>'Tariffs Jan2020'!AZ138</f>
        <v>0</v>
      </c>
      <c r="AB144" s="274" t="str">
        <f>'Tariffs Jan2020'!BA138</f>
        <v>n</v>
      </c>
      <c r="AC144" s="275" t="str">
        <f>'Tariffs Jan2020'!BJ138</f>
        <v>Y</v>
      </c>
      <c r="AD144" s="425"/>
      <c r="AE144" s="425"/>
      <c r="AF144" s="427"/>
      <c r="AG144" s="427"/>
      <c r="AH144" s="427"/>
      <c r="AI144" s="427"/>
      <c r="AJ144" s="427"/>
      <c r="AK144" s="427"/>
      <c r="AL144" s="427"/>
      <c r="AM144" s="427"/>
      <c r="AN144" s="427"/>
    </row>
    <row r="145" spans="1:40" ht="14" x14ac:dyDescent="0.15">
      <c r="A145" s="270" t="str">
        <f>'Tariffs Jan2020'!F139</f>
        <v>Amaysim</v>
      </c>
      <c r="B145" s="40" t="str">
        <f>'Tariffs Jan2020'!D139</f>
        <v>AusNet Services Central 1</v>
      </c>
      <c r="C145" s="40" t="str">
        <f>'Tariffs Jan2020'!G139</f>
        <v>Gas as you go</v>
      </c>
      <c r="D145" s="59">
        <f>365*'Tariffs Jan2020'!H139/100</f>
        <v>240.2576</v>
      </c>
      <c r="E145" s="59">
        <f>IF($C$5*'Tariffs Jan2020'!AK139/'Tariffs Jan2020'!AI139&gt;='Tariffs Jan2020'!J139,( 'Tariffs Jan2020'!J139*'Tariffs Jan2020'!O139/100)* 'Tariffs Jan2020'!AI139,($C$5*'Tariffs Jan2020'!AK139/'Tariffs Jan2020'!AI139*'Tariffs Jan2020'!O139/100)* 'Tariffs Jan2020'!AI139)</f>
        <v>289.68</v>
      </c>
      <c r="F145" s="59">
        <f>IF($C$5*'Tariffs Jan2020'!AK139/'Tariffs Jan2020'!AI139&lt;'Tariffs Jan2020'!J139,0,IF($C$5*'Tariffs Jan2020'!AK139/'Tariffs Jan2020'!AI139&lt;='Tariffs Jan2020'!K139,($C$5*'Tariffs Jan2020'!AK139/'Tariffs Jan2020'!AI139-'Tariffs Jan2020'!J139)*('Tariffs Jan2020'!P139/100)*'Tariffs Jan2020'!AI139,('Tariffs Jan2020'!K139-'Tariffs Jan2020'!J139)*('Tariffs Jan2020'!P139/100)*'Tariffs Jan2020'!AI139))</f>
        <v>186.61644599999994</v>
      </c>
      <c r="G145" s="59">
        <f>IF($C$5*'Tariffs Jan2020'!AK139/'Tariffs Jan2020'!AI139&lt;'Tariffs Jan2020'!K139,0,IF($C$5*'Tariffs Jan2020'!AK139/'Tariffs Jan2020'!AI139&lt;='Tariffs Jan2020'!L139,($C$5*'Tariffs Jan2020'!AK139/'Tariffs Jan2020'!AI139-'Tariffs Jan2020'!K139)*('Tariffs Jan2020'!Q139/100)*'Tariffs Jan2020'!AI139,('Tariffs Jan2020'!L139-'Tariffs Jan2020'!K139)*('Tariffs Jan2020'!Q139/100)*'Tariffs Jan2020'!AI139))</f>
        <v>0</v>
      </c>
      <c r="H145" s="59">
        <f>IF($C$5*'Tariffs Jan2020'!AK139/'Tariffs Jan2020'!AI139&lt;'Tariffs Jan2020'!L139,0,IF($C$5*'Tariffs Jan2020'!AK139/'Tariffs Jan2020'!AI139&lt;='Tariffs Jan2020'!M139,($C$5*'Tariffs Jan2020'!AK139/'Tariffs Jan2020'!AI139-'Tariffs Jan2020'!L139)*('Tariffs Jan2020'!R139/100)*'Tariffs Jan2020'!AI139,('Tariffs Jan2020'!M139-'Tariffs Jan2020'!L139)*('Tariffs Jan2020'!R139/100)*'Tariffs Jan2020'!AI139))</f>
        <v>0</v>
      </c>
      <c r="I145" s="59">
        <f>IF(($C$5*'Tariffs Jan2020'!AK139/'Tariffs Jan2020'!AI139&gt;'Tariffs Jan2020'!M139),($C$5*'Tariffs Jan2020'!AK139/'Tariffs Jan2020'!AI139-'Tariffs Jan2020'!M139)*'Tariffs Jan2020'!S139/100*'Tariffs Jan2020'!AI139,0)</f>
        <v>0</v>
      </c>
      <c r="J145" s="59">
        <f>IF($C$5*'Tariffs Jan2020'!AL139/'Tariffs Jan2020'!AJ139&gt;='Tariffs Jan2020'!J139,('Tariffs Jan2020'!J139*'Tariffs Jan2020'!U139/100)* 'Tariffs Jan2020'!AJ139,($C$5*'Tariffs Jan2020'!AL139/'Tariffs Jan2020'!AJ139*'Tariffs Jan2020'!U139/100)* 'Tariffs Jan2020'!AJ139)</f>
        <v>408</v>
      </c>
      <c r="K145" s="59">
        <f>IF($C$5*'Tariffs Jan2020'!AL139/'Tariffs Jan2020'!AJ139&lt;'Tariffs Jan2020'!J139,0,IF($C$5*'Tariffs Jan2020'!AL139/'Tariffs Jan2020'!AJ139&lt;='Tariffs Jan2020'!K139,($C$5*'Tariffs Jan2020'!AL139/'Tariffs Jan2020'!AJ139-'Tariffs Jan2020'!J139)*('Tariffs Jan2020'!V139/100)*'Tariffs Jan2020'!AJ139,('Tariffs Jan2020'!K139-'Tariffs Jan2020'!J139)*('Tariffs Jan2020'!V139/100)*'Tariffs Jan2020'!AJ139))</f>
        <v>299.81002799999987</v>
      </c>
      <c r="L145" s="59">
        <f>IF($C$5*'Tariffs Jan2020'!AL139/'Tariffs Jan2020'!AJ139&lt;'Tariffs Jan2020'!K139,0,IF($C$5*'Tariffs Jan2020'!AL139/'Tariffs Jan2020'!AJ139&lt;='Tariffs Jan2020'!L139,($C$5*'Tariffs Jan2020'!AL139/'Tariffs Jan2020'!AJ139-'Tariffs Jan2020'!K139)*('Tariffs Jan2020'!W139/100)*'Tariffs Jan2020'!AJ139,('Tariffs Jan2020'!L139-'Tariffs Jan2020'!K139)*('Tariffs Jan2020'!W139/100)*'Tariffs Jan2020'!AJ139))</f>
        <v>0</v>
      </c>
      <c r="M145" s="59">
        <f>IF($C$5*'Tariffs Jan2020'!AL139/'Tariffs Jan2020'!AJ139&lt;'Tariffs Jan2020'!L139,0,IF($C$5*'Tariffs Jan2020'!AL139/'Tariffs Jan2020'!AJ139&lt;='Tariffs Jan2020'!M139,($C$5*'Tariffs Jan2020'!AL139/'Tariffs Jan2020'!AJ139-'Tariffs Jan2020'!L139)*('Tariffs Jan2020'!X139/100)*'Tariffs Jan2020'!AJ139,('Tariffs Jan2020'!M139-'Tariffs Jan2020'!L139)*('Tariffs Jan2020'!X139/100)*'Tariffs Jan2020'!AJ139))</f>
        <v>0</v>
      </c>
      <c r="N145" s="59">
        <f>IF(($C$5*'Tariffs Jan2020'!AL139/'Tariffs Jan2020'!AJ139&gt;'Tariffs Jan2020'!M139),($C$5*'Tariffs Jan2020'!AL139/'Tariffs Jan2020'!AJ139-'Tariffs Jan2020'!M139)*'Tariffs Jan2020'!Y139/100*'Tariffs Jan2020'!AJ139,0)</f>
        <v>0</v>
      </c>
      <c r="O145" s="59">
        <f t="shared" si="63"/>
        <v>1184.1064739999997</v>
      </c>
      <c r="P145" s="503">
        <f t="shared" si="64"/>
        <v>1302.5171213999997</v>
      </c>
      <c r="Q145" s="59">
        <f t="shared" si="65"/>
        <v>1424.3640739999996</v>
      </c>
      <c r="R145" s="272">
        <f t="shared" si="66"/>
        <v>1566.8004813999996</v>
      </c>
      <c r="S145" s="40">
        <f>'Tariffs Jan2020'!AN139</f>
        <v>0</v>
      </c>
      <c r="T145" s="40">
        <f>'Tariffs Jan2020'!AO139</f>
        <v>0</v>
      </c>
      <c r="U145" s="40">
        <f>'Tariffs Jan2020'!AP139</f>
        <v>0</v>
      </c>
      <c r="V145" s="40">
        <f>'Tariffs Jan2020'!AQ139</f>
        <v>0</v>
      </c>
      <c r="W145" s="284">
        <f>Q145</f>
        <v>1424.3640739999996</v>
      </c>
      <c r="X145" s="284">
        <f>W145</f>
        <v>1424.3640739999996</v>
      </c>
      <c r="Y145" s="507">
        <f t="shared" si="69"/>
        <v>1566.8004813999996</v>
      </c>
      <c r="Z145" s="507">
        <f t="shared" si="70"/>
        <v>1566.8004813999996</v>
      </c>
      <c r="AA145" s="274">
        <f>'Tariffs Jan2020'!AZ139</f>
        <v>0</v>
      </c>
      <c r="AB145" s="274" t="str">
        <f>'Tariffs Jan2020'!BA139</f>
        <v>n</v>
      </c>
      <c r="AC145" s="275" t="str">
        <f>'Tariffs Jan2020'!BJ139</f>
        <v>N</v>
      </c>
      <c r="AD145" s="425"/>
      <c r="AE145" s="425"/>
      <c r="AF145" s="427"/>
      <c r="AG145" s="427"/>
      <c r="AH145" s="427"/>
      <c r="AI145" s="427"/>
      <c r="AJ145" s="427"/>
      <c r="AK145" s="427"/>
      <c r="AL145" s="427"/>
      <c r="AM145" s="427"/>
      <c r="AN145" s="427"/>
    </row>
    <row r="146" spans="1:40" ht="14" x14ac:dyDescent="0.15">
      <c r="A146" s="270" t="str">
        <f>'Tariffs Jan2020'!F140</f>
        <v>GloBird Energy</v>
      </c>
      <c r="B146" s="40" t="str">
        <f>'Tariffs Jan2020'!D140</f>
        <v>AusNet Services Central 1</v>
      </c>
      <c r="C146" s="40" t="str">
        <f>'Tariffs Jan2020'!G140</f>
        <v>GloSave</v>
      </c>
      <c r="D146" s="59">
        <f>365*'Tariffs Jan2020'!H140/100</f>
        <v>292</v>
      </c>
      <c r="E146" s="59">
        <f>IF($C$5*'Tariffs Jan2020'!AK140/'Tariffs Jan2020'!AI140&gt;='Tariffs Jan2020'!J140,( 'Tariffs Jan2020'!J140*'Tariffs Jan2020'!O140/100)* 'Tariffs Jan2020'!AI140,($C$5*'Tariffs Jan2020'!AK140/'Tariffs Jan2020'!AI140*'Tariffs Jan2020'!O140/100)* 'Tariffs Jan2020'!AI140)</f>
        <v>121.09090909090908</v>
      </c>
      <c r="F146" s="59">
        <f>IF($C$5*'Tariffs Jan2020'!AK140/'Tariffs Jan2020'!AI140&lt;'Tariffs Jan2020'!J140,0,IF($C$5*'Tariffs Jan2020'!AK140/'Tariffs Jan2020'!AI140&lt;='Tariffs Jan2020'!K140,($C$5*'Tariffs Jan2020'!AK140/'Tariffs Jan2020'!AI140-'Tariffs Jan2020'!J140)*('Tariffs Jan2020'!P140/100)*'Tariffs Jan2020'!AI140,('Tariffs Jan2020'!K140-'Tariffs Jan2020'!J140)*('Tariffs Jan2020'!P140/100)*'Tariffs Jan2020'!AI140))</f>
        <v>0</v>
      </c>
      <c r="G146" s="59">
        <f>IF($C$5*'Tariffs Jan2020'!AK140/'Tariffs Jan2020'!AI140&lt;'Tariffs Jan2020'!K140,0,IF($C$5*'Tariffs Jan2020'!AK140/'Tariffs Jan2020'!AI140&lt;='Tariffs Jan2020'!L140,($C$5*'Tariffs Jan2020'!AK140/'Tariffs Jan2020'!AI140-'Tariffs Jan2020'!K140)*('Tariffs Jan2020'!Q140/100)*'Tariffs Jan2020'!AI140,('Tariffs Jan2020'!L140-'Tariffs Jan2020'!K140)*('Tariffs Jan2020'!Q140/100)*'Tariffs Jan2020'!AI140))</f>
        <v>0</v>
      </c>
      <c r="H146" s="59">
        <f>IF($C$5*'Tariffs Jan2020'!AK140/'Tariffs Jan2020'!AI140&lt;'Tariffs Jan2020'!L140,0,IF($C$5*'Tariffs Jan2020'!AK140/'Tariffs Jan2020'!AI140&lt;='Tariffs Jan2020'!M140,($C$5*'Tariffs Jan2020'!AK140/'Tariffs Jan2020'!AI140-'Tariffs Jan2020'!L140)*('Tariffs Jan2020'!R140/100)*'Tariffs Jan2020'!AI140,('Tariffs Jan2020'!M140-'Tariffs Jan2020'!L140)*('Tariffs Jan2020'!R140/100)*'Tariffs Jan2020'!AI140))</f>
        <v>0</v>
      </c>
      <c r="I146" s="59">
        <f>IF(($C$5*'Tariffs Jan2020'!AK140/'Tariffs Jan2020'!AI140&gt;'Tariffs Jan2020'!M140),($C$5*'Tariffs Jan2020'!AK140/'Tariffs Jan2020'!AI140-'Tariffs Jan2020'!M140)*'Tariffs Jan2020'!S140/100*'Tariffs Jan2020'!AI140,0)</f>
        <v>269.96219999999994</v>
      </c>
      <c r="J146" s="59">
        <f>IF($C$5*'Tariffs Jan2020'!AL140/'Tariffs Jan2020'!AJ140&gt;='Tariffs Jan2020'!J140,('Tariffs Jan2020'!J140*'Tariffs Jan2020'!U140/100)* 'Tariffs Jan2020'!AJ140,($C$5*'Tariffs Jan2020'!AL140/'Tariffs Jan2020'!AJ140*'Tariffs Jan2020'!U140/100)* 'Tariffs Jan2020'!AJ140)</f>
        <v>186.54545454545453</v>
      </c>
      <c r="K146" s="59">
        <f>IF($C$5*'Tariffs Jan2020'!AL140/'Tariffs Jan2020'!AJ140&lt;'Tariffs Jan2020'!J140,0,IF($C$5*'Tariffs Jan2020'!AL140/'Tariffs Jan2020'!AJ140&lt;='Tariffs Jan2020'!K140,($C$5*'Tariffs Jan2020'!AL140/'Tariffs Jan2020'!AJ140-'Tariffs Jan2020'!J140)*('Tariffs Jan2020'!V140/100)*'Tariffs Jan2020'!AJ140,('Tariffs Jan2020'!K140-'Tariffs Jan2020'!J140)*('Tariffs Jan2020'!V140/100)*'Tariffs Jan2020'!AJ140))</f>
        <v>0</v>
      </c>
      <c r="L146" s="59">
        <f>IF($C$5*'Tariffs Jan2020'!AL140/'Tariffs Jan2020'!AJ140&lt;'Tariffs Jan2020'!K140,0,IF($C$5*'Tariffs Jan2020'!AL140/'Tariffs Jan2020'!AJ140&lt;='Tariffs Jan2020'!L140,($C$5*'Tariffs Jan2020'!AL140/'Tariffs Jan2020'!AJ140-'Tariffs Jan2020'!K140)*('Tariffs Jan2020'!W140/100)*'Tariffs Jan2020'!AJ140,('Tariffs Jan2020'!L140-'Tariffs Jan2020'!K140)*('Tariffs Jan2020'!W140/100)*'Tariffs Jan2020'!AJ140))</f>
        <v>0</v>
      </c>
      <c r="M146" s="59">
        <f>IF($C$5*'Tariffs Jan2020'!AL140/'Tariffs Jan2020'!AJ140&lt;'Tariffs Jan2020'!L140,0,IF($C$5*'Tariffs Jan2020'!AL140/'Tariffs Jan2020'!AJ140&lt;='Tariffs Jan2020'!M140,($C$5*'Tariffs Jan2020'!AL140/'Tariffs Jan2020'!AJ140-'Tariffs Jan2020'!L140)*('Tariffs Jan2020'!X140/100)*'Tariffs Jan2020'!AJ140,('Tariffs Jan2020'!M140-'Tariffs Jan2020'!L140)*('Tariffs Jan2020'!X140/100)*'Tariffs Jan2020'!AJ140))</f>
        <v>0</v>
      </c>
      <c r="N146" s="59">
        <f>IF(($C$5*'Tariffs Jan2020'!AL140/'Tariffs Jan2020'!AJ140&gt;'Tariffs Jan2020'!M140),($C$5*'Tariffs Jan2020'!AL140/'Tariffs Jan2020'!AJ140-'Tariffs Jan2020'!M140)*'Tariffs Jan2020'!Y140/100*'Tariffs Jan2020'!AJ140,0)</f>
        <v>466.29834545454537</v>
      </c>
      <c r="O146" s="59">
        <f t="shared" si="63"/>
        <v>1043.896909090909</v>
      </c>
      <c r="P146" s="503">
        <f t="shared" si="64"/>
        <v>1148.2866000000001</v>
      </c>
      <c r="Q146" s="59">
        <f t="shared" si="65"/>
        <v>1335.896909090909</v>
      </c>
      <c r="R146" s="272">
        <f t="shared" si="66"/>
        <v>1469.4866000000002</v>
      </c>
      <c r="S146" s="40">
        <f>'Tariffs Jan2020'!AN140</f>
        <v>0</v>
      </c>
      <c r="T146" s="40">
        <f>'Tariffs Jan2020'!AO140</f>
        <v>0</v>
      </c>
      <c r="U146" s="40">
        <f>'Tariffs Jan2020'!AP140</f>
        <v>5</v>
      </c>
      <c r="V146" s="40">
        <f>'Tariffs Jan2020'!AQ140</f>
        <v>0</v>
      </c>
      <c r="W146" s="284">
        <f>Q146</f>
        <v>1335.896909090909</v>
      </c>
      <c r="X146" s="284">
        <f>W146-(Q146*U146/100)</f>
        <v>1269.1020636363637</v>
      </c>
      <c r="Y146" s="507">
        <f>W146*1.1</f>
        <v>1469.4866000000002</v>
      </c>
      <c r="Z146" s="507">
        <f>X146*1.1</f>
        <v>1396.0122700000002</v>
      </c>
      <c r="AA146" s="274">
        <f>'Tariffs Jan2020'!AZ140</f>
        <v>0</v>
      </c>
      <c r="AB146" s="274" t="str">
        <f>'Tariffs Jan2020'!BA140</f>
        <v>n</v>
      </c>
      <c r="AC146" s="275" t="str">
        <f>'Tariffs Jan2020'!BJ140</f>
        <v>N</v>
      </c>
      <c r="AD146" s="425"/>
      <c r="AE146" s="425"/>
      <c r="AF146" s="427"/>
      <c r="AG146" s="427"/>
      <c r="AH146" s="427"/>
      <c r="AI146" s="427"/>
      <c r="AJ146" s="427"/>
      <c r="AK146" s="427"/>
      <c r="AL146" s="427"/>
      <c r="AM146" s="427"/>
      <c r="AN146" s="427"/>
    </row>
    <row r="147" spans="1:40" ht="14" x14ac:dyDescent="0.15">
      <c r="A147" s="270" t="str">
        <f>'Tariffs Jan2020'!F141</f>
        <v>Powershop</v>
      </c>
      <c r="B147" s="40" t="str">
        <f>'Tariffs Jan2020'!D141</f>
        <v>AusNet Services Central 1</v>
      </c>
      <c r="C147" s="40" t="str">
        <f>'Tariffs Jan2020'!G141</f>
        <v>Shopper with Gas Saver</v>
      </c>
      <c r="D147" s="59">
        <f>365*'Tariffs Jan2020'!H141/100</f>
        <v>294.18999999999994</v>
      </c>
      <c r="E147" s="59">
        <f>((C$5*'Tariffs Jan2020'!AK141/'Tariffs Jan2020'!AI141)*('Tariffs Jan2020'!O141/100))*'Tariffs Jan2020'!AI141</f>
        <v>404.68679999999995</v>
      </c>
      <c r="F147" s="59">
        <v>0</v>
      </c>
      <c r="G147" s="59">
        <v>0</v>
      </c>
      <c r="H147" s="59">
        <v>0</v>
      </c>
      <c r="I147" s="59">
        <v>0</v>
      </c>
      <c r="J147" s="59">
        <f>((C$5*'Tariffs Jan2020'!AL141/'Tariffs Jan2020'!AJ141)*('Tariffs Jan2020'!U141/100))*'Tariffs Jan2020'!AJ141</f>
        <v>679.5684</v>
      </c>
      <c r="K147" s="59">
        <v>0</v>
      </c>
      <c r="L147" s="59">
        <v>0</v>
      </c>
      <c r="M147" s="59">
        <v>0</v>
      </c>
      <c r="N147" s="59">
        <v>0</v>
      </c>
      <c r="O147" s="59">
        <f t="shared" si="63"/>
        <v>1084.2552000000001</v>
      </c>
      <c r="P147" s="503">
        <f t="shared" si="64"/>
        <v>1192.6807200000001</v>
      </c>
      <c r="Q147" s="59">
        <f t="shared" si="65"/>
        <v>1378.4452000000001</v>
      </c>
      <c r="R147" s="272">
        <f t="shared" si="66"/>
        <v>1516.2897200000002</v>
      </c>
      <c r="S147" s="40">
        <f>'Tariffs Jan2020'!AN141</f>
        <v>0</v>
      </c>
      <c r="T147" s="40">
        <f>'Tariffs Jan2020'!AO141</f>
        <v>0</v>
      </c>
      <c r="U147" s="40">
        <f>'Tariffs Jan2020'!AP141</f>
        <v>5</v>
      </c>
      <c r="V147" s="40">
        <f>'Tariffs Jan2020'!AQ141</f>
        <v>0</v>
      </c>
      <c r="W147" s="284">
        <f>R147</f>
        <v>1516.2897200000002</v>
      </c>
      <c r="X147" s="284">
        <f>W147-(W147*U147/100)</f>
        <v>1440.4752340000002</v>
      </c>
      <c r="Y147" s="507">
        <f>W147</f>
        <v>1516.2897200000002</v>
      </c>
      <c r="Z147" s="507">
        <f>X147</f>
        <v>1440.4752340000002</v>
      </c>
      <c r="AA147" s="274">
        <f>'Tariffs Jan2020'!AZ141</f>
        <v>0</v>
      </c>
      <c r="AB147" s="274" t="str">
        <f>'Tariffs Jan2020'!BA141</f>
        <v>n</v>
      </c>
      <c r="AC147" s="275" t="str">
        <f>'Tariffs Jan2020'!BJ141</f>
        <v>Y</v>
      </c>
      <c r="AD147" s="425"/>
      <c r="AE147" s="425"/>
      <c r="AF147" s="427"/>
      <c r="AG147" s="427"/>
      <c r="AH147" s="427"/>
      <c r="AI147" s="427"/>
      <c r="AJ147" s="427"/>
      <c r="AK147" s="427"/>
      <c r="AL147" s="427"/>
      <c r="AM147" s="427"/>
      <c r="AN147" s="427"/>
    </row>
    <row r="148" spans="1:40" ht="14" x14ac:dyDescent="0.15">
      <c r="A148" s="270" t="str">
        <f>'Tariffs Jan2020'!F142</f>
        <v>DC Power Co</v>
      </c>
      <c r="B148" s="40" t="str">
        <f>'Tariffs Jan2020'!D142</f>
        <v>AusNet Services Central 1</v>
      </c>
      <c r="C148" s="40" t="str">
        <f>'Tariffs Jan2020'!G142</f>
        <v>Market offer</v>
      </c>
      <c r="D148" s="59">
        <f>365*'Tariffs Jan2020'!H142/100</f>
        <v>306.2681818181818</v>
      </c>
      <c r="E148" s="59">
        <f>((C$5*'Tariffs Jan2020'!AK142/'Tariffs Jan2020'!AI142)*('Tariffs Jan2020'!O142/100))*'Tariffs Jan2020'!AI142</f>
        <v>389.41559999999998</v>
      </c>
      <c r="F148" s="59">
        <v>0</v>
      </c>
      <c r="G148" s="59">
        <v>0</v>
      </c>
      <c r="H148" s="59">
        <v>0</v>
      </c>
      <c r="I148" s="59">
        <v>0</v>
      </c>
      <c r="J148" s="59">
        <f>((C$5*'Tariffs Jan2020'!AL142/'Tariffs Jan2020'!AJ142)*('Tariffs Jan2020'!U142/100))*'Tariffs Jan2020'!AJ142</f>
        <v>652.84379999999987</v>
      </c>
      <c r="K148" s="59">
        <v>0</v>
      </c>
      <c r="L148" s="59">
        <v>0</v>
      </c>
      <c r="M148" s="59">
        <v>0</v>
      </c>
      <c r="N148" s="59">
        <v>0</v>
      </c>
      <c r="O148" s="59">
        <f t="shared" si="63"/>
        <v>1042.2593999999999</v>
      </c>
      <c r="P148" s="503">
        <f t="shared" si="64"/>
        <v>1146.48534</v>
      </c>
      <c r="Q148" s="59">
        <f t="shared" si="65"/>
        <v>1348.5275818181817</v>
      </c>
      <c r="R148" s="272">
        <f t="shared" si="66"/>
        <v>1483.3803399999999</v>
      </c>
      <c r="S148" s="40">
        <f>'Tariffs Jan2020'!AN142</f>
        <v>0</v>
      </c>
      <c r="T148" s="40">
        <f>'Tariffs Jan2020'!AO142</f>
        <v>0</v>
      </c>
      <c r="U148" s="40">
        <f>'Tariffs Jan2020'!AP142</f>
        <v>0</v>
      </c>
      <c r="V148" s="40">
        <f>'Tariffs Jan2020'!AQ142</f>
        <v>0</v>
      </c>
      <c r="W148" s="284">
        <f t="shared" ref="W148" si="71">Q148</f>
        <v>1348.5275818181817</v>
      </c>
      <c r="X148" s="284">
        <f>W148</f>
        <v>1348.5275818181817</v>
      </c>
      <c r="Y148" s="507">
        <f t="shared" ref="Y148:Y150" si="72">W148*1.1</f>
        <v>1483.3803399999999</v>
      </c>
      <c r="Z148" s="507">
        <f t="shared" ref="Z148:Z150" si="73">X148*1.1</f>
        <v>1483.3803399999999</v>
      </c>
      <c r="AA148" s="274">
        <f>'Tariffs Jan2020'!AZ142</f>
        <v>0</v>
      </c>
      <c r="AB148" s="274" t="str">
        <f>'Tariffs Jan2020'!BA142</f>
        <v>n</v>
      </c>
      <c r="AC148" s="275" t="str">
        <f>'Tariffs Jan2020'!BJ142</f>
        <v>Y</v>
      </c>
      <c r="AD148" s="425"/>
      <c r="AE148" s="425"/>
      <c r="AF148" s="427"/>
      <c r="AG148" s="427"/>
      <c r="AH148" s="427"/>
      <c r="AI148" s="427"/>
      <c r="AJ148" s="427"/>
      <c r="AK148" s="427"/>
      <c r="AL148" s="427"/>
      <c r="AM148" s="427"/>
      <c r="AN148" s="427"/>
    </row>
    <row r="149" spans="1:40" ht="14" x14ac:dyDescent="0.15">
      <c r="A149" s="270" t="str">
        <f>'Tariffs Jan2020'!F143</f>
        <v>1st Energy</v>
      </c>
      <c r="B149" s="40" t="str">
        <f>'Tariffs Jan2020'!D143</f>
        <v>AusNet Services Central 1</v>
      </c>
      <c r="C149" s="40" t="str">
        <f>'Tariffs Jan2020'!G143</f>
        <v>1st Saver</v>
      </c>
      <c r="D149" s="59">
        <f>365*'Tariffs Jan2020'!H143/100</f>
        <v>313.89999999999998</v>
      </c>
      <c r="E149" s="59">
        <f>IF($C$5*'Tariffs Jan2020'!AK143/'Tariffs Jan2020'!AI143&gt;='Tariffs Jan2020'!J143,( 'Tariffs Jan2020'!J143*'Tariffs Jan2020'!O143/100)* 'Tariffs Jan2020'!AI143,($C$5*'Tariffs Jan2020'!AK143/'Tariffs Jan2020'!AI143*'Tariffs Jan2020'!O143/100)* 'Tariffs Jan2020'!AI143)</f>
        <v>369.81818181818181</v>
      </c>
      <c r="F149" s="59">
        <f>IF($C$5*'Tariffs Jan2020'!AK143/'Tariffs Jan2020'!AI143&lt;'Tariffs Jan2020'!J143,0,IF($C$5*'Tariffs Jan2020'!AK143/'Tariffs Jan2020'!AI143&lt;='Tariffs Jan2020'!K143,($C$5*'Tariffs Jan2020'!AK143/'Tariffs Jan2020'!AI143-'Tariffs Jan2020'!J143)*('Tariffs Jan2020'!P143/100)*'Tariffs Jan2020'!AI143,('Tariffs Jan2020'!K143-'Tariffs Jan2020'!J143)*('Tariffs Jan2020'!P143/100)*'Tariffs Jan2020'!AI143))</f>
        <v>252.81818181818181</v>
      </c>
      <c r="G149" s="59">
        <f>IF($C$5*'Tariffs Jan2020'!AK143/'Tariffs Jan2020'!AI143&lt;'Tariffs Jan2020'!K143,0,IF($C$5*'Tariffs Jan2020'!AK143/'Tariffs Jan2020'!AI143&lt;='Tariffs Jan2020'!L143,($C$5*'Tariffs Jan2020'!AK143/'Tariffs Jan2020'!AI143-'Tariffs Jan2020'!K143)*('Tariffs Jan2020'!Q143/100)*'Tariffs Jan2020'!AI143,('Tariffs Jan2020'!L143-'Tariffs Jan2020'!K143)*('Tariffs Jan2020'!Q143/100)*'Tariffs Jan2020'!AI143))</f>
        <v>0</v>
      </c>
      <c r="H149" s="59">
        <f>IF($C$5*'Tariffs Jan2020'!AK143/'Tariffs Jan2020'!AI143&lt;'Tariffs Jan2020'!L143,0,IF($C$5*'Tariffs Jan2020'!AK143/'Tariffs Jan2020'!AI143&lt;='Tariffs Jan2020'!M143,($C$5*'Tariffs Jan2020'!AK143/'Tariffs Jan2020'!AI143-'Tariffs Jan2020'!L143)*('Tariffs Jan2020'!R143/100)*'Tariffs Jan2020'!AI143,('Tariffs Jan2020'!M143-'Tariffs Jan2020'!L143)*('Tariffs Jan2020'!R143/100)*'Tariffs Jan2020'!AI143))</f>
        <v>0</v>
      </c>
      <c r="I149" s="59">
        <f>IF(($C$5*'Tariffs Jan2020'!AK143/'Tariffs Jan2020'!AI143&gt;'Tariffs Jan2020'!M143),($C$5*'Tariffs Jan2020'!AK143/'Tariffs Jan2020'!AI143-'Tariffs Jan2020'!M143)*'Tariffs Jan2020'!S143/100*'Tariffs Jan2020'!AI143,0)</f>
        <v>0</v>
      </c>
      <c r="J149" s="59">
        <f>IF($C$5*'Tariffs Jan2020'!AL143/'Tariffs Jan2020'!AJ143&gt;='Tariffs Jan2020'!J143,('Tariffs Jan2020'!J143*'Tariffs Jan2020'!U143/100)* 'Tariffs Jan2020'!AJ143,($C$5*'Tariffs Jan2020'!AL143/'Tariffs Jan2020'!AJ143*'Tariffs Jan2020'!U143/100)* 'Tariffs Jan2020'!AJ143)</f>
        <v>369.81818181818181</v>
      </c>
      <c r="K149" s="59">
        <f>IF($C$5*'Tariffs Jan2020'!AL143/'Tariffs Jan2020'!AJ143&lt;'Tariffs Jan2020'!J143,0,IF($C$5*'Tariffs Jan2020'!AL143/'Tariffs Jan2020'!AJ143&lt;='Tariffs Jan2020'!K143,($C$5*'Tariffs Jan2020'!AL143/'Tariffs Jan2020'!AJ143-'Tariffs Jan2020'!J143)*('Tariffs Jan2020'!V143/100)*'Tariffs Jan2020'!AJ143,('Tariffs Jan2020'!K143-'Tariffs Jan2020'!J143)*('Tariffs Jan2020'!V143/100)*'Tariffs Jan2020'!AJ143))</f>
        <v>252.81818181818181</v>
      </c>
      <c r="L149" s="59">
        <f>IF($C$5*'Tariffs Jan2020'!AL143/'Tariffs Jan2020'!AJ143&lt;'Tariffs Jan2020'!K143,0,IF($C$5*'Tariffs Jan2020'!AL143/'Tariffs Jan2020'!AJ143&lt;='Tariffs Jan2020'!L143,($C$5*'Tariffs Jan2020'!AL143/'Tariffs Jan2020'!AJ143-'Tariffs Jan2020'!K143)*('Tariffs Jan2020'!W143/100)*'Tariffs Jan2020'!AJ143,('Tariffs Jan2020'!L143-'Tariffs Jan2020'!K143)*('Tariffs Jan2020'!W143/100)*'Tariffs Jan2020'!AJ143))</f>
        <v>0</v>
      </c>
      <c r="M149" s="59">
        <f>IF($C$5*'Tariffs Jan2020'!AL143/'Tariffs Jan2020'!AJ143&lt;'Tariffs Jan2020'!L143,0,IF($C$5*'Tariffs Jan2020'!AL143/'Tariffs Jan2020'!AJ143&lt;='Tariffs Jan2020'!M143,($C$5*'Tariffs Jan2020'!AL143/'Tariffs Jan2020'!AJ143-'Tariffs Jan2020'!L143)*('Tariffs Jan2020'!X143/100)*'Tariffs Jan2020'!AJ143,('Tariffs Jan2020'!M143-'Tariffs Jan2020'!L143)*('Tariffs Jan2020'!X143/100)*'Tariffs Jan2020'!AJ143))</f>
        <v>0</v>
      </c>
      <c r="N149" s="59">
        <f>IF(($C$5*'Tariffs Jan2020'!AL143/'Tariffs Jan2020'!AJ143&gt;'Tariffs Jan2020'!M143),($C$5*'Tariffs Jan2020'!AL143/'Tariffs Jan2020'!AJ143-'Tariffs Jan2020'!M143)*'Tariffs Jan2020'!Y143/100*'Tariffs Jan2020'!AJ143,0)</f>
        <v>0</v>
      </c>
      <c r="O149" s="59">
        <f t="shared" si="63"/>
        <v>1245.2727272727273</v>
      </c>
      <c r="P149" s="503">
        <f t="shared" si="64"/>
        <v>1369.8000000000002</v>
      </c>
      <c r="Q149" s="59">
        <f t="shared" si="65"/>
        <v>1559.1727272727271</v>
      </c>
      <c r="R149" s="272">
        <f t="shared" si="66"/>
        <v>1715.09</v>
      </c>
      <c r="S149" s="40">
        <f>'Tariffs Jan2020'!AN143</f>
        <v>0</v>
      </c>
      <c r="T149" s="40">
        <f>'Tariffs Jan2020'!AO143</f>
        <v>0</v>
      </c>
      <c r="U149" s="40">
        <f>'Tariffs Jan2020'!AP143</f>
        <v>0</v>
      </c>
      <c r="V149" s="40">
        <f>'Tariffs Jan2020'!AQ143</f>
        <v>15</v>
      </c>
      <c r="W149" s="284">
        <f>Q149</f>
        <v>1559.1727272727271</v>
      </c>
      <c r="X149" s="284">
        <f>W149-(O149*V149/100)</f>
        <v>1372.3818181818181</v>
      </c>
      <c r="Y149" s="507">
        <f t="shared" si="72"/>
        <v>1715.09</v>
      </c>
      <c r="Z149" s="507">
        <f t="shared" si="73"/>
        <v>1509.62</v>
      </c>
      <c r="AA149" s="274">
        <f>'Tariffs Jan2020'!AZ143</f>
        <v>0</v>
      </c>
      <c r="AB149" s="274" t="str">
        <f>'Tariffs Jan2020'!BA143</f>
        <v>n</v>
      </c>
      <c r="AC149" s="275" t="str">
        <f>'Tariffs Jan2020'!BJ143</f>
        <v>Y</v>
      </c>
      <c r="AD149" s="425"/>
      <c r="AE149" s="425"/>
      <c r="AF149" s="427"/>
      <c r="AG149" s="427"/>
      <c r="AH149" s="427"/>
      <c r="AI149" s="427"/>
      <c r="AJ149" s="427"/>
      <c r="AK149" s="427"/>
      <c r="AL149" s="427"/>
      <c r="AM149" s="427"/>
      <c r="AN149" s="427"/>
    </row>
    <row r="150" spans="1:40" ht="15" thickBot="1" x14ac:dyDescent="0.2">
      <c r="A150" s="286" t="str">
        <f>'Tariffs Jan2020'!F144</f>
        <v>Kogan Energy</v>
      </c>
      <c r="B150" s="287" t="str">
        <f>'Tariffs Jan2020'!D144</f>
        <v>AusNet Services Central 1</v>
      </c>
      <c r="C150" s="287" t="str">
        <f>'Tariffs Jan2020'!G144</f>
        <v>Market offer</v>
      </c>
      <c r="D150" s="288">
        <f>365*'Tariffs Jan2020'!H144/100</f>
        <v>281.68045454545455</v>
      </c>
      <c r="E150" s="288">
        <f>((C$5*'Tariffs Jan2020'!AK144/'Tariffs Jan2020'!AI144)*('Tariffs Jan2020'!O144/100))*'Tariffs Jan2020'!AI144</f>
        <v>402.77789999999987</v>
      </c>
      <c r="F150" s="288">
        <v>0</v>
      </c>
      <c r="G150" s="288">
        <v>0</v>
      </c>
      <c r="H150" s="288">
        <v>0</v>
      </c>
      <c r="I150" s="288">
        <v>0</v>
      </c>
      <c r="J150" s="288">
        <f>((C$5*'Tariffs Jan2020'!AL144/'Tariffs Jan2020'!AJ144)*('Tariffs Jan2020'!U144/100))*'Tariffs Jan2020'!AJ144</f>
        <v>729.19979999999987</v>
      </c>
      <c r="K150" s="288">
        <v>0</v>
      </c>
      <c r="L150" s="288">
        <v>0</v>
      </c>
      <c r="M150" s="288">
        <v>0</v>
      </c>
      <c r="N150" s="288">
        <v>0</v>
      </c>
      <c r="O150" s="288">
        <f t="shared" si="63"/>
        <v>1131.9776999999997</v>
      </c>
      <c r="P150" s="505">
        <f t="shared" si="64"/>
        <v>1245.1754699999997</v>
      </c>
      <c r="Q150" s="288">
        <f t="shared" si="65"/>
        <v>1413.6581545454542</v>
      </c>
      <c r="R150" s="290">
        <f t="shared" si="66"/>
        <v>1555.0239699999997</v>
      </c>
      <c r="S150" s="287">
        <f>'Tariffs Jan2020'!AN144</f>
        <v>0</v>
      </c>
      <c r="T150" s="287">
        <f>'Tariffs Jan2020'!AO144</f>
        <v>0</v>
      </c>
      <c r="U150" s="287">
        <f>'Tariffs Jan2020'!AP144</f>
        <v>0</v>
      </c>
      <c r="V150" s="287">
        <f>'Tariffs Jan2020'!AQ144</f>
        <v>0</v>
      </c>
      <c r="W150" s="506">
        <f t="shared" ref="W150" si="74">Q150</f>
        <v>1413.6581545454542</v>
      </c>
      <c r="X150" s="506">
        <f>W150</f>
        <v>1413.6581545454542</v>
      </c>
      <c r="Y150" s="509">
        <f t="shared" si="72"/>
        <v>1555.0239699999997</v>
      </c>
      <c r="Z150" s="509">
        <f t="shared" si="73"/>
        <v>1555.0239699999997</v>
      </c>
      <c r="AA150" s="292">
        <f>'Tariffs Jan2020'!AZ144</f>
        <v>0</v>
      </c>
      <c r="AB150" s="292" t="str">
        <f>'Tariffs Jan2020'!BA144</f>
        <v>n</v>
      </c>
      <c r="AC150" s="293" t="str">
        <f>'Tariffs Jan2020'!BJ144</f>
        <v>N</v>
      </c>
      <c r="AD150" s="425"/>
      <c r="AE150" s="425"/>
      <c r="AF150" s="427"/>
      <c r="AG150" s="427"/>
      <c r="AH150" s="427"/>
      <c r="AI150" s="427"/>
      <c r="AJ150" s="427"/>
      <c r="AK150" s="427"/>
      <c r="AL150" s="427"/>
      <c r="AM150" s="427"/>
      <c r="AN150" s="427"/>
    </row>
    <row r="151" spans="1:40" ht="14" x14ac:dyDescent="0.15">
      <c r="A151" s="425"/>
      <c r="B151" s="425"/>
      <c r="C151" s="425"/>
      <c r="D151" s="425"/>
      <c r="E151" s="425"/>
      <c r="F151" s="425"/>
      <c r="G151" s="425"/>
      <c r="H151" s="425"/>
      <c r="I151" s="425"/>
      <c r="J151" s="425"/>
      <c r="K151" s="425"/>
      <c r="L151" s="425"/>
      <c r="M151" s="425"/>
      <c r="N151" s="425"/>
      <c r="O151" s="425"/>
      <c r="P151" s="425"/>
      <c r="Q151" s="425"/>
      <c r="R151" s="425"/>
      <c r="S151" s="425"/>
      <c r="T151" s="425"/>
      <c r="U151" s="425"/>
      <c r="V151" s="425"/>
      <c r="W151" s="425"/>
      <c r="X151" s="425"/>
      <c r="Y151" s="425"/>
      <c r="Z151" s="425"/>
      <c r="AA151" s="425"/>
      <c r="AB151" s="425"/>
      <c r="AC151" s="425"/>
      <c r="AD151" s="425"/>
      <c r="AE151" s="425"/>
      <c r="AF151" s="427"/>
      <c r="AG151" s="427"/>
      <c r="AH151" s="427"/>
      <c r="AI151" s="427"/>
      <c r="AJ151" s="427"/>
      <c r="AK151" s="427"/>
      <c r="AL151" s="427"/>
      <c r="AM151" s="427"/>
      <c r="AN151" s="427"/>
    </row>
    <row r="152" spans="1:40" ht="14" x14ac:dyDescent="0.15">
      <c r="A152" s="425"/>
      <c r="B152" s="425"/>
      <c r="C152" s="425"/>
      <c r="D152" s="425"/>
      <c r="E152" s="425"/>
      <c r="F152" s="425"/>
      <c r="G152" s="425"/>
      <c r="H152" s="425"/>
      <c r="I152" s="425"/>
      <c r="J152" s="425"/>
      <c r="K152" s="425"/>
      <c r="L152" s="425"/>
      <c r="M152" s="425"/>
      <c r="N152" s="425"/>
      <c r="O152" s="425"/>
      <c r="P152" s="425"/>
      <c r="Q152" s="425"/>
      <c r="R152" s="425"/>
      <c r="S152" s="425"/>
      <c r="T152" s="425"/>
      <c r="U152" s="425"/>
      <c r="V152" s="425"/>
      <c r="W152" s="425"/>
      <c r="X152" s="425"/>
      <c r="Y152" s="425"/>
      <c r="Z152" s="425"/>
      <c r="AA152" s="425"/>
      <c r="AB152" s="425"/>
      <c r="AC152" s="425"/>
      <c r="AD152" s="425"/>
      <c r="AE152" s="425"/>
      <c r="AF152" s="427"/>
      <c r="AG152" s="427"/>
      <c r="AH152" s="427"/>
      <c r="AI152" s="427"/>
      <c r="AJ152" s="427"/>
      <c r="AK152" s="427"/>
      <c r="AL152" s="427"/>
      <c r="AM152" s="427"/>
      <c r="AN152" s="427"/>
    </row>
    <row r="153" spans="1:40" ht="14" x14ac:dyDescent="0.15">
      <c r="A153" s="425"/>
      <c r="B153" s="425"/>
      <c r="C153" s="425"/>
      <c r="D153" s="425"/>
      <c r="E153" s="425"/>
      <c r="F153" s="425"/>
      <c r="G153" s="425"/>
      <c r="H153" s="425"/>
      <c r="I153" s="425"/>
      <c r="J153" s="425"/>
      <c r="K153" s="425"/>
      <c r="L153" s="425"/>
      <c r="M153" s="425"/>
      <c r="N153" s="425"/>
      <c r="O153" s="425"/>
      <c r="P153" s="425"/>
      <c r="Q153" s="425"/>
      <c r="R153" s="425"/>
      <c r="S153" s="425"/>
      <c r="T153" s="425"/>
      <c r="U153" s="425"/>
      <c r="V153" s="425"/>
      <c r="W153" s="425"/>
      <c r="X153" s="425"/>
      <c r="Y153" s="425"/>
      <c r="Z153" s="425"/>
      <c r="AA153" s="425"/>
      <c r="AB153" s="425"/>
      <c r="AC153" s="425"/>
      <c r="AD153" s="425"/>
      <c r="AE153" s="425"/>
      <c r="AF153" s="427"/>
      <c r="AG153" s="427"/>
      <c r="AH153" s="427"/>
      <c r="AI153" s="427"/>
      <c r="AJ153" s="427"/>
      <c r="AK153" s="427"/>
      <c r="AL153" s="427"/>
      <c r="AM153" s="427"/>
      <c r="AN153" s="427"/>
    </row>
    <row r="154" spans="1:40" ht="14" x14ac:dyDescent="0.15">
      <c r="A154" s="425"/>
      <c r="B154" s="425"/>
      <c r="C154" s="425"/>
      <c r="D154" s="425"/>
      <c r="E154" s="425"/>
      <c r="F154" s="425"/>
      <c r="G154" s="425"/>
      <c r="H154" s="425"/>
      <c r="I154" s="425"/>
      <c r="J154" s="425"/>
      <c r="K154" s="425"/>
      <c r="L154" s="425"/>
      <c r="M154" s="425"/>
      <c r="N154" s="425"/>
      <c r="O154" s="425"/>
      <c r="P154" s="425"/>
      <c r="Q154" s="425"/>
      <c r="R154" s="425"/>
      <c r="S154" s="425"/>
      <c r="T154" s="425"/>
      <c r="U154" s="425"/>
      <c r="V154" s="425"/>
      <c r="W154" s="425"/>
      <c r="X154" s="425"/>
      <c r="Y154" s="425"/>
      <c r="Z154" s="425"/>
      <c r="AA154" s="425"/>
      <c r="AB154" s="425"/>
      <c r="AC154" s="425"/>
      <c r="AD154" s="425"/>
      <c r="AE154" s="425"/>
      <c r="AF154" s="427"/>
      <c r="AG154" s="427"/>
      <c r="AH154" s="427"/>
      <c r="AI154" s="427"/>
      <c r="AJ154" s="427"/>
      <c r="AK154" s="427"/>
      <c r="AL154" s="427"/>
      <c r="AM154" s="427"/>
      <c r="AN154" s="427"/>
    </row>
    <row r="155" spans="1:40" ht="14" x14ac:dyDescent="0.15">
      <c r="A155" s="425"/>
      <c r="B155" s="425"/>
      <c r="C155" s="425"/>
      <c r="D155" s="425"/>
      <c r="E155" s="425"/>
      <c r="F155" s="425"/>
      <c r="G155" s="425"/>
      <c r="H155" s="425"/>
      <c r="I155" s="425"/>
      <c r="J155" s="425"/>
      <c r="K155" s="425"/>
      <c r="L155" s="425"/>
      <c r="M155" s="425"/>
      <c r="N155" s="425"/>
      <c r="O155" s="425"/>
      <c r="P155" s="425"/>
      <c r="Q155" s="425"/>
      <c r="R155" s="425"/>
      <c r="S155" s="425"/>
      <c r="T155" s="425"/>
      <c r="U155" s="425"/>
      <c r="V155" s="425"/>
      <c r="W155" s="425"/>
      <c r="X155" s="425"/>
      <c r="Y155" s="425"/>
      <c r="Z155" s="425"/>
      <c r="AA155" s="425"/>
      <c r="AB155" s="425"/>
      <c r="AC155" s="425"/>
      <c r="AD155" s="425"/>
      <c r="AE155" s="425"/>
      <c r="AF155" s="427"/>
      <c r="AG155" s="427"/>
      <c r="AH155" s="427"/>
      <c r="AI155" s="427"/>
      <c r="AJ155" s="427"/>
      <c r="AK155" s="427"/>
      <c r="AL155" s="427"/>
      <c r="AM155" s="427"/>
      <c r="AN155" s="427"/>
    </row>
    <row r="156" spans="1:40" ht="14" x14ac:dyDescent="0.15">
      <c r="A156" s="425"/>
      <c r="B156" s="425"/>
      <c r="C156" s="425"/>
      <c r="D156" s="425"/>
      <c r="E156" s="425"/>
      <c r="F156" s="425"/>
      <c r="G156" s="425"/>
      <c r="H156" s="425"/>
      <c r="I156" s="425"/>
      <c r="J156" s="425"/>
      <c r="K156" s="425"/>
      <c r="L156" s="425"/>
      <c r="M156" s="425"/>
      <c r="N156" s="425"/>
      <c r="O156" s="425"/>
      <c r="P156" s="425"/>
      <c r="Q156" s="425"/>
      <c r="R156" s="425"/>
      <c r="S156" s="425"/>
      <c r="T156" s="425"/>
      <c r="U156" s="425"/>
      <c r="V156" s="425"/>
      <c r="W156" s="425"/>
      <c r="X156" s="425"/>
      <c r="Y156" s="425"/>
      <c r="Z156" s="425"/>
      <c r="AA156" s="425"/>
      <c r="AB156" s="425"/>
      <c r="AC156" s="425"/>
      <c r="AD156" s="425"/>
      <c r="AE156" s="425"/>
      <c r="AF156" s="427"/>
      <c r="AG156" s="427"/>
      <c r="AH156" s="427"/>
      <c r="AI156" s="427"/>
      <c r="AJ156" s="427"/>
      <c r="AK156" s="427"/>
      <c r="AL156" s="427"/>
      <c r="AM156" s="427"/>
      <c r="AN156" s="427"/>
    </row>
    <row r="157" spans="1:40" ht="14" x14ac:dyDescent="0.15">
      <c r="A157" s="425"/>
      <c r="B157" s="425"/>
      <c r="C157" s="425"/>
      <c r="D157" s="425"/>
      <c r="E157" s="425"/>
      <c r="F157" s="425"/>
      <c r="G157" s="425"/>
      <c r="H157" s="425"/>
      <c r="I157" s="425"/>
      <c r="J157" s="425"/>
      <c r="K157" s="425"/>
      <c r="L157" s="425"/>
      <c r="M157" s="425"/>
      <c r="N157" s="425"/>
      <c r="O157" s="425"/>
      <c r="P157" s="425"/>
      <c r="Q157" s="425"/>
      <c r="R157" s="425"/>
      <c r="S157" s="425"/>
      <c r="T157" s="425"/>
      <c r="U157" s="425"/>
      <c r="V157" s="425"/>
      <c r="W157" s="425"/>
      <c r="X157" s="425"/>
      <c r="Y157" s="425"/>
      <c r="Z157" s="425"/>
      <c r="AA157" s="425"/>
      <c r="AB157" s="425"/>
      <c r="AC157" s="425"/>
      <c r="AD157" s="425"/>
      <c r="AE157" s="425"/>
      <c r="AF157" s="427"/>
      <c r="AG157" s="427"/>
      <c r="AH157" s="427"/>
      <c r="AI157" s="427"/>
      <c r="AJ157" s="427"/>
      <c r="AK157" s="427"/>
      <c r="AL157" s="427"/>
      <c r="AM157" s="427"/>
      <c r="AN157" s="427"/>
    </row>
    <row r="158" spans="1:40" ht="14" x14ac:dyDescent="0.15">
      <c r="A158" s="425"/>
      <c r="B158" s="425"/>
      <c r="C158" s="425"/>
      <c r="D158" s="425"/>
      <c r="E158" s="425"/>
      <c r="F158" s="425"/>
      <c r="G158" s="425"/>
      <c r="H158" s="425"/>
      <c r="I158" s="425"/>
      <c r="J158" s="425"/>
      <c r="K158" s="425"/>
      <c r="L158" s="425"/>
      <c r="M158" s="425"/>
      <c r="N158" s="425"/>
      <c r="O158" s="425"/>
      <c r="P158" s="425"/>
      <c r="Q158" s="425"/>
      <c r="R158" s="425"/>
      <c r="S158" s="425"/>
      <c r="T158" s="425"/>
      <c r="U158" s="425"/>
      <c r="V158" s="425"/>
      <c r="W158" s="425"/>
      <c r="X158" s="425"/>
      <c r="Y158" s="425"/>
      <c r="Z158" s="425"/>
      <c r="AA158" s="425"/>
      <c r="AB158" s="425"/>
      <c r="AC158" s="425"/>
      <c r="AD158" s="425"/>
      <c r="AE158" s="425"/>
      <c r="AF158" s="427"/>
      <c r="AG158" s="427"/>
      <c r="AH158" s="427"/>
      <c r="AI158" s="427"/>
      <c r="AJ158" s="427"/>
      <c r="AK158" s="427"/>
      <c r="AL158" s="427"/>
      <c r="AM158" s="427"/>
      <c r="AN158" s="427"/>
    </row>
    <row r="159" spans="1:40" ht="14" x14ac:dyDescent="0.15">
      <c r="A159" s="425"/>
      <c r="B159" s="425"/>
      <c r="C159" s="425"/>
      <c r="D159" s="425"/>
      <c r="E159" s="425"/>
      <c r="F159" s="425"/>
      <c r="G159" s="425"/>
      <c r="H159" s="425"/>
      <c r="I159" s="425"/>
      <c r="J159" s="425"/>
      <c r="K159" s="425"/>
      <c r="L159" s="425"/>
      <c r="M159" s="425"/>
      <c r="N159" s="425"/>
      <c r="O159" s="425"/>
      <c r="P159" s="425"/>
      <c r="Q159" s="425"/>
      <c r="R159" s="425"/>
      <c r="S159" s="425"/>
      <c r="T159" s="425"/>
      <c r="U159" s="425"/>
      <c r="V159" s="425"/>
      <c r="W159" s="425"/>
      <c r="X159" s="425"/>
      <c r="Y159" s="425"/>
      <c r="Z159" s="425"/>
      <c r="AA159" s="425"/>
      <c r="AB159" s="425"/>
      <c r="AC159" s="425"/>
      <c r="AD159" s="425"/>
      <c r="AE159" s="425"/>
      <c r="AF159" s="427"/>
      <c r="AG159" s="427"/>
      <c r="AH159" s="427"/>
      <c r="AI159" s="427"/>
      <c r="AJ159" s="427"/>
      <c r="AK159" s="427"/>
      <c r="AL159" s="427"/>
      <c r="AM159" s="427"/>
      <c r="AN159" s="427"/>
    </row>
    <row r="160" spans="1:40" ht="14" x14ac:dyDescent="0.15">
      <c r="A160" s="425"/>
      <c r="B160" s="425"/>
      <c r="C160" s="425"/>
      <c r="D160" s="425"/>
      <c r="E160" s="425"/>
      <c r="F160" s="425"/>
      <c r="G160" s="425"/>
      <c r="H160" s="425"/>
      <c r="I160" s="425"/>
      <c r="J160" s="425"/>
      <c r="K160" s="425"/>
      <c r="L160" s="425"/>
      <c r="M160" s="425"/>
      <c r="N160" s="425"/>
      <c r="O160" s="425"/>
      <c r="P160" s="425"/>
      <c r="Q160" s="425"/>
      <c r="R160" s="425"/>
      <c r="S160" s="425"/>
      <c r="T160" s="425"/>
      <c r="U160" s="425"/>
      <c r="V160" s="425"/>
      <c r="W160" s="425"/>
      <c r="X160" s="425"/>
      <c r="Y160" s="425"/>
      <c r="Z160" s="425"/>
      <c r="AA160" s="425"/>
      <c r="AB160" s="425"/>
      <c r="AC160" s="425"/>
      <c r="AD160" s="425"/>
      <c r="AE160" s="425"/>
      <c r="AF160" s="427"/>
      <c r="AG160" s="427"/>
      <c r="AH160" s="427"/>
      <c r="AI160" s="427"/>
      <c r="AJ160" s="427"/>
      <c r="AK160" s="427"/>
      <c r="AL160" s="427"/>
      <c r="AM160" s="427"/>
      <c r="AN160" s="427"/>
    </row>
    <row r="161" spans="1:40" ht="14" x14ac:dyDescent="0.15">
      <c r="A161" s="425"/>
      <c r="B161" s="425"/>
      <c r="C161" s="425"/>
      <c r="D161" s="425"/>
      <c r="E161" s="425"/>
      <c r="F161" s="425"/>
      <c r="G161" s="425"/>
      <c r="H161" s="425"/>
      <c r="I161" s="425"/>
      <c r="J161" s="425"/>
      <c r="K161" s="425"/>
      <c r="L161" s="425"/>
      <c r="M161" s="425"/>
      <c r="N161" s="425"/>
      <c r="O161" s="425"/>
      <c r="P161" s="425"/>
      <c r="Q161" s="425"/>
      <c r="R161" s="425"/>
      <c r="S161" s="425"/>
      <c r="T161" s="425"/>
      <c r="U161" s="425"/>
      <c r="V161" s="425"/>
      <c r="W161" s="425"/>
      <c r="X161" s="425"/>
      <c r="Y161" s="425"/>
      <c r="Z161" s="425"/>
      <c r="AA161" s="425"/>
      <c r="AB161" s="425"/>
      <c r="AC161" s="425"/>
      <c r="AD161" s="425"/>
      <c r="AE161" s="425"/>
      <c r="AF161" s="427"/>
      <c r="AG161" s="427"/>
      <c r="AH161" s="427"/>
      <c r="AI161" s="427"/>
      <c r="AJ161" s="427"/>
      <c r="AK161" s="427"/>
      <c r="AL161" s="427"/>
      <c r="AM161" s="427"/>
      <c r="AN161" s="427"/>
    </row>
    <row r="162" spans="1:40" ht="14" x14ac:dyDescent="0.15">
      <c r="A162" s="425"/>
      <c r="B162" s="425"/>
      <c r="C162" s="425"/>
      <c r="D162" s="425"/>
      <c r="E162" s="425"/>
      <c r="F162" s="425"/>
      <c r="G162" s="425"/>
      <c r="H162" s="425"/>
      <c r="I162" s="425"/>
      <c r="J162" s="425"/>
      <c r="K162" s="425"/>
      <c r="L162" s="425"/>
      <c r="M162" s="425"/>
      <c r="N162" s="425"/>
      <c r="O162" s="425"/>
      <c r="P162" s="425"/>
      <c r="Q162" s="425"/>
      <c r="R162" s="425"/>
      <c r="S162" s="425"/>
      <c r="T162" s="425"/>
      <c r="U162" s="425"/>
      <c r="V162" s="425"/>
      <c r="W162" s="425"/>
      <c r="X162" s="425"/>
      <c r="Y162" s="425"/>
      <c r="Z162" s="425"/>
      <c r="AA162" s="425"/>
      <c r="AB162" s="425"/>
      <c r="AC162" s="425"/>
      <c r="AD162" s="425"/>
      <c r="AE162" s="425"/>
      <c r="AF162" s="427"/>
      <c r="AG162" s="427"/>
      <c r="AH162" s="427"/>
      <c r="AI162" s="427"/>
      <c r="AJ162" s="427"/>
      <c r="AK162" s="427"/>
      <c r="AL162" s="427"/>
      <c r="AM162" s="427"/>
      <c r="AN162" s="427"/>
    </row>
    <row r="163" spans="1:40" ht="14" x14ac:dyDescent="0.15">
      <c r="A163" s="425"/>
      <c r="B163" s="425"/>
      <c r="C163" s="425"/>
      <c r="D163" s="425"/>
      <c r="E163" s="425"/>
      <c r="F163" s="425"/>
      <c r="G163" s="425"/>
      <c r="H163" s="425"/>
      <c r="I163" s="425"/>
      <c r="J163" s="425"/>
      <c r="K163" s="425"/>
      <c r="L163" s="425"/>
      <c r="M163" s="425"/>
      <c r="N163" s="425"/>
      <c r="O163" s="425"/>
      <c r="P163" s="425"/>
      <c r="Q163" s="425"/>
      <c r="R163" s="425"/>
      <c r="S163" s="425"/>
      <c r="T163" s="425"/>
      <c r="U163" s="425"/>
      <c r="V163" s="425"/>
      <c r="W163" s="425"/>
      <c r="X163" s="425"/>
      <c r="Y163" s="425"/>
      <c r="Z163" s="425"/>
      <c r="AA163" s="425"/>
      <c r="AB163" s="425"/>
      <c r="AC163" s="425"/>
      <c r="AD163" s="425"/>
      <c r="AE163" s="425"/>
      <c r="AF163" s="427"/>
      <c r="AG163" s="427"/>
      <c r="AH163" s="427"/>
      <c r="AI163" s="427"/>
      <c r="AJ163" s="427"/>
      <c r="AK163" s="427"/>
      <c r="AL163" s="427"/>
      <c r="AM163" s="427"/>
      <c r="AN163" s="427"/>
    </row>
    <row r="164" spans="1:40" ht="14" x14ac:dyDescent="0.15">
      <c r="A164" s="425"/>
      <c r="B164" s="425"/>
      <c r="C164" s="425"/>
      <c r="D164" s="425"/>
      <c r="E164" s="425"/>
      <c r="F164" s="425"/>
      <c r="G164" s="425"/>
      <c r="H164" s="425"/>
      <c r="I164" s="425"/>
      <c r="J164" s="425"/>
      <c r="K164" s="425"/>
      <c r="L164" s="425"/>
      <c r="M164" s="425"/>
      <c r="N164" s="425"/>
      <c r="O164" s="425"/>
      <c r="P164" s="425"/>
      <c r="Q164" s="425"/>
      <c r="R164" s="425"/>
      <c r="S164" s="425"/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7"/>
      <c r="AG164" s="427"/>
      <c r="AH164" s="427"/>
      <c r="AI164" s="427"/>
      <c r="AJ164" s="427"/>
      <c r="AK164" s="427"/>
      <c r="AL164" s="427"/>
      <c r="AM164" s="427"/>
      <c r="AN164" s="427"/>
    </row>
    <row r="165" spans="1:40" ht="14" x14ac:dyDescent="0.15">
      <c r="A165" s="425"/>
      <c r="B165" s="425"/>
      <c r="C165" s="425"/>
      <c r="D165" s="425"/>
      <c r="E165" s="425"/>
      <c r="F165" s="425"/>
      <c r="G165" s="425"/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5"/>
      <c r="S165" s="425"/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7"/>
      <c r="AG165" s="427"/>
      <c r="AH165" s="427"/>
      <c r="AI165" s="427"/>
      <c r="AJ165" s="427"/>
      <c r="AK165" s="427"/>
      <c r="AL165" s="427"/>
      <c r="AM165" s="427"/>
      <c r="AN165" s="427"/>
    </row>
    <row r="166" spans="1:40" ht="14" x14ac:dyDescent="0.15">
      <c r="A166" s="425"/>
      <c r="B166" s="425"/>
      <c r="C166" s="425"/>
      <c r="D166" s="425"/>
      <c r="E166" s="425"/>
      <c r="F166" s="425"/>
      <c r="G166" s="425"/>
      <c r="H166" s="425"/>
      <c r="I166" s="425"/>
      <c r="J166" s="425"/>
      <c r="K166" s="425"/>
      <c r="L166" s="425"/>
      <c r="M166" s="425"/>
      <c r="N166" s="425"/>
      <c r="O166" s="425"/>
      <c r="P166" s="425"/>
      <c r="Q166" s="425"/>
      <c r="R166" s="425"/>
      <c r="S166" s="425"/>
      <c r="T166" s="425"/>
      <c r="U166" s="425"/>
      <c r="V166" s="425"/>
      <c r="W166" s="425"/>
      <c r="X166" s="425"/>
      <c r="Y166" s="425"/>
      <c r="Z166" s="425"/>
      <c r="AA166" s="425"/>
      <c r="AB166" s="425"/>
      <c r="AC166" s="425"/>
      <c r="AD166" s="425"/>
      <c r="AE166" s="425"/>
      <c r="AF166" s="427"/>
      <c r="AG166" s="427"/>
      <c r="AH166" s="427"/>
      <c r="AI166" s="427"/>
      <c r="AJ166" s="427"/>
      <c r="AK166" s="427"/>
      <c r="AL166" s="427"/>
      <c r="AM166" s="427"/>
      <c r="AN166" s="427"/>
    </row>
    <row r="167" spans="1:40" ht="14" x14ac:dyDescent="0.15">
      <c r="A167" s="425"/>
      <c r="B167" s="425"/>
      <c r="C167" s="425"/>
      <c r="D167" s="425"/>
      <c r="E167" s="425"/>
      <c r="F167" s="425"/>
      <c r="G167" s="425"/>
      <c r="H167" s="425"/>
      <c r="I167" s="425"/>
      <c r="J167" s="425"/>
      <c r="K167" s="425"/>
      <c r="L167" s="425"/>
      <c r="M167" s="425"/>
      <c r="N167" s="425"/>
      <c r="O167" s="425"/>
      <c r="P167" s="425"/>
      <c r="Q167" s="425"/>
      <c r="R167" s="425"/>
      <c r="S167" s="425"/>
      <c r="T167" s="425"/>
      <c r="U167" s="425"/>
      <c r="V167" s="425"/>
      <c r="W167" s="425"/>
      <c r="X167" s="425"/>
      <c r="Y167" s="425"/>
      <c r="Z167" s="425"/>
      <c r="AA167" s="425"/>
      <c r="AB167" s="425"/>
      <c r="AC167" s="425"/>
      <c r="AD167" s="425"/>
      <c r="AE167" s="425"/>
      <c r="AF167" s="427"/>
      <c r="AG167" s="427"/>
      <c r="AH167" s="427"/>
      <c r="AI167" s="427"/>
      <c r="AJ167" s="427"/>
      <c r="AK167" s="427"/>
      <c r="AL167" s="427"/>
      <c r="AM167" s="427"/>
      <c r="AN167" s="427"/>
    </row>
    <row r="168" spans="1:40" ht="14" x14ac:dyDescent="0.15">
      <c r="A168" s="425"/>
      <c r="B168" s="425"/>
      <c r="C168" s="425"/>
      <c r="D168" s="425"/>
      <c r="E168" s="425"/>
      <c r="F168" s="425"/>
      <c r="G168" s="425"/>
      <c r="H168" s="425"/>
      <c r="I168" s="425"/>
      <c r="J168" s="425"/>
      <c r="K168" s="425"/>
      <c r="L168" s="425"/>
      <c r="M168" s="425"/>
      <c r="N168" s="425"/>
      <c r="O168" s="425"/>
      <c r="P168" s="425"/>
      <c r="Q168" s="425"/>
      <c r="R168" s="425"/>
      <c r="S168" s="425"/>
      <c r="T168" s="425"/>
      <c r="U168" s="425"/>
      <c r="V168" s="425"/>
      <c r="W168" s="425"/>
      <c r="X168" s="425"/>
      <c r="Y168" s="425"/>
      <c r="Z168" s="425"/>
      <c r="AA168" s="425"/>
      <c r="AB168" s="425"/>
      <c r="AC168" s="425"/>
      <c r="AD168" s="425"/>
      <c r="AE168" s="425"/>
      <c r="AF168" s="427"/>
      <c r="AG168" s="427"/>
      <c r="AH168" s="427"/>
      <c r="AI168" s="427"/>
      <c r="AJ168" s="427"/>
      <c r="AK168" s="427"/>
      <c r="AL168" s="427"/>
      <c r="AM168" s="427"/>
      <c r="AN168" s="427"/>
    </row>
    <row r="169" spans="1:40" ht="14" x14ac:dyDescent="0.15">
      <c r="A169" s="425"/>
      <c r="B169" s="425"/>
      <c r="C169" s="425"/>
      <c r="D169" s="425"/>
      <c r="E169" s="425"/>
      <c r="F169" s="425"/>
      <c r="G169" s="425"/>
      <c r="H169" s="425"/>
      <c r="I169" s="425"/>
      <c r="J169" s="425"/>
      <c r="K169" s="425"/>
      <c r="L169" s="425"/>
      <c r="M169" s="425"/>
      <c r="N169" s="425"/>
      <c r="O169" s="425"/>
      <c r="P169" s="425"/>
      <c r="Q169" s="425"/>
      <c r="R169" s="425"/>
      <c r="S169" s="425"/>
      <c r="T169" s="425"/>
      <c r="U169" s="425"/>
      <c r="V169" s="425"/>
      <c r="W169" s="425"/>
      <c r="X169" s="425"/>
      <c r="Y169" s="425"/>
      <c r="Z169" s="425"/>
      <c r="AA169" s="425"/>
      <c r="AB169" s="425"/>
      <c r="AC169" s="425"/>
      <c r="AD169" s="425"/>
      <c r="AE169" s="425"/>
      <c r="AF169" s="427"/>
      <c r="AG169" s="427"/>
      <c r="AH169" s="427"/>
      <c r="AI169" s="427"/>
      <c r="AJ169" s="427"/>
      <c r="AK169" s="427"/>
      <c r="AL169" s="427"/>
      <c r="AM169" s="427"/>
      <c r="AN169" s="427"/>
    </row>
    <row r="170" spans="1:40" ht="14" x14ac:dyDescent="0.15">
      <c r="A170" s="425"/>
      <c r="B170" s="425"/>
      <c r="C170" s="425"/>
      <c r="D170" s="425"/>
      <c r="E170" s="425"/>
      <c r="F170" s="425"/>
      <c r="G170" s="425"/>
      <c r="H170" s="425"/>
      <c r="I170" s="425"/>
      <c r="J170" s="425"/>
      <c r="K170" s="425"/>
      <c r="L170" s="425"/>
      <c r="M170" s="425"/>
      <c r="N170" s="425"/>
      <c r="O170" s="425"/>
      <c r="P170" s="425"/>
      <c r="Q170" s="425"/>
      <c r="R170" s="425"/>
      <c r="S170" s="425"/>
      <c r="T170" s="425"/>
      <c r="U170" s="425"/>
      <c r="V170" s="425"/>
      <c r="W170" s="425"/>
      <c r="X170" s="425"/>
      <c r="Y170" s="425"/>
      <c r="Z170" s="425"/>
      <c r="AA170" s="425"/>
      <c r="AB170" s="425"/>
      <c r="AC170" s="425"/>
      <c r="AD170" s="425"/>
      <c r="AE170" s="425"/>
      <c r="AF170" s="427"/>
      <c r="AG170" s="427"/>
      <c r="AH170" s="427"/>
      <c r="AI170" s="427"/>
      <c r="AJ170" s="427"/>
      <c r="AK170" s="427"/>
      <c r="AL170" s="427"/>
      <c r="AM170" s="427"/>
      <c r="AN170" s="427"/>
    </row>
  </sheetData>
  <sheetProtection algorithmName="SHA-512" hashValue="semntFU3M7+dzjUsT/JKTM/ffgmGziT/9ReYOwDCBkt7b/0yjYADlgRKTMw08a6kPN1wYpchhS1lyv18Mk9NoQ==" saltValue="Wb57Z9fmR/68QcbPVYJOQw==" spinCount="100000" sheet="1" objects="1" scenarios="1"/>
  <pageMargins left="0.75" right="0.75" top="1" bottom="1" header="0.5" footer="0.5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726F281-3C64-4F7D-BB21-248B4031DF68}"/>
</file>

<file path=customXml/itemProps2.xml><?xml version="1.0" encoding="utf-8"?>
<ds:datastoreItem xmlns:ds="http://schemas.openxmlformats.org/officeDocument/2006/customXml" ds:itemID="{163B3C22-1865-4BB8-B9C0-003FE19E7F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79</vt:i4>
      </vt:variant>
    </vt:vector>
  </HeadingPairs>
  <TitlesOfParts>
    <vt:vector size="79" baseType="lpstr">
      <vt:lpstr>Summary</vt:lpstr>
      <vt:lpstr>Bills Jul'23</vt:lpstr>
      <vt:lpstr>Bills Jan'23</vt:lpstr>
      <vt:lpstr>Bills Jul'22</vt:lpstr>
      <vt:lpstr>Bills Jan'22</vt:lpstr>
      <vt:lpstr>Bills Jul'21</vt:lpstr>
      <vt:lpstr>Bills Jan'21</vt:lpstr>
      <vt:lpstr>Bills Jul'20</vt:lpstr>
      <vt:lpstr>Bills Jan'20</vt:lpstr>
      <vt:lpstr>Bills Jul'19</vt:lpstr>
      <vt:lpstr>Bills Jan'19</vt:lpstr>
      <vt:lpstr>Bills Jul'18</vt:lpstr>
      <vt:lpstr>Bills Jan'18</vt:lpstr>
      <vt:lpstr>Bills Jul'17</vt:lpstr>
      <vt:lpstr>Bills Jan'17</vt:lpstr>
      <vt:lpstr>Bills Jul'16</vt:lpstr>
      <vt:lpstr>Bills Jan'16</vt:lpstr>
      <vt:lpstr>Bills Jul'15</vt:lpstr>
      <vt:lpstr>Bills Jan'15</vt:lpstr>
      <vt:lpstr>Bills Jul'14</vt:lpstr>
      <vt:lpstr>Bills Jan'14</vt:lpstr>
      <vt:lpstr>Bills Jul'13</vt:lpstr>
      <vt:lpstr>Bills Jan'13</vt:lpstr>
      <vt:lpstr>Bills Jul'12</vt:lpstr>
      <vt:lpstr>Bills Jan'12</vt:lpstr>
      <vt:lpstr>Bills Jul'11</vt:lpstr>
      <vt:lpstr>Bills Jan'11</vt:lpstr>
      <vt:lpstr>Bills Jul'10</vt:lpstr>
      <vt:lpstr>Tariffs Jul2023</vt:lpstr>
      <vt:lpstr>Tariffs Jan2023</vt:lpstr>
      <vt:lpstr>Tariffs Jul2022</vt:lpstr>
      <vt:lpstr>Tariffs Jan2022</vt:lpstr>
      <vt:lpstr>Tariffs Jul2021</vt:lpstr>
      <vt:lpstr>Tariffs Jan2021</vt:lpstr>
      <vt:lpstr>Tariffs Jul2020</vt:lpstr>
      <vt:lpstr>Tariffs Jan2020</vt:lpstr>
      <vt:lpstr>Tariffs Jul2019</vt:lpstr>
      <vt:lpstr>Tariffs Jan2019</vt:lpstr>
      <vt:lpstr>Tariffs Jul2018</vt:lpstr>
      <vt:lpstr>Tariffs Jan2018</vt:lpstr>
      <vt:lpstr>Tariffs Jul2017</vt:lpstr>
      <vt:lpstr>Tariffs Jan2017</vt:lpstr>
      <vt:lpstr>Tariffs July2016</vt:lpstr>
      <vt:lpstr>Jan'16 Multi</vt:lpstr>
      <vt:lpstr>Jan'16 Envestra</vt:lpstr>
      <vt:lpstr>Jan'16 SP</vt:lpstr>
      <vt:lpstr>Jul'15 Multi</vt:lpstr>
      <vt:lpstr>Jul'15 Envestra</vt:lpstr>
      <vt:lpstr>Jul'15 SP</vt:lpstr>
      <vt:lpstr>Jan'15 Multi</vt:lpstr>
      <vt:lpstr>Jan'15 Envestra</vt:lpstr>
      <vt:lpstr>Jan'15 SP</vt:lpstr>
      <vt:lpstr>Jul'14 Multi</vt:lpstr>
      <vt:lpstr>Jul'14 Envestra</vt:lpstr>
      <vt:lpstr>Jul'14 SP</vt:lpstr>
      <vt:lpstr>Jan'14 Multi</vt:lpstr>
      <vt:lpstr>Jan'14 Envestra</vt:lpstr>
      <vt:lpstr>Jan'14 SP</vt:lpstr>
      <vt:lpstr>Jul'13 Multi</vt:lpstr>
      <vt:lpstr>Jul'13 Envestra</vt:lpstr>
      <vt:lpstr>Jul'13 SP</vt:lpstr>
      <vt:lpstr>Jan'13 Multi</vt:lpstr>
      <vt:lpstr>Jan'13 Envestra</vt:lpstr>
      <vt:lpstr>Jan'13 SP</vt:lpstr>
      <vt:lpstr>Jul'12 Multi</vt:lpstr>
      <vt:lpstr>Jul'12 Envestra</vt:lpstr>
      <vt:lpstr>Jul'12 SP</vt:lpstr>
      <vt:lpstr>Jan'12 Multi</vt:lpstr>
      <vt:lpstr>Jan'12 Envestra</vt:lpstr>
      <vt:lpstr>Jan'12 SP</vt:lpstr>
      <vt:lpstr>Jul'11 Multi</vt:lpstr>
      <vt:lpstr>Jul'11 Envestra</vt:lpstr>
      <vt:lpstr>Jul'11 SP</vt:lpstr>
      <vt:lpstr>Jan'11 Multi</vt:lpstr>
      <vt:lpstr>Jan'11 Envestra</vt:lpstr>
      <vt:lpstr>Jan'11 SP</vt:lpstr>
      <vt:lpstr>Jul'10 Multinet</vt:lpstr>
      <vt:lpstr>Jul'10 Envestra</vt:lpstr>
      <vt:lpstr>Jul'10 SP</vt:lpstr>
    </vt:vector>
  </TitlesOfParts>
  <Manager/>
  <Company>St Vincent De Paul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may.johnston</dc:creator>
  <cp:keywords/>
  <dc:description/>
  <cp:lastModifiedBy>May Mauseth</cp:lastModifiedBy>
  <cp:revision/>
  <dcterms:created xsi:type="dcterms:W3CDTF">2010-05-13T04:05:54Z</dcterms:created>
  <dcterms:modified xsi:type="dcterms:W3CDTF">2023-11-27T03:27:26Z</dcterms:modified>
  <cp:category/>
  <cp:contentStatus/>
</cp:coreProperties>
</file>